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431"/>
  <workbookPr showInkAnnotation="0" codeName="ThisWorkbook" defaultThemeVersion="124226"/>
  <mc:AlternateContent xmlns:mc="http://schemas.openxmlformats.org/markup-compatibility/2006">
    <mc:Choice Requires="x15">
      <x15ac:absPath xmlns:x15ac="http://schemas.microsoft.com/office/spreadsheetml/2010/11/ac" url="A:\AGUA\3. CONVOCATORIAS\ESTUDIOS PREVIOS CONTRATO 438\LA MESA ANAPOIMA - NUEVO PROYECTO\Carpeta No 3\Estudios Previos\Obra\PRESUPUESTO ADENDA 2\"/>
    </mc:Choice>
  </mc:AlternateContent>
  <bookViews>
    <workbookView xWindow="120" yWindow="150" windowWidth="20730" windowHeight="11760" tabRatio="803" firstSheet="1" activeTab="5"/>
  </bookViews>
  <sheets>
    <sheet name="MADRID- BOJACA" sheetId="24" state="hidden" r:id="rId1"/>
    <sheet name="RESUMEN" sheetId="42" r:id="rId2"/>
    <sheet name="Plan Financiero" sheetId="59" state="hidden" r:id="rId3"/>
    <sheet name="Flujo de Inversion" sheetId="52" state="hidden" r:id="rId4"/>
    <sheet name="CRONOGRAMA" sheetId="62" state="hidden" r:id="rId5"/>
    <sheet name="TANQUE BOJACA (2)" sheetId="63" r:id="rId6"/>
    <sheet name="CAMARA LLEGADA PTAP" sheetId="37" r:id="rId7"/>
    <sheet name="CONDUCCION CD -TCB" sheetId="47" r:id="rId8"/>
    <sheet name="CONDUCCION TCB-PTAP" sheetId="38" r:id="rId9"/>
    <sheet name="LINEA ALTA PRESION" sheetId="39" r:id="rId10"/>
    <sheet name="PGSO (2)" sheetId="64" r:id="rId11"/>
    <sheet name="ESTRUCTURAS ESPECIALES" sheetId="40" r:id="rId12"/>
    <sheet name="TANQUE DE CLORACIÓN" sheetId="44" r:id="rId13"/>
    <sheet name="CASETA CLORACIÓN" sheetId="45" r:id="rId14"/>
    <sheet name="EB-MECANICO" sheetId="46" r:id="rId15"/>
    <sheet name="EB-ELECTRICO" sheetId="57" r:id="rId16"/>
    <sheet name="CAJA DE CONTROL" sheetId="49" r:id="rId17"/>
    <sheet name="PGSO" sheetId="61" state="hidden" r:id="rId18"/>
    <sheet name="CAMARAS DE QUIEBRE" sheetId="55" r:id="rId19"/>
    <sheet name="ListaAPUs" sheetId="33" state="hidden" r:id="rId20"/>
    <sheet name="APU ELECTRICOS" sheetId="54" state="hidden" r:id="rId21"/>
    <sheet name="APUS" sheetId="51" state="hidden" r:id="rId22"/>
    <sheet name="APU SUM" sheetId="50" state="hidden" r:id="rId23"/>
    <sheet name="OC Tanque" sheetId="17" state="hidden" r:id="rId24"/>
    <sheet name="Pto Sum TANQUE" sheetId="18" state="hidden" r:id="rId25"/>
    <sheet name="OC LC" sheetId="1" state="hidden" r:id="rId26"/>
    <sheet name="Pto Sum LC" sheetId="4" state="hidden" r:id="rId27"/>
    <sheet name="OC LAP" sheetId="14" state="hidden" r:id="rId28"/>
    <sheet name="Pto Sum LAP" sheetId="15" state="hidden" r:id="rId29"/>
    <sheet name="OC ESTRUCTURAS" sheetId="20" state="hidden" r:id="rId30"/>
    <sheet name="Pto ESTRUCTURAS" sheetId="19" state="hidden" r:id="rId31"/>
    <sheet name="OC L16" sheetId="21" state="hidden" r:id="rId32"/>
    <sheet name="Pto Sum L16" sheetId="22" state="hidden" r:id="rId33"/>
    <sheet name="Cantidades" sheetId="27" state="hidden" r:id="rId34"/>
    <sheet name="Resumen estr" sheetId="41" state="hidden" r:id="rId35"/>
    <sheet name="Insumos" sheetId="28" state="hidden" r:id="rId36"/>
    <sheet name="Resumen Tuberia" sheetId="35" state="hidden" r:id="rId37"/>
    <sheet name="SUM" sheetId="3" state="hidden" r:id="rId38"/>
    <sheet name="SO" sheetId="2" state="hidden" r:id="rId39"/>
    <sheet name="APU CAP 1-2" sheetId="5" state="hidden" r:id="rId40"/>
    <sheet name="APU CAP 3" sheetId="6" state="hidden" r:id="rId41"/>
    <sheet name="APU CAP 5" sheetId="7" state="hidden" r:id="rId42"/>
    <sheet name="APU CAP 6" sheetId="8" state="hidden" r:id="rId43"/>
    <sheet name="APU CAP 7" sheetId="9" state="hidden" r:id="rId44"/>
    <sheet name="APU CAP 8" sheetId="10" state="hidden" r:id="rId45"/>
    <sheet name="APU ESTRUCTURAS" sheetId="16" state="hidden" r:id="rId46"/>
    <sheet name="Tuberia HD" sheetId="29" state="hidden" r:id="rId47"/>
    <sheet name="EE" sheetId="30" state="hidden" r:id="rId48"/>
    <sheet name="Mano de obra" sheetId="34" state="hidden" r:id="rId49"/>
  </sheets>
  <externalReferences>
    <externalReference r:id="rId50"/>
    <externalReference r:id="rId51"/>
    <externalReference r:id="rId52"/>
    <externalReference r:id="rId53"/>
    <externalReference r:id="rId54"/>
  </externalReferences>
  <definedNames>
    <definedName name="_xlnm._FilterDatabase" localSheetId="22" hidden="1">'APU SUM'!$A$7:$N$261</definedName>
    <definedName name="_xlnm._FilterDatabase" localSheetId="15" hidden="1">'EB-ELECTRICO'!$E$5:$F$98</definedName>
    <definedName name="_xlnm._FilterDatabase" localSheetId="11" hidden="1">'ESTRUCTURAS ESPECIALES'!$B$1:$B$258</definedName>
    <definedName name="_xlnm._FilterDatabase" localSheetId="19" hidden="1">ListaAPUs!$C$1:$C$287</definedName>
    <definedName name="_xlnm._FilterDatabase" localSheetId="31" hidden="1">'OC L16'!$A$7:$G$612</definedName>
    <definedName name="_xlnm._FilterDatabase" localSheetId="27" hidden="1">'OC LAP'!$A$7:$G$606</definedName>
    <definedName name="_xlnm._FilterDatabase" localSheetId="25" hidden="1">'OC LC'!$A$7:$G$610</definedName>
    <definedName name="_xlnm._FilterDatabase" localSheetId="23" hidden="1">'OC Tanque'!$A$7:$J$607</definedName>
    <definedName name="_xlnm._FilterDatabase" localSheetId="30" hidden="1">'Pto ESTRUCTURAS'!$A$7:$G$616</definedName>
    <definedName name="_xlnm._FilterDatabase" localSheetId="32" hidden="1">'Pto Sum L16'!$A$7:$G$2429</definedName>
    <definedName name="_xlnm._FilterDatabase" localSheetId="28" hidden="1">'Pto Sum LAP'!$A$7:$G$2426</definedName>
    <definedName name="_xlnm._FilterDatabase" localSheetId="26" hidden="1">'Pto Sum LC'!$A$7:$G$2428</definedName>
    <definedName name="_xlnm._FilterDatabase" localSheetId="24" hidden="1">'Pto Sum TANQUE'!$A$7:$G$2426</definedName>
    <definedName name="_xlnm._FilterDatabase" localSheetId="34" hidden="1">'Resumen estr'!$A$26:$F$82</definedName>
    <definedName name="_xlnm.Print_Area" localSheetId="20">'APU ELECTRICOS'!$A$1:$H$4002</definedName>
    <definedName name="_xlnm.Print_Area" localSheetId="22">'APU SUM'!$A$1:$F$300</definedName>
    <definedName name="_xlnm.Print_Area" localSheetId="21">APUS!$A$1:$H$7183</definedName>
    <definedName name="_xlnm.Print_Area" localSheetId="16">'CAJA DE CONTROL'!$A$1:$H$62</definedName>
    <definedName name="_xlnm.Print_Area" localSheetId="6">'CAMARA LLEGADA PTAP'!$A$1:$H$52</definedName>
    <definedName name="_xlnm.Print_Area" localSheetId="18">'CAMARAS DE QUIEBRE'!$A$1:$H$62</definedName>
    <definedName name="_xlnm.Print_Area" localSheetId="33">Cantidades!$A$1:$J$948</definedName>
    <definedName name="_xlnm.Print_Area" localSheetId="13">'CASETA CLORACIÓN'!$A$1:$H$44</definedName>
    <definedName name="_xlnm.Print_Area" localSheetId="7">'CONDUCCION CD -TCB'!$A$1:$H$21</definedName>
    <definedName name="_xlnm.Print_Area" localSheetId="8">'CONDUCCION TCB-PTAP'!$A$1:$H$86</definedName>
    <definedName name="_xlnm.Print_Area" localSheetId="15">'EB-ELECTRICO'!$A$1:$H$98</definedName>
    <definedName name="_xlnm.Print_Area" localSheetId="14">'EB-MECANICO'!$A$1:$H$54</definedName>
    <definedName name="_xlnm.Print_Area" localSheetId="11">'ESTRUCTURAS ESPECIALES'!$A$1:$H$258</definedName>
    <definedName name="_xlnm.Print_Area" localSheetId="35">Insumos!$A$1:$C$340</definedName>
    <definedName name="_xlnm.Print_Area" localSheetId="9">'LINEA ALTA PRESION'!$A$1:$H$41</definedName>
    <definedName name="_xlnm.Print_Area" localSheetId="19">ListaAPUs!$A$1:$E$287</definedName>
    <definedName name="_xlnm.Print_Area" localSheetId="17">PGSO!$A$1:$H$45</definedName>
    <definedName name="_xlnm.Print_Area" localSheetId="10">'PGSO (2)'!$A$1:$F$16</definedName>
    <definedName name="_xlnm.Print_Area" localSheetId="2">'Plan Financiero'!$A$1:$G$9</definedName>
    <definedName name="_xlnm.Print_Area" localSheetId="1">RESUMEN!$A$1:$G$58</definedName>
    <definedName name="_xlnm.Print_Area" localSheetId="36">'Resumen Tuberia'!$A$1:$S$96</definedName>
    <definedName name="_xlnm.Print_Area" localSheetId="5">'TANQUE BOJACA (2)'!$A$1:$H$104</definedName>
    <definedName name="_xlnm.Print_Area" localSheetId="12">'TANQUE DE CLORACIÓN'!$A$1:$H$57</definedName>
    <definedName name="EQUIPO">[1]EQUIPO!$B$9:$B$204</definedName>
    <definedName name="INSUMOS" localSheetId="3">[2]Insumos!$A:$C</definedName>
    <definedName name="INSUMOS">[2]Insumos!$A:$C</definedName>
    <definedName name="ManoDeObra">[3]ManoDeObra!$A:$D</definedName>
    <definedName name="PERSONAL" localSheetId="3">'[2]ESTACIÓN DE BOMBEO'!$A:$B</definedName>
    <definedName name="PERSONAL">'[2]ESTACIÓN DE BOMBEO'!$A:$B</definedName>
    <definedName name="SMMLV">616027</definedName>
    <definedName name="solver_adj" localSheetId="35" hidden="1">Insumos!$C$352</definedName>
    <definedName name="solver_eng" localSheetId="35" hidden="1">1</definedName>
    <definedName name="solver_neg" localSheetId="35" hidden="1">1</definedName>
    <definedName name="solver_num" localSheetId="35" hidden="1">0</definedName>
    <definedName name="solver_typ" localSheetId="35" hidden="1">1</definedName>
    <definedName name="solver_val" localSheetId="35" hidden="1">0</definedName>
    <definedName name="solver_ver" localSheetId="35" hidden="1">3</definedName>
    <definedName name="_xlnm.Print_Titles" localSheetId="22">'APU SUM'!$1:$7</definedName>
    <definedName name="_xlnm.Print_Titles" localSheetId="16">'CAJA DE CONTROL'!$1:$4</definedName>
    <definedName name="_xlnm.Print_Titles" localSheetId="6">'CAMARA LLEGADA PTAP'!$1:$4</definedName>
    <definedName name="_xlnm.Print_Titles" localSheetId="18">'CAMARAS DE QUIEBRE'!$1:$4</definedName>
    <definedName name="_xlnm.Print_Titles" localSheetId="13">'CASETA CLORACIÓN'!$1:$4</definedName>
    <definedName name="_xlnm.Print_Titles" localSheetId="7">'CONDUCCION CD -TCB'!$1:$4</definedName>
    <definedName name="_xlnm.Print_Titles" localSheetId="8">'CONDUCCION TCB-PTAP'!$1:$4</definedName>
    <definedName name="_xlnm.Print_Titles" localSheetId="14">'EB-MECANICO'!$1:$4</definedName>
    <definedName name="_xlnm.Print_Titles" localSheetId="11">'ESTRUCTURAS ESPECIALES'!$1:$4</definedName>
    <definedName name="_xlnm.Print_Titles" localSheetId="9">'LINEA ALTA PRESION'!$1:$4</definedName>
    <definedName name="_xlnm.Print_Titles" localSheetId="19">ListaAPUs!$1:$6</definedName>
    <definedName name="_xlnm.Print_Titles" localSheetId="0">'MADRID- BOJACA'!$1:$4</definedName>
    <definedName name="_xlnm.Print_Titles" localSheetId="1">RESUMEN!$1:$5</definedName>
    <definedName name="_xlnm.Print_Titles" localSheetId="5">'TANQUE BOJACA (2)'!$1:$4</definedName>
    <definedName name="_xlnm.Print_Titles" localSheetId="12">'TANQUE DE CLORACIÓN'!$1:$4</definedName>
    <definedName name="ww">[4]ManoDeObra!$A:$D</definedName>
  </definedNames>
  <calcPr calcId="171027"/>
  <fileRecoveryPr autoRecover="0"/>
</workbook>
</file>

<file path=xl/calcChain.xml><?xml version="1.0" encoding="utf-8"?>
<calcChain xmlns="http://schemas.openxmlformats.org/spreadsheetml/2006/main">
  <c r="F14" i="64" l="1"/>
  <c r="E14" i="64"/>
  <c r="D16" i="64"/>
  <c r="G44" i="37" l="1"/>
  <c r="G44" i="55"/>
  <c r="G44" i="49"/>
  <c r="G44" i="57"/>
  <c r="G44" i="46"/>
  <c r="G44" i="44"/>
  <c r="G44" i="40"/>
  <c r="G44" i="38"/>
  <c r="G44" i="63"/>
  <c r="F38" i="37"/>
  <c r="F41" i="37"/>
  <c r="F43" i="37"/>
  <c r="G41" i="55"/>
  <c r="H41" i="55"/>
  <c r="G42" i="55"/>
  <c r="H42" i="55"/>
  <c r="G43" i="55"/>
  <c r="H43" i="55"/>
  <c r="H44" i="55"/>
  <c r="G45" i="55"/>
  <c r="H45" i="55"/>
  <c r="G46" i="55"/>
  <c r="H46" i="55"/>
  <c r="G47" i="55"/>
  <c r="H47" i="55"/>
  <c r="G48" i="55"/>
  <c r="H48" i="55"/>
  <c r="G49" i="55"/>
  <c r="H49" i="55"/>
  <c r="G50" i="55"/>
  <c r="H50" i="55"/>
  <c r="G51" i="55"/>
  <c r="H51" i="55"/>
  <c r="G52" i="55"/>
  <c r="H52" i="55"/>
  <c r="G53" i="55"/>
  <c r="H53" i="55"/>
  <c r="G54" i="55"/>
  <c r="H54" i="55"/>
  <c r="G55" i="55"/>
  <c r="H55" i="55"/>
  <c r="G56" i="55"/>
  <c r="H56" i="55"/>
  <c r="G57" i="55"/>
  <c r="H57" i="55"/>
  <c r="G58" i="55"/>
  <c r="H58" i="55"/>
  <c r="G59" i="55"/>
  <c r="H59" i="55"/>
  <c r="G60" i="55"/>
  <c r="H60" i="55"/>
  <c r="G61" i="55"/>
  <c r="H61" i="55"/>
  <c r="G40" i="55"/>
  <c r="H40" i="55"/>
  <c r="G11" i="55"/>
  <c r="G9" i="55"/>
  <c r="H9" i="55"/>
  <c r="H11" i="55"/>
  <c r="G12" i="55"/>
  <c r="H12" i="55"/>
  <c r="G13" i="55"/>
  <c r="H13" i="55"/>
  <c r="G15" i="55"/>
  <c r="H15" i="55"/>
  <c r="G16" i="55"/>
  <c r="H16" i="55"/>
  <c r="G17" i="55"/>
  <c r="H17" i="55"/>
  <c r="G18" i="55"/>
  <c r="H18" i="55"/>
  <c r="G19" i="55"/>
  <c r="H19" i="55"/>
  <c r="G20" i="55"/>
  <c r="H20" i="55"/>
  <c r="G22" i="55"/>
  <c r="H22" i="55"/>
  <c r="G23" i="55"/>
  <c r="H23" i="55"/>
  <c r="G24" i="55"/>
  <c r="H24" i="55"/>
  <c r="G25" i="55"/>
  <c r="H25" i="55"/>
  <c r="G26" i="55"/>
  <c r="H26" i="55"/>
  <c r="G27" i="55"/>
  <c r="H27" i="55"/>
  <c r="G28" i="55"/>
  <c r="H28" i="55"/>
  <c r="G29" i="55"/>
  <c r="H29" i="55"/>
  <c r="G30" i="55"/>
  <c r="H30" i="55"/>
  <c r="G31" i="55"/>
  <c r="H31" i="55"/>
  <c r="G32" i="55"/>
  <c r="H32" i="55"/>
  <c r="G33" i="55"/>
  <c r="H33" i="55"/>
  <c r="G34" i="55"/>
  <c r="H34" i="55"/>
  <c r="G35" i="55"/>
  <c r="H35" i="55"/>
  <c r="G36" i="55"/>
  <c r="H36" i="55"/>
  <c r="H8" i="55"/>
  <c r="G8" i="55"/>
  <c r="G8" i="49"/>
  <c r="H8" i="49"/>
  <c r="G9" i="49"/>
  <c r="H9" i="49"/>
  <c r="G10" i="49"/>
  <c r="H10" i="49"/>
  <c r="G11" i="49"/>
  <c r="H11" i="49"/>
  <c r="G12" i="49"/>
  <c r="H12" i="49"/>
  <c r="G13" i="49"/>
  <c r="H13" i="49"/>
  <c r="G14" i="49"/>
  <c r="H14" i="49"/>
  <c r="G15" i="49"/>
  <c r="H15" i="49"/>
  <c r="G16" i="49"/>
  <c r="H16" i="49"/>
  <c r="G17" i="49"/>
  <c r="H17" i="49"/>
  <c r="G18" i="49"/>
  <c r="H18" i="49"/>
  <c r="G20" i="49"/>
  <c r="H20" i="49"/>
  <c r="G21" i="49"/>
  <c r="H21" i="49"/>
  <c r="G22" i="49"/>
  <c r="H22" i="49"/>
  <c r="G23" i="49"/>
  <c r="H23" i="49"/>
  <c r="G24" i="49"/>
  <c r="H24" i="49"/>
  <c r="G25" i="49"/>
  <c r="H25" i="49"/>
  <c r="G26" i="49"/>
  <c r="H26" i="49"/>
  <c r="G27" i="49"/>
  <c r="H27" i="49"/>
  <c r="G28" i="49"/>
  <c r="H28" i="49"/>
  <c r="G32" i="49"/>
  <c r="H32" i="49"/>
  <c r="G33" i="49"/>
  <c r="H33" i="49"/>
  <c r="G34" i="49"/>
  <c r="H34" i="49"/>
  <c r="G35" i="49"/>
  <c r="H35" i="49"/>
  <c r="G41" i="49"/>
  <c r="H41" i="49"/>
  <c r="G42" i="49"/>
  <c r="H42" i="49"/>
  <c r="G43" i="49"/>
  <c r="H43" i="49"/>
  <c r="H44" i="49"/>
  <c r="G45" i="49"/>
  <c r="H45" i="49"/>
  <c r="G46" i="49"/>
  <c r="H46" i="49"/>
  <c r="G48" i="49"/>
  <c r="H48" i="49"/>
  <c r="G49" i="49"/>
  <c r="H49" i="49"/>
  <c r="G50" i="49"/>
  <c r="H50" i="49"/>
  <c r="G51" i="49"/>
  <c r="H51" i="49"/>
  <c r="G52" i="49"/>
  <c r="H52" i="49"/>
  <c r="G53" i="49"/>
  <c r="H53" i="49"/>
  <c r="G54" i="49"/>
  <c r="H54" i="49"/>
  <c r="G55" i="49"/>
  <c r="H55" i="49"/>
  <c r="G56" i="49"/>
  <c r="H56" i="49"/>
  <c r="G57" i="49"/>
  <c r="H57" i="49"/>
  <c r="G58" i="49"/>
  <c r="H58" i="49"/>
  <c r="G59" i="49"/>
  <c r="H59" i="49"/>
  <c r="G60" i="49"/>
  <c r="H60" i="49"/>
  <c r="H7" i="49"/>
  <c r="G7" i="49"/>
  <c r="G9" i="57"/>
  <c r="H9" i="57"/>
  <c r="G10" i="57"/>
  <c r="H10" i="57"/>
  <c r="G11" i="57"/>
  <c r="H11" i="57"/>
  <c r="G12" i="57"/>
  <c r="H12" i="57"/>
  <c r="G13" i="57"/>
  <c r="H13" i="57"/>
  <c r="G15" i="57"/>
  <c r="H15" i="57"/>
  <c r="G16" i="57"/>
  <c r="H16" i="57"/>
  <c r="G18" i="57"/>
  <c r="H18" i="57"/>
  <c r="G20" i="57"/>
  <c r="H20" i="57"/>
  <c r="G21" i="57"/>
  <c r="H21" i="57"/>
  <c r="G23" i="57"/>
  <c r="H23" i="57"/>
  <c r="G25" i="57"/>
  <c r="H25" i="57"/>
  <c r="G27" i="57"/>
  <c r="H27" i="57"/>
  <c r="G28" i="57"/>
  <c r="H28" i="57"/>
  <c r="G30" i="57"/>
  <c r="H30" i="57"/>
  <c r="G31" i="57"/>
  <c r="H31" i="57"/>
  <c r="G32" i="57"/>
  <c r="H32" i="57"/>
  <c r="G33" i="57"/>
  <c r="H33" i="57"/>
  <c r="G34" i="57"/>
  <c r="H34" i="57"/>
  <c r="G35" i="57"/>
  <c r="H35" i="57"/>
  <c r="G36" i="57"/>
  <c r="H36" i="57"/>
  <c r="G37" i="57"/>
  <c r="H37" i="57"/>
  <c r="G38" i="57"/>
  <c r="H38" i="57"/>
  <c r="G39" i="57"/>
  <c r="H39" i="57"/>
  <c r="G40" i="57"/>
  <c r="H40" i="57"/>
  <c r="G41" i="57"/>
  <c r="H41" i="57"/>
  <c r="G42" i="57"/>
  <c r="H42" i="57"/>
  <c r="G43" i="57"/>
  <c r="H43" i="57"/>
  <c r="H44" i="57"/>
  <c r="G45" i="57"/>
  <c r="H45" i="57"/>
  <c r="G46" i="57"/>
  <c r="H46" i="57"/>
  <c r="G47" i="57"/>
  <c r="H47" i="57"/>
  <c r="G48" i="57"/>
  <c r="H48" i="57"/>
  <c r="G49" i="57"/>
  <c r="H49" i="57"/>
  <c r="G50" i="57"/>
  <c r="H50" i="57"/>
  <c r="G51" i="57"/>
  <c r="H51" i="57"/>
  <c r="G53" i="57"/>
  <c r="H53" i="57"/>
  <c r="G54" i="57"/>
  <c r="H54" i="57"/>
  <c r="G55" i="57"/>
  <c r="H55" i="57"/>
  <c r="G56" i="57"/>
  <c r="H56" i="57"/>
  <c r="G57" i="57"/>
  <c r="H57" i="57"/>
  <c r="G58" i="57"/>
  <c r="H58" i="57"/>
  <c r="G59" i="57"/>
  <c r="H59" i="57"/>
  <c r="G60" i="57"/>
  <c r="H60" i="57"/>
  <c r="G61" i="57"/>
  <c r="H61" i="57"/>
  <c r="G62" i="57"/>
  <c r="H62" i="57"/>
  <c r="G63" i="57"/>
  <c r="H63" i="57"/>
  <c r="G64" i="57"/>
  <c r="H64" i="57"/>
  <c r="G66" i="57"/>
  <c r="H66" i="57"/>
  <c r="G67" i="57"/>
  <c r="H67" i="57"/>
  <c r="G68" i="57"/>
  <c r="H68" i="57"/>
  <c r="G69" i="57"/>
  <c r="H69" i="57"/>
  <c r="G70" i="57"/>
  <c r="H70" i="57"/>
  <c r="G71" i="57"/>
  <c r="H71" i="57"/>
  <c r="G72" i="57"/>
  <c r="H72" i="57"/>
  <c r="G73" i="57"/>
  <c r="H73" i="57"/>
  <c r="G74" i="57"/>
  <c r="H74" i="57"/>
  <c r="G75" i="57"/>
  <c r="H75" i="57"/>
  <c r="G76" i="57"/>
  <c r="H76" i="57"/>
  <c r="G77" i="57"/>
  <c r="H77" i="57"/>
  <c r="G78" i="57"/>
  <c r="H78" i="57"/>
  <c r="G80" i="57"/>
  <c r="H80" i="57"/>
  <c r="G81" i="57"/>
  <c r="H81" i="57"/>
  <c r="G82" i="57"/>
  <c r="H82" i="57"/>
  <c r="G83" i="57"/>
  <c r="H83" i="57"/>
  <c r="G84" i="57"/>
  <c r="H84" i="57"/>
  <c r="G85" i="57"/>
  <c r="H85" i="57"/>
  <c r="G87" i="57"/>
  <c r="H87" i="57"/>
  <c r="G88" i="57"/>
  <c r="H88" i="57"/>
  <c r="G89" i="57"/>
  <c r="H89" i="57"/>
  <c r="G90" i="57"/>
  <c r="H90" i="57"/>
  <c r="G91" i="57"/>
  <c r="H91" i="57"/>
  <c r="G92" i="57"/>
  <c r="H92" i="57"/>
  <c r="G93" i="57"/>
  <c r="H93" i="57"/>
  <c r="G94" i="57"/>
  <c r="H94" i="57"/>
  <c r="G95" i="57"/>
  <c r="H95" i="57"/>
  <c r="G97" i="57"/>
  <c r="H97" i="57"/>
  <c r="H8" i="57"/>
  <c r="G8" i="57"/>
  <c r="G9" i="46"/>
  <c r="H9" i="46"/>
  <c r="G10" i="46"/>
  <c r="H10" i="46"/>
  <c r="G11" i="46"/>
  <c r="H11" i="46"/>
  <c r="G12" i="46"/>
  <c r="H12" i="46"/>
  <c r="G13" i="46"/>
  <c r="H13" i="46"/>
  <c r="G14" i="46"/>
  <c r="H14" i="46"/>
  <c r="G15" i="46"/>
  <c r="H15" i="46"/>
  <c r="G16" i="46"/>
  <c r="H16" i="46"/>
  <c r="G17" i="46"/>
  <c r="H17" i="46"/>
  <c r="G19" i="46"/>
  <c r="H19" i="46"/>
  <c r="G20" i="46"/>
  <c r="H20" i="46"/>
  <c r="G22" i="46"/>
  <c r="H22" i="46"/>
  <c r="G23" i="46"/>
  <c r="H23" i="46"/>
  <c r="G25" i="46"/>
  <c r="H25" i="46"/>
  <c r="G26" i="46"/>
  <c r="H26" i="46"/>
  <c r="G27" i="46"/>
  <c r="H27" i="46"/>
  <c r="G28" i="46"/>
  <c r="H28" i="46"/>
  <c r="G29" i="46"/>
  <c r="H29" i="46"/>
  <c r="G30" i="46"/>
  <c r="H30" i="46"/>
  <c r="G31" i="46"/>
  <c r="H31" i="46"/>
  <c r="G35" i="46"/>
  <c r="H35" i="46"/>
  <c r="G36" i="46"/>
  <c r="H36" i="46"/>
  <c r="G37" i="46"/>
  <c r="H37" i="46"/>
  <c r="G38" i="46"/>
  <c r="H38" i="46"/>
  <c r="G39" i="46"/>
  <c r="H39" i="46"/>
  <c r="G40" i="46"/>
  <c r="H40" i="46"/>
  <c r="G41" i="46"/>
  <c r="H41" i="46"/>
  <c r="G42" i="46"/>
  <c r="H42" i="46"/>
  <c r="G43" i="46"/>
  <c r="H43" i="46"/>
  <c r="H44" i="46"/>
  <c r="G45" i="46"/>
  <c r="H45" i="46"/>
  <c r="G46" i="46"/>
  <c r="H46" i="46"/>
  <c r="G47" i="46"/>
  <c r="H47" i="46"/>
  <c r="G48" i="46"/>
  <c r="H48" i="46"/>
  <c r="G49" i="46"/>
  <c r="H49" i="46"/>
  <c r="G50" i="46"/>
  <c r="H50" i="46"/>
  <c r="G51" i="46"/>
  <c r="H51" i="46"/>
  <c r="G52" i="46"/>
  <c r="H52" i="46"/>
  <c r="G53" i="46"/>
  <c r="H53" i="46"/>
  <c r="H8" i="46"/>
  <c r="G8" i="46"/>
  <c r="G9" i="45"/>
  <c r="H9" i="45"/>
  <c r="G11" i="45"/>
  <c r="H11" i="45"/>
  <c r="G13" i="45"/>
  <c r="H13" i="45"/>
  <c r="G15" i="45"/>
  <c r="H15" i="45"/>
  <c r="G17" i="45"/>
  <c r="H17" i="45"/>
  <c r="G18" i="45"/>
  <c r="H18" i="45"/>
  <c r="G19" i="45"/>
  <c r="H19" i="45"/>
  <c r="G20" i="45"/>
  <c r="H20" i="45"/>
  <c r="G21" i="45"/>
  <c r="H21" i="45"/>
  <c r="G22" i="45"/>
  <c r="H22" i="45"/>
  <c r="G24" i="45"/>
  <c r="H24" i="45"/>
  <c r="G25" i="45"/>
  <c r="H25" i="45"/>
  <c r="G26" i="45"/>
  <c r="H26" i="45"/>
  <c r="G27" i="45"/>
  <c r="H27" i="45"/>
  <c r="G28" i="45"/>
  <c r="H28" i="45"/>
  <c r="G29" i="45"/>
  <c r="H29" i="45"/>
  <c r="G30" i="45"/>
  <c r="H30" i="45"/>
  <c r="G31" i="45"/>
  <c r="H31" i="45"/>
  <c r="G32" i="45"/>
  <c r="H32" i="45"/>
  <c r="G33" i="45"/>
  <c r="H33" i="45"/>
  <c r="G34" i="45"/>
  <c r="H34" i="45"/>
  <c r="G35" i="45"/>
  <c r="H35" i="45"/>
  <c r="G36" i="45"/>
  <c r="H36" i="45"/>
  <c r="G37" i="45"/>
  <c r="H37" i="45"/>
  <c r="G38" i="45"/>
  <c r="H38" i="45"/>
  <c r="G39" i="45"/>
  <c r="H39" i="45"/>
  <c r="G40" i="45"/>
  <c r="H40" i="45"/>
  <c r="G41" i="45"/>
  <c r="H41" i="45"/>
  <c r="G42" i="45"/>
  <c r="H42" i="45"/>
  <c r="G43" i="45"/>
  <c r="H43" i="45"/>
  <c r="H7" i="45"/>
  <c r="G7" i="45"/>
  <c r="G9" i="44"/>
  <c r="H9" i="44"/>
  <c r="G11" i="44"/>
  <c r="H11" i="44"/>
  <c r="G13" i="44"/>
  <c r="H13" i="44"/>
  <c r="G14" i="44"/>
  <c r="H14" i="44"/>
  <c r="G16" i="44"/>
  <c r="H16" i="44"/>
  <c r="G18" i="44"/>
  <c r="H18" i="44"/>
  <c r="G19" i="44"/>
  <c r="H19" i="44"/>
  <c r="G20" i="44"/>
  <c r="H20" i="44"/>
  <c r="G21" i="44"/>
  <c r="H21" i="44"/>
  <c r="G22" i="44"/>
  <c r="H22" i="44"/>
  <c r="G23" i="44"/>
  <c r="H23" i="44"/>
  <c r="G24" i="44"/>
  <c r="H24" i="44"/>
  <c r="G25" i="44"/>
  <c r="H25" i="44"/>
  <c r="G26" i="44"/>
  <c r="H26" i="44"/>
  <c r="G28" i="44"/>
  <c r="H28" i="44"/>
  <c r="G29" i="44"/>
  <c r="H29" i="44"/>
  <c r="G30" i="44"/>
  <c r="H30" i="44"/>
  <c r="G31" i="44"/>
  <c r="H31" i="44"/>
  <c r="G32" i="44"/>
  <c r="H32" i="44"/>
  <c r="G34" i="44"/>
  <c r="H34" i="44"/>
  <c r="G35" i="44"/>
  <c r="H35" i="44"/>
  <c r="G36" i="44"/>
  <c r="H36" i="44"/>
  <c r="G37" i="44"/>
  <c r="H37" i="44"/>
  <c r="G41" i="44"/>
  <c r="H41" i="44"/>
  <c r="G42" i="44"/>
  <c r="H42" i="44"/>
  <c r="G43" i="44"/>
  <c r="H43" i="44"/>
  <c r="H44" i="44"/>
  <c r="G45" i="44"/>
  <c r="H45" i="44"/>
  <c r="G46" i="44"/>
  <c r="H46" i="44"/>
  <c r="G47" i="44"/>
  <c r="H47" i="44"/>
  <c r="G48" i="44"/>
  <c r="H48" i="44"/>
  <c r="G49" i="44"/>
  <c r="H49" i="44"/>
  <c r="G50" i="44"/>
  <c r="H50" i="44"/>
  <c r="G51" i="44"/>
  <c r="H51" i="44"/>
  <c r="G52" i="44"/>
  <c r="H52" i="44"/>
  <c r="G53" i="44"/>
  <c r="H53" i="44"/>
  <c r="G54" i="44"/>
  <c r="H54" i="44"/>
  <c r="G55" i="44"/>
  <c r="H55" i="44"/>
  <c r="G56" i="44"/>
  <c r="H56" i="44"/>
  <c r="H7" i="44"/>
  <c r="G7" i="44"/>
  <c r="G27" i="40"/>
  <c r="H27" i="40"/>
  <c r="G28" i="40"/>
  <c r="H28" i="40"/>
  <c r="G29" i="40"/>
  <c r="H29" i="40"/>
  <c r="G30" i="40"/>
  <c r="H30" i="40"/>
  <c r="G31" i="40"/>
  <c r="H31" i="40"/>
  <c r="G32" i="40"/>
  <c r="H32" i="40"/>
  <c r="G33" i="40"/>
  <c r="H33" i="40"/>
  <c r="G34" i="40"/>
  <c r="H34" i="40"/>
  <c r="G35" i="40"/>
  <c r="H35" i="40"/>
  <c r="G36" i="40"/>
  <c r="H36" i="40"/>
  <c r="G37" i="40"/>
  <c r="H37" i="40"/>
  <c r="G38" i="40"/>
  <c r="H38" i="40"/>
  <c r="G39" i="40"/>
  <c r="H39" i="40"/>
  <c r="G40" i="40"/>
  <c r="H40" i="40"/>
  <c r="G41" i="40"/>
  <c r="H41" i="40"/>
  <c r="G42" i="40"/>
  <c r="H42" i="40"/>
  <c r="G43" i="40"/>
  <c r="H43" i="40"/>
  <c r="H44" i="40"/>
  <c r="G45" i="40"/>
  <c r="H45" i="40"/>
  <c r="G46" i="40"/>
  <c r="H46" i="40"/>
  <c r="G50" i="40"/>
  <c r="H50" i="40"/>
  <c r="G51" i="40"/>
  <c r="H51" i="40"/>
  <c r="G52" i="40"/>
  <c r="H52" i="40"/>
  <c r="G53" i="40"/>
  <c r="H53" i="40"/>
  <c r="G54" i="40"/>
  <c r="H54" i="40"/>
  <c r="G55" i="40"/>
  <c r="H55" i="40"/>
  <c r="G56" i="40"/>
  <c r="H56" i="40"/>
  <c r="G57" i="40"/>
  <c r="H57" i="40"/>
  <c r="G58" i="40"/>
  <c r="H58" i="40"/>
  <c r="G59" i="40"/>
  <c r="H59" i="40"/>
  <c r="G60" i="40"/>
  <c r="H60" i="40"/>
  <c r="G61" i="40"/>
  <c r="H61" i="40"/>
  <c r="G62" i="40"/>
  <c r="H62" i="40"/>
  <c r="G63" i="40"/>
  <c r="H63" i="40"/>
  <c r="G64" i="40"/>
  <c r="H64" i="40"/>
  <c r="G65" i="40"/>
  <c r="H65" i="40"/>
  <c r="G66" i="40"/>
  <c r="H66" i="40"/>
  <c r="G67" i="40"/>
  <c r="H67" i="40"/>
  <c r="G68" i="40"/>
  <c r="H68" i="40"/>
  <c r="G69" i="40"/>
  <c r="H69" i="40"/>
  <c r="G72" i="40"/>
  <c r="H72" i="40"/>
  <c r="G73" i="40"/>
  <c r="H73" i="40"/>
  <c r="G74" i="40"/>
  <c r="H74" i="40"/>
  <c r="G75" i="40"/>
  <c r="H75" i="40"/>
  <c r="G76" i="40"/>
  <c r="H76" i="40"/>
  <c r="G77" i="40"/>
  <c r="H77" i="40"/>
  <c r="G78" i="40"/>
  <c r="H78" i="40"/>
  <c r="G79" i="40"/>
  <c r="H79" i="40"/>
  <c r="G80" i="40"/>
  <c r="H80" i="40"/>
  <c r="G81" i="40"/>
  <c r="H81" i="40"/>
  <c r="G82" i="40"/>
  <c r="H82" i="40"/>
  <c r="G83" i="40"/>
  <c r="H83" i="40"/>
  <c r="G84" i="40"/>
  <c r="H84" i="40"/>
  <c r="G85" i="40"/>
  <c r="H85" i="40"/>
  <c r="G86" i="40"/>
  <c r="H86" i="40"/>
  <c r="G87" i="40"/>
  <c r="H87" i="40"/>
  <c r="G88" i="40"/>
  <c r="H88" i="40"/>
  <c r="G89" i="40"/>
  <c r="H89" i="40"/>
  <c r="G90" i="40"/>
  <c r="H90" i="40"/>
  <c r="G91" i="40"/>
  <c r="H91" i="40"/>
  <c r="G92" i="40"/>
  <c r="H92" i="40"/>
  <c r="G96" i="40"/>
  <c r="H96" i="40"/>
  <c r="G97" i="40"/>
  <c r="H97" i="40"/>
  <c r="G98" i="40"/>
  <c r="H98" i="40"/>
  <c r="G99" i="40"/>
  <c r="H99" i="40"/>
  <c r="G100" i="40"/>
  <c r="H100" i="40"/>
  <c r="G101" i="40"/>
  <c r="H101" i="40"/>
  <c r="G102" i="40"/>
  <c r="H102" i="40"/>
  <c r="G103" i="40"/>
  <c r="H103" i="40"/>
  <c r="G104" i="40"/>
  <c r="H104" i="40"/>
  <c r="G105" i="40"/>
  <c r="H105" i="40"/>
  <c r="G106" i="40"/>
  <c r="H106" i="40"/>
  <c r="G107" i="40"/>
  <c r="H107" i="40"/>
  <c r="G108" i="40"/>
  <c r="H108" i="40"/>
  <c r="G109" i="40"/>
  <c r="H109" i="40"/>
  <c r="G110" i="40"/>
  <c r="H110" i="40"/>
  <c r="G111" i="40"/>
  <c r="H111" i="40"/>
  <c r="G114" i="40"/>
  <c r="H114" i="40"/>
  <c r="G117" i="40"/>
  <c r="H117" i="40"/>
  <c r="G118" i="40"/>
  <c r="H118" i="40"/>
  <c r="G119" i="40"/>
  <c r="H119" i="40"/>
  <c r="G120" i="40"/>
  <c r="H120" i="40"/>
  <c r="G121" i="40"/>
  <c r="H121" i="40"/>
  <c r="G122" i="40"/>
  <c r="H122" i="40"/>
  <c r="G128" i="40"/>
  <c r="H128" i="40"/>
  <c r="G129" i="40"/>
  <c r="H129" i="40"/>
  <c r="G130" i="40"/>
  <c r="H130" i="40"/>
  <c r="G131" i="40"/>
  <c r="H131" i="40"/>
  <c r="G132" i="40"/>
  <c r="H132" i="40"/>
  <c r="G133" i="40"/>
  <c r="H133" i="40"/>
  <c r="G134" i="40"/>
  <c r="H134" i="40"/>
  <c r="G135" i="40"/>
  <c r="H135" i="40"/>
  <c r="G136" i="40"/>
  <c r="H136" i="40"/>
  <c r="G137" i="40"/>
  <c r="H137" i="40"/>
  <c r="G138" i="40"/>
  <c r="H138" i="40"/>
  <c r="G139" i="40"/>
  <c r="H139" i="40"/>
  <c r="G140" i="40"/>
  <c r="H140" i="40"/>
  <c r="G141" i="40"/>
  <c r="H141" i="40"/>
  <c r="G142" i="40"/>
  <c r="H142" i="40"/>
  <c r="G143" i="40"/>
  <c r="H143" i="40"/>
  <c r="G144" i="40"/>
  <c r="H144" i="40"/>
  <c r="G145" i="40"/>
  <c r="H145" i="40"/>
  <c r="G146" i="40"/>
  <c r="H146" i="40"/>
  <c r="G147" i="40"/>
  <c r="H147" i="40"/>
  <c r="G148" i="40"/>
  <c r="H148" i="40"/>
  <c r="G149" i="40"/>
  <c r="H149" i="40"/>
  <c r="G150" i="40"/>
  <c r="H150" i="40"/>
  <c r="G151" i="40"/>
  <c r="H151" i="40"/>
  <c r="G152" i="40"/>
  <c r="H152" i="40"/>
  <c r="G153" i="40"/>
  <c r="H153" i="40"/>
  <c r="G154" i="40"/>
  <c r="H154" i="40"/>
  <c r="G155" i="40"/>
  <c r="H155" i="40"/>
  <c r="G156" i="40"/>
  <c r="H156" i="40"/>
  <c r="G157" i="40"/>
  <c r="H157" i="40"/>
  <c r="G158" i="40"/>
  <c r="H158" i="40"/>
  <c r="G159" i="40"/>
  <c r="H159" i="40"/>
  <c r="G160" i="40"/>
  <c r="H160" i="40"/>
  <c r="G161" i="40"/>
  <c r="H161" i="40"/>
  <c r="G162" i="40"/>
  <c r="H162" i="40"/>
  <c r="G163" i="40"/>
  <c r="H163" i="40"/>
  <c r="G164" i="40"/>
  <c r="H164" i="40"/>
  <c r="G165" i="40"/>
  <c r="H165" i="40"/>
  <c r="G166" i="40"/>
  <c r="H166" i="40"/>
  <c r="G167" i="40"/>
  <c r="H167" i="40"/>
  <c r="G168" i="40"/>
  <c r="H168" i="40"/>
  <c r="G169" i="40"/>
  <c r="H169" i="40"/>
  <c r="G170" i="40"/>
  <c r="H170" i="40"/>
  <c r="G171" i="40"/>
  <c r="H171" i="40"/>
  <c r="G172" i="40"/>
  <c r="H172" i="40"/>
  <c r="G173" i="40"/>
  <c r="H173" i="40"/>
  <c r="G174" i="40"/>
  <c r="H174" i="40"/>
  <c r="G175" i="40"/>
  <c r="H175" i="40"/>
  <c r="G176" i="40"/>
  <c r="H176" i="40"/>
  <c r="G177" i="40"/>
  <c r="H177" i="40"/>
  <c r="G178" i="40"/>
  <c r="H178" i="40"/>
  <c r="G179" i="40"/>
  <c r="H179" i="40"/>
  <c r="G180" i="40"/>
  <c r="H180" i="40"/>
  <c r="G181" i="40"/>
  <c r="H181" i="40"/>
  <c r="G182" i="40"/>
  <c r="H182" i="40"/>
  <c r="G183" i="40"/>
  <c r="H183" i="40"/>
  <c r="G184" i="40"/>
  <c r="H184" i="40"/>
  <c r="G185" i="40"/>
  <c r="H185" i="40"/>
  <c r="G186" i="40"/>
  <c r="H186" i="40"/>
  <c r="G187" i="40"/>
  <c r="H187" i="40"/>
  <c r="G188" i="40"/>
  <c r="H188" i="40"/>
  <c r="G189" i="40"/>
  <c r="H189" i="40"/>
  <c r="G190" i="40"/>
  <c r="H190" i="40"/>
  <c r="G191" i="40"/>
  <c r="H191" i="40"/>
  <c r="G192" i="40"/>
  <c r="H192" i="40"/>
  <c r="G193" i="40"/>
  <c r="H193" i="40"/>
  <c r="G194" i="40"/>
  <c r="H194" i="40"/>
  <c r="G195" i="40"/>
  <c r="H195" i="40"/>
  <c r="G196" i="40"/>
  <c r="H196" i="40"/>
  <c r="G197" i="40"/>
  <c r="H197" i="40"/>
  <c r="G198" i="40"/>
  <c r="H198" i="40"/>
  <c r="G199" i="40"/>
  <c r="H199" i="40"/>
  <c r="G200" i="40"/>
  <c r="H200" i="40"/>
  <c r="G201" i="40"/>
  <c r="H201" i="40"/>
  <c r="G202" i="40"/>
  <c r="H202" i="40"/>
  <c r="G203" i="40"/>
  <c r="H203" i="40"/>
  <c r="G204" i="40"/>
  <c r="H204" i="40"/>
  <c r="G205" i="40"/>
  <c r="H205" i="40"/>
  <c r="G206" i="40"/>
  <c r="H206" i="40"/>
  <c r="G207" i="40"/>
  <c r="H207" i="40"/>
  <c r="G208" i="40"/>
  <c r="H208" i="40"/>
  <c r="G209" i="40"/>
  <c r="H209" i="40"/>
  <c r="G210" i="40"/>
  <c r="H210" i="40"/>
  <c r="G211" i="40"/>
  <c r="H211" i="40"/>
  <c r="G212" i="40"/>
  <c r="H212" i="40"/>
  <c r="G213" i="40"/>
  <c r="H213" i="40"/>
  <c r="G214" i="40"/>
  <c r="H214" i="40"/>
  <c r="G215" i="40"/>
  <c r="H215" i="40"/>
  <c r="G216" i="40"/>
  <c r="H216" i="40"/>
  <c r="G217" i="40"/>
  <c r="H217" i="40"/>
  <c r="G218" i="40"/>
  <c r="H218" i="40"/>
  <c r="G219" i="40"/>
  <c r="H219" i="40"/>
  <c r="G220" i="40"/>
  <c r="H220" i="40"/>
  <c r="G221" i="40"/>
  <c r="H221" i="40"/>
  <c r="G222" i="40"/>
  <c r="H222" i="40"/>
  <c r="G223" i="40"/>
  <c r="H223" i="40"/>
  <c r="G224" i="40"/>
  <c r="H224" i="40"/>
  <c r="G225" i="40"/>
  <c r="H225" i="40"/>
  <c r="G226" i="40"/>
  <c r="H226" i="40"/>
  <c r="G227" i="40"/>
  <c r="H227" i="40"/>
  <c r="G228" i="40"/>
  <c r="H228" i="40"/>
  <c r="G229" i="40"/>
  <c r="H229" i="40"/>
  <c r="G230" i="40"/>
  <c r="H230" i="40"/>
  <c r="G231" i="40"/>
  <c r="H231" i="40"/>
  <c r="G232" i="40"/>
  <c r="H232" i="40"/>
  <c r="G233" i="40"/>
  <c r="H233" i="40"/>
  <c r="G234" i="40"/>
  <c r="H234" i="40"/>
  <c r="G235" i="40"/>
  <c r="H235" i="40"/>
  <c r="G236" i="40"/>
  <c r="H236" i="40"/>
  <c r="G237" i="40"/>
  <c r="H237" i="40"/>
  <c r="G238" i="40"/>
  <c r="H238" i="40"/>
  <c r="G239" i="40"/>
  <c r="H239" i="40"/>
  <c r="G240" i="40"/>
  <c r="H240" i="40"/>
  <c r="G241" i="40"/>
  <c r="H241" i="40"/>
  <c r="G242" i="40"/>
  <c r="H242" i="40"/>
  <c r="G243" i="40"/>
  <c r="H243" i="40"/>
  <c r="G244" i="40"/>
  <c r="H244" i="40"/>
  <c r="G245" i="40"/>
  <c r="H245" i="40"/>
  <c r="G246" i="40"/>
  <c r="H246" i="40"/>
  <c r="G247" i="40"/>
  <c r="H247" i="40"/>
  <c r="G248" i="40"/>
  <c r="H248" i="40"/>
  <c r="G249" i="40"/>
  <c r="H249" i="40"/>
  <c r="G250" i="40"/>
  <c r="H250" i="40"/>
  <c r="G251" i="40"/>
  <c r="H251" i="40"/>
  <c r="G252" i="40"/>
  <c r="H252" i="40"/>
  <c r="G253" i="40"/>
  <c r="H253" i="40"/>
  <c r="G254" i="40"/>
  <c r="H254" i="40"/>
  <c r="G255" i="40"/>
  <c r="H255" i="40"/>
  <c r="G256" i="40"/>
  <c r="H256" i="40"/>
  <c r="G257" i="40"/>
  <c r="H257" i="40"/>
  <c r="G8" i="40"/>
  <c r="H8" i="40"/>
  <c r="G9" i="40"/>
  <c r="H9" i="40"/>
  <c r="G10" i="40"/>
  <c r="H10" i="40"/>
  <c r="G11" i="40"/>
  <c r="H11" i="40"/>
  <c r="G12" i="40"/>
  <c r="H12" i="40"/>
  <c r="G13" i="40"/>
  <c r="H13" i="40"/>
  <c r="G14" i="40"/>
  <c r="H14" i="40"/>
  <c r="G15" i="40"/>
  <c r="H15" i="40"/>
  <c r="G16" i="40"/>
  <c r="H16" i="40"/>
  <c r="G17" i="40"/>
  <c r="H17" i="40"/>
  <c r="G18" i="40"/>
  <c r="H18" i="40"/>
  <c r="G19" i="40"/>
  <c r="H19" i="40"/>
  <c r="G20" i="40"/>
  <c r="H20" i="40"/>
  <c r="G21" i="40"/>
  <c r="H21" i="40"/>
  <c r="G22" i="40"/>
  <c r="H22" i="40"/>
  <c r="G23" i="40"/>
  <c r="H23" i="40"/>
  <c r="G24" i="40"/>
  <c r="H24" i="40"/>
  <c r="G7" i="40"/>
  <c r="H7" i="40"/>
  <c r="G36" i="39"/>
  <c r="H36" i="39"/>
  <c r="G37" i="39"/>
  <c r="H37" i="39"/>
  <c r="G38" i="39"/>
  <c r="H38" i="39"/>
  <c r="G39" i="39"/>
  <c r="H39" i="39"/>
  <c r="G40" i="39"/>
  <c r="H40" i="39"/>
  <c r="H35" i="39"/>
  <c r="G35" i="39"/>
  <c r="G7" i="39"/>
  <c r="G9" i="39"/>
  <c r="H9" i="39"/>
  <c r="G10" i="39"/>
  <c r="H10" i="39"/>
  <c r="G12" i="39"/>
  <c r="H12" i="39"/>
  <c r="G13" i="39"/>
  <c r="H13" i="39"/>
  <c r="G15" i="39"/>
  <c r="H15" i="39"/>
  <c r="G17" i="39"/>
  <c r="H17" i="39"/>
  <c r="G18" i="39"/>
  <c r="H18" i="39"/>
  <c r="G20" i="39"/>
  <c r="H20" i="39"/>
  <c r="G21" i="39"/>
  <c r="H21" i="39"/>
  <c r="G23" i="39"/>
  <c r="H23" i="39"/>
  <c r="G24" i="39"/>
  <c r="H24" i="39"/>
  <c r="G26" i="39"/>
  <c r="H26" i="39"/>
  <c r="G27" i="39"/>
  <c r="H27" i="39"/>
  <c r="G29" i="39"/>
  <c r="H29" i="39"/>
  <c r="G31" i="39"/>
  <c r="H31" i="39"/>
  <c r="H7" i="39"/>
  <c r="G67" i="38"/>
  <c r="H67" i="38"/>
  <c r="G68" i="38"/>
  <c r="H68" i="38"/>
  <c r="G69" i="38"/>
  <c r="H69" i="38"/>
  <c r="G70" i="38"/>
  <c r="H70" i="38"/>
  <c r="G71" i="38"/>
  <c r="H71" i="38"/>
  <c r="G72" i="38"/>
  <c r="H72" i="38"/>
  <c r="G73" i="38"/>
  <c r="H73" i="38"/>
  <c r="G74" i="38"/>
  <c r="H74" i="38"/>
  <c r="G75" i="38"/>
  <c r="H75" i="38"/>
  <c r="G76" i="38"/>
  <c r="H76" i="38"/>
  <c r="G77" i="38"/>
  <c r="H77" i="38"/>
  <c r="G78" i="38"/>
  <c r="H78" i="38"/>
  <c r="G79" i="38"/>
  <c r="H79" i="38"/>
  <c r="G80" i="38"/>
  <c r="H80" i="38"/>
  <c r="G81" i="38"/>
  <c r="H81" i="38"/>
  <c r="G82" i="38"/>
  <c r="H82" i="38"/>
  <c r="G83" i="38"/>
  <c r="H83" i="38"/>
  <c r="G84" i="38"/>
  <c r="H84" i="38"/>
  <c r="G85" i="38"/>
  <c r="H85" i="38"/>
  <c r="H66" i="38"/>
  <c r="G66" i="38"/>
  <c r="G9" i="38"/>
  <c r="H9" i="38"/>
  <c r="G10" i="38"/>
  <c r="H10" i="38"/>
  <c r="G11" i="38"/>
  <c r="H11" i="38"/>
  <c r="G13" i="38"/>
  <c r="H13" i="38"/>
  <c r="G14" i="38"/>
  <c r="H14" i="38"/>
  <c r="G15" i="38"/>
  <c r="H15" i="38"/>
  <c r="G16" i="38"/>
  <c r="H16" i="38"/>
  <c r="G18" i="38"/>
  <c r="H18" i="38"/>
  <c r="G19" i="38"/>
  <c r="H19" i="38"/>
  <c r="G20" i="38"/>
  <c r="H20" i="38"/>
  <c r="G21" i="38"/>
  <c r="H21" i="38"/>
  <c r="G23" i="38"/>
  <c r="H23" i="38"/>
  <c r="G24" i="38"/>
  <c r="H24" i="38"/>
  <c r="G25" i="38"/>
  <c r="H25" i="38"/>
  <c r="G26" i="38"/>
  <c r="H26" i="38"/>
  <c r="G27" i="38"/>
  <c r="H27" i="38"/>
  <c r="G28" i="38"/>
  <c r="H28" i="38"/>
  <c r="G29" i="38"/>
  <c r="H29" i="38"/>
  <c r="G30" i="38"/>
  <c r="H30" i="38"/>
  <c r="G31" i="38"/>
  <c r="H31" i="38"/>
  <c r="G32" i="38"/>
  <c r="H32" i="38"/>
  <c r="G33" i="38"/>
  <c r="H33" i="38"/>
  <c r="G34" i="38"/>
  <c r="H34" i="38"/>
  <c r="G36" i="38"/>
  <c r="H36" i="38"/>
  <c r="G37" i="38"/>
  <c r="H37" i="38"/>
  <c r="G38" i="38"/>
  <c r="H38" i="38"/>
  <c r="G40" i="38"/>
  <c r="H40" i="38"/>
  <c r="G41" i="38"/>
  <c r="H41" i="38"/>
  <c r="G43" i="38"/>
  <c r="H43" i="38"/>
  <c r="H44" i="38"/>
  <c r="G45" i="38"/>
  <c r="H45" i="38"/>
  <c r="G47" i="38"/>
  <c r="H47" i="38"/>
  <c r="G48" i="38"/>
  <c r="H48" i="38"/>
  <c r="G49" i="38"/>
  <c r="H49" i="38"/>
  <c r="G51" i="38"/>
  <c r="H51" i="38"/>
  <c r="G52" i="38"/>
  <c r="H52" i="38"/>
  <c r="G54" i="38"/>
  <c r="H54" i="38"/>
  <c r="G55" i="38"/>
  <c r="H55" i="38"/>
  <c r="G56" i="38"/>
  <c r="H56" i="38"/>
  <c r="G58" i="38"/>
  <c r="H58" i="38"/>
  <c r="G59" i="38"/>
  <c r="H59" i="38"/>
  <c r="G60" i="38"/>
  <c r="H60" i="38"/>
  <c r="G62" i="38"/>
  <c r="H62" i="38"/>
  <c r="H7" i="38"/>
  <c r="G7" i="38"/>
  <c r="H20" i="47"/>
  <c r="G20" i="47"/>
  <c r="G9" i="47"/>
  <c r="H9" i="47"/>
  <c r="G11" i="47"/>
  <c r="H11" i="47"/>
  <c r="G12" i="47"/>
  <c r="H12" i="47"/>
  <c r="G13" i="47"/>
  <c r="H13" i="47"/>
  <c r="G15" i="47"/>
  <c r="H15" i="47"/>
  <c r="G16" i="47"/>
  <c r="H16" i="47"/>
  <c r="H7" i="47"/>
  <c r="G7" i="47"/>
  <c r="H38" i="37"/>
  <c r="G38" i="37"/>
  <c r="G8" i="37"/>
  <c r="H8" i="37"/>
  <c r="G10" i="37"/>
  <c r="H10" i="37"/>
  <c r="G11" i="37"/>
  <c r="H11" i="37"/>
  <c r="G12" i="37"/>
  <c r="H12" i="37"/>
  <c r="G14" i="37"/>
  <c r="H14" i="37"/>
  <c r="G15" i="37"/>
  <c r="H15" i="37"/>
  <c r="G16" i="37"/>
  <c r="H16" i="37"/>
  <c r="G17" i="37"/>
  <c r="H17" i="37"/>
  <c r="G18" i="37"/>
  <c r="H18" i="37"/>
  <c r="G19" i="37"/>
  <c r="H19" i="37"/>
  <c r="G20" i="37"/>
  <c r="H20" i="37"/>
  <c r="G21" i="37"/>
  <c r="H21" i="37"/>
  <c r="G22" i="37"/>
  <c r="H22" i="37"/>
  <c r="G24" i="37"/>
  <c r="H24" i="37"/>
  <c r="G25" i="37"/>
  <c r="H25" i="37"/>
  <c r="G26" i="37"/>
  <c r="H26" i="37"/>
  <c r="G27" i="37"/>
  <c r="H27" i="37"/>
  <c r="G28" i="37"/>
  <c r="H28" i="37"/>
  <c r="G29" i="37"/>
  <c r="H29" i="37"/>
  <c r="G30" i="37"/>
  <c r="H30" i="37"/>
  <c r="G31" i="37"/>
  <c r="H31" i="37"/>
  <c r="G32" i="37"/>
  <c r="H32" i="37"/>
  <c r="G34" i="37"/>
  <c r="H34" i="37"/>
  <c r="G39" i="37"/>
  <c r="H39" i="37"/>
  <c r="G40" i="37"/>
  <c r="H40" i="37"/>
  <c r="G41" i="37"/>
  <c r="H41" i="37"/>
  <c r="G42" i="37"/>
  <c r="H42" i="37"/>
  <c r="G43" i="37"/>
  <c r="H43" i="37"/>
  <c r="H44" i="37"/>
  <c r="G45" i="37"/>
  <c r="H45" i="37"/>
  <c r="G46" i="37"/>
  <c r="H46" i="37"/>
  <c r="G47" i="37"/>
  <c r="H47" i="37"/>
  <c r="G48" i="37"/>
  <c r="H48" i="37"/>
  <c r="G49" i="37"/>
  <c r="H49" i="37"/>
  <c r="G50" i="37"/>
  <c r="H50" i="37"/>
  <c r="G51" i="37"/>
  <c r="H51" i="37"/>
  <c r="H7" i="37"/>
  <c r="G7" i="37"/>
  <c r="G63" i="63"/>
  <c r="H63" i="63"/>
  <c r="G64" i="63"/>
  <c r="H64" i="63"/>
  <c r="G65" i="63"/>
  <c r="H65" i="63"/>
  <c r="G66" i="63"/>
  <c r="H66" i="63"/>
  <c r="G67" i="63"/>
  <c r="H67" i="63"/>
  <c r="G68" i="63"/>
  <c r="H68" i="63"/>
  <c r="G69" i="63"/>
  <c r="H69" i="63"/>
  <c r="G70" i="63"/>
  <c r="H70" i="63"/>
  <c r="G71" i="63"/>
  <c r="H71" i="63"/>
  <c r="G72" i="63"/>
  <c r="H72" i="63"/>
  <c r="G73" i="63"/>
  <c r="H73" i="63"/>
  <c r="G74" i="63"/>
  <c r="H74" i="63"/>
  <c r="G75" i="63"/>
  <c r="H75" i="63"/>
  <c r="G76" i="63"/>
  <c r="H76" i="63"/>
  <c r="G77" i="63"/>
  <c r="H77" i="63"/>
  <c r="G78" i="63"/>
  <c r="H78" i="63"/>
  <c r="G79" i="63"/>
  <c r="H79" i="63"/>
  <c r="G80" i="63"/>
  <c r="H80" i="63"/>
  <c r="G81" i="63"/>
  <c r="H81" i="63"/>
  <c r="G82" i="63"/>
  <c r="H82" i="63"/>
  <c r="G83" i="63"/>
  <c r="H83" i="63"/>
  <c r="G84" i="63"/>
  <c r="H84" i="63"/>
  <c r="G85" i="63"/>
  <c r="H85" i="63"/>
  <c r="G86" i="63"/>
  <c r="H86" i="63"/>
  <c r="G87" i="63"/>
  <c r="H87" i="63"/>
  <c r="G88" i="63"/>
  <c r="H88" i="63"/>
  <c r="G89" i="63"/>
  <c r="H89" i="63"/>
  <c r="G90" i="63"/>
  <c r="H90" i="63"/>
  <c r="G91" i="63"/>
  <c r="H91" i="63"/>
  <c r="G92" i="63"/>
  <c r="H92" i="63"/>
  <c r="G93" i="63"/>
  <c r="H93" i="63"/>
  <c r="G94" i="63"/>
  <c r="H94" i="63"/>
  <c r="G95" i="63"/>
  <c r="H95" i="63"/>
  <c r="G96" i="63"/>
  <c r="H96" i="63"/>
  <c r="G97" i="63"/>
  <c r="H97" i="63"/>
  <c r="G98" i="63"/>
  <c r="H98" i="63"/>
  <c r="G99" i="63"/>
  <c r="H99" i="63"/>
  <c r="G100" i="63"/>
  <c r="H100" i="63"/>
  <c r="G101" i="63"/>
  <c r="H101" i="63"/>
  <c r="G102" i="63"/>
  <c r="H102" i="63"/>
  <c r="G103" i="63"/>
  <c r="H103" i="63"/>
  <c r="H62" i="63"/>
  <c r="G62" i="63"/>
  <c r="H58" i="63"/>
  <c r="H8" i="63"/>
  <c r="H9" i="63"/>
  <c r="H11" i="63"/>
  <c r="H12" i="63"/>
  <c r="H13" i="63"/>
  <c r="H15" i="63"/>
  <c r="H16" i="63"/>
  <c r="H17" i="63"/>
  <c r="H18" i="63"/>
  <c r="H19" i="63"/>
  <c r="H20" i="63"/>
  <c r="H21" i="63"/>
  <c r="H23" i="63"/>
  <c r="H24" i="63"/>
  <c r="H25" i="63"/>
  <c r="H26" i="63"/>
  <c r="H27" i="63"/>
  <c r="H28" i="63"/>
  <c r="H29" i="63"/>
  <c r="H30" i="63"/>
  <c r="H31" i="63"/>
  <c r="H32" i="63"/>
  <c r="H33" i="63"/>
  <c r="H34" i="63"/>
  <c r="H35" i="63"/>
  <c r="H36" i="63"/>
  <c r="H37" i="63"/>
  <c r="H38" i="63"/>
  <c r="H39" i="63"/>
  <c r="H40" i="63"/>
  <c r="H41" i="63"/>
  <c r="H42" i="63"/>
  <c r="H43" i="63"/>
  <c r="H44" i="63"/>
  <c r="H45" i="63"/>
  <c r="H46" i="63"/>
  <c r="H48" i="63"/>
  <c r="H49" i="63"/>
  <c r="H50" i="63"/>
  <c r="H51" i="63"/>
  <c r="H52" i="63"/>
  <c r="H53" i="63"/>
  <c r="H54" i="63"/>
  <c r="H55" i="63"/>
  <c r="H56" i="63"/>
  <c r="H57" i="63"/>
  <c r="H7" i="63"/>
  <c r="G8" i="63"/>
  <c r="G9" i="63"/>
  <c r="G11" i="63"/>
  <c r="G12" i="63"/>
  <c r="G13" i="63"/>
  <c r="G15" i="63"/>
  <c r="G16" i="63"/>
  <c r="G17" i="63"/>
  <c r="G18" i="63"/>
  <c r="G19" i="63"/>
  <c r="G20" i="63"/>
  <c r="G21" i="63"/>
  <c r="G23" i="63"/>
  <c r="G24" i="63"/>
  <c r="G25" i="63"/>
  <c r="G26" i="63"/>
  <c r="G27" i="63"/>
  <c r="G28" i="63"/>
  <c r="G29" i="63"/>
  <c r="G30" i="63"/>
  <c r="G31" i="63"/>
  <c r="G32" i="63"/>
  <c r="G33" i="63"/>
  <c r="G34" i="63"/>
  <c r="G35" i="63"/>
  <c r="G36" i="63"/>
  <c r="G37" i="63"/>
  <c r="G38" i="63"/>
  <c r="G39" i="63"/>
  <c r="G40" i="63"/>
  <c r="G41" i="63"/>
  <c r="G42" i="63"/>
  <c r="G43" i="63"/>
  <c r="G45" i="63"/>
  <c r="G46" i="63"/>
  <c r="G48" i="63"/>
  <c r="G49" i="63"/>
  <c r="G50" i="63"/>
  <c r="G51" i="63"/>
  <c r="G52" i="63"/>
  <c r="G53" i="63"/>
  <c r="G54" i="63"/>
  <c r="G55" i="63"/>
  <c r="G56" i="63"/>
  <c r="G57" i="63"/>
  <c r="G58" i="63"/>
  <c r="G7" i="63"/>
  <c r="F34" i="55" l="1"/>
  <c r="F33" i="55"/>
  <c r="F41" i="55"/>
  <c r="F42" i="55"/>
  <c r="F43" i="55"/>
  <c r="F44" i="55"/>
  <c r="F45" i="55"/>
  <c r="F46" i="55"/>
  <c r="F47" i="55"/>
  <c r="F48" i="55"/>
  <c r="F49" i="55"/>
  <c r="F50" i="55"/>
  <c r="F51" i="55"/>
  <c r="F52" i="55"/>
  <c r="F53" i="55"/>
  <c r="F54" i="55"/>
  <c r="F55" i="55"/>
  <c r="F56" i="55"/>
  <c r="F57" i="55"/>
  <c r="F58" i="55"/>
  <c r="F59" i="55"/>
  <c r="F60" i="55"/>
  <c r="F61" i="55"/>
  <c r="F40" i="55"/>
  <c r="F23" i="55"/>
  <c r="F24" i="55"/>
  <c r="F25" i="55"/>
  <c r="F26" i="55"/>
  <c r="F27" i="55"/>
  <c r="F28" i="55"/>
  <c r="F29" i="55"/>
  <c r="F30" i="55"/>
  <c r="F31" i="55"/>
  <c r="F32" i="55"/>
  <c r="F35" i="55"/>
  <c r="F36" i="55"/>
  <c r="F22" i="55"/>
  <c r="F16" i="55"/>
  <c r="F17" i="55"/>
  <c r="F18" i="55"/>
  <c r="F19" i="55"/>
  <c r="F20" i="55"/>
  <c r="F15" i="55"/>
  <c r="F11" i="55"/>
  <c r="F12" i="55"/>
  <c r="F13" i="55"/>
  <c r="F9" i="55"/>
  <c r="F8" i="55"/>
  <c r="F25" i="45"/>
  <c r="F26" i="45"/>
  <c r="F27" i="45"/>
  <c r="F28" i="45"/>
  <c r="F29" i="45"/>
  <c r="F30" i="45"/>
  <c r="F31" i="45"/>
  <c r="F32" i="45"/>
  <c r="F33" i="45"/>
  <c r="F34" i="45"/>
  <c r="F35" i="45"/>
  <c r="F36" i="45"/>
  <c r="F37" i="45"/>
  <c r="F38" i="45"/>
  <c r="F39" i="45"/>
  <c r="F40" i="45"/>
  <c r="F41" i="45"/>
  <c r="F42" i="45"/>
  <c r="F43" i="45"/>
  <c r="F24" i="45"/>
  <c r="F22" i="45"/>
  <c r="F21" i="45"/>
  <c r="F20" i="45"/>
  <c r="F19" i="45"/>
  <c r="F18" i="45"/>
  <c r="F17" i="45"/>
  <c r="F15" i="45"/>
  <c r="F13" i="45"/>
  <c r="F9" i="45"/>
  <c r="F11" i="45"/>
  <c r="F7" i="45"/>
  <c r="F22" i="44"/>
  <c r="F42" i="44"/>
  <c r="F43" i="44"/>
  <c r="F44" i="44"/>
  <c r="F45" i="44"/>
  <c r="F46" i="44"/>
  <c r="F47" i="44"/>
  <c r="F48" i="44"/>
  <c r="F49" i="44"/>
  <c r="F50" i="44"/>
  <c r="F51" i="44"/>
  <c r="F52" i="44"/>
  <c r="F53" i="44"/>
  <c r="F54" i="44"/>
  <c r="F55" i="44"/>
  <c r="F56" i="44"/>
  <c r="F41" i="44"/>
  <c r="F35" i="44"/>
  <c r="F36" i="44"/>
  <c r="F37" i="44"/>
  <c r="F34" i="44"/>
  <c r="F29" i="44"/>
  <c r="F30" i="44"/>
  <c r="F31" i="44"/>
  <c r="F32" i="44"/>
  <c r="F28" i="44"/>
  <c r="F19" i="44"/>
  <c r="F20" i="44"/>
  <c r="F21" i="44"/>
  <c r="F23" i="44"/>
  <c r="F24" i="44"/>
  <c r="F25" i="44"/>
  <c r="F26" i="44"/>
  <c r="F18" i="44"/>
  <c r="F16" i="44"/>
  <c r="F14" i="44"/>
  <c r="F13" i="44"/>
  <c r="F11" i="44"/>
  <c r="F9" i="44"/>
  <c r="F7" i="44"/>
  <c r="F37" i="55" l="1"/>
  <c r="C42" i="42" s="1"/>
  <c r="F44" i="45"/>
  <c r="C32" i="42" s="1"/>
  <c r="F62" i="55"/>
  <c r="C43" i="42" s="1"/>
  <c r="F57" i="44"/>
  <c r="C30" i="42" s="1"/>
  <c r="F38" i="44"/>
  <c r="C29" i="42" s="1"/>
  <c r="F257" i="40"/>
  <c r="F129" i="40"/>
  <c r="F130" i="40"/>
  <c r="F131" i="40"/>
  <c r="F132" i="40"/>
  <c r="F133" i="40"/>
  <c r="F134" i="40"/>
  <c r="F135" i="40"/>
  <c r="F136" i="40"/>
  <c r="F137" i="40"/>
  <c r="F138" i="40"/>
  <c r="F139" i="40"/>
  <c r="F140" i="40"/>
  <c r="F141" i="40"/>
  <c r="F142" i="40"/>
  <c r="F143" i="40"/>
  <c r="F144" i="40"/>
  <c r="F145" i="40"/>
  <c r="F146" i="40"/>
  <c r="F147" i="40"/>
  <c r="F148" i="40"/>
  <c r="F149" i="40"/>
  <c r="F150" i="40"/>
  <c r="F151" i="40"/>
  <c r="F152" i="40"/>
  <c r="F153" i="40"/>
  <c r="F154" i="40"/>
  <c r="F155" i="40"/>
  <c r="F156" i="40"/>
  <c r="F157" i="40"/>
  <c r="F158" i="40"/>
  <c r="F159" i="40"/>
  <c r="F160" i="40"/>
  <c r="F161" i="40"/>
  <c r="F162" i="40"/>
  <c r="F163" i="40"/>
  <c r="F164" i="40"/>
  <c r="F165" i="40"/>
  <c r="F166" i="40"/>
  <c r="F167" i="40"/>
  <c r="F168" i="40"/>
  <c r="F169" i="40"/>
  <c r="F170" i="40"/>
  <c r="F171" i="40"/>
  <c r="F172" i="40"/>
  <c r="F173" i="40"/>
  <c r="F174" i="40"/>
  <c r="F175" i="40"/>
  <c r="F176" i="40"/>
  <c r="F177" i="40"/>
  <c r="F178" i="40"/>
  <c r="F179" i="40"/>
  <c r="F180" i="40"/>
  <c r="F181" i="40"/>
  <c r="F182" i="40"/>
  <c r="F183" i="40"/>
  <c r="F184" i="40"/>
  <c r="F185" i="40"/>
  <c r="F186" i="40"/>
  <c r="F187" i="40"/>
  <c r="F188" i="40"/>
  <c r="F189" i="40"/>
  <c r="F190" i="40"/>
  <c r="F191" i="40"/>
  <c r="F192" i="40"/>
  <c r="F193" i="40"/>
  <c r="F194" i="40"/>
  <c r="F195" i="40"/>
  <c r="F196" i="40"/>
  <c r="F197" i="40"/>
  <c r="F198" i="40"/>
  <c r="F199" i="40"/>
  <c r="F200" i="40"/>
  <c r="F201" i="40"/>
  <c r="F202" i="40"/>
  <c r="F203" i="40"/>
  <c r="F204" i="40"/>
  <c r="F205" i="40"/>
  <c r="F206" i="40"/>
  <c r="F207" i="40"/>
  <c r="F208" i="40"/>
  <c r="F209" i="40"/>
  <c r="F210" i="40"/>
  <c r="F211" i="40"/>
  <c r="F212" i="40"/>
  <c r="F213" i="40"/>
  <c r="F214" i="40"/>
  <c r="F215" i="40"/>
  <c r="F216" i="40"/>
  <c r="F217" i="40"/>
  <c r="F218" i="40"/>
  <c r="F219" i="40"/>
  <c r="F220" i="40"/>
  <c r="F221" i="40"/>
  <c r="F222" i="40"/>
  <c r="F223" i="40"/>
  <c r="F224" i="40"/>
  <c r="F225" i="40"/>
  <c r="F226" i="40"/>
  <c r="F227" i="40"/>
  <c r="F228" i="40"/>
  <c r="F229" i="40"/>
  <c r="F230" i="40"/>
  <c r="F231" i="40"/>
  <c r="F232" i="40"/>
  <c r="F233" i="40"/>
  <c r="F234" i="40"/>
  <c r="F235" i="40"/>
  <c r="F236" i="40"/>
  <c r="F237" i="40"/>
  <c r="F238" i="40"/>
  <c r="F239" i="40"/>
  <c r="F240" i="40"/>
  <c r="F241" i="40"/>
  <c r="F242" i="40"/>
  <c r="F243" i="40"/>
  <c r="F244" i="40"/>
  <c r="F245" i="40"/>
  <c r="F246" i="40"/>
  <c r="F247" i="40"/>
  <c r="F248" i="40"/>
  <c r="F249" i="40"/>
  <c r="F250" i="40"/>
  <c r="F251" i="40"/>
  <c r="F252" i="40"/>
  <c r="F253" i="40"/>
  <c r="F254" i="40"/>
  <c r="F255" i="40"/>
  <c r="F256" i="40"/>
  <c r="F128" i="40"/>
  <c r="F258" i="40" l="1"/>
  <c r="C27" i="42" s="1"/>
  <c r="F118" i="40"/>
  <c r="F119" i="40"/>
  <c r="F120" i="40"/>
  <c r="F121" i="40"/>
  <c r="F122" i="40"/>
  <c r="F117" i="40"/>
  <c r="F114" i="40"/>
  <c r="F97" i="40"/>
  <c r="F98" i="40"/>
  <c r="F99" i="40"/>
  <c r="F100" i="40"/>
  <c r="F101" i="40"/>
  <c r="F102" i="40"/>
  <c r="F103" i="40"/>
  <c r="F104" i="40"/>
  <c r="F105" i="40"/>
  <c r="F106" i="40"/>
  <c r="F107" i="40"/>
  <c r="F108" i="40"/>
  <c r="F109" i="40"/>
  <c r="F110" i="40"/>
  <c r="F111" i="40"/>
  <c r="F96" i="40"/>
  <c r="F73" i="40"/>
  <c r="F74" i="40"/>
  <c r="F75" i="40"/>
  <c r="F76" i="40"/>
  <c r="F77" i="40"/>
  <c r="F78" i="40"/>
  <c r="F79" i="40"/>
  <c r="F80" i="40"/>
  <c r="F81" i="40"/>
  <c r="F82" i="40"/>
  <c r="F83" i="40"/>
  <c r="F84" i="40"/>
  <c r="F85" i="40"/>
  <c r="F86" i="40"/>
  <c r="F87" i="40"/>
  <c r="F88" i="40"/>
  <c r="F89" i="40"/>
  <c r="F90" i="40"/>
  <c r="F91" i="40"/>
  <c r="F92" i="40"/>
  <c r="F72" i="40"/>
  <c r="F51" i="40"/>
  <c r="F52" i="40"/>
  <c r="F53" i="40"/>
  <c r="F54" i="40"/>
  <c r="F55" i="40"/>
  <c r="F56" i="40"/>
  <c r="F57" i="40"/>
  <c r="F58" i="40"/>
  <c r="F59" i="40"/>
  <c r="F60" i="40"/>
  <c r="F61" i="40"/>
  <c r="F62" i="40"/>
  <c r="F63" i="40"/>
  <c r="F64" i="40"/>
  <c r="F65" i="40"/>
  <c r="F66" i="40"/>
  <c r="F67" i="40"/>
  <c r="F68" i="40"/>
  <c r="F69" i="40"/>
  <c r="F50" i="40"/>
  <c r="F27" i="40"/>
  <c r="F28" i="40"/>
  <c r="F29" i="40"/>
  <c r="F30" i="40"/>
  <c r="F31" i="40"/>
  <c r="F32" i="40"/>
  <c r="F33" i="40"/>
  <c r="F34" i="40"/>
  <c r="F35" i="40"/>
  <c r="F36" i="40"/>
  <c r="F37" i="40"/>
  <c r="F38" i="40"/>
  <c r="F39" i="40"/>
  <c r="F40" i="40"/>
  <c r="F41" i="40"/>
  <c r="F42" i="40"/>
  <c r="F43" i="40"/>
  <c r="F44" i="40"/>
  <c r="F45" i="40"/>
  <c r="F46" i="40"/>
  <c r="F8" i="40"/>
  <c r="F9" i="40"/>
  <c r="F10" i="40"/>
  <c r="F11" i="40"/>
  <c r="F12" i="40"/>
  <c r="F13" i="40"/>
  <c r="F14" i="40"/>
  <c r="F15" i="40"/>
  <c r="F16" i="40"/>
  <c r="F17" i="40"/>
  <c r="F18" i="40"/>
  <c r="F19" i="40"/>
  <c r="F20" i="40"/>
  <c r="F21" i="40"/>
  <c r="F22" i="40"/>
  <c r="F23" i="40"/>
  <c r="F24" i="40"/>
  <c r="F7" i="40"/>
  <c r="F49" i="49"/>
  <c r="F50" i="49"/>
  <c r="F51" i="49"/>
  <c r="F52" i="49"/>
  <c r="F53" i="49"/>
  <c r="F54" i="49"/>
  <c r="F55" i="49"/>
  <c r="F56" i="49"/>
  <c r="F57" i="49"/>
  <c r="F58" i="49"/>
  <c r="F59" i="49"/>
  <c r="F60" i="49"/>
  <c r="F48" i="49"/>
  <c r="F42" i="49"/>
  <c r="F43" i="49"/>
  <c r="F44" i="49"/>
  <c r="F45" i="49"/>
  <c r="F46" i="49"/>
  <c r="F41" i="49"/>
  <c r="F33" i="49"/>
  <c r="F34" i="49"/>
  <c r="F35" i="49"/>
  <c r="F32" i="49"/>
  <c r="F36" i="49" s="1"/>
  <c r="F21" i="49"/>
  <c r="F22" i="49"/>
  <c r="F23" i="49"/>
  <c r="F24" i="49"/>
  <c r="F25" i="49"/>
  <c r="F26" i="49"/>
  <c r="F27" i="49"/>
  <c r="F28" i="49"/>
  <c r="F20" i="49"/>
  <c r="F8" i="49"/>
  <c r="F9" i="49"/>
  <c r="F10" i="49"/>
  <c r="F11" i="49"/>
  <c r="F12" i="49"/>
  <c r="F13" i="49"/>
  <c r="F14" i="49"/>
  <c r="F15" i="49"/>
  <c r="F16" i="49"/>
  <c r="F17" i="49"/>
  <c r="F18" i="49"/>
  <c r="F7" i="49"/>
  <c r="F36" i="46"/>
  <c r="F37" i="46"/>
  <c r="F38" i="46"/>
  <c r="F39" i="46"/>
  <c r="F40" i="46"/>
  <c r="F41" i="46"/>
  <c r="F42" i="46"/>
  <c r="F43" i="46"/>
  <c r="F44" i="46"/>
  <c r="F45" i="46"/>
  <c r="F46" i="46"/>
  <c r="F47" i="46"/>
  <c r="F48" i="46"/>
  <c r="F49" i="46"/>
  <c r="F50" i="46"/>
  <c r="F51" i="46"/>
  <c r="F52" i="46"/>
  <c r="F53" i="46"/>
  <c r="F35" i="46"/>
  <c r="F31" i="46"/>
  <c r="F30" i="46"/>
  <c r="F29" i="46"/>
  <c r="F28" i="46"/>
  <c r="F27" i="46"/>
  <c r="F26" i="46"/>
  <c r="F25" i="46"/>
  <c r="F23" i="46"/>
  <c r="F22" i="46"/>
  <c r="F20" i="46"/>
  <c r="F19" i="46"/>
  <c r="F9" i="46"/>
  <c r="F10" i="46"/>
  <c r="F11" i="46"/>
  <c r="F12" i="46"/>
  <c r="F13" i="46"/>
  <c r="F14" i="46"/>
  <c r="F15" i="46"/>
  <c r="F16" i="46"/>
  <c r="F17" i="46"/>
  <c r="F8" i="46"/>
  <c r="F40" i="39"/>
  <c r="F39" i="39"/>
  <c r="F38" i="39"/>
  <c r="F37" i="39"/>
  <c r="F36" i="39"/>
  <c r="F35" i="39"/>
  <c r="F31" i="39"/>
  <c r="F29" i="39"/>
  <c r="F27" i="39"/>
  <c r="F26" i="39"/>
  <c r="F24" i="39"/>
  <c r="F23" i="39"/>
  <c r="F21" i="39"/>
  <c r="F20" i="39"/>
  <c r="F18" i="39"/>
  <c r="F17" i="39"/>
  <c r="F15" i="39"/>
  <c r="F13" i="39"/>
  <c r="F12" i="39"/>
  <c r="F10" i="39"/>
  <c r="F9" i="39"/>
  <c r="F7" i="39"/>
  <c r="F20" i="47"/>
  <c r="F21" i="47" s="1"/>
  <c r="C21" i="42" s="1"/>
  <c r="F16" i="47"/>
  <c r="F15" i="47"/>
  <c r="F13" i="47"/>
  <c r="F12" i="47"/>
  <c r="F17" i="47" s="1"/>
  <c r="C20" i="42" s="1"/>
  <c r="F11" i="47"/>
  <c r="F9" i="47"/>
  <c r="F7" i="47"/>
  <c r="F29" i="38"/>
  <c r="F66" i="38"/>
  <c r="F85" i="38"/>
  <c r="F84" i="38"/>
  <c r="F83" i="38"/>
  <c r="F82" i="38"/>
  <c r="F81" i="38"/>
  <c r="F80" i="38"/>
  <c r="F79" i="38"/>
  <c r="F78" i="38"/>
  <c r="F77" i="38"/>
  <c r="F76" i="38"/>
  <c r="F75" i="38"/>
  <c r="F74" i="38"/>
  <c r="F73" i="38"/>
  <c r="F72" i="38"/>
  <c r="F71" i="38"/>
  <c r="F70" i="38"/>
  <c r="F69" i="38"/>
  <c r="F68" i="38"/>
  <c r="F67" i="38"/>
  <c r="F62" i="38"/>
  <c r="F60" i="38"/>
  <c r="F59" i="38"/>
  <c r="F58" i="38"/>
  <c r="F56" i="38"/>
  <c r="F55" i="38"/>
  <c r="F54" i="38"/>
  <c r="F52" i="38"/>
  <c r="F51" i="38"/>
  <c r="F48" i="38"/>
  <c r="F49" i="38"/>
  <c r="F47" i="38"/>
  <c r="F44" i="38"/>
  <c r="F45" i="38"/>
  <c r="F43" i="38"/>
  <c r="F41" i="38"/>
  <c r="F40" i="38"/>
  <c r="F37" i="38"/>
  <c r="F38" i="38"/>
  <c r="F36" i="38"/>
  <c r="F30" i="38"/>
  <c r="F24" i="38"/>
  <c r="F25" i="38"/>
  <c r="F26" i="38"/>
  <c r="F27" i="38"/>
  <c r="F28" i="38"/>
  <c r="F31" i="38"/>
  <c r="F32" i="38"/>
  <c r="F33" i="38"/>
  <c r="F34" i="38"/>
  <c r="F23" i="38"/>
  <c r="F19" i="38"/>
  <c r="F21" i="38"/>
  <c r="F20" i="38"/>
  <c r="F18" i="38"/>
  <c r="F16" i="38"/>
  <c r="F15" i="38"/>
  <c r="F14" i="38"/>
  <c r="F13" i="38"/>
  <c r="F11" i="38"/>
  <c r="F10" i="38"/>
  <c r="F9" i="38"/>
  <c r="F7" i="38"/>
  <c r="F32" i="37"/>
  <c r="F31" i="37"/>
  <c r="F30" i="37"/>
  <c r="F39" i="37"/>
  <c r="F40" i="37"/>
  <c r="F42" i="37"/>
  <c r="F44" i="37"/>
  <c r="F45" i="37"/>
  <c r="F46" i="37"/>
  <c r="F47" i="37"/>
  <c r="F48" i="37"/>
  <c r="F49" i="37"/>
  <c r="F50" i="37"/>
  <c r="F51" i="37"/>
  <c r="F34" i="37"/>
  <c r="F25" i="37"/>
  <c r="F26" i="37"/>
  <c r="F27" i="37"/>
  <c r="F28" i="37"/>
  <c r="F29" i="37"/>
  <c r="F24" i="37"/>
  <c r="F15" i="37"/>
  <c r="F16" i="37"/>
  <c r="F17" i="37"/>
  <c r="F18" i="37"/>
  <c r="F19" i="37"/>
  <c r="F20" i="37"/>
  <c r="F21" i="37"/>
  <c r="F22" i="37"/>
  <c r="F14" i="37"/>
  <c r="F11" i="37"/>
  <c r="F12" i="37"/>
  <c r="F10" i="37"/>
  <c r="F8" i="37"/>
  <c r="F7" i="37"/>
  <c r="F97" i="57"/>
  <c r="F88" i="57"/>
  <c r="F89" i="57"/>
  <c r="F90" i="57"/>
  <c r="F91" i="57"/>
  <c r="F92" i="57"/>
  <c r="F93" i="57"/>
  <c r="F94" i="57"/>
  <c r="F95" i="57"/>
  <c r="F87" i="57"/>
  <c r="F85" i="57"/>
  <c r="F84" i="57"/>
  <c r="F83" i="57"/>
  <c r="F82" i="57"/>
  <c r="F81" i="57"/>
  <c r="F80" i="57"/>
  <c r="F67" i="57"/>
  <c r="F68" i="57"/>
  <c r="F69" i="57"/>
  <c r="F70" i="57"/>
  <c r="F71" i="57"/>
  <c r="F72" i="57"/>
  <c r="F73" i="57"/>
  <c r="F74" i="57"/>
  <c r="F75" i="57"/>
  <c r="F76" i="57"/>
  <c r="F77" i="57"/>
  <c r="F78" i="57"/>
  <c r="F66" i="57"/>
  <c r="F64" i="57"/>
  <c r="F63" i="57"/>
  <c r="F62" i="57"/>
  <c r="F61" i="57"/>
  <c r="F60" i="57"/>
  <c r="F59" i="57"/>
  <c r="F58" i="57"/>
  <c r="F57" i="57"/>
  <c r="F56" i="57"/>
  <c r="F55" i="57"/>
  <c r="F54" i="57"/>
  <c r="F53" i="57"/>
  <c r="F51" i="57"/>
  <c r="F32" i="57"/>
  <c r="F31" i="57"/>
  <c r="F30" i="57"/>
  <c r="F50" i="57"/>
  <c r="F49" i="57"/>
  <c r="F48" i="57"/>
  <c r="F47" i="57"/>
  <c r="F46" i="57"/>
  <c r="F45" i="57"/>
  <c r="F44" i="57"/>
  <c r="F43" i="57"/>
  <c r="F42" i="57"/>
  <c r="F41" i="57"/>
  <c r="F40" i="57"/>
  <c r="F39" i="57"/>
  <c r="F38" i="57"/>
  <c r="F37" i="57"/>
  <c r="F36" i="57"/>
  <c r="F35" i="57"/>
  <c r="F34" i="57"/>
  <c r="F33" i="57"/>
  <c r="F28" i="57"/>
  <c r="F27" i="57"/>
  <c r="F25" i="57"/>
  <c r="F23" i="57"/>
  <c r="F21" i="57"/>
  <c r="F20" i="57"/>
  <c r="F18" i="57"/>
  <c r="F16" i="57"/>
  <c r="F15" i="57"/>
  <c r="F9" i="57"/>
  <c r="F10" i="57"/>
  <c r="F11" i="57"/>
  <c r="F12" i="57"/>
  <c r="F13" i="57"/>
  <c r="F8" i="57"/>
  <c r="F103" i="63"/>
  <c r="F102" i="63"/>
  <c r="F101" i="63"/>
  <c r="F100" i="63"/>
  <c r="F99" i="63"/>
  <c r="F98" i="63"/>
  <c r="F97" i="63"/>
  <c r="F96" i="63"/>
  <c r="F95" i="63"/>
  <c r="F94" i="63"/>
  <c r="F93" i="63"/>
  <c r="F92" i="63"/>
  <c r="F91" i="63"/>
  <c r="F90" i="63"/>
  <c r="F89" i="63"/>
  <c r="F88" i="63"/>
  <c r="F87" i="63"/>
  <c r="F86" i="63"/>
  <c r="F85" i="63"/>
  <c r="F84" i="63"/>
  <c r="F83" i="63"/>
  <c r="F82" i="63"/>
  <c r="F81" i="63"/>
  <c r="F80" i="63"/>
  <c r="F79" i="63"/>
  <c r="F78" i="63"/>
  <c r="F77" i="63"/>
  <c r="F76" i="63"/>
  <c r="F75" i="63"/>
  <c r="F74" i="63"/>
  <c r="F73" i="63"/>
  <c r="F72" i="63"/>
  <c r="F71" i="63"/>
  <c r="F70" i="63"/>
  <c r="F69" i="63"/>
  <c r="F68" i="63"/>
  <c r="F67" i="63"/>
  <c r="F66" i="63"/>
  <c r="F65" i="63"/>
  <c r="F64" i="63"/>
  <c r="F63" i="63"/>
  <c r="F62" i="63"/>
  <c r="F58" i="63"/>
  <c r="F57" i="63"/>
  <c r="F56" i="63"/>
  <c r="F55" i="63"/>
  <c r="F54" i="63"/>
  <c r="F53" i="63"/>
  <c r="F52" i="63"/>
  <c r="F51" i="63"/>
  <c r="F50" i="63"/>
  <c r="F49" i="63"/>
  <c r="F48" i="63"/>
  <c r="F46" i="63"/>
  <c r="F45" i="63"/>
  <c r="F44" i="63"/>
  <c r="F43" i="63"/>
  <c r="F42" i="63"/>
  <c r="F41" i="63"/>
  <c r="F40" i="63"/>
  <c r="F39" i="63"/>
  <c r="F38" i="63"/>
  <c r="F37" i="63"/>
  <c r="F36" i="63"/>
  <c r="F35" i="63"/>
  <c r="F34" i="63"/>
  <c r="F33" i="63"/>
  <c r="F32" i="63"/>
  <c r="F31" i="63"/>
  <c r="F30" i="63"/>
  <c r="F29" i="63"/>
  <c r="F28" i="63"/>
  <c r="F27" i="63"/>
  <c r="F26" i="63"/>
  <c r="F25" i="63"/>
  <c r="F24" i="63"/>
  <c r="F23" i="63"/>
  <c r="F21" i="63"/>
  <c r="F20" i="63"/>
  <c r="F19" i="63"/>
  <c r="F18" i="63"/>
  <c r="F17" i="63"/>
  <c r="F16" i="63"/>
  <c r="F15" i="63"/>
  <c r="F13" i="63"/>
  <c r="F12" i="63"/>
  <c r="F11" i="63"/>
  <c r="F9" i="63"/>
  <c r="F8" i="63"/>
  <c r="F7" i="63"/>
  <c r="F104" i="63" l="1"/>
  <c r="C12" i="42" s="1"/>
  <c r="F112" i="40"/>
  <c r="F61" i="49"/>
  <c r="C40" i="42" s="1"/>
  <c r="F25" i="40"/>
  <c r="F123" i="40"/>
  <c r="F93" i="40"/>
  <c r="F59" i="63"/>
  <c r="C11" i="42" s="1"/>
  <c r="F86" i="38"/>
  <c r="C18" i="42" s="1"/>
  <c r="F29" i="49"/>
  <c r="F38" i="49" s="1"/>
  <c r="C39" i="42" s="1"/>
  <c r="F52" i="37"/>
  <c r="C15" i="42" s="1"/>
  <c r="F35" i="37"/>
  <c r="C14" i="42" s="1"/>
  <c r="F47" i="40"/>
  <c r="F41" i="39"/>
  <c r="C24" i="42" s="1"/>
  <c r="F70" i="40"/>
  <c r="F54" i="46"/>
  <c r="C35" i="42" s="1"/>
  <c r="F32" i="46"/>
  <c r="C34" i="42" s="1"/>
  <c r="F32" i="39"/>
  <c r="C23" i="42" s="1"/>
  <c r="F63" i="38"/>
  <c r="C17" i="42" s="1"/>
  <c r="D209" i="33"/>
  <c r="D208" i="33"/>
  <c r="B16" i="57"/>
  <c r="C54" i="42" l="1"/>
  <c r="C56" i="42" s="1"/>
  <c r="H42" i="61"/>
  <c r="H41" i="61"/>
  <c r="H38" i="61"/>
  <c r="H35" i="61"/>
  <c r="H32" i="61"/>
  <c r="H29" i="61"/>
  <c r="H26" i="61"/>
  <c r="K17" i="61"/>
  <c r="H17" i="61"/>
  <c r="H14" i="61"/>
  <c r="H43" i="61" l="1"/>
  <c r="H19" i="61"/>
  <c r="H21" i="61" s="1"/>
  <c r="H45" i="61" l="1"/>
  <c r="C51" i="42" l="1"/>
  <c r="F51" i="42" s="1"/>
  <c r="E10" i="59"/>
  <c r="D19" i="59"/>
  <c r="C19" i="59"/>
  <c r="C7137" i="51" l="1"/>
  <c r="B7137" i="51" s="1"/>
  <c r="C7174" i="51"/>
  <c r="H7171" i="51"/>
  <c r="H7163" i="51"/>
  <c r="A16" i="35" l="1"/>
  <c r="A15" i="35"/>
  <c r="C49" i="52" l="1"/>
  <c r="D49" i="52"/>
  <c r="E49" i="52"/>
  <c r="F49" i="52"/>
  <c r="G49" i="52"/>
  <c r="G51" i="52" s="1"/>
  <c r="H49" i="52"/>
  <c r="I49" i="52"/>
  <c r="J49" i="52"/>
  <c r="K49" i="52"/>
  <c r="L49" i="52"/>
  <c r="M49" i="52"/>
  <c r="N49" i="52"/>
  <c r="C50" i="52"/>
  <c r="C51" i="52" s="1"/>
  <c r="D50" i="52"/>
  <c r="D51" i="52" s="1"/>
  <c r="E50" i="52"/>
  <c r="F50" i="52"/>
  <c r="F51" i="52" s="1"/>
  <c r="G50" i="52"/>
  <c r="H50" i="52"/>
  <c r="I50" i="52"/>
  <c r="J50" i="52"/>
  <c r="J51" i="52" s="1"/>
  <c r="K50" i="52"/>
  <c r="K51" i="52" s="1"/>
  <c r="L50" i="52"/>
  <c r="L51" i="52" s="1"/>
  <c r="M50" i="52"/>
  <c r="N50" i="52"/>
  <c r="N51" i="52" s="1"/>
  <c r="H51" i="52" l="1"/>
  <c r="I51" i="52"/>
  <c r="M51" i="52"/>
  <c r="E51" i="52"/>
  <c r="D4" i="59" l="1"/>
  <c r="C4" i="59" l="1"/>
  <c r="G2892" i="54" l="1"/>
  <c r="G2891" i="54"/>
  <c r="G2890" i="54"/>
  <c r="G418" i="54"/>
  <c r="B418" i="54"/>
  <c r="D3793" i="54"/>
  <c r="E3793" i="54" s="1"/>
  <c r="G3793" i="54" s="1"/>
  <c r="G3787" i="54"/>
  <c r="G3786" i="54"/>
  <c r="G3782" i="54"/>
  <c r="G3781" i="54"/>
  <c r="G3780" i="54"/>
  <c r="G3779" i="54"/>
  <c r="G3773" i="54"/>
  <c r="G3772" i="54"/>
  <c r="G3771" i="54"/>
  <c r="G3770" i="54"/>
  <c r="G3769" i="54"/>
  <c r="G3768" i="54"/>
  <c r="G3767" i="54"/>
  <c r="G3766" i="54"/>
  <c r="G3765" i="54"/>
  <c r="G3764" i="54"/>
  <c r="G3763" i="54"/>
  <c r="G3762" i="54"/>
  <c r="G3761" i="54"/>
  <c r="G3760" i="54"/>
  <c r="G3759" i="54"/>
  <c r="G3758" i="54"/>
  <c r="G3757" i="54"/>
  <c r="G3756" i="54"/>
  <c r="G3755" i="54"/>
  <c r="G3754" i="54"/>
  <c r="G3753" i="54"/>
  <c r="G3752" i="54"/>
  <c r="G3751" i="54"/>
  <c r="G3750" i="54"/>
  <c r="D3633" i="54"/>
  <c r="E3633" i="54" s="1"/>
  <c r="G3633" i="54" s="1"/>
  <c r="G3626" i="54"/>
  <c r="G3619" i="54"/>
  <c r="G3601" i="54"/>
  <c r="G3600" i="54"/>
  <c r="G3552" i="54"/>
  <c r="G3551" i="54"/>
  <c r="G3550" i="54"/>
  <c r="G3501" i="54"/>
  <c r="G3500" i="54"/>
  <c r="G3469" i="54"/>
  <c r="D3483" i="54"/>
  <c r="E3483" i="54" s="1"/>
  <c r="G3483" i="54" s="1"/>
  <c r="G3452" i="54"/>
  <c r="G3451" i="54"/>
  <c r="G3450" i="54"/>
  <c r="D3433" i="54"/>
  <c r="E3433" i="54" s="1"/>
  <c r="G3433" i="54" s="1"/>
  <c r="G3402" i="54"/>
  <c r="G3401" i="54"/>
  <c r="G3400" i="54"/>
  <c r="G3387" i="54"/>
  <c r="D3383" i="54"/>
  <c r="E3383" i="54" s="1"/>
  <c r="G3383" i="54" s="1"/>
  <c r="G3376" i="54"/>
  <c r="G3369" i="54"/>
  <c r="G3352" i="54"/>
  <c r="G3351" i="54"/>
  <c r="G3350" i="54"/>
  <c r="D3334" i="54"/>
  <c r="E3334" i="54" s="1"/>
  <c r="G3334" i="54" s="1"/>
  <c r="D3333" i="54"/>
  <c r="E3333" i="54" s="1"/>
  <c r="G3333" i="54" s="1"/>
  <c r="G3326" i="54"/>
  <c r="G3319" i="54"/>
  <c r="D3313" i="54"/>
  <c r="G3313" i="54" s="1"/>
  <c r="G3312" i="54"/>
  <c r="G3311" i="54"/>
  <c r="G3310" i="54"/>
  <c r="G3309" i="54"/>
  <c r="G3308" i="54"/>
  <c r="G3307" i="54"/>
  <c r="G3306" i="54"/>
  <c r="G3305" i="54"/>
  <c r="G3304" i="54"/>
  <c r="E3303" i="54"/>
  <c r="G3303" i="54" s="1"/>
  <c r="G3302" i="54"/>
  <c r="G3301" i="54"/>
  <c r="G3300" i="54"/>
  <c r="D3299" i="54"/>
  <c r="G3299" i="54" s="1"/>
  <c r="G3298" i="54"/>
  <c r="E3297" i="54"/>
  <c r="G3297" i="54" s="1"/>
  <c r="E3296" i="54"/>
  <c r="G3296" i="54" s="1"/>
  <c r="E3295" i="54"/>
  <c r="D3295" i="54"/>
  <c r="E3294" i="54"/>
  <c r="G3294" i="54" s="1"/>
  <c r="E3293" i="54"/>
  <c r="D3293" i="54"/>
  <c r="E3292" i="54"/>
  <c r="G3292" i="54" s="1"/>
  <c r="E3291" i="54"/>
  <c r="G3291" i="54" s="1"/>
  <c r="G3290" i="54"/>
  <c r="D3273" i="54"/>
  <c r="E3273" i="54" s="1"/>
  <c r="G3266" i="54"/>
  <c r="G3259" i="54"/>
  <c r="G3241" i="54"/>
  <c r="G3240" i="54"/>
  <c r="D3223" i="54"/>
  <c r="E3223" i="54" s="1"/>
  <c r="G3223" i="54" s="1"/>
  <c r="G3216" i="54"/>
  <c r="G3209" i="54"/>
  <c r="G3191" i="54"/>
  <c r="G3190" i="54"/>
  <c r="D3173" i="54"/>
  <c r="E3173" i="54" s="1"/>
  <c r="G3173" i="54" s="1"/>
  <c r="G3166" i="54"/>
  <c r="G3159" i="54"/>
  <c r="G3141" i="54"/>
  <c r="G3140" i="54"/>
  <c r="G3109" i="54"/>
  <c r="G3116" i="54"/>
  <c r="D3123" i="54"/>
  <c r="E3123" i="54" s="1"/>
  <c r="G3123" i="54" s="1"/>
  <c r="G3040" i="54"/>
  <c r="D3023" i="54"/>
  <c r="E3023" i="54" s="1"/>
  <c r="G3023" i="54" s="1"/>
  <c r="G2966" i="54"/>
  <c r="G2909" i="54"/>
  <c r="G2859" i="54"/>
  <c r="G2805" i="54"/>
  <c r="G2755" i="54"/>
  <c r="G2705" i="54"/>
  <c r="E2719" i="54"/>
  <c r="G2719" i="54" s="1"/>
  <c r="G2662" i="54"/>
  <c r="D2669" i="54"/>
  <c r="E2669" i="54" s="1"/>
  <c r="G2669" i="54" s="1"/>
  <c r="G2612" i="54"/>
  <c r="D2619" i="54"/>
  <c r="E2619" i="54" s="1"/>
  <c r="G2619" i="54" s="1"/>
  <c r="G2589" i="54"/>
  <c r="G2588" i="54"/>
  <c r="G2587" i="54"/>
  <c r="G2586" i="54"/>
  <c r="D2569" i="54"/>
  <c r="E2569" i="54" s="1"/>
  <c r="G2569" i="54" s="1"/>
  <c r="G2536" i="54"/>
  <c r="D2519" i="54"/>
  <c r="E2519" i="54" s="1"/>
  <c r="G2519" i="54" s="1"/>
  <c r="G2487" i="54"/>
  <c r="G2486" i="54"/>
  <c r="G2436" i="54"/>
  <c r="D2419" i="54"/>
  <c r="E2419" i="54" s="1"/>
  <c r="G2419" i="54" s="1"/>
  <c r="G2413" i="54"/>
  <c r="G2412" i="54"/>
  <c r="G2340" i="54"/>
  <c r="G2339" i="54"/>
  <c r="G2338" i="54"/>
  <c r="G2337" i="54"/>
  <c r="G2336" i="54"/>
  <c r="G2288" i="54"/>
  <c r="G2287" i="54"/>
  <c r="E2286" i="54"/>
  <c r="G2286" i="54" s="1"/>
  <c r="G2238" i="54"/>
  <c r="G2237" i="54"/>
  <c r="E2236" i="54"/>
  <c r="G2236" i="54" s="1"/>
  <c r="G2188" i="54"/>
  <c r="G2187" i="54"/>
  <c r="E2186" i="54"/>
  <c r="G2186" i="54" s="1"/>
  <c r="G2139" i="54"/>
  <c r="G2138" i="54"/>
  <c r="E2137" i="54"/>
  <c r="G2137" i="54" s="1"/>
  <c r="E2136" i="54"/>
  <c r="G2136" i="54" s="1"/>
  <c r="G2088" i="54"/>
  <c r="G2087" i="54"/>
  <c r="G2086" i="54"/>
  <c r="G2038" i="54"/>
  <c r="G2037" i="54"/>
  <c r="E2036" i="54"/>
  <c r="G2036" i="54" s="1"/>
  <c r="G1988" i="54"/>
  <c r="G1987" i="54"/>
  <c r="E1986" i="54"/>
  <c r="G1986" i="54" s="1"/>
  <c r="G1938" i="54"/>
  <c r="G1937" i="54"/>
  <c r="E1936" i="54"/>
  <c r="G1936" i="54" s="1"/>
  <c r="G1891" i="54"/>
  <c r="D1890" i="54"/>
  <c r="G1890" i="54" s="1"/>
  <c r="G1889" i="54"/>
  <c r="G1888" i="54"/>
  <c r="G1887" i="54"/>
  <c r="E1886" i="54"/>
  <c r="G1886" i="54" s="1"/>
  <c r="G1841" i="54"/>
  <c r="D1840" i="54"/>
  <c r="G1840" i="54" s="1"/>
  <c r="G1839" i="54"/>
  <c r="G1838" i="54"/>
  <c r="G1837" i="54"/>
  <c r="E1836" i="54"/>
  <c r="G1836" i="54" s="1"/>
  <c r="G1791" i="54"/>
  <c r="D1790" i="54"/>
  <c r="G1790" i="54" s="1"/>
  <c r="G1789" i="54"/>
  <c r="G1788" i="54"/>
  <c r="G1787" i="54"/>
  <c r="E1786" i="54"/>
  <c r="G1786" i="54" s="1"/>
  <c r="E1762" i="54"/>
  <c r="G1762" i="54" s="1"/>
  <c r="D1769" i="54"/>
  <c r="E1769" i="54" s="1"/>
  <c r="G1769" i="54" s="1"/>
  <c r="G1741" i="54"/>
  <c r="D1738" i="54"/>
  <c r="G1738" i="54" s="1"/>
  <c r="G1737" i="54"/>
  <c r="E1736" i="54"/>
  <c r="G1736" i="54" s="1"/>
  <c r="G1697" i="54"/>
  <c r="G1696" i="54"/>
  <c r="G1695" i="54"/>
  <c r="E1694" i="54"/>
  <c r="G1694" i="54" s="1"/>
  <c r="G1692" i="54"/>
  <c r="G1691" i="54"/>
  <c r="G1690" i="54"/>
  <c r="G1689" i="54"/>
  <c r="G1688" i="54"/>
  <c r="G1687" i="54"/>
  <c r="G1686" i="54"/>
  <c r="G1647" i="54"/>
  <c r="G1646" i="54"/>
  <c r="G1645" i="54"/>
  <c r="E1644" i="54"/>
  <c r="G1644" i="54" s="1"/>
  <c r="G1642" i="54"/>
  <c r="G1641" i="54"/>
  <c r="G1640" i="54"/>
  <c r="G1639" i="54"/>
  <c r="G1638" i="54"/>
  <c r="G1637" i="54"/>
  <c r="G1636" i="54"/>
  <c r="D1592" i="54"/>
  <c r="G1592" i="54" s="1"/>
  <c r="E1591" i="54"/>
  <c r="G1591" i="54" s="1"/>
  <c r="G1590" i="54"/>
  <c r="D1589" i="54"/>
  <c r="G1589" i="54" s="1"/>
  <c r="D1588" i="54"/>
  <c r="G1588" i="54" s="1"/>
  <c r="G1587" i="54"/>
  <c r="G1586" i="54"/>
  <c r="D1542" i="54"/>
  <c r="G1542" i="54" s="1"/>
  <c r="E1541" i="54"/>
  <c r="G1541" i="54" s="1"/>
  <c r="G1540" i="54"/>
  <c r="D1539" i="54"/>
  <c r="G1539" i="54" s="1"/>
  <c r="D1538" i="54"/>
  <c r="G1538" i="54" s="1"/>
  <c r="G1537" i="54"/>
  <c r="G1536" i="54"/>
  <c r="D1492" i="54"/>
  <c r="G1492" i="54" s="1"/>
  <c r="E1491" i="54"/>
  <c r="G1491" i="54" s="1"/>
  <c r="G1490" i="54"/>
  <c r="D1489" i="54"/>
  <c r="G1489" i="54" s="1"/>
  <c r="D1488" i="54"/>
  <c r="G1488" i="54" s="1"/>
  <c r="G1487" i="54"/>
  <c r="G1486" i="54"/>
  <c r="D1442" i="54"/>
  <c r="G1442" i="54" s="1"/>
  <c r="E1441" i="54"/>
  <c r="G1441" i="54" s="1"/>
  <c r="G1440" i="54"/>
  <c r="D1439" i="54"/>
  <c r="G1439" i="54" s="1"/>
  <c r="D1438" i="54"/>
  <c r="G1438" i="54" s="1"/>
  <c r="G1437" i="54"/>
  <c r="G1436" i="54"/>
  <c r="D1392" i="54"/>
  <c r="G1392" i="54" s="1"/>
  <c r="E1391" i="54"/>
  <c r="G1391" i="54" s="1"/>
  <c r="G1390" i="54"/>
  <c r="D1389" i="54"/>
  <c r="G1389" i="54" s="1"/>
  <c r="D1388" i="54"/>
  <c r="G1388" i="54" s="1"/>
  <c r="G1387" i="54"/>
  <c r="G1386" i="54"/>
  <c r="G1347" i="54"/>
  <c r="G1346" i="54"/>
  <c r="G1345" i="54"/>
  <c r="E1344" i="54"/>
  <c r="G1344" i="54" s="1"/>
  <c r="G1342" i="54"/>
  <c r="G1341" i="54"/>
  <c r="G1340" i="54"/>
  <c r="G1339" i="54"/>
  <c r="G1338" i="54"/>
  <c r="G1337" i="54"/>
  <c r="G1336" i="54"/>
  <c r="G1292" i="54"/>
  <c r="G1291" i="54"/>
  <c r="G1290" i="54"/>
  <c r="G1289" i="54"/>
  <c r="D1288" i="54"/>
  <c r="G1288" i="54" s="1"/>
  <c r="G1287" i="54"/>
  <c r="G1286" i="54"/>
  <c r="D1269" i="54"/>
  <c r="E1269" i="54" s="1"/>
  <c r="G1269" i="54" s="1"/>
  <c r="G1247" i="54"/>
  <c r="G1246" i="54"/>
  <c r="G1245" i="54"/>
  <c r="E1244" i="54"/>
  <c r="G1244" i="54" s="1"/>
  <c r="G1242" i="54"/>
  <c r="G1241" i="54"/>
  <c r="G1240" i="54"/>
  <c r="G1239" i="54"/>
  <c r="G1238" i="54"/>
  <c r="G1237" i="54"/>
  <c r="G1236" i="54"/>
  <c r="D1219" i="54"/>
  <c r="E1219" i="54" s="1"/>
  <c r="G1219" i="54" s="1"/>
  <c r="G1197" i="54"/>
  <c r="G1196" i="54"/>
  <c r="G1195" i="54"/>
  <c r="E1194" i="54"/>
  <c r="G1194" i="54" s="1"/>
  <c r="G1192" i="54"/>
  <c r="G1191" i="54"/>
  <c r="G1190" i="54"/>
  <c r="G1189" i="54"/>
  <c r="D1188" i="54"/>
  <c r="G1188" i="54" s="1"/>
  <c r="G1187" i="54"/>
  <c r="G1186" i="54"/>
  <c r="D1169" i="54"/>
  <c r="E1169" i="54" s="1"/>
  <c r="G1169" i="54" s="1"/>
  <c r="G1147" i="54"/>
  <c r="G1146" i="54"/>
  <c r="G1145" i="54"/>
  <c r="E1144" i="54"/>
  <c r="G1144" i="54" s="1"/>
  <c r="G1142" i="54"/>
  <c r="G1141" i="54"/>
  <c r="G1140" i="54"/>
  <c r="G1139" i="54"/>
  <c r="D1138" i="54"/>
  <c r="G1138" i="54" s="1"/>
  <c r="G1137" i="54"/>
  <c r="G1136" i="54"/>
  <c r="D1119" i="54"/>
  <c r="E1119" i="54" s="1"/>
  <c r="G1119" i="54" s="1"/>
  <c r="G1097" i="54"/>
  <c r="G1096" i="54"/>
  <c r="G1095" i="54"/>
  <c r="E1094" i="54"/>
  <c r="G1094" i="54" s="1"/>
  <c r="G1092" i="54"/>
  <c r="G1091" i="54"/>
  <c r="G1090" i="54"/>
  <c r="G1089" i="54"/>
  <c r="D1088" i="54"/>
  <c r="G1088" i="54" s="1"/>
  <c r="G1087" i="54"/>
  <c r="G1086" i="54"/>
  <c r="G1047" i="54"/>
  <c r="G1046" i="54"/>
  <c r="G1045" i="54"/>
  <c r="E1044" i="54"/>
  <c r="G1044" i="54" s="1"/>
  <c r="G1042" i="54"/>
  <c r="G1041" i="54"/>
  <c r="G1040" i="54"/>
  <c r="G1039" i="54"/>
  <c r="D1038" i="54"/>
  <c r="G1038" i="54" s="1"/>
  <c r="G1037" i="54"/>
  <c r="G1036" i="54"/>
  <c r="D994" i="54"/>
  <c r="G994" i="54" s="1"/>
  <c r="E993" i="54"/>
  <c r="G993" i="54" s="1"/>
  <c r="G992" i="54"/>
  <c r="D991" i="54"/>
  <c r="G991" i="54" s="1"/>
  <c r="D990" i="54"/>
  <c r="G990" i="54" s="1"/>
  <c r="D989" i="54"/>
  <c r="G989" i="54" s="1"/>
  <c r="G988" i="54"/>
  <c r="G987" i="54"/>
  <c r="G986" i="54"/>
  <c r="D890" i="54"/>
  <c r="G890" i="54" s="1"/>
  <c r="D889" i="54"/>
  <c r="G889" i="54" s="1"/>
  <c r="G888" i="54"/>
  <c r="G887" i="54"/>
  <c r="G886" i="54"/>
  <c r="G862" i="54"/>
  <c r="G855" i="54"/>
  <c r="G812" i="54"/>
  <c r="G805" i="54"/>
  <c r="G762" i="54"/>
  <c r="G755" i="54"/>
  <c r="G705" i="54"/>
  <c r="G712" i="54"/>
  <c r="G647" i="54"/>
  <c r="E646" i="54"/>
  <c r="D646" i="54"/>
  <c r="E645" i="54"/>
  <c r="G645" i="54" s="1"/>
  <c r="E644" i="54"/>
  <c r="G644" i="54" s="1"/>
  <c r="G643" i="54"/>
  <c r="E642" i="54"/>
  <c r="D642" i="54"/>
  <c r="G642" i="54" s="1"/>
  <c r="D641" i="54"/>
  <c r="G641" i="54" s="1"/>
  <c r="D640" i="54"/>
  <c r="G640" i="54" s="1"/>
  <c r="D639" i="54"/>
  <c r="G639" i="54" s="1"/>
  <c r="D638" i="54"/>
  <c r="G638" i="54" s="1"/>
  <c r="G637" i="54"/>
  <c r="G636" i="54"/>
  <c r="G655" i="54"/>
  <c r="G487" i="54"/>
  <c r="G486" i="54"/>
  <c r="E512" i="54"/>
  <c r="G512" i="54" s="1"/>
  <c r="C469" i="54"/>
  <c r="E469" i="54" s="1"/>
  <c r="G469" i="54" s="1"/>
  <c r="G447" i="54"/>
  <c r="G387" i="54"/>
  <c r="C406" i="54"/>
  <c r="E406" i="54" s="1"/>
  <c r="G406" i="54" s="1"/>
  <c r="C347" i="54"/>
  <c r="E347" i="54" s="1"/>
  <c r="G347" i="54" s="1"/>
  <c r="C292" i="54"/>
  <c r="D292" i="54" s="1"/>
  <c r="E292" i="54" s="1"/>
  <c r="G292" i="54" s="1"/>
  <c r="G260" i="54"/>
  <c r="G259" i="54"/>
  <c r="G210" i="54"/>
  <c r="G209" i="54"/>
  <c r="G160" i="54"/>
  <c r="G159" i="54"/>
  <c r="G111" i="54"/>
  <c r="G110" i="54"/>
  <c r="E109" i="54"/>
  <c r="G109" i="54" s="1"/>
  <c r="G128" i="54"/>
  <c r="G135" i="54"/>
  <c r="D142" i="54"/>
  <c r="E142" i="54" s="1"/>
  <c r="G142" i="54" s="1"/>
  <c r="G146" i="54"/>
  <c r="G97" i="54"/>
  <c r="G96" i="54"/>
  <c r="D92" i="54"/>
  <c r="E92" i="54" s="1"/>
  <c r="G92" i="54" s="1"/>
  <c r="G85" i="54"/>
  <c r="G78" i="54"/>
  <c r="G62" i="54"/>
  <c r="D59" i="54"/>
  <c r="G59" i="54" s="1"/>
  <c r="G3295" i="54" l="1"/>
  <c r="G3293" i="54"/>
  <c r="G646" i="54"/>
  <c r="A8" i="52" l="1"/>
  <c r="A9" i="52"/>
  <c r="A10" i="52"/>
  <c r="A11" i="52"/>
  <c r="A12" i="52"/>
  <c r="A13" i="52"/>
  <c r="A14" i="52"/>
  <c r="A15" i="52"/>
  <c r="A16" i="52"/>
  <c r="A17" i="52"/>
  <c r="A18" i="52"/>
  <c r="A19" i="52"/>
  <c r="A20" i="52"/>
  <c r="A21" i="52"/>
  <c r="A22" i="52"/>
  <c r="A23" i="52"/>
  <c r="A24" i="52"/>
  <c r="A25" i="52"/>
  <c r="A26" i="52"/>
  <c r="A27" i="52"/>
  <c r="A28" i="52"/>
  <c r="A29" i="52"/>
  <c r="A30" i="52"/>
  <c r="A31" i="52"/>
  <c r="A32" i="52"/>
  <c r="A33" i="52"/>
  <c r="A34" i="52"/>
  <c r="A35" i="52"/>
  <c r="A36" i="52"/>
  <c r="A37" i="52"/>
  <c r="A38" i="52"/>
  <c r="A39" i="52"/>
  <c r="A40" i="52"/>
  <c r="A41" i="52"/>
  <c r="A42" i="52"/>
  <c r="A43" i="52"/>
  <c r="A44" i="52"/>
  <c r="G1024" i="54" l="1"/>
  <c r="G1023" i="54"/>
  <c r="D1019" i="54"/>
  <c r="E1019" i="54" s="1"/>
  <c r="G1019" i="54" s="1"/>
  <c r="E1012" i="54"/>
  <c r="G1012" i="54" s="1"/>
  <c r="G1005" i="54"/>
  <c r="G411" i="54"/>
  <c r="G410" i="54"/>
  <c r="G399" i="54"/>
  <c r="G197" i="54"/>
  <c r="G196" i="54"/>
  <c r="D192" i="54"/>
  <c r="E192" i="54" s="1"/>
  <c r="G192" i="54" s="1"/>
  <c r="E185" i="54"/>
  <c r="G185" i="54" s="1"/>
  <c r="G178" i="54"/>
  <c r="G674" i="54"/>
  <c r="G673" i="54"/>
  <c r="D669" i="54"/>
  <c r="E669" i="54" s="1"/>
  <c r="G669" i="54" s="1"/>
  <c r="G663" i="54"/>
  <c r="G662" i="54"/>
  <c r="G3898" i="54"/>
  <c r="G3897" i="54"/>
  <c r="D3893" i="54"/>
  <c r="E3893" i="54" s="1"/>
  <c r="G3893" i="54" s="1"/>
  <c r="G3886" i="54"/>
  <c r="G3879" i="54"/>
  <c r="G3848" i="54"/>
  <c r="G3847" i="54"/>
  <c r="D3843" i="54"/>
  <c r="E3843" i="54" s="1"/>
  <c r="G3843" i="54" s="1"/>
  <c r="G3836" i="54"/>
  <c r="G3829" i="54"/>
  <c r="G3798" i="54"/>
  <c r="G3797" i="54"/>
  <c r="G3738" i="54"/>
  <c r="G3737" i="54"/>
  <c r="D3733" i="54"/>
  <c r="E3733" i="54" s="1"/>
  <c r="G3733" i="54" s="1"/>
  <c r="G3726" i="54"/>
  <c r="G3719" i="54"/>
  <c r="G3688" i="54"/>
  <c r="G3687" i="54"/>
  <c r="D3684" i="54"/>
  <c r="E3684" i="54" s="1"/>
  <c r="G3684" i="54" s="1"/>
  <c r="D3683" i="54"/>
  <c r="E3683" i="54" s="1"/>
  <c r="G3683" i="54" s="1"/>
  <c r="G3676" i="54"/>
  <c r="G3669" i="54"/>
  <c r="G3638" i="54"/>
  <c r="G3637" i="54"/>
  <c r="G3588" i="54"/>
  <c r="G3587" i="54"/>
  <c r="D3583" i="54"/>
  <c r="E3583" i="54" s="1"/>
  <c r="G3583" i="54" s="1"/>
  <c r="G3576" i="54"/>
  <c r="G3569" i="54"/>
  <c r="G3538" i="54"/>
  <c r="G3537" i="54"/>
  <c r="D3533" i="54"/>
  <c r="E3533" i="54" s="1"/>
  <c r="G3533" i="54" s="1"/>
  <c r="G3526" i="54"/>
  <c r="G3519" i="54"/>
  <c r="G3488" i="54"/>
  <c r="G3487" i="54"/>
  <c r="G3476" i="54"/>
  <c r="G3438" i="54"/>
  <c r="G3437" i="54"/>
  <c r="G3426" i="54"/>
  <c r="G3419" i="54"/>
  <c r="G3388" i="54"/>
  <c r="G3338" i="54"/>
  <c r="G3337" i="54"/>
  <c r="G3278" i="54"/>
  <c r="G3277" i="54"/>
  <c r="G3273" i="54"/>
  <c r="G3128" i="54"/>
  <c r="G3127" i="54"/>
  <c r="G3078" i="54"/>
  <c r="G3077" i="54"/>
  <c r="D3073" i="54"/>
  <c r="E3073" i="54" s="1"/>
  <c r="G3073" i="54" s="1"/>
  <c r="G3066" i="54"/>
  <c r="G3059" i="54"/>
  <c r="G3028" i="54"/>
  <c r="G3027" i="54"/>
  <c r="G3016" i="54"/>
  <c r="G3009" i="54"/>
  <c r="G2978" i="54"/>
  <c r="G2977" i="54"/>
  <c r="E2973" i="54"/>
  <c r="G2973" i="54" s="1"/>
  <c r="G2928" i="54"/>
  <c r="G2927" i="54"/>
  <c r="E2923" i="54"/>
  <c r="G2923" i="54" s="1"/>
  <c r="G2878" i="54"/>
  <c r="G2877" i="54"/>
  <c r="E2873" i="54"/>
  <c r="G2873" i="54" s="1"/>
  <c r="G2828" i="54"/>
  <c r="G2827" i="54"/>
  <c r="E2823" i="54"/>
  <c r="G2823" i="54" s="1"/>
  <c r="G2774" i="54"/>
  <c r="G2773" i="54"/>
  <c r="E2769" i="54"/>
  <c r="G2769" i="54" s="1"/>
  <c r="G2724" i="54"/>
  <c r="G2723" i="54"/>
  <c r="G2474" i="54"/>
  <c r="G2473" i="54"/>
  <c r="D2469" i="54"/>
  <c r="E2469" i="54" s="1"/>
  <c r="G2469" i="54" s="1"/>
  <c r="G2462" i="54"/>
  <c r="G2455" i="54"/>
  <c r="G2074" i="54"/>
  <c r="G2073" i="54"/>
  <c r="D2069" i="54"/>
  <c r="E2069" i="54" s="1"/>
  <c r="G2069" i="54" s="1"/>
  <c r="E2062" i="54"/>
  <c r="G2062" i="54" s="1"/>
  <c r="E2055" i="54"/>
  <c r="G2055" i="54" s="1"/>
  <c r="G2124" i="54"/>
  <c r="G2123" i="54"/>
  <c r="D2119" i="54"/>
  <c r="E2119" i="54" s="1"/>
  <c r="G2119" i="54" s="1"/>
  <c r="E2112" i="54"/>
  <c r="G2112" i="54" s="1"/>
  <c r="E2105" i="54"/>
  <c r="G2105" i="54" s="1"/>
  <c r="G2024" i="54"/>
  <c r="G2023" i="54"/>
  <c r="D2019" i="54"/>
  <c r="E2019" i="54" s="1"/>
  <c r="G2019" i="54" s="1"/>
  <c r="E2012" i="54"/>
  <c r="G2012" i="54" s="1"/>
  <c r="E2005" i="54"/>
  <c r="G2005" i="54" s="1"/>
  <c r="G1974" i="54"/>
  <c r="G1973" i="54"/>
  <c r="D1969" i="54"/>
  <c r="E1969" i="54" s="1"/>
  <c r="G1969" i="54" s="1"/>
  <c r="E1962" i="54"/>
  <c r="G1962" i="54" s="1"/>
  <c r="E1955" i="54"/>
  <c r="G1955" i="54" s="1"/>
  <c r="G1924" i="54"/>
  <c r="G1923" i="54"/>
  <c r="D1919" i="54"/>
  <c r="E1919" i="54" s="1"/>
  <c r="G1919" i="54" s="1"/>
  <c r="E1912" i="54"/>
  <c r="G1912" i="54" s="1"/>
  <c r="E1905" i="54"/>
  <c r="G1905" i="54" s="1"/>
  <c r="G1874" i="54"/>
  <c r="G1873" i="54"/>
  <c r="D1869" i="54"/>
  <c r="E1869" i="54" s="1"/>
  <c r="G1869" i="54" s="1"/>
  <c r="E1862" i="54"/>
  <c r="G1862" i="54" s="1"/>
  <c r="E1855" i="54"/>
  <c r="G1855" i="54" s="1"/>
  <c r="G1824" i="54"/>
  <c r="G1823" i="54"/>
  <c r="D1819" i="54"/>
  <c r="E1819" i="54" s="1"/>
  <c r="G1819" i="54" s="1"/>
  <c r="E1812" i="54"/>
  <c r="G1812" i="54" s="1"/>
  <c r="E1805" i="54"/>
  <c r="G1805" i="54" s="1"/>
  <c r="G1774" i="54"/>
  <c r="G1773" i="54"/>
  <c r="E1755" i="54"/>
  <c r="G1755" i="54" s="1"/>
  <c r="G1724" i="54"/>
  <c r="G1723" i="54"/>
  <c r="D1719" i="54"/>
  <c r="E1719" i="54" s="1"/>
  <c r="G1719" i="54" s="1"/>
  <c r="E1712" i="54"/>
  <c r="G1712" i="54" s="1"/>
  <c r="E1705" i="54"/>
  <c r="G1705" i="54" s="1"/>
  <c r="E1655" i="54"/>
  <c r="G1655" i="54" s="1"/>
  <c r="D1669" i="54"/>
  <c r="E1669" i="54" s="1"/>
  <c r="G1669" i="54" s="1"/>
  <c r="E1662" i="54"/>
  <c r="G1662" i="54" s="1"/>
  <c r="G1624" i="54"/>
  <c r="G1623" i="54"/>
  <c r="D1619" i="54"/>
  <c r="E1619" i="54" s="1"/>
  <c r="G1619" i="54" s="1"/>
  <c r="E1612" i="54"/>
  <c r="G1612" i="54" s="1"/>
  <c r="E1605" i="54"/>
  <c r="G1605" i="54" s="1"/>
  <c r="G1574" i="54"/>
  <c r="G1573" i="54"/>
  <c r="D1569" i="54"/>
  <c r="E1569" i="54" s="1"/>
  <c r="G1569" i="54" s="1"/>
  <c r="E1562" i="54"/>
  <c r="G1562" i="54" s="1"/>
  <c r="E1555" i="54"/>
  <c r="G1555" i="54" s="1"/>
  <c r="G1524" i="54"/>
  <c r="G1523" i="54"/>
  <c r="D1519" i="54"/>
  <c r="E1519" i="54" s="1"/>
  <c r="G1519" i="54" s="1"/>
  <c r="E1512" i="54"/>
  <c r="G1512" i="54" s="1"/>
  <c r="E1505" i="54"/>
  <c r="G1505" i="54" s="1"/>
  <c r="G1474" i="54"/>
  <c r="G1473" i="54"/>
  <c r="D1469" i="54"/>
  <c r="E1469" i="54" s="1"/>
  <c r="G1469" i="54" s="1"/>
  <c r="E1462" i="54"/>
  <c r="G1462" i="54" s="1"/>
  <c r="E1455" i="54"/>
  <c r="G1455" i="54" s="1"/>
  <c r="E1405" i="54"/>
  <c r="G1405" i="54" s="1"/>
  <c r="E1412" i="54"/>
  <c r="G1412" i="54" s="1"/>
  <c r="D1419" i="54"/>
  <c r="E1419" i="54" s="1"/>
  <c r="G1419" i="54" s="1"/>
  <c r="D1369" i="54"/>
  <c r="E1369" i="54" s="1"/>
  <c r="G1369" i="54" s="1"/>
  <c r="D1319" i="54"/>
  <c r="E1319" i="54" s="1"/>
  <c r="G1319" i="54" s="1"/>
  <c r="G1312" i="54"/>
  <c r="G1262" i="54"/>
  <c r="G1212" i="54"/>
  <c r="G1162" i="54"/>
  <c r="E912" i="54"/>
  <c r="G912" i="54" s="1"/>
  <c r="D919" i="54"/>
  <c r="E919" i="54" s="1"/>
  <c r="G919" i="54" s="1"/>
  <c r="E819" i="54"/>
  <c r="G819" i="54" s="1"/>
  <c r="E769" i="54"/>
  <c r="G769" i="54" s="1"/>
  <c r="G737" i="54"/>
  <c r="G736" i="54"/>
  <c r="E719" i="54"/>
  <c r="G719" i="54" s="1"/>
  <c r="G689" i="54"/>
  <c r="G688" i="54"/>
  <c r="G687" i="54"/>
  <c r="G686" i="54"/>
  <c r="G605" i="54"/>
  <c r="G612" i="54"/>
  <c r="D619" i="54"/>
  <c r="E619" i="54" s="1"/>
  <c r="G619" i="54" s="1"/>
  <c r="D569" i="54"/>
  <c r="E569" i="54" s="1"/>
  <c r="G569" i="54" s="1"/>
  <c r="G562" i="54"/>
  <c r="G555" i="54"/>
  <c r="G462" i="54"/>
  <c r="E285" i="54"/>
  <c r="G285" i="54" s="1"/>
  <c r="G278" i="54"/>
  <c r="E235" i="54"/>
  <c r="G235" i="54" s="1"/>
  <c r="G228" i="54"/>
  <c r="C3955" i="54" l="1"/>
  <c r="G3955" i="54" s="1"/>
  <c r="C3905" i="54"/>
  <c r="G3905" i="54" s="1"/>
  <c r="C3855" i="54"/>
  <c r="G3855" i="54" s="1"/>
  <c r="C3805" i="54"/>
  <c r="G3805" i="54" s="1"/>
  <c r="C3745" i="54"/>
  <c r="G3745" i="54" s="1"/>
  <c r="C3695" i="54"/>
  <c r="G3695" i="54" s="1"/>
  <c r="C3645" i="54"/>
  <c r="G3645" i="54" s="1"/>
  <c r="C3595" i="54"/>
  <c r="G3595" i="54" s="1"/>
  <c r="C3545" i="54"/>
  <c r="G3545" i="54" s="1"/>
  <c r="C3495" i="54"/>
  <c r="G3495" i="54" s="1"/>
  <c r="C3445" i="54"/>
  <c r="G3445" i="54" s="1"/>
  <c r="C3395" i="54"/>
  <c r="G3395" i="54" s="1"/>
  <c r="C3345" i="54"/>
  <c r="G3345" i="54" s="1"/>
  <c r="C3285" i="54"/>
  <c r="C3235" i="54"/>
  <c r="G3235" i="54" s="1"/>
  <c r="C3185" i="54"/>
  <c r="G3185" i="54" s="1"/>
  <c r="C3135" i="54"/>
  <c r="G3135" i="54" s="1"/>
  <c r="C3085" i="54"/>
  <c r="G3085" i="54" s="1"/>
  <c r="C3035" i="54"/>
  <c r="G3035" i="54" s="1"/>
  <c r="C2985" i="54"/>
  <c r="G2985" i="54" s="1"/>
  <c r="C2935" i="54"/>
  <c r="G2935" i="54" s="1"/>
  <c r="C2885" i="54"/>
  <c r="G2885" i="54" s="1"/>
  <c r="C2835" i="54"/>
  <c r="G2835" i="54" s="1"/>
  <c r="C2781" i="54"/>
  <c r="G2781" i="54" s="1"/>
  <c r="C2731" i="54"/>
  <c r="G2731" i="54" s="1"/>
  <c r="C2681" i="54"/>
  <c r="G2681" i="54" s="1"/>
  <c r="C2631" i="54"/>
  <c r="G2631" i="54" s="1"/>
  <c r="C2581" i="54"/>
  <c r="G2581" i="54" s="1"/>
  <c r="C2531" i="54"/>
  <c r="G2531" i="54" s="1"/>
  <c r="C2481" i="54"/>
  <c r="G2481" i="54" s="1"/>
  <c r="C2431" i="54"/>
  <c r="G2431" i="54" s="1"/>
  <c r="C2381" i="54"/>
  <c r="G2381" i="54" s="1"/>
  <c r="C2331" i="54"/>
  <c r="G2331" i="54" s="1"/>
  <c r="C2281" i="54"/>
  <c r="G2281" i="54" s="1"/>
  <c r="C2231" i="54"/>
  <c r="G2231" i="54" s="1"/>
  <c r="C2181" i="54"/>
  <c r="G2181" i="54" s="1"/>
  <c r="C2131" i="54"/>
  <c r="G2131" i="54" s="1"/>
  <c r="C2081" i="54"/>
  <c r="G2081" i="54" s="1"/>
  <c r="C2031" i="54"/>
  <c r="G2031" i="54" s="1"/>
  <c r="C1981" i="54"/>
  <c r="G1981" i="54" s="1"/>
  <c r="C1931" i="54"/>
  <c r="G1931" i="54" s="1"/>
  <c r="C1881" i="54"/>
  <c r="G1881" i="54" s="1"/>
  <c r="C1831" i="54"/>
  <c r="G1831" i="54" s="1"/>
  <c r="C1781" i="54"/>
  <c r="G1781" i="54" s="1"/>
  <c r="C1731" i="54"/>
  <c r="G1731" i="54" s="1"/>
  <c r="C1681" i="54"/>
  <c r="G1681" i="54" s="1"/>
  <c r="C1631" i="54"/>
  <c r="G1631" i="54" s="1"/>
  <c r="C1581" i="54"/>
  <c r="G1581" i="54" s="1"/>
  <c r="C1531" i="54"/>
  <c r="G1531" i="54" s="1"/>
  <c r="C1481" i="54"/>
  <c r="G1481" i="54" s="1"/>
  <c r="C1431" i="54"/>
  <c r="G1431" i="54" s="1"/>
  <c r="C1381" i="54"/>
  <c r="G1381" i="54" s="1"/>
  <c r="C1331" i="54"/>
  <c r="B1331" i="54" s="1"/>
  <c r="C1281" i="54"/>
  <c r="G1281" i="54" s="1"/>
  <c r="C1231" i="54"/>
  <c r="G1231" i="54" s="1"/>
  <c r="C1181" i="54"/>
  <c r="G1181" i="54" s="1"/>
  <c r="C1131" i="54"/>
  <c r="G1131" i="54" s="1"/>
  <c r="C1081" i="54"/>
  <c r="G1081" i="54" s="1"/>
  <c r="C1031" i="54"/>
  <c r="G1031" i="54" s="1"/>
  <c r="C981" i="54"/>
  <c r="G981" i="54" s="1"/>
  <c r="C931" i="54"/>
  <c r="G931" i="54" s="1"/>
  <c r="C881" i="54"/>
  <c r="G881" i="54" s="1"/>
  <c r="C831" i="54"/>
  <c r="G831" i="54" s="1"/>
  <c r="C781" i="54"/>
  <c r="G781" i="54" s="1"/>
  <c r="C731" i="54"/>
  <c r="G731" i="54" s="1"/>
  <c r="C681" i="54"/>
  <c r="G681" i="54" s="1"/>
  <c r="C631" i="54"/>
  <c r="G631" i="54" s="1"/>
  <c r="C581" i="54"/>
  <c r="G581" i="54" s="1"/>
  <c r="C531" i="54"/>
  <c r="G531" i="54" s="1"/>
  <c r="C481" i="54"/>
  <c r="G481" i="54" s="1"/>
  <c r="C418" i="54"/>
  <c r="C359" i="54"/>
  <c r="G359" i="54" s="1"/>
  <c r="C304" i="54"/>
  <c r="C254" i="54"/>
  <c r="G254" i="54" s="1"/>
  <c r="C204" i="54"/>
  <c r="G204" i="54" s="1"/>
  <c r="C154" i="54"/>
  <c r="G154" i="54" s="1"/>
  <c r="C104" i="54"/>
  <c r="G104" i="54" s="1"/>
  <c r="C54" i="54"/>
  <c r="B54" i="54" s="1"/>
  <c r="J100" i="54" s="1"/>
  <c r="C4" i="54"/>
  <c r="B4" i="54" s="1"/>
  <c r="G3998" i="54"/>
  <c r="G3997" i="54"/>
  <c r="D3993" i="54"/>
  <c r="E3993" i="54" s="1"/>
  <c r="G3993" i="54" s="1"/>
  <c r="G3986" i="54"/>
  <c r="H3990" i="54" s="1"/>
  <c r="G3979" i="54"/>
  <c r="H3983" i="54" s="1"/>
  <c r="D3968" i="54"/>
  <c r="G3968" i="54" s="1"/>
  <c r="E3967" i="54"/>
  <c r="G3967" i="54" s="1"/>
  <c r="G3966" i="54"/>
  <c r="D3965" i="54"/>
  <c r="G3965" i="54" s="1"/>
  <c r="D3964" i="54"/>
  <c r="G3964" i="54" s="1"/>
  <c r="D3963" i="54"/>
  <c r="G3963" i="54" s="1"/>
  <c r="G3962" i="54"/>
  <c r="G3961" i="54"/>
  <c r="D3960" i="54"/>
  <c r="G3960" i="54" s="1"/>
  <c r="G3948" i="54"/>
  <c r="G3947" i="54"/>
  <c r="D3943" i="54"/>
  <c r="E3943" i="54" s="1"/>
  <c r="G3943" i="54" s="1"/>
  <c r="G3936" i="54"/>
  <c r="H3940" i="54" s="1"/>
  <c r="G3929" i="54"/>
  <c r="H3933" i="54" s="1"/>
  <c r="D3918" i="54"/>
  <c r="G3918" i="54" s="1"/>
  <c r="E3917" i="54"/>
  <c r="G3917" i="54" s="1"/>
  <c r="G3916" i="54"/>
  <c r="D3915" i="54"/>
  <c r="G3915" i="54" s="1"/>
  <c r="D3914" i="54"/>
  <c r="G3914" i="54" s="1"/>
  <c r="D3913" i="54"/>
  <c r="G3913" i="54" s="1"/>
  <c r="G3912" i="54"/>
  <c r="G3911" i="54"/>
  <c r="D3910" i="54"/>
  <c r="G3910" i="54" s="1"/>
  <c r="H3890" i="54"/>
  <c r="H3883" i="54"/>
  <c r="D3868" i="54"/>
  <c r="G3868" i="54" s="1"/>
  <c r="E3867" i="54"/>
  <c r="G3867" i="54" s="1"/>
  <c r="G3866" i="54"/>
  <c r="D3865" i="54"/>
  <c r="G3865" i="54" s="1"/>
  <c r="D3864" i="54"/>
  <c r="G3864" i="54" s="1"/>
  <c r="D3863" i="54"/>
  <c r="G3863" i="54" s="1"/>
  <c r="G3862" i="54"/>
  <c r="G3861" i="54"/>
  <c r="D3860" i="54"/>
  <c r="G3860" i="54" s="1"/>
  <c r="H3840" i="54"/>
  <c r="H3833" i="54"/>
  <c r="D3818" i="54"/>
  <c r="G3818" i="54" s="1"/>
  <c r="E3817" i="54"/>
  <c r="G3817" i="54" s="1"/>
  <c r="G3816" i="54"/>
  <c r="D3815" i="54"/>
  <c r="G3815" i="54" s="1"/>
  <c r="D3814" i="54"/>
  <c r="G3814" i="54" s="1"/>
  <c r="D3813" i="54"/>
  <c r="G3813" i="54" s="1"/>
  <c r="G3812" i="54"/>
  <c r="G3811" i="54"/>
  <c r="D3810" i="54"/>
  <c r="G3810" i="54" s="1"/>
  <c r="H3790" i="54"/>
  <c r="H3783" i="54"/>
  <c r="H3775" i="54"/>
  <c r="H3730" i="54"/>
  <c r="H3723" i="54"/>
  <c r="G3702" i="54"/>
  <c r="G3701" i="54"/>
  <c r="G3700" i="54"/>
  <c r="H3680" i="54"/>
  <c r="H3673" i="54"/>
  <c r="G3652" i="54"/>
  <c r="G3651" i="54"/>
  <c r="E3650" i="54"/>
  <c r="G3650" i="54" s="1"/>
  <c r="H3630" i="54"/>
  <c r="H3623" i="54"/>
  <c r="H3580" i="54"/>
  <c r="H3573" i="54"/>
  <c r="H3530" i="54"/>
  <c r="H3523" i="54"/>
  <c r="H3480" i="54"/>
  <c r="H3473" i="54"/>
  <c r="H3430" i="54"/>
  <c r="H3423" i="54"/>
  <c r="H3380" i="54"/>
  <c r="H3373" i="54"/>
  <c r="H3330" i="54"/>
  <c r="H3323" i="54"/>
  <c r="H3279" i="54"/>
  <c r="H3270" i="54"/>
  <c r="H3263" i="54"/>
  <c r="G3228" i="54"/>
  <c r="G3227" i="54"/>
  <c r="H3220" i="54"/>
  <c r="H3213" i="54"/>
  <c r="G3178" i="54"/>
  <c r="G3177" i="54"/>
  <c r="H3170" i="54"/>
  <c r="H3163" i="54"/>
  <c r="H3120" i="54"/>
  <c r="H3113" i="54"/>
  <c r="G3091" i="54"/>
  <c r="E3090" i="54"/>
  <c r="G3090" i="54" s="1"/>
  <c r="H3070" i="54"/>
  <c r="H3063" i="54"/>
  <c r="H3020" i="54"/>
  <c r="H3013" i="54"/>
  <c r="G2991" i="54"/>
  <c r="G2990" i="54"/>
  <c r="H2963" i="54"/>
  <c r="G2943" i="54"/>
  <c r="G2942" i="54"/>
  <c r="G2941" i="54"/>
  <c r="G2940" i="54"/>
  <c r="H2920" i="54"/>
  <c r="H2870" i="54"/>
  <c r="G2845" i="54"/>
  <c r="G2844" i="54"/>
  <c r="G2843" i="54"/>
  <c r="G2842" i="54"/>
  <c r="G2841" i="54"/>
  <c r="G2840" i="54"/>
  <c r="H2813" i="54"/>
  <c r="G2791" i="54"/>
  <c r="G2790" i="54"/>
  <c r="G2789" i="54"/>
  <c r="G2788" i="54"/>
  <c r="G2787" i="54"/>
  <c r="G2786" i="54"/>
  <c r="H2766" i="54"/>
  <c r="G2741" i="54"/>
  <c r="G2740" i="54"/>
  <c r="G2739" i="54"/>
  <c r="G2738" i="54"/>
  <c r="G2737" i="54"/>
  <c r="G2736" i="54"/>
  <c r="H2716" i="54"/>
  <c r="H2701" i="54"/>
  <c r="G2674" i="54"/>
  <c r="G2673" i="54"/>
  <c r="H2666" i="54"/>
  <c r="G2655" i="54"/>
  <c r="H2659" i="54" s="1"/>
  <c r="G2637" i="54"/>
  <c r="G2636" i="54"/>
  <c r="G2624" i="54"/>
  <c r="G2623" i="54"/>
  <c r="H2616" i="54"/>
  <c r="G2605" i="54"/>
  <c r="H2609" i="54" s="1"/>
  <c r="G2574" i="54"/>
  <c r="G2573" i="54"/>
  <c r="G2562" i="54"/>
  <c r="H2566" i="54" s="1"/>
  <c r="G2555" i="54"/>
  <c r="H2559" i="54" s="1"/>
  <c r="G2524" i="54"/>
  <c r="G2523" i="54"/>
  <c r="G2512" i="54"/>
  <c r="H2516" i="54" s="1"/>
  <c r="G2505" i="54"/>
  <c r="H2509" i="54" s="1"/>
  <c r="H2466" i="54"/>
  <c r="H2459" i="54"/>
  <c r="H2451" i="54"/>
  <c r="G2424" i="54"/>
  <c r="G2423" i="54"/>
  <c r="G2405" i="54"/>
  <c r="H2409" i="54" s="1"/>
  <c r="G2386" i="54"/>
  <c r="H2401" i="54" s="1"/>
  <c r="G2374" i="54"/>
  <c r="G2373" i="54"/>
  <c r="D2369" i="54"/>
  <c r="E2369" i="54" s="1"/>
  <c r="G2369" i="54" s="1"/>
  <c r="G2362" i="54"/>
  <c r="H2366" i="54" s="1"/>
  <c r="G2355" i="54"/>
  <c r="H2359" i="54" s="1"/>
  <c r="G2324" i="54"/>
  <c r="G2323" i="54"/>
  <c r="D2319" i="54"/>
  <c r="E2319" i="54" s="1"/>
  <c r="G2319" i="54" s="1"/>
  <c r="G2312" i="54"/>
  <c r="H2316" i="54" s="1"/>
  <c r="G2305" i="54"/>
  <c r="H2309" i="54" s="1"/>
  <c r="G2274" i="54"/>
  <c r="G2273" i="54"/>
  <c r="D2269" i="54"/>
  <c r="E2269" i="54" s="1"/>
  <c r="G2269" i="54" s="1"/>
  <c r="G2262" i="54"/>
  <c r="H2266" i="54" s="1"/>
  <c r="G2255" i="54"/>
  <c r="H2259" i="54" s="1"/>
  <c r="G2224" i="54"/>
  <c r="G2223" i="54"/>
  <c r="D2219" i="54"/>
  <c r="E2219" i="54" s="1"/>
  <c r="G2219" i="54" s="1"/>
  <c r="G2212" i="54"/>
  <c r="H2216" i="54" s="1"/>
  <c r="G2205" i="54"/>
  <c r="H2209" i="54" s="1"/>
  <c r="G2174" i="54"/>
  <c r="G2173" i="54"/>
  <c r="D2169" i="54"/>
  <c r="E2169" i="54" s="1"/>
  <c r="G2169" i="54" s="1"/>
  <c r="G2162" i="54"/>
  <c r="H2166" i="54" s="1"/>
  <c r="G2155" i="54"/>
  <c r="H2159" i="54" s="1"/>
  <c r="H2116" i="54"/>
  <c r="H2109" i="54"/>
  <c r="H2066" i="54"/>
  <c r="H2059" i="54"/>
  <c r="H2016" i="54"/>
  <c r="H2009" i="54"/>
  <c r="H1966" i="54"/>
  <c r="H1959" i="54"/>
  <c r="H1916" i="54"/>
  <c r="H1909" i="54"/>
  <c r="H1866" i="54"/>
  <c r="H1859" i="54"/>
  <c r="H1816" i="54"/>
  <c r="H1809" i="54"/>
  <c r="H1766" i="54"/>
  <c r="H1759" i="54"/>
  <c r="H1716" i="54"/>
  <c r="H1709" i="54"/>
  <c r="G1674" i="54"/>
  <c r="G1673" i="54"/>
  <c r="H1666" i="54"/>
  <c r="H1659" i="54"/>
  <c r="H1616" i="54"/>
  <c r="H1609" i="54"/>
  <c r="H1566" i="54"/>
  <c r="H1559" i="54"/>
  <c r="H1516" i="54"/>
  <c r="H1509" i="54"/>
  <c r="H1466" i="54"/>
  <c r="H1459" i="54"/>
  <c r="G1424" i="54"/>
  <c r="G1423" i="54"/>
  <c r="H1416" i="54"/>
  <c r="H1409" i="54"/>
  <c r="G1374" i="54"/>
  <c r="G1373" i="54"/>
  <c r="G1362" i="54"/>
  <c r="H1366" i="54" s="1"/>
  <c r="G1355" i="54"/>
  <c r="H1359" i="54" s="1"/>
  <c r="G1324" i="54"/>
  <c r="G1323" i="54"/>
  <c r="H1316" i="54"/>
  <c r="G1305" i="54"/>
  <c r="H1309" i="54" s="1"/>
  <c r="G1274" i="54"/>
  <c r="G1273" i="54"/>
  <c r="H1266" i="54"/>
  <c r="G1255" i="54"/>
  <c r="H1259" i="54" s="1"/>
  <c r="G1224" i="54"/>
  <c r="G1223" i="54"/>
  <c r="H1216" i="54"/>
  <c r="G1205" i="54"/>
  <c r="H1209" i="54" s="1"/>
  <c r="G1174" i="54"/>
  <c r="G1173" i="54"/>
  <c r="H1166" i="54"/>
  <c r="G1155" i="54"/>
  <c r="H1159" i="54" s="1"/>
  <c r="G1124" i="54"/>
  <c r="G1123" i="54"/>
  <c r="G1112" i="54"/>
  <c r="H1116" i="54" s="1"/>
  <c r="G1105" i="54"/>
  <c r="H1109" i="54" s="1"/>
  <c r="G1074" i="54"/>
  <c r="G1073" i="54"/>
  <c r="D1069" i="54"/>
  <c r="E1069" i="54" s="1"/>
  <c r="G1069" i="54" s="1"/>
  <c r="G1062" i="54"/>
  <c r="H1066" i="54" s="1"/>
  <c r="G1055" i="54"/>
  <c r="H1059" i="54" s="1"/>
  <c r="H1016" i="54"/>
  <c r="H1009" i="54"/>
  <c r="G974" i="54"/>
  <c r="G973" i="54"/>
  <c r="D969" i="54"/>
  <c r="E969" i="54" s="1"/>
  <c r="G969" i="54" s="1"/>
  <c r="G962" i="54"/>
  <c r="H966" i="54" s="1"/>
  <c r="G955" i="54"/>
  <c r="H959" i="54" s="1"/>
  <c r="D940" i="54"/>
  <c r="G940" i="54" s="1"/>
  <c r="D939" i="54"/>
  <c r="G939" i="54" s="1"/>
  <c r="G938" i="54"/>
  <c r="G937" i="54"/>
  <c r="G936" i="54"/>
  <c r="G924" i="54"/>
  <c r="G923" i="54"/>
  <c r="H916" i="54"/>
  <c r="G905" i="54"/>
  <c r="H909" i="54" s="1"/>
  <c r="G874" i="54"/>
  <c r="G873" i="54"/>
  <c r="E869" i="54"/>
  <c r="G869" i="54" s="1"/>
  <c r="H866" i="54"/>
  <c r="G840" i="54"/>
  <c r="G839" i="54"/>
  <c r="G838" i="54"/>
  <c r="G837" i="54"/>
  <c r="G836" i="54"/>
  <c r="G824" i="54"/>
  <c r="G823" i="54"/>
  <c r="H816" i="54"/>
  <c r="H809" i="54"/>
  <c r="H801" i="54"/>
  <c r="G774" i="54"/>
  <c r="G773" i="54"/>
  <c r="H766" i="54"/>
  <c r="H759" i="54"/>
  <c r="H751" i="54"/>
  <c r="G724" i="54"/>
  <c r="G723" i="54"/>
  <c r="H716" i="54"/>
  <c r="H701" i="54"/>
  <c r="H666" i="54"/>
  <c r="H659" i="54"/>
  <c r="H651" i="54"/>
  <c r="G624" i="54"/>
  <c r="G623" i="54"/>
  <c r="H616" i="54"/>
  <c r="H609" i="54"/>
  <c r="G593" i="54"/>
  <c r="G592" i="54"/>
  <c r="G591" i="54"/>
  <c r="G590" i="54"/>
  <c r="G589" i="54"/>
  <c r="G588" i="54"/>
  <c r="G587" i="54"/>
  <c r="E586" i="54"/>
  <c r="G586" i="54" s="1"/>
  <c r="G574" i="54"/>
  <c r="G573" i="54"/>
  <c r="H566" i="54"/>
  <c r="H559" i="54"/>
  <c r="G543" i="54"/>
  <c r="G542" i="54"/>
  <c r="G541" i="54"/>
  <c r="G540" i="54"/>
  <c r="G539" i="54"/>
  <c r="G538" i="54"/>
  <c r="G537" i="54"/>
  <c r="E536" i="54"/>
  <c r="G536" i="54" s="1"/>
  <c r="G524" i="54"/>
  <c r="G523" i="54"/>
  <c r="D519" i="54"/>
  <c r="E519" i="54" s="1"/>
  <c r="G519" i="54" s="1"/>
  <c r="H516" i="54"/>
  <c r="G505" i="54"/>
  <c r="H509" i="54" s="1"/>
  <c r="G474" i="54"/>
  <c r="G473" i="54"/>
  <c r="H466" i="54"/>
  <c r="G441" i="54"/>
  <c r="G440" i="54"/>
  <c r="G439" i="54"/>
  <c r="G438" i="54"/>
  <c r="G437" i="54"/>
  <c r="G436" i="54"/>
  <c r="G435" i="54"/>
  <c r="G434" i="54"/>
  <c r="H430" i="54"/>
  <c r="H403" i="54"/>
  <c r="G381" i="54"/>
  <c r="G380" i="54"/>
  <c r="G379" i="54"/>
  <c r="G378" i="54"/>
  <c r="G377" i="54"/>
  <c r="H373" i="54"/>
  <c r="G352" i="54"/>
  <c r="G351" i="54"/>
  <c r="G340" i="54"/>
  <c r="H344" i="54" s="1"/>
  <c r="E335" i="54"/>
  <c r="G335" i="54" s="1"/>
  <c r="E334" i="54"/>
  <c r="G334" i="54" s="1"/>
  <c r="E333" i="54"/>
  <c r="G333" i="54" s="1"/>
  <c r="E332" i="54"/>
  <c r="G332" i="54" s="1"/>
  <c r="E331" i="54"/>
  <c r="G331" i="54" s="1"/>
  <c r="E330" i="54"/>
  <c r="G330" i="54" s="1"/>
  <c r="E329" i="54"/>
  <c r="G329" i="54" s="1"/>
  <c r="E328" i="54"/>
  <c r="G328" i="54" s="1"/>
  <c r="G315" i="54"/>
  <c r="G314" i="54"/>
  <c r="G313" i="54"/>
  <c r="G312" i="54"/>
  <c r="G311" i="54"/>
  <c r="G310" i="54"/>
  <c r="G309" i="54"/>
  <c r="G297" i="54"/>
  <c r="G296" i="54"/>
  <c r="H289" i="54"/>
  <c r="H282" i="54"/>
  <c r="G247" i="54"/>
  <c r="G246" i="54"/>
  <c r="H239" i="54"/>
  <c r="H232" i="54"/>
  <c r="H224" i="54"/>
  <c r="H189" i="54"/>
  <c r="H182" i="54"/>
  <c r="H174" i="54"/>
  <c r="G147" i="54"/>
  <c r="H139" i="54"/>
  <c r="H132" i="54"/>
  <c r="H124" i="54"/>
  <c r="H89" i="54"/>
  <c r="H82" i="54"/>
  <c r="G47" i="54"/>
  <c r="G46" i="54"/>
  <c r="D42" i="54"/>
  <c r="E42" i="54" s="1"/>
  <c r="G42" i="54" s="1"/>
  <c r="G35" i="54"/>
  <c r="H39" i="54" s="1"/>
  <c r="G28" i="54"/>
  <c r="H32" i="54" s="1"/>
  <c r="G10" i="54"/>
  <c r="E9" i="54"/>
  <c r="G9" i="54" s="1"/>
  <c r="H1375" i="54" l="1"/>
  <c r="H3229" i="54"/>
  <c r="H3999" i="54"/>
  <c r="H2625" i="54"/>
  <c r="H2575" i="54"/>
  <c r="H2577" i="54" s="1"/>
  <c r="H48" i="54"/>
  <c r="H50" i="54" s="1"/>
  <c r="H2175" i="54"/>
  <c r="G4" i="54"/>
  <c r="H825" i="54"/>
  <c r="H827" i="54" s="1"/>
  <c r="H1525" i="54"/>
  <c r="H1775" i="54"/>
  <c r="H3615" i="54"/>
  <c r="H24" i="54"/>
  <c r="H274" i="54"/>
  <c r="H300" i="54" s="1"/>
  <c r="H1101" i="54"/>
  <c r="H1175" i="54"/>
  <c r="H3255" i="54"/>
  <c r="H3281" i="54" s="1"/>
  <c r="H2725" i="54"/>
  <c r="H3005" i="54"/>
  <c r="H3639" i="54"/>
  <c r="H851" i="54"/>
  <c r="H1925" i="54"/>
  <c r="H2551" i="54"/>
  <c r="H3105" i="54"/>
  <c r="H3949" i="54"/>
  <c r="H337" i="54"/>
  <c r="H98" i="54"/>
  <c r="H625" i="54"/>
  <c r="H2425" i="54"/>
  <c r="H148" i="54"/>
  <c r="H150" i="54" s="1"/>
  <c r="H248" i="54"/>
  <c r="H250" i="54" s="1"/>
  <c r="H725" i="54"/>
  <c r="H1151" i="54"/>
  <c r="H1701" i="54"/>
  <c r="H2225" i="54"/>
  <c r="H2501" i="54"/>
  <c r="H2651" i="54"/>
  <c r="H2905" i="54"/>
  <c r="H2955" i="54"/>
  <c r="H2979" i="54"/>
  <c r="H3849" i="54"/>
  <c r="H3899" i="54"/>
  <c r="H298" i="54"/>
  <c r="H353" i="54"/>
  <c r="H501" i="54"/>
  <c r="H1225" i="54"/>
  <c r="H2051" i="54"/>
  <c r="H2075" i="54"/>
  <c r="H2801" i="54"/>
  <c r="H2879" i="54"/>
  <c r="G54" i="54"/>
  <c r="B3955" i="54"/>
  <c r="J4001" i="54" s="1"/>
  <c r="B3905" i="54"/>
  <c r="J3951" i="54" s="1"/>
  <c r="B3855" i="54"/>
  <c r="J3901" i="54" s="1"/>
  <c r="B3805" i="54"/>
  <c r="J3851" i="54" s="1"/>
  <c r="B3745" i="54"/>
  <c r="B3695" i="54"/>
  <c r="B3645" i="54"/>
  <c r="B3595" i="54"/>
  <c r="B3545" i="54"/>
  <c r="B3495" i="54"/>
  <c r="B3445" i="54"/>
  <c r="B3395" i="54"/>
  <c r="B3345" i="54"/>
  <c r="B3235" i="54"/>
  <c r="B3185" i="54"/>
  <c r="B3135" i="54"/>
  <c r="B3085" i="54"/>
  <c r="B3035" i="54"/>
  <c r="B2985" i="54"/>
  <c r="B2935" i="54"/>
  <c r="B2885" i="54"/>
  <c r="B2835" i="54"/>
  <c r="B2781" i="54"/>
  <c r="B2731" i="54"/>
  <c r="B2681" i="54"/>
  <c r="B2631" i="54"/>
  <c r="B2581" i="54"/>
  <c r="B2531" i="54"/>
  <c r="B2481" i="54"/>
  <c r="B2431" i="54"/>
  <c r="B2381" i="54"/>
  <c r="B2331" i="54"/>
  <c r="B2281" i="54"/>
  <c r="B2231" i="54"/>
  <c r="B2181" i="54"/>
  <c r="B2131" i="54"/>
  <c r="B2081" i="54"/>
  <c r="B2031" i="54"/>
  <c r="B1981" i="54"/>
  <c r="B1931" i="54"/>
  <c r="B1881" i="54"/>
  <c r="B1831" i="54"/>
  <c r="B1781" i="54"/>
  <c r="B1731" i="54"/>
  <c r="B1681" i="54"/>
  <c r="B1631" i="54"/>
  <c r="B1581" i="54"/>
  <c r="B1531" i="54"/>
  <c r="B1481" i="54"/>
  <c r="B1431" i="54"/>
  <c r="B1381" i="54"/>
  <c r="G1331" i="54"/>
  <c r="B1281" i="54"/>
  <c r="B1231" i="54"/>
  <c r="B1181" i="54"/>
  <c r="B1131" i="54"/>
  <c r="B1081" i="54"/>
  <c r="B1031" i="54"/>
  <c r="B981" i="54"/>
  <c r="B931" i="54"/>
  <c r="B881" i="54"/>
  <c r="B831" i="54"/>
  <c r="B781" i="54"/>
  <c r="B731" i="54"/>
  <c r="B681" i="54"/>
  <c r="B631" i="54"/>
  <c r="B581" i="54"/>
  <c r="B531" i="54"/>
  <c r="B481" i="54"/>
  <c r="B359" i="54"/>
  <c r="B254" i="54"/>
  <c r="J300" i="54" s="1"/>
  <c r="B204" i="54"/>
  <c r="J250" i="54" s="1"/>
  <c r="B154" i="54"/>
  <c r="J200" i="54" s="1"/>
  <c r="B104" i="54"/>
  <c r="J150" i="54" s="1"/>
  <c r="H412" i="54"/>
  <c r="H324" i="54"/>
  <c r="H355" i="54" s="1"/>
  <c r="H475" i="54"/>
  <c r="H551" i="54"/>
  <c r="H575" i="54"/>
  <c r="H901" i="54"/>
  <c r="H1075" i="54"/>
  <c r="H1201" i="54"/>
  <c r="H1451" i="54"/>
  <c r="H1801" i="54"/>
  <c r="H1901" i="54"/>
  <c r="H2001" i="54"/>
  <c r="H2201" i="54"/>
  <c r="H2325" i="54"/>
  <c r="H2416" i="54"/>
  <c r="H2855" i="54"/>
  <c r="H2863" i="54"/>
  <c r="H2913" i="54"/>
  <c r="H3205" i="54"/>
  <c r="H3339" i="54"/>
  <c r="H3465" i="54"/>
  <c r="H3489" i="54"/>
  <c r="H3565" i="54"/>
  <c r="H3689" i="54"/>
  <c r="H3739" i="54"/>
  <c r="H3799" i="54"/>
  <c r="H3801" i="54" s="1"/>
  <c r="H74" i="54"/>
  <c r="H198" i="54"/>
  <c r="H200" i="54" s="1"/>
  <c r="H859" i="54"/>
  <c r="H951" i="54"/>
  <c r="H1001" i="54"/>
  <c r="H1125" i="54"/>
  <c r="H1601" i="54"/>
  <c r="H1675" i="54"/>
  <c r="H2025" i="54"/>
  <c r="H2125" i="54"/>
  <c r="H2251" i="54"/>
  <c r="H2275" i="54"/>
  <c r="H2475" i="54"/>
  <c r="H2477" i="54" s="1"/>
  <c r="H2675" i="54"/>
  <c r="H2751" i="54"/>
  <c r="H2759" i="54"/>
  <c r="H2775" i="54"/>
  <c r="H2970" i="54"/>
  <c r="H3079" i="54"/>
  <c r="H3155" i="54"/>
  <c r="H3179" i="54"/>
  <c r="H3589" i="54"/>
  <c r="H443" i="54"/>
  <c r="H525" i="54"/>
  <c r="H527" i="54" s="1"/>
  <c r="H875" i="54"/>
  <c r="H1051" i="54"/>
  <c r="H1275" i="54"/>
  <c r="H1725" i="54"/>
  <c r="H1727" i="54" s="1"/>
  <c r="H1825" i="54"/>
  <c r="H1951" i="54"/>
  <c r="H2101" i="54"/>
  <c r="H3029" i="54"/>
  <c r="H3031" i="54" s="1"/>
  <c r="H3415" i="54"/>
  <c r="H3439" i="54"/>
  <c r="H601" i="54"/>
  <c r="H675" i="54"/>
  <c r="H677" i="54" s="1"/>
  <c r="D214" i="33" s="1"/>
  <c r="H975" i="54"/>
  <c r="H1251" i="54"/>
  <c r="H1425" i="54"/>
  <c r="H1501" i="54"/>
  <c r="H1527" i="54" s="1"/>
  <c r="H1575" i="54"/>
  <c r="H1651" i="54"/>
  <c r="H1875" i="54"/>
  <c r="H1975" i="54"/>
  <c r="H2829" i="54"/>
  <c r="H3129" i="54"/>
  <c r="H3515" i="54"/>
  <c r="H3539" i="54"/>
  <c r="H1177" i="54"/>
  <c r="H383" i="54"/>
  <c r="H775" i="54"/>
  <c r="H777" i="54" s="1"/>
  <c r="H1025" i="54"/>
  <c r="H1325" i="54"/>
  <c r="H1751" i="54"/>
  <c r="H1851" i="54"/>
  <c r="H2301" i="54"/>
  <c r="H2375" i="54"/>
  <c r="H2820" i="54"/>
  <c r="H2929" i="54"/>
  <c r="H3055" i="54"/>
  <c r="H3365" i="54"/>
  <c r="H3389" i="54"/>
  <c r="H3665" i="54"/>
  <c r="H3715" i="54"/>
  <c r="H3925" i="54"/>
  <c r="H3951" i="54" s="1"/>
  <c r="J50" i="54"/>
  <c r="H459" i="54"/>
  <c r="H396" i="54"/>
  <c r="H1301" i="54"/>
  <c r="H1551" i="54"/>
  <c r="H925" i="54"/>
  <c r="H1351" i="54"/>
  <c r="H1377" i="54" s="1"/>
  <c r="H1625" i="54"/>
  <c r="H709" i="54"/>
  <c r="H1401" i="54"/>
  <c r="H1475" i="54"/>
  <c r="H2601" i="54"/>
  <c r="H2709" i="54"/>
  <c r="H2151" i="54"/>
  <c r="H2351" i="54"/>
  <c r="H3825" i="54"/>
  <c r="H3875" i="54"/>
  <c r="H3315" i="54"/>
  <c r="H2525" i="54"/>
  <c r="H3975" i="54"/>
  <c r="H2077" i="54" l="1"/>
  <c r="H3131" i="54"/>
  <c r="H2177" i="54"/>
  <c r="K2177" i="54" s="1"/>
  <c r="H1777" i="54"/>
  <c r="K1777" i="54" s="1"/>
  <c r="H100" i="54"/>
  <c r="K100" i="54" s="1"/>
  <c r="H2227" i="54"/>
  <c r="H3901" i="54"/>
  <c r="K3901" i="54" s="1"/>
  <c r="H2727" i="54"/>
  <c r="K2727" i="54" s="1"/>
  <c r="H1677" i="54"/>
  <c r="K1677" i="54" s="1"/>
  <c r="H1277" i="54"/>
  <c r="H1227" i="54"/>
  <c r="H4001" i="54"/>
  <c r="K4001" i="54" s="1"/>
  <c r="H3851" i="54"/>
  <c r="D221" i="33" s="1"/>
  <c r="H2677" i="54"/>
  <c r="D258" i="33" s="1"/>
  <c r="H1127" i="54"/>
  <c r="H3231" i="54"/>
  <c r="K3231" i="54" s="1"/>
  <c r="H2427" i="54"/>
  <c r="K2427" i="54" s="1"/>
  <c r="H1927" i="54"/>
  <c r="H3691" i="54"/>
  <c r="D278" i="33" s="1"/>
  <c r="H727" i="54"/>
  <c r="H2327" i="54"/>
  <c r="D251" i="33" s="1"/>
  <c r="H977" i="54"/>
  <c r="K977" i="54" s="1"/>
  <c r="H2627" i="54"/>
  <c r="K2627" i="54" s="1"/>
  <c r="H2981" i="54"/>
  <c r="K2981" i="54" s="1"/>
  <c r="H2527" i="54"/>
  <c r="D255" i="33" s="1"/>
  <c r="H627" i="54"/>
  <c r="H1027" i="54"/>
  <c r="K1027" i="54" s="1"/>
  <c r="H3441" i="54"/>
  <c r="K3441" i="54" s="1"/>
  <c r="H1977" i="54"/>
  <c r="D244" i="33" s="1"/>
  <c r="H2127" i="54"/>
  <c r="K2127" i="54" s="1"/>
  <c r="H3541" i="54"/>
  <c r="D275" i="33" s="1"/>
  <c r="H2377" i="54"/>
  <c r="K2377" i="54" s="1"/>
  <c r="H1427" i="54"/>
  <c r="D233" i="33" s="1"/>
  <c r="H577" i="54"/>
  <c r="K577" i="54" s="1"/>
  <c r="H877" i="54"/>
  <c r="K877" i="54" s="1"/>
  <c r="H2931" i="54"/>
  <c r="K2931" i="54" s="1"/>
  <c r="H1627" i="54"/>
  <c r="K1627" i="54" s="1"/>
  <c r="H3641" i="54"/>
  <c r="D277" i="33" s="1"/>
  <c r="H3341" i="54"/>
  <c r="H2881" i="54"/>
  <c r="D262" i="33" s="1"/>
  <c r="H1577" i="54"/>
  <c r="K1577" i="54" s="1"/>
  <c r="H1477" i="54"/>
  <c r="K1477" i="54" s="1"/>
  <c r="H1327" i="54"/>
  <c r="K1327" i="54" s="1"/>
  <c r="H414" i="54"/>
  <c r="K414" i="54" s="1"/>
  <c r="H1077" i="54"/>
  <c r="K1077" i="54" s="1"/>
  <c r="H477" i="54"/>
  <c r="H1877" i="54"/>
  <c r="K1877" i="54" s="1"/>
  <c r="H2027" i="54"/>
  <c r="K2027" i="54" s="1"/>
  <c r="H927" i="54"/>
  <c r="D219" i="33" s="1"/>
  <c r="H3081" i="54"/>
  <c r="K3081" i="54" s="1"/>
  <c r="K3801" i="54"/>
  <c r="D280" i="33"/>
  <c r="K2227" i="54"/>
  <c r="D249" i="33"/>
  <c r="K3131" i="54"/>
  <c r="D267" i="33"/>
  <c r="K1727" i="54"/>
  <c r="D239" i="33"/>
  <c r="K2477" i="54"/>
  <c r="D254" i="33"/>
  <c r="K677" i="54"/>
  <c r="K3541" i="54"/>
  <c r="K1927" i="54"/>
  <c r="D243" i="33"/>
  <c r="K3691" i="54"/>
  <c r="K777" i="54"/>
  <c r="D216" i="33"/>
  <c r="K150" i="54"/>
  <c r="D204" i="33"/>
  <c r="D212" i="33"/>
  <c r="K727" i="54"/>
  <c r="D215" i="33"/>
  <c r="D273" i="33"/>
  <c r="D248" i="33"/>
  <c r="K3031" i="54"/>
  <c r="D265" i="33"/>
  <c r="K527" i="54"/>
  <c r="D211" i="33"/>
  <c r="H3181" i="54"/>
  <c r="K827" i="54"/>
  <c r="D217" i="33"/>
  <c r="K2527" i="54"/>
  <c r="K2677" i="54"/>
  <c r="K1377" i="54"/>
  <c r="D232" i="33"/>
  <c r="K1227" i="54"/>
  <c r="D229" i="33"/>
  <c r="K1177" i="54"/>
  <c r="D228" i="33"/>
  <c r="K627" i="54"/>
  <c r="D213" i="33"/>
  <c r="K355" i="54"/>
  <c r="K1527" i="54"/>
  <c r="D235" i="33"/>
  <c r="K1127" i="54"/>
  <c r="D227" i="33"/>
  <c r="K2577" i="54"/>
  <c r="D256" i="33"/>
  <c r="K3951" i="54"/>
  <c r="D223" i="33"/>
  <c r="D218" i="33"/>
  <c r="K200" i="54"/>
  <c r="D205" i="33"/>
  <c r="D222" i="33"/>
  <c r="K2077" i="54"/>
  <c r="D246" i="33"/>
  <c r="K3281" i="54"/>
  <c r="D270" i="33"/>
  <c r="K50" i="54"/>
  <c r="D202" i="33"/>
  <c r="H2277" i="54"/>
  <c r="D224" i="33"/>
  <c r="K250" i="54"/>
  <c r="D206" i="33"/>
  <c r="H3741" i="54"/>
  <c r="H2831" i="54"/>
  <c r="K1277" i="54"/>
  <c r="D230" i="33"/>
  <c r="K300" i="54"/>
  <c r="D207" i="33"/>
  <c r="J414" i="54"/>
  <c r="J477" i="54"/>
  <c r="J355" i="54"/>
  <c r="H1827" i="54"/>
  <c r="H3391" i="54"/>
  <c r="H3491" i="54"/>
  <c r="H2777" i="54"/>
  <c r="H3591" i="54"/>
  <c r="D269" i="33" l="1"/>
  <c r="D220" i="33"/>
  <c r="D264" i="33"/>
  <c r="D252" i="33"/>
  <c r="K3851" i="54"/>
  <c r="D203" i="33"/>
  <c r="D253" i="33"/>
  <c r="D259" i="33"/>
  <c r="D238" i="33"/>
  <c r="D240" i="33"/>
  <c r="D242" i="33"/>
  <c r="K477" i="54"/>
  <c r="D210" i="33"/>
  <c r="K2327" i="54"/>
  <c r="K1427" i="54"/>
  <c r="D237" i="33"/>
  <c r="K3641" i="54"/>
  <c r="D247" i="33"/>
  <c r="D266" i="33"/>
  <c r="D257" i="33"/>
  <c r="D225" i="33"/>
  <c r="D234" i="33"/>
  <c r="K1977" i="54"/>
  <c r="D263" i="33"/>
  <c r="D271" i="33"/>
  <c r="K2881" i="54"/>
  <c r="D245" i="33"/>
  <c r="D236" i="33"/>
  <c r="D231" i="33"/>
  <c r="D226" i="33"/>
  <c r="K927" i="54"/>
  <c r="K2277" i="54"/>
  <c r="D250" i="33"/>
  <c r="K3591" i="54"/>
  <c r="D276" i="33"/>
  <c r="K3181" i="54"/>
  <c r="D268" i="33"/>
  <c r="K1827" i="54"/>
  <c r="D241" i="33"/>
  <c r="K2777" i="54"/>
  <c r="D260" i="33"/>
  <c r="K3491" i="54"/>
  <c r="D274" i="33"/>
  <c r="K2831" i="54"/>
  <c r="D261" i="33"/>
  <c r="K3391" i="54"/>
  <c r="D272" i="33"/>
  <c r="K3741" i="54"/>
  <c r="D279" i="33"/>
  <c r="J527" i="54"/>
  <c r="J577" i="54" l="1"/>
  <c r="J627" i="54" l="1"/>
  <c r="J677" i="54" l="1"/>
  <c r="J727" i="54" l="1"/>
  <c r="J777" i="54" l="1"/>
  <c r="J827" i="54" l="1"/>
  <c r="J877" i="54" l="1"/>
  <c r="J927" i="54" l="1"/>
  <c r="J977" i="54" l="1"/>
  <c r="J1027" i="54" l="1"/>
  <c r="J1077" i="54" l="1"/>
  <c r="J1127" i="54" l="1"/>
  <c r="J1177" i="54" l="1"/>
  <c r="J1227" i="54" l="1"/>
  <c r="J1277" i="54" l="1"/>
  <c r="J1327" i="54" l="1"/>
  <c r="J1377" i="54" l="1"/>
  <c r="J1427" i="54" l="1"/>
  <c r="J1477" i="54" l="1"/>
  <c r="J1527" i="54" l="1"/>
  <c r="J1577" i="54" l="1"/>
  <c r="J1627" i="54" l="1"/>
  <c r="J1677" i="54" l="1"/>
  <c r="J1727" i="54" l="1"/>
  <c r="J1777" i="54" l="1"/>
  <c r="J1827" i="54" l="1"/>
  <c r="J1877" i="54" l="1"/>
  <c r="J1927" i="54" l="1"/>
  <c r="J1977" i="54" l="1"/>
  <c r="J2027" i="54" l="1"/>
  <c r="J2077" i="54" l="1"/>
  <c r="J2127" i="54" l="1"/>
  <c r="J2177" i="54" l="1"/>
  <c r="J2227" i="54" l="1"/>
  <c r="J2277" i="54" l="1"/>
  <c r="J2327" i="54" l="1"/>
  <c r="J2377" i="54" l="1"/>
  <c r="J2427" i="54" l="1"/>
  <c r="J2477" i="54" l="1"/>
  <c r="J2527" i="54" l="1"/>
  <c r="J2577" i="54" l="1"/>
  <c r="J2627" i="54" l="1"/>
  <c r="J2677" i="54" l="1"/>
  <c r="J2727" i="54" l="1"/>
  <c r="J2777" i="54" l="1"/>
  <c r="J2831" i="54" l="1"/>
  <c r="J2881" i="54" l="1"/>
  <c r="J2931" i="54" l="1"/>
  <c r="J2981" i="54" l="1"/>
  <c r="J3031" i="54" l="1"/>
  <c r="J3081" i="54" l="1"/>
  <c r="J3131" i="54" l="1"/>
  <c r="J3181" i="54" l="1"/>
  <c r="J3231" i="54" l="1"/>
  <c r="J3281" i="54" l="1"/>
  <c r="J3391" i="54" l="1"/>
  <c r="J3441" i="54" l="1"/>
  <c r="J3491" i="54" l="1"/>
  <c r="J3541" i="54" l="1"/>
  <c r="J3591" i="54" l="1"/>
  <c r="J3641" i="54" l="1"/>
  <c r="J3691" i="54" l="1"/>
  <c r="J3741" i="54" l="1"/>
  <c r="J3801" i="54" l="1"/>
  <c r="B15" i="57" l="1"/>
  <c r="B31" i="52" l="1"/>
  <c r="F98" i="57" l="1"/>
  <c r="C37" i="42" s="1"/>
  <c r="C59" i="28"/>
  <c r="G886" i="27"/>
  <c r="G887" i="27"/>
  <c r="G888" i="27"/>
  <c r="D885" i="27"/>
  <c r="E885" i="27" s="1"/>
  <c r="G885" i="27" s="1"/>
  <c r="D884" i="27"/>
  <c r="E884" i="27" s="1"/>
  <c r="G884" i="27" s="1"/>
  <c r="D883" i="27"/>
  <c r="E883" i="27" s="1"/>
  <c r="G883" i="27" s="1"/>
  <c r="E881" i="27"/>
  <c r="D882" i="27"/>
  <c r="E882" i="27" s="1"/>
  <c r="G882" i="27" s="1"/>
  <c r="D881" i="27"/>
  <c r="G37" i="42" l="1"/>
  <c r="F260" i="27"/>
  <c r="B36" i="52" l="1"/>
  <c r="J84" i="35"/>
  <c r="A6" i="35"/>
  <c r="F6" i="35" s="1"/>
  <c r="A7" i="35"/>
  <c r="F7" i="35" s="1"/>
  <c r="A8" i="35"/>
  <c r="F8" i="35" s="1"/>
  <c r="A9" i="35"/>
  <c r="F9" i="35" s="1"/>
  <c r="A10" i="35"/>
  <c r="F10" i="35" s="1"/>
  <c r="A11" i="35"/>
  <c r="F11" i="35" s="1"/>
  <c r="A12" i="35"/>
  <c r="F12" i="35" s="1"/>
  <c r="A13" i="35"/>
  <c r="F13" i="35" s="1"/>
  <c r="A5" i="35"/>
  <c r="I84" i="35" s="1"/>
  <c r="F2" i="35"/>
  <c r="F3" i="35"/>
  <c r="G72" i="35"/>
  <c r="D72" i="35"/>
  <c r="K84" i="35" l="1"/>
  <c r="F5" i="35"/>
  <c r="A43" i="35"/>
  <c r="A42" i="35"/>
  <c r="F42" i="35" s="1"/>
  <c r="A41" i="35"/>
  <c r="F41" i="35" s="1"/>
  <c r="A40" i="35"/>
  <c r="F28" i="35" l="1"/>
  <c r="A25" i="35"/>
  <c r="A24" i="35"/>
  <c r="F24" i="35" s="1"/>
  <c r="A23" i="35"/>
  <c r="F23" i="35" s="1"/>
  <c r="F20" i="35"/>
  <c r="F22" i="35"/>
  <c r="F52" i="35"/>
  <c r="C75" i="41"/>
  <c r="C77" i="41"/>
  <c r="C78" i="41"/>
  <c r="C79" i="41"/>
  <c r="C80" i="41"/>
  <c r="C81" i="41"/>
  <c r="D70" i="27"/>
  <c r="D71" i="27" s="1"/>
  <c r="F3702" i="51" l="1"/>
  <c r="F3735" i="51"/>
  <c r="F3783" i="51"/>
  <c r="F3750" i="51"/>
  <c r="F3654" i="51"/>
  <c r="F3606" i="51"/>
  <c r="F4023" i="51"/>
  <c r="F3975" i="51"/>
  <c r="F3927" i="51"/>
  <c r="F3879" i="51"/>
  <c r="F3831" i="51"/>
  <c r="F5464" i="51"/>
  <c r="F5465" i="51" s="1"/>
  <c r="F5466" i="51" s="1"/>
  <c r="C5463" i="51"/>
  <c r="G7087" i="51" l="1"/>
  <c r="C7087" i="51"/>
  <c r="B7087" i="51" s="1"/>
  <c r="C7125" i="51"/>
  <c r="H7122" i="51"/>
  <c r="G7037" i="51"/>
  <c r="C7037" i="51"/>
  <c r="B7037" i="51" s="1"/>
  <c r="C7075" i="51"/>
  <c r="H7072" i="51"/>
  <c r="G6987" i="51"/>
  <c r="C6987" i="51"/>
  <c r="B6987" i="51" s="1"/>
  <c r="C7025" i="51"/>
  <c r="H7022" i="51"/>
  <c r="G6937" i="51"/>
  <c r="C6937" i="51"/>
  <c r="B6937" i="51" s="1"/>
  <c r="C6975" i="51"/>
  <c r="H6972" i="51"/>
  <c r="G144" i="50" l="1"/>
  <c r="D144" i="50"/>
  <c r="E144" i="50" s="1"/>
  <c r="F144" i="50" s="1"/>
  <c r="E1087" i="27" l="1"/>
  <c r="E1025" i="27" l="1"/>
  <c r="F4856" i="51" l="1"/>
  <c r="F4808" i="51"/>
  <c r="F4760" i="51"/>
  <c r="F4712" i="51"/>
  <c r="F4664" i="51"/>
  <c r="S300" i="50"/>
  <c r="S299" i="50"/>
  <c r="S298" i="50"/>
  <c r="S297" i="50"/>
  <c r="S296" i="50"/>
  <c r="S295" i="50"/>
  <c r="S294" i="50"/>
  <c r="S293" i="50"/>
  <c r="S292" i="50"/>
  <c r="S291" i="50"/>
  <c r="S290" i="50"/>
  <c r="S289" i="50"/>
  <c r="S288" i="50"/>
  <c r="S287" i="50"/>
  <c r="S286" i="50"/>
  <c r="S285" i="50"/>
  <c r="S284" i="50"/>
  <c r="S283" i="50"/>
  <c r="S282" i="50"/>
  <c r="S281" i="50"/>
  <c r="S280" i="50"/>
  <c r="S279" i="50"/>
  <c r="S278" i="50"/>
  <c r="S277" i="50"/>
  <c r="S276" i="50"/>
  <c r="S275" i="50"/>
  <c r="S274" i="50"/>
  <c r="S273" i="50"/>
  <c r="S272" i="50"/>
  <c r="S271" i="50"/>
  <c r="S270" i="50"/>
  <c r="S269" i="50"/>
  <c r="S268" i="50"/>
  <c r="S267" i="50"/>
  <c r="S266" i="50"/>
  <c r="S265" i="50"/>
  <c r="S264" i="50"/>
  <c r="S263" i="50"/>
  <c r="S262" i="50"/>
  <c r="S261" i="50"/>
  <c r="S260" i="50"/>
  <c r="S259" i="50"/>
  <c r="S258" i="50"/>
  <c r="S257" i="50"/>
  <c r="S256" i="50"/>
  <c r="S255" i="50"/>
  <c r="S254" i="50"/>
  <c r="S253" i="50"/>
  <c r="S252" i="50"/>
  <c r="S251" i="50"/>
  <c r="S250" i="50"/>
  <c r="S249" i="50"/>
  <c r="S248" i="50"/>
  <c r="S247" i="50"/>
  <c r="S246" i="50"/>
  <c r="S245" i="50"/>
  <c r="S244" i="50"/>
  <c r="S243" i="50"/>
  <c r="S242" i="50"/>
  <c r="S241" i="50"/>
  <c r="S240" i="50"/>
  <c r="S239" i="50"/>
  <c r="S238" i="50"/>
  <c r="S237" i="50"/>
  <c r="S236" i="50"/>
  <c r="S235" i="50"/>
  <c r="S234" i="50"/>
  <c r="S233" i="50"/>
  <c r="S232" i="50"/>
  <c r="S231" i="50"/>
  <c r="S230" i="50"/>
  <c r="S229" i="50"/>
  <c r="S228" i="50"/>
  <c r="S227" i="50"/>
  <c r="S226" i="50"/>
  <c r="S225" i="50"/>
  <c r="S224" i="50"/>
  <c r="S223" i="50"/>
  <c r="S222" i="50"/>
  <c r="S221" i="50"/>
  <c r="S220" i="50"/>
  <c r="S219" i="50"/>
  <c r="S218" i="50"/>
  <c r="S217" i="50"/>
  <c r="S216" i="50"/>
  <c r="S215" i="50"/>
  <c r="S214" i="50"/>
  <c r="S213" i="50"/>
  <c r="S212" i="50"/>
  <c r="S211" i="50"/>
  <c r="S210" i="50"/>
  <c r="S209" i="50"/>
  <c r="S208" i="50"/>
  <c r="S207" i="50"/>
  <c r="S206" i="50"/>
  <c r="S205" i="50"/>
  <c r="S204" i="50"/>
  <c r="S203" i="50"/>
  <c r="S202" i="50"/>
  <c r="S201" i="50"/>
  <c r="S200" i="50"/>
  <c r="S199" i="50"/>
  <c r="S198" i="50"/>
  <c r="S197" i="50"/>
  <c r="S196" i="50"/>
  <c r="S195" i="50"/>
  <c r="S194" i="50"/>
  <c r="S193" i="50"/>
  <c r="S192" i="50"/>
  <c r="S191" i="50"/>
  <c r="S190" i="50"/>
  <c r="S189" i="50"/>
  <c r="S188" i="50"/>
  <c r="S187" i="50"/>
  <c r="S186" i="50"/>
  <c r="S185" i="50"/>
  <c r="S184" i="50"/>
  <c r="S183" i="50"/>
  <c r="S182" i="50"/>
  <c r="S181" i="50"/>
  <c r="S180" i="50"/>
  <c r="S179" i="50"/>
  <c r="S178" i="50"/>
  <c r="S177" i="50"/>
  <c r="S176" i="50"/>
  <c r="S175" i="50"/>
  <c r="S174" i="50"/>
  <c r="S173" i="50"/>
  <c r="S172" i="50"/>
  <c r="S171" i="50"/>
  <c r="S170" i="50"/>
  <c r="S169" i="50"/>
  <c r="S168" i="50"/>
  <c r="S167" i="50"/>
  <c r="S166" i="50"/>
  <c r="S165" i="50"/>
  <c r="S164" i="50"/>
  <c r="S163" i="50"/>
  <c r="S162" i="50"/>
  <c r="S161" i="50"/>
  <c r="S160" i="50"/>
  <c r="S159" i="50"/>
  <c r="S158" i="50"/>
  <c r="S157" i="50"/>
  <c r="S156" i="50"/>
  <c r="S155" i="50"/>
  <c r="S154" i="50"/>
  <c r="S153" i="50"/>
  <c r="S152" i="50"/>
  <c r="S151" i="50"/>
  <c r="S150" i="50"/>
  <c r="S149" i="50"/>
  <c r="S148" i="50"/>
  <c r="S147" i="50"/>
  <c r="S146" i="50"/>
  <c r="S145" i="50"/>
  <c r="S143" i="50"/>
  <c r="S142" i="50"/>
  <c r="S141" i="50"/>
  <c r="S140" i="50"/>
  <c r="S139" i="50"/>
  <c r="S138" i="50"/>
  <c r="S137" i="50"/>
  <c r="S136" i="50"/>
  <c r="S135" i="50"/>
  <c r="S134" i="50"/>
  <c r="S133" i="50"/>
  <c r="S132" i="50"/>
  <c r="S131" i="50"/>
  <c r="S130" i="50"/>
  <c r="S129" i="50"/>
  <c r="S128" i="50"/>
  <c r="S127" i="50"/>
  <c r="S126" i="50"/>
  <c r="S125" i="50"/>
  <c r="S124" i="50"/>
  <c r="S123" i="50"/>
  <c r="S122" i="50"/>
  <c r="S121" i="50"/>
  <c r="S120" i="50"/>
  <c r="S119" i="50"/>
  <c r="S118" i="50"/>
  <c r="S117" i="50"/>
  <c r="S116" i="50"/>
  <c r="S115" i="50"/>
  <c r="S114" i="50"/>
  <c r="S113" i="50"/>
  <c r="S112" i="50"/>
  <c r="S111" i="50"/>
  <c r="S110" i="50"/>
  <c r="S109" i="50"/>
  <c r="S108" i="50"/>
  <c r="S107" i="50"/>
  <c r="S106" i="50"/>
  <c r="S105" i="50"/>
  <c r="S104" i="50"/>
  <c r="S103" i="50"/>
  <c r="S102" i="50"/>
  <c r="S101" i="50"/>
  <c r="S100" i="50"/>
  <c r="S99" i="50"/>
  <c r="S98" i="50"/>
  <c r="S97" i="50"/>
  <c r="S96" i="50"/>
  <c r="S95" i="50"/>
  <c r="S94" i="50"/>
  <c r="S93" i="50"/>
  <c r="S92" i="50"/>
  <c r="S91" i="50"/>
  <c r="S90" i="50"/>
  <c r="S89" i="50"/>
  <c r="S88" i="50"/>
  <c r="S87" i="50"/>
  <c r="S86" i="50"/>
  <c r="S85" i="50"/>
  <c r="S84" i="50"/>
  <c r="S83" i="50"/>
  <c r="S82" i="50"/>
  <c r="S81" i="50"/>
  <c r="S80" i="50"/>
  <c r="S79" i="50"/>
  <c r="S78" i="50"/>
  <c r="S77" i="50"/>
  <c r="S76" i="50"/>
  <c r="S75" i="50"/>
  <c r="S74" i="50"/>
  <c r="S73" i="50"/>
  <c r="S72" i="50"/>
  <c r="S71" i="50"/>
  <c r="S70" i="50"/>
  <c r="S69" i="50"/>
  <c r="S68" i="50"/>
  <c r="S67" i="50"/>
  <c r="S66" i="50"/>
  <c r="S65" i="50"/>
  <c r="S64" i="50"/>
  <c r="S63" i="50"/>
  <c r="S62" i="50"/>
  <c r="S61" i="50"/>
  <c r="S60" i="50"/>
  <c r="S59" i="50"/>
  <c r="S58" i="50"/>
  <c r="S57" i="50"/>
  <c r="S56" i="50"/>
  <c r="S55" i="50"/>
  <c r="S54" i="50"/>
  <c r="S53" i="50"/>
  <c r="S52" i="50"/>
  <c r="S51" i="50"/>
  <c r="S50" i="50"/>
  <c r="S49" i="50"/>
  <c r="S48" i="50"/>
  <c r="S47" i="50"/>
  <c r="S46" i="50"/>
  <c r="S45" i="50"/>
  <c r="S44" i="50"/>
  <c r="S43" i="50"/>
  <c r="S42" i="50"/>
  <c r="S41" i="50"/>
  <c r="S40" i="50"/>
  <c r="S39" i="50"/>
  <c r="S38" i="50"/>
  <c r="S37" i="50"/>
  <c r="S36" i="50"/>
  <c r="S35" i="50"/>
  <c r="S34" i="50"/>
  <c r="S33" i="50"/>
  <c r="S32" i="50"/>
  <c r="S31" i="50"/>
  <c r="S30" i="50"/>
  <c r="S29" i="50"/>
  <c r="S28" i="50"/>
  <c r="S27" i="50"/>
  <c r="S26" i="50"/>
  <c r="S25" i="50"/>
  <c r="S24" i="50"/>
  <c r="S23" i="50"/>
  <c r="S22" i="50"/>
  <c r="S21" i="50"/>
  <c r="S20" i="50"/>
  <c r="S19" i="50"/>
  <c r="S18" i="50"/>
  <c r="S17" i="50"/>
  <c r="S16" i="50"/>
  <c r="S15" i="50"/>
  <c r="S14" i="50"/>
  <c r="S13" i="50"/>
  <c r="S12" i="50"/>
  <c r="S11" i="50"/>
  <c r="S10" i="50"/>
  <c r="S9" i="50"/>
  <c r="S8" i="50"/>
  <c r="F589" i="51" l="1"/>
  <c r="G136" i="50" l="1"/>
  <c r="E136" i="50"/>
  <c r="F136" i="50" s="1"/>
  <c r="D910" i="51" l="1"/>
  <c r="F1377" i="51"/>
  <c r="C101" i="28"/>
  <c r="E41" i="50" l="1"/>
  <c r="F41" i="50" s="1"/>
  <c r="E146" i="50"/>
  <c r="F146" i="50" s="1"/>
  <c r="G8" i="50"/>
  <c r="G9" i="50"/>
  <c r="G10" i="50"/>
  <c r="G11" i="50"/>
  <c r="G12" i="50"/>
  <c r="G13" i="50"/>
  <c r="G14" i="50"/>
  <c r="G15" i="50"/>
  <c r="G16" i="50"/>
  <c r="G17" i="50"/>
  <c r="G18" i="50"/>
  <c r="G19" i="50"/>
  <c r="G20" i="50"/>
  <c r="G21" i="50"/>
  <c r="G22" i="50"/>
  <c r="G23" i="50"/>
  <c r="G24" i="50"/>
  <c r="G25" i="50"/>
  <c r="G26" i="50"/>
  <c r="G27" i="50"/>
  <c r="G28" i="50"/>
  <c r="G29" i="50"/>
  <c r="G30" i="50"/>
  <c r="G31" i="50"/>
  <c r="G32" i="50"/>
  <c r="G33" i="50"/>
  <c r="G34" i="50"/>
  <c r="G35" i="50"/>
  <c r="G36" i="50"/>
  <c r="G37" i="50"/>
  <c r="G38" i="50"/>
  <c r="G39" i="50"/>
  <c r="G40" i="50"/>
  <c r="G41" i="50"/>
  <c r="G42" i="50"/>
  <c r="G43" i="50"/>
  <c r="G44" i="50"/>
  <c r="G45" i="50"/>
  <c r="G46" i="50"/>
  <c r="G47" i="50"/>
  <c r="G48" i="50"/>
  <c r="G49" i="50"/>
  <c r="G50" i="50"/>
  <c r="G51" i="50"/>
  <c r="G52" i="50"/>
  <c r="G53" i="50"/>
  <c r="G54" i="50"/>
  <c r="G55" i="50"/>
  <c r="G56" i="50"/>
  <c r="G57" i="50"/>
  <c r="G58" i="50"/>
  <c r="G59" i="50"/>
  <c r="G60" i="50"/>
  <c r="G61" i="50"/>
  <c r="G62" i="50"/>
  <c r="G63" i="50"/>
  <c r="G64" i="50"/>
  <c r="G65" i="50"/>
  <c r="G66" i="50"/>
  <c r="G67" i="50"/>
  <c r="G68" i="50"/>
  <c r="G69" i="50"/>
  <c r="G70" i="50"/>
  <c r="G71" i="50"/>
  <c r="G72" i="50"/>
  <c r="G73" i="50"/>
  <c r="G74" i="50"/>
  <c r="G75" i="50"/>
  <c r="G76" i="50"/>
  <c r="G77" i="50"/>
  <c r="G78" i="50"/>
  <c r="G79" i="50"/>
  <c r="G80" i="50"/>
  <c r="G81" i="50"/>
  <c r="G82" i="50"/>
  <c r="G83" i="50"/>
  <c r="G84" i="50"/>
  <c r="G85" i="50"/>
  <c r="G86" i="50"/>
  <c r="G87" i="50"/>
  <c r="G88" i="50"/>
  <c r="G89" i="50"/>
  <c r="G90" i="50"/>
  <c r="G91" i="50"/>
  <c r="G92" i="50"/>
  <c r="G93" i="50"/>
  <c r="G94" i="50"/>
  <c r="G95" i="50"/>
  <c r="G96" i="50"/>
  <c r="G97" i="50"/>
  <c r="G98" i="50"/>
  <c r="G99" i="50"/>
  <c r="G100" i="50"/>
  <c r="G101" i="50"/>
  <c r="G102" i="50"/>
  <c r="G103" i="50"/>
  <c r="G104" i="50"/>
  <c r="G105" i="50"/>
  <c r="G106" i="50"/>
  <c r="G107" i="50"/>
  <c r="G108" i="50"/>
  <c r="G109" i="50"/>
  <c r="G110" i="50"/>
  <c r="G111" i="50"/>
  <c r="G112" i="50"/>
  <c r="G113" i="50"/>
  <c r="G114" i="50"/>
  <c r="G115" i="50"/>
  <c r="G116" i="50"/>
  <c r="G117" i="50"/>
  <c r="G118" i="50"/>
  <c r="G119" i="50"/>
  <c r="G120" i="50"/>
  <c r="G121" i="50"/>
  <c r="G122" i="50"/>
  <c r="G123" i="50"/>
  <c r="G124" i="50"/>
  <c r="G125" i="50"/>
  <c r="G126" i="50"/>
  <c r="G127" i="50"/>
  <c r="G128" i="50"/>
  <c r="G129" i="50"/>
  <c r="G130" i="50"/>
  <c r="G131" i="50"/>
  <c r="G132" i="50"/>
  <c r="G133" i="50"/>
  <c r="G134" i="50"/>
  <c r="G135" i="50"/>
  <c r="G137" i="50"/>
  <c r="G138" i="50"/>
  <c r="G139" i="50"/>
  <c r="G140" i="50"/>
  <c r="G141" i="50"/>
  <c r="G142" i="50"/>
  <c r="G143" i="50"/>
  <c r="G145" i="50"/>
  <c r="G146" i="50"/>
  <c r="G147" i="50"/>
  <c r="G148" i="50"/>
  <c r="G149" i="50"/>
  <c r="G150" i="50"/>
  <c r="G151" i="50"/>
  <c r="G152" i="50"/>
  <c r="G153" i="50"/>
  <c r="G155" i="50"/>
  <c r="G156" i="50"/>
  <c r="G157" i="50"/>
  <c r="G158" i="50"/>
  <c r="G159" i="50"/>
  <c r="G160" i="50"/>
  <c r="G161" i="50"/>
  <c r="G162" i="50"/>
  <c r="G163" i="50"/>
  <c r="G164" i="50"/>
  <c r="G165" i="50"/>
  <c r="G166" i="50"/>
  <c r="G167" i="50"/>
  <c r="G168" i="50"/>
  <c r="G169" i="50"/>
  <c r="G170" i="50"/>
  <c r="G171" i="50"/>
  <c r="G172" i="50"/>
  <c r="G173" i="50"/>
  <c r="G174" i="50"/>
  <c r="G175" i="50"/>
  <c r="G176" i="50"/>
  <c r="G177" i="50"/>
  <c r="G178" i="50"/>
  <c r="G179" i="50"/>
  <c r="G180" i="50"/>
  <c r="G181" i="50"/>
  <c r="G182" i="50"/>
  <c r="G183" i="50"/>
  <c r="G184" i="50"/>
  <c r="G185" i="50"/>
  <c r="G186" i="50"/>
  <c r="G187" i="50"/>
  <c r="G188" i="50"/>
  <c r="G189" i="50"/>
  <c r="G190" i="50"/>
  <c r="G191" i="50"/>
  <c r="G192" i="50"/>
  <c r="G193" i="50"/>
  <c r="G194" i="50"/>
  <c r="G195" i="50"/>
  <c r="G196" i="50"/>
  <c r="G197" i="50"/>
  <c r="G198" i="50"/>
  <c r="G199" i="50"/>
  <c r="G200" i="50"/>
  <c r="G201" i="50"/>
  <c r="G202" i="50"/>
  <c r="G203" i="50"/>
  <c r="G204" i="50"/>
  <c r="G205" i="50"/>
  <c r="G206" i="50"/>
  <c r="G207" i="50"/>
  <c r="G208" i="50"/>
  <c r="G209" i="50"/>
  <c r="G210" i="50"/>
  <c r="G211" i="50"/>
  <c r="G212" i="50"/>
  <c r="G213" i="50"/>
  <c r="G214" i="50"/>
  <c r="G215" i="50"/>
  <c r="G216" i="50"/>
  <c r="G217" i="50"/>
  <c r="G218" i="50"/>
  <c r="G219" i="50"/>
  <c r="G220" i="50"/>
  <c r="G221" i="50"/>
  <c r="G222" i="50"/>
  <c r="G223" i="50"/>
  <c r="G224" i="50"/>
  <c r="G225" i="50"/>
  <c r="G226" i="50"/>
  <c r="G227" i="50"/>
  <c r="G228" i="50"/>
  <c r="G229" i="50"/>
  <c r="G230" i="50"/>
  <c r="G231" i="50"/>
  <c r="G232" i="50"/>
  <c r="G233" i="50"/>
  <c r="G234" i="50"/>
  <c r="G235" i="50"/>
  <c r="G236" i="50"/>
  <c r="G237" i="50"/>
  <c r="G238" i="50"/>
  <c r="G239" i="50"/>
  <c r="G240" i="50"/>
  <c r="G241" i="50"/>
  <c r="G242" i="50"/>
  <c r="G243" i="50"/>
  <c r="G244" i="50"/>
  <c r="G245" i="50"/>
  <c r="G246" i="50"/>
  <c r="G247" i="50"/>
  <c r="G248" i="50"/>
  <c r="G249" i="50"/>
  <c r="G250" i="50"/>
  <c r="G251" i="50"/>
  <c r="G252" i="50"/>
  <c r="G253" i="50"/>
  <c r="G254" i="50"/>
  <c r="G255" i="50"/>
  <c r="G256" i="50"/>
  <c r="G257" i="50"/>
  <c r="G258" i="50"/>
  <c r="G259" i="50"/>
  <c r="G260" i="50"/>
  <c r="G261" i="50"/>
  <c r="G262" i="50"/>
  <c r="G263" i="50"/>
  <c r="G264" i="50"/>
  <c r="G265" i="50"/>
  <c r="G266" i="50"/>
  <c r="G267" i="50"/>
  <c r="G268" i="50"/>
  <c r="G269" i="50"/>
  <c r="G270" i="50"/>
  <c r="G271" i="50"/>
  <c r="G272" i="50"/>
  <c r="G273" i="50"/>
  <c r="G274" i="50"/>
  <c r="G275" i="50"/>
  <c r="G276" i="50"/>
  <c r="G277" i="50"/>
  <c r="G278" i="50"/>
  <c r="G279" i="50"/>
  <c r="G280" i="50"/>
  <c r="G281" i="50"/>
  <c r="G282" i="50"/>
  <c r="G283" i="50"/>
  <c r="G284" i="50"/>
  <c r="G285" i="50"/>
  <c r="G286" i="50"/>
  <c r="G287" i="50"/>
  <c r="G288" i="50"/>
  <c r="G289" i="50"/>
  <c r="G290" i="50"/>
  <c r="G291" i="50"/>
  <c r="G292" i="50"/>
  <c r="G293" i="50"/>
  <c r="G294" i="50"/>
  <c r="G295" i="50"/>
  <c r="G296" i="50"/>
  <c r="G297" i="50"/>
  <c r="G298" i="50"/>
  <c r="G299" i="50"/>
  <c r="G300" i="50"/>
  <c r="G820" i="27"/>
  <c r="G821" i="27"/>
  <c r="G822" i="27"/>
  <c r="G823" i="27"/>
  <c r="G824" i="27"/>
  <c r="G825" i="27"/>
  <c r="G826" i="27"/>
  <c r="G827" i="27"/>
  <c r="G828" i="27"/>
  <c r="G829" i="27"/>
  <c r="G830" i="27"/>
  <c r="G831" i="27"/>
  <c r="G832" i="27"/>
  <c r="G833" i="27"/>
  <c r="G834" i="27"/>
  <c r="G835" i="27"/>
  <c r="G836" i="27"/>
  <c r="G837" i="27"/>
  <c r="G838" i="27"/>
  <c r="G839" i="27"/>
  <c r="G840" i="27"/>
  <c r="G819" i="27"/>
  <c r="E97" i="50"/>
  <c r="F97" i="50" s="1"/>
  <c r="E282" i="50"/>
  <c r="F282" i="50" s="1"/>
  <c r="E283" i="50"/>
  <c r="F283" i="50" s="1"/>
  <c r="G54" i="51"/>
  <c r="E166" i="50"/>
  <c r="F166" i="50" s="1"/>
  <c r="D298" i="50"/>
  <c r="E298" i="50" s="1"/>
  <c r="F298" i="50" s="1"/>
  <c r="E292" i="50"/>
  <c r="F292" i="50" s="1"/>
  <c r="I208" i="50"/>
  <c r="D208" i="50" s="1"/>
  <c r="E208" i="50" s="1"/>
  <c r="F208" i="50" s="1"/>
  <c r="C206" i="41"/>
  <c r="C192" i="41"/>
  <c r="C150" i="41"/>
  <c r="C164" i="41"/>
  <c r="D795" i="27"/>
  <c r="D766" i="27"/>
  <c r="C766" i="27"/>
  <c r="D765" i="27"/>
  <c r="C765" i="27"/>
  <c r="G765" i="27" l="1"/>
  <c r="G766" i="27"/>
  <c r="G767" i="27" l="1"/>
  <c r="C1074" i="27"/>
  <c r="C1081" i="27" s="1"/>
  <c r="B1074" i="27"/>
  <c r="B1081" i="27" s="1"/>
  <c r="E1068" i="27"/>
  <c r="E1069" i="27" s="1"/>
  <c r="C699" i="27"/>
  <c r="C700" i="27"/>
  <c r="C701" i="27"/>
  <c r="C702" i="27"/>
  <c r="B707" i="27"/>
  <c r="C707" i="27"/>
  <c r="E709" i="27"/>
  <c r="E1074" i="27" l="1"/>
  <c r="E1075" i="27" s="1"/>
  <c r="E1081" i="27"/>
  <c r="E1082" i="27" s="1"/>
  <c r="C703" i="27"/>
  <c r="C284" i="28" l="1"/>
  <c r="E5434" i="51"/>
  <c r="G5434" i="51" s="1"/>
  <c r="E5432" i="51"/>
  <c r="C5427" i="51"/>
  <c r="G5432" i="51" l="1"/>
  <c r="D4864" i="51" l="1"/>
  <c r="D4865" i="51" s="1"/>
  <c r="D4816" i="51"/>
  <c r="D4817" i="51" s="1"/>
  <c r="D4768" i="51"/>
  <c r="D4769" i="51" s="1"/>
  <c r="D4720" i="51"/>
  <c r="D4721" i="51" s="1"/>
  <c r="D4672" i="51"/>
  <c r="D4673" i="51" s="1"/>
  <c r="D4624" i="51"/>
  <c r="D4625" i="51" s="1"/>
  <c r="C4850" i="51"/>
  <c r="B4850" i="51" s="1"/>
  <c r="C4887" i="51"/>
  <c r="H4884" i="51"/>
  <c r="G4867" i="51"/>
  <c r="G4866" i="51"/>
  <c r="E4865" i="51"/>
  <c r="E4864" i="51"/>
  <c r="E4856" i="51"/>
  <c r="G4856" i="51" s="1"/>
  <c r="C4802" i="51"/>
  <c r="B4802" i="51" s="1"/>
  <c r="C4839" i="51"/>
  <c r="H4836" i="51"/>
  <c r="G4819" i="51"/>
  <c r="G4818" i="51"/>
  <c r="E4817" i="51"/>
  <c r="E4816" i="51"/>
  <c r="E4808" i="51"/>
  <c r="G4808" i="51" s="1"/>
  <c r="C4754" i="51"/>
  <c r="B4754" i="51" s="1"/>
  <c r="C4791" i="51"/>
  <c r="H4788" i="51"/>
  <c r="G4771" i="51"/>
  <c r="G4770" i="51"/>
  <c r="E4769" i="51"/>
  <c r="E4768" i="51"/>
  <c r="E4760" i="51"/>
  <c r="G4760" i="51" s="1"/>
  <c r="C4706" i="51"/>
  <c r="B4706" i="51" s="1"/>
  <c r="C4743" i="51"/>
  <c r="H4740" i="51"/>
  <c r="G4723" i="51"/>
  <c r="G4722" i="51"/>
  <c r="E4721" i="51"/>
  <c r="E4720" i="51"/>
  <c r="E4712" i="51"/>
  <c r="G4712" i="51" s="1"/>
  <c r="C4658" i="51"/>
  <c r="B4658" i="51" s="1"/>
  <c r="C4695" i="51"/>
  <c r="H4692" i="51"/>
  <c r="G4675" i="51"/>
  <c r="G4674" i="51"/>
  <c r="E4673" i="51"/>
  <c r="E4672" i="51"/>
  <c r="E4664" i="51"/>
  <c r="G4664" i="51" s="1"/>
  <c r="G4865" i="51" l="1"/>
  <c r="G4817" i="51"/>
  <c r="G4769" i="51"/>
  <c r="G4864" i="51"/>
  <c r="G4816" i="51"/>
  <c r="G4721" i="51"/>
  <c r="G4673" i="51"/>
  <c r="G4768" i="51"/>
  <c r="G4720" i="51"/>
  <c r="G4672" i="51"/>
  <c r="D1057" i="51"/>
  <c r="D1008" i="51"/>
  <c r="D959" i="51"/>
  <c r="H4876" i="51" l="1"/>
  <c r="H4828" i="51"/>
  <c r="H4780" i="51"/>
  <c r="H4732" i="51"/>
  <c r="H4684" i="51"/>
  <c r="F1763" i="51" l="1"/>
  <c r="F290" i="51"/>
  <c r="F291" i="51" s="1"/>
  <c r="C251" i="51"/>
  <c r="B251" i="51" s="1"/>
  <c r="H286" i="51"/>
  <c r="H277" i="51"/>
  <c r="F10" i="51" l="1"/>
  <c r="F45" i="51"/>
  <c r="F43" i="51"/>
  <c r="F44" i="51" s="1"/>
  <c r="I153" i="50" l="1"/>
  <c r="E153" i="50" s="1"/>
  <c r="F153" i="50" s="1"/>
  <c r="B54" i="52" l="1"/>
  <c r="AA54" i="52" s="1"/>
  <c r="C344" i="28" l="1"/>
  <c r="G5210" i="51"/>
  <c r="D5209" i="51"/>
  <c r="G5209" i="51" s="1"/>
  <c r="G5208" i="51"/>
  <c r="G5207" i="51"/>
  <c r="H5460" i="51"/>
  <c r="A75" i="28"/>
  <c r="A78" i="28"/>
  <c r="A79" i="28"/>
  <c r="A80" i="28"/>
  <c r="C3" i="28"/>
  <c r="E1738" i="51" s="1"/>
  <c r="G1738" i="51" s="1"/>
  <c r="F1952" i="3"/>
  <c r="G1952" i="3" s="1"/>
  <c r="F1953" i="3"/>
  <c r="G1953" i="3" s="1"/>
  <c r="F1955" i="3"/>
  <c r="G1955" i="3" s="1"/>
  <c r="F1957" i="3"/>
  <c r="G1957" i="3" s="1"/>
  <c r="F1961" i="3"/>
  <c r="G1961" i="3" s="1"/>
  <c r="E12" i="28"/>
  <c r="F12" i="28"/>
  <c r="E16" i="28"/>
  <c r="F16" i="28"/>
  <c r="F26" i="28"/>
  <c r="C26" i="28" s="1"/>
  <c r="F1469" i="3"/>
  <c r="G1469" i="3" s="1"/>
  <c r="F1482" i="3"/>
  <c r="G1482" i="3" s="1"/>
  <c r="F1471" i="3"/>
  <c r="G1471" i="3" s="1"/>
  <c r="F1484" i="3"/>
  <c r="G1484" i="3" s="1"/>
  <c r="H1484" i="3" s="1"/>
  <c r="F1454" i="3"/>
  <c r="G1454" i="3" s="1"/>
  <c r="H1454" i="3" s="1"/>
  <c r="C31" i="28" s="1"/>
  <c r="F1455" i="3"/>
  <c r="G1455" i="3" s="1"/>
  <c r="F1456" i="3"/>
  <c r="G1456" i="3" s="1"/>
  <c r="F1458" i="3"/>
  <c r="G1458" i="3" s="1"/>
  <c r="H1458" i="3" s="1"/>
  <c r="C34" i="28" s="1"/>
  <c r="F1440" i="3"/>
  <c r="G1440" i="3" s="1"/>
  <c r="H1440" i="3" s="1"/>
  <c r="C35" i="28" s="1"/>
  <c r="F1336" i="3"/>
  <c r="G1336" i="3" s="1"/>
  <c r="F1441" i="3"/>
  <c r="G1441" i="3" s="1"/>
  <c r="F1442" i="3"/>
  <c r="G1442" i="3" s="1"/>
  <c r="H1442" i="3" s="1"/>
  <c r="C38" i="28" s="1"/>
  <c r="F1443" i="3"/>
  <c r="G1443" i="3" s="1"/>
  <c r="H1443" i="3" s="1"/>
  <c r="C39" i="28" s="1"/>
  <c r="F1445" i="3"/>
  <c r="G1445" i="3" s="1"/>
  <c r="F1446" i="3"/>
  <c r="G1446" i="3" s="1"/>
  <c r="F116" i="3"/>
  <c r="G116" i="3" s="1"/>
  <c r="H116" i="3" s="1"/>
  <c r="C42" i="28" s="1"/>
  <c r="F2353" i="3"/>
  <c r="G2353" i="3" s="1"/>
  <c r="C53" i="28"/>
  <c r="C64" i="28"/>
  <c r="E5256" i="51" s="1"/>
  <c r="G5256" i="51" s="1"/>
  <c r="H5267" i="51" s="1"/>
  <c r="F2029" i="3"/>
  <c r="G2029" i="3" s="1"/>
  <c r="H2029" i="3" s="1"/>
  <c r="C66" i="28" s="1"/>
  <c r="F2031" i="3"/>
  <c r="G2031" i="3" s="1"/>
  <c r="H2031" i="3" s="1"/>
  <c r="C67" i="28" s="1"/>
  <c r="F2033" i="3"/>
  <c r="G2033" i="3" s="1"/>
  <c r="H2033" i="3" s="1"/>
  <c r="C68" i="28" s="1"/>
  <c r="E71" i="28"/>
  <c r="F71" i="28"/>
  <c r="C73" i="28"/>
  <c r="B80" i="28"/>
  <c r="A81" i="28"/>
  <c r="B81" i="28"/>
  <c r="A82" i="28"/>
  <c r="B82" i="28"/>
  <c r="A83" i="28"/>
  <c r="B83" i="28"/>
  <c r="A84" i="28"/>
  <c r="B84" i="28"/>
  <c r="A85" i="28"/>
  <c r="B85" i="28"/>
  <c r="A97" i="28"/>
  <c r="F2385" i="3"/>
  <c r="G2385" i="3" s="1"/>
  <c r="H2385" i="3" s="1"/>
  <c r="C97" i="28" s="1"/>
  <c r="F863" i="3"/>
  <c r="G863" i="3" s="1"/>
  <c r="H863" i="3" s="1"/>
  <c r="C105" i="28" s="1"/>
  <c r="F865" i="3"/>
  <c r="G865" i="3" s="1"/>
  <c r="H865" i="3" s="1"/>
  <c r="C106" i="28" s="1"/>
  <c r="F867" i="3"/>
  <c r="G867" i="3" s="1"/>
  <c r="H867" i="3" s="1"/>
  <c r="C107" i="28" s="1"/>
  <c r="F873" i="3"/>
  <c r="G873" i="3" s="1"/>
  <c r="H873" i="3" s="1"/>
  <c r="C108" i="28" s="1"/>
  <c r="F875" i="3"/>
  <c r="G875" i="3" s="1"/>
  <c r="H875" i="3" s="1"/>
  <c r="C109" i="28" s="1"/>
  <c r="F877" i="3"/>
  <c r="G877" i="3" s="1"/>
  <c r="H877" i="3" s="1"/>
  <c r="C110" i="28" s="1"/>
  <c r="F879" i="3"/>
  <c r="G879" i="3" s="1"/>
  <c r="H879" i="3" s="1"/>
  <c r="C111" i="28" s="1"/>
  <c r="C112" i="28"/>
  <c r="C113" i="28"/>
  <c r="C114" i="28"/>
  <c r="F893" i="3"/>
  <c r="G893" i="3" s="1"/>
  <c r="F895" i="3"/>
  <c r="G895" i="3" s="1"/>
  <c r="F901" i="3"/>
  <c r="G901" i="3" s="1"/>
  <c r="F923" i="3"/>
  <c r="G923" i="3" s="1"/>
  <c r="F925" i="3"/>
  <c r="G925" i="3" s="1"/>
  <c r="F927" i="3"/>
  <c r="G927" i="3" s="1"/>
  <c r="F862" i="3"/>
  <c r="G862" i="3" s="1"/>
  <c r="F864" i="3"/>
  <c r="G864" i="3" s="1"/>
  <c r="F922" i="3"/>
  <c r="G922" i="3" s="1"/>
  <c r="F913" i="3"/>
  <c r="G913" i="3" s="1"/>
  <c r="F1316" i="3"/>
  <c r="G1316" i="3" s="1"/>
  <c r="F1262" i="3"/>
  <c r="G1262" i="3" s="1"/>
  <c r="F1266" i="3"/>
  <c r="G1266" i="3" s="1"/>
  <c r="F1267" i="3"/>
  <c r="G1267" i="3" s="1"/>
  <c r="F1270" i="3"/>
  <c r="G1270" i="3" s="1"/>
  <c r="F1271" i="3"/>
  <c r="G1271" i="3" s="1"/>
  <c r="F1275" i="3"/>
  <c r="G1275" i="3" s="1"/>
  <c r="F1286" i="3"/>
  <c r="G1286" i="3" s="1"/>
  <c r="F1291" i="3"/>
  <c r="G1291" i="3" s="1"/>
  <c r="F2408" i="3"/>
  <c r="G2408" i="3" s="1"/>
  <c r="F1098" i="3"/>
  <c r="G1098" i="3" s="1"/>
  <c r="F1100" i="3"/>
  <c r="G1100" i="3" s="1"/>
  <c r="F1101" i="3"/>
  <c r="G1101" i="3" s="1"/>
  <c r="F1102" i="3"/>
  <c r="G1102" i="3" s="1"/>
  <c r="F1105" i="3"/>
  <c r="G1105" i="3" s="1"/>
  <c r="F1107" i="3"/>
  <c r="G1107" i="3" s="1"/>
  <c r="F1110" i="3"/>
  <c r="G1110" i="3" s="1"/>
  <c r="F1111" i="3"/>
  <c r="G1111" i="3" s="1"/>
  <c r="F1113" i="3"/>
  <c r="G1113" i="3" s="1"/>
  <c r="F1121" i="3"/>
  <c r="G1121" i="3" s="1"/>
  <c r="F1124" i="3"/>
  <c r="G1124" i="3" s="1"/>
  <c r="F1127" i="3"/>
  <c r="G1127" i="3" s="1"/>
  <c r="F1129" i="3"/>
  <c r="G1129" i="3" s="1"/>
  <c r="F1130" i="3"/>
  <c r="G1130" i="3" s="1"/>
  <c r="F982" i="3"/>
  <c r="G982" i="3" s="1"/>
  <c r="F993" i="3"/>
  <c r="G993" i="3" s="1"/>
  <c r="F199" i="3"/>
  <c r="G199" i="3" s="1"/>
  <c r="F20" i="3"/>
  <c r="G20" i="3" s="1"/>
  <c r="F834" i="3"/>
  <c r="G834" i="3" s="1"/>
  <c r="D26" i="3"/>
  <c r="F26" i="3" s="1"/>
  <c r="G26" i="3" s="1"/>
  <c r="D27" i="3"/>
  <c r="F27" i="3" s="1"/>
  <c r="G27" i="3" s="1"/>
  <c r="F1911" i="3"/>
  <c r="G1911" i="3" s="1"/>
  <c r="F1912" i="3"/>
  <c r="G1912" i="3" s="1"/>
  <c r="H1912" i="3" s="1"/>
  <c r="C205" i="28" s="1"/>
  <c r="F1913" i="3"/>
  <c r="G1913" i="3" s="1"/>
  <c r="F1914" i="3"/>
  <c r="G1914" i="3" s="1"/>
  <c r="F1916" i="3"/>
  <c r="G1916" i="3" s="1"/>
  <c r="F1917" i="3"/>
  <c r="G1917" i="3" s="1"/>
  <c r="H1917" i="3" s="1"/>
  <c r="C209" i="28" s="1"/>
  <c r="F1925" i="3"/>
  <c r="G1925" i="3" s="1"/>
  <c r="F2420" i="3"/>
  <c r="G2420" i="3" s="1"/>
  <c r="F2231" i="3"/>
  <c r="G2231" i="3" s="1"/>
  <c r="F2232" i="3"/>
  <c r="G2232" i="3" s="1"/>
  <c r="H2232" i="3" s="1"/>
  <c r="F2260" i="3"/>
  <c r="G2260" i="3" s="1"/>
  <c r="H2260" i="3" s="1"/>
  <c r="C226" i="28" s="1"/>
  <c r="F2261" i="3"/>
  <c r="G2261" i="3" s="1"/>
  <c r="F2264" i="3"/>
  <c r="G2264" i="3" s="1"/>
  <c r="F2200" i="3"/>
  <c r="G2200" i="3" s="1"/>
  <c r="H2200" i="3" s="1"/>
  <c r="C231" i="28" s="1"/>
  <c r="F2201" i="3"/>
  <c r="G2201" i="3" s="1"/>
  <c r="H2201" i="3" s="1"/>
  <c r="C232" i="28" s="1"/>
  <c r="F2202" i="3"/>
  <c r="G2202" i="3" s="1"/>
  <c r="F2204" i="3"/>
  <c r="G2204" i="3" s="1"/>
  <c r="F2252" i="3"/>
  <c r="G2252" i="3" s="1"/>
  <c r="H2252" i="3" s="1"/>
  <c r="C235" i="28" s="1"/>
  <c r="F2302" i="3"/>
  <c r="G2302" i="3" s="1"/>
  <c r="F2303" i="3"/>
  <c r="G2303" i="3" s="1"/>
  <c r="F2304" i="3"/>
  <c r="G2304" i="3" s="1"/>
  <c r="F2305" i="3"/>
  <c r="G2305" i="3" s="1"/>
  <c r="F2307" i="3"/>
  <c r="G2307" i="3" s="1"/>
  <c r="F2308" i="3"/>
  <c r="G2308" i="3" s="1"/>
  <c r="F2295" i="3"/>
  <c r="G2295" i="3" s="1"/>
  <c r="F2368" i="3"/>
  <c r="G2368" i="3" s="1"/>
  <c r="F2370" i="3"/>
  <c r="G2370" i="3" s="1"/>
  <c r="F2373" i="3"/>
  <c r="G2373" i="3" s="1"/>
  <c r="F2374" i="3"/>
  <c r="G2374" i="3" s="1"/>
  <c r="F2377" i="3"/>
  <c r="G2377" i="3" s="1"/>
  <c r="F255" i="3"/>
  <c r="G255" i="3" s="1"/>
  <c r="E264" i="28"/>
  <c r="F264" i="28"/>
  <c r="F1963" i="3"/>
  <c r="G1963" i="3" s="1"/>
  <c r="C272" i="28"/>
  <c r="F1930" i="3"/>
  <c r="G1930" i="3" s="1"/>
  <c r="F1962" i="3"/>
  <c r="G1962" i="3" s="1"/>
  <c r="H1962" i="3" s="1"/>
  <c r="C293" i="28" s="1"/>
  <c r="F2178" i="3"/>
  <c r="G2178" i="3" s="1"/>
  <c r="H2178" i="3" s="1"/>
  <c r="C294" i="28" s="1"/>
  <c r="F1473" i="3"/>
  <c r="G1473" i="3" s="1"/>
  <c r="H1473" i="3" s="1"/>
  <c r="F1486" i="3"/>
  <c r="G1486" i="3" s="1"/>
  <c r="H1486" i="3" s="1"/>
  <c r="F2028" i="3"/>
  <c r="G2028" i="3" s="1"/>
  <c r="E197" i="50"/>
  <c r="F197" i="50" s="1"/>
  <c r="E10" i="50"/>
  <c r="F10" i="50" s="1"/>
  <c r="E9" i="50"/>
  <c r="F9" i="50" s="1"/>
  <c r="G1753" i="51"/>
  <c r="H1758" i="51" s="1"/>
  <c r="B5" i="34"/>
  <c r="C7176" i="51" s="1"/>
  <c r="B29" i="34"/>
  <c r="C14" i="34" s="1"/>
  <c r="D7174" i="51" s="1"/>
  <c r="B30" i="34"/>
  <c r="G6887" i="51"/>
  <c r="C6887" i="51"/>
  <c r="B6887" i="51" s="1"/>
  <c r="E3" i="28"/>
  <c r="F3" i="28"/>
  <c r="G168" i="51"/>
  <c r="H180" i="51" s="1"/>
  <c r="G183" i="51"/>
  <c r="H189" i="51" s="1"/>
  <c r="E357" i="51"/>
  <c r="G357" i="51" s="1"/>
  <c r="H386" i="51"/>
  <c r="H6922" i="51"/>
  <c r="G4522" i="51"/>
  <c r="G4521" i="51"/>
  <c r="E4520" i="51"/>
  <c r="G4520" i="51" s="1"/>
  <c r="H404" i="27"/>
  <c r="H402" i="27"/>
  <c r="J402" i="27" s="1"/>
  <c r="H403" i="27"/>
  <c r="H401" i="27"/>
  <c r="F1474" i="51"/>
  <c r="F1473" i="51"/>
  <c r="F1472" i="51"/>
  <c r="D1409" i="51"/>
  <c r="D1310" i="51"/>
  <c r="D1359" i="51"/>
  <c r="G404" i="27"/>
  <c r="K404" i="27" s="1"/>
  <c r="C6874" i="51"/>
  <c r="H6871" i="51"/>
  <c r="H6862" i="51"/>
  <c r="B6836" i="51"/>
  <c r="F1426" i="51"/>
  <c r="F1425" i="51"/>
  <c r="F1424" i="51"/>
  <c r="F1375" i="51"/>
  <c r="F1329" i="51"/>
  <c r="F1327" i="51"/>
  <c r="F441" i="51"/>
  <c r="F440" i="51"/>
  <c r="F439" i="51"/>
  <c r="E416" i="51"/>
  <c r="G416" i="51" s="1"/>
  <c r="H6821" i="51"/>
  <c r="G6801" i="51"/>
  <c r="G6800" i="51"/>
  <c r="G6750" i="51"/>
  <c r="G6749" i="51"/>
  <c r="H6770" i="51"/>
  <c r="F6691" i="51"/>
  <c r="F6690" i="51"/>
  <c r="F6724" i="51"/>
  <c r="F6723" i="51"/>
  <c r="H6719" i="51"/>
  <c r="H6710" i="51"/>
  <c r="E6690" i="51"/>
  <c r="F6675" i="51"/>
  <c r="F6674" i="51"/>
  <c r="F6673" i="51"/>
  <c r="F6642" i="51"/>
  <c r="D6652" i="51"/>
  <c r="D6651" i="51"/>
  <c r="D6650" i="51"/>
  <c r="D6653" i="51"/>
  <c r="C6673" i="51"/>
  <c r="H6670" i="51"/>
  <c r="G6654" i="51"/>
  <c r="E6653" i="51"/>
  <c r="F6625" i="51"/>
  <c r="G6599" i="51"/>
  <c r="H6611" i="51" s="1"/>
  <c r="H6561" i="51"/>
  <c r="C6573" i="51"/>
  <c r="E186" i="50"/>
  <c r="F186" i="50" s="1"/>
  <c r="E38" i="50"/>
  <c r="F38" i="50" s="1"/>
  <c r="E185" i="50"/>
  <c r="F185" i="50" s="1"/>
  <c r="E249" i="50"/>
  <c r="F249" i="50" s="1"/>
  <c r="E139" i="50"/>
  <c r="F139" i="50" s="1"/>
  <c r="E140" i="50"/>
  <c r="F140" i="50" s="1"/>
  <c r="E138" i="50"/>
  <c r="F138" i="50" s="1"/>
  <c r="E159" i="50"/>
  <c r="F159" i="50" s="1"/>
  <c r="E39" i="50"/>
  <c r="F39" i="50" s="1"/>
  <c r="E245" i="50"/>
  <c r="F245" i="50" s="1"/>
  <c r="E142" i="50"/>
  <c r="F142" i="50" s="1"/>
  <c r="E143" i="50"/>
  <c r="F143" i="50" s="1"/>
  <c r="E141" i="50"/>
  <c r="F141" i="50" s="1"/>
  <c r="E284" i="50"/>
  <c r="F284" i="50" s="1"/>
  <c r="E281" i="50"/>
  <c r="F281" i="50" s="1"/>
  <c r="E295" i="50"/>
  <c r="F295" i="50" s="1"/>
  <c r="E151" i="50"/>
  <c r="F151" i="50" s="1"/>
  <c r="M131" i="50"/>
  <c r="I131" i="50" s="1"/>
  <c r="D131" i="50" s="1"/>
  <c r="E131" i="50" s="1"/>
  <c r="F131" i="50" s="1"/>
  <c r="I254" i="50"/>
  <c r="D254" i="50" s="1"/>
  <c r="E254" i="50" s="1"/>
  <c r="F254" i="50" s="1"/>
  <c r="M113" i="50"/>
  <c r="I113" i="50" s="1"/>
  <c r="D113" i="50" s="1"/>
  <c r="E113" i="50" s="1"/>
  <c r="F113" i="50" s="1"/>
  <c r="I277" i="50"/>
  <c r="D277" i="50" s="1"/>
  <c r="I278" i="50"/>
  <c r="D278" i="50" s="1"/>
  <c r="E278" i="50" s="1"/>
  <c r="F278" i="50" s="1"/>
  <c r="I279" i="50"/>
  <c r="D279" i="50" s="1"/>
  <c r="E279" i="50" s="1"/>
  <c r="F279" i="50" s="1"/>
  <c r="I280" i="50"/>
  <c r="D280" i="50" s="1"/>
  <c r="E280" i="50" s="1"/>
  <c r="F280" i="50" s="1"/>
  <c r="I287" i="50"/>
  <c r="I288" i="50"/>
  <c r="D288" i="50" s="1"/>
  <c r="E288" i="50" s="1"/>
  <c r="F288" i="50" s="1"/>
  <c r="I289" i="50"/>
  <c r="D289" i="50" s="1"/>
  <c r="E289" i="50" s="1"/>
  <c r="F289" i="50" s="1"/>
  <c r="I290" i="50"/>
  <c r="D290" i="50" s="1"/>
  <c r="E290" i="50" s="1"/>
  <c r="F290" i="50" s="1"/>
  <c r="I291" i="50"/>
  <c r="D291" i="50" s="1"/>
  <c r="E291" i="50" s="1"/>
  <c r="F291" i="50" s="1"/>
  <c r="I293" i="50"/>
  <c r="D293" i="50" s="1"/>
  <c r="E293" i="50" s="1"/>
  <c r="F293" i="50" s="1"/>
  <c r="I294" i="50"/>
  <c r="D294" i="50" s="1"/>
  <c r="E294" i="50" s="1"/>
  <c r="F294" i="50" s="1"/>
  <c r="I296" i="50"/>
  <c r="D296" i="50" s="1"/>
  <c r="E296" i="50" s="1"/>
  <c r="F296" i="50" s="1"/>
  <c r="I297" i="50"/>
  <c r="D297" i="50" s="1"/>
  <c r="E297" i="50" s="1"/>
  <c r="I300" i="50"/>
  <c r="D300" i="50" s="1"/>
  <c r="E300" i="50" s="1"/>
  <c r="F300" i="50" s="1"/>
  <c r="I299" i="50"/>
  <c r="D299" i="50" s="1"/>
  <c r="E299" i="50" s="1"/>
  <c r="F299" i="50" s="1"/>
  <c r="I12" i="50"/>
  <c r="D12" i="50" s="1"/>
  <c r="E12" i="50" s="1"/>
  <c r="F12" i="50" s="1"/>
  <c r="I16" i="50"/>
  <c r="I23" i="50"/>
  <c r="D23" i="50" s="1"/>
  <c r="E23" i="50" s="1"/>
  <c r="F23" i="50" s="1"/>
  <c r="I37" i="50"/>
  <c r="D37" i="50" s="1"/>
  <c r="E37" i="50" s="1"/>
  <c r="F37" i="50" s="1"/>
  <c r="I11" i="50"/>
  <c r="D11" i="50" s="1"/>
  <c r="E11" i="50" s="1"/>
  <c r="F11" i="50" s="1"/>
  <c r="I200" i="50"/>
  <c r="I257" i="50"/>
  <c r="D257" i="50" s="1"/>
  <c r="E257" i="50" s="1"/>
  <c r="F257" i="50" s="1"/>
  <c r="I285" i="50"/>
  <c r="D285" i="50" s="1"/>
  <c r="E285" i="50" s="1"/>
  <c r="F285" i="50" s="1"/>
  <c r="I286" i="50"/>
  <c r="D286" i="50" s="1"/>
  <c r="E286" i="50" s="1"/>
  <c r="F286" i="50" s="1"/>
  <c r="I8" i="50"/>
  <c r="I222" i="50"/>
  <c r="D222" i="50" s="1"/>
  <c r="E222" i="50" s="1"/>
  <c r="F222" i="50" s="1"/>
  <c r="I206" i="50"/>
  <c r="D206" i="50" s="1"/>
  <c r="E206" i="50" s="1"/>
  <c r="F206" i="50" s="1"/>
  <c r="I207" i="50"/>
  <c r="D207" i="50" s="1"/>
  <c r="E207" i="50" s="1"/>
  <c r="F207" i="50" s="1"/>
  <c r="I14" i="50"/>
  <c r="I15" i="50"/>
  <c r="D15" i="50" s="1"/>
  <c r="E15" i="50" s="1"/>
  <c r="F15" i="50" s="1"/>
  <c r="I17" i="50"/>
  <c r="D17" i="50" s="1"/>
  <c r="E17" i="50" s="1"/>
  <c r="F17" i="50" s="1"/>
  <c r="I18" i="50"/>
  <c r="D18" i="50" s="1"/>
  <c r="E18" i="50" s="1"/>
  <c r="F18" i="50" s="1"/>
  <c r="I19" i="50"/>
  <c r="D19" i="50" s="1"/>
  <c r="E19" i="50" s="1"/>
  <c r="F19" i="50" s="1"/>
  <c r="I20" i="50"/>
  <c r="I21" i="50"/>
  <c r="D21" i="50" s="1"/>
  <c r="E21" i="50" s="1"/>
  <c r="F21" i="50" s="1"/>
  <c r="I22" i="50"/>
  <c r="D22" i="50" s="1"/>
  <c r="E22" i="50" s="1"/>
  <c r="F22" i="50" s="1"/>
  <c r="I24" i="50"/>
  <c r="D24" i="50" s="1"/>
  <c r="E24" i="50" s="1"/>
  <c r="F24" i="50" s="1"/>
  <c r="I25" i="50"/>
  <c r="D25" i="50" s="1"/>
  <c r="E25" i="50" s="1"/>
  <c r="F25" i="50" s="1"/>
  <c r="I26" i="50"/>
  <c r="D26" i="50" s="1"/>
  <c r="E26" i="50" s="1"/>
  <c r="F26" i="50" s="1"/>
  <c r="I27" i="50"/>
  <c r="D27" i="50" s="1"/>
  <c r="E27" i="50" s="1"/>
  <c r="F27" i="50" s="1"/>
  <c r="I28" i="50"/>
  <c r="I29" i="50"/>
  <c r="D29" i="50" s="1"/>
  <c r="E29" i="50" s="1"/>
  <c r="F29" i="50" s="1"/>
  <c r="I30" i="50"/>
  <c r="D30" i="50" s="1"/>
  <c r="E30" i="50" s="1"/>
  <c r="F30" i="50" s="1"/>
  <c r="I36" i="50"/>
  <c r="D36" i="50" s="1"/>
  <c r="E36" i="50" s="1"/>
  <c r="F36" i="50" s="1"/>
  <c r="I40" i="50"/>
  <c r="D40" i="50" s="1"/>
  <c r="E40" i="50" s="1"/>
  <c r="F40" i="50" s="1"/>
  <c r="I42" i="50"/>
  <c r="D42" i="50" s="1"/>
  <c r="E42" i="50" s="1"/>
  <c r="F42" i="50" s="1"/>
  <c r="I43" i="50"/>
  <c r="D43" i="50" s="1"/>
  <c r="E43" i="50" s="1"/>
  <c r="F43" i="50" s="1"/>
  <c r="I44" i="50"/>
  <c r="D44" i="50" s="1"/>
  <c r="E44" i="50" s="1"/>
  <c r="F44" i="50" s="1"/>
  <c r="I45" i="50"/>
  <c r="D45" i="50" s="1"/>
  <c r="E45" i="50" s="1"/>
  <c r="F45" i="50" s="1"/>
  <c r="I46" i="50"/>
  <c r="D46" i="50" s="1"/>
  <c r="E46" i="50" s="1"/>
  <c r="F46" i="50" s="1"/>
  <c r="I47" i="50"/>
  <c r="D47" i="50" s="1"/>
  <c r="E47" i="50" s="1"/>
  <c r="F47" i="50" s="1"/>
  <c r="I48" i="50"/>
  <c r="D48" i="50" s="1"/>
  <c r="E48" i="50" s="1"/>
  <c r="F48" i="50" s="1"/>
  <c r="I49" i="50"/>
  <c r="I50" i="50"/>
  <c r="D50" i="50" s="1"/>
  <c r="E50" i="50" s="1"/>
  <c r="F50" i="50" s="1"/>
  <c r="I51" i="50"/>
  <c r="D51" i="50" s="1"/>
  <c r="E51" i="50" s="1"/>
  <c r="F51" i="50" s="1"/>
  <c r="I52" i="50"/>
  <c r="D52" i="50" s="1"/>
  <c r="I54" i="50"/>
  <c r="D54" i="50" s="1"/>
  <c r="E54" i="50" s="1"/>
  <c r="F54" i="50" s="1"/>
  <c r="I55" i="50"/>
  <c r="D55" i="50" s="1"/>
  <c r="E55" i="50" s="1"/>
  <c r="F55" i="50" s="1"/>
  <c r="I56" i="50"/>
  <c r="D56" i="50" s="1"/>
  <c r="E56" i="50" s="1"/>
  <c r="F56" i="50" s="1"/>
  <c r="I57" i="50"/>
  <c r="D57" i="50" s="1"/>
  <c r="E57" i="50" s="1"/>
  <c r="F57" i="50" s="1"/>
  <c r="I58" i="50"/>
  <c r="I60" i="50"/>
  <c r="D60" i="50" s="1"/>
  <c r="I62" i="50"/>
  <c r="D62" i="50" s="1"/>
  <c r="E62" i="50" s="1"/>
  <c r="F62" i="50" s="1"/>
  <c r="I64" i="50"/>
  <c r="D64" i="50" s="1"/>
  <c r="E64" i="50" s="1"/>
  <c r="F64" i="50" s="1"/>
  <c r="I70" i="50"/>
  <c r="I65" i="50"/>
  <c r="D65" i="50" s="1"/>
  <c r="E65" i="50" s="1"/>
  <c r="F65" i="50" s="1"/>
  <c r="I66" i="50"/>
  <c r="D66" i="50" s="1"/>
  <c r="E66" i="50" s="1"/>
  <c r="F66" i="50" s="1"/>
  <c r="I67" i="50"/>
  <c r="D67" i="50" s="1"/>
  <c r="E67" i="50" s="1"/>
  <c r="F67" i="50" s="1"/>
  <c r="I68" i="50"/>
  <c r="D68" i="50" s="1"/>
  <c r="E68" i="50" s="1"/>
  <c r="F68" i="50" s="1"/>
  <c r="I69" i="50"/>
  <c r="I71" i="50"/>
  <c r="D71" i="50" s="1"/>
  <c r="E71" i="50" s="1"/>
  <c r="F71" i="50" s="1"/>
  <c r="I72" i="50"/>
  <c r="D72" i="50" s="1"/>
  <c r="E72" i="50" s="1"/>
  <c r="F72" i="50" s="1"/>
  <c r="I73" i="50"/>
  <c r="I74" i="50"/>
  <c r="D74" i="50" s="1"/>
  <c r="E74" i="50" s="1"/>
  <c r="F74" i="50" s="1"/>
  <c r="I75" i="50"/>
  <c r="D75" i="50" s="1"/>
  <c r="E75" i="50" s="1"/>
  <c r="F75" i="50" s="1"/>
  <c r="I79" i="50"/>
  <c r="D79" i="50" s="1"/>
  <c r="E79" i="50" s="1"/>
  <c r="F79" i="50" s="1"/>
  <c r="I80" i="50"/>
  <c r="I81" i="50"/>
  <c r="D81" i="50" s="1"/>
  <c r="E81" i="50" s="1"/>
  <c r="F81" i="50" s="1"/>
  <c r="I82" i="50"/>
  <c r="D82" i="50" s="1"/>
  <c r="E82" i="50" s="1"/>
  <c r="F82" i="50" s="1"/>
  <c r="I83" i="50"/>
  <c r="D83" i="50" s="1"/>
  <c r="E83" i="50" s="1"/>
  <c r="F83" i="50" s="1"/>
  <c r="I84" i="50"/>
  <c r="D84" i="50" s="1"/>
  <c r="E84" i="50" s="1"/>
  <c r="F84" i="50" s="1"/>
  <c r="I85" i="50"/>
  <c r="D85" i="50" s="1"/>
  <c r="E85" i="50" s="1"/>
  <c r="F85" i="50" s="1"/>
  <c r="I86" i="50"/>
  <c r="D86" i="50" s="1"/>
  <c r="E86" i="50" s="1"/>
  <c r="F86" i="50" s="1"/>
  <c r="I87" i="50"/>
  <c r="D87" i="50" s="1"/>
  <c r="E87" i="50" s="1"/>
  <c r="F87" i="50" s="1"/>
  <c r="I90" i="50"/>
  <c r="I91" i="50"/>
  <c r="D91" i="50" s="1"/>
  <c r="E91" i="50" s="1"/>
  <c r="F91" i="50" s="1"/>
  <c r="I92" i="50"/>
  <c r="D92" i="50" s="1"/>
  <c r="E92" i="50" s="1"/>
  <c r="F92" i="50" s="1"/>
  <c r="I93" i="50"/>
  <c r="D93" i="50" s="1"/>
  <c r="E93" i="50" s="1"/>
  <c r="F93" i="50" s="1"/>
  <c r="I94" i="50"/>
  <c r="I95" i="50"/>
  <c r="D95" i="50" s="1"/>
  <c r="E95" i="50" s="1"/>
  <c r="F95" i="50" s="1"/>
  <c r="I96" i="50"/>
  <c r="D96" i="50" s="1"/>
  <c r="E96" i="50" s="1"/>
  <c r="F96" i="50" s="1"/>
  <c r="I98" i="50"/>
  <c r="D98" i="50" s="1"/>
  <c r="E98" i="50" s="1"/>
  <c r="F98" i="50" s="1"/>
  <c r="I99" i="50"/>
  <c r="I100" i="50"/>
  <c r="I101" i="50"/>
  <c r="D101" i="50" s="1"/>
  <c r="E101" i="50" s="1"/>
  <c r="F101" i="50" s="1"/>
  <c r="I102" i="50"/>
  <c r="D102" i="50" s="1"/>
  <c r="E102" i="50" s="1"/>
  <c r="F102" i="50" s="1"/>
  <c r="I103" i="50"/>
  <c r="D103" i="50" s="1"/>
  <c r="E103" i="50" s="1"/>
  <c r="F103" i="50" s="1"/>
  <c r="I104" i="50"/>
  <c r="D104" i="50" s="1"/>
  <c r="E104" i="50" s="1"/>
  <c r="F104" i="50" s="1"/>
  <c r="I105" i="50"/>
  <c r="D105" i="50" s="1"/>
  <c r="E105" i="50" s="1"/>
  <c r="F105" i="50" s="1"/>
  <c r="I114" i="50"/>
  <c r="D114" i="50" s="1"/>
  <c r="E114" i="50" s="1"/>
  <c r="F114" i="50" s="1"/>
  <c r="I132" i="50"/>
  <c r="I133" i="50"/>
  <c r="D133" i="50" s="1"/>
  <c r="E133" i="50" s="1"/>
  <c r="F133" i="50" s="1"/>
  <c r="I134" i="50"/>
  <c r="D134" i="50" s="1"/>
  <c r="E134" i="50" s="1"/>
  <c r="F134" i="50" s="1"/>
  <c r="I135" i="50"/>
  <c r="D135" i="50" s="1"/>
  <c r="E135" i="50" s="1"/>
  <c r="F135" i="50" s="1"/>
  <c r="I137" i="50"/>
  <c r="D137" i="50" s="1"/>
  <c r="E137" i="50" s="1"/>
  <c r="F137" i="50" s="1"/>
  <c r="I145" i="50"/>
  <c r="I147" i="50"/>
  <c r="D147" i="50" s="1"/>
  <c r="E147" i="50" s="1"/>
  <c r="F147" i="50" s="1"/>
  <c r="I148" i="50"/>
  <c r="D148" i="50" s="1"/>
  <c r="E148" i="50" s="1"/>
  <c r="F148" i="50" s="1"/>
  <c r="I150" i="50"/>
  <c r="I149" i="50"/>
  <c r="D149" i="50" s="1"/>
  <c r="E149" i="50" s="1"/>
  <c r="F149" i="50" s="1"/>
  <c r="I152" i="50"/>
  <c r="D152" i="50" s="1"/>
  <c r="E152" i="50" s="1"/>
  <c r="F152" i="50" s="1"/>
  <c r="I155" i="50"/>
  <c r="D155" i="50" s="1"/>
  <c r="E155" i="50" s="1"/>
  <c r="F155" i="50" s="1"/>
  <c r="I156" i="50"/>
  <c r="D156" i="50" s="1"/>
  <c r="E156" i="50" s="1"/>
  <c r="F156" i="50" s="1"/>
  <c r="I157" i="50"/>
  <c r="D157" i="50" s="1"/>
  <c r="E157" i="50" s="1"/>
  <c r="F157" i="50" s="1"/>
  <c r="I158" i="50"/>
  <c r="D158" i="50" s="1"/>
  <c r="E158" i="50" s="1"/>
  <c r="F158" i="50" s="1"/>
  <c r="I160" i="50"/>
  <c r="D160" i="50" s="1"/>
  <c r="E160" i="50" s="1"/>
  <c r="F160" i="50" s="1"/>
  <c r="I161" i="50"/>
  <c r="I162" i="50"/>
  <c r="D162" i="50" s="1"/>
  <c r="E162" i="50" s="1"/>
  <c r="F162" i="50" s="1"/>
  <c r="I163" i="50"/>
  <c r="D163" i="50" s="1"/>
  <c r="E163" i="50" s="1"/>
  <c r="F163" i="50" s="1"/>
  <c r="I164" i="50"/>
  <c r="D164" i="50" s="1"/>
  <c r="E164" i="50" s="1"/>
  <c r="F164" i="50" s="1"/>
  <c r="I165" i="50"/>
  <c r="D165" i="50" s="1"/>
  <c r="E165" i="50" s="1"/>
  <c r="F165" i="50" s="1"/>
  <c r="I167" i="50"/>
  <c r="I168" i="50"/>
  <c r="D168" i="50" s="1"/>
  <c r="E168" i="50" s="1"/>
  <c r="F168" i="50" s="1"/>
  <c r="I169" i="50"/>
  <c r="D169" i="50" s="1"/>
  <c r="E169" i="50" s="1"/>
  <c r="F169" i="50" s="1"/>
  <c r="I170" i="50"/>
  <c r="D170" i="50" s="1"/>
  <c r="E170" i="50" s="1"/>
  <c r="F170" i="50" s="1"/>
  <c r="I171" i="50"/>
  <c r="D171" i="50" s="1"/>
  <c r="E171" i="50" s="1"/>
  <c r="F171" i="50" s="1"/>
  <c r="I172" i="50"/>
  <c r="D172" i="50" s="1"/>
  <c r="E172" i="50" s="1"/>
  <c r="F172" i="50" s="1"/>
  <c r="I173" i="50"/>
  <c r="D173" i="50" s="1"/>
  <c r="E173" i="50" s="1"/>
  <c r="F173" i="50" s="1"/>
  <c r="I174" i="50"/>
  <c r="I175" i="50"/>
  <c r="D175" i="50" s="1"/>
  <c r="E175" i="50" s="1"/>
  <c r="F175" i="50" s="1"/>
  <c r="I176" i="50"/>
  <c r="D176" i="50" s="1"/>
  <c r="E176" i="50" s="1"/>
  <c r="F176" i="50" s="1"/>
  <c r="I177" i="50"/>
  <c r="D177" i="50" s="1"/>
  <c r="E177" i="50" s="1"/>
  <c r="F177" i="50" s="1"/>
  <c r="I178" i="50"/>
  <c r="D178" i="50" s="1"/>
  <c r="E178" i="50" s="1"/>
  <c r="F178" i="50" s="1"/>
  <c r="I179" i="50"/>
  <c r="D179" i="50" s="1"/>
  <c r="E179" i="50" s="1"/>
  <c r="F179" i="50" s="1"/>
  <c r="I180" i="50"/>
  <c r="D180" i="50" s="1"/>
  <c r="E180" i="50" s="1"/>
  <c r="F180" i="50" s="1"/>
  <c r="I181" i="50"/>
  <c r="D181" i="50" s="1"/>
  <c r="E181" i="50" s="1"/>
  <c r="F181" i="50" s="1"/>
  <c r="I182" i="50"/>
  <c r="D182" i="50" s="1"/>
  <c r="E182" i="50" s="1"/>
  <c r="F182" i="50" s="1"/>
  <c r="I183" i="50"/>
  <c r="D183" i="50" s="1"/>
  <c r="E183" i="50" s="1"/>
  <c r="F183" i="50" s="1"/>
  <c r="I187" i="50"/>
  <c r="D187" i="50" s="1"/>
  <c r="E187" i="50" s="1"/>
  <c r="F187" i="50" s="1"/>
  <c r="I188" i="50"/>
  <c r="D188" i="50" s="1"/>
  <c r="E188" i="50" s="1"/>
  <c r="F188" i="50" s="1"/>
  <c r="I190" i="50"/>
  <c r="I191" i="50"/>
  <c r="D191" i="50" s="1"/>
  <c r="E191" i="50" s="1"/>
  <c r="F191" i="50" s="1"/>
  <c r="I192" i="50"/>
  <c r="D192" i="50" s="1"/>
  <c r="E192" i="50" s="1"/>
  <c r="F192" i="50" s="1"/>
  <c r="I193" i="50"/>
  <c r="D193" i="50" s="1"/>
  <c r="E193" i="50" s="1"/>
  <c r="F193" i="50" s="1"/>
  <c r="I189" i="50"/>
  <c r="D189" i="50" s="1"/>
  <c r="E189" i="50" s="1"/>
  <c r="F189" i="50" s="1"/>
  <c r="I194" i="50"/>
  <c r="D194" i="50" s="1"/>
  <c r="E194" i="50" s="1"/>
  <c r="F194" i="50" s="1"/>
  <c r="I195" i="50"/>
  <c r="D195" i="50" s="1"/>
  <c r="E195" i="50" s="1"/>
  <c r="F195" i="50" s="1"/>
  <c r="I196" i="50"/>
  <c r="D196" i="50" s="1"/>
  <c r="E196" i="50" s="1"/>
  <c r="F196" i="50" s="1"/>
  <c r="I198" i="50"/>
  <c r="D198" i="50" s="1"/>
  <c r="E198" i="50" s="1"/>
  <c r="F198" i="50" s="1"/>
  <c r="I201" i="50"/>
  <c r="D201" i="50" s="1"/>
  <c r="E201" i="50" s="1"/>
  <c r="F201" i="50" s="1"/>
  <c r="I202" i="50"/>
  <c r="D202" i="50" s="1"/>
  <c r="E202" i="50" s="1"/>
  <c r="F202" i="50" s="1"/>
  <c r="I203" i="50"/>
  <c r="D203" i="50" s="1"/>
  <c r="E203" i="50" s="1"/>
  <c r="F203" i="50" s="1"/>
  <c r="I204" i="50"/>
  <c r="I205" i="50"/>
  <c r="D205" i="50" s="1"/>
  <c r="E205" i="50" s="1"/>
  <c r="F205" i="50" s="1"/>
  <c r="I209" i="50"/>
  <c r="D209" i="50" s="1"/>
  <c r="E209" i="50" s="1"/>
  <c r="F209" i="50" s="1"/>
  <c r="I210" i="50"/>
  <c r="D210" i="50" s="1"/>
  <c r="E210" i="50" s="1"/>
  <c r="F210" i="50" s="1"/>
  <c r="I211" i="50"/>
  <c r="D211" i="50" s="1"/>
  <c r="E211" i="50" s="1"/>
  <c r="F211" i="50" s="1"/>
  <c r="I212" i="50"/>
  <c r="D212" i="50" s="1"/>
  <c r="E212" i="50" s="1"/>
  <c r="F212" i="50" s="1"/>
  <c r="I213" i="50"/>
  <c r="D213" i="50" s="1"/>
  <c r="E213" i="50" s="1"/>
  <c r="F213" i="50" s="1"/>
  <c r="I214" i="50"/>
  <c r="D214" i="50" s="1"/>
  <c r="E214" i="50" s="1"/>
  <c r="F214" i="50" s="1"/>
  <c r="I215" i="50"/>
  <c r="D215" i="50" s="1"/>
  <c r="E215" i="50" s="1"/>
  <c r="F215" i="50" s="1"/>
  <c r="I216" i="50"/>
  <c r="D216" i="50" s="1"/>
  <c r="E216" i="50" s="1"/>
  <c r="F216" i="50" s="1"/>
  <c r="I217" i="50"/>
  <c r="D217" i="50" s="1"/>
  <c r="E217" i="50" s="1"/>
  <c r="F217" i="50" s="1"/>
  <c r="I218" i="50"/>
  <c r="D218" i="50" s="1"/>
  <c r="E218" i="50" s="1"/>
  <c r="F218" i="50" s="1"/>
  <c r="I219" i="50"/>
  <c r="D219" i="50" s="1"/>
  <c r="E219" i="50" s="1"/>
  <c r="F219" i="50" s="1"/>
  <c r="I220" i="50"/>
  <c r="D220" i="50" s="1"/>
  <c r="E220" i="50" s="1"/>
  <c r="F220" i="50" s="1"/>
  <c r="I221" i="50"/>
  <c r="D221" i="50" s="1"/>
  <c r="E221" i="50" s="1"/>
  <c r="F221" i="50" s="1"/>
  <c r="I223" i="50"/>
  <c r="D223" i="50" s="1"/>
  <c r="E223" i="50" s="1"/>
  <c r="F223" i="50" s="1"/>
  <c r="I224" i="50"/>
  <c r="D224" i="50" s="1"/>
  <c r="E224" i="50" s="1"/>
  <c r="F224" i="50" s="1"/>
  <c r="I225" i="50"/>
  <c r="D225" i="50" s="1"/>
  <c r="E225" i="50" s="1"/>
  <c r="F225" i="50" s="1"/>
  <c r="I226" i="50"/>
  <c r="D226" i="50" s="1"/>
  <c r="E226" i="50" s="1"/>
  <c r="F226" i="50" s="1"/>
  <c r="I227" i="50"/>
  <c r="D227" i="50" s="1"/>
  <c r="E227" i="50" s="1"/>
  <c r="F227" i="50" s="1"/>
  <c r="I228" i="50"/>
  <c r="D228" i="50" s="1"/>
  <c r="E228" i="50" s="1"/>
  <c r="F228" i="50" s="1"/>
  <c r="I229" i="50"/>
  <c r="D229" i="50" s="1"/>
  <c r="E229" i="50" s="1"/>
  <c r="F229" i="50" s="1"/>
  <c r="I230" i="50"/>
  <c r="D230" i="50" s="1"/>
  <c r="E230" i="50" s="1"/>
  <c r="F230" i="50" s="1"/>
  <c r="I231" i="50"/>
  <c r="D231" i="50" s="1"/>
  <c r="E231" i="50" s="1"/>
  <c r="F231" i="50" s="1"/>
  <c r="I232" i="50"/>
  <c r="D232" i="50" s="1"/>
  <c r="E232" i="50" s="1"/>
  <c r="F232" i="50" s="1"/>
  <c r="I233" i="50"/>
  <c r="D233" i="50" s="1"/>
  <c r="E233" i="50" s="1"/>
  <c r="F233" i="50" s="1"/>
  <c r="I234" i="50"/>
  <c r="D234" i="50" s="1"/>
  <c r="E234" i="50" s="1"/>
  <c r="F234" i="50" s="1"/>
  <c r="I235" i="50"/>
  <c r="D235" i="50" s="1"/>
  <c r="E235" i="50" s="1"/>
  <c r="F235" i="50" s="1"/>
  <c r="I236" i="50"/>
  <c r="D236" i="50" s="1"/>
  <c r="E236" i="50" s="1"/>
  <c r="F236" i="50" s="1"/>
  <c r="I237" i="50"/>
  <c r="D237" i="50" s="1"/>
  <c r="E237" i="50" s="1"/>
  <c r="F237" i="50" s="1"/>
  <c r="I238" i="50"/>
  <c r="D238" i="50" s="1"/>
  <c r="E238" i="50" s="1"/>
  <c r="F238" i="50" s="1"/>
  <c r="I239" i="50"/>
  <c r="D239" i="50" s="1"/>
  <c r="E239" i="50" s="1"/>
  <c r="F239" i="50" s="1"/>
  <c r="I240" i="50"/>
  <c r="D240" i="50" s="1"/>
  <c r="E240" i="50" s="1"/>
  <c r="F240" i="50" s="1"/>
  <c r="I241" i="50"/>
  <c r="D241" i="50" s="1"/>
  <c r="E241" i="50" s="1"/>
  <c r="F241" i="50" s="1"/>
  <c r="I242" i="50"/>
  <c r="D242" i="50" s="1"/>
  <c r="E242" i="50" s="1"/>
  <c r="F242" i="50" s="1"/>
  <c r="I243" i="50"/>
  <c r="D243" i="50" s="1"/>
  <c r="E243" i="50" s="1"/>
  <c r="F243" i="50" s="1"/>
  <c r="I244" i="50"/>
  <c r="D244" i="50" s="1"/>
  <c r="E244" i="50" s="1"/>
  <c r="F244" i="50" s="1"/>
  <c r="I246" i="50"/>
  <c r="D246" i="50" s="1"/>
  <c r="E246" i="50" s="1"/>
  <c r="F246" i="50" s="1"/>
  <c r="I247" i="50"/>
  <c r="D247" i="50" s="1"/>
  <c r="E247" i="50" s="1"/>
  <c r="F247" i="50" s="1"/>
  <c r="I248" i="50"/>
  <c r="D248" i="50" s="1"/>
  <c r="E248" i="50" s="1"/>
  <c r="F248" i="50" s="1"/>
  <c r="I250" i="50"/>
  <c r="D250" i="50" s="1"/>
  <c r="E250" i="50" s="1"/>
  <c r="F250" i="50" s="1"/>
  <c r="I251" i="50"/>
  <c r="D251" i="50" s="1"/>
  <c r="E251" i="50" s="1"/>
  <c r="F251" i="50" s="1"/>
  <c r="I252" i="50"/>
  <c r="D252" i="50" s="1"/>
  <c r="E252" i="50" s="1"/>
  <c r="F252" i="50" s="1"/>
  <c r="I253" i="50"/>
  <c r="D253" i="50" s="1"/>
  <c r="E253" i="50" s="1"/>
  <c r="F253" i="50" s="1"/>
  <c r="I255" i="50"/>
  <c r="D255" i="50" s="1"/>
  <c r="I258" i="50"/>
  <c r="D258" i="50" s="1"/>
  <c r="E258" i="50" s="1"/>
  <c r="F258" i="50" s="1"/>
  <c r="I259" i="50"/>
  <c r="D259" i="50" s="1"/>
  <c r="E259" i="50" s="1"/>
  <c r="F259" i="50" s="1"/>
  <c r="I260" i="50"/>
  <c r="D260" i="50" s="1"/>
  <c r="E260" i="50" s="1"/>
  <c r="F260" i="50" s="1"/>
  <c r="I261" i="50"/>
  <c r="D261" i="50" s="1"/>
  <c r="E261" i="50" s="1"/>
  <c r="F261" i="50" s="1"/>
  <c r="I262" i="50"/>
  <c r="D262" i="50" s="1"/>
  <c r="E262" i="50" s="1"/>
  <c r="F262" i="50" s="1"/>
  <c r="I263" i="50"/>
  <c r="D263" i="50" s="1"/>
  <c r="E263" i="50" s="1"/>
  <c r="F263" i="50" s="1"/>
  <c r="I264" i="50"/>
  <c r="D264" i="50" s="1"/>
  <c r="E264" i="50" s="1"/>
  <c r="F264" i="50" s="1"/>
  <c r="I265" i="50"/>
  <c r="D265" i="50" s="1"/>
  <c r="E265" i="50" s="1"/>
  <c r="F265" i="50" s="1"/>
  <c r="I266" i="50"/>
  <c r="D266" i="50" s="1"/>
  <c r="E266" i="50" s="1"/>
  <c r="F266" i="50" s="1"/>
  <c r="I267" i="50"/>
  <c r="D267" i="50" s="1"/>
  <c r="E267" i="50" s="1"/>
  <c r="F267" i="50" s="1"/>
  <c r="I268" i="50"/>
  <c r="D268" i="50" s="1"/>
  <c r="E268" i="50" s="1"/>
  <c r="F268" i="50" s="1"/>
  <c r="I269" i="50"/>
  <c r="D269" i="50" s="1"/>
  <c r="E269" i="50" s="1"/>
  <c r="F269" i="50" s="1"/>
  <c r="I270" i="50"/>
  <c r="D270" i="50" s="1"/>
  <c r="E270" i="50" s="1"/>
  <c r="F270" i="50" s="1"/>
  <c r="I271" i="50"/>
  <c r="D271" i="50" s="1"/>
  <c r="E271" i="50" s="1"/>
  <c r="F271" i="50" s="1"/>
  <c r="I272" i="50"/>
  <c r="D272" i="50" s="1"/>
  <c r="E272" i="50" s="1"/>
  <c r="F272" i="50" s="1"/>
  <c r="I273" i="50"/>
  <c r="D273" i="50" s="1"/>
  <c r="E273" i="50" s="1"/>
  <c r="F273" i="50" s="1"/>
  <c r="I274" i="50"/>
  <c r="D274" i="50" s="1"/>
  <c r="E274" i="50" s="1"/>
  <c r="F274" i="50" s="1"/>
  <c r="I275" i="50"/>
  <c r="I276" i="50"/>
  <c r="D276" i="50" s="1"/>
  <c r="E276" i="50" s="1"/>
  <c r="F276" i="50" s="1"/>
  <c r="O184" i="50"/>
  <c r="I184" i="50" s="1"/>
  <c r="D184" i="50" s="1"/>
  <c r="E184" i="50" s="1"/>
  <c r="F184" i="50" s="1"/>
  <c r="M123" i="50"/>
  <c r="I123" i="50" s="1"/>
  <c r="D123" i="50" s="1"/>
  <c r="E123" i="50" s="1"/>
  <c r="F123" i="50" s="1"/>
  <c r="M122" i="50"/>
  <c r="I122" i="50" s="1"/>
  <c r="D122" i="50" s="1"/>
  <c r="E122" i="50" s="1"/>
  <c r="F122" i="50" s="1"/>
  <c r="M121" i="50"/>
  <c r="I121" i="50" s="1"/>
  <c r="D121" i="50" s="1"/>
  <c r="E121" i="50" s="1"/>
  <c r="F121" i="50" s="1"/>
  <c r="M120" i="50"/>
  <c r="I120" i="50" s="1"/>
  <c r="D120" i="50" s="1"/>
  <c r="E120" i="50" s="1"/>
  <c r="F120" i="50" s="1"/>
  <c r="M119" i="50"/>
  <c r="I119" i="50" s="1"/>
  <c r="D119" i="50" s="1"/>
  <c r="E119" i="50" s="1"/>
  <c r="F119" i="50" s="1"/>
  <c r="C241" i="40"/>
  <c r="C242" i="40"/>
  <c r="C243" i="40"/>
  <c r="C245" i="40"/>
  <c r="C256" i="40"/>
  <c r="C257" i="40"/>
  <c r="C148" i="40"/>
  <c r="C149" i="40"/>
  <c r="C150" i="40"/>
  <c r="C170" i="40"/>
  <c r="C168" i="40"/>
  <c r="C173" i="40"/>
  <c r="C176" i="40"/>
  <c r="C178" i="40"/>
  <c r="C169" i="40"/>
  <c r="C174" i="40"/>
  <c r="C177" i="40"/>
  <c r="C175" i="40"/>
  <c r="C138" i="40"/>
  <c r="C140" i="40"/>
  <c r="C141" i="40"/>
  <c r="C142" i="40"/>
  <c r="C216" i="40"/>
  <c r="C219" i="40"/>
  <c r="C222" i="40"/>
  <c r="C217" i="40"/>
  <c r="C220" i="40"/>
  <c r="C224" i="40"/>
  <c r="C226" i="40"/>
  <c r="C221" i="40"/>
  <c r="C223" i="40"/>
  <c r="C227" i="40"/>
  <c r="C144" i="40"/>
  <c r="C145" i="40"/>
  <c r="C146" i="40"/>
  <c r="C204" i="40"/>
  <c r="C207" i="40"/>
  <c r="C210" i="40"/>
  <c r="C205" i="40"/>
  <c r="C208" i="40"/>
  <c r="C212" i="40"/>
  <c r="C214" i="40"/>
  <c r="C209" i="40"/>
  <c r="C211" i="40"/>
  <c r="C213" i="40"/>
  <c r="C152" i="40"/>
  <c r="C158" i="40"/>
  <c r="C153" i="40"/>
  <c r="C156" i="40"/>
  <c r="C159" i="40"/>
  <c r="C164" i="40"/>
  <c r="C154" i="40"/>
  <c r="C157" i="40"/>
  <c r="C160" i="40"/>
  <c r="C163" i="40"/>
  <c r="C165" i="40"/>
  <c r="C246" i="40"/>
  <c r="C247" i="40"/>
  <c r="C248" i="40"/>
  <c r="C249" i="40"/>
  <c r="C250" i="40"/>
  <c r="C194" i="40"/>
  <c r="C192" i="40"/>
  <c r="C195" i="40"/>
  <c r="C198" i="40"/>
  <c r="C200" i="40"/>
  <c r="C202" i="40"/>
  <c r="C193" i="40"/>
  <c r="C196" i="40"/>
  <c r="C201" i="40"/>
  <c r="C203" i="40"/>
  <c r="C179" i="40"/>
  <c r="C182" i="40"/>
  <c r="C180" i="40"/>
  <c r="C183" i="40"/>
  <c r="C188" i="40"/>
  <c r="C190" i="40"/>
  <c r="C181" i="40"/>
  <c r="C184" i="40"/>
  <c r="C186" i="40"/>
  <c r="C189" i="40"/>
  <c r="C187" i="40"/>
  <c r="C251" i="40"/>
  <c r="C252" i="40"/>
  <c r="C253" i="40"/>
  <c r="C254" i="40"/>
  <c r="C228" i="40"/>
  <c r="C231" i="40"/>
  <c r="C234" i="40"/>
  <c r="C240" i="40"/>
  <c r="C229" i="40"/>
  <c r="C232" i="40"/>
  <c r="C236" i="40"/>
  <c r="C230" i="40"/>
  <c r="C235" i="40"/>
  <c r="C237" i="40"/>
  <c r="C239" i="40"/>
  <c r="C128" i="40"/>
  <c r="C129" i="40"/>
  <c r="C131" i="40"/>
  <c r="C132" i="40"/>
  <c r="C137" i="40"/>
  <c r="C133" i="40"/>
  <c r="C134" i="40"/>
  <c r="C136" i="40"/>
  <c r="B44" i="52"/>
  <c r="Y44" i="52" s="1"/>
  <c r="M109" i="50"/>
  <c r="M78" i="50"/>
  <c r="I78" i="50" s="1"/>
  <c r="D78" i="50" s="1"/>
  <c r="E78" i="50" s="1"/>
  <c r="F78" i="50" s="1"/>
  <c r="M77" i="50"/>
  <c r="I77" i="50" s="1"/>
  <c r="D77" i="50" s="1"/>
  <c r="E77" i="50" s="1"/>
  <c r="F77" i="50" s="1"/>
  <c r="M76" i="50"/>
  <c r="I76" i="50" s="1"/>
  <c r="D76" i="50" s="1"/>
  <c r="E76" i="50" s="1"/>
  <c r="F76" i="50" s="1"/>
  <c r="O88" i="50"/>
  <c r="I88" i="50" s="1"/>
  <c r="D88" i="50" s="1"/>
  <c r="E88" i="50" s="1"/>
  <c r="F88" i="50" s="1"/>
  <c r="I13" i="50"/>
  <c r="D13" i="50" s="1"/>
  <c r="E13" i="50" s="1"/>
  <c r="F13" i="50" s="1"/>
  <c r="D16" i="50"/>
  <c r="E16" i="50" s="1"/>
  <c r="F16" i="50" s="1"/>
  <c r="E277" i="50"/>
  <c r="F277" i="50" s="1"/>
  <c r="D287" i="50"/>
  <c r="E287" i="50" s="1"/>
  <c r="F287" i="50" s="1"/>
  <c r="F297" i="50"/>
  <c r="D200" i="50"/>
  <c r="E200" i="50" s="1"/>
  <c r="F200" i="50" s="1"/>
  <c r="D8" i="50"/>
  <c r="E8" i="50" s="1"/>
  <c r="F8" i="50" s="1"/>
  <c r="D14" i="50"/>
  <c r="E14" i="50" s="1"/>
  <c r="F14" i="50" s="1"/>
  <c r="D20" i="50"/>
  <c r="E20" i="50" s="1"/>
  <c r="F20" i="50" s="1"/>
  <c r="D28" i="50"/>
  <c r="E28" i="50" s="1"/>
  <c r="F28" i="50" s="1"/>
  <c r="D49" i="50"/>
  <c r="E49" i="50" s="1"/>
  <c r="F49" i="50" s="1"/>
  <c r="D58" i="50"/>
  <c r="E58" i="50" s="1"/>
  <c r="F58" i="50" s="1"/>
  <c r="D70" i="50"/>
  <c r="E70" i="50" s="1"/>
  <c r="F70" i="50" s="1"/>
  <c r="D69" i="50"/>
  <c r="E69" i="50" s="1"/>
  <c r="F69" i="50" s="1"/>
  <c r="D73" i="50"/>
  <c r="E73" i="50" s="1"/>
  <c r="F73" i="50" s="1"/>
  <c r="D80" i="50"/>
  <c r="E80" i="50" s="1"/>
  <c r="F80" i="50" s="1"/>
  <c r="D90" i="50"/>
  <c r="E90" i="50" s="1"/>
  <c r="F90" i="50" s="1"/>
  <c r="D132" i="50"/>
  <c r="E132" i="50" s="1"/>
  <c r="F132" i="50" s="1"/>
  <c r="D204" i="50"/>
  <c r="E204" i="50" s="1"/>
  <c r="F204" i="50" s="1"/>
  <c r="E967" i="27"/>
  <c r="E968" i="27" s="1"/>
  <c r="E1032" i="27"/>
  <c r="E1033" i="27" s="1"/>
  <c r="E1054" i="27"/>
  <c r="E1055" i="27" s="1"/>
  <c r="C1017" i="27"/>
  <c r="C1024" i="27" s="1"/>
  <c r="B1017" i="27"/>
  <c r="E1010" i="27"/>
  <c r="E1011" i="27" s="1"/>
  <c r="E1004" i="27"/>
  <c r="E1005" i="27" s="1"/>
  <c r="D5057" i="51"/>
  <c r="C5043" i="51"/>
  <c r="B5043" i="51" s="1"/>
  <c r="D5009" i="51"/>
  <c r="C4995" i="51"/>
  <c r="B4995" i="51" s="1"/>
  <c r="C5032" i="51"/>
  <c r="H5029" i="51"/>
  <c r="G5012" i="51"/>
  <c r="G5011" i="51"/>
  <c r="E5009" i="51"/>
  <c r="E5001" i="51"/>
  <c r="G5001" i="51" s="1"/>
  <c r="D4961" i="51"/>
  <c r="C4947" i="51"/>
  <c r="B4947" i="51" s="1"/>
  <c r="C4984" i="51"/>
  <c r="H4981" i="51"/>
  <c r="G4964" i="51"/>
  <c r="G4963" i="51"/>
  <c r="E4961" i="51"/>
  <c r="E4953" i="51"/>
  <c r="G4953" i="51" s="1"/>
  <c r="D4912" i="51"/>
  <c r="C4898" i="51"/>
  <c r="B4898" i="51" s="1"/>
  <c r="C4935" i="51"/>
  <c r="H4932" i="51"/>
  <c r="G4915" i="51"/>
  <c r="G4914" i="51"/>
  <c r="E4912" i="51"/>
  <c r="E4904" i="51"/>
  <c r="G4904" i="51" s="1"/>
  <c r="J79" i="35"/>
  <c r="E989" i="27"/>
  <c r="E990" i="27" s="1"/>
  <c r="E940" i="27"/>
  <c r="E941" i="27" s="1"/>
  <c r="C953" i="27"/>
  <c r="C960" i="27" s="1"/>
  <c r="B953" i="27"/>
  <c r="C244" i="40"/>
  <c r="C255" i="40"/>
  <c r="C151" i="40"/>
  <c r="C171" i="40"/>
  <c r="C172" i="40"/>
  <c r="C139" i="40"/>
  <c r="C225" i="40"/>
  <c r="C143" i="40"/>
  <c r="C147" i="40"/>
  <c r="C206" i="40"/>
  <c r="C215" i="40"/>
  <c r="C155" i="40"/>
  <c r="C162" i="40"/>
  <c r="C199" i="40"/>
  <c r="C185" i="40"/>
  <c r="C238" i="40"/>
  <c r="C233" i="40"/>
  <c r="C130" i="40"/>
  <c r="D190" i="50"/>
  <c r="E190" i="50" s="1"/>
  <c r="F190" i="50" s="1"/>
  <c r="N199" i="50"/>
  <c r="I199" i="50" s="1"/>
  <c r="D199" i="50" s="1"/>
  <c r="E199" i="50" s="1"/>
  <c r="F199" i="50" s="1"/>
  <c r="N63" i="50"/>
  <c r="I63" i="50" s="1"/>
  <c r="D63" i="50" s="1"/>
  <c r="E63" i="50" s="1"/>
  <c r="F63" i="50" s="1"/>
  <c r="N59" i="50"/>
  <c r="I59" i="50" s="1"/>
  <c r="D59" i="50" s="1"/>
  <c r="E59" i="50" s="1"/>
  <c r="F59" i="50" s="1"/>
  <c r="D100" i="50"/>
  <c r="E100" i="50" s="1"/>
  <c r="F100" i="50" s="1"/>
  <c r="D99" i="50"/>
  <c r="E99" i="50" s="1"/>
  <c r="F99" i="50" s="1"/>
  <c r="D94" i="50"/>
  <c r="E94" i="50" s="1"/>
  <c r="F94" i="50" s="1"/>
  <c r="D174" i="50"/>
  <c r="E174" i="50" s="1"/>
  <c r="F174" i="50" s="1"/>
  <c r="D167" i="50"/>
  <c r="E167" i="50" s="1"/>
  <c r="F167" i="50" s="1"/>
  <c r="D161" i="50"/>
  <c r="E161" i="50" s="1"/>
  <c r="F161" i="50" s="1"/>
  <c r="D150" i="50"/>
  <c r="E150" i="50" s="1"/>
  <c r="F150" i="50" s="1"/>
  <c r="D145" i="50"/>
  <c r="E145" i="50" s="1"/>
  <c r="F145" i="50" s="1"/>
  <c r="M33" i="50"/>
  <c r="M32" i="50"/>
  <c r="I32" i="50" s="1"/>
  <c r="D32" i="50" s="1"/>
  <c r="E32" i="50" s="1"/>
  <c r="F32" i="50" s="1"/>
  <c r="M31" i="50"/>
  <c r="I31" i="50" s="1"/>
  <c r="D31" i="50" s="1"/>
  <c r="E31" i="50" s="1"/>
  <c r="F31" i="50" s="1"/>
  <c r="E6650" i="51"/>
  <c r="E1352" i="51"/>
  <c r="G1352" i="51" s="1"/>
  <c r="E1304" i="51"/>
  <c r="G1304" i="51" s="1"/>
  <c r="E1401" i="51"/>
  <c r="G1401" i="51" s="1"/>
  <c r="C6486" i="51"/>
  <c r="B6486" i="51" s="1"/>
  <c r="C6523" i="51"/>
  <c r="E6500" i="51"/>
  <c r="C6437" i="51"/>
  <c r="C6388" i="51"/>
  <c r="B6388" i="51" s="1"/>
  <c r="C6339" i="51"/>
  <c r="B6339" i="51" s="1"/>
  <c r="C6290" i="51"/>
  <c r="B6290" i="51" s="1"/>
  <c r="C6241" i="51"/>
  <c r="C6193" i="51"/>
  <c r="B6193" i="51" s="1"/>
  <c r="C6145" i="51"/>
  <c r="B6145" i="51" s="1"/>
  <c r="D177" i="33"/>
  <c r="C6097" i="51"/>
  <c r="C6001" i="51"/>
  <c r="B6001" i="51" s="1"/>
  <c r="C6049" i="51"/>
  <c r="B6049" i="51" s="1"/>
  <c r="C5953" i="51"/>
  <c r="B5953" i="51" s="1"/>
  <c r="C5905" i="51"/>
  <c r="B5905" i="51" s="1"/>
  <c r="C5857" i="51"/>
  <c r="B5857" i="51" s="1"/>
  <c r="C5809" i="51"/>
  <c r="B5809" i="51" s="1"/>
  <c r="C5761" i="51"/>
  <c r="B5761" i="51" s="1"/>
  <c r="C5714" i="51"/>
  <c r="C5666" i="51"/>
  <c r="B5666" i="51" s="1"/>
  <c r="C5618" i="51"/>
  <c r="B5618" i="51" s="1"/>
  <c r="C5522" i="51"/>
  <c r="B5522" i="51" s="1"/>
  <c r="C5474" i="51"/>
  <c r="B5474" i="51" s="1"/>
  <c r="G6475" i="51"/>
  <c r="G6468" i="51"/>
  <c r="H6472" i="51" s="1"/>
  <c r="H6431" i="51"/>
  <c r="G6419" i="51"/>
  <c r="H6423" i="51" s="1"/>
  <c r="H6400" i="51"/>
  <c r="G6377" i="51"/>
  <c r="G6370" i="51"/>
  <c r="H6374" i="51" s="1"/>
  <c r="H6333" i="51"/>
  <c r="G6321" i="51"/>
  <c r="H6325" i="51" s="1"/>
  <c r="H6302" i="51"/>
  <c r="G6279" i="51"/>
  <c r="G6272" i="51"/>
  <c r="G6231" i="51"/>
  <c r="H6228" i="51"/>
  <c r="G6183" i="51"/>
  <c r="G6176" i="51"/>
  <c r="H6180" i="51" s="1"/>
  <c r="C6136" i="51"/>
  <c r="G6135" i="51"/>
  <c r="G6128" i="51"/>
  <c r="H6132" i="51" s="1"/>
  <c r="C6087" i="51"/>
  <c r="G6080" i="51"/>
  <c r="H6084" i="51" s="1"/>
  <c r="G6039" i="51"/>
  <c r="G6032" i="51"/>
  <c r="H6036" i="51" s="1"/>
  <c r="G5991" i="51"/>
  <c r="G5984" i="51"/>
  <c r="H5988" i="51" s="1"/>
  <c r="G5958" i="51"/>
  <c r="H5965" i="51" s="1"/>
  <c r="G5943" i="51"/>
  <c r="G5936" i="51"/>
  <c r="H5940" i="51" s="1"/>
  <c r="H5892" i="51"/>
  <c r="G5862" i="51"/>
  <c r="H5869" i="51" s="1"/>
  <c r="G5847" i="51"/>
  <c r="G5840" i="51"/>
  <c r="G5798" i="51"/>
  <c r="H5795" i="51"/>
  <c r="B5775" i="51"/>
  <c r="G5745" i="51"/>
  <c r="H5749" i="51" s="1"/>
  <c r="B5729" i="51"/>
  <c r="H5709" i="51"/>
  <c r="H5701" i="51"/>
  <c r="B5682" i="51"/>
  <c r="B5681" i="51"/>
  <c r="H5678" i="51"/>
  <c r="C5656" i="51"/>
  <c r="H5653" i="51"/>
  <c r="B5633" i="51"/>
  <c r="G5609" i="51"/>
  <c r="H5605" i="51"/>
  <c r="B5587" i="51"/>
  <c r="B5586" i="51"/>
  <c r="B5585" i="51"/>
  <c r="G5576" i="51"/>
  <c r="B5576" i="51"/>
  <c r="C5560" i="51"/>
  <c r="H5557" i="51"/>
  <c r="B5538" i="51"/>
  <c r="B5537" i="51"/>
  <c r="C5512" i="51"/>
  <c r="H5509" i="51"/>
  <c r="B5492" i="51"/>
  <c r="B5491" i="51"/>
  <c r="B5490" i="51"/>
  <c r="B5489" i="51"/>
  <c r="E5489" i="51" s="1"/>
  <c r="G5489" i="51" s="1"/>
  <c r="C5388" i="51"/>
  <c r="B5388" i="51" s="1"/>
  <c r="C5416" i="51"/>
  <c r="H5413" i="51"/>
  <c r="B5408" i="51"/>
  <c r="E5405" i="51"/>
  <c r="D5405" i="51"/>
  <c r="E5404" i="51"/>
  <c r="D5404" i="51"/>
  <c r="E5403" i="51"/>
  <c r="D5403" i="51"/>
  <c r="E5402" i="51"/>
  <c r="D5402" i="51"/>
  <c r="D5401" i="51"/>
  <c r="C5376" i="51"/>
  <c r="C5290" i="51"/>
  <c r="B5290" i="51" s="1"/>
  <c r="C5243" i="51"/>
  <c r="B5243" i="51" s="1"/>
  <c r="C5191" i="51"/>
  <c r="B5191" i="51" s="1"/>
  <c r="C5141" i="51"/>
  <c r="B5141" i="51" s="1"/>
  <c r="C5092" i="51"/>
  <c r="B5092" i="51" s="1"/>
  <c r="C5330" i="51"/>
  <c r="C5327" i="51"/>
  <c r="H5324" i="51"/>
  <c r="C5278" i="51"/>
  <c r="H5275" i="51"/>
  <c r="C5231" i="51"/>
  <c r="H5228" i="51"/>
  <c r="E5197" i="51"/>
  <c r="G5197" i="51" s="1"/>
  <c r="C5182" i="51"/>
  <c r="C5179" i="51"/>
  <c r="G5170" i="51"/>
  <c r="H5176" i="51" s="1"/>
  <c r="H5167" i="51"/>
  <c r="C5129" i="51"/>
  <c r="H5126" i="51"/>
  <c r="E5106" i="51"/>
  <c r="G5106" i="51" s="1"/>
  <c r="C4610" i="51"/>
  <c r="B4610" i="51" s="1"/>
  <c r="C5080" i="51"/>
  <c r="H5077" i="51"/>
  <c r="G5060" i="51"/>
  <c r="G5059" i="51"/>
  <c r="E5057" i="51"/>
  <c r="E5049" i="51"/>
  <c r="G5049" i="51" s="1"/>
  <c r="C4647" i="51"/>
  <c r="H4644" i="51"/>
  <c r="G4627" i="51"/>
  <c r="G4626" i="51"/>
  <c r="E4625" i="51"/>
  <c r="G4625" i="51" s="1"/>
  <c r="E4624" i="51"/>
  <c r="E4616" i="51"/>
  <c r="G4616" i="51" s="1"/>
  <c r="C4562" i="51"/>
  <c r="B4562" i="51" s="1"/>
  <c r="C4513" i="51"/>
  <c r="B4513" i="51" s="1"/>
  <c r="C4599" i="51"/>
  <c r="E4578" i="51"/>
  <c r="G4578" i="51" s="1"/>
  <c r="E4577" i="51"/>
  <c r="G4577" i="51" s="1"/>
  <c r="E4576" i="51"/>
  <c r="E4591" i="51" s="1"/>
  <c r="G4591" i="51" s="1"/>
  <c r="H4596" i="51" s="1"/>
  <c r="C4550" i="51"/>
  <c r="H4547" i="51"/>
  <c r="E4528" i="51"/>
  <c r="D4528" i="51"/>
  <c r="A112" i="40"/>
  <c r="C174" i="41"/>
  <c r="C175" i="41"/>
  <c r="C172" i="41"/>
  <c r="C178" i="41" s="1"/>
  <c r="C173" i="41"/>
  <c r="C4464" i="51"/>
  <c r="B4464" i="51" s="1"/>
  <c r="C4416" i="51"/>
  <c r="B4416" i="51" s="1"/>
  <c r="C4368" i="51"/>
  <c r="B4368" i="51" s="1"/>
  <c r="C4320" i="51"/>
  <c r="B4320" i="51" s="1"/>
  <c r="C4272" i="51"/>
  <c r="B4272" i="51" s="1"/>
  <c r="C4501" i="51"/>
  <c r="H4498" i="51"/>
  <c r="H4490" i="51"/>
  <c r="C4453" i="51"/>
  <c r="H4450" i="51"/>
  <c r="H4442" i="51"/>
  <c r="C4405" i="51"/>
  <c r="H4402" i="51"/>
  <c r="H4394" i="51"/>
  <c r="C4357" i="51"/>
  <c r="H4354" i="51"/>
  <c r="H4346" i="51"/>
  <c r="C4309" i="51"/>
  <c r="H4306" i="51"/>
  <c r="H4298" i="51"/>
  <c r="C4224" i="51"/>
  <c r="B4224" i="51" s="1"/>
  <c r="C4261" i="51"/>
  <c r="H4258" i="51"/>
  <c r="H4250" i="51"/>
  <c r="C4176" i="51"/>
  <c r="B4176" i="51" s="1"/>
  <c r="C4128" i="51"/>
  <c r="B4128" i="51" s="1"/>
  <c r="C4080" i="51"/>
  <c r="B4080" i="51" s="1"/>
  <c r="C4213" i="51"/>
  <c r="H4210" i="51"/>
  <c r="H4202" i="51"/>
  <c r="C4165" i="51"/>
  <c r="H4162" i="51"/>
  <c r="H4154" i="51"/>
  <c r="C4117" i="51"/>
  <c r="H4114" i="51"/>
  <c r="H4106" i="51"/>
  <c r="C4032" i="51"/>
  <c r="B4032" i="51" s="1"/>
  <c r="C4069" i="51"/>
  <c r="H4066" i="51"/>
  <c r="H4058" i="51"/>
  <c r="C3984" i="51"/>
  <c r="B3984" i="51" s="1"/>
  <c r="C4021" i="51"/>
  <c r="H4018" i="51"/>
  <c r="G4001" i="51"/>
  <c r="G4000" i="51"/>
  <c r="E3990" i="51"/>
  <c r="G3990" i="51" s="1"/>
  <c r="C3936" i="51"/>
  <c r="B3936" i="51" s="1"/>
  <c r="C3888" i="51"/>
  <c r="B3888" i="51" s="1"/>
  <c r="C3973" i="51"/>
  <c r="H3970" i="51"/>
  <c r="G3953" i="51"/>
  <c r="G3952" i="51"/>
  <c r="E3942" i="51"/>
  <c r="C3925" i="51"/>
  <c r="H3922" i="51"/>
  <c r="G3905" i="51"/>
  <c r="G3904" i="51"/>
  <c r="E3894" i="51"/>
  <c r="C3840" i="51"/>
  <c r="B3840" i="51" s="1"/>
  <c r="C3792" i="51"/>
  <c r="B3792" i="51" s="1"/>
  <c r="C3877" i="51"/>
  <c r="H3874" i="51"/>
  <c r="G3857" i="51"/>
  <c r="G3856" i="51"/>
  <c r="E3846" i="51"/>
  <c r="C3829" i="51"/>
  <c r="H3826" i="51"/>
  <c r="G3809" i="51"/>
  <c r="G3808" i="51"/>
  <c r="E3798" i="51"/>
  <c r="G3798" i="51" s="1"/>
  <c r="C3744" i="51"/>
  <c r="B3744" i="51" s="1"/>
  <c r="C3696" i="51"/>
  <c r="B3696" i="51" s="1"/>
  <c r="C3648" i="51"/>
  <c r="B3648" i="51" s="1"/>
  <c r="C3600" i="51"/>
  <c r="B3600" i="51" s="1"/>
  <c r="C3781" i="51"/>
  <c r="H3778" i="51"/>
  <c r="E3750" i="51"/>
  <c r="G3750" i="51" s="1"/>
  <c r="C3733" i="51"/>
  <c r="H3730" i="51"/>
  <c r="E3702" i="51"/>
  <c r="G3702" i="51" s="1"/>
  <c r="C3685" i="51"/>
  <c r="H3682" i="51"/>
  <c r="E3654" i="51"/>
  <c r="G3654" i="51" s="1"/>
  <c r="C3637" i="51"/>
  <c r="H3634" i="51"/>
  <c r="E3606" i="51"/>
  <c r="G3606" i="51" s="1"/>
  <c r="C3552" i="51"/>
  <c r="B3552" i="51" s="1"/>
  <c r="C3590" i="51"/>
  <c r="E3569" i="51"/>
  <c r="G3569" i="51" s="1"/>
  <c r="E3568" i="51"/>
  <c r="G3568" i="51" s="1"/>
  <c r="G3567" i="51"/>
  <c r="C3504" i="51"/>
  <c r="B3504" i="51" s="1"/>
  <c r="D3504" i="51"/>
  <c r="G3545" i="51"/>
  <c r="C3542" i="51"/>
  <c r="H3539" i="51"/>
  <c r="E3521" i="51"/>
  <c r="G3521" i="51" s="1"/>
  <c r="E3520" i="51"/>
  <c r="G3520" i="51" s="1"/>
  <c r="G3519" i="51"/>
  <c r="C3456" i="51"/>
  <c r="B3456" i="51" s="1"/>
  <c r="C3408" i="51"/>
  <c r="B3408" i="51" s="1"/>
  <c r="C3360" i="51"/>
  <c r="B3360" i="51" s="1"/>
  <c r="C3312" i="51"/>
  <c r="B3312" i="51" s="1"/>
  <c r="C3264" i="51"/>
  <c r="B3264" i="51" s="1"/>
  <c r="C3216" i="51"/>
  <c r="B3216" i="51" s="1"/>
  <c r="C3168" i="51"/>
  <c r="B3168" i="51" s="1"/>
  <c r="C3120" i="51"/>
  <c r="B3120" i="51" s="1"/>
  <c r="C3072" i="51"/>
  <c r="B3072" i="51" s="1"/>
  <c r="C3024" i="51"/>
  <c r="B3024" i="51" s="1"/>
  <c r="C2976" i="51"/>
  <c r="B2976" i="51" s="1"/>
  <c r="C2927" i="51"/>
  <c r="B2927" i="51" s="1"/>
  <c r="C3494" i="51"/>
  <c r="H3491" i="51"/>
  <c r="H3484" i="51"/>
  <c r="C3484" i="51"/>
  <c r="C3483" i="51"/>
  <c r="C3482" i="51"/>
  <c r="C3481" i="51"/>
  <c r="C3480" i="51"/>
  <c r="C3479" i="51"/>
  <c r="C3478" i="51"/>
  <c r="C3477" i="51"/>
  <c r="C3476" i="51"/>
  <c r="C3475" i="51"/>
  <c r="C3474" i="51"/>
  <c r="C3473" i="51"/>
  <c r="C3472" i="51"/>
  <c r="C3471" i="51"/>
  <c r="C3446" i="51"/>
  <c r="H3443" i="51"/>
  <c r="H3436" i="51"/>
  <c r="C3436" i="51"/>
  <c r="C3435" i="51"/>
  <c r="C3434" i="51"/>
  <c r="C3433" i="51"/>
  <c r="C3432" i="51"/>
  <c r="C3431" i="51"/>
  <c r="C3430" i="51"/>
  <c r="C3429" i="51"/>
  <c r="C3428" i="51"/>
  <c r="C3427" i="51"/>
  <c r="C3426" i="51"/>
  <c r="C3425" i="51"/>
  <c r="C3424" i="51"/>
  <c r="C3423" i="51"/>
  <c r="C3398" i="51"/>
  <c r="G3395" i="51"/>
  <c r="E3395" i="51"/>
  <c r="C3395" i="51"/>
  <c r="G3394" i="51"/>
  <c r="E3394" i="51"/>
  <c r="C3394" i="51"/>
  <c r="G3393" i="51"/>
  <c r="E3393" i="51"/>
  <c r="C3393" i="51"/>
  <c r="G3392" i="51"/>
  <c r="E3392" i="51"/>
  <c r="C3392" i="51"/>
  <c r="G3391" i="51"/>
  <c r="E3391" i="51"/>
  <c r="C3391" i="51"/>
  <c r="G3388" i="51"/>
  <c r="E3388" i="51"/>
  <c r="C3388" i="51"/>
  <c r="G3387" i="51"/>
  <c r="E3387" i="51"/>
  <c r="C3387" i="51"/>
  <c r="G3386" i="51"/>
  <c r="E3386" i="51"/>
  <c r="C3386" i="51"/>
  <c r="G3385" i="51"/>
  <c r="E3385" i="51"/>
  <c r="C3385" i="51"/>
  <c r="G3384" i="51"/>
  <c r="E3384" i="51"/>
  <c r="C3384" i="51"/>
  <c r="G3383" i="51"/>
  <c r="E3383" i="51"/>
  <c r="C3383" i="51"/>
  <c r="G3382" i="51"/>
  <c r="E3382" i="51"/>
  <c r="C3382" i="51"/>
  <c r="G3381" i="51"/>
  <c r="E3381" i="51"/>
  <c r="C3381" i="51"/>
  <c r="G3380" i="51"/>
  <c r="E3380" i="51"/>
  <c r="C3380" i="51"/>
  <c r="G3379" i="51"/>
  <c r="E3379" i="51"/>
  <c r="C3379" i="51"/>
  <c r="G3378" i="51"/>
  <c r="E3378" i="51"/>
  <c r="C3378" i="51"/>
  <c r="G3377" i="51"/>
  <c r="E3377" i="51"/>
  <c r="C3377" i="51"/>
  <c r="G3376" i="51"/>
  <c r="E3376" i="51"/>
  <c r="C3376" i="51"/>
  <c r="G3375" i="51"/>
  <c r="E3375" i="51"/>
  <c r="C3375" i="51"/>
  <c r="G3372" i="51"/>
  <c r="E3372" i="51"/>
  <c r="C3372" i="51"/>
  <c r="G3371" i="51"/>
  <c r="E3371" i="51"/>
  <c r="C3371" i="51"/>
  <c r="G3370" i="51"/>
  <c r="E3370" i="51"/>
  <c r="C3370" i="51"/>
  <c r="G3369" i="51"/>
  <c r="E3369" i="51"/>
  <c r="C3369" i="51"/>
  <c r="G3368" i="51"/>
  <c r="E3368" i="51"/>
  <c r="C3368" i="51"/>
  <c r="G3367" i="51"/>
  <c r="E3367" i="51"/>
  <c r="C3367" i="51"/>
  <c r="F3366" i="51"/>
  <c r="C3350" i="51"/>
  <c r="G3347" i="51"/>
  <c r="E3347" i="51"/>
  <c r="C3347" i="51"/>
  <c r="G3346" i="51"/>
  <c r="E3346" i="51"/>
  <c r="C3346" i="51"/>
  <c r="G3345" i="51"/>
  <c r="E3345" i="51"/>
  <c r="C3345" i="51"/>
  <c r="G3344" i="51"/>
  <c r="E3344" i="51"/>
  <c r="C3344" i="51"/>
  <c r="G3343" i="51"/>
  <c r="E3343" i="51"/>
  <c r="C3343" i="51"/>
  <c r="G3340" i="51"/>
  <c r="E3340" i="51"/>
  <c r="C3340" i="51"/>
  <c r="G3339" i="51"/>
  <c r="E3339" i="51"/>
  <c r="C3339" i="51"/>
  <c r="G3338" i="51"/>
  <c r="E3338" i="51"/>
  <c r="C3338" i="51"/>
  <c r="G3337" i="51"/>
  <c r="E3337" i="51"/>
  <c r="C3337" i="51"/>
  <c r="G3336" i="51"/>
  <c r="E3336" i="51"/>
  <c r="C3336" i="51"/>
  <c r="G3335" i="51"/>
  <c r="E3335" i="51"/>
  <c r="C3335" i="51"/>
  <c r="G3334" i="51"/>
  <c r="E3334" i="51"/>
  <c r="C3334" i="51"/>
  <c r="G3333" i="51"/>
  <c r="E3333" i="51"/>
  <c r="C3333" i="51"/>
  <c r="G3332" i="51"/>
  <c r="E3332" i="51"/>
  <c r="C3332" i="51"/>
  <c r="G3331" i="51"/>
  <c r="E3331" i="51"/>
  <c r="C3331" i="51"/>
  <c r="G3330" i="51"/>
  <c r="E3330" i="51"/>
  <c r="C3330" i="51"/>
  <c r="G3329" i="51"/>
  <c r="E3329" i="51"/>
  <c r="C3329" i="51"/>
  <c r="G3328" i="51"/>
  <c r="E3328" i="51"/>
  <c r="C3328" i="51"/>
  <c r="G3327" i="51"/>
  <c r="E3327" i="51"/>
  <c r="C3327" i="51"/>
  <c r="G3324" i="51"/>
  <c r="E3324" i="51"/>
  <c r="C3324" i="51"/>
  <c r="G3323" i="51"/>
  <c r="E3323" i="51"/>
  <c r="C3323" i="51"/>
  <c r="G3322" i="51"/>
  <c r="E3322" i="51"/>
  <c r="C3322" i="51"/>
  <c r="G3321" i="51"/>
  <c r="E3321" i="51"/>
  <c r="C3321" i="51"/>
  <c r="G3320" i="51"/>
  <c r="E3320" i="51"/>
  <c r="C3320" i="51"/>
  <c r="G3319" i="51"/>
  <c r="E3319" i="51"/>
  <c r="C3319" i="51"/>
  <c r="C3302" i="51"/>
  <c r="H3299" i="51"/>
  <c r="H3292" i="51"/>
  <c r="C3292" i="51"/>
  <c r="C3291" i="51"/>
  <c r="C3290" i="51"/>
  <c r="C3289" i="51"/>
  <c r="C3288" i="51"/>
  <c r="C3287" i="51"/>
  <c r="C3286" i="51"/>
  <c r="C3285" i="51"/>
  <c r="C3284" i="51"/>
  <c r="C3283" i="51"/>
  <c r="C3282" i="51"/>
  <c r="C3281" i="51"/>
  <c r="C3280" i="51"/>
  <c r="C3279" i="51"/>
  <c r="C3254" i="51"/>
  <c r="H3251" i="51"/>
  <c r="H3244" i="51"/>
  <c r="C3244" i="51"/>
  <c r="C3243" i="51"/>
  <c r="C3242" i="51"/>
  <c r="C3241" i="51"/>
  <c r="C3240" i="51"/>
  <c r="C3239" i="51"/>
  <c r="C3238" i="51"/>
  <c r="C3237" i="51"/>
  <c r="C3236" i="51"/>
  <c r="C3235" i="51"/>
  <c r="C3234" i="51"/>
  <c r="C3233" i="51"/>
  <c r="C3232" i="51"/>
  <c r="C3231" i="51"/>
  <c r="C3206" i="51"/>
  <c r="G3203" i="51"/>
  <c r="E3203" i="51"/>
  <c r="C3203" i="51"/>
  <c r="G3202" i="51"/>
  <c r="E3202" i="51"/>
  <c r="C3202" i="51"/>
  <c r="G3201" i="51"/>
  <c r="E3201" i="51"/>
  <c r="C3201" i="51"/>
  <c r="G3200" i="51"/>
  <c r="E3200" i="51"/>
  <c r="C3200" i="51"/>
  <c r="G3199" i="51"/>
  <c r="E3199" i="51"/>
  <c r="C3199" i="51"/>
  <c r="G3196" i="51"/>
  <c r="E3196" i="51"/>
  <c r="C3196" i="51"/>
  <c r="G3195" i="51"/>
  <c r="E3195" i="51"/>
  <c r="C3195" i="51"/>
  <c r="G3194" i="51"/>
  <c r="E3194" i="51"/>
  <c r="C3194" i="51"/>
  <c r="G3193" i="51"/>
  <c r="E3193" i="51"/>
  <c r="C3193" i="51"/>
  <c r="G3192" i="51"/>
  <c r="E3192" i="51"/>
  <c r="C3192" i="51"/>
  <c r="G3191" i="51"/>
  <c r="E3191" i="51"/>
  <c r="C3191" i="51"/>
  <c r="G3190" i="51"/>
  <c r="E3190" i="51"/>
  <c r="C3190" i="51"/>
  <c r="G3189" i="51"/>
  <c r="E3189" i="51"/>
  <c r="C3189" i="51"/>
  <c r="G3188" i="51"/>
  <c r="E3188" i="51"/>
  <c r="C3188" i="51"/>
  <c r="G3187" i="51"/>
  <c r="E3187" i="51"/>
  <c r="C3187" i="51"/>
  <c r="G3186" i="51"/>
  <c r="E3186" i="51"/>
  <c r="C3186" i="51"/>
  <c r="G3185" i="51"/>
  <c r="E3185" i="51"/>
  <c r="C3185" i="51"/>
  <c r="G3184" i="51"/>
  <c r="E3184" i="51"/>
  <c r="C3184" i="51"/>
  <c r="G3183" i="51"/>
  <c r="E3183" i="51"/>
  <c r="C3183" i="51"/>
  <c r="G3180" i="51"/>
  <c r="E3180" i="51"/>
  <c r="C3180" i="51"/>
  <c r="G3179" i="51"/>
  <c r="E3179" i="51"/>
  <c r="C3179" i="51"/>
  <c r="G3178" i="51"/>
  <c r="E3178" i="51"/>
  <c r="C3178" i="51"/>
  <c r="G3177" i="51"/>
  <c r="E3177" i="51"/>
  <c r="C3177" i="51"/>
  <c r="G3176" i="51"/>
  <c r="E3176" i="51"/>
  <c r="C3176" i="51"/>
  <c r="G3175" i="51"/>
  <c r="E3175" i="51"/>
  <c r="C3175" i="51"/>
  <c r="C3158" i="51"/>
  <c r="G3155" i="51"/>
  <c r="E3155" i="51"/>
  <c r="C3155" i="51"/>
  <c r="G3154" i="51"/>
  <c r="E3154" i="51"/>
  <c r="C3154" i="51"/>
  <c r="G3153" i="51"/>
  <c r="E3153" i="51"/>
  <c r="C3153" i="51"/>
  <c r="G3152" i="51"/>
  <c r="E3152" i="51"/>
  <c r="C3152" i="51"/>
  <c r="G3151" i="51"/>
  <c r="E3151" i="51"/>
  <c r="C3151" i="51"/>
  <c r="G3148" i="51"/>
  <c r="E3148" i="51"/>
  <c r="C3148" i="51"/>
  <c r="G3147" i="51"/>
  <c r="E3147" i="51"/>
  <c r="C3147" i="51"/>
  <c r="G3146" i="51"/>
  <c r="E3146" i="51"/>
  <c r="C3146" i="51"/>
  <c r="G3145" i="51"/>
  <c r="E3145" i="51"/>
  <c r="C3145" i="51"/>
  <c r="G3144" i="51"/>
  <c r="E3144" i="51"/>
  <c r="C3144" i="51"/>
  <c r="G3143" i="51"/>
  <c r="E3143" i="51"/>
  <c r="C3143" i="51"/>
  <c r="G3142" i="51"/>
  <c r="E3142" i="51"/>
  <c r="C3142" i="51"/>
  <c r="G3141" i="51"/>
  <c r="E3141" i="51"/>
  <c r="C3141" i="51"/>
  <c r="G3140" i="51"/>
  <c r="E3140" i="51"/>
  <c r="C3140" i="51"/>
  <c r="G3139" i="51"/>
  <c r="E3139" i="51"/>
  <c r="C3139" i="51"/>
  <c r="G3138" i="51"/>
  <c r="E3138" i="51"/>
  <c r="C3138" i="51"/>
  <c r="G3137" i="51"/>
  <c r="E3137" i="51"/>
  <c r="C3137" i="51"/>
  <c r="G3136" i="51"/>
  <c r="E3136" i="51"/>
  <c r="C3136" i="51"/>
  <c r="G3135" i="51"/>
  <c r="E3135" i="51"/>
  <c r="C3135" i="51"/>
  <c r="G3132" i="51"/>
  <c r="E3132" i="51"/>
  <c r="C3132" i="51"/>
  <c r="G3131" i="51"/>
  <c r="E3131" i="51"/>
  <c r="C3131" i="51"/>
  <c r="G3130" i="51"/>
  <c r="E3130" i="51"/>
  <c r="C3130" i="51"/>
  <c r="G3129" i="51"/>
  <c r="E3129" i="51"/>
  <c r="C3129" i="51"/>
  <c r="G3128" i="51"/>
  <c r="E3128" i="51"/>
  <c r="C3128" i="51"/>
  <c r="G3127" i="51"/>
  <c r="E3127" i="51"/>
  <c r="C3127" i="51"/>
  <c r="C3110" i="51"/>
  <c r="H3107" i="51"/>
  <c r="H3100" i="51"/>
  <c r="C3100" i="51"/>
  <c r="C3099" i="51"/>
  <c r="C3098" i="51"/>
  <c r="C3097" i="51"/>
  <c r="C3096" i="51"/>
  <c r="C3095" i="51"/>
  <c r="C3094" i="51"/>
  <c r="C3093" i="51"/>
  <c r="C3092" i="51"/>
  <c r="C3091" i="51"/>
  <c r="C3090" i="51"/>
  <c r="C3089" i="51"/>
  <c r="C3088" i="51"/>
  <c r="C3087" i="51"/>
  <c r="C3062" i="51"/>
  <c r="H3059" i="51"/>
  <c r="H3052" i="51"/>
  <c r="C3052" i="51"/>
  <c r="C3051" i="51"/>
  <c r="C3050" i="51"/>
  <c r="C3049" i="51"/>
  <c r="C3048" i="51"/>
  <c r="C3047" i="51"/>
  <c r="C3046" i="51"/>
  <c r="C3045" i="51"/>
  <c r="C3044" i="51"/>
  <c r="C3043" i="51"/>
  <c r="C3042" i="51"/>
  <c r="C3041" i="51"/>
  <c r="C3040" i="51"/>
  <c r="C3039" i="51"/>
  <c r="C3014" i="51"/>
  <c r="G3011" i="51"/>
  <c r="E3011" i="51"/>
  <c r="C3011" i="51"/>
  <c r="G3010" i="51"/>
  <c r="E3010" i="51"/>
  <c r="C3010" i="51"/>
  <c r="G3009" i="51"/>
  <c r="E3009" i="51"/>
  <c r="C3009" i="51"/>
  <c r="G3008" i="51"/>
  <c r="E3008" i="51"/>
  <c r="C3008" i="51"/>
  <c r="G3007" i="51"/>
  <c r="E3007" i="51"/>
  <c r="C3007" i="51"/>
  <c r="G3004" i="51"/>
  <c r="E3004" i="51"/>
  <c r="C3004" i="51"/>
  <c r="G3003" i="51"/>
  <c r="E3003" i="51"/>
  <c r="C3003" i="51"/>
  <c r="G3002" i="51"/>
  <c r="E3002" i="51"/>
  <c r="C3002" i="51"/>
  <c r="G3001" i="51"/>
  <c r="E3001" i="51"/>
  <c r="C3001" i="51"/>
  <c r="G3000" i="51"/>
  <c r="E3000" i="51"/>
  <c r="C3000" i="51"/>
  <c r="G2999" i="51"/>
  <c r="E2999" i="51"/>
  <c r="C2999" i="51"/>
  <c r="G2998" i="51"/>
  <c r="E2998" i="51"/>
  <c r="C2998" i="51"/>
  <c r="G2997" i="51"/>
  <c r="E2997" i="51"/>
  <c r="C2997" i="51"/>
  <c r="G2996" i="51"/>
  <c r="E2996" i="51"/>
  <c r="C2996" i="51"/>
  <c r="G2995" i="51"/>
  <c r="E2995" i="51"/>
  <c r="C2995" i="51"/>
  <c r="G2994" i="51"/>
  <c r="E2994" i="51"/>
  <c r="C2994" i="51"/>
  <c r="G2993" i="51"/>
  <c r="E2993" i="51"/>
  <c r="C2993" i="51"/>
  <c r="G2992" i="51"/>
  <c r="E2992" i="51"/>
  <c r="C2992" i="51"/>
  <c r="G2991" i="51"/>
  <c r="E2991" i="51"/>
  <c r="C2991" i="51"/>
  <c r="G2988" i="51"/>
  <c r="E2988" i="51"/>
  <c r="C2988" i="51"/>
  <c r="G2987" i="51"/>
  <c r="E2987" i="51"/>
  <c r="C2987" i="51"/>
  <c r="G2986" i="51"/>
  <c r="E2986" i="51"/>
  <c r="C2986" i="51"/>
  <c r="G2985" i="51"/>
  <c r="E2985" i="51"/>
  <c r="C2985" i="51"/>
  <c r="G2984" i="51"/>
  <c r="E2984" i="51"/>
  <c r="C2984" i="51"/>
  <c r="G2983" i="51"/>
  <c r="E2983" i="51"/>
  <c r="C2983" i="51"/>
  <c r="G2982" i="51"/>
  <c r="E2982" i="51"/>
  <c r="C2982" i="51"/>
  <c r="C2965" i="51"/>
  <c r="G2962" i="51"/>
  <c r="E2962" i="51"/>
  <c r="C2962" i="51"/>
  <c r="G2961" i="51"/>
  <c r="E2961" i="51"/>
  <c r="C2961" i="51"/>
  <c r="G2960" i="51"/>
  <c r="E2960" i="51"/>
  <c r="C2960" i="51"/>
  <c r="G2959" i="51"/>
  <c r="E2959" i="51"/>
  <c r="C2959" i="51"/>
  <c r="G2958" i="51"/>
  <c r="E2958" i="51"/>
  <c r="C2958" i="51"/>
  <c r="G2955" i="51"/>
  <c r="E2955" i="51"/>
  <c r="C2955" i="51"/>
  <c r="G2954" i="51"/>
  <c r="E2954" i="51"/>
  <c r="C2954" i="51"/>
  <c r="G2953" i="51"/>
  <c r="E2953" i="51"/>
  <c r="C2953" i="51"/>
  <c r="G2952" i="51"/>
  <c r="E2952" i="51"/>
  <c r="C2952" i="51"/>
  <c r="G2951" i="51"/>
  <c r="E2951" i="51"/>
  <c r="C2951" i="51"/>
  <c r="G2950" i="51"/>
  <c r="E2950" i="51"/>
  <c r="C2950" i="51"/>
  <c r="G2949" i="51"/>
  <c r="E2949" i="51"/>
  <c r="C2949" i="51"/>
  <c r="G2948" i="51"/>
  <c r="E2948" i="51"/>
  <c r="C2948" i="51"/>
  <c r="G2947" i="51"/>
  <c r="E2947" i="51"/>
  <c r="C2947" i="51"/>
  <c r="G2946" i="51"/>
  <c r="E2946" i="51"/>
  <c r="C2946" i="51"/>
  <c r="G2945" i="51"/>
  <c r="E2945" i="51"/>
  <c r="C2945" i="51"/>
  <c r="G2944" i="51"/>
  <c r="E2944" i="51"/>
  <c r="C2944" i="51"/>
  <c r="G2943" i="51"/>
  <c r="E2943" i="51"/>
  <c r="C2943" i="51"/>
  <c r="G2942" i="51"/>
  <c r="E2942" i="51"/>
  <c r="C2942" i="51"/>
  <c r="G2939" i="51"/>
  <c r="E2939" i="51"/>
  <c r="C2939" i="51"/>
  <c r="G2938" i="51"/>
  <c r="E2938" i="51"/>
  <c r="C2938" i="51"/>
  <c r="G2937" i="51"/>
  <c r="E2937" i="51"/>
  <c r="C2937" i="51"/>
  <c r="G2936" i="51"/>
  <c r="E2936" i="51"/>
  <c r="C2936" i="51"/>
  <c r="G2935" i="51"/>
  <c r="E2935" i="51"/>
  <c r="C2935" i="51"/>
  <c r="G2934" i="51"/>
  <c r="E2934" i="51"/>
  <c r="C2934" i="51"/>
  <c r="G2933" i="51"/>
  <c r="E2933" i="51"/>
  <c r="C2933" i="51"/>
  <c r="C2879" i="51"/>
  <c r="B2879" i="51" s="1"/>
  <c r="C2831" i="51"/>
  <c r="B2831" i="51" s="1"/>
  <c r="C2783" i="51"/>
  <c r="B2783" i="51" s="1"/>
  <c r="C2735" i="51"/>
  <c r="B2735" i="51" s="1"/>
  <c r="F2789" i="51"/>
  <c r="C2742" i="51"/>
  <c r="E2742" i="51"/>
  <c r="G2742" i="51"/>
  <c r="C2743" i="51"/>
  <c r="E2743" i="51"/>
  <c r="G2743" i="51"/>
  <c r="C2744" i="51"/>
  <c r="E2744" i="51"/>
  <c r="G2744" i="51"/>
  <c r="C2745" i="51"/>
  <c r="E2745" i="51"/>
  <c r="G2745" i="51"/>
  <c r="C2746" i="51"/>
  <c r="E2746" i="51"/>
  <c r="G2746" i="51"/>
  <c r="C2747" i="51"/>
  <c r="E2747" i="51"/>
  <c r="G2747" i="51"/>
  <c r="C2750" i="51"/>
  <c r="E2750" i="51"/>
  <c r="G2750" i="51"/>
  <c r="C2751" i="51"/>
  <c r="E2751" i="51"/>
  <c r="G2751" i="51"/>
  <c r="C2752" i="51"/>
  <c r="E2752" i="51"/>
  <c r="G2752" i="51"/>
  <c r="C2753" i="51"/>
  <c r="E2753" i="51"/>
  <c r="G2753" i="51"/>
  <c r="C2754" i="51"/>
  <c r="E2754" i="51"/>
  <c r="G2754" i="51"/>
  <c r="C2755" i="51"/>
  <c r="E2755" i="51"/>
  <c r="G2755" i="51"/>
  <c r="C2756" i="51"/>
  <c r="E2756" i="51"/>
  <c r="G2756" i="51"/>
  <c r="C2757" i="51"/>
  <c r="E2757" i="51"/>
  <c r="G2757" i="51"/>
  <c r="C2758" i="51"/>
  <c r="E2758" i="51"/>
  <c r="G2758" i="51"/>
  <c r="C2759" i="51"/>
  <c r="E2759" i="51"/>
  <c r="G2759" i="51"/>
  <c r="C2760" i="51"/>
  <c r="E2760" i="51"/>
  <c r="G2760" i="51"/>
  <c r="C2761" i="51"/>
  <c r="E2761" i="51"/>
  <c r="G2761" i="51"/>
  <c r="C2762" i="51"/>
  <c r="E2762" i="51"/>
  <c r="G2762" i="51"/>
  <c r="C2763" i="51"/>
  <c r="E2763" i="51"/>
  <c r="G2763" i="51"/>
  <c r="C2766" i="51"/>
  <c r="E2766" i="51"/>
  <c r="G2766" i="51"/>
  <c r="C2767" i="51"/>
  <c r="E2767" i="51"/>
  <c r="G2767" i="51"/>
  <c r="C2768" i="51"/>
  <c r="E2768" i="51"/>
  <c r="G2768" i="51"/>
  <c r="C2769" i="51"/>
  <c r="E2769" i="51"/>
  <c r="G2769" i="51"/>
  <c r="C2770" i="51"/>
  <c r="E2770" i="51"/>
  <c r="G2770" i="51"/>
  <c r="C2773" i="51"/>
  <c r="C2790" i="51"/>
  <c r="E2790" i="51"/>
  <c r="G2790" i="51"/>
  <c r="C2791" i="51"/>
  <c r="E2791" i="51"/>
  <c r="G2791" i="51"/>
  <c r="C2792" i="51"/>
  <c r="E2792" i="51"/>
  <c r="G2792" i="51"/>
  <c r="C2793" i="51"/>
  <c r="E2793" i="51"/>
  <c r="G2793" i="51"/>
  <c r="C2794" i="51"/>
  <c r="E2794" i="51"/>
  <c r="G2794" i="51"/>
  <c r="C2795" i="51"/>
  <c r="E2795" i="51"/>
  <c r="G2795" i="51"/>
  <c r="C2798" i="51"/>
  <c r="E2798" i="51"/>
  <c r="G2798" i="51"/>
  <c r="C2799" i="51"/>
  <c r="E2799" i="51"/>
  <c r="G2799" i="51"/>
  <c r="C2800" i="51"/>
  <c r="E2800" i="51"/>
  <c r="G2800" i="51"/>
  <c r="C2801" i="51"/>
  <c r="E2801" i="51"/>
  <c r="G2801" i="51"/>
  <c r="C2802" i="51"/>
  <c r="E2802" i="51"/>
  <c r="G2802" i="51"/>
  <c r="C2803" i="51"/>
  <c r="E2803" i="51"/>
  <c r="G2803" i="51"/>
  <c r="C2804" i="51"/>
  <c r="E2804" i="51"/>
  <c r="G2804" i="51"/>
  <c r="C2805" i="51"/>
  <c r="E2805" i="51"/>
  <c r="G2805" i="51"/>
  <c r="C2806" i="51"/>
  <c r="E2806" i="51"/>
  <c r="G2806" i="51"/>
  <c r="C2807" i="51"/>
  <c r="E2807" i="51"/>
  <c r="G2807" i="51"/>
  <c r="C2808" i="51"/>
  <c r="E2808" i="51"/>
  <c r="G2808" i="51"/>
  <c r="C2809" i="51"/>
  <c r="E2809" i="51"/>
  <c r="G2809" i="51"/>
  <c r="C2810" i="51"/>
  <c r="E2810" i="51"/>
  <c r="G2810" i="51"/>
  <c r="C2811" i="51"/>
  <c r="E2811" i="51"/>
  <c r="G2811" i="51"/>
  <c r="C2814" i="51"/>
  <c r="E2814" i="51"/>
  <c r="G2814" i="51"/>
  <c r="C2815" i="51"/>
  <c r="E2815" i="51"/>
  <c r="G2815" i="51"/>
  <c r="C2816" i="51"/>
  <c r="E2816" i="51"/>
  <c r="G2816" i="51"/>
  <c r="C2817" i="51"/>
  <c r="E2817" i="51"/>
  <c r="G2817" i="51"/>
  <c r="C2818" i="51"/>
  <c r="E2818" i="51"/>
  <c r="G2818" i="51"/>
  <c r="C2821" i="51"/>
  <c r="C2846" i="51"/>
  <c r="C2847" i="51"/>
  <c r="C2848" i="51"/>
  <c r="C2849" i="51"/>
  <c r="C2850" i="51"/>
  <c r="C2851" i="51"/>
  <c r="C2852" i="51"/>
  <c r="C2853" i="51"/>
  <c r="C2854" i="51"/>
  <c r="C2855" i="51"/>
  <c r="C2856" i="51"/>
  <c r="C2857" i="51"/>
  <c r="C2858" i="51"/>
  <c r="C2859" i="51"/>
  <c r="H2859" i="51"/>
  <c r="H2866" i="51"/>
  <c r="C2869" i="51"/>
  <c r="C2894" i="51"/>
  <c r="C2895" i="51"/>
  <c r="C2896" i="51"/>
  <c r="C2897" i="51"/>
  <c r="C2898" i="51"/>
  <c r="C2899" i="51"/>
  <c r="C2900" i="51"/>
  <c r="C2901" i="51"/>
  <c r="C2902" i="51"/>
  <c r="C2903" i="51"/>
  <c r="C2904" i="51"/>
  <c r="C2905" i="51"/>
  <c r="C2906" i="51"/>
  <c r="C2907" i="51"/>
  <c r="H2907" i="51"/>
  <c r="H2914" i="51"/>
  <c r="C2917" i="51"/>
  <c r="C2687" i="51"/>
  <c r="B2687" i="51" s="1"/>
  <c r="C2639" i="51"/>
  <c r="B2639" i="51" s="1"/>
  <c r="C2591" i="51"/>
  <c r="B2591" i="51" s="1"/>
  <c r="C2543" i="51"/>
  <c r="B2543" i="51" s="1"/>
  <c r="C2725" i="51"/>
  <c r="H2722" i="51"/>
  <c r="H2715" i="51"/>
  <c r="C2715" i="51"/>
  <c r="C2714" i="51"/>
  <c r="C2713" i="51"/>
  <c r="C2712" i="51"/>
  <c r="C2711" i="51"/>
  <c r="C2710" i="51"/>
  <c r="C2709" i="51"/>
  <c r="C2708" i="51"/>
  <c r="C2707" i="51"/>
  <c r="C2706" i="51"/>
  <c r="C2705" i="51"/>
  <c r="C2704" i="51"/>
  <c r="C2703" i="51"/>
  <c r="C2702" i="51"/>
  <c r="C2677" i="51"/>
  <c r="H2674" i="51"/>
  <c r="H2667" i="51"/>
  <c r="C2667" i="51"/>
  <c r="C2666" i="51"/>
  <c r="C2665" i="51"/>
  <c r="C2664" i="51"/>
  <c r="C2663" i="51"/>
  <c r="C2662" i="51"/>
  <c r="C2661" i="51"/>
  <c r="C2660" i="51"/>
  <c r="C2659" i="51"/>
  <c r="C2658" i="51"/>
  <c r="C2657" i="51"/>
  <c r="C2656" i="51"/>
  <c r="C2655" i="51"/>
  <c r="C2654" i="51"/>
  <c r="C2629" i="51"/>
  <c r="G2626" i="51"/>
  <c r="E2626" i="51"/>
  <c r="C2626" i="51"/>
  <c r="G2625" i="51"/>
  <c r="E2625" i="51"/>
  <c r="C2625" i="51"/>
  <c r="G2624" i="51"/>
  <c r="E2624" i="51"/>
  <c r="C2624" i="51"/>
  <c r="G2623" i="51"/>
  <c r="E2623" i="51"/>
  <c r="C2623" i="51"/>
  <c r="G2622" i="51"/>
  <c r="E2622" i="51"/>
  <c r="C2622" i="51"/>
  <c r="G2619" i="51"/>
  <c r="E2619" i="51"/>
  <c r="C2619" i="51"/>
  <c r="G2618" i="51"/>
  <c r="E2618" i="51"/>
  <c r="C2618" i="51"/>
  <c r="G2617" i="51"/>
  <c r="E2617" i="51"/>
  <c r="C2617" i="51"/>
  <c r="G2616" i="51"/>
  <c r="E2616" i="51"/>
  <c r="C2616" i="51"/>
  <c r="G2615" i="51"/>
  <c r="E2615" i="51"/>
  <c r="C2615" i="51"/>
  <c r="G2614" i="51"/>
  <c r="E2614" i="51"/>
  <c r="C2614" i="51"/>
  <c r="G2613" i="51"/>
  <c r="E2613" i="51"/>
  <c r="C2613" i="51"/>
  <c r="G2612" i="51"/>
  <c r="E2612" i="51"/>
  <c r="C2612" i="51"/>
  <c r="G2611" i="51"/>
  <c r="E2611" i="51"/>
  <c r="C2611" i="51"/>
  <c r="G2610" i="51"/>
  <c r="E2610" i="51"/>
  <c r="C2610" i="51"/>
  <c r="G2609" i="51"/>
  <c r="E2609" i="51"/>
  <c r="C2609" i="51"/>
  <c r="G2608" i="51"/>
  <c r="E2608" i="51"/>
  <c r="C2608" i="51"/>
  <c r="G2607" i="51"/>
  <c r="E2607" i="51"/>
  <c r="C2607" i="51"/>
  <c r="G2606" i="51"/>
  <c r="E2606" i="51"/>
  <c r="C2606" i="51"/>
  <c r="G2603" i="51"/>
  <c r="E2603" i="51"/>
  <c r="C2603" i="51"/>
  <c r="G2602" i="51"/>
  <c r="E2602" i="51"/>
  <c r="C2602" i="51"/>
  <c r="G2601" i="51"/>
  <c r="E2601" i="51"/>
  <c r="C2601" i="51"/>
  <c r="G2600" i="51"/>
  <c r="E2600" i="51"/>
  <c r="C2600" i="51"/>
  <c r="G2599" i="51"/>
  <c r="E2599" i="51"/>
  <c r="C2599" i="51"/>
  <c r="G2598" i="51"/>
  <c r="E2598" i="51"/>
  <c r="C2598" i="51"/>
  <c r="C2581" i="51"/>
  <c r="G2578" i="51"/>
  <c r="E2578" i="51"/>
  <c r="C2578" i="51"/>
  <c r="G2577" i="51"/>
  <c r="E2577" i="51"/>
  <c r="C2577" i="51"/>
  <c r="G2576" i="51"/>
  <c r="E2576" i="51"/>
  <c r="C2576" i="51"/>
  <c r="G2575" i="51"/>
  <c r="E2575" i="51"/>
  <c r="C2575" i="51"/>
  <c r="G2574" i="51"/>
  <c r="E2574" i="51"/>
  <c r="C2574" i="51"/>
  <c r="G2571" i="51"/>
  <c r="E2571" i="51"/>
  <c r="C2571" i="51"/>
  <c r="G2570" i="51"/>
  <c r="E2570" i="51"/>
  <c r="C2570" i="51"/>
  <c r="G2569" i="51"/>
  <c r="E2569" i="51"/>
  <c r="C2569" i="51"/>
  <c r="G2568" i="51"/>
  <c r="E2568" i="51"/>
  <c r="C2568" i="51"/>
  <c r="G2567" i="51"/>
  <c r="E2567" i="51"/>
  <c r="C2567" i="51"/>
  <c r="G2566" i="51"/>
  <c r="E2566" i="51"/>
  <c r="C2566" i="51"/>
  <c r="G2565" i="51"/>
  <c r="E2565" i="51"/>
  <c r="C2565" i="51"/>
  <c r="G2564" i="51"/>
  <c r="E2564" i="51"/>
  <c r="C2564" i="51"/>
  <c r="G2563" i="51"/>
  <c r="E2563" i="51"/>
  <c r="C2563" i="51"/>
  <c r="G2562" i="51"/>
  <c r="E2562" i="51"/>
  <c r="C2562" i="51"/>
  <c r="G2561" i="51"/>
  <c r="E2561" i="51"/>
  <c r="C2561" i="51"/>
  <c r="G2560" i="51"/>
  <c r="E2560" i="51"/>
  <c r="C2560" i="51"/>
  <c r="G2559" i="51"/>
  <c r="E2559" i="51"/>
  <c r="C2559" i="51"/>
  <c r="G2558" i="51"/>
  <c r="E2558" i="51"/>
  <c r="C2558" i="51"/>
  <c r="G2555" i="51"/>
  <c r="E2555" i="51"/>
  <c r="C2555" i="51"/>
  <c r="G2554" i="51"/>
  <c r="E2554" i="51"/>
  <c r="C2554" i="51"/>
  <c r="G2553" i="51"/>
  <c r="E2553" i="51"/>
  <c r="C2553" i="51"/>
  <c r="G2552" i="51"/>
  <c r="E2552" i="51"/>
  <c r="C2552" i="51"/>
  <c r="G2551" i="51"/>
  <c r="E2551" i="51"/>
  <c r="C2551" i="51"/>
  <c r="G2550" i="51"/>
  <c r="E2550" i="51"/>
  <c r="C2550" i="51"/>
  <c r="C2495" i="51"/>
  <c r="B2495" i="51" s="1"/>
  <c r="C2533" i="51"/>
  <c r="H2530" i="51"/>
  <c r="H2523" i="51"/>
  <c r="C2523" i="51"/>
  <c r="C2522" i="51"/>
  <c r="C2521" i="51"/>
  <c r="C2520" i="51"/>
  <c r="C2519" i="51"/>
  <c r="C2518" i="51"/>
  <c r="C2517" i="51"/>
  <c r="C2516" i="51"/>
  <c r="C2515" i="51"/>
  <c r="C2514" i="51"/>
  <c r="C2513" i="51"/>
  <c r="C2512" i="51"/>
  <c r="C2511" i="51"/>
  <c r="C2510" i="51"/>
  <c r="C2447" i="51"/>
  <c r="B2447" i="51" s="1"/>
  <c r="C2485" i="51"/>
  <c r="H2482" i="51"/>
  <c r="C2475" i="51"/>
  <c r="C2474" i="51"/>
  <c r="C2473" i="51"/>
  <c r="C2472" i="51"/>
  <c r="C2471" i="51"/>
  <c r="C2470" i="51"/>
  <c r="C2469" i="51"/>
  <c r="C2468" i="51"/>
  <c r="C2467" i="51"/>
  <c r="C2466" i="51"/>
  <c r="C2465" i="51"/>
  <c r="C2464" i="51"/>
  <c r="H2475" i="51"/>
  <c r="C2463" i="51"/>
  <c r="C2462" i="51"/>
  <c r="C2399" i="51"/>
  <c r="B2399" i="51" s="1"/>
  <c r="C2437" i="51"/>
  <c r="G2434" i="51"/>
  <c r="E2434" i="51"/>
  <c r="C2434" i="51"/>
  <c r="G2433" i="51"/>
  <c r="E2433" i="51"/>
  <c r="C2433" i="51"/>
  <c r="G2432" i="51"/>
  <c r="E2432" i="51"/>
  <c r="C2432" i="51"/>
  <c r="G2431" i="51"/>
  <c r="E2431" i="51"/>
  <c r="C2431" i="51"/>
  <c r="G2430" i="51"/>
  <c r="E2430" i="51"/>
  <c r="C2430" i="51"/>
  <c r="G2427" i="51"/>
  <c r="E2427" i="51"/>
  <c r="C2427" i="51"/>
  <c r="G2426" i="51"/>
  <c r="E2426" i="51"/>
  <c r="C2426" i="51"/>
  <c r="G2425" i="51"/>
  <c r="E2425" i="51"/>
  <c r="C2425" i="51"/>
  <c r="G2424" i="51"/>
  <c r="E2424" i="51"/>
  <c r="C2424" i="51"/>
  <c r="G2423" i="51"/>
  <c r="E2423" i="51"/>
  <c r="C2423" i="51"/>
  <c r="G2422" i="51"/>
  <c r="E2422" i="51"/>
  <c r="C2422" i="51"/>
  <c r="G2421" i="51"/>
  <c r="E2421" i="51"/>
  <c r="C2421" i="51"/>
  <c r="G2420" i="51"/>
  <c r="E2420" i="51"/>
  <c r="C2420" i="51"/>
  <c r="G2419" i="51"/>
  <c r="E2419" i="51"/>
  <c r="C2419" i="51"/>
  <c r="G2418" i="51"/>
  <c r="E2418" i="51"/>
  <c r="C2418" i="51"/>
  <c r="G2417" i="51"/>
  <c r="E2417" i="51"/>
  <c r="C2417" i="51"/>
  <c r="G2416" i="51"/>
  <c r="E2416" i="51"/>
  <c r="C2416" i="51"/>
  <c r="G2415" i="51"/>
  <c r="E2415" i="51"/>
  <c r="C2415" i="51"/>
  <c r="G2414" i="51"/>
  <c r="E2414" i="51"/>
  <c r="C2414" i="51"/>
  <c r="G2411" i="51"/>
  <c r="E2411" i="51"/>
  <c r="C2411" i="51"/>
  <c r="G2410" i="51"/>
  <c r="E2410" i="51"/>
  <c r="C2410" i="51"/>
  <c r="G2409" i="51"/>
  <c r="E2409" i="51"/>
  <c r="C2409" i="51"/>
  <c r="G2408" i="51"/>
  <c r="E2408" i="51"/>
  <c r="C2408" i="51"/>
  <c r="G2407" i="51"/>
  <c r="E2407" i="51"/>
  <c r="C2407" i="51"/>
  <c r="G2406" i="51"/>
  <c r="E2406" i="51"/>
  <c r="C2406" i="51"/>
  <c r="G2405" i="51"/>
  <c r="E2405" i="51"/>
  <c r="C2405" i="51"/>
  <c r="C2350" i="51"/>
  <c r="B2350" i="51" s="1"/>
  <c r="C2388" i="51"/>
  <c r="G2385" i="51"/>
  <c r="E2385" i="51"/>
  <c r="C2385" i="51"/>
  <c r="G2384" i="51"/>
  <c r="E2384" i="51"/>
  <c r="C2384" i="51"/>
  <c r="G2383" i="51"/>
  <c r="E2383" i="51"/>
  <c r="C2383" i="51"/>
  <c r="G2382" i="51"/>
  <c r="E2382" i="51"/>
  <c r="C2382" i="51"/>
  <c r="G2381" i="51"/>
  <c r="E2381" i="51"/>
  <c r="C2381" i="51"/>
  <c r="G2378" i="51"/>
  <c r="E2378" i="51"/>
  <c r="C2378" i="51"/>
  <c r="G2377" i="51"/>
  <c r="E2377" i="51"/>
  <c r="C2377" i="51"/>
  <c r="G2376" i="51"/>
  <c r="E2376" i="51"/>
  <c r="C2376" i="51"/>
  <c r="G2375" i="51"/>
  <c r="E2375" i="51"/>
  <c r="C2375" i="51"/>
  <c r="G2374" i="51"/>
  <c r="E2374" i="51"/>
  <c r="C2374" i="51"/>
  <c r="G2373" i="51"/>
  <c r="E2373" i="51"/>
  <c r="C2373" i="51"/>
  <c r="G2372" i="51"/>
  <c r="E2372" i="51"/>
  <c r="C2372" i="51"/>
  <c r="G2371" i="51"/>
  <c r="E2371" i="51"/>
  <c r="C2371" i="51"/>
  <c r="G2370" i="51"/>
  <c r="E2370" i="51"/>
  <c r="C2370" i="51"/>
  <c r="G2369" i="51"/>
  <c r="E2369" i="51"/>
  <c r="C2369" i="51"/>
  <c r="G2368" i="51"/>
  <c r="E2368" i="51"/>
  <c r="C2368" i="51"/>
  <c r="G2367" i="51"/>
  <c r="E2367" i="51"/>
  <c r="C2367" i="51"/>
  <c r="G2366" i="51"/>
  <c r="E2366" i="51"/>
  <c r="C2366" i="51"/>
  <c r="G2365" i="51"/>
  <c r="E2365" i="51"/>
  <c r="C2365" i="51"/>
  <c r="G2362" i="51"/>
  <c r="E2362" i="51"/>
  <c r="C2362" i="51"/>
  <c r="G2361" i="51"/>
  <c r="E2361" i="51"/>
  <c r="C2361" i="51"/>
  <c r="G2360" i="51"/>
  <c r="E2360" i="51"/>
  <c r="C2360" i="51"/>
  <c r="G2359" i="51"/>
  <c r="E2359" i="51"/>
  <c r="C2359" i="51"/>
  <c r="G2358" i="51"/>
  <c r="E2358" i="51"/>
  <c r="C2358" i="51"/>
  <c r="G2357" i="51"/>
  <c r="E2357" i="51"/>
  <c r="C2357" i="51"/>
  <c r="G2356" i="51"/>
  <c r="E2356" i="51"/>
  <c r="C2356" i="51"/>
  <c r="C2302" i="51"/>
  <c r="B2302" i="51" s="1"/>
  <c r="C2339" i="51"/>
  <c r="H2336" i="51"/>
  <c r="H2328" i="51"/>
  <c r="C2254" i="51"/>
  <c r="B2254" i="51" s="1"/>
  <c r="C2291" i="51"/>
  <c r="H2288" i="51"/>
  <c r="H2280" i="51"/>
  <c r="C2206" i="51"/>
  <c r="B2206" i="51" s="1"/>
  <c r="J2206" i="51" s="1"/>
  <c r="C2158" i="51"/>
  <c r="B2158" i="51" s="1"/>
  <c r="J2158" i="51" s="1"/>
  <c r="C2110" i="51"/>
  <c r="B2110" i="51" s="1"/>
  <c r="J2110" i="51" s="1"/>
  <c r="C2062" i="51"/>
  <c r="B2062" i="51" s="1"/>
  <c r="J2062" i="51" s="1"/>
  <c r="J2060" i="51"/>
  <c r="C2013" i="51"/>
  <c r="B2013" i="51" s="1"/>
  <c r="J2013" i="51" s="1"/>
  <c r="C1965" i="51"/>
  <c r="B1965" i="51" s="1"/>
  <c r="J1965" i="51" s="1"/>
  <c r="J2253" i="51"/>
  <c r="J2252" i="51"/>
  <c r="J2251" i="51"/>
  <c r="J2250" i="51"/>
  <c r="J2249" i="51"/>
  <c r="J2248" i="51"/>
  <c r="J2247" i="51"/>
  <c r="J2246" i="51"/>
  <c r="J2245" i="51"/>
  <c r="J2244" i="51"/>
  <c r="J2243" i="51"/>
  <c r="C2243" i="51"/>
  <c r="J2242" i="51"/>
  <c r="J2241" i="51"/>
  <c r="J2240" i="51"/>
  <c r="H2240" i="51"/>
  <c r="J2239" i="51"/>
  <c r="J2238" i="51"/>
  <c r="J2237" i="51"/>
  <c r="J2236" i="51"/>
  <c r="J2235" i="51"/>
  <c r="J2234" i="51"/>
  <c r="J2233" i="51"/>
  <c r="J2232" i="51"/>
  <c r="H2232" i="51"/>
  <c r="J2231" i="51"/>
  <c r="J2230" i="51"/>
  <c r="J2229" i="51"/>
  <c r="J2228" i="51"/>
  <c r="J2227" i="51"/>
  <c r="J2226" i="51"/>
  <c r="J2225" i="51"/>
  <c r="J2224" i="51"/>
  <c r="J2223" i="51"/>
  <c r="J2222" i="51"/>
  <c r="J2221" i="51"/>
  <c r="J2220" i="51"/>
  <c r="J2219" i="51"/>
  <c r="J2218" i="51"/>
  <c r="J2217" i="51"/>
  <c r="J2216" i="51"/>
  <c r="J2215" i="51"/>
  <c r="J2214" i="51"/>
  <c r="J2213" i="51"/>
  <c r="J2212" i="51"/>
  <c r="J2211" i="51"/>
  <c r="J2210" i="51"/>
  <c r="J2209" i="51"/>
  <c r="J2208" i="51"/>
  <c r="J2207" i="51"/>
  <c r="J2205" i="51"/>
  <c r="J2204" i="51"/>
  <c r="J2203" i="51"/>
  <c r="J2202" i="51"/>
  <c r="J2201" i="51"/>
  <c r="J2200" i="51"/>
  <c r="J2199" i="51"/>
  <c r="J2198" i="51"/>
  <c r="J2197" i="51"/>
  <c r="J2196" i="51"/>
  <c r="J2195" i="51"/>
  <c r="C2195" i="51"/>
  <c r="J2194" i="51"/>
  <c r="J2193" i="51"/>
  <c r="J2192" i="51"/>
  <c r="H2192" i="51"/>
  <c r="J2191" i="51"/>
  <c r="J2190" i="51"/>
  <c r="J2189" i="51"/>
  <c r="J2188" i="51"/>
  <c r="J2187" i="51"/>
  <c r="J2186" i="51"/>
  <c r="J2185" i="51"/>
  <c r="J2184" i="51"/>
  <c r="H2184" i="51"/>
  <c r="J2183" i="51"/>
  <c r="J2182" i="51"/>
  <c r="J2181" i="51"/>
  <c r="J2180" i="51"/>
  <c r="J2179" i="51"/>
  <c r="J2178" i="51"/>
  <c r="J2177" i="51"/>
  <c r="J2176" i="51"/>
  <c r="J2175" i="51"/>
  <c r="J2174" i="51"/>
  <c r="J2173" i="51"/>
  <c r="J2172" i="51"/>
  <c r="J2171" i="51"/>
  <c r="J2170" i="51"/>
  <c r="J2169" i="51"/>
  <c r="J2168" i="51"/>
  <c r="J2167" i="51"/>
  <c r="J2166" i="51"/>
  <c r="J2165" i="51"/>
  <c r="J2164" i="51"/>
  <c r="J2163" i="51"/>
  <c r="J2162" i="51"/>
  <c r="J2161" i="51"/>
  <c r="J2160" i="51"/>
  <c r="J2159" i="51"/>
  <c r="J2157" i="51"/>
  <c r="J2156" i="51"/>
  <c r="J2155" i="51"/>
  <c r="J2154" i="51"/>
  <c r="J2153" i="51"/>
  <c r="J2152" i="51"/>
  <c r="J2151" i="51"/>
  <c r="J2150" i="51"/>
  <c r="J2149" i="51"/>
  <c r="J2148" i="51"/>
  <c r="J2147" i="51"/>
  <c r="C2147" i="51"/>
  <c r="J2146" i="51"/>
  <c r="J2145" i="51"/>
  <c r="J2144" i="51"/>
  <c r="H2144" i="51"/>
  <c r="J2143" i="51"/>
  <c r="J2142" i="51"/>
  <c r="J2141" i="51"/>
  <c r="J2140" i="51"/>
  <c r="J2139" i="51"/>
  <c r="J2138" i="51"/>
  <c r="J2137" i="51"/>
  <c r="J2136" i="51"/>
  <c r="H2136" i="51"/>
  <c r="J2135" i="51"/>
  <c r="J2134" i="51"/>
  <c r="J2133" i="51"/>
  <c r="J2132" i="51"/>
  <c r="J2131" i="51"/>
  <c r="J2130" i="51"/>
  <c r="J2129" i="51"/>
  <c r="J2128" i="51"/>
  <c r="J2127" i="51"/>
  <c r="M2126" i="51"/>
  <c r="J2126" i="51"/>
  <c r="M2125" i="51"/>
  <c r="K2125" i="51"/>
  <c r="K2126" i="51" s="1"/>
  <c r="J2125" i="51"/>
  <c r="M2124" i="51"/>
  <c r="J2124" i="51"/>
  <c r="J2123" i="51"/>
  <c r="J2122" i="51"/>
  <c r="J2121" i="51"/>
  <c r="J2120" i="51"/>
  <c r="J2119" i="51"/>
  <c r="J2118" i="51"/>
  <c r="J2117" i="51"/>
  <c r="J2116" i="51"/>
  <c r="J2115" i="51"/>
  <c r="J2114" i="51"/>
  <c r="J2113" i="51"/>
  <c r="J2112" i="51"/>
  <c r="J2111" i="51"/>
  <c r="J2109" i="51"/>
  <c r="J2108" i="51"/>
  <c r="J2107" i="51"/>
  <c r="J2106" i="51"/>
  <c r="J2105" i="51"/>
  <c r="J2104" i="51"/>
  <c r="J2103" i="51"/>
  <c r="J2102" i="51"/>
  <c r="J2101" i="51"/>
  <c r="J2100" i="51"/>
  <c r="J2099" i="51"/>
  <c r="C2099" i="51"/>
  <c r="J2098" i="51"/>
  <c r="J2097" i="51"/>
  <c r="J2096" i="51"/>
  <c r="H2096" i="51"/>
  <c r="J2095" i="51"/>
  <c r="J2094" i="51"/>
  <c r="J2093" i="51"/>
  <c r="J2092" i="51"/>
  <c r="J2091" i="51"/>
  <c r="J2090" i="51"/>
  <c r="J2089" i="51"/>
  <c r="J2088" i="51"/>
  <c r="H2088" i="51"/>
  <c r="J2087" i="51"/>
  <c r="J2086" i="51"/>
  <c r="J2085" i="51"/>
  <c r="J2084" i="51"/>
  <c r="J2083" i="51"/>
  <c r="J2082" i="51"/>
  <c r="J2081" i="51"/>
  <c r="J2080" i="51"/>
  <c r="J2079" i="51"/>
  <c r="J2078" i="51"/>
  <c r="J2077" i="51"/>
  <c r="J2076" i="51"/>
  <c r="J2075" i="51"/>
  <c r="J2074" i="51"/>
  <c r="J2073" i="51"/>
  <c r="J2072" i="51"/>
  <c r="J2071" i="51"/>
  <c r="J2070" i="51"/>
  <c r="J2069" i="51"/>
  <c r="J2068" i="51"/>
  <c r="J2067" i="51"/>
  <c r="J2066" i="51"/>
  <c r="J2065" i="51"/>
  <c r="J2064" i="51"/>
  <c r="J2063" i="51"/>
  <c r="J2061" i="51"/>
  <c r="J2059" i="51"/>
  <c r="J2058" i="51"/>
  <c r="J2057" i="51"/>
  <c r="J2056" i="51"/>
  <c r="J2055" i="51"/>
  <c r="J2054" i="51"/>
  <c r="J2053" i="51"/>
  <c r="J2052" i="51"/>
  <c r="J2051" i="51"/>
  <c r="J2050" i="51"/>
  <c r="C2050" i="51"/>
  <c r="J2049" i="51"/>
  <c r="J2048" i="51"/>
  <c r="J2047" i="51"/>
  <c r="H2047" i="51"/>
  <c r="J2046" i="51"/>
  <c r="J2045" i="51"/>
  <c r="J2044" i="51"/>
  <c r="J2043" i="51"/>
  <c r="J2042" i="51"/>
  <c r="J2041" i="51"/>
  <c r="J2040" i="51"/>
  <c r="J2039" i="51"/>
  <c r="H2039" i="51"/>
  <c r="J2038" i="51"/>
  <c r="J2037" i="51"/>
  <c r="J2036" i="51"/>
  <c r="J2035" i="51"/>
  <c r="J2034" i="51"/>
  <c r="J2033" i="51"/>
  <c r="J2032" i="51"/>
  <c r="J2031" i="51"/>
  <c r="J2030" i="51"/>
  <c r="J2029" i="51"/>
  <c r="J2028" i="51"/>
  <c r="J2027" i="51"/>
  <c r="J2026" i="51"/>
  <c r="J2025" i="51"/>
  <c r="J2024" i="51"/>
  <c r="J2023" i="51"/>
  <c r="J2022" i="51"/>
  <c r="J2021" i="51"/>
  <c r="J2020" i="51"/>
  <c r="J2019" i="51"/>
  <c r="J2018" i="51"/>
  <c r="J2017" i="51"/>
  <c r="J2016" i="51"/>
  <c r="J2015" i="51"/>
  <c r="J2014" i="51"/>
  <c r="J2012" i="51"/>
  <c r="J2011" i="51"/>
  <c r="J2010" i="51"/>
  <c r="J2009" i="51"/>
  <c r="J2008" i="51"/>
  <c r="J2007" i="51"/>
  <c r="J2006" i="51"/>
  <c r="J2005" i="51"/>
  <c r="J2004" i="51"/>
  <c r="J2003" i="51"/>
  <c r="J2002" i="51"/>
  <c r="C2002" i="51"/>
  <c r="J2001" i="51"/>
  <c r="J2000" i="51"/>
  <c r="J1999" i="51"/>
  <c r="H1999" i="51"/>
  <c r="J1998" i="51"/>
  <c r="J1997" i="51"/>
  <c r="J1996" i="51"/>
  <c r="J1995" i="51"/>
  <c r="J1994" i="51"/>
  <c r="J1993" i="51"/>
  <c r="J1992" i="51"/>
  <c r="J1991" i="51"/>
  <c r="H1991" i="51"/>
  <c r="J1990" i="51"/>
  <c r="J1989" i="51"/>
  <c r="J1988" i="51"/>
  <c r="J1987" i="51"/>
  <c r="J1986" i="51"/>
  <c r="J1985" i="51"/>
  <c r="J1984" i="51"/>
  <c r="J1983" i="51"/>
  <c r="J1982" i="51"/>
  <c r="J1981" i="51"/>
  <c r="J1980" i="51"/>
  <c r="J1979" i="51"/>
  <c r="J1978" i="51"/>
  <c r="J1977" i="51"/>
  <c r="J1976" i="51"/>
  <c r="J1975" i="51"/>
  <c r="J1974" i="51"/>
  <c r="J1973" i="51"/>
  <c r="J1972" i="51"/>
  <c r="J1971" i="51"/>
  <c r="J1970" i="51"/>
  <c r="J1969" i="51"/>
  <c r="J1968" i="51"/>
  <c r="J1967" i="51"/>
  <c r="J1966" i="51"/>
  <c r="J1964" i="51"/>
  <c r="C1917" i="51"/>
  <c r="B1917" i="51" s="1"/>
  <c r="D1917" i="51"/>
  <c r="C1955" i="51"/>
  <c r="C1869" i="51"/>
  <c r="B1869" i="51" s="1"/>
  <c r="C1907" i="51"/>
  <c r="C1821" i="51"/>
  <c r="B1821" i="51" s="1"/>
  <c r="C1772" i="51"/>
  <c r="B1772" i="51" s="1"/>
  <c r="C1859" i="51"/>
  <c r="H1856" i="51"/>
  <c r="B1836" i="51"/>
  <c r="H1833" i="51"/>
  <c r="G1813" i="51"/>
  <c r="C1810" i="51"/>
  <c r="H1807" i="51"/>
  <c r="B1787" i="51"/>
  <c r="C1724" i="51"/>
  <c r="B1724" i="51" s="1"/>
  <c r="C1676" i="51"/>
  <c r="B1676" i="51" s="1"/>
  <c r="C1628" i="51"/>
  <c r="B1628" i="51" s="1"/>
  <c r="C1580" i="51"/>
  <c r="B1580" i="51" s="1"/>
  <c r="C1532" i="51"/>
  <c r="B1532" i="51" s="1"/>
  <c r="C1714" i="51"/>
  <c r="H1711" i="51"/>
  <c r="B1696" i="51"/>
  <c r="E1696" i="51" s="1"/>
  <c r="G1696" i="51" s="1"/>
  <c r="B1695" i="51"/>
  <c r="E1695" i="51" s="1"/>
  <c r="G1695" i="51" s="1"/>
  <c r="B1694" i="51"/>
  <c r="E1694" i="51" s="1"/>
  <c r="G1694" i="51" s="1"/>
  <c r="B1693" i="51"/>
  <c r="B1692" i="51"/>
  <c r="B1691" i="51"/>
  <c r="E1691" i="51" s="1"/>
  <c r="G1691" i="51" s="1"/>
  <c r="B1683" i="51"/>
  <c r="B1682" i="51"/>
  <c r="C1666" i="51"/>
  <c r="H1663" i="51"/>
  <c r="B1648" i="51"/>
  <c r="E1648" i="51" s="1"/>
  <c r="G1648" i="51" s="1"/>
  <c r="B1647" i="51"/>
  <c r="E1647" i="51" s="1"/>
  <c r="G1647" i="51" s="1"/>
  <c r="B1646" i="51"/>
  <c r="E1646" i="51" s="1"/>
  <c r="G1646" i="51" s="1"/>
  <c r="B1645" i="51"/>
  <c r="B1644" i="51"/>
  <c r="B1643" i="51"/>
  <c r="E1643" i="51" s="1"/>
  <c r="G1643" i="51" s="1"/>
  <c r="B1635" i="51"/>
  <c r="B1634" i="51"/>
  <c r="C1618" i="51"/>
  <c r="H1615" i="51"/>
  <c r="B1600" i="51"/>
  <c r="E1600" i="51" s="1"/>
  <c r="G1600" i="51" s="1"/>
  <c r="B1599" i="51"/>
  <c r="E1599" i="51" s="1"/>
  <c r="G1599" i="51" s="1"/>
  <c r="B1598" i="51"/>
  <c r="E1598" i="51" s="1"/>
  <c r="G1598" i="51" s="1"/>
  <c r="B1597" i="51"/>
  <c r="B1596" i="51"/>
  <c r="B1595" i="51"/>
  <c r="E1595" i="51" s="1"/>
  <c r="G1595" i="51" s="1"/>
  <c r="B1587" i="51"/>
  <c r="B1586" i="51"/>
  <c r="C1570" i="51"/>
  <c r="H1567" i="51"/>
  <c r="C1484" i="51"/>
  <c r="B1484" i="51" s="1"/>
  <c r="C1435" i="51"/>
  <c r="B1435" i="51" s="1"/>
  <c r="C1387" i="51"/>
  <c r="B1387" i="51" s="1"/>
  <c r="C1338" i="51"/>
  <c r="B1338" i="51" s="1"/>
  <c r="C1290" i="51"/>
  <c r="B1290" i="51" s="1"/>
  <c r="C1241" i="51"/>
  <c r="B1241" i="51" s="1"/>
  <c r="H1510" i="51"/>
  <c r="C1472" i="51"/>
  <c r="H1469" i="51"/>
  <c r="E1453" i="51"/>
  <c r="G1453" i="51" s="1"/>
  <c r="E1452" i="51"/>
  <c r="G1452" i="51" s="1"/>
  <c r="E1449" i="51"/>
  <c r="G1449" i="51" s="1"/>
  <c r="C1424" i="51"/>
  <c r="H1421" i="51"/>
  <c r="D1408" i="51"/>
  <c r="E1407" i="51"/>
  <c r="G1407" i="51" s="1"/>
  <c r="E1406" i="51"/>
  <c r="G1406" i="51" s="1"/>
  <c r="E1405" i="51"/>
  <c r="G1405" i="51" s="1"/>
  <c r="E1404" i="51"/>
  <c r="G1404" i="51" s="1"/>
  <c r="C1375" i="51"/>
  <c r="H1372" i="51"/>
  <c r="E1358" i="51"/>
  <c r="G1358" i="51" s="1"/>
  <c r="E1357" i="51"/>
  <c r="G1357" i="51" s="1"/>
  <c r="E1356" i="51"/>
  <c r="G1356" i="51" s="1"/>
  <c r="E1355" i="51"/>
  <c r="G1355" i="51" s="1"/>
  <c r="C1327" i="51"/>
  <c r="H1324" i="51"/>
  <c r="E1309" i="51"/>
  <c r="G1309" i="51" s="1"/>
  <c r="E1308" i="51"/>
  <c r="G1308" i="51" s="1"/>
  <c r="E1307" i="51"/>
  <c r="G1307" i="51" s="1"/>
  <c r="C1278" i="51"/>
  <c r="H1275" i="51"/>
  <c r="E1258" i="51"/>
  <c r="D1258" i="51"/>
  <c r="E1255" i="51"/>
  <c r="G1255" i="51" s="1"/>
  <c r="C105" i="51"/>
  <c r="B105" i="51" s="1"/>
  <c r="E110" i="51"/>
  <c r="G110" i="51" s="1"/>
  <c r="H117" i="51" s="1"/>
  <c r="C1191" i="51"/>
  <c r="B1191" i="51" s="1"/>
  <c r="C1142" i="51"/>
  <c r="B1142" i="51" s="1"/>
  <c r="C1092" i="51"/>
  <c r="B1092" i="51" s="1"/>
  <c r="C1043" i="51"/>
  <c r="B1043" i="51" s="1"/>
  <c r="C1080" i="51"/>
  <c r="H1077" i="51"/>
  <c r="G1060" i="51"/>
  <c r="G1059" i="51"/>
  <c r="G1058" i="51"/>
  <c r="E1057" i="51"/>
  <c r="G1057" i="51" s="1"/>
  <c r="C994" i="51"/>
  <c r="B994" i="51" s="1"/>
  <c r="C1031" i="51"/>
  <c r="H1028" i="51"/>
  <c r="E1008" i="51"/>
  <c r="G1008" i="51" s="1"/>
  <c r="H1020" i="51" s="1"/>
  <c r="C945" i="51"/>
  <c r="B945" i="51" s="1"/>
  <c r="C896" i="51"/>
  <c r="B896" i="51" s="1"/>
  <c r="C846" i="51"/>
  <c r="B846" i="51" s="1"/>
  <c r="G1171" i="51"/>
  <c r="H1177" i="51" s="1"/>
  <c r="E1156" i="51"/>
  <c r="G1156" i="51" s="1"/>
  <c r="H1168" i="51" s="1"/>
  <c r="G1121" i="51"/>
  <c r="H1127" i="51" s="1"/>
  <c r="E1106" i="51"/>
  <c r="G1106" i="51" s="1"/>
  <c r="H1118" i="51" s="1"/>
  <c r="E1098" i="51"/>
  <c r="G1098" i="51" s="1"/>
  <c r="C982" i="51"/>
  <c r="H979" i="51"/>
  <c r="G962" i="51"/>
  <c r="G961" i="51"/>
  <c r="G960" i="51"/>
  <c r="E959" i="51"/>
  <c r="G959" i="51" s="1"/>
  <c r="C933" i="51"/>
  <c r="H930" i="51"/>
  <c r="G913" i="51"/>
  <c r="G912" i="51"/>
  <c r="G911" i="51"/>
  <c r="E910" i="51"/>
  <c r="G910" i="51" s="1"/>
  <c r="C884" i="51"/>
  <c r="G875" i="51"/>
  <c r="H881" i="51" s="1"/>
  <c r="E860" i="51"/>
  <c r="G860" i="51" s="1"/>
  <c r="H872" i="51" s="1"/>
  <c r="C796" i="51"/>
  <c r="B796" i="51" s="1"/>
  <c r="C745" i="51"/>
  <c r="B745" i="51" s="1"/>
  <c r="C696" i="51"/>
  <c r="B696" i="51" s="1"/>
  <c r="C647" i="51"/>
  <c r="B647" i="51" s="1"/>
  <c r="C598" i="51"/>
  <c r="B598" i="51" s="1"/>
  <c r="C549" i="51"/>
  <c r="B549" i="51" s="1"/>
  <c r="C500" i="51"/>
  <c r="B500" i="51" s="1"/>
  <c r="C834" i="51"/>
  <c r="G825" i="51"/>
  <c r="H831" i="51" s="1"/>
  <c r="E810" i="51"/>
  <c r="G810" i="51" s="1"/>
  <c r="H822" i="51" s="1"/>
  <c r="C783" i="51"/>
  <c r="G774" i="51"/>
  <c r="H780" i="51" s="1"/>
  <c r="E759" i="51"/>
  <c r="G759" i="51" s="1"/>
  <c r="H771" i="51" s="1"/>
  <c r="C734" i="51"/>
  <c r="G725" i="51"/>
  <c r="H731" i="51" s="1"/>
  <c r="E710" i="51"/>
  <c r="G710" i="51" s="1"/>
  <c r="H722" i="51" s="1"/>
  <c r="C685" i="51"/>
  <c r="G676" i="51"/>
  <c r="H682" i="51" s="1"/>
  <c r="E661" i="51"/>
  <c r="G661" i="51" s="1"/>
  <c r="H673" i="51" s="1"/>
  <c r="C635" i="51"/>
  <c r="G613" i="51"/>
  <c r="E612" i="51"/>
  <c r="G612" i="51" s="1"/>
  <c r="F604" i="51"/>
  <c r="C587" i="51"/>
  <c r="G563" i="51"/>
  <c r="H575" i="51" s="1"/>
  <c r="E554" i="51"/>
  <c r="G554" i="51" s="1"/>
  <c r="C537" i="51"/>
  <c r="E514" i="51"/>
  <c r="G514" i="51" s="1"/>
  <c r="H526" i="51" s="1"/>
  <c r="C451" i="51"/>
  <c r="B451" i="51" s="1"/>
  <c r="C401" i="51"/>
  <c r="B401" i="51" s="1"/>
  <c r="C351" i="51"/>
  <c r="B351" i="51" s="1"/>
  <c r="C301" i="51"/>
  <c r="B301" i="51" s="1"/>
  <c r="C202" i="51"/>
  <c r="B202" i="51" s="1"/>
  <c r="H477" i="51"/>
  <c r="E456" i="51"/>
  <c r="G456" i="51" s="1"/>
  <c r="C439" i="51"/>
  <c r="H436" i="51"/>
  <c r="E407" i="51"/>
  <c r="G407" i="51" s="1"/>
  <c r="C389" i="51"/>
  <c r="C339" i="51"/>
  <c r="H336" i="51"/>
  <c r="C154" i="51"/>
  <c r="B154" i="51" s="1"/>
  <c r="C54" i="51"/>
  <c r="B54" i="51" s="1"/>
  <c r="C95" i="51"/>
  <c r="C93" i="51"/>
  <c r="H89" i="51"/>
  <c r="C4" i="51"/>
  <c r="B4" i="51" s="1"/>
  <c r="G47" i="51"/>
  <c r="G46" i="51"/>
  <c r="C45" i="51"/>
  <c r="C43" i="51"/>
  <c r="H30" i="51"/>
  <c r="E20" i="51"/>
  <c r="E19" i="51"/>
  <c r="H15" i="51"/>
  <c r="E11" i="51"/>
  <c r="E10" i="51"/>
  <c r="G4" i="51"/>
  <c r="E1547" i="51"/>
  <c r="G1547" i="51" s="1"/>
  <c r="E1550" i="51"/>
  <c r="G1550" i="51" s="1"/>
  <c r="H228" i="51"/>
  <c r="I134" i="41"/>
  <c r="J134" i="41"/>
  <c r="K134" i="41"/>
  <c r="L134" i="41"/>
  <c r="M134" i="41"/>
  <c r="I137" i="41"/>
  <c r="J137" i="41"/>
  <c r="K137" i="41"/>
  <c r="L137" i="41"/>
  <c r="M137" i="41"/>
  <c r="I135" i="41"/>
  <c r="J135" i="41"/>
  <c r="K135" i="41"/>
  <c r="T132" i="41" s="1"/>
  <c r="U132" i="41" s="1"/>
  <c r="L135" i="41"/>
  <c r="M135" i="41"/>
  <c r="I136" i="41"/>
  <c r="J136" i="41"/>
  <c r="K136" i="41"/>
  <c r="L136" i="41"/>
  <c r="M136" i="41"/>
  <c r="J133" i="41"/>
  <c r="K133" i="41"/>
  <c r="T72" i="41" s="1"/>
  <c r="L133" i="41"/>
  <c r="M133" i="41"/>
  <c r="I133" i="41"/>
  <c r="C27" i="41"/>
  <c r="C28" i="41"/>
  <c r="C29" i="41"/>
  <c r="C122" i="41"/>
  <c r="C90" i="41"/>
  <c r="C30" i="41"/>
  <c r="D71" i="3"/>
  <c r="F71" i="3" s="1"/>
  <c r="G71" i="3" s="1"/>
  <c r="H71" i="3" s="1"/>
  <c r="D72" i="3"/>
  <c r="C82" i="41"/>
  <c r="C31" i="41"/>
  <c r="C32" i="41"/>
  <c r="C33" i="41"/>
  <c r="C34" i="41"/>
  <c r="C35" i="41"/>
  <c r="C36" i="41"/>
  <c r="C37" i="41"/>
  <c r="C38" i="41"/>
  <c r="C39" i="41"/>
  <c r="C40" i="41"/>
  <c r="C41" i="41"/>
  <c r="C42" i="41"/>
  <c r="C43" i="41"/>
  <c r="C44" i="41"/>
  <c r="C45" i="41"/>
  <c r="C46" i="41"/>
  <c r="C47" i="41"/>
  <c r="C48" i="41"/>
  <c r="C49" i="41"/>
  <c r="C50" i="41"/>
  <c r="C51" i="41"/>
  <c r="C52" i="41"/>
  <c r="C53" i="41"/>
  <c r="C54" i="41"/>
  <c r="C55" i="41"/>
  <c r="C56" i="41"/>
  <c r="C57" i="41"/>
  <c r="C58" i="41"/>
  <c r="C59" i="41"/>
  <c r="C60" i="41"/>
  <c r="C61" i="41"/>
  <c r="C62" i="41"/>
  <c r="C63" i="41"/>
  <c r="C64" i="41"/>
  <c r="C65" i="41"/>
  <c r="C66" i="41"/>
  <c r="C67" i="41"/>
  <c r="C68" i="41"/>
  <c r="C70" i="41"/>
  <c r="C71" i="41"/>
  <c r="C72" i="41"/>
  <c r="C91" i="41"/>
  <c r="C92" i="41"/>
  <c r="C123" i="41"/>
  <c r="C124" i="41"/>
  <c r="C125" i="41"/>
  <c r="C126" i="41"/>
  <c r="C127" i="41"/>
  <c r="C128" i="41"/>
  <c r="C116" i="41"/>
  <c r="C115" i="41"/>
  <c r="C114" i="41"/>
  <c r="C113" i="41"/>
  <c r="C112" i="41"/>
  <c r="C111" i="41"/>
  <c r="C110" i="41"/>
  <c r="C109" i="41"/>
  <c r="C108" i="41"/>
  <c r="C107" i="41"/>
  <c r="C106" i="41"/>
  <c r="C105" i="41"/>
  <c r="C104" i="41"/>
  <c r="C103" i="41"/>
  <c r="C102" i="41"/>
  <c r="C101" i="41"/>
  <c r="C100" i="41"/>
  <c r="C99" i="41"/>
  <c r="C98" i="41"/>
  <c r="C97" i="41"/>
  <c r="C96" i="41"/>
  <c r="C95" i="41"/>
  <c r="C94" i="41"/>
  <c r="C93" i="41"/>
  <c r="C4" i="41"/>
  <c r="C5" i="41"/>
  <c r="C6" i="41"/>
  <c r="C7" i="41"/>
  <c r="C8" i="41"/>
  <c r="C9" i="41"/>
  <c r="C10" i="41"/>
  <c r="C11" i="41"/>
  <c r="C12" i="41"/>
  <c r="C13" i="41"/>
  <c r="C14" i="41"/>
  <c r="C15" i="41"/>
  <c r="C16" i="41"/>
  <c r="C17" i="41"/>
  <c r="C18" i="41"/>
  <c r="C19" i="41"/>
  <c r="C20" i="41"/>
  <c r="C21" i="41"/>
  <c r="C22" i="41"/>
  <c r="C3" i="41"/>
  <c r="B625" i="27"/>
  <c r="E625" i="27" s="1"/>
  <c r="E626" i="27" s="1"/>
  <c r="F625" i="27"/>
  <c r="D612" i="27"/>
  <c r="D618" i="27" s="1"/>
  <c r="D619" i="27" s="1"/>
  <c r="B612" i="27"/>
  <c r="F604" i="27"/>
  <c r="B604" i="27"/>
  <c r="F599" i="27"/>
  <c r="B599" i="27"/>
  <c r="E599" i="27" s="1"/>
  <c r="E600" i="27" s="1"/>
  <c r="D449" i="27"/>
  <c r="D421" i="27"/>
  <c r="D451" i="27" s="1"/>
  <c r="D422" i="27"/>
  <c r="D423" i="27"/>
  <c r="D453" i="27" s="1"/>
  <c r="D420" i="27"/>
  <c r="D450" i="27" s="1"/>
  <c r="D429" i="27"/>
  <c r="D459" i="27" s="1"/>
  <c r="D430" i="27"/>
  <c r="D431" i="27"/>
  <c r="D461" i="27" s="1"/>
  <c r="D428" i="27"/>
  <c r="D458" i="27" s="1"/>
  <c r="D425" i="27"/>
  <c r="D455" i="27" s="1"/>
  <c r="D426" i="27"/>
  <c r="D427" i="27"/>
  <c r="D457" i="27" s="1"/>
  <c r="D424" i="27"/>
  <c r="D454" i="27" s="1"/>
  <c r="D386" i="27"/>
  <c r="D432" i="27"/>
  <c r="B430" i="27"/>
  <c r="B431" i="27"/>
  <c r="D411" i="27"/>
  <c r="D442" i="27" s="1"/>
  <c r="K86" i="35"/>
  <c r="K87" i="35"/>
  <c r="K88" i="35"/>
  <c r="K85" i="35"/>
  <c r="F25" i="35"/>
  <c r="B350" i="27"/>
  <c r="G71" i="35"/>
  <c r="D70" i="35"/>
  <c r="D372" i="27" s="1"/>
  <c r="A63" i="35"/>
  <c r="F63" i="35" s="1"/>
  <c r="A62" i="35"/>
  <c r="F62" i="35" s="1"/>
  <c r="A61" i="35"/>
  <c r="F61" i="35" s="1"/>
  <c r="A60" i="35"/>
  <c r="F60" i="35" s="1"/>
  <c r="A59" i="35"/>
  <c r="F59" i="35" s="1"/>
  <c r="A58" i="35"/>
  <c r="F58" i="35" s="1"/>
  <c r="G69" i="35" s="1"/>
  <c r="A57" i="35"/>
  <c r="F57" i="35" s="1"/>
  <c r="A56" i="35"/>
  <c r="F56" i="35" s="1"/>
  <c r="A55" i="35"/>
  <c r="F55" i="35" s="1"/>
  <c r="A54" i="35"/>
  <c r="F54" i="35" s="1"/>
  <c r="A53" i="35"/>
  <c r="F53" i="35" s="1"/>
  <c r="A50" i="35"/>
  <c r="F50" i="35" s="1"/>
  <c r="A49" i="35"/>
  <c r="F49" i="35" s="1"/>
  <c r="A48" i="35"/>
  <c r="F48" i="35" s="1"/>
  <c r="A46" i="35"/>
  <c r="F46" i="35" s="1"/>
  <c r="A45" i="35"/>
  <c r="F45" i="35" s="1"/>
  <c r="A44" i="35"/>
  <c r="F44" i="35" s="1"/>
  <c r="A39" i="35"/>
  <c r="F39" i="35" s="1"/>
  <c r="F38" i="35"/>
  <c r="A36" i="35"/>
  <c r="F36" i="35" s="1"/>
  <c r="F35" i="35"/>
  <c r="A33" i="35"/>
  <c r="F33" i="35" s="1"/>
  <c r="A32" i="35"/>
  <c r="F32" i="35" s="1"/>
  <c r="A31" i="35"/>
  <c r="F31" i="35" s="1"/>
  <c r="F30" i="35"/>
  <c r="A27" i="35"/>
  <c r="F27" i="35" s="1"/>
  <c r="A26" i="35"/>
  <c r="F26" i="35" s="1"/>
  <c r="A18" i="35"/>
  <c r="F18" i="35" s="1"/>
  <c r="A17" i="35"/>
  <c r="F17" i="35" s="1"/>
  <c r="F16" i="35"/>
  <c r="F15" i="35"/>
  <c r="A4" i="35"/>
  <c r="F4" i="35" s="1"/>
  <c r="D71" i="35" s="1"/>
  <c r="F19" i="3"/>
  <c r="G19" i="3" s="1"/>
  <c r="H19" i="3" s="1"/>
  <c r="F17" i="3"/>
  <c r="G17" i="3" s="1"/>
  <c r="H17" i="3" s="1"/>
  <c r="D70" i="3"/>
  <c r="D69" i="3"/>
  <c r="D68" i="3"/>
  <c r="F68" i="3" s="1"/>
  <c r="G68" i="3" s="1"/>
  <c r="D67" i="3"/>
  <c r="F67" i="3" s="1"/>
  <c r="G67" i="3" s="1"/>
  <c r="H67" i="3" s="1"/>
  <c r="D66" i="3"/>
  <c r="D65" i="3"/>
  <c r="D64" i="3"/>
  <c r="F64" i="3" s="1"/>
  <c r="G64" i="3" s="1"/>
  <c r="D63" i="3"/>
  <c r="F63" i="3" s="1"/>
  <c r="D61" i="3"/>
  <c r="D60" i="3"/>
  <c r="D59" i="3"/>
  <c r="F59" i="3" s="1"/>
  <c r="G59" i="3" s="1"/>
  <c r="D58" i="3"/>
  <c r="F58" i="3" s="1"/>
  <c r="D57" i="3"/>
  <c r="F57" i="3" s="1"/>
  <c r="G57" i="3" s="1"/>
  <c r="D56" i="3"/>
  <c r="D55" i="3"/>
  <c r="F55" i="3" s="1"/>
  <c r="G55" i="3" s="1"/>
  <c r="D54" i="3"/>
  <c r="F54" i="3" s="1"/>
  <c r="D53" i="3"/>
  <c r="F53" i="3" s="1"/>
  <c r="G53" i="3" s="1"/>
  <c r="D52" i="3"/>
  <c r="D51" i="3"/>
  <c r="F51" i="3" s="1"/>
  <c r="G51" i="3" s="1"/>
  <c r="H51" i="3" s="1"/>
  <c r="D49" i="3"/>
  <c r="F49" i="3" s="1"/>
  <c r="D48" i="3"/>
  <c r="D47" i="3"/>
  <c r="D46" i="3"/>
  <c r="F46" i="3" s="1"/>
  <c r="G46" i="3" s="1"/>
  <c r="D45" i="3"/>
  <c r="F45" i="3" s="1"/>
  <c r="G45" i="3" s="1"/>
  <c r="D44" i="3"/>
  <c r="F44" i="3" s="1"/>
  <c r="G44" i="3" s="1"/>
  <c r="D43" i="3"/>
  <c r="D42" i="3"/>
  <c r="F42" i="3" s="1"/>
  <c r="G42" i="3" s="1"/>
  <c r="H42" i="3" s="1"/>
  <c r="D41" i="3"/>
  <c r="F41" i="3" s="1"/>
  <c r="G41" i="3" s="1"/>
  <c r="H41" i="3" s="1"/>
  <c r="D40" i="3"/>
  <c r="D39" i="3"/>
  <c r="D38" i="3"/>
  <c r="F38" i="3" s="1"/>
  <c r="G38" i="3" s="1"/>
  <c r="D37" i="3"/>
  <c r="F37" i="3" s="1"/>
  <c r="G37" i="3" s="1"/>
  <c r="H37" i="3" s="1"/>
  <c r="D35" i="3"/>
  <c r="D34" i="3"/>
  <c r="D33" i="3"/>
  <c r="F33" i="3" s="1"/>
  <c r="G33" i="3" s="1"/>
  <c r="D32" i="3"/>
  <c r="F32" i="3" s="1"/>
  <c r="G32" i="3" s="1"/>
  <c r="H32" i="3" s="1"/>
  <c r="D31" i="3"/>
  <c r="F31" i="3" s="1"/>
  <c r="G31" i="3" s="1"/>
  <c r="D30" i="3"/>
  <c r="D29" i="3"/>
  <c r="F29" i="3" s="1"/>
  <c r="G29" i="3" s="1"/>
  <c r="D28" i="3"/>
  <c r="F28" i="3" s="1"/>
  <c r="G28" i="3" s="1"/>
  <c r="D25" i="3"/>
  <c r="D24" i="3"/>
  <c r="D23" i="3"/>
  <c r="F2034" i="3"/>
  <c r="F2375" i="3"/>
  <c r="G2375" i="3" s="1"/>
  <c r="H2375" i="3" s="1"/>
  <c r="F2268" i="3"/>
  <c r="F129" i="3"/>
  <c r="G129" i="3" s="1"/>
  <c r="H129" i="3" s="1"/>
  <c r="L7" i="3"/>
  <c r="K7" i="3"/>
  <c r="D20" i="34"/>
  <c r="E2" i="28"/>
  <c r="F2" i="28"/>
  <c r="B9" i="34"/>
  <c r="C1183" i="51" s="1"/>
  <c r="B7" i="34"/>
  <c r="C44" i="51" s="1"/>
  <c r="F15" i="34"/>
  <c r="C25" i="34"/>
  <c r="D25" i="34" s="1"/>
  <c r="D19" i="34"/>
  <c r="D18" i="34"/>
  <c r="C11" i="34"/>
  <c r="C15" i="34"/>
  <c r="D1278" i="51" s="1"/>
  <c r="C6826" i="51"/>
  <c r="C6625" i="51"/>
  <c r="C4986" i="51"/>
  <c r="C5753" i="51"/>
  <c r="C6232" i="51"/>
  <c r="C5992" i="51"/>
  <c r="C6378" i="51"/>
  <c r="C5895" i="51"/>
  <c r="C5181" i="51"/>
  <c r="C4601" i="51"/>
  <c r="C4503" i="51"/>
  <c r="C3256" i="51"/>
  <c r="C4119" i="51"/>
  <c r="C3112" i="51"/>
  <c r="C4215" i="51"/>
  <c r="C2967" i="51"/>
  <c r="C4455" i="51"/>
  <c r="C3544" i="51"/>
  <c r="C3304" i="51"/>
  <c r="C2197" i="51"/>
  <c r="C2149" i="51"/>
  <c r="C2101" i="51"/>
  <c r="C1033" i="51"/>
  <c r="C1668" i="51"/>
  <c r="C143" i="51"/>
  <c r="C984" i="51"/>
  <c r="C736" i="51"/>
  <c r="C489" i="51"/>
  <c r="C441" i="51"/>
  <c r="C1620" i="51"/>
  <c r="C6" i="34"/>
  <c r="D43" i="51" s="1"/>
  <c r="C13" i="34"/>
  <c r="D5182" i="51" s="1"/>
  <c r="E923" i="27"/>
  <c r="D923" i="27"/>
  <c r="B901" i="27"/>
  <c r="B919" i="27"/>
  <c r="B909" i="27"/>
  <c r="B914" i="27"/>
  <c r="B6786" i="51"/>
  <c r="B6735" i="51"/>
  <c r="B6684" i="51"/>
  <c r="B6585" i="51"/>
  <c r="B6636" i="51"/>
  <c r="B5570" i="51"/>
  <c r="B6437" i="51"/>
  <c r="B6241" i="51"/>
  <c r="B6097" i="51"/>
  <c r="B5714" i="51"/>
  <c r="B5427" i="51"/>
  <c r="C5339" i="51"/>
  <c r="B5339" i="51" s="1"/>
  <c r="E903" i="27"/>
  <c r="G903" i="27" s="1"/>
  <c r="G924" i="27"/>
  <c r="G922" i="27"/>
  <c r="G921" i="27"/>
  <c r="G916" i="27"/>
  <c r="G917" i="27" s="1"/>
  <c r="G911" i="27"/>
  <c r="G912" i="27" s="1"/>
  <c r="G904" i="27"/>
  <c r="G860" i="27"/>
  <c r="G861" i="27" s="1"/>
  <c r="G866" i="27"/>
  <c r="G867" i="27"/>
  <c r="G868" i="27"/>
  <c r="G855" i="27"/>
  <c r="G856" i="27" s="1"/>
  <c r="D874" i="27"/>
  <c r="G848" i="27"/>
  <c r="J240" i="27"/>
  <c r="J241" i="27" s="1"/>
  <c r="K241" i="27" s="1"/>
  <c r="G847" i="27"/>
  <c r="G865" i="27"/>
  <c r="C401" i="27"/>
  <c r="C31" i="27"/>
  <c r="C33" i="27"/>
  <c r="D33" i="27" s="1"/>
  <c r="C32" i="27"/>
  <c r="D32" i="27" s="1"/>
  <c r="J401" i="27"/>
  <c r="F217" i="27"/>
  <c r="D210" i="27"/>
  <c r="C217" i="27"/>
  <c r="B210" i="27"/>
  <c r="C210" i="27" s="1"/>
  <c r="E218" i="27"/>
  <c r="C212" i="27"/>
  <c r="C211" i="27"/>
  <c r="D7" i="27"/>
  <c r="D8" i="27"/>
  <c r="B8" i="27"/>
  <c r="C8" i="27" s="1"/>
  <c r="D6" i="27"/>
  <c r="B6" i="27"/>
  <c r="C6" i="27" s="1"/>
  <c r="D13" i="27"/>
  <c r="E14" i="27"/>
  <c r="D405" i="27"/>
  <c r="U2" i="30"/>
  <c r="T2" i="30"/>
  <c r="S2" i="30"/>
  <c r="R2" i="30"/>
  <c r="Q2" i="30"/>
  <c r="P2" i="30"/>
  <c r="O2" i="30"/>
  <c r="M2" i="30"/>
  <c r="L2" i="30"/>
  <c r="L100" i="30"/>
  <c r="M100" i="30"/>
  <c r="N100" i="30"/>
  <c r="O100" i="30"/>
  <c r="P100" i="30"/>
  <c r="Q100" i="30"/>
  <c r="R100" i="30"/>
  <c r="S100" i="30"/>
  <c r="T100" i="30"/>
  <c r="U100" i="30"/>
  <c r="L101" i="30"/>
  <c r="M101" i="30"/>
  <c r="N101" i="30"/>
  <c r="O101" i="30"/>
  <c r="P101" i="30"/>
  <c r="Q101" i="30"/>
  <c r="R101" i="30"/>
  <c r="S101" i="30"/>
  <c r="T101" i="30"/>
  <c r="U101" i="30"/>
  <c r="U99" i="30"/>
  <c r="T99" i="30"/>
  <c r="S99" i="30"/>
  <c r="R99" i="30"/>
  <c r="Q99" i="30"/>
  <c r="P99" i="30"/>
  <c r="O99" i="30"/>
  <c r="N99" i="30"/>
  <c r="M99" i="30"/>
  <c r="L99" i="30"/>
  <c r="U98" i="30"/>
  <c r="T98" i="30"/>
  <c r="S98" i="30"/>
  <c r="R98" i="30"/>
  <c r="Q98" i="30"/>
  <c r="P98" i="30"/>
  <c r="O98" i="30"/>
  <c r="N98" i="30"/>
  <c r="M98" i="30"/>
  <c r="L98" i="30"/>
  <c r="L91" i="30"/>
  <c r="M91" i="30"/>
  <c r="N91" i="30"/>
  <c r="O91" i="30"/>
  <c r="P91" i="30"/>
  <c r="Q91" i="30"/>
  <c r="R91" i="30"/>
  <c r="S91" i="30"/>
  <c r="T91" i="30"/>
  <c r="U91" i="30"/>
  <c r="L92" i="30"/>
  <c r="M92" i="30"/>
  <c r="N92" i="30"/>
  <c r="O92" i="30"/>
  <c r="P92" i="30"/>
  <c r="Q92" i="30"/>
  <c r="R92" i="30"/>
  <c r="S92" i="30"/>
  <c r="T92" i="30"/>
  <c r="U92" i="30"/>
  <c r="L93" i="30"/>
  <c r="M93" i="30"/>
  <c r="N93" i="30"/>
  <c r="O93" i="30"/>
  <c r="P93" i="30"/>
  <c r="Q93" i="30"/>
  <c r="R93" i="30"/>
  <c r="S93" i="30"/>
  <c r="T93" i="30"/>
  <c r="U93" i="30"/>
  <c r="L94" i="30"/>
  <c r="M94" i="30"/>
  <c r="N94" i="30"/>
  <c r="O94" i="30"/>
  <c r="P94" i="30"/>
  <c r="Q94" i="30"/>
  <c r="R94" i="30"/>
  <c r="S94" i="30"/>
  <c r="T94" i="30"/>
  <c r="U94" i="30"/>
  <c r="L95" i="30"/>
  <c r="M95" i="30"/>
  <c r="N95" i="30"/>
  <c r="O95" i="30"/>
  <c r="P95" i="30"/>
  <c r="Q95" i="30"/>
  <c r="R95" i="30"/>
  <c r="S95" i="30"/>
  <c r="T95" i="30"/>
  <c r="U95" i="30"/>
  <c r="U90" i="30"/>
  <c r="T90" i="30"/>
  <c r="S90" i="30"/>
  <c r="R90" i="30"/>
  <c r="Q90" i="30"/>
  <c r="P90" i="30"/>
  <c r="O90" i="30"/>
  <c r="N90" i="30"/>
  <c r="M90" i="30"/>
  <c r="L90" i="30"/>
  <c r="U89" i="30"/>
  <c r="T89" i="30"/>
  <c r="S89" i="30"/>
  <c r="R89" i="30"/>
  <c r="Q89" i="30"/>
  <c r="P89" i="30"/>
  <c r="O89" i="30"/>
  <c r="N89" i="30"/>
  <c r="M89" i="30"/>
  <c r="L89" i="30"/>
  <c r="L76" i="30"/>
  <c r="M76" i="30"/>
  <c r="N76" i="30"/>
  <c r="O76" i="30"/>
  <c r="P76" i="30"/>
  <c r="Q76" i="30"/>
  <c r="R76" i="30"/>
  <c r="S76" i="30"/>
  <c r="T76" i="30"/>
  <c r="U76" i="30"/>
  <c r="L77" i="30"/>
  <c r="M77" i="30"/>
  <c r="N77" i="30"/>
  <c r="O77" i="30"/>
  <c r="P77" i="30"/>
  <c r="Q77" i="30"/>
  <c r="R77" i="30"/>
  <c r="S77" i="30"/>
  <c r="T77" i="30"/>
  <c r="U77" i="30"/>
  <c r="L78" i="30"/>
  <c r="M78" i="30"/>
  <c r="N78" i="30"/>
  <c r="O78" i="30"/>
  <c r="P78" i="30"/>
  <c r="Q78" i="30"/>
  <c r="R78" i="30"/>
  <c r="S78" i="30"/>
  <c r="T78" i="30"/>
  <c r="U78" i="30"/>
  <c r="L79" i="30"/>
  <c r="M79" i="30"/>
  <c r="N79" i="30"/>
  <c r="O79" i="30"/>
  <c r="P79" i="30"/>
  <c r="Q79" i="30"/>
  <c r="R79" i="30"/>
  <c r="S79" i="30"/>
  <c r="T79" i="30"/>
  <c r="U79" i="30"/>
  <c r="L80" i="30"/>
  <c r="M80" i="30"/>
  <c r="N80" i="30"/>
  <c r="O80" i="30"/>
  <c r="P80" i="30"/>
  <c r="Q80" i="30"/>
  <c r="R80" i="30"/>
  <c r="S80" i="30"/>
  <c r="T80" i="30"/>
  <c r="U80" i="30"/>
  <c r="L81" i="30"/>
  <c r="M81" i="30"/>
  <c r="N81" i="30"/>
  <c r="O81" i="30"/>
  <c r="P81" i="30"/>
  <c r="Q81" i="30"/>
  <c r="R81" i="30"/>
  <c r="S81" i="30"/>
  <c r="T81" i="30"/>
  <c r="U81" i="30"/>
  <c r="L82" i="30"/>
  <c r="M82" i="30"/>
  <c r="N82" i="30"/>
  <c r="O82" i="30"/>
  <c r="P82" i="30"/>
  <c r="Q82" i="30"/>
  <c r="R82" i="30"/>
  <c r="S82" i="30"/>
  <c r="T82" i="30"/>
  <c r="U82" i="30"/>
  <c r="L83" i="30"/>
  <c r="M83" i="30"/>
  <c r="N83" i="30"/>
  <c r="O83" i="30"/>
  <c r="P83" i="30"/>
  <c r="Q83" i="30"/>
  <c r="R83" i="30"/>
  <c r="S83" i="30"/>
  <c r="T83" i="30"/>
  <c r="U83" i="30"/>
  <c r="L84" i="30"/>
  <c r="M84" i="30"/>
  <c r="N84" i="30"/>
  <c r="O84" i="30"/>
  <c r="P84" i="30"/>
  <c r="Q84" i="30"/>
  <c r="R84" i="30"/>
  <c r="S84" i="30"/>
  <c r="T84" i="30"/>
  <c r="U84" i="30"/>
  <c r="L85" i="30"/>
  <c r="M85" i="30"/>
  <c r="N85" i="30"/>
  <c r="O85" i="30"/>
  <c r="P85" i="30"/>
  <c r="Q85" i="30"/>
  <c r="R85" i="30"/>
  <c r="S85" i="30"/>
  <c r="T85" i="30"/>
  <c r="U85" i="30"/>
  <c r="L86" i="30"/>
  <c r="M86" i="30"/>
  <c r="N86" i="30"/>
  <c r="O86" i="30"/>
  <c r="P86" i="30"/>
  <c r="Q86" i="30"/>
  <c r="R86" i="30"/>
  <c r="S86" i="30"/>
  <c r="T86" i="30"/>
  <c r="U86" i="30"/>
  <c r="U75" i="30"/>
  <c r="T75" i="30"/>
  <c r="S75" i="30"/>
  <c r="R75" i="30"/>
  <c r="Q75" i="30"/>
  <c r="P75" i="30"/>
  <c r="O75" i="30"/>
  <c r="N75" i="30"/>
  <c r="M75" i="30"/>
  <c r="L75" i="30"/>
  <c r="U74" i="30"/>
  <c r="T74" i="30"/>
  <c r="S74" i="30"/>
  <c r="R74" i="30"/>
  <c r="Q74" i="30"/>
  <c r="P74" i="30"/>
  <c r="O74" i="30"/>
  <c r="N74" i="30"/>
  <c r="M74" i="30"/>
  <c r="L74" i="30"/>
  <c r="L56" i="30"/>
  <c r="M56" i="30"/>
  <c r="N56" i="30"/>
  <c r="O56" i="30"/>
  <c r="P56" i="30"/>
  <c r="Q56" i="30"/>
  <c r="R56" i="30"/>
  <c r="S56" i="30"/>
  <c r="T56" i="30"/>
  <c r="U56" i="30"/>
  <c r="L57" i="30"/>
  <c r="M57" i="30"/>
  <c r="N57" i="30"/>
  <c r="O57" i="30"/>
  <c r="P57" i="30"/>
  <c r="Q57" i="30"/>
  <c r="R57" i="30"/>
  <c r="S57" i="30"/>
  <c r="T57" i="30"/>
  <c r="U57" i="30"/>
  <c r="L58" i="30"/>
  <c r="M58" i="30"/>
  <c r="N58" i="30"/>
  <c r="O58" i="30"/>
  <c r="P58" i="30"/>
  <c r="Q58" i="30"/>
  <c r="R58" i="30"/>
  <c r="S58" i="30"/>
  <c r="T58" i="30"/>
  <c r="U58" i="30"/>
  <c r="L59" i="30"/>
  <c r="M59" i="30"/>
  <c r="N59" i="30"/>
  <c r="O59" i="30"/>
  <c r="P59" i="30"/>
  <c r="Q59" i="30"/>
  <c r="R59" i="30"/>
  <c r="S59" i="30"/>
  <c r="T59" i="30"/>
  <c r="U59" i="30"/>
  <c r="L60" i="30"/>
  <c r="M60" i="30"/>
  <c r="N60" i="30"/>
  <c r="O60" i="30"/>
  <c r="P60" i="30"/>
  <c r="Q60" i="30"/>
  <c r="R60" i="30"/>
  <c r="S60" i="30"/>
  <c r="T60" i="30"/>
  <c r="U60" i="30"/>
  <c r="L61" i="30"/>
  <c r="M61" i="30"/>
  <c r="N61" i="30"/>
  <c r="O61" i="30"/>
  <c r="P61" i="30"/>
  <c r="Q61" i="30"/>
  <c r="R61" i="30"/>
  <c r="S61" i="30"/>
  <c r="T61" i="30"/>
  <c r="U61" i="30"/>
  <c r="L62" i="30"/>
  <c r="M62" i="30"/>
  <c r="N62" i="30"/>
  <c r="O62" i="30"/>
  <c r="P62" i="30"/>
  <c r="Q62" i="30"/>
  <c r="R62" i="30"/>
  <c r="S62" i="30"/>
  <c r="T62" i="30"/>
  <c r="U62" i="30"/>
  <c r="L63" i="30"/>
  <c r="M63" i="30"/>
  <c r="N63" i="30"/>
  <c r="O63" i="30"/>
  <c r="P63" i="30"/>
  <c r="Q63" i="30"/>
  <c r="R63" i="30"/>
  <c r="S63" i="30"/>
  <c r="T63" i="30"/>
  <c r="U63" i="30"/>
  <c r="L64" i="30"/>
  <c r="M64" i="30"/>
  <c r="N64" i="30"/>
  <c r="O64" i="30"/>
  <c r="P64" i="30"/>
  <c r="Q64" i="30"/>
  <c r="R64" i="30"/>
  <c r="S64" i="30"/>
  <c r="T64" i="30"/>
  <c r="U64" i="30"/>
  <c r="L65" i="30"/>
  <c r="M65" i="30"/>
  <c r="N65" i="30"/>
  <c r="O65" i="30"/>
  <c r="P65" i="30"/>
  <c r="Q65" i="30"/>
  <c r="R65" i="30"/>
  <c r="S65" i="30"/>
  <c r="T65" i="30"/>
  <c r="U65" i="30"/>
  <c r="L66" i="30"/>
  <c r="M66" i="30"/>
  <c r="N66" i="30"/>
  <c r="O66" i="30"/>
  <c r="P66" i="30"/>
  <c r="Q66" i="30"/>
  <c r="R66" i="30"/>
  <c r="S66" i="30"/>
  <c r="T66" i="30"/>
  <c r="U66" i="30"/>
  <c r="L67" i="30"/>
  <c r="M67" i="30"/>
  <c r="N67" i="30"/>
  <c r="O67" i="30"/>
  <c r="P67" i="30"/>
  <c r="Q67" i="30"/>
  <c r="R67" i="30"/>
  <c r="S67" i="30"/>
  <c r="T67" i="30"/>
  <c r="U67" i="30"/>
  <c r="L68" i="30"/>
  <c r="M68" i="30"/>
  <c r="N68" i="30"/>
  <c r="O68" i="30"/>
  <c r="P68" i="30"/>
  <c r="Q68" i="30"/>
  <c r="R68" i="30"/>
  <c r="S68" i="30"/>
  <c r="T68" i="30"/>
  <c r="U68" i="30"/>
  <c r="L69" i="30"/>
  <c r="M69" i="30"/>
  <c r="N69" i="30"/>
  <c r="O69" i="30"/>
  <c r="P69" i="30"/>
  <c r="Q69" i="30"/>
  <c r="R69" i="30"/>
  <c r="S69" i="30"/>
  <c r="T69" i="30"/>
  <c r="U69" i="30"/>
  <c r="L70" i="30"/>
  <c r="M70" i="30"/>
  <c r="N70" i="30"/>
  <c r="O70" i="30"/>
  <c r="P70" i="30"/>
  <c r="Q70" i="30"/>
  <c r="R70" i="30"/>
  <c r="S70" i="30"/>
  <c r="T70" i="30"/>
  <c r="U70" i="30"/>
  <c r="L71" i="30"/>
  <c r="M71" i="30"/>
  <c r="N71" i="30"/>
  <c r="O71" i="30"/>
  <c r="P71" i="30"/>
  <c r="Q71" i="30"/>
  <c r="R71" i="30"/>
  <c r="S71" i="30"/>
  <c r="T71" i="30"/>
  <c r="U71" i="30"/>
  <c r="U55" i="30"/>
  <c r="T55" i="30"/>
  <c r="S55" i="30"/>
  <c r="R55" i="30"/>
  <c r="Q55" i="30"/>
  <c r="P55" i="30"/>
  <c r="O55" i="30"/>
  <c r="N55" i="30"/>
  <c r="M55" i="30"/>
  <c r="L55" i="30"/>
  <c r="U54" i="30"/>
  <c r="T54" i="30"/>
  <c r="S54" i="30"/>
  <c r="R54" i="30"/>
  <c r="Q54" i="30"/>
  <c r="P54" i="30"/>
  <c r="O54" i="30"/>
  <c r="N54" i="30"/>
  <c r="M54" i="30"/>
  <c r="L54" i="30"/>
  <c r="L39" i="30"/>
  <c r="M39" i="30"/>
  <c r="N39" i="30"/>
  <c r="O39" i="30"/>
  <c r="P39" i="30"/>
  <c r="Q39" i="30"/>
  <c r="R39" i="30"/>
  <c r="S39" i="30"/>
  <c r="T39" i="30"/>
  <c r="U39" i="30"/>
  <c r="L40" i="30"/>
  <c r="M40" i="30"/>
  <c r="N40" i="30"/>
  <c r="O40" i="30"/>
  <c r="P40" i="30"/>
  <c r="Q40" i="30"/>
  <c r="R40" i="30"/>
  <c r="S40" i="30"/>
  <c r="T40" i="30"/>
  <c r="U40" i="30"/>
  <c r="L41" i="30"/>
  <c r="M41" i="30"/>
  <c r="N41" i="30"/>
  <c r="O41" i="30"/>
  <c r="P41" i="30"/>
  <c r="Q41" i="30"/>
  <c r="R41" i="30"/>
  <c r="S41" i="30"/>
  <c r="T41" i="30"/>
  <c r="U41" i="30"/>
  <c r="L42" i="30"/>
  <c r="M42" i="30"/>
  <c r="N42" i="30"/>
  <c r="O42" i="30"/>
  <c r="P42" i="30"/>
  <c r="Q42" i="30"/>
  <c r="R42" i="30"/>
  <c r="S42" i="30"/>
  <c r="T42" i="30"/>
  <c r="U42" i="30"/>
  <c r="L43" i="30"/>
  <c r="M43" i="30"/>
  <c r="N43" i="30"/>
  <c r="O43" i="30"/>
  <c r="P43" i="30"/>
  <c r="Q43" i="30"/>
  <c r="R43" i="30"/>
  <c r="S43" i="30"/>
  <c r="T43" i="30"/>
  <c r="U43" i="30"/>
  <c r="L44" i="30"/>
  <c r="M44" i="30"/>
  <c r="N44" i="30"/>
  <c r="O44" i="30"/>
  <c r="P44" i="30"/>
  <c r="Q44" i="30"/>
  <c r="R44" i="30"/>
  <c r="S44" i="30"/>
  <c r="T44" i="30"/>
  <c r="U44" i="30"/>
  <c r="L45" i="30"/>
  <c r="M45" i="30"/>
  <c r="N45" i="30"/>
  <c r="O45" i="30"/>
  <c r="P45" i="30"/>
  <c r="Q45" i="30"/>
  <c r="R45" i="30"/>
  <c r="S45" i="30"/>
  <c r="T45" i="30"/>
  <c r="U45" i="30"/>
  <c r="L46" i="30"/>
  <c r="M46" i="30"/>
  <c r="N46" i="30"/>
  <c r="O46" i="30"/>
  <c r="P46" i="30"/>
  <c r="Q46" i="30"/>
  <c r="R46" i="30"/>
  <c r="S46" i="30"/>
  <c r="T46" i="30"/>
  <c r="U46" i="30"/>
  <c r="L47" i="30"/>
  <c r="M47" i="30"/>
  <c r="N47" i="30"/>
  <c r="O47" i="30"/>
  <c r="P47" i="30"/>
  <c r="Q47" i="30"/>
  <c r="R47" i="30"/>
  <c r="S47" i="30"/>
  <c r="T47" i="30"/>
  <c r="U47" i="30"/>
  <c r="L48" i="30"/>
  <c r="M48" i="30"/>
  <c r="N48" i="30"/>
  <c r="O48" i="30"/>
  <c r="P48" i="30"/>
  <c r="Q48" i="30"/>
  <c r="R48" i="30"/>
  <c r="S48" i="30"/>
  <c r="T48" i="30"/>
  <c r="U48" i="30"/>
  <c r="L49" i="30"/>
  <c r="M49" i="30"/>
  <c r="N49" i="30"/>
  <c r="O49" i="30"/>
  <c r="P49" i="30"/>
  <c r="Q49" i="30"/>
  <c r="R49" i="30"/>
  <c r="S49" i="30"/>
  <c r="T49" i="30"/>
  <c r="U49" i="30"/>
  <c r="L50" i="30"/>
  <c r="M50" i="30"/>
  <c r="N50" i="30"/>
  <c r="O50" i="30"/>
  <c r="P50" i="30"/>
  <c r="Q50" i="30"/>
  <c r="R50" i="30"/>
  <c r="S50" i="30"/>
  <c r="T50" i="30"/>
  <c r="U50" i="30"/>
  <c r="L51" i="30"/>
  <c r="M51" i="30"/>
  <c r="N51" i="30"/>
  <c r="O51" i="30"/>
  <c r="P51" i="30"/>
  <c r="Q51" i="30"/>
  <c r="R51" i="30"/>
  <c r="S51" i="30"/>
  <c r="T51" i="30"/>
  <c r="U51" i="30"/>
  <c r="U38" i="30"/>
  <c r="T38" i="30"/>
  <c r="S38" i="30"/>
  <c r="R38" i="30"/>
  <c r="Q38" i="30"/>
  <c r="P38" i="30"/>
  <c r="O38" i="30"/>
  <c r="N38" i="30"/>
  <c r="M38" i="30"/>
  <c r="L38" i="30"/>
  <c r="U37" i="30"/>
  <c r="T37" i="30"/>
  <c r="S37" i="30"/>
  <c r="R37" i="30"/>
  <c r="Q37" i="30"/>
  <c r="P37" i="30"/>
  <c r="O37" i="30"/>
  <c r="N37" i="30"/>
  <c r="M37" i="30"/>
  <c r="L37" i="30"/>
  <c r="R4" i="30"/>
  <c r="S4" i="30"/>
  <c r="T4" i="30"/>
  <c r="U4" i="30"/>
  <c r="R5" i="30"/>
  <c r="S5" i="30"/>
  <c r="T5" i="30"/>
  <c r="U5" i="30"/>
  <c r="R6" i="30"/>
  <c r="S6" i="30"/>
  <c r="T6" i="30"/>
  <c r="U6" i="30"/>
  <c r="R7" i="30"/>
  <c r="S7" i="30"/>
  <c r="T7" i="30"/>
  <c r="U7" i="30"/>
  <c r="R8" i="30"/>
  <c r="S8" i="30"/>
  <c r="T8" i="30"/>
  <c r="U8" i="30"/>
  <c r="R9" i="30"/>
  <c r="S9" i="30"/>
  <c r="T9" i="30"/>
  <c r="U9" i="30"/>
  <c r="R10" i="30"/>
  <c r="S10" i="30"/>
  <c r="T10" i="30"/>
  <c r="U10" i="30"/>
  <c r="R11" i="30"/>
  <c r="S11" i="30"/>
  <c r="T11" i="30"/>
  <c r="U11" i="30"/>
  <c r="R12" i="30"/>
  <c r="S12" i="30"/>
  <c r="T12" i="30"/>
  <c r="U12" i="30"/>
  <c r="R13" i="30"/>
  <c r="S13" i="30"/>
  <c r="T13" i="30"/>
  <c r="U13" i="30"/>
  <c r="R14" i="30"/>
  <c r="S14" i="30"/>
  <c r="T14" i="30"/>
  <c r="U14" i="30"/>
  <c r="R15" i="30"/>
  <c r="S15" i="30"/>
  <c r="T15" i="30"/>
  <c r="U15" i="30"/>
  <c r="R16" i="30"/>
  <c r="S16" i="30"/>
  <c r="T16" i="30"/>
  <c r="U16" i="30"/>
  <c r="R17" i="30"/>
  <c r="S17" i="30"/>
  <c r="T17" i="30"/>
  <c r="U17" i="30"/>
  <c r="R18" i="30"/>
  <c r="S18" i="30"/>
  <c r="T18" i="30"/>
  <c r="U18" i="30"/>
  <c r="R19" i="30"/>
  <c r="S19" i="30"/>
  <c r="T19" i="30"/>
  <c r="U19" i="30"/>
  <c r="R20" i="30"/>
  <c r="S20" i="30"/>
  <c r="T20" i="30"/>
  <c r="U20" i="30"/>
  <c r="R21" i="30"/>
  <c r="S21" i="30"/>
  <c r="T21" i="30"/>
  <c r="U21" i="30"/>
  <c r="R22" i="30"/>
  <c r="S22" i="30"/>
  <c r="T22" i="30"/>
  <c r="U22" i="30"/>
  <c r="R23" i="30"/>
  <c r="S23" i="30"/>
  <c r="T23" i="30"/>
  <c r="U23" i="30"/>
  <c r="R24" i="30"/>
  <c r="S24" i="30"/>
  <c r="T24" i="30"/>
  <c r="U24" i="30"/>
  <c r="R25" i="30"/>
  <c r="S25" i="30"/>
  <c r="T25" i="30"/>
  <c r="U25" i="30"/>
  <c r="R26" i="30"/>
  <c r="S26" i="30"/>
  <c r="T26" i="30"/>
  <c r="U26" i="30"/>
  <c r="R27" i="30"/>
  <c r="S27" i="30"/>
  <c r="T27" i="30"/>
  <c r="U27" i="30"/>
  <c r="R28" i="30"/>
  <c r="S28" i="30"/>
  <c r="T28" i="30"/>
  <c r="U28" i="30"/>
  <c r="R29" i="30"/>
  <c r="S29" i="30"/>
  <c r="T29" i="30"/>
  <c r="U29" i="30"/>
  <c r="R30" i="30"/>
  <c r="S30" i="30"/>
  <c r="T30" i="30"/>
  <c r="U30" i="30"/>
  <c r="R31" i="30"/>
  <c r="S31" i="30"/>
  <c r="T31" i="30"/>
  <c r="U31" i="30"/>
  <c r="R32" i="30"/>
  <c r="S32" i="30"/>
  <c r="T32" i="30"/>
  <c r="U32" i="30"/>
  <c r="R33" i="30"/>
  <c r="S33" i="30"/>
  <c r="T33" i="30"/>
  <c r="U33" i="30"/>
  <c r="R34" i="30"/>
  <c r="S34" i="30"/>
  <c r="T34" i="30"/>
  <c r="U34" i="30"/>
  <c r="U3" i="30"/>
  <c r="T3" i="30"/>
  <c r="S3" i="30"/>
  <c r="R3" i="30"/>
  <c r="Q3" i="30"/>
  <c r="S1" i="30"/>
  <c r="T1" i="30"/>
  <c r="U1" i="30"/>
  <c r="R1" i="30"/>
  <c r="Q4" i="30"/>
  <c r="Q5" i="30"/>
  <c r="Q6" i="30"/>
  <c r="Q7" i="30"/>
  <c r="Q8" i="30"/>
  <c r="Q9" i="30"/>
  <c r="Q10" i="30"/>
  <c r="Q11" i="30"/>
  <c r="Q12" i="30"/>
  <c r="Q13" i="30"/>
  <c r="Q14" i="30"/>
  <c r="Q15" i="30"/>
  <c r="Q16" i="30"/>
  <c r="Q17" i="30"/>
  <c r="Q18" i="30"/>
  <c r="Q19" i="30"/>
  <c r="Q20" i="30"/>
  <c r="Q21" i="30"/>
  <c r="Q22" i="30"/>
  <c r="Q23" i="30"/>
  <c r="Q24" i="30"/>
  <c r="Q25" i="30"/>
  <c r="Q26" i="30"/>
  <c r="Q27" i="30"/>
  <c r="Q28" i="30"/>
  <c r="Q29" i="30"/>
  <c r="Q30" i="30"/>
  <c r="Q31" i="30"/>
  <c r="Q32" i="30"/>
  <c r="Q33" i="30"/>
  <c r="Q34" i="30"/>
  <c r="P3" i="30"/>
  <c r="P4" i="30"/>
  <c r="P5" i="30"/>
  <c r="P6" i="30"/>
  <c r="P7" i="30"/>
  <c r="P8" i="30"/>
  <c r="P9" i="30"/>
  <c r="P10" i="30"/>
  <c r="P11" i="30"/>
  <c r="P12" i="30"/>
  <c r="P13" i="30"/>
  <c r="P14" i="30"/>
  <c r="P15" i="30"/>
  <c r="P16" i="30"/>
  <c r="P17" i="30"/>
  <c r="P18" i="30"/>
  <c r="P19" i="30"/>
  <c r="P20" i="30"/>
  <c r="P21" i="30"/>
  <c r="P22" i="30"/>
  <c r="P23" i="30"/>
  <c r="P24" i="30"/>
  <c r="P25" i="30"/>
  <c r="P26" i="30"/>
  <c r="P27" i="30"/>
  <c r="P28" i="30"/>
  <c r="P29" i="30"/>
  <c r="P30" i="30"/>
  <c r="P31" i="30"/>
  <c r="P32" i="30"/>
  <c r="P33" i="30"/>
  <c r="P34" i="30"/>
  <c r="O3" i="30"/>
  <c r="O4" i="30"/>
  <c r="O5" i="30"/>
  <c r="O6" i="30"/>
  <c r="O7" i="30"/>
  <c r="O8" i="30"/>
  <c r="O9" i="30"/>
  <c r="O10" i="30"/>
  <c r="O11" i="30"/>
  <c r="O12" i="30"/>
  <c r="O13" i="30"/>
  <c r="O14" i="30"/>
  <c r="O15" i="30"/>
  <c r="O16" i="30"/>
  <c r="O17" i="30"/>
  <c r="O18" i="30"/>
  <c r="O19" i="30"/>
  <c r="O20" i="30"/>
  <c r="O21" i="30"/>
  <c r="O22" i="30"/>
  <c r="O23" i="30"/>
  <c r="O24" i="30"/>
  <c r="O25" i="30"/>
  <c r="O26" i="30"/>
  <c r="O27" i="30"/>
  <c r="O28" i="30"/>
  <c r="O29" i="30"/>
  <c r="O30" i="30"/>
  <c r="O31" i="30"/>
  <c r="O32" i="30"/>
  <c r="O33" i="30"/>
  <c r="O34" i="30"/>
  <c r="N3" i="30"/>
  <c r="N4" i="30"/>
  <c r="N5" i="30"/>
  <c r="N6" i="30"/>
  <c r="N7" i="30"/>
  <c r="N8" i="30"/>
  <c r="N9" i="30"/>
  <c r="N10" i="30"/>
  <c r="N11" i="30"/>
  <c r="N12" i="30"/>
  <c r="N13" i="30"/>
  <c r="N14" i="30"/>
  <c r="N15" i="30"/>
  <c r="N16" i="30"/>
  <c r="N17" i="30"/>
  <c r="N18" i="30"/>
  <c r="N19" i="30"/>
  <c r="N20" i="30"/>
  <c r="N21" i="30"/>
  <c r="N22" i="30"/>
  <c r="N23" i="30"/>
  <c r="N24" i="30"/>
  <c r="N25" i="30"/>
  <c r="N26" i="30"/>
  <c r="N27" i="30"/>
  <c r="N28" i="30"/>
  <c r="N29" i="30"/>
  <c r="N30" i="30"/>
  <c r="N31" i="30"/>
  <c r="N32" i="30"/>
  <c r="N33" i="30"/>
  <c r="N34" i="30"/>
  <c r="M3" i="30"/>
  <c r="M4" i="30"/>
  <c r="M5" i="30"/>
  <c r="M6" i="30"/>
  <c r="M7" i="30"/>
  <c r="M8" i="30"/>
  <c r="M9" i="30"/>
  <c r="M10" i="30"/>
  <c r="M11" i="30"/>
  <c r="M12" i="30"/>
  <c r="M13" i="30"/>
  <c r="M14" i="30"/>
  <c r="M15" i="30"/>
  <c r="M16" i="30"/>
  <c r="M17" i="30"/>
  <c r="M18" i="30"/>
  <c r="M19" i="30"/>
  <c r="M20" i="30"/>
  <c r="M21" i="30"/>
  <c r="M22" i="30"/>
  <c r="M23" i="30"/>
  <c r="M24" i="30"/>
  <c r="M25" i="30"/>
  <c r="M26" i="30"/>
  <c r="M27" i="30"/>
  <c r="M28" i="30"/>
  <c r="M29" i="30"/>
  <c r="M30" i="30"/>
  <c r="M31" i="30"/>
  <c r="M32" i="30"/>
  <c r="M33" i="30"/>
  <c r="M34" i="30"/>
  <c r="Q1" i="30"/>
  <c r="L1" i="30"/>
  <c r="P1" i="30"/>
  <c r="O1" i="30"/>
  <c r="N1" i="30"/>
  <c r="M1" i="30"/>
  <c r="L3" i="30"/>
  <c r="L4" i="30"/>
  <c r="L5" i="30"/>
  <c r="L6" i="30"/>
  <c r="L7" i="30"/>
  <c r="L8" i="30"/>
  <c r="L9" i="30"/>
  <c r="L10" i="30"/>
  <c r="L11" i="30"/>
  <c r="L12" i="30"/>
  <c r="L13" i="30"/>
  <c r="L14" i="30"/>
  <c r="L15" i="30"/>
  <c r="L16" i="30"/>
  <c r="L17" i="30"/>
  <c r="L18" i="30"/>
  <c r="L19" i="30"/>
  <c r="L20" i="30"/>
  <c r="L21" i="30"/>
  <c r="L22" i="30"/>
  <c r="L23" i="30"/>
  <c r="L24" i="30"/>
  <c r="L25" i="30"/>
  <c r="L26" i="30"/>
  <c r="L27" i="30"/>
  <c r="L28" i="30"/>
  <c r="L29" i="30"/>
  <c r="L30" i="30"/>
  <c r="L31" i="30"/>
  <c r="L32" i="30"/>
  <c r="L33" i="30"/>
  <c r="L34" i="30"/>
  <c r="G95" i="30"/>
  <c r="F95" i="30"/>
  <c r="E95" i="30"/>
  <c r="D95" i="30"/>
  <c r="C95" i="30"/>
  <c r="G71" i="30"/>
  <c r="F71" i="30"/>
  <c r="E71" i="30"/>
  <c r="D71" i="30"/>
  <c r="C71" i="30"/>
  <c r="G101" i="30"/>
  <c r="F101" i="30"/>
  <c r="E101" i="30"/>
  <c r="D101" i="30"/>
  <c r="C101" i="30"/>
  <c r="C94" i="30"/>
  <c r="D94" i="30"/>
  <c r="E94" i="30"/>
  <c r="F94" i="30"/>
  <c r="G94" i="30"/>
  <c r="C70" i="30"/>
  <c r="D70" i="30"/>
  <c r="E70" i="30"/>
  <c r="F70" i="30"/>
  <c r="G70" i="30"/>
  <c r="F80" i="30"/>
  <c r="C93" i="30"/>
  <c r="D93" i="30"/>
  <c r="E93" i="30"/>
  <c r="F93" i="30"/>
  <c r="G93" i="30"/>
  <c r="C100" i="30"/>
  <c r="D100" i="30"/>
  <c r="E100" i="30"/>
  <c r="F100" i="30"/>
  <c r="G100" i="30"/>
  <c r="C92" i="30"/>
  <c r="D92" i="30"/>
  <c r="E92" i="30"/>
  <c r="F92" i="30"/>
  <c r="G92" i="30"/>
  <c r="C91" i="30"/>
  <c r="D91" i="30"/>
  <c r="E91" i="30"/>
  <c r="F91" i="30"/>
  <c r="G91" i="30"/>
  <c r="G99" i="30"/>
  <c r="F99" i="30"/>
  <c r="E99" i="30"/>
  <c r="D99" i="30"/>
  <c r="C99" i="30"/>
  <c r="G90" i="30"/>
  <c r="F90" i="30"/>
  <c r="E90" i="30"/>
  <c r="D90" i="30"/>
  <c r="C90" i="30"/>
  <c r="C82" i="30"/>
  <c r="D82" i="30"/>
  <c r="E82" i="30"/>
  <c r="F82" i="30"/>
  <c r="G82" i="30"/>
  <c r="C83" i="30"/>
  <c r="D83" i="30"/>
  <c r="E83" i="30"/>
  <c r="F83" i="30"/>
  <c r="G83" i="30"/>
  <c r="C84" i="30"/>
  <c r="D84" i="30"/>
  <c r="E84" i="30"/>
  <c r="F84" i="30"/>
  <c r="G84" i="30"/>
  <c r="C85" i="30"/>
  <c r="D85" i="30"/>
  <c r="E85" i="30"/>
  <c r="F85" i="30"/>
  <c r="G85" i="30"/>
  <c r="C86" i="30"/>
  <c r="D86" i="30"/>
  <c r="E86" i="30"/>
  <c r="F86" i="30"/>
  <c r="G86" i="30"/>
  <c r="C62" i="30"/>
  <c r="D62" i="30"/>
  <c r="E62" i="30"/>
  <c r="F62" i="30"/>
  <c r="G62" i="30"/>
  <c r="C63" i="30"/>
  <c r="D63" i="30"/>
  <c r="E63" i="30"/>
  <c r="F63" i="30"/>
  <c r="G63" i="30"/>
  <c r="C64" i="30"/>
  <c r="D64" i="30"/>
  <c r="E64" i="30"/>
  <c r="F64" i="30"/>
  <c r="G64" i="30"/>
  <c r="C65" i="30"/>
  <c r="D65" i="30"/>
  <c r="E65" i="30"/>
  <c r="F65" i="30"/>
  <c r="G65" i="30"/>
  <c r="C66" i="30"/>
  <c r="D66" i="30"/>
  <c r="E66" i="30"/>
  <c r="F66" i="30"/>
  <c r="G66" i="30"/>
  <c r="C67" i="30"/>
  <c r="D67" i="30"/>
  <c r="E67" i="30"/>
  <c r="F67" i="30"/>
  <c r="G67" i="30"/>
  <c r="C68" i="30"/>
  <c r="D68" i="30"/>
  <c r="E68" i="30"/>
  <c r="F68" i="30"/>
  <c r="G68" i="30"/>
  <c r="C69" i="30"/>
  <c r="D69" i="30"/>
  <c r="E69" i="30"/>
  <c r="F69" i="30"/>
  <c r="G69" i="30"/>
  <c r="C51" i="30"/>
  <c r="D51" i="30"/>
  <c r="E51" i="30"/>
  <c r="F51" i="30"/>
  <c r="G51" i="30"/>
  <c r="C78" i="30"/>
  <c r="D78" i="30"/>
  <c r="E78" i="30"/>
  <c r="F78" i="30"/>
  <c r="G78" i="30"/>
  <c r="C79" i="30"/>
  <c r="D79" i="30"/>
  <c r="E79" i="30"/>
  <c r="F79" i="30"/>
  <c r="G79" i="30"/>
  <c r="C80" i="30"/>
  <c r="D80" i="30"/>
  <c r="E80" i="30"/>
  <c r="G80" i="30"/>
  <c r="C81" i="30"/>
  <c r="D81" i="30"/>
  <c r="E81" i="30"/>
  <c r="F81" i="30"/>
  <c r="G81" i="30"/>
  <c r="G77" i="30"/>
  <c r="F77" i="30"/>
  <c r="E77" i="30"/>
  <c r="D77" i="30"/>
  <c r="C77" i="30"/>
  <c r="C58" i="30"/>
  <c r="D58" i="30"/>
  <c r="E58" i="30"/>
  <c r="F58" i="30"/>
  <c r="G58" i="30"/>
  <c r="C59" i="30"/>
  <c r="D59" i="30"/>
  <c r="E59" i="30"/>
  <c r="F59" i="30"/>
  <c r="G59" i="30"/>
  <c r="C60" i="30"/>
  <c r="D60" i="30"/>
  <c r="E60" i="30"/>
  <c r="F60" i="30"/>
  <c r="G60" i="30"/>
  <c r="C61" i="30"/>
  <c r="D61" i="30"/>
  <c r="E61" i="30"/>
  <c r="F61" i="30"/>
  <c r="G61" i="30"/>
  <c r="C57" i="30"/>
  <c r="D57" i="30"/>
  <c r="E57" i="30"/>
  <c r="F57" i="30"/>
  <c r="G57" i="30"/>
  <c r="G76" i="30"/>
  <c r="F76" i="30"/>
  <c r="E76" i="30"/>
  <c r="D76" i="30"/>
  <c r="C76" i="30"/>
  <c r="G75" i="30"/>
  <c r="F75" i="30"/>
  <c r="E75" i="30"/>
  <c r="D75" i="30"/>
  <c r="C75" i="30"/>
  <c r="G56" i="30"/>
  <c r="F56" i="30"/>
  <c r="E56" i="30"/>
  <c r="D56" i="30"/>
  <c r="C56" i="30"/>
  <c r="G55" i="30"/>
  <c r="F55" i="30"/>
  <c r="E55" i="30"/>
  <c r="D55" i="30"/>
  <c r="C55" i="30"/>
  <c r="C39" i="30"/>
  <c r="D39" i="30"/>
  <c r="E39" i="30"/>
  <c r="F39" i="30"/>
  <c r="G39" i="30"/>
  <c r="C40" i="30"/>
  <c r="D40" i="30"/>
  <c r="E40" i="30"/>
  <c r="F40" i="30"/>
  <c r="G40" i="30"/>
  <c r="C41" i="30"/>
  <c r="D41" i="30"/>
  <c r="E41" i="30"/>
  <c r="F41" i="30"/>
  <c r="G41" i="30"/>
  <c r="C42" i="30"/>
  <c r="D42" i="30"/>
  <c r="E42" i="30"/>
  <c r="F42" i="30"/>
  <c r="G42" i="30"/>
  <c r="C43" i="30"/>
  <c r="D43" i="30"/>
  <c r="E43" i="30"/>
  <c r="F43" i="30"/>
  <c r="G43" i="30"/>
  <c r="C44" i="30"/>
  <c r="D44" i="30"/>
  <c r="E44" i="30"/>
  <c r="F44" i="30"/>
  <c r="G44" i="30"/>
  <c r="C45" i="30"/>
  <c r="D45" i="30"/>
  <c r="E45" i="30"/>
  <c r="F45" i="30"/>
  <c r="G45" i="30"/>
  <c r="C46" i="30"/>
  <c r="D46" i="30"/>
  <c r="E46" i="30"/>
  <c r="F46" i="30"/>
  <c r="G46" i="30"/>
  <c r="C47" i="30"/>
  <c r="D47" i="30"/>
  <c r="E47" i="30"/>
  <c r="F47" i="30"/>
  <c r="G47" i="30"/>
  <c r="C48" i="30"/>
  <c r="D48" i="30"/>
  <c r="E48" i="30"/>
  <c r="F48" i="30"/>
  <c r="G48" i="30"/>
  <c r="C49" i="30"/>
  <c r="D49" i="30"/>
  <c r="E49" i="30"/>
  <c r="F49" i="30"/>
  <c r="G49" i="30"/>
  <c r="C50" i="30"/>
  <c r="D50" i="30"/>
  <c r="E50" i="30"/>
  <c r="F50" i="30"/>
  <c r="G50" i="30"/>
  <c r="G38" i="30"/>
  <c r="F38" i="30"/>
  <c r="E38" i="30"/>
  <c r="D38" i="30"/>
  <c r="C38" i="30"/>
  <c r="D59" i="29"/>
  <c r="D62" i="29" s="1"/>
  <c r="K5" i="29"/>
  <c r="G881" i="27"/>
  <c r="G889" i="27" s="1"/>
  <c r="G891" i="27" s="1"/>
  <c r="M11" i="29"/>
  <c r="M10" i="29"/>
  <c r="M7" i="29"/>
  <c r="A36" i="29"/>
  <c r="C36" i="29" s="1"/>
  <c r="M37" i="29" s="1"/>
  <c r="B34" i="29"/>
  <c r="A34" i="29"/>
  <c r="B30" i="29"/>
  <c r="A32" i="29" s="1"/>
  <c r="C32" i="29" s="1"/>
  <c r="N33" i="29" s="1"/>
  <c r="A29" i="29"/>
  <c r="B29" i="29" s="1"/>
  <c r="C29" i="29" s="1"/>
  <c r="N29" i="29" s="1"/>
  <c r="A27" i="29"/>
  <c r="B27" i="29" s="1"/>
  <c r="A28" i="29" s="1"/>
  <c r="C28" i="29" s="1"/>
  <c r="M28" i="29" s="1"/>
  <c r="C26" i="29"/>
  <c r="M26" i="29" s="1"/>
  <c r="C25" i="29"/>
  <c r="N25" i="29" s="1"/>
  <c r="B22" i="29"/>
  <c r="A24" i="29" s="1"/>
  <c r="B24" i="29" s="1"/>
  <c r="C24" i="29" s="1"/>
  <c r="M24" i="29" s="1"/>
  <c r="A22" i="29"/>
  <c r="A21" i="29"/>
  <c r="C21" i="29" s="1"/>
  <c r="G4" i="30"/>
  <c r="G5" i="30"/>
  <c r="G6" i="30"/>
  <c r="G7" i="30"/>
  <c r="G8" i="30"/>
  <c r="G9" i="30"/>
  <c r="G10" i="30"/>
  <c r="G11" i="30"/>
  <c r="G12" i="30"/>
  <c r="G13" i="30"/>
  <c r="G14" i="30"/>
  <c r="G15" i="30"/>
  <c r="G16" i="30"/>
  <c r="G17" i="30"/>
  <c r="G18" i="30"/>
  <c r="G19" i="30"/>
  <c r="G20" i="30"/>
  <c r="G21" i="30"/>
  <c r="G22" i="30"/>
  <c r="G23" i="30"/>
  <c r="G24" i="30"/>
  <c r="G25" i="30"/>
  <c r="G26" i="30"/>
  <c r="G27" i="30"/>
  <c r="G28" i="30"/>
  <c r="G29" i="30"/>
  <c r="G30" i="30"/>
  <c r="G31" i="30"/>
  <c r="G32" i="30"/>
  <c r="G33" i="30"/>
  <c r="G34" i="30"/>
  <c r="G3" i="30"/>
  <c r="E4" i="30"/>
  <c r="F4" i="30"/>
  <c r="E5" i="30"/>
  <c r="F5" i="30"/>
  <c r="E6" i="30"/>
  <c r="F6" i="30"/>
  <c r="E7" i="30"/>
  <c r="F7" i="30"/>
  <c r="E8" i="30"/>
  <c r="F8" i="30"/>
  <c r="E9" i="30"/>
  <c r="F9" i="30"/>
  <c r="E10" i="30"/>
  <c r="F10" i="30"/>
  <c r="E11" i="30"/>
  <c r="F11" i="30"/>
  <c r="E12" i="30"/>
  <c r="F12" i="30"/>
  <c r="E13" i="30"/>
  <c r="F13" i="30"/>
  <c r="E14" i="30"/>
  <c r="F14" i="30"/>
  <c r="E15" i="30"/>
  <c r="F15" i="30"/>
  <c r="E16" i="30"/>
  <c r="F16" i="30"/>
  <c r="E17" i="30"/>
  <c r="F17" i="30"/>
  <c r="E18" i="30"/>
  <c r="F18" i="30"/>
  <c r="E19" i="30"/>
  <c r="F19" i="30"/>
  <c r="E20" i="30"/>
  <c r="F20" i="30"/>
  <c r="E21" i="30"/>
  <c r="F21" i="30"/>
  <c r="E22" i="30"/>
  <c r="F22" i="30"/>
  <c r="E23" i="30"/>
  <c r="F23" i="30"/>
  <c r="E24" i="30"/>
  <c r="F24" i="30"/>
  <c r="E25" i="30"/>
  <c r="F25" i="30"/>
  <c r="E26" i="30"/>
  <c r="F26" i="30"/>
  <c r="E27" i="30"/>
  <c r="F27" i="30"/>
  <c r="E28" i="30"/>
  <c r="F28" i="30"/>
  <c r="E29" i="30"/>
  <c r="F29" i="30"/>
  <c r="E30" i="30"/>
  <c r="F30" i="30"/>
  <c r="E31" i="30"/>
  <c r="F31" i="30"/>
  <c r="E32" i="30"/>
  <c r="F32" i="30"/>
  <c r="E33" i="30"/>
  <c r="F33" i="30"/>
  <c r="E34" i="30"/>
  <c r="F34" i="30"/>
  <c r="F3" i="30"/>
  <c r="E3" i="30"/>
  <c r="D4" i="30"/>
  <c r="D5" i="30"/>
  <c r="D6" i="30"/>
  <c r="D7" i="30"/>
  <c r="D8" i="30"/>
  <c r="D9" i="30"/>
  <c r="D10" i="30"/>
  <c r="D11" i="30"/>
  <c r="D12" i="30"/>
  <c r="D13" i="30"/>
  <c r="D14" i="30"/>
  <c r="D15" i="30"/>
  <c r="D16" i="30"/>
  <c r="D17" i="30"/>
  <c r="D18" i="30"/>
  <c r="D19" i="30"/>
  <c r="D20" i="30"/>
  <c r="D21" i="30"/>
  <c r="D22" i="30"/>
  <c r="D23" i="30"/>
  <c r="D24" i="30"/>
  <c r="D25" i="30"/>
  <c r="D26" i="30"/>
  <c r="D27" i="30"/>
  <c r="D28" i="30"/>
  <c r="D29" i="30"/>
  <c r="D30" i="30"/>
  <c r="D31" i="30"/>
  <c r="D32" i="30"/>
  <c r="D33" i="30"/>
  <c r="D34" i="30"/>
  <c r="D3" i="30"/>
  <c r="C3" i="30"/>
  <c r="C4" i="30"/>
  <c r="C5" i="30"/>
  <c r="C6" i="30"/>
  <c r="C7" i="30"/>
  <c r="C8" i="30"/>
  <c r="C9" i="30"/>
  <c r="C10" i="30"/>
  <c r="C11" i="30"/>
  <c r="C12" i="30"/>
  <c r="C13" i="30"/>
  <c r="C14" i="30"/>
  <c r="C15" i="30"/>
  <c r="C16" i="30"/>
  <c r="C17" i="30"/>
  <c r="C18" i="30"/>
  <c r="C19" i="30"/>
  <c r="C20" i="30"/>
  <c r="C21" i="30"/>
  <c r="C22" i="30"/>
  <c r="C23" i="30"/>
  <c r="C24" i="30"/>
  <c r="C25" i="30"/>
  <c r="C26" i="30"/>
  <c r="C27" i="30"/>
  <c r="C28" i="30"/>
  <c r="C29" i="30"/>
  <c r="C30" i="30"/>
  <c r="C31" i="30"/>
  <c r="C32" i="30"/>
  <c r="C33" i="30"/>
  <c r="C34" i="30"/>
  <c r="B252" i="27"/>
  <c r="B259" i="27" s="1"/>
  <c r="C20" i="29"/>
  <c r="K20" i="29" s="1"/>
  <c r="C19" i="29"/>
  <c r="K19" i="29" s="1"/>
  <c r="C17" i="29"/>
  <c r="C16" i="29"/>
  <c r="M16" i="29" s="1"/>
  <c r="K6" i="29"/>
  <c r="L4" i="29"/>
  <c r="L44" i="29" s="1"/>
  <c r="K3" i="29"/>
  <c r="B14" i="29"/>
  <c r="C14" i="29" s="1"/>
  <c r="M15" i="29" s="1"/>
  <c r="C13" i="29"/>
  <c r="K13" i="29" s="1"/>
  <c r="C12" i="29"/>
  <c r="K12" i="29" s="1"/>
  <c r="B11" i="29"/>
  <c r="A10" i="29"/>
  <c r="C9" i="29"/>
  <c r="M9" i="29" s="1"/>
  <c r="J8" i="29"/>
  <c r="C8" i="29"/>
  <c r="K8" i="29" s="1"/>
  <c r="B6" i="29"/>
  <c r="A5" i="29"/>
  <c r="A3" i="29"/>
  <c r="D330" i="27"/>
  <c r="D331" i="27" s="1"/>
  <c r="D324" i="27"/>
  <c r="B324" i="27"/>
  <c r="E317" i="27"/>
  <c r="C312" i="27"/>
  <c r="C317" i="27" s="1"/>
  <c r="C322" i="27" s="1"/>
  <c r="B312" i="27"/>
  <c r="B317" i="27" s="1"/>
  <c r="B322" i="27" s="1"/>
  <c r="F307" i="27"/>
  <c r="F308" i="27" s="1"/>
  <c r="J403" i="27"/>
  <c r="F323" i="27"/>
  <c r="F882" i="3"/>
  <c r="G882" i="3" s="1"/>
  <c r="H882" i="3" s="1"/>
  <c r="F883" i="3"/>
  <c r="G883" i="3" s="1"/>
  <c r="F884" i="3"/>
  <c r="G884" i="3" s="1"/>
  <c r="H884" i="3" s="1"/>
  <c r="E886" i="18" s="1"/>
  <c r="F886" i="18" s="1"/>
  <c r="G886" i="18" s="1"/>
  <c r="F885" i="3"/>
  <c r="G885" i="3" s="1"/>
  <c r="F886" i="3"/>
  <c r="F887" i="3"/>
  <c r="G887" i="3" s="1"/>
  <c r="F888" i="3"/>
  <c r="G888" i="3" s="1"/>
  <c r="F889" i="3"/>
  <c r="G889" i="3" s="1"/>
  <c r="H889" i="3" s="1"/>
  <c r="F890" i="3"/>
  <c r="G890" i="3" s="1"/>
  <c r="H890" i="3" s="1"/>
  <c r="F891" i="3"/>
  <c r="G891" i="3" s="1"/>
  <c r="E3895" i="51"/>
  <c r="E2501" i="51"/>
  <c r="G2501" i="51" s="1"/>
  <c r="E6403" i="51"/>
  <c r="G6403" i="51" s="1"/>
  <c r="H6416" i="51" s="1"/>
  <c r="E5147" i="51"/>
  <c r="G5147" i="51" s="1"/>
  <c r="E5305" i="51"/>
  <c r="G5305" i="51" s="1"/>
  <c r="E3078" i="51"/>
  <c r="G3078" i="51" s="1"/>
  <c r="E2308" i="51"/>
  <c r="G2308" i="51" s="1"/>
  <c r="E1884" i="51"/>
  <c r="G1884" i="51" s="1"/>
  <c r="H1897" i="51" s="1"/>
  <c r="E120" i="51"/>
  <c r="G120" i="51" s="1"/>
  <c r="E627" i="51"/>
  <c r="G627" i="51" s="1"/>
  <c r="E480" i="51"/>
  <c r="G480" i="51" s="1"/>
  <c r="H485" i="51" s="1"/>
  <c r="H237" i="51"/>
  <c r="E408" i="51"/>
  <c r="G408" i="51" s="1"/>
  <c r="E209" i="51"/>
  <c r="G209" i="51" s="1"/>
  <c r="E803" i="27"/>
  <c r="D799" i="27"/>
  <c r="G792" i="27"/>
  <c r="G791" i="27"/>
  <c r="G790" i="27"/>
  <c r="G789" i="27"/>
  <c r="G788" i="27"/>
  <c r="G787" i="27"/>
  <c r="C786" i="27"/>
  <c r="G786" i="27" s="1"/>
  <c r="E785" i="27"/>
  <c r="C785" i="27"/>
  <c r="E784" i="27"/>
  <c r="C784" i="27"/>
  <c r="G783" i="27"/>
  <c r="E781" i="27"/>
  <c r="C782" i="27" s="1"/>
  <c r="G782" i="27" s="1"/>
  <c r="C781" i="27"/>
  <c r="E780" i="27"/>
  <c r="C780" i="27"/>
  <c r="D774" i="27"/>
  <c r="C774" i="27"/>
  <c r="D773" i="27"/>
  <c r="C773" i="27"/>
  <c r="E760" i="27"/>
  <c r="D760" i="27"/>
  <c r="C760" i="27"/>
  <c r="E759" i="27"/>
  <c r="D759" i="27"/>
  <c r="C759" i="27"/>
  <c r="E740" i="27"/>
  <c r="D736" i="27"/>
  <c r="G730" i="27"/>
  <c r="G729" i="27"/>
  <c r="G728" i="27"/>
  <c r="G722" i="27"/>
  <c r="G723" i="27" s="1"/>
  <c r="G715" i="27"/>
  <c r="G716" i="27" s="1"/>
  <c r="C748" i="27" s="1"/>
  <c r="D748" i="27" s="1"/>
  <c r="E674" i="27"/>
  <c r="C657" i="27"/>
  <c r="C652" i="27"/>
  <c r="B636" i="27"/>
  <c r="D604" i="27"/>
  <c r="C604" i="27"/>
  <c r="C667" i="27" s="1"/>
  <c r="B583" i="27"/>
  <c r="B582" i="27"/>
  <c r="B581" i="27"/>
  <c r="E559" i="27"/>
  <c r="D559" i="27"/>
  <c r="B559" i="27"/>
  <c r="E553" i="27"/>
  <c r="D553" i="27"/>
  <c r="D517" i="27"/>
  <c r="D518" i="27" s="1"/>
  <c r="D516" i="27"/>
  <c r="B516" i="27"/>
  <c r="B517" i="27" s="1"/>
  <c r="F515" i="27"/>
  <c r="D513" i="27"/>
  <c r="D514" i="27" s="1"/>
  <c r="D512" i="27"/>
  <c r="B512" i="27"/>
  <c r="B513" i="27" s="1"/>
  <c r="F511" i="27"/>
  <c r="D509" i="27"/>
  <c r="D510" i="27" s="1"/>
  <c r="C509" i="27"/>
  <c r="D508" i="27"/>
  <c r="B508" i="27"/>
  <c r="B509" i="27" s="1"/>
  <c r="F507" i="27"/>
  <c r="F484" i="27"/>
  <c r="F483" i="27"/>
  <c r="F482" i="27"/>
  <c r="F477" i="27"/>
  <c r="C477" i="27"/>
  <c r="F476" i="27"/>
  <c r="C476" i="27"/>
  <c r="C483" i="27" s="1"/>
  <c r="C526" i="27" s="1"/>
  <c r="F526" i="27" s="1"/>
  <c r="F475" i="27"/>
  <c r="C475" i="27"/>
  <c r="C482" i="27" s="1"/>
  <c r="B457" i="27"/>
  <c r="B427" i="27" s="1"/>
  <c r="B456" i="27"/>
  <c r="B426" i="27" s="1"/>
  <c r="B455" i="27"/>
  <c r="B425" i="27" s="1"/>
  <c r="B454" i="27"/>
  <c r="B424" i="27" s="1"/>
  <c r="B453" i="27"/>
  <c r="B423" i="27" s="1"/>
  <c r="B452" i="27"/>
  <c r="B422" i="27" s="1"/>
  <c r="B451" i="27"/>
  <c r="B421" i="27" s="1"/>
  <c r="B450" i="27"/>
  <c r="B420" i="27" s="1"/>
  <c r="B435" i="27"/>
  <c r="B434" i="27"/>
  <c r="B433" i="27"/>
  <c r="B432" i="27"/>
  <c r="B429" i="27"/>
  <c r="B428" i="27"/>
  <c r="B419" i="27"/>
  <c r="F394" i="27"/>
  <c r="F393" i="27"/>
  <c r="F392" i="27"/>
  <c r="D361" i="27"/>
  <c r="C361" i="27"/>
  <c r="D360" i="27"/>
  <c r="C360" i="27"/>
  <c r="D359" i="27"/>
  <c r="C359" i="27"/>
  <c r="D358" i="27"/>
  <c r="C358" i="27"/>
  <c r="F353" i="27"/>
  <c r="F361" i="27" s="1"/>
  <c r="F352" i="27"/>
  <c r="F360" i="27" s="1"/>
  <c r="F351" i="27"/>
  <c r="F359" i="27" s="1"/>
  <c r="F350" i="27"/>
  <c r="F358" i="27" s="1"/>
  <c r="C300" i="27"/>
  <c r="B272" i="27"/>
  <c r="B273" i="27" s="1"/>
  <c r="B274" i="27" s="1"/>
  <c r="B275" i="27" s="1"/>
  <c r="B276" i="27" s="1"/>
  <c r="B277" i="27" s="1"/>
  <c r="B278" i="27" s="1"/>
  <c r="B279" i="27" s="1"/>
  <c r="B280" i="27" s="1"/>
  <c r="B281" i="27" s="1"/>
  <c r="B282" i="27" s="1"/>
  <c r="B283" i="27" s="1"/>
  <c r="B284" i="27" s="1"/>
  <c r="B285" i="27" s="1"/>
  <c r="B286" i="27" s="1"/>
  <c r="B287" i="27" s="1"/>
  <c r="B288" i="27" s="1"/>
  <c r="B289" i="27" s="1"/>
  <c r="B290" i="27" s="1"/>
  <c r="B291" i="27" s="1"/>
  <c r="B292" i="27" s="1"/>
  <c r="B293" i="27" s="1"/>
  <c r="B294" i="27" s="1"/>
  <c r="D254" i="27"/>
  <c r="B254" i="27"/>
  <c r="F253" i="27"/>
  <c r="D251" i="27"/>
  <c r="B251" i="27"/>
  <c r="C252" i="27" s="1"/>
  <c r="F250" i="27"/>
  <c r="C240" i="27"/>
  <c r="C245" i="27" s="1"/>
  <c r="D235" i="27"/>
  <c r="F235" i="27" s="1"/>
  <c r="F234" i="27"/>
  <c r="B233" i="27"/>
  <c r="B217" i="27" s="1"/>
  <c r="E217" i="27" s="1"/>
  <c r="F226" i="27"/>
  <c r="H226" i="27" s="1"/>
  <c r="B200" i="27"/>
  <c r="D199" i="27"/>
  <c r="D200" i="27" s="1"/>
  <c r="E193" i="27"/>
  <c r="E192" i="27"/>
  <c r="C190" i="27"/>
  <c r="E190" i="27" s="1"/>
  <c r="E189" i="27"/>
  <c r="C179" i="27"/>
  <c r="C174" i="27"/>
  <c r="C161" i="27"/>
  <c r="C162" i="27" s="1"/>
  <c r="B161" i="27"/>
  <c r="E156" i="27"/>
  <c r="C150" i="27"/>
  <c r="C155" i="27" s="1"/>
  <c r="C156" i="27" s="1"/>
  <c r="B150" i="27"/>
  <c r="B155" i="27" s="1"/>
  <c r="C145" i="27"/>
  <c r="D140" i="27"/>
  <c r="B140" i="27"/>
  <c r="D139" i="27"/>
  <c r="B139" i="27"/>
  <c r="B162" i="27" s="1"/>
  <c r="F138" i="27"/>
  <c r="C122" i="27"/>
  <c r="C128" i="27" s="1"/>
  <c r="D64" i="27"/>
  <c r="B64" i="27"/>
  <c r="F63" i="27"/>
  <c r="B62" i="27"/>
  <c r="B61" i="27"/>
  <c r="D60" i="27"/>
  <c r="B60" i="27"/>
  <c r="F59" i="27"/>
  <c r="C54" i="27"/>
  <c r="B54" i="27"/>
  <c r="C49" i="27"/>
  <c r="B49" i="27"/>
  <c r="D44" i="27"/>
  <c r="F44" i="27" s="1"/>
  <c r="D43" i="27"/>
  <c r="B43" i="27"/>
  <c r="B7" i="27" s="1"/>
  <c r="C7" i="27" s="1"/>
  <c r="D42" i="27"/>
  <c r="F42" i="27" s="1"/>
  <c r="F41" i="27"/>
  <c r="C40" i="27"/>
  <c r="C13" i="27" s="1"/>
  <c r="B40" i="27"/>
  <c r="B13" i="27" s="1"/>
  <c r="H33" i="27"/>
  <c r="H32" i="27"/>
  <c r="C23" i="27"/>
  <c r="B23" i="27"/>
  <c r="C22" i="27"/>
  <c r="B22" i="27"/>
  <c r="B21" i="27"/>
  <c r="F21" i="27" s="1"/>
  <c r="F20" i="27"/>
  <c r="B358" i="27"/>
  <c r="C340" i="27"/>
  <c r="C593" i="27"/>
  <c r="E350" i="27"/>
  <c r="E19" i="24"/>
  <c r="E12" i="24"/>
  <c r="E22" i="24"/>
  <c r="E57" i="24"/>
  <c r="F17" i="24"/>
  <c r="E13" i="24"/>
  <c r="E20" i="24" s="1"/>
  <c r="E14" i="24"/>
  <c r="E21" i="24" s="1"/>
  <c r="J79" i="17"/>
  <c r="I79" i="17"/>
  <c r="G53" i="24"/>
  <c r="G51" i="24"/>
  <c r="G45" i="24"/>
  <c r="G38" i="24"/>
  <c r="G37" i="24"/>
  <c r="E36" i="24"/>
  <c r="E32" i="24" s="1"/>
  <c r="E30" i="24"/>
  <c r="G30" i="24" s="1"/>
  <c r="G29" i="24"/>
  <c r="G23" i="24"/>
  <c r="E17" i="24"/>
  <c r="E24" i="24" s="1"/>
  <c r="G24" i="24" s="1"/>
  <c r="D31" i="17"/>
  <c r="D72" i="17"/>
  <c r="A2" i="22"/>
  <c r="F2454" i="22"/>
  <c r="F2455" i="22" s="1"/>
  <c r="AJ350" i="16"/>
  <c r="AK350" i="16" s="1"/>
  <c r="AM350" i="16" s="1"/>
  <c r="AJ349" i="16"/>
  <c r="AK349" i="16" s="1"/>
  <c r="AM349" i="16" s="1"/>
  <c r="AJ348" i="16"/>
  <c r="AK348" i="16" s="1"/>
  <c r="AM348" i="16" s="1"/>
  <c r="AN345" i="16"/>
  <c r="AM340" i="16"/>
  <c r="AM336" i="16"/>
  <c r="AJ327" i="16"/>
  <c r="AJ326" i="16"/>
  <c r="AB298" i="16"/>
  <c r="AC298" i="16" s="1"/>
  <c r="AE298" i="16" s="1"/>
  <c r="AB297" i="16"/>
  <c r="AC297" i="16" s="1"/>
  <c r="AE297" i="16" s="1"/>
  <c r="AB296" i="16"/>
  <c r="AC296" i="16" s="1"/>
  <c r="AE296" i="16" s="1"/>
  <c r="AF293" i="16"/>
  <c r="AB276" i="16"/>
  <c r="AB275" i="16"/>
  <c r="AB274" i="16"/>
  <c r="AB273" i="16"/>
  <c r="AB246" i="16"/>
  <c r="AC246" i="16" s="1"/>
  <c r="AE246" i="16" s="1"/>
  <c r="AB245" i="16"/>
  <c r="AC245" i="16" s="1"/>
  <c r="AE245" i="16" s="1"/>
  <c r="AB244" i="16"/>
  <c r="AC244" i="16" s="1"/>
  <c r="AE244" i="16" s="1"/>
  <c r="AF241" i="16"/>
  <c r="AB224" i="16"/>
  <c r="AB223" i="16"/>
  <c r="AB220" i="16"/>
  <c r="AB193" i="16"/>
  <c r="AC193" i="16" s="1"/>
  <c r="AE193" i="16" s="1"/>
  <c r="AB192" i="16"/>
  <c r="AC192" i="16" s="1"/>
  <c r="AE192" i="16" s="1"/>
  <c r="AB191" i="16"/>
  <c r="AC191" i="16" s="1"/>
  <c r="AE191" i="16" s="1"/>
  <c r="AF188" i="16"/>
  <c r="AB173" i="16"/>
  <c r="AB172" i="16"/>
  <c r="AB171" i="16"/>
  <c r="AB170" i="16"/>
  <c r="AJ143" i="16"/>
  <c r="AK143" i="16" s="1"/>
  <c r="AM143" i="16" s="1"/>
  <c r="AJ142" i="16"/>
  <c r="AK142" i="16" s="1"/>
  <c r="AM142" i="16" s="1"/>
  <c r="AJ141" i="16"/>
  <c r="AK141" i="16" s="1"/>
  <c r="AM141" i="16" s="1"/>
  <c r="AN138" i="16"/>
  <c r="AJ121" i="16"/>
  <c r="AJ120" i="16"/>
  <c r="AJ119" i="16"/>
  <c r="AJ118" i="16"/>
  <c r="AB40" i="16"/>
  <c r="AC40" i="16" s="1"/>
  <c r="AE40" i="16" s="1"/>
  <c r="AB39" i="16"/>
  <c r="AC39" i="16" s="1"/>
  <c r="AE39" i="16" s="1"/>
  <c r="AB38" i="16"/>
  <c r="AC38" i="16" s="1"/>
  <c r="AE38" i="16" s="1"/>
  <c r="AF35" i="16"/>
  <c r="AB30" i="16"/>
  <c r="AB22" i="16"/>
  <c r="AB21" i="16"/>
  <c r="AB20" i="16"/>
  <c r="AB19" i="16"/>
  <c r="AB18" i="16"/>
  <c r="AB17" i="16"/>
  <c r="L307" i="10"/>
  <c r="M307" i="10" s="1"/>
  <c r="O307" i="10" s="1"/>
  <c r="D307" i="10"/>
  <c r="E307" i="10" s="1"/>
  <c r="G307" i="10" s="1"/>
  <c r="L306" i="10"/>
  <c r="M306" i="10" s="1"/>
  <c r="O306" i="10" s="1"/>
  <c r="D306" i="10"/>
  <c r="E306" i="10" s="1"/>
  <c r="G306" i="10" s="1"/>
  <c r="L305" i="10"/>
  <c r="M305" i="10" s="1"/>
  <c r="O305" i="10" s="1"/>
  <c r="D305" i="10"/>
  <c r="E305" i="10" s="1"/>
  <c r="G305" i="10" s="1"/>
  <c r="P302" i="10"/>
  <c r="H302" i="10"/>
  <c r="G285" i="10"/>
  <c r="G284" i="10"/>
  <c r="G283" i="10"/>
  <c r="O282" i="10"/>
  <c r="P294" i="10" s="1"/>
  <c r="G282" i="10"/>
  <c r="G274" i="10"/>
  <c r="G174" i="10"/>
  <c r="F604" i="21"/>
  <c r="G604" i="21" s="1"/>
  <c r="D472" i="21"/>
  <c r="D71" i="21"/>
  <c r="D74" i="21"/>
  <c r="G611" i="21"/>
  <c r="F603" i="21"/>
  <c r="G603" i="21" s="1"/>
  <c r="F602" i="21"/>
  <c r="G602" i="21" s="1"/>
  <c r="F584" i="21"/>
  <c r="G584" i="21" s="1"/>
  <c r="G582" i="21"/>
  <c r="G578" i="21"/>
  <c r="F575" i="21"/>
  <c r="G575" i="21" s="1"/>
  <c r="F574" i="21"/>
  <c r="G574" i="21" s="1"/>
  <c r="F573" i="21"/>
  <c r="G573" i="21" s="1"/>
  <c r="G572" i="21"/>
  <c r="F571" i="21"/>
  <c r="G571" i="21" s="1"/>
  <c r="F570" i="21"/>
  <c r="G570" i="21" s="1"/>
  <c r="F569" i="21"/>
  <c r="G569" i="21" s="1"/>
  <c r="F568" i="21"/>
  <c r="G568" i="21" s="1"/>
  <c r="G567" i="21"/>
  <c r="G566" i="21"/>
  <c r="F565" i="21"/>
  <c r="G565" i="21" s="1"/>
  <c r="F562" i="21"/>
  <c r="G562" i="21" s="1"/>
  <c r="G561" i="21"/>
  <c r="G556" i="21"/>
  <c r="F555" i="21"/>
  <c r="G555" i="21" s="1"/>
  <c r="G545" i="21"/>
  <c r="F544" i="21"/>
  <c r="G544" i="21" s="1"/>
  <c r="F543" i="21"/>
  <c r="G543" i="21" s="1"/>
  <c r="F542" i="21"/>
  <c r="G542" i="21" s="1"/>
  <c r="G541" i="21"/>
  <c r="F540" i="21"/>
  <c r="G540" i="21" s="1"/>
  <c r="F539" i="21"/>
  <c r="G539" i="21" s="1"/>
  <c r="F538" i="21"/>
  <c r="G538" i="21" s="1"/>
  <c r="G537" i="21"/>
  <c r="G536" i="21"/>
  <c r="F535" i="21"/>
  <c r="G535" i="21" s="1"/>
  <c r="F534" i="21"/>
  <c r="G534" i="21" s="1"/>
  <c r="G533" i="21"/>
  <c r="F532" i="21"/>
  <c r="G532" i="21" s="1"/>
  <c r="F531" i="21"/>
  <c r="G531" i="21" s="1"/>
  <c r="G530" i="21"/>
  <c r="G526" i="21"/>
  <c r="F525" i="21"/>
  <c r="G525" i="21" s="1"/>
  <c r="G523" i="21"/>
  <c r="G517" i="21"/>
  <c r="G513" i="21"/>
  <c r="G510" i="21"/>
  <c r="G505" i="21"/>
  <c r="G504" i="21"/>
  <c r="G499" i="21"/>
  <c r="G496" i="21"/>
  <c r="G493" i="21"/>
  <c r="G489" i="21"/>
  <c r="G487" i="21"/>
  <c r="G486" i="21"/>
  <c r="G485" i="21"/>
  <c r="G481" i="21"/>
  <c r="G476" i="21"/>
  <c r="G473" i="21"/>
  <c r="F470" i="21"/>
  <c r="G470" i="21" s="1"/>
  <c r="F469" i="21"/>
  <c r="G469" i="21" s="1"/>
  <c r="G468" i="21"/>
  <c r="G467" i="21"/>
  <c r="F466" i="21"/>
  <c r="G466" i="21" s="1"/>
  <c r="G457" i="21"/>
  <c r="F456" i="21"/>
  <c r="G456" i="21" s="1"/>
  <c r="G447" i="21"/>
  <c r="F446" i="21"/>
  <c r="G446" i="21" s="1"/>
  <c r="G437" i="21"/>
  <c r="F436" i="21"/>
  <c r="G436" i="21" s="1"/>
  <c r="G427" i="21"/>
  <c r="G426" i="21"/>
  <c r="F416" i="21"/>
  <c r="G416" i="21" s="1"/>
  <c r="F415" i="21"/>
  <c r="G415" i="21" s="1"/>
  <c r="F414" i="21"/>
  <c r="G414" i="21" s="1"/>
  <c r="F413" i="21"/>
  <c r="G413" i="21" s="1"/>
  <c r="F412" i="21"/>
  <c r="G412" i="21" s="1"/>
  <c r="G411" i="21"/>
  <c r="G410" i="21"/>
  <c r="F409" i="21"/>
  <c r="G409" i="21" s="1"/>
  <c r="F408" i="21"/>
  <c r="G408" i="21" s="1"/>
  <c r="F407" i="21"/>
  <c r="G407" i="21" s="1"/>
  <c r="G406" i="21"/>
  <c r="G405" i="21"/>
  <c r="F404" i="21"/>
  <c r="G404" i="21" s="1"/>
  <c r="F403" i="21"/>
  <c r="G403" i="21" s="1"/>
  <c r="F402" i="21"/>
  <c r="G402" i="21" s="1"/>
  <c r="F401" i="21"/>
  <c r="G401" i="21" s="1"/>
  <c r="F400" i="21"/>
  <c r="G400" i="21" s="1"/>
  <c r="F399" i="21"/>
  <c r="G399" i="21" s="1"/>
  <c r="F398" i="21"/>
  <c r="G398" i="21" s="1"/>
  <c r="F397" i="21"/>
  <c r="G397" i="21" s="1"/>
  <c r="F396" i="21"/>
  <c r="G396" i="21" s="1"/>
  <c r="F395" i="21"/>
  <c r="G395" i="21" s="1"/>
  <c r="F394" i="21"/>
  <c r="G394" i="21" s="1"/>
  <c r="G393" i="21"/>
  <c r="F392" i="21"/>
  <c r="G392" i="21" s="1"/>
  <c r="F391" i="21"/>
  <c r="G391" i="21" s="1"/>
  <c r="F389" i="21"/>
  <c r="G389" i="21" s="1"/>
  <c r="F388" i="21"/>
  <c r="G388" i="21" s="1"/>
  <c r="F387" i="21"/>
  <c r="G387" i="21" s="1"/>
  <c r="G386" i="21"/>
  <c r="F385" i="21"/>
  <c r="G385" i="21" s="1"/>
  <c r="F384" i="21"/>
  <c r="G384" i="21" s="1"/>
  <c r="G380" i="21"/>
  <c r="F379" i="21"/>
  <c r="G379" i="21" s="1"/>
  <c r="F378" i="21"/>
  <c r="G378" i="21" s="1"/>
  <c r="G375" i="21"/>
  <c r="F374" i="21"/>
  <c r="G374" i="21" s="1"/>
  <c r="F373" i="21"/>
  <c r="G373" i="21" s="1"/>
  <c r="F372" i="21"/>
  <c r="G372" i="21" s="1"/>
  <c r="F371" i="21"/>
  <c r="G371" i="21" s="1"/>
  <c r="F370" i="21"/>
  <c r="G370" i="21" s="1"/>
  <c r="F369" i="21"/>
  <c r="G369" i="21" s="1"/>
  <c r="G368" i="21"/>
  <c r="F367" i="21"/>
  <c r="G367" i="21" s="1"/>
  <c r="F366" i="21"/>
  <c r="G366" i="21" s="1"/>
  <c r="F365" i="21"/>
  <c r="G365" i="21" s="1"/>
  <c r="F364" i="21"/>
  <c r="G364" i="21" s="1"/>
  <c r="F363" i="21"/>
  <c r="G363" i="21" s="1"/>
  <c r="F362" i="21"/>
  <c r="G362" i="21" s="1"/>
  <c r="G361" i="21"/>
  <c r="F360" i="21"/>
  <c r="G360" i="21" s="1"/>
  <c r="G356" i="21"/>
  <c r="G352" i="21"/>
  <c r="G348" i="21"/>
  <c r="F347" i="21"/>
  <c r="G347" i="21" s="1"/>
  <c r="F346" i="21"/>
  <c r="G346" i="21" s="1"/>
  <c r="F345" i="21"/>
  <c r="G345" i="21" s="1"/>
  <c r="G344" i="21"/>
  <c r="G341" i="21"/>
  <c r="F340" i="21"/>
  <c r="G340" i="21" s="1"/>
  <c r="F339" i="21"/>
  <c r="G339" i="21" s="1"/>
  <c r="F338" i="21"/>
  <c r="G338" i="21" s="1"/>
  <c r="G334" i="21"/>
  <c r="G333" i="21"/>
  <c r="F331" i="21"/>
  <c r="G331" i="21" s="1"/>
  <c r="F329" i="21"/>
  <c r="G329" i="21" s="1"/>
  <c r="G328" i="21"/>
  <c r="F327" i="21"/>
  <c r="G327" i="21" s="1"/>
  <c r="F323" i="21"/>
  <c r="G323" i="21" s="1"/>
  <c r="F319" i="21"/>
  <c r="G319" i="21" s="1"/>
  <c r="F315" i="21"/>
  <c r="G315" i="21" s="1"/>
  <c r="F311" i="21"/>
  <c r="G311" i="21" s="1"/>
  <c r="F306" i="21"/>
  <c r="G306" i="21" s="1"/>
  <c r="F305" i="21"/>
  <c r="G305" i="21" s="1"/>
  <c r="F304" i="21"/>
  <c r="G304" i="21" s="1"/>
  <c r="F303" i="21"/>
  <c r="G303" i="21" s="1"/>
  <c r="F302" i="21"/>
  <c r="G302" i="21" s="1"/>
  <c r="F301" i="21"/>
  <c r="G301" i="21" s="1"/>
  <c r="F298" i="21"/>
  <c r="G298" i="21" s="1"/>
  <c r="F297" i="21"/>
  <c r="G297" i="21" s="1"/>
  <c r="F296" i="21"/>
  <c r="G296" i="21" s="1"/>
  <c r="F295" i="21"/>
  <c r="G295" i="21" s="1"/>
  <c r="F294" i="21"/>
  <c r="G294" i="21" s="1"/>
  <c r="G290" i="21"/>
  <c r="F288" i="21"/>
  <c r="G288" i="21" s="1"/>
  <c r="F287" i="21"/>
  <c r="G287" i="21" s="1"/>
  <c r="F286" i="21"/>
  <c r="G286" i="21" s="1"/>
  <c r="F278" i="21"/>
  <c r="G278" i="21" s="1"/>
  <c r="F277" i="21"/>
  <c r="G277" i="21" s="1"/>
  <c r="F275" i="21"/>
  <c r="G275" i="21" s="1"/>
  <c r="F274" i="21"/>
  <c r="G274" i="21" s="1"/>
  <c r="F273" i="21"/>
  <c r="G273" i="21" s="1"/>
  <c r="F272" i="21"/>
  <c r="G272" i="21" s="1"/>
  <c r="F271" i="21"/>
  <c r="G271" i="21" s="1"/>
  <c r="F270" i="21"/>
  <c r="G270" i="21" s="1"/>
  <c r="F269" i="21"/>
  <c r="G269" i="21" s="1"/>
  <c r="E268" i="21"/>
  <c r="F268" i="21" s="1"/>
  <c r="G268" i="21" s="1"/>
  <c r="E259" i="21"/>
  <c r="F259" i="21" s="1"/>
  <c r="G259" i="21" s="1"/>
  <c r="F255" i="21"/>
  <c r="G255" i="21" s="1"/>
  <c r="F254" i="21"/>
  <c r="G254" i="21" s="1"/>
  <c r="F253" i="21"/>
  <c r="G253" i="21" s="1"/>
  <c r="F252" i="21"/>
  <c r="G252" i="21" s="1"/>
  <c r="F251" i="21"/>
  <c r="G251" i="21" s="1"/>
  <c r="F250" i="21"/>
  <c r="G250" i="21" s="1"/>
  <c r="F249" i="21"/>
  <c r="G249" i="21" s="1"/>
  <c r="F240" i="21"/>
  <c r="G240" i="21" s="1"/>
  <c r="F234" i="21"/>
  <c r="G234" i="21" s="1"/>
  <c r="F233" i="21"/>
  <c r="G233" i="21" s="1"/>
  <c r="F232" i="21"/>
  <c r="G232" i="21" s="1"/>
  <c r="F231" i="21"/>
  <c r="G231" i="21" s="1"/>
  <c r="G225" i="21"/>
  <c r="F224" i="21"/>
  <c r="G224" i="21" s="1"/>
  <c r="F223" i="21"/>
  <c r="G223" i="21" s="1"/>
  <c r="F222" i="21"/>
  <c r="G222" i="21" s="1"/>
  <c r="F221" i="21"/>
  <c r="G221" i="21" s="1"/>
  <c r="F220" i="21"/>
  <c r="G220" i="21" s="1"/>
  <c r="F219" i="21"/>
  <c r="G219" i="21" s="1"/>
  <c r="G207" i="21"/>
  <c r="F206" i="21"/>
  <c r="G206" i="21" s="1"/>
  <c r="F205" i="21"/>
  <c r="G205" i="21" s="1"/>
  <c r="F204" i="21"/>
  <c r="G204" i="21" s="1"/>
  <c r="F203" i="21"/>
  <c r="G203" i="21" s="1"/>
  <c r="F202" i="21"/>
  <c r="G202" i="21" s="1"/>
  <c r="F201" i="21"/>
  <c r="G201" i="21" s="1"/>
  <c r="F200" i="21"/>
  <c r="G200" i="21" s="1"/>
  <c r="F199" i="21"/>
  <c r="G199" i="21" s="1"/>
  <c r="F198" i="21"/>
  <c r="G198" i="21" s="1"/>
  <c r="F197" i="21"/>
  <c r="G197" i="21" s="1"/>
  <c r="F196" i="21"/>
  <c r="G196" i="21" s="1"/>
  <c r="F195" i="21"/>
  <c r="G195" i="21" s="1"/>
  <c r="F194" i="21"/>
  <c r="G194" i="21" s="1"/>
  <c r="F193" i="21"/>
  <c r="G193" i="21" s="1"/>
  <c r="F192" i="21"/>
  <c r="G192" i="21" s="1"/>
  <c r="F191" i="21"/>
  <c r="G191" i="21" s="1"/>
  <c r="F190" i="21"/>
  <c r="G190" i="21" s="1"/>
  <c r="F189" i="21"/>
  <c r="G189" i="21" s="1"/>
  <c r="F188" i="21"/>
  <c r="G188" i="21" s="1"/>
  <c r="F187" i="21"/>
  <c r="G187" i="21" s="1"/>
  <c r="F186" i="21"/>
  <c r="G186" i="21" s="1"/>
  <c r="G185" i="21"/>
  <c r="F184" i="21"/>
  <c r="G184" i="21" s="1"/>
  <c r="F183" i="21"/>
  <c r="G183" i="21" s="1"/>
  <c r="F182" i="21"/>
  <c r="G182" i="21" s="1"/>
  <c r="F181" i="21"/>
  <c r="G181" i="21" s="1"/>
  <c r="F180" i="21"/>
  <c r="G180" i="21" s="1"/>
  <c r="F179" i="21"/>
  <c r="G179" i="21" s="1"/>
  <c r="F178" i="21"/>
  <c r="G178" i="21" s="1"/>
  <c r="F177" i="21"/>
  <c r="G177" i="21" s="1"/>
  <c r="F176" i="21"/>
  <c r="G176" i="21" s="1"/>
  <c r="F175" i="21"/>
  <c r="G175" i="21" s="1"/>
  <c r="F174" i="21"/>
  <c r="G174" i="21" s="1"/>
  <c r="F173" i="21"/>
  <c r="G173" i="21" s="1"/>
  <c r="F172" i="21"/>
  <c r="G172" i="21" s="1"/>
  <c r="F171" i="21"/>
  <c r="G171" i="21" s="1"/>
  <c r="F170" i="21"/>
  <c r="G170" i="21" s="1"/>
  <c r="F169" i="21"/>
  <c r="G169" i="21" s="1"/>
  <c r="G163" i="21"/>
  <c r="F162" i="21"/>
  <c r="G162" i="21" s="1"/>
  <c r="F161" i="21"/>
  <c r="G161" i="21" s="1"/>
  <c r="F160" i="21"/>
  <c r="G160" i="21" s="1"/>
  <c r="G157" i="21"/>
  <c r="F156" i="21"/>
  <c r="G156" i="21" s="1"/>
  <c r="F155" i="21"/>
  <c r="G155" i="21" s="1"/>
  <c r="F154" i="21"/>
  <c r="G154" i="21" s="1"/>
  <c r="G151" i="21"/>
  <c r="G150" i="21"/>
  <c r="F149" i="21"/>
  <c r="G149" i="21" s="1"/>
  <c r="F148" i="21"/>
  <c r="G148" i="21" s="1"/>
  <c r="F147" i="21"/>
  <c r="G147" i="21" s="1"/>
  <c r="F146" i="21"/>
  <c r="G146" i="21" s="1"/>
  <c r="F145" i="21"/>
  <c r="G145" i="21" s="1"/>
  <c r="F144" i="21"/>
  <c r="G144" i="21" s="1"/>
  <c r="F143" i="21"/>
  <c r="G143" i="21" s="1"/>
  <c r="F142" i="21"/>
  <c r="G142" i="21" s="1"/>
  <c r="F141" i="21"/>
  <c r="G141" i="21" s="1"/>
  <c r="F140" i="21"/>
  <c r="G140" i="21" s="1"/>
  <c r="G128" i="21"/>
  <c r="F127" i="21"/>
  <c r="G127" i="21" s="1"/>
  <c r="F126" i="21"/>
  <c r="G126" i="21" s="1"/>
  <c r="F125" i="21"/>
  <c r="G125" i="21" s="1"/>
  <c r="G121" i="21"/>
  <c r="F120" i="21"/>
  <c r="G120" i="21" s="1"/>
  <c r="G107" i="21"/>
  <c r="F105" i="21"/>
  <c r="G105" i="21" s="1"/>
  <c r="F104" i="21"/>
  <c r="G104" i="21" s="1"/>
  <c r="F103" i="21"/>
  <c r="G103" i="21" s="1"/>
  <c r="F102" i="21"/>
  <c r="G102" i="21" s="1"/>
  <c r="F101" i="21"/>
  <c r="G101" i="21" s="1"/>
  <c r="G96" i="21"/>
  <c r="G95" i="21"/>
  <c r="G94" i="21"/>
  <c r="G81" i="21"/>
  <c r="F78" i="21"/>
  <c r="G78" i="21" s="1"/>
  <c r="E68" i="21"/>
  <c r="F68" i="21" s="1"/>
  <c r="G68" i="21" s="1"/>
  <c r="E67" i="21"/>
  <c r="F67" i="21" s="1"/>
  <c r="G67" i="21" s="1"/>
  <c r="E66" i="21"/>
  <c r="F66" i="21" s="1"/>
  <c r="G66" i="21" s="1"/>
  <c r="E65" i="21"/>
  <c r="F65" i="21" s="1"/>
  <c r="G65" i="21" s="1"/>
  <c r="E64" i="21"/>
  <c r="F64" i="21" s="1"/>
  <c r="G64" i="21" s="1"/>
  <c r="G63" i="21"/>
  <c r="G57" i="21"/>
  <c r="E56" i="21"/>
  <c r="F56" i="21" s="1"/>
  <c r="G56" i="21" s="1"/>
  <c r="E55" i="21"/>
  <c r="F55" i="21" s="1"/>
  <c r="G55" i="21" s="1"/>
  <c r="E54" i="21"/>
  <c r="F54" i="21" s="1"/>
  <c r="G54" i="21" s="1"/>
  <c r="E53" i="21"/>
  <c r="F53" i="21" s="1"/>
  <c r="G53" i="21" s="1"/>
  <c r="E52" i="21"/>
  <c r="F52" i="21" s="1"/>
  <c r="G52" i="21" s="1"/>
  <c r="E51" i="21"/>
  <c r="F51" i="21" s="1"/>
  <c r="G51" i="21" s="1"/>
  <c r="E50" i="21"/>
  <c r="F50" i="21" s="1"/>
  <c r="G50" i="21" s="1"/>
  <c r="E49" i="21"/>
  <c r="F49" i="21" s="1"/>
  <c r="G49" i="21" s="1"/>
  <c r="E45" i="21"/>
  <c r="F45" i="21" s="1"/>
  <c r="G45" i="21" s="1"/>
  <c r="E44" i="21"/>
  <c r="F44" i="21" s="1"/>
  <c r="G44" i="21" s="1"/>
  <c r="E40" i="21"/>
  <c r="F40" i="21" s="1"/>
  <c r="G40" i="21" s="1"/>
  <c r="E37" i="21"/>
  <c r="F37" i="21" s="1"/>
  <c r="G37" i="21" s="1"/>
  <c r="E36" i="21"/>
  <c r="F36" i="21" s="1"/>
  <c r="G36" i="21" s="1"/>
  <c r="E35" i="21"/>
  <c r="F35" i="21" s="1"/>
  <c r="G35" i="21" s="1"/>
  <c r="G34" i="21"/>
  <c r="E33" i="21"/>
  <c r="F33" i="21" s="1"/>
  <c r="G33" i="21" s="1"/>
  <c r="F27" i="21"/>
  <c r="G27" i="21" s="1"/>
  <c r="F26" i="21"/>
  <c r="G26" i="21" s="1"/>
  <c r="F25" i="21"/>
  <c r="G25" i="21" s="1"/>
  <c r="F24" i="21"/>
  <c r="G24" i="21" s="1"/>
  <c r="E23" i="21"/>
  <c r="F23" i="21" s="1"/>
  <c r="G23" i="21" s="1"/>
  <c r="E22" i="21"/>
  <c r="F22" i="21" s="1"/>
  <c r="G22" i="21" s="1"/>
  <c r="F21" i="21"/>
  <c r="G21" i="21" s="1"/>
  <c r="E19" i="21"/>
  <c r="F19" i="21" s="1"/>
  <c r="G19" i="21" s="1"/>
  <c r="E18" i="21"/>
  <c r="F18" i="21" s="1"/>
  <c r="G18" i="21" s="1"/>
  <c r="E17" i="21"/>
  <c r="F17" i="21" s="1"/>
  <c r="G17" i="21" s="1"/>
  <c r="E16" i="21"/>
  <c r="F16" i="21" s="1"/>
  <c r="G16" i="21" s="1"/>
  <c r="E15" i="21"/>
  <c r="F15" i="21" s="1"/>
  <c r="G15" i="21" s="1"/>
  <c r="E12" i="21"/>
  <c r="F12" i="21" s="1"/>
  <c r="G12" i="21" s="1"/>
  <c r="G1950" i="22"/>
  <c r="G1963" i="22"/>
  <c r="G1978" i="22"/>
  <c r="G1991" i="22"/>
  <c r="G1999" i="22"/>
  <c r="G2000" i="22"/>
  <c r="G2001" i="22"/>
  <c r="G2009" i="22"/>
  <c r="G2017" i="22"/>
  <c r="G2025" i="22"/>
  <c r="G2033" i="22"/>
  <c r="G2041" i="22"/>
  <c r="G2042" i="22"/>
  <c r="G2091" i="22"/>
  <c r="G2140" i="22"/>
  <c r="G2141" i="22"/>
  <c r="G2144" i="22"/>
  <c r="G2149" i="22"/>
  <c r="G2154" i="22"/>
  <c r="G2155" i="22"/>
  <c r="G2158" i="22"/>
  <c r="G2163" i="22"/>
  <c r="G2165" i="22"/>
  <c r="G2166" i="22"/>
  <c r="G2167" i="22"/>
  <c r="G2179" i="22"/>
  <c r="G2191" i="22"/>
  <c r="G2192" i="22"/>
  <c r="G2204" i="22"/>
  <c r="G2217" i="22"/>
  <c r="G2224" i="22"/>
  <c r="G2231" i="22"/>
  <c r="G2232" i="22"/>
  <c r="G2241" i="22"/>
  <c r="G2247" i="22"/>
  <c r="G2254" i="22"/>
  <c r="G2262" i="22"/>
  <c r="G2275" i="22"/>
  <c r="G2282" i="22"/>
  <c r="G2289" i="22"/>
  <c r="G2297" i="22"/>
  <c r="G2305" i="22"/>
  <c r="G2318" i="22"/>
  <c r="G2331" i="22"/>
  <c r="G2340" i="22"/>
  <c r="G2341" i="22"/>
  <c r="G2357" i="22"/>
  <c r="G2373" i="22"/>
  <c r="G2385" i="22"/>
  <c r="G2398" i="22"/>
  <c r="G2399" i="22"/>
  <c r="G2405" i="22"/>
  <c r="G2409" i="22"/>
  <c r="G2413" i="22"/>
  <c r="G2414" i="22"/>
  <c r="G2415" i="22"/>
  <c r="G2416" i="22"/>
  <c r="G2417" i="22"/>
  <c r="G2418" i="22"/>
  <c r="G2419" i="22"/>
  <c r="G2420" i="22"/>
  <c r="G2421" i="22"/>
  <c r="G2428" i="22"/>
  <c r="G785" i="22"/>
  <c r="G805" i="22"/>
  <c r="G806" i="22"/>
  <c r="G818" i="22"/>
  <c r="G843" i="22"/>
  <c r="G1029" i="22"/>
  <c r="G1093" i="22"/>
  <c r="G1157" i="22"/>
  <c r="G1158" i="22"/>
  <c r="G1210" i="22"/>
  <c r="G1262" i="22"/>
  <c r="G1314" i="22"/>
  <c r="G1347" i="22"/>
  <c r="G1386" i="22"/>
  <c r="G1399" i="22"/>
  <c r="G1412" i="22"/>
  <c r="G1425" i="22"/>
  <c r="G1438" i="22"/>
  <c r="G1451" i="22"/>
  <c r="G1464" i="22"/>
  <c r="G1477" i="22"/>
  <c r="G1490" i="22"/>
  <c r="G1491" i="22"/>
  <c r="G1552" i="22"/>
  <c r="G1613" i="22"/>
  <c r="G1674" i="22"/>
  <c r="G1675" i="22"/>
  <c r="G1735" i="22"/>
  <c r="G1795" i="22"/>
  <c r="G1855" i="22"/>
  <c r="G1856" i="22"/>
  <c r="G1869" i="22"/>
  <c r="G1883" i="22"/>
  <c r="G1896" i="22"/>
  <c r="G1909" i="22"/>
  <c r="G1922" i="22"/>
  <c r="F1948" i="3"/>
  <c r="G1948" i="3" s="1"/>
  <c r="E1029" i="22"/>
  <c r="E1093" i="22"/>
  <c r="E1157" i="22"/>
  <c r="E1158" i="22"/>
  <c r="F2427" i="22"/>
  <c r="G2427" i="22" s="1"/>
  <c r="F2426" i="22"/>
  <c r="G2426" i="22" s="1"/>
  <c r="F2425" i="22"/>
  <c r="G2425" i="22" s="1"/>
  <c r="F2424" i="22"/>
  <c r="G2424" i="22" s="1"/>
  <c r="F2423" i="22"/>
  <c r="G2423" i="22" s="1"/>
  <c r="F2412" i="22"/>
  <c r="G2412" i="22" s="1"/>
  <c r="F2411" i="22"/>
  <c r="G2411" i="22" s="1"/>
  <c r="F2410" i="22"/>
  <c r="G2410" i="22" s="1"/>
  <c r="F2408" i="22"/>
  <c r="G2408" i="22" s="1"/>
  <c r="F2407" i="22"/>
  <c r="G2407" i="22" s="1"/>
  <c r="F2406" i="22"/>
  <c r="G2406" i="22" s="1"/>
  <c r="F2404" i="22"/>
  <c r="G2404" i="22" s="1"/>
  <c r="F2403" i="22"/>
  <c r="G2403" i="22" s="1"/>
  <c r="F2402" i="22"/>
  <c r="G2402" i="22" s="1"/>
  <c r="F2401" i="22"/>
  <c r="G2401" i="22" s="1"/>
  <c r="F2400" i="22"/>
  <c r="G2400" i="22" s="1"/>
  <c r="F2397" i="22"/>
  <c r="G2397" i="22" s="1"/>
  <c r="F2396" i="22"/>
  <c r="G2396" i="22" s="1"/>
  <c r="F2395" i="22"/>
  <c r="G2395" i="22" s="1"/>
  <c r="F2394" i="22"/>
  <c r="G2394" i="22" s="1"/>
  <c r="F2393" i="22"/>
  <c r="G2393" i="22" s="1"/>
  <c r="F2392" i="22"/>
  <c r="G2392" i="22" s="1"/>
  <c r="F2391" i="22"/>
  <c r="G2391" i="22" s="1"/>
  <c r="F2390" i="22"/>
  <c r="G2390" i="22" s="1"/>
  <c r="F2389" i="22"/>
  <c r="G2389" i="22" s="1"/>
  <c r="F2388" i="22"/>
  <c r="G2388" i="22" s="1"/>
  <c r="F2387" i="22"/>
  <c r="G2387" i="22" s="1"/>
  <c r="F2386" i="22"/>
  <c r="G2386" i="22" s="1"/>
  <c r="F2384" i="22"/>
  <c r="G2384" i="22" s="1"/>
  <c r="F2383" i="22"/>
  <c r="G2383" i="22" s="1"/>
  <c r="F2382" i="22"/>
  <c r="G2382" i="22" s="1"/>
  <c r="F2381" i="22"/>
  <c r="G2381" i="22" s="1"/>
  <c r="F2380" i="22"/>
  <c r="G2380" i="22" s="1"/>
  <c r="F2379" i="22"/>
  <c r="G2379" i="22" s="1"/>
  <c r="F2378" i="22"/>
  <c r="G2378" i="22" s="1"/>
  <c r="F2377" i="22"/>
  <c r="G2377" i="22" s="1"/>
  <c r="F2376" i="22"/>
  <c r="G2376" i="22" s="1"/>
  <c r="F2375" i="22"/>
  <c r="G2375" i="22" s="1"/>
  <c r="F2374" i="22"/>
  <c r="G2374" i="22" s="1"/>
  <c r="F2372" i="22"/>
  <c r="G2372" i="22" s="1"/>
  <c r="F2371" i="22"/>
  <c r="G2371" i="22" s="1"/>
  <c r="F2370" i="22"/>
  <c r="G2370" i="22" s="1"/>
  <c r="F2369" i="22"/>
  <c r="G2369" i="22" s="1"/>
  <c r="F2368" i="22"/>
  <c r="G2368" i="22" s="1"/>
  <c r="F2367" i="22"/>
  <c r="G2367" i="22" s="1"/>
  <c r="F2366" i="22"/>
  <c r="G2366" i="22" s="1"/>
  <c r="F2365" i="22"/>
  <c r="G2365" i="22" s="1"/>
  <c r="F2364" i="22"/>
  <c r="G2364" i="22" s="1"/>
  <c r="F2363" i="22"/>
  <c r="G2363" i="22" s="1"/>
  <c r="F2362" i="22"/>
  <c r="G2362" i="22" s="1"/>
  <c r="F2361" i="22"/>
  <c r="G2361" i="22" s="1"/>
  <c r="F2360" i="22"/>
  <c r="G2360" i="22" s="1"/>
  <c r="F2359" i="22"/>
  <c r="G2359" i="22" s="1"/>
  <c r="F2358" i="22"/>
  <c r="G2358" i="22" s="1"/>
  <c r="F2356" i="22"/>
  <c r="G2356" i="22" s="1"/>
  <c r="F2355" i="22"/>
  <c r="G2355" i="22" s="1"/>
  <c r="F2354" i="22"/>
  <c r="G2354" i="22" s="1"/>
  <c r="F2353" i="22"/>
  <c r="G2353" i="22" s="1"/>
  <c r="F2352" i="22"/>
  <c r="G2352" i="22" s="1"/>
  <c r="F2351" i="22"/>
  <c r="G2351" i="22" s="1"/>
  <c r="F2350" i="22"/>
  <c r="G2350" i="22" s="1"/>
  <c r="F2349" i="22"/>
  <c r="G2349" i="22" s="1"/>
  <c r="F2348" i="22"/>
  <c r="G2348" i="22" s="1"/>
  <c r="F2347" i="22"/>
  <c r="G2347" i="22" s="1"/>
  <c r="F2346" i="22"/>
  <c r="G2346" i="22" s="1"/>
  <c r="F2345" i="22"/>
  <c r="G2345" i="22" s="1"/>
  <c r="F2344" i="22"/>
  <c r="G2344" i="22" s="1"/>
  <c r="F2343" i="22"/>
  <c r="G2343" i="22" s="1"/>
  <c r="F2342" i="22"/>
  <c r="G2342" i="22" s="1"/>
  <c r="F2339" i="22"/>
  <c r="G2339" i="22" s="1"/>
  <c r="F2338" i="22"/>
  <c r="G2338" i="22" s="1"/>
  <c r="F2337" i="22"/>
  <c r="G2337" i="22" s="1"/>
  <c r="F2336" i="22"/>
  <c r="G2336" i="22" s="1"/>
  <c r="F2335" i="22"/>
  <c r="G2335" i="22" s="1"/>
  <c r="F2334" i="22"/>
  <c r="G2334" i="22" s="1"/>
  <c r="F2333" i="22"/>
  <c r="G2333" i="22" s="1"/>
  <c r="F2332" i="22"/>
  <c r="G2332" i="22" s="1"/>
  <c r="F2330" i="22"/>
  <c r="G2330" i="22" s="1"/>
  <c r="F2329" i="22"/>
  <c r="G2329" i="22" s="1"/>
  <c r="F2328" i="22"/>
  <c r="G2328" i="22" s="1"/>
  <c r="F2327" i="22"/>
  <c r="G2327" i="22" s="1"/>
  <c r="F2326" i="22"/>
  <c r="G2326" i="22" s="1"/>
  <c r="F2325" i="22"/>
  <c r="G2325" i="22" s="1"/>
  <c r="F2324" i="22"/>
  <c r="G2324" i="22" s="1"/>
  <c r="F2323" i="22"/>
  <c r="G2323" i="22" s="1"/>
  <c r="F2322" i="22"/>
  <c r="G2322" i="22" s="1"/>
  <c r="F2321" i="22"/>
  <c r="G2321" i="22" s="1"/>
  <c r="F2320" i="22"/>
  <c r="G2320" i="22" s="1"/>
  <c r="F2319" i="22"/>
  <c r="G2319" i="22" s="1"/>
  <c r="F2317" i="22"/>
  <c r="G2317" i="22" s="1"/>
  <c r="F2316" i="22"/>
  <c r="G2316" i="22" s="1"/>
  <c r="F2315" i="22"/>
  <c r="G2315" i="22" s="1"/>
  <c r="F2314" i="22"/>
  <c r="G2314" i="22" s="1"/>
  <c r="F2313" i="22"/>
  <c r="G2313" i="22" s="1"/>
  <c r="F2312" i="22"/>
  <c r="G2312" i="22" s="1"/>
  <c r="F2311" i="22"/>
  <c r="G2311" i="22" s="1"/>
  <c r="F2310" i="22"/>
  <c r="G2310" i="22" s="1"/>
  <c r="F2309" i="22"/>
  <c r="G2309" i="22" s="1"/>
  <c r="F2308" i="22"/>
  <c r="G2308" i="22" s="1"/>
  <c r="F2307" i="22"/>
  <c r="G2307" i="22" s="1"/>
  <c r="F2306" i="22"/>
  <c r="G2306" i="22" s="1"/>
  <c r="F2304" i="22"/>
  <c r="G2304" i="22" s="1"/>
  <c r="F2303" i="22"/>
  <c r="G2303" i="22" s="1"/>
  <c r="F2302" i="22"/>
  <c r="G2302" i="22" s="1"/>
  <c r="F2301" i="22"/>
  <c r="G2301" i="22" s="1"/>
  <c r="F2300" i="22"/>
  <c r="G2300" i="22" s="1"/>
  <c r="F2299" i="22"/>
  <c r="G2299" i="22" s="1"/>
  <c r="F2298" i="22"/>
  <c r="G2298" i="22" s="1"/>
  <c r="F2296" i="22"/>
  <c r="G2296" i="22" s="1"/>
  <c r="F2295" i="22"/>
  <c r="G2295" i="22" s="1"/>
  <c r="F2294" i="22"/>
  <c r="G2294" i="22" s="1"/>
  <c r="F2293" i="22"/>
  <c r="G2293" i="22" s="1"/>
  <c r="F2292" i="22"/>
  <c r="G2292" i="22" s="1"/>
  <c r="F2291" i="22"/>
  <c r="G2291" i="22" s="1"/>
  <c r="F2290" i="22"/>
  <c r="G2290" i="22" s="1"/>
  <c r="F2288" i="22"/>
  <c r="G2288" i="22" s="1"/>
  <c r="F2287" i="22"/>
  <c r="G2287" i="22" s="1"/>
  <c r="F2286" i="22"/>
  <c r="G2286" i="22" s="1"/>
  <c r="F2285" i="22"/>
  <c r="G2285" i="22" s="1"/>
  <c r="F2284" i="22"/>
  <c r="G2284" i="22" s="1"/>
  <c r="F2283" i="22"/>
  <c r="G2283" i="22" s="1"/>
  <c r="F2281" i="22"/>
  <c r="G2281" i="22" s="1"/>
  <c r="F2280" i="22"/>
  <c r="G2280" i="22" s="1"/>
  <c r="F2279" i="22"/>
  <c r="G2279" i="22" s="1"/>
  <c r="F2278" i="22"/>
  <c r="G2278" i="22" s="1"/>
  <c r="F2277" i="22"/>
  <c r="G2277" i="22" s="1"/>
  <c r="F2276" i="22"/>
  <c r="G2276" i="22" s="1"/>
  <c r="F2274" i="22"/>
  <c r="G2274" i="22" s="1"/>
  <c r="F2273" i="22"/>
  <c r="G2273" i="22" s="1"/>
  <c r="F2272" i="22"/>
  <c r="G2272" i="22" s="1"/>
  <c r="F2271" i="22"/>
  <c r="G2271" i="22" s="1"/>
  <c r="F2270" i="22"/>
  <c r="G2270" i="22" s="1"/>
  <c r="F2269" i="22"/>
  <c r="G2269" i="22" s="1"/>
  <c r="F2268" i="22"/>
  <c r="G2268" i="22" s="1"/>
  <c r="F2267" i="22"/>
  <c r="G2267" i="22" s="1"/>
  <c r="F2266" i="22"/>
  <c r="G2266" i="22" s="1"/>
  <c r="F2265" i="22"/>
  <c r="G2265" i="22" s="1"/>
  <c r="F2264" i="22"/>
  <c r="G2264" i="22" s="1"/>
  <c r="F2263" i="22"/>
  <c r="G2263" i="22" s="1"/>
  <c r="F2261" i="22"/>
  <c r="G2261" i="22" s="1"/>
  <c r="F2260" i="22"/>
  <c r="G2260" i="22" s="1"/>
  <c r="F2259" i="22"/>
  <c r="G2259" i="22" s="1"/>
  <c r="F2258" i="22"/>
  <c r="G2258" i="22" s="1"/>
  <c r="F2257" i="22"/>
  <c r="G2257" i="22" s="1"/>
  <c r="F2256" i="22"/>
  <c r="G2256" i="22" s="1"/>
  <c r="F2255" i="22"/>
  <c r="G2255" i="22" s="1"/>
  <c r="F2253" i="22"/>
  <c r="G2253" i="22" s="1"/>
  <c r="F2252" i="22"/>
  <c r="G2252" i="22" s="1"/>
  <c r="F2251" i="22"/>
  <c r="G2251" i="22" s="1"/>
  <c r="F2250" i="22"/>
  <c r="G2250" i="22" s="1"/>
  <c r="F2249" i="22"/>
  <c r="G2249" i="22" s="1"/>
  <c r="F2248" i="22"/>
  <c r="G2248" i="22" s="1"/>
  <c r="F2246" i="22"/>
  <c r="G2246" i="22" s="1"/>
  <c r="F2245" i="22"/>
  <c r="G2245" i="22" s="1"/>
  <c r="F2244" i="22"/>
  <c r="G2244" i="22" s="1"/>
  <c r="F2243" i="22"/>
  <c r="G2243" i="22" s="1"/>
  <c r="F2242" i="22"/>
  <c r="G2242" i="22" s="1"/>
  <c r="F2240" i="22"/>
  <c r="G2240" i="22" s="1"/>
  <c r="F2239" i="22"/>
  <c r="G2239" i="22" s="1"/>
  <c r="F2238" i="22"/>
  <c r="G2238" i="22" s="1"/>
  <c r="F2237" i="22"/>
  <c r="G2237" i="22" s="1"/>
  <c r="F2236" i="22"/>
  <c r="G2236" i="22" s="1"/>
  <c r="F2235" i="22"/>
  <c r="G2235" i="22" s="1"/>
  <c r="F2234" i="22"/>
  <c r="G2234" i="22" s="1"/>
  <c r="F2233" i="22"/>
  <c r="G2233" i="22" s="1"/>
  <c r="F2230" i="22"/>
  <c r="G2230" i="22" s="1"/>
  <c r="F2229" i="22"/>
  <c r="G2229" i="22" s="1"/>
  <c r="F2228" i="22"/>
  <c r="G2228" i="22" s="1"/>
  <c r="F2227" i="22"/>
  <c r="G2227" i="22" s="1"/>
  <c r="F2226" i="22"/>
  <c r="G2226" i="22" s="1"/>
  <c r="F2225" i="22"/>
  <c r="G2225" i="22" s="1"/>
  <c r="F2223" i="22"/>
  <c r="G2223" i="22" s="1"/>
  <c r="F2222" i="22"/>
  <c r="G2222" i="22" s="1"/>
  <c r="F2221" i="22"/>
  <c r="G2221" i="22" s="1"/>
  <c r="F2220" i="22"/>
  <c r="G2220" i="22" s="1"/>
  <c r="F2219" i="22"/>
  <c r="G2219" i="22" s="1"/>
  <c r="F2218" i="22"/>
  <c r="G2218" i="22" s="1"/>
  <c r="F2216" i="22"/>
  <c r="G2216" i="22" s="1"/>
  <c r="F2215" i="22"/>
  <c r="G2215" i="22" s="1"/>
  <c r="F2214" i="22"/>
  <c r="G2214" i="22" s="1"/>
  <c r="F2213" i="22"/>
  <c r="G2213" i="22" s="1"/>
  <c r="F2212" i="22"/>
  <c r="G2212" i="22" s="1"/>
  <c r="F2211" i="22"/>
  <c r="G2211" i="22" s="1"/>
  <c r="F2210" i="22"/>
  <c r="G2210" i="22" s="1"/>
  <c r="F2209" i="22"/>
  <c r="G2209" i="22" s="1"/>
  <c r="F2208" i="22"/>
  <c r="G2208" i="22" s="1"/>
  <c r="F2207" i="22"/>
  <c r="G2207" i="22" s="1"/>
  <c r="F2206" i="22"/>
  <c r="G2206" i="22" s="1"/>
  <c r="F2205" i="22"/>
  <c r="G2205" i="22" s="1"/>
  <c r="F2203" i="22"/>
  <c r="G2203" i="22" s="1"/>
  <c r="F2202" i="22"/>
  <c r="G2202" i="22" s="1"/>
  <c r="F2201" i="22"/>
  <c r="G2201" i="22" s="1"/>
  <c r="F2200" i="22"/>
  <c r="G2200" i="22" s="1"/>
  <c r="F2199" i="22"/>
  <c r="G2199" i="22" s="1"/>
  <c r="F2198" i="22"/>
  <c r="G2198" i="22" s="1"/>
  <c r="F2197" i="22"/>
  <c r="G2197" i="22" s="1"/>
  <c r="F2196" i="22"/>
  <c r="G2196" i="22" s="1"/>
  <c r="F2195" i="22"/>
  <c r="G2195" i="22" s="1"/>
  <c r="F2194" i="22"/>
  <c r="G2194" i="22" s="1"/>
  <c r="F2193" i="22"/>
  <c r="G2193" i="22" s="1"/>
  <c r="F2190" i="22"/>
  <c r="G2190" i="22" s="1"/>
  <c r="F2189" i="22"/>
  <c r="G2189" i="22" s="1"/>
  <c r="F2188" i="22"/>
  <c r="G2188" i="22" s="1"/>
  <c r="F2187" i="22"/>
  <c r="G2187" i="22" s="1"/>
  <c r="F2186" i="22"/>
  <c r="G2186" i="22" s="1"/>
  <c r="F2185" i="22"/>
  <c r="G2185" i="22" s="1"/>
  <c r="F2184" i="22"/>
  <c r="G2184" i="22" s="1"/>
  <c r="F2183" i="22"/>
  <c r="G2183" i="22" s="1"/>
  <c r="F2182" i="22"/>
  <c r="G2182" i="22" s="1"/>
  <c r="F2181" i="22"/>
  <c r="G2181" i="22" s="1"/>
  <c r="F2180" i="22"/>
  <c r="G2180" i="22" s="1"/>
  <c r="F2178" i="22"/>
  <c r="G2178" i="22" s="1"/>
  <c r="F2177" i="22"/>
  <c r="G2177" i="22" s="1"/>
  <c r="F2176" i="22"/>
  <c r="G2176" i="22" s="1"/>
  <c r="F2175" i="22"/>
  <c r="G2175" i="22" s="1"/>
  <c r="F2174" i="22"/>
  <c r="G2174" i="22" s="1"/>
  <c r="F2173" i="22"/>
  <c r="G2173" i="22" s="1"/>
  <c r="F2171" i="22"/>
  <c r="G2171" i="22" s="1"/>
  <c r="F2170" i="22"/>
  <c r="G2170" i="22" s="1"/>
  <c r="F2169" i="22"/>
  <c r="G2169" i="22" s="1"/>
  <c r="F2168" i="22"/>
  <c r="G2168" i="22" s="1"/>
  <c r="F2164" i="22"/>
  <c r="G2164" i="22" s="1"/>
  <c r="F2162" i="22"/>
  <c r="G2162" i="22" s="1"/>
  <c r="F2161" i="22"/>
  <c r="G2161" i="22" s="1"/>
  <c r="F2160" i="22"/>
  <c r="G2160" i="22" s="1"/>
  <c r="F2159" i="22"/>
  <c r="G2159" i="22" s="1"/>
  <c r="F2157" i="22"/>
  <c r="G2157" i="22" s="1"/>
  <c r="F2156" i="22"/>
  <c r="G2156" i="22" s="1"/>
  <c r="F2153" i="22"/>
  <c r="G2153" i="22" s="1"/>
  <c r="F2152" i="22"/>
  <c r="G2152" i="22" s="1"/>
  <c r="F2151" i="22"/>
  <c r="G2151" i="22" s="1"/>
  <c r="F2150" i="22"/>
  <c r="G2150" i="22" s="1"/>
  <c r="F2148" i="22"/>
  <c r="G2148" i="22" s="1"/>
  <c r="F2147" i="22"/>
  <c r="G2147" i="22" s="1"/>
  <c r="F2146" i="22"/>
  <c r="G2146" i="22" s="1"/>
  <c r="F2145" i="22"/>
  <c r="G2145" i="22" s="1"/>
  <c r="F2143" i="22"/>
  <c r="G2143" i="22" s="1"/>
  <c r="F2142" i="22"/>
  <c r="G2142" i="22" s="1"/>
  <c r="F2139" i="22"/>
  <c r="G2139" i="22" s="1"/>
  <c r="F2138" i="22"/>
  <c r="G2138" i="22" s="1"/>
  <c r="F2137" i="22"/>
  <c r="G2137" i="22" s="1"/>
  <c r="F2136" i="22"/>
  <c r="G2136" i="22" s="1"/>
  <c r="F2135" i="22"/>
  <c r="G2135" i="22" s="1"/>
  <c r="F2134" i="22"/>
  <c r="G2134" i="22" s="1"/>
  <c r="F2133" i="22"/>
  <c r="G2133" i="22" s="1"/>
  <c r="F2132" i="22"/>
  <c r="G2132" i="22" s="1"/>
  <c r="F2131" i="22"/>
  <c r="G2131" i="22" s="1"/>
  <c r="F2130" i="22"/>
  <c r="G2130" i="22" s="1"/>
  <c r="F2129" i="22"/>
  <c r="G2129" i="22" s="1"/>
  <c r="F2128" i="22"/>
  <c r="G2128" i="22" s="1"/>
  <c r="F2127" i="22"/>
  <c r="G2127" i="22" s="1"/>
  <c r="F2126" i="22"/>
  <c r="G2126" i="22" s="1"/>
  <c r="F2125" i="22"/>
  <c r="G2125" i="22" s="1"/>
  <c r="F2124" i="22"/>
  <c r="G2124" i="22" s="1"/>
  <c r="F2123" i="22"/>
  <c r="G2123" i="22" s="1"/>
  <c r="F2122" i="22"/>
  <c r="G2122" i="22" s="1"/>
  <c r="F2121" i="22"/>
  <c r="G2121" i="22" s="1"/>
  <c r="F2120" i="22"/>
  <c r="G2120" i="22" s="1"/>
  <c r="F2119" i="22"/>
  <c r="G2119" i="22" s="1"/>
  <c r="F2118" i="22"/>
  <c r="G2118" i="22" s="1"/>
  <c r="F2117" i="22"/>
  <c r="G2117" i="22" s="1"/>
  <c r="F2116" i="22"/>
  <c r="G2116" i="22" s="1"/>
  <c r="F2115" i="22"/>
  <c r="G2115" i="22" s="1"/>
  <c r="F2114" i="22"/>
  <c r="G2114" i="22" s="1"/>
  <c r="F2113" i="22"/>
  <c r="G2113" i="22" s="1"/>
  <c r="F2112" i="22"/>
  <c r="G2112" i="22" s="1"/>
  <c r="F2111" i="22"/>
  <c r="G2111" i="22" s="1"/>
  <c r="F2110" i="22"/>
  <c r="G2110" i="22" s="1"/>
  <c r="F2109" i="22"/>
  <c r="G2109" i="22" s="1"/>
  <c r="F2108" i="22"/>
  <c r="G2108" i="22" s="1"/>
  <c r="F2107" i="22"/>
  <c r="G2107" i="22" s="1"/>
  <c r="F2106" i="22"/>
  <c r="G2106" i="22" s="1"/>
  <c r="F2105" i="22"/>
  <c r="G2105" i="22" s="1"/>
  <c r="F2104" i="22"/>
  <c r="G2104" i="22" s="1"/>
  <c r="F2103" i="22"/>
  <c r="G2103" i="22" s="1"/>
  <c r="F2102" i="22"/>
  <c r="G2102" i="22" s="1"/>
  <c r="F2101" i="22"/>
  <c r="G2101" i="22" s="1"/>
  <c r="F2100" i="22"/>
  <c r="G2100" i="22" s="1"/>
  <c r="F2099" i="22"/>
  <c r="G2099" i="22" s="1"/>
  <c r="F2098" i="22"/>
  <c r="G2098" i="22" s="1"/>
  <c r="F2097" i="22"/>
  <c r="G2097" i="22" s="1"/>
  <c r="F2096" i="22"/>
  <c r="G2096" i="22" s="1"/>
  <c r="F2095" i="22"/>
  <c r="G2095" i="22" s="1"/>
  <c r="F2094" i="22"/>
  <c r="G2094" i="22" s="1"/>
  <c r="F2093" i="22"/>
  <c r="G2093" i="22" s="1"/>
  <c r="F2092" i="22"/>
  <c r="G2092" i="22" s="1"/>
  <c r="F2090" i="22"/>
  <c r="G2090" i="22" s="1"/>
  <c r="F2089" i="22"/>
  <c r="G2089" i="22" s="1"/>
  <c r="F2088" i="22"/>
  <c r="G2088" i="22" s="1"/>
  <c r="F2087" i="22"/>
  <c r="G2087" i="22" s="1"/>
  <c r="F2086" i="22"/>
  <c r="G2086" i="22" s="1"/>
  <c r="F2085" i="22"/>
  <c r="G2085" i="22" s="1"/>
  <c r="F2084" i="22"/>
  <c r="G2084" i="22" s="1"/>
  <c r="F2083" i="22"/>
  <c r="G2083" i="22" s="1"/>
  <c r="F2082" i="22"/>
  <c r="G2082" i="22" s="1"/>
  <c r="F2081" i="22"/>
  <c r="G2081" i="22" s="1"/>
  <c r="F2080" i="22"/>
  <c r="G2080" i="22" s="1"/>
  <c r="F2079" i="22"/>
  <c r="G2079" i="22" s="1"/>
  <c r="F2066" i="22"/>
  <c r="G2066" i="22" s="1"/>
  <c r="F2065" i="22"/>
  <c r="G2065" i="22" s="1"/>
  <c r="F2064" i="22"/>
  <c r="G2064" i="22" s="1"/>
  <c r="F2063" i="22"/>
  <c r="G2063" i="22" s="1"/>
  <c r="F2062" i="22"/>
  <c r="G2062" i="22" s="1"/>
  <c r="F2061" i="22"/>
  <c r="G2061" i="22" s="1"/>
  <c r="F2060" i="22"/>
  <c r="G2060" i="22" s="1"/>
  <c r="F2059" i="22"/>
  <c r="G2059" i="22" s="1"/>
  <c r="F2058" i="22"/>
  <c r="G2058" i="22" s="1"/>
  <c r="F2057" i="22"/>
  <c r="G2057" i="22" s="1"/>
  <c r="F2056" i="22"/>
  <c r="G2056" i="22" s="1"/>
  <c r="F2055" i="22"/>
  <c r="G2055" i="22" s="1"/>
  <c r="F2054" i="22"/>
  <c r="G2054" i="22" s="1"/>
  <c r="F2053" i="22"/>
  <c r="G2053" i="22" s="1"/>
  <c r="F2052" i="22"/>
  <c r="G2052" i="22" s="1"/>
  <c r="F2051" i="22"/>
  <c r="G2051" i="22" s="1"/>
  <c r="F2050" i="22"/>
  <c r="G2050" i="22" s="1"/>
  <c r="F2049" i="22"/>
  <c r="G2049" i="22" s="1"/>
  <c r="F2048" i="22"/>
  <c r="G2048" i="22" s="1"/>
  <c r="F2047" i="22"/>
  <c r="G2047" i="22" s="1"/>
  <c r="F2046" i="22"/>
  <c r="G2046" i="22" s="1"/>
  <c r="F2045" i="22"/>
  <c r="G2045" i="22" s="1"/>
  <c r="F2044" i="22"/>
  <c r="G2044" i="22" s="1"/>
  <c r="F2043" i="22"/>
  <c r="G2043" i="22" s="1"/>
  <c r="F2040" i="22"/>
  <c r="G2040" i="22" s="1"/>
  <c r="F2039" i="22"/>
  <c r="G2039" i="22" s="1"/>
  <c r="F2038" i="22"/>
  <c r="G2038" i="22" s="1"/>
  <c r="F2037" i="22"/>
  <c r="G2037" i="22" s="1"/>
  <c r="F2036" i="22"/>
  <c r="G2036" i="22" s="1"/>
  <c r="F2035" i="22"/>
  <c r="G2035" i="22" s="1"/>
  <c r="F2034" i="22"/>
  <c r="G2034" i="22" s="1"/>
  <c r="F2032" i="22"/>
  <c r="G2032" i="22" s="1"/>
  <c r="F2031" i="22"/>
  <c r="G2031" i="22" s="1"/>
  <c r="F2030" i="22"/>
  <c r="G2030" i="22" s="1"/>
  <c r="F2029" i="22"/>
  <c r="G2029" i="22" s="1"/>
  <c r="F2028" i="22"/>
  <c r="G2028" i="22" s="1"/>
  <c r="F2027" i="22"/>
  <c r="G2027" i="22" s="1"/>
  <c r="F2026" i="22"/>
  <c r="G2026" i="22" s="1"/>
  <c r="F2024" i="22"/>
  <c r="G2024" i="22" s="1"/>
  <c r="F2023" i="22"/>
  <c r="G2023" i="22" s="1"/>
  <c r="F2022" i="22"/>
  <c r="G2022" i="22" s="1"/>
  <c r="F2021" i="22"/>
  <c r="G2021" i="22" s="1"/>
  <c r="F2020" i="22"/>
  <c r="G2020" i="22" s="1"/>
  <c r="F2019" i="22"/>
  <c r="G2019" i="22" s="1"/>
  <c r="F2018" i="22"/>
  <c r="G2018" i="22" s="1"/>
  <c r="F2016" i="22"/>
  <c r="G2016" i="22" s="1"/>
  <c r="F2015" i="22"/>
  <c r="G2015" i="22" s="1"/>
  <c r="F2014" i="22"/>
  <c r="G2014" i="22" s="1"/>
  <c r="F2013" i="22"/>
  <c r="G2013" i="22" s="1"/>
  <c r="F2012" i="22"/>
  <c r="G2012" i="22" s="1"/>
  <c r="F2011" i="22"/>
  <c r="G2011" i="22" s="1"/>
  <c r="F2010" i="22"/>
  <c r="G2010" i="22" s="1"/>
  <c r="F2008" i="22"/>
  <c r="G2008" i="22" s="1"/>
  <c r="F2007" i="22"/>
  <c r="G2007" i="22" s="1"/>
  <c r="F2006" i="22"/>
  <c r="G2006" i="22" s="1"/>
  <c r="F2005" i="22"/>
  <c r="G2005" i="22" s="1"/>
  <c r="F2004" i="22"/>
  <c r="G2004" i="22" s="1"/>
  <c r="F2003" i="22"/>
  <c r="G2003" i="22" s="1"/>
  <c r="F2002" i="22"/>
  <c r="G2002" i="22" s="1"/>
  <c r="F1998" i="22"/>
  <c r="G1998" i="22" s="1"/>
  <c r="F1997" i="22"/>
  <c r="G1997" i="22" s="1"/>
  <c r="F1996" i="22"/>
  <c r="G1996" i="22" s="1"/>
  <c r="F1995" i="22"/>
  <c r="G1995" i="22" s="1"/>
  <c r="F1994" i="22"/>
  <c r="G1994" i="22" s="1"/>
  <c r="F1993" i="22"/>
  <c r="G1993" i="22" s="1"/>
  <c r="F1992" i="22"/>
  <c r="G1992" i="22" s="1"/>
  <c r="F1990" i="22"/>
  <c r="G1990" i="22" s="1"/>
  <c r="F1989" i="22"/>
  <c r="G1989" i="22" s="1"/>
  <c r="F1988" i="22"/>
  <c r="G1988" i="22" s="1"/>
  <c r="F1987" i="22"/>
  <c r="G1987" i="22" s="1"/>
  <c r="F1986" i="22"/>
  <c r="G1986" i="22" s="1"/>
  <c r="F1985" i="22"/>
  <c r="G1985" i="22" s="1"/>
  <c r="F1984" i="22"/>
  <c r="G1984" i="22" s="1"/>
  <c r="F1983" i="22"/>
  <c r="G1983" i="22" s="1"/>
  <c r="F1982" i="22"/>
  <c r="G1982" i="22" s="1"/>
  <c r="F1981" i="22"/>
  <c r="G1981" i="22" s="1"/>
  <c r="F1980" i="22"/>
  <c r="G1980" i="22" s="1"/>
  <c r="F1979" i="22"/>
  <c r="G1979" i="22" s="1"/>
  <c r="F1977" i="22"/>
  <c r="G1977" i="22" s="1"/>
  <c r="F1976" i="22"/>
  <c r="G1976" i="22" s="1"/>
  <c r="E1950" i="22"/>
  <c r="F1942" i="22"/>
  <c r="G1942" i="22" s="1"/>
  <c r="F1941" i="22"/>
  <c r="G1941" i="22" s="1"/>
  <c r="F1940" i="22"/>
  <c r="G1940" i="22" s="1"/>
  <c r="F1939" i="22"/>
  <c r="G1939" i="22" s="1"/>
  <c r="F1938" i="22"/>
  <c r="G1938" i="22" s="1"/>
  <c r="F1937" i="22"/>
  <c r="G1937" i="22" s="1"/>
  <c r="F1936" i="22"/>
  <c r="G1936" i="22" s="1"/>
  <c r="F1933" i="22"/>
  <c r="G1933" i="22" s="1"/>
  <c r="F1932" i="22"/>
  <c r="G1932" i="22" s="1"/>
  <c r="F1931" i="22"/>
  <c r="G1931" i="22" s="1"/>
  <c r="F1930" i="22"/>
  <c r="G1930" i="22" s="1"/>
  <c r="F1929" i="22"/>
  <c r="G1929" i="22" s="1"/>
  <c r="F1928" i="22"/>
  <c r="G1928" i="22" s="1"/>
  <c r="F1927" i="22"/>
  <c r="G1927" i="22" s="1"/>
  <c r="F1926" i="22"/>
  <c r="G1926" i="22" s="1"/>
  <c r="F1925" i="22"/>
  <c r="G1925" i="22" s="1"/>
  <c r="F1924" i="22"/>
  <c r="G1924" i="22" s="1"/>
  <c r="F1923" i="22"/>
  <c r="G1923" i="22" s="1"/>
  <c r="F1921" i="22"/>
  <c r="G1921" i="22" s="1"/>
  <c r="F1920" i="22"/>
  <c r="G1920" i="22" s="1"/>
  <c r="F1919" i="22"/>
  <c r="G1919" i="22" s="1"/>
  <c r="F1918" i="22"/>
  <c r="G1918" i="22" s="1"/>
  <c r="F1917" i="22"/>
  <c r="G1917" i="22" s="1"/>
  <c r="F1916" i="22"/>
  <c r="G1916" i="22" s="1"/>
  <c r="F1915" i="22"/>
  <c r="G1915" i="22" s="1"/>
  <c r="F1914" i="22"/>
  <c r="G1914" i="22" s="1"/>
  <c r="F1913" i="22"/>
  <c r="G1913" i="22" s="1"/>
  <c r="F1912" i="22"/>
  <c r="G1912" i="22" s="1"/>
  <c r="F1911" i="22"/>
  <c r="G1911" i="22" s="1"/>
  <c r="F1910" i="22"/>
  <c r="G1910" i="22" s="1"/>
  <c r="F1908" i="22"/>
  <c r="G1908" i="22" s="1"/>
  <c r="F1907" i="22"/>
  <c r="G1907" i="22" s="1"/>
  <c r="F1906" i="22"/>
  <c r="G1906" i="22" s="1"/>
  <c r="F1905" i="22"/>
  <c r="G1905" i="22" s="1"/>
  <c r="F1904" i="22"/>
  <c r="G1904" i="22" s="1"/>
  <c r="F1903" i="22"/>
  <c r="G1903" i="22" s="1"/>
  <c r="F1902" i="22"/>
  <c r="G1902" i="22" s="1"/>
  <c r="F1901" i="22"/>
  <c r="G1901" i="22" s="1"/>
  <c r="F1900" i="22"/>
  <c r="G1900" i="22" s="1"/>
  <c r="F1899" i="22"/>
  <c r="G1899" i="22" s="1"/>
  <c r="F1898" i="22"/>
  <c r="G1898" i="22" s="1"/>
  <c r="F1897" i="22"/>
  <c r="G1897" i="22" s="1"/>
  <c r="F1895" i="22"/>
  <c r="G1895" i="22" s="1"/>
  <c r="F1894" i="22"/>
  <c r="G1894" i="22" s="1"/>
  <c r="F1893" i="22"/>
  <c r="G1893" i="22" s="1"/>
  <c r="F1892" i="22"/>
  <c r="G1892" i="22" s="1"/>
  <c r="F1891" i="22"/>
  <c r="G1891" i="22" s="1"/>
  <c r="F1890" i="22"/>
  <c r="G1890" i="22" s="1"/>
  <c r="F1889" i="22"/>
  <c r="G1889" i="22" s="1"/>
  <c r="F1888" i="22"/>
  <c r="G1888" i="22" s="1"/>
  <c r="F1887" i="22"/>
  <c r="G1887" i="22" s="1"/>
  <c r="F1886" i="22"/>
  <c r="G1886" i="22" s="1"/>
  <c r="F1885" i="22"/>
  <c r="G1885" i="22" s="1"/>
  <c r="F1884" i="22"/>
  <c r="G1884" i="22" s="1"/>
  <c r="F1881" i="22"/>
  <c r="G1881" i="22" s="1"/>
  <c r="F1880" i="22"/>
  <c r="G1880" i="22" s="1"/>
  <c r="F1879" i="22"/>
  <c r="G1879" i="22" s="1"/>
  <c r="F1878" i="22"/>
  <c r="G1878" i="22" s="1"/>
  <c r="F1877" i="22"/>
  <c r="G1877" i="22" s="1"/>
  <c r="F1876" i="22"/>
  <c r="G1876" i="22" s="1"/>
  <c r="F1875" i="22"/>
  <c r="G1875" i="22" s="1"/>
  <c r="F1874" i="22"/>
  <c r="G1874" i="22" s="1"/>
  <c r="F1873" i="22"/>
  <c r="G1873" i="22" s="1"/>
  <c r="F1872" i="22"/>
  <c r="G1872" i="22" s="1"/>
  <c r="F1871" i="22"/>
  <c r="G1871" i="22" s="1"/>
  <c r="F1870" i="22"/>
  <c r="G1870" i="22" s="1"/>
  <c r="F1868" i="22"/>
  <c r="G1868" i="22" s="1"/>
  <c r="F1867" i="22"/>
  <c r="G1867" i="22" s="1"/>
  <c r="F1866" i="22"/>
  <c r="G1866" i="22" s="1"/>
  <c r="F1865" i="22"/>
  <c r="G1865" i="22" s="1"/>
  <c r="F1864" i="22"/>
  <c r="G1864" i="22" s="1"/>
  <c r="F1863" i="22"/>
  <c r="G1863" i="22" s="1"/>
  <c r="F1862" i="22"/>
  <c r="G1862" i="22" s="1"/>
  <c r="F1861" i="22"/>
  <c r="G1861" i="22" s="1"/>
  <c r="F1860" i="22"/>
  <c r="G1860" i="22" s="1"/>
  <c r="F1859" i="22"/>
  <c r="G1859" i="22" s="1"/>
  <c r="F1858" i="22"/>
  <c r="G1858" i="22" s="1"/>
  <c r="F1857" i="22"/>
  <c r="G1857" i="22" s="1"/>
  <c r="F1854" i="22"/>
  <c r="G1854" i="22" s="1"/>
  <c r="F1853" i="22"/>
  <c r="G1853" i="22" s="1"/>
  <c r="F1852" i="22"/>
  <c r="G1852" i="22" s="1"/>
  <c r="F1851" i="22"/>
  <c r="G1851" i="22" s="1"/>
  <c r="F1850" i="22"/>
  <c r="G1850" i="22" s="1"/>
  <c r="F1849" i="22"/>
  <c r="G1849" i="22" s="1"/>
  <c r="F1848" i="22"/>
  <c r="G1848" i="22" s="1"/>
  <c r="F1847" i="22"/>
  <c r="G1847" i="22" s="1"/>
  <c r="F1846" i="22"/>
  <c r="G1846" i="22" s="1"/>
  <c r="F1845" i="22"/>
  <c r="G1845" i="22" s="1"/>
  <c r="F1844" i="22"/>
  <c r="G1844" i="22" s="1"/>
  <c r="F1843" i="22"/>
  <c r="G1843" i="22" s="1"/>
  <c r="F1842" i="22"/>
  <c r="G1842" i="22" s="1"/>
  <c r="F1841" i="22"/>
  <c r="G1841" i="22" s="1"/>
  <c r="F1840" i="22"/>
  <c r="G1840" i="22" s="1"/>
  <c r="F1839" i="22"/>
  <c r="G1839" i="22" s="1"/>
  <c r="F1838" i="22"/>
  <c r="G1838" i="22" s="1"/>
  <c r="F1837" i="22"/>
  <c r="G1837" i="22" s="1"/>
  <c r="F1836" i="22"/>
  <c r="G1836" i="22" s="1"/>
  <c r="F1835" i="22"/>
  <c r="G1835" i="22" s="1"/>
  <c r="F1834" i="22"/>
  <c r="G1834" i="22" s="1"/>
  <c r="F1833" i="22"/>
  <c r="G1833" i="22" s="1"/>
  <c r="F1832" i="22"/>
  <c r="G1832" i="22" s="1"/>
  <c r="F1831" i="22"/>
  <c r="G1831" i="22" s="1"/>
  <c r="F1830" i="22"/>
  <c r="G1830" i="22" s="1"/>
  <c r="F1829" i="22"/>
  <c r="G1829" i="22" s="1"/>
  <c r="F1828" i="22"/>
  <c r="G1828" i="22" s="1"/>
  <c r="F1827" i="22"/>
  <c r="G1827" i="22" s="1"/>
  <c r="F1826" i="22"/>
  <c r="G1826" i="22" s="1"/>
  <c r="F1825" i="22"/>
  <c r="G1825" i="22" s="1"/>
  <c r="F1824" i="22"/>
  <c r="G1824" i="22" s="1"/>
  <c r="F1823" i="22"/>
  <c r="G1823" i="22" s="1"/>
  <c r="F1822" i="22"/>
  <c r="G1822" i="22" s="1"/>
  <c r="F1821" i="22"/>
  <c r="G1821" i="22" s="1"/>
  <c r="F1820" i="22"/>
  <c r="G1820" i="22" s="1"/>
  <c r="F1819" i="22"/>
  <c r="G1819" i="22" s="1"/>
  <c r="F1818" i="22"/>
  <c r="G1818" i="22" s="1"/>
  <c r="F1817" i="22"/>
  <c r="G1817" i="22" s="1"/>
  <c r="F1816" i="22"/>
  <c r="G1816" i="22" s="1"/>
  <c r="F1815" i="22"/>
  <c r="G1815" i="22" s="1"/>
  <c r="F1814" i="22"/>
  <c r="G1814" i="22" s="1"/>
  <c r="F1813" i="22"/>
  <c r="G1813" i="22" s="1"/>
  <c r="F1812" i="22"/>
  <c r="G1812" i="22" s="1"/>
  <c r="F1811" i="22"/>
  <c r="G1811" i="22" s="1"/>
  <c r="F1810" i="22"/>
  <c r="G1810" i="22" s="1"/>
  <c r="F1809" i="22"/>
  <c r="G1809" i="22" s="1"/>
  <c r="F1808" i="22"/>
  <c r="G1808" i="22" s="1"/>
  <c r="F1807" i="22"/>
  <c r="G1807" i="22" s="1"/>
  <c r="F1806" i="22"/>
  <c r="G1806" i="22" s="1"/>
  <c r="F1805" i="22"/>
  <c r="G1805" i="22" s="1"/>
  <c r="F1804" i="22"/>
  <c r="G1804" i="22" s="1"/>
  <c r="F1803" i="22"/>
  <c r="G1803" i="22" s="1"/>
  <c r="F1802" i="22"/>
  <c r="G1802" i="22" s="1"/>
  <c r="F1801" i="22"/>
  <c r="G1801" i="22" s="1"/>
  <c r="F1800" i="22"/>
  <c r="G1800" i="22" s="1"/>
  <c r="F1799" i="22"/>
  <c r="G1799" i="22" s="1"/>
  <c r="F1798" i="22"/>
  <c r="G1798" i="22" s="1"/>
  <c r="F1797" i="22"/>
  <c r="G1797" i="22" s="1"/>
  <c r="F1796" i="22"/>
  <c r="G1796" i="22" s="1"/>
  <c r="F1794" i="22"/>
  <c r="G1794" i="22" s="1"/>
  <c r="F1793" i="22"/>
  <c r="G1793" i="22" s="1"/>
  <c r="F1792" i="22"/>
  <c r="G1792" i="22" s="1"/>
  <c r="F1791" i="22"/>
  <c r="G1791" i="22" s="1"/>
  <c r="F1790" i="22"/>
  <c r="G1790" i="22" s="1"/>
  <c r="F1789" i="22"/>
  <c r="G1789" i="22" s="1"/>
  <c r="F1788" i="22"/>
  <c r="G1788" i="22" s="1"/>
  <c r="F1787" i="22"/>
  <c r="G1787" i="22" s="1"/>
  <c r="F1786" i="22"/>
  <c r="G1786" i="22" s="1"/>
  <c r="F1785" i="22"/>
  <c r="G1785" i="22" s="1"/>
  <c r="F1784" i="22"/>
  <c r="G1784" i="22" s="1"/>
  <c r="F1783" i="22"/>
  <c r="G1783" i="22" s="1"/>
  <c r="F1782" i="22"/>
  <c r="G1782" i="22" s="1"/>
  <c r="F1781" i="22"/>
  <c r="G1781" i="22" s="1"/>
  <c r="F1780" i="22"/>
  <c r="G1780" i="22" s="1"/>
  <c r="F1779" i="22"/>
  <c r="G1779" i="22" s="1"/>
  <c r="F1778" i="22"/>
  <c r="G1778" i="22" s="1"/>
  <c r="F1777" i="22"/>
  <c r="G1777" i="22" s="1"/>
  <c r="F1776" i="22"/>
  <c r="G1776" i="22" s="1"/>
  <c r="F1775" i="22"/>
  <c r="G1775" i="22" s="1"/>
  <c r="F1774" i="22"/>
  <c r="G1774" i="22" s="1"/>
  <c r="F1773" i="22"/>
  <c r="G1773" i="22" s="1"/>
  <c r="F1772" i="22"/>
  <c r="G1772" i="22" s="1"/>
  <c r="F1771" i="22"/>
  <c r="G1771" i="22" s="1"/>
  <c r="F1770" i="22"/>
  <c r="G1770" i="22" s="1"/>
  <c r="F1769" i="22"/>
  <c r="G1769" i="22" s="1"/>
  <c r="F1768" i="22"/>
  <c r="G1768" i="22" s="1"/>
  <c r="F1767" i="22"/>
  <c r="G1767" i="22" s="1"/>
  <c r="F1766" i="22"/>
  <c r="G1766" i="22" s="1"/>
  <c r="F1765" i="22"/>
  <c r="G1765" i="22" s="1"/>
  <c r="F1764" i="22"/>
  <c r="G1764" i="22" s="1"/>
  <c r="F1763" i="22"/>
  <c r="G1763" i="22" s="1"/>
  <c r="F1762" i="22"/>
  <c r="G1762" i="22" s="1"/>
  <c r="F1761" i="22"/>
  <c r="G1761" i="22" s="1"/>
  <c r="F1760" i="22"/>
  <c r="G1760" i="22" s="1"/>
  <c r="F1759" i="22"/>
  <c r="G1759" i="22" s="1"/>
  <c r="F1758" i="22"/>
  <c r="G1758" i="22" s="1"/>
  <c r="F1757" i="22"/>
  <c r="G1757" i="22" s="1"/>
  <c r="F1756" i="22"/>
  <c r="G1756" i="22" s="1"/>
  <c r="F1755" i="22"/>
  <c r="G1755" i="22" s="1"/>
  <c r="F1754" i="22"/>
  <c r="G1754" i="22" s="1"/>
  <c r="F1753" i="22"/>
  <c r="G1753" i="22" s="1"/>
  <c r="F1752" i="22"/>
  <c r="G1752" i="22" s="1"/>
  <c r="F1751" i="22"/>
  <c r="G1751" i="22" s="1"/>
  <c r="F1750" i="22"/>
  <c r="G1750" i="22" s="1"/>
  <c r="F1749" i="22"/>
  <c r="G1749" i="22" s="1"/>
  <c r="F1748" i="22"/>
  <c r="G1748" i="22" s="1"/>
  <c r="F1747" i="22"/>
  <c r="G1747" i="22" s="1"/>
  <c r="F1746" i="22"/>
  <c r="G1746" i="22" s="1"/>
  <c r="F1745" i="22"/>
  <c r="G1745" i="22" s="1"/>
  <c r="F1744" i="22"/>
  <c r="G1744" i="22" s="1"/>
  <c r="F1743" i="22"/>
  <c r="G1743" i="22" s="1"/>
  <c r="F1742" i="22"/>
  <c r="G1742" i="22" s="1"/>
  <c r="F1741" i="22"/>
  <c r="G1741" i="22" s="1"/>
  <c r="F1740" i="22"/>
  <c r="G1740" i="22" s="1"/>
  <c r="F1739" i="22"/>
  <c r="G1739" i="22" s="1"/>
  <c r="F1738" i="22"/>
  <c r="G1738" i="22" s="1"/>
  <c r="F1737" i="22"/>
  <c r="G1737" i="22" s="1"/>
  <c r="F1736" i="22"/>
  <c r="G1736" i="22" s="1"/>
  <c r="F1734" i="22"/>
  <c r="G1734" i="22" s="1"/>
  <c r="F1733" i="22"/>
  <c r="G1733" i="22" s="1"/>
  <c r="F1732" i="22"/>
  <c r="G1732" i="22" s="1"/>
  <c r="F1731" i="22"/>
  <c r="G1731" i="22" s="1"/>
  <c r="F1730" i="22"/>
  <c r="G1730" i="22" s="1"/>
  <c r="F1729" i="22"/>
  <c r="G1729" i="22" s="1"/>
  <c r="F1728" i="22"/>
  <c r="G1728" i="22" s="1"/>
  <c r="F1727" i="22"/>
  <c r="G1727" i="22" s="1"/>
  <c r="F1726" i="22"/>
  <c r="G1726" i="22" s="1"/>
  <c r="F1725" i="22"/>
  <c r="G1725" i="22" s="1"/>
  <c r="F1724" i="22"/>
  <c r="G1724" i="22" s="1"/>
  <c r="F1723" i="22"/>
  <c r="G1723" i="22" s="1"/>
  <c r="F1722" i="22"/>
  <c r="G1722" i="22" s="1"/>
  <c r="F1721" i="22"/>
  <c r="G1721" i="22" s="1"/>
  <c r="F1720" i="22"/>
  <c r="G1720" i="22" s="1"/>
  <c r="F1719" i="22"/>
  <c r="G1719" i="22" s="1"/>
  <c r="F1718" i="22"/>
  <c r="G1718" i="22" s="1"/>
  <c r="F1717" i="22"/>
  <c r="G1717" i="22" s="1"/>
  <c r="F1716" i="22"/>
  <c r="G1716" i="22" s="1"/>
  <c r="F1715" i="22"/>
  <c r="G1715" i="22" s="1"/>
  <c r="F1714" i="22"/>
  <c r="G1714" i="22" s="1"/>
  <c r="F1713" i="22"/>
  <c r="G1713" i="22" s="1"/>
  <c r="F1712" i="22"/>
  <c r="G1712" i="22" s="1"/>
  <c r="F1711" i="22"/>
  <c r="G1711" i="22" s="1"/>
  <c r="F1710" i="22"/>
  <c r="G1710" i="22" s="1"/>
  <c r="F1709" i="22"/>
  <c r="G1709" i="22" s="1"/>
  <c r="F1708" i="22"/>
  <c r="G1708" i="22" s="1"/>
  <c r="F1707" i="22"/>
  <c r="G1707" i="22" s="1"/>
  <c r="F1706" i="22"/>
  <c r="G1706" i="22" s="1"/>
  <c r="F1705" i="22"/>
  <c r="G1705" i="22" s="1"/>
  <c r="F1704" i="22"/>
  <c r="G1704" i="22" s="1"/>
  <c r="F1703" i="22"/>
  <c r="G1703" i="22" s="1"/>
  <c r="F1702" i="22"/>
  <c r="G1702" i="22" s="1"/>
  <c r="F1701" i="22"/>
  <c r="G1701" i="22" s="1"/>
  <c r="F1700" i="22"/>
  <c r="G1700" i="22" s="1"/>
  <c r="F1699" i="22"/>
  <c r="G1699" i="22" s="1"/>
  <c r="F1698" i="22"/>
  <c r="G1698" i="22" s="1"/>
  <c r="F1697" i="22"/>
  <c r="G1697" i="22" s="1"/>
  <c r="F1696" i="22"/>
  <c r="G1696" i="22" s="1"/>
  <c r="F1695" i="22"/>
  <c r="G1695" i="22" s="1"/>
  <c r="F1694" i="22"/>
  <c r="G1694" i="22" s="1"/>
  <c r="F1693" i="22"/>
  <c r="G1693" i="22" s="1"/>
  <c r="F1692" i="22"/>
  <c r="G1692" i="22" s="1"/>
  <c r="F1691" i="22"/>
  <c r="G1691" i="22" s="1"/>
  <c r="F1690" i="22"/>
  <c r="G1690" i="22" s="1"/>
  <c r="F1689" i="22"/>
  <c r="G1689" i="22" s="1"/>
  <c r="F1688" i="22"/>
  <c r="G1688" i="22" s="1"/>
  <c r="F1687" i="22"/>
  <c r="G1687" i="22" s="1"/>
  <c r="F1686" i="22"/>
  <c r="G1686" i="22" s="1"/>
  <c r="F1685" i="22"/>
  <c r="G1685" i="22" s="1"/>
  <c r="F1684" i="22"/>
  <c r="G1684" i="22" s="1"/>
  <c r="F1683" i="22"/>
  <c r="G1683" i="22" s="1"/>
  <c r="F1682" i="22"/>
  <c r="G1682" i="22" s="1"/>
  <c r="F1681" i="22"/>
  <c r="G1681" i="22" s="1"/>
  <c r="F1680" i="22"/>
  <c r="G1680" i="22" s="1"/>
  <c r="F1679" i="22"/>
  <c r="G1679" i="22" s="1"/>
  <c r="F1678" i="22"/>
  <c r="G1678" i="22" s="1"/>
  <c r="F1677" i="22"/>
  <c r="G1677" i="22" s="1"/>
  <c r="F1676" i="22"/>
  <c r="G1676" i="22" s="1"/>
  <c r="F1673" i="22"/>
  <c r="G1673" i="22" s="1"/>
  <c r="F1672" i="22"/>
  <c r="G1672" i="22" s="1"/>
  <c r="F1671" i="22"/>
  <c r="G1671" i="22" s="1"/>
  <c r="F1670" i="22"/>
  <c r="G1670" i="22" s="1"/>
  <c r="F1669" i="22"/>
  <c r="G1669" i="22" s="1"/>
  <c r="F1668" i="22"/>
  <c r="G1668" i="22" s="1"/>
  <c r="F1667" i="22"/>
  <c r="G1667" i="22" s="1"/>
  <c r="F1666" i="22"/>
  <c r="G1666" i="22" s="1"/>
  <c r="F1665" i="22"/>
  <c r="G1665" i="22" s="1"/>
  <c r="F1664" i="22"/>
  <c r="G1664" i="22" s="1"/>
  <c r="F1663" i="22"/>
  <c r="G1663" i="22" s="1"/>
  <c r="F1662" i="22"/>
  <c r="G1662" i="22" s="1"/>
  <c r="F1661" i="22"/>
  <c r="G1661" i="22" s="1"/>
  <c r="F1660" i="22"/>
  <c r="G1660" i="22" s="1"/>
  <c r="F1659" i="22"/>
  <c r="G1659" i="22" s="1"/>
  <c r="F1658" i="22"/>
  <c r="G1658" i="22" s="1"/>
  <c r="F1657" i="22"/>
  <c r="G1657" i="22" s="1"/>
  <c r="F1656" i="22"/>
  <c r="G1656" i="22" s="1"/>
  <c r="F1655" i="22"/>
  <c r="G1655" i="22" s="1"/>
  <c r="F1654" i="22"/>
  <c r="G1654" i="22" s="1"/>
  <c r="F1653" i="22"/>
  <c r="G1653" i="22" s="1"/>
  <c r="F1652" i="22"/>
  <c r="G1652" i="22" s="1"/>
  <c r="F1651" i="22"/>
  <c r="G1651" i="22" s="1"/>
  <c r="F1650" i="22"/>
  <c r="G1650" i="22" s="1"/>
  <c r="F1649" i="22"/>
  <c r="G1649" i="22" s="1"/>
  <c r="F1648" i="22"/>
  <c r="G1648" i="22" s="1"/>
  <c r="F1647" i="22"/>
  <c r="G1647" i="22" s="1"/>
  <c r="F1646" i="22"/>
  <c r="G1646" i="22" s="1"/>
  <c r="F1645" i="22"/>
  <c r="G1645" i="22" s="1"/>
  <c r="F1644" i="22"/>
  <c r="G1644" i="22" s="1"/>
  <c r="F1643" i="22"/>
  <c r="G1643" i="22" s="1"/>
  <c r="F1642" i="22"/>
  <c r="G1642" i="22" s="1"/>
  <c r="F1641" i="22"/>
  <c r="G1641" i="22" s="1"/>
  <c r="F1640" i="22"/>
  <c r="G1640" i="22" s="1"/>
  <c r="F1639" i="22"/>
  <c r="G1639" i="22" s="1"/>
  <c r="F1638" i="22"/>
  <c r="G1638" i="22" s="1"/>
  <c r="F1637" i="22"/>
  <c r="G1637" i="22" s="1"/>
  <c r="F1636" i="22"/>
  <c r="G1636" i="22" s="1"/>
  <c r="F1635" i="22"/>
  <c r="G1635" i="22" s="1"/>
  <c r="F1634" i="22"/>
  <c r="G1634" i="22" s="1"/>
  <c r="F1633" i="22"/>
  <c r="G1633" i="22" s="1"/>
  <c r="F1632" i="22"/>
  <c r="G1632" i="22" s="1"/>
  <c r="F1631" i="22"/>
  <c r="G1631" i="22" s="1"/>
  <c r="F1630" i="22"/>
  <c r="G1630" i="22" s="1"/>
  <c r="F1629" i="22"/>
  <c r="G1629" i="22" s="1"/>
  <c r="F1628" i="22"/>
  <c r="G1628" i="22" s="1"/>
  <c r="F1627" i="22"/>
  <c r="G1627" i="22" s="1"/>
  <c r="F1626" i="22"/>
  <c r="G1626" i="22" s="1"/>
  <c r="F1625" i="22"/>
  <c r="G1625" i="22" s="1"/>
  <c r="F1624" i="22"/>
  <c r="G1624" i="22" s="1"/>
  <c r="F1623" i="22"/>
  <c r="G1623" i="22" s="1"/>
  <c r="F1622" i="22"/>
  <c r="G1622" i="22" s="1"/>
  <c r="F1621" i="22"/>
  <c r="G1621" i="22" s="1"/>
  <c r="F1620" i="22"/>
  <c r="G1620" i="22" s="1"/>
  <c r="F1619" i="22"/>
  <c r="G1619" i="22" s="1"/>
  <c r="F1618" i="22"/>
  <c r="G1618" i="22" s="1"/>
  <c r="F1617" i="22"/>
  <c r="G1617" i="22" s="1"/>
  <c r="F1616" i="22"/>
  <c r="G1616" i="22" s="1"/>
  <c r="F1615" i="22"/>
  <c r="G1615" i="22" s="1"/>
  <c r="F1614" i="22"/>
  <c r="G1614" i="22" s="1"/>
  <c r="F1612" i="22"/>
  <c r="G1612" i="22" s="1"/>
  <c r="F1611" i="22"/>
  <c r="G1611" i="22" s="1"/>
  <c r="F1610" i="22"/>
  <c r="G1610" i="22" s="1"/>
  <c r="F1609" i="22"/>
  <c r="G1609" i="22" s="1"/>
  <c r="F1608" i="22"/>
  <c r="G1608" i="22" s="1"/>
  <c r="F1607" i="22"/>
  <c r="G1607" i="22" s="1"/>
  <c r="F1606" i="22"/>
  <c r="G1606" i="22" s="1"/>
  <c r="F1605" i="22"/>
  <c r="G1605" i="22" s="1"/>
  <c r="F1604" i="22"/>
  <c r="G1604" i="22" s="1"/>
  <c r="F1603" i="22"/>
  <c r="G1603" i="22" s="1"/>
  <c r="F1602" i="22"/>
  <c r="G1602" i="22" s="1"/>
  <c r="F1601" i="22"/>
  <c r="G1601" i="22" s="1"/>
  <c r="F1600" i="22"/>
  <c r="G1600" i="22" s="1"/>
  <c r="F1599" i="22"/>
  <c r="G1599" i="22" s="1"/>
  <c r="F1598" i="22"/>
  <c r="G1598" i="22" s="1"/>
  <c r="F1597" i="22"/>
  <c r="G1597" i="22" s="1"/>
  <c r="F1596" i="22"/>
  <c r="G1596" i="22" s="1"/>
  <c r="F1595" i="22"/>
  <c r="G1595" i="22" s="1"/>
  <c r="F1594" i="22"/>
  <c r="G1594" i="22" s="1"/>
  <c r="F1593" i="22"/>
  <c r="G1593" i="22" s="1"/>
  <c r="F1592" i="22"/>
  <c r="G1592" i="22" s="1"/>
  <c r="F1591" i="22"/>
  <c r="G1591" i="22" s="1"/>
  <c r="F1590" i="22"/>
  <c r="G1590" i="22" s="1"/>
  <c r="F1589" i="22"/>
  <c r="G1589" i="22" s="1"/>
  <c r="F1588" i="22"/>
  <c r="G1588" i="22" s="1"/>
  <c r="F1587" i="22"/>
  <c r="G1587" i="22" s="1"/>
  <c r="F1586" i="22"/>
  <c r="G1586" i="22" s="1"/>
  <c r="F1585" i="22"/>
  <c r="G1585" i="22" s="1"/>
  <c r="F1584" i="22"/>
  <c r="G1584" i="22" s="1"/>
  <c r="F1583" i="22"/>
  <c r="G1583" i="22" s="1"/>
  <c r="F1582" i="22"/>
  <c r="G1582" i="22" s="1"/>
  <c r="F1581" i="22"/>
  <c r="G1581" i="22" s="1"/>
  <c r="F1580" i="22"/>
  <c r="G1580" i="22" s="1"/>
  <c r="F1579" i="22"/>
  <c r="G1579" i="22" s="1"/>
  <c r="F1578" i="22"/>
  <c r="G1578" i="22" s="1"/>
  <c r="F1577" i="22"/>
  <c r="G1577" i="22" s="1"/>
  <c r="F1576" i="22"/>
  <c r="G1576" i="22" s="1"/>
  <c r="F1575" i="22"/>
  <c r="G1575" i="22" s="1"/>
  <c r="F1574" i="22"/>
  <c r="G1574" i="22" s="1"/>
  <c r="F1573" i="22"/>
  <c r="G1573" i="22" s="1"/>
  <c r="F1572" i="22"/>
  <c r="G1572" i="22" s="1"/>
  <c r="F1571" i="22"/>
  <c r="G1571" i="22" s="1"/>
  <c r="F1570" i="22"/>
  <c r="G1570" i="22" s="1"/>
  <c r="F1569" i="22"/>
  <c r="G1569" i="22" s="1"/>
  <c r="F1568" i="22"/>
  <c r="G1568" i="22" s="1"/>
  <c r="F1567" i="22"/>
  <c r="G1567" i="22" s="1"/>
  <c r="F1566" i="22"/>
  <c r="G1566" i="22" s="1"/>
  <c r="F1565" i="22"/>
  <c r="G1565" i="22" s="1"/>
  <c r="F1564" i="22"/>
  <c r="G1564" i="22" s="1"/>
  <c r="F1563" i="22"/>
  <c r="G1563" i="22" s="1"/>
  <c r="F1562" i="22"/>
  <c r="G1562" i="22" s="1"/>
  <c r="F1561" i="22"/>
  <c r="G1561" i="22" s="1"/>
  <c r="F1560" i="22"/>
  <c r="G1560" i="22" s="1"/>
  <c r="F1559" i="22"/>
  <c r="G1559" i="22" s="1"/>
  <c r="F1558" i="22"/>
  <c r="G1558" i="22" s="1"/>
  <c r="F1557" i="22"/>
  <c r="G1557" i="22" s="1"/>
  <c r="F1556" i="22"/>
  <c r="G1556" i="22" s="1"/>
  <c r="F1555" i="22"/>
  <c r="G1555" i="22" s="1"/>
  <c r="F1554" i="22"/>
  <c r="G1554" i="22" s="1"/>
  <c r="F1553" i="22"/>
  <c r="G1553" i="22" s="1"/>
  <c r="F1551" i="22"/>
  <c r="G1551" i="22" s="1"/>
  <c r="F1550" i="22"/>
  <c r="G1550" i="22" s="1"/>
  <c r="F1549" i="22"/>
  <c r="G1549" i="22" s="1"/>
  <c r="F1548" i="22"/>
  <c r="G1548" i="22" s="1"/>
  <c r="F1547" i="22"/>
  <c r="G1547" i="22" s="1"/>
  <c r="F1546" i="22"/>
  <c r="G1546" i="22" s="1"/>
  <c r="F1545" i="22"/>
  <c r="G1545" i="22" s="1"/>
  <c r="F1544" i="22"/>
  <c r="G1544" i="22" s="1"/>
  <c r="F1543" i="22"/>
  <c r="G1543" i="22" s="1"/>
  <c r="F1542" i="22"/>
  <c r="G1542" i="22" s="1"/>
  <c r="F1541" i="22"/>
  <c r="G1541" i="22" s="1"/>
  <c r="F1540" i="22"/>
  <c r="G1540" i="22" s="1"/>
  <c r="F1539" i="22"/>
  <c r="G1539" i="22" s="1"/>
  <c r="F1538" i="22"/>
  <c r="G1538" i="22" s="1"/>
  <c r="F1537" i="22"/>
  <c r="G1537" i="22" s="1"/>
  <c r="F1536" i="22"/>
  <c r="G1536" i="22" s="1"/>
  <c r="F1535" i="22"/>
  <c r="G1535" i="22" s="1"/>
  <c r="F1534" i="22"/>
  <c r="G1534" i="22" s="1"/>
  <c r="F1533" i="22"/>
  <c r="G1533" i="22" s="1"/>
  <c r="F1532" i="22"/>
  <c r="G1532" i="22" s="1"/>
  <c r="F1531" i="22"/>
  <c r="G1531" i="22" s="1"/>
  <c r="F1530" i="22"/>
  <c r="G1530" i="22" s="1"/>
  <c r="F1529" i="22"/>
  <c r="G1529" i="22" s="1"/>
  <c r="F1528" i="22"/>
  <c r="G1528" i="22" s="1"/>
  <c r="F1527" i="22"/>
  <c r="G1527" i="22" s="1"/>
  <c r="F1526" i="22"/>
  <c r="G1526" i="22" s="1"/>
  <c r="F1525" i="22"/>
  <c r="G1525" i="22" s="1"/>
  <c r="F1524" i="22"/>
  <c r="G1524" i="22" s="1"/>
  <c r="F1523" i="22"/>
  <c r="G1523" i="22" s="1"/>
  <c r="F1522" i="22"/>
  <c r="G1522" i="22" s="1"/>
  <c r="F1521" i="22"/>
  <c r="G1521" i="22" s="1"/>
  <c r="F1520" i="22"/>
  <c r="G1520" i="22" s="1"/>
  <c r="F1519" i="22"/>
  <c r="G1519" i="22" s="1"/>
  <c r="F1518" i="22"/>
  <c r="G1518" i="22" s="1"/>
  <c r="F1517" i="22"/>
  <c r="G1517" i="22" s="1"/>
  <c r="F1516" i="22"/>
  <c r="G1516" i="22" s="1"/>
  <c r="F1515" i="22"/>
  <c r="G1515" i="22" s="1"/>
  <c r="F1514" i="22"/>
  <c r="G1514" i="22" s="1"/>
  <c r="F1513" i="22"/>
  <c r="G1513" i="22" s="1"/>
  <c r="F1512" i="22"/>
  <c r="G1512" i="22" s="1"/>
  <c r="F1511" i="22"/>
  <c r="G1511" i="22" s="1"/>
  <c r="F1510" i="22"/>
  <c r="G1510" i="22" s="1"/>
  <c r="F1509" i="22"/>
  <c r="G1509" i="22" s="1"/>
  <c r="F1508" i="22"/>
  <c r="G1508" i="22" s="1"/>
  <c r="F1507" i="22"/>
  <c r="G1507" i="22" s="1"/>
  <c r="F1506" i="22"/>
  <c r="G1506" i="22" s="1"/>
  <c r="F1505" i="22"/>
  <c r="G1505" i="22" s="1"/>
  <c r="F1504" i="22"/>
  <c r="G1504" i="22" s="1"/>
  <c r="F1503" i="22"/>
  <c r="G1503" i="22" s="1"/>
  <c r="F1502" i="22"/>
  <c r="G1502" i="22" s="1"/>
  <c r="F1501" i="22"/>
  <c r="G1501" i="22" s="1"/>
  <c r="F1500" i="22"/>
  <c r="G1500" i="22" s="1"/>
  <c r="F1499" i="22"/>
  <c r="G1499" i="22" s="1"/>
  <c r="F1498" i="22"/>
  <c r="G1498" i="22" s="1"/>
  <c r="F1497" i="22"/>
  <c r="G1497" i="22" s="1"/>
  <c r="F1496" i="22"/>
  <c r="G1496" i="22" s="1"/>
  <c r="F1495" i="22"/>
  <c r="G1495" i="22" s="1"/>
  <c r="F1494" i="22"/>
  <c r="G1494" i="22" s="1"/>
  <c r="F1493" i="22"/>
  <c r="G1493" i="22" s="1"/>
  <c r="F1492" i="22"/>
  <c r="G1492" i="22" s="1"/>
  <c r="F1489" i="22"/>
  <c r="G1489" i="22" s="1"/>
  <c r="F1488" i="22"/>
  <c r="G1488" i="22" s="1"/>
  <c r="F1487" i="22"/>
  <c r="G1487" i="22" s="1"/>
  <c r="F1486" i="22"/>
  <c r="G1486" i="22" s="1"/>
  <c r="F1485" i="22"/>
  <c r="G1485" i="22" s="1"/>
  <c r="F1484" i="22"/>
  <c r="G1484" i="22" s="1"/>
  <c r="F1483" i="22"/>
  <c r="G1483" i="22" s="1"/>
  <c r="F1482" i="22"/>
  <c r="G1482" i="22" s="1"/>
  <c r="F1481" i="22"/>
  <c r="G1481" i="22" s="1"/>
  <c r="F1480" i="22"/>
  <c r="G1480" i="22" s="1"/>
  <c r="F1479" i="22"/>
  <c r="G1479" i="22" s="1"/>
  <c r="F1478" i="22"/>
  <c r="G1478" i="22" s="1"/>
  <c r="F1476" i="22"/>
  <c r="G1476" i="22" s="1"/>
  <c r="F1475" i="22"/>
  <c r="G1475" i="22" s="1"/>
  <c r="F1474" i="22"/>
  <c r="G1474" i="22" s="1"/>
  <c r="F1473" i="22"/>
  <c r="G1473" i="22" s="1"/>
  <c r="F1472" i="22"/>
  <c r="G1472" i="22" s="1"/>
  <c r="F1471" i="22"/>
  <c r="G1471" i="22" s="1"/>
  <c r="F1470" i="22"/>
  <c r="G1470" i="22" s="1"/>
  <c r="F1469" i="22"/>
  <c r="G1469" i="22" s="1"/>
  <c r="F1468" i="22"/>
  <c r="G1468" i="22" s="1"/>
  <c r="F1467" i="22"/>
  <c r="G1467" i="22" s="1"/>
  <c r="F1466" i="22"/>
  <c r="G1466" i="22" s="1"/>
  <c r="F1465" i="22"/>
  <c r="G1465" i="22" s="1"/>
  <c r="F1463" i="22"/>
  <c r="G1463" i="22" s="1"/>
  <c r="F1462" i="22"/>
  <c r="G1462" i="22" s="1"/>
  <c r="F1461" i="22"/>
  <c r="G1461" i="22" s="1"/>
  <c r="F1460" i="22"/>
  <c r="G1460" i="22" s="1"/>
  <c r="F1459" i="22"/>
  <c r="G1459" i="22" s="1"/>
  <c r="F1458" i="22"/>
  <c r="G1458" i="22" s="1"/>
  <c r="F1457" i="22"/>
  <c r="G1457" i="22" s="1"/>
  <c r="F1456" i="22"/>
  <c r="G1456" i="22" s="1"/>
  <c r="F1455" i="22"/>
  <c r="G1455" i="22" s="1"/>
  <c r="F1454" i="22"/>
  <c r="G1454" i="22" s="1"/>
  <c r="F1453" i="22"/>
  <c r="G1453" i="22" s="1"/>
  <c r="F1452" i="22"/>
  <c r="G1452" i="22" s="1"/>
  <c r="F1450" i="22"/>
  <c r="G1450" i="22" s="1"/>
  <c r="F1449" i="22"/>
  <c r="G1449" i="22" s="1"/>
  <c r="F1448" i="22"/>
  <c r="G1448" i="22" s="1"/>
  <c r="F1447" i="22"/>
  <c r="G1447" i="22" s="1"/>
  <c r="F1445" i="22"/>
  <c r="G1445" i="22" s="1"/>
  <c r="F1444" i="22"/>
  <c r="G1444" i="22" s="1"/>
  <c r="F1443" i="22"/>
  <c r="G1443" i="22" s="1"/>
  <c r="F1442" i="22"/>
  <c r="G1442" i="22" s="1"/>
  <c r="F1441" i="22"/>
  <c r="G1441" i="22" s="1"/>
  <c r="F1440" i="22"/>
  <c r="G1440" i="22" s="1"/>
  <c r="F1439" i="22"/>
  <c r="G1439" i="22" s="1"/>
  <c r="F1437" i="22"/>
  <c r="G1437" i="22" s="1"/>
  <c r="F1436" i="22"/>
  <c r="G1436" i="22" s="1"/>
  <c r="F1435" i="22"/>
  <c r="G1435" i="22" s="1"/>
  <c r="F1434" i="22"/>
  <c r="G1434" i="22" s="1"/>
  <c r="F1433" i="22"/>
  <c r="G1433" i="22" s="1"/>
  <c r="F1432" i="22"/>
  <c r="G1432" i="22" s="1"/>
  <c r="F1431" i="22"/>
  <c r="G1431" i="22" s="1"/>
  <c r="F1430" i="22"/>
  <c r="G1430" i="22" s="1"/>
  <c r="F1429" i="22"/>
  <c r="G1429" i="22" s="1"/>
  <c r="F1428" i="22"/>
  <c r="G1428" i="22" s="1"/>
  <c r="F1427" i="22"/>
  <c r="G1427" i="22" s="1"/>
  <c r="F1426" i="22"/>
  <c r="G1426" i="22" s="1"/>
  <c r="F1424" i="22"/>
  <c r="G1424" i="22" s="1"/>
  <c r="F1423" i="22"/>
  <c r="G1423" i="22" s="1"/>
  <c r="F1422" i="22"/>
  <c r="G1422" i="22" s="1"/>
  <c r="F1421" i="22"/>
  <c r="G1421" i="22" s="1"/>
  <c r="F1420" i="22"/>
  <c r="G1420" i="22" s="1"/>
  <c r="F1419" i="22"/>
  <c r="G1419" i="22" s="1"/>
  <c r="F1418" i="22"/>
  <c r="G1418" i="22" s="1"/>
  <c r="F1417" i="22"/>
  <c r="G1417" i="22" s="1"/>
  <c r="F1416" i="22"/>
  <c r="G1416" i="22" s="1"/>
  <c r="F1415" i="22"/>
  <c r="G1415" i="22" s="1"/>
  <c r="F1414" i="22"/>
  <c r="G1414" i="22" s="1"/>
  <c r="F1413" i="22"/>
  <c r="G1413" i="22" s="1"/>
  <c r="F1411" i="22"/>
  <c r="G1411" i="22" s="1"/>
  <c r="F1410" i="22"/>
  <c r="G1410" i="22" s="1"/>
  <c r="F1409" i="22"/>
  <c r="G1409" i="22" s="1"/>
  <c r="F1408" i="22"/>
  <c r="G1408" i="22" s="1"/>
  <c r="F1407" i="22"/>
  <c r="G1407" i="22" s="1"/>
  <c r="F1406" i="22"/>
  <c r="G1406" i="22" s="1"/>
  <c r="F1405" i="22"/>
  <c r="G1405" i="22" s="1"/>
  <c r="F1404" i="22"/>
  <c r="G1404" i="22" s="1"/>
  <c r="F1403" i="22"/>
  <c r="G1403" i="22" s="1"/>
  <c r="F1402" i="22"/>
  <c r="G1402" i="22" s="1"/>
  <c r="F1401" i="22"/>
  <c r="G1401" i="22" s="1"/>
  <c r="F1400" i="22"/>
  <c r="G1400" i="22" s="1"/>
  <c r="F1398" i="22"/>
  <c r="G1398" i="22" s="1"/>
  <c r="F1397" i="22"/>
  <c r="G1397" i="22" s="1"/>
  <c r="F1396" i="22"/>
  <c r="G1396" i="22" s="1"/>
  <c r="F1395" i="22"/>
  <c r="G1395" i="22" s="1"/>
  <c r="F1394" i="22"/>
  <c r="G1394" i="22" s="1"/>
  <c r="F1393" i="22"/>
  <c r="G1393" i="22" s="1"/>
  <c r="F1392" i="22"/>
  <c r="G1392" i="22" s="1"/>
  <c r="F1391" i="22"/>
  <c r="G1391" i="22" s="1"/>
  <c r="F1390" i="22"/>
  <c r="G1390" i="22" s="1"/>
  <c r="F1389" i="22"/>
  <c r="G1389" i="22" s="1"/>
  <c r="F1388" i="22"/>
  <c r="G1388" i="22" s="1"/>
  <c r="F1387" i="22"/>
  <c r="G1387" i="22" s="1"/>
  <c r="F1339" i="22"/>
  <c r="G1339" i="22" s="1"/>
  <c r="F1338" i="22"/>
  <c r="G1338" i="22" s="1"/>
  <c r="F1337" i="22"/>
  <c r="G1337" i="22" s="1"/>
  <c r="F1336" i="22"/>
  <c r="G1336" i="22" s="1"/>
  <c r="F1335" i="22"/>
  <c r="G1335" i="22" s="1"/>
  <c r="F1332" i="22"/>
  <c r="G1332" i="22" s="1"/>
  <c r="F1331" i="22"/>
  <c r="G1331" i="22" s="1"/>
  <c r="F1330" i="22"/>
  <c r="G1330" i="22" s="1"/>
  <c r="F1329" i="22"/>
  <c r="G1329" i="22" s="1"/>
  <c r="F1328" i="22"/>
  <c r="G1328" i="22" s="1"/>
  <c r="F1327" i="22"/>
  <c r="G1327" i="22" s="1"/>
  <c r="F1326" i="22"/>
  <c r="G1326" i="22" s="1"/>
  <c r="F1325" i="22"/>
  <c r="G1325" i="22" s="1"/>
  <c r="F1324" i="22"/>
  <c r="G1324" i="22" s="1"/>
  <c r="F1323" i="22"/>
  <c r="G1323" i="22" s="1"/>
  <c r="F1322" i="22"/>
  <c r="G1322" i="22" s="1"/>
  <c r="F1321" i="22"/>
  <c r="G1321" i="22" s="1"/>
  <c r="F1320" i="22"/>
  <c r="G1320" i="22" s="1"/>
  <c r="F1319" i="22"/>
  <c r="G1319" i="22" s="1"/>
  <c r="F1318" i="22"/>
  <c r="G1318" i="22" s="1"/>
  <c r="F1317" i="22"/>
  <c r="G1317" i="22" s="1"/>
  <c r="F1316" i="22"/>
  <c r="G1316" i="22" s="1"/>
  <c r="F1315" i="22"/>
  <c r="G1315" i="22" s="1"/>
  <c r="F1313" i="22"/>
  <c r="G1313" i="22" s="1"/>
  <c r="F1312" i="22"/>
  <c r="G1312" i="22" s="1"/>
  <c r="F1311" i="22"/>
  <c r="G1311" i="22" s="1"/>
  <c r="F1310" i="22"/>
  <c r="G1310" i="22" s="1"/>
  <c r="F1309" i="22"/>
  <c r="G1309" i="22" s="1"/>
  <c r="F1308" i="22"/>
  <c r="G1308" i="22" s="1"/>
  <c r="F1307" i="22"/>
  <c r="G1307" i="22" s="1"/>
  <c r="F1306" i="22"/>
  <c r="G1306" i="22" s="1"/>
  <c r="F1305" i="22"/>
  <c r="G1305" i="22" s="1"/>
  <c r="F1304" i="22"/>
  <c r="G1304" i="22" s="1"/>
  <c r="F1303" i="22"/>
  <c r="G1303" i="22" s="1"/>
  <c r="F1302" i="22"/>
  <c r="G1302" i="22" s="1"/>
  <c r="F1301" i="22"/>
  <c r="G1301" i="22" s="1"/>
  <c r="F1300" i="22"/>
  <c r="G1300" i="22" s="1"/>
  <c r="F1299" i="22"/>
  <c r="G1299" i="22" s="1"/>
  <c r="F1298" i="22"/>
  <c r="G1298" i="22" s="1"/>
  <c r="F1297" i="22"/>
  <c r="G1297" i="22" s="1"/>
  <c r="F1296" i="22"/>
  <c r="G1296" i="22" s="1"/>
  <c r="F1295" i="22"/>
  <c r="G1295" i="22" s="1"/>
  <c r="F1294" i="22"/>
  <c r="G1294" i="22" s="1"/>
  <c r="F1293" i="22"/>
  <c r="G1293" i="22" s="1"/>
  <c r="F1292" i="22"/>
  <c r="G1292" i="22" s="1"/>
  <c r="F1291" i="22"/>
  <c r="G1291" i="22" s="1"/>
  <c r="F1290" i="22"/>
  <c r="G1290" i="22" s="1"/>
  <c r="F1289" i="22"/>
  <c r="G1289" i="22" s="1"/>
  <c r="F1288" i="22"/>
  <c r="G1288" i="22" s="1"/>
  <c r="F1287" i="22"/>
  <c r="G1287" i="22" s="1"/>
  <c r="F1286" i="22"/>
  <c r="G1286" i="22" s="1"/>
  <c r="F1285" i="22"/>
  <c r="G1285" i="22" s="1"/>
  <c r="F1284" i="22"/>
  <c r="G1284" i="22" s="1"/>
  <c r="F1283" i="22"/>
  <c r="G1283" i="22" s="1"/>
  <c r="F1282" i="22"/>
  <c r="G1282" i="22" s="1"/>
  <c r="F1281" i="22"/>
  <c r="G1281" i="22" s="1"/>
  <c r="F1280" i="22"/>
  <c r="G1280" i="22" s="1"/>
  <c r="F1279" i="22"/>
  <c r="G1279" i="22" s="1"/>
  <c r="F1278" i="22"/>
  <c r="G1278" i="22" s="1"/>
  <c r="F1277" i="22"/>
  <c r="G1277" i="22" s="1"/>
  <c r="F1276" i="22"/>
  <c r="G1276" i="22" s="1"/>
  <c r="F1275" i="22"/>
  <c r="G1275" i="22" s="1"/>
  <c r="F1274" i="22"/>
  <c r="G1274" i="22" s="1"/>
  <c r="F1273" i="22"/>
  <c r="G1273" i="22" s="1"/>
  <c r="F1272" i="22"/>
  <c r="G1272" i="22" s="1"/>
  <c r="F1271" i="22"/>
  <c r="G1271" i="22" s="1"/>
  <c r="F1270" i="22"/>
  <c r="G1270" i="22" s="1"/>
  <c r="F1269" i="22"/>
  <c r="G1269" i="22" s="1"/>
  <c r="F1268" i="22"/>
  <c r="G1268" i="22" s="1"/>
  <c r="F1267" i="22"/>
  <c r="G1267" i="22" s="1"/>
  <c r="F1266" i="22"/>
  <c r="G1266" i="22" s="1"/>
  <c r="F1265" i="22"/>
  <c r="G1265" i="22" s="1"/>
  <c r="F1264" i="22"/>
  <c r="G1264" i="22" s="1"/>
  <c r="F1263" i="22"/>
  <c r="G1263" i="22" s="1"/>
  <c r="F1261" i="22"/>
  <c r="G1261" i="22" s="1"/>
  <c r="F1260" i="22"/>
  <c r="G1260" i="22" s="1"/>
  <c r="F1259" i="22"/>
  <c r="G1259" i="22" s="1"/>
  <c r="F1258" i="22"/>
  <c r="G1258" i="22" s="1"/>
  <c r="F1257" i="22"/>
  <c r="G1257" i="22" s="1"/>
  <c r="F1256" i="22"/>
  <c r="G1256" i="22" s="1"/>
  <c r="F1255" i="22"/>
  <c r="G1255" i="22" s="1"/>
  <c r="F1254" i="22"/>
  <c r="G1254" i="22" s="1"/>
  <c r="F1253" i="22"/>
  <c r="G1253" i="22" s="1"/>
  <c r="F1252" i="22"/>
  <c r="G1252" i="22" s="1"/>
  <c r="F1251" i="22"/>
  <c r="G1251" i="22" s="1"/>
  <c r="F1250" i="22"/>
  <c r="G1250" i="22" s="1"/>
  <c r="F1249" i="22"/>
  <c r="G1249" i="22" s="1"/>
  <c r="F1248" i="22"/>
  <c r="G1248" i="22" s="1"/>
  <c r="F1247" i="22"/>
  <c r="G1247" i="22" s="1"/>
  <c r="F1246" i="22"/>
  <c r="G1246" i="22" s="1"/>
  <c r="F1245" i="22"/>
  <c r="G1245" i="22" s="1"/>
  <c r="F1244" i="22"/>
  <c r="G1244" i="22" s="1"/>
  <c r="F1243" i="22"/>
  <c r="G1243" i="22" s="1"/>
  <c r="F1242" i="22"/>
  <c r="G1242" i="22" s="1"/>
  <c r="F1241" i="22"/>
  <c r="G1241" i="22" s="1"/>
  <c r="F1240" i="22"/>
  <c r="G1240" i="22" s="1"/>
  <c r="F1239" i="22"/>
  <c r="G1239" i="22" s="1"/>
  <c r="F1238" i="22"/>
  <c r="G1238" i="22" s="1"/>
  <c r="F1237" i="22"/>
  <c r="G1237" i="22" s="1"/>
  <c r="F1236" i="22"/>
  <c r="G1236" i="22" s="1"/>
  <c r="F1235" i="22"/>
  <c r="G1235" i="22" s="1"/>
  <c r="F1234" i="22"/>
  <c r="G1234" i="22" s="1"/>
  <c r="F1233" i="22"/>
  <c r="G1233" i="22" s="1"/>
  <c r="F1232" i="22"/>
  <c r="G1232" i="22" s="1"/>
  <c r="F1231" i="22"/>
  <c r="G1231" i="22" s="1"/>
  <c r="F1230" i="22"/>
  <c r="G1230" i="22" s="1"/>
  <c r="F1229" i="22"/>
  <c r="G1229" i="22" s="1"/>
  <c r="F1228" i="22"/>
  <c r="G1228" i="22" s="1"/>
  <c r="F1227" i="22"/>
  <c r="G1227" i="22" s="1"/>
  <c r="F1226" i="22"/>
  <c r="G1226" i="22" s="1"/>
  <c r="F1225" i="22"/>
  <c r="G1225" i="22" s="1"/>
  <c r="F1224" i="22"/>
  <c r="G1224" i="22" s="1"/>
  <c r="F1223" i="22"/>
  <c r="G1223" i="22" s="1"/>
  <c r="F1222" i="22"/>
  <c r="G1222" i="22" s="1"/>
  <c r="F1221" i="22"/>
  <c r="G1221" i="22" s="1"/>
  <c r="F1220" i="22"/>
  <c r="G1220" i="22" s="1"/>
  <c r="F1219" i="22"/>
  <c r="G1219" i="22" s="1"/>
  <c r="F1218" i="22"/>
  <c r="G1218" i="22" s="1"/>
  <c r="F1217" i="22"/>
  <c r="G1217" i="22" s="1"/>
  <c r="F1216" i="22"/>
  <c r="G1216" i="22" s="1"/>
  <c r="F1215" i="22"/>
  <c r="G1215" i="22" s="1"/>
  <c r="F1214" i="22"/>
  <c r="G1214" i="22" s="1"/>
  <c r="F1213" i="22"/>
  <c r="G1213" i="22" s="1"/>
  <c r="F1212" i="22"/>
  <c r="G1212" i="22" s="1"/>
  <c r="F1211" i="22"/>
  <c r="G1211" i="22" s="1"/>
  <c r="F1209" i="22"/>
  <c r="G1209" i="22" s="1"/>
  <c r="F1208" i="22"/>
  <c r="G1208" i="22" s="1"/>
  <c r="F1207" i="22"/>
  <c r="G1207" i="22" s="1"/>
  <c r="F1206" i="22"/>
  <c r="G1206" i="22" s="1"/>
  <c r="F1205" i="22"/>
  <c r="G1205" i="22" s="1"/>
  <c r="F1204" i="22"/>
  <c r="G1204" i="22" s="1"/>
  <c r="F1203" i="22"/>
  <c r="G1203" i="22" s="1"/>
  <c r="F1202" i="22"/>
  <c r="G1202" i="22" s="1"/>
  <c r="F1201" i="22"/>
  <c r="G1201" i="22" s="1"/>
  <c r="F1200" i="22"/>
  <c r="G1200" i="22" s="1"/>
  <c r="F1199" i="22"/>
  <c r="G1199" i="22" s="1"/>
  <c r="F1198" i="22"/>
  <c r="G1198" i="22" s="1"/>
  <c r="F1197" i="22"/>
  <c r="G1197" i="22" s="1"/>
  <c r="F1196" i="22"/>
  <c r="G1196" i="22" s="1"/>
  <c r="F1195" i="22"/>
  <c r="G1195" i="22" s="1"/>
  <c r="F1194" i="22"/>
  <c r="G1194" i="22" s="1"/>
  <c r="F1193" i="22"/>
  <c r="G1193" i="22" s="1"/>
  <c r="F1192" i="22"/>
  <c r="G1192" i="22" s="1"/>
  <c r="F1191" i="22"/>
  <c r="G1191" i="22" s="1"/>
  <c r="F1190" i="22"/>
  <c r="G1190" i="22" s="1"/>
  <c r="F1189" i="22"/>
  <c r="G1189" i="22" s="1"/>
  <c r="F1188" i="22"/>
  <c r="G1188" i="22" s="1"/>
  <c r="F1187" i="22"/>
  <c r="G1187" i="22" s="1"/>
  <c r="F1186" i="22"/>
  <c r="G1186" i="22" s="1"/>
  <c r="F1185" i="22"/>
  <c r="G1185" i="22" s="1"/>
  <c r="F1184" i="22"/>
  <c r="G1184" i="22" s="1"/>
  <c r="F982" i="22"/>
  <c r="G982" i="22" s="1"/>
  <c r="F981" i="22"/>
  <c r="G981" i="22" s="1"/>
  <c r="F980" i="22"/>
  <c r="G980" i="22" s="1"/>
  <c r="F979" i="22"/>
  <c r="G979" i="22" s="1"/>
  <c r="F978" i="22"/>
  <c r="G978" i="22" s="1"/>
  <c r="F977" i="22"/>
  <c r="G977" i="22" s="1"/>
  <c r="F976" i="22"/>
  <c r="G976" i="22" s="1"/>
  <c r="F975" i="22"/>
  <c r="G975" i="22" s="1"/>
  <c r="F974" i="22"/>
  <c r="G974" i="22" s="1"/>
  <c r="F973" i="22"/>
  <c r="G973" i="22" s="1"/>
  <c r="F972" i="22"/>
  <c r="G972" i="22" s="1"/>
  <c r="F971" i="22"/>
  <c r="G971" i="22" s="1"/>
  <c r="F970" i="22"/>
  <c r="G970" i="22" s="1"/>
  <c r="F969" i="22"/>
  <c r="G969" i="22" s="1"/>
  <c r="F968" i="22"/>
  <c r="G968" i="22" s="1"/>
  <c r="F967" i="22"/>
  <c r="G967" i="22" s="1"/>
  <c r="F966" i="22"/>
  <c r="G966" i="22" s="1"/>
  <c r="F962" i="22"/>
  <c r="G962" i="22" s="1"/>
  <c r="F961" i="22"/>
  <c r="G961" i="22" s="1"/>
  <c r="F960" i="22"/>
  <c r="G960" i="22" s="1"/>
  <c r="F959" i="22"/>
  <c r="G959" i="22" s="1"/>
  <c r="F958" i="22"/>
  <c r="G958" i="22" s="1"/>
  <c r="F957" i="22"/>
  <c r="G957" i="22" s="1"/>
  <c r="F956" i="22"/>
  <c r="G956" i="22" s="1"/>
  <c r="F955" i="22"/>
  <c r="G955" i="22" s="1"/>
  <c r="F954" i="22"/>
  <c r="G954" i="22" s="1"/>
  <c r="F953" i="22"/>
  <c r="G953" i="22" s="1"/>
  <c r="F952" i="22"/>
  <c r="G952" i="22" s="1"/>
  <c r="F951" i="22"/>
  <c r="G951" i="22" s="1"/>
  <c r="F950" i="22"/>
  <c r="G950" i="22" s="1"/>
  <c r="F949" i="22"/>
  <c r="G949" i="22" s="1"/>
  <c r="F948" i="22"/>
  <c r="G948" i="22" s="1"/>
  <c r="F947" i="22"/>
  <c r="G947" i="22" s="1"/>
  <c r="F946" i="22"/>
  <c r="G946" i="22" s="1"/>
  <c r="F945" i="22"/>
  <c r="G945" i="22" s="1"/>
  <c r="F944" i="22"/>
  <c r="G944" i="22" s="1"/>
  <c r="F943" i="22"/>
  <c r="G943" i="22" s="1"/>
  <c r="F942" i="22"/>
  <c r="G942" i="22" s="1"/>
  <c r="F941" i="22"/>
  <c r="G941" i="22" s="1"/>
  <c r="F940" i="22"/>
  <c r="G940" i="22" s="1"/>
  <c r="F939" i="22"/>
  <c r="G939" i="22" s="1"/>
  <c r="F938" i="22"/>
  <c r="G938" i="22" s="1"/>
  <c r="F937" i="22"/>
  <c r="G937" i="22" s="1"/>
  <c r="F936" i="22"/>
  <c r="G936" i="22" s="1"/>
  <c r="F935" i="22"/>
  <c r="G935" i="22" s="1"/>
  <c r="F934" i="22"/>
  <c r="G934" i="22" s="1"/>
  <c r="F933" i="22"/>
  <c r="G933" i="22" s="1"/>
  <c r="F932" i="22"/>
  <c r="G932" i="22" s="1"/>
  <c r="F931" i="22"/>
  <c r="G931" i="22" s="1"/>
  <c r="F930" i="22"/>
  <c r="G930" i="22" s="1"/>
  <c r="F929" i="22"/>
  <c r="G929" i="22" s="1"/>
  <c r="F928" i="22"/>
  <c r="G928" i="22" s="1"/>
  <c r="F927" i="22"/>
  <c r="G927" i="22" s="1"/>
  <c r="F926" i="22"/>
  <c r="G926" i="22" s="1"/>
  <c r="F925" i="22"/>
  <c r="G925" i="22" s="1"/>
  <c r="F924" i="22"/>
  <c r="G924" i="22" s="1"/>
  <c r="F923" i="22"/>
  <c r="G923" i="22" s="1"/>
  <c r="F922" i="22"/>
  <c r="G922" i="22" s="1"/>
  <c r="F921" i="22"/>
  <c r="G921" i="22" s="1"/>
  <c r="F920" i="22"/>
  <c r="G920" i="22" s="1"/>
  <c r="F918" i="22"/>
  <c r="G918" i="22" s="1"/>
  <c r="F917" i="22"/>
  <c r="G917" i="22" s="1"/>
  <c r="F916" i="22"/>
  <c r="G916" i="22" s="1"/>
  <c r="F915" i="22"/>
  <c r="G915" i="22" s="1"/>
  <c r="F914" i="22"/>
  <c r="G914" i="22" s="1"/>
  <c r="F913" i="22"/>
  <c r="G913" i="22" s="1"/>
  <c r="F912" i="22"/>
  <c r="G912" i="22" s="1"/>
  <c r="F911" i="22"/>
  <c r="G911" i="22" s="1"/>
  <c r="F910" i="22"/>
  <c r="G910" i="22" s="1"/>
  <c r="F909" i="22"/>
  <c r="G909" i="22" s="1"/>
  <c r="F908" i="22"/>
  <c r="G908" i="22" s="1"/>
  <c r="F907" i="22"/>
  <c r="G907" i="22" s="1"/>
  <c r="F906" i="22"/>
  <c r="G906" i="22" s="1"/>
  <c r="F905" i="22"/>
  <c r="G905" i="22" s="1"/>
  <c r="F904" i="22"/>
  <c r="G904" i="22" s="1"/>
  <c r="F903" i="22"/>
  <c r="G903" i="22" s="1"/>
  <c r="F902" i="22"/>
  <c r="G902" i="22" s="1"/>
  <c r="F901" i="22"/>
  <c r="G901" i="22" s="1"/>
  <c r="F900" i="22"/>
  <c r="G900" i="22" s="1"/>
  <c r="F899" i="22"/>
  <c r="G899" i="22" s="1"/>
  <c r="F898" i="22"/>
  <c r="G898" i="22" s="1"/>
  <c r="F897" i="22"/>
  <c r="G897" i="22" s="1"/>
  <c r="F896" i="22"/>
  <c r="G896" i="22" s="1"/>
  <c r="F895" i="22"/>
  <c r="G895" i="22" s="1"/>
  <c r="F894" i="22"/>
  <c r="G894" i="22" s="1"/>
  <c r="F893" i="22"/>
  <c r="G893" i="22" s="1"/>
  <c r="F892" i="22"/>
  <c r="G892" i="22" s="1"/>
  <c r="F891" i="22"/>
  <c r="G891" i="22" s="1"/>
  <c r="F890" i="22"/>
  <c r="G890" i="22" s="1"/>
  <c r="F889" i="22"/>
  <c r="G889" i="22" s="1"/>
  <c r="F888" i="22"/>
  <c r="G888" i="22" s="1"/>
  <c r="F887" i="22"/>
  <c r="G887" i="22" s="1"/>
  <c r="F886" i="22"/>
  <c r="G886" i="22" s="1"/>
  <c r="F885" i="22"/>
  <c r="G885" i="22" s="1"/>
  <c r="F884" i="22"/>
  <c r="G884" i="22" s="1"/>
  <c r="F883" i="22"/>
  <c r="G883" i="22" s="1"/>
  <c r="F882" i="22"/>
  <c r="G882" i="22" s="1"/>
  <c r="F881" i="22"/>
  <c r="G881" i="22" s="1"/>
  <c r="F880" i="22"/>
  <c r="G880" i="22" s="1"/>
  <c r="F879" i="22"/>
  <c r="G879" i="22" s="1"/>
  <c r="F878" i="22"/>
  <c r="G878" i="22" s="1"/>
  <c r="F877" i="22"/>
  <c r="G877" i="22" s="1"/>
  <c r="F876" i="22"/>
  <c r="G876" i="22" s="1"/>
  <c r="F875" i="22"/>
  <c r="G875" i="22" s="1"/>
  <c r="F874" i="22"/>
  <c r="G874" i="22" s="1"/>
  <c r="F873" i="22"/>
  <c r="G873" i="22" s="1"/>
  <c r="F872" i="22"/>
  <c r="G872" i="22" s="1"/>
  <c r="F871" i="22"/>
  <c r="G871" i="22" s="1"/>
  <c r="F870" i="22"/>
  <c r="G870" i="22" s="1"/>
  <c r="F869" i="22"/>
  <c r="G869" i="22" s="1"/>
  <c r="F868" i="22"/>
  <c r="G868" i="22" s="1"/>
  <c r="F867" i="22"/>
  <c r="G867" i="22" s="1"/>
  <c r="F866" i="22"/>
  <c r="G866" i="22" s="1"/>
  <c r="F865" i="22"/>
  <c r="G865" i="22" s="1"/>
  <c r="F864" i="22"/>
  <c r="G864" i="22" s="1"/>
  <c r="F863" i="22"/>
  <c r="G863" i="22" s="1"/>
  <c r="F862" i="22"/>
  <c r="G862" i="22" s="1"/>
  <c r="F861" i="22"/>
  <c r="G861" i="22" s="1"/>
  <c r="F860" i="22"/>
  <c r="G860" i="22" s="1"/>
  <c r="F859" i="22"/>
  <c r="G859" i="22" s="1"/>
  <c r="F858" i="22"/>
  <c r="G858" i="22" s="1"/>
  <c r="F857" i="22"/>
  <c r="G857" i="22" s="1"/>
  <c r="F856" i="22"/>
  <c r="G856" i="22" s="1"/>
  <c r="F855" i="22"/>
  <c r="G855" i="22" s="1"/>
  <c r="F854" i="22"/>
  <c r="G854" i="22" s="1"/>
  <c r="F853" i="22"/>
  <c r="G853" i="22" s="1"/>
  <c r="F852" i="22"/>
  <c r="G852" i="22" s="1"/>
  <c r="F851" i="22"/>
  <c r="G851" i="22" s="1"/>
  <c r="F850" i="22"/>
  <c r="G850" i="22" s="1"/>
  <c r="F849" i="22"/>
  <c r="G849" i="22" s="1"/>
  <c r="F848" i="22"/>
  <c r="G848" i="22" s="1"/>
  <c r="F847" i="22"/>
  <c r="G847" i="22" s="1"/>
  <c r="F846" i="22"/>
  <c r="G846" i="22" s="1"/>
  <c r="F845" i="22"/>
  <c r="G845" i="22" s="1"/>
  <c r="F844" i="22"/>
  <c r="G844" i="22" s="1"/>
  <c r="F842" i="22"/>
  <c r="G842" i="22" s="1"/>
  <c r="F841" i="22"/>
  <c r="G841" i="22" s="1"/>
  <c r="F840" i="22"/>
  <c r="G840" i="22" s="1"/>
  <c r="F837" i="22"/>
  <c r="G837" i="22" s="1"/>
  <c r="F835" i="22"/>
  <c r="G835" i="22" s="1"/>
  <c r="F834" i="22"/>
  <c r="G834" i="22" s="1"/>
  <c r="F833" i="22"/>
  <c r="G833" i="22" s="1"/>
  <c r="F832" i="22"/>
  <c r="G832" i="22" s="1"/>
  <c r="F831" i="22"/>
  <c r="G831" i="22" s="1"/>
  <c r="F829" i="22"/>
  <c r="G829" i="22" s="1"/>
  <c r="F828" i="22"/>
  <c r="G828" i="22" s="1"/>
  <c r="F827" i="22"/>
  <c r="G827" i="22" s="1"/>
  <c r="F826" i="22"/>
  <c r="G826" i="22" s="1"/>
  <c r="F825" i="22"/>
  <c r="G825" i="22" s="1"/>
  <c r="F824" i="22"/>
  <c r="G824" i="22" s="1"/>
  <c r="F823" i="22"/>
  <c r="G823" i="22" s="1"/>
  <c r="F822" i="22"/>
  <c r="G822" i="22" s="1"/>
  <c r="F821" i="22"/>
  <c r="G821" i="22" s="1"/>
  <c r="F820" i="22"/>
  <c r="G820" i="22" s="1"/>
  <c r="F819" i="22"/>
  <c r="G819" i="22" s="1"/>
  <c r="F817" i="22"/>
  <c r="G817" i="22" s="1"/>
  <c r="F816" i="22"/>
  <c r="G816" i="22" s="1"/>
  <c r="F815" i="22"/>
  <c r="G815" i="22" s="1"/>
  <c r="F814" i="22"/>
  <c r="G814" i="22" s="1"/>
  <c r="F813" i="22"/>
  <c r="G813" i="22" s="1"/>
  <c r="F812" i="22"/>
  <c r="G812" i="22" s="1"/>
  <c r="F811" i="22"/>
  <c r="G811" i="22" s="1"/>
  <c r="F810" i="22"/>
  <c r="G810" i="22" s="1"/>
  <c r="F809" i="22"/>
  <c r="G809" i="22" s="1"/>
  <c r="F808" i="22"/>
  <c r="G808" i="22" s="1"/>
  <c r="F807" i="22"/>
  <c r="G807" i="22" s="1"/>
  <c r="F804" i="22"/>
  <c r="G804" i="22" s="1"/>
  <c r="F803" i="22"/>
  <c r="G803" i="22" s="1"/>
  <c r="F802" i="22"/>
  <c r="G802" i="22" s="1"/>
  <c r="F801" i="22"/>
  <c r="G801" i="22" s="1"/>
  <c r="F800" i="22"/>
  <c r="G800" i="22" s="1"/>
  <c r="F799" i="22"/>
  <c r="G799" i="22" s="1"/>
  <c r="F798" i="22"/>
  <c r="G798" i="22" s="1"/>
  <c r="F797" i="22"/>
  <c r="G797" i="22" s="1"/>
  <c r="F796" i="22"/>
  <c r="G796" i="22" s="1"/>
  <c r="F795" i="22"/>
  <c r="G795" i="22" s="1"/>
  <c r="F794" i="22"/>
  <c r="G794" i="22" s="1"/>
  <c r="F793" i="22"/>
  <c r="G793" i="22" s="1"/>
  <c r="F792" i="22"/>
  <c r="G792" i="22" s="1"/>
  <c r="F791" i="22"/>
  <c r="G791" i="22" s="1"/>
  <c r="F790" i="22"/>
  <c r="G790" i="22" s="1"/>
  <c r="F789" i="22"/>
  <c r="G789" i="22" s="1"/>
  <c r="F788" i="22"/>
  <c r="G788" i="22" s="1"/>
  <c r="F787" i="22"/>
  <c r="G787" i="22" s="1"/>
  <c r="F786" i="22"/>
  <c r="G786" i="22" s="1"/>
  <c r="F784" i="22"/>
  <c r="G784" i="22" s="1"/>
  <c r="F783" i="22"/>
  <c r="G783" i="22" s="1"/>
  <c r="F782" i="22"/>
  <c r="G782" i="22" s="1"/>
  <c r="F781" i="22"/>
  <c r="G781" i="22" s="1"/>
  <c r="F780" i="22"/>
  <c r="G780" i="22" s="1"/>
  <c r="F779" i="22"/>
  <c r="G779" i="22" s="1"/>
  <c r="F778" i="22"/>
  <c r="G778" i="22" s="1"/>
  <c r="F777" i="22"/>
  <c r="G777" i="22" s="1"/>
  <c r="F776" i="22"/>
  <c r="G776" i="22" s="1"/>
  <c r="F775" i="22"/>
  <c r="G775" i="22" s="1"/>
  <c r="F774" i="22"/>
  <c r="G774" i="22" s="1"/>
  <c r="F773" i="22"/>
  <c r="G773" i="22" s="1"/>
  <c r="F772" i="22"/>
  <c r="G772" i="22" s="1"/>
  <c r="F771" i="22"/>
  <c r="G771" i="22" s="1"/>
  <c r="F770" i="22"/>
  <c r="G770" i="22" s="1"/>
  <c r="F769" i="22"/>
  <c r="G769" i="22" s="1"/>
  <c r="F768" i="22"/>
  <c r="G768" i="22" s="1"/>
  <c r="F767" i="22"/>
  <c r="G767" i="22" s="1"/>
  <c r="F766" i="22"/>
  <c r="G766" i="22" s="1"/>
  <c r="F765" i="22"/>
  <c r="G765" i="22" s="1"/>
  <c r="F764" i="22"/>
  <c r="G764" i="22" s="1"/>
  <c r="F763" i="22"/>
  <c r="G763" i="22" s="1"/>
  <c r="F762" i="22"/>
  <c r="G762" i="22" s="1"/>
  <c r="F761" i="22"/>
  <c r="G761" i="22" s="1"/>
  <c r="F760" i="22"/>
  <c r="G760" i="22" s="1"/>
  <c r="F759" i="22"/>
  <c r="G759" i="22" s="1"/>
  <c r="F758" i="22"/>
  <c r="G758" i="22" s="1"/>
  <c r="F757" i="22"/>
  <c r="G757" i="22" s="1"/>
  <c r="F756" i="22"/>
  <c r="G756" i="22" s="1"/>
  <c r="F755" i="22"/>
  <c r="G755" i="22" s="1"/>
  <c r="G754" i="22"/>
  <c r="F753" i="22"/>
  <c r="G753" i="22" s="1"/>
  <c r="F752" i="22"/>
  <c r="G752" i="22" s="1"/>
  <c r="F751" i="22"/>
  <c r="G751" i="22" s="1"/>
  <c r="F750" i="22"/>
  <c r="G750" i="22" s="1"/>
  <c r="F749" i="22"/>
  <c r="G749" i="22" s="1"/>
  <c r="F748" i="22"/>
  <c r="G748" i="22" s="1"/>
  <c r="F747" i="22"/>
  <c r="G747" i="22" s="1"/>
  <c r="F746" i="22"/>
  <c r="G746" i="22" s="1"/>
  <c r="F745" i="22"/>
  <c r="G745" i="22" s="1"/>
  <c r="F744" i="22"/>
  <c r="G744" i="22" s="1"/>
  <c r="F743" i="22"/>
  <c r="G743" i="22" s="1"/>
  <c r="G742" i="22"/>
  <c r="F741" i="22"/>
  <c r="G741" i="22" s="1"/>
  <c r="F740" i="22"/>
  <c r="G740" i="22" s="1"/>
  <c r="F739" i="22"/>
  <c r="G739" i="22" s="1"/>
  <c r="F738" i="22"/>
  <c r="G738" i="22" s="1"/>
  <c r="F737" i="22"/>
  <c r="G737" i="22" s="1"/>
  <c r="F736" i="22"/>
  <c r="G736" i="22" s="1"/>
  <c r="F735" i="22"/>
  <c r="G735" i="22" s="1"/>
  <c r="F734" i="22"/>
  <c r="G734" i="22" s="1"/>
  <c r="F733" i="22"/>
  <c r="G733" i="22" s="1"/>
  <c r="F732" i="22"/>
  <c r="G732" i="22" s="1"/>
  <c r="F731" i="22"/>
  <c r="G731" i="22" s="1"/>
  <c r="G730" i="22"/>
  <c r="G729" i="22"/>
  <c r="F728" i="22"/>
  <c r="G728" i="22" s="1"/>
  <c r="F727" i="22"/>
  <c r="G727" i="22" s="1"/>
  <c r="F726" i="22"/>
  <c r="G726" i="22" s="1"/>
  <c r="F725" i="22"/>
  <c r="G725" i="22" s="1"/>
  <c r="F724" i="22"/>
  <c r="G724" i="22" s="1"/>
  <c r="F723" i="22"/>
  <c r="G723" i="22" s="1"/>
  <c r="F722" i="22"/>
  <c r="G722" i="22" s="1"/>
  <c r="F721" i="22"/>
  <c r="G721" i="22" s="1"/>
  <c r="F720" i="22"/>
  <c r="G720" i="22" s="1"/>
  <c r="F719" i="22"/>
  <c r="G719" i="22" s="1"/>
  <c r="F718" i="22"/>
  <c r="G718" i="22" s="1"/>
  <c r="F717" i="22"/>
  <c r="G717" i="22" s="1"/>
  <c r="F716" i="22"/>
  <c r="G716" i="22" s="1"/>
  <c r="F715" i="22"/>
  <c r="G715" i="22" s="1"/>
  <c r="F714" i="22"/>
  <c r="G714" i="22" s="1"/>
  <c r="F713" i="22"/>
  <c r="G713" i="22" s="1"/>
  <c r="F712" i="22"/>
  <c r="G712" i="22" s="1"/>
  <c r="G711" i="22"/>
  <c r="F710" i="22"/>
  <c r="G710" i="22" s="1"/>
  <c r="F709" i="22"/>
  <c r="G709" i="22" s="1"/>
  <c r="F708" i="22"/>
  <c r="G708" i="22" s="1"/>
  <c r="F707" i="22"/>
  <c r="G707" i="22" s="1"/>
  <c r="F706" i="22"/>
  <c r="G706" i="22" s="1"/>
  <c r="F705" i="22"/>
  <c r="G705" i="22" s="1"/>
  <c r="F704" i="22"/>
  <c r="G704" i="22" s="1"/>
  <c r="F703" i="22"/>
  <c r="G703" i="22" s="1"/>
  <c r="F702" i="22"/>
  <c r="G702" i="22" s="1"/>
  <c r="F701" i="22"/>
  <c r="G701" i="22" s="1"/>
  <c r="F700" i="22"/>
  <c r="G700" i="22" s="1"/>
  <c r="F699" i="22"/>
  <c r="G699" i="22" s="1"/>
  <c r="F698" i="22"/>
  <c r="G698" i="22" s="1"/>
  <c r="F697" i="22"/>
  <c r="G697" i="22" s="1"/>
  <c r="F696" i="22"/>
  <c r="G696" i="22" s="1"/>
  <c r="F695" i="22"/>
  <c r="G695" i="22" s="1"/>
  <c r="F694" i="22"/>
  <c r="G694" i="22" s="1"/>
  <c r="F693" i="22"/>
  <c r="G693" i="22" s="1"/>
  <c r="F692" i="22"/>
  <c r="G692" i="22" s="1"/>
  <c r="F691" i="22"/>
  <c r="G691" i="22" s="1"/>
  <c r="F690" i="22"/>
  <c r="G690" i="22" s="1"/>
  <c r="F689" i="22"/>
  <c r="G689" i="22" s="1"/>
  <c r="F688" i="22"/>
  <c r="G688" i="22" s="1"/>
  <c r="F687" i="22"/>
  <c r="G687" i="22" s="1"/>
  <c r="F686" i="22"/>
  <c r="G686" i="22" s="1"/>
  <c r="G685" i="22"/>
  <c r="F684" i="22"/>
  <c r="G684" i="22" s="1"/>
  <c r="F683" i="22"/>
  <c r="G683" i="22" s="1"/>
  <c r="F682" i="22"/>
  <c r="G682" i="22" s="1"/>
  <c r="F681" i="22"/>
  <c r="G681" i="22" s="1"/>
  <c r="F680" i="22"/>
  <c r="G680" i="22" s="1"/>
  <c r="F679" i="22"/>
  <c r="G679" i="22" s="1"/>
  <c r="F678" i="22"/>
  <c r="G678" i="22" s="1"/>
  <c r="F677" i="22"/>
  <c r="G677" i="22" s="1"/>
  <c r="F676" i="22"/>
  <c r="G676" i="22" s="1"/>
  <c r="F675" i="22"/>
  <c r="G675" i="22" s="1"/>
  <c r="G674" i="22"/>
  <c r="F673" i="22"/>
  <c r="G673" i="22" s="1"/>
  <c r="F672" i="22"/>
  <c r="G672" i="22" s="1"/>
  <c r="F671" i="22"/>
  <c r="G671" i="22" s="1"/>
  <c r="F670" i="22"/>
  <c r="G670" i="22" s="1"/>
  <c r="G669" i="22"/>
  <c r="F668" i="22"/>
  <c r="G668" i="22" s="1"/>
  <c r="F667" i="22"/>
  <c r="G667" i="22" s="1"/>
  <c r="F666" i="22"/>
  <c r="G666" i="22" s="1"/>
  <c r="F665" i="22"/>
  <c r="G665" i="22" s="1"/>
  <c r="F664" i="22"/>
  <c r="G664" i="22" s="1"/>
  <c r="G663" i="22"/>
  <c r="F662" i="22"/>
  <c r="G662" i="22" s="1"/>
  <c r="F661" i="22"/>
  <c r="G661" i="22" s="1"/>
  <c r="F660" i="22"/>
  <c r="G660" i="22" s="1"/>
  <c r="F659" i="22"/>
  <c r="G659" i="22" s="1"/>
  <c r="G658" i="22"/>
  <c r="F657" i="22"/>
  <c r="G657" i="22" s="1"/>
  <c r="F656" i="22"/>
  <c r="G656" i="22" s="1"/>
  <c r="F655" i="22"/>
  <c r="G655" i="22" s="1"/>
  <c r="F654" i="22"/>
  <c r="G654" i="22" s="1"/>
  <c r="G653" i="22"/>
  <c r="G652" i="22"/>
  <c r="F651" i="22"/>
  <c r="G651" i="22" s="1"/>
  <c r="F650" i="22"/>
  <c r="G650" i="22" s="1"/>
  <c r="F649" i="22"/>
  <c r="G649" i="22" s="1"/>
  <c r="F648" i="22"/>
  <c r="G648" i="22" s="1"/>
  <c r="F647" i="22"/>
  <c r="G647" i="22" s="1"/>
  <c r="F646" i="22"/>
  <c r="G646" i="22" s="1"/>
  <c r="F645" i="22"/>
  <c r="G645" i="22" s="1"/>
  <c r="F644" i="22"/>
  <c r="G644" i="22" s="1"/>
  <c r="F643" i="22"/>
  <c r="G643" i="22" s="1"/>
  <c r="F642" i="22"/>
  <c r="G642" i="22" s="1"/>
  <c r="G641" i="22"/>
  <c r="F640" i="22"/>
  <c r="G640" i="22" s="1"/>
  <c r="F639" i="22"/>
  <c r="G639" i="22" s="1"/>
  <c r="F638" i="22"/>
  <c r="G638" i="22" s="1"/>
  <c r="F637" i="22"/>
  <c r="G637" i="22" s="1"/>
  <c r="F636" i="22"/>
  <c r="G636" i="22" s="1"/>
  <c r="F635" i="22"/>
  <c r="G635" i="22" s="1"/>
  <c r="F634" i="22"/>
  <c r="G634" i="22" s="1"/>
  <c r="F633" i="22"/>
  <c r="G633" i="22" s="1"/>
  <c r="F632" i="22"/>
  <c r="G632" i="22" s="1"/>
  <c r="F631" i="22"/>
  <c r="G631" i="22" s="1"/>
  <c r="G630" i="22"/>
  <c r="F629" i="22"/>
  <c r="G629" i="22" s="1"/>
  <c r="F628" i="22"/>
  <c r="G628" i="22" s="1"/>
  <c r="F627" i="22"/>
  <c r="G627" i="22" s="1"/>
  <c r="F626" i="22"/>
  <c r="G626" i="22" s="1"/>
  <c r="F625" i="22"/>
  <c r="G625" i="22" s="1"/>
  <c r="F624" i="22"/>
  <c r="G624" i="22" s="1"/>
  <c r="F623" i="22"/>
  <c r="G623" i="22" s="1"/>
  <c r="F622" i="22"/>
  <c r="G622" i="22" s="1"/>
  <c r="F621" i="22"/>
  <c r="G621" i="22" s="1"/>
  <c r="G620" i="22"/>
  <c r="F619" i="22"/>
  <c r="G619" i="22" s="1"/>
  <c r="F618" i="22"/>
  <c r="G618" i="22" s="1"/>
  <c r="F617" i="22"/>
  <c r="G617" i="22" s="1"/>
  <c r="F616" i="22"/>
  <c r="G616" i="22" s="1"/>
  <c r="F615" i="22"/>
  <c r="G615" i="22" s="1"/>
  <c r="F614" i="22"/>
  <c r="G614" i="22" s="1"/>
  <c r="F613" i="22"/>
  <c r="G613" i="22" s="1"/>
  <c r="F612" i="22"/>
  <c r="G612" i="22" s="1"/>
  <c r="F611" i="22"/>
  <c r="G611" i="22" s="1"/>
  <c r="G610" i="22"/>
  <c r="G609" i="22"/>
  <c r="F608" i="22"/>
  <c r="G608" i="22" s="1"/>
  <c r="F607" i="22"/>
  <c r="G607" i="22" s="1"/>
  <c r="F606" i="22"/>
  <c r="G606" i="22" s="1"/>
  <c r="F605" i="22"/>
  <c r="G605" i="22" s="1"/>
  <c r="F604" i="22"/>
  <c r="G604" i="22" s="1"/>
  <c r="F603" i="22"/>
  <c r="G603" i="22" s="1"/>
  <c r="F602" i="22"/>
  <c r="G602" i="22" s="1"/>
  <c r="F601" i="22"/>
  <c r="G601" i="22" s="1"/>
  <c r="F600" i="22"/>
  <c r="G600" i="22" s="1"/>
  <c r="F599" i="22"/>
  <c r="G599" i="22" s="1"/>
  <c r="F598" i="22"/>
  <c r="G598" i="22" s="1"/>
  <c r="F597" i="22"/>
  <c r="G597" i="22" s="1"/>
  <c r="F596" i="22"/>
  <c r="G596" i="22" s="1"/>
  <c r="F595" i="22"/>
  <c r="G595" i="22" s="1"/>
  <c r="F594" i="22"/>
  <c r="G594" i="22" s="1"/>
  <c r="G593" i="22"/>
  <c r="F592" i="22"/>
  <c r="G592" i="22" s="1"/>
  <c r="F591" i="22"/>
  <c r="G591" i="22" s="1"/>
  <c r="F590" i="22"/>
  <c r="G590" i="22" s="1"/>
  <c r="F589" i="22"/>
  <c r="G589" i="22" s="1"/>
  <c r="F588" i="22"/>
  <c r="G588" i="22" s="1"/>
  <c r="F587" i="22"/>
  <c r="G587" i="22" s="1"/>
  <c r="F586" i="22"/>
  <c r="G586" i="22" s="1"/>
  <c r="F585" i="22"/>
  <c r="G585" i="22" s="1"/>
  <c r="F584" i="22"/>
  <c r="G584" i="22" s="1"/>
  <c r="F583" i="22"/>
  <c r="G583" i="22" s="1"/>
  <c r="F582" i="22"/>
  <c r="G582" i="22" s="1"/>
  <c r="F581" i="22"/>
  <c r="G581" i="22" s="1"/>
  <c r="F580" i="22"/>
  <c r="G580" i="22" s="1"/>
  <c r="F579" i="22"/>
  <c r="G579" i="22" s="1"/>
  <c r="F578" i="22"/>
  <c r="G578" i="22" s="1"/>
  <c r="G577" i="22"/>
  <c r="G576" i="22"/>
  <c r="F575" i="22"/>
  <c r="G575" i="22" s="1"/>
  <c r="F574" i="22"/>
  <c r="G574" i="22" s="1"/>
  <c r="F573" i="22"/>
  <c r="G573" i="22" s="1"/>
  <c r="F572" i="22"/>
  <c r="G572" i="22" s="1"/>
  <c r="F571" i="22"/>
  <c r="G571" i="22" s="1"/>
  <c r="F570" i="22"/>
  <c r="G570" i="22" s="1"/>
  <c r="F569" i="22"/>
  <c r="G569" i="22" s="1"/>
  <c r="F568" i="22"/>
  <c r="G568" i="22" s="1"/>
  <c r="F567" i="22"/>
  <c r="G567" i="22" s="1"/>
  <c r="F566" i="22"/>
  <c r="G566" i="22" s="1"/>
  <c r="F565" i="22"/>
  <c r="G565" i="22" s="1"/>
  <c r="F564" i="22"/>
  <c r="G564" i="22" s="1"/>
  <c r="F563" i="22"/>
  <c r="G563" i="22" s="1"/>
  <c r="F562" i="22"/>
  <c r="G562" i="22" s="1"/>
  <c r="F561" i="22"/>
  <c r="G561" i="22" s="1"/>
  <c r="F560" i="22"/>
  <c r="G560" i="22" s="1"/>
  <c r="F559" i="22"/>
  <c r="G559" i="22" s="1"/>
  <c r="F558" i="22"/>
  <c r="G558" i="22" s="1"/>
  <c r="F557" i="22"/>
  <c r="G557" i="22" s="1"/>
  <c r="F556" i="22"/>
  <c r="G556" i="22" s="1"/>
  <c r="F555" i="22"/>
  <c r="G555" i="22" s="1"/>
  <c r="F554" i="22"/>
  <c r="G554" i="22" s="1"/>
  <c r="F553" i="22"/>
  <c r="G553" i="22" s="1"/>
  <c r="F552" i="22"/>
  <c r="G552" i="22" s="1"/>
  <c r="F551" i="22"/>
  <c r="G551" i="22" s="1"/>
  <c r="F550" i="22"/>
  <c r="G550" i="22" s="1"/>
  <c r="F549" i="22"/>
  <c r="G549" i="22" s="1"/>
  <c r="F548" i="22"/>
  <c r="G548" i="22" s="1"/>
  <c r="F547" i="22"/>
  <c r="G547" i="22" s="1"/>
  <c r="F546" i="22"/>
  <c r="G546" i="22" s="1"/>
  <c r="F545" i="22"/>
  <c r="G545" i="22" s="1"/>
  <c r="G544" i="22"/>
  <c r="G543" i="22"/>
  <c r="F542" i="22"/>
  <c r="G542" i="22" s="1"/>
  <c r="F541" i="22"/>
  <c r="G541" i="22" s="1"/>
  <c r="F540" i="22"/>
  <c r="G540" i="22" s="1"/>
  <c r="F539" i="22"/>
  <c r="G539" i="22" s="1"/>
  <c r="F538" i="22"/>
  <c r="G538" i="22" s="1"/>
  <c r="F537" i="22"/>
  <c r="G537" i="22" s="1"/>
  <c r="F536" i="22"/>
  <c r="G536" i="22" s="1"/>
  <c r="F535" i="22"/>
  <c r="G535" i="22" s="1"/>
  <c r="F534" i="22"/>
  <c r="G534" i="22" s="1"/>
  <c r="F533" i="22"/>
  <c r="G533" i="22" s="1"/>
  <c r="F532" i="22"/>
  <c r="G532" i="22" s="1"/>
  <c r="F531" i="22"/>
  <c r="G531" i="22" s="1"/>
  <c r="F530" i="22"/>
  <c r="G530" i="22" s="1"/>
  <c r="F529" i="22"/>
  <c r="G529" i="22" s="1"/>
  <c r="F528" i="22"/>
  <c r="G528" i="22" s="1"/>
  <c r="G527" i="22"/>
  <c r="F526" i="22"/>
  <c r="G526" i="22" s="1"/>
  <c r="F525" i="22"/>
  <c r="G525" i="22" s="1"/>
  <c r="F524" i="22"/>
  <c r="G524" i="22" s="1"/>
  <c r="F523" i="22"/>
  <c r="G523" i="22" s="1"/>
  <c r="F522" i="22"/>
  <c r="G522" i="22" s="1"/>
  <c r="F521" i="22"/>
  <c r="G521" i="22" s="1"/>
  <c r="F520" i="22"/>
  <c r="G520" i="22" s="1"/>
  <c r="F519" i="22"/>
  <c r="G519" i="22" s="1"/>
  <c r="F518" i="22"/>
  <c r="G518" i="22" s="1"/>
  <c r="F517" i="22"/>
  <c r="G517" i="22" s="1"/>
  <c r="F516" i="22"/>
  <c r="G516" i="22" s="1"/>
  <c r="F515" i="22"/>
  <c r="G515" i="22" s="1"/>
  <c r="F514" i="22"/>
  <c r="G514" i="22" s="1"/>
  <c r="F513" i="22"/>
  <c r="G513" i="22" s="1"/>
  <c r="F512" i="22"/>
  <c r="G512" i="22" s="1"/>
  <c r="G511" i="22"/>
  <c r="F510" i="22"/>
  <c r="G510" i="22" s="1"/>
  <c r="F509" i="22"/>
  <c r="G509" i="22" s="1"/>
  <c r="F508" i="22"/>
  <c r="G508" i="22" s="1"/>
  <c r="F507" i="22"/>
  <c r="G507" i="22" s="1"/>
  <c r="F506" i="22"/>
  <c r="G506" i="22" s="1"/>
  <c r="F505" i="22"/>
  <c r="G505" i="22" s="1"/>
  <c r="F504" i="22"/>
  <c r="G504" i="22" s="1"/>
  <c r="F503" i="22"/>
  <c r="G503" i="22" s="1"/>
  <c r="F502" i="22"/>
  <c r="G502" i="22" s="1"/>
  <c r="F501" i="22"/>
  <c r="G501" i="22" s="1"/>
  <c r="F500" i="22"/>
  <c r="G500" i="22" s="1"/>
  <c r="F499" i="22"/>
  <c r="G499" i="22" s="1"/>
  <c r="F498" i="22"/>
  <c r="G498" i="22" s="1"/>
  <c r="F497" i="22"/>
  <c r="G497" i="22" s="1"/>
  <c r="F496" i="22"/>
  <c r="G496" i="22" s="1"/>
  <c r="G495" i="22"/>
  <c r="F494" i="22"/>
  <c r="G494" i="22" s="1"/>
  <c r="F493" i="22"/>
  <c r="G493" i="22" s="1"/>
  <c r="F492" i="22"/>
  <c r="G492" i="22" s="1"/>
  <c r="F491" i="22"/>
  <c r="G491" i="22" s="1"/>
  <c r="F490" i="22"/>
  <c r="G490" i="22" s="1"/>
  <c r="F489" i="22"/>
  <c r="G489" i="22" s="1"/>
  <c r="F488" i="22"/>
  <c r="G488" i="22" s="1"/>
  <c r="F487" i="22"/>
  <c r="G487" i="22" s="1"/>
  <c r="F486" i="22"/>
  <c r="G486" i="22" s="1"/>
  <c r="F485" i="22"/>
  <c r="G485" i="22" s="1"/>
  <c r="F484" i="22"/>
  <c r="G484" i="22" s="1"/>
  <c r="F483" i="22"/>
  <c r="G483" i="22" s="1"/>
  <c r="F482" i="22"/>
  <c r="G482" i="22" s="1"/>
  <c r="F481" i="22"/>
  <c r="G481" i="22" s="1"/>
  <c r="F480" i="22"/>
  <c r="G480" i="22" s="1"/>
  <c r="G479" i="22"/>
  <c r="G478" i="22"/>
  <c r="G477" i="22"/>
  <c r="F476" i="22"/>
  <c r="G476" i="22" s="1"/>
  <c r="F475" i="22"/>
  <c r="G475" i="22" s="1"/>
  <c r="F474" i="22"/>
  <c r="G474" i="22" s="1"/>
  <c r="F473" i="22"/>
  <c r="G473" i="22" s="1"/>
  <c r="F472" i="22"/>
  <c r="G472" i="22" s="1"/>
  <c r="F471" i="22"/>
  <c r="G471" i="22" s="1"/>
  <c r="F470" i="22"/>
  <c r="G470" i="22" s="1"/>
  <c r="F469" i="22"/>
  <c r="G469" i="22" s="1"/>
  <c r="F468" i="22"/>
  <c r="G468" i="22" s="1"/>
  <c r="F467" i="22"/>
  <c r="G467" i="22" s="1"/>
  <c r="F466" i="22"/>
  <c r="G466" i="22" s="1"/>
  <c r="F465" i="22"/>
  <c r="G465" i="22" s="1"/>
  <c r="F464" i="22"/>
  <c r="G464" i="22" s="1"/>
  <c r="F463" i="22"/>
  <c r="G463" i="22" s="1"/>
  <c r="F462" i="22"/>
  <c r="G462" i="22" s="1"/>
  <c r="F461" i="22"/>
  <c r="G461" i="22" s="1"/>
  <c r="F460" i="22"/>
  <c r="G460" i="22" s="1"/>
  <c r="F459" i="22"/>
  <c r="G459" i="22" s="1"/>
  <c r="F458" i="22"/>
  <c r="G458" i="22" s="1"/>
  <c r="F457" i="22"/>
  <c r="G457" i="22" s="1"/>
  <c r="G456" i="22"/>
  <c r="F455" i="22"/>
  <c r="G455" i="22" s="1"/>
  <c r="F454" i="22"/>
  <c r="G454" i="22" s="1"/>
  <c r="F453" i="22"/>
  <c r="G453" i="22" s="1"/>
  <c r="F452" i="22"/>
  <c r="G452" i="22" s="1"/>
  <c r="F451" i="22"/>
  <c r="G451" i="22" s="1"/>
  <c r="F450" i="22"/>
  <c r="G450" i="22" s="1"/>
  <c r="F449" i="22"/>
  <c r="G449" i="22" s="1"/>
  <c r="F448" i="22"/>
  <c r="G448" i="22" s="1"/>
  <c r="F447" i="22"/>
  <c r="G447" i="22" s="1"/>
  <c r="F446" i="22"/>
  <c r="G446" i="22" s="1"/>
  <c r="F445" i="22"/>
  <c r="G445" i="22" s="1"/>
  <c r="F444" i="22"/>
  <c r="G444" i="22" s="1"/>
  <c r="F443" i="22"/>
  <c r="G443" i="22" s="1"/>
  <c r="F442" i="22"/>
  <c r="G442" i="22" s="1"/>
  <c r="F441" i="22"/>
  <c r="G441" i="22" s="1"/>
  <c r="F440" i="22"/>
  <c r="G440" i="22" s="1"/>
  <c r="F439" i="22"/>
  <c r="G439" i="22" s="1"/>
  <c r="F438" i="22"/>
  <c r="G438" i="22" s="1"/>
  <c r="F437" i="22"/>
  <c r="G437" i="22" s="1"/>
  <c r="F436" i="22"/>
  <c r="G436" i="22" s="1"/>
  <c r="G435" i="22"/>
  <c r="F434" i="22"/>
  <c r="G434" i="22" s="1"/>
  <c r="F433" i="22"/>
  <c r="G433" i="22" s="1"/>
  <c r="F432" i="22"/>
  <c r="G432" i="22" s="1"/>
  <c r="F431" i="22"/>
  <c r="G431" i="22" s="1"/>
  <c r="F430" i="22"/>
  <c r="G430" i="22" s="1"/>
  <c r="F429" i="22"/>
  <c r="G429" i="22" s="1"/>
  <c r="F428" i="22"/>
  <c r="G428" i="22" s="1"/>
  <c r="F427" i="22"/>
  <c r="G427" i="22" s="1"/>
  <c r="F426" i="22"/>
  <c r="G426" i="22" s="1"/>
  <c r="F425" i="22"/>
  <c r="G425" i="22" s="1"/>
  <c r="F424" i="22"/>
  <c r="G424" i="22" s="1"/>
  <c r="F423" i="22"/>
  <c r="G423" i="22" s="1"/>
  <c r="F422" i="22"/>
  <c r="G422" i="22" s="1"/>
  <c r="F421" i="22"/>
  <c r="G421" i="22" s="1"/>
  <c r="F420" i="22"/>
  <c r="G420" i="22" s="1"/>
  <c r="F419" i="22"/>
  <c r="G419" i="22" s="1"/>
  <c r="F418" i="22"/>
  <c r="G418" i="22" s="1"/>
  <c r="F417" i="22"/>
  <c r="G417" i="22" s="1"/>
  <c r="F416" i="22"/>
  <c r="G416" i="22" s="1"/>
  <c r="F415" i="22"/>
  <c r="G415" i="22" s="1"/>
  <c r="F414" i="22"/>
  <c r="G414" i="22" s="1"/>
  <c r="G413" i="22"/>
  <c r="F412" i="22"/>
  <c r="G412" i="22" s="1"/>
  <c r="F411" i="22"/>
  <c r="G411" i="22" s="1"/>
  <c r="F410" i="22"/>
  <c r="G410" i="22" s="1"/>
  <c r="F409" i="22"/>
  <c r="G409" i="22" s="1"/>
  <c r="F408" i="22"/>
  <c r="G408" i="22" s="1"/>
  <c r="F407" i="22"/>
  <c r="G407" i="22" s="1"/>
  <c r="F406" i="22"/>
  <c r="G406" i="22" s="1"/>
  <c r="F405" i="22"/>
  <c r="G405" i="22" s="1"/>
  <c r="F404" i="22"/>
  <c r="G404" i="22" s="1"/>
  <c r="F403" i="22"/>
  <c r="G403" i="22" s="1"/>
  <c r="F402" i="22"/>
  <c r="G402" i="22" s="1"/>
  <c r="F401" i="22"/>
  <c r="G401" i="22" s="1"/>
  <c r="F400" i="22"/>
  <c r="G400" i="22" s="1"/>
  <c r="F399" i="22"/>
  <c r="G399" i="22" s="1"/>
  <c r="F398" i="22"/>
  <c r="G398" i="22" s="1"/>
  <c r="F397" i="22"/>
  <c r="G397" i="22" s="1"/>
  <c r="F396" i="22"/>
  <c r="G396" i="22" s="1"/>
  <c r="F395" i="22"/>
  <c r="G395" i="22" s="1"/>
  <c r="F394" i="22"/>
  <c r="G394" i="22" s="1"/>
  <c r="F393" i="22"/>
  <c r="G393" i="22" s="1"/>
  <c r="G392" i="22"/>
  <c r="F391" i="22"/>
  <c r="G391" i="22" s="1"/>
  <c r="F390" i="22"/>
  <c r="G390" i="22" s="1"/>
  <c r="F389" i="22"/>
  <c r="G389" i="22" s="1"/>
  <c r="F388" i="22"/>
  <c r="G388" i="22" s="1"/>
  <c r="F387" i="22"/>
  <c r="G387" i="22" s="1"/>
  <c r="F386" i="22"/>
  <c r="G386" i="22" s="1"/>
  <c r="F385" i="22"/>
  <c r="G385" i="22" s="1"/>
  <c r="F384" i="22"/>
  <c r="G384" i="22" s="1"/>
  <c r="F383" i="22"/>
  <c r="G383" i="22" s="1"/>
  <c r="F382" i="22"/>
  <c r="G382" i="22" s="1"/>
  <c r="F381" i="22"/>
  <c r="G381" i="22" s="1"/>
  <c r="F380" i="22"/>
  <c r="G380" i="22" s="1"/>
  <c r="F379" i="22"/>
  <c r="G379" i="22" s="1"/>
  <c r="F378" i="22"/>
  <c r="G378" i="22" s="1"/>
  <c r="F377" i="22"/>
  <c r="G377" i="22" s="1"/>
  <c r="F376" i="22"/>
  <c r="G376" i="22" s="1"/>
  <c r="F375" i="22"/>
  <c r="G375" i="22" s="1"/>
  <c r="F374" i="22"/>
  <c r="G374" i="22" s="1"/>
  <c r="F373" i="22"/>
  <c r="G373" i="22" s="1"/>
  <c r="F372" i="22"/>
  <c r="G372" i="22" s="1"/>
  <c r="G371" i="22"/>
  <c r="G370" i="22"/>
  <c r="F369" i="22"/>
  <c r="G369" i="22" s="1"/>
  <c r="F368" i="22"/>
  <c r="G368" i="22" s="1"/>
  <c r="F367" i="22"/>
  <c r="G367" i="22" s="1"/>
  <c r="F366" i="22"/>
  <c r="G366" i="22" s="1"/>
  <c r="F365" i="22"/>
  <c r="G365" i="22" s="1"/>
  <c r="F364" i="22"/>
  <c r="G364" i="22" s="1"/>
  <c r="G363" i="22"/>
  <c r="F362" i="22"/>
  <c r="G362" i="22" s="1"/>
  <c r="F361" i="22"/>
  <c r="G361" i="22" s="1"/>
  <c r="F360" i="22"/>
  <c r="G360" i="22" s="1"/>
  <c r="F359" i="22"/>
  <c r="G359" i="22" s="1"/>
  <c r="F358" i="22"/>
  <c r="G358" i="22" s="1"/>
  <c r="F357" i="22"/>
  <c r="G357" i="22" s="1"/>
  <c r="F356" i="22"/>
  <c r="G356" i="22" s="1"/>
  <c r="F355" i="22"/>
  <c r="G355" i="22" s="1"/>
  <c r="G354" i="22"/>
  <c r="F353" i="22"/>
  <c r="G353" i="22" s="1"/>
  <c r="F352" i="22"/>
  <c r="G352" i="22" s="1"/>
  <c r="F351" i="22"/>
  <c r="G351" i="22" s="1"/>
  <c r="F350" i="22"/>
  <c r="G350" i="22" s="1"/>
  <c r="F349" i="22"/>
  <c r="G349" i="22" s="1"/>
  <c r="F348" i="22"/>
  <c r="G348" i="22" s="1"/>
  <c r="F347" i="22"/>
  <c r="G347" i="22" s="1"/>
  <c r="F346" i="22"/>
  <c r="G346" i="22" s="1"/>
  <c r="F345" i="22"/>
  <c r="G345" i="22" s="1"/>
  <c r="G344" i="22"/>
  <c r="F343" i="22"/>
  <c r="G343" i="22" s="1"/>
  <c r="F342" i="22"/>
  <c r="G342" i="22" s="1"/>
  <c r="F341" i="22"/>
  <c r="G341" i="22" s="1"/>
  <c r="F340" i="22"/>
  <c r="G340" i="22" s="1"/>
  <c r="F339" i="22"/>
  <c r="G339" i="22" s="1"/>
  <c r="F338" i="22"/>
  <c r="G338" i="22" s="1"/>
  <c r="F337" i="22"/>
  <c r="G337" i="22" s="1"/>
  <c r="F336" i="22"/>
  <c r="G336" i="22" s="1"/>
  <c r="G335" i="22"/>
  <c r="F334" i="22"/>
  <c r="G334" i="22" s="1"/>
  <c r="F333" i="22"/>
  <c r="G333" i="22" s="1"/>
  <c r="F332" i="22"/>
  <c r="G332" i="22" s="1"/>
  <c r="F331" i="22"/>
  <c r="G331" i="22" s="1"/>
  <c r="F330" i="22"/>
  <c r="G330" i="22" s="1"/>
  <c r="F329" i="22"/>
  <c r="G329" i="22" s="1"/>
  <c r="G328" i="22"/>
  <c r="F327" i="22"/>
  <c r="G327" i="22" s="1"/>
  <c r="F326" i="22"/>
  <c r="G326" i="22" s="1"/>
  <c r="F325" i="22"/>
  <c r="G325" i="22" s="1"/>
  <c r="F324" i="22"/>
  <c r="G324" i="22" s="1"/>
  <c r="F323" i="22"/>
  <c r="G323" i="22" s="1"/>
  <c r="F322" i="22"/>
  <c r="G322" i="22" s="1"/>
  <c r="F321" i="22"/>
  <c r="G321" i="22" s="1"/>
  <c r="F320" i="22"/>
  <c r="G320" i="22" s="1"/>
  <c r="F319" i="22"/>
  <c r="G319" i="22" s="1"/>
  <c r="G318" i="22"/>
  <c r="G317" i="22"/>
  <c r="F316" i="22"/>
  <c r="G316" i="22" s="1"/>
  <c r="F315" i="22"/>
  <c r="G315" i="22" s="1"/>
  <c r="F314" i="22"/>
  <c r="G314" i="22" s="1"/>
  <c r="F313" i="22"/>
  <c r="G313" i="22" s="1"/>
  <c r="G312" i="22"/>
  <c r="F311" i="22"/>
  <c r="G311" i="22" s="1"/>
  <c r="F310" i="22"/>
  <c r="G310" i="22" s="1"/>
  <c r="F309" i="22"/>
  <c r="G309" i="22" s="1"/>
  <c r="F308" i="22"/>
  <c r="G308" i="22" s="1"/>
  <c r="F307" i="22"/>
  <c r="G307" i="22" s="1"/>
  <c r="F306" i="22"/>
  <c r="G306" i="22" s="1"/>
  <c r="F305" i="22"/>
  <c r="G305" i="22" s="1"/>
  <c r="F304" i="22"/>
  <c r="G304" i="22" s="1"/>
  <c r="F303" i="22"/>
  <c r="G303" i="22" s="1"/>
  <c r="G302" i="22"/>
  <c r="F301" i="22"/>
  <c r="G301" i="22" s="1"/>
  <c r="F300" i="22"/>
  <c r="G300" i="22" s="1"/>
  <c r="F299" i="22"/>
  <c r="G299" i="22" s="1"/>
  <c r="F298" i="22"/>
  <c r="G298" i="22" s="1"/>
  <c r="F297" i="22"/>
  <c r="G297" i="22" s="1"/>
  <c r="F296" i="22"/>
  <c r="G296" i="22" s="1"/>
  <c r="F295" i="22"/>
  <c r="G295" i="22" s="1"/>
  <c r="F294" i="22"/>
  <c r="G294" i="22" s="1"/>
  <c r="F293" i="22"/>
  <c r="G293" i="22" s="1"/>
  <c r="G292" i="22"/>
  <c r="G291" i="22"/>
  <c r="F290" i="22"/>
  <c r="G290" i="22" s="1"/>
  <c r="F289" i="22"/>
  <c r="G289" i="22" s="1"/>
  <c r="F288" i="22"/>
  <c r="G288" i="22" s="1"/>
  <c r="F287" i="22"/>
  <c r="G287" i="22" s="1"/>
  <c r="F286" i="22"/>
  <c r="G286" i="22" s="1"/>
  <c r="F285" i="22"/>
  <c r="G285" i="22" s="1"/>
  <c r="F284" i="22"/>
  <c r="G284" i="22" s="1"/>
  <c r="F283" i="22"/>
  <c r="G283" i="22" s="1"/>
  <c r="F282" i="22"/>
  <c r="G282" i="22" s="1"/>
  <c r="F281" i="22"/>
  <c r="G281" i="22" s="1"/>
  <c r="F280" i="22"/>
  <c r="G280" i="22" s="1"/>
  <c r="G279" i="22"/>
  <c r="F278" i="22"/>
  <c r="G278" i="22" s="1"/>
  <c r="F277" i="22"/>
  <c r="G277" i="22" s="1"/>
  <c r="F276" i="22"/>
  <c r="G276" i="22" s="1"/>
  <c r="F275" i="22"/>
  <c r="G275" i="22" s="1"/>
  <c r="F274" i="22"/>
  <c r="G274" i="22" s="1"/>
  <c r="F273" i="22"/>
  <c r="G273" i="22" s="1"/>
  <c r="F272" i="22"/>
  <c r="G272" i="22" s="1"/>
  <c r="F271" i="22"/>
  <c r="G271" i="22" s="1"/>
  <c r="F270" i="22"/>
  <c r="G270" i="22" s="1"/>
  <c r="G269" i="22"/>
  <c r="F268" i="22"/>
  <c r="G268" i="22" s="1"/>
  <c r="F267" i="22"/>
  <c r="G267" i="22" s="1"/>
  <c r="F266" i="22"/>
  <c r="G266" i="22" s="1"/>
  <c r="F265" i="22"/>
  <c r="G265" i="22" s="1"/>
  <c r="F264" i="22"/>
  <c r="G264" i="22" s="1"/>
  <c r="F263" i="22"/>
  <c r="G263" i="22" s="1"/>
  <c r="F262" i="22"/>
  <c r="G262" i="22" s="1"/>
  <c r="F261" i="22"/>
  <c r="G261" i="22" s="1"/>
  <c r="F260" i="22"/>
  <c r="G260" i="22" s="1"/>
  <c r="G259" i="22"/>
  <c r="F257" i="22"/>
  <c r="G257" i="22" s="1"/>
  <c r="F256" i="22"/>
  <c r="G256" i="22" s="1"/>
  <c r="F255" i="22"/>
  <c r="G255" i="22" s="1"/>
  <c r="G254" i="22"/>
  <c r="G253" i="22"/>
  <c r="F252" i="22"/>
  <c r="G252" i="22" s="1"/>
  <c r="F251" i="22"/>
  <c r="G251" i="22" s="1"/>
  <c r="F250" i="22"/>
  <c r="G250" i="22" s="1"/>
  <c r="F249" i="22"/>
  <c r="G249" i="22" s="1"/>
  <c r="F248" i="22"/>
  <c r="G248" i="22" s="1"/>
  <c r="F247" i="22"/>
  <c r="G247" i="22" s="1"/>
  <c r="F246" i="22"/>
  <c r="G246" i="22" s="1"/>
  <c r="F245" i="22"/>
  <c r="G245" i="22" s="1"/>
  <c r="F244" i="22"/>
  <c r="G244" i="22" s="1"/>
  <c r="F243" i="22"/>
  <c r="G243" i="22" s="1"/>
  <c r="F242" i="22"/>
  <c r="G242" i="22" s="1"/>
  <c r="F241" i="22"/>
  <c r="G241" i="22" s="1"/>
  <c r="F240" i="22"/>
  <c r="G240" i="22" s="1"/>
  <c r="F239" i="22"/>
  <c r="G239" i="22" s="1"/>
  <c r="F238" i="22"/>
  <c r="G238" i="22" s="1"/>
  <c r="F237" i="22"/>
  <c r="G237" i="22" s="1"/>
  <c r="F236" i="22"/>
  <c r="G236" i="22" s="1"/>
  <c r="G235" i="22"/>
  <c r="F234" i="22"/>
  <c r="G234" i="22" s="1"/>
  <c r="F233" i="22"/>
  <c r="G233" i="22" s="1"/>
  <c r="F232" i="22"/>
  <c r="G232" i="22" s="1"/>
  <c r="F231" i="22"/>
  <c r="G231" i="22" s="1"/>
  <c r="F230" i="22"/>
  <c r="G230" i="22" s="1"/>
  <c r="F229" i="22"/>
  <c r="G229" i="22" s="1"/>
  <c r="F228" i="22"/>
  <c r="G228" i="22" s="1"/>
  <c r="F227" i="22"/>
  <c r="G227" i="22" s="1"/>
  <c r="F226" i="22"/>
  <c r="G226" i="22" s="1"/>
  <c r="F225" i="22"/>
  <c r="G225" i="22" s="1"/>
  <c r="F224" i="22"/>
  <c r="G224" i="22" s="1"/>
  <c r="F223" i="22"/>
  <c r="G223" i="22" s="1"/>
  <c r="F222" i="22"/>
  <c r="G222" i="22" s="1"/>
  <c r="F221" i="22"/>
  <c r="G221" i="22" s="1"/>
  <c r="F220" i="22"/>
  <c r="G220" i="22" s="1"/>
  <c r="F219" i="22"/>
  <c r="G219" i="22" s="1"/>
  <c r="F218" i="22"/>
  <c r="G218" i="22" s="1"/>
  <c r="F217" i="22"/>
  <c r="G217" i="22" s="1"/>
  <c r="F216" i="22"/>
  <c r="G216" i="22" s="1"/>
  <c r="F215" i="22"/>
  <c r="G215" i="22" s="1"/>
  <c r="F214" i="22"/>
  <c r="G214" i="22" s="1"/>
  <c r="F213" i="22"/>
  <c r="G213" i="22" s="1"/>
  <c r="G212" i="22"/>
  <c r="F211" i="22"/>
  <c r="G211" i="22" s="1"/>
  <c r="F210" i="22"/>
  <c r="G210" i="22" s="1"/>
  <c r="F209" i="22"/>
  <c r="G209" i="22" s="1"/>
  <c r="F208" i="22"/>
  <c r="G208" i="22" s="1"/>
  <c r="F207" i="22"/>
  <c r="G207" i="22" s="1"/>
  <c r="F206" i="22"/>
  <c r="G206" i="22" s="1"/>
  <c r="F205" i="22"/>
  <c r="G205" i="22" s="1"/>
  <c r="F204" i="22"/>
  <c r="G204" i="22" s="1"/>
  <c r="F203" i="22"/>
  <c r="G203" i="22" s="1"/>
  <c r="G202" i="22"/>
  <c r="F201" i="22"/>
  <c r="G201" i="22" s="1"/>
  <c r="F200" i="22"/>
  <c r="G200" i="22" s="1"/>
  <c r="F199" i="22"/>
  <c r="G199" i="22" s="1"/>
  <c r="F198" i="22"/>
  <c r="G198" i="22" s="1"/>
  <c r="F197" i="22"/>
  <c r="G197" i="22" s="1"/>
  <c r="F196" i="22"/>
  <c r="G196" i="22" s="1"/>
  <c r="F195" i="22"/>
  <c r="G195" i="22" s="1"/>
  <c r="F194" i="22"/>
  <c r="G194" i="22" s="1"/>
  <c r="F193" i="22"/>
  <c r="G193" i="22" s="1"/>
  <c r="F192" i="22"/>
  <c r="G192" i="22" s="1"/>
  <c r="F191" i="22"/>
  <c r="G191" i="22" s="1"/>
  <c r="F189" i="22"/>
  <c r="G189" i="22" s="1"/>
  <c r="F188" i="22"/>
  <c r="G188" i="22" s="1"/>
  <c r="F187" i="22"/>
  <c r="G187" i="22" s="1"/>
  <c r="F186" i="22"/>
  <c r="G186" i="22" s="1"/>
  <c r="F185" i="22"/>
  <c r="G185" i="22" s="1"/>
  <c r="F184" i="22"/>
  <c r="G184" i="22" s="1"/>
  <c r="G183" i="22"/>
  <c r="F182" i="22"/>
  <c r="G182" i="22" s="1"/>
  <c r="F181" i="22"/>
  <c r="G181" i="22" s="1"/>
  <c r="F180" i="22"/>
  <c r="G180" i="22" s="1"/>
  <c r="F179" i="22"/>
  <c r="G179" i="22" s="1"/>
  <c r="F178" i="22"/>
  <c r="G178" i="22" s="1"/>
  <c r="F177" i="22"/>
  <c r="G177" i="22" s="1"/>
  <c r="F176" i="22"/>
  <c r="G176" i="22" s="1"/>
  <c r="F175" i="22"/>
  <c r="G175" i="22" s="1"/>
  <c r="F174" i="22"/>
  <c r="G174" i="22" s="1"/>
  <c r="F173" i="22"/>
  <c r="G173" i="22" s="1"/>
  <c r="F172" i="22"/>
  <c r="G172" i="22" s="1"/>
  <c r="F171" i="22"/>
  <c r="G171" i="22" s="1"/>
  <c r="G170" i="22"/>
  <c r="G169" i="22"/>
  <c r="F168" i="22"/>
  <c r="G168" i="22" s="1"/>
  <c r="F167" i="22"/>
  <c r="G167" i="22" s="1"/>
  <c r="F166" i="22"/>
  <c r="G166" i="22" s="1"/>
  <c r="F165" i="22"/>
  <c r="G165" i="22" s="1"/>
  <c r="F164" i="22"/>
  <c r="G164" i="22" s="1"/>
  <c r="F163" i="22"/>
  <c r="G163" i="22" s="1"/>
  <c r="G162" i="22"/>
  <c r="F161" i="22"/>
  <c r="G161" i="22" s="1"/>
  <c r="F160" i="22"/>
  <c r="G160" i="22" s="1"/>
  <c r="F159" i="22"/>
  <c r="G159" i="22" s="1"/>
  <c r="F158" i="22"/>
  <c r="G158" i="22" s="1"/>
  <c r="F157" i="22"/>
  <c r="G157" i="22" s="1"/>
  <c r="F156" i="22"/>
  <c r="G156" i="22" s="1"/>
  <c r="F155" i="22"/>
  <c r="G155" i="22" s="1"/>
  <c r="G154" i="22"/>
  <c r="F153" i="22"/>
  <c r="G153" i="22" s="1"/>
  <c r="F152" i="22"/>
  <c r="G152" i="22" s="1"/>
  <c r="F151" i="22"/>
  <c r="G151" i="22" s="1"/>
  <c r="G150" i="22"/>
  <c r="F149" i="22"/>
  <c r="G149" i="22" s="1"/>
  <c r="F148" i="22"/>
  <c r="G148" i="22" s="1"/>
  <c r="F147" i="22"/>
  <c r="G147" i="22" s="1"/>
  <c r="F146" i="22"/>
  <c r="G146" i="22" s="1"/>
  <c r="F145" i="22"/>
  <c r="G145" i="22" s="1"/>
  <c r="F144" i="22"/>
  <c r="G144" i="22" s="1"/>
  <c r="F143" i="22"/>
  <c r="G143" i="22" s="1"/>
  <c r="F142" i="22"/>
  <c r="G142" i="22" s="1"/>
  <c r="G141" i="22"/>
  <c r="F140" i="22"/>
  <c r="G140" i="22" s="1"/>
  <c r="F139" i="22"/>
  <c r="G139" i="22" s="1"/>
  <c r="F138" i="22"/>
  <c r="G138" i="22" s="1"/>
  <c r="F137" i="22"/>
  <c r="G137" i="22" s="1"/>
  <c r="F136" i="22"/>
  <c r="G136" i="22" s="1"/>
  <c r="F135" i="22"/>
  <c r="G135" i="22" s="1"/>
  <c r="F134" i="22"/>
  <c r="G134" i="22" s="1"/>
  <c r="F133" i="22"/>
  <c r="G133" i="22" s="1"/>
  <c r="G132" i="22"/>
  <c r="F131" i="22"/>
  <c r="G131" i="22" s="1"/>
  <c r="F130" i="22"/>
  <c r="G130" i="22" s="1"/>
  <c r="F129" i="22"/>
  <c r="G129" i="22" s="1"/>
  <c r="F128" i="22"/>
  <c r="G128" i="22" s="1"/>
  <c r="F127" i="22"/>
  <c r="G127" i="22" s="1"/>
  <c r="F126" i="22"/>
  <c r="G126" i="22" s="1"/>
  <c r="F125" i="22"/>
  <c r="G125" i="22" s="1"/>
  <c r="F124" i="22"/>
  <c r="G124" i="22" s="1"/>
  <c r="G123" i="22"/>
  <c r="F122" i="22"/>
  <c r="G122" i="22" s="1"/>
  <c r="F121" i="22"/>
  <c r="G121" i="22" s="1"/>
  <c r="F119" i="22"/>
  <c r="G119" i="22" s="1"/>
  <c r="F118" i="22"/>
  <c r="G118" i="22" s="1"/>
  <c r="F117" i="22"/>
  <c r="G117" i="22" s="1"/>
  <c r="F116" i="22"/>
  <c r="G116" i="22" s="1"/>
  <c r="F115" i="22"/>
  <c r="G115" i="22" s="1"/>
  <c r="G114" i="22"/>
  <c r="G113" i="22"/>
  <c r="F112" i="22"/>
  <c r="G112" i="22" s="1"/>
  <c r="F111" i="22"/>
  <c r="G111" i="22" s="1"/>
  <c r="F110" i="22"/>
  <c r="G110" i="22" s="1"/>
  <c r="F109" i="22"/>
  <c r="G109" i="22" s="1"/>
  <c r="F108" i="22"/>
  <c r="G108" i="22" s="1"/>
  <c r="G107" i="22"/>
  <c r="F106" i="22"/>
  <c r="G106" i="22" s="1"/>
  <c r="F105" i="22"/>
  <c r="G105" i="22" s="1"/>
  <c r="F104" i="22"/>
  <c r="G104" i="22" s="1"/>
  <c r="F103" i="22"/>
  <c r="G103" i="22" s="1"/>
  <c r="F102" i="22"/>
  <c r="G102" i="22" s="1"/>
  <c r="G101" i="22"/>
  <c r="G100" i="22"/>
  <c r="G99" i="22"/>
  <c r="G98" i="22"/>
  <c r="F97" i="22"/>
  <c r="G97" i="22" s="1"/>
  <c r="F96" i="22"/>
  <c r="G96" i="22" s="1"/>
  <c r="F95" i="22"/>
  <c r="G95" i="22" s="1"/>
  <c r="F94" i="22"/>
  <c r="G94" i="22" s="1"/>
  <c r="F93" i="22"/>
  <c r="G93" i="22" s="1"/>
  <c r="F92" i="22"/>
  <c r="G92" i="22" s="1"/>
  <c r="F91" i="22"/>
  <c r="G91" i="22" s="1"/>
  <c r="F90" i="22"/>
  <c r="G90" i="22" s="1"/>
  <c r="G89" i="22"/>
  <c r="F88" i="22"/>
  <c r="G88" i="22" s="1"/>
  <c r="F87" i="22"/>
  <c r="G87" i="22" s="1"/>
  <c r="F86" i="22"/>
  <c r="G86" i="22" s="1"/>
  <c r="F85" i="22"/>
  <c r="G85" i="22" s="1"/>
  <c r="G84" i="22"/>
  <c r="F83" i="22"/>
  <c r="G83" i="22" s="1"/>
  <c r="F82" i="22"/>
  <c r="G82" i="22" s="1"/>
  <c r="F81" i="22"/>
  <c r="G81" i="22" s="1"/>
  <c r="F80" i="22"/>
  <c r="G80" i="22" s="1"/>
  <c r="G79" i="22"/>
  <c r="G78" i="22"/>
  <c r="F77" i="22"/>
  <c r="G77" i="22" s="1"/>
  <c r="F76" i="22"/>
  <c r="G76" i="22" s="1"/>
  <c r="G75" i="22"/>
  <c r="F74" i="22"/>
  <c r="G74" i="22" s="1"/>
  <c r="F73" i="22"/>
  <c r="G73" i="22" s="1"/>
  <c r="F72" i="22"/>
  <c r="G72" i="22" s="1"/>
  <c r="F71" i="22"/>
  <c r="G71" i="22" s="1"/>
  <c r="F70" i="22"/>
  <c r="G70" i="22" s="1"/>
  <c r="F69" i="22"/>
  <c r="G69" i="22" s="1"/>
  <c r="F66" i="22"/>
  <c r="G66" i="22" s="1"/>
  <c r="F65" i="22"/>
  <c r="G65" i="22" s="1"/>
  <c r="G64" i="22"/>
  <c r="F63" i="22"/>
  <c r="G63" i="22" s="1"/>
  <c r="F62" i="22"/>
  <c r="G62" i="22" s="1"/>
  <c r="F61" i="22"/>
  <c r="G61" i="22" s="1"/>
  <c r="F60" i="22"/>
  <c r="G60" i="22" s="1"/>
  <c r="F59" i="22"/>
  <c r="G59" i="22" s="1"/>
  <c r="F58" i="22"/>
  <c r="G58" i="22" s="1"/>
  <c r="F57" i="22"/>
  <c r="G57" i="22" s="1"/>
  <c r="F56" i="22"/>
  <c r="G56" i="22" s="1"/>
  <c r="F55" i="22"/>
  <c r="G55" i="22" s="1"/>
  <c r="F54" i="22"/>
  <c r="G54" i="22" s="1"/>
  <c r="F53" i="22"/>
  <c r="G53" i="22" s="1"/>
  <c r="G52" i="22"/>
  <c r="F51" i="22"/>
  <c r="G51" i="22" s="1"/>
  <c r="F50" i="22"/>
  <c r="G50" i="22" s="1"/>
  <c r="F49" i="22"/>
  <c r="G49" i="22" s="1"/>
  <c r="F48" i="22"/>
  <c r="G48" i="22" s="1"/>
  <c r="F47" i="22"/>
  <c r="G47" i="22" s="1"/>
  <c r="F46" i="22"/>
  <c r="G46" i="22" s="1"/>
  <c r="F45" i="22"/>
  <c r="G45" i="22" s="1"/>
  <c r="F44" i="22"/>
  <c r="G44" i="22" s="1"/>
  <c r="F43" i="22"/>
  <c r="G43" i="22" s="1"/>
  <c r="F42" i="22"/>
  <c r="G42" i="22" s="1"/>
  <c r="F41" i="22"/>
  <c r="G41" i="22" s="1"/>
  <c r="F40" i="22"/>
  <c r="G40" i="22" s="1"/>
  <c r="F39" i="22"/>
  <c r="G39" i="22" s="1"/>
  <c r="G38" i="22"/>
  <c r="F37" i="22"/>
  <c r="G37" i="22" s="1"/>
  <c r="F36" i="22"/>
  <c r="G36" i="22" s="1"/>
  <c r="F35" i="22"/>
  <c r="G35" i="22" s="1"/>
  <c r="F34" i="22"/>
  <c r="G34" i="22" s="1"/>
  <c r="F33" i="22"/>
  <c r="G33" i="22" s="1"/>
  <c r="F32" i="22"/>
  <c r="G32" i="22" s="1"/>
  <c r="F31" i="22"/>
  <c r="G31" i="22" s="1"/>
  <c r="F30" i="22"/>
  <c r="G30" i="22" s="1"/>
  <c r="F29" i="22"/>
  <c r="G29" i="22" s="1"/>
  <c r="F28" i="22"/>
  <c r="G28" i="22" s="1"/>
  <c r="F27" i="22"/>
  <c r="G27" i="22" s="1"/>
  <c r="F26" i="22"/>
  <c r="G26" i="22" s="1"/>
  <c r="F25" i="22"/>
  <c r="G25" i="22" s="1"/>
  <c r="G24" i="22"/>
  <c r="G23" i="22"/>
  <c r="F22" i="22"/>
  <c r="G22" i="22" s="1"/>
  <c r="F21" i="22"/>
  <c r="G21" i="22" s="1"/>
  <c r="F20" i="22"/>
  <c r="G20" i="22" s="1"/>
  <c r="F19" i="22"/>
  <c r="G19" i="22" s="1"/>
  <c r="G18" i="22"/>
  <c r="F17" i="22"/>
  <c r="G17" i="22" s="1"/>
  <c r="F16" i="22"/>
  <c r="G16" i="22" s="1"/>
  <c r="G15" i="22"/>
  <c r="F14" i="22"/>
  <c r="G14" i="22" s="1"/>
  <c r="G13" i="22"/>
  <c r="F12" i="22"/>
  <c r="G12" i="22" s="1"/>
  <c r="G11" i="22"/>
  <c r="G10" i="22"/>
  <c r="G9" i="22"/>
  <c r="P311" i="10"/>
  <c r="M273" i="10" s="1"/>
  <c r="O273" i="10" s="1"/>
  <c r="P279" i="10" s="1"/>
  <c r="F26" i="20"/>
  <c r="G26" i="20" s="1"/>
  <c r="D380" i="16"/>
  <c r="D379" i="16"/>
  <c r="D378" i="16"/>
  <c r="D377" i="16"/>
  <c r="D376" i="16"/>
  <c r="AB328" i="16"/>
  <c r="AB327" i="16"/>
  <c r="AB329" i="16" s="1"/>
  <c r="AB326" i="16"/>
  <c r="AB325" i="16"/>
  <c r="AB324" i="16"/>
  <c r="T328" i="16"/>
  <c r="T327" i="16"/>
  <c r="T329" i="16" s="1"/>
  <c r="T326" i="16"/>
  <c r="T325" i="16"/>
  <c r="T324" i="16"/>
  <c r="L328" i="16"/>
  <c r="L327" i="16"/>
  <c r="L329" i="16" s="1"/>
  <c r="L326" i="16"/>
  <c r="L325" i="16"/>
  <c r="L324" i="16"/>
  <c r="T276" i="16"/>
  <c r="T275" i="16"/>
  <c r="T274" i="16"/>
  <c r="T273" i="16"/>
  <c r="L276" i="16"/>
  <c r="L275" i="16"/>
  <c r="L274" i="16"/>
  <c r="L273" i="16"/>
  <c r="D276" i="16"/>
  <c r="D275" i="16"/>
  <c r="D274" i="16"/>
  <c r="D273" i="16"/>
  <c r="T224" i="16"/>
  <c r="T223" i="16"/>
  <c r="T220" i="16"/>
  <c r="L224" i="16"/>
  <c r="L223" i="16"/>
  <c r="L220" i="16"/>
  <c r="D224" i="16"/>
  <c r="D223" i="16"/>
  <c r="D220" i="16"/>
  <c r="T173" i="16"/>
  <c r="T172" i="16"/>
  <c r="T171" i="16"/>
  <c r="T170" i="16"/>
  <c r="L173" i="16"/>
  <c r="L172" i="16"/>
  <c r="L171" i="16"/>
  <c r="L170" i="16"/>
  <c r="D173" i="16"/>
  <c r="D172" i="16"/>
  <c r="D171" i="16"/>
  <c r="D170" i="16"/>
  <c r="AB121" i="16"/>
  <c r="AB120" i="16"/>
  <c r="AB119" i="16"/>
  <c r="AB118" i="16"/>
  <c r="T121" i="16"/>
  <c r="T120" i="16"/>
  <c r="T119" i="16"/>
  <c r="T118" i="16"/>
  <c r="L121" i="16"/>
  <c r="L120" i="16"/>
  <c r="L119" i="16"/>
  <c r="L118" i="16"/>
  <c r="D121" i="16"/>
  <c r="D120" i="16"/>
  <c r="D119" i="16"/>
  <c r="D118" i="16"/>
  <c r="E79" i="16"/>
  <c r="D79" i="16"/>
  <c r="M79" i="16"/>
  <c r="L79" i="16"/>
  <c r="U79" i="16"/>
  <c r="T79" i="16"/>
  <c r="U30" i="16"/>
  <c r="T30" i="16"/>
  <c r="M30" i="16"/>
  <c r="L30" i="16"/>
  <c r="D30" i="16"/>
  <c r="T70" i="16"/>
  <c r="T69" i="16"/>
  <c r="T68" i="16"/>
  <c r="T67" i="16"/>
  <c r="T66" i="16"/>
  <c r="L70" i="16"/>
  <c r="L69" i="16"/>
  <c r="L68" i="16"/>
  <c r="L67" i="16"/>
  <c r="L66" i="16"/>
  <c r="D70" i="16"/>
  <c r="D69" i="16"/>
  <c r="D68" i="16"/>
  <c r="D67" i="16"/>
  <c r="D66" i="16"/>
  <c r="T21" i="16"/>
  <c r="T20" i="16"/>
  <c r="T19" i="16"/>
  <c r="T18" i="16"/>
  <c r="T17" i="16"/>
  <c r="L21" i="16"/>
  <c r="L20" i="16"/>
  <c r="L19" i="16"/>
  <c r="L18" i="16"/>
  <c r="L17" i="16"/>
  <c r="D20" i="16"/>
  <c r="D19" i="16"/>
  <c r="D18" i="16"/>
  <c r="D17" i="16"/>
  <c r="D844" i="10"/>
  <c r="E844" i="10" s="1"/>
  <c r="G844" i="10" s="1"/>
  <c r="D843" i="10"/>
  <c r="E843" i="10" s="1"/>
  <c r="G843" i="10" s="1"/>
  <c r="D842" i="10"/>
  <c r="E842" i="10" s="1"/>
  <c r="G842" i="10" s="1"/>
  <c r="H839" i="10"/>
  <c r="G820" i="10"/>
  <c r="G819" i="10"/>
  <c r="E818" i="10"/>
  <c r="G818" i="10" s="1"/>
  <c r="T71" i="16"/>
  <c r="L71" i="16"/>
  <c r="T22" i="16"/>
  <c r="L22" i="16"/>
  <c r="D71" i="16"/>
  <c r="D22" i="16"/>
  <c r="D21" i="16"/>
  <c r="L404" i="8"/>
  <c r="M404" i="8"/>
  <c r="L482" i="8"/>
  <c r="M482" i="8" s="1"/>
  <c r="O482" i="8" s="1"/>
  <c r="L481" i="8"/>
  <c r="M481" i="8" s="1"/>
  <c r="O481" i="8" s="1"/>
  <c r="L480" i="8"/>
  <c r="M480" i="8" s="1"/>
  <c r="O480" i="8" s="1"/>
  <c r="P477" i="8"/>
  <c r="O458" i="8"/>
  <c r="M457" i="8"/>
  <c r="O457" i="8" s="1"/>
  <c r="L428" i="8"/>
  <c r="M428" i="8" s="1"/>
  <c r="O428" i="8" s="1"/>
  <c r="L427" i="8"/>
  <c r="M427" i="8" s="1"/>
  <c r="O427" i="8" s="1"/>
  <c r="L426" i="8"/>
  <c r="M426" i="8" s="1"/>
  <c r="O426" i="8" s="1"/>
  <c r="P423" i="8"/>
  <c r="W340" i="16"/>
  <c r="E443" i="16"/>
  <c r="G443" i="16" s="1"/>
  <c r="M127" i="16"/>
  <c r="U127" i="16" s="1"/>
  <c r="E127" i="16"/>
  <c r="AK127" i="16" s="1"/>
  <c r="AM127" i="16" s="1"/>
  <c r="AM144" i="16" s="1"/>
  <c r="E447" i="16"/>
  <c r="G447" i="16" s="1"/>
  <c r="E2418" i="18"/>
  <c r="E2238" i="18"/>
  <c r="E2244" i="18"/>
  <c r="E1975" i="18"/>
  <c r="E1988" i="18"/>
  <c r="E1996" i="18"/>
  <c r="E1997" i="18"/>
  <c r="E1998" i="18"/>
  <c r="E2006" i="18"/>
  <c r="E2014" i="18"/>
  <c r="E1210" i="18"/>
  <c r="F1960" i="3"/>
  <c r="F1959" i="3"/>
  <c r="G1959" i="3" s="1"/>
  <c r="H1959" i="3" s="1"/>
  <c r="F1958" i="3"/>
  <c r="G1958" i="3" s="1"/>
  <c r="H1958" i="3" s="1"/>
  <c r="E1959" i="22" s="1"/>
  <c r="F1959" i="22" s="1"/>
  <c r="G1959" i="22" s="1"/>
  <c r="F1956" i="3"/>
  <c r="G1956" i="3" s="1"/>
  <c r="H1956" i="3" s="1"/>
  <c r="E1955" i="18" s="1"/>
  <c r="F1955" i="18" s="1"/>
  <c r="G1955" i="18" s="1"/>
  <c r="F1954" i="3"/>
  <c r="G1954" i="3" s="1"/>
  <c r="H1954" i="3" s="1"/>
  <c r="E1955" i="22" s="1"/>
  <c r="F1955" i="22" s="1"/>
  <c r="G1955" i="22" s="1"/>
  <c r="F1951" i="3"/>
  <c r="G1951" i="3" s="1"/>
  <c r="F1950" i="3"/>
  <c r="G1950" i="3" s="1"/>
  <c r="H1950" i="3" s="1"/>
  <c r="E1951" i="22" s="1"/>
  <c r="F1951" i="22" s="1"/>
  <c r="G1951" i="22" s="1"/>
  <c r="F1947" i="3"/>
  <c r="G1947" i="3" s="1"/>
  <c r="H1947" i="3" s="1"/>
  <c r="E1949" i="4"/>
  <c r="G1949" i="4"/>
  <c r="D593" i="14"/>
  <c r="D472" i="14"/>
  <c r="E284" i="14"/>
  <c r="E234" i="16"/>
  <c r="M234" i="16" s="1"/>
  <c r="U234" i="16" s="1"/>
  <c r="W234" i="16" s="1"/>
  <c r="D601" i="1"/>
  <c r="F601" i="1" s="1"/>
  <c r="G601" i="1" s="1"/>
  <c r="D600" i="1"/>
  <c r="F600" i="1" s="1"/>
  <c r="G600" i="1" s="1"/>
  <c r="D590" i="1"/>
  <c r="D472" i="1"/>
  <c r="D327" i="16"/>
  <c r="D326" i="16"/>
  <c r="T89" i="16"/>
  <c r="U89" i="16" s="1"/>
  <c r="W89" i="16" s="1"/>
  <c r="L89" i="16"/>
  <c r="M89" i="16" s="1"/>
  <c r="O89" i="16" s="1"/>
  <c r="D89" i="16"/>
  <c r="E89" i="16" s="1"/>
  <c r="G89" i="16" s="1"/>
  <c r="T88" i="16"/>
  <c r="U88" i="16" s="1"/>
  <c r="W88" i="16" s="1"/>
  <c r="L88" i="16"/>
  <c r="M88" i="16" s="1"/>
  <c r="O88" i="16" s="1"/>
  <c r="D88" i="16"/>
  <c r="E88" i="16" s="1"/>
  <c r="G88" i="16" s="1"/>
  <c r="T87" i="16"/>
  <c r="U87" i="16" s="1"/>
  <c r="W87" i="16" s="1"/>
  <c r="L87" i="16"/>
  <c r="M87" i="16" s="1"/>
  <c r="O87" i="16" s="1"/>
  <c r="D87" i="16"/>
  <c r="E87" i="16" s="1"/>
  <c r="G87" i="16" s="1"/>
  <c r="X84" i="16"/>
  <c r="P84" i="16"/>
  <c r="H84" i="16"/>
  <c r="AC333" i="16"/>
  <c r="AE333" i="16" s="1"/>
  <c r="U333" i="16"/>
  <c r="W333" i="16" s="1"/>
  <c r="O340" i="16"/>
  <c r="G340" i="16"/>
  <c r="D495" i="16"/>
  <c r="D494" i="16"/>
  <c r="D496" i="16" s="1"/>
  <c r="D518" i="16"/>
  <c r="E518" i="16" s="1"/>
  <c r="G518" i="16" s="1"/>
  <c r="D517" i="16"/>
  <c r="E517" i="16" s="1"/>
  <c r="G517" i="16" s="1"/>
  <c r="D516" i="16"/>
  <c r="E516" i="16" s="1"/>
  <c r="G516" i="16" s="1"/>
  <c r="H513" i="16"/>
  <c r="D791" i="10"/>
  <c r="E791" i="10" s="1"/>
  <c r="G791" i="10" s="1"/>
  <c r="D790" i="10"/>
  <c r="E790" i="10" s="1"/>
  <c r="G790" i="10" s="1"/>
  <c r="D789" i="10"/>
  <c r="E789" i="10" s="1"/>
  <c r="G789" i="10" s="1"/>
  <c r="D788" i="10"/>
  <c r="E788" i="10" s="1"/>
  <c r="G788" i="10" s="1"/>
  <c r="H785" i="10"/>
  <c r="G765" i="10"/>
  <c r="H777" i="10" s="1"/>
  <c r="I425" i="17"/>
  <c r="D79" i="17"/>
  <c r="J16" i="17"/>
  <c r="D736" i="10"/>
  <c r="E736" i="10" s="1"/>
  <c r="G736" i="10" s="1"/>
  <c r="D735" i="10"/>
  <c r="E735" i="10" s="1"/>
  <c r="G735" i="10" s="1"/>
  <c r="D734" i="10"/>
  <c r="E734" i="10" s="1"/>
  <c r="G734" i="10" s="1"/>
  <c r="G726" i="10"/>
  <c r="H731" i="10" s="1"/>
  <c r="H723" i="10"/>
  <c r="G703" i="10"/>
  <c r="D682" i="10"/>
  <c r="E682" i="10" s="1"/>
  <c r="G682" i="10" s="1"/>
  <c r="D681" i="10"/>
  <c r="E681" i="10" s="1"/>
  <c r="G681" i="10" s="1"/>
  <c r="D680" i="10"/>
  <c r="E680" i="10" s="1"/>
  <c r="G680" i="10" s="1"/>
  <c r="G672" i="10"/>
  <c r="H677" i="10" s="1"/>
  <c r="H669" i="10"/>
  <c r="G649" i="10"/>
  <c r="D628" i="10"/>
  <c r="E628" i="10" s="1"/>
  <c r="G628" i="10" s="1"/>
  <c r="D627" i="10"/>
  <c r="E627" i="10" s="1"/>
  <c r="G627" i="10" s="1"/>
  <c r="D626" i="10"/>
  <c r="E626" i="10" s="1"/>
  <c r="G626" i="10" s="1"/>
  <c r="G618" i="10"/>
  <c r="H623" i="10" s="1"/>
  <c r="H615" i="10"/>
  <c r="G595" i="10"/>
  <c r="D574" i="10"/>
  <c r="E574" i="10" s="1"/>
  <c r="G574" i="10" s="1"/>
  <c r="D573" i="10"/>
  <c r="E573" i="10" s="1"/>
  <c r="G573" i="10" s="1"/>
  <c r="D572" i="10"/>
  <c r="E572" i="10" s="1"/>
  <c r="G572" i="10" s="1"/>
  <c r="G564" i="10"/>
  <c r="H569" i="10" s="1"/>
  <c r="H561" i="10"/>
  <c r="G541" i="10"/>
  <c r="D520" i="10"/>
  <c r="E520" i="10" s="1"/>
  <c r="G520" i="10" s="1"/>
  <c r="D519" i="10"/>
  <c r="E519" i="10" s="1"/>
  <c r="G519" i="10" s="1"/>
  <c r="D518" i="10"/>
  <c r="E518" i="10" s="1"/>
  <c r="G518" i="10" s="1"/>
  <c r="G510" i="10"/>
  <c r="H515" i="10" s="1"/>
  <c r="G495" i="10"/>
  <c r="H507" i="10" s="1"/>
  <c r="G487" i="10"/>
  <c r="G616" i="19"/>
  <c r="G614" i="19"/>
  <c r="G612" i="19"/>
  <c r="F575" i="19"/>
  <c r="G575" i="19" s="1"/>
  <c r="F574" i="19"/>
  <c r="G574" i="19" s="1"/>
  <c r="F573" i="19"/>
  <c r="G573" i="19" s="1"/>
  <c r="G572" i="19"/>
  <c r="F571" i="19"/>
  <c r="G571" i="19" s="1"/>
  <c r="F570" i="19"/>
  <c r="G570" i="19" s="1"/>
  <c r="F569" i="19"/>
  <c r="G569" i="19" s="1"/>
  <c r="F568" i="19"/>
  <c r="G568" i="19" s="1"/>
  <c r="G567" i="19"/>
  <c r="G566" i="19"/>
  <c r="F565" i="19"/>
  <c r="G565" i="19" s="1"/>
  <c r="F562" i="19"/>
  <c r="G562" i="19" s="1"/>
  <c r="G561" i="19"/>
  <c r="G556" i="19"/>
  <c r="F555" i="19"/>
  <c r="G555" i="19" s="1"/>
  <c r="G545" i="19"/>
  <c r="F544" i="19"/>
  <c r="G544" i="19" s="1"/>
  <c r="F543" i="19"/>
  <c r="G543" i="19" s="1"/>
  <c r="F542" i="19"/>
  <c r="G542" i="19" s="1"/>
  <c r="G541" i="19"/>
  <c r="F540" i="19"/>
  <c r="G540" i="19" s="1"/>
  <c r="F539" i="19"/>
  <c r="G539" i="19" s="1"/>
  <c r="F538" i="19"/>
  <c r="G538" i="19" s="1"/>
  <c r="G537" i="19"/>
  <c r="G536" i="19"/>
  <c r="F535" i="19"/>
  <c r="G535" i="19" s="1"/>
  <c r="F534" i="19"/>
  <c r="G534" i="19" s="1"/>
  <c r="G533" i="19"/>
  <c r="F532" i="19"/>
  <c r="G532" i="19" s="1"/>
  <c r="F531" i="19"/>
  <c r="G531" i="19" s="1"/>
  <c r="G530" i="19"/>
  <c r="G526" i="19"/>
  <c r="F525" i="19"/>
  <c r="G525" i="19" s="1"/>
  <c r="G523" i="19"/>
  <c r="G517" i="19"/>
  <c r="G513" i="19"/>
  <c r="G510" i="19"/>
  <c r="G505" i="19"/>
  <c r="G504" i="19"/>
  <c r="G499" i="19"/>
  <c r="G496" i="19"/>
  <c r="G493" i="19"/>
  <c r="G489" i="19"/>
  <c r="G487" i="19"/>
  <c r="G486" i="19"/>
  <c r="G485" i="19"/>
  <c r="G481" i="19"/>
  <c r="G476" i="19"/>
  <c r="G473" i="19"/>
  <c r="F470" i="19"/>
  <c r="G470" i="19" s="1"/>
  <c r="F469" i="19"/>
  <c r="G469" i="19" s="1"/>
  <c r="G468" i="19"/>
  <c r="G467" i="19"/>
  <c r="F466" i="19"/>
  <c r="G466" i="19" s="1"/>
  <c r="G457" i="19"/>
  <c r="F456" i="19"/>
  <c r="G456" i="19" s="1"/>
  <c r="G447" i="19"/>
  <c r="F446" i="19"/>
  <c r="G446" i="19" s="1"/>
  <c r="G437" i="19"/>
  <c r="F436" i="19"/>
  <c r="G436" i="19" s="1"/>
  <c r="G427" i="19"/>
  <c r="G426" i="19"/>
  <c r="F416" i="19"/>
  <c r="G416" i="19" s="1"/>
  <c r="F415" i="19"/>
  <c r="G415" i="19" s="1"/>
  <c r="F414" i="19"/>
  <c r="G414" i="19" s="1"/>
  <c r="F413" i="19"/>
  <c r="G413" i="19" s="1"/>
  <c r="F412" i="19"/>
  <c r="G412" i="19" s="1"/>
  <c r="G411" i="19"/>
  <c r="G410" i="19"/>
  <c r="F409" i="19"/>
  <c r="G409" i="19" s="1"/>
  <c r="F408" i="19"/>
  <c r="G408" i="19" s="1"/>
  <c r="F407" i="19"/>
  <c r="G407" i="19" s="1"/>
  <c r="G406" i="19"/>
  <c r="G405" i="19"/>
  <c r="F404" i="19"/>
  <c r="G404" i="19" s="1"/>
  <c r="F403" i="19"/>
  <c r="G403" i="19" s="1"/>
  <c r="F402" i="19"/>
  <c r="G402" i="19" s="1"/>
  <c r="F401" i="19"/>
  <c r="G401" i="19" s="1"/>
  <c r="F400" i="19"/>
  <c r="G400" i="19" s="1"/>
  <c r="F399" i="19"/>
  <c r="G399" i="19" s="1"/>
  <c r="F398" i="19"/>
  <c r="G398" i="19" s="1"/>
  <c r="F397" i="19"/>
  <c r="G397" i="19" s="1"/>
  <c r="F396" i="19"/>
  <c r="G396" i="19" s="1"/>
  <c r="F395" i="19"/>
  <c r="G395" i="19" s="1"/>
  <c r="F394" i="19"/>
  <c r="G394" i="19" s="1"/>
  <c r="G393" i="19"/>
  <c r="F392" i="19"/>
  <c r="G392" i="19" s="1"/>
  <c r="F391" i="19"/>
  <c r="G391" i="19" s="1"/>
  <c r="F389" i="19"/>
  <c r="G389" i="19" s="1"/>
  <c r="F388" i="19"/>
  <c r="G388" i="19" s="1"/>
  <c r="F387" i="19"/>
  <c r="G387" i="19" s="1"/>
  <c r="G386" i="19"/>
  <c r="F385" i="19"/>
  <c r="G385" i="19" s="1"/>
  <c r="F384" i="19"/>
  <c r="G384" i="19" s="1"/>
  <c r="G380" i="19"/>
  <c r="F379" i="19"/>
  <c r="G379" i="19" s="1"/>
  <c r="F378" i="19"/>
  <c r="G378" i="19" s="1"/>
  <c r="G375" i="19"/>
  <c r="F374" i="19"/>
  <c r="G374" i="19" s="1"/>
  <c r="F373" i="19"/>
  <c r="G373" i="19" s="1"/>
  <c r="F372" i="19"/>
  <c r="G372" i="19" s="1"/>
  <c r="F371" i="19"/>
  <c r="G371" i="19" s="1"/>
  <c r="F370" i="19"/>
  <c r="G370" i="19" s="1"/>
  <c r="F369" i="19"/>
  <c r="G369" i="19" s="1"/>
  <c r="G368" i="19"/>
  <c r="F367" i="19"/>
  <c r="G367" i="19" s="1"/>
  <c r="F366" i="19"/>
  <c r="G366" i="19" s="1"/>
  <c r="F365" i="19"/>
  <c r="G365" i="19" s="1"/>
  <c r="F364" i="19"/>
  <c r="G364" i="19" s="1"/>
  <c r="F363" i="19"/>
  <c r="G363" i="19" s="1"/>
  <c r="F362" i="19"/>
  <c r="G362" i="19" s="1"/>
  <c r="G361" i="19"/>
  <c r="F360" i="19"/>
  <c r="G360" i="19" s="1"/>
  <c r="G356" i="19"/>
  <c r="G352" i="19"/>
  <c r="G348" i="19"/>
  <c r="F347" i="19"/>
  <c r="G347" i="19" s="1"/>
  <c r="F346" i="19"/>
  <c r="G346" i="19" s="1"/>
  <c r="F345" i="19"/>
  <c r="G345" i="19" s="1"/>
  <c r="G344" i="19"/>
  <c r="G341" i="19"/>
  <c r="F340" i="19"/>
  <c r="G340" i="19" s="1"/>
  <c r="F339" i="19"/>
  <c r="G339" i="19" s="1"/>
  <c r="F338" i="19"/>
  <c r="G338" i="19" s="1"/>
  <c r="G334" i="19"/>
  <c r="G333" i="19"/>
  <c r="F331" i="19"/>
  <c r="G331" i="19" s="1"/>
  <c r="F329" i="19"/>
  <c r="G329" i="19" s="1"/>
  <c r="G328" i="19"/>
  <c r="F327" i="19"/>
  <c r="G327" i="19" s="1"/>
  <c r="F323" i="19"/>
  <c r="G323" i="19" s="1"/>
  <c r="F319" i="19"/>
  <c r="G319" i="19" s="1"/>
  <c r="F315" i="19"/>
  <c r="G315" i="19" s="1"/>
  <c r="F311" i="19"/>
  <c r="G311" i="19" s="1"/>
  <c r="F306" i="19"/>
  <c r="G306" i="19" s="1"/>
  <c r="F305" i="19"/>
  <c r="G305" i="19" s="1"/>
  <c r="F304" i="19"/>
  <c r="G304" i="19" s="1"/>
  <c r="F303" i="19"/>
  <c r="G303" i="19" s="1"/>
  <c r="F302" i="19"/>
  <c r="G302" i="19" s="1"/>
  <c r="F301" i="19"/>
  <c r="G301" i="19" s="1"/>
  <c r="F298" i="19"/>
  <c r="G298" i="19" s="1"/>
  <c r="F297" i="19"/>
  <c r="G297" i="19" s="1"/>
  <c r="F296" i="19"/>
  <c r="G296" i="19" s="1"/>
  <c r="F295" i="19"/>
  <c r="G295" i="19" s="1"/>
  <c r="F294" i="19"/>
  <c r="G294" i="19" s="1"/>
  <c r="G290" i="19"/>
  <c r="F288" i="19"/>
  <c r="G288" i="19" s="1"/>
  <c r="F287" i="19"/>
  <c r="G287" i="19" s="1"/>
  <c r="F286" i="19"/>
  <c r="G286" i="19" s="1"/>
  <c r="F278" i="19"/>
  <c r="G278" i="19" s="1"/>
  <c r="F277" i="19"/>
  <c r="G277" i="19" s="1"/>
  <c r="F275" i="19"/>
  <c r="G275" i="19" s="1"/>
  <c r="F274" i="19"/>
  <c r="G274" i="19" s="1"/>
  <c r="F273" i="19"/>
  <c r="G273" i="19" s="1"/>
  <c r="F272" i="19"/>
  <c r="G272" i="19" s="1"/>
  <c r="F271" i="19"/>
  <c r="G271" i="19" s="1"/>
  <c r="F270" i="19"/>
  <c r="G270" i="19" s="1"/>
  <c r="F269" i="19"/>
  <c r="G269" i="19" s="1"/>
  <c r="E268" i="19"/>
  <c r="F268" i="19" s="1"/>
  <c r="G268" i="19" s="1"/>
  <c r="E259" i="19"/>
  <c r="F259" i="19" s="1"/>
  <c r="G259" i="19" s="1"/>
  <c r="F255" i="19"/>
  <c r="G255" i="19" s="1"/>
  <c r="F254" i="19"/>
  <c r="G254" i="19" s="1"/>
  <c r="F253" i="19"/>
  <c r="G253" i="19" s="1"/>
  <c r="F252" i="19"/>
  <c r="G252" i="19" s="1"/>
  <c r="F251" i="19"/>
  <c r="G251" i="19" s="1"/>
  <c r="F250" i="19"/>
  <c r="G250" i="19" s="1"/>
  <c r="F249" i="19"/>
  <c r="G249" i="19" s="1"/>
  <c r="F240" i="19"/>
  <c r="G240" i="19" s="1"/>
  <c r="F234" i="19"/>
  <c r="G234" i="19" s="1"/>
  <c r="F233" i="19"/>
  <c r="G233" i="19" s="1"/>
  <c r="F232" i="19"/>
  <c r="G232" i="19" s="1"/>
  <c r="F231" i="19"/>
  <c r="G231" i="19" s="1"/>
  <c r="G225" i="19"/>
  <c r="F224" i="19"/>
  <c r="G224" i="19" s="1"/>
  <c r="F223" i="19"/>
  <c r="G223" i="19" s="1"/>
  <c r="F222" i="19"/>
  <c r="G222" i="19" s="1"/>
  <c r="F221" i="19"/>
  <c r="G221" i="19" s="1"/>
  <c r="F220" i="19"/>
  <c r="G220" i="19" s="1"/>
  <c r="F219" i="19"/>
  <c r="G219" i="19" s="1"/>
  <c r="G207" i="19"/>
  <c r="F206" i="19"/>
  <c r="G206" i="19" s="1"/>
  <c r="F205" i="19"/>
  <c r="G205" i="19" s="1"/>
  <c r="F204" i="19"/>
  <c r="G204" i="19" s="1"/>
  <c r="F203" i="19"/>
  <c r="G203" i="19" s="1"/>
  <c r="F202" i="19"/>
  <c r="G202" i="19" s="1"/>
  <c r="F201" i="19"/>
  <c r="G201" i="19" s="1"/>
  <c r="F200" i="19"/>
  <c r="G200" i="19" s="1"/>
  <c r="F199" i="19"/>
  <c r="G199" i="19" s="1"/>
  <c r="F198" i="19"/>
  <c r="G198" i="19" s="1"/>
  <c r="F197" i="19"/>
  <c r="G197" i="19" s="1"/>
  <c r="F196" i="19"/>
  <c r="G196" i="19" s="1"/>
  <c r="F195" i="19"/>
  <c r="G195" i="19" s="1"/>
  <c r="F194" i="19"/>
  <c r="G194" i="19" s="1"/>
  <c r="F193" i="19"/>
  <c r="G193" i="19" s="1"/>
  <c r="F192" i="19"/>
  <c r="G192" i="19" s="1"/>
  <c r="F191" i="19"/>
  <c r="G191" i="19" s="1"/>
  <c r="F190" i="19"/>
  <c r="G190" i="19" s="1"/>
  <c r="F189" i="19"/>
  <c r="G189" i="19" s="1"/>
  <c r="F188" i="19"/>
  <c r="G188" i="19" s="1"/>
  <c r="F187" i="19"/>
  <c r="G187" i="19" s="1"/>
  <c r="F186" i="19"/>
  <c r="G186" i="19" s="1"/>
  <c r="G185" i="19"/>
  <c r="F184" i="19"/>
  <c r="G184" i="19" s="1"/>
  <c r="F183" i="19"/>
  <c r="G183" i="19" s="1"/>
  <c r="F182" i="19"/>
  <c r="G182" i="19" s="1"/>
  <c r="F181" i="19"/>
  <c r="G181" i="19" s="1"/>
  <c r="F180" i="19"/>
  <c r="G180" i="19" s="1"/>
  <c r="F179" i="19"/>
  <c r="G179" i="19" s="1"/>
  <c r="F178" i="19"/>
  <c r="G178" i="19" s="1"/>
  <c r="F177" i="19"/>
  <c r="G177" i="19" s="1"/>
  <c r="F176" i="19"/>
  <c r="G176" i="19" s="1"/>
  <c r="F175" i="19"/>
  <c r="G175" i="19" s="1"/>
  <c r="F174" i="19"/>
  <c r="G174" i="19" s="1"/>
  <c r="F173" i="19"/>
  <c r="G173" i="19" s="1"/>
  <c r="F172" i="19"/>
  <c r="G172" i="19" s="1"/>
  <c r="F171" i="19"/>
  <c r="G171" i="19" s="1"/>
  <c r="F170" i="19"/>
  <c r="G170" i="19" s="1"/>
  <c r="F169" i="19"/>
  <c r="G169" i="19" s="1"/>
  <c r="G163" i="19"/>
  <c r="F162" i="19"/>
  <c r="G162" i="19" s="1"/>
  <c r="F161" i="19"/>
  <c r="G161" i="19" s="1"/>
  <c r="F160" i="19"/>
  <c r="G160" i="19" s="1"/>
  <c r="G157" i="19"/>
  <c r="F156" i="19"/>
  <c r="G156" i="19" s="1"/>
  <c r="F155" i="19"/>
  <c r="G155" i="19" s="1"/>
  <c r="F154" i="19"/>
  <c r="G154" i="19" s="1"/>
  <c r="G151" i="19"/>
  <c r="G150" i="19"/>
  <c r="F149" i="19"/>
  <c r="G149" i="19" s="1"/>
  <c r="F148" i="19"/>
  <c r="G148" i="19" s="1"/>
  <c r="F147" i="19"/>
  <c r="G147" i="19" s="1"/>
  <c r="F146" i="19"/>
  <c r="G146" i="19" s="1"/>
  <c r="F145" i="19"/>
  <c r="G145" i="19" s="1"/>
  <c r="F144" i="19"/>
  <c r="G144" i="19" s="1"/>
  <c r="F143" i="19"/>
  <c r="G143" i="19" s="1"/>
  <c r="F142" i="19"/>
  <c r="G142" i="19" s="1"/>
  <c r="F141" i="19"/>
  <c r="G141" i="19" s="1"/>
  <c r="F140" i="19"/>
  <c r="G140" i="19" s="1"/>
  <c r="G128" i="19"/>
  <c r="F127" i="19"/>
  <c r="G127" i="19" s="1"/>
  <c r="F126" i="19"/>
  <c r="G126" i="19" s="1"/>
  <c r="F125" i="19"/>
  <c r="G125" i="19" s="1"/>
  <c r="G121" i="19"/>
  <c r="F120" i="19"/>
  <c r="G120" i="19" s="1"/>
  <c r="G107" i="19"/>
  <c r="F105" i="19"/>
  <c r="G105" i="19" s="1"/>
  <c r="F104" i="19"/>
  <c r="G104" i="19" s="1"/>
  <c r="F103" i="19"/>
  <c r="G103" i="19" s="1"/>
  <c r="F102" i="19"/>
  <c r="G102" i="19" s="1"/>
  <c r="F101" i="19"/>
  <c r="G101" i="19" s="1"/>
  <c r="G96" i="19"/>
  <c r="G95" i="19"/>
  <c r="G94" i="19"/>
  <c r="G81" i="19"/>
  <c r="F78" i="19"/>
  <c r="G78" i="19" s="1"/>
  <c r="E68" i="19"/>
  <c r="F68" i="19" s="1"/>
  <c r="G68" i="19" s="1"/>
  <c r="E67" i="19"/>
  <c r="F67" i="19" s="1"/>
  <c r="E66" i="19"/>
  <c r="F66" i="19" s="1"/>
  <c r="G66" i="19" s="1"/>
  <c r="E65" i="19"/>
  <c r="F65" i="19" s="1"/>
  <c r="G65" i="19" s="1"/>
  <c r="E64" i="19"/>
  <c r="F64" i="19" s="1"/>
  <c r="G64" i="19" s="1"/>
  <c r="G63" i="19"/>
  <c r="G57" i="19"/>
  <c r="E56" i="19"/>
  <c r="F56" i="19" s="1"/>
  <c r="G56" i="19" s="1"/>
  <c r="E55" i="19"/>
  <c r="F55" i="19" s="1"/>
  <c r="G55" i="19" s="1"/>
  <c r="E54" i="19"/>
  <c r="F54" i="19" s="1"/>
  <c r="G54" i="19" s="1"/>
  <c r="E53" i="19"/>
  <c r="F53" i="19" s="1"/>
  <c r="G53" i="19" s="1"/>
  <c r="E52" i="19"/>
  <c r="F52" i="19" s="1"/>
  <c r="G52" i="19" s="1"/>
  <c r="E51" i="19"/>
  <c r="F51" i="19" s="1"/>
  <c r="G51" i="19" s="1"/>
  <c r="E50" i="19"/>
  <c r="F50" i="19" s="1"/>
  <c r="G50" i="19" s="1"/>
  <c r="E49" i="19"/>
  <c r="F49" i="19" s="1"/>
  <c r="G49" i="19" s="1"/>
  <c r="E45" i="19"/>
  <c r="F45" i="19" s="1"/>
  <c r="G45" i="19" s="1"/>
  <c r="E44" i="19"/>
  <c r="F44" i="19" s="1"/>
  <c r="G44" i="19" s="1"/>
  <c r="E40" i="19"/>
  <c r="F40" i="19" s="1"/>
  <c r="G40" i="19" s="1"/>
  <c r="E37" i="19"/>
  <c r="F37" i="19" s="1"/>
  <c r="G37" i="19" s="1"/>
  <c r="E36" i="19"/>
  <c r="F36" i="19" s="1"/>
  <c r="G36" i="19" s="1"/>
  <c r="E35" i="19"/>
  <c r="F35" i="19" s="1"/>
  <c r="G35" i="19" s="1"/>
  <c r="G34" i="19"/>
  <c r="E33" i="19"/>
  <c r="F33" i="19" s="1"/>
  <c r="G33" i="19" s="1"/>
  <c r="F27" i="19"/>
  <c r="G27" i="19" s="1"/>
  <c r="F26" i="19"/>
  <c r="G26" i="19" s="1"/>
  <c r="F25" i="19"/>
  <c r="G25" i="19" s="1"/>
  <c r="F24" i="19"/>
  <c r="G24" i="19" s="1"/>
  <c r="E23" i="19"/>
  <c r="F23" i="19" s="1"/>
  <c r="G23" i="19" s="1"/>
  <c r="E22" i="19"/>
  <c r="F22" i="19" s="1"/>
  <c r="G22" i="19" s="1"/>
  <c r="F21" i="19"/>
  <c r="G21" i="19" s="1"/>
  <c r="E20" i="19"/>
  <c r="F20" i="19" s="1"/>
  <c r="G20" i="19" s="1"/>
  <c r="E19" i="19"/>
  <c r="F19" i="19" s="1"/>
  <c r="G19" i="19" s="1"/>
  <c r="E18" i="19"/>
  <c r="F18" i="19" s="1"/>
  <c r="G18" i="19" s="1"/>
  <c r="E17" i="19"/>
  <c r="F17" i="19" s="1"/>
  <c r="G17" i="19" s="1"/>
  <c r="E16" i="19"/>
  <c r="F16" i="19" s="1"/>
  <c r="G16" i="19" s="1"/>
  <c r="E15" i="19"/>
  <c r="F15" i="19" s="1"/>
  <c r="G15" i="19" s="1"/>
  <c r="G14" i="19"/>
  <c r="G13" i="19"/>
  <c r="E12" i="19"/>
  <c r="F12" i="19" s="1"/>
  <c r="G12" i="19" s="1"/>
  <c r="G2425" i="18"/>
  <c r="F2424" i="18"/>
  <c r="G2424" i="18" s="1"/>
  <c r="F2423" i="18"/>
  <c r="G2423" i="18" s="1"/>
  <c r="F2421" i="18"/>
  <c r="G2421" i="18" s="1"/>
  <c r="F2420" i="18"/>
  <c r="G2420" i="18" s="1"/>
  <c r="G2418" i="18"/>
  <c r="G2417" i="18"/>
  <c r="G2416" i="18"/>
  <c r="G2415" i="18"/>
  <c r="G2414" i="18"/>
  <c r="G2413" i="18"/>
  <c r="G2411" i="18"/>
  <c r="F2409" i="18"/>
  <c r="G2409" i="18" s="1"/>
  <c r="F2408" i="18"/>
  <c r="G2408" i="18" s="1"/>
  <c r="F2407" i="18"/>
  <c r="G2407" i="18" s="1"/>
  <c r="G2406" i="18"/>
  <c r="F2405" i="18"/>
  <c r="G2405" i="18" s="1"/>
  <c r="F2404" i="18"/>
  <c r="G2404" i="18" s="1"/>
  <c r="F2403" i="18"/>
  <c r="G2403" i="18" s="1"/>
  <c r="G2402" i="18"/>
  <c r="F2401" i="18"/>
  <c r="G2401" i="18" s="1"/>
  <c r="F2400" i="18"/>
  <c r="G2400" i="18" s="1"/>
  <c r="F2399" i="18"/>
  <c r="G2399" i="18" s="1"/>
  <c r="F2398" i="18"/>
  <c r="G2398" i="18" s="1"/>
  <c r="F2397" i="18"/>
  <c r="G2397" i="18" s="1"/>
  <c r="G2396" i="18"/>
  <c r="G2395" i="18"/>
  <c r="F2394" i="18"/>
  <c r="G2394" i="18" s="1"/>
  <c r="F2393" i="18"/>
  <c r="G2393" i="18" s="1"/>
  <c r="F2392" i="18"/>
  <c r="G2392" i="18" s="1"/>
  <c r="F2391" i="18"/>
  <c r="G2391" i="18" s="1"/>
  <c r="F2390" i="18"/>
  <c r="G2390" i="18" s="1"/>
  <c r="F2389" i="18"/>
  <c r="G2389" i="18" s="1"/>
  <c r="F2388" i="18"/>
  <c r="G2388" i="18" s="1"/>
  <c r="F2387" i="18"/>
  <c r="G2387" i="18" s="1"/>
  <c r="F2386" i="18"/>
  <c r="G2386" i="18" s="1"/>
  <c r="F2385" i="18"/>
  <c r="G2385" i="18" s="1"/>
  <c r="F2384" i="18"/>
  <c r="G2384" i="18" s="1"/>
  <c r="F2383" i="18"/>
  <c r="G2383" i="18" s="1"/>
  <c r="G2382" i="18"/>
  <c r="F2381" i="18"/>
  <c r="G2381" i="18" s="1"/>
  <c r="F2380" i="18"/>
  <c r="G2380" i="18" s="1"/>
  <c r="F2379" i="18"/>
  <c r="G2379" i="18" s="1"/>
  <c r="F2378" i="18"/>
  <c r="G2378" i="18" s="1"/>
  <c r="F2377" i="18"/>
  <c r="G2377" i="18" s="1"/>
  <c r="F2376" i="18"/>
  <c r="G2376" i="18" s="1"/>
  <c r="F2375" i="18"/>
  <c r="G2375" i="18" s="1"/>
  <c r="F2374" i="18"/>
  <c r="G2374" i="18" s="1"/>
  <c r="F2373" i="18"/>
  <c r="G2373" i="18" s="1"/>
  <c r="F2372" i="18"/>
  <c r="G2372" i="18" s="1"/>
  <c r="F2371" i="18"/>
  <c r="G2371" i="18" s="1"/>
  <c r="G2370" i="18"/>
  <c r="F2369" i="18"/>
  <c r="G2369" i="18" s="1"/>
  <c r="F2368" i="18"/>
  <c r="G2368" i="18" s="1"/>
  <c r="F2367" i="18"/>
  <c r="G2367" i="18" s="1"/>
  <c r="F2366" i="18"/>
  <c r="G2366" i="18" s="1"/>
  <c r="F2365" i="18"/>
  <c r="G2365" i="18" s="1"/>
  <c r="F2364" i="18"/>
  <c r="G2364" i="18" s="1"/>
  <c r="F2363" i="18"/>
  <c r="G2363" i="18" s="1"/>
  <c r="F2362" i="18"/>
  <c r="G2362" i="18" s="1"/>
  <c r="F2361" i="18"/>
  <c r="G2361" i="18" s="1"/>
  <c r="F2360" i="18"/>
  <c r="G2360" i="18" s="1"/>
  <c r="F2359" i="18"/>
  <c r="G2359" i="18" s="1"/>
  <c r="F2358" i="18"/>
  <c r="G2358" i="18" s="1"/>
  <c r="F2357" i="18"/>
  <c r="G2357" i="18" s="1"/>
  <c r="F2356" i="18"/>
  <c r="G2356" i="18" s="1"/>
  <c r="F2355" i="18"/>
  <c r="G2355" i="18" s="1"/>
  <c r="G2354" i="18"/>
  <c r="F2353" i="18"/>
  <c r="G2353" i="18" s="1"/>
  <c r="F2352" i="18"/>
  <c r="G2352" i="18" s="1"/>
  <c r="F2351" i="18"/>
  <c r="G2351" i="18" s="1"/>
  <c r="F2350" i="18"/>
  <c r="G2350" i="18" s="1"/>
  <c r="F2349" i="18"/>
  <c r="G2349" i="18" s="1"/>
  <c r="F2348" i="18"/>
  <c r="G2348" i="18" s="1"/>
  <c r="F2347" i="18"/>
  <c r="G2347" i="18" s="1"/>
  <c r="F2346" i="18"/>
  <c r="G2346" i="18" s="1"/>
  <c r="F2345" i="18"/>
  <c r="G2345" i="18" s="1"/>
  <c r="F2344" i="18"/>
  <c r="G2344" i="18" s="1"/>
  <c r="F2343" i="18"/>
  <c r="G2343" i="18" s="1"/>
  <c r="F2342" i="18"/>
  <c r="G2342" i="18" s="1"/>
  <c r="F2341" i="18"/>
  <c r="G2341" i="18" s="1"/>
  <c r="F2340" i="18"/>
  <c r="G2340" i="18" s="1"/>
  <c r="F2339" i="18"/>
  <c r="G2339" i="18" s="1"/>
  <c r="G2338" i="18"/>
  <c r="G2337" i="18"/>
  <c r="F2336" i="18"/>
  <c r="G2336" i="18" s="1"/>
  <c r="F2335" i="18"/>
  <c r="G2335" i="18" s="1"/>
  <c r="F2334" i="18"/>
  <c r="G2334" i="18" s="1"/>
  <c r="F2333" i="18"/>
  <c r="G2333" i="18" s="1"/>
  <c r="F2332" i="18"/>
  <c r="G2332" i="18" s="1"/>
  <c r="F2331" i="18"/>
  <c r="G2331" i="18" s="1"/>
  <c r="F2330" i="18"/>
  <c r="G2330" i="18" s="1"/>
  <c r="F2329" i="18"/>
  <c r="G2329" i="18" s="1"/>
  <c r="G2328" i="18"/>
  <c r="F2327" i="18"/>
  <c r="G2327" i="18" s="1"/>
  <c r="F2326" i="18"/>
  <c r="G2326" i="18" s="1"/>
  <c r="F2325" i="18"/>
  <c r="G2325" i="18" s="1"/>
  <c r="F2324" i="18"/>
  <c r="G2324" i="18" s="1"/>
  <c r="F2323" i="18"/>
  <c r="G2323" i="18" s="1"/>
  <c r="F2322" i="18"/>
  <c r="G2322" i="18" s="1"/>
  <c r="F2321" i="18"/>
  <c r="G2321" i="18" s="1"/>
  <c r="F2320" i="18"/>
  <c r="G2320" i="18" s="1"/>
  <c r="F2319" i="18"/>
  <c r="G2319" i="18" s="1"/>
  <c r="F2318" i="18"/>
  <c r="G2318" i="18" s="1"/>
  <c r="F2317" i="18"/>
  <c r="G2317" i="18" s="1"/>
  <c r="F2316" i="18"/>
  <c r="G2316" i="18" s="1"/>
  <c r="G2315" i="18"/>
  <c r="F2314" i="18"/>
  <c r="G2314" i="18" s="1"/>
  <c r="F2313" i="18"/>
  <c r="G2313" i="18" s="1"/>
  <c r="F2312" i="18"/>
  <c r="G2312" i="18" s="1"/>
  <c r="F2311" i="18"/>
  <c r="G2311" i="18" s="1"/>
  <c r="F2310" i="18"/>
  <c r="G2310" i="18" s="1"/>
  <c r="F2309" i="18"/>
  <c r="G2309" i="18" s="1"/>
  <c r="F2308" i="18"/>
  <c r="G2308" i="18" s="1"/>
  <c r="F2307" i="18"/>
  <c r="G2307" i="18" s="1"/>
  <c r="F2304" i="18"/>
  <c r="G2304" i="18" s="1"/>
  <c r="F2303" i="18"/>
  <c r="G2303" i="18" s="1"/>
  <c r="G2302" i="18"/>
  <c r="F2301" i="18"/>
  <c r="G2301" i="18" s="1"/>
  <c r="F2300" i="18"/>
  <c r="G2300" i="18" s="1"/>
  <c r="F2299" i="18"/>
  <c r="G2299" i="18" s="1"/>
  <c r="F2298" i="18"/>
  <c r="G2298" i="18" s="1"/>
  <c r="F2297" i="18"/>
  <c r="G2297" i="18" s="1"/>
  <c r="F2296" i="18"/>
  <c r="G2296" i="18" s="1"/>
  <c r="F2295" i="18"/>
  <c r="G2295" i="18" s="1"/>
  <c r="G2294" i="18"/>
  <c r="F2293" i="18"/>
  <c r="G2293" i="18" s="1"/>
  <c r="F2292" i="18"/>
  <c r="G2292" i="18" s="1"/>
  <c r="F2291" i="18"/>
  <c r="G2291" i="18" s="1"/>
  <c r="F2290" i="18"/>
  <c r="G2290" i="18" s="1"/>
  <c r="F2289" i="18"/>
  <c r="G2289" i="18" s="1"/>
  <c r="F2288" i="18"/>
  <c r="G2288" i="18" s="1"/>
  <c r="F2287" i="18"/>
  <c r="G2287" i="18" s="1"/>
  <c r="G2286" i="18"/>
  <c r="F2285" i="18"/>
  <c r="G2285" i="18" s="1"/>
  <c r="F2284" i="18"/>
  <c r="G2284" i="18" s="1"/>
  <c r="F2283" i="18"/>
  <c r="G2283" i="18" s="1"/>
  <c r="F2282" i="18"/>
  <c r="G2282" i="18" s="1"/>
  <c r="F2281" i="18"/>
  <c r="G2281" i="18" s="1"/>
  <c r="F2280" i="18"/>
  <c r="G2280" i="18" s="1"/>
  <c r="G2279" i="18"/>
  <c r="F2278" i="18"/>
  <c r="G2278" i="18" s="1"/>
  <c r="F2277" i="18"/>
  <c r="G2277" i="18" s="1"/>
  <c r="F2276" i="18"/>
  <c r="G2276" i="18" s="1"/>
  <c r="F2275" i="18"/>
  <c r="G2275" i="18" s="1"/>
  <c r="F2274" i="18"/>
  <c r="G2274" i="18" s="1"/>
  <c r="F2273" i="18"/>
  <c r="G2273" i="18" s="1"/>
  <c r="G2272" i="18"/>
  <c r="F2271" i="18"/>
  <c r="G2271" i="18" s="1"/>
  <c r="F2270" i="18"/>
  <c r="G2270" i="18" s="1"/>
  <c r="F2269" i="18"/>
  <c r="G2269" i="18" s="1"/>
  <c r="F2268" i="18"/>
  <c r="G2268" i="18" s="1"/>
  <c r="F2267" i="18"/>
  <c r="G2267" i="18" s="1"/>
  <c r="F2266" i="18"/>
  <c r="G2266" i="18" s="1"/>
  <c r="F2265" i="18"/>
  <c r="G2265" i="18" s="1"/>
  <c r="F2264" i="18"/>
  <c r="G2264" i="18" s="1"/>
  <c r="F2263" i="18"/>
  <c r="G2263" i="18" s="1"/>
  <c r="F2262" i="18"/>
  <c r="G2262" i="18" s="1"/>
  <c r="F2261" i="18"/>
  <c r="G2261" i="18" s="1"/>
  <c r="F2260" i="18"/>
  <c r="G2260" i="18" s="1"/>
  <c r="G2259" i="18"/>
  <c r="F2258" i="18"/>
  <c r="G2258" i="18" s="1"/>
  <c r="F2257" i="18"/>
  <c r="G2257" i="18" s="1"/>
  <c r="F2256" i="18"/>
  <c r="G2256" i="18" s="1"/>
  <c r="G2244" i="18"/>
  <c r="G2238" i="18"/>
  <c r="F2234" i="18"/>
  <c r="G2234" i="18" s="1"/>
  <c r="F2233" i="18"/>
  <c r="G2233" i="18" s="1"/>
  <c r="F2232" i="18"/>
  <c r="G2232" i="18" s="1"/>
  <c r="F2231" i="18"/>
  <c r="G2231" i="18" s="1"/>
  <c r="F2230" i="18"/>
  <c r="G2230" i="18" s="1"/>
  <c r="F2227" i="18"/>
  <c r="G2227" i="18" s="1"/>
  <c r="F2226" i="18"/>
  <c r="G2226" i="18" s="1"/>
  <c r="F2225" i="18"/>
  <c r="G2225" i="18" s="1"/>
  <c r="F2224" i="18"/>
  <c r="G2224" i="18" s="1"/>
  <c r="F2223" i="18"/>
  <c r="G2223" i="18" s="1"/>
  <c r="F2222" i="18"/>
  <c r="G2222" i="18" s="1"/>
  <c r="G2221" i="18"/>
  <c r="F2220" i="18"/>
  <c r="G2220" i="18" s="1"/>
  <c r="F2219" i="18"/>
  <c r="G2219" i="18" s="1"/>
  <c r="F2218" i="18"/>
  <c r="G2218" i="18" s="1"/>
  <c r="F2217" i="18"/>
  <c r="G2217" i="18" s="1"/>
  <c r="F2216" i="18"/>
  <c r="G2216" i="18" s="1"/>
  <c r="F2215" i="18"/>
  <c r="G2215" i="18" s="1"/>
  <c r="G2214" i="18"/>
  <c r="F2213" i="18"/>
  <c r="G2213" i="18" s="1"/>
  <c r="F2212" i="18"/>
  <c r="G2212" i="18" s="1"/>
  <c r="F2211" i="18"/>
  <c r="G2211" i="18" s="1"/>
  <c r="F2210" i="18"/>
  <c r="G2210" i="18" s="1"/>
  <c r="F2209" i="18"/>
  <c r="G2209" i="18" s="1"/>
  <c r="F2208" i="18"/>
  <c r="G2208" i="18" s="1"/>
  <c r="F2207" i="18"/>
  <c r="G2207" i="18" s="1"/>
  <c r="F2206" i="18"/>
  <c r="G2206" i="18" s="1"/>
  <c r="F2205" i="18"/>
  <c r="G2205" i="18" s="1"/>
  <c r="F2204" i="18"/>
  <c r="G2204" i="18" s="1"/>
  <c r="F2203" i="18"/>
  <c r="G2203" i="18" s="1"/>
  <c r="F2202" i="18"/>
  <c r="G2202" i="18" s="1"/>
  <c r="G2201" i="18"/>
  <c r="F2200" i="18"/>
  <c r="G2200" i="18" s="1"/>
  <c r="F2199" i="18"/>
  <c r="G2199" i="18" s="1"/>
  <c r="F2198" i="18"/>
  <c r="G2198" i="18" s="1"/>
  <c r="F2197" i="18"/>
  <c r="G2197" i="18" s="1"/>
  <c r="F2196" i="18"/>
  <c r="G2196" i="18" s="1"/>
  <c r="F2195" i="18"/>
  <c r="G2195" i="18" s="1"/>
  <c r="F2194" i="18"/>
  <c r="G2194" i="18" s="1"/>
  <c r="F2193" i="18"/>
  <c r="G2193" i="18" s="1"/>
  <c r="F2192" i="18"/>
  <c r="G2192" i="18" s="1"/>
  <c r="F2191" i="18"/>
  <c r="G2191" i="18" s="1"/>
  <c r="F2190" i="18"/>
  <c r="G2190" i="18" s="1"/>
  <c r="G2189" i="18"/>
  <c r="G2188" i="18"/>
  <c r="F2168" i="18"/>
  <c r="G2168" i="18" s="1"/>
  <c r="F2167" i="18"/>
  <c r="G2167" i="18" s="1"/>
  <c r="F2166" i="18"/>
  <c r="G2166" i="18" s="1"/>
  <c r="F2165" i="18"/>
  <c r="G2165" i="18" s="1"/>
  <c r="G2164" i="18"/>
  <c r="F2161" i="18"/>
  <c r="G2161" i="18" s="1"/>
  <c r="G2160" i="18"/>
  <c r="F2159" i="18"/>
  <c r="G2159" i="18" s="1"/>
  <c r="F2158" i="18"/>
  <c r="G2158" i="18" s="1"/>
  <c r="F2157" i="18"/>
  <c r="G2157" i="18" s="1"/>
  <c r="F2156" i="18"/>
  <c r="G2156" i="18" s="1"/>
  <c r="G2155" i="18"/>
  <c r="F2154" i="18"/>
  <c r="G2154" i="18" s="1"/>
  <c r="F2153" i="18"/>
  <c r="G2153" i="18" s="1"/>
  <c r="G2152" i="18"/>
  <c r="G2151" i="18"/>
  <c r="F2150" i="18"/>
  <c r="G2150" i="18" s="1"/>
  <c r="F2149" i="18"/>
  <c r="G2149" i="18" s="1"/>
  <c r="F2148" i="18"/>
  <c r="G2148" i="18" s="1"/>
  <c r="F2147" i="18"/>
  <c r="G2147" i="18" s="1"/>
  <c r="G2146" i="18"/>
  <c r="F2145" i="18"/>
  <c r="G2145" i="18" s="1"/>
  <c r="F2144" i="18"/>
  <c r="G2144" i="18" s="1"/>
  <c r="F2143" i="18"/>
  <c r="G2143" i="18" s="1"/>
  <c r="F2142" i="18"/>
  <c r="G2142" i="18" s="1"/>
  <c r="G2141" i="18"/>
  <c r="F2140" i="18"/>
  <c r="G2140" i="18" s="1"/>
  <c r="F2139" i="18"/>
  <c r="G2139" i="18" s="1"/>
  <c r="G2138" i="18"/>
  <c r="G2137" i="18"/>
  <c r="F2136" i="18"/>
  <c r="G2136" i="18" s="1"/>
  <c r="F2135" i="18"/>
  <c r="G2135" i="18" s="1"/>
  <c r="F2134" i="18"/>
  <c r="G2134" i="18" s="1"/>
  <c r="F2133" i="18"/>
  <c r="G2133" i="18" s="1"/>
  <c r="F2132" i="18"/>
  <c r="G2132" i="18" s="1"/>
  <c r="F2131" i="18"/>
  <c r="G2131" i="18" s="1"/>
  <c r="F2130" i="18"/>
  <c r="G2130" i="18" s="1"/>
  <c r="F2129" i="18"/>
  <c r="G2129" i="18" s="1"/>
  <c r="F2128" i="18"/>
  <c r="G2128" i="18" s="1"/>
  <c r="F2127" i="18"/>
  <c r="G2127" i="18" s="1"/>
  <c r="F2126" i="18"/>
  <c r="G2126" i="18" s="1"/>
  <c r="F2125" i="18"/>
  <c r="G2125" i="18" s="1"/>
  <c r="F2124" i="18"/>
  <c r="G2124" i="18" s="1"/>
  <c r="F2123" i="18"/>
  <c r="G2123" i="18" s="1"/>
  <c r="F2122" i="18"/>
  <c r="G2122" i="18" s="1"/>
  <c r="F2121" i="18"/>
  <c r="G2121" i="18" s="1"/>
  <c r="F2120" i="18"/>
  <c r="G2120" i="18" s="1"/>
  <c r="F2063" i="18"/>
  <c r="G2063" i="18" s="1"/>
  <c r="F2062" i="18"/>
  <c r="G2062" i="18" s="1"/>
  <c r="F2061" i="18"/>
  <c r="G2061" i="18" s="1"/>
  <c r="F2060" i="18"/>
  <c r="G2060" i="18" s="1"/>
  <c r="F2059" i="18"/>
  <c r="G2059" i="18" s="1"/>
  <c r="F2058" i="18"/>
  <c r="G2058" i="18" s="1"/>
  <c r="F2057" i="18"/>
  <c r="G2057" i="18" s="1"/>
  <c r="F2056" i="18"/>
  <c r="G2056" i="18" s="1"/>
  <c r="F2055" i="18"/>
  <c r="G2055" i="18" s="1"/>
  <c r="F2054" i="18"/>
  <c r="G2054" i="18" s="1"/>
  <c r="F2053" i="18"/>
  <c r="G2053" i="18" s="1"/>
  <c r="F2052" i="18"/>
  <c r="G2052" i="18" s="1"/>
  <c r="F2051" i="18"/>
  <c r="G2051" i="18" s="1"/>
  <c r="F2050" i="18"/>
  <c r="G2050" i="18" s="1"/>
  <c r="F2049" i="18"/>
  <c r="G2049" i="18" s="1"/>
  <c r="F2048" i="18"/>
  <c r="G2048" i="18" s="1"/>
  <c r="F2047" i="18"/>
  <c r="G2047" i="18" s="1"/>
  <c r="F2046" i="18"/>
  <c r="G2046" i="18" s="1"/>
  <c r="F2045" i="18"/>
  <c r="G2045" i="18" s="1"/>
  <c r="F2044" i="18"/>
  <c r="G2044" i="18" s="1"/>
  <c r="F2043" i="18"/>
  <c r="G2043" i="18" s="1"/>
  <c r="F2042" i="18"/>
  <c r="G2042" i="18" s="1"/>
  <c r="F2041" i="18"/>
  <c r="G2041" i="18" s="1"/>
  <c r="F2040" i="18"/>
  <c r="G2040" i="18" s="1"/>
  <c r="G2039" i="18"/>
  <c r="F2037" i="18"/>
  <c r="G2037" i="18" s="1"/>
  <c r="F2036" i="18"/>
  <c r="G2036" i="18" s="1"/>
  <c r="F2035" i="18"/>
  <c r="G2035" i="18" s="1"/>
  <c r="F2034" i="18"/>
  <c r="G2034" i="18" s="1"/>
  <c r="F2033" i="18"/>
  <c r="G2033" i="18" s="1"/>
  <c r="F2032" i="18"/>
  <c r="G2032" i="18" s="1"/>
  <c r="F2031" i="18"/>
  <c r="G2031" i="18" s="1"/>
  <c r="G2030" i="18"/>
  <c r="G2014" i="18"/>
  <c r="G2006" i="18"/>
  <c r="G1998" i="18"/>
  <c r="G1997" i="18"/>
  <c r="G1996" i="18"/>
  <c r="G1988" i="18"/>
  <c r="G1975" i="18"/>
  <c r="G1962" i="18"/>
  <c r="G1948" i="18"/>
  <c r="E1948" i="18"/>
  <c r="F1942" i="18"/>
  <c r="G1942" i="18" s="1"/>
  <c r="F1941" i="18"/>
  <c r="G1941" i="18" s="1"/>
  <c r="F1940" i="18"/>
  <c r="G1940" i="18" s="1"/>
  <c r="F1939" i="18"/>
  <c r="G1939" i="18" s="1"/>
  <c r="F1938" i="18"/>
  <c r="G1938" i="18" s="1"/>
  <c r="F1937" i="18"/>
  <c r="G1937" i="18" s="1"/>
  <c r="F1936" i="18"/>
  <c r="G1936" i="18" s="1"/>
  <c r="G1935" i="18"/>
  <c r="G1934" i="18"/>
  <c r="F1933" i="18"/>
  <c r="G1933" i="18" s="1"/>
  <c r="F1932" i="18"/>
  <c r="G1932" i="18" s="1"/>
  <c r="F1931" i="18"/>
  <c r="G1931" i="18" s="1"/>
  <c r="F1930" i="18"/>
  <c r="G1930" i="18" s="1"/>
  <c r="F1929" i="18"/>
  <c r="G1929" i="18" s="1"/>
  <c r="F1928" i="18"/>
  <c r="G1928" i="18" s="1"/>
  <c r="F1927" i="18"/>
  <c r="G1927" i="18" s="1"/>
  <c r="F1926" i="18"/>
  <c r="G1926" i="18" s="1"/>
  <c r="F1925" i="18"/>
  <c r="G1925" i="18" s="1"/>
  <c r="F1924" i="18"/>
  <c r="G1924" i="18" s="1"/>
  <c r="F1923" i="18"/>
  <c r="G1923" i="18" s="1"/>
  <c r="G1922" i="18"/>
  <c r="F1921" i="18"/>
  <c r="G1921" i="18" s="1"/>
  <c r="F1920" i="18"/>
  <c r="G1920" i="18" s="1"/>
  <c r="F1919" i="18"/>
  <c r="G1919" i="18" s="1"/>
  <c r="F1918" i="18"/>
  <c r="G1918" i="18" s="1"/>
  <c r="F1917" i="18"/>
  <c r="G1917" i="18" s="1"/>
  <c r="F1916" i="18"/>
  <c r="G1916" i="18" s="1"/>
  <c r="F1911" i="18"/>
  <c r="G1911" i="18" s="1"/>
  <c r="F1910" i="18"/>
  <c r="G1910" i="18" s="1"/>
  <c r="F1908" i="18"/>
  <c r="G1908" i="18" s="1"/>
  <c r="F1907" i="18"/>
  <c r="G1907" i="18" s="1"/>
  <c r="F1906" i="18"/>
  <c r="G1906" i="18" s="1"/>
  <c r="F1905" i="18"/>
  <c r="G1905" i="18" s="1"/>
  <c r="F1904" i="18"/>
  <c r="G1904" i="18" s="1"/>
  <c r="F1903" i="18"/>
  <c r="G1903" i="18" s="1"/>
  <c r="F1902" i="18"/>
  <c r="G1902" i="18" s="1"/>
  <c r="F1901" i="18"/>
  <c r="G1901" i="18" s="1"/>
  <c r="F1900" i="18"/>
  <c r="G1900" i="18" s="1"/>
  <c r="F1899" i="18"/>
  <c r="G1899" i="18" s="1"/>
  <c r="F1898" i="18"/>
  <c r="G1898" i="18" s="1"/>
  <c r="F1897" i="18"/>
  <c r="G1897" i="18" s="1"/>
  <c r="G1896" i="18"/>
  <c r="F1895" i="18"/>
  <c r="G1895" i="18" s="1"/>
  <c r="F1894" i="18"/>
  <c r="G1894" i="18" s="1"/>
  <c r="F1893" i="18"/>
  <c r="G1893" i="18" s="1"/>
  <c r="F1892" i="18"/>
  <c r="G1892" i="18" s="1"/>
  <c r="F1891" i="18"/>
  <c r="G1891" i="18" s="1"/>
  <c r="F1890" i="18"/>
  <c r="G1890" i="18" s="1"/>
  <c r="F1889" i="18"/>
  <c r="G1889" i="18" s="1"/>
  <c r="F1888" i="18"/>
  <c r="G1888" i="18" s="1"/>
  <c r="F1887" i="18"/>
  <c r="G1887" i="18" s="1"/>
  <c r="F1886" i="18"/>
  <c r="G1886" i="18" s="1"/>
  <c r="F1885" i="18"/>
  <c r="G1885" i="18" s="1"/>
  <c r="F1884" i="18"/>
  <c r="G1884" i="18" s="1"/>
  <c r="G1883" i="18"/>
  <c r="F1881" i="18"/>
  <c r="G1881" i="18" s="1"/>
  <c r="F1880" i="18"/>
  <c r="G1880" i="18" s="1"/>
  <c r="F1879" i="18"/>
  <c r="G1879" i="18" s="1"/>
  <c r="F1878" i="18"/>
  <c r="G1878" i="18" s="1"/>
  <c r="F1877" i="18"/>
  <c r="G1877" i="18" s="1"/>
  <c r="F1876" i="18"/>
  <c r="G1876" i="18" s="1"/>
  <c r="F1875" i="18"/>
  <c r="G1875" i="18" s="1"/>
  <c r="F1874" i="18"/>
  <c r="G1874" i="18" s="1"/>
  <c r="F1873" i="18"/>
  <c r="G1873" i="18" s="1"/>
  <c r="F1872" i="18"/>
  <c r="G1872" i="18" s="1"/>
  <c r="F1871" i="18"/>
  <c r="G1871" i="18" s="1"/>
  <c r="F1870" i="18"/>
  <c r="G1870" i="18" s="1"/>
  <c r="G1869" i="18"/>
  <c r="F1868" i="18"/>
  <c r="G1868" i="18" s="1"/>
  <c r="F1867" i="18"/>
  <c r="G1867" i="18" s="1"/>
  <c r="F1866" i="18"/>
  <c r="G1866" i="18" s="1"/>
  <c r="F1865" i="18"/>
  <c r="G1865" i="18" s="1"/>
  <c r="F1864" i="18"/>
  <c r="G1864" i="18" s="1"/>
  <c r="F1863" i="18"/>
  <c r="G1863" i="18" s="1"/>
  <c r="F1862" i="18"/>
  <c r="G1862" i="18" s="1"/>
  <c r="F1861" i="18"/>
  <c r="G1861" i="18" s="1"/>
  <c r="F1860" i="18"/>
  <c r="G1860" i="18" s="1"/>
  <c r="F1859" i="18"/>
  <c r="G1859" i="18" s="1"/>
  <c r="F1858" i="18"/>
  <c r="G1858" i="18" s="1"/>
  <c r="F1857" i="18"/>
  <c r="G1857" i="18" s="1"/>
  <c r="G1856" i="18"/>
  <c r="G1855" i="18"/>
  <c r="F1854" i="18"/>
  <c r="G1854" i="18" s="1"/>
  <c r="F1853" i="18"/>
  <c r="G1853" i="18" s="1"/>
  <c r="F1852" i="18"/>
  <c r="G1852" i="18" s="1"/>
  <c r="F1851" i="18"/>
  <c r="G1851" i="18" s="1"/>
  <c r="F1850" i="18"/>
  <c r="G1850" i="18" s="1"/>
  <c r="F1849" i="18"/>
  <c r="G1849" i="18" s="1"/>
  <c r="F1848" i="18"/>
  <c r="G1848" i="18" s="1"/>
  <c r="F1847" i="18"/>
  <c r="G1847" i="18" s="1"/>
  <c r="F1846" i="18"/>
  <c r="G1846" i="18" s="1"/>
  <c r="F1845" i="18"/>
  <c r="G1845" i="18" s="1"/>
  <c r="F1844" i="18"/>
  <c r="G1844" i="18" s="1"/>
  <c r="F1843" i="18"/>
  <c r="G1843" i="18" s="1"/>
  <c r="F1842" i="18"/>
  <c r="G1842" i="18" s="1"/>
  <c r="F1841" i="18"/>
  <c r="G1841" i="18" s="1"/>
  <c r="F1840" i="18"/>
  <c r="G1840" i="18" s="1"/>
  <c r="F1839" i="18"/>
  <c r="G1839" i="18" s="1"/>
  <c r="F1838" i="18"/>
  <c r="G1838" i="18" s="1"/>
  <c r="F1837" i="18"/>
  <c r="G1837" i="18" s="1"/>
  <c r="F1836" i="18"/>
  <c r="G1836" i="18" s="1"/>
  <c r="F1835" i="18"/>
  <c r="G1835" i="18" s="1"/>
  <c r="F1834" i="18"/>
  <c r="G1834" i="18" s="1"/>
  <c r="F1833" i="18"/>
  <c r="G1833" i="18" s="1"/>
  <c r="F1832" i="18"/>
  <c r="G1832" i="18" s="1"/>
  <c r="F1831" i="18"/>
  <c r="G1831" i="18" s="1"/>
  <c r="F1830" i="18"/>
  <c r="G1830" i="18" s="1"/>
  <c r="F1829" i="18"/>
  <c r="G1829" i="18" s="1"/>
  <c r="F1828" i="18"/>
  <c r="G1828" i="18" s="1"/>
  <c r="F1827" i="18"/>
  <c r="G1827" i="18" s="1"/>
  <c r="F1826" i="18"/>
  <c r="G1826" i="18" s="1"/>
  <c r="F1825" i="18"/>
  <c r="G1825" i="18" s="1"/>
  <c r="F1824" i="18"/>
  <c r="G1824" i="18" s="1"/>
  <c r="F1823" i="18"/>
  <c r="G1823" i="18" s="1"/>
  <c r="F1822" i="18"/>
  <c r="G1822" i="18" s="1"/>
  <c r="F1821" i="18"/>
  <c r="G1821" i="18" s="1"/>
  <c r="F1820" i="18"/>
  <c r="G1820" i="18" s="1"/>
  <c r="F1819" i="18"/>
  <c r="G1819" i="18" s="1"/>
  <c r="F1818" i="18"/>
  <c r="G1818" i="18" s="1"/>
  <c r="F1817" i="18"/>
  <c r="G1817" i="18" s="1"/>
  <c r="F1816" i="18"/>
  <c r="G1816" i="18" s="1"/>
  <c r="F1815" i="18"/>
  <c r="G1815" i="18" s="1"/>
  <c r="F1814" i="18"/>
  <c r="G1814" i="18" s="1"/>
  <c r="F1813" i="18"/>
  <c r="G1813" i="18" s="1"/>
  <c r="F1812" i="18"/>
  <c r="G1812" i="18" s="1"/>
  <c r="F1811" i="18"/>
  <c r="G1811" i="18" s="1"/>
  <c r="F1810" i="18"/>
  <c r="G1810" i="18" s="1"/>
  <c r="F1809" i="18"/>
  <c r="G1809" i="18" s="1"/>
  <c r="F1808" i="18"/>
  <c r="G1808" i="18" s="1"/>
  <c r="F1807" i="18"/>
  <c r="G1807" i="18" s="1"/>
  <c r="F1806" i="18"/>
  <c r="G1806" i="18" s="1"/>
  <c r="F1805" i="18"/>
  <c r="G1805" i="18" s="1"/>
  <c r="F1804" i="18"/>
  <c r="G1804" i="18" s="1"/>
  <c r="F1803" i="18"/>
  <c r="G1803" i="18" s="1"/>
  <c r="F1802" i="18"/>
  <c r="G1802" i="18" s="1"/>
  <c r="F1801" i="18"/>
  <c r="G1801" i="18" s="1"/>
  <c r="F1800" i="18"/>
  <c r="G1800" i="18" s="1"/>
  <c r="F1799" i="18"/>
  <c r="G1799" i="18" s="1"/>
  <c r="F1798" i="18"/>
  <c r="G1798" i="18" s="1"/>
  <c r="F1797" i="18"/>
  <c r="G1797" i="18" s="1"/>
  <c r="F1796" i="18"/>
  <c r="G1796" i="18" s="1"/>
  <c r="G1795" i="18"/>
  <c r="F1794" i="18"/>
  <c r="G1794" i="18" s="1"/>
  <c r="F1793" i="18"/>
  <c r="G1793" i="18" s="1"/>
  <c r="F1792" i="18"/>
  <c r="G1792" i="18" s="1"/>
  <c r="F1791" i="18"/>
  <c r="G1791" i="18" s="1"/>
  <c r="F1790" i="18"/>
  <c r="G1790" i="18" s="1"/>
  <c r="F1789" i="18"/>
  <c r="G1789" i="18" s="1"/>
  <c r="F1788" i="18"/>
  <c r="G1788" i="18" s="1"/>
  <c r="F1787" i="18"/>
  <c r="G1787" i="18" s="1"/>
  <c r="F1786" i="18"/>
  <c r="G1786" i="18" s="1"/>
  <c r="F1785" i="18"/>
  <c r="G1785" i="18" s="1"/>
  <c r="F1784" i="18"/>
  <c r="G1784" i="18" s="1"/>
  <c r="F1783" i="18"/>
  <c r="G1783" i="18" s="1"/>
  <c r="F1782" i="18"/>
  <c r="G1782" i="18" s="1"/>
  <c r="F1781" i="18"/>
  <c r="G1781" i="18" s="1"/>
  <c r="F1780" i="18"/>
  <c r="G1780" i="18" s="1"/>
  <c r="F1779" i="18"/>
  <c r="G1779" i="18" s="1"/>
  <c r="F1778" i="18"/>
  <c r="G1778" i="18" s="1"/>
  <c r="F1777" i="18"/>
  <c r="G1777" i="18" s="1"/>
  <c r="F1776" i="18"/>
  <c r="G1776" i="18" s="1"/>
  <c r="F1775" i="18"/>
  <c r="G1775" i="18" s="1"/>
  <c r="F1774" i="18"/>
  <c r="G1774" i="18" s="1"/>
  <c r="F1773" i="18"/>
  <c r="G1773" i="18" s="1"/>
  <c r="F1772" i="18"/>
  <c r="G1772" i="18" s="1"/>
  <c r="F1771" i="18"/>
  <c r="G1771" i="18" s="1"/>
  <c r="F1770" i="18"/>
  <c r="G1770" i="18" s="1"/>
  <c r="F1769" i="18"/>
  <c r="G1769" i="18" s="1"/>
  <c r="F1768" i="18"/>
  <c r="G1768" i="18" s="1"/>
  <c r="F1767" i="18"/>
  <c r="G1767" i="18" s="1"/>
  <c r="F1766" i="18"/>
  <c r="G1766" i="18" s="1"/>
  <c r="F1765" i="18"/>
  <c r="G1765" i="18" s="1"/>
  <c r="F1764" i="18"/>
  <c r="G1764" i="18" s="1"/>
  <c r="F1763" i="18"/>
  <c r="G1763" i="18" s="1"/>
  <c r="F1762" i="18"/>
  <c r="G1762" i="18" s="1"/>
  <c r="F1761" i="18"/>
  <c r="G1761" i="18" s="1"/>
  <c r="F1760" i="18"/>
  <c r="G1760" i="18" s="1"/>
  <c r="F1759" i="18"/>
  <c r="G1759" i="18" s="1"/>
  <c r="F1758" i="18"/>
  <c r="G1758" i="18" s="1"/>
  <c r="F1757" i="18"/>
  <c r="G1757" i="18" s="1"/>
  <c r="F1756" i="18"/>
  <c r="G1756" i="18" s="1"/>
  <c r="F1755" i="18"/>
  <c r="G1755" i="18" s="1"/>
  <c r="F1754" i="18"/>
  <c r="G1754" i="18" s="1"/>
  <c r="F1753" i="18"/>
  <c r="G1753" i="18" s="1"/>
  <c r="F1752" i="18"/>
  <c r="G1752" i="18" s="1"/>
  <c r="F1751" i="18"/>
  <c r="G1751" i="18" s="1"/>
  <c r="F1750" i="18"/>
  <c r="G1750" i="18" s="1"/>
  <c r="F1749" i="18"/>
  <c r="G1749" i="18" s="1"/>
  <c r="F1748" i="18"/>
  <c r="G1748" i="18" s="1"/>
  <c r="F1747" i="18"/>
  <c r="G1747" i="18" s="1"/>
  <c r="F1746" i="18"/>
  <c r="G1746" i="18" s="1"/>
  <c r="F1745" i="18"/>
  <c r="G1745" i="18" s="1"/>
  <c r="F1744" i="18"/>
  <c r="G1744" i="18" s="1"/>
  <c r="F1743" i="18"/>
  <c r="G1743" i="18" s="1"/>
  <c r="F1742" i="18"/>
  <c r="G1742" i="18" s="1"/>
  <c r="F1741" i="18"/>
  <c r="G1741" i="18" s="1"/>
  <c r="F1740" i="18"/>
  <c r="G1740" i="18" s="1"/>
  <c r="F1739" i="18"/>
  <c r="G1739" i="18" s="1"/>
  <c r="F1738" i="18"/>
  <c r="G1738" i="18" s="1"/>
  <c r="F1737" i="18"/>
  <c r="G1737" i="18" s="1"/>
  <c r="F1736" i="18"/>
  <c r="G1736" i="18" s="1"/>
  <c r="G1735" i="18"/>
  <c r="F1734" i="18"/>
  <c r="G1734" i="18" s="1"/>
  <c r="F1733" i="18"/>
  <c r="G1733" i="18" s="1"/>
  <c r="F1732" i="18"/>
  <c r="G1732" i="18" s="1"/>
  <c r="F1731" i="18"/>
  <c r="G1731" i="18" s="1"/>
  <c r="F1730" i="18"/>
  <c r="G1730" i="18" s="1"/>
  <c r="F1729" i="18"/>
  <c r="G1729" i="18" s="1"/>
  <c r="F1728" i="18"/>
  <c r="G1728" i="18" s="1"/>
  <c r="F1727" i="18"/>
  <c r="G1727" i="18" s="1"/>
  <c r="F1726" i="18"/>
  <c r="G1726" i="18" s="1"/>
  <c r="F1725" i="18"/>
  <c r="G1725" i="18" s="1"/>
  <c r="F1724" i="18"/>
  <c r="G1724" i="18" s="1"/>
  <c r="F1723" i="18"/>
  <c r="G1723" i="18" s="1"/>
  <c r="F1722" i="18"/>
  <c r="G1722" i="18" s="1"/>
  <c r="F1721" i="18"/>
  <c r="G1721" i="18" s="1"/>
  <c r="F1720" i="18"/>
  <c r="G1720" i="18" s="1"/>
  <c r="F1719" i="18"/>
  <c r="G1719" i="18" s="1"/>
  <c r="F1718" i="18"/>
  <c r="G1718" i="18" s="1"/>
  <c r="F1717" i="18"/>
  <c r="G1717" i="18" s="1"/>
  <c r="F1716" i="18"/>
  <c r="G1716" i="18" s="1"/>
  <c r="F1715" i="18"/>
  <c r="G1715" i="18" s="1"/>
  <c r="F1714" i="18"/>
  <c r="G1714" i="18" s="1"/>
  <c r="F1713" i="18"/>
  <c r="G1713" i="18" s="1"/>
  <c r="F1712" i="18"/>
  <c r="G1712" i="18" s="1"/>
  <c r="F1711" i="18"/>
  <c r="G1711" i="18" s="1"/>
  <c r="F1710" i="18"/>
  <c r="G1710" i="18" s="1"/>
  <c r="F1709" i="18"/>
  <c r="G1709" i="18" s="1"/>
  <c r="F1708" i="18"/>
  <c r="G1708" i="18" s="1"/>
  <c r="F1707" i="18"/>
  <c r="G1707" i="18" s="1"/>
  <c r="F1706" i="18"/>
  <c r="G1706" i="18" s="1"/>
  <c r="F1705" i="18"/>
  <c r="G1705" i="18" s="1"/>
  <c r="F1704" i="18"/>
  <c r="G1704" i="18" s="1"/>
  <c r="F1703" i="18"/>
  <c r="G1703" i="18" s="1"/>
  <c r="F1702" i="18"/>
  <c r="G1702" i="18" s="1"/>
  <c r="F1701" i="18"/>
  <c r="G1701" i="18" s="1"/>
  <c r="F1700" i="18"/>
  <c r="G1700" i="18" s="1"/>
  <c r="F1699" i="18"/>
  <c r="G1699" i="18" s="1"/>
  <c r="F1698" i="18"/>
  <c r="G1698" i="18" s="1"/>
  <c r="F1697" i="18"/>
  <c r="G1697" i="18" s="1"/>
  <c r="F1696" i="18"/>
  <c r="G1696" i="18" s="1"/>
  <c r="F1695" i="18"/>
  <c r="G1695" i="18" s="1"/>
  <c r="F1694" i="18"/>
  <c r="G1694" i="18" s="1"/>
  <c r="F1693" i="18"/>
  <c r="G1693" i="18" s="1"/>
  <c r="F1692" i="18"/>
  <c r="G1692" i="18" s="1"/>
  <c r="F1691" i="18"/>
  <c r="G1691" i="18" s="1"/>
  <c r="F1690" i="18"/>
  <c r="G1690" i="18" s="1"/>
  <c r="F1689" i="18"/>
  <c r="G1689" i="18" s="1"/>
  <c r="F1688" i="18"/>
  <c r="G1688" i="18" s="1"/>
  <c r="F1687" i="18"/>
  <c r="G1687" i="18" s="1"/>
  <c r="F1686" i="18"/>
  <c r="G1686" i="18" s="1"/>
  <c r="F1685" i="18"/>
  <c r="G1685" i="18" s="1"/>
  <c r="F1684" i="18"/>
  <c r="G1684" i="18" s="1"/>
  <c r="F1683" i="18"/>
  <c r="G1683" i="18" s="1"/>
  <c r="F1682" i="18"/>
  <c r="G1682" i="18" s="1"/>
  <c r="F1681" i="18"/>
  <c r="G1681" i="18" s="1"/>
  <c r="F1680" i="18"/>
  <c r="G1680" i="18" s="1"/>
  <c r="F1679" i="18"/>
  <c r="G1679" i="18" s="1"/>
  <c r="F1678" i="18"/>
  <c r="G1678" i="18" s="1"/>
  <c r="F1677" i="18"/>
  <c r="G1677" i="18" s="1"/>
  <c r="F1676" i="18"/>
  <c r="G1676" i="18" s="1"/>
  <c r="G1675" i="18"/>
  <c r="G1674" i="18"/>
  <c r="F1673" i="18"/>
  <c r="G1673" i="18" s="1"/>
  <c r="F1672" i="18"/>
  <c r="G1672" i="18" s="1"/>
  <c r="F1671" i="18"/>
  <c r="G1671" i="18" s="1"/>
  <c r="F1670" i="18"/>
  <c r="G1670" i="18" s="1"/>
  <c r="F1669" i="18"/>
  <c r="G1669" i="18" s="1"/>
  <c r="F1668" i="18"/>
  <c r="G1668" i="18" s="1"/>
  <c r="F1667" i="18"/>
  <c r="G1667" i="18" s="1"/>
  <c r="F1666" i="18"/>
  <c r="G1666" i="18" s="1"/>
  <c r="F1665" i="18"/>
  <c r="G1665" i="18" s="1"/>
  <c r="F1664" i="18"/>
  <c r="G1664" i="18" s="1"/>
  <c r="F1663" i="18"/>
  <c r="G1663" i="18" s="1"/>
  <c r="F1662" i="18"/>
  <c r="G1662" i="18" s="1"/>
  <c r="F1661" i="18"/>
  <c r="G1661" i="18" s="1"/>
  <c r="F1660" i="18"/>
  <c r="G1660" i="18" s="1"/>
  <c r="F1659" i="18"/>
  <c r="G1659" i="18" s="1"/>
  <c r="F1658" i="18"/>
  <c r="G1658" i="18" s="1"/>
  <c r="F1657" i="18"/>
  <c r="G1657" i="18" s="1"/>
  <c r="F1656" i="18"/>
  <c r="G1656" i="18" s="1"/>
  <c r="F1655" i="18"/>
  <c r="G1655" i="18" s="1"/>
  <c r="F1654" i="18"/>
  <c r="G1654" i="18" s="1"/>
  <c r="F1653" i="18"/>
  <c r="G1653" i="18" s="1"/>
  <c r="F1652" i="18"/>
  <c r="G1652" i="18" s="1"/>
  <c r="F1651" i="18"/>
  <c r="G1651" i="18" s="1"/>
  <c r="F1650" i="18"/>
  <c r="G1650" i="18" s="1"/>
  <c r="F1649" i="18"/>
  <c r="G1649" i="18" s="1"/>
  <c r="F1648" i="18"/>
  <c r="G1648" i="18" s="1"/>
  <c r="F1647" i="18"/>
  <c r="G1647" i="18" s="1"/>
  <c r="F1646" i="18"/>
  <c r="G1646" i="18" s="1"/>
  <c r="F1645" i="18"/>
  <c r="G1645" i="18" s="1"/>
  <c r="F1644" i="18"/>
  <c r="G1644" i="18" s="1"/>
  <c r="F1643" i="18"/>
  <c r="G1643" i="18" s="1"/>
  <c r="F1642" i="18"/>
  <c r="G1642" i="18" s="1"/>
  <c r="F1641" i="18"/>
  <c r="G1641" i="18" s="1"/>
  <c r="F1640" i="18"/>
  <c r="G1640" i="18" s="1"/>
  <c r="F1639" i="18"/>
  <c r="G1639" i="18" s="1"/>
  <c r="F1638" i="18"/>
  <c r="G1638" i="18" s="1"/>
  <c r="F1637" i="18"/>
  <c r="G1637" i="18" s="1"/>
  <c r="F1636" i="18"/>
  <c r="G1636" i="18" s="1"/>
  <c r="F1635" i="18"/>
  <c r="G1635" i="18" s="1"/>
  <c r="F1634" i="18"/>
  <c r="G1634" i="18" s="1"/>
  <c r="F1633" i="18"/>
  <c r="G1633" i="18" s="1"/>
  <c r="F1632" i="18"/>
  <c r="G1632" i="18" s="1"/>
  <c r="F1631" i="18"/>
  <c r="G1631" i="18" s="1"/>
  <c r="F1630" i="18"/>
  <c r="G1630" i="18" s="1"/>
  <c r="F1629" i="18"/>
  <c r="G1629" i="18" s="1"/>
  <c r="F1628" i="18"/>
  <c r="G1628" i="18" s="1"/>
  <c r="F1627" i="18"/>
  <c r="G1627" i="18" s="1"/>
  <c r="F1626" i="18"/>
  <c r="G1626" i="18" s="1"/>
  <c r="F1625" i="18"/>
  <c r="G1625" i="18" s="1"/>
  <c r="F1624" i="18"/>
  <c r="G1624" i="18" s="1"/>
  <c r="F1623" i="18"/>
  <c r="G1623" i="18" s="1"/>
  <c r="F1622" i="18"/>
  <c r="G1622" i="18" s="1"/>
  <c r="F1621" i="18"/>
  <c r="G1621" i="18" s="1"/>
  <c r="F1620" i="18"/>
  <c r="G1620" i="18" s="1"/>
  <c r="F1619" i="18"/>
  <c r="G1619" i="18" s="1"/>
  <c r="F1618" i="18"/>
  <c r="G1618" i="18" s="1"/>
  <c r="F1617" i="18"/>
  <c r="G1617" i="18" s="1"/>
  <c r="F1616" i="18"/>
  <c r="G1616" i="18" s="1"/>
  <c r="F1615" i="18"/>
  <c r="G1615" i="18" s="1"/>
  <c r="F1614" i="18"/>
  <c r="G1614" i="18" s="1"/>
  <c r="G1613" i="18"/>
  <c r="F1612" i="18"/>
  <c r="G1612" i="18" s="1"/>
  <c r="F1611" i="18"/>
  <c r="G1611" i="18" s="1"/>
  <c r="F1610" i="18"/>
  <c r="G1610" i="18" s="1"/>
  <c r="F1609" i="18"/>
  <c r="G1609" i="18" s="1"/>
  <c r="F1608" i="18"/>
  <c r="G1608" i="18" s="1"/>
  <c r="F1607" i="18"/>
  <c r="G1607" i="18" s="1"/>
  <c r="F1606" i="18"/>
  <c r="G1606" i="18" s="1"/>
  <c r="F1605" i="18"/>
  <c r="G1605" i="18" s="1"/>
  <c r="F1604" i="18"/>
  <c r="G1604" i="18" s="1"/>
  <c r="F1603" i="18"/>
  <c r="G1603" i="18" s="1"/>
  <c r="F1602" i="18"/>
  <c r="G1602" i="18" s="1"/>
  <c r="F1601" i="18"/>
  <c r="G1601" i="18" s="1"/>
  <c r="F1600" i="18"/>
  <c r="G1600" i="18" s="1"/>
  <c r="F1599" i="18"/>
  <c r="G1599" i="18" s="1"/>
  <c r="F1598" i="18"/>
  <c r="G1598" i="18" s="1"/>
  <c r="F1597" i="18"/>
  <c r="G1597" i="18" s="1"/>
  <c r="F1596" i="18"/>
  <c r="G1596" i="18" s="1"/>
  <c r="F1595" i="18"/>
  <c r="G1595" i="18" s="1"/>
  <c r="F1594" i="18"/>
  <c r="G1594" i="18" s="1"/>
  <c r="F1593" i="18"/>
  <c r="G1593" i="18" s="1"/>
  <c r="F1592" i="18"/>
  <c r="G1592" i="18" s="1"/>
  <c r="F1591" i="18"/>
  <c r="G1591" i="18" s="1"/>
  <c r="F1590" i="18"/>
  <c r="G1590" i="18" s="1"/>
  <c r="F1589" i="18"/>
  <c r="G1589" i="18" s="1"/>
  <c r="F1588" i="18"/>
  <c r="G1588" i="18" s="1"/>
  <c r="F1587" i="18"/>
  <c r="G1587" i="18" s="1"/>
  <c r="F1586" i="18"/>
  <c r="G1586" i="18" s="1"/>
  <c r="F1585" i="18"/>
  <c r="G1585" i="18" s="1"/>
  <c r="F1584" i="18"/>
  <c r="G1584" i="18" s="1"/>
  <c r="F1583" i="18"/>
  <c r="G1583" i="18" s="1"/>
  <c r="F1582" i="18"/>
  <c r="G1582" i="18" s="1"/>
  <c r="F1581" i="18"/>
  <c r="G1581" i="18" s="1"/>
  <c r="F1580" i="18"/>
  <c r="G1580" i="18" s="1"/>
  <c r="F1579" i="18"/>
  <c r="G1579" i="18" s="1"/>
  <c r="F1578" i="18"/>
  <c r="G1578" i="18" s="1"/>
  <c r="F1577" i="18"/>
  <c r="G1577" i="18" s="1"/>
  <c r="F1576" i="18"/>
  <c r="G1576" i="18" s="1"/>
  <c r="F1575" i="18"/>
  <c r="G1575" i="18" s="1"/>
  <c r="F1574" i="18"/>
  <c r="G1574" i="18" s="1"/>
  <c r="F1573" i="18"/>
  <c r="G1573" i="18" s="1"/>
  <c r="F1572" i="18"/>
  <c r="G1572" i="18" s="1"/>
  <c r="F1571" i="18"/>
  <c r="G1571" i="18" s="1"/>
  <c r="F1570" i="18"/>
  <c r="G1570" i="18" s="1"/>
  <c r="F1569" i="18"/>
  <c r="G1569" i="18" s="1"/>
  <c r="F1568" i="18"/>
  <c r="G1568" i="18" s="1"/>
  <c r="F1567" i="18"/>
  <c r="G1567" i="18" s="1"/>
  <c r="F1566" i="18"/>
  <c r="G1566" i="18" s="1"/>
  <c r="F1565" i="18"/>
  <c r="G1565" i="18" s="1"/>
  <c r="F1564" i="18"/>
  <c r="G1564" i="18" s="1"/>
  <c r="F1563" i="18"/>
  <c r="G1563" i="18" s="1"/>
  <c r="F1562" i="18"/>
  <c r="G1562" i="18" s="1"/>
  <c r="F1561" i="18"/>
  <c r="G1561" i="18" s="1"/>
  <c r="F1560" i="18"/>
  <c r="G1560" i="18" s="1"/>
  <c r="F1559" i="18"/>
  <c r="G1559" i="18" s="1"/>
  <c r="F1558" i="18"/>
  <c r="G1558" i="18" s="1"/>
  <c r="F1557" i="18"/>
  <c r="G1557" i="18" s="1"/>
  <c r="F1556" i="18"/>
  <c r="G1556" i="18" s="1"/>
  <c r="F1555" i="18"/>
  <c r="G1555" i="18" s="1"/>
  <c r="F1554" i="18"/>
  <c r="G1554" i="18" s="1"/>
  <c r="F1553" i="18"/>
  <c r="G1553" i="18" s="1"/>
  <c r="G1552" i="18"/>
  <c r="F1551" i="18"/>
  <c r="G1551" i="18" s="1"/>
  <c r="F1550" i="18"/>
  <c r="G1550" i="18" s="1"/>
  <c r="F1549" i="18"/>
  <c r="G1549" i="18" s="1"/>
  <c r="F1548" i="18"/>
  <c r="G1548" i="18" s="1"/>
  <c r="F1547" i="18"/>
  <c r="G1547" i="18" s="1"/>
  <c r="F1546" i="18"/>
  <c r="G1546" i="18" s="1"/>
  <c r="F1545" i="18"/>
  <c r="G1545" i="18" s="1"/>
  <c r="F1544" i="18"/>
  <c r="G1544" i="18" s="1"/>
  <c r="F1543" i="18"/>
  <c r="G1543" i="18" s="1"/>
  <c r="F1542" i="18"/>
  <c r="G1542" i="18" s="1"/>
  <c r="F1541" i="18"/>
  <c r="G1541" i="18" s="1"/>
  <c r="F1540" i="18"/>
  <c r="G1540" i="18" s="1"/>
  <c r="F1539" i="18"/>
  <c r="G1539" i="18" s="1"/>
  <c r="F1538" i="18"/>
  <c r="G1538" i="18" s="1"/>
  <c r="F1537" i="18"/>
  <c r="G1537" i="18" s="1"/>
  <c r="F1536" i="18"/>
  <c r="G1536" i="18" s="1"/>
  <c r="F1535" i="18"/>
  <c r="G1535" i="18" s="1"/>
  <c r="F1534" i="18"/>
  <c r="G1534" i="18" s="1"/>
  <c r="F1533" i="18"/>
  <c r="G1533" i="18" s="1"/>
  <c r="F1532" i="18"/>
  <c r="G1532" i="18" s="1"/>
  <c r="F1531" i="18"/>
  <c r="G1531" i="18" s="1"/>
  <c r="F1530" i="18"/>
  <c r="G1530" i="18" s="1"/>
  <c r="F1529" i="18"/>
  <c r="G1529" i="18" s="1"/>
  <c r="F1528" i="18"/>
  <c r="G1528" i="18" s="1"/>
  <c r="F1527" i="18"/>
  <c r="G1527" i="18" s="1"/>
  <c r="F1526" i="18"/>
  <c r="G1526" i="18" s="1"/>
  <c r="F1525" i="18"/>
  <c r="G1525" i="18" s="1"/>
  <c r="F1524" i="18"/>
  <c r="G1524" i="18" s="1"/>
  <c r="F1523" i="18"/>
  <c r="G1523" i="18" s="1"/>
  <c r="F1522" i="18"/>
  <c r="G1522" i="18" s="1"/>
  <c r="F1521" i="18"/>
  <c r="G1521" i="18" s="1"/>
  <c r="F1520" i="18"/>
  <c r="G1520" i="18" s="1"/>
  <c r="F1519" i="18"/>
  <c r="G1519" i="18" s="1"/>
  <c r="F1518" i="18"/>
  <c r="G1518" i="18" s="1"/>
  <c r="F1517" i="18"/>
  <c r="G1517" i="18" s="1"/>
  <c r="F1516" i="18"/>
  <c r="G1516" i="18" s="1"/>
  <c r="F1515" i="18"/>
  <c r="G1515" i="18" s="1"/>
  <c r="F1514" i="18"/>
  <c r="G1514" i="18" s="1"/>
  <c r="F1513" i="18"/>
  <c r="G1513" i="18" s="1"/>
  <c r="F1512" i="18"/>
  <c r="G1512" i="18" s="1"/>
  <c r="F1511" i="18"/>
  <c r="G1511" i="18" s="1"/>
  <c r="F1510" i="18"/>
  <c r="G1510" i="18" s="1"/>
  <c r="F1509" i="18"/>
  <c r="G1509" i="18" s="1"/>
  <c r="F1508" i="18"/>
  <c r="G1508" i="18" s="1"/>
  <c r="F1507" i="18"/>
  <c r="G1507" i="18" s="1"/>
  <c r="F1506" i="18"/>
  <c r="G1506" i="18" s="1"/>
  <c r="F1505" i="18"/>
  <c r="G1505" i="18" s="1"/>
  <c r="F1504" i="18"/>
  <c r="G1504" i="18" s="1"/>
  <c r="F1503" i="18"/>
  <c r="G1503" i="18" s="1"/>
  <c r="F1502" i="18"/>
  <c r="G1502" i="18" s="1"/>
  <c r="F1501" i="18"/>
  <c r="G1501" i="18" s="1"/>
  <c r="F1500" i="18"/>
  <c r="G1500" i="18" s="1"/>
  <c r="F1499" i="18"/>
  <c r="G1499" i="18" s="1"/>
  <c r="F1498" i="18"/>
  <c r="G1498" i="18" s="1"/>
  <c r="F1497" i="18"/>
  <c r="G1497" i="18" s="1"/>
  <c r="F1496" i="18"/>
  <c r="G1496" i="18" s="1"/>
  <c r="F1495" i="18"/>
  <c r="G1495" i="18" s="1"/>
  <c r="F1494" i="18"/>
  <c r="G1494" i="18" s="1"/>
  <c r="F1493" i="18"/>
  <c r="G1493" i="18" s="1"/>
  <c r="F1492" i="18"/>
  <c r="G1492" i="18" s="1"/>
  <c r="G1491" i="18"/>
  <c r="G1490" i="18"/>
  <c r="F1489" i="18"/>
  <c r="G1489" i="18" s="1"/>
  <c r="F1488" i="18"/>
  <c r="G1488" i="18" s="1"/>
  <c r="F1487" i="18"/>
  <c r="G1487" i="18" s="1"/>
  <c r="F1486" i="18"/>
  <c r="G1486" i="18" s="1"/>
  <c r="F1485" i="18"/>
  <c r="G1485" i="18" s="1"/>
  <c r="F1484" i="18"/>
  <c r="G1484" i="18" s="1"/>
  <c r="F1483" i="18"/>
  <c r="G1483" i="18" s="1"/>
  <c r="F1482" i="18"/>
  <c r="G1482" i="18" s="1"/>
  <c r="F1481" i="18"/>
  <c r="G1481" i="18" s="1"/>
  <c r="F1480" i="18"/>
  <c r="G1480" i="18" s="1"/>
  <c r="F1479" i="18"/>
  <c r="G1479" i="18" s="1"/>
  <c r="F1478" i="18"/>
  <c r="G1478" i="18" s="1"/>
  <c r="G1477" i="18"/>
  <c r="F1476" i="18"/>
  <c r="G1476" i="18" s="1"/>
  <c r="F1475" i="18"/>
  <c r="G1475" i="18" s="1"/>
  <c r="F1474" i="18"/>
  <c r="G1474" i="18" s="1"/>
  <c r="F1473" i="18"/>
  <c r="G1473" i="18" s="1"/>
  <c r="F1472" i="18"/>
  <c r="G1472" i="18" s="1"/>
  <c r="F1471" i="18"/>
  <c r="G1471" i="18" s="1"/>
  <c r="F1470" i="18"/>
  <c r="G1470" i="18" s="1"/>
  <c r="F1469" i="18"/>
  <c r="G1469" i="18" s="1"/>
  <c r="F1468" i="18"/>
  <c r="G1468" i="18" s="1"/>
  <c r="F1467" i="18"/>
  <c r="G1467" i="18" s="1"/>
  <c r="F1466" i="18"/>
  <c r="G1466" i="18" s="1"/>
  <c r="F1465" i="18"/>
  <c r="G1465" i="18" s="1"/>
  <c r="G1464" i="18"/>
  <c r="F1463" i="18"/>
  <c r="G1463" i="18" s="1"/>
  <c r="F1462" i="18"/>
  <c r="G1462" i="18" s="1"/>
  <c r="F1461" i="18"/>
  <c r="G1461" i="18" s="1"/>
  <c r="F1460" i="18"/>
  <c r="G1460" i="18" s="1"/>
  <c r="F1459" i="18"/>
  <c r="G1459" i="18" s="1"/>
  <c r="F1458" i="18"/>
  <c r="G1458" i="18" s="1"/>
  <c r="F1457" i="18"/>
  <c r="G1457" i="18" s="1"/>
  <c r="F1456" i="18"/>
  <c r="G1456" i="18" s="1"/>
  <c r="F1455" i="18"/>
  <c r="G1455" i="18" s="1"/>
  <c r="F1454" i="18"/>
  <c r="G1454" i="18" s="1"/>
  <c r="F1453" i="18"/>
  <c r="G1453" i="18" s="1"/>
  <c r="F1452" i="18"/>
  <c r="G1452" i="18" s="1"/>
  <c r="G1451" i="18"/>
  <c r="F1450" i="18"/>
  <c r="G1450" i="18" s="1"/>
  <c r="F1449" i="18"/>
  <c r="G1449" i="18" s="1"/>
  <c r="F1448" i="18"/>
  <c r="G1448" i="18" s="1"/>
  <c r="F1440" i="18"/>
  <c r="G1440" i="18" s="1"/>
  <c r="F1439" i="18"/>
  <c r="G1439" i="18" s="1"/>
  <c r="F1437" i="18"/>
  <c r="G1437" i="18" s="1"/>
  <c r="F1436" i="18"/>
  <c r="G1436" i="18" s="1"/>
  <c r="F1435" i="18"/>
  <c r="G1435" i="18" s="1"/>
  <c r="F1434" i="18"/>
  <c r="G1434" i="18" s="1"/>
  <c r="F1433" i="18"/>
  <c r="G1433" i="18" s="1"/>
  <c r="F1432" i="18"/>
  <c r="G1432" i="18" s="1"/>
  <c r="F1431" i="18"/>
  <c r="G1431" i="18" s="1"/>
  <c r="F1430" i="18"/>
  <c r="G1430" i="18" s="1"/>
  <c r="F1429" i="18"/>
  <c r="G1429" i="18" s="1"/>
  <c r="F1428" i="18"/>
  <c r="G1428" i="18" s="1"/>
  <c r="F1427" i="18"/>
  <c r="G1427" i="18" s="1"/>
  <c r="F1426" i="18"/>
  <c r="G1426" i="18" s="1"/>
  <c r="G1425" i="18"/>
  <c r="F1424" i="18"/>
  <c r="G1424" i="18" s="1"/>
  <c r="F1423" i="18"/>
  <c r="G1423" i="18" s="1"/>
  <c r="F1422" i="18"/>
  <c r="G1422" i="18" s="1"/>
  <c r="F1421" i="18"/>
  <c r="G1421" i="18" s="1"/>
  <c r="F1420" i="18"/>
  <c r="G1420" i="18" s="1"/>
  <c r="F1419" i="18"/>
  <c r="G1419" i="18" s="1"/>
  <c r="F1418" i="18"/>
  <c r="G1418" i="18" s="1"/>
  <c r="F1417" i="18"/>
  <c r="G1417" i="18" s="1"/>
  <c r="F1416" i="18"/>
  <c r="G1416" i="18" s="1"/>
  <c r="F1415" i="18"/>
  <c r="G1415" i="18" s="1"/>
  <c r="F1414" i="18"/>
  <c r="G1414" i="18" s="1"/>
  <c r="F1413" i="18"/>
  <c r="G1413" i="18" s="1"/>
  <c r="G1412" i="18"/>
  <c r="F1411" i="18"/>
  <c r="G1411" i="18" s="1"/>
  <c r="F1410" i="18"/>
  <c r="G1410" i="18" s="1"/>
  <c r="F1409" i="18"/>
  <c r="G1409" i="18" s="1"/>
  <c r="F1408" i="18"/>
  <c r="G1408" i="18" s="1"/>
  <c r="F1407" i="18"/>
  <c r="G1407" i="18" s="1"/>
  <c r="F1406" i="18"/>
  <c r="G1406" i="18" s="1"/>
  <c r="F1405" i="18"/>
  <c r="G1405" i="18" s="1"/>
  <c r="F1404" i="18"/>
  <c r="G1404" i="18" s="1"/>
  <c r="F1403" i="18"/>
  <c r="G1403" i="18" s="1"/>
  <c r="F1402" i="18"/>
  <c r="G1402" i="18" s="1"/>
  <c r="F1401" i="18"/>
  <c r="G1401" i="18" s="1"/>
  <c r="F1400" i="18"/>
  <c r="G1400" i="18" s="1"/>
  <c r="G1399" i="18"/>
  <c r="F1398" i="18"/>
  <c r="G1398" i="18" s="1"/>
  <c r="F1397" i="18"/>
  <c r="G1397" i="18" s="1"/>
  <c r="F1396" i="18"/>
  <c r="G1396" i="18" s="1"/>
  <c r="F1395" i="18"/>
  <c r="G1395" i="18" s="1"/>
  <c r="F1394" i="18"/>
  <c r="G1394" i="18" s="1"/>
  <c r="F1393" i="18"/>
  <c r="G1393" i="18" s="1"/>
  <c r="F1392" i="18"/>
  <c r="G1392" i="18" s="1"/>
  <c r="F1391" i="18"/>
  <c r="G1391" i="18" s="1"/>
  <c r="F1390" i="18"/>
  <c r="G1390" i="18" s="1"/>
  <c r="F1389" i="18"/>
  <c r="G1389" i="18" s="1"/>
  <c r="F1388" i="18"/>
  <c r="G1388" i="18" s="1"/>
  <c r="F1387" i="18"/>
  <c r="G1387" i="18" s="1"/>
  <c r="G1386" i="18"/>
  <c r="G1360" i="18"/>
  <c r="E1360" i="18"/>
  <c r="G1347" i="18"/>
  <c r="E1347" i="18"/>
  <c r="F1339" i="18"/>
  <c r="G1339" i="18" s="1"/>
  <c r="F1338" i="18"/>
  <c r="G1338" i="18" s="1"/>
  <c r="F1337" i="18"/>
  <c r="G1337" i="18" s="1"/>
  <c r="F1336" i="18"/>
  <c r="G1336" i="18" s="1"/>
  <c r="F1335" i="18"/>
  <c r="G1335" i="18" s="1"/>
  <c r="G1334" i="18"/>
  <c r="F1332" i="18"/>
  <c r="G1332" i="18" s="1"/>
  <c r="F1331" i="18"/>
  <c r="G1331" i="18" s="1"/>
  <c r="F1330" i="18"/>
  <c r="G1330" i="18" s="1"/>
  <c r="F1329" i="18"/>
  <c r="G1329" i="18" s="1"/>
  <c r="F1328" i="18"/>
  <c r="G1328" i="18" s="1"/>
  <c r="F1327" i="18"/>
  <c r="G1327" i="18" s="1"/>
  <c r="F1326" i="18"/>
  <c r="G1326" i="18" s="1"/>
  <c r="F1325" i="18"/>
  <c r="G1325" i="18" s="1"/>
  <c r="F1324" i="18"/>
  <c r="G1324" i="18" s="1"/>
  <c r="F1323" i="18"/>
  <c r="G1323" i="18" s="1"/>
  <c r="F1322" i="18"/>
  <c r="G1322" i="18" s="1"/>
  <c r="F1321" i="18"/>
  <c r="G1321" i="18" s="1"/>
  <c r="F1320" i="18"/>
  <c r="G1320" i="18" s="1"/>
  <c r="F1319" i="18"/>
  <c r="G1319" i="18" s="1"/>
  <c r="F1318" i="18"/>
  <c r="G1318" i="18" s="1"/>
  <c r="F1317" i="18"/>
  <c r="G1317" i="18" s="1"/>
  <c r="F1316" i="18"/>
  <c r="G1316" i="18" s="1"/>
  <c r="F1315" i="18"/>
  <c r="G1315" i="18" s="1"/>
  <c r="G1314" i="18"/>
  <c r="G1210" i="18"/>
  <c r="F1182" i="18"/>
  <c r="G1182" i="18" s="1"/>
  <c r="F1181" i="18"/>
  <c r="G1181" i="18" s="1"/>
  <c r="F1180" i="18"/>
  <c r="G1180" i="18" s="1"/>
  <c r="F1179" i="18"/>
  <c r="G1179" i="18" s="1"/>
  <c r="F1178" i="18"/>
  <c r="G1178" i="18" s="1"/>
  <c r="F1177" i="18"/>
  <c r="G1177" i="18" s="1"/>
  <c r="F1176" i="18"/>
  <c r="G1176" i="18" s="1"/>
  <c r="F1175" i="18"/>
  <c r="G1175" i="18" s="1"/>
  <c r="F1174" i="18"/>
  <c r="G1174" i="18" s="1"/>
  <c r="F1173" i="18"/>
  <c r="G1173" i="18" s="1"/>
  <c r="F1172" i="18"/>
  <c r="G1172" i="18" s="1"/>
  <c r="F1171" i="18"/>
  <c r="G1171" i="18" s="1"/>
  <c r="F1170" i="18"/>
  <c r="G1170" i="18" s="1"/>
  <c r="F1169" i="18"/>
  <c r="G1169" i="18" s="1"/>
  <c r="F1168" i="18"/>
  <c r="G1168" i="18" s="1"/>
  <c r="F1167" i="18"/>
  <c r="G1167" i="18" s="1"/>
  <c r="F1166" i="18"/>
  <c r="G1166" i="18" s="1"/>
  <c r="F1165" i="18"/>
  <c r="G1165" i="18" s="1"/>
  <c r="F1164" i="18"/>
  <c r="G1164" i="18" s="1"/>
  <c r="F1163" i="18"/>
  <c r="G1163" i="18" s="1"/>
  <c r="F1162" i="18"/>
  <c r="G1162" i="18" s="1"/>
  <c r="F1161" i="18"/>
  <c r="G1161" i="18" s="1"/>
  <c r="F1160" i="18"/>
  <c r="G1160" i="18" s="1"/>
  <c r="F1159" i="18"/>
  <c r="G1159" i="18" s="1"/>
  <c r="G1158" i="18"/>
  <c r="F1156" i="18"/>
  <c r="G1156" i="18" s="1"/>
  <c r="F1155" i="18"/>
  <c r="G1155" i="18" s="1"/>
  <c r="F1154" i="18"/>
  <c r="G1154" i="18" s="1"/>
  <c r="F1153" i="18"/>
  <c r="G1153" i="18" s="1"/>
  <c r="F1152" i="18"/>
  <c r="G1152" i="18" s="1"/>
  <c r="F1151" i="18"/>
  <c r="G1151" i="18" s="1"/>
  <c r="F1150" i="18"/>
  <c r="G1150" i="18" s="1"/>
  <c r="F1149" i="18"/>
  <c r="G1149" i="18" s="1"/>
  <c r="F1148" i="18"/>
  <c r="G1148" i="18" s="1"/>
  <c r="F1147" i="18"/>
  <c r="G1147" i="18" s="1"/>
  <c r="F1146" i="18"/>
  <c r="G1146" i="18" s="1"/>
  <c r="F1145" i="18"/>
  <c r="G1145" i="18" s="1"/>
  <c r="F1144" i="18"/>
  <c r="G1144" i="18" s="1"/>
  <c r="F1143" i="18"/>
  <c r="G1143" i="18" s="1"/>
  <c r="F1142" i="18"/>
  <c r="G1142" i="18" s="1"/>
  <c r="F1141" i="18"/>
  <c r="G1141" i="18" s="1"/>
  <c r="F1140" i="18"/>
  <c r="G1140" i="18" s="1"/>
  <c r="F1139" i="18"/>
  <c r="G1139" i="18" s="1"/>
  <c r="F1138" i="18"/>
  <c r="G1138" i="18" s="1"/>
  <c r="F1137" i="18"/>
  <c r="G1137" i="18" s="1"/>
  <c r="F1136" i="18"/>
  <c r="G1136" i="18" s="1"/>
  <c r="F1135" i="18"/>
  <c r="G1135" i="18" s="1"/>
  <c r="F1134" i="18"/>
  <c r="G1134" i="18" s="1"/>
  <c r="F1133" i="18"/>
  <c r="G1133" i="18" s="1"/>
  <c r="F1132" i="18"/>
  <c r="G1132" i="18" s="1"/>
  <c r="F1131" i="18"/>
  <c r="G1131" i="18" s="1"/>
  <c r="F1130" i="18"/>
  <c r="G1130" i="18" s="1"/>
  <c r="F1129" i="18"/>
  <c r="G1129" i="18" s="1"/>
  <c r="F1128" i="18"/>
  <c r="G1128" i="18" s="1"/>
  <c r="F1127" i="18"/>
  <c r="G1127" i="18" s="1"/>
  <c r="F1126" i="18"/>
  <c r="G1126" i="18" s="1"/>
  <c r="F1125" i="18"/>
  <c r="G1125" i="18" s="1"/>
  <c r="F1124" i="18"/>
  <c r="G1124" i="18" s="1"/>
  <c r="F1123" i="18"/>
  <c r="G1123" i="18" s="1"/>
  <c r="F1122" i="18"/>
  <c r="G1122" i="18" s="1"/>
  <c r="F1121" i="18"/>
  <c r="G1121" i="18" s="1"/>
  <c r="F1120" i="18"/>
  <c r="G1120" i="18" s="1"/>
  <c r="F1119" i="18"/>
  <c r="G1119" i="18" s="1"/>
  <c r="F1118" i="18"/>
  <c r="G1118" i="18" s="1"/>
  <c r="F1117" i="18"/>
  <c r="G1117" i="18" s="1"/>
  <c r="F1116" i="18"/>
  <c r="G1116" i="18" s="1"/>
  <c r="F1098" i="18"/>
  <c r="G1098" i="18" s="1"/>
  <c r="F1097" i="18"/>
  <c r="G1097" i="18" s="1"/>
  <c r="F1096" i="18"/>
  <c r="G1096" i="18" s="1"/>
  <c r="F1095" i="18"/>
  <c r="G1095" i="18" s="1"/>
  <c r="F1094" i="18"/>
  <c r="G1094" i="18" s="1"/>
  <c r="F1092" i="18"/>
  <c r="G1092" i="18" s="1"/>
  <c r="F1091" i="18"/>
  <c r="G1091" i="18" s="1"/>
  <c r="F1090" i="18"/>
  <c r="G1090" i="18" s="1"/>
  <c r="F1089" i="18"/>
  <c r="G1089" i="18" s="1"/>
  <c r="F1088" i="18"/>
  <c r="G1088" i="18" s="1"/>
  <c r="F1087" i="18"/>
  <c r="G1087" i="18" s="1"/>
  <c r="F1086" i="18"/>
  <c r="G1086" i="18" s="1"/>
  <c r="F1085" i="18"/>
  <c r="G1085" i="18" s="1"/>
  <c r="F1084" i="18"/>
  <c r="G1084" i="18" s="1"/>
  <c r="F1083" i="18"/>
  <c r="G1083" i="18" s="1"/>
  <c r="F1082" i="18"/>
  <c r="G1082" i="18" s="1"/>
  <c r="F1081" i="18"/>
  <c r="G1081" i="18" s="1"/>
  <c r="F1080" i="18"/>
  <c r="G1080" i="18" s="1"/>
  <c r="F1079" i="18"/>
  <c r="G1079" i="18" s="1"/>
  <c r="F1078" i="18"/>
  <c r="G1078" i="18" s="1"/>
  <c r="F1077" i="18"/>
  <c r="G1077" i="18" s="1"/>
  <c r="F1076" i="18"/>
  <c r="G1076" i="18" s="1"/>
  <c r="F1075" i="18"/>
  <c r="G1075" i="18" s="1"/>
  <c r="F1074" i="18"/>
  <c r="G1074" i="18" s="1"/>
  <c r="F1073" i="18"/>
  <c r="G1073" i="18" s="1"/>
  <c r="F1072" i="18"/>
  <c r="G1072" i="18" s="1"/>
  <c r="F1071" i="18"/>
  <c r="G1071" i="18" s="1"/>
  <c r="F1070" i="18"/>
  <c r="G1070" i="18" s="1"/>
  <c r="F1069" i="18"/>
  <c r="G1069" i="18" s="1"/>
  <c r="F1068" i="18"/>
  <c r="G1068" i="18" s="1"/>
  <c r="F1067" i="18"/>
  <c r="G1067" i="18" s="1"/>
  <c r="F1066" i="18"/>
  <c r="G1066" i="18" s="1"/>
  <c r="F1065" i="18"/>
  <c r="G1065" i="18" s="1"/>
  <c r="F1064" i="18"/>
  <c r="G1064" i="18" s="1"/>
  <c r="F1063" i="18"/>
  <c r="G1063" i="18" s="1"/>
  <c r="F1062" i="18"/>
  <c r="G1062" i="18" s="1"/>
  <c r="F1061" i="18"/>
  <c r="G1061" i="18" s="1"/>
  <c r="F1060" i="18"/>
  <c r="G1060" i="18" s="1"/>
  <c r="F1059" i="18"/>
  <c r="G1059" i="18" s="1"/>
  <c r="F1058" i="18"/>
  <c r="G1058" i="18" s="1"/>
  <c r="F1057" i="18"/>
  <c r="G1057" i="18" s="1"/>
  <c r="F1056" i="18"/>
  <c r="G1056" i="18" s="1"/>
  <c r="F1055" i="18"/>
  <c r="G1055" i="18" s="1"/>
  <c r="F1054" i="18"/>
  <c r="G1054" i="18" s="1"/>
  <c r="F1053" i="18"/>
  <c r="G1053" i="18" s="1"/>
  <c r="F1052" i="18"/>
  <c r="G1052" i="18" s="1"/>
  <c r="F1051" i="18"/>
  <c r="G1051" i="18" s="1"/>
  <c r="F1050" i="18"/>
  <c r="G1050" i="18" s="1"/>
  <c r="F1049" i="18"/>
  <c r="G1049" i="18" s="1"/>
  <c r="F1048" i="18"/>
  <c r="G1048" i="18" s="1"/>
  <c r="F1047" i="18"/>
  <c r="G1047" i="18" s="1"/>
  <c r="F1046" i="18"/>
  <c r="G1046" i="18" s="1"/>
  <c r="F1045" i="18"/>
  <c r="G1045" i="18" s="1"/>
  <c r="F1044" i="18"/>
  <c r="G1044" i="18" s="1"/>
  <c r="F1043" i="18"/>
  <c r="G1043" i="18" s="1"/>
  <c r="F1042" i="18"/>
  <c r="G1042" i="18" s="1"/>
  <c r="F1041" i="18"/>
  <c r="G1041" i="18" s="1"/>
  <c r="F1040" i="18"/>
  <c r="G1040" i="18" s="1"/>
  <c r="F1039" i="18"/>
  <c r="G1039" i="18" s="1"/>
  <c r="F1038" i="18"/>
  <c r="G1038" i="18" s="1"/>
  <c r="F1037" i="18"/>
  <c r="G1037" i="18" s="1"/>
  <c r="F1036" i="18"/>
  <c r="G1036" i="18" s="1"/>
  <c r="F1035" i="18"/>
  <c r="G1035" i="18" s="1"/>
  <c r="F1034" i="18"/>
  <c r="G1034" i="18" s="1"/>
  <c r="F1033" i="18"/>
  <c r="G1033" i="18" s="1"/>
  <c r="F1032" i="18"/>
  <c r="G1032" i="18" s="1"/>
  <c r="F1031" i="18"/>
  <c r="G1031" i="18" s="1"/>
  <c r="F1030" i="18"/>
  <c r="G1030" i="18" s="1"/>
  <c r="G1029" i="18"/>
  <c r="F1028" i="18"/>
  <c r="G1028" i="18" s="1"/>
  <c r="F1027" i="18"/>
  <c r="G1027" i="18" s="1"/>
  <c r="F1026" i="18"/>
  <c r="G1026" i="18" s="1"/>
  <c r="F1025" i="18"/>
  <c r="G1025" i="18" s="1"/>
  <c r="F1024" i="18"/>
  <c r="G1024" i="18" s="1"/>
  <c r="F1023" i="18"/>
  <c r="G1023" i="18" s="1"/>
  <c r="F1022" i="18"/>
  <c r="G1022" i="18" s="1"/>
  <c r="F1021" i="18"/>
  <c r="G1021" i="18" s="1"/>
  <c r="F1020" i="18"/>
  <c r="G1020" i="18" s="1"/>
  <c r="F1019" i="18"/>
  <c r="G1019" i="18" s="1"/>
  <c r="F1018" i="18"/>
  <c r="G1018" i="18" s="1"/>
  <c r="F1017" i="18"/>
  <c r="G1017" i="18" s="1"/>
  <c r="F1016" i="18"/>
  <c r="G1016" i="18" s="1"/>
  <c r="F1015" i="18"/>
  <c r="G1015" i="18" s="1"/>
  <c r="F1014" i="18"/>
  <c r="G1014" i="18" s="1"/>
  <c r="F1013" i="18"/>
  <c r="G1013" i="18" s="1"/>
  <c r="F1012" i="18"/>
  <c r="G1012" i="18" s="1"/>
  <c r="F1011" i="18"/>
  <c r="G1011" i="18" s="1"/>
  <c r="F1010" i="18"/>
  <c r="G1010" i="18" s="1"/>
  <c r="F1009" i="18"/>
  <c r="G1009" i="18" s="1"/>
  <c r="F1008" i="18"/>
  <c r="G1008" i="18" s="1"/>
  <c r="F1007" i="18"/>
  <c r="G1007" i="18" s="1"/>
  <c r="F1006" i="18"/>
  <c r="G1006" i="18" s="1"/>
  <c r="F1005" i="18"/>
  <c r="G1005" i="18" s="1"/>
  <c r="F1004" i="18"/>
  <c r="G1004" i="18" s="1"/>
  <c r="F1003" i="18"/>
  <c r="G1003" i="18" s="1"/>
  <c r="F1002" i="18"/>
  <c r="G1002" i="18" s="1"/>
  <c r="F1001" i="18"/>
  <c r="G1001" i="18" s="1"/>
  <c r="F1000" i="18"/>
  <c r="G1000" i="18" s="1"/>
  <c r="F999" i="18"/>
  <c r="G999" i="18" s="1"/>
  <c r="F998" i="18"/>
  <c r="G998" i="18" s="1"/>
  <c r="F997" i="18"/>
  <c r="G997" i="18" s="1"/>
  <c r="F996" i="18"/>
  <c r="G996" i="18" s="1"/>
  <c r="F995" i="18"/>
  <c r="G995" i="18" s="1"/>
  <c r="F982" i="18"/>
  <c r="G982" i="18" s="1"/>
  <c r="F981" i="18"/>
  <c r="G981" i="18" s="1"/>
  <c r="F980" i="18"/>
  <c r="G980" i="18" s="1"/>
  <c r="F979" i="18"/>
  <c r="G979" i="18" s="1"/>
  <c r="F978" i="18"/>
  <c r="G978" i="18" s="1"/>
  <c r="F977" i="18"/>
  <c r="G977" i="18" s="1"/>
  <c r="F976" i="18"/>
  <c r="G976" i="18" s="1"/>
  <c r="F975" i="18"/>
  <c r="G975" i="18" s="1"/>
  <c r="F974" i="18"/>
  <c r="G974" i="18" s="1"/>
  <c r="F973" i="18"/>
  <c r="G973" i="18" s="1"/>
  <c r="F972" i="18"/>
  <c r="G972" i="18" s="1"/>
  <c r="F971" i="18"/>
  <c r="G971" i="18" s="1"/>
  <c r="F970" i="18"/>
  <c r="G970" i="18" s="1"/>
  <c r="F969" i="18"/>
  <c r="G969" i="18" s="1"/>
  <c r="F968" i="18"/>
  <c r="G968" i="18" s="1"/>
  <c r="F967" i="18"/>
  <c r="G967" i="18" s="1"/>
  <c r="F966" i="18"/>
  <c r="G966" i="18" s="1"/>
  <c r="G965" i="18"/>
  <c r="F962" i="18"/>
  <c r="G962" i="18" s="1"/>
  <c r="F961" i="18"/>
  <c r="G961" i="18" s="1"/>
  <c r="F960" i="18"/>
  <c r="G960" i="18" s="1"/>
  <c r="F959" i="18"/>
  <c r="G959" i="18" s="1"/>
  <c r="F958" i="18"/>
  <c r="G958" i="18" s="1"/>
  <c r="F957" i="18"/>
  <c r="G957" i="18" s="1"/>
  <c r="F956" i="18"/>
  <c r="G956" i="18" s="1"/>
  <c r="F955" i="18"/>
  <c r="G955" i="18" s="1"/>
  <c r="F954" i="18"/>
  <c r="G954" i="18" s="1"/>
  <c r="F842" i="18"/>
  <c r="G842" i="18" s="1"/>
  <c r="F841" i="18"/>
  <c r="G841" i="18" s="1"/>
  <c r="F840" i="18"/>
  <c r="G840" i="18" s="1"/>
  <c r="F839" i="18"/>
  <c r="G839" i="18" s="1"/>
  <c r="F837" i="18"/>
  <c r="G837" i="18" s="1"/>
  <c r="F836" i="18"/>
  <c r="G836" i="18" s="1"/>
  <c r="F835" i="18"/>
  <c r="G835" i="18" s="1"/>
  <c r="F834" i="18"/>
  <c r="G834" i="18" s="1"/>
  <c r="F833" i="18"/>
  <c r="G833" i="18" s="1"/>
  <c r="F832" i="18"/>
  <c r="G832" i="18" s="1"/>
  <c r="F831" i="18"/>
  <c r="G831" i="18" s="1"/>
  <c r="F829" i="18"/>
  <c r="G829" i="18" s="1"/>
  <c r="F828" i="18"/>
  <c r="G828" i="18" s="1"/>
  <c r="F827" i="18"/>
  <c r="G827" i="18" s="1"/>
  <c r="F826" i="18"/>
  <c r="G826" i="18" s="1"/>
  <c r="F825" i="18"/>
  <c r="G825" i="18" s="1"/>
  <c r="F824" i="18"/>
  <c r="G824" i="18" s="1"/>
  <c r="F823" i="18"/>
  <c r="G823" i="18" s="1"/>
  <c r="F822" i="18"/>
  <c r="G822" i="18" s="1"/>
  <c r="F821" i="18"/>
  <c r="G821" i="18" s="1"/>
  <c r="F820" i="18"/>
  <c r="G820" i="18" s="1"/>
  <c r="F819" i="18"/>
  <c r="G819" i="18" s="1"/>
  <c r="G818" i="18"/>
  <c r="F817" i="18"/>
  <c r="G817" i="18" s="1"/>
  <c r="F816" i="18"/>
  <c r="G816" i="18" s="1"/>
  <c r="F815" i="18"/>
  <c r="G815" i="18" s="1"/>
  <c r="F814" i="18"/>
  <c r="G814" i="18" s="1"/>
  <c r="F813" i="18"/>
  <c r="G813" i="18" s="1"/>
  <c r="F812" i="18"/>
  <c r="G812" i="18" s="1"/>
  <c r="F811" i="18"/>
  <c r="G811" i="18" s="1"/>
  <c r="F810" i="18"/>
  <c r="G810" i="18" s="1"/>
  <c r="F809" i="18"/>
  <c r="G809" i="18" s="1"/>
  <c r="F808" i="18"/>
  <c r="G808" i="18" s="1"/>
  <c r="F807" i="18"/>
  <c r="G807" i="18" s="1"/>
  <c r="G806" i="18"/>
  <c r="G805" i="18"/>
  <c r="F804" i="18"/>
  <c r="G804" i="18" s="1"/>
  <c r="F803" i="18"/>
  <c r="G803" i="18" s="1"/>
  <c r="F802" i="18"/>
  <c r="G802" i="18" s="1"/>
  <c r="F801" i="18"/>
  <c r="G801" i="18" s="1"/>
  <c r="F800" i="18"/>
  <c r="G800" i="18" s="1"/>
  <c r="F799" i="18"/>
  <c r="G799" i="18" s="1"/>
  <c r="F798" i="18"/>
  <c r="G798" i="18" s="1"/>
  <c r="F797" i="18"/>
  <c r="G797" i="18" s="1"/>
  <c r="F796" i="18"/>
  <c r="G796" i="18" s="1"/>
  <c r="F795" i="18"/>
  <c r="G795" i="18" s="1"/>
  <c r="F794" i="18"/>
  <c r="G794" i="18" s="1"/>
  <c r="F793" i="18"/>
  <c r="G793" i="18" s="1"/>
  <c r="F792" i="18"/>
  <c r="G792" i="18" s="1"/>
  <c r="F791" i="18"/>
  <c r="G791" i="18" s="1"/>
  <c r="F790" i="18"/>
  <c r="G790" i="18" s="1"/>
  <c r="F789" i="18"/>
  <c r="G789" i="18" s="1"/>
  <c r="F788" i="18"/>
  <c r="G788" i="18" s="1"/>
  <c r="F787" i="18"/>
  <c r="G787" i="18" s="1"/>
  <c r="F786" i="18"/>
  <c r="G786" i="18" s="1"/>
  <c r="G785" i="18"/>
  <c r="F784" i="18"/>
  <c r="G784" i="18" s="1"/>
  <c r="F783" i="18"/>
  <c r="G783" i="18" s="1"/>
  <c r="F782" i="18"/>
  <c r="G782" i="18" s="1"/>
  <c r="F781" i="18"/>
  <c r="G781" i="18" s="1"/>
  <c r="F780" i="18"/>
  <c r="G780" i="18" s="1"/>
  <c r="F779" i="18"/>
  <c r="G779" i="18" s="1"/>
  <c r="F778" i="18"/>
  <c r="G778" i="18" s="1"/>
  <c r="F777" i="18"/>
  <c r="G777" i="18" s="1"/>
  <c r="F776" i="18"/>
  <c r="G776" i="18" s="1"/>
  <c r="F775" i="18"/>
  <c r="G775" i="18" s="1"/>
  <c r="F774" i="18"/>
  <c r="G774" i="18" s="1"/>
  <c r="F773" i="18"/>
  <c r="G773" i="18" s="1"/>
  <c r="F772" i="18"/>
  <c r="G772" i="18" s="1"/>
  <c r="F771" i="18"/>
  <c r="G771" i="18" s="1"/>
  <c r="F770" i="18"/>
  <c r="G770" i="18" s="1"/>
  <c r="F769" i="18"/>
  <c r="G769" i="18" s="1"/>
  <c r="F768" i="18"/>
  <c r="G768" i="18" s="1"/>
  <c r="F767" i="18"/>
  <c r="G767" i="18" s="1"/>
  <c r="F766" i="18"/>
  <c r="G766" i="18" s="1"/>
  <c r="F765" i="18"/>
  <c r="G765" i="18" s="1"/>
  <c r="F764" i="18"/>
  <c r="G764" i="18" s="1"/>
  <c r="F763" i="18"/>
  <c r="G763" i="18" s="1"/>
  <c r="F762" i="18"/>
  <c r="G762" i="18" s="1"/>
  <c r="F761" i="18"/>
  <c r="G761" i="18" s="1"/>
  <c r="F760" i="18"/>
  <c r="G760" i="18" s="1"/>
  <c r="F759" i="18"/>
  <c r="G759" i="18" s="1"/>
  <c r="F758" i="18"/>
  <c r="G758" i="18" s="1"/>
  <c r="F757" i="18"/>
  <c r="G757" i="18" s="1"/>
  <c r="F756" i="18"/>
  <c r="G756" i="18" s="1"/>
  <c r="F755" i="18"/>
  <c r="G755" i="18" s="1"/>
  <c r="G754" i="18"/>
  <c r="F753" i="18"/>
  <c r="G753" i="18" s="1"/>
  <c r="F752" i="18"/>
  <c r="G752" i="18" s="1"/>
  <c r="F751" i="18"/>
  <c r="G751" i="18" s="1"/>
  <c r="F750" i="18"/>
  <c r="G750" i="18" s="1"/>
  <c r="F749" i="18"/>
  <c r="G749" i="18" s="1"/>
  <c r="F748" i="18"/>
  <c r="G748" i="18" s="1"/>
  <c r="F747" i="18"/>
  <c r="G747" i="18" s="1"/>
  <c r="F746" i="18"/>
  <c r="G746" i="18" s="1"/>
  <c r="F745" i="18"/>
  <c r="G745" i="18" s="1"/>
  <c r="F744" i="18"/>
  <c r="G744" i="18" s="1"/>
  <c r="F743" i="18"/>
  <c r="G743" i="18" s="1"/>
  <c r="G742" i="18"/>
  <c r="F741" i="18"/>
  <c r="G741" i="18" s="1"/>
  <c r="F740" i="18"/>
  <c r="G740" i="18" s="1"/>
  <c r="F739" i="18"/>
  <c r="G739" i="18" s="1"/>
  <c r="F738" i="18"/>
  <c r="G738" i="18" s="1"/>
  <c r="F737" i="18"/>
  <c r="G737" i="18" s="1"/>
  <c r="F736" i="18"/>
  <c r="G736" i="18" s="1"/>
  <c r="F735" i="18"/>
  <c r="G735" i="18" s="1"/>
  <c r="F734" i="18"/>
  <c r="G734" i="18" s="1"/>
  <c r="F733" i="18"/>
  <c r="G733" i="18" s="1"/>
  <c r="F732" i="18"/>
  <c r="G732" i="18" s="1"/>
  <c r="F731" i="18"/>
  <c r="G731" i="18" s="1"/>
  <c r="G730" i="18"/>
  <c r="G729" i="18"/>
  <c r="F728" i="18"/>
  <c r="G728" i="18" s="1"/>
  <c r="F727" i="18"/>
  <c r="G727" i="18" s="1"/>
  <c r="F726" i="18"/>
  <c r="G726" i="18" s="1"/>
  <c r="F725" i="18"/>
  <c r="G725" i="18" s="1"/>
  <c r="F724" i="18"/>
  <c r="G724" i="18" s="1"/>
  <c r="F723" i="18"/>
  <c r="G723" i="18" s="1"/>
  <c r="F722" i="18"/>
  <c r="G722" i="18" s="1"/>
  <c r="F721" i="18"/>
  <c r="G721" i="18" s="1"/>
  <c r="F720" i="18"/>
  <c r="G720" i="18" s="1"/>
  <c r="F719" i="18"/>
  <c r="G719" i="18" s="1"/>
  <c r="F718" i="18"/>
  <c r="G718" i="18" s="1"/>
  <c r="F717" i="18"/>
  <c r="G717" i="18" s="1"/>
  <c r="F716" i="18"/>
  <c r="G716" i="18" s="1"/>
  <c r="F715" i="18"/>
  <c r="G715" i="18" s="1"/>
  <c r="F714" i="18"/>
  <c r="G714" i="18" s="1"/>
  <c r="F713" i="18"/>
  <c r="G713" i="18" s="1"/>
  <c r="F712" i="18"/>
  <c r="G712" i="18" s="1"/>
  <c r="G711" i="18"/>
  <c r="F710" i="18"/>
  <c r="G710" i="18" s="1"/>
  <c r="F709" i="18"/>
  <c r="G709" i="18" s="1"/>
  <c r="F708" i="18"/>
  <c r="G708" i="18" s="1"/>
  <c r="F707" i="18"/>
  <c r="G707" i="18" s="1"/>
  <c r="F706" i="18"/>
  <c r="G706" i="18" s="1"/>
  <c r="F705" i="18"/>
  <c r="G705" i="18" s="1"/>
  <c r="F704" i="18"/>
  <c r="G704" i="18" s="1"/>
  <c r="F703" i="18"/>
  <c r="G703" i="18" s="1"/>
  <c r="F702" i="18"/>
  <c r="G702" i="18" s="1"/>
  <c r="F701" i="18"/>
  <c r="G701" i="18" s="1"/>
  <c r="F700" i="18"/>
  <c r="G700" i="18" s="1"/>
  <c r="F699" i="18"/>
  <c r="G699" i="18" s="1"/>
  <c r="F698" i="18"/>
  <c r="G698" i="18" s="1"/>
  <c r="F697" i="18"/>
  <c r="G697" i="18" s="1"/>
  <c r="F696" i="18"/>
  <c r="G696" i="18" s="1"/>
  <c r="F695" i="18"/>
  <c r="G695" i="18" s="1"/>
  <c r="F694" i="18"/>
  <c r="G694" i="18" s="1"/>
  <c r="F693" i="18"/>
  <c r="G693" i="18" s="1"/>
  <c r="F692" i="18"/>
  <c r="G692" i="18" s="1"/>
  <c r="F691" i="18"/>
  <c r="G691" i="18" s="1"/>
  <c r="F690" i="18"/>
  <c r="G690" i="18" s="1"/>
  <c r="F689" i="18"/>
  <c r="G689" i="18" s="1"/>
  <c r="F688" i="18"/>
  <c r="G688" i="18" s="1"/>
  <c r="F687" i="18"/>
  <c r="G687" i="18" s="1"/>
  <c r="F686" i="18"/>
  <c r="G686" i="18" s="1"/>
  <c r="G685" i="18"/>
  <c r="F684" i="18"/>
  <c r="G684" i="18" s="1"/>
  <c r="F683" i="18"/>
  <c r="G683" i="18" s="1"/>
  <c r="F682" i="18"/>
  <c r="G682" i="18" s="1"/>
  <c r="F681" i="18"/>
  <c r="G681" i="18" s="1"/>
  <c r="F680" i="18"/>
  <c r="G680" i="18" s="1"/>
  <c r="F679" i="18"/>
  <c r="G679" i="18" s="1"/>
  <c r="F678" i="18"/>
  <c r="G678" i="18" s="1"/>
  <c r="F677" i="18"/>
  <c r="G677" i="18" s="1"/>
  <c r="F676" i="18"/>
  <c r="G676" i="18" s="1"/>
  <c r="F675" i="18"/>
  <c r="G675" i="18" s="1"/>
  <c r="G674" i="18"/>
  <c r="F673" i="18"/>
  <c r="G673" i="18" s="1"/>
  <c r="F672" i="18"/>
  <c r="G672" i="18" s="1"/>
  <c r="F671" i="18"/>
  <c r="G671" i="18" s="1"/>
  <c r="F670" i="18"/>
  <c r="G670" i="18" s="1"/>
  <c r="G669" i="18"/>
  <c r="F668" i="18"/>
  <c r="G668" i="18" s="1"/>
  <c r="F667" i="18"/>
  <c r="G667" i="18" s="1"/>
  <c r="F666" i="18"/>
  <c r="G666" i="18" s="1"/>
  <c r="F665" i="18"/>
  <c r="G665" i="18" s="1"/>
  <c r="F664" i="18"/>
  <c r="G664" i="18" s="1"/>
  <c r="G663" i="18"/>
  <c r="F662" i="18"/>
  <c r="G662" i="18" s="1"/>
  <c r="F661" i="18"/>
  <c r="G661" i="18" s="1"/>
  <c r="F660" i="18"/>
  <c r="G660" i="18" s="1"/>
  <c r="F659" i="18"/>
  <c r="G659" i="18" s="1"/>
  <c r="G658" i="18"/>
  <c r="F657" i="18"/>
  <c r="G657" i="18" s="1"/>
  <c r="F656" i="18"/>
  <c r="G656" i="18" s="1"/>
  <c r="F655" i="18"/>
  <c r="G655" i="18" s="1"/>
  <c r="F654" i="18"/>
  <c r="G654" i="18" s="1"/>
  <c r="G653" i="18"/>
  <c r="G652" i="18"/>
  <c r="F651" i="18"/>
  <c r="G651" i="18" s="1"/>
  <c r="F650" i="18"/>
  <c r="G650" i="18" s="1"/>
  <c r="F649" i="18"/>
  <c r="G649" i="18" s="1"/>
  <c r="F648" i="18"/>
  <c r="G648" i="18" s="1"/>
  <c r="F647" i="18"/>
  <c r="G647" i="18" s="1"/>
  <c r="F646" i="18"/>
  <c r="G646" i="18" s="1"/>
  <c r="F645" i="18"/>
  <c r="G645" i="18" s="1"/>
  <c r="F644" i="18"/>
  <c r="G644" i="18" s="1"/>
  <c r="F643" i="18"/>
  <c r="G643" i="18" s="1"/>
  <c r="F642" i="18"/>
  <c r="G642" i="18" s="1"/>
  <c r="G641" i="18"/>
  <c r="F640" i="18"/>
  <c r="G640" i="18" s="1"/>
  <c r="F639" i="18"/>
  <c r="G639" i="18" s="1"/>
  <c r="F638" i="18"/>
  <c r="G638" i="18" s="1"/>
  <c r="F637" i="18"/>
  <c r="G637" i="18" s="1"/>
  <c r="F636" i="18"/>
  <c r="G636" i="18" s="1"/>
  <c r="F635" i="18"/>
  <c r="G635" i="18" s="1"/>
  <c r="F634" i="18"/>
  <c r="G634" i="18" s="1"/>
  <c r="F633" i="18"/>
  <c r="G633" i="18" s="1"/>
  <c r="F632" i="18"/>
  <c r="G632" i="18" s="1"/>
  <c r="F631" i="18"/>
  <c r="G631" i="18" s="1"/>
  <c r="G630" i="18"/>
  <c r="F629" i="18"/>
  <c r="G629" i="18" s="1"/>
  <c r="F628" i="18"/>
  <c r="G628" i="18" s="1"/>
  <c r="F627" i="18"/>
  <c r="G627" i="18" s="1"/>
  <c r="F626" i="18"/>
  <c r="G626" i="18" s="1"/>
  <c r="F625" i="18"/>
  <c r="G625" i="18" s="1"/>
  <c r="F624" i="18"/>
  <c r="G624" i="18" s="1"/>
  <c r="F623" i="18"/>
  <c r="G623" i="18" s="1"/>
  <c r="F622" i="18"/>
  <c r="G622" i="18" s="1"/>
  <c r="F621" i="18"/>
  <c r="G621" i="18" s="1"/>
  <c r="G620" i="18"/>
  <c r="F619" i="18"/>
  <c r="G619" i="18" s="1"/>
  <c r="F618" i="18"/>
  <c r="G618" i="18" s="1"/>
  <c r="F617" i="18"/>
  <c r="G617" i="18" s="1"/>
  <c r="F616" i="18"/>
  <c r="G616" i="18" s="1"/>
  <c r="F615" i="18"/>
  <c r="G615" i="18" s="1"/>
  <c r="F614" i="18"/>
  <c r="G614" i="18" s="1"/>
  <c r="F613" i="18"/>
  <c r="G613" i="18" s="1"/>
  <c r="F612" i="18"/>
  <c r="G612" i="18" s="1"/>
  <c r="F611" i="18"/>
  <c r="G611" i="18" s="1"/>
  <c r="G610" i="18"/>
  <c r="G609" i="18"/>
  <c r="F608" i="18"/>
  <c r="G608" i="18" s="1"/>
  <c r="F607" i="18"/>
  <c r="G607" i="18" s="1"/>
  <c r="F606" i="18"/>
  <c r="G606" i="18" s="1"/>
  <c r="F605" i="18"/>
  <c r="G605" i="18" s="1"/>
  <c r="F604" i="18"/>
  <c r="G604" i="18" s="1"/>
  <c r="F603" i="18"/>
  <c r="G603" i="18" s="1"/>
  <c r="F602" i="18"/>
  <c r="G602" i="18" s="1"/>
  <c r="F601" i="18"/>
  <c r="G601" i="18" s="1"/>
  <c r="F600" i="18"/>
  <c r="G600" i="18" s="1"/>
  <c r="F599" i="18"/>
  <c r="G599" i="18" s="1"/>
  <c r="F598" i="18"/>
  <c r="G598" i="18" s="1"/>
  <c r="F597" i="18"/>
  <c r="G597" i="18" s="1"/>
  <c r="F596" i="18"/>
  <c r="G596" i="18" s="1"/>
  <c r="F595" i="18"/>
  <c r="G595" i="18" s="1"/>
  <c r="F594" i="18"/>
  <c r="G594" i="18" s="1"/>
  <c r="G593" i="18"/>
  <c r="F592" i="18"/>
  <c r="G592" i="18" s="1"/>
  <c r="F591" i="18"/>
  <c r="G591" i="18" s="1"/>
  <c r="F590" i="18"/>
  <c r="G590" i="18" s="1"/>
  <c r="F589" i="18"/>
  <c r="G589" i="18" s="1"/>
  <c r="F588" i="18"/>
  <c r="G588" i="18" s="1"/>
  <c r="F587" i="18"/>
  <c r="G587" i="18" s="1"/>
  <c r="F586" i="18"/>
  <c r="G586" i="18" s="1"/>
  <c r="F585" i="18"/>
  <c r="G585" i="18" s="1"/>
  <c r="F584" i="18"/>
  <c r="G584" i="18" s="1"/>
  <c r="F583" i="18"/>
  <c r="G583" i="18" s="1"/>
  <c r="F582" i="18"/>
  <c r="G582" i="18" s="1"/>
  <c r="F581" i="18"/>
  <c r="G581" i="18" s="1"/>
  <c r="F580" i="18"/>
  <c r="G580" i="18" s="1"/>
  <c r="F579" i="18"/>
  <c r="G579" i="18" s="1"/>
  <c r="F578" i="18"/>
  <c r="G578" i="18" s="1"/>
  <c r="G577" i="18"/>
  <c r="G576" i="18"/>
  <c r="F575" i="18"/>
  <c r="G575" i="18" s="1"/>
  <c r="F574" i="18"/>
  <c r="G574" i="18" s="1"/>
  <c r="F573" i="18"/>
  <c r="G573" i="18" s="1"/>
  <c r="F572" i="18"/>
  <c r="G572" i="18" s="1"/>
  <c r="F571" i="18"/>
  <c r="G571" i="18" s="1"/>
  <c r="F570" i="18"/>
  <c r="G570" i="18" s="1"/>
  <c r="F569" i="18"/>
  <c r="G569" i="18" s="1"/>
  <c r="F568" i="18"/>
  <c r="G568" i="18" s="1"/>
  <c r="F567" i="18"/>
  <c r="G567" i="18" s="1"/>
  <c r="F566" i="18"/>
  <c r="G566" i="18" s="1"/>
  <c r="F565" i="18"/>
  <c r="G565" i="18" s="1"/>
  <c r="F564" i="18"/>
  <c r="G564" i="18" s="1"/>
  <c r="F563" i="18"/>
  <c r="G563" i="18" s="1"/>
  <c r="F562" i="18"/>
  <c r="G562" i="18" s="1"/>
  <c r="F561" i="18"/>
  <c r="G561" i="18" s="1"/>
  <c r="F560" i="18"/>
  <c r="G560" i="18" s="1"/>
  <c r="F559" i="18"/>
  <c r="G559" i="18" s="1"/>
  <c r="F558" i="18"/>
  <c r="G558" i="18" s="1"/>
  <c r="F557" i="18"/>
  <c r="G557" i="18" s="1"/>
  <c r="F556" i="18"/>
  <c r="G556" i="18" s="1"/>
  <c r="F555" i="18"/>
  <c r="G555" i="18" s="1"/>
  <c r="F554" i="18"/>
  <c r="G554" i="18" s="1"/>
  <c r="F553" i="18"/>
  <c r="G553" i="18" s="1"/>
  <c r="F552" i="18"/>
  <c r="G552" i="18" s="1"/>
  <c r="F551" i="18"/>
  <c r="G551" i="18" s="1"/>
  <c r="F550" i="18"/>
  <c r="G550" i="18" s="1"/>
  <c r="F549" i="18"/>
  <c r="G549" i="18" s="1"/>
  <c r="F548" i="18"/>
  <c r="G548" i="18" s="1"/>
  <c r="F547" i="18"/>
  <c r="G547" i="18" s="1"/>
  <c r="F546" i="18"/>
  <c r="G546" i="18" s="1"/>
  <c r="F545" i="18"/>
  <c r="G545" i="18" s="1"/>
  <c r="G544" i="18"/>
  <c r="G543" i="18"/>
  <c r="F542" i="18"/>
  <c r="G542" i="18" s="1"/>
  <c r="F541" i="18"/>
  <c r="G541" i="18" s="1"/>
  <c r="F540" i="18"/>
  <c r="G540" i="18" s="1"/>
  <c r="F539" i="18"/>
  <c r="G539" i="18" s="1"/>
  <c r="F538" i="18"/>
  <c r="G538" i="18" s="1"/>
  <c r="F537" i="18"/>
  <c r="G537" i="18" s="1"/>
  <c r="F536" i="18"/>
  <c r="G536" i="18" s="1"/>
  <c r="F535" i="18"/>
  <c r="G535" i="18" s="1"/>
  <c r="F534" i="18"/>
  <c r="G534" i="18" s="1"/>
  <c r="F533" i="18"/>
  <c r="G533" i="18" s="1"/>
  <c r="F532" i="18"/>
  <c r="G532" i="18" s="1"/>
  <c r="F531" i="18"/>
  <c r="G531" i="18" s="1"/>
  <c r="F530" i="18"/>
  <c r="G530" i="18" s="1"/>
  <c r="F529" i="18"/>
  <c r="G529" i="18" s="1"/>
  <c r="F528" i="18"/>
  <c r="G528" i="18" s="1"/>
  <c r="G527" i="18"/>
  <c r="F526" i="18"/>
  <c r="G526" i="18" s="1"/>
  <c r="F525" i="18"/>
  <c r="G525" i="18" s="1"/>
  <c r="F524" i="18"/>
  <c r="G524" i="18" s="1"/>
  <c r="F523" i="18"/>
  <c r="G523" i="18" s="1"/>
  <c r="F522" i="18"/>
  <c r="G522" i="18" s="1"/>
  <c r="F521" i="18"/>
  <c r="G521" i="18" s="1"/>
  <c r="F520" i="18"/>
  <c r="G520" i="18" s="1"/>
  <c r="F519" i="18"/>
  <c r="G519" i="18" s="1"/>
  <c r="F518" i="18"/>
  <c r="G518" i="18" s="1"/>
  <c r="F517" i="18"/>
  <c r="G517" i="18" s="1"/>
  <c r="F516" i="18"/>
  <c r="G516" i="18" s="1"/>
  <c r="F515" i="18"/>
  <c r="G515" i="18" s="1"/>
  <c r="F514" i="18"/>
  <c r="G514" i="18" s="1"/>
  <c r="F513" i="18"/>
  <c r="G513" i="18" s="1"/>
  <c r="F512" i="18"/>
  <c r="G512" i="18" s="1"/>
  <c r="G511" i="18"/>
  <c r="F510" i="18"/>
  <c r="G510" i="18" s="1"/>
  <c r="F509" i="18"/>
  <c r="G509" i="18" s="1"/>
  <c r="F508" i="18"/>
  <c r="G508" i="18" s="1"/>
  <c r="F507" i="18"/>
  <c r="G507" i="18" s="1"/>
  <c r="F506" i="18"/>
  <c r="G506" i="18" s="1"/>
  <c r="F505" i="18"/>
  <c r="G505" i="18" s="1"/>
  <c r="F504" i="18"/>
  <c r="G504" i="18" s="1"/>
  <c r="F503" i="18"/>
  <c r="G503" i="18" s="1"/>
  <c r="F502" i="18"/>
  <c r="G502" i="18" s="1"/>
  <c r="F501" i="18"/>
  <c r="G501" i="18" s="1"/>
  <c r="F500" i="18"/>
  <c r="G500" i="18" s="1"/>
  <c r="F499" i="18"/>
  <c r="G499" i="18" s="1"/>
  <c r="F498" i="18"/>
  <c r="G498" i="18" s="1"/>
  <c r="F497" i="18"/>
  <c r="G497" i="18" s="1"/>
  <c r="F496" i="18"/>
  <c r="G496" i="18" s="1"/>
  <c r="G495" i="18"/>
  <c r="F494" i="18"/>
  <c r="G494" i="18" s="1"/>
  <c r="F493" i="18"/>
  <c r="G493" i="18" s="1"/>
  <c r="F492" i="18"/>
  <c r="G492" i="18" s="1"/>
  <c r="F491" i="18"/>
  <c r="G491" i="18" s="1"/>
  <c r="F490" i="18"/>
  <c r="G490" i="18" s="1"/>
  <c r="F489" i="18"/>
  <c r="G489" i="18" s="1"/>
  <c r="F488" i="18"/>
  <c r="G488" i="18" s="1"/>
  <c r="F487" i="18"/>
  <c r="G487" i="18" s="1"/>
  <c r="F486" i="18"/>
  <c r="G486" i="18" s="1"/>
  <c r="F485" i="18"/>
  <c r="G485" i="18" s="1"/>
  <c r="F484" i="18"/>
  <c r="G484" i="18" s="1"/>
  <c r="F483" i="18"/>
  <c r="G483" i="18" s="1"/>
  <c r="F482" i="18"/>
  <c r="G482" i="18" s="1"/>
  <c r="F481" i="18"/>
  <c r="G481" i="18" s="1"/>
  <c r="F480" i="18"/>
  <c r="G480" i="18" s="1"/>
  <c r="G479" i="18"/>
  <c r="G478" i="18"/>
  <c r="G477" i="18"/>
  <c r="F476" i="18"/>
  <c r="G476" i="18" s="1"/>
  <c r="F475" i="18"/>
  <c r="G475" i="18" s="1"/>
  <c r="F474" i="18"/>
  <c r="G474" i="18" s="1"/>
  <c r="F473" i="18"/>
  <c r="G473" i="18" s="1"/>
  <c r="F472" i="18"/>
  <c r="G472" i="18" s="1"/>
  <c r="F471" i="18"/>
  <c r="G471" i="18" s="1"/>
  <c r="F470" i="18"/>
  <c r="G470" i="18" s="1"/>
  <c r="F469" i="18"/>
  <c r="G469" i="18" s="1"/>
  <c r="F468" i="18"/>
  <c r="G468" i="18" s="1"/>
  <c r="F467" i="18"/>
  <c r="G467" i="18" s="1"/>
  <c r="F466" i="18"/>
  <c r="G466" i="18" s="1"/>
  <c r="F465" i="18"/>
  <c r="G465" i="18" s="1"/>
  <c r="F464" i="18"/>
  <c r="G464" i="18" s="1"/>
  <c r="F463" i="18"/>
  <c r="G463" i="18" s="1"/>
  <c r="F462" i="18"/>
  <c r="G462" i="18" s="1"/>
  <c r="F461" i="18"/>
  <c r="G461" i="18" s="1"/>
  <c r="F460" i="18"/>
  <c r="G460" i="18" s="1"/>
  <c r="F459" i="18"/>
  <c r="G459" i="18" s="1"/>
  <c r="F458" i="18"/>
  <c r="G458" i="18" s="1"/>
  <c r="F457" i="18"/>
  <c r="G457" i="18" s="1"/>
  <c r="G456" i="18"/>
  <c r="F455" i="18"/>
  <c r="G455" i="18" s="1"/>
  <c r="F454" i="18"/>
  <c r="G454" i="18" s="1"/>
  <c r="F453" i="18"/>
  <c r="G453" i="18" s="1"/>
  <c r="F452" i="18"/>
  <c r="G452" i="18" s="1"/>
  <c r="F451" i="18"/>
  <c r="G451" i="18" s="1"/>
  <c r="F450" i="18"/>
  <c r="G450" i="18" s="1"/>
  <c r="F449" i="18"/>
  <c r="G449" i="18" s="1"/>
  <c r="F448" i="18"/>
  <c r="G448" i="18" s="1"/>
  <c r="F447" i="18"/>
  <c r="G447" i="18" s="1"/>
  <c r="F446" i="18"/>
  <c r="G446" i="18" s="1"/>
  <c r="F445" i="18"/>
  <c r="G445" i="18" s="1"/>
  <c r="F444" i="18"/>
  <c r="G444" i="18" s="1"/>
  <c r="F443" i="18"/>
  <c r="G443" i="18" s="1"/>
  <c r="F442" i="18"/>
  <c r="G442" i="18" s="1"/>
  <c r="F441" i="18"/>
  <c r="G441" i="18" s="1"/>
  <c r="F440" i="18"/>
  <c r="G440" i="18" s="1"/>
  <c r="F439" i="18"/>
  <c r="G439" i="18" s="1"/>
  <c r="F438" i="18"/>
  <c r="G438" i="18" s="1"/>
  <c r="F437" i="18"/>
  <c r="G437" i="18" s="1"/>
  <c r="F436" i="18"/>
  <c r="G436" i="18" s="1"/>
  <c r="G435" i="18"/>
  <c r="F434" i="18"/>
  <c r="G434" i="18" s="1"/>
  <c r="F433" i="18"/>
  <c r="G433" i="18" s="1"/>
  <c r="F432" i="18"/>
  <c r="G432" i="18" s="1"/>
  <c r="F431" i="18"/>
  <c r="G431" i="18" s="1"/>
  <c r="F430" i="18"/>
  <c r="G430" i="18" s="1"/>
  <c r="F429" i="18"/>
  <c r="G429" i="18" s="1"/>
  <c r="F428" i="18"/>
  <c r="G428" i="18" s="1"/>
  <c r="F427" i="18"/>
  <c r="G427" i="18" s="1"/>
  <c r="F426" i="18"/>
  <c r="G426" i="18" s="1"/>
  <c r="F425" i="18"/>
  <c r="G425" i="18" s="1"/>
  <c r="F424" i="18"/>
  <c r="G424" i="18" s="1"/>
  <c r="F423" i="18"/>
  <c r="G423" i="18" s="1"/>
  <c r="F422" i="18"/>
  <c r="G422" i="18" s="1"/>
  <c r="F421" i="18"/>
  <c r="G421" i="18" s="1"/>
  <c r="F420" i="18"/>
  <c r="G420" i="18" s="1"/>
  <c r="F419" i="18"/>
  <c r="G419" i="18" s="1"/>
  <c r="F418" i="18"/>
  <c r="G418" i="18" s="1"/>
  <c r="F417" i="18"/>
  <c r="G417" i="18" s="1"/>
  <c r="F416" i="18"/>
  <c r="G416" i="18" s="1"/>
  <c r="F415" i="18"/>
  <c r="G415" i="18" s="1"/>
  <c r="F414" i="18"/>
  <c r="G414" i="18" s="1"/>
  <c r="G413" i="18"/>
  <c r="F412" i="18"/>
  <c r="G412" i="18" s="1"/>
  <c r="F411" i="18"/>
  <c r="G411" i="18" s="1"/>
  <c r="F410" i="18"/>
  <c r="G410" i="18" s="1"/>
  <c r="F409" i="18"/>
  <c r="G409" i="18" s="1"/>
  <c r="F408" i="18"/>
  <c r="G408" i="18" s="1"/>
  <c r="F407" i="18"/>
  <c r="G407" i="18" s="1"/>
  <c r="F406" i="18"/>
  <c r="G406" i="18" s="1"/>
  <c r="F405" i="18"/>
  <c r="G405" i="18" s="1"/>
  <c r="F404" i="18"/>
  <c r="G404" i="18" s="1"/>
  <c r="F403" i="18"/>
  <c r="G403" i="18" s="1"/>
  <c r="F402" i="18"/>
  <c r="G402" i="18" s="1"/>
  <c r="F401" i="18"/>
  <c r="G401" i="18" s="1"/>
  <c r="F400" i="18"/>
  <c r="G400" i="18" s="1"/>
  <c r="F399" i="18"/>
  <c r="G399" i="18" s="1"/>
  <c r="F398" i="18"/>
  <c r="G398" i="18" s="1"/>
  <c r="F397" i="18"/>
  <c r="G397" i="18" s="1"/>
  <c r="F396" i="18"/>
  <c r="G396" i="18" s="1"/>
  <c r="F395" i="18"/>
  <c r="G395" i="18" s="1"/>
  <c r="F394" i="18"/>
  <c r="G394" i="18" s="1"/>
  <c r="F393" i="18"/>
  <c r="G393" i="18" s="1"/>
  <c r="G392" i="18"/>
  <c r="F391" i="18"/>
  <c r="G391" i="18" s="1"/>
  <c r="F390" i="18"/>
  <c r="G390" i="18" s="1"/>
  <c r="F389" i="18"/>
  <c r="G389" i="18" s="1"/>
  <c r="F388" i="18"/>
  <c r="G388" i="18" s="1"/>
  <c r="F387" i="18"/>
  <c r="G387" i="18" s="1"/>
  <c r="F386" i="18"/>
  <c r="G386" i="18" s="1"/>
  <c r="F385" i="18"/>
  <c r="G385" i="18" s="1"/>
  <c r="F384" i="18"/>
  <c r="G384" i="18" s="1"/>
  <c r="F383" i="18"/>
  <c r="G383" i="18" s="1"/>
  <c r="F382" i="18"/>
  <c r="G382" i="18" s="1"/>
  <c r="F381" i="18"/>
  <c r="G381" i="18" s="1"/>
  <c r="F380" i="18"/>
  <c r="G380" i="18" s="1"/>
  <c r="F379" i="18"/>
  <c r="G379" i="18" s="1"/>
  <c r="F378" i="18"/>
  <c r="G378" i="18" s="1"/>
  <c r="F377" i="18"/>
  <c r="G377" i="18" s="1"/>
  <c r="F376" i="18"/>
  <c r="G376" i="18" s="1"/>
  <c r="F375" i="18"/>
  <c r="G375" i="18" s="1"/>
  <c r="F374" i="18"/>
  <c r="G374" i="18" s="1"/>
  <c r="F373" i="18"/>
  <c r="G373" i="18" s="1"/>
  <c r="F372" i="18"/>
  <c r="G372" i="18" s="1"/>
  <c r="G371" i="18"/>
  <c r="G370" i="18"/>
  <c r="F369" i="18"/>
  <c r="G369" i="18" s="1"/>
  <c r="F368" i="18"/>
  <c r="G368" i="18" s="1"/>
  <c r="F367" i="18"/>
  <c r="G367" i="18" s="1"/>
  <c r="F366" i="18"/>
  <c r="G366" i="18" s="1"/>
  <c r="F365" i="18"/>
  <c r="G365" i="18" s="1"/>
  <c r="F364" i="18"/>
  <c r="G364" i="18" s="1"/>
  <c r="G363" i="18"/>
  <c r="F362" i="18"/>
  <c r="G362" i="18" s="1"/>
  <c r="F361" i="18"/>
  <c r="G361" i="18" s="1"/>
  <c r="F360" i="18"/>
  <c r="G360" i="18" s="1"/>
  <c r="F359" i="18"/>
  <c r="G359" i="18" s="1"/>
  <c r="F358" i="18"/>
  <c r="G358" i="18" s="1"/>
  <c r="F357" i="18"/>
  <c r="G357" i="18" s="1"/>
  <c r="F356" i="18"/>
  <c r="G356" i="18" s="1"/>
  <c r="F355" i="18"/>
  <c r="G355" i="18" s="1"/>
  <c r="G354" i="18"/>
  <c r="F353" i="18"/>
  <c r="G353" i="18" s="1"/>
  <c r="F352" i="18"/>
  <c r="G352" i="18" s="1"/>
  <c r="F351" i="18"/>
  <c r="G351" i="18" s="1"/>
  <c r="F350" i="18"/>
  <c r="G350" i="18" s="1"/>
  <c r="F349" i="18"/>
  <c r="G349" i="18" s="1"/>
  <c r="F348" i="18"/>
  <c r="G348" i="18" s="1"/>
  <c r="F347" i="18"/>
  <c r="G347" i="18" s="1"/>
  <c r="F346" i="18"/>
  <c r="G346" i="18" s="1"/>
  <c r="F345" i="18"/>
  <c r="G345" i="18" s="1"/>
  <c r="G344" i="18"/>
  <c r="F343" i="18"/>
  <c r="G343" i="18" s="1"/>
  <c r="F342" i="18"/>
  <c r="G342" i="18" s="1"/>
  <c r="F341" i="18"/>
  <c r="G341" i="18" s="1"/>
  <c r="F340" i="18"/>
  <c r="G340" i="18" s="1"/>
  <c r="F339" i="18"/>
  <c r="G339" i="18" s="1"/>
  <c r="F338" i="18"/>
  <c r="G338" i="18" s="1"/>
  <c r="F337" i="18"/>
  <c r="G337" i="18" s="1"/>
  <c r="F336" i="18"/>
  <c r="G336" i="18" s="1"/>
  <c r="G335" i="18"/>
  <c r="F334" i="18"/>
  <c r="G334" i="18" s="1"/>
  <c r="F333" i="18"/>
  <c r="G333" i="18" s="1"/>
  <c r="F332" i="18"/>
  <c r="G332" i="18" s="1"/>
  <c r="F331" i="18"/>
  <c r="G331" i="18" s="1"/>
  <c r="F330" i="18"/>
  <c r="G330" i="18" s="1"/>
  <c r="F329" i="18"/>
  <c r="G329" i="18" s="1"/>
  <c r="G328" i="18"/>
  <c r="F327" i="18"/>
  <c r="G327" i="18" s="1"/>
  <c r="F326" i="18"/>
  <c r="G326" i="18" s="1"/>
  <c r="F325" i="18"/>
  <c r="G325" i="18" s="1"/>
  <c r="F324" i="18"/>
  <c r="G324" i="18" s="1"/>
  <c r="F323" i="18"/>
  <c r="G323" i="18" s="1"/>
  <c r="F322" i="18"/>
  <c r="G322" i="18" s="1"/>
  <c r="F321" i="18"/>
  <c r="G321" i="18" s="1"/>
  <c r="F320" i="18"/>
  <c r="G320" i="18" s="1"/>
  <c r="F319" i="18"/>
  <c r="G319" i="18" s="1"/>
  <c r="G318" i="18"/>
  <c r="G317" i="18"/>
  <c r="F316" i="18"/>
  <c r="G316" i="18" s="1"/>
  <c r="F315" i="18"/>
  <c r="G315" i="18" s="1"/>
  <c r="F314" i="18"/>
  <c r="G314" i="18" s="1"/>
  <c r="F313" i="18"/>
  <c r="G313" i="18" s="1"/>
  <c r="G312" i="18"/>
  <c r="F311" i="18"/>
  <c r="G311" i="18" s="1"/>
  <c r="F310" i="18"/>
  <c r="G310" i="18" s="1"/>
  <c r="F309" i="18"/>
  <c r="G309" i="18" s="1"/>
  <c r="F308" i="18"/>
  <c r="G308" i="18" s="1"/>
  <c r="F307" i="18"/>
  <c r="G307" i="18" s="1"/>
  <c r="F306" i="18"/>
  <c r="G306" i="18" s="1"/>
  <c r="F305" i="18"/>
  <c r="G305" i="18" s="1"/>
  <c r="F304" i="18"/>
  <c r="G304" i="18" s="1"/>
  <c r="F303" i="18"/>
  <c r="G303" i="18" s="1"/>
  <c r="G302" i="18"/>
  <c r="F301" i="18"/>
  <c r="G301" i="18" s="1"/>
  <c r="F300" i="18"/>
  <c r="G300" i="18" s="1"/>
  <c r="F299" i="18"/>
  <c r="G299" i="18" s="1"/>
  <c r="F298" i="18"/>
  <c r="G298" i="18" s="1"/>
  <c r="F297" i="18"/>
  <c r="G297" i="18" s="1"/>
  <c r="F296" i="18"/>
  <c r="G296" i="18" s="1"/>
  <c r="F295" i="18"/>
  <c r="G295" i="18" s="1"/>
  <c r="F294" i="18"/>
  <c r="G294" i="18" s="1"/>
  <c r="F293" i="18"/>
  <c r="G293" i="18" s="1"/>
  <c r="G292" i="18"/>
  <c r="G291" i="18"/>
  <c r="F290" i="18"/>
  <c r="G290" i="18" s="1"/>
  <c r="F289" i="18"/>
  <c r="G289" i="18" s="1"/>
  <c r="F288" i="18"/>
  <c r="G288" i="18" s="1"/>
  <c r="F287" i="18"/>
  <c r="G287" i="18" s="1"/>
  <c r="F286" i="18"/>
  <c r="G286" i="18" s="1"/>
  <c r="F285" i="18"/>
  <c r="G285" i="18" s="1"/>
  <c r="F284" i="18"/>
  <c r="G284" i="18" s="1"/>
  <c r="F283" i="18"/>
  <c r="G283" i="18" s="1"/>
  <c r="F282" i="18"/>
  <c r="G282" i="18" s="1"/>
  <c r="F281" i="18"/>
  <c r="G281" i="18" s="1"/>
  <c r="F280" i="18"/>
  <c r="G280" i="18" s="1"/>
  <c r="G279" i="18"/>
  <c r="F278" i="18"/>
  <c r="G278" i="18" s="1"/>
  <c r="F277" i="18"/>
  <c r="G277" i="18" s="1"/>
  <c r="F276" i="18"/>
  <c r="G276" i="18" s="1"/>
  <c r="F275" i="18"/>
  <c r="G275" i="18" s="1"/>
  <c r="F274" i="18"/>
  <c r="G274" i="18" s="1"/>
  <c r="F273" i="18"/>
  <c r="G273" i="18" s="1"/>
  <c r="F272" i="18"/>
  <c r="G272" i="18" s="1"/>
  <c r="F271" i="18"/>
  <c r="G271" i="18" s="1"/>
  <c r="F270" i="18"/>
  <c r="G270" i="18" s="1"/>
  <c r="G269" i="18"/>
  <c r="F268" i="18"/>
  <c r="G268" i="18" s="1"/>
  <c r="F267" i="18"/>
  <c r="G267" i="18" s="1"/>
  <c r="F266" i="18"/>
  <c r="G266" i="18" s="1"/>
  <c r="F265" i="18"/>
  <c r="G265" i="18" s="1"/>
  <c r="F264" i="18"/>
  <c r="G264" i="18" s="1"/>
  <c r="F263" i="18"/>
  <c r="G263" i="18" s="1"/>
  <c r="F262" i="18"/>
  <c r="G262" i="18" s="1"/>
  <c r="F261" i="18"/>
  <c r="G261" i="18" s="1"/>
  <c r="F260" i="18"/>
  <c r="G260" i="18" s="1"/>
  <c r="G259" i="18"/>
  <c r="F257" i="18"/>
  <c r="G257" i="18" s="1"/>
  <c r="F256" i="18"/>
  <c r="G256" i="18" s="1"/>
  <c r="F255" i="18"/>
  <c r="G255" i="18" s="1"/>
  <c r="G254" i="18"/>
  <c r="G253" i="18"/>
  <c r="F252" i="18"/>
  <c r="G252" i="18" s="1"/>
  <c r="F251" i="18"/>
  <c r="G251" i="18" s="1"/>
  <c r="F250" i="18"/>
  <c r="G250" i="18" s="1"/>
  <c r="F249" i="18"/>
  <c r="G249" i="18" s="1"/>
  <c r="F248" i="18"/>
  <c r="G248" i="18" s="1"/>
  <c r="F247" i="18"/>
  <c r="G247" i="18" s="1"/>
  <c r="F246" i="18"/>
  <c r="G246" i="18" s="1"/>
  <c r="F245" i="18"/>
  <c r="G245" i="18" s="1"/>
  <c r="F244" i="18"/>
  <c r="G244" i="18" s="1"/>
  <c r="F243" i="18"/>
  <c r="G243" i="18" s="1"/>
  <c r="F242" i="18"/>
  <c r="G242" i="18" s="1"/>
  <c r="F241" i="18"/>
  <c r="G241" i="18" s="1"/>
  <c r="F240" i="18"/>
  <c r="G240" i="18" s="1"/>
  <c r="F239" i="18"/>
  <c r="G239" i="18" s="1"/>
  <c r="F238" i="18"/>
  <c r="G238" i="18" s="1"/>
  <c r="F237" i="18"/>
  <c r="G237" i="18" s="1"/>
  <c r="F236" i="18"/>
  <c r="G236" i="18" s="1"/>
  <c r="G235" i="18"/>
  <c r="F234" i="18"/>
  <c r="G234" i="18" s="1"/>
  <c r="F233" i="18"/>
  <c r="G233" i="18" s="1"/>
  <c r="F232" i="18"/>
  <c r="G232" i="18" s="1"/>
  <c r="F231" i="18"/>
  <c r="G231" i="18" s="1"/>
  <c r="F230" i="18"/>
  <c r="G230" i="18" s="1"/>
  <c r="F229" i="18"/>
  <c r="G229" i="18" s="1"/>
  <c r="F228" i="18"/>
  <c r="G228" i="18" s="1"/>
  <c r="F227" i="18"/>
  <c r="G227" i="18" s="1"/>
  <c r="F226" i="18"/>
  <c r="G226" i="18" s="1"/>
  <c r="F225" i="18"/>
  <c r="G225" i="18" s="1"/>
  <c r="F224" i="18"/>
  <c r="G224" i="18" s="1"/>
  <c r="F223" i="18"/>
  <c r="G223" i="18" s="1"/>
  <c r="F222" i="18"/>
  <c r="G222" i="18" s="1"/>
  <c r="F221" i="18"/>
  <c r="G221" i="18" s="1"/>
  <c r="F220" i="18"/>
  <c r="G220" i="18" s="1"/>
  <c r="F219" i="18"/>
  <c r="G219" i="18" s="1"/>
  <c r="F218" i="18"/>
  <c r="G218" i="18" s="1"/>
  <c r="F217" i="18"/>
  <c r="G217" i="18" s="1"/>
  <c r="F216" i="18"/>
  <c r="G216" i="18" s="1"/>
  <c r="F215" i="18"/>
  <c r="G215" i="18" s="1"/>
  <c r="F214" i="18"/>
  <c r="G214" i="18" s="1"/>
  <c r="F213" i="18"/>
  <c r="G213" i="18" s="1"/>
  <c r="G212" i="18"/>
  <c r="F211" i="18"/>
  <c r="G211" i="18" s="1"/>
  <c r="F210" i="18"/>
  <c r="G210" i="18" s="1"/>
  <c r="F209" i="18"/>
  <c r="G209" i="18" s="1"/>
  <c r="F208" i="18"/>
  <c r="G208" i="18" s="1"/>
  <c r="F207" i="18"/>
  <c r="G207" i="18" s="1"/>
  <c r="F206" i="18"/>
  <c r="G206" i="18" s="1"/>
  <c r="F205" i="18"/>
  <c r="G205" i="18" s="1"/>
  <c r="F204" i="18"/>
  <c r="G204" i="18" s="1"/>
  <c r="F203" i="18"/>
  <c r="G203" i="18" s="1"/>
  <c r="G202" i="18"/>
  <c r="F201" i="18"/>
  <c r="G201" i="18" s="1"/>
  <c r="F200" i="18"/>
  <c r="G200" i="18" s="1"/>
  <c r="F199" i="18"/>
  <c r="G199" i="18" s="1"/>
  <c r="F198" i="18"/>
  <c r="G198" i="18" s="1"/>
  <c r="F197" i="18"/>
  <c r="G197" i="18" s="1"/>
  <c r="F196" i="18"/>
  <c r="G196" i="18" s="1"/>
  <c r="F195" i="18"/>
  <c r="G195" i="18" s="1"/>
  <c r="F194" i="18"/>
  <c r="G194" i="18" s="1"/>
  <c r="F193" i="18"/>
  <c r="G193" i="18" s="1"/>
  <c r="F192" i="18"/>
  <c r="G192" i="18" s="1"/>
  <c r="F191" i="18"/>
  <c r="G191" i="18" s="1"/>
  <c r="F189" i="18"/>
  <c r="G189" i="18" s="1"/>
  <c r="F188" i="18"/>
  <c r="G188" i="18" s="1"/>
  <c r="F187" i="18"/>
  <c r="G187" i="18" s="1"/>
  <c r="F186" i="18"/>
  <c r="G186" i="18" s="1"/>
  <c r="F185" i="18"/>
  <c r="G185" i="18" s="1"/>
  <c r="F184" i="18"/>
  <c r="G184" i="18" s="1"/>
  <c r="G183" i="18"/>
  <c r="F182" i="18"/>
  <c r="G182" i="18" s="1"/>
  <c r="F181" i="18"/>
  <c r="G181" i="18" s="1"/>
  <c r="F180" i="18"/>
  <c r="G180" i="18" s="1"/>
  <c r="F179" i="18"/>
  <c r="G179" i="18" s="1"/>
  <c r="F178" i="18"/>
  <c r="G178" i="18" s="1"/>
  <c r="F177" i="18"/>
  <c r="G177" i="18" s="1"/>
  <c r="F176" i="18"/>
  <c r="G176" i="18" s="1"/>
  <c r="F175" i="18"/>
  <c r="G175" i="18" s="1"/>
  <c r="F174" i="18"/>
  <c r="G174" i="18" s="1"/>
  <c r="F173" i="18"/>
  <c r="G173" i="18" s="1"/>
  <c r="F172" i="18"/>
  <c r="G172" i="18" s="1"/>
  <c r="F171" i="18"/>
  <c r="G171" i="18" s="1"/>
  <c r="G170" i="18"/>
  <c r="G169" i="18"/>
  <c r="F168" i="18"/>
  <c r="G168" i="18" s="1"/>
  <c r="F167" i="18"/>
  <c r="G167" i="18" s="1"/>
  <c r="F166" i="18"/>
  <c r="G166" i="18" s="1"/>
  <c r="F165" i="18"/>
  <c r="G165" i="18" s="1"/>
  <c r="F164" i="18"/>
  <c r="G164" i="18" s="1"/>
  <c r="F163" i="18"/>
  <c r="G163" i="18" s="1"/>
  <c r="G162" i="18"/>
  <c r="F161" i="18"/>
  <c r="G161" i="18" s="1"/>
  <c r="F160" i="18"/>
  <c r="G160" i="18" s="1"/>
  <c r="F159" i="18"/>
  <c r="G159" i="18" s="1"/>
  <c r="F158" i="18"/>
  <c r="G158" i="18" s="1"/>
  <c r="F157" i="18"/>
  <c r="G157" i="18" s="1"/>
  <c r="F156" i="18"/>
  <c r="G156" i="18" s="1"/>
  <c r="F155" i="18"/>
  <c r="G155" i="18" s="1"/>
  <c r="G154" i="18"/>
  <c r="F153" i="18"/>
  <c r="G153" i="18" s="1"/>
  <c r="F152" i="18"/>
  <c r="G152" i="18" s="1"/>
  <c r="F151" i="18"/>
  <c r="G151" i="18" s="1"/>
  <c r="G150" i="18"/>
  <c r="F149" i="18"/>
  <c r="G149" i="18" s="1"/>
  <c r="F148" i="18"/>
  <c r="G148" i="18" s="1"/>
  <c r="F147" i="18"/>
  <c r="G147" i="18" s="1"/>
  <c r="F146" i="18"/>
  <c r="G146" i="18" s="1"/>
  <c r="F145" i="18"/>
  <c r="G145" i="18" s="1"/>
  <c r="F144" i="18"/>
  <c r="G144" i="18" s="1"/>
  <c r="F143" i="18"/>
  <c r="G143" i="18" s="1"/>
  <c r="F142" i="18"/>
  <c r="G142" i="18" s="1"/>
  <c r="G141" i="18"/>
  <c r="F140" i="18"/>
  <c r="G140" i="18" s="1"/>
  <c r="F139" i="18"/>
  <c r="G139" i="18" s="1"/>
  <c r="F138" i="18"/>
  <c r="G138" i="18" s="1"/>
  <c r="F137" i="18"/>
  <c r="G137" i="18" s="1"/>
  <c r="F136" i="18"/>
  <c r="G136" i="18" s="1"/>
  <c r="F135" i="18"/>
  <c r="G135" i="18" s="1"/>
  <c r="F134" i="18"/>
  <c r="G134" i="18" s="1"/>
  <c r="F133" i="18"/>
  <c r="G133" i="18" s="1"/>
  <c r="G132" i="18"/>
  <c r="F131" i="18"/>
  <c r="G131" i="18" s="1"/>
  <c r="F130" i="18"/>
  <c r="G130" i="18" s="1"/>
  <c r="F129" i="18"/>
  <c r="G129" i="18" s="1"/>
  <c r="F128" i="18"/>
  <c r="G128" i="18" s="1"/>
  <c r="F127" i="18"/>
  <c r="G127" i="18" s="1"/>
  <c r="F126" i="18"/>
  <c r="G126" i="18" s="1"/>
  <c r="F125" i="18"/>
  <c r="G125" i="18" s="1"/>
  <c r="F124" i="18"/>
  <c r="G124" i="18" s="1"/>
  <c r="G123" i="18"/>
  <c r="F122" i="18"/>
  <c r="G122" i="18" s="1"/>
  <c r="F121" i="18"/>
  <c r="G121" i="18" s="1"/>
  <c r="F119" i="18"/>
  <c r="G119" i="18" s="1"/>
  <c r="F118" i="18"/>
  <c r="G118" i="18" s="1"/>
  <c r="F117" i="18"/>
  <c r="G117" i="18" s="1"/>
  <c r="F116" i="18"/>
  <c r="G116" i="18" s="1"/>
  <c r="F115" i="18"/>
  <c r="G115" i="18" s="1"/>
  <c r="G114" i="18"/>
  <c r="G113" i="18"/>
  <c r="F112" i="18"/>
  <c r="G112" i="18" s="1"/>
  <c r="F111" i="18"/>
  <c r="G111" i="18" s="1"/>
  <c r="F110" i="18"/>
  <c r="G110" i="18" s="1"/>
  <c r="F109" i="18"/>
  <c r="G109" i="18" s="1"/>
  <c r="F108" i="18"/>
  <c r="G108" i="18" s="1"/>
  <c r="G107" i="18"/>
  <c r="F106" i="18"/>
  <c r="G106" i="18" s="1"/>
  <c r="F105" i="18"/>
  <c r="G105" i="18" s="1"/>
  <c r="F104" i="18"/>
  <c r="G104" i="18" s="1"/>
  <c r="F103" i="18"/>
  <c r="G103" i="18" s="1"/>
  <c r="F102" i="18"/>
  <c r="G102" i="18" s="1"/>
  <c r="G101" i="18"/>
  <c r="G100" i="18"/>
  <c r="G99" i="18"/>
  <c r="G98" i="18"/>
  <c r="F97" i="18"/>
  <c r="G97" i="18" s="1"/>
  <c r="F96" i="18"/>
  <c r="G96" i="18" s="1"/>
  <c r="F95" i="18"/>
  <c r="G95" i="18" s="1"/>
  <c r="F94" i="18"/>
  <c r="G94" i="18" s="1"/>
  <c r="F93" i="18"/>
  <c r="G93" i="18" s="1"/>
  <c r="F92" i="18"/>
  <c r="G92" i="18" s="1"/>
  <c r="F91" i="18"/>
  <c r="G91" i="18" s="1"/>
  <c r="F90" i="18"/>
  <c r="G90" i="18" s="1"/>
  <c r="G89" i="18"/>
  <c r="F88" i="18"/>
  <c r="G88" i="18" s="1"/>
  <c r="F87" i="18"/>
  <c r="G87" i="18" s="1"/>
  <c r="F86" i="18"/>
  <c r="G86" i="18" s="1"/>
  <c r="F85" i="18"/>
  <c r="G85" i="18" s="1"/>
  <c r="G84" i="18"/>
  <c r="F83" i="18"/>
  <c r="G83" i="18" s="1"/>
  <c r="F82" i="18"/>
  <c r="G82" i="18" s="1"/>
  <c r="F81" i="18"/>
  <c r="G81" i="18" s="1"/>
  <c r="F80" i="18"/>
  <c r="G80" i="18" s="1"/>
  <c r="G79" i="18"/>
  <c r="G78" i="18"/>
  <c r="F77" i="18"/>
  <c r="G77" i="18" s="1"/>
  <c r="F76" i="18"/>
  <c r="G76" i="18" s="1"/>
  <c r="G75" i="18"/>
  <c r="F74" i="18"/>
  <c r="G74" i="18" s="1"/>
  <c r="F73" i="18"/>
  <c r="G73" i="18" s="1"/>
  <c r="F72" i="18"/>
  <c r="G72" i="18" s="1"/>
  <c r="F71" i="18"/>
  <c r="G71" i="18" s="1"/>
  <c r="F70" i="18"/>
  <c r="G70" i="18" s="1"/>
  <c r="F69" i="18"/>
  <c r="G69" i="18" s="1"/>
  <c r="F66" i="18"/>
  <c r="G66" i="18" s="1"/>
  <c r="F65" i="18"/>
  <c r="G65" i="18" s="1"/>
  <c r="G64" i="18"/>
  <c r="F63" i="18"/>
  <c r="G63" i="18" s="1"/>
  <c r="F62" i="18"/>
  <c r="G62" i="18" s="1"/>
  <c r="F61" i="18"/>
  <c r="G61" i="18" s="1"/>
  <c r="F60" i="18"/>
  <c r="G60" i="18" s="1"/>
  <c r="F59" i="18"/>
  <c r="G59" i="18" s="1"/>
  <c r="F58" i="18"/>
  <c r="G58" i="18" s="1"/>
  <c r="F57" i="18"/>
  <c r="G57" i="18" s="1"/>
  <c r="F56" i="18"/>
  <c r="G56" i="18" s="1"/>
  <c r="F55" i="18"/>
  <c r="G55" i="18" s="1"/>
  <c r="F54" i="18"/>
  <c r="G54" i="18" s="1"/>
  <c r="F53" i="18"/>
  <c r="G53" i="18" s="1"/>
  <c r="G52" i="18"/>
  <c r="F51" i="18"/>
  <c r="G51" i="18" s="1"/>
  <c r="F50" i="18"/>
  <c r="G50" i="18" s="1"/>
  <c r="F49" i="18"/>
  <c r="G49" i="18" s="1"/>
  <c r="F48" i="18"/>
  <c r="G48" i="18" s="1"/>
  <c r="F47" i="18"/>
  <c r="G47" i="18" s="1"/>
  <c r="F46" i="18"/>
  <c r="G46" i="18" s="1"/>
  <c r="F45" i="18"/>
  <c r="G45" i="18" s="1"/>
  <c r="F44" i="18"/>
  <c r="G44" i="18" s="1"/>
  <c r="F43" i="18"/>
  <c r="G43" i="18" s="1"/>
  <c r="F42" i="18"/>
  <c r="G42" i="18" s="1"/>
  <c r="F41" i="18"/>
  <c r="G41" i="18" s="1"/>
  <c r="F40" i="18"/>
  <c r="G40" i="18" s="1"/>
  <c r="F39" i="18"/>
  <c r="G39" i="18" s="1"/>
  <c r="G38" i="18"/>
  <c r="F37" i="18"/>
  <c r="G37" i="18" s="1"/>
  <c r="F36" i="18"/>
  <c r="G36" i="18" s="1"/>
  <c r="F35" i="18"/>
  <c r="G35" i="18" s="1"/>
  <c r="F34" i="18"/>
  <c r="G34" i="18" s="1"/>
  <c r="F33" i="18"/>
  <c r="G33" i="18" s="1"/>
  <c r="F32" i="18"/>
  <c r="G32" i="18" s="1"/>
  <c r="F31" i="18"/>
  <c r="G31" i="18" s="1"/>
  <c r="F30" i="18"/>
  <c r="G30" i="18" s="1"/>
  <c r="F29" i="18"/>
  <c r="G29" i="18" s="1"/>
  <c r="F28" i="18"/>
  <c r="G28" i="18" s="1"/>
  <c r="F27" i="18"/>
  <c r="G27" i="18" s="1"/>
  <c r="F26" i="18"/>
  <c r="G26" i="18" s="1"/>
  <c r="F25" i="18"/>
  <c r="G25" i="18" s="1"/>
  <c r="G24" i="18"/>
  <c r="G23" i="18"/>
  <c r="F22" i="18"/>
  <c r="G22" i="18" s="1"/>
  <c r="F21" i="18"/>
  <c r="G21" i="18" s="1"/>
  <c r="F20" i="18"/>
  <c r="G20" i="18" s="1"/>
  <c r="F19" i="18"/>
  <c r="G19" i="18" s="1"/>
  <c r="G18" i="18"/>
  <c r="F17" i="18"/>
  <c r="G17" i="18" s="1"/>
  <c r="F16" i="18"/>
  <c r="G16" i="18" s="1"/>
  <c r="G15" i="18"/>
  <c r="F14" i="18"/>
  <c r="G14" i="18" s="1"/>
  <c r="G13" i="18"/>
  <c r="F12" i="18"/>
  <c r="G12" i="18" s="1"/>
  <c r="G11" i="18"/>
  <c r="G10" i="18"/>
  <c r="G9" i="18"/>
  <c r="G607" i="17"/>
  <c r="G606" i="17"/>
  <c r="G604" i="17"/>
  <c r="F584" i="17"/>
  <c r="G584" i="17" s="1"/>
  <c r="G582" i="17"/>
  <c r="G578" i="17"/>
  <c r="F575" i="17"/>
  <c r="G575" i="17" s="1"/>
  <c r="F574" i="17"/>
  <c r="G574" i="17" s="1"/>
  <c r="F573" i="17"/>
  <c r="G573" i="17" s="1"/>
  <c r="G572" i="17"/>
  <c r="F571" i="17"/>
  <c r="G571" i="17" s="1"/>
  <c r="F570" i="17"/>
  <c r="G570" i="17" s="1"/>
  <c r="F569" i="17"/>
  <c r="G569" i="17" s="1"/>
  <c r="F568" i="17"/>
  <c r="G568" i="17" s="1"/>
  <c r="G567" i="17"/>
  <c r="G566" i="17"/>
  <c r="F565" i="17"/>
  <c r="G565" i="17" s="1"/>
  <c r="F562" i="17"/>
  <c r="G562" i="17" s="1"/>
  <c r="G561" i="17"/>
  <c r="G556" i="17"/>
  <c r="F555" i="17"/>
  <c r="G555" i="17" s="1"/>
  <c r="G545" i="17"/>
  <c r="F544" i="17"/>
  <c r="G544" i="17" s="1"/>
  <c r="F543" i="17"/>
  <c r="G543" i="17" s="1"/>
  <c r="F542" i="17"/>
  <c r="G542" i="17" s="1"/>
  <c r="G541" i="17"/>
  <c r="F540" i="17"/>
  <c r="G540" i="17" s="1"/>
  <c r="F539" i="17"/>
  <c r="G539" i="17" s="1"/>
  <c r="F538" i="17"/>
  <c r="G538" i="17" s="1"/>
  <c r="G537" i="17"/>
  <c r="G536" i="17"/>
  <c r="F535" i="17"/>
  <c r="G535" i="17" s="1"/>
  <c r="F534" i="17"/>
  <c r="G534" i="17" s="1"/>
  <c r="G533" i="17"/>
  <c r="F532" i="17"/>
  <c r="G532" i="17" s="1"/>
  <c r="F531" i="17"/>
  <c r="G531" i="17" s="1"/>
  <c r="G530" i="17"/>
  <c r="G526" i="17"/>
  <c r="F525" i="17"/>
  <c r="G525" i="17" s="1"/>
  <c r="G523" i="17"/>
  <c r="G517" i="17"/>
  <c r="G513" i="17"/>
  <c r="G510" i="17"/>
  <c r="G505" i="17"/>
  <c r="G504" i="17"/>
  <c r="G496" i="17"/>
  <c r="G493" i="17"/>
  <c r="G489" i="17"/>
  <c r="G487" i="17"/>
  <c r="G481" i="17"/>
  <c r="G476" i="17"/>
  <c r="G473" i="17"/>
  <c r="F470" i="17"/>
  <c r="G470" i="17" s="1"/>
  <c r="F469" i="17"/>
  <c r="G469" i="17" s="1"/>
  <c r="G468" i="17"/>
  <c r="G467" i="17"/>
  <c r="F466" i="17"/>
  <c r="G466" i="17" s="1"/>
  <c r="G457" i="17"/>
  <c r="F456" i="17"/>
  <c r="G456" i="17" s="1"/>
  <c r="G447" i="17"/>
  <c r="F446" i="17"/>
  <c r="G446" i="17" s="1"/>
  <c r="G437" i="17"/>
  <c r="F436" i="17"/>
  <c r="G436" i="17" s="1"/>
  <c r="G427" i="17"/>
  <c r="G426" i="17"/>
  <c r="F416" i="17"/>
  <c r="G416" i="17" s="1"/>
  <c r="F415" i="17"/>
  <c r="G415" i="17" s="1"/>
  <c r="F414" i="17"/>
  <c r="G414" i="17" s="1"/>
  <c r="F413" i="17"/>
  <c r="G413" i="17" s="1"/>
  <c r="F412" i="17"/>
  <c r="G412" i="17" s="1"/>
  <c r="G411" i="17"/>
  <c r="G410" i="17"/>
  <c r="F409" i="17"/>
  <c r="G409" i="17" s="1"/>
  <c r="F408" i="17"/>
  <c r="G408" i="17" s="1"/>
  <c r="F407" i="17"/>
  <c r="G407" i="17" s="1"/>
  <c r="G406" i="17"/>
  <c r="G405" i="17"/>
  <c r="F404" i="17"/>
  <c r="G404" i="17" s="1"/>
  <c r="F403" i="17"/>
  <c r="G403" i="17" s="1"/>
  <c r="F402" i="17"/>
  <c r="G402" i="17" s="1"/>
  <c r="F401" i="17"/>
  <c r="G401" i="17" s="1"/>
  <c r="F400" i="17"/>
  <c r="G400" i="17" s="1"/>
  <c r="F399" i="17"/>
  <c r="G399" i="17" s="1"/>
  <c r="F398" i="17"/>
  <c r="G398" i="17" s="1"/>
  <c r="F397" i="17"/>
  <c r="G397" i="17" s="1"/>
  <c r="F396" i="17"/>
  <c r="G396" i="17" s="1"/>
  <c r="F395" i="17"/>
  <c r="G395" i="17" s="1"/>
  <c r="F394" i="17"/>
  <c r="G394" i="17" s="1"/>
  <c r="G393" i="17"/>
  <c r="F392" i="17"/>
  <c r="G392" i="17" s="1"/>
  <c r="F391" i="17"/>
  <c r="G391" i="17" s="1"/>
  <c r="F389" i="17"/>
  <c r="G389" i="17" s="1"/>
  <c r="F388" i="17"/>
  <c r="G388" i="17" s="1"/>
  <c r="F387" i="17"/>
  <c r="G387" i="17" s="1"/>
  <c r="G386" i="17"/>
  <c r="F385" i="17"/>
  <c r="G385" i="17" s="1"/>
  <c r="F384" i="17"/>
  <c r="G384" i="17" s="1"/>
  <c r="G380" i="17"/>
  <c r="F379" i="17"/>
  <c r="G379" i="17" s="1"/>
  <c r="F378" i="17"/>
  <c r="G378" i="17" s="1"/>
  <c r="G375" i="17"/>
  <c r="F374" i="17"/>
  <c r="G374" i="17" s="1"/>
  <c r="F373" i="17"/>
  <c r="G373" i="17" s="1"/>
  <c r="F372" i="17"/>
  <c r="G372" i="17" s="1"/>
  <c r="F371" i="17"/>
  <c r="G371" i="17" s="1"/>
  <c r="F370" i="17"/>
  <c r="G370" i="17" s="1"/>
  <c r="F369" i="17"/>
  <c r="G369" i="17" s="1"/>
  <c r="G368" i="17"/>
  <c r="F367" i="17"/>
  <c r="G367" i="17" s="1"/>
  <c r="F366" i="17"/>
  <c r="G366" i="17" s="1"/>
  <c r="F365" i="17"/>
  <c r="G365" i="17" s="1"/>
  <c r="F364" i="17"/>
  <c r="G364" i="17" s="1"/>
  <c r="F360" i="17"/>
  <c r="G360" i="17" s="1"/>
  <c r="G356" i="17"/>
  <c r="G352" i="17"/>
  <c r="G348" i="17"/>
  <c r="F347" i="17"/>
  <c r="G347" i="17" s="1"/>
  <c r="F346" i="17"/>
  <c r="G346" i="17" s="1"/>
  <c r="F345" i="17"/>
  <c r="G345" i="17" s="1"/>
  <c r="G344" i="17"/>
  <c r="G341" i="17"/>
  <c r="F340" i="17"/>
  <c r="G340" i="17" s="1"/>
  <c r="F339" i="17"/>
  <c r="G339" i="17" s="1"/>
  <c r="F338" i="17"/>
  <c r="G338" i="17" s="1"/>
  <c r="G333" i="17"/>
  <c r="F331" i="17"/>
  <c r="G331" i="17" s="1"/>
  <c r="F329" i="17"/>
  <c r="G329" i="17" s="1"/>
  <c r="G328" i="17"/>
  <c r="F327" i="17"/>
  <c r="G327" i="17" s="1"/>
  <c r="F323" i="17"/>
  <c r="G323" i="17" s="1"/>
  <c r="F319" i="17"/>
  <c r="G319" i="17" s="1"/>
  <c r="F315" i="17"/>
  <c r="G315" i="17" s="1"/>
  <c r="F311" i="17"/>
  <c r="G311" i="17" s="1"/>
  <c r="F306" i="17"/>
  <c r="G306" i="17" s="1"/>
  <c r="F305" i="17"/>
  <c r="G305" i="17" s="1"/>
  <c r="F304" i="17"/>
  <c r="G304" i="17" s="1"/>
  <c r="F303" i="17"/>
  <c r="G303" i="17" s="1"/>
  <c r="F302" i="17"/>
  <c r="G302" i="17" s="1"/>
  <c r="F301" i="17"/>
  <c r="G301" i="17" s="1"/>
  <c r="F298" i="17"/>
  <c r="G298" i="17" s="1"/>
  <c r="F297" i="17"/>
  <c r="G297" i="17" s="1"/>
  <c r="F296" i="17"/>
  <c r="G296" i="17" s="1"/>
  <c r="F295" i="17"/>
  <c r="G295" i="17" s="1"/>
  <c r="F294" i="17"/>
  <c r="G294" i="17" s="1"/>
  <c r="G290" i="17"/>
  <c r="F288" i="17"/>
  <c r="G288" i="17" s="1"/>
  <c r="F287" i="17"/>
  <c r="G287" i="17" s="1"/>
  <c r="F286" i="17"/>
  <c r="G286" i="17" s="1"/>
  <c r="F278" i="17"/>
  <c r="G278" i="17" s="1"/>
  <c r="F277" i="17"/>
  <c r="G277" i="17" s="1"/>
  <c r="F275" i="17"/>
  <c r="G275" i="17" s="1"/>
  <c r="F274" i="17"/>
  <c r="G274" i="17" s="1"/>
  <c r="F273" i="17"/>
  <c r="G273" i="17" s="1"/>
  <c r="F272" i="17"/>
  <c r="G272" i="17" s="1"/>
  <c r="F271" i="17"/>
  <c r="G271" i="17" s="1"/>
  <c r="F270" i="17"/>
  <c r="G270" i="17" s="1"/>
  <c r="F269" i="17"/>
  <c r="G269" i="17" s="1"/>
  <c r="E268" i="17"/>
  <c r="F268" i="17" s="1"/>
  <c r="G268" i="17" s="1"/>
  <c r="E259" i="17"/>
  <c r="F259" i="17" s="1"/>
  <c r="G259" i="17" s="1"/>
  <c r="F255" i="17"/>
  <c r="G255" i="17" s="1"/>
  <c r="F254" i="17"/>
  <c r="G254" i="17" s="1"/>
  <c r="F253" i="17"/>
  <c r="G253" i="17" s="1"/>
  <c r="F252" i="17"/>
  <c r="G252" i="17" s="1"/>
  <c r="F251" i="17"/>
  <c r="G251" i="17" s="1"/>
  <c r="F250" i="17"/>
  <c r="G250" i="17" s="1"/>
  <c r="F249" i="17"/>
  <c r="G249" i="17" s="1"/>
  <c r="F240" i="17"/>
  <c r="G240" i="17" s="1"/>
  <c r="F234" i="17"/>
  <c r="G234" i="17" s="1"/>
  <c r="F233" i="17"/>
  <c r="G233" i="17" s="1"/>
  <c r="F232" i="17"/>
  <c r="G232" i="17" s="1"/>
  <c r="F231" i="17"/>
  <c r="G231" i="17" s="1"/>
  <c r="G225" i="17"/>
  <c r="F224" i="17"/>
  <c r="G224" i="17" s="1"/>
  <c r="F223" i="17"/>
  <c r="G223" i="17" s="1"/>
  <c r="F222" i="17"/>
  <c r="G222" i="17" s="1"/>
  <c r="F221" i="17"/>
  <c r="G221" i="17" s="1"/>
  <c r="F220" i="17"/>
  <c r="G220" i="17" s="1"/>
  <c r="F219" i="17"/>
  <c r="G219" i="17" s="1"/>
  <c r="G207" i="17"/>
  <c r="F206" i="17"/>
  <c r="G206" i="17" s="1"/>
  <c r="F205" i="17"/>
  <c r="G205" i="17" s="1"/>
  <c r="F204" i="17"/>
  <c r="G204" i="17" s="1"/>
  <c r="F203" i="17"/>
  <c r="G203" i="17" s="1"/>
  <c r="F202" i="17"/>
  <c r="G202" i="17" s="1"/>
  <c r="F201" i="17"/>
  <c r="G201" i="17" s="1"/>
  <c r="F200" i="17"/>
  <c r="G200" i="17" s="1"/>
  <c r="F199" i="17"/>
  <c r="G199" i="17" s="1"/>
  <c r="F198" i="17"/>
  <c r="G198" i="17" s="1"/>
  <c r="F197" i="17"/>
  <c r="G197" i="17" s="1"/>
  <c r="F196" i="17"/>
  <c r="G196" i="17" s="1"/>
  <c r="F195" i="17"/>
  <c r="G195" i="17" s="1"/>
  <c r="F194" i="17"/>
  <c r="G194" i="17" s="1"/>
  <c r="F193" i="17"/>
  <c r="G193" i="17" s="1"/>
  <c r="F192" i="17"/>
  <c r="G192" i="17" s="1"/>
  <c r="F191" i="17"/>
  <c r="G191" i="17" s="1"/>
  <c r="F190" i="17"/>
  <c r="G190" i="17" s="1"/>
  <c r="F189" i="17"/>
  <c r="G189" i="17" s="1"/>
  <c r="F188" i="17"/>
  <c r="G188" i="17" s="1"/>
  <c r="F187" i="17"/>
  <c r="G187" i="17" s="1"/>
  <c r="F186" i="17"/>
  <c r="G186" i="17" s="1"/>
  <c r="G185" i="17"/>
  <c r="F184" i="17"/>
  <c r="G184" i="17" s="1"/>
  <c r="F183" i="17"/>
  <c r="G183" i="17" s="1"/>
  <c r="F182" i="17"/>
  <c r="G182" i="17" s="1"/>
  <c r="F181" i="17"/>
  <c r="G181" i="17" s="1"/>
  <c r="F180" i="17"/>
  <c r="G180" i="17" s="1"/>
  <c r="F179" i="17"/>
  <c r="G179" i="17" s="1"/>
  <c r="F178" i="17"/>
  <c r="G178" i="17" s="1"/>
  <c r="F177" i="17"/>
  <c r="G177" i="17" s="1"/>
  <c r="F176" i="17"/>
  <c r="G176" i="17" s="1"/>
  <c r="F175" i="17"/>
  <c r="G175" i="17" s="1"/>
  <c r="F174" i="17"/>
  <c r="G174" i="17" s="1"/>
  <c r="F173" i="17"/>
  <c r="G173" i="17" s="1"/>
  <c r="F172" i="17"/>
  <c r="G172" i="17" s="1"/>
  <c r="F171" i="17"/>
  <c r="G171" i="17" s="1"/>
  <c r="F170" i="17"/>
  <c r="G170" i="17" s="1"/>
  <c r="F169" i="17"/>
  <c r="G169" i="17" s="1"/>
  <c r="G163" i="17"/>
  <c r="F162" i="17"/>
  <c r="G162" i="17" s="1"/>
  <c r="F161" i="17"/>
  <c r="G161" i="17" s="1"/>
  <c r="F160" i="17"/>
  <c r="G160" i="17" s="1"/>
  <c r="G157" i="17"/>
  <c r="F156" i="17"/>
  <c r="G156" i="17" s="1"/>
  <c r="F155" i="17"/>
  <c r="G155" i="17" s="1"/>
  <c r="F154" i="17"/>
  <c r="G154" i="17" s="1"/>
  <c r="G151" i="17"/>
  <c r="G150" i="17"/>
  <c r="F149" i="17"/>
  <c r="G149" i="17" s="1"/>
  <c r="F148" i="17"/>
  <c r="G148" i="17" s="1"/>
  <c r="F147" i="17"/>
  <c r="G147" i="17" s="1"/>
  <c r="F146" i="17"/>
  <c r="G146" i="17" s="1"/>
  <c r="F145" i="17"/>
  <c r="G145" i="17" s="1"/>
  <c r="F144" i="17"/>
  <c r="G144" i="17" s="1"/>
  <c r="F143" i="17"/>
  <c r="G143" i="17" s="1"/>
  <c r="F142" i="17"/>
  <c r="G142" i="17" s="1"/>
  <c r="F141" i="17"/>
  <c r="G141" i="17" s="1"/>
  <c r="F140" i="17"/>
  <c r="G140" i="17" s="1"/>
  <c r="G128" i="17"/>
  <c r="F127" i="17"/>
  <c r="G127" i="17" s="1"/>
  <c r="F126" i="17"/>
  <c r="G126" i="17" s="1"/>
  <c r="F125" i="17"/>
  <c r="G125" i="17" s="1"/>
  <c r="G121" i="17"/>
  <c r="F120" i="17"/>
  <c r="G120" i="17" s="1"/>
  <c r="G107" i="17"/>
  <c r="F105" i="17"/>
  <c r="G105" i="17" s="1"/>
  <c r="F104" i="17"/>
  <c r="G104" i="17" s="1"/>
  <c r="F103" i="17"/>
  <c r="G103" i="17" s="1"/>
  <c r="F102" i="17"/>
  <c r="G102" i="17" s="1"/>
  <c r="F101" i="17"/>
  <c r="G101" i="17" s="1"/>
  <c r="G96" i="17"/>
  <c r="G95" i="17"/>
  <c r="G94" i="17"/>
  <c r="G81" i="17"/>
  <c r="F78" i="17"/>
  <c r="G78" i="17" s="1"/>
  <c r="E68" i="17"/>
  <c r="F68" i="17" s="1"/>
  <c r="G68" i="17" s="1"/>
  <c r="E67" i="17"/>
  <c r="F67" i="17" s="1"/>
  <c r="G67" i="17" s="1"/>
  <c r="E66" i="17"/>
  <c r="F66" i="17" s="1"/>
  <c r="G66" i="17" s="1"/>
  <c r="E65" i="17"/>
  <c r="F65" i="17" s="1"/>
  <c r="G65" i="17" s="1"/>
  <c r="E64" i="17"/>
  <c r="F64" i="17" s="1"/>
  <c r="G63" i="17"/>
  <c r="G57" i="17"/>
  <c r="E56" i="17"/>
  <c r="F56" i="17" s="1"/>
  <c r="G56" i="17" s="1"/>
  <c r="E55" i="17"/>
  <c r="F55" i="17" s="1"/>
  <c r="G55" i="17" s="1"/>
  <c r="E54" i="17"/>
  <c r="F54" i="17" s="1"/>
  <c r="G54" i="17" s="1"/>
  <c r="E53" i="17"/>
  <c r="F53" i="17" s="1"/>
  <c r="G53" i="17" s="1"/>
  <c r="E52" i="17"/>
  <c r="F52" i="17" s="1"/>
  <c r="G52" i="17" s="1"/>
  <c r="E51" i="17"/>
  <c r="F51" i="17" s="1"/>
  <c r="G51" i="17" s="1"/>
  <c r="E50" i="17"/>
  <c r="F50" i="17" s="1"/>
  <c r="G50" i="17" s="1"/>
  <c r="E49" i="17"/>
  <c r="F49" i="17" s="1"/>
  <c r="G49" i="17" s="1"/>
  <c r="E45" i="17"/>
  <c r="F45" i="17" s="1"/>
  <c r="G45" i="17" s="1"/>
  <c r="E44" i="17"/>
  <c r="F44" i="17" s="1"/>
  <c r="G44" i="17" s="1"/>
  <c r="E40" i="17"/>
  <c r="F40" i="17" s="1"/>
  <c r="G40" i="17" s="1"/>
  <c r="E37" i="17"/>
  <c r="F37" i="17" s="1"/>
  <c r="G37" i="17" s="1"/>
  <c r="E36" i="17"/>
  <c r="F36" i="17" s="1"/>
  <c r="G36" i="17" s="1"/>
  <c r="E35" i="17"/>
  <c r="F35" i="17" s="1"/>
  <c r="G35" i="17" s="1"/>
  <c r="G34" i="17"/>
  <c r="E33" i="17"/>
  <c r="F33" i="17" s="1"/>
  <c r="G33" i="17" s="1"/>
  <c r="F27" i="17"/>
  <c r="G27" i="17" s="1"/>
  <c r="F26" i="17"/>
  <c r="G26" i="17" s="1"/>
  <c r="F25" i="17"/>
  <c r="G25" i="17" s="1"/>
  <c r="F24" i="17"/>
  <c r="G24" i="17" s="1"/>
  <c r="E23" i="17"/>
  <c r="F23" i="17" s="1"/>
  <c r="G23" i="17" s="1"/>
  <c r="E22" i="17"/>
  <c r="F22" i="17" s="1"/>
  <c r="G22" i="17" s="1"/>
  <c r="F21" i="17"/>
  <c r="G21" i="17" s="1"/>
  <c r="E20" i="17"/>
  <c r="F20" i="17" s="1"/>
  <c r="G20" i="17" s="1"/>
  <c r="E19" i="17"/>
  <c r="F19" i="17" s="1"/>
  <c r="G19" i="17" s="1"/>
  <c r="E18" i="17"/>
  <c r="F18" i="17" s="1"/>
  <c r="G18" i="17" s="1"/>
  <c r="E17" i="17"/>
  <c r="F17" i="17" s="1"/>
  <c r="G17" i="17" s="1"/>
  <c r="E16" i="17"/>
  <c r="F16" i="17" s="1"/>
  <c r="G16" i="17" s="1"/>
  <c r="E15" i="17"/>
  <c r="F15" i="17" s="1"/>
  <c r="G15" i="17" s="1"/>
  <c r="G14" i="17"/>
  <c r="G13" i="17"/>
  <c r="E12" i="17"/>
  <c r="F12" i="17" s="1"/>
  <c r="G12" i="17" s="1"/>
  <c r="F11" i="17"/>
  <c r="G11" i="17" s="1"/>
  <c r="G454" i="16"/>
  <c r="G455" i="16"/>
  <c r="G444" i="16"/>
  <c r="D421" i="16"/>
  <c r="D464" i="16"/>
  <c r="E464" i="16" s="1"/>
  <c r="G464" i="16" s="1"/>
  <c r="D463" i="16"/>
  <c r="E463" i="16" s="1"/>
  <c r="G463" i="16" s="1"/>
  <c r="D462" i="16"/>
  <c r="E462" i="16" s="1"/>
  <c r="G462" i="16" s="1"/>
  <c r="H459" i="16"/>
  <c r="D394" i="16"/>
  <c r="E394" i="16" s="1"/>
  <c r="G394" i="16" s="1"/>
  <c r="D393" i="16"/>
  <c r="E393" i="16" s="1"/>
  <c r="G393" i="16" s="1"/>
  <c r="D392" i="16"/>
  <c r="E392" i="16" s="1"/>
  <c r="G392" i="16" s="1"/>
  <c r="H389" i="16"/>
  <c r="D592" i="14"/>
  <c r="D592" i="1"/>
  <c r="D591" i="1"/>
  <c r="L2464" i="5"/>
  <c r="M2464" i="5" s="1"/>
  <c r="O2464" i="5" s="1"/>
  <c r="L2463" i="5"/>
  <c r="M2463" i="5" s="1"/>
  <c r="O2463" i="5" s="1"/>
  <c r="L2462" i="5"/>
  <c r="M2462" i="5" s="1"/>
  <c r="O2462" i="5" s="1"/>
  <c r="O2453" i="5"/>
  <c r="P2459" i="5" s="1"/>
  <c r="O2438" i="5"/>
  <c r="P2450" i="5" s="1"/>
  <c r="O2430" i="5"/>
  <c r="L2409" i="5"/>
  <c r="M2409" i="5" s="1"/>
  <c r="O2409" i="5" s="1"/>
  <c r="L2408" i="5"/>
  <c r="M2408" i="5" s="1"/>
  <c r="O2408" i="5" s="1"/>
  <c r="L2407" i="5"/>
  <c r="M2407" i="5" s="1"/>
  <c r="O2407" i="5" s="1"/>
  <c r="O2398" i="5"/>
  <c r="P2404" i="5" s="1"/>
  <c r="O2383" i="5"/>
  <c r="P2395" i="5" s="1"/>
  <c r="O2375" i="5"/>
  <c r="L2354" i="5"/>
  <c r="M2354" i="5" s="1"/>
  <c r="O2354" i="5" s="1"/>
  <c r="L2353" i="5"/>
  <c r="M2353" i="5" s="1"/>
  <c r="O2353" i="5" s="1"/>
  <c r="L2352" i="5"/>
  <c r="M2352" i="5" s="1"/>
  <c r="O2352" i="5" s="1"/>
  <c r="O2343" i="5"/>
  <c r="P2349" i="5" s="1"/>
  <c r="O2328" i="5"/>
  <c r="P2340" i="5" s="1"/>
  <c r="O2320" i="5"/>
  <c r="O2273" i="5"/>
  <c r="P2285" i="5" s="1"/>
  <c r="L2299" i="5"/>
  <c r="M2299" i="5" s="1"/>
  <c r="O2299" i="5" s="1"/>
  <c r="L2298" i="5"/>
  <c r="M2298" i="5" s="1"/>
  <c r="O2298" i="5" s="1"/>
  <c r="L2297" i="5"/>
  <c r="M2297" i="5" s="1"/>
  <c r="O2297" i="5" s="1"/>
  <c r="O2288" i="5"/>
  <c r="P2294" i="5" s="1"/>
  <c r="O2265" i="5"/>
  <c r="O434" i="10"/>
  <c r="G434" i="10"/>
  <c r="L441" i="10"/>
  <c r="D441" i="10"/>
  <c r="G441" i="10" s="1"/>
  <c r="G442" i="10"/>
  <c r="L466" i="10"/>
  <c r="M466" i="10" s="1"/>
  <c r="O466" i="10" s="1"/>
  <c r="D466" i="10"/>
  <c r="E466" i="10" s="1"/>
  <c r="G466" i="10" s="1"/>
  <c r="L465" i="10"/>
  <c r="M465" i="10" s="1"/>
  <c r="O465" i="10" s="1"/>
  <c r="D465" i="10"/>
  <c r="E465" i="10" s="1"/>
  <c r="G465" i="10" s="1"/>
  <c r="L464" i="10"/>
  <c r="M464" i="10" s="1"/>
  <c r="O464" i="10" s="1"/>
  <c r="D464" i="10"/>
  <c r="E464" i="10" s="1"/>
  <c r="G464" i="10" s="1"/>
  <c r="P461" i="10"/>
  <c r="H461" i="10"/>
  <c r="G444" i="10"/>
  <c r="G443" i="10"/>
  <c r="L199" i="10"/>
  <c r="M199" i="10" s="1"/>
  <c r="O199" i="10" s="1"/>
  <c r="L198" i="10"/>
  <c r="M198" i="10" s="1"/>
  <c r="O198" i="10" s="1"/>
  <c r="L197" i="10"/>
  <c r="M197" i="10" s="1"/>
  <c r="O197" i="10" s="1"/>
  <c r="P194" i="10"/>
  <c r="O177" i="10"/>
  <c r="O176" i="10"/>
  <c r="O175" i="10"/>
  <c r="O174" i="10"/>
  <c r="D79" i="1"/>
  <c r="F2419" i="3"/>
  <c r="G2419" i="3" s="1"/>
  <c r="H2419" i="3" s="1"/>
  <c r="G597" i="14"/>
  <c r="G598" i="14"/>
  <c r="G599" i="14"/>
  <c r="AB350" i="16"/>
  <c r="AC350" i="16" s="1"/>
  <c r="AE350" i="16" s="1"/>
  <c r="AB349" i="16"/>
  <c r="AC349" i="16" s="1"/>
  <c r="AE349" i="16" s="1"/>
  <c r="AB348" i="16"/>
  <c r="AC348" i="16" s="1"/>
  <c r="AE348" i="16" s="1"/>
  <c r="AF345" i="16"/>
  <c r="T350" i="16"/>
  <c r="U350" i="16" s="1"/>
  <c r="W350" i="16" s="1"/>
  <c r="L350" i="16"/>
  <c r="M350" i="16" s="1"/>
  <c r="O350" i="16" s="1"/>
  <c r="D350" i="16"/>
  <c r="E350" i="16" s="1"/>
  <c r="G350" i="16" s="1"/>
  <c r="T349" i="16"/>
  <c r="U349" i="16" s="1"/>
  <c r="W349" i="16" s="1"/>
  <c r="L349" i="16"/>
  <c r="M349" i="16" s="1"/>
  <c r="O349" i="16" s="1"/>
  <c r="D349" i="16"/>
  <c r="E349" i="16" s="1"/>
  <c r="G349" i="16" s="1"/>
  <c r="T348" i="16"/>
  <c r="U348" i="16" s="1"/>
  <c r="W348" i="16" s="1"/>
  <c r="L348" i="16"/>
  <c r="M348" i="16" s="1"/>
  <c r="O348" i="16" s="1"/>
  <c r="D348" i="16"/>
  <c r="E348" i="16" s="1"/>
  <c r="G348" i="16" s="1"/>
  <c r="X345" i="16"/>
  <c r="P345" i="16"/>
  <c r="H345" i="16"/>
  <c r="T298" i="16"/>
  <c r="U298" i="16" s="1"/>
  <c r="W298" i="16" s="1"/>
  <c r="L298" i="16"/>
  <c r="M298" i="16" s="1"/>
  <c r="O298" i="16" s="1"/>
  <c r="D298" i="16"/>
  <c r="E298" i="16" s="1"/>
  <c r="G298" i="16" s="1"/>
  <c r="T297" i="16"/>
  <c r="U297" i="16" s="1"/>
  <c r="W297" i="16" s="1"/>
  <c r="L297" i="16"/>
  <c r="M297" i="16" s="1"/>
  <c r="O297" i="16" s="1"/>
  <c r="D297" i="16"/>
  <c r="E297" i="16" s="1"/>
  <c r="G297" i="16" s="1"/>
  <c r="T296" i="16"/>
  <c r="U296" i="16" s="1"/>
  <c r="W296" i="16" s="1"/>
  <c r="L296" i="16"/>
  <c r="M296" i="16" s="1"/>
  <c r="O296" i="16" s="1"/>
  <c r="D296" i="16"/>
  <c r="E296" i="16" s="1"/>
  <c r="G296" i="16" s="1"/>
  <c r="X293" i="16"/>
  <c r="P293" i="16"/>
  <c r="H293" i="16"/>
  <c r="T246" i="16"/>
  <c r="U246" i="16" s="1"/>
  <c r="W246" i="16" s="1"/>
  <c r="L246" i="16"/>
  <c r="M246" i="16" s="1"/>
  <c r="O246" i="16" s="1"/>
  <c r="D246" i="16"/>
  <c r="E246" i="16" s="1"/>
  <c r="G246" i="16" s="1"/>
  <c r="T245" i="16"/>
  <c r="U245" i="16" s="1"/>
  <c r="W245" i="16" s="1"/>
  <c r="L245" i="16"/>
  <c r="M245" i="16" s="1"/>
  <c r="O245" i="16" s="1"/>
  <c r="D245" i="16"/>
  <c r="E245" i="16" s="1"/>
  <c r="G245" i="16" s="1"/>
  <c r="T244" i="16"/>
  <c r="U244" i="16" s="1"/>
  <c r="W244" i="16" s="1"/>
  <c r="L244" i="16"/>
  <c r="M244" i="16" s="1"/>
  <c r="O244" i="16" s="1"/>
  <c r="D244" i="16"/>
  <c r="E244" i="16" s="1"/>
  <c r="G244" i="16" s="1"/>
  <c r="X241" i="16"/>
  <c r="P241" i="16"/>
  <c r="H241" i="16"/>
  <c r="T193" i="16"/>
  <c r="U193" i="16" s="1"/>
  <c r="W193" i="16" s="1"/>
  <c r="L193" i="16"/>
  <c r="M193" i="16" s="1"/>
  <c r="O193" i="16" s="1"/>
  <c r="D193" i="16"/>
  <c r="E193" i="16" s="1"/>
  <c r="G193" i="16" s="1"/>
  <c r="T192" i="16"/>
  <c r="U192" i="16" s="1"/>
  <c r="W192" i="16" s="1"/>
  <c r="L192" i="16"/>
  <c r="M192" i="16" s="1"/>
  <c r="O192" i="16" s="1"/>
  <c r="D192" i="16"/>
  <c r="E192" i="16" s="1"/>
  <c r="G192" i="16" s="1"/>
  <c r="T191" i="16"/>
  <c r="U191" i="16" s="1"/>
  <c r="W191" i="16" s="1"/>
  <c r="L191" i="16"/>
  <c r="M191" i="16" s="1"/>
  <c r="O191" i="16" s="1"/>
  <c r="D191" i="16"/>
  <c r="E191" i="16" s="1"/>
  <c r="G191" i="16" s="1"/>
  <c r="X188" i="16"/>
  <c r="P188" i="16"/>
  <c r="H188" i="16"/>
  <c r="AB143" i="16"/>
  <c r="AC143" i="16" s="1"/>
  <c r="AE143" i="16" s="1"/>
  <c r="AB142" i="16"/>
  <c r="AC142" i="16" s="1"/>
  <c r="AE142" i="16" s="1"/>
  <c r="AB141" i="16"/>
  <c r="AC141" i="16" s="1"/>
  <c r="AE141" i="16" s="1"/>
  <c r="AF138" i="16"/>
  <c r="T143" i="16"/>
  <c r="U143" i="16" s="1"/>
  <c r="W143" i="16" s="1"/>
  <c r="L143" i="16"/>
  <c r="M143" i="16" s="1"/>
  <c r="O143" i="16" s="1"/>
  <c r="D143" i="16"/>
  <c r="E143" i="16" s="1"/>
  <c r="G143" i="16" s="1"/>
  <c r="T142" i="16"/>
  <c r="U142" i="16" s="1"/>
  <c r="W142" i="16" s="1"/>
  <c r="L142" i="16"/>
  <c r="M142" i="16" s="1"/>
  <c r="O142" i="16" s="1"/>
  <c r="D142" i="16"/>
  <c r="E142" i="16" s="1"/>
  <c r="G142" i="16" s="1"/>
  <c r="T141" i="16"/>
  <c r="U141" i="16" s="1"/>
  <c r="W141" i="16" s="1"/>
  <c r="L141" i="16"/>
  <c r="M141" i="16" s="1"/>
  <c r="O141" i="16" s="1"/>
  <c r="D141" i="16"/>
  <c r="E141" i="16" s="1"/>
  <c r="G141" i="16" s="1"/>
  <c r="X138" i="16"/>
  <c r="P138" i="16"/>
  <c r="H138" i="16"/>
  <c r="T40" i="16"/>
  <c r="U40" i="16" s="1"/>
  <c r="W40" i="16" s="1"/>
  <c r="T39" i="16"/>
  <c r="U39" i="16" s="1"/>
  <c r="W39" i="16" s="1"/>
  <c r="T38" i="16"/>
  <c r="U38" i="16" s="1"/>
  <c r="W38" i="16" s="1"/>
  <c r="X35" i="16"/>
  <c r="L40" i="16"/>
  <c r="M40" i="16" s="1"/>
  <c r="O40" i="16" s="1"/>
  <c r="L39" i="16"/>
  <c r="M39" i="16" s="1"/>
  <c r="O39" i="16" s="1"/>
  <c r="L38" i="16"/>
  <c r="M38" i="16" s="1"/>
  <c r="O38" i="16" s="1"/>
  <c r="P35" i="16"/>
  <c r="D40" i="16"/>
  <c r="E40" i="16" s="1"/>
  <c r="G40" i="16" s="1"/>
  <c r="D39" i="16"/>
  <c r="E39" i="16" s="1"/>
  <c r="G39" i="16" s="1"/>
  <c r="D38" i="16"/>
  <c r="E38" i="16" s="1"/>
  <c r="G38" i="16" s="1"/>
  <c r="H35" i="16"/>
  <c r="F609" i="19"/>
  <c r="G609" i="19" s="1"/>
  <c r="F608" i="19"/>
  <c r="G608" i="19" s="1"/>
  <c r="F607" i="19"/>
  <c r="G607" i="19" s="1"/>
  <c r="D39" i="14"/>
  <c r="D79" i="14" s="1"/>
  <c r="G2425" i="15"/>
  <c r="F2424" i="15"/>
  <c r="G2424" i="15" s="1"/>
  <c r="F2423" i="15"/>
  <c r="G2423" i="15" s="1"/>
  <c r="F2422" i="15"/>
  <c r="G2422" i="15" s="1"/>
  <c r="F2421" i="15"/>
  <c r="G2421" i="15" s="1"/>
  <c r="F2420" i="15"/>
  <c r="G2420" i="15" s="1"/>
  <c r="G2419" i="15"/>
  <c r="G2418" i="15"/>
  <c r="G2417" i="15"/>
  <c r="G2416" i="15"/>
  <c r="G2415" i="15"/>
  <c r="G2414" i="15"/>
  <c r="G2413" i="15"/>
  <c r="G2412" i="15"/>
  <c r="G2411" i="15"/>
  <c r="G2410" i="15"/>
  <c r="F2409" i="15"/>
  <c r="G2409" i="15" s="1"/>
  <c r="F2408" i="15"/>
  <c r="G2408" i="15" s="1"/>
  <c r="F2407" i="15"/>
  <c r="G2407" i="15" s="1"/>
  <c r="G2406" i="15"/>
  <c r="F2405" i="15"/>
  <c r="G2405" i="15" s="1"/>
  <c r="F2404" i="15"/>
  <c r="G2404" i="15" s="1"/>
  <c r="F2403" i="15"/>
  <c r="G2403" i="15" s="1"/>
  <c r="G2402" i="15"/>
  <c r="F2401" i="15"/>
  <c r="G2401" i="15" s="1"/>
  <c r="F2400" i="15"/>
  <c r="G2400" i="15" s="1"/>
  <c r="F2399" i="15"/>
  <c r="G2399" i="15" s="1"/>
  <c r="F2398" i="15"/>
  <c r="G2398" i="15" s="1"/>
  <c r="F2397" i="15"/>
  <c r="G2397" i="15" s="1"/>
  <c r="G2396" i="15"/>
  <c r="G2395" i="15"/>
  <c r="F2394" i="15"/>
  <c r="G2394" i="15" s="1"/>
  <c r="F2393" i="15"/>
  <c r="G2393" i="15" s="1"/>
  <c r="F2392" i="15"/>
  <c r="G2392" i="15" s="1"/>
  <c r="F2391" i="15"/>
  <c r="G2391" i="15" s="1"/>
  <c r="F2390" i="15"/>
  <c r="G2390" i="15" s="1"/>
  <c r="F2389" i="15"/>
  <c r="G2389" i="15" s="1"/>
  <c r="F2388" i="15"/>
  <c r="G2388" i="15" s="1"/>
  <c r="F2387" i="15"/>
  <c r="G2387" i="15" s="1"/>
  <c r="F2386" i="15"/>
  <c r="G2386" i="15" s="1"/>
  <c r="F2385" i="15"/>
  <c r="G2385" i="15" s="1"/>
  <c r="F2384" i="15"/>
  <c r="G2384" i="15" s="1"/>
  <c r="F2383" i="15"/>
  <c r="G2383" i="15" s="1"/>
  <c r="G2382" i="15"/>
  <c r="F2381" i="15"/>
  <c r="G2381" i="15" s="1"/>
  <c r="F2380" i="15"/>
  <c r="G2380" i="15" s="1"/>
  <c r="F2379" i="15"/>
  <c r="G2379" i="15" s="1"/>
  <c r="F2378" i="15"/>
  <c r="G2378" i="15" s="1"/>
  <c r="F2377" i="15"/>
  <c r="G2377" i="15" s="1"/>
  <c r="F2376" i="15"/>
  <c r="G2376" i="15" s="1"/>
  <c r="F2375" i="15"/>
  <c r="G2375" i="15" s="1"/>
  <c r="F2374" i="15"/>
  <c r="G2374" i="15" s="1"/>
  <c r="F2373" i="15"/>
  <c r="G2373" i="15" s="1"/>
  <c r="F2372" i="15"/>
  <c r="G2372" i="15" s="1"/>
  <c r="F2371" i="15"/>
  <c r="G2371" i="15" s="1"/>
  <c r="G2370" i="15"/>
  <c r="F2369" i="15"/>
  <c r="G2369" i="15" s="1"/>
  <c r="F2368" i="15"/>
  <c r="G2368" i="15" s="1"/>
  <c r="F2367" i="15"/>
  <c r="G2367" i="15" s="1"/>
  <c r="F2366" i="15"/>
  <c r="G2366" i="15" s="1"/>
  <c r="F2365" i="15"/>
  <c r="G2365" i="15" s="1"/>
  <c r="F2364" i="15"/>
  <c r="G2364" i="15" s="1"/>
  <c r="F2363" i="15"/>
  <c r="G2363" i="15" s="1"/>
  <c r="F2362" i="15"/>
  <c r="G2362" i="15" s="1"/>
  <c r="F2361" i="15"/>
  <c r="G2361" i="15" s="1"/>
  <c r="F2360" i="15"/>
  <c r="G2360" i="15" s="1"/>
  <c r="F2359" i="15"/>
  <c r="G2359" i="15" s="1"/>
  <c r="F2358" i="15"/>
  <c r="G2358" i="15" s="1"/>
  <c r="F2357" i="15"/>
  <c r="G2357" i="15" s="1"/>
  <c r="F2356" i="15"/>
  <c r="G2356" i="15" s="1"/>
  <c r="F2355" i="15"/>
  <c r="G2355" i="15" s="1"/>
  <c r="G2354" i="15"/>
  <c r="F2353" i="15"/>
  <c r="G2353" i="15" s="1"/>
  <c r="F2352" i="15"/>
  <c r="G2352" i="15" s="1"/>
  <c r="F2351" i="15"/>
  <c r="G2351" i="15" s="1"/>
  <c r="F2350" i="15"/>
  <c r="G2350" i="15" s="1"/>
  <c r="F2349" i="15"/>
  <c r="G2349" i="15" s="1"/>
  <c r="F2348" i="15"/>
  <c r="G2348" i="15" s="1"/>
  <c r="F2347" i="15"/>
  <c r="G2347" i="15" s="1"/>
  <c r="F2346" i="15"/>
  <c r="G2346" i="15" s="1"/>
  <c r="F2345" i="15"/>
  <c r="G2345" i="15" s="1"/>
  <c r="F2344" i="15"/>
  <c r="G2344" i="15" s="1"/>
  <c r="F2343" i="15"/>
  <c r="G2343" i="15" s="1"/>
  <c r="F2342" i="15"/>
  <c r="G2342" i="15" s="1"/>
  <c r="F2341" i="15"/>
  <c r="G2341" i="15" s="1"/>
  <c r="F2340" i="15"/>
  <c r="G2340" i="15" s="1"/>
  <c r="F2339" i="15"/>
  <c r="G2339" i="15" s="1"/>
  <c r="G2338" i="15"/>
  <c r="G2337" i="15"/>
  <c r="F2336" i="15"/>
  <c r="G2336" i="15" s="1"/>
  <c r="F2335" i="15"/>
  <c r="G2335" i="15" s="1"/>
  <c r="F2334" i="15"/>
  <c r="G2334" i="15" s="1"/>
  <c r="F2333" i="15"/>
  <c r="G2333" i="15" s="1"/>
  <c r="F2332" i="15"/>
  <c r="G2332" i="15" s="1"/>
  <c r="F2331" i="15"/>
  <c r="G2331" i="15" s="1"/>
  <c r="F2330" i="15"/>
  <c r="G2330" i="15" s="1"/>
  <c r="F2329" i="15"/>
  <c r="G2329" i="15" s="1"/>
  <c r="G2328" i="15"/>
  <c r="F2327" i="15"/>
  <c r="G2327" i="15" s="1"/>
  <c r="F2326" i="15"/>
  <c r="G2326" i="15" s="1"/>
  <c r="F2325" i="15"/>
  <c r="G2325" i="15" s="1"/>
  <c r="F2324" i="15"/>
  <c r="G2324" i="15" s="1"/>
  <c r="F2323" i="15"/>
  <c r="G2323" i="15" s="1"/>
  <c r="F2322" i="15"/>
  <c r="G2322" i="15" s="1"/>
  <c r="F2321" i="15"/>
  <c r="G2321" i="15" s="1"/>
  <c r="F2320" i="15"/>
  <c r="G2320" i="15" s="1"/>
  <c r="F2319" i="15"/>
  <c r="G2319" i="15" s="1"/>
  <c r="F2318" i="15"/>
  <c r="G2318" i="15" s="1"/>
  <c r="F2317" i="15"/>
  <c r="G2317" i="15" s="1"/>
  <c r="F2316" i="15"/>
  <c r="G2316" i="15" s="1"/>
  <c r="G2315" i="15"/>
  <c r="F2314" i="15"/>
  <c r="G2314" i="15" s="1"/>
  <c r="F2313" i="15"/>
  <c r="G2313" i="15" s="1"/>
  <c r="F2312" i="15"/>
  <c r="G2312" i="15" s="1"/>
  <c r="F2311" i="15"/>
  <c r="G2311" i="15" s="1"/>
  <c r="F2310" i="15"/>
  <c r="G2310" i="15" s="1"/>
  <c r="F2309" i="15"/>
  <c r="G2309" i="15" s="1"/>
  <c r="F2308" i="15"/>
  <c r="G2308" i="15" s="1"/>
  <c r="F2307" i="15"/>
  <c r="G2307" i="15" s="1"/>
  <c r="F2306" i="15"/>
  <c r="G2306" i="15" s="1"/>
  <c r="F2305" i="15"/>
  <c r="G2305" i="15" s="1"/>
  <c r="F2304" i="15"/>
  <c r="G2304" i="15" s="1"/>
  <c r="F2303" i="15"/>
  <c r="G2303" i="15" s="1"/>
  <c r="G2302" i="15"/>
  <c r="F2301" i="15"/>
  <c r="G2301" i="15" s="1"/>
  <c r="F2300" i="15"/>
  <c r="G2300" i="15" s="1"/>
  <c r="F2299" i="15"/>
  <c r="G2299" i="15" s="1"/>
  <c r="F2298" i="15"/>
  <c r="G2298" i="15" s="1"/>
  <c r="F2297" i="15"/>
  <c r="G2297" i="15" s="1"/>
  <c r="F2296" i="15"/>
  <c r="G2296" i="15" s="1"/>
  <c r="F2295" i="15"/>
  <c r="G2295" i="15" s="1"/>
  <c r="G2294" i="15"/>
  <c r="F2293" i="15"/>
  <c r="G2293" i="15" s="1"/>
  <c r="F2292" i="15"/>
  <c r="G2292" i="15" s="1"/>
  <c r="F2291" i="15"/>
  <c r="G2291" i="15" s="1"/>
  <c r="F2290" i="15"/>
  <c r="G2290" i="15" s="1"/>
  <c r="F2289" i="15"/>
  <c r="G2289" i="15" s="1"/>
  <c r="F2288" i="15"/>
  <c r="G2288" i="15" s="1"/>
  <c r="F2287" i="15"/>
  <c r="G2287" i="15" s="1"/>
  <c r="G2286" i="15"/>
  <c r="F2285" i="15"/>
  <c r="G2285" i="15" s="1"/>
  <c r="F2284" i="15"/>
  <c r="G2284" i="15" s="1"/>
  <c r="F2283" i="15"/>
  <c r="G2283" i="15" s="1"/>
  <c r="F2282" i="15"/>
  <c r="G2282" i="15" s="1"/>
  <c r="F2281" i="15"/>
  <c r="G2281" i="15" s="1"/>
  <c r="F2280" i="15"/>
  <c r="G2280" i="15" s="1"/>
  <c r="G2279" i="15"/>
  <c r="F2278" i="15"/>
  <c r="G2278" i="15" s="1"/>
  <c r="F2277" i="15"/>
  <c r="G2277" i="15" s="1"/>
  <c r="F2276" i="15"/>
  <c r="G2276" i="15" s="1"/>
  <c r="F2275" i="15"/>
  <c r="G2275" i="15" s="1"/>
  <c r="F2274" i="15"/>
  <c r="G2274" i="15" s="1"/>
  <c r="F2273" i="15"/>
  <c r="G2273" i="15" s="1"/>
  <c r="G2272" i="15"/>
  <c r="F2271" i="15"/>
  <c r="G2271" i="15" s="1"/>
  <c r="F2270" i="15"/>
  <c r="G2270" i="15" s="1"/>
  <c r="F2269" i="15"/>
  <c r="G2269" i="15" s="1"/>
  <c r="F2268" i="15"/>
  <c r="G2268" i="15" s="1"/>
  <c r="F2267" i="15"/>
  <c r="G2267" i="15" s="1"/>
  <c r="F2266" i="15"/>
  <c r="G2266" i="15" s="1"/>
  <c r="F2265" i="15"/>
  <c r="G2265" i="15" s="1"/>
  <c r="F2264" i="15"/>
  <c r="G2264" i="15" s="1"/>
  <c r="F2263" i="15"/>
  <c r="G2263" i="15" s="1"/>
  <c r="F2262" i="15"/>
  <c r="G2262" i="15" s="1"/>
  <c r="F2261" i="15"/>
  <c r="G2261" i="15" s="1"/>
  <c r="F2260" i="15"/>
  <c r="G2260" i="15" s="1"/>
  <c r="G2259" i="15"/>
  <c r="F2258" i="15"/>
  <c r="G2258" i="15" s="1"/>
  <c r="F2257" i="15"/>
  <c r="G2257" i="15" s="1"/>
  <c r="F2256" i="15"/>
  <c r="G2256" i="15" s="1"/>
  <c r="F2255" i="15"/>
  <c r="G2255" i="15" s="1"/>
  <c r="F2254" i="15"/>
  <c r="G2254" i="15" s="1"/>
  <c r="F2253" i="15"/>
  <c r="G2253" i="15" s="1"/>
  <c r="F2252" i="15"/>
  <c r="G2252" i="15" s="1"/>
  <c r="G2251" i="15"/>
  <c r="F2250" i="15"/>
  <c r="G2250" i="15" s="1"/>
  <c r="F2249" i="15"/>
  <c r="G2249" i="15" s="1"/>
  <c r="F2248" i="15"/>
  <c r="G2248" i="15" s="1"/>
  <c r="F2247" i="15"/>
  <c r="G2247" i="15" s="1"/>
  <c r="F2246" i="15"/>
  <c r="G2246" i="15" s="1"/>
  <c r="F2245" i="15"/>
  <c r="G2245" i="15" s="1"/>
  <c r="G2244" i="15"/>
  <c r="F2243" i="15"/>
  <c r="G2243" i="15" s="1"/>
  <c r="F2242" i="15"/>
  <c r="G2242" i="15" s="1"/>
  <c r="F2241" i="15"/>
  <c r="G2241" i="15" s="1"/>
  <c r="F2240" i="15"/>
  <c r="G2240" i="15" s="1"/>
  <c r="F2239" i="15"/>
  <c r="G2239" i="15" s="1"/>
  <c r="G2238" i="15"/>
  <c r="F2237" i="15"/>
  <c r="G2237" i="15" s="1"/>
  <c r="F2236" i="15"/>
  <c r="G2236" i="15" s="1"/>
  <c r="F2235" i="15"/>
  <c r="G2235" i="15" s="1"/>
  <c r="F2234" i="15"/>
  <c r="G2234" i="15" s="1"/>
  <c r="F2233" i="15"/>
  <c r="G2233" i="15" s="1"/>
  <c r="F2232" i="15"/>
  <c r="G2232" i="15" s="1"/>
  <c r="F2231" i="15"/>
  <c r="G2231" i="15" s="1"/>
  <c r="F2230" i="15"/>
  <c r="G2230" i="15" s="1"/>
  <c r="G2229" i="15"/>
  <c r="G2228" i="15"/>
  <c r="F2227" i="15"/>
  <c r="G2227" i="15" s="1"/>
  <c r="F2226" i="15"/>
  <c r="G2226" i="15" s="1"/>
  <c r="F2225" i="15"/>
  <c r="G2225" i="15" s="1"/>
  <c r="F2224" i="15"/>
  <c r="G2224" i="15" s="1"/>
  <c r="F2223" i="15"/>
  <c r="G2223" i="15" s="1"/>
  <c r="F2222" i="15"/>
  <c r="G2222" i="15" s="1"/>
  <c r="G2221" i="15"/>
  <c r="F2220" i="15"/>
  <c r="G2220" i="15" s="1"/>
  <c r="F2219" i="15"/>
  <c r="G2219" i="15" s="1"/>
  <c r="F2218" i="15"/>
  <c r="G2218" i="15" s="1"/>
  <c r="F2217" i="15"/>
  <c r="G2217" i="15" s="1"/>
  <c r="F2216" i="15"/>
  <c r="G2216" i="15" s="1"/>
  <c r="F2215" i="15"/>
  <c r="G2215" i="15" s="1"/>
  <c r="G2214" i="15"/>
  <c r="F2213" i="15"/>
  <c r="G2213" i="15" s="1"/>
  <c r="F2212" i="15"/>
  <c r="G2212" i="15" s="1"/>
  <c r="F2211" i="15"/>
  <c r="G2211" i="15" s="1"/>
  <c r="F2210" i="15"/>
  <c r="G2210" i="15" s="1"/>
  <c r="F2209" i="15"/>
  <c r="G2209" i="15" s="1"/>
  <c r="F2208" i="15"/>
  <c r="G2208" i="15" s="1"/>
  <c r="F2207" i="15"/>
  <c r="G2207" i="15" s="1"/>
  <c r="F2206" i="15"/>
  <c r="G2206" i="15" s="1"/>
  <c r="F2205" i="15"/>
  <c r="G2205" i="15" s="1"/>
  <c r="F2204" i="15"/>
  <c r="G2204" i="15" s="1"/>
  <c r="F2203" i="15"/>
  <c r="G2203" i="15" s="1"/>
  <c r="F2202" i="15"/>
  <c r="G2202" i="15" s="1"/>
  <c r="G2201" i="15"/>
  <c r="F2200" i="15"/>
  <c r="G2200" i="15" s="1"/>
  <c r="F2199" i="15"/>
  <c r="G2199" i="15" s="1"/>
  <c r="F2198" i="15"/>
  <c r="G2198" i="15" s="1"/>
  <c r="F2197" i="15"/>
  <c r="G2197" i="15" s="1"/>
  <c r="F2196" i="15"/>
  <c r="G2196" i="15" s="1"/>
  <c r="F2195" i="15"/>
  <c r="G2195" i="15" s="1"/>
  <c r="F2194" i="15"/>
  <c r="G2194" i="15" s="1"/>
  <c r="F2193" i="15"/>
  <c r="G2193" i="15" s="1"/>
  <c r="F2192" i="15"/>
  <c r="G2192" i="15" s="1"/>
  <c r="F2191" i="15"/>
  <c r="G2191" i="15" s="1"/>
  <c r="F2190" i="15"/>
  <c r="G2190" i="15" s="1"/>
  <c r="G2189" i="15"/>
  <c r="G2188" i="15"/>
  <c r="F2187" i="15"/>
  <c r="G2187" i="15" s="1"/>
  <c r="F2186" i="15"/>
  <c r="G2186" i="15" s="1"/>
  <c r="F2185" i="15"/>
  <c r="G2185" i="15" s="1"/>
  <c r="F2184" i="15"/>
  <c r="G2184" i="15" s="1"/>
  <c r="F2183" i="15"/>
  <c r="G2183" i="15" s="1"/>
  <c r="F2182" i="15"/>
  <c r="G2182" i="15" s="1"/>
  <c r="F2181" i="15"/>
  <c r="G2181" i="15" s="1"/>
  <c r="F2180" i="15"/>
  <c r="G2180" i="15" s="1"/>
  <c r="F2179" i="15"/>
  <c r="G2179" i="15" s="1"/>
  <c r="F2178" i="15"/>
  <c r="G2178" i="15" s="1"/>
  <c r="F2177" i="15"/>
  <c r="G2177" i="15" s="1"/>
  <c r="G2176" i="15"/>
  <c r="F2175" i="15"/>
  <c r="G2175" i="15" s="1"/>
  <c r="F2174" i="15"/>
  <c r="G2174" i="15" s="1"/>
  <c r="F2173" i="15"/>
  <c r="G2173" i="15" s="1"/>
  <c r="F2172" i="15"/>
  <c r="G2172" i="15" s="1"/>
  <c r="F2171" i="15"/>
  <c r="G2171" i="15" s="1"/>
  <c r="F2170" i="15"/>
  <c r="G2170" i="15" s="1"/>
  <c r="F2168" i="15"/>
  <c r="G2168" i="15" s="1"/>
  <c r="F2167" i="15"/>
  <c r="G2167" i="15" s="1"/>
  <c r="F2166" i="15"/>
  <c r="G2166" i="15" s="1"/>
  <c r="F2165" i="15"/>
  <c r="G2165" i="15" s="1"/>
  <c r="G2164" i="15"/>
  <c r="G2163" i="15"/>
  <c r="G2162" i="15"/>
  <c r="F2161" i="15"/>
  <c r="G2161" i="15" s="1"/>
  <c r="G2160" i="15"/>
  <c r="F2159" i="15"/>
  <c r="G2159" i="15" s="1"/>
  <c r="F2158" i="15"/>
  <c r="G2158" i="15" s="1"/>
  <c r="F2157" i="15"/>
  <c r="G2157" i="15" s="1"/>
  <c r="F2156" i="15"/>
  <c r="G2156" i="15" s="1"/>
  <c r="G2155" i="15"/>
  <c r="F2154" i="15"/>
  <c r="G2154" i="15" s="1"/>
  <c r="F2153" i="15"/>
  <c r="G2153" i="15" s="1"/>
  <c r="G2152" i="15"/>
  <c r="G2151" i="15"/>
  <c r="F2150" i="15"/>
  <c r="G2150" i="15" s="1"/>
  <c r="F2149" i="15"/>
  <c r="G2149" i="15" s="1"/>
  <c r="F2148" i="15"/>
  <c r="G2148" i="15" s="1"/>
  <c r="F2147" i="15"/>
  <c r="G2147" i="15" s="1"/>
  <c r="G2146" i="15"/>
  <c r="F2145" i="15"/>
  <c r="G2145" i="15" s="1"/>
  <c r="F2144" i="15"/>
  <c r="G2144" i="15" s="1"/>
  <c r="F2143" i="15"/>
  <c r="G2143" i="15" s="1"/>
  <c r="F2142" i="15"/>
  <c r="G2142" i="15" s="1"/>
  <c r="G2141" i="15"/>
  <c r="F2140" i="15"/>
  <c r="G2140" i="15" s="1"/>
  <c r="F2139" i="15"/>
  <c r="G2139" i="15" s="1"/>
  <c r="G2138" i="15"/>
  <c r="G2137" i="15"/>
  <c r="F2136" i="15"/>
  <c r="G2136" i="15" s="1"/>
  <c r="F2135" i="15"/>
  <c r="G2135" i="15" s="1"/>
  <c r="F2134" i="15"/>
  <c r="G2134" i="15" s="1"/>
  <c r="F2133" i="15"/>
  <c r="G2133" i="15" s="1"/>
  <c r="F2132" i="15"/>
  <c r="G2132" i="15" s="1"/>
  <c r="F2131" i="15"/>
  <c r="G2131" i="15" s="1"/>
  <c r="F2130" i="15"/>
  <c r="G2130" i="15" s="1"/>
  <c r="F2129" i="15"/>
  <c r="G2129" i="15" s="1"/>
  <c r="F2128" i="15"/>
  <c r="G2128" i="15" s="1"/>
  <c r="F2127" i="15"/>
  <c r="G2127" i="15" s="1"/>
  <c r="F2126" i="15"/>
  <c r="G2126" i="15" s="1"/>
  <c r="F2125" i="15"/>
  <c r="G2125" i="15" s="1"/>
  <c r="F2124" i="15"/>
  <c r="G2124" i="15" s="1"/>
  <c r="F2123" i="15"/>
  <c r="G2123" i="15" s="1"/>
  <c r="F2122" i="15"/>
  <c r="G2122" i="15" s="1"/>
  <c r="F2121" i="15"/>
  <c r="G2121" i="15" s="1"/>
  <c r="F2120" i="15"/>
  <c r="G2120" i="15" s="1"/>
  <c r="F2119" i="15"/>
  <c r="G2119" i="15" s="1"/>
  <c r="F2118" i="15"/>
  <c r="G2118" i="15" s="1"/>
  <c r="F2117" i="15"/>
  <c r="G2117" i="15" s="1"/>
  <c r="F2116" i="15"/>
  <c r="G2116" i="15" s="1"/>
  <c r="F2115" i="15"/>
  <c r="G2115" i="15" s="1"/>
  <c r="F2114" i="15"/>
  <c r="G2114" i="15" s="1"/>
  <c r="F2113" i="15"/>
  <c r="G2113" i="15" s="1"/>
  <c r="F2112" i="15"/>
  <c r="G2112" i="15" s="1"/>
  <c r="F2111" i="15"/>
  <c r="G2111" i="15" s="1"/>
  <c r="F2110" i="15"/>
  <c r="G2110" i="15" s="1"/>
  <c r="F2109" i="15"/>
  <c r="G2109" i="15" s="1"/>
  <c r="F2108" i="15"/>
  <c r="G2108" i="15" s="1"/>
  <c r="F2107" i="15"/>
  <c r="G2107" i="15" s="1"/>
  <c r="F2106" i="15"/>
  <c r="G2106" i="15" s="1"/>
  <c r="F2105" i="15"/>
  <c r="G2105" i="15" s="1"/>
  <c r="F2104" i="15"/>
  <c r="G2104" i="15" s="1"/>
  <c r="F2103" i="15"/>
  <c r="G2103" i="15" s="1"/>
  <c r="F2102" i="15"/>
  <c r="G2102" i="15" s="1"/>
  <c r="F2101" i="15"/>
  <c r="G2101" i="15" s="1"/>
  <c r="F2100" i="15"/>
  <c r="G2100" i="15" s="1"/>
  <c r="F2099" i="15"/>
  <c r="G2099" i="15" s="1"/>
  <c r="F2098" i="15"/>
  <c r="G2098" i="15" s="1"/>
  <c r="F2097" i="15"/>
  <c r="G2097" i="15" s="1"/>
  <c r="F2096" i="15"/>
  <c r="G2096" i="15" s="1"/>
  <c r="F2095" i="15"/>
  <c r="G2095" i="15" s="1"/>
  <c r="F2094" i="15"/>
  <c r="G2094" i="15" s="1"/>
  <c r="F2093" i="15"/>
  <c r="G2093" i="15" s="1"/>
  <c r="F2092" i="15"/>
  <c r="G2092" i="15" s="1"/>
  <c r="F2091" i="15"/>
  <c r="G2091" i="15" s="1"/>
  <c r="F2090" i="15"/>
  <c r="G2090" i="15" s="1"/>
  <c r="F2089" i="15"/>
  <c r="G2089" i="15" s="1"/>
  <c r="G2088" i="15"/>
  <c r="F2087" i="15"/>
  <c r="G2087" i="15" s="1"/>
  <c r="F2086" i="15"/>
  <c r="G2086" i="15" s="1"/>
  <c r="F2085" i="15"/>
  <c r="G2085" i="15" s="1"/>
  <c r="F2084" i="15"/>
  <c r="G2084" i="15" s="1"/>
  <c r="F2083" i="15"/>
  <c r="G2083" i="15" s="1"/>
  <c r="F2082" i="15"/>
  <c r="G2082" i="15" s="1"/>
  <c r="F2081" i="15"/>
  <c r="G2081" i="15" s="1"/>
  <c r="F2080" i="15"/>
  <c r="G2080" i="15" s="1"/>
  <c r="F2079" i="15"/>
  <c r="G2079" i="15" s="1"/>
  <c r="F2078" i="15"/>
  <c r="G2078" i="15" s="1"/>
  <c r="F2077" i="15"/>
  <c r="G2077" i="15" s="1"/>
  <c r="F2076" i="15"/>
  <c r="G2076" i="15" s="1"/>
  <c r="F2063" i="15"/>
  <c r="G2063" i="15" s="1"/>
  <c r="F2062" i="15"/>
  <c r="G2062" i="15" s="1"/>
  <c r="F2061" i="15"/>
  <c r="G2061" i="15" s="1"/>
  <c r="F2060" i="15"/>
  <c r="G2060" i="15" s="1"/>
  <c r="F2059" i="15"/>
  <c r="G2059" i="15" s="1"/>
  <c r="F2058" i="15"/>
  <c r="G2058" i="15" s="1"/>
  <c r="F2057" i="15"/>
  <c r="G2057" i="15" s="1"/>
  <c r="F2056" i="15"/>
  <c r="G2056" i="15" s="1"/>
  <c r="F2055" i="15"/>
  <c r="G2055" i="15" s="1"/>
  <c r="F2054" i="15"/>
  <c r="G2054" i="15" s="1"/>
  <c r="F2053" i="15"/>
  <c r="G2053" i="15" s="1"/>
  <c r="F2052" i="15"/>
  <c r="G2052" i="15" s="1"/>
  <c r="F2051" i="15"/>
  <c r="G2051" i="15" s="1"/>
  <c r="F2050" i="15"/>
  <c r="G2050" i="15" s="1"/>
  <c r="F2049" i="15"/>
  <c r="G2049" i="15" s="1"/>
  <c r="F2048" i="15"/>
  <c r="G2048" i="15" s="1"/>
  <c r="F2047" i="15"/>
  <c r="G2047" i="15" s="1"/>
  <c r="F2046" i="15"/>
  <c r="G2046" i="15" s="1"/>
  <c r="F2045" i="15"/>
  <c r="G2045" i="15" s="1"/>
  <c r="F2044" i="15"/>
  <c r="G2044" i="15" s="1"/>
  <c r="F2043" i="15"/>
  <c r="G2043" i="15" s="1"/>
  <c r="F2042" i="15"/>
  <c r="G2042" i="15" s="1"/>
  <c r="F2041" i="15"/>
  <c r="G2041" i="15" s="1"/>
  <c r="F2040" i="15"/>
  <c r="G2040" i="15" s="1"/>
  <c r="G2039" i="15"/>
  <c r="G2038" i="15"/>
  <c r="F2037" i="15"/>
  <c r="G2037" i="15" s="1"/>
  <c r="F2036" i="15"/>
  <c r="G2036" i="15" s="1"/>
  <c r="F2035" i="15"/>
  <c r="G2035" i="15" s="1"/>
  <c r="F2034" i="15"/>
  <c r="G2034" i="15" s="1"/>
  <c r="F2033" i="15"/>
  <c r="G2033" i="15" s="1"/>
  <c r="F2032" i="15"/>
  <c r="G2032" i="15" s="1"/>
  <c r="F2031" i="15"/>
  <c r="G2031" i="15" s="1"/>
  <c r="G2030" i="15"/>
  <c r="F2029" i="15"/>
  <c r="G2029" i="15" s="1"/>
  <c r="F2028" i="15"/>
  <c r="G2028" i="15" s="1"/>
  <c r="F2027" i="15"/>
  <c r="G2027" i="15" s="1"/>
  <c r="F2026" i="15"/>
  <c r="G2026" i="15" s="1"/>
  <c r="F2025" i="15"/>
  <c r="G2025" i="15" s="1"/>
  <c r="F2024" i="15"/>
  <c r="G2024" i="15" s="1"/>
  <c r="F2023" i="15"/>
  <c r="G2023" i="15" s="1"/>
  <c r="G2022" i="15"/>
  <c r="F2021" i="15"/>
  <c r="G2021" i="15" s="1"/>
  <c r="F2020" i="15"/>
  <c r="G2020" i="15" s="1"/>
  <c r="F2019" i="15"/>
  <c r="G2019" i="15" s="1"/>
  <c r="F2018" i="15"/>
  <c r="G2018" i="15" s="1"/>
  <c r="F2017" i="15"/>
  <c r="G2017" i="15" s="1"/>
  <c r="F2016" i="15"/>
  <c r="G2016" i="15" s="1"/>
  <c r="F2015" i="15"/>
  <c r="G2015" i="15" s="1"/>
  <c r="G2014" i="15"/>
  <c r="F2013" i="15"/>
  <c r="G2013" i="15" s="1"/>
  <c r="F2012" i="15"/>
  <c r="G2012" i="15" s="1"/>
  <c r="F2011" i="15"/>
  <c r="G2011" i="15" s="1"/>
  <c r="F2010" i="15"/>
  <c r="G2010" i="15" s="1"/>
  <c r="F2009" i="15"/>
  <c r="G2009" i="15" s="1"/>
  <c r="F2008" i="15"/>
  <c r="G2008" i="15" s="1"/>
  <c r="F2007" i="15"/>
  <c r="G2007" i="15" s="1"/>
  <c r="G2006" i="15"/>
  <c r="F2005" i="15"/>
  <c r="G2005" i="15" s="1"/>
  <c r="F2004" i="15"/>
  <c r="G2004" i="15" s="1"/>
  <c r="F2003" i="15"/>
  <c r="G2003" i="15" s="1"/>
  <c r="F2002" i="15"/>
  <c r="G2002" i="15" s="1"/>
  <c r="F2001" i="15"/>
  <c r="G2001" i="15" s="1"/>
  <c r="F2000" i="15"/>
  <c r="G2000" i="15" s="1"/>
  <c r="F1999" i="15"/>
  <c r="G1999" i="15" s="1"/>
  <c r="G1998" i="15"/>
  <c r="G1997" i="15"/>
  <c r="G1996" i="15"/>
  <c r="F1995" i="15"/>
  <c r="G1995" i="15" s="1"/>
  <c r="F1994" i="15"/>
  <c r="G1994" i="15" s="1"/>
  <c r="F1993" i="15"/>
  <c r="G1993" i="15" s="1"/>
  <c r="F1992" i="15"/>
  <c r="G1992" i="15" s="1"/>
  <c r="F1991" i="15"/>
  <c r="G1991" i="15" s="1"/>
  <c r="F1990" i="15"/>
  <c r="G1990" i="15" s="1"/>
  <c r="F1989" i="15"/>
  <c r="G1989" i="15" s="1"/>
  <c r="G1988" i="15"/>
  <c r="F1987" i="15"/>
  <c r="G1987" i="15" s="1"/>
  <c r="F1986" i="15"/>
  <c r="G1986" i="15" s="1"/>
  <c r="F1985" i="15"/>
  <c r="G1985" i="15" s="1"/>
  <c r="F1984" i="15"/>
  <c r="G1984" i="15" s="1"/>
  <c r="F1983" i="15"/>
  <c r="G1983" i="15" s="1"/>
  <c r="F1982" i="15"/>
  <c r="G1982" i="15" s="1"/>
  <c r="F1981" i="15"/>
  <c r="G1981" i="15" s="1"/>
  <c r="F1980" i="15"/>
  <c r="G1980" i="15" s="1"/>
  <c r="F1979" i="15"/>
  <c r="G1979" i="15" s="1"/>
  <c r="F1978" i="15"/>
  <c r="G1978" i="15" s="1"/>
  <c r="F1977" i="15"/>
  <c r="G1977" i="15" s="1"/>
  <c r="F1976" i="15"/>
  <c r="G1976" i="15" s="1"/>
  <c r="G1975" i="15"/>
  <c r="F1974" i="15"/>
  <c r="G1974" i="15" s="1"/>
  <c r="F1973" i="15"/>
  <c r="G1973" i="15" s="1"/>
  <c r="F1972" i="15"/>
  <c r="G1972" i="15" s="1"/>
  <c r="F1971" i="15"/>
  <c r="G1971" i="15" s="1"/>
  <c r="F1970" i="15"/>
  <c r="G1970" i="15" s="1"/>
  <c r="F1969" i="15"/>
  <c r="G1969" i="15" s="1"/>
  <c r="F1968" i="15"/>
  <c r="G1968" i="15" s="1"/>
  <c r="F1967" i="15"/>
  <c r="G1967" i="15" s="1"/>
  <c r="F1966" i="15"/>
  <c r="G1966" i="15" s="1"/>
  <c r="G1962" i="15"/>
  <c r="E1962" i="15"/>
  <c r="G1961" i="15"/>
  <c r="E1961" i="15"/>
  <c r="G1948" i="15"/>
  <c r="E1948" i="15"/>
  <c r="F1942" i="15"/>
  <c r="G1942" i="15" s="1"/>
  <c r="F1941" i="15"/>
  <c r="G1941" i="15" s="1"/>
  <c r="F1940" i="15"/>
  <c r="G1940" i="15" s="1"/>
  <c r="F1939" i="15"/>
  <c r="G1939" i="15" s="1"/>
  <c r="F1938" i="15"/>
  <c r="G1938" i="15" s="1"/>
  <c r="F1937" i="15"/>
  <c r="G1937" i="15" s="1"/>
  <c r="F1936" i="15"/>
  <c r="G1936" i="15" s="1"/>
  <c r="G1935" i="15"/>
  <c r="G1934" i="15"/>
  <c r="F1933" i="15"/>
  <c r="G1933" i="15" s="1"/>
  <c r="F1932" i="15"/>
  <c r="G1932" i="15" s="1"/>
  <c r="F1931" i="15"/>
  <c r="G1931" i="15" s="1"/>
  <c r="F1930" i="15"/>
  <c r="G1930" i="15" s="1"/>
  <c r="F1929" i="15"/>
  <c r="G1929" i="15" s="1"/>
  <c r="F1928" i="15"/>
  <c r="G1928" i="15" s="1"/>
  <c r="F1927" i="15"/>
  <c r="G1927" i="15" s="1"/>
  <c r="F1926" i="15"/>
  <c r="G1926" i="15" s="1"/>
  <c r="F1925" i="15"/>
  <c r="G1925" i="15" s="1"/>
  <c r="F1924" i="15"/>
  <c r="G1924" i="15" s="1"/>
  <c r="F1923" i="15"/>
  <c r="G1923" i="15" s="1"/>
  <c r="G1922" i="15"/>
  <c r="F1921" i="15"/>
  <c r="G1921" i="15" s="1"/>
  <c r="F1920" i="15"/>
  <c r="G1920" i="15" s="1"/>
  <c r="F1919" i="15"/>
  <c r="G1919" i="15" s="1"/>
  <c r="F1918" i="15"/>
  <c r="G1918" i="15" s="1"/>
  <c r="F1917" i="15"/>
  <c r="G1917" i="15" s="1"/>
  <c r="F1916" i="15"/>
  <c r="G1916" i="15" s="1"/>
  <c r="F1915" i="15"/>
  <c r="G1915" i="15" s="1"/>
  <c r="F1914" i="15"/>
  <c r="G1914" i="15" s="1"/>
  <c r="F1913" i="15"/>
  <c r="G1913" i="15" s="1"/>
  <c r="F1912" i="15"/>
  <c r="G1912" i="15" s="1"/>
  <c r="F1911" i="15"/>
  <c r="G1911" i="15" s="1"/>
  <c r="F1910" i="15"/>
  <c r="G1910" i="15" s="1"/>
  <c r="G1909" i="15"/>
  <c r="F1908" i="15"/>
  <c r="G1908" i="15" s="1"/>
  <c r="F1907" i="15"/>
  <c r="G1907" i="15" s="1"/>
  <c r="F1906" i="15"/>
  <c r="G1906" i="15" s="1"/>
  <c r="F1905" i="15"/>
  <c r="G1905" i="15" s="1"/>
  <c r="F1904" i="15"/>
  <c r="G1904" i="15" s="1"/>
  <c r="F1903" i="15"/>
  <c r="G1903" i="15" s="1"/>
  <c r="F1902" i="15"/>
  <c r="G1902" i="15" s="1"/>
  <c r="F1901" i="15"/>
  <c r="G1901" i="15" s="1"/>
  <c r="F1900" i="15"/>
  <c r="G1900" i="15" s="1"/>
  <c r="F1899" i="15"/>
  <c r="G1899" i="15" s="1"/>
  <c r="F1898" i="15"/>
  <c r="G1898" i="15" s="1"/>
  <c r="F1897" i="15"/>
  <c r="G1897" i="15" s="1"/>
  <c r="G1896" i="15"/>
  <c r="F1895" i="15"/>
  <c r="G1895" i="15" s="1"/>
  <c r="F1894" i="15"/>
  <c r="G1894" i="15" s="1"/>
  <c r="F1893" i="15"/>
  <c r="G1893" i="15" s="1"/>
  <c r="F1892" i="15"/>
  <c r="G1892" i="15" s="1"/>
  <c r="F1891" i="15"/>
  <c r="G1891" i="15" s="1"/>
  <c r="F1890" i="15"/>
  <c r="G1890" i="15" s="1"/>
  <c r="F1889" i="15"/>
  <c r="G1889" i="15" s="1"/>
  <c r="F1888" i="15"/>
  <c r="G1888" i="15" s="1"/>
  <c r="F1887" i="15"/>
  <c r="G1887" i="15" s="1"/>
  <c r="F1886" i="15"/>
  <c r="G1886" i="15" s="1"/>
  <c r="F1885" i="15"/>
  <c r="G1885" i="15" s="1"/>
  <c r="F1884" i="15"/>
  <c r="G1884" i="15" s="1"/>
  <c r="G1883" i="15"/>
  <c r="F1882" i="15"/>
  <c r="G1882" i="15" s="1"/>
  <c r="F1881" i="15"/>
  <c r="G1881" i="15" s="1"/>
  <c r="F1880" i="15"/>
  <c r="G1880" i="15" s="1"/>
  <c r="F1879" i="15"/>
  <c r="G1879" i="15" s="1"/>
  <c r="F1878" i="15"/>
  <c r="G1878" i="15" s="1"/>
  <c r="F1877" i="15"/>
  <c r="G1877" i="15" s="1"/>
  <c r="F1876" i="15"/>
  <c r="G1876" i="15" s="1"/>
  <c r="F1875" i="15"/>
  <c r="G1875" i="15" s="1"/>
  <c r="F1874" i="15"/>
  <c r="G1874" i="15" s="1"/>
  <c r="F1873" i="15"/>
  <c r="G1873" i="15" s="1"/>
  <c r="F1872" i="15"/>
  <c r="G1872" i="15" s="1"/>
  <c r="F1871" i="15"/>
  <c r="G1871" i="15" s="1"/>
  <c r="F1870" i="15"/>
  <c r="G1870" i="15" s="1"/>
  <c r="G1869" i="15"/>
  <c r="F1868" i="15"/>
  <c r="G1868" i="15" s="1"/>
  <c r="F1867" i="15"/>
  <c r="G1867" i="15" s="1"/>
  <c r="F1866" i="15"/>
  <c r="G1866" i="15" s="1"/>
  <c r="F1865" i="15"/>
  <c r="G1865" i="15" s="1"/>
  <c r="F1864" i="15"/>
  <c r="G1864" i="15" s="1"/>
  <c r="F1863" i="15"/>
  <c r="G1863" i="15" s="1"/>
  <c r="F1862" i="15"/>
  <c r="G1862" i="15" s="1"/>
  <c r="F1861" i="15"/>
  <c r="G1861" i="15" s="1"/>
  <c r="F1860" i="15"/>
  <c r="G1860" i="15" s="1"/>
  <c r="F1859" i="15"/>
  <c r="G1859" i="15" s="1"/>
  <c r="F1858" i="15"/>
  <c r="G1858" i="15" s="1"/>
  <c r="F1857" i="15"/>
  <c r="G1857" i="15" s="1"/>
  <c r="G1856" i="15"/>
  <c r="G1855" i="15"/>
  <c r="F1854" i="15"/>
  <c r="G1854" i="15" s="1"/>
  <c r="F1853" i="15"/>
  <c r="G1853" i="15" s="1"/>
  <c r="F1852" i="15"/>
  <c r="G1852" i="15" s="1"/>
  <c r="F1851" i="15"/>
  <c r="G1851" i="15" s="1"/>
  <c r="F1850" i="15"/>
  <c r="G1850" i="15" s="1"/>
  <c r="F1849" i="15"/>
  <c r="G1849" i="15" s="1"/>
  <c r="F1848" i="15"/>
  <c r="G1848" i="15" s="1"/>
  <c r="F1847" i="15"/>
  <c r="G1847" i="15" s="1"/>
  <c r="F1846" i="15"/>
  <c r="G1846" i="15" s="1"/>
  <c r="F1845" i="15"/>
  <c r="G1845" i="15" s="1"/>
  <c r="F1844" i="15"/>
  <c r="G1844" i="15" s="1"/>
  <c r="F1843" i="15"/>
  <c r="G1843" i="15" s="1"/>
  <c r="F1842" i="15"/>
  <c r="G1842" i="15" s="1"/>
  <c r="F1841" i="15"/>
  <c r="G1841" i="15" s="1"/>
  <c r="F1840" i="15"/>
  <c r="G1840" i="15" s="1"/>
  <c r="F1839" i="15"/>
  <c r="G1839" i="15" s="1"/>
  <c r="F1838" i="15"/>
  <c r="G1838" i="15" s="1"/>
  <c r="F1837" i="15"/>
  <c r="G1837" i="15" s="1"/>
  <c r="F1836" i="15"/>
  <c r="G1836" i="15" s="1"/>
  <c r="F1835" i="15"/>
  <c r="G1835" i="15" s="1"/>
  <c r="F1834" i="15"/>
  <c r="G1834" i="15" s="1"/>
  <c r="F1833" i="15"/>
  <c r="G1833" i="15" s="1"/>
  <c r="F1832" i="15"/>
  <c r="G1832" i="15" s="1"/>
  <c r="F1831" i="15"/>
  <c r="G1831" i="15" s="1"/>
  <c r="F1830" i="15"/>
  <c r="G1830" i="15" s="1"/>
  <c r="F1829" i="15"/>
  <c r="G1829" i="15" s="1"/>
  <c r="F1828" i="15"/>
  <c r="G1828" i="15" s="1"/>
  <c r="F1827" i="15"/>
  <c r="G1827" i="15" s="1"/>
  <c r="F1826" i="15"/>
  <c r="G1826" i="15" s="1"/>
  <c r="F1825" i="15"/>
  <c r="G1825" i="15" s="1"/>
  <c r="F1824" i="15"/>
  <c r="G1824" i="15" s="1"/>
  <c r="F1823" i="15"/>
  <c r="G1823" i="15" s="1"/>
  <c r="F1822" i="15"/>
  <c r="G1822" i="15" s="1"/>
  <c r="F1821" i="15"/>
  <c r="G1821" i="15" s="1"/>
  <c r="F1820" i="15"/>
  <c r="G1820" i="15" s="1"/>
  <c r="F1819" i="15"/>
  <c r="G1819" i="15" s="1"/>
  <c r="F1818" i="15"/>
  <c r="G1818" i="15" s="1"/>
  <c r="F1817" i="15"/>
  <c r="G1817" i="15" s="1"/>
  <c r="F1816" i="15"/>
  <c r="G1816" i="15" s="1"/>
  <c r="F1815" i="15"/>
  <c r="G1815" i="15" s="1"/>
  <c r="F1814" i="15"/>
  <c r="G1814" i="15" s="1"/>
  <c r="F1813" i="15"/>
  <c r="G1813" i="15" s="1"/>
  <c r="F1812" i="15"/>
  <c r="G1812" i="15" s="1"/>
  <c r="F1811" i="15"/>
  <c r="G1811" i="15" s="1"/>
  <c r="F1810" i="15"/>
  <c r="G1810" i="15" s="1"/>
  <c r="F1809" i="15"/>
  <c r="G1809" i="15" s="1"/>
  <c r="F1808" i="15"/>
  <c r="G1808" i="15" s="1"/>
  <c r="F1807" i="15"/>
  <c r="G1807" i="15" s="1"/>
  <c r="F1806" i="15"/>
  <c r="G1806" i="15" s="1"/>
  <c r="F1805" i="15"/>
  <c r="G1805" i="15" s="1"/>
  <c r="F1804" i="15"/>
  <c r="G1804" i="15" s="1"/>
  <c r="F1803" i="15"/>
  <c r="G1803" i="15" s="1"/>
  <c r="F1802" i="15"/>
  <c r="G1802" i="15" s="1"/>
  <c r="F1801" i="15"/>
  <c r="G1801" i="15" s="1"/>
  <c r="F1800" i="15"/>
  <c r="G1800" i="15" s="1"/>
  <c r="F1799" i="15"/>
  <c r="G1799" i="15" s="1"/>
  <c r="F1798" i="15"/>
  <c r="G1798" i="15" s="1"/>
  <c r="F1797" i="15"/>
  <c r="G1797" i="15" s="1"/>
  <c r="F1796" i="15"/>
  <c r="G1796" i="15" s="1"/>
  <c r="G1795" i="15"/>
  <c r="F1794" i="15"/>
  <c r="G1794" i="15" s="1"/>
  <c r="F1793" i="15"/>
  <c r="G1793" i="15" s="1"/>
  <c r="F1792" i="15"/>
  <c r="G1792" i="15" s="1"/>
  <c r="F1791" i="15"/>
  <c r="G1791" i="15" s="1"/>
  <c r="F1790" i="15"/>
  <c r="G1790" i="15" s="1"/>
  <c r="F1789" i="15"/>
  <c r="G1789" i="15" s="1"/>
  <c r="F1788" i="15"/>
  <c r="G1788" i="15" s="1"/>
  <c r="F1787" i="15"/>
  <c r="G1787" i="15" s="1"/>
  <c r="F1786" i="15"/>
  <c r="G1786" i="15" s="1"/>
  <c r="F1785" i="15"/>
  <c r="G1785" i="15" s="1"/>
  <c r="F1784" i="15"/>
  <c r="G1784" i="15" s="1"/>
  <c r="F1783" i="15"/>
  <c r="G1783" i="15" s="1"/>
  <c r="F1782" i="15"/>
  <c r="G1782" i="15" s="1"/>
  <c r="F1781" i="15"/>
  <c r="G1781" i="15" s="1"/>
  <c r="F1780" i="15"/>
  <c r="G1780" i="15" s="1"/>
  <c r="F1779" i="15"/>
  <c r="G1779" i="15" s="1"/>
  <c r="F1778" i="15"/>
  <c r="G1778" i="15" s="1"/>
  <c r="F1777" i="15"/>
  <c r="G1777" i="15" s="1"/>
  <c r="F1776" i="15"/>
  <c r="G1776" i="15" s="1"/>
  <c r="F1775" i="15"/>
  <c r="G1775" i="15" s="1"/>
  <c r="F1774" i="15"/>
  <c r="G1774" i="15" s="1"/>
  <c r="F1773" i="15"/>
  <c r="G1773" i="15" s="1"/>
  <c r="F1772" i="15"/>
  <c r="G1772" i="15" s="1"/>
  <c r="F1771" i="15"/>
  <c r="G1771" i="15" s="1"/>
  <c r="F1770" i="15"/>
  <c r="G1770" i="15" s="1"/>
  <c r="F1769" i="15"/>
  <c r="G1769" i="15" s="1"/>
  <c r="F1768" i="15"/>
  <c r="G1768" i="15" s="1"/>
  <c r="F1767" i="15"/>
  <c r="G1767" i="15" s="1"/>
  <c r="F1766" i="15"/>
  <c r="G1766" i="15" s="1"/>
  <c r="F1765" i="15"/>
  <c r="G1765" i="15" s="1"/>
  <c r="F1764" i="15"/>
  <c r="G1764" i="15" s="1"/>
  <c r="F1763" i="15"/>
  <c r="G1763" i="15" s="1"/>
  <c r="F1762" i="15"/>
  <c r="G1762" i="15" s="1"/>
  <c r="F1761" i="15"/>
  <c r="G1761" i="15" s="1"/>
  <c r="F1760" i="15"/>
  <c r="G1760" i="15" s="1"/>
  <c r="F1759" i="15"/>
  <c r="G1759" i="15" s="1"/>
  <c r="F1758" i="15"/>
  <c r="G1758" i="15" s="1"/>
  <c r="F1757" i="15"/>
  <c r="G1757" i="15" s="1"/>
  <c r="F1756" i="15"/>
  <c r="G1756" i="15" s="1"/>
  <c r="F1755" i="15"/>
  <c r="G1755" i="15" s="1"/>
  <c r="F1754" i="15"/>
  <c r="G1754" i="15" s="1"/>
  <c r="F1753" i="15"/>
  <c r="G1753" i="15" s="1"/>
  <c r="F1752" i="15"/>
  <c r="G1752" i="15" s="1"/>
  <c r="F1751" i="15"/>
  <c r="G1751" i="15" s="1"/>
  <c r="F1750" i="15"/>
  <c r="G1750" i="15" s="1"/>
  <c r="F1749" i="15"/>
  <c r="G1749" i="15" s="1"/>
  <c r="F1748" i="15"/>
  <c r="G1748" i="15" s="1"/>
  <c r="F1747" i="15"/>
  <c r="G1747" i="15" s="1"/>
  <c r="F1746" i="15"/>
  <c r="G1746" i="15" s="1"/>
  <c r="F1745" i="15"/>
  <c r="G1745" i="15" s="1"/>
  <c r="F1744" i="15"/>
  <c r="G1744" i="15" s="1"/>
  <c r="F1743" i="15"/>
  <c r="G1743" i="15" s="1"/>
  <c r="F1742" i="15"/>
  <c r="G1742" i="15" s="1"/>
  <c r="F1741" i="15"/>
  <c r="G1741" i="15" s="1"/>
  <c r="F1740" i="15"/>
  <c r="G1740" i="15" s="1"/>
  <c r="F1739" i="15"/>
  <c r="G1739" i="15" s="1"/>
  <c r="F1738" i="15"/>
  <c r="G1738" i="15" s="1"/>
  <c r="F1737" i="15"/>
  <c r="G1737" i="15" s="1"/>
  <c r="F1736" i="15"/>
  <c r="G1736" i="15" s="1"/>
  <c r="G1735" i="15"/>
  <c r="F1734" i="15"/>
  <c r="G1734" i="15" s="1"/>
  <c r="F1733" i="15"/>
  <c r="G1733" i="15" s="1"/>
  <c r="F1732" i="15"/>
  <c r="G1732" i="15" s="1"/>
  <c r="F1731" i="15"/>
  <c r="G1731" i="15" s="1"/>
  <c r="F1730" i="15"/>
  <c r="G1730" i="15" s="1"/>
  <c r="F1729" i="15"/>
  <c r="G1729" i="15" s="1"/>
  <c r="F1728" i="15"/>
  <c r="G1728" i="15" s="1"/>
  <c r="F1727" i="15"/>
  <c r="G1727" i="15" s="1"/>
  <c r="F1726" i="15"/>
  <c r="G1726" i="15" s="1"/>
  <c r="F1725" i="15"/>
  <c r="G1725" i="15" s="1"/>
  <c r="F1724" i="15"/>
  <c r="G1724" i="15" s="1"/>
  <c r="F1723" i="15"/>
  <c r="G1723" i="15" s="1"/>
  <c r="F1722" i="15"/>
  <c r="G1722" i="15" s="1"/>
  <c r="F1721" i="15"/>
  <c r="G1721" i="15" s="1"/>
  <c r="F1720" i="15"/>
  <c r="G1720" i="15" s="1"/>
  <c r="F1719" i="15"/>
  <c r="G1719" i="15" s="1"/>
  <c r="F1718" i="15"/>
  <c r="G1718" i="15" s="1"/>
  <c r="F1717" i="15"/>
  <c r="G1717" i="15" s="1"/>
  <c r="F1716" i="15"/>
  <c r="G1716" i="15" s="1"/>
  <c r="F1715" i="15"/>
  <c r="G1715" i="15" s="1"/>
  <c r="F1714" i="15"/>
  <c r="G1714" i="15" s="1"/>
  <c r="F1713" i="15"/>
  <c r="G1713" i="15" s="1"/>
  <c r="F1712" i="15"/>
  <c r="G1712" i="15" s="1"/>
  <c r="F1711" i="15"/>
  <c r="G1711" i="15" s="1"/>
  <c r="F1710" i="15"/>
  <c r="G1710" i="15" s="1"/>
  <c r="F1709" i="15"/>
  <c r="G1709" i="15" s="1"/>
  <c r="F1708" i="15"/>
  <c r="G1708" i="15" s="1"/>
  <c r="F1707" i="15"/>
  <c r="G1707" i="15" s="1"/>
  <c r="F1706" i="15"/>
  <c r="G1706" i="15" s="1"/>
  <c r="F1705" i="15"/>
  <c r="G1705" i="15" s="1"/>
  <c r="F1704" i="15"/>
  <c r="G1704" i="15" s="1"/>
  <c r="F1703" i="15"/>
  <c r="G1703" i="15" s="1"/>
  <c r="F1702" i="15"/>
  <c r="G1702" i="15" s="1"/>
  <c r="F1701" i="15"/>
  <c r="G1701" i="15" s="1"/>
  <c r="F1700" i="15"/>
  <c r="G1700" i="15" s="1"/>
  <c r="F1699" i="15"/>
  <c r="G1699" i="15" s="1"/>
  <c r="F1698" i="15"/>
  <c r="G1698" i="15" s="1"/>
  <c r="F1697" i="15"/>
  <c r="G1697" i="15" s="1"/>
  <c r="F1696" i="15"/>
  <c r="G1696" i="15" s="1"/>
  <c r="F1695" i="15"/>
  <c r="G1695" i="15" s="1"/>
  <c r="F1694" i="15"/>
  <c r="G1694" i="15" s="1"/>
  <c r="F1693" i="15"/>
  <c r="G1693" i="15" s="1"/>
  <c r="F1692" i="15"/>
  <c r="G1692" i="15" s="1"/>
  <c r="F1691" i="15"/>
  <c r="G1691" i="15" s="1"/>
  <c r="F1690" i="15"/>
  <c r="G1690" i="15" s="1"/>
  <c r="F1689" i="15"/>
  <c r="G1689" i="15" s="1"/>
  <c r="F1688" i="15"/>
  <c r="G1688" i="15" s="1"/>
  <c r="F1687" i="15"/>
  <c r="G1687" i="15" s="1"/>
  <c r="F1686" i="15"/>
  <c r="G1686" i="15" s="1"/>
  <c r="F1685" i="15"/>
  <c r="G1685" i="15" s="1"/>
  <c r="F1684" i="15"/>
  <c r="G1684" i="15" s="1"/>
  <c r="F1683" i="15"/>
  <c r="G1683" i="15" s="1"/>
  <c r="F1682" i="15"/>
  <c r="G1682" i="15" s="1"/>
  <c r="F1681" i="15"/>
  <c r="G1681" i="15" s="1"/>
  <c r="F1680" i="15"/>
  <c r="G1680" i="15" s="1"/>
  <c r="F1679" i="15"/>
  <c r="G1679" i="15" s="1"/>
  <c r="F1678" i="15"/>
  <c r="G1678" i="15" s="1"/>
  <c r="F1677" i="15"/>
  <c r="G1677" i="15" s="1"/>
  <c r="F1676" i="15"/>
  <c r="G1676" i="15" s="1"/>
  <c r="G1675" i="15"/>
  <c r="G1674" i="15"/>
  <c r="F1673" i="15"/>
  <c r="G1673" i="15" s="1"/>
  <c r="F1672" i="15"/>
  <c r="G1672" i="15" s="1"/>
  <c r="F1671" i="15"/>
  <c r="G1671" i="15" s="1"/>
  <c r="F1670" i="15"/>
  <c r="G1670" i="15" s="1"/>
  <c r="F1669" i="15"/>
  <c r="G1669" i="15" s="1"/>
  <c r="F1668" i="15"/>
  <c r="G1668" i="15" s="1"/>
  <c r="F1667" i="15"/>
  <c r="G1667" i="15" s="1"/>
  <c r="F1666" i="15"/>
  <c r="G1666" i="15" s="1"/>
  <c r="F1665" i="15"/>
  <c r="G1665" i="15" s="1"/>
  <c r="F1664" i="15"/>
  <c r="G1664" i="15" s="1"/>
  <c r="F1663" i="15"/>
  <c r="G1663" i="15" s="1"/>
  <c r="F1662" i="15"/>
  <c r="G1662" i="15" s="1"/>
  <c r="F1661" i="15"/>
  <c r="G1661" i="15" s="1"/>
  <c r="F1660" i="15"/>
  <c r="G1660" i="15" s="1"/>
  <c r="F1659" i="15"/>
  <c r="G1659" i="15" s="1"/>
  <c r="F1658" i="15"/>
  <c r="G1658" i="15" s="1"/>
  <c r="F1657" i="15"/>
  <c r="G1657" i="15" s="1"/>
  <c r="F1656" i="15"/>
  <c r="G1656" i="15" s="1"/>
  <c r="F1655" i="15"/>
  <c r="G1655" i="15" s="1"/>
  <c r="F1654" i="15"/>
  <c r="G1654" i="15" s="1"/>
  <c r="F1653" i="15"/>
  <c r="G1653" i="15" s="1"/>
  <c r="F1652" i="15"/>
  <c r="G1652" i="15" s="1"/>
  <c r="F1651" i="15"/>
  <c r="G1651" i="15" s="1"/>
  <c r="F1650" i="15"/>
  <c r="G1650" i="15" s="1"/>
  <c r="F1649" i="15"/>
  <c r="G1649" i="15" s="1"/>
  <c r="F1648" i="15"/>
  <c r="G1648" i="15" s="1"/>
  <c r="F1647" i="15"/>
  <c r="G1647" i="15" s="1"/>
  <c r="F1646" i="15"/>
  <c r="G1646" i="15" s="1"/>
  <c r="F1645" i="15"/>
  <c r="G1645" i="15" s="1"/>
  <c r="F1644" i="15"/>
  <c r="G1644" i="15" s="1"/>
  <c r="F1643" i="15"/>
  <c r="G1643" i="15" s="1"/>
  <c r="F1642" i="15"/>
  <c r="G1642" i="15" s="1"/>
  <c r="F1641" i="15"/>
  <c r="G1641" i="15" s="1"/>
  <c r="F1640" i="15"/>
  <c r="G1640" i="15" s="1"/>
  <c r="F1639" i="15"/>
  <c r="G1639" i="15" s="1"/>
  <c r="F1638" i="15"/>
  <c r="G1638" i="15" s="1"/>
  <c r="F1637" i="15"/>
  <c r="G1637" i="15" s="1"/>
  <c r="F1636" i="15"/>
  <c r="G1636" i="15" s="1"/>
  <c r="F1635" i="15"/>
  <c r="G1635" i="15" s="1"/>
  <c r="F1634" i="15"/>
  <c r="G1634" i="15" s="1"/>
  <c r="F1633" i="15"/>
  <c r="G1633" i="15" s="1"/>
  <c r="F1632" i="15"/>
  <c r="G1632" i="15" s="1"/>
  <c r="F1631" i="15"/>
  <c r="G1631" i="15" s="1"/>
  <c r="F1630" i="15"/>
  <c r="G1630" i="15" s="1"/>
  <c r="F1629" i="15"/>
  <c r="G1629" i="15" s="1"/>
  <c r="F1628" i="15"/>
  <c r="G1628" i="15" s="1"/>
  <c r="F1627" i="15"/>
  <c r="G1627" i="15" s="1"/>
  <c r="F1626" i="15"/>
  <c r="G1626" i="15" s="1"/>
  <c r="F1625" i="15"/>
  <c r="G1625" i="15" s="1"/>
  <c r="F1624" i="15"/>
  <c r="G1624" i="15" s="1"/>
  <c r="F1623" i="15"/>
  <c r="G1623" i="15" s="1"/>
  <c r="F1622" i="15"/>
  <c r="G1622" i="15" s="1"/>
  <c r="F1621" i="15"/>
  <c r="G1621" i="15" s="1"/>
  <c r="F1620" i="15"/>
  <c r="G1620" i="15" s="1"/>
  <c r="F1619" i="15"/>
  <c r="G1619" i="15" s="1"/>
  <c r="F1618" i="15"/>
  <c r="G1618" i="15" s="1"/>
  <c r="F1617" i="15"/>
  <c r="G1617" i="15" s="1"/>
  <c r="F1616" i="15"/>
  <c r="G1616" i="15" s="1"/>
  <c r="F1615" i="15"/>
  <c r="G1615" i="15" s="1"/>
  <c r="F1614" i="15"/>
  <c r="G1614" i="15" s="1"/>
  <c r="G1613" i="15"/>
  <c r="F1612" i="15"/>
  <c r="G1612" i="15" s="1"/>
  <c r="F1611" i="15"/>
  <c r="G1611" i="15" s="1"/>
  <c r="F1610" i="15"/>
  <c r="G1610" i="15" s="1"/>
  <c r="F1609" i="15"/>
  <c r="G1609" i="15" s="1"/>
  <c r="F1608" i="15"/>
  <c r="G1608" i="15" s="1"/>
  <c r="F1607" i="15"/>
  <c r="G1607" i="15" s="1"/>
  <c r="F1606" i="15"/>
  <c r="G1606" i="15" s="1"/>
  <c r="F1605" i="15"/>
  <c r="G1605" i="15" s="1"/>
  <c r="F1604" i="15"/>
  <c r="G1604" i="15" s="1"/>
  <c r="F1603" i="15"/>
  <c r="G1603" i="15" s="1"/>
  <c r="F1602" i="15"/>
  <c r="G1602" i="15" s="1"/>
  <c r="F1601" i="15"/>
  <c r="G1601" i="15" s="1"/>
  <c r="F1600" i="15"/>
  <c r="G1600" i="15" s="1"/>
  <c r="F1599" i="15"/>
  <c r="G1599" i="15" s="1"/>
  <c r="F1598" i="15"/>
  <c r="G1598" i="15" s="1"/>
  <c r="F1597" i="15"/>
  <c r="G1597" i="15" s="1"/>
  <c r="F1596" i="15"/>
  <c r="G1596" i="15" s="1"/>
  <c r="F1595" i="15"/>
  <c r="G1595" i="15" s="1"/>
  <c r="F1594" i="15"/>
  <c r="G1594" i="15" s="1"/>
  <c r="F1593" i="15"/>
  <c r="G1593" i="15" s="1"/>
  <c r="F1592" i="15"/>
  <c r="G1592" i="15" s="1"/>
  <c r="F1591" i="15"/>
  <c r="G1591" i="15" s="1"/>
  <c r="F1590" i="15"/>
  <c r="G1590" i="15" s="1"/>
  <c r="F1589" i="15"/>
  <c r="G1589" i="15" s="1"/>
  <c r="F1588" i="15"/>
  <c r="G1588" i="15" s="1"/>
  <c r="F1587" i="15"/>
  <c r="G1587" i="15" s="1"/>
  <c r="F1586" i="15"/>
  <c r="G1586" i="15" s="1"/>
  <c r="F1585" i="15"/>
  <c r="G1585" i="15" s="1"/>
  <c r="F1584" i="15"/>
  <c r="G1584" i="15" s="1"/>
  <c r="F1583" i="15"/>
  <c r="G1583" i="15" s="1"/>
  <c r="F1582" i="15"/>
  <c r="G1582" i="15" s="1"/>
  <c r="F1581" i="15"/>
  <c r="G1581" i="15" s="1"/>
  <c r="F1580" i="15"/>
  <c r="G1580" i="15" s="1"/>
  <c r="F1579" i="15"/>
  <c r="G1579" i="15" s="1"/>
  <c r="F1578" i="15"/>
  <c r="G1578" i="15" s="1"/>
  <c r="F1577" i="15"/>
  <c r="G1577" i="15" s="1"/>
  <c r="F1576" i="15"/>
  <c r="G1576" i="15" s="1"/>
  <c r="F1575" i="15"/>
  <c r="G1575" i="15" s="1"/>
  <c r="F1574" i="15"/>
  <c r="G1574" i="15" s="1"/>
  <c r="F1573" i="15"/>
  <c r="G1573" i="15" s="1"/>
  <c r="F1572" i="15"/>
  <c r="G1572" i="15" s="1"/>
  <c r="F1571" i="15"/>
  <c r="G1571" i="15" s="1"/>
  <c r="F1570" i="15"/>
  <c r="G1570" i="15" s="1"/>
  <c r="F1569" i="15"/>
  <c r="G1569" i="15" s="1"/>
  <c r="F1568" i="15"/>
  <c r="G1568" i="15" s="1"/>
  <c r="F1567" i="15"/>
  <c r="G1567" i="15" s="1"/>
  <c r="F1566" i="15"/>
  <c r="G1566" i="15" s="1"/>
  <c r="F1565" i="15"/>
  <c r="G1565" i="15" s="1"/>
  <c r="F1564" i="15"/>
  <c r="G1564" i="15" s="1"/>
  <c r="F1563" i="15"/>
  <c r="G1563" i="15" s="1"/>
  <c r="F1562" i="15"/>
  <c r="G1562" i="15" s="1"/>
  <c r="F1561" i="15"/>
  <c r="G1561" i="15" s="1"/>
  <c r="F1560" i="15"/>
  <c r="G1560" i="15" s="1"/>
  <c r="F1559" i="15"/>
  <c r="G1559" i="15" s="1"/>
  <c r="F1558" i="15"/>
  <c r="G1558" i="15" s="1"/>
  <c r="F1557" i="15"/>
  <c r="G1557" i="15" s="1"/>
  <c r="F1556" i="15"/>
  <c r="G1556" i="15" s="1"/>
  <c r="F1555" i="15"/>
  <c r="G1555" i="15" s="1"/>
  <c r="F1554" i="15"/>
  <c r="G1554" i="15" s="1"/>
  <c r="F1553" i="15"/>
  <c r="G1553" i="15" s="1"/>
  <c r="G1552" i="15"/>
  <c r="F1551" i="15"/>
  <c r="G1551" i="15" s="1"/>
  <c r="F1550" i="15"/>
  <c r="G1550" i="15" s="1"/>
  <c r="F1549" i="15"/>
  <c r="G1549" i="15" s="1"/>
  <c r="F1548" i="15"/>
  <c r="G1548" i="15" s="1"/>
  <c r="F1547" i="15"/>
  <c r="G1547" i="15" s="1"/>
  <c r="F1546" i="15"/>
  <c r="G1546" i="15" s="1"/>
  <c r="F1545" i="15"/>
  <c r="G1545" i="15" s="1"/>
  <c r="F1544" i="15"/>
  <c r="G1544" i="15" s="1"/>
  <c r="F1543" i="15"/>
  <c r="G1543" i="15" s="1"/>
  <c r="F1542" i="15"/>
  <c r="G1542" i="15" s="1"/>
  <c r="F1541" i="15"/>
  <c r="G1541" i="15" s="1"/>
  <c r="F1540" i="15"/>
  <c r="G1540" i="15" s="1"/>
  <c r="F1539" i="15"/>
  <c r="G1539" i="15" s="1"/>
  <c r="F1538" i="15"/>
  <c r="G1538" i="15" s="1"/>
  <c r="F1537" i="15"/>
  <c r="G1537" i="15" s="1"/>
  <c r="F1536" i="15"/>
  <c r="G1536" i="15" s="1"/>
  <c r="F1535" i="15"/>
  <c r="G1535" i="15" s="1"/>
  <c r="F1534" i="15"/>
  <c r="G1534" i="15" s="1"/>
  <c r="F1533" i="15"/>
  <c r="G1533" i="15" s="1"/>
  <c r="F1532" i="15"/>
  <c r="G1532" i="15" s="1"/>
  <c r="F1531" i="15"/>
  <c r="G1531" i="15" s="1"/>
  <c r="F1530" i="15"/>
  <c r="G1530" i="15" s="1"/>
  <c r="F1529" i="15"/>
  <c r="G1529" i="15" s="1"/>
  <c r="F1528" i="15"/>
  <c r="G1528" i="15" s="1"/>
  <c r="F1527" i="15"/>
  <c r="G1527" i="15" s="1"/>
  <c r="F1526" i="15"/>
  <c r="G1526" i="15" s="1"/>
  <c r="F1525" i="15"/>
  <c r="G1525" i="15" s="1"/>
  <c r="F1524" i="15"/>
  <c r="G1524" i="15" s="1"/>
  <c r="F1523" i="15"/>
  <c r="G1523" i="15" s="1"/>
  <c r="F1522" i="15"/>
  <c r="G1522" i="15" s="1"/>
  <c r="F1521" i="15"/>
  <c r="G1521" i="15" s="1"/>
  <c r="F1520" i="15"/>
  <c r="G1520" i="15" s="1"/>
  <c r="F1519" i="15"/>
  <c r="G1519" i="15" s="1"/>
  <c r="F1518" i="15"/>
  <c r="G1518" i="15" s="1"/>
  <c r="F1517" i="15"/>
  <c r="G1517" i="15" s="1"/>
  <c r="F1516" i="15"/>
  <c r="G1516" i="15" s="1"/>
  <c r="F1515" i="15"/>
  <c r="G1515" i="15" s="1"/>
  <c r="F1514" i="15"/>
  <c r="G1514" i="15" s="1"/>
  <c r="F1513" i="15"/>
  <c r="G1513" i="15" s="1"/>
  <c r="F1512" i="15"/>
  <c r="G1512" i="15" s="1"/>
  <c r="F1511" i="15"/>
  <c r="G1511" i="15" s="1"/>
  <c r="F1510" i="15"/>
  <c r="G1510" i="15" s="1"/>
  <c r="F1509" i="15"/>
  <c r="G1509" i="15" s="1"/>
  <c r="F1508" i="15"/>
  <c r="G1508" i="15" s="1"/>
  <c r="F1507" i="15"/>
  <c r="G1507" i="15" s="1"/>
  <c r="F1506" i="15"/>
  <c r="G1506" i="15" s="1"/>
  <c r="F1505" i="15"/>
  <c r="G1505" i="15" s="1"/>
  <c r="F1504" i="15"/>
  <c r="G1504" i="15" s="1"/>
  <c r="F1503" i="15"/>
  <c r="G1503" i="15" s="1"/>
  <c r="F1502" i="15"/>
  <c r="G1502" i="15" s="1"/>
  <c r="F1501" i="15"/>
  <c r="G1501" i="15" s="1"/>
  <c r="F1500" i="15"/>
  <c r="G1500" i="15" s="1"/>
  <c r="F1499" i="15"/>
  <c r="G1499" i="15" s="1"/>
  <c r="F1498" i="15"/>
  <c r="G1498" i="15" s="1"/>
  <c r="F1497" i="15"/>
  <c r="G1497" i="15" s="1"/>
  <c r="F1496" i="15"/>
  <c r="G1496" i="15" s="1"/>
  <c r="F1495" i="15"/>
  <c r="G1495" i="15" s="1"/>
  <c r="F1494" i="15"/>
  <c r="G1494" i="15" s="1"/>
  <c r="F1493" i="15"/>
  <c r="G1493" i="15" s="1"/>
  <c r="F1492" i="15"/>
  <c r="G1492" i="15" s="1"/>
  <c r="G1491" i="15"/>
  <c r="G1490" i="15"/>
  <c r="F1489" i="15"/>
  <c r="G1489" i="15" s="1"/>
  <c r="F1488" i="15"/>
  <c r="G1488" i="15" s="1"/>
  <c r="F1487" i="15"/>
  <c r="G1487" i="15" s="1"/>
  <c r="F1486" i="15"/>
  <c r="G1486" i="15" s="1"/>
  <c r="F1485" i="15"/>
  <c r="G1485" i="15" s="1"/>
  <c r="F1484" i="15"/>
  <c r="G1484" i="15" s="1"/>
  <c r="F1483" i="15"/>
  <c r="G1483" i="15" s="1"/>
  <c r="F1482" i="15"/>
  <c r="G1482" i="15" s="1"/>
  <c r="F1481" i="15"/>
  <c r="G1481" i="15" s="1"/>
  <c r="F1480" i="15"/>
  <c r="G1480" i="15" s="1"/>
  <c r="F1479" i="15"/>
  <c r="G1479" i="15" s="1"/>
  <c r="F1478" i="15"/>
  <c r="G1478" i="15" s="1"/>
  <c r="G1477" i="15"/>
  <c r="F1476" i="15"/>
  <c r="G1476" i="15" s="1"/>
  <c r="F1475" i="15"/>
  <c r="G1475" i="15" s="1"/>
  <c r="F1474" i="15"/>
  <c r="G1474" i="15" s="1"/>
  <c r="F1473" i="15"/>
  <c r="G1473" i="15" s="1"/>
  <c r="F1472" i="15"/>
  <c r="G1472" i="15" s="1"/>
  <c r="F1471" i="15"/>
  <c r="G1471" i="15" s="1"/>
  <c r="F1470" i="15"/>
  <c r="G1470" i="15" s="1"/>
  <c r="F1469" i="15"/>
  <c r="G1469" i="15" s="1"/>
  <c r="F1468" i="15"/>
  <c r="G1468" i="15" s="1"/>
  <c r="F1467" i="15"/>
  <c r="G1467" i="15" s="1"/>
  <c r="F1466" i="15"/>
  <c r="G1466" i="15" s="1"/>
  <c r="F1465" i="15"/>
  <c r="G1465" i="15" s="1"/>
  <c r="G1464" i="15"/>
  <c r="F1463" i="15"/>
  <c r="G1463" i="15" s="1"/>
  <c r="F1462" i="15"/>
  <c r="G1462" i="15" s="1"/>
  <c r="F1461" i="15"/>
  <c r="G1461" i="15" s="1"/>
  <c r="F1460" i="15"/>
  <c r="G1460" i="15" s="1"/>
  <c r="F1459" i="15"/>
  <c r="G1459" i="15" s="1"/>
  <c r="F1458" i="15"/>
  <c r="G1458" i="15" s="1"/>
  <c r="F1457" i="15"/>
  <c r="G1457" i="15" s="1"/>
  <c r="F1456" i="15"/>
  <c r="G1456" i="15" s="1"/>
  <c r="F1455" i="15"/>
  <c r="G1455" i="15" s="1"/>
  <c r="F1454" i="15"/>
  <c r="G1454" i="15" s="1"/>
  <c r="F1453" i="15"/>
  <c r="G1453" i="15" s="1"/>
  <c r="F1452" i="15"/>
  <c r="G1452" i="15" s="1"/>
  <c r="G1451" i="15"/>
  <c r="F1450" i="15"/>
  <c r="G1450" i="15" s="1"/>
  <c r="F1449" i="15"/>
  <c r="G1449" i="15" s="1"/>
  <c r="F1448" i="15"/>
  <c r="G1448" i="15" s="1"/>
  <c r="F1447" i="15"/>
  <c r="G1447" i="15" s="1"/>
  <c r="F1445" i="15"/>
  <c r="G1445" i="15" s="1"/>
  <c r="F1444" i="15"/>
  <c r="G1444" i="15" s="1"/>
  <c r="F1443" i="15"/>
  <c r="G1443" i="15" s="1"/>
  <c r="F1442" i="15"/>
  <c r="G1442" i="15" s="1"/>
  <c r="F1441" i="15"/>
  <c r="G1441" i="15" s="1"/>
  <c r="F1440" i="15"/>
  <c r="G1440" i="15" s="1"/>
  <c r="F1439" i="15"/>
  <c r="G1439" i="15" s="1"/>
  <c r="G1438" i="15"/>
  <c r="F1437" i="15"/>
  <c r="G1437" i="15" s="1"/>
  <c r="F1436" i="15"/>
  <c r="G1436" i="15" s="1"/>
  <c r="F1435" i="15"/>
  <c r="G1435" i="15" s="1"/>
  <c r="F1434" i="15"/>
  <c r="G1434" i="15" s="1"/>
  <c r="F1433" i="15"/>
  <c r="G1433" i="15" s="1"/>
  <c r="F1432" i="15"/>
  <c r="G1432" i="15" s="1"/>
  <c r="F1431" i="15"/>
  <c r="G1431" i="15" s="1"/>
  <c r="F1430" i="15"/>
  <c r="G1430" i="15" s="1"/>
  <c r="F1429" i="15"/>
  <c r="G1429" i="15" s="1"/>
  <c r="F1428" i="15"/>
  <c r="G1428" i="15" s="1"/>
  <c r="F1427" i="15"/>
  <c r="G1427" i="15" s="1"/>
  <c r="F1426" i="15"/>
  <c r="G1426" i="15" s="1"/>
  <c r="G1425" i="15"/>
  <c r="F1424" i="15"/>
  <c r="G1424" i="15" s="1"/>
  <c r="F1423" i="15"/>
  <c r="G1423" i="15" s="1"/>
  <c r="F1422" i="15"/>
  <c r="G1422" i="15" s="1"/>
  <c r="F1421" i="15"/>
  <c r="G1421" i="15" s="1"/>
  <c r="F1420" i="15"/>
  <c r="G1420" i="15" s="1"/>
  <c r="F1419" i="15"/>
  <c r="G1419" i="15" s="1"/>
  <c r="F1418" i="15"/>
  <c r="G1418" i="15" s="1"/>
  <c r="F1417" i="15"/>
  <c r="G1417" i="15" s="1"/>
  <c r="F1416" i="15"/>
  <c r="G1416" i="15" s="1"/>
  <c r="F1415" i="15"/>
  <c r="G1415" i="15" s="1"/>
  <c r="F1414" i="15"/>
  <c r="G1414" i="15" s="1"/>
  <c r="F1413" i="15"/>
  <c r="G1413" i="15" s="1"/>
  <c r="G1412" i="15"/>
  <c r="F1411" i="15"/>
  <c r="G1411" i="15" s="1"/>
  <c r="F1410" i="15"/>
  <c r="G1410" i="15" s="1"/>
  <c r="F1409" i="15"/>
  <c r="G1409" i="15" s="1"/>
  <c r="F1408" i="15"/>
  <c r="G1408" i="15" s="1"/>
  <c r="F1407" i="15"/>
  <c r="G1407" i="15" s="1"/>
  <c r="F1406" i="15"/>
  <c r="G1406" i="15" s="1"/>
  <c r="F1405" i="15"/>
  <c r="G1405" i="15" s="1"/>
  <c r="F1404" i="15"/>
  <c r="G1404" i="15" s="1"/>
  <c r="F1403" i="15"/>
  <c r="G1403" i="15" s="1"/>
  <c r="F1402" i="15"/>
  <c r="G1402" i="15" s="1"/>
  <c r="F1401" i="15"/>
  <c r="G1401" i="15" s="1"/>
  <c r="F1400" i="15"/>
  <c r="G1400" i="15" s="1"/>
  <c r="G1399" i="15"/>
  <c r="F1398" i="15"/>
  <c r="G1398" i="15" s="1"/>
  <c r="F1397" i="15"/>
  <c r="G1397" i="15" s="1"/>
  <c r="F1396" i="15"/>
  <c r="G1396" i="15" s="1"/>
  <c r="F1395" i="15"/>
  <c r="G1395" i="15" s="1"/>
  <c r="F1394" i="15"/>
  <c r="G1394" i="15" s="1"/>
  <c r="F1393" i="15"/>
  <c r="G1393" i="15" s="1"/>
  <c r="F1392" i="15"/>
  <c r="G1392" i="15" s="1"/>
  <c r="F1391" i="15"/>
  <c r="G1391" i="15" s="1"/>
  <c r="F1390" i="15"/>
  <c r="G1390" i="15" s="1"/>
  <c r="F1389" i="15"/>
  <c r="G1389" i="15" s="1"/>
  <c r="F1388" i="15"/>
  <c r="G1388" i="15" s="1"/>
  <c r="F1387" i="15"/>
  <c r="G1387" i="15" s="1"/>
  <c r="G1386" i="15"/>
  <c r="E1373" i="15"/>
  <c r="G1360" i="15"/>
  <c r="E1360" i="15"/>
  <c r="G1347" i="15"/>
  <c r="E1347" i="15"/>
  <c r="F1339" i="15"/>
  <c r="G1339" i="15" s="1"/>
  <c r="F1338" i="15"/>
  <c r="G1338" i="15" s="1"/>
  <c r="F1337" i="15"/>
  <c r="G1337" i="15" s="1"/>
  <c r="F1336" i="15"/>
  <c r="G1336" i="15" s="1"/>
  <c r="F1335" i="15"/>
  <c r="G1335" i="15" s="1"/>
  <c r="G1334" i="15"/>
  <c r="G1333" i="15"/>
  <c r="F1332" i="15"/>
  <c r="G1332" i="15" s="1"/>
  <c r="F1331" i="15"/>
  <c r="G1331" i="15" s="1"/>
  <c r="F1330" i="15"/>
  <c r="G1330" i="15" s="1"/>
  <c r="F1329" i="15"/>
  <c r="G1329" i="15" s="1"/>
  <c r="F1328" i="15"/>
  <c r="G1328" i="15" s="1"/>
  <c r="F1327" i="15"/>
  <c r="G1327" i="15" s="1"/>
  <c r="F1326" i="15"/>
  <c r="G1326" i="15" s="1"/>
  <c r="F1325" i="15"/>
  <c r="G1325" i="15" s="1"/>
  <c r="F1324" i="15"/>
  <c r="G1324" i="15" s="1"/>
  <c r="F1323" i="15"/>
  <c r="G1323" i="15" s="1"/>
  <c r="F1322" i="15"/>
  <c r="G1322" i="15" s="1"/>
  <c r="F1321" i="15"/>
  <c r="G1321" i="15" s="1"/>
  <c r="F1320" i="15"/>
  <c r="G1320" i="15" s="1"/>
  <c r="F1319" i="15"/>
  <c r="G1319" i="15" s="1"/>
  <c r="F1318" i="15"/>
  <c r="G1318" i="15" s="1"/>
  <c r="F1317" i="15"/>
  <c r="G1317" i="15" s="1"/>
  <c r="F1316" i="15"/>
  <c r="G1316" i="15" s="1"/>
  <c r="F1315" i="15"/>
  <c r="G1315" i="15" s="1"/>
  <c r="G1314" i="15"/>
  <c r="F1313" i="15"/>
  <c r="G1313" i="15" s="1"/>
  <c r="F1312" i="15"/>
  <c r="G1312" i="15" s="1"/>
  <c r="F1311" i="15"/>
  <c r="G1311" i="15" s="1"/>
  <c r="F1310" i="15"/>
  <c r="G1310" i="15" s="1"/>
  <c r="F1309" i="15"/>
  <c r="G1309" i="15" s="1"/>
  <c r="F1308" i="15"/>
  <c r="G1308" i="15" s="1"/>
  <c r="F1307" i="15"/>
  <c r="G1307" i="15" s="1"/>
  <c r="F1306" i="15"/>
  <c r="G1306" i="15" s="1"/>
  <c r="F1305" i="15"/>
  <c r="G1305" i="15" s="1"/>
  <c r="F1304" i="15"/>
  <c r="G1304" i="15" s="1"/>
  <c r="F1303" i="15"/>
  <c r="G1303" i="15" s="1"/>
  <c r="F1302" i="15"/>
  <c r="G1302" i="15" s="1"/>
  <c r="F1301" i="15"/>
  <c r="G1301" i="15" s="1"/>
  <c r="F1300" i="15"/>
  <c r="G1300" i="15" s="1"/>
  <c r="F1299" i="15"/>
  <c r="G1299" i="15" s="1"/>
  <c r="F1298" i="15"/>
  <c r="G1298" i="15" s="1"/>
  <c r="F1297" i="15"/>
  <c r="G1297" i="15" s="1"/>
  <c r="F1296" i="15"/>
  <c r="G1296" i="15" s="1"/>
  <c r="F1295" i="15"/>
  <c r="G1295" i="15" s="1"/>
  <c r="F1294" i="15"/>
  <c r="G1294" i="15" s="1"/>
  <c r="F1293" i="15"/>
  <c r="G1293" i="15" s="1"/>
  <c r="F1292" i="15"/>
  <c r="G1292" i="15" s="1"/>
  <c r="F1291" i="15"/>
  <c r="G1291" i="15" s="1"/>
  <c r="F1290" i="15"/>
  <c r="G1290" i="15" s="1"/>
  <c r="F1289" i="15"/>
  <c r="G1289" i="15" s="1"/>
  <c r="F1288" i="15"/>
  <c r="G1288" i="15" s="1"/>
  <c r="F1287" i="15"/>
  <c r="G1287" i="15" s="1"/>
  <c r="F1286" i="15"/>
  <c r="G1286" i="15" s="1"/>
  <c r="F1285" i="15"/>
  <c r="G1285" i="15" s="1"/>
  <c r="F1284" i="15"/>
  <c r="G1284" i="15" s="1"/>
  <c r="F1283" i="15"/>
  <c r="G1283" i="15" s="1"/>
  <c r="F1282" i="15"/>
  <c r="G1282" i="15" s="1"/>
  <c r="F1281" i="15"/>
  <c r="G1281" i="15" s="1"/>
  <c r="F1280" i="15"/>
  <c r="G1280" i="15" s="1"/>
  <c r="F1279" i="15"/>
  <c r="G1279" i="15" s="1"/>
  <c r="F1278" i="15"/>
  <c r="G1278" i="15" s="1"/>
  <c r="F1277" i="15"/>
  <c r="G1277" i="15" s="1"/>
  <c r="F1276" i="15"/>
  <c r="G1276" i="15" s="1"/>
  <c r="F1275" i="15"/>
  <c r="G1275" i="15" s="1"/>
  <c r="F1274" i="15"/>
  <c r="G1274" i="15" s="1"/>
  <c r="F1273" i="15"/>
  <c r="G1273" i="15" s="1"/>
  <c r="F1272" i="15"/>
  <c r="G1272" i="15" s="1"/>
  <c r="F1271" i="15"/>
  <c r="G1271" i="15" s="1"/>
  <c r="F1270" i="15"/>
  <c r="G1270" i="15" s="1"/>
  <c r="F1269" i="15"/>
  <c r="G1269" i="15" s="1"/>
  <c r="F1268" i="15"/>
  <c r="G1268" i="15" s="1"/>
  <c r="F1267" i="15"/>
  <c r="G1267" i="15" s="1"/>
  <c r="F1266" i="15"/>
  <c r="G1266" i="15" s="1"/>
  <c r="F1265" i="15"/>
  <c r="G1265" i="15" s="1"/>
  <c r="F1264" i="15"/>
  <c r="G1264" i="15" s="1"/>
  <c r="F1263" i="15"/>
  <c r="G1263" i="15" s="1"/>
  <c r="G1262" i="15"/>
  <c r="F1261" i="15"/>
  <c r="G1261" i="15" s="1"/>
  <c r="F1260" i="15"/>
  <c r="G1260" i="15" s="1"/>
  <c r="F1259" i="15"/>
  <c r="G1259" i="15" s="1"/>
  <c r="F1258" i="15"/>
  <c r="G1258" i="15" s="1"/>
  <c r="F1257" i="15"/>
  <c r="G1257" i="15" s="1"/>
  <c r="F1256" i="15"/>
  <c r="G1256" i="15" s="1"/>
  <c r="F1255" i="15"/>
  <c r="G1255" i="15" s="1"/>
  <c r="F1254" i="15"/>
  <c r="G1254" i="15" s="1"/>
  <c r="F1253" i="15"/>
  <c r="G1253" i="15" s="1"/>
  <c r="F1252" i="15"/>
  <c r="G1252" i="15" s="1"/>
  <c r="F1251" i="15"/>
  <c r="G1251" i="15" s="1"/>
  <c r="F1250" i="15"/>
  <c r="G1250" i="15" s="1"/>
  <c r="F1249" i="15"/>
  <c r="G1249" i="15" s="1"/>
  <c r="F1248" i="15"/>
  <c r="G1248" i="15" s="1"/>
  <c r="F1247" i="15"/>
  <c r="G1247" i="15" s="1"/>
  <c r="F1246" i="15"/>
  <c r="G1246" i="15" s="1"/>
  <c r="F1245" i="15"/>
  <c r="G1245" i="15" s="1"/>
  <c r="F1244" i="15"/>
  <c r="G1244" i="15" s="1"/>
  <c r="F1243" i="15"/>
  <c r="G1243" i="15" s="1"/>
  <c r="F1242" i="15"/>
  <c r="G1242" i="15" s="1"/>
  <c r="F1241" i="15"/>
  <c r="G1241" i="15" s="1"/>
  <c r="F1240" i="15"/>
  <c r="G1240" i="15" s="1"/>
  <c r="F1239" i="15"/>
  <c r="G1239" i="15" s="1"/>
  <c r="F1238" i="15"/>
  <c r="G1238" i="15" s="1"/>
  <c r="F1237" i="15"/>
  <c r="G1237" i="15" s="1"/>
  <c r="F1236" i="15"/>
  <c r="G1236" i="15" s="1"/>
  <c r="F1235" i="15"/>
  <c r="G1235" i="15" s="1"/>
  <c r="F1234" i="15"/>
  <c r="G1234" i="15" s="1"/>
  <c r="F1233" i="15"/>
  <c r="G1233" i="15" s="1"/>
  <c r="F1232" i="15"/>
  <c r="G1232" i="15" s="1"/>
  <c r="F1231" i="15"/>
  <c r="G1231" i="15" s="1"/>
  <c r="F1230" i="15"/>
  <c r="G1230" i="15" s="1"/>
  <c r="F1229" i="15"/>
  <c r="G1229" i="15" s="1"/>
  <c r="F1228" i="15"/>
  <c r="G1228" i="15" s="1"/>
  <c r="F1227" i="15"/>
  <c r="G1227" i="15" s="1"/>
  <c r="F1226" i="15"/>
  <c r="G1226" i="15" s="1"/>
  <c r="F1225" i="15"/>
  <c r="G1225" i="15" s="1"/>
  <c r="F1224" i="15"/>
  <c r="G1224" i="15" s="1"/>
  <c r="F1223" i="15"/>
  <c r="G1223" i="15" s="1"/>
  <c r="F1222" i="15"/>
  <c r="G1222" i="15" s="1"/>
  <c r="F1221" i="15"/>
  <c r="G1221" i="15" s="1"/>
  <c r="F1220" i="15"/>
  <c r="G1220" i="15" s="1"/>
  <c r="F1219" i="15"/>
  <c r="G1219" i="15" s="1"/>
  <c r="F1218" i="15"/>
  <c r="G1218" i="15" s="1"/>
  <c r="F1217" i="15"/>
  <c r="G1217" i="15" s="1"/>
  <c r="F1216" i="15"/>
  <c r="G1216" i="15" s="1"/>
  <c r="F1215" i="15"/>
  <c r="G1215" i="15" s="1"/>
  <c r="F1214" i="15"/>
  <c r="G1214" i="15" s="1"/>
  <c r="F1213" i="15"/>
  <c r="G1213" i="15" s="1"/>
  <c r="F1212" i="15"/>
  <c r="G1212" i="15" s="1"/>
  <c r="F1211" i="15"/>
  <c r="G1211" i="15" s="1"/>
  <c r="G1210" i="15"/>
  <c r="F1209" i="15"/>
  <c r="G1209" i="15" s="1"/>
  <c r="F1208" i="15"/>
  <c r="G1208" i="15" s="1"/>
  <c r="F1207" i="15"/>
  <c r="G1207" i="15" s="1"/>
  <c r="F1206" i="15"/>
  <c r="G1206" i="15" s="1"/>
  <c r="F1205" i="15"/>
  <c r="G1205" i="15" s="1"/>
  <c r="F1204" i="15"/>
  <c r="G1204" i="15" s="1"/>
  <c r="F1203" i="15"/>
  <c r="G1203" i="15" s="1"/>
  <c r="F1202" i="15"/>
  <c r="G1202" i="15" s="1"/>
  <c r="F1201" i="15"/>
  <c r="G1201" i="15" s="1"/>
  <c r="F1200" i="15"/>
  <c r="G1200" i="15" s="1"/>
  <c r="F1199" i="15"/>
  <c r="G1199" i="15" s="1"/>
  <c r="F1198" i="15"/>
  <c r="G1198" i="15" s="1"/>
  <c r="F1197" i="15"/>
  <c r="G1197" i="15" s="1"/>
  <c r="F1196" i="15"/>
  <c r="G1196" i="15" s="1"/>
  <c r="F1195" i="15"/>
  <c r="G1195" i="15" s="1"/>
  <c r="F1194" i="15"/>
  <c r="G1194" i="15" s="1"/>
  <c r="F1193" i="15"/>
  <c r="G1193" i="15" s="1"/>
  <c r="F1192" i="15"/>
  <c r="G1192" i="15" s="1"/>
  <c r="F1191" i="15"/>
  <c r="G1191" i="15" s="1"/>
  <c r="F1190" i="15"/>
  <c r="G1190" i="15" s="1"/>
  <c r="F1189" i="15"/>
  <c r="G1189" i="15" s="1"/>
  <c r="F1188" i="15"/>
  <c r="G1188" i="15" s="1"/>
  <c r="F1187" i="15"/>
  <c r="G1187" i="15" s="1"/>
  <c r="F1186" i="15"/>
  <c r="G1186" i="15" s="1"/>
  <c r="F1185" i="15"/>
  <c r="G1185" i="15" s="1"/>
  <c r="F1184" i="15"/>
  <c r="G1184" i="15" s="1"/>
  <c r="F1182" i="15"/>
  <c r="G1182" i="15" s="1"/>
  <c r="F1181" i="15"/>
  <c r="G1181" i="15" s="1"/>
  <c r="F1180" i="15"/>
  <c r="G1180" i="15" s="1"/>
  <c r="F1179" i="15"/>
  <c r="G1179" i="15" s="1"/>
  <c r="F1178" i="15"/>
  <c r="G1178" i="15" s="1"/>
  <c r="F1177" i="15"/>
  <c r="G1177" i="15" s="1"/>
  <c r="F1176" i="15"/>
  <c r="G1176" i="15" s="1"/>
  <c r="F1175" i="15"/>
  <c r="G1175" i="15" s="1"/>
  <c r="F1174" i="15"/>
  <c r="G1174" i="15" s="1"/>
  <c r="F1173" i="15"/>
  <c r="G1173" i="15" s="1"/>
  <c r="F1172" i="15"/>
  <c r="G1172" i="15" s="1"/>
  <c r="F1171" i="15"/>
  <c r="G1171" i="15" s="1"/>
  <c r="F1170" i="15"/>
  <c r="G1170" i="15" s="1"/>
  <c r="F1169" i="15"/>
  <c r="G1169" i="15" s="1"/>
  <c r="F1168" i="15"/>
  <c r="G1168" i="15" s="1"/>
  <c r="F1167" i="15"/>
  <c r="G1167" i="15" s="1"/>
  <c r="F1166" i="15"/>
  <c r="G1166" i="15" s="1"/>
  <c r="F1165" i="15"/>
  <c r="G1165" i="15" s="1"/>
  <c r="F1164" i="15"/>
  <c r="G1164" i="15" s="1"/>
  <c r="F1163" i="15"/>
  <c r="G1163" i="15" s="1"/>
  <c r="F1162" i="15"/>
  <c r="G1162" i="15" s="1"/>
  <c r="F1161" i="15"/>
  <c r="G1161" i="15" s="1"/>
  <c r="F1160" i="15"/>
  <c r="G1160" i="15" s="1"/>
  <c r="F1159" i="15"/>
  <c r="G1159" i="15" s="1"/>
  <c r="G1158" i="15"/>
  <c r="G1157" i="15"/>
  <c r="F1156" i="15"/>
  <c r="G1156" i="15" s="1"/>
  <c r="F1155" i="15"/>
  <c r="G1155" i="15" s="1"/>
  <c r="F1154" i="15"/>
  <c r="G1154" i="15" s="1"/>
  <c r="F1153" i="15"/>
  <c r="G1153" i="15" s="1"/>
  <c r="F1152" i="15"/>
  <c r="G1152" i="15" s="1"/>
  <c r="F1151" i="15"/>
  <c r="G1151" i="15" s="1"/>
  <c r="F1150" i="15"/>
  <c r="G1150" i="15" s="1"/>
  <c r="F1149" i="15"/>
  <c r="G1149" i="15" s="1"/>
  <c r="F1148" i="15"/>
  <c r="G1148" i="15" s="1"/>
  <c r="F1147" i="15"/>
  <c r="G1147" i="15" s="1"/>
  <c r="F1146" i="15"/>
  <c r="G1146" i="15" s="1"/>
  <c r="F1145" i="15"/>
  <c r="G1145" i="15" s="1"/>
  <c r="F1144" i="15"/>
  <c r="G1144" i="15" s="1"/>
  <c r="F1143" i="15"/>
  <c r="G1143" i="15" s="1"/>
  <c r="F1142" i="15"/>
  <c r="G1142" i="15" s="1"/>
  <c r="F1141" i="15"/>
  <c r="G1141" i="15" s="1"/>
  <c r="F1140" i="15"/>
  <c r="G1140" i="15" s="1"/>
  <c r="F1139" i="15"/>
  <c r="G1139" i="15" s="1"/>
  <c r="F1138" i="15"/>
  <c r="G1138" i="15" s="1"/>
  <c r="F1137" i="15"/>
  <c r="G1137" i="15" s="1"/>
  <c r="F1136" i="15"/>
  <c r="G1136" i="15" s="1"/>
  <c r="F1135" i="15"/>
  <c r="G1135" i="15" s="1"/>
  <c r="F1134" i="15"/>
  <c r="G1134" i="15" s="1"/>
  <c r="F1133" i="15"/>
  <c r="G1133" i="15" s="1"/>
  <c r="F1132" i="15"/>
  <c r="G1132" i="15" s="1"/>
  <c r="F1131" i="15"/>
  <c r="G1131" i="15" s="1"/>
  <c r="F1130" i="15"/>
  <c r="G1130" i="15" s="1"/>
  <c r="F1129" i="15"/>
  <c r="G1129" i="15" s="1"/>
  <c r="F1128" i="15"/>
  <c r="G1128" i="15" s="1"/>
  <c r="F1127" i="15"/>
  <c r="G1127" i="15" s="1"/>
  <c r="F1126" i="15"/>
  <c r="G1126" i="15" s="1"/>
  <c r="F1125" i="15"/>
  <c r="G1125" i="15" s="1"/>
  <c r="F1124" i="15"/>
  <c r="G1124" i="15" s="1"/>
  <c r="F1123" i="15"/>
  <c r="G1123" i="15" s="1"/>
  <c r="F1122" i="15"/>
  <c r="G1122" i="15" s="1"/>
  <c r="F1121" i="15"/>
  <c r="G1121" i="15" s="1"/>
  <c r="F1120" i="15"/>
  <c r="G1120" i="15" s="1"/>
  <c r="F1119" i="15"/>
  <c r="G1119" i="15" s="1"/>
  <c r="F1118" i="15"/>
  <c r="G1118" i="15" s="1"/>
  <c r="F1117" i="15"/>
  <c r="G1117" i="15" s="1"/>
  <c r="F1116" i="15"/>
  <c r="G1116" i="15" s="1"/>
  <c r="F1115" i="15"/>
  <c r="G1115" i="15" s="1"/>
  <c r="F1114" i="15"/>
  <c r="G1114" i="15" s="1"/>
  <c r="F1113" i="15"/>
  <c r="G1113" i="15" s="1"/>
  <c r="F1112" i="15"/>
  <c r="G1112" i="15" s="1"/>
  <c r="F1111" i="15"/>
  <c r="G1111" i="15" s="1"/>
  <c r="F1110" i="15"/>
  <c r="G1110" i="15" s="1"/>
  <c r="F1109" i="15"/>
  <c r="G1109" i="15" s="1"/>
  <c r="F1108" i="15"/>
  <c r="G1108" i="15" s="1"/>
  <c r="F1107" i="15"/>
  <c r="G1107" i="15" s="1"/>
  <c r="F1106" i="15"/>
  <c r="G1106" i="15" s="1"/>
  <c r="F1105" i="15"/>
  <c r="G1105" i="15" s="1"/>
  <c r="F1104" i="15"/>
  <c r="G1104" i="15" s="1"/>
  <c r="F1103" i="15"/>
  <c r="G1103" i="15" s="1"/>
  <c r="F1102" i="15"/>
  <c r="G1102" i="15" s="1"/>
  <c r="F1101" i="15"/>
  <c r="G1101" i="15" s="1"/>
  <c r="F1100" i="15"/>
  <c r="G1100" i="15" s="1"/>
  <c r="F1099" i="15"/>
  <c r="G1099" i="15" s="1"/>
  <c r="F1098" i="15"/>
  <c r="G1098" i="15" s="1"/>
  <c r="F1097" i="15"/>
  <c r="G1097" i="15" s="1"/>
  <c r="F1096" i="15"/>
  <c r="G1096" i="15" s="1"/>
  <c r="F1095" i="15"/>
  <c r="G1095" i="15" s="1"/>
  <c r="F1094" i="15"/>
  <c r="G1094" i="15" s="1"/>
  <c r="G1093" i="15"/>
  <c r="F1092" i="15"/>
  <c r="G1092" i="15" s="1"/>
  <c r="F1091" i="15"/>
  <c r="G1091" i="15" s="1"/>
  <c r="F1090" i="15"/>
  <c r="G1090" i="15" s="1"/>
  <c r="F1089" i="15"/>
  <c r="G1089" i="15" s="1"/>
  <c r="F1088" i="15"/>
  <c r="G1088" i="15" s="1"/>
  <c r="F1087" i="15"/>
  <c r="G1087" i="15" s="1"/>
  <c r="F1086" i="15"/>
  <c r="G1086" i="15" s="1"/>
  <c r="F1085" i="15"/>
  <c r="G1085" i="15" s="1"/>
  <c r="F1084" i="15"/>
  <c r="G1084" i="15" s="1"/>
  <c r="F1083" i="15"/>
  <c r="G1083" i="15" s="1"/>
  <c r="F1082" i="15"/>
  <c r="G1082" i="15" s="1"/>
  <c r="F1081" i="15"/>
  <c r="G1081" i="15" s="1"/>
  <c r="F1080" i="15"/>
  <c r="G1080" i="15" s="1"/>
  <c r="F1079" i="15"/>
  <c r="G1079" i="15" s="1"/>
  <c r="F1078" i="15"/>
  <c r="G1078" i="15" s="1"/>
  <c r="F1077" i="15"/>
  <c r="G1077" i="15" s="1"/>
  <c r="F1076" i="15"/>
  <c r="G1076" i="15" s="1"/>
  <c r="F1075" i="15"/>
  <c r="G1075" i="15" s="1"/>
  <c r="F1074" i="15"/>
  <c r="G1074" i="15" s="1"/>
  <c r="F1073" i="15"/>
  <c r="G1073" i="15" s="1"/>
  <c r="F1072" i="15"/>
  <c r="G1072" i="15" s="1"/>
  <c r="F1071" i="15"/>
  <c r="G1071" i="15" s="1"/>
  <c r="F1070" i="15"/>
  <c r="G1070" i="15" s="1"/>
  <c r="F1069" i="15"/>
  <c r="G1069" i="15" s="1"/>
  <c r="F1068" i="15"/>
  <c r="G1068" i="15" s="1"/>
  <c r="F1067" i="15"/>
  <c r="G1067" i="15" s="1"/>
  <c r="F1066" i="15"/>
  <c r="G1066" i="15" s="1"/>
  <c r="F1065" i="15"/>
  <c r="G1065" i="15" s="1"/>
  <c r="F1064" i="15"/>
  <c r="G1064" i="15" s="1"/>
  <c r="F1063" i="15"/>
  <c r="G1063" i="15" s="1"/>
  <c r="F1062" i="15"/>
  <c r="G1062" i="15" s="1"/>
  <c r="F1061" i="15"/>
  <c r="G1061" i="15" s="1"/>
  <c r="F1060" i="15"/>
  <c r="G1060" i="15" s="1"/>
  <c r="F1059" i="15"/>
  <c r="G1059" i="15" s="1"/>
  <c r="F1058" i="15"/>
  <c r="G1058" i="15" s="1"/>
  <c r="F1057" i="15"/>
  <c r="G1057" i="15" s="1"/>
  <c r="F1056" i="15"/>
  <c r="G1056" i="15" s="1"/>
  <c r="F1055" i="15"/>
  <c r="G1055" i="15" s="1"/>
  <c r="F1054" i="15"/>
  <c r="G1054" i="15" s="1"/>
  <c r="F1053" i="15"/>
  <c r="G1053" i="15" s="1"/>
  <c r="F1052" i="15"/>
  <c r="G1052" i="15" s="1"/>
  <c r="F1051" i="15"/>
  <c r="G1051" i="15" s="1"/>
  <c r="F1050" i="15"/>
  <c r="G1050" i="15" s="1"/>
  <c r="F1049" i="15"/>
  <c r="G1049" i="15" s="1"/>
  <c r="F1048" i="15"/>
  <c r="G1048" i="15" s="1"/>
  <c r="F1047" i="15"/>
  <c r="G1047" i="15" s="1"/>
  <c r="F1046" i="15"/>
  <c r="G1046" i="15" s="1"/>
  <c r="F1045" i="15"/>
  <c r="G1045" i="15" s="1"/>
  <c r="F1044" i="15"/>
  <c r="G1044" i="15" s="1"/>
  <c r="F1043" i="15"/>
  <c r="G1043" i="15" s="1"/>
  <c r="F1042" i="15"/>
  <c r="G1042" i="15" s="1"/>
  <c r="F1041" i="15"/>
  <c r="G1041" i="15" s="1"/>
  <c r="F1040" i="15"/>
  <c r="G1040" i="15" s="1"/>
  <c r="F1039" i="15"/>
  <c r="G1039" i="15" s="1"/>
  <c r="F1038" i="15"/>
  <c r="G1038" i="15" s="1"/>
  <c r="F1037" i="15"/>
  <c r="G1037" i="15" s="1"/>
  <c r="F1036" i="15"/>
  <c r="G1036" i="15" s="1"/>
  <c r="F1035" i="15"/>
  <c r="G1035" i="15" s="1"/>
  <c r="F1034" i="15"/>
  <c r="G1034" i="15" s="1"/>
  <c r="F1033" i="15"/>
  <c r="G1033" i="15" s="1"/>
  <c r="F1032" i="15"/>
  <c r="G1032" i="15" s="1"/>
  <c r="F1031" i="15"/>
  <c r="G1031" i="15" s="1"/>
  <c r="F1030" i="15"/>
  <c r="G1030" i="15" s="1"/>
  <c r="G1029" i="15"/>
  <c r="F1028" i="15"/>
  <c r="G1028" i="15" s="1"/>
  <c r="F1027" i="15"/>
  <c r="G1027" i="15" s="1"/>
  <c r="F1026" i="15"/>
  <c r="G1026" i="15" s="1"/>
  <c r="F1025" i="15"/>
  <c r="G1025" i="15" s="1"/>
  <c r="F1024" i="15"/>
  <c r="G1024" i="15" s="1"/>
  <c r="F1023" i="15"/>
  <c r="G1023" i="15" s="1"/>
  <c r="F1022" i="15"/>
  <c r="G1022" i="15" s="1"/>
  <c r="F1021" i="15"/>
  <c r="G1021" i="15" s="1"/>
  <c r="F1020" i="15"/>
  <c r="G1020" i="15" s="1"/>
  <c r="F1019" i="15"/>
  <c r="G1019" i="15" s="1"/>
  <c r="F1018" i="15"/>
  <c r="G1018" i="15" s="1"/>
  <c r="F1017" i="15"/>
  <c r="G1017" i="15" s="1"/>
  <c r="F1016" i="15"/>
  <c r="G1016" i="15" s="1"/>
  <c r="F1015" i="15"/>
  <c r="G1015" i="15" s="1"/>
  <c r="F1014" i="15"/>
  <c r="G1014" i="15" s="1"/>
  <c r="F1013" i="15"/>
  <c r="G1013" i="15" s="1"/>
  <c r="F1012" i="15"/>
  <c r="G1012" i="15" s="1"/>
  <c r="F1011" i="15"/>
  <c r="G1011" i="15" s="1"/>
  <c r="F1010" i="15"/>
  <c r="G1010" i="15" s="1"/>
  <c r="F1009" i="15"/>
  <c r="G1009" i="15" s="1"/>
  <c r="F1008" i="15"/>
  <c r="G1008" i="15" s="1"/>
  <c r="F1007" i="15"/>
  <c r="G1007" i="15" s="1"/>
  <c r="F1006" i="15"/>
  <c r="G1006" i="15" s="1"/>
  <c r="F1005" i="15"/>
  <c r="G1005" i="15" s="1"/>
  <c r="F1004" i="15"/>
  <c r="G1004" i="15" s="1"/>
  <c r="F1003" i="15"/>
  <c r="G1003" i="15" s="1"/>
  <c r="F1002" i="15"/>
  <c r="G1002" i="15" s="1"/>
  <c r="F1001" i="15"/>
  <c r="G1001" i="15" s="1"/>
  <c r="F1000" i="15"/>
  <c r="G1000" i="15" s="1"/>
  <c r="F999" i="15"/>
  <c r="G999" i="15" s="1"/>
  <c r="F998" i="15"/>
  <c r="G998" i="15" s="1"/>
  <c r="F997" i="15"/>
  <c r="G997" i="15" s="1"/>
  <c r="F996" i="15"/>
  <c r="G996" i="15" s="1"/>
  <c r="F995" i="15"/>
  <c r="G995" i="15" s="1"/>
  <c r="F982" i="15"/>
  <c r="G982" i="15" s="1"/>
  <c r="F981" i="15"/>
  <c r="G981" i="15" s="1"/>
  <c r="F980" i="15"/>
  <c r="G980" i="15" s="1"/>
  <c r="F979" i="15"/>
  <c r="G979" i="15" s="1"/>
  <c r="F978" i="15"/>
  <c r="G978" i="15" s="1"/>
  <c r="F977" i="15"/>
  <c r="G977" i="15" s="1"/>
  <c r="F976" i="15"/>
  <c r="G976" i="15" s="1"/>
  <c r="F975" i="15"/>
  <c r="G975" i="15" s="1"/>
  <c r="F974" i="15"/>
  <c r="G974" i="15" s="1"/>
  <c r="F973" i="15"/>
  <c r="G973" i="15" s="1"/>
  <c r="F972" i="15"/>
  <c r="G972" i="15" s="1"/>
  <c r="F971" i="15"/>
  <c r="G971" i="15" s="1"/>
  <c r="F970" i="15"/>
  <c r="G970" i="15" s="1"/>
  <c r="F969" i="15"/>
  <c r="G969" i="15" s="1"/>
  <c r="F968" i="15"/>
  <c r="G968" i="15" s="1"/>
  <c r="F967" i="15"/>
  <c r="G967" i="15" s="1"/>
  <c r="F966" i="15"/>
  <c r="G966" i="15" s="1"/>
  <c r="G965" i="15"/>
  <c r="G964" i="15"/>
  <c r="F962" i="15"/>
  <c r="G962" i="15" s="1"/>
  <c r="F961" i="15"/>
  <c r="G961" i="15" s="1"/>
  <c r="F960" i="15"/>
  <c r="G960" i="15" s="1"/>
  <c r="F959" i="15"/>
  <c r="G959" i="15" s="1"/>
  <c r="F958" i="15"/>
  <c r="G958" i="15" s="1"/>
  <c r="F957" i="15"/>
  <c r="G957" i="15" s="1"/>
  <c r="F956" i="15"/>
  <c r="G956" i="15" s="1"/>
  <c r="F955" i="15"/>
  <c r="G955" i="15" s="1"/>
  <c r="F954" i="15"/>
  <c r="G954" i="15" s="1"/>
  <c r="F953" i="15"/>
  <c r="G953" i="15" s="1"/>
  <c r="F952" i="15"/>
  <c r="G952" i="15" s="1"/>
  <c r="F951" i="15"/>
  <c r="G951" i="15" s="1"/>
  <c r="F950" i="15"/>
  <c r="G950" i="15" s="1"/>
  <c r="F949" i="15"/>
  <c r="G949" i="15" s="1"/>
  <c r="F948" i="15"/>
  <c r="G948" i="15" s="1"/>
  <c r="F947" i="15"/>
  <c r="G947" i="15" s="1"/>
  <c r="F946" i="15"/>
  <c r="G946" i="15" s="1"/>
  <c r="F945" i="15"/>
  <c r="G945" i="15" s="1"/>
  <c r="F944" i="15"/>
  <c r="G944" i="15" s="1"/>
  <c r="F943" i="15"/>
  <c r="G943" i="15" s="1"/>
  <c r="F942" i="15"/>
  <c r="G942" i="15" s="1"/>
  <c r="F941" i="15"/>
  <c r="G941" i="15" s="1"/>
  <c r="F940" i="15"/>
  <c r="G940" i="15" s="1"/>
  <c r="F939" i="15"/>
  <c r="G939" i="15" s="1"/>
  <c r="F938" i="15"/>
  <c r="G938" i="15" s="1"/>
  <c r="F937" i="15"/>
  <c r="G937" i="15" s="1"/>
  <c r="F936" i="15"/>
  <c r="G936" i="15" s="1"/>
  <c r="F935" i="15"/>
  <c r="G935" i="15" s="1"/>
  <c r="F934" i="15"/>
  <c r="G934" i="15" s="1"/>
  <c r="F933" i="15"/>
  <c r="G933" i="15" s="1"/>
  <c r="F932" i="15"/>
  <c r="G932" i="15" s="1"/>
  <c r="F931" i="15"/>
  <c r="G931" i="15" s="1"/>
  <c r="F930" i="15"/>
  <c r="G930" i="15" s="1"/>
  <c r="F929" i="15"/>
  <c r="G929" i="15" s="1"/>
  <c r="F928" i="15"/>
  <c r="G928" i="15" s="1"/>
  <c r="F927" i="15"/>
  <c r="G927" i="15" s="1"/>
  <c r="F926" i="15"/>
  <c r="G926" i="15" s="1"/>
  <c r="F925" i="15"/>
  <c r="G925" i="15" s="1"/>
  <c r="F924" i="15"/>
  <c r="G924" i="15" s="1"/>
  <c r="F923" i="15"/>
  <c r="G923" i="15" s="1"/>
  <c r="F922" i="15"/>
  <c r="G922" i="15" s="1"/>
  <c r="F921" i="15"/>
  <c r="G921" i="15" s="1"/>
  <c r="F920" i="15"/>
  <c r="G920" i="15" s="1"/>
  <c r="F918" i="15"/>
  <c r="G918" i="15" s="1"/>
  <c r="F917" i="15"/>
  <c r="G917" i="15" s="1"/>
  <c r="F916" i="15"/>
  <c r="G916" i="15" s="1"/>
  <c r="F915" i="15"/>
  <c r="G915" i="15" s="1"/>
  <c r="F914" i="15"/>
  <c r="G914" i="15" s="1"/>
  <c r="F913" i="15"/>
  <c r="G913" i="15" s="1"/>
  <c r="F912" i="15"/>
  <c r="G912" i="15" s="1"/>
  <c r="F911" i="15"/>
  <c r="G911" i="15" s="1"/>
  <c r="F910" i="15"/>
  <c r="G910" i="15" s="1"/>
  <c r="F909" i="15"/>
  <c r="G909" i="15" s="1"/>
  <c r="F908" i="15"/>
  <c r="G908" i="15" s="1"/>
  <c r="F907" i="15"/>
  <c r="G907" i="15" s="1"/>
  <c r="F906" i="15"/>
  <c r="G906" i="15" s="1"/>
  <c r="F905" i="15"/>
  <c r="G905" i="15" s="1"/>
  <c r="F904" i="15"/>
  <c r="G904" i="15" s="1"/>
  <c r="F903" i="15"/>
  <c r="G903" i="15" s="1"/>
  <c r="F902" i="15"/>
  <c r="G902" i="15" s="1"/>
  <c r="F901" i="15"/>
  <c r="G901" i="15" s="1"/>
  <c r="F900" i="15"/>
  <c r="G900" i="15" s="1"/>
  <c r="F899" i="15"/>
  <c r="G899" i="15" s="1"/>
  <c r="F898" i="15"/>
  <c r="G898" i="15" s="1"/>
  <c r="F897" i="15"/>
  <c r="G897" i="15" s="1"/>
  <c r="F896" i="15"/>
  <c r="G896" i="15" s="1"/>
  <c r="F895" i="15"/>
  <c r="G895" i="15" s="1"/>
  <c r="F894" i="15"/>
  <c r="G894" i="15" s="1"/>
  <c r="F893" i="15"/>
  <c r="G893" i="15" s="1"/>
  <c r="F892" i="15"/>
  <c r="G892" i="15" s="1"/>
  <c r="F891" i="15"/>
  <c r="G891" i="15" s="1"/>
  <c r="F890" i="15"/>
  <c r="G890" i="15" s="1"/>
  <c r="F889" i="15"/>
  <c r="G889" i="15" s="1"/>
  <c r="F888" i="15"/>
  <c r="G888" i="15" s="1"/>
  <c r="F887" i="15"/>
  <c r="G887" i="15" s="1"/>
  <c r="F886" i="15"/>
  <c r="G886" i="15" s="1"/>
  <c r="F885" i="15"/>
  <c r="G885" i="15" s="1"/>
  <c r="F884" i="15"/>
  <c r="G884" i="15" s="1"/>
  <c r="F883" i="15"/>
  <c r="G883" i="15" s="1"/>
  <c r="F882" i="15"/>
  <c r="G882" i="15" s="1"/>
  <c r="F881" i="15"/>
  <c r="G881" i="15" s="1"/>
  <c r="F880" i="15"/>
  <c r="G880" i="15" s="1"/>
  <c r="F879" i="15"/>
  <c r="G879" i="15" s="1"/>
  <c r="F878" i="15"/>
  <c r="G878" i="15" s="1"/>
  <c r="F877" i="15"/>
  <c r="G877" i="15" s="1"/>
  <c r="F876" i="15"/>
  <c r="G876" i="15" s="1"/>
  <c r="F875" i="15"/>
  <c r="G875" i="15" s="1"/>
  <c r="F874" i="15"/>
  <c r="G874" i="15" s="1"/>
  <c r="F873" i="15"/>
  <c r="G873" i="15" s="1"/>
  <c r="F872" i="15"/>
  <c r="G872" i="15" s="1"/>
  <c r="F871" i="15"/>
  <c r="G871" i="15" s="1"/>
  <c r="F870" i="15"/>
  <c r="G870" i="15" s="1"/>
  <c r="F869" i="15"/>
  <c r="G869" i="15" s="1"/>
  <c r="F868" i="15"/>
  <c r="G868" i="15" s="1"/>
  <c r="F867" i="15"/>
  <c r="G867" i="15" s="1"/>
  <c r="F866" i="15"/>
  <c r="G866" i="15" s="1"/>
  <c r="F865" i="15"/>
  <c r="G865" i="15" s="1"/>
  <c r="F864" i="15"/>
  <c r="G864" i="15" s="1"/>
  <c r="F863" i="15"/>
  <c r="G863" i="15" s="1"/>
  <c r="F862" i="15"/>
  <c r="G862" i="15" s="1"/>
  <c r="F861" i="15"/>
  <c r="G861" i="15" s="1"/>
  <c r="F860" i="15"/>
  <c r="G860" i="15" s="1"/>
  <c r="F859" i="15"/>
  <c r="G859" i="15" s="1"/>
  <c r="F858" i="15"/>
  <c r="G858" i="15" s="1"/>
  <c r="F857" i="15"/>
  <c r="G857" i="15" s="1"/>
  <c r="F856" i="15"/>
  <c r="G856" i="15" s="1"/>
  <c r="F855" i="15"/>
  <c r="G855" i="15" s="1"/>
  <c r="F854" i="15"/>
  <c r="G854" i="15" s="1"/>
  <c r="F853" i="15"/>
  <c r="G853" i="15" s="1"/>
  <c r="F852" i="15"/>
  <c r="G852" i="15" s="1"/>
  <c r="F851" i="15"/>
  <c r="G851" i="15" s="1"/>
  <c r="F850" i="15"/>
  <c r="G850" i="15" s="1"/>
  <c r="F849" i="15"/>
  <c r="G849" i="15" s="1"/>
  <c r="F848" i="15"/>
  <c r="G848" i="15" s="1"/>
  <c r="F847" i="15"/>
  <c r="G847" i="15" s="1"/>
  <c r="F846" i="15"/>
  <c r="G846" i="15" s="1"/>
  <c r="F845" i="15"/>
  <c r="G845" i="15" s="1"/>
  <c r="F844" i="15"/>
  <c r="G844" i="15" s="1"/>
  <c r="G843" i="15"/>
  <c r="F842" i="15"/>
  <c r="G842" i="15" s="1"/>
  <c r="F841" i="15"/>
  <c r="G841" i="15" s="1"/>
  <c r="F840" i="15"/>
  <c r="G840" i="15" s="1"/>
  <c r="F839" i="15"/>
  <c r="G839" i="15" s="1"/>
  <c r="F837" i="15"/>
  <c r="G837" i="15" s="1"/>
  <c r="F836" i="15"/>
  <c r="G836" i="15" s="1"/>
  <c r="F835" i="15"/>
  <c r="G835" i="15" s="1"/>
  <c r="F834" i="15"/>
  <c r="G834" i="15" s="1"/>
  <c r="F833" i="15"/>
  <c r="G833" i="15" s="1"/>
  <c r="F832" i="15"/>
  <c r="G832" i="15" s="1"/>
  <c r="F831" i="15"/>
  <c r="G831" i="15" s="1"/>
  <c r="F829" i="15"/>
  <c r="G829" i="15" s="1"/>
  <c r="F828" i="15"/>
  <c r="G828" i="15" s="1"/>
  <c r="F827" i="15"/>
  <c r="G827" i="15" s="1"/>
  <c r="F826" i="15"/>
  <c r="G826" i="15" s="1"/>
  <c r="F825" i="15"/>
  <c r="G825" i="15" s="1"/>
  <c r="F824" i="15"/>
  <c r="G824" i="15" s="1"/>
  <c r="F823" i="15"/>
  <c r="G823" i="15" s="1"/>
  <c r="F822" i="15"/>
  <c r="G822" i="15" s="1"/>
  <c r="F821" i="15"/>
  <c r="G821" i="15" s="1"/>
  <c r="F820" i="15"/>
  <c r="G820" i="15" s="1"/>
  <c r="F819" i="15"/>
  <c r="G819" i="15" s="1"/>
  <c r="G818" i="15"/>
  <c r="F817" i="15"/>
  <c r="G817" i="15" s="1"/>
  <c r="F816" i="15"/>
  <c r="G816" i="15" s="1"/>
  <c r="F815" i="15"/>
  <c r="G815" i="15" s="1"/>
  <c r="F814" i="15"/>
  <c r="G814" i="15" s="1"/>
  <c r="F813" i="15"/>
  <c r="G813" i="15" s="1"/>
  <c r="F812" i="15"/>
  <c r="G812" i="15" s="1"/>
  <c r="F811" i="15"/>
  <c r="G811" i="15" s="1"/>
  <c r="F810" i="15"/>
  <c r="G810" i="15" s="1"/>
  <c r="F809" i="15"/>
  <c r="G809" i="15" s="1"/>
  <c r="F808" i="15"/>
  <c r="G808" i="15" s="1"/>
  <c r="F807" i="15"/>
  <c r="G807" i="15" s="1"/>
  <c r="G806" i="15"/>
  <c r="G805" i="15"/>
  <c r="F804" i="15"/>
  <c r="G804" i="15" s="1"/>
  <c r="F803" i="15"/>
  <c r="G803" i="15" s="1"/>
  <c r="F802" i="15"/>
  <c r="G802" i="15" s="1"/>
  <c r="F801" i="15"/>
  <c r="G801" i="15" s="1"/>
  <c r="F800" i="15"/>
  <c r="G800" i="15" s="1"/>
  <c r="F799" i="15"/>
  <c r="G799" i="15" s="1"/>
  <c r="F798" i="15"/>
  <c r="G798" i="15" s="1"/>
  <c r="F797" i="15"/>
  <c r="G797" i="15" s="1"/>
  <c r="F796" i="15"/>
  <c r="G796" i="15" s="1"/>
  <c r="F795" i="15"/>
  <c r="G795" i="15" s="1"/>
  <c r="F794" i="15"/>
  <c r="G794" i="15" s="1"/>
  <c r="F793" i="15"/>
  <c r="G793" i="15" s="1"/>
  <c r="F792" i="15"/>
  <c r="G792" i="15" s="1"/>
  <c r="F791" i="15"/>
  <c r="G791" i="15" s="1"/>
  <c r="F790" i="15"/>
  <c r="G790" i="15" s="1"/>
  <c r="F789" i="15"/>
  <c r="G789" i="15" s="1"/>
  <c r="F788" i="15"/>
  <c r="G788" i="15" s="1"/>
  <c r="F787" i="15"/>
  <c r="G787" i="15" s="1"/>
  <c r="F786" i="15"/>
  <c r="G786" i="15" s="1"/>
  <c r="G785" i="15"/>
  <c r="F784" i="15"/>
  <c r="G784" i="15" s="1"/>
  <c r="F783" i="15"/>
  <c r="G783" i="15" s="1"/>
  <c r="F782" i="15"/>
  <c r="G782" i="15" s="1"/>
  <c r="F781" i="15"/>
  <c r="G781" i="15" s="1"/>
  <c r="F780" i="15"/>
  <c r="G780" i="15" s="1"/>
  <c r="F779" i="15"/>
  <c r="G779" i="15" s="1"/>
  <c r="F778" i="15"/>
  <c r="G778" i="15" s="1"/>
  <c r="F777" i="15"/>
  <c r="G777" i="15" s="1"/>
  <c r="F776" i="15"/>
  <c r="G776" i="15" s="1"/>
  <c r="F775" i="15"/>
  <c r="G775" i="15" s="1"/>
  <c r="F774" i="15"/>
  <c r="G774" i="15" s="1"/>
  <c r="F773" i="15"/>
  <c r="G773" i="15" s="1"/>
  <c r="F772" i="15"/>
  <c r="G772" i="15" s="1"/>
  <c r="F771" i="15"/>
  <c r="G771" i="15" s="1"/>
  <c r="F770" i="15"/>
  <c r="G770" i="15" s="1"/>
  <c r="F769" i="15"/>
  <c r="G769" i="15" s="1"/>
  <c r="F768" i="15"/>
  <c r="G768" i="15" s="1"/>
  <c r="F767" i="15"/>
  <c r="G767" i="15" s="1"/>
  <c r="F766" i="15"/>
  <c r="G766" i="15" s="1"/>
  <c r="F765" i="15"/>
  <c r="G765" i="15" s="1"/>
  <c r="F764" i="15"/>
  <c r="G764" i="15" s="1"/>
  <c r="F763" i="15"/>
  <c r="G763" i="15" s="1"/>
  <c r="F762" i="15"/>
  <c r="G762" i="15" s="1"/>
  <c r="F761" i="15"/>
  <c r="G761" i="15" s="1"/>
  <c r="F760" i="15"/>
  <c r="G760" i="15" s="1"/>
  <c r="F759" i="15"/>
  <c r="G759" i="15" s="1"/>
  <c r="F758" i="15"/>
  <c r="G758" i="15" s="1"/>
  <c r="F757" i="15"/>
  <c r="G757" i="15" s="1"/>
  <c r="F756" i="15"/>
  <c r="G756" i="15" s="1"/>
  <c r="F755" i="15"/>
  <c r="G755" i="15" s="1"/>
  <c r="G754" i="15"/>
  <c r="F753" i="15"/>
  <c r="G753" i="15" s="1"/>
  <c r="F752" i="15"/>
  <c r="G752" i="15" s="1"/>
  <c r="F751" i="15"/>
  <c r="G751" i="15" s="1"/>
  <c r="F750" i="15"/>
  <c r="G750" i="15" s="1"/>
  <c r="F749" i="15"/>
  <c r="G749" i="15" s="1"/>
  <c r="F748" i="15"/>
  <c r="G748" i="15" s="1"/>
  <c r="F747" i="15"/>
  <c r="G747" i="15" s="1"/>
  <c r="F746" i="15"/>
  <c r="G746" i="15" s="1"/>
  <c r="F745" i="15"/>
  <c r="G745" i="15" s="1"/>
  <c r="F744" i="15"/>
  <c r="G744" i="15" s="1"/>
  <c r="F743" i="15"/>
  <c r="G743" i="15" s="1"/>
  <c r="G742" i="15"/>
  <c r="F741" i="15"/>
  <c r="G741" i="15" s="1"/>
  <c r="F740" i="15"/>
  <c r="G740" i="15" s="1"/>
  <c r="F739" i="15"/>
  <c r="G739" i="15" s="1"/>
  <c r="F738" i="15"/>
  <c r="G738" i="15" s="1"/>
  <c r="F737" i="15"/>
  <c r="G737" i="15" s="1"/>
  <c r="F736" i="15"/>
  <c r="G736" i="15" s="1"/>
  <c r="F735" i="15"/>
  <c r="G735" i="15" s="1"/>
  <c r="F734" i="15"/>
  <c r="G734" i="15" s="1"/>
  <c r="F733" i="15"/>
  <c r="G733" i="15" s="1"/>
  <c r="F732" i="15"/>
  <c r="G732" i="15" s="1"/>
  <c r="F731" i="15"/>
  <c r="G731" i="15" s="1"/>
  <c r="G730" i="15"/>
  <c r="G729" i="15"/>
  <c r="F728" i="15"/>
  <c r="G728" i="15" s="1"/>
  <c r="F727" i="15"/>
  <c r="G727" i="15" s="1"/>
  <c r="F726" i="15"/>
  <c r="G726" i="15" s="1"/>
  <c r="F725" i="15"/>
  <c r="G725" i="15" s="1"/>
  <c r="F724" i="15"/>
  <c r="G724" i="15" s="1"/>
  <c r="F723" i="15"/>
  <c r="G723" i="15" s="1"/>
  <c r="F722" i="15"/>
  <c r="G722" i="15" s="1"/>
  <c r="F721" i="15"/>
  <c r="G721" i="15" s="1"/>
  <c r="F720" i="15"/>
  <c r="G720" i="15" s="1"/>
  <c r="F719" i="15"/>
  <c r="G719" i="15" s="1"/>
  <c r="F718" i="15"/>
  <c r="G718" i="15" s="1"/>
  <c r="F717" i="15"/>
  <c r="G717" i="15" s="1"/>
  <c r="F716" i="15"/>
  <c r="G716" i="15" s="1"/>
  <c r="F715" i="15"/>
  <c r="G715" i="15" s="1"/>
  <c r="F714" i="15"/>
  <c r="G714" i="15" s="1"/>
  <c r="F713" i="15"/>
  <c r="G713" i="15" s="1"/>
  <c r="F712" i="15"/>
  <c r="G712" i="15" s="1"/>
  <c r="G711" i="15"/>
  <c r="F710" i="15"/>
  <c r="G710" i="15" s="1"/>
  <c r="F709" i="15"/>
  <c r="G709" i="15" s="1"/>
  <c r="F708" i="15"/>
  <c r="G708" i="15" s="1"/>
  <c r="F707" i="15"/>
  <c r="G707" i="15" s="1"/>
  <c r="F706" i="15"/>
  <c r="G706" i="15" s="1"/>
  <c r="F705" i="15"/>
  <c r="G705" i="15" s="1"/>
  <c r="F704" i="15"/>
  <c r="G704" i="15" s="1"/>
  <c r="F703" i="15"/>
  <c r="G703" i="15" s="1"/>
  <c r="F702" i="15"/>
  <c r="G702" i="15" s="1"/>
  <c r="F701" i="15"/>
  <c r="G701" i="15" s="1"/>
  <c r="F700" i="15"/>
  <c r="G700" i="15" s="1"/>
  <c r="F699" i="15"/>
  <c r="G699" i="15" s="1"/>
  <c r="F698" i="15"/>
  <c r="G698" i="15" s="1"/>
  <c r="F697" i="15"/>
  <c r="G697" i="15" s="1"/>
  <c r="F696" i="15"/>
  <c r="G696" i="15" s="1"/>
  <c r="F695" i="15"/>
  <c r="G695" i="15" s="1"/>
  <c r="F694" i="15"/>
  <c r="G694" i="15" s="1"/>
  <c r="F693" i="15"/>
  <c r="G693" i="15" s="1"/>
  <c r="F692" i="15"/>
  <c r="G692" i="15" s="1"/>
  <c r="F691" i="15"/>
  <c r="G691" i="15" s="1"/>
  <c r="F690" i="15"/>
  <c r="G690" i="15" s="1"/>
  <c r="F689" i="15"/>
  <c r="G689" i="15" s="1"/>
  <c r="F688" i="15"/>
  <c r="G688" i="15" s="1"/>
  <c r="F687" i="15"/>
  <c r="G687" i="15" s="1"/>
  <c r="F686" i="15"/>
  <c r="G686" i="15" s="1"/>
  <c r="G685" i="15"/>
  <c r="F684" i="15"/>
  <c r="G684" i="15" s="1"/>
  <c r="F683" i="15"/>
  <c r="G683" i="15" s="1"/>
  <c r="F682" i="15"/>
  <c r="G682" i="15" s="1"/>
  <c r="F681" i="15"/>
  <c r="G681" i="15" s="1"/>
  <c r="F680" i="15"/>
  <c r="G680" i="15" s="1"/>
  <c r="F679" i="15"/>
  <c r="G679" i="15" s="1"/>
  <c r="F678" i="15"/>
  <c r="G678" i="15" s="1"/>
  <c r="F677" i="15"/>
  <c r="G677" i="15" s="1"/>
  <c r="F676" i="15"/>
  <c r="G676" i="15" s="1"/>
  <c r="F675" i="15"/>
  <c r="G675" i="15" s="1"/>
  <c r="G674" i="15"/>
  <c r="F673" i="15"/>
  <c r="G673" i="15" s="1"/>
  <c r="F672" i="15"/>
  <c r="G672" i="15" s="1"/>
  <c r="F671" i="15"/>
  <c r="G671" i="15" s="1"/>
  <c r="F670" i="15"/>
  <c r="G670" i="15" s="1"/>
  <c r="G669" i="15"/>
  <c r="F668" i="15"/>
  <c r="G668" i="15" s="1"/>
  <c r="F667" i="15"/>
  <c r="G667" i="15" s="1"/>
  <c r="F666" i="15"/>
  <c r="G666" i="15" s="1"/>
  <c r="F665" i="15"/>
  <c r="G665" i="15" s="1"/>
  <c r="F664" i="15"/>
  <c r="G664" i="15" s="1"/>
  <c r="G663" i="15"/>
  <c r="F662" i="15"/>
  <c r="G662" i="15" s="1"/>
  <c r="F661" i="15"/>
  <c r="G661" i="15" s="1"/>
  <c r="F660" i="15"/>
  <c r="G660" i="15" s="1"/>
  <c r="F659" i="15"/>
  <c r="G659" i="15" s="1"/>
  <c r="G658" i="15"/>
  <c r="F657" i="15"/>
  <c r="G657" i="15" s="1"/>
  <c r="F656" i="15"/>
  <c r="G656" i="15" s="1"/>
  <c r="F655" i="15"/>
  <c r="G655" i="15" s="1"/>
  <c r="F654" i="15"/>
  <c r="G654" i="15" s="1"/>
  <c r="G653" i="15"/>
  <c r="G652" i="15"/>
  <c r="F651" i="15"/>
  <c r="G651" i="15" s="1"/>
  <c r="F650" i="15"/>
  <c r="G650" i="15" s="1"/>
  <c r="F649" i="15"/>
  <c r="G649" i="15" s="1"/>
  <c r="F648" i="15"/>
  <c r="G648" i="15" s="1"/>
  <c r="F647" i="15"/>
  <c r="G647" i="15" s="1"/>
  <c r="F646" i="15"/>
  <c r="G646" i="15" s="1"/>
  <c r="F645" i="15"/>
  <c r="G645" i="15" s="1"/>
  <c r="F644" i="15"/>
  <c r="G644" i="15" s="1"/>
  <c r="F643" i="15"/>
  <c r="G643" i="15" s="1"/>
  <c r="F642" i="15"/>
  <c r="G642" i="15" s="1"/>
  <c r="G641" i="15"/>
  <c r="F640" i="15"/>
  <c r="G640" i="15" s="1"/>
  <c r="F639" i="15"/>
  <c r="G639" i="15" s="1"/>
  <c r="F638" i="15"/>
  <c r="G638" i="15" s="1"/>
  <c r="F637" i="15"/>
  <c r="G637" i="15" s="1"/>
  <c r="F636" i="15"/>
  <c r="G636" i="15" s="1"/>
  <c r="F635" i="15"/>
  <c r="G635" i="15" s="1"/>
  <c r="F634" i="15"/>
  <c r="G634" i="15" s="1"/>
  <c r="F633" i="15"/>
  <c r="G633" i="15" s="1"/>
  <c r="F632" i="15"/>
  <c r="G632" i="15" s="1"/>
  <c r="F631" i="15"/>
  <c r="G631" i="15" s="1"/>
  <c r="G630" i="15"/>
  <c r="F629" i="15"/>
  <c r="G629" i="15" s="1"/>
  <c r="F628" i="15"/>
  <c r="G628" i="15" s="1"/>
  <c r="F627" i="15"/>
  <c r="G627" i="15" s="1"/>
  <c r="F626" i="15"/>
  <c r="G626" i="15" s="1"/>
  <c r="F625" i="15"/>
  <c r="G625" i="15" s="1"/>
  <c r="F624" i="15"/>
  <c r="G624" i="15" s="1"/>
  <c r="F623" i="15"/>
  <c r="G623" i="15" s="1"/>
  <c r="F622" i="15"/>
  <c r="G622" i="15" s="1"/>
  <c r="F621" i="15"/>
  <c r="G621" i="15" s="1"/>
  <c r="G620" i="15"/>
  <c r="F619" i="15"/>
  <c r="G619" i="15" s="1"/>
  <c r="F618" i="15"/>
  <c r="G618" i="15" s="1"/>
  <c r="F617" i="15"/>
  <c r="G617" i="15" s="1"/>
  <c r="F616" i="15"/>
  <c r="G616" i="15" s="1"/>
  <c r="F615" i="15"/>
  <c r="G615" i="15" s="1"/>
  <c r="F614" i="15"/>
  <c r="G614" i="15" s="1"/>
  <c r="F613" i="15"/>
  <c r="G613" i="15" s="1"/>
  <c r="F612" i="15"/>
  <c r="G612" i="15" s="1"/>
  <c r="F611" i="15"/>
  <c r="G611" i="15" s="1"/>
  <c r="G610" i="15"/>
  <c r="G609" i="15"/>
  <c r="F608" i="15"/>
  <c r="G608" i="15" s="1"/>
  <c r="F607" i="15"/>
  <c r="G607" i="15" s="1"/>
  <c r="F606" i="15"/>
  <c r="G606" i="15" s="1"/>
  <c r="F605" i="15"/>
  <c r="G605" i="15" s="1"/>
  <c r="F604" i="15"/>
  <c r="G604" i="15" s="1"/>
  <c r="F603" i="15"/>
  <c r="G603" i="15" s="1"/>
  <c r="F602" i="15"/>
  <c r="G602" i="15" s="1"/>
  <c r="F601" i="15"/>
  <c r="G601" i="15" s="1"/>
  <c r="F600" i="15"/>
  <c r="G600" i="15" s="1"/>
  <c r="F599" i="15"/>
  <c r="G599" i="15" s="1"/>
  <c r="F598" i="15"/>
  <c r="G598" i="15" s="1"/>
  <c r="F597" i="15"/>
  <c r="G597" i="15" s="1"/>
  <c r="F596" i="15"/>
  <c r="G596" i="15" s="1"/>
  <c r="F595" i="15"/>
  <c r="G595" i="15" s="1"/>
  <c r="F594" i="15"/>
  <c r="G594" i="15" s="1"/>
  <c r="G593" i="15"/>
  <c r="F592" i="15"/>
  <c r="G592" i="15" s="1"/>
  <c r="F591" i="15"/>
  <c r="G591" i="15" s="1"/>
  <c r="F590" i="15"/>
  <c r="G590" i="15" s="1"/>
  <c r="F589" i="15"/>
  <c r="G589" i="15" s="1"/>
  <c r="F588" i="15"/>
  <c r="G588" i="15" s="1"/>
  <c r="F587" i="15"/>
  <c r="G587" i="15" s="1"/>
  <c r="F586" i="15"/>
  <c r="G586" i="15" s="1"/>
  <c r="F585" i="15"/>
  <c r="G585" i="15" s="1"/>
  <c r="F584" i="15"/>
  <c r="G584" i="15" s="1"/>
  <c r="F583" i="15"/>
  <c r="G583" i="15" s="1"/>
  <c r="F582" i="15"/>
  <c r="G582" i="15" s="1"/>
  <c r="F581" i="15"/>
  <c r="G581" i="15" s="1"/>
  <c r="F580" i="15"/>
  <c r="G580" i="15" s="1"/>
  <c r="F579" i="15"/>
  <c r="G579" i="15" s="1"/>
  <c r="F578" i="15"/>
  <c r="G578" i="15" s="1"/>
  <c r="G577" i="15"/>
  <c r="G576" i="15"/>
  <c r="F575" i="15"/>
  <c r="G575" i="15" s="1"/>
  <c r="F574" i="15"/>
  <c r="G574" i="15" s="1"/>
  <c r="F573" i="15"/>
  <c r="G573" i="15" s="1"/>
  <c r="F572" i="15"/>
  <c r="G572" i="15" s="1"/>
  <c r="F571" i="15"/>
  <c r="G571" i="15" s="1"/>
  <c r="F570" i="15"/>
  <c r="G570" i="15" s="1"/>
  <c r="F569" i="15"/>
  <c r="G569" i="15" s="1"/>
  <c r="F568" i="15"/>
  <c r="G568" i="15" s="1"/>
  <c r="F567" i="15"/>
  <c r="G567" i="15" s="1"/>
  <c r="F566" i="15"/>
  <c r="G566" i="15" s="1"/>
  <c r="F565" i="15"/>
  <c r="G565" i="15" s="1"/>
  <c r="F564" i="15"/>
  <c r="G564" i="15" s="1"/>
  <c r="F563" i="15"/>
  <c r="G563" i="15" s="1"/>
  <c r="F562" i="15"/>
  <c r="G562" i="15" s="1"/>
  <c r="F561" i="15"/>
  <c r="G561" i="15" s="1"/>
  <c r="F560" i="15"/>
  <c r="G560" i="15" s="1"/>
  <c r="F559" i="15"/>
  <c r="G559" i="15" s="1"/>
  <c r="F558" i="15"/>
  <c r="G558" i="15" s="1"/>
  <c r="F557" i="15"/>
  <c r="G557" i="15" s="1"/>
  <c r="F556" i="15"/>
  <c r="G556" i="15" s="1"/>
  <c r="F555" i="15"/>
  <c r="G555" i="15" s="1"/>
  <c r="F554" i="15"/>
  <c r="G554" i="15" s="1"/>
  <c r="F553" i="15"/>
  <c r="G553" i="15" s="1"/>
  <c r="F552" i="15"/>
  <c r="G552" i="15" s="1"/>
  <c r="F551" i="15"/>
  <c r="G551" i="15" s="1"/>
  <c r="F550" i="15"/>
  <c r="G550" i="15" s="1"/>
  <c r="F549" i="15"/>
  <c r="G549" i="15" s="1"/>
  <c r="F548" i="15"/>
  <c r="G548" i="15" s="1"/>
  <c r="F547" i="15"/>
  <c r="G547" i="15" s="1"/>
  <c r="F546" i="15"/>
  <c r="G546" i="15" s="1"/>
  <c r="F545" i="15"/>
  <c r="G545" i="15" s="1"/>
  <c r="G544" i="15"/>
  <c r="G543" i="15"/>
  <c r="F542" i="15"/>
  <c r="G542" i="15" s="1"/>
  <c r="F541" i="15"/>
  <c r="G541" i="15" s="1"/>
  <c r="F540" i="15"/>
  <c r="G540" i="15" s="1"/>
  <c r="F539" i="15"/>
  <c r="G539" i="15" s="1"/>
  <c r="F538" i="15"/>
  <c r="G538" i="15" s="1"/>
  <c r="F537" i="15"/>
  <c r="G537" i="15" s="1"/>
  <c r="F536" i="15"/>
  <c r="G536" i="15" s="1"/>
  <c r="F535" i="15"/>
  <c r="G535" i="15" s="1"/>
  <c r="F534" i="15"/>
  <c r="G534" i="15" s="1"/>
  <c r="F533" i="15"/>
  <c r="G533" i="15" s="1"/>
  <c r="F532" i="15"/>
  <c r="G532" i="15" s="1"/>
  <c r="F531" i="15"/>
  <c r="G531" i="15" s="1"/>
  <c r="F530" i="15"/>
  <c r="G530" i="15" s="1"/>
  <c r="F529" i="15"/>
  <c r="G529" i="15" s="1"/>
  <c r="F528" i="15"/>
  <c r="G528" i="15" s="1"/>
  <c r="G527" i="15"/>
  <c r="F526" i="15"/>
  <c r="G526" i="15" s="1"/>
  <c r="F525" i="15"/>
  <c r="G525" i="15" s="1"/>
  <c r="F524" i="15"/>
  <c r="G524" i="15" s="1"/>
  <c r="F523" i="15"/>
  <c r="G523" i="15" s="1"/>
  <c r="F522" i="15"/>
  <c r="G522" i="15" s="1"/>
  <c r="F521" i="15"/>
  <c r="G521" i="15" s="1"/>
  <c r="F520" i="15"/>
  <c r="G520" i="15" s="1"/>
  <c r="F519" i="15"/>
  <c r="G519" i="15" s="1"/>
  <c r="F518" i="15"/>
  <c r="G518" i="15" s="1"/>
  <c r="F517" i="15"/>
  <c r="G517" i="15" s="1"/>
  <c r="F516" i="15"/>
  <c r="G516" i="15" s="1"/>
  <c r="F515" i="15"/>
  <c r="G515" i="15" s="1"/>
  <c r="F514" i="15"/>
  <c r="G514" i="15" s="1"/>
  <c r="F513" i="15"/>
  <c r="G513" i="15" s="1"/>
  <c r="F512" i="15"/>
  <c r="G512" i="15" s="1"/>
  <c r="G511" i="15"/>
  <c r="F510" i="15"/>
  <c r="G510" i="15" s="1"/>
  <c r="F509" i="15"/>
  <c r="G509" i="15" s="1"/>
  <c r="F508" i="15"/>
  <c r="G508" i="15" s="1"/>
  <c r="F507" i="15"/>
  <c r="G507" i="15" s="1"/>
  <c r="F506" i="15"/>
  <c r="G506" i="15" s="1"/>
  <c r="F505" i="15"/>
  <c r="G505" i="15" s="1"/>
  <c r="F504" i="15"/>
  <c r="G504" i="15" s="1"/>
  <c r="F503" i="15"/>
  <c r="G503" i="15" s="1"/>
  <c r="F502" i="15"/>
  <c r="G502" i="15" s="1"/>
  <c r="F501" i="15"/>
  <c r="G501" i="15" s="1"/>
  <c r="F500" i="15"/>
  <c r="G500" i="15" s="1"/>
  <c r="F499" i="15"/>
  <c r="G499" i="15" s="1"/>
  <c r="F498" i="15"/>
  <c r="G498" i="15" s="1"/>
  <c r="F497" i="15"/>
  <c r="G497" i="15" s="1"/>
  <c r="F496" i="15"/>
  <c r="G496" i="15" s="1"/>
  <c r="G495" i="15"/>
  <c r="F494" i="15"/>
  <c r="G494" i="15" s="1"/>
  <c r="F493" i="15"/>
  <c r="G493" i="15" s="1"/>
  <c r="F492" i="15"/>
  <c r="G492" i="15" s="1"/>
  <c r="F491" i="15"/>
  <c r="G491" i="15" s="1"/>
  <c r="F490" i="15"/>
  <c r="G490" i="15" s="1"/>
  <c r="F489" i="15"/>
  <c r="G489" i="15" s="1"/>
  <c r="F488" i="15"/>
  <c r="G488" i="15" s="1"/>
  <c r="F487" i="15"/>
  <c r="G487" i="15" s="1"/>
  <c r="F486" i="15"/>
  <c r="G486" i="15" s="1"/>
  <c r="F485" i="15"/>
  <c r="G485" i="15" s="1"/>
  <c r="F484" i="15"/>
  <c r="G484" i="15" s="1"/>
  <c r="F483" i="15"/>
  <c r="G483" i="15" s="1"/>
  <c r="F482" i="15"/>
  <c r="G482" i="15" s="1"/>
  <c r="F481" i="15"/>
  <c r="G481" i="15" s="1"/>
  <c r="F480" i="15"/>
  <c r="G480" i="15" s="1"/>
  <c r="G479" i="15"/>
  <c r="G478" i="15"/>
  <c r="G477" i="15"/>
  <c r="F476" i="15"/>
  <c r="G476" i="15" s="1"/>
  <c r="F475" i="15"/>
  <c r="G475" i="15" s="1"/>
  <c r="F474" i="15"/>
  <c r="G474" i="15" s="1"/>
  <c r="F473" i="15"/>
  <c r="G473" i="15" s="1"/>
  <c r="F472" i="15"/>
  <c r="G472" i="15" s="1"/>
  <c r="F471" i="15"/>
  <c r="G471" i="15" s="1"/>
  <c r="F470" i="15"/>
  <c r="G470" i="15" s="1"/>
  <c r="F469" i="15"/>
  <c r="G469" i="15" s="1"/>
  <c r="F468" i="15"/>
  <c r="G468" i="15" s="1"/>
  <c r="F467" i="15"/>
  <c r="G467" i="15" s="1"/>
  <c r="F466" i="15"/>
  <c r="G466" i="15" s="1"/>
  <c r="F465" i="15"/>
  <c r="G465" i="15" s="1"/>
  <c r="F464" i="15"/>
  <c r="G464" i="15" s="1"/>
  <c r="F463" i="15"/>
  <c r="G463" i="15" s="1"/>
  <c r="F462" i="15"/>
  <c r="G462" i="15" s="1"/>
  <c r="F461" i="15"/>
  <c r="G461" i="15" s="1"/>
  <c r="F460" i="15"/>
  <c r="G460" i="15" s="1"/>
  <c r="F459" i="15"/>
  <c r="G459" i="15" s="1"/>
  <c r="F458" i="15"/>
  <c r="G458" i="15" s="1"/>
  <c r="F457" i="15"/>
  <c r="G457" i="15" s="1"/>
  <c r="G456" i="15"/>
  <c r="F455" i="15"/>
  <c r="G455" i="15" s="1"/>
  <c r="F454" i="15"/>
  <c r="G454" i="15" s="1"/>
  <c r="F453" i="15"/>
  <c r="G453" i="15" s="1"/>
  <c r="F452" i="15"/>
  <c r="G452" i="15" s="1"/>
  <c r="F451" i="15"/>
  <c r="G451" i="15" s="1"/>
  <c r="F450" i="15"/>
  <c r="G450" i="15" s="1"/>
  <c r="F449" i="15"/>
  <c r="G449" i="15" s="1"/>
  <c r="F448" i="15"/>
  <c r="G448" i="15" s="1"/>
  <c r="F447" i="15"/>
  <c r="G447" i="15" s="1"/>
  <c r="F446" i="15"/>
  <c r="G446" i="15" s="1"/>
  <c r="F445" i="15"/>
  <c r="G445" i="15" s="1"/>
  <c r="F444" i="15"/>
  <c r="G444" i="15" s="1"/>
  <c r="F443" i="15"/>
  <c r="G443" i="15" s="1"/>
  <c r="F442" i="15"/>
  <c r="G442" i="15" s="1"/>
  <c r="F441" i="15"/>
  <c r="G441" i="15" s="1"/>
  <c r="F440" i="15"/>
  <c r="G440" i="15" s="1"/>
  <c r="F439" i="15"/>
  <c r="G439" i="15" s="1"/>
  <c r="F438" i="15"/>
  <c r="G438" i="15" s="1"/>
  <c r="F437" i="15"/>
  <c r="G437" i="15" s="1"/>
  <c r="F436" i="15"/>
  <c r="G436" i="15" s="1"/>
  <c r="G435" i="15"/>
  <c r="F434" i="15"/>
  <c r="G434" i="15" s="1"/>
  <c r="F433" i="15"/>
  <c r="G433" i="15" s="1"/>
  <c r="F432" i="15"/>
  <c r="G432" i="15" s="1"/>
  <c r="F431" i="15"/>
  <c r="G431" i="15" s="1"/>
  <c r="F430" i="15"/>
  <c r="G430" i="15" s="1"/>
  <c r="F429" i="15"/>
  <c r="G429" i="15" s="1"/>
  <c r="F428" i="15"/>
  <c r="G428" i="15" s="1"/>
  <c r="F427" i="15"/>
  <c r="G427" i="15" s="1"/>
  <c r="F426" i="15"/>
  <c r="G426" i="15" s="1"/>
  <c r="F425" i="15"/>
  <c r="G425" i="15" s="1"/>
  <c r="F424" i="15"/>
  <c r="G424" i="15" s="1"/>
  <c r="F423" i="15"/>
  <c r="G423" i="15" s="1"/>
  <c r="F422" i="15"/>
  <c r="G422" i="15" s="1"/>
  <c r="F421" i="15"/>
  <c r="G421" i="15" s="1"/>
  <c r="F420" i="15"/>
  <c r="G420" i="15" s="1"/>
  <c r="F419" i="15"/>
  <c r="G419" i="15" s="1"/>
  <c r="F418" i="15"/>
  <c r="G418" i="15" s="1"/>
  <c r="F417" i="15"/>
  <c r="G417" i="15" s="1"/>
  <c r="F416" i="15"/>
  <c r="G416" i="15" s="1"/>
  <c r="F415" i="15"/>
  <c r="G415" i="15" s="1"/>
  <c r="F414" i="15"/>
  <c r="G414" i="15" s="1"/>
  <c r="G413" i="15"/>
  <c r="F412" i="15"/>
  <c r="G412" i="15" s="1"/>
  <c r="F411" i="15"/>
  <c r="G411" i="15" s="1"/>
  <c r="F410" i="15"/>
  <c r="G410" i="15" s="1"/>
  <c r="F409" i="15"/>
  <c r="G409" i="15" s="1"/>
  <c r="F408" i="15"/>
  <c r="G408" i="15" s="1"/>
  <c r="F407" i="15"/>
  <c r="G407" i="15" s="1"/>
  <c r="F406" i="15"/>
  <c r="G406" i="15" s="1"/>
  <c r="F405" i="15"/>
  <c r="G405" i="15" s="1"/>
  <c r="F404" i="15"/>
  <c r="G404" i="15" s="1"/>
  <c r="F403" i="15"/>
  <c r="G403" i="15" s="1"/>
  <c r="F402" i="15"/>
  <c r="G402" i="15" s="1"/>
  <c r="F401" i="15"/>
  <c r="G401" i="15" s="1"/>
  <c r="F400" i="15"/>
  <c r="G400" i="15" s="1"/>
  <c r="F399" i="15"/>
  <c r="G399" i="15" s="1"/>
  <c r="F398" i="15"/>
  <c r="G398" i="15" s="1"/>
  <c r="F397" i="15"/>
  <c r="G397" i="15" s="1"/>
  <c r="F396" i="15"/>
  <c r="G396" i="15" s="1"/>
  <c r="F395" i="15"/>
  <c r="G395" i="15" s="1"/>
  <c r="F394" i="15"/>
  <c r="G394" i="15" s="1"/>
  <c r="F393" i="15"/>
  <c r="G393" i="15" s="1"/>
  <c r="G392" i="15"/>
  <c r="F391" i="15"/>
  <c r="G391" i="15" s="1"/>
  <c r="F390" i="15"/>
  <c r="G390" i="15" s="1"/>
  <c r="F389" i="15"/>
  <c r="G389" i="15" s="1"/>
  <c r="F388" i="15"/>
  <c r="G388" i="15" s="1"/>
  <c r="F387" i="15"/>
  <c r="G387" i="15" s="1"/>
  <c r="F386" i="15"/>
  <c r="G386" i="15" s="1"/>
  <c r="F385" i="15"/>
  <c r="G385" i="15" s="1"/>
  <c r="F384" i="15"/>
  <c r="G384" i="15" s="1"/>
  <c r="F383" i="15"/>
  <c r="G383" i="15" s="1"/>
  <c r="F382" i="15"/>
  <c r="G382" i="15" s="1"/>
  <c r="F381" i="15"/>
  <c r="G381" i="15" s="1"/>
  <c r="F380" i="15"/>
  <c r="G380" i="15" s="1"/>
  <c r="F379" i="15"/>
  <c r="G379" i="15" s="1"/>
  <c r="F378" i="15"/>
  <c r="G378" i="15" s="1"/>
  <c r="F377" i="15"/>
  <c r="G377" i="15" s="1"/>
  <c r="F376" i="15"/>
  <c r="G376" i="15" s="1"/>
  <c r="F375" i="15"/>
  <c r="G375" i="15" s="1"/>
  <c r="F374" i="15"/>
  <c r="G374" i="15" s="1"/>
  <c r="F373" i="15"/>
  <c r="G373" i="15" s="1"/>
  <c r="F372" i="15"/>
  <c r="G372" i="15" s="1"/>
  <c r="G371" i="15"/>
  <c r="G370" i="15"/>
  <c r="F369" i="15"/>
  <c r="G369" i="15" s="1"/>
  <c r="F368" i="15"/>
  <c r="G368" i="15" s="1"/>
  <c r="F367" i="15"/>
  <c r="G367" i="15" s="1"/>
  <c r="F366" i="15"/>
  <c r="G366" i="15" s="1"/>
  <c r="F365" i="15"/>
  <c r="G365" i="15" s="1"/>
  <c r="F364" i="15"/>
  <c r="G364" i="15" s="1"/>
  <c r="G363" i="15"/>
  <c r="F362" i="15"/>
  <c r="G362" i="15" s="1"/>
  <c r="F361" i="15"/>
  <c r="G361" i="15" s="1"/>
  <c r="F360" i="15"/>
  <c r="G360" i="15" s="1"/>
  <c r="F359" i="15"/>
  <c r="G359" i="15" s="1"/>
  <c r="F358" i="15"/>
  <c r="G358" i="15" s="1"/>
  <c r="F357" i="15"/>
  <c r="G357" i="15" s="1"/>
  <c r="F356" i="15"/>
  <c r="G356" i="15" s="1"/>
  <c r="F355" i="15"/>
  <c r="G355" i="15" s="1"/>
  <c r="G354" i="15"/>
  <c r="F353" i="15"/>
  <c r="G353" i="15" s="1"/>
  <c r="F352" i="15"/>
  <c r="G352" i="15" s="1"/>
  <c r="F351" i="15"/>
  <c r="G351" i="15" s="1"/>
  <c r="F350" i="15"/>
  <c r="G350" i="15" s="1"/>
  <c r="F349" i="15"/>
  <c r="G349" i="15" s="1"/>
  <c r="F348" i="15"/>
  <c r="G348" i="15" s="1"/>
  <c r="F347" i="15"/>
  <c r="G347" i="15" s="1"/>
  <c r="F346" i="15"/>
  <c r="G346" i="15" s="1"/>
  <c r="F345" i="15"/>
  <c r="G345" i="15" s="1"/>
  <c r="G344" i="15"/>
  <c r="F343" i="15"/>
  <c r="G343" i="15" s="1"/>
  <c r="F342" i="15"/>
  <c r="G342" i="15" s="1"/>
  <c r="F341" i="15"/>
  <c r="G341" i="15" s="1"/>
  <c r="F340" i="15"/>
  <c r="G340" i="15" s="1"/>
  <c r="F339" i="15"/>
  <c r="G339" i="15" s="1"/>
  <c r="F338" i="15"/>
  <c r="G338" i="15" s="1"/>
  <c r="F337" i="15"/>
  <c r="G337" i="15" s="1"/>
  <c r="F336" i="15"/>
  <c r="G336" i="15" s="1"/>
  <c r="G335" i="15"/>
  <c r="F334" i="15"/>
  <c r="G334" i="15" s="1"/>
  <c r="F333" i="15"/>
  <c r="G333" i="15" s="1"/>
  <c r="F332" i="15"/>
  <c r="G332" i="15" s="1"/>
  <c r="F331" i="15"/>
  <c r="G331" i="15" s="1"/>
  <c r="F330" i="15"/>
  <c r="G330" i="15" s="1"/>
  <c r="F329" i="15"/>
  <c r="G329" i="15" s="1"/>
  <c r="G328" i="15"/>
  <c r="F327" i="15"/>
  <c r="G327" i="15" s="1"/>
  <c r="F326" i="15"/>
  <c r="G326" i="15" s="1"/>
  <c r="F325" i="15"/>
  <c r="G325" i="15" s="1"/>
  <c r="F324" i="15"/>
  <c r="G324" i="15" s="1"/>
  <c r="F323" i="15"/>
  <c r="G323" i="15" s="1"/>
  <c r="F322" i="15"/>
  <c r="G322" i="15" s="1"/>
  <c r="F321" i="15"/>
  <c r="G321" i="15" s="1"/>
  <c r="F320" i="15"/>
  <c r="G320" i="15" s="1"/>
  <c r="F319" i="15"/>
  <c r="G319" i="15" s="1"/>
  <c r="G318" i="15"/>
  <c r="G317" i="15"/>
  <c r="F316" i="15"/>
  <c r="G316" i="15" s="1"/>
  <c r="F315" i="15"/>
  <c r="G315" i="15" s="1"/>
  <c r="F314" i="15"/>
  <c r="G314" i="15" s="1"/>
  <c r="F313" i="15"/>
  <c r="G313" i="15" s="1"/>
  <c r="G312" i="15"/>
  <c r="F311" i="15"/>
  <c r="G311" i="15" s="1"/>
  <c r="F310" i="15"/>
  <c r="G310" i="15" s="1"/>
  <c r="F309" i="15"/>
  <c r="G309" i="15" s="1"/>
  <c r="F308" i="15"/>
  <c r="G308" i="15" s="1"/>
  <c r="F307" i="15"/>
  <c r="G307" i="15" s="1"/>
  <c r="F306" i="15"/>
  <c r="G306" i="15" s="1"/>
  <c r="F305" i="15"/>
  <c r="G305" i="15" s="1"/>
  <c r="F304" i="15"/>
  <c r="G304" i="15" s="1"/>
  <c r="F303" i="15"/>
  <c r="G303" i="15" s="1"/>
  <c r="G302" i="15"/>
  <c r="F301" i="15"/>
  <c r="G301" i="15" s="1"/>
  <c r="F300" i="15"/>
  <c r="G300" i="15" s="1"/>
  <c r="F299" i="15"/>
  <c r="G299" i="15" s="1"/>
  <c r="F298" i="15"/>
  <c r="G298" i="15" s="1"/>
  <c r="F297" i="15"/>
  <c r="G297" i="15" s="1"/>
  <c r="F296" i="15"/>
  <c r="G296" i="15" s="1"/>
  <c r="F295" i="15"/>
  <c r="G295" i="15" s="1"/>
  <c r="F294" i="15"/>
  <c r="G294" i="15" s="1"/>
  <c r="F293" i="15"/>
  <c r="G293" i="15" s="1"/>
  <c r="G292" i="15"/>
  <c r="G291" i="15"/>
  <c r="F290" i="15"/>
  <c r="G290" i="15" s="1"/>
  <c r="F289" i="15"/>
  <c r="G289" i="15" s="1"/>
  <c r="F288" i="15"/>
  <c r="G288" i="15" s="1"/>
  <c r="F287" i="15"/>
  <c r="G287" i="15" s="1"/>
  <c r="F286" i="15"/>
  <c r="G286" i="15" s="1"/>
  <c r="F285" i="15"/>
  <c r="G285" i="15" s="1"/>
  <c r="F284" i="15"/>
  <c r="G284" i="15" s="1"/>
  <c r="F283" i="15"/>
  <c r="G283" i="15" s="1"/>
  <c r="F282" i="15"/>
  <c r="G282" i="15" s="1"/>
  <c r="F281" i="15"/>
  <c r="G281" i="15" s="1"/>
  <c r="F280" i="15"/>
  <c r="G280" i="15" s="1"/>
  <c r="G279" i="15"/>
  <c r="F278" i="15"/>
  <c r="G278" i="15" s="1"/>
  <c r="F277" i="15"/>
  <c r="G277" i="15" s="1"/>
  <c r="F276" i="15"/>
  <c r="G276" i="15" s="1"/>
  <c r="F275" i="15"/>
  <c r="G275" i="15" s="1"/>
  <c r="F274" i="15"/>
  <c r="G274" i="15" s="1"/>
  <c r="F273" i="15"/>
  <c r="G273" i="15" s="1"/>
  <c r="F272" i="15"/>
  <c r="G272" i="15" s="1"/>
  <c r="F271" i="15"/>
  <c r="G271" i="15" s="1"/>
  <c r="F270" i="15"/>
  <c r="G270" i="15" s="1"/>
  <c r="G269" i="15"/>
  <c r="F268" i="15"/>
  <c r="G268" i="15" s="1"/>
  <c r="F267" i="15"/>
  <c r="G267" i="15" s="1"/>
  <c r="F266" i="15"/>
  <c r="G266" i="15" s="1"/>
  <c r="F265" i="15"/>
  <c r="G265" i="15" s="1"/>
  <c r="F264" i="15"/>
  <c r="G264" i="15" s="1"/>
  <c r="F263" i="15"/>
  <c r="G263" i="15" s="1"/>
  <c r="F262" i="15"/>
  <c r="G262" i="15" s="1"/>
  <c r="F261" i="15"/>
  <c r="G261" i="15" s="1"/>
  <c r="F260" i="15"/>
  <c r="G260" i="15" s="1"/>
  <c r="G259" i="15"/>
  <c r="F257" i="15"/>
  <c r="G257" i="15" s="1"/>
  <c r="F256" i="15"/>
  <c r="G256" i="15" s="1"/>
  <c r="F255" i="15"/>
  <c r="G255" i="15" s="1"/>
  <c r="G254" i="15"/>
  <c r="G253" i="15"/>
  <c r="F252" i="15"/>
  <c r="G252" i="15" s="1"/>
  <c r="F251" i="15"/>
  <c r="G251" i="15" s="1"/>
  <c r="F250" i="15"/>
  <c r="G250" i="15" s="1"/>
  <c r="F249" i="15"/>
  <c r="G249" i="15" s="1"/>
  <c r="F248" i="15"/>
  <c r="G248" i="15" s="1"/>
  <c r="F247" i="15"/>
  <c r="G247" i="15" s="1"/>
  <c r="F246" i="15"/>
  <c r="G246" i="15" s="1"/>
  <c r="F245" i="15"/>
  <c r="G245" i="15" s="1"/>
  <c r="F244" i="15"/>
  <c r="G244" i="15" s="1"/>
  <c r="F243" i="15"/>
  <c r="G243" i="15" s="1"/>
  <c r="F242" i="15"/>
  <c r="G242" i="15" s="1"/>
  <c r="F241" i="15"/>
  <c r="G241" i="15" s="1"/>
  <c r="F240" i="15"/>
  <c r="G240" i="15" s="1"/>
  <c r="F239" i="15"/>
  <c r="G239" i="15" s="1"/>
  <c r="F238" i="15"/>
  <c r="G238" i="15" s="1"/>
  <c r="F237" i="15"/>
  <c r="G237" i="15" s="1"/>
  <c r="F236" i="15"/>
  <c r="G236" i="15" s="1"/>
  <c r="G235" i="15"/>
  <c r="F234" i="15"/>
  <c r="G234" i="15" s="1"/>
  <c r="F233" i="15"/>
  <c r="G233" i="15" s="1"/>
  <c r="F232" i="15"/>
  <c r="G232" i="15" s="1"/>
  <c r="F231" i="15"/>
  <c r="G231" i="15" s="1"/>
  <c r="F230" i="15"/>
  <c r="G230" i="15" s="1"/>
  <c r="F229" i="15"/>
  <c r="G229" i="15" s="1"/>
  <c r="F228" i="15"/>
  <c r="G228" i="15" s="1"/>
  <c r="F227" i="15"/>
  <c r="G227" i="15" s="1"/>
  <c r="F226" i="15"/>
  <c r="G226" i="15" s="1"/>
  <c r="F225" i="15"/>
  <c r="G225" i="15" s="1"/>
  <c r="F224" i="15"/>
  <c r="G224" i="15" s="1"/>
  <c r="F223" i="15"/>
  <c r="G223" i="15" s="1"/>
  <c r="F222" i="15"/>
  <c r="G222" i="15" s="1"/>
  <c r="F221" i="15"/>
  <c r="G221" i="15" s="1"/>
  <c r="F220" i="15"/>
  <c r="G220" i="15" s="1"/>
  <c r="F219" i="15"/>
  <c r="G219" i="15" s="1"/>
  <c r="F218" i="15"/>
  <c r="G218" i="15" s="1"/>
  <c r="F217" i="15"/>
  <c r="G217" i="15" s="1"/>
  <c r="F216" i="15"/>
  <c r="G216" i="15" s="1"/>
  <c r="F215" i="15"/>
  <c r="G215" i="15" s="1"/>
  <c r="F214" i="15"/>
  <c r="G214" i="15" s="1"/>
  <c r="F213" i="15"/>
  <c r="G213" i="15" s="1"/>
  <c r="G212" i="15"/>
  <c r="F211" i="15"/>
  <c r="G211" i="15" s="1"/>
  <c r="F210" i="15"/>
  <c r="G210" i="15" s="1"/>
  <c r="F209" i="15"/>
  <c r="G209" i="15" s="1"/>
  <c r="F208" i="15"/>
  <c r="G208" i="15" s="1"/>
  <c r="F207" i="15"/>
  <c r="G207" i="15" s="1"/>
  <c r="F206" i="15"/>
  <c r="G206" i="15" s="1"/>
  <c r="F205" i="15"/>
  <c r="G205" i="15" s="1"/>
  <c r="F204" i="15"/>
  <c r="G204" i="15" s="1"/>
  <c r="F203" i="15"/>
  <c r="G203" i="15" s="1"/>
  <c r="G202" i="15"/>
  <c r="F201" i="15"/>
  <c r="G201" i="15" s="1"/>
  <c r="F200" i="15"/>
  <c r="G200" i="15" s="1"/>
  <c r="F199" i="15"/>
  <c r="G199" i="15" s="1"/>
  <c r="F198" i="15"/>
  <c r="G198" i="15" s="1"/>
  <c r="F197" i="15"/>
  <c r="G197" i="15" s="1"/>
  <c r="F196" i="15"/>
  <c r="G196" i="15" s="1"/>
  <c r="F195" i="15"/>
  <c r="G195" i="15" s="1"/>
  <c r="F194" i="15"/>
  <c r="G194" i="15" s="1"/>
  <c r="F193" i="15"/>
  <c r="G193" i="15" s="1"/>
  <c r="F192" i="15"/>
  <c r="G192" i="15" s="1"/>
  <c r="F191" i="15"/>
  <c r="G191" i="15" s="1"/>
  <c r="F189" i="15"/>
  <c r="G189" i="15" s="1"/>
  <c r="F188" i="15"/>
  <c r="G188" i="15" s="1"/>
  <c r="F187" i="15"/>
  <c r="G187" i="15" s="1"/>
  <c r="F186" i="15"/>
  <c r="G186" i="15" s="1"/>
  <c r="F185" i="15"/>
  <c r="G185" i="15" s="1"/>
  <c r="F184" i="15"/>
  <c r="G184" i="15" s="1"/>
  <c r="G183" i="15"/>
  <c r="F182" i="15"/>
  <c r="G182" i="15" s="1"/>
  <c r="F181" i="15"/>
  <c r="G181" i="15" s="1"/>
  <c r="F180" i="15"/>
  <c r="G180" i="15" s="1"/>
  <c r="F179" i="15"/>
  <c r="G179" i="15" s="1"/>
  <c r="F178" i="15"/>
  <c r="G178" i="15" s="1"/>
  <c r="F177" i="15"/>
  <c r="G177" i="15" s="1"/>
  <c r="F176" i="15"/>
  <c r="G176" i="15" s="1"/>
  <c r="F175" i="15"/>
  <c r="G175" i="15" s="1"/>
  <c r="F174" i="15"/>
  <c r="G174" i="15" s="1"/>
  <c r="F173" i="15"/>
  <c r="G173" i="15" s="1"/>
  <c r="F172" i="15"/>
  <c r="G172" i="15" s="1"/>
  <c r="F171" i="15"/>
  <c r="G171" i="15" s="1"/>
  <c r="G170" i="15"/>
  <c r="G169" i="15"/>
  <c r="F168" i="15"/>
  <c r="G168" i="15" s="1"/>
  <c r="F167" i="15"/>
  <c r="G167" i="15" s="1"/>
  <c r="F166" i="15"/>
  <c r="G166" i="15" s="1"/>
  <c r="F165" i="15"/>
  <c r="G165" i="15" s="1"/>
  <c r="F164" i="15"/>
  <c r="G164" i="15" s="1"/>
  <c r="F163" i="15"/>
  <c r="G163" i="15" s="1"/>
  <c r="G162" i="15"/>
  <c r="F161" i="15"/>
  <c r="G161" i="15" s="1"/>
  <c r="F160" i="15"/>
  <c r="G160" i="15" s="1"/>
  <c r="F159" i="15"/>
  <c r="G159" i="15" s="1"/>
  <c r="F158" i="15"/>
  <c r="G158" i="15" s="1"/>
  <c r="F157" i="15"/>
  <c r="G157" i="15" s="1"/>
  <c r="F156" i="15"/>
  <c r="G156" i="15" s="1"/>
  <c r="F155" i="15"/>
  <c r="G155" i="15" s="1"/>
  <c r="G154" i="15"/>
  <c r="F153" i="15"/>
  <c r="G153" i="15" s="1"/>
  <c r="F152" i="15"/>
  <c r="G152" i="15" s="1"/>
  <c r="F151" i="15"/>
  <c r="G151" i="15" s="1"/>
  <c r="G150" i="15"/>
  <c r="F149" i="15"/>
  <c r="G149" i="15" s="1"/>
  <c r="F148" i="15"/>
  <c r="G148" i="15" s="1"/>
  <c r="F147" i="15"/>
  <c r="G147" i="15" s="1"/>
  <c r="F146" i="15"/>
  <c r="G146" i="15" s="1"/>
  <c r="F145" i="15"/>
  <c r="G145" i="15" s="1"/>
  <c r="F144" i="15"/>
  <c r="G144" i="15" s="1"/>
  <c r="F143" i="15"/>
  <c r="G143" i="15" s="1"/>
  <c r="F142" i="15"/>
  <c r="G142" i="15" s="1"/>
  <c r="G141" i="15"/>
  <c r="F140" i="15"/>
  <c r="G140" i="15" s="1"/>
  <c r="F139" i="15"/>
  <c r="G139" i="15" s="1"/>
  <c r="F138" i="15"/>
  <c r="G138" i="15" s="1"/>
  <c r="F137" i="15"/>
  <c r="G137" i="15" s="1"/>
  <c r="F136" i="15"/>
  <c r="G136" i="15" s="1"/>
  <c r="F135" i="15"/>
  <c r="G135" i="15" s="1"/>
  <c r="F134" i="15"/>
  <c r="G134" i="15" s="1"/>
  <c r="F133" i="15"/>
  <c r="G133" i="15" s="1"/>
  <c r="G132" i="15"/>
  <c r="F131" i="15"/>
  <c r="G131" i="15" s="1"/>
  <c r="F130" i="15"/>
  <c r="G130" i="15" s="1"/>
  <c r="F129" i="15"/>
  <c r="G129" i="15" s="1"/>
  <c r="F128" i="15"/>
  <c r="G128" i="15" s="1"/>
  <c r="F127" i="15"/>
  <c r="G127" i="15" s="1"/>
  <c r="F126" i="15"/>
  <c r="G126" i="15" s="1"/>
  <c r="F125" i="15"/>
  <c r="G125" i="15" s="1"/>
  <c r="F124" i="15"/>
  <c r="G124" i="15" s="1"/>
  <c r="G123" i="15"/>
  <c r="F122" i="15"/>
  <c r="G122" i="15" s="1"/>
  <c r="F121" i="15"/>
  <c r="G121" i="15" s="1"/>
  <c r="F119" i="15"/>
  <c r="G119" i="15" s="1"/>
  <c r="F118" i="15"/>
  <c r="G118" i="15" s="1"/>
  <c r="F117" i="15"/>
  <c r="G117" i="15" s="1"/>
  <c r="F116" i="15"/>
  <c r="G116" i="15" s="1"/>
  <c r="F115" i="15"/>
  <c r="G115" i="15" s="1"/>
  <c r="G114" i="15"/>
  <c r="G113" i="15"/>
  <c r="F112" i="15"/>
  <c r="G112" i="15" s="1"/>
  <c r="F111" i="15"/>
  <c r="G111" i="15" s="1"/>
  <c r="F110" i="15"/>
  <c r="G110" i="15" s="1"/>
  <c r="F109" i="15"/>
  <c r="G109" i="15" s="1"/>
  <c r="F108" i="15"/>
  <c r="G108" i="15" s="1"/>
  <c r="G107" i="15"/>
  <c r="F106" i="15"/>
  <c r="G106" i="15" s="1"/>
  <c r="F105" i="15"/>
  <c r="G105" i="15" s="1"/>
  <c r="F104" i="15"/>
  <c r="G104" i="15" s="1"/>
  <c r="F103" i="15"/>
  <c r="G103" i="15" s="1"/>
  <c r="F102" i="15"/>
  <c r="G102" i="15" s="1"/>
  <c r="G101" i="15"/>
  <c r="G100" i="15"/>
  <c r="G99" i="15"/>
  <c r="G98" i="15"/>
  <c r="F97" i="15"/>
  <c r="G97" i="15" s="1"/>
  <c r="F96" i="15"/>
  <c r="G96" i="15" s="1"/>
  <c r="F95" i="15"/>
  <c r="G95" i="15" s="1"/>
  <c r="F94" i="15"/>
  <c r="G94" i="15" s="1"/>
  <c r="F93" i="15"/>
  <c r="G93" i="15" s="1"/>
  <c r="F92" i="15"/>
  <c r="G92" i="15" s="1"/>
  <c r="F91" i="15"/>
  <c r="G91" i="15" s="1"/>
  <c r="F90" i="15"/>
  <c r="G90" i="15" s="1"/>
  <c r="G89" i="15"/>
  <c r="F88" i="15"/>
  <c r="G88" i="15" s="1"/>
  <c r="F87" i="15"/>
  <c r="G87" i="15" s="1"/>
  <c r="F86" i="15"/>
  <c r="G86" i="15" s="1"/>
  <c r="F85" i="15"/>
  <c r="G85" i="15" s="1"/>
  <c r="G84" i="15"/>
  <c r="F83" i="15"/>
  <c r="G83" i="15" s="1"/>
  <c r="F82" i="15"/>
  <c r="G82" i="15" s="1"/>
  <c r="F81" i="15"/>
  <c r="G81" i="15" s="1"/>
  <c r="F80" i="15"/>
  <c r="G80" i="15" s="1"/>
  <c r="G79" i="15"/>
  <c r="G78" i="15"/>
  <c r="F77" i="15"/>
  <c r="G77" i="15" s="1"/>
  <c r="F76" i="15"/>
  <c r="G76" i="15" s="1"/>
  <c r="G75" i="15"/>
  <c r="F74" i="15"/>
  <c r="G74" i="15" s="1"/>
  <c r="F73" i="15"/>
  <c r="G73" i="15" s="1"/>
  <c r="F72" i="15"/>
  <c r="G72" i="15" s="1"/>
  <c r="F71" i="15"/>
  <c r="G71" i="15" s="1"/>
  <c r="F70" i="15"/>
  <c r="G70" i="15" s="1"/>
  <c r="F69" i="15"/>
  <c r="G69" i="15" s="1"/>
  <c r="F66" i="15"/>
  <c r="G66" i="15" s="1"/>
  <c r="F65" i="15"/>
  <c r="G65" i="15" s="1"/>
  <c r="G64" i="15"/>
  <c r="F63" i="15"/>
  <c r="G63" i="15" s="1"/>
  <c r="F62" i="15"/>
  <c r="G62" i="15" s="1"/>
  <c r="F61" i="15"/>
  <c r="G61" i="15" s="1"/>
  <c r="F60" i="15"/>
  <c r="G60" i="15" s="1"/>
  <c r="F59" i="15"/>
  <c r="G59" i="15" s="1"/>
  <c r="F58" i="15"/>
  <c r="G58" i="15" s="1"/>
  <c r="F57" i="15"/>
  <c r="G57" i="15" s="1"/>
  <c r="F56" i="15"/>
  <c r="G56" i="15" s="1"/>
  <c r="F55" i="15"/>
  <c r="G55" i="15" s="1"/>
  <c r="F54" i="15"/>
  <c r="G54" i="15" s="1"/>
  <c r="F53" i="15"/>
  <c r="G53" i="15" s="1"/>
  <c r="G52" i="15"/>
  <c r="F51" i="15"/>
  <c r="G51" i="15" s="1"/>
  <c r="F50" i="15"/>
  <c r="G50" i="15" s="1"/>
  <c r="F49" i="15"/>
  <c r="G49" i="15" s="1"/>
  <c r="F48" i="15"/>
  <c r="G48" i="15" s="1"/>
  <c r="F47" i="15"/>
  <c r="G47" i="15" s="1"/>
  <c r="F46" i="15"/>
  <c r="G46" i="15" s="1"/>
  <c r="F45" i="15"/>
  <c r="G45" i="15" s="1"/>
  <c r="F44" i="15"/>
  <c r="G44" i="15" s="1"/>
  <c r="F43" i="15"/>
  <c r="G43" i="15" s="1"/>
  <c r="F42" i="15"/>
  <c r="G42" i="15" s="1"/>
  <c r="F41" i="15"/>
  <c r="G41" i="15" s="1"/>
  <c r="F40" i="15"/>
  <c r="G40" i="15" s="1"/>
  <c r="F39" i="15"/>
  <c r="G39" i="15" s="1"/>
  <c r="G38" i="15"/>
  <c r="F37" i="15"/>
  <c r="G37" i="15" s="1"/>
  <c r="F36" i="15"/>
  <c r="G36" i="15" s="1"/>
  <c r="F35" i="15"/>
  <c r="G35" i="15" s="1"/>
  <c r="F34" i="15"/>
  <c r="G34" i="15" s="1"/>
  <c r="F33" i="15"/>
  <c r="G33" i="15" s="1"/>
  <c r="F32" i="15"/>
  <c r="G32" i="15" s="1"/>
  <c r="F31" i="15"/>
  <c r="G31" i="15" s="1"/>
  <c r="F30" i="15"/>
  <c r="G30" i="15" s="1"/>
  <c r="F29" i="15"/>
  <c r="G29" i="15" s="1"/>
  <c r="F28" i="15"/>
  <c r="G28" i="15" s="1"/>
  <c r="F27" i="15"/>
  <c r="G27" i="15" s="1"/>
  <c r="F26" i="15"/>
  <c r="G26" i="15" s="1"/>
  <c r="F25" i="15"/>
  <c r="G25" i="15" s="1"/>
  <c r="G24" i="15"/>
  <c r="G23" i="15"/>
  <c r="F22" i="15"/>
  <c r="G22" i="15" s="1"/>
  <c r="F21" i="15"/>
  <c r="G21" i="15" s="1"/>
  <c r="F20" i="15"/>
  <c r="G20" i="15" s="1"/>
  <c r="F19" i="15"/>
  <c r="G19" i="15" s="1"/>
  <c r="G18" i="15"/>
  <c r="F17" i="15"/>
  <c r="G17" i="15" s="1"/>
  <c r="F16" i="15"/>
  <c r="G16" i="15" s="1"/>
  <c r="G15" i="15"/>
  <c r="F14" i="15"/>
  <c r="G14" i="15" s="1"/>
  <c r="G13" i="15"/>
  <c r="F12" i="15"/>
  <c r="G11" i="15"/>
  <c r="G10" i="15"/>
  <c r="G606" i="14"/>
  <c r="G605" i="14"/>
  <c r="G603" i="14"/>
  <c r="F600" i="14"/>
  <c r="G600" i="14" s="1"/>
  <c r="G594" i="14"/>
  <c r="F591" i="14"/>
  <c r="G591" i="14" s="1"/>
  <c r="F590" i="14"/>
  <c r="G590" i="14" s="1"/>
  <c r="F584" i="14"/>
  <c r="G584" i="14" s="1"/>
  <c r="G582" i="14"/>
  <c r="G578" i="14"/>
  <c r="F575" i="14"/>
  <c r="G575" i="14" s="1"/>
  <c r="F574" i="14"/>
  <c r="G574" i="14" s="1"/>
  <c r="F573" i="14"/>
  <c r="G573" i="14" s="1"/>
  <c r="G572" i="14"/>
  <c r="F571" i="14"/>
  <c r="G571" i="14" s="1"/>
  <c r="F570" i="14"/>
  <c r="G570" i="14" s="1"/>
  <c r="F569" i="14"/>
  <c r="G569" i="14" s="1"/>
  <c r="F568" i="14"/>
  <c r="G568" i="14" s="1"/>
  <c r="G567" i="14"/>
  <c r="G566" i="14"/>
  <c r="F565" i="14"/>
  <c r="G565" i="14" s="1"/>
  <c r="F562" i="14"/>
  <c r="G562" i="14" s="1"/>
  <c r="G561" i="14"/>
  <c r="G556" i="14"/>
  <c r="F555" i="14"/>
  <c r="G555" i="14" s="1"/>
  <c r="G551" i="14"/>
  <c r="G547" i="14"/>
  <c r="G545" i="14"/>
  <c r="F544" i="14"/>
  <c r="G544" i="14" s="1"/>
  <c r="F543" i="14"/>
  <c r="G543" i="14" s="1"/>
  <c r="F542" i="14"/>
  <c r="G542" i="14" s="1"/>
  <c r="G541" i="14"/>
  <c r="F540" i="14"/>
  <c r="G540" i="14" s="1"/>
  <c r="F539" i="14"/>
  <c r="G539" i="14" s="1"/>
  <c r="F538" i="14"/>
  <c r="G538" i="14" s="1"/>
  <c r="G537" i="14"/>
  <c r="G536" i="14"/>
  <c r="F535" i="14"/>
  <c r="G535" i="14" s="1"/>
  <c r="F534" i="14"/>
  <c r="G534" i="14" s="1"/>
  <c r="G533" i="14"/>
  <c r="F532" i="14"/>
  <c r="G532" i="14" s="1"/>
  <c r="F531" i="14"/>
  <c r="G531" i="14" s="1"/>
  <c r="G530" i="14"/>
  <c r="G526" i="14"/>
  <c r="F525" i="14"/>
  <c r="G525" i="14" s="1"/>
  <c r="G523" i="14"/>
  <c r="G517" i="14"/>
  <c r="G513" i="14"/>
  <c r="G510" i="14"/>
  <c r="G505" i="14"/>
  <c r="G504" i="14"/>
  <c r="G499" i="14"/>
  <c r="G496" i="14"/>
  <c r="G493" i="14"/>
  <c r="G489" i="14"/>
  <c r="G487" i="14"/>
  <c r="G486" i="14"/>
  <c r="G485" i="14"/>
  <c r="G481" i="14"/>
  <c r="G476" i="14"/>
  <c r="G473" i="14"/>
  <c r="F470" i="14"/>
  <c r="G470" i="14" s="1"/>
  <c r="F469" i="14"/>
  <c r="G469" i="14" s="1"/>
  <c r="G468" i="14"/>
  <c r="G467" i="14"/>
  <c r="F466" i="14"/>
  <c r="G466" i="14" s="1"/>
  <c r="G457" i="14"/>
  <c r="F456" i="14"/>
  <c r="G456" i="14" s="1"/>
  <c r="G447" i="14"/>
  <c r="F446" i="14"/>
  <c r="G446" i="14" s="1"/>
  <c r="G437" i="14"/>
  <c r="F436" i="14"/>
  <c r="G436" i="14" s="1"/>
  <c r="G427" i="14"/>
  <c r="G426" i="14"/>
  <c r="F416" i="14"/>
  <c r="G416" i="14" s="1"/>
  <c r="F415" i="14"/>
  <c r="G415" i="14" s="1"/>
  <c r="F414" i="14"/>
  <c r="G414" i="14" s="1"/>
  <c r="F413" i="14"/>
  <c r="G413" i="14" s="1"/>
  <c r="F412" i="14"/>
  <c r="G412" i="14" s="1"/>
  <c r="G411" i="14"/>
  <c r="G410" i="14"/>
  <c r="F409" i="14"/>
  <c r="G409" i="14" s="1"/>
  <c r="F408" i="14"/>
  <c r="G408" i="14" s="1"/>
  <c r="F407" i="14"/>
  <c r="G407" i="14" s="1"/>
  <c r="G406" i="14"/>
  <c r="G405" i="14"/>
  <c r="F404" i="14"/>
  <c r="G404" i="14" s="1"/>
  <c r="F403" i="14"/>
  <c r="G403" i="14" s="1"/>
  <c r="F402" i="14"/>
  <c r="G402" i="14" s="1"/>
  <c r="F401" i="14"/>
  <c r="G401" i="14" s="1"/>
  <c r="F400" i="14"/>
  <c r="G400" i="14" s="1"/>
  <c r="F399" i="14"/>
  <c r="G399" i="14" s="1"/>
  <c r="F398" i="14"/>
  <c r="G398" i="14" s="1"/>
  <c r="F397" i="14"/>
  <c r="G397" i="14" s="1"/>
  <c r="F396" i="14"/>
  <c r="G396" i="14" s="1"/>
  <c r="F395" i="14"/>
  <c r="G395" i="14" s="1"/>
  <c r="F394" i="14"/>
  <c r="G394" i="14" s="1"/>
  <c r="G393" i="14"/>
  <c r="F392" i="14"/>
  <c r="G392" i="14" s="1"/>
  <c r="F391" i="14"/>
  <c r="G391" i="14" s="1"/>
  <c r="F389" i="14"/>
  <c r="G389" i="14" s="1"/>
  <c r="F388" i="14"/>
  <c r="G388" i="14" s="1"/>
  <c r="F387" i="14"/>
  <c r="G387" i="14" s="1"/>
  <c r="G386" i="14"/>
  <c r="F385" i="14"/>
  <c r="G385" i="14" s="1"/>
  <c r="F384" i="14"/>
  <c r="G384" i="14" s="1"/>
  <c r="G380" i="14"/>
  <c r="F379" i="14"/>
  <c r="G379" i="14" s="1"/>
  <c r="F378" i="14"/>
  <c r="G378" i="14" s="1"/>
  <c r="G375" i="14"/>
  <c r="F374" i="14"/>
  <c r="G374" i="14" s="1"/>
  <c r="F373" i="14"/>
  <c r="G373" i="14" s="1"/>
  <c r="F372" i="14"/>
  <c r="G372" i="14" s="1"/>
  <c r="F371" i="14"/>
  <c r="G371" i="14" s="1"/>
  <c r="F370" i="14"/>
  <c r="G370" i="14" s="1"/>
  <c r="F369" i="14"/>
  <c r="G369" i="14" s="1"/>
  <c r="G368" i="14"/>
  <c r="F367" i="14"/>
  <c r="G367" i="14" s="1"/>
  <c r="F366" i="14"/>
  <c r="G366" i="14" s="1"/>
  <c r="F365" i="14"/>
  <c r="G365" i="14" s="1"/>
  <c r="F364" i="14"/>
  <c r="G364" i="14" s="1"/>
  <c r="F363" i="14"/>
  <c r="G363" i="14" s="1"/>
  <c r="F362" i="14"/>
  <c r="G362" i="14" s="1"/>
  <c r="G361" i="14"/>
  <c r="F360" i="14"/>
  <c r="G360" i="14" s="1"/>
  <c r="G356" i="14"/>
  <c r="G352" i="14"/>
  <c r="G348" i="14"/>
  <c r="F347" i="14"/>
  <c r="G347" i="14" s="1"/>
  <c r="F346" i="14"/>
  <c r="G346" i="14" s="1"/>
  <c r="F345" i="14"/>
  <c r="G345" i="14" s="1"/>
  <c r="G344" i="14"/>
  <c r="G341" i="14"/>
  <c r="F340" i="14"/>
  <c r="G340" i="14" s="1"/>
  <c r="F339" i="14"/>
  <c r="G339" i="14" s="1"/>
  <c r="F338" i="14"/>
  <c r="G338" i="14" s="1"/>
  <c r="G334" i="14"/>
  <c r="G333" i="14"/>
  <c r="F331" i="14"/>
  <c r="G331" i="14" s="1"/>
  <c r="F329" i="14"/>
  <c r="G329" i="14" s="1"/>
  <c r="G328" i="14"/>
  <c r="F327" i="14"/>
  <c r="G327" i="14" s="1"/>
  <c r="F323" i="14"/>
  <c r="G323" i="14" s="1"/>
  <c r="F319" i="14"/>
  <c r="G319" i="14" s="1"/>
  <c r="F315" i="14"/>
  <c r="G315" i="14" s="1"/>
  <c r="F311" i="14"/>
  <c r="G311" i="14" s="1"/>
  <c r="G307" i="14"/>
  <c r="F306" i="14"/>
  <c r="G306" i="14" s="1"/>
  <c r="F305" i="14"/>
  <c r="G305" i="14" s="1"/>
  <c r="F304" i="14"/>
  <c r="G304" i="14" s="1"/>
  <c r="F303" i="14"/>
  <c r="G303" i="14" s="1"/>
  <c r="F302" i="14"/>
  <c r="G302" i="14" s="1"/>
  <c r="F301" i="14"/>
  <c r="G301" i="14" s="1"/>
  <c r="F298" i="14"/>
  <c r="G298" i="14" s="1"/>
  <c r="F297" i="14"/>
  <c r="G297" i="14" s="1"/>
  <c r="F296" i="14"/>
  <c r="G296" i="14" s="1"/>
  <c r="F295" i="14"/>
  <c r="G295" i="14" s="1"/>
  <c r="F294" i="14"/>
  <c r="G294" i="14" s="1"/>
  <c r="G290" i="14"/>
  <c r="G289" i="14"/>
  <c r="F288" i="14"/>
  <c r="G288" i="14" s="1"/>
  <c r="F287" i="14"/>
  <c r="G287" i="14" s="1"/>
  <c r="F286" i="14"/>
  <c r="G286" i="14" s="1"/>
  <c r="F284" i="14"/>
  <c r="G284" i="14" s="1"/>
  <c r="F279" i="14"/>
  <c r="G279" i="14" s="1"/>
  <c r="F278" i="14"/>
  <c r="G278" i="14" s="1"/>
  <c r="F277" i="14"/>
  <c r="G277" i="14" s="1"/>
  <c r="F275" i="14"/>
  <c r="G275" i="14" s="1"/>
  <c r="F274" i="14"/>
  <c r="G274" i="14" s="1"/>
  <c r="F273" i="14"/>
  <c r="G273" i="14" s="1"/>
  <c r="F272" i="14"/>
  <c r="G272" i="14" s="1"/>
  <c r="F271" i="14"/>
  <c r="G271" i="14" s="1"/>
  <c r="F270" i="14"/>
  <c r="G270" i="14" s="1"/>
  <c r="F269" i="14"/>
  <c r="G269" i="14" s="1"/>
  <c r="E268" i="14"/>
  <c r="F268" i="14" s="1"/>
  <c r="G268" i="14" s="1"/>
  <c r="E259" i="14"/>
  <c r="F259" i="14" s="1"/>
  <c r="G259" i="14" s="1"/>
  <c r="G256" i="14"/>
  <c r="F255" i="14"/>
  <c r="G255" i="14" s="1"/>
  <c r="F254" i="14"/>
  <c r="G254" i="14" s="1"/>
  <c r="F253" i="14"/>
  <c r="G253" i="14" s="1"/>
  <c r="F252" i="14"/>
  <c r="G252" i="14" s="1"/>
  <c r="F251" i="14"/>
  <c r="G251" i="14" s="1"/>
  <c r="F250" i="14"/>
  <c r="G250" i="14" s="1"/>
  <c r="F249" i="14"/>
  <c r="G249" i="14" s="1"/>
  <c r="F245" i="14"/>
  <c r="G245" i="14" s="1"/>
  <c r="F240" i="14"/>
  <c r="G240" i="14" s="1"/>
  <c r="F234" i="14"/>
  <c r="G234" i="14" s="1"/>
  <c r="F233" i="14"/>
  <c r="G233" i="14" s="1"/>
  <c r="F232" i="14"/>
  <c r="G232" i="14" s="1"/>
  <c r="F231" i="14"/>
  <c r="G231" i="14" s="1"/>
  <c r="G225" i="14"/>
  <c r="F224" i="14"/>
  <c r="G224" i="14" s="1"/>
  <c r="F223" i="14"/>
  <c r="G223" i="14" s="1"/>
  <c r="F222" i="14"/>
  <c r="G222" i="14" s="1"/>
  <c r="F221" i="14"/>
  <c r="G221" i="14" s="1"/>
  <c r="F220" i="14"/>
  <c r="G220" i="14" s="1"/>
  <c r="F219" i="14"/>
  <c r="G219" i="14" s="1"/>
  <c r="G207" i="14"/>
  <c r="F206" i="14"/>
  <c r="G206" i="14" s="1"/>
  <c r="F205" i="14"/>
  <c r="G205" i="14" s="1"/>
  <c r="F204" i="14"/>
  <c r="G204" i="14" s="1"/>
  <c r="F203" i="14"/>
  <c r="G203" i="14" s="1"/>
  <c r="F202" i="14"/>
  <c r="G202" i="14" s="1"/>
  <c r="F201" i="14"/>
  <c r="G201" i="14" s="1"/>
  <c r="F200" i="14"/>
  <c r="G200" i="14" s="1"/>
  <c r="F199" i="14"/>
  <c r="G199" i="14" s="1"/>
  <c r="F198" i="14"/>
  <c r="G198" i="14" s="1"/>
  <c r="F197" i="14"/>
  <c r="G197" i="14" s="1"/>
  <c r="F196" i="14"/>
  <c r="G196" i="14" s="1"/>
  <c r="F195" i="14"/>
  <c r="G195" i="14" s="1"/>
  <c r="F194" i="14"/>
  <c r="G194" i="14" s="1"/>
  <c r="F193" i="14"/>
  <c r="G193" i="14" s="1"/>
  <c r="F192" i="14"/>
  <c r="G192" i="14" s="1"/>
  <c r="F191" i="14"/>
  <c r="G191" i="14" s="1"/>
  <c r="F190" i="14"/>
  <c r="G190" i="14" s="1"/>
  <c r="F189" i="14"/>
  <c r="G189" i="14" s="1"/>
  <c r="F188" i="14"/>
  <c r="G188" i="14" s="1"/>
  <c r="F187" i="14"/>
  <c r="G187" i="14" s="1"/>
  <c r="F186" i="14"/>
  <c r="G186" i="14" s="1"/>
  <c r="G185" i="14"/>
  <c r="F184" i="14"/>
  <c r="G184" i="14" s="1"/>
  <c r="F183" i="14"/>
  <c r="G183" i="14" s="1"/>
  <c r="F182" i="14"/>
  <c r="G182" i="14" s="1"/>
  <c r="F181" i="14"/>
  <c r="G181" i="14" s="1"/>
  <c r="F180" i="14"/>
  <c r="G180" i="14" s="1"/>
  <c r="F179" i="14"/>
  <c r="G179" i="14" s="1"/>
  <c r="F178" i="14"/>
  <c r="G178" i="14" s="1"/>
  <c r="F177" i="14"/>
  <c r="G177" i="14" s="1"/>
  <c r="F176" i="14"/>
  <c r="G176" i="14" s="1"/>
  <c r="F175" i="14"/>
  <c r="G175" i="14" s="1"/>
  <c r="F174" i="14"/>
  <c r="G174" i="14" s="1"/>
  <c r="F173" i="14"/>
  <c r="G173" i="14" s="1"/>
  <c r="F172" i="14"/>
  <c r="G172" i="14" s="1"/>
  <c r="F171" i="14"/>
  <c r="G171" i="14" s="1"/>
  <c r="F170" i="14"/>
  <c r="G170" i="14" s="1"/>
  <c r="F169" i="14"/>
  <c r="G169" i="14" s="1"/>
  <c r="G163" i="14"/>
  <c r="F162" i="14"/>
  <c r="G162" i="14" s="1"/>
  <c r="F161" i="14"/>
  <c r="G161" i="14" s="1"/>
  <c r="F160" i="14"/>
  <c r="G160" i="14" s="1"/>
  <c r="G157" i="14"/>
  <c r="F156" i="14"/>
  <c r="G156" i="14" s="1"/>
  <c r="F155" i="14"/>
  <c r="G155" i="14" s="1"/>
  <c r="F154" i="14"/>
  <c r="G154" i="14" s="1"/>
  <c r="G151" i="14"/>
  <c r="G150" i="14"/>
  <c r="F149" i="14"/>
  <c r="G149" i="14" s="1"/>
  <c r="F148" i="14"/>
  <c r="G148" i="14" s="1"/>
  <c r="F147" i="14"/>
  <c r="G147" i="14" s="1"/>
  <c r="F146" i="14"/>
  <c r="G146" i="14" s="1"/>
  <c r="F145" i="14"/>
  <c r="G145" i="14" s="1"/>
  <c r="F144" i="14"/>
  <c r="G144" i="14" s="1"/>
  <c r="F143" i="14"/>
  <c r="G143" i="14" s="1"/>
  <c r="F142" i="14"/>
  <c r="G142" i="14" s="1"/>
  <c r="F141" i="14"/>
  <c r="G141" i="14" s="1"/>
  <c r="F140" i="14"/>
  <c r="G140" i="14" s="1"/>
  <c r="G128" i="14"/>
  <c r="F127" i="14"/>
  <c r="G127" i="14" s="1"/>
  <c r="F126" i="14"/>
  <c r="G126" i="14" s="1"/>
  <c r="F125" i="14"/>
  <c r="G125" i="14" s="1"/>
  <c r="G121" i="14"/>
  <c r="F120" i="14"/>
  <c r="G120" i="14" s="1"/>
  <c r="G107" i="14"/>
  <c r="F105" i="14"/>
  <c r="G105" i="14" s="1"/>
  <c r="F104" i="14"/>
  <c r="G104" i="14" s="1"/>
  <c r="F103" i="14"/>
  <c r="G103" i="14" s="1"/>
  <c r="F102" i="14"/>
  <c r="G102" i="14" s="1"/>
  <c r="F101" i="14"/>
  <c r="G101" i="14" s="1"/>
  <c r="G96" i="14"/>
  <c r="G95" i="14"/>
  <c r="G81" i="14"/>
  <c r="F78" i="14"/>
  <c r="G78" i="14" s="1"/>
  <c r="E68" i="14"/>
  <c r="F68" i="14" s="1"/>
  <c r="G68" i="14" s="1"/>
  <c r="E67" i="14"/>
  <c r="F67" i="14" s="1"/>
  <c r="G67" i="14" s="1"/>
  <c r="E66" i="14"/>
  <c r="F66" i="14" s="1"/>
  <c r="G66" i="14" s="1"/>
  <c r="E65" i="14"/>
  <c r="F65" i="14" s="1"/>
  <c r="E64" i="14"/>
  <c r="F64" i="14" s="1"/>
  <c r="G64" i="14" s="1"/>
  <c r="G63" i="14"/>
  <c r="F59" i="14"/>
  <c r="G59" i="14" s="1"/>
  <c r="F58" i="14"/>
  <c r="G58" i="14" s="1"/>
  <c r="E56" i="14"/>
  <c r="F56" i="14" s="1"/>
  <c r="G56" i="14" s="1"/>
  <c r="E55" i="14"/>
  <c r="F55" i="14" s="1"/>
  <c r="G55" i="14" s="1"/>
  <c r="E54" i="14"/>
  <c r="F54" i="14" s="1"/>
  <c r="G54" i="14" s="1"/>
  <c r="E53" i="14"/>
  <c r="F53" i="14" s="1"/>
  <c r="G53" i="14" s="1"/>
  <c r="E52" i="14"/>
  <c r="F52" i="14" s="1"/>
  <c r="G52" i="14" s="1"/>
  <c r="E51" i="14"/>
  <c r="F51" i="14" s="1"/>
  <c r="G51" i="14" s="1"/>
  <c r="E50" i="14"/>
  <c r="F50" i="14" s="1"/>
  <c r="G50" i="14" s="1"/>
  <c r="E49" i="14"/>
  <c r="F49" i="14" s="1"/>
  <c r="G49" i="14" s="1"/>
  <c r="E48" i="14"/>
  <c r="F48" i="14" s="1"/>
  <c r="G48" i="14" s="1"/>
  <c r="E45" i="14"/>
  <c r="F45" i="14" s="1"/>
  <c r="G45" i="14" s="1"/>
  <c r="E44" i="14"/>
  <c r="F44" i="14" s="1"/>
  <c r="G44" i="14" s="1"/>
  <c r="E40" i="14"/>
  <c r="F40" i="14" s="1"/>
  <c r="G40" i="14" s="1"/>
  <c r="G38" i="14"/>
  <c r="E37" i="14"/>
  <c r="F37" i="14" s="1"/>
  <c r="G37" i="14" s="1"/>
  <c r="E36" i="14"/>
  <c r="F36" i="14" s="1"/>
  <c r="G36" i="14" s="1"/>
  <c r="E35" i="14"/>
  <c r="F35" i="14" s="1"/>
  <c r="G35" i="14" s="1"/>
  <c r="G34" i="14"/>
  <c r="E33" i="14"/>
  <c r="F33" i="14" s="1"/>
  <c r="G33" i="14" s="1"/>
  <c r="G30" i="14"/>
  <c r="F27" i="14"/>
  <c r="G27" i="14" s="1"/>
  <c r="F26" i="14"/>
  <c r="G26" i="14" s="1"/>
  <c r="F25" i="14"/>
  <c r="G25" i="14" s="1"/>
  <c r="F24" i="14"/>
  <c r="G24" i="14" s="1"/>
  <c r="E23" i="14"/>
  <c r="F23" i="14" s="1"/>
  <c r="G23" i="14" s="1"/>
  <c r="E22" i="14"/>
  <c r="F22" i="14" s="1"/>
  <c r="G22" i="14" s="1"/>
  <c r="F21" i="14"/>
  <c r="G21" i="14" s="1"/>
  <c r="E20" i="14"/>
  <c r="F20" i="14" s="1"/>
  <c r="G20" i="14" s="1"/>
  <c r="E19" i="14"/>
  <c r="F19" i="14" s="1"/>
  <c r="G19" i="14" s="1"/>
  <c r="E18" i="14"/>
  <c r="F18" i="14" s="1"/>
  <c r="G18" i="14" s="1"/>
  <c r="E17" i="14"/>
  <c r="F17" i="14" s="1"/>
  <c r="G17" i="14" s="1"/>
  <c r="E16" i="14"/>
  <c r="F16" i="14" s="1"/>
  <c r="G16" i="14" s="1"/>
  <c r="E15" i="14"/>
  <c r="F15" i="14" s="1"/>
  <c r="G15" i="14" s="1"/>
  <c r="G14" i="14"/>
  <c r="G13" i="14"/>
  <c r="E12" i="14"/>
  <c r="F12" i="14" s="1"/>
  <c r="G12" i="14" s="1"/>
  <c r="E1963" i="4"/>
  <c r="E1964" i="4"/>
  <c r="G2178" i="4"/>
  <c r="G2190" i="4"/>
  <c r="G2191" i="4"/>
  <c r="G2203" i="4"/>
  <c r="G2216" i="4"/>
  <c r="G2223" i="4"/>
  <c r="G2230" i="4"/>
  <c r="G2231" i="4"/>
  <c r="G2240" i="4"/>
  <c r="G2246" i="4"/>
  <c r="G2253" i="4"/>
  <c r="G2261" i="4"/>
  <c r="G2274" i="4"/>
  <c r="G2281" i="4"/>
  <c r="G2288" i="4"/>
  <c r="G2296" i="4"/>
  <c r="G2304" i="4"/>
  <c r="G2317" i="4"/>
  <c r="G2330" i="4"/>
  <c r="G2339" i="4"/>
  <c r="G2340" i="4"/>
  <c r="G2356" i="4"/>
  <c r="G2372" i="4"/>
  <c r="G2384" i="4"/>
  <c r="G2397" i="4"/>
  <c r="G2398" i="4"/>
  <c r="G2404" i="4"/>
  <c r="G2408" i="4"/>
  <c r="G2412" i="4"/>
  <c r="G2413" i="4"/>
  <c r="G2414" i="4"/>
  <c r="G2415" i="4"/>
  <c r="G2416" i="4"/>
  <c r="G2417" i="4"/>
  <c r="G2418" i="4"/>
  <c r="G2419" i="4"/>
  <c r="G2427" i="4"/>
  <c r="G620" i="4"/>
  <c r="G630" i="4"/>
  <c r="G641" i="4"/>
  <c r="G652" i="4"/>
  <c r="G653" i="4"/>
  <c r="G658" i="4"/>
  <c r="G663" i="4"/>
  <c r="G669" i="4"/>
  <c r="G674" i="4"/>
  <c r="G685" i="4"/>
  <c r="G711" i="4"/>
  <c r="G729" i="4"/>
  <c r="G730" i="4"/>
  <c r="G742" i="4"/>
  <c r="G754" i="4"/>
  <c r="G785" i="4"/>
  <c r="G805" i="4"/>
  <c r="G806" i="4"/>
  <c r="G818" i="4"/>
  <c r="G843" i="4"/>
  <c r="G964" i="4"/>
  <c r="G965" i="4"/>
  <c r="G1029" i="4"/>
  <c r="G1093" i="4"/>
  <c r="G1157" i="4"/>
  <c r="G1158" i="4"/>
  <c r="G1210" i="4"/>
  <c r="G1262" i="4"/>
  <c r="G1314" i="4"/>
  <c r="G1386" i="4"/>
  <c r="G1399" i="4"/>
  <c r="G1412" i="4"/>
  <c r="G1425" i="4"/>
  <c r="G1438" i="4"/>
  <c r="G1451" i="4"/>
  <c r="G1464" i="4"/>
  <c r="G1477" i="4"/>
  <c r="G1490" i="4"/>
  <c r="G1491" i="4"/>
  <c r="G1552" i="4"/>
  <c r="G1613" i="4"/>
  <c r="G1674" i="4"/>
  <c r="G1675" i="4"/>
  <c r="G1735" i="4"/>
  <c r="G1795" i="4"/>
  <c r="G1855" i="4"/>
  <c r="G1856" i="4"/>
  <c r="G1869" i="4"/>
  <c r="G1883" i="4"/>
  <c r="G1896" i="4"/>
  <c r="G1909" i="4"/>
  <c r="G1922" i="4"/>
  <c r="G1977" i="4"/>
  <c r="G1990" i="4"/>
  <c r="G1998" i="4"/>
  <c r="G1999" i="4"/>
  <c r="G2000" i="4"/>
  <c r="G2008" i="4"/>
  <c r="G2016" i="4"/>
  <c r="G2024" i="4"/>
  <c r="G2032" i="4"/>
  <c r="G2041" i="4"/>
  <c r="G2090" i="4"/>
  <c r="G2139" i="4"/>
  <c r="G2140" i="4"/>
  <c r="G2143" i="4"/>
  <c r="G2148" i="4"/>
  <c r="G2153" i="4"/>
  <c r="G2154" i="4"/>
  <c r="G2157" i="4"/>
  <c r="G2162" i="4"/>
  <c r="G2164" i="4"/>
  <c r="G2165" i="4"/>
  <c r="G2166" i="4"/>
  <c r="G9" i="4"/>
  <c r="G10" i="4"/>
  <c r="G11" i="4"/>
  <c r="G13" i="4"/>
  <c r="G15" i="4"/>
  <c r="G18" i="4"/>
  <c r="G23" i="4"/>
  <c r="G24" i="4"/>
  <c r="G38" i="4"/>
  <c r="G52" i="4"/>
  <c r="G64" i="4"/>
  <c r="G75" i="4"/>
  <c r="G78" i="4"/>
  <c r="G79" i="4"/>
  <c r="G84" i="4"/>
  <c r="G89" i="4"/>
  <c r="G98" i="4"/>
  <c r="G99" i="4"/>
  <c r="G100" i="4"/>
  <c r="G101" i="4"/>
  <c r="G107" i="4"/>
  <c r="G113" i="4"/>
  <c r="G114" i="4"/>
  <c r="G123" i="4"/>
  <c r="G132" i="4"/>
  <c r="G141" i="4"/>
  <c r="G150" i="4"/>
  <c r="G154" i="4"/>
  <c r="G162" i="4"/>
  <c r="G169" i="4"/>
  <c r="G170" i="4"/>
  <c r="G183" i="4"/>
  <c r="G202" i="4"/>
  <c r="G212" i="4"/>
  <c r="G235" i="4"/>
  <c r="G253" i="4"/>
  <c r="G254" i="4"/>
  <c r="G259" i="4"/>
  <c r="G269" i="4"/>
  <c r="G279" i="4"/>
  <c r="G291" i="4"/>
  <c r="G292" i="4"/>
  <c r="G302" i="4"/>
  <c r="G312" i="4"/>
  <c r="G317" i="4"/>
  <c r="G318" i="4"/>
  <c r="G328" i="4"/>
  <c r="G335" i="4"/>
  <c r="G344" i="4"/>
  <c r="G354" i="4"/>
  <c r="G363" i="4"/>
  <c r="G370" i="4"/>
  <c r="G371" i="4"/>
  <c r="G392" i="4"/>
  <c r="G413" i="4"/>
  <c r="G435" i="4"/>
  <c r="G456" i="4"/>
  <c r="G477" i="4"/>
  <c r="G478" i="4"/>
  <c r="G479" i="4"/>
  <c r="G495" i="4"/>
  <c r="G511" i="4"/>
  <c r="G527" i="4"/>
  <c r="G543" i="4"/>
  <c r="G544" i="4"/>
  <c r="G576" i="4"/>
  <c r="G577" i="4"/>
  <c r="G593" i="4"/>
  <c r="G609" i="4"/>
  <c r="G610" i="4"/>
  <c r="G220" i="10"/>
  <c r="D253" i="10"/>
  <c r="E253" i="10" s="1"/>
  <c r="G253" i="10" s="1"/>
  <c r="D252" i="10"/>
  <c r="E252" i="10" s="1"/>
  <c r="G252" i="10" s="1"/>
  <c r="D251" i="10"/>
  <c r="E251" i="10" s="1"/>
  <c r="G251" i="10" s="1"/>
  <c r="H248" i="10"/>
  <c r="G231" i="10"/>
  <c r="G230" i="10"/>
  <c r="G229" i="10"/>
  <c r="G228" i="10"/>
  <c r="G166" i="10"/>
  <c r="E264" i="14"/>
  <c r="F264" i="14" s="1"/>
  <c r="G264" i="14" s="1"/>
  <c r="G12" i="15"/>
  <c r="F596" i="17"/>
  <c r="G596" i="17" s="1"/>
  <c r="E259" i="1"/>
  <c r="F259" i="1" s="1"/>
  <c r="G259" i="1" s="1"/>
  <c r="E268" i="1"/>
  <c r="F268" i="1" s="1"/>
  <c r="G268" i="1" s="1"/>
  <c r="G34" i="1"/>
  <c r="G57" i="1"/>
  <c r="G63" i="1"/>
  <c r="G81" i="1"/>
  <c r="G94" i="1"/>
  <c r="G95" i="1"/>
  <c r="G96" i="1"/>
  <c r="G107" i="1"/>
  <c r="G121" i="1"/>
  <c r="G128" i="1"/>
  <c r="G150" i="1"/>
  <c r="G151" i="1"/>
  <c r="G157" i="1"/>
  <c r="G163" i="1"/>
  <c r="G185" i="1"/>
  <c r="G207" i="1"/>
  <c r="G225" i="1"/>
  <c r="G290" i="1"/>
  <c r="G328" i="1"/>
  <c r="G333" i="1"/>
  <c r="G334" i="1"/>
  <c r="G341" i="1"/>
  <c r="G344" i="1"/>
  <c r="G348" i="1"/>
  <c r="G352" i="1"/>
  <c r="G356" i="1"/>
  <c r="G361" i="1"/>
  <c r="G368" i="1"/>
  <c r="G375" i="1"/>
  <c r="G380" i="1"/>
  <c r="G386" i="1"/>
  <c r="G393" i="1"/>
  <c r="G405" i="1"/>
  <c r="G406" i="1"/>
  <c r="G410" i="1"/>
  <c r="G411" i="1"/>
  <c r="G426" i="1"/>
  <c r="G427" i="1"/>
  <c r="G437" i="1"/>
  <c r="G447" i="1"/>
  <c r="G457" i="1"/>
  <c r="G467" i="1"/>
  <c r="G468" i="1"/>
  <c r="G473" i="1"/>
  <c r="G476" i="1"/>
  <c r="G481" i="1"/>
  <c r="G485" i="1"/>
  <c r="G486" i="1"/>
  <c r="G487" i="1"/>
  <c r="G489" i="1"/>
  <c r="G493" i="1"/>
  <c r="G496" i="1"/>
  <c r="G499" i="1"/>
  <c r="G504" i="1"/>
  <c r="G505" i="1"/>
  <c r="G510" i="1"/>
  <c r="G513" i="1"/>
  <c r="G517" i="1"/>
  <c r="G523" i="1"/>
  <c r="G526" i="1"/>
  <c r="G530" i="1"/>
  <c r="G533" i="1"/>
  <c r="G536" i="1"/>
  <c r="G537" i="1"/>
  <c r="G541" i="1"/>
  <c r="G545" i="1"/>
  <c r="G556" i="1"/>
  <c r="G561" i="1"/>
  <c r="G566" i="1"/>
  <c r="G567" i="1"/>
  <c r="G572" i="1"/>
  <c r="G578" i="1"/>
  <c r="G582" i="1"/>
  <c r="G607" i="1"/>
  <c r="G609" i="1"/>
  <c r="G610" i="1"/>
  <c r="G13" i="1"/>
  <c r="G14" i="1"/>
  <c r="M2878" i="5"/>
  <c r="O2878" i="5" s="1"/>
  <c r="P2890" i="5" s="1"/>
  <c r="M2823" i="5"/>
  <c r="O2823" i="5" s="1"/>
  <c r="P2835" i="5" s="1"/>
  <c r="M2768" i="5"/>
  <c r="O2768" i="5" s="1"/>
  <c r="P2780" i="5" s="1"/>
  <c r="E1263" i="7"/>
  <c r="E1209" i="7"/>
  <c r="G1209" i="7" s="1"/>
  <c r="H1221" i="7" s="1"/>
  <c r="F147" i="3"/>
  <c r="G147" i="3" s="1"/>
  <c r="H147" i="3" s="1"/>
  <c r="F138" i="3"/>
  <c r="G138" i="3" s="1"/>
  <c r="H138" i="3" s="1"/>
  <c r="T1804" i="5"/>
  <c r="U1804" i="5" s="1"/>
  <c r="W1804" i="5" s="1"/>
  <c r="T1803" i="5"/>
  <c r="U1803" i="5" s="1"/>
  <c r="W1803" i="5" s="1"/>
  <c r="T1802" i="5"/>
  <c r="U1802" i="5" s="1"/>
  <c r="W1802" i="5" s="1"/>
  <c r="W1793" i="5"/>
  <c r="X1799" i="5" s="1"/>
  <c r="X1790" i="5"/>
  <c r="L253" i="10"/>
  <c r="M253" i="10" s="1"/>
  <c r="O253" i="10" s="1"/>
  <c r="L252" i="10"/>
  <c r="M252" i="10" s="1"/>
  <c r="O252" i="10" s="1"/>
  <c r="L251" i="10"/>
  <c r="M251" i="10" s="1"/>
  <c r="O251" i="10" s="1"/>
  <c r="P248" i="10"/>
  <c r="P240" i="10"/>
  <c r="G121" i="10"/>
  <c r="G112" i="10"/>
  <c r="D92" i="10"/>
  <c r="E92" i="10" s="1"/>
  <c r="G92" i="10" s="1"/>
  <c r="D91" i="10"/>
  <c r="E91" i="10" s="1"/>
  <c r="G91" i="10" s="1"/>
  <c r="D90" i="10"/>
  <c r="E90" i="10" s="1"/>
  <c r="G90" i="10" s="1"/>
  <c r="D89" i="10"/>
  <c r="E89" i="10" s="1"/>
  <c r="G89" i="10" s="1"/>
  <c r="H86" i="10"/>
  <c r="G68" i="10"/>
  <c r="G67" i="10"/>
  <c r="E59" i="10"/>
  <c r="G59" i="10" s="1"/>
  <c r="D41" i="10"/>
  <c r="E41" i="10" s="1"/>
  <c r="G41" i="10" s="1"/>
  <c r="D40" i="10"/>
  <c r="E40" i="10" s="1"/>
  <c r="G40" i="10" s="1"/>
  <c r="D39" i="10"/>
  <c r="E39" i="10" s="1"/>
  <c r="G39" i="10" s="1"/>
  <c r="H36" i="10"/>
  <c r="G17" i="10"/>
  <c r="H28" i="10" s="1"/>
  <c r="L1293" i="8"/>
  <c r="M1293" i="8" s="1"/>
  <c r="O1293" i="8" s="1"/>
  <c r="L1292" i="8"/>
  <c r="M1292" i="8" s="1"/>
  <c r="O1292" i="8" s="1"/>
  <c r="L1291" i="8"/>
  <c r="M1291" i="8" s="1"/>
  <c r="O1291" i="8" s="1"/>
  <c r="L1290" i="8"/>
  <c r="M1290" i="8" s="1"/>
  <c r="O1290" i="8" s="1"/>
  <c r="P1287" i="8"/>
  <c r="O1269" i="8"/>
  <c r="O1268" i="8"/>
  <c r="O1267" i="8"/>
  <c r="L1805" i="5"/>
  <c r="M1805" i="5" s="1"/>
  <c r="O1805" i="5" s="1"/>
  <c r="L1804" i="5"/>
  <c r="M1804" i="5" s="1"/>
  <c r="O1804" i="5" s="1"/>
  <c r="L1803" i="5"/>
  <c r="M1803" i="5" s="1"/>
  <c r="O1803" i="5" s="1"/>
  <c r="L1802" i="5"/>
  <c r="M1802" i="5" s="1"/>
  <c r="O1802" i="5" s="1"/>
  <c r="O1793" i="5"/>
  <c r="P1799" i="5" s="1"/>
  <c r="P1790" i="5"/>
  <c r="O1770" i="5"/>
  <c r="O234" i="16"/>
  <c r="E3264" i="5"/>
  <c r="G3264" i="5" s="1"/>
  <c r="K902" i="7"/>
  <c r="K901" i="7"/>
  <c r="G40" i="8"/>
  <c r="H45" i="8" s="1"/>
  <c r="G94" i="8"/>
  <c r="H99" i="8" s="1"/>
  <c r="G148" i="8"/>
  <c r="H153" i="8" s="1"/>
  <c r="E133" i="8"/>
  <c r="G133" i="8" s="1"/>
  <c r="H145" i="8" s="1"/>
  <c r="E25" i="8"/>
  <c r="G25" i="8" s="1"/>
  <c r="H37" i="8" s="1"/>
  <c r="E79" i="8"/>
  <c r="G79" i="8" s="1"/>
  <c r="H91" i="8" s="1"/>
  <c r="E3373" i="6"/>
  <c r="G3373" i="6" s="1"/>
  <c r="M3423" i="6"/>
  <c r="O3423" i="6" s="1"/>
  <c r="L3446" i="6"/>
  <c r="M3446" i="6" s="1"/>
  <c r="O3446" i="6" s="1"/>
  <c r="L3445" i="6"/>
  <c r="M3445" i="6" s="1"/>
  <c r="O3445" i="6" s="1"/>
  <c r="L3444" i="6"/>
  <c r="M3444" i="6" s="1"/>
  <c r="O3444" i="6" s="1"/>
  <c r="P3441" i="6"/>
  <c r="M3424" i="6"/>
  <c r="O3424" i="6" s="1"/>
  <c r="E3424" i="6"/>
  <c r="G3424" i="6" s="1"/>
  <c r="G3208" i="6"/>
  <c r="M3206" i="6"/>
  <c r="O3206" i="6" s="1"/>
  <c r="L3231" i="6"/>
  <c r="M3231" i="6" s="1"/>
  <c r="O3231" i="6" s="1"/>
  <c r="L3230" i="6"/>
  <c r="M3230" i="6" s="1"/>
  <c r="O3230" i="6" s="1"/>
  <c r="L3229" i="6"/>
  <c r="M3229" i="6" s="1"/>
  <c r="O3229" i="6" s="1"/>
  <c r="P3226" i="6"/>
  <c r="E3206" i="6"/>
  <c r="G3206" i="6" s="1"/>
  <c r="D3784" i="5"/>
  <c r="E3784" i="5" s="1"/>
  <c r="G3784" i="5" s="1"/>
  <c r="D3783" i="5"/>
  <c r="E3783" i="5" s="1"/>
  <c r="G3783" i="5" s="1"/>
  <c r="D3782" i="5"/>
  <c r="E3782" i="5" s="1"/>
  <c r="G3782" i="5" s="1"/>
  <c r="H3779" i="5"/>
  <c r="G3758" i="5"/>
  <c r="H3770" i="5" s="1"/>
  <c r="D3729" i="5"/>
  <c r="E3729" i="5" s="1"/>
  <c r="G3729" i="5" s="1"/>
  <c r="D3728" i="5"/>
  <c r="E3728" i="5" s="1"/>
  <c r="G3728" i="5" s="1"/>
  <c r="D3727" i="5"/>
  <c r="E3727" i="5" s="1"/>
  <c r="G3727" i="5" s="1"/>
  <c r="H3724" i="5"/>
  <c r="G3703" i="5"/>
  <c r="D3674" i="5"/>
  <c r="E3674" i="5" s="1"/>
  <c r="G3674" i="5" s="1"/>
  <c r="D3673" i="5"/>
  <c r="E3673" i="5" s="1"/>
  <c r="G3673" i="5" s="1"/>
  <c r="D3672" i="5"/>
  <c r="E3672" i="5" s="1"/>
  <c r="G3672" i="5" s="1"/>
  <c r="H3669" i="5"/>
  <c r="G3651" i="5"/>
  <c r="G3650" i="5"/>
  <c r="E3649" i="5"/>
  <c r="G3649" i="5" s="1"/>
  <c r="E3648" i="5"/>
  <c r="G3648" i="5" s="1"/>
  <c r="D3619" i="5"/>
  <c r="E3619" i="5" s="1"/>
  <c r="G3619" i="5" s="1"/>
  <c r="D3618" i="5"/>
  <c r="E3618" i="5" s="1"/>
  <c r="G3618" i="5" s="1"/>
  <c r="D3617" i="5"/>
  <c r="E3617" i="5" s="1"/>
  <c r="G3617" i="5" s="1"/>
  <c r="H3614" i="5"/>
  <c r="G3596" i="5"/>
  <c r="G3595" i="5"/>
  <c r="E3594" i="5"/>
  <c r="G3594" i="5" s="1"/>
  <c r="E3593" i="5"/>
  <c r="G3593" i="5" s="1"/>
  <c r="D3564" i="5"/>
  <c r="E3564" i="5" s="1"/>
  <c r="G3564" i="5" s="1"/>
  <c r="D3563" i="5"/>
  <c r="E3563" i="5" s="1"/>
  <c r="G3563" i="5" s="1"/>
  <c r="D3562" i="5"/>
  <c r="E3562" i="5" s="1"/>
  <c r="G3562" i="5" s="1"/>
  <c r="H3559" i="5"/>
  <c r="G3541" i="5"/>
  <c r="E3539" i="5"/>
  <c r="G3539" i="5" s="1"/>
  <c r="E3538" i="5"/>
  <c r="G3538" i="5" s="1"/>
  <c r="D3509" i="5"/>
  <c r="E3509" i="5" s="1"/>
  <c r="G3509" i="5" s="1"/>
  <c r="D3508" i="5"/>
  <c r="E3508" i="5" s="1"/>
  <c r="G3508" i="5" s="1"/>
  <c r="D3507" i="5"/>
  <c r="E3507" i="5" s="1"/>
  <c r="G3507" i="5" s="1"/>
  <c r="H3504" i="5"/>
  <c r="G3486" i="5"/>
  <c r="E3484" i="5"/>
  <c r="G3484" i="5" s="1"/>
  <c r="E3483" i="5"/>
  <c r="G3483" i="5" s="1"/>
  <c r="D3454" i="5"/>
  <c r="E3454" i="5" s="1"/>
  <c r="G3454" i="5" s="1"/>
  <c r="D3453" i="5"/>
  <c r="E3453" i="5" s="1"/>
  <c r="G3453" i="5" s="1"/>
  <c r="D3452" i="5"/>
  <c r="E3452" i="5" s="1"/>
  <c r="G3452" i="5" s="1"/>
  <c r="H3449" i="5"/>
  <c r="G3429" i="5"/>
  <c r="G3428" i="5"/>
  <c r="D3399" i="5"/>
  <c r="E3399" i="5" s="1"/>
  <c r="G3399" i="5" s="1"/>
  <c r="D3398" i="5"/>
  <c r="E3398" i="5" s="1"/>
  <c r="G3398" i="5" s="1"/>
  <c r="D3397" i="5"/>
  <c r="E3397" i="5" s="1"/>
  <c r="G3397" i="5" s="1"/>
  <c r="H3394" i="5"/>
  <c r="G3374" i="5"/>
  <c r="G3373" i="5"/>
  <c r="D3344" i="5"/>
  <c r="E3344" i="5" s="1"/>
  <c r="G3344" i="5" s="1"/>
  <c r="D3343" i="5"/>
  <c r="E3343" i="5" s="1"/>
  <c r="G3343" i="5" s="1"/>
  <c r="D3342" i="5"/>
  <c r="E3342" i="5" s="1"/>
  <c r="G3342" i="5" s="1"/>
  <c r="H3339" i="5"/>
  <c r="G3318" i="5"/>
  <c r="D3289" i="5"/>
  <c r="E3289" i="5" s="1"/>
  <c r="G3289" i="5" s="1"/>
  <c r="D3288" i="5"/>
  <c r="E3288" i="5" s="1"/>
  <c r="G3288" i="5" s="1"/>
  <c r="D3287" i="5"/>
  <c r="E3287" i="5" s="1"/>
  <c r="G3287" i="5" s="1"/>
  <c r="H3284" i="5"/>
  <c r="D3266" i="5"/>
  <c r="G3266" i="5" s="1"/>
  <c r="G3265" i="5"/>
  <c r="E3263" i="5"/>
  <c r="G3263" i="5" s="1"/>
  <c r="D3234" i="5"/>
  <c r="E3234" i="5" s="1"/>
  <c r="G3234" i="5" s="1"/>
  <c r="D3233" i="5"/>
  <c r="E3233" i="5" s="1"/>
  <c r="G3233" i="5" s="1"/>
  <c r="D3232" i="5"/>
  <c r="E3232" i="5" s="1"/>
  <c r="G3232" i="5" s="1"/>
  <c r="G3223" i="5"/>
  <c r="H3229" i="5" s="1"/>
  <c r="G3208" i="5"/>
  <c r="D3179" i="5"/>
  <c r="E3179" i="5" s="1"/>
  <c r="G3179" i="5" s="1"/>
  <c r="D3178" i="5"/>
  <c r="E3178" i="5" s="1"/>
  <c r="G3178" i="5" s="1"/>
  <c r="D3177" i="5"/>
  <c r="E3177" i="5" s="1"/>
  <c r="G3177" i="5" s="1"/>
  <c r="G3168" i="5"/>
  <c r="H3174" i="5" s="1"/>
  <c r="G3153" i="5"/>
  <c r="H3165" i="5" s="1"/>
  <c r="G3145" i="5"/>
  <c r="D3124" i="5"/>
  <c r="E3124" i="5" s="1"/>
  <c r="G3124" i="5" s="1"/>
  <c r="D3123" i="5"/>
  <c r="E3123" i="5" s="1"/>
  <c r="G3123" i="5" s="1"/>
  <c r="D3122" i="5"/>
  <c r="E3122" i="5" s="1"/>
  <c r="G3122" i="5" s="1"/>
  <c r="H3119" i="5"/>
  <c r="G3098" i="5"/>
  <c r="H3110" i="5" s="1"/>
  <c r="G3090" i="5"/>
  <c r="D3069" i="5"/>
  <c r="E3069" i="5" s="1"/>
  <c r="G3069" i="5" s="1"/>
  <c r="D3068" i="5"/>
  <c r="E3068" i="5" s="1"/>
  <c r="G3068" i="5" s="1"/>
  <c r="D3067" i="5"/>
  <c r="E3067" i="5" s="1"/>
  <c r="G3067" i="5" s="1"/>
  <c r="H3064" i="5"/>
  <c r="G3043" i="5"/>
  <c r="H3055" i="5" s="1"/>
  <c r="G3035" i="5"/>
  <c r="D3014" i="5"/>
  <c r="E3014" i="5" s="1"/>
  <c r="G3014" i="5" s="1"/>
  <c r="D3013" i="5"/>
  <c r="E3013" i="5" s="1"/>
  <c r="G3013" i="5" s="1"/>
  <c r="D3012" i="5"/>
  <c r="E3012" i="5" s="1"/>
  <c r="G3012" i="5" s="1"/>
  <c r="H3009" i="5"/>
  <c r="G2988" i="5"/>
  <c r="H3000" i="5" s="1"/>
  <c r="G2980" i="5"/>
  <c r="D2959" i="5"/>
  <c r="E2959" i="5" s="1"/>
  <c r="G2959" i="5" s="1"/>
  <c r="D2958" i="5"/>
  <c r="E2958" i="5" s="1"/>
  <c r="G2958" i="5" s="1"/>
  <c r="D2957" i="5"/>
  <c r="E2957" i="5" s="1"/>
  <c r="G2957" i="5" s="1"/>
  <c r="H2954" i="5"/>
  <c r="G2933" i="5"/>
  <c r="H2945" i="5" s="1"/>
  <c r="G2925" i="5"/>
  <c r="L2904" i="5"/>
  <c r="M2904" i="5" s="1"/>
  <c r="O2904" i="5" s="1"/>
  <c r="D2904" i="5"/>
  <c r="E2904" i="5" s="1"/>
  <c r="G2904" i="5" s="1"/>
  <c r="L2903" i="5"/>
  <c r="M2903" i="5" s="1"/>
  <c r="O2903" i="5" s="1"/>
  <c r="D2903" i="5"/>
  <c r="E2903" i="5" s="1"/>
  <c r="G2903" i="5" s="1"/>
  <c r="L2902" i="5"/>
  <c r="M2902" i="5" s="1"/>
  <c r="O2902" i="5" s="1"/>
  <c r="D2902" i="5"/>
  <c r="E2902" i="5" s="1"/>
  <c r="G2902" i="5" s="1"/>
  <c r="P2899" i="5"/>
  <c r="H2899" i="5"/>
  <c r="G2878" i="5"/>
  <c r="H2890" i="5" s="1"/>
  <c r="O2872" i="5"/>
  <c r="O2871" i="5"/>
  <c r="G2871" i="5"/>
  <c r="O2870" i="5"/>
  <c r="G2870" i="5"/>
  <c r="L2849" i="5"/>
  <c r="M2849" i="5" s="1"/>
  <c r="O2849" i="5" s="1"/>
  <c r="D2849" i="5"/>
  <c r="E2849" i="5" s="1"/>
  <c r="G2849" i="5" s="1"/>
  <c r="L2848" i="5"/>
  <c r="M2848" i="5" s="1"/>
  <c r="O2848" i="5" s="1"/>
  <c r="D2848" i="5"/>
  <c r="E2848" i="5" s="1"/>
  <c r="G2848" i="5" s="1"/>
  <c r="L2847" i="5"/>
  <c r="M2847" i="5" s="1"/>
  <c r="O2847" i="5" s="1"/>
  <c r="D2847" i="5"/>
  <c r="E2847" i="5" s="1"/>
  <c r="G2847" i="5" s="1"/>
  <c r="P2844" i="5"/>
  <c r="H2844" i="5"/>
  <c r="G2823" i="5"/>
  <c r="H2835" i="5" s="1"/>
  <c r="O2817" i="5"/>
  <c r="O2816" i="5"/>
  <c r="G2816" i="5"/>
  <c r="O2815" i="5"/>
  <c r="G2815" i="5"/>
  <c r="L2794" i="5"/>
  <c r="M2794" i="5" s="1"/>
  <c r="O2794" i="5" s="1"/>
  <c r="D2794" i="5"/>
  <c r="E2794" i="5" s="1"/>
  <c r="G2794" i="5" s="1"/>
  <c r="L2793" i="5"/>
  <c r="M2793" i="5" s="1"/>
  <c r="O2793" i="5" s="1"/>
  <c r="D2793" i="5"/>
  <c r="E2793" i="5" s="1"/>
  <c r="G2793" i="5" s="1"/>
  <c r="L2792" i="5"/>
  <c r="M2792" i="5" s="1"/>
  <c r="O2792" i="5" s="1"/>
  <c r="D2792" i="5"/>
  <c r="E2792" i="5" s="1"/>
  <c r="G2792" i="5" s="1"/>
  <c r="P2789" i="5"/>
  <c r="H2789" i="5"/>
  <c r="G2768" i="5"/>
  <c r="H2780" i="5" s="1"/>
  <c r="O2762" i="5"/>
  <c r="O2761" i="5"/>
  <c r="G2761" i="5"/>
  <c r="O2760" i="5"/>
  <c r="G2760" i="5"/>
  <c r="D2739" i="5"/>
  <c r="E2739" i="5" s="1"/>
  <c r="G2739" i="5" s="1"/>
  <c r="D2738" i="5"/>
  <c r="E2738" i="5" s="1"/>
  <c r="G2738" i="5" s="1"/>
  <c r="D2737" i="5"/>
  <c r="E2737" i="5" s="1"/>
  <c r="G2737" i="5" s="1"/>
  <c r="H2734" i="5"/>
  <c r="G2713" i="5"/>
  <c r="H2725" i="5" s="1"/>
  <c r="G2706" i="5"/>
  <c r="G2705" i="5"/>
  <c r="L2684" i="5"/>
  <c r="M2684" i="5" s="1"/>
  <c r="O2684" i="5" s="1"/>
  <c r="D2684" i="5"/>
  <c r="E2684" i="5" s="1"/>
  <c r="G2684" i="5" s="1"/>
  <c r="L2683" i="5"/>
  <c r="M2683" i="5" s="1"/>
  <c r="O2683" i="5" s="1"/>
  <c r="D2683" i="5"/>
  <c r="E2683" i="5" s="1"/>
  <c r="G2683" i="5" s="1"/>
  <c r="L2682" i="5"/>
  <c r="M2682" i="5" s="1"/>
  <c r="O2682" i="5" s="1"/>
  <c r="D2682" i="5"/>
  <c r="E2682" i="5" s="1"/>
  <c r="G2682" i="5" s="1"/>
  <c r="P2679" i="5"/>
  <c r="H2679" i="5"/>
  <c r="O2660" i="5"/>
  <c r="G2660" i="5"/>
  <c r="O2659" i="5"/>
  <c r="G2659" i="5"/>
  <c r="Q2658" i="5"/>
  <c r="M2658" i="5"/>
  <c r="O2658" i="5" s="1"/>
  <c r="G2658" i="5"/>
  <c r="O2650" i="5"/>
  <c r="G2650" i="5"/>
  <c r="D2629" i="5"/>
  <c r="E2629" i="5" s="1"/>
  <c r="G2629" i="5" s="1"/>
  <c r="D2628" i="5"/>
  <c r="E2628" i="5" s="1"/>
  <c r="G2628" i="5" s="1"/>
  <c r="D2627" i="5"/>
  <c r="E2627" i="5" s="1"/>
  <c r="G2627" i="5" s="1"/>
  <c r="H2624" i="5"/>
  <c r="G2606" i="5"/>
  <c r="G2605" i="5"/>
  <c r="G2604" i="5"/>
  <c r="G2603" i="5"/>
  <c r="D2574" i="5"/>
  <c r="E2574" i="5" s="1"/>
  <c r="G2574" i="5" s="1"/>
  <c r="D2573" i="5"/>
  <c r="E2573" i="5" s="1"/>
  <c r="G2573" i="5" s="1"/>
  <c r="D2572" i="5"/>
  <c r="E2572" i="5" s="1"/>
  <c r="G2572" i="5" s="1"/>
  <c r="H2569" i="5"/>
  <c r="G2551" i="5"/>
  <c r="G2550" i="5"/>
  <c r="G2549" i="5"/>
  <c r="G2548" i="5"/>
  <c r="D2519" i="5"/>
  <c r="E2519" i="5" s="1"/>
  <c r="G2519" i="5" s="1"/>
  <c r="D2518" i="5"/>
  <c r="E2518" i="5" s="1"/>
  <c r="G2518" i="5" s="1"/>
  <c r="D2517" i="5"/>
  <c r="E2517" i="5" s="1"/>
  <c r="G2517" i="5" s="1"/>
  <c r="G2508" i="5"/>
  <c r="H2514" i="5" s="1"/>
  <c r="G2494" i="5"/>
  <c r="G2493" i="5"/>
  <c r="D2465" i="5"/>
  <c r="E2465" i="5" s="1"/>
  <c r="G2465" i="5" s="1"/>
  <c r="D2464" i="5"/>
  <c r="E2464" i="5" s="1"/>
  <c r="G2464" i="5" s="1"/>
  <c r="D2463" i="5"/>
  <c r="E2463" i="5" s="1"/>
  <c r="G2463" i="5" s="1"/>
  <c r="D2462" i="5"/>
  <c r="E2462" i="5" s="1"/>
  <c r="G2462" i="5" s="1"/>
  <c r="G2453" i="5"/>
  <c r="H2459" i="5" s="1"/>
  <c r="H2450" i="5"/>
  <c r="G2431" i="5"/>
  <c r="G2430" i="5"/>
  <c r="D2410" i="5"/>
  <c r="E2410" i="5" s="1"/>
  <c r="G2410" i="5" s="1"/>
  <c r="D2409" i="5"/>
  <c r="E2409" i="5" s="1"/>
  <c r="G2409" i="5" s="1"/>
  <c r="D2408" i="5"/>
  <c r="E2408" i="5" s="1"/>
  <c r="G2408" i="5" s="1"/>
  <c r="D2407" i="5"/>
  <c r="E2407" i="5" s="1"/>
  <c r="G2407" i="5" s="1"/>
  <c r="G2398" i="5"/>
  <c r="H2404" i="5" s="1"/>
  <c r="H2395" i="5"/>
  <c r="G2376" i="5"/>
  <c r="G2375" i="5"/>
  <c r="D2354" i="5"/>
  <c r="E2354" i="5" s="1"/>
  <c r="G2354" i="5" s="1"/>
  <c r="D2353" i="5"/>
  <c r="E2353" i="5" s="1"/>
  <c r="G2353" i="5" s="1"/>
  <c r="D2352" i="5"/>
  <c r="E2352" i="5" s="1"/>
  <c r="G2352" i="5" s="1"/>
  <c r="G2343" i="5"/>
  <c r="H2349" i="5" s="1"/>
  <c r="H2340" i="5"/>
  <c r="G2320" i="5"/>
  <c r="D2299" i="5"/>
  <c r="E2299" i="5" s="1"/>
  <c r="G2299" i="5" s="1"/>
  <c r="D2298" i="5"/>
  <c r="E2298" i="5" s="1"/>
  <c r="G2298" i="5" s="1"/>
  <c r="D2297" i="5"/>
  <c r="E2297" i="5" s="1"/>
  <c r="G2297" i="5" s="1"/>
  <c r="G2288" i="5"/>
  <c r="H2294" i="5" s="1"/>
  <c r="H2285" i="5"/>
  <c r="G2265" i="5"/>
  <c r="D2244" i="5"/>
  <c r="E2244" i="5" s="1"/>
  <c r="G2244" i="5" s="1"/>
  <c r="D2243" i="5"/>
  <c r="E2243" i="5" s="1"/>
  <c r="G2243" i="5" s="1"/>
  <c r="D2242" i="5"/>
  <c r="E2242" i="5" s="1"/>
  <c r="G2242" i="5" s="1"/>
  <c r="G2233" i="5"/>
  <c r="H2239" i="5" s="1"/>
  <c r="H2230" i="5"/>
  <c r="D2189" i="5"/>
  <c r="E2189" i="5" s="1"/>
  <c r="G2189" i="5" s="1"/>
  <c r="D2188" i="5"/>
  <c r="E2188" i="5" s="1"/>
  <c r="G2188" i="5" s="1"/>
  <c r="D2187" i="5"/>
  <c r="E2187" i="5" s="1"/>
  <c r="G2187" i="5" s="1"/>
  <c r="G2178" i="5"/>
  <c r="H2184" i="5" s="1"/>
  <c r="H2175" i="5"/>
  <c r="D2134" i="5"/>
  <c r="E2134" i="5" s="1"/>
  <c r="G2134" i="5" s="1"/>
  <c r="D2133" i="5"/>
  <c r="E2133" i="5" s="1"/>
  <c r="G2133" i="5" s="1"/>
  <c r="D2132" i="5"/>
  <c r="E2132" i="5" s="1"/>
  <c r="G2132" i="5" s="1"/>
  <c r="G2123" i="5"/>
  <c r="H2129" i="5" s="1"/>
  <c r="H2120" i="5"/>
  <c r="D2080" i="5"/>
  <c r="E2080" i="5" s="1"/>
  <c r="G2080" i="5" s="1"/>
  <c r="D2079" i="5"/>
  <c r="E2079" i="5" s="1"/>
  <c r="G2079" i="5" s="1"/>
  <c r="D2078" i="5"/>
  <c r="E2078" i="5" s="1"/>
  <c r="G2078" i="5" s="1"/>
  <c r="D2077" i="5"/>
  <c r="E2077" i="5" s="1"/>
  <c r="G2077" i="5" s="1"/>
  <c r="G2068" i="5"/>
  <c r="H2074" i="5" s="1"/>
  <c r="G2053" i="5"/>
  <c r="H2065" i="5" s="1"/>
  <c r="G2045" i="5"/>
  <c r="D2026" i="5"/>
  <c r="E2026" i="5" s="1"/>
  <c r="G2026" i="5" s="1"/>
  <c r="D2025" i="5"/>
  <c r="E2025" i="5" s="1"/>
  <c r="G2025" i="5" s="1"/>
  <c r="D2024" i="5"/>
  <c r="E2024" i="5" s="1"/>
  <c r="G2024" i="5" s="1"/>
  <c r="D2023" i="5"/>
  <c r="E2023" i="5" s="1"/>
  <c r="G2023" i="5" s="1"/>
  <c r="D2022" i="5"/>
  <c r="E2022" i="5" s="1"/>
  <c r="G2022" i="5" s="1"/>
  <c r="G2013" i="5"/>
  <c r="H2019" i="5" s="1"/>
  <c r="D1998" i="5"/>
  <c r="G1998" i="5" s="1"/>
  <c r="H2010" i="5" s="1"/>
  <c r="G1991" i="5"/>
  <c r="G1990" i="5"/>
  <c r="D1971" i="5"/>
  <c r="E1971" i="5" s="1"/>
  <c r="G1971" i="5" s="1"/>
  <c r="D1970" i="5"/>
  <c r="E1970" i="5" s="1"/>
  <c r="G1970" i="5" s="1"/>
  <c r="D1969" i="5"/>
  <c r="E1969" i="5" s="1"/>
  <c r="G1969" i="5" s="1"/>
  <c r="D1968" i="5"/>
  <c r="E1968" i="5" s="1"/>
  <c r="G1968" i="5" s="1"/>
  <c r="D1967" i="5"/>
  <c r="E1967" i="5" s="1"/>
  <c r="G1967" i="5" s="1"/>
  <c r="G1958" i="5"/>
  <c r="H1964" i="5" s="1"/>
  <c r="G1943" i="5"/>
  <c r="H1955" i="5" s="1"/>
  <c r="G1936" i="5"/>
  <c r="G1935" i="5"/>
  <c r="D1915" i="5"/>
  <c r="E1915" i="5" s="1"/>
  <c r="G1915" i="5" s="1"/>
  <c r="D1914" i="5"/>
  <c r="E1914" i="5" s="1"/>
  <c r="G1914" i="5" s="1"/>
  <c r="D1913" i="5"/>
  <c r="E1913" i="5" s="1"/>
  <c r="G1913" i="5" s="1"/>
  <c r="D1912" i="5"/>
  <c r="E1912" i="5" s="1"/>
  <c r="G1912" i="5" s="1"/>
  <c r="G1903" i="5"/>
  <c r="H1909" i="5" s="1"/>
  <c r="H1900" i="5"/>
  <c r="G1880" i="5"/>
  <c r="D1860" i="5"/>
  <c r="E1860" i="5" s="1"/>
  <c r="G1860" i="5" s="1"/>
  <c r="D1859" i="5"/>
  <c r="E1859" i="5" s="1"/>
  <c r="G1859" i="5" s="1"/>
  <c r="D1858" i="5"/>
  <c r="E1858" i="5" s="1"/>
  <c r="G1858" i="5" s="1"/>
  <c r="D1857" i="5"/>
  <c r="E1857" i="5" s="1"/>
  <c r="G1857" i="5" s="1"/>
  <c r="G1848" i="5"/>
  <c r="H1854" i="5" s="1"/>
  <c r="H1845" i="5"/>
  <c r="G1825" i="5"/>
  <c r="D1805" i="5"/>
  <c r="E1805" i="5" s="1"/>
  <c r="G1805" i="5" s="1"/>
  <c r="D1804" i="5"/>
  <c r="E1804" i="5" s="1"/>
  <c r="G1804" i="5" s="1"/>
  <c r="D1803" i="5"/>
  <c r="E1803" i="5" s="1"/>
  <c r="G1803" i="5" s="1"/>
  <c r="D1802" i="5"/>
  <c r="E1802" i="5" s="1"/>
  <c r="G1802" i="5" s="1"/>
  <c r="G1793" i="5"/>
  <c r="H1799" i="5" s="1"/>
  <c r="H1790" i="5"/>
  <c r="G1770" i="5"/>
  <c r="D1751" i="5"/>
  <c r="E1751" i="5" s="1"/>
  <c r="G1751" i="5" s="1"/>
  <c r="D1750" i="5"/>
  <c r="E1750" i="5" s="1"/>
  <c r="G1750" i="5" s="1"/>
  <c r="D1749" i="5"/>
  <c r="E1749" i="5" s="1"/>
  <c r="G1749" i="5" s="1"/>
  <c r="D1748" i="5"/>
  <c r="E1748" i="5" s="1"/>
  <c r="G1748" i="5" s="1"/>
  <c r="D1747" i="5"/>
  <c r="E1747" i="5" s="1"/>
  <c r="G1747" i="5" s="1"/>
  <c r="G1738" i="5"/>
  <c r="H1744" i="5" s="1"/>
  <c r="K1726" i="5"/>
  <c r="K1725" i="5"/>
  <c r="E1725" i="5"/>
  <c r="G1725" i="5" s="1"/>
  <c r="I1724" i="5"/>
  <c r="K1724" i="5" s="1"/>
  <c r="E1724" i="5"/>
  <c r="G1724" i="5" s="1"/>
  <c r="I1723" i="5"/>
  <c r="K1723" i="5" s="1"/>
  <c r="E1723" i="5"/>
  <c r="G1723" i="5" s="1"/>
  <c r="G1716" i="5"/>
  <c r="G1715" i="5"/>
  <c r="D1694" i="5"/>
  <c r="E1694" i="5" s="1"/>
  <c r="G1694" i="5" s="1"/>
  <c r="D1693" i="5"/>
  <c r="E1693" i="5" s="1"/>
  <c r="G1693" i="5" s="1"/>
  <c r="D1692" i="5"/>
  <c r="E1692" i="5" s="1"/>
  <c r="G1692" i="5" s="1"/>
  <c r="G1683" i="5"/>
  <c r="H1689" i="5" s="1"/>
  <c r="G1668" i="5"/>
  <c r="H1680" i="5" s="1"/>
  <c r="G1661" i="5"/>
  <c r="G1660" i="5"/>
  <c r="L1639" i="5"/>
  <c r="M1639" i="5" s="1"/>
  <c r="O1639" i="5" s="1"/>
  <c r="D1639" i="5"/>
  <c r="E1639" i="5" s="1"/>
  <c r="G1639" i="5" s="1"/>
  <c r="L1638" i="5"/>
  <c r="M1638" i="5" s="1"/>
  <c r="O1638" i="5" s="1"/>
  <c r="D1638" i="5"/>
  <c r="E1638" i="5" s="1"/>
  <c r="G1638" i="5" s="1"/>
  <c r="L1637" i="5"/>
  <c r="M1637" i="5" s="1"/>
  <c r="O1637" i="5" s="1"/>
  <c r="D1637" i="5"/>
  <c r="E1637" i="5" s="1"/>
  <c r="G1637" i="5" s="1"/>
  <c r="O1628" i="5"/>
  <c r="P1634" i="5" s="1"/>
  <c r="G1628" i="5"/>
  <c r="H1634" i="5" s="1"/>
  <c r="O1613" i="5"/>
  <c r="P1625" i="5" s="1"/>
  <c r="G1613" i="5"/>
  <c r="H1625" i="5" s="1"/>
  <c r="O1605" i="5"/>
  <c r="G1605" i="5"/>
  <c r="D1584" i="5"/>
  <c r="E1584" i="5" s="1"/>
  <c r="G1584" i="5" s="1"/>
  <c r="D1583" i="5"/>
  <c r="E1583" i="5" s="1"/>
  <c r="G1583" i="5" s="1"/>
  <c r="D1582" i="5"/>
  <c r="E1582" i="5" s="1"/>
  <c r="G1582" i="5" s="1"/>
  <c r="G1573" i="5"/>
  <c r="H1579" i="5" s="1"/>
  <c r="G1558" i="5"/>
  <c r="H1570" i="5" s="1"/>
  <c r="G1550" i="5"/>
  <c r="D1529" i="5"/>
  <c r="E1529" i="5" s="1"/>
  <c r="G1529" i="5" s="1"/>
  <c r="D1528" i="5"/>
  <c r="E1528" i="5" s="1"/>
  <c r="G1528" i="5" s="1"/>
  <c r="D1527" i="5"/>
  <c r="E1527" i="5" s="1"/>
  <c r="G1527" i="5" s="1"/>
  <c r="G1518" i="5"/>
  <c r="H1524" i="5" s="1"/>
  <c r="G1503" i="5"/>
  <c r="H1515" i="5" s="1"/>
  <c r="G1495" i="5"/>
  <c r="D1474" i="5"/>
  <c r="E1474" i="5" s="1"/>
  <c r="G1474" i="5" s="1"/>
  <c r="D1473" i="5"/>
  <c r="E1473" i="5" s="1"/>
  <c r="G1473" i="5" s="1"/>
  <c r="D1472" i="5"/>
  <c r="E1472" i="5" s="1"/>
  <c r="G1472" i="5" s="1"/>
  <c r="G1463" i="5"/>
  <c r="H1469" i="5" s="1"/>
  <c r="G1448" i="5"/>
  <c r="H1460" i="5" s="1"/>
  <c r="G1440" i="5"/>
  <c r="D1419" i="5"/>
  <c r="E1419" i="5" s="1"/>
  <c r="G1419" i="5" s="1"/>
  <c r="D1418" i="5"/>
  <c r="E1418" i="5" s="1"/>
  <c r="G1418" i="5" s="1"/>
  <c r="D1417" i="5"/>
  <c r="E1417" i="5" s="1"/>
  <c r="G1417" i="5" s="1"/>
  <c r="G1408" i="5"/>
  <c r="H1414" i="5" s="1"/>
  <c r="G1393" i="5"/>
  <c r="H1405" i="5" s="1"/>
  <c r="D1364" i="5"/>
  <c r="E1364" i="5" s="1"/>
  <c r="G1364" i="5" s="1"/>
  <c r="D1363" i="5"/>
  <c r="E1363" i="5" s="1"/>
  <c r="G1363" i="5" s="1"/>
  <c r="D1362" i="5"/>
  <c r="E1362" i="5" s="1"/>
  <c r="G1362" i="5" s="1"/>
  <c r="G1353" i="5"/>
  <c r="H1359" i="5" s="1"/>
  <c r="G1338" i="5"/>
  <c r="H1350" i="5" s="1"/>
  <c r="D1309" i="5"/>
  <c r="E1309" i="5" s="1"/>
  <c r="G1309" i="5" s="1"/>
  <c r="D1308" i="5"/>
  <c r="E1308" i="5" s="1"/>
  <c r="G1308" i="5" s="1"/>
  <c r="D1307" i="5"/>
  <c r="E1307" i="5" s="1"/>
  <c r="G1307" i="5" s="1"/>
  <c r="G1298" i="5"/>
  <c r="H1304" i="5" s="1"/>
  <c r="G1283" i="5"/>
  <c r="H1295" i="5" s="1"/>
  <c r="D1254" i="5"/>
  <c r="E1254" i="5" s="1"/>
  <c r="G1254" i="5" s="1"/>
  <c r="D1253" i="5"/>
  <c r="E1253" i="5" s="1"/>
  <c r="G1253" i="5" s="1"/>
  <c r="D1252" i="5"/>
  <c r="E1252" i="5" s="1"/>
  <c r="G1252" i="5" s="1"/>
  <c r="G1243" i="5"/>
  <c r="H1249" i="5" s="1"/>
  <c r="G1228" i="5"/>
  <c r="H1240" i="5" s="1"/>
  <c r="D1199" i="5"/>
  <c r="E1199" i="5" s="1"/>
  <c r="G1199" i="5" s="1"/>
  <c r="D1198" i="5"/>
  <c r="E1198" i="5" s="1"/>
  <c r="G1198" i="5" s="1"/>
  <c r="D1197" i="5"/>
  <c r="E1197" i="5" s="1"/>
  <c r="G1197" i="5" s="1"/>
  <c r="G1188" i="5"/>
  <c r="H1194" i="5" s="1"/>
  <c r="G1173" i="5"/>
  <c r="H1185" i="5" s="1"/>
  <c r="D1144" i="5"/>
  <c r="E1144" i="5" s="1"/>
  <c r="G1144" i="5" s="1"/>
  <c r="D1143" i="5"/>
  <c r="E1143" i="5" s="1"/>
  <c r="G1143" i="5" s="1"/>
  <c r="D1142" i="5"/>
  <c r="E1142" i="5" s="1"/>
  <c r="G1142" i="5" s="1"/>
  <c r="G1133" i="5"/>
  <c r="H1139" i="5" s="1"/>
  <c r="G1118" i="5"/>
  <c r="H1130" i="5" s="1"/>
  <c r="H1093" i="5"/>
  <c r="G1078" i="5"/>
  <c r="H1084" i="5" s="1"/>
  <c r="G1064" i="5"/>
  <c r="E1063" i="5"/>
  <c r="G1063" i="5" s="1"/>
  <c r="H1060" i="5"/>
  <c r="D1034" i="5"/>
  <c r="E1034" i="5" s="1"/>
  <c r="G1034" i="5" s="1"/>
  <c r="D1033" i="5"/>
  <c r="E1033" i="5" s="1"/>
  <c r="G1033" i="5" s="1"/>
  <c r="D1032" i="5"/>
  <c r="E1032" i="5" s="1"/>
  <c r="G1032" i="5" s="1"/>
  <c r="G1023" i="5"/>
  <c r="H1029" i="5" s="1"/>
  <c r="G1011" i="5"/>
  <c r="G1010" i="5"/>
  <c r="G1009" i="5"/>
  <c r="G1008" i="5"/>
  <c r="G1000" i="5"/>
  <c r="D979" i="5"/>
  <c r="E979" i="5" s="1"/>
  <c r="G979" i="5" s="1"/>
  <c r="D978" i="5"/>
  <c r="E978" i="5" s="1"/>
  <c r="G978" i="5" s="1"/>
  <c r="D977" i="5"/>
  <c r="E977" i="5" s="1"/>
  <c r="G977" i="5" s="1"/>
  <c r="G968" i="5"/>
  <c r="H974" i="5" s="1"/>
  <c r="G956" i="5"/>
  <c r="G955" i="5"/>
  <c r="D954" i="5"/>
  <c r="G954" i="5" s="1"/>
  <c r="G953" i="5"/>
  <c r="D924" i="5"/>
  <c r="E924" i="5" s="1"/>
  <c r="G924" i="5" s="1"/>
  <c r="D923" i="5"/>
  <c r="E923" i="5" s="1"/>
  <c r="G923" i="5" s="1"/>
  <c r="D922" i="5"/>
  <c r="E922" i="5" s="1"/>
  <c r="G922" i="5" s="1"/>
  <c r="G913" i="5"/>
  <c r="H919" i="5" s="1"/>
  <c r="G901" i="5"/>
  <c r="G900" i="5"/>
  <c r="G899" i="5"/>
  <c r="E898" i="5"/>
  <c r="G898" i="5" s="1"/>
  <c r="D869" i="5"/>
  <c r="E869" i="5" s="1"/>
  <c r="G869" i="5" s="1"/>
  <c r="D868" i="5"/>
  <c r="E868" i="5" s="1"/>
  <c r="G868" i="5" s="1"/>
  <c r="D867" i="5"/>
  <c r="E867" i="5" s="1"/>
  <c r="G867" i="5" s="1"/>
  <c r="G858" i="5"/>
  <c r="H864" i="5" s="1"/>
  <c r="G846" i="5"/>
  <c r="G845" i="5"/>
  <c r="E843" i="5"/>
  <c r="G843" i="5" s="1"/>
  <c r="G812" i="5"/>
  <c r="G803" i="5"/>
  <c r="H809" i="5" s="1"/>
  <c r="G788" i="5"/>
  <c r="H800" i="5" s="1"/>
  <c r="G779" i="5"/>
  <c r="H785" i="5" s="1"/>
  <c r="G757" i="5"/>
  <c r="H763" i="5" s="1"/>
  <c r="G748" i="5"/>
  <c r="H754" i="5" s="1"/>
  <c r="G733" i="5"/>
  <c r="H745" i="5" s="1"/>
  <c r="G724" i="5"/>
  <c r="H730" i="5" s="1"/>
  <c r="D704" i="5"/>
  <c r="E704" i="5" s="1"/>
  <c r="G704" i="5" s="1"/>
  <c r="D703" i="5"/>
  <c r="E703" i="5" s="1"/>
  <c r="G703" i="5" s="1"/>
  <c r="D702" i="5"/>
  <c r="E702" i="5" s="1"/>
  <c r="H699" i="5"/>
  <c r="I679" i="5"/>
  <c r="G679" i="5"/>
  <c r="E678" i="5"/>
  <c r="G678" i="5" s="1"/>
  <c r="E669" i="5"/>
  <c r="G669" i="5" s="1"/>
  <c r="H675" i="5" s="1"/>
  <c r="D649" i="5"/>
  <c r="E649" i="5" s="1"/>
  <c r="G649" i="5" s="1"/>
  <c r="D648" i="5"/>
  <c r="E648" i="5" s="1"/>
  <c r="G648" i="5" s="1"/>
  <c r="D647" i="5"/>
  <c r="E647" i="5" s="1"/>
  <c r="G647" i="5" s="1"/>
  <c r="H644" i="5"/>
  <c r="E625" i="5"/>
  <c r="G625" i="5" s="1"/>
  <c r="E624" i="5"/>
  <c r="E844" i="5" s="1"/>
  <c r="G844" i="5" s="1"/>
  <c r="D595" i="5"/>
  <c r="E595" i="5" s="1"/>
  <c r="G595" i="5" s="1"/>
  <c r="D594" i="5"/>
  <c r="E594" i="5" s="1"/>
  <c r="G594" i="5" s="1"/>
  <c r="D593" i="5"/>
  <c r="E593" i="5" s="1"/>
  <c r="G593" i="5" s="1"/>
  <c r="H590" i="5"/>
  <c r="E569" i="5"/>
  <c r="G569" i="5" s="1"/>
  <c r="H581" i="5" s="1"/>
  <c r="D540" i="5"/>
  <c r="E540" i="5" s="1"/>
  <c r="G540" i="5" s="1"/>
  <c r="D539" i="5"/>
  <c r="E539" i="5" s="1"/>
  <c r="G539" i="5" s="1"/>
  <c r="D538" i="5"/>
  <c r="E538" i="5" s="1"/>
  <c r="G538" i="5" s="1"/>
  <c r="H535" i="5"/>
  <c r="G514" i="5"/>
  <c r="H526" i="5" s="1"/>
  <c r="D485" i="5"/>
  <c r="E485" i="5" s="1"/>
  <c r="G485" i="5" s="1"/>
  <c r="D484" i="5"/>
  <c r="E484" i="5" s="1"/>
  <c r="G484" i="5" s="1"/>
  <c r="D483" i="5"/>
  <c r="E483" i="5" s="1"/>
  <c r="G483" i="5" s="1"/>
  <c r="H480" i="5"/>
  <c r="G461" i="5"/>
  <c r="G460" i="5"/>
  <c r="G459" i="5"/>
  <c r="F430" i="5"/>
  <c r="D430" i="5"/>
  <c r="E430" i="5" s="1"/>
  <c r="D429" i="5"/>
  <c r="E429" i="5" s="1"/>
  <c r="G429" i="5" s="1"/>
  <c r="D428" i="5"/>
  <c r="E428" i="5" s="1"/>
  <c r="G428" i="5" s="1"/>
  <c r="H425" i="5"/>
  <c r="G404" i="5"/>
  <c r="D375" i="5"/>
  <c r="E375" i="5" s="1"/>
  <c r="G375" i="5" s="1"/>
  <c r="D374" i="5"/>
  <c r="E374" i="5" s="1"/>
  <c r="G374" i="5" s="1"/>
  <c r="D373" i="5"/>
  <c r="E373" i="5" s="1"/>
  <c r="G373" i="5" s="1"/>
  <c r="H370" i="5"/>
  <c r="G349" i="5"/>
  <c r="D320" i="5"/>
  <c r="E320" i="5" s="1"/>
  <c r="G320" i="5" s="1"/>
  <c r="D319" i="5"/>
  <c r="E319" i="5" s="1"/>
  <c r="G319" i="5" s="1"/>
  <c r="D318" i="5"/>
  <c r="E318" i="5" s="1"/>
  <c r="G318" i="5" s="1"/>
  <c r="H315" i="5"/>
  <c r="G304" i="5"/>
  <c r="G303" i="5"/>
  <c r="G302" i="5"/>
  <c r="G301" i="5"/>
  <c r="G300" i="5"/>
  <c r="G299" i="5"/>
  <c r="G298" i="5"/>
  <c r="G297" i="5"/>
  <c r="E296" i="5"/>
  <c r="G296" i="5" s="1"/>
  <c r="D266" i="5"/>
  <c r="E266" i="5" s="1"/>
  <c r="G266" i="5" s="1"/>
  <c r="D265" i="5"/>
  <c r="E265" i="5" s="1"/>
  <c r="G265" i="5" s="1"/>
  <c r="D264" i="5"/>
  <c r="E264" i="5" s="1"/>
  <c r="G264" i="5" s="1"/>
  <c r="H261" i="5"/>
  <c r="G242" i="5"/>
  <c r="G241" i="5"/>
  <c r="G233" i="5"/>
  <c r="D212" i="5"/>
  <c r="E212" i="5" s="1"/>
  <c r="G212" i="5" s="1"/>
  <c r="D211" i="5"/>
  <c r="E211" i="5" s="1"/>
  <c r="G211" i="5" s="1"/>
  <c r="D210" i="5"/>
  <c r="E210" i="5" s="1"/>
  <c r="G210" i="5" s="1"/>
  <c r="H207" i="5"/>
  <c r="G188" i="5"/>
  <c r="G187" i="5"/>
  <c r="G179" i="5"/>
  <c r="D158" i="5"/>
  <c r="E158" i="5" s="1"/>
  <c r="G158" i="5" s="1"/>
  <c r="D157" i="5"/>
  <c r="E157" i="5" s="1"/>
  <c r="G157" i="5" s="1"/>
  <c r="D156" i="5"/>
  <c r="E156" i="5" s="1"/>
  <c r="G156" i="5" s="1"/>
  <c r="H153" i="5"/>
  <c r="G134" i="5"/>
  <c r="G133" i="5"/>
  <c r="G125" i="5"/>
  <c r="D105" i="5"/>
  <c r="E105" i="5" s="1"/>
  <c r="G105" i="5" s="1"/>
  <c r="D104" i="5"/>
  <c r="E104" i="5" s="1"/>
  <c r="G104" i="5" s="1"/>
  <c r="D103" i="5"/>
  <c r="E103" i="5" s="1"/>
  <c r="G103" i="5" s="1"/>
  <c r="D102" i="5"/>
  <c r="E102" i="5" s="1"/>
  <c r="G102" i="5" s="1"/>
  <c r="H99" i="5"/>
  <c r="G79" i="5"/>
  <c r="H91" i="5" s="1"/>
  <c r="G72" i="5"/>
  <c r="G71" i="5"/>
  <c r="D51" i="5"/>
  <c r="E51" i="5" s="1"/>
  <c r="G51" i="5" s="1"/>
  <c r="D50" i="5"/>
  <c r="E50" i="5" s="1"/>
  <c r="G50" i="5" s="1"/>
  <c r="D49" i="5"/>
  <c r="E49" i="5" s="1"/>
  <c r="G49" i="5" s="1"/>
  <c r="D48" i="5"/>
  <c r="E48" i="5" s="1"/>
  <c r="G48" i="5" s="1"/>
  <c r="H45" i="5"/>
  <c r="G25" i="5"/>
  <c r="H37" i="5" s="1"/>
  <c r="G18" i="5"/>
  <c r="G17" i="5"/>
  <c r="O1433" i="8"/>
  <c r="G1433" i="8"/>
  <c r="L1454" i="8"/>
  <c r="M1454" i="8" s="1"/>
  <c r="O1454" i="8" s="1"/>
  <c r="L1453" i="8"/>
  <c r="M1453" i="8" s="1"/>
  <c r="O1453" i="8" s="1"/>
  <c r="L1452" i="8"/>
  <c r="M1452" i="8" s="1"/>
  <c r="O1452" i="8" s="1"/>
  <c r="P1449" i="8"/>
  <c r="O1432" i="8"/>
  <c r="O1431" i="8"/>
  <c r="O1430" i="8"/>
  <c r="O1429" i="8"/>
  <c r="G1054" i="8"/>
  <c r="D1130" i="8"/>
  <c r="E1130" i="8" s="1"/>
  <c r="G1130" i="8" s="1"/>
  <c r="D1129" i="8"/>
  <c r="E1129" i="8" s="1"/>
  <c r="G1129" i="8" s="1"/>
  <c r="D1128" i="8"/>
  <c r="E1128" i="8" s="1"/>
  <c r="G1128" i="8" s="1"/>
  <c r="H1125" i="8"/>
  <c r="G1108" i="8"/>
  <c r="G1107" i="8"/>
  <c r="G1106" i="8"/>
  <c r="E1105" i="8"/>
  <c r="G1105" i="8" s="1"/>
  <c r="L860" i="8"/>
  <c r="M860" i="8" s="1"/>
  <c r="O860" i="8" s="1"/>
  <c r="L859" i="8"/>
  <c r="M859" i="8" s="1"/>
  <c r="O859" i="8" s="1"/>
  <c r="L858" i="8"/>
  <c r="M858" i="8" s="1"/>
  <c r="O858" i="8" s="1"/>
  <c r="P855" i="8"/>
  <c r="O836" i="8"/>
  <c r="O835" i="8"/>
  <c r="L619" i="8"/>
  <c r="O619" i="8" s="1"/>
  <c r="L644" i="8"/>
  <c r="M644" i="8" s="1"/>
  <c r="O644" i="8" s="1"/>
  <c r="L643" i="8"/>
  <c r="M643" i="8" s="1"/>
  <c r="O643" i="8" s="1"/>
  <c r="L642" i="8"/>
  <c r="M642" i="8" s="1"/>
  <c r="O642" i="8" s="1"/>
  <c r="P639" i="8"/>
  <c r="O620" i="8"/>
  <c r="AB590" i="8"/>
  <c r="AC590" i="8" s="1"/>
  <c r="AE590" i="8" s="1"/>
  <c r="AB589" i="8"/>
  <c r="AC589" i="8" s="1"/>
  <c r="AE589" i="8" s="1"/>
  <c r="AB588" i="8"/>
  <c r="AC588" i="8" s="1"/>
  <c r="AE588" i="8" s="1"/>
  <c r="AF585" i="8"/>
  <c r="AE566" i="8"/>
  <c r="AE565" i="8"/>
  <c r="T590" i="8"/>
  <c r="U590" i="8" s="1"/>
  <c r="W590" i="8" s="1"/>
  <c r="T589" i="8"/>
  <c r="U589" i="8" s="1"/>
  <c r="W589" i="8" s="1"/>
  <c r="T588" i="8"/>
  <c r="U588" i="8" s="1"/>
  <c r="W588" i="8" s="1"/>
  <c r="X585" i="8"/>
  <c r="W566" i="8"/>
  <c r="W565" i="8"/>
  <c r="L590" i="8"/>
  <c r="M590" i="8" s="1"/>
  <c r="O590" i="8" s="1"/>
  <c r="L589" i="8"/>
  <c r="M589" i="8" s="1"/>
  <c r="O589" i="8" s="1"/>
  <c r="L588" i="8"/>
  <c r="M588" i="8" s="1"/>
  <c r="O588" i="8" s="1"/>
  <c r="P585" i="8"/>
  <c r="O566" i="8"/>
  <c r="O565" i="8"/>
  <c r="D536" i="8"/>
  <c r="E536" i="8" s="1"/>
  <c r="G536" i="8" s="1"/>
  <c r="D535" i="8"/>
  <c r="E535" i="8" s="1"/>
  <c r="G535" i="8" s="1"/>
  <c r="D534" i="8"/>
  <c r="E534" i="8" s="1"/>
  <c r="G534" i="8" s="1"/>
  <c r="H531" i="8"/>
  <c r="G512" i="8"/>
  <c r="L374" i="8"/>
  <c r="M374" i="8" s="1"/>
  <c r="O374" i="8" s="1"/>
  <c r="L373" i="8"/>
  <c r="M373" i="8" s="1"/>
  <c r="O373" i="8" s="1"/>
  <c r="L372" i="8"/>
  <c r="M372" i="8" s="1"/>
  <c r="O372" i="8" s="1"/>
  <c r="P369" i="8"/>
  <c r="O350" i="8"/>
  <c r="O349" i="8"/>
  <c r="L320" i="8"/>
  <c r="M320" i="8" s="1"/>
  <c r="O320" i="8" s="1"/>
  <c r="L319" i="8"/>
  <c r="M319" i="8" s="1"/>
  <c r="O319" i="8" s="1"/>
  <c r="L318" i="8"/>
  <c r="M318" i="8" s="1"/>
  <c r="O318" i="8" s="1"/>
  <c r="P315" i="8"/>
  <c r="O296" i="8"/>
  <c r="O295" i="8"/>
  <c r="D374" i="8"/>
  <c r="E374" i="8" s="1"/>
  <c r="G374" i="8" s="1"/>
  <c r="D373" i="8"/>
  <c r="E373" i="8" s="1"/>
  <c r="G373" i="8" s="1"/>
  <c r="D372" i="8"/>
  <c r="E372" i="8" s="1"/>
  <c r="G372" i="8" s="1"/>
  <c r="H369" i="8"/>
  <c r="G350" i="8"/>
  <c r="G349" i="8"/>
  <c r="T212" i="8"/>
  <c r="U212" i="8" s="1"/>
  <c r="W212" i="8" s="1"/>
  <c r="T211" i="8"/>
  <c r="U211" i="8" s="1"/>
  <c r="W211" i="8" s="1"/>
  <c r="T210" i="8"/>
  <c r="U210" i="8" s="1"/>
  <c r="W210" i="8" s="1"/>
  <c r="X207" i="8"/>
  <c r="W188" i="8"/>
  <c r="W187" i="8"/>
  <c r="L212" i="8"/>
  <c r="M212" i="8" s="1"/>
  <c r="O212" i="8" s="1"/>
  <c r="L211" i="8"/>
  <c r="M211" i="8" s="1"/>
  <c r="O211" i="8" s="1"/>
  <c r="L210" i="8"/>
  <c r="M210" i="8" s="1"/>
  <c r="O210" i="8" s="1"/>
  <c r="P207" i="8"/>
  <c r="O188" i="8"/>
  <c r="O187" i="8"/>
  <c r="T964" i="7"/>
  <c r="U964" i="7" s="1"/>
  <c r="W964" i="7" s="1"/>
  <c r="L964" i="7"/>
  <c r="M964" i="7" s="1"/>
  <c r="O964" i="7" s="1"/>
  <c r="T963" i="7"/>
  <c r="U963" i="7" s="1"/>
  <c r="W963" i="7" s="1"/>
  <c r="L963" i="7"/>
  <c r="M963" i="7" s="1"/>
  <c r="O963" i="7" s="1"/>
  <c r="T962" i="7"/>
  <c r="U962" i="7" s="1"/>
  <c r="W962" i="7" s="1"/>
  <c r="L962" i="7"/>
  <c r="M962" i="7" s="1"/>
  <c r="O962" i="7" s="1"/>
  <c r="X959" i="7"/>
  <c r="P959" i="7"/>
  <c r="W939" i="7"/>
  <c r="X951" i="7" s="1"/>
  <c r="M939" i="7"/>
  <c r="O939" i="7" s="1"/>
  <c r="P951" i="7" s="1"/>
  <c r="G3704" i="5"/>
  <c r="G3485" i="5"/>
  <c r="G3540" i="5"/>
  <c r="T586" i="7"/>
  <c r="U586" i="7" s="1"/>
  <c r="W586" i="7" s="1"/>
  <c r="L586" i="7"/>
  <c r="M586" i="7" s="1"/>
  <c r="O586" i="7" s="1"/>
  <c r="D586" i="7"/>
  <c r="E586" i="7" s="1"/>
  <c r="G586" i="7" s="1"/>
  <c r="T585" i="7"/>
  <c r="U585" i="7" s="1"/>
  <c r="W585" i="7" s="1"/>
  <c r="L585" i="7"/>
  <c r="M585" i="7" s="1"/>
  <c r="O585" i="7" s="1"/>
  <c r="D585" i="7"/>
  <c r="E585" i="7" s="1"/>
  <c r="G585" i="7" s="1"/>
  <c r="T584" i="7"/>
  <c r="U584" i="7" s="1"/>
  <c r="W584" i="7" s="1"/>
  <c r="L584" i="7"/>
  <c r="M584" i="7" s="1"/>
  <c r="O584" i="7" s="1"/>
  <c r="D584" i="7"/>
  <c r="E584" i="7" s="1"/>
  <c r="G584" i="7" s="1"/>
  <c r="X581" i="7"/>
  <c r="P581" i="7"/>
  <c r="H581" i="7"/>
  <c r="W567" i="7"/>
  <c r="W565" i="7"/>
  <c r="O565" i="7"/>
  <c r="G565" i="7"/>
  <c r="W564" i="7"/>
  <c r="O564" i="7"/>
  <c r="G564" i="7"/>
  <c r="W563" i="7"/>
  <c r="O563" i="7"/>
  <c r="G563" i="7"/>
  <c r="W562" i="7"/>
  <c r="O562" i="7"/>
  <c r="G562" i="7"/>
  <c r="W561" i="7"/>
  <c r="O561" i="7"/>
  <c r="G561" i="7"/>
  <c r="W554" i="7"/>
  <c r="O554" i="7"/>
  <c r="G554" i="7"/>
  <c r="W553" i="7"/>
  <c r="O553" i="7"/>
  <c r="G553" i="7"/>
  <c r="O1794" i="6"/>
  <c r="G1794" i="6"/>
  <c r="F286" i="1"/>
  <c r="G286" i="1" s="1"/>
  <c r="F287" i="1"/>
  <c r="G287" i="1" s="1"/>
  <c r="F288" i="1"/>
  <c r="G288" i="1" s="1"/>
  <c r="L614" i="6"/>
  <c r="O614" i="6" s="1"/>
  <c r="L640" i="6"/>
  <c r="M640" i="6" s="1"/>
  <c r="O640" i="6" s="1"/>
  <c r="L639" i="6"/>
  <c r="M639" i="6" s="1"/>
  <c r="O639" i="6" s="1"/>
  <c r="L638" i="6"/>
  <c r="M638" i="6" s="1"/>
  <c r="O638" i="6" s="1"/>
  <c r="L637" i="6"/>
  <c r="M637" i="6" s="1"/>
  <c r="O637" i="6" s="1"/>
  <c r="P634" i="6"/>
  <c r="O617" i="6"/>
  <c r="O616" i="6"/>
  <c r="O607" i="6"/>
  <c r="O606" i="6"/>
  <c r="O349" i="7"/>
  <c r="G1324" i="8"/>
  <c r="G1323" i="8"/>
  <c r="G1322" i="8"/>
  <c r="D1293" i="8"/>
  <c r="E1293" i="8" s="1"/>
  <c r="G1293" i="8" s="1"/>
  <c r="G1219" i="8"/>
  <c r="G1217" i="8"/>
  <c r="G1218" i="8"/>
  <c r="D1215" i="8"/>
  <c r="G1215" i="8" s="1"/>
  <c r="D1163" i="8"/>
  <c r="D1164" i="8" s="1"/>
  <c r="G1162" i="8"/>
  <c r="G1161" i="8"/>
  <c r="O783" i="8"/>
  <c r="G783" i="8"/>
  <c r="L806" i="8"/>
  <c r="M806" i="8" s="1"/>
  <c r="O806" i="8" s="1"/>
  <c r="L805" i="8"/>
  <c r="M805" i="8" s="1"/>
  <c r="O805" i="8" s="1"/>
  <c r="L804" i="8"/>
  <c r="M804" i="8" s="1"/>
  <c r="O804" i="8" s="1"/>
  <c r="P801" i="8"/>
  <c r="O782" i="8"/>
  <c r="O781" i="8"/>
  <c r="G731" i="8"/>
  <c r="G730" i="8"/>
  <c r="G729" i="8"/>
  <c r="L698" i="8"/>
  <c r="M698" i="8" s="1"/>
  <c r="O698" i="8" s="1"/>
  <c r="L697" i="8"/>
  <c r="M697" i="8" s="1"/>
  <c r="O697" i="8" s="1"/>
  <c r="L696" i="8"/>
  <c r="M696" i="8" s="1"/>
  <c r="O696" i="8" s="1"/>
  <c r="P693" i="8"/>
  <c r="O680" i="8"/>
  <c r="O679" i="8"/>
  <c r="O678" i="8"/>
  <c r="O677" i="8"/>
  <c r="O676" i="8"/>
  <c r="O675" i="8"/>
  <c r="O674" i="8"/>
  <c r="O673" i="8"/>
  <c r="G680" i="8"/>
  <c r="G679" i="8"/>
  <c r="G678" i="8"/>
  <c r="G677" i="8"/>
  <c r="G676" i="8"/>
  <c r="G675" i="8"/>
  <c r="J242" i="8"/>
  <c r="I242" i="8" s="1"/>
  <c r="J241" i="8"/>
  <c r="I241" i="8" s="1"/>
  <c r="G3045" i="6"/>
  <c r="G3044" i="6"/>
  <c r="O2874" i="6"/>
  <c r="G2874" i="6"/>
  <c r="G2820" i="6"/>
  <c r="G2712" i="6"/>
  <c r="G2658" i="6"/>
  <c r="O2075" i="6"/>
  <c r="O2074" i="6"/>
  <c r="O2073" i="6"/>
  <c r="O2072" i="6"/>
  <c r="O2129" i="6"/>
  <c r="O2128" i="6"/>
  <c r="O2127" i="6"/>
  <c r="O2126" i="6"/>
  <c r="O2183" i="6"/>
  <c r="O2182" i="6"/>
  <c r="O2181" i="6"/>
  <c r="O2180" i="6"/>
  <c r="G2496" i="6"/>
  <c r="O2118" i="6"/>
  <c r="O2172" i="6"/>
  <c r="G2118" i="6"/>
  <c r="G2172" i="6"/>
  <c r="G2442" i="6"/>
  <c r="G1902" i="6"/>
  <c r="W1848" i="6"/>
  <c r="AU1848" i="6"/>
  <c r="AM1848" i="6"/>
  <c r="AE1848" i="6"/>
  <c r="O1848" i="6"/>
  <c r="AU1794" i="6"/>
  <c r="AM1794" i="6"/>
  <c r="W1794" i="6"/>
  <c r="AE1794" i="6"/>
  <c r="AU1740" i="6"/>
  <c r="AM1740" i="6"/>
  <c r="AE1740" i="6"/>
  <c r="W1632" i="6"/>
  <c r="O1632" i="6"/>
  <c r="G1632" i="6"/>
  <c r="F466" i="1"/>
  <c r="G466" i="1" s="1"/>
  <c r="F360" i="1"/>
  <c r="G360" i="1" s="1"/>
  <c r="F327" i="1"/>
  <c r="G327" i="1" s="1"/>
  <c r="F323" i="1"/>
  <c r="G323" i="1" s="1"/>
  <c r="F319" i="1"/>
  <c r="G319" i="1" s="1"/>
  <c r="F315" i="1"/>
  <c r="G315" i="1" s="1"/>
  <c r="F311" i="1"/>
  <c r="G311" i="1" s="1"/>
  <c r="L1532" i="6"/>
  <c r="O1532" i="6" s="1"/>
  <c r="D1532" i="6"/>
  <c r="G1532" i="6" s="1"/>
  <c r="T1478" i="6"/>
  <c r="W1478" i="6" s="1"/>
  <c r="L1478" i="6"/>
  <c r="O1478" i="6" s="1"/>
  <c r="D1478" i="6"/>
  <c r="G1478" i="6" s="1"/>
  <c r="T1424" i="6"/>
  <c r="W1424" i="6" s="1"/>
  <c r="L1424" i="6"/>
  <c r="O1424" i="6" s="1"/>
  <c r="D1424" i="6"/>
  <c r="G1424" i="6" s="1"/>
  <c r="T1370" i="6"/>
  <c r="W1370" i="6" s="1"/>
  <c r="D668" i="6"/>
  <c r="G668" i="6" s="1"/>
  <c r="D614" i="6"/>
  <c r="L615" i="6" s="1"/>
  <c r="O615" i="6" s="1"/>
  <c r="L1370" i="6"/>
  <c r="D400" i="6"/>
  <c r="G400" i="6" s="1"/>
  <c r="L400" i="6"/>
  <c r="L346" i="6"/>
  <c r="O346" i="6" s="1"/>
  <c r="D346" i="6"/>
  <c r="G346" i="6" s="1"/>
  <c r="L292" i="6"/>
  <c r="O292" i="6" s="1"/>
  <c r="D292" i="6"/>
  <c r="G292" i="6" s="1"/>
  <c r="L238" i="6"/>
  <c r="O238" i="6" s="1"/>
  <c r="D238" i="6"/>
  <c r="G238" i="6" s="1"/>
  <c r="T184" i="6"/>
  <c r="W184" i="6" s="1"/>
  <c r="L184" i="6"/>
  <c r="O184" i="6" s="1"/>
  <c r="D184" i="6"/>
  <c r="D1370" i="6"/>
  <c r="G1370" i="6" s="1"/>
  <c r="G1092" i="6"/>
  <c r="G1038" i="6"/>
  <c r="D1100" i="6"/>
  <c r="G1100" i="6" s="1"/>
  <c r="T228" i="6"/>
  <c r="T229" i="6" s="1"/>
  <c r="D1046" i="6"/>
  <c r="G1046" i="6" s="1"/>
  <c r="D992" i="6"/>
  <c r="G992" i="6" s="1"/>
  <c r="D938" i="6"/>
  <c r="G938" i="6" s="1"/>
  <c r="G984" i="6"/>
  <c r="G930" i="6"/>
  <c r="G661" i="6"/>
  <c r="G607" i="6"/>
  <c r="G885" i="6"/>
  <c r="G884" i="6"/>
  <c r="G831" i="6"/>
  <c r="G830" i="6"/>
  <c r="G777" i="6"/>
  <c r="G776" i="6"/>
  <c r="G723" i="6"/>
  <c r="G722" i="6"/>
  <c r="G671" i="6"/>
  <c r="G617" i="6"/>
  <c r="R556" i="6"/>
  <c r="R557" i="6" s="1"/>
  <c r="M560" i="6"/>
  <c r="E560" i="6"/>
  <c r="E506" i="6"/>
  <c r="M506" i="6"/>
  <c r="M452" i="6"/>
  <c r="E182" i="6"/>
  <c r="G182" i="6" s="1"/>
  <c r="M182" i="6"/>
  <c r="U182" i="6"/>
  <c r="M236" i="6"/>
  <c r="E236" i="6"/>
  <c r="E290" i="6"/>
  <c r="G290" i="6" s="1"/>
  <c r="M290" i="6"/>
  <c r="E344" i="6"/>
  <c r="M344" i="6"/>
  <c r="M398" i="6"/>
  <c r="E398" i="6"/>
  <c r="E452" i="6"/>
  <c r="M453" i="6"/>
  <c r="O453" i="6" s="1"/>
  <c r="L585" i="6"/>
  <c r="M585" i="6" s="1"/>
  <c r="O585" i="6" s="1"/>
  <c r="L584" i="6"/>
  <c r="M584" i="6" s="1"/>
  <c r="O584" i="6" s="1"/>
  <c r="L583" i="6"/>
  <c r="M583" i="6" s="1"/>
  <c r="O583" i="6" s="1"/>
  <c r="P580" i="6"/>
  <c r="O562" i="6"/>
  <c r="O561" i="6"/>
  <c r="L560" i="6"/>
  <c r="O552" i="6"/>
  <c r="L531" i="6"/>
  <c r="M531" i="6" s="1"/>
  <c r="O531" i="6" s="1"/>
  <c r="L530" i="6"/>
  <c r="M530" i="6" s="1"/>
  <c r="O530" i="6" s="1"/>
  <c r="L529" i="6"/>
  <c r="M529" i="6" s="1"/>
  <c r="O529" i="6" s="1"/>
  <c r="P526" i="6"/>
  <c r="O508" i="6"/>
  <c r="O507" i="6"/>
  <c r="L506" i="6"/>
  <c r="O506" i="6" s="1"/>
  <c r="O498" i="6"/>
  <c r="L477" i="6"/>
  <c r="M477" i="6" s="1"/>
  <c r="O477" i="6" s="1"/>
  <c r="L476" i="6"/>
  <c r="M476" i="6" s="1"/>
  <c r="O476" i="6" s="1"/>
  <c r="L475" i="6"/>
  <c r="M475" i="6" s="1"/>
  <c r="O475" i="6" s="1"/>
  <c r="P472" i="6"/>
  <c r="L452" i="6"/>
  <c r="D1288" i="7"/>
  <c r="E1288" i="7" s="1"/>
  <c r="G1288" i="7" s="1"/>
  <c r="D1287" i="7"/>
  <c r="E1287" i="7" s="1"/>
  <c r="G1287" i="7" s="1"/>
  <c r="D1286" i="7"/>
  <c r="E1286" i="7" s="1"/>
  <c r="G1286" i="7" s="1"/>
  <c r="H1283" i="7"/>
  <c r="G1263" i="7"/>
  <c r="H1275" i="7" s="1"/>
  <c r="D1234" i="7"/>
  <c r="E1234" i="7" s="1"/>
  <c r="G1234" i="7" s="1"/>
  <c r="D1233" i="7"/>
  <c r="E1233" i="7" s="1"/>
  <c r="G1233" i="7" s="1"/>
  <c r="D1232" i="7"/>
  <c r="E1232" i="7" s="1"/>
  <c r="G1232" i="7" s="1"/>
  <c r="H1229" i="7"/>
  <c r="D1180" i="7"/>
  <c r="E1180" i="7" s="1"/>
  <c r="G1180" i="7" s="1"/>
  <c r="D1179" i="7"/>
  <c r="E1179" i="7" s="1"/>
  <c r="G1179" i="7" s="1"/>
  <c r="D1178" i="7"/>
  <c r="E1178" i="7" s="1"/>
  <c r="G1178" i="7" s="1"/>
  <c r="H1175" i="7"/>
  <c r="E1155" i="7"/>
  <c r="G1155" i="7" s="1"/>
  <c r="H1167" i="7" s="1"/>
  <c r="D1126" i="7"/>
  <c r="E1126" i="7" s="1"/>
  <c r="G1126" i="7" s="1"/>
  <c r="D1125" i="7"/>
  <c r="E1125" i="7" s="1"/>
  <c r="G1125" i="7" s="1"/>
  <c r="D1124" i="7"/>
  <c r="E1124" i="7" s="1"/>
  <c r="G1124" i="7" s="1"/>
  <c r="H1121" i="7"/>
  <c r="E1101" i="7"/>
  <c r="G1101" i="7" s="1"/>
  <c r="H1113" i="7" s="1"/>
  <c r="D1072" i="7"/>
  <c r="E1072" i="7" s="1"/>
  <c r="G1072" i="7" s="1"/>
  <c r="D1071" i="7"/>
  <c r="E1071" i="7" s="1"/>
  <c r="G1071" i="7" s="1"/>
  <c r="D1070" i="7"/>
  <c r="E1070" i="7" s="1"/>
  <c r="G1070" i="7" s="1"/>
  <c r="H1067" i="7"/>
  <c r="E1047" i="7"/>
  <c r="G1047" i="7" s="1"/>
  <c r="H1059" i="7" s="1"/>
  <c r="D1018" i="7"/>
  <c r="E1018" i="7" s="1"/>
  <c r="G1018" i="7" s="1"/>
  <c r="D1017" i="7"/>
  <c r="E1017" i="7" s="1"/>
  <c r="G1017" i="7" s="1"/>
  <c r="D1016" i="7"/>
  <c r="E1016" i="7" s="1"/>
  <c r="G1016" i="7" s="1"/>
  <c r="H1013" i="7"/>
  <c r="G993" i="7"/>
  <c r="H1005" i="7" s="1"/>
  <c r="D964" i="7"/>
  <c r="E964" i="7" s="1"/>
  <c r="G964" i="7" s="1"/>
  <c r="D963" i="7"/>
  <c r="E963" i="7" s="1"/>
  <c r="G963" i="7" s="1"/>
  <c r="D962" i="7"/>
  <c r="E962" i="7" s="1"/>
  <c r="G962" i="7" s="1"/>
  <c r="H959" i="7"/>
  <c r="G940" i="7"/>
  <c r="G939" i="7"/>
  <c r="H951" i="7" s="1"/>
  <c r="D910" i="7"/>
  <c r="E910" i="7" s="1"/>
  <c r="G910" i="7" s="1"/>
  <c r="D909" i="7"/>
  <c r="E909" i="7" s="1"/>
  <c r="G909" i="7" s="1"/>
  <c r="D908" i="7"/>
  <c r="E908" i="7" s="1"/>
  <c r="G908" i="7" s="1"/>
  <c r="H905" i="7"/>
  <c r="G887" i="7"/>
  <c r="G886" i="7"/>
  <c r="G885" i="7"/>
  <c r="G877" i="7"/>
  <c r="D856" i="7"/>
  <c r="E856" i="7" s="1"/>
  <c r="G856" i="7" s="1"/>
  <c r="D855" i="7"/>
  <c r="E855" i="7" s="1"/>
  <c r="G855" i="7" s="1"/>
  <c r="D854" i="7"/>
  <c r="E854" i="7" s="1"/>
  <c r="G854" i="7" s="1"/>
  <c r="H851" i="7"/>
  <c r="G833" i="7"/>
  <c r="G832" i="7"/>
  <c r="G831" i="7"/>
  <c r="G823" i="7"/>
  <c r="D802" i="7"/>
  <c r="E802" i="7" s="1"/>
  <c r="G802" i="7" s="1"/>
  <c r="D801" i="7"/>
  <c r="E801" i="7" s="1"/>
  <c r="G801" i="7" s="1"/>
  <c r="D800" i="7"/>
  <c r="E800" i="7" s="1"/>
  <c r="G800" i="7" s="1"/>
  <c r="H797" i="7"/>
  <c r="G779" i="7"/>
  <c r="G778" i="7"/>
  <c r="G777" i="7"/>
  <c r="G769" i="7"/>
  <c r="D748" i="7"/>
  <c r="E748" i="7" s="1"/>
  <c r="G748" i="7" s="1"/>
  <c r="D747" i="7"/>
  <c r="E747" i="7" s="1"/>
  <c r="G747" i="7" s="1"/>
  <c r="D746" i="7"/>
  <c r="E746" i="7" s="1"/>
  <c r="G746" i="7" s="1"/>
  <c r="H743" i="7"/>
  <c r="G725" i="7"/>
  <c r="G724" i="7"/>
  <c r="G723" i="7"/>
  <c r="G715" i="7"/>
  <c r="D694" i="7"/>
  <c r="E694" i="7" s="1"/>
  <c r="G694" i="7" s="1"/>
  <c r="D693" i="7"/>
  <c r="E693" i="7" s="1"/>
  <c r="G693" i="7" s="1"/>
  <c r="D692" i="7"/>
  <c r="E692" i="7" s="1"/>
  <c r="G692" i="7" s="1"/>
  <c r="H689" i="7"/>
  <c r="G671" i="7"/>
  <c r="G670" i="7"/>
  <c r="G669" i="7"/>
  <c r="G661" i="7"/>
  <c r="D640" i="7"/>
  <c r="E640" i="7" s="1"/>
  <c r="G640" i="7" s="1"/>
  <c r="D639" i="7"/>
  <c r="E639" i="7" s="1"/>
  <c r="G639" i="7" s="1"/>
  <c r="D638" i="7"/>
  <c r="E638" i="7" s="1"/>
  <c r="G638" i="7" s="1"/>
  <c r="H635" i="7"/>
  <c r="G617" i="7"/>
  <c r="G616" i="7"/>
  <c r="G615" i="7"/>
  <c r="G607" i="7"/>
  <c r="T532" i="7"/>
  <c r="U532" i="7" s="1"/>
  <c r="W532" i="7" s="1"/>
  <c r="L532" i="7"/>
  <c r="M532" i="7" s="1"/>
  <c r="O532" i="7" s="1"/>
  <c r="D532" i="7"/>
  <c r="E532" i="7" s="1"/>
  <c r="G532" i="7" s="1"/>
  <c r="T531" i="7"/>
  <c r="U531" i="7" s="1"/>
  <c r="W531" i="7" s="1"/>
  <c r="L531" i="7"/>
  <c r="M531" i="7" s="1"/>
  <c r="O531" i="7" s="1"/>
  <c r="D531" i="7"/>
  <c r="E531" i="7" s="1"/>
  <c r="G531" i="7" s="1"/>
  <c r="T530" i="7"/>
  <c r="U530" i="7" s="1"/>
  <c r="W530" i="7" s="1"/>
  <c r="L530" i="7"/>
  <c r="M530" i="7" s="1"/>
  <c r="O530" i="7" s="1"/>
  <c r="D530" i="7"/>
  <c r="E530" i="7" s="1"/>
  <c r="G530" i="7" s="1"/>
  <c r="X527" i="7"/>
  <c r="P527" i="7"/>
  <c r="H527" i="7"/>
  <c r="W513" i="7"/>
  <c r="W511" i="7"/>
  <c r="O511" i="7"/>
  <c r="G511" i="7"/>
  <c r="W510" i="7"/>
  <c r="O510" i="7"/>
  <c r="G510" i="7"/>
  <c r="W509" i="7"/>
  <c r="O509" i="7"/>
  <c r="G509" i="7"/>
  <c r="W508" i="7"/>
  <c r="O508" i="7"/>
  <c r="G508" i="7"/>
  <c r="W507" i="7"/>
  <c r="O507" i="7"/>
  <c r="G507" i="7"/>
  <c r="W500" i="7"/>
  <c r="O500" i="7"/>
  <c r="G500" i="7"/>
  <c r="W499" i="7"/>
  <c r="O499" i="7"/>
  <c r="G499" i="7"/>
  <c r="T478" i="7"/>
  <c r="U478" i="7" s="1"/>
  <c r="W478" i="7" s="1"/>
  <c r="L478" i="7"/>
  <c r="M478" i="7" s="1"/>
  <c r="O478" i="7" s="1"/>
  <c r="D478" i="7"/>
  <c r="E478" i="7" s="1"/>
  <c r="G478" i="7" s="1"/>
  <c r="T477" i="7"/>
  <c r="U477" i="7" s="1"/>
  <c r="W477" i="7" s="1"/>
  <c r="L477" i="7"/>
  <c r="M477" i="7" s="1"/>
  <c r="O477" i="7" s="1"/>
  <c r="D477" i="7"/>
  <c r="E477" i="7" s="1"/>
  <c r="G477" i="7" s="1"/>
  <c r="T476" i="7"/>
  <c r="U476" i="7" s="1"/>
  <c r="W476" i="7" s="1"/>
  <c r="L476" i="7"/>
  <c r="M476" i="7" s="1"/>
  <c r="O476" i="7" s="1"/>
  <c r="D476" i="7"/>
  <c r="E476" i="7" s="1"/>
  <c r="G476" i="7" s="1"/>
  <c r="X473" i="7"/>
  <c r="P473" i="7"/>
  <c r="H473" i="7"/>
  <c r="W459" i="7"/>
  <c r="W457" i="7"/>
  <c r="O457" i="7"/>
  <c r="G457" i="7"/>
  <c r="W456" i="7"/>
  <c r="O456" i="7"/>
  <c r="G456" i="7"/>
  <c r="W455" i="7"/>
  <c r="O455" i="7"/>
  <c r="G455" i="7"/>
  <c r="W454" i="7"/>
  <c r="O454" i="7"/>
  <c r="G454" i="7"/>
  <c r="W453" i="7"/>
  <c r="O453" i="7"/>
  <c r="G453" i="7"/>
  <c r="W446" i="7"/>
  <c r="O446" i="7"/>
  <c r="G446" i="7"/>
  <c r="W445" i="7"/>
  <c r="O445" i="7"/>
  <c r="G445" i="7"/>
  <c r="T424" i="7"/>
  <c r="U424" i="7" s="1"/>
  <c r="W424" i="7" s="1"/>
  <c r="L424" i="7"/>
  <c r="M424" i="7" s="1"/>
  <c r="O424" i="7" s="1"/>
  <c r="D424" i="7"/>
  <c r="E424" i="7" s="1"/>
  <c r="G424" i="7" s="1"/>
  <c r="T423" i="7"/>
  <c r="U423" i="7" s="1"/>
  <c r="W423" i="7" s="1"/>
  <c r="L423" i="7"/>
  <c r="M423" i="7" s="1"/>
  <c r="O423" i="7" s="1"/>
  <c r="D423" i="7"/>
  <c r="E423" i="7" s="1"/>
  <c r="G423" i="7" s="1"/>
  <c r="T422" i="7"/>
  <c r="U422" i="7" s="1"/>
  <c r="W422" i="7" s="1"/>
  <c r="L422" i="7"/>
  <c r="M422" i="7" s="1"/>
  <c r="O422" i="7" s="1"/>
  <c r="D422" i="7"/>
  <c r="E422" i="7" s="1"/>
  <c r="G422" i="7" s="1"/>
  <c r="X419" i="7"/>
  <c r="P419" i="7"/>
  <c r="H419" i="7"/>
  <c r="W405" i="7"/>
  <c r="W403" i="7"/>
  <c r="O403" i="7"/>
  <c r="G403" i="7"/>
  <c r="W402" i="7"/>
  <c r="O402" i="7"/>
  <c r="G402" i="7"/>
  <c r="W401" i="7"/>
  <c r="O401" i="7"/>
  <c r="G401" i="7"/>
  <c r="W400" i="7"/>
  <c r="O400" i="7"/>
  <c r="G400" i="7"/>
  <c r="W399" i="7"/>
  <c r="O399" i="7"/>
  <c r="G399" i="7"/>
  <c r="W392" i="7"/>
  <c r="O392" i="7"/>
  <c r="G392" i="7"/>
  <c r="W391" i="7"/>
  <c r="O391" i="7"/>
  <c r="G391" i="7"/>
  <c r="L370" i="7"/>
  <c r="M370" i="7" s="1"/>
  <c r="O370" i="7" s="1"/>
  <c r="D370" i="7"/>
  <c r="E370" i="7" s="1"/>
  <c r="G370" i="7" s="1"/>
  <c r="L369" i="7"/>
  <c r="M369" i="7" s="1"/>
  <c r="O369" i="7" s="1"/>
  <c r="D369" i="7"/>
  <c r="E369" i="7" s="1"/>
  <c r="G369" i="7" s="1"/>
  <c r="L368" i="7"/>
  <c r="M368" i="7" s="1"/>
  <c r="O368" i="7" s="1"/>
  <c r="D368" i="7"/>
  <c r="E368" i="7" s="1"/>
  <c r="G368" i="7" s="1"/>
  <c r="P365" i="7"/>
  <c r="H365" i="7"/>
  <c r="O348" i="7"/>
  <c r="G348" i="7"/>
  <c r="O347" i="7"/>
  <c r="G347" i="7"/>
  <c r="O346" i="7"/>
  <c r="G346" i="7"/>
  <c r="O345" i="7"/>
  <c r="G345" i="7"/>
  <c r="O338" i="7"/>
  <c r="O337" i="7"/>
  <c r="G337" i="7"/>
  <c r="L316" i="7"/>
  <c r="M316" i="7" s="1"/>
  <c r="O316" i="7" s="1"/>
  <c r="D316" i="7"/>
  <c r="E316" i="7" s="1"/>
  <c r="G316" i="7" s="1"/>
  <c r="L315" i="7"/>
  <c r="M315" i="7" s="1"/>
  <c r="O315" i="7" s="1"/>
  <c r="D315" i="7"/>
  <c r="E315" i="7" s="1"/>
  <c r="G315" i="7" s="1"/>
  <c r="L314" i="7"/>
  <c r="M314" i="7" s="1"/>
  <c r="O314" i="7" s="1"/>
  <c r="D314" i="7"/>
  <c r="E314" i="7" s="1"/>
  <c r="G314" i="7" s="1"/>
  <c r="P311" i="7"/>
  <c r="H311" i="7"/>
  <c r="O295" i="7"/>
  <c r="O294" i="7"/>
  <c r="G294" i="7"/>
  <c r="O293" i="7"/>
  <c r="G293" i="7"/>
  <c r="O292" i="7"/>
  <c r="G292" i="7"/>
  <c r="O291" i="7"/>
  <c r="G291" i="7"/>
  <c r="O284" i="7"/>
  <c r="O283" i="7"/>
  <c r="G283" i="7"/>
  <c r="L262" i="7"/>
  <c r="M262" i="7" s="1"/>
  <c r="O262" i="7" s="1"/>
  <c r="D262" i="7"/>
  <c r="E262" i="7" s="1"/>
  <c r="G262" i="7" s="1"/>
  <c r="L261" i="7"/>
  <c r="M261" i="7" s="1"/>
  <c r="O261" i="7" s="1"/>
  <c r="D261" i="7"/>
  <c r="E261" i="7" s="1"/>
  <c r="G261" i="7" s="1"/>
  <c r="L260" i="7"/>
  <c r="M260" i="7" s="1"/>
  <c r="O260" i="7" s="1"/>
  <c r="D260" i="7"/>
  <c r="E260" i="7" s="1"/>
  <c r="G260" i="7" s="1"/>
  <c r="P257" i="7"/>
  <c r="H257" i="7"/>
  <c r="O241" i="7"/>
  <c r="O240" i="7"/>
  <c r="G240" i="7"/>
  <c r="O239" i="7"/>
  <c r="G239" i="7"/>
  <c r="O238" i="7"/>
  <c r="G238" i="7"/>
  <c r="O237" i="7"/>
  <c r="G237" i="7"/>
  <c r="O230" i="7"/>
  <c r="O229" i="7"/>
  <c r="G229" i="7"/>
  <c r="L208" i="7"/>
  <c r="M208" i="7" s="1"/>
  <c r="O208" i="7" s="1"/>
  <c r="D208" i="7"/>
  <c r="E208" i="7" s="1"/>
  <c r="G208" i="7" s="1"/>
  <c r="L207" i="7"/>
  <c r="M207" i="7" s="1"/>
  <c r="O207" i="7" s="1"/>
  <c r="D207" i="7"/>
  <c r="E207" i="7" s="1"/>
  <c r="G207" i="7" s="1"/>
  <c r="L206" i="7"/>
  <c r="M206" i="7" s="1"/>
  <c r="O206" i="7" s="1"/>
  <c r="D206" i="7"/>
  <c r="E206" i="7" s="1"/>
  <c r="G206" i="7" s="1"/>
  <c r="P203" i="7"/>
  <c r="H203" i="7"/>
  <c r="L186" i="7"/>
  <c r="O186" i="7" s="1"/>
  <c r="D186" i="7"/>
  <c r="G186" i="7" s="1"/>
  <c r="O185" i="7"/>
  <c r="G185" i="7"/>
  <c r="O184" i="7"/>
  <c r="G184" i="7"/>
  <c r="O183" i="7"/>
  <c r="G183" i="7"/>
  <c r="O175" i="7"/>
  <c r="G175" i="7"/>
  <c r="L154" i="7"/>
  <c r="M154" i="7" s="1"/>
  <c r="O154" i="7" s="1"/>
  <c r="D154" i="7"/>
  <c r="E154" i="7" s="1"/>
  <c r="G154" i="7" s="1"/>
  <c r="L153" i="7"/>
  <c r="M153" i="7" s="1"/>
  <c r="O153" i="7" s="1"/>
  <c r="D153" i="7"/>
  <c r="E153" i="7" s="1"/>
  <c r="G153" i="7" s="1"/>
  <c r="L152" i="7"/>
  <c r="M152" i="7" s="1"/>
  <c r="O152" i="7" s="1"/>
  <c r="D152" i="7"/>
  <c r="E152" i="7" s="1"/>
  <c r="G152" i="7" s="1"/>
  <c r="P149" i="7"/>
  <c r="H149" i="7"/>
  <c r="L132" i="7"/>
  <c r="O132" i="7" s="1"/>
  <c r="D132" i="7"/>
  <c r="G132" i="7" s="1"/>
  <c r="O131" i="7"/>
  <c r="G131" i="7"/>
  <c r="O130" i="7"/>
  <c r="G130" i="7"/>
  <c r="O129" i="7"/>
  <c r="G129" i="7"/>
  <c r="O121" i="7"/>
  <c r="G121" i="7"/>
  <c r="L100" i="7"/>
  <c r="M100" i="7" s="1"/>
  <c r="O100" i="7" s="1"/>
  <c r="D100" i="7"/>
  <c r="E100" i="7" s="1"/>
  <c r="G100" i="7" s="1"/>
  <c r="L99" i="7"/>
  <c r="M99" i="7" s="1"/>
  <c r="O99" i="7" s="1"/>
  <c r="D99" i="7"/>
  <c r="E99" i="7" s="1"/>
  <c r="G99" i="7" s="1"/>
  <c r="L98" i="7"/>
  <c r="M98" i="7" s="1"/>
  <c r="O98" i="7" s="1"/>
  <c r="D98" i="7"/>
  <c r="E98" i="7" s="1"/>
  <c r="G98" i="7" s="1"/>
  <c r="P95" i="7"/>
  <c r="H95" i="7"/>
  <c r="L78" i="7"/>
  <c r="O78" i="7" s="1"/>
  <c r="D78" i="7"/>
  <c r="G78" i="7" s="1"/>
  <c r="O77" i="7"/>
  <c r="G77" i="7"/>
  <c r="O76" i="7"/>
  <c r="G76" i="7"/>
  <c r="O75" i="7"/>
  <c r="G75" i="7"/>
  <c r="O67" i="7"/>
  <c r="G67" i="7"/>
  <c r="L46" i="7"/>
  <c r="M46" i="7" s="1"/>
  <c r="O46" i="7" s="1"/>
  <c r="D46" i="7"/>
  <c r="E46" i="7" s="1"/>
  <c r="G46" i="7" s="1"/>
  <c r="L45" i="7"/>
  <c r="M45" i="7" s="1"/>
  <c r="O45" i="7" s="1"/>
  <c r="D45" i="7"/>
  <c r="E45" i="7" s="1"/>
  <c r="G45" i="7" s="1"/>
  <c r="L44" i="7"/>
  <c r="M44" i="7" s="1"/>
  <c r="O44" i="7" s="1"/>
  <c r="D44" i="7"/>
  <c r="E44" i="7" s="1"/>
  <c r="G44" i="7" s="1"/>
  <c r="P41" i="7"/>
  <c r="H41" i="7"/>
  <c r="L24" i="7"/>
  <c r="O24" i="7" s="1"/>
  <c r="D24" i="7"/>
  <c r="G24" i="7" s="1"/>
  <c r="O23" i="7"/>
  <c r="G23" i="7"/>
  <c r="O22" i="7"/>
  <c r="G22" i="7"/>
  <c r="O21" i="7"/>
  <c r="G21" i="7"/>
  <c r="O13" i="7"/>
  <c r="G13" i="7"/>
  <c r="O639" i="9"/>
  <c r="G639" i="9"/>
  <c r="O638" i="9"/>
  <c r="G638" i="9"/>
  <c r="O637" i="9"/>
  <c r="G637" i="9"/>
  <c r="H643" i="9" s="1"/>
  <c r="E605" i="9" s="1"/>
  <c r="G605" i="9" s="1"/>
  <c r="H611" i="9" s="1"/>
  <c r="P634" i="9"/>
  <c r="G629" i="9"/>
  <c r="H634" i="9" s="1"/>
  <c r="L614" i="9"/>
  <c r="G614" i="9"/>
  <c r="O585" i="9"/>
  <c r="G585" i="9"/>
  <c r="O584" i="9"/>
  <c r="G584" i="9"/>
  <c r="O583" i="9"/>
  <c r="G583" i="9"/>
  <c r="O575" i="9"/>
  <c r="P580" i="9" s="1"/>
  <c r="G575" i="9"/>
  <c r="H580" i="9" s="1"/>
  <c r="L560" i="9"/>
  <c r="G560" i="9"/>
  <c r="M531" i="9"/>
  <c r="O531" i="9" s="1"/>
  <c r="G531" i="9"/>
  <c r="M530" i="9"/>
  <c r="O530" i="9" s="1"/>
  <c r="G530" i="9"/>
  <c r="M529" i="9"/>
  <c r="O529" i="9" s="1"/>
  <c r="G529" i="9"/>
  <c r="P526" i="9"/>
  <c r="G521" i="9"/>
  <c r="H526" i="9" s="1"/>
  <c r="O506" i="9"/>
  <c r="G506" i="9"/>
  <c r="O498" i="9"/>
  <c r="G498" i="9"/>
  <c r="G477" i="9"/>
  <c r="G476" i="9"/>
  <c r="G475" i="9"/>
  <c r="H472" i="9"/>
  <c r="G453" i="9"/>
  <c r="G452" i="9"/>
  <c r="G444" i="9"/>
  <c r="G423" i="9"/>
  <c r="G422" i="9"/>
  <c r="G421" i="9"/>
  <c r="G413" i="9"/>
  <c r="H418" i="9" s="1"/>
  <c r="G399" i="9"/>
  <c r="G398" i="9"/>
  <c r="G390" i="9"/>
  <c r="G369" i="9"/>
  <c r="G368" i="9"/>
  <c r="G367" i="9"/>
  <c r="G359" i="9"/>
  <c r="H364" i="9" s="1"/>
  <c r="G345" i="9"/>
  <c r="G344" i="9"/>
  <c r="G336" i="9"/>
  <c r="O315" i="9"/>
  <c r="G315" i="9"/>
  <c r="O314" i="9"/>
  <c r="G314" i="9"/>
  <c r="O313" i="9"/>
  <c r="G313" i="9"/>
  <c r="O305" i="9"/>
  <c r="P310" i="9" s="1"/>
  <c r="G305" i="9"/>
  <c r="H310" i="9" s="1"/>
  <c r="M291" i="9"/>
  <c r="L291" i="9"/>
  <c r="E291" i="9"/>
  <c r="D291" i="9"/>
  <c r="O290" i="9"/>
  <c r="G290" i="9"/>
  <c r="O282" i="9"/>
  <c r="G282" i="9"/>
  <c r="O261" i="9"/>
  <c r="G261" i="9"/>
  <c r="O260" i="9"/>
  <c r="G260" i="9"/>
  <c r="O259" i="9"/>
  <c r="G259" i="9"/>
  <c r="O251" i="9"/>
  <c r="P256" i="9" s="1"/>
  <c r="G251" i="9"/>
  <c r="H256" i="9" s="1"/>
  <c r="M237" i="9"/>
  <c r="L237" i="9"/>
  <c r="E237" i="9"/>
  <c r="D237" i="9"/>
  <c r="O236" i="9"/>
  <c r="G236" i="9"/>
  <c r="O228" i="9"/>
  <c r="G228" i="9"/>
  <c r="O207" i="9"/>
  <c r="G207" i="9"/>
  <c r="O206" i="9"/>
  <c r="G206" i="9"/>
  <c r="O205" i="9"/>
  <c r="G205" i="9"/>
  <c r="H202" i="9"/>
  <c r="O197" i="9"/>
  <c r="P202" i="9" s="1"/>
  <c r="M183" i="9"/>
  <c r="L183" i="9"/>
  <c r="O183" i="9" s="1"/>
  <c r="P194" i="9" s="1"/>
  <c r="E183" i="9"/>
  <c r="D183" i="9"/>
  <c r="O182" i="9"/>
  <c r="G182" i="9"/>
  <c r="O174" i="9"/>
  <c r="G174" i="9"/>
  <c r="O153" i="9"/>
  <c r="G153" i="9"/>
  <c r="O152" i="9"/>
  <c r="G152" i="9"/>
  <c r="O151" i="9"/>
  <c r="G151" i="9"/>
  <c r="O143" i="9"/>
  <c r="P148" i="9" s="1"/>
  <c r="G143" i="9"/>
  <c r="H148" i="9" s="1"/>
  <c r="O130" i="9"/>
  <c r="G130" i="9"/>
  <c r="O129" i="9"/>
  <c r="G129" i="9"/>
  <c r="O128" i="9"/>
  <c r="G128" i="9"/>
  <c r="G122" i="9"/>
  <c r="G121" i="9"/>
  <c r="O120" i="9"/>
  <c r="G120" i="9"/>
  <c r="O119" i="9"/>
  <c r="O99" i="9"/>
  <c r="G99" i="9"/>
  <c r="O98" i="9"/>
  <c r="G98" i="9"/>
  <c r="O97" i="9"/>
  <c r="G97" i="9"/>
  <c r="O89" i="9"/>
  <c r="P94" i="9" s="1"/>
  <c r="G89" i="9"/>
  <c r="H94" i="9" s="1"/>
  <c r="O76" i="9"/>
  <c r="G76" i="9"/>
  <c r="O75" i="9"/>
  <c r="G75" i="9"/>
  <c r="O74" i="9"/>
  <c r="G74" i="9"/>
  <c r="H86" i="9" s="1"/>
  <c r="G68" i="9"/>
  <c r="G67" i="9"/>
  <c r="O66" i="9"/>
  <c r="G66" i="9"/>
  <c r="O65" i="9"/>
  <c r="O45" i="9"/>
  <c r="G45" i="9"/>
  <c r="O44" i="9"/>
  <c r="G44" i="9"/>
  <c r="O43" i="9"/>
  <c r="G43" i="9"/>
  <c r="O35" i="9"/>
  <c r="P40" i="9" s="1"/>
  <c r="G35" i="9"/>
  <c r="H40" i="9" s="1"/>
  <c r="O22" i="9"/>
  <c r="G22" i="9"/>
  <c r="O21" i="9"/>
  <c r="G21" i="9"/>
  <c r="O20" i="9"/>
  <c r="G20" i="9"/>
  <c r="G14" i="9"/>
  <c r="G13" i="9"/>
  <c r="O12" i="9"/>
  <c r="G12" i="9"/>
  <c r="O11" i="9"/>
  <c r="O237" i="9"/>
  <c r="P248" i="9" s="1"/>
  <c r="E68" i="1"/>
  <c r="F68" i="1" s="1"/>
  <c r="G68" i="1" s="1"/>
  <c r="E67" i="1"/>
  <c r="E66" i="1"/>
  <c r="E65" i="1"/>
  <c r="F65" i="1" s="1"/>
  <c r="G65" i="1" s="1"/>
  <c r="E64" i="1"/>
  <c r="F64" i="1" s="1"/>
  <c r="G64" i="1" s="1"/>
  <c r="E56" i="1"/>
  <c r="E55" i="1"/>
  <c r="F55" i="1" s="1"/>
  <c r="G55" i="1" s="1"/>
  <c r="E54" i="1"/>
  <c r="E53" i="1"/>
  <c r="F53" i="1" s="1"/>
  <c r="G53" i="1" s="1"/>
  <c r="E52" i="1"/>
  <c r="F52" i="1" s="1"/>
  <c r="G52" i="1" s="1"/>
  <c r="E51" i="1"/>
  <c r="E50" i="1"/>
  <c r="E49" i="1"/>
  <c r="F49" i="1" s="1"/>
  <c r="G49" i="1" s="1"/>
  <c r="E45" i="1"/>
  <c r="F45" i="1" s="1"/>
  <c r="G45" i="1" s="1"/>
  <c r="E44" i="1"/>
  <c r="E40" i="1"/>
  <c r="E37" i="1"/>
  <c r="F37" i="1" s="1"/>
  <c r="G37" i="1" s="1"/>
  <c r="E36" i="1"/>
  <c r="E35" i="1"/>
  <c r="E33" i="1"/>
  <c r="F33" i="1" s="1"/>
  <c r="G33" i="1" s="1"/>
  <c r="E18" i="1"/>
  <c r="F18" i="1" s="1"/>
  <c r="G18" i="1" s="1"/>
  <c r="E19" i="1"/>
  <c r="F19" i="1" s="1"/>
  <c r="G19" i="1" s="1"/>
  <c r="E20" i="1"/>
  <c r="F20" i="1" s="1"/>
  <c r="G20" i="1" s="1"/>
  <c r="E23" i="1"/>
  <c r="F23" i="1" s="1"/>
  <c r="G23" i="1" s="1"/>
  <c r="D3446" i="6"/>
  <c r="E3446" i="6" s="1"/>
  <c r="G3446" i="6" s="1"/>
  <c r="D3445" i="6"/>
  <c r="E3445" i="6" s="1"/>
  <c r="G3445" i="6" s="1"/>
  <c r="D3444" i="6"/>
  <c r="E3444" i="6" s="1"/>
  <c r="G3444" i="6" s="1"/>
  <c r="D3393" i="6"/>
  <c r="E3393" i="6" s="1"/>
  <c r="G3393" i="6" s="1"/>
  <c r="D3392" i="6"/>
  <c r="E3392" i="6" s="1"/>
  <c r="G3392" i="6" s="1"/>
  <c r="D3391" i="6"/>
  <c r="E3391" i="6" s="1"/>
  <c r="G3391" i="6" s="1"/>
  <c r="G391" i="6"/>
  <c r="T207" i="6"/>
  <c r="U207" i="6" s="1"/>
  <c r="W207" i="6" s="1"/>
  <c r="T206" i="6"/>
  <c r="U206" i="6" s="1"/>
  <c r="W206" i="6" s="1"/>
  <c r="T205" i="6"/>
  <c r="U205" i="6" s="1"/>
  <c r="W205" i="6" s="1"/>
  <c r="D145" i="10"/>
  <c r="E145" i="10" s="1"/>
  <c r="G145" i="10" s="1"/>
  <c r="D144" i="10"/>
  <c r="E144" i="10" s="1"/>
  <c r="G144" i="10" s="1"/>
  <c r="D143" i="10"/>
  <c r="E143" i="10" s="1"/>
  <c r="G143" i="10" s="1"/>
  <c r="D199" i="10"/>
  <c r="E199" i="10" s="1"/>
  <c r="G199" i="10" s="1"/>
  <c r="D198" i="10"/>
  <c r="E198" i="10" s="1"/>
  <c r="G198" i="10" s="1"/>
  <c r="D197" i="10"/>
  <c r="E197" i="10" s="1"/>
  <c r="G197" i="10" s="1"/>
  <c r="O340" i="10"/>
  <c r="O342" i="10"/>
  <c r="O343" i="10"/>
  <c r="O344" i="10"/>
  <c r="O336" i="10"/>
  <c r="O337" i="10"/>
  <c r="O339" i="10"/>
  <c r="G339" i="10"/>
  <c r="G340" i="10"/>
  <c r="G342" i="10"/>
  <c r="G343" i="10"/>
  <c r="G344" i="10"/>
  <c r="G336" i="10"/>
  <c r="G175" i="10"/>
  <c r="G176" i="10"/>
  <c r="G177" i="10"/>
  <c r="G387" i="10"/>
  <c r="G388" i="10"/>
  <c r="G389" i="10"/>
  <c r="G390" i="10"/>
  <c r="G391" i="10"/>
  <c r="G392" i="10"/>
  <c r="G393" i="10"/>
  <c r="G394" i="10"/>
  <c r="G395" i="10"/>
  <c r="G1592" i="8"/>
  <c r="G1591" i="8"/>
  <c r="G1537" i="8"/>
  <c r="H1549" i="8" s="1"/>
  <c r="D1508" i="8"/>
  <c r="E1508" i="8" s="1"/>
  <c r="G1508" i="8" s="1"/>
  <c r="D1506" i="8"/>
  <c r="E1506" i="8" s="1"/>
  <c r="G1506" i="8" s="1"/>
  <c r="G1486" i="8"/>
  <c r="G1485" i="8"/>
  <c r="G1484" i="8"/>
  <c r="G1483" i="8"/>
  <c r="G1432" i="8"/>
  <c r="G1431" i="8"/>
  <c r="G1429" i="8"/>
  <c r="G1376" i="8"/>
  <c r="G1378" i="8"/>
  <c r="G1375" i="8"/>
  <c r="D1347" i="8"/>
  <c r="E1347" i="8" s="1"/>
  <c r="G1347" i="8" s="1"/>
  <c r="D1346" i="8"/>
  <c r="E1346" i="8" s="1"/>
  <c r="G1346" i="8" s="1"/>
  <c r="D1345" i="8"/>
  <c r="E1345" i="8" s="1"/>
  <c r="G1345" i="8" s="1"/>
  <c r="D1344" i="8"/>
  <c r="E1344" i="8" s="1"/>
  <c r="G1344" i="8" s="1"/>
  <c r="G1321" i="8"/>
  <c r="G1269" i="8"/>
  <c r="G1268" i="8"/>
  <c r="G1267" i="8"/>
  <c r="G1216" i="8"/>
  <c r="D1239" i="8"/>
  <c r="E1239" i="8" s="1"/>
  <c r="G1239" i="8" s="1"/>
  <c r="D1238" i="8"/>
  <c r="E1238" i="8" s="1"/>
  <c r="G1238" i="8" s="1"/>
  <c r="D1237" i="8"/>
  <c r="E1237" i="8" s="1"/>
  <c r="G1237" i="8" s="1"/>
  <c r="D1236" i="8"/>
  <c r="E1236" i="8" s="1"/>
  <c r="G1236" i="8" s="1"/>
  <c r="G1214" i="8"/>
  <c r="G1213" i="8"/>
  <c r="G620" i="8"/>
  <c r="G619" i="8"/>
  <c r="G566" i="8"/>
  <c r="G565" i="8"/>
  <c r="G998" i="8"/>
  <c r="G997" i="8"/>
  <c r="G944" i="8"/>
  <c r="G943" i="8"/>
  <c r="G890" i="8"/>
  <c r="G889" i="8"/>
  <c r="G836" i="8"/>
  <c r="G835" i="8"/>
  <c r="G782" i="8"/>
  <c r="G781" i="8"/>
  <c r="G728" i="8"/>
  <c r="G727" i="8"/>
  <c r="G1053" i="8"/>
  <c r="G674" i="8"/>
  <c r="G673" i="8"/>
  <c r="G1052" i="8"/>
  <c r="G458" i="8"/>
  <c r="G404" i="8"/>
  <c r="G296" i="8"/>
  <c r="G295" i="8"/>
  <c r="G242" i="8"/>
  <c r="G241" i="8"/>
  <c r="G188" i="8"/>
  <c r="G187" i="8"/>
  <c r="G3264" i="6"/>
  <c r="G3318" i="6"/>
  <c r="G3422" i="6"/>
  <c r="G3369" i="6"/>
  <c r="G3317" i="6"/>
  <c r="G3316" i="6"/>
  <c r="G3315" i="6"/>
  <c r="G3314" i="6"/>
  <c r="G3263" i="6"/>
  <c r="G3262" i="6"/>
  <c r="G3261" i="6"/>
  <c r="G3260" i="6"/>
  <c r="G3155" i="6"/>
  <c r="G3154" i="6"/>
  <c r="G3153" i="6"/>
  <c r="G3152" i="6"/>
  <c r="G3101" i="6"/>
  <c r="G3100" i="6"/>
  <c r="G3099" i="6"/>
  <c r="G3098" i="6"/>
  <c r="G3047" i="6"/>
  <c r="G3046" i="6"/>
  <c r="G2993" i="6"/>
  <c r="G2992" i="6"/>
  <c r="G2991" i="6"/>
  <c r="G2990" i="6"/>
  <c r="G2939" i="6"/>
  <c r="G2938" i="6"/>
  <c r="G2937" i="6"/>
  <c r="G2936" i="6"/>
  <c r="G2885" i="6"/>
  <c r="G2884" i="6"/>
  <c r="G2883" i="6"/>
  <c r="G2882" i="6"/>
  <c r="G2831" i="6"/>
  <c r="G2830" i="6"/>
  <c r="G2829" i="6"/>
  <c r="G2828" i="6"/>
  <c r="G2777" i="6"/>
  <c r="G2776" i="6"/>
  <c r="G2775" i="6"/>
  <c r="G2774" i="6"/>
  <c r="G2723" i="6"/>
  <c r="G2722" i="6"/>
  <c r="G2721" i="6"/>
  <c r="G2720" i="6"/>
  <c r="G2669" i="6"/>
  <c r="G2668" i="6"/>
  <c r="G2667" i="6"/>
  <c r="G2666" i="6"/>
  <c r="G2550" i="6"/>
  <c r="G2615" i="6"/>
  <c r="G2614" i="6"/>
  <c r="G2613" i="6"/>
  <c r="G2612" i="6"/>
  <c r="G2561" i="6"/>
  <c r="G2560" i="6"/>
  <c r="G2559" i="6"/>
  <c r="G2558" i="6"/>
  <c r="G2507" i="6"/>
  <c r="G2506" i="6"/>
  <c r="G2505" i="6"/>
  <c r="G2504" i="6"/>
  <c r="G2453" i="6"/>
  <c r="G2452" i="6"/>
  <c r="G2451" i="6"/>
  <c r="G2450" i="6"/>
  <c r="G2399" i="6"/>
  <c r="G2398" i="6"/>
  <c r="G2397" i="6"/>
  <c r="G2396" i="6"/>
  <c r="G2345" i="6"/>
  <c r="G2344" i="6"/>
  <c r="G2343" i="6"/>
  <c r="G2342" i="6"/>
  <c r="G2291" i="6"/>
  <c r="G2290" i="6"/>
  <c r="G2289" i="6"/>
  <c r="G2288" i="6"/>
  <c r="G2237" i="6"/>
  <c r="G2236" i="6"/>
  <c r="G2235" i="6"/>
  <c r="G2234" i="6"/>
  <c r="G2183" i="6"/>
  <c r="G2182" i="6"/>
  <c r="G2181" i="6"/>
  <c r="G2180" i="6"/>
  <c r="G2129" i="6"/>
  <c r="G2128" i="6"/>
  <c r="G2127" i="6"/>
  <c r="G2126" i="6"/>
  <c r="G2075" i="6"/>
  <c r="G2074" i="6"/>
  <c r="G2073" i="6"/>
  <c r="G2072" i="6"/>
  <c r="G2021" i="6"/>
  <c r="G2020" i="6"/>
  <c r="G2019" i="6"/>
  <c r="G2018" i="6"/>
  <c r="G1967" i="6"/>
  <c r="G1966" i="6"/>
  <c r="G1965" i="6"/>
  <c r="G1964" i="6"/>
  <c r="G1913" i="6"/>
  <c r="G1912" i="6"/>
  <c r="G1911" i="6"/>
  <c r="G1910" i="6"/>
  <c r="G1859" i="6"/>
  <c r="G1858" i="6"/>
  <c r="G1857" i="6"/>
  <c r="G1856" i="6"/>
  <c r="G1805" i="6"/>
  <c r="G1804" i="6"/>
  <c r="G1803" i="6"/>
  <c r="G1802" i="6"/>
  <c r="G1751" i="6"/>
  <c r="G1750" i="6"/>
  <c r="G1749" i="6"/>
  <c r="G1748" i="6"/>
  <c r="G1686" i="6"/>
  <c r="G1697" i="6"/>
  <c r="G1696" i="6"/>
  <c r="G1695" i="6"/>
  <c r="G1694" i="6"/>
  <c r="G1643" i="6"/>
  <c r="G1642" i="6"/>
  <c r="G1641" i="6"/>
  <c r="G1640" i="6"/>
  <c r="G1525" i="6"/>
  <c r="G1471" i="6"/>
  <c r="G1589" i="6"/>
  <c r="G1588" i="6"/>
  <c r="G1587" i="6"/>
  <c r="G1586" i="6"/>
  <c r="G1578" i="6"/>
  <c r="G1535" i="6"/>
  <c r="G1534" i="6"/>
  <c r="G1524" i="6"/>
  <c r="G1481" i="6"/>
  <c r="G1480" i="6"/>
  <c r="G1470" i="6"/>
  <c r="G1427" i="6"/>
  <c r="G1426" i="6"/>
  <c r="G1416" i="6"/>
  <c r="G1373" i="6"/>
  <c r="G1372" i="6"/>
  <c r="G1371" i="6"/>
  <c r="G1362" i="6"/>
  <c r="G1319" i="6"/>
  <c r="G1318" i="6"/>
  <c r="G1317" i="6"/>
  <c r="G1316" i="6"/>
  <c r="G1308" i="6"/>
  <c r="G1265" i="6"/>
  <c r="G1264" i="6"/>
  <c r="G1263" i="6"/>
  <c r="G1262" i="6"/>
  <c r="G1254" i="6"/>
  <c r="G1211" i="6"/>
  <c r="G1210" i="6"/>
  <c r="G1209" i="6"/>
  <c r="G1208" i="6"/>
  <c r="G1200" i="6"/>
  <c r="G1157" i="6"/>
  <c r="G1156" i="6"/>
  <c r="G1155" i="6"/>
  <c r="G1154" i="6"/>
  <c r="G1146" i="6"/>
  <c r="G1103" i="6"/>
  <c r="G1102" i="6"/>
  <c r="G1049" i="6"/>
  <c r="G1048" i="6"/>
  <c r="G995" i="6"/>
  <c r="G994" i="6"/>
  <c r="G941" i="6"/>
  <c r="G940" i="6"/>
  <c r="G876" i="6"/>
  <c r="H850" i="6"/>
  <c r="G822" i="6"/>
  <c r="G768" i="6"/>
  <c r="G714" i="6"/>
  <c r="G670" i="6"/>
  <c r="G660" i="6"/>
  <c r="G616" i="6"/>
  <c r="G615" i="6"/>
  <c r="G606" i="6"/>
  <c r="G562" i="6"/>
  <c r="G561" i="6"/>
  <c r="G552" i="6"/>
  <c r="G508" i="6"/>
  <c r="G507" i="6"/>
  <c r="G498" i="6"/>
  <c r="G390" i="6"/>
  <c r="G336" i="6"/>
  <c r="G282" i="6"/>
  <c r="G228" i="6"/>
  <c r="G183" i="6"/>
  <c r="G174" i="6"/>
  <c r="G130" i="6"/>
  <c r="G129" i="6"/>
  <c r="G128" i="6"/>
  <c r="G76" i="6"/>
  <c r="G75" i="6"/>
  <c r="G74" i="6"/>
  <c r="G66" i="6"/>
  <c r="G12" i="6"/>
  <c r="G21" i="6"/>
  <c r="G22" i="6"/>
  <c r="G20" i="6"/>
  <c r="D412" i="10"/>
  <c r="E412" i="10" s="1"/>
  <c r="G412" i="10" s="1"/>
  <c r="D411" i="10"/>
  <c r="E411" i="10" s="1"/>
  <c r="G411" i="10" s="1"/>
  <c r="D410" i="10"/>
  <c r="E410" i="10" s="1"/>
  <c r="G410" i="10" s="1"/>
  <c r="D409" i="10"/>
  <c r="E409" i="10" s="1"/>
  <c r="G409" i="10" s="1"/>
  <c r="H406" i="10"/>
  <c r="G398" i="10"/>
  <c r="E379" i="10"/>
  <c r="G379" i="10" s="1"/>
  <c r="L362" i="10"/>
  <c r="M362" i="10" s="1"/>
  <c r="O362" i="10" s="1"/>
  <c r="D362" i="10"/>
  <c r="E362" i="10" s="1"/>
  <c r="G362" i="10" s="1"/>
  <c r="L361" i="10"/>
  <c r="M361" i="10" s="1"/>
  <c r="O361" i="10" s="1"/>
  <c r="D361" i="10"/>
  <c r="E361" i="10" s="1"/>
  <c r="G361" i="10" s="1"/>
  <c r="L360" i="10"/>
  <c r="M360" i="10" s="1"/>
  <c r="O360" i="10" s="1"/>
  <c r="D360" i="10"/>
  <c r="E360" i="10" s="1"/>
  <c r="G360" i="10" s="1"/>
  <c r="L359" i="10"/>
  <c r="M359" i="10" s="1"/>
  <c r="O359" i="10" s="1"/>
  <c r="D359" i="10"/>
  <c r="E359" i="10" s="1"/>
  <c r="G359" i="10" s="1"/>
  <c r="P356" i="10"/>
  <c r="H356" i="10"/>
  <c r="M328" i="10"/>
  <c r="O328" i="10" s="1"/>
  <c r="E328" i="10"/>
  <c r="G328" i="10" s="1"/>
  <c r="H194" i="10"/>
  <c r="H140" i="10"/>
  <c r="G120" i="10"/>
  <c r="H3441" i="6"/>
  <c r="D3421" i="6"/>
  <c r="H3388" i="6"/>
  <c r="D3339" i="6"/>
  <c r="E3339" i="6" s="1"/>
  <c r="G3339" i="6" s="1"/>
  <c r="D3338" i="6"/>
  <c r="E3338" i="6" s="1"/>
  <c r="G3338" i="6" s="1"/>
  <c r="D3337" i="6"/>
  <c r="H3334" i="6"/>
  <c r="D3285" i="6"/>
  <c r="E3285" i="6" s="1"/>
  <c r="G3285" i="6" s="1"/>
  <c r="D3284" i="6"/>
  <c r="E3284" i="6" s="1"/>
  <c r="G3284" i="6" s="1"/>
  <c r="D3283" i="6"/>
  <c r="E3283" i="6" s="1"/>
  <c r="G3283" i="6" s="1"/>
  <c r="H3280" i="6"/>
  <c r="D3231" i="6"/>
  <c r="E3231" i="6" s="1"/>
  <c r="G3231" i="6" s="1"/>
  <c r="D3230" i="6"/>
  <c r="E3230" i="6" s="1"/>
  <c r="G3230" i="6" s="1"/>
  <c r="D3229" i="6"/>
  <c r="E3229" i="6" s="1"/>
  <c r="G3229" i="6" s="1"/>
  <c r="H3226" i="6"/>
  <c r="D3177" i="6"/>
  <c r="E3177" i="6" s="1"/>
  <c r="G3177" i="6" s="1"/>
  <c r="D3176" i="6"/>
  <c r="E3176" i="6" s="1"/>
  <c r="G3176" i="6" s="1"/>
  <c r="D3175" i="6"/>
  <c r="E3175" i="6" s="1"/>
  <c r="G3175" i="6" s="1"/>
  <c r="H3172" i="6"/>
  <c r="L3124" i="6"/>
  <c r="L3123" i="6"/>
  <c r="D3123" i="6"/>
  <c r="E3123" i="6" s="1"/>
  <c r="G3123" i="6" s="1"/>
  <c r="L3122" i="6"/>
  <c r="N3122" i="6" s="1"/>
  <c r="P3122" i="6" s="1"/>
  <c r="D3122" i="6"/>
  <c r="E3122" i="6" s="1"/>
  <c r="G3122" i="6" s="1"/>
  <c r="L3121" i="6"/>
  <c r="D3121" i="6"/>
  <c r="E3121" i="6" s="1"/>
  <c r="G3121" i="6" s="1"/>
  <c r="Q3118" i="6"/>
  <c r="H3118" i="6"/>
  <c r="Q3110" i="6"/>
  <c r="L3069" i="6"/>
  <c r="D3069" i="6"/>
  <c r="E3069" i="6" s="1"/>
  <c r="G3069" i="6" s="1"/>
  <c r="L3068" i="6"/>
  <c r="D3068" i="6"/>
  <c r="E3068" i="6" s="1"/>
  <c r="G3068" i="6" s="1"/>
  <c r="L3067" i="6"/>
  <c r="D3067" i="6"/>
  <c r="E3067" i="6" s="1"/>
  <c r="G3067" i="6" s="1"/>
  <c r="Q3064" i="6"/>
  <c r="H3064" i="6"/>
  <c r="Q3056" i="6"/>
  <c r="D3015" i="6"/>
  <c r="E3015" i="6" s="1"/>
  <c r="G3015" i="6" s="1"/>
  <c r="D3014" i="6"/>
  <c r="E3014" i="6" s="1"/>
  <c r="G3014" i="6" s="1"/>
  <c r="D3013" i="6"/>
  <c r="E3013" i="6" s="1"/>
  <c r="G3013" i="6" s="1"/>
  <c r="H3010" i="6"/>
  <c r="L2961" i="6"/>
  <c r="N2961" i="6" s="1"/>
  <c r="P2961" i="6" s="1"/>
  <c r="D2961" i="6"/>
  <c r="E2961" i="6" s="1"/>
  <c r="G2961" i="6" s="1"/>
  <c r="L2960" i="6"/>
  <c r="D2960" i="6"/>
  <c r="L2959" i="6"/>
  <c r="N2959" i="6" s="1"/>
  <c r="P2959" i="6" s="1"/>
  <c r="D2959" i="6"/>
  <c r="E2959" i="6" s="1"/>
  <c r="G2959" i="6" s="1"/>
  <c r="Q2956" i="6"/>
  <c r="H2956" i="6"/>
  <c r="Q2948" i="6"/>
  <c r="L2908" i="6"/>
  <c r="M2908" i="6" s="1"/>
  <c r="O2908" i="6" s="1"/>
  <c r="L2907" i="6"/>
  <c r="M2907" i="6" s="1"/>
  <c r="O2907" i="6" s="1"/>
  <c r="D2907" i="6"/>
  <c r="L2906" i="6"/>
  <c r="M2906" i="6" s="1"/>
  <c r="O2906" i="6" s="1"/>
  <c r="D2906" i="6"/>
  <c r="E2906" i="6" s="1"/>
  <c r="G2906" i="6" s="1"/>
  <c r="L2905" i="6"/>
  <c r="M2905" i="6" s="1"/>
  <c r="O2905" i="6" s="1"/>
  <c r="D2905" i="6"/>
  <c r="P2902" i="6"/>
  <c r="H2902" i="6"/>
  <c r="P2894" i="6"/>
  <c r="D2853" i="6"/>
  <c r="E2853" i="6" s="1"/>
  <c r="G2853" i="6" s="1"/>
  <c r="D2852" i="6"/>
  <c r="E2852" i="6" s="1"/>
  <c r="G2852" i="6" s="1"/>
  <c r="D2851" i="6"/>
  <c r="E2851" i="6" s="1"/>
  <c r="G2851" i="6" s="1"/>
  <c r="H2848" i="6"/>
  <c r="D2799" i="6"/>
  <c r="D2798" i="6"/>
  <c r="E2798" i="6" s="1"/>
  <c r="G2798" i="6" s="1"/>
  <c r="D2797" i="6"/>
  <c r="E2797" i="6" s="1"/>
  <c r="G2797" i="6" s="1"/>
  <c r="H2794" i="6"/>
  <c r="D2745" i="6"/>
  <c r="E2745" i="6" s="1"/>
  <c r="G2745" i="6" s="1"/>
  <c r="D2744" i="6"/>
  <c r="E2744" i="6" s="1"/>
  <c r="G2744" i="6" s="1"/>
  <c r="D2743" i="6"/>
  <c r="E2743" i="6" s="1"/>
  <c r="G2743" i="6" s="1"/>
  <c r="H2740" i="6"/>
  <c r="D2691" i="6"/>
  <c r="E2691" i="6" s="1"/>
  <c r="G2691" i="6" s="1"/>
  <c r="D2690" i="6"/>
  <c r="E2690" i="6" s="1"/>
  <c r="G2690" i="6" s="1"/>
  <c r="D2689" i="6"/>
  <c r="E2689" i="6" s="1"/>
  <c r="G2689" i="6" s="1"/>
  <c r="H2686" i="6"/>
  <c r="D2637" i="6"/>
  <c r="E2637" i="6" s="1"/>
  <c r="G2637" i="6" s="1"/>
  <c r="D2636" i="6"/>
  <c r="E2636" i="6" s="1"/>
  <c r="G2636" i="6" s="1"/>
  <c r="D2635" i="6"/>
  <c r="E2635" i="6" s="1"/>
  <c r="G2635" i="6" s="1"/>
  <c r="H2632" i="6"/>
  <c r="D2583" i="6"/>
  <c r="E2583" i="6" s="1"/>
  <c r="G2583" i="6" s="1"/>
  <c r="D2582" i="6"/>
  <c r="E2582" i="6" s="1"/>
  <c r="G2582" i="6" s="1"/>
  <c r="D2581" i="6"/>
  <c r="E2581" i="6" s="1"/>
  <c r="G2581" i="6" s="1"/>
  <c r="H2578" i="6"/>
  <c r="D2529" i="6"/>
  <c r="E2529" i="6" s="1"/>
  <c r="G2529" i="6" s="1"/>
  <c r="D2528" i="6"/>
  <c r="E2528" i="6" s="1"/>
  <c r="G2528" i="6" s="1"/>
  <c r="D2527" i="6"/>
  <c r="E2527" i="6" s="1"/>
  <c r="G2527" i="6" s="1"/>
  <c r="H2524" i="6"/>
  <c r="D2475" i="6"/>
  <c r="E2475" i="6" s="1"/>
  <c r="G2475" i="6" s="1"/>
  <c r="D2474" i="6"/>
  <c r="E2474" i="6" s="1"/>
  <c r="G2474" i="6" s="1"/>
  <c r="D2473" i="6"/>
  <c r="E2473" i="6" s="1"/>
  <c r="G2473" i="6" s="1"/>
  <c r="H2470" i="6"/>
  <c r="D2421" i="6"/>
  <c r="E2421" i="6" s="1"/>
  <c r="G2421" i="6" s="1"/>
  <c r="D2420" i="6"/>
  <c r="E2420" i="6" s="1"/>
  <c r="G2420" i="6" s="1"/>
  <c r="D2419" i="6"/>
  <c r="E2419" i="6" s="1"/>
  <c r="G2419" i="6" s="1"/>
  <c r="H2416" i="6"/>
  <c r="D2367" i="6"/>
  <c r="E2367" i="6" s="1"/>
  <c r="G2367" i="6" s="1"/>
  <c r="D2366" i="6"/>
  <c r="E2366" i="6" s="1"/>
  <c r="G2366" i="6" s="1"/>
  <c r="D2365" i="6"/>
  <c r="E2365" i="6" s="1"/>
  <c r="G2365" i="6" s="1"/>
  <c r="H2362" i="6"/>
  <c r="D2313" i="6"/>
  <c r="E2313" i="6" s="1"/>
  <c r="G2313" i="6" s="1"/>
  <c r="D2312" i="6"/>
  <c r="E2312" i="6" s="1"/>
  <c r="G2312" i="6" s="1"/>
  <c r="D2311" i="6"/>
  <c r="E2311" i="6" s="1"/>
  <c r="G2311" i="6" s="1"/>
  <c r="H2308" i="6"/>
  <c r="D2259" i="6"/>
  <c r="E2259" i="6" s="1"/>
  <c r="G2259" i="6" s="1"/>
  <c r="D2258" i="6"/>
  <c r="E2258" i="6" s="1"/>
  <c r="G2258" i="6" s="1"/>
  <c r="D2257" i="6"/>
  <c r="E2257" i="6" s="1"/>
  <c r="G2257" i="6" s="1"/>
  <c r="H2254" i="6"/>
  <c r="L2205" i="6"/>
  <c r="M2205" i="6" s="1"/>
  <c r="O2205" i="6" s="1"/>
  <c r="D2205" i="6"/>
  <c r="E2205" i="6" s="1"/>
  <c r="G2205" i="6" s="1"/>
  <c r="L2204" i="6"/>
  <c r="M2204" i="6" s="1"/>
  <c r="O2204" i="6" s="1"/>
  <c r="D2204" i="6"/>
  <c r="E2204" i="6" s="1"/>
  <c r="G2204" i="6" s="1"/>
  <c r="L2203" i="6"/>
  <c r="M2203" i="6" s="1"/>
  <c r="O2203" i="6" s="1"/>
  <c r="D2203" i="6"/>
  <c r="E2203" i="6" s="1"/>
  <c r="G2203" i="6" s="1"/>
  <c r="P2200" i="6"/>
  <c r="H2200" i="6"/>
  <c r="L2151" i="6"/>
  <c r="M2151" i="6" s="1"/>
  <c r="O2151" i="6" s="1"/>
  <c r="D2151" i="6"/>
  <c r="E2151" i="6" s="1"/>
  <c r="G2151" i="6" s="1"/>
  <c r="L2150" i="6"/>
  <c r="M2150" i="6" s="1"/>
  <c r="O2150" i="6" s="1"/>
  <c r="D2150" i="6"/>
  <c r="E2150" i="6" s="1"/>
  <c r="G2150" i="6" s="1"/>
  <c r="L2149" i="6"/>
  <c r="D2149" i="6"/>
  <c r="E2149" i="6" s="1"/>
  <c r="G2149" i="6" s="1"/>
  <c r="P2146" i="6"/>
  <c r="H2146" i="6"/>
  <c r="L2097" i="6"/>
  <c r="M2097" i="6" s="1"/>
  <c r="O2097" i="6" s="1"/>
  <c r="D2097" i="6"/>
  <c r="E2097" i="6" s="1"/>
  <c r="G2097" i="6" s="1"/>
  <c r="L2096" i="6"/>
  <c r="M2096" i="6" s="1"/>
  <c r="O2096" i="6" s="1"/>
  <c r="D2096" i="6"/>
  <c r="E2096" i="6" s="1"/>
  <c r="G2096" i="6" s="1"/>
  <c r="L2095" i="6"/>
  <c r="M2095" i="6" s="1"/>
  <c r="O2095" i="6" s="1"/>
  <c r="D2095" i="6"/>
  <c r="E2095" i="6" s="1"/>
  <c r="G2095" i="6" s="1"/>
  <c r="P2092" i="6"/>
  <c r="H2092" i="6"/>
  <c r="D2043" i="6"/>
  <c r="E2043" i="6" s="1"/>
  <c r="G2043" i="6" s="1"/>
  <c r="D2042" i="6"/>
  <c r="E2042" i="6" s="1"/>
  <c r="G2042" i="6" s="1"/>
  <c r="D2041" i="6"/>
  <c r="E2041" i="6" s="1"/>
  <c r="G2041" i="6" s="1"/>
  <c r="H2038" i="6"/>
  <c r="D1989" i="6"/>
  <c r="E1989" i="6" s="1"/>
  <c r="G1989" i="6" s="1"/>
  <c r="D1988" i="6"/>
  <c r="E1988" i="6" s="1"/>
  <c r="G1988" i="6" s="1"/>
  <c r="D1987" i="6"/>
  <c r="E1987" i="6" s="1"/>
  <c r="G1987" i="6" s="1"/>
  <c r="H1984" i="6"/>
  <c r="D1935" i="6"/>
  <c r="E1935" i="6" s="1"/>
  <c r="G1935" i="6" s="1"/>
  <c r="D1934" i="6"/>
  <c r="E1934" i="6" s="1"/>
  <c r="G1934" i="6" s="1"/>
  <c r="D1933" i="6"/>
  <c r="E1933" i="6" s="1"/>
  <c r="G1933" i="6" s="1"/>
  <c r="H1930" i="6"/>
  <c r="AR1881" i="6"/>
  <c r="AS1881" i="6" s="1"/>
  <c r="AU1881" i="6" s="1"/>
  <c r="AJ1881" i="6"/>
  <c r="AK1881" i="6" s="1"/>
  <c r="AM1881" i="6" s="1"/>
  <c r="AB1881" i="6"/>
  <c r="AC1881" i="6" s="1"/>
  <c r="AE1881" i="6" s="1"/>
  <c r="T1881" i="6"/>
  <c r="U1881" i="6" s="1"/>
  <c r="W1881" i="6" s="1"/>
  <c r="L1881" i="6"/>
  <c r="M1881" i="6" s="1"/>
  <c r="O1881" i="6" s="1"/>
  <c r="D1881" i="6"/>
  <c r="E1881" i="6" s="1"/>
  <c r="G1881" i="6" s="1"/>
  <c r="AR1880" i="6"/>
  <c r="AS1880" i="6" s="1"/>
  <c r="AU1880" i="6" s="1"/>
  <c r="AJ1880" i="6"/>
  <c r="AK1880" i="6" s="1"/>
  <c r="AM1880" i="6" s="1"/>
  <c r="AB1880" i="6"/>
  <c r="T1880" i="6"/>
  <c r="U1880" i="6" s="1"/>
  <c r="W1880" i="6" s="1"/>
  <c r="L1880" i="6"/>
  <c r="M1880" i="6" s="1"/>
  <c r="O1880" i="6" s="1"/>
  <c r="D1880" i="6"/>
  <c r="E1880" i="6" s="1"/>
  <c r="G1880" i="6" s="1"/>
  <c r="AR1879" i="6"/>
  <c r="AS1879" i="6" s="1"/>
  <c r="AU1879" i="6" s="1"/>
  <c r="AJ1879" i="6"/>
  <c r="AK1879" i="6" s="1"/>
  <c r="AM1879" i="6" s="1"/>
  <c r="AB1879" i="6"/>
  <c r="AC1879" i="6" s="1"/>
  <c r="AE1879" i="6" s="1"/>
  <c r="T1879" i="6"/>
  <c r="U1879" i="6" s="1"/>
  <c r="W1879" i="6" s="1"/>
  <c r="L1879" i="6"/>
  <c r="M1879" i="6" s="1"/>
  <c r="O1879" i="6" s="1"/>
  <c r="D1879" i="6"/>
  <c r="E1879" i="6" s="1"/>
  <c r="G1879" i="6" s="1"/>
  <c r="AV1876" i="6"/>
  <c r="AN1876" i="6"/>
  <c r="AF1876" i="6"/>
  <c r="X1876" i="6"/>
  <c r="P1876" i="6"/>
  <c r="H1876" i="6"/>
  <c r="AV1868" i="6"/>
  <c r="AN1868" i="6"/>
  <c r="AF1868" i="6"/>
  <c r="X1868" i="6"/>
  <c r="P1868" i="6"/>
  <c r="AR1827" i="6"/>
  <c r="AS1827" i="6" s="1"/>
  <c r="AU1827" i="6" s="1"/>
  <c r="AJ1827" i="6"/>
  <c r="AK1827" i="6" s="1"/>
  <c r="AM1827" i="6" s="1"/>
  <c r="AB1827" i="6"/>
  <c r="AC1827" i="6" s="1"/>
  <c r="AE1827" i="6" s="1"/>
  <c r="T1827" i="6"/>
  <c r="U1827" i="6" s="1"/>
  <c r="W1827" i="6" s="1"/>
  <c r="L1827" i="6"/>
  <c r="M1827" i="6" s="1"/>
  <c r="O1827" i="6" s="1"/>
  <c r="D1827" i="6"/>
  <c r="E1827" i="6" s="1"/>
  <c r="G1827" i="6" s="1"/>
  <c r="AR1826" i="6"/>
  <c r="AS1826" i="6" s="1"/>
  <c r="AU1826" i="6" s="1"/>
  <c r="AJ1826" i="6"/>
  <c r="AK1826" i="6" s="1"/>
  <c r="AM1826" i="6" s="1"/>
  <c r="AB1826" i="6"/>
  <c r="AC1826" i="6" s="1"/>
  <c r="AE1826" i="6" s="1"/>
  <c r="T1826" i="6"/>
  <c r="U1826" i="6" s="1"/>
  <c r="W1826" i="6" s="1"/>
  <c r="L1826" i="6"/>
  <c r="M1826" i="6" s="1"/>
  <c r="O1826" i="6" s="1"/>
  <c r="D1826" i="6"/>
  <c r="E1826" i="6" s="1"/>
  <c r="G1826" i="6" s="1"/>
  <c r="AR1825" i="6"/>
  <c r="AS1825" i="6" s="1"/>
  <c r="AU1825" i="6" s="1"/>
  <c r="AJ1825" i="6"/>
  <c r="AK1825" i="6" s="1"/>
  <c r="AM1825" i="6" s="1"/>
  <c r="AB1825" i="6"/>
  <c r="AC1825" i="6" s="1"/>
  <c r="AE1825" i="6" s="1"/>
  <c r="T1825" i="6"/>
  <c r="U1825" i="6" s="1"/>
  <c r="W1825" i="6" s="1"/>
  <c r="L1825" i="6"/>
  <c r="M1825" i="6" s="1"/>
  <c r="O1825" i="6" s="1"/>
  <c r="D1825" i="6"/>
  <c r="E1825" i="6" s="1"/>
  <c r="G1825" i="6" s="1"/>
  <c r="AV1822" i="6"/>
  <c r="AN1822" i="6"/>
  <c r="AF1822" i="6"/>
  <c r="X1822" i="6"/>
  <c r="P1822" i="6"/>
  <c r="H1822" i="6"/>
  <c r="AV1814" i="6"/>
  <c r="AN1814" i="6"/>
  <c r="AF1814" i="6"/>
  <c r="X1814" i="6"/>
  <c r="P1814" i="6"/>
  <c r="AR1773" i="6"/>
  <c r="AS1773" i="6" s="1"/>
  <c r="AU1773" i="6" s="1"/>
  <c r="AJ1773" i="6"/>
  <c r="AK1773" i="6" s="1"/>
  <c r="AM1773" i="6" s="1"/>
  <c r="AB1773" i="6"/>
  <c r="AC1773" i="6" s="1"/>
  <c r="AE1773" i="6" s="1"/>
  <c r="T1773" i="6"/>
  <c r="U1773" i="6" s="1"/>
  <c r="W1773" i="6" s="1"/>
  <c r="L1773" i="6"/>
  <c r="M1773" i="6" s="1"/>
  <c r="O1773" i="6" s="1"/>
  <c r="D1773" i="6"/>
  <c r="E1773" i="6" s="1"/>
  <c r="G1773" i="6" s="1"/>
  <c r="AR1772" i="6"/>
  <c r="AS1772" i="6" s="1"/>
  <c r="AU1772" i="6" s="1"/>
  <c r="AJ1772" i="6"/>
  <c r="AK1772" i="6" s="1"/>
  <c r="AM1772" i="6" s="1"/>
  <c r="AB1772" i="6"/>
  <c r="AC1772" i="6" s="1"/>
  <c r="AE1772" i="6" s="1"/>
  <c r="T1772" i="6"/>
  <c r="U1772" i="6" s="1"/>
  <c r="W1772" i="6" s="1"/>
  <c r="L1772" i="6"/>
  <c r="M1772" i="6" s="1"/>
  <c r="O1772" i="6" s="1"/>
  <c r="D1772" i="6"/>
  <c r="E1772" i="6" s="1"/>
  <c r="G1772" i="6" s="1"/>
  <c r="AR1771" i="6"/>
  <c r="AS1771" i="6" s="1"/>
  <c r="AU1771" i="6" s="1"/>
  <c r="AJ1771" i="6"/>
  <c r="AK1771" i="6" s="1"/>
  <c r="AM1771" i="6" s="1"/>
  <c r="AB1771" i="6"/>
  <c r="AC1771" i="6" s="1"/>
  <c r="AE1771" i="6" s="1"/>
  <c r="T1771" i="6"/>
  <c r="U1771" i="6" s="1"/>
  <c r="W1771" i="6" s="1"/>
  <c r="L1771" i="6"/>
  <c r="M1771" i="6" s="1"/>
  <c r="O1771" i="6" s="1"/>
  <c r="D1771" i="6"/>
  <c r="E1771" i="6" s="1"/>
  <c r="G1771" i="6" s="1"/>
  <c r="AV1768" i="6"/>
  <c r="AN1768" i="6"/>
  <c r="AF1768" i="6"/>
  <c r="X1768" i="6"/>
  <c r="P1768" i="6"/>
  <c r="H1768" i="6"/>
  <c r="T1719" i="6"/>
  <c r="U1719" i="6" s="1"/>
  <c r="W1719" i="6" s="1"/>
  <c r="L1719" i="6"/>
  <c r="M1719" i="6" s="1"/>
  <c r="O1719" i="6" s="1"/>
  <c r="D1719" i="6"/>
  <c r="E1719" i="6" s="1"/>
  <c r="G1719" i="6" s="1"/>
  <c r="T1718" i="6"/>
  <c r="U1718" i="6" s="1"/>
  <c r="W1718" i="6" s="1"/>
  <c r="L1718" i="6"/>
  <c r="M1718" i="6" s="1"/>
  <c r="O1718" i="6" s="1"/>
  <c r="D1718" i="6"/>
  <c r="E1718" i="6" s="1"/>
  <c r="G1718" i="6" s="1"/>
  <c r="T1717" i="6"/>
  <c r="U1717" i="6" s="1"/>
  <c r="W1717" i="6" s="1"/>
  <c r="L1717" i="6"/>
  <c r="M1717" i="6" s="1"/>
  <c r="O1717" i="6" s="1"/>
  <c r="D1717" i="6"/>
  <c r="E1717" i="6" s="1"/>
  <c r="G1717" i="6" s="1"/>
  <c r="X1714" i="6"/>
  <c r="P1714" i="6"/>
  <c r="H1714" i="6"/>
  <c r="X1706" i="6"/>
  <c r="P1706" i="6"/>
  <c r="T1665" i="6"/>
  <c r="U1665" i="6" s="1"/>
  <c r="W1665" i="6" s="1"/>
  <c r="L1665" i="6"/>
  <c r="M1665" i="6" s="1"/>
  <c r="O1665" i="6" s="1"/>
  <c r="D1665" i="6"/>
  <c r="E1665" i="6" s="1"/>
  <c r="G1665" i="6" s="1"/>
  <c r="T1664" i="6"/>
  <c r="U1664" i="6" s="1"/>
  <c r="W1664" i="6" s="1"/>
  <c r="L1664" i="6"/>
  <c r="M1664" i="6" s="1"/>
  <c r="O1664" i="6" s="1"/>
  <c r="D1664" i="6"/>
  <c r="E1664" i="6" s="1"/>
  <c r="G1664" i="6" s="1"/>
  <c r="T1663" i="6"/>
  <c r="U1663" i="6" s="1"/>
  <c r="W1663" i="6" s="1"/>
  <c r="L1663" i="6"/>
  <c r="M1663" i="6" s="1"/>
  <c r="O1663" i="6" s="1"/>
  <c r="D1663" i="6"/>
  <c r="E1663" i="6" s="1"/>
  <c r="G1663" i="6" s="1"/>
  <c r="X1660" i="6"/>
  <c r="P1660" i="6"/>
  <c r="H1660" i="6"/>
  <c r="X1652" i="6"/>
  <c r="P1652" i="6"/>
  <c r="T1611" i="6"/>
  <c r="U1611" i="6" s="1"/>
  <c r="W1611" i="6" s="1"/>
  <c r="L1611" i="6"/>
  <c r="M1611" i="6" s="1"/>
  <c r="O1611" i="6" s="1"/>
  <c r="D1611" i="6"/>
  <c r="E1611" i="6" s="1"/>
  <c r="G1611" i="6" s="1"/>
  <c r="T1610" i="6"/>
  <c r="U1610" i="6" s="1"/>
  <c r="W1610" i="6" s="1"/>
  <c r="L1610" i="6"/>
  <c r="M1610" i="6" s="1"/>
  <c r="O1610" i="6" s="1"/>
  <c r="D1610" i="6"/>
  <c r="E1610" i="6" s="1"/>
  <c r="G1610" i="6" s="1"/>
  <c r="T1609" i="6"/>
  <c r="U1609" i="6" s="1"/>
  <c r="W1609" i="6" s="1"/>
  <c r="L1609" i="6"/>
  <c r="M1609" i="6" s="1"/>
  <c r="O1609" i="6" s="1"/>
  <c r="D1609" i="6"/>
  <c r="E1609" i="6" s="1"/>
  <c r="G1609" i="6" s="1"/>
  <c r="X1606" i="6"/>
  <c r="P1606" i="6"/>
  <c r="H1606" i="6"/>
  <c r="X1598" i="6"/>
  <c r="P1598" i="6"/>
  <c r="L1557" i="6"/>
  <c r="M1557" i="6" s="1"/>
  <c r="O1557" i="6" s="1"/>
  <c r="D1557" i="6"/>
  <c r="E1557" i="6" s="1"/>
  <c r="G1557" i="6" s="1"/>
  <c r="L1556" i="6"/>
  <c r="M1556" i="6" s="1"/>
  <c r="O1556" i="6" s="1"/>
  <c r="D1556" i="6"/>
  <c r="E1556" i="6" s="1"/>
  <c r="G1556" i="6" s="1"/>
  <c r="L1555" i="6"/>
  <c r="M1555" i="6" s="1"/>
  <c r="O1555" i="6" s="1"/>
  <c r="D1555" i="6"/>
  <c r="E1555" i="6" s="1"/>
  <c r="G1555" i="6" s="1"/>
  <c r="P1552" i="6"/>
  <c r="H1552" i="6"/>
  <c r="T1503" i="6"/>
  <c r="U1503" i="6" s="1"/>
  <c r="W1503" i="6" s="1"/>
  <c r="L1503" i="6"/>
  <c r="M1503" i="6" s="1"/>
  <c r="O1503" i="6" s="1"/>
  <c r="D1503" i="6"/>
  <c r="E1503" i="6" s="1"/>
  <c r="G1503" i="6" s="1"/>
  <c r="T1502" i="6"/>
  <c r="U1502" i="6" s="1"/>
  <c r="W1502" i="6" s="1"/>
  <c r="L1502" i="6"/>
  <c r="M1502" i="6" s="1"/>
  <c r="O1502" i="6" s="1"/>
  <c r="D1502" i="6"/>
  <c r="E1502" i="6" s="1"/>
  <c r="G1502" i="6" s="1"/>
  <c r="T1501" i="6"/>
  <c r="U1501" i="6" s="1"/>
  <c r="W1501" i="6" s="1"/>
  <c r="L1501" i="6"/>
  <c r="M1501" i="6" s="1"/>
  <c r="O1501" i="6" s="1"/>
  <c r="D1501" i="6"/>
  <c r="E1501" i="6" s="1"/>
  <c r="G1501" i="6" s="1"/>
  <c r="X1498" i="6"/>
  <c r="P1498" i="6"/>
  <c r="H1498" i="6"/>
  <c r="W1471" i="6"/>
  <c r="O1471" i="6"/>
  <c r="T1449" i="6"/>
  <c r="U1449" i="6" s="1"/>
  <c r="W1449" i="6" s="1"/>
  <c r="L1449" i="6"/>
  <c r="M1449" i="6" s="1"/>
  <c r="O1449" i="6" s="1"/>
  <c r="D1449" i="6"/>
  <c r="E1449" i="6" s="1"/>
  <c r="G1449" i="6" s="1"/>
  <c r="T1448" i="6"/>
  <c r="U1448" i="6" s="1"/>
  <c r="W1448" i="6" s="1"/>
  <c r="L1448" i="6"/>
  <c r="M1448" i="6" s="1"/>
  <c r="O1448" i="6" s="1"/>
  <c r="D1448" i="6"/>
  <c r="E1448" i="6" s="1"/>
  <c r="G1448" i="6" s="1"/>
  <c r="T1447" i="6"/>
  <c r="U1447" i="6" s="1"/>
  <c r="W1447" i="6" s="1"/>
  <c r="L1447" i="6"/>
  <c r="M1447" i="6" s="1"/>
  <c r="O1447" i="6" s="1"/>
  <c r="D1447" i="6"/>
  <c r="E1447" i="6" s="1"/>
  <c r="G1447" i="6" s="1"/>
  <c r="X1444" i="6"/>
  <c r="P1444" i="6"/>
  <c r="H1444" i="6"/>
  <c r="T1395" i="6"/>
  <c r="L1395" i="6"/>
  <c r="M1395" i="6" s="1"/>
  <c r="O1395" i="6" s="1"/>
  <c r="D1395" i="6"/>
  <c r="E1395" i="6" s="1"/>
  <c r="G1395" i="6" s="1"/>
  <c r="T1394" i="6"/>
  <c r="U1394" i="6" s="1"/>
  <c r="W1394" i="6" s="1"/>
  <c r="L1394" i="6"/>
  <c r="D1394" i="6"/>
  <c r="E1394" i="6" s="1"/>
  <c r="G1394" i="6" s="1"/>
  <c r="T1393" i="6"/>
  <c r="U1393" i="6" s="1"/>
  <c r="W1393" i="6" s="1"/>
  <c r="L1393" i="6"/>
  <c r="M1393" i="6" s="1"/>
  <c r="O1393" i="6" s="1"/>
  <c r="D1393" i="6"/>
  <c r="E1393" i="6" s="1"/>
  <c r="G1393" i="6" s="1"/>
  <c r="X1390" i="6"/>
  <c r="P1390" i="6"/>
  <c r="H1390" i="6"/>
  <c r="O1370" i="6"/>
  <c r="D1341" i="6"/>
  <c r="E1341" i="6" s="1"/>
  <c r="G1341" i="6" s="1"/>
  <c r="D1340" i="6"/>
  <c r="E1340" i="6" s="1"/>
  <c r="G1340" i="6" s="1"/>
  <c r="D1339" i="6"/>
  <c r="E1339" i="6" s="1"/>
  <c r="G1339" i="6" s="1"/>
  <c r="H1336" i="6"/>
  <c r="D1287" i="6"/>
  <c r="E1287" i="6" s="1"/>
  <c r="G1287" i="6" s="1"/>
  <c r="D1286" i="6"/>
  <c r="E1286" i="6" s="1"/>
  <c r="G1286" i="6" s="1"/>
  <c r="D1285" i="6"/>
  <c r="E1285" i="6" s="1"/>
  <c r="G1285" i="6" s="1"/>
  <c r="H1282" i="6"/>
  <c r="D1233" i="6"/>
  <c r="E1233" i="6" s="1"/>
  <c r="G1233" i="6" s="1"/>
  <c r="D1232" i="6"/>
  <c r="E1232" i="6" s="1"/>
  <c r="G1232" i="6" s="1"/>
  <c r="D1231" i="6"/>
  <c r="E1231" i="6" s="1"/>
  <c r="G1231" i="6" s="1"/>
  <c r="H1228" i="6"/>
  <c r="D1179" i="6"/>
  <c r="E1179" i="6" s="1"/>
  <c r="G1179" i="6" s="1"/>
  <c r="D1178" i="6"/>
  <c r="E1178" i="6" s="1"/>
  <c r="G1178" i="6" s="1"/>
  <c r="D1177" i="6"/>
  <c r="E1177" i="6" s="1"/>
  <c r="G1177" i="6" s="1"/>
  <c r="H1174" i="6"/>
  <c r="D1125" i="6"/>
  <c r="E1125" i="6" s="1"/>
  <c r="G1125" i="6" s="1"/>
  <c r="D1124" i="6"/>
  <c r="E1124" i="6" s="1"/>
  <c r="G1124" i="6" s="1"/>
  <c r="D1123" i="6"/>
  <c r="H1120" i="6"/>
  <c r="D1071" i="6"/>
  <c r="E1071" i="6" s="1"/>
  <c r="G1071" i="6" s="1"/>
  <c r="D1070" i="6"/>
  <c r="E1070" i="6" s="1"/>
  <c r="G1070" i="6" s="1"/>
  <c r="D1069" i="6"/>
  <c r="E1069" i="6" s="1"/>
  <c r="G1069" i="6" s="1"/>
  <c r="H1066" i="6"/>
  <c r="D1017" i="6"/>
  <c r="E1017" i="6" s="1"/>
  <c r="G1017" i="6" s="1"/>
  <c r="D1016" i="6"/>
  <c r="E1016" i="6" s="1"/>
  <c r="G1016" i="6" s="1"/>
  <c r="D1015" i="6"/>
  <c r="H1012" i="6"/>
  <c r="D963" i="6"/>
  <c r="E963" i="6" s="1"/>
  <c r="G963" i="6" s="1"/>
  <c r="D962" i="6"/>
  <c r="E962" i="6" s="1"/>
  <c r="G962" i="6" s="1"/>
  <c r="D961" i="6"/>
  <c r="E961" i="6" s="1"/>
  <c r="G961" i="6" s="1"/>
  <c r="H958" i="6"/>
  <c r="D910" i="6"/>
  <c r="E910" i="6" s="1"/>
  <c r="G910" i="6" s="1"/>
  <c r="D909" i="6"/>
  <c r="E909" i="6" s="1"/>
  <c r="G909" i="6" s="1"/>
  <c r="D908" i="6"/>
  <c r="E908" i="6" s="1"/>
  <c r="G908" i="6" s="1"/>
  <c r="D907" i="6"/>
  <c r="E907" i="6" s="1"/>
  <c r="G907" i="6" s="1"/>
  <c r="H904" i="6"/>
  <c r="D856" i="6"/>
  <c r="E856" i="6" s="1"/>
  <c r="G856" i="6" s="1"/>
  <c r="D855" i="6"/>
  <c r="E855" i="6" s="1"/>
  <c r="G855" i="6" s="1"/>
  <c r="D854" i="6"/>
  <c r="E854" i="6" s="1"/>
  <c r="G854" i="6" s="1"/>
  <c r="D853" i="6"/>
  <c r="E853" i="6" s="1"/>
  <c r="G853" i="6" s="1"/>
  <c r="D802" i="6"/>
  <c r="E802" i="6" s="1"/>
  <c r="G802" i="6" s="1"/>
  <c r="D801" i="6"/>
  <c r="E801" i="6" s="1"/>
  <c r="G801" i="6" s="1"/>
  <c r="D800" i="6"/>
  <c r="E800" i="6" s="1"/>
  <c r="G800" i="6" s="1"/>
  <c r="D799" i="6"/>
  <c r="E799" i="6" s="1"/>
  <c r="G799" i="6" s="1"/>
  <c r="H796" i="6"/>
  <c r="D748" i="6"/>
  <c r="E748" i="6" s="1"/>
  <c r="G748" i="6" s="1"/>
  <c r="D747" i="6"/>
  <c r="E747" i="6" s="1"/>
  <c r="G747" i="6" s="1"/>
  <c r="D746" i="6"/>
  <c r="E746" i="6" s="1"/>
  <c r="G746" i="6" s="1"/>
  <c r="D745" i="6"/>
  <c r="E745" i="6" s="1"/>
  <c r="G745" i="6" s="1"/>
  <c r="H742" i="6"/>
  <c r="D694" i="6"/>
  <c r="E694" i="6" s="1"/>
  <c r="G694" i="6" s="1"/>
  <c r="D693" i="6"/>
  <c r="E693" i="6" s="1"/>
  <c r="G693" i="6" s="1"/>
  <c r="D692" i="6"/>
  <c r="E692" i="6" s="1"/>
  <c r="G692" i="6" s="1"/>
  <c r="D691" i="6"/>
  <c r="E691" i="6" s="1"/>
  <c r="G691" i="6" s="1"/>
  <c r="H688" i="6"/>
  <c r="D640" i="6"/>
  <c r="E640" i="6" s="1"/>
  <c r="G640" i="6" s="1"/>
  <c r="D639" i="6"/>
  <c r="E639" i="6" s="1"/>
  <c r="G639" i="6" s="1"/>
  <c r="D638" i="6"/>
  <c r="E638" i="6" s="1"/>
  <c r="G638" i="6" s="1"/>
  <c r="D637" i="6"/>
  <c r="E637" i="6" s="1"/>
  <c r="G637" i="6" s="1"/>
  <c r="H634" i="6"/>
  <c r="D585" i="6"/>
  <c r="E585" i="6" s="1"/>
  <c r="G585" i="6" s="1"/>
  <c r="D584" i="6"/>
  <c r="E584" i="6" s="1"/>
  <c r="G584" i="6" s="1"/>
  <c r="D583" i="6"/>
  <c r="E583" i="6" s="1"/>
  <c r="G583" i="6" s="1"/>
  <c r="H580" i="6"/>
  <c r="D560" i="6"/>
  <c r="D531" i="6"/>
  <c r="E531" i="6" s="1"/>
  <c r="G531" i="6" s="1"/>
  <c r="D530" i="6"/>
  <c r="E530" i="6" s="1"/>
  <c r="G530" i="6" s="1"/>
  <c r="D529" i="6"/>
  <c r="E529" i="6" s="1"/>
  <c r="G529" i="6" s="1"/>
  <c r="H526" i="6"/>
  <c r="D506" i="6"/>
  <c r="D477" i="6"/>
  <c r="E477" i="6" s="1"/>
  <c r="G477" i="6" s="1"/>
  <c r="D476" i="6"/>
  <c r="E476" i="6" s="1"/>
  <c r="G476" i="6" s="1"/>
  <c r="D475" i="6"/>
  <c r="E475" i="6" s="1"/>
  <c r="G475" i="6" s="1"/>
  <c r="H472" i="6"/>
  <c r="D452" i="6"/>
  <c r="L423" i="6"/>
  <c r="M423" i="6" s="1"/>
  <c r="O423" i="6" s="1"/>
  <c r="D423" i="6"/>
  <c r="E423" i="6" s="1"/>
  <c r="G423" i="6" s="1"/>
  <c r="L422" i="6"/>
  <c r="M422" i="6" s="1"/>
  <c r="O422" i="6" s="1"/>
  <c r="D422" i="6"/>
  <c r="E422" i="6" s="1"/>
  <c r="G422" i="6" s="1"/>
  <c r="L421" i="6"/>
  <c r="M421" i="6" s="1"/>
  <c r="O421" i="6" s="1"/>
  <c r="D421" i="6"/>
  <c r="E421" i="6" s="1"/>
  <c r="G421" i="6" s="1"/>
  <c r="P418" i="6"/>
  <c r="H418" i="6"/>
  <c r="O400" i="6"/>
  <c r="L398" i="6"/>
  <c r="D398" i="6"/>
  <c r="O391" i="6"/>
  <c r="L369" i="6"/>
  <c r="M369" i="6" s="1"/>
  <c r="O369" i="6" s="1"/>
  <c r="D369" i="6"/>
  <c r="E369" i="6" s="1"/>
  <c r="G369" i="6" s="1"/>
  <c r="L368" i="6"/>
  <c r="M368" i="6" s="1"/>
  <c r="O368" i="6" s="1"/>
  <c r="D368" i="6"/>
  <c r="E368" i="6" s="1"/>
  <c r="G368" i="6" s="1"/>
  <c r="L367" i="6"/>
  <c r="M367" i="6" s="1"/>
  <c r="O367" i="6" s="1"/>
  <c r="D367" i="6"/>
  <c r="E367" i="6" s="1"/>
  <c r="G367" i="6" s="1"/>
  <c r="P364" i="6"/>
  <c r="H364" i="6"/>
  <c r="L344" i="6"/>
  <c r="D344" i="6"/>
  <c r="L315" i="6"/>
  <c r="M315" i="6" s="1"/>
  <c r="O315" i="6" s="1"/>
  <c r="D315" i="6"/>
  <c r="E315" i="6" s="1"/>
  <c r="G315" i="6" s="1"/>
  <c r="L314" i="6"/>
  <c r="M314" i="6" s="1"/>
  <c r="O314" i="6" s="1"/>
  <c r="D314" i="6"/>
  <c r="E314" i="6" s="1"/>
  <c r="G314" i="6" s="1"/>
  <c r="L313" i="6"/>
  <c r="M313" i="6" s="1"/>
  <c r="O313" i="6" s="1"/>
  <c r="D313" i="6"/>
  <c r="E313" i="6" s="1"/>
  <c r="G313" i="6" s="1"/>
  <c r="P310" i="6"/>
  <c r="H310" i="6"/>
  <c r="L261" i="6"/>
  <c r="M261" i="6" s="1"/>
  <c r="O261" i="6" s="1"/>
  <c r="D261" i="6"/>
  <c r="E261" i="6" s="1"/>
  <c r="G261" i="6" s="1"/>
  <c r="L260" i="6"/>
  <c r="D260" i="6"/>
  <c r="E260" i="6" s="1"/>
  <c r="G260" i="6" s="1"/>
  <c r="L259" i="6"/>
  <c r="M259" i="6" s="1"/>
  <c r="O259" i="6" s="1"/>
  <c r="D259" i="6"/>
  <c r="E259" i="6" s="1"/>
  <c r="G259" i="6" s="1"/>
  <c r="P256" i="6"/>
  <c r="H256" i="6"/>
  <c r="L236" i="6"/>
  <c r="D236" i="6"/>
  <c r="L207" i="6"/>
  <c r="D207" i="6"/>
  <c r="E207" i="6" s="1"/>
  <c r="G207" i="6" s="1"/>
  <c r="L206" i="6"/>
  <c r="M206" i="6" s="1"/>
  <c r="O206" i="6" s="1"/>
  <c r="D206" i="6"/>
  <c r="E206" i="6" s="1"/>
  <c r="G206" i="6" s="1"/>
  <c r="L205" i="6"/>
  <c r="M205" i="6" s="1"/>
  <c r="O205" i="6" s="1"/>
  <c r="D205" i="6"/>
  <c r="E205" i="6" s="1"/>
  <c r="G205" i="6" s="1"/>
  <c r="X202" i="6"/>
  <c r="P202" i="6"/>
  <c r="H202" i="6"/>
  <c r="T182" i="6"/>
  <c r="W182" i="6" s="1"/>
  <c r="L182" i="6"/>
  <c r="D153" i="6"/>
  <c r="E153" i="6" s="1"/>
  <c r="G153" i="6" s="1"/>
  <c r="D152" i="6"/>
  <c r="E152" i="6" s="1"/>
  <c r="G152" i="6" s="1"/>
  <c r="D151" i="6"/>
  <c r="E151" i="6" s="1"/>
  <c r="G151" i="6" s="1"/>
  <c r="H148" i="6"/>
  <c r="D99" i="6"/>
  <c r="E99" i="6" s="1"/>
  <c r="G99" i="6" s="1"/>
  <c r="D98" i="6"/>
  <c r="E98" i="6" s="1"/>
  <c r="G98" i="6" s="1"/>
  <c r="D97" i="6"/>
  <c r="E97" i="6" s="1"/>
  <c r="G97" i="6" s="1"/>
  <c r="H94" i="6"/>
  <c r="D45" i="6"/>
  <c r="E45" i="6" s="1"/>
  <c r="G45" i="6" s="1"/>
  <c r="D44" i="6"/>
  <c r="E44" i="6" s="1"/>
  <c r="G44" i="6" s="1"/>
  <c r="D43" i="6"/>
  <c r="E43" i="6" s="1"/>
  <c r="G43" i="6" s="1"/>
  <c r="H40" i="6"/>
  <c r="D1507" i="8"/>
  <c r="E1507" i="8" s="1"/>
  <c r="G1507" i="8" s="1"/>
  <c r="M207" i="6"/>
  <c r="O207" i="6" s="1"/>
  <c r="AC1880" i="6"/>
  <c r="AE1880" i="6" s="1"/>
  <c r="E2905" i="6"/>
  <c r="G2905" i="6" s="1"/>
  <c r="E1015" i="6"/>
  <c r="G1015" i="6" s="1"/>
  <c r="U1395" i="6"/>
  <c r="W1395" i="6" s="1"/>
  <c r="W174" i="6"/>
  <c r="E2799" i="6"/>
  <c r="G2799" i="6" s="1"/>
  <c r="E2907" i="6"/>
  <c r="G2907" i="6" s="1"/>
  <c r="O174" i="6"/>
  <c r="E1123" i="6"/>
  <c r="G1123" i="6" s="1"/>
  <c r="E2960" i="6"/>
  <c r="G2960" i="6" s="1"/>
  <c r="M260" i="6"/>
  <c r="O260" i="6" s="1"/>
  <c r="E3337" i="6"/>
  <c r="G3337" i="6" s="1"/>
  <c r="O390" i="6"/>
  <c r="O282" i="6"/>
  <c r="AV1760" i="6"/>
  <c r="W1748" i="6"/>
  <c r="X1760" i="6" s="1"/>
  <c r="W1416" i="6"/>
  <c r="O1686" i="6"/>
  <c r="O1470" i="6"/>
  <c r="O1362" i="6"/>
  <c r="AF1760" i="6"/>
  <c r="O1525" i="6"/>
  <c r="W1686" i="6"/>
  <c r="W1470" i="6"/>
  <c r="W1362" i="6"/>
  <c r="AN1760" i="6"/>
  <c r="P1760" i="6"/>
  <c r="O1524" i="6"/>
  <c r="O1416" i="6"/>
  <c r="O228" i="6"/>
  <c r="O290" i="6"/>
  <c r="O336" i="6"/>
  <c r="M1394" i="6"/>
  <c r="O1394" i="6" s="1"/>
  <c r="M2149" i="6"/>
  <c r="O2149" i="6" s="1"/>
  <c r="F392" i="1"/>
  <c r="G392" i="1" s="1"/>
  <c r="F206" i="1"/>
  <c r="G206" i="1" s="1"/>
  <c r="F205" i="1"/>
  <c r="G205" i="1" s="1"/>
  <c r="F204" i="1"/>
  <c r="G204" i="1" s="1"/>
  <c r="F203" i="1"/>
  <c r="G203" i="1" s="1"/>
  <c r="F202" i="1"/>
  <c r="G202" i="1" s="1"/>
  <c r="F201" i="1"/>
  <c r="G201" i="1" s="1"/>
  <c r="F200" i="1"/>
  <c r="G200" i="1" s="1"/>
  <c r="F199" i="1"/>
  <c r="G199" i="1" s="1"/>
  <c r="F198" i="1"/>
  <c r="G198" i="1" s="1"/>
  <c r="F197" i="1"/>
  <c r="G197" i="1" s="1"/>
  <c r="F196" i="1"/>
  <c r="G196" i="1" s="1"/>
  <c r="F195" i="1"/>
  <c r="G195" i="1" s="1"/>
  <c r="F194" i="1"/>
  <c r="G194" i="1" s="1"/>
  <c r="F193" i="1"/>
  <c r="G193" i="1" s="1"/>
  <c r="F192" i="1"/>
  <c r="G192" i="1" s="1"/>
  <c r="F191" i="1"/>
  <c r="G191" i="1" s="1"/>
  <c r="F190" i="1"/>
  <c r="G190" i="1" s="1"/>
  <c r="F189" i="1"/>
  <c r="G189" i="1" s="1"/>
  <c r="F188" i="1"/>
  <c r="G188" i="1" s="1"/>
  <c r="F187" i="1"/>
  <c r="G187" i="1" s="1"/>
  <c r="F186" i="1"/>
  <c r="G186" i="1" s="1"/>
  <c r="F184" i="1"/>
  <c r="G184" i="1" s="1"/>
  <c r="F183" i="1"/>
  <c r="G183" i="1" s="1"/>
  <c r="F182" i="1"/>
  <c r="G182" i="1" s="1"/>
  <c r="F181" i="1"/>
  <c r="G181" i="1" s="1"/>
  <c r="F180" i="1"/>
  <c r="G180" i="1" s="1"/>
  <c r="F179" i="1"/>
  <c r="G179" i="1" s="1"/>
  <c r="F178" i="1"/>
  <c r="G178" i="1" s="1"/>
  <c r="F177" i="1"/>
  <c r="G177" i="1" s="1"/>
  <c r="F176" i="1"/>
  <c r="G176" i="1" s="1"/>
  <c r="F175" i="1"/>
  <c r="G175" i="1" s="1"/>
  <c r="F174" i="1"/>
  <c r="G174" i="1" s="1"/>
  <c r="F173" i="1"/>
  <c r="G173" i="1" s="1"/>
  <c r="F172" i="1"/>
  <c r="G172" i="1" s="1"/>
  <c r="F171" i="1"/>
  <c r="G171" i="1" s="1"/>
  <c r="F170" i="1"/>
  <c r="G170" i="1" s="1"/>
  <c r="F169" i="1"/>
  <c r="G169" i="1" s="1"/>
  <c r="F162" i="1"/>
  <c r="G162" i="1" s="1"/>
  <c r="F156" i="1"/>
  <c r="G156" i="1" s="1"/>
  <c r="F127" i="1"/>
  <c r="G127" i="1" s="1"/>
  <c r="F125" i="1"/>
  <c r="G125" i="1" s="1"/>
  <c r="F126" i="1"/>
  <c r="G126" i="1" s="1"/>
  <c r="F2417" i="3"/>
  <c r="G2417" i="3" s="1"/>
  <c r="H2417" i="3" s="1"/>
  <c r="E2417" i="18" s="1"/>
  <c r="F2416" i="3"/>
  <c r="G2416" i="3" s="1"/>
  <c r="H2416" i="3" s="1"/>
  <c r="E2416" i="18" s="1"/>
  <c r="F2413" i="3"/>
  <c r="G2413" i="3" s="1"/>
  <c r="H2413" i="3" s="1"/>
  <c r="E2415" i="18" s="1"/>
  <c r="F2412" i="3"/>
  <c r="G2412" i="3" s="1"/>
  <c r="H2412" i="3" s="1"/>
  <c r="E2414" i="18" s="1"/>
  <c r="F2411" i="3"/>
  <c r="F2409" i="3"/>
  <c r="G2409" i="3" s="1"/>
  <c r="H1611" i="8"/>
  <c r="H1557" i="8"/>
  <c r="H1503" i="8"/>
  <c r="H1449" i="8"/>
  <c r="H1395" i="8"/>
  <c r="H1341" i="8"/>
  <c r="H1287" i="8"/>
  <c r="H1233" i="8"/>
  <c r="H1179" i="8"/>
  <c r="H639" i="8"/>
  <c r="H585" i="8"/>
  <c r="H1017" i="8"/>
  <c r="H963" i="8"/>
  <c r="H909" i="8"/>
  <c r="H855" i="8"/>
  <c r="H801" i="8"/>
  <c r="H747" i="8"/>
  <c r="H693" i="8"/>
  <c r="H1071" i="8"/>
  <c r="G1051" i="8"/>
  <c r="H477" i="8"/>
  <c r="H423" i="8"/>
  <c r="H315" i="8"/>
  <c r="H261" i="8"/>
  <c r="H207" i="8"/>
  <c r="D1615" i="8"/>
  <c r="E1615" i="8" s="1"/>
  <c r="G1615" i="8" s="1"/>
  <c r="D913" i="8"/>
  <c r="E913" i="8" s="1"/>
  <c r="G913" i="8" s="1"/>
  <c r="D320" i="8"/>
  <c r="D912" i="8"/>
  <c r="E912" i="8" s="1"/>
  <c r="G912" i="8" s="1"/>
  <c r="D319" i="8"/>
  <c r="E319" i="8" s="1"/>
  <c r="G319" i="8" s="1"/>
  <c r="D427" i="8"/>
  <c r="E427" i="8" s="1"/>
  <c r="G427" i="8" s="1"/>
  <c r="D1454" i="8"/>
  <c r="E1454" i="8" s="1"/>
  <c r="G1454" i="8" s="1"/>
  <c r="D1020" i="8"/>
  <c r="E1020" i="8" s="1"/>
  <c r="G1020" i="8" s="1"/>
  <c r="D426" i="8"/>
  <c r="E426" i="8" s="1"/>
  <c r="G426" i="8" s="1"/>
  <c r="D1562" i="8"/>
  <c r="E1562" i="8" s="1"/>
  <c r="G1562" i="8" s="1"/>
  <c r="D589" i="8"/>
  <c r="E589" i="8" s="1"/>
  <c r="G589" i="8" s="1"/>
  <c r="D1075" i="8"/>
  <c r="E1075" i="8" s="1"/>
  <c r="G1075" i="8" s="1"/>
  <c r="D1561" i="8"/>
  <c r="E1561" i="8" s="1"/>
  <c r="G1561" i="8" s="1"/>
  <c r="D588" i="8"/>
  <c r="E588" i="8" s="1"/>
  <c r="G588" i="8" s="1"/>
  <c r="D697" i="8"/>
  <c r="E697" i="8" s="1"/>
  <c r="G697" i="8" s="1"/>
  <c r="D968" i="8"/>
  <c r="E968" i="8" s="1"/>
  <c r="G968" i="8" s="1"/>
  <c r="D1291" i="8"/>
  <c r="E1291" i="8" s="1"/>
  <c r="G1291" i="8" s="1"/>
  <c r="D967" i="8"/>
  <c r="E967" i="8" s="1"/>
  <c r="G967" i="8" s="1"/>
  <c r="D428" i="8"/>
  <c r="E428" i="8" s="1"/>
  <c r="G428" i="8" s="1"/>
  <c r="D1290" i="8"/>
  <c r="E1290" i="8" s="1"/>
  <c r="G1290" i="8" s="1"/>
  <c r="D482" i="8"/>
  <c r="E482" i="8" s="1"/>
  <c r="G482" i="8" s="1"/>
  <c r="D590" i="8"/>
  <c r="E590" i="8" s="1"/>
  <c r="G590" i="8" s="1"/>
  <c r="D481" i="8"/>
  <c r="E481" i="8" s="1"/>
  <c r="G481" i="8" s="1"/>
  <c r="D49" i="8"/>
  <c r="E49" i="8" s="1"/>
  <c r="G49" i="8" s="1"/>
  <c r="D698" i="8"/>
  <c r="E698" i="8" s="1"/>
  <c r="G698" i="8" s="1"/>
  <c r="D1616" i="8"/>
  <c r="E1616" i="8" s="1"/>
  <c r="G1616" i="8" s="1"/>
  <c r="D644" i="8"/>
  <c r="E644" i="8" s="1"/>
  <c r="G644" i="8" s="1"/>
  <c r="D752" i="8"/>
  <c r="E752" i="8" s="1"/>
  <c r="G752" i="8" s="1"/>
  <c r="D102" i="8"/>
  <c r="E102" i="8" s="1"/>
  <c r="G102" i="8" s="1"/>
  <c r="D643" i="8"/>
  <c r="E643" i="8" s="1"/>
  <c r="G643" i="8" s="1"/>
  <c r="D696" i="8"/>
  <c r="E696" i="8" s="1"/>
  <c r="G696" i="8" s="1"/>
  <c r="D1022" i="8"/>
  <c r="E1022" i="8" s="1"/>
  <c r="G1022" i="8" s="1"/>
  <c r="D50" i="8"/>
  <c r="E50" i="8" s="1"/>
  <c r="G50" i="8" s="1"/>
  <c r="D104" i="8"/>
  <c r="E104" i="8" s="1"/>
  <c r="G104" i="8" s="1"/>
  <c r="D48" i="8"/>
  <c r="E48" i="8" s="1"/>
  <c r="G48" i="8" s="1"/>
  <c r="D1184" i="8"/>
  <c r="E1184" i="8" s="1"/>
  <c r="G1184" i="8" s="1"/>
  <c r="D158" i="8"/>
  <c r="E158" i="8" s="1"/>
  <c r="G158" i="8" s="1"/>
  <c r="D1183" i="8"/>
  <c r="E1183" i="8" s="1"/>
  <c r="G1183" i="8" s="1"/>
  <c r="D751" i="8"/>
  <c r="E751" i="8" s="1"/>
  <c r="G751" i="8" s="1"/>
  <c r="D642" i="8"/>
  <c r="E642" i="8" s="1"/>
  <c r="G642" i="8" s="1"/>
  <c r="D750" i="8"/>
  <c r="E750" i="8" s="1"/>
  <c r="G750" i="8" s="1"/>
  <c r="D156" i="8"/>
  <c r="E156" i="8" s="1"/>
  <c r="G156" i="8" s="1"/>
  <c r="D804" i="8"/>
  <c r="E804" i="8" s="1"/>
  <c r="G804" i="8" s="1"/>
  <c r="D211" i="8"/>
  <c r="E211" i="8" s="1"/>
  <c r="G211" i="8" s="1"/>
  <c r="D1076" i="8"/>
  <c r="E1076" i="8" s="1"/>
  <c r="G1076" i="8" s="1"/>
  <c r="D103" i="8"/>
  <c r="E103" i="8" s="1"/>
  <c r="G103" i="8" s="1"/>
  <c r="D859" i="8"/>
  <c r="E859" i="8" s="1"/>
  <c r="G859" i="8" s="1"/>
  <c r="D264" i="8"/>
  <c r="E264" i="8" s="1"/>
  <c r="G264" i="8" s="1"/>
  <c r="D1292" i="8"/>
  <c r="E1292" i="8" s="1"/>
  <c r="G1292" i="8" s="1"/>
  <c r="D806" i="8"/>
  <c r="E806" i="8" s="1"/>
  <c r="G806" i="8" s="1"/>
  <c r="D1614" i="8"/>
  <c r="E1614" i="8" s="1"/>
  <c r="G1614" i="8" s="1"/>
  <c r="D1182" i="8"/>
  <c r="E1182" i="8" s="1"/>
  <c r="G1182" i="8" s="1"/>
  <c r="D805" i="8"/>
  <c r="E805" i="8" s="1"/>
  <c r="G805" i="8" s="1"/>
  <c r="D212" i="8"/>
  <c r="E212" i="8" s="1"/>
  <c r="G212" i="8" s="1"/>
  <c r="D966" i="8"/>
  <c r="E966" i="8" s="1"/>
  <c r="G966" i="8" s="1"/>
  <c r="D210" i="8"/>
  <c r="E210" i="8" s="1"/>
  <c r="G210" i="8" s="1"/>
  <c r="D1399" i="8"/>
  <c r="E1399" i="8" s="1"/>
  <c r="G1399" i="8" s="1"/>
  <c r="D860" i="8"/>
  <c r="E860" i="8" s="1"/>
  <c r="G860" i="8" s="1"/>
  <c r="D265" i="8"/>
  <c r="E265" i="8" s="1"/>
  <c r="G265" i="8" s="1"/>
  <c r="D1398" i="8"/>
  <c r="E1398" i="8" s="1"/>
  <c r="G1398" i="8" s="1"/>
  <c r="D914" i="8"/>
  <c r="E914" i="8" s="1"/>
  <c r="G914" i="8" s="1"/>
  <c r="D1560" i="8"/>
  <c r="E1560" i="8" s="1"/>
  <c r="G1560" i="8" s="1"/>
  <c r="D858" i="8"/>
  <c r="E858" i="8" s="1"/>
  <c r="G858" i="8" s="1"/>
  <c r="D157" i="8"/>
  <c r="E157" i="8" s="1"/>
  <c r="G157" i="8" s="1"/>
  <c r="D1021" i="8"/>
  <c r="E1021" i="8" s="1"/>
  <c r="G1021" i="8" s="1"/>
  <c r="D318" i="8"/>
  <c r="E318" i="8" s="1"/>
  <c r="G318" i="8" s="1"/>
  <c r="D1400" i="8"/>
  <c r="E1400" i="8" s="1"/>
  <c r="G1400" i="8" s="1"/>
  <c r="D266" i="8"/>
  <c r="E266" i="8" s="1"/>
  <c r="G266" i="8" s="1"/>
  <c r="D1453" i="8"/>
  <c r="E1453" i="8" s="1"/>
  <c r="G1453" i="8" s="1"/>
  <c r="D480" i="8"/>
  <c r="E480" i="8" s="1"/>
  <c r="G480" i="8" s="1"/>
  <c r="D1452" i="8"/>
  <c r="E1452" i="8" s="1"/>
  <c r="G1452" i="8" s="1"/>
  <c r="D1074" i="8"/>
  <c r="E1074" i="8" s="1"/>
  <c r="G1074" i="8" s="1"/>
  <c r="E22" i="1"/>
  <c r="F22" i="1" s="1"/>
  <c r="G22" i="1" s="1"/>
  <c r="H5373" i="51"/>
  <c r="E320" i="8"/>
  <c r="G320" i="8" s="1"/>
  <c r="E17" i="1"/>
  <c r="F17" i="1" s="1"/>
  <c r="G17" i="1" s="1"/>
  <c r="F2424" i="3"/>
  <c r="F2423" i="3"/>
  <c r="G2423" i="3" s="1"/>
  <c r="H2423" i="3" s="1"/>
  <c r="F2422" i="3"/>
  <c r="G2422" i="3" s="1"/>
  <c r="F2421" i="3"/>
  <c r="G2421" i="3" s="1"/>
  <c r="H2421" i="3" s="1"/>
  <c r="F2406" i="3"/>
  <c r="G2406" i="3" s="1"/>
  <c r="F2405" i="3"/>
  <c r="G2405" i="3" s="1"/>
  <c r="H2405" i="3" s="1"/>
  <c r="F2404" i="3"/>
  <c r="G2404" i="3" s="1"/>
  <c r="F2402" i="3"/>
  <c r="G2402" i="3" s="1"/>
  <c r="F2401" i="3"/>
  <c r="F2400" i="3"/>
  <c r="G2400" i="3" s="1"/>
  <c r="F2398" i="3"/>
  <c r="F2397" i="3"/>
  <c r="G2397" i="3" s="1"/>
  <c r="H2397" i="3" s="1"/>
  <c r="F2396" i="3"/>
  <c r="G2396" i="3" s="1"/>
  <c r="F2395" i="3"/>
  <c r="G2395" i="3" s="1"/>
  <c r="H2395" i="3" s="1"/>
  <c r="F2394" i="3"/>
  <c r="G2394" i="3" s="1"/>
  <c r="H2394" i="3" s="1"/>
  <c r="F2391" i="3"/>
  <c r="G2391" i="3" s="1"/>
  <c r="F2390" i="3"/>
  <c r="G2390" i="3" s="1"/>
  <c r="H2390" i="3" s="1"/>
  <c r="F2389" i="3"/>
  <c r="G2389" i="3" s="1"/>
  <c r="H2389" i="3" s="1"/>
  <c r="F2388" i="3"/>
  <c r="G2388" i="3" s="1"/>
  <c r="H2388" i="3" s="1"/>
  <c r="F2387" i="3"/>
  <c r="G2387" i="3" s="1"/>
  <c r="F2386" i="3"/>
  <c r="F2384" i="3"/>
  <c r="G2384" i="3" s="1"/>
  <c r="H2384" i="3" s="1"/>
  <c r="F2383" i="3"/>
  <c r="G2383" i="3" s="1"/>
  <c r="F2382" i="3"/>
  <c r="F2381" i="3"/>
  <c r="F2380" i="3"/>
  <c r="G2380" i="3" s="1"/>
  <c r="H2380" i="3" s="1"/>
  <c r="F2366" i="3"/>
  <c r="G2366" i="3" s="1"/>
  <c r="F2365" i="3"/>
  <c r="F2364" i="3"/>
  <c r="G2364" i="3" s="1"/>
  <c r="F2363" i="3"/>
  <c r="F2362" i="3"/>
  <c r="G2362" i="3" s="1"/>
  <c r="F2361" i="3"/>
  <c r="G2361" i="3" s="1"/>
  <c r="F2360" i="3"/>
  <c r="F2359" i="3"/>
  <c r="G2359" i="3" s="1"/>
  <c r="F2358" i="3"/>
  <c r="G2358" i="3" s="1"/>
  <c r="F2357" i="3"/>
  <c r="G2357" i="3" s="1"/>
  <c r="F2356" i="3"/>
  <c r="G2356" i="3" s="1"/>
  <c r="F2355" i="3"/>
  <c r="F2354" i="3"/>
  <c r="G2354" i="3" s="1"/>
  <c r="F2352" i="3"/>
  <c r="G2352" i="3" s="1"/>
  <c r="F2350" i="3"/>
  <c r="G2350" i="3" s="1"/>
  <c r="F2349" i="3"/>
  <c r="G2349" i="3" s="1"/>
  <c r="H2349" i="3" s="1"/>
  <c r="F2348" i="3"/>
  <c r="F2347" i="3"/>
  <c r="G2347" i="3" s="1"/>
  <c r="F2346" i="3"/>
  <c r="G2346" i="3" s="1"/>
  <c r="H2346" i="3" s="1"/>
  <c r="F2345" i="3"/>
  <c r="G2345" i="3" s="1"/>
  <c r="F2344" i="3"/>
  <c r="F2343" i="3"/>
  <c r="G2343" i="3" s="1"/>
  <c r="F2342" i="3"/>
  <c r="F2341" i="3"/>
  <c r="G2341" i="3" s="1"/>
  <c r="H2341" i="3" s="1"/>
  <c r="F2340" i="3"/>
  <c r="G2340" i="3" s="1"/>
  <c r="H2340" i="3" s="1"/>
  <c r="E448" i="16" s="1"/>
  <c r="G448" i="16" s="1"/>
  <c r="F2339" i="3"/>
  <c r="G2339" i="3" s="1"/>
  <c r="F2338" i="3"/>
  <c r="G2338" i="3" s="1"/>
  <c r="H2338" i="3" s="1"/>
  <c r="F2337" i="3"/>
  <c r="G2337" i="3" s="1"/>
  <c r="H2337" i="3" s="1"/>
  <c r="F2336" i="3"/>
  <c r="G2336" i="3" s="1"/>
  <c r="H2336" i="3" s="1"/>
  <c r="F2333" i="3"/>
  <c r="G2333" i="3" s="1"/>
  <c r="F2332" i="3"/>
  <c r="G2332" i="3" s="1"/>
  <c r="H2332" i="3" s="1"/>
  <c r="F2331" i="3"/>
  <c r="G2331" i="3" s="1"/>
  <c r="F2330" i="3"/>
  <c r="G2330" i="3" s="1"/>
  <c r="F2329" i="3"/>
  <c r="G2329" i="3" s="1"/>
  <c r="F2328" i="3"/>
  <c r="F2327" i="3"/>
  <c r="G2327" i="3" s="1"/>
  <c r="F2326" i="3"/>
  <c r="G2326" i="3" s="1"/>
  <c r="F2324" i="3"/>
  <c r="G2324" i="3" s="1"/>
  <c r="H2324" i="3" s="1"/>
  <c r="F2323" i="3"/>
  <c r="F2322" i="3"/>
  <c r="G2322" i="3" s="1"/>
  <c r="H2322" i="3" s="1"/>
  <c r="F2321" i="3"/>
  <c r="G2321" i="3" s="1"/>
  <c r="F2320" i="3"/>
  <c r="G2320" i="3" s="1"/>
  <c r="H2320" i="3" s="1"/>
  <c r="F2319" i="3"/>
  <c r="F2318" i="3"/>
  <c r="G2318" i="3" s="1"/>
  <c r="H2318" i="3" s="1"/>
  <c r="F2317" i="3"/>
  <c r="F2316" i="3"/>
  <c r="F2315" i="3"/>
  <c r="G2315" i="3" s="1"/>
  <c r="H2315" i="3" s="1"/>
  <c r="F2314" i="3"/>
  <c r="G2314" i="3" s="1"/>
  <c r="H2314" i="3" s="1"/>
  <c r="F2313" i="3"/>
  <c r="F2311" i="3"/>
  <c r="G2311" i="3" s="1"/>
  <c r="F2310" i="3"/>
  <c r="G2310" i="3" s="1"/>
  <c r="H2310" i="3" s="1"/>
  <c r="F2309" i="3"/>
  <c r="F2306" i="3"/>
  <c r="G2306" i="3" s="1"/>
  <c r="H2306" i="3" s="1"/>
  <c r="F2301" i="3"/>
  <c r="G2301" i="3" s="1"/>
  <c r="F2300" i="3"/>
  <c r="F2298" i="3"/>
  <c r="G2298" i="3" s="1"/>
  <c r="F2297" i="3"/>
  <c r="F2296" i="3"/>
  <c r="G2296" i="3" s="1"/>
  <c r="F2294" i="3"/>
  <c r="F2293" i="3"/>
  <c r="G2293" i="3" s="1"/>
  <c r="F2292" i="3"/>
  <c r="G2292" i="3" s="1"/>
  <c r="F2290" i="3"/>
  <c r="G2290" i="3" s="1"/>
  <c r="F2289" i="3"/>
  <c r="G2289" i="3" s="1"/>
  <c r="H2289" i="3" s="1"/>
  <c r="F2288" i="3"/>
  <c r="F2287" i="3"/>
  <c r="G2287" i="3" s="1"/>
  <c r="H2287" i="3" s="1"/>
  <c r="F2286" i="3"/>
  <c r="G2286" i="3" s="1"/>
  <c r="F2285" i="3"/>
  <c r="F2284" i="3"/>
  <c r="F2282" i="3"/>
  <c r="G2282" i="3" s="1"/>
  <c r="F2281" i="3"/>
  <c r="G2281" i="3" s="1"/>
  <c r="H2281" i="3" s="1"/>
  <c r="F2280" i="3"/>
  <c r="G2280" i="3" s="1"/>
  <c r="F2279" i="3"/>
  <c r="F2278" i="3"/>
  <c r="G2278" i="3" s="1"/>
  <c r="F2277" i="3"/>
  <c r="G2277" i="3" s="1"/>
  <c r="H2277" i="3" s="1"/>
  <c r="F2275" i="3"/>
  <c r="G2275" i="3" s="1"/>
  <c r="F2274" i="3"/>
  <c r="G2274" i="3" s="1"/>
  <c r="H2274" i="3" s="1"/>
  <c r="F2273" i="3"/>
  <c r="G2273" i="3" s="1"/>
  <c r="F2272" i="3"/>
  <c r="F2271" i="3"/>
  <c r="G2271" i="3" s="1"/>
  <c r="F2270" i="3"/>
  <c r="G2270" i="3" s="1"/>
  <c r="F2267" i="3"/>
  <c r="G2267" i="3" s="1"/>
  <c r="F2266" i="3"/>
  <c r="G2266" i="3" s="1"/>
  <c r="H2266" i="3" s="1"/>
  <c r="F2265" i="3"/>
  <c r="G2265" i="3" s="1"/>
  <c r="F2263" i="3"/>
  <c r="G2263" i="3" s="1"/>
  <c r="F2262" i="3"/>
  <c r="G2262" i="3" s="1"/>
  <c r="H2262" i="3" s="1"/>
  <c r="E179" i="16" s="1"/>
  <c r="F2259" i="3"/>
  <c r="G2259" i="3" s="1"/>
  <c r="F2258" i="3"/>
  <c r="F2257" i="3"/>
  <c r="F2255" i="3"/>
  <c r="G2255" i="3" s="1"/>
  <c r="F2254" i="3"/>
  <c r="G2254" i="3" s="1"/>
  <c r="F2253" i="3"/>
  <c r="F2251" i="3"/>
  <c r="G2251" i="3" s="1"/>
  <c r="F2250" i="3"/>
  <c r="G2250" i="3" s="1"/>
  <c r="H2250" i="3" s="1"/>
  <c r="E2253" i="18" s="1"/>
  <c r="F2253" i="18" s="1"/>
  <c r="G2253" i="18" s="1"/>
  <c r="F2249" i="3"/>
  <c r="G2249" i="3" s="1"/>
  <c r="F2247" i="3"/>
  <c r="G2247" i="3" s="1"/>
  <c r="F2246" i="3"/>
  <c r="G2246" i="3" s="1"/>
  <c r="H2246" i="3" s="1"/>
  <c r="E2249" i="18" s="1"/>
  <c r="F2249" i="18" s="1"/>
  <c r="G2249" i="18" s="1"/>
  <c r="F2245" i="3"/>
  <c r="G2245" i="3" s="1"/>
  <c r="F2244" i="3"/>
  <c r="G2244" i="3" s="1"/>
  <c r="H2244" i="3" s="1"/>
  <c r="E2247" i="18" s="1"/>
  <c r="F2247" i="18" s="1"/>
  <c r="G2247" i="18" s="1"/>
  <c r="F2243" i="3"/>
  <c r="F2242" i="3"/>
  <c r="G2242" i="3" s="1"/>
  <c r="H2242" i="3" s="1"/>
  <c r="E2245" i="18" s="1"/>
  <c r="F2245" i="18" s="1"/>
  <c r="G2245" i="18" s="1"/>
  <c r="F2240" i="3"/>
  <c r="G2240" i="3" s="1"/>
  <c r="F2239" i="3"/>
  <c r="G2239" i="3" s="1"/>
  <c r="F2238" i="3"/>
  <c r="G2238" i="3" s="1"/>
  <c r="F2237" i="3"/>
  <c r="G2237" i="3" s="1"/>
  <c r="H2237" i="3" s="1"/>
  <c r="E2240" i="18" s="1"/>
  <c r="F2240" i="18" s="1"/>
  <c r="G2240" i="18" s="1"/>
  <c r="F2236" i="3"/>
  <c r="G2236" i="3" s="1"/>
  <c r="F2234" i="3"/>
  <c r="G2234" i="3" s="1"/>
  <c r="F2233" i="3"/>
  <c r="F2230" i="3"/>
  <c r="G2230" i="3" s="1"/>
  <c r="F2229" i="3"/>
  <c r="G2229" i="3" s="1"/>
  <c r="F2228" i="3"/>
  <c r="G2228" i="3" s="1"/>
  <c r="F2227" i="3"/>
  <c r="F2224" i="3"/>
  <c r="G2224" i="3" s="1"/>
  <c r="F2223" i="3"/>
  <c r="G2223" i="3" s="1"/>
  <c r="H2223" i="3" s="1"/>
  <c r="F2222" i="3"/>
  <c r="G2222" i="3" s="1"/>
  <c r="F2221" i="3"/>
  <c r="F2220" i="3"/>
  <c r="G2220" i="3" s="1"/>
  <c r="F2219" i="3"/>
  <c r="G2219" i="3" s="1"/>
  <c r="H2219" i="3" s="1"/>
  <c r="F2217" i="3"/>
  <c r="G2217" i="3" s="1"/>
  <c r="F2216" i="3"/>
  <c r="G2216" i="3" s="1"/>
  <c r="H2216" i="3" s="1"/>
  <c r="F2215" i="3"/>
  <c r="F2214" i="3"/>
  <c r="G2214" i="3" s="1"/>
  <c r="F2213" i="3"/>
  <c r="G2213" i="3" s="1"/>
  <c r="F2212" i="3"/>
  <c r="G2212" i="3" s="1"/>
  <c r="F2210" i="3"/>
  <c r="G2210" i="3" s="1"/>
  <c r="F2209" i="3"/>
  <c r="G2209" i="3" s="1"/>
  <c r="F2208" i="3"/>
  <c r="G2208" i="3" s="1"/>
  <c r="F2207" i="3"/>
  <c r="G2207" i="3" s="1"/>
  <c r="H2207" i="3" s="1"/>
  <c r="F2206" i="3"/>
  <c r="F2205" i="3"/>
  <c r="F2203" i="3"/>
  <c r="G2203" i="3" s="1"/>
  <c r="H2203" i="3" s="1"/>
  <c r="F2199" i="3"/>
  <c r="G2199" i="3" s="1"/>
  <c r="H2199" i="3" s="1"/>
  <c r="F2197" i="3"/>
  <c r="G2197" i="3" s="1"/>
  <c r="F2196" i="3"/>
  <c r="G2196" i="3" s="1"/>
  <c r="F2195" i="3"/>
  <c r="G2195" i="3" s="1"/>
  <c r="F2194" i="3"/>
  <c r="G2194" i="3" s="1"/>
  <c r="F2193" i="3"/>
  <c r="G2193" i="3" s="1"/>
  <c r="F2192" i="3"/>
  <c r="G2192" i="3" s="1"/>
  <c r="F2191" i="3"/>
  <c r="G2191" i="3" s="1"/>
  <c r="F2190" i="3"/>
  <c r="F2189" i="3"/>
  <c r="F2188" i="3"/>
  <c r="G2188" i="3" s="1"/>
  <c r="F2187" i="3"/>
  <c r="G2187" i="3" s="1"/>
  <c r="F2184" i="3"/>
  <c r="G2184" i="3" s="1"/>
  <c r="H2184" i="3" s="1"/>
  <c r="E2187" i="18" s="1"/>
  <c r="F2187" i="18" s="1"/>
  <c r="G2187" i="18" s="1"/>
  <c r="F2183" i="3"/>
  <c r="G2183" i="3" s="1"/>
  <c r="F2182" i="3"/>
  <c r="F2181" i="3"/>
  <c r="G2181" i="3" s="1"/>
  <c r="F2180" i="3"/>
  <c r="F2179" i="3"/>
  <c r="F2177" i="3"/>
  <c r="G2177" i="3" s="1"/>
  <c r="F2176" i="3"/>
  <c r="F2175" i="3"/>
  <c r="G2175" i="3" s="1"/>
  <c r="F2174" i="3"/>
  <c r="G2174" i="3" s="1"/>
  <c r="H2174" i="3" s="1"/>
  <c r="E2177" i="18" s="1"/>
  <c r="F2177" i="18" s="1"/>
  <c r="G2177" i="18" s="1"/>
  <c r="F2172" i="3"/>
  <c r="F2171" i="3"/>
  <c r="G2171" i="3" s="1"/>
  <c r="F2170" i="3"/>
  <c r="G2170" i="3" s="1"/>
  <c r="H2170" i="3" s="1"/>
  <c r="E2173" i="18" s="1"/>
  <c r="F2173" i="18" s="1"/>
  <c r="G2173" i="18" s="1"/>
  <c r="F2169" i="3"/>
  <c r="F2168" i="3"/>
  <c r="F2167" i="3"/>
  <c r="G2167" i="3" s="1"/>
  <c r="F2166" i="3"/>
  <c r="G2166" i="3" s="1"/>
  <c r="H2166" i="3" s="1"/>
  <c r="F2165" i="3"/>
  <c r="G2165" i="3" s="1"/>
  <c r="F2164" i="3"/>
  <c r="F2163" i="3"/>
  <c r="G2163" i="3" s="1"/>
  <c r="F2162" i="3"/>
  <c r="G2162" i="3" s="1"/>
  <c r="H2162" i="3" s="1"/>
  <c r="F2158" i="3"/>
  <c r="G2158" i="3" s="1"/>
  <c r="H2158" i="3" s="1"/>
  <c r="F2156" i="3"/>
  <c r="G2156" i="3" s="1"/>
  <c r="H2156" i="3" s="1"/>
  <c r="F2155" i="3"/>
  <c r="G2155" i="3" s="1"/>
  <c r="F2154" i="3"/>
  <c r="F2153" i="3"/>
  <c r="F2151" i="3"/>
  <c r="G2151" i="3" s="1"/>
  <c r="F2150" i="3"/>
  <c r="F2147" i="3"/>
  <c r="F2146" i="3"/>
  <c r="F2145" i="3"/>
  <c r="G2145" i="3" s="1"/>
  <c r="F2144" i="3"/>
  <c r="F2142" i="3"/>
  <c r="F2141" i="3"/>
  <c r="F2140" i="3"/>
  <c r="G2140" i="3" s="1"/>
  <c r="H2140" i="3" s="1"/>
  <c r="F2139" i="3"/>
  <c r="G2139" i="3" s="1"/>
  <c r="F2137" i="3"/>
  <c r="G2137" i="3" s="1"/>
  <c r="F2136" i="3"/>
  <c r="G2136" i="3" s="1"/>
  <c r="H2136" i="3" s="1"/>
  <c r="F2133" i="3"/>
  <c r="G2133" i="3" s="1"/>
  <c r="F2132" i="3"/>
  <c r="F2131" i="3"/>
  <c r="F2130" i="3"/>
  <c r="F2129" i="3"/>
  <c r="G2129" i="3" s="1"/>
  <c r="F2128" i="3"/>
  <c r="F2127" i="3"/>
  <c r="G2127" i="3" s="1"/>
  <c r="F2126" i="3"/>
  <c r="G2126" i="3" s="1"/>
  <c r="H2126" i="3" s="1"/>
  <c r="F2125" i="3"/>
  <c r="G2125" i="3" s="1"/>
  <c r="F2124" i="3"/>
  <c r="F2123" i="3"/>
  <c r="G2123" i="3" s="1"/>
  <c r="F2122" i="3"/>
  <c r="G2122" i="3" s="1"/>
  <c r="H2122" i="3" s="1"/>
  <c r="F2121" i="3"/>
  <c r="G2121" i="3" s="1"/>
  <c r="F2120" i="3"/>
  <c r="F2119" i="3"/>
  <c r="G2119" i="3" s="1"/>
  <c r="H2119" i="3" s="1"/>
  <c r="F2118" i="3"/>
  <c r="G2118" i="3" s="1"/>
  <c r="H2118" i="3" s="1"/>
  <c r="F2117" i="3"/>
  <c r="G2117" i="3" s="1"/>
  <c r="F2116" i="3"/>
  <c r="F2115" i="3"/>
  <c r="F2114" i="3"/>
  <c r="G2114" i="3" s="1"/>
  <c r="H2114" i="3" s="1"/>
  <c r="E425" i="16" s="1"/>
  <c r="G425" i="16" s="1"/>
  <c r="F2113" i="3"/>
  <c r="G2113" i="3" s="1"/>
  <c r="F2112" i="3"/>
  <c r="F2111" i="3"/>
  <c r="G2111" i="3" s="1"/>
  <c r="F2110" i="3"/>
  <c r="F2109" i="3"/>
  <c r="G2109" i="3" s="1"/>
  <c r="F2108" i="3"/>
  <c r="G2108" i="3" s="1"/>
  <c r="F2107" i="3"/>
  <c r="F2106" i="3"/>
  <c r="G2106" i="3" s="1"/>
  <c r="F2105" i="3"/>
  <c r="G2105" i="3" s="1"/>
  <c r="F2104" i="3"/>
  <c r="G2104" i="3" s="1"/>
  <c r="F2103" i="3"/>
  <c r="G2103" i="3" s="1"/>
  <c r="F2102" i="3"/>
  <c r="G2102" i="3" s="1"/>
  <c r="H2102" i="3" s="1"/>
  <c r="E2105" i="18" s="1"/>
  <c r="F2105" i="18" s="1"/>
  <c r="G2105" i="18" s="1"/>
  <c r="F2101" i="3"/>
  <c r="G2101" i="3" s="1"/>
  <c r="F2100" i="3"/>
  <c r="G2100" i="3" s="1"/>
  <c r="F2099" i="3"/>
  <c r="F2098" i="3"/>
  <c r="F2097" i="3"/>
  <c r="G2097" i="3" s="1"/>
  <c r="F2096" i="3"/>
  <c r="G2096" i="3" s="1"/>
  <c r="F2095" i="3"/>
  <c r="G2095" i="3" s="1"/>
  <c r="F2094" i="3"/>
  <c r="G2094" i="3" s="1"/>
  <c r="F2093" i="3"/>
  <c r="G2093" i="3" s="1"/>
  <c r="F2092" i="3"/>
  <c r="G2092" i="3" s="1"/>
  <c r="F2091" i="3"/>
  <c r="F2090" i="3"/>
  <c r="G2090" i="3" s="1"/>
  <c r="F2089" i="3"/>
  <c r="G2089" i="3" s="1"/>
  <c r="F2088" i="3"/>
  <c r="G2088" i="3" s="1"/>
  <c r="F2087" i="3"/>
  <c r="G2087" i="3" s="1"/>
  <c r="F2086" i="3"/>
  <c r="F2084" i="3"/>
  <c r="G2084" i="3" s="1"/>
  <c r="H2084" i="3" s="1"/>
  <c r="E2087" i="18" s="1"/>
  <c r="F2087" i="18" s="1"/>
  <c r="G2087" i="18" s="1"/>
  <c r="F2083" i="3"/>
  <c r="G2083" i="3" s="1"/>
  <c r="F2082" i="3"/>
  <c r="F2081" i="3"/>
  <c r="F2080" i="3"/>
  <c r="F2079" i="3"/>
  <c r="G2079" i="3" s="1"/>
  <c r="F2078" i="3"/>
  <c r="F2077" i="3"/>
  <c r="G2077" i="3" s="1"/>
  <c r="F2076" i="3"/>
  <c r="G2076" i="3" s="1"/>
  <c r="F2075" i="3"/>
  <c r="G2075" i="3" s="1"/>
  <c r="F2074" i="3"/>
  <c r="F2073" i="3"/>
  <c r="G2073" i="3" s="1"/>
  <c r="F2072" i="3"/>
  <c r="G2072" i="3" s="1"/>
  <c r="H2072" i="3" s="1"/>
  <c r="F2071" i="3"/>
  <c r="G2071" i="3" s="1"/>
  <c r="F2070" i="3"/>
  <c r="G2070" i="3" s="1"/>
  <c r="H2070" i="3" s="1"/>
  <c r="E2076" i="22" s="1"/>
  <c r="F2076" i="22" s="1"/>
  <c r="G2076" i="22" s="1"/>
  <c r="F2069" i="3"/>
  <c r="G2069" i="3" s="1"/>
  <c r="F2068" i="3"/>
  <c r="F2067" i="3"/>
  <c r="G2067" i="3" s="1"/>
  <c r="F2066" i="3"/>
  <c r="G2066" i="3" s="1"/>
  <c r="H2066" i="3" s="1"/>
  <c r="F2065" i="3"/>
  <c r="G2065" i="3" s="1"/>
  <c r="F2064" i="3"/>
  <c r="G2064" i="3" s="1"/>
  <c r="F2063" i="3"/>
  <c r="G2063" i="3" s="1"/>
  <c r="F2062" i="3"/>
  <c r="F2061" i="3"/>
  <c r="G2061" i="3" s="1"/>
  <c r="F2060" i="3"/>
  <c r="G2060" i="3" s="1"/>
  <c r="H2060" i="3" s="1"/>
  <c r="F2059" i="3"/>
  <c r="G2059" i="3" s="1"/>
  <c r="F2058" i="3"/>
  <c r="G2058" i="3" s="1"/>
  <c r="F2057" i="3"/>
  <c r="F2056" i="3"/>
  <c r="G2056" i="3" s="1"/>
  <c r="F2055" i="3"/>
  <c r="G2055" i="3" s="1"/>
  <c r="F2054" i="3"/>
  <c r="G2054" i="3" s="1"/>
  <c r="H2054" i="3" s="1"/>
  <c r="F2053" i="3"/>
  <c r="G2053" i="3" s="1"/>
  <c r="F2052" i="3"/>
  <c r="G2052" i="3" s="1"/>
  <c r="F2051" i="3"/>
  <c r="G2051" i="3" s="1"/>
  <c r="F2050" i="3"/>
  <c r="F2049" i="3"/>
  <c r="F2048" i="3"/>
  <c r="F2047" i="3"/>
  <c r="G2047" i="3" s="1"/>
  <c r="F2046" i="3"/>
  <c r="G2046" i="3" s="1"/>
  <c r="F2045" i="3"/>
  <c r="G2045" i="3" s="1"/>
  <c r="F2044" i="3"/>
  <c r="G2044" i="3" s="1"/>
  <c r="H2044" i="3" s="1"/>
  <c r="F2043" i="3"/>
  <c r="G2043" i="3" s="1"/>
  <c r="F2042" i="3"/>
  <c r="G2042" i="3" s="1"/>
  <c r="H2042" i="3" s="1"/>
  <c r="F2041" i="3"/>
  <c r="G2041" i="3" s="1"/>
  <c r="F2040" i="3"/>
  <c r="G2040" i="3" s="1"/>
  <c r="F2039" i="3"/>
  <c r="G2039" i="3" s="1"/>
  <c r="F2038" i="3"/>
  <c r="F2037" i="3"/>
  <c r="G2037" i="3" s="1"/>
  <c r="F2032" i="3"/>
  <c r="G2032" i="3" s="1"/>
  <c r="F2030" i="3"/>
  <c r="G2030" i="3" s="1"/>
  <c r="F2027" i="3"/>
  <c r="G2027" i="3" s="1"/>
  <c r="H2027" i="3" s="1"/>
  <c r="E2024" i="18" s="1"/>
  <c r="F2024" i="18" s="1"/>
  <c r="G2024" i="18" s="1"/>
  <c r="F2026" i="3"/>
  <c r="F2024" i="3"/>
  <c r="G2024" i="3" s="1"/>
  <c r="F2023" i="3"/>
  <c r="F2022" i="3"/>
  <c r="G2022" i="3" s="1"/>
  <c r="F2021" i="3"/>
  <c r="G2021" i="3" s="1"/>
  <c r="H2021" i="3" s="1"/>
  <c r="E2018" i="18" s="1"/>
  <c r="F2018" i="18" s="1"/>
  <c r="G2018" i="18" s="1"/>
  <c r="F2020" i="3"/>
  <c r="G2020" i="3" s="1"/>
  <c r="F2019" i="3"/>
  <c r="F2018" i="3"/>
  <c r="F2016" i="3"/>
  <c r="G2016" i="3" s="1"/>
  <c r="F2015" i="3"/>
  <c r="G2015" i="3" s="1"/>
  <c r="H2015" i="3" s="1"/>
  <c r="E2012" i="18" s="1"/>
  <c r="F2012" i="18" s="1"/>
  <c r="G2012" i="18" s="1"/>
  <c r="F2014" i="3"/>
  <c r="G2014" i="3" s="1"/>
  <c r="F2013" i="3"/>
  <c r="F2012" i="3"/>
  <c r="F2011" i="3"/>
  <c r="F2010" i="3"/>
  <c r="G2010" i="3" s="1"/>
  <c r="F2008" i="3"/>
  <c r="F2007" i="3"/>
  <c r="G2007" i="3" s="1"/>
  <c r="H2007" i="3" s="1"/>
  <c r="E2004" i="18" s="1"/>
  <c r="F2004" i="18" s="1"/>
  <c r="G2004" i="18" s="1"/>
  <c r="F2006" i="3"/>
  <c r="G2006" i="3" s="1"/>
  <c r="F2005" i="3"/>
  <c r="F2004" i="3"/>
  <c r="G2004" i="3" s="1"/>
  <c r="F2003" i="3"/>
  <c r="G2003" i="3" s="1"/>
  <c r="H2003" i="3" s="1"/>
  <c r="E2000" i="18" s="1"/>
  <c r="F2000" i="18" s="1"/>
  <c r="G2000" i="18" s="1"/>
  <c r="F2002" i="3"/>
  <c r="G2002" i="3" s="1"/>
  <c r="F1998" i="3"/>
  <c r="G1998" i="3" s="1"/>
  <c r="F1997" i="3"/>
  <c r="G1997" i="3" s="1"/>
  <c r="H1997" i="3" s="1"/>
  <c r="E1994" i="18" s="1"/>
  <c r="F1994" i="18" s="1"/>
  <c r="G1994" i="18" s="1"/>
  <c r="F1996" i="3"/>
  <c r="G1996" i="3" s="1"/>
  <c r="F1995" i="3"/>
  <c r="F1994" i="3"/>
  <c r="G1994" i="3" s="1"/>
  <c r="F1993" i="3"/>
  <c r="G1993" i="3" s="1"/>
  <c r="H1993" i="3" s="1"/>
  <c r="E1990" i="18" s="1"/>
  <c r="F1990" i="18" s="1"/>
  <c r="G1990" i="18" s="1"/>
  <c r="F1992" i="3"/>
  <c r="F1990" i="3"/>
  <c r="G1990" i="3" s="1"/>
  <c r="F1989" i="3"/>
  <c r="F1988" i="3"/>
  <c r="G1988" i="3" s="1"/>
  <c r="F1987" i="3"/>
  <c r="G1987" i="3" s="1"/>
  <c r="H1987" i="3" s="1"/>
  <c r="E1984" i="18" s="1"/>
  <c r="F1984" i="18" s="1"/>
  <c r="G1984" i="18" s="1"/>
  <c r="F1986" i="3"/>
  <c r="G1986" i="3" s="1"/>
  <c r="F1985" i="3"/>
  <c r="F1984" i="3"/>
  <c r="F1983" i="3"/>
  <c r="G1983" i="3" s="1"/>
  <c r="H1983" i="3" s="1"/>
  <c r="E1980" i="18" s="1"/>
  <c r="F1980" i="18" s="1"/>
  <c r="G1980" i="18" s="1"/>
  <c r="F1982" i="3"/>
  <c r="G1982" i="3" s="1"/>
  <c r="F1981" i="3"/>
  <c r="F1980" i="3"/>
  <c r="G1980" i="3" s="1"/>
  <c r="F1979" i="3"/>
  <c r="G1979" i="3" s="1"/>
  <c r="H1979" i="3" s="1"/>
  <c r="E1976" i="18" s="1"/>
  <c r="F1976" i="18" s="1"/>
  <c r="G1976" i="18" s="1"/>
  <c r="F1977" i="3"/>
  <c r="G1977" i="3" s="1"/>
  <c r="F1976" i="3"/>
  <c r="G1976" i="3" s="1"/>
  <c r="F1975" i="3"/>
  <c r="F1974" i="3"/>
  <c r="F1973" i="3"/>
  <c r="G1973" i="3" s="1"/>
  <c r="H1973" i="3" s="1"/>
  <c r="F1972" i="3"/>
  <c r="G1972" i="3" s="1"/>
  <c r="F1971" i="3"/>
  <c r="F1970" i="3"/>
  <c r="G1970" i="3" s="1"/>
  <c r="F1969" i="3"/>
  <c r="G1969" i="3" s="1"/>
  <c r="F1968" i="3"/>
  <c r="G1968" i="3" s="1"/>
  <c r="F1967" i="3"/>
  <c r="G1967" i="3" s="1"/>
  <c r="H1967" i="3" s="1"/>
  <c r="F1966" i="3"/>
  <c r="G1966" i="3" s="1"/>
  <c r="F1946" i="3"/>
  <c r="G1946" i="3" s="1"/>
  <c r="F1945" i="3"/>
  <c r="F1944" i="3"/>
  <c r="F1943" i="3"/>
  <c r="G1943" i="3" s="1"/>
  <c r="H1943" i="3" s="1"/>
  <c r="E1944" i="18" s="1"/>
  <c r="F1944" i="18" s="1"/>
  <c r="G1944" i="18" s="1"/>
  <c r="F1942" i="3"/>
  <c r="G1942" i="3" s="1"/>
  <c r="F1941" i="3"/>
  <c r="F1940" i="3"/>
  <c r="G1940" i="3" s="1"/>
  <c r="F1939" i="3"/>
  <c r="F1938" i="3"/>
  <c r="G1938" i="3" s="1"/>
  <c r="F1937" i="3"/>
  <c r="F1936" i="3"/>
  <c r="F1935" i="3"/>
  <c r="G1935" i="3" s="1"/>
  <c r="H1935" i="3" s="1"/>
  <c r="F1932" i="3"/>
  <c r="G1932" i="3" s="1"/>
  <c r="F1931" i="3"/>
  <c r="F1929" i="3"/>
  <c r="F1928" i="3"/>
  <c r="G1928" i="3" s="1"/>
  <c r="F1927" i="3"/>
  <c r="G1927" i="3" s="1"/>
  <c r="H1927" i="3" s="1"/>
  <c r="F1926" i="3"/>
  <c r="G1926" i="3" s="1"/>
  <c r="F1924" i="3"/>
  <c r="G1924" i="3" s="1"/>
  <c r="F1923" i="3"/>
  <c r="G1923" i="3" s="1"/>
  <c r="H1923" i="3" s="1"/>
  <c r="F1922" i="3"/>
  <c r="G1922" i="3" s="1"/>
  <c r="F1920" i="3"/>
  <c r="G1920" i="3" s="1"/>
  <c r="F1919" i="3"/>
  <c r="G1919" i="3" s="1"/>
  <c r="H1919" i="3" s="1"/>
  <c r="F1918" i="3"/>
  <c r="F1915" i="3"/>
  <c r="F1910" i="3"/>
  <c r="G1910" i="3" s="1"/>
  <c r="F1909" i="3"/>
  <c r="G1909" i="3" s="1"/>
  <c r="F1907" i="3"/>
  <c r="G1907" i="3" s="1"/>
  <c r="H1907" i="3" s="1"/>
  <c r="F1906" i="3"/>
  <c r="G1906" i="3" s="1"/>
  <c r="F1905" i="3"/>
  <c r="F1904" i="3"/>
  <c r="F1903" i="3"/>
  <c r="G1903" i="3" s="1"/>
  <c r="H1903" i="3" s="1"/>
  <c r="F1902" i="3"/>
  <c r="G1902" i="3" s="1"/>
  <c r="F1901" i="3"/>
  <c r="F1900" i="3"/>
  <c r="G1900" i="3" s="1"/>
  <c r="F1899" i="3"/>
  <c r="G1899" i="3" s="1"/>
  <c r="H1899" i="3" s="1"/>
  <c r="F1898" i="3"/>
  <c r="G1898" i="3" s="1"/>
  <c r="F1897" i="3"/>
  <c r="F1896" i="3"/>
  <c r="F1894" i="3"/>
  <c r="F1893" i="3"/>
  <c r="F1892" i="3"/>
  <c r="G1892" i="3" s="1"/>
  <c r="F1891" i="3"/>
  <c r="G1891" i="3" s="1"/>
  <c r="H1891" i="3" s="1"/>
  <c r="F1890" i="3"/>
  <c r="F1889" i="3"/>
  <c r="G1889" i="3" s="1"/>
  <c r="H1889" i="3" s="1"/>
  <c r="F1888" i="3"/>
  <c r="G1888" i="3" s="1"/>
  <c r="F1887" i="3"/>
  <c r="F1886" i="3"/>
  <c r="F1885" i="3"/>
  <c r="G1885" i="3" s="1"/>
  <c r="H1885" i="3" s="1"/>
  <c r="F1884" i="3"/>
  <c r="G1884" i="3" s="1"/>
  <c r="F1883" i="3"/>
  <c r="G1883" i="3" s="1"/>
  <c r="F1880" i="3"/>
  <c r="F1879" i="3"/>
  <c r="F1878" i="3"/>
  <c r="G1878" i="3" s="1"/>
  <c r="F1877" i="3"/>
  <c r="F1876" i="3"/>
  <c r="F1875" i="3"/>
  <c r="G1875" i="3" s="1"/>
  <c r="H1875" i="3" s="1"/>
  <c r="F1874" i="3"/>
  <c r="G1874" i="3" s="1"/>
  <c r="F1873" i="3"/>
  <c r="F1872" i="3"/>
  <c r="F1871" i="3"/>
  <c r="F1870" i="3"/>
  <c r="G1870" i="3" s="1"/>
  <c r="F1869" i="3"/>
  <c r="F1867" i="3"/>
  <c r="G1867" i="3" s="1"/>
  <c r="H1867" i="3" s="1"/>
  <c r="F1866" i="3"/>
  <c r="G1866" i="3" s="1"/>
  <c r="F1865" i="3"/>
  <c r="G1865" i="3" s="1"/>
  <c r="H1865" i="3" s="1"/>
  <c r="F1864" i="3"/>
  <c r="F1863" i="3"/>
  <c r="G1863" i="3" s="1"/>
  <c r="H1863" i="3" s="1"/>
  <c r="F1862" i="3"/>
  <c r="G1862" i="3" s="1"/>
  <c r="F1861" i="3"/>
  <c r="G1861" i="3" s="1"/>
  <c r="H1861" i="3" s="1"/>
  <c r="F1860" i="3"/>
  <c r="G1860" i="3" s="1"/>
  <c r="F1859" i="3"/>
  <c r="G1859" i="3" s="1"/>
  <c r="H1859" i="3" s="1"/>
  <c r="F1858" i="3"/>
  <c r="G1858" i="3" s="1"/>
  <c r="F1857" i="3"/>
  <c r="G1857" i="3" s="1"/>
  <c r="F1856" i="3"/>
  <c r="F1853" i="3"/>
  <c r="G1853" i="3" s="1"/>
  <c r="H1853" i="3" s="1"/>
  <c r="F1852" i="3"/>
  <c r="G1852" i="3" s="1"/>
  <c r="F1851" i="3"/>
  <c r="G1851" i="3" s="1"/>
  <c r="F1850" i="3"/>
  <c r="G1850" i="3" s="1"/>
  <c r="F1849" i="3"/>
  <c r="G1849" i="3" s="1"/>
  <c r="H1849" i="3" s="1"/>
  <c r="F1848" i="3"/>
  <c r="G1848" i="3" s="1"/>
  <c r="F1847" i="3"/>
  <c r="G1847" i="3" s="1"/>
  <c r="H1847" i="3" s="1"/>
  <c r="F1846" i="3"/>
  <c r="F1845" i="3"/>
  <c r="G1845" i="3" s="1"/>
  <c r="H1845" i="3" s="1"/>
  <c r="F1844" i="3"/>
  <c r="G1844" i="3" s="1"/>
  <c r="F1843" i="3"/>
  <c r="G1843" i="3" s="1"/>
  <c r="H1843" i="3" s="1"/>
  <c r="F1842" i="3"/>
  <c r="G1842" i="3" s="1"/>
  <c r="F1841" i="3"/>
  <c r="G1841" i="3" s="1"/>
  <c r="H1841" i="3" s="1"/>
  <c r="F1840" i="3"/>
  <c r="G1840" i="3" s="1"/>
  <c r="F1839" i="3"/>
  <c r="F1838" i="3"/>
  <c r="F1837" i="3"/>
  <c r="G1837" i="3" s="1"/>
  <c r="H1837" i="3" s="1"/>
  <c r="F1836" i="3"/>
  <c r="G1836" i="3" s="1"/>
  <c r="F1835" i="3"/>
  <c r="F1834" i="3"/>
  <c r="G1834" i="3" s="1"/>
  <c r="F1833" i="3"/>
  <c r="G1833" i="3" s="1"/>
  <c r="H1833" i="3" s="1"/>
  <c r="F1832" i="3"/>
  <c r="G1832" i="3" s="1"/>
  <c r="F1831" i="3"/>
  <c r="F1830" i="3"/>
  <c r="F1829" i="3"/>
  <c r="G1829" i="3" s="1"/>
  <c r="H1829" i="3" s="1"/>
  <c r="F1828" i="3"/>
  <c r="G1828" i="3" s="1"/>
  <c r="F1827" i="3"/>
  <c r="G1827" i="3" s="1"/>
  <c r="H1827" i="3" s="1"/>
  <c r="F1826" i="3"/>
  <c r="G1826" i="3" s="1"/>
  <c r="F1825" i="3"/>
  <c r="G1825" i="3" s="1"/>
  <c r="H1825" i="3" s="1"/>
  <c r="F1824" i="3"/>
  <c r="G1824" i="3" s="1"/>
  <c r="F1823" i="3"/>
  <c r="F1822" i="3"/>
  <c r="F1821" i="3"/>
  <c r="G1821" i="3" s="1"/>
  <c r="H1821" i="3" s="1"/>
  <c r="F1820" i="3"/>
  <c r="G1820" i="3" s="1"/>
  <c r="F1819" i="3"/>
  <c r="F1818" i="3"/>
  <c r="G1818" i="3" s="1"/>
  <c r="F1817" i="3"/>
  <c r="G1817" i="3" s="1"/>
  <c r="H1817" i="3" s="1"/>
  <c r="F1816" i="3"/>
  <c r="G1816" i="3" s="1"/>
  <c r="F1815" i="3"/>
  <c r="F1814" i="3"/>
  <c r="F1813" i="3"/>
  <c r="G1813" i="3" s="1"/>
  <c r="H1813" i="3" s="1"/>
  <c r="F1812" i="3"/>
  <c r="G1812" i="3" s="1"/>
  <c r="F1811" i="3"/>
  <c r="F1810" i="3"/>
  <c r="G1810" i="3" s="1"/>
  <c r="F1809" i="3"/>
  <c r="G1809" i="3" s="1"/>
  <c r="H1809" i="3" s="1"/>
  <c r="F1808" i="3"/>
  <c r="G1808" i="3" s="1"/>
  <c r="F1807" i="3"/>
  <c r="G1807" i="3" s="1"/>
  <c r="F1806" i="3"/>
  <c r="F1805" i="3"/>
  <c r="G1805" i="3" s="1"/>
  <c r="H1805" i="3" s="1"/>
  <c r="F1804" i="3"/>
  <c r="G1804" i="3" s="1"/>
  <c r="F1803" i="3"/>
  <c r="F1802" i="3"/>
  <c r="G1802" i="3" s="1"/>
  <c r="F1801" i="3"/>
  <c r="G1801" i="3" s="1"/>
  <c r="H1801" i="3" s="1"/>
  <c r="F1800" i="3"/>
  <c r="G1800" i="3" s="1"/>
  <c r="F1799" i="3"/>
  <c r="G1799" i="3" s="1"/>
  <c r="H1799" i="3" s="1"/>
  <c r="F1798" i="3"/>
  <c r="F1797" i="3"/>
  <c r="G1797" i="3" s="1"/>
  <c r="H1797" i="3" s="1"/>
  <c r="F1796" i="3"/>
  <c r="G1796" i="3" s="1"/>
  <c r="F1795" i="3"/>
  <c r="G1795" i="3" s="1"/>
  <c r="H1795" i="3" s="1"/>
  <c r="F1793" i="3"/>
  <c r="G1793" i="3" s="1"/>
  <c r="H1793" i="3" s="1"/>
  <c r="F1792" i="3"/>
  <c r="G1792" i="3" s="1"/>
  <c r="F1791" i="3"/>
  <c r="G1791" i="3" s="1"/>
  <c r="H1791" i="3" s="1"/>
  <c r="F1790" i="3"/>
  <c r="G1790" i="3" s="1"/>
  <c r="F1789" i="3"/>
  <c r="G1789" i="3" s="1"/>
  <c r="H1789" i="3" s="1"/>
  <c r="F1788" i="3"/>
  <c r="G1788" i="3" s="1"/>
  <c r="F1787" i="3"/>
  <c r="F1786" i="3"/>
  <c r="G1786" i="3" s="1"/>
  <c r="F1785" i="3"/>
  <c r="F1784" i="3"/>
  <c r="F1783" i="3"/>
  <c r="F1782" i="3"/>
  <c r="G1782" i="3" s="1"/>
  <c r="F1781" i="3"/>
  <c r="G1781" i="3" s="1"/>
  <c r="H1781" i="3" s="1"/>
  <c r="F1780" i="3"/>
  <c r="G1780" i="3" s="1"/>
  <c r="F1779" i="3"/>
  <c r="G1779" i="3" s="1"/>
  <c r="H1779" i="3" s="1"/>
  <c r="F1778" i="3"/>
  <c r="G1778" i="3" s="1"/>
  <c r="F1777" i="3"/>
  <c r="G1777" i="3" s="1"/>
  <c r="H1777" i="3" s="1"/>
  <c r="F1776" i="3"/>
  <c r="G1776" i="3" s="1"/>
  <c r="F1775" i="3"/>
  <c r="F1774" i="3"/>
  <c r="G1774" i="3" s="1"/>
  <c r="F1773" i="3"/>
  <c r="F1772" i="3"/>
  <c r="G1772" i="3" s="1"/>
  <c r="F1771" i="3"/>
  <c r="F1770" i="3"/>
  <c r="G1770" i="3" s="1"/>
  <c r="F1769" i="3"/>
  <c r="G1769" i="3" s="1"/>
  <c r="H1769" i="3" s="1"/>
  <c r="F1768" i="3"/>
  <c r="F1767" i="3"/>
  <c r="G1767" i="3" s="1"/>
  <c r="H1767" i="3" s="1"/>
  <c r="F1766" i="3"/>
  <c r="G1766" i="3" s="1"/>
  <c r="F1765" i="3"/>
  <c r="G1765" i="3" s="1"/>
  <c r="H1765" i="3" s="1"/>
  <c r="F1764" i="3"/>
  <c r="G1764" i="3" s="1"/>
  <c r="F1763" i="3"/>
  <c r="F1762" i="3"/>
  <c r="G1762" i="3" s="1"/>
  <c r="F1761" i="3"/>
  <c r="G1761" i="3" s="1"/>
  <c r="H1761" i="3" s="1"/>
  <c r="F1760" i="3"/>
  <c r="G1760" i="3" s="1"/>
  <c r="F1759" i="3"/>
  <c r="G1759" i="3" s="1"/>
  <c r="H1759" i="3" s="1"/>
  <c r="F1758" i="3"/>
  <c r="G1758" i="3" s="1"/>
  <c r="F1757" i="3"/>
  <c r="G1757" i="3" s="1"/>
  <c r="H1757" i="3" s="1"/>
  <c r="F1756" i="3"/>
  <c r="G1756" i="3" s="1"/>
  <c r="F1755" i="3"/>
  <c r="F1754" i="3"/>
  <c r="G1754" i="3" s="1"/>
  <c r="F1753" i="3"/>
  <c r="F1752" i="3"/>
  <c r="F1751" i="3"/>
  <c r="F1750" i="3"/>
  <c r="G1750" i="3" s="1"/>
  <c r="F1749" i="3"/>
  <c r="F1748" i="3"/>
  <c r="G1748" i="3" s="1"/>
  <c r="F1747" i="3"/>
  <c r="G1747" i="3" s="1"/>
  <c r="H1747" i="3" s="1"/>
  <c r="F1746" i="3"/>
  <c r="G1746" i="3" s="1"/>
  <c r="F1745" i="3"/>
  <c r="F1744" i="3"/>
  <c r="G1744" i="3" s="1"/>
  <c r="F1743" i="3"/>
  <c r="G1743" i="3" s="1"/>
  <c r="H1743" i="3" s="1"/>
  <c r="F1742" i="3"/>
  <c r="G1742" i="3" s="1"/>
  <c r="F1741" i="3"/>
  <c r="G1741" i="3" s="1"/>
  <c r="H1741" i="3" s="1"/>
  <c r="F1740" i="3"/>
  <c r="G1740" i="3" s="1"/>
  <c r="F1739" i="3"/>
  <c r="F1738" i="3"/>
  <c r="G1738" i="3" s="1"/>
  <c r="F1737" i="3"/>
  <c r="F1736" i="3"/>
  <c r="F1735" i="3"/>
  <c r="F1733" i="3"/>
  <c r="F1732" i="3"/>
  <c r="G1732" i="3" s="1"/>
  <c r="F1731" i="3"/>
  <c r="G1731" i="3" s="1"/>
  <c r="H1731" i="3" s="1"/>
  <c r="F1730" i="3"/>
  <c r="G1730" i="3" s="1"/>
  <c r="F1729" i="3"/>
  <c r="F1728" i="3"/>
  <c r="F1727" i="3"/>
  <c r="G1727" i="3" s="1"/>
  <c r="H1727" i="3" s="1"/>
  <c r="F1726" i="3"/>
  <c r="G1726" i="3" s="1"/>
  <c r="F1725" i="3"/>
  <c r="F1724" i="3"/>
  <c r="G1724" i="3" s="1"/>
  <c r="F1723" i="3"/>
  <c r="G1723" i="3" s="1"/>
  <c r="H1723" i="3" s="1"/>
  <c r="F1722" i="3"/>
  <c r="G1722" i="3" s="1"/>
  <c r="F1721" i="3"/>
  <c r="F1720" i="3"/>
  <c r="G1720" i="3" s="1"/>
  <c r="F1719" i="3"/>
  <c r="G1719" i="3" s="1"/>
  <c r="H1719" i="3" s="1"/>
  <c r="F1718" i="3"/>
  <c r="G1718" i="3" s="1"/>
  <c r="F1717" i="3"/>
  <c r="F1716" i="3"/>
  <c r="G1716" i="3" s="1"/>
  <c r="F1715" i="3"/>
  <c r="G1715" i="3" s="1"/>
  <c r="H1715" i="3" s="1"/>
  <c r="F1714" i="3"/>
  <c r="G1714" i="3" s="1"/>
  <c r="F1713" i="3"/>
  <c r="F1712" i="3"/>
  <c r="F1711" i="3"/>
  <c r="G1711" i="3" s="1"/>
  <c r="H1711" i="3" s="1"/>
  <c r="F1710" i="3"/>
  <c r="G1710" i="3" s="1"/>
  <c r="F1709" i="3"/>
  <c r="F1708" i="3"/>
  <c r="G1708" i="3" s="1"/>
  <c r="F1707" i="3"/>
  <c r="G1707" i="3" s="1"/>
  <c r="H1707" i="3" s="1"/>
  <c r="F1706" i="3"/>
  <c r="G1706" i="3" s="1"/>
  <c r="F1705" i="3"/>
  <c r="F1704" i="3"/>
  <c r="G1704" i="3" s="1"/>
  <c r="F1703" i="3"/>
  <c r="G1703" i="3" s="1"/>
  <c r="H1703" i="3" s="1"/>
  <c r="F1702" i="3"/>
  <c r="G1702" i="3" s="1"/>
  <c r="F1701" i="3"/>
  <c r="G1701" i="3" s="1"/>
  <c r="F1700" i="3"/>
  <c r="G1700" i="3" s="1"/>
  <c r="F1699" i="3"/>
  <c r="G1699" i="3" s="1"/>
  <c r="H1699" i="3" s="1"/>
  <c r="F1698" i="3"/>
  <c r="G1698" i="3" s="1"/>
  <c r="F1697" i="3"/>
  <c r="G1697" i="3" s="1"/>
  <c r="F1696" i="3"/>
  <c r="G1696" i="3" s="1"/>
  <c r="F1695" i="3"/>
  <c r="G1695" i="3" s="1"/>
  <c r="H1695" i="3" s="1"/>
  <c r="F1694" i="3"/>
  <c r="G1694" i="3" s="1"/>
  <c r="F1693" i="3"/>
  <c r="G1693" i="3" s="1"/>
  <c r="F1692" i="3"/>
  <c r="F1691" i="3"/>
  <c r="G1691" i="3" s="1"/>
  <c r="H1691" i="3" s="1"/>
  <c r="F1690" i="3"/>
  <c r="G1690" i="3" s="1"/>
  <c r="F1689" i="3"/>
  <c r="G1689" i="3" s="1"/>
  <c r="F1688" i="3"/>
  <c r="F1687" i="3"/>
  <c r="G1687" i="3" s="1"/>
  <c r="H1687" i="3" s="1"/>
  <c r="F1686" i="3"/>
  <c r="G1686" i="3" s="1"/>
  <c r="F1685" i="3"/>
  <c r="G1685" i="3" s="1"/>
  <c r="F1684" i="3"/>
  <c r="G1684" i="3" s="1"/>
  <c r="F1683" i="3"/>
  <c r="G1683" i="3" s="1"/>
  <c r="H1683" i="3" s="1"/>
  <c r="F1682" i="3"/>
  <c r="G1682" i="3" s="1"/>
  <c r="F1681" i="3"/>
  <c r="G1681" i="3" s="1"/>
  <c r="F1680" i="3"/>
  <c r="G1680" i="3" s="1"/>
  <c r="F1679" i="3"/>
  <c r="G1679" i="3" s="1"/>
  <c r="F1678" i="3"/>
  <c r="G1678" i="3" s="1"/>
  <c r="F1677" i="3"/>
  <c r="G1677" i="3" s="1"/>
  <c r="F1676" i="3"/>
  <c r="F1675" i="3"/>
  <c r="F1672" i="3"/>
  <c r="G1672" i="3" s="1"/>
  <c r="F1671" i="3"/>
  <c r="G1671" i="3" s="1"/>
  <c r="F1670" i="3"/>
  <c r="G1670" i="3" s="1"/>
  <c r="F1669" i="3"/>
  <c r="G1669" i="3" s="1"/>
  <c r="F1668" i="3"/>
  <c r="G1668" i="3" s="1"/>
  <c r="F1667" i="3"/>
  <c r="G1667" i="3" s="1"/>
  <c r="F1666" i="3"/>
  <c r="G1666" i="3" s="1"/>
  <c r="F1665" i="3"/>
  <c r="F1664" i="3"/>
  <c r="G1664" i="3" s="1"/>
  <c r="F1663" i="3"/>
  <c r="G1663" i="3" s="1"/>
  <c r="F1662" i="3"/>
  <c r="G1662" i="3" s="1"/>
  <c r="F1661" i="3"/>
  <c r="F1660" i="3"/>
  <c r="G1660" i="3" s="1"/>
  <c r="F1659" i="3"/>
  <c r="G1659" i="3" s="1"/>
  <c r="F1658" i="3"/>
  <c r="F1657" i="3"/>
  <c r="F1656" i="3"/>
  <c r="G1656" i="3" s="1"/>
  <c r="F1655" i="3"/>
  <c r="G1655" i="3" s="1"/>
  <c r="F1654" i="3"/>
  <c r="F1653" i="3"/>
  <c r="G1653" i="3" s="1"/>
  <c r="F1652" i="3"/>
  <c r="G1652" i="3" s="1"/>
  <c r="F1651" i="3"/>
  <c r="G1651" i="3" s="1"/>
  <c r="F1650" i="3"/>
  <c r="G1650" i="3" s="1"/>
  <c r="F1649" i="3"/>
  <c r="G1649" i="3" s="1"/>
  <c r="F1648" i="3"/>
  <c r="G1648" i="3" s="1"/>
  <c r="F1647" i="3"/>
  <c r="G1647" i="3" s="1"/>
  <c r="F1646" i="3"/>
  <c r="G1646" i="3" s="1"/>
  <c r="F1645" i="3"/>
  <c r="G1645" i="3" s="1"/>
  <c r="F1644" i="3"/>
  <c r="G1644" i="3" s="1"/>
  <c r="F1643" i="3"/>
  <c r="G1643" i="3" s="1"/>
  <c r="F1642" i="3"/>
  <c r="F1641" i="3"/>
  <c r="G1641" i="3" s="1"/>
  <c r="F1640" i="3"/>
  <c r="G1640" i="3" s="1"/>
  <c r="F1639" i="3"/>
  <c r="G1639" i="3" s="1"/>
  <c r="F1638" i="3"/>
  <c r="G1638" i="3" s="1"/>
  <c r="F1637" i="3"/>
  <c r="F1636" i="3"/>
  <c r="G1636" i="3" s="1"/>
  <c r="F1635" i="3"/>
  <c r="G1635" i="3" s="1"/>
  <c r="F1634" i="3"/>
  <c r="G1634" i="3" s="1"/>
  <c r="F1633" i="3"/>
  <c r="F1632" i="3"/>
  <c r="G1632" i="3" s="1"/>
  <c r="F1631" i="3"/>
  <c r="G1631" i="3" s="1"/>
  <c r="F1630" i="3"/>
  <c r="G1630" i="3" s="1"/>
  <c r="F1629" i="3"/>
  <c r="G1629" i="3" s="1"/>
  <c r="F1628" i="3"/>
  <c r="G1628" i="3" s="1"/>
  <c r="F1627" i="3"/>
  <c r="G1627" i="3" s="1"/>
  <c r="F1626" i="3"/>
  <c r="F1625" i="3"/>
  <c r="G1625" i="3" s="1"/>
  <c r="F1624" i="3"/>
  <c r="G1624" i="3" s="1"/>
  <c r="F1623" i="3"/>
  <c r="G1623" i="3" s="1"/>
  <c r="F1622" i="3"/>
  <c r="F1621" i="3"/>
  <c r="F1620" i="3"/>
  <c r="G1620" i="3" s="1"/>
  <c r="F1619" i="3"/>
  <c r="G1619" i="3" s="1"/>
  <c r="F1618" i="3"/>
  <c r="G1618" i="3" s="1"/>
  <c r="F1617" i="3"/>
  <c r="F1616" i="3"/>
  <c r="G1616" i="3" s="1"/>
  <c r="F1615" i="3"/>
  <c r="G1615" i="3" s="1"/>
  <c r="F1614" i="3"/>
  <c r="G1614" i="3" s="1"/>
  <c r="F1613" i="3"/>
  <c r="G1613" i="3" s="1"/>
  <c r="F1611" i="3"/>
  <c r="G1611" i="3" s="1"/>
  <c r="F1610" i="3"/>
  <c r="G1610" i="3" s="1"/>
  <c r="F1609" i="3"/>
  <c r="F1608" i="3"/>
  <c r="F1607" i="3"/>
  <c r="G1607" i="3" s="1"/>
  <c r="F1606" i="3"/>
  <c r="G1606" i="3" s="1"/>
  <c r="F1605" i="3"/>
  <c r="F1604" i="3"/>
  <c r="G1604" i="3" s="1"/>
  <c r="F1603" i="3"/>
  <c r="G1603" i="3" s="1"/>
  <c r="F1602" i="3"/>
  <c r="G1602" i="3" s="1"/>
  <c r="F1601" i="3"/>
  <c r="F1600" i="3"/>
  <c r="G1600" i="3" s="1"/>
  <c r="F1599" i="3"/>
  <c r="G1599" i="3" s="1"/>
  <c r="F1598" i="3"/>
  <c r="G1598" i="3" s="1"/>
  <c r="F1597" i="3"/>
  <c r="F1596" i="3"/>
  <c r="F1595" i="3"/>
  <c r="G1595" i="3" s="1"/>
  <c r="F1594" i="3"/>
  <c r="G1594" i="3" s="1"/>
  <c r="F1593" i="3"/>
  <c r="G1593" i="3" s="1"/>
  <c r="F1592" i="3"/>
  <c r="G1592" i="3" s="1"/>
  <c r="F1591" i="3"/>
  <c r="G1591" i="3" s="1"/>
  <c r="F1590" i="3"/>
  <c r="G1590" i="3" s="1"/>
  <c r="F1589" i="3"/>
  <c r="F1588" i="3"/>
  <c r="F1587" i="3"/>
  <c r="G1587" i="3" s="1"/>
  <c r="F1586" i="3"/>
  <c r="G1586" i="3" s="1"/>
  <c r="F1585" i="3"/>
  <c r="G1585" i="3" s="1"/>
  <c r="F1584" i="3"/>
  <c r="G1584" i="3" s="1"/>
  <c r="F1583" i="3"/>
  <c r="G1583" i="3" s="1"/>
  <c r="F1582" i="3"/>
  <c r="G1582" i="3" s="1"/>
  <c r="F1581" i="3"/>
  <c r="G1581" i="3" s="1"/>
  <c r="F1580" i="3"/>
  <c r="G1580" i="3" s="1"/>
  <c r="F1579" i="3"/>
  <c r="G1579" i="3" s="1"/>
  <c r="F1578" i="3"/>
  <c r="G1578" i="3" s="1"/>
  <c r="F1577" i="3"/>
  <c r="G1577" i="3" s="1"/>
  <c r="F1576" i="3"/>
  <c r="F1575" i="3"/>
  <c r="G1575" i="3" s="1"/>
  <c r="F1574" i="3"/>
  <c r="G1574" i="3" s="1"/>
  <c r="F1573" i="3"/>
  <c r="G1573" i="3" s="1"/>
  <c r="F1572" i="3"/>
  <c r="G1572" i="3" s="1"/>
  <c r="F1571" i="3"/>
  <c r="G1571" i="3" s="1"/>
  <c r="F1570" i="3"/>
  <c r="G1570" i="3" s="1"/>
  <c r="F1569" i="3"/>
  <c r="F1568" i="3"/>
  <c r="G1568" i="3" s="1"/>
  <c r="F1567" i="3"/>
  <c r="G1567" i="3" s="1"/>
  <c r="F1566" i="3"/>
  <c r="G1566" i="3" s="1"/>
  <c r="F1565" i="3"/>
  <c r="G1565" i="3" s="1"/>
  <c r="F1564" i="3"/>
  <c r="F1563" i="3"/>
  <c r="G1563" i="3" s="1"/>
  <c r="F1562" i="3"/>
  <c r="G1562" i="3" s="1"/>
  <c r="F1561" i="3"/>
  <c r="G1561" i="3" s="1"/>
  <c r="F1560" i="3"/>
  <c r="G1560" i="3" s="1"/>
  <c r="F1559" i="3"/>
  <c r="G1559" i="3" s="1"/>
  <c r="F1558" i="3"/>
  <c r="G1558" i="3" s="1"/>
  <c r="F1557" i="3"/>
  <c r="G1557" i="3" s="1"/>
  <c r="F1556" i="3"/>
  <c r="F1555" i="3"/>
  <c r="G1555" i="3" s="1"/>
  <c r="F1554" i="3"/>
  <c r="G1554" i="3" s="1"/>
  <c r="F1553" i="3"/>
  <c r="G1553" i="3" s="1"/>
  <c r="F1552" i="3"/>
  <c r="G1552" i="3" s="1"/>
  <c r="F1550" i="3"/>
  <c r="G1550" i="3" s="1"/>
  <c r="F1549" i="3"/>
  <c r="G1549" i="3" s="1"/>
  <c r="F1548" i="3"/>
  <c r="G1548" i="3" s="1"/>
  <c r="F1547" i="3"/>
  <c r="G1547" i="3" s="1"/>
  <c r="F1546" i="3"/>
  <c r="G1546" i="3" s="1"/>
  <c r="F1545" i="3"/>
  <c r="G1545" i="3" s="1"/>
  <c r="F1544" i="3"/>
  <c r="G1544" i="3" s="1"/>
  <c r="F1543" i="3"/>
  <c r="G1543" i="3" s="1"/>
  <c r="F1542" i="3"/>
  <c r="G1542" i="3" s="1"/>
  <c r="F1541" i="3"/>
  <c r="G1541" i="3" s="1"/>
  <c r="F1540" i="3"/>
  <c r="F1539" i="3"/>
  <c r="G1539" i="3" s="1"/>
  <c r="F1538" i="3"/>
  <c r="G1538" i="3" s="1"/>
  <c r="F1537" i="3"/>
  <c r="G1537" i="3" s="1"/>
  <c r="F1536" i="3"/>
  <c r="G1536" i="3" s="1"/>
  <c r="F1535" i="3"/>
  <c r="G1535" i="3" s="1"/>
  <c r="F1534" i="3"/>
  <c r="G1534" i="3" s="1"/>
  <c r="F1533" i="3"/>
  <c r="G1533" i="3" s="1"/>
  <c r="F1532" i="3"/>
  <c r="F1531" i="3"/>
  <c r="F1530" i="3"/>
  <c r="G1530" i="3" s="1"/>
  <c r="F1529" i="3"/>
  <c r="G1529" i="3" s="1"/>
  <c r="F1528" i="3"/>
  <c r="G1528" i="3" s="1"/>
  <c r="F1527" i="3"/>
  <c r="G1527" i="3" s="1"/>
  <c r="F1526" i="3"/>
  <c r="G1526" i="3" s="1"/>
  <c r="F1525" i="3"/>
  <c r="G1525" i="3" s="1"/>
  <c r="F1524" i="3"/>
  <c r="G1524" i="3" s="1"/>
  <c r="F1523" i="3"/>
  <c r="G1523" i="3" s="1"/>
  <c r="F1522" i="3"/>
  <c r="G1522" i="3" s="1"/>
  <c r="F1521" i="3"/>
  <c r="G1521" i="3" s="1"/>
  <c r="F1520" i="3"/>
  <c r="G1520" i="3" s="1"/>
  <c r="H1520" i="3" s="1"/>
  <c r="F1519" i="3"/>
  <c r="G1519" i="3" s="1"/>
  <c r="F1518" i="3"/>
  <c r="G1518" i="3" s="1"/>
  <c r="F1517" i="3"/>
  <c r="G1517" i="3" s="1"/>
  <c r="F1516" i="3"/>
  <c r="G1516" i="3" s="1"/>
  <c r="F1515" i="3"/>
  <c r="G1515" i="3" s="1"/>
  <c r="F1514" i="3"/>
  <c r="F1513" i="3"/>
  <c r="G1513" i="3" s="1"/>
  <c r="F1512" i="3"/>
  <c r="G1512" i="3" s="1"/>
  <c r="F1511" i="3"/>
  <c r="G1511" i="3" s="1"/>
  <c r="F1510" i="3"/>
  <c r="G1510" i="3" s="1"/>
  <c r="F1509" i="3"/>
  <c r="G1509" i="3" s="1"/>
  <c r="F1508" i="3"/>
  <c r="F1507" i="3"/>
  <c r="G1507" i="3" s="1"/>
  <c r="F1506" i="3"/>
  <c r="G1506" i="3" s="1"/>
  <c r="F1505" i="3"/>
  <c r="G1505" i="3" s="1"/>
  <c r="F1504" i="3"/>
  <c r="G1504" i="3" s="1"/>
  <c r="F1503" i="3"/>
  <c r="F1502" i="3"/>
  <c r="G1502" i="3" s="1"/>
  <c r="F1501" i="3"/>
  <c r="G1501" i="3" s="1"/>
  <c r="F1500" i="3"/>
  <c r="F1499" i="3"/>
  <c r="G1499" i="3" s="1"/>
  <c r="F1498" i="3"/>
  <c r="G1498" i="3" s="1"/>
  <c r="F1497" i="3"/>
  <c r="G1497" i="3" s="1"/>
  <c r="F1496" i="3"/>
  <c r="G1496" i="3" s="1"/>
  <c r="F1495" i="3"/>
  <c r="F1494" i="3"/>
  <c r="G1494" i="3" s="1"/>
  <c r="F1493" i="3"/>
  <c r="G1493" i="3" s="1"/>
  <c r="F1492" i="3"/>
  <c r="F1491" i="3"/>
  <c r="G1491" i="3" s="1"/>
  <c r="F1488" i="3"/>
  <c r="G1488" i="3" s="1"/>
  <c r="F1487" i="3"/>
  <c r="F1485" i="3"/>
  <c r="G1485" i="3" s="1"/>
  <c r="F1483" i="3"/>
  <c r="G1483" i="3" s="1"/>
  <c r="H1483" i="3" s="1"/>
  <c r="F1481" i="3"/>
  <c r="G1481" i="3" s="1"/>
  <c r="F1480" i="3"/>
  <c r="G1480" i="3" s="1"/>
  <c r="F1479" i="3"/>
  <c r="G1479" i="3" s="1"/>
  <c r="F1478" i="3"/>
  <c r="G1478" i="3" s="1"/>
  <c r="F1477" i="3"/>
  <c r="G1477" i="3" s="1"/>
  <c r="F1475" i="3"/>
  <c r="G1475" i="3" s="1"/>
  <c r="F1474" i="3"/>
  <c r="G1474" i="3" s="1"/>
  <c r="H1474" i="3" s="1"/>
  <c r="F1472" i="3"/>
  <c r="G1472" i="3" s="1"/>
  <c r="F1470" i="3"/>
  <c r="G1470" i="3" s="1"/>
  <c r="F1468" i="3"/>
  <c r="G1468" i="3" s="1"/>
  <c r="F1467" i="3"/>
  <c r="G1467" i="3" s="1"/>
  <c r="F1466" i="3"/>
  <c r="G1466" i="3" s="1"/>
  <c r="H1466" i="3" s="1"/>
  <c r="F1465" i="3"/>
  <c r="G1465" i="3" s="1"/>
  <c r="F1464" i="3"/>
  <c r="G1464" i="3" s="1"/>
  <c r="F1462" i="3"/>
  <c r="F1461" i="3"/>
  <c r="G1461" i="3" s="1"/>
  <c r="F1460" i="3"/>
  <c r="G1460" i="3" s="1"/>
  <c r="F1459" i="3"/>
  <c r="G1459" i="3" s="1"/>
  <c r="F1457" i="3"/>
  <c r="G1457" i="3" s="1"/>
  <c r="H1457" i="3" s="1"/>
  <c r="F1453" i="3"/>
  <c r="F1452" i="3"/>
  <c r="G1452" i="3" s="1"/>
  <c r="F1451" i="3"/>
  <c r="G1451" i="3" s="1"/>
  <c r="F1449" i="3"/>
  <c r="G1449" i="3" s="1"/>
  <c r="F1448" i="3"/>
  <c r="G1448" i="3" s="1"/>
  <c r="H1448" i="3" s="1"/>
  <c r="F1447" i="3"/>
  <c r="G1447" i="3" s="1"/>
  <c r="F1444" i="3"/>
  <c r="F1439" i="3"/>
  <c r="G1439" i="3" s="1"/>
  <c r="F1438" i="3"/>
  <c r="G1438" i="3" s="1"/>
  <c r="H1438" i="3" s="1"/>
  <c r="F1436" i="3"/>
  <c r="G1436" i="3" s="1"/>
  <c r="F1435" i="3"/>
  <c r="F1434" i="3"/>
  <c r="F1433" i="3"/>
  <c r="G1433" i="3" s="1"/>
  <c r="H1433" i="3" s="1"/>
  <c r="F1432" i="3"/>
  <c r="G1432" i="3" s="1"/>
  <c r="F1431" i="3"/>
  <c r="F1430" i="3"/>
  <c r="G1430" i="3" s="1"/>
  <c r="F1429" i="3"/>
  <c r="G1429" i="3" s="1"/>
  <c r="F1428" i="3"/>
  <c r="G1428" i="3" s="1"/>
  <c r="F1427" i="3"/>
  <c r="G1427" i="3" s="1"/>
  <c r="F1426" i="3"/>
  <c r="F1425" i="3"/>
  <c r="G1425" i="3" s="1"/>
  <c r="H1425" i="3" s="1"/>
  <c r="F1423" i="3"/>
  <c r="G1423" i="3" s="1"/>
  <c r="F1422" i="3"/>
  <c r="F1421" i="3"/>
  <c r="G1421" i="3" s="1"/>
  <c r="H1421" i="3" s="1"/>
  <c r="F1420" i="3"/>
  <c r="G1420" i="3" s="1"/>
  <c r="H1420" i="3" s="1"/>
  <c r="F1419" i="3"/>
  <c r="G1419" i="3" s="1"/>
  <c r="F1418" i="3"/>
  <c r="F1417" i="3"/>
  <c r="F1416" i="3"/>
  <c r="G1416" i="3" s="1"/>
  <c r="H1416" i="3" s="1"/>
  <c r="F1415" i="3"/>
  <c r="G1415" i="3" s="1"/>
  <c r="F1414" i="3"/>
  <c r="F1413" i="3"/>
  <c r="G1413" i="3" s="1"/>
  <c r="F1412" i="3"/>
  <c r="G1412" i="3" s="1"/>
  <c r="H1412" i="3" s="1"/>
  <c r="F1410" i="3"/>
  <c r="F1409" i="3"/>
  <c r="F1408" i="3"/>
  <c r="G1408" i="3" s="1"/>
  <c r="H1408" i="3" s="1"/>
  <c r="F1407" i="3"/>
  <c r="G1407" i="3" s="1"/>
  <c r="H1407" i="3" s="1"/>
  <c r="F1406" i="3"/>
  <c r="F1405" i="3"/>
  <c r="F1404" i="3"/>
  <c r="F1403" i="3"/>
  <c r="G1403" i="3" s="1"/>
  <c r="H1403" i="3" s="1"/>
  <c r="F1402" i="3"/>
  <c r="G1402" i="3" s="1"/>
  <c r="H1402" i="3" s="1"/>
  <c r="F1401" i="3"/>
  <c r="F1400" i="3"/>
  <c r="G1400" i="3" s="1"/>
  <c r="H1400" i="3" s="1"/>
  <c r="F1399" i="3"/>
  <c r="G1399" i="3" s="1"/>
  <c r="H1399" i="3" s="1"/>
  <c r="F1397" i="3"/>
  <c r="G1397" i="3" s="1"/>
  <c r="F1396" i="3"/>
  <c r="G1396" i="3" s="1"/>
  <c r="F1395" i="3"/>
  <c r="F1394" i="3"/>
  <c r="F1393" i="3"/>
  <c r="G1393" i="3" s="1"/>
  <c r="F1392" i="3"/>
  <c r="G1392" i="3" s="1"/>
  <c r="F1391" i="3"/>
  <c r="G1391" i="3" s="1"/>
  <c r="F1390" i="3"/>
  <c r="F1389" i="3"/>
  <c r="G1389" i="3" s="1"/>
  <c r="F1388" i="3"/>
  <c r="G1388" i="3" s="1"/>
  <c r="F1387" i="3"/>
  <c r="F1386" i="3"/>
  <c r="F1384" i="3"/>
  <c r="G1384" i="3" s="1"/>
  <c r="F1383" i="3"/>
  <c r="F1382" i="3"/>
  <c r="G1382" i="3" s="1"/>
  <c r="F1381" i="3"/>
  <c r="G1381" i="3" s="1"/>
  <c r="H1381" i="3" s="1"/>
  <c r="F1380" i="3"/>
  <c r="G1380" i="3" s="1"/>
  <c r="F1379" i="3"/>
  <c r="F1378" i="3"/>
  <c r="G1378" i="3" s="1"/>
  <c r="F1377" i="3"/>
  <c r="G1377" i="3" s="1"/>
  <c r="H1377" i="3" s="1"/>
  <c r="F1376" i="3"/>
  <c r="G1376" i="3" s="1"/>
  <c r="F1375" i="3"/>
  <c r="F1374" i="3"/>
  <c r="F1373" i="3"/>
  <c r="G1373" i="3" s="1"/>
  <c r="H1373" i="3" s="1"/>
  <c r="F1371" i="3"/>
  <c r="G1371" i="3" s="1"/>
  <c r="F1370" i="3"/>
  <c r="F1369" i="3"/>
  <c r="G1369" i="3" s="1"/>
  <c r="F1368" i="3"/>
  <c r="F1367" i="3"/>
  <c r="G1367" i="3" s="1"/>
  <c r="F1366" i="3"/>
  <c r="G1366" i="3" s="1"/>
  <c r="F1365" i="3"/>
  <c r="F1364" i="3"/>
  <c r="F1363" i="3"/>
  <c r="G1363" i="3" s="1"/>
  <c r="F1362" i="3"/>
  <c r="G1362" i="3" s="1"/>
  <c r="F1361" i="3"/>
  <c r="F1360" i="3"/>
  <c r="G1360" i="3" s="1"/>
  <c r="H1360" i="3" s="1"/>
  <c r="E1361" i="22" s="1"/>
  <c r="F1361" i="22" s="1"/>
  <c r="G1361" i="22" s="1"/>
  <c r="F1358" i="3"/>
  <c r="G1358" i="3" s="1"/>
  <c r="F1357" i="3"/>
  <c r="G1357" i="3" s="1"/>
  <c r="F1356" i="3"/>
  <c r="G1356" i="3" s="1"/>
  <c r="F1355" i="3"/>
  <c r="G1355" i="3" s="1"/>
  <c r="H1355" i="3" s="1"/>
  <c r="F1354" i="3"/>
  <c r="G1354" i="3" s="1"/>
  <c r="F1353" i="3"/>
  <c r="F1352" i="3"/>
  <c r="G1352" i="3" s="1"/>
  <c r="H1352" i="3" s="1"/>
  <c r="F1351" i="3"/>
  <c r="G1351" i="3" s="1"/>
  <c r="H1351" i="3" s="1"/>
  <c r="F1350" i="3"/>
  <c r="G1350" i="3" s="1"/>
  <c r="F1349" i="3"/>
  <c r="F1348" i="3"/>
  <c r="G1348" i="3" s="1"/>
  <c r="H1348" i="3" s="1"/>
  <c r="F1347" i="3"/>
  <c r="G1347" i="3" s="1"/>
  <c r="F1345" i="3"/>
  <c r="G1345" i="3" s="1"/>
  <c r="H1345" i="3" s="1"/>
  <c r="E1346" i="4" s="1"/>
  <c r="F1346" i="4" s="1"/>
  <c r="G1346" i="4" s="1"/>
  <c r="F1344" i="3"/>
  <c r="F1343" i="3"/>
  <c r="G1343" i="3" s="1"/>
  <c r="F1342" i="3"/>
  <c r="G1342" i="3" s="1"/>
  <c r="H1342" i="3" s="1"/>
  <c r="F1341" i="3"/>
  <c r="G1341" i="3" s="1"/>
  <c r="H1341" i="3" s="1"/>
  <c r="F1340" i="3"/>
  <c r="F1339" i="3"/>
  <c r="G1339" i="3" s="1"/>
  <c r="F1338" i="3"/>
  <c r="G1338" i="3" s="1"/>
  <c r="H1338" i="3" s="1"/>
  <c r="F1337" i="3"/>
  <c r="G1337" i="3" s="1"/>
  <c r="F1335" i="3"/>
  <c r="G1335" i="3" s="1"/>
  <c r="H1335" i="3" s="1"/>
  <c r="F1334" i="3"/>
  <c r="G1334" i="3" s="1"/>
  <c r="H1334" i="3" s="1"/>
  <c r="F1331" i="3"/>
  <c r="F1330" i="3"/>
  <c r="G1330" i="3" s="1"/>
  <c r="F1329" i="3"/>
  <c r="G1329" i="3" s="1"/>
  <c r="F1328" i="3"/>
  <c r="G1328" i="3" s="1"/>
  <c r="F1327" i="3"/>
  <c r="F1326" i="3"/>
  <c r="G1326" i="3" s="1"/>
  <c r="F1325" i="3"/>
  <c r="G1325" i="3" s="1"/>
  <c r="F1324" i="3"/>
  <c r="G1324" i="3" s="1"/>
  <c r="F1323" i="3"/>
  <c r="F1322" i="3"/>
  <c r="G1322" i="3" s="1"/>
  <c r="F1321" i="3"/>
  <c r="G1321" i="3" s="1"/>
  <c r="F1320" i="3"/>
  <c r="F1319" i="3"/>
  <c r="F1318" i="3"/>
  <c r="G1318" i="3" s="1"/>
  <c r="F1317" i="3"/>
  <c r="G1317" i="3" s="1"/>
  <c r="F1315" i="3"/>
  <c r="F1314" i="3"/>
  <c r="G1314" i="3" s="1"/>
  <c r="F1312" i="3"/>
  <c r="G1312" i="3" s="1"/>
  <c r="F1311" i="3"/>
  <c r="G1311" i="3" s="1"/>
  <c r="F1310" i="3"/>
  <c r="G1310" i="3" s="1"/>
  <c r="H1310" i="3" s="1"/>
  <c r="E1311" i="18" s="1"/>
  <c r="F1311" i="18" s="1"/>
  <c r="G1311" i="18" s="1"/>
  <c r="F1309" i="3"/>
  <c r="G1309" i="3" s="1"/>
  <c r="H1309" i="3" s="1"/>
  <c r="E1310" i="18" s="1"/>
  <c r="F1310" i="18" s="1"/>
  <c r="G1310" i="18" s="1"/>
  <c r="F1308" i="3"/>
  <c r="F1307" i="3"/>
  <c r="G1307" i="3" s="1"/>
  <c r="H1307" i="3" s="1"/>
  <c r="E1308" i="18" s="1"/>
  <c r="F1308" i="18" s="1"/>
  <c r="G1308" i="18" s="1"/>
  <c r="F1306" i="3"/>
  <c r="G1306" i="3" s="1"/>
  <c r="H1306" i="3" s="1"/>
  <c r="E1307" i="18" s="1"/>
  <c r="F1307" i="18" s="1"/>
  <c r="G1307" i="18" s="1"/>
  <c r="F1305" i="3"/>
  <c r="G1305" i="3" s="1"/>
  <c r="F1304" i="3"/>
  <c r="G1304" i="3" s="1"/>
  <c r="H1304" i="3" s="1"/>
  <c r="E1305" i="18" s="1"/>
  <c r="F1305" i="18" s="1"/>
  <c r="G1305" i="18" s="1"/>
  <c r="F1303" i="3"/>
  <c r="F1302" i="3"/>
  <c r="F1301" i="3"/>
  <c r="G1301" i="3" s="1"/>
  <c r="H1301" i="3" s="1"/>
  <c r="E1302" i="18" s="1"/>
  <c r="F1302" i="18" s="1"/>
  <c r="G1302" i="18" s="1"/>
  <c r="F1300" i="3"/>
  <c r="G1300" i="3" s="1"/>
  <c r="H1300" i="3" s="1"/>
  <c r="E1301" i="18" s="1"/>
  <c r="F1301" i="18" s="1"/>
  <c r="G1301" i="18" s="1"/>
  <c r="F1299" i="3"/>
  <c r="F1298" i="3"/>
  <c r="F1297" i="3"/>
  <c r="G1297" i="3" s="1"/>
  <c r="H1297" i="3" s="1"/>
  <c r="E1298" i="18" s="1"/>
  <c r="F1298" i="18" s="1"/>
  <c r="G1298" i="18" s="1"/>
  <c r="F1296" i="3"/>
  <c r="G1296" i="3" s="1"/>
  <c r="F1295" i="3"/>
  <c r="G1295" i="3" s="1"/>
  <c r="H1295" i="3" s="1"/>
  <c r="E1296" i="18" s="1"/>
  <c r="F1296" i="18" s="1"/>
  <c r="G1296" i="18" s="1"/>
  <c r="F1294" i="3"/>
  <c r="G1294" i="3" s="1"/>
  <c r="H1294" i="3" s="1"/>
  <c r="E1295" i="18" s="1"/>
  <c r="F1295" i="18" s="1"/>
  <c r="G1295" i="18" s="1"/>
  <c r="F1293" i="3"/>
  <c r="G1293" i="3" s="1"/>
  <c r="F1292" i="3"/>
  <c r="F1290" i="3"/>
  <c r="G1290" i="3" s="1"/>
  <c r="F1289" i="3"/>
  <c r="F1288" i="3"/>
  <c r="G1288" i="3" s="1"/>
  <c r="H1288" i="3" s="1"/>
  <c r="E1289" i="18" s="1"/>
  <c r="F1289" i="18" s="1"/>
  <c r="G1289" i="18" s="1"/>
  <c r="F1287" i="3"/>
  <c r="G1287" i="3" s="1"/>
  <c r="H1287" i="3" s="1"/>
  <c r="E1288" i="18" s="1"/>
  <c r="F1288" i="18" s="1"/>
  <c r="G1288" i="18" s="1"/>
  <c r="F1285" i="3"/>
  <c r="F1284" i="3"/>
  <c r="G1284" i="3" s="1"/>
  <c r="H1284" i="3" s="1"/>
  <c r="E1285" i="18" s="1"/>
  <c r="F1285" i="18" s="1"/>
  <c r="G1285" i="18" s="1"/>
  <c r="F1283" i="3"/>
  <c r="F1282" i="3"/>
  <c r="G1282" i="3" s="1"/>
  <c r="H1282" i="3" s="1"/>
  <c r="E1283" i="18" s="1"/>
  <c r="F1283" i="18" s="1"/>
  <c r="G1283" i="18" s="1"/>
  <c r="F1281" i="3"/>
  <c r="G1281" i="3" s="1"/>
  <c r="F1280" i="3"/>
  <c r="G1280" i="3" s="1"/>
  <c r="H1280" i="3" s="1"/>
  <c r="E1281" i="18" s="1"/>
  <c r="F1281" i="18" s="1"/>
  <c r="G1281" i="18" s="1"/>
  <c r="F1279" i="3"/>
  <c r="G1279" i="3" s="1"/>
  <c r="F1278" i="3"/>
  <c r="G1278" i="3" s="1"/>
  <c r="H1278" i="3" s="1"/>
  <c r="E1279" i="18" s="1"/>
  <c r="F1279" i="18" s="1"/>
  <c r="G1279" i="18" s="1"/>
  <c r="F1277" i="3"/>
  <c r="F1276" i="3"/>
  <c r="F1274" i="3"/>
  <c r="G1274" i="3" s="1"/>
  <c r="H1274" i="3" s="1"/>
  <c r="E1275" i="18" s="1"/>
  <c r="F1275" i="18" s="1"/>
  <c r="G1275" i="18" s="1"/>
  <c r="F1273" i="3"/>
  <c r="F1272" i="3"/>
  <c r="G1272" i="3" s="1"/>
  <c r="H1272" i="3" s="1"/>
  <c r="E1273" i="18" s="1"/>
  <c r="F1273" i="18" s="1"/>
  <c r="G1273" i="18" s="1"/>
  <c r="F1269" i="3"/>
  <c r="F1268" i="3"/>
  <c r="G1268" i="3" s="1"/>
  <c r="H1268" i="3" s="1"/>
  <c r="E1269" i="18" s="1"/>
  <c r="F1269" i="18" s="1"/>
  <c r="G1269" i="18" s="1"/>
  <c r="F1265" i="3"/>
  <c r="F1264" i="3"/>
  <c r="F1263" i="3"/>
  <c r="G1263" i="3" s="1"/>
  <c r="H1263" i="3" s="1"/>
  <c r="E1264" i="18" s="1"/>
  <c r="F1264" i="18" s="1"/>
  <c r="G1264" i="18" s="1"/>
  <c r="F1260" i="3"/>
  <c r="G1260" i="3" s="1"/>
  <c r="H1260" i="3" s="1"/>
  <c r="E1261" i="18" s="1"/>
  <c r="F1261" i="18" s="1"/>
  <c r="G1261" i="18" s="1"/>
  <c r="F1259" i="3"/>
  <c r="G1259" i="3" s="1"/>
  <c r="H1259" i="3" s="1"/>
  <c r="E1260" i="18" s="1"/>
  <c r="F1260" i="18" s="1"/>
  <c r="G1260" i="18" s="1"/>
  <c r="F1258" i="3"/>
  <c r="F1257" i="3"/>
  <c r="F1256" i="3"/>
  <c r="G1256" i="3" s="1"/>
  <c r="H1256" i="3" s="1"/>
  <c r="E1257" i="18" s="1"/>
  <c r="F1257" i="18" s="1"/>
  <c r="G1257" i="18" s="1"/>
  <c r="F1255" i="3"/>
  <c r="F1254" i="3"/>
  <c r="F1253" i="3"/>
  <c r="F1252" i="3"/>
  <c r="G1252" i="3" s="1"/>
  <c r="H1252" i="3" s="1"/>
  <c r="E1253" i="18" s="1"/>
  <c r="F1253" i="18" s="1"/>
  <c r="G1253" i="18" s="1"/>
  <c r="F1251" i="3"/>
  <c r="F1250" i="3"/>
  <c r="F1249" i="3"/>
  <c r="G1249" i="3" s="1"/>
  <c r="H1249" i="3" s="1"/>
  <c r="E1250" i="18" s="1"/>
  <c r="F1250" i="18" s="1"/>
  <c r="G1250" i="18" s="1"/>
  <c r="F1248" i="3"/>
  <c r="G1248" i="3" s="1"/>
  <c r="H1248" i="3" s="1"/>
  <c r="E1249" i="18" s="1"/>
  <c r="F1249" i="18" s="1"/>
  <c r="G1249" i="18" s="1"/>
  <c r="F1247" i="3"/>
  <c r="G1247" i="3" s="1"/>
  <c r="H1247" i="3" s="1"/>
  <c r="E1248" i="18" s="1"/>
  <c r="F1248" i="18" s="1"/>
  <c r="G1248" i="18" s="1"/>
  <c r="F1246" i="3"/>
  <c r="F1245" i="3"/>
  <c r="G1245" i="3" s="1"/>
  <c r="H1245" i="3" s="1"/>
  <c r="E1246" i="18" s="1"/>
  <c r="F1246" i="18" s="1"/>
  <c r="G1246" i="18" s="1"/>
  <c r="F1244" i="3"/>
  <c r="G1244" i="3" s="1"/>
  <c r="H1244" i="3" s="1"/>
  <c r="E1245" i="18" s="1"/>
  <c r="F1245" i="18" s="1"/>
  <c r="G1245" i="18" s="1"/>
  <c r="F1243" i="3"/>
  <c r="G1243" i="3" s="1"/>
  <c r="H1243" i="3" s="1"/>
  <c r="E1244" i="18" s="1"/>
  <c r="F1244" i="18" s="1"/>
  <c r="G1244" i="18" s="1"/>
  <c r="F1242" i="3"/>
  <c r="G1242" i="3" s="1"/>
  <c r="H1242" i="3" s="1"/>
  <c r="E1243" i="18" s="1"/>
  <c r="F1243" i="18" s="1"/>
  <c r="G1243" i="18" s="1"/>
  <c r="F1241" i="3"/>
  <c r="G1241" i="3" s="1"/>
  <c r="H1241" i="3" s="1"/>
  <c r="E1242" i="18" s="1"/>
  <c r="F1242" i="18" s="1"/>
  <c r="G1242" i="18" s="1"/>
  <c r="F1240" i="3"/>
  <c r="G1240" i="3" s="1"/>
  <c r="H1240" i="3" s="1"/>
  <c r="E1241" i="18" s="1"/>
  <c r="F1241" i="18" s="1"/>
  <c r="G1241" i="18" s="1"/>
  <c r="F1239" i="3"/>
  <c r="F1238" i="3"/>
  <c r="F1237" i="3"/>
  <c r="G1237" i="3" s="1"/>
  <c r="H1237" i="3" s="1"/>
  <c r="E1238" i="18" s="1"/>
  <c r="F1238" i="18" s="1"/>
  <c r="G1238" i="18" s="1"/>
  <c r="F1236" i="3"/>
  <c r="G1236" i="3" s="1"/>
  <c r="H1236" i="3" s="1"/>
  <c r="E1237" i="18" s="1"/>
  <c r="F1237" i="18" s="1"/>
  <c r="G1237" i="18" s="1"/>
  <c r="F1235" i="3"/>
  <c r="G1235" i="3" s="1"/>
  <c r="H1235" i="3" s="1"/>
  <c r="E1236" i="18" s="1"/>
  <c r="F1236" i="18" s="1"/>
  <c r="G1236" i="18" s="1"/>
  <c r="F1234" i="3"/>
  <c r="F1233" i="3"/>
  <c r="F1232" i="3"/>
  <c r="G1232" i="3" s="1"/>
  <c r="H1232" i="3" s="1"/>
  <c r="E1233" i="18" s="1"/>
  <c r="F1233" i="18" s="1"/>
  <c r="G1233" i="18" s="1"/>
  <c r="F1231" i="3"/>
  <c r="G1231" i="3" s="1"/>
  <c r="H1231" i="3" s="1"/>
  <c r="E1232" i="18" s="1"/>
  <c r="F1232" i="18" s="1"/>
  <c r="G1232" i="18" s="1"/>
  <c r="F1230" i="3"/>
  <c r="F1229" i="3"/>
  <c r="G1229" i="3" s="1"/>
  <c r="H1229" i="3" s="1"/>
  <c r="E1230" i="18" s="1"/>
  <c r="F1230" i="18" s="1"/>
  <c r="G1230" i="18" s="1"/>
  <c r="F1228" i="3"/>
  <c r="G1228" i="3" s="1"/>
  <c r="H1228" i="3" s="1"/>
  <c r="E1229" i="18" s="1"/>
  <c r="F1229" i="18" s="1"/>
  <c r="G1229" i="18" s="1"/>
  <c r="F1227" i="3"/>
  <c r="G1227" i="3" s="1"/>
  <c r="H1227" i="3" s="1"/>
  <c r="E1228" i="18" s="1"/>
  <c r="F1228" i="18" s="1"/>
  <c r="G1228" i="18" s="1"/>
  <c r="F1226" i="3"/>
  <c r="F1225" i="3"/>
  <c r="G1225" i="3" s="1"/>
  <c r="H1225" i="3" s="1"/>
  <c r="E1226" i="18" s="1"/>
  <c r="F1226" i="18" s="1"/>
  <c r="G1226" i="18" s="1"/>
  <c r="F1224" i="3"/>
  <c r="G1224" i="3" s="1"/>
  <c r="H1224" i="3" s="1"/>
  <c r="E1225" i="18" s="1"/>
  <c r="F1225" i="18" s="1"/>
  <c r="G1225" i="18" s="1"/>
  <c r="F1223" i="3"/>
  <c r="G1223" i="3" s="1"/>
  <c r="H1223" i="3" s="1"/>
  <c r="E1224" i="18" s="1"/>
  <c r="F1224" i="18" s="1"/>
  <c r="G1224" i="18" s="1"/>
  <c r="F1222" i="3"/>
  <c r="F1221" i="3"/>
  <c r="G1221" i="3" s="1"/>
  <c r="H1221" i="3" s="1"/>
  <c r="E1222" i="18" s="1"/>
  <c r="F1222" i="18" s="1"/>
  <c r="G1222" i="18" s="1"/>
  <c r="F1220" i="3"/>
  <c r="G1220" i="3" s="1"/>
  <c r="H1220" i="3" s="1"/>
  <c r="E1221" i="18" s="1"/>
  <c r="F1221" i="18" s="1"/>
  <c r="G1221" i="18" s="1"/>
  <c r="F1219" i="3"/>
  <c r="F1218" i="3"/>
  <c r="F1217" i="3"/>
  <c r="G1217" i="3" s="1"/>
  <c r="H1217" i="3" s="1"/>
  <c r="E1218" i="18" s="1"/>
  <c r="F1218" i="18" s="1"/>
  <c r="G1218" i="18" s="1"/>
  <c r="F1216" i="3"/>
  <c r="G1216" i="3" s="1"/>
  <c r="H1216" i="3" s="1"/>
  <c r="E1217" i="18" s="1"/>
  <c r="F1217" i="18" s="1"/>
  <c r="G1217" i="18" s="1"/>
  <c r="F1215" i="3"/>
  <c r="F1214" i="3"/>
  <c r="G1214" i="3" s="1"/>
  <c r="H1214" i="3" s="1"/>
  <c r="E1215" i="18" s="1"/>
  <c r="F1215" i="18" s="1"/>
  <c r="G1215" i="18" s="1"/>
  <c r="F1213" i="3"/>
  <c r="G1213" i="3" s="1"/>
  <c r="H1213" i="3" s="1"/>
  <c r="E1214" i="18" s="1"/>
  <c r="F1214" i="18" s="1"/>
  <c r="G1214" i="18" s="1"/>
  <c r="F1212" i="3"/>
  <c r="G1212" i="3" s="1"/>
  <c r="H1212" i="3" s="1"/>
  <c r="E1213" i="18" s="1"/>
  <c r="F1213" i="18" s="1"/>
  <c r="G1213" i="18" s="1"/>
  <c r="F1211" i="3"/>
  <c r="F1210" i="3"/>
  <c r="G1210" i="3" s="1"/>
  <c r="F1208" i="3"/>
  <c r="G1208" i="3" s="1"/>
  <c r="H1208" i="3" s="1"/>
  <c r="E1209" i="18" s="1"/>
  <c r="F1209" i="18" s="1"/>
  <c r="G1209" i="18" s="1"/>
  <c r="F1207" i="3"/>
  <c r="G1207" i="3" s="1"/>
  <c r="H1207" i="3" s="1"/>
  <c r="E1208" i="18" s="1"/>
  <c r="F1208" i="18" s="1"/>
  <c r="G1208" i="18" s="1"/>
  <c r="F1206" i="3"/>
  <c r="F1205" i="3"/>
  <c r="F1204" i="3"/>
  <c r="G1204" i="3" s="1"/>
  <c r="H1204" i="3" s="1"/>
  <c r="E1205" i="18" s="1"/>
  <c r="F1205" i="18" s="1"/>
  <c r="G1205" i="18" s="1"/>
  <c r="F1203" i="3"/>
  <c r="G1203" i="3" s="1"/>
  <c r="H1203" i="3" s="1"/>
  <c r="E1204" i="18" s="1"/>
  <c r="F1204" i="18" s="1"/>
  <c r="G1204" i="18" s="1"/>
  <c r="F1202" i="3"/>
  <c r="F1201" i="3"/>
  <c r="F1200" i="3"/>
  <c r="G1200" i="3" s="1"/>
  <c r="H1200" i="3" s="1"/>
  <c r="E1201" i="18" s="1"/>
  <c r="F1201" i="18" s="1"/>
  <c r="G1201" i="18" s="1"/>
  <c r="F1199" i="3"/>
  <c r="G1199" i="3" s="1"/>
  <c r="H1199" i="3" s="1"/>
  <c r="E1200" i="18" s="1"/>
  <c r="F1200" i="18" s="1"/>
  <c r="G1200" i="18" s="1"/>
  <c r="F1198" i="3"/>
  <c r="G1198" i="3" s="1"/>
  <c r="H1198" i="3" s="1"/>
  <c r="E1199" i="18" s="1"/>
  <c r="F1199" i="18" s="1"/>
  <c r="G1199" i="18" s="1"/>
  <c r="F1197" i="3"/>
  <c r="F1196" i="3"/>
  <c r="G1196" i="3" s="1"/>
  <c r="H1196" i="3" s="1"/>
  <c r="E1197" i="18" s="1"/>
  <c r="F1197" i="18" s="1"/>
  <c r="G1197" i="18" s="1"/>
  <c r="F1195" i="3"/>
  <c r="G1195" i="3" s="1"/>
  <c r="H1195" i="3" s="1"/>
  <c r="E1196" i="18" s="1"/>
  <c r="F1196" i="18" s="1"/>
  <c r="G1196" i="18" s="1"/>
  <c r="F1194" i="3"/>
  <c r="F1193" i="3"/>
  <c r="F1192" i="3"/>
  <c r="G1192" i="3" s="1"/>
  <c r="H1192" i="3" s="1"/>
  <c r="E1193" i="18" s="1"/>
  <c r="F1193" i="18" s="1"/>
  <c r="G1193" i="18" s="1"/>
  <c r="F1191" i="3"/>
  <c r="G1191" i="3" s="1"/>
  <c r="H1191" i="3" s="1"/>
  <c r="E1192" i="18" s="1"/>
  <c r="F1192" i="18" s="1"/>
  <c r="G1192" i="18" s="1"/>
  <c r="F1190" i="3"/>
  <c r="F1189" i="3"/>
  <c r="F1188" i="3"/>
  <c r="G1188" i="3" s="1"/>
  <c r="H1188" i="3" s="1"/>
  <c r="E1189" i="18" s="1"/>
  <c r="F1189" i="18" s="1"/>
  <c r="G1189" i="18" s="1"/>
  <c r="F1187" i="3"/>
  <c r="G1187" i="3" s="1"/>
  <c r="H1187" i="3" s="1"/>
  <c r="E1188" i="18" s="1"/>
  <c r="F1188" i="18" s="1"/>
  <c r="G1188" i="18" s="1"/>
  <c r="F1186" i="3"/>
  <c r="G1186" i="3" s="1"/>
  <c r="F1185" i="3"/>
  <c r="F1184" i="3"/>
  <c r="G1184" i="3" s="1"/>
  <c r="H1184" i="3" s="1"/>
  <c r="E1185" i="18" s="1"/>
  <c r="F1185" i="18" s="1"/>
  <c r="G1185" i="18" s="1"/>
  <c r="F1183" i="3"/>
  <c r="G1183" i="3" s="1"/>
  <c r="H1183" i="3" s="1"/>
  <c r="E1184" i="18" s="1"/>
  <c r="F1184" i="18" s="1"/>
  <c r="G1184" i="18" s="1"/>
  <c r="F1182" i="3"/>
  <c r="F1181" i="3"/>
  <c r="F1180" i="3"/>
  <c r="G1180" i="3" s="1"/>
  <c r="F1179" i="3"/>
  <c r="G1179" i="3" s="1"/>
  <c r="H1179" i="3" s="1"/>
  <c r="E1180" i="22" s="1"/>
  <c r="F1180" i="22" s="1"/>
  <c r="G1180" i="22" s="1"/>
  <c r="F1178" i="3"/>
  <c r="G1178" i="3" s="1"/>
  <c r="F1177" i="3"/>
  <c r="F1176" i="3"/>
  <c r="G1176" i="3" s="1"/>
  <c r="F1175" i="3"/>
  <c r="G1175" i="3" s="1"/>
  <c r="H1175" i="3" s="1"/>
  <c r="E1176" i="22" s="1"/>
  <c r="F1176" i="22" s="1"/>
  <c r="G1176" i="22" s="1"/>
  <c r="F1174" i="3"/>
  <c r="F1173" i="3"/>
  <c r="F1172" i="3"/>
  <c r="G1172" i="3" s="1"/>
  <c r="F1171" i="3"/>
  <c r="G1171" i="3" s="1"/>
  <c r="H1171" i="3" s="1"/>
  <c r="E1172" i="22" s="1"/>
  <c r="F1172" i="22" s="1"/>
  <c r="G1172" i="22" s="1"/>
  <c r="F1170" i="3"/>
  <c r="G1170" i="3" s="1"/>
  <c r="H1170" i="3" s="1"/>
  <c r="E1171" i="22" s="1"/>
  <c r="F1171" i="22" s="1"/>
  <c r="G1171" i="22" s="1"/>
  <c r="F1169" i="3"/>
  <c r="F1168" i="3"/>
  <c r="G1168" i="3" s="1"/>
  <c r="F1167" i="3"/>
  <c r="G1167" i="3" s="1"/>
  <c r="H1167" i="3" s="1"/>
  <c r="E1168" i="22" s="1"/>
  <c r="F1168" i="22" s="1"/>
  <c r="G1168" i="22" s="1"/>
  <c r="F1166" i="3"/>
  <c r="G1166" i="3" s="1"/>
  <c r="F1165" i="3"/>
  <c r="F1164" i="3"/>
  <c r="F1163" i="3"/>
  <c r="G1163" i="3" s="1"/>
  <c r="H1163" i="3" s="1"/>
  <c r="E1164" i="22" s="1"/>
  <c r="F1164" i="22" s="1"/>
  <c r="G1164" i="22" s="1"/>
  <c r="F1162" i="3"/>
  <c r="G1162" i="3" s="1"/>
  <c r="F1161" i="3"/>
  <c r="F1160" i="3"/>
  <c r="G1160" i="3" s="1"/>
  <c r="F1159" i="3"/>
  <c r="G1159" i="3" s="1"/>
  <c r="H1159" i="3" s="1"/>
  <c r="E1160" i="22" s="1"/>
  <c r="F1160" i="22" s="1"/>
  <c r="G1160" i="22" s="1"/>
  <c r="F1158" i="3"/>
  <c r="G1158" i="3" s="1"/>
  <c r="F1155" i="3"/>
  <c r="G1155" i="3" s="1"/>
  <c r="H1155" i="3" s="1"/>
  <c r="E1156" i="22" s="1"/>
  <c r="F1156" i="22" s="1"/>
  <c r="G1156" i="22" s="1"/>
  <c r="F1154" i="3"/>
  <c r="G1154" i="3" s="1"/>
  <c r="H1154" i="3" s="1"/>
  <c r="E1155" i="22" s="1"/>
  <c r="F1155" i="22" s="1"/>
  <c r="G1155" i="22" s="1"/>
  <c r="F1153" i="3"/>
  <c r="G1153" i="3" s="1"/>
  <c r="H1153" i="3" s="1"/>
  <c r="E1154" i="22" s="1"/>
  <c r="F1154" i="22" s="1"/>
  <c r="G1154" i="22" s="1"/>
  <c r="F1152" i="3"/>
  <c r="G1152" i="3" s="1"/>
  <c r="H1152" i="3" s="1"/>
  <c r="E1153" i="22" s="1"/>
  <c r="F1153" i="22" s="1"/>
  <c r="G1153" i="22" s="1"/>
  <c r="F1151" i="3"/>
  <c r="G1151" i="3" s="1"/>
  <c r="F1150" i="3"/>
  <c r="G1150" i="3" s="1"/>
  <c r="H1150" i="3" s="1"/>
  <c r="E1151" i="22" s="1"/>
  <c r="F1151" i="22" s="1"/>
  <c r="G1151" i="22" s="1"/>
  <c r="F1149" i="3"/>
  <c r="G1149" i="3" s="1"/>
  <c r="H1149" i="3" s="1"/>
  <c r="E1150" i="22" s="1"/>
  <c r="F1150" i="22" s="1"/>
  <c r="G1150" i="22" s="1"/>
  <c r="F1148" i="3"/>
  <c r="G1148" i="3" s="1"/>
  <c r="F1147" i="3"/>
  <c r="F1146" i="3"/>
  <c r="F1145" i="3"/>
  <c r="G1145" i="3" s="1"/>
  <c r="H1145" i="3" s="1"/>
  <c r="E1146" i="22" s="1"/>
  <c r="F1146" i="22" s="1"/>
  <c r="G1146" i="22" s="1"/>
  <c r="F1144" i="3"/>
  <c r="G1144" i="3" s="1"/>
  <c r="H1144" i="3" s="1"/>
  <c r="E1145" i="22" s="1"/>
  <c r="F1145" i="22" s="1"/>
  <c r="G1145" i="22" s="1"/>
  <c r="F1143" i="3"/>
  <c r="F1142" i="3"/>
  <c r="G1142" i="3" s="1"/>
  <c r="F1141" i="3"/>
  <c r="G1141" i="3" s="1"/>
  <c r="H1141" i="3" s="1"/>
  <c r="E1142" i="22" s="1"/>
  <c r="F1142" i="22" s="1"/>
  <c r="G1142" i="22" s="1"/>
  <c r="F1140" i="3"/>
  <c r="G1140" i="3" s="1"/>
  <c r="H1140" i="3" s="1"/>
  <c r="E1141" i="22" s="1"/>
  <c r="F1141" i="22" s="1"/>
  <c r="G1141" i="22" s="1"/>
  <c r="F1139" i="3"/>
  <c r="G1139" i="3" s="1"/>
  <c r="F1138" i="3"/>
  <c r="G1138" i="3" s="1"/>
  <c r="H1138" i="3" s="1"/>
  <c r="E1139" i="22" s="1"/>
  <c r="F1139" i="22" s="1"/>
  <c r="G1139" i="22" s="1"/>
  <c r="F1137" i="3"/>
  <c r="G1137" i="3" s="1"/>
  <c r="H1137" i="3" s="1"/>
  <c r="E1138" i="22" s="1"/>
  <c r="F1138" i="22" s="1"/>
  <c r="G1138" i="22" s="1"/>
  <c r="F1136" i="3"/>
  <c r="G1136" i="3" s="1"/>
  <c r="F1135" i="3"/>
  <c r="G1135" i="3" s="1"/>
  <c r="F1134" i="3"/>
  <c r="F1133" i="3"/>
  <c r="G1133" i="3" s="1"/>
  <c r="H1133" i="3" s="1"/>
  <c r="E1134" i="22" s="1"/>
  <c r="F1134" i="22" s="1"/>
  <c r="G1134" i="22" s="1"/>
  <c r="F1132" i="3"/>
  <c r="G1132" i="3" s="1"/>
  <c r="H1132" i="3" s="1"/>
  <c r="E1133" i="22" s="1"/>
  <c r="F1133" i="22" s="1"/>
  <c r="G1133" i="22" s="1"/>
  <c r="F1131" i="3"/>
  <c r="F1128" i="3"/>
  <c r="F1126" i="3"/>
  <c r="F1125" i="3"/>
  <c r="G1125" i="3" s="1"/>
  <c r="F1123" i="3"/>
  <c r="G1123" i="3" s="1"/>
  <c r="F1122" i="3"/>
  <c r="F1120" i="3"/>
  <c r="G1120" i="3" s="1"/>
  <c r="H1120" i="3" s="1"/>
  <c r="E1121" i="22" s="1"/>
  <c r="F1121" i="22" s="1"/>
  <c r="G1121" i="22" s="1"/>
  <c r="F1119" i="3"/>
  <c r="F1118" i="3"/>
  <c r="F1117" i="3"/>
  <c r="G1117" i="3" s="1"/>
  <c r="H1117" i="3" s="1"/>
  <c r="E1118" i="22" s="1"/>
  <c r="F1118" i="22" s="1"/>
  <c r="G1118" i="22" s="1"/>
  <c r="F1116" i="3"/>
  <c r="G1116" i="3" s="1"/>
  <c r="H1116" i="3" s="1"/>
  <c r="E1117" i="22" s="1"/>
  <c r="F1117" i="22" s="1"/>
  <c r="G1117" i="22" s="1"/>
  <c r="F1115" i="3"/>
  <c r="G1115" i="3" s="1"/>
  <c r="H1115" i="3" s="1"/>
  <c r="E1116" i="22" s="1"/>
  <c r="F1116" i="22" s="1"/>
  <c r="G1116" i="22" s="1"/>
  <c r="F1114" i="3"/>
  <c r="F1112" i="3"/>
  <c r="G1112" i="3" s="1"/>
  <c r="H1112" i="3" s="1"/>
  <c r="F1109" i="3"/>
  <c r="G1109" i="3" s="1"/>
  <c r="H1109" i="3" s="1"/>
  <c r="E1110" i="22" s="1"/>
  <c r="F1110" i="22" s="1"/>
  <c r="G1110" i="22" s="1"/>
  <c r="F1108" i="3"/>
  <c r="F1106" i="3"/>
  <c r="G1106" i="3" s="1"/>
  <c r="H1106" i="3" s="1"/>
  <c r="E1108" i="18" s="1"/>
  <c r="F1104" i="3"/>
  <c r="F1103" i="3"/>
  <c r="G1103" i="3" s="1"/>
  <c r="H1103" i="3" s="1"/>
  <c r="E1105" i="18" s="1"/>
  <c r="F1105" i="18" s="1"/>
  <c r="G1105" i="18" s="1"/>
  <c r="F1099" i="3"/>
  <c r="F1097" i="3"/>
  <c r="F1096" i="3"/>
  <c r="G1096" i="3" s="1"/>
  <c r="H1096" i="3" s="1"/>
  <c r="E1097" i="22" s="1"/>
  <c r="F1097" i="22" s="1"/>
  <c r="G1097" i="22" s="1"/>
  <c r="F1095" i="3"/>
  <c r="G1095" i="3" s="1"/>
  <c r="H1095" i="3" s="1"/>
  <c r="E1096" i="22" s="1"/>
  <c r="F1096" i="22" s="1"/>
  <c r="G1096" i="22" s="1"/>
  <c r="F1094" i="3"/>
  <c r="G1094" i="3" s="1"/>
  <c r="H1094" i="3" s="1"/>
  <c r="E1095" i="22" s="1"/>
  <c r="F1095" i="22" s="1"/>
  <c r="G1095" i="22" s="1"/>
  <c r="F1093" i="3"/>
  <c r="F1091" i="3"/>
  <c r="G1091" i="3" s="1"/>
  <c r="F1090" i="3"/>
  <c r="G1090" i="3" s="1"/>
  <c r="H1090" i="3" s="1"/>
  <c r="E1091" i="22" s="1"/>
  <c r="F1091" i="22" s="1"/>
  <c r="G1091" i="22" s="1"/>
  <c r="F1089" i="3"/>
  <c r="G1089" i="3" s="1"/>
  <c r="H1089" i="3" s="1"/>
  <c r="E1090" i="22" s="1"/>
  <c r="F1090" i="22" s="1"/>
  <c r="G1090" i="22" s="1"/>
  <c r="F1088" i="3"/>
  <c r="F1087" i="3"/>
  <c r="F1086" i="3"/>
  <c r="G1086" i="3" s="1"/>
  <c r="F1085" i="3"/>
  <c r="F1084" i="3"/>
  <c r="G1084" i="3" s="1"/>
  <c r="F1083" i="3"/>
  <c r="F1082" i="3"/>
  <c r="G1082" i="3" s="1"/>
  <c r="F1081" i="3"/>
  <c r="G1081" i="3" s="1"/>
  <c r="F1080" i="3"/>
  <c r="G1080" i="3" s="1"/>
  <c r="F1079" i="3"/>
  <c r="F1078" i="3"/>
  <c r="G1078" i="3" s="1"/>
  <c r="F1077" i="3"/>
  <c r="G1077" i="3" s="1"/>
  <c r="F1076" i="3"/>
  <c r="F1075" i="3"/>
  <c r="G1075" i="3" s="1"/>
  <c r="H1075" i="3" s="1"/>
  <c r="E1076" i="22" s="1"/>
  <c r="F1076" i="22" s="1"/>
  <c r="G1076" i="22" s="1"/>
  <c r="F1074" i="3"/>
  <c r="G1074" i="3" s="1"/>
  <c r="H1074" i="3" s="1"/>
  <c r="E1075" i="22" s="1"/>
  <c r="F1075" i="22" s="1"/>
  <c r="G1075" i="22" s="1"/>
  <c r="F1073" i="3"/>
  <c r="G1073" i="3" s="1"/>
  <c r="H1073" i="3" s="1"/>
  <c r="E1074" i="22" s="1"/>
  <c r="F1074" i="22" s="1"/>
  <c r="G1074" i="22" s="1"/>
  <c r="F1072" i="3"/>
  <c r="G1072" i="3" s="1"/>
  <c r="H1072" i="3" s="1"/>
  <c r="E1073" i="22" s="1"/>
  <c r="F1073" i="22" s="1"/>
  <c r="G1073" i="22" s="1"/>
  <c r="F1071" i="3"/>
  <c r="G1071" i="3" s="1"/>
  <c r="H1071" i="3" s="1"/>
  <c r="E1072" i="22" s="1"/>
  <c r="F1072" i="22" s="1"/>
  <c r="G1072" i="22" s="1"/>
  <c r="F1070" i="3"/>
  <c r="G1070" i="3" s="1"/>
  <c r="H1070" i="3" s="1"/>
  <c r="E1071" i="22" s="1"/>
  <c r="F1071" i="22" s="1"/>
  <c r="G1071" i="22" s="1"/>
  <c r="F1069" i="3"/>
  <c r="G1069" i="3" s="1"/>
  <c r="H1069" i="3" s="1"/>
  <c r="F1068" i="3"/>
  <c r="G1068" i="3" s="1"/>
  <c r="H1068" i="3" s="1"/>
  <c r="E1069" i="22" s="1"/>
  <c r="F1069" i="22" s="1"/>
  <c r="G1069" i="22" s="1"/>
  <c r="F1067" i="3"/>
  <c r="G1067" i="3" s="1"/>
  <c r="H1067" i="3" s="1"/>
  <c r="E1068" i="22" s="1"/>
  <c r="F1068" i="22" s="1"/>
  <c r="G1068" i="22" s="1"/>
  <c r="F1066" i="3"/>
  <c r="G1066" i="3" s="1"/>
  <c r="H1066" i="3" s="1"/>
  <c r="E1067" i="22" s="1"/>
  <c r="F1067" i="22" s="1"/>
  <c r="G1067" i="22" s="1"/>
  <c r="F1065" i="3"/>
  <c r="G1065" i="3" s="1"/>
  <c r="H1065" i="3" s="1"/>
  <c r="F1064" i="3"/>
  <c r="G1064" i="3" s="1"/>
  <c r="H1064" i="3" s="1"/>
  <c r="E1065" i="22" s="1"/>
  <c r="F1065" i="22" s="1"/>
  <c r="G1065" i="22" s="1"/>
  <c r="F1063" i="3"/>
  <c r="G1063" i="3" s="1"/>
  <c r="H1063" i="3" s="1"/>
  <c r="E1064" i="22" s="1"/>
  <c r="F1064" i="22" s="1"/>
  <c r="G1064" i="22" s="1"/>
  <c r="F1062" i="3"/>
  <c r="G1062" i="3" s="1"/>
  <c r="H1062" i="3" s="1"/>
  <c r="E1063" i="22" s="1"/>
  <c r="F1063" i="22" s="1"/>
  <c r="G1063" i="22" s="1"/>
  <c r="F1061" i="3"/>
  <c r="G1061" i="3" s="1"/>
  <c r="H1061" i="3" s="1"/>
  <c r="E1062" i="22" s="1"/>
  <c r="F1062" i="22" s="1"/>
  <c r="G1062" i="22" s="1"/>
  <c r="F1060" i="3"/>
  <c r="G1060" i="3" s="1"/>
  <c r="H1060" i="3" s="1"/>
  <c r="E1061" i="22" s="1"/>
  <c r="F1061" i="22" s="1"/>
  <c r="G1061" i="22" s="1"/>
  <c r="F1059" i="3"/>
  <c r="G1059" i="3" s="1"/>
  <c r="H1059" i="3" s="1"/>
  <c r="E1060" i="22" s="1"/>
  <c r="F1060" i="22" s="1"/>
  <c r="G1060" i="22" s="1"/>
  <c r="F1058" i="3"/>
  <c r="G1058" i="3" s="1"/>
  <c r="H1058" i="3" s="1"/>
  <c r="E1059" i="22" s="1"/>
  <c r="F1059" i="22" s="1"/>
  <c r="G1059" i="22" s="1"/>
  <c r="F1057" i="3"/>
  <c r="G1057" i="3" s="1"/>
  <c r="H1057" i="3" s="1"/>
  <c r="F1056" i="3"/>
  <c r="G1056" i="3" s="1"/>
  <c r="H1056" i="3" s="1"/>
  <c r="E1057" i="22" s="1"/>
  <c r="F1057" i="22" s="1"/>
  <c r="G1057" i="22" s="1"/>
  <c r="F1055" i="3"/>
  <c r="G1055" i="3" s="1"/>
  <c r="H1055" i="3" s="1"/>
  <c r="E1056" i="22" s="1"/>
  <c r="F1056" i="22" s="1"/>
  <c r="G1056" i="22" s="1"/>
  <c r="F1054" i="3"/>
  <c r="G1054" i="3" s="1"/>
  <c r="H1054" i="3" s="1"/>
  <c r="E1055" i="22" s="1"/>
  <c r="F1055" i="22" s="1"/>
  <c r="G1055" i="22" s="1"/>
  <c r="F1053" i="3"/>
  <c r="G1053" i="3" s="1"/>
  <c r="H1053" i="3" s="1"/>
  <c r="F1052" i="3"/>
  <c r="G1052" i="3" s="1"/>
  <c r="H1052" i="3" s="1"/>
  <c r="E1053" i="22" s="1"/>
  <c r="F1053" i="22" s="1"/>
  <c r="G1053" i="22" s="1"/>
  <c r="F1051" i="3"/>
  <c r="G1051" i="3" s="1"/>
  <c r="H1051" i="3" s="1"/>
  <c r="E1052" i="22" s="1"/>
  <c r="F1052" i="22" s="1"/>
  <c r="G1052" i="22" s="1"/>
  <c r="F1050" i="3"/>
  <c r="G1050" i="3" s="1"/>
  <c r="H1050" i="3" s="1"/>
  <c r="E1051" i="22" s="1"/>
  <c r="F1051" i="22" s="1"/>
  <c r="G1051" i="22" s="1"/>
  <c r="F1049" i="3"/>
  <c r="G1049" i="3" s="1"/>
  <c r="H1049" i="3" s="1"/>
  <c r="F1048" i="3"/>
  <c r="F1047" i="3"/>
  <c r="F1046" i="3"/>
  <c r="G1046" i="3" s="1"/>
  <c r="H1046" i="3" s="1"/>
  <c r="E1047" i="22" s="1"/>
  <c r="F1047" i="22" s="1"/>
  <c r="G1047" i="22" s="1"/>
  <c r="F1045" i="3"/>
  <c r="G1045" i="3" s="1"/>
  <c r="F1044" i="3"/>
  <c r="F1043" i="3"/>
  <c r="G1043" i="3" s="1"/>
  <c r="F1042" i="3"/>
  <c r="G1042" i="3" s="1"/>
  <c r="H1042" i="3" s="1"/>
  <c r="E1043" i="22" s="1"/>
  <c r="F1043" i="22" s="1"/>
  <c r="G1043" i="22" s="1"/>
  <c r="F1041" i="3"/>
  <c r="G1041" i="3" s="1"/>
  <c r="F1040" i="3"/>
  <c r="F1039" i="3"/>
  <c r="F1038" i="3"/>
  <c r="G1038" i="3" s="1"/>
  <c r="H1038" i="3" s="1"/>
  <c r="E1039" i="22" s="1"/>
  <c r="F1039" i="22" s="1"/>
  <c r="G1039" i="22" s="1"/>
  <c r="F1037" i="3"/>
  <c r="G1037" i="3" s="1"/>
  <c r="F1036" i="3"/>
  <c r="F1035" i="3"/>
  <c r="G1035" i="3" s="1"/>
  <c r="F1034" i="3"/>
  <c r="G1034" i="3" s="1"/>
  <c r="H1034" i="3" s="1"/>
  <c r="E1035" i="22" s="1"/>
  <c r="F1035" i="22" s="1"/>
  <c r="G1035" i="22" s="1"/>
  <c r="F1033" i="3"/>
  <c r="G1033" i="3" s="1"/>
  <c r="F1032" i="3"/>
  <c r="F1031" i="3"/>
  <c r="F1030" i="3"/>
  <c r="G1030" i="3" s="1"/>
  <c r="H1030" i="3" s="1"/>
  <c r="E1031" i="22" s="1"/>
  <c r="F1031" i="22" s="1"/>
  <c r="G1031" i="22" s="1"/>
  <c r="F1029" i="3"/>
  <c r="G1029" i="3" s="1"/>
  <c r="F1027" i="3"/>
  <c r="G1027" i="3" s="1"/>
  <c r="F1026" i="3"/>
  <c r="F1025" i="3"/>
  <c r="G1025" i="3" s="1"/>
  <c r="F1024" i="3"/>
  <c r="F1023" i="3"/>
  <c r="G1023" i="3" s="1"/>
  <c r="F1022" i="3"/>
  <c r="G1022" i="3" s="1"/>
  <c r="F1021" i="3"/>
  <c r="F1020" i="3"/>
  <c r="G1020" i="3" s="1"/>
  <c r="F1019" i="3"/>
  <c r="G1019" i="3" s="1"/>
  <c r="F1018" i="3"/>
  <c r="G1018" i="3" s="1"/>
  <c r="F1017" i="3"/>
  <c r="F1016" i="3"/>
  <c r="F1015" i="3"/>
  <c r="G1015" i="3" s="1"/>
  <c r="F1014" i="3"/>
  <c r="G1014" i="3" s="1"/>
  <c r="F1013" i="3"/>
  <c r="G1013" i="3" s="1"/>
  <c r="F1012" i="3"/>
  <c r="G1012" i="3" s="1"/>
  <c r="H1012" i="3" s="1"/>
  <c r="E1013" i="22" s="1"/>
  <c r="F1013" i="22" s="1"/>
  <c r="G1013" i="22" s="1"/>
  <c r="F1011" i="3"/>
  <c r="G1011" i="3" s="1"/>
  <c r="F1010" i="3"/>
  <c r="G1010" i="3" s="1"/>
  <c r="H1010" i="3" s="1"/>
  <c r="E1011" i="22" s="1"/>
  <c r="F1011" i="22" s="1"/>
  <c r="G1011" i="22" s="1"/>
  <c r="F1009" i="3"/>
  <c r="G1009" i="3" s="1"/>
  <c r="F1008" i="3"/>
  <c r="G1008" i="3" s="1"/>
  <c r="H1008" i="3" s="1"/>
  <c r="E1009" i="22" s="1"/>
  <c r="F1009" i="22" s="1"/>
  <c r="G1009" i="22" s="1"/>
  <c r="F1007" i="3"/>
  <c r="G1007" i="3" s="1"/>
  <c r="F1006" i="3"/>
  <c r="G1006" i="3" s="1"/>
  <c r="H1006" i="3" s="1"/>
  <c r="E1007" i="22" s="1"/>
  <c r="F1007" i="22" s="1"/>
  <c r="G1007" i="22" s="1"/>
  <c r="F1005" i="3"/>
  <c r="G1005" i="3" s="1"/>
  <c r="F1004" i="3"/>
  <c r="F1003" i="3"/>
  <c r="G1003" i="3" s="1"/>
  <c r="F1002" i="3"/>
  <c r="G1002" i="3" s="1"/>
  <c r="H1002" i="3" s="1"/>
  <c r="E1003" i="22" s="1"/>
  <c r="F1003" i="22" s="1"/>
  <c r="G1003" i="22" s="1"/>
  <c r="F1001" i="3"/>
  <c r="F1000" i="3"/>
  <c r="G1000" i="3" s="1"/>
  <c r="F999" i="3"/>
  <c r="G999" i="3" s="1"/>
  <c r="F998" i="3"/>
  <c r="F997" i="3"/>
  <c r="G997" i="3" s="1"/>
  <c r="F996" i="3"/>
  <c r="F995" i="3"/>
  <c r="G995" i="3" s="1"/>
  <c r="F994" i="3"/>
  <c r="G994" i="3" s="1"/>
  <c r="H994" i="3" s="1"/>
  <c r="E995" i="22" s="1"/>
  <c r="F995" i="22" s="1"/>
  <c r="G995" i="22" s="1"/>
  <c r="F992" i="3"/>
  <c r="F991" i="3"/>
  <c r="G991" i="3" s="1"/>
  <c r="H991" i="3" s="1"/>
  <c r="F990" i="3"/>
  <c r="F989" i="3"/>
  <c r="G989" i="3" s="1"/>
  <c r="F988" i="3"/>
  <c r="F987" i="3"/>
  <c r="G987" i="3" s="1"/>
  <c r="F986" i="3"/>
  <c r="G986" i="3" s="1"/>
  <c r="F985" i="3"/>
  <c r="F984" i="3"/>
  <c r="G984" i="3" s="1"/>
  <c r="H984" i="3" s="1"/>
  <c r="F983" i="3"/>
  <c r="G983" i="3" s="1"/>
  <c r="F981" i="3"/>
  <c r="G981" i="3" s="1"/>
  <c r="F980" i="3"/>
  <c r="G980" i="3" s="1"/>
  <c r="H980" i="3" s="1"/>
  <c r="F979" i="3"/>
  <c r="G979" i="3" s="1"/>
  <c r="F978" i="3"/>
  <c r="G978" i="3" s="1"/>
  <c r="H978" i="3" s="1"/>
  <c r="F977" i="3"/>
  <c r="G977" i="3" s="1"/>
  <c r="F976" i="3"/>
  <c r="G976" i="3" s="1"/>
  <c r="H976" i="3" s="1"/>
  <c r="F975" i="3"/>
  <c r="G975" i="3" s="1"/>
  <c r="F974" i="3"/>
  <c r="F973" i="3"/>
  <c r="G973" i="3" s="1"/>
  <c r="F972" i="3"/>
  <c r="G972" i="3" s="1"/>
  <c r="H972" i="3" s="1"/>
  <c r="F971" i="3"/>
  <c r="G971" i="3" s="1"/>
  <c r="F970" i="3"/>
  <c r="G970" i="3" s="1"/>
  <c r="H970" i="3" s="1"/>
  <c r="F969" i="3"/>
  <c r="G969" i="3" s="1"/>
  <c r="F968" i="3"/>
  <c r="G968" i="3" s="1"/>
  <c r="H968" i="3" s="1"/>
  <c r="F967" i="3"/>
  <c r="G967" i="3" s="1"/>
  <c r="F966" i="3"/>
  <c r="G966" i="3" s="1"/>
  <c r="H966" i="3" s="1"/>
  <c r="F965" i="3"/>
  <c r="G965" i="3" s="1"/>
  <c r="F961" i="3"/>
  <c r="G961" i="3" s="1"/>
  <c r="F960" i="3"/>
  <c r="F959" i="3"/>
  <c r="G959" i="3" s="1"/>
  <c r="F958" i="3"/>
  <c r="G958" i="3" s="1"/>
  <c r="F957" i="3"/>
  <c r="F956" i="3"/>
  <c r="F955" i="3"/>
  <c r="G955" i="3" s="1"/>
  <c r="F954" i="3"/>
  <c r="F952" i="3"/>
  <c r="G952" i="3" s="1"/>
  <c r="H952" i="3" s="1"/>
  <c r="F951" i="3"/>
  <c r="F950" i="3"/>
  <c r="F949" i="3"/>
  <c r="G949" i="3" s="1"/>
  <c r="H949" i="3" s="1"/>
  <c r="E951" i="18" s="1"/>
  <c r="F951" i="18" s="1"/>
  <c r="G951" i="18" s="1"/>
  <c r="F948" i="3"/>
  <c r="G948" i="3" s="1"/>
  <c r="F947" i="3"/>
  <c r="F946" i="3"/>
  <c r="G946" i="3" s="1"/>
  <c r="F945" i="3"/>
  <c r="G945" i="3" s="1"/>
  <c r="F944" i="3"/>
  <c r="F943" i="3"/>
  <c r="G943" i="3" s="1"/>
  <c r="H943" i="3" s="1"/>
  <c r="E945" i="18" s="1"/>
  <c r="F945" i="18" s="1"/>
  <c r="G945" i="18" s="1"/>
  <c r="F942" i="3"/>
  <c r="G942" i="3" s="1"/>
  <c r="H942" i="3" s="1"/>
  <c r="E944" i="18" s="1"/>
  <c r="F944" i="18" s="1"/>
  <c r="G944" i="18" s="1"/>
  <c r="F941" i="3"/>
  <c r="G941" i="3" s="1"/>
  <c r="F940" i="3"/>
  <c r="G940" i="3" s="1"/>
  <c r="F939" i="3"/>
  <c r="F938" i="3"/>
  <c r="G938" i="3" s="1"/>
  <c r="H938" i="3" s="1"/>
  <c r="E940" i="18" s="1"/>
  <c r="F940" i="18" s="1"/>
  <c r="G940" i="18" s="1"/>
  <c r="F937" i="3"/>
  <c r="F936" i="3"/>
  <c r="G936" i="3" s="1"/>
  <c r="F935" i="3"/>
  <c r="F934" i="3"/>
  <c r="G934" i="3" s="1"/>
  <c r="F933" i="3"/>
  <c r="G933" i="3" s="1"/>
  <c r="F932" i="3"/>
  <c r="G932" i="3" s="1"/>
  <c r="F931" i="3"/>
  <c r="G931" i="3" s="1"/>
  <c r="H931" i="3" s="1"/>
  <c r="E933" i="18" s="1"/>
  <c r="F933" i="18" s="1"/>
  <c r="G933" i="18" s="1"/>
  <c r="F930" i="3"/>
  <c r="G930" i="3" s="1"/>
  <c r="F929" i="3"/>
  <c r="G929" i="3" s="1"/>
  <c r="F928" i="3"/>
  <c r="G928" i="3" s="1"/>
  <c r="F926" i="3"/>
  <c r="F924" i="3"/>
  <c r="G924" i="3" s="1"/>
  <c r="F921" i="3"/>
  <c r="F920" i="3"/>
  <c r="G920" i="3" s="1"/>
  <c r="F919" i="3"/>
  <c r="F918" i="3"/>
  <c r="G918" i="3" s="1"/>
  <c r="F917" i="3"/>
  <c r="G917" i="3" s="1"/>
  <c r="F916" i="3"/>
  <c r="G916" i="3" s="1"/>
  <c r="F915" i="3"/>
  <c r="G915" i="3" s="1"/>
  <c r="H915" i="3" s="1"/>
  <c r="E917" i="18" s="1"/>
  <c r="F917" i="18" s="1"/>
  <c r="G917" i="18" s="1"/>
  <c r="F914" i="3"/>
  <c r="F912" i="3"/>
  <c r="G912" i="3" s="1"/>
  <c r="F911" i="3"/>
  <c r="G911" i="3" s="1"/>
  <c r="F910" i="3"/>
  <c r="F909" i="3"/>
  <c r="F908" i="3"/>
  <c r="G908" i="3" s="1"/>
  <c r="F907" i="3"/>
  <c r="G907" i="3" s="1"/>
  <c r="H907" i="3" s="1"/>
  <c r="E909" i="18" s="1"/>
  <c r="F909" i="18" s="1"/>
  <c r="G909" i="18" s="1"/>
  <c r="F906" i="3"/>
  <c r="F905" i="3"/>
  <c r="G905" i="3" s="1"/>
  <c r="H905" i="3" s="1"/>
  <c r="E907" i="18" s="1"/>
  <c r="F907" i="18" s="1"/>
  <c r="G907" i="18" s="1"/>
  <c r="F904" i="3"/>
  <c r="G904" i="3" s="1"/>
  <c r="F903" i="3"/>
  <c r="F902" i="3"/>
  <c r="F900" i="3"/>
  <c r="G900" i="3" s="1"/>
  <c r="F899" i="3"/>
  <c r="F898" i="3"/>
  <c r="G898" i="3" s="1"/>
  <c r="F897" i="3"/>
  <c r="G897" i="3" s="1"/>
  <c r="H897" i="3" s="1"/>
  <c r="E899" i="18" s="1"/>
  <c r="F899" i="18" s="1"/>
  <c r="G899" i="18" s="1"/>
  <c r="F896" i="3"/>
  <c r="G896" i="3" s="1"/>
  <c r="F894" i="3"/>
  <c r="G894" i="3" s="1"/>
  <c r="F892" i="3"/>
  <c r="E891" i="18"/>
  <c r="F891" i="18" s="1"/>
  <c r="G891" i="18" s="1"/>
  <c r="E889" i="18"/>
  <c r="F889" i="18" s="1"/>
  <c r="G889" i="18" s="1"/>
  <c r="E887" i="18"/>
  <c r="F887" i="18" s="1"/>
  <c r="G887" i="18" s="1"/>
  <c r="E885" i="18"/>
  <c r="F885" i="18" s="1"/>
  <c r="G885" i="18" s="1"/>
  <c r="F881" i="3"/>
  <c r="G881" i="3" s="1"/>
  <c r="H881" i="3" s="1"/>
  <c r="E883" i="18" s="1"/>
  <c r="F883" i="18" s="1"/>
  <c r="G883" i="18" s="1"/>
  <c r="F880" i="3"/>
  <c r="G880" i="3" s="1"/>
  <c r="F878" i="3"/>
  <c r="G878" i="3" s="1"/>
  <c r="F876" i="3"/>
  <c r="G876" i="3" s="1"/>
  <c r="F874" i="3"/>
  <c r="G874" i="3" s="1"/>
  <c r="F872" i="3"/>
  <c r="G872" i="3" s="1"/>
  <c r="F871" i="3"/>
  <c r="F870" i="3"/>
  <c r="G870" i="3" s="1"/>
  <c r="F869" i="3"/>
  <c r="F868" i="3"/>
  <c r="F866" i="3"/>
  <c r="G866" i="3" s="1"/>
  <c r="F861" i="3"/>
  <c r="G861" i="3" s="1"/>
  <c r="H861" i="3" s="1"/>
  <c r="E863" i="18" s="1"/>
  <c r="F863" i="18" s="1"/>
  <c r="G863" i="18" s="1"/>
  <c r="F860" i="3"/>
  <c r="F859" i="3"/>
  <c r="F858" i="3"/>
  <c r="G858" i="3" s="1"/>
  <c r="F857" i="3"/>
  <c r="G857" i="3" s="1"/>
  <c r="H857" i="3" s="1"/>
  <c r="E859" i="18" s="1"/>
  <c r="F859" i="18" s="1"/>
  <c r="G859" i="18" s="1"/>
  <c r="F856" i="3"/>
  <c r="F855" i="3"/>
  <c r="G855" i="3" s="1"/>
  <c r="H855" i="3" s="1"/>
  <c r="E857" i="18" s="1"/>
  <c r="F857" i="18" s="1"/>
  <c r="G857" i="18" s="1"/>
  <c r="F854" i="3"/>
  <c r="G854" i="3" s="1"/>
  <c r="F853" i="3"/>
  <c r="G853" i="3" s="1"/>
  <c r="H853" i="3" s="1"/>
  <c r="E855" i="18" s="1"/>
  <c r="F855" i="18" s="1"/>
  <c r="G855" i="18" s="1"/>
  <c r="F852" i="3"/>
  <c r="F851" i="3"/>
  <c r="F850" i="3"/>
  <c r="G850" i="3" s="1"/>
  <c r="F849" i="3"/>
  <c r="G849" i="3" s="1"/>
  <c r="H849" i="3" s="1"/>
  <c r="E851" i="18" s="1"/>
  <c r="F851" i="18" s="1"/>
  <c r="G851" i="18" s="1"/>
  <c r="F848" i="3"/>
  <c r="F847" i="3"/>
  <c r="F846" i="3"/>
  <c r="G846" i="3" s="1"/>
  <c r="F845" i="3"/>
  <c r="G845" i="3" s="1"/>
  <c r="H845" i="3" s="1"/>
  <c r="E847" i="18" s="1"/>
  <c r="F847" i="18" s="1"/>
  <c r="G847" i="18" s="1"/>
  <c r="F844" i="3"/>
  <c r="F843" i="3"/>
  <c r="F842" i="3"/>
  <c r="G842" i="3" s="1"/>
  <c r="F840" i="3"/>
  <c r="G840" i="3" s="1"/>
  <c r="F839" i="3"/>
  <c r="F838" i="3"/>
  <c r="F837" i="3"/>
  <c r="G837" i="3" s="1"/>
  <c r="F836" i="3"/>
  <c r="G836" i="3" s="1"/>
  <c r="F835" i="3"/>
  <c r="G835" i="3" s="1"/>
  <c r="F833" i="3"/>
  <c r="G833" i="3" s="1"/>
  <c r="F832" i="3"/>
  <c r="G832" i="3" s="1"/>
  <c r="F831" i="3"/>
  <c r="G831" i="3" s="1"/>
  <c r="F830" i="3"/>
  <c r="G830" i="3" s="1"/>
  <c r="F829" i="3"/>
  <c r="G829" i="3" s="1"/>
  <c r="H829" i="3" s="1"/>
  <c r="F827" i="3"/>
  <c r="G827" i="3" s="1"/>
  <c r="F826" i="3"/>
  <c r="G826" i="3" s="1"/>
  <c r="H826" i="3" s="1"/>
  <c r="F825" i="3"/>
  <c r="G825" i="3" s="1"/>
  <c r="H825" i="3" s="1"/>
  <c r="F824" i="3"/>
  <c r="G824" i="3" s="1"/>
  <c r="H824" i="3" s="1"/>
  <c r="F823" i="3"/>
  <c r="G823" i="3" s="1"/>
  <c r="H823" i="3" s="1"/>
  <c r="F822" i="3"/>
  <c r="G822" i="3" s="1"/>
  <c r="H822" i="3" s="1"/>
  <c r="F821" i="3"/>
  <c r="G821" i="3" s="1"/>
  <c r="F820" i="3"/>
  <c r="G820" i="3" s="1"/>
  <c r="F819" i="3"/>
  <c r="G819" i="3" s="1"/>
  <c r="F818" i="3"/>
  <c r="F817" i="3"/>
  <c r="G817" i="3" s="1"/>
  <c r="F815" i="3"/>
  <c r="G815" i="3" s="1"/>
  <c r="F814" i="3"/>
  <c r="G814" i="3" s="1"/>
  <c r="H814" i="3" s="1"/>
  <c r="F813" i="3"/>
  <c r="G813" i="3" s="1"/>
  <c r="F812" i="3"/>
  <c r="G812" i="3" s="1"/>
  <c r="H812" i="3" s="1"/>
  <c r="F811" i="3"/>
  <c r="G811" i="3" s="1"/>
  <c r="F810" i="3"/>
  <c r="G810" i="3" s="1"/>
  <c r="H810" i="3" s="1"/>
  <c r="F809" i="3"/>
  <c r="G809" i="3" s="1"/>
  <c r="H809" i="3" s="1"/>
  <c r="F808" i="3"/>
  <c r="G808" i="3" s="1"/>
  <c r="H808" i="3" s="1"/>
  <c r="F807" i="3"/>
  <c r="G807" i="3" s="1"/>
  <c r="F806" i="3"/>
  <c r="G806" i="3" s="1"/>
  <c r="H806" i="3" s="1"/>
  <c r="F805" i="3"/>
  <c r="G805" i="3" s="1"/>
  <c r="F802" i="3"/>
  <c r="G802" i="3" s="1"/>
  <c r="H802" i="3" s="1"/>
  <c r="F801" i="3"/>
  <c r="G801" i="3" s="1"/>
  <c r="H801" i="3" s="1"/>
  <c r="F800" i="3"/>
  <c r="G800" i="3" s="1"/>
  <c r="F799" i="3"/>
  <c r="F798" i="3"/>
  <c r="F797" i="3"/>
  <c r="G797" i="3" s="1"/>
  <c r="F796" i="3"/>
  <c r="G796" i="3" s="1"/>
  <c r="F795" i="3"/>
  <c r="G795" i="3" s="1"/>
  <c r="F794" i="3"/>
  <c r="F793" i="3"/>
  <c r="F792" i="3"/>
  <c r="G792" i="3" s="1"/>
  <c r="F791" i="3"/>
  <c r="G791" i="3" s="1"/>
  <c r="F790" i="3"/>
  <c r="F789" i="3"/>
  <c r="G789" i="3" s="1"/>
  <c r="F788" i="3"/>
  <c r="G788" i="3" s="1"/>
  <c r="F787" i="3"/>
  <c r="G787" i="3" s="1"/>
  <c r="F786" i="3"/>
  <c r="G786" i="3" s="1"/>
  <c r="F785" i="3"/>
  <c r="G785" i="3" s="1"/>
  <c r="H785" i="3" s="1"/>
  <c r="F784" i="3"/>
  <c r="G784" i="3" s="1"/>
  <c r="H784" i="3" s="1"/>
  <c r="F782" i="3"/>
  <c r="G782" i="3" s="1"/>
  <c r="F781" i="3"/>
  <c r="G781" i="3" s="1"/>
  <c r="H781" i="3" s="1"/>
  <c r="F780" i="3"/>
  <c r="G780" i="3" s="1"/>
  <c r="F779" i="3"/>
  <c r="G779" i="3" s="1"/>
  <c r="H779" i="3" s="1"/>
  <c r="F778" i="3"/>
  <c r="G778" i="3" s="1"/>
  <c r="F777" i="3"/>
  <c r="G777" i="3" s="1"/>
  <c r="H777" i="3" s="1"/>
  <c r="F776" i="3"/>
  <c r="G776" i="3" s="1"/>
  <c r="F775" i="3"/>
  <c r="G775" i="3" s="1"/>
  <c r="H775" i="3" s="1"/>
  <c r="F774" i="3"/>
  <c r="G774" i="3" s="1"/>
  <c r="H774" i="3" s="1"/>
  <c r="F773" i="3"/>
  <c r="G773" i="3" s="1"/>
  <c r="H773" i="3" s="1"/>
  <c r="F772" i="3"/>
  <c r="G772" i="3" s="1"/>
  <c r="F771" i="3"/>
  <c r="G771" i="3" s="1"/>
  <c r="H771" i="3" s="1"/>
  <c r="F770" i="3"/>
  <c r="G770" i="3" s="1"/>
  <c r="H770" i="3" s="1"/>
  <c r="F769" i="3"/>
  <c r="G769" i="3" s="1"/>
  <c r="H769" i="3" s="1"/>
  <c r="F768" i="3"/>
  <c r="F767" i="3"/>
  <c r="G767" i="3" s="1"/>
  <c r="H767" i="3" s="1"/>
  <c r="F766" i="3"/>
  <c r="G766" i="3" s="1"/>
  <c r="H766" i="3" s="1"/>
  <c r="F765" i="3"/>
  <c r="G765" i="3" s="1"/>
  <c r="H765" i="3" s="1"/>
  <c r="F764" i="3"/>
  <c r="G764" i="3" s="1"/>
  <c r="H764" i="3" s="1"/>
  <c r="F763" i="3"/>
  <c r="G763" i="3" s="1"/>
  <c r="H763" i="3" s="1"/>
  <c r="F762" i="3"/>
  <c r="G762" i="3" s="1"/>
  <c r="H762" i="3" s="1"/>
  <c r="F761" i="3"/>
  <c r="G761" i="3" s="1"/>
  <c r="H761" i="3" s="1"/>
  <c r="F760" i="3"/>
  <c r="G760" i="3" s="1"/>
  <c r="H760" i="3" s="1"/>
  <c r="F759" i="3"/>
  <c r="G759" i="3" s="1"/>
  <c r="F758" i="3"/>
  <c r="G758" i="3" s="1"/>
  <c r="F757" i="3"/>
  <c r="F756" i="3"/>
  <c r="G756" i="3" s="1"/>
  <c r="F755" i="3"/>
  <c r="G755" i="3" s="1"/>
  <c r="F754" i="3"/>
  <c r="G754" i="3" s="1"/>
  <c r="F753" i="3"/>
  <c r="F751" i="3"/>
  <c r="G751" i="3" s="1"/>
  <c r="F750" i="3"/>
  <c r="G750" i="3" s="1"/>
  <c r="H750" i="3" s="1"/>
  <c r="F749" i="3"/>
  <c r="G749" i="3" s="1"/>
  <c r="F748" i="3"/>
  <c r="G748" i="3" s="1"/>
  <c r="H748" i="3" s="1"/>
  <c r="F747" i="3"/>
  <c r="G747" i="3" s="1"/>
  <c r="F746" i="3"/>
  <c r="G746" i="3" s="1"/>
  <c r="H746" i="3" s="1"/>
  <c r="F745" i="3"/>
  <c r="G745" i="3" s="1"/>
  <c r="F744" i="3"/>
  <c r="F743" i="3"/>
  <c r="G743" i="3" s="1"/>
  <c r="F742" i="3"/>
  <c r="F741" i="3"/>
  <c r="G741" i="3" s="1"/>
  <c r="F739" i="3"/>
  <c r="G739" i="3" s="1"/>
  <c r="H739" i="3" s="1"/>
  <c r="F738" i="3"/>
  <c r="G738" i="3" s="1"/>
  <c r="H738" i="3" s="1"/>
  <c r="F737" i="3"/>
  <c r="G737" i="3" s="1"/>
  <c r="F736" i="3"/>
  <c r="G736" i="3" s="1"/>
  <c r="F735" i="3"/>
  <c r="F734" i="3"/>
  <c r="F733" i="3"/>
  <c r="G733" i="3" s="1"/>
  <c r="F732" i="3"/>
  <c r="G732" i="3" s="1"/>
  <c r="F731" i="3"/>
  <c r="G731" i="3" s="1"/>
  <c r="F730" i="3"/>
  <c r="G730" i="3" s="1"/>
  <c r="F729" i="3"/>
  <c r="G729" i="3" s="1"/>
  <c r="F726" i="3"/>
  <c r="F725" i="3"/>
  <c r="G725" i="3" s="1"/>
  <c r="H725" i="3" s="1"/>
  <c r="F724" i="3"/>
  <c r="G724" i="3" s="1"/>
  <c r="F723" i="3"/>
  <c r="G723" i="3" s="1"/>
  <c r="H723" i="3" s="1"/>
  <c r="F722" i="3"/>
  <c r="G722" i="3" s="1"/>
  <c r="F721" i="3"/>
  <c r="F720" i="3"/>
  <c r="G720" i="3" s="1"/>
  <c r="F719" i="3"/>
  <c r="G719" i="3" s="1"/>
  <c r="F718" i="3"/>
  <c r="G718" i="3" s="1"/>
  <c r="F717" i="3"/>
  <c r="F716" i="3"/>
  <c r="G716" i="3" s="1"/>
  <c r="F715" i="3"/>
  <c r="G715" i="3" s="1"/>
  <c r="F714" i="3"/>
  <c r="G714" i="3" s="1"/>
  <c r="F713" i="3"/>
  <c r="F712" i="3"/>
  <c r="G712" i="3" s="1"/>
  <c r="F711" i="3"/>
  <c r="G711" i="3" s="1"/>
  <c r="F710" i="3"/>
  <c r="G710" i="3" s="1"/>
  <c r="F708" i="3"/>
  <c r="G708" i="3" s="1"/>
  <c r="H708" i="3" s="1"/>
  <c r="F707" i="3"/>
  <c r="G707" i="3" s="1"/>
  <c r="H707" i="3" s="1"/>
  <c r="F706" i="3"/>
  <c r="G706" i="3" s="1"/>
  <c r="H706" i="3" s="1"/>
  <c r="F705" i="3"/>
  <c r="G705" i="3" s="1"/>
  <c r="H705" i="3" s="1"/>
  <c r="F704" i="3"/>
  <c r="G704" i="3" s="1"/>
  <c r="H704" i="3" s="1"/>
  <c r="F703" i="3"/>
  <c r="G703" i="3" s="1"/>
  <c r="H703" i="3" s="1"/>
  <c r="F702" i="3"/>
  <c r="G702" i="3" s="1"/>
  <c r="H702" i="3" s="1"/>
  <c r="F701" i="3"/>
  <c r="G701" i="3" s="1"/>
  <c r="H701" i="3" s="1"/>
  <c r="F700" i="3"/>
  <c r="G700" i="3" s="1"/>
  <c r="H700" i="3" s="1"/>
  <c r="F699" i="3"/>
  <c r="F698" i="3"/>
  <c r="G698" i="3" s="1"/>
  <c r="H698" i="3" s="1"/>
  <c r="F697" i="3"/>
  <c r="G697" i="3" s="1"/>
  <c r="H697" i="3" s="1"/>
  <c r="F696" i="3"/>
  <c r="G696" i="3" s="1"/>
  <c r="H696" i="3" s="1"/>
  <c r="F695" i="3"/>
  <c r="F694" i="3"/>
  <c r="G694" i="3" s="1"/>
  <c r="H694" i="3" s="1"/>
  <c r="F693" i="3"/>
  <c r="G693" i="3" s="1"/>
  <c r="H693" i="3" s="1"/>
  <c r="F692" i="3"/>
  <c r="F691" i="3"/>
  <c r="G691" i="3" s="1"/>
  <c r="H691" i="3" s="1"/>
  <c r="F690" i="3"/>
  <c r="F689" i="3"/>
  <c r="G689" i="3" s="1"/>
  <c r="H689" i="3" s="1"/>
  <c r="F688" i="3"/>
  <c r="G688" i="3" s="1"/>
  <c r="H688" i="3" s="1"/>
  <c r="F687" i="3"/>
  <c r="G687" i="3" s="1"/>
  <c r="H687" i="3" s="1"/>
  <c r="F686" i="3"/>
  <c r="F685" i="3"/>
  <c r="G685" i="3" s="1"/>
  <c r="H685" i="3" s="1"/>
  <c r="F684" i="3"/>
  <c r="G684" i="3" s="1"/>
  <c r="H684" i="3" s="1"/>
  <c r="F682" i="3"/>
  <c r="G682" i="3" s="1"/>
  <c r="H682" i="3" s="1"/>
  <c r="F681" i="3"/>
  <c r="G681" i="3" s="1"/>
  <c r="H681" i="3" s="1"/>
  <c r="F680" i="3"/>
  <c r="G680" i="3" s="1"/>
  <c r="F679" i="3"/>
  <c r="F678" i="3"/>
  <c r="G678" i="3" s="1"/>
  <c r="F677" i="3"/>
  <c r="G677" i="3" s="1"/>
  <c r="F676" i="3"/>
  <c r="G676" i="3" s="1"/>
  <c r="F675" i="3"/>
  <c r="F674" i="3"/>
  <c r="G674" i="3" s="1"/>
  <c r="F673" i="3"/>
  <c r="G673" i="3" s="1"/>
  <c r="F671" i="3"/>
  <c r="G671" i="3" s="1"/>
  <c r="F670" i="3"/>
  <c r="G670" i="3" s="1"/>
  <c r="H670" i="3" s="1"/>
  <c r="F669" i="3"/>
  <c r="G669" i="3" s="1"/>
  <c r="H669" i="3" s="1"/>
  <c r="F668" i="3"/>
  <c r="G668" i="3" s="1"/>
  <c r="F666" i="3"/>
  <c r="G666" i="3" s="1"/>
  <c r="H666" i="3" s="1"/>
  <c r="F665" i="3"/>
  <c r="G665" i="3" s="1"/>
  <c r="H665" i="3" s="1"/>
  <c r="F664" i="3"/>
  <c r="F663" i="3"/>
  <c r="G663" i="3" s="1"/>
  <c r="H663" i="3" s="1"/>
  <c r="F662" i="3"/>
  <c r="F660" i="3"/>
  <c r="G660" i="3" s="1"/>
  <c r="H660" i="3" s="1"/>
  <c r="F659" i="3"/>
  <c r="G659" i="3" s="1"/>
  <c r="H659" i="3" s="1"/>
  <c r="F658" i="3"/>
  <c r="G658" i="3" s="1"/>
  <c r="F657" i="3"/>
  <c r="F655" i="3"/>
  <c r="F654" i="3"/>
  <c r="G654" i="3" s="1"/>
  <c r="H654" i="3" s="1"/>
  <c r="F653" i="3"/>
  <c r="G653" i="3" s="1"/>
  <c r="F652" i="3"/>
  <c r="G652" i="3" s="1"/>
  <c r="H652" i="3" s="1"/>
  <c r="F649" i="3"/>
  <c r="F648" i="3"/>
  <c r="F647" i="3"/>
  <c r="G647" i="3" s="1"/>
  <c r="H647" i="3" s="1"/>
  <c r="F646" i="3"/>
  <c r="G646" i="3" s="1"/>
  <c r="F645" i="3"/>
  <c r="G645" i="3" s="1"/>
  <c r="F644" i="3"/>
  <c r="G644" i="3" s="1"/>
  <c r="F643" i="3"/>
  <c r="G643" i="3" s="1"/>
  <c r="F642" i="3"/>
  <c r="G642" i="3" s="1"/>
  <c r="F641" i="3"/>
  <c r="G641" i="3" s="1"/>
  <c r="F640" i="3"/>
  <c r="G640" i="3" s="1"/>
  <c r="F638" i="3"/>
  <c r="G638" i="3" s="1"/>
  <c r="F637" i="3"/>
  <c r="G637" i="3" s="1"/>
  <c r="H637" i="3" s="1"/>
  <c r="F636" i="3"/>
  <c r="G636" i="3" s="1"/>
  <c r="H636" i="3" s="1"/>
  <c r="F635" i="3"/>
  <c r="G635" i="3" s="1"/>
  <c r="H635" i="3" s="1"/>
  <c r="F634" i="3"/>
  <c r="G634" i="3" s="1"/>
  <c r="F633" i="3"/>
  <c r="G633" i="3" s="1"/>
  <c r="H633" i="3" s="1"/>
  <c r="F632" i="3"/>
  <c r="F631" i="3"/>
  <c r="F630" i="3"/>
  <c r="G630" i="3" s="1"/>
  <c r="F629" i="3"/>
  <c r="G629" i="3" s="1"/>
  <c r="F627" i="3"/>
  <c r="G627" i="3" s="1"/>
  <c r="F626" i="3"/>
  <c r="G626" i="3" s="1"/>
  <c r="H626" i="3" s="1"/>
  <c r="F625" i="3"/>
  <c r="G625" i="3" s="1"/>
  <c r="F624" i="3"/>
  <c r="G624" i="3" s="1"/>
  <c r="H624" i="3" s="1"/>
  <c r="F623" i="3"/>
  <c r="G623" i="3" s="1"/>
  <c r="F622" i="3"/>
  <c r="F621" i="3"/>
  <c r="G621" i="3" s="1"/>
  <c r="F620" i="3"/>
  <c r="G620" i="3" s="1"/>
  <c r="H620" i="3" s="1"/>
  <c r="F619" i="3"/>
  <c r="G619" i="3" s="1"/>
  <c r="F617" i="3"/>
  <c r="G617" i="3" s="1"/>
  <c r="F616" i="3"/>
  <c r="G616" i="3" s="1"/>
  <c r="H616" i="3" s="1"/>
  <c r="F615" i="3"/>
  <c r="G615" i="3" s="1"/>
  <c r="H615" i="3" s="1"/>
  <c r="F614" i="3"/>
  <c r="G614" i="3" s="1"/>
  <c r="F613" i="3"/>
  <c r="G613" i="3" s="1"/>
  <c r="F612" i="3"/>
  <c r="G612" i="3" s="1"/>
  <c r="F611" i="3"/>
  <c r="G611" i="3" s="1"/>
  <c r="F610" i="3"/>
  <c r="G610" i="3" s="1"/>
  <c r="F609" i="3"/>
  <c r="G609" i="3" s="1"/>
  <c r="F606" i="3"/>
  <c r="G606" i="3" s="1"/>
  <c r="F605" i="3"/>
  <c r="G605" i="3" s="1"/>
  <c r="F604" i="3"/>
  <c r="G604" i="3" s="1"/>
  <c r="F603" i="3"/>
  <c r="G603" i="3" s="1"/>
  <c r="F602" i="3"/>
  <c r="G602" i="3" s="1"/>
  <c r="F601" i="3"/>
  <c r="F600" i="3"/>
  <c r="F599" i="3"/>
  <c r="F598" i="3"/>
  <c r="G598" i="3" s="1"/>
  <c r="F597" i="3"/>
  <c r="G597" i="3" s="1"/>
  <c r="H597" i="3" s="1"/>
  <c r="F596" i="3"/>
  <c r="G596" i="3" s="1"/>
  <c r="H596" i="3" s="1"/>
  <c r="F595" i="3"/>
  <c r="G595" i="3" s="1"/>
  <c r="H595" i="3" s="1"/>
  <c r="F594" i="3"/>
  <c r="G594" i="3" s="1"/>
  <c r="H594" i="3" s="1"/>
  <c r="F593" i="3"/>
  <c r="G593" i="3" s="1"/>
  <c r="H593" i="3" s="1"/>
  <c r="F592" i="3"/>
  <c r="G592" i="3" s="1"/>
  <c r="H592" i="3" s="1"/>
  <c r="F590" i="3"/>
  <c r="G590" i="3" s="1"/>
  <c r="H590" i="3" s="1"/>
  <c r="F589" i="3"/>
  <c r="G589" i="3" s="1"/>
  <c r="F588" i="3"/>
  <c r="G588" i="3" s="1"/>
  <c r="H588" i="3" s="1"/>
  <c r="F587" i="3"/>
  <c r="G587" i="3" s="1"/>
  <c r="H587" i="3" s="1"/>
  <c r="F586" i="3"/>
  <c r="G586" i="3" s="1"/>
  <c r="H586" i="3" s="1"/>
  <c r="F585" i="3"/>
  <c r="G585" i="3" s="1"/>
  <c r="F584" i="3"/>
  <c r="G584" i="3" s="1"/>
  <c r="H584" i="3" s="1"/>
  <c r="F583" i="3"/>
  <c r="G583" i="3" s="1"/>
  <c r="F582" i="3"/>
  <c r="G582" i="3" s="1"/>
  <c r="H582" i="3" s="1"/>
  <c r="F581" i="3"/>
  <c r="G581" i="3" s="1"/>
  <c r="F580" i="3"/>
  <c r="G580" i="3" s="1"/>
  <c r="H580" i="3" s="1"/>
  <c r="F579" i="3"/>
  <c r="G579" i="3" s="1"/>
  <c r="F578" i="3"/>
  <c r="G578" i="3" s="1"/>
  <c r="H578" i="3" s="1"/>
  <c r="F577" i="3"/>
  <c r="G577" i="3" s="1"/>
  <c r="F576" i="3"/>
  <c r="G576" i="3" s="1"/>
  <c r="H576" i="3" s="1"/>
  <c r="F573" i="3"/>
  <c r="F572" i="3"/>
  <c r="G572" i="3" s="1"/>
  <c r="H572" i="3" s="1"/>
  <c r="F571" i="3"/>
  <c r="G571" i="3" s="1"/>
  <c r="F570" i="3"/>
  <c r="G570" i="3" s="1"/>
  <c r="H570" i="3" s="1"/>
  <c r="F569" i="3"/>
  <c r="G569" i="3" s="1"/>
  <c r="H569" i="3" s="1"/>
  <c r="F568" i="3"/>
  <c r="G568" i="3" s="1"/>
  <c r="F567" i="3"/>
  <c r="G567" i="3" s="1"/>
  <c r="F566" i="3"/>
  <c r="G566" i="3" s="1"/>
  <c r="H566" i="3" s="1"/>
  <c r="F565" i="3"/>
  <c r="G565" i="3" s="1"/>
  <c r="F564" i="3"/>
  <c r="G564" i="3" s="1"/>
  <c r="H564" i="3" s="1"/>
  <c r="F563" i="3"/>
  <c r="G563" i="3" s="1"/>
  <c r="F562" i="3"/>
  <c r="F561" i="3"/>
  <c r="G561" i="3" s="1"/>
  <c r="F560" i="3"/>
  <c r="G560" i="3" s="1"/>
  <c r="F559" i="3"/>
  <c r="G559" i="3" s="1"/>
  <c r="F557" i="3"/>
  <c r="G557" i="3" s="1"/>
  <c r="F556" i="3"/>
  <c r="G556" i="3" s="1"/>
  <c r="H556" i="3" s="1"/>
  <c r="F555" i="3"/>
  <c r="G555" i="3" s="1"/>
  <c r="F554" i="3"/>
  <c r="F553" i="3"/>
  <c r="G553" i="3" s="1"/>
  <c r="F552" i="3"/>
  <c r="G552" i="3" s="1"/>
  <c r="H552" i="3" s="1"/>
  <c r="F551" i="3"/>
  <c r="G551" i="3" s="1"/>
  <c r="F550" i="3"/>
  <c r="F549" i="3"/>
  <c r="G549" i="3" s="1"/>
  <c r="F548" i="3"/>
  <c r="G548" i="3" s="1"/>
  <c r="H548" i="3" s="1"/>
  <c r="F547" i="3"/>
  <c r="G547" i="3" s="1"/>
  <c r="H547" i="3" s="1"/>
  <c r="F546" i="3"/>
  <c r="G546" i="3" s="1"/>
  <c r="H546" i="3" s="1"/>
  <c r="F545" i="3"/>
  <c r="G545" i="3" s="1"/>
  <c r="F544" i="3"/>
  <c r="G544" i="3" s="1"/>
  <c r="H544" i="3" s="1"/>
  <c r="F543" i="3"/>
  <c r="G543" i="3" s="1"/>
  <c r="F540" i="3"/>
  <c r="G540" i="3" s="1"/>
  <c r="H540" i="3" s="1"/>
  <c r="F539" i="3"/>
  <c r="G539" i="3" s="1"/>
  <c r="H539" i="3" s="1"/>
  <c r="F538" i="3"/>
  <c r="F537" i="3"/>
  <c r="G537" i="3" s="1"/>
  <c r="F536" i="3"/>
  <c r="G536" i="3" s="1"/>
  <c r="F535" i="3"/>
  <c r="G535" i="3" s="1"/>
  <c r="H535" i="3" s="1"/>
  <c r="F534" i="3"/>
  <c r="F533" i="3"/>
  <c r="G533" i="3" s="1"/>
  <c r="H533" i="3" s="1"/>
  <c r="F532" i="3"/>
  <c r="G532" i="3" s="1"/>
  <c r="F531" i="3"/>
  <c r="G531" i="3" s="1"/>
  <c r="H531" i="3" s="1"/>
  <c r="F530" i="3"/>
  <c r="F529" i="3"/>
  <c r="G529" i="3" s="1"/>
  <c r="F528" i="3"/>
  <c r="G528" i="3" s="1"/>
  <c r="F527" i="3"/>
  <c r="G527" i="3" s="1"/>
  <c r="F526" i="3"/>
  <c r="G526" i="3" s="1"/>
  <c r="F524" i="3"/>
  <c r="G524" i="3" s="1"/>
  <c r="F523" i="3"/>
  <c r="G523" i="3" s="1"/>
  <c r="H523" i="3" s="1"/>
  <c r="F522" i="3"/>
  <c r="G522" i="3" s="1"/>
  <c r="H522" i="3" s="1"/>
  <c r="F521" i="3"/>
  <c r="G521" i="3" s="1"/>
  <c r="H521" i="3" s="1"/>
  <c r="F520" i="3"/>
  <c r="F519" i="3"/>
  <c r="F518" i="3"/>
  <c r="G518" i="3" s="1"/>
  <c r="H518" i="3" s="1"/>
  <c r="F517" i="3"/>
  <c r="G517" i="3" s="1"/>
  <c r="H517" i="3" s="1"/>
  <c r="F516" i="3"/>
  <c r="G516" i="3" s="1"/>
  <c r="F515" i="3"/>
  <c r="F514" i="3"/>
  <c r="G514" i="3" s="1"/>
  <c r="F513" i="3"/>
  <c r="G513" i="3" s="1"/>
  <c r="H513" i="3" s="1"/>
  <c r="F512" i="3"/>
  <c r="G512" i="3" s="1"/>
  <c r="F511" i="3"/>
  <c r="F510" i="3"/>
  <c r="G510" i="3" s="1"/>
  <c r="F508" i="3"/>
  <c r="G508" i="3" s="1"/>
  <c r="F507" i="3"/>
  <c r="G507" i="3" s="1"/>
  <c r="H507" i="3" s="1"/>
  <c r="F506" i="3"/>
  <c r="G506" i="3" s="1"/>
  <c r="F505" i="3"/>
  <c r="G505" i="3" s="1"/>
  <c r="F504" i="3"/>
  <c r="G504" i="3" s="1"/>
  <c r="F503" i="3"/>
  <c r="G503" i="3" s="1"/>
  <c r="H503" i="3" s="1"/>
  <c r="F502" i="3"/>
  <c r="G502" i="3" s="1"/>
  <c r="F501" i="3"/>
  <c r="F500" i="3"/>
  <c r="G500" i="3" s="1"/>
  <c r="H500" i="3" s="1"/>
  <c r="F499" i="3"/>
  <c r="G499" i="3" s="1"/>
  <c r="F498" i="3"/>
  <c r="G498" i="3" s="1"/>
  <c r="F497" i="3"/>
  <c r="G497" i="3" s="1"/>
  <c r="F496" i="3"/>
  <c r="F495" i="3"/>
  <c r="G495" i="3" s="1"/>
  <c r="F494" i="3"/>
  <c r="G494" i="3" s="1"/>
  <c r="F492" i="3"/>
  <c r="G492" i="3" s="1"/>
  <c r="F491" i="3"/>
  <c r="G491" i="3" s="1"/>
  <c r="H491" i="3" s="1"/>
  <c r="F490" i="3"/>
  <c r="G490" i="3" s="1"/>
  <c r="F489" i="3"/>
  <c r="F488" i="3"/>
  <c r="G488" i="3" s="1"/>
  <c r="F487" i="3"/>
  <c r="G487" i="3" s="1"/>
  <c r="H487" i="3" s="1"/>
  <c r="F486" i="3"/>
  <c r="G486" i="3" s="1"/>
  <c r="H486" i="3" s="1"/>
  <c r="F485" i="3"/>
  <c r="G485" i="3" s="1"/>
  <c r="F484" i="3"/>
  <c r="F483" i="3"/>
  <c r="G483" i="3" s="1"/>
  <c r="F482" i="3"/>
  <c r="G482" i="3" s="1"/>
  <c r="F481" i="3"/>
  <c r="G481" i="3" s="1"/>
  <c r="F480" i="3"/>
  <c r="G480" i="3" s="1"/>
  <c r="F479" i="3"/>
  <c r="G479" i="3" s="1"/>
  <c r="H479" i="3" s="1"/>
  <c r="F478" i="3"/>
  <c r="G478" i="3" s="1"/>
  <c r="H478" i="3" s="1"/>
  <c r="F474" i="3"/>
  <c r="G474" i="3" s="1"/>
  <c r="F473" i="3"/>
  <c r="G473" i="3" s="1"/>
  <c r="H473" i="3" s="1"/>
  <c r="F472" i="3"/>
  <c r="G472" i="3" s="1"/>
  <c r="F471" i="3"/>
  <c r="G471" i="3" s="1"/>
  <c r="F470" i="3"/>
  <c r="G470" i="3" s="1"/>
  <c r="F469" i="3"/>
  <c r="G469" i="3" s="1"/>
  <c r="F468" i="3"/>
  <c r="G468" i="3" s="1"/>
  <c r="F467" i="3"/>
  <c r="G467" i="3" s="1"/>
  <c r="F466" i="3"/>
  <c r="G466" i="3" s="1"/>
  <c r="F465" i="3"/>
  <c r="G465" i="3" s="1"/>
  <c r="F464" i="3"/>
  <c r="G464" i="3" s="1"/>
  <c r="F463" i="3"/>
  <c r="G463" i="3" s="1"/>
  <c r="H463" i="3" s="1"/>
  <c r="F462" i="3"/>
  <c r="G462" i="3" s="1"/>
  <c r="H462" i="3" s="1"/>
  <c r="F461" i="3"/>
  <c r="G461" i="3" s="1"/>
  <c r="H461" i="3" s="1"/>
  <c r="F460" i="3"/>
  <c r="G460" i="3" s="1"/>
  <c r="H460" i="3" s="1"/>
  <c r="F459" i="3"/>
  <c r="G459" i="3" s="1"/>
  <c r="H459" i="3" s="1"/>
  <c r="F458" i="3"/>
  <c r="G458" i="3" s="1"/>
  <c r="F457" i="3"/>
  <c r="G457" i="3" s="1"/>
  <c r="H457" i="3" s="1"/>
  <c r="F456" i="3"/>
  <c r="G456" i="3" s="1"/>
  <c r="H456" i="3" s="1"/>
  <c r="F455" i="3"/>
  <c r="G455" i="3" s="1"/>
  <c r="H455" i="3" s="1"/>
  <c r="F453" i="3"/>
  <c r="G453" i="3" s="1"/>
  <c r="F452" i="3"/>
  <c r="F451" i="3"/>
  <c r="F450" i="3"/>
  <c r="F449" i="3"/>
  <c r="G449" i="3" s="1"/>
  <c r="F448" i="3"/>
  <c r="G448" i="3" s="1"/>
  <c r="F447" i="3"/>
  <c r="F446" i="3"/>
  <c r="F445" i="3"/>
  <c r="G445" i="3" s="1"/>
  <c r="F444" i="3"/>
  <c r="G444" i="3" s="1"/>
  <c r="H444" i="3" s="1"/>
  <c r="F443" i="3"/>
  <c r="G443" i="3" s="1"/>
  <c r="H443" i="3" s="1"/>
  <c r="F442" i="3"/>
  <c r="G442" i="3" s="1"/>
  <c r="H442" i="3" s="1"/>
  <c r="F441" i="3"/>
  <c r="G441" i="3" s="1"/>
  <c r="F440" i="3"/>
  <c r="G440" i="3" s="1"/>
  <c r="F439" i="3"/>
  <c r="F438" i="3"/>
  <c r="G438" i="3" s="1"/>
  <c r="F437" i="3"/>
  <c r="G437" i="3" s="1"/>
  <c r="F436" i="3"/>
  <c r="G436" i="3" s="1"/>
  <c r="H436" i="3" s="1"/>
  <c r="F435" i="3"/>
  <c r="G435" i="3" s="1"/>
  <c r="H435" i="3" s="1"/>
  <c r="F434" i="3"/>
  <c r="G434" i="3" s="1"/>
  <c r="H434" i="3" s="1"/>
  <c r="F432" i="3"/>
  <c r="G432" i="3" s="1"/>
  <c r="F431" i="3"/>
  <c r="G431" i="3" s="1"/>
  <c r="F430" i="3"/>
  <c r="G430" i="3" s="1"/>
  <c r="F429" i="3"/>
  <c r="G429" i="3" s="1"/>
  <c r="H429" i="3" s="1"/>
  <c r="F428" i="3"/>
  <c r="G428" i="3" s="1"/>
  <c r="H428" i="3" s="1"/>
  <c r="F427" i="3"/>
  <c r="G427" i="3" s="1"/>
  <c r="H427" i="3" s="1"/>
  <c r="F426" i="3"/>
  <c r="G426" i="3" s="1"/>
  <c r="H426" i="3" s="1"/>
  <c r="F425" i="3"/>
  <c r="G425" i="3" s="1"/>
  <c r="H425" i="3" s="1"/>
  <c r="F424" i="3"/>
  <c r="G424" i="3" s="1"/>
  <c r="H424" i="3" s="1"/>
  <c r="F423" i="3"/>
  <c r="G423" i="3" s="1"/>
  <c r="H423" i="3" s="1"/>
  <c r="F422" i="3"/>
  <c r="G422" i="3" s="1"/>
  <c r="F421" i="3"/>
  <c r="F420" i="3"/>
  <c r="G420" i="3" s="1"/>
  <c r="F419" i="3"/>
  <c r="G419" i="3" s="1"/>
  <c r="H419" i="3" s="1"/>
  <c r="F418" i="3"/>
  <c r="F417" i="3"/>
  <c r="F416" i="3"/>
  <c r="G416" i="3" s="1"/>
  <c r="F415" i="3"/>
  <c r="F414" i="3"/>
  <c r="F413" i="3"/>
  <c r="G413" i="3" s="1"/>
  <c r="F412" i="3"/>
  <c r="G412" i="3" s="1"/>
  <c r="F410" i="3"/>
  <c r="G410" i="3" s="1"/>
  <c r="F409" i="3"/>
  <c r="G409" i="3" s="1"/>
  <c r="H409" i="3" s="1"/>
  <c r="F408" i="3"/>
  <c r="G408" i="3" s="1"/>
  <c r="H408" i="3" s="1"/>
  <c r="F407" i="3"/>
  <c r="G407" i="3" s="1"/>
  <c r="H407" i="3" s="1"/>
  <c r="F406" i="3"/>
  <c r="G406" i="3" s="1"/>
  <c r="H406" i="3" s="1"/>
  <c r="F405" i="3"/>
  <c r="F404" i="3"/>
  <c r="G404" i="3" s="1"/>
  <c r="F403" i="3"/>
  <c r="G403" i="3" s="1"/>
  <c r="F402" i="3"/>
  <c r="G402" i="3" s="1"/>
  <c r="F401" i="3"/>
  <c r="F400" i="3"/>
  <c r="F399" i="3"/>
  <c r="G399" i="3" s="1"/>
  <c r="F398" i="3"/>
  <c r="G398" i="3" s="1"/>
  <c r="F397" i="3"/>
  <c r="G397" i="3" s="1"/>
  <c r="H397" i="3" s="1"/>
  <c r="F396" i="3"/>
  <c r="G396" i="3" s="1"/>
  <c r="H396" i="3" s="1"/>
  <c r="F395" i="3"/>
  <c r="G395" i="3" s="1"/>
  <c r="H395" i="3" s="1"/>
  <c r="F394" i="3"/>
  <c r="F393" i="3"/>
  <c r="G393" i="3" s="1"/>
  <c r="H393" i="3" s="1"/>
  <c r="F392" i="3"/>
  <c r="G392" i="3" s="1"/>
  <c r="H392" i="3" s="1"/>
  <c r="F391" i="3"/>
  <c r="G391" i="3" s="1"/>
  <c r="H391" i="3" s="1"/>
  <c r="F389" i="3"/>
  <c r="G389" i="3" s="1"/>
  <c r="H389" i="3" s="1"/>
  <c r="F388" i="3"/>
  <c r="G388" i="3" s="1"/>
  <c r="H388" i="3" s="1"/>
  <c r="F387" i="3"/>
  <c r="G387" i="3" s="1"/>
  <c r="F386" i="3"/>
  <c r="G386" i="3" s="1"/>
  <c r="H386" i="3" s="1"/>
  <c r="F385" i="3"/>
  <c r="G385" i="3" s="1"/>
  <c r="H385" i="3" s="1"/>
  <c r="F384" i="3"/>
  <c r="G384" i="3" s="1"/>
  <c r="H384" i="3" s="1"/>
  <c r="F383" i="3"/>
  <c r="G383" i="3" s="1"/>
  <c r="F382" i="3"/>
  <c r="G382" i="3" s="1"/>
  <c r="H382" i="3" s="1"/>
  <c r="F381" i="3"/>
  <c r="G381" i="3" s="1"/>
  <c r="H381" i="3" s="1"/>
  <c r="F380" i="3"/>
  <c r="G380" i="3" s="1"/>
  <c r="H380" i="3" s="1"/>
  <c r="F379" i="3"/>
  <c r="G379" i="3" s="1"/>
  <c r="F378" i="3"/>
  <c r="F377" i="3"/>
  <c r="G377" i="3" s="1"/>
  <c r="H377" i="3" s="1"/>
  <c r="F376" i="3"/>
  <c r="G376" i="3" s="1"/>
  <c r="H376" i="3" s="1"/>
  <c r="F375" i="3"/>
  <c r="G375" i="3" s="1"/>
  <c r="F374" i="3"/>
  <c r="G374" i="3" s="1"/>
  <c r="H374" i="3" s="1"/>
  <c r="F373" i="3"/>
  <c r="G373" i="3" s="1"/>
  <c r="H373" i="3" s="1"/>
  <c r="F372" i="3"/>
  <c r="G372" i="3" s="1"/>
  <c r="H372" i="3" s="1"/>
  <c r="F371" i="3"/>
  <c r="G371" i="3" s="1"/>
  <c r="F370" i="3"/>
  <c r="G370" i="3" s="1"/>
  <c r="H370" i="3" s="1"/>
  <c r="F367" i="3"/>
  <c r="G367" i="3" s="1"/>
  <c r="H367" i="3" s="1"/>
  <c r="F366" i="3"/>
  <c r="G366" i="3" s="1"/>
  <c r="H366" i="3" s="1"/>
  <c r="F365" i="3"/>
  <c r="G365" i="3" s="1"/>
  <c r="F364" i="3"/>
  <c r="G364" i="3" s="1"/>
  <c r="H364" i="3" s="1"/>
  <c r="F363" i="3"/>
  <c r="F362" i="3"/>
  <c r="G362" i="3" s="1"/>
  <c r="H362" i="3" s="1"/>
  <c r="F360" i="3"/>
  <c r="G360" i="3" s="1"/>
  <c r="F359" i="3"/>
  <c r="G359" i="3" s="1"/>
  <c r="H359" i="3" s="1"/>
  <c r="F358" i="3"/>
  <c r="G358" i="3" s="1"/>
  <c r="H358" i="3" s="1"/>
  <c r="F357" i="3"/>
  <c r="F356" i="3"/>
  <c r="G356" i="3" s="1"/>
  <c r="F355" i="3"/>
  <c r="G355" i="3" s="1"/>
  <c r="F354" i="3"/>
  <c r="F353" i="3"/>
  <c r="G353" i="3" s="1"/>
  <c r="H353" i="3" s="1"/>
  <c r="F351" i="3"/>
  <c r="G351" i="3" s="1"/>
  <c r="F350" i="3"/>
  <c r="G350" i="3" s="1"/>
  <c r="H350" i="3" s="1"/>
  <c r="F349" i="3"/>
  <c r="F348" i="3"/>
  <c r="G348" i="3" s="1"/>
  <c r="H348" i="3" s="1"/>
  <c r="F347" i="3"/>
  <c r="G347" i="3" s="1"/>
  <c r="F346" i="3"/>
  <c r="G346" i="3" s="1"/>
  <c r="H346" i="3" s="1"/>
  <c r="F345" i="3"/>
  <c r="F344" i="3"/>
  <c r="G344" i="3" s="1"/>
  <c r="H344" i="3" s="1"/>
  <c r="F343" i="3"/>
  <c r="G343" i="3" s="1"/>
  <c r="H343" i="3" s="1"/>
  <c r="F341" i="3"/>
  <c r="G341" i="3" s="1"/>
  <c r="F340" i="3"/>
  <c r="G340" i="3" s="1"/>
  <c r="H340" i="3" s="1"/>
  <c r="F339" i="3"/>
  <c r="F338" i="3"/>
  <c r="G338" i="3" s="1"/>
  <c r="H338" i="3" s="1"/>
  <c r="F337" i="3"/>
  <c r="G337" i="3" s="1"/>
  <c r="F336" i="3"/>
  <c r="G336" i="3" s="1"/>
  <c r="F335" i="3"/>
  <c r="F334" i="3"/>
  <c r="G334" i="3" s="1"/>
  <c r="F332" i="3"/>
  <c r="G332" i="3" s="1"/>
  <c r="F331" i="3"/>
  <c r="G331" i="3" s="1"/>
  <c r="H331" i="3" s="1"/>
  <c r="F330" i="3"/>
  <c r="G330" i="3" s="1"/>
  <c r="H330" i="3" s="1"/>
  <c r="F329" i="3"/>
  <c r="G329" i="3" s="1"/>
  <c r="H329" i="3" s="1"/>
  <c r="F328" i="3"/>
  <c r="G328" i="3" s="1"/>
  <c r="F327" i="3"/>
  <c r="G327" i="3" s="1"/>
  <c r="F325" i="3"/>
  <c r="F324" i="3"/>
  <c r="G324" i="3" s="1"/>
  <c r="H324" i="3" s="1"/>
  <c r="F323" i="3"/>
  <c r="G323" i="3" s="1"/>
  <c r="F322" i="3"/>
  <c r="G322" i="3" s="1"/>
  <c r="H322" i="3" s="1"/>
  <c r="F321" i="3"/>
  <c r="F320" i="3"/>
  <c r="G320" i="3" s="1"/>
  <c r="H320" i="3" s="1"/>
  <c r="F319" i="3"/>
  <c r="G319" i="3" s="1"/>
  <c r="F318" i="3"/>
  <c r="G318" i="3" s="1"/>
  <c r="H318" i="3" s="1"/>
  <c r="F317" i="3"/>
  <c r="F314" i="3"/>
  <c r="G314" i="3" s="1"/>
  <c r="F313" i="3"/>
  <c r="F312" i="3"/>
  <c r="G312" i="3" s="1"/>
  <c r="F311" i="3"/>
  <c r="G311" i="3" s="1"/>
  <c r="F309" i="3"/>
  <c r="G309" i="3" s="1"/>
  <c r="F308" i="3"/>
  <c r="F307" i="3"/>
  <c r="G307" i="3" s="1"/>
  <c r="F306" i="3"/>
  <c r="G306" i="3" s="1"/>
  <c r="H306" i="3" s="1"/>
  <c r="F305" i="3"/>
  <c r="G305" i="3" s="1"/>
  <c r="F304" i="3"/>
  <c r="G304" i="3" s="1"/>
  <c r="H304" i="3" s="1"/>
  <c r="F303" i="3"/>
  <c r="G303" i="3" s="1"/>
  <c r="F302" i="3"/>
  <c r="G302" i="3" s="1"/>
  <c r="H302" i="3" s="1"/>
  <c r="F301" i="3"/>
  <c r="F299" i="3"/>
  <c r="G299" i="3" s="1"/>
  <c r="F298" i="3"/>
  <c r="G298" i="3" s="1"/>
  <c r="H298" i="3" s="1"/>
  <c r="F297" i="3"/>
  <c r="G297" i="3" s="1"/>
  <c r="H297" i="3" s="1"/>
  <c r="F296" i="3"/>
  <c r="G296" i="3" s="1"/>
  <c r="H296" i="3" s="1"/>
  <c r="F295" i="3"/>
  <c r="G295" i="3" s="1"/>
  <c r="F294" i="3"/>
  <c r="F293" i="3"/>
  <c r="F292" i="3"/>
  <c r="G292" i="3" s="1"/>
  <c r="H292" i="3" s="1"/>
  <c r="F291" i="3"/>
  <c r="G291" i="3" s="1"/>
  <c r="F288" i="3"/>
  <c r="G288" i="3" s="1"/>
  <c r="F287" i="3"/>
  <c r="F286" i="3"/>
  <c r="G286" i="3" s="1"/>
  <c r="F285" i="3"/>
  <c r="G285" i="3" s="1"/>
  <c r="F284" i="3"/>
  <c r="G284" i="3" s="1"/>
  <c r="F283" i="3"/>
  <c r="G283" i="3" s="1"/>
  <c r="H283" i="3" s="1"/>
  <c r="F282" i="3"/>
  <c r="G282" i="3" s="1"/>
  <c r="H282" i="3" s="1"/>
  <c r="F281" i="3"/>
  <c r="G281" i="3" s="1"/>
  <c r="F280" i="3"/>
  <c r="G280" i="3" s="1"/>
  <c r="F279" i="3"/>
  <c r="F278" i="3"/>
  <c r="G278" i="3" s="1"/>
  <c r="F276" i="3"/>
  <c r="G276" i="3" s="1"/>
  <c r="H276" i="3" s="1"/>
  <c r="F275" i="3"/>
  <c r="G275" i="3" s="1"/>
  <c r="H275" i="3" s="1"/>
  <c r="F274" i="3"/>
  <c r="F273" i="3"/>
  <c r="G273" i="3" s="1"/>
  <c r="H273" i="3" s="1"/>
  <c r="F272" i="3"/>
  <c r="G272" i="3" s="1"/>
  <c r="H272" i="3" s="1"/>
  <c r="F271" i="3"/>
  <c r="G271" i="3" s="1"/>
  <c r="H271" i="3" s="1"/>
  <c r="F270" i="3"/>
  <c r="G270" i="3" s="1"/>
  <c r="H270" i="3" s="1"/>
  <c r="F269" i="3"/>
  <c r="G269" i="3" s="1"/>
  <c r="H269" i="3" s="1"/>
  <c r="F268" i="3"/>
  <c r="F266" i="3"/>
  <c r="G266" i="3" s="1"/>
  <c r="H266" i="3" s="1"/>
  <c r="F265" i="3"/>
  <c r="G265" i="3" s="1"/>
  <c r="H265" i="3" s="1"/>
  <c r="F264" i="3"/>
  <c r="G264" i="3" s="1"/>
  <c r="H264" i="3" s="1"/>
  <c r="F263" i="3"/>
  <c r="G263" i="3" s="1"/>
  <c r="H263" i="3" s="1"/>
  <c r="F262" i="3"/>
  <c r="F261" i="3"/>
  <c r="F260" i="3"/>
  <c r="G260" i="3" s="1"/>
  <c r="H260" i="3" s="1"/>
  <c r="F259" i="3"/>
  <c r="G259" i="3" s="1"/>
  <c r="F258" i="3"/>
  <c r="G258" i="3" s="1"/>
  <c r="H258" i="3" s="1"/>
  <c r="F256" i="3"/>
  <c r="G256" i="3" s="1"/>
  <c r="F254" i="3"/>
  <c r="F253" i="3"/>
  <c r="F250" i="3"/>
  <c r="G250" i="3" s="1"/>
  <c r="F249" i="3"/>
  <c r="G249" i="3" s="1"/>
  <c r="H249" i="3" s="1"/>
  <c r="F248" i="3"/>
  <c r="G248" i="3" s="1"/>
  <c r="F247" i="3"/>
  <c r="G247" i="3" s="1"/>
  <c r="H247" i="3" s="1"/>
  <c r="F246" i="3"/>
  <c r="G246" i="3" s="1"/>
  <c r="F245" i="3"/>
  <c r="G245" i="3" s="1"/>
  <c r="F244" i="3"/>
  <c r="G244" i="3" s="1"/>
  <c r="F243" i="3"/>
  <c r="G243" i="3" s="1"/>
  <c r="F242" i="3"/>
  <c r="G242" i="3" s="1"/>
  <c r="F241" i="3"/>
  <c r="F240" i="3"/>
  <c r="G240" i="3" s="1"/>
  <c r="F239" i="3"/>
  <c r="G239" i="3" s="1"/>
  <c r="H239" i="3" s="1"/>
  <c r="F238" i="3"/>
  <c r="G238" i="3" s="1"/>
  <c r="H238" i="3" s="1"/>
  <c r="F237" i="3"/>
  <c r="G237" i="3" s="1"/>
  <c r="H237" i="3" s="1"/>
  <c r="F236" i="3"/>
  <c r="G236" i="3" s="1"/>
  <c r="F235" i="3"/>
  <c r="G235" i="3" s="1"/>
  <c r="H235" i="3" s="1"/>
  <c r="F234" i="3"/>
  <c r="G234" i="3" s="1"/>
  <c r="F232" i="3"/>
  <c r="F231" i="3"/>
  <c r="G231" i="3" s="1"/>
  <c r="H231" i="3" s="1"/>
  <c r="F230" i="3"/>
  <c r="G230" i="3" s="1"/>
  <c r="F229" i="3"/>
  <c r="G229" i="3" s="1"/>
  <c r="H229" i="3" s="1"/>
  <c r="F228" i="3"/>
  <c r="F227" i="3"/>
  <c r="G227" i="3" s="1"/>
  <c r="F226" i="3"/>
  <c r="G226" i="3" s="1"/>
  <c r="F225" i="3"/>
  <c r="F224" i="3"/>
  <c r="F223" i="3"/>
  <c r="G223" i="3" s="1"/>
  <c r="F222" i="3"/>
  <c r="G222" i="3" s="1"/>
  <c r="F221" i="3"/>
  <c r="G221" i="3" s="1"/>
  <c r="H221" i="3" s="1"/>
  <c r="F220" i="3"/>
  <c r="F219" i="3"/>
  <c r="G219" i="3" s="1"/>
  <c r="H219" i="3" s="1"/>
  <c r="F218" i="3"/>
  <c r="G218" i="3" s="1"/>
  <c r="H218" i="3" s="1"/>
  <c r="F217" i="3"/>
  <c r="G217" i="3" s="1"/>
  <c r="H217" i="3" s="1"/>
  <c r="F216" i="3"/>
  <c r="G216" i="3" s="1"/>
  <c r="H216" i="3" s="1"/>
  <c r="F215" i="3"/>
  <c r="G215" i="3" s="1"/>
  <c r="F214" i="3"/>
  <c r="G214" i="3" s="1"/>
  <c r="F213" i="3"/>
  <c r="F212" i="3"/>
  <c r="F211" i="3"/>
  <c r="F209" i="3"/>
  <c r="G209" i="3" s="1"/>
  <c r="F208" i="3"/>
  <c r="G208" i="3" s="1"/>
  <c r="H208" i="3" s="1"/>
  <c r="F207" i="3"/>
  <c r="G207" i="3" s="1"/>
  <c r="F206" i="3"/>
  <c r="F205" i="3"/>
  <c r="G205" i="3" s="1"/>
  <c r="F204" i="3"/>
  <c r="G204" i="3" s="1"/>
  <c r="H204" i="3" s="1"/>
  <c r="F203" i="3"/>
  <c r="G203" i="3" s="1"/>
  <c r="H203" i="3" s="1"/>
  <c r="F202" i="3"/>
  <c r="G202" i="3" s="1"/>
  <c r="H202" i="3" s="1"/>
  <c r="F201" i="3"/>
  <c r="G201" i="3" s="1"/>
  <c r="F198" i="3"/>
  <c r="G198" i="3" s="1"/>
  <c r="H198" i="3" s="1"/>
  <c r="F197" i="3"/>
  <c r="G197" i="3" s="1"/>
  <c r="F196" i="3"/>
  <c r="F195" i="3"/>
  <c r="G195" i="3" s="1"/>
  <c r="F194" i="3"/>
  <c r="F193" i="3"/>
  <c r="F192" i="3"/>
  <c r="F191" i="3"/>
  <c r="G191" i="3" s="1"/>
  <c r="F190" i="3"/>
  <c r="G190" i="3" s="1"/>
  <c r="F189" i="3"/>
  <c r="F188" i="3"/>
  <c r="G188" i="3" s="1"/>
  <c r="H188" i="3" s="1"/>
  <c r="E190" i="15" s="1"/>
  <c r="F190" i="15" s="1"/>
  <c r="G190" i="15" s="1"/>
  <c r="F187" i="3"/>
  <c r="G187" i="3" s="1"/>
  <c r="F186" i="3"/>
  <c r="G186" i="3" s="1"/>
  <c r="H186" i="3" s="1"/>
  <c r="F185" i="3"/>
  <c r="F184" i="3"/>
  <c r="G184" i="3" s="1"/>
  <c r="H184" i="3" s="1"/>
  <c r="F183" i="3"/>
  <c r="G183" i="3" s="1"/>
  <c r="F182" i="3"/>
  <c r="G182" i="3" s="1"/>
  <c r="H182" i="3" s="1"/>
  <c r="F180" i="3"/>
  <c r="G180" i="3" s="1"/>
  <c r="H180" i="3" s="1"/>
  <c r="F179" i="3"/>
  <c r="F178" i="3"/>
  <c r="G178" i="3" s="1"/>
  <c r="F177" i="3"/>
  <c r="G177" i="3" s="1"/>
  <c r="H177" i="3" s="1"/>
  <c r="F176" i="3"/>
  <c r="G176" i="3" s="1"/>
  <c r="F175" i="3"/>
  <c r="G175" i="3" s="1"/>
  <c r="H175" i="3" s="1"/>
  <c r="F174" i="3"/>
  <c r="G174" i="3" s="1"/>
  <c r="F173" i="3"/>
  <c r="G173" i="3" s="1"/>
  <c r="H173" i="3" s="1"/>
  <c r="F172" i="3"/>
  <c r="G172" i="3" s="1"/>
  <c r="F171" i="3"/>
  <c r="F170" i="3"/>
  <c r="G170" i="3" s="1"/>
  <c r="F169" i="3"/>
  <c r="G169" i="3" s="1"/>
  <c r="H169" i="3" s="1"/>
  <c r="F166" i="3"/>
  <c r="G166" i="3" s="1"/>
  <c r="H166" i="3" s="1"/>
  <c r="F165" i="3"/>
  <c r="G165" i="3" s="1"/>
  <c r="H165" i="3" s="1"/>
  <c r="F164" i="3"/>
  <c r="F163" i="3"/>
  <c r="G163" i="3" s="1"/>
  <c r="H163" i="3" s="1"/>
  <c r="F162" i="3"/>
  <c r="G162" i="3" s="1"/>
  <c r="H162" i="3" s="1"/>
  <c r="F161" i="3"/>
  <c r="F159" i="3"/>
  <c r="G159" i="3" s="1"/>
  <c r="F158" i="3"/>
  <c r="G158" i="3" s="1"/>
  <c r="H158" i="3" s="1"/>
  <c r="F157" i="3"/>
  <c r="G157" i="3" s="1"/>
  <c r="H157" i="3" s="1"/>
  <c r="F156" i="3"/>
  <c r="F155" i="3"/>
  <c r="G155" i="3" s="1"/>
  <c r="F154" i="3"/>
  <c r="G154" i="3" s="1"/>
  <c r="H154" i="3" s="1"/>
  <c r="F153" i="3"/>
  <c r="F151" i="3"/>
  <c r="G151" i="3" s="1"/>
  <c r="H151" i="3" s="1"/>
  <c r="F150" i="3"/>
  <c r="F149" i="3"/>
  <c r="G149" i="3" s="1"/>
  <c r="F110" i="3"/>
  <c r="F109" i="3"/>
  <c r="G109" i="3" s="1"/>
  <c r="H109" i="3" s="1"/>
  <c r="F108" i="3"/>
  <c r="G108" i="3" s="1"/>
  <c r="F107" i="3"/>
  <c r="G107" i="3" s="1"/>
  <c r="H107" i="3" s="1"/>
  <c r="F106" i="3"/>
  <c r="F104" i="3"/>
  <c r="G104" i="3" s="1"/>
  <c r="F103" i="3"/>
  <c r="G103" i="3" s="1"/>
  <c r="F102" i="3"/>
  <c r="G102" i="3" s="1"/>
  <c r="F101" i="3"/>
  <c r="F100" i="3"/>
  <c r="G100" i="3" s="1"/>
  <c r="F95" i="3"/>
  <c r="G95" i="3" s="1"/>
  <c r="F94" i="3"/>
  <c r="G94" i="3" s="1"/>
  <c r="H94" i="3" s="1"/>
  <c r="F93" i="3"/>
  <c r="G93" i="3" s="1"/>
  <c r="F92" i="3"/>
  <c r="G92" i="3" s="1"/>
  <c r="H92" i="3" s="1"/>
  <c r="F91" i="3"/>
  <c r="G91" i="3" s="1"/>
  <c r="F90" i="3"/>
  <c r="F89" i="3"/>
  <c r="G89" i="3" s="1"/>
  <c r="H89" i="3" s="1"/>
  <c r="F88" i="3"/>
  <c r="F86" i="3"/>
  <c r="G86" i="3" s="1"/>
  <c r="F85" i="3"/>
  <c r="F84" i="3"/>
  <c r="G84" i="3" s="1"/>
  <c r="H84" i="3" s="1"/>
  <c r="F83" i="3"/>
  <c r="G83" i="3" s="1"/>
  <c r="H83" i="3" s="1"/>
  <c r="F81" i="3"/>
  <c r="G81" i="3" s="1"/>
  <c r="F80" i="3"/>
  <c r="G80" i="3" s="1"/>
  <c r="H80" i="3" s="1"/>
  <c r="F79" i="3"/>
  <c r="F78" i="3"/>
  <c r="G78" i="3" s="1"/>
  <c r="H78" i="3" s="1"/>
  <c r="F75" i="3"/>
  <c r="G75" i="3" s="1"/>
  <c r="F74" i="3"/>
  <c r="G74" i="3" s="1"/>
  <c r="H74" i="3" s="1"/>
  <c r="F72" i="3"/>
  <c r="G72" i="3" s="1"/>
  <c r="F70" i="3"/>
  <c r="G70" i="3" s="1"/>
  <c r="F69" i="3"/>
  <c r="F66" i="3"/>
  <c r="G66" i="3" s="1"/>
  <c r="F65" i="3"/>
  <c r="G65" i="3" s="1"/>
  <c r="H65" i="3" s="1"/>
  <c r="E67" i="22" s="1"/>
  <c r="F67" i="22" s="1"/>
  <c r="G67" i="22" s="1"/>
  <c r="F61" i="3"/>
  <c r="G61" i="3" s="1"/>
  <c r="F60" i="3"/>
  <c r="G60" i="3" s="1"/>
  <c r="H60" i="3" s="1"/>
  <c r="F56" i="3"/>
  <c r="G56" i="3" s="1"/>
  <c r="H56" i="3" s="1"/>
  <c r="F52" i="3"/>
  <c r="G52" i="3" s="1"/>
  <c r="F43" i="3"/>
  <c r="F40" i="3"/>
  <c r="G40" i="3" s="1"/>
  <c r="F39" i="3"/>
  <c r="F35" i="3"/>
  <c r="G35" i="3" s="1"/>
  <c r="F34" i="3"/>
  <c r="G34" i="3" s="1"/>
  <c r="H34" i="3" s="1"/>
  <c r="F24" i="3"/>
  <c r="G24" i="3" s="1"/>
  <c r="F15" i="3"/>
  <c r="G15" i="3" s="1"/>
  <c r="F14" i="3"/>
  <c r="F12" i="3"/>
  <c r="G12" i="3" s="1"/>
  <c r="F10" i="3"/>
  <c r="G10" i="3" s="1"/>
  <c r="F2039" i="4"/>
  <c r="G2039" i="4" s="1"/>
  <c r="F2038" i="4"/>
  <c r="G2038" i="4" s="1"/>
  <c r="F2037" i="4"/>
  <c r="G2037" i="4" s="1"/>
  <c r="F2036" i="4"/>
  <c r="G2036" i="4" s="1"/>
  <c r="F2035" i="4"/>
  <c r="G2035" i="4" s="1"/>
  <c r="F2034" i="4"/>
  <c r="G2034" i="4" s="1"/>
  <c r="F2033" i="4"/>
  <c r="G2033" i="4" s="1"/>
  <c r="F2031" i="4"/>
  <c r="G2031" i="4" s="1"/>
  <c r="F2030" i="4"/>
  <c r="G2030" i="4" s="1"/>
  <c r="F2029" i="4"/>
  <c r="G2029" i="4" s="1"/>
  <c r="F2028" i="4"/>
  <c r="G2028" i="4" s="1"/>
  <c r="F2027" i="4"/>
  <c r="G2027" i="4" s="1"/>
  <c r="F2026" i="4"/>
  <c r="G2026" i="4" s="1"/>
  <c r="F2025" i="4"/>
  <c r="G2025" i="4" s="1"/>
  <c r="F2023" i="4"/>
  <c r="G2023" i="4" s="1"/>
  <c r="F2022" i="4"/>
  <c r="G2022" i="4" s="1"/>
  <c r="F2021" i="4"/>
  <c r="G2021" i="4" s="1"/>
  <c r="F2020" i="4"/>
  <c r="G2020" i="4" s="1"/>
  <c r="F2019" i="4"/>
  <c r="G2019" i="4" s="1"/>
  <c r="F2018" i="4"/>
  <c r="G2018" i="4" s="1"/>
  <c r="F2017" i="4"/>
  <c r="G2017" i="4" s="1"/>
  <c r="F2015" i="4"/>
  <c r="G2015" i="4" s="1"/>
  <c r="F2014" i="4"/>
  <c r="G2014" i="4" s="1"/>
  <c r="F2013" i="4"/>
  <c r="G2013" i="4" s="1"/>
  <c r="F2012" i="4"/>
  <c r="G2012" i="4" s="1"/>
  <c r="F2011" i="4"/>
  <c r="G2011" i="4" s="1"/>
  <c r="F2010" i="4"/>
  <c r="G2010" i="4" s="1"/>
  <c r="F2009" i="4"/>
  <c r="G2009" i="4" s="1"/>
  <c r="F2007" i="4"/>
  <c r="G2007" i="4" s="1"/>
  <c r="F2006" i="4"/>
  <c r="G2006" i="4" s="1"/>
  <c r="F2005" i="4"/>
  <c r="G2005" i="4" s="1"/>
  <c r="F2004" i="4"/>
  <c r="G2004" i="4" s="1"/>
  <c r="F2003" i="4"/>
  <c r="G2003" i="4" s="1"/>
  <c r="F2002" i="4"/>
  <c r="G2002" i="4" s="1"/>
  <c r="F2001" i="4"/>
  <c r="G2001" i="4" s="1"/>
  <c r="F1997" i="4"/>
  <c r="G1997" i="4" s="1"/>
  <c r="F1996" i="4"/>
  <c r="G1996" i="4" s="1"/>
  <c r="F1995" i="4"/>
  <c r="G1995" i="4" s="1"/>
  <c r="F1994" i="4"/>
  <c r="G1994" i="4" s="1"/>
  <c r="F1993" i="4"/>
  <c r="G1993" i="4" s="1"/>
  <c r="F1992" i="4"/>
  <c r="G1992" i="4" s="1"/>
  <c r="F1991" i="4"/>
  <c r="G1991" i="4" s="1"/>
  <c r="F1989" i="4"/>
  <c r="G1989" i="4" s="1"/>
  <c r="F1988" i="4"/>
  <c r="G1988" i="4" s="1"/>
  <c r="F1987" i="4"/>
  <c r="G1987" i="4" s="1"/>
  <c r="F1986" i="4"/>
  <c r="G1986" i="4" s="1"/>
  <c r="F1985" i="4"/>
  <c r="G1985" i="4" s="1"/>
  <c r="F1984" i="4"/>
  <c r="G1984" i="4" s="1"/>
  <c r="F1983" i="4"/>
  <c r="G1983" i="4" s="1"/>
  <c r="F1982" i="4"/>
  <c r="G1982" i="4" s="1"/>
  <c r="F1981" i="4"/>
  <c r="G1981" i="4" s="1"/>
  <c r="F1980" i="4"/>
  <c r="G1980" i="4" s="1"/>
  <c r="F1979" i="4"/>
  <c r="G1979" i="4" s="1"/>
  <c r="F1978" i="4"/>
  <c r="G1978" i="4" s="1"/>
  <c r="F1976" i="4"/>
  <c r="G1976" i="4" s="1"/>
  <c r="F1975" i="4"/>
  <c r="G1975" i="4" s="1"/>
  <c r="F1974" i="4"/>
  <c r="G1974" i="4" s="1"/>
  <c r="F1973" i="4"/>
  <c r="G1973" i="4" s="1"/>
  <c r="F1972" i="4"/>
  <c r="G1972" i="4" s="1"/>
  <c r="F1971" i="4"/>
  <c r="G1971" i="4" s="1"/>
  <c r="F1970" i="4"/>
  <c r="G1970" i="4" s="1"/>
  <c r="F1969" i="4"/>
  <c r="G1969" i="4" s="1"/>
  <c r="F1968" i="4"/>
  <c r="G1968" i="4" s="1"/>
  <c r="F2089" i="4"/>
  <c r="G2089" i="4" s="1"/>
  <c r="F2088" i="4"/>
  <c r="G2088" i="4" s="1"/>
  <c r="F2087" i="4"/>
  <c r="G2087" i="4" s="1"/>
  <c r="F2086" i="4"/>
  <c r="G2086" i="4" s="1"/>
  <c r="F2085" i="4"/>
  <c r="G2085" i="4" s="1"/>
  <c r="F2084" i="4"/>
  <c r="G2084" i="4" s="1"/>
  <c r="F2083" i="4"/>
  <c r="G2083" i="4" s="1"/>
  <c r="F2082" i="4"/>
  <c r="G2082" i="4" s="1"/>
  <c r="F2081" i="4"/>
  <c r="G2081" i="4" s="1"/>
  <c r="F2080" i="4"/>
  <c r="G2080" i="4" s="1"/>
  <c r="F2079" i="4"/>
  <c r="G2079" i="4" s="1"/>
  <c r="F2078" i="4"/>
  <c r="G2078" i="4" s="1"/>
  <c r="F2065" i="4"/>
  <c r="G2065" i="4" s="1"/>
  <c r="F2064" i="4"/>
  <c r="G2064" i="4" s="1"/>
  <c r="F2063" i="4"/>
  <c r="G2063" i="4" s="1"/>
  <c r="F2062" i="4"/>
  <c r="G2062" i="4" s="1"/>
  <c r="F2061" i="4"/>
  <c r="G2061" i="4" s="1"/>
  <c r="F2060" i="4"/>
  <c r="G2060" i="4" s="1"/>
  <c r="F2059" i="4"/>
  <c r="G2059" i="4" s="1"/>
  <c r="F2058" i="4"/>
  <c r="G2058" i="4" s="1"/>
  <c r="F2057" i="4"/>
  <c r="G2057" i="4" s="1"/>
  <c r="F2056" i="4"/>
  <c r="G2056" i="4" s="1"/>
  <c r="F2055" i="4"/>
  <c r="G2055" i="4" s="1"/>
  <c r="F2054" i="4"/>
  <c r="G2054" i="4" s="1"/>
  <c r="F2053" i="4"/>
  <c r="G2053" i="4" s="1"/>
  <c r="F2052" i="4"/>
  <c r="G2052" i="4" s="1"/>
  <c r="F2051" i="4"/>
  <c r="G2051" i="4" s="1"/>
  <c r="F2050" i="4"/>
  <c r="G2050" i="4" s="1"/>
  <c r="F2049" i="4"/>
  <c r="G2049" i="4" s="1"/>
  <c r="F2048" i="4"/>
  <c r="G2048" i="4" s="1"/>
  <c r="F2047" i="4"/>
  <c r="G2047" i="4" s="1"/>
  <c r="F2046" i="4"/>
  <c r="G2046" i="4" s="1"/>
  <c r="F2045" i="4"/>
  <c r="G2045" i="4" s="1"/>
  <c r="F2044" i="4"/>
  <c r="G2044" i="4" s="1"/>
  <c r="F2043" i="4"/>
  <c r="G2043" i="4" s="1"/>
  <c r="F2042" i="4"/>
  <c r="G2042" i="4" s="1"/>
  <c r="F2138" i="4"/>
  <c r="G2138" i="4" s="1"/>
  <c r="F2137" i="4"/>
  <c r="G2137" i="4" s="1"/>
  <c r="F2136" i="4"/>
  <c r="G2136" i="4" s="1"/>
  <c r="F2135" i="4"/>
  <c r="G2135" i="4" s="1"/>
  <c r="F2134" i="4"/>
  <c r="G2134" i="4" s="1"/>
  <c r="F2133" i="4"/>
  <c r="G2133" i="4" s="1"/>
  <c r="F2132" i="4"/>
  <c r="G2132" i="4" s="1"/>
  <c r="F2131" i="4"/>
  <c r="G2131" i="4" s="1"/>
  <c r="F2130" i="4"/>
  <c r="G2130" i="4" s="1"/>
  <c r="F2129" i="4"/>
  <c r="G2129" i="4" s="1"/>
  <c r="F2128" i="4"/>
  <c r="G2128" i="4" s="1"/>
  <c r="F2127" i="4"/>
  <c r="G2127" i="4" s="1"/>
  <c r="F2126" i="4"/>
  <c r="G2126" i="4" s="1"/>
  <c r="F2125" i="4"/>
  <c r="G2125" i="4" s="1"/>
  <c r="F2124" i="4"/>
  <c r="G2124" i="4" s="1"/>
  <c r="F2123" i="4"/>
  <c r="G2123" i="4" s="1"/>
  <c r="F2122" i="4"/>
  <c r="G2122" i="4" s="1"/>
  <c r="F2121" i="4"/>
  <c r="G2121" i="4" s="1"/>
  <c r="F2120" i="4"/>
  <c r="G2120" i="4" s="1"/>
  <c r="F2119" i="4"/>
  <c r="G2119" i="4" s="1"/>
  <c r="F2118" i="4"/>
  <c r="G2118" i="4" s="1"/>
  <c r="F2117" i="4"/>
  <c r="G2117" i="4" s="1"/>
  <c r="F2116" i="4"/>
  <c r="G2116" i="4" s="1"/>
  <c r="F2115" i="4"/>
  <c r="G2115" i="4" s="1"/>
  <c r="F2114" i="4"/>
  <c r="G2114" i="4" s="1"/>
  <c r="F2113" i="4"/>
  <c r="G2113" i="4" s="1"/>
  <c r="F2112" i="4"/>
  <c r="G2112" i="4" s="1"/>
  <c r="F2111" i="4"/>
  <c r="G2111" i="4" s="1"/>
  <c r="F2110" i="4"/>
  <c r="G2110" i="4" s="1"/>
  <c r="F2109" i="4"/>
  <c r="G2109" i="4" s="1"/>
  <c r="F2108" i="4"/>
  <c r="G2108" i="4" s="1"/>
  <c r="F2107" i="4"/>
  <c r="G2107" i="4" s="1"/>
  <c r="F2106" i="4"/>
  <c r="G2106" i="4" s="1"/>
  <c r="F2105" i="4"/>
  <c r="G2105" i="4" s="1"/>
  <c r="F2104" i="4"/>
  <c r="G2104" i="4" s="1"/>
  <c r="F2103" i="4"/>
  <c r="G2103" i="4" s="1"/>
  <c r="F2102" i="4"/>
  <c r="G2102" i="4" s="1"/>
  <c r="F2101" i="4"/>
  <c r="G2101" i="4" s="1"/>
  <c r="F2100" i="4"/>
  <c r="G2100" i="4" s="1"/>
  <c r="F2099" i="4"/>
  <c r="G2099" i="4" s="1"/>
  <c r="F2098" i="4"/>
  <c r="G2098" i="4" s="1"/>
  <c r="F2097" i="4"/>
  <c r="G2097" i="4" s="1"/>
  <c r="F2096" i="4"/>
  <c r="G2096" i="4" s="1"/>
  <c r="F2095" i="4"/>
  <c r="G2095" i="4" s="1"/>
  <c r="F2094" i="4"/>
  <c r="G2094" i="4" s="1"/>
  <c r="F2093" i="4"/>
  <c r="G2093" i="4" s="1"/>
  <c r="F2092" i="4"/>
  <c r="G2092" i="4" s="1"/>
  <c r="F2091" i="4"/>
  <c r="G2091" i="4" s="1"/>
  <c r="F2142" i="4"/>
  <c r="G2142" i="4" s="1"/>
  <c r="F2141" i="4"/>
  <c r="G2141" i="4" s="1"/>
  <c r="F2147" i="4"/>
  <c r="G2147" i="4" s="1"/>
  <c r="F2146" i="4"/>
  <c r="G2146" i="4" s="1"/>
  <c r="F2145" i="4"/>
  <c r="G2145" i="4" s="1"/>
  <c r="F2144" i="4"/>
  <c r="G2144" i="4" s="1"/>
  <c r="F2152" i="4"/>
  <c r="G2152" i="4" s="1"/>
  <c r="F2151" i="4"/>
  <c r="G2151" i="4" s="1"/>
  <c r="F2150" i="4"/>
  <c r="G2150" i="4" s="1"/>
  <c r="F2149" i="4"/>
  <c r="G2149" i="4" s="1"/>
  <c r="F2156" i="4"/>
  <c r="G2156" i="4" s="1"/>
  <c r="F2155" i="4"/>
  <c r="G2155" i="4" s="1"/>
  <c r="F2161" i="4"/>
  <c r="G2161" i="4" s="1"/>
  <c r="F2160" i="4"/>
  <c r="G2160" i="4" s="1"/>
  <c r="F2159" i="4"/>
  <c r="G2159" i="4" s="1"/>
  <c r="F2158" i="4"/>
  <c r="G2158" i="4" s="1"/>
  <c r="F2163" i="4"/>
  <c r="G2163" i="4" s="1"/>
  <c r="F2177" i="4"/>
  <c r="G2177" i="4" s="1"/>
  <c r="F2176" i="4"/>
  <c r="G2176" i="4" s="1"/>
  <c r="F2175" i="4"/>
  <c r="G2175" i="4" s="1"/>
  <c r="F2174" i="4"/>
  <c r="G2174" i="4" s="1"/>
  <c r="F2173" i="4"/>
  <c r="G2173" i="4" s="1"/>
  <c r="F2172" i="4"/>
  <c r="G2172" i="4" s="1"/>
  <c r="F2170" i="4"/>
  <c r="G2170" i="4" s="1"/>
  <c r="F2169" i="4"/>
  <c r="G2169" i="4" s="1"/>
  <c r="F2168" i="4"/>
  <c r="G2168" i="4" s="1"/>
  <c r="F2167" i="4"/>
  <c r="G2167" i="4" s="1"/>
  <c r="F2189" i="4"/>
  <c r="G2189" i="4" s="1"/>
  <c r="F2188" i="4"/>
  <c r="G2188" i="4" s="1"/>
  <c r="F2187" i="4"/>
  <c r="G2187" i="4" s="1"/>
  <c r="F2186" i="4"/>
  <c r="G2186" i="4" s="1"/>
  <c r="F2185" i="4"/>
  <c r="G2185" i="4" s="1"/>
  <c r="F2184" i="4"/>
  <c r="G2184" i="4" s="1"/>
  <c r="F2183" i="4"/>
  <c r="G2183" i="4" s="1"/>
  <c r="F2182" i="4"/>
  <c r="G2182" i="4" s="1"/>
  <c r="F2181" i="4"/>
  <c r="G2181" i="4" s="1"/>
  <c r="F2180" i="4"/>
  <c r="G2180" i="4" s="1"/>
  <c r="F2179" i="4"/>
  <c r="G2179" i="4" s="1"/>
  <c r="F2202" i="4"/>
  <c r="G2202" i="4" s="1"/>
  <c r="F2201" i="4"/>
  <c r="G2201" i="4" s="1"/>
  <c r="F2200" i="4"/>
  <c r="G2200" i="4" s="1"/>
  <c r="F2199" i="4"/>
  <c r="G2199" i="4" s="1"/>
  <c r="F2198" i="4"/>
  <c r="G2198" i="4" s="1"/>
  <c r="F2197" i="4"/>
  <c r="G2197" i="4" s="1"/>
  <c r="F2196" i="4"/>
  <c r="G2196" i="4" s="1"/>
  <c r="F2195" i="4"/>
  <c r="G2195" i="4" s="1"/>
  <c r="F2194" i="4"/>
  <c r="G2194" i="4" s="1"/>
  <c r="F2193" i="4"/>
  <c r="G2193" i="4" s="1"/>
  <c r="F2192" i="4"/>
  <c r="G2192" i="4" s="1"/>
  <c r="F2215" i="4"/>
  <c r="G2215" i="4" s="1"/>
  <c r="F2214" i="4"/>
  <c r="G2214" i="4" s="1"/>
  <c r="F2213" i="4"/>
  <c r="G2213" i="4" s="1"/>
  <c r="F2212" i="4"/>
  <c r="G2212" i="4" s="1"/>
  <c r="F2211" i="4"/>
  <c r="G2211" i="4" s="1"/>
  <c r="F2210" i="4"/>
  <c r="G2210" i="4" s="1"/>
  <c r="F2209" i="4"/>
  <c r="G2209" i="4" s="1"/>
  <c r="F2208" i="4"/>
  <c r="G2208" i="4" s="1"/>
  <c r="F2207" i="4"/>
  <c r="G2207" i="4" s="1"/>
  <c r="F2206" i="4"/>
  <c r="G2206" i="4" s="1"/>
  <c r="F2205" i="4"/>
  <c r="G2205" i="4" s="1"/>
  <c r="F2204" i="4"/>
  <c r="G2204" i="4" s="1"/>
  <c r="F2222" i="4"/>
  <c r="G2222" i="4" s="1"/>
  <c r="F2221" i="4"/>
  <c r="G2221" i="4" s="1"/>
  <c r="F2220" i="4"/>
  <c r="G2220" i="4" s="1"/>
  <c r="F2219" i="4"/>
  <c r="G2219" i="4" s="1"/>
  <c r="F2218" i="4"/>
  <c r="G2218" i="4" s="1"/>
  <c r="F2217" i="4"/>
  <c r="G2217" i="4" s="1"/>
  <c r="F2229" i="4"/>
  <c r="G2229" i="4" s="1"/>
  <c r="F2228" i="4"/>
  <c r="G2228" i="4" s="1"/>
  <c r="F2227" i="4"/>
  <c r="G2227" i="4" s="1"/>
  <c r="F2226" i="4"/>
  <c r="G2226" i="4" s="1"/>
  <c r="F2225" i="4"/>
  <c r="G2225" i="4" s="1"/>
  <c r="F2224" i="4"/>
  <c r="G2224" i="4" s="1"/>
  <c r="F2239" i="4"/>
  <c r="G2239" i="4" s="1"/>
  <c r="F2238" i="4"/>
  <c r="G2238" i="4" s="1"/>
  <c r="F2237" i="4"/>
  <c r="G2237" i="4" s="1"/>
  <c r="F2236" i="4"/>
  <c r="G2236" i="4" s="1"/>
  <c r="F2235" i="4"/>
  <c r="G2235" i="4" s="1"/>
  <c r="F2234" i="4"/>
  <c r="G2234" i="4" s="1"/>
  <c r="F2233" i="4"/>
  <c r="G2233" i="4" s="1"/>
  <c r="F2232" i="4"/>
  <c r="G2232" i="4" s="1"/>
  <c r="F2245" i="4"/>
  <c r="G2245" i="4" s="1"/>
  <c r="F2244" i="4"/>
  <c r="G2244" i="4" s="1"/>
  <c r="F2243" i="4"/>
  <c r="G2243" i="4" s="1"/>
  <c r="F2242" i="4"/>
  <c r="G2242" i="4" s="1"/>
  <c r="F2241" i="4"/>
  <c r="G2241" i="4" s="1"/>
  <c r="F2252" i="4"/>
  <c r="G2252" i="4" s="1"/>
  <c r="F2251" i="4"/>
  <c r="G2251" i="4" s="1"/>
  <c r="F2250" i="4"/>
  <c r="G2250" i="4" s="1"/>
  <c r="F2249" i="4"/>
  <c r="G2249" i="4" s="1"/>
  <c r="F2248" i="4"/>
  <c r="G2248" i="4" s="1"/>
  <c r="F2247" i="4"/>
  <c r="G2247" i="4" s="1"/>
  <c r="F2260" i="4"/>
  <c r="G2260" i="4" s="1"/>
  <c r="F2259" i="4"/>
  <c r="G2259" i="4" s="1"/>
  <c r="F2258" i="4"/>
  <c r="G2258" i="4" s="1"/>
  <c r="F2257" i="4"/>
  <c r="G2257" i="4" s="1"/>
  <c r="F2256" i="4"/>
  <c r="G2256" i="4" s="1"/>
  <c r="F2255" i="4"/>
  <c r="G2255" i="4" s="1"/>
  <c r="F2254" i="4"/>
  <c r="G2254" i="4" s="1"/>
  <c r="F2273" i="4"/>
  <c r="G2273" i="4" s="1"/>
  <c r="F2272" i="4"/>
  <c r="G2272" i="4" s="1"/>
  <c r="F2271" i="4"/>
  <c r="G2271" i="4" s="1"/>
  <c r="F2270" i="4"/>
  <c r="G2270" i="4" s="1"/>
  <c r="F2269" i="4"/>
  <c r="G2269" i="4" s="1"/>
  <c r="F2268" i="4"/>
  <c r="G2268" i="4" s="1"/>
  <c r="F2267" i="4"/>
  <c r="G2267" i="4" s="1"/>
  <c r="F2266" i="4"/>
  <c r="G2266" i="4" s="1"/>
  <c r="F2265" i="4"/>
  <c r="G2265" i="4" s="1"/>
  <c r="F2264" i="4"/>
  <c r="G2264" i="4" s="1"/>
  <c r="F2263" i="4"/>
  <c r="G2263" i="4" s="1"/>
  <c r="F2262" i="4"/>
  <c r="G2262" i="4" s="1"/>
  <c r="F2280" i="4"/>
  <c r="G2280" i="4" s="1"/>
  <c r="F2279" i="4"/>
  <c r="G2279" i="4" s="1"/>
  <c r="F2278" i="4"/>
  <c r="G2278" i="4" s="1"/>
  <c r="F2277" i="4"/>
  <c r="G2277" i="4" s="1"/>
  <c r="F2276" i="4"/>
  <c r="G2276" i="4" s="1"/>
  <c r="F2275" i="4"/>
  <c r="G2275" i="4" s="1"/>
  <c r="F2287" i="4"/>
  <c r="G2287" i="4" s="1"/>
  <c r="F2286" i="4"/>
  <c r="G2286" i="4" s="1"/>
  <c r="F2285" i="4"/>
  <c r="G2285" i="4" s="1"/>
  <c r="F2284" i="4"/>
  <c r="G2284" i="4" s="1"/>
  <c r="F2283" i="4"/>
  <c r="G2283" i="4" s="1"/>
  <c r="F2282" i="4"/>
  <c r="G2282" i="4" s="1"/>
  <c r="F2295" i="4"/>
  <c r="G2295" i="4" s="1"/>
  <c r="F2294" i="4"/>
  <c r="G2294" i="4" s="1"/>
  <c r="F2293" i="4"/>
  <c r="G2293" i="4" s="1"/>
  <c r="F2292" i="4"/>
  <c r="G2292" i="4" s="1"/>
  <c r="F2291" i="4"/>
  <c r="G2291" i="4" s="1"/>
  <c r="F2290" i="4"/>
  <c r="G2290" i="4" s="1"/>
  <c r="F2289" i="4"/>
  <c r="G2289" i="4" s="1"/>
  <c r="F2303" i="4"/>
  <c r="G2303" i="4" s="1"/>
  <c r="F2302" i="4"/>
  <c r="G2302" i="4" s="1"/>
  <c r="F2301" i="4"/>
  <c r="G2301" i="4" s="1"/>
  <c r="F2300" i="4"/>
  <c r="G2300" i="4" s="1"/>
  <c r="F2299" i="4"/>
  <c r="G2299" i="4" s="1"/>
  <c r="F2298" i="4"/>
  <c r="G2298" i="4" s="1"/>
  <c r="F2297" i="4"/>
  <c r="G2297" i="4" s="1"/>
  <c r="F2316" i="4"/>
  <c r="G2316" i="4" s="1"/>
  <c r="F2315" i="4"/>
  <c r="G2315" i="4" s="1"/>
  <c r="F2314" i="4"/>
  <c r="G2314" i="4" s="1"/>
  <c r="F2313" i="4"/>
  <c r="G2313" i="4" s="1"/>
  <c r="F2312" i="4"/>
  <c r="G2312" i="4" s="1"/>
  <c r="F2311" i="4"/>
  <c r="G2311" i="4" s="1"/>
  <c r="F2310" i="4"/>
  <c r="G2310" i="4" s="1"/>
  <c r="F2309" i="4"/>
  <c r="G2309" i="4" s="1"/>
  <c r="F2308" i="4"/>
  <c r="G2308" i="4" s="1"/>
  <c r="F2307" i="4"/>
  <c r="G2307" i="4" s="1"/>
  <c r="F2306" i="4"/>
  <c r="G2306" i="4" s="1"/>
  <c r="F2305" i="4"/>
  <c r="G2305" i="4" s="1"/>
  <c r="F2329" i="4"/>
  <c r="G2329" i="4" s="1"/>
  <c r="F2328" i="4"/>
  <c r="G2328" i="4" s="1"/>
  <c r="F2327" i="4"/>
  <c r="G2327" i="4" s="1"/>
  <c r="F2326" i="4"/>
  <c r="G2326" i="4" s="1"/>
  <c r="F2325" i="4"/>
  <c r="G2325" i="4" s="1"/>
  <c r="F2324" i="4"/>
  <c r="G2324" i="4" s="1"/>
  <c r="F2323" i="4"/>
  <c r="G2323" i="4" s="1"/>
  <c r="F2322" i="4"/>
  <c r="G2322" i="4" s="1"/>
  <c r="F2321" i="4"/>
  <c r="G2321" i="4" s="1"/>
  <c r="F2320" i="4"/>
  <c r="G2320" i="4" s="1"/>
  <c r="F2319" i="4"/>
  <c r="G2319" i="4" s="1"/>
  <c r="F2318" i="4"/>
  <c r="G2318" i="4" s="1"/>
  <c r="F2338" i="4"/>
  <c r="G2338" i="4" s="1"/>
  <c r="F2337" i="4"/>
  <c r="G2337" i="4" s="1"/>
  <c r="F2336" i="4"/>
  <c r="G2336" i="4" s="1"/>
  <c r="F2335" i="4"/>
  <c r="G2335" i="4" s="1"/>
  <c r="F2334" i="4"/>
  <c r="G2334" i="4" s="1"/>
  <c r="F2333" i="4"/>
  <c r="G2333" i="4" s="1"/>
  <c r="F2332" i="4"/>
  <c r="G2332" i="4" s="1"/>
  <c r="F2331" i="4"/>
  <c r="G2331" i="4" s="1"/>
  <c r="F2355" i="4"/>
  <c r="G2355" i="4" s="1"/>
  <c r="F2354" i="4"/>
  <c r="G2354" i="4" s="1"/>
  <c r="F2353" i="4"/>
  <c r="G2353" i="4" s="1"/>
  <c r="F2352" i="4"/>
  <c r="G2352" i="4" s="1"/>
  <c r="F2351" i="4"/>
  <c r="G2351" i="4" s="1"/>
  <c r="F2350" i="4"/>
  <c r="G2350" i="4" s="1"/>
  <c r="F2349" i="4"/>
  <c r="G2349" i="4" s="1"/>
  <c r="F2348" i="4"/>
  <c r="G2348" i="4" s="1"/>
  <c r="F2347" i="4"/>
  <c r="G2347" i="4" s="1"/>
  <c r="F2346" i="4"/>
  <c r="G2346" i="4" s="1"/>
  <c r="F2345" i="4"/>
  <c r="G2345" i="4" s="1"/>
  <c r="F2344" i="4"/>
  <c r="G2344" i="4" s="1"/>
  <c r="F2343" i="4"/>
  <c r="G2343" i="4" s="1"/>
  <c r="F2342" i="4"/>
  <c r="G2342" i="4" s="1"/>
  <c r="F2341" i="4"/>
  <c r="G2341" i="4" s="1"/>
  <c r="F2371" i="4"/>
  <c r="G2371" i="4" s="1"/>
  <c r="F2370" i="4"/>
  <c r="G2370" i="4" s="1"/>
  <c r="F2369" i="4"/>
  <c r="G2369" i="4" s="1"/>
  <c r="F2368" i="4"/>
  <c r="G2368" i="4" s="1"/>
  <c r="F2367" i="4"/>
  <c r="G2367" i="4" s="1"/>
  <c r="F2366" i="4"/>
  <c r="G2366" i="4" s="1"/>
  <c r="F2365" i="4"/>
  <c r="G2365" i="4" s="1"/>
  <c r="F2364" i="4"/>
  <c r="G2364" i="4" s="1"/>
  <c r="F2363" i="4"/>
  <c r="G2363" i="4" s="1"/>
  <c r="F2362" i="4"/>
  <c r="G2362" i="4" s="1"/>
  <c r="F2361" i="4"/>
  <c r="G2361" i="4" s="1"/>
  <c r="F2360" i="4"/>
  <c r="G2360" i="4" s="1"/>
  <c r="F2359" i="4"/>
  <c r="G2359" i="4" s="1"/>
  <c r="F2358" i="4"/>
  <c r="G2358" i="4" s="1"/>
  <c r="F2357" i="4"/>
  <c r="G2357" i="4" s="1"/>
  <c r="F2383" i="4"/>
  <c r="G2383" i="4" s="1"/>
  <c r="F2382" i="4"/>
  <c r="G2382" i="4" s="1"/>
  <c r="F2381" i="4"/>
  <c r="G2381" i="4" s="1"/>
  <c r="F2380" i="4"/>
  <c r="G2380" i="4" s="1"/>
  <c r="F2379" i="4"/>
  <c r="G2379" i="4" s="1"/>
  <c r="F2378" i="4"/>
  <c r="G2378" i="4" s="1"/>
  <c r="F2377" i="4"/>
  <c r="G2377" i="4" s="1"/>
  <c r="F2376" i="4"/>
  <c r="G2376" i="4" s="1"/>
  <c r="F2375" i="4"/>
  <c r="G2375" i="4" s="1"/>
  <c r="F2374" i="4"/>
  <c r="G2374" i="4" s="1"/>
  <c r="F2373" i="4"/>
  <c r="G2373" i="4" s="1"/>
  <c r="F2396" i="4"/>
  <c r="G2396" i="4" s="1"/>
  <c r="F2395" i="4"/>
  <c r="G2395" i="4" s="1"/>
  <c r="F2394" i="4"/>
  <c r="G2394" i="4" s="1"/>
  <c r="F2393" i="4"/>
  <c r="G2393" i="4" s="1"/>
  <c r="F2392" i="4"/>
  <c r="G2392" i="4" s="1"/>
  <c r="F2391" i="4"/>
  <c r="G2391" i="4" s="1"/>
  <c r="F2390" i="4"/>
  <c r="G2390" i="4" s="1"/>
  <c r="F2389" i="4"/>
  <c r="G2389" i="4" s="1"/>
  <c r="F2388" i="4"/>
  <c r="G2388" i="4" s="1"/>
  <c r="F2387" i="4"/>
  <c r="G2387" i="4" s="1"/>
  <c r="F2386" i="4"/>
  <c r="G2386" i="4" s="1"/>
  <c r="F2385" i="4"/>
  <c r="G2385" i="4" s="1"/>
  <c r="F2403" i="4"/>
  <c r="G2403" i="4" s="1"/>
  <c r="F2402" i="4"/>
  <c r="G2402" i="4" s="1"/>
  <c r="F2401" i="4"/>
  <c r="G2401" i="4" s="1"/>
  <c r="F2400" i="4"/>
  <c r="G2400" i="4" s="1"/>
  <c r="F2399" i="4"/>
  <c r="G2399" i="4" s="1"/>
  <c r="F2407" i="4"/>
  <c r="G2407" i="4" s="1"/>
  <c r="F2406" i="4"/>
  <c r="G2406" i="4" s="1"/>
  <c r="F2405" i="4"/>
  <c r="G2405" i="4" s="1"/>
  <c r="F2411" i="4"/>
  <c r="G2411" i="4" s="1"/>
  <c r="F2410" i="4"/>
  <c r="G2410" i="4" s="1"/>
  <c r="F2409" i="4"/>
  <c r="G2409" i="4" s="1"/>
  <c r="F2425" i="4"/>
  <c r="G2425" i="4" s="1"/>
  <c r="F2424" i="4"/>
  <c r="G2424" i="4" s="1"/>
  <c r="F2423" i="4"/>
  <c r="G2423" i="4" s="1"/>
  <c r="F2422" i="4"/>
  <c r="G2422" i="4" s="1"/>
  <c r="F2426" i="4"/>
  <c r="G2426" i="4" s="1"/>
  <c r="F1942" i="4"/>
  <c r="G1942" i="4" s="1"/>
  <c r="F1941" i="4"/>
  <c r="G1941" i="4" s="1"/>
  <c r="F1940" i="4"/>
  <c r="G1940" i="4" s="1"/>
  <c r="F1939" i="4"/>
  <c r="G1939" i="4" s="1"/>
  <c r="F1938" i="4"/>
  <c r="G1938" i="4" s="1"/>
  <c r="F1937" i="4"/>
  <c r="G1937" i="4" s="1"/>
  <c r="F1936" i="4"/>
  <c r="G1936" i="4" s="1"/>
  <c r="F1933" i="4"/>
  <c r="G1933" i="4" s="1"/>
  <c r="F1932" i="4"/>
  <c r="G1932" i="4" s="1"/>
  <c r="F1931" i="4"/>
  <c r="G1931" i="4" s="1"/>
  <c r="F1930" i="4"/>
  <c r="G1930" i="4" s="1"/>
  <c r="F1929" i="4"/>
  <c r="G1929" i="4" s="1"/>
  <c r="F1928" i="4"/>
  <c r="G1928" i="4" s="1"/>
  <c r="F1927" i="4"/>
  <c r="G1927" i="4" s="1"/>
  <c r="F1926" i="4"/>
  <c r="G1926" i="4" s="1"/>
  <c r="F1925" i="4"/>
  <c r="G1925" i="4" s="1"/>
  <c r="F1924" i="4"/>
  <c r="G1924" i="4" s="1"/>
  <c r="F1923" i="4"/>
  <c r="G1923" i="4" s="1"/>
  <c r="F1921" i="4"/>
  <c r="G1921" i="4" s="1"/>
  <c r="F1920" i="4"/>
  <c r="G1920" i="4" s="1"/>
  <c r="F1919" i="4"/>
  <c r="G1919" i="4" s="1"/>
  <c r="F1918" i="4"/>
  <c r="G1918" i="4" s="1"/>
  <c r="F1917" i="4"/>
  <c r="G1917" i="4" s="1"/>
  <c r="F1916" i="4"/>
  <c r="G1916" i="4" s="1"/>
  <c r="F1915" i="4"/>
  <c r="G1915" i="4" s="1"/>
  <c r="F1914" i="4"/>
  <c r="G1914" i="4" s="1"/>
  <c r="F1913" i="4"/>
  <c r="G1913" i="4" s="1"/>
  <c r="F1912" i="4"/>
  <c r="G1912" i="4" s="1"/>
  <c r="F1911" i="4"/>
  <c r="G1911" i="4" s="1"/>
  <c r="F1910" i="4"/>
  <c r="G1910" i="4" s="1"/>
  <c r="F1908" i="4"/>
  <c r="G1908" i="4" s="1"/>
  <c r="F1907" i="4"/>
  <c r="G1907" i="4" s="1"/>
  <c r="F1906" i="4"/>
  <c r="G1906" i="4" s="1"/>
  <c r="F1905" i="4"/>
  <c r="G1905" i="4" s="1"/>
  <c r="F1904" i="4"/>
  <c r="G1904" i="4" s="1"/>
  <c r="F1903" i="4"/>
  <c r="G1903" i="4" s="1"/>
  <c r="F1902" i="4"/>
  <c r="G1902" i="4" s="1"/>
  <c r="F1901" i="4"/>
  <c r="G1901" i="4" s="1"/>
  <c r="F1900" i="4"/>
  <c r="G1900" i="4" s="1"/>
  <c r="F1899" i="4"/>
  <c r="G1899" i="4" s="1"/>
  <c r="F1898" i="4"/>
  <c r="G1898" i="4" s="1"/>
  <c r="F1897" i="4"/>
  <c r="G1897" i="4" s="1"/>
  <c r="F1895" i="4"/>
  <c r="G1895" i="4" s="1"/>
  <c r="F1894" i="4"/>
  <c r="G1894" i="4" s="1"/>
  <c r="F1893" i="4"/>
  <c r="G1893" i="4" s="1"/>
  <c r="F1892" i="4"/>
  <c r="G1892" i="4" s="1"/>
  <c r="F1891" i="4"/>
  <c r="G1891" i="4" s="1"/>
  <c r="F1890" i="4"/>
  <c r="G1890" i="4" s="1"/>
  <c r="F1889" i="4"/>
  <c r="G1889" i="4" s="1"/>
  <c r="F1888" i="4"/>
  <c r="G1888" i="4" s="1"/>
  <c r="F1887" i="4"/>
  <c r="G1887" i="4" s="1"/>
  <c r="F1886" i="4"/>
  <c r="G1886" i="4" s="1"/>
  <c r="F1885" i="4"/>
  <c r="G1885" i="4" s="1"/>
  <c r="F1884" i="4"/>
  <c r="G1884" i="4" s="1"/>
  <c r="F1881" i="4"/>
  <c r="G1881" i="4" s="1"/>
  <c r="F1880" i="4"/>
  <c r="G1880" i="4" s="1"/>
  <c r="F1879" i="4"/>
  <c r="G1879" i="4" s="1"/>
  <c r="F1878" i="4"/>
  <c r="G1878" i="4" s="1"/>
  <c r="F1877" i="4"/>
  <c r="G1877" i="4" s="1"/>
  <c r="F1876" i="4"/>
  <c r="G1876" i="4" s="1"/>
  <c r="F1875" i="4"/>
  <c r="G1875" i="4" s="1"/>
  <c r="F1874" i="4"/>
  <c r="G1874" i="4" s="1"/>
  <c r="F1873" i="4"/>
  <c r="G1873" i="4" s="1"/>
  <c r="F1872" i="4"/>
  <c r="G1872" i="4" s="1"/>
  <c r="F1871" i="4"/>
  <c r="G1871" i="4" s="1"/>
  <c r="F1870" i="4"/>
  <c r="G1870" i="4" s="1"/>
  <c r="F1868" i="4"/>
  <c r="G1868" i="4" s="1"/>
  <c r="F1867" i="4"/>
  <c r="G1867" i="4" s="1"/>
  <c r="F1866" i="4"/>
  <c r="G1866" i="4" s="1"/>
  <c r="F1865" i="4"/>
  <c r="G1865" i="4" s="1"/>
  <c r="F1864" i="4"/>
  <c r="G1864" i="4" s="1"/>
  <c r="F1863" i="4"/>
  <c r="G1863" i="4" s="1"/>
  <c r="F1862" i="4"/>
  <c r="G1862" i="4" s="1"/>
  <c r="F1861" i="4"/>
  <c r="G1861" i="4" s="1"/>
  <c r="F1860" i="4"/>
  <c r="G1860" i="4" s="1"/>
  <c r="F1859" i="4"/>
  <c r="G1859" i="4" s="1"/>
  <c r="F1858" i="4"/>
  <c r="G1858" i="4" s="1"/>
  <c r="F1857" i="4"/>
  <c r="G1857" i="4" s="1"/>
  <c r="F1854" i="4"/>
  <c r="G1854" i="4" s="1"/>
  <c r="F1853" i="4"/>
  <c r="G1853" i="4" s="1"/>
  <c r="F1852" i="4"/>
  <c r="G1852" i="4" s="1"/>
  <c r="F1851" i="4"/>
  <c r="G1851" i="4" s="1"/>
  <c r="F1850" i="4"/>
  <c r="G1850" i="4" s="1"/>
  <c r="F1849" i="4"/>
  <c r="G1849" i="4" s="1"/>
  <c r="F1848" i="4"/>
  <c r="G1848" i="4" s="1"/>
  <c r="F1847" i="4"/>
  <c r="G1847" i="4" s="1"/>
  <c r="F1846" i="4"/>
  <c r="G1846" i="4" s="1"/>
  <c r="F1845" i="4"/>
  <c r="G1845" i="4" s="1"/>
  <c r="F1844" i="4"/>
  <c r="G1844" i="4" s="1"/>
  <c r="F1843" i="4"/>
  <c r="G1843" i="4" s="1"/>
  <c r="F1842" i="4"/>
  <c r="G1842" i="4" s="1"/>
  <c r="F1841" i="4"/>
  <c r="G1841" i="4" s="1"/>
  <c r="F1840" i="4"/>
  <c r="G1840" i="4" s="1"/>
  <c r="F1839" i="4"/>
  <c r="G1839" i="4" s="1"/>
  <c r="F1838" i="4"/>
  <c r="G1838" i="4" s="1"/>
  <c r="F1837" i="4"/>
  <c r="G1837" i="4" s="1"/>
  <c r="F1836" i="4"/>
  <c r="G1836" i="4" s="1"/>
  <c r="F1835" i="4"/>
  <c r="G1835" i="4" s="1"/>
  <c r="F1834" i="4"/>
  <c r="G1834" i="4" s="1"/>
  <c r="F1833" i="4"/>
  <c r="G1833" i="4" s="1"/>
  <c r="F1832" i="4"/>
  <c r="G1832" i="4" s="1"/>
  <c r="F1831" i="4"/>
  <c r="G1831" i="4" s="1"/>
  <c r="F1830" i="4"/>
  <c r="G1830" i="4" s="1"/>
  <c r="F1829" i="4"/>
  <c r="G1829" i="4" s="1"/>
  <c r="F1828" i="4"/>
  <c r="G1828" i="4" s="1"/>
  <c r="F1827" i="4"/>
  <c r="G1827" i="4" s="1"/>
  <c r="F1826" i="4"/>
  <c r="G1826" i="4" s="1"/>
  <c r="F1825" i="4"/>
  <c r="G1825" i="4" s="1"/>
  <c r="F1824" i="4"/>
  <c r="G1824" i="4" s="1"/>
  <c r="F1823" i="4"/>
  <c r="G1823" i="4" s="1"/>
  <c r="F1822" i="4"/>
  <c r="G1822" i="4" s="1"/>
  <c r="F1821" i="4"/>
  <c r="G1821" i="4" s="1"/>
  <c r="F1820" i="4"/>
  <c r="G1820" i="4" s="1"/>
  <c r="F1819" i="4"/>
  <c r="G1819" i="4" s="1"/>
  <c r="F1818" i="4"/>
  <c r="G1818" i="4" s="1"/>
  <c r="F1817" i="4"/>
  <c r="G1817" i="4" s="1"/>
  <c r="F1816" i="4"/>
  <c r="G1816" i="4" s="1"/>
  <c r="F1815" i="4"/>
  <c r="G1815" i="4" s="1"/>
  <c r="F1814" i="4"/>
  <c r="G1814" i="4" s="1"/>
  <c r="F1813" i="4"/>
  <c r="G1813" i="4" s="1"/>
  <c r="F1812" i="4"/>
  <c r="G1812" i="4" s="1"/>
  <c r="F1811" i="4"/>
  <c r="G1811" i="4" s="1"/>
  <c r="F1810" i="4"/>
  <c r="G1810" i="4" s="1"/>
  <c r="F1809" i="4"/>
  <c r="G1809" i="4" s="1"/>
  <c r="F1808" i="4"/>
  <c r="G1808" i="4" s="1"/>
  <c r="F1807" i="4"/>
  <c r="G1807" i="4" s="1"/>
  <c r="F1806" i="4"/>
  <c r="G1806" i="4" s="1"/>
  <c r="F1805" i="4"/>
  <c r="G1805" i="4" s="1"/>
  <c r="F1804" i="4"/>
  <c r="G1804" i="4" s="1"/>
  <c r="F1803" i="4"/>
  <c r="G1803" i="4" s="1"/>
  <c r="F1802" i="4"/>
  <c r="G1802" i="4" s="1"/>
  <c r="F1801" i="4"/>
  <c r="G1801" i="4" s="1"/>
  <c r="F1800" i="4"/>
  <c r="G1800" i="4" s="1"/>
  <c r="F1799" i="4"/>
  <c r="G1799" i="4" s="1"/>
  <c r="F1798" i="4"/>
  <c r="G1798" i="4" s="1"/>
  <c r="F1797" i="4"/>
  <c r="G1797" i="4" s="1"/>
  <c r="F1796" i="4"/>
  <c r="G1796" i="4" s="1"/>
  <c r="F1794" i="4"/>
  <c r="G1794" i="4" s="1"/>
  <c r="F1793" i="4"/>
  <c r="G1793" i="4" s="1"/>
  <c r="F1792" i="4"/>
  <c r="G1792" i="4" s="1"/>
  <c r="F1791" i="4"/>
  <c r="G1791" i="4" s="1"/>
  <c r="F1790" i="4"/>
  <c r="G1790" i="4" s="1"/>
  <c r="F1789" i="4"/>
  <c r="G1789" i="4" s="1"/>
  <c r="F1788" i="4"/>
  <c r="G1788" i="4" s="1"/>
  <c r="F1787" i="4"/>
  <c r="G1787" i="4" s="1"/>
  <c r="F1786" i="4"/>
  <c r="G1786" i="4" s="1"/>
  <c r="F1785" i="4"/>
  <c r="G1785" i="4" s="1"/>
  <c r="F1784" i="4"/>
  <c r="G1784" i="4" s="1"/>
  <c r="F1783" i="4"/>
  <c r="G1783" i="4" s="1"/>
  <c r="F1782" i="4"/>
  <c r="G1782" i="4" s="1"/>
  <c r="F1781" i="4"/>
  <c r="G1781" i="4" s="1"/>
  <c r="F1780" i="4"/>
  <c r="G1780" i="4" s="1"/>
  <c r="F1779" i="4"/>
  <c r="G1779" i="4" s="1"/>
  <c r="F1778" i="4"/>
  <c r="G1778" i="4" s="1"/>
  <c r="F1777" i="4"/>
  <c r="G1777" i="4" s="1"/>
  <c r="F1776" i="4"/>
  <c r="G1776" i="4" s="1"/>
  <c r="F1775" i="4"/>
  <c r="G1775" i="4" s="1"/>
  <c r="F1774" i="4"/>
  <c r="G1774" i="4" s="1"/>
  <c r="F1773" i="4"/>
  <c r="G1773" i="4" s="1"/>
  <c r="F1772" i="4"/>
  <c r="G1772" i="4" s="1"/>
  <c r="F1771" i="4"/>
  <c r="G1771" i="4" s="1"/>
  <c r="F1770" i="4"/>
  <c r="G1770" i="4" s="1"/>
  <c r="F1769" i="4"/>
  <c r="G1769" i="4" s="1"/>
  <c r="F1768" i="4"/>
  <c r="G1768" i="4" s="1"/>
  <c r="F1767" i="4"/>
  <c r="G1767" i="4" s="1"/>
  <c r="F1766" i="4"/>
  <c r="G1766" i="4" s="1"/>
  <c r="F1765" i="4"/>
  <c r="G1765" i="4" s="1"/>
  <c r="F1764" i="4"/>
  <c r="G1764" i="4" s="1"/>
  <c r="F1763" i="4"/>
  <c r="G1763" i="4" s="1"/>
  <c r="F1762" i="4"/>
  <c r="G1762" i="4" s="1"/>
  <c r="F1761" i="4"/>
  <c r="G1761" i="4" s="1"/>
  <c r="F1760" i="4"/>
  <c r="G1760" i="4" s="1"/>
  <c r="F1759" i="4"/>
  <c r="G1759" i="4" s="1"/>
  <c r="F1758" i="4"/>
  <c r="G1758" i="4" s="1"/>
  <c r="F1757" i="4"/>
  <c r="G1757" i="4" s="1"/>
  <c r="F1756" i="4"/>
  <c r="G1756" i="4" s="1"/>
  <c r="F1755" i="4"/>
  <c r="G1755" i="4" s="1"/>
  <c r="F1754" i="4"/>
  <c r="G1754" i="4" s="1"/>
  <c r="F1753" i="4"/>
  <c r="G1753" i="4" s="1"/>
  <c r="F1752" i="4"/>
  <c r="G1752" i="4" s="1"/>
  <c r="F1751" i="4"/>
  <c r="G1751" i="4" s="1"/>
  <c r="F1750" i="4"/>
  <c r="G1750" i="4" s="1"/>
  <c r="F1749" i="4"/>
  <c r="G1749" i="4" s="1"/>
  <c r="F1748" i="4"/>
  <c r="G1748" i="4" s="1"/>
  <c r="F1747" i="4"/>
  <c r="G1747" i="4" s="1"/>
  <c r="F1746" i="4"/>
  <c r="G1746" i="4" s="1"/>
  <c r="F1745" i="4"/>
  <c r="G1745" i="4" s="1"/>
  <c r="F1744" i="4"/>
  <c r="G1744" i="4" s="1"/>
  <c r="F1743" i="4"/>
  <c r="G1743" i="4" s="1"/>
  <c r="F1742" i="4"/>
  <c r="G1742" i="4" s="1"/>
  <c r="F1741" i="4"/>
  <c r="G1741" i="4" s="1"/>
  <c r="F1740" i="4"/>
  <c r="G1740" i="4" s="1"/>
  <c r="F1739" i="4"/>
  <c r="G1739" i="4" s="1"/>
  <c r="F1738" i="4"/>
  <c r="G1738" i="4" s="1"/>
  <c r="F1737" i="4"/>
  <c r="G1737" i="4" s="1"/>
  <c r="F1736" i="4"/>
  <c r="G1736" i="4" s="1"/>
  <c r="F1734" i="4"/>
  <c r="G1734" i="4" s="1"/>
  <c r="F1733" i="4"/>
  <c r="G1733" i="4" s="1"/>
  <c r="F1732" i="4"/>
  <c r="G1732" i="4" s="1"/>
  <c r="F1731" i="4"/>
  <c r="G1731" i="4" s="1"/>
  <c r="F1730" i="4"/>
  <c r="G1730" i="4" s="1"/>
  <c r="F1729" i="4"/>
  <c r="G1729" i="4" s="1"/>
  <c r="F1728" i="4"/>
  <c r="G1728" i="4" s="1"/>
  <c r="F1727" i="4"/>
  <c r="G1727" i="4" s="1"/>
  <c r="F1726" i="4"/>
  <c r="G1726" i="4" s="1"/>
  <c r="F1725" i="4"/>
  <c r="G1725" i="4" s="1"/>
  <c r="F1724" i="4"/>
  <c r="G1724" i="4" s="1"/>
  <c r="F1723" i="4"/>
  <c r="G1723" i="4" s="1"/>
  <c r="F1722" i="4"/>
  <c r="G1722" i="4" s="1"/>
  <c r="F1721" i="4"/>
  <c r="G1721" i="4" s="1"/>
  <c r="F1720" i="4"/>
  <c r="G1720" i="4" s="1"/>
  <c r="F1719" i="4"/>
  <c r="G1719" i="4" s="1"/>
  <c r="F1718" i="4"/>
  <c r="G1718" i="4" s="1"/>
  <c r="F1717" i="4"/>
  <c r="G1717" i="4" s="1"/>
  <c r="F1716" i="4"/>
  <c r="G1716" i="4" s="1"/>
  <c r="F1715" i="4"/>
  <c r="G1715" i="4" s="1"/>
  <c r="F1714" i="4"/>
  <c r="G1714" i="4" s="1"/>
  <c r="F1713" i="4"/>
  <c r="G1713" i="4" s="1"/>
  <c r="F1712" i="4"/>
  <c r="G1712" i="4" s="1"/>
  <c r="F1711" i="4"/>
  <c r="G1711" i="4" s="1"/>
  <c r="F1710" i="4"/>
  <c r="G1710" i="4" s="1"/>
  <c r="F1709" i="4"/>
  <c r="G1709" i="4" s="1"/>
  <c r="F1708" i="4"/>
  <c r="G1708" i="4" s="1"/>
  <c r="F1707" i="4"/>
  <c r="G1707" i="4" s="1"/>
  <c r="F1706" i="4"/>
  <c r="G1706" i="4" s="1"/>
  <c r="F1705" i="4"/>
  <c r="G1705" i="4" s="1"/>
  <c r="F1704" i="4"/>
  <c r="G1704" i="4" s="1"/>
  <c r="F1703" i="4"/>
  <c r="G1703" i="4" s="1"/>
  <c r="F1702" i="4"/>
  <c r="G1702" i="4" s="1"/>
  <c r="F1701" i="4"/>
  <c r="G1701" i="4" s="1"/>
  <c r="F1700" i="4"/>
  <c r="G1700" i="4" s="1"/>
  <c r="F1699" i="4"/>
  <c r="G1699" i="4" s="1"/>
  <c r="F1698" i="4"/>
  <c r="G1698" i="4" s="1"/>
  <c r="F1697" i="4"/>
  <c r="G1697" i="4" s="1"/>
  <c r="F1696" i="4"/>
  <c r="G1696" i="4" s="1"/>
  <c r="F1695" i="4"/>
  <c r="G1695" i="4" s="1"/>
  <c r="F1694" i="4"/>
  <c r="G1694" i="4" s="1"/>
  <c r="F1693" i="4"/>
  <c r="G1693" i="4" s="1"/>
  <c r="F1692" i="4"/>
  <c r="G1692" i="4" s="1"/>
  <c r="F1691" i="4"/>
  <c r="G1691" i="4" s="1"/>
  <c r="F1690" i="4"/>
  <c r="G1690" i="4" s="1"/>
  <c r="F1689" i="4"/>
  <c r="G1689" i="4" s="1"/>
  <c r="F1688" i="4"/>
  <c r="G1688" i="4" s="1"/>
  <c r="F1687" i="4"/>
  <c r="G1687" i="4" s="1"/>
  <c r="F1686" i="4"/>
  <c r="G1686" i="4" s="1"/>
  <c r="F1685" i="4"/>
  <c r="G1685" i="4" s="1"/>
  <c r="F1684" i="4"/>
  <c r="G1684" i="4" s="1"/>
  <c r="F1683" i="4"/>
  <c r="G1683" i="4" s="1"/>
  <c r="F1682" i="4"/>
  <c r="G1682" i="4" s="1"/>
  <c r="F1681" i="4"/>
  <c r="G1681" i="4" s="1"/>
  <c r="F1680" i="4"/>
  <c r="G1680" i="4" s="1"/>
  <c r="F1679" i="4"/>
  <c r="G1679" i="4" s="1"/>
  <c r="F1678" i="4"/>
  <c r="G1678" i="4" s="1"/>
  <c r="F1677" i="4"/>
  <c r="G1677" i="4" s="1"/>
  <c r="F1676" i="4"/>
  <c r="G1676" i="4" s="1"/>
  <c r="F1673" i="4"/>
  <c r="G1673" i="4" s="1"/>
  <c r="F1672" i="4"/>
  <c r="G1672" i="4" s="1"/>
  <c r="F1671" i="4"/>
  <c r="G1671" i="4" s="1"/>
  <c r="F1670" i="4"/>
  <c r="G1670" i="4" s="1"/>
  <c r="F1669" i="4"/>
  <c r="G1669" i="4" s="1"/>
  <c r="F1668" i="4"/>
  <c r="G1668" i="4" s="1"/>
  <c r="F1667" i="4"/>
  <c r="G1667" i="4" s="1"/>
  <c r="F1666" i="4"/>
  <c r="G1666" i="4" s="1"/>
  <c r="F1665" i="4"/>
  <c r="G1665" i="4" s="1"/>
  <c r="F1664" i="4"/>
  <c r="G1664" i="4" s="1"/>
  <c r="F1663" i="4"/>
  <c r="G1663" i="4" s="1"/>
  <c r="F1662" i="4"/>
  <c r="G1662" i="4" s="1"/>
  <c r="F1661" i="4"/>
  <c r="G1661" i="4" s="1"/>
  <c r="F1660" i="4"/>
  <c r="G1660" i="4" s="1"/>
  <c r="F1659" i="4"/>
  <c r="G1659" i="4" s="1"/>
  <c r="F1658" i="4"/>
  <c r="G1658" i="4" s="1"/>
  <c r="F1657" i="4"/>
  <c r="G1657" i="4" s="1"/>
  <c r="F1656" i="4"/>
  <c r="G1656" i="4" s="1"/>
  <c r="F1655" i="4"/>
  <c r="G1655" i="4" s="1"/>
  <c r="F1654" i="4"/>
  <c r="G1654" i="4" s="1"/>
  <c r="F1653" i="4"/>
  <c r="G1653" i="4" s="1"/>
  <c r="F1652" i="4"/>
  <c r="G1652" i="4" s="1"/>
  <c r="F1651" i="4"/>
  <c r="G1651" i="4" s="1"/>
  <c r="F1650" i="4"/>
  <c r="G1650" i="4" s="1"/>
  <c r="F1649" i="4"/>
  <c r="G1649" i="4" s="1"/>
  <c r="F1648" i="4"/>
  <c r="G1648" i="4" s="1"/>
  <c r="F1647" i="4"/>
  <c r="G1647" i="4" s="1"/>
  <c r="F1646" i="4"/>
  <c r="G1646" i="4" s="1"/>
  <c r="F1645" i="4"/>
  <c r="G1645" i="4" s="1"/>
  <c r="F1644" i="4"/>
  <c r="G1644" i="4" s="1"/>
  <c r="F1643" i="4"/>
  <c r="G1643" i="4" s="1"/>
  <c r="F1642" i="4"/>
  <c r="G1642" i="4" s="1"/>
  <c r="F1641" i="4"/>
  <c r="G1641" i="4" s="1"/>
  <c r="F1640" i="4"/>
  <c r="G1640" i="4" s="1"/>
  <c r="F1639" i="4"/>
  <c r="G1639" i="4" s="1"/>
  <c r="F1638" i="4"/>
  <c r="G1638" i="4" s="1"/>
  <c r="F1637" i="4"/>
  <c r="G1637" i="4" s="1"/>
  <c r="F1636" i="4"/>
  <c r="G1636" i="4" s="1"/>
  <c r="F1635" i="4"/>
  <c r="G1635" i="4" s="1"/>
  <c r="F1634" i="4"/>
  <c r="G1634" i="4" s="1"/>
  <c r="F1633" i="4"/>
  <c r="G1633" i="4" s="1"/>
  <c r="F1632" i="4"/>
  <c r="G1632" i="4" s="1"/>
  <c r="F1631" i="4"/>
  <c r="G1631" i="4" s="1"/>
  <c r="F1630" i="4"/>
  <c r="G1630" i="4" s="1"/>
  <c r="F1629" i="4"/>
  <c r="G1629" i="4" s="1"/>
  <c r="F1628" i="4"/>
  <c r="G1628" i="4" s="1"/>
  <c r="F1627" i="4"/>
  <c r="G1627" i="4" s="1"/>
  <c r="F1626" i="4"/>
  <c r="G1626" i="4" s="1"/>
  <c r="F1625" i="4"/>
  <c r="G1625" i="4" s="1"/>
  <c r="F1624" i="4"/>
  <c r="G1624" i="4" s="1"/>
  <c r="F1623" i="4"/>
  <c r="G1623" i="4" s="1"/>
  <c r="F1622" i="4"/>
  <c r="G1622" i="4" s="1"/>
  <c r="F1621" i="4"/>
  <c r="G1621" i="4" s="1"/>
  <c r="F1620" i="4"/>
  <c r="G1620" i="4" s="1"/>
  <c r="F1619" i="4"/>
  <c r="G1619" i="4" s="1"/>
  <c r="F1618" i="4"/>
  <c r="G1618" i="4" s="1"/>
  <c r="F1617" i="4"/>
  <c r="G1617" i="4" s="1"/>
  <c r="F1616" i="4"/>
  <c r="G1616" i="4" s="1"/>
  <c r="F1615" i="4"/>
  <c r="G1615" i="4" s="1"/>
  <c r="F1614" i="4"/>
  <c r="G1614" i="4" s="1"/>
  <c r="F1612" i="4"/>
  <c r="G1612" i="4" s="1"/>
  <c r="F1611" i="4"/>
  <c r="G1611" i="4" s="1"/>
  <c r="F1610" i="4"/>
  <c r="G1610" i="4" s="1"/>
  <c r="F1609" i="4"/>
  <c r="G1609" i="4" s="1"/>
  <c r="F1608" i="4"/>
  <c r="G1608" i="4" s="1"/>
  <c r="F1607" i="4"/>
  <c r="G1607" i="4" s="1"/>
  <c r="F1606" i="4"/>
  <c r="G1606" i="4" s="1"/>
  <c r="F1605" i="4"/>
  <c r="G1605" i="4" s="1"/>
  <c r="F1604" i="4"/>
  <c r="G1604" i="4" s="1"/>
  <c r="F1603" i="4"/>
  <c r="G1603" i="4" s="1"/>
  <c r="F1602" i="4"/>
  <c r="G1602" i="4" s="1"/>
  <c r="F1601" i="4"/>
  <c r="G1601" i="4" s="1"/>
  <c r="F1600" i="4"/>
  <c r="G1600" i="4" s="1"/>
  <c r="F1599" i="4"/>
  <c r="G1599" i="4" s="1"/>
  <c r="F1598" i="4"/>
  <c r="G1598" i="4" s="1"/>
  <c r="F1597" i="4"/>
  <c r="G1597" i="4" s="1"/>
  <c r="F1596" i="4"/>
  <c r="G1596" i="4" s="1"/>
  <c r="F1595" i="4"/>
  <c r="G1595" i="4" s="1"/>
  <c r="F1594" i="4"/>
  <c r="G1594" i="4" s="1"/>
  <c r="F1593" i="4"/>
  <c r="G1593" i="4" s="1"/>
  <c r="F1592" i="4"/>
  <c r="G1592" i="4" s="1"/>
  <c r="F1591" i="4"/>
  <c r="G1591" i="4" s="1"/>
  <c r="F1590" i="4"/>
  <c r="G1590" i="4" s="1"/>
  <c r="F1589" i="4"/>
  <c r="G1589" i="4" s="1"/>
  <c r="F1588" i="4"/>
  <c r="G1588" i="4" s="1"/>
  <c r="F1587" i="4"/>
  <c r="G1587" i="4" s="1"/>
  <c r="F1586" i="4"/>
  <c r="G1586" i="4" s="1"/>
  <c r="F1585" i="4"/>
  <c r="G1585" i="4" s="1"/>
  <c r="F1584" i="4"/>
  <c r="G1584" i="4" s="1"/>
  <c r="F1583" i="4"/>
  <c r="G1583" i="4" s="1"/>
  <c r="F1582" i="4"/>
  <c r="G1582" i="4" s="1"/>
  <c r="F1581" i="4"/>
  <c r="G1581" i="4" s="1"/>
  <c r="F1580" i="4"/>
  <c r="G1580" i="4" s="1"/>
  <c r="F1579" i="4"/>
  <c r="G1579" i="4" s="1"/>
  <c r="F1578" i="4"/>
  <c r="G1578" i="4" s="1"/>
  <c r="F1577" i="4"/>
  <c r="G1577" i="4" s="1"/>
  <c r="F1576" i="4"/>
  <c r="G1576" i="4" s="1"/>
  <c r="F1575" i="4"/>
  <c r="G1575" i="4" s="1"/>
  <c r="F1574" i="4"/>
  <c r="G1574" i="4" s="1"/>
  <c r="F1573" i="4"/>
  <c r="G1573" i="4" s="1"/>
  <c r="F1572" i="4"/>
  <c r="G1572" i="4" s="1"/>
  <c r="F1571" i="4"/>
  <c r="G1571" i="4" s="1"/>
  <c r="F1570" i="4"/>
  <c r="G1570" i="4" s="1"/>
  <c r="F1569" i="4"/>
  <c r="G1569" i="4" s="1"/>
  <c r="F1568" i="4"/>
  <c r="G1568" i="4" s="1"/>
  <c r="F1567" i="4"/>
  <c r="G1567" i="4" s="1"/>
  <c r="F1566" i="4"/>
  <c r="G1566" i="4" s="1"/>
  <c r="F1565" i="4"/>
  <c r="G1565" i="4" s="1"/>
  <c r="F1564" i="4"/>
  <c r="G1564" i="4" s="1"/>
  <c r="F1563" i="4"/>
  <c r="G1563" i="4" s="1"/>
  <c r="F1562" i="4"/>
  <c r="G1562" i="4" s="1"/>
  <c r="F1561" i="4"/>
  <c r="G1561" i="4" s="1"/>
  <c r="F1560" i="4"/>
  <c r="G1560" i="4" s="1"/>
  <c r="F1559" i="4"/>
  <c r="G1559" i="4" s="1"/>
  <c r="F1558" i="4"/>
  <c r="G1558" i="4" s="1"/>
  <c r="F1557" i="4"/>
  <c r="G1557" i="4" s="1"/>
  <c r="F1556" i="4"/>
  <c r="G1556" i="4" s="1"/>
  <c r="F1555" i="4"/>
  <c r="G1555" i="4" s="1"/>
  <c r="F1554" i="4"/>
  <c r="G1554" i="4" s="1"/>
  <c r="F1553" i="4"/>
  <c r="G1553" i="4" s="1"/>
  <c r="F1551" i="4"/>
  <c r="G1551" i="4" s="1"/>
  <c r="F1550" i="4"/>
  <c r="G1550" i="4" s="1"/>
  <c r="F1549" i="4"/>
  <c r="G1549" i="4" s="1"/>
  <c r="F1548" i="4"/>
  <c r="G1548" i="4" s="1"/>
  <c r="F1547" i="4"/>
  <c r="G1547" i="4" s="1"/>
  <c r="F1546" i="4"/>
  <c r="G1546" i="4" s="1"/>
  <c r="F1545" i="4"/>
  <c r="G1545" i="4" s="1"/>
  <c r="F1544" i="4"/>
  <c r="G1544" i="4" s="1"/>
  <c r="F1543" i="4"/>
  <c r="G1543" i="4" s="1"/>
  <c r="F1542" i="4"/>
  <c r="G1542" i="4" s="1"/>
  <c r="F1541" i="4"/>
  <c r="G1541" i="4" s="1"/>
  <c r="F1540" i="4"/>
  <c r="G1540" i="4" s="1"/>
  <c r="F1539" i="4"/>
  <c r="G1539" i="4" s="1"/>
  <c r="F1538" i="4"/>
  <c r="G1538" i="4" s="1"/>
  <c r="F1537" i="4"/>
  <c r="G1537" i="4" s="1"/>
  <c r="F1536" i="4"/>
  <c r="G1536" i="4" s="1"/>
  <c r="F1535" i="4"/>
  <c r="G1535" i="4" s="1"/>
  <c r="F1534" i="4"/>
  <c r="G1534" i="4" s="1"/>
  <c r="F1533" i="4"/>
  <c r="G1533" i="4" s="1"/>
  <c r="F1532" i="4"/>
  <c r="G1532" i="4" s="1"/>
  <c r="F1531" i="4"/>
  <c r="G1531" i="4" s="1"/>
  <c r="F1530" i="4"/>
  <c r="G1530" i="4" s="1"/>
  <c r="F1529" i="4"/>
  <c r="G1529" i="4" s="1"/>
  <c r="F1528" i="4"/>
  <c r="G1528" i="4" s="1"/>
  <c r="F1527" i="4"/>
  <c r="G1527" i="4" s="1"/>
  <c r="F1526" i="4"/>
  <c r="G1526" i="4" s="1"/>
  <c r="F1525" i="4"/>
  <c r="G1525" i="4" s="1"/>
  <c r="F1524" i="4"/>
  <c r="G1524" i="4" s="1"/>
  <c r="F1523" i="4"/>
  <c r="G1523" i="4" s="1"/>
  <c r="F1522" i="4"/>
  <c r="G1522" i="4" s="1"/>
  <c r="F1521" i="4"/>
  <c r="G1521" i="4" s="1"/>
  <c r="F1520" i="4"/>
  <c r="G1520" i="4" s="1"/>
  <c r="F1519" i="4"/>
  <c r="G1519" i="4" s="1"/>
  <c r="F1518" i="4"/>
  <c r="G1518" i="4" s="1"/>
  <c r="F1517" i="4"/>
  <c r="G1517" i="4" s="1"/>
  <c r="F1516" i="4"/>
  <c r="G1516" i="4" s="1"/>
  <c r="F1515" i="4"/>
  <c r="G1515" i="4" s="1"/>
  <c r="F1514" i="4"/>
  <c r="G1514" i="4" s="1"/>
  <c r="F1513" i="4"/>
  <c r="G1513" i="4" s="1"/>
  <c r="F1512" i="4"/>
  <c r="G1512" i="4" s="1"/>
  <c r="F1511" i="4"/>
  <c r="G1511" i="4" s="1"/>
  <c r="F1510" i="4"/>
  <c r="G1510" i="4" s="1"/>
  <c r="F1509" i="4"/>
  <c r="G1509" i="4" s="1"/>
  <c r="F1508" i="4"/>
  <c r="G1508" i="4" s="1"/>
  <c r="F1507" i="4"/>
  <c r="G1507" i="4" s="1"/>
  <c r="F1506" i="4"/>
  <c r="G1506" i="4" s="1"/>
  <c r="F1505" i="4"/>
  <c r="G1505" i="4" s="1"/>
  <c r="F1504" i="4"/>
  <c r="G1504" i="4" s="1"/>
  <c r="F1503" i="4"/>
  <c r="G1503" i="4" s="1"/>
  <c r="F1502" i="4"/>
  <c r="G1502" i="4" s="1"/>
  <c r="F1501" i="4"/>
  <c r="G1501" i="4" s="1"/>
  <c r="F1500" i="4"/>
  <c r="G1500" i="4" s="1"/>
  <c r="F1499" i="4"/>
  <c r="G1499" i="4" s="1"/>
  <c r="F1498" i="4"/>
  <c r="G1498" i="4" s="1"/>
  <c r="F1497" i="4"/>
  <c r="G1497" i="4" s="1"/>
  <c r="F1496" i="4"/>
  <c r="G1496" i="4" s="1"/>
  <c r="F1495" i="4"/>
  <c r="G1495" i="4" s="1"/>
  <c r="F1494" i="4"/>
  <c r="G1494" i="4" s="1"/>
  <c r="F1493" i="4"/>
  <c r="G1493" i="4" s="1"/>
  <c r="F1492" i="4"/>
  <c r="G1492" i="4" s="1"/>
  <c r="F1489" i="4"/>
  <c r="G1489" i="4" s="1"/>
  <c r="F1488" i="4"/>
  <c r="G1488" i="4" s="1"/>
  <c r="F1487" i="4"/>
  <c r="G1487" i="4" s="1"/>
  <c r="F1486" i="4"/>
  <c r="G1486" i="4" s="1"/>
  <c r="F1485" i="4"/>
  <c r="G1485" i="4" s="1"/>
  <c r="F1484" i="4"/>
  <c r="G1484" i="4" s="1"/>
  <c r="F1483" i="4"/>
  <c r="G1483" i="4" s="1"/>
  <c r="F1482" i="4"/>
  <c r="G1482" i="4" s="1"/>
  <c r="F1481" i="4"/>
  <c r="G1481" i="4" s="1"/>
  <c r="F1480" i="4"/>
  <c r="G1480" i="4" s="1"/>
  <c r="F1479" i="4"/>
  <c r="G1479" i="4" s="1"/>
  <c r="F1478" i="4"/>
  <c r="G1478" i="4" s="1"/>
  <c r="F1476" i="4"/>
  <c r="G1476" i="4" s="1"/>
  <c r="F1475" i="4"/>
  <c r="G1475" i="4" s="1"/>
  <c r="F1474" i="4"/>
  <c r="G1474" i="4" s="1"/>
  <c r="F1473" i="4"/>
  <c r="G1473" i="4" s="1"/>
  <c r="F1472" i="4"/>
  <c r="G1472" i="4" s="1"/>
  <c r="F1471" i="4"/>
  <c r="G1471" i="4" s="1"/>
  <c r="F1470" i="4"/>
  <c r="G1470" i="4" s="1"/>
  <c r="F1469" i="4"/>
  <c r="G1469" i="4" s="1"/>
  <c r="F1468" i="4"/>
  <c r="G1468" i="4" s="1"/>
  <c r="F1467" i="4"/>
  <c r="G1467" i="4" s="1"/>
  <c r="F1466" i="4"/>
  <c r="G1466" i="4" s="1"/>
  <c r="F1465" i="4"/>
  <c r="G1465" i="4" s="1"/>
  <c r="F1463" i="4"/>
  <c r="G1463" i="4" s="1"/>
  <c r="F1462" i="4"/>
  <c r="G1462" i="4" s="1"/>
  <c r="F1461" i="4"/>
  <c r="G1461" i="4" s="1"/>
  <c r="F1460" i="4"/>
  <c r="G1460" i="4" s="1"/>
  <c r="F1459" i="4"/>
  <c r="G1459" i="4" s="1"/>
  <c r="F1458" i="4"/>
  <c r="G1458" i="4" s="1"/>
  <c r="F1457" i="4"/>
  <c r="G1457" i="4" s="1"/>
  <c r="F1456" i="4"/>
  <c r="G1456" i="4" s="1"/>
  <c r="F1455" i="4"/>
  <c r="G1455" i="4" s="1"/>
  <c r="F1454" i="4"/>
  <c r="G1454" i="4" s="1"/>
  <c r="F1453" i="4"/>
  <c r="G1453" i="4" s="1"/>
  <c r="F1452" i="4"/>
  <c r="G1452" i="4" s="1"/>
  <c r="F1450" i="4"/>
  <c r="G1450" i="4" s="1"/>
  <c r="F1449" i="4"/>
  <c r="G1449" i="4" s="1"/>
  <c r="F1448" i="4"/>
  <c r="G1448" i="4" s="1"/>
  <c r="F1447" i="4"/>
  <c r="G1447" i="4" s="1"/>
  <c r="F1445" i="4"/>
  <c r="G1445" i="4" s="1"/>
  <c r="F1444" i="4"/>
  <c r="G1444" i="4" s="1"/>
  <c r="F1443" i="4"/>
  <c r="G1443" i="4" s="1"/>
  <c r="F1442" i="4"/>
  <c r="G1442" i="4" s="1"/>
  <c r="F1441" i="4"/>
  <c r="G1441" i="4" s="1"/>
  <c r="F1440" i="4"/>
  <c r="G1440" i="4" s="1"/>
  <c r="F1439" i="4"/>
  <c r="G1439" i="4" s="1"/>
  <c r="F1437" i="4"/>
  <c r="G1437" i="4" s="1"/>
  <c r="F1436" i="4"/>
  <c r="G1436" i="4" s="1"/>
  <c r="F1435" i="4"/>
  <c r="G1435" i="4" s="1"/>
  <c r="F1434" i="4"/>
  <c r="G1434" i="4" s="1"/>
  <c r="F1433" i="4"/>
  <c r="G1433" i="4" s="1"/>
  <c r="F1432" i="4"/>
  <c r="G1432" i="4" s="1"/>
  <c r="F1431" i="4"/>
  <c r="G1431" i="4" s="1"/>
  <c r="F1430" i="4"/>
  <c r="G1430" i="4" s="1"/>
  <c r="F1429" i="4"/>
  <c r="G1429" i="4" s="1"/>
  <c r="F1428" i="4"/>
  <c r="G1428" i="4" s="1"/>
  <c r="F1427" i="4"/>
  <c r="G1427" i="4" s="1"/>
  <c r="F1426" i="4"/>
  <c r="G1426" i="4" s="1"/>
  <c r="F1424" i="4"/>
  <c r="G1424" i="4" s="1"/>
  <c r="F1423" i="4"/>
  <c r="G1423" i="4" s="1"/>
  <c r="F1422" i="4"/>
  <c r="G1422" i="4" s="1"/>
  <c r="F1421" i="4"/>
  <c r="G1421" i="4" s="1"/>
  <c r="F1420" i="4"/>
  <c r="G1420" i="4" s="1"/>
  <c r="F1419" i="4"/>
  <c r="G1419" i="4" s="1"/>
  <c r="F1418" i="4"/>
  <c r="G1418" i="4" s="1"/>
  <c r="F1417" i="4"/>
  <c r="G1417" i="4" s="1"/>
  <c r="F1416" i="4"/>
  <c r="G1416" i="4" s="1"/>
  <c r="F1415" i="4"/>
  <c r="G1415" i="4" s="1"/>
  <c r="F1414" i="4"/>
  <c r="G1414" i="4" s="1"/>
  <c r="F1413" i="4"/>
  <c r="G1413" i="4" s="1"/>
  <c r="F1411" i="4"/>
  <c r="G1411" i="4" s="1"/>
  <c r="F1410" i="4"/>
  <c r="G1410" i="4" s="1"/>
  <c r="F1409" i="4"/>
  <c r="G1409" i="4" s="1"/>
  <c r="F1408" i="4"/>
  <c r="G1408" i="4" s="1"/>
  <c r="F1407" i="4"/>
  <c r="G1407" i="4" s="1"/>
  <c r="F1406" i="4"/>
  <c r="G1406" i="4" s="1"/>
  <c r="F1405" i="4"/>
  <c r="G1405" i="4" s="1"/>
  <c r="F1404" i="4"/>
  <c r="G1404" i="4" s="1"/>
  <c r="F1403" i="4"/>
  <c r="G1403" i="4" s="1"/>
  <c r="F1402" i="4"/>
  <c r="G1402" i="4" s="1"/>
  <c r="F1401" i="4"/>
  <c r="G1401" i="4" s="1"/>
  <c r="F1400" i="4"/>
  <c r="G1400" i="4" s="1"/>
  <c r="F1398" i="4"/>
  <c r="G1398" i="4" s="1"/>
  <c r="F1397" i="4"/>
  <c r="G1397" i="4" s="1"/>
  <c r="F1396" i="4"/>
  <c r="G1396" i="4" s="1"/>
  <c r="F1395" i="4"/>
  <c r="G1395" i="4" s="1"/>
  <c r="F1394" i="4"/>
  <c r="G1394" i="4" s="1"/>
  <c r="F1393" i="4"/>
  <c r="G1393" i="4" s="1"/>
  <c r="F1392" i="4"/>
  <c r="G1392" i="4" s="1"/>
  <c r="F1391" i="4"/>
  <c r="G1391" i="4" s="1"/>
  <c r="F1390" i="4"/>
  <c r="G1390" i="4" s="1"/>
  <c r="F1389" i="4"/>
  <c r="G1389" i="4" s="1"/>
  <c r="F1388" i="4"/>
  <c r="G1388" i="4" s="1"/>
  <c r="F1387" i="4"/>
  <c r="G1387" i="4" s="1"/>
  <c r="F1339" i="4"/>
  <c r="G1339" i="4" s="1"/>
  <c r="F1338" i="4"/>
  <c r="G1338" i="4" s="1"/>
  <c r="F1337" i="4"/>
  <c r="G1337" i="4" s="1"/>
  <c r="F1336" i="4"/>
  <c r="G1336" i="4" s="1"/>
  <c r="F1335" i="4"/>
  <c r="G1335" i="4" s="1"/>
  <c r="F1332" i="4"/>
  <c r="G1332" i="4" s="1"/>
  <c r="F1331" i="4"/>
  <c r="G1331" i="4" s="1"/>
  <c r="F1330" i="4"/>
  <c r="G1330" i="4" s="1"/>
  <c r="F1329" i="4"/>
  <c r="G1329" i="4" s="1"/>
  <c r="F1328" i="4"/>
  <c r="G1328" i="4" s="1"/>
  <c r="F1327" i="4"/>
  <c r="G1327" i="4" s="1"/>
  <c r="F1326" i="4"/>
  <c r="G1326" i="4" s="1"/>
  <c r="F1325" i="4"/>
  <c r="G1325" i="4" s="1"/>
  <c r="F1324" i="4"/>
  <c r="G1324" i="4" s="1"/>
  <c r="F1323" i="4"/>
  <c r="G1323" i="4" s="1"/>
  <c r="F1322" i="4"/>
  <c r="G1322" i="4" s="1"/>
  <c r="F1321" i="4"/>
  <c r="G1321" i="4" s="1"/>
  <c r="F1320" i="4"/>
  <c r="G1320" i="4" s="1"/>
  <c r="F1319" i="4"/>
  <c r="G1319" i="4" s="1"/>
  <c r="F1318" i="4"/>
  <c r="G1318" i="4" s="1"/>
  <c r="F1317" i="4"/>
  <c r="G1317" i="4" s="1"/>
  <c r="F1316" i="4"/>
  <c r="G1316" i="4" s="1"/>
  <c r="F1315" i="4"/>
  <c r="G1315" i="4" s="1"/>
  <c r="F1313" i="4"/>
  <c r="G1313" i="4" s="1"/>
  <c r="F1312" i="4"/>
  <c r="G1312" i="4" s="1"/>
  <c r="F1311" i="4"/>
  <c r="G1311" i="4" s="1"/>
  <c r="F1310" i="4"/>
  <c r="G1310" i="4" s="1"/>
  <c r="F1309" i="4"/>
  <c r="G1309" i="4" s="1"/>
  <c r="F1308" i="4"/>
  <c r="G1308" i="4" s="1"/>
  <c r="F1307" i="4"/>
  <c r="G1307" i="4" s="1"/>
  <c r="F1306" i="4"/>
  <c r="G1306" i="4" s="1"/>
  <c r="F1305" i="4"/>
  <c r="G1305" i="4" s="1"/>
  <c r="F1304" i="4"/>
  <c r="G1304" i="4" s="1"/>
  <c r="F1303" i="4"/>
  <c r="G1303" i="4" s="1"/>
  <c r="F1302" i="4"/>
  <c r="G1302" i="4" s="1"/>
  <c r="F1301" i="4"/>
  <c r="G1301" i="4" s="1"/>
  <c r="F1300" i="4"/>
  <c r="G1300" i="4" s="1"/>
  <c r="F1299" i="4"/>
  <c r="G1299" i="4" s="1"/>
  <c r="F1298" i="4"/>
  <c r="G1298" i="4" s="1"/>
  <c r="F1297" i="4"/>
  <c r="G1297" i="4" s="1"/>
  <c r="F1296" i="4"/>
  <c r="G1296" i="4" s="1"/>
  <c r="F1295" i="4"/>
  <c r="G1295" i="4" s="1"/>
  <c r="F1294" i="4"/>
  <c r="G1294" i="4" s="1"/>
  <c r="F1293" i="4"/>
  <c r="G1293" i="4" s="1"/>
  <c r="F1292" i="4"/>
  <c r="G1292" i="4" s="1"/>
  <c r="F1291" i="4"/>
  <c r="G1291" i="4" s="1"/>
  <c r="F1290" i="4"/>
  <c r="G1290" i="4" s="1"/>
  <c r="F1289" i="4"/>
  <c r="G1289" i="4" s="1"/>
  <c r="F1288" i="4"/>
  <c r="G1288" i="4" s="1"/>
  <c r="F1287" i="4"/>
  <c r="G1287" i="4" s="1"/>
  <c r="F1286" i="4"/>
  <c r="G1286" i="4" s="1"/>
  <c r="F1285" i="4"/>
  <c r="G1285" i="4" s="1"/>
  <c r="F1284" i="4"/>
  <c r="G1284" i="4" s="1"/>
  <c r="F1283" i="4"/>
  <c r="G1283" i="4" s="1"/>
  <c r="F1282" i="4"/>
  <c r="G1282" i="4" s="1"/>
  <c r="F1281" i="4"/>
  <c r="G1281" i="4" s="1"/>
  <c r="F1280" i="4"/>
  <c r="G1280" i="4" s="1"/>
  <c r="F1279" i="4"/>
  <c r="G1279" i="4" s="1"/>
  <c r="F1278" i="4"/>
  <c r="G1278" i="4" s="1"/>
  <c r="F1277" i="4"/>
  <c r="G1277" i="4" s="1"/>
  <c r="F1276" i="4"/>
  <c r="G1276" i="4" s="1"/>
  <c r="F1275" i="4"/>
  <c r="G1275" i="4" s="1"/>
  <c r="F1274" i="4"/>
  <c r="G1274" i="4" s="1"/>
  <c r="F1273" i="4"/>
  <c r="G1273" i="4" s="1"/>
  <c r="F1272" i="4"/>
  <c r="G1272" i="4" s="1"/>
  <c r="F1271" i="4"/>
  <c r="G1271" i="4" s="1"/>
  <c r="F1270" i="4"/>
  <c r="G1270" i="4" s="1"/>
  <c r="F1269" i="4"/>
  <c r="G1269" i="4" s="1"/>
  <c r="F1268" i="4"/>
  <c r="G1268" i="4" s="1"/>
  <c r="F1267" i="4"/>
  <c r="G1267" i="4" s="1"/>
  <c r="F1266" i="4"/>
  <c r="G1266" i="4" s="1"/>
  <c r="F1265" i="4"/>
  <c r="G1265" i="4" s="1"/>
  <c r="F1264" i="4"/>
  <c r="G1264" i="4" s="1"/>
  <c r="F1263" i="4"/>
  <c r="G1263" i="4" s="1"/>
  <c r="F1261" i="4"/>
  <c r="G1261" i="4" s="1"/>
  <c r="F1260" i="4"/>
  <c r="G1260" i="4" s="1"/>
  <c r="F1259" i="4"/>
  <c r="G1259" i="4" s="1"/>
  <c r="F1258" i="4"/>
  <c r="G1258" i="4" s="1"/>
  <c r="F1257" i="4"/>
  <c r="G1257" i="4" s="1"/>
  <c r="F1256" i="4"/>
  <c r="G1256" i="4" s="1"/>
  <c r="F1255" i="4"/>
  <c r="G1255" i="4" s="1"/>
  <c r="F1254" i="4"/>
  <c r="G1254" i="4" s="1"/>
  <c r="F1253" i="4"/>
  <c r="G1253" i="4" s="1"/>
  <c r="F1252" i="4"/>
  <c r="G1252" i="4" s="1"/>
  <c r="F1251" i="4"/>
  <c r="G1251" i="4" s="1"/>
  <c r="F1250" i="4"/>
  <c r="G1250" i="4" s="1"/>
  <c r="F1249" i="4"/>
  <c r="G1249" i="4" s="1"/>
  <c r="F1248" i="4"/>
  <c r="G1248" i="4" s="1"/>
  <c r="F1247" i="4"/>
  <c r="G1247" i="4" s="1"/>
  <c r="F1246" i="4"/>
  <c r="G1246" i="4" s="1"/>
  <c r="F1245" i="4"/>
  <c r="G1245" i="4" s="1"/>
  <c r="F1244" i="4"/>
  <c r="G1244" i="4" s="1"/>
  <c r="F1243" i="4"/>
  <c r="G1243" i="4" s="1"/>
  <c r="F1242" i="4"/>
  <c r="G1242" i="4" s="1"/>
  <c r="F1241" i="4"/>
  <c r="G1241" i="4" s="1"/>
  <c r="F1240" i="4"/>
  <c r="G1240" i="4" s="1"/>
  <c r="F1239" i="4"/>
  <c r="G1239" i="4" s="1"/>
  <c r="F1238" i="4"/>
  <c r="G1238" i="4" s="1"/>
  <c r="F1237" i="4"/>
  <c r="G1237" i="4" s="1"/>
  <c r="F1236" i="4"/>
  <c r="G1236" i="4" s="1"/>
  <c r="F1235" i="4"/>
  <c r="G1235" i="4" s="1"/>
  <c r="F1234" i="4"/>
  <c r="G1234" i="4" s="1"/>
  <c r="F1233" i="4"/>
  <c r="G1233" i="4" s="1"/>
  <c r="F1232" i="4"/>
  <c r="G1232" i="4" s="1"/>
  <c r="F1231" i="4"/>
  <c r="G1231" i="4" s="1"/>
  <c r="F1230" i="4"/>
  <c r="G1230" i="4" s="1"/>
  <c r="F1229" i="4"/>
  <c r="G1229" i="4" s="1"/>
  <c r="F1228" i="4"/>
  <c r="G1228" i="4" s="1"/>
  <c r="F1227" i="4"/>
  <c r="G1227" i="4" s="1"/>
  <c r="F1226" i="4"/>
  <c r="G1226" i="4" s="1"/>
  <c r="F1225" i="4"/>
  <c r="G1225" i="4" s="1"/>
  <c r="F1224" i="4"/>
  <c r="G1224" i="4" s="1"/>
  <c r="F1223" i="4"/>
  <c r="G1223" i="4" s="1"/>
  <c r="F1222" i="4"/>
  <c r="G1222" i="4" s="1"/>
  <c r="F1221" i="4"/>
  <c r="G1221" i="4" s="1"/>
  <c r="F1220" i="4"/>
  <c r="G1220" i="4" s="1"/>
  <c r="F1219" i="4"/>
  <c r="G1219" i="4" s="1"/>
  <c r="F1218" i="4"/>
  <c r="G1218" i="4" s="1"/>
  <c r="F1217" i="4"/>
  <c r="G1217" i="4" s="1"/>
  <c r="F1216" i="4"/>
  <c r="G1216" i="4" s="1"/>
  <c r="F1215" i="4"/>
  <c r="G1215" i="4" s="1"/>
  <c r="F1214" i="4"/>
  <c r="G1214" i="4" s="1"/>
  <c r="F1213" i="4"/>
  <c r="G1213" i="4" s="1"/>
  <c r="F1212" i="4"/>
  <c r="G1212" i="4" s="1"/>
  <c r="F1211" i="4"/>
  <c r="G1211" i="4" s="1"/>
  <c r="F1209" i="4"/>
  <c r="G1209" i="4" s="1"/>
  <c r="F1208" i="4"/>
  <c r="G1208" i="4" s="1"/>
  <c r="F1207" i="4"/>
  <c r="G1207" i="4" s="1"/>
  <c r="F1206" i="4"/>
  <c r="G1206" i="4" s="1"/>
  <c r="F1205" i="4"/>
  <c r="G1205" i="4" s="1"/>
  <c r="F1204" i="4"/>
  <c r="G1204" i="4" s="1"/>
  <c r="F1203" i="4"/>
  <c r="G1203" i="4" s="1"/>
  <c r="F1202" i="4"/>
  <c r="G1202" i="4" s="1"/>
  <c r="F1201" i="4"/>
  <c r="G1201" i="4" s="1"/>
  <c r="F1200" i="4"/>
  <c r="G1200" i="4" s="1"/>
  <c r="F1199" i="4"/>
  <c r="G1199" i="4" s="1"/>
  <c r="F1198" i="4"/>
  <c r="G1198" i="4" s="1"/>
  <c r="F1197" i="4"/>
  <c r="G1197" i="4" s="1"/>
  <c r="F1196" i="4"/>
  <c r="G1196" i="4" s="1"/>
  <c r="F1195" i="4"/>
  <c r="G1195" i="4" s="1"/>
  <c r="F1194" i="4"/>
  <c r="G1194" i="4" s="1"/>
  <c r="F1193" i="4"/>
  <c r="G1193" i="4" s="1"/>
  <c r="F1192" i="4"/>
  <c r="G1192" i="4" s="1"/>
  <c r="F1191" i="4"/>
  <c r="G1191" i="4" s="1"/>
  <c r="F1190" i="4"/>
  <c r="G1190" i="4" s="1"/>
  <c r="F1189" i="4"/>
  <c r="G1189" i="4" s="1"/>
  <c r="F1188" i="4"/>
  <c r="G1188" i="4" s="1"/>
  <c r="F1187" i="4"/>
  <c r="G1187" i="4" s="1"/>
  <c r="F1186" i="4"/>
  <c r="G1186" i="4" s="1"/>
  <c r="F1185" i="4"/>
  <c r="G1185" i="4" s="1"/>
  <c r="F1184" i="4"/>
  <c r="G1184" i="4" s="1"/>
  <c r="F1182" i="4"/>
  <c r="G1182" i="4" s="1"/>
  <c r="F1181" i="4"/>
  <c r="G1181" i="4" s="1"/>
  <c r="F1180" i="4"/>
  <c r="G1180" i="4" s="1"/>
  <c r="F1179" i="4"/>
  <c r="G1179" i="4" s="1"/>
  <c r="F1178" i="4"/>
  <c r="G1178" i="4" s="1"/>
  <c r="F1177" i="4"/>
  <c r="G1177" i="4" s="1"/>
  <c r="F1176" i="4"/>
  <c r="G1176" i="4" s="1"/>
  <c r="F1175" i="4"/>
  <c r="G1175" i="4" s="1"/>
  <c r="F1174" i="4"/>
  <c r="G1174" i="4" s="1"/>
  <c r="F1173" i="4"/>
  <c r="G1173" i="4" s="1"/>
  <c r="F1172" i="4"/>
  <c r="G1172" i="4" s="1"/>
  <c r="F1171" i="4"/>
  <c r="G1171" i="4" s="1"/>
  <c r="F1170" i="4"/>
  <c r="G1170" i="4" s="1"/>
  <c r="F1169" i="4"/>
  <c r="G1169" i="4" s="1"/>
  <c r="F1168" i="4"/>
  <c r="G1168" i="4" s="1"/>
  <c r="F1167" i="4"/>
  <c r="G1167" i="4" s="1"/>
  <c r="F1166" i="4"/>
  <c r="G1166" i="4" s="1"/>
  <c r="F1165" i="4"/>
  <c r="G1165" i="4" s="1"/>
  <c r="F1164" i="4"/>
  <c r="G1164" i="4" s="1"/>
  <c r="F1163" i="4"/>
  <c r="G1163" i="4" s="1"/>
  <c r="F1162" i="4"/>
  <c r="G1162" i="4" s="1"/>
  <c r="F1161" i="4"/>
  <c r="G1161" i="4" s="1"/>
  <c r="F1160" i="4"/>
  <c r="G1160" i="4" s="1"/>
  <c r="F1159" i="4"/>
  <c r="G1159" i="4" s="1"/>
  <c r="F1156" i="4"/>
  <c r="G1156" i="4" s="1"/>
  <c r="F1155" i="4"/>
  <c r="G1155" i="4" s="1"/>
  <c r="F1154" i="4"/>
  <c r="G1154" i="4" s="1"/>
  <c r="F1153" i="4"/>
  <c r="G1153" i="4" s="1"/>
  <c r="F1152" i="4"/>
  <c r="G1152" i="4" s="1"/>
  <c r="F1151" i="4"/>
  <c r="G1151" i="4" s="1"/>
  <c r="F1150" i="4"/>
  <c r="G1150" i="4" s="1"/>
  <c r="F1149" i="4"/>
  <c r="G1149" i="4" s="1"/>
  <c r="F1148" i="4"/>
  <c r="G1148" i="4" s="1"/>
  <c r="F1147" i="4"/>
  <c r="G1147" i="4" s="1"/>
  <c r="F1146" i="4"/>
  <c r="G1146" i="4" s="1"/>
  <c r="F1145" i="4"/>
  <c r="G1145" i="4" s="1"/>
  <c r="F1144" i="4"/>
  <c r="G1144" i="4" s="1"/>
  <c r="F1143" i="4"/>
  <c r="G1143" i="4" s="1"/>
  <c r="F1142" i="4"/>
  <c r="G1142" i="4" s="1"/>
  <c r="F1141" i="4"/>
  <c r="G1141" i="4" s="1"/>
  <c r="F1140" i="4"/>
  <c r="G1140" i="4" s="1"/>
  <c r="F1139" i="4"/>
  <c r="G1139" i="4" s="1"/>
  <c r="F1138" i="4"/>
  <c r="G1138" i="4" s="1"/>
  <c r="F1137" i="4"/>
  <c r="G1137" i="4" s="1"/>
  <c r="F1136" i="4"/>
  <c r="G1136" i="4" s="1"/>
  <c r="F1135" i="4"/>
  <c r="G1135" i="4" s="1"/>
  <c r="F1134" i="4"/>
  <c r="G1134" i="4" s="1"/>
  <c r="F1133" i="4"/>
  <c r="G1133" i="4" s="1"/>
  <c r="F1132" i="4"/>
  <c r="G1132" i="4" s="1"/>
  <c r="F1131" i="4"/>
  <c r="G1131" i="4" s="1"/>
  <c r="F1130" i="4"/>
  <c r="G1130" i="4" s="1"/>
  <c r="F1129" i="4"/>
  <c r="G1129" i="4" s="1"/>
  <c r="F1128" i="4"/>
  <c r="G1128" i="4" s="1"/>
  <c r="F1127" i="4"/>
  <c r="G1127" i="4" s="1"/>
  <c r="F1126" i="4"/>
  <c r="G1126" i="4" s="1"/>
  <c r="F1125" i="4"/>
  <c r="G1125" i="4" s="1"/>
  <c r="F1124" i="4"/>
  <c r="G1124" i="4" s="1"/>
  <c r="F1123" i="4"/>
  <c r="G1123" i="4" s="1"/>
  <c r="F1122" i="4"/>
  <c r="G1122" i="4" s="1"/>
  <c r="F1121" i="4"/>
  <c r="G1121" i="4" s="1"/>
  <c r="F1120" i="4"/>
  <c r="G1120" i="4" s="1"/>
  <c r="F1119" i="4"/>
  <c r="G1119" i="4" s="1"/>
  <c r="F1118" i="4"/>
  <c r="G1118" i="4" s="1"/>
  <c r="F1117" i="4"/>
  <c r="G1117" i="4" s="1"/>
  <c r="F1116" i="4"/>
  <c r="G1116" i="4" s="1"/>
  <c r="F1115" i="4"/>
  <c r="G1115" i="4" s="1"/>
  <c r="F1114" i="4"/>
  <c r="G1114" i="4" s="1"/>
  <c r="F1113" i="4"/>
  <c r="G1113" i="4" s="1"/>
  <c r="F1112" i="4"/>
  <c r="G1112" i="4" s="1"/>
  <c r="F1111" i="4"/>
  <c r="G1111" i="4" s="1"/>
  <c r="F1110" i="4"/>
  <c r="G1110" i="4" s="1"/>
  <c r="F1109" i="4"/>
  <c r="G1109" i="4" s="1"/>
  <c r="F1108" i="4"/>
  <c r="G1108" i="4" s="1"/>
  <c r="F1107" i="4"/>
  <c r="G1107" i="4" s="1"/>
  <c r="F1106" i="4"/>
  <c r="G1106" i="4" s="1"/>
  <c r="F1105" i="4"/>
  <c r="G1105" i="4" s="1"/>
  <c r="F1104" i="4"/>
  <c r="G1104" i="4" s="1"/>
  <c r="F1103" i="4"/>
  <c r="G1103" i="4" s="1"/>
  <c r="F1102" i="4"/>
  <c r="G1102" i="4" s="1"/>
  <c r="F1101" i="4"/>
  <c r="G1101" i="4" s="1"/>
  <c r="F1100" i="4"/>
  <c r="G1100" i="4" s="1"/>
  <c r="F1099" i="4"/>
  <c r="G1099" i="4" s="1"/>
  <c r="F1098" i="4"/>
  <c r="G1098" i="4" s="1"/>
  <c r="F1097" i="4"/>
  <c r="G1097" i="4" s="1"/>
  <c r="F1096" i="4"/>
  <c r="G1096" i="4" s="1"/>
  <c r="F1095" i="4"/>
  <c r="G1095" i="4" s="1"/>
  <c r="F1094" i="4"/>
  <c r="G1094" i="4" s="1"/>
  <c r="F1092" i="4"/>
  <c r="G1092" i="4" s="1"/>
  <c r="F1091" i="4"/>
  <c r="G1091" i="4" s="1"/>
  <c r="F1090" i="4"/>
  <c r="G1090" i="4" s="1"/>
  <c r="F1089" i="4"/>
  <c r="G1089" i="4" s="1"/>
  <c r="F1088" i="4"/>
  <c r="G1088" i="4" s="1"/>
  <c r="F1087" i="4"/>
  <c r="G1087" i="4" s="1"/>
  <c r="F1086" i="4"/>
  <c r="G1086" i="4" s="1"/>
  <c r="F1085" i="4"/>
  <c r="G1085" i="4" s="1"/>
  <c r="F1084" i="4"/>
  <c r="G1084" i="4" s="1"/>
  <c r="F1083" i="4"/>
  <c r="G1083" i="4" s="1"/>
  <c r="F1082" i="4"/>
  <c r="G1082" i="4" s="1"/>
  <c r="F1081" i="4"/>
  <c r="G1081" i="4" s="1"/>
  <c r="F1080" i="4"/>
  <c r="G1080" i="4" s="1"/>
  <c r="F1079" i="4"/>
  <c r="G1079" i="4" s="1"/>
  <c r="F1078" i="4"/>
  <c r="G1078" i="4" s="1"/>
  <c r="F1077" i="4"/>
  <c r="G1077" i="4" s="1"/>
  <c r="F1076" i="4"/>
  <c r="G1076" i="4" s="1"/>
  <c r="F1075" i="4"/>
  <c r="G1075" i="4" s="1"/>
  <c r="F1074" i="4"/>
  <c r="G1074" i="4" s="1"/>
  <c r="F1073" i="4"/>
  <c r="G1073" i="4" s="1"/>
  <c r="F1072" i="4"/>
  <c r="G1072" i="4" s="1"/>
  <c r="F1071" i="4"/>
  <c r="G1071" i="4" s="1"/>
  <c r="F1070" i="4"/>
  <c r="G1070" i="4" s="1"/>
  <c r="F1069" i="4"/>
  <c r="G1069" i="4" s="1"/>
  <c r="F1068" i="4"/>
  <c r="G1068" i="4" s="1"/>
  <c r="F1067" i="4"/>
  <c r="G1067" i="4" s="1"/>
  <c r="F1066" i="4"/>
  <c r="G1066" i="4" s="1"/>
  <c r="F1065" i="4"/>
  <c r="G1065" i="4" s="1"/>
  <c r="F1064" i="4"/>
  <c r="G1064" i="4" s="1"/>
  <c r="F1063" i="4"/>
  <c r="G1063" i="4" s="1"/>
  <c r="F1062" i="4"/>
  <c r="G1062" i="4" s="1"/>
  <c r="F1061" i="4"/>
  <c r="G1061" i="4" s="1"/>
  <c r="F1060" i="4"/>
  <c r="G1060" i="4" s="1"/>
  <c r="F1059" i="4"/>
  <c r="G1059" i="4" s="1"/>
  <c r="F1058" i="4"/>
  <c r="G1058" i="4" s="1"/>
  <c r="F1057" i="4"/>
  <c r="G1057" i="4" s="1"/>
  <c r="F1056" i="4"/>
  <c r="G1056" i="4" s="1"/>
  <c r="F1055" i="4"/>
  <c r="G1055" i="4" s="1"/>
  <c r="F1054" i="4"/>
  <c r="G1054" i="4" s="1"/>
  <c r="F1053" i="4"/>
  <c r="G1053" i="4" s="1"/>
  <c r="F1052" i="4"/>
  <c r="G1052" i="4" s="1"/>
  <c r="F1051" i="4"/>
  <c r="G1051" i="4" s="1"/>
  <c r="F1050" i="4"/>
  <c r="G1050" i="4" s="1"/>
  <c r="F1049" i="4"/>
  <c r="G1049" i="4" s="1"/>
  <c r="F1048" i="4"/>
  <c r="G1048" i="4" s="1"/>
  <c r="F1047" i="4"/>
  <c r="G1047" i="4" s="1"/>
  <c r="F1046" i="4"/>
  <c r="G1046" i="4" s="1"/>
  <c r="F1045" i="4"/>
  <c r="G1045" i="4" s="1"/>
  <c r="F1044" i="4"/>
  <c r="G1044" i="4" s="1"/>
  <c r="F1043" i="4"/>
  <c r="G1043" i="4" s="1"/>
  <c r="F1042" i="4"/>
  <c r="G1042" i="4" s="1"/>
  <c r="F1041" i="4"/>
  <c r="G1041" i="4" s="1"/>
  <c r="F1040" i="4"/>
  <c r="G1040" i="4" s="1"/>
  <c r="F1039" i="4"/>
  <c r="G1039" i="4" s="1"/>
  <c r="F1038" i="4"/>
  <c r="G1038" i="4" s="1"/>
  <c r="F1037" i="4"/>
  <c r="G1037" i="4" s="1"/>
  <c r="F1036" i="4"/>
  <c r="G1036" i="4" s="1"/>
  <c r="F1035" i="4"/>
  <c r="G1035" i="4" s="1"/>
  <c r="F1034" i="4"/>
  <c r="G1034" i="4" s="1"/>
  <c r="F1033" i="4"/>
  <c r="G1033" i="4" s="1"/>
  <c r="F1032" i="4"/>
  <c r="G1032" i="4" s="1"/>
  <c r="F1031" i="4"/>
  <c r="G1031" i="4" s="1"/>
  <c r="F1030" i="4"/>
  <c r="G1030" i="4" s="1"/>
  <c r="F1028" i="4"/>
  <c r="G1028" i="4" s="1"/>
  <c r="F1027" i="4"/>
  <c r="G1027" i="4" s="1"/>
  <c r="F1026" i="4"/>
  <c r="G1026" i="4" s="1"/>
  <c r="F1025" i="4"/>
  <c r="G1025" i="4" s="1"/>
  <c r="F1024" i="4"/>
  <c r="G1024" i="4" s="1"/>
  <c r="F1023" i="4"/>
  <c r="G1023" i="4" s="1"/>
  <c r="F1022" i="4"/>
  <c r="G1022" i="4" s="1"/>
  <c r="F1021" i="4"/>
  <c r="G1021" i="4" s="1"/>
  <c r="F1020" i="4"/>
  <c r="G1020" i="4" s="1"/>
  <c r="F1019" i="4"/>
  <c r="G1019" i="4" s="1"/>
  <c r="F1018" i="4"/>
  <c r="G1018" i="4" s="1"/>
  <c r="F1017" i="4"/>
  <c r="G1017" i="4" s="1"/>
  <c r="F1016" i="4"/>
  <c r="G1016" i="4" s="1"/>
  <c r="F1015" i="4"/>
  <c r="G1015" i="4" s="1"/>
  <c r="F1014" i="4"/>
  <c r="G1014" i="4" s="1"/>
  <c r="F1013" i="4"/>
  <c r="G1013" i="4" s="1"/>
  <c r="F1012" i="4"/>
  <c r="G1012" i="4" s="1"/>
  <c r="F1011" i="4"/>
  <c r="G1011" i="4" s="1"/>
  <c r="F1010" i="4"/>
  <c r="G1010" i="4" s="1"/>
  <c r="F1009" i="4"/>
  <c r="G1009" i="4" s="1"/>
  <c r="F1008" i="4"/>
  <c r="G1008" i="4" s="1"/>
  <c r="F1007" i="4"/>
  <c r="G1007" i="4" s="1"/>
  <c r="F1006" i="4"/>
  <c r="G1006" i="4" s="1"/>
  <c r="F1005" i="4"/>
  <c r="G1005" i="4" s="1"/>
  <c r="F1004" i="4"/>
  <c r="G1004" i="4" s="1"/>
  <c r="F1003" i="4"/>
  <c r="G1003" i="4" s="1"/>
  <c r="F1002" i="4"/>
  <c r="G1002" i="4" s="1"/>
  <c r="F1001" i="4"/>
  <c r="G1001" i="4" s="1"/>
  <c r="F1000" i="4"/>
  <c r="G1000" i="4" s="1"/>
  <c r="F999" i="4"/>
  <c r="G999" i="4" s="1"/>
  <c r="F998" i="4"/>
  <c r="G998" i="4" s="1"/>
  <c r="F997" i="4"/>
  <c r="G997" i="4" s="1"/>
  <c r="F996" i="4"/>
  <c r="G996" i="4" s="1"/>
  <c r="F995" i="4"/>
  <c r="G995" i="4" s="1"/>
  <c r="F982" i="4"/>
  <c r="G982" i="4" s="1"/>
  <c r="F981" i="4"/>
  <c r="G981" i="4" s="1"/>
  <c r="F980" i="4"/>
  <c r="G980" i="4" s="1"/>
  <c r="F979" i="4"/>
  <c r="G979" i="4" s="1"/>
  <c r="F978" i="4"/>
  <c r="G978" i="4" s="1"/>
  <c r="F977" i="4"/>
  <c r="G977" i="4" s="1"/>
  <c r="F976" i="4"/>
  <c r="G976" i="4" s="1"/>
  <c r="F975" i="4"/>
  <c r="G975" i="4" s="1"/>
  <c r="F974" i="4"/>
  <c r="G974" i="4" s="1"/>
  <c r="F973" i="4"/>
  <c r="G973" i="4" s="1"/>
  <c r="F972" i="4"/>
  <c r="G972" i="4" s="1"/>
  <c r="F971" i="4"/>
  <c r="G971" i="4" s="1"/>
  <c r="F970" i="4"/>
  <c r="G970" i="4" s="1"/>
  <c r="F969" i="4"/>
  <c r="G969" i="4" s="1"/>
  <c r="F968" i="4"/>
  <c r="G968" i="4" s="1"/>
  <c r="F967" i="4"/>
  <c r="G967" i="4" s="1"/>
  <c r="F966" i="4"/>
  <c r="G966" i="4" s="1"/>
  <c r="F962" i="4"/>
  <c r="G962" i="4" s="1"/>
  <c r="F961" i="4"/>
  <c r="G961" i="4" s="1"/>
  <c r="F960" i="4"/>
  <c r="G960" i="4" s="1"/>
  <c r="F959" i="4"/>
  <c r="G959" i="4" s="1"/>
  <c r="F958" i="4"/>
  <c r="G958" i="4" s="1"/>
  <c r="F957" i="4"/>
  <c r="G957" i="4" s="1"/>
  <c r="F956" i="4"/>
  <c r="G956" i="4" s="1"/>
  <c r="F955" i="4"/>
  <c r="G955" i="4" s="1"/>
  <c r="F954" i="4"/>
  <c r="G954" i="4" s="1"/>
  <c r="F953" i="4"/>
  <c r="G953" i="4" s="1"/>
  <c r="F952" i="4"/>
  <c r="G952" i="4" s="1"/>
  <c r="F951" i="4"/>
  <c r="G951" i="4" s="1"/>
  <c r="F950" i="4"/>
  <c r="G950" i="4" s="1"/>
  <c r="F949" i="4"/>
  <c r="G949" i="4" s="1"/>
  <c r="F948" i="4"/>
  <c r="G948" i="4" s="1"/>
  <c r="F947" i="4"/>
  <c r="G947" i="4" s="1"/>
  <c r="F946" i="4"/>
  <c r="G946" i="4" s="1"/>
  <c r="F945" i="4"/>
  <c r="G945" i="4" s="1"/>
  <c r="F944" i="4"/>
  <c r="G944" i="4" s="1"/>
  <c r="F943" i="4"/>
  <c r="G943" i="4" s="1"/>
  <c r="F942" i="4"/>
  <c r="G942" i="4" s="1"/>
  <c r="F941" i="4"/>
  <c r="G941" i="4" s="1"/>
  <c r="F940" i="4"/>
  <c r="G940" i="4" s="1"/>
  <c r="F939" i="4"/>
  <c r="G939" i="4" s="1"/>
  <c r="F938" i="4"/>
  <c r="G938" i="4" s="1"/>
  <c r="F937" i="4"/>
  <c r="G937" i="4" s="1"/>
  <c r="F936" i="4"/>
  <c r="G936" i="4" s="1"/>
  <c r="F935" i="4"/>
  <c r="G935" i="4" s="1"/>
  <c r="F934" i="4"/>
  <c r="G934" i="4" s="1"/>
  <c r="F933" i="4"/>
  <c r="G933" i="4" s="1"/>
  <c r="F932" i="4"/>
  <c r="G932" i="4" s="1"/>
  <c r="F931" i="4"/>
  <c r="G931" i="4" s="1"/>
  <c r="F930" i="4"/>
  <c r="G930" i="4" s="1"/>
  <c r="F929" i="4"/>
  <c r="G929" i="4" s="1"/>
  <c r="F928" i="4"/>
  <c r="G928" i="4" s="1"/>
  <c r="F927" i="4"/>
  <c r="G927" i="4" s="1"/>
  <c r="F926" i="4"/>
  <c r="G926" i="4" s="1"/>
  <c r="F925" i="4"/>
  <c r="G925" i="4" s="1"/>
  <c r="F924" i="4"/>
  <c r="G924" i="4" s="1"/>
  <c r="F923" i="4"/>
  <c r="G923" i="4" s="1"/>
  <c r="F922" i="4"/>
  <c r="G922" i="4" s="1"/>
  <c r="F921" i="4"/>
  <c r="G921" i="4" s="1"/>
  <c r="F920" i="4"/>
  <c r="G920" i="4" s="1"/>
  <c r="F918" i="4"/>
  <c r="G918" i="4" s="1"/>
  <c r="F917" i="4"/>
  <c r="G917" i="4" s="1"/>
  <c r="F916" i="4"/>
  <c r="G916" i="4" s="1"/>
  <c r="F915" i="4"/>
  <c r="G915" i="4" s="1"/>
  <c r="F914" i="4"/>
  <c r="G914" i="4" s="1"/>
  <c r="F913" i="4"/>
  <c r="G913" i="4" s="1"/>
  <c r="F912" i="4"/>
  <c r="G912" i="4" s="1"/>
  <c r="F911" i="4"/>
  <c r="G911" i="4" s="1"/>
  <c r="F910" i="4"/>
  <c r="G910" i="4" s="1"/>
  <c r="F909" i="4"/>
  <c r="G909" i="4" s="1"/>
  <c r="F908" i="4"/>
  <c r="G908" i="4" s="1"/>
  <c r="F907" i="4"/>
  <c r="G907" i="4" s="1"/>
  <c r="F906" i="4"/>
  <c r="G906" i="4" s="1"/>
  <c r="F905" i="4"/>
  <c r="G905" i="4" s="1"/>
  <c r="F904" i="4"/>
  <c r="G904" i="4" s="1"/>
  <c r="F903" i="4"/>
  <c r="G903" i="4" s="1"/>
  <c r="F902" i="4"/>
  <c r="G902" i="4" s="1"/>
  <c r="F901" i="4"/>
  <c r="G901" i="4" s="1"/>
  <c r="F900" i="4"/>
  <c r="G900" i="4" s="1"/>
  <c r="F899" i="4"/>
  <c r="G899" i="4" s="1"/>
  <c r="F898" i="4"/>
  <c r="G898" i="4" s="1"/>
  <c r="F897" i="4"/>
  <c r="G897" i="4" s="1"/>
  <c r="F896" i="4"/>
  <c r="G896" i="4" s="1"/>
  <c r="F895" i="4"/>
  <c r="G895" i="4" s="1"/>
  <c r="F894" i="4"/>
  <c r="G894" i="4" s="1"/>
  <c r="F893" i="4"/>
  <c r="G893" i="4" s="1"/>
  <c r="F892" i="4"/>
  <c r="G892" i="4" s="1"/>
  <c r="F891" i="4"/>
  <c r="G891" i="4" s="1"/>
  <c r="F890" i="4"/>
  <c r="G890" i="4" s="1"/>
  <c r="F889" i="4"/>
  <c r="G889" i="4" s="1"/>
  <c r="F888" i="4"/>
  <c r="G888" i="4" s="1"/>
  <c r="F887" i="4"/>
  <c r="G887" i="4" s="1"/>
  <c r="F886" i="4"/>
  <c r="G886" i="4" s="1"/>
  <c r="F885" i="4"/>
  <c r="G885" i="4" s="1"/>
  <c r="F884" i="4"/>
  <c r="G884" i="4" s="1"/>
  <c r="F883" i="4"/>
  <c r="G883" i="4" s="1"/>
  <c r="F882" i="4"/>
  <c r="G882" i="4" s="1"/>
  <c r="F881" i="4"/>
  <c r="G881" i="4" s="1"/>
  <c r="F880" i="4"/>
  <c r="G880" i="4" s="1"/>
  <c r="F879" i="4"/>
  <c r="G879" i="4" s="1"/>
  <c r="F878" i="4"/>
  <c r="G878" i="4" s="1"/>
  <c r="F877" i="4"/>
  <c r="G877" i="4" s="1"/>
  <c r="F876" i="4"/>
  <c r="G876" i="4" s="1"/>
  <c r="F875" i="4"/>
  <c r="G875" i="4" s="1"/>
  <c r="F874" i="4"/>
  <c r="G874" i="4" s="1"/>
  <c r="F873" i="4"/>
  <c r="G873" i="4" s="1"/>
  <c r="F872" i="4"/>
  <c r="G872" i="4" s="1"/>
  <c r="F871" i="4"/>
  <c r="G871" i="4" s="1"/>
  <c r="F870" i="4"/>
  <c r="G870" i="4" s="1"/>
  <c r="F869" i="4"/>
  <c r="G869" i="4" s="1"/>
  <c r="F868" i="4"/>
  <c r="G868" i="4" s="1"/>
  <c r="F867" i="4"/>
  <c r="G867" i="4" s="1"/>
  <c r="F866" i="4"/>
  <c r="G866" i="4" s="1"/>
  <c r="F865" i="4"/>
  <c r="G865" i="4" s="1"/>
  <c r="F864" i="4"/>
  <c r="G864" i="4" s="1"/>
  <c r="F863" i="4"/>
  <c r="G863" i="4" s="1"/>
  <c r="F862" i="4"/>
  <c r="G862" i="4" s="1"/>
  <c r="F861" i="4"/>
  <c r="G861" i="4" s="1"/>
  <c r="F860" i="4"/>
  <c r="G860" i="4" s="1"/>
  <c r="F859" i="4"/>
  <c r="G859" i="4" s="1"/>
  <c r="F858" i="4"/>
  <c r="G858" i="4" s="1"/>
  <c r="F857" i="4"/>
  <c r="G857" i="4" s="1"/>
  <c r="F856" i="4"/>
  <c r="G856" i="4" s="1"/>
  <c r="F855" i="4"/>
  <c r="G855" i="4" s="1"/>
  <c r="F854" i="4"/>
  <c r="G854" i="4" s="1"/>
  <c r="F853" i="4"/>
  <c r="G853" i="4" s="1"/>
  <c r="F852" i="4"/>
  <c r="G852" i="4" s="1"/>
  <c r="F851" i="4"/>
  <c r="G851" i="4" s="1"/>
  <c r="F850" i="4"/>
  <c r="G850" i="4" s="1"/>
  <c r="F849" i="4"/>
  <c r="G849" i="4" s="1"/>
  <c r="F848" i="4"/>
  <c r="G848" i="4" s="1"/>
  <c r="F847" i="4"/>
  <c r="G847" i="4" s="1"/>
  <c r="F846" i="4"/>
  <c r="G846" i="4" s="1"/>
  <c r="F845" i="4"/>
  <c r="G845" i="4" s="1"/>
  <c r="F844" i="4"/>
  <c r="G844" i="4" s="1"/>
  <c r="F842" i="4"/>
  <c r="G842" i="4" s="1"/>
  <c r="F841" i="4"/>
  <c r="G841" i="4" s="1"/>
  <c r="F840" i="4"/>
  <c r="G840" i="4" s="1"/>
  <c r="F839" i="4"/>
  <c r="G839" i="4" s="1"/>
  <c r="F837" i="4"/>
  <c r="G837" i="4" s="1"/>
  <c r="F835" i="4"/>
  <c r="G835" i="4" s="1"/>
  <c r="F834" i="4"/>
  <c r="G834" i="4" s="1"/>
  <c r="F833" i="4"/>
  <c r="G833" i="4" s="1"/>
  <c r="F832" i="4"/>
  <c r="G832" i="4" s="1"/>
  <c r="F831" i="4"/>
  <c r="G831" i="4" s="1"/>
  <c r="F829" i="4"/>
  <c r="G829" i="4" s="1"/>
  <c r="F828" i="4"/>
  <c r="G828" i="4" s="1"/>
  <c r="F827" i="4"/>
  <c r="G827" i="4" s="1"/>
  <c r="F826" i="4"/>
  <c r="G826" i="4" s="1"/>
  <c r="F825" i="4"/>
  <c r="G825" i="4" s="1"/>
  <c r="F824" i="4"/>
  <c r="G824" i="4" s="1"/>
  <c r="F823" i="4"/>
  <c r="G823" i="4" s="1"/>
  <c r="F822" i="4"/>
  <c r="G822" i="4" s="1"/>
  <c r="F821" i="4"/>
  <c r="G821" i="4" s="1"/>
  <c r="F820" i="4"/>
  <c r="G820" i="4" s="1"/>
  <c r="F819" i="4"/>
  <c r="G819" i="4" s="1"/>
  <c r="F817" i="4"/>
  <c r="G817" i="4" s="1"/>
  <c r="F816" i="4"/>
  <c r="G816" i="4" s="1"/>
  <c r="F815" i="4"/>
  <c r="G815" i="4" s="1"/>
  <c r="F814" i="4"/>
  <c r="G814" i="4" s="1"/>
  <c r="F813" i="4"/>
  <c r="G813" i="4" s="1"/>
  <c r="F812" i="4"/>
  <c r="G812" i="4" s="1"/>
  <c r="F811" i="4"/>
  <c r="G811" i="4" s="1"/>
  <c r="F810" i="4"/>
  <c r="G810" i="4" s="1"/>
  <c r="F809" i="4"/>
  <c r="G809" i="4" s="1"/>
  <c r="F808" i="4"/>
  <c r="G808" i="4" s="1"/>
  <c r="F807" i="4"/>
  <c r="G807" i="4" s="1"/>
  <c r="F804" i="4"/>
  <c r="G804" i="4" s="1"/>
  <c r="F803" i="4"/>
  <c r="G803" i="4" s="1"/>
  <c r="F802" i="4"/>
  <c r="G802" i="4" s="1"/>
  <c r="F801" i="4"/>
  <c r="G801" i="4" s="1"/>
  <c r="F800" i="4"/>
  <c r="G800" i="4" s="1"/>
  <c r="F799" i="4"/>
  <c r="G799" i="4" s="1"/>
  <c r="F798" i="4"/>
  <c r="G798" i="4" s="1"/>
  <c r="F797" i="4"/>
  <c r="G797" i="4" s="1"/>
  <c r="F796" i="4"/>
  <c r="G796" i="4" s="1"/>
  <c r="F795" i="4"/>
  <c r="G795" i="4" s="1"/>
  <c r="F794" i="4"/>
  <c r="G794" i="4" s="1"/>
  <c r="F793" i="4"/>
  <c r="G793" i="4" s="1"/>
  <c r="F792" i="4"/>
  <c r="G792" i="4" s="1"/>
  <c r="F791" i="4"/>
  <c r="G791" i="4" s="1"/>
  <c r="F790" i="4"/>
  <c r="G790" i="4" s="1"/>
  <c r="F789" i="4"/>
  <c r="G789" i="4" s="1"/>
  <c r="F788" i="4"/>
  <c r="G788" i="4" s="1"/>
  <c r="F787" i="4"/>
  <c r="G787" i="4" s="1"/>
  <c r="F786" i="4"/>
  <c r="G786" i="4" s="1"/>
  <c r="F784" i="4"/>
  <c r="G784" i="4" s="1"/>
  <c r="F783" i="4"/>
  <c r="G783" i="4" s="1"/>
  <c r="F782" i="4"/>
  <c r="G782" i="4" s="1"/>
  <c r="F781" i="4"/>
  <c r="G781" i="4" s="1"/>
  <c r="F780" i="4"/>
  <c r="G780" i="4" s="1"/>
  <c r="F779" i="4"/>
  <c r="G779" i="4" s="1"/>
  <c r="F778" i="4"/>
  <c r="G778" i="4" s="1"/>
  <c r="F777" i="4"/>
  <c r="G777" i="4" s="1"/>
  <c r="F776" i="4"/>
  <c r="G776" i="4" s="1"/>
  <c r="F775" i="4"/>
  <c r="G775" i="4" s="1"/>
  <c r="F774" i="4"/>
  <c r="G774" i="4" s="1"/>
  <c r="F773" i="4"/>
  <c r="G773" i="4" s="1"/>
  <c r="F772" i="4"/>
  <c r="G772" i="4" s="1"/>
  <c r="F771" i="4"/>
  <c r="G771" i="4" s="1"/>
  <c r="F770" i="4"/>
  <c r="G770" i="4" s="1"/>
  <c r="F769" i="4"/>
  <c r="G769" i="4" s="1"/>
  <c r="F768" i="4"/>
  <c r="G768" i="4" s="1"/>
  <c r="F767" i="4"/>
  <c r="G767" i="4" s="1"/>
  <c r="F766" i="4"/>
  <c r="G766" i="4" s="1"/>
  <c r="F765" i="4"/>
  <c r="G765" i="4" s="1"/>
  <c r="F764" i="4"/>
  <c r="G764" i="4" s="1"/>
  <c r="F763" i="4"/>
  <c r="G763" i="4" s="1"/>
  <c r="F762" i="4"/>
  <c r="G762" i="4" s="1"/>
  <c r="F761" i="4"/>
  <c r="G761" i="4" s="1"/>
  <c r="F760" i="4"/>
  <c r="G760" i="4" s="1"/>
  <c r="F759" i="4"/>
  <c r="G759" i="4" s="1"/>
  <c r="F758" i="4"/>
  <c r="G758" i="4" s="1"/>
  <c r="F757" i="4"/>
  <c r="G757" i="4" s="1"/>
  <c r="F756" i="4"/>
  <c r="G756" i="4" s="1"/>
  <c r="F755" i="4"/>
  <c r="G755" i="4" s="1"/>
  <c r="F753" i="4"/>
  <c r="G753" i="4" s="1"/>
  <c r="F752" i="4"/>
  <c r="G752" i="4" s="1"/>
  <c r="F751" i="4"/>
  <c r="G751" i="4" s="1"/>
  <c r="F750" i="4"/>
  <c r="G750" i="4" s="1"/>
  <c r="F749" i="4"/>
  <c r="G749" i="4" s="1"/>
  <c r="F748" i="4"/>
  <c r="G748" i="4" s="1"/>
  <c r="F747" i="4"/>
  <c r="G747" i="4" s="1"/>
  <c r="F746" i="4"/>
  <c r="G746" i="4" s="1"/>
  <c r="F745" i="4"/>
  <c r="G745" i="4" s="1"/>
  <c r="F744" i="4"/>
  <c r="G744" i="4" s="1"/>
  <c r="F743" i="4"/>
  <c r="G743" i="4" s="1"/>
  <c r="F741" i="4"/>
  <c r="G741" i="4" s="1"/>
  <c r="F740" i="4"/>
  <c r="G740" i="4" s="1"/>
  <c r="F739" i="4"/>
  <c r="G739" i="4" s="1"/>
  <c r="F738" i="4"/>
  <c r="G738" i="4" s="1"/>
  <c r="F737" i="4"/>
  <c r="G737" i="4" s="1"/>
  <c r="F736" i="4"/>
  <c r="G736" i="4" s="1"/>
  <c r="F735" i="4"/>
  <c r="G735" i="4" s="1"/>
  <c r="F734" i="4"/>
  <c r="G734" i="4" s="1"/>
  <c r="F733" i="4"/>
  <c r="G733" i="4" s="1"/>
  <c r="F732" i="4"/>
  <c r="G732" i="4" s="1"/>
  <c r="F731" i="4"/>
  <c r="G731" i="4" s="1"/>
  <c r="F728" i="4"/>
  <c r="G728" i="4" s="1"/>
  <c r="F727" i="4"/>
  <c r="G727" i="4" s="1"/>
  <c r="F726" i="4"/>
  <c r="G726" i="4" s="1"/>
  <c r="F725" i="4"/>
  <c r="G725" i="4" s="1"/>
  <c r="F724" i="4"/>
  <c r="G724" i="4" s="1"/>
  <c r="F723" i="4"/>
  <c r="G723" i="4" s="1"/>
  <c r="F722" i="4"/>
  <c r="G722" i="4" s="1"/>
  <c r="F721" i="4"/>
  <c r="G721" i="4" s="1"/>
  <c r="F720" i="4"/>
  <c r="G720" i="4" s="1"/>
  <c r="F719" i="4"/>
  <c r="G719" i="4" s="1"/>
  <c r="F718" i="4"/>
  <c r="G718" i="4" s="1"/>
  <c r="F717" i="4"/>
  <c r="G717" i="4" s="1"/>
  <c r="F716" i="4"/>
  <c r="G716" i="4" s="1"/>
  <c r="F715" i="4"/>
  <c r="G715" i="4" s="1"/>
  <c r="F714" i="4"/>
  <c r="G714" i="4" s="1"/>
  <c r="F713" i="4"/>
  <c r="G713" i="4" s="1"/>
  <c r="F712" i="4"/>
  <c r="G712" i="4" s="1"/>
  <c r="F710" i="4"/>
  <c r="G710" i="4" s="1"/>
  <c r="F709" i="4"/>
  <c r="G709" i="4" s="1"/>
  <c r="F708" i="4"/>
  <c r="G708" i="4" s="1"/>
  <c r="F707" i="4"/>
  <c r="G707" i="4" s="1"/>
  <c r="F706" i="4"/>
  <c r="G706" i="4" s="1"/>
  <c r="F705" i="4"/>
  <c r="G705" i="4" s="1"/>
  <c r="F704" i="4"/>
  <c r="G704" i="4" s="1"/>
  <c r="F703" i="4"/>
  <c r="G703" i="4" s="1"/>
  <c r="F702" i="4"/>
  <c r="G702" i="4" s="1"/>
  <c r="F701" i="4"/>
  <c r="G701" i="4" s="1"/>
  <c r="F700" i="4"/>
  <c r="G700" i="4" s="1"/>
  <c r="F699" i="4"/>
  <c r="G699" i="4" s="1"/>
  <c r="F698" i="4"/>
  <c r="G698" i="4" s="1"/>
  <c r="F697" i="4"/>
  <c r="G697" i="4" s="1"/>
  <c r="F696" i="4"/>
  <c r="G696" i="4" s="1"/>
  <c r="F695" i="4"/>
  <c r="G695" i="4" s="1"/>
  <c r="F694" i="4"/>
  <c r="G694" i="4" s="1"/>
  <c r="F693" i="4"/>
  <c r="G693" i="4" s="1"/>
  <c r="F692" i="4"/>
  <c r="G692" i="4" s="1"/>
  <c r="F691" i="4"/>
  <c r="G691" i="4" s="1"/>
  <c r="F690" i="4"/>
  <c r="G690" i="4" s="1"/>
  <c r="F689" i="4"/>
  <c r="G689" i="4" s="1"/>
  <c r="F688" i="4"/>
  <c r="G688" i="4" s="1"/>
  <c r="F687" i="4"/>
  <c r="G687" i="4" s="1"/>
  <c r="F686" i="4"/>
  <c r="G686" i="4" s="1"/>
  <c r="F684" i="4"/>
  <c r="G684" i="4" s="1"/>
  <c r="F683" i="4"/>
  <c r="G683" i="4" s="1"/>
  <c r="F682" i="4"/>
  <c r="G682" i="4" s="1"/>
  <c r="F681" i="4"/>
  <c r="G681" i="4" s="1"/>
  <c r="F680" i="4"/>
  <c r="G680" i="4" s="1"/>
  <c r="F679" i="4"/>
  <c r="G679" i="4" s="1"/>
  <c r="F678" i="4"/>
  <c r="G678" i="4" s="1"/>
  <c r="F677" i="4"/>
  <c r="G677" i="4" s="1"/>
  <c r="F676" i="4"/>
  <c r="G676" i="4" s="1"/>
  <c r="F675" i="4"/>
  <c r="G675" i="4" s="1"/>
  <c r="F673" i="4"/>
  <c r="G673" i="4" s="1"/>
  <c r="F672" i="4"/>
  <c r="G672" i="4" s="1"/>
  <c r="F671" i="4"/>
  <c r="G671" i="4" s="1"/>
  <c r="F670" i="4"/>
  <c r="G670" i="4" s="1"/>
  <c r="F668" i="4"/>
  <c r="G668" i="4" s="1"/>
  <c r="F667" i="4"/>
  <c r="G667" i="4" s="1"/>
  <c r="F666" i="4"/>
  <c r="G666" i="4" s="1"/>
  <c r="F665" i="4"/>
  <c r="G665" i="4" s="1"/>
  <c r="F664" i="4"/>
  <c r="G664" i="4" s="1"/>
  <c r="F662" i="4"/>
  <c r="G662" i="4" s="1"/>
  <c r="F661" i="4"/>
  <c r="G661" i="4" s="1"/>
  <c r="F660" i="4"/>
  <c r="G660" i="4" s="1"/>
  <c r="F659" i="4"/>
  <c r="G659" i="4" s="1"/>
  <c r="F657" i="4"/>
  <c r="G657" i="4" s="1"/>
  <c r="F656" i="4"/>
  <c r="G656" i="4" s="1"/>
  <c r="F655" i="4"/>
  <c r="G655" i="4" s="1"/>
  <c r="F654" i="4"/>
  <c r="G654" i="4" s="1"/>
  <c r="F651" i="4"/>
  <c r="G651" i="4" s="1"/>
  <c r="F650" i="4"/>
  <c r="G650" i="4" s="1"/>
  <c r="F649" i="4"/>
  <c r="G649" i="4" s="1"/>
  <c r="F648" i="4"/>
  <c r="G648" i="4" s="1"/>
  <c r="F647" i="4"/>
  <c r="G647" i="4" s="1"/>
  <c r="F646" i="4"/>
  <c r="G646" i="4" s="1"/>
  <c r="F645" i="4"/>
  <c r="G645" i="4" s="1"/>
  <c r="F644" i="4"/>
  <c r="G644" i="4" s="1"/>
  <c r="F643" i="4"/>
  <c r="G643" i="4" s="1"/>
  <c r="F642" i="4"/>
  <c r="G642" i="4" s="1"/>
  <c r="F640" i="4"/>
  <c r="G640" i="4" s="1"/>
  <c r="F639" i="4"/>
  <c r="G639" i="4" s="1"/>
  <c r="F638" i="4"/>
  <c r="G638" i="4" s="1"/>
  <c r="F637" i="4"/>
  <c r="G637" i="4" s="1"/>
  <c r="F636" i="4"/>
  <c r="G636" i="4" s="1"/>
  <c r="F635" i="4"/>
  <c r="G635" i="4" s="1"/>
  <c r="F634" i="4"/>
  <c r="G634" i="4" s="1"/>
  <c r="F633" i="4"/>
  <c r="G633" i="4" s="1"/>
  <c r="F632" i="4"/>
  <c r="G632" i="4" s="1"/>
  <c r="F631" i="4"/>
  <c r="G631" i="4" s="1"/>
  <c r="F629" i="4"/>
  <c r="G629" i="4" s="1"/>
  <c r="F628" i="4"/>
  <c r="G628" i="4" s="1"/>
  <c r="F627" i="4"/>
  <c r="G627" i="4" s="1"/>
  <c r="F626" i="4"/>
  <c r="G626" i="4" s="1"/>
  <c r="F625" i="4"/>
  <c r="G625" i="4" s="1"/>
  <c r="F624" i="4"/>
  <c r="G624" i="4" s="1"/>
  <c r="F623" i="4"/>
  <c r="G623" i="4" s="1"/>
  <c r="F622" i="4"/>
  <c r="G622" i="4" s="1"/>
  <c r="F621" i="4"/>
  <c r="G621" i="4" s="1"/>
  <c r="F619" i="4"/>
  <c r="G619" i="4" s="1"/>
  <c r="F618" i="4"/>
  <c r="G618" i="4" s="1"/>
  <c r="F617" i="4"/>
  <c r="G617" i="4" s="1"/>
  <c r="F616" i="4"/>
  <c r="G616" i="4" s="1"/>
  <c r="F615" i="4"/>
  <c r="G615" i="4" s="1"/>
  <c r="F614" i="4"/>
  <c r="G614" i="4" s="1"/>
  <c r="F613" i="4"/>
  <c r="G613" i="4" s="1"/>
  <c r="F612" i="4"/>
  <c r="G612" i="4" s="1"/>
  <c r="F611" i="4"/>
  <c r="G611" i="4" s="1"/>
  <c r="F608" i="4"/>
  <c r="G608" i="4" s="1"/>
  <c r="F607" i="4"/>
  <c r="G607" i="4" s="1"/>
  <c r="F606" i="4"/>
  <c r="G606" i="4" s="1"/>
  <c r="F605" i="4"/>
  <c r="G605" i="4" s="1"/>
  <c r="F604" i="4"/>
  <c r="G604" i="4" s="1"/>
  <c r="F603" i="4"/>
  <c r="G603" i="4" s="1"/>
  <c r="F602" i="4"/>
  <c r="G602" i="4" s="1"/>
  <c r="F601" i="4"/>
  <c r="G601" i="4" s="1"/>
  <c r="F600" i="4"/>
  <c r="G600" i="4" s="1"/>
  <c r="F599" i="4"/>
  <c r="G599" i="4" s="1"/>
  <c r="F598" i="4"/>
  <c r="G598" i="4" s="1"/>
  <c r="F597" i="4"/>
  <c r="G597" i="4" s="1"/>
  <c r="F596" i="4"/>
  <c r="G596" i="4" s="1"/>
  <c r="F595" i="4"/>
  <c r="G595" i="4" s="1"/>
  <c r="F594" i="4"/>
  <c r="G594" i="4" s="1"/>
  <c r="F592" i="4"/>
  <c r="G592" i="4" s="1"/>
  <c r="F591" i="4"/>
  <c r="G591" i="4" s="1"/>
  <c r="F590" i="4"/>
  <c r="G590" i="4" s="1"/>
  <c r="F589" i="4"/>
  <c r="G589" i="4" s="1"/>
  <c r="F588" i="4"/>
  <c r="G588" i="4" s="1"/>
  <c r="F587" i="4"/>
  <c r="G587" i="4" s="1"/>
  <c r="F586" i="4"/>
  <c r="G586" i="4" s="1"/>
  <c r="F585" i="4"/>
  <c r="G585" i="4" s="1"/>
  <c r="F584" i="4"/>
  <c r="G584" i="4" s="1"/>
  <c r="F583" i="4"/>
  <c r="G583" i="4" s="1"/>
  <c r="F582" i="4"/>
  <c r="G582" i="4" s="1"/>
  <c r="F581" i="4"/>
  <c r="G581" i="4" s="1"/>
  <c r="F580" i="4"/>
  <c r="G580" i="4" s="1"/>
  <c r="F579" i="4"/>
  <c r="G579" i="4" s="1"/>
  <c r="F578" i="4"/>
  <c r="G578" i="4" s="1"/>
  <c r="F575" i="4"/>
  <c r="G575" i="4" s="1"/>
  <c r="F574" i="4"/>
  <c r="G574" i="4" s="1"/>
  <c r="F573" i="4"/>
  <c r="G573" i="4" s="1"/>
  <c r="F572" i="4"/>
  <c r="G572" i="4" s="1"/>
  <c r="F571" i="4"/>
  <c r="G571" i="4" s="1"/>
  <c r="F570" i="4"/>
  <c r="G570" i="4" s="1"/>
  <c r="F569" i="4"/>
  <c r="G569" i="4" s="1"/>
  <c r="F568" i="4"/>
  <c r="G568" i="4" s="1"/>
  <c r="F567" i="4"/>
  <c r="G567" i="4" s="1"/>
  <c r="F566" i="4"/>
  <c r="G566" i="4" s="1"/>
  <c r="F565" i="4"/>
  <c r="G565" i="4" s="1"/>
  <c r="F564" i="4"/>
  <c r="G564" i="4" s="1"/>
  <c r="F563" i="4"/>
  <c r="G563" i="4" s="1"/>
  <c r="F562" i="4"/>
  <c r="G562" i="4" s="1"/>
  <c r="F561" i="4"/>
  <c r="G561" i="4" s="1"/>
  <c r="F560" i="4"/>
  <c r="G560" i="4" s="1"/>
  <c r="F559" i="4"/>
  <c r="G559" i="4" s="1"/>
  <c r="F558" i="4"/>
  <c r="G558" i="4" s="1"/>
  <c r="F557" i="4"/>
  <c r="G557" i="4" s="1"/>
  <c r="F556" i="4"/>
  <c r="G556" i="4" s="1"/>
  <c r="F555" i="4"/>
  <c r="G555" i="4" s="1"/>
  <c r="F554" i="4"/>
  <c r="G554" i="4" s="1"/>
  <c r="F553" i="4"/>
  <c r="G553" i="4" s="1"/>
  <c r="F552" i="4"/>
  <c r="G552" i="4" s="1"/>
  <c r="F551" i="4"/>
  <c r="G551" i="4" s="1"/>
  <c r="F550" i="4"/>
  <c r="G550" i="4" s="1"/>
  <c r="F549" i="4"/>
  <c r="G549" i="4" s="1"/>
  <c r="F548" i="4"/>
  <c r="G548" i="4" s="1"/>
  <c r="F547" i="4"/>
  <c r="G547" i="4" s="1"/>
  <c r="F546" i="4"/>
  <c r="G546" i="4" s="1"/>
  <c r="F545" i="4"/>
  <c r="G545" i="4" s="1"/>
  <c r="F542" i="4"/>
  <c r="G542" i="4" s="1"/>
  <c r="F541" i="4"/>
  <c r="G541" i="4" s="1"/>
  <c r="F540" i="4"/>
  <c r="G540" i="4" s="1"/>
  <c r="F539" i="4"/>
  <c r="G539" i="4" s="1"/>
  <c r="F538" i="4"/>
  <c r="G538" i="4" s="1"/>
  <c r="F537" i="4"/>
  <c r="G537" i="4" s="1"/>
  <c r="F536" i="4"/>
  <c r="G536" i="4" s="1"/>
  <c r="F535" i="4"/>
  <c r="G535" i="4" s="1"/>
  <c r="F534" i="4"/>
  <c r="G534" i="4" s="1"/>
  <c r="F533" i="4"/>
  <c r="G533" i="4" s="1"/>
  <c r="F532" i="4"/>
  <c r="G532" i="4" s="1"/>
  <c r="F531" i="4"/>
  <c r="G531" i="4" s="1"/>
  <c r="F530" i="4"/>
  <c r="G530" i="4" s="1"/>
  <c r="F529" i="4"/>
  <c r="G529" i="4" s="1"/>
  <c r="F528" i="4"/>
  <c r="G528" i="4" s="1"/>
  <c r="F526" i="4"/>
  <c r="G526" i="4" s="1"/>
  <c r="F525" i="4"/>
  <c r="G525" i="4" s="1"/>
  <c r="F524" i="4"/>
  <c r="G524" i="4" s="1"/>
  <c r="F523" i="4"/>
  <c r="G523" i="4" s="1"/>
  <c r="F522" i="4"/>
  <c r="G522" i="4" s="1"/>
  <c r="F521" i="4"/>
  <c r="G521" i="4" s="1"/>
  <c r="F520" i="4"/>
  <c r="G520" i="4" s="1"/>
  <c r="F519" i="4"/>
  <c r="G519" i="4" s="1"/>
  <c r="F518" i="4"/>
  <c r="G518" i="4" s="1"/>
  <c r="F517" i="4"/>
  <c r="G517" i="4" s="1"/>
  <c r="F516" i="4"/>
  <c r="G516" i="4" s="1"/>
  <c r="F515" i="4"/>
  <c r="G515" i="4" s="1"/>
  <c r="F514" i="4"/>
  <c r="G514" i="4" s="1"/>
  <c r="F513" i="4"/>
  <c r="G513" i="4" s="1"/>
  <c r="F512" i="4"/>
  <c r="G512" i="4" s="1"/>
  <c r="F510" i="4"/>
  <c r="G510" i="4" s="1"/>
  <c r="F509" i="4"/>
  <c r="G509" i="4" s="1"/>
  <c r="F508" i="4"/>
  <c r="G508" i="4" s="1"/>
  <c r="F507" i="4"/>
  <c r="G507" i="4" s="1"/>
  <c r="F506" i="4"/>
  <c r="G506" i="4" s="1"/>
  <c r="F505" i="4"/>
  <c r="G505" i="4" s="1"/>
  <c r="F504" i="4"/>
  <c r="G504" i="4" s="1"/>
  <c r="F503" i="4"/>
  <c r="G503" i="4" s="1"/>
  <c r="F502" i="4"/>
  <c r="G502" i="4" s="1"/>
  <c r="F501" i="4"/>
  <c r="G501" i="4" s="1"/>
  <c r="F500" i="4"/>
  <c r="G500" i="4" s="1"/>
  <c r="F499" i="4"/>
  <c r="G499" i="4" s="1"/>
  <c r="F498" i="4"/>
  <c r="G498" i="4" s="1"/>
  <c r="F497" i="4"/>
  <c r="G497" i="4" s="1"/>
  <c r="F496" i="4"/>
  <c r="G496" i="4" s="1"/>
  <c r="F494" i="4"/>
  <c r="G494" i="4" s="1"/>
  <c r="F493" i="4"/>
  <c r="G493" i="4" s="1"/>
  <c r="F492" i="4"/>
  <c r="G492" i="4" s="1"/>
  <c r="F491" i="4"/>
  <c r="G491" i="4" s="1"/>
  <c r="F490" i="4"/>
  <c r="G490" i="4" s="1"/>
  <c r="F489" i="4"/>
  <c r="G489" i="4" s="1"/>
  <c r="F488" i="4"/>
  <c r="G488" i="4" s="1"/>
  <c r="F487" i="4"/>
  <c r="G487" i="4" s="1"/>
  <c r="F486" i="4"/>
  <c r="G486" i="4" s="1"/>
  <c r="F485" i="4"/>
  <c r="G485" i="4" s="1"/>
  <c r="F484" i="4"/>
  <c r="G484" i="4" s="1"/>
  <c r="F483" i="4"/>
  <c r="G483" i="4" s="1"/>
  <c r="F482" i="4"/>
  <c r="G482" i="4" s="1"/>
  <c r="F481" i="4"/>
  <c r="G481" i="4" s="1"/>
  <c r="F480" i="4"/>
  <c r="G480" i="4" s="1"/>
  <c r="F476" i="4"/>
  <c r="G476" i="4" s="1"/>
  <c r="F475" i="4"/>
  <c r="G475" i="4" s="1"/>
  <c r="F474" i="4"/>
  <c r="G474" i="4" s="1"/>
  <c r="F473" i="4"/>
  <c r="G473" i="4" s="1"/>
  <c r="F472" i="4"/>
  <c r="G472" i="4" s="1"/>
  <c r="F471" i="4"/>
  <c r="G471" i="4" s="1"/>
  <c r="F470" i="4"/>
  <c r="G470" i="4" s="1"/>
  <c r="F469" i="4"/>
  <c r="G469" i="4" s="1"/>
  <c r="F468" i="4"/>
  <c r="G468" i="4" s="1"/>
  <c r="F467" i="4"/>
  <c r="G467" i="4" s="1"/>
  <c r="F466" i="4"/>
  <c r="G466" i="4" s="1"/>
  <c r="F465" i="4"/>
  <c r="G465" i="4" s="1"/>
  <c r="F464" i="4"/>
  <c r="G464" i="4" s="1"/>
  <c r="F463" i="4"/>
  <c r="G463" i="4" s="1"/>
  <c r="F462" i="4"/>
  <c r="G462" i="4" s="1"/>
  <c r="F461" i="4"/>
  <c r="G461" i="4" s="1"/>
  <c r="F460" i="4"/>
  <c r="G460" i="4" s="1"/>
  <c r="F459" i="4"/>
  <c r="G459" i="4" s="1"/>
  <c r="F458" i="4"/>
  <c r="G458" i="4" s="1"/>
  <c r="F457" i="4"/>
  <c r="G457" i="4" s="1"/>
  <c r="F455" i="4"/>
  <c r="G455" i="4" s="1"/>
  <c r="F454" i="4"/>
  <c r="G454" i="4" s="1"/>
  <c r="F453" i="4"/>
  <c r="G453" i="4" s="1"/>
  <c r="F452" i="4"/>
  <c r="G452" i="4" s="1"/>
  <c r="F451" i="4"/>
  <c r="G451" i="4" s="1"/>
  <c r="F450" i="4"/>
  <c r="G450" i="4" s="1"/>
  <c r="F449" i="4"/>
  <c r="G449" i="4" s="1"/>
  <c r="F448" i="4"/>
  <c r="G448" i="4" s="1"/>
  <c r="F447" i="4"/>
  <c r="G447" i="4" s="1"/>
  <c r="F446" i="4"/>
  <c r="G446" i="4" s="1"/>
  <c r="F445" i="4"/>
  <c r="G445" i="4" s="1"/>
  <c r="F444" i="4"/>
  <c r="G444" i="4" s="1"/>
  <c r="F443" i="4"/>
  <c r="G443" i="4" s="1"/>
  <c r="F442" i="4"/>
  <c r="G442" i="4" s="1"/>
  <c r="F441" i="4"/>
  <c r="G441" i="4" s="1"/>
  <c r="F440" i="4"/>
  <c r="G440" i="4" s="1"/>
  <c r="F439" i="4"/>
  <c r="G439" i="4" s="1"/>
  <c r="F438" i="4"/>
  <c r="G438" i="4" s="1"/>
  <c r="F437" i="4"/>
  <c r="G437" i="4" s="1"/>
  <c r="F436" i="4"/>
  <c r="G436" i="4" s="1"/>
  <c r="F434" i="4"/>
  <c r="G434" i="4" s="1"/>
  <c r="F433" i="4"/>
  <c r="G433" i="4" s="1"/>
  <c r="F432" i="4"/>
  <c r="G432" i="4" s="1"/>
  <c r="F431" i="4"/>
  <c r="G431" i="4" s="1"/>
  <c r="F430" i="4"/>
  <c r="G430" i="4" s="1"/>
  <c r="F429" i="4"/>
  <c r="G429" i="4" s="1"/>
  <c r="F428" i="4"/>
  <c r="G428" i="4" s="1"/>
  <c r="F427" i="4"/>
  <c r="G427" i="4" s="1"/>
  <c r="F426" i="4"/>
  <c r="G426" i="4" s="1"/>
  <c r="F425" i="4"/>
  <c r="G425" i="4" s="1"/>
  <c r="F424" i="4"/>
  <c r="G424" i="4" s="1"/>
  <c r="F423" i="4"/>
  <c r="G423" i="4" s="1"/>
  <c r="F422" i="4"/>
  <c r="G422" i="4" s="1"/>
  <c r="F421" i="4"/>
  <c r="G421" i="4" s="1"/>
  <c r="F420" i="4"/>
  <c r="G420" i="4" s="1"/>
  <c r="F419" i="4"/>
  <c r="G419" i="4" s="1"/>
  <c r="F418" i="4"/>
  <c r="G418" i="4" s="1"/>
  <c r="F417" i="4"/>
  <c r="G417" i="4" s="1"/>
  <c r="F416" i="4"/>
  <c r="G416" i="4" s="1"/>
  <c r="F415" i="4"/>
  <c r="G415" i="4" s="1"/>
  <c r="F414" i="4"/>
  <c r="G414" i="4" s="1"/>
  <c r="F412" i="4"/>
  <c r="G412" i="4" s="1"/>
  <c r="F411" i="4"/>
  <c r="G411" i="4" s="1"/>
  <c r="F410" i="4"/>
  <c r="G410" i="4" s="1"/>
  <c r="F409" i="4"/>
  <c r="G409" i="4" s="1"/>
  <c r="F408" i="4"/>
  <c r="G408" i="4" s="1"/>
  <c r="F407" i="4"/>
  <c r="G407" i="4" s="1"/>
  <c r="F406" i="4"/>
  <c r="G406" i="4" s="1"/>
  <c r="F405" i="4"/>
  <c r="G405" i="4" s="1"/>
  <c r="F404" i="4"/>
  <c r="G404" i="4" s="1"/>
  <c r="F403" i="4"/>
  <c r="G403" i="4" s="1"/>
  <c r="F402" i="4"/>
  <c r="G402" i="4" s="1"/>
  <c r="F401" i="4"/>
  <c r="G401" i="4" s="1"/>
  <c r="F400" i="4"/>
  <c r="G400" i="4" s="1"/>
  <c r="F399" i="4"/>
  <c r="G399" i="4" s="1"/>
  <c r="F398" i="4"/>
  <c r="G398" i="4" s="1"/>
  <c r="F397" i="4"/>
  <c r="G397" i="4" s="1"/>
  <c r="F396" i="4"/>
  <c r="G396" i="4" s="1"/>
  <c r="F395" i="4"/>
  <c r="G395" i="4" s="1"/>
  <c r="F394" i="4"/>
  <c r="G394" i="4" s="1"/>
  <c r="F393" i="4"/>
  <c r="G393" i="4" s="1"/>
  <c r="F391" i="4"/>
  <c r="G391" i="4" s="1"/>
  <c r="F390" i="4"/>
  <c r="G390" i="4" s="1"/>
  <c r="F389" i="4"/>
  <c r="G389" i="4" s="1"/>
  <c r="F388" i="4"/>
  <c r="G388" i="4" s="1"/>
  <c r="F387" i="4"/>
  <c r="G387" i="4" s="1"/>
  <c r="F386" i="4"/>
  <c r="G386" i="4" s="1"/>
  <c r="F385" i="4"/>
  <c r="G385" i="4" s="1"/>
  <c r="F384" i="4"/>
  <c r="G384" i="4" s="1"/>
  <c r="F383" i="4"/>
  <c r="G383" i="4" s="1"/>
  <c r="F382" i="4"/>
  <c r="G382" i="4" s="1"/>
  <c r="F381" i="4"/>
  <c r="G381" i="4" s="1"/>
  <c r="F380" i="4"/>
  <c r="G380" i="4" s="1"/>
  <c r="F379" i="4"/>
  <c r="G379" i="4" s="1"/>
  <c r="F378" i="4"/>
  <c r="G378" i="4" s="1"/>
  <c r="F377" i="4"/>
  <c r="G377" i="4" s="1"/>
  <c r="F376" i="4"/>
  <c r="G376" i="4" s="1"/>
  <c r="F375" i="4"/>
  <c r="G375" i="4" s="1"/>
  <c r="F374" i="4"/>
  <c r="G374" i="4" s="1"/>
  <c r="F373" i="4"/>
  <c r="G373" i="4" s="1"/>
  <c r="F372" i="4"/>
  <c r="G372" i="4" s="1"/>
  <c r="F369" i="4"/>
  <c r="G369" i="4" s="1"/>
  <c r="F368" i="4"/>
  <c r="G368" i="4" s="1"/>
  <c r="F367" i="4"/>
  <c r="G367" i="4" s="1"/>
  <c r="F366" i="4"/>
  <c r="G366" i="4" s="1"/>
  <c r="F365" i="4"/>
  <c r="G365" i="4" s="1"/>
  <c r="F364" i="4"/>
  <c r="G364" i="4" s="1"/>
  <c r="F362" i="4"/>
  <c r="G362" i="4" s="1"/>
  <c r="F361" i="4"/>
  <c r="G361" i="4" s="1"/>
  <c r="F360" i="4"/>
  <c r="G360" i="4" s="1"/>
  <c r="F359" i="4"/>
  <c r="G359" i="4" s="1"/>
  <c r="F358" i="4"/>
  <c r="G358" i="4" s="1"/>
  <c r="F357" i="4"/>
  <c r="G357" i="4" s="1"/>
  <c r="F356" i="4"/>
  <c r="G356" i="4" s="1"/>
  <c r="F355" i="4"/>
  <c r="G355" i="4" s="1"/>
  <c r="F353" i="4"/>
  <c r="G353" i="4" s="1"/>
  <c r="F352" i="4"/>
  <c r="G352" i="4" s="1"/>
  <c r="F351" i="4"/>
  <c r="G351" i="4" s="1"/>
  <c r="F350" i="4"/>
  <c r="G350" i="4" s="1"/>
  <c r="F349" i="4"/>
  <c r="G349" i="4" s="1"/>
  <c r="F348" i="4"/>
  <c r="G348" i="4" s="1"/>
  <c r="F347" i="4"/>
  <c r="G347" i="4" s="1"/>
  <c r="F346" i="4"/>
  <c r="G346" i="4" s="1"/>
  <c r="F345" i="4"/>
  <c r="G345" i="4" s="1"/>
  <c r="F343" i="4"/>
  <c r="G343" i="4" s="1"/>
  <c r="F342" i="4"/>
  <c r="G342" i="4" s="1"/>
  <c r="F341" i="4"/>
  <c r="G341" i="4" s="1"/>
  <c r="F340" i="4"/>
  <c r="G340" i="4" s="1"/>
  <c r="F339" i="4"/>
  <c r="G339" i="4" s="1"/>
  <c r="F338" i="4"/>
  <c r="G338" i="4" s="1"/>
  <c r="F337" i="4"/>
  <c r="G337" i="4" s="1"/>
  <c r="F336" i="4"/>
  <c r="G336" i="4" s="1"/>
  <c r="F334" i="4"/>
  <c r="G334" i="4" s="1"/>
  <c r="F333" i="4"/>
  <c r="G333" i="4" s="1"/>
  <c r="F332" i="4"/>
  <c r="G332" i="4" s="1"/>
  <c r="F331" i="4"/>
  <c r="G331" i="4" s="1"/>
  <c r="F330" i="4"/>
  <c r="G330" i="4" s="1"/>
  <c r="F329" i="4"/>
  <c r="G329" i="4" s="1"/>
  <c r="F327" i="4"/>
  <c r="G327" i="4" s="1"/>
  <c r="F326" i="4"/>
  <c r="G326" i="4" s="1"/>
  <c r="F325" i="4"/>
  <c r="G325" i="4" s="1"/>
  <c r="F324" i="4"/>
  <c r="G324" i="4" s="1"/>
  <c r="F323" i="4"/>
  <c r="G323" i="4" s="1"/>
  <c r="F322" i="4"/>
  <c r="G322" i="4" s="1"/>
  <c r="F321" i="4"/>
  <c r="G321" i="4" s="1"/>
  <c r="F320" i="4"/>
  <c r="G320" i="4" s="1"/>
  <c r="F319" i="4"/>
  <c r="G319" i="4" s="1"/>
  <c r="F316" i="4"/>
  <c r="G316" i="4" s="1"/>
  <c r="F315" i="4"/>
  <c r="G315" i="4" s="1"/>
  <c r="F314" i="4"/>
  <c r="G314" i="4" s="1"/>
  <c r="F313" i="4"/>
  <c r="G313" i="4" s="1"/>
  <c r="F311" i="4"/>
  <c r="G311" i="4" s="1"/>
  <c r="F310" i="4"/>
  <c r="G310" i="4" s="1"/>
  <c r="F309" i="4"/>
  <c r="G309" i="4" s="1"/>
  <c r="F308" i="4"/>
  <c r="G308" i="4" s="1"/>
  <c r="F307" i="4"/>
  <c r="G307" i="4" s="1"/>
  <c r="F306" i="4"/>
  <c r="G306" i="4" s="1"/>
  <c r="F305" i="4"/>
  <c r="G305" i="4" s="1"/>
  <c r="F304" i="4"/>
  <c r="G304" i="4" s="1"/>
  <c r="F303" i="4"/>
  <c r="G303" i="4" s="1"/>
  <c r="F301" i="4"/>
  <c r="G301" i="4" s="1"/>
  <c r="F300" i="4"/>
  <c r="G300" i="4" s="1"/>
  <c r="F299" i="4"/>
  <c r="G299" i="4" s="1"/>
  <c r="F298" i="4"/>
  <c r="G298" i="4" s="1"/>
  <c r="F297" i="4"/>
  <c r="G297" i="4" s="1"/>
  <c r="F296" i="4"/>
  <c r="G296" i="4" s="1"/>
  <c r="F295" i="4"/>
  <c r="G295" i="4" s="1"/>
  <c r="F294" i="4"/>
  <c r="G294" i="4" s="1"/>
  <c r="F293" i="4"/>
  <c r="G293" i="4" s="1"/>
  <c r="F290" i="4"/>
  <c r="G290" i="4" s="1"/>
  <c r="F289" i="4"/>
  <c r="G289" i="4" s="1"/>
  <c r="F288" i="4"/>
  <c r="G288" i="4" s="1"/>
  <c r="F287" i="4"/>
  <c r="G287" i="4" s="1"/>
  <c r="F286" i="4"/>
  <c r="G286" i="4" s="1"/>
  <c r="F285" i="4"/>
  <c r="G285" i="4" s="1"/>
  <c r="F284" i="4"/>
  <c r="G284" i="4" s="1"/>
  <c r="F283" i="4"/>
  <c r="G283" i="4" s="1"/>
  <c r="F282" i="4"/>
  <c r="G282" i="4" s="1"/>
  <c r="F281" i="4"/>
  <c r="G281" i="4" s="1"/>
  <c r="F280" i="4"/>
  <c r="G280" i="4" s="1"/>
  <c r="F278" i="4"/>
  <c r="G278" i="4" s="1"/>
  <c r="F277" i="4"/>
  <c r="G277" i="4" s="1"/>
  <c r="F276" i="4"/>
  <c r="G276" i="4" s="1"/>
  <c r="F275" i="4"/>
  <c r="G275" i="4" s="1"/>
  <c r="F274" i="4"/>
  <c r="G274" i="4" s="1"/>
  <c r="F273" i="4"/>
  <c r="G273" i="4" s="1"/>
  <c r="F272" i="4"/>
  <c r="G272" i="4" s="1"/>
  <c r="F271" i="4"/>
  <c r="G271" i="4" s="1"/>
  <c r="F270" i="4"/>
  <c r="G270" i="4" s="1"/>
  <c r="F268" i="4"/>
  <c r="G268" i="4" s="1"/>
  <c r="F267" i="4"/>
  <c r="G267" i="4" s="1"/>
  <c r="F266" i="4"/>
  <c r="G266" i="4" s="1"/>
  <c r="F265" i="4"/>
  <c r="G265" i="4" s="1"/>
  <c r="F264" i="4"/>
  <c r="G264" i="4" s="1"/>
  <c r="F263" i="4"/>
  <c r="G263" i="4" s="1"/>
  <c r="F262" i="4"/>
  <c r="G262" i="4" s="1"/>
  <c r="F261" i="4"/>
  <c r="G261" i="4" s="1"/>
  <c r="F260" i="4"/>
  <c r="G260" i="4" s="1"/>
  <c r="F257" i="4"/>
  <c r="G257" i="4" s="1"/>
  <c r="F256" i="4"/>
  <c r="G256" i="4" s="1"/>
  <c r="F255" i="4"/>
  <c r="G255" i="4" s="1"/>
  <c r="F252" i="4"/>
  <c r="G252" i="4" s="1"/>
  <c r="F251" i="4"/>
  <c r="G251" i="4" s="1"/>
  <c r="F250" i="4"/>
  <c r="G250" i="4" s="1"/>
  <c r="F249" i="4"/>
  <c r="G249" i="4" s="1"/>
  <c r="F248" i="4"/>
  <c r="G248" i="4" s="1"/>
  <c r="F247" i="4"/>
  <c r="G247" i="4" s="1"/>
  <c r="F246" i="4"/>
  <c r="G246" i="4" s="1"/>
  <c r="F245" i="4"/>
  <c r="G245" i="4" s="1"/>
  <c r="F244" i="4"/>
  <c r="G244" i="4" s="1"/>
  <c r="F243" i="4"/>
  <c r="G243" i="4" s="1"/>
  <c r="F242" i="4"/>
  <c r="G242" i="4" s="1"/>
  <c r="F241" i="4"/>
  <c r="G241" i="4" s="1"/>
  <c r="F240" i="4"/>
  <c r="G240" i="4" s="1"/>
  <c r="F239" i="4"/>
  <c r="G239" i="4" s="1"/>
  <c r="F238" i="4"/>
  <c r="G238" i="4" s="1"/>
  <c r="F237" i="4"/>
  <c r="G237" i="4" s="1"/>
  <c r="F236" i="4"/>
  <c r="G236" i="4" s="1"/>
  <c r="F234" i="4"/>
  <c r="G234" i="4" s="1"/>
  <c r="F233" i="4"/>
  <c r="G233" i="4" s="1"/>
  <c r="F232" i="4"/>
  <c r="G232" i="4" s="1"/>
  <c r="F231" i="4"/>
  <c r="G231" i="4" s="1"/>
  <c r="F230" i="4"/>
  <c r="G230" i="4" s="1"/>
  <c r="F229" i="4"/>
  <c r="G229" i="4" s="1"/>
  <c r="F228" i="4"/>
  <c r="G228" i="4" s="1"/>
  <c r="F227" i="4"/>
  <c r="G227" i="4" s="1"/>
  <c r="F226" i="4"/>
  <c r="G226" i="4" s="1"/>
  <c r="F225" i="4"/>
  <c r="G225" i="4" s="1"/>
  <c r="F224" i="4"/>
  <c r="G224" i="4" s="1"/>
  <c r="F223" i="4"/>
  <c r="G223" i="4" s="1"/>
  <c r="F222" i="4"/>
  <c r="G222" i="4" s="1"/>
  <c r="F221" i="4"/>
  <c r="G221" i="4" s="1"/>
  <c r="F220" i="4"/>
  <c r="G220" i="4" s="1"/>
  <c r="F219" i="4"/>
  <c r="G219" i="4" s="1"/>
  <c r="F218" i="4"/>
  <c r="G218" i="4" s="1"/>
  <c r="F217" i="4"/>
  <c r="G217" i="4" s="1"/>
  <c r="F216" i="4"/>
  <c r="G216" i="4" s="1"/>
  <c r="F215" i="4"/>
  <c r="G215" i="4" s="1"/>
  <c r="F214" i="4"/>
  <c r="G214" i="4" s="1"/>
  <c r="F213" i="4"/>
  <c r="G213" i="4" s="1"/>
  <c r="F211" i="4"/>
  <c r="G211" i="4" s="1"/>
  <c r="F210" i="4"/>
  <c r="G210" i="4" s="1"/>
  <c r="F209" i="4"/>
  <c r="G209" i="4" s="1"/>
  <c r="F208" i="4"/>
  <c r="G208" i="4" s="1"/>
  <c r="F207" i="4"/>
  <c r="G207" i="4" s="1"/>
  <c r="F206" i="4"/>
  <c r="G206" i="4" s="1"/>
  <c r="F205" i="4"/>
  <c r="G205" i="4" s="1"/>
  <c r="F204" i="4"/>
  <c r="G204" i="4" s="1"/>
  <c r="F203" i="4"/>
  <c r="G203" i="4" s="1"/>
  <c r="F201" i="4"/>
  <c r="G201" i="4" s="1"/>
  <c r="F200" i="4"/>
  <c r="G200" i="4" s="1"/>
  <c r="F199" i="4"/>
  <c r="G199" i="4" s="1"/>
  <c r="F198" i="4"/>
  <c r="G198" i="4" s="1"/>
  <c r="F197" i="4"/>
  <c r="G197" i="4" s="1"/>
  <c r="F196" i="4"/>
  <c r="G196" i="4" s="1"/>
  <c r="F195" i="4"/>
  <c r="G195" i="4" s="1"/>
  <c r="F194" i="4"/>
  <c r="G194" i="4" s="1"/>
  <c r="F193" i="4"/>
  <c r="G193" i="4" s="1"/>
  <c r="F192" i="4"/>
  <c r="G192" i="4" s="1"/>
  <c r="F191" i="4"/>
  <c r="G191" i="4" s="1"/>
  <c r="F189" i="4"/>
  <c r="G189" i="4" s="1"/>
  <c r="F188" i="4"/>
  <c r="G188" i="4" s="1"/>
  <c r="F187" i="4"/>
  <c r="G187" i="4" s="1"/>
  <c r="F186" i="4"/>
  <c r="G186" i="4" s="1"/>
  <c r="F185" i="4"/>
  <c r="G185" i="4" s="1"/>
  <c r="F184" i="4"/>
  <c r="G184" i="4" s="1"/>
  <c r="F182" i="4"/>
  <c r="G182" i="4" s="1"/>
  <c r="F181" i="4"/>
  <c r="G181" i="4" s="1"/>
  <c r="F180" i="4"/>
  <c r="G180" i="4" s="1"/>
  <c r="F179" i="4"/>
  <c r="G179" i="4" s="1"/>
  <c r="F178" i="4"/>
  <c r="G178" i="4" s="1"/>
  <c r="F177" i="4"/>
  <c r="G177" i="4" s="1"/>
  <c r="F176" i="4"/>
  <c r="G176" i="4" s="1"/>
  <c r="F175" i="4"/>
  <c r="G175" i="4" s="1"/>
  <c r="F174" i="4"/>
  <c r="G174" i="4" s="1"/>
  <c r="F173" i="4"/>
  <c r="G173" i="4" s="1"/>
  <c r="F172" i="4"/>
  <c r="G172" i="4" s="1"/>
  <c r="F171" i="4"/>
  <c r="G171" i="4" s="1"/>
  <c r="F168" i="4"/>
  <c r="G168" i="4" s="1"/>
  <c r="F167" i="4"/>
  <c r="G167" i="4" s="1"/>
  <c r="F166" i="4"/>
  <c r="G166" i="4" s="1"/>
  <c r="F165" i="4"/>
  <c r="G165" i="4" s="1"/>
  <c r="F164" i="4"/>
  <c r="G164" i="4" s="1"/>
  <c r="F163" i="4"/>
  <c r="G163" i="4" s="1"/>
  <c r="F161" i="4"/>
  <c r="G161" i="4" s="1"/>
  <c r="F160" i="4"/>
  <c r="G160" i="4" s="1"/>
  <c r="F159" i="4"/>
  <c r="G159" i="4" s="1"/>
  <c r="F158" i="4"/>
  <c r="G158" i="4" s="1"/>
  <c r="F157" i="4"/>
  <c r="G157" i="4" s="1"/>
  <c r="F156" i="4"/>
  <c r="G156" i="4" s="1"/>
  <c r="F155" i="4"/>
  <c r="G155" i="4" s="1"/>
  <c r="F153" i="4"/>
  <c r="G153" i="4" s="1"/>
  <c r="F152" i="4"/>
  <c r="G152" i="4" s="1"/>
  <c r="F151" i="4"/>
  <c r="G151" i="4" s="1"/>
  <c r="F149" i="4"/>
  <c r="G149" i="4" s="1"/>
  <c r="F148" i="4"/>
  <c r="G148" i="4" s="1"/>
  <c r="F147" i="4"/>
  <c r="G147" i="4" s="1"/>
  <c r="F146" i="4"/>
  <c r="G146" i="4" s="1"/>
  <c r="F145" i="4"/>
  <c r="G145" i="4" s="1"/>
  <c r="F144" i="4"/>
  <c r="G144" i="4" s="1"/>
  <c r="F143" i="4"/>
  <c r="G143" i="4" s="1"/>
  <c r="F142" i="4"/>
  <c r="G142" i="4" s="1"/>
  <c r="F140" i="4"/>
  <c r="G140" i="4" s="1"/>
  <c r="F139" i="4"/>
  <c r="G139" i="4" s="1"/>
  <c r="F138" i="4"/>
  <c r="G138" i="4" s="1"/>
  <c r="F137" i="4"/>
  <c r="G137" i="4" s="1"/>
  <c r="F136" i="4"/>
  <c r="G136" i="4" s="1"/>
  <c r="F135" i="4"/>
  <c r="G135" i="4" s="1"/>
  <c r="F134" i="4"/>
  <c r="G134" i="4" s="1"/>
  <c r="F133" i="4"/>
  <c r="G133" i="4" s="1"/>
  <c r="F131" i="4"/>
  <c r="G131" i="4" s="1"/>
  <c r="F130" i="4"/>
  <c r="G130" i="4" s="1"/>
  <c r="F129" i="4"/>
  <c r="G129" i="4" s="1"/>
  <c r="F128" i="4"/>
  <c r="G128" i="4" s="1"/>
  <c r="F127" i="4"/>
  <c r="G127" i="4" s="1"/>
  <c r="F126" i="4"/>
  <c r="G126" i="4" s="1"/>
  <c r="F125" i="4"/>
  <c r="G125" i="4" s="1"/>
  <c r="F124" i="4"/>
  <c r="G124" i="4" s="1"/>
  <c r="F122" i="4"/>
  <c r="G122" i="4" s="1"/>
  <c r="F121" i="4"/>
  <c r="G121" i="4" s="1"/>
  <c r="F119" i="4"/>
  <c r="G119" i="4" s="1"/>
  <c r="F118" i="4"/>
  <c r="G118" i="4" s="1"/>
  <c r="F117" i="4"/>
  <c r="G117" i="4" s="1"/>
  <c r="F116" i="4"/>
  <c r="G116" i="4" s="1"/>
  <c r="F115" i="4"/>
  <c r="G115" i="4" s="1"/>
  <c r="F112" i="4"/>
  <c r="G112" i="4" s="1"/>
  <c r="F111" i="4"/>
  <c r="G111" i="4" s="1"/>
  <c r="F110" i="4"/>
  <c r="G110" i="4" s="1"/>
  <c r="F109" i="4"/>
  <c r="G109" i="4" s="1"/>
  <c r="F108" i="4"/>
  <c r="G108" i="4" s="1"/>
  <c r="F106" i="4"/>
  <c r="G106" i="4" s="1"/>
  <c r="F105" i="4"/>
  <c r="G105" i="4" s="1"/>
  <c r="F104" i="4"/>
  <c r="G104" i="4" s="1"/>
  <c r="F103" i="4"/>
  <c r="G103" i="4" s="1"/>
  <c r="F102" i="4"/>
  <c r="G102" i="4" s="1"/>
  <c r="F97" i="4"/>
  <c r="G97" i="4" s="1"/>
  <c r="F96" i="4"/>
  <c r="G96" i="4" s="1"/>
  <c r="F95" i="4"/>
  <c r="G95" i="4" s="1"/>
  <c r="F94" i="4"/>
  <c r="G94" i="4" s="1"/>
  <c r="F93" i="4"/>
  <c r="G93" i="4" s="1"/>
  <c r="F92" i="4"/>
  <c r="G92" i="4" s="1"/>
  <c r="F91" i="4"/>
  <c r="G91" i="4" s="1"/>
  <c r="F90" i="4"/>
  <c r="G90" i="4" s="1"/>
  <c r="F88" i="4"/>
  <c r="G88" i="4" s="1"/>
  <c r="F87" i="4"/>
  <c r="G87" i="4" s="1"/>
  <c r="F86" i="4"/>
  <c r="G86" i="4" s="1"/>
  <c r="F85" i="4"/>
  <c r="G85" i="4" s="1"/>
  <c r="F83" i="4"/>
  <c r="G83" i="4" s="1"/>
  <c r="F82" i="4"/>
  <c r="G82" i="4" s="1"/>
  <c r="F81" i="4"/>
  <c r="G81" i="4" s="1"/>
  <c r="F80" i="4"/>
  <c r="G80" i="4" s="1"/>
  <c r="F77" i="4"/>
  <c r="G77" i="4" s="1"/>
  <c r="F76" i="4"/>
  <c r="G76" i="4" s="1"/>
  <c r="F74" i="4"/>
  <c r="G74" i="4" s="1"/>
  <c r="F73" i="4"/>
  <c r="G73" i="4" s="1"/>
  <c r="F72" i="4"/>
  <c r="G72" i="4" s="1"/>
  <c r="F71" i="4"/>
  <c r="G71" i="4" s="1"/>
  <c r="F70" i="4"/>
  <c r="G70" i="4" s="1"/>
  <c r="F69" i="4"/>
  <c r="G69" i="4" s="1"/>
  <c r="F66" i="4"/>
  <c r="G66" i="4" s="1"/>
  <c r="F65" i="4"/>
  <c r="G65" i="4" s="1"/>
  <c r="F63" i="4"/>
  <c r="G63" i="4" s="1"/>
  <c r="F62" i="4"/>
  <c r="G62" i="4" s="1"/>
  <c r="F61" i="4"/>
  <c r="G61" i="4" s="1"/>
  <c r="F60" i="4"/>
  <c r="G60" i="4" s="1"/>
  <c r="F59" i="4"/>
  <c r="G59" i="4" s="1"/>
  <c r="F58" i="4"/>
  <c r="G58" i="4" s="1"/>
  <c r="F57" i="4"/>
  <c r="G57" i="4" s="1"/>
  <c r="F56" i="4"/>
  <c r="G56" i="4" s="1"/>
  <c r="F55" i="4"/>
  <c r="G55" i="4" s="1"/>
  <c r="F54" i="4"/>
  <c r="G54" i="4" s="1"/>
  <c r="F53" i="4"/>
  <c r="G53" i="4" s="1"/>
  <c r="F51" i="4"/>
  <c r="G51" i="4" s="1"/>
  <c r="F50" i="4"/>
  <c r="G50" i="4" s="1"/>
  <c r="F49" i="4"/>
  <c r="G49" i="4" s="1"/>
  <c r="F48" i="4"/>
  <c r="G48" i="4" s="1"/>
  <c r="F47" i="4"/>
  <c r="G47" i="4" s="1"/>
  <c r="F46" i="4"/>
  <c r="G46" i="4" s="1"/>
  <c r="F45" i="4"/>
  <c r="G45" i="4" s="1"/>
  <c r="F44" i="4"/>
  <c r="G44" i="4" s="1"/>
  <c r="F43" i="4"/>
  <c r="G43" i="4" s="1"/>
  <c r="F42" i="4"/>
  <c r="G42" i="4" s="1"/>
  <c r="F41" i="4"/>
  <c r="G41" i="4" s="1"/>
  <c r="F40" i="4"/>
  <c r="G40" i="4" s="1"/>
  <c r="F39" i="4"/>
  <c r="G39" i="4" s="1"/>
  <c r="F37" i="4"/>
  <c r="G37" i="4" s="1"/>
  <c r="F36" i="4"/>
  <c r="G36" i="4" s="1"/>
  <c r="F35" i="4"/>
  <c r="G35" i="4" s="1"/>
  <c r="F34" i="4"/>
  <c r="G34" i="4" s="1"/>
  <c r="F33" i="4"/>
  <c r="G33" i="4" s="1"/>
  <c r="F32" i="4"/>
  <c r="G32" i="4" s="1"/>
  <c r="F31" i="4"/>
  <c r="G31" i="4" s="1"/>
  <c r="F30" i="4"/>
  <c r="G30" i="4" s="1"/>
  <c r="F29" i="4"/>
  <c r="G29" i="4" s="1"/>
  <c r="F28" i="4"/>
  <c r="G28" i="4" s="1"/>
  <c r="F27" i="4"/>
  <c r="G27" i="4" s="1"/>
  <c r="F26" i="4"/>
  <c r="G26" i="4" s="1"/>
  <c r="F25" i="4"/>
  <c r="G25" i="4" s="1"/>
  <c r="F22" i="4"/>
  <c r="G22" i="4" s="1"/>
  <c r="F21" i="4"/>
  <c r="G21" i="4" s="1"/>
  <c r="F20" i="4"/>
  <c r="G20" i="4" s="1"/>
  <c r="F19" i="4"/>
  <c r="G19" i="4" s="1"/>
  <c r="F17" i="4"/>
  <c r="G17" i="4" s="1"/>
  <c r="F16" i="4"/>
  <c r="G16" i="4" s="1"/>
  <c r="F14" i="4"/>
  <c r="G14" i="4" s="1"/>
  <c r="F12" i="4"/>
  <c r="G12" i="4" s="1"/>
  <c r="F584" i="1"/>
  <c r="G584" i="1" s="1"/>
  <c r="F575" i="1"/>
  <c r="G575" i="1" s="1"/>
  <c r="F574" i="1"/>
  <c r="G574" i="1" s="1"/>
  <c r="F573" i="1"/>
  <c r="G573" i="1" s="1"/>
  <c r="F571" i="1"/>
  <c r="G571" i="1" s="1"/>
  <c r="F570" i="1"/>
  <c r="G570" i="1" s="1"/>
  <c r="F569" i="1"/>
  <c r="G569" i="1" s="1"/>
  <c r="F568" i="1"/>
  <c r="G568" i="1" s="1"/>
  <c r="F565" i="1"/>
  <c r="G565" i="1" s="1"/>
  <c r="F562" i="1"/>
  <c r="G562" i="1" s="1"/>
  <c r="F555" i="1"/>
  <c r="G555" i="1" s="1"/>
  <c r="F544" i="1"/>
  <c r="G544" i="1" s="1"/>
  <c r="F543" i="1"/>
  <c r="G543" i="1" s="1"/>
  <c r="F542" i="1"/>
  <c r="G542" i="1" s="1"/>
  <c r="F540" i="1"/>
  <c r="G540" i="1" s="1"/>
  <c r="F539" i="1"/>
  <c r="G539" i="1" s="1"/>
  <c r="F538" i="1"/>
  <c r="G538" i="1" s="1"/>
  <c r="F535" i="1"/>
  <c r="G535" i="1" s="1"/>
  <c r="F534" i="1"/>
  <c r="G534" i="1" s="1"/>
  <c r="F532" i="1"/>
  <c r="G532" i="1" s="1"/>
  <c r="F531" i="1"/>
  <c r="G531" i="1" s="1"/>
  <c r="F525" i="1"/>
  <c r="G525" i="1" s="1"/>
  <c r="F470" i="1"/>
  <c r="G470" i="1" s="1"/>
  <c r="F469" i="1"/>
  <c r="G469" i="1" s="1"/>
  <c r="F456" i="1"/>
  <c r="G456" i="1" s="1"/>
  <c r="F446" i="1"/>
  <c r="G446" i="1" s="1"/>
  <c r="F436" i="1"/>
  <c r="G436" i="1" s="1"/>
  <c r="F416" i="1"/>
  <c r="G416" i="1" s="1"/>
  <c r="F415" i="1"/>
  <c r="G415" i="1" s="1"/>
  <c r="F414" i="1"/>
  <c r="G414" i="1" s="1"/>
  <c r="F413" i="1"/>
  <c r="G413" i="1" s="1"/>
  <c r="F412" i="1"/>
  <c r="G412" i="1" s="1"/>
  <c r="F409" i="1"/>
  <c r="G409" i="1" s="1"/>
  <c r="F408" i="1"/>
  <c r="G408" i="1" s="1"/>
  <c r="F407" i="1"/>
  <c r="G407" i="1" s="1"/>
  <c r="F404" i="1"/>
  <c r="G404" i="1" s="1"/>
  <c r="F403" i="1"/>
  <c r="G403" i="1" s="1"/>
  <c r="F402" i="1"/>
  <c r="G402" i="1" s="1"/>
  <c r="F401" i="1"/>
  <c r="G401" i="1" s="1"/>
  <c r="F400" i="1"/>
  <c r="G400" i="1" s="1"/>
  <c r="F399" i="1"/>
  <c r="G399" i="1" s="1"/>
  <c r="F398" i="1"/>
  <c r="G398" i="1" s="1"/>
  <c r="F397" i="1"/>
  <c r="G397" i="1" s="1"/>
  <c r="F396" i="1"/>
  <c r="G396" i="1" s="1"/>
  <c r="F395" i="1"/>
  <c r="G395" i="1" s="1"/>
  <c r="F394" i="1"/>
  <c r="G394" i="1" s="1"/>
  <c r="F391" i="1"/>
  <c r="G391" i="1" s="1"/>
  <c r="F389" i="1"/>
  <c r="G389" i="1" s="1"/>
  <c r="F388" i="1"/>
  <c r="G388" i="1" s="1"/>
  <c r="F387" i="1"/>
  <c r="G387" i="1" s="1"/>
  <c r="F385" i="1"/>
  <c r="G385" i="1" s="1"/>
  <c r="F384" i="1"/>
  <c r="G384" i="1" s="1"/>
  <c r="F379" i="1"/>
  <c r="G379" i="1" s="1"/>
  <c r="F378" i="1"/>
  <c r="G378" i="1" s="1"/>
  <c r="F374" i="1"/>
  <c r="G374" i="1" s="1"/>
  <c r="F373" i="1"/>
  <c r="G373" i="1" s="1"/>
  <c r="F372" i="1"/>
  <c r="G372" i="1" s="1"/>
  <c r="F371" i="1"/>
  <c r="G371" i="1" s="1"/>
  <c r="F370" i="1"/>
  <c r="G370" i="1" s="1"/>
  <c r="F369" i="1"/>
  <c r="G369" i="1" s="1"/>
  <c r="F367" i="1"/>
  <c r="G367" i="1" s="1"/>
  <c r="F366" i="1"/>
  <c r="G366" i="1" s="1"/>
  <c r="F365" i="1"/>
  <c r="G365" i="1" s="1"/>
  <c r="F364" i="1"/>
  <c r="G364" i="1" s="1"/>
  <c r="F363" i="1"/>
  <c r="G363" i="1" s="1"/>
  <c r="F362" i="1"/>
  <c r="G362" i="1" s="1"/>
  <c r="F347" i="1"/>
  <c r="G347" i="1" s="1"/>
  <c r="F346" i="1"/>
  <c r="G346" i="1" s="1"/>
  <c r="F345" i="1"/>
  <c r="G345" i="1" s="1"/>
  <c r="F340" i="1"/>
  <c r="G340" i="1" s="1"/>
  <c r="F339" i="1"/>
  <c r="G339" i="1" s="1"/>
  <c r="F338" i="1"/>
  <c r="G338" i="1" s="1"/>
  <c r="F331" i="1"/>
  <c r="G331" i="1" s="1"/>
  <c r="F329" i="1"/>
  <c r="G329" i="1" s="1"/>
  <c r="F306" i="1"/>
  <c r="G306" i="1" s="1"/>
  <c r="F305" i="1"/>
  <c r="G305" i="1" s="1"/>
  <c r="F304" i="1"/>
  <c r="G304" i="1" s="1"/>
  <c r="F303" i="1"/>
  <c r="G303" i="1" s="1"/>
  <c r="F302" i="1"/>
  <c r="G302" i="1" s="1"/>
  <c r="F301" i="1"/>
  <c r="G301" i="1" s="1"/>
  <c r="F298" i="1"/>
  <c r="G298" i="1" s="1"/>
  <c r="F297" i="1"/>
  <c r="G297" i="1" s="1"/>
  <c r="F296" i="1"/>
  <c r="G296" i="1" s="1"/>
  <c r="F295" i="1"/>
  <c r="G295" i="1" s="1"/>
  <c r="F294" i="1"/>
  <c r="G294" i="1" s="1"/>
  <c r="F278" i="1"/>
  <c r="G278" i="1" s="1"/>
  <c r="F277" i="1"/>
  <c r="G277" i="1" s="1"/>
  <c r="F275" i="1"/>
  <c r="G275" i="1" s="1"/>
  <c r="F274" i="1"/>
  <c r="G274" i="1" s="1"/>
  <c r="F273" i="1"/>
  <c r="G273" i="1" s="1"/>
  <c r="F272" i="1"/>
  <c r="G272" i="1" s="1"/>
  <c r="F271" i="1"/>
  <c r="G271" i="1" s="1"/>
  <c r="F270" i="1"/>
  <c r="G270" i="1" s="1"/>
  <c r="F269" i="1"/>
  <c r="G269" i="1" s="1"/>
  <c r="F255" i="1"/>
  <c r="G255" i="1" s="1"/>
  <c r="F254" i="1"/>
  <c r="G254" i="1" s="1"/>
  <c r="F253" i="1"/>
  <c r="G253" i="1" s="1"/>
  <c r="F252" i="1"/>
  <c r="G252" i="1" s="1"/>
  <c r="F251" i="1"/>
  <c r="G251" i="1" s="1"/>
  <c r="F250" i="1"/>
  <c r="G250" i="1" s="1"/>
  <c r="F249" i="1"/>
  <c r="G249" i="1" s="1"/>
  <c r="F240" i="1"/>
  <c r="G240" i="1" s="1"/>
  <c r="F234" i="1"/>
  <c r="G234" i="1" s="1"/>
  <c r="F233" i="1"/>
  <c r="G233" i="1" s="1"/>
  <c r="F232" i="1"/>
  <c r="G232" i="1" s="1"/>
  <c r="F231" i="1"/>
  <c r="G231" i="1" s="1"/>
  <c r="F224" i="1"/>
  <c r="G224" i="1" s="1"/>
  <c r="F223" i="1"/>
  <c r="G223" i="1" s="1"/>
  <c r="F222" i="1"/>
  <c r="G222" i="1" s="1"/>
  <c r="F221" i="1"/>
  <c r="G221" i="1" s="1"/>
  <c r="F220" i="1"/>
  <c r="G220" i="1" s="1"/>
  <c r="F219" i="1"/>
  <c r="G219" i="1" s="1"/>
  <c r="F161" i="1"/>
  <c r="G161" i="1" s="1"/>
  <c r="F160" i="1"/>
  <c r="G160" i="1" s="1"/>
  <c r="F155" i="1"/>
  <c r="G155" i="1" s="1"/>
  <c r="F154" i="1"/>
  <c r="G154" i="1" s="1"/>
  <c r="F149" i="1"/>
  <c r="G149" i="1" s="1"/>
  <c r="F148" i="1"/>
  <c r="G148" i="1" s="1"/>
  <c r="F147" i="1"/>
  <c r="G147" i="1" s="1"/>
  <c r="F146" i="1"/>
  <c r="G146" i="1" s="1"/>
  <c r="F145" i="1"/>
  <c r="G145" i="1" s="1"/>
  <c r="F144" i="1"/>
  <c r="G144" i="1" s="1"/>
  <c r="F143" i="1"/>
  <c r="G143" i="1" s="1"/>
  <c r="F142" i="1"/>
  <c r="G142" i="1" s="1"/>
  <c r="F141" i="1"/>
  <c r="G141" i="1" s="1"/>
  <c r="F140" i="1"/>
  <c r="G140" i="1" s="1"/>
  <c r="F120" i="1"/>
  <c r="G120" i="1" s="1"/>
  <c r="F105" i="1"/>
  <c r="G105" i="1" s="1"/>
  <c r="F104" i="1"/>
  <c r="G104" i="1" s="1"/>
  <c r="F103" i="1"/>
  <c r="G103" i="1" s="1"/>
  <c r="F102" i="1"/>
  <c r="G102" i="1" s="1"/>
  <c r="F101" i="1"/>
  <c r="G101" i="1" s="1"/>
  <c r="F78" i="1"/>
  <c r="G78" i="1" s="1"/>
  <c r="F67" i="1"/>
  <c r="G67" i="1" s="1"/>
  <c r="F66" i="1"/>
  <c r="G66" i="1" s="1"/>
  <c r="F56" i="1"/>
  <c r="G56" i="1" s="1"/>
  <c r="F54" i="1"/>
  <c r="G54" i="1" s="1"/>
  <c r="F51" i="1"/>
  <c r="G51" i="1" s="1"/>
  <c r="F50" i="1"/>
  <c r="G50" i="1" s="1"/>
  <c r="F44" i="1"/>
  <c r="G44" i="1" s="1"/>
  <c r="F40" i="1"/>
  <c r="G40" i="1" s="1"/>
  <c r="F36" i="1"/>
  <c r="G36" i="1" s="1"/>
  <c r="F35" i="1"/>
  <c r="G35" i="1" s="1"/>
  <c r="F27" i="1"/>
  <c r="G27" i="1" s="1"/>
  <c r="F26" i="1"/>
  <c r="G26" i="1" s="1"/>
  <c r="F25" i="1"/>
  <c r="G25" i="1" s="1"/>
  <c r="F24" i="1"/>
  <c r="G24" i="1" s="1"/>
  <c r="F21" i="1"/>
  <c r="G21" i="1" s="1"/>
  <c r="F2433" i="3"/>
  <c r="G2433" i="3" s="1"/>
  <c r="H2433" i="3" s="1"/>
  <c r="F2432" i="3"/>
  <c r="G2432" i="3" s="1"/>
  <c r="H2432" i="3" s="1"/>
  <c r="F2431" i="3"/>
  <c r="G2431" i="3" s="1"/>
  <c r="F2429" i="3"/>
  <c r="G2429" i="3" s="1"/>
  <c r="H2429" i="3" s="1"/>
  <c r="F2426" i="3"/>
  <c r="G2426" i="3" s="1"/>
  <c r="H2426" i="3" s="1"/>
  <c r="F2378" i="3"/>
  <c r="G2378" i="3" s="1"/>
  <c r="F2376" i="3"/>
  <c r="G2376" i="3" s="1"/>
  <c r="F2372" i="3"/>
  <c r="G2372" i="3" s="1"/>
  <c r="F2371" i="3"/>
  <c r="G2371" i="3" s="1"/>
  <c r="F2369" i="3"/>
  <c r="G2369" i="3" s="1"/>
  <c r="F146" i="3"/>
  <c r="G146" i="3" s="1"/>
  <c r="F145" i="3"/>
  <c r="G145" i="3" s="1"/>
  <c r="F144" i="3"/>
  <c r="G144" i="3" s="1"/>
  <c r="F143" i="3"/>
  <c r="G143" i="3" s="1"/>
  <c r="F142" i="3"/>
  <c r="F141" i="3"/>
  <c r="G141" i="3" s="1"/>
  <c r="F140" i="3"/>
  <c r="G140" i="3" s="1"/>
  <c r="F137" i="3"/>
  <c r="G137" i="3" s="1"/>
  <c r="F136" i="3"/>
  <c r="F135" i="3"/>
  <c r="G135" i="3" s="1"/>
  <c r="F134" i="3"/>
  <c r="G134" i="3" s="1"/>
  <c r="F133" i="3"/>
  <c r="G133" i="3" s="1"/>
  <c r="F132" i="3"/>
  <c r="G132" i="3" s="1"/>
  <c r="F131" i="3"/>
  <c r="G131" i="3" s="1"/>
  <c r="F128" i="3"/>
  <c r="G128" i="3" s="1"/>
  <c r="F127" i="3"/>
  <c r="G127" i="3" s="1"/>
  <c r="F126" i="3"/>
  <c r="G126" i="3" s="1"/>
  <c r="F125" i="3"/>
  <c r="G125" i="3" s="1"/>
  <c r="F124" i="3"/>
  <c r="G124" i="3" s="1"/>
  <c r="F123" i="3"/>
  <c r="G123" i="3" s="1"/>
  <c r="F122" i="3"/>
  <c r="F120" i="3"/>
  <c r="G120" i="3" s="1"/>
  <c r="F119" i="3"/>
  <c r="G119" i="3" s="1"/>
  <c r="F118" i="3"/>
  <c r="G118" i="3" s="1"/>
  <c r="F117" i="3"/>
  <c r="F115" i="3"/>
  <c r="G115" i="3" s="1"/>
  <c r="F113" i="3"/>
  <c r="G113" i="3" s="1"/>
  <c r="F48" i="3"/>
  <c r="G48" i="3" s="1"/>
  <c r="F47" i="3"/>
  <c r="F30" i="3"/>
  <c r="G30" i="3" s="1"/>
  <c r="F25" i="3"/>
  <c r="G25" i="3" s="1"/>
  <c r="F23" i="3"/>
  <c r="G23" i="3" s="1"/>
  <c r="F18" i="3"/>
  <c r="G308" i="3"/>
  <c r="H308" i="3" s="1"/>
  <c r="G511" i="3"/>
  <c r="H511" i="3" s="1"/>
  <c r="G519" i="3"/>
  <c r="H519" i="3" s="1"/>
  <c r="G554" i="3"/>
  <c r="H554" i="3" s="1"/>
  <c r="G690" i="3"/>
  <c r="H690" i="3" s="1"/>
  <c r="G742" i="3"/>
  <c r="H742" i="3" s="1"/>
  <c r="G90" i="3"/>
  <c r="H90" i="3" s="1"/>
  <c r="G699" i="3"/>
  <c r="H699" i="3" s="1"/>
  <c r="G1088" i="3"/>
  <c r="H1088" i="3" s="1"/>
  <c r="E1089" i="22" s="1"/>
  <c r="F1089" i="22" s="1"/>
  <c r="G1089" i="22" s="1"/>
  <c r="G274" i="3"/>
  <c r="H274" i="3" s="1"/>
  <c r="G692" i="3"/>
  <c r="H692" i="3" s="1"/>
  <c r="G744" i="3"/>
  <c r="H744" i="3" s="1"/>
  <c r="G1787" i="3"/>
  <c r="H1787" i="3" s="1"/>
  <c r="G171" i="3"/>
  <c r="H171" i="3" s="1"/>
  <c r="G179" i="3"/>
  <c r="H179" i="3" s="1"/>
  <c r="G294" i="3"/>
  <c r="H294" i="3" s="1"/>
  <c r="G1254" i="3"/>
  <c r="H1254" i="3" s="1"/>
  <c r="E1255" i="18" s="1"/>
  <c r="F1255" i="18" s="1"/>
  <c r="G1255" i="18" s="1"/>
  <c r="G2401" i="3"/>
  <c r="H2401" i="3" s="1"/>
  <c r="G268" i="3"/>
  <c r="H268" i="3" s="1"/>
  <c r="G378" i="3"/>
  <c r="H378" i="3" s="1"/>
  <c r="G489" i="3"/>
  <c r="H489" i="3" s="1"/>
  <c r="G515" i="3"/>
  <c r="H515" i="3" s="1"/>
  <c r="G550" i="3"/>
  <c r="H550" i="3" s="1"/>
  <c r="G686" i="3"/>
  <c r="H686" i="3" s="1"/>
  <c r="H737" i="3"/>
  <c r="G1255" i="3"/>
  <c r="H1255" i="3" s="1"/>
  <c r="E1256" i="18" s="1"/>
  <c r="F1256" i="18" s="1"/>
  <c r="G1256" i="18" s="1"/>
  <c r="G85" i="3"/>
  <c r="H85" i="3" s="1"/>
  <c r="G421" i="3"/>
  <c r="H421" i="3" s="1"/>
  <c r="G622" i="3"/>
  <c r="H622" i="3" s="1"/>
  <c r="G648" i="3"/>
  <c r="H648" i="3" s="1"/>
  <c r="G695" i="3"/>
  <c r="H695" i="3" s="1"/>
  <c r="G405" i="3"/>
  <c r="H405" i="3" s="1"/>
  <c r="G1257" i="3"/>
  <c r="H1257" i="3" s="1"/>
  <c r="E1258" i="18" s="1"/>
  <c r="F1258" i="18" s="1"/>
  <c r="G1258" i="18" s="1"/>
  <c r="G88" i="3"/>
  <c r="H88" i="3" s="1"/>
  <c r="G262" i="3"/>
  <c r="H262" i="3" s="1"/>
  <c r="G1258" i="3"/>
  <c r="H1258" i="3" s="1"/>
  <c r="E1259" i="18" s="1"/>
  <c r="F1259" i="18" s="1"/>
  <c r="G1259" i="18" s="1"/>
  <c r="G69" i="3"/>
  <c r="H69" i="3" s="1"/>
  <c r="G58" i="3"/>
  <c r="H58" i="3" s="1"/>
  <c r="G2023" i="3"/>
  <c r="H2023" i="3" s="1"/>
  <c r="E2020" i="18" s="1"/>
  <c r="F2020" i="18" s="1"/>
  <c r="G2020" i="18" s="1"/>
  <c r="G2019" i="3"/>
  <c r="H2019" i="3" s="1"/>
  <c r="E2016" i="18" s="1"/>
  <c r="F2016" i="18" s="1"/>
  <c r="G2016" i="18" s="1"/>
  <c r="G2386" i="3"/>
  <c r="H2386" i="3" s="1"/>
  <c r="G2382" i="3"/>
  <c r="H2382" i="3" s="1"/>
  <c r="G2398" i="3"/>
  <c r="H2398" i="3" s="1"/>
  <c r="G2365" i="3"/>
  <c r="H2365" i="3" s="1"/>
  <c r="G2342" i="3"/>
  <c r="H2342" i="3" s="1"/>
  <c r="E449" i="16" s="1"/>
  <c r="G449" i="16" s="1"/>
  <c r="G2344" i="3"/>
  <c r="H2344" i="3" s="1"/>
  <c r="G2348" i="3"/>
  <c r="H2348" i="3" s="1"/>
  <c r="G2176" i="3"/>
  <c r="H2176" i="3" s="1"/>
  <c r="E129" i="16" s="1"/>
  <c r="G129" i="16" s="1"/>
  <c r="G2221" i="3"/>
  <c r="H2221" i="3" s="1"/>
  <c r="G2297" i="3"/>
  <c r="H2297" i="3" s="1"/>
  <c r="G2323" i="3"/>
  <c r="H2323" i="3" s="1"/>
  <c r="G2205" i="3"/>
  <c r="H2205" i="3" s="1"/>
  <c r="G2233" i="3"/>
  <c r="H2233" i="3" s="1"/>
  <c r="E2236" i="18" s="1"/>
  <c r="F2236" i="18" s="1"/>
  <c r="G2236" i="18" s="1"/>
  <c r="G2316" i="3"/>
  <c r="H2316" i="3" s="1"/>
  <c r="G2272" i="3"/>
  <c r="H2272" i="3" s="1"/>
  <c r="G2300" i="3"/>
  <c r="H2300" i="3" s="1"/>
  <c r="G2180" i="3"/>
  <c r="H2180" i="3" s="1"/>
  <c r="E2183" i="18" s="1"/>
  <c r="F2183" i="18" s="1"/>
  <c r="G2183" i="18" s="1"/>
  <c r="H2254" i="3"/>
  <c r="G2319" i="3"/>
  <c r="H2319" i="3" s="1"/>
  <c r="G2182" i="3"/>
  <c r="H2182" i="3" s="1"/>
  <c r="E2185" i="18" s="1"/>
  <c r="F2185" i="18" s="1"/>
  <c r="G2185" i="18" s="1"/>
  <c r="G2285" i="3"/>
  <c r="H2285" i="3" s="1"/>
  <c r="G2313" i="3"/>
  <c r="H2313" i="3" s="1"/>
  <c r="G2168" i="3"/>
  <c r="H2168" i="3" s="1"/>
  <c r="E2171" i="18" s="1"/>
  <c r="F2171" i="18" s="1"/>
  <c r="G2171" i="18" s="1"/>
  <c r="G2116" i="3"/>
  <c r="H2116" i="3" s="1"/>
  <c r="E2119" i="18" s="1"/>
  <c r="F2119" i="18" s="1"/>
  <c r="G2119" i="18" s="1"/>
  <c r="G2146" i="3"/>
  <c r="H2146" i="3" s="1"/>
  <c r="G2132" i="3"/>
  <c r="H2132" i="3" s="1"/>
  <c r="G2078" i="3"/>
  <c r="H2078" i="3" s="1"/>
  <c r="E2081" i="18" s="1"/>
  <c r="F2081" i="18" s="1"/>
  <c r="G2081" i="18" s="1"/>
  <c r="G2112" i="3"/>
  <c r="H2112" i="3" s="1"/>
  <c r="E2115" i="18" s="1"/>
  <c r="F2115" i="18" s="1"/>
  <c r="G2115" i="18" s="1"/>
  <c r="G2120" i="3"/>
  <c r="H2120" i="3" s="1"/>
  <c r="G2128" i="3"/>
  <c r="H2128" i="3" s="1"/>
  <c r="G2150" i="3"/>
  <c r="H2150" i="3" s="1"/>
  <c r="G2048" i="3"/>
  <c r="H2048" i="3" s="1"/>
  <c r="G2164" i="3"/>
  <c r="H2164" i="3" s="1"/>
  <c r="G2172" i="3"/>
  <c r="H2172" i="3" s="1"/>
  <c r="E2175" i="18" s="1"/>
  <c r="F2175" i="18" s="1"/>
  <c r="G2175" i="18" s="1"/>
  <c r="G2124" i="3"/>
  <c r="H2124" i="3" s="1"/>
  <c r="G2144" i="3"/>
  <c r="H2144" i="3" s="1"/>
  <c r="G2050" i="3"/>
  <c r="H2050" i="3" s="1"/>
  <c r="E280" i="16" s="1"/>
  <c r="G2142" i="3"/>
  <c r="H2142" i="3" s="1"/>
  <c r="G2154" i="3"/>
  <c r="H2154" i="3" s="1"/>
  <c r="G2013" i="3"/>
  <c r="H2013" i="3" s="1"/>
  <c r="E2010" i="18" s="1"/>
  <c r="F2010" i="18" s="1"/>
  <c r="G2010" i="18" s="1"/>
  <c r="G2011" i="3"/>
  <c r="H2011" i="3" s="1"/>
  <c r="E2008" i="18" s="1"/>
  <c r="F2008" i="18" s="1"/>
  <c r="G2008" i="18" s="1"/>
  <c r="G2005" i="3"/>
  <c r="H2005" i="3" s="1"/>
  <c r="E2002" i="18" s="1"/>
  <c r="F2002" i="18" s="1"/>
  <c r="G2002" i="18" s="1"/>
  <c r="G1995" i="3"/>
  <c r="H1995" i="3" s="1"/>
  <c r="E1992" i="18" s="1"/>
  <c r="F1992" i="18" s="1"/>
  <c r="G1992" i="18" s="1"/>
  <c r="G1985" i="3"/>
  <c r="H1985" i="3" s="1"/>
  <c r="E1982" i="18" s="1"/>
  <c r="F1982" i="18" s="1"/>
  <c r="G1982" i="18" s="1"/>
  <c r="G1981" i="3"/>
  <c r="H1981" i="3" s="1"/>
  <c r="E1978" i="18" s="1"/>
  <c r="F1978" i="18" s="1"/>
  <c r="G1978" i="18" s="1"/>
  <c r="G1989" i="3"/>
  <c r="H1989" i="3" s="1"/>
  <c r="E1986" i="18" s="1"/>
  <c r="F1986" i="18" s="1"/>
  <c r="G1986" i="18" s="1"/>
  <c r="G1971" i="3"/>
  <c r="H1971" i="3" s="1"/>
  <c r="E1968" i="18" s="1"/>
  <c r="F1968" i="18" s="1"/>
  <c r="G1968" i="18" s="1"/>
  <c r="G1941" i="3"/>
  <c r="H1941" i="3" s="1"/>
  <c r="G1937" i="3"/>
  <c r="H1937" i="3" s="1"/>
  <c r="E233" i="16" s="1"/>
  <c r="G233" i="16" s="1"/>
  <c r="G1945" i="3"/>
  <c r="H1945" i="3" s="1"/>
  <c r="G1931" i="3"/>
  <c r="H1931" i="3" s="1"/>
  <c r="G1929" i="3"/>
  <c r="H1929" i="3" s="1"/>
  <c r="G1915" i="3"/>
  <c r="H1915" i="3" s="1"/>
  <c r="H1909" i="3"/>
  <c r="G1869" i="3"/>
  <c r="H1869" i="3" s="1"/>
  <c r="G1877" i="3"/>
  <c r="H1877" i="3" s="1"/>
  <c r="G1897" i="3"/>
  <c r="H1897" i="3" s="1"/>
  <c r="G1905" i="3"/>
  <c r="H1905" i="3" s="1"/>
  <c r="G1871" i="3"/>
  <c r="H1871" i="3" s="1"/>
  <c r="G1879" i="3"/>
  <c r="H1879" i="3" s="1"/>
  <c r="G1873" i="3"/>
  <c r="H1873" i="3" s="1"/>
  <c r="H1857" i="3"/>
  <c r="G1901" i="3"/>
  <c r="H1901" i="3" s="1"/>
  <c r="G1893" i="3"/>
  <c r="H1893" i="3" s="1"/>
  <c r="G1811" i="3"/>
  <c r="H1811" i="3" s="1"/>
  <c r="G1835" i="3"/>
  <c r="H1851" i="3"/>
  <c r="H1807" i="3"/>
  <c r="G1815" i="3"/>
  <c r="H1815" i="3" s="1"/>
  <c r="G1831" i="3"/>
  <c r="H1831" i="3" s="1"/>
  <c r="G1839" i="3"/>
  <c r="H1839" i="3" s="1"/>
  <c r="G1745" i="3"/>
  <c r="H1745" i="3" s="1"/>
  <c r="G1705" i="3"/>
  <c r="H1705" i="3" s="1"/>
  <c r="G1713" i="3"/>
  <c r="H1713" i="3" s="1"/>
  <c r="G1721" i="3"/>
  <c r="H1721" i="3" s="1"/>
  <c r="G1729" i="3"/>
  <c r="H1729" i="3" s="1"/>
  <c r="G1753" i="3"/>
  <c r="H1753" i="3" s="1"/>
  <c r="G1739" i="3"/>
  <c r="H1739" i="3" s="1"/>
  <c r="G1755" i="3"/>
  <c r="H1755" i="3" s="1"/>
  <c r="G1763" i="3"/>
  <c r="H1763" i="3" s="1"/>
  <c r="G1771" i="3"/>
  <c r="H1771" i="3" s="1"/>
  <c r="G1737" i="3"/>
  <c r="H1737" i="3" s="1"/>
  <c r="G1749" i="3"/>
  <c r="H1749" i="3" s="1"/>
  <c r="G1773" i="3"/>
  <c r="H1773" i="3" s="1"/>
  <c r="G1785" i="3"/>
  <c r="H1785" i="3" s="1"/>
  <c r="G1709" i="3"/>
  <c r="H1709" i="3" s="1"/>
  <c r="G1717" i="3"/>
  <c r="H1717" i="3" s="1"/>
  <c r="G1725" i="3"/>
  <c r="H1725" i="3" s="1"/>
  <c r="G1733" i="3"/>
  <c r="H1733" i="3" s="1"/>
  <c r="G1735" i="3"/>
  <c r="H1735" i="3" s="1"/>
  <c r="G1751" i="3"/>
  <c r="H1751" i="3" s="1"/>
  <c r="G1775" i="3"/>
  <c r="H1775" i="3" s="1"/>
  <c r="G1783" i="3"/>
  <c r="H1783" i="3" s="1"/>
  <c r="G1514" i="3"/>
  <c r="H1514" i="3" s="1"/>
  <c r="G1487" i="3"/>
  <c r="H1487" i="3" s="1"/>
  <c r="G1444" i="3"/>
  <c r="H1444" i="3" s="1"/>
  <c r="E1445" i="18" s="1"/>
  <c r="F1445" i="18" s="1"/>
  <c r="G1445" i="18" s="1"/>
  <c r="G1431" i="3"/>
  <c r="H1431" i="3" s="1"/>
  <c r="G1435" i="3"/>
  <c r="H1435" i="3" s="1"/>
  <c r="G1405" i="3"/>
  <c r="H1405" i="3" s="1"/>
  <c r="G1414" i="3"/>
  <c r="H1414" i="3" s="1"/>
  <c r="G1422" i="3"/>
  <c r="H1422" i="3" s="1"/>
  <c r="G1406" i="3"/>
  <c r="H1406" i="3" s="1"/>
  <c r="G1404" i="3"/>
  <c r="H1404" i="3" s="1"/>
  <c r="G1401" i="3"/>
  <c r="H1401" i="3" s="1"/>
  <c r="G1409" i="3"/>
  <c r="H1409" i="3" s="1"/>
  <c r="G1418" i="3"/>
  <c r="H1418" i="3" s="1"/>
  <c r="G1410" i="3"/>
  <c r="H1410" i="3" s="1"/>
  <c r="G1370" i="3"/>
  <c r="H1370" i="3" s="1"/>
  <c r="E1371" i="15" s="1"/>
  <c r="F1371" i="15" s="1"/>
  <c r="G1371" i="15" s="1"/>
  <c r="G1379" i="3"/>
  <c r="H1379" i="3" s="1"/>
  <c r="E1380" i="4" s="1"/>
  <c r="F1380" i="4" s="1"/>
  <c r="G1380" i="4" s="1"/>
  <c r="G1375" i="3"/>
  <c r="H1375" i="3" s="1"/>
  <c r="E1376" i="15" s="1"/>
  <c r="F1376" i="15" s="1"/>
  <c r="G1376" i="15" s="1"/>
  <c r="G1383" i="3"/>
  <c r="H1383" i="3" s="1"/>
  <c r="E1384" i="15" s="1"/>
  <c r="F1384" i="15" s="1"/>
  <c r="G1384" i="15" s="1"/>
  <c r="G1368" i="3"/>
  <c r="H1368" i="3" s="1"/>
  <c r="G1353" i="3"/>
  <c r="H1353" i="3" s="1"/>
  <c r="G1349" i="3"/>
  <c r="H1349" i="3" s="1"/>
  <c r="G1308" i="3"/>
  <c r="H1308" i="3" s="1"/>
  <c r="E1309" i="18" s="1"/>
  <c r="F1309" i="18" s="1"/>
  <c r="G1309" i="18" s="1"/>
  <c r="G1344" i="3"/>
  <c r="H1344" i="3" s="1"/>
  <c r="E1345" i="22" s="1"/>
  <c r="F1345" i="22" s="1"/>
  <c r="G1345" i="22" s="1"/>
  <c r="G1340" i="3"/>
  <c r="H1340" i="3" s="1"/>
  <c r="E1341" i="22" s="1"/>
  <c r="F1341" i="22" s="1"/>
  <c r="G1341" i="22" s="1"/>
  <c r="G1303" i="3"/>
  <c r="H1303" i="3" s="1"/>
  <c r="E1304" i="18" s="1"/>
  <c r="F1304" i="18" s="1"/>
  <c r="G1304" i="18" s="1"/>
  <c r="G1299" i="3"/>
  <c r="H1299" i="3" s="1"/>
  <c r="E1300" i="18" s="1"/>
  <c r="F1300" i="18" s="1"/>
  <c r="G1300" i="18" s="1"/>
  <c r="G1292" i="3"/>
  <c r="H1292" i="3" s="1"/>
  <c r="E1293" i="18" s="1"/>
  <c r="F1293" i="18" s="1"/>
  <c r="G1293" i="18" s="1"/>
  <c r="G1285" i="3"/>
  <c r="H1285" i="3" s="1"/>
  <c r="E1286" i="18" s="1"/>
  <c r="F1286" i="18" s="1"/>
  <c r="G1286" i="18" s="1"/>
  <c r="G1276" i="3"/>
  <c r="H1276" i="3" s="1"/>
  <c r="E1277" i="18" s="1"/>
  <c r="F1277" i="18" s="1"/>
  <c r="G1277" i="18" s="1"/>
  <c r="G1277" i="3"/>
  <c r="H1277" i="3" s="1"/>
  <c r="E1278" i="18" s="1"/>
  <c r="F1278" i="18" s="1"/>
  <c r="G1278" i="18" s="1"/>
  <c r="G1273" i="3"/>
  <c r="H1273" i="3" s="1"/>
  <c r="E1274" i="18" s="1"/>
  <c r="F1274" i="18" s="1"/>
  <c r="G1274" i="18" s="1"/>
  <c r="G1264" i="3"/>
  <c r="H1264" i="3" s="1"/>
  <c r="E1265" i="18" s="1"/>
  <c r="F1265" i="18" s="1"/>
  <c r="G1265" i="18" s="1"/>
  <c r="G1251" i="3"/>
  <c r="H1251" i="3" s="1"/>
  <c r="E1252" i="18" s="1"/>
  <c r="F1252" i="18" s="1"/>
  <c r="G1252" i="18" s="1"/>
  <c r="G1253" i="3"/>
  <c r="H1253" i="3" s="1"/>
  <c r="E1254" i="18" s="1"/>
  <c r="F1254" i="18" s="1"/>
  <c r="G1254" i="18" s="1"/>
  <c r="G1246" i="3"/>
  <c r="H1246" i="3" s="1"/>
  <c r="E1247" i="18" s="1"/>
  <c r="F1247" i="18" s="1"/>
  <c r="G1247" i="18" s="1"/>
  <c r="G1250" i="3"/>
  <c r="H1250" i="3" s="1"/>
  <c r="E1251" i="18" s="1"/>
  <c r="F1251" i="18" s="1"/>
  <c r="G1251" i="18" s="1"/>
  <c r="G1222" i="3"/>
  <c r="H1222" i="3" s="1"/>
  <c r="E1223" i="18" s="1"/>
  <c r="F1223" i="18" s="1"/>
  <c r="G1223" i="18" s="1"/>
  <c r="G1230" i="3"/>
  <c r="H1230" i="3" s="1"/>
  <c r="E1231" i="18" s="1"/>
  <c r="F1231" i="18" s="1"/>
  <c r="G1231" i="18" s="1"/>
  <c r="G1238" i="3"/>
  <c r="H1238" i="3" s="1"/>
  <c r="E1239" i="18" s="1"/>
  <c r="F1239" i="18" s="1"/>
  <c r="G1239" i="18" s="1"/>
  <c r="G1239" i="3"/>
  <c r="H1239" i="3" s="1"/>
  <c r="E1240" i="18" s="1"/>
  <c r="F1240" i="18" s="1"/>
  <c r="G1240" i="18" s="1"/>
  <c r="G1233" i="3"/>
  <c r="H1233" i="3" s="1"/>
  <c r="E1234" i="18" s="1"/>
  <c r="F1234" i="18" s="1"/>
  <c r="G1234" i="18" s="1"/>
  <c r="G1226" i="3"/>
  <c r="H1226" i="3" s="1"/>
  <c r="E1227" i="18" s="1"/>
  <c r="F1227" i="18" s="1"/>
  <c r="G1227" i="18" s="1"/>
  <c r="G1234" i="3"/>
  <c r="H1234" i="3" s="1"/>
  <c r="E1235" i="18" s="1"/>
  <c r="F1235" i="18" s="1"/>
  <c r="G1235" i="18" s="1"/>
  <c r="G1219" i="3"/>
  <c r="H1219" i="3" s="1"/>
  <c r="E1220" i="18" s="1"/>
  <c r="F1220" i="18" s="1"/>
  <c r="G1220" i="18" s="1"/>
  <c r="G1215" i="3"/>
  <c r="H1215" i="3" s="1"/>
  <c r="E1216" i="18" s="1"/>
  <c r="F1216" i="18" s="1"/>
  <c r="G1216" i="18" s="1"/>
  <c r="G1211" i="3"/>
  <c r="H1211" i="3" s="1"/>
  <c r="E1212" i="18" s="1"/>
  <c r="F1212" i="18" s="1"/>
  <c r="G1212" i="18" s="1"/>
  <c r="G1218" i="3"/>
  <c r="H1218" i="3" s="1"/>
  <c r="E1219" i="18" s="1"/>
  <c r="F1219" i="18" s="1"/>
  <c r="G1219" i="18" s="1"/>
  <c r="G1202" i="3"/>
  <c r="H1202" i="3" s="1"/>
  <c r="E1203" i="18" s="1"/>
  <c r="F1203" i="18" s="1"/>
  <c r="G1203" i="18" s="1"/>
  <c r="G1181" i="3"/>
  <c r="H1181" i="3" s="1"/>
  <c r="E1182" i="22" s="1"/>
  <c r="F1182" i="22" s="1"/>
  <c r="G1182" i="22" s="1"/>
  <c r="G1189" i="3"/>
  <c r="H1189" i="3" s="1"/>
  <c r="E1190" i="18" s="1"/>
  <c r="F1190" i="18" s="1"/>
  <c r="G1190" i="18" s="1"/>
  <c r="G1197" i="3"/>
  <c r="H1197" i="3" s="1"/>
  <c r="E1198" i="18" s="1"/>
  <c r="F1198" i="18" s="1"/>
  <c r="G1198" i="18" s="1"/>
  <c r="G1205" i="3"/>
  <c r="H1205" i="3" s="1"/>
  <c r="E1206" i="18" s="1"/>
  <c r="F1206" i="18" s="1"/>
  <c r="G1206" i="18" s="1"/>
  <c r="G1190" i="3"/>
  <c r="H1190" i="3" s="1"/>
  <c r="E1191" i="18" s="1"/>
  <c r="F1191" i="18" s="1"/>
  <c r="G1191" i="18" s="1"/>
  <c r="G1206" i="3"/>
  <c r="H1206" i="3" s="1"/>
  <c r="E1207" i="18" s="1"/>
  <c r="F1207" i="18" s="1"/>
  <c r="G1207" i="18" s="1"/>
  <c r="G1194" i="3"/>
  <c r="H1194" i="3" s="1"/>
  <c r="E1195" i="18" s="1"/>
  <c r="F1195" i="18" s="1"/>
  <c r="G1195" i="18" s="1"/>
  <c r="G1185" i="3"/>
  <c r="H1185" i="3" s="1"/>
  <c r="E1186" i="18" s="1"/>
  <c r="F1186" i="18" s="1"/>
  <c r="G1186" i="18" s="1"/>
  <c r="G1193" i="3"/>
  <c r="H1193" i="3" s="1"/>
  <c r="E1194" i="18" s="1"/>
  <c r="F1194" i="18" s="1"/>
  <c r="G1194" i="18" s="1"/>
  <c r="G1201" i="3"/>
  <c r="H1201" i="3" s="1"/>
  <c r="E1202" i="18" s="1"/>
  <c r="F1202" i="18" s="1"/>
  <c r="G1202" i="18" s="1"/>
  <c r="G1173" i="3"/>
  <c r="H1173" i="3" s="1"/>
  <c r="E1174" i="22" s="1"/>
  <c r="F1174" i="22" s="1"/>
  <c r="G1174" i="22" s="1"/>
  <c r="G1169" i="3"/>
  <c r="H1169" i="3" s="1"/>
  <c r="E1170" i="22" s="1"/>
  <c r="F1170" i="22" s="1"/>
  <c r="G1170" i="22" s="1"/>
  <c r="G1177" i="3"/>
  <c r="H1177" i="3" s="1"/>
  <c r="E1178" i="22" s="1"/>
  <c r="F1178" i="22" s="1"/>
  <c r="G1178" i="22" s="1"/>
  <c r="G1165" i="3"/>
  <c r="H1165" i="3" s="1"/>
  <c r="E1166" i="22" s="1"/>
  <c r="F1166" i="22" s="1"/>
  <c r="G1166" i="22" s="1"/>
  <c r="G1161" i="3"/>
  <c r="H1161" i="3" s="1"/>
  <c r="E1162" i="22" s="1"/>
  <c r="F1162" i="22" s="1"/>
  <c r="G1162" i="22" s="1"/>
  <c r="G1104" i="3"/>
  <c r="H1104" i="3" s="1"/>
  <c r="E1106" i="18" s="1"/>
  <c r="F1106" i="18" s="1"/>
  <c r="G1106" i="18" s="1"/>
  <c r="G1118" i="3"/>
  <c r="H1118" i="3" s="1"/>
  <c r="E1119" i="22" s="1"/>
  <c r="F1119" i="22" s="1"/>
  <c r="G1119" i="22" s="1"/>
  <c r="G1097" i="3"/>
  <c r="H1097" i="3" s="1"/>
  <c r="E1099" i="18" s="1"/>
  <c r="F1099" i="18" s="1"/>
  <c r="G1099" i="18" s="1"/>
  <c r="G1114" i="3"/>
  <c r="H1114" i="3" s="1"/>
  <c r="E1115" i="22" s="1"/>
  <c r="F1115" i="22" s="1"/>
  <c r="G1115" i="22" s="1"/>
  <c r="G1099" i="3"/>
  <c r="H1099" i="3" s="1"/>
  <c r="E1101" i="18" s="1"/>
  <c r="F1101" i="18" s="1"/>
  <c r="G1101" i="18" s="1"/>
  <c r="G1131" i="3"/>
  <c r="H1131" i="3" s="1"/>
  <c r="E1132" i="22" s="1"/>
  <c r="F1132" i="22" s="1"/>
  <c r="G1132" i="22" s="1"/>
  <c r="G1147" i="3"/>
  <c r="H1147" i="3" s="1"/>
  <c r="E1148" i="22" s="1"/>
  <c r="F1148" i="22" s="1"/>
  <c r="G1148" i="22" s="1"/>
  <c r="G1108" i="3"/>
  <c r="H1108" i="3" s="1"/>
  <c r="E1109" i="22" s="1"/>
  <c r="F1109" i="22" s="1"/>
  <c r="G1109" i="22" s="1"/>
  <c r="G1093" i="3"/>
  <c r="H1093" i="3" s="1"/>
  <c r="E1094" i="22" s="1"/>
  <c r="F1094" i="22" s="1"/>
  <c r="G1094" i="22" s="1"/>
  <c r="G1119" i="3"/>
  <c r="H1119" i="3" s="1"/>
  <c r="E1120" i="22" s="1"/>
  <c r="F1120" i="22" s="1"/>
  <c r="G1120" i="22" s="1"/>
  <c r="G1143" i="3"/>
  <c r="H1143" i="3" s="1"/>
  <c r="E1144" i="22" s="1"/>
  <c r="F1144" i="22" s="1"/>
  <c r="G1144" i="22" s="1"/>
  <c r="G1032" i="3"/>
  <c r="H1032" i="3" s="1"/>
  <c r="E1033" i="22" s="1"/>
  <c r="F1033" i="22" s="1"/>
  <c r="G1033" i="22" s="1"/>
  <c r="G1040" i="3"/>
  <c r="H1040" i="3" s="1"/>
  <c r="E1041" i="22" s="1"/>
  <c r="F1041" i="22" s="1"/>
  <c r="G1041" i="22" s="1"/>
  <c r="G1048" i="3"/>
  <c r="H1048" i="3" s="1"/>
  <c r="E1049" i="22" s="1"/>
  <c r="F1049" i="22" s="1"/>
  <c r="G1049" i="22" s="1"/>
  <c r="G1036" i="3"/>
  <c r="H1036" i="3" s="1"/>
  <c r="E1037" i="22" s="1"/>
  <c r="F1037" i="22" s="1"/>
  <c r="G1037" i="22" s="1"/>
  <c r="G1044" i="3"/>
  <c r="H1044" i="3" s="1"/>
  <c r="E1045" i="22" s="1"/>
  <c r="F1045" i="22" s="1"/>
  <c r="G1045" i="22" s="1"/>
  <c r="G1076" i="3"/>
  <c r="H1076" i="3" s="1"/>
  <c r="E1077" i="22" s="1"/>
  <c r="F1077" i="22" s="1"/>
  <c r="G1077" i="22" s="1"/>
  <c r="G990" i="3"/>
  <c r="H990" i="3" s="1"/>
  <c r="G1024" i="3"/>
  <c r="H1024" i="3" s="1"/>
  <c r="E1025" i="22" s="1"/>
  <c r="F1025" i="22" s="1"/>
  <c r="G1025" i="22" s="1"/>
  <c r="G1026" i="3"/>
  <c r="H1026" i="3" s="1"/>
  <c r="E1027" i="22" s="1"/>
  <c r="F1027" i="22" s="1"/>
  <c r="G1027" i="22" s="1"/>
  <c r="G996" i="3"/>
  <c r="H996" i="3" s="1"/>
  <c r="E997" i="22" s="1"/>
  <c r="F997" i="22" s="1"/>
  <c r="G997" i="22" s="1"/>
  <c r="G869" i="3"/>
  <c r="H869" i="3" s="1"/>
  <c r="E871" i="18" s="1"/>
  <c r="F871" i="18" s="1"/>
  <c r="G871" i="18" s="1"/>
  <c r="G847" i="3"/>
  <c r="H847" i="3" s="1"/>
  <c r="E849" i="18" s="1"/>
  <c r="F849" i="18" s="1"/>
  <c r="G849" i="18" s="1"/>
  <c r="G871" i="3"/>
  <c r="H871" i="3" s="1"/>
  <c r="E873" i="18" s="1"/>
  <c r="F873" i="18" s="1"/>
  <c r="G873" i="18" s="1"/>
  <c r="G843" i="3"/>
  <c r="H843" i="3" s="1"/>
  <c r="E845" i="18" s="1"/>
  <c r="F845" i="18" s="1"/>
  <c r="G845" i="18" s="1"/>
  <c r="G851" i="3"/>
  <c r="H851" i="3" s="1"/>
  <c r="E853" i="18" s="1"/>
  <c r="F853" i="18" s="1"/>
  <c r="G853" i="18" s="1"/>
  <c r="G859" i="3"/>
  <c r="H859" i="3" s="1"/>
  <c r="E861" i="18" s="1"/>
  <c r="F861" i="18" s="1"/>
  <c r="G861" i="18" s="1"/>
  <c r="G974" i="3"/>
  <c r="H974" i="3" s="1"/>
  <c r="G899" i="3"/>
  <c r="H899" i="3" s="1"/>
  <c r="E901" i="18" s="1"/>
  <c r="F901" i="18" s="1"/>
  <c r="G901" i="18" s="1"/>
  <c r="G909" i="3"/>
  <c r="H909" i="3" s="1"/>
  <c r="E911" i="18" s="1"/>
  <c r="F911" i="18" s="1"/>
  <c r="G911" i="18" s="1"/>
  <c r="G903" i="3"/>
  <c r="H903" i="3" s="1"/>
  <c r="E905" i="18" s="1"/>
  <c r="F905" i="18" s="1"/>
  <c r="G905" i="18" s="1"/>
  <c r="G921" i="3"/>
  <c r="H921" i="3" s="1"/>
  <c r="E923" i="18" s="1"/>
  <c r="F923" i="18" s="1"/>
  <c r="G923" i="18" s="1"/>
  <c r="G937" i="3"/>
  <c r="H937" i="3" s="1"/>
  <c r="E939" i="18" s="1"/>
  <c r="F939" i="18" s="1"/>
  <c r="G939" i="18" s="1"/>
  <c r="G954" i="3"/>
  <c r="H954" i="3" s="1"/>
  <c r="G313" i="3"/>
  <c r="H313" i="3" s="1"/>
  <c r="G253" i="3"/>
  <c r="H253" i="3" s="1"/>
  <c r="G206" i="3"/>
  <c r="H206" i="3" s="1"/>
  <c r="G196" i="3"/>
  <c r="H196" i="3" s="1"/>
  <c r="G164" i="3"/>
  <c r="H164" i="3" s="1"/>
  <c r="G150" i="3"/>
  <c r="H150" i="3" s="1"/>
  <c r="G63" i="3"/>
  <c r="H63" i="3" s="1"/>
  <c r="G39" i="3"/>
  <c r="H39" i="3" s="1"/>
  <c r="G43" i="3"/>
  <c r="H43" i="3" s="1"/>
  <c r="H1549" i="3"/>
  <c r="H1561" i="3"/>
  <c r="H285" i="3"/>
  <c r="H1513" i="3"/>
  <c r="H1328" i="3"/>
  <c r="H1593" i="3"/>
  <c r="H1689" i="3"/>
  <c r="H797" i="3"/>
  <c r="H945" i="3"/>
  <c r="E947" i="18" s="1"/>
  <c r="F947" i="18" s="1"/>
  <c r="G947" i="18" s="1"/>
  <c r="H677" i="3"/>
  <c r="H1464" i="3"/>
  <c r="H1585" i="3"/>
  <c r="H431" i="3"/>
  <c r="H2056" i="3"/>
  <c r="H485" i="3"/>
  <c r="H1522" i="3"/>
  <c r="H1629" i="3"/>
  <c r="E441" i="16" s="1"/>
  <c r="G441" i="16" s="1"/>
  <c r="H1693" i="3"/>
  <c r="H2108" i="3"/>
  <c r="E2111" i="18" s="1"/>
  <c r="F2111" i="18" s="1"/>
  <c r="G2111" i="18" s="1"/>
  <c r="H399" i="3"/>
  <c r="H245" i="3"/>
  <c r="H933" i="3"/>
  <c r="E935" i="18" s="1"/>
  <c r="F935" i="18" s="1"/>
  <c r="G935" i="18" s="1"/>
  <c r="H223" i="3"/>
  <c r="H560" i="3"/>
  <c r="H1529" i="3"/>
  <c r="H1547" i="3"/>
  <c r="H711" i="3"/>
  <c r="H917" i="3"/>
  <c r="E919" i="22" s="1"/>
  <c r="F919" i="22" s="1"/>
  <c r="G919" i="22" s="1"/>
  <c r="H958" i="3"/>
  <c r="H668" i="3"/>
  <c r="H1525" i="3"/>
  <c r="H2040" i="3"/>
  <c r="H612" i="3"/>
  <c r="H820" i="3"/>
  <c r="H833" i="3"/>
  <c r="H986" i="3"/>
  <c r="E987" i="18" s="1"/>
  <c r="F987" i="18" s="1"/>
  <c r="G987" i="18" s="1"/>
  <c r="H1142" i="3"/>
  <c r="E1143" i="22" s="1"/>
  <c r="F1143" i="22" s="1"/>
  <c r="G1143" i="22" s="1"/>
  <c r="H1451" i="3"/>
  <c r="H1485" i="3"/>
  <c r="H2096" i="3"/>
  <c r="E2099" i="18" s="1"/>
  <c r="F2099" i="18" s="1"/>
  <c r="G2099" i="18" s="1"/>
  <c r="H2321" i="3"/>
  <c r="H2326" i="3"/>
  <c r="H215" i="3"/>
  <c r="H327" i="3"/>
  <c r="H355" i="3"/>
  <c r="H719" i="3"/>
  <c r="H835" i="3"/>
  <c r="H1080" i="3"/>
  <c r="E1081" i="22" s="1"/>
  <c r="F1081" i="22" s="1"/>
  <c r="G1081" i="22" s="1"/>
  <c r="H1290" i="3"/>
  <c r="E1291" i="18" s="1"/>
  <c r="F1291" i="18" s="1"/>
  <c r="G1291" i="18" s="1"/>
  <c r="H1305" i="3"/>
  <c r="E1306" i="18" s="1"/>
  <c r="F1306" i="18" s="1"/>
  <c r="G1306" i="18" s="1"/>
  <c r="H1322" i="3"/>
  <c r="H1427" i="3"/>
  <c r="H1541" i="3"/>
  <c r="H1565" i="3"/>
  <c r="H1697" i="3"/>
  <c r="H2046" i="3"/>
  <c r="H2293" i="3"/>
  <c r="H2339" i="3"/>
  <c r="H1509" i="3"/>
  <c r="H1537" i="3"/>
  <c r="H2396" i="3"/>
  <c r="H299" i="3"/>
  <c r="H527" i="3"/>
  <c r="H715" i="3"/>
  <c r="H155" i="3"/>
  <c r="H174" i="3"/>
  <c r="H259" i="3"/>
  <c r="H281" i="3"/>
  <c r="H334" i="3"/>
  <c r="H437" i="3"/>
  <c r="H536" i="3"/>
  <c r="H445" i="3"/>
  <c r="H610" i="3"/>
  <c r="H789" i="3"/>
  <c r="H295" i="3"/>
  <c r="H336" i="3"/>
  <c r="H403" i="3"/>
  <c r="H495" i="3"/>
  <c r="H311" i="3"/>
  <c r="H413" i="3"/>
  <c r="H568" i="3"/>
  <c r="H191" i="3"/>
  <c r="H227" i="3"/>
  <c r="H356" i="3"/>
  <c r="H432" i="3"/>
  <c r="H243" i="3"/>
  <c r="H529" i="3"/>
  <c r="H438" i="3"/>
  <c r="H178" i="3"/>
  <c r="H291" i="3"/>
  <c r="H365" i="3"/>
  <c r="H412" i="3"/>
  <c r="H449" i="3"/>
  <c r="H602" i="3"/>
  <c r="H420" i="3"/>
  <c r="H730" i="3"/>
  <c r="H796" i="3"/>
  <c r="H187" i="3"/>
  <c r="H398" i="3"/>
  <c r="H929" i="3"/>
  <c r="E931" i="18" s="1"/>
  <c r="F931" i="18" s="1"/>
  <c r="G931" i="18" s="1"/>
  <c r="H941" i="3"/>
  <c r="E943" i="18" s="1"/>
  <c r="F943" i="18" s="1"/>
  <c r="G943" i="18" s="1"/>
  <c r="H1000" i="3"/>
  <c r="E1001" i="22" s="1"/>
  <c r="F1001" i="22" s="1"/>
  <c r="G1001" i="22" s="1"/>
  <c r="H1020" i="3"/>
  <c r="E1021" i="22" s="1"/>
  <c r="F1021" i="22" s="1"/>
  <c r="G1021" i="22" s="1"/>
  <c r="H1022" i="3"/>
  <c r="E1023" i="22" s="1"/>
  <c r="F1023" i="22" s="1"/>
  <c r="G1023" i="22" s="1"/>
  <c r="H1084" i="3"/>
  <c r="E1085" i="22" s="1"/>
  <c r="F1085" i="22" s="1"/>
  <c r="G1085" i="22" s="1"/>
  <c r="H1123" i="3"/>
  <c r="E1124" i="22" s="1"/>
  <c r="F1124" i="22" s="1"/>
  <c r="G1124" i="22" s="1"/>
  <c r="H1125" i="3"/>
  <c r="E1126" i="22" s="1"/>
  <c r="F1126" i="22" s="1"/>
  <c r="G1126" i="22" s="1"/>
  <c r="H1136" i="3"/>
  <c r="E1137" i="22" s="1"/>
  <c r="F1137" i="22" s="1"/>
  <c r="G1137" i="22" s="1"/>
  <c r="H1148" i="3"/>
  <c r="E1149" i="22" s="1"/>
  <c r="F1149" i="22" s="1"/>
  <c r="G1149" i="22" s="1"/>
  <c r="H1281" i="3"/>
  <c r="E1282" i="18" s="1"/>
  <c r="F1282" i="18" s="1"/>
  <c r="G1282" i="18" s="1"/>
  <c r="H1311" i="3"/>
  <c r="E1312" i="18" s="1"/>
  <c r="F1312" i="18" s="1"/>
  <c r="G1312" i="18" s="1"/>
  <c r="H1314" i="3"/>
  <c r="H1326" i="3"/>
  <c r="H1366" i="3"/>
  <c r="E1367" i="18" s="1"/>
  <c r="F1367" i="18" s="1"/>
  <c r="G1367" i="18" s="1"/>
  <c r="H1470" i="3"/>
  <c r="H1479" i="3"/>
  <c r="H1481" i="3"/>
  <c r="H1510" i="3"/>
  <c r="H1533" i="3"/>
  <c r="H1539" i="3"/>
  <c r="H1545" i="3"/>
  <c r="H1553" i="3"/>
  <c r="H1645" i="3"/>
  <c r="H1681" i="3"/>
  <c r="H1969" i="3"/>
  <c r="E1969" i="22" s="1"/>
  <c r="F1969" i="22" s="1"/>
  <c r="G1969" i="22" s="1"/>
  <c r="H1977" i="3"/>
  <c r="E1974" i="18" s="1"/>
  <c r="F1974" i="18" s="1"/>
  <c r="G1974" i="18" s="1"/>
  <c r="H2052" i="3"/>
  <c r="H2058" i="3"/>
  <c r="H2064" i="3"/>
  <c r="E2069" i="4" s="1"/>
  <c r="F2069" i="4" s="1"/>
  <c r="G2069" i="4" s="1"/>
  <c r="H2076" i="3"/>
  <c r="E2079" i="18" s="1"/>
  <c r="F2079" i="18" s="1"/>
  <c r="G2079" i="18" s="1"/>
  <c r="H2088" i="3"/>
  <c r="E2091" i="18" s="1"/>
  <c r="F2091" i="18" s="1"/>
  <c r="G2091" i="18" s="1"/>
  <c r="H2100" i="3"/>
  <c r="E2103" i="18" s="1"/>
  <c r="F2103" i="18" s="1"/>
  <c r="G2103" i="18" s="1"/>
  <c r="H2212" i="3"/>
  <c r="H2214" i="3"/>
  <c r="H2229" i="3"/>
  <c r="H2330" i="3"/>
  <c r="H2345" i="3"/>
  <c r="H2347" i="3"/>
  <c r="H2357" i="3"/>
  <c r="H1015" i="3"/>
  <c r="E1016" i="22" s="1"/>
  <c r="F1016" i="22" s="1"/>
  <c r="G1016" i="22" s="1"/>
  <c r="H1376" i="3"/>
  <c r="E1377" i="18" s="1"/>
  <c r="F1377" i="18" s="1"/>
  <c r="G1377" i="18" s="1"/>
  <c r="H1382" i="3"/>
  <c r="H1496" i="3"/>
  <c r="H1504" i="3"/>
  <c r="H1517" i="3"/>
  <c r="H1581" i="3"/>
  <c r="H1685" i="3"/>
  <c r="H2024" i="3"/>
  <c r="E2021" i="18" s="1"/>
  <c r="F2021" i="18" s="1"/>
  <c r="G2021" i="18" s="1"/>
  <c r="H2030" i="3"/>
  <c r="E2027" i="18" s="1"/>
  <c r="F2027" i="18" s="1"/>
  <c r="G2027" i="18" s="1"/>
  <c r="H2236" i="3"/>
  <c r="E2239" i="18" s="1"/>
  <c r="F2239" i="18" s="1"/>
  <c r="G2239" i="18" s="1"/>
  <c r="H2265" i="3"/>
  <c r="H2286" i="3"/>
  <c r="H786" i="3"/>
  <c r="H946" i="3"/>
  <c r="E948" i="18" s="1"/>
  <c r="F948" i="18" s="1"/>
  <c r="G948" i="18" s="1"/>
  <c r="H959" i="3"/>
  <c r="H1081" i="3"/>
  <c r="E1082" i="22" s="1"/>
  <c r="F1082" i="22" s="1"/>
  <c r="G1082" i="22" s="1"/>
  <c r="H1337" i="3"/>
  <c r="H1343" i="3"/>
  <c r="E1344" i="4" s="1"/>
  <c r="F1344" i="4" s="1"/>
  <c r="G1344" i="4" s="1"/>
  <c r="H1391" i="3"/>
  <c r="H1467" i="3"/>
  <c r="H2032" i="3"/>
  <c r="H2238" i="3"/>
  <c r="E2241" i="18" s="1"/>
  <c r="F2241" i="18" s="1"/>
  <c r="G2241" i="18" s="1"/>
  <c r="H2296" i="3"/>
  <c r="H640" i="3"/>
  <c r="H729" i="3"/>
  <c r="H788" i="3"/>
  <c r="H800" i="3"/>
  <c r="H811" i="3"/>
  <c r="H1007" i="3"/>
  <c r="E1008" i="22" s="1"/>
  <c r="F1008" i="22" s="1"/>
  <c r="G1008" i="22" s="1"/>
  <c r="H1019" i="3"/>
  <c r="E1020" i="22" s="1"/>
  <c r="F1020" i="22" s="1"/>
  <c r="G1020" i="22" s="1"/>
  <c r="H1027" i="3"/>
  <c r="E1028" i="22" s="1"/>
  <c r="F1028" i="22" s="1"/>
  <c r="G1028" i="22" s="1"/>
  <c r="H1363" i="3"/>
  <c r="E1364" i="4" s="1"/>
  <c r="F1364" i="4" s="1"/>
  <c r="G1364" i="4" s="1"/>
  <c r="H1371" i="3"/>
  <c r="H1378" i="3"/>
  <c r="E1379" i="4" s="1"/>
  <c r="F1379" i="4" s="1"/>
  <c r="G1379" i="4" s="1"/>
  <c r="H1478" i="3"/>
  <c r="H2228" i="3"/>
  <c r="H2240" i="3"/>
  <c r="E2243" i="18" s="1"/>
  <c r="F2243" i="18" s="1"/>
  <c r="G2243" i="18" s="1"/>
  <c r="H2329" i="3"/>
  <c r="H2383" i="3"/>
  <c r="J2384" i="3"/>
  <c r="H2387" i="3"/>
  <c r="H2391" i="3"/>
  <c r="H2404" i="3"/>
  <c r="H404" i="3"/>
  <c r="H416" i="3"/>
  <c r="H441" i="3"/>
  <c r="H453" i="3"/>
  <c r="H471" i="3"/>
  <c r="H481" i="3"/>
  <c r="H499" i="3"/>
  <c r="H528" i="3"/>
  <c r="H537" i="3"/>
  <c r="H543" i="3"/>
  <c r="H555" i="3"/>
  <c r="H603" i="3"/>
  <c r="H606" i="3"/>
  <c r="H673" i="3"/>
  <c r="H837" i="3"/>
  <c r="E839" i="22" s="1"/>
  <c r="F839" i="22" s="1"/>
  <c r="G839" i="22" s="1"/>
  <c r="H1018" i="3"/>
  <c r="E1019" i="22" s="1"/>
  <c r="F1019" i="22" s="1"/>
  <c r="G1019" i="22" s="1"/>
  <c r="H1135" i="3"/>
  <c r="E1136" i="22" s="1"/>
  <c r="F1136" i="22" s="1"/>
  <c r="G1136" i="22" s="1"/>
  <c r="H1296" i="3"/>
  <c r="E1297" i="18" s="1"/>
  <c r="F1297" i="18" s="1"/>
  <c r="G1297" i="18" s="1"/>
  <c r="H1312" i="3"/>
  <c r="E1313" i="18" s="1"/>
  <c r="F1313" i="18" s="1"/>
  <c r="G1313" i="18" s="1"/>
  <c r="H1318" i="3"/>
  <c r="H1324" i="3"/>
  <c r="H1339" i="3"/>
  <c r="E1340" i="15" s="1"/>
  <c r="F1340" i="15" s="1"/>
  <c r="G1340" i="15" s="1"/>
  <c r="H1362" i="3"/>
  <c r="E1363" i="22" s="1"/>
  <c r="F1363" i="22" s="1"/>
  <c r="G1363" i="22" s="1"/>
  <c r="H1459" i="3"/>
  <c r="H1468" i="3"/>
  <c r="H1477" i="3"/>
  <c r="H1480" i="3"/>
  <c r="H1494" i="3"/>
  <c r="H1498" i="3"/>
  <c r="H1502" i="3"/>
  <c r="H2092" i="3"/>
  <c r="E2095" i="18" s="1"/>
  <c r="F2095" i="18" s="1"/>
  <c r="G2095" i="18" s="1"/>
  <c r="H2104" i="3"/>
  <c r="E2107" i="18" s="1"/>
  <c r="F2107" i="18" s="1"/>
  <c r="G2107" i="18" s="1"/>
  <c r="H2213" i="3"/>
  <c r="H2239" i="3"/>
  <c r="E2242" i="18" s="1"/>
  <c r="F2242" i="18" s="1"/>
  <c r="G2242" i="18" s="1"/>
  <c r="H2259" i="3"/>
  <c r="H2343" i="3"/>
  <c r="H2361" i="3"/>
  <c r="H170" i="3"/>
  <c r="H183" i="3"/>
  <c r="H195" i="3"/>
  <c r="H360" i="3"/>
  <c r="H430" i="3"/>
  <c r="H532" i="3"/>
  <c r="H551" i="3"/>
  <c r="H598" i="3"/>
  <c r="H658" i="3"/>
  <c r="H733" i="3"/>
  <c r="H772" i="3"/>
  <c r="H776" i="3"/>
  <c r="H780" i="3"/>
  <c r="H792" i="3"/>
  <c r="H807" i="3"/>
  <c r="H813" i="3"/>
  <c r="H955" i="3"/>
  <c r="H1011" i="3"/>
  <c r="E1012" i="22" s="1"/>
  <c r="F1012" i="22" s="1"/>
  <c r="G1012" i="22" s="1"/>
  <c r="H1023" i="3"/>
  <c r="E1024" i="22" s="1"/>
  <c r="F1024" i="22" s="1"/>
  <c r="G1024" i="22" s="1"/>
  <c r="H1077" i="3"/>
  <c r="E1078" i="22" s="1"/>
  <c r="F1078" i="22" s="1"/>
  <c r="G1078" i="22" s="1"/>
  <c r="H1139" i="3"/>
  <c r="E1140" i="22" s="1"/>
  <c r="F1140" i="22" s="1"/>
  <c r="G1140" i="22" s="1"/>
  <c r="H1151" i="3"/>
  <c r="E1152" i="22" s="1"/>
  <c r="F1152" i="22" s="1"/>
  <c r="G1152" i="22" s="1"/>
  <c r="H1367" i="3"/>
  <c r="E1368" i="4" s="1"/>
  <c r="F1368" i="4" s="1"/>
  <c r="G1368" i="4" s="1"/>
  <c r="H1369" i="3"/>
  <c r="E1370" i="15" s="1"/>
  <c r="F1370" i="15" s="1"/>
  <c r="G1370" i="15" s="1"/>
  <c r="H1380" i="3"/>
  <c r="E1381" i="18" s="1"/>
  <c r="F1381" i="18" s="1"/>
  <c r="G1381" i="18" s="1"/>
  <c r="H1389" i="3"/>
  <c r="H1393" i="3"/>
  <c r="H1397" i="3"/>
  <c r="H1518" i="3"/>
  <c r="H1521" i="3"/>
  <c r="H1573" i="3"/>
  <c r="H1677" i="3"/>
  <c r="H1701" i="3"/>
  <c r="H2020" i="3"/>
  <c r="E2017" i="18" s="1"/>
  <c r="F2017" i="18" s="1"/>
  <c r="G2017" i="18" s="1"/>
  <c r="H2187" i="3"/>
  <c r="H2191" i="3"/>
  <c r="H2195" i="3"/>
  <c r="H2249" i="3"/>
  <c r="E2252" i="18" s="1"/>
  <c r="F2252" i="18" s="1"/>
  <c r="G2252" i="18" s="1"/>
  <c r="H2292" i="3"/>
  <c r="H2298" i="3"/>
  <c r="H2406" i="3"/>
  <c r="H2422" i="3"/>
  <c r="E12" i="1"/>
  <c r="F12" i="1" s="1"/>
  <c r="G12" i="1" s="1"/>
  <c r="E15" i="1"/>
  <c r="F15" i="1" s="1"/>
  <c r="G15" i="1" s="1"/>
  <c r="E16" i="1"/>
  <c r="F16" i="1" s="1"/>
  <c r="G16" i="1" s="1"/>
  <c r="H2402" i="3"/>
  <c r="H2352" i="3"/>
  <c r="H2354" i="3"/>
  <c r="H2356" i="3"/>
  <c r="H2358" i="3"/>
  <c r="H2362" i="3"/>
  <c r="H2364" i="3"/>
  <c r="H2366" i="3"/>
  <c r="H2350" i="3"/>
  <c r="H2333" i="3"/>
  <c r="H2301" i="3"/>
  <c r="H2311" i="3"/>
  <c r="H2290" i="3"/>
  <c r="H2278" i="3"/>
  <c r="E231" i="16" s="1"/>
  <c r="H2280" i="3"/>
  <c r="H2282" i="3"/>
  <c r="H2271" i="3"/>
  <c r="H2273" i="3"/>
  <c r="H2275" i="3"/>
  <c r="H2267" i="3"/>
  <c r="H2255" i="3"/>
  <c r="H2245" i="3"/>
  <c r="E2248" i="18" s="1"/>
  <c r="F2248" i="18" s="1"/>
  <c r="G2248" i="18" s="1"/>
  <c r="H2247" i="3"/>
  <c r="E2250" i="18" s="1"/>
  <c r="F2250" i="18" s="1"/>
  <c r="G2250" i="18" s="1"/>
  <c r="H2234" i="3"/>
  <c r="E2237" i="18" s="1"/>
  <c r="F2237" i="18" s="1"/>
  <c r="G2237" i="18" s="1"/>
  <c r="H2220" i="3"/>
  <c r="H2222" i="3"/>
  <c r="H2217" i="3"/>
  <c r="H2208" i="3"/>
  <c r="H2209" i="3"/>
  <c r="H2197" i="3"/>
  <c r="H2188" i="3"/>
  <c r="H2192" i="3"/>
  <c r="H2194" i="3"/>
  <c r="H2196" i="3"/>
  <c r="H2039" i="3"/>
  <c r="H2041" i="3"/>
  <c r="H2043" i="3"/>
  <c r="H2047" i="3"/>
  <c r="H2051" i="3"/>
  <c r="H2055" i="3"/>
  <c r="H2059" i="3"/>
  <c r="H2063" i="3"/>
  <c r="E2068" i="4" s="1"/>
  <c r="F2068" i="4" s="1"/>
  <c r="G2068" i="4" s="1"/>
  <c r="H2065" i="3"/>
  <c r="E2071" i="22" s="1"/>
  <c r="F2071" i="22" s="1"/>
  <c r="G2071" i="22" s="1"/>
  <c r="H2067" i="3"/>
  <c r="E2073" i="22" s="1"/>
  <c r="F2073" i="22" s="1"/>
  <c r="G2073" i="22" s="1"/>
  <c r="H2071" i="3"/>
  <c r="E2077" i="22" s="1"/>
  <c r="F2077" i="22" s="1"/>
  <c r="G2077" i="22" s="1"/>
  <c r="H2073" i="3"/>
  <c r="E2076" i="18" s="1"/>
  <c r="F2076" i="18" s="1"/>
  <c r="G2076" i="18" s="1"/>
  <c r="H2075" i="3"/>
  <c r="AC228" i="16" s="1"/>
  <c r="H2079" i="3"/>
  <c r="E2082" i="18" s="1"/>
  <c r="F2082" i="18" s="1"/>
  <c r="G2082" i="18" s="1"/>
  <c r="H2083" i="3"/>
  <c r="E2086" i="18" s="1"/>
  <c r="F2086" i="18" s="1"/>
  <c r="G2086" i="18" s="1"/>
  <c r="H2087" i="3"/>
  <c r="E2090" i="18" s="1"/>
  <c r="F2090" i="18" s="1"/>
  <c r="G2090" i="18" s="1"/>
  <c r="H2089" i="3"/>
  <c r="E2092" i="18" s="1"/>
  <c r="F2092" i="18" s="1"/>
  <c r="G2092" i="18" s="1"/>
  <c r="H2093" i="3"/>
  <c r="E2096" i="18" s="1"/>
  <c r="F2096" i="18" s="1"/>
  <c r="G2096" i="18" s="1"/>
  <c r="H2095" i="3"/>
  <c r="E2098" i="18" s="1"/>
  <c r="F2098" i="18" s="1"/>
  <c r="G2098" i="18" s="1"/>
  <c r="H2097" i="3"/>
  <c r="E2100" i="18" s="1"/>
  <c r="F2100" i="18" s="1"/>
  <c r="G2100" i="18" s="1"/>
  <c r="H2101" i="3"/>
  <c r="E2104" i="18" s="1"/>
  <c r="F2104" i="18" s="1"/>
  <c r="G2104" i="18" s="1"/>
  <c r="H2103" i="3"/>
  <c r="E2106" i="18" s="1"/>
  <c r="F2106" i="18" s="1"/>
  <c r="G2106" i="18" s="1"/>
  <c r="H2105" i="3"/>
  <c r="E2108" i="18" s="1"/>
  <c r="F2108" i="18" s="1"/>
  <c r="G2108" i="18" s="1"/>
  <c r="H2109" i="3"/>
  <c r="E2112" i="18" s="1"/>
  <c r="F2112" i="18" s="1"/>
  <c r="G2112" i="18" s="1"/>
  <c r="H2111" i="3"/>
  <c r="E2114" i="18" s="1"/>
  <c r="F2114" i="18" s="1"/>
  <c r="G2114" i="18" s="1"/>
  <c r="H2113" i="3"/>
  <c r="E2116" i="18" s="1"/>
  <c r="F2116" i="18" s="1"/>
  <c r="G2116" i="18" s="1"/>
  <c r="H2117" i="3"/>
  <c r="H2121" i="3"/>
  <c r="E427" i="16" s="1"/>
  <c r="G427" i="16" s="1"/>
  <c r="H2123" i="3"/>
  <c r="H2125" i="3"/>
  <c r="H2127" i="3"/>
  <c r="H2129" i="3"/>
  <c r="H2133" i="3"/>
  <c r="H2137" i="3"/>
  <c r="H2139" i="3"/>
  <c r="H2145" i="3"/>
  <c r="H2151" i="3"/>
  <c r="H2155" i="3"/>
  <c r="H2163" i="3"/>
  <c r="H2167" i="3"/>
  <c r="E2170" i="18" s="1"/>
  <c r="F2170" i="18" s="1"/>
  <c r="G2170" i="18" s="1"/>
  <c r="H2171" i="3"/>
  <c r="E2174" i="18" s="1"/>
  <c r="F2174" i="18" s="1"/>
  <c r="G2174" i="18" s="1"/>
  <c r="H2175" i="3"/>
  <c r="E2178" i="18" s="1"/>
  <c r="F2178" i="18" s="1"/>
  <c r="G2178" i="18" s="1"/>
  <c r="H2177" i="3"/>
  <c r="E2180" i="18" s="1"/>
  <c r="F2180" i="18" s="1"/>
  <c r="G2180" i="18" s="1"/>
  <c r="H2181" i="3"/>
  <c r="E2184" i="18" s="1"/>
  <c r="F2184" i="18" s="1"/>
  <c r="G2184" i="18" s="1"/>
  <c r="H1550" i="3"/>
  <c r="H1554" i="3"/>
  <c r="H1558" i="3"/>
  <c r="H1562" i="3"/>
  <c r="H1566" i="3"/>
  <c r="H1570" i="3"/>
  <c r="H1574" i="3"/>
  <c r="H1578" i="3"/>
  <c r="H1582" i="3"/>
  <c r="H1586" i="3"/>
  <c r="H1590" i="3"/>
  <c r="H1594" i="3"/>
  <c r="H1598" i="3"/>
  <c r="H1602" i="3"/>
  <c r="H1606" i="3"/>
  <c r="H1610" i="3"/>
  <c r="H1614" i="3"/>
  <c r="H1630" i="3"/>
  <c r="H1634" i="3"/>
  <c r="H1638" i="3"/>
  <c r="H1646" i="3"/>
  <c r="H1650" i="3"/>
  <c r="H1662" i="3"/>
  <c r="H1666" i="3"/>
  <c r="H1670" i="3"/>
  <c r="H1678" i="3"/>
  <c r="H1682" i="3"/>
  <c r="H1686" i="3"/>
  <c r="H1690" i="3"/>
  <c r="H1694" i="3"/>
  <c r="H1698" i="3"/>
  <c r="H1702" i="3"/>
  <c r="H1714" i="3"/>
  <c r="H1720" i="3"/>
  <c r="H1516" i="3"/>
  <c r="H1526" i="3"/>
  <c r="H1538" i="3"/>
  <c r="H1706" i="3"/>
  <c r="H1718" i="3"/>
  <c r="H1528" i="3"/>
  <c r="H1534" i="3"/>
  <c r="H1546" i="3"/>
  <c r="H1560" i="3"/>
  <c r="H1572" i="3"/>
  <c r="H1604" i="3"/>
  <c r="H1616" i="3"/>
  <c r="H1620" i="3"/>
  <c r="H1624" i="3"/>
  <c r="H1628" i="3"/>
  <c r="H1632" i="3"/>
  <c r="H1636" i="3"/>
  <c r="H1640" i="3"/>
  <c r="H1644" i="3"/>
  <c r="H1648" i="3"/>
  <c r="H1652" i="3"/>
  <c r="H1656" i="3"/>
  <c r="H1660" i="3"/>
  <c r="H1664" i="3"/>
  <c r="H1668" i="3"/>
  <c r="H1672" i="3"/>
  <c r="H1680" i="3"/>
  <c r="H1684" i="3"/>
  <c r="H1696" i="3"/>
  <c r="H1700" i="3"/>
  <c r="H1493" i="3"/>
  <c r="H1497" i="3"/>
  <c r="H1501" i="3"/>
  <c r="H1505" i="3"/>
  <c r="H1524" i="3"/>
  <c r="H1704" i="3"/>
  <c r="H1710" i="3"/>
  <c r="H1716" i="3"/>
  <c r="H1722" i="3"/>
  <c r="H1507" i="3"/>
  <c r="H1530" i="3"/>
  <c r="H1542" i="3"/>
  <c r="H1548" i="3"/>
  <c r="H1555" i="3"/>
  <c r="H1559" i="3"/>
  <c r="H1563" i="3"/>
  <c r="H1567" i="3"/>
  <c r="H1571" i="3"/>
  <c r="H1575" i="3"/>
  <c r="H1579" i="3"/>
  <c r="H1583" i="3"/>
  <c r="H1587" i="3"/>
  <c r="H1591" i="3"/>
  <c r="H1595" i="3"/>
  <c r="H1599" i="3"/>
  <c r="H1603" i="3"/>
  <c r="H1607" i="3"/>
  <c r="H1611" i="3"/>
  <c r="H1615" i="3"/>
  <c r="H1619" i="3"/>
  <c r="H1623" i="3"/>
  <c r="H1627" i="3"/>
  <c r="H1631" i="3"/>
  <c r="H1635" i="3"/>
  <c r="H1639" i="3"/>
  <c r="H1643" i="3"/>
  <c r="H1647" i="3"/>
  <c r="H1651" i="3"/>
  <c r="H1655" i="3"/>
  <c r="H1659" i="3"/>
  <c r="H1663" i="3"/>
  <c r="H1667" i="3"/>
  <c r="H1671" i="3"/>
  <c r="H1724" i="3"/>
  <c r="H1726" i="3"/>
  <c r="H1730" i="3"/>
  <c r="H1732" i="3"/>
  <c r="H1738" i="3"/>
  <c r="H1742" i="3"/>
  <c r="H1746" i="3"/>
  <c r="H1750" i="3"/>
  <c r="H1754" i="3"/>
  <c r="H1758" i="3"/>
  <c r="H1760" i="3"/>
  <c r="H1762" i="3"/>
  <c r="H1766" i="3"/>
  <c r="H1770" i="3"/>
  <c r="H1774" i="3"/>
  <c r="H1776" i="3"/>
  <c r="H1778" i="3"/>
  <c r="H1782" i="3"/>
  <c r="H1786" i="3"/>
  <c r="H1790" i="3"/>
  <c r="H1796" i="3"/>
  <c r="H1800" i="3"/>
  <c r="H1802" i="3"/>
  <c r="H1804" i="3"/>
  <c r="H1808" i="3"/>
  <c r="H1810" i="3"/>
  <c r="H1812" i="3"/>
  <c r="H1816" i="3"/>
  <c r="H1818" i="3"/>
  <c r="H1820" i="3"/>
  <c r="H1824" i="3"/>
  <c r="H1826" i="3"/>
  <c r="H1828" i="3"/>
  <c r="H1832" i="3"/>
  <c r="H1834" i="3"/>
  <c r="H1836" i="3"/>
  <c r="H1840" i="3"/>
  <c r="H1842" i="3"/>
  <c r="H1844" i="3"/>
  <c r="H1848" i="3"/>
  <c r="H1850" i="3"/>
  <c r="H1852" i="3"/>
  <c r="H1858" i="3"/>
  <c r="H1860" i="3"/>
  <c r="H1862" i="3"/>
  <c r="H1866" i="3"/>
  <c r="H1870" i="3"/>
  <c r="H1874" i="3"/>
  <c r="H1878" i="3"/>
  <c r="H1884" i="3"/>
  <c r="H1888" i="3"/>
  <c r="H1892" i="3"/>
  <c r="H1898" i="3"/>
  <c r="H1900" i="3"/>
  <c r="H1902" i="3"/>
  <c r="H1906" i="3"/>
  <c r="H1910" i="3"/>
  <c r="H1920" i="3"/>
  <c r="H1922" i="3"/>
  <c r="H1924" i="3"/>
  <c r="H1926" i="3"/>
  <c r="H1932" i="3"/>
  <c r="H1938" i="3"/>
  <c r="H1940" i="3"/>
  <c r="H1942" i="3"/>
  <c r="E1943" i="18" s="1"/>
  <c r="F1943" i="18" s="1"/>
  <c r="G1943" i="18" s="1"/>
  <c r="H1946" i="3"/>
  <c r="E1947" i="4" s="1"/>
  <c r="F1947" i="4" s="1"/>
  <c r="G1947" i="4" s="1"/>
  <c r="H1968" i="3"/>
  <c r="E1967" i="4" s="1"/>
  <c r="F1967" i="4" s="1"/>
  <c r="G1967" i="4" s="1"/>
  <c r="H1972" i="3"/>
  <c r="E1969" i="18" s="1"/>
  <c r="F1969" i="18" s="1"/>
  <c r="G1969" i="18" s="1"/>
  <c r="H1976" i="3"/>
  <c r="E1973" i="18" s="1"/>
  <c r="F1973" i="18" s="1"/>
  <c r="G1973" i="18" s="1"/>
  <c r="H1980" i="3"/>
  <c r="E1977" i="18" s="1"/>
  <c r="F1977" i="18" s="1"/>
  <c r="G1977" i="18" s="1"/>
  <c r="H1982" i="3"/>
  <c r="E1979" i="18" s="1"/>
  <c r="F1979" i="18" s="1"/>
  <c r="G1979" i="18" s="1"/>
  <c r="H1986" i="3"/>
  <c r="E1983" i="18" s="1"/>
  <c r="F1983" i="18" s="1"/>
  <c r="G1983" i="18" s="1"/>
  <c r="H1988" i="3"/>
  <c r="E1985" i="18" s="1"/>
  <c r="F1985" i="18" s="1"/>
  <c r="G1985" i="18" s="1"/>
  <c r="H1990" i="3"/>
  <c r="E1987" i="18" s="1"/>
  <c r="F1987" i="18" s="1"/>
  <c r="G1987" i="18" s="1"/>
  <c r="H1994" i="3"/>
  <c r="E1991" i="18" s="1"/>
  <c r="F1991" i="18" s="1"/>
  <c r="G1991" i="18" s="1"/>
  <c r="H1998" i="3"/>
  <c r="E1995" i="18" s="1"/>
  <c r="F1995" i="18" s="1"/>
  <c r="G1995" i="18" s="1"/>
  <c r="H2002" i="3"/>
  <c r="E1999" i="18" s="1"/>
  <c r="F1999" i="18" s="1"/>
  <c r="G1999" i="18" s="1"/>
  <c r="H2004" i="3"/>
  <c r="E2001" i="18" s="1"/>
  <c r="F2001" i="18" s="1"/>
  <c r="G2001" i="18" s="1"/>
  <c r="H2006" i="3"/>
  <c r="E2003" i="18" s="1"/>
  <c r="F2003" i="18" s="1"/>
  <c r="G2003" i="18" s="1"/>
  <c r="H2010" i="3"/>
  <c r="E2007" i="18" s="1"/>
  <c r="F2007" i="18" s="1"/>
  <c r="G2007" i="18" s="1"/>
  <c r="H2014" i="3"/>
  <c r="E2011" i="18" s="1"/>
  <c r="F2011" i="18" s="1"/>
  <c r="G2011" i="18" s="1"/>
  <c r="H2022" i="3"/>
  <c r="E2019" i="18" s="1"/>
  <c r="F2019" i="18" s="1"/>
  <c r="G2019" i="18" s="1"/>
  <c r="H1488" i="3"/>
  <c r="H1475" i="3"/>
  <c r="H1452" i="3"/>
  <c r="H1460" i="3"/>
  <c r="H1439" i="3"/>
  <c r="H1447" i="3"/>
  <c r="H1449" i="3"/>
  <c r="H1428" i="3"/>
  <c r="H1430" i="3"/>
  <c r="H1432" i="3"/>
  <c r="H1436" i="3"/>
  <c r="H1413" i="3"/>
  <c r="H1415" i="3"/>
  <c r="H1419" i="3"/>
  <c r="H1423" i="3"/>
  <c r="H1388" i="3"/>
  <c r="H1392" i="3"/>
  <c r="H1396" i="3"/>
  <c r="H1384" i="3"/>
  <c r="E1385" i="18" s="1"/>
  <c r="F1385" i="18" s="1"/>
  <c r="G1385" i="18" s="1"/>
  <c r="H1350" i="3"/>
  <c r="E1351" i="15" s="1"/>
  <c r="F1351" i="15" s="1"/>
  <c r="G1351" i="15" s="1"/>
  <c r="H1354" i="3"/>
  <c r="E1355" i="4" s="1"/>
  <c r="F1355" i="4" s="1"/>
  <c r="G1355" i="4" s="1"/>
  <c r="H1358" i="3"/>
  <c r="E1359" i="15" s="1"/>
  <c r="F1359" i="15" s="1"/>
  <c r="G1359" i="15" s="1"/>
  <c r="H1357" i="3"/>
  <c r="E1358" i="18" s="1"/>
  <c r="F1358" i="18" s="1"/>
  <c r="G1358" i="18" s="1"/>
  <c r="H1317" i="3"/>
  <c r="H1321" i="3"/>
  <c r="H1325" i="3"/>
  <c r="H1329" i="3"/>
  <c r="H1158" i="3"/>
  <c r="E1159" i="22" s="1"/>
  <c r="F1159" i="22" s="1"/>
  <c r="G1159" i="22" s="1"/>
  <c r="H1162" i="3"/>
  <c r="E1163" i="22" s="1"/>
  <c r="F1163" i="22" s="1"/>
  <c r="G1163" i="22" s="1"/>
  <c r="H1166" i="3"/>
  <c r="E1167" i="22" s="1"/>
  <c r="F1167" i="22" s="1"/>
  <c r="G1167" i="22" s="1"/>
  <c r="H1168" i="3"/>
  <c r="E1169" i="22" s="1"/>
  <c r="F1169" i="22" s="1"/>
  <c r="G1169" i="22" s="1"/>
  <c r="H1172" i="3"/>
  <c r="E1173" i="22" s="1"/>
  <c r="F1173" i="22" s="1"/>
  <c r="G1173" i="22" s="1"/>
  <c r="H1176" i="3"/>
  <c r="E1177" i="22" s="1"/>
  <c r="F1177" i="22" s="1"/>
  <c r="G1177" i="22" s="1"/>
  <c r="H1178" i="3"/>
  <c r="E1179" i="22" s="1"/>
  <c r="F1179" i="22" s="1"/>
  <c r="G1179" i="22" s="1"/>
  <c r="H1180" i="3"/>
  <c r="E1181" i="22" s="1"/>
  <c r="F1181" i="22" s="1"/>
  <c r="G1181" i="22" s="1"/>
  <c r="H1186" i="3"/>
  <c r="E1187" i="18" s="1"/>
  <c r="F1187" i="18" s="1"/>
  <c r="G1187" i="18" s="1"/>
  <c r="H1210" i="3"/>
  <c r="E1211" i="18" s="1"/>
  <c r="F1211" i="18" s="1"/>
  <c r="G1211" i="18" s="1"/>
  <c r="H1029" i="3"/>
  <c r="E1030" i="22" s="1"/>
  <c r="F1030" i="22" s="1"/>
  <c r="G1030" i="22" s="1"/>
  <c r="H1033" i="3"/>
  <c r="E1034" i="22" s="1"/>
  <c r="F1034" i="22" s="1"/>
  <c r="G1034" i="22" s="1"/>
  <c r="H1035" i="3"/>
  <c r="E1036" i="22" s="1"/>
  <c r="F1036" i="22" s="1"/>
  <c r="G1036" i="22" s="1"/>
  <c r="H1037" i="3"/>
  <c r="E1038" i="22" s="1"/>
  <c r="F1038" i="22" s="1"/>
  <c r="G1038" i="22" s="1"/>
  <c r="H1041" i="3"/>
  <c r="E1042" i="22" s="1"/>
  <c r="F1042" i="22" s="1"/>
  <c r="G1042" i="22" s="1"/>
  <c r="H1043" i="3"/>
  <c r="E1044" i="22" s="1"/>
  <c r="F1044" i="22" s="1"/>
  <c r="G1044" i="22" s="1"/>
  <c r="H1045" i="3"/>
  <c r="E1046" i="22" s="1"/>
  <c r="F1046" i="22" s="1"/>
  <c r="G1046" i="22" s="1"/>
  <c r="E1050" i="22"/>
  <c r="F1050" i="22" s="1"/>
  <c r="G1050" i="22" s="1"/>
  <c r="E1054" i="22"/>
  <c r="F1054" i="22" s="1"/>
  <c r="G1054" i="22" s="1"/>
  <c r="E1058" i="22"/>
  <c r="F1058" i="22" s="1"/>
  <c r="G1058" i="22" s="1"/>
  <c r="E1066" i="22"/>
  <c r="F1066" i="22" s="1"/>
  <c r="G1066" i="22" s="1"/>
  <c r="E1070" i="22"/>
  <c r="F1070" i="22" s="1"/>
  <c r="G1070" i="22" s="1"/>
  <c r="H1091" i="3"/>
  <c r="E1092" i="22" s="1"/>
  <c r="F1092" i="22" s="1"/>
  <c r="G1092" i="22" s="1"/>
  <c r="H965" i="3"/>
  <c r="H969" i="3"/>
  <c r="H971" i="3"/>
  <c r="H973" i="3"/>
  <c r="H977" i="3"/>
  <c r="H979" i="3"/>
  <c r="H981" i="3"/>
  <c r="H983" i="3"/>
  <c r="E984" i="15" s="1"/>
  <c r="F984" i="15" s="1"/>
  <c r="G984" i="15" s="1"/>
  <c r="H987" i="3"/>
  <c r="E988" i="18" s="1"/>
  <c r="F988" i="18" s="1"/>
  <c r="G988" i="18" s="1"/>
  <c r="H995" i="3"/>
  <c r="E996" i="22" s="1"/>
  <c r="F996" i="22" s="1"/>
  <c r="G996" i="22" s="1"/>
  <c r="H999" i="3"/>
  <c r="E1000" i="22" s="1"/>
  <c r="F15" i="24" s="1"/>
  <c r="G15" i="24" s="1"/>
  <c r="H1003" i="3"/>
  <c r="E1004" i="22" s="1"/>
  <c r="F1004" i="22" s="1"/>
  <c r="G1004" i="22" s="1"/>
  <c r="H842" i="3"/>
  <c r="E844" i="18" s="1"/>
  <c r="F844" i="18" s="1"/>
  <c r="G844" i="18" s="1"/>
  <c r="H846" i="3"/>
  <c r="E848" i="18" s="1"/>
  <c r="F848" i="18" s="1"/>
  <c r="G848" i="18" s="1"/>
  <c r="H850" i="3"/>
  <c r="E852" i="18" s="1"/>
  <c r="F852" i="18" s="1"/>
  <c r="G852" i="18" s="1"/>
  <c r="H854" i="3"/>
  <c r="E856" i="18" s="1"/>
  <c r="F856" i="18" s="1"/>
  <c r="G856" i="18" s="1"/>
  <c r="H858" i="3"/>
  <c r="E860" i="18" s="1"/>
  <c r="F860" i="18" s="1"/>
  <c r="G860" i="18" s="1"/>
  <c r="H866" i="3"/>
  <c r="E868" i="18" s="1"/>
  <c r="F868" i="18" s="1"/>
  <c r="G868" i="18" s="1"/>
  <c r="H870" i="3"/>
  <c r="E872" i="18" s="1"/>
  <c r="F872" i="18" s="1"/>
  <c r="G872" i="18" s="1"/>
  <c r="H872" i="3"/>
  <c r="E874" i="18" s="1"/>
  <c r="F874" i="18" s="1"/>
  <c r="G874" i="18" s="1"/>
  <c r="H874" i="3"/>
  <c r="E876" i="18" s="1"/>
  <c r="F876" i="18" s="1"/>
  <c r="G876" i="18" s="1"/>
  <c r="H878" i="3"/>
  <c r="E880" i="18" s="1"/>
  <c r="F880" i="18" s="1"/>
  <c r="G880" i="18" s="1"/>
  <c r="H880" i="3"/>
  <c r="E882" i="18" s="1"/>
  <c r="F882" i="18" s="1"/>
  <c r="G882" i="18" s="1"/>
  <c r="E884" i="18"/>
  <c r="F884" i="18" s="1"/>
  <c r="G884" i="18" s="1"/>
  <c r="E892" i="18"/>
  <c r="F892" i="18" s="1"/>
  <c r="G892" i="18" s="1"/>
  <c r="H894" i="3"/>
  <c r="E896" i="18" s="1"/>
  <c r="F896" i="18" s="1"/>
  <c r="G896" i="18" s="1"/>
  <c r="H896" i="3"/>
  <c r="E898" i="18" s="1"/>
  <c r="F898" i="18" s="1"/>
  <c r="G898" i="18" s="1"/>
  <c r="H900" i="3"/>
  <c r="E902" i="18" s="1"/>
  <c r="F902" i="18" s="1"/>
  <c r="G902" i="18" s="1"/>
  <c r="H904" i="3"/>
  <c r="E906" i="18" s="1"/>
  <c r="F906" i="18" s="1"/>
  <c r="G906" i="18" s="1"/>
  <c r="H908" i="3"/>
  <c r="E910" i="18" s="1"/>
  <c r="F910" i="18" s="1"/>
  <c r="G910" i="18" s="1"/>
  <c r="H912" i="3"/>
  <c r="H916" i="3"/>
  <c r="E918" i="18" s="1"/>
  <c r="F918" i="18" s="1"/>
  <c r="G918" i="18" s="1"/>
  <c r="H918" i="3"/>
  <c r="E920" i="18" s="1"/>
  <c r="F920" i="18" s="1"/>
  <c r="G920" i="18" s="1"/>
  <c r="H924" i="3"/>
  <c r="E926" i="18" s="1"/>
  <c r="F926" i="18" s="1"/>
  <c r="G926" i="18" s="1"/>
  <c r="H930" i="3"/>
  <c r="E932" i="18" s="1"/>
  <c r="F932" i="18" s="1"/>
  <c r="G932" i="18" s="1"/>
  <c r="H934" i="3"/>
  <c r="E936" i="18" s="1"/>
  <c r="F936" i="18" s="1"/>
  <c r="G936" i="18" s="1"/>
  <c r="H936" i="3"/>
  <c r="E938" i="18" s="1"/>
  <c r="F938" i="18" s="1"/>
  <c r="G938" i="18" s="1"/>
  <c r="H961" i="3"/>
  <c r="H830" i="3"/>
  <c r="H832" i="3"/>
  <c r="H840" i="3"/>
  <c r="H817" i="3"/>
  <c r="H819" i="3"/>
  <c r="H827" i="3"/>
  <c r="H815" i="3"/>
  <c r="H756" i="3"/>
  <c r="H758" i="3"/>
  <c r="H755" i="3"/>
  <c r="H759" i="3"/>
  <c r="H743" i="3"/>
  <c r="H745" i="3"/>
  <c r="H747" i="3"/>
  <c r="H751" i="3"/>
  <c r="H710" i="3"/>
  <c r="H712" i="3"/>
  <c r="H716" i="3"/>
  <c r="H718" i="3"/>
  <c r="H720" i="3"/>
  <c r="H724" i="3"/>
  <c r="H674" i="3"/>
  <c r="H678" i="3"/>
  <c r="H644" i="3"/>
  <c r="H653" i="3"/>
  <c r="H641" i="3"/>
  <c r="H643" i="3"/>
  <c r="H630" i="3"/>
  <c r="H634" i="3"/>
  <c r="H638" i="3"/>
  <c r="H621" i="3"/>
  <c r="H623" i="3"/>
  <c r="H625" i="3"/>
  <c r="H609" i="3"/>
  <c r="H613" i="3"/>
  <c r="H617" i="3"/>
  <c r="H577" i="3"/>
  <c r="H579" i="3"/>
  <c r="H581" i="3"/>
  <c r="H585" i="3"/>
  <c r="H589" i="3"/>
  <c r="H559" i="3"/>
  <c r="H563" i="3"/>
  <c r="H565" i="3"/>
  <c r="H567" i="3"/>
  <c r="H571" i="3"/>
  <c r="H557" i="3"/>
  <c r="H512" i="3"/>
  <c r="H516" i="3"/>
  <c r="H524" i="3"/>
  <c r="H494" i="3"/>
  <c r="H498" i="3"/>
  <c r="H502" i="3"/>
  <c r="H504" i="3"/>
  <c r="H506" i="3"/>
  <c r="H482" i="3"/>
  <c r="H490" i="3"/>
  <c r="H458" i="3"/>
  <c r="H464" i="3"/>
  <c r="H466" i="3"/>
  <c r="H470" i="3"/>
  <c r="H472" i="3"/>
  <c r="H474" i="3"/>
  <c r="H371" i="3"/>
  <c r="H375" i="3"/>
  <c r="H379" i="3"/>
  <c r="H383" i="3"/>
  <c r="H387" i="3"/>
  <c r="H351" i="3"/>
  <c r="H337" i="3"/>
  <c r="H341" i="3"/>
  <c r="H328" i="3"/>
  <c r="H332" i="3"/>
  <c r="H319" i="3"/>
  <c r="H323" i="3"/>
  <c r="H312" i="3"/>
  <c r="H314" i="3"/>
  <c r="H303" i="3"/>
  <c r="H305" i="3"/>
  <c r="H309" i="3"/>
  <c r="H278" i="3"/>
  <c r="H284" i="3"/>
  <c r="H286" i="3"/>
  <c r="H288" i="3"/>
  <c r="H256" i="3"/>
  <c r="E258" i="15" s="1"/>
  <c r="F258" i="15" s="1"/>
  <c r="G258" i="15" s="1"/>
  <c r="H236" i="3"/>
  <c r="H240" i="3"/>
  <c r="H244" i="3"/>
  <c r="H248" i="3"/>
  <c r="H214" i="3"/>
  <c r="H222" i="3"/>
  <c r="H226" i="3"/>
  <c r="H230" i="3"/>
  <c r="H201" i="3"/>
  <c r="H205" i="3"/>
  <c r="H209" i="3"/>
  <c r="H159" i="3"/>
  <c r="H15" i="3"/>
  <c r="H108" i="3"/>
  <c r="H100" i="3"/>
  <c r="H102" i="3"/>
  <c r="H104" i="3"/>
  <c r="H103" i="3"/>
  <c r="H91" i="3"/>
  <c r="H95" i="3"/>
  <c r="H86" i="3"/>
  <c r="H81" i="3"/>
  <c r="H75" i="3"/>
  <c r="H64" i="3"/>
  <c r="H68" i="3"/>
  <c r="H70" i="3"/>
  <c r="H72" i="3"/>
  <c r="H53" i="3"/>
  <c r="H55" i="3"/>
  <c r="H57" i="3"/>
  <c r="H59" i="3"/>
  <c r="H61" i="3"/>
  <c r="H52" i="3"/>
  <c r="H38" i="3"/>
  <c r="H40" i="3"/>
  <c r="H44" i="3"/>
  <c r="H31" i="3"/>
  <c r="H33" i="3"/>
  <c r="H35" i="3"/>
  <c r="H12" i="3"/>
  <c r="H10" i="3"/>
  <c r="H29" i="3"/>
  <c r="H23" i="3"/>
  <c r="H30" i="3"/>
  <c r="H115" i="3"/>
  <c r="H2369" i="3"/>
  <c r="H2376" i="3"/>
  <c r="H2378" i="3"/>
  <c r="H48" i="3"/>
  <c r="H113" i="3"/>
  <c r="H118" i="3"/>
  <c r="E120" i="18" s="1"/>
  <c r="F120" i="18" s="1"/>
  <c r="H120" i="3"/>
  <c r="H123" i="3"/>
  <c r="H125" i="3"/>
  <c r="H127" i="3"/>
  <c r="H131" i="3"/>
  <c r="H133" i="3"/>
  <c r="H135" i="3"/>
  <c r="H137" i="3"/>
  <c r="H141" i="3"/>
  <c r="H143" i="3"/>
  <c r="H145" i="3"/>
  <c r="H2372" i="3"/>
  <c r="E879" i="18"/>
  <c r="F879" i="18" s="1"/>
  <c r="G879" i="18" s="1"/>
  <c r="E877" i="18"/>
  <c r="F877" i="18" s="1"/>
  <c r="G877" i="18" s="1"/>
  <c r="E869" i="18"/>
  <c r="F869" i="18" s="1"/>
  <c r="G869" i="18" s="1"/>
  <c r="E1443" i="18"/>
  <c r="F1443" i="18" s="1"/>
  <c r="G1443" i="18" s="1"/>
  <c r="E2181" i="18"/>
  <c r="F2181" i="18" s="1"/>
  <c r="G2181" i="18" s="1"/>
  <c r="E881" i="18"/>
  <c r="F881" i="18" s="1"/>
  <c r="G881" i="18" s="1"/>
  <c r="E2255" i="18"/>
  <c r="F2255" i="18" s="1"/>
  <c r="G2255" i="18" s="1"/>
  <c r="AK126" i="16"/>
  <c r="AM126" i="16" s="1"/>
  <c r="AK335" i="16"/>
  <c r="AM335" i="16" s="1"/>
  <c r="E1341" i="4"/>
  <c r="F1341" i="4" s="1"/>
  <c r="G1341" i="4" s="1"/>
  <c r="E2179" i="18"/>
  <c r="F2179" i="18" s="1"/>
  <c r="G2179" i="18" s="1"/>
  <c r="E28" i="16"/>
  <c r="G28" i="16" s="1"/>
  <c r="E2171" i="4"/>
  <c r="F2171" i="4" s="1"/>
  <c r="G2171" i="4" s="1"/>
  <c r="E2172" i="22"/>
  <c r="F2172" i="22" s="1"/>
  <c r="G2172" i="22" s="1"/>
  <c r="E2077" i="4"/>
  <c r="F2077" i="4" s="1"/>
  <c r="G2077" i="4" s="1"/>
  <c r="E2075" i="15"/>
  <c r="F2075" i="15" s="1"/>
  <c r="G2075" i="15" s="1"/>
  <c r="E2078" i="22"/>
  <c r="F2078" i="22" s="1"/>
  <c r="G2078" i="22" s="1"/>
  <c r="E2075" i="18"/>
  <c r="F2075" i="18" s="1"/>
  <c r="G2075" i="18" s="1"/>
  <c r="E2071" i="4"/>
  <c r="F2071" i="4" s="1"/>
  <c r="G2071" i="4" s="1"/>
  <c r="E2072" i="22"/>
  <c r="F2072" i="22" s="1"/>
  <c r="G2072" i="22" s="1"/>
  <c r="E2069" i="18"/>
  <c r="F2069" i="18" s="1"/>
  <c r="G2069" i="18" s="1"/>
  <c r="E2069" i="15"/>
  <c r="F2069" i="15" s="1"/>
  <c r="G2069" i="15" s="1"/>
  <c r="E436" i="16"/>
  <c r="G436" i="16" s="1"/>
  <c r="E2026" i="18"/>
  <c r="F2026" i="18" s="1"/>
  <c r="G2026" i="18" s="1"/>
  <c r="E1973" i="22"/>
  <c r="F1973" i="22" s="1"/>
  <c r="G1973" i="22" s="1"/>
  <c r="E1970" i="18"/>
  <c r="F1970" i="18" s="1"/>
  <c r="G1970" i="18" s="1"/>
  <c r="E1971" i="22"/>
  <c r="F1971" i="22" s="1"/>
  <c r="G1971" i="22" s="1"/>
  <c r="E1967" i="22"/>
  <c r="F1967" i="22" s="1"/>
  <c r="G1967" i="22" s="1"/>
  <c r="E1964" i="18"/>
  <c r="F1964" i="18" s="1"/>
  <c r="G1964" i="18" s="1"/>
  <c r="E1964" i="15"/>
  <c r="F1964" i="15" s="1"/>
  <c r="G1964" i="15" s="1"/>
  <c r="E1966" i="4"/>
  <c r="F1966" i="4" s="1"/>
  <c r="G1966" i="4" s="1"/>
  <c r="M233" i="16"/>
  <c r="O233" i="16" s="1"/>
  <c r="E285" i="16"/>
  <c r="AC285" i="16" s="1"/>
  <c r="AE285" i="16" s="1"/>
  <c r="AC233" i="16"/>
  <c r="AE233" i="16" s="1"/>
  <c r="E1944" i="22"/>
  <c r="F1944" i="22" s="1"/>
  <c r="G1944" i="22" s="1"/>
  <c r="E337" i="16"/>
  <c r="G337" i="16" s="1"/>
  <c r="E227" i="16"/>
  <c r="G227" i="16" s="1"/>
  <c r="E1441" i="18"/>
  <c r="F1441" i="18" s="1"/>
  <c r="G1441" i="18" s="1"/>
  <c r="E1384" i="22"/>
  <c r="F1384" i="22" s="1"/>
  <c r="G1384" i="22" s="1"/>
  <c r="E1384" i="18"/>
  <c r="F1384" i="18" s="1"/>
  <c r="G1384" i="18" s="1"/>
  <c r="E1384" i="4"/>
  <c r="F1384" i="4" s="1"/>
  <c r="G1384" i="4" s="1"/>
  <c r="E1376" i="22"/>
  <c r="F1376" i="22" s="1"/>
  <c r="G1376" i="22" s="1"/>
  <c r="E1376" i="4"/>
  <c r="F1376" i="4" s="1"/>
  <c r="G1376" i="4" s="1"/>
  <c r="E1380" i="22"/>
  <c r="F1380" i="22" s="1"/>
  <c r="G1380" i="22" s="1"/>
  <c r="E1380" i="15"/>
  <c r="F1380" i="15" s="1"/>
  <c r="G1380" i="15" s="1"/>
  <c r="E1371" i="18"/>
  <c r="F1371" i="18" s="1"/>
  <c r="G1371" i="18" s="1"/>
  <c r="E1374" i="15"/>
  <c r="F1374" i="15" s="1"/>
  <c r="G1374" i="15" s="1"/>
  <c r="E1361" i="4"/>
  <c r="F1361" i="4" s="1"/>
  <c r="G1361" i="4" s="1"/>
  <c r="E1345" i="4"/>
  <c r="F1345" i="4" s="1"/>
  <c r="G1345" i="4" s="1"/>
  <c r="E1098" i="22"/>
  <c r="F1098" i="22" s="1"/>
  <c r="G1098" i="22" s="1"/>
  <c r="E1104" i="22"/>
  <c r="F1104" i="22" s="1"/>
  <c r="G1104" i="22" s="1"/>
  <c r="E429" i="16"/>
  <c r="G429" i="16" s="1"/>
  <c r="E875" i="18"/>
  <c r="F875" i="18" s="1"/>
  <c r="G875" i="18" s="1"/>
  <c r="E428" i="16"/>
  <c r="G428" i="16" s="1"/>
  <c r="E867" i="18"/>
  <c r="F867" i="18" s="1"/>
  <c r="G867" i="18" s="1"/>
  <c r="E865" i="18"/>
  <c r="F865" i="18" s="1"/>
  <c r="G865" i="18" s="1"/>
  <c r="E25" i="16"/>
  <c r="E190" i="4"/>
  <c r="F190" i="4" s="1"/>
  <c r="G190" i="4" s="1"/>
  <c r="E190" i="22"/>
  <c r="F190" i="22" s="1"/>
  <c r="G190" i="22" s="1"/>
  <c r="E190" i="18"/>
  <c r="F190" i="18" s="1"/>
  <c r="G190" i="18" s="1"/>
  <c r="E1346" i="22"/>
  <c r="F1346" i="22" s="1"/>
  <c r="G1346" i="22" s="1"/>
  <c r="E1444" i="18"/>
  <c r="F1444" i="18" s="1"/>
  <c r="G1444" i="18" s="1"/>
  <c r="E440" i="16"/>
  <c r="G440" i="16" s="1"/>
  <c r="E1340" i="22"/>
  <c r="F1340" i="22" s="1"/>
  <c r="G1340" i="22" s="1"/>
  <c r="E1367" i="22"/>
  <c r="F1367" i="22" s="1"/>
  <c r="G1367" i="22" s="1"/>
  <c r="E1367" i="4"/>
  <c r="F1367" i="4" s="1"/>
  <c r="G1367" i="4" s="1"/>
  <c r="E1113" i="22"/>
  <c r="F1113" i="22" s="1"/>
  <c r="G1113" i="22" s="1"/>
  <c r="E1114" i="18"/>
  <c r="F1114" i="18" s="1"/>
  <c r="G1114" i="18" s="1"/>
  <c r="E258" i="18"/>
  <c r="F258" i="18" s="1"/>
  <c r="G258" i="18" s="1"/>
  <c r="E1358" i="22"/>
  <c r="F1358" i="22" s="1"/>
  <c r="G1358" i="22" s="1"/>
  <c r="E1349" i="15"/>
  <c r="F1349" i="15" s="1"/>
  <c r="G1349" i="15" s="1"/>
  <c r="E1349" i="4"/>
  <c r="F1349" i="4" s="1"/>
  <c r="G1349" i="4" s="1"/>
  <c r="E1342" i="15"/>
  <c r="F1342" i="15" s="1"/>
  <c r="G1342" i="15" s="1"/>
  <c r="E1342" i="4"/>
  <c r="F1342" i="4" s="1"/>
  <c r="G1342" i="4" s="1"/>
  <c r="E1377" i="15"/>
  <c r="F1377" i="15" s="1"/>
  <c r="G1377" i="15" s="1"/>
  <c r="E1107" i="22"/>
  <c r="F1107" i="22" s="1"/>
  <c r="G1107" i="22" s="1"/>
  <c r="F1108" i="18"/>
  <c r="G1108" i="18" s="1"/>
  <c r="E1359" i="18"/>
  <c r="F1359" i="18" s="1"/>
  <c r="G1359" i="18" s="1"/>
  <c r="E1943" i="22"/>
  <c r="F1943" i="22" s="1"/>
  <c r="G1943" i="22" s="1"/>
  <c r="E1943" i="15"/>
  <c r="F1943" i="15" s="1"/>
  <c r="G1943" i="15" s="1"/>
  <c r="E1943" i="4"/>
  <c r="F1943" i="4" s="1"/>
  <c r="G1943" i="4" s="1"/>
  <c r="E1379" i="18"/>
  <c r="F1379" i="18" s="1"/>
  <c r="G1379" i="18" s="1"/>
  <c r="M125" i="16"/>
  <c r="O125" i="16" s="1"/>
  <c r="E1381" i="22"/>
  <c r="F1381" i="22" s="1"/>
  <c r="G1381" i="22" s="1"/>
  <c r="E1381" i="15"/>
  <c r="F1381" i="15" s="1"/>
  <c r="G1381" i="15" s="1"/>
  <c r="E1372" i="18"/>
  <c r="F1372" i="18" s="1"/>
  <c r="G1372" i="18" s="1"/>
  <c r="E1968" i="22"/>
  <c r="F1968" i="22" s="1"/>
  <c r="G1968" i="22" s="1"/>
  <c r="E1965" i="18"/>
  <c r="F1965" i="18" s="1"/>
  <c r="G1965" i="18" s="1"/>
  <c r="E1965" i="15"/>
  <c r="F1965" i="15" s="1"/>
  <c r="G1965" i="15" s="1"/>
  <c r="E1913" i="18"/>
  <c r="F1913" i="18" s="1"/>
  <c r="G1913" i="18" s="1"/>
  <c r="E2235" i="18"/>
  <c r="F2235" i="18" s="1"/>
  <c r="G2235" i="18" s="1"/>
  <c r="E29" i="16"/>
  <c r="AC29" i="16" s="1"/>
  <c r="AE29" i="16" s="1"/>
  <c r="E442" i="16"/>
  <c r="G442" i="16" s="1"/>
  <c r="E1363" i="18"/>
  <c r="F1363" i="18" s="1"/>
  <c r="G1363" i="18" s="1"/>
  <c r="E1363" i="15"/>
  <c r="F1363" i="15" s="1"/>
  <c r="G1363" i="15" s="1"/>
  <c r="E1363" i="4"/>
  <c r="F1363" i="4" s="1"/>
  <c r="G1363" i="4" s="1"/>
  <c r="E987" i="22"/>
  <c r="F987" i="22" s="1"/>
  <c r="G987" i="22" s="1"/>
  <c r="E987" i="4"/>
  <c r="F987" i="4" s="1"/>
  <c r="G987" i="4" s="1"/>
  <c r="E1353" i="22"/>
  <c r="F1353" i="22" s="1"/>
  <c r="G1353" i="22" s="1"/>
  <c r="E1353" i="18"/>
  <c r="F1353" i="18" s="1"/>
  <c r="G1353" i="18" s="1"/>
  <c r="E1353" i="4"/>
  <c r="F1353" i="4" s="1"/>
  <c r="G1353" i="4" s="1"/>
  <c r="E1353" i="15"/>
  <c r="F1353" i="15" s="1"/>
  <c r="G1353" i="15" s="1"/>
  <c r="E2072" i="4"/>
  <c r="F2072" i="4" s="1"/>
  <c r="G2072" i="4" s="1"/>
  <c r="E2028" i="18"/>
  <c r="F2028" i="18" s="1"/>
  <c r="G2028" i="18" s="1"/>
  <c r="E336" i="16"/>
  <c r="G336" i="16" s="1"/>
  <c r="E1950" i="4"/>
  <c r="F1950" i="4" s="1"/>
  <c r="G1950" i="4" s="1"/>
  <c r="E1949" i="18"/>
  <c r="F1949" i="18" s="1"/>
  <c r="G1949" i="18" s="1"/>
  <c r="E1949" i="15"/>
  <c r="F1949" i="15" s="1"/>
  <c r="G1949" i="15" s="1"/>
  <c r="E1958" i="4"/>
  <c r="F1958" i="4" s="1"/>
  <c r="G1958" i="4" s="1"/>
  <c r="E1957" i="18"/>
  <c r="F1957" i="18" s="1"/>
  <c r="G1957" i="18" s="1"/>
  <c r="E1957" i="15"/>
  <c r="F1957" i="15" s="1"/>
  <c r="G1957" i="15" s="1"/>
  <c r="E1954" i="4"/>
  <c r="F1954" i="4" s="1"/>
  <c r="G1954" i="4" s="1"/>
  <c r="E1953" i="18"/>
  <c r="F1953" i="18" s="1"/>
  <c r="G1953" i="18" s="1"/>
  <c r="E1953" i="15"/>
  <c r="F1953" i="15" s="1"/>
  <c r="G1953" i="15" s="1"/>
  <c r="E77" i="16"/>
  <c r="G77" i="16" s="1"/>
  <c r="G615" i="19"/>
  <c r="E946" i="27"/>
  <c r="E947" i="27" s="1"/>
  <c r="E1105" i="22" l="1"/>
  <c r="F1105" i="22" s="1"/>
  <c r="G1105" i="22" s="1"/>
  <c r="E1364" i="22"/>
  <c r="F1364" i="22" s="1"/>
  <c r="G1364" i="22" s="1"/>
  <c r="E424" i="16"/>
  <c r="G424" i="16" s="1"/>
  <c r="E1380" i="18"/>
  <c r="F1380" i="18" s="1"/>
  <c r="G1380" i="18" s="1"/>
  <c r="H242" i="3"/>
  <c r="H280" i="3"/>
  <c r="H680" i="3"/>
  <c r="H190" i="3"/>
  <c r="G439" i="3"/>
  <c r="H439" i="3" s="1"/>
  <c r="G1001" i="3"/>
  <c r="H1001" i="3" s="1"/>
  <c r="E1002" i="22" s="1"/>
  <c r="F1002" i="22" s="1"/>
  <c r="G1002" i="22" s="1"/>
  <c r="G1495" i="3"/>
  <c r="H1495" i="3" s="1"/>
  <c r="G1503" i="3"/>
  <c r="H1503" i="3"/>
  <c r="G1665" i="3"/>
  <c r="H1665" i="3" s="1"/>
  <c r="G2026" i="3"/>
  <c r="H2026" i="3" s="1"/>
  <c r="E2023" i="18" s="1"/>
  <c r="F2023" i="18" s="1"/>
  <c r="G2023" i="18" s="1"/>
  <c r="G2049" i="3"/>
  <c r="H2049" i="3" s="1"/>
  <c r="G2057" i="3"/>
  <c r="H2057" i="3"/>
  <c r="G2081" i="3"/>
  <c r="H2081" i="3" s="1"/>
  <c r="E2084" i="18" s="1"/>
  <c r="F2084" i="18" s="1"/>
  <c r="G2084" i="18" s="1"/>
  <c r="G2206" i="3"/>
  <c r="H2206" i="3" s="1"/>
  <c r="G2215" i="3"/>
  <c r="H2215" i="3" s="1"/>
  <c r="G2257" i="3"/>
  <c r="H2257" i="3"/>
  <c r="G2288" i="3"/>
  <c r="H2288" i="3" s="1"/>
  <c r="H955" i="8"/>
  <c r="E1110" i="18"/>
  <c r="F1110" i="18" s="1"/>
  <c r="G1110" i="18" s="1"/>
  <c r="G225" i="3"/>
  <c r="H225" i="3" s="1"/>
  <c r="G345" i="3"/>
  <c r="H345" i="3"/>
  <c r="G354" i="3"/>
  <c r="H354" i="3" s="1"/>
  <c r="G363" i="3"/>
  <c r="H363" i="3" s="1"/>
  <c r="G415" i="3"/>
  <c r="H415" i="3" s="1"/>
  <c r="G484" i="3"/>
  <c r="H484" i="3"/>
  <c r="G501" i="3"/>
  <c r="H501" i="3" s="1"/>
  <c r="G562" i="3"/>
  <c r="H562" i="3" s="1"/>
  <c r="G662" i="3"/>
  <c r="H662" i="3" s="1"/>
  <c r="G799" i="3"/>
  <c r="H799" i="3"/>
  <c r="G818" i="3"/>
  <c r="H818" i="3" s="1"/>
  <c r="G892" i="3"/>
  <c r="H892" i="3" s="1"/>
  <c r="G957" i="3"/>
  <c r="H957" i="3" s="1"/>
  <c r="G985" i="3"/>
  <c r="H985" i="3"/>
  <c r="G1083" i="3"/>
  <c r="H1083" i="3" s="1"/>
  <c r="E1084" i="22" s="1"/>
  <c r="F1084" i="22" s="1"/>
  <c r="G1084" i="22" s="1"/>
  <c r="G1128" i="3"/>
  <c r="H1128" i="3" s="1"/>
  <c r="E1129" i="22" s="1"/>
  <c r="F1129" i="22" s="1"/>
  <c r="G1129" i="22" s="1"/>
  <c r="G1146" i="3"/>
  <c r="H1146" i="3" s="1"/>
  <c r="E1147" i="22" s="1"/>
  <c r="F1147" i="22" s="1"/>
  <c r="G1147" i="22" s="1"/>
  <c r="G1164" i="3"/>
  <c r="H1164" i="3"/>
  <c r="E1165" i="22" s="1"/>
  <c r="F1165" i="22" s="1"/>
  <c r="G1165" i="22" s="1"/>
  <c r="G1302" i="3"/>
  <c r="H1302" i="3" s="1"/>
  <c r="E1303" i="18" s="1"/>
  <c r="F1303" i="18" s="1"/>
  <c r="G1303" i="18" s="1"/>
  <c r="G1320" i="3"/>
  <c r="H1320" i="3" s="1"/>
  <c r="G1365" i="3"/>
  <c r="H1365" i="3" s="1"/>
  <c r="G1374" i="3"/>
  <c r="H1374" i="3"/>
  <c r="G1417" i="3"/>
  <c r="H1417" i="3" s="1"/>
  <c r="G1426" i="3"/>
  <c r="H1426" i="3" s="1"/>
  <c r="G1434" i="3"/>
  <c r="H1434" i="3" s="1"/>
  <c r="G1462" i="3"/>
  <c r="H1462" i="3"/>
  <c r="G1569" i="3"/>
  <c r="H1569" i="3" s="1"/>
  <c r="G1601" i="3"/>
  <c r="H1601" i="3" s="1"/>
  <c r="G1609" i="3"/>
  <c r="H1609" i="3" s="1"/>
  <c r="G1626" i="3"/>
  <c r="H1626" i="3"/>
  <c r="G1642" i="3"/>
  <c r="H1642" i="3" s="1"/>
  <c r="G1658" i="3"/>
  <c r="H1658" i="3" s="1"/>
  <c r="G1676" i="3"/>
  <c r="H1676" i="3" s="1"/>
  <c r="G1692" i="3"/>
  <c r="H1692" i="3"/>
  <c r="G1798" i="3"/>
  <c r="H1798" i="3" s="1"/>
  <c r="G1806" i="3"/>
  <c r="H1806" i="3" s="1"/>
  <c r="G1814" i="3"/>
  <c r="H1814" i="3" s="1"/>
  <c r="G1822" i="3"/>
  <c r="H1822" i="3"/>
  <c r="G1830" i="3"/>
  <c r="H1830" i="3" s="1"/>
  <c r="G1838" i="3"/>
  <c r="H1838" i="3" s="1"/>
  <c r="G1846" i="3"/>
  <c r="H1846" i="3" s="1"/>
  <c r="G1856" i="3"/>
  <c r="H1856" i="3"/>
  <c r="G1864" i="3"/>
  <c r="H1864" i="3" s="1"/>
  <c r="G1936" i="3"/>
  <c r="H1936" i="3" s="1"/>
  <c r="G1944" i="3"/>
  <c r="H1944" i="3" s="1"/>
  <c r="G2008" i="3"/>
  <c r="H2008" i="3"/>
  <c r="E2005" i="18" s="1"/>
  <c r="F2005" i="18" s="1"/>
  <c r="G2005" i="18" s="1"/>
  <c r="G2018" i="3"/>
  <c r="H2018" i="3" s="1"/>
  <c r="E2015" i="18" s="1"/>
  <c r="F2015" i="18" s="1"/>
  <c r="G2015" i="18" s="1"/>
  <c r="G2074" i="3"/>
  <c r="H2074" i="3" s="1"/>
  <c r="E2077" i="18" s="1"/>
  <c r="F2077" i="18" s="1"/>
  <c r="G2077" i="18" s="1"/>
  <c r="G2082" i="3"/>
  <c r="H2082" i="3" s="1"/>
  <c r="E2085" i="18" s="1"/>
  <c r="F2085" i="18" s="1"/>
  <c r="G2085" i="18" s="1"/>
  <c r="G2091" i="3"/>
  <c r="H2091" i="3"/>
  <c r="E2094" i="18" s="1"/>
  <c r="F2094" i="18" s="1"/>
  <c r="G2094" i="18" s="1"/>
  <c r="G2099" i="3"/>
  <c r="H2099" i="3" s="1"/>
  <c r="G2107" i="3"/>
  <c r="H2107" i="3" s="1"/>
  <c r="E2110" i="18" s="1"/>
  <c r="F2110" i="18" s="1"/>
  <c r="G2110" i="18" s="1"/>
  <c r="G2115" i="3"/>
  <c r="H2115" i="3" s="1"/>
  <c r="G2131" i="3"/>
  <c r="H2131" i="3"/>
  <c r="G2227" i="3"/>
  <c r="H2227" i="3" s="1"/>
  <c r="G2258" i="3"/>
  <c r="H2258" i="3" s="1"/>
  <c r="G2360" i="3"/>
  <c r="H2360" i="3" s="1"/>
  <c r="G2381" i="3"/>
  <c r="H2381" i="3"/>
  <c r="G2424" i="3"/>
  <c r="H2424" i="3" s="1"/>
  <c r="E984" i="22"/>
  <c r="F984" i="22" s="1"/>
  <c r="G984" i="22" s="1"/>
  <c r="H932" i="3"/>
  <c r="E934" i="18" s="1"/>
  <c r="F934" i="18" s="1"/>
  <c r="G934" i="18" s="1"/>
  <c r="G156" i="3"/>
  <c r="H156" i="3" s="1"/>
  <c r="G192" i="3"/>
  <c r="H192" i="3"/>
  <c r="G301" i="3"/>
  <c r="H301" i="3" s="1"/>
  <c r="G417" i="3"/>
  <c r="H417" i="3"/>
  <c r="G450" i="3"/>
  <c r="H450" i="3" s="1"/>
  <c r="G520" i="3"/>
  <c r="H520" i="3"/>
  <c r="G599" i="3"/>
  <c r="H599" i="3" s="1"/>
  <c r="G664" i="3"/>
  <c r="H664" i="3"/>
  <c r="G768" i="3"/>
  <c r="H768" i="3" s="1"/>
  <c r="G793" i="3"/>
  <c r="H793" i="3"/>
  <c r="G838" i="3"/>
  <c r="H838" i="3" s="1"/>
  <c r="G868" i="3"/>
  <c r="H868" i="3"/>
  <c r="E870" i="18" s="1"/>
  <c r="F870" i="18" s="1"/>
  <c r="G870" i="18" s="1"/>
  <c r="G914" i="3"/>
  <c r="H914" i="3" s="1"/>
  <c r="E916" i="18" s="1"/>
  <c r="F916" i="18" s="1"/>
  <c r="G916" i="18" s="1"/>
  <c r="G950" i="3"/>
  <c r="H950" i="3"/>
  <c r="E952" i="18" s="1"/>
  <c r="F952" i="18" s="1"/>
  <c r="G952" i="18" s="1"/>
  <c r="G1004" i="3"/>
  <c r="H1004" i="3" s="1"/>
  <c r="E1005" i="22" s="1"/>
  <c r="F1005" i="22" s="1"/>
  <c r="G1005" i="22" s="1"/>
  <c r="G1085" i="3"/>
  <c r="H1085" i="3"/>
  <c r="E1086" i="22" s="1"/>
  <c r="F1086" i="22" s="1"/>
  <c r="G1086" i="22" s="1"/>
  <c r="G1174" i="3"/>
  <c r="H1174" i="3" s="1"/>
  <c r="E1175" i="22" s="1"/>
  <c r="F1175" i="22" s="1"/>
  <c r="G1175" i="22" s="1"/>
  <c r="G1182" i="3"/>
  <c r="H1182" i="3"/>
  <c r="E1183" i="22" s="1"/>
  <c r="F1183" i="22" s="1"/>
  <c r="G1183" i="22" s="1"/>
  <c r="H140" i="3"/>
  <c r="H25" i="3"/>
  <c r="H149" i="3"/>
  <c r="H234" i="3"/>
  <c r="H307" i="3"/>
  <c r="E1379" i="15"/>
  <c r="F1379" i="15" s="1"/>
  <c r="G1379" i="15" s="1"/>
  <c r="E1344" i="15"/>
  <c r="F1344" i="15" s="1"/>
  <c r="G1344" i="15" s="1"/>
  <c r="E1341" i="15"/>
  <c r="F1341" i="15" s="1"/>
  <c r="G1341" i="15" s="1"/>
  <c r="H132" i="3"/>
  <c r="H250" i="3"/>
  <c r="H410" i="3"/>
  <c r="H488" i="3"/>
  <c r="H611" i="3"/>
  <c r="H898" i="3"/>
  <c r="E900" i="18" s="1"/>
  <c r="F900" i="18" s="1"/>
  <c r="G900" i="18" s="1"/>
  <c r="H1708" i="3"/>
  <c r="H1618" i="3"/>
  <c r="H791" i="3"/>
  <c r="H1014" i="3"/>
  <c r="E1015" i="22" s="1"/>
  <c r="F1015" i="22" s="1"/>
  <c r="G1015" i="22" s="1"/>
  <c r="P140" i="9"/>
  <c r="P265" i="9"/>
  <c r="M227" i="9" s="1"/>
  <c r="O227" i="9" s="1"/>
  <c r="P233" i="9" s="1"/>
  <c r="H535" i="9"/>
  <c r="E497" i="9" s="1"/>
  <c r="G497" i="9" s="1"/>
  <c r="H503" i="9" s="1"/>
  <c r="E1960" i="22"/>
  <c r="F1960" i="22" s="1"/>
  <c r="G1960" i="22" s="1"/>
  <c r="E1958" i="18"/>
  <c r="F1958" i="18" s="1"/>
  <c r="G1958" i="18" s="1"/>
  <c r="E1959" i="4"/>
  <c r="F1959" i="4" s="1"/>
  <c r="G1959" i="4" s="1"/>
  <c r="E1341" i="18"/>
  <c r="F1341" i="18" s="1"/>
  <c r="G1341" i="18" s="1"/>
  <c r="H128" i="3"/>
  <c r="G213" i="3"/>
  <c r="H213" i="3"/>
  <c r="G349" i="3"/>
  <c r="H349" i="3" s="1"/>
  <c r="G394" i="3"/>
  <c r="H394" i="3"/>
  <c r="G452" i="3"/>
  <c r="H452" i="3" s="1"/>
  <c r="G601" i="3"/>
  <c r="H601" i="3"/>
  <c r="G657" i="3"/>
  <c r="H657" i="3" s="1"/>
  <c r="G726" i="3"/>
  <c r="H726" i="3"/>
  <c r="G944" i="3"/>
  <c r="H944" i="3" s="1"/>
  <c r="E946" i="18" s="1"/>
  <c r="F946" i="18" s="1"/>
  <c r="G946" i="18" s="1"/>
  <c r="G998" i="3"/>
  <c r="H998" i="3"/>
  <c r="E999" i="22" s="1"/>
  <c r="F999" i="22" s="1"/>
  <c r="G999" i="22" s="1"/>
  <c r="G1031" i="3"/>
  <c r="H1031" i="3" s="1"/>
  <c r="E1032" i="22" s="1"/>
  <c r="F1032" i="22" s="1"/>
  <c r="G1032" i="22" s="1"/>
  <c r="G1039" i="3"/>
  <c r="H1039" i="3"/>
  <c r="E1040" i="22" s="1"/>
  <c r="F1040" i="22" s="1"/>
  <c r="G1040" i="22" s="1"/>
  <c r="G1047" i="3"/>
  <c r="H1047" i="3" s="1"/>
  <c r="E1048" i="22" s="1"/>
  <c r="F1048" i="22" s="1"/>
  <c r="G1048" i="22" s="1"/>
  <c r="G1079" i="3"/>
  <c r="H1079" i="3"/>
  <c r="E1080" i="22" s="1"/>
  <c r="F1080" i="22" s="1"/>
  <c r="G1080" i="22" s="1"/>
  <c r="G1087" i="3"/>
  <c r="H1087" i="3" s="1"/>
  <c r="E1088" i="22" s="1"/>
  <c r="F1088" i="22" s="1"/>
  <c r="G1088" i="22" s="1"/>
  <c r="G1122" i="3"/>
  <c r="H1122" i="3"/>
  <c r="E1123" i="22" s="1"/>
  <c r="F1123" i="22" s="1"/>
  <c r="G1123" i="22" s="1"/>
  <c r="G1134" i="3"/>
  <c r="H1134" i="3" s="1"/>
  <c r="E1135" i="22" s="1"/>
  <c r="F1135" i="22" s="1"/>
  <c r="G1135" i="22" s="1"/>
  <c r="G1269" i="3"/>
  <c r="H1269" i="3"/>
  <c r="E1270" i="18" s="1"/>
  <c r="F1270" i="18" s="1"/>
  <c r="G1270" i="18" s="1"/>
  <c r="G1289" i="3"/>
  <c r="H1289" i="3" s="1"/>
  <c r="E1290" i="18" s="1"/>
  <c r="F1290" i="18" s="1"/>
  <c r="G1290" i="18" s="1"/>
  <c r="G1298" i="3"/>
  <c r="H1298" i="3"/>
  <c r="E1299" i="18" s="1"/>
  <c r="F1299" i="18" s="1"/>
  <c r="G1299" i="18" s="1"/>
  <c r="G1315" i="3"/>
  <c r="H1315" i="3" s="1"/>
  <c r="G1361" i="3"/>
  <c r="H1361" i="3"/>
  <c r="G1387" i="3"/>
  <c r="H1387" i="3" s="1"/>
  <c r="G1395" i="3"/>
  <c r="H1395" i="3"/>
  <c r="G1492" i="3"/>
  <c r="H1492" i="3" s="1"/>
  <c r="G1500" i="3"/>
  <c r="H1500" i="3"/>
  <c r="G1508" i="3"/>
  <c r="H1508" i="3" s="1"/>
  <c r="G1532" i="3"/>
  <c r="H1532" i="3"/>
  <c r="G1540" i="3"/>
  <c r="H1540" i="3" s="1"/>
  <c r="G1589" i="3"/>
  <c r="H1589" i="3"/>
  <c r="G1597" i="3"/>
  <c r="H1597" i="3" s="1"/>
  <c r="G1605" i="3"/>
  <c r="H1605" i="3"/>
  <c r="G1622" i="3"/>
  <c r="H1622" i="3" s="1"/>
  <c r="G1654" i="3"/>
  <c r="H1654" i="3"/>
  <c r="G1688" i="3"/>
  <c r="H1688" i="3" s="1"/>
  <c r="G1712" i="3"/>
  <c r="H1712" i="3"/>
  <c r="G1728" i="3"/>
  <c r="H1728" i="3" s="1"/>
  <c r="G1896" i="3"/>
  <c r="H1896" i="3"/>
  <c r="G1904" i="3"/>
  <c r="H1904" i="3" s="1"/>
  <c r="G1975" i="3"/>
  <c r="H1975" i="3"/>
  <c r="E1972" i="18" s="1"/>
  <c r="F1972" i="18" s="1"/>
  <c r="G1972" i="18" s="1"/>
  <c r="G1984" i="3"/>
  <c r="H1984" i="3" s="1"/>
  <c r="E1981" i="18" s="1"/>
  <c r="F1981" i="18" s="1"/>
  <c r="G1981" i="18" s="1"/>
  <c r="G2038" i="3"/>
  <c r="H2038" i="3"/>
  <c r="G2062" i="3"/>
  <c r="H2062" i="3" s="1"/>
  <c r="G2147" i="3"/>
  <c r="H2147" i="3"/>
  <c r="G2190" i="3"/>
  <c r="H2190" i="3" s="1"/>
  <c r="G2243" i="3"/>
  <c r="H2243" i="3"/>
  <c r="E2246" i="18" s="1"/>
  <c r="F2246" i="18" s="1"/>
  <c r="G2246" i="18" s="1"/>
  <c r="G2253" i="3"/>
  <c r="H2253" i="3" s="1"/>
  <c r="G2294" i="3"/>
  <c r="H2294" i="3"/>
  <c r="G2328" i="3"/>
  <c r="H2328" i="3" s="1"/>
  <c r="E1344" i="18"/>
  <c r="F1344" i="18" s="1"/>
  <c r="G1344" i="18" s="1"/>
  <c r="G194" i="3"/>
  <c r="H194" i="3"/>
  <c r="E2070" i="15"/>
  <c r="F2070" i="15" s="1"/>
  <c r="G2070" i="15" s="1"/>
  <c r="E1379" i="22"/>
  <c r="F1379" i="22" s="1"/>
  <c r="G1379" i="22" s="1"/>
  <c r="E1344" i="22"/>
  <c r="F1344" i="22" s="1"/>
  <c r="G1344" i="22" s="1"/>
  <c r="H119" i="3"/>
  <c r="H24" i="3"/>
  <c r="H66" i="3"/>
  <c r="H246" i="3"/>
  <c r="H510" i="3"/>
  <c r="H1160" i="3"/>
  <c r="E1161" i="22" s="1"/>
  <c r="F1161" i="22" s="1"/>
  <c r="G1161" i="22" s="1"/>
  <c r="H1356" i="3"/>
  <c r="H1536" i="3"/>
  <c r="H1512" i="3"/>
  <c r="H1544" i="3"/>
  <c r="H347" i="3"/>
  <c r="H948" i="3"/>
  <c r="E950" i="18" s="1"/>
  <c r="F950" i="18" s="1"/>
  <c r="G950" i="18" s="1"/>
  <c r="H1557" i="3"/>
  <c r="H1577" i="3"/>
  <c r="H467" i="3"/>
  <c r="H483" i="3"/>
  <c r="H402" i="3"/>
  <c r="H497" i="3"/>
  <c r="E1958" i="15"/>
  <c r="F1958" i="15" s="1"/>
  <c r="G1958" i="15" s="1"/>
  <c r="H1506" i="3"/>
  <c r="H1465" i="3"/>
  <c r="H145" i="5"/>
  <c r="H1330" i="3"/>
  <c r="H1220" i="6"/>
  <c r="G236" i="6"/>
  <c r="O236" i="6"/>
  <c r="H1868" i="6"/>
  <c r="H3056" i="6"/>
  <c r="K90" i="35"/>
  <c r="E2070" i="4"/>
  <c r="F2070" i="4" s="1"/>
  <c r="G2070" i="4" s="1"/>
  <c r="E2068" i="18"/>
  <c r="F2068" i="18" s="1"/>
  <c r="G2068" i="18" s="1"/>
  <c r="H45" i="3"/>
  <c r="G18" i="3"/>
  <c r="H18" i="3" s="1"/>
  <c r="G117" i="3"/>
  <c r="H117" i="3" s="1"/>
  <c r="G122" i="3"/>
  <c r="H122" i="3" s="1"/>
  <c r="G142" i="3"/>
  <c r="H142" i="3" s="1"/>
  <c r="G106" i="3"/>
  <c r="H106" i="3" s="1"/>
  <c r="G185" i="3"/>
  <c r="H185" i="3" s="1"/>
  <c r="G193" i="3"/>
  <c r="H193" i="3"/>
  <c r="G212" i="3"/>
  <c r="H212" i="3" s="1"/>
  <c r="G224" i="3"/>
  <c r="H224" i="3"/>
  <c r="G287" i="3"/>
  <c r="H287" i="3" s="1"/>
  <c r="G293" i="3"/>
  <c r="H293" i="3" s="1"/>
  <c r="G321" i="3"/>
  <c r="H321" i="3" s="1"/>
  <c r="G339" i="3"/>
  <c r="H339" i="3"/>
  <c r="G357" i="3"/>
  <c r="H357" i="3" s="1"/>
  <c r="G401" i="3"/>
  <c r="H401" i="3"/>
  <c r="G414" i="3"/>
  <c r="H414" i="3" s="1"/>
  <c r="G447" i="3"/>
  <c r="H447" i="3" s="1"/>
  <c r="G496" i="3"/>
  <c r="H496" i="3" s="1"/>
  <c r="G530" i="3"/>
  <c r="H530" i="3" s="1"/>
  <c r="G573" i="3"/>
  <c r="H573" i="3" s="1"/>
  <c r="G600" i="3"/>
  <c r="H600" i="3" s="1"/>
  <c r="G655" i="3"/>
  <c r="H655" i="3" s="1"/>
  <c r="G675" i="3"/>
  <c r="H675" i="3"/>
  <c r="G717" i="3"/>
  <c r="H717" i="3" s="1"/>
  <c r="G757" i="3"/>
  <c r="H757" i="3"/>
  <c r="G790" i="3"/>
  <c r="H790" i="3" s="1"/>
  <c r="G798" i="3"/>
  <c r="H798" i="3" s="1"/>
  <c r="G844" i="3"/>
  <c r="H844" i="3" s="1"/>
  <c r="E846" i="18" s="1"/>
  <c r="F846" i="18" s="1"/>
  <c r="G846" i="18" s="1"/>
  <c r="G852" i="3"/>
  <c r="H852" i="3"/>
  <c r="E854" i="18" s="1"/>
  <c r="F854" i="18" s="1"/>
  <c r="G854" i="18" s="1"/>
  <c r="G860" i="3"/>
  <c r="H860" i="3" s="1"/>
  <c r="E862" i="18" s="1"/>
  <c r="F862" i="18" s="1"/>
  <c r="G862" i="18" s="1"/>
  <c r="G926" i="3"/>
  <c r="H926" i="3"/>
  <c r="E928" i="18" s="1"/>
  <c r="F928" i="18" s="1"/>
  <c r="G928" i="18" s="1"/>
  <c r="G951" i="3"/>
  <c r="H951" i="3" s="1"/>
  <c r="E953" i="18" s="1"/>
  <c r="F953" i="18" s="1"/>
  <c r="G953" i="18" s="1"/>
  <c r="G960" i="3"/>
  <c r="H960" i="3" s="1"/>
  <c r="G992" i="3"/>
  <c r="H992" i="3" s="1"/>
  <c r="G1017" i="3"/>
  <c r="H1017" i="3" s="1"/>
  <c r="E1018" i="22" s="1"/>
  <c r="F1018" i="22" s="1"/>
  <c r="G1018" i="22" s="1"/>
  <c r="G1319" i="3"/>
  <c r="H1319" i="3" s="1"/>
  <c r="G1331" i="3"/>
  <c r="H1331" i="3" s="1"/>
  <c r="E1356" i="4"/>
  <c r="F1356" i="4" s="1"/>
  <c r="G1356" i="4" s="1"/>
  <c r="E1356" i="22"/>
  <c r="F1356" i="22" s="1"/>
  <c r="G1356" i="22" s="1"/>
  <c r="G1364" i="3"/>
  <c r="H1364" i="3"/>
  <c r="E1365" i="4" s="1"/>
  <c r="F1365" i="4" s="1"/>
  <c r="G1365" i="4" s="1"/>
  <c r="G1386" i="3"/>
  <c r="H1386" i="3" s="1"/>
  <c r="G1394" i="3"/>
  <c r="H1394" i="3"/>
  <c r="G1531" i="3"/>
  <c r="H1531" i="3" s="1"/>
  <c r="G1556" i="3"/>
  <c r="H1556" i="3" s="1"/>
  <c r="G1564" i="3"/>
  <c r="H1564" i="3" s="1"/>
  <c r="G1588" i="3"/>
  <c r="H1588" i="3" s="1"/>
  <c r="G1596" i="3"/>
  <c r="H1596" i="3" s="1"/>
  <c r="G1621" i="3"/>
  <c r="H1621" i="3" s="1"/>
  <c r="G1637" i="3"/>
  <c r="H1637" i="3" s="1"/>
  <c r="G1657" i="3"/>
  <c r="H1657" i="3"/>
  <c r="G1675" i="3"/>
  <c r="H1675" i="3" s="1"/>
  <c r="G1736" i="3"/>
  <c r="H1736" i="3"/>
  <c r="G1752" i="3"/>
  <c r="H1752" i="3" s="1"/>
  <c r="G1768" i="3"/>
  <c r="H1768" i="3" s="1"/>
  <c r="G1876" i="3"/>
  <c r="H1876" i="3" s="1"/>
  <c r="G1886" i="3"/>
  <c r="H1886" i="3"/>
  <c r="G1890" i="3"/>
  <c r="H1890" i="3" s="1"/>
  <c r="G1974" i="3"/>
  <c r="H1974" i="3"/>
  <c r="G2098" i="3"/>
  <c r="H2098" i="3" s="1"/>
  <c r="E2101" i="18" s="1"/>
  <c r="F2101" i="18" s="1"/>
  <c r="G2101" i="18" s="1"/>
  <c r="G2141" i="3"/>
  <c r="H2141" i="3" s="1"/>
  <c r="G2153" i="3"/>
  <c r="H2153" i="3" s="1"/>
  <c r="G2179" i="3"/>
  <c r="H2179" i="3" s="1"/>
  <c r="E2182" i="18" s="1"/>
  <c r="F2182" i="18" s="1"/>
  <c r="G2182" i="18" s="1"/>
  <c r="G2189" i="3"/>
  <c r="H2189" i="3" s="1"/>
  <c r="G2284" i="3"/>
  <c r="H2284" i="3" s="1"/>
  <c r="M3123" i="6"/>
  <c r="N3123" i="6"/>
  <c r="P3123" i="6" s="1"/>
  <c r="E1356" i="15"/>
  <c r="F1356" i="15" s="1"/>
  <c r="G1356" i="15" s="1"/>
  <c r="H126" i="3"/>
  <c r="H93" i="3"/>
  <c r="H207" i="3"/>
  <c r="H468" i="3"/>
  <c r="H508" i="3"/>
  <c r="H583" i="3"/>
  <c r="H627" i="3"/>
  <c r="H619" i="3"/>
  <c r="H997" i="3"/>
  <c r="E998" i="22" s="1"/>
  <c r="F998" i="22" s="1"/>
  <c r="G998" i="22" s="1"/>
  <c r="H1966" i="3"/>
  <c r="H1592" i="3"/>
  <c r="H1511" i="3"/>
  <c r="H2077" i="3"/>
  <c r="E2080" i="18" s="1"/>
  <c r="F2080" i="18" s="1"/>
  <c r="G2080" i="18" s="1"/>
  <c r="H2053" i="3"/>
  <c r="E1372" i="22"/>
  <c r="F1372" i="22" s="1"/>
  <c r="G1372" i="22" s="1"/>
  <c r="E1372" i="4"/>
  <c r="F1372" i="4" s="1"/>
  <c r="G1372" i="4" s="1"/>
  <c r="H604" i="3"/>
  <c r="H2094" i="3"/>
  <c r="E2097" i="18" s="1"/>
  <c r="F2097" i="18" s="1"/>
  <c r="G2097" i="18" s="1"/>
  <c r="E2067" i="18"/>
  <c r="F2067" i="18" s="1"/>
  <c r="G2067" i="18" s="1"/>
  <c r="E2070" i="22"/>
  <c r="F2070" i="22" s="1"/>
  <c r="G2070" i="22" s="1"/>
  <c r="H172" i="3"/>
  <c r="H1613" i="3"/>
  <c r="H614" i="3"/>
  <c r="H1078" i="3"/>
  <c r="E1079" i="22" s="1"/>
  <c r="F1079" i="22" s="1"/>
  <c r="G1079" i="22" s="1"/>
  <c r="L1371" i="6"/>
  <c r="O1371" i="6" s="1"/>
  <c r="P1382" i="6" s="1"/>
  <c r="E426" i="16"/>
  <c r="G426" i="16" s="1"/>
  <c r="E1372" i="15"/>
  <c r="F1372" i="15" s="1"/>
  <c r="G1372" i="15" s="1"/>
  <c r="E1358" i="4"/>
  <c r="F1358" i="4" s="1"/>
  <c r="G1358" i="4" s="1"/>
  <c r="E1368" i="18"/>
  <c r="F1368" i="18" s="1"/>
  <c r="G1368" i="18" s="1"/>
  <c r="AC25" i="16"/>
  <c r="AE25" i="16" s="1"/>
  <c r="G25" i="16"/>
  <c r="E1100" i="22"/>
  <c r="F1100" i="22" s="1"/>
  <c r="G1100" i="22" s="1"/>
  <c r="E1356" i="18"/>
  <c r="F1356" i="18" s="1"/>
  <c r="G1356" i="18" s="1"/>
  <c r="E1371" i="4"/>
  <c r="F1371" i="4" s="1"/>
  <c r="G1371" i="4" s="1"/>
  <c r="E1376" i="18"/>
  <c r="F1376" i="18" s="1"/>
  <c r="G1376" i="18" s="1"/>
  <c r="E1944" i="4"/>
  <c r="F1944" i="4" s="1"/>
  <c r="G1944" i="4" s="1"/>
  <c r="E332" i="16"/>
  <c r="G332" i="16" s="1"/>
  <c r="H28" i="3"/>
  <c r="H821" i="3"/>
  <c r="H1792" i="3"/>
  <c r="H1580" i="3"/>
  <c r="H2263" i="3"/>
  <c r="H176" i="3"/>
  <c r="H2230" i="3"/>
  <c r="H1347" i="3"/>
  <c r="E1348" i="22" s="1"/>
  <c r="F1348" i="22" s="1"/>
  <c r="G1348" i="22" s="1"/>
  <c r="H731" i="3"/>
  <c r="H526" i="3"/>
  <c r="H1649" i="3"/>
  <c r="H1472" i="3"/>
  <c r="H197" i="3"/>
  <c r="H1653" i="3"/>
  <c r="G14" i="3"/>
  <c r="H14" i="3" s="1"/>
  <c r="M334" i="16"/>
  <c r="O334" i="16" s="1"/>
  <c r="E434" i="16"/>
  <c r="G434" i="16" s="1"/>
  <c r="E1345" i="15"/>
  <c r="F1345" i="15" s="1"/>
  <c r="G1345" i="15" s="1"/>
  <c r="E1345" i="18"/>
  <c r="F1345" i="18" s="1"/>
  <c r="G1345" i="18" s="1"/>
  <c r="E1957" i="22"/>
  <c r="F1957" i="22" s="1"/>
  <c r="G1957" i="22" s="1"/>
  <c r="E1956" i="4"/>
  <c r="F1956" i="4" s="1"/>
  <c r="G1956" i="4" s="1"/>
  <c r="D5278" i="51"/>
  <c r="D1424" i="51"/>
  <c r="G49" i="3"/>
  <c r="H49" i="3"/>
  <c r="G54" i="3"/>
  <c r="H54" i="3" s="1"/>
  <c r="E919" i="4"/>
  <c r="F919" i="4" s="1"/>
  <c r="G919" i="4" s="1"/>
  <c r="E1955" i="15"/>
  <c r="F1955" i="15" s="1"/>
  <c r="G1955" i="15" s="1"/>
  <c r="U334" i="16"/>
  <c r="W334" i="16" s="1"/>
  <c r="E1371" i="22"/>
  <c r="F1371" i="22" s="1"/>
  <c r="G1371" i="22" s="1"/>
  <c r="AC336" i="16"/>
  <c r="AE336" i="16" s="1"/>
  <c r="M336" i="16"/>
  <c r="O336" i="16" s="1"/>
  <c r="E1383" i="22"/>
  <c r="F1383" i="22" s="1"/>
  <c r="G1383" i="22" s="1"/>
  <c r="E1383" i="4"/>
  <c r="F1383" i="4" s="1"/>
  <c r="G1383" i="4" s="1"/>
  <c r="E2169" i="15"/>
  <c r="F2169" i="15" s="1"/>
  <c r="G2169" i="15" s="1"/>
  <c r="E2169" i="18"/>
  <c r="F2169" i="18" s="1"/>
  <c r="G2169" i="18" s="1"/>
  <c r="G47" i="3"/>
  <c r="H47" i="3" s="1"/>
  <c r="G136" i="3"/>
  <c r="H136" i="3" s="1"/>
  <c r="E67" i="15"/>
  <c r="F67" i="15" s="1"/>
  <c r="E67" i="18"/>
  <c r="F67" i="18" s="1"/>
  <c r="G67" i="18" s="1"/>
  <c r="G79" i="3"/>
  <c r="H79" i="3" s="1"/>
  <c r="G101" i="3"/>
  <c r="H101" i="3" s="1"/>
  <c r="G110" i="3"/>
  <c r="H110" i="3" s="1"/>
  <c r="G153" i="3"/>
  <c r="H153" i="3"/>
  <c r="G189" i="3"/>
  <c r="H189" i="3" s="1"/>
  <c r="G220" i="3"/>
  <c r="H220" i="3"/>
  <c r="G228" i="3"/>
  <c r="H228" i="3" s="1"/>
  <c r="G232" i="3"/>
  <c r="H232" i="3" s="1"/>
  <c r="G241" i="3"/>
  <c r="H241" i="3" s="1"/>
  <c r="G261" i="3"/>
  <c r="H261" i="3"/>
  <c r="G279" i="3"/>
  <c r="H279" i="3" s="1"/>
  <c r="G317" i="3"/>
  <c r="H317" i="3"/>
  <c r="G325" i="3"/>
  <c r="H325" i="3" s="1"/>
  <c r="G335" i="3"/>
  <c r="H335" i="3" s="1"/>
  <c r="G418" i="3"/>
  <c r="H418" i="3" s="1"/>
  <c r="G451" i="3"/>
  <c r="H451" i="3" s="1"/>
  <c r="G534" i="3"/>
  <c r="H534" i="3" s="1"/>
  <c r="G538" i="3"/>
  <c r="H538" i="3" s="1"/>
  <c r="G632" i="3"/>
  <c r="H632" i="3" s="1"/>
  <c r="G649" i="3"/>
  <c r="H649" i="3"/>
  <c r="G679" i="3"/>
  <c r="H679" i="3" s="1"/>
  <c r="G713" i="3"/>
  <c r="H713" i="3"/>
  <c r="G721" i="3"/>
  <c r="H721" i="3" s="1"/>
  <c r="G735" i="3"/>
  <c r="H735" i="3" s="1"/>
  <c r="G753" i="3"/>
  <c r="H753" i="3" s="1"/>
  <c r="G794" i="3"/>
  <c r="H794" i="3"/>
  <c r="G839" i="3"/>
  <c r="H839" i="3" s="1"/>
  <c r="G848" i="3"/>
  <c r="H848" i="3"/>
  <c r="E850" i="18" s="1"/>
  <c r="F850" i="18" s="1"/>
  <c r="G850" i="18" s="1"/>
  <c r="G856" i="3"/>
  <c r="H856" i="3" s="1"/>
  <c r="E858" i="18" s="1"/>
  <c r="F858" i="18" s="1"/>
  <c r="G858" i="18" s="1"/>
  <c r="G902" i="3"/>
  <c r="H902" i="3" s="1"/>
  <c r="E904" i="18" s="1"/>
  <c r="F904" i="18" s="1"/>
  <c r="G904" i="18" s="1"/>
  <c r="G906" i="3"/>
  <c r="H906" i="3" s="1"/>
  <c r="E908" i="18" s="1"/>
  <c r="F908" i="18" s="1"/>
  <c r="G908" i="18" s="1"/>
  <c r="G910" i="3"/>
  <c r="H910" i="3" s="1"/>
  <c r="E912" i="18" s="1"/>
  <c r="F912" i="18" s="1"/>
  <c r="G912" i="18" s="1"/>
  <c r="G919" i="3"/>
  <c r="H919" i="3" s="1"/>
  <c r="E921" i="18" s="1"/>
  <c r="F921" i="18" s="1"/>
  <c r="G921" i="18" s="1"/>
  <c r="G935" i="3"/>
  <c r="H935" i="3" s="1"/>
  <c r="E937" i="18" s="1"/>
  <c r="F937" i="18" s="1"/>
  <c r="G937" i="18" s="1"/>
  <c r="G939" i="3"/>
  <c r="H939" i="3" s="1"/>
  <c r="E941" i="18" s="1"/>
  <c r="F941" i="18" s="1"/>
  <c r="G941" i="18" s="1"/>
  <c r="G947" i="3"/>
  <c r="H947" i="3"/>
  <c r="E949" i="18" s="1"/>
  <c r="F949" i="18" s="1"/>
  <c r="G949" i="18" s="1"/>
  <c r="G956" i="3"/>
  <c r="H956" i="3" s="1"/>
  <c r="G988" i="3"/>
  <c r="H988" i="3"/>
  <c r="G1021" i="3"/>
  <c r="H1021" i="3" s="1"/>
  <c r="E1022" i="22" s="1"/>
  <c r="F1022" i="22" s="1"/>
  <c r="G1022" i="22" s="1"/>
  <c r="G1323" i="3"/>
  <c r="H1323" i="3" s="1"/>
  <c r="G1327" i="3"/>
  <c r="H1327" i="3" s="1"/>
  <c r="E1374" i="18"/>
  <c r="F1374" i="18" s="1"/>
  <c r="G1374" i="18" s="1"/>
  <c r="E1374" i="22"/>
  <c r="F1374" i="22" s="1"/>
  <c r="G1374" i="22" s="1"/>
  <c r="G1390" i="3"/>
  <c r="H1390" i="3" s="1"/>
  <c r="G1453" i="3"/>
  <c r="H1453" i="3"/>
  <c r="G1576" i="3"/>
  <c r="H1576" i="3" s="1"/>
  <c r="G1608" i="3"/>
  <c r="H1608" i="3" s="1"/>
  <c r="G1617" i="3"/>
  <c r="H1617" i="3" s="1"/>
  <c r="G1633" i="3"/>
  <c r="H1633" i="3" s="1"/>
  <c r="G1661" i="3"/>
  <c r="H1661" i="3" s="1"/>
  <c r="G1784" i="3"/>
  <c r="H1784" i="3" s="1"/>
  <c r="G1872" i="3"/>
  <c r="H1872" i="3" s="1"/>
  <c r="G1880" i="3"/>
  <c r="H1880" i="3"/>
  <c r="G1894" i="3"/>
  <c r="H1894" i="3" s="1"/>
  <c r="G1918" i="3"/>
  <c r="H1918" i="3"/>
  <c r="G1992" i="3"/>
  <c r="H1992" i="3" s="1"/>
  <c r="E1989" i="18" s="1"/>
  <c r="F1989" i="18" s="1"/>
  <c r="G1989" i="18" s="1"/>
  <c r="G2012" i="3"/>
  <c r="H2012" i="3" s="1"/>
  <c r="E2009" i="18" s="1"/>
  <c r="F2009" i="18" s="1"/>
  <c r="G2009" i="18" s="1"/>
  <c r="G2086" i="3"/>
  <c r="H2086" i="3" s="1"/>
  <c r="E2089" i="18" s="1"/>
  <c r="F2089" i="18" s="1"/>
  <c r="G2089" i="18" s="1"/>
  <c r="G2110" i="3"/>
  <c r="H2110" i="3"/>
  <c r="E2113" i="18" s="1"/>
  <c r="F2113" i="18" s="1"/>
  <c r="G2113" i="18" s="1"/>
  <c r="G2169" i="3"/>
  <c r="H2169" i="3" s="1"/>
  <c r="E2172" i="18" s="1"/>
  <c r="F2172" i="18" s="1"/>
  <c r="G2172" i="18" s="1"/>
  <c r="G2279" i="3"/>
  <c r="H2279" i="3"/>
  <c r="G2309" i="3"/>
  <c r="H2309" i="3" s="1"/>
  <c r="G2355" i="3"/>
  <c r="H2355" i="3" s="1"/>
  <c r="G2363" i="3"/>
  <c r="H2363" i="3" s="1"/>
  <c r="M3121" i="6"/>
  <c r="N3121" i="6"/>
  <c r="P3121" i="6" s="1"/>
  <c r="E1368" i="15"/>
  <c r="F1368" i="15" s="1"/>
  <c r="G1368" i="15" s="1"/>
  <c r="E67" i="4"/>
  <c r="F67" i="4" s="1"/>
  <c r="G67" i="4" s="1"/>
  <c r="E1374" i="4"/>
  <c r="F1374" i="4" s="1"/>
  <c r="G1374" i="4" s="1"/>
  <c r="E1944" i="15"/>
  <c r="F1944" i="15" s="1"/>
  <c r="G1944" i="15" s="1"/>
  <c r="E2117" i="18"/>
  <c r="F2117" i="18" s="1"/>
  <c r="G2117" i="18" s="1"/>
  <c r="H2431" i="3"/>
  <c r="H146" i="3"/>
  <c r="H46" i="3"/>
  <c r="H561" i="3"/>
  <c r="H645" i="3"/>
  <c r="H975" i="3"/>
  <c r="H967" i="3"/>
  <c r="E1357" i="22"/>
  <c r="F1357" i="22" s="1"/>
  <c r="G1357" i="22" s="1"/>
  <c r="E1357" i="4"/>
  <c r="F1357" i="4" s="1"/>
  <c r="G1357" i="4" s="1"/>
  <c r="H1928" i="3"/>
  <c r="H1744" i="3"/>
  <c r="H1499" i="3"/>
  <c r="H1491" i="3"/>
  <c r="H2069" i="3"/>
  <c r="H2061" i="3"/>
  <c r="E2064" i="15" s="1"/>
  <c r="F2064" i="15" s="1"/>
  <c r="G2064" i="15" s="1"/>
  <c r="H2045" i="3"/>
  <c r="H2037" i="3"/>
  <c r="H2210" i="3"/>
  <c r="H2224" i="3"/>
  <c r="H1013" i="3"/>
  <c r="E1014" i="22" s="1"/>
  <c r="F1014" i="22" s="1"/>
  <c r="G1014" i="22" s="1"/>
  <c r="H2327" i="3"/>
  <c r="H1005" i="3"/>
  <c r="E1006" i="22" s="1"/>
  <c r="F1006" i="22" s="1"/>
  <c r="G1006" i="22" s="1"/>
  <c r="H1086" i="3"/>
  <c r="E1087" i="22" s="1"/>
  <c r="F1087" i="22" s="1"/>
  <c r="G1087" i="22" s="1"/>
  <c r="H422" i="3"/>
  <c r="E1370" i="22"/>
  <c r="F1370" i="22" s="1"/>
  <c r="G1370" i="22" s="1"/>
  <c r="E1385" i="15"/>
  <c r="F1385" i="15" s="1"/>
  <c r="G1385" i="15" s="1"/>
  <c r="G161" i="3"/>
  <c r="H161" i="3" s="1"/>
  <c r="G211" i="3"/>
  <c r="H211" i="3" s="1"/>
  <c r="G254" i="3"/>
  <c r="H254" i="3" s="1"/>
  <c r="G400" i="3"/>
  <c r="H400" i="3"/>
  <c r="G446" i="3"/>
  <c r="H446" i="3" s="1"/>
  <c r="G631" i="3"/>
  <c r="H631" i="3"/>
  <c r="G734" i="3"/>
  <c r="H734" i="3" s="1"/>
  <c r="G1016" i="3"/>
  <c r="H1016" i="3" s="1"/>
  <c r="E1017" i="22" s="1"/>
  <c r="F1017" i="22" s="1"/>
  <c r="G1017" i="22" s="1"/>
  <c r="G1265" i="3"/>
  <c r="H1265" i="3" s="1"/>
  <c r="E1266" i="18" s="1"/>
  <c r="F1266" i="18" s="1"/>
  <c r="G1266" i="18" s="1"/>
  <c r="G2068" i="3"/>
  <c r="H2068" i="3" s="1"/>
  <c r="G2080" i="3"/>
  <c r="H2080" i="3" s="1"/>
  <c r="E2083" i="18" s="1"/>
  <c r="F2083" i="18" s="1"/>
  <c r="G2083" i="18" s="1"/>
  <c r="G2317" i="3"/>
  <c r="H2317" i="3" s="1"/>
  <c r="O344" i="6"/>
  <c r="H294" i="10"/>
  <c r="H132" i="10"/>
  <c r="H86" i="6"/>
  <c r="H1760" i="6"/>
  <c r="H1814" i="6"/>
  <c r="H2030" i="6"/>
  <c r="H2192" i="6"/>
  <c r="C21" i="34"/>
  <c r="D6874" i="51" s="1"/>
  <c r="C8" i="34"/>
  <c r="D8" i="34" s="1"/>
  <c r="C22" i="34"/>
  <c r="D22" i="34" s="1"/>
  <c r="C12" i="34"/>
  <c r="D12" i="34" s="1"/>
  <c r="C10" i="34"/>
  <c r="D10" i="34" s="1"/>
  <c r="C26" i="34"/>
  <c r="D5330" i="51" s="1"/>
  <c r="E1409" i="51"/>
  <c r="E1359" i="51"/>
  <c r="G1359" i="51" s="1"/>
  <c r="E5406" i="51"/>
  <c r="G5406" i="51" s="1"/>
  <c r="E6112" i="51"/>
  <c r="G6112" i="51" s="1"/>
  <c r="H6125" i="51" s="1"/>
  <c r="E3462" i="51"/>
  <c r="G3462" i="51" s="1"/>
  <c r="E1247" i="51"/>
  <c r="G1247" i="51" s="1"/>
  <c r="O398" i="6"/>
  <c r="H788" i="6"/>
  <c r="H896" i="6"/>
  <c r="E5492" i="51"/>
  <c r="G5492" i="51" s="1"/>
  <c r="E5538" i="51"/>
  <c r="G5538" i="51" s="1"/>
  <c r="E5775" i="51"/>
  <c r="G5775" i="51" s="1"/>
  <c r="H5788" i="51" s="1"/>
  <c r="E7143" i="51"/>
  <c r="G7143" i="51" s="1"/>
  <c r="E6643" i="51"/>
  <c r="G6643" i="51" s="1"/>
  <c r="E3126" i="51"/>
  <c r="G3126" i="51" s="1"/>
  <c r="E2597" i="51"/>
  <c r="G2597" i="51" s="1"/>
  <c r="E1538" i="51"/>
  <c r="G1538" i="51" s="1"/>
  <c r="E1149" i="51"/>
  <c r="G1149" i="51" s="1"/>
  <c r="E60" i="51"/>
  <c r="G60" i="51" s="1"/>
  <c r="E702" i="51"/>
  <c r="G702" i="51" s="1"/>
  <c r="E5587" i="51"/>
  <c r="G5587" i="51" s="1"/>
  <c r="E3703" i="51"/>
  <c r="G3703" i="51" s="1"/>
  <c r="E2885" i="51"/>
  <c r="G2885" i="51" s="1"/>
  <c r="E1408" i="51"/>
  <c r="G1408" i="51" s="1"/>
  <c r="E902" i="51"/>
  <c r="G902" i="51" s="1"/>
  <c r="H2670" i="5"/>
  <c r="H3440" i="5"/>
  <c r="O182" i="6"/>
  <c r="H199" i="8"/>
  <c r="H847" i="8"/>
  <c r="H1603" i="8"/>
  <c r="G183" i="9"/>
  <c r="G237" i="9"/>
  <c r="H248" i="9" s="1"/>
  <c r="G291" i="9"/>
  <c r="H302" i="9" s="1"/>
  <c r="H410" i="9"/>
  <c r="H734" i="6"/>
  <c r="H842" i="6"/>
  <c r="E1634" i="51"/>
  <c r="G1634" i="51" s="1"/>
  <c r="E5490" i="51"/>
  <c r="G5490" i="51" s="1"/>
  <c r="E1382" i="18"/>
  <c r="F1382" i="18" s="1"/>
  <c r="G1382" i="18" s="1"/>
  <c r="E1382" i="4"/>
  <c r="F1382" i="4" s="1"/>
  <c r="G1382" i="4" s="1"/>
  <c r="E1382" i="15"/>
  <c r="F1382" i="15" s="1"/>
  <c r="G1382" i="15" s="1"/>
  <c r="E1382" i="22"/>
  <c r="AC281" i="16"/>
  <c r="AE281" i="16" s="1"/>
  <c r="AE228" i="16"/>
  <c r="G1126" i="3"/>
  <c r="H1126" i="3" s="1"/>
  <c r="E1127" i="22" s="1"/>
  <c r="F1127" i="22" s="1"/>
  <c r="G1127" i="22" s="1"/>
  <c r="G1283" i="3"/>
  <c r="H1283" i="3" s="1"/>
  <c r="E1284" i="18" s="1"/>
  <c r="F1284" i="18" s="1"/>
  <c r="G1284" i="18" s="1"/>
  <c r="O441" i="10"/>
  <c r="L442" i="10"/>
  <c r="O442" i="10" s="1"/>
  <c r="E258" i="22"/>
  <c r="F258" i="22" s="1"/>
  <c r="G258" i="22" s="1"/>
  <c r="M25" i="16"/>
  <c r="E919" i="18"/>
  <c r="F919" i="18" s="1"/>
  <c r="G919" i="18" s="1"/>
  <c r="E989" i="15"/>
  <c r="F989" i="15" s="1"/>
  <c r="G989" i="15" s="1"/>
  <c r="E2067" i="15"/>
  <c r="F2067" i="15" s="1"/>
  <c r="G2067" i="15" s="1"/>
  <c r="E1362" i="4"/>
  <c r="F1362" i="4" s="1"/>
  <c r="G1362" i="4" s="1"/>
  <c r="E1370" i="4"/>
  <c r="F1370" i="4" s="1"/>
  <c r="G1370" i="4" s="1"/>
  <c r="E2070" i="18"/>
  <c r="F2070" i="18" s="1"/>
  <c r="G2070" i="18" s="1"/>
  <c r="E68" i="18"/>
  <c r="F68" i="18" s="1"/>
  <c r="G68" i="18" s="1"/>
  <c r="E987" i="15"/>
  <c r="F987" i="15" s="1"/>
  <c r="G987" i="15" s="1"/>
  <c r="E1966" i="18"/>
  <c r="F1966" i="18" s="1"/>
  <c r="G1966" i="18" s="1"/>
  <c r="E1357" i="18"/>
  <c r="F1357" i="18" s="1"/>
  <c r="G1357" i="18" s="1"/>
  <c r="E450" i="16"/>
  <c r="G450" i="16" s="1"/>
  <c r="E986" i="4"/>
  <c r="F986" i="4" s="1"/>
  <c r="G986" i="4" s="1"/>
  <c r="E988" i="4"/>
  <c r="F988" i="4" s="1"/>
  <c r="G988" i="4" s="1"/>
  <c r="E1377" i="4"/>
  <c r="F1377" i="4" s="1"/>
  <c r="G1377" i="4" s="1"/>
  <c r="E2078" i="18"/>
  <c r="F2078" i="18" s="1"/>
  <c r="G2078" i="18" s="1"/>
  <c r="E258" i="4"/>
  <c r="F258" i="4" s="1"/>
  <c r="G258" i="4" s="1"/>
  <c r="E1367" i="15"/>
  <c r="F1367" i="15" s="1"/>
  <c r="G1367" i="15" s="1"/>
  <c r="E1340" i="4"/>
  <c r="F1340" i="4" s="1"/>
  <c r="G1340" i="4" s="1"/>
  <c r="E1111" i="18"/>
  <c r="F1111" i="18" s="1"/>
  <c r="G1111" i="18" s="1"/>
  <c r="E1361" i="18"/>
  <c r="F1361" i="18" s="1"/>
  <c r="G1361" i="18" s="1"/>
  <c r="H144" i="3"/>
  <c r="H134" i="3"/>
  <c r="H124" i="3"/>
  <c r="H492" i="3"/>
  <c r="H514" i="3"/>
  <c r="H671" i="3"/>
  <c r="H676" i="3"/>
  <c r="H722" i="3"/>
  <c r="H714" i="3"/>
  <c r="H749" i="3"/>
  <c r="H741" i="3"/>
  <c r="H754" i="3"/>
  <c r="H940" i="3"/>
  <c r="E942" i="18" s="1"/>
  <c r="F942" i="18" s="1"/>
  <c r="G942" i="18" s="1"/>
  <c r="H920" i="3"/>
  <c r="E922" i="18" s="1"/>
  <c r="F922" i="18" s="1"/>
  <c r="G922" i="18" s="1"/>
  <c r="H876" i="3"/>
  <c r="E878" i="18" s="1"/>
  <c r="F878" i="18" s="1"/>
  <c r="G878" i="18" s="1"/>
  <c r="H1996" i="3"/>
  <c r="E1993" i="18" s="1"/>
  <c r="F1993" i="18" s="1"/>
  <c r="G1993" i="18" s="1"/>
  <c r="H1970" i="3"/>
  <c r="E1967" i="18" s="1"/>
  <c r="F1967" i="18" s="1"/>
  <c r="G1967" i="18" s="1"/>
  <c r="H1788" i="3"/>
  <c r="H1780" i="3"/>
  <c r="H1772" i="3"/>
  <c r="H1764" i="3"/>
  <c r="H1756" i="3"/>
  <c r="H1748" i="3"/>
  <c r="H1740" i="3"/>
  <c r="H1679" i="3"/>
  <c r="H1519" i="3"/>
  <c r="H1600" i="3"/>
  <c r="H1584" i="3"/>
  <c r="H1568" i="3"/>
  <c r="H1552" i="3"/>
  <c r="H1523" i="3"/>
  <c r="H2183" i="3"/>
  <c r="E2186" i="18" s="1"/>
  <c r="F2186" i="18" s="1"/>
  <c r="G2186" i="18" s="1"/>
  <c r="H2165" i="3"/>
  <c r="H2251" i="3"/>
  <c r="E2254" i="18" s="1"/>
  <c r="F2254" i="18" s="1"/>
  <c r="G2254" i="18" s="1"/>
  <c r="H2016" i="3"/>
  <c r="E2013" i="18" s="1"/>
  <c r="F2013" i="18" s="1"/>
  <c r="G2013" i="18" s="1"/>
  <c r="H1641" i="3"/>
  <c r="H545" i="3"/>
  <c r="H2331" i="3"/>
  <c r="H1009" i="3"/>
  <c r="E1010" i="22" s="1"/>
  <c r="F1010" i="22" s="1"/>
  <c r="G1010" i="22" s="1"/>
  <c r="H2400" i="3"/>
  <c r="H2193" i="3"/>
  <c r="H1625" i="3"/>
  <c r="H2270" i="3"/>
  <c r="H2106" i="3"/>
  <c r="E2109" i="18" s="1"/>
  <c r="F2109" i="18" s="1"/>
  <c r="G2109" i="18" s="1"/>
  <c r="H1669" i="3"/>
  <c r="H1461" i="3"/>
  <c r="H1293" i="3"/>
  <c r="E1294" i="18" s="1"/>
  <c r="F1294" i="18" s="1"/>
  <c r="G1294" i="18" s="1"/>
  <c r="H629" i="3"/>
  <c r="H440" i="3"/>
  <c r="H553" i="3"/>
  <c r="H911" i="3"/>
  <c r="E913" i="18" s="1"/>
  <c r="F913" i="18" s="1"/>
  <c r="G913" i="18" s="1"/>
  <c r="H1543" i="3"/>
  <c r="H795" i="3"/>
  <c r="H2090" i="3"/>
  <c r="E2093" i="18" s="1"/>
  <c r="F2093" i="18" s="1"/>
  <c r="G2093" i="18" s="1"/>
  <c r="H1515" i="3"/>
  <c r="H2359" i="3"/>
  <c r="H1535" i="3"/>
  <c r="H448" i="3"/>
  <c r="P319" i="6"/>
  <c r="E1357" i="15"/>
  <c r="F1357" i="15" s="1"/>
  <c r="G1357" i="15" s="1"/>
  <c r="E919" i="15"/>
  <c r="F919" i="15" s="1"/>
  <c r="G919" i="15" s="1"/>
  <c r="E1370" i="18"/>
  <c r="F1370" i="18" s="1"/>
  <c r="G1370" i="18" s="1"/>
  <c r="E1377" i="22"/>
  <c r="F1377" i="22" s="1"/>
  <c r="G1377" i="22" s="1"/>
  <c r="E1340" i="18"/>
  <c r="F1340" i="18" s="1"/>
  <c r="G1340" i="18" s="1"/>
  <c r="E2068" i="15"/>
  <c r="F2068" i="15" s="1"/>
  <c r="G2068" i="15" s="1"/>
  <c r="H2371" i="3"/>
  <c r="H480" i="3"/>
  <c r="H782" i="3"/>
  <c r="H928" i="3"/>
  <c r="E930" i="18" s="1"/>
  <c r="F930" i="18" s="1"/>
  <c r="G930" i="18" s="1"/>
  <c r="H989" i="3"/>
  <c r="H1025" i="3"/>
  <c r="E1026" i="22" s="1"/>
  <c r="F1026" i="22" s="1"/>
  <c r="G1026" i="22" s="1"/>
  <c r="H646" i="3"/>
  <c r="H1082" i="3"/>
  <c r="E1083" i="22" s="1"/>
  <c r="F1083" i="22" s="1"/>
  <c r="G1083" i="22" s="1"/>
  <c r="H831" i="3"/>
  <c r="H787" i="3"/>
  <c r="H642" i="3"/>
  <c r="H549" i="3"/>
  <c r="H505" i="3"/>
  <c r="H805" i="3"/>
  <c r="H778" i="3"/>
  <c r="H1527" i="3"/>
  <c r="H1429" i="3"/>
  <c r="H605" i="3"/>
  <c r="H465" i="3"/>
  <c r="H1279" i="3"/>
  <c r="E1280" i="18" s="1"/>
  <c r="F1280" i="18" s="1"/>
  <c r="G1280" i="18" s="1"/>
  <c r="H736" i="3"/>
  <c r="H732" i="3"/>
  <c r="H469" i="3"/>
  <c r="H253" i="8"/>
  <c r="H793" i="8"/>
  <c r="H901" i="8"/>
  <c r="H1009" i="8"/>
  <c r="H631" i="8"/>
  <c r="H149" i="10"/>
  <c r="C1133" i="51"/>
  <c r="G560" i="6"/>
  <c r="H1274" i="6"/>
  <c r="H2138" i="6"/>
  <c r="H2408" i="6"/>
  <c r="H2624" i="6"/>
  <c r="H2948" i="6"/>
  <c r="H303" i="7"/>
  <c r="H735" i="7"/>
  <c r="H789" i="7"/>
  <c r="H843" i="7"/>
  <c r="H1333" i="8"/>
  <c r="X199" i="8"/>
  <c r="P17" i="9"/>
  <c r="P32" i="9"/>
  <c r="P49" i="9"/>
  <c r="P125" i="9"/>
  <c r="P157" i="9"/>
  <c r="P211" i="9"/>
  <c r="M173" i="9" s="1"/>
  <c r="O173" i="9" s="1"/>
  <c r="P179" i="9" s="1"/>
  <c r="P213" i="9" s="1"/>
  <c r="P319" i="9"/>
  <c r="M281" i="9" s="1"/>
  <c r="O281" i="9" s="1"/>
  <c r="H589" i="9"/>
  <c r="E551" i="9" s="1"/>
  <c r="G551" i="9" s="1"/>
  <c r="H557" i="9" s="1"/>
  <c r="K91" i="35"/>
  <c r="E991" i="18"/>
  <c r="F991" i="18" s="1"/>
  <c r="G991" i="18" s="1"/>
  <c r="E991" i="15"/>
  <c r="F991" i="15" s="1"/>
  <c r="G991" i="15" s="1"/>
  <c r="E991" i="4"/>
  <c r="F991" i="4" s="1"/>
  <c r="G991" i="4" s="1"/>
  <c r="E991" i="22"/>
  <c r="F991" i="22" s="1"/>
  <c r="G991" i="22" s="1"/>
  <c r="E1368" i="22"/>
  <c r="F1368" i="22" s="1"/>
  <c r="G1368" i="22" s="1"/>
  <c r="H1382" i="6"/>
  <c r="H2678" i="6"/>
  <c r="H2732" i="6"/>
  <c r="E131" i="16"/>
  <c r="E182" i="16" s="1"/>
  <c r="M227" i="16"/>
  <c r="U227" i="16" s="1"/>
  <c r="W227" i="16" s="1"/>
  <c r="E1358" i="15"/>
  <c r="F1358" i="15" s="1"/>
  <c r="G1358" i="15" s="1"/>
  <c r="AC227" i="16"/>
  <c r="AC280" i="16" s="1"/>
  <c r="AE280" i="16" s="1"/>
  <c r="E74" i="16"/>
  <c r="M74" i="16" s="1"/>
  <c r="U74" i="16" s="1"/>
  <c r="W74" i="16" s="1"/>
  <c r="AC178" i="16"/>
  <c r="AE178" i="16" s="1"/>
  <c r="E2066" i="4"/>
  <c r="F2066" i="4" s="1"/>
  <c r="G2066" i="4" s="1"/>
  <c r="E2069" i="22"/>
  <c r="F2069" i="22" s="1"/>
  <c r="G2069" i="22" s="1"/>
  <c r="E1361" i="15"/>
  <c r="F1361" i="15" s="1"/>
  <c r="G1361" i="15" s="1"/>
  <c r="G452" i="6"/>
  <c r="H464" i="6" s="1"/>
  <c r="M3068" i="6"/>
  <c r="N3068" i="6"/>
  <c r="P3068" i="6" s="1"/>
  <c r="N3124" i="6"/>
  <c r="P3124" i="6" s="1"/>
  <c r="Q3127" i="6" s="1"/>
  <c r="M3124" i="6"/>
  <c r="H32" i="6"/>
  <c r="H140" i="6"/>
  <c r="H739" i="8"/>
  <c r="H1279" i="8"/>
  <c r="H186" i="10"/>
  <c r="P287" i="9"/>
  <c r="P249" i="7"/>
  <c r="D669" i="6"/>
  <c r="D939" i="6" s="1"/>
  <c r="G614" i="6"/>
  <c r="H626" i="6" s="1"/>
  <c r="P2192" i="6"/>
  <c r="H1063" i="8"/>
  <c r="G398" i="6"/>
  <c r="H307" i="8"/>
  <c r="H685" i="8"/>
  <c r="H577" i="8"/>
  <c r="H211" i="9"/>
  <c r="E173" i="9" s="1"/>
  <c r="G173" i="9" s="1"/>
  <c r="H411" i="7"/>
  <c r="P536" i="7"/>
  <c r="M498" i="7" s="1"/>
  <c r="O498" i="7" s="1"/>
  <c r="P504" i="7" s="1"/>
  <c r="O452" i="6"/>
  <c r="P464" i="6" s="1"/>
  <c r="P2084" i="6"/>
  <c r="H2505" i="5"/>
  <c r="H2908" i="5"/>
  <c r="E2869" i="5" s="1"/>
  <c r="G2869" i="5" s="1"/>
  <c r="H2875" i="5" s="1"/>
  <c r="D13" i="34"/>
  <c r="E5182" i="51" s="1"/>
  <c r="G5182" i="51" s="1"/>
  <c r="H1922" i="6"/>
  <c r="H2084" i="6"/>
  <c r="H2516" i="6"/>
  <c r="H3110" i="6"/>
  <c r="G624" i="5"/>
  <c r="P199" i="8"/>
  <c r="P577" i="8"/>
  <c r="AF577" i="8"/>
  <c r="P847" i="8"/>
  <c r="H253" i="5"/>
  <c r="M123" i="41"/>
  <c r="C6926" i="51"/>
  <c r="C6675" i="51"/>
  <c r="C4937" i="51"/>
  <c r="C6040" i="51"/>
  <c r="C5848" i="51"/>
  <c r="C6184" i="51"/>
  <c r="C5418" i="51"/>
  <c r="C5896" i="51"/>
  <c r="C5280" i="51"/>
  <c r="C5131" i="51"/>
  <c r="C4649" i="51"/>
  <c r="C3496" i="51"/>
  <c r="C4167" i="51"/>
  <c r="C3160" i="51"/>
  <c r="C2679" i="51"/>
  <c r="C3064" i="51"/>
  <c r="C2583" i="51"/>
  <c r="C4263" i="51"/>
  <c r="C2390" i="51"/>
  <c r="C2487" i="51"/>
  <c r="C2245" i="51"/>
  <c r="C2293" i="51"/>
  <c r="C1377" i="51"/>
  <c r="C242" i="51"/>
  <c r="C1280" i="51"/>
  <c r="C1132" i="51"/>
  <c r="C785" i="51"/>
  <c r="C589" i="51"/>
  <c r="C539" i="51"/>
  <c r="C1716" i="51"/>
  <c r="C194" i="51"/>
  <c r="B24" i="34"/>
  <c r="F24" i="34" s="1"/>
  <c r="C1523" i="51"/>
  <c r="C6775" i="51"/>
  <c r="C6575" i="51"/>
  <c r="C5514" i="51"/>
  <c r="C5608" i="51"/>
  <c r="C5799" i="51"/>
  <c r="C6280" i="51"/>
  <c r="C5658" i="51"/>
  <c r="C5329" i="51"/>
  <c r="C5082" i="51"/>
  <c r="C4359" i="51"/>
  <c r="C2727" i="51"/>
  <c r="C3448" i="51"/>
  <c r="C2775" i="51"/>
  <c r="C4071" i="51"/>
  <c r="C2871" i="51"/>
  <c r="C4407" i="51"/>
  <c r="C3352" i="51"/>
  <c r="C3016" i="51"/>
  <c r="C2052" i="51"/>
  <c r="C1957" i="51"/>
  <c r="C2004" i="51"/>
  <c r="C1182" i="51"/>
  <c r="C1572" i="51"/>
  <c r="C1082" i="51"/>
  <c r="C886" i="51"/>
  <c r="C687" i="51"/>
  <c r="C391" i="51"/>
  <c r="C1861" i="51"/>
  <c r="C1474" i="51"/>
  <c r="B17" i="34"/>
  <c r="C5466" i="51" s="1"/>
  <c r="C6876" i="51"/>
  <c r="C6724" i="51"/>
  <c r="C5034" i="51"/>
  <c r="C6088" i="51"/>
  <c r="C5944" i="51"/>
  <c r="C6476" i="51"/>
  <c r="C5562" i="51"/>
  <c r="C6137" i="51"/>
  <c r="C5378" i="51"/>
  <c r="C5233" i="51"/>
  <c r="C4552" i="51"/>
  <c r="C3592" i="51"/>
  <c r="C2535" i="51"/>
  <c r="C3208" i="51"/>
  <c r="C2823" i="51"/>
  <c r="C3400" i="51"/>
  <c r="C2631" i="51"/>
  <c r="C4311" i="51"/>
  <c r="C2439" i="51"/>
  <c r="C2919" i="51"/>
  <c r="C1909" i="51"/>
  <c r="C2341" i="51"/>
  <c r="C1812" i="51"/>
  <c r="C341" i="51"/>
  <c r="C1329" i="51"/>
  <c r="C1231" i="51"/>
  <c r="C836" i="51"/>
  <c r="C637" i="51"/>
  <c r="C1426" i="51"/>
  <c r="C1763" i="51"/>
  <c r="C935" i="51"/>
  <c r="B23" i="34"/>
  <c r="E3943" i="51"/>
  <c r="G3943" i="51" s="1"/>
  <c r="E3799" i="51"/>
  <c r="G3799" i="51" s="1"/>
  <c r="E852" i="51"/>
  <c r="G852" i="51" s="1"/>
  <c r="E6642" i="51"/>
  <c r="G6642" i="51" s="1"/>
  <c r="E6305" i="51"/>
  <c r="G6305" i="51" s="1"/>
  <c r="H6318" i="51" s="1"/>
  <c r="H6335" i="51" s="1"/>
  <c r="D181" i="33" s="1"/>
  <c r="E6452" i="51"/>
  <c r="G6452" i="51" s="1"/>
  <c r="H6465" i="51" s="1"/>
  <c r="E5920" i="51"/>
  <c r="G5920" i="51" s="1"/>
  <c r="H5933" i="51" s="1"/>
  <c r="E6064" i="51"/>
  <c r="G6064" i="51" s="1"/>
  <c r="H6077" i="51" s="1"/>
  <c r="E5408" i="51"/>
  <c r="G5408" i="51" s="1"/>
  <c r="E5107" i="51"/>
  <c r="G5107" i="51" s="1"/>
  <c r="H5118" i="51" s="1"/>
  <c r="E4519" i="51"/>
  <c r="G4519" i="51" s="1"/>
  <c r="E3558" i="51"/>
  <c r="G3558" i="51" s="1"/>
  <c r="E3174" i="51"/>
  <c r="G3174" i="51" s="1"/>
  <c r="E3318" i="51"/>
  <c r="G3318" i="51" s="1"/>
  <c r="E2837" i="51"/>
  <c r="G2837" i="51" s="1"/>
  <c r="E2645" i="51"/>
  <c r="G2645" i="51" s="1"/>
  <c r="E2212" i="51"/>
  <c r="G2212" i="51" s="1"/>
  <c r="E1932" i="51"/>
  <c r="G1932" i="51" s="1"/>
  <c r="H1945" i="51" s="1"/>
  <c r="E1442" i="51"/>
  <c r="G1442" i="51" s="1"/>
  <c r="E1394" i="51"/>
  <c r="G1394" i="51" s="1"/>
  <c r="E1297" i="51"/>
  <c r="G1297" i="51" s="1"/>
  <c r="E121" i="51"/>
  <c r="G121" i="51" s="1"/>
  <c r="H133" i="51" s="1"/>
  <c r="H150" i="51" s="1"/>
  <c r="D10" i="33" s="1"/>
  <c r="E579" i="51"/>
  <c r="G579" i="51" s="1"/>
  <c r="E604" i="51"/>
  <c r="G604" i="51" s="1"/>
  <c r="E555" i="51"/>
  <c r="G555" i="51" s="1"/>
  <c r="H560" i="51" s="1"/>
  <c r="E951" i="51"/>
  <c r="G951" i="51" s="1"/>
  <c r="E68" i="51"/>
  <c r="G68" i="51" s="1"/>
  <c r="H80" i="51" s="1"/>
  <c r="E3991" i="51"/>
  <c r="G3991" i="51" s="1"/>
  <c r="E802" i="51"/>
  <c r="G802" i="51" s="1"/>
  <c r="E653" i="51"/>
  <c r="G653" i="51" s="1"/>
  <c r="E5968" i="51"/>
  <c r="G5968" i="51" s="1"/>
  <c r="H5981" i="51" s="1"/>
  <c r="E6256" i="51"/>
  <c r="G6256" i="51" s="1"/>
  <c r="H6269" i="51" s="1"/>
  <c r="E6208" i="51"/>
  <c r="G6208" i="51" s="1"/>
  <c r="H6221" i="51" s="1"/>
  <c r="E6016" i="51"/>
  <c r="G6016" i="51" s="1"/>
  <c r="H6029" i="51" s="1"/>
  <c r="E5537" i="51"/>
  <c r="G5537" i="51" s="1"/>
  <c r="E5585" i="51"/>
  <c r="G5585" i="51" s="1"/>
  <c r="E5401" i="51"/>
  <c r="G5401" i="51" s="1"/>
  <c r="E5307" i="51"/>
  <c r="G5307" i="51" s="1"/>
  <c r="E4568" i="51"/>
  <c r="G4568" i="51" s="1"/>
  <c r="E3751" i="51"/>
  <c r="G3751" i="51" s="1"/>
  <c r="E3366" i="51"/>
  <c r="G3366" i="51" s="1"/>
  <c r="E3270" i="51"/>
  <c r="G3270" i="51" s="1"/>
  <c r="E3030" i="51"/>
  <c r="G3030" i="51" s="1"/>
  <c r="E2549" i="51"/>
  <c r="G2549" i="51" s="1"/>
  <c r="E2693" i="51"/>
  <c r="G2693" i="51" s="1"/>
  <c r="E2164" i="51"/>
  <c r="G2164" i="51" s="1"/>
  <c r="E1344" i="51"/>
  <c r="G1344" i="51" s="1"/>
  <c r="E1441" i="51"/>
  <c r="G1441" i="51" s="1"/>
  <c r="E1393" i="51"/>
  <c r="G1393" i="51" s="1"/>
  <c r="E1635" i="51"/>
  <c r="G1635" i="51" s="1"/>
  <c r="E1049" i="51"/>
  <c r="G1049" i="51" s="1"/>
  <c r="E578" i="51"/>
  <c r="G578" i="51" s="1"/>
  <c r="E1099" i="51"/>
  <c r="G1099" i="51" s="1"/>
  <c r="E1197" i="51"/>
  <c r="G1197" i="51" s="1"/>
  <c r="E315" i="51"/>
  <c r="G315" i="51" s="1"/>
  <c r="H327" i="51" s="1"/>
  <c r="E307" i="51"/>
  <c r="G307" i="51" s="1"/>
  <c r="E59" i="51"/>
  <c r="G59" i="51" s="1"/>
  <c r="E3847" i="51"/>
  <c r="G3847" i="51" s="1"/>
  <c r="E751" i="51"/>
  <c r="G751" i="51" s="1"/>
  <c r="E6691" i="51"/>
  <c r="G6691" i="51" s="1"/>
  <c r="E5872" i="51"/>
  <c r="G5872" i="51" s="1"/>
  <c r="H5885" i="51" s="1"/>
  <c r="E5824" i="51"/>
  <c r="G5824" i="51" s="1"/>
  <c r="H5837" i="51" s="1"/>
  <c r="E6160" i="51"/>
  <c r="G6160" i="51" s="1"/>
  <c r="H6173" i="51" s="1"/>
  <c r="E6354" i="51"/>
  <c r="G6354" i="51" s="1"/>
  <c r="H6367" i="51" s="1"/>
  <c r="E5491" i="51"/>
  <c r="G5491" i="51" s="1"/>
  <c r="E5682" i="51"/>
  <c r="G5682" i="51" s="1"/>
  <c r="E5407" i="51"/>
  <c r="G5407" i="51" s="1"/>
  <c r="E5306" i="51"/>
  <c r="G5306" i="51" s="1"/>
  <c r="E4527" i="51"/>
  <c r="G4527" i="51" s="1"/>
  <c r="E3510" i="51"/>
  <c r="G3510" i="51" s="1"/>
  <c r="E3414" i="51"/>
  <c r="G3414" i="51" s="1"/>
  <c r="E3222" i="51"/>
  <c r="G3222" i="51" s="1"/>
  <c r="E2741" i="51"/>
  <c r="G2741" i="51" s="1"/>
  <c r="E2789" i="51"/>
  <c r="G2789" i="51" s="1"/>
  <c r="E2453" i="51"/>
  <c r="G2453" i="51" s="1"/>
  <c r="E2260" i="51"/>
  <c r="G2260" i="51" s="1"/>
  <c r="E1296" i="51"/>
  <c r="G1296" i="51" s="1"/>
  <c r="E1498" i="51"/>
  <c r="E1345" i="51"/>
  <c r="G1345" i="51" s="1"/>
  <c r="E1000" i="51"/>
  <c r="G1000" i="51" s="1"/>
  <c r="E506" i="51"/>
  <c r="G506" i="51" s="1"/>
  <c r="E628" i="51"/>
  <c r="G628" i="51" s="1"/>
  <c r="H632" i="51" s="1"/>
  <c r="E1148" i="51"/>
  <c r="G1148" i="51" s="1"/>
  <c r="E208" i="51"/>
  <c r="G208" i="51" s="1"/>
  <c r="E457" i="51"/>
  <c r="G869" i="27"/>
  <c r="D2002" i="51"/>
  <c r="E1586" i="51"/>
  <c r="G1586" i="51" s="1"/>
  <c r="E1682" i="51"/>
  <c r="G1682" i="51" s="1"/>
  <c r="E1836" i="51"/>
  <c r="G1836" i="51" s="1"/>
  <c r="H1849" i="51" s="1"/>
  <c r="E5586" i="51"/>
  <c r="G5586" i="51" s="1"/>
  <c r="E5633" i="51"/>
  <c r="G5633" i="51" s="1"/>
  <c r="H5646" i="51" s="1"/>
  <c r="E5681" i="51"/>
  <c r="G5681" i="51" s="1"/>
  <c r="E5729" i="51"/>
  <c r="G5729" i="51" s="1"/>
  <c r="H5742" i="51" s="1"/>
  <c r="C264" i="28"/>
  <c r="E415" i="51" s="1"/>
  <c r="G415" i="51" s="1"/>
  <c r="H427" i="51" s="1"/>
  <c r="D26" i="34"/>
  <c r="E5330" i="51" s="1"/>
  <c r="G5330" i="51" s="1"/>
  <c r="D3925" i="51"/>
  <c r="F72" i="35"/>
  <c r="D79" i="35" s="1"/>
  <c r="C402" i="27" s="1"/>
  <c r="M124" i="41"/>
  <c r="S39" i="41" s="1"/>
  <c r="E1587" i="51"/>
  <c r="G1587" i="51" s="1"/>
  <c r="E1683" i="51"/>
  <c r="G1683" i="51" s="1"/>
  <c r="E72" i="35"/>
  <c r="D78" i="35" s="1"/>
  <c r="D644" i="27"/>
  <c r="E1787" i="51"/>
  <c r="G1787" i="51" s="1"/>
  <c r="H1800" i="51" s="1"/>
  <c r="G6650" i="51"/>
  <c r="P44" i="52"/>
  <c r="G1258" i="51"/>
  <c r="J78" i="35"/>
  <c r="G70" i="35"/>
  <c r="F69" i="35"/>
  <c r="J77" i="35"/>
  <c r="F70" i="35"/>
  <c r="E69" i="35"/>
  <c r="D69" i="35"/>
  <c r="F71" i="35"/>
  <c r="D14" i="34"/>
  <c r="E7174" i="51" s="1"/>
  <c r="G7174" i="51" s="1"/>
  <c r="D3350" i="51"/>
  <c r="D2821" i="51"/>
  <c r="D3494" i="51"/>
  <c r="D3685" i="51"/>
  <c r="D3110" i="51"/>
  <c r="D3062" i="51"/>
  <c r="D2533" i="51"/>
  <c r="D2629" i="51"/>
  <c r="D2050" i="51"/>
  <c r="D339" i="51"/>
  <c r="D783" i="51"/>
  <c r="D439" i="51"/>
  <c r="D6573" i="51"/>
  <c r="D5179" i="51"/>
  <c r="D3302" i="51"/>
  <c r="D3254" i="51"/>
  <c r="D3446" i="51"/>
  <c r="D2917" i="51"/>
  <c r="D2965" i="51"/>
  <c r="D2437" i="51"/>
  <c r="D2339" i="51"/>
  <c r="D1955" i="51"/>
  <c r="D389" i="51"/>
  <c r="D734" i="51"/>
  <c r="D3781" i="51"/>
  <c r="D3014" i="51"/>
  <c r="D3733" i="51"/>
  <c r="D2869" i="51"/>
  <c r="D3206" i="51"/>
  <c r="D2677" i="51"/>
  <c r="D2581" i="51"/>
  <c r="D2388" i="51"/>
  <c r="D2291" i="51"/>
  <c r="D2195" i="51"/>
  <c r="D884" i="51"/>
  <c r="D685" i="51"/>
  <c r="D3542" i="51"/>
  <c r="D2773" i="51"/>
  <c r="D3590" i="51"/>
  <c r="D2725" i="51"/>
  <c r="D3158" i="51"/>
  <c r="D3637" i="51"/>
  <c r="D2485" i="51"/>
  <c r="D3398" i="51"/>
  <c r="D2243" i="51"/>
  <c r="D1907" i="51"/>
  <c r="D834" i="51"/>
  <c r="D587" i="51"/>
  <c r="H572" i="6"/>
  <c r="H1225" i="8"/>
  <c r="K28" i="41"/>
  <c r="P32" i="41" s="1"/>
  <c r="O127" i="16"/>
  <c r="O144" i="16" s="1"/>
  <c r="D4599" i="51"/>
  <c r="C295" i="28"/>
  <c r="H1495" i="8"/>
  <c r="L102" i="30"/>
  <c r="H179" i="9"/>
  <c r="P411" i="7"/>
  <c r="H311" i="10"/>
  <c r="M3122" i="6"/>
  <c r="M2959" i="6"/>
  <c r="H32" i="9"/>
  <c r="H49" i="9"/>
  <c r="E11" i="9" s="1"/>
  <c r="G11" i="9" s="1"/>
  <c r="H17" i="9" s="1"/>
  <c r="H51" i="9" s="1"/>
  <c r="P71" i="9"/>
  <c r="P86" i="9"/>
  <c r="P103" i="9"/>
  <c r="H140" i="9"/>
  <c r="H157" i="9"/>
  <c r="E119" i="9" s="1"/>
  <c r="G119" i="9" s="1"/>
  <c r="H125" i="9" s="1"/>
  <c r="H159" i="9" s="1"/>
  <c r="H194" i="9"/>
  <c r="H265" i="9"/>
  <c r="E227" i="9" s="1"/>
  <c r="G227" i="9" s="1"/>
  <c r="H319" i="9"/>
  <c r="E281" i="9" s="1"/>
  <c r="G281" i="9" s="1"/>
  <c r="H287" i="9" s="1"/>
  <c r="H373" i="9"/>
  <c r="E335" i="9" s="1"/>
  <c r="G335" i="9" s="1"/>
  <c r="H341" i="9" s="1"/>
  <c r="P643" i="9"/>
  <c r="M605" i="9" s="1"/>
  <c r="O605" i="9" s="1"/>
  <c r="P611" i="9" s="1"/>
  <c r="H357" i="7"/>
  <c r="H465" i="7"/>
  <c r="X519" i="7"/>
  <c r="E177" i="16"/>
  <c r="G177" i="16" s="1"/>
  <c r="M2961" i="6"/>
  <c r="X1615" i="6"/>
  <c r="U1577" i="6" s="1"/>
  <c r="W1577" i="6" s="1"/>
  <c r="X1583" i="6" s="1"/>
  <c r="X1617" i="6" s="1"/>
  <c r="G669" i="6"/>
  <c r="H680" i="6" s="1"/>
  <c r="H1166" i="6"/>
  <c r="H1598" i="6"/>
  <c r="H1652" i="6"/>
  <c r="H1976" i="6"/>
  <c r="H2246" i="6"/>
  <c r="H2300" i="6"/>
  <c r="H2570" i="6"/>
  <c r="H2786" i="6"/>
  <c r="H2840" i="6"/>
  <c r="H2894" i="6"/>
  <c r="H3002" i="6"/>
  <c r="H3326" i="6"/>
  <c r="P518" i="6"/>
  <c r="H897" i="7"/>
  <c r="L183" i="6"/>
  <c r="G184" i="6"/>
  <c r="H194" i="6" s="1"/>
  <c r="P573" i="7"/>
  <c r="P1441" i="8"/>
  <c r="G344" i="6"/>
  <c r="G506" i="6"/>
  <c r="H518" i="6" s="1"/>
  <c r="H2354" i="6"/>
  <c r="H2462" i="6"/>
  <c r="H3164" i="6"/>
  <c r="H3272" i="6"/>
  <c r="H356" i="9"/>
  <c r="P303" i="7"/>
  <c r="P357" i="7"/>
  <c r="H3715" i="5"/>
  <c r="H471" i="5"/>
  <c r="H690" i="5"/>
  <c r="G234" i="16"/>
  <c r="AN147" i="16"/>
  <c r="AM108" i="16" s="1"/>
  <c r="AN114" i="16" s="1"/>
  <c r="O30" i="16"/>
  <c r="W79" i="16"/>
  <c r="G79" i="16"/>
  <c r="H1948" i="3"/>
  <c r="AK131" i="16" s="1"/>
  <c r="C17" i="34"/>
  <c r="D93" i="51"/>
  <c r="C9" i="34"/>
  <c r="D1183" i="51" s="1"/>
  <c r="D5512" i="51"/>
  <c r="D5463" i="51"/>
  <c r="F69" i="21"/>
  <c r="G69" i="21" s="1"/>
  <c r="D6" i="34"/>
  <c r="E93" i="51" s="1"/>
  <c r="G93" i="51" s="1"/>
  <c r="E5443" i="51"/>
  <c r="E5436" i="51"/>
  <c r="G5436" i="51" s="1"/>
  <c r="X1831" i="6"/>
  <c r="O291" i="9"/>
  <c r="P302" i="9" s="1"/>
  <c r="P321" i="9" s="1"/>
  <c r="H427" i="9"/>
  <c r="E389" i="9" s="1"/>
  <c r="G389" i="9" s="1"/>
  <c r="H395" i="9" s="1"/>
  <c r="H429" i="9" s="1"/>
  <c r="H464" i="9"/>
  <c r="H481" i="9"/>
  <c r="E443" i="9" s="1"/>
  <c r="G443" i="9" s="1"/>
  <c r="H449" i="9" s="1"/>
  <c r="H483" i="9" s="1"/>
  <c r="E558" i="1" s="1"/>
  <c r="F558" i="1" s="1"/>
  <c r="G558" i="1" s="1"/>
  <c r="P519" i="7"/>
  <c r="H627" i="7"/>
  <c r="H681" i="7"/>
  <c r="H1022" i="7"/>
  <c r="P685" i="8"/>
  <c r="P302" i="16"/>
  <c r="O263" i="16" s="1"/>
  <c r="P269" i="16" s="1"/>
  <c r="P313" i="10"/>
  <c r="E600" i="21" s="1"/>
  <c r="F600" i="21" s="1"/>
  <c r="G600" i="21" s="1"/>
  <c r="E52" i="30"/>
  <c r="C102" i="30"/>
  <c r="G102" i="30"/>
  <c r="C7" i="34"/>
  <c r="D7" i="34" s="1"/>
  <c r="L8" i="41"/>
  <c r="Q37" i="41" s="1"/>
  <c r="C3735" i="51"/>
  <c r="C3687" i="51"/>
  <c r="C4023" i="51"/>
  <c r="C3975" i="51"/>
  <c r="C3927" i="51"/>
  <c r="C3879" i="51"/>
  <c r="C3639" i="51"/>
  <c r="C3831" i="51"/>
  <c r="C5465" i="51"/>
  <c r="C3783" i="51"/>
  <c r="E350" i="5"/>
  <c r="E405" i="5" s="1"/>
  <c r="G405" i="5" s="1"/>
  <c r="H416" i="5" s="1"/>
  <c r="AE227" i="16"/>
  <c r="G67" i="19"/>
  <c r="F69" i="19"/>
  <c r="G69" i="19" s="1"/>
  <c r="W127" i="16"/>
  <c r="W144" i="16" s="1"/>
  <c r="X147" i="16" s="1"/>
  <c r="W108" i="16" s="1"/>
  <c r="X114" i="16" s="1"/>
  <c r="AC127" i="16"/>
  <c r="AE127" i="16" s="1"/>
  <c r="AE144" i="16" s="1"/>
  <c r="H1512" i="8"/>
  <c r="E1474" i="8" s="1"/>
  <c r="G1474" i="8" s="1"/>
  <c r="H1480" i="8" s="1"/>
  <c r="X411" i="7"/>
  <c r="T35" i="30"/>
  <c r="L126" i="41"/>
  <c r="D275" i="50"/>
  <c r="E275" i="50" s="1"/>
  <c r="F275" i="50" s="1"/>
  <c r="AN1885" i="6"/>
  <c r="AK1847" i="6" s="1"/>
  <c r="AM1847" i="6" s="1"/>
  <c r="AN1853" i="6" s="1"/>
  <c r="AN1887" i="6" s="1"/>
  <c r="H103" i="9"/>
  <c r="E65" i="9" s="1"/>
  <c r="G65" i="9" s="1"/>
  <c r="H71" i="9" s="1"/>
  <c r="H105" i="9" s="1"/>
  <c r="H249" i="7"/>
  <c r="H573" i="7"/>
  <c r="H361" i="8"/>
  <c r="P361" i="8"/>
  <c r="X577" i="8"/>
  <c r="H199" i="5"/>
  <c r="H1020" i="5"/>
  <c r="K1728" i="5"/>
  <c r="H3385" i="5"/>
  <c r="F102" i="30"/>
  <c r="B960" i="27"/>
  <c r="B995" i="27" s="1"/>
  <c r="D6975" i="51"/>
  <c r="D7025" i="51"/>
  <c r="D7125" i="51"/>
  <c r="D7075" i="51"/>
  <c r="C7126" i="51"/>
  <c r="C7076" i="51"/>
  <c r="C7026" i="51"/>
  <c r="C6976" i="51"/>
  <c r="H233" i="9"/>
  <c r="P589" i="9"/>
  <c r="M551" i="9" s="1"/>
  <c r="O551" i="9" s="1"/>
  <c r="P557" i="9" s="1"/>
  <c r="P2138" i="6"/>
  <c r="H2560" i="5"/>
  <c r="H2615" i="5"/>
  <c r="G17" i="24"/>
  <c r="A30" i="29"/>
  <c r="C30" i="29" s="1"/>
  <c r="M31" i="29" s="1"/>
  <c r="C87" i="30"/>
  <c r="R52" i="30"/>
  <c r="L72" i="30"/>
  <c r="P72" i="30"/>
  <c r="N96" i="30"/>
  <c r="P102" i="30"/>
  <c r="T102" i="30"/>
  <c r="O102" i="30"/>
  <c r="D1031" i="51"/>
  <c r="D3877" i="51"/>
  <c r="E7104" i="51"/>
  <c r="G7104" i="51" s="1"/>
  <c r="C7102" i="51"/>
  <c r="E7101" i="51"/>
  <c r="G7101" i="51" s="1"/>
  <c r="C7104" i="51"/>
  <c r="E7102" i="51"/>
  <c r="G7102" i="51" s="1"/>
  <c r="C7103" i="51"/>
  <c r="C7101" i="51"/>
  <c r="E7103" i="51"/>
  <c r="G7103" i="51" s="1"/>
  <c r="H1706" i="6"/>
  <c r="P465" i="7"/>
  <c r="X465" i="7"/>
  <c r="H519" i="7"/>
  <c r="H752" i="7"/>
  <c r="P469" i="8"/>
  <c r="AK337" i="16"/>
  <c r="AM337" i="16" s="1"/>
  <c r="C5234" i="51"/>
  <c r="D1472" i="51"/>
  <c r="D4501" i="51"/>
  <c r="E7001" i="51"/>
  <c r="G7001" i="51" s="1"/>
  <c r="E6954" i="51"/>
  <c r="G6954" i="51" s="1"/>
  <c r="C6952" i="51"/>
  <c r="C6958" i="51"/>
  <c r="E7052" i="51"/>
  <c r="G7052" i="51" s="1"/>
  <c r="C7001" i="51"/>
  <c r="E6955" i="51"/>
  <c r="G6955" i="51" s="1"/>
  <c r="C6953" i="51"/>
  <c r="C6951" i="51"/>
  <c r="C7052" i="51"/>
  <c r="E7003" i="51"/>
  <c r="G7003" i="51" s="1"/>
  <c r="E6956" i="51"/>
  <c r="G6956" i="51" s="1"/>
  <c r="C7003" i="51"/>
  <c r="C6955" i="51"/>
  <c r="E6952" i="51"/>
  <c r="G6952" i="51" s="1"/>
  <c r="C6957" i="51"/>
  <c r="C6954" i="51"/>
  <c r="E6957" i="51"/>
  <c r="G6957" i="51" s="1"/>
  <c r="C6956" i="51"/>
  <c r="E7051" i="51"/>
  <c r="G7051" i="51" s="1"/>
  <c r="C7051" i="51"/>
  <c r="E7002" i="51"/>
  <c r="E6958" i="51"/>
  <c r="G6958" i="51" s="1"/>
  <c r="C7002" i="51"/>
  <c r="E6953" i="51"/>
  <c r="G6953" i="51" s="1"/>
  <c r="E6951" i="51"/>
  <c r="G6951" i="51" s="1"/>
  <c r="Q44" i="52"/>
  <c r="V44" i="52"/>
  <c r="E1378" i="4"/>
  <c r="F1378" i="4" s="1"/>
  <c r="G1378" i="4" s="1"/>
  <c r="E1378" i="18"/>
  <c r="F1378" i="18" s="1"/>
  <c r="G1378" i="18" s="1"/>
  <c r="E1378" i="15"/>
  <c r="F1378" i="15" s="1"/>
  <c r="G1378" i="15" s="1"/>
  <c r="E1378" i="22"/>
  <c r="F1378" i="22" s="1"/>
  <c r="G1378" i="22" s="1"/>
  <c r="E1352" i="15"/>
  <c r="F1352" i="15" s="1"/>
  <c r="G1352" i="15" s="1"/>
  <c r="E1352" i="22"/>
  <c r="F1352" i="22" s="1"/>
  <c r="G1352" i="22" s="1"/>
  <c r="E1352" i="4"/>
  <c r="F1352" i="4" s="1"/>
  <c r="G1352" i="4" s="1"/>
  <c r="E1352" i="18"/>
  <c r="F1352" i="18" s="1"/>
  <c r="G1352" i="18" s="1"/>
  <c r="U125" i="16"/>
  <c r="G29" i="16"/>
  <c r="E1348" i="15"/>
  <c r="F1348" i="15" s="1"/>
  <c r="G1348" i="15" s="1"/>
  <c r="E914" i="18"/>
  <c r="F914" i="18" s="1"/>
  <c r="G914" i="18" s="1"/>
  <c r="M285" i="16"/>
  <c r="E2073" i="15"/>
  <c r="F2073" i="15" s="1"/>
  <c r="G2073" i="15" s="1"/>
  <c r="E2075" i="4"/>
  <c r="F2075" i="4" s="1"/>
  <c r="G2075" i="4" s="1"/>
  <c r="E1364" i="18"/>
  <c r="F1364" i="18" s="1"/>
  <c r="G1364" i="18" s="1"/>
  <c r="E1381" i="4"/>
  <c r="F1381" i="4" s="1"/>
  <c r="G1381" i="4" s="1"/>
  <c r="E1970" i="22"/>
  <c r="F1970" i="22" s="1"/>
  <c r="G1970" i="22" s="1"/>
  <c r="E988" i="22"/>
  <c r="F988" i="22" s="1"/>
  <c r="G988" i="22" s="1"/>
  <c r="E2066" i="18"/>
  <c r="F2066" i="18" s="1"/>
  <c r="G2066" i="18" s="1"/>
  <c r="E1383" i="15"/>
  <c r="F1383" i="15" s="1"/>
  <c r="G1383" i="15" s="1"/>
  <c r="E2029" i="18"/>
  <c r="F2029" i="18" s="1"/>
  <c r="G2029" i="18" s="1"/>
  <c r="E120" i="15"/>
  <c r="F120" i="15" s="1"/>
  <c r="G120" i="15" s="1"/>
  <c r="G1803" i="3"/>
  <c r="H1803" i="3" s="1"/>
  <c r="G1819" i="3"/>
  <c r="H1819" i="3" s="1"/>
  <c r="G1823" i="3"/>
  <c r="H1823" i="3" s="1"/>
  <c r="H1835" i="3"/>
  <c r="G2130" i="3"/>
  <c r="H2130" i="3" s="1"/>
  <c r="H2749" i="6"/>
  <c r="E2711" i="6" s="1"/>
  <c r="G2711" i="6" s="1"/>
  <c r="H2717" i="6" s="1"/>
  <c r="H2751" i="6" s="1"/>
  <c r="M2960" i="6"/>
  <c r="N2960" i="6"/>
  <c r="P2960" i="6" s="1"/>
  <c r="F16" i="24"/>
  <c r="G16" i="24" s="1"/>
  <c r="E1348" i="18"/>
  <c r="F1348" i="18" s="1"/>
  <c r="G1348" i="18" s="1"/>
  <c r="AC334" i="16"/>
  <c r="AE334" i="16" s="1"/>
  <c r="E2073" i="18"/>
  <c r="F2073" i="18" s="1"/>
  <c r="G2073" i="18" s="1"/>
  <c r="E1364" i="15"/>
  <c r="F1364" i="15" s="1"/>
  <c r="G1364" i="15" s="1"/>
  <c r="E1355" i="22"/>
  <c r="F1355" i="22" s="1"/>
  <c r="G1355" i="22" s="1"/>
  <c r="E2074" i="15"/>
  <c r="F2074" i="15" s="1"/>
  <c r="G2074" i="15" s="1"/>
  <c r="E988" i="15"/>
  <c r="F988" i="15" s="1"/>
  <c r="G988" i="15" s="1"/>
  <c r="E1383" i="18"/>
  <c r="F1383" i="18" s="1"/>
  <c r="G1383" i="18" s="1"/>
  <c r="U336" i="16"/>
  <c r="W336" i="16" s="1"/>
  <c r="G1939" i="3"/>
  <c r="H1939" i="3" s="1"/>
  <c r="E1348" i="4"/>
  <c r="F1348" i="4" s="1"/>
  <c r="G1348" i="4" s="1"/>
  <c r="G285" i="16"/>
  <c r="AC332" i="16"/>
  <c r="AE332" i="16" s="1"/>
  <c r="F69" i="1"/>
  <c r="G69" i="1" s="1"/>
  <c r="H1883" i="3"/>
  <c r="G1887" i="3"/>
  <c r="H1887" i="3" s="1"/>
  <c r="M3069" i="6"/>
  <c r="N3069" i="6"/>
  <c r="P3069" i="6" s="1"/>
  <c r="H2857" i="6"/>
  <c r="E2819" i="6" s="1"/>
  <c r="G2819" i="6" s="1"/>
  <c r="H2825" i="6" s="1"/>
  <c r="H2859" i="6" s="1"/>
  <c r="H1561" i="6"/>
  <c r="H1328" i="6"/>
  <c r="D993" i="6"/>
  <c r="G939" i="6"/>
  <c r="H950" i="6" s="1"/>
  <c r="H365" i="10"/>
  <c r="E327" i="10" s="1"/>
  <c r="G327" i="10" s="1"/>
  <c r="H333" i="10" s="1"/>
  <c r="H1993" i="6"/>
  <c r="E1955" i="6" s="1"/>
  <c r="G1955" i="6" s="1"/>
  <c r="H1961" i="6" s="1"/>
  <c r="H1995" i="6" s="1"/>
  <c r="E332" i="1" s="1"/>
  <c r="F332" i="1" s="1"/>
  <c r="G332" i="1" s="1"/>
  <c r="H1129" i="6"/>
  <c r="H967" i="6"/>
  <c r="H481" i="6"/>
  <c r="E443" i="6" s="1"/>
  <c r="G443" i="6" s="1"/>
  <c r="H449" i="6" s="1"/>
  <c r="H483" i="6" s="1"/>
  <c r="N3067" i="6"/>
  <c r="P3067" i="6" s="1"/>
  <c r="M3067" i="6"/>
  <c r="H1184" i="7"/>
  <c r="O560" i="6"/>
  <c r="P572" i="6" s="1"/>
  <c r="P307" i="8"/>
  <c r="H910" i="5"/>
  <c r="H1075" i="5"/>
  <c r="H1095" i="5" s="1"/>
  <c r="H1533" i="5"/>
  <c r="E1494" i="5" s="1"/>
  <c r="G1494" i="5" s="1"/>
  <c r="H1500" i="5" s="1"/>
  <c r="H1535" i="5" s="1"/>
  <c r="H1735" i="5"/>
  <c r="G1960" i="3"/>
  <c r="H1960" i="3" s="1"/>
  <c r="P1561" i="6"/>
  <c r="H636" i="5"/>
  <c r="H540" i="8"/>
  <c r="E502" i="8" s="1"/>
  <c r="G502" i="8" s="1"/>
  <c r="H508" i="8" s="1"/>
  <c r="H240" i="10"/>
  <c r="H257" i="10"/>
  <c r="E219" i="10" s="1"/>
  <c r="G219" i="10" s="1"/>
  <c r="H225" i="10" s="1"/>
  <c r="H259" i="10" s="1"/>
  <c r="X302" i="16"/>
  <c r="W263" i="16" s="1"/>
  <c r="X269" i="16" s="1"/>
  <c r="H87" i="7"/>
  <c r="H644" i="7"/>
  <c r="E606" i="7" s="1"/>
  <c r="G606" i="7" s="1"/>
  <c r="H612" i="7" s="1"/>
  <c r="X968" i="7"/>
  <c r="U930" i="7" s="1"/>
  <c r="W930" i="7" s="1"/>
  <c r="X936" i="7" s="1"/>
  <c r="X970" i="7" s="1"/>
  <c r="H1242" i="8"/>
  <c r="X482" i="7"/>
  <c r="U444" i="7" s="1"/>
  <c r="W444" i="7" s="1"/>
  <c r="X450" i="7" s="1"/>
  <c r="P793" i="8"/>
  <c r="P643" i="6"/>
  <c r="M605" i="6" s="1"/>
  <c r="O605" i="6" s="1"/>
  <c r="P611" i="6" s="1"/>
  <c r="P645" i="6" s="1"/>
  <c r="H3550" i="5"/>
  <c r="P631" i="8"/>
  <c r="H78" i="10"/>
  <c r="P2303" i="5"/>
  <c r="M2264" i="5" s="1"/>
  <c r="O2264" i="5" s="1"/>
  <c r="P2270" i="5" s="1"/>
  <c r="P2305" i="5" s="1"/>
  <c r="E58" i="17" s="1"/>
  <c r="F58" i="17" s="1"/>
  <c r="G58" i="17" s="1"/>
  <c r="P2358" i="5"/>
  <c r="M2319" i="5" s="1"/>
  <c r="O2319" i="5" s="1"/>
  <c r="P2325" i="5" s="1"/>
  <c r="P2360" i="5" s="1"/>
  <c r="E59" i="17" s="1"/>
  <c r="F59" i="17" s="1"/>
  <c r="G59" i="17" s="1"/>
  <c r="S96" i="30"/>
  <c r="G402" i="27"/>
  <c r="K402" i="27" s="1"/>
  <c r="E402" i="27"/>
  <c r="F657" i="27"/>
  <c r="F652" i="27"/>
  <c r="I94" i="41"/>
  <c r="I28" i="41"/>
  <c r="P26" i="41" s="1"/>
  <c r="P54" i="41" s="1"/>
  <c r="H3660" i="5"/>
  <c r="P1279" i="8"/>
  <c r="O404" i="8"/>
  <c r="D6523" i="51"/>
  <c r="D5560" i="51"/>
  <c r="D5327" i="51"/>
  <c r="D5080" i="51"/>
  <c r="D4405" i="51"/>
  <c r="D4213" i="51"/>
  <c r="D3829" i="51"/>
  <c r="D1859" i="51"/>
  <c r="D933" i="51"/>
  <c r="D1666" i="51"/>
  <c r="D1080" i="51"/>
  <c r="D537" i="51"/>
  <c r="D6087" i="51"/>
  <c r="D5231" i="51"/>
  <c r="D4309" i="51"/>
  <c r="D4357" i="51"/>
  <c r="D4165" i="51"/>
  <c r="D2147" i="51"/>
  <c r="D1714" i="51"/>
  <c r="D1810" i="51"/>
  <c r="D1570" i="51"/>
  <c r="D982" i="51"/>
  <c r="D5376" i="51"/>
  <c r="D5656" i="51"/>
  <c r="D5416" i="51"/>
  <c r="D4647" i="51"/>
  <c r="D4261" i="51"/>
  <c r="D4117" i="51"/>
  <c r="D4021" i="51"/>
  <c r="D2099" i="51"/>
  <c r="D1618" i="51"/>
  <c r="D1375" i="51"/>
  <c r="D1327" i="51"/>
  <c r="D635" i="51"/>
  <c r="D15" i="34"/>
  <c r="E4695" i="51" s="1"/>
  <c r="G4695" i="51" s="1"/>
  <c r="D95" i="51"/>
  <c r="D45" i="51"/>
  <c r="D11" i="34"/>
  <c r="E9" i="24"/>
  <c r="G9" i="24" s="1"/>
  <c r="E27" i="24"/>
  <c r="G27" i="24" s="1"/>
  <c r="K18" i="29"/>
  <c r="M17" i="29"/>
  <c r="C34" i="29"/>
  <c r="I91" i="41"/>
  <c r="R26" i="41" s="1"/>
  <c r="R54" i="41" s="1"/>
  <c r="M28" i="41"/>
  <c r="G5057" i="51"/>
  <c r="H5069" i="51" s="1"/>
  <c r="W44" i="52"/>
  <c r="D17" i="34"/>
  <c r="J124" i="41"/>
  <c r="S30" i="41" s="1"/>
  <c r="S58" i="41" s="1"/>
  <c r="X44" i="52"/>
  <c r="U44" i="52"/>
  <c r="H6433" i="51"/>
  <c r="D183" i="33" s="1"/>
  <c r="G3895" i="51"/>
  <c r="N102" i="30"/>
  <c r="J7" i="3"/>
  <c r="I127" i="41"/>
  <c r="E1350" i="4"/>
  <c r="F1350" i="4" s="1"/>
  <c r="G1350" i="4" s="1"/>
  <c r="E1350" i="15"/>
  <c r="F1350" i="15" s="1"/>
  <c r="G1350" i="15" s="1"/>
  <c r="E1350" i="22"/>
  <c r="F1350" i="22" s="1"/>
  <c r="G1350" i="22" s="1"/>
  <c r="E1350" i="18"/>
  <c r="F1350" i="18" s="1"/>
  <c r="G1350" i="18" s="1"/>
  <c r="G280" i="16"/>
  <c r="M280" i="16"/>
  <c r="U280" i="16" s="1"/>
  <c r="W280" i="16" s="1"/>
  <c r="M179" i="16"/>
  <c r="AC179" i="16"/>
  <c r="AE179" i="16" s="1"/>
  <c r="G179" i="16"/>
  <c r="AK332" i="16"/>
  <c r="AM332" i="16" s="1"/>
  <c r="AK125" i="16"/>
  <c r="E1343" i="22"/>
  <c r="F1343" i="22" s="1"/>
  <c r="G1343" i="22" s="1"/>
  <c r="E1343" i="4"/>
  <c r="F1343" i="4" s="1"/>
  <c r="G1343" i="4" s="1"/>
  <c r="E1343" i="18"/>
  <c r="F1343" i="18" s="1"/>
  <c r="G1343" i="18" s="1"/>
  <c r="E1343" i="15"/>
  <c r="F1343" i="15" s="1"/>
  <c r="G1343" i="15" s="1"/>
  <c r="E1369" i="15"/>
  <c r="F1369" i="15" s="1"/>
  <c r="G1369" i="15" s="1"/>
  <c r="E1369" i="4"/>
  <c r="F1369" i="4" s="1"/>
  <c r="G1369" i="4" s="1"/>
  <c r="E1369" i="18"/>
  <c r="F1369" i="18" s="1"/>
  <c r="G1369" i="18" s="1"/>
  <c r="E1369" i="22"/>
  <c r="E1946" i="15"/>
  <c r="F1946" i="15" s="1"/>
  <c r="G1946" i="15" s="1"/>
  <c r="E1946" i="22"/>
  <c r="F1946" i="22" s="1"/>
  <c r="G1946" i="22" s="1"/>
  <c r="E1946" i="4"/>
  <c r="F1946" i="4" s="1"/>
  <c r="G1946" i="4" s="1"/>
  <c r="E1946" i="18"/>
  <c r="F1946" i="18" s="1"/>
  <c r="G1946" i="18" s="1"/>
  <c r="E985" i="15"/>
  <c r="F985" i="15" s="1"/>
  <c r="G985" i="15" s="1"/>
  <c r="E985" i="4"/>
  <c r="F985" i="4" s="1"/>
  <c r="G985" i="4" s="1"/>
  <c r="E985" i="18"/>
  <c r="F985" i="18" s="1"/>
  <c r="G985" i="18" s="1"/>
  <c r="E985" i="22"/>
  <c r="F985" i="22" s="1"/>
  <c r="G985" i="22" s="1"/>
  <c r="E1354" i="15"/>
  <c r="F1354" i="15" s="1"/>
  <c r="G1354" i="15" s="1"/>
  <c r="E1354" i="4"/>
  <c r="F1354" i="4" s="1"/>
  <c r="G1354" i="4" s="1"/>
  <c r="E1354" i="18"/>
  <c r="F1354" i="18" s="1"/>
  <c r="G1354" i="18" s="1"/>
  <c r="E1354" i="22"/>
  <c r="F1354" i="22" s="1"/>
  <c r="G1354" i="22" s="1"/>
  <c r="E228" i="16"/>
  <c r="G74" i="16"/>
  <c r="H1458" i="8"/>
  <c r="H141" i="7"/>
  <c r="X573" i="7"/>
  <c r="H2587" i="6"/>
  <c r="E2549" i="6" s="1"/>
  <c r="G2549" i="6" s="1"/>
  <c r="H2555" i="6" s="1"/>
  <c r="H1350" i="8"/>
  <c r="E1312" i="8" s="1"/>
  <c r="G1312" i="8" s="1"/>
  <c r="H1318" i="8" s="1"/>
  <c r="P374" i="7"/>
  <c r="M336" i="7" s="1"/>
  <c r="O336" i="7" s="1"/>
  <c r="P342" i="7" s="1"/>
  <c r="X536" i="7"/>
  <c r="U498" i="7" s="1"/>
  <c r="W498" i="7" s="1"/>
  <c r="X504" i="7" s="1"/>
  <c r="X538" i="7" s="1"/>
  <c r="P1643" i="5"/>
  <c r="M1604" i="5" s="1"/>
  <c r="O1604" i="5" s="1"/>
  <c r="P1610" i="5" s="1"/>
  <c r="P1645" i="5" s="1"/>
  <c r="H3343" i="6"/>
  <c r="H103" i="6"/>
  <c r="E65" i="6" s="1"/>
  <c r="G65" i="6" s="1"/>
  <c r="H71" i="6" s="1"/>
  <c r="H1514" i="8"/>
  <c r="X211" i="6"/>
  <c r="U173" i="6" s="1"/>
  <c r="W173" i="6" s="1"/>
  <c r="X179" i="6" s="1"/>
  <c r="H33" i="7"/>
  <c r="H646" i="7"/>
  <c r="H965" i="5"/>
  <c r="H2358" i="5"/>
  <c r="E2319" i="5" s="1"/>
  <c r="G2319" i="5" s="1"/>
  <c r="H2325" i="5" s="1"/>
  <c r="H2360" i="5" s="1"/>
  <c r="H354" i="16"/>
  <c r="G315" i="16" s="1"/>
  <c r="H321" i="16" s="1"/>
  <c r="H810" i="8"/>
  <c r="P33" i="7"/>
  <c r="P2670" i="5"/>
  <c r="P186" i="10"/>
  <c r="H398" i="16"/>
  <c r="G367" i="16" s="1"/>
  <c r="H373" i="16" s="1"/>
  <c r="AF147" i="16"/>
  <c r="AE108" i="16" s="1"/>
  <c r="AF114" i="16" s="1"/>
  <c r="P93" i="16"/>
  <c r="O57" i="16" s="1"/>
  <c r="P63" i="16" s="1"/>
  <c r="AF302" i="16"/>
  <c r="AE263" i="16" s="1"/>
  <c r="AF269" i="16" s="1"/>
  <c r="C632" i="27"/>
  <c r="E632" i="27" s="1"/>
  <c r="U35" i="30"/>
  <c r="R35" i="30"/>
  <c r="S87" i="30"/>
  <c r="P87" i="30"/>
  <c r="L87" i="30"/>
  <c r="T87" i="30"/>
  <c r="C94" i="51"/>
  <c r="K7" i="41"/>
  <c r="K29" i="41"/>
  <c r="P33" i="41" s="1"/>
  <c r="P60" i="41" s="1"/>
  <c r="M126" i="41"/>
  <c r="H6812" i="51"/>
  <c r="B16" i="34"/>
  <c r="C16" i="34" s="1"/>
  <c r="C4793" i="51"/>
  <c r="C4745" i="51"/>
  <c r="C4697" i="51"/>
  <c r="C4889" i="51"/>
  <c r="C4841" i="51"/>
  <c r="C291" i="51"/>
  <c r="H199" i="3"/>
  <c r="C178" i="28" s="1"/>
  <c r="H1121" i="3"/>
  <c r="H1098" i="3"/>
  <c r="H1267" i="3"/>
  <c r="H925" i="3"/>
  <c r="M10" i="41"/>
  <c r="H1930" i="3"/>
  <c r="C275" i="28" s="1"/>
  <c r="G886" i="3"/>
  <c r="H886" i="3" s="1"/>
  <c r="E888" i="18" s="1"/>
  <c r="F888" i="18" s="1"/>
  <c r="G888" i="18" s="1"/>
  <c r="K14" i="29"/>
  <c r="H20" i="3"/>
  <c r="C193" i="28" s="1"/>
  <c r="H1113" i="3"/>
  <c r="H1100" i="3"/>
  <c r="H1266" i="3"/>
  <c r="H927" i="3"/>
  <c r="E5441" i="51"/>
  <c r="G5441" i="51" s="1"/>
  <c r="E652" i="27"/>
  <c r="E653" i="27" s="1"/>
  <c r="D814" i="27"/>
  <c r="C72" i="30"/>
  <c r="G72" i="30"/>
  <c r="E87" i="30"/>
  <c r="U102" i="30"/>
  <c r="Q102" i="30"/>
  <c r="M102" i="30"/>
  <c r="E4887" i="51"/>
  <c r="G4887" i="51" s="1"/>
  <c r="D5032" i="51"/>
  <c r="D4887" i="51"/>
  <c r="D4839" i="51"/>
  <c r="D4743" i="51"/>
  <c r="D4695" i="51"/>
  <c r="D4791" i="51"/>
  <c r="S44" i="52"/>
  <c r="Z44" i="52"/>
  <c r="H2028" i="3"/>
  <c r="H2302" i="3"/>
  <c r="H1913" i="3"/>
  <c r="E60" i="50"/>
  <c r="F60" i="50" s="1"/>
  <c r="D61" i="50"/>
  <c r="E61" i="50" s="1"/>
  <c r="F61" i="50" s="1"/>
  <c r="E52" i="50"/>
  <c r="F52" i="50" s="1"/>
  <c r="D53" i="50"/>
  <c r="E53" i="50" s="1"/>
  <c r="F53" i="50" s="1"/>
  <c r="E255" i="50"/>
  <c r="F255" i="50" s="1"/>
  <c r="D256" i="50"/>
  <c r="E256" i="50" s="1"/>
  <c r="F256" i="50" s="1"/>
  <c r="C197" i="40"/>
  <c r="C135" i="40"/>
  <c r="C218" i="40"/>
  <c r="B145" i="27"/>
  <c r="F145" i="27" s="1"/>
  <c r="F146" i="27" s="1"/>
  <c r="G784" i="27"/>
  <c r="B708" i="27"/>
  <c r="C9" i="27"/>
  <c r="F508" i="27"/>
  <c r="E219" i="27"/>
  <c r="C708" i="27"/>
  <c r="F43" i="27"/>
  <c r="F251" i="27"/>
  <c r="F312" i="27"/>
  <c r="F313" i="27" s="1"/>
  <c r="F516" i="27"/>
  <c r="G923" i="27"/>
  <c r="G925" i="27" s="1"/>
  <c r="C683" i="27"/>
  <c r="F683" i="27" s="1"/>
  <c r="F684" i="27" s="1"/>
  <c r="F667" i="27"/>
  <c r="F668" i="27" s="1"/>
  <c r="E604" i="27"/>
  <c r="E605" i="27" s="1"/>
  <c r="F64" i="27"/>
  <c r="F254" i="27"/>
  <c r="G773" i="27"/>
  <c r="G781" i="27"/>
  <c r="C636" i="27"/>
  <c r="E636" i="27" s="1"/>
  <c r="F140" i="27"/>
  <c r="E161" i="27"/>
  <c r="F324" i="27"/>
  <c r="D452" i="27"/>
  <c r="D497" i="27" s="1"/>
  <c r="G731" i="27"/>
  <c r="C741" i="27" s="1"/>
  <c r="D741" i="27" s="1"/>
  <c r="E741" i="27" s="1"/>
  <c r="G774" i="27"/>
  <c r="C1039" i="27"/>
  <c r="C1060" i="27"/>
  <c r="F49" i="27"/>
  <c r="F50" i="27" s="1"/>
  <c r="F60" i="27"/>
  <c r="E953" i="27"/>
  <c r="E954" i="27" s="1"/>
  <c r="F54" i="27"/>
  <c r="F55" i="27" s="1"/>
  <c r="F513" i="27"/>
  <c r="G780" i="27"/>
  <c r="F322" i="27"/>
  <c r="G785" i="27"/>
  <c r="G849" i="27"/>
  <c r="C61" i="27"/>
  <c r="C62" i="27" s="1"/>
  <c r="F62" i="27" s="1"/>
  <c r="D34" i="27"/>
  <c r="I10" i="41"/>
  <c r="J11" i="41"/>
  <c r="M125" i="41"/>
  <c r="S40" i="41" s="1"/>
  <c r="J94" i="41"/>
  <c r="J28" i="41"/>
  <c r="P29" i="41" s="1"/>
  <c r="T130" i="41"/>
  <c r="E365" i="51"/>
  <c r="G365" i="51" s="1"/>
  <c r="H377" i="51" s="1"/>
  <c r="D2" i="28"/>
  <c r="E1310" i="51"/>
  <c r="G1310" i="51" s="1"/>
  <c r="E6894" i="51"/>
  <c r="G6894" i="51" s="1"/>
  <c r="E5433" i="51"/>
  <c r="G5433" i="51" s="1"/>
  <c r="E529" i="51"/>
  <c r="G529" i="51" s="1"/>
  <c r="H534" i="51" s="1"/>
  <c r="E257" i="51"/>
  <c r="G257" i="51" s="1"/>
  <c r="E6893" i="51"/>
  <c r="G6893" i="51" s="1"/>
  <c r="H2378" i="51"/>
  <c r="H3818" i="51"/>
  <c r="G4528" i="51"/>
  <c r="H3388" i="51"/>
  <c r="G5402" i="51"/>
  <c r="H922" i="51"/>
  <c r="H1069" i="51"/>
  <c r="H2619" i="51"/>
  <c r="G4961" i="51"/>
  <c r="H4973" i="51" s="1"/>
  <c r="H624" i="51"/>
  <c r="H2427" i="51"/>
  <c r="G3942" i="51"/>
  <c r="H2578" i="51"/>
  <c r="H584" i="51"/>
  <c r="G5403" i="51"/>
  <c r="G5405" i="51"/>
  <c r="H3674" i="51"/>
  <c r="H3722" i="51"/>
  <c r="G5404" i="51"/>
  <c r="G1409" i="51"/>
  <c r="G457" i="51"/>
  <c r="H462" i="51" s="1"/>
  <c r="G3846" i="51"/>
  <c r="H3770" i="51"/>
  <c r="H2385" i="51"/>
  <c r="H2434" i="51"/>
  <c r="H3626" i="51"/>
  <c r="G3894" i="51"/>
  <c r="G5009" i="51"/>
  <c r="H5021" i="51" s="1"/>
  <c r="H3532" i="51"/>
  <c r="H2962" i="51"/>
  <c r="G6653" i="51"/>
  <c r="E992" i="15"/>
  <c r="F992" i="15" s="1"/>
  <c r="G992" i="15" s="1"/>
  <c r="E992" i="4"/>
  <c r="F992" i="4" s="1"/>
  <c r="G992" i="4" s="1"/>
  <c r="M182" i="16"/>
  <c r="G182" i="16"/>
  <c r="O74" i="16"/>
  <c r="G131" i="16"/>
  <c r="M129" i="16"/>
  <c r="E1183" i="18"/>
  <c r="F1183" i="18" s="1"/>
  <c r="G1183" i="18" s="1"/>
  <c r="E1183" i="4"/>
  <c r="F1183" i="4" s="1"/>
  <c r="G1183" i="4" s="1"/>
  <c r="E1351" i="18"/>
  <c r="F1351" i="18" s="1"/>
  <c r="G1351" i="18" s="1"/>
  <c r="E1351" i="22"/>
  <c r="F1351" i="22" s="1"/>
  <c r="G1351" i="22" s="1"/>
  <c r="E1351" i="4"/>
  <c r="F1351" i="4" s="1"/>
  <c r="G1351" i="4" s="1"/>
  <c r="E1349" i="22"/>
  <c r="F1349" i="22" s="1"/>
  <c r="G1349" i="22" s="1"/>
  <c r="E1349" i="18"/>
  <c r="F1349" i="18" s="1"/>
  <c r="G1349" i="18" s="1"/>
  <c r="M77" i="16"/>
  <c r="E1183" i="15"/>
  <c r="F1183" i="15" s="1"/>
  <c r="G1183" i="15" s="1"/>
  <c r="E1359" i="22"/>
  <c r="F1359" i="22" s="1"/>
  <c r="G1359" i="22" s="1"/>
  <c r="E1359" i="4"/>
  <c r="F1359" i="4" s="1"/>
  <c r="G1359" i="4" s="1"/>
  <c r="E1947" i="22"/>
  <c r="F1947" i="22" s="1"/>
  <c r="G1947" i="22" s="1"/>
  <c r="AC337" i="16"/>
  <c r="AE337" i="16" s="1"/>
  <c r="M337" i="16"/>
  <c r="O337" i="16" s="1"/>
  <c r="E1342" i="22"/>
  <c r="F1342" i="22" s="1"/>
  <c r="G1342" i="22" s="1"/>
  <c r="E1342" i="18"/>
  <c r="F1342" i="18" s="1"/>
  <c r="G1342" i="18" s="1"/>
  <c r="E2074" i="18"/>
  <c r="F2074" i="18" s="1"/>
  <c r="G2074" i="18" s="1"/>
  <c r="E2076" i="4"/>
  <c r="F2076" i="4" s="1"/>
  <c r="G2076" i="4" s="1"/>
  <c r="E2066" i="15"/>
  <c r="F2066" i="15" s="1"/>
  <c r="G2066" i="15" s="1"/>
  <c r="P1399" i="6"/>
  <c r="M1361" i="6" s="1"/>
  <c r="O1361" i="6" s="1"/>
  <c r="P1367" i="6" s="1"/>
  <c r="P1401" i="6" s="1"/>
  <c r="H3397" i="6"/>
  <c r="H972" i="8"/>
  <c r="H3450" i="6"/>
  <c r="E3412" i="6" s="1"/>
  <c r="G3412" i="6" s="1"/>
  <c r="H3418" i="6" s="1"/>
  <c r="H3605" i="5"/>
  <c r="U332" i="16"/>
  <c r="W332" i="16" s="1"/>
  <c r="H486" i="8"/>
  <c r="E448" i="8" s="1"/>
  <c r="G448" i="8" s="1"/>
  <c r="H454" i="8" s="1"/>
  <c r="H1404" i="8"/>
  <c r="E1366" i="8" s="1"/>
  <c r="G1366" i="8" s="1"/>
  <c r="H1372" i="8" s="1"/>
  <c r="H1296" i="8"/>
  <c r="E1258" i="8" s="1"/>
  <c r="G1258" i="8" s="1"/>
  <c r="H1264" i="8" s="1"/>
  <c r="H1298" i="8" s="1"/>
  <c r="G65" i="14"/>
  <c r="F69" i="14"/>
  <c r="G69" i="14" s="1"/>
  <c r="H756" i="8"/>
  <c r="E718" i="8" s="1"/>
  <c r="G718" i="8" s="1"/>
  <c r="H724" i="8" s="1"/>
  <c r="H758" i="8" s="1"/>
  <c r="H594" i="8"/>
  <c r="E556" i="8" s="1"/>
  <c r="G556" i="8" s="1"/>
  <c r="H562" i="8" s="1"/>
  <c r="H596" i="8" s="1"/>
  <c r="G2411" i="3"/>
  <c r="H2411" i="3" s="1"/>
  <c r="E2413" i="18" s="1"/>
  <c r="H3019" i="6"/>
  <c r="E2981" i="6" s="1"/>
  <c r="G2981" i="6" s="1"/>
  <c r="H2987" i="6" s="1"/>
  <c r="H1831" i="6"/>
  <c r="E1793" i="6" s="1"/>
  <c r="G1793" i="6" s="1"/>
  <c r="H1799" i="6" s="1"/>
  <c r="H1833" i="6" s="1"/>
  <c r="H1723" i="6"/>
  <c r="AV1885" i="6"/>
  <c r="AS1847" i="6" s="1"/>
  <c r="AU1847" i="6" s="1"/>
  <c r="AV1853" i="6" s="1"/>
  <c r="AV1887" i="6" s="1"/>
  <c r="H2101" i="6"/>
  <c r="E2063" i="6" s="1"/>
  <c r="G2063" i="6" s="1"/>
  <c r="H2069" i="6" s="1"/>
  <c r="H2103" i="6" s="1"/>
  <c r="E335" i="17" s="1"/>
  <c r="P2209" i="6"/>
  <c r="H2371" i="6"/>
  <c r="E2333" i="6" s="1"/>
  <c r="G2333" i="6" s="1"/>
  <c r="H2339" i="6" s="1"/>
  <c r="H2373" i="6" s="1"/>
  <c r="H2479" i="6"/>
  <c r="E2441" i="6" s="1"/>
  <c r="G2441" i="6" s="1"/>
  <c r="H2447" i="6" s="1"/>
  <c r="H2533" i="6"/>
  <c r="E2495" i="6" s="1"/>
  <c r="G2495" i="6" s="1"/>
  <c r="H2501" i="6" s="1"/>
  <c r="H2535" i="6" s="1"/>
  <c r="H2695" i="6"/>
  <c r="E2657" i="6" s="1"/>
  <c r="G2657" i="6" s="1"/>
  <c r="H2663" i="6" s="1"/>
  <c r="P2911" i="6"/>
  <c r="M2873" i="6" s="1"/>
  <c r="O2873" i="6" s="1"/>
  <c r="P2879" i="6" s="1"/>
  <c r="P2913" i="6" s="1"/>
  <c r="Q2965" i="6"/>
  <c r="M2927" i="6" s="1"/>
  <c r="H3181" i="6"/>
  <c r="E3143" i="6" s="1"/>
  <c r="G3143" i="6" s="1"/>
  <c r="H3149" i="6" s="1"/>
  <c r="H3183" i="6" s="1"/>
  <c r="H3235" i="6"/>
  <c r="E3197" i="6" s="1"/>
  <c r="G3197" i="6" s="1"/>
  <c r="H3203" i="6" s="1"/>
  <c r="P365" i="10"/>
  <c r="M327" i="10" s="1"/>
  <c r="O327" i="10" s="1"/>
  <c r="P333" i="10" s="1"/>
  <c r="H415" i="10"/>
  <c r="G378" i="10" s="1"/>
  <c r="H384" i="10" s="1"/>
  <c r="H375" i="9"/>
  <c r="H50" i="7"/>
  <c r="E12" i="7" s="1"/>
  <c r="G12" i="7" s="1"/>
  <c r="H18" i="7" s="1"/>
  <c r="H52" i="7" s="1"/>
  <c r="H104" i="7"/>
  <c r="H266" i="7"/>
  <c r="E228" i="7" s="1"/>
  <c r="G228" i="7" s="1"/>
  <c r="H234" i="7" s="1"/>
  <c r="H268" i="7" s="1"/>
  <c r="H428" i="7"/>
  <c r="H482" i="7"/>
  <c r="P535" i="6"/>
  <c r="M497" i="6" s="1"/>
  <c r="O497" i="6" s="1"/>
  <c r="P503" i="6" s="1"/>
  <c r="P810" i="8"/>
  <c r="P626" i="6"/>
  <c r="P590" i="7"/>
  <c r="P648" i="8"/>
  <c r="M610" i="8" s="1"/>
  <c r="O610" i="8" s="1"/>
  <c r="P616" i="8" s="1"/>
  <c r="P1458" i="8"/>
  <c r="H324" i="5"/>
  <c r="E286" i="5" s="1"/>
  <c r="G286" i="5" s="1"/>
  <c r="H292" i="5" s="1"/>
  <c r="H599" i="5"/>
  <c r="E560" i="5" s="1"/>
  <c r="G560" i="5" s="1"/>
  <c r="H566" i="5" s="1"/>
  <c r="H601" i="5" s="1"/>
  <c r="H983" i="5"/>
  <c r="E944" i="5" s="1"/>
  <c r="G944" i="5" s="1"/>
  <c r="H950" i="5" s="1"/>
  <c r="H1038" i="5"/>
  <c r="E999" i="5" s="1"/>
  <c r="G999" i="5" s="1"/>
  <c r="H1005" i="5" s="1"/>
  <c r="H1040" i="5" s="1"/>
  <c r="H1148" i="5"/>
  <c r="E1109" i="5" s="1"/>
  <c r="G1109" i="5" s="1"/>
  <c r="H1115" i="5" s="1"/>
  <c r="H1150" i="5" s="1"/>
  <c r="AC17" i="16" s="1"/>
  <c r="AE17" i="16" s="1"/>
  <c r="H1313" i="5"/>
  <c r="E1274" i="5" s="1"/>
  <c r="G1274" i="5" s="1"/>
  <c r="H1280" i="5" s="1"/>
  <c r="H1315" i="5" s="1"/>
  <c r="H1423" i="5"/>
  <c r="E1384" i="5" s="1"/>
  <c r="G1384" i="5" s="1"/>
  <c r="H1390" i="5" s="1"/>
  <c r="H1425" i="5" s="1"/>
  <c r="H1478" i="5"/>
  <c r="E1439" i="5" s="1"/>
  <c r="G1439" i="5" s="1"/>
  <c r="H1445" i="5" s="1"/>
  <c r="H1480" i="5" s="1"/>
  <c r="H1588" i="5"/>
  <c r="E1549" i="5" s="1"/>
  <c r="G1549" i="5" s="1"/>
  <c r="H1555" i="5" s="1"/>
  <c r="H1590" i="5" s="1"/>
  <c r="H1753" i="5"/>
  <c r="E1714" i="5" s="1"/>
  <c r="G1714" i="5" s="1"/>
  <c r="H1720" i="5" s="1"/>
  <c r="H1918" i="5"/>
  <c r="E1879" i="5" s="1"/>
  <c r="G1879" i="5" s="1"/>
  <c r="H1885" i="5" s="1"/>
  <c r="H1920" i="5" s="1"/>
  <c r="H2028" i="5"/>
  <c r="E1989" i="5" s="1"/>
  <c r="G1989" i="5" s="1"/>
  <c r="H1995" i="5" s="1"/>
  <c r="H2030" i="5" s="1"/>
  <c r="H2248" i="5"/>
  <c r="E2209" i="5" s="1"/>
  <c r="G2209" i="5" s="1"/>
  <c r="H2215" i="5" s="1"/>
  <c r="H2250" i="5" s="1"/>
  <c r="H2413" i="5"/>
  <c r="E2374" i="5" s="1"/>
  <c r="G2374" i="5" s="1"/>
  <c r="H2380" i="5" s="1"/>
  <c r="H2415" i="5" s="1"/>
  <c r="H2523" i="5"/>
  <c r="E2484" i="5" s="1"/>
  <c r="G2484" i="5" s="1"/>
  <c r="H2490" i="5" s="1"/>
  <c r="H2525" i="5" s="1"/>
  <c r="H2633" i="5"/>
  <c r="E2594" i="5" s="1"/>
  <c r="G2594" i="5" s="1"/>
  <c r="H2600" i="5" s="1"/>
  <c r="H2635" i="5" s="1"/>
  <c r="H2688" i="5"/>
  <c r="E2649" i="5" s="1"/>
  <c r="G2649" i="5" s="1"/>
  <c r="H2655" i="5" s="1"/>
  <c r="H2743" i="5"/>
  <c r="E2704" i="5" s="1"/>
  <c r="G2704" i="5" s="1"/>
  <c r="H2710" i="5" s="1"/>
  <c r="H2745" i="5" s="1"/>
  <c r="AC176" i="16" s="1"/>
  <c r="AE176" i="16" s="1"/>
  <c r="H2853" i="5"/>
  <c r="E2814" i="5" s="1"/>
  <c r="G2814" i="5" s="1"/>
  <c r="H2820" i="5" s="1"/>
  <c r="H2855" i="5" s="1"/>
  <c r="H3458" i="5"/>
  <c r="E86" i="1" s="1"/>
  <c r="F86" i="1" s="1"/>
  <c r="G86" i="1" s="1"/>
  <c r="H3513" i="5"/>
  <c r="E87" i="1" s="1"/>
  <c r="F87" i="1" s="1"/>
  <c r="G87" i="1" s="1"/>
  <c r="H95" i="10"/>
  <c r="G58" i="10" s="1"/>
  <c r="H64" i="10" s="1"/>
  <c r="H97" i="10" s="1"/>
  <c r="X1808" i="5"/>
  <c r="U1769" i="5" s="1"/>
  <c r="W1769" i="5" s="1"/>
  <c r="X1775" i="5" s="1"/>
  <c r="X1810" i="5" s="1"/>
  <c r="H648" i="8"/>
  <c r="H270" i="8"/>
  <c r="E232" i="8" s="1"/>
  <c r="G232" i="8" s="1"/>
  <c r="H238" i="8" s="1"/>
  <c r="H1669" i="6"/>
  <c r="H1021" i="6"/>
  <c r="E983" i="6" s="1"/>
  <c r="G983" i="6" s="1"/>
  <c r="H989" i="6" s="1"/>
  <c r="H589" i="6"/>
  <c r="E551" i="6" s="1"/>
  <c r="G551" i="6" s="1"/>
  <c r="H557" i="6" s="1"/>
  <c r="P1723" i="6"/>
  <c r="M1685" i="6" s="1"/>
  <c r="O1685" i="6" s="1"/>
  <c r="P1691" i="6" s="1"/>
  <c r="P1725" i="6" s="1"/>
  <c r="P1885" i="6"/>
  <c r="M1847" i="6" s="1"/>
  <c r="O1847" i="6" s="1"/>
  <c r="P1853" i="6" s="1"/>
  <c r="P1887" i="6" s="1"/>
  <c r="P267" i="9"/>
  <c r="P87" i="7"/>
  <c r="H968" i="7"/>
  <c r="E930" i="7" s="1"/>
  <c r="G930" i="7" s="1"/>
  <c r="H936" i="7" s="1"/>
  <c r="H970" i="7" s="1"/>
  <c r="X594" i="8"/>
  <c r="U556" i="8" s="1"/>
  <c r="W556" i="8" s="1"/>
  <c r="X562" i="8" s="1"/>
  <c r="H1117" i="8"/>
  <c r="P2908" i="5"/>
  <c r="M2869" i="5" s="1"/>
  <c r="O2869" i="5" s="1"/>
  <c r="P2875" i="5" s="1"/>
  <c r="H3495" i="5"/>
  <c r="H54" i="8"/>
  <c r="E16" i="8" s="1"/>
  <c r="G16" i="8" s="1"/>
  <c r="H22" i="8" s="1"/>
  <c r="H56" i="8" s="1"/>
  <c r="H1080" i="8"/>
  <c r="P2155" i="6"/>
  <c r="M2117" i="6" s="1"/>
  <c r="O2117" i="6" s="1"/>
  <c r="P2123" i="6" s="1"/>
  <c r="P265" i="6"/>
  <c r="P211" i="6"/>
  <c r="M173" i="6" s="1"/>
  <c r="O173" i="6" s="1"/>
  <c r="P179" i="6" s="1"/>
  <c r="H1615" i="6"/>
  <c r="E1577" i="6" s="1"/>
  <c r="G1577" i="6" s="1"/>
  <c r="H1583" i="6" s="1"/>
  <c r="H2911" i="6"/>
  <c r="H2047" i="6"/>
  <c r="E2009" i="6" s="1"/>
  <c r="G2009" i="6" s="1"/>
  <c r="H2015" i="6" s="1"/>
  <c r="H805" i="6"/>
  <c r="P1669" i="6"/>
  <c r="H1885" i="6"/>
  <c r="X1885" i="6"/>
  <c r="U1847" i="6" s="1"/>
  <c r="W1847" i="6" s="1"/>
  <c r="X1853" i="6" s="1"/>
  <c r="X1887" i="6" s="1"/>
  <c r="H2317" i="6"/>
  <c r="E2279" i="6" s="1"/>
  <c r="G2279" i="6" s="1"/>
  <c r="H2285" i="6" s="1"/>
  <c r="H2319" i="6" s="1"/>
  <c r="P141" i="7"/>
  <c r="H195" i="7"/>
  <c r="H374" i="7"/>
  <c r="P702" i="8"/>
  <c r="M664" i="8" s="1"/>
  <c r="O664" i="8" s="1"/>
  <c r="P670" i="8" s="1"/>
  <c r="P704" i="8" s="1"/>
  <c r="P216" i="8"/>
  <c r="H1258" i="5"/>
  <c r="E1219" i="5" s="1"/>
  <c r="G1219" i="5" s="1"/>
  <c r="H1225" i="5" s="1"/>
  <c r="H1368" i="5"/>
  <c r="E1329" i="5" s="1"/>
  <c r="G1329" i="5" s="1"/>
  <c r="H1335" i="5" s="1"/>
  <c r="H1370" i="5" s="1"/>
  <c r="H162" i="8"/>
  <c r="H697" i="6"/>
  <c r="P1507" i="6"/>
  <c r="M1469" i="6" s="1"/>
  <c r="O1469" i="6" s="1"/>
  <c r="P1475" i="6" s="1"/>
  <c r="H1777" i="6"/>
  <c r="E1739" i="6" s="1"/>
  <c r="G1739" i="6" s="1"/>
  <c r="H1745" i="6" s="1"/>
  <c r="H1779" i="6" s="1"/>
  <c r="H913" i="6"/>
  <c r="P1453" i="6"/>
  <c r="M1415" i="6" s="1"/>
  <c r="O1415" i="6" s="1"/>
  <c r="P1421" i="6" s="1"/>
  <c r="H2155" i="6"/>
  <c r="E2117" i="6" s="1"/>
  <c r="G2117" i="6" s="1"/>
  <c r="H2123" i="6" s="1"/>
  <c r="H2157" i="6" s="1"/>
  <c r="H2965" i="6"/>
  <c r="E2927" i="6" s="1"/>
  <c r="G2927" i="6" s="1"/>
  <c r="H2933" i="6" s="1"/>
  <c r="P195" i="7"/>
  <c r="G430" i="5"/>
  <c r="H434" i="5" s="1"/>
  <c r="E395" i="5" s="1"/>
  <c r="G395" i="5" s="1"/>
  <c r="H401" i="5" s="1"/>
  <c r="H544" i="5"/>
  <c r="E505" i="5" s="1"/>
  <c r="G505" i="5" s="1"/>
  <c r="H511" i="5" s="1"/>
  <c r="H546" i="5" s="1"/>
  <c r="H197" i="16"/>
  <c r="G160" i="16" s="1"/>
  <c r="H166" i="16" s="1"/>
  <c r="P2468" i="5"/>
  <c r="M2429" i="5" s="1"/>
  <c r="O2429" i="5" s="1"/>
  <c r="P2435" i="5" s="1"/>
  <c r="P2470" i="5" s="1"/>
  <c r="E61" i="14" s="1"/>
  <c r="F61" i="14" s="1"/>
  <c r="G61" i="14" s="1"/>
  <c r="P250" i="16"/>
  <c r="O210" i="16" s="1"/>
  <c r="P216" i="16" s="1"/>
  <c r="P354" i="16"/>
  <c r="O315" i="16" s="1"/>
  <c r="P321" i="16" s="1"/>
  <c r="H453" i="10"/>
  <c r="H250" i="16"/>
  <c r="G210" i="16" s="1"/>
  <c r="H216" i="16" s="1"/>
  <c r="H470" i="10"/>
  <c r="AC182" i="16"/>
  <c r="AM131" i="16"/>
  <c r="E76" i="16"/>
  <c r="E1948" i="4"/>
  <c r="F1948" i="4" s="1"/>
  <c r="G1948" i="4" s="1"/>
  <c r="E1948" i="22"/>
  <c r="F1948" i="22" s="1"/>
  <c r="G1948" i="22" s="1"/>
  <c r="H578" i="10"/>
  <c r="E540" i="10" s="1"/>
  <c r="G540" i="10" s="1"/>
  <c r="H546" i="10" s="1"/>
  <c r="H580" i="10" s="1"/>
  <c r="E590" i="21" s="1"/>
  <c r="F590" i="21" s="1"/>
  <c r="G590" i="21" s="1"/>
  <c r="H686" i="10"/>
  <c r="E648" i="10" s="1"/>
  <c r="G648" i="10" s="1"/>
  <c r="H654" i="10" s="1"/>
  <c r="H688" i="10" s="1"/>
  <c r="H740" i="10"/>
  <c r="E702" i="10" s="1"/>
  <c r="G702" i="10" s="1"/>
  <c r="H708" i="10" s="1"/>
  <c r="H742" i="10" s="1"/>
  <c r="E1949" i="22"/>
  <c r="F1949" i="22" s="1"/>
  <c r="G1949" i="22" s="1"/>
  <c r="G127" i="16"/>
  <c r="G144" i="16" s="1"/>
  <c r="H147" i="16" s="1"/>
  <c r="G108" i="16" s="1"/>
  <c r="H114" i="16" s="1"/>
  <c r="H1951" i="3"/>
  <c r="E273" i="10"/>
  <c r="G273" i="10" s="1"/>
  <c r="H279" i="10" s="1"/>
  <c r="H313" i="10" s="1"/>
  <c r="E597" i="21" s="1"/>
  <c r="F597" i="21" s="1"/>
  <c r="G597" i="21" s="1"/>
  <c r="H93" i="16"/>
  <c r="G57" i="16" s="1"/>
  <c r="H63" i="16" s="1"/>
  <c r="P486" i="8"/>
  <c r="M448" i="8" s="1"/>
  <c r="O448" i="8" s="1"/>
  <c r="P454" i="8" s="1"/>
  <c r="P488" i="8" s="1"/>
  <c r="E286" i="16"/>
  <c r="H830" i="10"/>
  <c r="W30" i="16"/>
  <c r="O79" i="16"/>
  <c r="B510" i="27"/>
  <c r="F510" i="27" s="1"/>
  <c r="F509" i="27"/>
  <c r="F233" i="27"/>
  <c r="F236" i="27" s="1"/>
  <c r="B240" i="27"/>
  <c r="B245" i="27" s="1"/>
  <c r="F245" i="27" s="1"/>
  <c r="F246" i="27" s="1"/>
  <c r="F517" i="27"/>
  <c r="B518" i="27"/>
  <c r="F518" i="27" s="1"/>
  <c r="AF197" i="16"/>
  <c r="AE160" i="16" s="1"/>
  <c r="AF166" i="16" s="1"/>
  <c r="E39" i="24"/>
  <c r="G39" i="24" s="1"/>
  <c r="G12" i="24"/>
  <c r="B514" i="27"/>
  <c r="F514" i="27" s="1"/>
  <c r="F139" i="27"/>
  <c r="E10" i="24"/>
  <c r="G10" i="24" s="1"/>
  <c r="E8" i="24"/>
  <c r="G8" i="24" s="1"/>
  <c r="AF44" i="16"/>
  <c r="AE8" i="16" s="1"/>
  <c r="AF14" i="16" s="1"/>
  <c r="E28" i="24"/>
  <c r="G28" i="24" s="1"/>
  <c r="C191" i="27"/>
  <c r="E191" i="27" s="1"/>
  <c r="E194" i="27" s="1"/>
  <c r="F512" i="27"/>
  <c r="F22" i="27"/>
  <c r="E35" i="30"/>
  <c r="S53" i="41"/>
  <c r="S65" i="41"/>
  <c r="H5550" i="51"/>
  <c r="H888" i="3"/>
  <c r="E890" i="18" s="1"/>
  <c r="F890" i="18" s="1"/>
  <c r="G890" i="18" s="1"/>
  <c r="C22" i="29"/>
  <c r="P42" i="41"/>
  <c r="F35" i="30"/>
  <c r="K36" i="29"/>
  <c r="F52" i="30"/>
  <c r="G52" i="30"/>
  <c r="D72" i="30"/>
  <c r="G87" i="30"/>
  <c r="F87" i="30"/>
  <c r="D87" i="30"/>
  <c r="E358" i="27"/>
  <c r="F23" i="27"/>
  <c r="E13" i="27"/>
  <c r="E15" i="27" s="1"/>
  <c r="D96" i="30"/>
  <c r="E96" i="30"/>
  <c r="C96" i="30"/>
  <c r="F96" i="30"/>
  <c r="Q35" i="30"/>
  <c r="N52" i="30"/>
  <c r="T72" i="30"/>
  <c r="R96" i="30"/>
  <c r="G35" i="30"/>
  <c r="E102" i="30"/>
  <c r="D102" i="30"/>
  <c r="J9" i="41"/>
  <c r="Q31" i="41" s="1"/>
  <c r="K11" i="41"/>
  <c r="K10" i="41"/>
  <c r="Q35" i="41" s="1"/>
  <c r="M29" i="41"/>
  <c r="M30" i="41"/>
  <c r="P40" i="41" s="1"/>
  <c r="I123" i="41"/>
  <c r="I92" i="41"/>
  <c r="J92" i="41"/>
  <c r="R30" i="41" s="1"/>
  <c r="K127" i="41"/>
  <c r="K123" i="41"/>
  <c r="J95" i="41"/>
  <c r="M31" i="41"/>
  <c r="J30" i="41"/>
  <c r="P31" i="41" s="1"/>
  <c r="P47" i="41" s="1"/>
  <c r="L52" i="30"/>
  <c r="P52" i="30"/>
  <c r="T52" i="30"/>
  <c r="U52" i="30"/>
  <c r="S52" i="30"/>
  <c r="N72" i="30"/>
  <c r="R72" i="30"/>
  <c r="N87" i="30"/>
  <c r="R87" i="30"/>
  <c r="M87" i="30"/>
  <c r="L96" i="30"/>
  <c r="P96" i="30"/>
  <c r="T96" i="30"/>
  <c r="R102" i="30"/>
  <c r="S102" i="30"/>
  <c r="G905" i="27"/>
  <c r="D456" i="27"/>
  <c r="D498" i="27" s="1"/>
  <c r="L11" i="41"/>
  <c r="K9" i="41"/>
  <c r="Q34" i="41" s="1"/>
  <c r="Q74" i="41" s="1"/>
  <c r="K8" i="41"/>
  <c r="Q33" i="41" s="1"/>
  <c r="Q73" i="41" s="1"/>
  <c r="K30" i="41"/>
  <c r="P34" i="41" s="1"/>
  <c r="L30" i="41"/>
  <c r="P38" i="41" s="1"/>
  <c r="I30" i="41"/>
  <c r="P28" i="41" s="1"/>
  <c r="P56" i="41" s="1"/>
  <c r="J127" i="41"/>
  <c r="J93" i="41"/>
  <c r="R31" i="41" s="1"/>
  <c r="R59" i="41" s="1"/>
  <c r="K124" i="41"/>
  <c r="S33" i="41" s="1"/>
  <c r="S48" i="41" s="1"/>
  <c r="I125" i="41"/>
  <c r="S28" i="41" s="1"/>
  <c r="M94" i="41"/>
  <c r="M93" i="41"/>
  <c r="R40" i="41" s="1"/>
  <c r="K93" i="41"/>
  <c r="R34" i="41" s="1"/>
  <c r="R49" i="41" s="1"/>
  <c r="L92" i="41"/>
  <c r="R37" i="41" s="1"/>
  <c r="R51" i="41" s="1"/>
  <c r="I93" i="41"/>
  <c r="R28" i="41" s="1"/>
  <c r="R56" i="41" s="1"/>
  <c r="L91" i="41"/>
  <c r="K91" i="41"/>
  <c r="J91" i="41"/>
  <c r="L94" i="41"/>
  <c r="L93" i="41"/>
  <c r="R38" i="41" s="1"/>
  <c r="M92" i="41"/>
  <c r="R39" i="41" s="1"/>
  <c r="R53" i="41" s="1"/>
  <c r="K92" i="41"/>
  <c r="R33" i="41" s="1"/>
  <c r="R48" i="41" s="1"/>
  <c r="M95" i="41"/>
  <c r="R41" i="41" s="1"/>
  <c r="L95" i="41"/>
  <c r="Q31" i="52"/>
  <c r="J31" i="41"/>
  <c r="I31" i="41"/>
  <c r="M32" i="41"/>
  <c r="P41" i="41" s="1"/>
  <c r="I29" i="41"/>
  <c r="P27" i="41" s="1"/>
  <c r="P55" i="41" s="1"/>
  <c r="K32" i="41"/>
  <c r="J32" i="41"/>
  <c r="L29" i="41"/>
  <c r="P37" i="41" s="1"/>
  <c r="P51" i="41" s="1"/>
  <c r="J29" i="41"/>
  <c r="P30" i="41" s="1"/>
  <c r="P58" i="41" s="1"/>
  <c r="L31" i="41"/>
  <c r="I32" i="41"/>
  <c r="L32" i="41"/>
  <c r="K126" i="41"/>
  <c r="S35" i="41" s="1"/>
  <c r="I126" i="41"/>
  <c r="L123" i="41"/>
  <c r="I124" i="41"/>
  <c r="S27" i="41" s="1"/>
  <c r="L125" i="41"/>
  <c r="S38" i="41" s="1"/>
  <c r="K125" i="41"/>
  <c r="S34" i="41" s="1"/>
  <c r="J126" i="41"/>
  <c r="L124" i="41"/>
  <c r="S37" i="41" s="1"/>
  <c r="S51" i="41" s="1"/>
  <c r="M127" i="41"/>
  <c r="S41" i="41" s="1"/>
  <c r="J123" i="41"/>
  <c r="T73" i="41"/>
  <c r="T131" i="41"/>
  <c r="U131" i="41" s="1"/>
  <c r="D4069" i="51"/>
  <c r="D3973" i="51"/>
  <c r="D4453" i="51"/>
  <c r="D4550" i="51"/>
  <c r="D5129" i="51"/>
  <c r="D6136" i="51"/>
  <c r="D4935" i="51"/>
  <c r="G2268" i="3"/>
  <c r="H2268" i="3" s="1"/>
  <c r="D412" i="27"/>
  <c r="I8" i="41"/>
  <c r="Q27" i="41" s="1"/>
  <c r="Q67" i="41" s="1"/>
  <c r="U67" i="41" s="1"/>
  <c r="M9" i="41"/>
  <c r="Q40" i="41" s="1"/>
  <c r="R42" i="41"/>
  <c r="L28" i="41"/>
  <c r="J125" i="41"/>
  <c r="S31" i="41" s="1"/>
  <c r="S47" i="41" s="1"/>
  <c r="M91" i="41"/>
  <c r="L127" i="41"/>
  <c r="I95" i="41"/>
  <c r="K95" i="41"/>
  <c r="K31" i="41"/>
  <c r="P35" i="41" s="1"/>
  <c r="P62" i="41" s="1"/>
  <c r="K94" i="41"/>
  <c r="R35" i="41" s="1"/>
  <c r="R62" i="41" s="1"/>
  <c r="H2571" i="51"/>
  <c r="H2811" i="51"/>
  <c r="H2955" i="51"/>
  <c r="H3004" i="51"/>
  <c r="H3155" i="51"/>
  <c r="H3347" i="51"/>
  <c r="H3395" i="51"/>
  <c r="H971" i="51"/>
  <c r="H3203" i="51"/>
  <c r="H3580" i="51"/>
  <c r="C177" i="41"/>
  <c r="G4624" i="51"/>
  <c r="H4636" i="51" s="1"/>
  <c r="D21" i="34"/>
  <c r="H2818" i="51"/>
  <c r="H3011" i="51"/>
  <c r="H6520" i="51"/>
  <c r="G6500" i="51"/>
  <c r="H6512" i="51" s="1"/>
  <c r="G6690" i="51"/>
  <c r="H6761" i="51"/>
  <c r="G5443" i="51"/>
  <c r="H1129" i="3"/>
  <c r="H1107" i="3"/>
  <c r="H1275" i="3"/>
  <c r="H913" i="3"/>
  <c r="H893" i="3"/>
  <c r="C12" i="28"/>
  <c r="E1739" i="51" s="1"/>
  <c r="G1739" i="51" s="1"/>
  <c r="H1750" i="51" s="1"/>
  <c r="H1955" i="3"/>
  <c r="G4912" i="51"/>
  <c r="H4924" i="51" s="1"/>
  <c r="I404" i="27"/>
  <c r="E5442" i="51"/>
  <c r="G5442" i="51" s="1"/>
  <c r="H1925" i="3"/>
  <c r="C210" i="28" s="1"/>
  <c r="H2353" i="3"/>
  <c r="C47" i="28" s="1"/>
  <c r="E5205" i="51"/>
  <c r="G5205" i="51" s="1"/>
  <c r="H1130" i="3"/>
  <c r="H1105" i="3"/>
  <c r="H1286" i="3"/>
  <c r="H922" i="3"/>
  <c r="H895" i="3"/>
  <c r="C71" i="28"/>
  <c r="C16" i="28"/>
  <c r="E1596" i="51" s="1"/>
  <c r="G1596" i="51" s="1"/>
  <c r="H1957" i="3"/>
  <c r="G120" i="18"/>
  <c r="G67" i="15"/>
  <c r="AC231" i="16"/>
  <c r="AE231" i="16" s="1"/>
  <c r="M231" i="16"/>
  <c r="G231" i="16"/>
  <c r="F1000" i="22"/>
  <c r="G1000" i="22" s="1"/>
  <c r="M29" i="16"/>
  <c r="E78" i="16"/>
  <c r="E992" i="22"/>
  <c r="F992" i="22" s="1"/>
  <c r="G992" i="22" s="1"/>
  <c r="E1355" i="18"/>
  <c r="F1355" i="18" s="1"/>
  <c r="G1355" i="18" s="1"/>
  <c r="E984" i="18"/>
  <c r="F984" i="18" s="1"/>
  <c r="G984" i="18" s="1"/>
  <c r="E2067" i="22"/>
  <c r="F2067" i="22" s="1"/>
  <c r="G2067" i="22" s="1"/>
  <c r="E1385" i="4"/>
  <c r="F1385" i="4" s="1"/>
  <c r="G1385" i="4" s="1"/>
  <c r="O280" i="16"/>
  <c r="E1346" i="18"/>
  <c r="F1346" i="18" s="1"/>
  <c r="G1346" i="18" s="1"/>
  <c r="E120" i="4"/>
  <c r="F120" i="4" s="1"/>
  <c r="G120" i="4" s="1"/>
  <c r="O129" i="16"/>
  <c r="E992" i="18"/>
  <c r="F992" i="18" s="1"/>
  <c r="G992" i="18" s="1"/>
  <c r="E1355" i="15"/>
  <c r="F1355" i="15" s="1"/>
  <c r="G1355" i="15" s="1"/>
  <c r="E984" i="4"/>
  <c r="F984" i="4" s="1"/>
  <c r="G984" i="4" s="1"/>
  <c r="E2064" i="18"/>
  <c r="F2064" i="18" s="1"/>
  <c r="G2064" i="18" s="1"/>
  <c r="E1972" i="22"/>
  <c r="F1972" i="22" s="1"/>
  <c r="G1972" i="22" s="1"/>
  <c r="E1385" i="22"/>
  <c r="F1385" i="22" s="1"/>
  <c r="G1385" i="22" s="1"/>
  <c r="E1947" i="18"/>
  <c r="F1947" i="18" s="1"/>
  <c r="G1947" i="18" s="1"/>
  <c r="U337" i="16"/>
  <c r="W337" i="16" s="1"/>
  <c r="E1346" i="15"/>
  <c r="F1346" i="15" s="1"/>
  <c r="G1346" i="15" s="1"/>
  <c r="E120" i="22"/>
  <c r="F120" i="22" s="1"/>
  <c r="U233" i="16"/>
  <c r="W233" i="16" s="1"/>
  <c r="E1947" i="15"/>
  <c r="F1947" i="15" s="1"/>
  <c r="G1947" i="15" s="1"/>
  <c r="E124" i="8"/>
  <c r="G124" i="8" s="1"/>
  <c r="H130" i="8" s="1"/>
  <c r="H164" i="8" s="1"/>
  <c r="E772" i="8"/>
  <c r="G772" i="8" s="1"/>
  <c r="H778" i="8" s="1"/>
  <c r="H702" i="8"/>
  <c r="H1026" i="8"/>
  <c r="E292" i="1"/>
  <c r="F292" i="1" s="1"/>
  <c r="G292" i="1" s="1"/>
  <c r="E292" i="17"/>
  <c r="F292" i="17" s="1"/>
  <c r="G292" i="17" s="1"/>
  <c r="H1566" i="8"/>
  <c r="H324" i="8"/>
  <c r="H216" i="8"/>
  <c r="H1188" i="8"/>
  <c r="E3359" i="6"/>
  <c r="G3359" i="6" s="1"/>
  <c r="H3365" i="6" s="1"/>
  <c r="E291" i="17"/>
  <c r="F291" i="17" s="1"/>
  <c r="G291" i="17" s="1"/>
  <c r="E291" i="1"/>
  <c r="F291" i="1" s="1"/>
  <c r="G291" i="1" s="1"/>
  <c r="E291" i="19"/>
  <c r="F291" i="19" s="1"/>
  <c r="G291" i="19" s="1"/>
  <c r="E291" i="21"/>
  <c r="F291" i="21" s="1"/>
  <c r="G291" i="21" s="1"/>
  <c r="E291" i="14"/>
  <c r="F291" i="14" s="1"/>
  <c r="G291" i="14" s="1"/>
  <c r="E610" i="8"/>
  <c r="G610" i="8" s="1"/>
  <c r="H616" i="8" s="1"/>
  <c r="H650" i="8" s="1"/>
  <c r="E934" i="8"/>
  <c r="G934" i="8" s="1"/>
  <c r="H940" i="8" s="1"/>
  <c r="H974" i="8" s="1"/>
  <c r="H864" i="8"/>
  <c r="H1620" i="8"/>
  <c r="H108" i="8"/>
  <c r="H918" i="8"/>
  <c r="E1420" i="8"/>
  <c r="G1420" i="8" s="1"/>
  <c r="H1426" i="8" s="1"/>
  <c r="E1042" i="8"/>
  <c r="G1042" i="8" s="1"/>
  <c r="H1048" i="8" s="1"/>
  <c r="H432" i="8"/>
  <c r="E335" i="1"/>
  <c r="F335" i="1" s="1"/>
  <c r="G335" i="1" s="1"/>
  <c r="E335" i="19"/>
  <c r="F335" i="19" s="1"/>
  <c r="G335" i="19" s="1"/>
  <c r="E332" i="17"/>
  <c r="F332" i="17" s="1"/>
  <c r="G332" i="17" s="1"/>
  <c r="E354" i="21"/>
  <c r="F354" i="21" s="1"/>
  <c r="G354" i="21" s="1"/>
  <c r="E354" i="14"/>
  <c r="F354" i="14" s="1"/>
  <c r="G354" i="14" s="1"/>
  <c r="E354" i="19"/>
  <c r="F354" i="19" s="1"/>
  <c r="G354" i="19" s="1"/>
  <c r="E354" i="1"/>
  <c r="F354" i="1" s="1"/>
  <c r="G354" i="1" s="1"/>
  <c r="E354" i="17"/>
  <c r="F354" i="17" s="1"/>
  <c r="G354" i="17" s="1"/>
  <c r="H2409" i="3"/>
  <c r="E3305" i="6"/>
  <c r="G3305" i="6" s="1"/>
  <c r="H3311" i="6" s="1"/>
  <c r="H3345" i="6" s="1"/>
  <c r="E1091" i="6"/>
  <c r="G1091" i="6" s="1"/>
  <c r="H1097" i="6" s="1"/>
  <c r="H157" i="6"/>
  <c r="H319" i="6"/>
  <c r="H1075" i="6"/>
  <c r="X1399" i="6"/>
  <c r="X1669" i="6"/>
  <c r="H2209" i="6"/>
  <c r="H2425" i="6"/>
  <c r="H2641" i="6"/>
  <c r="E450" i="21"/>
  <c r="F450" i="21" s="1"/>
  <c r="G450" i="21" s="1"/>
  <c r="E453" i="19"/>
  <c r="F453" i="19" s="1"/>
  <c r="G453" i="19" s="1"/>
  <c r="E454" i="17"/>
  <c r="F454" i="17" s="1"/>
  <c r="G454" i="17" s="1"/>
  <c r="E453" i="21"/>
  <c r="F453" i="21" s="1"/>
  <c r="G453" i="21" s="1"/>
  <c r="E450" i="19"/>
  <c r="F450" i="19" s="1"/>
  <c r="G450" i="19" s="1"/>
  <c r="E453" i="14"/>
  <c r="F453" i="14" s="1"/>
  <c r="G453" i="14" s="1"/>
  <c r="P373" i="6"/>
  <c r="E929" i="6"/>
  <c r="G929" i="6" s="1"/>
  <c r="H935" i="6" s="1"/>
  <c r="E1685" i="6"/>
  <c r="G1685" i="6" s="1"/>
  <c r="H1691" i="6" s="1"/>
  <c r="AV1831" i="6"/>
  <c r="AV1777" i="6"/>
  <c r="H751" i="6"/>
  <c r="P1777" i="6"/>
  <c r="AN1777" i="6"/>
  <c r="P1831" i="6"/>
  <c r="AN1831" i="6"/>
  <c r="AF1885" i="6"/>
  <c r="H1939" i="6"/>
  <c r="M2171" i="6"/>
  <c r="O2171" i="6" s="1"/>
  <c r="P2177" i="6" s="1"/>
  <c r="P2211" i="6" s="1"/>
  <c r="H2803" i="6"/>
  <c r="N2927" i="6"/>
  <c r="P2927" i="6" s="1"/>
  <c r="Q2933" i="6" s="1"/>
  <c r="Q2967" i="6" s="1"/>
  <c r="M338" i="10"/>
  <c r="O338" i="10" s="1"/>
  <c r="E1377" i="8"/>
  <c r="G1377" i="8" s="1"/>
  <c r="H1387" i="8" s="1"/>
  <c r="M281" i="6"/>
  <c r="O281" i="6" s="1"/>
  <c r="P287" i="6" s="1"/>
  <c r="E1523" i="6"/>
  <c r="G1523" i="6" s="1"/>
  <c r="H1529" i="6" s="1"/>
  <c r="H1237" i="6"/>
  <c r="E1631" i="6"/>
  <c r="G1631" i="6" s="1"/>
  <c r="H1637" i="6" s="1"/>
  <c r="H1671" i="6" s="1"/>
  <c r="P427" i="6"/>
  <c r="AF1831" i="6"/>
  <c r="AF1777" i="6"/>
  <c r="H1453" i="6"/>
  <c r="H1507" i="6"/>
  <c r="H49" i="6"/>
  <c r="H373" i="6"/>
  <c r="H427" i="6"/>
  <c r="H535" i="6"/>
  <c r="H643" i="6"/>
  <c r="H1291" i="6"/>
  <c r="H1345" i="6"/>
  <c r="H1399" i="6"/>
  <c r="X1777" i="6"/>
  <c r="U1793" i="6"/>
  <c r="W1793" i="6" s="1"/>
  <c r="X1799" i="6" s="1"/>
  <c r="X1833" i="6" s="1"/>
  <c r="P2101" i="6"/>
  <c r="H3073" i="6"/>
  <c r="H3127" i="6"/>
  <c r="H859" i="6"/>
  <c r="H1183" i="6"/>
  <c r="H211" i="6"/>
  <c r="H265" i="6"/>
  <c r="X1453" i="6"/>
  <c r="X1507" i="6"/>
  <c r="M1523" i="6"/>
  <c r="O1523" i="6" s="1"/>
  <c r="P1529" i="6" s="1"/>
  <c r="P1615" i="6"/>
  <c r="M1631" i="6"/>
  <c r="O1631" i="6" s="1"/>
  <c r="P1637" i="6" s="1"/>
  <c r="P1671" i="6" s="1"/>
  <c r="X1723" i="6"/>
  <c r="H2263" i="6"/>
  <c r="H3289" i="6"/>
  <c r="H203" i="10"/>
  <c r="P158" i="7"/>
  <c r="P212" i="7"/>
  <c r="H320" i="7"/>
  <c r="H860" i="7"/>
  <c r="E984" i="7"/>
  <c r="G984" i="7" s="1"/>
  <c r="H990" i="7" s="1"/>
  <c r="H1024" i="7" s="1"/>
  <c r="H1076" i="7"/>
  <c r="H1238" i="7"/>
  <c r="P481" i="6"/>
  <c r="P968" i="7"/>
  <c r="P594" i="8"/>
  <c r="AF594" i="8"/>
  <c r="H108" i="5"/>
  <c r="E70" i="5" s="1"/>
  <c r="G70" i="5" s="1"/>
  <c r="H76" i="5" s="1"/>
  <c r="H110" i="5" s="1"/>
  <c r="H162" i="5"/>
  <c r="E124" i="5" s="1"/>
  <c r="G124" i="5" s="1"/>
  <c r="H130" i="5" s="1"/>
  <c r="H164" i="5" s="1"/>
  <c r="G702" i="5"/>
  <c r="H708" i="5" s="1"/>
  <c r="H765" i="5"/>
  <c r="H928" i="5"/>
  <c r="E889" i="5" s="1"/>
  <c r="G889" i="5" s="1"/>
  <c r="H895" i="5" s="1"/>
  <c r="H930" i="5" s="1"/>
  <c r="H1698" i="5"/>
  <c r="E1659" i="5" s="1"/>
  <c r="G1659" i="5" s="1"/>
  <c r="H1665" i="5" s="1"/>
  <c r="H1700" i="5" s="1"/>
  <c r="H2083" i="5"/>
  <c r="E2044" i="5" s="1"/>
  <c r="G2044" i="5" s="1"/>
  <c r="H2050" i="5" s="1"/>
  <c r="H2085" i="5" s="1"/>
  <c r="H2138" i="5"/>
  <c r="E2099" i="5" s="1"/>
  <c r="G2099" i="5" s="1"/>
  <c r="H2105" i="5" s="1"/>
  <c r="H2140" i="5" s="1"/>
  <c r="P2798" i="5"/>
  <c r="M2759" i="5" s="1"/>
  <c r="O2759" i="5" s="1"/>
  <c r="P2765" i="5" s="1"/>
  <c r="P2800" i="5" s="1"/>
  <c r="H2910" i="5"/>
  <c r="H2963" i="5"/>
  <c r="E2924" i="5" s="1"/>
  <c r="G2924" i="5" s="1"/>
  <c r="H2930" i="5" s="1"/>
  <c r="H2965" i="5" s="1"/>
  <c r="H3018" i="5"/>
  <c r="E2979" i="5" s="1"/>
  <c r="G2979" i="5" s="1"/>
  <c r="H2985" i="5" s="1"/>
  <c r="H3020" i="5" s="1"/>
  <c r="H3073" i="5"/>
  <c r="E3034" i="5" s="1"/>
  <c r="G3034" i="5" s="1"/>
  <c r="H3040" i="5" s="1"/>
  <c r="H3075" i="5" s="1"/>
  <c r="H3128" i="5"/>
  <c r="E3089" i="5" s="1"/>
  <c r="G3089" i="5" s="1"/>
  <c r="H3095" i="5" s="1"/>
  <c r="H3130" i="5" s="1"/>
  <c r="H3348" i="5"/>
  <c r="H3788" i="5"/>
  <c r="P1296" i="8"/>
  <c r="H45" i="10"/>
  <c r="G8" i="10" s="1"/>
  <c r="H14" i="10" s="1"/>
  <c r="H47" i="10" s="1"/>
  <c r="E560" i="14"/>
  <c r="F560" i="14" s="1"/>
  <c r="G560" i="14" s="1"/>
  <c r="E714" i="7"/>
  <c r="G714" i="7" s="1"/>
  <c r="H720" i="7" s="1"/>
  <c r="H754" i="7" s="1"/>
  <c r="M772" i="8"/>
  <c r="O772" i="8" s="1"/>
  <c r="P778" i="8" s="1"/>
  <c r="P812" i="8" s="1"/>
  <c r="M552" i="7"/>
  <c r="O552" i="7" s="1"/>
  <c r="P558" i="7" s="1"/>
  <c r="P592" i="7" s="1"/>
  <c r="M1420" i="8"/>
  <c r="O1420" i="8" s="1"/>
  <c r="P1426" i="8" s="1"/>
  <c r="AC219" i="16"/>
  <c r="AE219" i="16" s="1"/>
  <c r="E31" i="17"/>
  <c r="F31" i="17" s="1"/>
  <c r="E169" i="16"/>
  <c r="G169" i="16" s="1"/>
  <c r="M169" i="16"/>
  <c r="O169" i="16" s="1"/>
  <c r="E31" i="14"/>
  <c r="F31" i="14" s="1"/>
  <c r="E31" i="21"/>
  <c r="F31" i="21" s="1"/>
  <c r="E376" i="16"/>
  <c r="G376" i="16" s="1"/>
  <c r="M17" i="16"/>
  <c r="O17" i="16" s="1"/>
  <c r="M117" i="16"/>
  <c r="O117" i="16" s="1"/>
  <c r="E48" i="17"/>
  <c r="F48" i="17" s="1"/>
  <c r="G48" i="17" s="1"/>
  <c r="E48" i="19"/>
  <c r="F48" i="19" s="1"/>
  <c r="G48" i="19" s="1"/>
  <c r="E48" i="21"/>
  <c r="F48" i="21" s="1"/>
  <c r="G48" i="21" s="1"/>
  <c r="E48" i="1"/>
  <c r="F48" i="1" s="1"/>
  <c r="G48" i="1" s="1"/>
  <c r="E71" i="1"/>
  <c r="F71" i="1" s="1"/>
  <c r="AK124" i="16"/>
  <c r="AM124" i="16" s="1"/>
  <c r="AC24" i="16"/>
  <c r="AE24" i="16" s="1"/>
  <c r="E383" i="16"/>
  <c r="G383" i="16" s="1"/>
  <c r="M279" i="16"/>
  <c r="O279" i="16" s="1"/>
  <c r="E226" i="16"/>
  <c r="G226" i="16" s="1"/>
  <c r="AC331" i="16"/>
  <c r="AE331" i="16" s="1"/>
  <c r="E124" i="16"/>
  <c r="G124" i="16" s="1"/>
  <c r="U124" i="16"/>
  <c r="W124" i="16" s="1"/>
  <c r="AC279" i="16"/>
  <c r="AE279" i="16" s="1"/>
  <c r="E71" i="21"/>
  <c r="F71" i="21" s="1"/>
  <c r="E71" i="17"/>
  <c r="F71" i="17" s="1"/>
  <c r="M331" i="16"/>
  <c r="O331" i="16" s="1"/>
  <c r="E279" i="16"/>
  <c r="G279" i="16" s="1"/>
  <c r="E176" i="16"/>
  <c r="G176" i="16" s="1"/>
  <c r="AC124" i="16"/>
  <c r="AE124" i="16" s="1"/>
  <c r="M124" i="16"/>
  <c r="O124" i="16" s="1"/>
  <c r="E86" i="17"/>
  <c r="F86" i="17" s="1"/>
  <c r="G86" i="17" s="1"/>
  <c r="E86" i="19"/>
  <c r="F86" i="19" s="1"/>
  <c r="G86" i="19" s="1"/>
  <c r="E3419" i="5"/>
  <c r="G3419" i="5" s="1"/>
  <c r="H3425" i="5" s="1"/>
  <c r="H3460" i="5" s="1"/>
  <c r="E86" i="21"/>
  <c r="F86" i="21" s="1"/>
  <c r="G86" i="21" s="1"/>
  <c r="E86" i="14"/>
  <c r="F86" i="14" s="1"/>
  <c r="G86" i="14" s="1"/>
  <c r="E3474" i="5"/>
  <c r="G3474" i="5" s="1"/>
  <c r="H3480" i="5" s="1"/>
  <c r="E46" i="1"/>
  <c r="F46" i="1" s="1"/>
  <c r="G46" i="1" s="1"/>
  <c r="E46" i="14"/>
  <c r="F46" i="14" s="1"/>
  <c r="G46" i="14" s="1"/>
  <c r="P50" i="7"/>
  <c r="P104" i="7"/>
  <c r="H158" i="7"/>
  <c r="P320" i="7"/>
  <c r="P428" i="7"/>
  <c r="X428" i="7"/>
  <c r="P482" i="7"/>
  <c r="H536" i="7"/>
  <c r="H914" i="7"/>
  <c r="E1146" i="7"/>
  <c r="G1146" i="7" s="1"/>
  <c r="H1152" i="7" s="1"/>
  <c r="H1186" i="7" s="1"/>
  <c r="H1292" i="7"/>
  <c r="H378" i="8"/>
  <c r="P864" i="8"/>
  <c r="H489" i="5"/>
  <c r="E450" i="5" s="1"/>
  <c r="G450" i="5" s="1"/>
  <c r="H456" i="5" s="1"/>
  <c r="H491" i="5" s="1"/>
  <c r="H653" i="5"/>
  <c r="E615" i="5" s="1"/>
  <c r="G615" i="5" s="1"/>
  <c r="H621" i="5" s="1"/>
  <c r="H855" i="5"/>
  <c r="H873" i="5"/>
  <c r="E834" i="5" s="1"/>
  <c r="G834" i="5" s="1"/>
  <c r="H840" i="5" s="1"/>
  <c r="H1203" i="5"/>
  <c r="E1164" i="5" s="1"/>
  <c r="G1164" i="5" s="1"/>
  <c r="H1170" i="5" s="1"/>
  <c r="H1205" i="5" s="1"/>
  <c r="H2303" i="5"/>
  <c r="E2264" i="5" s="1"/>
  <c r="G2264" i="5" s="1"/>
  <c r="H2270" i="5" s="1"/>
  <c r="H2305" i="5" s="1"/>
  <c r="H2468" i="5"/>
  <c r="E2429" i="5" s="1"/>
  <c r="G2429" i="5" s="1"/>
  <c r="H2435" i="5" s="1"/>
  <c r="H2470" i="5" s="1"/>
  <c r="P2853" i="5"/>
  <c r="M2814" i="5" s="1"/>
  <c r="O2814" i="5" s="1"/>
  <c r="P2820" i="5" s="1"/>
  <c r="P2855" i="5" s="1"/>
  <c r="P2910" i="5"/>
  <c r="H3238" i="5"/>
  <c r="H3275" i="5"/>
  <c r="H3733" i="5"/>
  <c r="P3235" i="6"/>
  <c r="P3450" i="6"/>
  <c r="P1808" i="5"/>
  <c r="M1769" i="5" s="1"/>
  <c r="O1769" i="5" s="1"/>
  <c r="P1775" i="5" s="1"/>
  <c r="P1810" i="5" s="1"/>
  <c r="E595" i="17" s="1"/>
  <c r="F595" i="17" s="1"/>
  <c r="G595" i="17" s="1"/>
  <c r="E553" i="1"/>
  <c r="F553" i="1" s="1"/>
  <c r="G553" i="1" s="1"/>
  <c r="P535" i="9"/>
  <c r="M497" i="9" s="1"/>
  <c r="O497" i="9" s="1"/>
  <c r="P503" i="9" s="1"/>
  <c r="H212" i="7"/>
  <c r="P266" i="7"/>
  <c r="H698" i="7"/>
  <c r="H806" i="7"/>
  <c r="H1130" i="7"/>
  <c r="P589" i="6"/>
  <c r="H590" i="7"/>
  <c r="X590" i="7"/>
  <c r="M178" i="8"/>
  <c r="O178" i="8" s="1"/>
  <c r="P184" i="8" s="1"/>
  <c r="P218" i="8" s="1"/>
  <c r="X216" i="8"/>
  <c r="P324" i="8"/>
  <c r="P378" i="8"/>
  <c r="H1134" i="8"/>
  <c r="H54" i="5"/>
  <c r="E16" i="5" s="1"/>
  <c r="G16" i="5" s="1"/>
  <c r="H22" i="5" s="1"/>
  <c r="H56" i="5" s="1"/>
  <c r="H216" i="5"/>
  <c r="E178" i="5" s="1"/>
  <c r="G178" i="5" s="1"/>
  <c r="H184" i="5" s="1"/>
  <c r="H218" i="5" s="1"/>
  <c r="H270" i="5"/>
  <c r="E232" i="5" s="1"/>
  <c r="G232" i="5" s="1"/>
  <c r="H238" i="5" s="1"/>
  <c r="H272" i="5" s="1"/>
  <c r="H379" i="5"/>
  <c r="E340" i="5" s="1"/>
  <c r="G340" i="5" s="1"/>
  <c r="H346" i="5" s="1"/>
  <c r="H1260" i="5"/>
  <c r="H1643" i="5"/>
  <c r="E1604" i="5" s="1"/>
  <c r="G1604" i="5" s="1"/>
  <c r="H1610" i="5" s="1"/>
  <c r="H1645" i="5" s="1"/>
  <c r="H1808" i="5"/>
  <c r="E1769" i="5" s="1"/>
  <c r="G1769" i="5" s="1"/>
  <c r="H1775" i="5" s="1"/>
  <c r="H1810" i="5" s="1"/>
  <c r="H1863" i="5"/>
  <c r="E1824" i="5" s="1"/>
  <c r="G1824" i="5" s="1"/>
  <c r="H1830" i="5" s="1"/>
  <c r="H1865" i="5" s="1"/>
  <c r="H1973" i="5"/>
  <c r="E1934" i="5" s="1"/>
  <c r="G1934" i="5" s="1"/>
  <c r="H1940" i="5" s="1"/>
  <c r="H1975" i="5" s="1"/>
  <c r="H2193" i="5"/>
  <c r="E2154" i="5" s="1"/>
  <c r="G2154" i="5" s="1"/>
  <c r="H2160" i="5" s="1"/>
  <c r="H2195" i="5" s="1"/>
  <c r="H2578" i="5"/>
  <c r="E2539" i="5" s="1"/>
  <c r="G2539" i="5" s="1"/>
  <c r="H2545" i="5" s="1"/>
  <c r="P2688" i="5"/>
  <c r="M2649" i="5" s="1"/>
  <c r="O2649" i="5" s="1"/>
  <c r="P2655" i="5" s="1"/>
  <c r="P2690" i="5" s="1"/>
  <c r="H2798" i="5"/>
  <c r="E2759" i="5" s="1"/>
  <c r="G2759" i="5" s="1"/>
  <c r="H2765" i="5" s="1"/>
  <c r="H2800" i="5" s="1"/>
  <c r="H3183" i="5"/>
  <c r="E3144" i="5" s="1"/>
  <c r="G3144" i="5" s="1"/>
  <c r="H3150" i="5" s="1"/>
  <c r="H3185" i="5" s="1"/>
  <c r="H3293" i="5"/>
  <c r="H3403" i="5"/>
  <c r="H3568" i="5"/>
  <c r="H3623" i="5"/>
  <c r="H3678" i="5"/>
  <c r="P257" i="10"/>
  <c r="P44" i="16"/>
  <c r="O8" i="16" s="1"/>
  <c r="P14" i="16" s="1"/>
  <c r="X197" i="16"/>
  <c r="W160" i="16" s="1"/>
  <c r="X166" i="16" s="1"/>
  <c r="X250" i="16"/>
  <c r="W210" i="16" s="1"/>
  <c r="X216" i="16" s="1"/>
  <c r="X354" i="16"/>
  <c r="W315" i="16" s="1"/>
  <c r="X321" i="16" s="1"/>
  <c r="E2422" i="22"/>
  <c r="F2422" i="22" s="1"/>
  <c r="G2422" i="22" s="1"/>
  <c r="E2421" i="4"/>
  <c r="F2421" i="4" s="1"/>
  <c r="G2421" i="4" s="1"/>
  <c r="E2419" i="18"/>
  <c r="F2419" i="18" s="1"/>
  <c r="G2419" i="18" s="1"/>
  <c r="P453" i="10"/>
  <c r="P2413" i="5"/>
  <c r="M2374" i="5" s="1"/>
  <c r="O2374" i="5" s="1"/>
  <c r="P2380" i="5" s="1"/>
  <c r="P2415" i="5" s="1"/>
  <c r="H468" i="16"/>
  <c r="G411" i="16" s="1"/>
  <c r="H413" i="16" s="1"/>
  <c r="E432" i="10"/>
  <c r="G432" i="10" s="1"/>
  <c r="H438" i="10" s="1"/>
  <c r="E58" i="1"/>
  <c r="F58" i="1" s="1"/>
  <c r="G58" i="1" s="1"/>
  <c r="E58" i="21"/>
  <c r="F58" i="21" s="1"/>
  <c r="G58" i="21" s="1"/>
  <c r="H44" i="16"/>
  <c r="G8" i="16" s="1"/>
  <c r="H14" i="16" s="1"/>
  <c r="X44" i="16"/>
  <c r="W8" i="16" s="1"/>
  <c r="X14" i="16" s="1"/>
  <c r="P147" i="16"/>
  <c r="O108" i="16" s="1"/>
  <c r="P114" i="16" s="1"/>
  <c r="P197" i="16"/>
  <c r="O160" i="16" s="1"/>
  <c r="P166" i="16" s="1"/>
  <c r="H302" i="16"/>
  <c r="G263" i="16" s="1"/>
  <c r="H269" i="16" s="1"/>
  <c r="E592" i="14"/>
  <c r="F592" i="14" s="1"/>
  <c r="G592" i="14" s="1"/>
  <c r="E592" i="21"/>
  <c r="F592" i="21" s="1"/>
  <c r="G592" i="21" s="1"/>
  <c r="E592" i="17"/>
  <c r="F592" i="17" s="1"/>
  <c r="G592" i="17" s="1"/>
  <c r="E592" i="1"/>
  <c r="F592" i="1" s="1"/>
  <c r="G592" i="1" s="1"/>
  <c r="AF354" i="16"/>
  <c r="AE315" i="16" s="1"/>
  <c r="AF321" i="16" s="1"/>
  <c r="P203" i="10"/>
  <c r="P470" i="10"/>
  <c r="G64" i="17"/>
  <c r="F69" i="17"/>
  <c r="G69" i="17" s="1"/>
  <c r="H524" i="10"/>
  <c r="H632" i="10"/>
  <c r="H794" i="10"/>
  <c r="X93" i="16"/>
  <c r="W57" i="16" s="1"/>
  <c r="X63" i="16" s="1"/>
  <c r="P432" i="8"/>
  <c r="H522" i="16"/>
  <c r="H848" i="10"/>
  <c r="E34" i="24"/>
  <c r="G32" i="24"/>
  <c r="AF250" i="16"/>
  <c r="AE210" i="16" s="1"/>
  <c r="AF216" i="16" s="1"/>
  <c r="AN354" i="16"/>
  <c r="AM315" i="16" s="1"/>
  <c r="AN321" i="16" s="1"/>
  <c r="F527" i="27"/>
  <c r="F553" i="27"/>
  <c r="F554" i="27" s="1"/>
  <c r="E162" i="27"/>
  <c r="C259" i="27"/>
  <c r="F259" i="27" s="1"/>
  <c r="F252" i="27"/>
  <c r="B156" i="27"/>
  <c r="F156" i="27" s="1"/>
  <c r="F155" i="27"/>
  <c r="G36" i="24"/>
  <c r="C484" i="27"/>
  <c r="G759" i="27"/>
  <c r="G760" i="27"/>
  <c r="C532" i="27"/>
  <c r="C553" i="27"/>
  <c r="M35" i="29"/>
  <c r="K34" i="29"/>
  <c r="D51" i="29"/>
  <c r="D74" i="29"/>
  <c r="D56" i="29"/>
  <c r="M32" i="29"/>
  <c r="D52" i="29"/>
  <c r="L35" i="30"/>
  <c r="M35" i="30"/>
  <c r="N35" i="30"/>
  <c r="O35" i="30"/>
  <c r="P35" i="30"/>
  <c r="F150" i="27"/>
  <c r="F151" i="27" s="1"/>
  <c r="F40" i="27"/>
  <c r="F45" i="27" s="1"/>
  <c r="H891" i="3"/>
  <c r="E893" i="18" s="1"/>
  <c r="F893" i="18" s="1"/>
  <c r="G893" i="18" s="1"/>
  <c r="D64" i="29"/>
  <c r="D71" i="29"/>
  <c r="C52" i="30"/>
  <c r="D52" i="30"/>
  <c r="E72" i="30"/>
  <c r="C27" i="29"/>
  <c r="N27" i="29" s="1"/>
  <c r="N44" i="29" s="1"/>
  <c r="G96" i="30"/>
  <c r="C213" i="27"/>
  <c r="E401" i="27"/>
  <c r="G401" i="27"/>
  <c r="F317" i="27"/>
  <c r="F318" i="27" s="1"/>
  <c r="D63" i="29"/>
  <c r="C35" i="30"/>
  <c r="D35" i="30"/>
  <c r="F72" i="30"/>
  <c r="S35" i="30"/>
  <c r="Q52" i="30"/>
  <c r="M52" i="30"/>
  <c r="O52" i="30"/>
  <c r="U72" i="30"/>
  <c r="Q72" i="30"/>
  <c r="M72" i="30"/>
  <c r="S72" i="30"/>
  <c r="O72" i="30"/>
  <c r="O87" i="30"/>
  <c r="U87" i="30"/>
  <c r="Q87" i="30"/>
  <c r="U96" i="30"/>
  <c r="Q96" i="30"/>
  <c r="M96" i="30"/>
  <c r="O96" i="30"/>
  <c r="Q86" i="41"/>
  <c r="U86" i="41" s="1"/>
  <c r="B394" i="27"/>
  <c r="E394" i="27" s="1"/>
  <c r="B343" i="27"/>
  <c r="C403" i="27"/>
  <c r="Q84" i="41"/>
  <c r="U84" i="41" s="1"/>
  <c r="Q71" i="41"/>
  <c r="U71" i="41" s="1"/>
  <c r="Q102" i="41"/>
  <c r="U102" i="41" s="1"/>
  <c r="M8" i="41"/>
  <c r="Q39" i="41" s="1"/>
  <c r="L10" i="41"/>
  <c r="M11" i="41"/>
  <c r="Q41" i="41" s="1"/>
  <c r="Q115" i="41" s="1"/>
  <c r="U115" i="41" s="1"/>
  <c r="L7" i="41"/>
  <c r="J7" i="41"/>
  <c r="I11" i="41"/>
  <c r="J10" i="41"/>
  <c r="J8" i="41"/>
  <c r="Q30" i="41" s="1"/>
  <c r="I7" i="41"/>
  <c r="M7" i="41"/>
  <c r="I9" i="41"/>
  <c r="Q28" i="41" s="1"/>
  <c r="L9" i="41"/>
  <c r="Q38" i="41" s="1"/>
  <c r="R47" i="41"/>
  <c r="P31" i="52"/>
  <c r="D4984" i="51"/>
  <c r="D6673" i="51"/>
  <c r="G2034" i="3"/>
  <c r="H2034" i="3" s="1"/>
  <c r="Q80" i="41"/>
  <c r="U80" i="41" s="1"/>
  <c r="D460" i="27"/>
  <c r="D465" i="27" s="1"/>
  <c r="D435" i="27" s="1"/>
  <c r="Q32" i="41"/>
  <c r="T74" i="41"/>
  <c r="C199" i="41"/>
  <c r="H2763" i="51"/>
  <c r="H3340" i="51"/>
  <c r="G4576" i="51"/>
  <c r="H4588" i="51" s="1"/>
  <c r="H2626" i="51"/>
  <c r="H2770" i="51"/>
  <c r="H3148" i="51"/>
  <c r="H3196" i="51"/>
  <c r="M34" i="50"/>
  <c r="M35" i="50" s="1"/>
  <c r="I35" i="50" s="1"/>
  <c r="D35" i="50" s="1"/>
  <c r="E35" i="50" s="1"/>
  <c r="F35" i="50" s="1"/>
  <c r="I33" i="50"/>
  <c r="D33" i="50" s="1"/>
  <c r="E33" i="50" s="1"/>
  <c r="F33" i="50" s="1"/>
  <c r="C223" i="28"/>
  <c r="C276" i="28"/>
  <c r="B974" i="27"/>
  <c r="O44" i="52"/>
  <c r="T44" i="52"/>
  <c r="R44" i="52"/>
  <c r="B1024" i="27"/>
  <c r="E1017" i="27"/>
  <c r="E1018" i="27" s="1"/>
  <c r="H1963" i="3"/>
  <c r="H255" i="3"/>
  <c r="C256" i="28" s="1"/>
  <c r="H2377" i="3"/>
  <c r="C255" i="28" s="1"/>
  <c r="H2374" i="3"/>
  <c r="C254" i="28" s="1"/>
  <c r="H2373" i="3"/>
  <c r="C253" i="28" s="1"/>
  <c r="H2370" i="3"/>
  <c r="C252" i="28" s="1"/>
  <c r="H2368" i="3"/>
  <c r="C251" i="28" s="1"/>
  <c r="H2295" i="3"/>
  <c r="C242" i="28" s="1"/>
  <c r="H2308" i="3"/>
  <c r="H2307" i="3"/>
  <c r="H2305" i="3"/>
  <c r="H2304" i="3"/>
  <c r="C238" i="28" s="1"/>
  <c r="H2303" i="3"/>
  <c r="H2202" i="3"/>
  <c r="C233" i="28" s="1"/>
  <c r="H2261" i="3"/>
  <c r="C227" i="28" s="1"/>
  <c r="H2420" i="3"/>
  <c r="H1914" i="3"/>
  <c r="H27" i="3"/>
  <c r="C201" i="28" s="1"/>
  <c r="H1445" i="3"/>
  <c r="H1336" i="3"/>
  <c r="C36" i="28" s="1"/>
  <c r="H1455" i="3"/>
  <c r="C32" i="28" s="1"/>
  <c r="H1961" i="3"/>
  <c r="H1952" i="3"/>
  <c r="E358" i="51"/>
  <c r="G358" i="51" s="1"/>
  <c r="H2204" i="3"/>
  <c r="C234" i="28" s="1"/>
  <c r="H2264" i="3"/>
  <c r="C230" i="28" s="1"/>
  <c r="H2231" i="3"/>
  <c r="C222" i="28" s="1"/>
  <c r="H1916" i="3"/>
  <c r="H1911" i="3"/>
  <c r="H26" i="3"/>
  <c r="C200" i="28" s="1"/>
  <c r="H834" i="3"/>
  <c r="H982" i="3"/>
  <c r="H1124" i="3"/>
  <c r="H1110" i="3"/>
  <c r="H1101" i="3"/>
  <c r="H1291" i="3"/>
  <c r="H1270" i="3"/>
  <c r="H1316" i="3"/>
  <c r="C141" i="28" s="1"/>
  <c r="H862" i="3"/>
  <c r="H901" i="3"/>
  <c r="H1446" i="3"/>
  <c r="H1441" i="3"/>
  <c r="H1456" i="3"/>
  <c r="C33" i="28" s="1"/>
  <c r="H1482" i="3"/>
  <c r="H1953" i="3"/>
  <c r="C5" i="34"/>
  <c r="D7176" i="51" s="1"/>
  <c r="H993" i="3"/>
  <c r="H1127" i="3"/>
  <c r="H1111" i="3"/>
  <c r="H1102" i="3"/>
  <c r="H2408" i="3"/>
  <c r="H1271" i="3"/>
  <c r="H1262" i="3"/>
  <c r="H864" i="3"/>
  <c r="H923" i="3"/>
  <c r="H1471" i="3"/>
  <c r="C30" i="28" s="1"/>
  <c r="H1469" i="3"/>
  <c r="E5304" i="51"/>
  <c r="G5304" i="51" s="1"/>
  <c r="C166" i="40"/>
  <c r="O89" i="50"/>
  <c r="I89" i="50" s="1"/>
  <c r="D89" i="50" s="1"/>
  <c r="E89" i="50" s="1"/>
  <c r="F89" i="50" s="1"/>
  <c r="C167" i="40"/>
  <c r="I109" i="50"/>
  <c r="D109" i="50" s="1"/>
  <c r="E109" i="50" s="1"/>
  <c r="F109" i="50" s="1"/>
  <c r="C191" i="40"/>
  <c r="C161" i="40"/>
  <c r="E2118" i="18" l="1"/>
  <c r="F2118" i="18" s="1"/>
  <c r="G2118" i="18" s="1"/>
  <c r="E125" i="16"/>
  <c r="G125" i="16" s="1"/>
  <c r="E1366" i="4"/>
  <c r="F1366" i="4" s="1"/>
  <c r="G1366" i="4" s="1"/>
  <c r="E1366" i="22"/>
  <c r="F1366" i="22" s="1"/>
  <c r="G1366" i="22" s="1"/>
  <c r="E1366" i="15"/>
  <c r="F1366" i="15" s="1"/>
  <c r="G1366" i="15" s="1"/>
  <c r="E1366" i="18"/>
  <c r="F1366" i="18" s="1"/>
  <c r="G1366" i="18" s="1"/>
  <c r="E2065" i="15"/>
  <c r="F2065" i="15" s="1"/>
  <c r="G2065" i="15" s="1"/>
  <c r="E2068" i="22"/>
  <c r="F2068" i="22" s="1"/>
  <c r="G2068" i="22" s="1"/>
  <c r="E2065" i="18"/>
  <c r="F2065" i="18" s="1"/>
  <c r="G2065" i="18" s="1"/>
  <c r="E2067" i="4"/>
  <c r="F2067" i="4" s="1"/>
  <c r="G2067" i="4" s="1"/>
  <c r="E229" i="16"/>
  <c r="E2102" i="18"/>
  <c r="F2102" i="18" s="1"/>
  <c r="G2102" i="18" s="1"/>
  <c r="E1945" i="4"/>
  <c r="F1945" i="4" s="1"/>
  <c r="G1945" i="4" s="1"/>
  <c r="E1945" i="22"/>
  <c r="F1945" i="22" s="1"/>
  <c r="G1945" i="22" s="1"/>
  <c r="E1945" i="15"/>
  <c r="F1945" i="15" s="1"/>
  <c r="G1945" i="15" s="1"/>
  <c r="E1945" i="18"/>
  <c r="F1945" i="18" s="1"/>
  <c r="G1945" i="18" s="1"/>
  <c r="E894" i="18"/>
  <c r="F894" i="18" s="1"/>
  <c r="G894" i="18" s="1"/>
  <c r="E430" i="16"/>
  <c r="G430" i="16" s="1"/>
  <c r="H267" i="9"/>
  <c r="E1375" i="15"/>
  <c r="F1375" i="15" s="1"/>
  <c r="G1375" i="15" s="1"/>
  <c r="E1375" i="22"/>
  <c r="F1375" i="22" s="1"/>
  <c r="G1375" i="22" s="1"/>
  <c r="E986" i="15"/>
  <c r="F986" i="15" s="1"/>
  <c r="G986" i="15" s="1"/>
  <c r="E986" i="22"/>
  <c r="F986" i="22" s="1"/>
  <c r="G986" i="22" s="1"/>
  <c r="E986" i="18"/>
  <c r="F986" i="18" s="1"/>
  <c r="G986" i="18" s="1"/>
  <c r="H472" i="10"/>
  <c r="E4743" i="51"/>
  <c r="G4743" i="51" s="1"/>
  <c r="P51" i="9"/>
  <c r="E548" i="17" s="1"/>
  <c r="F548" i="17" s="1"/>
  <c r="G548" i="17" s="1"/>
  <c r="E1975" i="22"/>
  <c r="F1975" i="22" s="1"/>
  <c r="G1975" i="22" s="1"/>
  <c r="E1375" i="18"/>
  <c r="F1375" i="18" s="1"/>
  <c r="G1375" i="18" s="1"/>
  <c r="E6673" i="51"/>
  <c r="G6673" i="51" s="1"/>
  <c r="X484" i="7"/>
  <c r="E590" i="17"/>
  <c r="F590" i="17" s="1"/>
  <c r="G590" i="17" s="1"/>
  <c r="Q4" i="41"/>
  <c r="Q9" i="41" s="1"/>
  <c r="C690" i="27"/>
  <c r="C691" i="27" s="1"/>
  <c r="E1375" i="4"/>
  <c r="F1375" i="4" s="1"/>
  <c r="G1375" i="4" s="1"/>
  <c r="H5598" i="51"/>
  <c r="E1362" i="15"/>
  <c r="F1362" i="15" s="1"/>
  <c r="G1362" i="15" s="1"/>
  <c r="E1362" i="22"/>
  <c r="F1362" i="22" s="1"/>
  <c r="G1362" i="22" s="1"/>
  <c r="E1362" i="18"/>
  <c r="F1362" i="18" s="1"/>
  <c r="G1362" i="18" s="1"/>
  <c r="C6925" i="51"/>
  <c r="F240" i="27"/>
  <c r="F241" i="27" s="1"/>
  <c r="E59" i="1"/>
  <c r="F59" i="1" s="1"/>
  <c r="G59" i="1" s="1"/>
  <c r="H2580" i="5"/>
  <c r="H2697" i="6"/>
  <c r="E350" i="14" s="1"/>
  <c r="F350" i="14" s="1"/>
  <c r="G350" i="14" s="1"/>
  <c r="T1371" i="6"/>
  <c r="Q3073" i="6"/>
  <c r="E68" i="22"/>
  <c r="F68" i="22" s="1"/>
  <c r="G68" i="22" s="1"/>
  <c r="E68" i="4"/>
  <c r="F68" i="4" s="1"/>
  <c r="G68" i="4" s="1"/>
  <c r="E68" i="15"/>
  <c r="F68" i="15" s="1"/>
  <c r="G68" i="15" s="1"/>
  <c r="P1460" i="8"/>
  <c r="M177" i="16"/>
  <c r="P159" i="9"/>
  <c r="E61" i="21"/>
  <c r="F61" i="21" s="1"/>
  <c r="G61" i="21" s="1"/>
  <c r="R44" i="41"/>
  <c r="H655" i="5"/>
  <c r="E20" i="21" s="1"/>
  <c r="F20" i="21" s="1"/>
  <c r="G20" i="21" s="1"/>
  <c r="X596" i="8"/>
  <c r="E508" i="21" s="1"/>
  <c r="F508" i="21" s="1"/>
  <c r="G508" i="21" s="1"/>
  <c r="P537" i="6"/>
  <c r="H710" i="5"/>
  <c r="H5502" i="51"/>
  <c r="E44" i="51"/>
  <c r="G44" i="51" s="1"/>
  <c r="E94" i="51"/>
  <c r="G94" i="51" s="1"/>
  <c r="E560" i="21"/>
  <c r="F560" i="21" s="1"/>
  <c r="G560" i="21" s="1"/>
  <c r="E560" i="19"/>
  <c r="F560" i="19" s="1"/>
  <c r="G560" i="19" s="1"/>
  <c r="E560" i="1"/>
  <c r="F560" i="1" s="1"/>
  <c r="G560" i="1" s="1"/>
  <c r="E350" i="19"/>
  <c r="F350" i="19" s="1"/>
  <c r="G350" i="19" s="1"/>
  <c r="E350" i="1"/>
  <c r="F350" i="1" s="1"/>
  <c r="G350" i="1" s="1"/>
  <c r="E292" i="21"/>
  <c r="F292" i="21" s="1"/>
  <c r="G292" i="21" s="1"/>
  <c r="E292" i="19"/>
  <c r="F292" i="19" s="1"/>
  <c r="G292" i="19" s="1"/>
  <c r="E292" i="14"/>
  <c r="F292" i="14" s="1"/>
  <c r="G292" i="14" s="1"/>
  <c r="E548" i="1"/>
  <c r="F548" i="1" s="1"/>
  <c r="G548" i="1" s="1"/>
  <c r="E548" i="19"/>
  <c r="F548" i="19" s="1"/>
  <c r="G548" i="19" s="1"/>
  <c r="E548" i="21"/>
  <c r="F548" i="21" s="1"/>
  <c r="G548" i="21" s="1"/>
  <c r="E111" i="10"/>
  <c r="G111" i="10" s="1"/>
  <c r="H117" i="10" s="1"/>
  <c r="H151" i="10"/>
  <c r="E993" i="4"/>
  <c r="F993" i="4" s="1"/>
  <c r="G993" i="4" s="1"/>
  <c r="E993" i="22"/>
  <c r="F993" i="22" s="1"/>
  <c r="G993" i="22" s="1"/>
  <c r="E993" i="18"/>
  <c r="F993" i="18" s="1"/>
  <c r="G993" i="18" s="1"/>
  <c r="E993" i="15"/>
  <c r="F993" i="15" s="1"/>
  <c r="G993" i="15" s="1"/>
  <c r="E46" i="21"/>
  <c r="F46" i="21" s="1"/>
  <c r="G46" i="21" s="1"/>
  <c r="E46" i="19"/>
  <c r="F46" i="19" s="1"/>
  <c r="G46" i="19" s="1"/>
  <c r="E46" i="17"/>
  <c r="F46" i="17" s="1"/>
  <c r="G46" i="17" s="1"/>
  <c r="E453" i="1"/>
  <c r="F453" i="1" s="1"/>
  <c r="G453" i="1" s="1"/>
  <c r="E454" i="1"/>
  <c r="F454" i="1" s="1"/>
  <c r="G454" i="1" s="1"/>
  <c r="E454" i="19"/>
  <c r="F454" i="19" s="1"/>
  <c r="G454" i="19" s="1"/>
  <c r="E450" i="14"/>
  <c r="F450" i="14" s="1"/>
  <c r="G450" i="14" s="1"/>
  <c r="E454" i="14"/>
  <c r="F454" i="14" s="1"/>
  <c r="G454" i="14" s="1"/>
  <c r="E450" i="17"/>
  <c r="F450" i="17" s="1"/>
  <c r="G450" i="17" s="1"/>
  <c r="E450" i="1"/>
  <c r="F450" i="1" s="1"/>
  <c r="G450" i="1" s="1"/>
  <c r="E2074" i="4"/>
  <c r="F2074" i="4" s="1"/>
  <c r="G2074" i="4" s="1"/>
  <c r="E2075" i="22"/>
  <c r="F2075" i="22" s="1"/>
  <c r="G2075" i="22" s="1"/>
  <c r="E2072" i="15"/>
  <c r="F2072" i="15" s="1"/>
  <c r="G2072" i="15" s="1"/>
  <c r="E2072" i="18"/>
  <c r="F2072" i="18" s="1"/>
  <c r="G2072" i="18" s="1"/>
  <c r="E238" i="1"/>
  <c r="E238" i="19"/>
  <c r="F238" i="19" s="1"/>
  <c r="G238" i="19" s="1"/>
  <c r="E238" i="14"/>
  <c r="F238" i="14" s="1"/>
  <c r="G238" i="14" s="1"/>
  <c r="E238" i="17"/>
  <c r="F238" i="17" s="1"/>
  <c r="G238" i="17" s="1"/>
  <c r="F14" i="24"/>
  <c r="G14" i="24" s="1"/>
  <c r="F1369" i="22"/>
  <c r="G1369" i="22" s="1"/>
  <c r="U179" i="16"/>
  <c r="W179" i="16" s="1"/>
  <c r="O179" i="16"/>
  <c r="W1371" i="6"/>
  <c r="X1382" i="6" s="1"/>
  <c r="D1425" i="6"/>
  <c r="L1425" i="6" s="1"/>
  <c r="D55" i="29"/>
  <c r="K30" i="29"/>
  <c r="P105" i="9"/>
  <c r="E553" i="14"/>
  <c r="F553" i="14" s="1"/>
  <c r="G553" i="14" s="1"/>
  <c r="E553" i="21"/>
  <c r="F553" i="21" s="1"/>
  <c r="G553" i="21" s="1"/>
  <c r="E990" i="22"/>
  <c r="F990" i="22" s="1"/>
  <c r="G990" i="22" s="1"/>
  <c r="E990" i="15"/>
  <c r="F990" i="15" s="1"/>
  <c r="G990" i="15" s="1"/>
  <c r="E553" i="17"/>
  <c r="F553" i="17" s="1"/>
  <c r="G553" i="17" s="1"/>
  <c r="E350" i="21"/>
  <c r="F350" i="21" s="1"/>
  <c r="G350" i="21" s="1"/>
  <c r="E238" i="21"/>
  <c r="F238" i="21" s="1"/>
  <c r="G238" i="21" s="1"/>
  <c r="E337" i="10"/>
  <c r="E3368" i="6"/>
  <c r="G3368" i="6" s="1"/>
  <c r="E529" i="1"/>
  <c r="F529" i="1" s="1"/>
  <c r="G529" i="1" s="1"/>
  <c r="E529" i="17"/>
  <c r="F529" i="17" s="1"/>
  <c r="G529" i="17" s="1"/>
  <c r="E529" i="21"/>
  <c r="F529" i="21" s="1"/>
  <c r="G529" i="21" s="1"/>
  <c r="E529" i="19"/>
  <c r="F529" i="19" s="1"/>
  <c r="G529" i="19" s="1"/>
  <c r="H321" i="9"/>
  <c r="E553" i="19"/>
  <c r="F553" i="19" s="1"/>
  <c r="G553" i="19" s="1"/>
  <c r="E560" i="17"/>
  <c r="F560" i="17" s="1"/>
  <c r="G560" i="17" s="1"/>
  <c r="E3421" i="6"/>
  <c r="G3421" i="6" s="1"/>
  <c r="E453" i="17"/>
  <c r="F453" i="17" s="1"/>
  <c r="G453" i="17" s="1"/>
  <c r="E454" i="21"/>
  <c r="F454" i="21" s="1"/>
  <c r="G454" i="21" s="1"/>
  <c r="E350" i="17"/>
  <c r="F350" i="17" s="1"/>
  <c r="G350" i="17" s="1"/>
  <c r="E529" i="14"/>
  <c r="F529" i="14" s="1"/>
  <c r="G529" i="14" s="1"/>
  <c r="H812" i="8"/>
  <c r="E516" i="21" s="1"/>
  <c r="F516" i="21" s="1"/>
  <c r="G516" i="21" s="1"/>
  <c r="H985" i="5"/>
  <c r="E43" i="51"/>
  <c r="G43" i="51" s="1"/>
  <c r="E59" i="21"/>
  <c r="F59" i="21" s="1"/>
  <c r="G59" i="21" s="1"/>
  <c r="E59" i="19"/>
  <c r="F59" i="19" s="1"/>
  <c r="G59" i="19" s="1"/>
  <c r="E1204" i="8"/>
  <c r="G1204" i="8" s="1"/>
  <c r="H1210" i="8" s="1"/>
  <c r="H1244" i="8" s="1"/>
  <c r="E332" i="14"/>
  <c r="F332" i="14" s="1"/>
  <c r="G332" i="14" s="1"/>
  <c r="E332" i="21"/>
  <c r="F332" i="21" s="1"/>
  <c r="G332" i="21" s="1"/>
  <c r="E332" i="19"/>
  <c r="F332" i="19" s="1"/>
  <c r="G332" i="19" s="1"/>
  <c r="Q111" i="41"/>
  <c r="U111" i="41" s="1"/>
  <c r="Q75" i="41"/>
  <c r="U75" i="41" s="1"/>
  <c r="Q87" i="41"/>
  <c r="U87" i="41" s="1"/>
  <c r="Q99" i="41"/>
  <c r="U99" i="41" s="1"/>
  <c r="D73" i="35"/>
  <c r="D445" i="27"/>
  <c r="E477" i="27" s="1"/>
  <c r="H5694" i="51"/>
  <c r="H5711" i="51" s="1"/>
  <c r="D168" i="33" s="1"/>
  <c r="E2071" i="15"/>
  <c r="F2071" i="15" s="1"/>
  <c r="G2071" i="15" s="1"/>
  <c r="E2073" i="4"/>
  <c r="F2073" i="4" s="1"/>
  <c r="G2073" i="4" s="1"/>
  <c r="E2074" i="22"/>
  <c r="F2074" i="22" s="1"/>
  <c r="G2074" i="22" s="1"/>
  <c r="E2071" i="18"/>
  <c r="F2071" i="18" s="1"/>
  <c r="G2071" i="18" s="1"/>
  <c r="E1963" i="15"/>
  <c r="F1963" i="15" s="1"/>
  <c r="G1963" i="15" s="1"/>
  <c r="E1963" i="18"/>
  <c r="F1963" i="18" s="1"/>
  <c r="G1963" i="18" s="1"/>
  <c r="E1966" i="22"/>
  <c r="F1966" i="22" s="1"/>
  <c r="G1966" i="22" s="1"/>
  <c r="E1965" i="4"/>
  <c r="F1965" i="4" s="1"/>
  <c r="G1965" i="4" s="1"/>
  <c r="P376" i="7"/>
  <c r="E1974" i="22"/>
  <c r="F1974" i="22" s="1"/>
  <c r="G1974" i="22" s="1"/>
  <c r="E1971" i="18"/>
  <c r="F1971" i="18" s="1"/>
  <c r="G1971" i="18" s="1"/>
  <c r="E1365" i="18"/>
  <c r="F1365" i="18" s="1"/>
  <c r="G1365" i="18" s="1"/>
  <c r="E1365" i="15"/>
  <c r="F1365" i="15" s="1"/>
  <c r="G1365" i="15" s="1"/>
  <c r="E1365" i="22"/>
  <c r="F1365" i="22" s="1"/>
  <c r="G1365" i="22" s="1"/>
  <c r="E58" i="19"/>
  <c r="F58" i="19" s="1"/>
  <c r="G58" i="19" s="1"/>
  <c r="H3515" i="5"/>
  <c r="U24" i="16"/>
  <c r="W24" i="16" s="1"/>
  <c r="U331" i="16"/>
  <c r="W331" i="16" s="1"/>
  <c r="M226" i="16"/>
  <c r="O226" i="16" s="1"/>
  <c r="U73" i="16"/>
  <c r="W73" i="16" s="1"/>
  <c r="M24" i="16"/>
  <c r="O24" i="16" s="1"/>
  <c r="U279" i="16"/>
  <c r="W279" i="16" s="1"/>
  <c r="M176" i="16"/>
  <c r="O176" i="16" s="1"/>
  <c r="M73" i="16"/>
  <c r="O73" i="16" s="1"/>
  <c r="AK331" i="16"/>
  <c r="AM331" i="16" s="1"/>
  <c r="E558" i="14"/>
  <c r="F558" i="14" s="1"/>
  <c r="G558" i="14" s="1"/>
  <c r="H2967" i="6"/>
  <c r="E357" i="21" s="1"/>
  <c r="F357" i="21" s="1"/>
  <c r="G357" i="21" s="1"/>
  <c r="E335" i="14"/>
  <c r="F335" i="14" s="1"/>
  <c r="G335" i="14" s="1"/>
  <c r="E335" i="21"/>
  <c r="F335" i="21" s="1"/>
  <c r="G335" i="21" s="1"/>
  <c r="H1617" i="6"/>
  <c r="H591" i="6"/>
  <c r="H4539" i="51"/>
  <c r="H2589" i="6"/>
  <c r="O227" i="16"/>
  <c r="H1755" i="5"/>
  <c r="H3021" i="6"/>
  <c r="H105" i="6"/>
  <c r="E989" i="4"/>
  <c r="F989" i="4" s="1"/>
  <c r="G989" i="4" s="1"/>
  <c r="E989" i="18"/>
  <c r="F989" i="18" s="1"/>
  <c r="G989" i="18" s="1"/>
  <c r="E989" i="22"/>
  <c r="F989" i="22" s="1"/>
  <c r="G989" i="22" s="1"/>
  <c r="H5316" i="51"/>
  <c r="E71" i="14"/>
  <c r="F71" i="14" s="1"/>
  <c r="U226" i="16"/>
  <c r="W226" i="16" s="1"/>
  <c r="E24" i="16"/>
  <c r="G24" i="16" s="1"/>
  <c r="E73" i="16"/>
  <c r="G73" i="16" s="1"/>
  <c r="AC226" i="16"/>
  <c r="AE226" i="16" s="1"/>
  <c r="U176" i="16"/>
  <c r="W176" i="16" s="1"/>
  <c r="E331" i="16"/>
  <c r="G331" i="16" s="1"/>
  <c r="E71" i="19"/>
  <c r="F71" i="19" s="1"/>
  <c r="G71" i="19" s="1"/>
  <c r="H1082" i="8"/>
  <c r="P2157" i="6"/>
  <c r="H2690" i="5"/>
  <c r="H2481" i="6"/>
  <c r="H1352" i="8"/>
  <c r="P538" i="7"/>
  <c r="E552" i="17"/>
  <c r="F552" i="17" s="1"/>
  <c r="G552" i="17" s="1"/>
  <c r="E552" i="14"/>
  <c r="F552" i="14" s="1"/>
  <c r="G552" i="14" s="1"/>
  <c r="E552" i="1"/>
  <c r="F552" i="1" s="1"/>
  <c r="G552" i="1" s="1"/>
  <c r="E552" i="19"/>
  <c r="F552" i="19" s="1"/>
  <c r="G552" i="19" s="1"/>
  <c r="E552" i="21"/>
  <c r="F552" i="21" s="1"/>
  <c r="G552" i="21" s="1"/>
  <c r="H969" i="6"/>
  <c r="C5464" i="51"/>
  <c r="C7175" i="51"/>
  <c r="D464" i="27"/>
  <c r="D434" i="27" s="1"/>
  <c r="F1382" i="22"/>
  <c r="G1382" i="22" s="1"/>
  <c r="F13" i="24"/>
  <c r="G13" i="24" s="1"/>
  <c r="O25" i="16"/>
  <c r="U25" i="16"/>
  <c r="W25" i="16" s="1"/>
  <c r="D5464" i="51"/>
  <c r="D7175" i="51"/>
  <c r="E990" i="4"/>
  <c r="F990" i="4" s="1"/>
  <c r="G990" i="4" s="1"/>
  <c r="E990" i="18"/>
  <c r="F990" i="18" s="1"/>
  <c r="G990" i="18" s="1"/>
  <c r="F21" i="42"/>
  <c r="F73" i="35"/>
  <c r="G73" i="35"/>
  <c r="C24" i="34"/>
  <c r="D24" i="34" s="1"/>
  <c r="E29" i="34"/>
  <c r="C23" i="34"/>
  <c r="C42" i="51"/>
  <c r="C92" i="51"/>
  <c r="H436" i="5"/>
  <c r="E163" i="27"/>
  <c r="B341" i="27"/>
  <c r="B351" i="27" s="1"/>
  <c r="M402" i="27"/>
  <c r="B657" i="27"/>
  <c r="E657" i="27" s="1"/>
  <c r="E658" i="27" s="1"/>
  <c r="D443" i="27"/>
  <c r="B482" i="27" s="1"/>
  <c r="E482" i="27" s="1"/>
  <c r="D370" i="27"/>
  <c r="B392" i="27" s="1"/>
  <c r="E392" i="27" s="1"/>
  <c r="I402" i="27"/>
  <c r="S59" i="41"/>
  <c r="R60" i="41"/>
  <c r="P43" i="41"/>
  <c r="R65" i="41"/>
  <c r="P48" i="41"/>
  <c r="U48" i="41" s="1"/>
  <c r="S60" i="41"/>
  <c r="U60" i="41" s="1"/>
  <c r="R61" i="41"/>
  <c r="P46" i="41"/>
  <c r="P50" i="41"/>
  <c r="U130" i="41"/>
  <c r="R50" i="41"/>
  <c r="S63" i="41"/>
  <c r="P4" i="41"/>
  <c r="P14" i="41" s="1"/>
  <c r="R63" i="41"/>
  <c r="S46" i="41"/>
  <c r="U30" i="41"/>
  <c r="U28" i="41"/>
  <c r="P63" i="41"/>
  <c r="H213" i="9"/>
  <c r="E389" i="51"/>
  <c r="G389" i="51" s="1"/>
  <c r="E3733" i="51"/>
  <c r="G3733" i="51" s="1"/>
  <c r="E2725" i="51"/>
  <c r="G2725" i="51" s="1"/>
  <c r="E3158" i="51"/>
  <c r="G3158" i="51" s="1"/>
  <c r="E2677" i="51"/>
  <c r="G2677" i="51" s="1"/>
  <c r="E2965" i="51"/>
  <c r="G2965" i="51" s="1"/>
  <c r="E3781" i="51"/>
  <c r="G3781" i="51" s="1"/>
  <c r="E2533" i="51"/>
  <c r="G2533" i="51" s="1"/>
  <c r="E3302" i="51"/>
  <c r="G3302" i="51" s="1"/>
  <c r="E1955" i="51"/>
  <c r="G1955" i="51" s="1"/>
  <c r="E2050" i="51"/>
  <c r="G2050" i="51" s="1"/>
  <c r="E783" i="51"/>
  <c r="G783" i="51" s="1"/>
  <c r="E439" i="51"/>
  <c r="G439" i="51" s="1"/>
  <c r="E6573" i="51"/>
  <c r="G6573" i="51" s="1"/>
  <c r="E3590" i="51"/>
  <c r="G3590" i="51" s="1"/>
  <c r="E3685" i="51"/>
  <c r="G3685" i="51" s="1"/>
  <c r="E3110" i="51"/>
  <c r="G3110" i="51" s="1"/>
  <c r="E3637" i="51"/>
  <c r="G3637" i="51" s="1"/>
  <c r="E2869" i="51"/>
  <c r="G2869" i="51" s="1"/>
  <c r="E3542" i="51"/>
  <c r="G3542" i="51" s="1"/>
  <c r="E2437" i="51"/>
  <c r="G2437" i="51" s="1"/>
  <c r="E2485" i="51"/>
  <c r="G2485" i="51" s="1"/>
  <c r="E2339" i="51"/>
  <c r="G2339" i="51" s="1"/>
  <c r="E339" i="51"/>
  <c r="G339" i="51" s="1"/>
  <c r="E734" i="51"/>
  <c r="G734" i="51" s="1"/>
  <c r="E3494" i="51"/>
  <c r="G3494" i="51" s="1"/>
  <c r="E3446" i="51"/>
  <c r="G3446" i="51" s="1"/>
  <c r="E2773" i="51"/>
  <c r="G2773" i="51" s="1"/>
  <c r="E3398" i="51"/>
  <c r="G3398" i="51" s="1"/>
  <c r="E2629" i="51"/>
  <c r="G2629" i="51" s="1"/>
  <c r="E3350" i="51"/>
  <c r="G3350" i="51" s="1"/>
  <c r="E2388" i="51"/>
  <c r="G2388" i="51" s="1"/>
  <c r="E2195" i="51"/>
  <c r="G2195" i="51" s="1"/>
  <c r="E2291" i="51"/>
  <c r="G2291" i="51" s="1"/>
  <c r="E884" i="51"/>
  <c r="G884" i="51" s="1"/>
  <c r="E685" i="51"/>
  <c r="G685" i="51" s="1"/>
  <c r="E5179" i="51"/>
  <c r="G5179" i="51" s="1"/>
  <c r="E3254" i="51"/>
  <c r="G3254" i="51" s="1"/>
  <c r="E3206" i="51"/>
  <c r="G3206" i="51" s="1"/>
  <c r="E2821" i="51"/>
  <c r="G2821" i="51" s="1"/>
  <c r="E3062" i="51"/>
  <c r="G3062" i="51" s="1"/>
  <c r="E2581" i="51"/>
  <c r="G2581" i="51" s="1"/>
  <c r="E2917" i="51"/>
  <c r="G2917" i="51" s="1"/>
  <c r="E3014" i="51"/>
  <c r="G3014" i="51" s="1"/>
  <c r="E1907" i="51"/>
  <c r="G1907" i="51" s="1"/>
  <c r="E2243" i="51"/>
  <c r="G2243" i="51" s="1"/>
  <c r="E834" i="51"/>
  <c r="G834" i="51" s="1"/>
  <c r="E587" i="51"/>
  <c r="G587" i="51" s="1"/>
  <c r="H2049" i="6"/>
  <c r="E548" i="14"/>
  <c r="F548" i="14" s="1"/>
  <c r="G548" i="14" s="1"/>
  <c r="D5234" i="51"/>
  <c r="D5466" i="51"/>
  <c r="T183" i="6"/>
  <c r="O183" i="6"/>
  <c r="P194" i="6" s="1"/>
  <c r="P213" i="6" s="1"/>
  <c r="E5234" i="51"/>
  <c r="G5234" i="51" s="1"/>
  <c r="E5466" i="51"/>
  <c r="G5466" i="51" s="1"/>
  <c r="E4791" i="51"/>
  <c r="G4791" i="51" s="1"/>
  <c r="E5463" i="51"/>
  <c r="G5463" i="51" s="1"/>
  <c r="D3639" i="51"/>
  <c r="D3831" i="51"/>
  <c r="D5465" i="51"/>
  <c r="D3735" i="51"/>
  <c r="D3783" i="51"/>
  <c r="D3687" i="51"/>
  <c r="D4023" i="51"/>
  <c r="D3975" i="51"/>
  <c r="D3927" i="51"/>
  <c r="D3879" i="51"/>
  <c r="D1133" i="51"/>
  <c r="D9" i="34"/>
  <c r="D44" i="51"/>
  <c r="D94" i="51"/>
  <c r="G7002" i="51"/>
  <c r="E7004" i="51"/>
  <c r="G7004" i="51" s="1"/>
  <c r="G350" i="5"/>
  <c r="H361" i="5" s="1"/>
  <c r="H381" i="5" s="1"/>
  <c r="D7026" i="51"/>
  <c r="D6976" i="51"/>
  <c r="D7126" i="51"/>
  <c r="D7076" i="51"/>
  <c r="D413" i="27"/>
  <c r="E7075" i="51"/>
  <c r="G7075" i="51" s="1"/>
  <c r="E6975" i="51"/>
  <c r="G6975" i="51" s="1"/>
  <c r="E7025" i="51"/>
  <c r="G7025" i="51" s="1"/>
  <c r="E7125" i="51"/>
  <c r="G7125" i="51" s="1"/>
  <c r="E4839" i="51"/>
  <c r="G4839" i="51" s="1"/>
  <c r="H7113" i="51"/>
  <c r="O31" i="52"/>
  <c r="V31" i="52"/>
  <c r="Z31" i="52"/>
  <c r="Y31" i="52"/>
  <c r="S31" i="52"/>
  <c r="R31" i="52"/>
  <c r="X31" i="52"/>
  <c r="U31" i="52"/>
  <c r="T31" i="52"/>
  <c r="W31" i="52"/>
  <c r="H6963" i="51"/>
  <c r="H7063" i="51"/>
  <c r="U47" i="41"/>
  <c r="G775" i="27"/>
  <c r="E708" i="27"/>
  <c r="E1961" i="22"/>
  <c r="F1961" i="22" s="1"/>
  <c r="G1961" i="22" s="1"/>
  <c r="E1959" i="18"/>
  <c r="F1959" i="18" s="1"/>
  <c r="G1959" i="18" s="1"/>
  <c r="E1960" i="4"/>
  <c r="F1960" i="4" s="1"/>
  <c r="G1960" i="4" s="1"/>
  <c r="E1959" i="15"/>
  <c r="F1959" i="15" s="1"/>
  <c r="G1959" i="15" s="1"/>
  <c r="E4935" i="51"/>
  <c r="G4935" i="51" s="1"/>
  <c r="E6087" i="51"/>
  <c r="G6087" i="51" s="1"/>
  <c r="E5416" i="51"/>
  <c r="G5416" i="51" s="1"/>
  <c r="E5231" i="51"/>
  <c r="G5231" i="51" s="1"/>
  <c r="E4550" i="51"/>
  <c r="G4550" i="51" s="1"/>
  <c r="E4405" i="51"/>
  <c r="G4405" i="51" s="1"/>
  <c r="E3877" i="51"/>
  <c r="G3877" i="51" s="1"/>
  <c r="E4021" i="51"/>
  <c r="G4021" i="51" s="1"/>
  <c r="E4261" i="51"/>
  <c r="G4261" i="51" s="1"/>
  <c r="E1810" i="51"/>
  <c r="G1810" i="51" s="1"/>
  <c r="E1570" i="51"/>
  <c r="G1570" i="51" s="1"/>
  <c r="E982" i="51"/>
  <c r="G982" i="51" s="1"/>
  <c r="E1859" i="51"/>
  <c r="G1859" i="51" s="1"/>
  <c r="E933" i="51"/>
  <c r="G933" i="51" s="1"/>
  <c r="E4984" i="51"/>
  <c r="G4984" i="51" s="1"/>
  <c r="E5656" i="51"/>
  <c r="G5656" i="51" s="1"/>
  <c r="E5376" i="51"/>
  <c r="G5376" i="51" s="1"/>
  <c r="E5129" i="51"/>
  <c r="G5129" i="51" s="1"/>
  <c r="E4647" i="51"/>
  <c r="G4647" i="51" s="1"/>
  <c r="E4357" i="51"/>
  <c r="G4357" i="51" s="1"/>
  <c r="E4213" i="51"/>
  <c r="G4213" i="51" s="1"/>
  <c r="E3925" i="51"/>
  <c r="G3925" i="51" s="1"/>
  <c r="E2147" i="51"/>
  <c r="G2147" i="51" s="1"/>
  <c r="E1375" i="51"/>
  <c r="G1375" i="51" s="1"/>
  <c r="E1327" i="51"/>
  <c r="G1327" i="51" s="1"/>
  <c r="E635" i="51"/>
  <c r="G635" i="51" s="1"/>
  <c r="E1714" i="51"/>
  <c r="G1714" i="51" s="1"/>
  <c r="E5512" i="51"/>
  <c r="G5512" i="51" s="1"/>
  <c r="E6523" i="51"/>
  <c r="G6523" i="51" s="1"/>
  <c r="E5560" i="51"/>
  <c r="G5560" i="51" s="1"/>
  <c r="E5278" i="51"/>
  <c r="G5278" i="51" s="1"/>
  <c r="E4599" i="51"/>
  <c r="G4599" i="51" s="1"/>
  <c r="E4501" i="51"/>
  <c r="G4501" i="51" s="1"/>
  <c r="E4117" i="51"/>
  <c r="G4117" i="51" s="1"/>
  <c r="E4165" i="51"/>
  <c r="G4165" i="51" s="1"/>
  <c r="E3829" i="51"/>
  <c r="G3829" i="51" s="1"/>
  <c r="E2099" i="51"/>
  <c r="G2099" i="51" s="1"/>
  <c r="E1031" i="51"/>
  <c r="G1031" i="51" s="1"/>
  <c r="E1278" i="51"/>
  <c r="G1278" i="51" s="1"/>
  <c r="E1424" i="51"/>
  <c r="G1424" i="51" s="1"/>
  <c r="E1618" i="51"/>
  <c r="G1618" i="51" s="1"/>
  <c r="E3973" i="51"/>
  <c r="G3973" i="51" s="1"/>
  <c r="E1666" i="51"/>
  <c r="G1666" i="51" s="1"/>
  <c r="E5327" i="51"/>
  <c r="G5327" i="51" s="1"/>
  <c r="E4069" i="51"/>
  <c r="G4069" i="51" s="1"/>
  <c r="E1080" i="51"/>
  <c r="G1080" i="51" s="1"/>
  <c r="E5080" i="51"/>
  <c r="G5080" i="51" s="1"/>
  <c r="E4309" i="51"/>
  <c r="G4309" i="51" s="1"/>
  <c r="E537" i="51"/>
  <c r="G537" i="51" s="1"/>
  <c r="E5032" i="51"/>
  <c r="G5032" i="51" s="1"/>
  <c r="E6136" i="51"/>
  <c r="G6136" i="51" s="1"/>
  <c r="E4453" i="51"/>
  <c r="G4453" i="51" s="1"/>
  <c r="E2002" i="51"/>
  <c r="G2002" i="51" s="1"/>
  <c r="E1472" i="51"/>
  <c r="G1472" i="51" s="1"/>
  <c r="E95" i="51"/>
  <c r="G95" i="51" s="1"/>
  <c r="E45" i="51"/>
  <c r="G45" i="51" s="1"/>
  <c r="D1047" i="6"/>
  <c r="G993" i="6"/>
  <c r="H1004" i="6" s="1"/>
  <c r="H1023" i="6" s="1"/>
  <c r="O285" i="16"/>
  <c r="U285" i="16"/>
  <c r="W285" i="16" s="1"/>
  <c r="W125" i="16"/>
  <c r="AC125" i="16"/>
  <c r="AE125" i="16" s="1"/>
  <c r="C236" i="28"/>
  <c r="E445" i="16"/>
  <c r="G445" i="16" s="1"/>
  <c r="E2305" i="18"/>
  <c r="F2305" i="18" s="1"/>
  <c r="G2305" i="18" s="1"/>
  <c r="M28" i="16"/>
  <c r="C168" i="28"/>
  <c r="E1114" i="22"/>
  <c r="F1114" i="22" s="1"/>
  <c r="G1114" i="22" s="1"/>
  <c r="E1115" i="18"/>
  <c r="F1115" i="18" s="1"/>
  <c r="G1115" i="18" s="1"/>
  <c r="E437" i="16"/>
  <c r="G437" i="16" s="1"/>
  <c r="C144" i="28"/>
  <c r="E1268" i="18"/>
  <c r="F1268" i="18" s="1"/>
  <c r="G1268" i="18" s="1"/>
  <c r="M228" i="16"/>
  <c r="E281" i="16"/>
  <c r="G228" i="16"/>
  <c r="D4889" i="51"/>
  <c r="D4841" i="51"/>
  <c r="D4793" i="51"/>
  <c r="D4745" i="51"/>
  <c r="D4697" i="51"/>
  <c r="D291" i="51"/>
  <c r="D4888" i="51"/>
  <c r="D4840" i="51"/>
  <c r="D4792" i="51"/>
  <c r="D4744" i="51"/>
  <c r="D4696" i="51"/>
  <c r="D290" i="51"/>
  <c r="C297" i="28"/>
  <c r="E2025" i="18"/>
  <c r="F2025" i="18" s="1"/>
  <c r="G2025" i="18" s="1"/>
  <c r="C120" i="28"/>
  <c r="E929" i="18"/>
  <c r="F929" i="18" s="1"/>
  <c r="G929" i="18" s="1"/>
  <c r="C160" i="28"/>
  <c r="E1099" i="22"/>
  <c r="F1099" i="22" s="1"/>
  <c r="G1099" i="22" s="1"/>
  <c r="E1100" i="18"/>
  <c r="F1100" i="18" s="1"/>
  <c r="G1100" i="18" s="1"/>
  <c r="AM125" i="16"/>
  <c r="AC177" i="16"/>
  <c r="AE177" i="16" s="1"/>
  <c r="C29" i="28"/>
  <c r="H875" i="5"/>
  <c r="R11" i="41"/>
  <c r="R125" i="41" s="1"/>
  <c r="P650" i="8"/>
  <c r="E512" i="14" s="1"/>
  <c r="F512" i="14" s="1"/>
  <c r="G512" i="14" s="1"/>
  <c r="H1725" i="6"/>
  <c r="E283" i="17" s="1"/>
  <c r="F283" i="17" s="1"/>
  <c r="G283" i="17" s="1"/>
  <c r="C341" i="27"/>
  <c r="C143" i="28"/>
  <c r="E1267" i="18"/>
  <c r="F1267" i="18" s="1"/>
  <c r="G1267" i="18" s="1"/>
  <c r="C169" i="28"/>
  <c r="E1122" i="22"/>
  <c r="F1122" i="22" s="1"/>
  <c r="G1122" i="22" s="1"/>
  <c r="C4888" i="51"/>
  <c r="C4840" i="51"/>
  <c r="C4792" i="51"/>
  <c r="C4744" i="51"/>
  <c r="C4696" i="51"/>
  <c r="C290" i="51"/>
  <c r="C6774" i="51"/>
  <c r="C6574" i="51"/>
  <c r="C5377" i="51"/>
  <c r="C5180" i="51"/>
  <c r="C4551" i="51"/>
  <c r="C3974" i="51"/>
  <c r="C3207" i="51"/>
  <c r="C2678" i="51"/>
  <c r="C3926" i="51"/>
  <c r="C3063" i="51"/>
  <c r="C4454" i="51"/>
  <c r="C3782" i="51"/>
  <c r="C3015" i="51"/>
  <c r="C4358" i="51"/>
  <c r="C2534" i="51"/>
  <c r="C3734" i="51"/>
  <c r="C1908" i="51"/>
  <c r="C2244" i="51"/>
  <c r="C2196" i="51"/>
  <c r="C1279" i="51"/>
  <c r="C983" i="51"/>
  <c r="C735" i="51"/>
  <c r="C488" i="51"/>
  <c r="C440" i="51"/>
  <c r="C1619" i="51"/>
  <c r="C1811" i="51"/>
  <c r="C340" i="51"/>
  <c r="C6875" i="51"/>
  <c r="C6723" i="51"/>
  <c r="C4985" i="51"/>
  <c r="C5561" i="51"/>
  <c r="C5752" i="51"/>
  <c r="C5328" i="51"/>
  <c r="C5279" i="51"/>
  <c r="C4648" i="51"/>
  <c r="C3878" i="51"/>
  <c r="C3159" i="51"/>
  <c r="C4214" i="51"/>
  <c r="C3830" i="51"/>
  <c r="C2966" i="51"/>
  <c r="C4406" i="51"/>
  <c r="C3543" i="51"/>
  <c r="C2774" i="51"/>
  <c r="C3591" i="51"/>
  <c r="C2438" i="51"/>
  <c r="C3255" i="51"/>
  <c r="C2003" i="51"/>
  <c r="C2148" i="51"/>
  <c r="C1667" i="51"/>
  <c r="C1081" i="51"/>
  <c r="C885" i="51"/>
  <c r="C686" i="51"/>
  <c r="C390" i="51"/>
  <c r="C1860" i="51"/>
  <c r="C1473" i="51"/>
  <c r="C1376" i="51"/>
  <c r="C241" i="51"/>
  <c r="C1522" i="51"/>
  <c r="C6674" i="51"/>
  <c r="C5033" i="51"/>
  <c r="C6524" i="51"/>
  <c r="C5417" i="51"/>
  <c r="C5657" i="51"/>
  <c r="C5232" i="51"/>
  <c r="C4600" i="51"/>
  <c r="C4166" i="51"/>
  <c r="C3686" i="51"/>
  <c r="C3111" i="51"/>
  <c r="C4070" i="51"/>
  <c r="C3638" i="51"/>
  <c r="C2630" i="51"/>
  <c r="C4310" i="51"/>
  <c r="C3351" i="51"/>
  <c r="C2822" i="51"/>
  <c r="C3495" i="51"/>
  <c r="C2389" i="51"/>
  <c r="C2870" i="51"/>
  <c r="C2340" i="51"/>
  <c r="C2051" i="51"/>
  <c r="C1571" i="51"/>
  <c r="C1230" i="51"/>
  <c r="C835" i="51"/>
  <c r="C636" i="51"/>
  <c r="C1425" i="51"/>
  <c r="C1762" i="51"/>
  <c r="C934" i="51"/>
  <c r="C1032" i="51"/>
  <c r="C6825" i="51"/>
  <c r="C6624" i="51"/>
  <c r="C4936" i="51"/>
  <c r="C5513" i="51"/>
  <c r="C5130" i="51"/>
  <c r="C5081" i="51"/>
  <c r="C4118" i="51"/>
  <c r="C3447" i="51"/>
  <c r="C2918" i="51"/>
  <c r="C4022" i="51"/>
  <c r="C3399" i="51"/>
  <c r="C2582" i="51"/>
  <c r="C4262" i="51"/>
  <c r="C3303" i="51"/>
  <c r="C4502" i="51"/>
  <c r="C2726" i="51"/>
  <c r="C2486" i="51"/>
  <c r="C2100" i="51"/>
  <c r="C2292" i="51"/>
  <c r="C1956" i="51"/>
  <c r="C1328" i="51"/>
  <c r="C1131" i="51"/>
  <c r="C784" i="51"/>
  <c r="C588" i="51"/>
  <c r="C538" i="51"/>
  <c r="C1715" i="51"/>
  <c r="C193" i="51"/>
  <c r="C1181" i="51"/>
  <c r="D707" i="27"/>
  <c r="E707" i="27" s="1"/>
  <c r="E710" i="27" s="1"/>
  <c r="H272" i="8"/>
  <c r="E488" i="17" s="1"/>
  <c r="F488" i="17" s="1"/>
  <c r="G488" i="17" s="1"/>
  <c r="C206" i="28"/>
  <c r="E1914" i="18"/>
  <c r="F1914" i="18" s="1"/>
  <c r="G1914" i="18" s="1"/>
  <c r="C161" i="28"/>
  <c r="E1101" i="22"/>
  <c r="F1101" i="22" s="1"/>
  <c r="G1101" i="22" s="1"/>
  <c r="E1102" i="18"/>
  <c r="F1102" i="18" s="1"/>
  <c r="G1102" i="18" s="1"/>
  <c r="C119" i="28"/>
  <c r="E927" i="18"/>
  <c r="F927" i="18" s="1"/>
  <c r="G927" i="18" s="1"/>
  <c r="F61" i="27"/>
  <c r="D463" i="27"/>
  <c r="D433" i="27" s="1"/>
  <c r="G793" i="27"/>
  <c r="C804" i="27" s="1"/>
  <c r="D804" i="27" s="1"/>
  <c r="E804" i="27" s="1"/>
  <c r="F325" i="27"/>
  <c r="B674" i="27"/>
  <c r="F255" i="27"/>
  <c r="F141" i="27"/>
  <c r="F519" i="27"/>
  <c r="F24" i="27"/>
  <c r="P57" i="41"/>
  <c r="P45" i="41"/>
  <c r="U31" i="41"/>
  <c r="U41" i="41"/>
  <c r="H3866" i="51"/>
  <c r="H4010" i="51"/>
  <c r="H3914" i="51"/>
  <c r="H3962" i="51"/>
  <c r="H5409" i="51"/>
  <c r="E6652" i="51"/>
  <c r="G6652" i="51" s="1"/>
  <c r="E1403" i="51"/>
  <c r="G1403" i="51" s="1"/>
  <c r="E1354" i="51"/>
  <c r="G1354" i="51" s="1"/>
  <c r="E1451" i="51"/>
  <c r="G1451" i="51" s="1"/>
  <c r="E1306" i="51"/>
  <c r="G1306" i="51" s="1"/>
  <c r="E1257" i="51"/>
  <c r="G1257" i="51" s="1"/>
  <c r="E1549" i="51"/>
  <c r="G1549" i="51" s="1"/>
  <c r="C164" i="28"/>
  <c r="E1106" i="22"/>
  <c r="F1106" i="22" s="1"/>
  <c r="G1106" i="22" s="1"/>
  <c r="E1107" i="18"/>
  <c r="F1107" i="18" s="1"/>
  <c r="G1107" i="18" s="1"/>
  <c r="C7" i="28"/>
  <c r="E1956" i="22"/>
  <c r="F1956" i="22" s="1"/>
  <c r="G1956" i="22" s="1"/>
  <c r="E1954" i="15"/>
  <c r="F1954" i="15" s="1"/>
  <c r="G1954" i="15" s="1"/>
  <c r="E1955" i="4"/>
  <c r="F1955" i="4" s="1"/>
  <c r="G1955" i="4" s="1"/>
  <c r="E1954" i="18"/>
  <c r="F1954" i="18" s="1"/>
  <c r="G1954" i="18" s="1"/>
  <c r="Q90" i="41"/>
  <c r="U90" i="41" s="1"/>
  <c r="Q78" i="41"/>
  <c r="U78" i="41" s="1"/>
  <c r="R29" i="41"/>
  <c r="R8" i="41"/>
  <c r="M286" i="16"/>
  <c r="G286" i="16"/>
  <c r="E875" i="6"/>
  <c r="G875" i="6" s="1"/>
  <c r="H881" i="6" s="1"/>
  <c r="H915" i="6" s="1"/>
  <c r="E659" i="6"/>
  <c r="G659" i="6" s="1"/>
  <c r="H665" i="6" s="1"/>
  <c r="H699" i="6" s="1"/>
  <c r="E66" i="7"/>
  <c r="G66" i="7" s="1"/>
  <c r="H72" i="7" s="1"/>
  <c r="H106" i="7" s="1"/>
  <c r="U40" i="41"/>
  <c r="I34" i="50"/>
  <c r="D34" i="50" s="1"/>
  <c r="E34" i="50" s="1"/>
  <c r="F34" i="50" s="1"/>
  <c r="H5452" i="51"/>
  <c r="P2" i="41"/>
  <c r="P7" i="41" s="1"/>
  <c r="U37" i="41"/>
  <c r="P59" i="41"/>
  <c r="Q6" i="41"/>
  <c r="Q11" i="41" s="1"/>
  <c r="U34" i="41"/>
  <c r="E61" i="1"/>
  <c r="F61" i="1" s="1"/>
  <c r="G61" i="1" s="1"/>
  <c r="E61" i="19"/>
  <c r="F61" i="19" s="1"/>
  <c r="G61" i="19" s="1"/>
  <c r="E590" i="1"/>
  <c r="F590" i="1" s="1"/>
  <c r="G590" i="1" s="1"/>
  <c r="E87" i="19"/>
  <c r="F87" i="19" s="1"/>
  <c r="G87" i="19" s="1"/>
  <c r="AC324" i="16"/>
  <c r="AE324" i="16" s="1"/>
  <c r="AC117" i="16"/>
  <c r="AE117" i="16" s="1"/>
  <c r="E416" i="16"/>
  <c r="E495" i="16" s="1"/>
  <c r="G495" i="16" s="1"/>
  <c r="AK117" i="16"/>
  <c r="AM117" i="16" s="1"/>
  <c r="E117" i="16"/>
  <c r="G117" i="16" s="1"/>
  <c r="M272" i="16"/>
  <c r="O272" i="16" s="1"/>
  <c r="U219" i="16"/>
  <c r="W219" i="16" s="1"/>
  <c r="M66" i="16"/>
  <c r="O66" i="16" s="1"/>
  <c r="AC272" i="16"/>
  <c r="AE272" i="16" s="1"/>
  <c r="E558" i="21"/>
  <c r="F558" i="21" s="1"/>
  <c r="G558" i="21" s="1"/>
  <c r="E2873" i="6"/>
  <c r="G2873" i="6" s="1"/>
  <c r="H2879" i="6" s="1"/>
  <c r="H2913" i="6" s="1"/>
  <c r="H1406" i="8"/>
  <c r="E1430" i="8" s="1"/>
  <c r="G1430" i="8" s="1"/>
  <c r="H1441" i="8" s="1"/>
  <c r="H1460" i="8" s="1"/>
  <c r="C116" i="28"/>
  <c r="E432" i="16"/>
  <c r="G432" i="16" s="1"/>
  <c r="E897" i="18"/>
  <c r="F897" i="18" s="1"/>
  <c r="G897" i="18" s="1"/>
  <c r="C173" i="28"/>
  <c r="E1131" i="22"/>
  <c r="F1131" i="22" s="1"/>
  <c r="G1131" i="22" s="1"/>
  <c r="C165" i="28"/>
  <c r="E1108" i="22"/>
  <c r="F1108" i="22" s="1"/>
  <c r="G1108" i="22" s="1"/>
  <c r="E1109" i="18"/>
  <c r="F1109" i="18" s="1"/>
  <c r="G1109" i="18" s="1"/>
  <c r="C995" i="27"/>
  <c r="E995" i="27" s="1"/>
  <c r="E996" i="27" s="1"/>
  <c r="C974" i="27"/>
  <c r="E974" i="27" s="1"/>
  <c r="E975" i="27" s="1"/>
  <c r="E1597" i="51"/>
  <c r="G1597" i="51" s="1"/>
  <c r="H1608" i="51" s="1"/>
  <c r="E1693" i="51"/>
  <c r="G1693" i="51" s="1"/>
  <c r="E1692" i="51"/>
  <c r="G1692" i="51" s="1"/>
  <c r="C185" i="41"/>
  <c r="Q92" i="41"/>
  <c r="U92" i="41" s="1"/>
  <c r="Q104" i="41"/>
  <c r="U104" i="41" s="1"/>
  <c r="S29" i="41"/>
  <c r="S8" i="41"/>
  <c r="S49" i="41"/>
  <c r="S61" i="41"/>
  <c r="R32" i="41"/>
  <c r="R9" i="41"/>
  <c r="P64" i="41"/>
  <c r="P52" i="41"/>
  <c r="D583" i="27"/>
  <c r="E583" i="27" s="1"/>
  <c r="B484" i="27"/>
  <c r="E484" i="27" s="1"/>
  <c r="R46" i="41"/>
  <c r="R58" i="41"/>
  <c r="U58" i="41" s="1"/>
  <c r="P39" i="41"/>
  <c r="U39" i="41" s="1"/>
  <c r="P6" i="41"/>
  <c r="Q108" i="41"/>
  <c r="U108" i="41" s="1"/>
  <c r="Q96" i="41"/>
  <c r="U96" i="41" s="1"/>
  <c r="P3" i="41"/>
  <c r="E1952" i="22"/>
  <c r="F1952" i="22" s="1"/>
  <c r="G1952" i="22" s="1"/>
  <c r="E1950" i="15"/>
  <c r="F1950" i="15" s="1"/>
  <c r="G1950" i="15" s="1"/>
  <c r="E1950" i="18"/>
  <c r="F1950" i="18" s="1"/>
  <c r="G1950" i="18" s="1"/>
  <c r="E1951" i="4"/>
  <c r="F1951" i="4" s="1"/>
  <c r="G1951" i="4" s="1"/>
  <c r="AE182" i="16"/>
  <c r="AC234" i="16"/>
  <c r="E549" i="17"/>
  <c r="F549" i="17" s="1"/>
  <c r="G549" i="17" s="1"/>
  <c r="E549" i="19"/>
  <c r="F549" i="19" s="1"/>
  <c r="G549" i="19" s="1"/>
  <c r="E549" i="1"/>
  <c r="F549" i="1" s="1"/>
  <c r="G549" i="1" s="1"/>
  <c r="E549" i="21"/>
  <c r="F549" i="21" s="1"/>
  <c r="G549" i="21" s="1"/>
  <c r="E549" i="14"/>
  <c r="F549" i="14" s="1"/>
  <c r="G549" i="14" s="1"/>
  <c r="E444" i="7"/>
  <c r="G444" i="7" s="1"/>
  <c r="H450" i="7" s="1"/>
  <c r="H484" i="7" s="1"/>
  <c r="E557" i="1"/>
  <c r="F557" i="1" s="1"/>
  <c r="G557" i="1" s="1"/>
  <c r="E557" i="17"/>
  <c r="F557" i="17" s="1"/>
  <c r="G557" i="17" s="1"/>
  <c r="E557" i="19"/>
  <c r="F557" i="19" s="1"/>
  <c r="G557" i="19" s="1"/>
  <c r="E557" i="14"/>
  <c r="F557" i="14" s="1"/>
  <c r="G557" i="14" s="1"/>
  <c r="E557" i="21"/>
  <c r="F557" i="21" s="1"/>
  <c r="G557" i="21" s="1"/>
  <c r="E181" i="16"/>
  <c r="U129" i="16"/>
  <c r="O182" i="16"/>
  <c r="U182" i="16"/>
  <c r="W182" i="16" s="1"/>
  <c r="C147" i="28"/>
  <c r="E1276" i="18"/>
  <c r="F1276" i="18" s="1"/>
  <c r="G1276" i="18" s="1"/>
  <c r="E438" i="16"/>
  <c r="G438" i="16" s="1"/>
  <c r="E6874" i="51"/>
  <c r="G6874" i="51" s="1"/>
  <c r="E1645" i="51"/>
  <c r="G1645" i="51" s="1"/>
  <c r="P44" i="41"/>
  <c r="Q110" i="41"/>
  <c r="U110" i="41" s="1"/>
  <c r="Q98" i="41"/>
  <c r="U98" i="41" s="1"/>
  <c r="E61" i="17"/>
  <c r="F61" i="17" s="1"/>
  <c r="G61" i="17" s="1"/>
  <c r="E87" i="17"/>
  <c r="F87" i="17" s="1"/>
  <c r="G87" i="17" s="1"/>
  <c r="U117" i="16"/>
  <c r="W117" i="16" s="1"/>
  <c r="M219" i="16"/>
  <c r="O219" i="16" s="1"/>
  <c r="U169" i="16"/>
  <c r="W169" i="16" s="1"/>
  <c r="E31" i="19"/>
  <c r="F31" i="19" s="1"/>
  <c r="G31" i="19" s="1"/>
  <c r="AC169" i="16"/>
  <c r="AE169" i="16" s="1"/>
  <c r="E324" i="16"/>
  <c r="G324" i="16" s="1"/>
  <c r="E17" i="16"/>
  <c r="G17" i="16" s="1"/>
  <c r="U324" i="16"/>
  <c r="W324" i="16" s="1"/>
  <c r="U66" i="16"/>
  <c r="W66" i="16" s="1"/>
  <c r="E558" i="17"/>
  <c r="F558" i="17" s="1"/>
  <c r="G558" i="17" s="1"/>
  <c r="E1847" i="6"/>
  <c r="G1847" i="6" s="1"/>
  <c r="H1853" i="6" s="1"/>
  <c r="H1887" i="6" s="1"/>
  <c r="C8" i="28"/>
  <c r="E1958" i="22"/>
  <c r="F1958" i="22" s="1"/>
  <c r="G1958" i="22" s="1"/>
  <c r="E27" i="16"/>
  <c r="E1956" i="15"/>
  <c r="F1956" i="15" s="1"/>
  <c r="G1956" i="15" s="1"/>
  <c r="E1957" i="4"/>
  <c r="F1957" i="4" s="1"/>
  <c r="G1957" i="4" s="1"/>
  <c r="E1956" i="18"/>
  <c r="F1956" i="18" s="1"/>
  <c r="G1956" i="18" s="1"/>
  <c r="C123" i="28"/>
  <c r="E924" i="18"/>
  <c r="F924" i="18" s="1"/>
  <c r="G924" i="18" s="1"/>
  <c r="J922" i="3"/>
  <c r="J923" i="3" s="1"/>
  <c r="C115" i="28"/>
  <c r="E895" i="18"/>
  <c r="F895" i="18" s="1"/>
  <c r="G895" i="18" s="1"/>
  <c r="E26" i="16"/>
  <c r="E334" i="16"/>
  <c r="G334" i="16" s="1"/>
  <c r="E431" i="16"/>
  <c r="G431" i="16" s="1"/>
  <c r="C172" i="28"/>
  <c r="E1130" i="22"/>
  <c r="F1130" i="22" s="1"/>
  <c r="G1130" i="22" s="1"/>
  <c r="S52" i="41"/>
  <c r="S64" i="41"/>
  <c r="S50" i="41"/>
  <c r="S62" i="41"/>
  <c r="U62" i="41" s="1"/>
  <c r="R52" i="41"/>
  <c r="R64" i="41"/>
  <c r="R36" i="41"/>
  <c r="R10" i="41"/>
  <c r="P61" i="41"/>
  <c r="P49" i="41"/>
  <c r="R27" i="41"/>
  <c r="R7" i="41"/>
  <c r="M23" i="29"/>
  <c r="M44" i="29" s="1"/>
  <c r="K22" i="29"/>
  <c r="E336" i="7"/>
  <c r="G336" i="7" s="1"/>
  <c r="H342" i="7" s="1"/>
  <c r="H376" i="7" s="1"/>
  <c r="M3421" i="6" s="1"/>
  <c r="O3421" i="6" s="1"/>
  <c r="E767" i="6"/>
  <c r="G767" i="6" s="1"/>
  <c r="H773" i="6" s="1"/>
  <c r="H807" i="6" s="1"/>
  <c r="E554" i="21"/>
  <c r="F554" i="21" s="1"/>
  <c r="G554" i="21" s="1"/>
  <c r="E554" i="14"/>
  <c r="F554" i="14" s="1"/>
  <c r="G554" i="14" s="1"/>
  <c r="E554" i="19"/>
  <c r="F554" i="19" s="1"/>
  <c r="G554" i="19" s="1"/>
  <c r="E554" i="1"/>
  <c r="F554" i="1" s="1"/>
  <c r="G554" i="1" s="1"/>
  <c r="E554" i="17"/>
  <c r="F554" i="17" s="1"/>
  <c r="G554" i="17" s="1"/>
  <c r="E390" i="7"/>
  <c r="G390" i="7" s="1"/>
  <c r="H396" i="7" s="1"/>
  <c r="H430" i="7" s="1"/>
  <c r="E550" i="19"/>
  <c r="F550" i="19" s="1"/>
  <c r="G550" i="19" s="1"/>
  <c r="E550" i="17"/>
  <c r="F550" i="17" s="1"/>
  <c r="G550" i="17" s="1"/>
  <c r="P36" i="41"/>
  <c r="P5" i="41"/>
  <c r="S36" i="41"/>
  <c r="S10" i="41"/>
  <c r="S56" i="41"/>
  <c r="U56" i="41" s="1"/>
  <c r="S44" i="41"/>
  <c r="AA44" i="52"/>
  <c r="Q114" i="41"/>
  <c r="U114" i="41" s="1"/>
  <c r="E87" i="21"/>
  <c r="F87" i="21" s="1"/>
  <c r="G87" i="21" s="1"/>
  <c r="E87" i="14"/>
  <c r="F87" i="14" s="1"/>
  <c r="G87" i="14" s="1"/>
  <c r="E272" i="16"/>
  <c r="G272" i="16" s="1"/>
  <c r="M324" i="16"/>
  <c r="O324" i="16" s="1"/>
  <c r="U272" i="16"/>
  <c r="W272" i="16" s="1"/>
  <c r="E66" i="16"/>
  <c r="G66" i="16" s="1"/>
  <c r="AK324" i="16"/>
  <c r="AM324" i="16" s="1"/>
  <c r="E219" i="16"/>
  <c r="G219" i="16" s="1"/>
  <c r="U17" i="16"/>
  <c r="W17" i="16" s="1"/>
  <c r="E31" i="1"/>
  <c r="F31" i="1" s="1"/>
  <c r="G31" i="1" s="1"/>
  <c r="E558" i="19"/>
  <c r="F558" i="19" s="1"/>
  <c r="G558" i="19" s="1"/>
  <c r="E6651" i="51"/>
  <c r="G6651" i="51" s="1"/>
  <c r="E1256" i="51"/>
  <c r="G1256" i="51" s="1"/>
  <c r="E1450" i="51"/>
  <c r="G1450" i="51" s="1"/>
  <c r="E1305" i="51"/>
  <c r="G1305" i="51" s="1"/>
  <c r="E1548" i="51"/>
  <c r="G1548" i="51" s="1"/>
  <c r="E1402" i="51"/>
  <c r="G1402" i="51" s="1"/>
  <c r="E1353" i="51"/>
  <c r="G1353" i="51" s="1"/>
  <c r="E1644" i="51"/>
  <c r="G1644" i="51" s="1"/>
  <c r="C148" i="28"/>
  <c r="E1287" i="18"/>
  <c r="F1287" i="18" s="1"/>
  <c r="G1287" i="18" s="1"/>
  <c r="E960" i="27"/>
  <c r="E961" i="27" s="1"/>
  <c r="C124" i="28"/>
  <c r="E75" i="16"/>
  <c r="E915" i="18"/>
  <c r="F915" i="18" s="1"/>
  <c r="G915" i="18" s="1"/>
  <c r="S43" i="41"/>
  <c r="S55" i="41"/>
  <c r="C143" i="41"/>
  <c r="U73" i="41"/>
  <c r="S32" i="41"/>
  <c r="S9" i="41"/>
  <c r="S26" i="41"/>
  <c r="C171" i="41"/>
  <c r="S7" i="41"/>
  <c r="U35" i="41"/>
  <c r="U33" i="41"/>
  <c r="S11" i="41"/>
  <c r="M76" i="16"/>
  <c r="M131" i="16"/>
  <c r="M128" i="16"/>
  <c r="G76" i="16"/>
  <c r="E128" i="16"/>
  <c r="G128" i="16" s="1"/>
  <c r="M3089" i="6"/>
  <c r="N3089" i="6"/>
  <c r="P3089" i="6" s="1"/>
  <c r="Q3095" i="6" s="1"/>
  <c r="Q3129" i="6" s="1"/>
  <c r="M227" i="6"/>
  <c r="O227" i="6" s="1"/>
  <c r="P233" i="6" s="1"/>
  <c r="O77" i="16"/>
  <c r="U77" i="16"/>
  <c r="W77" i="16" s="1"/>
  <c r="E596" i="1"/>
  <c r="F596" i="1" s="1"/>
  <c r="G596" i="1" s="1"/>
  <c r="E595" i="21"/>
  <c r="F595" i="21" s="1"/>
  <c r="G595" i="21" s="1"/>
  <c r="E596" i="14"/>
  <c r="F596" i="14" s="1"/>
  <c r="G596" i="14" s="1"/>
  <c r="E281" i="21"/>
  <c r="F281" i="21" s="1"/>
  <c r="G281" i="21" s="1"/>
  <c r="E281" i="14"/>
  <c r="F281" i="14" s="1"/>
  <c r="G281" i="14" s="1"/>
  <c r="E281" i="17"/>
  <c r="F281" i="17" s="1"/>
  <c r="G281" i="17" s="1"/>
  <c r="E281" i="1"/>
  <c r="F281" i="1" s="1"/>
  <c r="G281" i="1" s="1"/>
  <c r="E281" i="19"/>
  <c r="F281" i="19" s="1"/>
  <c r="G281" i="19" s="1"/>
  <c r="E527" i="1"/>
  <c r="F527" i="1" s="1"/>
  <c r="G527" i="1" s="1"/>
  <c r="E527" i="17"/>
  <c r="F527" i="17" s="1"/>
  <c r="G527" i="17" s="1"/>
  <c r="E527" i="21"/>
  <c r="F527" i="21" s="1"/>
  <c r="G527" i="21" s="1"/>
  <c r="E527" i="14"/>
  <c r="F527" i="14" s="1"/>
  <c r="G527" i="14" s="1"/>
  <c r="E527" i="19"/>
  <c r="F527" i="19" s="1"/>
  <c r="G527" i="19" s="1"/>
  <c r="E208" i="21"/>
  <c r="E208" i="17"/>
  <c r="E208" i="19"/>
  <c r="E208" i="1"/>
  <c r="E208" i="14"/>
  <c r="E524" i="1"/>
  <c r="F524" i="1" s="1"/>
  <c r="G524" i="1" s="1"/>
  <c r="E524" i="19"/>
  <c r="F524" i="19" s="1"/>
  <c r="G524" i="19" s="1"/>
  <c r="E524" i="21"/>
  <c r="F524" i="21" s="1"/>
  <c r="G524" i="21" s="1"/>
  <c r="E524" i="14"/>
  <c r="F524" i="14" s="1"/>
  <c r="G524" i="14" s="1"/>
  <c r="E524" i="17"/>
  <c r="F524" i="17" s="1"/>
  <c r="G524" i="17" s="1"/>
  <c r="E515" i="17"/>
  <c r="F515" i="17" s="1"/>
  <c r="G515" i="17" s="1"/>
  <c r="E515" i="1"/>
  <c r="F515" i="1" s="1"/>
  <c r="G515" i="1" s="1"/>
  <c r="E515" i="19"/>
  <c r="F515" i="19" s="1"/>
  <c r="G515" i="19" s="1"/>
  <c r="E515" i="21"/>
  <c r="F515" i="21" s="1"/>
  <c r="G515" i="21" s="1"/>
  <c r="E515" i="14"/>
  <c r="F515" i="14" s="1"/>
  <c r="G515" i="14" s="1"/>
  <c r="E593" i="21"/>
  <c r="F593" i="21" s="1"/>
  <c r="G593" i="21" s="1"/>
  <c r="E593" i="17"/>
  <c r="F593" i="17" s="1"/>
  <c r="G593" i="17" s="1"/>
  <c r="E593" i="1"/>
  <c r="F593" i="1" s="1"/>
  <c r="G593" i="1" s="1"/>
  <c r="E593" i="14"/>
  <c r="F593" i="14" s="1"/>
  <c r="G593" i="14" s="1"/>
  <c r="E480" i="21"/>
  <c r="F480" i="21" s="1"/>
  <c r="G480" i="21" s="1"/>
  <c r="E480" i="14"/>
  <c r="F480" i="14" s="1"/>
  <c r="G480" i="14" s="1"/>
  <c r="E480" i="17"/>
  <c r="F480" i="17" s="1"/>
  <c r="G480" i="17" s="1"/>
  <c r="E480" i="1"/>
  <c r="F480" i="1" s="1"/>
  <c r="G480" i="1" s="1"/>
  <c r="E480" i="19"/>
  <c r="F480" i="19" s="1"/>
  <c r="G480" i="19" s="1"/>
  <c r="E475" i="14"/>
  <c r="F475" i="14" s="1"/>
  <c r="G475" i="14" s="1"/>
  <c r="E475" i="17"/>
  <c r="F475" i="17" s="1"/>
  <c r="G475" i="17" s="1"/>
  <c r="E475" i="1"/>
  <c r="F475" i="1" s="1"/>
  <c r="G475" i="1" s="1"/>
  <c r="E475" i="19"/>
  <c r="F475" i="19" s="1"/>
  <c r="G475" i="19" s="1"/>
  <c r="E475" i="21"/>
  <c r="F475" i="21" s="1"/>
  <c r="G475" i="21" s="1"/>
  <c r="E377" i="21"/>
  <c r="F377" i="21" s="1"/>
  <c r="G377" i="21" s="1"/>
  <c r="E377" i="14"/>
  <c r="F377" i="14" s="1"/>
  <c r="G377" i="14" s="1"/>
  <c r="E377" i="17"/>
  <c r="F377" i="17" s="1"/>
  <c r="G377" i="17" s="1"/>
  <c r="E377" i="1"/>
  <c r="F377" i="1" s="1"/>
  <c r="G377" i="1" s="1"/>
  <c r="E377" i="19"/>
  <c r="F377" i="19" s="1"/>
  <c r="G377" i="19" s="1"/>
  <c r="E280" i="21"/>
  <c r="F280" i="21" s="1"/>
  <c r="G280" i="21" s="1"/>
  <c r="E280" i="14"/>
  <c r="F280" i="14" s="1"/>
  <c r="G280" i="14" s="1"/>
  <c r="E280" i="17"/>
  <c r="F280" i="17" s="1"/>
  <c r="G280" i="17" s="1"/>
  <c r="E280" i="1"/>
  <c r="F280" i="1" s="1"/>
  <c r="G280" i="1" s="1"/>
  <c r="E280" i="19"/>
  <c r="F280" i="19" s="1"/>
  <c r="G280" i="19" s="1"/>
  <c r="E326" i="1"/>
  <c r="F326" i="1" s="1"/>
  <c r="G326" i="1" s="1"/>
  <c r="E326" i="14"/>
  <c r="F326" i="14" s="1"/>
  <c r="G326" i="14" s="1"/>
  <c r="E326" i="19"/>
  <c r="F326" i="19" s="1"/>
  <c r="G326" i="19" s="1"/>
  <c r="E326" i="17"/>
  <c r="F326" i="17" s="1"/>
  <c r="G326" i="17" s="1"/>
  <c r="E326" i="21"/>
  <c r="F326" i="21" s="1"/>
  <c r="G326" i="21" s="1"/>
  <c r="E511" i="19"/>
  <c r="F511" i="19" s="1"/>
  <c r="G511" i="19" s="1"/>
  <c r="E511" i="1"/>
  <c r="F511" i="1" s="1"/>
  <c r="G511" i="1" s="1"/>
  <c r="E511" i="17"/>
  <c r="F511" i="17" s="1"/>
  <c r="G511" i="17" s="1"/>
  <c r="E511" i="21"/>
  <c r="F511" i="21" s="1"/>
  <c r="G511" i="21" s="1"/>
  <c r="E511" i="14"/>
  <c r="F511" i="14" s="1"/>
  <c r="G511" i="14" s="1"/>
  <c r="U70" i="16"/>
  <c r="W70" i="16" s="1"/>
  <c r="E70" i="16"/>
  <c r="G70" i="16" s="1"/>
  <c r="E380" i="16"/>
  <c r="G380" i="16" s="1"/>
  <c r="AK328" i="16"/>
  <c r="AM328" i="16" s="1"/>
  <c r="AC223" i="16"/>
  <c r="AE223" i="16" s="1"/>
  <c r="AK121" i="16"/>
  <c r="AM121" i="16" s="1"/>
  <c r="E472" i="21"/>
  <c r="F472" i="21" s="1"/>
  <c r="G472" i="21" s="1"/>
  <c r="E472" i="17"/>
  <c r="F472" i="17" s="1"/>
  <c r="G472" i="17" s="1"/>
  <c r="U276" i="16"/>
  <c r="W276" i="16" s="1"/>
  <c r="U173" i="16"/>
  <c r="W173" i="16" s="1"/>
  <c r="M121" i="16"/>
  <c r="O121" i="16" s="1"/>
  <c r="M328" i="16"/>
  <c r="O328" i="16" s="1"/>
  <c r="M223" i="16"/>
  <c r="O223" i="16" s="1"/>
  <c r="E328" i="16"/>
  <c r="G328" i="16" s="1"/>
  <c r="E173" i="16"/>
  <c r="G173" i="16" s="1"/>
  <c r="U21" i="16"/>
  <c r="W21" i="16" s="1"/>
  <c r="E276" i="16"/>
  <c r="G276" i="16" s="1"/>
  <c r="M21" i="16"/>
  <c r="O21" i="16" s="1"/>
  <c r="M70" i="16"/>
  <c r="O70" i="16" s="1"/>
  <c r="E472" i="19"/>
  <c r="F472" i="19" s="1"/>
  <c r="G472" i="19" s="1"/>
  <c r="E420" i="16"/>
  <c r="AC276" i="16"/>
  <c r="AE276" i="16" s="1"/>
  <c r="AC173" i="16"/>
  <c r="AE173" i="16" s="1"/>
  <c r="AC21" i="16"/>
  <c r="AE21" i="16" s="1"/>
  <c r="U328" i="16"/>
  <c r="W328" i="16" s="1"/>
  <c r="U223" i="16"/>
  <c r="W223" i="16" s="1"/>
  <c r="AC328" i="16"/>
  <c r="AE328" i="16" s="1"/>
  <c r="U121" i="16"/>
  <c r="W121" i="16" s="1"/>
  <c r="M276" i="16"/>
  <c r="O276" i="16" s="1"/>
  <c r="M173" i="16"/>
  <c r="O173" i="16" s="1"/>
  <c r="E223" i="16"/>
  <c r="G223" i="16" s="1"/>
  <c r="E121" i="16"/>
  <c r="G121" i="16" s="1"/>
  <c r="E21" i="16"/>
  <c r="G21" i="16" s="1"/>
  <c r="AC121" i="16"/>
  <c r="AE121" i="16" s="1"/>
  <c r="E472" i="14"/>
  <c r="F472" i="14" s="1"/>
  <c r="G472" i="14" s="1"/>
  <c r="E472" i="1"/>
  <c r="F472" i="1" s="1"/>
  <c r="G472" i="1" s="1"/>
  <c r="E341" i="10"/>
  <c r="G341" i="10" s="1"/>
  <c r="M341" i="10"/>
  <c r="O341" i="10" s="1"/>
  <c r="E3371" i="6"/>
  <c r="G3371" i="6" s="1"/>
  <c r="E1160" i="8"/>
  <c r="G1160" i="8" s="1"/>
  <c r="M3422" i="6"/>
  <c r="O3422" i="6" s="1"/>
  <c r="E528" i="17"/>
  <c r="F528" i="17" s="1"/>
  <c r="G528" i="17" s="1"/>
  <c r="E528" i="1"/>
  <c r="F528" i="1" s="1"/>
  <c r="G528" i="1" s="1"/>
  <c r="E528" i="19"/>
  <c r="F528" i="19" s="1"/>
  <c r="G528" i="19" s="1"/>
  <c r="E528" i="21"/>
  <c r="F528" i="21" s="1"/>
  <c r="G528" i="21" s="1"/>
  <c r="E528" i="14"/>
  <c r="F528" i="14" s="1"/>
  <c r="G528" i="14" s="1"/>
  <c r="E465" i="21"/>
  <c r="F465" i="21" s="1"/>
  <c r="G465" i="21" s="1"/>
  <c r="E462" i="19"/>
  <c r="F462" i="19" s="1"/>
  <c r="G462" i="19" s="1"/>
  <c r="E465" i="17"/>
  <c r="F465" i="17" s="1"/>
  <c r="G465" i="17" s="1"/>
  <c r="E465" i="1"/>
  <c r="F465" i="1" s="1"/>
  <c r="G465" i="1" s="1"/>
  <c r="E459" i="19"/>
  <c r="F459" i="19" s="1"/>
  <c r="G459" i="19" s="1"/>
  <c r="E465" i="19"/>
  <c r="F465" i="19" s="1"/>
  <c r="G465" i="19" s="1"/>
  <c r="E459" i="14"/>
  <c r="F459" i="14" s="1"/>
  <c r="G459" i="14" s="1"/>
  <c r="E462" i="21"/>
  <c r="F462" i="21" s="1"/>
  <c r="G462" i="21" s="1"/>
  <c r="E459" i="17"/>
  <c r="F459" i="17" s="1"/>
  <c r="G459" i="17" s="1"/>
  <c r="E462" i="14"/>
  <c r="F462" i="14" s="1"/>
  <c r="G462" i="14" s="1"/>
  <c r="E459" i="1"/>
  <c r="F459" i="1" s="1"/>
  <c r="G459" i="1" s="1"/>
  <c r="E459" i="21"/>
  <c r="F459" i="21" s="1"/>
  <c r="G459" i="21" s="1"/>
  <c r="E462" i="17"/>
  <c r="F462" i="17" s="1"/>
  <c r="G462" i="17" s="1"/>
  <c r="E465" i="14"/>
  <c r="F465" i="14" s="1"/>
  <c r="G465" i="14" s="1"/>
  <c r="E462" i="1"/>
  <c r="F462" i="1" s="1"/>
  <c r="G462" i="1" s="1"/>
  <c r="E322" i="19"/>
  <c r="F322" i="19" s="1"/>
  <c r="G322" i="19" s="1"/>
  <c r="E322" i="21"/>
  <c r="F322" i="21" s="1"/>
  <c r="G322" i="21" s="1"/>
  <c r="E322" i="1"/>
  <c r="F322" i="1" s="1"/>
  <c r="G322" i="1" s="1"/>
  <c r="E322" i="14"/>
  <c r="F322" i="14" s="1"/>
  <c r="G322" i="14" s="1"/>
  <c r="E322" i="17"/>
  <c r="F322" i="17" s="1"/>
  <c r="G322" i="17" s="1"/>
  <c r="E357" i="1"/>
  <c r="F357" i="1" s="1"/>
  <c r="G357" i="1" s="1"/>
  <c r="E357" i="19"/>
  <c r="F357" i="19" s="1"/>
  <c r="G357" i="19" s="1"/>
  <c r="E336" i="1"/>
  <c r="F336" i="1" s="1"/>
  <c r="G336" i="1" s="1"/>
  <c r="E336" i="19"/>
  <c r="F336" i="19" s="1"/>
  <c r="G336" i="19" s="1"/>
  <c r="E336" i="14"/>
  <c r="F336" i="14" s="1"/>
  <c r="G336" i="14" s="1"/>
  <c r="E336" i="21"/>
  <c r="F336" i="21" s="1"/>
  <c r="G336" i="21" s="1"/>
  <c r="E336" i="17"/>
  <c r="E351" i="21"/>
  <c r="F351" i="21" s="1"/>
  <c r="G351" i="21" s="1"/>
  <c r="E351" i="14"/>
  <c r="F351" i="14" s="1"/>
  <c r="G351" i="14" s="1"/>
  <c r="E351" i="17"/>
  <c r="F351" i="17" s="1"/>
  <c r="G351" i="17" s="1"/>
  <c r="E351" i="1"/>
  <c r="F351" i="1" s="1"/>
  <c r="G351" i="1" s="1"/>
  <c r="E351" i="19"/>
  <c r="F351" i="19" s="1"/>
  <c r="G351" i="19" s="1"/>
  <c r="E521" i="1"/>
  <c r="F521" i="1" s="1"/>
  <c r="G521" i="1" s="1"/>
  <c r="E521" i="19"/>
  <c r="F521" i="19" s="1"/>
  <c r="G521" i="19" s="1"/>
  <c r="E521" i="21"/>
  <c r="F521" i="21" s="1"/>
  <c r="G521" i="21" s="1"/>
  <c r="E521" i="14"/>
  <c r="F521" i="14" s="1"/>
  <c r="G521" i="14" s="1"/>
  <c r="E521" i="17"/>
  <c r="F521" i="17" s="1"/>
  <c r="G521" i="17" s="1"/>
  <c r="E506" i="21"/>
  <c r="F506" i="21" s="1"/>
  <c r="G506" i="21" s="1"/>
  <c r="E506" i="14"/>
  <c r="F506" i="14" s="1"/>
  <c r="G506" i="14" s="1"/>
  <c r="E506" i="17"/>
  <c r="F506" i="17" s="1"/>
  <c r="G506" i="17" s="1"/>
  <c r="E506" i="1"/>
  <c r="F506" i="1" s="1"/>
  <c r="G506" i="1" s="1"/>
  <c r="E506" i="19"/>
  <c r="F506" i="19" s="1"/>
  <c r="G506" i="19" s="1"/>
  <c r="E491" i="14"/>
  <c r="F491" i="14" s="1"/>
  <c r="G491" i="14" s="1"/>
  <c r="E491" i="17"/>
  <c r="F491" i="17" s="1"/>
  <c r="G491" i="17" s="1"/>
  <c r="E491" i="1"/>
  <c r="F491" i="1" s="1"/>
  <c r="G491" i="1" s="1"/>
  <c r="E491" i="19"/>
  <c r="F491" i="19" s="1"/>
  <c r="G491" i="19" s="1"/>
  <c r="E491" i="21"/>
  <c r="F491" i="21" s="1"/>
  <c r="G491" i="21" s="1"/>
  <c r="E581" i="14"/>
  <c r="F581" i="14" s="1"/>
  <c r="G581" i="14" s="1"/>
  <c r="E581" i="1"/>
  <c r="F581" i="1" s="1"/>
  <c r="G581" i="1" s="1"/>
  <c r="E581" i="17"/>
  <c r="F581" i="17" s="1"/>
  <c r="G581" i="17" s="1"/>
  <c r="E581" i="21"/>
  <c r="F581" i="21" s="1"/>
  <c r="G581" i="21" s="1"/>
  <c r="C122" i="28"/>
  <c r="E866" i="18"/>
  <c r="F866" i="18" s="1"/>
  <c r="G866" i="18" s="1"/>
  <c r="C163" i="28"/>
  <c r="E1103" i="22"/>
  <c r="F1103" i="22" s="1"/>
  <c r="G1103" i="22" s="1"/>
  <c r="E1104" i="18"/>
  <c r="F1104" i="18" s="1"/>
  <c r="G1104" i="18" s="1"/>
  <c r="D6926" i="51"/>
  <c r="D6876" i="51"/>
  <c r="D6775" i="51"/>
  <c r="D6575" i="51"/>
  <c r="D5944" i="51"/>
  <c r="D5992" i="51"/>
  <c r="D5418" i="51"/>
  <c r="D6280" i="51"/>
  <c r="D5658" i="51"/>
  <c r="D5753" i="51"/>
  <c r="D5329" i="51"/>
  <c r="D5280" i="51"/>
  <c r="D4649" i="51"/>
  <c r="D3160" i="51"/>
  <c r="D4215" i="51"/>
  <c r="D2967" i="51"/>
  <c r="D4407" i="51"/>
  <c r="D3544" i="51"/>
  <c r="D2775" i="51"/>
  <c r="D2439" i="51"/>
  <c r="D3592" i="51"/>
  <c r="D2871" i="51"/>
  <c r="D2052" i="51"/>
  <c r="D2197" i="51"/>
  <c r="D1668" i="51"/>
  <c r="D143" i="51"/>
  <c r="D984" i="51"/>
  <c r="D736" i="51"/>
  <c r="D489" i="51"/>
  <c r="D441" i="51"/>
  <c r="D1716" i="51"/>
  <c r="D1812" i="51"/>
  <c r="D341" i="51"/>
  <c r="D1523" i="51"/>
  <c r="D6724" i="51"/>
  <c r="D4986" i="51"/>
  <c r="D5848" i="51"/>
  <c r="D5799" i="51"/>
  <c r="D6476" i="51"/>
  <c r="D6137" i="51"/>
  <c r="D5378" i="51"/>
  <c r="D5514" i="51"/>
  <c r="D5233" i="51"/>
  <c r="D4601" i="51"/>
  <c r="D4167" i="51"/>
  <c r="D3112" i="51"/>
  <c r="D4071" i="51"/>
  <c r="D2631" i="51"/>
  <c r="D4311" i="51"/>
  <c r="D3352" i="51"/>
  <c r="D2823" i="51"/>
  <c r="D2390" i="51"/>
  <c r="D3496" i="51"/>
  <c r="D2727" i="51"/>
  <c r="D1909" i="51"/>
  <c r="D2101" i="51"/>
  <c r="D1572" i="51"/>
  <c r="D1082" i="51"/>
  <c r="D886" i="51"/>
  <c r="D687" i="51"/>
  <c r="D391" i="51"/>
  <c r="D194" i="51"/>
  <c r="D1620" i="51"/>
  <c r="D1377" i="51"/>
  <c r="D242" i="51"/>
  <c r="D6675" i="51"/>
  <c r="D5034" i="51"/>
  <c r="D5608" i="51"/>
  <c r="D5562" i="51"/>
  <c r="D6184" i="51"/>
  <c r="D5896" i="51"/>
  <c r="D6088" i="51"/>
  <c r="D5131" i="51"/>
  <c r="D5082" i="51"/>
  <c r="D4119" i="51"/>
  <c r="D3448" i="51"/>
  <c r="D2919" i="51"/>
  <c r="D3400" i="51"/>
  <c r="D2583" i="51"/>
  <c r="D4263" i="51"/>
  <c r="D3304" i="51"/>
  <c r="D4503" i="51"/>
  <c r="D2535" i="51"/>
  <c r="D2245" i="51"/>
  <c r="D2341" i="51"/>
  <c r="D2004" i="51"/>
  <c r="D1329" i="51"/>
  <c r="D1231" i="51"/>
  <c r="D836" i="51"/>
  <c r="D637" i="51"/>
  <c r="D1426" i="51"/>
  <c r="D1861" i="51"/>
  <c r="D1474" i="51"/>
  <c r="D1033" i="51"/>
  <c r="D6826" i="51"/>
  <c r="D6625" i="51"/>
  <c r="D4937" i="51"/>
  <c r="D6232" i="51"/>
  <c r="D6378" i="51"/>
  <c r="D5895" i="51"/>
  <c r="D6040" i="51"/>
  <c r="D5181" i="51"/>
  <c r="D4552" i="51"/>
  <c r="D3208" i="51"/>
  <c r="D2679" i="51"/>
  <c r="D3064" i="51"/>
  <c r="D4455" i="51"/>
  <c r="D3016" i="51"/>
  <c r="D4359" i="51"/>
  <c r="D3256" i="51"/>
  <c r="D2487" i="51"/>
  <c r="D2149" i="51"/>
  <c r="D2293" i="51"/>
  <c r="D1957" i="51"/>
  <c r="D1280" i="51"/>
  <c r="D1132" i="51"/>
  <c r="D785" i="51"/>
  <c r="D589" i="51"/>
  <c r="D539" i="51"/>
  <c r="D1763" i="51"/>
  <c r="D935" i="51"/>
  <c r="D1182" i="51"/>
  <c r="C257" i="28"/>
  <c r="C6" i="28"/>
  <c r="E1954" i="22"/>
  <c r="F1954" i="22" s="1"/>
  <c r="G1954" i="22" s="1"/>
  <c r="E1952" i="15"/>
  <c r="F1952" i="15" s="1"/>
  <c r="G1952" i="15" s="1"/>
  <c r="E1953" i="4"/>
  <c r="F1953" i="4" s="1"/>
  <c r="G1953" i="4" s="1"/>
  <c r="E1952" i="18"/>
  <c r="F1952" i="18" s="1"/>
  <c r="G1952" i="18" s="1"/>
  <c r="C41" i="28"/>
  <c r="E1447" i="18"/>
  <c r="F1447" i="18" s="1"/>
  <c r="G1447" i="18" s="1"/>
  <c r="C145" i="28"/>
  <c r="E1271" i="18"/>
  <c r="F1271" i="18" s="1"/>
  <c r="G1271" i="18" s="1"/>
  <c r="C170" i="28"/>
  <c r="E1125" i="22"/>
  <c r="F1125" i="22" s="1"/>
  <c r="G1125" i="22" s="1"/>
  <c r="C204" i="28"/>
  <c r="E230" i="16"/>
  <c r="E1912" i="18"/>
  <c r="F1912" i="18" s="1"/>
  <c r="G1912" i="18" s="1"/>
  <c r="C5" i="28"/>
  <c r="E1953" i="22"/>
  <c r="F1953" i="22" s="1"/>
  <c r="G1953" i="22" s="1"/>
  <c r="E1951" i="18"/>
  <c r="F1951" i="18" s="1"/>
  <c r="G1951" i="18" s="1"/>
  <c r="E1952" i="4"/>
  <c r="F1952" i="4" s="1"/>
  <c r="G1952" i="4" s="1"/>
  <c r="E1951" i="15"/>
  <c r="F1951" i="15" s="1"/>
  <c r="G1951" i="15" s="1"/>
  <c r="C40" i="28"/>
  <c r="E1446" i="15"/>
  <c r="F1446" i="15" s="1"/>
  <c r="G1446" i="15" s="1"/>
  <c r="E1446" i="18"/>
  <c r="F1446" i="18" s="1"/>
  <c r="G1446" i="18" s="1"/>
  <c r="E1446" i="22"/>
  <c r="F1446" i="22" s="1"/>
  <c r="G1446" i="22" s="1"/>
  <c r="E1446" i="4"/>
  <c r="F1446" i="4" s="1"/>
  <c r="G1446" i="4" s="1"/>
  <c r="C239" i="28"/>
  <c r="E333" i="16"/>
  <c r="G333" i="16" s="1"/>
  <c r="D6925" i="51"/>
  <c r="D6774" i="51"/>
  <c r="D6674" i="51"/>
  <c r="D5033" i="51"/>
  <c r="D1522" i="51"/>
  <c r="D6875" i="51"/>
  <c r="D6723" i="51"/>
  <c r="D6574" i="51"/>
  <c r="D6825" i="51"/>
  <c r="D4985" i="51"/>
  <c r="D5657" i="51"/>
  <c r="D5180" i="51"/>
  <c r="D4551" i="51"/>
  <c r="D4070" i="51"/>
  <c r="D3638" i="51"/>
  <c r="D2870" i="51"/>
  <c r="D4406" i="51"/>
  <c r="D3543" i="51"/>
  <c r="D2918" i="51"/>
  <c r="D3591" i="51"/>
  <c r="D2534" i="51"/>
  <c r="D3878" i="51"/>
  <c r="D2774" i="51"/>
  <c r="D2822" i="51"/>
  <c r="D2340" i="51"/>
  <c r="D2051" i="51"/>
  <c r="D2100" i="51"/>
  <c r="D440" i="51"/>
  <c r="D1619" i="51"/>
  <c r="D241" i="51"/>
  <c r="D1181" i="51"/>
  <c r="D1328" i="51"/>
  <c r="D1131" i="51"/>
  <c r="D784" i="51"/>
  <c r="D588" i="51"/>
  <c r="D6624" i="51"/>
  <c r="D4936" i="51"/>
  <c r="D5417" i="51"/>
  <c r="D5513" i="51"/>
  <c r="D5130" i="51"/>
  <c r="D4648" i="51"/>
  <c r="D4022" i="51"/>
  <c r="D3399" i="51"/>
  <c r="D2630" i="51"/>
  <c r="D4310" i="51"/>
  <c r="D3351" i="51"/>
  <c r="D4502" i="51"/>
  <c r="D3495" i="51"/>
  <c r="D4166" i="51"/>
  <c r="D3686" i="51"/>
  <c r="D2486" i="51"/>
  <c r="D2678" i="51"/>
  <c r="D2292" i="51"/>
  <c r="D1908" i="51"/>
  <c r="D2003" i="51"/>
  <c r="D1860" i="51"/>
  <c r="D1473" i="51"/>
  <c r="D1811" i="51"/>
  <c r="D340" i="51"/>
  <c r="D1279" i="51"/>
  <c r="D983" i="51"/>
  <c r="D735" i="51"/>
  <c r="D488" i="51"/>
  <c r="D5377" i="51"/>
  <c r="D5328" i="51"/>
  <c r="D5279" i="51"/>
  <c r="D4600" i="51"/>
  <c r="D3926" i="51"/>
  <c r="D3063" i="51"/>
  <c r="D2582" i="51"/>
  <c r="D4262" i="51"/>
  <c r="D3303" i="51"/>
  <c r="D4358" i="51"/>
  <c r="D3255" i="51"/>
  <c r="D4118" i="51"/>
  <c r="D3207" i="51"/>
  <c r="D3447" i="51"/>
  <c r="D2438" i="51"/>
  <c r="D2244" i="51"/>
  <c r="D1956" i="51"/>
  <c r="D1425" i="51"/>
  <c r="D1762" i="51"/>
  <c r="D934" i="51"/>
  <c r="D1376" i="51"/>
  <c r="D1667" i="51"/>
  <c r="D1081" i="51"/>
  <c r="D885" i="51"/>
  <c r="D686" i="51"/>
  <c r="D390" i="51"/>
  <c r="D5561" i="51"/>
  <c r="D5752" i="51"/>
  <c r="D6524" i="51"/>
  <c r="D5232" i="51"/>
  <c r="D5081" i="51"/>
  <c r="D4214" i="51"/>
  <c r="D3830" i="51"/>
  <c r="D2966" i="51"/>
  <c r="D4454" i="51"/>
  <c r="D3782" i="51"/>
  <c r="D3015" i="51"/>
  <c r="D3734" i="51"/>
  <c r="D2726" i="51"/>
  <c r="D3974" i="51"/>
  <c r="D3111" i="51"/>
  <c r="D3159" i="51"/>
  <c r="D2389" i="51"/>
  <c r="D2148" i="51"/>
  <c r="D2196" i="51"/>
  <c r="D538" i="51"/>
  <c r="D1715" i="51"/>
  <c r="D193" i="51"/>
  <c r="D1032" i="51"/>
  <c r="D1571" i="51"/>
  <c r="D1230" i="51"/>
  <c r="D835" i="51"/>
  <c r="D636" i="51"/>
  <c r="U51" i="41"/>
  <c r="Q81" i="41"/>
  <c r="Q68" i="41"/>
  <c r="U68" i="41" s="1"/>
  <c r="Q105" i="41"/>
  <c r="Q93" i="41"/>
  <c r="U93" i="41" s="1"/>
  <c r="U74" i="41"/>
  <c r="K401" i="27"/>
  <c r="I401" i="27"/>
  <c r="E33" i="24"/>
  <c r="G33" i="24" s="1"/>
  <c r="G34" i="24"/>
  <c r="E484" i="16"/>
  <c r="G484" i="16" s="1"/>
  <c r="H490" i="16" s="1"/>
  <c r="E88" i="17"/>
  <c r="F88" i="17" s="1"/>
  <c r="G88" i="17" s="1"/>
  <c r="E88" i="19"/>
  <c r="F88" i="19" s="1"/>
  <c r="G88" i="19" s="1"/>
  <c r="E88" i="21"/>
  <c r="F88" i="21" s="1"/>
  <c r="G88" i="21" s="1"/>
  <c r="E3529" i="5"/>
  <c r="G3529" i="5" s="1"/>
  <c r="H3535" i="5" s="1"/>
  <c r="H3570" i="5" s="1"/>
  <c r="E88" i="14"/>
  <c r="F88" i="14" s="1"/>
  <c r="G88" i="14" s="1"/>
  <c r="E88" i="1"/>
  <c r="F88" i="1" s="1"/>
  <c r="G88" i="1" s="1"/>
  <c r="E423" i="16"/>
  <c r="G423" i="16" s="1"/>
  <c r="E3372" i="6"/>
  <c r="G3372" i="6" s="1"/>
  <c r="E72" i="17"/>
  <c r="F72" i="17" s="1"/>
  <c r="G72" i="17" s="1"/>
  <c r="E72" i="1"/>
  <c r="F72" i="1" s="1"/>
  <c r="G72" i="1" s="1"/>
  <c r="E72" i="19"/>
  <c r="F72" i="19" s="1"/>
  <c r="G72" i="19" s="1"/>
  <c r="E72" i="14"/>
  <c r="F72" i="14" s="1"/>
  <c r="G72" i="14" s="1"/>
  <c r="E295" i="5"/>
  <c r="G295" i="5" s="1"/>
  <c r="H307" i="5" s="1"/>
  <c r="H326" i="5" s="1"/>
  <c r="E72" i="21"/>
  <c r="F72" i="21" s="1"/>
  <c r="G72" i="21" s="1"/>
  <c r="E47" i="14"/>
  <c r="F47" i="14" s="1"/>
  <c r="G47" i="14" s="1"/>
  <c r="E47" i="17"/>
  <c r="F47" i="17" s="1"/>
  <c r="G47" i="17" s="1"/>
  <c r="E47" i="19"/>
  <c r="F47" i="19" s="1"/>
  <c r="G47" i="19" s="1"/>
  <c r="E47" i="21"/>
  <c r="F47" i="21" s="1"/>
  <c r="G47" i="21" s="1"/>
  <c r="E47" i="1"/>
  <c r="F47" i="1" s="1"/>
  <c r="G47" i="1" s="1"/>
  <c r="M286" i="8"/>
  <c r="O286" i="8" s="1"/>
  <c r="P292" i="8" s="1"/>
  <c r="P326" i="8" s="1"/>
  <c r="U552" i="7"/>
  <c r="W552" i="7" s="1"/>
  <c r="X558" i="7" s="1"/>
  <c r="X592" i="7" s="1"/>
  <c r="M551" i="6"/>
  <c r="O551" i="6" s="1"/>
  <c r="P557" i="6" s="1"/>
  <c r="P591" i="6" s="1"/>
  <c r="M228" i="7"/>
  <c r="O228" i="7" s="1"/>
  <c r="P234" i="7" s="1"/>
  <c r="P270" i="7" s="1"/>
  <c r="M3197" i="6"/>
  <c r="O3197" i="6" s="1"/>
  <c r="P3203" i="6" s="1"/>
  <c r="E32" i="14"/>
  <c r="F32" i="14" s="1"/>
  <c r="G32" i="14" s="1"/>
  <c r="E32" i="17"/>
  <c r="F32" i="17" s="1"/>
  <c r="G32" i="17" s="1"/>
  <c r="E32" i="1"/>
  <c r="F32" i="1" s="1"/>
  <c r="G32" i="1" s="1"/>
  <c r="E32" i="19"/>
  <c r="F32" i="19" s="1"/>
  <c r="G32" i="19" s="1"/>
  <c r="E32" i="21"/>
  <c r="F32" i="21" s="1"/>
  <c r="G32" i="21" s="1"/>
  <c r="E498" i="7"/>
  <c r="G498" i="7" s="1"/>
  <c r="H504" i="7" s="1"/>
  <c r="H538" i="7" s="1"/>
  <c r="M282" i="7"/>
  <c r="O282" i="7" s="1"/>
  <c r="P288" i="7" s="1"/>
  <c r="P324" i="7" s="1"/>
  <c r="E73" i="21"/>
  <c r="F73" i="21" s="1"/>
  <c r="G73" i="21" s="1"/>
  <c r="E73" i="1"/>
  <c r="F73" i="1" s="1"/>
  <c r="G73" i="1" s="1"/>
  <c r="E73" i="14"/>
  <c r="F73" i="14" s="1"/>
  <c r="G73" i="14" s="1"/>
  <c r="E73" i="19"/>
  <c r="F73" i="19" s="1"/>
  <c r="G73" i="19" s="1"/>
  <c r="E73" i="17"/>
  <c r="F73" i="17" s="1"/>
  <c r="G73" i="17" s="1"/>
  <c r="G71" i="17"/>
  <c r="E3309" i="5"/>
  <c r="G3309" i="5" s="1"/>
  <c r="H3315" i="5" s="1"/>
  <c r="E84" i="14"/>
  <c r="F84" i="14" s="1"/>
  <c r="G84" i="14" s="1"/>
  <c r="E84" i="17"/>
  <c r="F84" i="17" s="1"/>
  <c r="G84" i="17" s="1"/>
  <c r="E84" i="19"/>
  <c r="F84" i="19" s="1"/>
  <c r="G84" i="19" s="1"/>
  <c r="E84" i="21"/>
  <c r="F84" i="21" s="1"/>
  <c r="G84" i="21" s="1"/>
  <c r="E84" i="1"/>
  <c r="F84" i="1" s="1"/>
  <c r="G84" i="1" s="1"/>
  <c r="E75" i="19"/>
  <c r="F75" i="19" s="1"/>
  <c r="G75" i="19" s="1"/>
  <c r="E75" i="21"/>
  <c r="F75" i="21" s="1"/>
  <c r="G75" i="21" s="1"/>
  <c r="E75" i="1"/>
  <c r="F75" i="1" s="1"/>
  <c r="G75" i="1" s="1"/>
  <c r="E75" i="14"/>
  <c r="F75" i="14" s="1"/>
  <c r="G75" i="14" s="1"/>
  <c r="E507" i="9"/>
  <c r="G507" i="9" s="1"/>
  <c r="H518" i="9" s="1"/>
  <c r="H537" i="9" s="1"/>
  <c r="E75" i="17"/>
  <c r="F75" i="17" s="1"/>
  <c r="G75" i="17" s="1"/>
  <c r="M507" i="9"/>
  <c r="O507" i="9" s="1"/>
  <c r="P518" i="9" s="1"/>
  <c r="H818" i="5"/>
  <c r="H820" i="5" s="1"/>
  <c r="AC556" i="8"/>
  <c r="AE556" i="8" s="1"/>
  <c r="AF562" i="8" s="1"/>
  <c r="AF596" i="8" s="1"/>
  <c r="M174" i="7"/>
  <c r="O174" i="7" s="1"/>
  <c r="P180" i="7" s="1"/>
  <c r="P214" i="7" s="1"/>
  <c r="U1469" i="6"/>
  <c r="W1469" i="6" s="1"/>
  <c r="X1475" i="6" s="1"/>
  <c r="E1145" i="6"/>
  <c r="G1145" i="6" s="1"/>
  <c r="H1151" i="6" s="1"/>
  <c r="H1185" i="6" s="1"/>
  <c r="M2063" i="6"/>
  <c r="O2063" i="6" s="1"/>
  <c r="P2069" i="6" s="1"/>
  <c r="P2103" i="6" s="1"/>
  <c r="E1361" i="6"/>
  <c r="G1361" i="6" s="1"/>
  <c r="H1367" i="6" s="1"/>
  <c r="H1401" i="6" s="1"/>
  <c r="E497" i="6"/>
  <c r="G497" i="6" s="1"/>
  <c r="H503" i="6" s="1"/>
  <c r="H537" i="6" s="1"/>
  <c r="E1469" i="6"/>
  <c r="G1469" i="6" s="1"/>
  <c r="H1475" i="6" s="1"/>
  <c r="M389" i="6"/>
  <c r="O389" i="6" s="1"/>
  <c r="P395" i="6" s="1"/>
  <c r="P348" i="10"/>
  <c r="P367" i="10" s="1"/>
  <c r="AK1793" i="6"/>
  <c r="AM1793" i="6" s="1"/>
  <c r="AN1799" i="6" s="1"/>
  <c r="AN1833" i="6" s="1"/>
  <c r="AS1793" i="6"/>
  <c r="AU1793" i="6" s="1"/>
  <c r="AV1799" i="6" s="1"/>
  <c r="AV1833" i="6" s="1"/>
  <c r="E2603" i="6"/>
  <c r="G2603" i="6" s="1"/>
  <c r="H2609" i="6" s="1"/>
  <c r="H2643" i="6" s="1"/>
  <c r="E281" i="6"/>
  <c r="G281" i="6" s="1"/>
  <c r="H287" i="6" s="1"/>
  <c r="E394" i="8"/>
  <c r="G394" i="8" s="1"/>
  <c r="H400" i="8" s="1"/>
  <c r="E178" i="8"/>
  <c r="G178" i="8" s="1"/>
  <c r="H184" i="8" s="1"/>
  <c r="H218" i="8" s="1"/>
  <c r="E1528" i="8"/>
  <c r="G1528" i="8" s="1"/>
  <c r="H1534" i="8" s="1"/>
  <c r="H1568" i="8" s="1"/>
  <c r="C142" i="28"/>
  <c r="E1263" i="18"/>
  <c r="F1263" i="18" s="1"/>
  <c r="G1263" i="18" s="1"/>
  <c r="C167" i="28"/>
  <c r="E1113" i="18"/>
  <c r="F1113" i="18" s="1"/>
  <c r="G1113" i="18" s="1"/>
  <c r="E1112" i="22"/>
  <c r="F1112" i="22" s="1"/>
  <c r="G1112" i="22" s="1"/>
  <c r="C117" i="28"/>
  <c r="E903" i="18"/>
  <c r="F903" i="18" s="1"/>
  <c r="G903" i="18" s="1"/>
  <c r="E433" i="16"/>
  <c r="G433" i="16" s="1"/>
  <c r="C149" i="28"/>
  <c r="E1292" i="18"/>
  <c r="F1292" i="18" s="1"/>
  <c r="G1292" i="18" s="1"/>
  <c r="C174" i="28"/>
  <c r="E983" i="18"/>
  <c r="F983" i="18" s="1"/>
  <c r="G983" i="18" s="1"/>
  <c r="E983" i="22"/>
  <c r="F983" i="22" s="1"/>
  <c r="G983" i="22" s="1"/>
  <c r="E983" i="4"/>
  <c r="F983" i="4" s="1"/>
  <c r="G983" i="4" s="1"/>
  <c r="E983" i="15"/>
  <c r="F983" i="15" s="1"/>
  <c r="G983" i="15" s="1"/>
  <c r="C208" i="28"/>
  <c r="U335" i="16"/>
  <c r="W335" i="16" s="1"/>
  <c r="M126" i="16"/>
  <c r="AC335" i="16"/>
  <c r="AE335" i="16" s="1"/>
  <c r="M335" i="16"/>
  <c r="O335" i="16" s="1"/>
  <c r="D5" i="34"/>
  <c r="E7176" i="51" s="1"/>
  <c r="G7176" i="51" s="1"/>
  <c r="C9" i="28"/>
  <c r="E1962" i="22"/>
  <c r="F1962" i="22" s="1"/>
  <c r="G1962" i="22" s="1"/>
  <c r="E1960" i="15"/>
  <c r="F1960" i="15" s="1"/>
  <c r="G1960" i="15" s="1"/>
  <c r="E1961" i="4"/>
  <c r="F1961" i="4" s="1"/>
  <c r="G1961" i="4" s="1"/>
  <c r="E1960" i="18"/>
  <c r="F1960" i="18" s="1"/>
  <c r="G1960" i="18" s="1"/>
  <c r="C240" i="28"/>
  <c r="M333" i="16"/>
  <c r="O333" i="16" s="1"/>
  <c r="D201" i="41"/>
  <c r="D204" i="41"/>
  <c r="D206" i="41"/>
  <c r="D209" i="41"/>
  <c r="D207" i="41"/>
  <c r="D208" i="41"/>
  <c r="D210" i="41"/>
  <c r="D200" i="41"/>
  <c r="D202" i="41"/>
  <c r="D205" i="41"/>
  <c r="D203" i="41"/>
  <c r="Q85" i="41"/>
  <c r="U85" i="41" s="1"/>
  <c r="Q109" i="41"/>
  <c r="U109" i="41" s="1"/>
  <c r="Q97" i="41"/>
  <c r="U97" i="41" s="1"/>
  <c r="Q72" i="41"/>
  <c r="U72" i="41" s="1"/>
  <c r="G403" i="27"/>
  <c r="E403" i="27"/>
  <c r="E405" i="27" s="1"/>
  <c r="F532" i="27"/>
  <c r="C559" i="27"/>
  <c r="E756" i="10"/>
  <c r="G756" i="10" s="1"/>
  <c r="H762" i="10" s="1"/>
  <c r="H796" i="10" s="1"/>
  <c r="E493" i="16" s="1"/>
  <c r="G493" i="16" s="1"/>
  <c r="M219" i="10"/>
  <c r="O219" i="10" s="1"/>
  <c r="P225" i="10" s="1"/>
  <c r="P259" i="10" s="1"/>
  <c r="E85" i="14"/>
  <c r="F85" i="14" s="1"/>
  <c r="G85" i="14" s="1"/>
  <c r="E85" i="17"/>
  <c r="F85" i="17" s="1"/>
  <c r="G85" i="17" s="1"/>
  <c r="E85" i="19"/>
  <c r="F85" i="19" s="1"/>
  <c r="G85" i="19" s="1"/>
  <c r="E3364" i="5"/>
  <c r="G3364" i="5" s="1"/>
  <c r="H3370" i="5" s="1"/>
  <c r="H3405" i="5" s="1"/>
  <c r="E85" i="21"/>
  <c r="F85" i="21" s="1"/>
  <c r="G85" i="21" s="1"/>
  <c r="E85" i="1"/>
  <c r="F85" i="1" s="1"/>
  <c r="G85" i="1" s="1"/>
  <c r="E10" i="19"/>
  <c r="F10" i="19" s="1"/>
  <c r="E10" i="14"/>
  <c r="F10" i="14" s="1"/>
  <c r="E10" i="21"/>
  <c r="F10" i="21" s="1"/>
  <c r="E10" i="17"/>
  <c r="F10" i="17" s="1"/>
  <c r="E10" i="1"/>
  <c r="F10" i="1" s="1"/>
  <c r="U178" i="8"/>
  <c r="W178" i="8" s="1"/>
  <c r="X184" i="8" s="1"/>
  <c r="X218" i="8" s="1"/>
  <c r="E552" i="7"/>
  <c r="G552" i="7" s="1"/>
  <c r="H558" i="7" s="1"/>
  <c r="H592" i="7" s="1"/>
  <c r="E1092" i="7"/>
  <c r="G1092" i="7" s="1"/>
  <c r="H1098" i="7" s="1"/>
  <c r="H1132" i="7" s="1"/>
  <c r="E174" i="7"/>
  <c r="G174" i="7" s="1"/>
  <c r="H180" i="7" s="1"/>
  <c r="H214" i="7" s="1"/>
  <c r="E3694" i="5"/>
  <c r="G3694" i="5" s="1"/>
  <c r="H3700" i="5" s="1"/>
  <c r="H3735" i="5" s="1"/>
  <c r="E91" i="21"/>
  <c r="F91" i="21" s="1"/>
  <c r="G91" i="21" s="1"/>
  <c r="E91" i="14"/>
  <c r="F91" i="14" s="1"/>
  <c r="G91" i="14" s="1"/>
  <c r="E91" i="17"/>
  <c r="F91" i="17" s="1"/>
  <c r="G91" i="17" s="1"/>
  <c r="E91" i="19"/>
  <c r="F91" i="19" s="1"/>
  <c r="G91" i="19" s="1"/>
  <c r="E91" i="1"/>
  <c r="F91" i="1" s="1"/>
  <c r="G91" i="1" s="1"/>
  <c r="E340" i="8"/>
  <c r="G340" i="8" s="1"/>
  <c r="H346" i="8" s="1"/>
  <c r="H380" i="8" s="1"/>
  <c r="M444" i="7"/>
  <c r="O444" i="7" s="1"/>
  <c r="P450" i="7" s="1"/>
  <c r="P484" i="7" s="1"/>
  <c r="E120" i="7"/>
  <c r="G120" i="7" s="1"/>
  <c r="H126" i="7" s="1"/>
  <c r="H160" i="7" s="1"/>
  <c r="G71" i="14"/>
  <c r="AC235" i="16"/>
  <c r="AE235" i="16" s="1"/>
  <c r="AK132" i="16"/>
  <c r="AM132" i="16" s="1"/>
  <c r="M235" i="16"/>
  <c r="O235" i="16" s="1"/>
  <c r="AC132" i="16"/>
  <c r="AE132" i="16" s="1"/>
  <c r="M132" i="16"/>
  <c r="O132" i="16" s="1"/>
  <c r="AC338" i="16"/>
  <c r="AE338" i="16" s="1"/>
  <c r="E451" i="16"/>
  <c r="G451" i="16" s="1"/>
  <c r="E132" i="16"/>
  <c r="G132" i="16" s="1"/>
  <c r="AK338" i="16"/>
  <c r="AM338" i="16" s="1"/>
  <c r="E583" i="21"/>
  <c r="F583" i="21" s="1"/>
  <c r="G583" i="21" s="1"/>
  <c r="E583" i="1"/>
  <c r="F583" i="1" s="1"/>
  <c r="G583" i="1" s="1"/>
  <c r="E235" i="16"/>
  <c r="U132" i="16"/>
  <c r="W132" i="16" s="1"/>
  <c r="U235" i="16"/>
  <c r="W235" i="16" s="1"/>
  <c r="U338" i="16"/>
  <c r="W338" i="16" s="1"/>
  <c r="M338" i="16"/>
  <c r="O338" i="16" s="1"/>
  <c r="E583" i="17"/>
  <c r="F583" i="17" s="1"/>
  <c r="G583" i="17" s="1"/>
  <c r="E338" i="16"/>
  <c r="G338" i="16" s="1"/>
  <c r="E583" i="14"/>
  <c r="F583" i="14" s="1"/>
  <c r="G583" i="14" s="1"/>
  <c r="E74" i="19"/>
  <c r="F74" i="19" s="1"/>
  <c r="G74" i="19" s="1"/>
  <c r="E74" i="21"/>
  <c r="F74" i="21" s="1"/>
  <c r="G74" i="21" s="1"/>
  <c r="E74" i="1"/>
  <c r="F74" i="1" s="1"/>
  <c r="G74" i="1" s="1"/>
  <c r="E74" i="14"/>
  <c r="F74" i="14" s="1"/>
  <c r="G74" i="14" s="1"/>
  <c r="E74" i="17"/>
  <c r="F74" i="17" s="1"/>
  <c r="G74" i="17" s="1"/>
  <c r="M556" i="8"/>
  <c r="O556" i="8" s="1"/>
  <c r="P562" i="8" s="1"/>
  <c r="P596" i="8" s="1"/>
  <c r="M443" i="6"/>
  <c r="O443" i="6" s="1"/>
  <c r="P449" i="6" s="1"/>
  <c r="P483" i="6" s="1"/>
  <c r="E477" i="17"/>
  <c r="F477" i="17" s="1"/>
  <c r="G477" i="17" s="1"/>
  <c r="E477" i="1"/>
  <c r="F477" i="1" s="1"/>
  <c r="G477" i="1" s="1"/>
  <c r="E477" i="19"/>
  <c r="F477" i="19" s="1"/>
  <c r="G477" i="19" s="1"/>
  <c r="E477" i="21"/>
  <c r="F477" i="21" s="1"/>
  <c r="G477" i="21" s="1"/>
  <c r="E477" i="14"/>
  <c r="F477" i="14" s="1"/>
  <c r="G477" i="14" s="1"/>
  <c r="M120" i="7"/>
  <c r="O120" i="7" s="1"/>
  <c r="P126" i="7" s="1"/>
  <c r="P160" i="7" s="1"/>
  <c r="E165" i="10"/>
  <c r="G165" i="10" s="1"/>
  <c r="H171" i="10" s="1"/>
  <c r="H205" i="10" s="1"/>
  <c r="E2225" i="6"/>
  <c r="G2225" i="6" s="1"/>
  <c r="H2231" i="6" s="1"/>
  <c r="H2265" i="6" s="1"/>
  <c r="M1577" i="6"/>
  <c r="O1577" i="6" s="1"/>
  <c r="P1583" i="6" s="1"/>
  <c r="P1617" i="6" s="1"/>
  <c r="U1415" i="6"/>
  <c r="W1415" i="6" s="1"/>
  <c r="X1421" i="6" s="1"/>
  <c r="E821" i="6"/>
  <c r="G821" i="6" s="1"/>
  <c r="H827" i="6" s="1"/>
  <c r="H861" i="6" s="1"/>
  <c r="E310" i="19"/>
  <c r="F310" i="19" s="1"/>
  <c r="G310" i="19" s="1"/>
  <c r="E293" i="17"/>
  <c r="F293" i="17" s="1"/>
  <c r="G293" i="17" s="1"/>
  <c r="E310" i="14"/>
  <c r="F310" i="14" s="1"/>
  <c r="G310" i="14" s="1"/>
  <c r="E293" i="1"/>
  <c r="F293" i="1" s="1"/>
  <c r="G293" i="1" s="1"/>
  <c r="E310" i="21"/>
  <c r="E310" i="17"/>
  <c r="F310" i="17" s="1"/>
  <c r="G310" i="17" s="1"/>
  <c r="E293" i="14"/>
  <c r="F293" i="14" s="1"/>
  <c r="G293" i="14" s="1"/>
  <c r="E310" i="1"/>
  <c r="F310" i="1" s="1"/>
  <c r="G310" i="1" s="1"/>
  <c r="E293" i="21"/>
  <c r="F293" i="21" s="1"/>
  <c r="G293" i="21" s="1"/>
  <c r="E293" i="19"/>
  <c r="F293" i="19" s="1"/>
  <c r="G293" i="19" s="1"/>
  <c r="U1739" i="6"/>
  <c r="W1739" i="6" s="1"/>
  <c r="X1745" i="6" s="1"/>
  <c r="X1779" i="6" s="1"/>
  <c r="E1307" i="6"/>
  <c r="G1307" i="6" s="1"/>
  <c r="H1313" i="6" s="1"/>
  <c r="H1347" i="6" s="1"/>
  <c r="E389" i="6"/>
  <c r="G389" i="6" s="1"/>
  <c r="H395" i="6" s="1"/>
  <c r="E1415" i="6"/>
  <c r="G1415" i="6" s="1"/>
  <c r="H1421" i="6" s="1"/>
  <c r="G337" i="10"/>
  <c r="E338" i="10"/>
  <c r="G338" i="10" s="1"/>
  <c r="E382" i="17"/>
  <c r="F382" i="17" s="1"/>
  <c r="G382" i="17" s="1"/>
  <c r="E382" i="1"/>
  <c r="F382" i="1" s="1"/>
  <c r="G382" i="1" s="1"/>
  <c r="E382" i="19"/>
  <c r="F382" i="19" s="1"/>
  <c r="G382" i="19" s="1"/>
  <c r="E382" i="21"/>
  <c r="F382" i="21" s="1"/>
  <c r="G382" i="21" s="1"/>
  <c r="E382" i="14"/>
  <c r="F382" i="14" s="1"/>
  <c r="G382" i="14" s="1"/>
  <c r="M1793" i="6"/>
  <c r="O1793" i="6" s="1"/>
  <c r="P1799" i="6" s="1"/>
  <c r="P1833" i="6" s="1"/>
  <c r="E279" i="1"/>
  <c r="F279" i="1" s="1"/>
  <c r="G279" i="1" s="1"/>
  <c r="E279" i="17"/>
  <c r="F279" i="17" s="1"/>
  <c r="G279" i="17" s="1"/>
  <c r="E279" i="19"/>
  <c r="F279" i="19" s="1"/>
  <c r="G279" i="19" s="1"/>
  <c r="E279" i="21"/>
  <c r="F279" i="21" s="1"/>
  <c r="G279" i="21" s="1"/>
  <c r="M3035" i="6"/>
  <c r="N3035" i="6"/>
  <c r="P3035" i="6" s="1"/>
  <c r="Q3041" i="6" s="1"/>
  <c r="Q3075" i="6" s="1"/>
  <c r="E2387" i="6"/>
  <c r="G2387" i="6" s="1"/>
  <c r="H2393" i="6" s="1"/>
  <c r="H2427" i="6" s="1"/>
  <c r="U1631" i="6"/>
  <c r="W1631" i="6" s="1"/>
  <c r="X1637" i="6" s="1"/>
  <c r="X1671" i="6" s="1"/>
  <c r="E119" i="6"/>
  <c r="G119" i="6" s="1"/>
  <c r="H125" i="6" s="1"/>
  <c r="H159" i="6" s="1"/>
  <c r="E122" i="21"/>
  <c r="F122" i="21" s="1"/>
  <c r="G122" i="21" s="1"/>
  <c r="E122" i="14"/>
  <c r="F122" i="14" s="1"/>
  <c r="G122" i="14" s="1"/>
  <c r="E122" i="17"/>
  <c r="F122" i="17" s="1"/>
  <c r="G122" i="17" s="1"/>
  <c r="E122" i="1"/>
  <c r="F122" i="1" s="1"/>
  <c r="G122" i="1" s="1"/>
  <c r="E122" i="19"/>
  <c r="F122" i="19" s="1"/>
  <c r="G122" i="19" s="1"/>
  <c r="E362" i="17"/>
  <c r="F362" i="17" s="1"/>
  <c r="G362" i="17" s="1"/>
  <c r="F335" i="17"/>
  <c r="G335" i="17" s="1"/>
  <c r="E585" i="1"/>
  <c r="F585" i="1" s="1"/>
  <c r="G585" i="1" s="1"/>
  <c r="E585" i="14"/>
  <c r="F585" i="14" s="1"/>
  <c r="G585" i="14" s="1"/>
  <c r="E585" i="21"/>
  <c r="F585" i="21" s="1"/>
  <c r="G585" i="21" s="1"/>
  <c r="E257" i="1"/>
  <c r="F257" i="1" s="1"/>
  <c r="G257" i="1" s="1"/>
  <c r="F238" i="1"/>
  <c r="G238" i="1" s="1"/>
  <c r="E988" i="8"/>
  <c r="G988" i="8" s="1"/>
  <c r="H994" i="8" s="1"/>
  <c r="H1028" i="8" s="1"/>
  <c r="O231" i="16"/>
  <c r="U231" i="16"/>
  <c r="W231" i="16" s="1"/>
  <c r="C146" i="28"/>
  <c r="E1272" i="18"/>
  <c r="F1272" i="18" s="1"/>
  <c r="G1272" i="18" s="1"/>
  <c r="C171" i="28"/>
  <c r="E1128" i="22"/>
  <c r="F1128" i="22" s="1"/>
  <c r="G1128" i="22" s="1"/>
  <c r="AK128" i="16"/>
  <c r="AM128" i="16" s="1"/>
  <c r="C121" i="28"/>
  <c r="E864" i="18"/>
  <c r="F864" i="18" s="1"/>
  <c r="G864" i="18" s="1"/>
  <c r="C162" i="28"/>
  <c r="E1103" i="18"/>
  <c r="F1103" i="18" s="1"/>
  <c r="G1103" i="18" s="1"/>
  <c r="E1102" i="22"/>
  <c r="F1102" i="22" s="1"/>
  <c r="G1102" i="22" s="1"/>
  <c r="C199" i="28"/>
  <c r="E836" i="22"/>
  <c r="F836" i="22" s="1"/>
  <c r="G836" i="22" s="1"/>
  <c r="E836" i="4"/>
  <c r="F836" i="4" s="1"/>
  <c r="H836" i="3"/>
  <c r="C207" i="28"/>
  <c r="E335" i="16"/>
  <c r="G335" i="16" s="1"/>
  <c r="E435" i="16"/>
  <c r="G435" i="16" s="1"/>
  <c r="E1915" i="18"/>
  <c r="F1915" i="18" s="1"/>
  <c r="G1915" i="18" s="1"/>
  <c r="E126" i="16"/>
  <c r="G126" i="16" s="1"/>
  <c r="C237" i="28"/>
  <c r="E2306" i="18"/>
  <c r="F2306" i="18" s="1"/>
  <c r="G2306" i="18" s="1"/>
  <c r="E446" i="16"/>
  <c r="G446" i="16" s="1"/>
  <c r="C241" i="28"/>
  <c r="AK333" i="16"/>
  <c r="AM333" i="16" s="1"/>
  <c r="C271" i="28"/>
  <c r="AC27" i="16"/>
  <c r="AE27" i="16" s="1"/>
  <c r="B1039" i="27"/>
  <c r="E1039" i="27" s="1"/>
  <c r="E1040" i="27" s="1"/>
  <c r="E1024" i="27"/>
  <c r="B1060" i="27"/>
  <c r="E1060" i="27" s="1"/>
  <c r="E1061" i="27" s="1"/>
  <c r="Q26" i="41"/>
  <c r="Q2" i="41"/>
  <c r="C157" i="41"/>
  <c r="Q3" i="41"/>
  <c r="Q29" i="41"/>
  <c r="Q77" i="41"/>
  <c r="U77" i="41" s="1"/>
  <c r="Q89" i="41"/>
  <c r="U89" i="41" s="1"/>
  <c r="Q113" i="41"/>
  <c r="U113" i="41" s="1"/>
  <c r="Q101" i="41"/>
  <c r="U101" i="41" s="1"/>
  <c r="C405" i="27"/>
  <c r="B540" i="27"/>
  <c r="D540" i="27" s="1"/>
  <c r="F157" i="27"/>
  <c r="E594" i="10"/>
  <c r="G594" i="10" s="1"/>
  <c r="H600" i="10" s="1"/>
  <c r="H634" i="10" s="1"/>
  <c r="M432" i="10"/>
  <c r="O432" i="10" s="1"/>
  <c r="P438" i="10" s="1"/>
  <c r="P472" i="10" s="1"/>
  <c r="E90" i="14"/>
  <c r="F90" i="14" s="1"/>
  <c r="G90" i="14" s="1"/>
  <c r="E90" i="17"/>
  <c r="F90" i="17" s="1"/>
  <c r="G90" i="17" s="1"/>
  <c r="E90" i="19"/>
  <c r="F90" i="19" s="1"/>
  <c r="G90" i="19" s="1"/>
  <c r="E3639" i="5"/>
  <c r="G3639" i="5" s="1"/>
  <c r="H3645" i="5" s="1"/>
  <c r="H3680" i="5" s="1"/>
  <c r="E90" i="21"/>
  <c r="F90" i="21" s="1"/>
  <c r="G90" i="21" s="1"/>
  <c r="E90" i="1"/>
  <c r="F90" i="1" s="1"/>
  <c r="G90" i="1" s="1"/>
  <c r="E83" i="17"/>
  <c r="F83" i="17" s="1"/>
  <c r="G83" i="17" s="1"/>
  <c r="E83" i="19"/>
  <c r="F83" i="19" s="1"/>
  <c r="G83" i="19" s="1"/>
  <c r="E3254" i="5"/>
  <c r="G3254" i="5" s="1"/>
  <c r="H3260" i="5" s="1"/>
  <c r="H3295" i="5" s="1"/>
  <c r="E83" i="21"/>
  <c r="F83" i="21" s="1"/>
  <c r="G83" i="21" s="1"/>
  <c r="E83" i="14"/>
  <c r="F83" i="14" s="1"/>
  <c r="G83" i="14" s="1"/>
  <c r="E83" i="1"/>
  <c r="F83" i="1" s="1"/>
  <c r="G83" i="1" s="1"/>
  <c r="E43" i="17"/>
  <c r="F43" i="17" s="1"/>
  <c r="G43" i="17" s="1"/>
  <c r="E43" i="1"/>
  <c r="F43" i="1" s="1"/>
  <c r="G43" i="1" s="1"/>
  <c r="E43" i="19"/>
  <c r="F43" i="19" s="1"/>
  <c r="G43" i="19" s="1"/>
  <c r="E43" i="21"/>
  <c r="F43" i="21" s="1"/>
  <c r="G43" i="21" s="1"/>
  <c r="E43" i="14"/>
  <c r="F43" i="14" s="1"/>
  <c r="G43" i="14" s="1"/>
  <c r="E1096" i="8"/>
  <c r="G1096" i="8" s="1"/>
  <c r="H1102" i="8" s="1"/>
  <c r="H1136" i="8" s="1"/>
  <c r="E768" i="7"/>
  <c r="G768" i="7" s="1"/>
  <c r="H774" i="7" s="1"/>
  <c r="H808" i="7" s="1"/>
  <c r="P537" i="9"/>
  <c r="M826" i="8"/>
  <c r="O826" i="8" s="1"/>
  <c r="P832" i="8" s="1"/>
  <c r="P866" i="8" s="1"/>
  <c r="E1254" i="7"/>
  <c r="G1254" i="7" s="1"/>
  <c r="H1260" i="7" s="1"/>
  <c r="H1294" i="7" s="1"/>
  <c r="U390" i="7"/>
  <c r="W390" i="7" s="1"/>
  <c r="X396" i="7" s="1"/>
  <c r="X430" i="7" s="1"/>
  <c r="M66" i="7"/>
  <c r="O66" i="7" s="1"/>
  <c r="P72" i="7" s="1"/>
  <c r="P106" i="7" s="1"/>
  <c r="E512" i="19"/>
  <c r="F512" i="19" s="1"/>
  <c r="G512" i="19" s="1"/>
  <c r="M1258" i="8"/>
  <c r="O1258" i="8" s="1"/>
  <c r="P1264" i="8" s="1"/>
  <c r="P1298" i="8" s="1"/>
  <c r="E77" i="21"/>
  <c r="F77" i="21" s="1"/>
  <c r="G77" i="21" s="1"/>
  <c r="E77" i="1"/>
  <c r="F77" i="1" s="1"/>
  <c r="G77" i="1" s="1"/>
  <c r="E77" i="14"/>
  <c r="F77" i="14" s="1"/>
  <c r="G77" i="14" s="1"/>
  <c r="E77" i="17"/>
  <c r="F77" i="17" s="1"/>
  <c r="G77" i="17" s="1"/>
  <c r="E77" i="19"/>
  <c r="F77" i="19" s="1"/>
  <c r="G77" i="19" s="1"/>
  <c r="M930" i="7"/>
  <c r="O930" i="7" s="1"/>
  <c r="P936" i="7" s="1"/>
  <c r="P970" i="7" s="1"/>
  <c r="E1200" i="7"/>
  <c r="G1200" i="7" s="1"/>
  <c r="H1206" i="7" s="1"/>
  <c r="H1240" i="7" s="1"/>
  <c r="E822" i="7"/>
  <c r="G822" i="7" s="1"/>
  <c r="H828" i="7" s="1"/>
  <c r="H862" i="7" s="1"/>
  <c r="E511" i="8" s="1"/>
  <c r="G511" i="8" s="1"/>
  <c r="H523" i="8" s="1"/>
  <c r="H542" i="8" s="1"/>
  <c r="E3251" i="6"/>
  <c r="G3251" i="6" s="1"/>
  <c r="H3257" i="6" s="1"/>
  <c r="H3291" i="6" s="1"/>
  <c r="U1685" i="6"/>
  <c r="W1685" i="6" s="1"/>
  <c r="X1691" i="6" s="1"/>
  <c r="X1725" i="6" s="1"/>
  <c r="E227" i="6"/>
  <c r="G227" i="6" s="1"/>
  <c r="H233" i="6" s="1"/>
  <c r="E3089" i="6"/>
  <c r="G3089" i="6" s="1"/>
  <c r="H3095" i="6" s="1"/>
  <c r="H3129" i="6" s="1"/>
  <c r="E1253" i="6"/>
  <c r="G1253" i="6" s="1"/>
  <c r="H1259" i="6" s="1"/>
  <c r="H1293" i="6" s="1"/>
  <c r="E335" i="6"/>
  <c r="G335" i="6" s="1"/>
  <c r="H341" i="6" s="1"/>
  <c r="AC1739" i="6"/>
  <c r="AE1739" i="6" s="1"/>
  <c r="AF1745" i="6" s="1"/>
  <c r="AF1779" i="6" s="1"/>
  <c r="E1901" i="6"/>
  <c r="G1901" i="6" s="1"/>
  <c r="H1907" i="6" s="1"/>
  <c r="H1941" i="6" s="1"/>
  <c r="AK1739" i="6"/>
  <c r="AM1739" i="6" s="1"/>
  <c r="AN1745" i="6" s="1"/>
  <c r="AN1779" i="6" s="1"/>
  <c r="E713" i="6"/>
  <c r="G713" i="6" s="1"/>
  <c r="H719" i="6" s="1"/>
  <c r="H753" i="6" s="1"/>
  <c r="E2171" i="6"/>
  <c r="G2171" i="6" s="1"/>
  <c r="H2177" i="6" s="1"/>
  <c r="H2211" i="6" s="1"/>
  <c r="U1361" i="6"/>
  <c r="W1361" i="6" s="1"/>
  <c r="X1367" i="6" s="1"/>
  <c r="X1401" i="6" s="1"/>
  <c r="M339" i="16"/>
  <c r="O339" i="16" s="1"/>
  <c r="M183" i="16"/>
  <c r="O183" i="16" s="1"/>
  <c r="E183" i="16"/>
  <c r="G183" i="16" s="1"/>
  <c r="U183" i="16"/>
  <c r="W183" i="16" s="1"/>
  <c r="U133" i="16"/>
  <c r="W133" i="16" s="1"/>
  <c r="U236" i="16"/>
  <c r="W236" i="16" s="1"/>
  <c r="U339" i="16"/>
  <c r="W339" i="16" s="1"/>
  <c r="AC236" i="16"/>
  <c r="AE236" i="16" s="1"/>
  <c r="M236" i="16"/>
  <c r="O236" i="16" s="1"/>
  <c r="AC133" i="16"/>
  <c r="AE133" i="16" s="1"/>
  <c r="AK339" i="16"/>
  <c r="AM339" i="16" s="1"/>
  <c r="M133" i="16"/>
  <c r="O133" i="16" s="1"/>
  <c r="AK133" i="16"/>
  <c r="AM133" i="16" s="1"/>
  <c r="E339" i="16"/>
  <c r="G339" i="16" s="1"/>
  <c r="E133" i="16"/>
  <c r="G133" i="16" s="1"/>
  <c r="E2412" i="18"/>
  <c r="F2412" i="18" s="1"/>
  <c r="G2412" i="18" s="1"/>
  <c r="AC183" i="16"/>
  <c r="AE183" i="16" s="1"/>
  <c r="E452" i="16"/>
  <c r="G452" i="16" s="1"/>
  <c r="AC339" i="16"/>
  <c r="AE339" i="16" s="1"/>
  <c r="E236" i="16"/>
  <c r="E880" i="8"/>
  <c r="G880" i="8" s="1"/>
  <c r="H886" i="8" s="1"/>
  <c r="H920" i="8" s="1"/>
  <c r="E1582" i="8"/>
  <c r="G1582" i="8" s="1"/>
  <c r="H1588" i="8" s="1"/>
  <c r="H1622" i="8" s="1"/>
  <c r="E257" i="19"/>
  <c r="F257" i="19" s="1"/>
  <c r="G257" i="19" s="1"/>
  <c r="E664" i="8"/>
  <c r="G664" i="8" s="1"/>
  <c r="H670" i="8" s="1"/>
  <c r="H704" i="8" s="1"/>
  <c r="G120" i="22"/>
  <c r="M78" i="16"/>
  <c r="G78" i="16"/>
  <c r="C118" i="28"/>
  <c r="AC26" i="16"/>
  <c r="AE26" i="16" s="1"/>
  <c r="AK334" i="16"/>
  <c r="AM334" i="16" s="1"/>
  <c r="E925" i="18"/>
  <c r="F925" i="18" s="1"/>
  <c r="G925" i="18" s="1"/>
  <c r="C159" i="28"/>
  <c r="E2411" i="18"/>
  <c r="C175" i="28"/>
  <c r="E994" i="4"/>
  <c r="F994" i="4" s="1"/>
  <c r="G994" i="4" s="1"/>
  <c r="E994" i="15"/>
  <c r="F994" i="15" s="1"/>
  <c r="G994" i="15" s="1"/>
  <c r="E994" i="18"/>
  <c r="F994" i="18" s="1"/>
  <c r="G994" i="18" s="1"/>
  <c r="E994" i="22"/>
  <c r="F994" i="22" s="1"/>
  <c r="G994" i="22" s="1"/>
  <c r="C37" i="28"/>
  <c r="E1442" i="18"/>
  <c r="F1442" i="18" s="1"/>
  <c r="G1442" i="18" s="1"/>
  <c r="E439" i="16"/>
  <c r="G439" i="16" s="1"/>
  <c r="C166" i="28"/>
  <c r="E1112" i="18"/>
  <c r="F1112" i="18" s="1"/>
  <c r="G1112" i="18" s="1"/>
  <c r="E1111" i="22"/>
  <c r="F1111" i="22" s="1"/>
  <c r="G1111" i="22" s="1"/>
  <c r="C221" i="28"/>
  <c r="E2422" i="18"/>
  <c r="F2422" i="18" s="1"/>
  <c r="G2422" i="18" s="1"/>
  <c r="D16" i="34"/>
  <c r="U4" i="41"/>
  <c r="Q100" i="41"/>
  <c r="U100" i="41" s="1"/>
  <c r="U38" i="41"/>
  <c r="Q112" i="41"/>
  <c r="U112" i="41" s="1"/>
  <c r="Q88" i="41"/>
  <c r="U88" i="41" s="1"/>
  <c r="Q76" i="41"/>
  <c r="U76" i="41" s="1"/>
  <c r="Q83" i="41"/>
  <c r="U83" i="41" s="1"/>
  <c r="Q95" i="41"/>
  <c r="U95" i="41" s="1"/>
  <c r="Q70" i="41"/>
  <c r="U70" i="41" s="1"/>
  <c r="Q107" i="41"/>
  <c r="U107" i="41" s="1"/>
  <c r="Q36" i="41"/>
  <c r="Q5" i="41"/>
  <c r="B353" i="27"/>
  <c r="E353" i="27" s="1"/>
  <c r="C343" i="27"/>
  <c r="B361" i="27"/>
  <c r="E361" i="27" s="1"/>
  <c r="G761" i="27"/>
  <c r="B541" i="27"/>
  <c r="D541" i="27" s="1"/>
  <c r="E809" i="10"/>
  <c r="G809" i="10" s="1"/>
  <c r="H815" i="10" s="1"/>
  <c r="H850" i="10" s="1"/>
  <c r="E453" i="16" s="1"/>
  <c r="G453" i="16" s="1"/>
  <c r="M394" i="8"/>
  <c r="O394" i="8" s="1"/>
  <c r="P400" i="8" s="1"/>
  <c r="E486" i="10"/>
  <c r="G486" i="10" s="1"/>
  <c r="H492" i="10" s="1"/>
  <c r="H526" i="10" s="1"/>
  <c r="M165" i="10"/>
  <c r="O165" i="10" s="1"/>
  <c r="P171" i="10" s="1"/>
  <c r="P205" i="10" s="1"/>
  <c r="E606" i="21"/>
  <c r="F606" i="21" s="1"/>
  <c r="G606" i="21" s="1"/>
  <c r="E603" i="1"/>
  <c r="F603" i="1" s="1"/>
  <c r="G603" i="1" s="1"/>
  <c r="E600" i="17"/>
  <c r="F600" i="17" s="1"/>
  <c r="G600" i="17" s="1"/>
  <c r="E60" i="1"/>
  <c r="F60" i="1" s="1"/>
  <c r="G60" i="1" s="1"/>
  <c r="E60" i="17"/>
  <c r="F60" i="17" s="1"/>
  <c r="G60" i="17" s="1"/>
  <c r="E60" i="14"/>
  <c r="F60" i="14" s="1"/>
  <c r="G60" i="14" s="1"/>
  <c r="E60" i="19"/>
  <c r="F60" i="19" s="1"/>
  <c r="G60" i="19" s="1"/>
  <c r="E60" i="21"/>
  <c r="F60" i="21" s="1"/>
  <c r="G60" i="21" s="1"/>
  <c r="E89" i="21"/>
  <c r="F89" i="21" s="1"/>
  <c r="G89" i="21" s="1"/>
  <c r="E3584" i="5"/>
  <c r="G3584" i="5" s="1"/>
  <c r="H3590" i="5" s="1"/>
  <c r="H3625" i="5" s="1"/>
  <c r="E89" i="14"/>
  <c r="F89" i="14" s="1"/>
  <c r="G89" i="14" s="1"/>
  <c r="E89" i="17"/>
  <c r="F89" i="17" s="1"/>
  <c r="G89" i="17" s="1"/>
  <c r="E89" i="19"/>
  <c r="F89" i="19" s="1"/>
  <c r="G89" i="19" s="1"/>
  <c r="E89" i="1"/>
  <c r="F89" i="1" s="1"/>
  <c r="G89" i="1" s="1"/>
  <c r="E79" i="1"/>
  <c r="F79" i="1" s="1"/>
  <c r="G79" i="1" s="1"/>
  <c r="E79" i="19"/>
  <c r="F79" i="19" s="1"/>
  <c r="G79" i="19" s="1"/>
  <c r="E79" i="21"/>
  <c r="F79" i="21" s="1"/>
  <c r="G79" i="21" s="1"/>
  <c r="E79" i="14"/>
  <c r="F79" i="14" s="1"/>
  <c r="G79" i="14" s="1"/>
  <c r="E79" i="17"/>
  <c r="F79" i="17" s="1"/>
  <c r="G79" i="17" s="1"/>
  <c r="E39" i="14"/>
  <c r="F39" i="14" s="1"/>
  <c r="G39" i="14" s="1"/>
  <c r="E39" i="17"/>
  <c r="F39" i="17" s="1"/>
  <c r="G39" i="17" s="1"/>
  <c r="E39" i="1"/>
  <c r="F39" i="1" s="1"/>
  <c r="G39" i="1" s="1"/>
  <c r="E39" i="19"/>
  <c r="F39" i="19" s="1"/>
  <c r="G39" i="19" s="1"/>
  <c r="E39" i="21"/>
  <c r="F39" i="21" s="1"/>
  <c r="G39" i="21" s="1"/>
  <c r="M340" i="8"/>
  <c r="O340" i="8" s="1"/>
  <c r="P346" i="8" s="1"/>
  <c r="P380" i="8" s="1"/>
  <c r="E660" i="7"/>
  <c r="G660" i="7" s="1"/>
  <c r="H666" i="7" s="1"/>
  <c r="H700" i="7" s="1"/>
  <c r="M3412" i="6"/>
  <c r="O3412" i="6" s="1"/>
  <c r="P3418" i="6" s="1"/>
  <c r="E82" i="17"/>
  <c r="F82" i="17" s="1"/>
  <c r="E82" i="14"/>
  <c r="F82" i="14" s="1"/>
  <c r="E82" i="21"/>
  <c r="F82" i="21" s="1"/>
  <c r="E82" i="19"/>
  <c r="F82" i="19" s="1"/>
  <c r="E3199" i="5"/>
  <c r="G3199" i="5" s="1"/>
  <c r="H3205" i="5" s="1"/>
  <c r="E82" i="1"/>
  <c r="F82" i="1" s="1"/>
  <c r="E876" i="7"/>
  <c r="G876" i="7" s="1"/>
  <c r="H882" i="7" s="1"/>
  <c r="H916" i="7" s="1"/>
  <c r="M390" i="7"/>
  <c r="O390" i="7" s="1"/>
  <c r="P396" i="7" s="1"/>
  <c r="P430" i="7" s="1"/>
  <c r="M12" i="7"/>
  <c r="O12" i="7" s="1"/>
  <c r="P18" i="7" s="1"/>
  <c r="P52" i="7" s="1"/>
  <c r="G71" i="21"/>
  <c r="G71" i="1"/>
  <c r="G31" i="21"/>
  <c r="G31" i="14"/>
  <c r="F62" i="17"/>
  <c r="G62" i="17" s="1"/>
  <c r="G31" i="17"/>
  <c r="E3749" i="5"/>
  <c r="G3749" i="5" s="1"/>
  <c r="H3755" i="5" s="1"/>
  <c r="H3790" i="5" s="1"/>
  <c r="E92" i="21"/>
  <c r="F92" i="21" s="1"/>
  <c r="G92" i="21" s="1"/>
  <c r="E92" i="14"/>
  <c r="F92" i="14" s="1"/>
  <c r="G92" i="14" s="1"/>
  <c r="E92" i="17"/>
  <c r="F92" i="17" s="1"/>
  <c r="G92" i="17" s="1"/>
  <c r="E92" i="19"/>
  <c r="F92" i="19" s="1"/>
  <c r="G92" i="19" s="1"/>
  <c r="E92" i="1"/>
  <c r="F92" i="1" s="1"/>
  <c r="G92" i="1" s="1"/>
  <c r="E76" i="17"/>
  <c r="F76" i="17" s="1"/>
  <c r="G76" i="17" s="1"/>
  <c r="E76" i="19"/>
  <c r="F76" i="19" s="1"/>
  <c r="G76" i="19" s="1"/>
  <c r="E76" i="21"/>
  <c r="F76" i="21" s="1"/>
  <c r="G76" i="21" s="1"/>
  <c r="E76" i="1"/>
  <c r="F76" i="1" s="1"/>
  <c r="G76" i="1" s="1"/>
  <c r="E76" i="14"/>
  <c r="F76" i="14" s="1"/>
  <c r="G76" i="14" s="1"/>
  <c r="E11" i="14"/>
  <c r="F11" i="14" s="1"/>
  <c r="G11" i="14" s="1"/>
  <c r="E11" i="19"/>
  <c r="F11" i="19" s="1"/>
  <c r="G11" i="19" s="1"/>
  <c r="E11" i="21"/>
  <c r="F11" i="21" s="1"/>
  <c r="G11" i="21" s="1"/>
  <c r="E11" i="1"/>
  <c r="F11" i="1" s="1"/>
  <c r="G11" i="1" s="1"/>
  <c r="E135" i="1"/>
  <c r="E135" i="17"/>
  <c r="E135" i="14"/>
  <c r="E135" i="21"/>
  <c r="E135" i="19"/>
  <c r="E1038" i="7"/>
  <c r="G1038" i="7" s="1"/>
  <c r="H1044" i="7" s="1"/>
  <c r="H1078" i="7" s="1"/>
  <c r="E282" i="7"/>
  <c r="G282" i="7" s="1"/>
  <c r="H288" i="7" s="1"/>
  <c r="H324" i="7" s="1"/>
  <c r="E314" i="1"/>
  <c r="F314" i="1" s="1"/>
  <c r="G314" i="1" s="1"/>
  <c r="E314" i="14"/>
  <c r="F314" i="14" s="1"/>
  <c r="G314" i="14" s="1"/>
  <c r="E314" i="17"/>
  <c r="F314" i="17" s="1"/>
  <c r="G314" i="17" s="1"/>
  <c r="E314" i="19"/>
  <c r="F314" i="19" s="1"/>
  <c r="G314" i="19" s="1"/>
  <c r="E314" i="21"/>
  <c r="F314" i="21" s="1"/>
  <c r="G314" i="21" s="1"/>
  <c r="E173" i="6"/>
  <c r="G173" i="6" s="1"/>
  <c r="H179" i="6" s="1"/>
  <c r="H213" i="6" s="1"/>
  <c r="E330" i="21"/>
  <c r="F330" i="21" s="1"/>
  <c r="G330" i="21" s="1"/>
  <c r="E330" i="14"/>
  <c r="F330" i="14" s="1"/>
  <c r="G330" i="14" s="1"/>
  <c r="E330" i="19"/>
  <c r="F330" i="19" s="1"/>
  <c r="G330" i="19" s="1"/>
  <c r="E330" i="1"/>
  <c r="F330" i="1" s="1"/>
  <c r="G330" i="1" s="1"/>
  <c r="E330" i="17"/>
  <c r="F330" i="17" s="1"/>
  <c r="G330" i="17" s="1"/>
  <c r="E3035" i="6"/>
  <c r="G3035" i="6" s="1"/>
  <c r="H3041" i="6" s="1"/>
  <c r="H3075" i="6" s="1"/>
  <c r="E313" i="1"/>
  <c r="F313" i="1" s="1"/>
  <c r="G313" i="1" s="1"/>
  <c r="E313" i="14"/>
  <c r="F313" i="14" s="1"/>
  <c r="G313" i="14" s="1"/>
  <c r="E313" i="17"/>
  <c r="F313" i="17" s="1"/>
  <c r="G313" i="17" s="1"/>
  <c r="E313" i="19"/>
  <c r="F313" i="19" s="1"/>
  <c r="G313" i="19" s="1"/>
  <c r="E313" i="21"/>
  <c r="F313" i="21" s="1"/>
  <c r="G313" i="21" s="1"/>
  <c r="E284" i="21"/>
  <c r="F284" i="21" s="1"/>
  <c r="G284" i="21" s="1"/>
  <c r="E284" i="1"/>
  <c r="F284" i="1" s="1"/>
  <c r="G284" i="1" s="1"/>
  <c r="E284" i="17"/>
  <c r="F284" i="17" s="1"/>
  <c r="G284" i="17" s="1"/>
  <c r="E284" i="19"/>
  <c r="F284" i="19" s="1"/>
  <c r="G284" i="19" s="1"/>
  <c r="E605" i="6"/>
  <c r="G605" i="6" s="1"/>
  <c r="H611" i="6" s="1"/>
  <c r="H645" i="6" s="1"/>
  <c r="E11" i="6"/>
  <c r="G11" i="6" s="1"/>
  <c r="H17" i="6" s="1"/>
  <c r="H51" i="6" s="1"/>
  <c r="AC1793" i="6"/>
  <c r="AE1793" i="6" s="1"/>
  <c r="AF1799" i="6" s="1"/>
  <c r="AF1833" i="6" s="1"/>
  <c r="E1199" i="6"/>
  <c r="G1199" i="6" s="1"/>
  <c r="H1205" i="6" s="1"/>
  <c r="H1239" i="6" s="1"/>
  <c r="E2765" i="6"/>
  <c r="G2765" i="6" s="1"/>
  <c r="H2771" i="6" s="1"/>
  <c r="H2805" i="6" s="1"/>
  <c r="E342" i="1"/>
  <c r="F342" i="1" s="1"/>
  <c r="G342" i="1" s="1"/>
  <c r="E342" i="17"/>
  <c r="F342" i="17" s="1"/>
  <c r="G342" i="17" s="1"/>
  <c r="E342" i="21"/>
  <c r="F342" i="21" s="1"/>
  <c r="G342" i="21" s="1"/>
  <c r="E342" i="14"/>
  <c r="F342" i="14" s="1"/>
  <c r="G342" i="14" s="1"/>
  <c r="E342" i="19"/>
  <c r="F342" i="19" s="1"/>
  <c r="G342" i="19" s="1"/>
  <c r="AC1847" i="6"/>
  <c r="AE1847" i="6" s="1"/>
  <c r="AF1853" i="6" s="1"/>
  <c r="AF1887" i="6" s="1"/>
  <c r="M1739" i="6"/>
  <c r="O1739" i="6" s="1"/>
  <c r="P1745" i="6" s="1"/>
  <c r="P1779" i="6" s="1"/>
  <c r="AS1739" i="6"/>
  <c r="AU1739" i="6" s="1"/>
  <c r="AV1745" i="6" s="1"/>
  <c r="AV1779" i="6" s="1"/>
  <c r="M335" i="6"/>
  <c r="O335" i="6" s="1"/>
  <c r="P341" i="6" s="1"/>
  <c r="E1037" i="6"/>
  <c r="G1037" i="6" s="1"/>
  <c r="H1043" i="6" s="1"/>
  <c r="E579" i="1"/>
  <c r="F579" i="1" s="1"/>
  <c r="E579" i="21"/>
  <c r="F579" i="21" s="1"/>
  <c r="E579" i="14"/>
  <c r="F579" i="14" s="1"/>
  <c r="E579" i="17"/>
  <c r="F579" i="17" s="1"/>
  <c r="E70" i="8"/>
  <c r="G70" i="8" s="1"/>
  <c r="H76" i="8" s="1"/>
  <c r="H110" i="8" s="1"/>
  <c r="E826" i="8"/>
  <c r="G826" i="8" s="1"/>
  <c r="H832" i="8" s="1"/>
  <c r="H866" i="8" s="1"/>
  <c r="E1150" i="8"/>
  <c r="G1150" i="8" s="1"/>
  <c r="H1156" i="8" s="1"/>
  <c r="E286" i="8"/>
  <c r="G286" i="8" s="1"/>
  <c r="H292" i="8" s="1"/>
  <c r="H326" i="8" s="1"/>
  <c r="E516" i="19"/>
  <c r="F516" i="19" s="1"/>
  <c r="G516" i="19" s="1"/>
  <c r="U29" i="16"/>
  <c r="W29" i="16" s="1"/>
  <c r="O29" i="16"/>
  <c r="U59" i="41" l="1"/>
  <c r="E440" i="17"/>
  <c r="F440" i="17" s="1"/>
  <c r="G440" i="17" s="1"/>
  <c r="E444" i="14"/>
  <c r="F444" i="14" s="1"/>
  <c r="G444" i="14" s="1"/>
  <c r="E443" i="14"/>
  <c r="F443" i="14" s="1"/>
  <c r="G443" i="14" s="1"/>
  <c r="E440" i="1"/>
  <c r="F440" i="1" s="1"/>
  <c r="G440" i="1" s="1"/>
  <c r="E440" i="19"/>
  <c r="F440" i="19" s="1"/>
  <c r="G440" i="19" s="1"/>
  <c r="E444" i="1"/>
  <c r="F444" i="1" s="1"/>
  <c r="G444" i="1" s="1"/>
  <c r="E444" i="21"/>
  <c r="F444" i="21" s="1"/>
  <c r="G444" i="21" s="1"/>
  <c r="E443" i="17"/>
  <c r="F443" i="17" s="1"/>
  <c r="G443" i="17" s="1"/>
  <c r="E443" i="21"/>
  <c r="F443" i="21" s="1"/>
  <c r="G443" i="21" s="1"/>
  <c r="E444" i="19"/>
  <c r="F444" i="19" s="1"/>
  <c r="G444" i="19" s="1"/>
  <c r="E444" i="17"/>
  <c r="F444" i="17" s="1"/>
  <c r="G444" i="17" s="1"/>
  <c r="E440" i="14"/>
  <c r="F440" i="14" s="1"/>
  <c r="G440" i="14" s="1"/>
  <c r="E443" i="1"/>
  <c r="F443" i="1" s="1"/>
  <c r="G443" i="1" s="1"/>
  <c r="E440" i="21"/>
  <c r="F440" i="21" s="1"/>
  <c r="G440" i="21" s="1"/>
  <c r="E443" i="19"/>
  <c r="F443" i="19" s="1"/>
  <c r="G443" i="19" s="1"/>
  <c r="E257" i="17"/>
  <c r="F257" i="17" s="1"/>
  <c r="G257" i="17" s="1"/>
  <c r="E508" i="19"/>
  <c r="F508" i="19" s="1"/>
  <c r="G508" i="19" s="1"/>
  <c r="E257" i="21"/>
  <c r="F257" i="21" s="1"/>
  <c r="G257" i="21" s="1"/>
  <c r="E508" i="1"/>
  <c r="F508" i="1" s="1"/>
  <c r="G508" i="1" s="1"/>
  <c r="E508" i="17"/>
  <c r="F508" i="17" s="1"/>
  <c r="G508" i="17" s="1"/>
  <c r="E550" i="1"/>
  <c r="F550" i="1" s="1"/>
  <c r="G550" i="1" s="1"/>
  <c r="E550" i="21"/>
  <c r="F550" i="21" s="1"/>
  <c r="G550" i="21" s="1"/>
  <c r="E550" i="14"/>
  <c r="F550" i="14" s="1"/>
  <c r="G550" i="14" s="1"/>
  <c r="E508" i="14"/>
  <c r="F508" i="14" s="1"/>
  <c r="G508" i="14" s="1"/>
  <c r="O177" i="16"/>
  <c r="U177" i="16"/>
  <c r="W177" i="16" s="1"/>
  <c r="AC229" i="16"/>
  <c r="E384" i="16"/>
  <c r="G384" i="16" s="1"/>
  <c r="G229" i="16"/>
  <c r="E282" i="16"/>
  <c r="M229" i="16"/>
  <c r="K44" i="29"/>
  <c r="E283" i="14"/>
  <c r="F283" i="14" s="1"/>
  <c r="G283" i="14" s="1"/>
  <c r="E516" i="17"/>
  <c r="F516" i="17" s="1"/>
  <c r="G516" i="17" s="1"/>
  <c r="E516" i="1"/>
  <c r="F516" i="1" s="1"/>
  <c r="G516" i="1" s="1"/>
  <c r="E488" i="14"/>
  <c r="F488" i="14" s="1"/>
  <c r="G488" i="14" s="1"/>
  <c r="E41" i="21"/>
  <c r="F41" i="21" s="1"/>
  <c r="G41" i="21" s="1"/>
  <c r="E41" i="17"/>
  <c r="F41" i="17" s="1"/>
  <c r="G41" i="17" s="1"/>
  <c r="E41" i="1"/>
  <c r="F41" i="1" s="1"/>
  <c r="G41" i="1" s="1"/>
  <c r="E41" i="14"/>
  <c r="F41" i="14" s="1"/>
  <c r="G41" i="14" s="1"/>
  <c r="E41" i="19"/>
  <c r="F41" i="19" s="1"/>
  <c r="G41" i="19" s="1"/>
  <c r="E516" i="14"/>
  <c r="F516" i="14" s="1"/>
  <c r="G516" i="14" s="1"/>
  <c r="E512" i="21"/>
  <c r="F512" i="21" s="1"/>
  <c r="G512" i="21" s="1"/>
  <c r="E257" i="14"/>
  <c r="F257" i="14" s="1"/>
  <c r="G257" i="14" s="1"/>
  <c r="E357" i="14"/>
  <c r="F357" i="14" s="1"/>
  <c r="G357" i="14" s="1"/>
  <c r="E357" i="17"/>
  <c r="F357" i="17" s="1"/>
  <c r="G357" i="17" s="1"/>
  <c r="H1413" i="51"/>
  <c r="G1425" i="6"/>
  <c r="H1436" i="6" s="1"/>
  <c r="H1455" i="6" s="1"/>
  <c r="E586" i="21"/>
  <c r="F586" i="21" s="1"/>
  <c r="G586" i="21" s="1"/>
  <c r="E586" i="17"/>
  <c r="F586" i="17" s="1"/>
  <c r="G586" i="17" s="1"/>
  <c r="E586" i="14"/>
  <c r="F586" i="14" s="1"/>
  <c r="G586" i="14" s="1"/>
  <c r="E586" i="1"/>
  <c r="F586" i="1" s="1"/>
  <c r="G586" i="1" s="1"/>
  <c r="E358" i="19"/>
  <c r="F358" i="19" s="1"/>
  <c r="G358" i="19" s="1"/>
  <c r="E358" i="1"/>
  <c r="F358" i="1" s="1"/>
  <c r="G358" i="1" s="1"/>
  <c r="E358" i="17"/>
  <c r="F358" i="17" s="1"/>
  <c r="G358" i="17" s="1"/>
  <c r="E358" i="14"/>
  <c r="F358" i="14" s="1"/>
  <c r="G358" i="14" s="1"/>
  <c r="E358" i="21"/>
  <c r="F358" i="21" s="1"/>
  <c r="G358" i="21" s="1"/>
  <c r="E512" i="1"/>
  <c r="F512" i="1" s="1"/>
  <c r="G512" i="1" s="1"/>
  <c r="E452" i="21"/>
  <c r="F452" i="21" s="1"/>
  <c r="G452" i="21" s="1"/>
  <c r="E379" i="16"/>
  <c r="G379" i="16" s="1"/>
  <c r="E452" i="1"/>
  <c r="F452" i="1" s="1"/>
  <c r="G452" i="1" s="1"/>
  <c r="E449" i="21"/>
  <c r="F449" i="21" s="1"/>
  <c r="G449" i="21" s="1"/>
  <c r="U327" i="16"/>
  <c r="W327" i="16" s="1"/>
  <c r="U20" i="16"/>
  <c r="W20" i="16" s="1"/>
  <c r="E69" i="16"/>
  <c r="G69" i="16" s="1"/>
  <c r="M222" i="16"/>
  <c r="O222" i="16" s="1"/>
  <c r="AK120" i="16"/>
  <c r="AM120" i="16" s="1"/>
  <c r="E452" i="17"/>
  <c r="F452" i="17" s="1"/>
  <c r="G452" i="17" s="1"/>
  <c r="U275" i="16"/>
  <c r="W275" i="16" s="1"/>
  <c r="M20" i="16"/>
  <c r="O20" i="16" s="1"/>
  <c r="E455" i="17"/>
  <c r="F455" i="17" s="1"/>
  <c r="G455" i="17" s="1"/>
  <c r="E452" i="14"/>
  <c r="F452" i="14" s="1"/>
  <c r="G452" i="14" s="1"/>
  <c r="AC275" i="16"/>
  <c r="AE275" i="16" s="1"/>
  <c r="E172" i="16"/>
  <c r="G172" i="16" s="1"/>
  <c r="M120" i="16"/>
  <c r="O120" i="16" s="1"/>
  <c r="U69" i="16"/>
  <c r="W69" i="16" s="1"/>
  <c r="M327" i="16"/>
  <c r="O327" i="16" s="1"/>
  <c r="AC222" i="16"/>
  <c r="AE222" i="16" s="1"/>
  <c r="E452" i="19"/>
  <c r="F452" i="19" s="1"/>
  <c r="G452" i="19" s="1"/>
  <c r="AC327" i="16"/>
  <c r="AE327" i="16" s="1"/>
  <c r="U120" i="16"/>
  <c r="W120" i="16" s="1"/>
  <c r="M275" i="16"/>
  <c r="O275" i="16" s="1"/>
  <c r="E449" i="19"/>
  <c r="F449" i="19" s="1"/>
  <c r="G449" i="19" s="1"/>
  <c r="E449" i="14"/>
  <c r="F449" i="14" s="1"/>
  <c r="G449" i="14" s="1"/>
  <c r="E20" i="16"/>
  <c r="E327" i="16"/>
  <c r="G327" i="16" s="1"/>
  <c r="E455" i="14"/>
  <c r="F455" i="14" s="1"/>
  <c r="G455" i="14" s="1"/>
  <c r="M172" i="16"/>
  <c r="O172" i="16" s="1"/>
  <c r="E455" i="1"/>
  <c r="F455" i="1" s="1"/>
  <c r="G455" i="1" s="1"/>
  <c r="E222" i="16"/>
  <c r="G222" i="16" s="1"/>
  <c r="AK327" i="16"/>
  <c r="AM327" i="16" s="1"/>
  <c r="E449" i="17"/>
  <c r="F449" i="17" s="1"/>
  <c r="G449" i="17" s="1"/>
  <c r="U172" i="16"/>
  <c r="W172" i="16" s="1"/>
  <c r="AC172" i="16"/>
  <c r="AE172" i="16" s="1"/>
  <c r="E419" i="16"/>
  <c r="G419" i="16" s="1"/>
  <c r="E120" i="16"/>
  <c r="G120" i="16" s="1"/>
  <c r="E275" i="16"/>
  <c r="G275" i="16" s="1"/>
  <c r="E449" i="1"/>
  <c r="F449" i="1" s="1"/>
  <c r="G449" i="1" s="1"/>
  <c r="M69" i="16"/>
  <c r="O69" i="16" s="1"/>
  <c r="U222" i="16"/>
  <c r="W222" i="16" s="1"/>
  <c r="AC20" i="16"/>
  <c r="AE20" i="16" s="1"/>
  <c r="E455" i="19"/>
  <c r="F455" i="19" s="1"/>
  <c r="G455" i="19" s="1"/>
  <c r="AC120" i="16"/>
  <c r="AE120" i="16" s="1"/>
  <c r="E455" i="21"/>
  <c r="F455" i="21" s="1"/>
  <c r="G455" i="21" s="1"/>
  <c r="E124" i="19"/>
  <c r="F124" i="19" s="1"/>
  <c r="G124" i="19" s="1"/>
  <c r="E124" i="1"/>
  <c r="F124" i="1" s="1"/>
  <c r="G124" i="1" s="1"/>
  <c r="E124" i="21"/>
  <c r="F124" i="21" s="1"/>
  <c r="G124" i="21" s="1"/>
  <c r="E124" i="17"/>
  <c r="F124" i="17" s="1"/>
  <c r="G124" i="17" s="1"/>
  <c r="E124" i="14"/>
  <c r="F124" i="14" s="1"/>
  <c r="G124" i="14" s="1"/>
  <c r="E588" i="14"/>
  <c r="F588" i="14" s="1"/>
  <c r="G588" i="14" s="1"/>
  <c r="E588" i="21"/>
  <c r="F588" i="21" s="1"/>
  <c r="G588" i="21" s="1"/>
  <c r="E588" i="1"/>
  <c r="F588" i="1" s="1"/>
  <c r="G588" i="1" s="1"/>
  <c r="E588" i="17"/>
  <c r="F588" i="17" s="1"/>
  <c r="G588" i="17" s="1"/>
  <c r="E381" i="1"/>
  <c r="F381" i="1" s="1"/>
  <c r="G381" i="1" s="1"/>
  <c r="E381" i="17"/>
  <c r="F381" i="17" s="1"/>
  <c r="G381" i="17" s="1"/>
  <c r="E381" i="14"/>
  <c r="F381" i="14" s="1"/>
  <c r="G381" i="14" s="1"/>
  <c r="E381" i="19"/>
  <c r="F381" i="19" s="1"/>
  <c r="G381" i="19" s="1"/>
  <c r="E381" i="21"/>
  <c r="F381" i="21" s="1"/>
  <c r="G381" i="21" s="1"/>
  <c r="E100" i="17"/>
  <c r="F100" i="17" s="1"/>
  <c r="G100" i="17" s="1"/>
  <c r="E99" i="19"/>
  <c r="F99" i="19" s="1"/>
  <c r="G99" i="19" s="1"/>
  <c r="E100" i="14"/>
  <c r="F100" i="14" s="1"/>
  <c r="G100" i="14" s="1"/>
  <c r="E99" i="21"/>
  <c r="F99" i="21" s="1"/>
  <c r="G99" i="21" s="1"/>
  <c r="E100" i="1"/>
  <c r="F100" i="1" s="1"/>
  <c r="G100" i="1" s="1"/>
  <c r="E100" i="19"/>
  <c r="F100" i="19" s="1"/>
  <c r="G100" i="19" s="1"/>
  <c r="E99" i="17"/>
  <c r="F99" i="17" s="1"/>
  <c r="G99" i="17" s="1"/>
  <c r="E99" i="1"/>
  <c r="F99" i="1" s="1"/>
  <c r="G99" i="1" s="1"/>
  <c r="E100" i="21"/>
  <c r="F100" i="21" s="1"/>
  <c r="G100" i="21" s="1"/>
  <c r="E99" i="14"/>
  <c r="F99" i="14" s="1"/>
  <c r="G99" i="14" s="1"/>
  <c r="E383" i="14"/>
  <c r="F383" i="14" s="1"/>
  <c r="G383" i="14" s="1"/>
  <c r="E383" i="21"/>
  <c r="F383" i="21" s="1"/>
  <c r="G383" i="21" s="1"/>
  <c r="E383" i="19"/>
  <c r="F383" i="19" s="1"/>
  <c r="G383" i="19" s="1"/>
  <c r="E383" i="1"/>
  <c r="F383" i="1" s="1"/>
  <c r="G383" i="1" s="1"/>
  <c r="E383" i="17"/>
  <c r="F383" i="17" s="1"/>
  <c r="G383" i="17" s="1"/>
  <c r="E425" i="1"/>
  <c r="F425" i="1" s="1"/>
  <c r="G425" i="1" s="1"/>
  <c r="E425" i="17"/>
  <c r="F425" i="17" s="1"/>
  <c r="G425" i="17" s="1"/>
  <c r="E425" i="21"/>
  <c r="F425" i="21" s="1"/>
  <c r="G425" i="21" s="1"/>
  <c r="E425" i="14"/>
  <c r="F425" i="14" s="1"/>
  <c r="G425" i="14" s="1"/>
  <c r="E425" i="19"/>
  <c r="F425" i="19" s="1"/>
  <c r="G425" i="19" s="1"/>
  <c r="E5464" i="51"/>
  <c r="G5464" i="51" s="1"/>
  <c r="E7175" i="51"/>
  <c r="G7175" i="51" s="1"/>
  <c r="H7180" i="51" s="1"/>
  <c r="E7142" i="51" s="1"/>
  <c r="G7142" i="51" s="1"/>
  <c r="H7148" i="51" s="1"/>
  <c r="H7182" i="51" s="1"/>
  <c r="D109" i="33" s="1"/>
  <c r="F43" i="42"/>
  <c r="D30" i="42"/>
  <c r="F35" i="42"/>
  <c r="D24" i="42"/>
  <c r="E24" i="42"/>
  <c r="B19" i="52"/>
  <c r="B22" i="52"/>
  <c r="V22" i="52" s="1"/>
  <c r="E283" i="19"/>
  <c r="F283" i="19" s="1"/>
  <c r="G283" i="19" s="1"/>
  <c r="E283" i="1"/>
  <c r="F283" i="1" s="1"/>
  <c r="G283" i="1" s="1"/>
  <c r="G416" i="16"/>
  <c r="E283" i="21"/>
  <c r="F283" i="21" s="1"/>
  <c r="G283" i="21" s="1"/>
  <c r="U6" i="41"/>
  <c r="D42" i="51"/>
  <c r="D92" i="51"/>
  <c r="D23" i="34"/>
  <c r="H1461" i="51"/>
  <c r="H1656" i="51"/>
  <c r="F65" i="27"/>
  <c r="E475" i="27"/>
  <c r="D581" i="27"/>
  <c r="E581" i="27" s="1"/>
  <c r="P9" i="41"/>
  <c r="U9" i="41" s="1"/>
  <c r="U44" i="41"/>
  <c r="U50" i="41"/>
  <c r="U46" i="41"/>
  <c r="U63" i="41"/>
  <c r="P12" i="41"/>
  <c r="R120" i="41"/>
  <c r="U120" i="41" s="1"/>
  <c r="R21" i="41"/>
  <c r="R16" i="41"/>
  <c r="U2" i="41"/>
  <c r="B264" i="27"/>
  <c r="D264" i="27" s="1"/>
  <c r="D265" i="27" s="1"/>
  <c r="E488" i="19"/>
  <c r="F488" i="19" s="1"/>
  <c r="G488" i="19" s="1"/>
  <c r="E512" i="17"/>
  <c r="F512" i="17" s="1"/>
  <c r="G512" i="17" s="1"/>
  <c r="E488" i="1"/>
  <c r="F488" i="1" s="1"/>
  <c r="G488" i="1" s="1"/>
  <c r="U32" i="41"/>
  <c r="E488" i="21"/>
  <c r="F488" i="21" s="1"/>
  <c r="G488" i="21" s="1"/>
  <c r="B981" i="27"/>
  <c r="E981" i="27" s="1"/>
  <c r="E982" i="27" s="1"/>
  <c r="H6662" i="51"/>
  <c r="H7013" i="51"/>
  <c r="E1133" i="51"/>
  <c r="G1133" i="51" s="1"/>
  <c r="E1183" i="51"/>
  <c r="G1183" i="51" s="1"/>
  <c r="E3783" i="51"/>
  <c r="E3735" i="51"/>
  <c r="G3735" i="51" s="1"/>
  <c r="E3687" i="51"/>
  <c r="E4023" i="51"/>
  <c r="G4023" i="51" s="1"/>
  <c r="E3927" i="51"/>
  <c r="G3927" i="51" s="1"/>
  <c r="E3639" i="51"/>
  <c r="G3639" i="51" s="1"/>
  <c r="E3831" i="51"/>
  <c r="E5465" i="51"/>
  <c r="G5465" i="51" s="1"/>
  <c r="E3975" i="51"/>
  <c r="G3975" i="51" s="1"/>
  <c r="E3879" i="51"/>
  <c r="G3879" i="51" s="1"/>
  <c r="E110" i="19"/>
  <c r="F110" i="19" s="1"/>
  <c r="G110" i="19" s="1"/>
  <c r="E110" i="21"/>
  <c r="F110" i="21" s="1"/>
  <c r="G110" i="21" s="1"/>
  <c r="E110" i="14"/>
  <c r="F110" i="14" s="1"/>
  <c r="G110" i="14" s="1"/>
  <c r="E110" i="1"/>
  <c r="F110" i="1" s="1"/>
  <c r="G110" i="1" s="1"/>
  <c r="E110" i="17"/>
  <c r="F110" i="17" s="1"/>
  <c r="G110" i="17" s="1"/>
  <c r="D237" i="6"/>
  <c r="W183" i="6"/>
  <c r="X194" i="6" s="1"/>
  <c r="X213" i="6" s="1"/>
  <c r="U49" i="41"/>
  <c r="E6976" i="51"/>
  <c r="G6976" i="51" s="1"/>
  <c r="H6981" i="51" s="1"/>
  <c r="E6942" i="51" s="1"/>
  <c r="G6942" i="51" s="1"/>
  <c r="H6948" i="51" s="1"/>
  <c r="E7026" i="51"/>
  <c r="G7026" i="51" s="1"/>
  <c r="H7031" i="51" s="1"/>
  <c r="E6992" i="51" s="1"/>
  <c r="G6992" i="51" s="1"/>
  <c r="H6998" i="51" s="1"/>
  <c r="E7126" i="51"/>
  <c r="G7126" i="51" s="1"/>
  <c r="H7131" i="51" s="1"/>
  <c r="E7092" i="51" s="1"/>
  <c r="G7092" i="51" s="1"/>
  <c r="H7098" i="51" s="1"/>
  <c r="H7133" i="51" s="1"/>
  <c r="D286" i="33" s="1"/>
  <c r="E7076" i="51"/>
  <c r="G7076" i="51" s="1"/>
  <c r="H7081" i="51" s="1"/>
  <c r="E7042" i="51" s="1"/>
  <c r="G7042" i="51" s="1"/>
  <c r="H7048" i="51" s="1"/>
  <c r="H7083" i="51" s="1"/>
  <c r="D285" i="33" s="1"/>
  <c r="H1364" i="51"/>
  <c r="U36" i="41"/>
  <c r="H6983" i="51"/>
  <c r="D283" i="33" s="1"/>
  <c r="AA31" i="52"/>
  <c r="H1267" i="51"/>
  <c r="E1026" i="27"/>
  <c r="E212" i="14"/>
  <c r="E212" i="17"/>
  <c r="E212" i="21"/>
  <c r="E212" i="19"/>
  <c r="E212" i="1"/>
  <c r="G1047" i="6"/>
  <c r="H1058" i="6" s="1"/>
  <c r="H1077" i="6" s="1"/>
  <c r="D1101" i="6"/>
  <c r="G1101" i="6" s="1"/>
  <c r="H1112" i="6" s="1"/>
  <c r="H1131" i="6" s="1"/>
  <c r="F80" i="17"/>
  <c r="G80" i="17" s="1"/>
  <c r="D674" i="27"/>
  <c r="D675" i="27" s="1"/>
  <c r="T1425" i="6"/>
  <c r="O1425" i="6"/>
  <c r="P1436" i="6" s="1"/>
  <c r="P1455" i="6" s="1"/>
  <c r="U228" i="16"/>
  <c r="W228" i="16" s="1"/>
  <c r="O228" i="16"/>
  <c r="U28" i="16"/>
  <c r="O28" i="16"/>
  <c r="E4889" i="51"/>
  <c r="G4889" i="51" s="1"/>
  <c r="E4841" i="51"/>
  <c r="G4841" i="51" s="1"/>
  <c r="E4793" i="51"/>
  <c r="G4793" i="51" s="1"/>
  <c r="E4745" i="51"/>
  <c r="G4745" i="51" s="1"/>
  <c r="E4697" i="51"/>
  <c r="G4697" i="51" s="1"/>
  <c r="E291" i="51"/>
  <c r="G291" i="51" s="1"/>
  <c r="B359" i="27"/>
  <c r="E359" i="27" s="1"/>
  <c r="E351" i="27"/>
  <c r="E4888" i="51"/>
  <c r="G4888" i="51" s="1"/>
  <c r="E4840" i="51"/>
  <c r="G4840" i="51" s="1"/>
  <c r="E4792" i="51"/>
  <c r="G4792" i="51" s="1"/>
  <c r="E4696" i="51"/>
  <c r="G4696" i="51" s="1"/>
  <c r="E4744" i="51"/>
  <c r="G4744" i="51" s="1"/>
  <c r="E290" i="51"/>
  <c r="G290" i="51" s="1"/>
  <c r="G281" i="16"/>
  <c r="M281" i="16"/>
  <c r="M332" i="16"/>
  <c r="O332" i="16" s="1"/>
  <c r="C811" i="27"/>
  <c r="D811" i="27" s="1"/>
  <c r="U61" i="41"/>
  <c r="H1560" i="51"/>
  <c r="H1316" i="51"/>
  <c r="E153" i="19"/>
  <c r="F153" i="19" s="1"/>
  <c r="G153" i="19" s="1"/>
  <c r="E153" i="1"/>
  <c r="F153" i="1" s="1"/>
  <c r="G153" i="1" s="1"/>
  <c r="E153" i="17"/>
  <c r="F153" i="17" s="1"/>
  <c r="G153" i="17" s="1"/>
  <c r="E153" i="21"/>
  <c r="F153" i="21" s="1"/>
  <c r="G153" i="21" s="1"/>
  <c r="E153" i="14"/>
  <c r="F153" i="14" s="1"/>
  <c r="G153" i="14" s="1"/>
  <c r="E137" i="17"/>
  <c r="E137" i="1"/>
  <c r="E137" i="14"/>
  <c r="E137" i="21"/>
  <c r="E137" i="19"/>
  <c r="E299" i="1"/>
  <c r="F299" i="1" s="1"/>
  <c r="G299" i="1" s="1"/>
  <c r="E299" i="17"/>
  <c r="F299" i="17" s="1"/>
  <c r="G299" i="17" s="1"/>
  <c r="E299" i="19"/>
  <c r="F299" i="19" s="1"/>
  <c r="G299" i="19" s="1"/>
  <c r="E299" i="21"/>
  <c r="F299" i="21" s="1"/>
  <c r="G299" i="21" s="1"/>
  <c r="E299" i="14"/>
  <c r="F299" i="14" s="1"/>
  <c r="G299" i="14" s="1"/>
  <c r="E159" i="19"/>
  <c r="F159" i="19" s="1"/>
  <c r="G159" i="19" s="1"/>
  <c r="E159" i="14"/>
  <c r="F159" i="14" s="1"/>
  <c r="G159" i="14" s="1"/>
  <c r="E159" i="1"/>
  <c r="F159" i="1" s="1"/>
  <c r="G159" i="1" s="1"/>
  <c r="E159" i="17"/>
  <c r="F159" i="17" s="1"/>
  <c r="G159" i="17" s="1"/>
  <c r="E159" i="21"/>
  <c r="F159" i="21" s="1"/>
  <c r="G159" i="21" s="1"/>
  <c r="E355" i="19"/>
  <c r="F355" i="19" s="1"/>
  <c r="G355" i="19" s="1"/>
  <c r="E355" i="14"/>
  <c r="F355" i="14" s="1"/>
  <c r="G355" i="14" s="1"/>
  <c r="E355" i="21"/>
  <c r="F355" i="21" s="1"/>
  <c r="G355" i="21" s="1"/>
  <c r="E355" i="17"/>
  <c r="F355" i="17" s="1"/>
  <c r="G355" i="17" s="1"/>
  <c r="E355" i="1"/>
  <c r="F355" i="1" s="1"/>
  <c r="G355" i="1" s="1"/>
  <c r="O128" i="16"/>
  <c r="U128" i="16"/>
  <c r="E180" i="16"/>
  <c r="D174" i="41"/>
  <c r="D180" i="41"/>
  <c r="D181" i="41"/>
  <c r="D172" i="41"/>
  <c r="D176" i="41"/>
  <c r="D177" i="41"/>
  <c r="D175" i="41"/>
  <c r="D179" i="41"/>
  <c r="D178" i="41"/>
  <c r="D173" i="41"/>
  <c r="D182" i="41"/>
  <c r="P10" i="41"/>
  <c r="P15" i="41"/>
  <c r="E431" i="1"/>
  <c r="F431" i="1" s="1"/>
  <c r="G431" i="1" s="1"/>
  <c r="E431" i="21"/>
  <c r="F431" i="21" s="1"/>
  <c r="G431" i="21" s="1"/>
  <c r="E431" i="17"/>
  <c r="F431" i="17" s="1"/>
  <c r="G431" i="17" s="1"/>
  <c r="E428" i="1"/>
  <c r="F428" i="1" s="1"/>
  <c r="G428" i="1" s="1"/>
  <c r="E431" i="19"/>
  <c r="F431" i="19" s="1"/>
  <c r="G431" i="19" s="1"/>
  <c r="E431" i="14"/>
  <c r="F431" i="14" s="1"/>
  <c r="G431" i="14" s="1"/>
  <c r="E428" i="21"/>
  <c r="F428" i="21" s="1"/>
  <c r="G428" i="21" s="1"/>
  <c r="E428" i="17"/>
  <c r="F428" i="17" s="1"/>
  <c r="G428" i="17" s="1"/>
  <c r="E428" i="19"/>
  <c r="F428" i="19" s="1"/>
  <c r="G428" i="19" s="1"/>
  <c r="E428" i="14"/>
  <c r="F428" i="14" s="1"/>
  <c r="G428" i="14" s="1"/>
  <c r="AC129" i="16"/>
  <c r="W129" i="16"/>
  <c r="P16" i="41"/>
  <c r="P11" i="41"/>
  <c r="U11" i="41" s="1"/>
  <c r="U64" i="41"/>
  <c r="R57" i="41"/>
  <c r="R45" i="41"/>
  <c r="P3433" i="6"/>
  <c r="P3452" i="6" s="1"/>
  <c r="U131" i="16"/>
  <c r="O131" i="16"/>
  <c r="S42" i="41"/>
  <c r="S54" i="41"/>
  <c r="U54" i="41" s="1"/>
  <c r="E232" i="16"/>
  <c r="M181" i="16"/>
  <c r="G181" i="16"/>
  <c r="AC181" i="16"/>
  <c r="AE181" i="16" s="1"/>
  <c r="P8" i="41"/>
  <c r="P13" i="41"/>
  <c r="P65" i="41"/>
  <c r="U65" i="41" s="1"/>
  <c r="P53" i="41"/>
  <c r="U53" i="41" s="1"/>
  <c r="R118" i="41"/>
  <c r="U118" i="41" s="1"/>
  <c r="R123" i="41"/>
  <c r="R19" i="41"/>
  <c r="R14" i="41"/>
  <c r="S22" i="41"/>
  <c r="U22" i="41" s="1"/>
  <c r="S13" i="41"/>
  <c r="S122" i="41"/>
  <c r="S18" i="41"/>
  <c r="S126" i="41"/>
  <c r="D195" i="41"/>
  <c r="D187" i="41"/>
  <c r="D188" i="41"/>
  <c r="D191" i="41"/>
  <c r="D190" i="41"/>
  <c r="D189" i="41"/>
  <c r="D192" i="41"/>
  <c r="D193" i="41"/>
  <c r="D186" i="41"/>
  <c r="D194" i="41"/>
  <c r="D196" i="41"/>
  <c r="U286" i="16"/>
  <c r="W286" i="16" s="1"/>
  <c r="O286" i="16"/>
  <c r="U76" i="16"/>
  <c r="W76" i="16" s="1"/>
  <c r="O76" i="16"/>
  <c r="S121" i="41"/>
  <c r="S17" i="41"/>
  <c r="S12" i="41"/>
  <c r="D153" i="41"/>
  <c r="D149" i="41"/>
  <c r="D147" i="41"/>
  <c r="D145" i="41"/>
  <c r="D150" i="41"/>
  <c r="D144" i="41"/>
  <c r="D146" i="41"/>
  <c r="D148" i="41"/>
  <c r="D154" i="41"/>
  <c r="D152" i="41"/>
  <c r="D151" i="41"/>
  <c r="M75" i="16"/>
  <c r="G75" i="16"/>
  <c r="S20" i="41"/>
  <c r="S15" i="41"/>
  <c r="S24" i="41"/>
  <c r="U24" i="41" s="1"/>
  <c r="S128" i="41"/>
  <c r="U128" i="41" s="1"/>
  <c r="S124" i="41"/>
  <c r="R17" i="41"/>
  <c r="R121" i="41"/>
  <c r="R12" i="41"/>
  <c r="R116" i="41"/>
  <c r="R20" i="41"/>
  <c r="R119" i="41"/>
  <c r="U119" i="41" s="1"/>
  <c r="R15" i="41"/>
  <c r="R124" i="41"/>
  <c r="M26" i="16"/>
  <c r="G26" i="16"/>
  <c r="AC286" i="16"/>
  <c r="AE286" i="16" s="1"/>
  <c r="AE234" i="16"/>
  <c r="S57" i="41"/>
  <c r="S45" i="41"/>
  <c r="H1704" i="51"/>
  <c r="H348" i="10"/>
  <c r="H367" i="10" s="1"/>
  <c r="E585" i="17" s="1"/>
  <c r="F585" i="17" s="1"/>
  <c r="G585" i="17" s="1"/>
  <c r="S16" i="41"/>
  <c r="S21" i="41"/>
  <c r="U21" i="41" s="1"/>
  <c r="S25" i="41"/>
  <c r="U25" i="41" s="1"/>
  <c r="S129" i="41"/>
  <c r="U129" i="41" s="1"/>
  <c r="S125" i="41"/>
  <c r="U125" i="41" s="1"/>
  <c r="S23" i="41"/>
  <c r="U23" i="41" s="1"/>
  <c r="S127" i="41"/>
  <c r="U127" i="41" s="1"/>
  <c r="S19" i="41"/>
  <c r="S123" i="41"/>
  <c r="S14" i="41"/>
  <c r="R55" i="41"/>
  <c r="U55" i="41" s="1"/>
  <c r="R43" i="41"/>
  <c r="U27" i="41"/>
  <c r="G27" i="16"/>
  <c r="M27" i="16"/>
  <c r="E130" i="16"/>
  <c r="E441" i="1"/>
  <c r="F441" i="1" s="1"/>
  <c r="G441" i="1" s="1"/>
  <c r="E438" i="1"/>
  <c r="F438" i="1" s="1"/>
  <c r="G438" i="1" s="1"/>
  <c r="E441" i="17"/>
  <c r="F441" i="17" s="1"/>
  <c r="G441" i="17" s="1"/>
  <c r="E438" i="14"/>
  <c r="F438" i="14" s="1"/>
  <c r="G438" i="14" s="1"/>
  <c r="E438" i="21"/>
  <c r="F438" i="21" s="1"/>
  <c r="G438" i="21" s="1"/>
  <c r="E441" i="19"/>
  <c r="F441" i="19" s="1"/>
  <c r="G441" i="19" s="1"/>
  <c r="E438" i="19"/>
  <c r="F438" i="19" s="1"/>
  <c r="G438" i="19" s="1"/>
  <c r="E441" i="14"/>
  <c r="F441" i="14" s="1"/>
  <c r="G441" i="14" s="1"/>
  <c r="E441" i="21"/>
  <c r="F441" i="21" s="1"/>
  <c r="G441" i="21" s="1"/>
  <c r="E438" i="17"/>
  <c r="F438" i="17" s="1"/>
  <c r="G438" i="17" s="1"/>
  <c r="U52" i="41"/>
  <c r="R117" i="41"/>
  <c r="U117" i="41" s="1"/>
  <c r="R18" i="41"/>
  <c r="R13" i="41"/>
  <c r="R122" i="41"/>
  <c r="E228" i="17"/>
  <c r="F228" i="17" s="1"/>
  <c r="G228" i="17" s="1"/>
  <c r="E227" i="14"/>
  <c r="F227" i="14" s="1"/>
  <c r="G227" i="14" s="1"/>
  <c r="E228" i="19"/>
  <c r="F228" i="19" s="1"/>
  <c r="G228" i="19" s="1"/>
  <c r="E228" i="14"/>
  <c r="F228" i="14" s="1"/>
  <c r="G228" i="14" s="1"/>
  <c r="E227" i="21"/>
  <c r="F227" i="21" s="1"/>
  <c r="G227" i="21" s="1"/>
  <c r="E227" i="19"/>
  <c r="F227" i="19" s="1"/>
  <c r="G227" i="19" s="1"/>
  <c r="E228" i="1"/>
  <c r="F228" i="1" s="1"/>
  <c r="G228" i="1" s="1"/>
  <c r="E228" i="21"/>
  <c r="F228" i="21" s="1"/>
  <c r="G228" i="21" s="1"/>
  <c r="E227" i="17"/>
  <c r="F227" i="17" s="1"/>
  <c r="G227" i="17" s="1"/>
  <c r="E227" i="1"/>
  <c r="F227" i="1" s="1"/>
  <c r="G227" i="1" s="1"/>
  <c r="E495" i="1"/>
  <c r="F495" i="1" s="1"/>
  <c r="G495" i="1" s="1"/>
  <c r="E495" i="17"/>
  <c r="F495" i="17" s="1"/>
  <c r="G495" i="17" s="1"/>
  <c r="E495" i="21"/>
  <c r="F495" i="21" s="1"/>
  <c r="G495" i="21" s="1"/>
  <c r="E495" i="19"/>
  <c r="F495" i="19" s="1"/>
  <c r="G495" i="19" s="1"/>
  <c r="E495" i="14"/>
  <c r="F495" i="14" s="1"/>
  <c r="G495" i="14" s="1"/>
  <c r="E300" i="17"/>
  <c r="F300" i="17" s="1"/>
  <c r="G300" i="17" s="1"/>
  <c r="E300" i="1"/>
  <c r="F300" i="1" s="1"/>
  <c r="G300" i="1" s="1"/>
  <c r="E300" i="19"/>
  <c r="F300" i="19" s="1"/>
  <c r="G300" i="19" s="1"/>
  <c r="E300" i="21"/>
  <c r="F300" i="21" s="1"/>
  <c r="G300" i="21" s="1"/>
  <c r="E300" i="14"/>
  <c r="F300" i="14" s="1"/>
  <c r="G300" i="14" s="1"/>
  <c r="E229" i="17"/>
  <c r="F229" i="17" s="1"/>
  <c r="G229" i="17" s="1"/>
  <c r="E229" i="1"/>
  <c r="F229" i="1" s="1"/>
  <c r="G229" i="1" s="1"/>
  <c r="E229" i="19"/>
  <c r="F229" i="19" s="1"/>
  <c r="G229" i="19" s="1"/>
  <c r="E229" i="21"/>
  <c r="F229" i="21" s="1"/>
  <c r="G229" i="21" s="1"/>
  <c r="E229" i="14"/>
  <c r="F229" i="14" s="1"/>
  <c r="G229" i="14" s="1"/>
  <c r="E503" i="19"/>
  <c r="F503" i="19" s="1"/>
  <c r="G503" i="19" s="1"/>
  <c r="E503" i="1"/>
  <c r="F503" i="1" s="1"/>
  <c r="G503" i="1" s="1"/>
  <c r="E503" i="17"/>
  <c r="F503" i="17" s="1"/>
  <c r="G503" i="17" s="1"/>
  <c r="E503" i="21"/>
  <c r="F503" i="21" s="1"/>
  <c r="G503" i="21" s="1"/>
  <c r="E503" i="14"/>
  <c r="F503" i="14" s="1"/>
  <c r="G503" i="14" s="1"/>
  <c r="E390" i="14"/>
  <c r="F390" i="14" s="1"/>
  <c r="G390" i="14" s="1"/>
  <c r="E390" i="19"/>
  <c r="F390" i="19" s="1"/>
  <c r="G390" i="19" s="1"/>
  <c r="E390" i="1"/>
  <c r="F390" i="1" s="1"/>
  <c r="G390" i="1" s="1"/>
  <c r="E390" i="17"/>
  <c r="F390" i="17" s="1"/>
  <c r="G390" i="17" s="1"/>
  <c r="E390" i="21"/>
  <c r="F390" i="21" s="1"/>
  <c r="G390" i="21" s="1"/>
  <c r="E490" i="21"/>
  <c r="F490" i="21" s="1"/>
  <c r="G490" i="21" s="1"/>
  <c r="E397" i="10"/>
  <c r="G397" i="10" s="1"/>
  <c r="H398" i="10" s="1"/>
  <c r="H417" i="10" s="1"/>
  <c r="E1163" i="8"/>
  <c r="G1163" i="8" s="1"/>
  <c r="E490" i="14"/>
  <c r="F490" i="14" s="1"/>
  <c r="G490" i="14" s="1"/>
  <c r="E490" i="17"/>
  <c r="F490" i="17" s="1"/>
  <c r="G490" i="17" s="1"/>
  <c r="E490" i="1"/>
  <c r="F490" i="1" s="1"/>
  <c r="G490" i="1" s="1"/>
  <c r="E490" i="19"/>
  <c r="F490" i="19" s="1"/>
  <c r="G490" i="19" s="1"/>
  <c r="E464" i="21"/>
  <c r="F464" i="21" s="1"/>
  <c r="G464" i="21" s="1"/>
  <c r="E464" i="19"/>
  <c r="F464" i="19" s="1"/>
  <c r="G464" i="19" s="1"/>
  <c r="E460" i="17"/>
  <c r="F460" i="17" s="1"/>
  <c r="G460" i="17" s="1"/>
  <c r="E463" i="19"/>
  <c r="F463" i="19" s="1"/>
  <c r="G463" i="19" s="1"/>
  <c r="E463" i="17"/>
  <c r="F463" i="17" s="1"/>
  <c r="G463" i="17" s="1"/>
  <c r="E464" i="14"/>
  <c r="F464" i="14" s="1"/>
  <c r="G464" i="14" s="1"/>
  <c r="E460" i="1"/>
  <c r="F460" i="1" s="1"/>
  <c r="G460" i="1" s="1"/>
  <c r="E463" i="21"/>
  <c r="F463" i="21" s="1"/>
  <c r="G463" i="21" s="1"/>
  <c r="E464" i="17"/>
  <c r="F464" i="17" s="1"/>
  <c r="G464" i="17" s="1"/>
  <c r="E460" i="14"/>
  <c r="F460" i="14" s="1"/>
  <c r="G460" i="14" s="1"/>
  <c r="E463" i="1"/>
  <c r="F463" i="1" s="1"/>
  <c r="G463" i="1" s="1"/>
  <c r="E460" i="21"/>
  <c r="F460" i="21" s="1"/>
  <c r="G460" i="21" s="1"/>
  <c r="E460" i="19"/>
  <c r="F460" i="19" s="1"/>
  <c r="G460" i="19" s="1"/>
  <c r="E463" i="14"/>
  <c r="F463" i="14" s="1"/>
  <c r="G463" i="14" s="1"/>
  <c r="E464" i="1"/>
  <c r="F464" i="1" s="1"/>
  <c r="G464" i="1" s="1"/>
  <c r="E597" i="17"/>
  <c r="F597" i="17" s="1"/>
  <c r="G597" i="17" s="1"/>
  <c r="E597" i="1"/>
  <c r="F597" i="1" s="1"/>
  <c r="G597" i="1" s="1"/>
  <c r="E598" i="21"/>
  <c r="F598" i="21" s="1"/>
  <c r="G598" i="21" s="1"/>
  <c r="E239" i="19"/>
  <c r="E239" i="1"/>
  <c r="E239" i="17"/>
  <c r="E239" i="14"/>
  <c r="E239" i="21"/>
  <c r="E316" i="1"/>
  <c r="F316" i="1" s="1"/>
  <c r="G316" i="1" s="1"/>
  <c r="E316" i="14"/>
  <c r="F316" i="14" s="1"/>
  <c r="G316" i="14" s="1"/>
  <c r="E316" i="17"/>
  <c r="F316" i="17" s="1"/>
  <c r="G316" i="17" s="1"/>
  <c r="E316" i="19"/>
  <c r="F316" i="19" s="1"/>
  <c r="G316" i="19" s="1"/>
  <c r="E316" i="21"/>
  <c r="F316" i="21" s="1"/>
  <c r="G316" i="21" s="1"/>
  <c r="AC175" i="16"/>
  <c r="AE175" i="16" s="1"/>
  <c r="AK330" i="16"/>
  <c r="AM330" i="16" s="1"/>
  <c r="E482" i="21"/>
  <c r="F482" i="21" s="1"/>
  <c r="G482" i="21" s="1"/>
  <c r="E482" i="1"/>
  <c r="F482" i="1" s="1"/>
  <c r="G482" i="1" s="1"/>
  <c r="M72" i="16"/>
  <c r="O72" i="16" s="1"/>
  <c r="U72" i="16"/>
  <c r="W72" i="16" s="1"/>
  <c r="E422" i="16"/>
  <c r="G422" i="16" s="1"/>
  <c r="AC330" i="16"/>
  <c r="AE330" i="16" s="1"/>
  <c r="E278" i="16"/>
  <c r="G278" i="16" s="1"/>
  <c r="E175" i="16"/>
  <c r="G175" i="16" s="1"/>
  <c r="E123" i="16"/>
  <c r="G123" i="16" s="1"/>
  <c r="U123" i="16"/>
  <c r="W123" i="16" s="1"/>
  <c r="M23" i="16"/>
  <c r="O23" i="16" s="1"/>
  <c r="U175" i="16"/>
  <c r="W175" i="16" s="1"/>
  <c r="M278" i="16"/>
  <c r="O278" i="16" s="1"/>
  <c r="M175" i="16"/>
  <c r="O175" i="16" s="1"/>
  <c r="U278" i="16"/>
  <c r="W278" i="16" s="1"/>
  <c r="E482" i="14"/>
  <c r="F482" i="14" s="1"/>
  <c r="G482" i="14" s="1"/>
  <c r="AC278" i="16"/>
  <c r="AE278" i="16" s="1"/>
  <c r="AK123" i="16"/>
  <c r="AM123" i="16" s="1"/>
  <c r="AC225" i="16"/>
  <c r="AE225" i="16" s="1"/>
  <c r="E482" i="17"/>
  <c r="F482" i="17" s="1"/>
  <c r="G482" i="17" s="1"/>
  <c r="AC23" i="16"/>
  <c r="AE23" i="16" s="1"/>
  <c r="E72" i="16"/>
  <c r="G72" i="16" s="1"/>
  <c r="E482" i="19"/>
  <c r="F482" i="19" s="1"/>
  <c r="G482" i="19" s="1"/>
  <c r="E382" i="16"/>
  <c r="G382" i="16" s="1"/>
  <c r="E330" i="16"/>
  <c r="G330" i="16" s="1"/>
  <c r="E225" i="16"/>
  <c r="G225" i="16" s="1"/>
  <c r="AC123" i="16"/>
  <c r="AE123" i="16" s="1"/>
  <c r="M123" i="16"/>
  <c r="O123" i="16" s="1"/>
  <c r="U23" i="16"/>
  <c r="W23" i="16" s="1"/>
  <c r="E23" i="16"/>
  <c r="G23" i="16" s="1"/>
  <c r="M330" i="16"/>
  <c r="O330" i="16" s="1"/>
  <c r="M225" i="16"/>
  <c r="O225" i="16" s="1"/>
  <c r="U330" i="16"/>
  <c r="W330" i="16" s="1"/>
  <c r="U225" i="16"/>
  <c r="W225" i="16" s="1"/>
  <c r="E587" i="1"/>
  <c r="F587" i="1" s="1"/>
  <c r="G587" i="1" s="1"/>
  <c r="E30" i="16"/>
  <c r="E587" i="14"/>
  <c r="F587" i="14" s="1"/>
  <c r="G587" i="14" s="1"/>
  <c r="E587" i="21"/>
  <c r="F587" i="21" s="1"/>
  <c r="G587" i="21" s="1"/>
  <c r="E587" i="17"/>
  <c r="F587" i="17" s="1"/>
  <c r="G587" i="17" s="1"/>
  <c r="M3207" i="6"/>
  <c r="O3207" i="6" s="1"/>
  <c r="P3218" i="6" s="1"/>
  <c r="P3237" i="6" s="1"/>
  <c r="E615" i="9"/>
  <c r="G615" i="9" s="1"/>
  <c r="H626" i="9" s="1"/>
  <c r="H645" i="9" s="1"/>
  <c r="E561" i="9"/>
  <c r="G561" i="9" s="1"/>
  <c r="H572" i="9" s="1"/>
  <c r="H591" i="9" s="1"/>
  <c r="E3370" i="6"/>
  <c r="G3370" i="6" s="1"/>
  <c r="H3380" i="6" s="1"/>
  <c r="H3399" i="6" s="1"/>
  <c r="M403" i="8"/>
  <c r="O403" i="8" s="1"/>
  <c r="P415" i="8" s="1"/>
  <c r="P434" i="8" s="1"/>
  <c r="E500" i="17" s="1"/>
  <c r="F500" i="17" s="1"/>
  <c r="G500" i="17" s="1"/>
  <c r="E457" i="8"/>
  <c r="G457" i="8" s="1"/>
  <c r="H469" i="8" s="1"/>
  <c r="H488" i="8" s="1"/>
  <c r="E3423" i="6"/>
  <c r="G3423" i="6" s="1"/>
  <c r="H3433" i="6" s="1"/>
  <c r="H3452" i="6" s="1"/>
  <c r="E403" i="8"/>
  <c r="G403" i="8" s="1"/>
  <c r="H415" i="8" s="1"/>
  <c r="H434" i="8" s="1"/>
  <c r="E3207" i="6"/>
  <c r="G3207" i="6" s="1"/>
  <c r="H3218" i="6" s="1"/>
  <c r="H3237" i="6" s="1"/>
  <c r="E282" i="17"/>
  <c r="F282" i="17" s="1"/>
  <c r="G282" i="17" s="1"/>
  <c r="E282" i="1"/>
  <c r="F282" i="1" s="1"/>
  <c r="G282" i="1" s="1"/>
  <c r="E282" i="19"/>
  <c r="F282" i="19" s="1"/>
  <c r="G282" i="19" s="1"/>
  <c r="E282" i="21"/>
  <c r="F282" i="21" s="1"/>
  <c r="G282" i="21" s="1"/>
  <c r="E282" i="14"/>
  <c r="F282" i="14" s="1"/>
  <c r="G282" i="14" s="1"/>
  <c r="E230" i="1"/>
  <c r="F230" i="1" s="1"/>
  <c r="G230" i="1" s="1"/>
  <c r="E230" i="19"/>
  <c r="F230" i="19" s="1"/>
  <c r="G230" i="19" s="1"/>
  <c r="E230" i="21"/>
  <c r="F230" i="21" s="1"/>
  <c r="G230" i="21" s="1"/>
  <c r="E230" i="14"/>
  <c r="F230" i="14" s="1"/>
  <c r="G230" i="14" s="1"/>
  <c r="E230" i="17"/>
  <c r="F230" i="17" s="1"/>
  <c r="G230" i="17" s="1"/>
  <c r="E507" i="1"/>
  <c r="F507" i="1" s="1"/>
  <c r="G507" i="1" s="1"/>
  <c r="E507" i="17"/>
  <c r="F507" i="17" s="1"/>
  <c r="G507" i="17" s="1"/>
  <c r="E507" i="21"/>
  <c r="F507" i="21" s="1"/>
  <c r="G507" i="21" s="1"/>
  <c r="E507" i="14"/>
  <c r="F507" i="14" s="1"/>
  <c r="G507" i="14" s="1"/>
  <c r="E507" i="19"/>
  <c r="F507" i="19" s="1"/>
  <c r="G507" i="19" s="1"/>
  <c r="AK118" i="16"/>
  <c r="AM118" i="16" s="1"/>
  <c r="AC273" i="16"/>
  <c r="AE273" i="16" s="1"/>
  <c r="AC18" i="16"/>
  <c r="AE18" i="16" s="1"/>
  <c r="U67" i="16"/>
  <c r="W67" i="16" s="1"/>
  <c r="E417" i="16"/>
  <c r="G417" i="16" s="1"/>
  <c r="AC325" i="16"/>
  <c r="AE325" i="16" s="1"/>
  <c r="U273" i="16"/>
  <c r="W273" i="16" s="1"/>
  <c r="U170" i="16"/>
  <c r="W170" i="16" s="1"/>
  <c r="E118" i="16"/>
  <c r="G118" i="16" s="1"/>
  <c r="U118" i="16"/>
  <c r="W118" i="16" s="1"/>
  <c r="M18" i="16"/>
  <c r="O18" i="16" s="1"/>
  <c r="M273" i="16"/>
  <c r="O273" i="16" s="1"/>
  <c r="E325" i="16"/>
  <c r="G325" i="16" s="1"/>
  <c r="E220" i="16"/>
  <c r="G220" i="16" s="1"/>
  <c r="E18" i="16"/>
  <c r="G18" i="16" s="1"/>
  <c r="AC220" i="16"/>
  <c r="AE220" i="16" s="1"/>
  <c r="AC170" i="16"/>
  <c r="AE170" i="16" s="1"/>
  <c r="AK325" i="16"/>
  <c r="AM325" i="16" s="1"/>
  <c r="E67" i="16"/>
  <c r="G67" i="16" s="1"/>
  <c r="M67" i="16"/>
  <c r="O67" i="16" s="1"/>
  <c r="E377" i="16"/>
  <c r="G377" i="16" s="1"/>
  <c r="U325" i="16"/>
  <c r="W325" i="16" s="1"/>
  <c r="U220" i="16"/>
  <c r="W220" i="16" s="1"/>
  <c r="AC118" i="16"/>
  <c r="AE118" i="16" s="1"/>
  <c r="M118" i="16"/>
  <c r="O118" i="16" s="1"/>
  <c r="U18" i="16"/>
  <c r="W18" i="16" s="1"/>
  <c r="M325" i="16"/>
  <c r="O325" i="16" s="1"/>
  <c r="M170" i="16"/>
  <c r="O170" i="16" s="1"/>
  <c r="E273" i="16"/>
  <c r="G273" i="16" s="1"/>
  <c r="E170" i="16"/>
  <c r="G170" i="16" s="1"/>
  <c r="M220" i="16"/>
  <c r="O220" i="16" s="1"/>
  <c r="E237" i="14"/>
  <c r="F237" i="14" s="1"/>
  <c r="G237" i="14" s="1"/>
  <c r="E237" i="17"/>
  <c r="F237" i="17" s="1"/>
  <c r="G237" i="17" s="1"/>
  <c r="E237" i="1"/>
  <c r="F237" i="1" s="1"/>
  <c r="G237" i="1" s="1"/>
  <c r="E237" i="19"/>
  <c r="F237" i="19" s="1"/>
  <c r="G237" i="19" s="1"/>
  <c r="E237" i="21"/>
  <c r="F237" i="21" s="1"/>
  <c r="G237" i="21" s="1"/>
  <c r="E498" i="21"/>
  <c r="F498" i="21" s="1"/>
  <c r="G498" i="21" s="1"/>
  <c r="E498" i="14"/>
  <c r="F498" i="14" s="1"/>
  <c r="G498" i="14" s="1"/>
  <c r="E498" i="17"/>
  <c r="F498" i="17" s="1"/>
  <c r="G498" i="17" s="1"/>
  <c r="E498" i="1"/>
  <c r="F498" i="1" s="1"/>
  <c r="G498" i="1" s="1"/>
  <c r="E498" i="19"/>
  <c r="F498" i="19" s="1"/>
  <c r="G498" i="19" s="1"/>
  <c r="E129" i="17"/>
  <c r="E129" i="1"/>
  <c r="E129" i="14"/>
  <c r="E129" i="21"/>
  <c r="E129" i="19"/>
  <c r="E519" i="14"/>
  <c r="F519" i="14" s="1"/>
  <c r="G519" i="14" s="1"/>
  <c r="E519" i="17"/>
  <c r="F519" i="17" s="1"/>
  <c r="G519" i="17" s="1"/>
  <c r="E519" i="1"/>
  <c r="F519" i="1" s="1"/>
  <c r="G519" i="1" s="1"/>
  <c r="E519" i="19"/>
  <c r="F519" i="19" s="1"/>
  <c r="G519" i="19" s="1"/>
  <c r="E519" i="21"/>
  <c r="F519" i="21" s="1"/>
  <c r="G519" i="21" s="1"/>
  <c r="AC224" i="16"/>
  <c r="AE224" i="16" s="1"/>
  <c r="AC174" i="16"/>
  <c r="AE174" i="16" s="1"/>
  <c r="AK122" i="16"/>
  <c r="AM122" i="16" s="1"/>
  <c r="E478" i="21"/>
  <c r="F478" i="21" s="1"/>
  <c r="G478" i="21" s="1"/>
  <c r="E478" i="19"/>
  <c r="F478" i="19" s="1"/>
  <c r="G478" i="19" s="1"/>
  <c r="M71" i="16"/>
  <c r="O71" i="16" s="1"/>
  <c r="E478" i="17"/>
  <c r="F478" i="17" s="1"/>
  <c r="G478" i="17" s="1"/>
  <c r="E381" i="16"/>
  <c r="G381" i="16" s="1"/>
  <c r="AC329" i="16"/>
  <c r="AE329" i="16" s="1"/>
  <c r="U277" i="16"/>
  <c r="W277" i="16" s="1"/>
  <c r="U174" i="16"/>
  <c r="W174" i="16" s="1"/>
  <c r="E122" i="16"/>
  <c r="G122" i="16" s="1"/>
  <c r="U122" i="16"/>
  <c r="W122" i="16" s="1"/>
  <c r="M22" i="16"/>
  <c r="O22" i="16" s="1"/>
  <c r="M277" i="16"/>
  <c r="O277" i="16" s="1"/>
  <c r="E329" i="16"/>
  <c r="G329" i="16" s="1"/>
  <c r="E224" i="16"/>
  <c r="G224" i="16" s="1"/>
  <c r="M224" i="16"/>
  <c r="O224" i="16" s="1"/>
  <c r="AK329" i="16"/>
  <c r="AM329" i="16" s="1"/>
  <c r="AC277" i="16"/>
  <c r="AE277" i="16" s="1"/>
  <c r="AC22" i="16"/>
  <c r="AE22" i="16" s="1"/>
  <c r="E478" i="1"/>
  <c r="F478" i="1" s="1"/>
  <c r="G478" i="1" s="1"/>
  <c r="E71" i="16"/>
  <c r="G71" i="16" s="1"/>
  <c r="U71" i="16"/>
  <c r="W71" i="16" s="1"/>
  <c r="E421" i="16"/>
  <c r="G421" i="16" s="1"/>
  <c r="M174" i="16"/>
  <c r="O174" i="16" s="1"/>
  <c r="U329" i="16"/>
  <c r="W329" i="16" s="1"/>
  <c r="U224" i="16"/>
  <c r="W224" i="16" s="1"/>
  <c r="AC122" i="16"/>
  <c r="AE122" i="16" s="1"/>
  <c r="M122" i="16"/>
  <c r="O122" i="16" s="1"/>
  <c r="U22" i="16"/>
  <c r="W22" i="16" s="1"/>
  <c r="M329" i="16"/>
  <c r="O329" i="16" s="1"/>
  <c r="E22" i="16"/>
  <c r="G22" i="16" s="1"/>
  <c r="E277" i="16"/>
  <c r="G277" i="16" s="1"/>
  <c r="E174" i="16"/>
  <c r="G174" i="16" s="1"/>
  <c r="E478" i="14"/>
  <c r="F478" i="14" s="1"/>
  <c r="G478" i="14" s="1"/>
  <c r="E520" i="1"/>
  <c r="F520" i="1" s="1"/>
  <c r="G520" i="1" s="1"/>
  <c r="E520" i="19"/>
  <c r="F520" i="19" s="1"/>
  <c r="G520" i="19" s="1"/>
  <c r="E520" i="21"/>
  <c r="F520" i="21" s="1"/>
  <c r="G520" i="21" s="1"/>
  <c r="E520" i="14"/>
  <c r="F520" i="14" s="1"/>
  <c r="G520" i="14" s="1"/>
  <c r="E520" i="17"/>
  <c r="F520" i="17" s="1"/>
  <c r="G520" i="17" s="1"/>
  <c r="E312" i="21"/>
  <c r="F312" i="21" s="1"/>
  <c r="G312" i="21" s="1"/>
  <c r="E312" i="1"/>
  <c r="F312" i="1" s="1"/>
  <c r="G312" i="1" s="1"/>
  <c r="E312" i="14"/>
  <c r="F312" i="14" s="1"/>
  <c r="G312" i="14" s="1"/>
  <c r="E312" i="17"/>
  <c r="F312" i="17" s="1"/>
  <c r="G312" i="17" s="1"/>
  <c r="E312" i="19"/>
  <c r="F312" i="19" s="1"/>
  <c r="G312" i="19" s="1"/>
  <c r="E158" i="21"/>
  <c r="F158" i="21" s="1"/>
  <c r="G158" i="21" s="1"/>
  <c r="E158" i="14"/>
  <c r="F158" i="14" s="1"/>
  <c r="G158" i="14" s="1"/>
  <c r="E158" i="17"/>
  <c r="F158" i="17" s="1"/>
  <c r="G158" i="17" s="1"/>
  <c r="E158" i="1"/>
  <c r="F158" i="1" s="1"/>
  <c r="G158" i="1" s="1"/>
  <c r="E158" i="19"/>
  <c r="F158" i="19" s="1"/>
  <c r="G158" i="19" s="1"/>
  <c r="E421" i="14"/>
  <c r="F421" i="14" s="1"/>
  <c r="G421" i="14" s="1"/>
  <c r="E421" i="19"/>
  <c r="F421" i="19" s="1"/>
  <c r="G421" i="19" s="1"/>
  <c r="E421" i="1"/>
  <c r="F421" i="1" s="1"/>
  <c r="G421" i="1" s="1"/>
  <c r="E421" i="17"/>
  <c r="F421" i="17" s="1"/>
  <c r="G421" i="17" s="1"/>
  <c r="E421" i="21"/>
  <c r="F421" i="21" s="1"/>
  <c r="G421" i="21" s="1"/>
  <c r="E442" i="21"/>
  <c r="F442" i="21" s="1"/>
  <c r="G442" i="21" s="1"/>
  <c r="E445" i="19"/>
  <c r="F445" i="19" s="1"/>
  <c r="G445" i="19" s="1"/>
  <c r="E445" i="14"/>
  <c r="F445" i="14" s="1"/>
  <c r="G445" i="14" s="1"/>
  <c r="E439" i="21"/>
  <c r="F439" i="21" s="1"/>
  <c r="G439" i="21" s="1"/>
  <c r="E445" i="17"/>
  <c r="F445" i="17" s="1"/>
  <c r="G445" i="17" s="1"/>
  <c r="E442" i="14"/>
  <c r="F442" i="14" s="1"/>
  <c r="G442" i="14" s="1"/>
  <c r="E445" i="21"/>
  <c r="F445" i="21" s="1"/>
  <c r="G445" i="21" s="1"/>
  <c r="E442" i="19"/>
  <c r="F442" i="19" s="1"/>
  <c r="G442" i="19" s="1"/>
  <c r="E439" i="17"/>
  <c r="F439" i="17" s="1"/>
  <c r="G439" i="17" s="1"/>
  <c r="E439" i="19"/>
  <c r="F439" i="19" s="1"/>
  <c r="G439" i="19" s="1"/>
  <c r="E442" i="17"/>
  <c r="F442" i="17" s="1"/>
  <c r="G442" i="17" s="1"/>
  <c r="E439" i="14"/>
  <c r="F439" i="14" s="1"/>
  <c r="G439" i="14" s="1"/>
  <c r="E439" i="1"/>
  <c r="F439" i="1" s="1"/>
  <c r="G439" i="1" s="1"/>
  <c r="E442" i="1"/>
  <c r="F442" i="1" s="1"/>
  <c r="G442" i="1" s="1"/>
  <c r="E445" i="1"/>
  <c r="F445" i="1" s="1"/>
  <c r="G445" i="1" s="1"/>
  <c r="M614" i="9"/>
  <c r="O614" i="9" s="1"/>
  <c r="P626" i="9" s="1"/>
  <c r="P645" i="9" s="1"/>
  <c r="M560" i="9"/>
  <c r="O560" i="9" s="1"/>
  <c r="P572" i="9" s="1"/>
  <c r="P591" i="9" s="1"/>
  <c r="E3209" i="5"/>
  <c r="G3209" i="5" s="1"/>
  <c r="H3220" i="5" s="1"/>
  <c r="H3240" i="5" s="1"/>
  <c r="E3319" i="5"/>
  <c r="G3319" i="5" s="1"/>
  <c r="H3330" i="5" s="1"/>
  <c r="H3350" i="5" s="1"/>
  <c r="E325" i="1"/>
  <c r="F325" i="1" s="1"/>
  <c r="G325" i="1" s="1"/>
  <c r="E325" i="14"/>
  <c r="F325" i="14" s="1"/>
  <c r="G325" i="14" s="1"/>
  <c r="E325" i="17"/>
  <c r="F325" i="17" s="1"/>
  <c r="G325" i="17" s="1"/>
  <c r="E325" i="19"/>
  <c r="F325" i="19" s="1"/>
  <c r="G325" i="19" s="1"/>
  <c r="E325" i="21"/>
  <c r="F325" i="21" s="1"/>
  <c r="G325" i="21" s="1"/>
  <c r="E318" i="17"/>
  <c r="F318" i="17" s="1"/>
  <c r="G318" i="17" s="1"/>
  <c r="E318" i="19"/>
  <c r="F318" i="19" s="1"/>
  <c r="G318" i="19" s="1"/>
  <c r="E318" i="21"/>
  <c r="F318" i="21" s="1"/>
  <c r="G318" i="21" s="1"/>
  <c r="E318" i="1"/>
  <c r="F318" i="1" s="1"/>
  <c r="G318" i="1" s="1"/>
  <c r="E318" i="14"/>
  <c r="F318" i="14" s="1"/>
  <c r="G318" i="14" s="1"/>
  <c r="E324" i="21"/>
  <c r="F324" i="21" s="1"/>
  <c r="G324" i="21" s="1"/>
  <c r="E324" i="1"/>
  <c r="F324" i="1" s="1"/>
  <c r="G324" i="1" s="1"/>
  <c r="E324" i="14"/>
  <c r="F324" i="14" s="1"/>
  <c r="G324" i="14" s="1"/>
  <c r="E324" i="17"/>
  <c r="F324" i="17" s="1"/>
  <c r="G324" i="17" s="1"/>
  <c r="E324" i="19"/>
  <c r="F324" i="19" s="1"/>
  <c r="G324" i="19" s="1"/>
  <c r="E359" i="14"/>
  <c r="F359" i="14" s="1"/>
  <c r="G359" i="14" s="1"/>
  <c r="E359" i="17"/>
  <c r="F359" i="17" s="1"/>
  <c r="G359" i="17" s="1"/>
  <c r="E359" i="1"/>
  <c r="F359" i="1" s="1"/>
  <c r="G359" i="1" s="1"/>
  <c r="E359" i="19"/>
  <c r="F359" i="19" s="1"/>
  <c r="G359" i="19" s="1"/>
  <c r="E359" i="21"/>
  <c r="F359" i="21" s="1"/>
  <c r="G359" i="21" s="1"/>
  <c r="E514" i="1"/>
  <c r="F514" i="1" s="1"/>
  <c r="G514" i="1" s="1"/>
  <c r="E514" i="19"/>
  <c r="F514" i="19" s="1"/>
  <c r="G514" i="19" s="1"/>
  <c r="E514" i="21"/>
  <c r="F514" i="21" s="1"/>
  <c r="G514" i="21" s="1"/>
  <c r="E514" i="14"/>
  <c r="F514" i="14" s="1"/>
  <c r="G514" i="14" s="1"/>
  <c r="E514" i="17"/>
  <c r="F514" i="17" s="1"/>
  <c r="G514" i="17" s="1"/>
  <c r="E591" i="21"/>
  <c r="F591" i="21" s="1"/>
  <c r="G591" i="21" s="1"/>
  <c r="E591" i="1"/>
  <c r="F591" i="1" s="1"/>
  <c r="G591" i="1" s="1"/>
  <c r="E591" i="17"/>
  <c r="F591" i="17" s="1"/>
  <c r="G591" i="17" s="1"/>
  <c r="E522" i="14"/>
  <c r="F522" i="14" s="1"/>
  <c r="G522" i="14" s="1"/>
  <c r="E522" i="17"/>
  <c r="F522" i="17" s="1"/>
  <c r="G522" i="17" s="1"/>
  <c r="E522" i="1"/>
  <c r="F522" i="1" s="1"/>
  <c r="G522" i="1" s="1"/>
  <c r="E522" i="19"/>
  <c r="F522" i="19" s="1"/>
  <c r="G522" i="19" s="1"/>
  <c r="E522" i="21"/>
  <c r="F522" i="21" s="1"/>
  <c r="G522" i="21" s="1"/>
  <c r="E376" i="21"/>
  <c r="F376" i="21" s="1"/>
  <c r="G376" i="21" s="1"/>
  <c r="E376" i="14"/>
  <c r="F376" i="14" s="1"/>
  <c r="G376" i="14" s="1"/>
  <c r="E376" i="17"/>
  <c r="F376" i="17" s="1"/>
  <c r="G376" i="17" s="1"/>
  <c r="E376" i="1"/>
  <c r="F376" i="1" s="1"/>
  <c r="G376" i="1" s="1"/>
  <c r="E376" i="19"/>
  <c r="F376" i="19" s="1"/>
  <c r="G376" i="19" s="1"/>
  <c r="E494" i="14"/>
  <c r="F494" i="14" s="1"/>
  <c r="G494" i="14" s="1"/>
  <c r="E494" i="17"/>
  <c r="F494" i="17" s="1"/>
  <c r="G494" i="17" s="1"/>
  <c r="E494" i="1"/>
  <c r="F494" i="1" s="1"/>
  <c r="G494" i="1" s="1"/>
  <c r="E494" i="19"/>
  <c r="F494" i="19" s="1"/>
  <c r="G494" i="19" s="1"/>
  <c r="E494" i="21"/>
  <c r="F494" i="21" s="1"/>
  <c r="G494" i="21" s="1"/>
  <c r="E479" i="21"/>
  <c r="F479" i="21" s="1"/>
  <c r="G479" i="21" s="1"/>
  <c r="E479" i="14"/>
  <c r="F479" i="14" s="1"/>
  <c r="G479" i="14" s="1"/>
  <c r="E479" i="17"/>
  <c r="F479" i="17" s="1"/>
  <c r="G479" i="17" s="1"/>
  <c r="E479" i="1"/>
  <c r="F479" i="1" s="1"/>
  <c r="G479" i="1" s="1"/>
  <c r="E479" i="19"/>
  <c r="F479" i="19" s="1"/>
  <c r="G479" i="19" s="1"/>
  <c r="E598" i="1"/>
  <c r="F598" i="1" s="1"/>
  <c r="G598" i="1" s="1"/>
  <c r="E596" i="21"/>
  <c r="F596" i="21" s="1"/>
  <c r="G596" i="21" s="1"/>
  <c r="E598" i="17"/>
  <c r="F598" i="17" s="1"/>
  <c r="G598" i="17" s="1"/>
  <c r="E599" i="21"/>
  <c r="F599" i="21" s="1"/>
  <c r="G599" i="21" s="1"/>
  <c r="E349" i="14"/>
  <c r="F349" i="14" s="1"/>
  <c r="G349" i="14" s="1"/>
  <c r="E349" i="17"/>
  <c r="F349" i="17" s="1"/>
  <c r="G349" i="17" s="1"/>
  <c r="E349" i="1"/>
  <c r="F349" i="1" s="1"/>
  <c r="G349" i="1" s="1"/>
  <c r="E349" i="19"/>
  <c r="F349" i="19" s="1"/>
  <c r="G349" i="19" s="1"/>
  <c r="E349" i="21"/>
  <c r="F349" i="21" s="1"/>
  <c r="G349" i="21" s="1"/>
  <c r="E321" i="21"/>
  <c r="F321" i="21" s="1"/>
  <c r="G321" i="21" s="1"/>
  <c r="E321" i="1"/>
  <c r="F321" i="1" s="1"/>
  <c r="G321" i="1" s="1"/>
  <c r="E321" i="14"/>
  <c r="F321" i="14" s="1"/>
  <c r="G321" i="14" s="1"/>
  <c r="E321" i="17"/>
  <c r="F321" i="17" s="1"/>
  <c r="G321" i="17" s="1"/>
  <c r="E321" i="19"/>
  <c r="F321" i="19" s="1"/>
  <c r="G321" i="19" s="1"/>
  <c r="E226" i="14"/>
  <c r="F226" i="14" s="1"/>
  <c r="G226" i="14" s="1"/>
  <c r="E226" i="17"/>
  <c r="F226" i="17" s="1"/>
  <c r="G226" i="17" s="1"/>
  <c r="E226" i="1"/>
  <c r="F226" i="1" s="1"/>
  <c r="G226" i="1" s="1"/>
  <c r="E226" i="19"/>
  <c r="F226" i="19" s="1"/>
  <c r="G226" i="19" s="1"/>
  <c r="E226" i="21"/>
  <c r="F226" i="21" s="1"/>
  <c r="G226" i="21" s="1"/>
  <c r="E497" i="17"/>
  <c r="F497" i="17" s="1"/>
  <c r="G497" i="17" s="1"/>
  <c r="E497" i="1"/>
  <c r="F497" i="1" s="1"/>
  <c r="G497" i="1" s="1"/>
  <c r="E497" i="19"/>
  <c r="F497" i="19" s="1"/>
  <c r="G497" i="19" s="1"/>
  <c r="E497" i="21"/>
  <c r="F497" i="21" s="1"/>
  <c r="G497" i="21" s="1"/>
  <c r="E497" i="14"/>
  <c r="F497" i="14" s="1"/>
  <c r="G497" i="14" s="1"/>
  <c r="G579" i="14"/>
  <c r="E109" i="1"/>
  <c r="F109" i="1" s="1"/>
  <c r="G109" i="1" s="1"/>
  <c r="E108" i="21"/>
  <c r="F108" i="21" s="1"/>
  <c r="G108" i="21" s="1"/>
  <c r="E108" i="17"/>
  <c r="F108" i="17" s="1"/>
  <c r="G108" i="17" s="1"/>
  <c r="E108" i="1"/>
  <c r="F108" i="1" s="1"/>
  <c r="G108" i="1" s="1"/>
  <c r="E109" i="21"/>
  <c r="F109" i="21" s="1"/>
  <c r="G109" i="21" s="1"/>
  <c r="E109" i="17"/>
  <c r="F109" i="17" s="1"/>
  <c r="G109" i="17" s="1"/>
  <c r="E108" i="19"/>
  <c r="F108" i="19" s="1"/>
  <c r="G108" i="19" s="1"/>
  <c r="E108" i="14"/>
  <c r="F108" i="14" s="1"/>
  <c r="G108" i="14" s="1"/>
  <c r="E109" i="19"/>
  <c r="F109" i="19" s="1"/>
  <c r="G109" i="19" s="1"/>
  <c r="E109" i="14"/>
  <c r="F109" i="14" s="1"/>
  <c r="G109" i="14" s="1"/>
  <c r="F135" i="17"/>
  <c r="G135" i="17" s="1"/>
  <c r="E136" i="17"/>
  <c r="F136" i="17" s="1"/>
  <c r="G136" i="17" s="1"/>
  <c r="E580" i="14"/>
  <c r="F580" i="14" s="1"/>
  <c r="G580" i="14" s="1"/>
  <c r="E580" i="1"/>
  <c r="F580" i="1" s="1"/>
  <c r="G580" i="1" s="1"/>
  <c r="E580" i="17"/>
  <c r="F580" i="17" s="1"/>
  <c r="G580" i="17" s="1"/>
  <c r="E580" i="21"/>
  <c r="F580" i="21" s="1"/>
  <c r="G580" i="21" s="1"/>
  <c r="G579" i="1"/>
  <c r="E308" i="1"/>
  <c r="F308" i="1" s="1"/>
  <c r="G308" i="1" s="1"/>
  <c r="E308" i="14"/>
  <c r="F308" i="14" s="1"/>
  <c r="G308" i="14" s="1"/>
  <c r="E308" i="17"/>
  <c r="F308" i="17" s="1"/>
  <c r="G308" i="17" s="1"/>
  <c r="E308" i="19"/>
  <c r="F308" i="19" s="1"/>
  <c r="G308" i="19" s="1"/>
  <c r="E308" i="21"/>
  <c r="F308" i="21" s="1"/>
  <c r="G308" i="21" s="1"/>
  <c r="F135" i="21"/>
  <c r="G135" i="21" s="1"/>
  <c r="E136" i="21"/>
  <c r="F136" i="21" s="1"/>
  <c r="G136" i="21" s="1"/>
  <c r="F93" i="17"/>
  <c r="G93" i="17" s="1"/>
  <c r="G82" i="17"/>
  <c r="E1230" i="51"/>
  <c r="G1230" i="51" s="1"/>
  <c r="E390" i="51"/>
  <c r="G390" i="51" s="1"/>
  <c r="E6925" i="51"/>
  <c r="G6925" i="51" s="1"/>
  <c r="E193" i="51"/>
  <c r="G193" i="51" s="1"/>
  <c r="E1522" i="51"/>
  <c r="G1522" i="51" s="1"/>
  <c r="E4936" i="51"/>
  <c r="G4936" i="51" s="1"/>
  <c r="E5033" i="51"/>
  <c r="G5033" i="51" s="1"/>
  <c r="E5417" i="51"/>
  <c r="G5417" i="51" s="1"/>
  <c r="E4600" i="51"/>
  <c r="G4600" i="51" s="1"/>
  <c r="E3351" i="51"/>
  <c r="G3351" i="51" s="1"/>
  <c r="E4502" i="51"/>
  <c r="G4502" i="51" s="1"/>
  <c r="E4358" i="51"/>
  <c r="G4358" i="51" s="1"/>
  <c r="E3734" i="51"/>
  <c r="G3734" i="51" s="1"/>
  <c r="E2870" i="51"/>
  <c r="G2870" i="51" s="1"/>
  <c r="E3686" i="51"/>
  <c r="G3686" i="51" s="1"/>
  <c r="E3111" i="51"/>
  <c r="G3111" i="51" s="1"/>
  <c r="E3926" i="51"/>
  <c r="G3926" i="51" s="1"/>
  <c r="E6875" i="51"/>
  <c r="G6875" i="51" s="1"/>
  <c r="E6825" i="51"/>
  <c r="G6825" i="51" s="1"/>
  <c r="E6774" i="51"/>
  <c r="G6774" i="51" s="1"/>
  <c r="E6723" i="51"/>
  <c r="G6723" i="51" s="1"/>
  <c r="E6624" i="51"/>
  <c r="G6624" i="51" s="1"/>
  <c r="E6574" i="51"/>
  <c r="G6574" i="51" s="1"/>
  <c r="E5377" i="51"/>
  <c r="G5377" i="51" s="1"/>
  <c r="E5657" i="51"/>
  <c r="G5657" i="51" s="1"/>
  <c r="E5513" i="51"/>
  <c r="G5513" i="51" s="1"/>
  <c r="E5328" i="51"/>
  <c r="G5328" i="51" s="1"/>
  <c r="E4648" i="51"/>
  <c r="G4648" i="51" s="1"/>
  <c r="E5081" i="51"/>
  <c r="G5081" i="51" s="1"/>
  <c r="E4551" i="51"/>
  <c r="G4551" i="51" s="1"/>
  <c r="E4310" i="51"/>
  <c r="G4310" i="51" s="1"/>
  <c r="E6674" i="51"/>
  <c r="G6674" i="51" s="1"/>
  <c r="E4985" i="51"/>
  <c r="G4985" i="51" s="1"/>
  <c r="E5561" i="51"/>
  <c r="G5561" i="51" s="1"/>
  <c r="E5180" i="51"/>
  <c r="G5180" i="51" s="1"/>
  <c r="E4454" i="51"/>
  <c r="G4454" i="51" s="1"/>
  <c r="E4406" i="51"/>
  <c r="G4406" i="51" s="1"/>
  <c r="E4262" i="51"/>
  <c r="G4262" i="51" s="1"/>
  <c r="E3782" i="51"/>
  <c r="G3782" i="51" s="1"/>
  <c r="E3015" i="51"/>
  <c r="G3015" i="51" s="1"/>
  <c r="E2774" i="51"/>
  <c r="G2774" i="51" s="1"/>
  <c r="E3495" i="51"/>
  <c r="G3495" i="51" s="1"/>
  <c r="E4166" i="51"/>
  <c r="G4166" i="51" s="1"/>
  <c r="E4118" i="51"/>
  <c r="G4118" i="51" s="1"/>
  <c r="E3974" i="51"/>
  <c r="G3974" i="51" s="1"/>
  <c r="E3207" i="51"/>
  <c r="G3207" i="51" s="1"/>
  <c r="E5752" i="51"/>
  <c r="G5752" i="51" s="1"/>
  <c r="E6524" i="51"/>
  <c r="G6524" i="51" s="1"/>
  <c r="H6529" i="51" s="1"/>
  <c r="E5279" i="51"/>
  <c r="G5279" i="51" s="1"/>
  <c r="E5130" i="51"/>
  <c r="G5130" i="51" s="1"/>
  <c r="E5232" i="51"/>
  <c r="G5232" i="51" s="1"/>
  <c r="E3543" i="51"/>
  <c r="G3543" i="51" s="1"/>
  <c r="E2822" i="51"/>
  <c r="G2822" i="51" s="1"/>
  <c r="E3255" i="51"/>
  <c r="G3255" i="51" s="1"/>
  <c r="E3878" i="51"/>
  <c r="G3878" i="51" s="1"/>
  <c r="E3159" i="51"/>
  <c r="G3159" i="51" s="1"/>
  <c r="E4214" i="51"/>
  <c r="G4214" i="51" s="1"/>
  <c r="E4070" i="51"/>
  <c r="G4070" i="51" s="1"/>
  <c r="E3303" i="51"/>
  <c r="G3303" i="51" s="1"/>
  <c r="E2726" i="51"/>
  <c r="G2726" i="51" s="1"/>
  <c r="E2678" i="51"/>
  <c r="G2678" i="51" s="1"/>
  <c r="E4022" i="51"/>
  <c r="G4022" i="51" s="1"/>
  <c r="E3399" i="51"/>
  <c r="G3399" i="51" s="1"/>
  <c r="E2389" i="51"/>
  <c r="G2389" i="51" s="1"/>
  <c r="E2534" i="51"/>
  <c r="G2534" i="51" s="1"/>
  <c r="E2340" i="51"/>
  <c r="G2340" i="51" s="1"/>
  <c r="E2196" i="51"/>
  <c r="G2196" i="51" s="1"/>
  <c r="E2148" i="51"/>
  <c r="G2148" i="51" s="1"/>
  <c r="E1860" i="51"/>
  <c r="G1860" i="51" s="1"/>
  <c r="E1473" i="51"/>
  <c r="G1473" i="51" s="1"/>
  <c r="E1376" i="51"/>
  <c r="G1376" i="51" s="1"/>
  <c r="E241" i="51"/>
  <c r="G241" i="51" s="1"/>
  <c r="E1279" i="51"/>
  <c r="G1279" i="51" s="1"/>
  <c r="E835" i="51"/>
  <c r="G835" i="51" s="1"/>
  <c r="E588" i="51"/>
  <c r="G588" i="51" s="1"/>
  <c r="E440" i="51"/>
  <c r="G440" i="51" s="1"/>
  <c r="E3447" i="51"/>
  <c r="G3447" i="51" s="1"/>
  <c r="E2918" i="51"/>
  <c r="G2918" i="51" s="1"/>
  <c r="E2630" i="51"/>
  <c r="G2630" i="51" s="1"/>
  <c r="E3638" i="51"/>
  <c r="G3638" i="51" s="1"/>
  <c r="E2292" i="51"/>
  <c r="G2292" i="51" s="1"/>
  <c r="E2100" i="51"/>
  <c r="G2100" i="51" s="1"/>
  <c r="E2003" i="51"/>
  <c r="G2003" i="51" s="1"/>
  <c r="E2051" i="51"/>
  <c r="G2051" i="51" s="1"/>
  <c r="E1908" i="51"/>
  <c r="G1908" i="51" s="1"/>
  <c r="E934" i="51"/>
  <c r="G934" i="51" s="1"/>
  <c r="E1032" i="51"/>
  <c r="G1032" i="51" s="1"/>
  <c r="E1667" i="51"/>
  <c r="G1667" i="51" s="1"/>
  <c r="E1081" i="51"/>
  <c r="G1081" i="51" s="1"/>
  <c r="E1131" i="51"/>
  <c r="G1131" i="51" s="1"/>
  <c r="E784" i="51"/>
  <c r="G784" i="51" s="1"/>
  <c r="E735" i="51"/>
  <c r="G735" i="51" s="1"/>
  <c r="E3830" i="51"/>
  <c r="G3830" i="51" s="1"/>
  <c r="E2438" i="51"/>
  <c r="G2438" i="51" s="1"/>
  <c r="E3063" i="51"/>
  <c r="G3063" i="51" s="1"/>
  <c r="E1956" i="51"/>
  <c r="G1956" i="51" s="1"/>
  <c r="E1715" i="51"/>
  <c r="G1715" i="51" s="1"/>
  <c r="E1811" i="51"/>
  <c r="G1811" i="51" s="1"/>
  <c r="E1181" i="51"/>
  <c r="G1181" i="51" s="1"/>
  <c r="E1571" i="51"/>
  <c r="G1571" i="51" s="1"/>
  <c r="E983" i="51"/>
  <c r="G983" i="51" s="1"/>
  <c r="E686" i="51"/>
  <c r="G686" i="51" s="1"/>
  <c r="E1425" i="51"/>
  <c r="G1425" i="51" s="1"/>
  <c r="E3591" i="51"/>
  <c r="G3591" i="51" s="1"/>
  <c r="E2486" i="51"/>
  <c r="G2486" i="51" s="1"/>
  <c r="E2966" i="51"/>
  <c r="G2966" i="51" s="1"/>
  <c r="E2582" i="51"/>
  <c r="G2582" i="51" s="1"/>
  <c r="E2244" i="51"/>
  <c r="G2244" i="51" s="1"/>
  <c r="E1762" i="51"/>
  <c r="G1762" i="51" s="1"/>
  <c r="E1619" i="51"/>
  <c r="G1619" i="51" s="1"/>
  <c r="E340" i="51"/>
  <c r="G340" i="51" s="1"/>
  <c r="E1328" i="51"/>
  <c r="G1328" i="51" s="1"/>
  <c r="E885" i="51"/>
  <c r="G885" i="51" s="1"/>
  <c r="E636" i="51"/>
  <c r="G636" i="51" s="1"/>
  <c r="E488" i="51"/>
  <c r="G488" i="51" s="1"/>
  <c r="E538" i="51"/>
  <c r="G538" i="51" s="1"/>
  <c r="O78" i="16"/>
  <c r="U78" i="16"/>
  <c r="W78" i="16" s="1"/>
  <c r="D163" i="41"/>
  <c r="D159" i="41"/>
  <c r="D161" i="41"/>
  <c r="D166" i="41"/>
  <c r="D165" i="41"/>
  <c r="D160" i="41"/>
  <c r="D158" i="41"/>
  <c r="D164" i="41"/>
  <c r="D167" i="41"/>
  <c r="D162" i="41"/>
  <c r="D168" i="41"/>
  <c r="E838" i="18"/>
  <c r="F838" i="18" s="1"/>
  <c r="E838" i="15"/>
  <c r="F838" i="15" s="1"/>
  <c r="E838" i="22"/>
  <c r="F838" i="22" s="1"/>
  <c r="E838" i="4"/>
  <c r="F838" i="4" s="1"/>
  <c r="G838" i="4" s="1"/>
  <c r="G235" i="16"/>
  <c r="E287" i="16"/>
  <c r="F80" i="19"/>
  <c r="G80" i="19" s="1"/>
  <c r="E461" i="21"/>
  <c r="F461" i="21" s="1"/>
  <c r="G461" i="21" s="1"/>
  <c r="E461" i="19"/>
  <c r="F461" i="19" s="1"/>
  <c r="G461" i="19" s="1"/>
  <c r="E458" i="1"/>
  <c r="F458" i="1" s="1"/>
  <c r="G458" i="1" s="1"/>
  <c r="E458" i="17"/>
  <c r="F458" i="17" s="1"/>
  <c r="G458" i="17" s="1"/>
  <c r="E458" i="14"/>
  <c r="F458" i="14" s="1"/>
  <c r="G458" i="14" s="1"/>
  <c r="E461" i="1"/>
  <c r="F461" i="1" s="1"/>
  <c r="G461" i="1" s="1"/>
  <c r="E458" i="19"/>
  <c r="F458" i="19" s="1"/>
  <c r="G458" i="19" s="1"/>
  <c r="E461" i="14"/>
  <c r="F461" i="14" s="1"/>
  <c r="G461" i="14" s="1"/>
  <c r="E458" i="21"/>
  <c r="F458" i="21" s="1"/>
  <c r="G458" i="21" s="1"/>
  <c r="E461" i="17"/>
  <c r="F461" i="17" s="1"/>
  <c r="G461" i="17" s="1"/>
  <c r="G10" i="1"/>
  <c r="F28" i="1"/>
  <c r="G10" i="19"/>
  <c r="F28" i="19"/>
  <c r="P268" i="7"/>
  <c r="U81" i="41"/>
  <c r="F336" i="17"/>
  <c r="G336" i="17" s="1"/>
  <c r="E363" i="17"/>
  <c r="F363" i="17" s="1"/>
  <c r="G363" i="17" s="1"/>
  <c r="E496" i="16"/>
  <c r="G496" i="16" s="1"/>
  <c r="G420" i="16"/>
  <c r="E211" i="1"/>
  <c r="F211" i="1" s="1"/>
  <c r="G211" i="1" s="1"/>
  <c r="E210" i="1"/>
  <c r="F210" i="1" s="1"/>
  <c r="G210" i="1" s="1"/>
  <c r="E209" i="1"/>
  <c r="F209" i="1" s="1"/>
  <c r="G209" i="1" s="1"/>
  <c r="F208" i="1"/>
  <c r="G208" i="1" s="1"/>
  <c r="G579" i="17"/>
  <c r="E353" i="1"/>
  <c r="F353" i="1" s="1"/>
  <c r="G353" i="1" s="1"/>
  <c r="E353" i="19"/>
  <c r="F353" i="19" s="1"/>
  <c r="G353" i="19" s="1"/>
  <c r="E353" i="21"/>
  <c r="F353" i="21" s="1"/>
  <c r="G353" i="21" s="1"/>
  <c r="E353" i="14"/>
  <c r="F353" i="14" s="1"/>
  <c r="G353" i="14" s="1"/>
  <c r="E353" i="17"/>
  <c r="F353" i="17" s="1"/>
  <c r="G353" i="17" s="1"/>
  <c r="E317" i="1"/>
  <c r="F317" i="1" s="1"/>
  <c r="G317" i="1" s="1"/>
  <c r="E317" i="14"/>
  <c r="F317" i="14" s="1"/>
  <c r="G317" i="14" s="1"/>
  <c r="E317" i="17"/>
  <c r="F317" i="17" s="1"/>
  <c r="G317" i="17" s="1"/>
  <c r="E317" i="19"/>
  <c r="F317" i="19" s="1"/>
  <c r="G317" i="19" s="1"/>
  <c r="E317" i="21"/>
  <c r="F317" i="21" s="1"/>
  <c r="G317" i="21" s="1"/>
  <c r="F135" i="14"/>
  <c r="G135" i="14" s="1"/>
  <c r="E136" i="14"/>
  <c r="F136" i="14" s="1"/>
  <c r="G136" i="14" s="1"/>
  <c r="F62" i="21"/>
  <c r="G62" i="21" s="1"/>
  <c r="F80" i="1"/>
  <c r="G80" i="1" s="1"/>
  <c r="F93" i="19"/>
  <c r="G93" i="19" s="1"/>
  <c r="G82" i="19"/>
  <c r="Q10" i="41"/>
  <c r="U5" i="41"/>
  <c r="E337" i="21"/>
  <c r="F337" i="21" s="1"/>
  <c r="G337" i="21" s="1"/>
  <c r="E337" i="14"/>
  <c r="F337" i="14" s="1"/>
  <c r="G337" i="14" s="1"/>
  <c r="E337" i="17"/>
  <c r="F337" i="17" s="1"/>
  <c r="G337" i="17" s="1"/>
  <c r="E337" i="1"/>
  <c r="F337" i="1" s="1"/>
  <c r="G337" i="1" s="1"/>
  <c r="E337" i="19"/>
  <c r="F337" i="19" s="1"/>
  <c r="G337" i="19" s="1"/>
  <c r="E420" i="1"/>
  <c r="F420" i="1" s="1"/>
  <c r="E420" i="17"/>
  <c r="F420" i="17" s="1"/>
  <c r="E420" i="21"/>
  <c r="F420" i="21" s="1"/>
  <c r="E420" i="19"/>
  <c r="F420" i="19" s="1"/>
  <c r="E420" i="14"/>
  <c r="F420" i="14" s="1"/>
  <c r="E483" i="1"/>
  <c r="F483" i="1" s="1"/>
  <c r="G483" i="1" s="1"/>
  <c r="E483" i="19"/>
  <c r="F483" i="19" s="1"/>
  <c r="G483" i="19" s="1"/>
  <c r="E483" i="21"/>
  <c r="F483" i="21" s="1"/>
  <c r="G483" i="21" s="1"/>
  <c r="E483" i="14"/>
  <c r="F483" i="14" s="1"/>
  <c r="G483" i="14" s="1"/>
  <c r="E483" i="17"/>
  <c r="F483" i="17" s="1"/>
  <c r="G483" i="17" s="1"/>
  <c r="E106" i="14"/>
  <c r="F106" i="14" s="1"/>
  <c r="G106" i="14" s="1"/>
  <c r="E106" i="17"/>
  <c r="F106" i="17" s="1"/>
  <c r="G106" i="17" s="1"/>
  <c r="E106" i="1"/>
  <c r="F106" i="1" s="1"/>
  <c r="G106" i="1" s="1"/>
  <c r="E106" i="19"/>
  <c r="F106" i="19" s="1"/>
  <c r="G106" i="19" s="1"/>
  <c r="E106" i="21"/>
  <c r="F106" i="21" s="1"/>
  <c r="G106" i="21" s="1"/>
  <c r="E343" i="14"/>
  <c r="F343" i="14" s="1"/>
  <c r="G343" i="14" s="1"/>
  <c r="E343" i="17"/>
  <c r="F343" i="17" s="1"/>
  <c r="G343" i="17" s="1"/>
  <c r="E343" i="1"/>
  <c r="F343" i="1" s="1"/>
  <c r="G343" i="1" s="1"/>
  <c r="E343" i="19"/>
  <c r="F343" i="19" s="1"/>
  <c r="G343" i="19" s="1"/>
  <c r="E343" i="21"/>
  <c r="F343" i="21" s="1"/>
  <c r="G343" i="21" s="1"/>
  <c r="F62" i="19"/>
  <c r="G62" i="19" s="1"/>
  <c r="G10" i="17"/>
  <c r="F28" i="17"/>
  <c r="K403" i="27"/>
  <c r="K405" i="27" s="1"/>
  <c r="M403" i="27"/>
  <c r="M405" i="27" s="1"/>
  <c r="L406" i="27" s="1"/>
  <c r="I403" i="27"/>
  <c r="U126" i="16"/>
  <c r="E178" i="16"/>
  <c r="O126" i="16"/>
  <c r="E123" i="21"/>
  <c r="F123" i="21" s="1"/>
  <c r="G123" i="21" s="1"/>
  <c r="E123" i="14"/>
  <c r="F123" i="14" s="1"/>
  <c r="G123" i="14" s="1"/>
  <c r="E123" i="17"/>
  <c r="F123" i="17" s="1"/>
  <c r="G123" i="17" s="1"/>
  <c r="E123" i="1"/>
  <c r="F123" i="1" s="1"/>
  <c r="G123" i="1" s="1"/>
  <c r="E123" i="19"/>
  <c r="F123" i="19" s="1"/>
  <c r="G123" i="19" s="1"/>
  <c r="E509" i="14"/>
  <c r="F509" i="14" s="1"/>
  <c r="G509" i="14" s="1"/>
  <c r="E509" i="17"/>
  <c r="F509" i="17" s="1"/>
  <c r="G509" i="17" s="1"/>
  <c r="E509" i="1"/>
  <c r="F509" i="1" s="1"/>
  <c r="G509" i="1" s="1"/>
  <c r="E509" i="19"/>
  <c r="F509" i="19" s="1"/>
  <c r="G509" i="19" s="1"/>
  <c r="E509" i="21"/>
  <c r="F509" i="21" s="1"/>
  <c r="G509" i="21" s="1"/>
  <c r="E559" i="17"/>
  <c r="F559" i="17" s="1"/>
  <c r="E559" i="1"/>
  <c r="F559" i="1" s="1"/>
  <c r="E559" i="19"/>
  <c r="F559" i="19" s="1"/>
  <c r="E559" i="21"/>
  <c r="F559" i="21" s="1"/>
  <c r="E559" i="14"/>
  <c r="F559" i="14" s="1"/>
  <c r="P322" i="7"/>
  <c r="M230" i="16"/>
  <c r="G230" i="16"/>
  <c r="E283" i="16"/>
  <c r="AC230" i="16"/>
  <c r="E210" i="19"/>
  <c r="F210" i="19" s="1"/>
  <c r="G210" i="19" s="1"/>
  <c r="E211" i="19"/>
  <c r="F211" i="19" s="1"/>
  <c r="G211" i="19" s="1"/>
  <c r="F208" i="19"/>
  <c r="G208" i="19" s="1"/>
  <c r="E209" i="19"/>
  <c r="F209" i="19" s="1"/>
  <c r="G209" i="19" s="1"/>
  <c r="E97" i="21"/>
  <c r="F97" i="21" s="1"/>
  <c r="E97" i="17"/>
  <c r="F97" i="17" s="1"/>
  <c r="E98" i="19"/>
  <c r="F98" i="19" s="1"/>
  <c r="G98" i="19" s="1"/>
  <c r="E97" i="14"/>
  <c r="F97" i="14" s="1"/>
  <c r="E97" i="19"/>
  <c r="F97" i="19" s="1"/>
  <c r="E98" i="14"/>
  <c r="F98" i="14" s="1"/>
  <c r="G98" i="14" s="1"/>
  <c r="E97" i="1"/>
  <c r="F97" i="1" s="1"/>
  <c r="E98" i="21"/>
  <c r="F98" i="21" s="1"/>
  <c r="G98" i="21" s="1"/>
  <c r="E98" i="17"/>
  <c r="F98" i="17" s="1"/>
  <c r="G98" i="17" s="1"/>
  <c r="E98" i="1"/>
  <c r="F98" i="1" s="1"/>
  <c r="G98" i="1" s="1"/>
  <c r="G82" i="21"/>
  <c r="F93" i="21"/>
  <c r="G93" i="21" s="1"/>
  <c r="E605" i="21"/>
  <c r="F605" i="21" s="1"/>
  <c r="G605" i="21" s="1"/>
  <c r="E602" i="1"/>
  <c r="F602" i="1" s="1"/>
  <c r="G602" i="1" s="1"/>
  <c r="E599" i="17"/>
  <c r="F599" i="17" s="1"/>
  <c r="G599" i="17" s="1"/>
  <c r="E518" i="1"/>
  <c r="F518" i="1" s="1"/>
  <c r="G518" i="1" s="1"/>
  <c r="E518" i="19"/>
  <c r="F518" i="19" s="1"/>
  <c r="G518" i="19" s="1"/>
  <c r="E518" i="21"/>
  <c r="F518" i="21" s="1"/>
  <c r="G518" i="21" s="1"/>
  <c r="E518" i="14"/>
  <c r="F518" i="14" s="1"/>
  <c r="G518" i="14" s="1"/>
  <c r="E518" i="17"/>
  <c r="F518" i="17" s="1"/>
  <c r="G518" i="17" s="1"/>
  <c r="G236" i="16"/>
  <c r="E288" i="16"/>
  <c r="E320" i="19"/>
  <c r="F320" i="19" s="1"/>
  <c r="G320" i="19" s="1"/>
  <c r="E320" i="21"/>
  <c r="F320" i="21" s="1"/>
  <c r="G320" i="21" s="1"/>
  <c r="E320" i="1"/>
  <c r="F320" i="1" s="1"/>
  <c r="G320" i="1" s="1"/>
  <c r="E320" i="14"/>
  <c r="F320" i="14" s="1"/>
  <c r="G320" i="14" s="1"/>
  <c r="E320" i="17"/>
  <c r="F320" i="17" s="1"/>
  <c r="G320" i="17" s="1"/>
  <c r="E285" i="21"/>
  <c r="E285" i="1"/>
  <c r="F285" i="1" s="1"/>
  <c r="G285" i="1" s="1"/>
  <c r="E285" i="19"/>
  <c r="F285" i="19" s="1"/>
  <c r="G285" i="19" s="1"/>
  <c r="E285" i="14"/>
  <c r="F285" i="14" s="1"/>
  <c r="G285" i="14" s="1"/>
  <c r="E285" i="17"/>
  <c r="F285" i="17" s="1"/>
  <c r="G285" i="17" s="1"/>
  <c r="E474" i="21"/>
  <c r="F474" i="21" s="1"/>
  <c r="G474" i="21" s="1"/>
  <c r="E474" i="14"/>
  <c r="F474" i="14" s="1"/>
  <c r="G474" i="14" s="1"/>
  <c r="E474" i="19"/>
  <c r="F474" i="19" s="1"/>
  <c r="G474" i="19" s="1"/>
  <c r="E474" i="1"/>
  <c r="F474" i="1" s="1"/>
  <c r="G474" i="1" s="1"/>
  <c r="E474" i="17"/>
  <c r="F474" i="17" s="1"/>
  <c r="G474" i="17" s="1"/>
  <c r="E433" i="1"/>
  <c r="F433" i="1" s="1"/>
  <c r="G433" i="1" s="1"/>
  <c r="E434" i="21"/>
  <c r="F434" i="21" s="1"/>
  <c r="G434" i="21" s="1"/>
  <c r="E433" i="19"/>
  <c r="F433" i="19" s="1"/>
  <c r="G433" i="19" s="1"/>
  <c r="E434" i="14"/>
  <c r="F434" i="14" s="1"/>
  <c r="G434" i="14" s="1"/>
  <c r="E434" i="1"/>
  <c r="F434" i="1" s="1"/>
  <c r="G434" i="1" s="1"/>
  <c r="E433" i="21"/>
  <c r="F433" i="21" s="1"/>
  <c r="G433" i="21" s="1"/>
  <c r="E430" i="19"/>
  <c r="F430" i="19" s="1"/>
  <c r="G430" i="19" s="1"/>
  <c r="E434" i="17"/>
  <c r="F434" i="17" s="1"/>
  <c r="G434" i="17" s="1"/>
  <c r="E430" i="1"/>
  <c r="F430" i="1" s="1"/>
  <c r="G430" i="1" s="1"/>
  <c r="E434" i="19"/>
  <c r="F434" i="19" s="1"/>
  <c r="G434" i="19" s="1"/>
  <c r="E430" i="17"/>
  <c r="F430" i="17" s="1"/>
  <c r="G430" i="17" s="1"/>
  <c r="E433" i="14"/>
  <c r="F433" i="14" s="1"/>
  <c r="G433" i="14" s="1"/>
  <c r="E430" i="21"/>
  <c r="F430" i="21" s="1"/>
  <c r="G430" i="21" s="1"/>
  <c r="E433" i="17"/>
  <c r="F433" i="17" s="1"/>
  <c r="G433" i="17" s="1"/>
  <c r="E430" i="14"/>
  <c r="F430" i="14" s="1"/>
  <c r="G430" i="14" s="1"/>
  <c r="Q94" i="41"/>
  <c r="U94" i="41" s="1"/>
  <c r="Q82" i="41"/>
  <c r="U82" i="41" s="1"/>
  <c r="Q69" i="41"/>
  <c r="U69" i="41" s="1"/>
  <c r="Q106" i="41"/>
  <c r="U106" i="41" s="1"/>
  <c r="U29" i="41"/>
  <c r="Q7" i="41"/>
  <c r="U7" i="41" s="1"/>
  <c r="E309" i="17"/>
  <c r="F309" i="17" s="1"/>
  <c r="G309" i="17" s="1"/>
  <c r="E309" i="19"/>
  <c r="F309" i="19" s="1"/>
  <c r="G309" i="19" s="1"/>
  <c r="E309" i="21"/>
  <c r="F309" i="21" s="1"/>
  <c r="G309" i="21" s="1"/>
  <c r="E309" i="1"/>
  <c r="F309" i="1" s="1"/>
  <c r="G309" i="1" s="1"/>
  <c r="E309" i="14"/>
  <c r="F309" i="14" s="1"/>
  <c r="G309" i="14" s="1"/>
  <c r="F80" i="14"/>
  <c r="G80" i="14" s="1"/>
  <c r="E492" i="14"/>
  <c r="F492" i="14" s="1"/>
  <c r="G492" i="14" s="1"/>
  <c r="E492" i="17"/>
  <c r="F492" i="17" s="1"/>
  <c r="G492" i="17" s="1"/>
  <c r="E492" i="1"/>
  <c r="F492" i="1" s="1"/>
  <c r="G492" i="1" s="1"/>
  <c r="E492" i="19"/>
  <c r="F492" i="19" s="1"/>
  <c r="G492" i="19" s="1"/>
  <c r="E492" i="21"/>
  <c r="F492" i="21" s="1"/>
  <c r="G492" i="21" s="1"/>
  <c r="G10" i="21"/>
  <c r="F28" i="21"/>
  <c r="F559" i="27"/>
  <c r="F560" i="27" s="1"/>
  <c r="F533" i="27"/>
  <c r="E6926" i="51"/>
  <c r="G6926" i="51" s="1"/>
  <c r="E194" i="51"/>
  <c r="G194" i="51" s="1"/>
  <c r="E391" i="51"/>
  <c r="G391" i="51" s="1"/>
  <c r="E6876" i="51"/>
  <c r="G6876" i="51" s="1"/>
  <c r="E6826" i="51"/>
  <c r="G6826" i="51" s="1"/>
  <c r="E6775" i="51"/>
  <c r="G6775" i="51" s="1"/>
  <c r="E6625" i="51"/>
  <c r="G6625" i="51" s="1"/>
  <c r="E4986" i="51"/>
  <c r="G4986" i="51" s="1"/>
  <c r="E4937" i="51"/>
  <c r="G4937" i="51" s="1"/>
  <c r="E6476" i="51"/>
  <c r="G6476" i="51" s="1"/>
  <c r="H6480" i="51" s="1"/>
  <c r="E6442" i="51" s="1"/>
  <c r="G6442" i="51" s="1"/>
  <c r="H6449" i="51" s="1"/>
  <c r="H6482" i="51" s="1"/>
  <c r="D184" i="33" s="1"/>
  <c r="E5992" i="51"/>
  <c r="G5992" i="51" s="1"/>
  <c r="H5996" i="51" s="1"/>
  <c r="H5998" i="51" s="1"/>
  <c r="D174" i="33" s="1"/>
  <c r="E5753" i="51"/>
  <c r="G5753" i="51" s="1"/>
  <c r="E5944" i="51"/>
  <c r="G5944" i="51" s="1"/>
  <c r="H5948" i="51" s="1"/>
  <c r="E5910" i="51" s="1"/>
  <c r="G5910" i="51" s="1"/>
  <c r="H5917" i="51" s="1"/>
  <c r="H5950" i="51" s="1"/>
  <c r="D173" i="33" s="1"/>
  <c r="E5608" i="51"/>
  <c r="G5608" i="51" s="1"/>
  <c r="H5613" i="51" s="1"/>
  <c r="E5575" i="51" s="1"/>
  <c r="G5575" i="51" s="1"/>
  <c r="H5582" i="51" s="1"/>
  <c r="H5615" i="51" s="1"/>
  <c r="D166" i="33" s="1"/>
  <c r="E5378" i="51"/>
  <c r="G5378" i="51" s="1"/>
  <c r="E5233" i="51"/>
  <c r="G5233" i="51" s="1"/>
  <c r="E5181" i="51"/>
  <c r="G5181" i="51" s="1"/>
  <c r="E5082" i="51"/>
  <c r="G5082" i="51" s="1"/>
  <c r="E4649" i="51"/>
  <c r="G4649" i="51" s="1"/>
  <c r="E4215" i="51"/>
  <c r="G4215" i="51" s="1"/>
  <c r="G3831" i="51"/>
  <c r="E3400" i="51"/>
  <c r="G3400" i="51" s="1"/>
  <c r="E2967" i="51"/>
  <c r="G2967" i="51" s="1"/>
  <c r="E2631" i="51"/>
  <c r="G2631" i="51" s="1"/>
  <c r="E4455" i="51"/>
  <c r="G4455" i="51" s="1"/>
  <c r="E4311" i="51"/>
  <c r="G4311" i="51" s="1"/>
  <c r="G3783" i="51"/>
  <c r="E3352" i="51"/>
  <c r="G3352" i="51" s="1"/>
  <c r="E3016" i="51"/>
  <c r="G3016" i="51" s="1"/>
  <c r="E4503" i="51"/>
  <c r="G4503" i="51" s="1"/>
  <c r="E1523" i="51"/>
  <c r="G1523" i="51" s="1"/>
  <c r="E6724" i="51"/>
  <c r="G6724" i="51" s="1"/>
  <c r="E6675" i="51"/>
  <c r="G6675" i="51" s="1"/>
  <c r="E6575" i="51"/>
  <c r="G6575" i="51" s="1"/>
  <c r="E5034" i="51"/>
  <c r="G5034" i="51" s="1"/>
  <c r="E6184" i="51"/>
  <c r="G6184" i="51" s="1"/>
  <c r="H6188" i="51" s="1"/>
  <c r="E6150" i="51" s="1"/>
  <c r="G6150" i="51" s="1"/>
  <c r="H6157" i="51" s="1"/>
  <c r="H6190" i="51" s="1"/>
  <c r="D178" i="33" s="1"/>
  <c r="E5514" i="51"/>
  <c r="G5514" i="51" s="1"/>
  <c r="E6232" i="51"/>
  <c r="G6232" i="51" s="1"/>
  <c r="H6236" i="51" s="1"/>
  <c r="E6198" i="51" s="1"/>
  <c r="G6198" i="51" s="1"/>
  <c r="H6205" i="51" s="1"/>
  <c r="H6238" i="51" s="1"/>
  <c r="D179" i="33" s="1"/>
  <c r="E5848" i="51"/>
  <c r="G5848" i="51" s="1"/>
  <c r="H5852" i="51" s="1"/>
  <c r="E5814" i="51" s="1"/>
  <c r="G5814" i="51" s="1"/>
  <c r="H5821" i="51" s="1"/>
  <c r="H5854" i="51" s="1"/>
  <c r="D171" i="33" s="1"/>
  <c r="E5329" i="51"/>
  <c r="G5329" i="51" s="1"/>
  <c r="E5131" i="51"/>
  <c r="G5131" i="51" s="1"/>
  <c r="E5280" i="51"/>
  <c r="G5280" i="51" s="1"/>
  <c r="E4552" i="51"/>
  <c r="G4552" i="51" s="1"/>
  <c r="E4601" i="51"/>
  <c r="G4601" i="51" s="1"/>
  <c r="E4071" i="51"/>
  <c r="G4071" i="51" s="1"/>
  <c r="E3064" i="51"/>
  <c r="G3064" i="51" s="1"/>
  <c r="E2871" i="51"/>
  <c r="G2871" i="51" s="1"/>
  <c r="E2583" i="51"/>
  <c r="G2583" i="51" s="1"/>
  <c r="E4407" i="51"/>
  <c r="G4407" i="51" s="1"/>
  <c r="E4263" i="51"/>
  <c r="G4263" i="51" s="1"/>
  <c r="E3544" i="51"/>
  <c r="G3544" i="51" s="1"/>
  <c r="E3304" i="51"/>
  <c r="G3304" i="51" s="1"/>
  <c r="E2919" i="51"/>
  <c r="G2919" i="51" s="1"/>
  <c r="E4359" i="51"/>
  <c r="G4359" i="51" s="1"/>
  <c r="E5418" i="51"/>
  <c r="G5418" i="51" s="1"/>
  <c r="E5896" i="51"/>
  <c r="G5896" i="51" s="1"/>
  <c r="E5658" i="51"/>
  <c r="G5658" i="51" s="1"/>
  <c r="E6040" i="51"/>
  <c r="G6040" i="51" s="1"/>
  <c r="H6044" i="51" s="1"/>
  <c r="E3496" i="51"/>
  <c r="G3496" i="51" s="1"/>
  <c r="E2727" i="51"/>
  <c r="G2727" i="51" s="1"/>
  <c r="E4167" i="51"/>
  <c r="G4167" i="51" s="1"/>
  <c r="G3687" i="51"/>
  <c r="E3112" i="51"/>
  <c r="G3112" i="51" s="1"/>
  <c r="E2487" i="51"/>
  <c r="G2487" i="51" s="1"/>
  <c r="E2390" i="51"/>
  <c r="G2390" i="51" s="1"/>
  <c r="E3160" i="51"/>
  <c r="G3160" i="51" s="1"/>
  <c r="E2439" i="51"/>
  <c r="G2439" i="51" s="1"/>
  <c r="E1909" i="51"/>
  <c r="G1909" i="51" s="1"/>
  <c r="E2293" i="51"/>
  <c r="G2293" i="51" s="1"/>
  <c r="E1957" i="51"/>
  <c r="G1957" i="51" s="1"/>
  <c r="E2101" i="51"/>
  <c r="G2101" i="51" s="1"/>
  <c r="E2052" i="51"/>
  <c r="G2052" i="51" s="1"/>
  <c r="E539" i="51"/>
  <c r="G539" i="51" s="1"/>
  <c r="E1861" i="51"/>
  <c r="G1861" i="51" s="1"/>
  <c r="E1716" i="51"/>
  <c r="G1716" i="51" s="1"/>
  <c r="E1474" i="51"/>
  <c r="G1474" i="51" s="1"/>
  <c r="E1812" i="51"/>
  <c r="G1812" i="51" s="1"/>
  <c r="E1033" i="51"/>
  <c r="G1033" i="51" s="1"/>
  <c r="E341" i="51"/>
  <c r="G341" i="51" s="1"/>
  <c r="E1668" i="51"/>
  <c r="G1668" i="51" s="1"/>
  <c r="E1329" i="51"/>
  <c r="G1329" i="51" s="1"/>
  <c r="E143" i="51"/>
  <c r="G143" i="51" s="1"/>
  <c r="E1231" i="51"/>
  <c r="G1231" i="51" s="1"/>
  <c r="E984" i="51"/>
  <c r="G984" i="51" s="1"/>
  <c r="E836" i="51"/>
  <c r="G836" i="51" s="1"/>
  <c r="E736" i="51"/>
  <c r="G736" i="51" s="1"/>
  <c r="E637" i="51"/>
  <c r="G637" i="51" s="1"/>
  <c r="E489" i="51"/>
  <c r="G489" i="51" s="1"/>
  <c r="E5562" i="51"/>
  <c r="G5562" i="51" s="1"/>
  <c r="E6137" i="51"/>
  <c r="G6137" i="51" s="1"/>
  <c r="H6140" i="51" s="1"/>
  <c r="E6102" i="51" s="1"/>
  <c r="G6102" i="51" s="1"/>
  <c r="H6109" i="51" s="1"/>
  <c r="E5895" i="51"/>
  <c r="G5895" i="51" s="1"/>
  <c r="H5900" i="51" s="1"/>
  <c r="H5902" i="51" s="1"/>
  <c r="D172" i="33" s="1"/>
  <c r="E6280" i="51"/>
  <c r="G6280" i="51" s="1"/>
  <c r="H6284" i="51" s="1"/>
  <c r="E6246" i="51" s="1"/>
  <c r="G6246" i="51" s="1"/>
  <c r="H6253" i="51" s="1"/>
  <c r="H6286" i="51" s="1"/>
  <c r="D180" i="33" s="1"/>
  <c r="E6088" i="51"/>
  <c r="G6088" i="51" s="1"/>
  <c r="H6092" i="51" s="1"/>
  <c r="E6054" i="51" s="1"/>
  <c r="G6054" i="51" s="1"/>
  <c r="H6061" i="51" s="1"/>
  <c r="H6094" i="51" s="1"/>
  <c r="D176" i="33" s="1"/>
  <c r="E5799" i="51"/>
  <c r="G5799" i="51" s="1"/>
  <c r="H5803" i="51" s="1"/>
  <c r="E5765" i="51" s="1"/>
  <c r="G5765" i="51" s="1"/>
  <c r="H5772" i="51" s="1"/>
  <c r="H5805" i="51" s="1"/>
  <c r="D170" i="33" s="1"/>
  <c r="E6378" i="51"/>
  <c r="G6378" i="51" s="1"/>
  <c r="H6382" i="51" s="1"/>
  <c r="E6344" i="51" s="1"/>
  <c r="G6344" i="51" s="1"/>
  <c r="H6351" i="51" s="1"/>
  <c r="H6384" i="51" s="1"/>
  <c r="D182" i="33" s="1"/>
  <c r="E3592" i="51"/>
  <c r="G3592" i="51" s="1"/>
  <c r="E3256" i="51"/>
  <c r="G3256" i="51" s="1"/>
  <c r="E2535" i="51"/>
  <c r="G2535" i="51" s="1"/>
  <c r="E4119" i="51"/>
  <c r="G4119" i="51" s="1"/>
  <c r="E3208" i="51"/>
  <c r="G3208" i="51" s="1"/>
  <c r="E2823" i="51"/>
  <c r="G2823" i="51" s="1"/>
  <c r="E2679" i="51"/>
  <c r="G2679" i="51" s="1"/>
  <c r="E3448" i="51"/>
  <c r="G3448" i="51" s="1"/>
  <c r="E2775" i="51"/>
  <c r="G2775" i="51" s="1"/>
  <c r="E2149" i="51"/>
  <c r="G2149" i="51" s="1"/>
  <c r="E2341" i="51"/>
  <c r="G2341" i="51" s="1"/>
  <c r="E2004" i="51"/>
  <c r="G2004" i="51" s="1"/>
  <c r="E2197" i="51"/>
  <c r="G2197" i="51" s="1"/>
  <c r="E2245" i="51"/>
  <c r="G2245" i="51" s="1"/>
  <c r="E1426" i="51"/>
  <c r="G1426" i="51" s="1"/>
  <c r="E441" i="51"/>
  <c r="G441" i="51" s="1"/>
  <c r="E1763" i="51"/>
  <c r="G1763" i="51" s="1"/>
  <c r="E1620" i="51"/>
  <c r="G1620" i="51" s="1"/>
  <c r="E935" i="51"/>
  <c r="G935" i="51" s="1"/>
  <c r="E1377" i="51"/>
  <c r="G1377" i="51" s="1"/>
  <c r="E1182" i="51"/>
  <c r="G1182" i="51" s="1"/>
  <c r="E242" i="51"/>
  <c r="G242" i="51" s="1"/>
  <c r="E1572" i="51"/>
  <c r="G1572" i="51" s="1"/>
  <c r="E1280" i="51"/>
  <c r="G1280" i="51" s="1"/>
  <c r="E1082" i="51"/>
  <c r="G1082" i="51" s="1"/>
  <c r="E1132" i="51"/>
  <c r="G1132" i="51" s="1"/>
  <c r="E886" i="51"/>
  <c r="G886" i="51" s="1"/>
  <c r="E785" i="51"/>
  <c r="G785" i="51" s="1"/>
  <c r="E687" i="51"/>
  <c r="G687" i="51" s="1"/>
  <c r="E589" i="51"/>
  <c r="G589" i="51" s="1"/>
  <c r="E422" i="1"/>
  <c r="F422" i="1" s="1"/>
  <c r="G422" i="1" s="1"/>
  <c r="E422" i="19"/>
  <c r="F422" i="19" s="1"/>
  <c r="G422" i="19" s="1"/>
  <c r="E422" i="21"/>
  <c r="F422" i="21" s="1"/>
  <c r="G422" i="21" s="1"/>
  <c r="E422" i="14"/>
  <c r="F422" i="14" s="1"/>
  <c r="G422" i="14" s="1"/>
  <c r="E422" i="17"/>
  <c r="F422" i="17" s="1"/>
  <c r="G422" i="17" s="1"/>
  <c r="U105" i="41"/>
  <c r="F208" i="17"/>
  <c r="G208" i="17" s="1"/>
  <c r="E210" i="17"/>
  <c r="F210" i="17" s="1"/>
  <c r="G210" i="17" s="1"/>
  <c r="E209" i="17"/>
  <c r="F209" i="17" s="1"/>
  <c r="G209" i="17" s="1"/>
  <c r="E211" i="17"/>
  <c r="F211" i="17" s="1"/>
  <c r="G211" i="17" s="1"/>
  <c r="G579" i="21"/>
  <c r="H322" i="7"/>
  <c r="F135" i="19"/>
  <c r="G135" i="19" s="1"/>
  <c r="E136" i="19"/>
  <c r="F136" i="19" s="1"/>
  <c r="G136" i="19" s="1"/>
  <c r="E136" i="1"/>
  <c r="F136" i="1" s="1"/>
  <c r="G136" i="1" s="1"/>
  <c r="F135" i="1"/>
  <c r="G135" i="1" s="1"/>
  <c r="F80" i="21"/>
  <c r="G80" i="21" s="1"/>
  <c r="E432" i="21"/>
  <c r="F432" i="21" s="1"/>
  <c r="G432" i="21" s="1"/>
  <c r="E429" i="19"/>
  <c r="F429" i="19" s="1"/>
  <c r="G429" i="19" s="1"/>
  <c r="E429" i="14"/>
  <c r="F429" i="14" s="1"/>
  <c r="G429" i="14" s="1"/>
  <c r="E435" i="1"/>
  <c r="F435" i="1" s="1"/>
  <c r="G435" i="1" s="1"/>
  <c r="E429" i="21"/>
  <c r="F429" i="21" s="1"/>
  <c r="G429" i="21" s="1"/>
  <c r="E432" i="19"/>
  <c r="F432" i="19" s="1"/>
  <c r="G432" i="19" s="1"/>
  <c r="E432" i="17"/>
  <c r="F432" i="17" s="1"/>
  <c r="G432" i="17" s="1"/>
  <c r="E429" i="1"/>
  <c r="F429" i="1" s="1"/>
  <c r="G429" i="1" s="1"/>
  <c r="E435" i="19"/>
  <c r="F435" i="19" s="1"/>
  <c r="G435" i="19" s="1"/>
  <c r="E435" i="17"/>
  <c r="F435" i="17" s="1"/>
  <c r="G435" i="17" s="1"/>
  <c r="E435" i="14"/>
  <c r="F435" i="14" s="1"/>
  <c r="G435" i="14" s="1"/>
  <c r="E432" i="1"/>
  <c r="F432" i="1" s="1"/>
  <c r="G432" i="1" s="1"/>
  <c r="E435" i="21"/>
  <c r="F435" i="21" s="1"/>
  <c r="G435" i="21" s="1"/>
  <c r="E429" i="17"/>
  <c r="F429" i="17" s="1"/>
  <c r="G429" i="17" s="1"/>
  <c r="E432" i="14"/>
  <c r="F432" i="14" s="1"/>
  <c r="G432" i="14" s="1"/>
  <c r="E1159" i="8"/>
  <c r="G1159" i="8" s="1"/>
  <c r="G82" i="1"/>
  <c r="F93" i="1"/>
  <c r="G93" i="1" s="1"/>
  <c r="F93" i="14"/>
  <c r="G93" i="14" s="1"/>
  <c r="G82" i="14"/>
  <c r="E5353" i="51"/>
  <c r="G5353" i="51" s="1"/>
  <c r="H5365" i="51" s="1"/>
  <c r="E152" i="21"/>
  <c r="F152" i="21" s="1"/>
  <c r="G152" i="21" s="1"/>
  <c r="E152" i="14"/>
  <c r="F152" i="14" s="1"/>
  <c r="G152" i="14" s="1"/>
  <c r="E152" i="17"/>
  <c r="F152" i="17" s="1"/>
  <c r="G152" i="17" s="1"/>
  <c r="E152" i="1"/>
  <c r="F152" i="1" s="1"/>
  <c r="G152" i="1" s="1"/>
  <c r="E152" i="19"/>
  <c r="F152" i="19" s="1"/>
  <c r="G152" i="19" s="1"/>
  <c r="E607" i="21"/>
  <c r="E604" i="1"/>
  <c r="F604" i="1" s="1"/>
  <c r="G604" i="1" s="1"/>
  <c r="E608" i="21"/>
  <c r="F608" i="21" s="1"/>
  <c r="G608" i="21" s="1"/>
  <c r="E601" i="17"/>
  <c r="F601" i="17" s="1"/>
  <c r="G601" i="17" s="1"/>
  <c r="U3" i="41"/>
  <c r="Q8" i="41"/>
  <c r="U26" i="41"/>
  <c r="Q103" i="41"/>
  <c r="Q79" i="41"/>
  <c r="Q66" i="41"/>
  <c r="U66" i="41" s="1"/>
  <c r="Q91" i="41"/>
  <c r="U91" i="41" s="1"/>
  <c r="F25" i="24"/>
  <c r="G25" i="24" s="1"/>
  <c r="F310" i="21"/>
  <c r="G310" i="21" s="1"/>
  <c r="E595" i="1"/>
  <c r="F595" i="1" s="1"/>
  <c r="G595" i="1" s="1"/>
  <c r="E595" i="14"/>
  <c r="F595" i="14" s="1"/>
  <c r="G595" i="14" s="1"/>
  <c r="G10" i="14"/>
  <c r="F28" i="14"/>
  <c r="E451" i="21"/>
  <c r="F451" i="21" s="1"/>
  <c r="G451" i="21" s="1"/>
  <c r="E448" i="19"/>
  <c r="F448" i="19" s="1"/>
  <c r="G448" i="19" s="1"/>
  <c r="E451" i="14"/>
  <c r="F451" i="14" s="1"/>
  <c r="G451" i="14" s="1"/>
  <c r="E451" i="1"/>
  <c r="F451" i="1" s="1"/>
  <c r="G451" i="1" s="1"/>
  <c r="E448" i="1"/>
  <c r="F448" i="1" s="1"/>
  <c r="G448" i="1" s="1"/>
  <c r="AC274" i="16"/>
  <c r="AE274" i="16" s="1"/>
  <c r="AC221" i="16"/>
  <c r="AE221" i="16" s="1"/>
  <c r="AK119" i="16"/>
  <c r="AM119" i="16" s="1"/>
  <c r="E68" i="16"/>
  <c r="G68" i="16" s="1"/>
  <c r="E451" i="19"/>
  <c r="F451" i="19" s="1"/>
  <c r="G451" i="19" s="1"/>
  <c r="E418" i="16"/>
  <c r="G418" i="16" s="1"/>
  <c r="AC326" i="16"/>
  <c r="AE326" i="16" s="1"/>
  <c r="E274" i="16"/>
  <c r="G274" i="16" s="1"/>
  <c r="E171" i="16"/>
  <c r="G171" i="16" s="1"/>
  <c r="E119" i="16"/>
  <c r="G119" i="16" s="1"/>
  <c r="U119" i="16"/>
  <c r="W119" i="16" s="1"/>
  <c r="M19" i="16"/>
  <c r="O19" i="16" s="1"/>
  <c r="U274" i="16"/>
  <c r="W274" i="16" s="1"/>
  <c r="E19" i="16"/>
  <c r="G19" i="16" s="1"/>
  <c r="M274" i="16"/>
  <c r="O274" i="16" s="1"/>
  <c r="M171" i="16"/>
  <c r="O171" i="16" s="1"/>
  <c r="E448" i="14"/>
  <c r="F448" i="14" s="1"/>
  <c r="G448" i="14" s="1"/>
  <c r="AC19" i="16"/>
  <c r="AE19" i="16" s="1"/>
  <c r="E448" i="17"/>
  <c r="F448" i="17" s="1"/>
  <c r="G448" i="17" s="1"/>
  <c r="AC171" i="16"/>
  <c r="AE171" i="16" s="1"/>
  <c r="AK326" i="16"/>
  <c r="AM326" i="16" s="1"/>
  <c r="E448" i="21"/>
  <c r="F448" i="21" s="1"/>
  <c r="G448" i="21" s="1"/>
  <c r="M68" i="16"/>
  <c r="O68" i="16" s="1"/>
  <c r="U68" i="16"/>
  <c r="W68" i="16" s="1"/>
  <c r="E451" i="17"/>
  <c r="F451" i="17" s="1"/>
  <c r="G451" i="17" s="1"/>
  <c r="E378" i="16"/>
  <c r="G378" i="16" s="1"/>
  <c r="E326" i="16"/>
  <c r="G326" i="16" s="1"/>
  <c r="E221" i="16"/>
  <c r="G221" i="16" s="1"/>
  <c r="AC119" i="16"/>
  <c r="AE119" i="16" s="1"/>
  <c r="M119" i="16"/>
  <c r="O119" i="16" s="1"/>
  <c r="U19" i="16"/>
  <c r="W19" i="16" s="1"/>
  <c r="U326" i="16"/>
  <c r="W326" i="16" s="1"/>
  <c r="U221" i="16"/>
  <c r="W221" i="16" s="1"/>
  <c r="M326" i="16"/>
  <c r="O326" i="16" s="1"/>
  <c r="M221" i="16"/>
  <c r="O221" i="16" s="1"/>
  <c r="U171" i="16"/>
  <c r="W171" i="16" s="1"/>
  <c r="E210" i="14"/>
  <c r="F210" i="14" s="1"/>
  <c r="G210" i="14" s="1"/>
  <c r="E209" i="14"/>
  <c r="F209" i="14" s="1"/>
  <c r="G209" i="14" s="1"/>
  <c r="F208" i="14"/>
  <c r="G208" i="14" s="1"/>
  <c r="E211" i="14"/>
  <c r="F211" i="14" s="1"/>
  <c r="G211" i="14" s="1"/>
  <c r="E210" i="21"/>
  <c r="F210" i="21" s="1"/>
  <c r="G210" i="21" s="1"/>
  <c r="E211" i="21"/>
  <c r="F211" i="21" s="1"/>
  <c r="G211" i="21" s="1"/>
  <c r="E209" i="21"/>
  <c r="F209" i="21" s="1"/>
  <c r="G209" i="21" s="1"/>
  <c r="F208" i="21"/>
  <c r="G208" i="21" s="1"/>
  <c r="G282" i="16" l="1"/>
  <c r="M282" i="16"/>
  <c r="U229" i="16"/>
  <c r="W229" i="16" s="1"/>
  <c r="O229" i="16"/>
  <c r="AC282" i="16"/>
  <c r="AE282" i="16" s="1"/>
  <c r="AE229" i="16"/>
  <c r="E241" i="17"/>
  <c r="E260" i="17" s="1"/>
  <c r="F260" i="17" s="1"/>
  <c r="G260" i="17" s="1"/>
  <c r="E241" i="21"/>
  <c r="E241" i="14"/>
  <c r="F241" i="14" s="1"/>
  <c r="G241" i="14" s="1"/>
  <c r="E241" i="19"/>
  <c r="E241" i="1"/>
  <c r="F241" i="1" s="1"/>
  <c r="G241" i="1" s="1"/>
  <c r="U10" i="41"/>
  <c r="F62" i="14"/>
  <c r="G62" i="14" s="1"/>
  <c r="F62" i="1"/>
  <c r="G62" i="1" s="1"/>
  <c r="H5469" i="51"/>
  <c r="B1046" i="27"/>
  <c r="E1046" i="27" s="1"/>
  <c r="E1047" i="27" s="1"/>
  <c r="G20" i="16"/>
  <c r="E494" i="16"/>
  <c r="G494" i="16" s="1"/>
  <c r="H505" i="16" s="1"/>
  <c r="H524" i="16" s="1"/>
  <c r="B34" i="52"/>
  <c r="B28" i="52"/>
  <c r="B42" i="52"/>
  <c r="Z19" i="52"/>
  <c r="O19" i="52"/>
  <c r="X19" i="52"/>
  <c r="R19" i="52"/>
  <c r="Q19" i="52"/>
  <c r="S19" i="52"/>
  <c r="U19" i="52"/>
  <c r="V19" i="52"/>
  <c r="W19" i="52"/>
  <c r="P19" i="52"/>
  <c r="Y19" i="52"/>
  <c r="T19" i="52"/>
  <c r="R22" i="52"/>
  <c r="P22" i="52"/>
  <c r="O22" i="52"/>
  <c r="Y22" i="52"/>
  <c r="U22" i="52"/>
  <c r="W22" i="52"/>
  <c r="Q22" i="52"/>
  <c r="X22" i="52"/>
  <c r="S22" i="52"/>
  <c r="T22" i="52"/>
  <c r="Z22" i="52"/>
  <c r="E215" i="1"/>
  <c r="E217" i="1" s="1"/>
  <c r="F217" i="1" s="1"/>
  <c r="G217" i="1" s="1"/>
  <c r="E215" i="14"/>
  <c r="E217" i="14" s="1"/>
  <c r="F217" i="14" s="1"/>
  <c r="G217" i="14" s="1"/>
  <c r="E215" i="19"/>
  <c r="F215" i="19" s="1"/>
  <c r="G215" i="19" s="1"/>
  <c r="E215" i="21"/>
  <c r="E216" i="21" s="1"/>
  <c r="F216" i="21" s="1"/>
  <c r="G216" i="21" s="1"/>
  <c r="E215" i="17"/>
  <c r="E217" i="17" s="1"/>
  <c r="F217" i="17" s="1"/>
  <c r="G217" i="17" s="1"/>
  <c r="E92" i="51"/>
  <c r="G92" i="51" s="1"/>
  <c r="H99" i="51" s="1"/>
  <c r="E58" i="51" s="1"/>
  <c r="G58" i="51" s="1"/>
  <c r="H65" i="51" s="1"/>
  <c r="H101" i="51" s="1"/>
  <c r="D9" i="33" s="1"/>
  <c r="E42" i="51"/>
  <c r="G42" i="51" s="1"/>
  <c r="H48" i="51" s="1"/>
  <c r="H50" i="51" s="1"/>
  <c r="D8" i="33" s="1"/>
  <c r="H4845" i="51"/>
  <c r="H4797" i="51"/>
  <c r="E4759" i="51" s="1"/>
  <c r="G4759" i="51" s="1"/>
  <c r="H4765" i="51" s="1"/>
  <c r="H4799" i="51" s="1"/>
  <c r="D149" i="33" s="1"/>
  <c r="U8" i="41"/>
  <c r="H7033" i="51"/>
  <c r="D284" i="33" s="1"/>
  <c r="E5435" i="51"/>
  <c r="G5435" i="51" s="1"/>
  <c r="H5438" i="51" s="1"/>
  <c r="H5471" i="51" s="1"/>
  <c r="D189" i="33" s="1"/>
  <c r="U122" i="41"/>
  <c r="U121" i="41"/>
  <c r="E111" i="19"/>
  <c r="F111" i="19" s="1"/>
  <c r="G111" i="19" s="1"/>
  <c r="E111" i="14"/>
  <c r="F111" i="14" s="1"/>
  <c r="G111" i="14" s="1"/>
  <c r="E111" i="21"/>
  <c r="F111" i="21" s="1"/>
  <c r="G111" i="21" s="1"/>
  <c r="E111" i="17"/>
  <c r="F111" i="17" s="1"/>
  <c r="G111" i="17" s="1"/>
  <c r="E111" i="1"/>
  <c r="F111" i="1" s="1"/>
  <c r="G111" i="1" s="1"/>
  <c r="U20" i="41"/>
  <c r="U12" i="41"/>
  <c r="L237" i="6"/>
  <c r="G237" i="6"/>
  <c r="H248" i="6" s="1"/>
  <c r="H267" i="6" s="1"/>
  <c r="H4893" i="51"/>
  <c r="E4855" i="51" s="1"/>
  <c r="G4855" i="51" s="1"/>
  <c r="H4861" i="51" s="1"/>
  <c r="H4895" i="51" s="1"/>
  <c r="D151" i="33" s="1"/>
  <c r="H295" i="51"/>
  <c r="E256" i="51" s="1"/>
  <c r="G256" i="51" s="1"/>
  <c r="H262" i="51" s="1"/>
  <c r="H297" i="51" s="1"/>
  <c r="D16" i="33" s="1"/>
  <c r="H423" i="16"/>
  <c r="E23" i="20" s="1"/>
  <c r="F23" i="20" s="1"/>
  <c r="G23" i="20" s="1"/>
  <c r="H4749" i="51"/>
  <c r="E4711" i="51" s="1"/>
  <c r="G4711" i="51" s="1"/>
  <c r="H4717" i="51" s="1"/>
  <c r="H4751" i="51" s="1"/>
  <c r="D148" i="33" s="1"/>
  <c r="F2428" i="4"/>
  <c r="G2428" i="4" s="1"/>
  <c r="E213" i="19"/>
  <c r="F213" i="19" s="1"/>
  <c r="G213" i="19" s="1"/>
  <c r="E214" i="19"/>
  <c r="F214" i="19" s="1"/>
  <c r="G214" i="19" s="1"/>
  <c r="F212" i="19"/>
  <c r="G212" i="19" s="1"/>
  <c r="E218" i="1"/>
  <c r="F218" i="1" s="1"/>
  <c r="G218" i="1" s="1"/>
  <c r="E218" i="17"/>
  <c r="F218" i="17" s="1"/>
  <c r="G218" i="17" s="1"/>
  <c r="E218" i="19"/>
  <c r="F218" i="19" s="1"/>
  <c r="G218" i="19" s="1"/>
  <c r="E218" i="21"/>
  <c r="F218" i="21" s="1"/>
  <c r="G218" i="21" s="1"/>
  <c r="E218" i="14"/>
  <c r="F218" i="14" s="1"/>
  <c r="G218" i="14" s="1"/>
  <c r="E213" i="21"/>
  <c r="F213" i="21" s="1"/>
  <c r="G213" i="21" s="1"/>
  <c r="F212" i="21"/>
  <c r="G212" i="21" s="1"/>
  <c r="E214" i="21"/>
  <c r="F214" i="21" s="1"/>
  <c r="G214" i="21" s="1"/>
  <c r="E242" i="14"/>
  <c r="E242" i="19"/>
  <c r="E242" i="21"/>
  <c r="E242" i="1"/>
  <c r="E242" i="17"/>
  <c r="F212" i="17"/>
  <c r="G212" i="17" s="1"/>
  <c r="E214" i="17"/>
  <c r="F214" i="17" s="1"/>
  <c r="G214" i="17" s="1"/>
  <c r="E213" i="17"/>
  <c r="F213" i="17" s="1"/>
  <c r="G213" i="17" s="1"/>
  <c r="D1479" i="6"/>
  <c r="W1425" i="6"/>
  <c r="X1436" i="6" s="1"/>
  <c r="X1455" i="6" s="1"/>
  <c r="E213" i="1"/>
  <c r="F213" i="1" s="1"/>
  <c r="G213" i="1" s="1"/>
  <c r="E214" i="1"/>
  <c r="F214" i="1" s="1"/>
  <c r="G214" i="1" s="1"/>
  <c r="F212" i="1"/>
  <c r="G212" i="1" s="1"/>
  <c r="E213" i="14"/>
  <c r="F213" i="14" s="1"/>
  <c r="G213" i="14" s="1"/>
  <c r="E214" i="14"/>
  <c r="F214" i="14" s="1"/>
  <c r="G214" i="14" s="1"/>
  <c r="F212" i="14"/>
  <c r="G212" i="14" s="1"/>
  <c r="H4701" i="51"/>
  <c r="E4663" i="51" s="1"/>
  <c r="G4663" i="51" s="1"/>
  <c r="H4669" i="51" s="1"/>
  <c r="H4703" i="51" s="1"/>
  <c r="D147" i="33" s="1"/>
  <c r="U281" i="16"/>
  <c r="W281" i="16" s="1"/>
  <c r="O281" i="16"/>
  <c r="W28" i="16"/>
  <c r="AC28" i="16"/>
  <c r="AE28" i="16" s="1"/>
  <c r="E4807" i="51"/>
  <c r="G4807" i="51" s="1"/>
  <c r="H4813" i="51" s="1"/>
  <c r="H4847" i="51" s="1"/>
  <c r="D150" i="33" s="1"/>
  <c r="U14" i="41"/>
  <c r="U18" i="41"/>
  <c r="U126" i="41"/>
  <c r="U13" i="41"/>
  <c r="O181" i="16"/>
  <c r="U181" i="16"/>
  <c r="W181" i="16" s="1"/>
  <c r="U57" i="41"/>
  <c r="E139" i="1"/>
  <c r="F139" i="1" s="1"/>
  <c r="G139" i="1" s="1"/>
  <c r="E138" i="1"/>
  <c r="F138" i="1" s="1"/>
  <c r="G138" i="1" s="1"/>
  <c r="F137" i="1"/>
  <c r="G137" i="1" s="1"/>
  <c r="G130" i="16"/>
  <c r="H134" i="16" s="1"/>
  <c r="H149" i="16" s="1"/>
  <c r="M130" i="16"/>
  <c r="U26" i="16"/>
  <c r="W26" i="16" s="1"/>
  <c r="O26" i="16"/>
  <c r="P31" i="16" s="1"/>
  <c r="P46" i="16" s="1"/>
  <c r="O75" i="16"/>
  <c r="P80" i="16" s="1"/>
  <c r="P95" i="16" s="1"/>
  <c r="U75" i="16"/>
  <c r="W75" i="16" s="1"/>
  <c r="X80" i="16" s="1"/>
  <c r="X95" i="16" s="1"/>
  <c r="M232" i="16"/>
  <c r="G232" i="16"/>
  <c r="H237" i="16" s="1"/>
  <c r="H252" i="16" s="1"/>
  <c r="E284" i="16"/>
  <c r="AC232" i="16"/>
  <c r="AE232" i="16" s="1"/>
  <c r="W131" i="16"/>
  <c r="AC131" i="16"/>
  <c r="AE131" i="16" s="1"/>
  <c r="AE129" i="16"/>
  <c r="AK129" i="16"/>
  <c r="AM129" i="16" s="1"/>
  <c r="U15" i="41"/>
  <c r="F137" i="19"/>
  <c r="G137" i="19" s="1"/>
  <c r="E139" i="19"/>
  <c r="F139" i="19" s="1"/>
  <c r="G139" i="19" s="1"/>
  <c r="E138" i="19"/>
  <c r="F138" i="19" s="1"/>
  <c r="G138" i="19" s="1"/>
  <c r="E138" i="17"/>
  <c r="F138" i="17" s="1"/>
  <c r="G138" i="17" s="1"/>
  <c r="E139" i="17"/>
  <c r="F139" i="17" s="1"/>
  <c r="G139" i="17" s="1"/>
  <c r="F137" i="17"/>
  <c r="G137" i="17" s="1"/>
  <c r="O27" i="16"/>
  <c r="U27" i="16"/>
  <c r="W27" i="16" s="1"/>
  <c r="U43" i="41"/>
  <c r="U124" i="41"/>
  <c r="U116" i="41"/>
  <c r="U17" i="41"/>
  <c r="U19" i="41"/>
  <c r="G180" i="16"/>
  <c r="M180" i="16"/>
  <c r="E138" i="21"/>
  <c r="F138" i="21" s="1"/>
  <c r="G138" i="21" s="1"/>
  <c r="E139" i="21"/>
  <c r="F139" i="21" s="1"/>
  <c r="G139" i="21" s="1"/>
  <c r="F137" i="21"/>
  <c r="G137" i="21" s="1"/>
  <c r="U123" i="41"/>
  <c r="U42" i="41"/>
  <c r="U45" i="41"/>
  <c r="U16" i="41"/>
  <c r="W128" i="16"/>
  <c r="AC128" i="16"/>
  <c r="AE128" i="16" s="1"/>
  <c r="E138" i="14"/>
  <c r="F138" i="14" s="1"/>
  <c r="G138" i="14" s="1"/>
  <c r="F137" i="14"/>
  <c r="G137" i="14" s="1"/>
  <c r="E139" i="14"/>
  <c r="F139" i="14" s="1"/>
  <c r="G139" i="14" s="1"/>
  <c r="U103" i="41"/>
  <c r="F285" i="21"/>
  <c r="G285" i="21" s="1"/>
  <c r="F20" i="24"/>
  <c r="G20" i="24" s="1"/>
  <c r="F22" i="24"/>
  <c r="G22" i="24" s="1"/>
  <c r="F21" i="24"/>
  <c r="G21" i="24" s="1"/>
  <c r="G97" i="14"/>
  <c r="O230" i="16"/>
  <c r="U230" i="16"/>
  <c r="W230" i="16" s="1"/>
  <c r="H455" i="16"/>
  <c r="H470" i="16" s="1"/>
  <c r="G559" i="19"/>
  <c r="G420" i="17"/>
  <c r="F215" i="21"/>
  <c r="G215" i="21" s="1"/>
  <c r="E217" i="21"/>
  <c r="F217" i="21" s="1"/>
  <c r="G217" i="21" s="1"/>
  <c r="E217" i="19"/>
  <c r="F217" i="19" s="1"/>
  <c r="G217" i="19" s="1"/>
  <c r="E216" i="19"/>
  <c r="F216" i="19" s="1"/>
  <c r="G216" i="19" s="1"/>
  <c r="G28" i="19"/>
  <c r="G838" i="22"/>
  <c r="F2429" i="22"/>
  <c r="G2429" i="22" s="1"/>
  <c r="H641" i="51"/>
  <c r="H1623" i="51"/>
  <c r="E1585" i="51" s="1"/>
  <c r="G1585" i="51" s="1"/>
  <c r="H1592" i="51" s="1"/>
  <c r="H1625" i="51" s="1"/>
  <c r="D60" i="33" s="1"/>
  <c r="H2970" i="51"/>
  <c r="E2932" i="51" s="1"/>
  <c r="G2932" i="51" s="1"/>
  <c r="H2939" i="51" s="1"/>
  <c r="H2972" i="51" s="1"/>
  <c r="D95" i="33" s="1"/>
  <c r="H691" i="51"/>
  <c r="E652" i="51" s="1"/>
  <c r="G652" i="51" s="1"/>
  <c r="H658" i="51" s="1"/>
  <c r="H693" i="51" s="1"/>
  <c r="D33" i="33" s="1"/>
  <c r="H1815" i="51"/>
  <c r="E1777" i="51" s="1"/>
  <c r="G1777" i="51" s="1"/>
  <c r="H1784" i="51" s="1"/>
  <c r="H1817" i="51" s="1"/>
  <c r="D68" i="33" s="1"/>
  <c r="H2442" i="51"/>
  <c r="E2404" i="51" s="1"/>
  <c r="G2404" i="51" s="1"/>
  <c r="H2411" i="51" s="1"/>
  <c r="H2444" i="51" s="1"/>
  <c r="D84" i="33" s="1"/>
  <c r="H1136" i="51"/>
  <c r="E1097" i="51" s="1"/>
  <c r="G1097" i="51" s="1"/>
  <c r="H1103" i="51" s="1"/>
  <c r="H1138" i="51" s="1"/>
  <c r="D46" i="33" s="1"/>
  <c r="H939" i="51"/>
  <c r="H2105" i="51"/>
  <c r="H2922" i="51"/>
  <c r="E2884" i="51" s="1"/>
  <c r="G2884" i="51" s="1"/>
  <c r="H2891" i="51" s="1"/>
  <c r="H2924" i="51" s="1"/>
  <c r="D94" i="33" s="1"/>
  <c r="H840" i="51"/>
  <c r="E801" i="51" s="1"/>
  <c r="G801" i="51" s="1"/>
  <c r="H807" i="51" s="1"/>
  <c r="H842" i="51" s="1"/>
  <c r="D36" i="33" s="1"/>
  <c r="H1478" i="51"/>
  <c r="H2345" i="51"/>
  <c r="H4027" i="51"/>
  <c r="H4075" i="51"/>
  <c r="H3259" i="51"/>
  <c r="E3221" i="51" s="1"/>
  <c r="G3221" i="51" s="1"/>
  <c r="H3228" i="51" s="1"/>
  <c r="H3261" i="51" s="1"/>
  <c r="D101" i="33" s="1"/>
  <c r="H5135" i="51"/>
  <c r="H5757" i="51"/>
  <c r="E5719" i="51" s="1"/>
  <c r="G5719" i="51" s="1"/>
  <c r="H5726" i="51" s="1"/>
  <c r="H5759" i="51" s="1"/>
  <c r="D169" i="33" s="1"/>
  <c r="H4123" i="51"/>
  <c r="H3019" i="51"/>
  <c r="E2981" i="51" s="1"/>
  <c r="G2981" i="51" s="1"/>
  <c r="H2988" i="51" s="1"/>
  <c r="H3021" i="51" s="1"/>
  <c r="D96" i="33" s="1"/>
  <c r="H4459" i="51"/>
  <c r="H4990" i="51"/>
  <c r="H5086" i="51"/>
  <c r="H5661" i="51"/>
  <c r="E5623" i="51" s="1"/>
  <c r="G5623" i="51" s="1"/>
  <c r="H5630" i="51" s="1"/>
  <c r="H5663" i="51" s="1"/>
  <c r="D167" i="33" s="1"/>
  <c r="H6728" i="51"/>
  <c r="E6689" i="51" s="1"/>
  <c r="G6689" i="51" s="1"/>
  <c r="H6695" i="51" s="1"/>
  <c r="H6730" i="51" s="1"/>
  <c r="D194" i="33" s="1"/>
  <c r="H3931" i="51"/>
  <c r="H3739" i="51"/>
  <c r="H4605" i="51"/>
  <c r="E4567" i="51" s="1"/>
  <c r="G4567" i="51" s="1"/>
  <c r="H4573" i="51" s="1"/>
  <c r="H4607" i="51" s="1"/>
  <c r="D143" i="33" s="1"/>
  <c r="H4941" i="51"/>
  <c r="F605" i="1"/>
  <c r="G605" i="1" s="1"/>
  <c r="F601" i="14"/>
  <c r="G601" i="14" s="1"/>
  <c r="E260" i="14"/>
  <c r="F260" i="14" s="1"/>
  <c r="G260" i="14" s="1"/>
  <c r="F241" i="21"/>
  <c r="G241" i="21" s="1"/>
  <c r="E260" i="21"/>
  <c r="F260" i="21" s="1"/>
  <c r="G260" i="21" s="1"/>
  <c r="E132" i="21"/>
  <c r="F132" i="21" s="1"/>
  <c r="G132" i="21" s="1"/>
  <c r="E130" i="21"/>
  <c r="F130" i="21" s="1"/>
  <c r="G130" i="21" s="1"/>
  <c r="E133" i="21"/>
  <c r="F133" i="21" s="1"/>
  <c r="G133" i="21" s="1"/>
  <c r="E131" i="21"/>
  <c r="F131" i="21" s="1"/>
  <c r="G131" i="21" s="1"/>
  <c r="E134" i="21"/>
  <c r="F134" i="21" s="1"/>
  <c r="G134" i="21" s="1"/>
  <c r="F129" i="21"/>
  <c r="G129" i="21" s="1"/>
  <c r="H176" i="16"/>
  <c r="E14" i="20" s="1"/>
  <c r="F14" i="20" s="1"/>
  <c r="G14" i="20" s="1"/>
  <c r="X331" i="16"/>
  <c r="X341" i="16"/>
  <c r="X356" i="16" s="1"/>
  <c r="AN331" i="16"/>
  <c r="E635" i="21" s="1"/>
  <c r="F635" i="21" s="1"/>
  <c r="AN341" i="16"/>
  <c r="AN356" i="16" s="1"/>
  <c r="H226" i="16"/>
  <c r="E16" i="20" s="1"/>
  <c r="F16" i="20" s="1"/>
  <c r="G16" i="20" s="1"/>
  <c r="AF331" i="16"/>
  <c r="AF341" i="16"/>
  <c r="AF356" i="16" s="1"/>
  <c r="AF279" i="16"/>
  <c r="E633" i="21" s="1"/>
  <c r="F633" i="21" s="1"/>
  <c r="E502" i="14"/>
  <c r="F502" i="14" s="1"/>
  <c r="G502" i="14" s="1"/>
  <c r="E502" i="17"/>
  <c r="F502" i="17" s="1"/>
  <c r="G502" i="17" s="1"/>
  <c r="E502" i="1"/>
  <c r="F502" i="1" s="1"/>
  <c r="G502" i="1" s="1"/>
  <c r="E502" i="19"/>
  <c r="F502" i="19" s="1"/>
  <c r="G502" i="19" s="1"/>
  <c r="E502" i="21"/>
  <c r="F502" i="21" s="1"/>
  <c r="G502" i="21" s="1"/>
  <c r="F239" i="21"/>
  <c r="G239" i="21" s="1"/>
  <c r="E258" i="21"/>
  <c r="F258" i="21" s="1"/>
  <c r="G258" i="21" s="1"/>
  <c r="F239" i="19"/>
  <c r="G239" i="19" s="1"/>
  <c r="E258" i="19"/>
  <c r="F258" i="19" s="1"/>
  <c r="G258" i="19" s="1"/>
  <c r="E6006" i="51"/>
  <c r="G6006" i="51" s="1"/>
  <c r="H6046" i="51"/>
  <c r="D175" i="33" s="1"/>
  <c r="G28" i="21"/>
  <c r="G97" i="1"/>
  <c r="AE230" i="16"/>
  <c r="AC283" i="16"/>
  <c r="AE283" i="16" s="1"/>
  <c r="G559" i="1"/>
  <c r="G420" i="14"/>
  <c r="G420" i="1"/>
  <c r="F602" i="17"/>
  <c r="G602" i="17" s="1"/>
  <c r="G838" i="15"/>
  <c r="F2426" i="15"/>
  <c r="G2426" i="15" s="1"/>
  <c r="H890" i="51"/>
  <c r="E851" i="51" s="1"/>
  <c r="G851" i="51" s="1"/>
  <c r="H857" i="51" s="1"/>
  <c r="H892" i="51" s="1"/>
  <c r="D37" i="33" s="1"/>
  <c r="H1767" i="51"/>
  <c r="H2490" i="51"/>
  <c r="E2452" i="51" s="1"/>
  <c r="G2452" i="51" s="1"/>
  <c r="H2459" i="51" s="1"/>
  <c r="H2492" i="51" s="1"/>
  <c r="D85" i="33" s="1"/>
  <c r="H988" i="51"/>
  <c r="H1719" i="51"/>
  <c r="E1681" i="51" s="1"/>
  <c r="G1681" i="51" s="1"/>
  <c r="H1688" i="51" s="1"/>
  <c r="H1721" i="51" s="1"/>
  <c r="D62" i="33" s="1"/>
  <c r="H3835" i="51"/>
  <c r="H1086" i="51"/>
  <c r="H1912" i="51"/>
  <c r="H2297" i="51"/>
  <c r="H3451" i="51"/>
  <c r="E3413" i="51" s="1"/>
  <c r="G3413" i="51" s="1"/>
  <c r="H3420" i="51" s="1"/>
  <c r="H3453" i="51" s="1"/>
  <c r="D105" i="33" s="1"/>
  <c r="H1284" i="51"/>
  <c r="H1864" i="51"/>
  <c r="H1866" i="51" s="1"/>
  <c r="D63" i="33" s="1"/>
  <c r="H2538" i="51"/>
  <c r="E2500" i="51" s="1"/>
  <c r="G2500" i="51" s="1"/>
  <c r="H2507" i="51" s="1"/>
  <c r="H2540" i="51" s="1"/>
  <c r="D86" i="33" s="1"/>
  <c r="H2682" i="51"/>
  <c r="E2644" i="51" s="1"/>
  <c r="G2644" i="51" s="1"/>
  <c r="H2651" i="51" s="1"/>
  <c r="H2684" i="51" s="1"/>
  <c r="D89" i="33" s="1"/>
  <c r="H4219" i="51"/>
  <c r="H2826" i="51"/>
  <c r="E2788" i="51" s="1"/>
  <c r="G2788" i="51" s="1"/>
  <c r="H2795" i="51" s="1"/>
  <c r="H2828" i="51" s="1"/>
  <c r="D92" i="33" s="1"/>
  <c r="H5284" i="51"/>
  <c r="E5247" i="51" s="1"/>
  <c r="G5247" i="51" s="1"/>
  <c r="H5253" i="51" s="1"/>
  <c r="H5286" i="51" s="1"/>
  <c r="D162" i="33" s="1"/>
  <c r="H4171" i="51"/>
  <c r="H3787" i="51"/>
  <c r="H5185" i="51"/>
  <c r="E5146" i="51" s="1"/>
  <c r="G5146" i="51" s="1"/>
  <c r="H5152" i="51" s="1"/>
  <c r="H5187" i="51" s="1"/>
  <c r="D159" i="33" s="1"/>
  <c r="H6679" i="51"/>
  <c r="H4653" i="51"/>
  <c r="H5382" i="51"/>
  <c r="H6779" i="51"/>
  <c r="E6740" i="51" s="1"/>
  <c r="G6740" i="51" s="1"/>
  <c r="H6746" i="51" s="1"/>
  <c r="H6781" i="51" s="1"/>
  <c r="D195" i="33" s="1"/>
  <c r="H3115" i="51"/>
  <c r="E3077" i="51" s="1"/>
  <c r="G3077" i="51" s="1"/>
  <c r="H3084" i="51" s="1"/>
  <c r="H3117" i="51" s="1"/>
  <c r="D98" i="33" s="1"/>
  <c r="H4363" i="51"/>
  <c r="H1527" i="51"/>
  <c r="H1529" i="51" s="1"/>
  <c r="D64" i="33" s="1"/>
  <c r="H395" i="51"/>
  <c r="E356" i="51" s="1"/>
  <c r="G356" i="51" s="1"/>
  <c r="H362" i="51" s="1"/>
  <c r="H397" i="51" s="1"/>
  <c r="F241" i="17"/>
  <c r="G241" i="17" s="1"/>
  <c r="E563" i="21"/>
  <c r="F563" i="21" s="1"/>
  <c r="G563" i="21" s="1"/>
  <c r="E563" i="17"/>
  <c r="F563" i="17" s="1"/>
  <c r="G563" i="17" s="1"/>
  <c r="E563" i="19"/>
  <c r="F563" i="19" s="1"/>
  <c r="G563" i="19" s="1"/>
  <c r="E563" i="14"/>
  <c r="F563" i="14" s="1"/>
  <c r="G563" i="14" s="1"/>
  <c r="E563" i="1"/>
  <c r="F563" i="1" s="1"/>
  <c r="G563" i="1" s="1"/>
  <c r="E131" i="14"/>
  <c r="F131" i="14" s="1"/>
  <c r="G131" i="14" s="1"/>
  <c r="F129" i="14"/>
  <c r="G129" i="14" s="1"/>
  <c r="E130" i="14"/>
  <c r="F130" i="14" s="1"/>
  <c r="G130" i="14" s="1"/>
  <c r="E134" i="14"/>
  <c r="F134" i="14" s="1"/>
  <c r="G134" i="14" s="1"/>
  <c r="E133" i="14"/>
  <c r="F133" i="14" s="1"/>
  <c r="G133" i="14" s="1"/>
  <c r="E132" i="14"/>
  <c r="F132" i="14" s="1"/>
  <c r="G132" i="14" s="1"/>
  <c r="H279" i="16"/>
  <c r="E18" i="20" s="1"/>
  <c r="F18" i="20" s="1"/>
  <c r="G18" i="20" s="1"/>
  <c r="P124" i="16"/>
  <c r="H385" i="16"/>
  <c r="H400" i="16" s="1"/>
  <c r="H383" i="16"/>
  <c r="AF176" i="16"/>
  <c r="E629" i="21" s="1"/>
  <c r="F629" i="21" s="1"/>
  <c r="H331" i="16"/>
  <c r="E20" i="20" s="1"/>
  <c r="F20" i="20" s="1"/>
  <c r="G20" i="20" s="1"/>
  <c r="H341" i="16"/>
  <c r="H356" i="16" s="1"/>
  <c r="H124" i="16"/>
  <c r="E12" i="20" s="1"/>
  <c r="F12" i="20" s="1"/>
  <c r="G12" i="20" s="1"/>
  <c r="AN124" i="16"/>
  <c r="E627" i="21" s="1"/>
  <c r="F627" i="21" s="1"/>
  <c r="AC30" i="16"/>
  <c r="AE30" i="16" s="1"/>
  <c r="G30" i="16"/>
  <c r="H31" i="16" s="1"/>
  <c r="H46" i="16" s="1"/>
  <c r="E258" i="14"/>
  <c r="F258" i="14" s="1"/>
  <c r="G258" i="14" s="1"/>
  <c r="F239" i="14"/>
  <c r="G239" i="14" s="1"/>
  <c r="G28" i="14"/>
  <c r="G97" i="17"/>
  <c r="M283" i="16"/>
  <c r="G283" i="16"/>
  <c r="G559" i="14"/>
  <c r="G559" i="17"/>
  <c r="G178" i="16"/>
  <c r="M178" i="16"/>
  <c r="G420" i="19"/>
  <c r="E216" i="1"/>
  <c r="F216" i="1" s="1"/>
  <c r="G216" i="1" s="1"/>
  <c r="G28" i="1"/>
  <c r="G838" i="18"/>
  <c r="F2426" i="18"/>
  <c r="G2426" i="18" s="1"/>
  <c r="H543" i="51"/>
  <c r="H1333" i="51"/>
  <c r="H2249" i="51"/>
  <c r="H3595" i="51"/>
  <c r="H1575" i="51"/>
  <c r="E1537" i="51" s="1"/>
  <c r="G1537" i="51" s="1"/>
  <c r="H1544" i="51" s="1"/>
  <c r="H1577" i="51" s="1"/>
  <c r="D59" i="33" s="1"/>
  <c r="H1960" i="51"/>
  <c r="H740" i="51"/>
  <c r="E701" i="51" s="1"/>
  <c r="G701" i="51" s="1"/>
  <c r="H707" i="51" s="1"/>
  <c r="H742" i="51" s="1"/>
  <c r="D34" i="33" s="1"/>
  <c r="H1671" i="51"/>
  <c r="E1633" i="51" s="1"/>
  <c r="G1633" i="51" s="1"/>
  <c r="H1640" i="51" s="1"/>
  <c r="H1673" i="51" s="1"/>
  <c r="D61" i="33" s="1"/>
  <c r="H2056" i="51"/>
  <c r="H3643" i="51"/>
  <c r="H445" i="51"/>
  <c r="E406" i="51" s="1"/>
  <c r="G406" i="51" s="1"/>
  <c r="H412" i="51" s="1"/>
  <c r="H447" i="51" s="1"/>
  <c r="D21" i="33" s="1"/>
  <c r="H246" i="51"/>
  <c r="E207" i="51" s="1"/>
  <c r="G207" i="51" s="1"/>
  <c r="H213" i="51" s="1"/>
  <c r="H248" i="51" s="1"/>
  <c r="D15" i="33" s="1"/>
  <c r="H2153" i="51"/>
  <c r="H2393" i="51"/>
  <c r="E2355" i="51" s="1"/>
  <c r="G2355" i="51" s="1"/>
  <c r="H2362" i="51" s="1"/>
  <c r="H2395" i="51" s="1"/>
  <c r="D83" i="33" s="1"/>
  <c r="H2730" i="51"/>
  <c r="E2692" i="51" s="1"/>
  <c r="G2692" i="51" s="1"/>
  <c r="H2699" i="51" s="1"/>
  <c r="H2732" i="51" s="1"/>
  <c r="D90" i="33" s="1"/>
  <c r="H3163" i="51"/>
  <c r="E3125" i="51" s="1"/>
  <c r="G3125" i="51" s="1"/>
  <c r="H3132" i="51" s="1"/>
  <c r="H3165" i="51" s="1"/>
  <c r="D99" i="33" s="1"/>
  <c r="H3547" i="51"/>
  <c r="E3509" i="51" s="1"/>
  <c r="G3509" i="51" s="1"/>
  <c r="H3516" i="51" s="1"/>
  <c r="H3549" i="51" s="1"/>
  <c r="D112" i="33" s="1"/>
  <c r="E6491" i="51"/>
  <c r="G6491" i="51" s="1"/>
  <c r="H6497" i="51" s="1"/>
  <c r="H6531" i="51" s="1"/>
  <c r="D120" i="33" s="1"/>
  <c r="H3211" i="51"/>
  <c r="E3173" i="51" s="1"/>
  <c r="G3173" i="51" s="1"/>
  <c r="H3180" i="51" s="1"/>
  <c r="H3213" i="51" s="1"/>
  <c r="D100" i="33" s="1"/>
  <c r="H3499" i="51"/>
  <c r="E3461" i="51" s="1"/>
  <c r="G3461" i="51" s="1"/>
  <c r="H3468" i="51" s="1"/>
  <c r="H3501" i="51" s="1"/>
  <c r="D106" i="33" s="1"/>
  <c r="H4267" i="51"/>
  <c r="H5565" i="51"/>
  <c r="E5527" i="51" s="1"/>
  <c r="G5527" i="51" s="1"/>
  <c r="H5534" i="51" s="1"/>
  <c r="H5567" i="51" s="1"/>
  <c r="D165" i="33" s="1"/>
  <c r="H4315" i="51"/>
  <c r="H5333" i="51"/>
  <c r="H6579" i="51"/>
  <c r="H6830" i="51"/>
  <c r="E6791" i="51" s="1"/>
  <c r="G6791" i="51" s="1"/>
  <c r="H6797" i="51" s="1"/>
  <c r="H6832" i="51" s="1"/>
  <c r="D196" i="33" s="1"/>
  <c r="H3691" i="51"/>
  <c r="H4507" i="51"/>
  <c r="H5422" i="51"/>
  <c r="E5392" i="51" s="1"/>
  <c r="G5392" i="51" s="1"/>
  <c r="H5398" i="51" s="1"/>
  <c r="H5424" i="51" s="1"/>
  <c r="D188" i="33" s="1"/>
  <c r="F115" i="40" s="1"/>
  <c r="F125" i="40" s="1"/>
  <c r="C26" i="42" s="1"/>
  <c r="C45" i="42" s="1"/>
  <c r="H198" i="51"/>
  <c r="E159" i="51" s="1"/>
  <c r="G159" i="51" s="1"/>
  <c r="H165" i="51" s="1"/>
  <c r="H200" i="51" s="1"/>
  <c r="H1235" i="51"/>
  <c r="E260" i="1"/>
  <c r="F260" i="1" s="1"/>
  <c r="G260" i="1" s="1"/>
  <c r="E564" i="14"/>
  <c r="F564" i="14" s="1"/>
  <c r="G564" i="14" s="1"/>
  <c r="E564" i="17"/>
  <c r="F564" i="17" s="1"/>
  <c r="G564" i="17" s="1"/>
  <c r="E564" i="1"/>
  <c r="F564" i="1" s="1"/>
  <c r="G564" i="1" s="1"/>
  <c r="E564" i="19"/>
  <c r="F564" i="19" s="1"/>
  <c r="G564" i="19" s="1"/>
  <c r="E564" i="21"/>
  <c r="F564" i="21" s="1"/>
  <c r="G564" i="21" s="1"/>
  <c r="E131" i="1"/>
  <c r="F131" i="1" s="1"/>
  <c r="G131" i="1" s="1"/>
  <c r="E130" i="1"/>
  <c r="F130" i="1" s="1"/>
  <c r="G130" i="1" s="1"/>
  <c r="E133" i="1"/>
  <c r="F133" i="1" s="1"/>
  <c r="G133" i="1" s="1"/>
  <c r="E132" i="1"/>
  <c r="F132" i="1" s="1"/>
  <c r="G132" i="1" s="1"/>
  <c r="E134" i="1"/>
  <c r="F134" i="1" s="1"/>
  <c r="G134" i="1" s="1"/>
  <c r="F129" i="1"/>
  <c r="G129" i="1" s="1"/>
  <c r="P176" i="16"/>
  <c r="AF124" i="16"/>
  <c r="P73" i="16"/>
  <c r="AF237" i="16"/>
  <c r="AF252" i="16" s="1"/>
  <c r="AF226" i="16"/>
  <c r="P279" i="16"/>
  <c r="X176" i="16"/>
  <c r="E500" i="19"/>
  <c r="F500" i="19" s="1"/>
  <c r="G500" i="19" s="1"/>
  <c r="E1164" i="8"/>
  <c r="G1164" i="8" s="1"/>
  <c r="H1171" i="8" s="1"/>
  <c r="H1190" i="8" s="1"/>
  <c r="E501" i="19"/>
  <c r="F501" i="19" s="1"/>
  <c r="G501" i="19" s="1"/>
  <c r="E500" i="14"/>
  <c r="F500" i="14" s="1"/>
  <c r="G500" i="14" s="1"/>
  <c r="E500" i="21"/>
  <c r="F500" i="21" s="1"/>
  <c r="G500" i="21" s="1"/>
  <c r="E501" i="14"/>
  <c r="F501" i="14" s="1"/>
  <c r="G501" i="14" s="1"/>
  <c r="E500" i="1"/>
  <c r="F500" i="1" s="1"/>
  <c r="G500" i="1" s="1"/>
  <c r="E501" i="21"/>
  <c r="F501" i="21" s="1"/>
  <c r="G501" i="21" s="1"/>
  <c r="E501" i="17"/>
  <c r="F501" i="17" s="1"/>
  <c r="G501" i="17" s="1"/>
  <c r="E501" i="1"/>
  <c r="F501" i="1" s="1"/>
  <c r="G501" i="1" s="1"/>
  <c r="F239" i="17"/>
  <c r="G239" i="17" s="1"/>
  <c r="E258" i="17"/>
  <c r="F258" i="17" s="1"/>
  <c r="G258" i="17" s="1"/>
  <c r="U79" i="41"/>
  <c r="F609" i="21"/>
  <c r="G609" i="21" s="1"/>
  <c r="B542" i="27"/>
  <c r="D542" i="27" s="1"/>
  <c r="D543" i="27" s="1"/>
  <c r="G288" i="16"/>
  <c r="M288" i="16"/>
  <c r="G97" i="19"/>
  <c r="G97" i="21"/>
  <c r="E424" i="21"/>
  <c r="F424" i="21" s="1"/>
  <c r="G424" i="21" s="1"/>
  <c r="E424" i="14"/>
  <c r="F424" i="14" s="1"/>
  <c r="G424" i="14" s="1"/>
  <c r="E424" i="17"/>
  <c r="F424" i="17" s="1"/>
  <c r="G424" i="17" s="1"/>
  <c r="E424" i="1"/>
  <c r="F424" i="1" s="1"/>
  <c r="G424" i="1" s="1"/>
  <c r="E424" i="19"/>
  <c r="F424" i="19" s="1"/>
  <c r="G424" i="19" s="1"/>
  <c r="G559" i="21"/>
  <c r="AC126" i="16"/>
  <c r="AE126" i="16" s="1"/>
  <c r="W126" i="16"/>
  <c r="G28" i="17"/>
  <c r="G420" i="21"/>
  <c r="E216" i="17"/>
  <c r="F216" i="17" s="1"/>
  <c r="G216" i="17" s="1"/>
  <c r="E423" i="21"/>
  <c r="F423" i="21" s="1"/>
  <c r="G423" i="21" s="1"/>
  <c r="E423" i="14"/>
  <c r="F423" i="14" s="1"/>
  <c r="G423" i="14" s="1"/>
  <c r="E423" i="17"/>
  <c r="F423" i="17" s="1"/>
  <c r="G423" i="17" s="1"/>
  <c r="E423" i="1"/>
  <c r="F423" i="1" s="1"/>
  <c r="G423" i="1" s="1"/>
  <c r="E423" i="19"/>
  <c r="F423" i="19" s="1"/>
  <c r="G423" i="19" s="1"/>
  <c r="M287" i="16"/>
  <c r="G287" i="16"/>
  <c r="H494" i="51"/>
  <c r="H496" i="51" s="1"/>
  <c r="D25" i="33" s="1"/>
  <c r="H345" i="51"/>
  <c r="E306" i="51" s="1"/>
  <c r="G306" i="51" s="1"/>
  <c r="H312" i="51" s="1"/>
  <c r="H347" i="51" s="1"/>
  <c r="D19" i="33" s="1"/>
  <c r="H2586" i="51"/>
  <c r="E2548" i="51" s="1"/>
  <c r="G2548" i="51" s="1"/>
  <c r="H2555" i="51" s="1"/>
  <c r="H2588" i="51" s="1"/>
  <c r="D87" i="33" s="1"/>
  <c r="H1430" i="51"/>
  <c r="H1186" i="51"/>
  <c r="E1147" i="51" s="1"/>
  <c r="G1147" i="51" s="1"/>
  <c r="H1153" i="51" s="1"/>
  <c r="H1188" i="51" s="1"/>
  <c r="D47" i="33" s="1"/>
  <c r="H3067" i="51"/>
  <c r="E3029" i="51" s="1"/>
  <c r="G3029" i="51" s="1"/>
  <c r="H3036" i="51" s="1"/>
  <c r="H3069" i="51" s="1"/>
  <c r="D97" i="33" s="1"/>
  <c r="H789" i="51"/>
  <c r="E750" i="51" s="1"/>
  <c r="G750" i="51" s="1"/>
  <c r="H756" i="51" s="1"/>
  <c r="H791" i="51" s="1"/>
  <c r="D35" i="33" s="1"/>
  <c r="H1037" i="51"/>
  <c r="H2008" i="51"/>
  <c r="H2634" i="51"/>
  <c r="E2596" i="51" s="1"/>
  <c r="G2596" i="51" s="1"/>
  <c r="H2603" i="51" s="1"/>
  <c r="H2636" i="51" s="1"/>
  <c r="D88" i="33" s="1"/>
  <c r="H593" i="51"/>
  <c r="H595" i="51" s="1"/>
  <c r="H1381" i="51"/>
  <c r="H2201" i="51"/>
  <c r="H3403" i="51"/>
  <c r="E3365" i="51" s="1"/>
  <c r="G3365" i="51" s="1"/>
  <c r="H3372" i="51" s="1"/>
  <c r="H3405" i="51" s="1"/>
  <c r="D104" i="33" s="1"/>
  <c r="H3307" i="51"/>
  <c r="E3269" i="51" s="1"/>
  <c r="G3269" i="51" s="1"/>
  <c r="H3276" i="51" s="1"/>
  <c r="H3309" i="51" s="1"/>
  <c r="D102" i="33" s="1"/>
  <c r="H3883" i="51"/>
  <c r="H5237" i="51"/>
  <c r="H3979" i="51"/>
  <c r="H2778" i="51"/>
  <c r="E2740" i="51" s="1"/>
  <c r="G2740" i="51" s="1"/>
  <c r="H2747" i="51" s="1"/>
  <c r="H2780" i="51" s="1"/>
  <c r="D91" i="33" s="1"/>
  <c r="H4411" i="51"/>
  <c r="H4556" i="51"/>
  <c r="E4518" i="51" s="1"/>
  <c r="G4518" i="51" s="1"/>
  <c r="H4524" i="51" s="1"/>
  <c r="H4558" i="51" s="1"/>
  <c r="D142" i="33" s="1"/>
  <c r="H5517" i="51"/>
  <c r="E5479" i="51" s="1"/>
  <c r="G5479" i="51" s="1"/>
  <c r="H5486" i="51" s="1"/>
  <c r="H5519" i="51" s="1"/>
  <c r="D164" i="33" s="1"/>
  <c r="H6629" i="51"/>
  <c r="H6880" i="51"/>
  <c r="E6841" i="51" s="1"/>
  <c r="G6841" i="51" s="1"/>
  <c r="H6847" i="51" s="1"/>
  <c r="H6882" i="51" s="1"/>
  <c r="H2874" i="51"/>
  <c r="E2836" i="51" s="1"/>
  <c r="G2836" i="51" s="1"/>
  <c r="H2843" i="51" s="1"/>
  <c r="H2876" i="51" s="1"/>
  <c r="D93" i="33" s="1"/>
  <c r="H3355" i="51"/>
  <c r="E3317" i="51" s="1"/>
  <c r="G3317" i="51" s="1"/>
  <c r="H3324" i="51" s="1"/>
  <c r="H3357" i="51" s="1"/>
  <c r="D103" i="33" s="1"/>
  <c r="H5038" i="51"/>
  <c r="H6930" i="51"/>
  <c r="E6892" i="51" s="1"/>
  <c r="G6892" i="51" s="1"/>
  <c r="H6898" i="51" s="1"/>
  <c r="E260" i="19"/>
  <c r="F260" i="19" s="1"/>
  <c r="G260" i="19" s="1"/>
  <c r="F241" i="19"/>
  <c r="G241" i="19" s="1"/>
  <c r="E131" i="19"/>
  <c r="F131" i="19" s="1"/>
  <c r="G131" i="19" s="1"/>
  <c r="E130" i="19"/>
  <c r="F130" i="19" s="1"/>
  <c r="G130" i="19" s="1"/>
  <c r="E134" i="19"/>
  <c r="F134" i="19" s="1"/>
  <c r="G134" i="19" s="1"/>
  <c r="F129" i="19"/>
  <c r="G129" i="19" s="1"/>
  <c r="E133" i="19"/>
  <c r="F133" i="19" s="1"/>
  <c r="G133" i="19" s="1"/>
  <c r="E132" i="19"/>
  <c r="F132" i="19" s="1"/>
  <c r="G132" i="19" s="1"/>
  <c r="E133" i="17"/>
  <c r="F133" i="17" s="1"/>
  <c r="G133" i="17" s="1"/>
  <c r="E131" i="17"/>
  <c r="F131" i="17" s="1"/>
  <c r="G131" i="17" s="1"/>
  <c r="E134" i="17"/>
  <c r="F134" i="17" s="1"/>
  <c r="G134" i="17" s="1"/>
  <c r="E132" i="17"/>
  <c r="F132" i="17" s="1"/>
  <c r="G132" i="17" s="1"/>
  <c r="E130" i="17"/>
  <c r="F130" i="17" s="1"/>
  <c r="G130" i="17" s="1"/>
  <c r="F129" i="17"/>
  <c r="G129" i="17" s="1"/>
  <c r="P226" i="16"/>
  <c r="P331" i="16"/>
  <c r="P341" i="16"/>
  <c r="P356" i="16" s="1"/>
  <c r="X226" i="16"/>
  <c r="E631" i="21" s="1"/>
  <c r="F631" i="21" s="1"/>
  <c r="H73" i="16"/>
  <c r="H80" i="16"/>
  <c r="H95" i="16" s="1"/>
  <c r="H24" i="16"/>
  <c r="E10" i="20" s="1"/>
  <c r="P24" i="16"/>
  <c r="X279" i="16"/>
  <c r="AF24" i="16"/>
  <c r="E625" i="21" s="1"/>
  <c r="F625" i="21" s="1"/>
  <c r="E258" i="1"/>
  <c r="F258" i="1" s="1"/>
  <c r="G258" i="1" s="1"/>
  <c r="F239" i="1"/>
  <c r="G239" i="1" s="1"/>
  <c r="C48" i="42" l="1"/>
  <c r="C49" i="42" s="1"/>
  <c r="C47" i="42"/>
  <c r="C46" i="42"/>
  <c r="C52" i="42" s="1"/>
  <c r="C58" i="42" s="1"/>
  <c r="E216" i="14"/>
  <c r="F216" i="14" s="1"/>
  <c r="G216" i="14" s="1"/>
  <c r="U282" i="16"/>
  <c r="W282" i="16" s="1"/>
  <c r="O282" i="16"/>
  <c r="E639" i="21"/>
  <c r="F59" i="24" s="1"/>
  <c r="G59" i="24" s="1"/>
  <c r="E25" i="20"/>
  <c r="F25" i="20" s="1"/>
  <c r="G25" i="20" s="1"/>
  <c r="E601" i="19"/>
  <c r="F601" i="19" s="1"/>
  <c r="G601" i="19" s="1"/>
  <c r="F215" i="14"/>
  <c r="G215" i="14" s="1"/>
  <c r="E606" i="19"/>
  <c r="F606" i="19" s="1"/>
  <c r="G606" i="19" s="1"/>
  <c r="F215" i="17"/>
  <c r="G215" i="17" s="1"/>
  <c r="F215" i="1"/>
  <c r="G215" i="1" s="1"/>
  <c r="H184" i="16"/>
  <c r="H199" i="16" s="1"/>
  <c r="E588" i="19" s="1"/>
  <c r="F588" i="19" s="1"/>
  <c r="G588" i="19" s="1"/>
  <c r="E18" i="42"/>
  <c r="F18" i="42"/>
  <c r="R42" i="52"/>
  <c r="Y42" i="52"/>
  <c r="X42" i="52"/>
  <c r="U42" i="52"/>
  <c r="T42" i="52"/>
  <c r="Q42" i="52"/>
  <c r="P42" i="52"/>
  <c r="S42" i="52"/>
  <c r="Z42" i="52"/>
  <c r="W42" i="52"/>
  <c r="V42" i="52"/>
  <c r="O42" i="52"/>
  <c r="W28" i="52"/>
  <c r="U28" i="52"/>
  <c r="Z28" i="52"/>
  <c r="X28" i="52"/>
  <c r="S28" i="52"/>
  <c r="T28" i="52"/>
  <c r="R28" i="52"/>
  <c r="Y28" i="52"/>
  <c r="Q28" i="52"/>
  <c r="V28" i="52"/>
  <c r="P28" i="52"/>
  <c r="O28" i="52"/>
  <c r="Y34" i="52"/>
  <c r="W34" i="52"/>
  <c r="R34" i="52"/>
  <c r="P34" i="52"/>
  <c r="X34" i="52"/>
  <c r="V34" i="52"/>
  <c r="U34" i="52"/>
  <c r="T34" i="52"/>
  <c r="O34" i="52"/>
  <c r="Z34" i="52"/>
  <c r="S34" i="52"/>
  <c r="Q34" i="52"/>
  <c r="AA19" i="52"/>
  <c r="AA22" i="52"/>
  <c r="B16" i="52"/>
  <c r="U16" i="52" s="1"/>
  <c r="X31" i="16"/>
  <c r="X46" i="16" s="1"/>
  <c r="E112" i="1"/>
  <c r="F112" i="1" s="1"/>
  <c r="G112" i="1" s="1"/>
  <c r="E112" i="17"/>
  <c r="F112" i="17" s="1"/>
  <c r="G112" i="17" s="1"/>
  <c r="E112" i="19"/>
  <c r="F112" i="19" s="1"/>
  <c r="G112" i="19" s="1"/>
  <c r="E112" i="14"/>
  <c r="F112" i="14" s="1"/>
  <c r="G112" i="14" s="1"/>
  <c r="E112" i="21"/>
  <c r="F112" i="21" s="1"/>
  <c r="G112" i="21" s="1"/>
  <c r="D291" i="6"/>
  <c r="O237" i="6"/>
  <c r="P248" i="6" s="1"/>
  <c r="P267" i="6" s="1"/>
  <c r="AF31" i="16"/>
  <c r="AF46" i="16" s="1"/>
  <c r="E2441" i="22" s="1"/>
  <c r="F242" i="21"/>
  <c r="G242" i="21" s="1"/>
  <c r="E261" i="21"/>
  <c r="F261" i="21" s="1"/>
  <c r="G261" i="21" s="1"/>
  <c r="F242" i="1"/>
  <c r="G242" i="1" s="1"/>
  <c r="E261" i="1"/>
  <c r="F261" i="1" s="1"/>
  <c r="G261" i="1" s="1"/>
  <c r="E243" i="1"/>
  <c r="E243" i="19"/>
  <c r="E243" i="17"/>
  <c r="E243" i="14"/>
  <c r="E243" i="21"/>
  <c r="F242" i="19"/>
  <c r="G242" i="19" s="1"/>
  <c r="E261" i="19"/>
  <c r="F261" i="19" s="1"/>
  <c r="G261" i="19" s="1"/>
  <c r="L1479" i="6"/>
  <c r="G1479" i="6"/>
  <c r="H1490" i="6" s="1"/>
  <c r="H1509" i="6" s="1"/>
  <c r="F242" i="17"/>
  <c r="G242" i="17" s="1"/>
  <c r="E261" i="17"/>
  <c r="F261" i="17" s="1"/>
  <c r="G261" i="17" s="1"/>
  <c r="E261" i="14"/>
  <c r="F261" i="14" s="1"/>
  <c r="G261" i="14" s="1"/>
  <c r="F242" i="14"/>
  <c r="G242" i="14" s="1"/>
  <c r="E580" i="19"/>
  <c r="F580" i="19" s="1"/>
  <c r="G580" i="19" s="1"/>
  <c r="D27" i="33"/>
  <c r="F576" i="21"/>
  <c r="G576" i="21" s="1"/>
  <c r="E600" i="19"/>
  <c r="F600" i="19" s="1"/>
  <c r="G600" i="19" s="1"/>
  <c r="U232" i="16"/>
  <c r="W232" i="16" s="1"/>
  <c r="X237" i="16" s="1"/>
  <c r="X252" i="16" s="1"/>
  <c r="E594" i="19" s="1"/>
  <c r="F594" i="19" s="1"/>
  <c r="G594" i="19" s="1"/>
  <c r="O232" i="16"/>
  <c r="P237" i="16" s="1"/>
  <c r="P252" i="16" s="1"/>
  <c r="E593" i="19" s="1"/>
  <c r="F593" i="19" s="1"/>
  <c r="G593" i="19" s="1"/>
  <c r="O180" i="16"/>
  <c r="U180" i="16"/>
  <c r="M284" i="16"/>
  <c r="AC284" i="16"/>
  <c r="AE284" i="16" s="1"/>
  <c r="G284" i="16"/>
  <c r="H289" i="16" s="1"/>
  <c r="H304" i="16" s="1"/>
  <c r="E596" i="19" s="1"/>
  <c r="F596" i="19" s="1"/>
  <c r="G596" i="19" s="1"/>
  <c r="U130" i="16"/>
  <c r="O130" i="16"/>
  <c r="P134" i="16" s="1"/>
  <c r="P149" i="16" s="1"/>
  <c r="E2211" i="51"/>
  <c r="G2211" i="51" s="1"/>
  <c r="H2217" i="51" s="1"/>
  <c r="H2251" i="51" s="1"/>
  <c r="D80" i="33" s="1"/>
  <c r="E583" i="19"/>
  <c r="F583" i="19" s="1"/>
  <c r="G583" i="19" s="1"/>
  <c r="E2259" i="51"/>
  <c r="G2259" i="51" s="1"/>
  <c r="H2265" i="51" s="1"/>
  <c r="H2299" i="51" s="1"/>
  <c r="D81" i="33" s="1"/>
  <c r="E603" i="19"/>
  <c r="F603" i="19" s="1"/>
  <c r="G603" i="19" s="1"/>
  <c r="E3893" i="51"/>
  <c r="G3893" i="51" s="1"/>
  <c r="H3899" i="51" s="1"/>
  <c r="H3933" i="51" s="1"/>
  <c r="D125" i="33" s="1"/>
  <c r="E4952" i="51"/>
  <c r="G4952" i="51" s="1"/>
  <c r="H4958" i="51" s="1"/>
  <c r="H4992" i="51" s="1"/>
  <c r="D153" i="33" s="1"/>
  <c r="E3989" i="51"/>
  <c r="G3989" i="51" s="1"/>
  <c r="H3995" i="51" s="1"/>
  <c r="H4029" i="51" s="1"/>
  <c r="D127" i="33" s="1"/>
  <c r="F484" i="17"/>
  <c r="G484" i="17" s="1"/>
  <c r="E5000" i="51"/>
  <c r="G5000" i="51" s="1"/>
  <c r="H5006" i="51" s="1"/>
  <c r="H5040" i="51" s="1"/>
  <c r="D154" i="33" s="1"/>
  <c r="D137" i="33"/>
  <c r="E4373" i="51"/>
  <c r="G4373" i="51" s="1"/>
  <c r="H4379" i="51" s="1"/>
  <c r="H4413" i="51" s="1"/>
  <c r="E2163" i="51"/>
  <c r="G2163" i="51" s="1"/>
  <c r="H2169" i="51" s="1"/>
  <c r="H2203" i="51" s="1"/>
  <c r="D79" i="33" s="1"/>
  <c r="E1970" i="51"/>
  <c r="G1970" i="51" s="1"/>
  <c r="H1976" i="51" s="1"/>
  <c r="H2010" i="51" s="1"/>
  <c r="D75" i="33" s="1"/>
  <c r="O287" i="16"/>
  <c r="U287" i="16"/>
  <c r="U288" i="16"/>
  <c r="O288" i="16"/>
  <c r="E2447" i="22"/>
  <c r="E4229" i="51"/>
  <c r="G4229" i="51" s="1"/>
  <c r="H4235" i="51" s="1"/>
  <c r="H4269" i="51" s="1"/>
  <c r="D134" i="33" s="1"/>
  <c r="E5344" i="51"/>
  <c r="G5344" i="51" s="1"/>
  <c r="H5350" i="51" s="1"/>
  <c r="H5384" i="51" s="1"/>
  <c r="D161" i="33" s="1"/>
  <c r="E3749" i="51"/>
  <c r="G3749" i="51" s="1"/>
  <c r="H3755" i="51" s="1"/>
  <c r="H3789" i="51" s="1"/>
  <c r="D119" i="33" s="1"/>
  <c r="E1874" i="51"/>
  <c r="G1874" i="51" s="1"/>
  <c r="H1881" i="51" s="1"/>
  <c r="H1914" i="51" s="1"/>
  <c r="D71" i="33" s="1"/>
  <c r="E950" i="51"/>
  <c r="G950" i="51" s="1"/>
  <c r="H956" i="51" s="1"/>
  <c r="H990" i="51" s="1"/>
  <c r="D41" i="33" s="1"/>
  <c r="E2451" i="22"/>
  <c r="F55" i="24" s="1"/>
  <c r="G55" i="24" s="1"/>
  <c r="E581" i="19"/>
  <c r="F581" i="19" s="1"/>
  <c r="G581" i="19" s="1"/>
  <c r="E4903" i="51"/>
  <c r="G4903" i="51" s="1"/>
  <c r="H4909" i="51" s="1"/>
  <c r="H4943" i="51" s="1"/>
  <c r="D152" i="33" s="1"/>
  <c r="E4421" i="51"/>
  <c r="G4421" i="51" s="1"/>
  <c r="H4427" i="51" s="1"/>
  <c r="H4461" i="51" s="1"/>
  <c r="D138" i="33" s="1"/>
  <c r="E5097" i="51"/>
  <c r="G5097" i="51" s="1"/>
  <c r="H5103" i="51" s="1"/>
  <c r="H5137" i="51" s="1"/>
  <c r="D158" i="33" s="1"/>
  <c r="E2307" i="51"/>
  <c r="G2307" i="51" s="1"/>
  <c r="H2313" i="51" s="1"/>
  <c r="H2347" i="51" s="1"/>
  <c r="D82" i="33" s="1"/>
  <c r="E2067" i="51"/>
  <c r="G2067" i="51" s="1"/>
  <c r="H2073" i="51" s="1"/>
  <c r="H2107" i="51" s="1"/>
  <c r="D77" i="33" s="1"/>
  <c r="E603" i="51"/>
  <c r="G603" i="51" s="1"/>
  <c r="H609" i="51" s="1"/>
  <c r="H643" i="51" s="1"/>
  <c r="D30" i="33" s="1"/>
  <c r="E6901" i="51"/>
  <c r="G6901" i="51" s="1"/>
  <c r="D14" i="33"/>
  <c r="E6590" i="51"/>
  <c r="G6590" i="51" s="1"/>
  <c r="H6596" i="51" s="1"/>
  <c r="H6631" i="51" s="1"/>
  <c r="D192" i="33" s="1"/>
  <c r="E5196" i="51"/>
  <c r="G5196" i="51" s="1"/>
  <c r="H5202" i="51" s="1"/>
  <c r="E1922" i="51"/>
  <c r="G1922" i="51" s="1"/>
  <c r="H1929" i="51" s="1"/>
  <c r="H1962" i="51" s="1"/>
  <c r="D72" i="33" s="1"/>
  <c r="F576" i="17"/>
  <c r="G576" i="17" s="1"/>
  <c r="E3845" i="51"/>
  <c r="G3845" i="51" s="1"/>
  <c r="H3851" i="51" s="1"/>
  <c r="H3885" i="51" s="1"/>
  <c r="D124" i="33" s="1"/>
  <c r="E999" i="51"/>
  <c r="G999" i="51" s="1"/>
  <c r="H1005" i="51" s="1"/>
  <c r="H1039" i="51" s="1"/>
  <c r="D42" i="33" s="1"/>
  <c r="E1392" i="51"/>
  <c r="G1392" i="51" s="1"/>
  <c r="H1398" i="51" s="1"/>
  <c r="H1432" i="51" s="1"/>
  <c r="D57" i="33" s="1"/>
  <c r="F484" i="21"/>
  <c r="G484" i="21" s="1"/>
  <c r="E4469" i="51"/>
  <c r="G4469" i="51" s="1"/>
  <c r="H4475" i="51" s="1"/>
  <c r="H4509" i="51" s="1"/>
  <c r="D139" i="33" s="1"/>
  <c r="E5295" i="51"/>
  <c r="G5295" i="51" s="1"/>
  <c r="H5301" i="51" s="1"/>
  <c r="H5335" i="51" s="1"/>
  <c r="D163" i="33" s="1"/>
  <c r="E2115" i="51"/>
  <c r="G2115" i="51" s="1"/>
  <c r="H2121" i="51" s="1"/>
  <c r="H2155" i="51" s="1"/>
  <c r="D78" i="33" s="1"/>
  <c r="E2018" i="51"/>
  <c r="G2018" i="51" s="1"/>
  <c r="H2024" i="51" s="1"/>
  <c r="H2058" i="51" s="1"/>
  <c r="D76" i="33" s="1"/>
  <c r="E505" i="51"/>
  <c r="G505" i="51" s="1"/>
  <c r="H511" i="51" s="1"/>
  <c r="H545" i="51" s="1"/>
  <c r="D26" i="33" s="1"/>
  <c r="F484" i="19"/>
  <c r="G484" i="19" s="1"/>
  <c r="O283" i="16"/>
  <c r="U283" i="16"/>
  <c r="W283" i="16" s="1"/>
  <c r="E22" i="20"/>
  <c r="F22" i="20" s="1"/>
  <c r="G22" i="20" s="1"/>
  <c r="E637" i="21"/>
  <c r="F637" i="21" s="1"/>
  <c r="E4325" i="51"/>
  <c r="G4325" i="51" s="1"/>
  <c r="H4331" i="51" s="1"/>
  <c r="H4365" i="51" s="1"/>
  <c r="D136" i="33" s="1"/>
  <c r="E4615" i="51"/>
  <c r="G4615" i="51" s="1"/>
  <c r="H4621" i="51" s="1"/>
  <c r="H4655" i="51" s="1"/>
  <c r="D146" i="33" s="1"/>
  <c r="E4133" i="51"/>
  <c r="G4133" i="51" s="1"/>
  <c r="H4139" i="51" s="1"/>
  <c r="H4173" i="51" s="1"/>
  <c r="D132" i="33" s="1"/>
  <c r="E4181" i="51"/>
  <c r="G4181" i="51" s="1"/>
  <c r="H4187" i="51" s="1"/>
  <c r="H4221" i="51" s="1"/>
  <c r="D133" i="33" s="1"/>
  <c r="E1246" i="51"/>
  <c r="G1246" i="51" s="1"/>
  <c r="H1252" i="51" s="1"/>
  <c r="H1286" i="51" s="1"/>
  <c r="D54" i="33" s="1"/>
  <c r="E1048" i="51"/>
  <c r="G1048" i="51" s="1"/>
  <c r="H1054" i="51" s="1"/>
  <c r="H1088" i="51" s="1"/>
  <c r="D43" i="33" s="1"/>
  <c r="F484" i="14"/>
  <c r="G484" i="14" s="1"/>
  <c r="E1440" i="51"/>
  <c r="G1440" i="51" s="1"/>
  <c r="H1446" i="51" s="1"/>
  <c r="H1480" i="51" s="1"/>
  <c r="E901" i="51"/>
  <c r="G901" i="51" s="1"/>
  <c r="H907" i="51" s="1"/>
  <c r="H941" i="51" s="1"/>
  <c r="D40" i="33" s="1"/>
  <c r="F576" i="19"/>
  <c r="G576" i="19" s="1"/>
  <c r="F639" i="21"/>
  <c r="E6540" i="51"/>
  <c r="G6540" i="51" s="1"/>
  <c r="H6546" i="51" s="1"/>
  <c r="H6581" i="51" s="1"/>
  <c r="D51" i="33" s="1"/>
  <c r="E3605" i="51"/>
  <c r="G3605" i="51" s="1"/>
  <c r="H3611" i="51" s="1"/>
  <c r="H3645" i="51" s="1"/>
  <c r="D116" i="33" s="1"/>
  <c r="E1295" i="51"/>
  <c r="G1295" i="51" s="1"/>
  <c r="H1301" i="51" s="1"/>
  <c r="H1335" i="51" s="1"/>
  <c r="D55" i="33" s="1"/>
  <c r="E584" i="19"/>
  <c r="F584" i="19" s="1"/>
  <c r="G584" i="19" s="1"/>
  <c r="F10" i="20"/>
  <c r="I10" i="20"/>
  <c r="E1343" i="51"/>
  <c r="G1343" i="51" s="1"/>
  <c r="H1349" i="51" s="1"/>
  <c r="H1383" i="51" s="1"/>
  <c r="D56" i="33" s="1"/>
  <c r="E579" i="19"/>
  <c r="F579" i="19" s="1"/>
  <c r="E3941" i="51"/>
  <c r="G3941" i="51" s="1"/>
  <c r="H3947" i="51" s="1"/>
  <c r="H3981" i="51" s="1"/>
  <c r="D126" i="33" s="1"/>
  <c r="E1196" i="51"/>
  <c r="G1196" i="51" s="1"/>
  <c r="H1202" i="51" s="1"/>
  <c r="H1237" i="51" s="1"/>
  <c r="D48" i="33" s="1"/>
  <c r="E3653" i="51"/>
  <c r="G3653" i="51" s="1"/>
  <c r="H3659" i="51" s="1"/>
  <c r="H3693" i="51" s="1"/>
  <c r="D117" i="33" s="1"/>
  <c r="E4277" i="51"/>
  <c r="G4277" i="51" s="1"/>
  <c r="H4283" i="51" s="1"/>
  <c r="H4317" i="51" s="1"/>
  <c r="D135" i="33" s="1"/>
  <c r="E3557" i="51"/>
  <c r="G3557" i="51" s="1"/>
  <c r="H3564" i="51" s="1"/>
  <c r="H3597" i="51" s="1"/>
  <c r="D113" i="33" s="1"/>
  <c r="O178" i="16"/>
  <c r="U178" i="16"/>
  <c r="W178" i="16" s="1"/>
  <c r="F576" i="14"/>
  <c r="G576" i="14" s="1"/>
  <c r="E2453" i="22"/>
  <c r="E6902" i="51"/>
  <c r="G6902" i="51" s="1"/>
  <c r="D20" i="33"/>
  <c r="E6641" i="51"/>
  <c r="G6641" i="51" s="1"/>
  <c r="H6647" i="51" s="1"/>
  <c r="H6681" i="51" s="1"/>
  <c r="D193" i="33" s="1"/>
  <c r="E3797" i="51"/>
  <c r="G3797" i="51" s="1"/>
  <c r="H3803" i="51" s="1"/>
  <c r="H3837" i="51" s="1"/>
  <c r="D123" i="33" s="1"/>
  <c r="E1729" i="51"/>
  <c r="G1729" i="51" s="1"/>
  <c r="H1735" i="51" s="1"/>
  <c r="H1769" i="51" s="1"/>
  <c r="D67" i="33" s="1"/>
  <c r="F484" i="1"/>
  <c r="G484" i="1" s="1"/>
  <c r="F576" i="1"/>
  <c r="G576" i="1" s="1"/>
  <c r="E592" i="19"/>
  <c r="F592" i="19" s="1"/>
  <c r="G592" i="19" s="1"/>
  <c r="E602" i="19"/>
  <c r="F602" i="19" s="1"/>
  <c r="G602" i="19" s="1"/>
  <c r="E3701" i="51"/>
  <c r="G3701" i="51" s="1"/>
  <c r="H3707" i="51" s="1"/>
  <c r="H3741" i="51" s="1"/>
  <c r="D118" i="33" s="1"/>
  <c r="E5048" i="51"/>
  <c r="G5048" i="51" s="1"/>
  <c r="H5054" i="51" s="1"/>
  <c r="H5088" i="51" s="1"/>
  <c r="D155" i="33" s="1"/>
  <c r="E4085" i="51"/>
  <c r="G4085" i="51" s="1"/>
  <c r="H4091" i="51" s="1"/>
  <c r="H4125" i="51" s="1"/>
  <c r="D131" i="33" s="1"/>
  <c r="E4037" i="51"/>
  <c r="G4037" i="51" s="1"/>
  <c r="H4043" i="51" s="1"/>
  <c r="H4077" i="51" s="1"/>
  <c r="D130" i="33" s="1"/>
  <c r="AA28" i="52" l="1"/>
  <c r="AA34" i="52"/>
  <c r="AA42" i="52"/>
  <c r="O16" i="52"/>
  <c r="T16" i="52"/>
  <c r="P16" i="52"/>
  <c r="X16" i="52"/>
  <c r="S16" i="52"/>
  <c r="R16" i="52"/>
  <c r="Z16" i="52"/>
  <c r="V16" i="52"/>
  <c r="Y16" i="52"/>
  <c r="Q16" i="52"/>
  <c r="W16" i="52"/>
  <c r="E113" i="17"/>
  <c r="F113" i="17" s="1"/>
  <c r="G113" i="17" s="1"/>
  <c r="E113" i="1"/>
  <c r="F113" i="1" s="1"/>
  <c r="G113" i="1" s="1"/>
  <c r="E113" i="19"/>
  <c r="F113" i="19" s="1"/>
  <c r="G113" i="19" s="1"/>
  <c r="E113" i="14"/>
  <c r="F113" i="14" s="1"/>
  <c r="G113" i="14" s="1"/>
  <c r="E113" i="21"/>
  <c r="F113" i="21" s="1"/>
  <c r="G113" i="21" s="1"/>
  <c r="F57" i="24"/>
  <c r="G57" i="24" s="1"/>
  <c r="P184" i="16"/>
  <c r="P199" i="16" s="1"/>
  <c r="E589" i="19" s="1"/>
  <c r="F589" i="19" s="1"/>
  <c r="G589" i="19" s="1"/>
  <c r="L291" i="6"/>
  <c r="G291" i="6"/>
  <c r="H302" i="6" s="1"/>
  <c r="H321" i="6" s="1"/>
  <c r="E605" i="19"/>
  <c r="F605" i="19" s="1"/>
  <c r="G605" i="19" s="1"/>
  <c r="T1479" i="6"/>
  <c r="O1479" i="6"/>
  <c r="P1490" i="6" s="1"/>
  <c r="P1509" i="6" s="1"/>
  <c r="F243" i="14"/>
  <c r="E262" i="14"/>
  <c r="F262" i="14" s="1"/>
  <c r="G262" i="14" s="1"/>
  <c r="E262" i="17"/>
  <c r="F262" i="17" s="1"/>
  <c r="G262" i="17" s="1"/>
  <c r="F243" i="17"/>
  <c r="F243" i="19"/>
  <c r="E262" i="19"/>
  <c r="F262" i="19" s="1"/>
  <c r="G262" i="19" s="1"/>
  <c r="E244" i="19"/>
  <c r="E244" i="21"/>
  <c r="E244" i="1"/>
  <c r="E244" i="17"/>
  <c r="E244" i="14"/>
  <c r="E262" i="21"/>
  <c r="F262" i="21" s="1"/>
  <c r="G262" i="21" s="1"/>
  <c r="F243" i="21"/>
  <c r="F243" i="1"/>
  <c r="E262" i="1"/>
  <c r="F262" i="1" s="1"/>
  <c r="G262" i="1" s="1"/>
  <c r="F640" i="21"/>
  <c r="F641" i="21" s="1"/>
  <c r="F643" i="21" s="1"/>
  <c r="W180" i="16"/>
  <c r="X184" i="16" s="1"/>
  <c r="X199" i="16" s="1"/>
  <c r="E590" i="19" s="1"/>
  <c r="F590" i="19" s="1"/>
  <c r="G590" i="19" s="1"/>
  <c r="AC180" i="16"/>
  <c r="AE180" i="16" s="1"/>
  <c r="AF184" i="16" s="1"/>
  <c r="AF199" i="16" s="1"/>
  <c r="E2445" i="22" s="1"/>
  <c r="F49" i="24" s="1"/>
  <c r="G49" i="24" s="1"/>
  <c r="O284" i="16"/>
  <c r="P289" i="16" s="1"/>
  <c r="P304" i="16" s="1"/>
  <c r="E597" i="19" s="1"/>
  <c r="F597" i="19" s="1"/>
  <c r="G597" i="19" s="1"/>
  <c r="U284" i="16"/>
  <c r="W284" i="16" s="1"/>
  <c r="AC130" i="16"/>
  <c r="W130" i="16"/>
  <c r="X134" i="16" s="1"/>
  <c r="X149" i="16" s="1"/>
  <c r="E585" i="19" s="1"/>
  <c r="F585" i="19" s="1"/>
  <c r="G585" i="19" s="1"/>
  <c r="E5206" i="51"/>
  <c r="G5206" i="51" s="1"/>
  <c r="H5220" i="51" s="1"/>
  <c r="H5239" i="51" s="1"/>
  <c r="D160" i="33" s="1"/>
  <c r="D58" i="33"/>
  <c r="G579" i="19"/>
  <c r="G10" i="20"/>
  <c r="F27" i="20"/>
  <c r="H6913" i="51"/>
  <c r="H6932" i="51" s="1"/>
  <c r="D185" i="33" s="1"/>
  <c r="AC288" i="16"/>
  <c r="AE288" i="16" s="1"/>
  <c r="W288" i="16"/>
  <c r="W287" i="16"/>
  <c r="AC287" i="16"/>
  <c r="AE287" i="16" s="1"/>
  <c r="AF289" i="16" l="1"/>
  <c r="AF304" i="16" s="1"/>
  <c r="E2449" i="22" s="1"/>
  <c r="AA16" i="52"/>
  <c r="X289" i="16"/>
  <c r="X304" i="16" s="1"/>
  <c r="E598" i="19" s="1"/>
  <c r="F598" i="19" s="1"/>
  <c r="D345" i="6"/>
  <c r="O291" i="6"/>
  <c r="P302" i="6" s="1"/>
  <c r="P321" i="6" s="1"/>
  <c r="E114" i="1"/>
  <c r="F114" i="1" s="1"/>
  <c r="G114" i="1" s="1"/>
  <c r="E114" i="21"/>
  <c r="F114" i="21" s="1"/>
  <c r="G114" i="21" s="1"/>
  <c r="E114" i="19"/>
  <c r="F114" i="19" s="1"/>
  <c r="G114" i="19" s="1"/>
  <c r="E114" i="14"/>
  <c r="F114" i="14" s="1"/>
  <c r="G114" i="14" s="1"/>
  <c r="E114" i="17"/>
  <c r="F114" i="17" s="1"/>
  <c r="G114" i="17" s="1"/>
  <c r="F39" i="42"/>
  <c r="E263" i="21"/>
  <c r="F263" i="21" s="1"/>
  <c r="G263" i="21" s="1"/>
  <c r="F244" i="21"/>
  <c r="G244" i="21" s="1"/>
  <c r="E263" i="14"/>
  <c r="F263" i="14" s="1"/>
  <c r="G263" i="14" s="1"/>
  <c r="F244" i="14"/>
  <c r="G244" i="14" s="1"/>
  <c r="F244" i="19"/>
  <c r="G244" i="19" s="1"/>
  <c r="E263" i="19"/>
  <c r="F263" i="19" s="1"/>
  <c r="G263" i="19" s="1"/>
  <c r="G243" i="19"/>
  <c r="G243" i="14"/>
  <c r="G243" i="1"/>
  <c r="E263" i="17"/>
  <c r="F263" i="17" s="1"/>
  <c r="G263" i="17" s="1"/>
  <c r="F244" i="17"/>
  <c r="G244" i="17" s="1"/>
  <c r="G243" i="17"/>
  <c r="E245" i="21"/>
  <c r="E245" i="17"/>
  <c r="E245" i="1"/>
  <c r="E245" i="19"/>
  <c r="G243" i="21"/>
  <c r="F244" i="1"/>
  <c r="G244" i="1" s="1"/>
  <c r="E263" i="1"/>
  <c r="F263" i="1" s="1"/>
  <c r="G263" i="1" s="1"/>
  <c r="D1533" i="6"/>
  <c r="W1479" i="6"/>
  <c r="X1490" i="6" s="1"/>
  <c r="X1509" i="6" s="1"/>
  <c r="D32" i="42"/>
  <c r="AK130" i="16"/>
  <c r="AM130" i="16" s="1"/>
  <c r="AN134" i="16" s="1"/>
  <c r="AN149" i="16" s="1"/>
  <c r="E2443" i="22" s="1"/>
  <c r="F47" i="24" s="1"/>
  <c r="G47" i="24" s="1"/>
  <c r="G60" i="24" s="1"/>
  <c r="AE130" i="16"/>
  <c r="AF134" i="16" s="1"/>
  <c r="AF149" i="16" s="1"/>
  <c r="E586" i="19" s="1"/>
  <c r="F586" i="19" s="1"/>
  <c r="G586" i="19" s="1"/>
  <c r="F14" i="42"/>
  <c r="G11" i="42"/>
  <c r="G52" i="42" s="1"/>
  <c r="G598" i="19"/>
  <c r="F28" i="20"/>
  <c r="G28" i="20" s="1"/>
  <c r="G27" i="20"/>
  <c r="F610" i="19" l="1"/>
  <c r="F42" i="42"/>
  <c r="F34" i="42"/>
  <c r="D29" i="42"/>
  <c r="D23" i="42"/>
  <c r="E23" i="42"/>
  <c r="B9" i="52"/>
  <c r="E115" i="19"/>
  <c r="E115" i="1"/>
  <c r="E115" i="17"/>
  <c r="E115" i="21"/>
  <c r="E115" i="14"/>
  <c r="L345" i="6"/>
  <c r="G345" i="6"/>
  <c r="H356" i="6" s="1"/>
  <c r="H375" i="6" s="1"/>
  <c r="E264" i="19"/>
  <c r="F264" i="19" s="1"/>
  <c r="G264" i="19" s="1"/>
  <c r="F245" i="19"/>
  <c r="E264" i="1"/>
  <c r="F264" i="1" s="1"/>
  <c r="G264" i="1" s="1"/>
  <c r="F245" i="1"/>
  <c r="E246" i="1"/>
  <c r="E246" i="17"/>
  <c r="E246" i="21"/>
  <c r="E246" i="14"/>
  <c r="E246" i="19"/>
  <c r="E264" i="17"/>
  <c r="F264" i="17" s="1"/>
  <c r="G264" i="17" s="1"/>
  <c r="F245" i="17"/>
  <c r="L1533" i="6"/>
  <c r="O1533" i="6" s="1"/>
  <c r="P1544" i="6" s="1"/>
  <c r="P1563" i="6" s="1"/>
  <c r="G1533" i="6"/>
  <c r="H1544" i="6" s="1"/>
  <c r="H1563" i="6" s="1"/>
  <c r="E264" i="21"/>
  <c r="F264" i="21" s="1"/>
  <c r="G264" i="21" s="1"/>
  <c r="F245" i="21"/>
  <c r="D26" i="42"/>
  <c r="F20" i="42"/>
  <c r="G610" i="19"/>
  <c r="Q36" i="52"/>
  <c r="R36" i="52"/>
  <c r="S36" i="52"/>
  <c r="V36" i="52"/>
  <c r="O36" i="52"/>
  <c r="W36" i="52"/>
  <c r="Z36" i="52"/>
  <c r="T36" i="52"/>
  <c r="U36" i="52"/>
  <c r="Y36" i="52"/>
  <c r="P36" i="52"/>
  <c r="X36" i="52"/>
  <c r="V9" i="52" l="1"/>
  <c r="D52" i="42"/>
  <c r="B27" i="52"/>
  <c r="Y27" i="52" s="1"/>
  <c r="B21" i="52"/>
  <c r="W21" i="52" s="1"/>
  <c r="B41" i="52"/>
  <c r="Z41" i="52" s="1"/>
  <c r="B33" i="52"/>
  <c r="R33" i="52" s="1"/>
  <c r="B30" i="52"/>
  <c r="T30" i="52" s="1"/>
  <c r="B38" i="52"/>
  <c r="P38" i="52" s="1"/>
  <c r="B12" i="52"/>
  <c r="Z12" i="52" s="1"/>
  <c r="R9" i="52"/>
  <c r="X9" i="52"/>
  <c r="Q9" i="52"/>
  <c r="O9" i="52"/>
  <c r="P9" i="52"/>
  <c r="Z9" i="52"/>
  <c r="U9" i="52"/>
  <c r="Y9" i="52"/>
  <c r="T9" i="52"/>
  <c r="S9" i="52"/>
  <c r="W9" i="52"/>
  <c r="E164" i="1"/>
  <c r="F164" i="1" s="1"/>
  <c r="G164" i="1" s="1"/>
  <c r="F115" i="1"/>
  <c r="G115" i="1" s="1"/>
  <c r="F115" i="21"/>
  <c r="G115" i="21" s="1"/>
  <c r="E164" i="21"/>
  <c r="F164" i="21" s="1"/>
  <c r="G164" i="21" s="1"/>
  <c r="D399" i="6"/>
  <c r="O345" i="6"/>
  <c r="P356" i="6" s="1"/>
  <c r="P375" i="6" s="1"/>
  <c r="E116" i="17"/>
  <c r="E116" i="14"/>
  <c r="E116" i="21"/>
  <c r="E116" i="1"/>
  <c r="E116" i="19"/>
  <c r="E164" i="17"/>
  <c r="F164" i="17" s="1"/>
  <c r="G164" i="17" s="1"/>
  <c r="F115" i="17"/>
  <c r="G115" i="17" s="1"/>
  <c r="F115" i="14"/>
  <c r="G115" i="14" s="1"/>
  <c r="E164" i="14"/>
  <c r="F164" i="14" s="1"/>
  <c r="G164" i="14" s="1"/>
  <c r="F115" i="19"/>
  <c r="G115" i="19" s="1"/>
  <c r="E164" i="19"/>
  <c r="F164" i="19" s="1"/>
  <c r="G164" i="19" s="1"/>
  <c r="G245" i="21"/>
  <c r="G245" i="17"/>
  <c r="F19" i="24"/>
  <c r="G19" i="24" s="1"/>
  <c r="G40" i="24" s="1"/>
  <c r="G62" i="24" s="1"/>
  <c r="F246" i="21"/>
  <c r="G246" i="21" s="1"/>
  <c r="E265" i="21"/>
  <c r="F265" i="21" s="1"/>
  <c r="G265" i="21" s="1"/>
  <c r="G245" i="1"/>
  <c r="E265" i="17"/>
  <c r="F265" i="17" s="1"/>
  <c r="G265" i="17" s="1"/>
  <c r="F246" i="17"/>
  <c r="G246" i="17" s="1"/>
  <c r="E247" i="1"/>
  <c r="E247" i="19"/>
  <c r="E247" i="17"/>
  <c r="E247" i="14"/>
  <c r="E247" i="21"/>
  <c r="E265" i="19"/>
  <c r="F265" i="19" s="1"/>
  <c r="G265" i="19" s="1"/>
  <c r="F246" i="19"/>
  <c r="G246" i="19" s="1"/>
  <c r="F246" i="1"/>
  <c r="G246" i="1" s="1"/>
  <c r="E265" i="1"/>
  <c r="F265" i="1" s="1"/>
  <c r="G265" i="1" s="1"/>
  <c r="G245" i="19"/>
  <c r="E248" i="1"/>
  <c r="E248" i="17"/>
  <c r="E248" i="21"/>
  <c r="E248" i="14"/>
  <c r="E248" i="19"/>
  <c r="E265" i="14"/>
  <c r="F265" i="14" s="1"/>
  <c r="G265" i="14" s="1"/>
  <c r="F246" i="14"/>
  <c r="AA36" i="52"/>
  <c r="P21" i="52" l="1"/>
  <c r="R27" i="52"/>
  <c r="O30" i="52"/>
  <c r="R41" i="52"/>
  <c r="P41" i="52"/>
  <c r="Y41" i="52"/>
  <c r="P27" i="52"/>
  <c r="Z21" i="52"/>
  <c r="S21" i="52"/>
  <c r="O12" i="52"/>
  <c r="Q12" i="52"/>
  <c r="Z33" i="52"/>
  <c r="X33" i="52"/>
  <c r="O27" i="52"/>
  <c r="W27" i="52"/>
  <c r="V30" i="52"/>
  <c r="S27" i="52"/>
  <c r="S30" i="52"/>
  <c r="P30" i="52"/>
  <c r="X27" i="52"/>
  <c r="U30" i="52"/>
  <c r="U33" i="52"/>
  <c r="O33" i="52"/>
  <c r="W33" i="52"/>
  <c r="Y33" i="52"/>
  <c r="U41" i="52"/>
  <c r="S41" i="52"/>
  <c r="S12" i="52"/>
  <c r="T12" i="52"/>
  <c r="P12" i="52"/>
  <c r="O41" i="52"/>
  <c r="Q41" i="52"/>
  <c r="X41" i="52"/>
  <c r="W12" i="52"/>
  <c r="U12" i="52"/>
  <c r="T41" i="52"/>
  <c r="V41" i="52"/>
  <c r="W41" i="52"/>
  <c r="V12" i="52"/>
  <c r="X12" i="52"/>
  <c r="R12" i="52"/>
  <c r="Y12" i="52"/>
  <c r="Y38" i="52"/>
  <c r="Y21" i="52"/>
  <c r="Q27" i="52"/>
  <c r="U27" i="52"/>
  <c r="W30" i="52"/>
  <c r="Y30" i="52"/>
  <c r="X30" i="52"/>
  <c r="T38" i="52"/>
  <c r="W38" i="52"/>
  <c r="Q21" i="52"/>
  <c r="Q38" i="52"/>
  <c r="V27" i="52"/>
  <c r="T27" i="52"/>
  <c r="Z27" i="52"/>
  <c r="R30" i="52"/>
  <c r="Z30" i="52"/>
  <c r="Q30" i="52"/>
  <c r="V21" i="52"/>
  <c r="R21" i="52"/>
  <c r="V33" i="52"/>
  <c r="V38" i="52"/>
  <c r="R38" i="52"/>
  <c r="B18" i="52"/>
  <c r="U18" i="52" s="1"/>
  <c r="S38" i="52"/>
  <c r="Q33" i="52"/>
  <c r="O38" i="52"/>
  <c r="S33" i="52"/>
  <c r="P33" i="52"/>
  <c r="T21" i="52"/>
  <c r="X21" i="52"/>
  <c r="O21" i="52"/>
  <c r="U21" i="52"/>
  <c r="T33" i="52"/>
  <c r="Z38" i="52"/>
  <c r="U38" i="52"/>
  <c r="B24" i="52"/>
  <c r="O24" i="52" s="1"/>
  <c r="X38" i="52"/>
  <c r="AA9" i="52"/>
  <c r="F116" i="21"/>
  <c r="G116" i="21" s="1"/>
  <c r="E165" i="21"/>
  <c r="F165" i="21" s="1"/>
  <c r="G165" i="21" s="1"/>
  <c r="L399" i="6"/>
  <c r="O399" i="6" s="1"/>
  <c r="P410" i="6" s="1"/>
  <c r="P429" i="6" s="1"/>
  <c r="G399" i="6"/>
  <c r="H410" i="6" s="1"/>
  <c r="H429" i="6" s="1"/>
  <c r="E165" i="14"/>
  <c r="F165" i="14" s="1"/>
  <c r="G165" i="14" s="1"/>
  <c r="F116" i="14"/>
  <c r="G116" i="14" s="1"/>
  <c r="F116" i="19"/>
  <c r="G116" i="19" s="1"/>
  <c r="E165" i="19"/>
  <c r="F165" i="19" s="1"/>
  <c r="G165" i="19" s="1"/>
  <c r="E165" i="17"/>
  <c r="F165" i="17" s="1"/>
  <c r="G165" i="17" s="1"/>
  <c r="F116" i="17"/>
  <c r="G116" i="17" s="1"/>
  <c r="E165" i="1"/>
  <c r="F165" i="1" s="1"/>
  <c r="G165" i="1" s="1"/>
  <c r="F116" i="1"/>
  <c r="G116" i="1" s="1"/>
  <c r="E117" i="19"/>
  <c r="E117" i="17"/>
  <c r="E117" i="14"/>
  <c r="E117" i="21"/>
  <c r="E117" i="1"/>
  <c r="F248" i="17"/>
  <c r="G248" i="17" s="1"/>
  <c r="E267" i="17"/>
  <c r="F267" i="17" s="1"/>
  <c r="G267" i="17" s="1"/>
  <c r="E266" i="21"/>
  <c r="F266" i="21" s="1"/>
  <c r="G266" i="21" s="1"/>
  <c r="F247" i="21"/>
  <c r="G247" i="21" s="1"/>
  <c r="F247" i="1"/>
  <c r="E266" i="1"/>
  <c r="F266" i="1" s="1"/>
  <c r="G266" i="1" s="1"/>
  <c r="F248" i="19"/>
  <c r="G248" i="19" s="1"/>
  <c r="E267" i="19"/>
  <c r="F267" i="19" s="1"/>
  <c r="G267" i="19" s="1"/>
  <c r="E267" i="1"/>
  <c r="F267" i="1" s="1"/>
  <c r="G267" i="1" s="1"/>
  <c r="F248" i="1"/>
  <c r="G248" i="1" s="1"/>
  <c r="F247" i="14"/>
  <c r="G247" i="14" s="1"/>
  <c r="E266" i="14"/>
  <c r="F266" i="14" s="1"/>
  <c r="G266" i="14" s="1"/>
  <c r="F248" i="14"/>
  <c r="G248" i="14" s="1"/>
  <c r="E267" i="14"/>
  <c r="F267" i="14" s="1"/>
  <c r="G267" i="14" s="1"/>
  <c r="E266" i="17"/>
  <c r="F266" i="17" s="1"/>
  <c r="G266" i="17" s="1"/>
  <c r="F247" i="17"/>
  <c r="G246" i="14"/>
  <c r="F248" i="21"/>
  <c r="G248" i="21" s="1"/>
  <c r="E267" i="21"/>
  <c r="F267" i="21" s="1"/>
  <c r="G267" i="21" s="1"/>
  <c r="F247" i="19"/>
  <c r="E266" i="19"/>
  <c r="F266" i="19" s="1"/>
  <c r="G266" i="19" s="1"/>
  <c r="G65" i="24"/>
  <c r="G63" i="24"/>
  <c r="G64" i="24" s="1"/>
  <c r="Z18" i="52" l="1"/>
  <c r="Z24" i="52"/>
  <c r="U24" i="52"/>
  <c r="X24" i="52"/>
  <c r="Y24" i="52"/>
  <c r="AA30" i="52"/>
  <c r="AA41" i="52"/>
  <c r="AA12" i="52"/>
  <c r="X18" i="52"/>
  <c r="Q18" i="52"/>
  <c r="T18" i="52"/>
  <c r="AA27" i="52"/>
  <c r="AA38" i="52"/>
  <c r="AA33" i="52"/>
  <c r="AA21" i="52"/>
  <c r="Q24" i="52"/>
  <c r="P24" i="52"/>
  <c r="V24" i="52"/>
  <c r="O18" i="52"/>
  <c r="S24" i="52"/>
  <c r="S18" i="52"/>
  <c r="W24" i="52"/>
  <c r="V18" i="52"/>
  <c r="T24" i="52"/>
  <c r="R18" i="52"/>
  <c r="P18" i="52"/>
  <c r="R24" i="52"/>
  <c r="W18" i="52"/>
  <c r="Y18" i="52"/>
  <c r="E166" i="17"/>
  <c r="F166" i="17" s="1"/>
  <c r="G166" i="17" s="1"/>
  <c r="F117" i="17"/>
  <c r="G117" i="17" s="1"/>
  <c r="F117" i="21"/>
  <c r="G117" i="21" s="1"/>
  <c r="E166" i="21"/>
  <c r="F166" i="21" s="1"/>
  <c r="G166" i="21" s="1"/>
  <c r="E118" i="17"/>
  <c r="E118" i="14"/>
  <c r="E118" i="21"/>
  <c r="E118" i="1"/>
  <c r="E118" i="19"/>
  <c r="G66" i="24"/>
  <c r="E166" i="14"/>
  <c r="F166" i="14" s="1"/>
  <c r="G166" i="14" s="1"/>
  <c r="F117" i="14"/>
  <c r="G117" i="14" s="1"/>
  <c r="E119" i="19"/>
  <c r="E119" i="14"/>
  <c r="E119" i="21"/>
  <c r="E119" i="1"/>
  <c r="E119" i="17"/>
  <c r="E166" i="1"/>
  <c r="F166" i="1" s="1"/>
  <c r="G166" i="1" s="1"/>
  <c r="F117" i="1"/>
  <c r="G117" i="1" s="1"/>
  <c r="E166" i="19"/>
  <c r="F166" i="19" s="1"/>
  <c r="G166" i="19" s="1"/>
  <c r="F117" i="19"/>
  <c r="G117" i="19" s="1"/>
  <c r="G247" i="17"/>
  <c r="G247" i="19"/>
  <c r="G247" i="1"/>
  <c r="AA24" i="52" l="1"/>
  <c r="AA18" i="52"/>
  <c r="E168" i="17"/>
  <c r="F168" i="17" s="1"/>
  <c r="G168" i="17" s="1"/>
  <c r="F119" i="17"/>
  <c r="G119" i="17" s="1"/>
  <c r="F119" i="19"/>
  <c r="G119" i="19" s="1"/>
  <c r="E168" i="19"/>
  <c r="F168" i="19" s="1"/>
  <c r="G168" i="19" s="1"/>
  <c r="E167" i="17"/>
  <c r="F167" i="17" s="1"/>
  <c r="G167" i="17" s="1"/>
  <c r="F118" i="17"/>
  <c r="E168" i="1"/>
  <c r="F168" i="1" s="1"/>
  <c r="G168" i="1" s="1"/>
  <c r="F119" i="1"/>
  <c r="G119" i="1" s="1"/>
  <c r="E167" i="1"/>
  <c r="F167" i="1" s="1"/>
  <c r="G167" i="1" s="1"/>
  <c r="F118" i="1"/>
  <c r="E168" i="21"/>
  <c r="F168" i="21" s="1"/>
  <c r="G168" i="21" s="1"/>
  <c r="F119" i="21"/>
  <c r="G119" i="21" s="1"/>
  <c r="E167" i="21"/>
  <c r="F167" i="21" s="1"/>
  <c r="G167" i="21" s="1"/>
  <c r="F118" i="21"/>
  <c r="F119" i="14"/>
  <c r="G119" i="14" s="1"/>
  <c r="E168" i="14"/>
  <c r="F168" i="14" s="1"/>
  <c r="G168" i="14" s="1"/>
  <c r="E167" i="14"/>
  <c r="F167" i="14" s="1"/>
  <c r="G167" i="14" s="1"/>
  <c r="F118" i="14"/>
  <c r="G118" i="14" s="1"/>
  <c r="F118" i="19"/>
  <c r="E167" i="19"/>
  <c r="F167" i="19" s="1"/>
  <c r="G167" i="19" s="1"/>
  <c r="M115" i="50"/>
  <c r="M110" i="50"/>
  <c r="M127" i="50" s="1"/>
  <c r="I127" i="50" s="1"/>
  <c r="D127" i="50" s="1"/>
  <c r="E127" i="50" s="1"/>
  <c r="F127" i="50" s="1"/>
  <c r="G118" i="21" l="1"/>
  <c r="F417" i="21"/>
  <c r="G118" i="1"/>
  <c r="F417" i="1"/>
  <c r="G118" i="17"/>
  <c r="F417" i="17"/>
  <c r="G118" i="19"/>
  <c r="F417" i="19"/>
  <c r="F417" i="14"/>
  <c r="I110" i="50"/>
  <c r="D110" i="50" s="1"/>
  <c r="E110" i="50" s="1"/>
  <c r="F110" i="50" s="1"/>
  <c r="I115" i="50"/>
  <c r="D115" i="50" s="1"/>
  <c r="E115" i="50" s="1"/>
  <c r="F115" i="50" s="1"/>
  <c r="M116" i="50"/>
  <c r="G417" i="19" l="1"/>
  <c r="F611" i="19"/>
  <c r="G417" i="1"/>
  <c r="F606" i="1"/>
  <c r="G417" i="21"/>
  <c r="F610" i="21"/>
  <c r="G417" i="17"/>
  <c r="F603" i="17"/>
  <c r="G417" i="14"/>
  <c r="F602" i="14"/>
  <c r="M117" i="50"/>
  <c r="I116" i="50"/>
  <c r="D116" i="50" s="1"/>
  <c r="E116" i="50" s="1"/>
  <c r="F116" i="50" s="1"/>
  <c r="G603" i="17" l="1"/>
  <c r="F605" i="17"/>
  <c r="G605" i="17" s="1"/>
  <c r="G606" i="1"/>
  <c r="F608" i="1"/>
  <c r="G608" i="1" s="1"/>
  <c r="G602" i="14"/>
  <c r="F604" i="14"/>
  <c r="G604" i="14" s="1"/>
  <c r="F612" i="21"/>
  <c r="G612" i="21" s="1"/>
  <c r="G610" i="21"/>
  <c r="G611" i="19"/>
  <c r="F613" i="19"/>
  <c r="G613" i="19" s="1"/>
  <c r="M118" i="50"/>
  <c r="I118" i="50" s="1"/>
  <c r="D118" i="50" s="1"/>
  <c r="E118" i="50" s="1"/>
  <c r="F118" i="50" s="1"/>
  <c r="I117" i="50"/>
  <c r="D117" i="50" s="1"/>
  <c r="E117" i="50" s="1"/>
  <c r="F117" i="50" s="1"/>
  <c r="M108" i="50" l="1"/>
  <c r="M126" i="50" s="1"/>
  <c r="I126" i="50" s="1"/>
  <c r="D126" i="50" s="1"/>
  <c r="E126" i="50" s="1"/>
  <c r="F126" i="50" s="1"/>
  <c r="M106" i="50"/>
  <c r="I106" i="50" s="1"/>
  <c r="D106" i="50" s="1"/>
  <c r="E106" i="50" s="1"/>
  <c r="F106" i="50" s="1"/>
  <c r="I108" i="50" l="1"/>
  <c r="D108" i="50" s="1"/>
  <c r="E108" i="50" s="1"/>
  <c r="F108" i="50" s="1"/>
  <c r="M107" i="50"/>
  <c r="M125" i="50" s="1"/>
  <c r="I125" i="50" s="1"/>
  <c r="D125" i="50" s="1"/>
  <c r="E125" i="50" s="1"/>
  <c r="F125" i="50" s="1"/>
  <c r="F40" i="42"/>
  <c r="M112" i="50"/>
  <c r="I107" i="50"/>
  <c r="D107" i="50" s="1"/>
  <c r="E107" i="50" s="1"/>
  <c r="F107" i="50" s="1"/>
  <c r="M124" i="50"/>
  <c r="I124" i="50" s="1"/>
  <c r="D124" i="50" s="1"/>
  <c r="E124" i="50" s="1"/>
  <c r="F124" i="50" s="1"/>
  <c r="M111" i="50"/>
  <c r="M128" i="50" s="1"/>
  <c r="I128" i="50" s="1"/>
  <c r="D128" i="50" s="1"/>
  <c r="E128" i="50" s="1"/>
  <c r="F128" i="50" s="1"/>
  <c r="B39" i="52" l="1"/>
  <c r="F15" i="42"/>
  <c r="M130" i="50"/>
  <c r="I130" i="50" s="1"/>
  <c r="D130" i="50" s="1"/>
  <c r="E130" i="50" s="1"/>
  <c r="F130" i="50" s="1"/>
  <c r="I112" i="50"/>
  <c r="D112" i="50" s="1"/>
  <c r="E112" i="50" s="1"/>
  <c r="F112" i="50" s="1"/>
  <c r="I111" i="50"/>
  <c r="D111" i="50" s="1"/>
  <c r="E111" i="50" s="1"/>
  <c r="F111" i="50" s="1"/>
  <c r="M129" i="50"/>
  <c r="I129" i="50" s="1"/>
  <c r="D129" i="50" s="1"/>
  <c r="E129" i="50" s="1"/>
  <c r="F129" i="50" s="1"/>
  <c r="G12" i="42" l="1"/>
  <c r="B13" i="52"/>
  <c r="S13" i="52" s="1"/>
  <c r="R39" i="52"/>
  <c r="Y39" i="52"/>
  <c r="P39" i="52"/>
  <c r="S39" i="52"/>
  <c r="X39" i="52"/>
  <c r="O39" i="52"/>
  <c r="U39" i="52"/>
  <c r="V39" i="52"/>
  <c r="W39" i="52"/>
  <c r="Z39" i="52"/>
  <c r="Q39" i="52"/>
  <c r="T39" i="52"/>
  <c r="D27" i="42"/>
  <c r="B10" i="52" l="1"/>
  <c r="T13" i="52"/>
  <c r="Z13" i="52"/>
  <c r="W13" i="52"/>
  <c r="P13" i="52"/>
  <c r="U13" i="52"/>
  <c r="O13" i="52"/>
  <c r="Y13" i="52"/>
  <c r="V13" i="52"/>
  <c r="Q13" i="52"/>
  <c r="X13" i="52"/>
  <c r="R13" i="52"/>
  <c r="AA39" i="52"/>
  <c r="B25" i="52"/>
  <c r="B47" i="52" l="1"/>
  <c r="B50" i="52" s="1"/>
  <c r="Q10" i="52"/>
  <c r="Y10" i="52"/>
  <c r="O10" i="52"/>
  <c r="R10" i="52"/>
  <c r="V10" i="52"/>
  <c r="Z10" i="52"/>
  <c r="X10" i="52"/>
  <c r="T10" i="52"/>
  <c r="P10" i="52"/>
  <c r="W10" i="52"/>
  <c r="S10" i="52"/>
  <c r="U10" i="52"/>
  <c r="AA13" i="52"/>
  <c r="P25" i="52"/>
  <c r="S25" i="52"/>
  <c r="Q25" i="52"/>
  <c r="O25" i="52"/>
  <c r="V25" i="52"/>
  <c r="T25" i="52"/>
  <c r="Z25" i="52"/>
  <c r="Y25" i="52"/>
  <c r="X25" i="52"/>
  <c r="U25" i="52"/>
  <c r="R25" i="52"/>
  <c r="R47" i="52" s="1"/>
  <c r="R50" i="52" s="1"/>
  <c r="W25" i="52"/>
  <c r="O47" i="52" l="1"/>
  <c r="O50" i="52" s="1"/>
  <c r="Q47" i="52"/>
  <c r="Q50" i="52" s="1"/>
  <c r="X47" i="52"/>
  <c r="X50" i="52" s="1"/>
  <c r="AA10" i="52"/>
  <c r="V47" i="52"/>
  <c r="V50" i="52" s="1"/>
  <c r="Y47" i="52"/>
  <c r="Y50" i="52" s="1"/>
  <c r="W47" i="52"/>
  <c r="W50" i="52" s="1"/>
  <c r="T47" i="52"/>
  <c r="T50" i="52" s="1"/>
  <c r="S47" i="52"/>
  <c r="S50" i="52" s="1"/>
  <c r="Z47" i="52"/>
  <c r="Z50" i="52" s="1"/>
  <c r="P47" i="52"/>
  <c r="P50" i="52" s="1"/>
  <c r="U47" i="52"/>
  <c r="U50" i="52" s="1"/>
  <c r="AA25" i="52"/>
  <c r="AA47" i="52" l="1"/>
  <c r="AA50" i="52" s="1"/>
  <c r="E71" i="35"/>
  <c r="F43" i="35"/>
  <c r="F40" i="35"/>
  <c r="E70" i="35" l="1"/>
  <c r="C571" i="27"/>
  <c r="C572" i="27" s="1"/>
  <c r="E73" i="35" l="1"/>
  <c r="D444" i="27"/>
  <c r="B342" i="27"/>
  <c r="D371" i="27"/>
  <c r="B393" i="27" s="1"/>
  <c r="E393" i="27" s="1"/>
  <c r="E395" i="27" s="1"/>
  <c r="B483" i="27"/>
  <c r="E483" i="27" s="1"/>
  <c r="E485" i="27" s="1"/>
  <c r="E476" i="27"/>
  <c r="E478" i="27" s="1"/>
  <c r="D582" i="27"/>
  <c r="E582" i="27" s="1"/>
  <c r="E584" i="27" s="1"/>
  <c r="B352" i="27"/>
  <c r="C342" i="27"/>
  <c r="C344" i="27" s="1"/>
  <c r="E352" i="27" l="1"/>
  <c r="E354" i="27" s="1"/>
  <c r="B360" i="27"/>
  <c r="E360" i="27" s="1"/>
  <c r="E362" i="27" s="1"/>
  <c r="F17" i="42" l="1"/>
  <c r="F52" i="42" s="1"/>
  <c r="E17" i="42"/>
  <c r="E52" i="42" s="1"/>
  <c r="B15" i="52"/>
  <c r="B46" i="52" s="1"/>
  <c r="B49" i="52" s="1"/>
  <c r="E11" i="59" l="1"/>
  <c r="E6" i="59" s="1"/>
  <c r="Q15" i="52"/>
  <c r="Q46" i="52" s="1"/>
  <c r="Q49" i="52" s="1"/>
  <c r="Q51" i="52" s="1"/>
  <c r="O15" i="52"/>
  <c r="O46" i="52" s="1"/>
  <c r="O49" i="52" s="1"/>
  <c r="O51" i="52" s="1"/>
  <c r="R15" i="52"/>
  <c r="R46" i="52" s="1"/>
  <c r="R49" i="52" s="1"/>
  <c r="R51" i="52" s="1"/>
  <c r="S15" i="52"/>
  <c r="S46" i="52" s="1"/>
  <c r="S49" i="52" s="1"/>
  <c r="S51" i="52" s="1"/>
  <c r="T15" i="52"/>
  <c r="T46" i="52" s="1"/>
  <c r="T49" i="52" s="1"/>
  <c r="T51" i="52" s="1"/>
  <c r="Y15" i="52"/>
  <c r="Y46" i="52" s="1"/>
  <c r="Y49" i="52" s="1"/>
  <c r="Y51" i="52" s="1"/>
  <c r="P15" i="52"/>
  <c r="P46" i="52" s="1"/>
  <c r="P49" i="52" s="1"/>
  <c r="P51" i="52" s="1"/>
  <c r="X15" i="52"/>
  <c r="X46" i="52" s="1"/>
  <c r="X49" i="52" s="1"/>
  <c r="X51" i="52" s="1"/>
  <c r="U15" i="52"/>
  <c r="U46" i="52" s="1"/>
  <c r="U49" i="52" s="1"/>
  <c r="U51" i="52" s="1"/>
  <c r="V15" i="52"/>
  <c r="V46" i="52" s="1"/>
  <c r="V49" i="52" s="1"/>
  <c r="V51" i="52" s="1"/>
  <c r="W15" i="52"/>
  <c r="W46" i="52" s="1"/>
  <c r="W49" i="52" s="1"/>
  <c r="W51" i="52" s="1"/>
  <c r="Z15" i="52"/>
  <c r="Z46" i="52" s="1"/>
  <c r="Z49" i="52" s="1"/>
  <c r="Z51" i="52" s="1"/>
  <c r="E7" i="59" l="1"/>
  <c r="D7" i="59"/>
  <c r="G3" i="59"/>
  <c r="Q48" i="52"/>
  <c r="U48" i="52"/>
  <c r="W48" i="52"/>
  <c r="V48" i="52"/>
  <c r="P48" i="52"/>
  <c r="S48" i="52"/>
  <c r="Z48" i="52"/>
  <c r="Y48" i="52"/>
  <c r="AA15" i="52"/>
  <c r="AA46" i="52" s="1"/>
  <c r="AA49" i="52" s="1"/>
  <c r="AA51" i="52" s="1"/>
  <c r="B48" i="52"/>
  <c r="B51" i="52"/>
  <c r="O48" i="52"/>
  <c r="X48" i="52" l="1"/>
  <c r="T48" i="52"/>
  <c r="AA48" i="52"/>
  <c r="R48" i="52"/>
  <c r="C7" i="59"/>
  <c r="C10" i="59" s="1"/>
  <c r="G6" i="59"/>
  <c r="B53" i="52" l="1"/>
  <c r="AA53" i="52" s="1"/>
  <c r="G4" i="59" l="1"/>
  <c r="F7" i="59"/>
  <c r="G5" i="59"/>
  <c r="G7" i="59" l="1"/>
  <c r="C8" i="59" s="1"/>
  <c r="B52" i="52"/>
  <c r="E8" i="59" l="1"/>
  <c r="G8" i="59"/>
  <c r="D8" i="59"/>
  <c r="F8" i="59"/>
  <c r="AA52" i="52"/>
  <c r="AA55" i="52" s="1"/>
  <c r="B55" i="52"/>
</calcChain>
</file>

<file path=xl/comments1.xml><?xml version="1.0" encoding="utf-8"?>
<comments xmlns="http://schemas.openxmlformats.org/spreadsheetml/2006/main">
  <authors>
    <author>Ana Maria Madrigal Sanchez</author>
  </authors>
  <commentList>
    <comment ref="E12" authorId="0" shapeId="0">
      <text>
        <r>
          <rPr>
            <b/>
            <sz val="9"/>
            <color indexed="81"/>
            <rFont val="Tahoma"/>
            <family val="2"/>
          </rPr>
          <t>Ana Maria Madrigal Sanchez:</t>
        </r>
        <r>
          <rPr>
            <sz val="9"/>
            <color indexed="81"/>
            <rFont val="Tahoma"/>
            <family val="2"/>
          </rPr>
          <t xml:space="preserve">
100m Casa blanca</t>
        </r>
      </text>
    </comment>
  </commentList>
</comments>
</file>

<file path=xl/comments2.xml><?xml version="1.0" encoding="utf-8"?>
<comments xmlns="http://schemas.openxmlformats.org/spreadsheetml/2006/main">
  <authors>
    <author>Argemiro Rincon Ortiz</author>
  </authors>
  <commentList>
    <comment ref="A267" authorId="0" shapeId="0">
      <text>
        <r>
          <rPr>
            <b/>
            <sz val="9"/>
            <color indexed="81"/>
            <rFont val="Tahoma"/>
            <family val="2"/>
          </rPr>
          <t>Argemiro Rincon Ortiz:</t>
        </r>
        <r>
          <rPr>
            <sz val="9"/>
            <color indexed="81"/>
            <rFont val="Tahoma"/>
            <family val="2"/>
          </rPr>
          <t xml:space="preserve">
Incluye combustible
</t>
        </r>
      </text>
    </comment>
  </commentList>
</comments>
</file>

<file path=xl/comments3.xml><?xml version="1.0" encoding="utf-8"?>
<comments xmlns="http://schemas.openxmlformats.org/spreadsheetml/2006/main">
  <authors>
    <author>Paola Andrea Ñustes Tovar</author>
  </authors>
  <commentList>
    <comment ref="B13" authorId="0" shapeId="0">
      <text>
        <r>
          <rPr>
            <b/>
            <sz val="9"/>
            <color indexed="81"/>
            <rFont val="Tahoma"/>
            <family val="2"/>
          </rPr>
          <t>Paola Andrea Ñustes Tovar:</t>
        </r>
        <r>
          <rPr>
            <sz val="9"/>
            <color indexed="81"/>
            <rFont val="Tahoma"/>
            <family val="2"/>
          </rPr>
          <t xml:space="preserve">
Tanque Bojaca</t>
        </r>
      </text>
    </comment>
  </commentList>
</comments>
</file>

<file path=xl/sharedStrings.xml><?xml version="1.0" encoding="utf-8"?>
<sst xmlns="http://schemas.openxmlformats.org/spreadsheetml/2006/main" count="80947" uniqueCount="9873">
  <si>
    <t>PRESUPUESTO RED DE ACUEDUCTO</t>
  </si>
  <si>
    <t>MUNICIPIO DE  DEPARTAMENTO DE</t>
  </si>
  <si>
    <t>OBRA CIVIL</t>
  </si>
  <si>
    <t>ITEM</t>
  </si>
  <si>
    <t>DESCRIPCIÓN</t>
  </si>
  <si>
    <t>UND</t>
  </si>
  <si>
    <t>CANTIDAD</t>
  </si>
  <si>
    <t>VR.UNITARIO</t>
  </si>
  <si>
    <t>VR.TOTAL</t>
  </si>
  <si>
    <t>OBRAS PRELIMINARES</t>
  </si>
  <si>
    <t>1.1</t>
  </si>
  <si>
    <t>ACTIVIDADES PRELIMINARES</t>
  </si>
  <si>
    <t>1.1.1</t>
  </si>
  <si>
    <t>Localización y Replanteo de redes</t>
  </si>
  <si>
    <t>ML</t>
  </si>
  <si>
    <t xml:space="preserve">1.1.2 </t>
  </si>
  <si>
    <t>Localización y Replanteo Estructuras</t>
  </si>
  <si>
    <t>M2</t>
  </si>
  <si>
    <t xml:space="preserve">1.2 </t>
  </si>
  <si>
    <t>IMPACTO URBANO</t>
  </si>
  <si>
    <t xml:space="preserve">1.2.1 </t>
  </si>
  <si>
    <t>SEÑALIZACIÓN</t>
  </si>
  <si>
    <t xml:space="preserve">1.2.1.5 </t>
  </si>
  <si>
    <t xml:space="preserve">Cintas plásticas reflectivas </t>
  </si>
  <si>
    <t>TOTAL LOCALIZACIÓN, REPLANTEO Y SEÑALIZACIÓN DE REDES</t>
  </si>
  <si>
    <t xml:space="preserve">2.1 </t>
  </si>
  <si>
    <t xml:space="preserve">2.1.1 </t>
  </si>
  <si>
    <r>
      <t>M</t>
    </r>
    <r>
      <rPr>
        <vertAlign val="superscript"/>
        <sz val="10"/>
        <color theme="1"/>
        <rFont val="Calibri"/>
        <family val="2"/>
        <scheme val="minor"/>
      </rPr>
      <t>3</t>
    </r>
  </si>
  <si>
    <t xml:space="preserve">2.8 </t>
  </si>
  <si>
    <t>RELLENOS</t>
  </si>
  <si>
    <t xml:space="preserve">2.9 </t>
  </si>
  <si>
    <t>TOTAL RELLENOS Y TRANSPORTE DE MATERIAL</t>
  </si>
  <si>
    <t>CONDUCCIONES Y REDES DE ACUEDUCTO</t>
  </si>
  <si>
    <t xml:space="preserve">3.2 </t>
  </si>
  <si>
    <t>INSTALACIÓN TUBERÍAS EN PVC</t>
  </si>
  <si>
    <t>3.2.2</t>
  </si>
  <si>
    <t>INSTALACIÓN TUBERÍA PVC UNION MECÁNICA</t>
  </si>
  <si>
    <t>UN</t>
  </si>
  <si>
    <t xml:space="preserve">3.18 </t>
  </si>
  <si>
    <t xml:space="preserve">3.18.1 </t>
  </si>
  <si>
    <t>3.18.1.3</t>
  </si>
  <si>
    <t>3.18.3</t>
  </si>
  <si>
    <t>INSTALACIÓN DE VÁLVULAS DE RETENCIÓN Y DE GLOBO</t>
  </si>
  <si>
    <t xml:space="preserve">3.21 </t>
  </si>
  <si>
    <t>CAJAS PARA VALVULAS</t>
  </si>
  <si>
    <t>TOTAL INSTALACIÓN TUBERÍAS, VÁLVULAS Y ACCESORIOS</t>
  </si>
  <si>
    <t>TOTAL COSTOS DIRECTOS</t>
  </si>
  <si>
    <t>Valla de 8 m2 a 24 m2</t>
  </si>
  <si>
    <t>Valla hasta 8 m2</t>
  </si>
  <si>
    <t>1.2.1.1</t>
  </si>
  <si>
    <t>1.2.1.2</t>
  </si>
  <si>
    <t>1.2.1.3</t>
  </si>
  <si>
    <t>Señales Informativas,Preventivas y/o Reglamentarias</t>
  </si>
  <si>
    <t>1.2.1.4</t>
  </si>
  <si>
    <t>Conos Guía</t>
  </si>
  <si>
    <t>1.2.1.6</t>
  </si>
  <si>
    <t>1.2.1.7</t>
  </si>
  <si>
    <t>1.2.1.8</t>
  </si>
  <si>
    <t>1.2.1.9</t>
  </si>
  <si>
    <t>Barricadas</t>
  </si>
  <si>
    <t>Malla plástica de seguridad</t>
  </si>
  <si>
    <t>Pasos peatonales</t>
  </si>
  <si>
    <t>Iluminación</t>
  </si>
  <si>
    <t>Paletas de manejo de tráfico</t>
  </si>
  <si>
    <t>Sanitarios móviles</t>
  </si>
  <si>
    <t>1.2.1.3A</t>
  </si>
  <si>
    <t>Señales Informativas,Preventivas y/o Reglamentarias livianas y móviles</t>
  </si>
  <si>
    <t>1.2.1.10</t>
  </si>
  <si>
    <t>1.2.1.11</t>
  </si>
  <si>
    <t>1.2.1.12</t>
  </si>
  <si>
    <t>ROPA DE TRABAJO</t>
  </si>
  <si>
    <t>EPP`S</t>
  </si>
  <si>
    <t>u.</t>
  </si>
  <si>
    <t>PANTALÓN JEAN AZUL DE 6 BOLSILLOS</t>
  </si>
  <si>
    <t>CALZADO DE SEGURIDAD DE CUERO CON PUNTA DE ACERO</t>
  </si>
  <si>
    <t>BOTA PANTANERA DE CAUCHO</t>
  </si>
  <si>
    <t>FAJA ANTILUMBAGO REFLECTIVA</t>
  </si>
  <si>
    <t>CASCO DE SEGURIDAD BLANCO</t>
  </si>
  <si>
    <t>ENCAUCHADOS  - ESTÁNDAR CON CAPUCHA</t>
  </si>
  <si>
    <t>CHALECO REFLECTIVO</t>
  </si>
  <si>
    <t>CORDONES PARA GAFAS DE SEGURIDAD</t>
  </si>
  <si>
    <t>GAFAS DE SEGURIDAD TRANSPARENTES</t>
  </si>
  <si>
    <t xml:space="preserve">GUANTES  DE CUERO </t>
  </si>
  <si>
    <t>TAPONES AUDITIVOS</t>
  </si>
  <si>
    <t>OREJERAS</t>
  </si>
  <si>
    <t>MASCARILLA DESCARTABLE PARA POLVO 3 M</t>
  </si>
  <si>
    <t>DELANTAL PARA SOLDADOR</t>
  </si>
  <si>
    <t>GUANTES DE CUELLO LARGO PARA SOLDADOR</t>
  </si>
  <si>
    <t>CARETA PARA SOLDAR</t>
  </si>
  <si>
    <t>2.1.2</t>
  </si>
  <si>
    <t>2.1.3</t>
  </si>
  <si>
    <t>Excavaciones a mano en cualquier tipo de material bajo agua de 0 a 2 m de profundidad</t>
  </si>
  <si>
    <t>Excavaciones a mano en cualquier tipo de material bajo aguade 2 a 4 m de profundidad</t>
  </si>
  <si>
    <t xml:space="preserve">Excavaciones a mano en cualquier tipo de material bajo agua a profundidad mayor a 4m </t>
  </si>
  <si>
    <t>2.2</t>
  </si>
  <si>
    <t>2.2.1</t>
  </si>
  <si>
    <t>2.2.2</t>
  </si>
  <si>
    <t>2.2.3</t>
  </si>
  <si>
    <t>2.3.1</t>
  </si>
  <si>
    <t>2.3.2</t>
  </si>
  <si>
    <t>DEMOLICIONES</t>
  </si>
  <si>
    <t>2.4.1</t>
  </si>
  <si>
    <t>Demoliciones de estructuras en concreto simple</t>
  </si>
  <si>
    <t>Demoliciones de estructuras en concreto reforzado</t>
  </si>
  <si>
    <t>Demolición de estructuras en concreto ciclopéo</t>
  </si>
  <si>
    <t>2.4.2</t>
  </si>
  <si>
    <t>Demolicióm de Pavimento en concreto</t>
  </si>
  <si>
    <t>Demolición de Pavimento asfáltico</t>
  </si>
  <si>
    <t>Demolición de Sardineles en concreto</t>
  </si>
  <si>
    <t>Ml</t>
  </si>
  <si>
    <t>Demolición de Mamposteria en ladrillo tolete</t>
  </si>
  <si>
    <t>Demolición de Pozos en ladrillo</t>
  </si>
  <si>
    <t>Demolición de tubería gres o cemento menores a 400 m (16")</t>
  </si>
  <si>
    <t>Demolición de tubería gres o cemento de 400 mm (16") a 600 m (24")</t>
  </si>
  <si>
    <t>Demolición de tubería concreto reforzado igual o mayor de 760 mm (30")</t>
  </si>
  <si>
    <t>Demolición de tubería gres o cemento de 600 mm (24") a 760 m (30")</t>
  </si>
  <si>
    <t>2.5</t>
  </si>
  <si>
    <t>2.6</t>
  </si>
  <si>
    <t>2.6.1.1</t>
  </si>
  <si>
    <t>2.6.1.2</t>
  </si>
  <si>
    <t>2.6.1.3</t>
  </si>
  <si>
    <t>2.6.2</t>
  </si>
  <si>
    <t>2.6.3</t>
  </si>
  <si>
    <t>2.6.4</t>
  </si>
  <si>
    <t>2.6.5</t>
  </si>
  <si>
    <t>2.6.6</t>
  </si>
  <si>
    <t>2.6.7</t>
  </si>
  <si>
    <t>2.6.8.1</t>
  </si>
  <si>
    <t>2.6.8.2</t>
  </si>
  <si>
    <t>2.6.8.3</t>
  </si>
  <si>
    <t>2.6.8.4</t>
  </si>
  <si>
    <t>Excavación con maquina en tierra o conglomerado a cualquier profundidad</t>
  </si>
  <si>
    <t>Excavación con maquina en tierra o conglomerado a cualquier profundidad bajo agua</t>
  </si>
  <si>
    <t>Excavación en Roca</t>
  </si>
  <si>
    <t>2.7</t>
  </si>
  <si>
    <t>ENTIBADOS</t>
  </si>
  <si>
    <t>2.7.1</t>
  </si>
  <si>
    <t>Entibado Tipo 1 (Apuntalamiento)</t>
  </si>
  <si>
    <t>2.7.2</t>
  </si>
  <si>
    <t>2.7.3</t>
  </si>
  <si>
    <t>2.7.4</t>
  </si>
  <si>
    <t>Entibado Tipo 1A (Discontinuo en Madera)</t>
  </si>
  <si>
    <t>Entibado Tipo 2 (Continuo en Madera)</t>
  </si>
  <si>
    <t>Entibado Tipo 3 (Continuo Metálico)</t>
  </si>
  <si>
    <t>2.7.5</t>
  </si>
  <si>
    <t xml:space="preserve">Tablestacado </t>
  </si>
  <si>
    <r>
      <t>M</t>
    </r>
    <r>
      <rPr>
        <vertAlign val="superscript"/>
        <sz val="10"/>
        <color theme="1"/>
        <rFont val="Calibri"/>
        <family val="2"/>
        <scheme val="minor"/>
      </rPr>
      <t>2</t>
    </r>
  </si>
  <si>
    <t>2.8.1</t>
  </si>
  <si>
    <t>Relleno con material seleccionado procedente de la excavación</t>
  </si>
  <si>
    <t>2.8.2</t>
  </si>
  <si>
    <t>Sub-base B-200 (Recebo seleccionado)</t>
  </si>
  <si>
    <t xml:space="preserve">Sub-base Granular B-400 </t>
  </si>
  <si>
    <t>Base Granular B-600</t>
  </si>
  <si>
    <t>2.8.3</t>
  </si>
  <si>
    <t>2.8.4</t>
  </si>
  <si>
    <t>2.8.5</t>
  </si>
  <si>
    <t>2.8.6</t>
  </si>
  <si>
    <t>2.8.7</t>
  </si>
  <si>
    <t>Relleno con Arena de Peña</t>
  </si>
  <si>
    <t>Relleno con Arena Lavada,Grava o mixto</t>
  </si>
  <si>
    <t>2.8.8</t>
  </si>
  <si>
    <t>Relleno con Piedra (Rajòn)</t>
  </si>
  <si>
    <t>2.10</t>
  </si>
  <si>
    <t>OBRAS DE PROTECCION Y FILTROS</t>
  </si>
  <si>
    <t>2.10.1</t>
  </si>
  <si>
    <t>Enrocado de protección</t>
  </si>
  <si>
    <t>Gaviones</t>
  </si>
  <si>
    <t>Bolsacretos</t>
  </si>
  <si>
    <t>Bolsa suelos</t>
  </si>
  <si>
    <t>Relleno con Triturado</t>
  </si>
  <si>
    <t>Tierra Armada</t>
  </si>
  <si>
    <t>2.10.2</t>
  </si>
  <si>
    <t>2.10.3</t>
  </si>
  <si>
    <t>2.10.4</t>
  </si>
  <si>
    <t>2.10.5</t>
  </si>
  <si>
    <t>Tubería de Drenaje de 2"</t>
  </si>
  <si>
    <t>Tubería de Drenaje de 3"</t>
  </si>
  <si>
    <t>Tubería de Drenaje de 4"</t>
  </si>
  <si>
    <t>Tubería de Drenaje de 6"</t>
  </si>
  <si>
    <t>2.10.6.1</t>
  </si>
  <si>
    <t>2.10.6.2</t>
  </si>
  <si>
    <t>2.10.6.3</t>
  </si>
  <si>
    <t>2.10.6.4</t>
  </si>
  <si>
    <t>2.10.7</t>
  </si>
  <si>
    <t>Filtro en Piedra (Francés)</t>
  </si>
  <si>
    <t>2.10.8</t>
  </si>
  <si>
    <t>Geotextil NT-</t>
  </si>
  <si>
    <t>3.2.1</t>
  </si>
  <si>
    <t>INSTALACION TUBERIA PRESION SOLDAR</t>
  </si>
  <si>
    <t>3.2.1.1</t>
  </si>
  <si>
    <t>3.2.1.2</t>
  </si>
  <si>
    <t>3.2.1.3</t>
  </si>
  <si>
    <t>3.2.1.4</t>
  </si>
  <si>
    <t>Instalación tubería PVC Presión soldar 1/2"</t>
  </si>
  <si>
    <t>Instalación tubería PVC Presión soldar 3/4"</t>
  </si>
  <si>
    <t>Instalación tubería PVC Presión soldar 1"</t>
  </si>
  <si>
    <t>Instalación tubería PVC Presión soldar 1 1/2"</t>
  </si>
  <si>
    <t>3.2.2.3</t>
  </si>
  <si>
    <t>3.2.2.4</t>
  </si>
  <si>
    <t>3.2.2.5</t>
  </si>
  <si>
    <t>3.2.2.6</t>
  </si>
  <si>
    <t>3.2.2.7</t>
  </si>
  <si>
    <t>3.2.2.8</t>
  </si>
  <si>
    <t>3.2.2.9</t>
  </si>
  <si>
    <t>3.2.2.10</t>
  </si>
  <si>
    <t>3.2.2.11</t>
  </si>
  <si>
    <t>3.2.2.12</t>
  </si>
  <si>
    <t>3.2.2.13</t>
  </si>
  <si>
    <t>Instalación tubería PVC Unión mecánica D=2 "</t>
  </si>
  <si>
    <t>Instalación tubería PVC Unión mecánica D=3"</t>
  </si>
  <si>
    <t>Instalación tubería PVC Unión mecánica D=4"</t>
  </si>
  <si>
    <t>Instalación tubería PVC Unión mecánica D=6"</t>
  </si>
  <si>
    <t>Instalación tubería PVC Unión mecánica D=8"</t>
  </si>
  <si>
    <t>Instalación tubería PVC Unión mecánica D=10"</t>
  </si>
  <si>
    <t>Instalación tubería PVC Unión mecánica D=12"</t>
  </si>
  <si>
    <t>Instalación tubería PVC Unión mecánica D=14"</t>
  </si>
  <si>
    <t>Instalación tubería PVC Unión mecánica D=16"</t>
  </si>
  <si>
    <t>Instalación tubería PVC Unión mecánica D=18"</t>
  </si>
  <si>
    <t>Instalación tubería PVC Unión mecánica D=20"</t>
  </si>
  <si>
    <t>Instalación tubería PVC Unión mecánica D=24"</t>
  </si>
  <si>
    <t>3.2.1.5</t>
  </si>
  <si>
    <t>Instalación tubería PVC Presión soldar 2</t>
  </si>
  <si>
    <t>Instalación tubería PVC Presión soldar 6"</t>
  </si>
  <si>
    <t>Instalación tubería PVC Presión soldar 3"</t>
  </si>
  <si>
    <t>Instalación tubería PVC Presión soldar 4"</t>
  </si>
  <si>
    <t>3.2.1.6</t>
  </si>
  <si>
    <t>3.2.1.7</t>
  </si>
  <si>
    <t>3.2.1.8</t>
  </si>
  <si>
    <t>3.2.1.9</t>
  </si>
  <si>
    <t>3.2.1.10</t>
  </si>
  <si>
    <t>Instalación PF+UAD D=1/2" a 3/4"</t>
  </si>
  <si>
    <t>3.4</t>
  </si>
  <si>
    <t>INSTALACION ACCESORIOS PVC</t>
  </si>
  <si>
    <t>3.4.1</t>
  </si>
  <si>
    <t>3.4.2</t>
  </si>
  <si>
    <t>3.4.3</t>
  </si>
  <si>
    <t>Instalación accesorios PVC de D=2" a 4"</t>
  </si>
  <si>
    <t>Instalación accesorios PVC de D=6" a 8"</t>
  </si>
  <si>
    <t>Instalación accesorios PVC de D=10" a 12"</t>
  </si>
  <si>
    <t>3.6</t>
  </si>
  <si>
    <t>INSTALACION DE TUBERIA EN POLIETILENO DE ALTA DENSIDAD PEAD</t>
  </si>
  <si>
    <t>3.6.1</t>
  </si>
  <si>
    <t>Instalación tubería PEAD de 50 mm</t>
  </si>
  <si>
    <t>Instalación tubería PEAD de 63 mm</t>
  </si>
  <si>
    <t>Instalación tubería PEAD de 75 mm</t>
  </si>
  <si>
    <t>Instalación tubería PEAD de 90 mm</t>
  </si>
  <si>
    <t>Instalación tubería PEAD de 110mm</t>
  </si>
  <si>
    <t>Instalación tubería PEAD de 160 mm</t>
  </si>
  <si>
    <t>Instalación tubería PEAD de 200 mm</t>
  </si>
  <si>
    <t>Instalación tubería PEAD de 250 mm</t>
  </si>
  <si>
    <t>Instalación tubería PEAD de 315 mm</t>
  </si>
  <si>
    <t>Instalación tubería PEAD de 355 mm</t>
  </si>
  <si>
    <t>Instalación tubería PEAD de 400 mm</t>
  </si>
  <si>
    <t>3.6.2</t>
  </si>
  <si>
    <t>3.6.3</t>
  </si>
  <si>
    <t>3.6.4</t>
  </si>
  <si>
    <t>3.6.5</t>
  </si>
  <si>
    <t>3.6.6</t>
  </si>
  <si>
    <t>3.6.7</t>
  </si>
  <si>
    <t>3.6.8</t>
  </si>
  <si>
    <t>3.6.9</t>
  </si>
  <si>
    <t>3.6.10</t>
  </si>
  <si>
    <t>3.6.11</t>
  </si>
  <si>
    <t>3.8</t>
  </si>
  <si>
    <t>INSTALACION ACCESORIOS PEAD</t>
  </si>
  <si>
    <t>3.8.1</t>
  </si>
  <si>
    <t>INSTALACION ACCESORIOS PEAD TERMOFUSION</t>
  </si>
  <si>
    <t>3.8.1.1</t>
  </si>
  <si>
    <t>3.8.1.2</t>
  </si>
  <si>
    <t>3.8.1.3</t>
  </si>
  <si>
    <t>3.8.1.4</t>
  </si>
  <si>
    <t>INSTALACION ACCESORIOS PEAD ELECTRO FUSION</t>
  </si>
  <si>
    <t>3.8.2</t>
  </si>
  <si>
    <t>3.8.2.1</t>
  </si>
  <si>
    <t>3.8.2.2</t>
  </si>
  <si>
    <t>3.8.2.3</t>
  </si>
  <si>
    <t>3.8.2.4</t>
  </si>
  <si>
    <t>3.10</t>
  </si>
  <si>
    <t>INSTALACION TUBERIA EN HIERRO GALVANIZADO</t>
  </si>
  <si>
    <t>3.10.1</t>
  </si>
  <si>
    <t>Instalación de tubería de HG de 3/8"</t>
  </si>
  <si>
    <t>Instalación de tubería de HG de 1/2"</t>
  </si>
  <si>
    <t>Instalación de tubería de HG de 3/4"</t>
  </si>
  <si>
    <t>Instalación de tubería de HG de 1"</t>
  </si>
  <si>
    <t>Instalación de tubería de HG de 1 1/2"</t>
  </si>
  <si>
    <t>Instalación de tubería de HG de 1/4"</t>
  </si>
  <si>
    <t>Instalación de tubería de HG de 1 1/4"</t>
  </si>
  <si>
    <t>Instalación de tubería de HG de 2"</t>
  </si>
  <si>
    <t>Instalación de tubería de HG de 2 1/2"</t>
  </si>
  <si>
    <t>Instalación de tubería de HG de 3"</t>
  </si>
  <si>
    <t>Instalación de tubería de HG de 4"</t>
  </si>
  <si>
    <t>Instalación de tubería de HG de 6"</t>
  </si>
  <si>
    <t>Instalación de tubería de HG de 8"</t>
  </si>
  <si>
    <t>Instalación de tubería de HG de 10"</t>
  </si>
  <si>
    <t>Instalación de tubería de HG de 12"</t>
  </si>
  <si>
    <t>Instalación de tubería de HG de 16"</t>
  </si>
  <si>
    <t>Instalación de tubería de HG de 20"</t>
  </si>
  <si>
    <t>3.10.2</t>
  </si>
  <si>
    <t>3.10.3</t>
  </si>
  <si>
    <t>3.10.4</t>
  </si>
  <si>
    <t>3.10.5</t>
  </si>
  <si>
    <t>3.10.6</t>
  </si>
  <si>
    <t>3.10.7</t>
  </si>
  <si>
    <t>3.10.8</t>
  </si>
  <si>
    <t>3.10.9</t>
  </si>
  <si>
    <t>3.10.10</t>
  </si>
  <si>
    <t>3.10.11</t>
  </si>
  <si>
    <t>3.10.12</t>
  </si>
  <si>
    <t>3.10.13</t>
  </si>
  <si>
    <t>3.10.14</t>
  </si>
  <si>
    <t>3.10.15</t>
  </si>
  <si>
    <t>3.10.16</t>
  </si>
  <si>
    <t>3.10.17</t>
  </si>
  <si>
    <t>3.12</t>
  </si>
  <si>
    <t>INSTALACION ACCESORIOS  EN HIERRO GALVANIZADO</t>
  </si>
  <si>
    <t>Instalación accesorios de 1/4" a 1/2"</t>
  </si>
  <si>
    <t>Instalación accesorios de 3/4" a 1"</t>
  </si>
  <si>
    <t>Instalación accesorios de 1 1/4" a 1 1/2"</t>
  </si>
  <si>
    <t>Instalación accesorios de 2" a 2 1/2"</t>
  </si>
  <si>
    <t xml:space="preserve">Instalación accesorios de 3 a 4" </t>
  </si>
  <si>
    <t xml:space="preserve">Instalación accesorios de 6" a 8" </t>
  </si>
  <si>
    <t xml:space="preserve">Instalación accesorios de 10" a 12" </t>
  </si>
  <si>
    <t xml:space="preserve">Instalación accesorios de 16"  </t>
  </si>
  <si>
    <t xml:space="preserve">Instalación accesorios de 20"  </t>
  </si>
  <si>
    <t>3.12.1</t>
  </si>
  <si>
    <t>3.12.2</t>
  </si>
  <si>
    <t>3.12.3</t>
  </si>
  <si>
    <t>3.12.4</t>
  </si>
  <si>
    <t>3.12.5</t>
  </si>
  <si>
    <t>3.12.6</t>
  </si>
  <si>
    <t>3.12.7</t>
  </si>
  <si>
    <t>3.12.8</t>
  </si>
  <si>
    <t>3.12.9</t>
  </si>
  <si>
    <t>3.14</t>
  </si>
  <si>
    <t>INSTALACION TUBERIA EN HIERRO DUCTIL</t>
  </si>
  <si>
    <t>INSTALACION TUBERIA HD CAMPANA ESPIGO</t>
  </si>
  <si>
    <t>Instalación tubería HD de 60 mm</t>
  </si>
  <si>
    <t>Instalación tubería HD de 80 mm</t>
  </si>
  <si>
    <t>Instalación tubería HD de 100 mm</t>
  </si>
  <si>
    <t>Instalación tubería HD de 125 mm</t>
  </si>
  <si>
    <t>Instalación tubería HD de 150 mm</t>
  </si>
  <si>
    <t>Instalación tubería HD de 200 mm</t>
  </si>
  <si>
    <t>Instalación tubería HD de 250 mm</t>
  </si>
  <si>
    <t>Instalación tubería HD de 300 mm</t>
  </si>
  <si>
    <t>Instalación tubería HD de 350 mm</t>
  </si>
  <si>
    <t>Instalación tubería HD de 400 mm</t>
  </si>
  <si>
    <t>Instalación tubería HD de 450 mm</t>
  </si>
  <si>
    <t>Instalación tubería HD de 500 mm</t>
  </si>
  <si>
    <t>Instalación tubería HD de 600 mm</t>
  </si>
  <si>
    <t>Instalación tubería HD de 700 mm</t>
  </si>
  <si>
    <t>Instalación tubería HD de 800 mm</t>
  </si>
  <si>
    <t>Instalación tubería HD de 900 mm</t>
  </si>
  <si>
    <t>Instalación tubería HD de 1000 mm</t>
  </si>
  <si>
    <t>Instalación tubería HD de 1100 mm</t>
  </si>
  <si>
    <t>Instalación tubería HD de 1200 mm</t>
  </si>
  <si>
    <t>3.14.1</t>
  </si>
  <si>
    <t>3.14.1.1</t>
  </si>
  <si>
    <t>3.14.1.2</t>
  </si>
  <si>
    <t>3.14.1.3</t>
  </si>
  <si>
    <t>3.14.1.4</t>
  </si>
  <si>
    <t>3.14.1.5</t>
  </si>
  <si>
    <t>3.14.1.6</t>
  </si>
  <si>
    <t>3.14.1.7</t>
  </si>
  <si>
    <t>3.14.1.8</t>
  </si>
  <si>
    <t>3.14.1.9</t>
  </si>
  <si>
    <t>3.14.1.10</t>
  </si>
  <si>
    <t>3.14.1.11</t>
  </si>
  <si>
    <t>3.14.1.12</t>
  </si>
  <si>
    <t>3.14.1.13</t>
  </si>
  <si>
    <t>3.14.1.14</t>
  </si>
  <si>
    <t>3.14.1.15</t>
  </si>
  <si>
    <t>3.14.1.16</t>
  </si>
  <si>
    <t>3.14.1.17</t>
  </si>
  <si>
    <t>3.14.1.18</t>
  </si>
  <si>
    <t>3.14.1.19</t>
  </si>
  <si>
    <t>3.14.2</t>
  </si>
  <si>
    <t>3.14.2.1</t>
  </si>
  <si>
    <t>3.14.2.2</t>
  </si>
  <si>
    <t>3.14.2.3</t>
  </si>
  <si>
    <t>3.14.2.4</t>
  </si>
  <si>
    <t>3.14.2.5</t>
  </si>
  <si>
    <t>3.14.2.6</t>
  </si>
  <si>
    <t>3.14.2.7</t>
  </si>
  <si>
    <t>3.14.2.8</t>
  </si>
  <si>
    <t>3.14.2.9</t>
  </si>
  <si>
    <t>3.14.2.10</t>
  </si>
  <si>
    <t>3.14.2.11</t>
  </si>
  <si>
    <t>3.14.2.12</t>
  </si>
  <si>
    <t>3.14.2.13</t>
  </si>
  <si>
    <t>3.14.2.14</t>
  </si>
  <si>
    <t>3.14.2.15</t>
  </si>
  <si>
    <t>3.14.2.16</t>
  </si>
  <si>
    <t>3.14.2.17</t>
  </si>
  <si>
    <t>3.14.2.18</t>
  </si>
  <si>
    <t>3.14.2.19</t>
  </si>
  <si>
    <t>3.16</t>
  </si>
  <si>
    <t>INSTALACION ACCESORIOS HD</t>
  </si>
  <si>
    <t>3.16.1</t>
  </si>
  <si>
    <t>3.16.2</t>
  </si>
  <si>
    <t>3.16.3</t>
  </si>
  <si>
    <t>3.16.4</t>
  </si>
  <si>
    <t>3.16.5</t>
  </si>
  <si>
    <t>3.16.6</t>
  </si>
  <si>
    <t>3.16.7</t>
  </si>
  <si>
    <t>INSTALACIÓN DE ACCESORIOS EN HIERRO FUNDIDO O ESPECIALES</t>
  </si>
  <si>
    <t>Instalación tubería PVC Unión mecánica D=2 1/2 "</t>
  </si>
  <si>
    <t>3.2.2.1</t>
  </si>
  <si>
    <t>3.2.2.2</t>
  </si>
  <si>
    <t>3.18.1.1</t>
  </si>
  <si>
    <t>3.18.1.2</t>
  </si>
  <si>
    <t>3.18.1.4</t>
  </si>
  <si>
    <t>3.18.1.5</t>
  </si>
  <si>
    <t>3.18.1.7</t>
  </si>
  <si>
    <t>3.18.1.8</t>
  </si>
  <si>
    <t>3.18.1.9</t>
  </si>
  <si>
    <t>3.18.1.11</t>
  </si>
  <si>
    <t>3.18.1.12</t>
  </si>
  <si>
    <t>3.18.1.13</t>
  </si>
  <si>
    <t>3.18.1.15</t>
  </si>
  <si>
    <t>3.18.1.16</t>
  </si>
  <si>
    <t>3.18.1.17</t>
  </si>
  <si>
    <t>3.18.1.18</t>
  </si>
  <si>
    <t>3.18.1.19</t>
  </si>
  <si>
    <t>3.18.2</t>
  </si>
  <si>
    <t>INSTALACION HIDRANTES</t>
  </si>
  <si>
    <t>3.18.2.1</t>
  </si>
  <si>
    <t>Instalación Hidrante tipo Milan de 3" a 4"</t>
  </si>
  <si>
    <t>Instalación Hidrante tipo Poste de 4" a 6"</t>
  </si>
  <si>
    <t>Instalación Hidrante tipo Tráfico de 4" a 6"</t>
  </si>
  <si>
    <t>Instalación Hidrante tipo Boston de 3" a 4"</t>
  </si>
  <si>
    <t>3.18.2.2</t>
  </si>
  <si>
    <t>3.18.2.3</t>
  </si>
  <si>
    <t>3.18.2.4</t>
  </si>
  <si>
    <t>Instalación válvulas de 2" a 4"</t>
  </si>
  <si>
    <t>3.18.3.2</t>
  </si>
  <si>
    <t>3.18.3.3</t>
  </si>
  <si>
    <t>3.18.3.4</t>
  </si>
  <si>
    <t>3.18.3.5</t>
  </si>
  <si>
    <t>3.18.3.6</t>
  </si>
  <si>
    <t>Instalación válvulas de 6" a 8"</t>
  </si>
  <si>
    <t>Instalación válvulas de 10" a 12"</t>
  </si>
  <si>
    <t>Instalación válvulas de 14" a 16"</t>
  </si>
  <si>
    <t>Instalación válvulas de 18" a 20"</t>
  </si>
  <si>
    <t>Instalación válvulas de 24"</t>
  </si>
  <si>
    <t>INSTALACION VALVULAS</t>
  </si>
  <si>
    <t>3.18.3,1</t>
  </si>
  <si>
    <t>3.18.3.1,1</t>
  </si>
  <si>
    <t>3.18.3.1,2</t>
  </si>
  <si>
    <t>3.18.3.1,3</t>
  </si>
  <si>
    <t>3.18.3.1,4</t>
  </si>
  <si>
    <t>3.18.3.1,5</t>
  </si>
  <si>
    <t>3.18.3.1,6</t>
  </si>
  <si>
    <t>VÁLVULAS COMPUERTA Y VENTOSAS</t>
  </si>
  <si>
    <t>VALVULAS DE FLOTADOR</t>
  </si>
  <si>
    <t>3.18.3.2.1</t>
  </si>
  <si>
    <t>Instalación válvula Flotador de 1/2" a 1"</t>
  </si>
  <si>
    <t>Instalación válvula Flotador de 1 1/2" a 3"</t>
  </si>
  <si>
    <t>3.18.3.2.2</t>
  </si>
  <si>
    <t>VALVULAS REGULADORAS DE NIVEL</t>
  </si>
  <si>
    <t>Instalación válvulas Reguladoras de nivel de 2" a 4"</t>
  </si>
  <si>
    <t>Instalación válvulas Reguladoras de nivel de 6" a 8"</t>
  </si>
  <si>
    <t>Instalación válvulas Reguladoras de nivel de 10" a 12"</t>
  </si>
  <si>
    <t>3.18.3.3.1</t>
  </si>
  <si>
    <t>3.18.3.3.2</t>
  </si>
  <si>
    <t>3.18.3.3.3</t>
  </si>
  <si>
    <t>3.18.3.4.1</t>
  </si>
  <si>
    <t>Instalación válvulas Retención o de Globo de 2" a 4"</t>
  </si>
  <si>
    <t>Instalación válvulas Retención o de Globo de 6" a 8"</t>
  </si>
  <si>
    <t>Instalación válvulas Retención o de Globo de 10" a 12"</t>
  </si>
  <si>
    <t>3.18.3.4.2</t>
  </si>
  <si>
    <t>3.18.3.4.3</t>
  </si>
  <si>
    <t>INSTALACIÓN DE VÁLVULAS REGULADORAS DE PRESION</t>
  </si>
  <si>
    <t>3.18.3.5.1</t>
  </si>
  <si>
    <t>3.18.3.5.2</t>
  </si>
  <si>
    <t>3.18.3.5.3</t>
  </si>
  <si>
    <t>Instalación válvulas Reguladoras de presión de 2" a 4"</t>
  </si>
  <si>
    <t>Instalación válvulas Reguladoras de presión de 6" a 8"</t>
  </si>
  <si>
    <t>Instalación válvulas Reguladoras de presión de 10" a 12"</t>
  </si>
  <si>
    <t>INSTALACION DE VALVULAS DE PIE O COLADERA</t>
  </si>
  <si>
    <t>Instalación válvulas  de Pie o Coladera de 2" a 4"</t>
  </si>
  <si>
    <t>3.18.3.6.1</t>
  </si>
  <si>
    <t>Instalación válvulas  de Pie o Coladera de 6" a 8"</t>
  </si>
  <si>
    <t>Instalación válvulas  de Pie o Coladera de 10" a 12"</t>
  </si>
  <si>
    <t>3.18.3.6.2</t>
  </si>
  <si>
    <t>3.18.3.6.3</t>
  </si>
  <si>
    <t>3.18.4</t>
  </si>
  <si>
    <t>INSTALACION REGISTROS DE BOLA</t>
  </si>
  <si>
    <t>Instalación registro de bola de 1/2" a 1"</t>
  </si>
  <si>
    <t>3.18.4.1</t>
  </si>
  <si>
    <t>3.18.4.2</t>
  </si>
  <si>
    <t>3.18.4.3</t>
  </si>
  <si>
    <t>Instalación registro de bola de 1 1/4" a 2"</t>
  </si>
  <si>
    <t>Instalación registro de bola de 2 1/2" a 4"</t>
  </si>
  <si>
    <t>Instalación válvulas mariposa de 6" a 8"</t>
  </si>
  <si>
    <t>Instalación válvulas mariposa de 2" a 4"</t>
  </si>
  <si>
    <t>Instalación válvulas mariposa de 10" a 12"</t>
  </si>
  <si>
    <t>Instalación válvulas mariposa de 14" a 16"</t>
  </si>
  <si>
    <t>Instalación válvulas mariposa de 18" a 20"</t>
  </si>
  <si>
    <t>Instalación válvulas mariposa de 24"</t>
  </si>
  <si>
    <t>3.18.3.8</t>
  </si>
  <si>
    <t>3.18.3.7</t>
  </si>
  <si>
    <t>3.18.3.8.1</t>
  </si>
  <si>
    <t>3.18.3.7.1</t>
  </si>
  <si>
    <t>3.18.3.7.2</t>
  </si>
  <si>
    <t>3.18.3.7.3</t>
  </si>
  <si>
    <t>3.18.3.7.4</t>
  </si>
  <si>
    <t>3.18.3.7.5</t>
  </si>
  <si>
    <t>3.18.3.7.6</t>
  </si>
  <si>
    <t>3.18.3.8.2</t>
  </si>
  <si>
    <t>3.18.3.8.3</t>
  </si>
  <si>
    <t>3.18.3.8.4</t>
  </si>
  <si>
    <t>3.18.3.8.5</t>
  </si>
  <si>
    <t>3.18.3.8.6</t>
  </si>
  <si>
    <t>VÁLVULAS APERTURA Y CIERRE RAPIDO</t>
  </si>
  <si>
    <t>Instalación válvulas apertura y cierre rápido de 2" a 4"</t>
  </si>
  <si>
    <t>Instalación válvulas apertura y cierre rápido de 24"</t>
  </si>
  <si>
    <t>Instalación válvulas apertura y cierre rápido de 6" a 8"</t>
  </si>
  <si>
    <t>Instalación válvulas apertura y cierre rápido de 10" a 12"</t>
  </si>
  <si>
    <t>Instalación válvulas apertura y cierre rápido de 14" a 16"</t>
  </si>
  <si>
    <t>Instalación válvulas apertura y cierre rápido de 18" a 20"</t>
  </si>
  <si>
    <t>INSTALACION VÁLVULAS MARIPOSA</t>
  </si>
  <si>
    <t>3.18.5</t>
  </si>
  <si>
    <t>INSTALACION DE COMPUERTAS LATERALES</t>
  </si>
  <si>
    <t>Instalación de compuertas  de 24" a 36"</t>
  </si>
  <si>
    <t>Instalación de compuertas  de 40" a 60"</t>
  </si>
  <si>
    <t>3.18.6</t>
  </si>
  <si>
    <t>INSTALACION MACROMEDIDORES</t>
  </si>
  <si>
    <t>3.18.6.1</t>
  </si>
  <si>
    <t>Instalación Macromedidor de 2"</t>
  </si>
  <si>
    <t>3.18.6.2</t>
  </si>
  <si>
    <t>3.18.6.3</t>
  </si>
  <si>
    <t>3.18.6.4</t>
  </si>
  <si>
    <t>3.18.6.5</t>
  </si>
  <si>
    <t>3.18.6.6</t>
  </si>
  <si>
    <t>3.18.6.7</t>
  </si>
  <si>
    <t>Instalación Macromedidor de 4"</t>
  </si>
  <si>
    <t>Instalación Macromedidor de 6"</t>
  </si>
  <si>
    <t>Instalación Macromedidor de 8"</t>
  </si>
  <si>
    <t>Instalación Macromedidor de 10"</t>
  </si>
  <si>
    <t>Instalación Macromedidor de 12"</t>
  </si>
  <si>
    <t>Instalación Macromedidor de 3"</t>
  </si>
  <si>
    <t>Compuertas laterales deslizantes con sello bronce circular o rectangular, incluye la instalación de todos los elementos para su funcionamiento (vastago, columna de maniobra,rueda de manejo etc.)</t>
  </si>
  <si>
    <t>3.18.7</t>
  </si>
  <si>
    <t>INSTALACION OTROS ACCESORIOS</t>
  </si>
  <si>
    <t>3.18.7.1</t>
  </si>
  <si>
    <t>3.15.5.1</t>
  </si>
  <si>
    <t>3.18.5.1.1</t>
  </si>
  <si>
    <t>3.18.5.1.2</t>
  </si>
  <si>
    <t>3.18.5.1.3</t>
  </si>
  <si>
    <t>3.18.5.1.5</t>
  </si>
  <si>
    <t>3.18.5.1.6</t>
  </si>
  <si>
    <t>3.15.5.2</t>
  </si>
  <si>
    <t>Compuertas Tipo Chapaleta o Charnelas</t>
  </si>
  <si>
    <t>3.15.5.2.1</t>
  </si>
  <si>
    <t>3.15.5.2.2</t>
  </si>
  <si>
    <t>3.15.5.2.3</t>
  </si>
  <si>
    <t>3.15.5.2.4</t>
  </si>
  <si>
    <t>3.15.5.2.5</t>
  </si>
  <si>
    <t>3.15.5.2.6</t>
  </si>
  <si>
    <t>3.15.5.2.7</t>
  </si>
  <si>
    <t>Instalación Micromedidores de Chorro Múltiple de 1/2" a 2"</t>
  </si>
  <si>
    <t>Instalación Micromedidores de Chorro único de 1/2"</t>
  </si>
  <si>
    <t>Instalación Micromedidores volumetrico de 1/2"</t>
  </si>
  <si>
    <t>Micromedidores</t>
  </si>
  <si>
    <t>3.18.7.1.1</t>
  </si>
  <si>
    <t>3.18.7.1.2</t>
  </si>
  <si>
    <t>3.18.7.1.3</t>
  </si>
  <si>
    <t>3.21.1</t>
  </si>
  <si>
    <t xml:space="preserve">Construcción Caja para Purga </t>
  </si>
  <si>
    <t xml:space="preserve">Construcción Caja para Ventosa </t>
  </si>
  <si>
    <t>Construcción Caja para Válvulas de 0,30 X 0,30 m</t>
  </si>
  <si>
    <t>Construcción Caja para válvulas de 0,60 X 0,60 m</t>
  </si>
  <si>
    <t>Construcción Caja para macromedidor de 2,00 x 1,00 m</t>
  </si>
  <si>
    <t>En mamposteria</t>
  </si>
  <si>
    <t>3.21.1.1</t>
  </si>
  <si>
    <t>3.21.1.2</t>
  </si>
  <si>
    <t>3.21.1.3</t>
  </si>
  <si>
    <t>3.21.1.4</t>
  </si>
  <si>
    <t>3.21.1.5</t>
  </si>
  <si>
    <t>CONCRETOS, MORTEROS, ACERO DE REFUERZO Y ADITIVOS</t>
  </si>
  <si>
    <t xml:space="preserve">5.1 </t>
  </si>
  <si>
    <t>CONCRETOS SIMPLES</t>
  </si>
  <si>
    <t>Concreto simple resistencia 10,5 MPa (105 kg/cm2)</t>
  </si>
  <si>
    <r>
      <t>M</t>
    </r>
    <r>
      <rPr>
        <vertAlign val="superscript"/>
        <sz val="10"/>
        <color indexed="8"/>
        <rFont val="Calibri"/>
        <family val="2"/>
      </rPr>
      <t>3</t>
    </r>
  </si>
  <si>
    <t xml:space="preserve">5.2 </t>
  </si>
  <si>
    <t>CONCRETOS ESTRUCTURALES</t>
  </si>
  <si>
    <t xml:space="preserve">5.2.1 </t>
  </si>
  <si>
    <t xml:space="preserve">Concreto estructural resistencia  21,0 MPa (210 kg/cm2) </t>
  </si>
  <si>
    <t>5.4</t>
  </si>
  <si>
    <t xml:space="preserve">5.4.1 </t>
  </si>
  <si>
    <t xml:space="preserve">Acero de refuerzo 60.000PSI </t>
  </si>
  <si>
    <t>KG</t>
  </si>
  <si>
    <t xml:space="preserve">5.6 </t>
  </si>
  <si>
    <t>JUNTAS DE CONSTRUCCIÓN</t>
  </si>
  <si>
    <t>5.1.1</t>
  </si>
  <si>
    <t>5.1.3</t>
  </si>
  <si>
    <t>5.1.4</t>
  </si>
  <si>
    <t>5.1.5</t>
  </si>
  <si>
    <t>5.1.6</t>
  </si>
  <si>
    <t>Concreto simple resistencia 14 MPa (140 kg/cm2)</t>
  </si>
  <si>
    <t>Concreto simple resistencia 17,5 MPa (175 kg/cm2)</t>
  </si>
  <si>
    <t>Concreto simple resistencia 21 MPa (210 kg/cm2)</t>
  </si>
  <si>
    <t>Concreto simple resistencia 24,5 MPa (245 kg/cm2)</t>
  </si>
  <si>
    <t>Concreto simple resistencia 28 MPa (280 kg/cm2)</t>
  </si>
  <si>
    <t>5.1.2</t>
  </si>
  <si>
    <t>5.2.1.1</t>
  </si>
  <si>
    <t>Para losas de fondo</t>
  </si>
  <si>
    <t>Para muros</t>
  </si>
  <si>
    <t>Para Placa superior</t>
  </si>
  <si>
    <t>Para zapatas</t>
  </si>
  <si>
    <t>Para vigas de cimentación</t>
  </si>
  <si>
    <t>Para Vigas Aéreas</t>
  </si>
  <si>
    <t>Para Columnas</t>
  </si>
  <si>
    <t>5.2.1.2</t>
  </si>
  <si>
    <t>5.2.1.3</t>
  </si>
  <si>
    <t>5.2.1.4</t>
  </si>
  <si>
    <t>5.2.1.5</t>
  </si>
  <si>
    <t>5.2.1.6</t>
  </si>
  <si>
    <t>5.2.1.7</t>
  </si>
  <si>
    <t>5.2.1.8</t>
  </si>
  <si>
    <t>Para cabezales</t>
  </si>
  <si>
    <t>5.2.1.9</t>
  </si>
  <si>
    <t>5.2.2</t>
  </si>
  <si>
    <t>5.2.2.1</t>
  </si>
  <si>
    <t>5.2.2.2</t>
  </si>
  <si>
    <t>5.2.2.3</t>
  </si>
  <si>
    <t>5.2.2.4</t>
  </si>
  <si>
    <t>5.2.2.5</t>
  </si>
  <si>
    <t>5.2.2.6</t>
  </si>
  <si>
    <t>5.2.2.7</t>
  </si>
  <si>
    <t>5.2.2.8</t>
  </si>
  <si>
    <t>5.2.2.9</t>
  </si>
  <si>
    <t xml:space="preserve">Concreto estructural resistencia  28 MPa (280 kg/cm2) </t>
  </si>
  <si>
    <t xml:space="preserve">Concreto estructural resistencia  24,5 MPa (245 kg/cm2) </t>
  </si>
  <si>
    <t>5.2.3</t>
  </si>
  <si>
    <t>5.2.3.1</t>
  </si>
  <si>
    <t>5.2.3.2</t>
  </si>
  <si>
    <t>5.2.3.3</t>
  </si>
  <si>
    <t>5.2.3.4</t>
  </si>
  <si>
    <t>5.2.3.5</t>
  </si>
  <si>
    <t>5.2.3.6</t>
  </si>
  <si>
    <t>5.2.3.7</t>
  </si>
  <si>
    <t>5.2.3.8</t>
  </si>
  <si>
    <t>5.2.3.9</t>
  </si>
  <si>
    <t>5.3</t>
  </si>
  <si>
    <t>MORTEROS</t>
  </si>
  <si>
    <t>5.3.1</t>
  </si>
  <si>
    <t>5.3.1.1</t>
  </si>
  <si>
    <t>5.3.1.2</t>
  </si>
  <si>
    <t>Morteros especiales para reparaciones</t>
  </si>
  <si>
    <t>De elementos en Concreto estructural</t>
  </si>
  <si>
    <t>De Tanques o Muros en contacto con el agua</t>
  </si>
  <si>
    <t>ACERO DE REFUERZO Y MALLAS ELECTROSOLDADAS</t>
  </si>
  <si>
    <t>5.4.2</t>
  </si>
  <si>
    <t>MALLAS ELECTROSOLDADAS</t>
  </si>
  <si>
    <t>Malla Electrosoldada standard</t>
  </si>
  <si>
    <t>Malla electrosoldada especial</t>
  </si>
  <si>
    <t>5.5</t>
  </si>
  <si>
    <t xml:space="preserve">ADITIVOS </t>
  </si>
  <si>
    <t>5.5.1</t>
  </si>
  <si>
    <t>Ahdesivo epóxico de concreto fresco a endurecido</t>
  </si>
  <si>
    <t>Impermeabilizante integral para Concreto</t>
  </si>
  <si>
    <t xml:space="preserve">Fluidificante para concretos </t>
  </si>
  <si>
    <t>Acelerante para concreto</t>
  </si>
  <si>
    <t>5.5.2</t>
  </si>
  <si>
    <t>5.5.3</t>
  </si>
  <si>
    <t>5.5.4</t>
  </si>
  <si>
    <t>5.6.1</t>
  </si>
  <si>
    <t>5.6.2</t>
  </si>
  <si>
    <t xml:space="preserve">Cinta PVC 15 </t>
  </si>
  <si>
    <t>Cinta PVC 22</t>
  </si>
  <si>
    <t xml:space="preserve">Para estructuras especiales </t>
  </si>
  <si>
    <t>MAMPOSTERIA</t>
  </si>
  <si>
    <t>6.1</t>
  </si>
  <si>
    <t>6.1.1</t>
  </si>
  <si>
    <t>Muro el ladrillo bloque Nº5</t>
  </si>
  <si>
    <t>De espesor 15 cms</t>
  </si>
  <si>
    <t>De espesor 25 cms</t>
  </si>
  <si>
    <t>De espesor 10 cm</t>
  </si>
  <si>
    <t>6.1.2</t>
  </si>
  <si>
    <t>6.1.2.1</t>
  </si>
  <si>
    <t>6.1.2.2</t>
  </si>
  <si>
    <t>6.1.2.3</t>
  </si>
  <si>
    <r>
      <t>M</t>
    </r>
    <r>
      <rPr>
        <vertAlign val="superscript"/>
        <sz val="10"/>
        <color indexed="8"/>
        <rFont val="Calibri"/>
        <family val="2"/>
      </rPr>
      <t>2</t>
    </r>
  </si>
  <si>
    <t>6.1.3</t>
  </si>
  <si>
    <t>Muro en ladrillo estructural</t>
  </si>
  <si>
    <t>6.1.3.1</t>
  </si>
  <si>
    <t>6.1.3.2</t>
  </si>
  <si>
    <t>Muro el ladrillo tolete fino a la vista</t>
  </si>
  <si>
    <t>6.1.4.1</t>
  </si>
  <si>
    <t>6.1.4</t>
  </si>
  <si>
    <t>6.1.4.2</t>
  </si>
  <si>
    <t>Pañetes</t>
  </si>
  <si>
    <t>6.1.5</t>
  </si>
  <si>
    <t>6.1.5.1</t>
  </si>
  <si>
    <t>Pañete muros interiores</t>
  </si>
  <si>
    <t>Pañete muros exteriores</t>
  </si>
  <si>
    <t>Pañete bajo placa</t>
  </si>
  <si>
    <t>6.1.5.2</t>
  </si>
  <si>
    <t>6.1.5.3</t>
  </si>
  <si>
    <t>6.1.5.4</t>
  </si>
  <si>
    <r>
      <t>M</t>
    </r>
    <r>
      <rPr>
        <vertAlign val="superscript"/>
        <sz val="10"/>
        <color indexed="8"/>
        <rFont val="Calibri"/>
        <family val="2"/>
      </rPr>
      <t>3</t>
    </r>
    <r>
      <rPr>
        <sz val="11"/>
        <color theme="1"/>
        <rFont val="Calibri"/>
        <family val="2"/>
        <scheme val="minor"/>
      </rPr>
      <t/>
    </r>
  </si>
  <si>
    <t>ACABADOS</t>
  </si>
  <si>
    <t>6.2</t>
  </si>
  <si>
    <t>Pisos</t>
  </si>
  <si>
    <t>6.2.1</t>
  </si>
  <si>
    <t>6.2.1.1</t>
  </si>
  <si>
    <t>En porcelanato 50 x 50 cms</t>
  </si>
  <si>
    <t>En tableta de gres de 25 x 25 cms</t>
  </si>
  <si>
    <t>En ceramica 30 x 30 cms</t>
  </si>
  <si>
    <t>6.2.1.2</t>
  </si>
  <si>
    <t>6.2.1.3</t>
  </si>
  <si>
    <t>6.2.2</t>
  </si>
  <si>
    <t>Muros</t>
  </si>
  <si>
    <t>6.2.1.4</t>
  </si>
  <si>
    <t>6.2.2.1</t>
  </si>
  <si>
    <t>Enchape en ceramica de 20 x20 cms</t>
  </si>
  <si>
    <t>6.2.2.2</t>
  </si>
  <si>
    <t>Pintura de Vinilo sobre pañete</t>
  </si>
  <si>
    <t>6.3</t>
  </si>
  <si>
    <t>PUNTOS ELECTRICOS HIDRAULICOS Y SANITARIOS</t>
  </si>
  <si>
    <t>6.3.1</t>
  </si>
  <si>
    <t>Puntos Hidráulicos</t>
  </si>
  <si>
    <t>6.3.2</t>
  </si>
  <si>
    <t>6.3.3</t>
  </si>
  <si>
    <t>6.4</t>
  </si>
  <si>
    <t>APARATOS SANITARIOS E INCRUSTACIONES</t>
  </si>
  <si>
    <t>6.4.1</t>
  </si>
  <si>
    <t>Suministro e instalación de Lavamanos con grifería</t>
  </si>
  <si>
    <t>Suministro e instalación de Sanitario con grifería</t>
  </si>
  <si>
    <t>Suministro e instalación de Orinal con grifería</t>
  </si>
  <si>
    <t>6.4.2</t>
  </si>
  <si>
    <t>6.4.3</t>
  </si>
  <si>
    <t>6.4.4</t>
  </si>
  <si>
    <t>6.4.5</t>
  </si>
  <si>
    <t>Suministro e instalación de juego completo de incrustaciones</t>
  </si>
  <si>
    <t>6.5</t>
  </si>
  <si>
    <t>CARPINTERIA DE MADERA</t>
  </si>
  <si>
    <t>6.5.1</t>
  </si>
  <si>
    <t>6.5.2</t>
  </si>
  <si>
    <t>Mueble  bajo meson de 2,00 x 0,80 x 0,50m enchapado en formica con entrepaños</t>
  </si>
  <si>
    <t>6.6</t>
  </si>
  <si>
    <t>CARPINTERIA METALICA</t>
  </si>
  <si>
    <t>Puntos Eléctricos tomas e iluminación completos</t>
  </si>
  <si>
    <t>Puntos Sanitarios, desagues</t>
  </si>
  <si>
    <t>6.6.1</t>
  </si>
  <si>
    <t>6.6.2</t>
  </si>
  <si>
    <t>6.6.3</t>
  </si>
  <si>
    <t>6.7</t>
  </si>
  <si>
    <t>CUBIERTAS</t>
  </si>
  <si>
    <t>6.7.1</t>
  </si>
  <si>
    <t>Estructura metalica para cubiertas</t>
  </si>
  <si>
    <t>6.7.2</t>
  </si>
  <si>
    <t>6.7.3</t>
  </si>
  <si>
    <t>Suministro e Instalación de Cubierta</t>
  </si>
  <si>
    <t>6.7.3.1</t>
  </si>
  <si>
    <t>En canaleta 90</t>
  </si>
  <si>
    <t>Estructura en madera para cubierta en teja Nº 6</t>
  </si>
  <si>
    <t>6.7.3.2</t>
  </si>
  <si>
    <t>En Teja ondulada Fibrocemento Nº 6 o similar</t>
  </si>
  <si>
    <t>6.7.4</t>
  </si>
  <si>
    <t>6.7.4.1</t>
  </si>
  <si>
    <t>6.7.4.2</t>
  </si>
  <si>
    <t>Canales</t>
  </si>
  <si>
    <t>6.7.4.1.1</t>
  </si>
  <si>
    <t>6.7.4.1.2</t>
  </si>
  <si>
    <t xml:space="preserve">Canal en PVC </t>
  </si>
  <si>
    <t>6.7.4.1.3</t>
  </si>
  <si>
    <t>6.7.4.2.1</t>
  </si>
  <si>
    <t>6.7.4.2.2</t>
  </si>
  <si>
    <t xml:space="preserve">Bajante en PVC </t>
  </si>
  <si>
    <t>Bajantes incluye accesorios</t>
  </si>
  <si>
    <t>6.7.5</t>
  </si>
  <si>
    <t>PAVIMENTOS ANDENES SARDINELES Y OBRAS EXTERIORES</t>
  </si>
  <si>
    <t>7.1</t>
  </si>
  <si>
    <t>Pavimento flexible en MDC-1</t>
  </si>
  <si>
    <t>Pavimento flexible en MDC-2</t>
  </si>
  <si>
    <t>Pavimento flexible en MDC-3</t>
  </si>
  <si>
    <t>7.1.1</t>
  </si>
  <si>
    <t>7.1.2</t>
  </si>
  <si>
    <t>7.1.3</t>
  </si>
  <si>
    <t>7.2</t>
  </si>
  <si>
    <t>7.2.1</t>
  </si>
  <si>
    <t>Pavimento rigido (MR 41 kg/cm2)</t>
  </si>
  <si>
    <t>7.2.2</t>
  </si>
  <si>
    <t>7.2.3</t>
  </si>
  <si>
    <t>Pavimento rigido (MR 43 kg/cm2)</t>
  </si>
  <si>
    <t>Pavimento rigido (MR 39 kg/cm2)</t>
  </si>
  <si>
    <t>PAVIMENTO FLEXIBLE (ASFALTICO) (incluye liga y riego)</t>
  </si>
  <si>
    <t>PAVIMENTO RIGIDO (CONCRETO)(incluye dovelas y pasadores)</t>
  </si>
  <si>
    <t>7.3</t>
  </si>
  <si>
    <t>ANDENES</t>
  </si>
  <si>
    <t>7.3.1</t>
  </si>
  <si>
    <t>7.3.2</t>
  </si>
  <si>
    <t>7.3.3</t>
  </si>
  <si>
    <t xml:space="preserve">Andenes en concreto e= 10 cms </t>
  </si>
  <si>
    <t>Andenes en adoquìn</t>
  </si>
  <si>
    <t>7.2.4</t>
  </si>
  <si>
    <t>Pavimento en Adoquín vehicular</t>
  </si>
  <si>
    <t>7.3.4</t>
  </si>
  <si>
    <t>Andenes en gravilla lavada</t>
  </si>
  <si>
    <t>7.4</t>
  </si>
  <si>
    <t>SARDINELES</t>
  </si>
  <si>
    <t>Sardinel en concreto 21MPa (210 kg7cm2) de 25 cms de alto</t>
  </si>
  <si>
    <t>Sardinel en concreto 21MPa (210 kg7cm2) de 40 cms de alto</t>
  </si>
  <si>
    <t>Sardinel en concreto 21MPa (210 kg7cm2) de 50 cms de alto</t>
  </si>
  <si>
    <t>Sardinel prefabricado Tipo A-10</t>
  </si>
  <si>
    <t>7.4.1</t>
  </si>
  <si>
    <t>7.4.2</t>
  </si>
  <si>
    <t>7.4.3</t>
  </si>
  <si>
    <t>7.4.4</t>
  </si>
  <si>
    <t>Muros en Bloque</t>
  </si>
  <si>
    <t>6.1.1.1</t>
  </si>
  <si>
    <t xml:space="preserve">En concreto pulido </t>
  </si>
  <si>
    <t>8.1</t>
  </si>
  <si>
    <t>Materiales para Filtros</t>
  </si>
  <si>
    <t>8.1.1</t>
  </si>
  <si>
    <t>8.1.2</t>
  </si>
  <si>
    <t>8.1.3</t>
  </si>
  <si>
    <t>Arena para filtros</t>
  </si>
  <si>
    <t>Grava para filtros</t>
  </si>
  <si>
    <t>Antracita para filtros</t>
  </si>
  <si>
    <t>8.2</t>
  </si>
  <si>
    <t>Carpinteria Metalica</t>
  </si>
  <si>
    <t>Escalones en acero galvanizado para pasos</t>
  </si>
  <si>
    <t>Escalera Tipo Gato</t>
  </si>
  <si>
    <t xml:space="preserve">Pasarelas en lámina de alfajor impermeabilizada y pintada </t>
  </si>
  <si>
    <t>Baranda metálica en tubería de 1 1/2" con soporte en platina de 10 x 10 cms anclada por pernos expansivos</t>
  </si>
  <si>
    <t>Tapas metalicas con marco abisagradas en lamina de 6 mm</t>
  </si>
  <si>
    <t>8.2.1</t>
  </si>
  <si>
    <t>8.2.2</t>
  </si>
  <si>
    <t>8.2.3</t>
  </si>
  <si>
    <t>8.2.4</t>
  </si>
  <si>
    <t>8.2.5</t>
  </si>
  <si>
    <t>8.2.6</t>
  </si>
  <si>
    <t>8.2.7</t>
  </si>
  <si>
    <t>8.2.7.1</t>
  </si>
  <si>
    <t>8.2.7.2</t>
  </si>
  <si>
    <t>8.2.7.3</t>
  </si>
  <si>
    <t>TOTAL OBRAS DE PROTECCION Y FILTROS</t>
  </si>
  <si>
    <t>TOTAL ENTIBADOS</t>
  </si>
  <si>
    <t>TOTAL EXCAVACIONES Y DEMOLICIONES</t>
  </si>
  <si>
    <t>TOTAL CONCRETOS MORTEROS ACERO DE REFUERZO Y ADITIVOS</t>
  </si>
  <si>
    <t>TOTAL INSTALACIÓN EDIFICACIONES PARTICULARES (CASETAS)</t>
  </si>
  <si>
    <t>TOTAL ELEMENTOS COMPLEMENTARIOS PARA PLANTAS Y OBRAS DE ACUEDUCTO</t>
  </si>
  <si>
    <t>7.5</t>
  </si>
  <si>
    <t>OBRAS EXTERIORES</t>
  </si>
  <si>
    <t>7.5.1</t>
  </si>
  <si>
    <t>Cerramientos</t>
  </si>
  <si>
    <t>7.5.1.1</t>
  </si>
  <si>
    <t>7.5.1.2</t>
  </si>
  <si>
    <t>7.5.1.3</t>
  </si>
  <si>
    <t>7.5.1.4</t>
  </si>
  <si>
    <t xml:space="preserve">Puerta de acceso peatonal en Malla </t>
  </si>
  <si>
    <t>Puerta de acceso vehícular en malla (doble Hoja)</t>
  </si>
  <si>
    <t>7.5.2</t>
  </si>
  <si>
    <t>Paisajismo</t>
  </si>
  <si>
    <t>7.5.2.1</t>
  </si>
  <si>
    <t>Siembra de grama con céspedones</t>
  </si>
  <si>
    <t>7.5.2.2</t>
  </si>
  <si>
    <t>Siembra de arboles nativos</t>
  </si>
  <si>
    <t>7.5.2.3</t>
  </si>
  <si>
    <t>Pasos peatonales en concreto de 1,00 x 0,40 x 0,05 m</t>
  </si>
  <si>
    <t>TOTAL PAVIMENTO ANDENES SARDINELES Y OBRAS EXTERIORES</t>
  </si>
  <si>
    <t>EXCAVACIONES CON MAQUINA</t>
  </si>
  <si>
    <t>ANÁLISIS DE PRECIOS SUMINISTRO DE ACCESORIOS</t>
  </si>
  <si>
    <t>MATERIAL</t>
  </si>
  <si>
    <t>UNIDAD</t>
  </si>
  <si>
    <t>VALOR</t>
  </si>
  <si>
    <t>IVA</t>
  </si>
  <si>
    <t>VALOR UNITARIO</t>
  </si>
  <si>
    <t xml:space="preserve">3.1 </t>
  </si>
  <si>
    <t>SUMINISTRO TUBERÍAS EN PVC</t>
  </si>
  <si>
    <t>3.1.1</t>
  </si>
  <si>
    <t>3.1.1.4</t>
  </si>
  <si>
    <t>TUBERÍA PVC PRESIÓN SOLDAR RDE 21</t>
  </si>
  <si>
    <t>3.1.1.4.2</t>
  </si>
  <si>
    <t xml:space="preserve">3.1.2 </t>
  </si>
  <si>
    <t>SUMINISTRO TUBERÍA PVC UNION MECÁNICA</t>
  </si>
  <si>
    <t xml:space="preserve">3.1.2.1 </t>
  </si>
  <si>
    <t>TUBERÍA PVC UNIÓN MECÁNICA RDE 21</t>
  </si>
  <si>
    <t>3.1.2.1.1</t>
  </si>
  <si>
    <t>3.1.2.1.3</t>
  </si>
  <si>
    <t>3.1.2.1.5</t>
  </si>
  <si>
    <t>3.1.2.1.6</t>
  </si>
  <si>
    <t>3.1.2.1.7</t>
  </si>
  <si>
    <t>3.1.2.1.8</t>
  </si>
  <si>
    <t>TUBERIA DOMICILIARIA PF+UAD</t>
  </si>
  <si>
    <t>3.13.2</t>
  </si>
  <si>
    <t xml:space="preserve">3.3.1 </t>
  </si>
  <si>
    <t>SUMINISTRO CODOS PVC</t>
  </si>
  <si>
    <t>3.3.1.1</t>
  </si>
  <si>
    <t>SUMINISTRO CODOS PRESIÓN SOLDAR</t>
  </si>
  <si>
    <t>3.3.1.1.1</t>
  </si>
  <si>
    <t>CODOS 90°</t>
  </si>
  <si>
    <t>3.3.1.1.1.3</t>
  </si>
  <si>
    <t>Codo de 90° presión soldar diámetro 1"</t>
  </si>
  <si>
    <t>3.3.1.2</t>
  </si>
  <si>
    <t>SUMINISTRO CODOS UNIÓN MECÁNICA PVC</t>
  </si>
  <si>
    <t>3.3.1.2.1</t>
  </si>
  <si>
    <t>CODOS PVC GRAN RADIO 90º RDE 21</t>
  </si>
  <si>
    <t>3.3.1.2.1.2</t>
  </si>
  <si>
    <t xml:space="preserve">UN </t>
  </si>
  <si>
    <t>3.3.1.2.1.3</t>
  </si>
  <si>
    <t>3.3.1.2.1.4</t>
  </si>
  <si>
    <t>3.3.1.2.1.5</t>
  </si>
  <si>
    <t>3.3.1.2.1.6</t>
  </si>
  <si>
    <t>3.3.1.2.1.7</t>
  </si>
  <si>
    <t>3.3.1.2.1.8</t>
  </si>
  <si>
    <t xml:space="preserve">3.3.1.2.2 </t>
  </si>
  <si>
    <t>CODOS PVC GRAN RADIO 45º RDE 21</t>
  </si>
  <si>
    <t>3.3.1.2.2.1</t>
  </si>
  <si>
    <t>3.3.1.2.2.3</t>
  </si>
  <si>
    <t>3.3.1.2.2.4</t>
  </si>
  <si>
    <t>3.3.1.2.2.5</t>
  </si>
  <si>
    <t>3.3.1.2.2.6</t>
  </si>
  <si>
    <t>3.3.1.2.2.7</t>
  </si>
  <si>
    <t>3.3.1.2.2.8</t>
  </si>
  <si>
    <t>3.3.1.2.3</t>
  </si>
  <si>
    <t>CODOS PVC GRAN RADIO 22.5º RDE 21</t>
  </si>
  <si>
    <t>3.3.1.2.3.1</t>
  </si>
  <si>
    <t>3.3.1.2.3.3</t>
  </si>
  <si>
    <t>3.3.1.2.3.4</t>
  </si>
  <si>
    <t>3.3.1.2.3.5</t>
  </si>
  <si>
    <t>3.3.1.2.3.6</t>
  </si>
  <si>
    <t>3.3.1.2.3.7</t>
  </si>
  <si>
    <t>3.3.1.2.3.8</t>
  </si>
  <si>
    <t>3.3.1.2.4</t>
  </si>
  <si>
    <t>CODOS PVC GRAN RADIO 11.25º RDE 21</t>
  </si>
  <si>
    <t>3.3.1.2.4.1</t>
  </si>
  <si>
    <t>3.3.1.2.4.3</t>
  </si>
  <si>
    <t>3.3.1.2.4.4</t>
  </si>
  <si>
    <t>3.3.1.2.4.5</t>
  </si>
  <si>
    <t>3.3.1.2.4.6</t>
  </si>
  <si>
    <t>3.3.1.2.4.7</t>
  </si>
  <si>
    <t>3.3.1.2.4.8</t>
  </si>
  <si>
    <t>3.3.3</t>
  </si>
  <si>
    <t>SUMINISTRO ADAPTADORES PVC</t>
  </si>
  <si>
    <t>3.3.3.2</t>
  </si>
  <si>
    <t>3.3.3.2.1</t>
  </si>
  <si>
    <t>3.3.3.2.2</t>
  </si>
  <si>
    <t>3.3.4</t>
  </si>
  <si>
    <t>SUMINISTRO DE UNIONES PVC</t>
  </si>
  <si>
    <t>3.3.4.1</t>
  </si>
  <si>
    <t>3.3.6</t>
  </si>
  <si>
    <t>3.3.6.1</t>
  </si>
  <si>
    <t>3.3.7</t>
  </si>
  <si>
    <t>3.3.7.1</t>
  </si>
  <si>
    <t>3.5</t>
  </si>
  <si>
    <t>SUMINISTRO TUBERÍA POLIETILENO - PE 100</t>
  </si>
  <si>
    <t>3.5.1</t>
  </si>
  <si>
    <t>3.5.1.3</t>
  </si>
  <si>
    <t>3.5.1.6</t>
  </si>
  <si>
    <t>SUMINISTRO ACCESORIOS POLIETILENO PE 100</t>
  </si>
  <si>
    <t>3.7.4</t>
  </si>
  <si>
    <t>3.7.4.2</t>
  </si>
  <si>
    <t>3.7.4.2.3</t>
  </si>
  <si>
    <t>3.13.10</t>
  </si>
  <si>
    <t xml:space="preserve">3.15 </t>
  </si>
  <si>
    <t>SUMINISTRO ACCESORIOS EN HIERRO DUCTIL</t>
  </si>
  <si>
    <t xml:space="preserve">3.15.1 </t>
  </si>
  <si>
    <t>TEES HD</t>
  </si>
  <si>
    <t>3.15.1.2</t>
  </si>
  <si>
    <t>3.15.1.2.1</t>
  </si>
  <si>
    <t>3.15.1.2.2</t>
  </si>
  <si>
    <t>3.15.1.2.3</t>
  </si>
  <si>
    <t>3.15.1.2.6</t>
  </si>
  <si>
    <t>3.15.1.2.7</t>
  </si>
  <si>
    <t>3.15.1.2.9</t>
  </si>
  <si>
    <t>3.15.1.2.10</t>
  </si>
  <si>
    <t>3.15.1.2.11</t>
  </si>
  <si>
    <t>3.15.1.2.12</t>
  </si>
  <si>
    <t>3.15.1.2.26</t>
  </si>
  <si>
    <t>3.15.1.2.27</t>
  </si>
  <si>
    <t>REDUCCIONES HD</t>
  </si>
  <si>
    <t>3.15.3</t>
  </si>
  <si>
    <t>3.15.3.3</t>
  </si>
  <si>
    <t>3.15.3.3.7</t>
  </si>
  <si>
    <t>3.15.3.4</t>
  </si>
  <si>
    <t>3.15.3.6.6</t>
  </si>
  <si>
    <t>3.15.3.6.7</t>
  </si>
  <si>
    <t>3.15.3.7</t>
  </si>
  <si>
    <t>3.15.3.7.7</t>
  </si>
  <si>
    <t>3.15.3.8</t>
  </si>
  <si>
    <t>3.15.3.8.7</t>
  </si>
  <si>
    <t>3.15.3.9</t>
  </si>
  <si>
    <t>3.15.3.9.1</t>
  </si>
  <si>
    <t>3.15.3.9.2</t>
  </si>
  <si>
    <t>3.15.3.10</t>
  </si>
  <si>
    <t>3.15.3.10.1</t>
  </si>
  <si>
    <t>UNIONES HD</t>
  </si>
  <si>
    <t>3.15.4.3.1</t>
  </si>
  <si>
    <t>3.15.4.3.2</t>
  </si>
  <si>
    <t>BRIDAS HD</t>
  </si>
  <si>
    <t>3.15.5</t>
  </si>
  <si>
    <t>OTROS ACCESORIOS HD</t>
  </si>
  <si>
    <t>3.15.5.3</t>
  </si>
  <si>
    <t xml:space="preserve">3.17 </t>
  </si>
  <si>
    <t>SUMINISTRO ACCESORIOS EN HIERRO FUNDIDO</t>
  </si>
  <si>
    <t>3.17.1</t>
  </si>
  <si>
    <t>3.17.1.1</t>
  </si>
  <si>
    <t>3.17.1.7</t>
  </si>
  <si>
    <t>3.17.1.13</t>
  </si>
  <si>
    <t>3.17.1.14</t>
  </si>
  <si>
    <t>3.17.1.25</t>
  </si>
  <si>
    <t>3.17.1.31</t>
  </si>
  <si>
    <t>3.17.1.37</t>
  </si>
  <si>
    <t>3.17.2</t>
  </si>
  <si>
    <t>3.17.2.3</t>
  </si>
  <si>
    <t>3.17.2.4</t>
  </si>
  <si>
    <t>3.17.2.22</t>
  </si>
  <si>
    <t xml:space="preserve">3.17.4 </t>
  </si>
  <si>
    <t>VALVULAS</t>
  </si>
  <si>
    <t xml:space="preserve">3.17.4.1 </t>
  </si>
  <si>
    <t>3.17.4.1.1</t>
  </si>
  <si>
    <t>3.17.4.1.1.2</t>
  </si>
  <si>
    <t>3.17.4.1.1.3</t>
  </si>
  <si>
    <t>3.17.4.1.1.4</t>
  </si>
  <si>
    <t>3.17.4.1.1.5</t>
  </si>
  <si>
    <t>3.17.4.1.1.6</t>
  </si>
  <si>
    <t>3.17.4.1.1.7</t>
  </si>
  <si>
    <t>3.17.4.1.2</t>
  </si>
  <si>
    <t xml:space="preserve">3.17.4.1.2.1 </t>
  </si>
  <si>
    <t>3.17.4.2.1.2</t>
  </si>
  <si>
    <t>3.17.4.2.1.3</t>
  </si>
  <si>
    <t>3.17.4.2.1.4</t>
  </si>
  <si>
    <t>3.17.4.2.1.5</t>
  </si>
  <si>
    <t>3.17.4.2.1.6</t>
  </si>
  <si>
    <t>3.17.4.2.1.7</t>
  </si>
  <si>
    <t>3.17.4.2</t>
  </si>
  <si>
    <t>3.17.4.2.1</t>
  </si>
  <si>
    <t>Válvula ventosa (cámara doble) 2" Brida</t>
  </si>
  <si>
    <t>Válvula ventosa (cámara doble) 3" Brida</t>
  </si>
  <si>
    <t>3.17.4.2.2.6</t>
  </si>
  <si>
    <t>3.17.4.2.2.5</t>
  </si>
  <si>
    <t>3.17.4.3</t>
  </si>
  <si>
    <t>3.17.4.5</t>
  </si>
  <si>
    <t>COMPUERTA LATERAL</t>
  </si>
  <si>
    <t>3.17.4.5.2</t>
  </si>
  <si>
    <t>3.17.4.5.2.2</t>
  </si>
  <si>
    <t>Compuerta lateral deslizante con sello de bronce (circular) 6"</t>
  </si>
  <si>
    <t>3.17.4.5.2.3</t>
  </si>
  <si>
    <t>Compuerta lateral deslizante con sello de bronce (circular) 8"</t>
  </si>
  <si>
    <t>3.17.4.5.2.4</t>
  </si>
  <si>
    <t>Compuerta lateral deslizante con sello de bronce (circular) 12"</t>
  </si>
  <si>
    <t>3.17.4.5.3</t>
  </si>
  <si>
    <t>ELEMENTOS COMPLEMENTARIOS COMPUERTAS LATERALES DESLIZANTES</t>
  </si>
  <si>
    <t>Columna de maniobra CRM</t>
  </si>
  <si>
    <t>Vástago para compuerta 10"-16"</t>
  </si>
  <si>
    <t>Vástago para compuerta 18"-24"</t>
  </si>
  <si>
    <t>Vástago para compuerta 24"-36"</t>
  </si>
  <si>
    <t>Soporte guía vástago No 1</t>
  </si>
  <si>
    <t>Soporte guía vástago No 2</t>
  </si>
  <si>
    <t>Rueda de manejo o vlantes 10"-16"</t>
  </si>
  <si>
    <t>3.17.4.6</t>
  </si>
  <si>
    <t>3.17.4.6.1</t>
  </si>
  <si>
    <t>3.17.4.6.2</t>
  </si>
  <si>
    <t>3.17.4.6.3</t>
  </si>
  <si>
    <t>3.17.4.9</t>
  </si>
  <si>
    <t>3.17.4.7</t>
  </si>
  <si>
    <t>3.17.4.8</t>
  </si>
  <si>
    <t>3.17.5</t>
  </si>
  <si>
    <t>3.17.5.1</t>
  </si>
  <si>
    <t>3.17.5.2</t>
  </si>
  <si>
    <t>ESTACIONES DE BOMBEO</t>
  </si>
  <si>
    <t>Bomba agua Q=56lps H=51m</t>
  </si>
  <si>
    <t>REDES DE ALCANTARILLADO DE AGUAS NEGRAS Y AGUAS LLUVIAS</t>
  </si>
  <si>
    <t>SUMINISTRO TUBERÍAS EN PVC PARA ALCANTARILLADOS</t>
  </si>
  <si>
    <t>4.1.3</t>
  </si>
  <si>
    <t>Tubería PVC diámetro 200mm</t>
  </si>
  <si>
    <t>ACCESORIOS TUBERÍA SANITARIA</t>
  </si>
  <si>
    <t>4.5.1</t>
  </si>
  <si>
    <t>Codo PVC Novafort 90° D=200mm</t>
  </si>
  <si>
    <t>4.5.2</t>
  </si>
  <si>
    <t>Rejilla tipo cupula bronce D=8"</t>
  </si>
  <si>
    <t>4.5.3</t>
  </si>
  <si>
    <t>Rejilla tipo cupula bronce D=4"</t>
  </si>
  <si>
    <t>3.1.1.1</t>
  </si>
  <si>
    <t>SUMINISTRO TUBERÍAS PVC PRESIÓN SOLDAR</t>
  </si>
  <si>
    <t>Tuberia PVC Presión Soldar RDE 9</t>
  </si>
  <si>
    <t>Tuberia PVC Presión Soldar RDE 9 D=1/2"</t>
  </si>
  <si>
    <t>3.1.1.2</t>
  </si>
  <si>
    <t>3.1.1.1.1</t>
  </si>
  <si>
    <t>Tuberia PVC Presión Soldar RDE 11</t>
  </si>
  <si>
    <t>Tuberia PVC Presión Soldar RDE 11 D=3/4"</t>
  </si>
  <si>
    <t>Tuberia PVC Presión Soldar RDE 13,5</t>
  </si>
  <si>
    <t>Tuberia PVC Presión Soldar RDE 13,5 D=1/2"</t>
  </si>
  <si>
    <t>Tuberia PVC Presión Soldar RDE 13,5 D=1"</t>
  </si>
  <si>
    <t>3.1.1.3</t>
  </si>
  <si>
    <t>3.1.1.2.1</t>
  </si>
  <si>
    <t>3.1.1.3.1</t>
  </si>
  <si>
    <t>3.1.1.3.2</t>
  </si>
  <si>
    <t>Tuberia PVC presión soldar RDE 21 D= 1"</t>
  </si>
  <si>
    <t>3.1.1.4.1</t>
  </si>
  <si>
    <t>3.1.1.4.3</t>
  </si>
  <si>
    <t>3.1.1.4.4</t>
  </si>
  <si>
    <t>Tuberia PVC presión soldar RDE 21 D= 3/4"</t>
  </si>
  <si>
    <t>Tuberia PVC presión soldar RDE 21 D= 1 1/4"</t>
  </si>
  <si>
    <t>Tuberia PVC presión soldar RDE 21 D= 1 1/2"</t>
  </si>
  <si>
    <t xml:space="preserve">Tubería  PVC Unión mecánica RDE 21 D= 2" </t>
  </si>
  <si>
    <t>3.1.2.1.2</t>
  </si>
  <si>
    <t>3.1.2.1.4</t>
  </si>
  <si>
    <t xml:space="preserve">Tubería  PVC Unión mecánica RDE 21 D= 2 1/2" </t>
  </si>
  <si>
    <t xml:space="preserve">Tubería  PVC Unión mecánica RDE 21 D= 3" </t>
  </si>
  <si>
    <t xml:space="preserve">Tubería  PVC Unión mecánica RDE 21 D= 4" </t>
  </si>
  <si>
    <t xml:space="preserve">Tubería  PVC Unión mecánica RDE 21 D= 6" </t>
  </si>
  <si>
    <t xml:space="preserve">Tubería  PVC Unión mecánica RDE 21 D= 8" </t>
  </si>
  <si>
    <t xml:space="preserve">Tubería  PVC Unión mecánica RDE 21 D= 10" </t>
  </si>
  <si>
    <t xml:space="preserve">Tubería  PVC Unión mecánica RDE 21 D=12" </t>
  </si>
  <si>
    <t>3.1.2.1.9</t>
  </si>
  <si>
    <t>3.1.2.1.10</t>
  </si>
  <si>
    <t>3.1.2.1.11</t>
  </si>
  <si>
    <t>3.1.2.1.12</t>
  </si>
  <si>
    <t xml:space="preserve">Tubería  PVC Unión mecánica RDE 21 D=14" </t>
  </si>
  <si>
    <t xml:space="preserve">Tubería  PVC Unión mecánica RDE 21 D=16" </t>
  </si>
  <si>
    <t xml:space="preserve">Tubería  PVC Unión mecánica RDE 21 D=18" </t>
  </si>
  <si>
    <t xml:space="preserve">Tubería  PVC Unión mecánica RDE 21 D=20" </t>
  </si>
  <si>
    <t>3.1.2.1.13</t>
  </si>
  <si>
    <t xml:space="preserve">Tubería  PVC Unión mecánica RDE 21 D=24" </t>
  </si>
  <si>
    <t xml:space="preserve">3.1.2.2 </t>
  </si>
  <si>
    <t>3.1.2.2.1</t>
  </si>
  <si>
    <t xml:space="preserve">Tubería  PVC Unión mecánica RDE 26 D= 2" </t>
  </si>
  <si>
    <t xml:space="preserve">Tubería  PVC Unión mecánica RDE 26 D= 2 1/2" </t>
  </si>
  <si>
    <t xml:space="preserve">Tubería  PVC Unión mecánica RDE 26 D= 3" </t>
  </si>
  <si>
    <t xml:space="preserve">Tubería  PVC Unión mecánica RDE 26 D= 4" </t>
  </si>
  <si>
    <t xml:space="preserve">Tubería  PVC Unión mecánica RDE 26 D= 6" </t>
  </si>
  <si>
    <t xml:space="preserve">Tubería  PVC Unión mecánica RDE 26 D= 8" </t>
  </si>
  <si>
    <t xml:space="preserve">Tubería  PVC Unión mecánica RDE 26 D= 10" </t>
  </si>
  <si>
    <t xml:space="preserve">Tubería  PVC Unión mecánica RDE 26 D=12" </t>
  </si>
  <si>
    <t xml:space="preserve">Tubería  PVC Unión mecánica RDE 26 D=14" </t>
  </si>
  <si>
    <t xml:space="preserve">Tubería  PVC Unión mecánica RDE 26 D=16" </t>
  </si>
  <si>
    <t xml:space="preserve">Tubería  PVC Unión mecánica RDE 26 D=18" </t>
  </si>
  <si>
    <t xml:space="preserve">Tubería  PVC Unión mecánica RDE 26 D=24" </t>
  </si>
  <si>
    <t xml:space="preserve">Tubería  PVC Unión mecánica RDE 26 D=20" </t>
  </si>
  <si>
    <t>3.1.2.2.2</t>
  </si>
  <si>
    <t>3.1.2.2.3</t>
  </si>
  <si>
    <t>3.1.2.2.4</t>
  </si>
  <si>
    <t>3.1.2.2.5</t>
  </si>
  <si>
    <t>3.1.2.2.6</t>
  </si>
  <si>
    <t>3.1.2.2.7</t>
  </si>
  <si>
    <t>3.1.2.2.8</t>
  </si>
  <si>
    <t>3.1.2.2.9</t>
  </si>
  <si>
    <t>3.1.2.2.10</t>
  </si>
  <si>
    <t>3.1.2.2.11</t>
  </si>
  <si>
    <t>3.1.2.2.12</t>
  </si>
  <si>
    <t>3.1.2.2.13</t>
  </si>
  <si>
    <t xml:space="preserve">3.1.2.3 </t>
  </si>
  <si>
    <t>3.1.2.3.1</t>
  </si>
  <si>
    <t>TUBERÍA PVC UNIÓN MECÁNICA RDE 26</t>
  </si>
  <si>
    <t>TUBERÍA PVC UNIÓN MECÁNICA RDE 32,5</t>
  </si>
  <si>
    <t xml:space="preserve">Tubería  PVC Unión mecánica RDE 32,5 D= 3" </t>
  </si>
  <si>
    <t xml:space="preserve">Tubería  PVC Unión mecánica RDE 32,5 D= 4" </t>
  </si>
  <si>
    <t xml:space="preserve">Tubería  PVC Unión mecánica RDE 32,5 D= 6" </t>
  </si>
  <si>
    <t xml:space="preserve">Tubería  PVC Unión mecánica RDE 32,5 D= 8" </t>
  </si>
  <si>
    <t xml:space="preserve">Tubería  PVC Unión mecánica RDE 32,5 D= 10" </t>
  </si>
  <si>
    <t xml:space="preserve">Tubería  PVC Unión mecánica RDE 32,5 D=12" </t>
  </si>
  <si>
    <t xml:space="preserve">Tubería  PVC Unión mecánica RDE 32,5 D=14" </t>
  </si>
  <si>
    <t xml:space="preserve">Tubería  PVC Unión mecánica RDE 32,5 D=16" </t>
  </si>
  <si>
    <t xml:space="preserve">Tubería  PVC Unión mecánica RDE 32,5 D=18" </t>
  </si>
  <si>
    <t xml:space="preserve">Tubería  PVC Unión mecánica RDE 32,5 D=20" </t>
  </si>
  <si>
    <t xml:space="preserve">Tubería  PVC Unión mecánica RDE 32,5 D=24" </t>
  </si>
  <si>
    <t>TUBERÍA PVC UNIÓN MECÁNICA RDE 41</t>
  </si>
  <si>
    <t xml:space="preserve">3.1.2.4 </t>
  </si>
  <si>
    <t>3.1.2.4.1</t>
  </si>
  <si>
    <t>3.1.2.3.2</t>
  </si>
  <si>
    <t>3.1.2.3.3</t>
  </si>
  <si>
    <t>3.1.2.3.4</t>
  </si>
  <si>
    <t>3.1.2.3.5</t>
  </si>
  <si>
    <t>3.1.2.3.6</t>
  </si>
  <si>
    <t>3.1.2.3.7</t>
  </si>
  <si>
    <t>3.1.2.3.8</t>
  </si>
  <si>
    <t>3.1.2.3.9</t>
  </si>
  <si>
    <t>3.1.2.3.10</t>
  </si>
  <si>
    <t>3.1.2.3.11</t>
  </si>
  <si>
    <t>3.1.2.4.2</t>
  </si>
  <si>
    <t>3.1.2.4.3</t>
  </si>
  <si>
    <t>3.1.2.4.4</t>
  </si>
  <si>
    <t>3.1.2.4.5</t>
  </si>
  <si>
    <t>3.1.2.4.6</t>
  </si>
  <si>
    <t>3.1.2.4.7</t>
  </si>
  <si>
    <t>3.1.2.4.8</t>
  </si>
  <si>
    <t>3.1.2.4.9</t>
  </si>
  <si>
    <t>3.1.2.4.10</t>
  </si>
  <si>
    <t xml:space="preserve">Tubería  PVC Unión mecánica RDE 41 D= 4" </t>
  </si>
  <si>
    <t xml:space="preserve">Tubería  PVC Unión mecánica RDE 41 D= 6" </t>
  </si>
  <si>
    <t xml:space="preserve">Tubería  PVC Unión mecánica RDE 41 D= 8" </t>
  </si>
  <si>
    <t xml:space="preserve">Tubería  PVC Unión mecánica RDE 41 D= 10" </t>
  </si>
  <si>
    <t xml:space="preserve">Tubería  PVC Unión mecánica RDE 41 D=12" </t>
  </si>
  <si>
    <t xml:space="preserve">Tubería  PVC Unión mecánica RDE 41 D=14" </t>
  </si>
  <si>
    <t xml:space="preserve">Tubería  PVC Unión mecánica RDE 41 D=16" </t>
  </si>
  <si>
    <t xml:space="preserve">Tubería  PVC Unión mecánica RDE 41 D=18" </t>
  </si>
  <si>
    <t xml:space="preserve">Tubería  PVC Unión mecánica RDE 41 D=20" </t>
  </si>
  <si>
    <t xml:space="preserve">Tubería  PVC Unión mecánica RDE 41 D=24" </t>
  </si>
  <si>
    <t>3.1.2.5</t>
  </si>
  <si>
    <t>Tubería domiciliaria PF+UAD D=1/2"</t>
  </si>
  <si>
    <t>Tubería domiciliaria PF+UAD D=3/4"</t>
  </si>
  <si>
    <t>3.1.2.5.1</t>
  </si>
  <si>
    <t>3.1.2.5.2</t>
  </si>
  <si>
    <t>3.3</t>
  </si>
  <si>
    <t>SUMINISTRIO ACCESORIOS PVC</t>
  </si>
  <si>
    <t>3.3.1.1.1.1</t>
  </si>
  <si>
    <t>3.3.1.1.1.2</t>
  </si>
  <si>
    <t>3.3.1.1.1.4</t>
  </si>
  <si>
    <t>3.3.1.1.1.5</t>
  </si>
  <si>
    <t>Codo de 90° presión soldar diámetro 1/2"</t>
  </si>
  <si>
    <t>Codo de 90° presión soldar diámetro 3/4"</t>
  </si>
  <si>
    <t>Codo de 90° presión soldar diámetro 1 1/4"</t>
  </si>
  <si>
    <t>Codo de 90° presión soldar diámetro 1 1/2"</t>
  </si>
  <si>
    <t>3.3.1.1.2</t>
  </si>
  <si>
    <t>3.3.1.1.2.1</t>
  </si>
  <si>
    <t>CODOS 45°</t>
  </si>
  <si>
    <t>3.3.1.1.2.2</t>
  </si>
  <si>
    <t>3.3.1.1.2.3</t>
  </si>
  <si>
    <t>3.3.1.1.2.4</t>
  </si>
  <si>
    <t>3.3.1.1.2.5</t>
  </si>
  <si>
    <t>Codo de 45° presión soldar diámetro 1/2"</t>
  </si>
  <si>
    <t>Codo de 45° presión soldar diámetro 3/4"</t>
  </si>
  <si>
    <t>Codo de 45° presión soldar diámetro 1"</t>
  </si>
  <si>
    <t>Codo de 45° presión soldar diámetro 1 1/4"</t>
  </si>
  <si>
    <t>Codo de 45° presión soldar diámetro 1 1/2"</t>
  </si>
  <si>
    <t>Codo PVC Gran radio 90º RDE 21 D=2 1/2"</t>
  </si>
  <si>
    <t>Codo PVC Gran radio 90º RDE 21 D=2"</t>
  </si>
  <si>
    <t>Codo PVC Gran radio 90º RDE 21 D=4"</t>
  </si>
  <si>
    <t>Codo PVC Gran radio 90º RDE 21 D=6"</t>
  </si>
  <si>
    <t>Codo PVC Gran radio 90º RDE 21 D=8"</t>
  </si>
  <si>
    <t>Codo PVC Gran radio 90º RDE 21 D=10"</t>
  </si>
  <si>
    <t>Codo PVC Gran radio 90º RDE 21 D=12"</t>
  </si>
  <si>
    <t>3.3.1.2.1.1</t>
  </si>
  <si>
    <t>Codo PVC Gran radio 45º RDE 21 D=2"</t>
  </si>
  <si>
    <t>Codo PVC Gran radio 45º RDE 21 D=2 1/2"</t>
  </si>
  <si>
    <t>Codo PVC Gran radio 45º RDE 21 D=4"</t>
  </si>
  <si>
    <t>Codo PVC Gran radio 45º RDE 21 D=6"</t>
  </si>
  <si>
    <t>Codo PVC Gran radio 45º RDE 21 D=8"</t>
  </si>
  <si>
    <t>Codo PVC Gran radio 45º RDE 21 D=10"</t>
  </si>
  <si>
    <t>Codo PVC Gran radio 45º RDE 21 D=12"</t>
  </si>
  <si>
    <t>3.3.1.2.2.2</t>
  </si>
  <si>
    <t>Codo PVC Gran radio 22,5º RDE 21 D=2"</t>
  </si>
  <si>
    <t>Codo PVC Gran radio 22,5º RDE 21 D=2 1/2"</t>
  </si>
  <si>
    <t>Codo PVC Gran radio 22,5º RDE 21 D=4"</t>
  </si>
  <si>
    <t>Codo PVC Gran radio 22,5º RDE 21 D=6"</t>
  </si>
  <si>
    <t>Codo PVC Gran radio 22,5º RDE 21 D=8"</t>
  </si>
  <si>
    <t>Codo PVC Gran radio 22,5º RDE 21 D=10"</t>
  </si>
  <si>
    <t>Codo PVC Gran radio 22,5º RDE 21 D=12"</t>
  </si>
  <si>
    <t>Codo PVC Gran radio 11,25º RDE 21 D=2"</t>
  </si>
  <si>
    <t>Codo PVC Gran radio 11,25º RDE 21 D=2 1/2"</t>
  </si>
  <si>
    <t>Codo PVC Gran radio 11,25º RDE 21 D=4"</t>
  </si>
  <si>
    <t>Codo PVC Gran radio 11,25º RDE 21 D=6"</t>
  </si>
  <si>
    <t>Codo PVC Gran radio 11,25º RDE 21 D=8"</t>
  </si>
  <si>
    <t>Codo PVC Gran radio 11,25º RDE 21 D=10"</t>
  </si>
  <si>
    <t>Codo PVC Gran radio 11,25º RDE 21 D=12"</t>
  </si>
  <si>
    <t>3.3.1.2.3.2</t>
  </si>
  <si>
    <t>3.3.1.2.4.2</t>
  </si>
  <si>
    <t>3.3.1.2.5</t>
  </si>
  <si>
    <t>CODOS PVC GRAN RADIO 6º RDE 21</t>
  </si>
  <si>
    <t>Codos PVC Gran radio 6º D=8"</t>
  </si>
  <si>
    <t>Codos PVC Gran radio 6º D=10"</t>
  </si>
  <si>
    <t>Codos PVC Gran radio 6º D=12"</t>
  </si>
  <si>
    <t>3.3.1.2.5.1</t>
  </si>
  <si>
    <t>3.3.1.2.5.2</t>
  </si>
  <si>
    <t>3.3.1.2.5.3</t>
  </si>
  <si>
    <t>CODOS PVC RADIO CORTO 90º</t>
  </si>
  <si>
    <t>3.3.1.2.6</t>
  </si>
  <si>
    <t>Codo PVC Gran radio 90º RDE 21 D=3"</t>
  </si>
  <si>
    <t>Codo PVC Gran radio 22,5º RDE 21 D=3"</t>
  </si>
  <si>
    <t>Codo PVC Gran radio 11,25º RDE 21 D=3"</t>
  </si>
  <si>
    <t>Codo PVC Gran radio 45º RDE 21 D=3"</t>
  </si>
  <si>
    <t>Codos PVC Radio corto 90º D=1 1/2"</t>
  </si>
  <si>
    <t>Codos PVC Radio corto 90º D=2"</t>
  </si>
  <si>
    <t>Codos PVC Radio corto 90º D=2 1/2"</t>
  </si>
  <si>
    <t>Codos PVC Radio corto 90º D=3"</t>
  </si>
  <si>
    <t>Codos PVC Radio corto 90º D=4"</t>
  </si>
  <si>
    <t>Codos PVC Radio corto 90º D=6"</t>
  </si>
  <si>
    <t>Codos PVC Radio corto 90º D=8"</t>
  </si>
  <si>
    <t>3.3.1.2.6.1</t>
  </si>
  <si>
    <t>3.3.1.2.6.2</t>
  </si>
  <si>
    <t>3.3.1.2.6.3</t>
  </si>
  <si>
    <t>3.3.1.2.6.4</t>
  </si>
  <si>
    <t>3.3.1.2.6.5</t>
  </si>
  <si>
    <t>3.3.1.2.6.6</t>
  </si>
  <si>
    <t>3.3.1.2.6.7</t>
  </si>
  <si>
    <t>3.3.1.2.7</t>
  </si>
  <si>
    <t>CODOS PVC RADIO CORTO 45º</t>
  </si>
  <si>
    <t>Codos PVC Radio corto 45º D=2"</t>
  </si>
  <si>
    <t>Codos PVC Radio corto 45º D=2 1/2"</t>
  </si>
  <si>
    <t>Codos PVC Radio corto 45º D=3"</t>
  </si>
  <si>
    <t>Codos PVC Radio corto 45º D=4"</t>
  </si>
  <si>
    <t>Codos PVC Radio corto 45º D=6"</t>
  </si>
  <si>
    <t>Codos PVC Radio corto 45º D=8"</t>
  </si>
  <si>
    <t>3.3.1.2.7.1</t>
  </si>
  <si>
    <t>3.3.2</t>
  </si>
  <si>
    <t>SUMINISTRO DE TEES PVC</t>
  </si>
  <si>
    <t>3.3.2.1</t>
  </si>
  <si>
    <t>3.3.2.1.1</t>
  </si>
  <si>
    <t>Tee PVC Presión soldar D=1/2"</t>
  </si>
  <si>
    <t>TEES PRESION SOLDAR</t>
  </si>
  <si>
    <t>Tee PVC Presión soldar D=3/4"</t>
  </si>
  <si>
    <t>Tee PVC Presión soldar D=1"</t>
  </si>
  <si>
    <t>Tee PVC Presión soldar D=1 1/4"</t>
  </si>
  <si>
    <t>Tee PVC Presión soldar D=1 1/2"</t>
  </si>
  <si>
    <t>Tee PVC Presión soldar D=2"</t>
  </si>
  <si>
    <t>Tee PVC Presión soldar D=2 1/2"</t>
  </si>
  <si>
    <t>Tee PVC Presión soldar D=3"</t>
  </si>
  <si>
    <t>Tee PVC Presión soldar D=4"</t>
  </si>
  <si>
    <t>3.3.2.1.2</t>
  </si>
  <si>
    <t>3.3.2.1.3</t>
  </si>
  <si>
    <t>3.3.2.1.4</t>
  </si>
  <si>
    <t>3.3.2.1.5</t>
  </si>
  <si>
    <t>3.3.2.1.6</t>
  </si>
  <si>
    <t>3.3.2.1.7</t>
  </si>
  <si>
    <t>3.3.2.1.8</t>
  </si>
  <si>
    <t>3.3.2.1.9</t>
  </si>
  <si>
    <t>Tee PVC Presión soldar D=3/4"x 1/2"</t>
  </si>
  <si>
    <t>Tee PVC Presión soldar D=1"x 1/2"</t>
  </si>
  <si>
    <t>Tee PVC Presión soldar D=1"x 3/4"</t>
  </si>
  <si>
    <t>3.3.2.1.10</t>
  </si>
  <si>
    <t>3.3.2.1.11</t>
  </si>
  <si>
    <t>3.3.2.1.12</t>
  </si>
  <si>
    <t>3.3.2.2</t>
  </si>
  <si>
    <t>TEES UNION MECANICA</t>
  </si>
  <si>
    <t>Tee PVC Unión mecánica D=2"</t>
  </si>
  <si>
    <t>Tee PVC Unión mecánica D=1 1/2"</t>
  </si>
  <si>
    <t>Tee PVC Unión mecánica D=2 1/2"</t>
  </si>
  <si>
    <t>Tee PVC Unión mecánica D=3"</t>
  </si>
  <si>
    <t>Tee PVC Unión mecánica D=4"</t>
  </si>
  <si>
    <t>Tee PVC Unión mecánica D=6"</t>
  </si>
  <si>
    <t>Tee PVC Unión mecánica D=8"</t>
  </si>
  <si>
    <t>3.3.2.2.1</t>
  </si>
  <si>
    <t>3.3.2.2.2</t>
  </si>
  <si>
    <t>3.3.2.2.3</t>
  </si>
  <si>
    <t>3.3.2.2.4</t>
  </si>
  <si>
    <t>3.3.2.2.5</t>
  </si>
  <si>
    <t>3.3.2.2.6</t>
  </si>
  <si>
    <t>3.3.2.2.7</t>
  </si>
  <si>
    <t>3.3.2.2.8</t>
  </si>
  <si>
    <t>3.3.2.2.9</t>
  </si>
  <si>
    <t>3.3.2.2.10</t>
  </si>
  <si>
    <t>Tee PVC Unión mecánica D=2 1/2"x 1 1/2"</t>
  </si>
  <si>
    <t>Tee PVC Unión mecánica D=2 1/2"x 2"</t>
  </si>
  <si>
    <t>Tee PVC Unión mecánica D=3"x 2"</t>
  </si>
  <si>
    <t>Tee PVC Unión mecánica D=3"x 2 1/2"</t>
  </si>
  <si>
    <t>Tee PVC Unión mecánica D=4"x 2"</t>
  </si>
  <si>
    <t>Tee PVC Unión mecánica D=4"x 2 1/2"</t>
  </si>
  <si>
    <t>Tee PVC Unión mecánica D=4"x 3"</t>
  </si>
  <si>
    <t>Tee PVC Unión mecánica D=6"x 3"</t>
  </si>
  <si>
    <t>Tee PVC Unión mecánica D=6"x 4"</t>
  </si>
  <si>
    <t>Tee PVC Unión mecánica D=8"x 6"</t>
  </si>
  <si>
    <t>Tee PVC Unión mecánica D=8"x 4"</t>
  </si>
  <si>
    <t>3.3.2.2.11</t>
  </si>
  <si>
    <t>3.3.2.2.12</t>
  </si>
  <si>
    <t>3.3.2.2.13</t>
  </si>
  <si>
    <t>3.3.2.2.14</t>
  </si>
  <si>
    <t>3.3.2.2.15</t>
  </si>
  <si>
    <t>3.3.2.2.16</t>
  </si>
  <si>
    <t>3.3.2.2.17</t>
  </si>
  <si>
    <t>3.3.2.2.18</t>
  </si>
  <si>
    <t>SUMINISTRO REDUCCIONES PVC</t>
  </si>
  <si>
    <t>Reducción PVC Unión mecánica de 2"x 1 1/2"</t>
  </si>
  <si>
    <t>Reducción PVC Unión mecánica de 2 1/2"x 2"</t>
  </si>
  <si>
    <t>Reducción PVC Unión mecánica de 3"x 2 1/2"</t>
  </si>
  <si>
    <t>Reducción PVC Unión mecánica de 3"x 2"</t>
  </si>
  <si>
    <t>Reducción PVC Unión mecánica de 4"x 2"</t>
  </si>
  <si>
    <t>Reducción PVC Unión mecánica de 4"x 2 1/2"</t>
  </si>
  <si>
    <t>Reducción PVC Unión mecánica de 4"x 3"</t>
  </si>
  <si>
    <t>Reducción PVC Unión mecánica de 6"x 4"</t>
  </si>
  <si>
    <t>Reducción PVC Unión mecánica de 8"x 6"</t>
  </si>
  <si>
    <t>3.3.3.3</t>
  </si>
  <si>
    <t>3.3.3.1.1</t>
  </si>
  <si>
    <t>3.3.3.1.2</t>
  </si>
  <si>
    <t>3.3.3.1.3</t>
  </si>
  <si>
    <t>3.3.3.1.4</t>
  </si>
  <si>
    <t>3.3.3.1.5</t>
  </si>
  <si>
    <t>3.3.3.1.6</t>
  </si>
  <si>
    <t>3.3.3.1.7</t>
  </si>
  <si>
    <t>3.3.3.1.8</t>
  </si>
  <si>
    <t>3.3.3.1.9</t>
  </si>
  <si>
    <t>SUMINISTRO DE BUJES SOLDADOS PRESION SOLDAR</t>
  </si>
  <si>
    <t>3.3.3.2.3</t>
  </si>
  <si>
    <t>3.3.3.2.4</t>
  </si>
  <si>
    <t>3.3.3.2.5</t>
  </si>
  <si>
    <t>3.3.3.2.6</t>
  </si>
  <si>
    <t>3.3.3.2.7</t>
  </si>
  <si>
    <t>3.3.3.2.8</t>
  </si>
  <si>
    <t>3.3.3.2.9</t>
  </si>
  <si>
    <t>3.3.3.2.10</t>
  </si>
  <si>
    <t>3.3.3.2.11</t>
  </si>
  <si>
    <t>3.3.3.2.12</t>
  </si>
  <si>
    <t>3.3.3.2.13</t>
  </si>
  <si>
    <t>3.3.3.2.14</t>
  </si>
  <si>
    <t>3.3.3.2.15</t>
  </si>
  <si>
    <t>3.3.3.2.16</t>
  </si>
  <si>
    <t>3.3.3.2.17</t>
  </si>
  <si>
    <t>3.3.3.2.18</t>
  </si>
  <si>
    <t>3.3.3.2.19</t>
  </si>
  <si>
    <t>3.3.3.2.20</t>
  </si>
  <si>
    <t>3.3.3.2.21</t>
  </si>
  <si>
    <t>3.3.3.2.22</t>
  </si>
  <si>
    <t>Bujes soldados D= 1"x 3/4"</t>
  </si>
  <si>
    <t>Bujes soldados D= 3/4"x 1/2"</t>
  </si>
  <si>
    <t>Bujes soldados  D= 1"x 1/2"</t>
  </si>
  <si>
    <t>Bujes soldados D= 4"x 2"</t>
  </si>
  <si>
    <t>Bujes soldados D=4" x2 1/2"</t>
  </si>
  <si>
    <t>Bujes soldados D=4" X 3"</t>
  </si>
  <si>
    <t>Bujes soldados D=1 1/4"x 1/2"</t>
  </si>
  <si>
    <t>Bujes soldados D=1 1/4"x 3/4"</t>
  </si>
  <si>
    <t>Bujes soldados D=1 1/4"x 1"</t>
  </si>
  <si>
    <t>Bujes soldados D=1 1/2"x 1/2"</t>
  </si>
  <si>
    <t>Bujes soldados D=1 1/2"x  3/4 "</t>
  </si>
  <si>
    <t>Bujes soldados D=1 1/2" x 1"</t>
  </si>
  <si>
    <t>Bujes soldados D=3"x 2"</t>
  </si>
  <si>
    <t>Bujes soldados D=3"x 2 1/2"</t>
  </si>
  <si>
    <t>Bujes soldados D=2 1/2" x 2"</t>
  </si>
  <si>
    <t>Bujes soldados D=1 1/2" x 1 1/4"</t>
  </si>
  <si>
    <t>Bujes soldados D=2"x 3/4"</t>
  </si>
  <si>
    <t>Bujes soldados D=2"x 1"</t>
  </si>
  <si>
    <t>Bujes soldados D=2"x 1 1/2"</t>
  </si>
  <si>
    <t>Bujes soldados D=2"x1/2"</t>
  </si>
  <si>
    <t>Bujes soldados D=2"x 1 1/4"</t>
  </si>
  <si>
    <t>Bujes soldados D=2 1/2" X 1 1/2"</t>
  </si>
  <si>
    <t>3.3.3.3.1</t>
  </si>
  <si>
    <t>3.3.3.3.2</t>
  </si>
  <si>
    <t>3.3.3.3.3</t>
  </si>
  <si>
    <t>3.3.3.3.4</t>
  </si>
  <si>
    <t>3.3.3.3.5</t>
  </si>
  <si>
    <t>3.3.3.3.6</t>
  </si>
  <si>
    <t>3.3.3.3.7</t>
  </si>
  <si>
    <t>3.3.3.3.8</t>
  </si>
  <si>
    <t>3.3.3.3.9</t>
  </si>
  <si>
    <t>3.3.3.3.10</t>
  </si>
  <si>
    <t>3.3.3.3.11</t>
  </si>
  <si>
    <t>3.3.3.3.12</t>
  </si>
  <si>
    <t>3.3.3.3.13</t>
  </si>
  <si>
    <t>3.3.3.3.14</t>
  </si>
  <si>
    <t>3.3.3.3.15</t>
  </si>
  <si>
    <t>3.3.3.3.16</t>
  </si>
  <si>
    <t>3.3.3.3.17</t>
  </si>
  <si>
    <t>Bujes roscados D=1/2" x 3/8"</t>
  </si>
  <si>
    <t>Bujes roscados D=3"x 2"</t>
  </si>
  <si>
    <t>Bujes roscados D=2"x 1 1/2"</t>
  </si>
  <si>
    <t>Bujes roscados D=2"x 1 1/4"</t>
  </si>
  <si>
    <t>Bujes roscados D=2"x 1"</t>
  </si>
  <si>
    <t>Bujes roscados D=2"x 3/4"</t>
  </si>
  <si>
    <t>Bujes roscados D=2"x 1/2"</t>
  </si>
  <si>
    <t>Bujes roscados D=3/4"x 1/2"</t>
  </si>
  <si>
    <t>Bujes roscados D=1 1/2"x 1 1/4"</t>
  </si>
  <si>
    <t>Bujes roscados D=1 1/2"x 1/2"</t>
  </si>
  <si>
    <t>Bujes roscados D=1 1/2"x 3/4"</t>
  </si>
  <si>
    <t>Bujes roscados D=1 1/2"x 1"</t>
  </si>
  <si>
    <t>Bujes roscados D=1 1/4"x 1/2"</t>
  </si>
  <si>
    <t>Bujes roscados D=1 1/4"x 3/4"</t>
  </si>
  <si>
    <t>Bujes roscados D=1 1/4"x 1"</t>
  </si>
  <si>
    <t>Bujes roscados D=1"x 1/2"</t>
  </si>
  <si>
    <t>Bujes roscados D=1"x 3/4"</t>
  </si>
  <si>
    <t>SUMINISTRO DE TAPONES PVC</t>
  </si>
  <si>
    <t>Tapones Unión Mecánica PVC</t>
  </si>
  <si>
    <t>SUMINISTRO BUJES ROSCADOS PRESION SOLDAR</t>
  </si>
  <si>
    <t>3.3.4.2</t>
  </si>
  <si>
    <t>3.3.4.1,1</t>
  </si>
  <si>
    <t>Tapones unión mecánica D=3"</t>
  </si>
  <si>
    <t>Tapones unión mecánica D=4"</t>
  </si>
  <si>
    <t>Tapones unión mecánica D=6"</t>
  </si>
  <si>
    <t>Tapones unión mecánica D=8"</t>
  </si>
  <si>
    <t>3.3.4.1,2</t>
  </si>
  <si>
    <t>3.3.4.1,3</t>
  </si>
  <si>
    <t>3.3.4.1,4</t>
  </si>
  <si>
    <t>Tapones soldados D=1/2"</t>
  </si>
  <si>
    <t>Tapones soldados D=3/4"</t>
  </si>
  <si>
    <t>Tapones soldados D=1"</t>
  </si>
  <si>
    <t>Tapones soldados D=1 1/4"</t>
  </si>
  <si>
    <t>Tapones soldados D=1 1/2"</t>
  </si>
  <si>
    <t>Tapones soldados D=2"</t>
  </si>
  <si>
    <t>Tapones soldados D=2 1/2"</t>
  </si>
  <si>
    <t>Tapones soldados D=3"</t>
  </si>
  <si>
    <t>Tapones soldados D=4"</t>
  </si>
  <si>
    <t>Tapones Roscados PVC</t>
  </si>
  <si>
    <t>Tapones Soldados PVC</t>
  </si>
  <si>
    <t>3.3.4.3</t>
  </si>
  <si>
    <t>3.3.4.2,1</t>
  </si>
  <si>
    <t>3.3.4.2,2</t>
  </si>
  <si>
    <t>3.3.4.2,3</t>
  </si>
  <si>
    <t>3.3.4.2,4</t>
  </si>
  <si>
    <t>3.3.4.2,5</t>
  </si>
  <si>
    <t>3.3.4.2,6</t>
  </si>
  <si>
    <t>3.3.4.2,7</t>
  </si>
  <si>
    <t>3.3.4.2,8</t>
  </si>
  <si>
    <t>3.3.4.2,9</t>
  </si>
  <si>
    <t>3.3.4.3,1</t>
  </si>
  <si>
    <t>Tapones roscados D=1/2"</t>
  </si>
  <si>
    <t>Tapones roscados D=3/4"</t>
  </si>
  <si>
    <t>Tapones roscados D=1"</t>
  </si>
  <si>
    <t>Tapones roscados D=1 1/4"</t>
  </si>
  <si>
    <t>Tapones roscados D=1 1/2"</t>
  </si>
  <si>
    <t>Tapones roscados D=2"</t>
  </si>
  <si>
    <t>Tapones roscados D=2 1/2"</t>
  </si>
  <si>
    <t>Tapones roscados D=3"</t>
  </si>
  <si>
    <t>Tapones roscados D=4"</t>
  </si>
  <si>
    <t>3.3.4.3,2</t>
  </si>
  <si>
    <t>3.3.4.3,3</t>
  </si>
  <si>
    <t>3.3.4.3,4</t>
  </si>
  <si>
    <t>3.3.4.3,5</t>
  </si>
  <si>
    <t>3.3.4.3,6</t>
  </si>
  <si>
    <t>3.3.4.3,7</t>
  </si>
  <si>
    <t>3.3.4.3,8</t>
  </si>
  <si>
    <t>3.3.4.3,9</t>
  </si>
  <si>
    <t>3.3.5</t>
  </si>
  <si>
    <t>Collar de derivación de 2"x 1/2"</t>
  </si>
  <si>
    <t>Collar de derivación de 2"x 3/4"</t>
  </si>
  <si>
    <t>Collar de derivación de 2 1/2"x 1/2"</t>
  </si>
  <si>
    <t>Collar de derivación de 2 1/2"x 3/4"</t>
  </si>
  <si>
    <t>Collar de derivación de 3"x 1/2"</t>
  </si>
  <si>
    <t>Collar de derivación de 3"x 3/4"</t>
  </si>
  <si>
    <t>Collar de derivación de 4"x 1/2"</t>
  </si>
  <si>
    <t>Collar de derivación de 4"x 3/4"</t>
  </si>
  <si>
    <t>Collar de derivación de 6"x 1/2"</t>
  </si>
  <si>
    <t>Collar de derivación de 6"x 3/4"</t>
  </si>
  <si>
    <t>Collar de derivación de 8"x 1"</t>
  </si>
  <si>
    <t>3.3.5.1</t>
  </si>
  <si>
    <t>3.3.5.2</t>
  </si>
  <si>
    <t>3.3.5.3</t>
  </si>
  <si>
    <t>3.3.5.4</t>
  </si>
  <si>
    <t>3.3.5.5</t>
  </si>
  <si>
    <t>3.3.5.6</t>
  </si>
  <si>
    <t>3.3.5.7</t>
  </si>
  <si>
    <t>3.3.5.8</t>
  </si>
  <si>
    <t>3.3.5.9</t>
  </si>
  <si>
    <t>3.3.5.10</t>
  </si>
  <si>
    <t>3.3.5.11</t>
  </si>
  <si>
    <t>SUMINISTRO COLLARES DE DERIVACION PVC</t>
  </si>
  <si>
    <t>Suministro Adapatadores Macho PVC Presión soldar</t>
  </si>
  <si>
    <t>3.3.6.2</t>
  </si>
  <si>
    <t>3.3.6.3</t>
  </si>
  <si>
    <t>Suministro Adapatadores Hembra PVC Presión soldar</t>
  </si>
  <si>
    <t>3.3.6.1.1</t>
  </si>
  <si>
    <t>3.3.6.1.2</t>
  </si>
  <si>
    <t>3.3.6.1.3</t>
  </si>
  <si>
    <t>3.3.6.1.4</t>
  </si>
  <si>
    <t>3.3.6.1.5</t>
  </si>
  <si>
    <t>3.3.6.1.6</t>
  </si>
  <si>
    <t>3.3.6.1.7</t>
  </si>
  <si>
    <t>3.3.6.1.8</t>
  </si>
  <si>
    <t>3.3.6.1.9</t>
  </si>
  <si>
    <t>3.3.6.2.1</t>
  </si>
  <si>
    <t>Adaptador macho D=1/2"</t>
  </si>
  <si>
    <t>Adaptador macho D=3/4"</t>
  </si>
  <si>
    <t>Adaptador macho D=1"</t>
  </si>
  <si>
    <t>Adaptador macho D=1 1/4"</t>
  </si>
  <si>
    <t>Adaptador macho D=1 1/2"</t>
  </si>
  <si>
    <t>Adaptador macho D=2"</t>
  </si>
  <si>
    <t>Adaptador macho D=2 1/2"</t>
  </si>
  <si>
    <t>Adaptador macho D=3"</t>
  </si>
  <si>
    <t>Adaptador macho D=4"</t>
  </si>
  <si>
    <t>Adaptador hembra D=1/2"</t>
  </si>
  <si>
    <t>Adaptador hembra D=3/4"</t>
  </si>
  <si>
    <t>Adaptador hembra D=1"</t>
  </si>
  <si>
    <t>Adaptador hembras D=1 1/4"</t>
  </si>
  <si>
    <t>Adaptador hembra D=1 1/2"</t>
  </si>
  <si>
    <t>Adaptador hembra D=2"</t>
  </si>
  <si>
    <t>Adaptador hembra D=2 1/2"</t>
  </si>
  <si>
    <t>Adaptador hembra D=3"</t>
  </si>
  <si>
    <t>Adaptador hembra D=4"</t>
  </si>
  <si>
    <t>3.3.6.2.2</t>
  </si>
  <si>
    <t>3.3.6.2.3</t>
  </si>
  <si>
    <t>3.3.6.2.4</t>
  </si>
  <si>
    <t>3.3.6.2.5</t>
  </si>
  <si>
    <t>3.3.6.2.6</t>
  </si>
  <si>
    <t>3.3.6.2.7</t>
  </si>
  <si>
    <t>3.3.6.2.8</t>
  </si>
  <si>
    <t>3.3.6.2.9</t>
  </si>
  <si>
    <t xml:space="preserve"> Adaptador macho  PF+AUD D=1/2"</t>
  </si>
  <si>
    <t xml:space="preserve"> Adaptador hembra  PF+AUD D=1/2"</t>
  </si>
  <si>
    <t>Suministro Uniones presión soldar</t>
  </si>
  <si>
    <t>Uniones presión soldar D= 1"</t>
  </si>
  <si>
    <t>Uniones presión soldar D= 1/2"</t>
  </si>
  <si>
    <t>Uniones presión soldar D= 3/4"</t>
  </si>
  <si>
    <t>Uniones presión soldar D= 1 1/4"</t>
  </si>
  <si>
    <t>Uniones presión soldar D= 1 1/2"</t>
  </si>
  <si>
    <t>Uniones presión soldar D= 2"</t>
  </si>
  <si>
    <t>Uniones presión soldar D= 2 1/2"</t>
  </si>
  <si>
    <t>Uniones presión soldar D= 3"</t>
  </si>
  <si>
    <t>Uniones presión soldar D= 4"</t>
  </si>
  <si>
    <t>3.3.7.1.1</t>
  </si>
  <si>
    <t>3.3.7.1.2</t>
  </si>
  <si>
    <t>3.3.7.1.3</t>
  </si>
  <si>
    <t>3.3.7.1.4</t>
  </si>
  <si>
    <t>3.3.7.1.5</t>
  </si>
  <si>
    <t>3.3.7.1.6</t>
  </si>
  <si>
    <t>3.3.7.1.7</t>
  </si>
  <si>
    <t>3.3.7.1.8</t>
  </si>
  <si>
    <t>Suministro Uniones unión mecánica</t>
  </si>
  <si>
    <t>Uniones unión mecánica D= 2"</t>
  </si>
  <si>
    <t>Uniones unión mecánica D= 3"</t>
  </si>
  <si>
    <t>Uniones unión mecánica D= 4"</t>
  </si>
  <si>
    <t>Uniones unión mecánica D= 6"</t>
  </si>
  <si>
    <t>Uniones unión mecánica D= 8"</t>
  </si>
  <si>
    <t>Uniones unión mecánica D= 10"</t>
  </si>
  <si>
    <t>Uniones unión mecánica D= 12"</t>
  </si>
  <si>
    <t>Suministro Uniones de Reparación unión mecánica</t>
  </si>
  <si>
    <t>3.3.7.2.1</t>
  </si>
  <si>
    <t>3.3.7.2.2</t>
  </si>
  <si>
    <t>3.3.7.2.3</t>
  </si>
  <si>
    <t>3.3.7.2.4</t>
  </si>
  <si>
    <t>3.3.7.2.5</t>
  </si>
  <si>
    <t>3.3.7.2.6</t>
  </si>
  <si>
    <t>3.3.7.3.1</t>
  </si>
  <si>
    <t>Uniones de Reparación unión mecánica D= 2"</t>
  </si>
  <si>
    <t>Uniones de Reparación unión mecánica D= 3"</t>
  </si>
  <si>
    <t>Uniones de Reparación unión mecánica D= 4"</t>
  </si>
  <si>
    <t>Uniones de Reparación unión mecánica D= 6"</t>
  </si>
  <si>
    <t>Uniones de Reparación unión mecánica D= 8"</t>
  </si>
  <si>
    <t>Uniones de Reparación unión mecánica D= 12"</t>
  </si>
  <si>
    <t>Uniones de Reparación  unión mecánica D=10"</t>
  </si>
  <si>
    <t>3.3.7.3.2</t>
  </si>
  <si>
    <t>3.3.7.3.3</t>
  </si>
  <si>
    <t>3.3.7.3.4</t>
  </si>
  <si>
    <t>3.3.7.3.5</t>
  </si>
  <si>
    <t>3.3.7.3.6</t>
  </si>
  <si>
    <t>3.3.7.3.7</t>
  </si>
  <si>
    <t>3.3.7.4</t>
  </si>
  <si>
    <t>Suministro Uniones Rápidas unión mecánica</t>
  </si>
  <si>
    <t>Uniones unión mecánica D= 2 1/2"</t>
  </si>
  <si>
    <t>Uniones de Reparación unión mecánica D= 2 1/2"</t>
  </si>
  <si>
    <t>3.3.7.3.8</t>
  </si>
  <si>
    <t>3.3.7.4.1</t>
  </si>
  <si>
    <t>3.3.7.4.2</t>
  </si>
  <si>
    <t>3.3.7.4.3</t>
  </si>
  <si>
    <t>3.3.7.4.4</t>
  </si>
  <si>
    <t>3.3.7.4.5</t>
  </si>
  <si>
    <t>3.3.7.4.6</t>
  </si>
  <si>
    <t>3.3.7.4.7</t>
  </si>
  <si>
    <t>3.3.7.4.8</t>
  </si>
  <si>
    <t>Uniones Rápidas unión mecánica D= 2"</t>
  </si>
  <si>
    <t>Uniones Rápidas unión mecánica D= 2 1/2"</t>
  </si>
  <si>
    <t>Uniones Rápidas unión mecánica D= 3"</t>
  </si>
  <si>
    <t>Uniones Rápidas unión mecánica D= 4"</t>
  </si>
  <si>
    <t>Uniones Rápidas unión mecánica D= 6"</t>
  </si>
  <si>
    <t>Uniones Rápidas unión mecánica D= 8"</t>
  </si>
  <si>
    <t>Uniones Rápidas  unión mecánica D=10"</t>
  </si>
  <si>
    <t>Uniones Rápidas unión mecánica D= 12"</t>
  </si>
  <si>
    <t>Uniones de Reparación unión mecánica D= 1 1/2"</t>
  </si>
  <si>
    <t>Unión para  PF+AUD D=1/2"</t>
  </si>
  <si>
    <t>Codo 90º para  PF+AUD D=1/2"</t>
  </si>
  <si>
    <t>Suministro adaptadores  y otros accesorios para conexiones PF+AUD</t>
  </si>
  <si>
    <t>Suministro Uniones Universal</t>
  </si>
  <si>
    <t>3.3.7.2</t>
  </si>
  <si>
    <t>Uniones Universal D= 1/2"</t>
  </si>
  <si>
    <t>Uniones Universal D= 3/4"</t>
  </si>
  <si>
    <t>Uniones Universal D= 1 1/4"</t>
  </si>
  <si>
    <t>Uniones Universalr D= 1 1/2"</t>
  </si>
  <si>
    <t>Uniones Universal D= 2"</t>
  </si>
  <si>
    <t>Uniones Universal D= 1"</t>
  </si>
  <si>
    <t>3.3.7.1.9</t>
  </si>
  <si>
    <t xml:space="preserve">3.3.7.3 </t>
  </si>
  <si>
    <t>3.3.7.5</t>
  </si>
  <si>
    <t>3.3.7.4.9</t>
  </si>
  <si>
    <t>3.3.7.5.1</t>
  </si>
  <si>
    <t>3.3.7.5.2</t>
  </si>
  <si>
    <t>3.3.7.5.3</t>
  </si>
  <si>
    <t>3.3.7.5.4</t>
  </si>
  <si>
    <t>3.3.7.5.5</t>
  </si>
  <si>
    <t>3.3.7.5.6</t>
  </si>
  <si>
    <t>3.3.7.5.7</t>
  </si>
  <si>
    <t>3.3.7.5.8</t>
  </si>
  <si>
    <t>3.3.8</t>
  </si>
  <si>
    <t>SUMINISTRO DE BRIDA AJUSTABLE PVC</t>
  </si>
  <si>
    <t>3.3.8.1</t>
  </si>
  <si>
    <t>Brida ajustable PVC de D=3"</t>
  </si>
  <si>
    <t>Brida ajustable PVC de D=4"</t>
  </si>
  <si>
    <t>Brida ajustable PVC de D=6"</t>
  </si>
  <si>
    <t>Brida ajustable PVC de D=8"</t>
  </si>
  <si>
    <t>Brida ajustable PVC de D=10"</t>
  </si>
  <si>
    <t>Brida ajustable PVC de D=12"</t>
  </si>
  <si>
    <t>3.3.8.2</t>
  </si>
  <si>
    <t>3.3.8.3</t>
  </si>
  <si>
    <t>3.3.8.4</t>
  </si>
  <si>
    <t>3.3.8.5</t>
  </si>
  <si>
    <t>3.3.8.6</t>
  </si>
  <si>
    <t>3.1.2.6</t>
  </si>
  <si>
    <t>TUBERIA PVC ALTAS PRESIONES</t>
  </si>
  <si>
    <t>TUBERIA PVC EXTREMO LISO RDE 9 500 PSI</t>
  </si>
  <si>
    <t>3.1.2.6.1</t>
  </si>
  <si>
    <t>3.1.2.6.1.1</t>
  </si>
  <si>
    <t>Tubería PVC extremo liso RDE 9 D=6"</t>
  </si>
  <si>
    <t>Tubería PVC extremo liso RDE 9 D=8"</t>
  </si>
  <si>
    <t>Tubería PVC extremo liso RDE 9 D=3"</t>
  </si>
  <si>
    <t>Tubería PVC extremo liso RDE 9 D=4"</t>
  </si>
  <si>
    <t>3.1.2.6.1.2</t>
  </si>
  <si>
    <t>3.1.2.6.1.3</t>
  </si>
  <si>
    <t>3.1.2.6.1.4</t>
  </si>
  <si>
    <t>3.1.2.6.2</t>
  </si>
  <si>
    <t>TUBERIA PVC EXTREMO LISO RDE 11- 400 PSI</t>
  </si>
  <si>
    <t>Tubería PVC extremo liso RDE 11 D=3"</t>
  </si>
  <si>
    <t>Tubería PVC extremo liso RDE 11 D=4"</t>
  </si>
  <si>
    <t>Tubería PVC extremo liso RDE 11 D=6"</t>
  </si>
  <si>
    <t>Tubería PVC extremo liso RDE 11 D=8"</t>
  </si>
  <si>
    <t>3.1.2.6.2.1</t>
  </si>
  <si>
    <t>3.1.2.6.2.2</t>
  </si>
  <si>
    <t>3.1.2.6.2.3</t>
  </si>
  <si>
    <t>3.1.2.6.2.4</t>
  </si>
  <si>
    <t>3.1.2.6.3</t>
  </si>
  <si>
    <t>TUBERIA PVC UNION MECANICA RDE 13,5- 315 PSI</t>
  </si>
  <si>
    <t xml:space="preserve">Tubería  PVC Unión mecánica RDE 13,5 D= 2" </t>
  </si>
  <si>
    <t xml:space="preserve">Tubería  PVC Unión mecánica RDE 13,5 D= 3" </t>
  </si>
  <si>
    <t xml:space="preserve">Tubería  PVC Unión mecánica RDE 13,5 D= 4" </t>
  </si>
  <si>
    <t xml:space="preserve">Tubería  PVC Unión mecánica RDE 13,5 D= 6" </t>
  </si>
  <si>
    <t xml:space="preserve">Tubería  PVC Unión mecánica RDE 13,5 D= 8" </t>
  </si>
  <si>
    <t xml:space="preserve">Tubería  PVC Extremo Liso RDE 13,5 D= 12" </t>
  </si>
  <si>
    <t xml:space="preserve">Tubería  PVC Extremo Liso RDE 13,5 D= 10" </t>
  </si>
  <si>
    <t xml:space="preserve">Tubería  PVC Extremo Liso RDE 13,5 D= 14" </t>
  </si>
  <si>
    <t>3.1.2.6.3.1</t>
  </si>
  <si>
    <t>3.1.2.6.3.2</t>
  </si>
  <si>
    <t>3.1.2.6.3.3</t>
  </si>
  <si>
    <t>3.1.2.6.3.4</t>
  </si>
  <si>
    <t>3.1.2.6.3.5</t>
  </si>
  <si>
    <t>3.1.2.6.3.6</t>
  </si>
  <si>
    <t>3.1.2.6.3.7</t>
  </si>
  <si>
    <t>3.1.2.6.3.8</t>
  </si>
  <si>
    <t>SUMINISTRO TUBERÍA POLIETILENO - PE 100 PN6 RDE 26</t>
  </si>
  <si>
    <t>3.5.1.1</t>
  </si>
  <si>
    <t>3.5.1.2</t>
  </si>
  <si>
    <t>3.5.1.4</t>
  </si>
  <si>
    <t>3.5.1.5</t>
  </si>
  <si>
    <t>3.5.1.7</t>
  </si>
  <si>
    <t>3.5.1.8</t>
  </si>
  <si>
    <t>3.5.1.9</t>
  </si>
  <si>
    <t>3.5.1.10</t>
  </si>
  <si>
    <t>3.5.1.11</t>
  </si>
  <si>
    <t>SUMINISTRO TUBERÍA POLIETILENO - PE 100 PN 8 RDE 21</t>
  </si>
  <si>
    <t>Tuberia de Polietileno PEAD-PE 100 PN 6 D=50 mm</t>
  </si>
  <si>
    <t>Tuberia de Polietileno PEAD-PE 100 PN 6 D=63 mm</t>
  </si>
  <si>
    <t>Tuberia de Polietileno PEAD-PE 100 PN 6 D=75 mm</t>
  </si>
  <si>
    <t>Tuberia de Polietileno PEAD-PE 100 PN 6 D=90 mm</t>
  </si>
  <si>
    <t>Tuberia de Polietileno PEAD-PE 100 PN 6 D=110 mm</t>
  </si>
  <si>
    <t>Tuberia de Polietileno PEAD-PE 100 PN 6 D=160 mm</t>
  </si>
  <si>
    <t>Tuberia de Polietileno PEAD-PE 100 PN 6 D=200 mm</t>
  </si>
  <si>
    <t>Tuberia de Polietileno PEAD-PE 100 PN 6 D=250 mm</t>
  </si>
  <si>
    <t>Tuberia de Polietileno PEAD-PE 100 PN 6 D=315 mm</t>
  </si>
  <si>
    <t>Tuberia de Polietileno PEAD-PE 100 PN 6 D=355 mm</t>
  </si>
  <si>
    <t>Tuberia de Polietileno PEAD-PE 100 PN 6 D=400 mm</t>
  </si>
  <si>
    <t>Tuberia de Polietileno PEAD-PE 100 PN 8 D=50 mm</t>
  </si>
  <si>
    <t>Tuberia de Polietileno PEAD-PE 100 PN 8 D=63 mm</t>
  </si>
  <si>
    <t>Tuberia de Polietileno PEAD-PE 100 PN 8 D=75 mm</t>
  </si>
  <si>
    <t>Tuberia de Polietileno PEAD-PE 100 PN 8 D=90 mm</t>
  </si>
  <si>
    <t>Tuberia de Polietileno PEAD-PE 100 PN 8 D=110 mm</t>
  </si>
  <si>
    <t>Tuberia de Polietileno PEAD-PE 100 PN 8 D=160 mm</t>
  </si>
  <si>
    <t>Tuberia de Polietileno PEAD-PE 100 PN 8 D=200 mm</t>
  </si>
  <si>
    <t>Tuberia de Polietileno PEAD-PE 100 PN 8 D=250 mm</t>
  </si>
  <si>
    <t>Tuberia de Polietileno PEAD-PE 100 PN 8 D=315 mm</t>
  </si>
  <si>
    <t>Tuberia de Polietileno PEAD-PE 100 PN 8 D=355 mm</t>
  </si>
  <si>
    <t>Tuberia de Polietileno PEAD-PE 100 PN 8 D=400 mm</t>
  </si>
  <si>
    <t>3.5.2</t>
  </si>
  <si>
    <t>3.5.2.1</t>
  </si>
  <si>
    <t>3.5.2.2</t>
  </si>
  <si>
    <t>3.5.2.3</t>
  </si>
  <si>
    <t>3.5.2.4</t>
  </si>
  <si>
    <t>3.5.2.5</t>
  </si>
  <si>
    <t>3.5.2.6</t>
  </si>
  <si>
    <t>3.5.2.7</t>
  </si>
  <si>
    <t>3.5.2.8</t>
  </si>
  <si>
    <t>3.5.2.9</t>
  </si>
  <si>
    <t>3.5.2.10</t>
  </si>
  <si>
    <t>3.5.2.11</t>
  </si>
  <si>
    <t>3.5.3</t>
  </si>
  <si>
    <t>3.5.3.1</t>
  </si>
  <si>
    <t>Tuberia de Polietileno PEAD-PE 100 PN 10 D=50 mm</t>
  </si>
  <si>
    <t>Tuberia de Polietileno PEAD-PE 100 PN 10 D=63 mm</t>
  </si>
  <si>
    <t>Tuberia de Polietileno PEAD-PE 100 PN 10 D=75 mm</t>
  </si>
  <si>
    <t>Tuberia de Polietileno PEAD-PE 100 PN 10 D=90 mm</t>
  </si>
  <si>
    <t>Tuberia de Polietileno PEAD-PE 100 PN 10 D=110 mm</t>
  </si>
  <si>
    <t>Tuberia de Polietileno PEAD-PE 100 PN 10 D=160 mm</t>
  </si>
  <si>
    <t>Tuberia de Polietileno PEAD-PE 100 PN 10 D=200 mm</t>
  </si>
  <si>
    <t>Tuberia de Polietileno PEAD-PE 100 PN 10 D=250 mm</t>
  </si>
  <si>
    <t>Tuberia de Polietileno PEAD-PE 100 PN 10 D=315 mm</t>
  </si>
  <si>
    <t>Tuberia de Polietileno PEAD-PE 100 PN 10 D=355 mm</t>
  </si>
  <si>
    <t>Tuberia de Polietileno PEAD-PE 100 PN 10 D=400 mm</t>
  </si>
  <si>
    <t>3.5.3.2</t>
  </si>
  <si>
    <t>3.5.3.3</t>
  </si>
  <si>
    <t>3.5.3.4</t>
  </si>
  <si>
    <t>3.5.3.5</t>
  </si>
  <si>
    <t>3.5.3.6</t>
  </si>
  <si>
    <t>3.5.3.7</t>
  </si>
  <si>
    <t>3.5.3.8</t>
  </si>
  <si>
    <t>3.5.3.9</t>
  </si>
  <si>
    <t>3.5.3.10</t>
  </si>
  <si>
    <t>3.5.3.11</t>
  </si>
  <si>
    <t>SUMINISTRO TUBERÍA POLIETILENO - PE 100 PN 10 RDE 17</t>
  </si>
  <si>
    <t>Tuberia de Polietileno PEAD-PE 100 PN 6 D=125 mm</t>
  </si>
  <si>
    <t>Tuberia de Polietileno PEAD-PE 100 PN 6 D=140 mm</t>
  </si>
  <si>
    <t>Tuberia de Polietileno PEAD-PE 100 PN 6 D=180 mm</t>
  </si>
  <si>
    <t>Tuberia de Polietileno PEAD-PE 100 PN 6 D=225 mm</t>
  </si>
  <si>
    <t>Tuberia de Polietileno PEAD-PE 100 PN 6 D=280 mm</t>
  </si>
  <si>
    <t>Tuberia de Polietileno PEAD-PE 100 PN 6 D=450 mm</t>
  </si>
  <si>
    <t>Tuberia de Polietileno PEAD-PE 100 PN 6 D=500 mm</t>
  </si>
  <si>
    <t>Tuberia de Polietileno PEAD-PE 100 PN 6 D=560 mm</t>
  </si>
  <si>
    <t>Tuberia de Polietileno PEAD-PE 100 PN 6 D=630 mm</t>
  </si>
  <si>
    <t>3.5.1.12</t>
  </si>
  <si>
    <t>3.5.1.13</t>
  </si>
  <si>
    <t>3.5.1.14</t>
  </si>
  <si>
    <t>3.5.1.15</t>
  </si>
  <si>
    <t>3.5.1.16</t>
  </si>
  <si>
    <t>3.5.1.17</t>
  </si>
  <si>
    <t>3.5.1.18</t>
  </si>
  <si>
    <t>3.5.1.19</t>
  </si>
  <si>
    <t>3.5.1.20</t>
  </si>
  <si>
    <t>Tuberia de Polietileno PEAD-PE 100 PN 8 D=125 mm</t>
  </si>
  <si>
    <t>Tuberia de Polietileno PEAD-PE 100 PN 8 D=140 mm</t>
  </si>
  <si>
    <t>Tuberia de Polietileno PEAD-PE 100 PN 8 D=180 mm</t>
  </si>
  <si>
    <t>Tuberia de Polietileno PEAD-PE 100 PN 8 D=225 mm</t>
  </si>
  <si>
    <t>Tuberia de Polietileno PEAD-PE 100 PN 8 D=450 mm</t>
  </si>
  <si>
    <t>Tuberia de Polietileno PEAD-PE 100 PN 8 D=500 mm</t>
  </si>
  <si>
    <t>Tuberia de Polietileno PEAD-PE 100 PN 8 D=560 mm</t>
  </si>
  <si>
    <t>Tuberia de Polietileno PEAD-PE 100 PN 8 D=630 mm</t>
  </si>
  <si>
    <t>Tuberia de Polietileno PEAD-PE 100 PN 10 D=450 mm</t>
  </si>
  <si>
    <t>Tuberia de Polietileno PEAD-PE 100 PN 10 D=500 mm</t>
  </si>
  <si>
    <t>Tuberia de Polietileno PEAD-PE 100 PN 10 D=560 mm</t>
  </si>
  <si>
    <t>Tuberia de Polietileno PEAD-PE 100 PN 10 D=630 mm</t>
  </si>
  <si>
    <t>Tuberia de Polietileno PEAD-PE 100 PN 10 D=125 mm</t>
  </si>
  <si>
    <t>Tuberia de Polietileno PEAD-PE 100 PN 10 D=140 mm</t>
  </si>
  <si>
    <t>Tuberia de Polietileno PEAD-PE 100 PN 10 D=40 mm</t>
  </si>
  <si>
    <t>Tuberia de Polietileno PEAD-PE 100 PN 10 D=180 mm</t>
  </si>
  <si>
    <t>Tuberia de Polietileno PEAD-PE 100 PN 8 D=280 mm</t>
  </si>
  <si>
    <t>Tuberia de Polietileno PEAD-PE 100 PN 10 D=280 mm</t>
  </si>
  <si>
    <t>Tuberia de Polietileno PEAD-PE 100 PN 10 D=225 mm</t>
  </si>
  <si>
    <t>3.5.3.12</t>
  </si>
  <si>
    <t>3.5.3.13</t>
  </si>
  <si>
    <t>3.5.3.14</t>
  </si>
  <si>
    <t>3.5.3.15</t>
  </si>
  <si>
    <t>3.5.3.16</t>
  </si>
  <si>
    <t>3.5.3.17</t>
  </si>
  <si>
    <t>3.5.3.18</t>
  </si>
  <si>
    <t>3.5.3.19</t>
  </si>
  <si>
    <t>3.5.3.20</t>
  </si>
  <si>
    <t>3.5.3.21</t>
  </si>
  <si>
    <t>3.5.2.12</t>
  </si>
  <si>
    <t>3.5.2.13</t>
  </si>
  <si>
    <t>3.5.2.14</t>
  </si>
  <si>
    <t>3.5.2.15</t>
  </si>
  <si>
    <t>3.5.2.16</t>
  </si>
  <si>
    <t>3.5.2.17</t>
  </si>
  <si>
    <t>3.5.2.18</t>
  </si>
  <si>
    <t>3.5.2.19</t>
  </si>
  <si>
    <t>3.5.2.20</t>
  </si>
  <si>
    <t>3.5.4</t>
  </si>
  <si>
    <t>SUMINISTRO TUBERÍA POLIETILENO - PE 100 PN 12,5 RDE 14</t>
  </si>
  <si>
    <t>Tuberia de Polietileno PEAD-PE 100 PN 12,5 D=50 mm</t>
  </si>
  <si>
    <t>Tuberia de Polietileno PEAD-PE 100 PN 12,5 D=63 mm</t>
  </si>
  <si>
    <t>Tuberia de Polietileno PEAD-PE 100 PN 12,5 D=75 mm</t>
  </si>
  <si>
    <t>Tuberia de Polietileno PEAD-PE 100 PN 12,5 D=90 mm</t>
  </si>
  <si>
    <t>Tuberia de Polietileno PEAD-PE 100 PN 12,5 D=110 mm</t>
  </si>
  <si>
    <t>Tuberia de Polietileno PEAD-PE 100 PN 12,5 D=125 mm</t>
  </si>
  <si>
    <t>Tuberia de Polietileno PEAD-PE 100 PN 12,5 D=140 mm</t>
  </si>
  <si>
    <t>Tuberia de Polietileno PEAD-PE 100 PN 12,5 D=160 mm</t>
  </si>
  <si>
    <t>Tuberia de Polietileno PEAD-PE 100 PN 12,5 D=180 mm</t>
  </si>
  <si>
    <t>Tuberia de Polietileno PEAD-PE 100 PN 12,5 D=200 mm</t>
  </si>
  <si>
    <t>Tuberia de Polietileno PEAD-PE 100 PN 12,5 D=225 mm</t>
  </si>
  <si>
    <t>Tuberia de Polietileno PEAD-PE 100 PN 12,5 D=250 mm</t>
  </si>
  <si>
    <t>Tuberia de Polietileno PEAD-PE 100 PN 12,5 D=280 mm</t>
  </si>
  <si>
    <t>Tuberia de Polietileno PEAD-PE 100 PN 12,5 D=315 mm</t>
  </si>
  <si>
    <t>Tuberia de Polietileno PEAD-PE 100 PN 12,5 D=355 mm</t>
  </si>
  <si>
    <t>Tuberia de Polietileno PEAD-PE 100 PN 12,5 D=400 mm</t>
  </si>
  <si>
    <t>Tuberia de Polietileno PEAD-PE 100 PN 12,5 D=450 mm</t>
  </si>
  <si>
    <t>Tuberia de Polietileno PEAD-PE 100 PN 12,5 D=500 mm</t>
  </si>
  <si>
    <t>Tuberia de Polietileno PEAD-PE 100 PN 12,5 D=560 mm</t>
  </si>
  <si>
    <t>Tuberia de Polietileno PEAD-PE 100 PN 12,5 D=630 mm</t>
  </si>
  <si>
    <t>3.5.4.1</t>
  </si>
  <si>
    <t>3.5.4.2</t>
  </si>
  <si>
    <t>3.5.4.3</t>
  </si>
  <si>
    <t>3.5.4.4</t>
  </si>
  <si>
    <t>3.5.4.5</t>
  </si>
  <si>
    <t>3.5.4.6</t>
  </si>
  <si>
    <t>3.5.4.7</t>
  </si>
  <si>
    <t>3.5.4.8</t>
  </si>
  <si>
    <t>3.5.4.9</t>
  </si>
  <si>
    <t>3.5.4.10</t>
  </si>
  <si>
    <t>3.5.4.11</t>
  </si>
  <si>
    <t>3.5.4.12</t>
  </si>
  <si>
    <t>3.5.4.13</t>
  </si>
  <si>
    <t>3.5.4.14</t>
  </si>
  <si>
    <t>3.5.4.15</t>
  </si>
  <si>
    <t>3.5.4.16</t>
  </si>
  <si>
    <t>3.5.4.17</t>
  </si>
  <si>
    <t>3.5.4.18</t>
  </si>
  <si>
    <t>3.5.4.19</t>
  </si>
  <si>
    <t>3.5.4.20</t>
  </si>
  <si>
    <t>3.5.5</t>
  </si>
  <si>
    <t>3.5.5.1</t>
  </si>
  <si>
    <t>SUMINISTRO TUBERÍA POLIETILENO - PE 100 PN 16 RDE 11</t>
  </si>
  <si>
    <t>Tuberia de Polietileno PEAD-PE 100 PN 16 D=50 mm</t>
  </si>
  <si>
    <t>Tuberia de Polietileno PEAD-PE 100 PN 16 D=63 mm</t>
  </si>
  <si>
    <t>Tuberia de Polietileno PEAD-PE 100 PN 16 D=75 mm</t>
  </si>
  <si>
    <t>Tuberia de Polietileno PEAD-PE 100 PN 16 D=90 mm</t>
  </si>
  <si>
    <t>Tuberia de Polietileno PEAD-PE 100 PN 126 D=110 mm</t>
  </si>
  <si>
    <t>Tuberia de Polietileno PEAD-PE 100 PN 16 D=125 mm</t>
  </si>
  <si>
    <t>Tuberia de Polietileno PEAD-PE 100 PN 16 D=140 mm</t>
  </si>
  <si>
    <t>Tuberia de Polietileno PEAD-PE 100 PN 16 D=160 mm</t>
  </si>
  <si>
    <t>Tuberia de Polietileno PEAD-PE 100 PN 16 D=180 mm</t>
  </si>
  <si>
    <t>Tuberia de Polietileno PEAD-PE 100 PN 16 D=200 mm</t>
  </si>
  <si>
    <t>Tuberia de Polietileno PEAD-PE 100 PN 16 D=225 mm</t>
  </si>
  <si>
    <t>Tuberia de Polietileno PEAD-PE 100 PN 16 D=250 mm</t>
  </si>
  <si>
    <t>Tuberia de Polietileno PEAD-PE 100 PN 16 D=280 mm</t>
  </si>
  <si>
    <t>Tuberia de Polietileno PEAD-PE 100 PN 16 D=315 mm</t>
  </si>
  <si>
    <t>Tuberia de Polietileno PEAD-PE 100 PN 16 D=355 mm</t>
  </si>
  <si>
    <t>Tuberia de Polietileno PEAD-PE 100 PN 16 D=400 mm</t>
  </si>
  <si>
    <t>Tuberia de Polietileno PEAD-PE 100 PN 16 D=450 mm</t>
  </si>
  <si>
    <t>Tuberia de Polietileno PEAD-PE 100 PN 16 D=500 mm</t>
  </si>
  <si>
    <t>Tuberia de Polietileno PEAD-PE 100 PN 16 D=560 mm</t>
  </si>
  <si>
    <t>Tuberia de Polietileno PEAD-PE 100 PN 16 D=630 mm</t>
  </si>
  <si>
    <t>3.5.5.2</t>
  </si>
  <si>
    <t>3.5.5.3</t>
  </si>
  <si>
    <t>3.5.5.4</t>
  </si>
  <si>
    <t>3.5.5.5</t>
  </si>
  <si>
    <t>3.5.5.6</t>
  </si>
  <si>
    <t>3.5.5.7</t>
  </si>
  <si>
    <t>3.5.5.8</t>
  </si>
  <si>
    <t>3.5.5.9</t>
  </si>
  <si>
    <t>3.5.5.10</t>
  </si>
  <si>
    <t>3.5.5.11</t>
  </si>
  <si>
    <t>3.5.5.12</t>
  </si>
  <si>
    <t>3.5.5.13</t>
  </si>
  <si>
    <t>3.5.5.14</t>
  </si>
  <si>
    <t>3.5.5.15</t>
  </si>
  <si>
    <t>3.5.5.16</t>
  </si>
  <si>
    <t>3.5.5.17</t>
  </si>
  <si>
    <t>3.5.5.18</t>
  </si>
  <si>
    <t>3.5.5.19</t>
  </si>
  <si>
    <t>3.5.5.20</t>
  </si>
  <si>
    <t>Instalación tubería PEAD de 40 mm</t>
  </si>
  <si>
    <t>Instalación tubería PEAD de 125mm</t>
  </si>
  <si>
    <t>Instalación tubería PEAD de 140mm</t>
  </si>
  <si>
    <t>Instalación tubería PEAD de 180 mm</t>
  </si>
  <si>
    <t>Instalación tubería PEAD de 225 mm</t>
  </si>
  <si>
    <t>Instalación tubería PEAD de 280 mm</t>
  </si>
  <si>
    <t>Instalación tubería PEAD de 450 mm</t>
  </si>
  <si>
    <t>Instalación tubería PEAD de 500 mm</t>
  </si>
  <si>
    <t>Instalación tubería PEAD de 560 mm</t>
  </si>
  <si>
    <t>3.6.12</t>
  </si>
  <si>
    <t>3.6.13</t>
  </si>
  <si>
    <t>3.6.14</t>
  </si>
  <si>
    <t>3.6.15</t>
  </si>
  <si>
    <t>3.6.16</t>
  </si>
  <si>
    <t>3.6.17</t>
  </si>
  <si>
    <t>3.6.18</t>
  </si>
  <si>
    <t>3.6.19</t>
  </si>
  <si>
    <t>3.6.20</t>
  </si>
  <si>
    <t>3.6.21</t>
  </si>
  <si>
    <t>3.7</t>
  </si>
  <si>
    <t>3.7.1</t>
  </si>
  <si>
    <t>SUMINISTRO CODOS PEAD PE 100 TERMOFUSION</t>
  </si>
  <si>
    <t>3.7.1.2</t>
  </si>
  <si>
    <t>Codos de 90º  PE-100 PN 10</t>
  </si>
  <si>
    <t>3.7.1.1</t>
  </si>
  <si>
    <t>3.7.1.1.1</t>
  </si>
  <si>
    <t>Codo de 90º D=63 mm</t>
  </si>
  <si>
    <t>Codo de 90º D=90 mm</t>
  </si>
  <si>
    <t>Codo de 90º D=110 mm</t>
  </si>
  <si>
    <t>Codo de 90º D=125 mm</t>
  </si>
  <si>
    <t>Codo de 90º D=160 mm</t>
  </si>
  <si>
    <t>Codo de 90º D=140 mm</t>
  </si>
  <si>
    <t>Codo de 90º D=180 mm</t>
  </si>
  <si>
    <t>Codo de 90º D=200 mm</t>
  </si>
  <si>
    <t>Codo de 90º D=225 mm</t>
  </si>
  <si>
    <t>Codo de 90º D=250 mm</t>
  </si>
  <si>
    <t>Codo de 90º D=280 mm</t>
  </si>
  <si>
    <t>Codo de 90º D=315 mm</t>
  </si>
  <si>
    <t>Codo de 90º D=355 mm</t>
  </si>
  <si>
    <t>Codo de 90º D=400 mm</t>
  </si>
  <si>
    <t>Codo de 90º D=75 mm</t>
  </si>
  <si>
    <t>Codos de 90º  PE-100 PN 16</t>
  </si>
  <si>
    <t>3.7.1.1.2</t>
  </si>
  <si>
    <t>3.7.1.1.3</t>
  </si>
  <si>
    <t>3.7.1.1.4</t>
  </si>
  <si>
    <t>3.7.1.1.5</t>
  </si>
  <si>
    <t>3.7.1.1.6</t>
  </si>
  <si>
    <t>3.7.1.1.7</t>
  </si>
  <si>
    <t>3.7.1.1.8</t>
  </si>
  <si>
    <t>3.7.1.1.9</t>
  </si>
  <si>
    <t>3.7.1.1.10</t>
  </si>
  <si>
    <t>3.7.1.1.11</t>
  </si>
  <si>
    <t>3.7.1.1.12</t>
  </si>
  <si>
    <t>3.7.1.1.13</t>
  </si>
  <si>
    <t>3.7.1.1.14</t>
  </si>
  <si>
    <t>3.7.1.1.15</t>
  </si>
  <si>
    <t>3.7.1.2.1</t>
  </si>
  <si>
    <t>3.7.1.2.2</t>
  </si>
  <si>
    <t>3.7.1.2.3</t>
  </si>
  <si>
    <t>3.7.1.2.4</t>
  </si>
  <si>
    <t>3.7.1.2.5</t>
  </si>
  <si>
    <t>3.7.1.2.6</t>
  </si>
  <si>
    <t>3.7.1.2.7</t>
  </si>
  <si>
    <t>3.7.1.2.8</t>
  </si>
  <si>
    <t>3.7.1.2.9</t>
  </si>
  <si>
    <t>3.7.1.2.10</t>
  </si>
  <si>
    <t>3.7.1.2.11</t>
  </si>
  <si>
    <t>3.7.1.2.12</t>
  </si>
  <si>
    <t>3.7.1.2.13</t>
  </si>
  <si>
    <t>3.7.1.2.14</t>
  </si>
  <si>
    <t>3.7.1.2.15</t>
  </si>
  <si>
    <t>3.7.1.3</t>
  </si>
  <si>
    <t>Codos de 45º  PE-100 PN 10</t>
  </si>
  <si>
    <t>Codo de 45º D=63 mm</t>
  </si>
  <si>
    <t>Codo de 45º D=75 mm</t>
  </si>
  <si>
    <t>Codo de 45º D=90 mm</t>
  </si>
  <si>
    <t>Codo de 45º D=110 mm</t>
  </si>
  <si>
    <t>Codo de 45º D=125 mm</t>
  </si>
  <si>
    <t>Codo de 45º D=140 mm</t>
  </si>
  <si>
    <t>Codo de 45º D=160 mm</t>
  </si>
  <si>
    <t>Codo de 45º D=180 mm</t>
  </si>
  <si>
    <t>Codo de 45º D=200 mm</t>
  </si>
  <si>
    <t>Codo de 45º D=225 mm</t>
  </si>
  <si>
    <t>Codo de 45º D=250 mm</t>
  </si>
  <si>
    <t>Codo de 45º D=280 mm</t>
  </si>
  <si>
    <t>Codo de 45º D=315 mm</t>
  </si>
  <si>
    <t>Codo de 45º D=355 mm</t>
  </si>
  <si>
    <t>Codo de 45º D=400 mm</t>
  </si>
  <si>
    <t>3.7.1.3.1</t>
  </si>
  <si>
    <t>3.7.1.3.2</t>
  </si>
  <si>
    <t>3.7.1.3.3</t>
  </si>
  <si>
    <t>3.7.1.3.4</t>
  </si>
  <si>
    <t>3.7.1.3.5</t>
  </si>
  <si>
    <t>3.7.1.3.6</t>
  </si>
  <si>
    <t>3.7.1.3.7</t>
  </si>
  <si>
    <t>3.7.1.3.8</t>
  </si>
  <si>
    <t>3.7.1.3.9</t>
  </si>
  <si>
    <t>3.7.1.3.10</t>
  </si>
  <si>
    <t>3.7.1.3.11</t>
  </si>
  <si>
    <t>3.7.1.3.12</t>
  </si>
  <si>
    <t>3.7.1.3.13</t>
  </si>
  <si>
    <t>3.7.1.3.14</t>
  </si>
  <si>
    <t>3.7.1.3.15</t>
  </si>
  <si>
    <t>3.7.1.4</t>
  </si>
  <si>
    <t>Codos de 45º  PE-100 PN 16</t>
  </si>
  <si>
    <t>3.7.2</t>
  </si>
  <si>
    <t>SUMINISTRO TEES PEAD PE 100 TERMOFUSION</t>
  </si>
  <si>
    <t>3.7.2.1</t>
  </si>
  <si>
    <t>Tee de D=63 mm</t>
  </si>
  <si>
    <t>Tee de D=75 mm</t>
  </si>
  <si>
    <t>Tee de D=90 mm</t>
  </si>
  <si>
    <t>Tee de D=110 mm</t>
  </si>
  <si>
    <t>Tee de D=125 mm</t>
  </si>
  <si>
    <t>Tee de D=140 mm</t>
  </si>
  <si>
    <t>Tee de D=160 mm</t>
  </si>
  <si>
    <t>Tee de D=180 mm</t>
  </si>
  <si>
    <t>Tee de D=200 mm</t>
  </si>
  <si>
    <t>Tee de D=225 mm</t>
  </si>
  <si>
    <t>Tee de D=250 mm</t>
  </si>
  <si>
    <t>Tee de D=280 mm</t>
  </si>
  <si>
    <t>Tee de D=315 mm</t>
  </si>
  <si>
    <t>Tee de D=355 mm</t>
  </si>
  <si>
    <t>Tee de D=400 mm</t>
  </si>
  <si>
    <t>Tees PE 100 PN 10</t>
  </si>
  <si>
    <t>3.7.2.1.1</t>
  </si>
  <si>
    <t>3.7.1.4.1</t>
  </si>
  <si>
    <t>3.7.1.4.2</t>
  </si>
  <si>
    <t>3.7.1.4.3</t>
  </si>
  <si>
    <t>3.7.1.4.4</t>
  </si>
  <si>
    <t>3.7.1.4.5</t>
  </si>
  <si>
    <t>3.7.1.4.6</t>
  </si>
  <si>
    <t>3.7.1.4.7</t>
  </si>
  <si>
    <t>3.7.1.4.8</t>
  </si>
  <si>
    <t>3.7.1.4.9</t>
  </si>
  <si>
    <t>3.7.1.4.10</t>
  </si>
  <si>
    <t>3.7.1.4.11</t>
  </si>
  <si>
    <t>3.7.1.4.12</t>
  </si>
  <si>
    <t>3.7.1.4.13</t>
  </si>
  <si>
    <t>3.7.1.4.14</t>
  </si>
  <si>
    <t>3.7.1.4.15</t>
  </si>
  <si>
    <t>3.7.2.1.2</t>
  </si>
  <si>
    <t>3.7.2.1.3</t>
  </si>
  <si>
    <t>3.7.2.1.4</t>
  </si>
  <si>
    <t>3.7.2.1.5</t>
  </si>
  <si>
    <t>3.7.2.1.6</t>
  </si>
  <si>
    <t>3.7.2.1.7</t>
  </si>
  <si>
    <t>3.7.2.1.8</t>
  </si>
  <si>
    <t>3.7.2.1.9</t>
  </si>
  <si>
    <t>3.7.2.1.10</t>
  </si>
  <si>
    <t>3.7.2.1.11</t>
  </si>
  <si>
    <t>3.7.2.1.12</t>
  </si>
  <si>
    <t>3.7.2.1.13</t>
  </si>
  <si>
    <t>3.7.2.1.14</t>
  </si>
  <si>
    <t>3.7.2.1.15</t>
  </si>
  <si>
    <t>Tees PE 100 PN 16</t>
  </si>
  <si>
    <t>3.7.2.2</t>
  </si>
  <si>
    <t>3.7.2.2.1</t>
  </si>
  <si>
    <t>3.7.2.2.2</t>
  </si>
  <si>
    <t>3.7.2.2.3</t>
  </si>
  <si>
    <t>3.7.2.2.4</t>
  </si>
  <si>
    <t>3.7.2.2.5</t>
  </si>
  <si>
    <t>3.7.2.2.6</t>
  </si>
  <si>
    <t>3.7.2.2.7</t>
  </si>
  <si>
    <t>3.7.2.2.8</t>
  </si>
  <si>
    <t>3.7.2.2.9</t>
  </si>
  <si>
    <t>3.7.2.2.10</t>
  </si>
  <si>
    <t>3.7.2.2.11</t>
  </si>
  <si>
    <t>3.7.2.2.12</t>
  </si>
  <si>
    <t>3.7.2.2.13</t>
  </si>
  <si>
    <t>3.7.2.2.14</t>
  </si>
  <si>
    <t>3.7.2.2.15</t>
  </si>
  <si>
    <t>SUMINISTRO DE REDUCCIONES PEAD PE 100 TERMOFUSION</t>
  </si>
  <si>
    <t>3.7.3</t>
  </si>
  <si>
    <t>Reducciones PE 100 PN 10</t>
  </si>
  <si>
    <t>3.7.3.1</t>
  </si>
  <si>
    <t>3.7.3.1.1</t>
  </si>
  <si>
    <t>Reducción de 75 mm a 63 mm</t>
  </si>
  <si>
    <t>Reducción de 90 mm a 63 mm</t>
  </si>
  <si>
    <t>Reducción de 90 mm a 75 mm</t>
  </si>
  <si>
    <t>Reducción de 110 mm a 63 mm</t>
  </si>
  <si>
    <t>Reducción de 110 mm a 90 mm</t>
  </si>
  <si>
    <t>Reducción de 110 mm a 75 mm</t>
  </si>
  <si>
    <t>Reducción de 160 mm a 90 mm</t>
  </si>
  <si>
    <t>Reducción de 160 mm a 110 mm</t>
  </si>
  <si>
    <t>Reducción de 200 mm a 160 mm</t>
  </si>
  <si>
    <t>Reducción de 250 mm a 160 mm</t>
  </si>
  <si>
    <t>Reducción de 250 mm a 200 mm</t>
  </si>
  <si>
    <t>Reducción de 315 mm a 250 mm</t>
  </si>
  <si>
    <t>Reducción de 355 mm a 250 mm</t>
  </si>
  <si>
    <t>Reducción de 355 mm a 315 mm</t>
  </si>
  <si>
    <t>Reducción de 400 mm a 355 mm</t>
  </si>
  <si>
    <t>Reducciones PE 100 PN 16</t>
  </si>
  <si>
    <t>3.7.3.1.2</t>
  </si>
  <si>
    <t>3.7.3.1.3</t>
  </si>
  <si>
    <t>3.7.3.1.4</t>
  </si>
  <si>
    <t>3.7.3.1.5</t>
  </si>
  <si>
    <t>3.7.3.1.6</t>
  </si>
  <si>
    <t>3.7.3.1.7</t>
  </si>
  <si>
    <t>3.7.3.1.8</t>
  </si>
  <si>
    <t>3.7.3.1.9</t>
  </si>
  <si>
    <t>3.7.3.1.10</t>
  </si>
  <si>
    <t>3.7.3.1.11</t>
  </si>
  <si>
    <t>3.7.3.1.12</t>
  </si>
  <si>
    <t>3.7.3.1.13</t>
  </si>
  <si>
    <t>3.7.3.1.14</t>
  </si>
  <si>
    <t>3.7.3.1.15</t>
  </si>
  <si>
    <t>3.7.3.2</t>
  </si>
  <si>
    <t>3.7.3.2.1</t>
  </si>
  <si>
    <t>3.7.3.2.2</t>
  </si>
  <si>
    <t>3.7.3.2.3</t>
  </si>
  <si>
    <t>3.7.3.2.4</t>
  </si>
  <si>
    <t>3.7.3.2.5</t>
  </si>
  <si>
    <t>3.7.3.2.6</t>
  </si>
  <si>
    <t>3.7.3.2.7</t>
  </si>
  <si>
    <t>3.7.3.2.8</t>
  </si>
  <si>
    <t>3.7.3.2.9</t>
  </si>
  <si>
    <t>3.7.3.2.10</t>
  </si>
  <si>
    <t>3.7.3.2.11</t>
  </si>
  <si>
    <t>3.7.3.2.12</t>
  </si>
  <si>
    <t>3.7.3.2.13</t>
  </si>
  <si>
    <t>3.7.3.2.14</t>
  </si>
  <si>
    <t>3.7.3.2.15</t>
  </si>
  <si>
    <t>SUMINISTRO PORTAFLANCHES PEAD PE 100 TERMOFUSIÓN</t>
  </si>
  <si>
    <t>Portaflanches  PE 100 PN 10</t>
  </si>
  <si>
    <t>Portaflanches de 63 mm</t>
  </si>
  <si>
    <t>Portaflanches de 75 mm</t>
  </si>
  <si>
    <t>Portaflanches de 110 mm</t>
  </si>
  <si>
    <t>Portaflanches de 160 mm</t>
  </si>
  <si>
    <t>Portaflanches de 200 mm</t>
  </si>
  <si>
    <t>Portaflanches de 250 mm</t>
  </si>
  <si>
    <t>Portaflanches de 315 mm</t>
  </si>
  <si>
    <t>Portaflanches de 355 mm</t>
  </si>
  <si>
    <t>Portaflanches de 400 mm</t>
  </si>
  <si>
    <t>3.7.4.1</t>
  </si>
  <si>
    <t>3.7.4.1.1</t>
  </si>
  <si>
    <t>3.7.4.1.2</t>
  </si>
  <si>
    <t>3.7.4.1.3</t>
  </si>
  <si>
    <t>3.7.4.1.4</t>
  </si>
  <si>
    <t>3.7.4.1.5</t>
  </si>
  <si>
    <t>3.7.4.1.6</t>
  </si>
  <si>
    <t>3.7.4.1.7</t>
  </si>
  <si>
    <t>3.7.4.1.8</t>
  </si>
  <si>
    <t>3.7.4.1.9</t>
  </si>
  <si>
    <t>Portaflanches  PE 100 PN 16</t>
  </si>
  <si>
    <t>3.7.4.2.1</t>
  </si>
  <si>
    <t>3.7.4.2.2</t>
  </si>
  <si>
    <t>3.7.4.2.4</t>
  </si>
  <si>
    <t>3.7.4.2.5</t>
  </si>
  <si>
    <t>3.7.4.2.6</t>
  </si>
  <si>
    <t>3.7.4.2.7</t>
  </si>
  <si>
    <t>3.7.4.2.8</t>
  </si>
  <si>
    <t>3.7.4.2.9</t>
  </si>
  <si>
    <t>3.7.4.3</t>
  </si>
  <si>
    <t>Brida metálica</t>
  </si>
  <si>
    <t>3.7.4.3.1</t>
  </si>
  <si>
    <t>Brida metálica de 63 mm</t>
  </si>
  <si>
    <t>Brida metálica de 75 mm</t>
  </si>
  <si>
    <t>Brida metálica de 90 mm</t>
  </si>
  <si>
    <t>Brida metálica de 110 mm</t>
  </si>
  <si>
    <t>Brida metálica de 160 mm</t>
  </si>
  <si>
    <t>Brida metálica de 200 mm</t>
  </si>
  <si>
    <t>Brida metálica de 250 mm</t>
  </si>
  <si>
    <t>Brida metálica de 315 mm</t>
  </si>
  <si>
    <t>Brida metálica de 355 mm</t>
  </si>
  <si>
    <t>Brida metálica de 400 mm</t>
  </si>
  <si>
    <t>3.7.4.3.2</t>
  </si>
  <si>
    <t>3.7.4.3.3</t>
  </si>
  <si>
    <t>3.7.4.3.4</t>
  </si>
  <si>
    <t>3.7.4.3.5</t>
  </si>
  <si>
    <t>3.7.4.3.6</t>
  </si>
  <si>
    <t>3.7.4.3.7</t>
  </si>
  <si>
    <t>3.7.4.3.8</t>
  </si>
  <si>
    <t>3.7.4.3.9</t>
  </si>
  <si>
    <t>3.7.4.3.10</t>
  </si>
  <si>
    <t>3.7.5</t>
  </si>
  <si>
    <t>SUMINISTRO DE TAPONES PEAD PE 100 TERMOFUSION</t>
  </si>
  <si>
    <t>3.7.5.1</t>
  </si>
  <si>
    <t>Tapones de 63 mm</t>
  </si>
  <si>
    <t>Tapones de 75 mm</t>
  </si>
  <si>
    <t>Tapones de 90 mm</t>
  </si>
  <si>
    <t>Tapones de 110 mm</t>
  </si>
  <si>
    <t>Tapones de 160 mm</t>
  </si>
  <si>
    <t>Tapones de 200 mm</t>
  </si>
  <si>
    <t>Tapones de 250 mm</t>
  </si>
  <si>
    <t>Tapones de 315 mm</t>
  </si>
  <si>
    <t>Tapones de 400 mm</t>
  </si>
  <si>
    <t>Tapones de 355 mm</t>
  </si>
  <si>
    <t>3.7.5.2</t>
  </si>
  <si>
    <t>3.7.5.3</t>
  </si>
  <si>
    <t>3.7.5.4</t>
  </si>
  <si>
    <t>3.7.5.5</t>
  </si>
  <si>
    <t>3.7.5.6</t>
  </si>
  <si>
    <t>3.7.5.7</t>
  </si>
  <si>
    <t>3.7.5.8</t>
  </si>
  <si>
    <t>3.7.5.9</t>
  </si>
  <si>
    <t>3.7.5.10</t>
  </si>
  <si>
    <t>3.7.6</t>
  </si>
  <si>
    <t>3.7.6.1</t>
  </si>
  <si>
    <t>SUMINISTRO ACCESORIOS PE-100 ELECTROFUSION</t>
  </si>
  <si>
    <t xml:space="preserve">Codos 90º  PE-100 PN 10 PN 16 </t>
  </si>
  <si>
    <t>3.7.6.1.1</t>
  </si>
  <si>
    <t>3.7.6.1.2</t>
  </si>
  <si>
    <t>3.7.6.1.3</t>
  </si>
  <si>
    <t>3.7.6.1.4</t>
  </si>
  <si>
    <t>3.7.6.2</t>
  </si>
  <si>
    <t xml:space="preserve">Codos 45º  PE-100 PN 10 PN 16 </t>
  </si>
  <si>
    <t>3.7.6.2.1</t>
  </si>
  <si>
    <t>3.7.6.2.2</t>
  </si>
  <si>
    <t>3.7.6.2.3</t>
  </si>
  <si>
    <t>3.7.6.2.4</t>
  </si>
  <si>
    <t>3.7.6.3</t>
  </si>
  <si>
    <t>Tees PE-100 PN 10 PN 16</t>
  </si>
  <si>
    <t>3.7.6.3.1</t>
  </si>
  <si>
    <t>3.7.6.3.2</t>
  </si>
  <si>
    <t>3.7.6.3.3</t>
  </si>
  <si>
    <t>3.7.6.3.4</t>
  </si>
  <si>
    <t>3.7.6.3.5</t>
  </si>
  <si>
    <t>Reducciones PE-100 PN 10 PN 16</t>
  </si>
  <si>
    <t>3.7.6.4</t>
  </si>
  <si>
    <t>3.7.6.4.1</t>
  </si>
  <si>
    <t>3.7.6.4.2</t>
  </si>
  <si>
    <t>3.7.6.4.3</t>
  </si>
  <si>
    <t>3.7.6.4.4</t>
  </si>
  <si>
    <t>3.7.6.5</t>
  </si>
  <si>
    <t>3.7.6.5.1</t>
  </si>
  <si>
    <t>Uniones de 63 mm</t>
  </si>
  <si>
    <t>Uniones de 75 mm</t>
  </si>
  <si>
    <t>Uniones de 90 mm</t>
  </si>
  <si>
    <t>Uniones de 110 mm</t>
  </si>
  <si>
    <t>Uniones de 160 mm</t>
  </si>
  <si>
    <t>Uniones de 200 mm</t>
  </si>
  <si>
    <t>Uniones de 250 mm</t>
  </si>
  <si>
    <t>Uniones de 315 mm</t>
  </si>
  <si>
    <t>Uniones de 355 mm</t>
  </si>
  <si>
    <t>Uniones de 400 mm</t>
  </si>
  <si>
    <t>3.7.6.5.2</t>
  </si>
  <si>
    <t>3.7.6.5.3</t>
  </si>
  <si>
    <t>3.7.6.5.4</t>
  </si>
  <si>
    <t>3.7.6.5.5</t>
  </si>
  <si>
    <t>3.7.6.5.6</t>
  </si>
  <si>
    <t>3.7.6.5.7</t>
  </si>
  <si>
    <t>3.7.6.5.8</t>
  </si>
  <si>
    <t>3.7.6.5.9</t>
  </si>
  <si>
    <t>3.7.6.5.10</t>
  </si>
  <si>
    <t>Uniones PE-100 PN10 PN 16</t>
  </si>
  <si>
    <t>3.7.6.6</t>
  </si>
  <si>
    <t>Silletas PE-100 PN 10 PN 16</t>
  </si>
  <si>
    <t>3.7.6.6.1</t>
  </si>
  <si>
    <t>Silleta de 63 mm x 20 mm</t>
  </si>
  <si>
    <t>Silleta de 63 mm x 32 mm</t>
  </si>
  <si>
    <t>Silleta de 63 mm x 63 mm</t>
  </si>
  <si>
    <t>Silleta de 90 mm x 20 mm</t>
  </si>
  <si>
    <t>Silleta de 90 mm x 25 mm</t>
  </si>
  <si>
    <t>Silleta de 90 mm x 32 mm</t>
  </si>
  <si>
    <t>Silleta de 110 mm x 20 mm</t>
  </si>
  <si>
    <t>Silleta de 90 mm x 63 mm</t>
  </si>
  <si>
    <t>Silleta de 110 mm x 25 mm</t>
  </si>
  <si>
    <t>Silleta de 110 mm x 32 mm</t>
  </si>
  <si>
    <t>Silleta de 110 mm x 63 mm</t>
  </si>
  <si>
    <t>Silleta de 160 mm x 20 mm</t>
  </si>
  <si>
    <t>Silleta de 160 mm x 25 mm</t>
  </si>
  <si>
    <t>Silleta de 160 mm x 32 mm</t>
  </si>
  <si>
    <t>Silleta de 160 mm x 63 mm</t>
  </si>
  <si>
    <t>Silleta de 160 mm x 110 mm</t>
  </si>
  <si>
    <t>Silleta de 200 mm x 20 mm</t>
  </si>
  <si>
    <t>Silleta de 200 mm x 25 mm</t>
  </si>
  <si>
    <t>Silleta de 200 mm x 32 mm</t>
  </si>
  <si>
    <t>Silleta de 200 mm x 63 mm</t>
  </si>
  <si>
    <t>Silleta de 200 mm x 110 mm</t>
  </si>
  <si>
    <t>Silleta de 200 mm x 90 mm</t>
  </si>
  <si>
    <t>Silleta de 250 mm x 63 mm</t>
  </si>
  <si>
    <t>Silleta de 250 mm x 90 mm</t>
  </si>
  <si>
    <t>Silleta de 250 mm x 110 mm</t>
  </si>
  <si>
    <t>3.7.6.6.2</t>
  </si>
  <si>
    <t>3.7.6.6.3</t>
  </si>
  <si>
    <t>3.7.6.6.4</t>
  </si>
  <si>
    <t>3.7.6.6.5</t>
  </si>
  <si>
    <t>3.7.6.6.6</t>
  </si>
  <si>
    <t>3.7.6.6.7</t>
  </si>
  <si>
    <t>3.7.6.6.8</t>
  </si>
  <si>
    <t>3.7.6.6.9</t>
  </si>
  <si>
    <t>3.7.6.6.10</t>
  </si>
  <si>
    <t>3.7.6.6.11</t>
  </si>
  <si>
    <t>3.7.6.6.12</t>
  </si>
  <si>
    <t>3.7.6.6.13</t>
  </si>
  <si>
    <t>3.7.6.6.14</t>
  </si>
  <si>
    <t>3.7.6.6.15</t>
  </si>
  <si>
    <t>3.7.6.6.16</t>
  </si>
  <si>
    <t>3.7.6.6.17</t>
  </si>
  <si>
    <t>3.7.6.6.18</t>
  </si>
  <si>
    <t>3.7.6.6.19</t>
  </si>
  <si>
    <t>3.7.6.6.20</t>
  </si>
  <si>
    <t>3.7.6.6.21</t>
  </si>
  <si>
    <t>3.7.6.6.22</t>
  </si>
  <si>
    <t>3.7.6.6.23</t>
  </si>
  <si>
    <t>3.7.6.6.24</t>
  </si>
  <si>
    <t>3.7.6.6.25</t>
  </si>
  <si>
    <t>3.9</t>
  </si>
  <si>
    <t>SUMINISTRO DE TUBERIA EN HIERRO GALVANIZADO</t>
  </si>
  <si>
    <t>3.9.1</t>
  </si>
  <si>
    <t>Tubería en HG D=3/8"</t>
  </si>
  <si>
    <t>Tubería en HG D=1/2"</t>
  </si>
  <si>
    <t>Tubería en HG D=3/4"</t>
  </si>
  <si>
    <t>Tubería en HG D=1"</t>
  </si>
  <si>
    <t>Tubería en HG D=11/4"</t>
  </si>
  <si>
    <t>Tubería en HG D=1 1/2"</t>
  </si>
  <si>
    <t>Tubería en HG D=1 3/4"</t>
  </si>
  <si>
    <t>Tubería en HG D=2"</t>
  </si>
  <si>
    <t>Tubería en HG D=2 1/2"</t>
  </si>
  <si>
    <t>Tubería en HG D=3"</t>
  </si>
  <si>
    <t>Tubería en HG D=4"</t>
  </si>
  <si>
    <t>Tubería en HG D=6"</t>
  </si>
  <si>
    <t>3.9.2</t>
  </si>
  <si>
    <t>3.9.3</t>
  </si>
  <si>
    <t>3.9.4</t>
  </si>
  <si>
    <t>3.9.5</t>
  </si>
  <si>
    <t>3.9.6</t>
  </si>
  <si>
    <t>3.9.7</t>
  </si>
  <si>
    <t>3.9.8</t>
  </si>
  <si>
    <t>3.9.9</t>
  </si>
  <si>
    <t>3.9.10</t>
  </si>
  <si>
    <t>3.9.11</t>
  </si>
  <si>
    <t>3.9.13</t>
  </si>
  <si>
    <t>Instalación tubería PEAD de 630 mm</t>
  </si>
  <si>
    <t>3.9.14</t>
  </si>
  <si>
    <t>3.9.15</t>
  </si>
  <si>
    <t>Tubería en HG D=8"</t>
  </si>
  <si>
    <t>Tubería en HG D=10"</t>
  </si>
  <si>
    <t>3.9.16</t>
  </si>
  <si>
    <t>3.9.17</t>
  </si>
  <si>
    <t>Tubería en HG D=12"</t>
  </si>
  <si>
    <t>Tubería en HG D=16"</t>
  </si>
  <si>
    <t>Tubería en HG D=20"</t>
  </si>
  <si>
    <t>3.9.18</t>
  </si>
  <si>
    <t>SUMINSITRO DE ACCESORIOS EN HIERRO GALVANIZADO</t>
  </si>
  <si>
    <t>3.11</t>
  </si>
  <si>
    <t>3.11,1</t>
  </si>
  <si>
    <t>Codos 90º  HG Roscados</t>
  </si>
  <si>
    <t>3.11.1.1</t>
  </si>
  <si>
    <t>Codo HG 3/8"</t>
  </si>
  <si>
    <t>Codo HG 1/2"</t>
  </si>
  <si>
    <t>Codo HG 3/4"</t>
  </si>
  <si>
    <t>Codo HG 1"</t>
  </si>
  <si>
    <t>Codo HG 1 1/4"</t>
  </si>
  <si>
    <t>Codo HG 1 1/2"</t>
  </si>
  <si>
    <t>Codo HG 1 3/4"</t>
  </si>
  <si>
    <t>Codo HG 2"</t>
  </si>
  <si>
    <t>Codo HG 2 1/2"</t>
  </si>
  <si>
    <t>Codo HG 3"</t>
  </si>
  <si>
    <t>Codo HG 4"</t>
  </si>
  <si>
    <t>3.11.1.2</t>
  </si>
  <si>
    <t>3.11.1.3</t>
  </si>
  <si>
    <t>3.11.1.4</t>
  </si>
  <si>
    <t>3.11.1.5</t>
  </si>
  <si>
    <t>3.11.1.6</t>
  </si>
  <si>
    <t>3.11.1.7</t>
  </si>
  <si>
    <t>3.11.1.8</t>
  </si>
  <si>
    <t>3.11.1.9</t>
  </si>
  <si>
    <t>3.11.1.10</t>
  </si>
  <si>
    <t>3.11.1.11</t>
  </si>
  <si>
    <t>Codos 45º  HG Roscados</t>
  </si>
  <si>
    <t>3.11.2</t>
  </si>
  <si>
    <t>3.11.2.1</t>
  </si>
  <si>
    <t>3.11.2.2</t>
  </si>
  <si>
    <t>3.11.2.3</t>
  </si>
  <si>
    <t>3.11.2.4</t>
  </si>
  <si>
    <t>3.11.2.5</t>
  </si>
  <si>
    <t>3.11.2.6</t>
  </si>
  <si>
    <t>3.11.2.7</t>
  </si>
  <si>
    <t>3.11.2.8</t>
  </si>
  <si>
    <t>3.11.2.9</t>
  </si>
  <si>
    <t>3.11.2.10</t>
  </si>
  <si>
    <t>3.11.2.11</t>
  </si>
  <si>
    <t>Tees HG Roscadas</t>
  </si>
  <si>
    <t>3.11.3</t>
  </si>
  <si>
    <t>Tee HG 3/8"</t>
  </si>
  <si>
    <t>Tee HG 1/2"</t>
  </si>
  <si>
    <t>Tee HG 3/4"</t>
  </si>
  <si>
    <t>Tee HG 1"</t>
  </si>
  <si>
    <t>Tee HG 1 1/2"</t>
  </si>
  <si>
    <t>Tee HG 1 3/4"</t>
  </si>
  <si>
    <t>Tee HG 1 1/4"</t>
  </si>
  <si>
    <t>Tee HG 2"</t>
  </si>
  <si>
    <t>Tee HG 2 1/2"</t>
  </si>
  <si>
    <t>Tee HG 3"</t>
  </si>
  <si>
    <t>Tee HG 4"</t>
  </si>
  <si>
    <t>Tee HG 1/2" x  3/8"</t>
  </si>
  <si>
    <t>Tee HG 3/4" x  3/8"</t>
  </si>
  <si>
    <t>Tee HG 3/4" x  1/2"</t>
  </si>
  <si>
    <t>Tee HG 1" x  3/8"</t>
  </si>
  <si>
    <t>Tee HG 1" x  1/2"</t>
  </si>
  <si>
    <t>Tee HG 1" x  3/4"</t>
  </si>
  <si>
    <t>3.11.3.1</t>
  </si>
  <si>
    <t>3.11.3.2</t>
  </si>
  <si>
    <t>3.11.3.3</t>
  </si>
  <si>
    <t>3.11.3.4</t>
  </si>
  <si>
    <t>3.11.3.5</t>
  </si>
  <si>
    <t>3.11.3.6</t>
  </si>
  <si>
    <t>3.11.3.7</t>
  </si>
  <si>
    <t>3.11.3.8</t>
  </si>
  <si>
    <t>3.11.3.9</t>
  </si>
  <si>
    <t>3.11.3.10</t>
  </si>
  <si>
    <t>3.11.3.11</t>
  </si>
  <si>
    <t>3.11.3.12</t>
  </si>
  <si>
    <t>3.11.3.13</t>
  </si>
  <si>
    <t>3.11.3.14</t>
  </si>
  <si>
    <t>3.11.3.15</t>
  </si>
  <si>
    <t>3.11.3.16</t>
  </si>
  <si>
    <t>3.11.3.17</t>
  </si>
  <si>
    <t>Tee HG 1 1/4" x  3/4"</t>
  </si>
  <si>
    <t>Tee HG 1 1/4" x  1"</t>
  </si>
  <si>
    <t>Tee HG 1 1/2" x  3/4"</t>
  </si>
  <si>
    <t>Tee HG 1 1/2" x  1"</t>
  </si>
  <si>
    <t>Tee HG 1 1/2" x  1 1/4"</t>
  </si>
  <si>
    <t>Tee HG 2" x  1"</t>
  </si>
  <si>
    <t>Tee HG 2" x 1 1/2"</t>
  </si>
  <si>
    <t>Tee HG 2" x  1 3/4"</t>
  </si>
  <si>
    <t>3.11.3.18</t>
  </si>
  <si>
    <t>3.11.3.19</t>
  </si>
  <si>
    <t>3.11.3.20</t>
  </si>
  <si>
    <t>3.11.3.21</t>
  </si>
  <si>
    <t>3.11.3.22</t>
  </si>
  <si>
    <t>3.11.3.23</t>
  </si>
  <si>
    <t>3.11.3.24</t>
  </si>
  <si>
    <t>3.11.3.25</t>
  </si>
  <si>
    <t>Tee HG 2 1/2" x  1 1/2"</t>
  </si>
  <si>
    <t>Tee HG 2 1/2" x  2"</t>
  </si>
  <si>
    <t>Tee HG 3" x  2"</t>
  </si>
  <si>
    <t>Tee HG 3" x  2 1/2"</t>
  </si>
  <si>
    <t>Tee HG 4" x  3"</t>
  </si>
  <si>
    <t>3.11.3.26</t>
  </si>
  <si>
    <t>3.11.3.27</t>
  </si>
  <si>
    <t>3.11.3.28</t>
  </si>
  <si>
    <t>3.11.3.29</t>
  </si>
  <si>
    <t>3.11.3.30</t>
  </si>
  <si>
    <t>3.11.4</t>
  </si>
  <si>
    <t>3.11.4.1</t>
  </si>
  <si>
    <t>Reducciones HG (Bushing)</t>
  </si>
  <si>
    <t>Bushing roscados D=1/2" x 3/8"</t>
  </si>
  <si>
    <t>Bushings roscados D=3/4"x 1/2"</t>
  </si>
  <si>
    <t>Bushing roscados D=1"x 1/2"</t>
  </si>
  <si>
    <t>Bushing roscados D=1"x 3/4"</t>
  </si>
  <si>
    <t>Bushing roscados D=1 1/4"x 1/2"</t>
  </si>
  <si>
    <t>Bushing roscados D=1 1/4"x 3/4"</t>
  </si>
  <si>
    <t>Bushing roscados D=1 1/4"x 1"</t>
  </si>
  <si>
    <t>Bushing roscados D=1 1/2"x 3/4"</t>
  </si>
  <si>
    <t>Bushing roscados D=1 1/2"x 1/2"</t>
  </si>
  <si>
    <t>Bushing roscados D=1 1/2"x 1"</t>
  </si>
  <si>
    <t>Bushing roscados D=1 1/2"x 1 1/4"</t>
  </si>
  <si>
    <t>Bushing roscados D=2"x 1/2"</t>
  </si>
  <si>
    <t>Bushing roscados D=2"x 3/4"</t>
  </si>
  <si>
    <t>Bushing roscados D=2"x 1"</t>
  </si>
  <si>
    <t>Bushing roscados D=2"x 1 1/4"</t>
  </si>
  <si>
    <t>Bushing roscados D=2"x 1 1/2"</t>
  </si>
  <si>
    <t>Bushing roscados D=3"x 2"</t>
  </si>
  <si>
    <t>Bushing roscados D=3"x 2 1/2"</t>
  </si>
  <si>
    <t>Bushing roscados D=4"x 3"</t>
  </si>
  <si>
    <t>3.11.4.2</t>
  </si>
  <si>
    <t>3.11.4.3</t>
  </si>
  <si>
    <t>3.11.4.4</t>
  </si>
  <si>
    <t>3.11.4.5</t>
  </si>
  <si>
    <t>3.11.4.6</t>
  </si>
  <si>
    <t>3.11.4.7</t>
  </si>
  <si>
    <t>3.11.4.8</t>
  </si>
  <si>
    <t>3.11.4.9</t>
  </si>
  <si>
    <t>3.11.4.10</t>
  </si>
  <si>
    <t>3.11.4.11</t>
  </si>
  <si>
    <t>3.11.4.12</t>
  </si>
  <si>
    <t>3.11.4.13</t>
  </si>
  <si>
    <t>3.11.4.14</t>
  </si>
  <si>
    <t>3.11.4.15</t>
  </si>
  <si>
    <t>3.11.4.16</t>
  </si>
  <si>
    <t>3.11.4.17</t>
  </si>
  <si>
    <t>3.11.4.18</t>
  </si>
  <si>
    <t>3.11.4.19</t>
  </si>
  <si>
    <t>3.11.5</t>
  </si>
  <si>
    <t>Uniones en Hierro galvanizado</t>
  </si>
  <si>
    <t>3.11.5.1</t>
  </si>
  <si>
    <t>Uniones Simples HG</t>
  </si>
  <si>
    <t>Unión simple HG 3/8"</t>
  </si>
  <si>
    <t>Unión Simple HG 1/2"</t>
  </si>
  <si>
    <t>Unión simple HG 3/4"</t>
  </si>
  <si>
    <t>Unión simple HG 1"</t>
  </si>
  <si>
    <t>Unión simple HG 1 1/4"</t>
  </si>
  <si>
    <t>Unión simple HG 1 1/2"</t>
  </si>
  <si>
    <t>Unión simple HG 1 3/4"</t>
  </si>
  <si>
    <t>Unión simple HG 2"</t>
  </si>
  <si>
    <t>Unión simple HG 2 1/2"</t>
  </si>
  <si>
    <t>3.11.5.1.1</t>
  </si>
  <si>
    <t>3.11.5.1.2</t>
  </si>
  <si>
    <t>3.11.5.1.3</t>
  </si>
  <si>
    <t>3.11.5.1.4</t>
  </si>
  <si>
    <t>3.11.5.1.5</t>
  </si>
  <si>
    <t>3.11.5.1.6</t>
  </si>
  <si>
    <t>3.11.5.1.7</t>
  </si>
  <si>
    <t>3.11.5.1.8</t>
  </si>
  <si>
    <t>3.11.5.1.9</t>
  </si>
  <si>
    <t>3.11.5.1.10</t>
  </si>
  <si>
    <t>3.11.5.1.11</t>
  </si>
  <si>
    <t>3.11.5.2</t>
  </si>
  <si>
    <t>Unión simple HG 3"</t>
  </si>
  <si>
    <t>Unión simple HG 4"</t>
  </si>
  <si>
    <t>Uniones universales en HG</t>
  </si>
  <si>
    <t>Unión Universal HG 3/8"</t>
  </si>
  <si>
    <t>Unión Universal HG 3/4"</t>
  </si>
  <si>
    <t>Unión Universal HG 1"</t>
  </si>
  <si>
    <t>Unión Universal HG 1 1/4"</t>
  </si>
  <si>
    <t>Unión Universal HG 1 1/2"</t>
  </si>
  <si>
    <t>Unión Universal HG 1 3/4"</t>
  </si>
  <si>
    <t>Unión Universal HG 2"</t>
  </si>
  <si>
    <t>Unión Universal HG 2 1/2"</t>
  </si>
  <si>
    <t>Unión Universal HG 3"</t>
  </si>
  <si>
    <t>Unión Universal HG 4"</t>
  </si>
  <si>
    <t>Unión Universal HG 1/2"</t>
  </si>
  <si>
    <t>3.13</t>
  </si>
  <si>
    <t>SUMINISTRO TUBERIA EN HIERRO DUCTIL</t>
  </si>
  <si>
    <t>3.13.1</t>
  </si>
  <si>
    <t>Tubería en HD 2" (50 mm)</t>
  </si>
  <si>
    <t>Tubería en HD 3" (75 mm)</t>
  </si>
  <si>
    <t>Tubería en HD 4" (100 mm)</t>
  </si>
  <si>
    <t>Tubería en HD 6" (150 mm)</t>
  </si>
  <si>
    <t>Tubería en HD 8" (200 mm)</t>
  </si>
  <si>
    <t>Tubería en HD 10" (250 mm)</t>
  </si>
  <si>
    <t>Tubería en HD 12" (300 mm)</t>
  </si>
  <si>
    <t>Tubería en HD 14" (350 mm)</t>
  </si>
  <si>
    <t>Tubería en HD 16" (400 mm)</t>
  </si>
  <si>
    <t>Tubería en HD 18" (450 mm)</t>
  </si>
  <si>
    <t>Tubería en HD 20" (500 mm)</t>
  </si>
  <si>
    <t>Tubería en HD 24" (600 mm)</t>
  </si>
  <si>
    <t>3.13.3</t>
  </si>
  <si>
    <t>3.13.4</t>
  </si>
  <si>
    <t>3.13.5</t>
  </si>
  <si>
    <t>3.13.6</t>
  </si>
  <si>
    <t>3.13.7</t>
  </si>
  <si>
    <t>3.13.8</t>
  </si>
  <si>
    <t>3.13.9</t>
  </si>
  <si>
    <t>3.13.11</t>
  </si>
  <si>
    <t>3.13.12</t>
  </si>
  <si>
    <t>3.13.13.1</t>
  </si>
  <si>
    <t>Niples en HD</t>
  </si>
  <si>
    <t>3.13.13</t>
  </si>
  <si>
    <t>Niples en HD 2" (50 mm) EL x EL L=0,00 a 1,00 m</t>
  </si>
  <si>
    <t>Niples en HD 2" (50 mm) EB x EB L=0,00 a 1,00 m</t>
  </si>
  <si>
    <t>Niples en HD 2" (50 mm) EL x EL L=1,00 a 2,00 m</t>
  </si>
  <si>
    <t>Niples en HD 2" (50 mm) EB x EB L=1,00 a 2,00 m</t>
  </si>
  <si>
    <t>Niples en HD 2" (50 mm) EL x EL L=2,00 a 3,00 m</t>
  </si>
  <si>
    <t>Niples en HD 2" (50 mm) EB x EB L=2,00 a3,00 m</t>
  </si>
  <si>
    <t>Niples en HD 2" (50 mm) EL x EL L=3,00 a 4,00 m</t>
  </si>
  <si>
    <t>Niples en HD 2" (50 mm) EB x EB L=3,00 a 4,00 m</t>
  </si>
  <si>
    <t>Niples en HD 2" (50 mm) EL x EL L=4,00 a 5,00 m</t>
  </si>
  <si>
    <t>Niples en HD 2" (50 mm) EB x EB L=4,00 a 5,00 m</t>
  </si>
  <si>
    <t>3.13.13.2</t>
  </si>
  <si>
    <t>3.13.13.3</t>
  </si>
  <si>
    <t>3.13.13.4</t>
  </si>
  <si>
    <t>3.13.13.5</t>
  </si>
  <si>
    <t>3.13.13.6</t>
  </si>
  <si>
    <t>3.13.13.7</t>
  </si>
  <si>
    <t>3.13.13.8</t>
  </si>
  <si>
    <t>3.13.13.9</t>
  </si>
  <si>
    <t>3.13.13.10</t>
  </si>
  <si>
    <t>3.13.13.11</t>
  </si>
  <si>
    <t>3.13.13.12</t>
  </si>
  <si>
    <t>3.13.13.13</t>
  </si>
  <si>
    <t>3.13.13.14</t>
  </si>
  <si>
    <t>3.13.13.15</t>
  </si>
  <si>
    <t>3.13.13.16</t>
  </si>
  <si>
    <t>3.13.13.17</t>
  </si>
  <si>
    <t>3.13.13.18</t>
  </si>
  <si>
    <t>3.13.13.19</t>
  </si>
  <si>
    <t>3.13.13.20</t>
  </si>
  <si>
    <t>Niples en HD 10" (250 mm) EB x EB L=4,00 a 5,00 m</t>
  </si>
  <si>
    <t>Niples en HD 10" (250 mm) EL x EL L=0,00 a 1,00 m</t>
  </si>
  <si>
    <t>Niples en HD 10" (250 mm) EB x EB L=0,00 a 1,00 m</t>
  </si>
  <si>
    <t>Niples en HD 10" (250 mm) EL x EL L=1,00 a 2,00 m</t>
  </si>
  <si>
    <t>Niples en HD 10" (250 mm) EB x EB L=1,00 a 2,00 m</t>
  </si>
  <si>
    <t>Niples en HD 10" (250 mm) EL x EL L=2,00 a 3,00 m</t>
  </si>
  <si>
    <t>Niples en HD 10" (250 mm) EB x EB L=2,00 a3,00 m</t>
  </si>
  <si>
    <t>Niples en HD 10" (250 mm) EL x EL L=3,00 a 4,00 m</t>
  </si>
  <si>
    <t>Niples en HD 10" (250 mm) EB x EB L=3,00 a 4,00 m</t>
  </si>
  <si>
    <t>Niples en HD 10" (250 mm) EL x EL L=4,00 a 5,00 m</t>
  </si>
  <si>
    <t>Niples en HD 6" (150 mm) EL x EL L=0,00 a 1,00 m</t>
  </si>
  <si>
    <t>Niples en HD 6" (150 mm) EB x EB L=0,00 a 1,00 m</t>
  </si>
  <si>
    <t>Niples en HD 6" (150 mm) EL x EL L=1,00 a 2,00 m</t>
  </si>
  <si>
    <t>Niples en HD 6" (150 mm) EB x EB L=1,00 a 2,00 m</t>
  </si>
  <si>
    <t>Niples en HD 6" (150 mm) EL x EL L=2,00 a 3,00 m</t>
  </si>
  <si>
    <t>Niples en HD 6" (150 mm) EB x EB L=2,00 a3,00 m</t>
  </si>
  <si>
    <t>Niples en HD 6" (150 mm) EL x EL L=3,00 a 4,00 m</t>
  </si>
  <si>
    <t>Niples en HD 6" (150 mm) EB x EB L=3,00 a 4,00 m</t>
  </si>
  <si>
    <t>Niples en HD 6" (150 mm) EL x EL L=4,00 a 5,00 m</t>
  </si>
  <si>
    <t>Niples en HD 6" (150 mm) EB x EB L=4,00 a 5,00 m</t>
  </si>
  <si>
    <t>Niples en HD 8" (200 mm) EL x EL L=0,00 a 1,00 m</t>
  </si>
  <si>
    <t>Niples en HD 8" (200 mm) EB x EB L=0,00 a 1,00 m</t>
  </si>
  <si>
    <t>Niples en HD 8" (200 mm) EL x EL L=1,00 a 2,00 m</t>
  </si>
  <si>
    <t>Niples en HD 8" (200 mm) EB x EB L=1,00 a 2,00 m</t>
  </si>
  <si>
    <t>Niples en HD 8" (200 mm) EL x EL L=2,00 a 3,00 m</t>
  </si>
  <si>
    <t>Niples en HD 8" (200 mm) EB x EB L=2,00 a3,00 m</t>
  </si>
  <si>
    <t>Niples en HD 8" (200 mm) EL x EL L=3,00 a 4,00 m</t>
  </si>
  <si>
    <t>Niples en HD 8" (200 mm) EB x EB L=3,00 a 4,00 m</t>
  </si>
  <si>
    <t>Niples en HD 8" (200 mm) EL x EL L=4,00 a 5,00 m</t>
  </si>
  <si>
    <t>Niples en HD 8" (200 mm) EB x EB L=4,00 a 5,00 m</t>
  </si>
  <si>
    <t>Niples en HD 3" (75 mm) EL x EL L=0,00 a 1,00 m</t>
  </si>
  <si>
    <t>Niples en HD 3" (75 mm) EB x EB L=0,00 a 1,00 m</t>
  </si>
  <si>
    <t>Niples en HD 3" (75 mm) EL x EL L=1,00 a 2,00 m</t>
  </si>
  <si>
    <t>Niples en HD 3" (75 mm) EB x EB L=1,00 a 2,00 m</t>
  </si>
  <si>
    <t>Niples en HD 3" (75 mm) EL x EL L=2,00 a 3,00 m</t>
  </si>
  <si>
    <t>Niples en HD 3" (75 mm) EB x EB L=2,00 a3,00 m</t>
  </si>
  <si>
    <t>Niples en HD 3" (75 mm) EL x EL L=3,00 a 4,00 m</t>
  </si>
  <si>
    <t>Niples en HD 3" (75 mm) EB x EB L=3,00 a 4,00 m</t>
  </si>
  <si>
    <t>Niples en HD 3" (75 mm) EL x EL L=4,00 a 5,00 m</t>
  </si>
  <si>
    <t>Niples en HD 3" (75 mm) EB x EB L=4,00 a 5,00 m</t>
  </si>
  <si>
    <t>Niples en HD 4" (100 mm) EL x EL L=0,00 a 1,00 m</t>
  </si>
  <si>
    <t>Niples en HD 4" (100 mm) EB x EB L=0,00 a 1,00 m</t>
  </si>
  <si>
    <t>Niples en HD 4" (100 mm) EL x EL L=1,00 a 2,00 m</t>
  </si>
  <si>
    <t>Niples en HD 4" (100 mm) EB x EB L=1,00 a 2,00 m</t>
  </si>
  <si>
    <t>Niples en HD 4" (100 mm) EL x EL L=2,00 a 3,00 m</t>
  </si>
  <si>
    <t>Niples en HD 4" (100 mm) EB x EB L=2,00 a3,00 m</t>
  </si>
  <si>
    <t>Niples en HD 4" (100 mm) EL x EL L=3,00 a 4,00 m</t>
  </si>
  <si>
    <t>Niples en HD 4" (100 mm) EB x EB L=3,00 a 4,00 m</t>
  </si>
  <si>
    <t>Niples en HD 4" (100 mm) EL x EL L=4,00 a 5,00 m</t>
  </si>
  <si>
    <t>Niples en HD 4" (100 mm) EB x EB L=4,00 a 5,00 m</t>
  </si>
  <si>
    <t>3.13.13.21</t>
  </si>
  <si>
    <t>3.13.13.22</t>
  </si>
  <si>
    <t>3.13.13.23</t>
  </si>
  <si>
    <t>3.13.13.24</t>
  </si>
  <si>
    <t>3.13.13.25</t>
  </si>
  <si>
    <t>3.13.13.26</t>
  </si>
  <si>
    <t>3.13.13.27</t>
  </si>
  <si>
    <t>3.13.13.28</t>
  </si>
  <si>
    <t>3.13.13.29</t>
  </si>
  <si>
    <t>3.13.13.30</t>
  </si>
  <si>
    <t>3.13.13.31</t>
  </si>
  <si>
    <t>3.13.13.32</t>
  </si>
  <si>
    <t>3.13.13.33</t>
  </si>
  <si>
    <t>3.13.13.34</t>
  </si>
  <si>
    <t>3.13.13.35</t>
  </si>
  <si>
    <t>3.13.13.36</t>
  </si>
  <si>
    <t>3.13.13.37</t>
  </si>
  <si>
    <t>3.13.13.38</t>
  </si>
  <si>
    <t>3.13.13.39</t>
  </si>
  <si>
    <t>3.13.13.40</t>
  </si>
  <si>
    <t>3.13.13.41</t>
  </si>
  <si>
    <t>3.13.13.42</t>
  </si>
  <si>
    <t>3.13.13.43</t>
  </si>
  <si>
    <t>3.13.13.44</t>
  </si>
  <si>
    <t>3.13.13.45</t>
  </si>
  <si>
    <t>3.13.13.46</t>
  </si>
  <si>
    <t>3.13.13.47</t>
  </si>
  <si>
    <t>3.13.13.48</t>
  </si>
  <si>
    <t>3.13.13.49</t>
  </si>
  <si>
    <t>3.13.13.50</t>
  </si>
  <si>
    <t>3.13.13.51</t>
  </si>
  <si>
    <t>3.13.13.52</t>
  </si>
  <si>
    <t>3.13.13.53</t>
  </si>
  <si>
    <t>3.13.13.54</t>
  </si>
  <si>
    <t>3.13.13.55</t>
  </si>
  <si>
    <t>3.13.13.56</t>
  </si>
  <si>
    <t>3.13.13.57</t>
  </si>
  <si>
    <t>3.13.13.58</t>
  </si>
  <si>
    <t>3.13.13.59</t>
  </si>
  <si>
    <t>3.13.13.60</t>
  </si>
  <si>
    <t>3.13.13.61</t>
  </si>
  <si>
    <t>3.13.13.62</t>
  </si>
  <si>
    <t>3.13.13.63</t>
  </si>
  <si>
    <t>3.13.13.64</t>
  </si>
  <si>
    <t>3.13.13.65</t>
  </si>
  <si>
    <t>3.13.13.66</t>
  </si>
  <si>
    <t>Niples en HD 12" (300 mm) EB x EB L=0,00 a 1,00 m</t>
  </si>
  <si>
    <t>Niples en HD 12" (300 mm) EB x EB L=1,00 a 2,00 m</t>
  </si>
  <si>
    <t>Niples en HD 12" (300 mm) EL x EL L=0,00 a 1,00 m</t>
  </si>
  <si>
    <t>Niples en HD 12" (300 mm) EB x EB L=4,00 a 5,00 m</t>
  </si>
  <si>
    <t>Niples en HD 12" (300 mm) EL x EL L=1,00 a 2,00 m</t>
  </si>
  <si>
    <t>Niples en HD 12" (300 mm) EL x EL L=4,00 a 5,00 m</t>
  </si>
  <si>
    <t>Niples en HD 12" (300 mm) EB x EB L=3,00 a 4,00 m</t>
  </si>
  <si>
    <t>Niples en HD 12" (300 mm) EL x EL L=2,00 a 3,00 m</t>
  </si>
  <si>
    <t>Niples en HD 12" (300 mm) EB x EB L=2,00 a3,00 m</t>
  </si>
  <si>
    <t>Niples en HD 12" (300 mm) EL x EL L=3,00 a 4,00 m</t>
  </si>
  <si>
    <t>3.13.13.67</t>
  </si>
  <si>
    <t>3.13.13.68</t>
  </si>
  <si>
    <t>3.13.13.69</t>
  </si>
  <si>
    <t>3.13.13.70</t>
  </si>
  <si>
    <t>Niples en HD 14" (350 mm) EL x EL L=0,00 a 1,00 m</t>
  </si>
  <si>
    <t>Niples en HD 14" (350 mm) EB x EB L=0,00 a 1,00 m</t>
  </si>
  <si>
    <t>Niples en HD 14" (350 mm) EL x EL L=1,00 a 2,00 m</t>
  </si>
  <si>
    <t>Niples en HD 14" (350 mm) EB x EB L=1,00 a 2,00 m</t>
  </si>
  <si>
    <t>Niples en HD 14" (350 mm) EL x EL L=2,00 a 3,00 m</t>
  </si>
  <si>
    <t>Niples en HD 14" (350 mm) EB x EB L=3,00 a 4,00 m</t>
  </si>
  <si>
    <t>Niples en HD 14" (350 mm) EL x EL L=4,00 a 5,00 m</t>
  </si>
  <si>
    <t>Niples en HD 14" (350 mm) EB x EB L=4,00 a 5,00 m</t>
  </si>
  <si>
    <t>Niples en HD 16" (400 mm) EL x EL L=0,00 a 1,00 m</t>
  </si>
  <si>
    <t>Niples en HD 16" (400 mm) EB x EB L=0,00 a 1,00 m</t>
  </si>
  <si>
    <t>Niples en HD 16" (400 mm) EL x EL L=1,00 a 2,00 m</t>
  </si>
  <si>
    <t>Niples en HD 16" (400 mm) EB x EB L=1,00 a 2,00 m</t>
  </si>
  <si>
    <t>Niples en HD 16" (400 mm) EL x EL L=2,00 a 3,00 m</t>
  </si>
  <si>
    <t>Niples en HD 16" (400 mm) EB x EB L=2,00 a3,00 m</t>
  </si>
  <si>
    <t>Niples en HD 16" (400 mm) EL x EL L=3,00 a 4,00 m</t>
  </si>
  <si>
    <t>Niples en HD 16" (400 mm) EB x EB L=3,00 a 4,00 m</t>
  </si>
  <si>
    <t>Niples en HD 16" (400 mm) EL x EL L=4,00 a 5,00 m</t>
  </si>
  <si>
    <t>Niples en HD 16" (1400 mm) EB x EB L=4,00 a 5,00 m</t>
  </si>
  <si>
    <t>Niples en HD 18" (450 mm) EL x EL L=0,00 a 1,00 m</t>
  </si>
  <si>
    <t>Niples en HD 18" (450 mm) EB x EB L=0,00 a 1,00 m</t>
  </si>
  <si>
    <t>Niples en HD 18" (2450 mm) EL x EL L=1,00 a 2,00 m</t>
  </si>
  <si>
    <t>Niples en HD 18" (450 mm) EB x EB L=1,00 a 2,00 m</t>
  </si>
  <si>
    <t>Niples en HD 18" (450 mm) EL x EL L=2,00 a 3,00 m</t>
  </si>
  <si>
    <t>Niples en HD 18" (450 mm) EB x EB L=2,00 a3,00 m</t>
  </si>
  <si>
    <t>Niples en HD 18" (450 mm) EL x EL L=3,00 a 4,00 m</t>
  </si>
  <si>
    <t>Niples en HD 18" (450 mm) EB x EB L=3,00 a 4,00 m</t>
  </si>
  <si>
    <t>Niples en HD 18" (450 mm) EL x EL L=4,00 a 5,00 m</t>
  </si>
  <si>
    <t>Niples en HD 18" (450 mm) EB x EB L=4,00 a 5,00 m</t>
  </si>
  <si>
    <t>Niples en HD 20" (500 mm) EL x EL L=0,00 a 1,00 m</t>
  </si>
  <si>
    <t>Niples en HD 20" (500 mm) EL x EL L=1,00 a 2,00 m</t>
  </si>
  <si>
    <t>3.13.13.71</t>
  </si>
  <si>
    <t>3.13.13.72</t>
  </si>
  <si>
    <t>3.13.13.73</t>
  </si>
  <si>
    <t>3.13.13.74</t>
  </si>
  <si>
    <t>3.13.13.75</t>
  </si>
  <si>
    <t>3.13.13.76</t>
  </si>
  <si>
    <t>3.13.13.77</t>
  </si>
  <si>
    <t>3.13.13.78</t>
  </si>
  <si>
    <t>3.13.13.79</t>
  </si>
  <si>
    <t>3.13.13.80</t>
  </si>
  <si>
    <t>3.13.13.81</t>
  </si>
  <si>
    <t>3.13.13.82</t>
  </si>
  <si>
    <t>3.13.13.83</t>
  </si>
  <si>
    <t>3.13.13.84</t>
  </si>
  <si>
    <t>3.13.13.85</t>
  </si>
  <si>
    <t>3.13.13.86</t>
  </si>
  <si>
    <t>3.13.13.87</t>
  </si>
  <si>
    <t>3.13.13.88</t>
  </si>
  <si>
    <t>3.13.13.89</t>
  </si>
  <si>
    <t>3.13.13.90</t>
  </si>
  <si>
    <t>3.13.13.91</t>
  </si>
  <si>
    <t>3.13.13.92</t>
  </si>
  <si>
    <t>3.13.13.93</t>
  </si>
  <si>
    <t>3.13.13.94</t>
  </si>
  <si>
    <t>3.13.13.95</t>
  </si>
  <si>
    <t>3.13.13.96</t>
  </si>
  <si>
    <t>3.13.13.97</t>
  </si>
  <si>
    <t>3.13.13.98</t>
  </si>
  <si>
    <t>3.13.13.99</t>
  </si>
  <si>
    <t>3.13.13.100</t>
  </si>
  <si>
    <t>3.13.13.101</t>
  </si>
  <si>
    <t>3.13.13.102</t>
  </si>
  <si>
    <t>3.13.13.103</t>
  </si>
  <si>
    <t>3.13.13.104</t>
  </si>
  <si>
    <t>3.13.13.105</t>
  </si>
  <si>
    <t>3.13.13.106</t>
  </si>
  <si>
    <t>3.13.13.107</t>
  </si>
  <si>
    <t>3.13.13.108</t>
  </si>
  <si>
    <t>3.13.13.109</t>
  </si>
  <si>
    <t>3.13.13.110</t>
  </si>
  <si>
    <t>Niples en HD 20" (500 mm) EL x EL L=2,00 a 3,00 m</t>
  </si>
  <si>
    <t>Niples en HD 20" (500 mm) EB x EB L=1,00 a 2,00 m</t>
  </si>
  <si>
    <t>Niples en HD 20" (500 mm) EL x EL L=3,00 a 4,00 m</t>
  </si>
  <si>
    <t>Niples en HD 20" (500 mm) EB x EB L=3,00 a 4,00 m</t>
  </si>
  <si>
    <t>Niples en HD 20" (50 mm) EL x EL L=4,00 a 5,00 m</t>
  </si>
  <si>
    <t>Niples en HD 20" (500 mm) EB x EB L=4,00 a 5,00 m</t>
  </si>
  <si>
    <t>Niples en HD 20" (500 mm) EB x EB L=2,00 a3,00 m</t>
  </si>
  <si>
    <t>Niples en HD 20" (500 mm) EB x EB L=0,00 a 1,00 m</t>
  </si>
  <si>
    <t>Niples en HD 24" (600 mm) EB x EB L=4,00 a 5,00 m</t>
  </si>
  <si>
    <t>Niples en HD 24" (600 mm) EB x EB L=0,00 a 1,00 m</t>
  </si>
  <si>
    <t>Niples en HD 24" (600 mm) EL x EL L=1,00 a 2,00 m</t>
  </si>
  <si>
    <t>Niples en HD 24" (600 mm) EB x EB L=1,00 a 2,00 m</t>
  </si>
  <si>
    <t>Niples en HD 24" (600 mm) EL x EL L=2,00 a 3,00 m</t>
  </si>
  <si>
    <t>Niples en HD 24" (600 mm) EB x EB L=2,00 a3,00 m</t>
  </si>
  <si>
    <t>Niples en HD 24" (600 mm) EL x EL L=3,00 a 4,00 m</t>
  </si>
  <si>
    <t>Niples en HD 24" (600 mm) EB x EB L=3,00 a 4,00 m</t>
  </si>
  <si>
    <t>Niples en HD 24" (600 mm) EL x EL L=4,00 a 5,00 m</t>
  </si>
  <si>
    <t>3.13.13.111</t>
  </si>
  <si>
    <t>3.13.13.112</t>
  </si>
  <si>
    <t>3.13.13.113</t>
  </si>
  <si>
    <t>3.13.13.114</t>
  </si>
  <si>
    <t>3.13.13.115</t>
  </si>
  <si>
    <t>3.13.13.116</t>
  </si>
  <si>
    <t>3.13.13.117</t>
  </si>
  <si>
    <t>3.13.13.118</t>
  </si>
  <si>
    <t>3.13.13.119</t>
  </si>
  <si>
    <t>Tees HD Extremo liso</t>
  </si>
  <si>
    <t>3.15.1.1</t>
  </si>
  <si>
    <t>Tee HD 2" x 2" (50 mm x 50 mm) EL</t>
  </si>
  <si>
    <t>Tee HD 3" x 2" (75mm x 50 mm) EL</t>
  </si>
  <si>
    <t>Tee HD 3" x 3" (75 mm x 75 mm) EL</t>
  </si>
  <si>
    <t>Tee HD 4" x 2" (100 mm x 50 mm) EL</t>
  </si>
  <si>
    <t>Tee HD 4" x 3" (100 mm x 75 mm) EL</t>
  </si>
  <si>
    <t>Tee HD 4" x 4" (100 mm x 100 mm) EL</t>
  </si>
  <si>
    <t>Tee HD 6" x 2" (150 mm x 50 mm) EL</t>
  </si>
  <si>
    <t>Tee HD 6" x 3" (150 mm x 75 mm) EL</t>
  </si>
  <si>
    <t>Tee HD 6" x 4" (150 mm x 100 mm) EL</t>
  </si>
  <si>
    <t>Tee HD 6" x 6" (150 mm x 150 mm) EL</t>
  </si>
  <si>
    <t>Tee HD 8" x 2" (200 mm x 50 mm) EL</t>
  </si>
  <si>
    <t>Tee HD 8" x 3" (200 mm x 75 mm) EL</t>
  </si>
  <si>
    <t>Tee HD 8" x 4" (200 mm x 100 mm) EL</t>
  </si>
  <si>
    <t>Tee HD 8" x 6" (200 mm x 150 mm) EL</t>
  </si>
  <si>
    <t>Tee HD 8" x 8" (200 mm x 200 mm) EL</t>
  </si>
  <si>
    <t>Tee HD 10" x 2" (250 mm x 50 mm) EL</t>
  </si>
  <si>
    <t>Tee HD 10" x 3" (250 mm x 75 mm) EL</t>
  </si>
  <si>
    <t>Tee HD 10" x 4" (250 mm x 100 mm) EL</t>
  </si>
  <si>
    <t>Tee HD 10" x 6" (250 mm x 150 mm) EL</t>
  </si>
  <si>
    <t>Tee HD 10" x 8" (250 mm x 200 mm) EL</t>
  </si>
  <si>
    <t>Tee HD 10" x 10" (250 mm x 250 mm) EL</t>
  </si>
  <si>
    <t>Tee HD 12" x 3" (300 mm x 75 mm) EL</t>
  </si>
  <si>
    <t>Tee HD 12" x 6" (300 mm x 150 mm) EL</t>
  </si>
  <si>
    <t>Tee HD 12" x 8" (300 mm x 200 mm) EL</t>
  </si>
  <si>
    <t>Tee HD 12" x 10" (300 mm x 250 mm) EL</t>
  </si>
  <si>
    <t>Tee HD 12" x 4" (300 mm x 100 mm) EL</t>
  </si>
  <si>
    <t>Tee HD 12" x 12" (300 mm x 300 mm) EL</t>
  </si>
  <si>
    <t>3.15.1.1.1</t>
  </si>
  <si>
    <t>3.15.1.1.2</t>
  </si>
  <si>
    <t>3.15.1.1.3</t>
  </si>
  <si>
    <t>3.15.1.1.4</t>
  </si>
  <si>
    <t>3.15.1.1.5</t>
  </si>
  <si>
    <t>3.15.1.1.6</t>
  </si>
  <si>
    <t>3.15.1.1.7</t>
  </si>
  <si>
    <t>3.15.1.1.8</t>
  </si>
  <si>
    <t>3.15.1.1.9</t>
  </si>
  <si>
    <t>3.15.1.1.10</t>
  </si>
  <si>
    <t>3.15.1.1.11</t>
  </si>
  <si>
    <t>3.15.1.1.12</t>
  </si>
  <si>
    <t>3.15.1.1.13</t>
  </si>
  <si>
    <t>3.15.1.1.14</t>
  </si>
  <si>
    <t>3.15.1.1.15</t>
  </si>
  <si>
    <t>3.15.1.1.16</t>
  </si>
  <si>
    <t>3.15.1.1.17</t>
  </si>
  <si>
    <t>3.15.1.1.18</t>
  </si>
  <si>
    <t>3.15.1.1.19</t>
  </si>
  <si>
    <t>3.15.1.1.20</t>
  </si>
  <si>
    <t>3.15.1.1.21</t>
  </si>
  <si>
    <t>3.15.1.1.22</t>
  </si>
  <si>
    <t>3.15.1.1.23</t>
  </si>
  <si>
    <t>3.15.1.1.24</t>
  </si>
  <si>
    <t>3.15.1.1.25</t>
  </si>
  <si>
    <t>3.15.1.1.26</t>
  </si>
  <si>
    <t>3.15.1.1.27</t>
  </si>
  <si>
    <t>3.15.1.1.28</t>
  </si>
  <si>
    <t>3.15.1.1.29</t>
  </si>
  <si>
    <t>3.15.1.1.30</t>
  </si>
  <si>
    <t>3.15.1.1.31</t>
  </si>
  <si>
    <t>3.15.1.1.32</t>
  </si>
  <si>
    <t>3.15.1.1.33</t>
  </si>
  <si>
    <t>3.15.1.1.34</t>
  </si>
  <si>
    <t>3.15.1.1.35</t>
  </si>
  <si>
    <t>3.15.1.1.36</t>
  </si>
  <si>
    <t>3.15.1.1.37</t>
  </si>
  <si>
    <t>3.15.1.1.38</t>
  </si>
  <si>
    <t>3.15.1.1.39</t>
  </si>
  <si>
    <t>3.15.1.1.40</t>
  </si>
  <si>
    <t>3.15.1.1.41</t>
  </si>
  <si>
    <t>3.15.1.1.42</t>
  </si>
  <si>
    <t>Tee HD 14" x 3" (350 mm x 75 mm) EL</t>
  </si>
  <si>
    <t>Tee HD 14" x 4" (350 mm x 100 mm) EL</t>
  </si>
  <si>
    <t>Tee HD 14" x 6" (350 mm x 150 mm) EL</t>
  </si>
  <si>
    <t>Tee HD 14" x 8" (350 mm x 200 mm) EL</t>
  </si>
  <si>
    <t>Tee HD 14" x 10" (350 mm x 250 mm) EL</t>
  </si>
  <si>
    <t>Tee HD 14" x 12" (350 mm x 300 mm) EL</t>
  </si>
  <si>
    <t>Tee HD 14" x 14" (350 mm x 350 mm) EL</t>
  </si>
  <si>
    <t>Tee HD 16" x 4" (400 mm x 100 mm) EL</t>
  </si>
  <si>
    <t>Tee HD 16" x 6" (400 mm x 150 mm) EL</t>
  </si>
  <si>
    <t>Tee HD 16" x 8" (400 mm x 200 mm) EL</t>
  </si>
  <si>
    <t>Tee HD 16" x 10" (400 mm x 250 mm) EL</t>
  </si>
  <si>
    <t>Tee HD 16" x 12" (400 mm x 300 mm) EL</t>
  </si>
  <si>
    <t>Tee HD 16" x 14" (400 mm x 350 mm) EL</t>
  </si>
  <si>
    <t>Tee HD 16" x 16" (400 mm x 400 mm) EL</t>
  </si>
  <si>
    <t>Tee HD 18" x 10" (450 mm x 250 mm) EL</t>
  </si>
  <si>
    <t>Tee HD 18" x 8" (450 mm x 200 mm) EL</t>
  </si>
  <si>
    <t>Tee HD 18" x 12" (450 mm x 300 mm) EL</t>
  </si>
  <si>
    <t>Tee HD 18" x 14" (450 mm x 350 mm) EL</t>
  </si>
  <si>
    <t>Tee HD 18" x 16" (450 mm x 400 mm) EL</t>
  </si>
  <si>
    <t>Tee HD 18" x 18" (450 mm x 450 mm) EL</t>
  </si>
  <si>
    <t>3.15.1.1.43</t>
  </si>
  <si>
    <t>3.15.1.1.44</t>
  </si>
  <si>
    <t>3.15.1.1.45</t>
  </si>
  <si>
    <t>3.15.1.1.46</t>
  </si>
  <si>
    <t>3.15.1.1.47</t>
  </si>
  <si>
    <t>Tee HD 18" x 6" (450 mm x 150 mm) EL</t>
  </si>
  <si>
    <t>3.15.1.1.48</t>
  </si>
  <si>
    <t>Tee HD 20" x 8" (500 mm x 200 mm) EL</t>
  </si>
  <si>
    <t>Tee HD 20" x 10" (500 mm x 250 mm) EL</t>
  </si>
  <si>
    <t>Tee HD 20" x 12" (500 mm x 300 mm) EL</t>
  </si>
  <si>
    <t>Tee HD 20" x 14" (500 mm x 350 mm) EL</t>
  </si>
  <si>
    <t>Tee HD 20" x 16" (500 mm x 400 mm) EL</t>
  </si>
  <si>
    <t>Tee HD 20" x 18" (500 mm x 450 mm) EL</t>
  </si>
  <si>
    <t>Tee HD 20" x 20" (500 mm x 500 mm) EL</t>
  </si>
  <si>
    <t>Tee HD 24" x 8" (600 mm x 200 mm) EL</t>
  </si>
  <si>
    <t>Tee HD 24" x 10" (600 mm x 250 mm) EL</t>
  </si>
  <si>
    <t>Tee HD 24" x 12" (600 mm x 300 mm) EL</t>
  </si>
  <si>
    <t>Tee HD 24" x 14" (600 mm x 350 mm) EL</t>
  </si>
  <si>
    <t>Tee HD 24" x 16" (600 mm x 400 mm) EL</t>
  </si>
  <si>
    <t>Tee HD 24" x 18" (600 mm x 450 mm) EL</t>
  </si>
  <si>
    <t>Tee HD 24" x 20" (600 mm x 500 mm) EL</t>
  </si>
  <si>
    <t>Tee HD 24" x 24" (600 mm x 600 mm) EL</t>
  </si>
  <si>
    <t>3.15.1.1.49</t>
  </si>
  <si>
    <t>3.15.1.1.50</t>
  </si>
  <si>
    <t>3.15.1.1.51</t>
  </si>
  <si>
    <t>3.15.1.1.52</t>
  </si>
  <si>
    <t>3.15.1.1.53</t>
  </si>
  <si>
    <t>3.15.1.1.54</t>
  </si>
  <si>
    <t>3.15.1.1.55</t>
  </si>
  <si>
    <t>3.15.1.1.56</t>
  </si>
  <si>
    <t>3.15.1.1.57</t>
  </si>
  <si>
    <t>3.15.1.1.58</t>
  </si>
  <si>
    <t>3.15.1.1.59</t>
  </si>
  <si>
    <t>3.15.1.1.60</t>
  </si>
  <si>
    <t>3.15.1.1.61</t>
  </si>
  <si>
    <t>3.15.1.1.62</t>
  </si>
  <si>
    <t>3.15.1.1.63</t>
  </si>
  <si>
    <t>Tee HD 2" x 2" (50 mm x 50 mm) JH PVC</t>
  </si>
  <si>
    <t>Tees HD Junta Hidráulica PVC</t>
  </si>
  <si>
    <t>3.15.1.2.4</t>
  </si>
  <si>
    <t>3.15.1.2.5</t>
  </si>
  <si>
    <t>3.15.1.2.8</t>
  </si>
  <si>
    <t>3.15.1.2.13</t>
  </si>
  <si>
    <t>3.15.1.2.14</t>
  </si>
  <si>
    <t>3.15.1.2.15</t>
  </si>
  <si>
    <t>3.15.1.2.16</t>
  </si>
  <si>
    <t>3.15.1.2.17</t>
  </si>
  <si>
    <t>3.15.1.2.18</t>
  </si>
  <si>
    <t>3.15.1.2.19</t>
  </si>
  <si>
    <t>3.15.1.2.20</t>
  </si>
  <si>
    <t>3.15.1.2.21</t>
  </si>
  <si>
    <t>3.15.1.2.22</t>
  </si>
  <si>
    <t>3.15.1.2.23</t>
  </si>
  <si>
    <t>3.15.1.2.24</t>
  </si>
  <si>
    <t>3.15.1.2.25</t>
  </si>
  <si>
    <t>3.15.1.2.28</t>
  </si>
  <si>
    <t>3.15.1.2.29</t>
  </si>
  <si>
    <t>3.15.1.2.30</t>
  </si>
  <si>
    <t>3.15.1.2.31</t>
  </si>
  <si>
    <t>3.15.1.2.32</t>
  </si>
  <si>
    <t>3.15.1.2.33</t>
  </si>
  <si>
    <t>3.15.1.2.34</t>
  </si>
  <si>
    <t>3.15.1.2.35</t>
  </si>
  <si>
    <t>3.15.1.2.36</t>
  </si>
  <si>
    <t>3.15.1.2.37</t>
  </si>
  <si>
    <t>3.15.1.2.38</t>
  </si>
  <si>
    <t>3.15.1.2.39</t>
  </si>
  <si>
    <t>3.15.1.2.40</t>
  </si>
  <si>
    <t>3.15.1.2.41</t>
  </si>
  <si>
    <t>3.15.1.2.42</t>
  </si>
  <si>
    <t>3.15.1.2.43</t>
  </si>
  <si>
    <t>3.15.1.2.44</t>
  </si>
  <si>
    <t>3.15.1.2.45</t>
  </si>
  <si>
    <t>3.15.1.2.46</t>
  </si>
  <si>
    <t>3.15.1.2.47</t>
  </si>
  <si>
    <t>3.15.1.2.48</t>
  </si>
  <si>
    <t>3.15.1.2.49</t>
  </si>
  <si>
    <t>3.15.1.2.50</t>
  </si>
  <si>
    <t>3.15.1.2.51</t>
  </si>
  <si>
    <t>3.15.1.2.52</t>
  </si>
  <si>
    <t>3.15.1.2.53</t>
  </si>
  <si>
    <t>3.15.1.2.54</t>
  </si>
  <si>
    <t>3.15.1.2.55</t>
  </si>
  <si>
    <t>3.15.1.2.56</t>
  </si>
  <si>
    <t>3.15.1.2.57</t>
  </si>
  <si>
    <t>3.15.1.2.58</t>
  </si>
  <si>
    <t>3.15.1.2.59</t>
  </si>
  <si>
    <t>3.15.1.2.60</t>
  </si>
  <si>
    <t>3.15.1.2.61</t>
  </si>
  <si>
    <t>3.15.1.2.62</t>
  </si>
  <si>
    <t>3.15.1.2.63</t>
  </si>
  <si>
    <t>3.15.1.3.1</t>
  </si>
  <si>
    <t>3.15.1.3</t>
  </si>
  <si>
    <t>Tees HD Extremo brida</t>
  </si>
  <si>
    <t>Tee HD 2" x 2" (50 mm x 50 mm) EB</t>
  </si>
  <si>
    <t>Tee HD 24" x 24" (600 mm x 600 mm) JH PVC</t>
  </si>
  <si>
    <t>Tee HD 14" x 4" (350 mm x 100 mm) JH PVC</t>
  </si>
  <si>
    <t>Tee HD 14" x 6" (350 mm x 150 mm) JH PVC</t>
  </si>
  <si>
    <t>Tee HD 14" x 3" (350 mm x 75 mm) JH PVC</t>
  </si>
  <si>
    <t>Tee HD 3" x 2" (75mm x 50 mm) JH PVC</t>
  </si>
  <si>
    <t>Tee HD 3" x 3" (75 mm x 75 mm) JH PVC</t>
  </si>
  <si>
    <t>Tee HD 4" x 2" (100 mm x 50 mm) JH PVC</t>
  </si>
  <si>
    <t>Tee HD 4" x 3" (100 mm x 75 mm) JH PVC</t>
  </si>
  <si>
    <t>Tee HD 4" x 4" (100 mm x 100 mm) JH PVC</t>
  </si>
  <si>
    <t>Tee HD 6" x 2" (150 mm x 50 mm) JH PVC</t>
  </si>
  <si>
    <t>Tee HD 6" x 3" (150 mm x 75 mm) JH PVC</t>
  </si>
  <si>
    <t>Tee HD 6" x 4" (150 mm x 100 mm) JH PVC</t>
  </si>
  <si>
    <t>Tee HD 6" x 6" (150 mm x 150 mm) JH PVC</t>
  </si>
  <si>
    <t>Tee HD 8" x 2" (200 mm x 50 mm) JH PVC</t>
  </si>
  <si>
    <t>Tee HD 8" x 3" (200 mm x 75 mm) JH PVC</t>
  </si>
  <si>
    <t>Tee HD 8" x 4" (200 mm x 100 mm) JH PVC</t>
  </si>
  <si>
    <t>Tee HD 8" x 6" (200 mm x 150 mm) JH PVC</t>
  </si>
  <si>
    <t>Tee HD 8" x 8" (200 mm x 200 mm) JH PVC</t>
  </si>
  <si>
    <t>Tee HD 10" x 2" (250 mm x 50 mm) JH PVC</t>
  </si>
  <si>
    <t>Tee HD 10" x 3" (250 mm x 75 mm) JH PVC</t>
  </si>
  <si>
    <t>Tee HD 10" x 4" (250 mm x 100 mm) JH PVC</t>
  </si>
  <si>
    <t>Tee HD 10" x 6" (250 mm x 150 mm) JH PVC</t>
  </si>
  <si>
    <t>Tee HD 10" x 8" (250 mm x 200 mm) JH PVC</t>
  </si>
  <si>
    <t>Tee HD 10" x 10" (250 mm x 250 mm) JH PVC</t>
  </si>
  <si>
    <t>Tee HD 12" x 3" (300 mm x 75 mm) JH PVC</t>
  </si>
  <si>
    <t>Tee HD 12" x 4" (300 mm x 100 mm) JH PVC</t>
  </si>
  <si>
    <t>Tee HD 12" x 6" (300 mm x 150 mm) JH PVC</t>
  </si>
  <si>
    <t>Tee HD 12" x 8" (300 mm x 200 mm) JH PVC</t>
  </si>
  <si>
    <t>Tee HD 12" x 10" (300 mm x 250 mm) EJH PVC</t>
  </si>
  <si>
    <t>Tee HD 12" x 12" (300 mm x 300 mm) JH PVC</t>
  </si>
  <si>
    <t>Tee HD 14" x 8" (350 mm x 200 mm) JH PVC</t>
  </si>
  <si>
    <t>Tee HD 14" x 10" (350 mm x 250 mm) JH PVC</t>
  </si>
  <si>
    <t>Tee HD 14" x 12" (350 mm x 300 mm) JH PVC</t>
  </si>
  <si>
    <t>Tee HD 14" x 14" (350 mm x 350 mm) JH PVC</t>
  </si>
  <si>
    <t>Tee HD 16" x 4" (400 mm x 100 mm) JH PVC</t>
  </si>
  <si>
    <t>Tee HD 16" x 6" (400 mm x 150 mm) JH PVC</t>
  </si>
  <si>
    <t>Tee HD 16" x 8" (400 mm x 200 mm) JH PVC</t>
  </si>
  <si>
    <t>Tee HD 16" x 10" (400 mm x 250 mm) JH PVC</t>
  </si>
  <si>
    <t>Tee HD 16" x 12" (400 mm x 300 mm) JH PVC</t>
  </si>
  <si>
    <t>Tee HD 16" x 14" (400 mm x 350 mm) EJH PVC</t>
  </si>
  <si>
    <t>Tee HD 16" x 16" (400 mm x 400 mm) JH PVC</t>
  </si>
  <si>
    <t>Tee HD 18" x 6" (450 mm x 150 mm) JH PVC</t>
  </si>
  <si>
    <t>Tee HD 18" x 8" (450 mm x 200 mm) JH PVC</t>
  </si>
  <si>
    <t>Tee HD 18" x 10" (450 mm x 250 mm) JH PVC</t>
  </si>
  <si>
    <t>Tee HD 18" x 12" (450 mm x 300 mm) JH PVC</t>
  </si>
  <si>
    <t>Tee HD 18" x 14" (450 mm x 350 mm) JH PVC</t>
  </si>
  <si>
    <t>Tee HD 18" x 16" (450 mm x 400 mm) JH PVC</t>
  </si>
  <si>
    <t>Tee HD 18" x 18" (450 mm x 450 mm) JH PVC</t>
  </si>
  <si>
    <t>Tee HD 20" x 8" (500 mm x 200 mm) JH PVC</t>
  </si>
  <si>
    <t>Tee HD 20" x 10" (500 mm x 250 mm) JH PVC</t>
  </si>
  <si>
    <t>Tee HD 20" x 12" (500 mm x 300 mm) JH PVC</t>
  </si>
  <si>
    <t>Tee HD 20" x 14" (500 mm x 350 mm) JH PVC</t>
  </si>
  <si>
    <t>Tee HD 20" x 16" (500 mm x 400 mm) JH PVC</t>
  </si>
  <si>
    <t>Tee HD 20" x 18" (500 mm x 450 mm) JH PVC</t>
  </si>
  <si>
    <t>Tee HD 20" x 20" (500 mm x 500 mm) JH PVC</t>
  </si>
  <si>
    <t>Tee HD 24" x 8" (600 mm x 200 mm) JH PVC</t>
  </si>
  <si>
    <t>Tee HD 24" x 10" (600 mm x 250 mm) JH PVC</t>
  </si>
  <si>
    <t>Tee HD 24" x 20" (600 mm x 500 mm) JH PVC</t>
  </si>
  <si>
    <t>Tee HD 24" x 12" (600 mm x 300 mm) JH PVC</t>
  </si>
  <si>
    <t>Tee HD 24" x 14" (600 mm x 350 mm) JH PVC</t>
  </si>
  <si>
    <t>Tee HD 24" x 16" (600 mm x 400 mm) JH PVC</t>
  </si>
  <si>
    <t>Tee HD 24" x 18" (600 mm x 450 mm) JH PVC</t>
  </si>
  <si>
    <t>Tee HD 3" x 2" (75mm x 50 mm) EB</t>
  </si>
  <si>
    <t>Tee HD 3" x 3" (75 mm x 75 mm) EB</t>
  </si>
  <si>
    <t>Tee HD 4" x 2" (100 mm x 50 mm) EB</t>
  </si>
  <si>
    <t>Tee HD 4" x 3" (100 mm x 75 mm) EB</t>
  </si>
  <si>
    <t>Tee HD 4" x 4" (100 mm x 100 mm) EB</t>
  </si>
  <si>
    <t>Tee HD 6" x 2" (150 mm x 50 mm) EB</t>
  </si>
  <si>
    <t>Tee HD 6" x 3" (150 mm x 75 mm) EB</t>
  </si>
  <si>
    <t>Tee HD 6" x 4" (150 mm x 100 mm) EB</t>
  </si>
  <si>
    <t>Tee HD 6" x 6" (150 mm x 150 mm) EB</t>
  </si>
  <si>
    <t>Tee HD 8" x 2" (200 mm x 50 mm) EB</t>
  </si>
  <si>
    <t>Tee HD 8" x 3" (200 mm x 75 mm) EB</t>
  </si>
  <si>
    <t>Tee HD 8" x 4" (200 mm x 100 mm) EB</t>
  </si>
  <si>
    <t>Tee HD 8" x 6" (200 mm x 150 mm) EB</t>
  </si>
  <si>
    <t>Tee HD 8" x 8" (200 mm x 200 mm) EB</t>
  </si>
  <si>
    <t>Tee HD 10" x 2" (250 mm x 50 mm) EB</t>
  </si>
  <si>
    <t>Tee HD 10" x 3" (250 mm x 75 mm) EB</t>
  </si>
  <si>
    <t>Tee HD 10" x 4" (250 mm x 100 mm) EB</t>
  </si>
  <si>
    <t>Tee HD 10" x 6" (250 mm x 150 mm) EB</t>
  </si>
  <si>
    <t>Tee HD 10" x 8" (250 mm x 200 mm) EB</t>
  </si>
  <si>
    <t>Tee HD 10" x 10" (250 mm x 250 mm) EB</t>
  </si>
  <si>
    <t>Tee HD 12" x 3" (300 mm x 75 mm) EB</t>
  </si>
  <si>
    <t>Tee HD 12" x 4" (300 mm x 100 mm) EB</t>
  </si>
  <si>
    <t>Tee HD 12" x 6" (300 mm x 150 mm) EB</t>
  </si>
  <si>
    <t>Tee HD 12" x 8" (300 mm x 200 mm) EB</t>
  </si>
  <si>
    <t>Tee HD 12" x 10" (300 mm x 250 mm) EB</t>
  </si>
  <si>
    <t>Tee HD 12" x 12" (300 mm x 300 mm) EB</t>
  </si>
  <si>
    <t>Tee HD 14" x 3" (350 mm x 75 mm) EB</t>
  </si>
  <si>
    <t>Tee HD 14" x 4" (350 mm x 100 mm) EB</t>
  </si>
  <si>
    <t>Tee HD 14" x 6" (350 mm x 150 mm) EB</t>
  </si>
  <si>
    <t>Tee HD 14" x 8" (350 mm x 200 mm) EB</t>
  </si>
  <si>
    <t>Tee HD 14" x 10" (350 mm x 250 mm) EB</t>
  </si>
  <si>
    <t>Tee HD 14" x 12" (350 mm x 300 mm) EB</t>
  </si>
  <si>
    <t>Tee HD 14" x 14" (350 mm x 350 mm) EB</t>
  </si>
  <si>
    <t>Tee HD 16" x 4" (400 mm x 100 mm) EB</t>
  </si>
  <si>
    <t>Tee HD 16" x 6" (400 mm x 150 mm) EB</t>
  </si>
  <si>
    <t>Tee HD 16" x 8" (400 mm x 200 mm) EB</t>
  </si>
  <si>
    <t>3.15.1.3.2</t>
  </si>
  <si>
    <t>3.15.1.3.3</t>
  </si>
  <si>
    <t>3.15.1.3.4</t>
  </si>
  <si>
    <t>3.15.1.3.5</t>
  </si>
  <si>
    <t>3.15.1.3.6</t>
  </si>
  <si>
    <t>3.15.1.3.7</t>
  </si>
  <si>
    <t>3.15.1.3.8</t>
  </si>
  <si>
    <t>3.15.1.3.9</t>
  </si>
  <si>
    <t>3.15.1.3.10</t>
  </si>
  <si>
    <t>3.15.1.3.11</t>
  </si>
  <si>
    <t>3.15.1.3.12</t>
  </si>
  <si>
    <t>3.15.1.3.13</t>
  </si>
  <si>
    <t>3.15.1.3.14</t>
  </si>
  <si>
    <t>3.15.1.3.15</t>
  </si>
  <si>
    <t>3.15.1.3.16</t>
  </si>
  <si>
    <t>3.15.1.3.17</t>
  </si>
  <si>
    <t>3.15.1.3.18</t>
  </si>
  <si>
    <t>3.15.1.3.19</t>
  </si>
  <si>
    <t>3.15.1.3.20</t>
  </si>
  <si>
    <t>3.15.1.3.21</t>
  </si>
  <si>
    <t>3.15.1.3.22</t>
  </si>
  <si>
    <t>3.15.1.3.23</t>
  </si>
  <si>
    <t>3.15.1.3.24</t>
  </si>
  <si>
    <t>3.15.1.3.25</t>
  </si>
  <si>
    <t>3.15.1.3.26</t>
  </si>
  <si>
    <t>3.15.1.3.27</t>
  </si>
  <si>
    <t>3.15.1.3.28</t>
  </si>
  <si>
    <t>3.15.1.3.29</t>
  </si>
  <si>
    <t>3.15.1.3.30</t>
  </si>
  <si>
    <t>3.15.1.3.31</t>
  </si>
  <si>
    <t>3.15.1.3.32</t>
  </si>
  <si>
    <t>3.15.1.3.33</t>
  </si>
  <si>
    <t>3.15.1.3.34</t>
  </si>
  <si>
    <t>3.15.1.3.35</t>
  </si>
  <si>
    <t>3.15.1.3.36</t>
  </si>
  <si>
    <t>3.15.1.3.37</t>
  </si>
  <si>
    <t>3.15.1.3.38</t>
  </si>
  <si>
    <t>3.15.1.3.39</t>
  </si>
  <si>
    <t>3.15.1.3.40</t>
  </si>
  <si>
    <t>3.15.1.3.41</t>
  </si>
  <si>
    <t>3.15.1.3.42</t>
  </si>
  <si>
    <t>3.15.1.3.43</t>
  </si>
  <si>
    <t>3.15.1.3.44</t>
  </si>
  <si>
    <t>3.15.1.3.45</t>
  </si>
  <si>
    <t>3.15.1.3.46</t>
  </si>
  <si>
    <t>3.15.1.3.47</t>
  </si>
  <si>
    <t>3.15.1.3.48</t>
  </si>
  <si>
    <t>3.15.1.3.49</t>
  </si>
  <si>
    <t>3.15.1.3.50</t>
  </si>
  <si>
    <t>3.15.1.3.51</t>
  </si>
  <si>
    <t>3.15.1.3.52</t>
  </si>
  <si>
    <t>3.15.1.3.53</t>
  </si>
  <si>
    <t>3.15.1.3.54</t>
  </si>
  <si>
    <t>3.15.1.3.55</t>
  </si>
  <si>
    <t>3.15.1.3.56</t>
  </si>
  <si>
    <t>3.15.1.3.57</t>
  </si>
  <si>
    <t>3.15.1.3.58</t>
  </si>
  <si>
    <t>3.15.1.3.59</t>
  </si>
  <si>
    <t>3.15.1.3.60</t>
  </si>
  <si>
    <t>3.15.1.3.61</t>
  </si>
  <si>
    <t>3.15.1.3.62</t>
  </si>
  <si>
    <t>3.15.1.3.63</t>
  </si>
  <si>
    <t>Tee HD 24" x 20" (600 mm x 500 mm) EB</t>
  </si>
  <si>
    <t>Tee HD 24" x 24" (600 mm x 600 mm) EB</t>
  </si>
  <si>
    <t>Tee HD 16" x 10" (400 mm x 250 mm) EB</t>
  </si>
  <si>
    <t>Tee HD 16" x 12" (400 mm x 300 mm) EB</t>
  </si>
  <si>
    <t>Tee HD 16" x 14" (400 mm x 350 mm) EB</t>
  </si>
  <si>
    <t>Tee HD 16" x 16" (400 mm x 400 mm) EB</t>
  </si>
  <si>
    <t>Tee HD 18" x 6" (450 mm x 150 mm) EB</t>
  </si>
  <si>
    <t>Tee HD 18" x 8" (450 mm x 200 mm) EB</t>
  </si>
  <si>
    <t>Tee HD 24" x 8" (600 mm x 200 mm) EB</t>
  </si>
  <si>
    <t>Tee HD 24" x 10" (600 mm x 250 mm) EB</t>
  </si>
  <si>
    <t>Tee HD 24" x 12" (600 mm x 300 mm) EB</t>
  </si>
  <si>
    <t>Tee HD 24" x 14" (600 mm x 350 mm) EB</t>
  </si>
  <si>
    <t>Tee HD 24" x 16" (600 mm x 400 mm) EB</t>
  </si>
  <si>
    <t>Tee HD 24" x 18" (600 mm x 450 mm) EB</t>
  </si>
  <si>
    <t>Tee HD 20" x 8" (500 mm x 200 mm) EB</t>
  </si>
  <si>
    <t>Tee HD 20" x 10" (500 mm x 250 mm) EB</t>
  </si>
  <si>
    <t>Tee HD 20" x 12" (500 mm x 300 mm) EB</t>
  </si>
  <si>
    <t>Tee HD 20" x 14" (500 mm x 350 mm) EB</t>
  </si>
  <si>
    <t>Tee HD 20" x 16" (500 mm x 400 mm) EB</t>
  </si>
  <si>
    <t>Tee HD 20" x 18" (500 mm x 450 mm) EB</t>
  </si>
  <si>
    <t>Tee HD 20" x 20" (500 mm x 500 mm) EB</t>
  </si>
  <si>
    <t>Tee HD 18" x 10" (450 mm x 250 mm) EB</t>
  </si>
  <si>
    <t>Tee HD 18" x 12" (450 mm x 300 mm) EB</t>
  </si>
  <si>
    <t>Tee HD 18" x 14" (450 mm x 350 mm) EB</t>
  </si>
  <si>
    <t>Tee HD 18" x 16" (450 mm x 400 mm) EB</t>
  </si>
  <si>
    <t>Tee HD 18" x 18" (450 mm x 450 mm) EB</t>
  </si>
  <si>
    <t>6.15.2</t>
  </si>
  <si>
    <t>6.15.2.1</t>
  </si>
  <si>
    <t xml:space="preserve">Reducciones HD concentricas Extremos Lisos </t>
  </si>
  <si>
    <t>Reducción HD 3" x 2" (75mm x 50 mm) EL</t>
  </si>
  <si>
    <t>Reducción HD 4" x 2" (100 mm x 50 mm) EL</t>
  </si>
  <si>
    <t>Reducción HD 4" x 3" (100 mm x 75 mm) EL</t>
  </si>
  <si>
    <t>Reducción HD 6" x 2" (150 mm x 50 mm) EL</t>
  </si>
  <si>
    <t>Reducción HD 6" x 3" (150 mm x 75 mm) EL</t>
  </si>
  <si>
    <t>Reducción HD 6" x 4" (150 mm x 100 mm) EL</t>
  </si>
  <si>
    <t>Reducción HD 8" x 2" (200 mm x 50 mm) EL</t>
  </si>
  <si>
    <t>Reducción HD 8" x 3" (200 mm x 75 mm) EL</t>
  </si>
  <si>
    <t>Reducción HD 8" x 4" (200 mm x 100 mm) EL</t>
  </si>
  <si>
    <t>ReducciónHD 8" x 6" (200 mm x 150 mm) EL</t>
  </si>
  <si>
    <t>Reducción HD 10" x 2" (250 mm x 50 mm) EL</t>
  </si>
  <si>
    <t>Reducción HD 10" x 3" (250 mm x 75 mm) EL</t>
  </si>
  <si>
    <t>Reducción HD 10" x 4" (250 mm x 100 mm) EL</t>
  </si>
  <si>
    <t>Reducción HD 10" x 6" (250 mm x 150 mm) EL</t>
  </si>
  <si>
    <t>Reducción HD 10" x 8" (250 mm x 200 mm) EL</t>
  </si>
  <si>
    <t>Reducción HD 12" x 3" (300 mm x 75 mm) EL</t>
  </si>
  <si>
    <t>Reducción HD 12" x 4" (300 mm x 100 mm) EL</t>
  </si>
  <si>
    <t>Reducción HD 12" x 6" (300 mm x 150 mm) EL</t>
  </si>
  <si>
    <t>Reducción HD 12" x 8" (300 mm x 200 mm) EL</t>
  </si>
  <si>
    <t>Reducción HD 12" x 10" (300 mm x 250 mm) EL</t>
  </si>
  <si>
    <t>Reduccion HD 14" x 3" (350 mm x 75 mm) EL</t>
  </si>
  <si>
    <t>Reducción HD 14" x 4" (350 mm x 100 mm) EL</t>
  </si>
  <si>
    <t>Reducción HD 14" x 6" (350 mm x 150 mm) EL</t>
  </si>
  <si>
    <t>Reducción HD 14" x 8" (350 mm x 200 mm) EL</t>
  </si>
  <si>
    <t>Reducción HD 14" x 10" (350 mm x 250 mm) EL</t>
  </si>
  <si>
    <t>Reducción HD 14" x 12" (350 mm x 300 mm) EL</t>
  </si>
  <si>
    <t>Reducción HD 16" x 4" (400 mm x 100 mm) EL</t>
  </si>
  <si>
    <t>Reducción HD 16" x 6" (400 mm x 150 mm) EL</t>
  </si>
  <si>
    <t>Reducción HD 16" x 8" (400 mm x 200 mm) EL</t>
  </si>
  <si>
    <t>Reducción HD 16" x 10" (400 mm x 250 mm) EL</t>
  </si>
  <si>
    <t>Reducción HD 16" x 14" (400 mm x 350 mm) EL</t>
  </si>
  <si>
    <t>Reducción HD 16" x 12" (400 mm x 300 mm) EL</t>
  </si>
  <si>
    <t>Reducción HD 18" x 6" (450 mm x 150 mm) EL</t>
  </si>
  <si>
    <t>Reducción HD 18" x 8" (450 mm x 200 mm) EL</t>
  </si>
  <si>
    <t>Reducción HD 18" x 10" (450 mm x 250 mm) EL</t>
  </si>
  <si>
    <t>Reducción HD 18" x 12" (450 mm x 300 mm) EL</t>
  </si>
  <si>
    <t>Reducción HD 18" x 14" (450 mm x 350 mm) EL</t>
  </si>
  <si>
    <t>Reducción HD 24" x 20" (600 mm x 500 mm) EL</t>
  </si>
  <si>
    <t>Reducción HD 24" x 18" (600 mm x 450 mm) EL</t>
  </si>
  <si>
    <t>Reducción HD 24" x 16" (600 mm x 400 mm) EL</t>
  </si>
  <si>
    <t>Reducción HD 24" x 14" (600 mm x 350 mm) EL</t>
  </si>
  <si>
    <t>Reducción HD 24" x 12" (600 mm x 300 mm) EL</t>
  </si>
  <si>
    <t>Reducción HD 24" x 8" (600 mm x 200 mm) EL</t>
  </si>
  <si>
    <t>Reducción HD 24" x 10" (600 mm x 250 mm) EL</t>
  </si>
  <si>
    <t>Reducción HD 18" x 16" (450 mm x 400 mm) EL</t>
  </si>
  <si>
    <t>Reducción HD 20" x 8" (500 mm x 200 mm) EL</t>
  </si>
  <si>
    <t>Reducción HD 20" x 10" (500 mm x 250 mm) EL</t>
  </si>
  <si>
    <t>Reducción HD 20" x 12" (500 mm x 300 mm) EL</t>
  </si>
  <si>
    <t>Reducci{on HD 20" x 14" (500 mm x 350 mm) EL</t>
  </si>
  <si>
    <t>Reducción HD 20" x 16" (500 mm x 400 mm) EL</t>
  </si>
  <si>
    <t>Reducción HD 20" x 18" (500 mm x 450 mm) EL</t>
  </si>
  <si>
    <t>6.15.2.1.1</t>
  </si>
  <si>
    <t>6.15.2.1.2</t>
  </si>
  <si>
    <t>6.15.2.1.3</t>
  </si>
  <si>
    <t>6.15.2.1.4</t>
  </si>
  <si>
    <t>6.15.2.1.5</t>
  </si>
  <si>
    <t>6.15.2.1.6</t>
  </si>
  <si>
    <t>6.15.2.1.7</t>
  </si>
  <si>
    <t>6.15.2.1.8</t>
  </si>
  <si>
    <t>6.15.2.1.9</t>
  </si>
  <si>
    <t>6.15.2.1.10</t>
  </si>
  <si>
    <t>6.15.2.1.11</t>
  </si>
  <si>
    <t>6.15.2.1.12</t>
  </si>
  <si>
    <t>6.15.2.1.13</t>
  </si>
  <si>
    <t>6.15.2.1.14</t>
  </si>
  <si>
    <t>6.15.2.1.15</t>
  </si>
  <si>
    <t>6.15.2.1.16</t>
  </si>
  <si>
    <t>6.15.2.1.17</t>
  </si>
  <si>
    <t>6.15.2.1.18</t>
  </si>
  <si>
    <t>6.15.2.1.19</t>
  </si>
  <si>
    <t>6.15.2.1.20</t>
  </si>
  <si>
    <t>6.15.2.1.21</t>
  </si>
  <si>
    <t>6.15.2.1.22</t>
  </si>
  <si>
    <t>6.15.2.1.23</t>
  </si>
  <si>
    <t>6.15.2.1.24</t>
  </si>
  <si>
    <t>6.15.2.1.25</t>
  </si>
  <si>
    <t>6.15.2.1.26</t>
  </si>
  <si>
    <t>6.15.2.1.27</t>
  </si>
  <si>
    <t>6.15.2.1.28</t>
  </si>
  <si>
    <t>6.15.2.1.29</t>
  </si>
  <si>
    <t>6.15.2.1.30</t>
  </si>
  <si>
    <t>6.15.2.1.31</t>
  </si>
  <si>
    <t>6.15.2.1.32</t>
  </si>
  <si>
    <t>6.15.2.1.33</t>
  </si>
  <si>
    <t>6.15.2.1.34</t>
  </si>
  <si>
    <t>6.15.2.1.35</t>
  </si>
  <si>
    <t>6.15.2.1.36</t>
  </si>
  <si>
    <t>6.15.2.1.37</t>
  </si>
  <si>
    <t>6.15.2.1.38</t>
  </si>
  <si>
    <t>6.15.2.1.39</t>
  </si>
  <si>
    <t>6.15.2.1.40</t>
  </si>
  <si>
    <t>6.15.2.1.41</t>
  </si>
  <si>
    <t>6.15.2.1.42</t>
  </si>
  <si>
    <t>6.15.2.1.43</t>
  </si>
  <si>
    <t>6.15.2.1.44</t>
  </si>
  <si>
    <t>6.15.2.1.45</t>
  </si>
  <si>
    <t>6.15.2.1.46</t>
  </si>
  <si>
    <t>6.15.2.1.47</t>
  </si>
  <si>
    <t>6.15.2.1.48</t>
  </si>
  <si>
    <t>6.15.2.1.49</t>
  </si>
  <si>
    <t>6.15.2.1.50</t>
  </si>
  <si>
    <t>6.15.2.1.51</t>
  </si>
  <si>
    <t>6.15.2.2</t>
  </si>
  <si>
    <t>Reducciones HD concentricas JH PVC</t>
  </si>
  <si>
    <t>Reducción HD 3" x 2" (75mm x 50 mm) JH PVC</t>
  </si>
  <si>
    <t>Reducción HD 4" x 2" (100 mm x 50 mm) JH PVC</t>
  </si>
  <si>
    <t>Reducción HD 4" x 3" (100 mm x 75 mm) JH PVC</t>
  </si>
  <si>
    <t>Reducción HD 6" x 2" (150 mm x 50 mm) JH PVC</t>
  </si>
  <si>
    <t>Reducción HD 6" x 3" (150 mm x 75 mm) JH PVC</t>
  </si>
  <si>
    <t>Reducción HD 6" x 4" (150 mm x 100 mm) JH PVC</t>
  </si>
  <si>
    <t>Reducción HD 8" x 2" (200 mm x 50 mm) JH PVC</t>
  </si>
  <si>
    <t>Reducción HD 8" x 3" (200 mm x 75 mm) JH PVC</t>
  </si>
  <si>
    <t>Reducción HD 24" x 20" (600 mm x 500 mm) JH PVC</t>
  </si>
  <si>
    <t>Reducción HD 24" x 18" (600 mm x 450 mm) JH PVC</t>
  </si>
  <si>
    <t>Reducción HD 24" x 16" (600 mm x 400 mm) JH PVC</t>
  </si>
  <si>
    <t>Reducción HD 24" x 14" (600 mm x 350 mm) JH PVC</t>
  </si>
  <si>
    <t>Reducción HD 24" x 12" (600 mm x 300 mm) JH PVC</t>
  </si>
  <si>
    <t>Reducción HD 24" x 10" (600 mm x 250 mm) JH PVC</t>
  </si>
  <si>
    <t>Reducción HD 24" x 8" (600 mm x 200 mm) JH PVC</t>
  </si>
  <si>
    <t>Reducción HD 20" x 18" (500 mm x 450 mm) JH PVC</t>
  </si>
  <si>
    <t>Reducción HD 8" x 4" (200 mm x 100 mm) JH PVC</t>
  </si>
  <si>
    <t>ReducciónHD 8" x 6" (200 mm x 150 mm) JH PVC</t>
  </si>
  <si>
    <t>Reducción HD 10" x 2" (250 mm x 50 mm) JH PVC</t>
  </si>
  <si>
    <t>Reducción HD 10" x 3" (250 mm x 75 mm) JH PVC</t>
  </si>
  <si>
    <t>Reducción HD 10" x 4" (250 mm x 100 mm) JH PVC</t>
  </si>
  <si>
    <t>Reducción HD 10" x 6" (250 mm x 150 mm) JH PVC</t>
  </si>
  <si>
    <t>Reducción HD 10" x 8" (250 mm x 200 mm) JH PVC</t>
  </si>
  <si>
    <t>Reducción HD 12" x 3" (300 mm x 75 mm) JH PVC</t>
  </si>
  <si>
    <t>Reducción HD 12" x 4" (300 mm x 100 mm) JH PVC</t>
  </si>
  <si>
    <t>Reducción HD 12" x 6" (300 mm x 150 mm) JH PVC</t>
  </si>
  <si>
    <t>Reducción HD 12" x 8" (300 mm x 200 mm) JH PVC</t>
  </si>
  <si>
    <t>Reducción HD 12" x 10" (300 mm x 250 mm) JH PVC</t>
  </si>
  <si>
    <t>Reduccion HD 14" x 3" (350 mm x 75 mm) JH PVC</t>
  </si>
  <si>
    <t>6.15.2.2.1</t>
  </si>
  <si>
    <t>6.15.2.2.2</t>
  </si>
  <si>
    <t>6.15.2.2.3</t>
  </si>
  <si>
    <t>6.15.2.2.4</t>
  </si>
  <si>
    <t>6.15.2.2.5</t>
  </si>
  <si>
    <t>6.15.2.2.6</t>
  </si>
  <si>
    <t>6.15.2.2.7</t>
  </si>
  <si>
    <t>6.15.2.2.8</t>
  </si>
  <si>
    <t>6.15.2.2.9</t>
  </si>
  <si>
    <t>6.15.2.2.10</t>
  </si>
  <si>
    <t>6.15.2.2.11</t>
  </si>
  <si>
    <t>6.15.2.2.12</t>
  </si>
  <si>
    <t>6.15.2.2.13</t>
  </si>
  <si>
    <t>6.15.2.2.14</t>
  </si>
  <si>
    <t>6.15.2.2.15</t>
  </si>
  <si>
    <t>6.15.2.2.16</t>
  </si>
  <si>
    <t>6.15.2.2.17</t>
  </si>
  <si>
    <t>6.15.2.2.18</t>
  </si>
  <si>
    <t>6.15.2.2.19</t>
  </si>
  <si>
    <t>6.15.2.2.20</t>
  </si>
  <si>
    <t>6.15.2.2.21</t>
  </si>
  <si>
    <t>6.15.2.2.22</t>
  </si>
  <si>
    <t>6.15.2.2.23</t>
  </si>
  <si>
    <t>6.15.2.2.24</t>
  </si>
  <si>
    <t>6.15.2.2.25</t>
  </si>
  <si>
    <t>6.15.2.2.26</t>
  </si>
  <si>
    <t>6.15.2.2.27</t>
  </si>
  <si>
    <t>6.15.2.2.28</t>
  </si>
  <si>
    <t>6.15.2.2.29</t>
  </si>
  <si>
    <t>6.15.2.2.30</t>
  </si>
  <si>
    <t>6.15.2.2.31</t>
  </si>
  <si>
    <t>6.15.2.2.32</t>
  </si>
  <si>
    <t>6.15.2.2.33</t>
  </si>
  <si>
    <t>6.15.2.2.34</t>
  </si>
  <si>
    <t>6.15.2.2.35</t>
  </si>
  <si>
    <t>6.15.2.2.36</t>
  </si>
  <si>
    <t>6.15.2.2.37</t>
  </si>
  <si>
    <t>6.15.2.2.38</t>
  </si>
  <si>
    <t>6.15.2.2.39</t>
  </si>
  <si>
    <t>6.15.2.2.40</t>
  </si>
  <si>
    <t>6.15.2.2.41</t>
  </si>
  <si>
    <t>6.15.2.2.42</t>
  </si>
  <si>
    <t>6.15.2.2.43</t>
  </si>
  <si>
    <t>6.15.2.2.44</t>
  </si>
  <si>
    <t>6.15.2.2.45</t>
  </si>
  <si>
    <t>6.15.2.2.46</t>
  </si>
  <si>
    <t>6.15.2.2.47</t>
  </si>
  <si>
    <t>6.15.2.2.48</t>
  </si>
  <si>
    <t>6.15.2.2.49</t>
  </si>
  <si>
    <t>6.15.2.2.50</t>
  </si>
  <si>
    <t>6.15.2.2.51</t>
  </si>
  <si>
    <t>Reducción HD 14" x 4" (350 mm x 100 mm) JH PVC</t>
  </si>
  <si>
    <t>Reducción HD 14" x 6" (350 mm x 150 mm) JH PVC</t>
  </si>
  <si>
    <t>Reducción HD 14" x 10" (350 mm x 250 mm) JH PVC</t>
  </si>
  <si>
    <t>Reducción HD 14" x 8" (350 mm x 200 mm) JH PVC</t>
  </si>
  <si>
    <t>Reducción HD 14" x 12" (350 mm x 300 mm) JH PVC</t>
  </si>
  <si>
    <t>Reducción HD 20" x 8" (500 mm x 200 mm) JH PVC</t>
  </si>
  <si>
    <t>Reducción HD 20" x 10" (500 mm x 250 mm) JH PVC</t>
  </si>
  <si>
    <t>Reducción HD 20" x 12" (500 mm x 300 mm) JH PVC</t>
  </si>
  <si>
    <t>Reducci{on HD 20" x 14" (500 mm x 350 mm) JH PVC</t>
  </si>
  <si>
    <t>Reducción HD 20" x 16" (500 mm x 400 mm) JH PVC</t>
  </si>
  <si>
    <t>Reducción HD 18" x 16" (450 mm x 400 mm) JH PVC</t>
  </si>
  <si>
    <t>Reducción HD 16" x 4" (400 mm x 100 mm) JH PVC</t>
  </si>
  <si>
    <t>Reducción HD 16" x 6" (400 mm x 150 mm) JH PVC</t>
  </si>
  <si>
    <t>Reducción HD 16" x 8" (400 mm x 200 mm) JH PVC</t>
  </si>
  <si>
    <t>Reducción HD 16" x 10" (400 mm x 250 mm) JH PVC</t>
  </si>
  <si>
    <t>Reducción HD 16" x 12" (400 mm x 300 mm) JH PVC</t>
  </si>
  <si>
    <t>Reducción HD 16" x 14" (400 mm x 350 mm) EJH PVC</t>
  </si>
  <si>
    <t>Reducción HD 18" x 6" (450 mm x 150 mm) JH PVC</t>
  </si>
  <si>
    <t>Reducción HD 18" x 8" (450 mm x 200 mm) JH PVC</t>
  </si>
  <si>
    <t>Reducción HD 18" x 10" (450 mm x 250 mm) JH PVC</t>
  </si>
  <si>
    <t>Reducción HD 18" x 12" (450 mm x 300 mm) JH PVC</t>
  </si>
  <si>
    <t>Reducción HD 18" x 14" (450 mm x 350 mm) JH PVC</t>
  </si>
  <si>
    <t>Reducción HD 3" x 2" (75mm x 50 mm) EB</t>
  </si>
  <si>
    <t>Reducción HD 4" x 2" (100 mm x 50 mm) EB</t>
  </si>
  <si>
    <t>Reducción HD 4" x 3" (100 mm x 75 mm) EB</t>
  </si>
  <si>
    <t>Reducción HD 6" x 2" (150 mm x 50 mm) EB</t>
  </si>
  <si>
    <t>Reducción HD 6" x 3" (150 mm x 75 mm) EB</t>
  </si>
  <si>
    <t>Reducción HD 6" x 4" (150 mm x 100 mm) EB</t>
  </si>
  <si>
    <t>Reducción HD 8" x 2" (200 mm x 50 mm) EB</t>
  </si>
  <si>
    <t>Reducción HD 8" x 3" (200 mm x 75 mm) EB</t>
  </si>
  <si>
    <t>Reducción HD 8" x 4" (200 mm x 100 mm) EB</t>
  </si>
  <si>
    <t>ReducciónHD 8" x 6" (200 mm x 150 mm) EB</t>
  </si>
  <si>
    <t>Reducción HD 10" x 2" (250 mm x 50 mm) EB</t>
  </si>
  <si>
    <t>Reducción HD 10" x 3" (250 mm x 75 mm) EB</t>
  </si>
  <si>
    <t>Reducción HD 10" x 4" (250 mm x 100 mm) EB</t>
  </si>
  <si>
    <t>Reducción HD 10" x 6" (250 mm x 150 mm) EB</t>
  </si>
  <si>
    <t>Reducción HD 10" x 8" (250 mm x 200 mm) EB</t>
  </si>
  <si>
    <t>Reducción HD 12" x 3" (300 mm x 75 mm) EB</t>
  </si>
  <si>
    <t>Reducción HD 12" x 4" (300 mm x 100 mm) EB</t>
  </si>
  <si>
    <t>Reducción HD 12" x 6" (300 mm x 150 mm) EB</t>
  </si>
  <si>
    <t>Reducción HD 12" x 8" (300 mm x 200 mm) EB</t>
  </si>
  <si>
    <t>Reducción HD 12" x 10" (300 mm x 250 mm) EB</t>
  </si>
  <si>
    <t>Reduccion HD 14" x 3" (350 mm x 75 mm) EB</t>
  </si>
  <si>
    <t>Reducción HD 14" x 4" (350 mm x 100 mm) EB</t>
  </si>
  <si>
    <t>Reducción HD 14" x 6" (350 mm x 150 mm) EB</t>
  </si>
  <si>
    <t>Reducción HD 14" x 8" (350 mm x 200 mm) EB</t>
  </si>
  <si>
    <t>Reducción HD 14" x 10" (350 mm x 250 mm) EB</t>
  </si>
  <si>
    <t>Reducción HD 14" x 12" (350 mm x 300 mm) EB</t>
  </si>
  <si>
    <t>Reducción HD 16" x 4" (400 mm x 100 mm) EB</t>
  </si>
  <si>
    <t>Reducción HD 16" x 6" (400 mm x 150 mm) EB</t>
  </si>
  <si>
    <t>Reducción HD 16" x 8" (400 mm x 200 mm) EB</t>
  </si>
  <si>
    <t>Reducción HD 16" x 10" (400 mm x 250 mm) EB</t>
  </si>
  <si>
    <t>Reducción HD 16" x 12" (400 mm x 300 mm) EB</t>
  </si>
  <si>
    <t>Reducción HD 16" x 14" (400 mm x 350 mm) EB</t>
  </si>
  <si>
    <t>Reducción HD 18" x 6" (450 mm x 150 mm) EB</t>
  </si>
  <si>
    <t>Reducción HD 18" x 8" (450 mm x 200 mm) EB</t>
  </si>
  <si>
    <t>Reducción HD 18" x 10" (450 mm x 250 mm) EB</t>
  </si>
  <si>
    <t>Reducción HD 18" x 12" (450 mm x 300 mm) EB</t>
  </si>
  <si>
    <t>Reducción HD 18" x 14" (450 mm x 350 mm) EB</t>
  </si>
  <si>
    <t>Reducción HD 18" x 16" (450 mm x 400 mm) EB</t>
  </si>
  <si>
    <t>Reducción HD 20" x 8" (500 mm x 200 mm) EB</t>
  </si>
  <si>
    <t>Reducción HD 20" x 10" (500 mm x 250 mm) EB</t>
  </si>
  <si>
    <t>Reducción HD 20" x 12" (500 mm x 300 mm) EB</t>
  </si>
  <si>
    <t>Reducci{on HD 20" x 14" (500 mm x 350 mm) EB</t>
  </si>
  <si>
    <t>Reducción HD 20" x 16" (500 mm x 400 mm) EB</t>
  </si>
  <si>
    <t>Reducción HD 20" x 18" (500 mm x 450 mm) EB</t>
  </si>
  <si>
    <t>Reducción HD 24" x 8" (600 mm x 200 mm) EB</t>
  </si>
  <si>
    <t>Reducción HD 24" x 10" (600 mm x 250 mm) EB</t>
  </si>
  <si>
    <t>Reducción HD 24" x 12" (600 mm x 300 mm) EB</t>
  </si>
  <si>
    <t>Reducción HD 24" x 14" (600 mm x 350 mm) EB</t>
  </si>
  <si>
    <t>Reducción HD 24" x 16" (600 mm x 400 mm) EB</t>
  </si>
  <si>
    <t>Reducción HD 24" x 18" (600 mm x 450 mm) EB</t>
  </si>
  <si>
    <t>Reducción HD 24" x 20" (600 mm x 500 mm) EB</t>
  </si>
  <si>
    <t xml:space="preserve">Reducciones HD concentricas Extremos Bridas </t>
  </si>
  <si>
    <t>6.15.2.3</t>
  </si>
  <si>
    <t>6.15.2.3.1</t>
  </si>
  <si>
    <t>6.15.2.3.2</t>
  </si>
  <si>
    <t>6.15.2.3.3</t>
  </si>
  <si>
    <t>6.15.2.3.4</t>
  </si>
  <si>
    <t>6.15.2.3.5</t>
  </si>
  <si>
    <t>6.15.2.3.6</t>
  </si>
  <si>
    <t>6.15.2.3.7</t>
  </si>
  <si>
    <t>6.15.2.3.8</t>
  </si>
  <si>
    <t>6.15.2.3.9</t>
  </si>
  <si>
    <t>6.15.2.3.10</t>
  </si>
  <si>
    <t>6.15.2.3.11</t>
  </si>
  <si>
    <t>6.15.2.3.12</t>
  </si>
  <si>
    <t>6.15.2.3.13</t>
  </si>
  <si>
    <t>6.15.2.3.14</t>
  </si>
  <si>
    <t>6.15.2.3.15</t>
  </si>
  <si>
    <t>6.15.2.3.16</t>
  </si>
  <si>
    <t>6.15.2.3.17</t>
  </si>
  <si>
    <t>6.15.2.3.18</t>
  </si>
  <si>
    <t>6.15.2.3.19</t>
  </si>
  <si>
    <t>6.15.2.3.20</t>
  </si>
  <si>
    <t>6.15.2.3.21</t>
  </si>
  <si>
    <t>6.15.2.3.22</t>
  </si>
  <si>
    <t>6.15.2.3.23</t>
  </si>
  <si>
    <t>6.15.2.3.24</t>
  </si>
  <si>
    <t>6.15.2.3.25</t>
  </si>
  <si>
    <t>6.15.2.3.26</t>
  </si>
  <si>
    <t>6.15.2.3.27</t>
  </si>
  <si>
    <t>6.15.2.3.28</t>
  </si>
  <si>
    <t>6.15.2.3.29</t>
  </si>
  <si>
    <t>6.15.2.3.30</t>
  </si>
  <si>
    <t>6.15.2.3.31</t>
  </si>
  <si>
    <t>6.15.2.3.32</t>
  </si>
  <si>
    <t>6.15.2.3.33</t>
  </si>
  <si>
    <t>6.15.2.3.34</t>
  </si>
  <si>
    <t>6.15.2.3.35</t>
  </si>
  <si>
    <t>6.15.2.3.36</t>
  </si>
  <si>
    <t>6.15.2.3.37</t>
  </si>
  <si>
    <t>6.15.2.3.38</t>
  </si>
  <si>
    <t>6.15.2.3.39</t>
  </si>
  <si>
    <t>6.15.2.3.40</t>
  </si>
  <si>
    <t>6.15.2.3.41</t>
  </si>
  <si>
    <t>6.15.2.3.42</t>
  </si>
  <si>
    <t>6.15.2.3.43</t>
  </si>
  <si>
    <t>6.15.2.3.44</t>
  </si>
  <si>
    <t>6.15.2.3.45</t>
  </si>
  <si>
    <t>6.15.2.3.46</t>
  </si>
  <si>
    <t>6.15.2.3.47</t>
  </si>
  <si>
    <t>6.15.2.3.48</t>
  </si>
  <si>
    <t>6.15.2.3.49</t>
  </si>
  <si>
    <t>6.15.2.3.50</t>
  </si>
  <si>
    <t>6.15.2.3.51</t>
  </si>
  <si>
    <t>6.15.2.4</t>
  </si>
  <si>
    <t>Reducciones Excentriucas Extremo Bridas</t>
  </si>
  <si>
    <t>Reducción HD 6" x 2 1/2" (150 mm x 63 mm) EB</t>
  </si>
  <si>
    <t>6.15.2.4.1</t>
  </si>
  <si>
    <t>6.15.2.4.2</t>
  </si>
  <si>
    <t>6.15.2.4.3</t>
  </si>
  <si>
    <t>6.15.2.4.4</t>
  </si>
  <si>
    <t>6.15.2.4.5</t>
  </si>
  <si>
    <t>6.15.2.4.6</t>
  </si>
  <si>
    <t>6.15.2.4.7</t>
  </si>
  <si>
    <t>6.15.2.4.8</t>
  </si>
  <si>
    <t>6.15.2.4.9</t>
  </si>
  <si>
    <t>6.15.2.4.10</t>
  </si>
  <si>
    <t>6.15.2.4.11</t>
  </si>
  <si>
    <t>6.15.2.4.12</t>
  </si>
  <si>
    <t>6.15.2.4.13</t>
  </si>
  <si>
    <t>6.15.2.4.14</t>
  </si>
  <si>
    <t>6.15.2.4.15</t>
  </si>
  <si>
    <t>6.15.2.4.16</t>
  </si>
  <si>
    <t>6.15.2.4.17</t>
  </si>
  <si>
    <t>6.15.2.4.18</t>
  </si>
  <si>
    <t>CODOS HD</t>
  </si>
  <si>
    <t>3.15.3.1</t>
  </si>
  <si>
    <t>3.15.3.1.1</t>
  </si>
  <si>
    <t>Codo HD 24" (600mm)</t>
  </si>
  <si>
    <t>Codo HD 4" (100 mm)</t>
  </si>
  <si>
    <t>Codo HD 2" (50 mm)</t>
  </si>
  <si>
    <t>Codo HD 3" (75 mm)</t>
  </si>
  <si>
    <t>Codo HD 8" (200 mm)</t>
  </si>
  <si>
    <t>Codo HD 6" (150 mm)</t>
  </si>
  <si>
    <t>Codo HD 10" (250 mm)</t>
  </si>
  <si>
    <t>Codo HD 12" (300 mm)</t>
  </si>
  <si>
    <t>Codo HD 14" (350 mm)</t>
  </si>
  <si>
    <t>Codo HD 16" (400 mm)</t>
  </si>
  <si>
    <t>Codo HD 18" (450 mm)</t>
  </si>
  <si>
    <t>Codo HD 20" (500 mm)</t>
  </si>
  <si>
    <t>3.15.3.1.2</t>
  </si>
  <si>
    <t>3.15.3.1.3</t>
  </si>
  <si>
    <t>3.15.3.1.4</t>
  </si>
  <si>
    <t>3.15.3.1.5</t>
  </si>
  <si>
    <t>3.15.3.1.6</t>
  </si>
  <si>
    <t>3.15.3.1.7</t>
  </si>
  <si>
    <t>3.15.3.1.8</t>
  </si>
  <si>
    <t>3.15.3.1.9</t>
  </si>
  <si>
    <t>3.15.3.1.10</t>
  </si>
  <si>
    <t>3.15.3.1.11</t>
  </si>
  <si>
    <t>3.15.3.1.12</t>
  </si>
  <si>
    <t>3.15.3.2</t>
  </si>
  <si>
    <t>3.15.3.2.1</t>
  </si>
  <si>
    <t>3.15.3.2.2</t>
  </si>
  <si>
    <t>3.15.3.2.3</t>
  </si>
  <si>
    <t>3.15.3.2.4</t>
  </si>
  <si>
    <t>3.15.3.2.5</t>
  </si>
  <si>
    <t>3.15.3.2.6</t>
  </si>
  <si>
    <t>3.15.3.2.7</t>
  </si>
  <si>
    <t>3.15.3.2.8</t>
  </si>
  <si>
    <t>3.15.3.2.9</t>
  </si>
  <si>
    <t>3.15.3.2.10</t>
  </si>
  <si>
    <t>3.15.3.2.11</t>
  </si>
  <si>
    <t>3.15.3.2.12</t>
  </si>
  <si>
    <t>Codos HD 90° Extremo Liso</t>
  </si>
  <si>
    <t>Codos HD 45° Extremo Liso</t>
  </si>
  <si>
    <t>Codos HD 22,5° Extremo Liso</t>
  </si>
  <si>
    <t>3.15.3.3.1</t>
  </si>
  <si>
    <t>3.15.3.3.2</t>
  </si>
  <si>
    <t>3.15.3.3.3</t>
  </si>
  <si>
    <t>3.15.3.3.4</t>
  </si>
  <si>
    <t>3.15.3.3.5</t>
  </si>
  <si>
    <t>3.15.3.3.6</t>
  </si>
  <si>
    <t>3.15.3.3.8</t>
  </si>
  <si>
    <t>3.15.3.3.9</t>
  </si>
  <si>
    <t>3.15.3.3.10</t>
  </si>
  <si>
    <t>3.15.3.3.11</t>
  </si>
  <si>
    <t>3.15.3.3.12</t>
  </si>
  <si>
    <t>3.15.3.4.1</t>
  </si>
  <si>
    <t>3.15.3.4.2</t>
  </si>
  <si>
    <t>3.15.3.4.3</t>
  </si>
  <si>
    <t>3.15.3.4.4</t>
  </si>
  <si>
    <t>3.15.3.4.5</t>
  </si>
  <si>
    <t>3.15.3.4.6</t>
  </si>
  <si>
    <t>3.15.3.4.7</t>
  </si>
  <si>
    <t>3.15.3.4.8</t>
  </si>
  <si>
    <t>3.15.3.4.9</t>
  </si>
  <si>
    <t>3.15.3.4.10</t>
  </si>
  <si>
    <t>3.15.3.4.11</t>
  </si>
  <si>
    <t>Codos HD 11,25° Extremo Liso</t>
  </si>
  <si>
    <t>3.15.3.4.12</t>
  </si>
  <si>
    <t>Codos HD 90° JH PVC</t>
  </si>
  <si>
    <t>Codos HD 45° JH PVC</t>
  </si>
  <si>
    <t>Codos HD 22,5° JH PVC</t>
  </si>
  <si>
    <t>Codos HD 11,25° JH PVC</t>
  </si>
  <si>
    <t>3.15.3.5</t>
  </si>
  <si>
    <t>3.15.3.5.1</t>
  </si>
  <si>
    <t>3.15.3.5.2</t>
  </si>
  <si>
    <t>3.15.3.5.3</t>
  </si>
  <si>
    <t>3.15.3.5.4</t>
  </si>
  <si>
    <t>3.15.3.5.5</t>
  </si>
  <si>
    <t>3.15.3.5.6</t>
  </si>
  <si>
    <t>3.15.3.5.7</t>
  </si>
  <si>
    <t>3.15.3.5.8</t>
  </si>
  <si>
    <t>3.15.3.5.9</t>
  </si>
  <si>
    <t>3.15.3.5.10</t>
  </si>
  <si>
    <t>3.15.3.5.11</t>
  </si>
  <si>
    <t>3.15.3.5.12</t>
  </si>
  <si>
    <t>3.15.3.6</t>
  </si>
  <si>
    <t>3.15.3.6.1</t>
  </si>
  <si>
    <t>3.15.3.6.2</t>
  </si>
  <si>
    <t>3.15.3.6.3</t>
  </si>
  <si>
    <t>3.15.3.6.4</t>
  </si>
  <si>
    <t>3.15.3.6.5</t>
  </si>
  <si>
    <t>3.15.3.6.8</t>
  </si>
  <si>
    <t>3.15.3.6.9</t>
  </si>
  <si>
    <t>3.15.3.6.10</t>
  </si>
  <si>
    <t>3.15.3.6.11</t>
  </si>
  <si>
    <t>3.15.3.6.12</t>
  </si>
  <si>
    <t>3.15.3.7.1</t>
  </si>
  <si>
    <t>3.15.3.7.2</t>
  </si>
  <si>
    <t>3.15.3.7.3</t>
  </si>
  <si>
    <t>3.15.3.7.4</t>
  </si>
  <si>
    <t>3.15.3.7.5</t>
  </si>
  <si>
    <t>3.15.3.7.6</t>
  </si>
  <si>
    <t>3.15.3.7.8</t>
  </si>
  <si>
    <t>3.15.3.7.9</t>
  </si>
  <si>
    <t>3.15.3.7.10</t>
  </si>
  <si>
    <t>3.15.3.7.11</t>
  </si>
  <si>
    <t>3.15.3.7.12</t>
  </si>
  <si>
    <t>3.15.3.8.1</t>
  </si>
  <si>
    <t>3.15.3.8.2</t>
  </si>
  <si>
    <t>3.15.3.8.3</t>
  </si>
  <si>
    <t>3.15.3.8.4</t>
  </si>
  <si>
    <t>3.15.3.8.5</t>
  </si>
  <si>
    <t>3.15.3.8.6</t>
  </si>
  <si>
    <t>3.15.3.8.8</t>
  </si>
  <si>
    <t>3.15.3.8.9</t>
  </si>
  <si>
    <t>3.15.3.8.10</t>
  </si>
  <si>
    <t>3.15.3.8.11</t>
  </si>
  <si>
    <t>3.15.3.8.12</t>
  </si>
  <si>
    <t>3.15.3.9.3</t>
  </si>
  <si>
    <t>3.15.3.9.4</t>
  </si>
  <si>
    <t>3.15.3.9.5</t>
  </si>
  <si>
    <t>3.15.3.9.6</t>
  </si>
  <si>
    <t>3.15.3.9.7</t>
  </si>
  <si>
    <t>3.15.3.9.8</t>
  </si>
  <si>
    <t>3.15.3.9.9</t>
  </si>
  <si>
    <t>3.15.3.9.10</t>
  </si>
  <si>
    <t>3.15.3.9.11</t>
  </si>
  <si>
    <t>3.15.3.9.12</t>
  </si>
  <si>
    <t>Codos HD 90° Extremo Brida</t>
  </si>
  <si>
    <t>Codos HD 45° Extremo Brida</t>
  </si>
  <si>
    <t>3.15.3.10.2</t>
  </si>
  <si>
    <t>3.15.3.10.3</t>
  </si>
  <si>
    <t>3.15.3.10.4</t>
  </si>
  <si>
    <t>3.15.3.10.5</t>
  </si>
  <si>
    <t>3.15.3.10.6</t>
  </si>
  <si>
    <t>3.15.3.10.7</t>
  </si>
  <si>
    <t>3.15.3.10.8</t>
  </si>
  <si>
    <t>3.15.3.10.9</t>
  </si>
  <si>
    <t>3.15.3.10.10</t>
  </si>
  <si>
    <t>3.15.3.10.11</t>
  </si>
  <si>
    <t>3.15.3.10.12</t>
  </si>
  <si>
    <t>3.15.3.11</t>
  </si>
  <si>
    <t>3.15.3.11.1</t>
  </si>
  <si>
    <t>Codos HD 22,5° Extremo Brida</t>
  </si>
  <si>
    <t>3.15.3.11.2</t>
  </si>
  <si>
    <t>3.15.3.11.3</t>
  </si>
  <si>
    <t>3.15.3.11.4</t>
  </si>
  <si>
    <t>3.15.3.11.5</t>
  </si>
  <si>
    <t>3.15.3.11.6</t>
  </si>
  <si>
    <t>3.15.3.11.7</t>
  </si>
  <si>
    <t>3.15.3.11.8</t>
  </si>
  <si>
    <t>3.15.3.11.9</t>
  </si>
  <si>
    <t>3.15.3.11.10</t>
  </si>
  <si>
    <t>3.15.3.11.11</t>
  </si>
  <si>
    <t>3.15.3.11.12</t>
  </si>
  <si>
    <t>3.15.3.12</t>
  </si>
  <si>
    <t>3.15.3.12.1</t>
  </si>
  <si>
    <t>Codos HD 11,25° Extremo Brida</t>
  </si>
  <si>
    <t>3.15.3.12.2</t>
  </si>
  <si>
    <t>3.15.3.12.3</t>
  </si>
  <si>
    <t>3.15.3.12.4</t>
  </si>
  <si>
    <t>3.15.3.12.5</t>
  </si>
  <si>
    <t>3.15.3.12.6</t>
  </si>
  <si>
    <t>3.15.3.12.7</t>
  </si>
  <si>
    <t>3.15.3.12.8</t>
  </si>
  <si>
    <t>3.15.3.12.9</t>
  </si>
  <si>
    <t>3.15.3.12.10</t>
  </si>
  <si>
    <t>3.15.3.12.11</t>
  </si>
  <si>
    <t>3.15.3.12.12</t>
  </si>
  <si>
    <t>3.15.4</t>
  </si>
  <si>
    <t>CRUCES HD</t>
  </si>
  <si>
    <t>3.15.4.1</t>
  </si>
  <si>
    <t>Cruces HD Extremos Lisos</t>
  </si>
  <si>
    <t>Cruz HD 2" x 2" (50 mm x 50 mm) EL</t>
  </si>
  <si>
    <t>Cruz HD 3" x 2" (75mm x 50 mm) EL</t>
  </si>
  <si>
    <t>Cruz HD 3" x 3" (75 mm x 75 mm) EL</t>
  </si>
  <si>
    <t>Cruz HD 4" x 2" (100 mm x 50 mm) EL</t>
  </si>
  <si>
    <t>Cruz HD 4" x 3" (100 mm x 75 mm) EL</t>
  </si>
  <si>
    <t>Cruz HD 4" x 4" (100 mm x 100 mm) EL</t>
  </si>
  <si>
    <t>Cruz HD 6" x 2" (150 mm x 50 mm) EL</t>
  </si>
  <si>
    <t>Cruz HD 6" x 3" (150 mm x 75 mm) EL</t>
  </si>
  <si>
    <t>Cruz HD 6" x 4" (150 mm x 100 mm) EL</t>
  </si>
  <si>
    <t>Cruz HD 6" x 6" (150 mm x 150 mm) EL</t>
  </si>
  <si>
    <t>Cruz HD 8" x 3" (200 mm x 75 mm) EL</t>
  </si>
  <si>
    <t>Cruz HD 8" x 4" (200 mm x 100 mm) EL</t>
  </si>
  <si>
    <t>Cruz HD 8" x 6" (200 mm x 150 mm) EL</t>
  </si>
  <si>
    <t>Cruz HD 8" x 8" (200 mm x 200 mm) EL</t>
  </si>
  <si>
    <t>Cruz HD 10" x 3" (250 mm x 75 mm) EL</t>
  </si>
  <si>
    <t>Cruz HD 10" x 4" (250 mm x 100 mm) EL</t>
  </si>
  <si>
    <t>Cruz HD 10" x 6" (250 mm x 150 mm) EL</t>
  </si>
  <si>
    <t>Cruz HD 10" x 8" (250 mm x 200 mm) EL</t>
  </si>
  <si>
    <t>Cruz HD 10" x 10" (250 mm x 250 mm) EL</t>
  </si>
  <si>
    <t>Cruz HD 12" x 3" (300 mm x 75 mm) EL</t>
  </si>
  <si>
    <t>Cruz HD 12" x 4" (300 mm x 100 mm) EL</t>
  </si>
  <si>
    <t>Cruz HD 12" x 6" (300 mm x 150 mm) EL</t>
  </si>
  <si>
    <t>Cruz HD 12" x 8" (300 mm x 200 mm) EL</t>
  </si>
  <si>
    <t>Cruz HD 12" x 10" (300 mm x 250 mm) EL</t>
  </si>
  <si>
    <t>Cruz HD 12" x 12" (300 mm x 300 mm) EL</t>
  </si>
  <si>
    <t>Cruz HD 14" x 3" (350 mm x 75 mm) EL</t>
  </si>
  <si>
    <t>Cruz HD 14" x 4" (350 mm x 100 mm) EL</t>
  </si>
  <si>
    <t>Cruz HD 14" x 6" (350 mm x 150 mm) EL</t>
  </si>
  <si>
    <t>Cruz HD 14" x 8" (350 mm x 200 mm) EL</t>
  </si>
  <si>
    <t>Cruz HD 14" x 10" (350 mm x 250 mm) EL</t>
  </si>
  <si>
    <t>Cruz HD 14" x 12" (350 mm x 300 mm) EL</t>
  </si>
  <si>
    <t>Cruz HD 14" x 14" (350 mm x 350 mm) EL</t>
  </si>
  <si>
    <t>Cruz HD 16" x 4" (400 mm x 100 mm) EL</t>
  </si>
  <si>
    <t>Cruz HD 16" x 6" (400 mm x 150 mm) EL</t>
  </si>
  <si>
    <t>Cruz HD 16" x 8" (400 mm x 200 mm) EL</t>
  </si>
  <si>
    <t>Cruz HD 16" x 10" (400 mm x 250 mm) EL</t>
  </si>
  <si>
    <t>Cruz HD 16" x 12" (400 mm x 300 mm) EL</t>
  </si>
  <si>
    <t>Cruz HD 16" x 14" (400 mm x 350 mm) EL</t>
  </si>
  <si>
    <t>Cruz HD 16" x 16" (400 mm x 400 mm) EL</t>
  </si>
  <si>
    <t>Cruz HD 18" x 8" (450 mm x 200 mm) EL</t>
  </si>
  <si>
    <t>Cruz HD 18" x 12" (450 mm x 300 mm) EL</t>
  </si>
  <si>
    <t>Cruz HD 18" x 14" (450 mm x 350 mm) EL</t>
  </si>
  <si>
    <t>Cruz HD 18" x 16" (450 mm x 400 mm) EL</t>
  </si>
  <si>
    <t>Cruz HD 18" x 18" (450 mm x 450 mm) EL</t>
  </si>
  <si>
    <t>Cruz HD 20" x 8" (500 mm x 200 mm) EL</t>
  </si>
  <si>
    <t>Cruz HD 20" x 10" (500 mm x 250 mm) EL</t>
  </si>
  <si>
    <t>Cruz HD 20" x 12" (500 mm x 300 mm) EL</t>
  </si>
  <si>
    <t>Cruz HD 20" x 14" (500 mm x 350 mm) EL</t>
  </si>
  <si>
    <t>Cruz HD 20" x 16" (500 mm x 400 mm) EL</t>
  </si>
  <si>
    <t>Cruz HD 18" x 10" (450 mm x 250 mm) EL</t>
  </si>
  <si>
    <t>Cruz HD 20" x 18" (500 mm x 450 mm) EL</t>
  </si>
  <si>
    <t>Cruz HD 20" x 20" (500 mm x 500 mm) EL</t>
  </si>
  <si>
    <t>Cruz HD 24" x 8" (600 mm x 200 mm) EL</t>
  </si>
  <si>
    <t>Cruz HD 24" x 10" (600 mm x 250 mm) EL</t>
  </si>
  <si>
    <t>Cruz HD 24" x 12" (600 mm x 300 mm) EL</t>
  </si>
  <si>
    <t>Cruz HD 24" x 14" (600 mm x 350 mm) EL</t>
  </si>
  <si>
    <t>Cruz HD 24" x 16" (600 mm x 400 mm) EL</t>
  </si>
  <si>
    <t>Cruz HD 24" x 18" (600 mm x 450 mm) EL</t>
  </si>
  <si>
    <t>Cruz HD 24" x 20" (600 mm x 500 mm) EL</t>
  </si>
  <si>
    <t>Cruz HD 24" x 24" (600 mm x 600 mm) EL</t>
  </si>
  <si>
    <t>Cruces HD Junta Hidráulica PVC</t>
  </si>
  <si>
    <t>3.15.4.1.1</t>
  </si>
  <si>
    <t>3.15.4.1.2</t>
  </si>
  <si>
    <t>3.15.4.1.3</t>
  </si>
  <si>
    <t>3.15.4.1.4</t>
  </si>
  <si>
    <t>3.15.4.1.5</t>
  </si>
  <si>
    <t>3.15.4.1.6</t>
  </si>
  <si>
    <t>3.15.4.1.7</t>
  </si>
  <si>
    <t>3.15.4.1.8</t>
  </si>
  <si>
    <t>3.15.4.1.9</t>
  </si>
  <si>
    <t>3.15.4.1.10</t>
  </si>
  <si>
    <t>3.15.4.1.11</t>
  </si>
  <si>
    <t>3.15.4.1.12</t>
  </si>
  <si>
    <t>3.15.4.1.13</t>
  </si>
  <si>
    <t>3.15.4.1.14</t>
  </si>
  <si>
    <t>3.15.4.1.15</t>
  </si>
  <si>
    <t>3.15.4.1.16</t>
  </si>
  <si>
    <t>3.15.4.1.17</t>
  </si>
  <si>
    <t>3.15.4.1.18</t>
  </si>
  <si>
    <t>3.15.4.1.19</t>
  </si>
  <si>
    <t>3.15.4.1.20</t>
  </si>
  <si>
    <t>3.15.4.1.21</t>
  </si>
  <si>
    <t>3.15.4.1.22</t>
  </si>
  <si>
    <t>3.15.4.1.23</t>
  </si>
  <si>
    <t>3.15.4.1.24</t>
  </si>
  <si>
    <t>3.15.4.1.25</t>
  </si>
  <si>
    <t>3.15.4.1.26</t>
  </si>
  <si>
    <t>3.15.4.1.27</t>
  </si>
  <si>
    <t>3.15.4.1.28</t>
  </si>
  <si>
    <t>3.15.4.1.29</t>
  </si>
  <si>
    <t>3.15.4.1.30</t>
  </si>
  <si>
    <t>3.15.4.1.31</t>
  </si>
  <si>
    <t>3.15.4.1.32</t>
  </si>
  <si>
    <t>3.15.4.1.33</t>
  </si>
  <si>
    <t>3.15.4.1.34</t>
  </si>
  <si>
    <t>3.15.4.1.35</t>
  </si>
  <si>
    <t>3.15.4.1.36</t>
  </si>
  <si>
    <t>3.15.4.1.37</t>
  </si>
  <si>
    <t>3.15.4.1.38</t>
  </si>
  <si>
    <t>3.15.4.1.39</t>
  </si>
  <si>
    <t>3.15.4.1.40</t>
  </si>
  <si>
    <t>3.15.4.1.41</t>
  </si>
  <si>
    <t>3.15.4.1.42</t>
  </si>
  <si>
    <t>3.15.4.1.43</t>
  </si>
  <si>
    <t>3.15.4.1.44</t>
  </si>
  <si>
    <t>3.15.4.1.45</t>
  </si>
  <si>
    <t>3.15.4.1.46</t>
  </si>
  <si>
    <t>3.15.4.1.47</t>
  </si>
  <si>
    <t>3.15.4.1.48</t>
  </si>
  <si>
    <t>3.15.4.1.49</t>
  </si>
  <si>
    <t>3.15.4.1.50</t>
  </si>
  <si>
    <t>3.15.4.1.51</t>
  </si>
  <si>
    <t>3.15.4.1.52</t>
  </si>
  <si>
    <t>3.15.4.1.53</t>
  </si>
  <si>
    <t>3.15.4.1.54</t>
  </si>
  <si>
    <t>3.15.4.1.55</t>
  </si>
  <si>
    <t>3.15.4.1.56</t>
  </si>
  <si>
    <t>3.15.4.1.57</t>
  </si>
  <si>
    <t>3.15.4.1.58</t>
  </si>
  <si>
    <t>3.15.4.1.59</t>
  </si>
  <si>
    <t>3.15.4.2</t>
  </si>
  <si>
    <t>3.15.4.2.1</t>
  </si>
  <si>
    <t>Cruz HD 2" x 2" (50 mm x 50 mm) JH PVC</t>
  </si>
  <si>
    <t>Cruz HD 3" x 2" (75mm x 50 mm) JH PVC</t>
  </si>
  <si>
    <t>Cruz HD 3" x 3" (75 mm x 75 mm) JH PVC</t>
  </si>
  <si>
    <t>Cruz HD 4" x 2" (100 mm x 50 mm) JH PVC</t>
  </si>
  <si>
    <t>Cruz HD 4" x 3" (100 mm x 75 mm) JH PVC</t>
  </si>
  <si>
    <t>Cruz HD 4" x 4" (100 mm x 100 mm) JH PVC</t>
  </si>
  <si>
    <t>Cruz HD 6" x 2" (150 mm x 50 mm) JH PVC</t>
  </si>
  <si>
    <t>Cruz HD 6" x 3" (150 mm x 75 mm) JH PVC</t>
  </si>
  <si>
    <t>Cruz HD 6" x 4" (150 mm x 100 mm) JH PVC</t>
  </si>
  <si>
    <t>Cruz HD 6" x 6" (150 mm x 150 mm) JH PVC</t>
  </si>
  <si>
    <t>Cruz HD 8" x 3" (200 mm x 75 mm) JH PVC</t>
  </si>
  <si>
    <t>Cruz HD 8" x 4" (200 mm x 100 mm) JH PVC</t>
  </si>
  <si>
    <t>Cruz HD 8" x 6" (200 mm x 150 mm) JH PVC</t>
  </si>
  <si>
    <t>Cruz HD 8" x 8" (200 mm x 200 mm) JH PVC</t>
  </si>
  <si>
    <t>Cruz HD 10" x 3" (250 mm x 75 mm) JH PVC</t>
  </si>
  <si>
    <t>Cruz HD 10" x 4" (250 mm x 100 mm) JH PVC</t>
  </si>
  <si>
    <t>Cruz HD 10" x 6" (250 mm x 150 mm) JH PVC</t>
  </si>
  <si>
    <t>Cruz HD 10" x 8" (250 mm x 200 mm) JH PVC</t>
  </si>
  <si>
    <t>Cruz HD 10" x 10" (250 mm x 250 mm) JH PVC</t>
  </si>
  <si>
    <t>Cruz HD 12" x 3" (300 mm x 75 mm) JH PVC</t>
  </si>
  <si>
    <t>Cruz HD 12" x 4" (300 mm x 100 mm) JH PVC</t>
  </si>
  <si>
    <t>Cruz HD 12" x 6" (300 mm x 150 mm) JH PVC</t>
  </si>
  <si>
    <t>Cruz HD 12" x 8" (300 mm x 200 mm) JH PVC</t>
  </si>
  <si>
    <t>Cruz HD 12" x 10" (300 mm x 250 mm) EJH PVC</t>
  </si>
  <si>
    <t>Cruz HD 12" x 12" (300 mm x 300 mm) JH PVC</t>
  </si>
  <si>
    <t>Cruz HD 14" x 3" (350 mm x 75 mm) JH PVC</t>
  </si>
  <si>
    <t>Cruz HD 14" x 4" (350 mm x 100 mm) JH PVC</t>
  </si>
  <si>
    <t>Cruz HD 14" x 6" (350 mm x 150 mm) JH PVC</t>
  </si>
  <si>
    <t>Cruz HD 14" x 8" (350 mm x 200 mm) JH PVC</t>
  </si>
  <si>
    <t>Cruz HD 14" x 10" (350 mm x 250 mm) JH PVC</t>
  </si>
  <si>
    <t>Cruz HD 14" x 12" (350 mm x 300 mm) JH PVC</t>
  </si>
  <si>
    <t>Cruz HD 14" x 14" (350 mm x 350 mm) JH PVC</t>
  </si>
  <si>
    <t>Cruz HD 16" x 4" (400 mm x 100 mm) JH PVC</t>
  </si>
  <si>
    <t>Cruz HD 16" x 6" (400 mm x 150 mm) JH PVC</t>
  </si>
  <si>
    <t>Cruz HD 16" x 8" (400 mm x 200 mm) JH PVC</t>
  </si>
  <si>
    <t>Cruz HD 16" x 10" (400 mm x 250 mm) JH PVC</t>
  </si>
  <si>
    <t>Cruz HD 16" x 12" (400 mm x 300 mm) JH PVC</t>
  </si>
  <si>
    <t>Cruz HD 16" x 14" (400 mm x 350 mm) EJH PVC</t>
  </si>
  <si>
    <t>Cruz HD 16" x 16" (400 mm x 400 mm) JH PVC</t>
  </si>
  <si>
    <t>Cruz HD 18" x 8" (450 mm x 200 mm) JH PVC</t>
  </si>
  <si>
    <t>Cruz HD 18" x 10" (450 mm x 250 mm) JH PVC</t>
  </si>
  <si>
    <t>Cruz HD 18" x 12" (450 mm x 300 mm) JH PVC</t>
  </si>
  <si>
    <t>Cruz HD 20" x 8" (500 mm x 200 mm) JH PVC</t>
  </si>
  <si>
    <t>Cruz HD 24" x 8" (600 mm x 200 mm) JH PVC</t>
  </si>
  <si>
    <t>Cruz HD 18" x 14" (450 mm x 350 mm) JH PVC</t>
  </si>
  <si>
    <t>Cruz HD 18" x 16" (450 mm x 400 mm) JH PVC</t>
  </si>
  <si>
    <t>Cruz HD 18" x 18" (450 mm x 450 mm) JH PVC</t>
  </si>
  <si>
    <t>Cruz HD 20" x 10" (500 mm x 250 mm) JH PVC</t>
  </si>
  <si>
    <t>Cruz HD 20" x 12" (500 mm x 300 mm) JH PVC</t>
  </si>
  <si>
    <t>Cruz HD 20" x 14" (500 mm x 350 mm) JH PVC</t>
  </si>
  <si>
    <t>Cruz HD 20" x 16" (500 mm x 400 mm) JH PVC</t>
  </si>
  <si>
    <t>Cruz HD 20" x 18" (500 mm x 450 mm) JH PVC</t>
  </si>
  <si>
    <t>Cruz HD 20" x 20" (500 mm x 500 mm) JH PVC</t>
  </si>
  <si>
    <t>Cruz HD 24" x 10" (600 mm x 250 mm) JH PVC</t>
  </si>
  <si>
    <t>Cruz HD 24" x 12" (600 mm x 300 mm) JH PVC</t>
  </si>
  <si>
    <t>Cruz HD 24" x 14" (600 mm x 350 mm) JH PVC</t>
  </si>
  <si>
    <t>Cruz HD 24" x 16" (600 mm x 400 mm) JH PVC</t>
  </si>
  <si>
    <t>Cruz HD 24" x 18" (600 mm x 450 mm) JH PVC</t>
  </si>
  <si>
    <t>Cruz HD 24" x 20" (600 mm x 500 mm) JH PVC</t>
  </si>
  <si>
    <t>Cruz HD 24" x 24" (600 mm x 600 mm) JH PVC</t>
  </si>
  <si>
    <t>3.15.4.2.2</t>
  </si>
  <si>
    <t>3.15.4.2.3</t>
  </si>
  <si>
    <t>3.15.4.2.4</t>
  </si>
  <si>
    <t>3.15.4.2.5</t>
  </si>
  <si>
    <t>3.15.4.2.6</t>
  </si>
  <si>
    <t>3.15.4.2.7</t>
  </si>
  <si>
    <t>3.15.4.2.8</t>
  </si>
  <si>
    <t>3.15.4.2.9</t>
  </si>
  <si>
    <t>3.15.4.2.10</t>
  </si>
  <si>
    <t>3.15.4.2.11</t>
  </si>
  <si>
    <t>3.15.4.2.12</t>
  </si>
  <si>
    <t>3.15.4.2.13</t>
  </si>
  <si>
    <t>3.15.4.2.14</t>
  </si>
  <si>
    <t>3.15.4.2.15</t>
  </si>
  <si>
    <t>3.15.4.2.16</t>
  </si>
  <si>
    <t>3.15.4.2.17</t>
  </si>
  <si>
    <t>3.15.4.2.18</t>
  </si>
  <si>
    <t>3.15.4.2.19</t>
  </si>
  <si>
    <t>3.15.4.2.20</t>
  </si>
  <si>
    <t>3.15.4.2.21</t>
  </si>
  <si>
    <t>3.15.4.2.22</t>
  </si>
  <si>
    <t>3.15.4.2.23</t>
  </si>
  <si>
    <t>3.15.4.2.24</t>
  </si>
  <si>
    <t>3.15.4.2.25</t>
  </si>
  <si>
    <t>3.15.4.2.26</t>
  </si>
  <si>
    <t>3.15.4.2.27</t>
  </si>
  <si>
    <t>3.15.4.2.28</t>
  </si>
  <si>
    <t>3.15.4.2.29</t>
  </si>
  <si>
    <t>3.15.4.2.30</t>
  </si>
  <si>
    <t>3.15.4.2.31</t>
  </si>
  <si>
    <t>3.15.4.2.32</t>
  </si>
  <si>
    <t>3.15.4.2.33</t>
  </si>
  <si>
    <t>3.15.4.2.34</t>
  </si>
  <si>
    <t>3.15.4.2.35</t>
  </si>
  <si>
    <t>3.15.4.2.36</t>
  </si>
  <si>
    <t>3.15.4.2.37</t>
  </si>
  <si>
    <t>3.15.4.2.38</t>
  </si>
  <si>
    <t>3.15.4.2.39</t>
  </si>
  <si>
    <t>3.15.4.2.40</t>
  </si>
  <si>
    <t>3.15.4.2.41</t>
  </si>
  <si>
    <t>3.15.4.2.42</t>
  </si>
  <si>
    <t>3.15.4.2.43</t>
  </si>
  <si>
    <t>3.15.4.2.44</t>
  </si>
  <si>
    <t>3.15.4.2.45</t>
  </si>
  <si>
    <t>3.15.4.2.46</t>
  </si>
  <si>
    <t>3.15.4.2.47</t>
  </si>
  <si>
    <t>3.15.4.2.48</t>
  </si>
  <si>
    <t>3.15.4.2.49</t>
  </si>
  <si>
    <t>3.15.4.2.50</t>
  </si>
  <si>
    <t>3.15.4.2.51</t>
  </si>
  <si>
    <t>3.15.4.2.52</t>
  </si>
  <si>
    <t>3.15.4.2.53</t>
  </si>
  <si>
    <t>3.15.4.2.54</t>
  </si>
  <si>
    <t>3.15.4.2.55</t>
  </si>
  <si>
    <t>3.15.4.2.56</t>
  </si>
  <si>
    <t>3.15.4.2.57</t>
  </si>
  <si>
    <t>3.15.4.2.58</t>
  </si>
  <si>
    <t>3.15.4.2.59</t>
  </si>
  <si>
    <t>3.15.4.2.60</t>
  </si>
  <si>
    <t>3.15.4.1.60</t>
  </si>
  <si>
    <t>Cruces HD Extremos BRIDAS</t>
  </si>
  <si>
    <t>Cruz HD 2" x 2" (50 mm x 50 mm) EB</t>
  </si>
  <si>
    <t>3.15.4.3</t>
  </si>
  <si>
    <t>3.15.4.3.3</t>
  </si>
  <si>
    <t>3.15.4.3.4</t>
  </si>
  <si>
    <t>3.15.4.3.5</t>
  </si>
  <si>
    <t>3.15.4.3.6</t>
  </si>
  <si>
    <t>3.15.4.3.7</t>
  </si>
  <si>
    <t>3.15.4.3.8</t>
  </si>
  <si>
    <t>3.15.4.3.9</t>
  </si>
  <si>
    <t>3.15.4.3.10</t>
  </si>
  <si>
    <t>3.15.4.3.11</t>
  </si>
  <si>
    <t>3.15.4.3.12</t>
  </si>
  <si>
    <t>3.15.4.3.13</t>
  </si>
  <si>
    <t>3.15.4.3.14</t>
  </si>
  <si>
    <t>3.15.4.3.15</t>
  </si>
  <si>
    <t>3.15.4.3.16</t>
  </si>
  <si>
    <t>3.15.4.3.17</t>
  </si>
  <si>
    <t>3.15.4.3.18</t>
  </si>
  <si>
    <t>3.15.4.3.19</t>
  </si>
  <si>
    <t>3.15.4.3.20</t>
  </si>
  <si>
    <t>3.15.4.3.21</t>
  </si>
  <si>
    <t>3.15.4.3.22</t>
  </si>
  <si>
    <t>3.15.4.3.23</t>
  </si>
  <si>
    <t>3.15.4.3.24</t>
  </si>
  <si>
    <t>3.15.4.3.25</t>
  </si>
  <si>
    <t>3.15.4.3.26</t>
  </si>
  <si>
    <t>3.15.4.3.27</t>
  </si>
  <si>
    <t>3.15.4.3.28</t>
  </si>
  <si>
    <t>3.15.4.3.29</t>
  </si>
  <si>
    <t>3.15.4.3.30</t>
  </si>
  <si>
    <t>3.15.4.3.31</t>
  </si>
  <si>
    <t>3.15.4.3.32</t>
  </si>
  <si>
    <t>3.15.4.3.33</t>
  </si>
  <si>
    <t>3.15.4.3.34</t>
  </si>
  <si>
    <t>3.15.4.3.35</t>
  </si>
  <si>
    <t>3.15.4.3.36</t>
  </si>
  <si>
    <t>3.15.4.3.37</t>
  </si>
  <si>
    <t>3.15.4.3.38</t>
  </si>
  <si>
    <t>3.15.4.3.39</t>
  </si>
  <si>
    <t>3.15.4.3.40</t>
  </si>
  <si>
    <t>3.15.4.3.41</t>
  </si>
  <si>
    <t>3.15.4.3.42</t>
  </si>
  <si>
    <t>3.15.4.3.43</t>
  </si>
  <si>
    <t>3.15.4.3.44</t>
  </si>
  <si>
    <t>3.15.4.3.45</t>
  </si>
  <si>
    <t>3.15.4.3.46</t>
  </si>
  <si>
    <t>3.15.4.3.47</t>
  </si>
  <si>
    <t>3.15.4.3.48</t>
  </si>
  <si>
    <t>3.15.4.3.49</t>
  </si>
  <si>
    <t>3.15.4.3.50</t>
  </si>
  <si>
    <t>3.15.4.3.51</t>
  </si>
  <si>
    <t>3.15.4.3.52</t>
  </si>
  <si>
    <t>3.15.4.3.53</t>
  </si>
  <si>
    <t>3.15.4.3.54</t>
  </si>
  <si>
    <t>3.15.4.3.55</t>
  </si>
  <si>
    <t>3.15.4.3.56</t>
  </si>
  <si>
    <t>3.15.4.3.57</t>
  </si>
  <si>
    <t>3.15.4.3.58</t>
  </si>
  <si>
    <t>3.15.4.3.59</t>
  </si>
  <si>
    <t>3.15.4.3.60</t>
  </si>
  <si>
    <t>Cruz HD 3" x 2" (75mm x 50 mm) EB</t>
  </si>
  <si>
    <t>Cruz HD 3" x 3" (75 mm x 75 mm) EB</t>
  </si>
  <si>
    <t>Cruz HD 4" x 2" (100 mm x 50 mm) EB</t>
  </si>
  <si>
    <t>Cruz HD 4" x 3" (100 mm x 75 mm) EB</t>
  </si>
  <si>
    <t>Cruz HD 4" x 4" (100 mm x 100 mm) EB</t>
  </si>
  <si>
    <t>Cruz HD 6" x 2" (150 mm x 50 mm) EB</t>
  </si>
  <si>
    <t>Cruz HD 6" x 3" (150 mm x 75 mm) EB</t>
  </si>
  <si>
    <t>Cruz HD 6" x 4" (150 mm x 100 mm) EB</t>
  </si>
  <si>
    <t>Cruz HD 6" x 6" (150 mm x 150 mm) EB</t>
  </si>
  <si>
    <t>Cruz HD 8" x 3" (200 mm x 75 mm) EB</t>
  </si>
  <si>
    <t>Cruz HD 8" x 4" (200 mm x 100 mm) EB</t>
  </si>
  <si>
    <t>Cruz HD 8" x 6" (200 mm x 150 mm) EB</t>
  </si>
  <si>
    <t>Cruz HD 8" x 8" (200 mm x 200 mm) EB</t>
  </si>
  <si>
    <t>Cruz HD 10" x 3" (250 mm x 75 mm) EB</t>
  </si>
  <si>
    <t>Cruz HD 10" x 4" (250 mm x 100 mm) EB</t>
  </si>
  <si>
    <t>Cruz HD 10" x 6" (250 mm x 150 mm) EB</t>
  </si>
  <si>
    <t>Cruz HD 10" x 8" (250 mm x 200 mm) EB</t>
  </si>
  <si>
    <t>Cruz HD 10" x 10" (250 mm x 250 mm) EB</t>
  </si>
  <si>
    <t>Cruz HD 12" x 3" (300 mm x 75 mm) EB</t>
  </si>
  <si>
    <t>Cruz HD 12" x 4" (300 mm x 100 mm) EB</t>
  </si>
  <si>
    <t>Cruz HD 12" x 6" (300 mm x 150 mm) EB</t>
  </si>
  <si>
    <t>Cruz HD 12" x 8" (300 mm x 200 mm) EB</t>
  </si>
  <si>
    <t>Cruz HD 12" x 10" (300 mm x 250 mm) EB</t>
  </si>
  <si>
    <t>Cruz HD 12" x 12" (300 mm x 300 mm) EB</t>
  </si>
  <si>
    <t>Cruz HD 14" x 3" (350 mm x 75 mm) EB</t>
  </si>
  <si>
    <t>Cruz HD 14" x 4" (350 mm x 100 mm) EB</t>
  </si>
  <si>
    <t>Cruz HD 14" x 6" (350 mm x 150 mm) EB</t>
  </si>
  <si>
    <t>Cruz HD 14" x 8" (350 mm x 200 mm) EB</t>
  </si>
  <si>
    <t>Cruz HD 14" x 10" (350 mm x 250 mm) EB</t>
  </si>
  <si>
    <t>Cruz HD 14" x 12" (350 mm x 300 mm) EB</t>
  </si>
  <si>
    <t>Cruz HD 14" x 14" (350 mm x 350 mm) EB</t>
  </si>
  <si>
    <t>Cruz HD 16" x 4" (400 mm x 100 mm) EB</t>
  </si>
  <si>
    <t>Cruz HD 16" x 6" (400 mm x 150 mm) EB</t>
  </si>
  <si>
    <t>Cruz HD 16" x 8" (400 mm x 200 mm) EB</t>
  </si>
  <si>
    <t>Cruz HD 16" x 10" (400 mm x 250 mm) EB</t>
  </si>
  <si>
    <t>Cruz HD 16" x 12" (400 mm x 300 mm) EB</t>
  </si>
  <si>
    <t>Cruz HD 16" x 14" (400 mm x 350 mm) EB</t>
  </si>
  <si>
    <t>Cruz HD 16" x 16" (400 mm x 400 mm) EB</t>
  </si>
  <si>
    <t>Cruz HD 18" x 8" (450 mm x 200 mm) EB</t>
  </si>
  <si>
    <t>Cruz HD 18" x 10" (450 mm x 250 mm) EB</t>
  </si>
  <si>
    <t>Cruz HD 18" x 12" (450 mm x 300 mm) EB</t>
  </si>
  <si>
    <t>Cruz HD 18" x 14" (450 mm x 350 mm) EB</t>
  </si>
  <si>
    <t>Cruz HD 18" x 16" (450 mm x 400 mm) EB</t>
  </si>
  <si>
    <t>Cruz HD 18" x 18" (450 mm x 450 mm) EB</t>
  </si>
  <si>
    <t>Cruz HD 20" x 8" (500 mm x 200 mm) EB</t>
  </si>
  <si>
    <t>Cruz HD 20" x 10" (500 mm x 250 mm) EB</t>
  </si>
  <si>
    <t>Cruz HD 20" x 12" (500 mm x 300 mm) E B</t>
  </si>
  <si>
    <t>Cruz HD 20" x 14" (500 mm x 350 mm) EB</t>
  </si>
  <si>
    <t>Cruz HD 20" x 16" (500 mm x 400 mm) EB</t>
  </si>
  <si>
    <t>Cruz HD 20" x 18" (500 mm x 450 mm) EB</t>
  </si>
  <si>
    <t>Cruz HD 20" x 20" (500 mm x 500 mm) EB</t>
  </si>
  <si>
    <t>Cruz HD 24" x 8" (600 mm x 200 mm) EB</t>
  </si>
  <si>
    <t>Cruz HD 24" x 10" (600 mm x 250 mm) EB</t>
  </si>
  <si>
    <t>Cruz HD 24" x 12" (600 mm x 300 mm) EB</t>
  </si>
  <si>
    <t>Cruz HD 24" x 14" (600 mm x 350 mm) EB</t>
  </si>
  <si>
    <t>Cruz HD 24" x 16" (600 mm x 400 mm) EB</t>
  </si>
  <si>
    <t>Cruz HD 24" x 18" (600 mm x 450 mm) EB</t>
  </si>
  <si>
    <t>Cruz HD 24" x 20" (600 mm x 500 mm) EB</t>
  </si>
  <si>
    <t>Cruz HD 24" x 24" (600 mm x 600 mm) EB</t>
  </si>
  <si>
    <t>YEES HD</t>
  </si>
  <si>
    <t>Yee  HD 2" x 2" (50 mm x 50 mm) EL</t>
  </si>
  <si>
    <t>Yee HD 3" x 2" (75mm x 50 mm) EL</t>
  </si>
  <si>
    <t>Yee HD 3" x 3" (75 mm x 75 mm) EL</t>
  </si>
  <si>
    <t>Yee HD 4" x 2" (100 mm x 50 mm) EL</t>
  </si>
  <si>
    <t>Yee HD 4" x 3" (100 mm x 75 mm) EL</t>
  </si>
  <si>
    <t>Yee HD 24" x 24" (600 mm x 600 mm) EL</t>
  </si>
  <si>
    <t>Yee HD 24" x 20" (600 mm x 500 mm) EL</t>
  </si>
  <si>
    <t>Yee HD 16" x 8" (400 mm x 200 mm) EL</t>
  </si>
  <si>
    <t>Yee HD 16" x 10" (400 mm x 250 mm) EL</t>
  </si>
  <si>
    <t>Yee HD 16" x 12" (400 mm x 300 mm) EL</t>
  </si>
  <si>
    <t>Yee HD 16" x 14" (400 mm x 350 mm) EL</t>
  </si>
  <si>
    <t>Yee HD 20" x 8" (500 mm x 200 mm) EL</t>
  </si>
  <si>
    <t>Yee HD 20" x 10" (500 mm x 250 mm) EL</t>
  </si>
  <si>
    <t>Yee HD 20" x 12" (500 mm x 300 mm) EL</t>
  </si>
  <si>
    <t>Yee HD 20" x 14" (500 mm x 350 mm) EL</t>
  </si>
  <si>
    <t>YeeHD 20" x 16" (500 mm x 400 mm) EL</t>
  </si>
  <si>
    <t>Yee HD 20" x 18" (500 mm x 450 mm) EL</t>
  </si>
  <si>
    <t>Yee HD 20" x 20" (500 mm x 500 mm) EL</t>
  </si>
  <si>
    <t>Yee HD 24" x 8" (600 mm x 200 mm) EL</t>
  </si>
  <si>
    <t>Yee HD 24" x 10" (600 mm x 250 mm) EL</t>
  </si>
  <si>
    <t>Yee HD 24" x 12" (600 mm x 300 mm) EL</t>
  </si>
  <si>
    <t>Yee HD 24" x 14" (600 mm x 350 mm) EL</t>
  </si>
  <si>
    <t>Yee HD 24" x 16" (600 mm x 400 mm) EL</t>
  </si>
  <si>
    <t>Yee HD 24" x 18" (600 mm x 450 mm) EL</t>
  </si>
  <si>
    <t>Yee HD 16" x 16" (400 mm x 400 mm) EL</t>
  </si>
  <si>
    <t>Yee HD 18" x 8" (450 mm x 200 mm) EL</t>
  </si>
  <si>
    <t>Yee HD 18" x 10" (450 mm x 250 mm) EL</t>
  </si>
  <si>
    <t>yee HD 18" x 12" (450 mm x 300 mm) EL</t>
  </si>
  <si>
    <t>yee HD 18" x 14" (450 mm x 350 mm) EL</t>
  </si>
  <si>
    <t>Yee HD 18" x 16" (450 mm x 400 mm) EL</t>
  </si>
  <si>
    <t>Yee HD 18" x 18" (450 mm x 450 mm) EL</t>
  </si>
  <si>
    <t>Yee HD 14" x 10" (350 mm x 250 mm) EL</t>
  </si>
  <si>
    <t>Yee HD 14" x 12" (350 mm x 300 mm) EL</t>
  </si>
  <si>
    <t>Yee HD 14" x 14" (350 mm x 350 mm) EL</t>
  </si>
  <si>
    <t>Yee HD 16" x 4" (400 mm x 100 mm) EL</t>
  </si>
  <si>
    <t>Yee HD 16" x 6" (400 mm x 150 mm) EL</t>
  </si>
  <si>
    <t>Yee HD 4" x 4" (100 mm x 100 mm) EL</t>
  </si>
  <si>
    <t>Yee HD 6" x 3" (150 mm x 75 mm) EL</t>
  </si>
  <si>
    <t>Yee HD 6" x 4" (150 mm x 100 mm) EL</t>
  </si>
  <si>
    <t>Yee HD 6" x 6" (150 mm x 150 mm) EL</t>
  </si>
  <si>
    <t>Yee HD 8" x 3" (200 mm x 75 mm) EL</t>
  </si>
  <si>
    <t>Yee HD 8" x 4" (200 mm x 100 mm) EL</t>
  </si>
  <si>
    <t>Yee HD 8" x 6" (200 mm x 150 mm) EL</t>
  </si>
  <si>
    <t>Yee HD 8" x 8" (200 mm x 200 mm) EL</t>
  </si>
  <si>
    <t>Yee HD 10" x 3" (250 mm x 75 mm) EL</t>
  </si>
  <si>
    <t>Yee HD 10" x 4" (250 mm x 100 mm) EL</t>
  </si>
  <si>
    <t>Yee HD 10" x 6" (250 mm x 150 mm) EL</t>
  </si>
  <si>
    <t>Yee HD 10" x 8" (250 mm x 200 mm) EL</t>
  </si>
  <si>
    <t>Yee HD 10" x 10" (250 mm x 250 mm) EL</t>
  </si>
  <si>
    <t>Yee HD 12" x 3" (300 mm x 75 mm) EL</t>
  </si>
  <si>
    <t>Yee HD 12" x 4" (300 mm x 100 mm) EL</t>
  </si>
  <si>
    <t>Yee HD 12" x 6" (300 mm x 150 mm) EL</t>
  </si>
  <si>
    <t>Yee HD 12" x 8" (300 mm x 200 mm) EL</t>
  </si>
  <si>
    <t>Yee HD 12" x 10" (300 mm x 250 mm) EL</t>
  </si>
  <si>
    <t>Yee HD 12" x 12" (300 mm x 300 mm) EL</t>
  </si>
  <si>
    <t>Yee HD 14" x 3" (350 mm x 75 mm) EL</t>
  </si>
  <si>
    <t>Yee HD 14" x 4" (350 mm x 100 mm) EL</t>
  </si>
  <si>
    <t>Yee HD 14" x 6" (350 mm x 150 mm) EL</t>
  </si>
  <si>
    <t>YeeHD 14" x 8" (350 mm x 200 mm) EL</t>
  </si>
  <si>
    <t>3.15.5.1.1</t>
  </si>
  <si>
    <t>Yees HD Extremos Lisos</t>
  </si>
  <si>
    <t>3.15.5.1.2</t>
  </si>
  <si>
    <t>3.15.5.1.3</t>
  </si>
  <si>
    <t>3.15.5.1.4</t>
  </si>
  <si>
    <t>3.15.5.1.5</t>
  </si>
  <si>
    <t>3.15.5.1.6</t>
  </si>
  <si>
    <t>3.15.5.1.7</t>
  </si>
  <si>
    <t>3.15.5.1.8</t>
  </si>
  <si>
    <t>3.15.5.1.9</t>
  </si>
  <si>
    <t>3.15.5.1.10</t>
  </si>
  <si>
    <t>3.15.5.1.11</t>
  </si>
  <si>
    <t>3.15.5.1.12</t>
  </si>
  <si>
    <t>3.15.5.1.13</t>
  </si>
  <si>
    <t>3.15.5.1.14</t>
  </si>
  <si>
    <t>3.15.5.1.15</t>
  </si>
  <si>
    <t>3.15.5.1.16</t>
  </si>
  <si>
    <t>3.15.5.1.17</t>
  </si>
  <si>
    <t>3.15.5.1.18</t>
  </si>
  <si>
    <t>3.15.5.1.19</t>
  </si>
  <si>
    <t>3.15.5.1.20</t>
  </si>
  <si>
    <t>3.15.5.1.21</t>
  </si>
  <si>
    <t>3.15.5.1.22</t>
  </si>
  <si>
    <t>3.15.5.1.23</t>
  </si>
  <si>
    <t>3.15.5.1.24</t>
  </si>
  <si>
    <t>3.15.5.1.25</t>
  </si>
  <si>
    <t>3.15.5.1.26</t>
  </si>
  <si>
    <t>3.15.5.1.27</t>
  </si>
  <si>
    <t>3.15.5.1.28</t>
  </si>
  <si>
    <t>3.15.5.1.29</t>
  </si>
  <si>
    <t>3.15.5.1.30</t>
  </si>
  <si>
    <t>3.15.5.1.31</t>
  </si>
  <si>
    <t>3.15.5.1.32</t>
  </si>
  <si>
    <t>3.15.5.1.33</t>
  </si>
  <si>
    <t>3.15.5.1.34</t>
  </si>
  <si>
    <t>3.15.5.1.35</t>
  </si>
  <si>
    <t>3.15.5.1.36</t>
  </si>
  <si>
    <t>3.15.5.1.37</t>
  </si>
  <si>
    <t>3.15.5.1.38</t>
  </si>
  <si>
    <t>3.15.5.1.39</t>
  </si>
  <si>
    <t>3.15.5.1.40</t>
  </si>
  <si>
    <t>3.15.5.1.41</t>
  </si>
  <si>
    <t>3.15.5.1.42</t>
  </si>
  <si>
    <t>3.15.5.1.43</t>
  </si>
  <si>
    <t>3.15.5.1.44</t>
  </si>
  <si>
    <t>3.15.5.1.45</t>
  </si>
  <si>
    <t>3.15.5.1.46</t>
  </si>
  <si>
    <t>3.15.5.1.47</t>
  </si>
  <si>
    <t>3.15.5.1.48</t>
  </si>
  <si>
    <t>3.15.5.1.49</t>
  </si>
  <si>
    <t>3.15.5.1.50</t>
  </si>
  <si>
    <t>3.15.5.1.51</t>
  </si>
  <si>
    <t>3.15.5.1.52</t>
  </si>
  <si>
    <t>3.15.5.1.53</t>
  </si>
  <si>
    <t>3.15.5.1.54</t>
  </si>
  <si>
    <t>3.15.5.1.55</t>
  </si>
  <si>
    <t>3.15.5.1.56</t>
  </si>
  <si>
    <t>3.15.5.1.57</t>
  </si>
  <si>
    <t>3.15.5.1.58</t>
  </si>
  <si>
    <t>3.15.5.1.59</t>
  </si>
  <si>
    <t>Yees HD JH PVC</t>
  </si>
  <si>
    <t>Yee  HD 2" x 2" (50 mm x 50 mm) JH PVC</t>
  </si>
  <si>
    <t>Yee HD 3" x 2" (75mm x 50 mm) JH PVC</t>
  </si>
  <si>
    <t>Yee HD 3" x 3" (75 mm x 75 mm) JH PVC</t>
  </si>
  <si>
    <t>Yee HD 4" x 2" (100 mm x 50 mm) JH PVC</t>
  </si>
  <si>
    <t>Yee HD 4" x 3" (100 mm x 75 mm) JH PVC</t>
  </si>
  <si>
    <t>Yee HD 4" x 4" (100 mm x 100 mm) JH PVC</t>
  </si>
  <si>
    <t>Yee HD 6" x 3" (150 mm x 75 mm) JH PVC</t>
  </si>
  <si>
    <t>Yee HD 6" x 4" (150 mm x 100 mm) JH PVC</t>
  </si>
  <si>
    <t>Yee HD 6" x 6" (150 mm x 150 mm) JH PVC</t>
  </si>
  <si>
    <t>Yee HD 8" x 3" (200 mm x 75 mm) JH PVC</t>
  </si>
  <si>
    <t>Yee HD 8" x 4" (200 mm x 100 mm) JH PVC</t>
  </si>
  <si>
    <t>Yee HD 8" x 6" (200 mm x 150 mm) JH PVC</t>
  </si>
  <si>
    <t>Yee HD 8" x 8" (200 mm x 200 mm) JH PVC</t>
  </si>
  <si>
    <t>Yee HD 10" x 3" (250 mm x 75 mm) JH PVC</t>
  </si>
  <si>
    <t>Yee HD 10" x 4" (250 mm x 100 mm) JH PVC</t>
  </si>
  <si>
    <t>Yee HD 10" x 6" (250 mm x 150 mm) JH PVC</t>
  </si>
  <si>
    <t>Yee HD 10" x 8" (250 mm x 200 mm) JH PVC</t>
  </si>
  <si>
    <t>Yee HD 10" x 10" (250 mm x 250 mm) JH PVC</t>
  </si>
  <si>
    <t>Yee HD 12" x 3" (300 mm x 75 mm) JH PVC</t>
  </si>
  <si>
    <t>Yee HD 12" x 4" (300 mm x 100 mm) JH PVC</t>
  </si>
  <si>
    <t>Yee HD 12" x 6" (300 mm x 150 mm) JH PVC</t>
  </si>
  <si>
    <t>Yee HD 12" x 8" (300 mm x 200 mm) JH PVC</t>
  </si>
  <si>
    <t>Yee HD 12" x 10" (300 mm x 250 mm) JH PVC</t>
  </si>
  <si>
    <t>Yee HD 12" x 12" (300 mm x 300 mm) JH PVC</t>
  </si>
  <si>
    <t>Yee HD 14" x 3" (350 mm x 75 mm) JH PVC</t>
  </si>
  <si>
    <t>Yee HD 14" x 4" (350 mm x 100 mm) JH PVC</t>
  </si>
  <si>
    <t>Yee HD 14" x 6" (350 mm x 150 mm) JH PVC</t>
  </si>
  <si>
    <t>YeeHD 14" x 8" (350 mm x 200 mm) JH PVC</t>
  </si>
  <si>
    <t>Yee HD 14" x 10" (350 mm x 250 mm) JH PVC</t>
  </si>
  <si>
    <t>Yee HD 14" x 12" (350 mm x 300 mm) JH PVC</t>
  </si>
  <si>
    <t>Yee HD 14" x 14" (350 mm x 350 mm) JH PVC</t>
  </si>
  <si>
    <t>Yee HD 16" x 4" (400 mm x 100 mm) JH PVC</t>
  </si>
  <si>
    <t>Yee HD 16" x 6" (400 mm x 150 mm) JH PVC</t>
  </si>
  <si>
    <t>Yee HD 16" x 8" (400 mm x 200 mm) JH PVC</t>
  </si>
  <si>
    <t xml:space="preserve">Yee HD 16" x 10" (400 mm x 250 mm) JH PVC </t>
  </si>
  <si>
    <t>Yee HD 16" x 12" (400 mm x 300 mm) JH PVC</t>
  </si>
  <si>
    <t>Yee HD 16" x 14" (400 mm x 350 mm) JH PVC</t>
  </si>
  <si>
    <t>Yee HD 16" x 16" (400 mm x 400 mm) JH PVC</t>
  </si>
  <si>
    <t>Yee HD 18" x 8" (450 mm x 200 mm) JH PVC</t>
  </si>
  <si>
    <t>Yee HD 18" x 10" (450 mm x 250 mm) JH PVC</t>
  </si>
  <si>
    <t>yee HD 18" x 12" (450 mm x 300 mm) JH PVC</t>
  </si>
  <si>
    <t>yee HD 18" x 14" (450 mm x 350 mm) JH PVC</t>
  </si>
  <si>
    <t>Yee HD 18" x 16" (450 mm x 400 mm) JH PVC</t>
  </si>
  <si>
    <t>Yee HD 18" x 18" (450 mm x 450 mm) JH PVC</t>
  </si>
  <si>
    <t>Yee HD 20" x 8" (500 mm x 200 mm) JH PVC</t>
  </si>
  <si>
    <t>Yee HD 20" x 10" (500 mm x 250 mm) JH PVC</t>
  </si>
  <si>
    <t>Yee HD 20" x 12" (500 mm x 300 mm) JH PVC</t>
  </si>
  <si>
    <t>Yee HD 20" x 14" (500 mm x 350 mm) JH PVC</t>
  </si>
  <si>
    <t>YeeHD 20" x 16" (500 mm x 400 mm) JH PVC</t>
  </si>
  <si>
    <t>Yee HD 20" x 18" (500 mm x 450 mm) JH PVC</t>
  </si>
  <si>
    <t>Yee HD 20" x 20" (500 mm x 500 mm) JH PVC</t>
  </si>
  <si>
    <t>Yee HD 24" x 8" (600 mm x 200 mm) JH PVC</t>
  </si>
  <si>
    <t>Yee HD 24" x 10" (600 mm x 250 mm) JH PVC</t>
  </si>
  <si>
    <t>Yee HD 24" x 12" (600 mm x 300 mm) JH PVC</t>
  </si>
  <si>
    <t>Yee HD 24" x 14" (600 mm x 350 mm) JH PVC</t>
  </si>
  <si>
    <t>Yee HD 24" x 16" (600 mm x 400 mm) JH PVC</t>
  </si>
  <si>
    <t>Yee HD 24" x 18" (600 mm x 450 mm) JH PVC</t>
  </si>
  <si>
    <t>Yee HD 24" x 20" (600 mm x 500 mm) JH PVC</t>
  </si>
  <si>
    <t>Yee HD 24" x 24" (600 mm x 600 mm) JH PVC</t>
  </si>
  <si>
    <t>3.15.5.2.8</t>
  </si>
  <si>
    <t>3.15.5.2.9</t>
  </si>
  <si>
    <t>3.15.5.2.10</t>
  </si>
  <si>
    <t>3.15.5.2.11</t>
  </si>
  <si>
    <t>3.15.5.2.12</t>
  </si>
  <si>
    <t>3.15.5.2.13</t>
  </si>
  <si>
    <t>3.15.5.2.14</t>
  </si>
  <si>
    <t>3.15.5.2.15</t>
  </si>
  <si>
    <t>3.15.5.2.16</t>
  </si>
  <si>
    <t>3.15.5.2.17</t>
  </si>
  <si>
    <t>3.15.5.2.18</t>
  </si>
  <si>
    <t>3.15.5.2.19</t>
  </si>
  <si>
    <t>3.15.5.2.20</t>
  </si>
  <si>
    <t>3.15.5.2.21</t>
  </si>
  <si>
    <t>3.15.5.2.22</t>
  </si>
  <si>
    <t>3.15.5.2.23</t>
  </si>
  <si>
    <t>3.15.5.2.24</t>
  </si>
  <si>
    <t>3.15.5.2.25</t>
  </si>
  <si>
    <t>3.15.5.2.26</t>
  </si>
  <si>
    <t>3.15.5.2.27</t>
  </si>
  <si>
    <t>3.15.5.2.28</t>
  </si>
  <si>
    <t>3.15.5.2.29</t>
  </si>
  <si>
    <t>3.15.5.2.30</t>
  </si>
  <si>
    <t>3.15.5.2.31</t>
  </si>
  <si>
    <t>3.15.5.2.32</t>
  </si>
  <si>
    <t>3.15.5.2.33</t>
  </si>
  <si>
    <t>3.15.5.2.34</t>
  </si>
  <si>
    <t>3.15.5.2.35</t>
  </si>
  <si>
    <t>3.15.5.2.36</t>
  </si>
  <si>
    <t>3.15.5.2.37</t>
  </si>
  <si>
    <t>3.15.5.2.38</t>
  </si>
  <si>
    <t>3.15.5.2.39</t>
  </si>
  <si>
    <t>3.15.5.2.40</t>
  </si>
  <si>
    <t>3.15.5.2.41</t>
  </si>
  <si>
    <t>3.15.5.2.42</t>
  </si>
  <si>
    <t>3.15.5.2.43</t>
  </si>
  <si>
    <t>3.15.5.2.44</t>
  </si>
  <si>
    <t>3.15.5.2.45</t>
  </si>
  <si>
    <t>3.15.5.2.46</t>
  </si>
  <si>
    <t>3.15.5.2.47</t>
  </si>
  <si>
    <t>3.15.5.2.48</t>
  </si>
  <si>
    <t>3.15.5.2.49</t>
  </si>
  <si>
    <t>3.15.5.2.50</t>
  </si>
  <si>
    <t>3.15.5.2.51</t>
  </si>
  <si>
    <t>3.15.5.2.52</t>
  </si>
  <si>
    <t>3.15.5.2.53</t>
  </si>
  <si>
    <t>3.15.5.2.54</t>
  </si>
  <si>
    <t>3.15.5.2.55</t>
  </si>
  <si>
    <t>3.15.5.2.56</t>
  </si>
  <si>
    <t>3.15.5.2.57</t>
  </si>
  <si>
    <t>3.15.5.2.58</t>
  </si>
  <si>
    <t>3.15.5.2.59</t>
  </si>
  <si>
    <t>Yees HD Extremos Bridas</t>
  </si>
  <si>
    <t>Yee  HD 2" x 2" (50 mm x 50 mm) EB</t>
  </si>
  <si>
    <t>Yee HD 3" x 2" (75mm x 50 mm) EB</t>
  </si>
  <si>
    <t>Yee HD 3" x 3" (75 mm x 75 mm) EB</t>
  </si>
  <si>
    <t>Yee HD 4" x 2" (100 mm x 50 mm) EB</t>
  </si>
  <si>
    <t>Yee HD 4" x 3" (100 mm x 75 mm) EB</t>
  </si>
  <si>
    <t>Yee HD 4" x 4" (100 mm x 100 mm) EB</t>
  </si>
  <si>
    <t>Yee HD 6" x 3" (150 mm x 75 mm) EB</t>
  </si>
  <si>
    <t>Yee HD 6" x 4" (150 mm x 100 mm) EB</t>
  </si>
  <si>
    <t>Yee HD 6" x 6" (150 mm x 150 mm) EB</t>
  </si>
  <si>
    <t>Yee HD 8" x 3" (200 mm x 75 mm) EB</t>
  </si>
  <si>
    <t>Yee HD 8" x 4" (200 mm x 100 mm) EB</t>
  </si>
  <si>
    <t>Yee HD 8" x 6" (200 mm x 150 mm) EB</t>
  </si>
  <si>
    <t>Yee HD 8" x 8" (200 mm x 200 mm) EB</t>
  </si>
  <si>
    <t>Yee HD 10" x 3" (250 mm x 75 mm) EB</t>
  </si>
  <si>
    <t>Yee HD 10" x 4" (250 mm x 100 mm) EB</t>
  </si>
  <si>
    <t>Yee HD 10" x 6" (250 mm x 150 mm) EB</t>
  </si>
  <si>
    <t>Yee HD 10" x 8" (250 mm x 200 mm) EB</t>
  </si>
  <si>
    <t>Yee HD 10" x 10" (250 mm x 250 mm) EB</t>
  </si>
  <si>
    <t>Yee HD 12" x 3" (300 mm x 75 mm) EB</t>
  </si>
  <si>
    <t>Yee HD 12" x 4" (300 mm x 100 mm) EB</t>
  </si>
  <si>
    <t>Yee HD 12" x 6" (300 mm x 150 mm) EB</t>
  </si>
  <si>
    <t>Yee HD 12" x 8" (300 mm x 200 mm) EB</t>
  </si>
  <si>
    <t>Yee HD 12" x 10" (300 mm x 250 mm) EB</t>
  </si>
  <si>
    <t>Yee HD 12" x 12" (300 mm x 300 mm) EB</t>
  </si>
  <si>
    <t>Yee HD 14" x 3" (350 mm x 75 mm) EB</t>
  </si>
  <si>
    <t>Yee HD 14" x 4" (350 mm x 100 mm) EB</t>
  </si>
  <si>
    <t>Yee HD 14" x 6" (350 mm x 150 mm) EB</t>
  </si>
  <si>
    <t>YeeHD 14" x 8" (350 mm x 200 mm) EB</t>
  </si>
  <si>
    <t>Yee HD 14" x 10" (350 mm x 250 mm) EB</t>
  </si>
  <si>
    <t>Yee HD 14" x 12" (350 mm x 300 mm) EB</t>
  </si>
  <si>
    <t>Yee HD 14" x 14" (350 mm x 350 mm) EB</t>
  </si>
  <si>
    <t>Yee HD 16" x 4" (400 mm x 100 mm) EB</t>
  </si>
  <si>
    <t>Yee HD 16" x 6" (400 mm x 150 mm) EB</t>
  </si>
  <si>
    <t>Yee HD 16" x 8" (400 mm x 200 mm) EB</t>
  </si>
  <si>
    <t>Yee HD 16" x 10" (400 mm x 250 mm) EB</t>
  </si>
  <si>
    <t>Yee HD 16" x 12" (400 mm x 300 mm) EB</t>
  </si>
  <si>
    <t>Yee HD 16" x 14" (400 mm x 350 mm) EB</t>
  </si>
  <si>
    <t>Yee HD 16" x 16" (400 mm x 400 mm) EB</t>
  </si>
  <si>
    <t>Yee HD 18" x 8" (450 mm x 200 mm) EB</t>
  </si>
  <si>
    <t>Yee HD 18" x 10" (450 mm x 250 mm) EB</t>
  </si>
  <si>
    <t>yee HD 18" x 12" (450 mm x 300 mm) EB</t>
  </si>
  <si>
    <t>yee HD 18" x 14" (450 mm x 350 mm) EB</t>
  </si>
  <si>
    <t>Yee HD 18" x 16" (450 mm x 400 mm) EB</t>
  </si>
  <si>
    <t>Yee HD 18" x 18" (450 mm x 450 mm) EB</t>
  </si>
  <si>
    <t>Yee HD 20" x 8" (500 mm x 200 mm) EB</t>
  </si>
  <si>
    <t>Yee HD 20" x 10" (500 mm x 250 mm) EB</t>
  </si>
  <si>
    <t>Yee HD 20" x 12" (500 mm x 300 mm) EB</t>
  </si>
  <si>
    <t>Yee HD 20" x 14" (500 mm x 350 mm) EB</t>
  </si>
  <si>
    <t>YeeHD 20" x 16" (500 mm x 400 mm) EB</t>
  </si>
  <si>
    <t>Yee HD 20" x 18" (500 mm x 450 mm) EB</t>
  </si>
  <si>
    <t>Yee HD 20" x 20" (500 mm x 500 mm) EB</t>
  </si>
  <si>
    <t>Yee HD 24" x 8" (600 mm x 200 mm) EB</t>
  </si>
  <si>
    <t>Yee HD 24" x 10" (600 mm x 250 mm) EB</t>
  </si>
  <si>
    <t>Yee HD 24" x 12" (600 mm x 300 mm) EB</t>
  </si>
  <si>
    <t>Yee HD 24" x 14" (600 mm x 350 mm) EB</t>
  </si>
  <si>
    <t>Yee HD 24" x 16" (600 mm x 400 mm) EB</t>
  </si>
  <si>
    <t>Yee HD 24" x 18" (600 mm x 450 mm) EB</t>
  </si>
  <si>
    <t>Yee HD 24" x 20" (600 mm x 500 mm) EB</t>
  </si>
  <si>
    <t>Yee HD 24" x 24" (600 mm x 600 mm) EB</t>
  </si>
  <si>
    <t>3.15.5.3.1</t>
  </si>
  <si>
    <t>3.15.5.3.2</t>
  </si>
  <si>
    <t>3.15.5.3.3</t>
  </si>
  <si>
    <t>3.15.5.3.4</t>
  </si>
  <si>
    <t>3.15.5.3.5</t>
  </si>
  <si>
    <t>3.15.5.3.6</t>
  </si>
  <si>
    <t>3.15.5.3.7</t>
  </si>
  <si>
    <t>3.15.5.3.8</t>
  </si>
  <si>
    <t>3.15.5.3.9</t>
  </si>
  <si>
    <t>3.15.5.3.10</t>
  </si>
  <si>
    <t>3.15.5.3.11</t>
  </si>
  <si>
    <t>3.15.5.3.12</t>
  </si>
  <si>
    <t>3.15.5.3.13</t>
  </si>
  <si>
    <t>3.15.5.3.14</t>
  </si>
  <si>
    <t>3.15.5.3.15</t>
  </si>
  <si>
    <t>3.15.5.3.16</t>
  </si>
  <si>
    <t>3.15.5.3.17</t>
  </si>
  <si>
    <t>3.15.5.3.18</t>
  </si>
  <si>
    <t>3.15.5.3.19</t>
  </si>
  <si>
    <t>3.15.5.3.20</t>
  </si>
  <si>
    <t>3.15.5.3.21</t>
  </si>
  <si>
    <t>3.15.5.3.22</t>
  </si>
  <si>
    <t>3.15.5.3.23</t>
  </si>
  <si>
    <t>3.15.5.3.24</t>
  </si>
  <si>
    <t>3.15.5.3.25</t>
  </si>
  <si>
    <t>3.15.5.3.26</t>
  </si>
  <si>
    <t>3.15.5.3.27</t>
  </si>
  <si>
    <t>3.15.5.3.28</t>
  </si>
  <si>
    <t>3.15.5.3.29</t>
  </si>
  <si>
    <t>3.15.5.3.30</t>
  </si>
  <si>
    <t>3.15.5.3.31</t>
  </si>
  <si>
    <t>3.15.5.3.32</t>
  </si>
  <si>
    <t>3.15.5.3.33</t>
  </si>
  <si>
    <t>3.15.5.3.34</t>
  </si>
  <si>
    <t>3.15.5.3.35</t>
  </si>
  <si>
    <t>3.15.5.3.36</t>
  </si>
  <si>
    <t>3.15.5.3.37</t>
  </si>
  <si>
    <t>3.15.5.3.38</t>
  </si>
  <si>
    <t>3.15.5.3.39</t>
  </si>
  <si>
    <t>3.15.5.3.40</t>
  </si>
  <si>
    <t>3.15.5.3.41</t>
  </si>
  <si>
    <t>3.15.5.3.42</t>
  </si>
  <si>
    <t>3.15.5.3.43</t>
  </si>
  <si>
    <t>3.15.5.3.44</t>
  </si>
  <si>
    <t>3.15.5.3.45</t>
  </si>
  <si>
    <t>3.15.5.3.46</t>
  </si>
  <si>
    <t>3.15.5.3.47</t>
  </si>
  <si>
    <t>3.15.5.3.48</t>
  </si>
  <si>
    <t>3.15.5.3.49</t>
  </si>
  <si>
    <t>3.15.5.3.50</t>
  </si>
  <si>
    <t>3.15.5.3.51</t>
  </si>
  <si>
    <t>3.15.5.3.52</t>
  </si>
  <si>
    <t>3.15.5.3.53</t>
  </si>
  <si>
    <t>3.15.5.3.54</t>
  </si>
  <si>
    <t>3.15.5.3.55</t>
  </si>
  <si>
    <t>3.15.5.3.56</t>
  </si>
  <si>
    <t>3.15.5.3.57</t>
  </si>
  <si>
    <t>3.15.5.3.58</t>
  </si>
  <si>
    <t>3.15.5.3.59</t>
  </si>
  <si>
    <t>3.15.6</t>
  </si>
  <si>
    <t>TAPONES HD</t>
  </si>
  <si>
    <t>Tapones HD Extremo Liso</t>
  </si>
  <si>
    <t>3.15.6.1</t>
  </si>
  <si>
    <t>3.15.6.1.1</t>
  </si>
  <si>
    <t>Tapon HD 24" EL</t>
  </si>
  <si>
    <t>Tapon HD 24" JH PVC</t>
  </si>
  <si>
    <t>Tapon HD 2" JH PVC</t>
  </si>
  <si>
    <t>Tapon HD 2" EL</t>
  </si>
  <si>
    <t>Tapon HD 3" EL</t>
  </si>
  <si>
    <t>Tapon HD 4" EL</t>
  </si>
  <si>
    <t>Tapon HD 6" EL</t>
  </si>
  <si>
    <t>Tapon HD 8" EL</t>
  </si>
  <si>
    <t>Tapon HD 10" EL</t>
  </si>
  <si>
    <t>Tapon HD 12" EL</t>
  </si>
  <si>
    <t>Tapon HD 14" EL</t>
  </si>
  <si>
    <t>Tapon HD 16" EL</t>
  </si>
  <si>
    <t>Tapon HD 18" EL</t>
  </si>
  <si>
    <t>Tapon HD 20" EL</t>
  </si>
  <si>
    <t>Tapones HD JH PVC</t>
  </si>
  <si>
    <t>3.15.6.2</t>
  </si>
  <si>
    <t>3.15.6.2.1</t>
  </si>
  <si>
    <t>3.15.6.2.2</t>
  </si>
  <si>
    <t>3.15.6.2.3</t>
  </si>
  <si>
    <t>3.15.6.2.4</t>
  </si>
  <si>
    <t>3.15.6.2.5</t>
  </si>
  <si>
    <t>3.15.6.2.6</t>
  </si>
  <si>
    <t>3.15.6.2.7</t>
  </si>
  <si>
    <t>3.15.6.2.8</t>
  </si>
  <si>
    <t>3.15.6.2.9</t>
  </si>
  <si>
    <t>3.15.6.2.10</t>
  </si>
  <si>
    <t>3.15.6.2.11</t>
  </si>
  <si>
    <t>3.15.6.1.2</t>
  </si>
  <si>
    <t>3.15.6.1.3</t>
  </si>
  <si>
    <t>3.15.6.1.4</t>
  </si>
  <si>
    <t>3.15.6.1.5</t>
  </si>
  <si>
    <t>3.15.6.1.6</t>
  </si>
  <si>
    <t>3.15.6.1.7</t>
  </si>
  <si>
    <t>3.15.6.1.8</t>
  </si>
  <si>
    <t>3.15.6.1.9</t>
  </si>
  <si>
    <t>3.15.6.1.10</t>
  </si>
  <si>
    <t>3.15.6.1.11</t>
  </si>
  <si>
    <t>3.15.6.1.12</t>
  </si>
  <si>
    <t>3.15.6.2.12</t>
  </si>
  <si>
    <t>Tapon HD 3" JH PVC</t>
  </si>
  <si>
    <t>Tapon HD 4" JH PVC</t>
  </si>
  <si>
    <t>Tapon HD 6" JH PVC</t>
  </si>
  <si>
    <t>Tapon HD 8" JH PVC</t>
  </si>
  <si>
    <t>Tapon HD 10" JH PVC</t>
  </si>
  <si>
    <t>Tapon HD 12" JH PVC</t>
  </si>
  <si>
    <t>Tapon HD 14" JH PVC</t>
  </si>
  <si>
    <t>Tapon HD 16" JH PVC</t>
  </si>
  <si>
    <t>Tapon HD 18" JH PVC</t>
  </si>
  <si>
    <t>Tapon HD 20" JH PVC</t>
  </si>
  <si>
    <t>3.15.7</t>
  </si>
  <si>
    <t>3.15.7.1</t>
  </si>
  <si>
    <t>Uniones HD Tipo Dresser para PVC</t>
  </si>
  <si>
    <t>Unión Tipo Dresser de 2"</t>
  </si>
  <si>
    <t>Unión Tipo Dresser de 4"</t>
  </si>
  <si>
    <t>Unión Tipo Dresser de 6"</t>
  </si>
  <si>
    <t>Unión Tipo Dresser de 8"</t>
  </si>
  <si>
    <t>Unión Tipo Dresser de 10"</t>
  </si>
  <si>
    <t>Unión Tipo Dresser de 12"</t>
  </si>
  <si>
    <t>Unión Tipo Dresser de 14"</t>
  </si>
  <si>
    <t>Unión Tipo Dresser de 16"</t>
  </si>
  <si>
    <t>Unión Tipo Dresser de 18"</t>
  </si>
  <si>
    <t>Unión Tipo Dresser de 20"</t>
  </si>
  <si>
    <t>Unión Tipo Dresser de 24"</t>
  </si>
  <si>
    <t>3.15.7.1.1</t>
  </si>
  <si>
    <t>3.15.7.1.2</t>
  </si>
  <si>
    <t>3.15.7.1.3</t>
  </si>
  <si>
    <t>3.15.7.1.4</t>
  </si>
  <si>
    <t>3.15.7.1.5</t>
  </si>
  <si>
    <t>3.15.7.1.6</t>
  </si>
  <si>
    <t>3.15.7.1.7</t>
  </si>
  <si>
    <t>3.15.7.1.8</t>
  </si>
  <si>
    <t>3.15.7.1.9</t>
  </si>
  <si>
    <t>3.15.7.1.10</t>
  </si>
  <si>
    <t>3.15.7.1.11</t>
  </si>
  <si>
    <t>3.15.7.1.12</t>
  </si>
  <si>
    <t>3.15.7.2</t>
  </si>
  <si>
    <t>3.15.7.2.1</t>
  </si>
  <si>
    <t>3.15.7.2.2</t>
  </si>
  <si>
    <t>3.15.7.2.3</t>
  </si>
  <si>
    <t>3.15.7.2.4</t>
  </si>
  <si>
    <t>3.15.7.2.5</t>
  </si>
  <si>
    <t>3.15.7.2.6</t>
  </si>
  <si>
    <t>3.15.7.2.7</t>
  </si>
  <si>
    <t>3.15.7.2.8</t>
  </si>
  <si>
    <t>3.15.7.2.9</t>
  </si>
  <si>
    <t>3.15.7.2.10</t>
  </si>
  <si>
    <t>3.15.7.2.11</t>
  </si>
  <si>
    <t>3.15.7.2.12</t>
  </si>
  <si>
    <t>Uniones HD Gibault  para Asbesto Cemento Clase 25</t>
  </si>
  <si>
    <t>Unión HD Gibault 24"</t>
  </si>
  <si>
    <t>Unión HD Gibault 2"</t>
  </si>
  <si>
    <t>Unión HD Gibault 3"</t>
  </si>
  <si>
    <t>Unión HD Gibault 4"</t>
  </si>
  <si>
    <t>Unión HD Gibault 6"</t>
  </si>
  <si>
    <t>Unión HD Gibault 8"</t>
  </si>
  <si>
    <t>Unión HD Gibault 10"</t>
  </si>
  <si>
    <t>Unión HD Gibault 12"</t>
  </si>
  <si>
    <t>Unión HD Gibault 14"</t>
  </si>
  <si>
    <t>Unión HD Gibault 16"</t>
  </si>
  <si>
    <t>Unión HD Gibault 18"</t>
  </si>
  <si>
    <t>Unión HD Gibault 20"</t>
  </si>
  <si>
    <t>3.15.7.3</t>
  </si>
  <si>
    <t>Unión Tipo Dresser de 3"</t>
  </si>
  <si>
    <t>3.15.7.3.1</t>
  </si>
  <si>
    <t>3.15.7.3.2</t>
  </si>
  <si>
    <t>3.15.7.3.3</t>
  </si>
  <si>
    <t>3.15.7.3.4</t>
  </si>
  <si>
    <t>3.15.7.3.5</t>
  </si>
  <si>
    <t>3.15.7.3.6</t>
  </si>
  <si>
    <t>3.15.7.3.7</t>
  </si>
  <si>
    <t>3.15.7.3.8</t>
  </si>
  <si>
    <t>3.15.7.3.9</t>
  </si>
  <si>
    <t>3.15.7.3.10</t>
  </si>
  <si>
    <t>3.15.7.3.11</t>
  </si>
  <si>
    <t>3.15.7.3.12</t>
  </si>
  <si>
    <t>3.15.7.4</t>
  </si>
  <si>
    <t>Uniones HD de Montaje Autoportante</t>
  </si>
  <si>
    <t>Unión HD de montaje autoportante de 2"</t>
  </si>
  <si>
    <t>Unión HD de montaje autoportante de 3"</t>
  </si>
  <si>
    <t>Unión HD de montaje autoportante de 4"</t>
  </si>
  <si>
    <t>Unión HD de montaje autoportante de 6"</t>
  </si>
  <si>
    <t>Unión HD de montaje autoportante de 8"</t>
  </si>
  <si>
    <t>Unión HD de montaje autoportante de 10"</t>
  </si>
  <si>
    <t>Unión HD de montaje autoportante de 12"</t>
  </si>
  <si>
    <t>Unión HD de montaje autoportante de 14"</t>
  </si>
  <si>
    <t>Unión HD de montaje autoportante de 16"</t>
  </si>
  <si>
    <t>Unión HD de montaje autoportante de 18"</t>
  </si>
  <si>
    <t>Unión HD de montaje autoportante de 20"</t>
  </si>
  <si>
    <t>Unión HD de montaje autoportante de 24"</t>
  </si>
  <si>
    <t>Unión HD Construcción y Reparación 2"</t>
  </si>
  <si>
    <t>Unión HD Construcción y Reparación 3"</t>
  </si>
  <si>
    <t>Unión HD Construcción y Reparación 4"</t>
  </si>
  <si>
    <t>Unión HD Construcción y Reparación 6"</t>
  </si>
  <si>
    <t>Unión HD Construcción y Reparación 8"</t>
  </si>
  <si>
    <t>Unión HD Construcción y Reparación 10"</t>
  </si>
  <si>
    <t>Unión HD Construcción y Reparación 12"</t>
  </si>
  <si>
    <t>Unión HD Construcción y Reparación 14"</t>
  </si>
  <si>
    <t>Unión HD Construcción y Reparación 16"</t>
  </si>
  <si>
    <t>Unión HD Construcción y Reparación 18"</t>
  </si>
  <si>
    <t>Unión HD Construcción y Reparación 20"</t>
  </si>
  <si>
    <t>Uniones de Construcción y Reparación JH PVC</t>
  </si>
  <si>
    <t>3.15.7.4.1</t>
  </si>
  <si>
    <t>3.15.7.4.2</t>
  </si>
  <si>
    <t>3.15.7.4.3</t>
  </si>
  <si>
    <t>3.15.7.4.4</t>
  </si>
  <si>
    <t>3.15.7.4.5</t>
  </si>
  <si>
    <t>3.15.7.4.6</t>
  </si>
  <si>
    <t>3.15.7.4.7</t>
  </si>
  <si>
    <t>3.15.7.4.8</t>
  </si>
  <si>
    <t>3.15.7.4.9</t>
  </si>
  <si>
    <t>3.15.7.4.10</t>
  </si>
  <si>
    <t>3.15.7.4.11</t>
  </si>
  <si>
    <t>3.15.7.5.1</t>
  </si>
  <si>
    <t>UNIONES HD ESPECIALES PARA ACOPLAR DIFERENTES TIPOS DE TUBERIA</t>
  </si>
  <si>
    <t>3.15.7.5.1.1</t>
  </si>
  <si>
    <t>Acople Universal</t>
  </si>
  <si>
    <t>Acople Universal 2" (57 mm a 70 mm)</t>
  </si>
  <si>
    <t>Acople Universal 3" (85 mm a 103 mm)</t>
  </si>
  <si>
    <t>Acople Universal 4" (110 mm a 128 mm)</t>
  </si>
  <si>
    <t>Acople Universal 6" (159mm a 181 mm) R1</t>
  </si>
  <si>
    <t>Acople Universal 6" (167 mm a 189 mm) R2</t>
  </si>
  <si>
    <t>Acople Universal 8" (218 mm a 235 mm) R1</t>
  </si>
  <si>
    <t>Acople Universal 8" (234 mm a 252 mm) R2</t>
  </si>
  <si>
    <t>Acople Universal 10" (268 mm a 286 mm) R1</t>
  </si>
  <si>
    <t>Acople Universal 10" (292 mm a 310 mm) R2</t>
  </si>
  <si>
    <t>Acople Universal 12" (315 mm a 333 mm) R1</t>
  </si>
  <si>
    <t>Acople Universal 12" (350mm a 368 mm) R3</t>
  </si>
  <si>
    <t>Acople Universal 12" (334 mm a 352 mm) R2</t>
  </si>
  <si>
    <t>3.15.7.5.1.1.1</t>
  </si>
  <si>
    <t>3.15.7.5.1.1.2</t>
  </si>
  <si>
    <t>3.15.7.5.1.1.3</t>
  </si>
  <si>
    <t>3.15.7.5.1.1.4</t>
  </si>
  <si>
    <t>3.15.7.5.1.1.5</t>
  </si>
  <si>
    <t>3.15.7.5.1.1.6</t>
  </si>
  <si>
    <t>3.15.7.5.1.1.7</t>
  </si>
  <si>
    <t>3.15.7.5.1.1.8</t>
  </si>
  <si>
    <t>3.15.7.5.1.1.9</t>
  </si>
  <si>
    <t>3.15.7.5.1.1.10</t>
  </si>
  <si>
    <t>3.15.7.5.1.1.11</t>
  </si>
  <si>
    <t>3.15.7.5.1.1.12</t>
  </si>
  <si>
    <t>3.15.7.5.1.2</t>
  </si>
  <si>
    <t xml:space="preserve">Adaptador Brida por Acople Universal </t>
  </si>
  <si>
    <t>Adaptador Brida porAcople Universal 2" (57 mm a 70 mm)</t>
  </si>
  <si>
    <t>Adaptador Brida por Acople Universal 3" (85 mm a 103 mm)</t>
  </si>
  <si>
    <t>Adaptador Brida por Acople Universal 4" (110 mm a 128 mm)</t>
  </si>
  <si>
    <t>Adaptador Brida por Acople Universal 6" (159mm a 181 mm) R1</t>
  </si>
  <si>
    <t>Adaptador Brida por Acople Universal 6" (167 mm a 189 mm) R2</t>
  </si>
  <si>
    <t>Adaptador Brida por Acople Universal 8" (218 mm a 235 mm) R1</t>
  </si>
  <si>
    <t>Adaptador Brida porAcople Universal 8" (234 mm a 252 mm) R2</t>
  </si>
  <si>
    <t>Adaptador Brida porAcople Universal 10" (268 mm a 286 mm) R1</t>
  </si>
  <si>
    <t>Adaptador Brida por Acople Universal 10" (292 mm a 310 mm) R2</t>
  </si>
  <si>
    <t>Adaptador Brida por Acople Universal 12" (315 mm a 333 mm) R1</t>
  </si>
  <si>
    <t>Adaptador Brida por Acople Universal 12" (334 mm a 352 mm) R2</t>
  </si>
  <si>
    <t>Adaptador Brida porAcople Universal 12" (350mm a 368 mm) R3</t>
  </si>
  <si>
    <t>3.18.7.6</t>
  </si>
  <si>
    <t>3.15.7.5.1.2.1</t>
  </si>
  <si>
    <t>3.15.7.5.1.2.2</t>
  </si>
  <si>
    <t>3.15.7.5.1.2.3</t>
  </si>
  <si>
    <t>3.15.7.5.1.2.4</t>
  </si>
  <si>
    <t>3.15.7.5.1.2.5</t>
  </si>
  <si>
    <t>3.15.7.5.1.2.6</t>
  </si>
  <si>
    <t>3.15.7.5.1.2.7</t>
  </si>
  <si>
    <t>3.15.7.5.1.2.8</t>
  </si>
  <si>
    <t>3.15.7.5.1.2.9</t>
  </si>
  <si>
    <t>3.15.7.5.1.2.10</t>
  </si>
  <si>
    <t>3.15.7.5.1.2.11</t>
  </si>
  <si>
    <t>3.15.7.5.1.2.12</t>
  </si>
  <si>
    <t>Bridas HD Ciegas</t>
  </si>
  <si>
    <t>3.18.7.6.1</t>
  </si>
  <si>
    <t>3.18.7.6.1.1</t>
  </si>
  <si>
    <t>Brida Ciega de 2"</t>
  </si>
  <si>
    <t>Brida Ciega de 4"</t>
  </si>
  <si>
    <t>Brida Ciega de 6"</t>
  </si>
  <si>
    <t>Brida Ciega de 8"</t>
  </si>
  <si>
    <t>Brida Ciega de 10"</t>
  </si>
  <si>
    <t>Brida Ciega de 12"</t>
  </si>
  <si>
    <t>Brida Ciega de 14"</t>
  </si>
  <si>
    <t>Brida Ciega de 16"</t>
  </si>
  <si>
    <t>Brida Ciega de 18"</t>
  </si>
  <si>
    <t>Brida Ciega de 20"</t>
  </si>
  <si>
    <t>Brida Ciega de 24"</t>
  </si>
  <si>
    <t>3.18.7.6.1.2</t>
  </si>
  <si>
    <t>3.18.7.6.1.3</t>
  </si>
  <si>
    <t>3.18.7.6.1.4</t>
  </si>
  <si>
    <t>3.18.7.6.1.5</t>
  </si>
  <si>
    <t>3.18.7.6.1.6</t>
  </si>
  <si>
    <t>3.18.7.6.1.7</t>
  </si>
  <si>
    <t>3.18.7.6.1.8</t>
  </si>
  <si>
    <t>3.18.7.6.1.9</t>
  </si>
  <si>
    <t>3.18.7.6.1.10</t>
  </si>
  <si>
    <t>3.18.7.6.1.11</t>
  </si>
  <si>
    <t>3.18.7.6.1.12</t>
  </si>
  <si>
    <t>3.18.7.6.2</t>
  </si>
  <si>
    <t>Bridas HD Roscadas</t>
  </si>
  <si>
    <t>Brida Roscada de 2"</t>
  </si>
  <si>
    <t>Brida Roscada de 4"</t>
  </si>
  <si>
    <t>Brida roscada de 6"</t>
  </si>
  <si>
    <t>Brida Roscada de 8"</t>
  </si>
  <si>
    <t>Brida Roscada de 10"</t>
  </si>
  <si>
    <t>Brida Roscada de 12"</t>
  </si>
  <si>
    <t>Brida Roscada de 14"</t>
  </si>
  <si>
    <t>Brida Roscada de 16"</t>
  </si>
  <si>
    <t>Brida Roscada de 18"</t>
  </si>
  <si>
    <t>Brida Roscada de 20"</t>
  </si>
  <si>
    <t>Brida Roscada de 24"</t>
  </si>
  <si>
    <t>3.18.7.6.2.1</t>
  </si>
  <si>
    <t>3.18.7.6.2.2</t>
  </si>
  <si>
    <t>3.18.7.6.2.3</t>
  </si>
  <si>
    <t>3.18.7.6.2.4</t>
  </si>
  <si>
    <t>3.18.7.6.2.5</t>
  </si>
  <si>
    <t>3.18.7.6.2.6</t>
  </si>
  <si>
    <t>3.18.7.6.2.7</t>
  </si>
  <si>
    <t>3.18.7.6.2.8</t>
  </si>
  <si>
    <t>3.18.7.6.2.9</t>
  </si>
  <si>
    <t>3.18.7.6.2.10</t>
  </si>
  <si>
    <t>3.18.7.6.2.11</t>
  </si>
  <si>
    <t>3.18.7.6.2.12</t>
  </si>
  <si>
    <t>Brida loca de 2"</t>
  </si>
  <si>
    <t>Brida loca de 3"</t>
  </si>
  <si>
    <t>Brida loca de 4"</t>
  </si>
  <si>
    <t>Brida loca de 6"</t>
  </si>
  <si>
    <t>Brida loca de 8"</t>
  </si>
  <si>
    <t>Brida loca de 10"</t>
  </si>
  <si>
    <t>Brida loca de 12"</t>
  </si>
  <si>
    <t>3.17.6.3</t>
  </si>
  <si>
    <t>3.18.7.6.3</t>
  </si>
  <si>
    <t>3.18.7.6.3.1</t>
  </si>
  <si>
    <t>3.18.7.6.3.2</t>
  </si>
  <si>
    <t>3.18.7.6.3.3</t>
  </si>
  <si>
    <t>3.18.7.6.3.4</t>
  </si>
  <si>
    <t>3.18.7.6.3.5</t>
  </si>
  <si>
    <t>3.18.7.6.3.6</t>
  </si>
  <si>
    <t>3.18.7.6.3.7</t>
  </si>
  <si>
    <t>3.15.8</t>
  </si>
  <si>
    <t>3.15.8.1</t>
  </si>
  <si>
    <t>Galapagos o Collares para PVC</t>
  </si>
  <si>
    <t>Bridas HD Portaflanche o locas (para Polietileno)</t>
  </si>
  <si>
    <t>3.15.8.1.1</t>
  </si>
  <si>
    <t>Para derivaciones de 1/2"</t>
  </si>
  <si>
    <t>3.15.8.1.1.1</t>
  </si>
  <si>
    <t>3.15.8.1.1.2</t>
  </si>
  <si>
    <t>3.15.8.1.1.3</t>
  </si>
  <si>
    <t>3.15.8.1.1.4</t>
  </si>
  <si>
    <t>3.15.8.1.1.5</t>
  </si>
  <si>
    <t>3.15.8.1.1.6</t>
  </si>
  <si>
    <t>3.15.8.1.1.7</t>
  </si>
  <si>
    <t>Para derivaciones de 3/4"</t>
  </si>
  <si>
    <t>3.15.8.1.2</t>
  </si>
  <si>
    <t>Collar de 2"</t>
  </si>
  <si>
    <t>Collar de 3"</t>
  </si>
  <si>
    <t>Collar de 4"</t>
  </si>
  <si>
    <t>Collar de 6"</t>
  </si>
  <si>
    <t>Collar de 8"</t>
  </si>
  <si>
    <t>Collar de 10"</t>
  </si>
  <si>
    <t>Collar de 12"</t>
  </si>
  <si>
    <t>3.15.8.1.2.1</t>
  </si>
  <si>
    <t>3.15.8.1.2.2</t>
  </si>
  <si>
    <t>3.15.8.1.2.3</t>
  </si>
  <si>
    <t>3.15.8.1.2.4</t>
  </si>
  <si>
    <t>3.15.8.1.2.5</t>
  </si>
  <si>
    <t>3.15.8.1.2.6</t>
  </si>
  <si>
    <t>3.15.8.1.2.7</t>
  </si>
  <si>
    <t>Para derivaciones de 1"</t>
  </si>
  <si>
    <t>3.15.8.1.3.1</t>
  </si>
  <si>
    <t>3.15.8.1.3</t>
  </si>
  <si>
    <t>3.15.8.1.3.2</t>
  </si>
  <si>
    <t>3.15.8.1.3.3</t>
  </si>
  <si>
    <t>3.15.8.1.3.4</t>
  </si>
  <si>
    <t>3.15.8.1.3.5</t>
  </si>
  <si>
    <t>3.15.8.1.3.6</t>
  </si>
  <si>
    <t>3.15.8.1.3.7</t>
  </si>
  <si>
    <t>3.15.8.2</t>
  </si>
  <si>
    <t>Filtros para red de Acueducto Tipo Yee</t>
  </si>
  <si>
    <t>Filtro tipo Yee 2"</t>
  </si>
  <si>
    <t>Filtro tipo Yee 3"</t>
  </si>
  <si>
    <t>Filtro tipo Yee 4"</t>
  </si>
  <si>
    <t>Filtro tipo Yee 6"</t>
  </si>
  <si>
    <t>Filtro tipo Yee 8"</t>
  </si>
  <si>
    <t>Filtro tipo Yee 10"</t>
  </si>
  <si>
    <t>Filtro tipo Yee 12"</t>
  </si>
  <si>
    <t>3.15.8.2.1</t>
  </si>
  <si>
    <t>3.15.8.2.2</t>
  </si>
  <si>
    <t>3.15.8.2.3</t>
  </si>
  <si>
    <t>3.15.8.2.4</t>
  </si>
  <si>
    <t>3.15.8.2.5</t>
  </si>
  <si>
    <t>3.15.8.2.6</t>
  </si>
  <si>
    <t>3.15.8.2.7</t>
  </si>
  <si>
    <t>3.15.8.4</t>
  </si>
  <si>
    <t>Tapas para pozos y para cajas de válvulas</t>
  </si>
  <si>
    <t>Tapa para pozos de D=0,61 m con sistema de seguridad</t>
  </si>
  <si>
    <t>Tapa para pozos de D=0,61 m sin sistema de seguridad</t>
  </si>
  <si>
    <t>Tapa válvula Tipo chorote Tráfico Liviano</t>
  </si>
  <si>
    <t>Tapa válvula Tipo chorote Tráfico Pesado</t>
  </si>
  <si>
    <t>Tapa válvula común</t>
  </si>
  <si>
    <t>Marco y tapa para medidor de doble ventanilla con seguridad</t>
  </si>
  <si>
    <t>Marco y tapa para medidor  sencilla</t>
  </si>
  <si>
    <t>3.15.8.4.1</t>
  </si>
  <si>
    <t>3.15.8.4.2</t>
  </si>
  <si>
    <t>3.15.8.4.3</t>
  </si>
  <si>
    <t>3.15.8.4.4</t>
  </si>
  <si>
    <t>3.15.8.4.5</t>
  </si>
  <si>
    <t>3.15.8.4.6</t>
  </si>
  <si>
    <t>3.15.8.4.7</t>
  </si>
  <si>
    <t>Pasamuro HF de 2" ELXEL L= 0 a 0,50 m</t>
  </si>
  <si>
    <t>Pasamuros de 0 a 0,50 m</t>
  </si>
  <si>
    <t>Pasamuro HF de 2" ELXEB L= 0 a 0,50 m</t>
  </si>
  <si>
    <t>Pasamuro HF de 2" ELXER L= 0 a 0,50 m</t>
  </si>
  <si>
    <t>Pasamuro HF de 2" EBXER= 0 a 0,50 m</t>
  </si>
  <si>
    <t>Pasamuro HF de 2" EBXEB= 0 a 0,50 m</t>
  </si>
  <si>
    <t>Pasamuro HF de 2" ERXER= 0 a 0,50 m</t>
  </si>
  <si>
    <t>3.17.1.2</t>
  </si>
  <si>
    <t>3.17.1.3</t>
  </si>
  <si>
    <t>3.17.1.4</t>
  </si>
  <si>
    <t>3.17.1.5</t>
  </si>
  <si>
    <t>3.17.1.6</t>
  </si>
  <si>
    <t>Pasamuro HF de 3" ELXEL L= 0 a 0,50 m</t>
  </si>
  <si>
    <t>Pasamuro HF de 3" ELXEB L= 0 a 0,50 m</t>
  </si>
  <si>
    <t>Pasamuro HF de 3" ELXER L= 0 a 0,50 m</t>
  </si>
  <si>
    <t>Pasamuro HF de 3" EBXER= 0 a 0,50 m</t>
  </si>
  <si>
    <t>Pasamuro HF de 3" ERXER= 0 a 0,50 m</t>
  </si>
  <si>
    <t>Pasamuro HF de 3" EBXEB= 0 a 0,50 m</t>
  </si>
  <si>
    <t>Pasamuro HF de 4" ELXEL L= 0 a 0,50 m</t>
  </si>
  <si>
    <t>Pasamuro HF de 4" ELXEB L= 0 a 0,50 m</t>
  </si>
  <si>
    <t>Pasamuro HF de 4" ELXER L= 0 a 0,50 m</t>
  </si>
  <si>
    <t>Pasamuro HF de 4" EBXER= 0 a 0,50 m</t>
  </si>
  <si>
    <t>Pasamuro HF de 4" ERXER= 0 a 0,50 m</t>
  </si>
  <si>
    <t>Pasamuro HF de 4" EBXEB= 0 a 0,50 m</t>
  </si>
  <si>
    <t>Pasamuro HF de 6" ELXEL L= 0 a 0,50 m</t>
  </si>
  <si>
    <t>Pasamuro HF de 6" ELXEB L= 0 a 0,50 m</t>
  </si>
  <si>
    <t>Pasamuro HF de 6" ELXER L= 0 a 0,50 m</t>
  </si>
  <si>
    <t>Pasamuro HF de 6" EBXER= 0 a 0,50 m</t>
  </si>
  <si>
    <t>Pasamuro HF de 6" ERXER= 0 a 0,50 m</t>
  </si>
  <si>
    <t>Pasamuro HF de 6" EBXEB= 0 a 0,50 m</t>
  </si>
  <si>
    <t>Pasamuro HF de 8" ELXEL L= 0 a 0,50 m</t>
  </si>
  <si>
    <t>Pasamuro HF de 8" ELXEB L= 0 a 0,50 m</t>
  </si>
  <si>
    <t>Pasamuro HF de 8" EBXEB= 0 a 0,50 m</t>
  </si>
  <si>
    <t>Pasamuro HF de 10" ELXEL L= 0 a 0,50 m</t>
  </si>
  <si>
    <t>Pasamuro HF de 10" ELXEB L= 0 a 0,50 m</t>
  </si>
  <si>
    <t>Pasamuro HF de 12" EBXEB= 0 a 0,50 m</t>
  </si>
  <si>
    <t>Pasamuro HF de 10" EBXEB= 0 a 0,50 m</t>
  </si>
  <si>
    <t>Pasamuro HF de 12" ELXEL L= 0 a 0,50 m</t>
  </si>
  <si>
    <t>Pasamuro HF de 12" ELXEB L= 0 a 0,50 m</t>
  </si>
  <si>
    <t>3.17.1.8</t>
  </si>
  <si>
    <t>3.17.1.9</t>
  </si>
  <si>
    <t>3.17.1.10</t>
  </si>
  <si>
    <t>3.17.1.11</t>
  </si>
  <si>
    <t>3.17.1.12</t>
  </si>
  <si>
    <t>3.17.1.15</t>
  </si>
  <si>
    <t>3.17.1.16</t>
  </si>
  <si>
    <t>3.17.1.17</t>
  </si>
  <si>
    <t>3.17.1.18</t>
  </si>
  <si>
    <t>3.17.1.19</t>
  </si>
  <si>
    <t>3.17.1.20</t>
  </si>
  <si>
    <t>3.17.1.21</t>
  </si>
  <si>
    <t>3.17.1.22</t>
  </si>
  <si>
    <t>3.17.1.23</t>
  </si>
  <si>
    <t>3.17.1.24</t>
  </si>
  <si>
    <t>3.17.1.26</t>
  </si>
  <si>
    <t>3.17.1.27</t>
  </si>
  <si>
    <t>3.17.1.28</t>
  </si>
  <si>
    <t>3.17.1.29</t>
  </si>
  <si>
    <t>3.17.1.30</t>
  </si>
  <si>
    <t>3.17.1.32</t>
  </si>
  <si>
    <t>3.17.1.33</t>
  </si>
  <si>
    <t>Pasamuro HF de 14" ELXEL L= 0 a 0,50 m</t>
  </si>
  <si>
    <t>Pasamuro HF de 14" ELXEB L= 0 a 0,50 m</t>
  </si>
  <si>
    <t>Pasamuro HF de 14" EBXEB= 0 a 0,50 m</t>
  </si>
  <si>
    <t>Pasamuro HF de 16" ELXEL L= 0 a 0,50 m</t>
  </si>
  <si>
    <t>Pasamuro HF de 16" ELXEB L= 0 a 0,50 m</t>
  </si>
  <si>
    <t>Pasamuro HF de 16" EBXEB= 0 a 0,50 m</t>
  </si>
  <si>
    <t>Pasamuro HF de 18" ELXEL L= 0 a 0,50 m</t>
  </si>
  <si>
    <t>Pasamuro HF de 18" ELXEB L= 0 a 0,50 m</t>
  </si>
  <si>
    <t>Pasamuro HF de 18" EBXEB= 0 a 0,50 m</t>
  </si>
  <si>
    <t>Pasamuro HF de 20" ELXEL L= 0 a 0,50 m</t>
  </si>
  <si>
    <t>Pasamuro HF de 20" ELXEB L= 0 a 0,50 m</t>
  </si>
  <si>
    <t>Pasamuro HF de 20" EBXEB= 0 a 0,50 m</t>
  </si>
  <si>
    <t>Pasamuro HF de 24" ELXEL L= 0 a 0,50 m</t>
  </si>
  <si>
    <t>Pasamuro HF de 24" ELXEB L= 0 a 0,50 m</t>
  </si>
  <si>
    <t>Pasamuro HF de 24" EBXEB= 0 a 0,50 m</t>
  </si>
  <si>
    <t>3.17.1.34</t>
  </si>
  <si>
    <t>3.17.1.35</t>
  </si>
  <si>
    <t>3.17.1.36</t>
  </si>
  <si>
    <t>3.17.1.38</t>
  </si>
  <si>
    <t>3.17.1.39</t>
  </si>
  <si>
    <t>3.17.1.40</t>
  </si>
  <si>
    <t>3.17.1.41</t>
  </si>
  <si>
    <t>3.17.1.42</t>
  </si>
  <si>
    <t>3.17.1.43</t>
  </si>
  <si>
    <t>3.17.1.44</t>
  </si>
  <si>
    <t>3.17.1.45</t>
  </si>
  <si>
    <t>3.17.1.46</t>
  </si>
  <si>
    <t>3.17.1.47</t>
  </si>
  <si>
    <t>3.17.1.48</t>
  </si>
  <si>
    <t>Pasamuro HF de 0,50m a 1,00 m</t>
  </si>
  <si>
    <t>Pasamuro HF de 2" ELXEL L= 0,50  a 1,00 m</t>
  </si>
  <si>
    <t>Pasamuro HF de 2" ELXEB L= 0,50 a 1,00 m</t>
  </si>
  <si>
    <t>Pasamuro HF de 2" ELXER L= 0,50 a 1,00 m</t>
  </si>
  <si>
    <t>Pasamuro HF de 2" EBXER= 0,50 a1,00 m</t>
  </si>
  <si>
    <t>Pasamuro HF de 2" ERXER= 0,50 a1,00 m</t>
  </si>
  <si>
    <t>Pasamuro HF de 3" ELXEL L= 0,50  a 1,00 m</t>
  </si>
  <si>
    <t>Pasamuro HF de 3" ELXEB L= 0,50 a 1,00 m</t>
  </si>
  <si>
    <t>Pasamuro HF de 3" ELXER L= 0,50 a 1,00 m</t>
  </si>
  <si>
    <t>Pasamuro HF de 3" EBXER= 0,50 a1,00 m</t>
  </si>
  <si>
    <t>Pasamuro HF de 3" ERXER= 0,50 a1,00 m</t>
  </si>
  <si>
    <t>Pasamuro HF de 4" ELXEL L= 0,50  a 1,00 m</t>
  </si>
  <si>
    <t>Pasamuro HF de 4" ELXEB L= 0,50 a 1,00 m</t>
  </si>
  <si>
    <t>Pasamuro HF de 4" ELXER L= 0,50 a 1,00 m</t>
  </si>
  <si>
    <t>Pasamuro HF de 4" EBXER= 0,50 a1,00 m</t>
  </si>
  <si>
    <t>Pasamuro HF de 4" ERXER= 0,50 a1,00 m</t>
  </si>
  <si>
    <t>Pasamuro HF de 6" ELXEL L= 0,50  a 1,00 m</t>
  </si>
  <si>
    <t>Pasamuro HF de 6" ELXEB L= 0,50 a 1,00 m</t>
  </si>
  <si>
    <t>Pasamuro HF de 6" ELXER L= 0,50 a 1,00 m</t>
  </si>
  <si>
    <t>Pasamuro HF de 6" EBXER= 0,50 a1,00 m</t>
  </si>
  <si>
    <t>Pasamuro HF de 6" ERXER= 0,50 a1,00 m</t>
  </si>
  <si>
    <t>Pasamuro HF de 2" EBXEB= 0,50 a1,00 m</t>
  </si>
  <si>
    <t>Pasamuro HF de 3" EBXEB L= 0,50 a 1,00 m</t>
  </si>
  <si>
    <t>Pasamuro HF de 4" EBXEB L= 0,50 a 1,00 m</t>
  </si>
  <si>
    <t>Pasamuro HF de 6" EBXEB= 0,50 a1,00 m</t>
  </si>
  <si>
    <t>Pasamuro HF de 8" ELXEL L= 0,50  a 1,00 m</t>
  </si>
  <si>
    <t>Pasamuro HF de 8" ELXEB L= 0,50 a 1,00 m</t>
  </si>
  <si>
    <t>Pasamuro HF de 8" EBXEB= 0,50 a1,00 m</t>
  </si>
  <si>
    <t>Pasamuro HF de 10" ELXEL L= 0,50  a 1,00 m</t>
  </si>
  <si>
    <t>Pasamuro HF de 10" ELXEB L= 0,50 a 1,00 m</t>
  </si>
  <si>
    <t>Pasamuro HF de 10" EBXEB= 0,50 a1,00 m</t>
  </si>
  <si>
    <t>Pasamuro HF de 12" ELXEL L= 0,50  a 1,00 m</t>
  </si>
  <si>
    <t>Pasamuro HF de 12" ELXEB L= 0,50 a 1,00 m</t>
  </si>
  <si>
    <t>Pasamuro HF de 12" EBXEB= 0,50 a1,00 m</t>
  </si>
  <si>
    <t>Pasamuro HF de 14" ELXEL L= 0,50  a 1,00 m</t>
  </si>
  <si>
    <t>Pasamuro HF de 14" ELXEB L= 0,50 a 1,00 m</t>
  </si>
  <si>
    <t>Pasamuro HF de 14" EBXEB= 0,50 a1,00 m</t>
  </si>
  <si>
    <t>Pasamuro HF de 16" ELXEL L= 0,50  a 1,00 m</t>
  </si>
  <si>
    <t>Pasamuro HF de 16" ELXEB L= 0,50 a 1,00 m</t>
  </si>
  <si>
    <t>Pasamuro HF de 16" EBXEB= 0,50 a1,00 m</t>
  </si>
  <si>
    <t>Pasamuro HF de 18" ELXEL L= 0,50  a 1,00 m</t>
  </si>
  <si>
    <t>Pasamuro HF de 18" ELXEB L= 0,50 a 1,00 m</t>
  </si>
  <si>
    <t>Pasamuro HF de 18" EBXEB= 0,50 a1,00 m</t>
  </si>
  <si>
    <t>Pasamuro HF de 20" ELXEL L= 0,50  a 1,00 m</t>
  </si>
  <si>
    <t>Pasamuro HF de 20" ELXEB L= 0,50 a 1,00 m</t>
  </si>
  <si>
    <t>Pasamuro HF de 20" EBXEB= 0,50 a1,00 m</t>
  </si>
  <si>
    <t>Pasamuro HF de 24" ELXEL L= 0,50  a 1,00 m</t>
  </si>
  <si>
    <t>Pasamuro HF de 24" ELXEB L= 0,50 a 1,00 m</t>
  </si>
  <si>
    <t>Pasamuro HF de 24" EBXEB= 0,50 a1,00 m</t>
  </si>
  <si>
    <t>3.17.2.1</t>
  </si>
  <si>
    <t>3.17.2.2</t>
  </si>
  <si>
    <t>3.17.2.5</t>
  </si>
  <si>
    <t>3.17.2.6</t>
  </si>
  <si>
    <t>3.17.2.7</t>
  </si>
  <si>
    <t>3.17.2.8</t>
  </si>
  <si>
    <t>3.17.2.9</t>
  </si>
  <si>
    <t>3.17.2.10</t>
  </si>
  <si>
    <t>3.17.2.11</t>
  </si>
  <si>
    <t>3.17.2.12</t>
  </si>
  <si>
    <t>3.17.2.13</t>
  </si>
  <si>
    <t>3.17.2.14</t>
  </si>
  <si>
    <t>3.17.2.15</t>
  </si>
  <si>
    <t>3.17.2.16</t>
  </si>
  <si>
    <t>3.17.2.17</t>
  </si>
  <si>
    <t>3.17.2.18</t>
  </si>
  <si>
    <t>3.17.2.19</t>
  </si>
  <si>
    <t>3.17.2.20</t>
  </si>
  <si>
    <t>3.17.2.21</t>
  </si>
  <si>
    <t>3.17.2.23</t>
  </si>
  <si>
    <t>3.17.2.24</t>
  </si>
  <si>
    <t>3.17.2.25</t>
  </si>
  <si>
    <t>3.17.2.26</t>
  </si>
  <si>
    <t>3.17.2.27</t>
  </si>
  <si>
    <t>3.17.2.28</t>
  </si>
  <si>
    <t>3.17.2.29</t>
  </si>
  <si>
    <t>3.17.2.30</t>
  </si>
  <si>
    <t>3.17.2.31</t>
  </si>
  <si>
    <t>3.17.2.32</t>
  </si>
  <si>
    <t>3.17.2.33</t>
  </si>
  <si>
    <t>3.17.2.34</t>
  </si>
  <si>
    <t>3.17.2.35</t>
  </si>
  <si>
    <t>3.17.2.36</t>
  </si>
  <si>
    <t>3.17.2.37</t>
  </si>
  <si>
    <t>3.17.2.38</t>
  </si>
  <si>
    <t>3.17.2.39</t>
  </si>
  <si>
    <t>3.17.2.40</t>
  </si>
  <si>
    <t>3.17.2.41</t>
  </si>
  <si>
    <t>3.17.2.42</t>
  </si>
  <si>
    <t>3.17.2.43</t>
  </si>
  <si>
    <t>3.17.2.44</t>
  </si>
  <si>
    <t>3.17.2.45</t>
  </si>
  <si>
    <t>3.17.2.46</t>
  </si>
  <si>
    <t>3.17.2.47</t>
  </si>
  <si>
    <t>3.17.2.48</t>
  </si>
  <si>
    <t>3.17.3</t>
  </si>
  <si>
    <t>Hidrantes</t>
  </si>
  <si>
    <t xml:space="preserve">Hidrante Tipo Boston </t>
  </si>
  <si>
    <t>Hidrante tipo Boston de 3" EL o JH PVC</t>
  </si>
  <si>
    <t>Hidrante tipo Boston de 3" Brida</t>
  </si>
  <si>
    <t>Hidrante tipo Boston de 4" EL o JH PVC</t>
  </si>
  <si>
    <t>Hidrante tipo Boston de 4" Brida</t>
  </si>
  <si>
    <t>Hidrante Tipo Milan</t>
  </si>
  <si>
    <t>Hidrante Tipo Milan 3" EL o JH PVC</t>
  </si>
  <si>
    <t>Hidrante Tipo Milan 3" Brida</t>
  </si>
  <si>
    <t>Hidrante Tipo Milan 4" EL o JH PVC</t>
  </si>
  <si>
    <t>Hidrante Tipo Milan 4" Brida</t>
  </si>
  <si>
    <t>3.17.3.1</t>
  </si>
  <si>
    <t>3.17.3.2</t>
  </si>
  <si>
    <t>3.17.3.3</t>
  </si>
  <si>
    <t>3.17.3.4</t>
  </si>
  <si>
    <t>3.17.4</t>
  </si>
  <si>
    <t>Kit de Nivelación Hidrantes</t>
  </si>
  <si>
    <t>3.17.4.1</t>
  </si>
  <si>
    <t xml:space="preserve">Hidrante Tipo Tráfico o Poste </t>
  </si>
  <si>
    <t>Hidrante Tipo Tráfico de 4" Brida</t>
  </si>
  <si>
    <t>Hidrante Tipo Tráfico de 6" Brida</t>
  </si>
  <si>
    <t>De 400 mm</t>
  </si>
  <si>
    <t>De 500 mm</t>
  </si>
  <si>
    <t>De 200 mm</t>
  </si>
  <si>
    <t>De 300 mm</t>
  </si>
  <si>
    <t>De 500 mm}</t>
  </si>
  <si>
    <t>Para Hidrantes Tipo tráfico de 6"</t>
  </si>
  <si>
    <t>Para Hidrantes tipo trafico  de 4"</t>
  </si>
  <si>
    <t>Para Hidrantes tipo Milan de 3"</t>
  </si>
  <si>
    <t>3.17.4.2.2</t>
  </si>
  <si>
    <t>3.17.4.2.3</t>
  </si>
  <si>
    <t>3.17.4.2.4</t>
  </si>
  <si>
    <t>3.17.4.3.1</t>
  </si>
  <si>
    <t>Válvulas de compuerta vástago no ascendente</t>
  </si>
  <si>
    <t>Válvula de compuerta elástica (AWWA C-509) EL o JH PVC</t>
  </si>
  <si>
    <t xml:space="preserve">Válvula de compuerta de vástago no ascendente 2" (50 mm) SRM </t>
  </si>
  <si>
    <t xml:space="preserve">Válvula de compuerta de vástago no ascendente 3" (75 mm) SRM </t>
  </si>
  <si>
    <t xml:space="preserve">Válvula de compuerta de vástago no ascendente 4" (100 mm) SRM </t>
  </si>
  <si>
    <t xml:space="preserve">Válvula de compuerta de vástago no ascendente 6" (150 mm) SRM </t>
  </si>
  <si>
    <t xml:space="preserve">Válvula de compuerta de vástago no ascendente 8" (200 mm) SRM </t>
  </si>
  <si>
    <t xml:space="preserve">Válvula de compuerta de vástago no ascendente 10" (250 mm) SRM </t>
  </si>
  <si>
    <t xml:space="preserve">Válvula de compuerta de vástago no ascendente 12" (300 mm) SRM </t>
  </si>
  <si>
    <t xml:space="preserve">Válvula de compuerta de vástago no ascendente 14" (350 mm) SRM </t>
  </si>
  <si>
    <t xml:space="preserve">Válvula de compuerta de vástago no ascendente 16" (400 mm) SRM </t>
  </si>
  <si>
    <t xml:space="preserve">Válvula de compuerta de vástago no ascendente 18" (450 mm) SRM </t>
  </si>
  <si>
    <t xml:space="preserve">Válvula de compuerta de vástago no ascendente 20" (500 mm) SRM </t>
  </si>
  <si>
    <t>3.17.4.1.1.1</t>
  </si>
  <si>
    <t>3.17.4.1.1.8</t>
  </si>
  <si>
    <t>3.17.4.1.1.9</t>
  </si>
  <si>
    <t>3.17.4.1.1.10</t>
  </si>
  <si>
    <t>3.17.4.1.1.11</t>
  </si>
  <si>
    <t>Válvula de compuerta elástica (AWWA C-509) Brida</t>
  </si>
  <si>
    <t xml:space="preserve">Válvula de compuerta de vástago no ascendente 2" (50 mm) CRM </t>
  </si>
  <si>
    <t xml:space="preserve">Válvula de compuerta de vástago no ascendente 3" (75 mm) CRM </t>
  </si>
  <si>
    <t xml:space="preserve">Válvula de compuerta de vástago no ascendente 4" (100 mm) CRM </t>
  </si>
  <si>
    <t xml:space="preserve">Válvula de compuerta de vástago no ascendente 10" (250 mm) CRM </t>
  </si>
  <si>
    <t xml:space="preserve">Válvula de compuerta de vástago no ascendente 12" (300 mm) CRM </t>
  </si>
  <si>
    <t xml:space="preserve">Válvula de compuerta de vástago no ascendente 14" (350 mm) CRM </t>
  </si>
  <si>
    <t xml:space="preserve">Válvula de compuerta de vástago no ascendente 16" (400 mm) CRM </t>
  </si>
  <si>
    <t xml:space="preserve">Válvula de compuerta de vástago no ascendente 18" (450 mm) CRM </t>
  </si>
  <si>
    <t xml:space="preserve">Válvula de compuerta de vástago no ascendente 20" (500 mm) CRM </t>
  </si>
  <si>
    <t xml:space="preserve">Válvula de compuerta de vástago no ascendente 8" (200 mm) CRM </t>
  </si>
  <si>
    <t>3.17.4.1.2.2</t>
  </si>
  <si>
    <t>3.17.4.1.2.3</t>
  </si>
  <si>
    <t>3.17.4.1.2.4</t>
  </si>
  <si>
    <t>3.17.4.1.2.5</t>
  </si>
  <si>
    <t>3.17.4.1.2.6</t>
  </si>
  <si>
    <t>3.17.4.1.2.7</t>
  </si>
  <si>
    <t>3.17.4.1.2.8</t>
  </si>
  <si>
    <t>3.17.4.1.2.9</t>
  </si>
  <si>
    <t>3.17.4.1.2.10</t>
  </si>
  <si>
    <t>3.17.4.1.2.11</t>
  </si>
  <si>
    <t>Válvulas de admisión y expulsión de aire o Ventosas</t>
  </si>
  <si>
    <t>Válvula ventosa (Cámara doble) Acción multiple</t>
  </si>
  <si>
    <t>Válvula ventosa (cámara doble) 1/2" Rosca</t>
  </si>
  <si>
    <t>Válvula ventosa (cámara doble) 3/4" Rosca</t>
  </si>
  <si>
    <t>Válvula ventosa (cámara doble) 1" Rosca</t>
  </si>
  <si>
    <t>Válvula ventosa (cámara doble) 4" Brida</t>
  </si>
  <si>
    <t>Válvula ventosa (cámara doble) 6" Brida</t>
  </si>
  <si>
    <t>Válvula ventosa (cámara doble) 8" Brida</t>
  </si>
  <si>
    <t>3.17.4.2.1.1</t>
  </si>
  <si>
    <t>3.17.4.2.1.8</t>
  </si>
  <si>
    <t>V{alvula Ventosa (Cámara sencilla) doble acción</t>
  </si>
  <si>
    <t>Válvula ventosa (cámara sencilla) doble acción de 1/2" Rosca</t>
  </si>
  <si>
    <t>Válvula ventosa (cámara sencilla) doble acción de 3/4" Rosca</t>
  </si>
  <si>
    <t>Válvula ventosa (cámara sencilla) doble acción de 1" Rosca</t>
  </si>
  <si>
    <t>Válvula ventosa (cámara sencilla) doble acción de 1 1/2" Rosca</t>
  </si>
  <si>
    <t>Válvula ventosa (cámara sencilla) doble acción de 2" Brida</t>
  </si>
  <si>
    <t>3.17.4.2.2.2</t>
  </si>
  <si>
    <t>3.17.4.2.2.3</t>
  </si>
  <si>
    <t>3.17.4.2.2.4</t>
  </si>
  <si>
    <t>3.18.5.1</t>
  </si>
  <si>
    <t>3.18.5.2</t>
  </si>
  <si>
    <t>Válvulas de Flotador</t>
  </si>
  <si>
    <t>Válvula de flotador de 1/2"</t>
  </si>
  <si>
    <t>Válvula de flotador de 3/4"</t>
  </si>
  <si>
    <t>Válvula de flotador de 1"</t>
  </si>
  <si>
    <t>Válvula de flotador de 2"</t>
  </si>
  <si>
    <t>Válvula de flotador de 3"</t>
  </si>
  <si>
    <t>3.17.4.3.1.1</t>
  </si>
  <si>
    <t>3.17.4.3.2</t>
  </si>
  <si>
    <t>Válvula de flotador de 1 1/2"</t>
  </si>
  <si>
    <t>3.17.4.4</t>
  </si>
  <si>
    <t>Válvulas Reguladoras de Nivel</t>
  </si>
  <si>
    <t>Válvula reguladora de nivel de 2"</t>
  </si>
  <si>
    <t>Válvula reguladora de nivel de 3"</t>
  </si>
  <si>
    <t>Válvula reguladora de nivel de 4"</t>
  </si>
  <si>
    <t>Válvula reguladora de nivel de 6"</t>
  </si>
  <si>
    <t>Válvula reguladora de nivel de 8"</t>
  </si>
  <si>
    <t>Válvula reguladora de nivel de 10"</t>
  </si>
  <si>
    <t>Válvula reguladora de nivel de 12"</t>
  </si>
  <si>
    <t>3.17.4.4.1</t>
  </si>
  <si>
    <t>Válvula de retención (Cheque) de 2"</t>
  </si>
  <si>
    <t>Válvula de retención (Cheque) de 3"</t>
  </si>
  <si>
    <t>Válvula de retención (Cheque) de 4"</t>
  </si>
  <si>
    <t>Válvula de retención (Cheque) de 6"</t>
  </si>
  <si>
    <t>Válvula de retención (Cheque) de 8"</t>
  </si>
  <si>
    <t>Válvula de retención (Cheque) de 10"</t>
  </si>
  <si>
    <t>Válvula de retención (Cheque) de 12"</t>
  </si>
  <si>
    <t>Válvula de retención (Cheque) de 14"</t>
  </si>
  <si>
    <t>Válvula de retención (Cheque) de 16"</t>
  </si>
  <si>
    <t>Válvula de retención (Cheque) de 18"</t>
  </si>
  <si>
    <t>Válvula de retención (Cheque) de 20"</t>
  </si>
  <si>
    <t>Válvula de retención (Cheque) de 24"</t>
  </si>
  <si>
    <t>Válvulas de Retención (Cheque) sin contrapesa (Bridas)</t>
  </si>
  <si>
    <t>3.17.4.5.1</t>
  </si>
  <si>
    <t>3.17.4.5.4</t>
  </si>
  <si>
    <t>3.17.4.5.5</t>
  </si>
  <si>
    <t>3.17.4.5.6</t>
  </si>
  <si>
    <t>Válvulas de compuerta vástago no ascendente Sello de Bronce</t>
  </si>
  <si>
    <t xml:space="preserve">Válvula de compuerta de vástago no ascendente 6" (150 mm) CRM </t>
  </si>
  <si>
    <t>Válvula de compuerta de vástago no ascendente 2" (50 mm) Sello de Bronce</t>
  </si>
  <si>
    <t>Válvula de compuerta de vástago no ascendente 3" (75 mm) Sello de Bronce</t>
  </si>
  <si>
    <t xml:space="preserve">Válvula de compuerta de vástago no ascendente 4" (100 mm) Sello de Bronce </t>
  </si>
  <si>
    <t>Válvula de compuerta de vástago no ascendente 6" (150 mm) Sello de Bronce</t>
  </si>
  <si>
    <t>Válvula de compuerta de vástago no ascendente 8" (200 mm) Sello de Bronce</t>
  </si>
  <si>
    <t xml:space="preserve">Válvula de compuerta de vástago no ascendente 10" (250 mm) Sello de Bronce </t>
  </si>
  <si>
    <t>Válvula de compuerta de vástago no ascendente 12" (300 mm) Sello de Bronce</t>
  </si>
  <si>
    <t>Válvula de compuerta de vástago no ascendente 14" (350 mm) Srello de Bronce</t>
  </si>
  <si>
    <t xml:space="preserve">Válvula de compuerta de vástago no ascendente 16" (400 mm) Sello de Bronce </t>
  </si>
  <si>
    <t>Válvula de compuerta de vástago no ascendente 18" (450 mm) Sello de Bronce</t>
  </si>
  <si>
    <t xml:space="preserve">Válvula de compuerta de vástago no ascendente 20" (500 mm) Sello de Bronce </t>
  </si>
  <si>
    <t>Válvula de compuerta de vástago no ascendente 24" (500 mm) Sello de Bronce</t>
  </si>
  <si>
    <t xml:space="preserve">3.17.4.2 </t>
  </si>
  <si>
    <t>3.17.4.2.1.9</t>
  </si>
  <si>
    <t>3.17.4.2.1.10</t>
  </si>
  <si>
    <t>3.17.4.2.1.11</t>
  </si>
  <si>
    <t xml:space="preserve">3.17.4.2.2.1 </t>
  </si>
  <si>
    <t>3.17.4.2.2.7</t>
  </si>
  <si>
    <t>3.17.4.2.2.8</t>
  </si>
  <si>
    <t>3.17.4.2.2.9</t>
  </si>
  <si>
    <t>3.17.4.2.2.10</t>
  </si>
  <si>
    <t>3.17.4.2.2.11</t>
  </si>
  <si>
    <t>3.17.4.2.2.12</t>
  </si>
  <si>
    <t xml:space="preserve">Válvulas de compuerta elástica vástago  ascendente </t>
  </si>
  <si>
    <t xml:space="preserve">Válvula de compuerta de vástago ascendente 3" (75 mm) </t>
  </si>
  <si>
    <t xml:space="preserve">Válvula de compuerta de vástago ascendente 4" (100 mm) </t>
  </si>
  <si>
    <t xml:space="preserve">Válvula de compuerta de vástago ascendente 6" (150 mm) </t>
  </si>
  <si>
    <t xml:space="preserve">Válvula de compuerta de vástago ascendente 8" (200 mm) </t>
  </si>
  <si>
    <t xml:space="preserve">Válvula de compuerta de vástago ascendente 10" (250 mm)  </t>
  </si>
  <si>
    <t xml:space="preserve">Válvula de compuerta de vástago ascendente 12" (300 mm) </t>
  </si>
  <si>
    <t xml:space="preserve">Válvulas de compuerta Sello de Bronce vástago  ascendente </t>
  </si>
  <si>
    <t>Válvula de compuerta de vástago ascendente 3" (75 mm) Sello Bronce</t>
  </si>
  <si>
    <t>Válvula de compuerta de vástago ascendente 4" (100 mm) Sello Bronce</t>
  </si>
  <si>
    <t>Válvula de compuerta de vástago ascendente 6" (150 mm) Sello Bronce</t>
  </si>
  <si>
    <t>Válvula de compuerta de vástago ascendente 8" (200 mm) Sello Bronce</t>
  </si>
  <si>
    <t xml:space="preserve">Válvula de compuerta de vástago ascendente 10" (250 mm) Sello bronce </t>
  </si>
  <si>
    <t>Válvula de compuerta de vástago ascendente 12" (300 mm) Sello Bronce</t>
  </si>
  <si>
    <t>3.17.4.3.1.2</t>
  </si>
  <si>
    <t>3.17.4.3.1.3</t>
  </si>
  <si>
    <t>3.17.4.3.1.4</t>
  </si>
  <si>
    <t>3.17.4.3.1.5</t>
  </si>
  <si>
    <t>3.17.4.3.1.6</t>
  </si>
  <si>
    <t>3.17.4.3.2.1</t>
  </si>
  <si>
    <t>3.17.4.3.2.2</t>
  </si>
  <si>
    <t>3.17.4.3.2.3</t>
  </si>
  <si>
    <t>3.17.4.3.2.4</t>
  </si>
  <si>
    <t>3.17.4.3.2.5</t>
  </si>
  <si>
    <t>3.17.4.3.2.6</t>
  </si>
  <si>
    <t>3.17.4.4.1.1</t>
  </si>
  <si>
    <t>3.17.4.4.1.2</t>
  </si>
  <si>
    <t>3.17.4.4.1.3</t>
  </si>
  <si>
    <t>3.17.4.4.1.4</t>
  </si>
  <si>
    <t>3.17.4.4.1.5</t>
  </si>
  <si>
    <t>3.17.4.4.1.6</t>
  </si>
  <si>
    <t>3.17.4.4.1.7</t>
  </si>
  <si>
    <t>3.17.4.4.1.8</t>
  </si>
  <si>
    <t xml:space="preserve">3.17.4.4.2 </t>
  </si>
  <si>
    <t>3.17.4.4.2.1</t>
  </si>
  <si>
    <t>3.17.4.4.2.2</t>
  </si>
  <si>
    <t>3.17.4.4.2.3</t>
  </si>
  <si>
    <t>3.17.4.4.2.4</t>
  </si>
  <si>
    <t>3.17.4.4.2.5</t>
  </si>
  <si>
    <t>3.17.4.6.4</t>
  </si>
  <si>
    <t>3.17.4.6.5</t>
  </si>
  <si>
    <t>3.17.4.6.6</t>
  </si>
  <si>
    <t>3.17.4.7.1</t>
  </si>
  <si>
    <t>3.17.4.6.7</t>
  </si>
  <si>
    <t>3.17.4.7.2</t>
  </si>
  <si>
    <t>3.17.4.7.3</t>
  </si>
  <si>
    <t>3.17.4.7.4</t>
  </si>
  <si>
    <t>3.17.4.7.5</t>
  </si>
  <si>
    <t>3.17.4.7.6</t>
  </si>
  <si>
    <t>3.17.4.7.7</t>
  </si>
  <si>
    <t>3.17.4.7.8</t>
  </si>
  <si>
    <t>3.17.4.7.9</t>
  </si>
  <si>
    <t>3.17.4.7.10</t>
  </si>
  <si>
    <t>3.17.4.7.11</t>
  </si>
  <si>
    <t>3.17.4.7.12</t>
  </si>
  <si>
    <t>Válvula de Globo</t>
  </si>
  <si>
    <t>Válvula Globol de 2"</t>
  </si>
  <si>
    <t>Válvula Globol de 3"</t>
  </si>
  <si>
    <t>Válvula Globol de 4"</t>
  </si>
  <si>
    <t>Válvula Globol de 6"</t>
  </si>
  <si>
    <t>Válvula Globol de 8"</t>
  </si>
  <si>
    <t>Válvula Globol de 10"</t>
  </si>
  <si>
    <t>3.17.4.8.1</t>
  </si>
  <si>
    <t>3.17.4.8.2</t>
  </si>
  <si>
    <t>3.17.4.8.3</t>
  </si>
  <si>
    <t>3.17.4.8.4</t>
  </si>
  <si>
    <t>3.17.4.8.5</t>
  </si>
  <si>
    <t>3.17.4.8.6</t>
  </si>
  <si>
    <t>Válvula Reductora de Presión</t>
  </si>
  <si>
    <t>Válvula Reguladora de presión de 2"</t>
  </si>
  <si>
    <t>Válvula Reguladora de presión de 4"</t>
  </si>
  <si>
    <t>Válvula Reguladora de presión de 6"</t>
  </si>
  <si>
    <t>Válvula Reguladora de presión de 8"</t>
  </si>
  <si>
    <t>Válvula Reguladora de presión de 10"</t>
  </si>
  <si>
    <t>Válvula Reguladora de presión de 12"</t>
  </si>
  <si>
    <t>3.17.4.9.1</t>
  </si>
  <si>
    <t>3.17.4.9.2</t>
  </si>
  <si>
    <t>3.17.4.9.3</t>
  </si>
  <si>
    <t>3.17.4.9.4</t>
  </si>
  <si>
    <t>3.17.4.9.5</t>
  </si>
  <si>
    <t>3.17.4.9.6</t>
  </si>
  <si>
    <t>Válvula de Fondo</t>
  </si>
  <si>
    <t>3.17.4.10</t>
  </si>
  <si>
    <t>3.17.4.10.1</t>
  </si>
  <si>
    <t>3.17.4.10.2</t>
  </si>
  <si>
    <t>3.17.4.10.3</t>
  </si>
  <si>
    <t>3.17.4.10.4</t>
  </si>
  <si>
    <t>3.17.4.10.5</t>
  </si>
  <si>
    <t>3.17.4.10.6</t>
  </si>
  <si>
    <t>3.17.4.10.7</t>
  </si>
  <si>
    <t>Válvula de Fondo de 4"</t>
  </si>
  <si>
    <t>Válvula de Fondo de 6"</t>
  </si>
  <si>
    <t>Válvula de Fondo de 8"</t>
  </si>
  <si>
    <t>Válvula de Fondo de 10"</t>
  </si>
  <si>
    <t>Válvula de Fondo de 12"</t>
  </si>
  <si>
    <t>Válvula de Fondo de 14"</t>
  </si>
  <si>
    <t>Válvula de Fondo de 16"</t>
  </si>
  <si>
    <t>3.17.4.11</t>
  </si>
  <si>
    <t>Válvula de Pie o Coladera</t>
  </si>
  <si>
    <t>Válvula de Pie o Coladera de 2"</t>
  </si>
  <si>
    <t>Válvula de Pie o Coladera de 3"</t>
  </si>
  <si>
    <t>Válvula de Pie o Coladera de 4"</t>
  </si>
  <si>
    <t>Válvula de Pie o Coladera de 6"</t>
  </si>
  <si>
    <t>Válvula de Pie o Coladera de 8"</t>
  </si>
  <si>
    <t>Válvula de Pie o Coladera de 10"</t>
  </si>
  <si>
    <t>Válvula de Pie o Coladera de 12"</t>
  </si>
  <si>
    <t>3.17.4.11.1</t>
  </si>
  <si>
    <t>3.17.4.11.2</t>
  </si>
  <si>
    <t>3.17.4.11.3</t>
  </si>
  <si>
    <t>3.17.4.11.4</t>
  </si>
  <si>
    <t>3.17.4.11.5</t>
  </si>
  <si>
    <t>3.17.4.11.6</t>
  </si>
  <si>
    <t>3.17.4.11.7</t>
  </si>
  <si>
    <t>3.17.4.12</t>
  </si>
  <si>
    <t>Válvula Mariposa</t>
  </si>
  <si>
    <t>Válvula mariposa de 2"</t>
  </si>
  <si>
    <t>Válvula mariposa de 3"</t>
  </si>
  <si>
    <t>Válvula mariposa de 4"</t>
  </si>
  <si>
    <t>Válvula mariposa de 6"</t>
  </si>
  <si>
    <t>Válvula mariposa de 8"</t>
  </si>
  <si>
    <t>Válvula mariposa de 10"</t>
  </si>
  <si>
    <t>Válvula mariposa de 12"</t>
  </si>
  <si>
    <t>Válvula mariposa de 14"</t>
  </si>
  <si>
    <t>Válvula mariposa de 16"</t>
  </si>
  <si>
    <t>Válvula mariposa de 18"</t>
  </si>
  <si>
    <t>Válvula mariposa de 20"</t>
  </si>
  <si>
    <t>3.17.4.12.1</t>
  </si>
  <si>
    <t>3.17.4.12.2</t>
  </si>
  <si>
    <t>3.17.4.12.3</t>
  </si>
  <si>
    <t>3.17.4.12.4</t>
  </si>
  <si>
    <t>3.17.4.12.5</t>
  </si>
  <si>
    <t>3.17.4.12.6</t>
  </si>
  <si>
    <t>3.17.4.12.7</t>
  </si>
  <si>
    <t>3.17.4.12.8</t>
  </si>
  <si>
    <t>3.17.4.12.9</t>
  </si>
  <si>
    <t>3.17.4.12.10</t>
  </si>
  <si>
    <t>3.17.4.12.11</t>
  </si>
  <si>
    <t>3.17.4.13</t>
  </si>
  <si>
    <t>Válvula de apertura y cierre rápido</t>
  </si>
  <si>
    <t>Válvula de apertura y cierre rápido de 2"</t>
  </si>
  <si>
    <t>Válvula de apertura y cierre rápido de 3"</t>
  </si>
  <si>
    <t>Válvula de apertura y cierre rápido de 4"</t>
  </si>
  <si>
    <t>Válvula de apertura y cierre rápido de 6"</t>
  </si>
  <si>
    <t>Válvula de apertura y cierre rápido de 8"</t>
  </si>
  <si>
    <t>Válvula de apertura y cierre rápido de 10"</t>
  </si>
  <si>
    <t>Válvula de apertura y cierre rápido de 12"</t>
  </si>
  <si>
    <t>3.17.4.13.1</t>
  </si>
  <si>
    <t>3.17.4.13.2</t>
  </si>
  <si>
    <t>3.17.4.13.3</t>
  </si>
  <si>
    <t>3.17.4.13.4</t>
  </si>
  <si>
    <t>3.17.4.13.5</t>
  </si>
  <si>
    <t>3.17.4.13.6</t>
  </si>
  <si>
    <t>3.17.4.13.7</t>
  </si>
  <si>
    <t>3.17.4.12.12</t>
  </si>
  <si>
    <t>Válvula mariposa de 24"</t>
  </si>
  <si>
    <t>3.17.4.13.8</t>
  </si>
  <si>
    <t>3.17.4.13.9</t>
  </si>
  <si>
    <t>3.17.4.13.10</t>
  </si>
  <si>
    <t>3.17.4.13.11</t>
  </si>
  <si>
    <t>3.17.4.13.12</t>
  </si>
  <si>
    <t>Válvula de apertura y cierre rápido de 14"</t>
  </si>
  <si>
    <t>Válvula de apertura y cierre rápido de 16"</t>
  </si>
  <si>
    <t>Válvula de apertura y cierre rápido de 18"</t>
  </si>
  <si>
    <t>Válvula de apertura y cierre rápido de 20"</t>
  </si>
  <si>
    <t>Válvula de apertura y cierre rápido de 24"</t>
  </si>
  <si>
    <t>3.17.4.14</t>
  </si>
  <si>
    <t>Registro de Bola</t>
  </si>
  <si>
    <t>Registro de Bola de 1"</t>
  </si>
  <si>
    <t>Registro de Bola de 3/4"</t>
  </si>
  <si>
    <t>Registro de Bola de 1/2"</t>
  </si>
  <si>
    <t>Registro de Bola de 1 1/2"</t>
  </si>
  <si>
    <t>Registro de Bola de 2"</t>
  </si>
  <si>
    <t>Registro de Bola de 2 1/2"</t>
  </si>
  <si>
    <t>Registro de Bola de 3"</t>
  </si>
  <si>
    <t>Registro de Bola de 4"</t>
  </si>
  <si>
    <t xml:space="preserve">3.17.4.14.1 </t>
  </si>
  <si>
    <t>3.17.4.14.2</t>
  </si>
  <si>
    <t>3.17.4.14.3</t>
  </si>
  <si>
    <t>3.17.4.14.4</t>
  </si>
  <si>
    <t>3.17.4.14.5</t>
  </si>
  <si>
    <t>3.17.4.14.6</t>
  </si>
  <si>
    <t>3.17.4.14.7</t>
  </si>
  <si>
    <t>3.17.4.14.8</t>
  </si>
  <si>
    <t>3.17.4.15</t>
  </si>
  <si>
    <t>3.17.4.15.1</t>
  </si>
  <si>
    <t>Compuerta lateral deslizante con sello de Bronce (Circulares)</t>
  </si>
  <si>
    <t>Compuerta lateral deslizante con sello de Bronce (Rectangulares)</t>
  </si>
  <si>
    <t>Rueda de manejo o volantes 6"-8"</t>
  </si>
  <si>
    <t>Compuerta lateral deslizante con sello de bronce (circular) 4"</t>
  </si>
  <si>
    <t>Compuerta lateral deslizante con sello de bronce (circular) 10"</t>
  </si>
  <si>
    <t>3.17.4.15.2</t>
  </si>
  <si>
    <t>3.17.4.15.3</t>
  </si>
  <si>
    <t>Compuerta lateral deslizante con sello de bronce (circular) 14"</t>
  </si>
  <si>
    <t>Compuerta lateral deslizante con sello de bronce (circular) 16"</t>
  </si>
  <si>
    <t>Compuerta lateral deslizante con sello de bronce (circular) 18"</t>
  </si>
  <si>
    <t>Compuerta lateral deslizante con sello de bronce (circular) 20"</t>
  </si>
  <si>
    <t>Compuerta lateral deslizante con sello de bronce (circular) 24"</t>
  </si>
  <si>
    <t>Compuerta lateral deslizante con sello de bronce (circular) 30"</t>
  </si>
  <si>
    <t>Compuerta lateral deslizante con sello de bronce (circular) 36"</t>
  </si>
  <si>
    <t>Compuerta lateral deslizante con sello de bronce (circular) 40"</t>
  </si>
  <si>
    <t>Compuerta lateral deslizante con sello de bronce (circular) 48"</t>
  </si>
  <si>
    <t>Compuerta lateral deslizante con sello de bronce (circular) 60"</t>
  </si>
  <si>
    <t>3.17.4.15.1.1</t>
  </si>
  <si>
    <t>3.17.4.15.1.2</t>
  </si>
  <si>
    <t>3.17.4.15.1.3</t>
  </si>
  <si>
    <t>3.17.4.15.1.4</t>
  </si>
  <si>
    <t>3.17.4.15.1.5</t>
  </si>
  <si>
    <t>3.17.4.15.1.6</t>
  </si>
  <si>
    <t>3.17.4.15.1.7</t>
  </si>
  <si>
    <t>3.17.4.15.1.8</t>
  </si>
  <si>
    <t>3.17.4.15.1.9</t>
  </si>
  <si>
    <t>3.17.4.15.1.10</t>
  </si>
  <si>
    <t>3.17.4.15.1.11</t>
  </si>
  <si>
    <t>3.17.4.15.1.12</t>
  </si>
  <si>
    <t>3.17.4.15.1.13</t>
  </si>
  <si>
    <t>3.17.4.15.1.14</t>
  </si>
  <si>
    <t>3.17.4.15.1.15</t>
  </si>
  <si>
    <t>Compuerta lateral deslizante con sello de bronce (Rectangular) 4"</t>
  </si>
  <si>
    <t>Compuerta lateral deslizante con sello de bronce (Rectangular) 6"</t>
  </si>
  <si>
    <t>Compuerta lateral deslizante con sello de bronce (Rectangular) 8"</t>
  </si>
  <si>
    <t>Compuerta lateral deslizante con sello de bronce (Rectangular) 10"</t>
  </si>
  <si>
    <t>Compuerta lateral deslizante con sello de bronce (Rectangular) 12"</t>
  </si>
  <si>
    <t>Compuerta lateral deslizante con sello de bronce (Rectangular) 14"</t>
  </si>
  <si>
    <t>Compuerta lateral deslizante con sello de bronce (Rectangular) 16"</t>
  </si>
  <si>
    <t>Compuerta lateral deslizante con sello de bronce (Rectangular) 18"</t>
  </si>
  <si>
    <t>Compuerta lateral deslizante con sello de bronce (Rectangular) 20"</t>
  </si>
  <si>
    <t>Compuerta lateral deslizante con sello de bronce (Rectangular) 24"</t>
  </si>
  <si>
    <t>Compuerta lateral deslizante con sello de bronce (Rectangular) 30"</t>
  </si>
  <si>
    <t>Compuerta lateral deslizante con sello de bronce (Rectangular) 36"</t>
  </si>
  <si>
    <t>Compuerta lateral deslizante con sello de bronce (Rectangular) 40"</t>
  </si>
  <si>
    <t>Compuerta lateral deslizante con sello de bronce (Rectangular) 48"</t>
  </si>
  <si>
    <t>Compuerta lateral deslizante con sello de bronce (Rectangular) 60"</t>
  </si>
  <si>
    <t>3.17.4.5.2.1</t>
  </si>
  <si>
    <t>3.17.4.5.2.5</t>
  </si>
  <si>
    <t>3.17.4.5.2.6</t>
  </si>
  <si>
    <t>3.17.4.5.2.7</t>
  </si>
  <si>
    <t>3.17.4.5.2.8</t>
  </si>
  <si>
    <t>3.17.4.5.2.9</t>
  </si>
  <si>
    <t>3.17.4.5.2.10</t>
  </si>
  <si>
    <t>3.17.4.5.2.11</t>
  </si>
  <si>
    <t>3.17.4.5.2.12</t>
  </si>
  <si>
    <t>3.17.4.5.2.13</t>
  </si>
  <si>
    <t>3.17.4.5.2.14</t>
  </si>
  <si>
    <t>3.17.4.5.2.15</t>
  </si>
  <si>
    <t>Vástago para compuerta 2"-8"</t>
  </si>
  <si>
    <t>Rueda de manejo o vlantes 18"-24"</t>
  </si>
  <si>
    <t>Rueda de manejo o volantes 2"-4"</t>
  </si>
  <si>
    <t>3.17.4.15.3.1</t>
  </si>
  <si>
    <t>3.17.4.15.3.2</t>
  </si>
  <si>
    <t>3.17.4.15.3.3</t>
  </si>
  <si>
    <t>3.17.4.15.3.4</t>
  </si>
  <si>
    <t>3.17.4.15.3.5</t>
  </si>
  <si>
    <t>3.17.4.15.3.6</t>
  </si>
  <si>
    <t>3.17.4.15.3.7</t>
  </si>
  <si>
    <t>3.17.4.15.3.8</t>
  </si>
  <si>
    <t>3.17.4.15.3.9</t>
  </si>
  <si>
    <t>3.17.4.15.3.10</t>
  </si>
  <si>
    <t>3.17.4.15.3.11</t>
  </si>
  <si>
    <t>Macromedidores</t>
  </si>
  <si>
    <t>Macromedidor Tipo Woltman de 2"</t>
  </si>
  <si>
    <t>Macromedidor Tipo Woltman de 3"</t>
  </si>
  <si>
    <t>Macromedidor Tipo Woltman de 4"</t>
  </si>
  <si>
    <t>Macromedidor Tipo Woltman de 6"</t>
  </si>
  <si>
    <t>Macromedidor Tipo Woltman de 8"</t>
  </si>
  <si>
    <t>Macromedidor Tipo Woltman de 10"</t>
  </si>
  <si>
    <t>Macromedidor Tipo Woltman de 12"</t>
  </si>
  <si>
    <t>3.17.5.3</t>
  </si>
  <si>
    <t>3.17.5.4</t>
  </si>
  <si>
    <t>3.17.5.5</t>
  </si>
  <si>
    <t>3.17.5.6</t>
  </si>
  <si>
    <t>3.17.5.7</t>
  </si>
  <si>
    <t>3.17.6</t>
  </si>
  <si>
    <t>3.17.6.1</t>
  </si>
  <si>
    <t>Micromedidores de chorro multiple</t>
  </si>
  <si>
    <t>De 1/2"</t>
  </si>
  <si>
    <t>De 3/4"</t>
  </si>
  <si>
    <t>De 1"</t>
  </si>
  <si>
    <t>De 1 1/2"</t>
  </si>
  <si>
    <t>De 2"</t>
  </si>
  <si>
    <t>3.17.6.1.1</t>
  </si>
  <si>
    <t>3.17.6.1.2</t>
  </si>
  <si>
    <t>3.17.6.1.3</t>
  </si>
  <si>
    <t>3.17.6.1.4</t>
  </si>
  <si>
    <t>3.17.6.1.5</t>
  </si>
  <si>
    <t>Micromedidores de chorro único</t>
  </si>
  <si>
    <t>Micromedidor Volumetrico</t>
  </si>
  <si>
    <t>3.17.6.2.1</t>
  </si>
  <si>
    <t>3.17.6.2.2</t>
  </si>
  <si>
    <t>3.17.6.2.3</t>
  </si>
  <si>
    <t>3.17.6.3.1</t>
  </si>
  <si>
    <t>3.17.6.3.2</t>
  </si>
  <si>
    <t>3.17.6.3.3</t>
  </si>
  <si>
    <t>Macromedidor Tipo Woltman de 2 1/2"</t>
  </si>
  <si>
    <t>Macromedidor Tipo Woltman de 14"</t>
  </si>
  <si>
    <t>Macromedidor Tipo Woltman de 16"</t>
  </si>
  <si>
    <t>Macromedidor Tipo Woltman de 18"</t>
  </si>
  <si>
    <t>Macromedidor Tipo Woltman de 20"</t>
  </si>
  <si>
    <t>3.17.5.8</t>
  </si>
  <si>
    <t>3.17.5.9</t>
  </si>
  <si>
    <t>3.17.5.10</t>
  </si>
  <si>
    <t>3.17.5.11</t>
  </si>
  <si>
    <t>3.17.5.12</t>
  </si>
  <si>
    <t>Instalación Macromedidor de 14"</t>
  </si>
  <si>
    <t>Instalación Macromedidor de 16"</t>
  </si>
  <si>
    <t>Instalación Macromedidor de 18"</t>
  </si>
  <si>
    <t>Instalación Macromedidor de 20"</t>
  </si>
  <si>
    <t>3.18.6.8</t>
  </si>
  <si>
    <t>3.18.6.9</t>
  </si>
  <si>
    <t>3.18.6.10</t>
  </si>
  <si>
    <t>3.18.6.11</t>
  </si>
  <si>
    <t>3.17.7</t>
  </si>
  <si>
    <t xml:space="preserve">OTROS ACCESORIOS O ELEMENTOS </t>
  </si>
  <si>
    <t>3.17.7.1</t>
  </si>
  <si>
    <t>De 0,70 x 0,20 m</t>
  </si>
  <si>
    <t>De 0,70 x 0,25 m</t>
  </si>
  <si>
    <t>De 0,70 x 0,30 m</t>
  </si>
  <si>
    <t>De 0,70 x 0,40 m</t>
  </si>
  <si>
    <t>De 0,70 x 0,50 m</t>
  </si>
  <si>
    <t>Rejillas para carcamos en HF</t>
  </si>
  <si>
    <t>TOTAL COSTOS DIRECTOS SUMINISTROS</t>
  </si>
  <si>
    <t xml:space="preserve">CAMISETA </t>
  </si>
  <si>
    <t>SUMINISTROS</t>
  </si>
  <si>
    <t>DESCARGUE  TRANSPORTE Y BODEGA</t>
  </si>
  <si>
    <t>ANALISIS DE PRECIOS UNITARIOS</t>
  </si>
  <si>
    <t>LOCALIZACIÓN Y REPLANTEO REDES</t>
  </si>
  <si>
    <t>ml</t>
  </si>
  <si>
    <t>EQUIPO</t>
  </si>
  <si>
    <t>TARIFA/DÍA</t>
  </si>
  <si>
    <t>RENDIMIENTO</t>
  </si>
  <si>
    <t>%MO</t>
  </si>
  <si>
    <t>HR</t>
  </si>
  <si>
    <t>MATERIALES</t>
  </si>
  <si>
    <t>% DESPERDICIO</t>
  </si>
  <si>
    <t>TRANSPORTE MATERIAL</t>
  </si>
  <si>
    <t>DISTANCIA</t>
  </si>
  <si>
    <t>MANO DE OBRA</t>
  </si>
  <si>
    <t>JORNAL TOTAL</t>
  </si>
  <si>
    <t>DD</t>
  </si>
  <si>
    <t>COSTOS DIRECTOS</t>
  </si>
  <si>
    <t>1.1.2</t>
  </si>
  <si>
    <t>LOCALIZACIÓN Y REPLANTEO ESTRUCTURAS</t>
  </si>
  <si>
    <r>
      <t>m</t>
    </r>
    <r>
      <rPr>
        <b/>
        <sz val="10"/>
        <color theme="1"/>
        <rFont val="Calibri"/>
        <family val="2"/>
      </rPr>
      <t>²</t>
    </r>
  </si>
  <si>
    <t>1.1.3</t>
  </si>
  <si>
    <t>JORNAL</t>
  </si>
  <si>
    <t>PRESTACIONES</t>
  </si>
  <si>
    <t>1.1.4</t>
  </si>
  <si>
    <t>DESVIACIÓN DE CAUCE ENTRE 0 A 1 M</t>
  </si>
  <si>
    <t>un</t>
  </si>
  <si>
    <t>1.1.5</t>
  </si>
  <si>
    <t>DESVIACIÓN DE CAUCE ENTRE 0 A 3 M</t>
  </si>
  <si>
    <t>1.1.6</t>
  </si>
  <si>
    <t xml:space="preserve"> CAMPAMENTO EN MADERA</t>
  </si>
  <si>
    <t>GANCHO PARA TEJA ONDULADA ETERNIT.</t>
  </si>
  <si>
    <t>M³</t>
  </si>
  <si>
    <t>kg</t>
  </si>
  <si>
    <t>M</t>
  </si>
  <si>
    <t xml:space="preserve"> VALLA DE HASTA 8 M²</t>
  </si>
  <si>
    <t xml:space="preserve">      VALLA DE 8 M² A 24  M²</t>
  </si>
  <si>
    <t>TARIFA/MES</t>
  </si>
  <si>
    <t>CONOS DE GUÍA</t>
  </si>
  <si>
    <t>1.2.1.5</t>
  </si>
  <si>
    <t>CINTAS PLÁSTICAS REFLECTIVAS</t>
  </si>
  <si>
    <t>TARIFA/HORA</t>
  </si>
  <si>
    <t>Herramienta menor</t>
  </si>
  <si>
    <t>Postes tubulares</t>
  </si>
  <si>
    <t>Cinta de señalización</t>
  </si>
  <si>
    <t>rollo</t>
  </si>
  <si>
    <t>Nota Reutilización de los Postes 10 veces</t>
  </si>
  <si>
    <t>1.2.2.1</t>
  </si>
  <si>
    <t xml:space="preserve">   ENTORNO DE OBRA</t>
  </si>
  <si>
    <t>MS</t>
  </si>
  <si>
    <t>COSTO MENSUAL</t>
  </si>
  <si>
    <t>PROFESIONAL SOCIAL</t>
  </si>
  <si>
    <t>MES</t>
  </si>
  <si>
    <t>1.2.2.2</t>
  </si>
  <si>
    <t xml:space="preserve"> INFORMACIÓN DE PARTICIPACIÓN CIUDADANA</t>
  </si>
  <si>
    <t>1.3.1</t>
  </si>
  <si>
    <r>
      <t>m</t>
    </r>
    <r>
      <rPr>
        <b/>
        <sz val="10"/>
        <color theme="1"/>
        <rFont val="Calibri"/>
        <family val="2"/>
      </rPr>
      <t>³</t>
    </r>
  </si>
  <si>
    <t>HERRAMIENTA MENOR</t>
  </si>
  <si>
    <t>1.3.3</t>
  </si>
  <si>
    <t>1.3.4</t>
  </si>
  <si>
    <t>2.1.1</t>
  </si>
  <si>
    <t>EXCAVACIÓN EN ROCA</t>
  </si>
  <si>
    <t>glb</t>
  </si>
  <si>
    <t>ENTIBADO TIPO 2 (CONTINUO EN MADERA)</t>
  </si>
  <si>
    <r>
      <t>M</t>
    </r>
    <r>
      <rPr>
        <sz val="10"/>
        <color theme="1"/>
        <rFont val="Calibri"/>
        <family val="2"/>
      </rPr>
      <t>²</t>
    </r>
  </si>
  <si>
    <t>RELLENO CON MATERIAL SELECCIONADO PROCEDENTE DE LA EXCAVACIÓN</t>
  </si>
  <si>
    <t>M3</t>
  </si>
  <si>
    <t>BASE GRANULAR BG4 (NORMA ET-2005 IDU)</t>
  </si>
  <si>
    <t>2.9</t>
  </si>
  <si>
    <t>CARGUE Y RETIRO DE SOBRANTES</t>
  </si>
  <si>
    <t>ENROCADO DE PROTECCIÓN</t>
  </si>
  <si>
    <t>Topografo</t>
  </si>
  <si>
    <t>Cadenero 1º</t>
  </si>
  <si>
    <t>Cadenero 2º</t>
  </si>
  <si>
    <t>Estaquero</t>
  </si>
  <si>
    <t>ANALISIS DE PRECIOS UNITARIOS BASICO</t>
  </si>
  <si>
    <t>Gasolina</t>
  </si>
  <si>
    <t>gl</t>
  </si>
  <si>
    <t>Estación eléctronica</t>
  </si>
  <si>
    <t>Cinta metálica</t>
  </si>
  <si>
    <t>Estaca de madera</t>
  </si>
  <si>
    <t>Motomba de 4"</t>
  </si>
  <si>
    <t>Aceite Motor</t>
  </si>
  <si>
    <t>hr</t>
  </si>
  <si>
    <t xml:space="preserve">ITEM </t>
  </si>
  <si>
    <t xml:space="preserve"> INSTALACIÓN TUBERÍA PVC D=1/2" A 3/4"</t>
  </si>
  <si>
    <t xml:space="preserve"> INSTALACIÓN TUBERÍA PVC D=1" A 1 1/2"</t>
  </si>
  <si>
    <t xml:space="preserve"> INSTALACIÓN TUBERÍA PF+UAD D=1/2" A 3/4"</t>
  </si>
  <si>
    <t>lb</t>
  </si>
  <si>
    <t>gr</t>
  </si>
  <si>
    <t>lt</t>
  </si>
  <si>
    <t xml:space="preserve"> INSTALACIÓN ACCESORIOS  PVC  D=2" A 4"</t>
  </si>
  <si>
    <t xml:space="preserve"> INSTALACIÓN ACCESORIOS  PVC  D=6" A 8"</t>
  </si>
  <si>
    <t xml:space="preserve"> INSTALACIÓN ACCESORIOS  PVC  D=10" A 12"</t>
  </si>
  <si>
    <t xml:space="preserve"> INSTALACIÓN TUBERÍA POLIETILENO PE-100 63 MM A PE-100 110 MM</t>
  </si>
  <si>
    <t xml:space="preserve"> INSTALACIÓN TUBERÍA POLIETILENO PE-100 160 MM A PE-100 200 MM</t>
  </si>
  <si>
    <t xml:space="preserve"> INSTALACIÓN ACCESORIOS  POLIETILENO-PE 100 TERMOFUSIÓN DIÁMETRO  63MM a 110MM</t>
  </si>
  <si>
    <t xml:space="preserve"> INSTALACIÓN ACCESORIOS  POLIETILENO-PE 100 TERMOFUSIÓN DIÁMETRO  160MM a 200MM</t>
  </si>
  <si>
    <t xml:space="preserve"> INSTALACIÓN ACCESORIOS  POLIETILENO-PE 100 ELECTROFUSIÓN DIÁMETRO  63MM a 110MM</t>
  </si>
  <si>
    <t xml:space="preserve"> INSTALACIÓN ACCESORIOS  POLIETILENO-PE 100 ELECTROFUSIÓN DIÁMETRO  160MM a 200MM</t>
  </si>
  <si>
    <t xml:space="preserve"> INSTALACIÓN TUBERÍA EN HIERRO GALVANIZADO 3/8" A 3/4"</t>
  </si>
  <si>
    <t xml:space="preserve"> INSTALACIÓN TUBERÍA EN HIERRO GALVANIZADO 1" A 1.1/2"</t>
  </si>
  <si>
    <t xml:space="preserve"> INSTALACIÓN TUBERÍA EN HIERRO GALVANIZADO 2" A 3"</t>
  </si>
  <si>
    <t xml:space="preserve"> INSTALACIÓN TUBERÍA EN HIERRO GALVANIZADO 4"</t>
  </si>
  <si>
    <t xml:space="preserve"> INSTALACIÓN ACCESORIOS  EN HIERRO GALVANIZADO 3/8" A 3/4"</t>
  </si>
  <si>
    <t xml:space="preserve"> INSTALACIÓN ACCESORIOS  EN HIERRO GALVANIZADO 1" A 1.1/2"</t>
  </si>
  <si>
    <t xml:space="preserve"> INSTALACIÓN ACCESORIOS  EN HIERRO GALVANIZADO 2" A 3"</t>
  </si>
  <si>
    <t xml:space="preserve"> INSTALACIÓN ACCESORIOS  EN HIERRO GALVANIZADO 4"</t>
  </si>
  <si>
    <t>3.14.3</t>
  </si>
  <si>
    <t xml:space="preserve"> INSTALACIÓN PASAMUROS EN HF D=2" A 6" L= 0 A 0.50 M</t>
  </si>
  <si>
    <t xml:space="preserve"> INSTALACIÓN PASAMUROS EN HF D=8" A 12" L= 0 A 0.50 M</t>
  </si>
  <si>
    <t xml:space="preserve"> INSTALACIÓN PASAMUROS EN HF D=2" A 6" L=  0.50 M a 1.00 M</t>
  </si>
  <si>
    <t xml:space="preserve"> INSTALACIÓN PASAMUROS EN HF D=8" A 12" L=  0.50 M A 1.00 M</t>
  </si>
  <si>
    <t xml:space="preserve"> INSTALACIÓN HIDRANTE TIPO TRÁFICO DE 4" A 6"</t>
  </si>
  <si>
    <t xml:space="preserve"> INSTALACIÓN HIDRANTE TIPO MILAN DE 3" A 4"</t>
  </si>
  <si>
    <t>3.18.3.1</t>
  </si>
  <si>
    <t xml:space="preserve"> INSTALACIÓN VÁLVULA DE 2"  A 4"</t>
  </si>
  <si>
    <t xml:space="preserve"> INSTALACIÓN VÁLVULA DE 10"  A 12"</t>
  </si>
  <si>
    <t xml:space="preserve"> INSTALACIÓN REGISTRO DE BOLA DE 1/2" A 1"</t>
  </si>
  <si>
    <t xml:space="preserve"> INSTALACIÓN VÁLVULA FLOTADOR DE 1/2" A 1"</t>
  </si>
  <si>
    <t>INSTALACIÓN  DE  COMPUERTAS  LATERALES  DESLIZANTE  CON  SELLO  DE BRONCE RECTANGULAR O CIRCULAR DE 4" A 8"</t>
  </si>
  <si>
    <t>INSTALACIÓN  DE  COMPUERTAS  LATERALES  DESLIZANTE  CON  SELLO  DE BRONCE RECTANGULAR O CIRCULAR DE 10" A 14"</t>
  </si>
  <si>
    <t>INSTALACIÓN  DE  COMPUERTAS  LATERALES  DESLIZANTE  CON  SELLO  DE BRONCE RECTANGULAR O CIRCULAR DE 16" A 20"</t>
  </si>
  <si>
    <t xml:space="preserve"> INSTALACIÓN DE VÁLVULA DE RETENCIÓN O DE GLOBO DE 2" A 4"</t>
  </si>
  <si>
    <t>3.18.7.2</t>
  </si>
  <si>
    <t xml:space="preserve"> INSTALACIÓN DE VÁLVULA DE RETENCIÓN O DE GLOBO DE 6" A 8"</t>
  </si>
  <si>
    <t>3.18.7.3</t>
  </si>
  <si>
    <t xml:space="preserve"> INSTALACIÓN DE VÁLVULA DE RETENCIÓN O DE GLOBO DE 10" A 12"</t>
  </si>
  <si>
    <t>3.18.8.1</t>
  </si>
  <si>
    <t xml:space="preserve"> INSTALACIÓN DE VÁLVULA REDUCTORA DE PRESIÓN  DE 2" A 4"</t>
  </si>
  <si>
    <t>3.18.8.2</t>
  </si>
  <si>
    <t xml:space="preserve"> INSTALACIÓN DE VÁLVULA REDUCTORA DE PRESIÓN  DE 6" A 8"</t>
  </si>
  <si>
    <t>3.18.8.3</t>
  </si>
  <si>
    <t xml:space="preserve"> INSTALACIÓN DE VÁLVULA REDUCTORA DE PRESIÓN  DE 10" A 12"</t>
  </si>
  <si>
    <t>3.18.9.1</t>
  </si>
  <si>
    <t xml:space="preserve"> INSTALACIÓN DE VÁLVULAS PIE O COLADERA DE 2" A 4"</t>
  </si>
  <si>
    <t>3.18.9.2</t>
  </si>
  <si>
    <t xml:space="preserve"> INSTALACIÓN DE VÁLVULAS PIE O COLADERA DE 6" A 8"</t>
  </si>
  <si>
    <t>3.18.9.3</t>
  </si>
  <si>
    <t xml:space="preserve"> INSTALACIÓN DE VÁLVULAS PIE O COLADERA DE 10" A 12"</t>
  </si>
  <si>
    <t xml:space="preserve"> INSTALACIÓN REJILLAS EN HIERRO</t>
  </si>
  <si>
    <t xml:space="preserve"> INSTALACIÓN REJILLA EN LÁMINA DE ACERO INOXIDABLE</t>
  </si>
  <si>
    <t>3.20.1</t>
  </si>
  <si>
    <t>CAJA PARA MEDIDOR</t>
  </si>
  <si>
    <t>m3</t>
  </si>
  <si>
    <t>CONSTRUCCIÓN CAJA PARA VENTOSA HASTA DE 6" DE 0.60 X 0.60 M</t>
  </si>
  <si>
    <t>3.21.2</t>
  </si>
  <si>
    <t>CONSTRUCCIÓN CAJA PARA PURGA DE 1.00 X 1.00 M</t>
  </si>
  <si>
    <t>3.21.3</t>
  </si>
  <si>
    <t>3.21.4</t>
  </si>
  <si>
    <t>Mezcladora</t>
  </si>
  <si>
    <t>Cemento</t>
  </si>
  <si>
    <t>kls</t>
  </si>
  <si>
    <t>Arena lavada</t>
  </si>
  <si>
    <t>Grava</t>
  </si>
  <si>
    <t>Agua</t>
  </si>
  <si>
    <t>Vibrador</t>
  </si>
  <si>
    <t xml:space="preserve">Formaleta de madera </t>
  </si>
  <si>
    <t>m2</t>
  </si>
  <si>
    <t>5.1.7</t>
  </si>
  <si>
    <t>CONCRETO SIMPLE RESIST. 28.0 Mpa (280Kg/cm2)</t>
  </si>
  <si>
    <t>5.2.1</t>
  </si>
  <si>
    <t>Curado</t>
  </si>
  <si>
    <t>Formaleta de metálica</t>
  </si>
  <si>
    <t>5.3.2</t>
  </si>
  <si>
    <t>MORTERO RESIST. 14 Mpa (140kg/cm2)</t>
  </si>
  <si>
    <t>5.3.3</t>
  </si>
  <si>
    <t>MORTERO RESIST. 17.5 Mpa (175kg/cm2)</t>
  </si>
  <si>
    <t>5.3.4</t>
  </si>
  <si>
    <t>MORTERO RESIST. 21 Mpa (210kg/cm2)</t>
  </si>
  <si>
    <t>5.3.5</t>
  </si>
  <si>
    <t>MORTERO RESIST. 24.5 Mpa (245kg/cm2)</t>
  </si>
  <si>
    <t>5.3.6</t>
  </si>
  <si>
    <t>MORTERO RESIST. 28 Mpa (280kg/cm2)</t>
  </si>
  <si>
    <t>5.4.1</t>
  </si>
  <si>
    <t>ACERO DE REFUERZO DE 60000 PSI</t>
  </si>
  <si>
    <t>ADHESIVO EPÓXICO DE CONCRETO FRESCO ENDURECIDO</t>
  </si>
  <si>
    <t>IMPERMEABILIZANTE PARA CONCRETO</t>
  </si>
  <si>
    <t>ACELERANTE PARA CONCRETO</t>
  </si>
  <si>
    <t>5.5.5</t>
  </si>
  <si>
    <t>FLUIDIFICANTE PARA CONCRETO</t>
  </si>
  <si>
    <t>CINTA PVC V-15</t>
  </si>
  <si>
    <t>PAVIMENTO FLEXIBLE EN MDC-1</t>
  </si>
  <si>
    <t>PAVIMENTO FLEXIBLE EN MDC-2</t>
  </si>
  <si>
    <t xml:space="preserve"> PAVIMENTO FLEXIBLE EN MDC-3</t>
  </si>
  <si>
    <t>7.1.4</t>
  </si>
  <si>
    <t>PAVIMENTO RÍGIDO (MR 41KG/CM2)</t>
  </si>
  <si>
    <t>7.1.5</t>
  </si>
  <si>
    <t>PAVIMENTO RÍGIDO (MR 43KG/CM2)</t>
  </si>
  <si>
    <t>7.1.6</t>
  </si>
  <si>
    <t>PAVIMENTO RÍGIDO (MR 39 KG/CM2)</t>
  </si>
  <si>
    <t>Bulto</t>
  </si>
  <si>
    <t xml:space="preserve"> ANDENES EN TABLETA</t>
  </si>
  <si>
    <t>M²</t>
  </si>
  <si>
    <t>ANDENES EN ADOQUIN</t>
  </si>
  <si>
    <t>SARDINELES CONCRETO 0.50 M</t>
  </si>
  <si>
    <t>ARENA PARA FILTROS</t>
  </si>
  <si>
    <t>ANTRACITA PARA FILTROS</t>
  </si>
  <si>
    <t>GRAVA PARA FILTROS</t>
  </si>
  <si>
    <t>MURO BLOQUE Nº 5</t>
  </si>
  <si>
    <t>6.2.3</t>
  </si>
  <si>
    <t>6.2.4</t>
  </si>
  <si>
    <t>PAÑETE MUROS</t>
  </si>
  <si>
    <t>6.2.5</t>
  </si>
  <si>
    <t>PAÑETE BAJO PLACA</t>
  </si>
  <si>
    <t>SUMINISTRO E INSTALACIÓN DE TEJA ONDULADA EN A.C. ( Incluye elementos de fijación)</t>
  </si>
  <si>
    <t>PUNTOS ELÉCTRICOS</t>
  </si>
  <si>
    <t>PUNTOS HIDRÁULICO</t>
  </si>
  <si>
    <t>SUMINISTRO E INSTALACIÓN APARATOS  SANITARIOS</t>
  </si>
  <si>
    <t>SUMINISTRO E INSTALACIÓN LAVAMANOS (incluye grifería)</t>
  </si>
  <si>
    <t>6.5.3</t>
  </si>
  <si>
    <t>SUMINISTRO E INSTALACIÓN GRIFERÍA PARA DUCHA</t>
  </si>
  <si>
    <t>6.5.4</t>
  </si>
  <si>
    <t>SUMINISTRO E INSTALACIÓN JUEGO DE INCRUSTACIONES</t>
  </si>
  <si>
    <t>MESÓN EN CONCRETO ENCHAPADO EN CERÁMICA</t>
  </si>
  <si>
    <t>ESCALERA TIPO GATO</t>
  </si>
  <si>
    <t>PASARELAS EN LÁMINA DE ALFAJOR</t>
  </si>
  <si>
    <t>MARCOS METÁLICOS EN LÁMINAS CR Calibre 20</t>
  </si>
  <si>
    <t>6.7.6</t>
  </si>
  <si>
    <t>6.7.7</t>
  </si>
  <si>
    <t>VENTANERíA EN LÁMINA CR Y VIDRIO DE 4 MM</t>
  </si>
  <si>
    <t>Vidrio de 4 mm</t>
  </si>
  <si>
    <t>6.8.2</t>
  </si>
  <si>
    <t>ESMALTE SOBRE LÁMINA LINEAL</t>
  </si>
  <si>
    <t>6.8.3</t>
  </si>
  <si>
    <t>ESMALTE SOBRE LAMINA LLENA</t>
  </si>
  <si>
    <t>Campamento</t>
  </si>
  <si>
    <t>Recebo</t>
  </si>
  <si>
    <t>Concreto de 17,5 Mpa (175 kg/cm2)</t>
  </si>
  <si>
    <t>Vara rolliza de 6 m.</t>
  </si>
  <si>
    <t>Tabla Chapa de 0,30m</t>
  </si>
  <si>
    <t>Puntilla con cabeza de 2"</t>
  </si>
  <si>
    <t>Gancho para teja ondulada</t>
  </si>
  <si>
    <t>Teja de Fibro cemento Nº6</t>
  </si>
  <si>
    <t>Bisagra de 3"</t>
  </si>
  <si>
    <t>Portacandado</t>
  </si>
  <si>
    <t>Candados</t>
  </si>
  <si>
    <t>Ayudante</t>
  </si>
  <si>
    <t xml:space="preserve">Valla hasta 8 m2 </t>
  </si>
  <si>
    <t>Valla hasta 8 m2 a 24 m2</t>
  </si>
  <si>
    <t>Señales Informativas preventivas y/o reglamentarias</t>
  </si>
  <si>
    <t xml:space="preserve"> SEÑALES INFORMATIVAS PREVENTIVAS Y/O  REGLAMENTARIAS</t>
  </si>
  <si>
    <t xml:space="preserve"> SEÑALES INFORMATIVAS PREVENTIVAS Y/O  REGLAMENTARIAS MOVILES</t>
  </si>
  <si>
    <t>Reutilización 5 veces</t>
  </si>
  <si>
    <t>Tablero de soporte</t>
  </si>
  <si>
    <t>Poste de fijación</t>
  </si>
  <si>
    <t>Canecas plásticas con reflectivo</t>
  </si>
  <si>
    <t>Canecas Plásticas</t>
  </si>
  <si>
    <t xml:space="preserve">Retroexcavadora </t>
  </si>
  <si>
    <t>Compresor</t>
  </si>
  <si>
    <t>Machinero</t>
  </si>
  <si>
    <t>Dinamitero</t>
  </si>
  <si>
    <t>Oficial especializado</t>
  </si>
  <si>
    <t xml:space="preserve">Oficial  </t>
  </si>
  <si>
    <t>Malla de cerramiento plástica</t>
  </si>
  <si>
    <t>Postes plásticos</t>
  </si>
  <si>
    <t>Alambre de amarre</t>
  </si>
  <si>
    <t>Vara corredor</t>
  </si>
  <si>
    <t>KL</t>
  </si>
  <si>
    <t>Los postes plásticos y la vara que una reutilización de 10 veces</t>
  </si>
  <si>
    <t>La malla con una reutilización de 3 Veces</t>
  </si>
  <si>
    <t xml:space="preserve">Puentes peatonales en madera </t>
  </si>
  <si>
    <t>Cerco ordinario</t>
  </si>
  <si>
    <t>Tabla chapa de 0,25 m</t>
  </si>
  <si>
    <t>Repisa ordinario</t>
  </si>
  <si>
    <t>Puntilla</t>
  </si>
  <si>
    <t>Planta eléctrica Diesel de 25 kw</t>
  </si>
  <si>
    <t>Lámparas moviles de 150 kw</t>
  </si>
  <si>
    <t>Un</t>
  </si>
  <si>
    <t>Tablero de 12 circuitos</t>
  </si>
  <si>
    <t>Señalizador</t>
  </si>
  <si>
    <t xml:space="preserve">Sanitario Móviles </t>
  </si>
  <si>
    <t>mes</t>
  </si>
  <si>
    <t>Cabina sanitaria</t>
  </si>
  <si>
    <t>Mes</t>
  </si>
  <si>
    <t>Vigilancia</t>
  </si>
  <si>
    <t>2.6.1</t>
  </si>
  <si>
    <t>Demolición de Estructuras en Concreto reforzado</t>
  </si>
  <si>
    <t>Demolición de Estructuras en Concreto Simple</t>
  </si>
  <si>
    <t>Demolición de Estructuras en Concreto Ciclopéo</t>
  </si>
  <si>
    <t xml:space="preserve">Cortadora </t>
  </si>
  <si>
    <t>Disco de tugsteno</t>
  </si>
  <si>
    <t>Cortador</t>
  </si>
  <si>
    <t>Demolición de Pavimento Rígido</t>
  </si>
  <si>
    <t>Demolición de Pavimento Flexible</t>
  </si>
  <si>
    <t>Demolición de Andenes</t>
  </si>
  <si>
    <t>Demolición de Sardineles en Concreto</t>
  </si>
  <si>
    <t>Demolición de cilindro de pozos en ladrillo</t>
  </si>
  <si>
    <t>Equipo de Cargue</t>
  </si>
  <si>
    <t>Tabla burra ordinario de 25 cms</t>
  </si>
  <si>
    <t>Puntilla de 3"</t>
  </si>
  <si>
    <t>Madera rolliza (Vara)</t>
  </si>
  <si>
    <t>El Tablero tiene un reuso de 10 veces , el codal tiene una reutilización de 5 Veces</t>
  </si>
  <si>
    <t>La tabla burra su reuso es de 20 veces</t>
  </si>
  <si>
    <t>La tabla burra su reuso es de 10 veces</t>
  </si>
  <si>
    <t>Lámina metálica</t>
  </si>
  <si>
    <t>Gato metálico</t>
  </si>
  <si>
    <t>Viga metálica</t>
  </si>
  <si>
    <t>Retroexcavadora</t>
  </si>
  <si>
    <t>Compactador (canguro)</t>
  </si>
  <si>
    <t>Selección de material</t>
  </si>
  <si>
    <t xml:space="preserve">Sub-base B-400 </t>
  </si>
  <si>
    <t>Compactador (Benitín)</t>
  </si>
  <si>
    <t xml:space="preserve">Base B-600 </t>
  </si>
  <si>
    <t>Arena de Peña</t>
  </si>
  <si>
    <t>Arena Lavada,Grava o mixto</t>
  </si>
  <si>
    <t>Triturado</t>
  </si>
  <si>
    <t>Piedra Rajón</t>
  </si>
  <si>
    <t>Piedra Media Zonga</t>
  </si>
  <si>
    <t>Concreto resistencia 17,50MPa (175 kg/cm2)</t>
  </si>
  <si>
    <t>Malla Gaviones</t>
  </si>
  <si>
    <t>Saco de lona</t>
  </si>
  <si>
    <t>Tierra material seleccionado</t>
  </si>
  <si>
    <t>Geotextil</t>
  </si>
  <si>
    <t>Gravilla material filtrante</t>
  </si>
  <si>
    <t>Geotextil Nt</t>
  </si>
  <si>
    <t xml:space="preserve">Uniones </t>
  </si>
  <si>
    <t>Tubería de 2" de drenaje</t>
  </si>
  <si>
    <t>Reducciones Excentricas Extremo Bridas</t>
  </si>
  <si>
    <t>3.17.7.2</t>
  </si>
  <si>
    <t>3.17.7.3</t>
  </si>
  <si>
    <t>3.17.7.4</t>
  </si>
  <si>
    <t>3.17.7.5</t>
  </si>
  <si>
    <t>3.17.7.6</t>
  </si>
  <si>
    <t>3.17.7.7</t>
  </si>
  <si>
    <t>3.17.8</t>
  </si>
  <si>
    <t>3.17.8.1</t>
  </si>
  <si>
    <t>3.17.8.1.1</t>
  </si>
  <si>
    <t>3.17.8.1.2</t>
  </si>
  <si>
    <t>3.17.8.1.3</t>
  </si>
  <si>
    <t>3.17.8.1.4</t>
  </si>
  <si>
    <t>3.17.8.1.5</t>
  </si>
  <si>
    <t>Nivelación de pisos con Mortero</t>
  </si>
  <si>
    <t>Anfor</t>
  </si>
  <si>
    <t>Indugel</t>
  </si>
  <si>
    <t>Cordon detonante</t>
  </si>
  <si>
    <t>m</t>
  </si>
  <si>
    <t>Material explosivo</t>
  </si>
  <si>
    <t>Mini Cargador</t>
  </si>
  <si>
    <t>VIAS</t>
  </si>
  <si>
    <t xml:space="preserve">Compactador </t>
  </si>
  <si>
    <t>Motoniveladora</t>
  </si>
  <si>
    <t>Alambre Galvanizado</t>
  </si>
  <si>
    <t>Acero de Refuerzo</t>
  </si>
  <si>
    <t>Filtro con Tubería de Drenaje de 65 mm</t>
  </si>
  <si>
    <t>Filtro con Tubería de Drenaje de 100 mm</t>
  </si>
  <si>
    <t>Filtro con Tubería de Drenaje de 160 mm</t>
  </si>
  <si>
    <t>Filtro con Tubería de Drenaje de 200 mm</t>
  </si>
  <si>
    <t>Día</t>
  </si>
  <si>
    <t>Regla Vibratoria</t>
  </si>
  <si>
    <t>Equipo de Electrofusión</t>
  </si>
  <si>
    <t>Bloque Nº 5</t>
  </si>
  <si>
    <t>Impermeabilizante Integral</t>
  </si>
  <si>
    <t>Alcohol</t>
  </si>
  <si>
    <t>Anticorrosivo</t>
  </si>
  <si>
    <t>Cemento Blanco</t>
  </si>
  <si>
    <t>Granito</t>
  </si>
  <si>
    <t>Hipoclorito de Sodio</t>
  </si>
  <si>
    <t>Soldadura</t>
  </si>
  <si>
    <t>EXCAVACIONES DEMOLICIONES ENTIBADOS Y RELLENOS</t>
  </si>
  <si>
    <t>Excavaciones a mano  de 0 a 2 m de profundidad</t>
  </si>
  <si>
    <t>Excavaciones a mano de 2 a 4 m de profundidad</t>
  </si>
  <si>
    <t xml:space="preserve">Excavaciones a mano a profundidad mayor a 4m </t>
  </si>
  <si>
    <t>3.4.4</t>
  </si>
  <si>
    <t>3.4.5</t>
  </si>
  <si>
    <t>Instalación accesorios PVC de D=14" a 16"</t>
  </si>
  <si>
    <t>Instalación accesorios PVC de D=18" a 20"</t>
  </si>
  <si>
    <t>3.4.6</t>
  </si>
  <si>
    <t>Instalación accesorios PVC de D=24"</t>
  </si>
  <si>
    <t>Instalación accesorios PEAD de D=40 mm a 110 mm</t>
  </si>
  <si>
    <t>Instalación accesorios PEAD de D=125 mm a 200 mm</t>
  </si>
  <si>
    <t>Instalación accesorios PEAD de D=355 mm a 400 mm</t>
  </si>
  <si>
    <t>Instalación accesorios PEAD de D=225 mm a 315 mm</t>
  </si>
  <si>
    <t>3.8.1.5</t>
  </si>
  <si>
    <t>3.8.2.5</t>
  </si>
  <si>
    <t>INSTALACION TUBERIA GRP</t>
  </si>
  <si>
    <t>Instalación tubería GRP de 300 mm</t>
  </si>
  <si>
    <t>Instalación tubería GRP de 350 mm</t>
  </si>
  <si>
    <t>Instalación tubería GRP de 400 mm</t>
  </si>
  <si>
    <t>Instalación tubería GRP de 450 mm</t>
  </si>
  <si>
    <t>Instalación tubería GRP de 500 mm</t>
  </si>
  <si>
    <t>Instalación tubería GRP de 600 mm</t>
  </si>
  <si>
    <t>Instalación tubería GRP de 700 mm</t>
  </si>
  <si>
    <t>Instalación tubería GRP de 800 mm</t>
  </si>
  <si>
    <t>Instalación tubería GRP de 900 mm</t>
  </si>
  <si>
    <t>Instalación tubería GRP de 1000 mm</t>
  </si>
  <si>
    <t>Instalación tubería GRP de 1200 mm</t>
  </si>
  <si>
    <t>Instalación tubería GRP de 1300 mm</t>
  </si>
  <si>
    <t>Instalación tubería GRP de 1400 mm</t>
  </si>
  <si>
    <t>Instalación tubería GRP de 1800 mm</t>
  </si>
  <si>
    <t>Instalación tubería GRP de 1600 mm</t>
  </si>
  <si>
    <t>Instalación tubería GRP de 2000 mm</t>
  </si>
  <si>
    <t>Instalación tubería GRP de 2200 mm</t>
  </si>
  <si>
    <t>Instalación tubería GRP de 2400 mm</t>
  </si>
  <si>
    <t>Instalación tubería GRP de 2600 mm</t>
  </si>
  <si>
    <t>Instalación tubería GRP de 2800 mm</t>
  </si>
  <si>
    <t>Instalación tubería GRP de 3000 mm</t>
  </si>
  <si>
    <t>INSTALACION ACCESORIOS GRP</t>
  </si>
  <si>
    <t>Instalación accesorios GRP de D=300 mm</t>
  </si>
  <si>
    <t>3.9.1.1</t>
  </si>
  <si>
    <t>3.9.1.2</t>
  </si>
  <si>
    <t>3.9.1.3</t>
  </si>
  <si>
    <t>3.9.1.4</t>
  </si>
  <si>
    <t>3.9.1.5</t>
  </si>
  <si>
    <t>3.9.1.6</t>
  </si>
  <si>
    <t>3.9.1.7</t>
  </si>
  <si>
    <t>3.9.1.8</t>
  </si>
  <si>
    <t>3.9.1.9</t>
  </si>
  <si>
    <t>3.9.1.10</t>
  </si>
  <si>
    <t>3.9.1.11</t>
  </si>
  <si>
    <t>3.9.1.12</t>
  </si>
  <si>
    <t>3.9.1.13</t>
  </si>
  <si>
    <t>3.9.1.14</t>
  </si>
  <si>
    <t>3.9.1.15</t>
  </si>
  <si>
    <t>3.9.1.16</t>
  </si>
  <si>
    <t>3.9.1.17</t>
  </si>
  <si>
    <t>3.9.1.18</t>
  </si>
  <si>
    <t>3.9.1.19</t>
  </si>
  <si>
    <t>3.9.1.20</t>
  </si>
  <si>
    <t>3.9.1.21</t>
  </si>
  <si>
    <t>3.9.2.1</t>
  </si>
  <si>
    <t>3.9.2.2</t>
  </si>
  <si>
    <t>3.9.2.3</t>
  </si>
  <si>
    <t>3.9.2.4</t>
  </si>
  <si>
    <t>3.9.2.5</t>
  </si>
  <si>
    <t>3.9.2.6</t>
  </si>
  <si>
    <t>3.9.2.7</t>
  </si>
  <si>
    <t>3.9.2.8</t>
  </si>
  <si>
    <t>3.9.2.9</t>
  </si>
  <si>
    <t>3.9.2.10</t>
  </si>
  <si>
    <t>3.9.2.11</t>
  </si>
  <si>
    <t>3.9.2.12</t>
  </si>
  <si>
    <t>3.9.2.13</t>
  </si>
  <si>
    <t>3.9.2.14</t>
  </si>
  <si>
    <t>3.9.2.15</t>
  </si>
  <si>
    <t>3.9.2.16</t>
  </si>
  <si>
    <t>3.9.2.17</t>
  </si>
  <si>
    <t>3.9.2.18</t>
  </si>
  <si>
    <t>3.9.2.19</t>
  </si>
  <si>
    <t>3.9.2.20</t>
  </si>
  <si>
    <t>3.9.2.21</t>
  </si>
  <si>
    <t>Instalación accesorios GRP de D=350 mm</t>
  </si>
  <si>
    <t>Instalación accesorios GRP de D=400 mm</t>
  </si>
  <si>
    <t>Instalación accesorios GRP de D=450 mm</t>
  </si>
  <si>
    <t>Instalación accesorios GRP de D=500 mm</t>
  </si>
  <si>
    <t>Instalación accesorios GRP de D=600 mm</t>
  </si>
  <si>
    <t>Instalación accesorios GRP de D=700 mm</t>
  </si>
  <si>
    <t>Instalación accesorios GRP de D=800 mm</t>
  </si>
  <si>
    <t>Instalación accesorios GRP de D=900 mm</t>
  </si>
  <si>
    <t>Instalación accesorios GRP de D=1000 mm</t>
  </si>
  <si>
    <t>Instalación accesorios GRP de D=1100 mm</t>
  </si>
  <si>
    <t>Instalación accesorios GRP de D=1200 mm</t>
  </si>
  <si>
    <t>Instalación accesorios GRP de D=1400 mm</t>
  </si>
  <si>
    <t>Instalación accesorios GRP de D=1600 mm</t>
  </si>
  <si>
    <t>Instalación accesorios GRP de D=1800 mm</t>
  </si>
  <si>
    <t>Instalación accesorios GRP de D=2000 mm</t>
  </si>
  <si>
    <t>Instalación accesorios GRP de D=2200 mm</t>
  </si>
  <si>
    <t>Instalación accesorios GRP de D=2400 mm</t>
  </si>
  <si>
    <t>Instalación accesorios GRP de D=2600 mm</t>
  </si>
  <si>
    <t>Instalación accesorios GRP de D=2800 mm</t>
  </si>
  <si>
    <t>Instalación accesorios GRP de D=3000 mm</t>
  </si>
  <si>
    <t>5.4.2.1</t>
  </si>
  <si>
    <t>5.4.2.2</t>
  </si>
  <si>
    <t>Instalación compuerta Tipo Chapaleta de 2" a 4"</t>
  </si>
  <si>
    <t>Instalación compuerta Tipo Chapaleta de 6" a 8"</t>
  </si>
  <si>
    <t>Instalación compuerta Tipo Chapaleta de 10" a 12"</t>
  </si>
  <si>
    <t>Instalación compuerta Tipo Chapaleta de 14" a 16"</t>
  </si>
  <si>
    <t>Instalación compuerta Tipo Chapaleta de 18" a 20"</t>
  </si>
  <si>
    <t>Instalación compuerta Tipo Chapaleta de 24" a 30"</t>
  </si>
  <si>
    <t>EDIFICACIONES PARTICULARES CASETAS PARA ESTACIONES  DE BOMBEO PLANTAS DE TRATAMIENTO</t>
  </si>
  <si>
    <t>Muro en ladrillo tolete común</t>
  </si>
  <si>
    <t>Suministro e instalación de ducha con grifería completa</t>
  </si>
  <si>
    <t>Puerta metálica doble para bodega de h=2,40 m y ancho de 3,50 m pintada con anticorrosivo y esmalte</t>
  </si>
  <si>
    <t xml:space="preserve">Ventanería en perfil de aluminio y vidrio de 5 mm </t>
  </si>
  <si>
    <t>Puerta metalica con marco de h=2,05m, ancho de 0,90 a 1,00m pintada con anticorrosivo y esmalte</t>
  </si>
  <si>
    <t>Puerta Entamborada con marco de  h=2.05 m ancho 0,80 a 0,90 m</t>
  </si>
  <si>
    <t>CANALES Y BAJANTES</t>
  </si>
  <si>
    <t>Canal en lamina calibre 22</t>
  </si>
  <si>
    <t>Flanche metálico en lámina calibre 22</t>
  </si>
  <si>
    <t>Impermeabilización cubiertas en concreto en manto reflectivo con pintura bituminosa</t>
  </si>
  <si>
    <t>Bajante en lamina calibre 22</t>
  </si>
  <si>
    <t>En malla eslabonada de h=2,00 m con parales cada 3 metros y cuatro hilos de alambre de púas ofensivo</t>
  </si>
  <si>
    <t>En malla eslabonada de h=1,50 m con parales cada 3 metros y cuatro hilos de alambre de púas ofensivo y zocalo en ladrillo de 60 cms de alto.</t>
  </si>
  <si>
    <t xml:space="preserve"> INSTALACIÓN TUBERÍA PVC UNIÓN MECÁNICA D=2" Y 2 1/2""</t>
  </si>
  <si>
    <t xml:space="preserve"> INSTALACIÓN TUBERÍA PVC UNIÓN MECÁNICA D=3"</t>
  </si>
  <si>
    <t xml:space="preserve"> INSTALACIÓN TUBERÍA PVC UNIÓN MECÁNICA D=6"</t>
  </si>
  <si>
    <t xml:space="preserve"> INSTALACIÓN TUBERÍA PVC UNIÓN MECÁNICA D=10"</t>
  </si>
  <si>
    <t xml:space="preserve"> INSTALACIÓN TUBERÍA PVC UNIÓN MECÁNICA D=12"</t>
  </si>
  <si>
    <t xml:space="preserve"> INSTALACIÓN TUBERÍA PVC UNIÓN MECÁNICA D=14"</t>
  </si>
  <si>
    <t xml:space="preserve"> INSTALACIÓN TUBERÍA PVC UNIÓN MECÁNICA D=16"</t>
  </si>
  <si>
    <t xml:space="preserve"> INSTALACIÓN TUBERÍA EN HIERRO DÚCTIL  2"(50MM) </t>
  </si>
  <si>
    <t xml:space="preserve"> INSTALACIÓN TUBERÍA EN HIERRO DÚCTIL 3"(75MM)</t>
  </si>
  <si>
    <t xml:space="preserve"> INSTALACIÓN TUBERÍA EN HIERRO DÚCTIL 4"(100MM)</t>
  </si>
  <si>
    <t xml:space="preserve"> INSTALACIÓN TUBERÍA EN HIERRO DÚCTIL 6"(150MM)</t>
  </si>
  <si>
    <t xml:space="preserve"> INSTALACIÓN TUBERÍA EN HIERRO DÚCTIL 8"(200MM) </t>
  </si>
  <si>
    <t xml:space="preserve"> INSTALACIÓN TUBERÍA EN HIERRO DÚCTIL 10"(250MM) </t>
  </si>
  <si>
    <t xml:space="preserve"> INSTALACIÓN TUBERÍA EN HIERRO DÚCTIL 12"(300MM)</t>
  </si>
  <si>
    <t xml:space="preserve"> INSTALACIÓN TUBERÍA EN HIERRO DÚCTIL 14"(350MM) </t>
  </si>
  <si>
    <t xml:space="preserve"> INSTALACIÓN TUBERÍA EN HIERRO DÚCTIL  16"(400MM)</t>
  </si>
  <si>
    <t xml:space="preserve"> INSTALACIÓN TUBERÍA EN HIERRO DÚCTIL 18"(450MM) </t>
  </si>
  <si>
    <t xml:space="preserve"> INSTALACIÓN TUBERÍA EN HIERRO DÚCTIL  20"(500MM)</t>
  </si>
  <si>
    <t xml:space="preserve"> INSTALACIÓN ACCESORIOS EN HIERRO DÚCTIL 2"(50MM) </t>
  </si>
  <si>
    <t xml:space="preserve"> INSTALACIÓN ACCESORIOS EN HIERRO DÚCTIL 3"(75MM) </t>
  </si>
  <si>
    <t xml:space="preserve"> INSTALACIÓN ACCESORIOS EN HIERRO DÚCTIL  4"(100MM)</t>
  </si>
  <si>
    <t xml:space="preserve"> INSTALACIÓN ACCESORIOS EN HIERRO DÚCTIL 6"(150MM)</t>
  </si>
  <si>
    <t xml:space="preserve"> INSTALACIÓN ACCESORIOS EN HIERRO DÚCTIL 8"(200MM)</t>
  </si>
  <si>
    <t xml:space="preserve"> INSTALACIÓN ACCESORIOS EN HIERRO DÚCTIL 10"(250MM)</t>
  </si>
  <si>
    <t xml:space="preserve"> INSTALACIÓN ACCESORIOS EN HIERRO DÚCTIL 12" </t>
  </si>
  <si>
    <t xml:space="preserve"> INSTALACIÓN ACCESORIOS EN HIERRO DÚCTIL 14"</t>
  </si>
  <si>
    <t xml:space="preserve"> INSTALACIÓN ACCESORIOS EN HIERRO DÚCTIL  16"</t>
  </si>
  <si>
    <t xml:space="preserve"> INSTALACIÓN NIPLES EN HF D=2" A 6" L= 0 A 1,00 M</t>
  </si>
  <si>
    <t xml:space="preserve"> INSTALACIÓN NIPLES EN HF D=2" A 6" L= 1,00  A 2,00 M</t>
  </si>
  <si>
    <t xml:space="preserve"> INSTALACIÓN NIPLES EN HF D=2" A 6" L= 2,00 A 3,00 M</t>
  </si>
  <si>
    <t xml:space="preserve"> INSTALACIÓN NIPLES EN HF D=2" A 6" L= 3,00 A 4,00 M</t>
  </si>
  <si>
    <t xml:space="preserve"> INSTALACIÓN NIPLES EN HF D=2" A 6" L= 4,00 A 5,00 M</t>
  </si>
  <si>
    <t xml:space="preserve"> INSTALACIÓN NIPLES EN HF D=8" A 12" L= 0 A 1,00 M</t>
  </si>
  <si>
    <t xml:space="preserve"> INSTALACIÓN NIPLES EN HF D=8" A 12" L= 1,00  A 2,00 M</t>
  </si>
  <si>
    <t xml:space="preserve"> INSTALACIÓN NIPLES EN HF D=8" A 12" L= 2,00 A 3,00 M</t>
  </si>
  <si>
    <t xml:space="preserve"> INSTALACIÓN NIPLES EN HF D=8" A 12" L= 3,00 A 4,00 M</t>
  </si>
  <si>
    <t xml:space="preserve"> INSTALACIÓN NIPLES EN HF D=8" A 12" L= 4,00 A 5,00 M</t>
  </si>
  <si>
    <t xml:space="preserve"> INSTALACIÓN NIPLES EN HF D=12" A 16" L= 2,00 A 3,00 M</t>
  </si>
  <si>
    <t xml:space="preserve"> INSTALACIÓN NIPLES EN HF D=12" A 16" L= 3,00 A 4,00 M</t>
  </si>
  <si>
    <t xml:space="preserve"> INSTALACIÓN NIPLES EN HF D=12" A 16" L= 4,00 A 5,00 M</t>
  </si>
  <si>
    <t xml:space="preserve"> INSTALACIÓN VÁLVULA DE 2"  A  4"  BRIDADAS</t>
  </si>
  <si>
    <t xml:space="preserve"> INSTALACIÓN VÁLVULA DE 6"  A  8"</t>
  </si>
  <si>
    <t xml:space="preserve"> INSTALACIÓN DE VÁLVULA REGULADORA  DE NIVEL  DE 14"</t>
  </si>
  <si>
    <t xml:space="preserve"> INSTALACIÓN DE CHAPALETAS DE 14"</t>
  </si>
  <si>
    <t xml:space="preserve"> INSTALACIÓN DE MACROMEDIDOR ULTRASONICO</t>
  </si>
  <si>
    <t>CONSTRUCCIÓN CAJAS DE VÁLVULAS 0.60 X 0.60 M</t>
  </si>
  <si>
    <t>CONCRETO ESTRUCTURAL RESIST. 21.0 Mpa (210Kg/cm2) LOSAS FONDO</t>
  </si>
  <si>
    <t>Cimbra</t>
  </si>
  <si>
    <t>CONCRETO ESTRUCTURAL RESIST. 28.0 Mpa (280Kg/cm2) LOSAS DE FONDO</t>
  </si>
  <si>
    <t>PAVIMENTO  EN ADOQUIN</t>
  </si>
  <si>
    <t>SARDINELES CONCRETO 0.40 M</t>
  </si>
  <si>
    <t>Malla de Cerramiento eslabonada galvanizada  h= 2m en modulo de 3m</t>
  </si>
  <si>
    <t>Puerta de acceso Doble Hoja</t>
  </si>
  <si>
    <t>Herramienta Menor</t>
  </si>
  <si>
    <t>Equipo de Soldadura</t>
  </si>
  <si>
    <t xml:space="preserve">un </t>
  </si>
  <si>
    <t>Cortes y escuadras</t>
  </si>
  <si>
    <t>Malla Eslabonada galvanizada H=2 m Calibre 10</t>
  </si>
  <si>
    <t>Viga de cimentacion en concreto</t>
  </si>
  <si>
    <t>Tensores de hoja</t>
  </si>
  <si>
    <t>Bloque de anclaje paral en concreto</t>
  </si>
  <si>
    <t>Alambre de puas tipo Motto o similar</t>
  </si>
  <si>
    <t>Angulo de 1"</t>
  </si>
  <si>
    <t>Kg</t>
  </si>
  <si>
    <t>Parales de 3 m</t>
  </si>
  <si>
    <t>Parales de 3"</t>
  </si>
  <si>
    <t>Platina de 2 1/2"x3/16"</t>
  </si>
  <si>
    <t>Maestro</t>
  </si>
  <si>
    <t>Oficial</t>
  </si>
  <si>
    <t>Ayudantes</t>
  </si>
  <si>
    <t>Soldador</t>
  </si>
  <si>
    <t>ITEM:</t>
  </si>
  <si>
    <t>Formaleta</t>
  </si>
  <si>
    <t xml:space="preserve"> Muro en Ladrillo </t>
  </si>
  <si>
    <t>Cinta en concreto</t>
  </si>
  <si>
    <t>Ornamentador</t>
  </si>
  <si>
    <t>PAVIMENTO FLEXIBLE EN MDC-1 PARCHEO</t>
  </si>
  <si>
    <t>Compactador de llanta</t>
  </si>
  <si>
    <t>Finisher</t>
  </si>
  <si>
    <t>Vibrocompactador Benitín</t>
  </si>
  <si>
    <t>Asfalto liquido Liga</t>
  </si>
  <si>
    <t>Emulsión Asfáltica</t>
  </si>
  <si>
    <t>Equipo de Terminado</t>
  </si>
  <si>
    <t>Formaleta en madera</t>
  </si>
  <si>
    <t>MANEJO DE AGUAS</t>
  </si>
  <si>
    <t>CANECAS</t>
  </si>
  <si>
    <t>Nota Reutilización de las canecas 10 veces</t>
  </si>
  <si>
    <t>EXCAVACIONES A MANO EN TIERRA EN SECO DE 0 A 2 M DE PROFUNDIDAD</t>
  </si>
  <si>
    <t>EXCAVACIONES A MANO EN TIERRA EN SECO DE 2 A 4 M DE PROFUNDIDAD</t>
  </si>
  <si>
    <t>EXCAVACIONES  A  MANO  EN  TIERRA    A  PROFUNDIDADES MAYORES DE 4 M</t>
  </si>
  <si>
    <t>EXCAVACIONES  A  MANO  EN  CONGLOMERADO  EN  SECO  DE  0  A  2  M  DE PROFUNDIDAD</t>
  </si>
  <si>
    <t>EXCAVACIONES  A  MANO  EN  CONGLOMERADO  EN  SECO  DE  2  A  4  M  DE PROFUNDIDAD</t>
  </si>
  <si>
    <t>EXCAVACIONES    A    MANO    EN    CONGLOMERADO    EN    SECO       A PROFUNDIDADES MAYORES DE 4 M</t>
  </si>
  <si>
    <t>EXCAVACIONES A MANO  BAJO AGUA DE 0 A 2 M DE PROFUNDIDAD</t>
  </si>
  <si>
    <t>EXCAVACIONES A MANO  BAJO AGUA DE 2 A 4 M DE PROFUNDIDAD</t>
  </si>
  <si>
    <t>2.3.3</t>
  </si>
  <si>
    <t>EXCAVACIONES A  MANO  EN  TIERRA     A  PROFUNDIDADES MAYORES DE 4 M</t>
  </si>
  <si>
    <t>Demolición de Mamposteria en Ladrillo</t>
  </si>
  <si>
    <t>Tablero Metalico</t>
  </si>
  <si>
    <t>Todos los elemento se calcularón con un uso de 20 Veces</t>
  </si>
  <si>
    <t>Nota este APU depende del dimensionamiento que se haga para cada caso</t>
  </si>
  <si>
    <t xml:space="preserve"> INSTALACIÓN TUBERÍA PVC UNIÓN MECÁNICA D=4"</t>
  </si>
  <si>
    <t xml:space="preserve"> INSTALACIÓN TUBERÍA PVC UNIÓN MECÁNICA D=8" </t>
  </si>
  <si>
    <t xml:space="preserve"> INSTALACIÓN TUBERÍA PVC UNIÓN MECÁNICA D= 20"</t>
  </si>
  <si>
    <t xml:space="preserve"> INSTALACIÓN TUBERÍA PVC UNIÓN MECÁNICA D=18" </t>
  </si>
  <si>
    <t xml:space="preserve"> INSTALACIÓN VÁLVULA DE 6"  A  8" BRIDADAS</t>
  </si>
  <si>
    <t>Filtro en Piedra Tipo Francés</t>
  </si>
  <si>
    <t>Piedra Tipo Rajón</t>
  </si>
  <si>
    <r>
      <t>m</t>
    </r>
    <r>
      <rPr>
        <b/>
        <vertAlign val="superscript"/>
        <sz val="10"/>
        <color theme="1"/>
        <rFont val="Calibri"/>
        <family val="2"/>
      </rPr>
      <t>2</t>
    </r>
  </si>
  <si>
    <t>2.4</t>
  </si>
  <si>
    <t>Instalación tubería PVC Presión soldar 2 1/2"</t>
  </si>
  <si>
    <t xml:space="preserve">Vibrocompactador </t>
  </si>
  <si>
    <t>Base Asfáltica  MDC 1 en Planta</t>
  </si>
  <si>
    <t xml:space="preserve">Base Asfáltica  MDC 1 </t>
  </si>
  <si>
    <t>Hr</t>
  </si>
  <si>
    <t>Base Asfáltica  MDC 2 en Planta</t>
  </si>
  <si>
    <t xml:space="preserve">Base Asfáltica  MDC 2 </t>
  </si>
  <si>
    <t>Base Asfáltica  MDC 3 en Planta</t>
  </si>
  <si>
    <t xml:space="preserve">Base Asfáltica  MDC 3 </t>
  </si>
  <si>
    <t>Base Asfáltica  MDC 3</t>
  </si>
  <si>
    <t>Pavimento rígido (MR 41KG/CM2)</t>
  </si>
  <si>
    <t>Pavimento rígido (MR 43KG/CM2)</t>
  </si>
  <si>
    <t>Pavimento rígido (MR 39KG/CM2)</t>
  </si>
  <si>
    <t>ANDENES GRAVILLA LAVADA HASTA E=0.10M</t>
  </si>
  <si>
    <t>Pulidora</t>
  </si>
  <si>
    <t>Concreto Resistencia 175 kg/ cm2</t>
  </si>
  <si>
    <t>ANDEN CONCRETO E&lt;=0.10 M</t>
  </si>
  <si>
    <t>Equipo para corte de tableta</t>
  </si>
  <si>
    <t>Mortero</t>
  </si>
  <si>
    <t>Compactador Tipo Rana</t>
  </si>
  <si>
    <t>Adoquín Andenes 6 cms</t>
  </si>
  <si>
    <t>Adoquín Vehicular 8 cms</t>
  </si>
  <si>
    <t xml:space="preserve">Arena </t>
  </si>
  <si>
    <t>Arena</t>
  </si>
  <si>
    <t>Sardineles Prefabricado de  0.40 M</t>
  </si>
  <si>
    <t>Sardineles Prefabricado de  0.50 M</t>
  </si>
  <si>
    <t>CONCRETO SIMPLE RESIST. 7.0 Mpa (70Kg/cm2) PRODUCCION</t>
  </si>
  <si>
    <t>CONCRETO SIMPLE RESIST. 7.0 Mpa (70Kg/cm2) PRODUCCION Y VACIADO</t>
  </si>
  <si>
    <t>CONCRETO SIMPLE RESIST. 10.5 Mpa (105Kg/cm2) PRODUCCION</t>
  </si>
  <si>
    <t>CONCRETO SIMPLE RESIST. 10.5 Mpa (105Kg/cm2) PRODUCCION Y VACIADO</t>
  </si>
  <si>
    <t>CONCRETO SIMPLE RESIST. 14.0 Mpa (140Kg/cm2) PRODUCCION</t>
  </si>
  <si>
    <t>CONCRETO SIMPLE RESIST. 14.0 Mpa (140Kg/cm2) PRODUCCION Y VACIADO</t>
  </si>
  <si>
    <t>CONCRETO SIMPLE RESIST. 17.5 Mpa (175Kg/cm2) PRODUCCION</t>
  </si>
  <si>
    <t>CONCRETO SIMPLE RESIST. 17.5 Mpa (175Kg/cm2) PRODUCCION Y VACIADO</t>
  </si>
  <si>
    <t>CONCRETO SIMPLE RESIST. 21.0 Mpa (210Kg/cm2) PRODUCCION</t>
  </si>
  <si>
    <t>CONCRETO SIMPLE RESIST. 21.0 Mpa (210Kg/cm2) PRODUCCION Y VACIADO</t>
  </si>
  <si>
    <t>CONCRETO SIMPLE RESIST. 24.5 Mpa (245Kg/cm2) PRODUCCION</t>
  </si>
  <si>
    <t>CONCRETO SIMPLE RESIST. 24.5 Mpa (245Kg/cm2) PRODUCCION Y VACIADO</t>
  </si>
  <si>
    <t>Gravilla o triturado</t>
  </si>
  <si>
    <t>CONCRETO ESTRUCTURAL RESIST. 21.0 Mpa (210Kg/cm2) MUROS VIGAS DE CIMENTACION</t>
  </si>
  <si>
    <t xml:space="preserve">CONCRETO ESTRUCTURAL RESIST. 21.0 Mpa (210Kg/cm2) LOSA SUPERIOR VIGAS AEREAS </t>
  </si>
  <si>
    <t>CONCRETO ESTRUCTURAL RESIST. 24.5 Mpa (245Kg/cm2) LOSA DE FONDO</t>
  </si>
  <si>
    <t>CONCRETO ESTRUCTURAL RESIST. 24.5 Mpa (245Kg/cm2) MUROS VIGAS DE CIMENTACION</t>
  </si>
  <si>
    <t>CONCRETO ESTRUCTURAL RESIST. 24.5 Mpa (245Kg/cm2) LOSA SUPERIOR VIGAS AEREAS</t>
  </si>
  <si>
    <t>CONCRETO ESTRUCTURAL RESIST. 28.0 Mpa (280Kg/cm2) MUROS</t>
  </si>
  <si>
    <t>CONCRETO ESTRUCTURAL RESIST. 28.0 Mpa (280Kg/cm2) LOSAS SUPERIOR VIGAS AEREAS</t>
  </si>
  <si>
    <t>MORTERO RESIST. 10.5 Mpa (105kg/cm2) PRODUCCION</t>
  </si>
  <si>
    <t xml:space="preserve">Cemento </t>
  </si>
  <si>
    <t>Acero de Refuerzo 60000PSI</t>
  </si>
  <si>
    <t>Alambra negro No.18</t>
  </si>
  <si>
    <t>Adhesivo Epóxico</t>
  </si>
  <si>
    <t>Impermeabilizante para Concreto</t>
  </si>
  <si>
    <t>Acelerante para Concreto</t>
  </si>
  <si>
    <t>Fluidificante para Concreto</t>
  </si>
  <si>
    <t>Cinta PVC de 15 cms</t>
  </si>
  <si>
    <t>CINTA PVC O-22</t>
  </si>
  <si>
    <t>Cinta PVC de 22 cms</t>
  </si>
  <si>
    <t>Equipo de prueba hidrostática</t>
  </si>
  <si>
    <t>Soldadura PVC</t>
  </si>
  <si>
    <t>Gl</t>
  </si>
  <si>
    <t>Limpiador PVC PVC 1/4 GL</t>
  </si>
  <si>
    <t>Equipo movilización tubería</t>
  </si>
  <si>
    <t xml:space="preserve">Lubricante </t>
  </si>
  <si>
    <t xml:space="preserve"> INSTALACIÓN ACCESORIOS  PVC  D=2" A 4" CON SUMINISTRO DE UNIONES</t>
  </si>
  <si>
    <t>Uniones por accesorio</t>
  </si>
  <si>
    <t>Técnico Termofusión</t>
  </si>
  <si>
    <t>Papel limpieza</t>
  </si>
  <si>
    <t>Equipo de Termofusión</t>
  </si>
  <si>
    <t>Técnico Electrofusión</t>
  </si>
  <si>
    <t>Uniones para accesorio</t>
  </si>
  <si>
    <t>Eslingas y Malacate</t>
  </si>
  <si>
    <t>Equipo Movilización</t>
  </si>
  <si>
    <t>Equipo de Movilización</t>
  </si>
  <si>
    <t xml:space="preserve"> INSTALACIÓN NIPLES EN HF D=14" A 16" L= 1,00  A 2,00 M</t>
  </si>
  <si>
    <t>INSTALACIÓN  PASAMUROS</t>
  </si>
  <si>
    <t>Instalación pasamuros HF de 14" a 16" L=0,00 a 0,50 m</t>
  </si>
  <si>
    <t>Instalación pasamuros HF de 18" a 20" L=0,00 a 0,50 m</t>
  </si>
  <si>
    <t>Instalación pasamuros HF de 30" a 32" L=0,00 a 0,50 m</t>
  </si>
  <si>
    <t>Instalación pasamuros HF de 24" a 28" L=0,00 a 0,50 m</t>
  </si>
  <si>
    <t>Instalación pasamuros HF de 36" a 40" L=0,00 a 0,50 m</t>
  </si>
  <si>
    <t>Instalación pasamuros HF de 44" a 48" L=0,00 a 0,50 m</t>
  </si>
  <si>
    <t>Instalación pasamuros HF de 14" a 16" L=0,50 a 1,00 m</t>
  </si>
  <si>
    <t>Instalación pasamuros HF de 18" a 20" L=0,50 a 1,00 m</t>
  </si>
  <si>
    <t>Instalación pasamuros HF de 24" a 28" L=0,50 a1,00 m</t>
  </si>
  <si>
    <t>Instalación pasamuros HF de 30" a 32" L=0,50 a 1,00 m</t>
  </si>
  <si>
    <t>Instalación pasamuros HF de 36" a 40" L=0,50 a 1,00 m</t>
  </si>
  <si>
    <t>Instalación pasamuros HF de 44" a 48" L=0,50 a 1,00 m</t>
  </si>
  <si>
    <t>3.18.1A</t>
  </si>
  <si>
    <t xml:space="preserve">INSTALACION DE NIPLES </t>
  </si>
  <si>
    <t>3.18.1A.1</t>
  </si>
  <si>
    <t>Instalación Niples de 0,00 a 1,00 m de 2" a 6"</t>
  </si>
  <si>
    <t>3.18.1A.2</t>
  </si>
  <si>
    <t>Instalación Niples de 0,00 a 1,00 m de 8" a 12"</t>
  </si>
  <si>
    <t>3.18.1A.3</t>
  </si>
  <si>
    <t>Instalación Niples de 0,00 a 1,00 m de 14" a 16"</t>
  </si>
  <si>
    <t>3.18.1A.4</t>
  </si>
  <si>
    <t>Instalación Niples de 0,00 a 1,00 m de 18" a 24"</t>
  </si>
  <si>
    <t>3.18.1A.5</t>
  </si>
  <si>
    <t>Instalación Niples de 1,00 a 2,00 m de 2" a 6"</t>
  </si>
  <si>
    <t>3.18.1A.6</t>
  </si>
  <si>
    <t>Instalación Niples de 1,00 a 2,00 m de 8" a 12"</t>
  </si>
  <si>
    <t>3.18.1A.7</t>
  </si>
  <si>
    <t>Instalación Niples de 1,00 a 2,00 m de 14" a 16"</t>
  </si>
  <si>
    <t>3.18.1A.8</t>
  </si>
  <si>
    <t>Instalación Niples de 1,00 a 2,00 m de 18" a 24"</t>
  </si>
  <si>
    <t>3.18.1A.9</t>
  </si>
  <si>
    <t>Instalación Niples de 2,00 a 3,00 m de 2" a 6"</t>
  </si>
  <si>
    <t>3.18.1A.10</t>
  </si>
  <si>
    <t>Instalación Niples de 2,00 a 3,00 m de 8" a 12"</t>
  </si>
  <si>
    <t>3.18.1A.11</t>
  </si>
  <si>
    <t>Instalación Niples de 2,00 a 3,00 m de 14" a 16"</t>
  </si>
  <si>
    <t>3.18.1A.12</t>
  </si>
  <si>
    <t>Instalación Niples de 2,00 a 3,00 m de 18" a 24"</t>
  </si>
  <si>
    <t>3.18.1A.13</t>
  </si>
  <si>
    <t>Instalación Niples de 3,00 a 4,00 m de 2" a 6"</t>
  </si>
  <si>
    <t>3.18.1A.14</t>
  </si>
  <si>
    <t>Instalación Niples de 3,00 a 4,00 m de 8" a 12"</t>
  </si>
  <si>
    <t>3.18.1A.15</t>
  </si>
  <si>
    <t>Instalación Niples de 3,00 a 4,00 m de 14" a 16"</t>
  </si>
  <si>
    <t>3.18.1A.16</t>
  </si>
  <si>
    <t>Instalación Niples de 3,00 a 4,00 m de 18" a 24"</t>
  </si>
  <si>
    <t>3.18.1A.17</t>
  </si>
  <si>
    <t>Instalación Niples de 4,00 a 5,00 m de 2" a 6"</t>
  </si>
  <si>
    <t>3.18.1A.18</t>
  </si>
  <si>
    <t>Instalación Niples de 4,00 a 5,00 m de 8" a 12"</t>
  </si>
  <si>
    <t>3.18.1A.19</t>
  </si>
  <si>
    <t>Instalación Niples de 4,00 a 5,00 m de 14" a 16"</t>
  </si>
  <si>
    <t>3.18.1A.20</t>
  </si>
  <si>
    <t>Instalación Niples de 4,00 a 5,00 m de 18" a 24"</t>
  </si>
  <si>
    <t>3.18.3.6.4</t>
  </si>
  <si>
    <t>Instalación válvulas  de Pie o Coladera de 14" a 16"</t>
  </si>
  <si>
    <t xml:space="preserve">Concreto estructural resistencia  35 MPa (350 kg/cm2) </t>
  </si>
  <si>
    <t xml:space="preserve"> INSTALACIÓN NIPLES EN HF D=14" A 16" L=  0.00 M a 1.00 M</t>
  </si>
  <si>
    <t>Empaque</t>
  </si>
  <si>
    <t>Tornillos y tuercas de 3/4"</t>
  </si>
  <si>
    <t>Tornillos y tuercas 1"</t>
  </si>
  <si>
    <t>Tornillos y tuercas 1 1/4"</t>
  </si>
  <si>
    <t xml:space="preserve"> INSTALACIÓN REGISTRO DE BOLA DE 1 1/4" A 2"</t>
  </si>
  <si>
    <t xml:space="preserve"> INSTALACIÓN VÁLVULA FLOTADOR DE 1 1/2" A 3"</t>
  </si>
  <si>
    <t>Técnico especializado</t>
  </si>
  <si>
    <t>Tornillos y tuercas de 1 1/4"</t>
  </si>
  <si>
    <t>Tornillos y tuercas de 1"</t>
  </si>
  <si>
    <t>Tolete común</t>
  </si>
  <si>
    <t>Mortero de pega</t>
  </si>
  <si>
    <t>Ladrillo portante prensado</t>
  </si>
  <si>
    <t>Mortero pega</t>
  </si>
  <si>
    <t xml:space="preserve">Concreto de </t>
  </si>
  <si>
    <t>Acero de refuerzo</t>
  </si>
  <si>
    <t>Teja…</t>
  </si>
  <si>
    <t>Amarre teja</t>
  </si>
  <si>
    <t>Correas metálicas</t>
  </si>
  <si>
    <t>Adaptador terminal conduit de 1/2"</t>
  </si>
  <si>
    <t>Alambre Cobre THW 12 AWG</t>
  </si>
  <si>
    <t>Alambre Cobre desnudo 12 AWG</t>
  </si>
  <si>
    <t>Caja doble metálica Galvanizada 2400</t>
  </si>
  <si>
    <t>Conector resorte rojo</t>
  </si>
  <si>
    <t>Suplementa caja doble metálica Galvanizada</t>
  </si>
  <si>
    <t>Toma Doble o Interruptor</t>
  </si>
  <si>
    <t>Tubo Conduit PVC Limpiador y soldadura</t>
  </si>
  <si>
    <t>PUNTOS ELÉCTRICOS TRIFASICOS</t>
  </si>
  <si>
    <t>Caja cuadrada 10 x 10</t>
  </si>
  <si>
    <t>Adaptador terminal 3/4"</t>
  </si>
  <si>
    <t>Alambre Cobre THW 10 AWG</t>
  </si>
  <si>
    <t>Adaptador macho presion PVc 1/2"</t>
  </si>
  <si>
    <t>Cinta Teflón</t>
  </si>
  <si>
    <t>Codo de 90º PVC 1/2"</t>
  </si>
  <si>
    <t>Tubo Presión PVC 1/2"</t>
  </si>
  <si>
    <t>Tapón 1/2"</t>
  </si>
  <si>
    <t>PUNTOS SANITARIO DE 4"</t>
  </si>
  <si>
    <t>Codo de 90º Sanitaria de 4"</t>
  </si>
  <si>
    <t>Tubo PVC Sanitaria de 4"</t>
  </si>
  <si>
    <t>PUNTOS SANITARIO DE 3"</t>
  </si>
  <si>
    <t>Codo de 90º Sanitaria de 3"</t>
  </si>
  <si>
    <t>Tubo PVC Sanitaria de 3"</t>
  </si>
  <si>
    <t>Unión Sanitaria de 4"</t>
  </si>
  <si>
    <t>Unión Sanitaria de 3"</t>
  </si>
  <si>
    <t>Sanitario</t>
  </si>
  <si>
    <t>Lavamanos con griferia</t>
  </si>
  <si>
    <t>Ducha con grifería</t>
  </si>
  <si>
    <t>Juego de incrustaciones</t>
  </si>
  <si>
    <t>Tableta tipo Gres 30 x 30 cm</t>
  </si>
  <si>
    <t>Concreto resistencia. 21,0 MPA (210 kg/cm2)</t>
  </si>
  <si>
    <t>Acero de refuerzo 60000PSI</t>
  </si>
  <si>
    <t>Enchape cerámico blanco 20 x 20 cm</t>
  </si>
  <si>
    <t>Muro en ladrillo tolete</t>
  </si>
  <si>
    <t>Pañete Muro</t>
  </si>
  <si>
    <t xml:space="preserve">Tubería 1 1/2" </t>
  </si>
  <si>
    <t xml:space="preserve">Tubería 1" </t>
  </si>
  <si>
    <t>Esmalte sisntetico</t>
  </si>
  <si>
    <t>Thinner Acrilico</t>
  </si>
  <si>
    <t xml:space="preserve">Tubería 2" </t>
  </si>
  <si>
    <t>Lámina Alfajor 3/16" (1 m X 3 m)</t>
  </si>
  <si>
    <t>Soldadura MIG</t>
  </si>
  <si>
    <t xml:space="preserve">Ángulo de  3" X 3/8" </t>
  </si>
  <si>
    <t>BARANDA EN TUBERÍA  AGUA NEGRA DE 1 1/2"</t>
  </si>
  <si>
    <t>Tubería de 1 1/2"</t>
  </si>
  <si>
    <t>Pernos expansivos</t>
  </si>
  <si>
    <t>Platinas de 3/8" de 10 x 10 cm</t>
  </si>
  <si>
    <t>Dado en madera</t>
  </si>
  <si>
    <t>Puerta en lámina Cold Roll Cal.18 de 0,90 m</t>
  </si>
  <si>
    <t>Marco en lámina cold roll Cal ,18 Puerta de 0,90 m</t>
  </si>
  <si>
    <t>Ventaneria en lámina cal.18</t>
  </si>
  <si>
    <t>Esmalte</t>
  </si>
  <si>
    <t xml:space="preserve"> INSTALACIÓN TUBERÍA POLIETILENO PE-100 125 MM A PE-100 140 MM</t>
  </si>
  <si>
    <t>Instalación accesorios HD de 2"  (50 mm )</t>
  </si>
  <si>
    <t>Instalación accesorios HD de 3" (75 mm)</t>
  </si>
  <si>
    <t>Instalación accesorios HD de 4" (110 mm)</t>
  </si>
  <si>
    <t>Instalación accesorios HD de 6" (150 mm)</t>
  </si>
  <si>
    <t>Instalación accesorios HD de 8" (200 mm)</t>
  </si>
  <si>
    <t>Instalación accesorios HD de 10" (250 mm)</t>
  </si>
  <si>
    <t>Instalación accesorios HD de 12" (300 mm)</t>
  </si>
  <si>
    <t>Instalación accesorios HD de 14" (350 mm)</t>
  </si>
  <si>
    <t>Instalación accesorios HD de 16" (400 mm)</t>
  </si>
  <si>
    <t>Instalación accesorios HD de 18" (450 mm)</t>
  </si>
  <si>
    <t>Instalación accesorios HD de 20" (500 mm)</t>
  </si>
  <si>
    <t>Instalación accesorios HD de 24" (600 mm)</t>
  </si>
  <si>
    <t>3.16.8</t>
  </si>
  <si>
    <t>3.16.9</t>
  </si>
  <si>
    <t>3.16.10</t>
  </si>
  <si>
    <t>3.16.11</t>
  </si>
  <si>
    <t>3.16.12</t>
  </si>
  <si>
    <t>Instalación pasamuros HF de 2" a 6" L=0,00 a 0,50 m</t>
  </si>
  <si>
    <t>Instalación pasamuros HF de 8" a 12" L=0,00 a 0,50 m</t>
  </si>
  <si>
    <t>Instalación pasamuros HF de 2" a 6" L=0,50 a 1,00 m</t>
  </si>
  <si>
    <t>Instalación pasamuros HF de 8" a 12" L=0,50 a 1,00 m</t>
  </si>
  <si>
    <t>Instalación de compuertas  de 4" a 8"</t>
  </si>
  <si>
    <t>Instalación de compuertas  de 10" a 14"</t>
  </si>
  <si>
    <t>Instalación de compuertas  de 16" a 20"</t>
  </si>
  <si>
    <t>CONCRETO ESTRUCTURAL RESIST. 35.0 Mpa (350Kg/cm2) LOSAS DE FONDO</t>
  </si>
  <si>
    <t>CONCRETO ESTRUCTURAL RESIST. 35.0 Mpa (350Kg/cm2) MUROS</t>
  </si>
  <si>
    <t>CONCRETO ESTRUCTURAL RESIST. 35.0 Mpa (3500Kg/cm2) LOSAS SUPERIOR VIGAS AEREAS</t>
  </si>
  <si>
    <t>MALLA ELECTROSOLDADA STANDARD</t>
  </si>
  <si>
    <t>MALLA ELECTROSOLDADA ESPECIAL</t>
  </si>
  <si>
    <t>Malla electrosoldada</t>
  </si>
  <si>
    <t>MURO LADRILLO TOLETE COMÚN DE 10 CM</t>
  </si>
  <si>
    <t>MURO LADRILLO TOLETE COMÚN DE 15 CM</t>
  </si>
  <si>
    <t>MURO LADRILLO TOLETE COMÚN DE 25 CM</t>
  </si>
  <si>
    <t>MURO EN LADRILLO PORTANTE PRENSADO DE 15 CM</t>
  </si>
  <si>
    <t>MURO EN LADRILLO PORTANTE PRENSADO DE 25 CM</t>
  </si>
  <si>
    <t>MURO EN LADRILLO ESTRUCTURAL DE 15 CM</t>
  </si>
  <si>
    <t>MURO EN LADRILLO ESTRUCTURAL DE 25 CM</t>
  </si>
  <si>
    <t>NIVELACION PISO CON MORTERO</t>
  </si>
  <si>
    <r>
      <t>m</t>
    </r>
    <r>
      <rPr>
        <b/>
        <vertAlign val="superscript"/>
        <sz val="10"/>
        <color theme="1"/>
        <rFont val="Calibri"/>
        <family val="2"/>
      </rPr>
      <t>3</t>
    </r>
  </si>
  <si>
    <t>PISO EN TABLETA DE GRES DE 0.30 X 0.30 m</t>
  </si>
  <si>
    <t>Porcelanato 50 x 50 cm</t>
  </si>
  <si>
    <t>Pegante</t>
  </si>
  <si>
    <t>PISO EN CONCRETO PULIDO</t>
  </si>
  <si>
    <t>Helicoptero</t>
  </si>
  <si>
    <t>Tableta Ceramica 30 x 30 cm</t>
  </si>
  <si>
    <t>PISO EN CERAMICA DE 0.20 X 0.30 m</t>
  </si>
  <si>
    <t>PISO EN PORCELANATO DE 0.40 X 0.40 m</t>
  </si>
  <si>
    <t>ENCHAPE EN CERAMICA 20 x 20CM</t>
  </si>
  <si>
    <t>Ceramica 20 x 20 cm</t>
  </si>
  <si>
    <t>Pegacor</t>
  </si>
  <si>
    <t>Vinilo</t>
  </si>
  <si>
    <t>Lija, y otros elementos de limpieza</t>
  </si>
  <si>
    <t>SUMINISTRO E INSTALACIÓN DE ORINAL</t>
  </si>
  <si>
    <t>Orinal</t>
  </si>
  <si>
    <t>SUMINISTRO E INSTALACIÓN DE PUERTA ENTAMBORADA CON MARCO</t>
  </si>
  <si>
    <t>Puerta entamborada de 0,80 ó 0,90 m</t>
  </si>
  <si>
    <t>Chazos</t>
  </si>
  <si>
    <t>Marco en madera de 2,05 m</t>
  </si>
  <si>
    <t>PUERTAS METÁLICAS EN LÁMINA CR DE 90 A 100 CM de 2,05 M ALTO CON MARCO</t>
  </si>
  <si>
    <t>Marco</t>
  </si>
  <si>
    <t>Cerradura</t>
  </si>
  <si>
    <t>PUERTAS METÁLICAS EN LÁMINA CR DOBLE DE 2,50 M ALTO CON MARCO</t>
  </si>
  <si>
    <t>Puerta en lámina Cold Roll Cal.18 de 4,00 m</t>
  </si>
  <si>
    <t>Pintura</t>
  </si>
  <si>
    <t>Tableta de Gres o Arcilla  de 0,30 X 0,30.</t>
  </si>
  <si>
    <t>Andenes en tableta de 30 x 30 cms</t>
  </si>
  <si>
    <t>EXCAVACIONES A MANO EN TIERRA O CONGLOMERADO EN SECO</t>
  </si>
  <si>
    <t>EXCAVACIONES A MANO EN TIERRA O CONGLOMERADO BAJO AGUA</t>
  </si>
  <si>
    <t>Señales Informativas preventivas y/o reglamentarias móviles</t>
  </si>
  <si>
    <t>Conos Guía de 70 cm</t>
  </si>
  <si>
    <t>ltrs</t>
  </si>
  <si>
    <t>Cerramiento en malla plástica de 1,00 m. de altura, ambos lados de la zanja</t>
  </si>
  <si>
    <t>Cerramiento en malla plástica de 2,00 m. de altura, ambos lados de la zanja</t>
  </si>
  <si>
    <t>Bosel de madera pega malla</t>
  </si>
  <si>
    <t>Motobomba sumergible</t>
  </si>
  <si>
    <t xml:space="preserve">  Excavación a maquina a cualquier profundidad para zanja de tubería</t>
  </si>
  <si>
    <t xml:space="preserve">  Excavación abierta a maquina a cualquier profundidad </t>
  </si>
  <si>
    <t xml:space="preserve">  Excavación a maquina a cualquier profundidad bajo agua para zanja de tubería</t>
  </si>
  <si>
    <t>La Tabla burra y el codal tiene una reutilización de 10 Veces</t>
  </si>
  <si>
    <t>Tablero de 0,7*1,4 en tabla chapa</t>
  </si>
  <si>
    <t xml:space="preserve">  ENTIBADO TIPO 3 (METÁLICO) CON TABLEROS</t>
  </si>
  <si>
    <t xml:space="preserve">  ENTIBADO TIPO 3 (METÁLICO) CON LAMINA EN CAJON</t>
  </si>
  <si>
    <t>Todos los elemento se calcularón con un uso de 50 Veces</t>
  </si>
  <si>
    <t>Volqueta Retiro de sobrantes a 10 km</t>
  </si>
  <si>
    <t>Formaleta Especial</t>
  </si>
  <si>
    <t>Cajilla para medidor tapa metálica</t>
  </si>
  <si>
    <t>CAJA PARA MEDIDOR PLASTICA</t>
  </si>
  <si>
    <t>Cajilla para medidor tapa Politileno</t>
  </si>
  <si>
    <t>Cuerpo de la caja</t>
  </si>
  <si>
    <t xml:space="preserve">Concreto resistencia 28 Mpa  </t>
  </si>
  <si>
    <t>Ladrillo recocido Tolete</t>
  </si>
  <si>
    <t>Tapa para caja válvula</t>
  </si>
  <si>
    <t>CONSTRUCCIÓN CAJAS DE VÁLVULAS 0.30 X 0.30 M EN LADRILLO PARA DIAMETROS IGUAL O MENOR DE 8"</t>
  </si>
  <si>
    <t>CONSTRUCCIÓN CAJAS DE VÁLVULAS  EN CONCRETO PARA DIAMETROS IGUAL O MAYOR DE 12"</t>
  </si>
  <si>
    <t>Tapa de seguridad de D=0,61 m</t>
  </si>
  <si>
    <t>Malla de Cerramiento eslabonada galvanizada  h= 2m en modulo de 3m con muro en ladrillo</t>
  </si>
  <si>
    <t xml:space="preserve">Sardineles </t>
  </si>
  <si>
    <t>Antracita</t>
  </si>
  <si>
    <t>*</t>
  </si>
  <si>
    <t>2.6.1.4</t>
  </si>
  <si>
    <t>Perforación y ancalaje de varillas de acero de 3/8" o 5/8"</t>
  </si>
  <si>
    <t>Niples en HD 14" (350 mm) EB x EB L=2,00 a3,00 m</t>
  </si>
  <si>
    <t>Niples en HD 14" (350 mm) EL x EL L=3,00 a 4,00 m</t>
  </si>
  <si>
    <t>Demolición parcial de muros  de Estructuras en Concreto reforzado</t>
  </si>
  <si>
    <t>TAPAS METALICAS EN ALFAJOR</t>
  </si>
  <si>
    <t>Escalones en varilla galvanizada de 3/4"</t>
  </si>
  <si>
    <t>Escalones galvanizados de 3/4"</t>
  </si>
  <si>
    <t xml:space="preserve">Tapa metalica con marco en L de 1" x 1" x 3/16, Tapa en lámina de alfajor e=6mm y Ojal para candado </t>
  </si>
  <si>
    <t>Lamina de alfajor de 6 mm</t>
  </si>
  <si>
    <t>Angulo de 1"x3/16"</t>
  </si>
  <si>
    <t>Autoahdesivo epoxico</t>
  </si>
  <si>
    <t>Taladro</t>
  </si>
  <si>
    <t>Broca para concreto</t>
  </si>
  <si>
    <t>Escarificación de Estructuras en Concreto reforzado espesor 5 cm</t>
  </si>
  <si>
    <t>Tubería de 4" de drenaje</t>
  </si>
  <si>
    <t>Tubería de 6" de drenaje</t>
  </si>
  <si>
    <t>Tubería de 8" de drenaje</t>
  </si>
  <si>
    <t>LINEA DE CONDUCCION</t>
  </si>
  <si>
    <t>MUNICIPIOS DE BOJACA-LA MESA DEPARTAMENTO DE CUNDINAMARCA</t>
  </si>
  <si>
    <t>Retiro de Tubería de Acueducto</t>
  </si>
  <si>
    <t>Retiro limpieza e inspección de tuberia HD 8"</t>
  </si>
  <si>
    <t>Retiro limpieza e inspección de tuberia HD 10"</t>
  </si>
  <si>
    <t>Retiro limpieza e inspección de tuberia HD 14"</t>
  </si>
  <si>
    <t>Retiro limpieza y inspección de accesorios</t>
  </si>
  <si>
    <t>Cargue y Retiro de material sobrantes de excavación y demoliciones hasta 10 Kms.</t>
  </si>
  <si>
    <t>INSTALACION TUBERIA HD BRIDAS O ACERROJADA</t>
  </si>
  <si>
    <t>ELEMENTOS COMPLEMETARIOS PARA OBRAS DE ACUEDUCTO</t>
  </si>
  <si>
    <t>8.2.8</t>
  </si>
  <si>
    <t>8.2.8.1</t>
  </si>
  <si>
    <t>8.2.8.2</t>
  </si>
  <si>
    <t>8.2.8.3</t>
  </si>
  <si>
    <t>EMPATES EN TUBERIA DE 10"</t>
  </si>
  <si>
    <t>Pulidora para cortes</t>
  </si>
  <si>
    <t>EMPATES EN TUBERIA DE 14"</t>
  </si>
  <si>
    <t xml:space="preserve"> Cortes y Empates tuberías</t>
  </si>
  <si>
    <t>Cortes en  tubería de 10"</t>
  </si>
  <si>
    <t>Cortes en tubería de 14"</t>
  </si>
  <si>
    <t>8.2.8.4</t>
  </si>
  <si>
    <t>8.2.8.5</t>
  </si>
  <si>
    <t>8.2.8.6</t>
  </si>
  <si>
    <t>Empates en tuberia de 10"</t>
  </si>
  <si>
    <t>Empates en tuberia de 14"</t>
  </si>
  <si>
    <t>Excavación</t>
  </si>
  <si>
    <t>Concreto de 4000 psi Placa</t>
  </si>
  <si>
    <t>Concreto de 4000 psi muros y losa superior</t>
  </si>
  <si>
    <t xml:space="preserve">Cinta PVC </t>
  </si>
  <si>
    <t>Relleno en material común</t>
  </si>
  <si>
    <t>Escalones de acceso</t>
  </si>
  <si>
    <t>Tapa y aro metalica de seguridad</t>
  </si>
  <si>
    <t>Ductos de ventilación de xx"</t>
  </si>
  <si>
    <t>Concreto Pobre solado</t>
  </si>
  <si>
    <t>ESTRUCTURA ANTIROTURA CON VALVULA CINETICA DN 250 PN 25 BARES</t>
  </si>
  <si>
    <t>ESTRUCTURA ANTIROTURA CON VALVULA CINETICA DN 350 PN 25 BARES</t>
  </si>
  <si>
    <t>ESTRUCTURA ANTIROTURA CON VALVULA CINETICA DN 350 PN 55 BARES</t>
  </si>
  <si>
    <t>ESTRUCTURA ANTIROTURA CON VALVULA CHEQUE DN 350 PN 25 BARES</t>
  </si>
  <si>
    <t>ESTRUCTURA ANTIROTURA CON VALVULA CHEQUE DN 350 PN 40 BARES</t>
  </si>
  <si>
    <t>ESTRUCTURA ANTIROTURA CON VALVULA CINETICA DN 350 PN 40 BARES</t>
  </si>
  <si>
    <t>VENTOSAS DE DOBLE ACCION (Incluye Caja) PN 40 BARES</t>
  </si>
  <si>
    <t>VENTOSAS DE DOBLE ACCION (Incluye Caja) PN 55 BARES</t>
  </si>
  <si>
    <t>VENTOSAS DE DOBLE ACCION (Incluye Caja) PN 25 BARES</t>
  </si>
  <si>
    <t>ESTRUCTURA DE PURGA DISIPADORA DN 350 PN 25 BARES</t>
  </si>
  <si>
    <t>ESTRUCTURA DE PURGA DISIPADORA DN 350 PN 40 BARES</t>
  </si>
  <si>
    <t>ESTRUCTURA DE PURGA DISIPADORA DN 350 PN 55 BARES</t>
  </si>
  <si>
    <t>ESTRUCTURA DE PURGA DESAGUE DN 350 PN 25 BARES</t>
  </si>
  <si>
    <t>ESTRUCTURA DE PURGA DESAGUE DN 350 PN 40 BARES</t>
  </si>
  <si>
    <t>ESTRUCTURA DE PURGA DESAGUE DN 350 PN 55 BARES</t>
  </si>
  <si>
    <t>FILTRO DE LIMPIEZA DN 350 PN 25 BARES</t>
  </si>
  <si>
    <t>FILTRO DE LIMPIEZA DN 250 PN 25 BARES</t>
  </si>
  <si>
    <t>FILTRO DE LIMPIEZA DN 350 PN 40 BARES</t>
  </si>
  <si>
    <t>FILTRO DE LIMPIEZA DN 350 PN 55 BARES</t>
  </si>
  <si>
    <t>Filtro tipo Yee de 10"BB</t>
  </si>
  <si>
    <t>Unión de Montaje de 10"</t>
  </si>
  <si>
    <t>Niple de 0,00 a 1,00 m de 10" BB</t>
  </si>
  <si>
    <t>Adaptador universal de 10"</t>
  </si>
  <si>
    <t>Pasamuro de 14" de 0,00 a 0,50 m LB</t>
  </si>
  <si>
    <t>Niple de 0,00 a 1,00 m de 14" BB</t>
  </si>
  <si>
    <t>Unión de Montaje de 14"</t>
  </si>
  <si>
    <t>Filtro tipo Yee de 14"BB</t>
  </si>
  <si>
    <t>Adaptador universal de 14"</t>
  </si>
  <si>
    <t>Válvula de bola DN 350 PN 40 BB</t>
  </si>
  <si>
    <t>Válvula de bola DN 350 PN 55 BB</t>
  </si>
  <si>
    <t>Valvula de Antirotura de D 250 PN 25 Bares</t>
  </si>
  <si>
    <t>Tee de 10" x  4" BB</t>
  </si>
  <si>
    <t xml:space="preserve">Union de Montaje </t>
  </si>
  <si>
    <t>Acople universal de 14"</t>
  </si>
  <si>
    <t>8.2.9</t>
  </si>
  <si>
    <t>8.2.10</t>
  </si>
  <si>
    <t>CORTES EN TUBERIA DE 10"</t>
  </si>
  <si>
    <t>CORTES EN TUBERIA DE 14"</t>
  </si>
  <si>
    <t>Limpieza e inspección con CCTV y Prueba hidráulica de 10"</t>
  </si>
  <si>
    <t>Limpieza e inspección con CCTV y Prueba hidráulica de 14"</t>
  </si>
  <si>
    <t>Limpieza Inspección con CCTV y prueba hidráulica de 14"</t>
  </si>
  <si>
    <t>Limpieza Inspección con CCTV y prueba hidráulica de 10"</t>
  </si>
  <si>
    <t>Equipo de CCTV</t>
  </si>
  <si>
    <t>Bomba de prueba hidrostatica</t>
  </si>
  <si>
    <t>Desmonte limpieza y transporte elementos ERPs</t>
  </si>
  <si>
    <t>Desmonte, limpieza y transporte de elementos ERPs</t>
  </si>
  <si>
    <t>Trapos cepillos</t>
  </si>
  <si>
    <t xml:space="preserve">Volquetas </t>
  </si>
  <si>
    <t>ADMINISTRACION SOBRE SUMINISTROS (20%)</t>
  </si>
  <si>
    <t>Retiro,limpieza e inspección tubería de 8"</t>
  </si>
  <si>
    <t>Retiro,limpieza e inspección accesorios</t>
  </si>
  <si>
    <t>Retiro,limpieza e inspección tubería de 14"</t>
  </si>
  <si>
    <t>Equipo de extracción</t>
  </si>
  <si>
    <t>Equipo de lavado</t>
  </si>
  <si>
    <t>Retiro,limpieza e inspección tubería de 10"</t>
  </si>
  <si>
    <t>Cargue Transporte y descargue de tubería</t>
  </si>
  <si>
    <t>En tubería de 10"</t>
  </si>
  <si>
    <t>En tubería de 8"</t>
  </si>
  <si>
    <t>En tubería de 14"</t>
  </si>
  <si>
    <t>Accesorios</t>
  </si>
  <si>
    <t>ML/KM</t>
  </si>
  <si>
    <t>UN/KM</t>
  </si>
  <si>
    <t>Cargue, transporte y descargue de tubería de 8"</t>
  </si>
  <si>
    <t>Esñingas</t>
  </si>
  <si>
    <t>Eslingas</t>
  </si>
  <si>
    <t>Cargue, transporte y descargue de tubería de 14"</t>
  </si>
  <si>
    <t>Cargue, transporte y descargue de tubería de 10"</t>
  </si>
  <si>
    <t>Cargue, transporte y descargue de accesorios</t>
  </si>
  <si>
    <t>un-km</t>
  </si>
  <si>
    <t>LINEA DE ALTA PRESION</t>
  </si>
  <si>
    <t>Empaques de 10 " para tubería HD</t>
  </si>
  <si>
    <t>3.17.8.2</t>
  </si>
  <si>
    <t>3.17.8.3</t>
  </si>
  <si>
    <t>CAJAS DE ENTREGA</t>
  </si>
  <si>
    <t>CAMARAS DE QUIEBRE</t>
  </si>
  <si>
    <r>
      <t>m</t>
    </r>
    <r>
      <rPr>
        <vertAlign val="superscript"/>
        <sz val="10"/>
        <color theme="1"/>
        <rFont val="Calibri"/>
        <family val="2"/>
        <scheme val="minor"/>
      </rPr>
      <t>3</t>
    </r>
  </si>
  <si>
    <t>Pasamuro de 6" de 0,50 a 1,00 m BB</t>
  </si>
  <si>
    <t>Pasamuro de 10" de 0,50 a 1,00 m BL</t>
  </si>
  <si>
    <t>Pasamuro de 10" de 1,00 a 2,00 m BL</t>
  </si>
  <si>
    <t>Pasamuro de 14" de 0,50 a 1,00 m BB</t>
  </si>
  <si>
    <t>Niple HD de 6" de 0,00 a 1,00 m BB</t>
  </si>
  <si>
    <t>Niple HD de 10" de 0,00 a 1,00 m BL</t>
  </si>
  <si>
    <t>Niple HD de 10" de 0,00 a 1,00 m BB</t>
  </si>
  <si>
    <t>Niple HD de 10" de 1,00 a 2,00 m BB</t>
  </si>
  <si>
    <t>Niple HD de 10" de 4,00 a 5,00 m BB</t>
  </si>
  <si>
    <t>Filtro tipo Yee de 6"BB</t>
  </si>
  <si>
    <t>Unión de Montaje de 6"</t>
  </si>
  <si>
    <t>Tee de 10" x 10 " BB</t>
  </si>
  <si>
    <t>Reducción HD de 10" x 6" BB</t>
  </si>
  <si>
    <t>Codo HD de 10" x 90° BB</t>
  </si>
  <si>
    <t>Codo HD de 6" x 90° BB</t>
  </si>
  <si>
    <t>Válvula mariposa de 6" BB</t>
  </si>
  <si>
    <t>Válvula Reductora de Presión de 6"</t>
  </si>
  <si>
    <t>Válvula de admisión y expulsión de aire 4"</t>
  </si>
  <si>
    <t>Válvula de Aguja 6"</t>
  </si>
  <si>
    <t>Ductos de ventilación de 4"</t>
  </si>
  <si>
    <t>Válvula de control de nivel de 6"</t>
  </si>
  <si>
    <t>Compuerta de 300 mm x 300 mm</t>
  </si>
  <si>
    <t>Compuerta de 400 mm x 400 mm</t>
  </si>
  <si>
    <t>Manómetro Absoluto de 6"</t>
  </si>
  <si>
    <t>Manómetro diferencial de 6"</t>
  </si>
  <si>
    <t>Cruz de 10" x 6" BB</t>
  </si>
  <si>
    <t>TANQUE</t>
  </si>
  <si>
    <t>ESTRUCTURAS</t>
  </si>
  <si>
    <t>ESTRUCTURAS ESPECIALES</t>
  </si>
  <si>
    <t>Ventosas de doble acción incluye accesorios y caja de 4"</t>
  </si>
  <si>
    <t>PN 25 Bares</t>
  </si>
  <si>
    <t>PN 40 Bares</t>
  </si>
  <si>
    <t>PN 55 Bares</t>
  </si>
  <si>
    <t>10.1</t>
  </si>
  <si>
    <t>10.1.1</t>
  </si>
  <si>
    <t>10.1.2</t>
  </si>
  <si>
    <t>10.1.3</t>
  </si>
  <si>
    <t>10.2</t>
  </si>
  <si>
    <t>10.2.1</t>
  </si>
  <si>
    <t>Antirotura con válvula cinética</t>
  </si>
  <si>
    <t>DN 250 mm PN 25 Bares</t>
  </si>
  <si>
    <t>DN 350 mm PN 25 Bares</t>
  </si>
  <si>
    <t>DN 350 mm PN 40 Bares</t>
  </si>
  <si>
    <t>DN 350 mm PN 55 Bares</t>
  </si>
  <si>
    <t>Antirotura con válvula Cheque</t>
  </si>
  <si>
    <t>10.2.2</t>
  </si>
  <si>
    <t>10.2.3</t>
  </si>
  <si>
    <t>10.2.4</t>
  </si>
  <si>
    <t>10.3</t>
  </si>
  <si>
    <t>10.3.1</t>
  </si>
  <si>
    <t>10.3.2</t>
  </si>
  <si>
    <t>10.3.3</t>
  </si>
  <si>
    <t>Válvula Purga disipadora de 4"</t>
  </si>
  <si>
    <t>10.4</t>
  </si>
  <si>
    <t>10.4.1</t>
  </si>
  <si>
    <t>10.4.2</t>
  </si>
  <si>
    <t>10.4.3</t>
  </si>
  <si>
    <t>10.5</t>
  </si>
  <si>
    <t>10.5.1</t>
  </si>
  <si>
    <t>Válvula Purga de desague de 4"</t>
  </si>
  <si>
    <t>10.5.2</t>
  </si>
  <si>
    <t>10.5.3</t>
  </si>
  <si>
    <t>Filtro de limpieza</t>
  </si>
  <si>
    <t>10.6</t>
  </si>
  <si>
    <t>10.6.1</t>
  </si>
  <si>
    <t>10.6.2</t>
  </si>
  <si>
    <t>10.6.3</t>
  </si>
  <si>
    <t>10.6.4</t>
  </si>
  <si>
    <t>10.7</t>
  </si>
  <si>
    <t>Otras Cajas</t>
  </si>
  <si>
    <t>De entrega</t>
  </si>
  <si>
    <t>10.7.1</t>
  </si>
  <si>
    <t>10.8</t>
  </si>
  <si>
    <t>Cámaras de quiebre</t>
  </si>
  <si>
    <t>10.9</t>
  </si>
  <si>
    <t>Viaductos</t>
  </si>
  <si>
    <t>10.9.1</t>
  </si>
  <si>
    <t>10.9.2</t>
  </si>
  <si>
    <t>10.9.3</t>
  </si>
  <si>
    <t>10.9.4</t>
  </si>
  <si>
    <t>10.9.5</t>
  </si>
  <si>
    <t>K33+007</t>
  </si>
  <si>
    <t>K33+322</t>
  </si>
  <si>
    <t>K35+440</t>
  </si>
  <si>
    <t>Alto Grande</t>
  </si>
  <si>
    <t>K20+500 Estribos</t>
  </si>
  <si>
    <t>8.2.7.4</t>
  </si>
  <si>
    <t>8.2.11</t>
  </si>
  <si>
    <t>8.2.12</t>
  </si>
  <si>
    <t>8.2.9.1</t>
  </si>
  <si>
    <t>8.2.9.2</t>
  </si>
  <si>
    <t>Cauchos o empaques para tuberías</t>
  </si>
  <si>
    <t>Para tubería HD DN 250 mm</t>
  </si>
  <si>
    <t>Para tubería HD DN 350 mm</t>
  </si>
  <si>
    <t>Retiro limpieza e inspección de tuberia HD 16"</t>
  </si>
  <si>
    <t>Varios</t>
  </si>
  <si>
    <t>Perforación en 6" para instalar pasamuros al tanque</t>
  </si>
  <si>
    <t>Brida Ciega de 3"</t>
  </si>
  <si>
    <t>5.4.3.1</t>
  </si>
  <si>
    <t>Acero estructural</t>
  </si>
  <si>
    <t>Acero Estructural</t>
  </si>
  <si>
    <t>OFICIAL ESPECIALIZADO</t>
  </si>
  <si>
    <t>OFICIAL</t>
  </si>
  <si>
    <t>AYUDANTE</t>
  </si>
  <si>
    <t>Sub Contratista</t>
  </si>
  <si>
    <t>VIADUCTOS</t>
  </si>
  <si>
    <t>Concreto de 4000 psi</t>
  </si>
  <si>
    <t>Kls</t>
  </si>
  <si>
    <t>Valvula de compuerta de 4"</t>
  </si>
  <si>
    <t>Válvula ventosa de 4"</t>
  </si>
  <si>
    <t>Disco diamantado para cortes</t>
  </si>
  <si>
    <t>Tee de 14" x  4" BB</t>
  </si>
  <si>
    <t>Valvula de Antirotura de D 350 PN 25 Bares</t>
  </si>
  <si>
    <t>Valvula de Antirotura de D 350 PN 40 Bares</t>
  </si>
  <si>
    <t>Valvula de Antirotura de D 350 PN 55 Bares</t>
  </si>
  <si>
    <t>Pasamuro de 4" de 0,00 a 0,50 m LB</t>
  </si>
  <si>
    <t>Adaptador universal de 4"</t>
  </si>
  <si>
    <t>Concreto simple resistencia 21 MPa (210 kg/cm2) - ANCLAJES</t>
  </si>
  <si>
    <t>GB</t>
  </si>
  <si>
    <t>Tubería en HD 10" (250 mm) Acerrojada</t>
  </si>
  <si>
    <t xml:space="preserve">INSTALACION TUBERIA HD </t>
  </si>
  <si>
    <t>Instalación tubería HD de 350 mm ACERROJADA O ACERO AL CARBON</t>
  </si>
  <si>
    <t>Tubería en HD 14" (350 mm) 55 Bares ACERROJADA O ACERO AL CARBON</t>
  </si>
  <si>
    <t xml:space="preserve">Acople Universal 14" </t>
  </si>
  <si>
    <t xml:space="preserve">Adaptador Brida porAcople Universal 14" </t>
  </si>
  <si>
    <t>3.15.7.5.1.1.13</t>
  </si>
  <si>
    <t>3.15.7.5.1.2.13</t>
  </si>
  <si>
    <t>Tee HD 14" x 4" (350 mm x 100 mm) Acerrojada</t>
  </si>
  <si>
    <t>Válvula Anticavitaria de 6"</t>
  </si>
  <si>
    <t>Instalación válvulas esperciales</t>
  </si>
  <si>
    <t>Valvula de Cheque de D 100 PN 25 Bares</t>
  </si>
  <si>
    <t>Impermeabilizante para morterp</t>
  </si>
  <si>
    <t>,</t>
  </si>
  <si>
    <t xml:space="preserve">Malla de cerramiento </t>
  </si>
  <si>
    <t>Niple de 4" De 0,00 a 1,00 m BB</t>
  </si>
  <si>
    <t>Niple de 10" de 0,00 a 1,00 m LB</t>
  </si>
  <si>
    <t>Niple de 14" de 0,00 a 1,00 m LB</t>
  </si>
  <si>
    <t>MUNICIPIO DE LA MESA DEPARTAMENTO DE CUNDINAMARCA</t>
  </si>
  <si>
    <t>Niple HD de 14" de 0,00 a 1,00 m BB</t>
  </si>
  <si>
    <t>Niple HD de 4" de 1,00 a 2,00 m BB</t>
  </si>
  <si>
    <t>Válvula mariposa de 4" BB</t>
  </si>
  <si>
    <t>Niple de 6" HG</t>
  </si>
  <si>
    <t>Codo de 90 º x 6" HG</t>
  </si>
  <si>
    <t>Malla eslabonada de orificios de 1/64 "</t>
  </si>
  <si>
    <t>Ductos de Ventilación en 4" HG</t>
  </si>
  <si>
    <t xml:space="preserve">Concreto de 4000 psi muros </t>
  </si>
  <si>
    <t>Valvula de Mariposa de 4"</t>
  </si>
  <si>
    <t>Brida por Adaptador universal de 10"</t>
  </si>
  <si>
    <t>Tapa y marco metalica abisagrada</t>
  </si>
  <si>
    <r>
      <t>m</t>
    </r>
    <r>
      <rPr>
        <vertAlign val="superscript"/>
        <sz val="10"/>
        <color theme="1"/>
        <rFont val="Calibri"/>
        <family val="2"/>
        <scheme val="minor"/>
      </rPr>
      <t>2</t>
    </r>
  </si>
  <si>
    <t>Pasamuro de 10" de 0,50 a 1,00 m LB</t>
  </si>
  <si>
    <t>Pasamuro de 14" de 0,50 a 1,00 m LB</t>
  </si>
  <si>
    <t>Instalador Bomba Anti rotura</t>
  </si>
  <si>
    <t>Válvula anular 4"</t>
  </si>
  <si>
    <t>Union de Montaje de 4"</t>
  </si>
  <si>
    <t>Codo HD BB 4" x 90º</t>
  </si>
  <si>
    <t>Pasamuro de 4" de 0,50 a 1,00 m LB</t>
  </si>
  <si>
    <t>Obra civil</t>
  </si>
  <si>
    <t>Valvula de Mariposa de 10"</t>
  </si>
  <si>
    <t>Valvula de Mariposa de 14"</t>
  </si>
  <si>
    <t>3.15.7.5.1.1.14</t>
  </si>
  <si>
    <t xml:space="preserve">Acople Universal 16" </t>
  </si>
  <si>
    <t>LINEA PTAR MADRID BOJACA</t>
  </si>
  <si>
    <t>Limpieza e inspección con CCTV y Prueba hidráulica de 16"</t>
  </si>
  <si>
    <t>8.2.9.3</t>
  </si>
  <si>
    <t>Para tubería HD DN 400 mm</t>
  </si>
  <si>
    <t>Cortes en tubería de 16"</t>
  </si>
  <si>
    <t>CORTES EN TUBERIA DE 16"</t>
  </si>
  <si>
    <t>EMPATES EN TUBERIA DE 16"</t>
  </si>
  <si>
    <t>ESTRUCTURAS BOJACA LA MESA</t>
  </si>
  <si>
    <t>Niple de 16" de 0,00 a 1,00 m LB</t>
  </si>
  <si>
    <t>Brida por Adaptador universal de 16"</t>
  </si>
  <si>
    <t>3.15.7.5.1.2.14</t>
  </si>
  <si>
    <t>VENTOSAS DE DOBLE ACCION (Incluye Caja) PN 25 BARES PARA TUBERIA DN 400 mm</t>
  </si>
  <si>
    <t>Pasamuro de 16" de 0,50 a 1,00 m LB</t>
  </si>
  <si>
    <t>Valvula de Antirotura de D 400 PN 55 Bares</t>
  </si>
  <si>
    <t>Tee de 16" x  4" BB</t>
  </si>
  <si>
    <t>Adaptador universal de 16"</t>
  </si>
  <si>
    <t>ESTRUCTURA ANTIROTURA CON VALVULA CINETICA DN 400 PN 25 BARES</t>
  </si>
  <si>
    <t>ESTRUCTURA DE PURGA DISIPADORA DN 400 PN 25 BARES</t>
  </si>
  <si>
    <t>Pasamuro de 16" de 0,00 a 0,50 m LB</t>
  </si>
  <si>
    <t>ESTRUCTURA DE PURGA DESAGUE DN 400 PN 25 BARES</t>
  </si>
  <si>
    <t>FILTRO DE LIMPIEZA DN 400 PN 25 BARES</t>
  </si>
  <si>
    <t>Valvula de Mariposa de 16"</t>
  </si>
  <si>
    <t>Niple de 0,00 a 1,00 m de 16" BB</t>
  </si>
  <si>
    <t>Unión de Montaje de 16"</t>
  </si>
  <si>
    <t>Filtro tipo Yee de 16"BB</t>
  </si>
  <si>
    <t xml:space="preserve">ESTRUCTURAS MADRID BOJACA </t>
  </si>
  <si>
    <t>ESTRUCTURA ANTIROTURA CON VALVULA DE CHEQUE  DN 350 PN 55 BARES</t>
  </si>
  <si>
    <t>ESTRUCTURA ANTIROTURA CON VALVULA DE CHEQUE DN 400 PN 25 BARES</t>
  </si>
  <si>
    <t>ESTRUCTURAS MADRID BOJACA</t>
  </si>
  <si>
    <t>DN 400 mm PN 25 Bares</t>
  </si>
  <si>
    <t>K5+600 Tubería de 16" (sin tubería)</t>
  </si>
  <si>
    <t>Rehabilitacion tramo tanque bojaca - La mesa - Acueducto Regional La Mesa - Anapoima</t>
  </si>
  <si>
    <t>Und</t>
  </si>
  <si>
    <t>Cant.</t>
  </si>
  <si>
    <t>Vr. Unit.</t>
  </si>
  <si>
    <t>Valor</t>
  </si>
  <si>
    <t>Retiro de tubería</t>
  </si>
  <si>
    <t>2.1</t>
  </si>
  <si>
    <t>2.3</t>
  </si>
  <si>
    <t>ml-km</t>
  </si>
  <si>
    <t>Construcción cajas de acceso a compartimientos tanques</t>
  </si>
  <si>
    <t>4"</t>
  </si>
  <si>
    <t>Excavaciones</t>
  </si>
  <si>
    <t>En tierra</t>
  </si>
  <si>
    <t>En roca</t>
  </si>
  <si>
    <t>Retiro, limpieza e inspección de tubería</t>
  </si>
  <si>
    <t>Tubería en HD 8"</t>
  </si>
  <si>
    <t>Nivelación cama tubería</t>
  </si>
  <si>
    <t>Cargue, transporte y descargue de tubería</t>
  </si>
  <si>
    <t>5.2</t>
  </si>
  <si>
    <t>Suministro de tubería y accesorios</t>
  </si>
  <si>
    <t>Tubería unión acerrojada DN 250 K9</t>
  </si>
  <si>
    <t>Tapones bridados 4" HD</t>
  </si>
  <si>
    <t>Instalación de tubería y accesorios</t>
  </si>
  <si>
    <t xml:space="preserve">Tubería DN 250 HD </t>
  </si>
  <si>
    <t>Tubería DN 350 HD</t>
  </si>
  <si>
    <t>Instalación de niples de reparación DN 250</t>
  </si>
  <si>
    <t>Instalación de niples de reparación DN 350</t>
  </si>
  <si>
    <t>Rellenos</t>
  </si>
  <si>
    <t>Con material de la misma excavación</t>
  </si>
  <si>
    <t>Subbase granular</t>
  </si>
  <si>
    <t>Anclajes en concreto</t>
  </si>
  <si>
    <t>Acero de refuerzo para anclajes</t>
  </si>
  <si>
    <t>Cortes de tubería</t>
  </si>
  <si>
    <t>Demolición y retiro de sobrantes</t>
  </si>
  <si>
    <t xml:space="preserve">Demolición  </t>
  </si>
  <si>
    <t>Retiro de sobrantes</t>
  </si>
  <si>
    <t>m3-km</t>
  </si>
  <si>
    <t>Disposición de sobrantes</t>
  </si>
  <si>
    <t>Reconstrucción de pavimentos</t>
  </si>
  <si>
    <t>Placa en concreto</t>
  </si>
  <si>
    <t>Pavimento asfáltico</t>
  </si>
  <si>
    <t>Limpieza, Inspección con CCTV y pruebas hidráulicas</t>
  </si>
  <si>
    <t>Empaques</t>
  </si>
  <si>
    <t>Total Linea de conduccion</t>
  </si>
  <si>
    <t>LINEA DE ALTA PRESION (SIFON)</t>
  </si>
  <si>
    <t>Cargue, transporte y descargue de tubería y accesorios</t>
  </si>
  <si>
    <t>Suministro e Instalación de tubería y accesorios</t>
  </si>
  <si>
    <t>Ventosas de doble acción 4" (incluye caja)</t>
  </si>
  <si>
    <t>PN 25 bares</t>
  </si>
  <si>
    <t>Estructura antirotura con válvula cinética</t>
  </si>
  <si>
    <t>Estructura antirotura con válvula cheque</t>
  </si>
  <si>
    <t>Estructura de purga disipadora 4"</t>
  </si>
  <si>
    <t>Estructura de purga de desague 4"</t>
  </si>
  <si>
    <t>Cajas de entrega</t>
  </si>
  <si>
    <t>Cámaras de quiebre de presión</t>
  </si>
  <si>
    <t>Viaducto Alto Grande</t>
  </si>
  <si>
    <t>Total Estructuras Especiales</t>
  </si>
  <si>
    <t>Subtotal costos directos</t>
  </si>
  <si>
    <t>AIU</t>
  </si>
  <si>
    <t>Valor total costos directos</t>
  </si>
  <si>
    <t>Interventoria</t>
  </si>
  <si>
    <t>LINEA DE CONDUCCION PTAR MADRID- TANQUE BOJACA</t>
  </si>
  <si>
    <t>Tubería HD espigo campana DN 400 K9</t>
  </si>
  <si>
    <t>Codos 16" x 11,25° HD</t>
  </si>
  <si>
    <t>Codos 16" x 22,5° HD</t>
  </si>
  <si>
    <t>Tee lisa 16" x 4" HD</t>
  </si>
  <si>
    <t>Unión universal (30 mm) 16" HD</t>
  </si>
  <si>
    <t>Tubería DN 400 HD</t>
  </si>
  <si>
    <t>Instalación de niples de reparación DN 400</t>
  </si>
  <si>
    <t>DN 400 PN 25 bares</t>
  </si>
  <si>
    <t>PERFORACION MUROS TANQUE PARA ACCESO</t>
  </si>
  <si>
    <r>
      <t>m</t>
    </r>
    <r>
      <rPr>
        <b/>
        <sz val="10"/>
        <color theme="1"/>
        <rFont val="Calibri"/>
        <family val="2"/>
      </rPr>
      <t>2</t>
    </r>
  </si>
  <si>
    <t>Transporte, descargue y almacenamiento</t>
  </si>
  <si>
    <t>CONCRETO SIMPLE RESIST. 21.0 Mpa (210Kg/cm2) PARA ANCLAJES</t>
  </si>
  <si>
    <t>Tubería DN 350 PN 60 bares Acerrojada o Acero al carbón</t>
  </si>
  <si>
    <t>Tee DN 350 X 100 PN 60 bares</t>
  </si>
  <si>
    <t>Viaducto K5+600 - Sólo sum/inst Tubería 16" HDA/acero</t>
  </si>
  <si>
    <t>NIPLE HD BxB CON SALIDA PARA SONDA DE CALIDAD DE AGUA Φ=350x100mm</t>
  </si>
  <si>
    <t>MACROMEDIDOR ELECTROMAGNÉTICO 150 MM</t>
  </si>
  <si>
    <t>MESES</t>
  </si>
  <si>
    <t>DESCRIPCION</t>
  </si>
  <si>
    <t xml:space="preserve">PROGRAMA DE BARRAS </t>
  </si>
  <si>
    <t>Retiro de material</t>
  </si>
  <si>
    <t>Construcción cajas de acceso a PTAP</t>
  </si>
  <si>
    <t>MEDIDOR DIFERENCIAL DE PRESION</t>
  </si>
  <si>
    <t>MEDIDOR DE PRESION</t>
  </si>
  <si>
    <t>ANEXO 5.1 TABLA DE CANTIDADES  TANQUE BOJACA</t>
  </si>
  <si>
    <t>1. DEMOLICION CAJA ACCESO A TANQUE (m3)</t>
  </si>
  <si>
    <t>LARGO (m)</t>
  </si>
  <si>
    <t>ANCHO (m)</t>
  </si>
  <si>
    <t>ALTO(m)</t>
  </si>
  <si>
    <r>
      <t>TOTAL (m</t>
    </r>
    <r>
      <rPr>
        <b/>
        <vertAlign val="superscript"/>
        <sz val="8"/>
        <color theme="1"/>
        <rFont val="Arial"/>
        <family val="2"/>
      </rPr>
      <t>2</t>
    </r>
    <r>
      <rPr>
        <b/>
        <sz val="8"/>
        <color theme="1"/>
        <rFont val="Arial"/>
        <family val="2"/>
      </rPr>
      <t>)</t>
    </r>
  </si>
  <si>
    <t>Muro</t>
  </si>
  <si>
    <t>Losa inferior</t>
  </si>
  <si>
    <t>Losa superior</t>
  </si>
  <si>
    <t>2. RETIRO DE TUBERIA</t>
  </si>
  <si>
    <t>RETIRO DE TUBERÍA</t>
  </si>
  <si>
    <t>CARGUE TRANSPORTE Y DESCARGUE</t>
  </si>
  <si>
    <t>DIAMETRO</t>
  </si>
  <si>
    <t>LONGITUD(m)</t>
  </si>
  <si>
    <t>DISTANCIA(km)</t>
  </si>
  <si>
    <t>m/km</t>
  </si>
  <si>
    <t>8"</t>
  </si>
  <si>
    <t>3. CONSTRUCCIÓN CAJAS DE ACCESO A COMPARTIMIENTOS DE TANQUES</t>
  </si>
  <si>
    <t>EXCAVACION</t>
  </si>
  <si>
    <t>Cajas</t>
  </si>
  <si>
    <t>Achiques</t>
  </si>
  <si>
    <r>
      <t xml:space="preserve">Tuberia HD </t>
    </r>
    <r>
      <rPr>
        <sz val="8"/>
        <color theme="1"/>
        <rFont val="Calibri"/>
        <family val="2"/>
      </rPr>
      <t>Φ400mm</t>
    </r>
  </si>
  <si>
    <t>Tuberia HD Φ250mm</t>
  </si>
  <si>
    <t>Tuberia PVC Φ200mm desague</t>
  </si>
  <si>
    <t>RELLENO EN RECEBO</t>
  </si>
  <si>
    <t>SOLADO EN CONCRETO</t>
  </si>
  <si>
    <t>CONCRETO PARA MUROS, PISOS Y TAPA</t>
  </si>
  <si>
    <t>Muro achique</t>
  </si>
  <si>
    <t>ACERO DE REFUERZO PARA CONCRETO</t>
  </si>
  <si>
    <t>CONCRETO</t>
  </si>
  <si>
    <t>ACERO (kg)</t>
  </si>
  <si>
    <t>TOTAL (kg)</t>
  </si>
  <si>
    <t>4. SUMINISTRO E INSTALACION ACCESORIOS TANQUE BOJACA</t>
  </si>
  <si>
    <t>ID</t>
  </si>
  <si>
    <t>CODO 90º HD BxB</t>
  </si>
  <si>
    <t>NIPLE HD L VARIABLE BxB</t>
  </si>
  <si>
    <t>NIPLE PASAMURO HD BxB L=0,5m</t>
  </si>
  <si>
    <t>TAPON HD</t>
  </si>
  <si>
    <t>NIPLE HD BxB L VARIABLE CON ANILLO DE ANCLAJE</t>
  </si>
  <si>
    <t>UNION DE DESMONTAJE BxB</t>
  </si>
  <si>
    <t>VALVULA MARIPOSA BxB</t>
  </si>
  <si>
    <t>MACROMEDIDOR ELECTROMAGNETICO</t>
  </si>
  <si>
    <t>REDUCCION HD BxB</t>
  </si>
  <si>
    <t>-</t>
  </si>
  <si>
    <t>5. SUMINISTRO E INSTALACION DE  TAPONES BRIDADOS PASAMUROS 8"</t>
  </si>
  <si>
    <t>7. RETIRO, CARGUE, TRANSPORTE Y DESCARGUE ACCESORIOS</t>
  </si>
  <si>
    <t>8. CONSTRUCCION CAJA CONEXIÓN A TANQUE BOJACA</t>
  </si>
  <si>
    <t>Caja</t>
  </si>
  <si>
    <t>Tuberia PVC 100mm</t>
  </si>
  <si>
    <t>CONCRETO PARA PISO Y TAPA</t>
  </si>
  <si>
    <t>Piso</t>
  </si>
  <si>
    <t>Tapa</t>
  </si>
  <si>
    <t>MAMPOSTERIA EN BLOQUE e=0,12</t>
  </si>
  <si>
    <t>9. PERFORACION MUROS TANQUE 150mm</t>
  </si>
  <si>
    <t>PERFORACION MUROS</t>
  </si>
  <si>
    <t>10. ESCALERA DE GATO H=3,5m</t>
  </si>
  <si>
    <t>PASO(UN)</t>
  </si>
  <si>
    <t>11. ESCALERA DE GATO H=1,0m</t>
  </si>
  <si>
    <t>12. BARANDA PROTECCION ACCESOS A TANQUE</t>
  </si>
  <si>
    <t>13. IMPERMEABILIZACION TANQUE</t>
  </si>
  <si>
    <t>IMPERMEABILIZACION</t>
  </si>
  <si>
    <t>14. CERRAMIENTO</t>
  </si>
  <si>
    <t>ANEXO 5.2 TABLA DE CANTIDADES CAJA ENTRADA PTAP LA MESA</t>
  </si>
  <si>
    <t>TUBERIA PERFORADA HD</t>
  </si>
  <si>
    <t>VALVULA DE CONTROL ANTICAVITACION, ANULAR O DE AGUJA</t>
  </si>
  <si>
    <t>FILTRO TIPO Y</t>
  </si>
  <si>
    <t>CRUZ HD BxBxBxB</t>
  </si>
  <si>
    <t>250x150</t>
  </si>
  <si>
    <t>NIPLE PASAMURO HD BxC</t>
  </si>
  <si>
    <t>1. EXCAVACIONES</t>
  </si>
  <si>
    <t>EN TIERRA (95%)</t>
  </si>
  <si>
    <t>EN ROCA (5%)</t>
  </si>
  <si>
    <t>2. RETIRO, LIMPIEZA E INSPECCION DE TUBERÍA</t>
  </si>
  <si>
    <t>Tubería en HD 200mm</t>
  </si>
  <si>
    <t>Tubería en HD 250mm</t>
  </si>
  <si>
    <t>Tubería en HD 350mm</t>
  </si>
  <si>
    <t>Tubería en HD 400mm</t>
  </si>
  <si>
    <t>3. RETIRO, LIMPIEZA E INSPECCION DE ACCESORIOS</t>
  </si>
  <si>
    <t>CANTIDAD (UN)</t>
  </si>
  <si>
    <t>* Se asume que sólo el 20% de los accesorios pueden estar en buen estado</t>
  </si>
  <si>
    <t>4. NIVELACION CAMA TUBERIA</t>
  </si>
  <si>
    <t>OBSERVACION</t>
  </si>
  <si>
    <t>5. CARGUE, TRANSPORTE Y DESCARGUE DE TUBERÍA</t>
  </si>
  <si>
    <t>(m/km)</t>
  </si>
  <si>
    <t>6. SUMINISTRO DE TUBERIA Y ACCESORIOS</t>
  </si>
  <si>
    <t>TUBERÍA</t>
  </si>
  <si>
    <t>ACCESORIOS</t>
  </si>
  <si>
    <t>7. INSTALACION DE TUBERIA Y ACCESORIOS</t>
  </si>
  <si>
    <t>8. RELLENOS</t>
  </si>
  <si>
    <t>MATERIAL SELECCIONADO DE LA MISMA EXCAVACIÓN</t>
  </si>
  <si>
    <t>DIAMETRO(m)</t>
  </si>
  <si>
    <t>ANCHO(m)</t>
  </si>
  <si>
    <t>VOLUMEN(m)</t>
  </si>
  <si>
    <t>SUBBASE GRANULAR</t>
  </si>
  <si>
    <t>VOLUMEN (m3)</t>
  </si>
  <si>
    <t>9. ANCLAJES EN CONCRETO</t>
  </si>
  <si>
    <t>10. ACERO DE REFUERZO PARA ANCLAJES</t>
  </si>
  <si>
    <t>11. CORTES DE TUBERIA</t>
  </si>
  <si>
    <t>CANTIDAD (m)</t>
  </si>
  <si>
    <t>12. DEMOLICION Y RETIRO DE SOBRANTES</t>
  </si>
  <si>
    <t>DEMOLICION VRPS EXISTENTES</t>
  </si>
  <si>
    <t>Muro VRP1</t>
  </si>
  <si>
    <t>Losa superior VRP1</t>
  </si>
  <si>
    <t>Losa inferior VRP1</t>
  </si>
  <si>
    <t>Muro VRP2</t>
  </si>
  <si>
    <t>Losa superior VRP2</t>
  </si>
  <si>
    <t>Losa inferior VRP2</t>
  </si>
  <si>
    <t>DEMOLICION VIA EN PLACA EN CONCRETO</t>
  </si>
  <si>
    <t>LONGITUD (m)</t>
  </si>
  <si>
    <t>Placa huella 1</t>
  </si>
  <si>
    <t>DEMOLICION VIA EN PAVIMENTO</t>
  </si>
  <si>
    <t>Via cachipay</t>
  </si>
  <si>
    <t>RETIRO DE SOBRANTES (A 20KM)</t>
  </si>
  <si>
    <t>VOLUMEN (M3)</t>
  </si>
  <si>
    <t>m3/km</t>
  </si>
  <si>
    <t>VRPs</t>
  </si>
  <si>
    <t>* factor de expansion 1,4</t>
  </si>
  <si>
    <t>Placa huella</t>
  </si>
  <si>
    <t>Pavimento</t>
  </si>
  <si>
    <t>13. RECONSTRUCCION DE PAVIMENTOS</t>
  </si>
  <si>
    <t>14. DESMONTE, LIMPIEZA Y TRANSPORTE ELEMETOS ERPs</t>
  </si>
  <si>
    <t>15. LIMPIEZA, INSPECCION CCTV Y PRUEBA HIDRAULICA</t>
  </si>
  <si>
    <t>TOTAL (m)</t>
  </si>
  <si>
    <t>16. EMPAQUES</t>
  </si>
  <si>
    <t>EMPAQUES (UN)</t>
  </si>
  <si>
    <t>ANEXO 5.4 TABLA DE CANTIDADES  LINEA DE ALTA PRESION (SIFON FLORIAN)</t>
  </si>
  <si>
    <t>8, DEMOLICION Y RETIRO DE SOBRANTES</t>
  </si>
  <si>
    <t>Placa huella 3</t>
  </si>
  <si>
    <t>9. RECONSTRUCCION DE PAVIMENTOS</t>
  </si>
  <si>
    <t>10. LIMPIEZA, INSPECCION CCTV Y PRUEBA HIDRAULICA</t>
  </si>
  <si>
    <t>ANEXO 5.5 TABLA DE CANTIDADES  ESTRUCTURAS ESPECIALES</t>
  </si>
  <si>
    <t>CONCRETO POBRE</t>
  </si>
  <si>
    <t>CONCRETO PLACA Y MUROS</t>
  </si>
  <si>
    <t>ACERO DE REFUERZO</t>
  </si>
  <si>
    <t>IMPERMEABILIZANTE INTEGRAL</t>
  </si>
  <si>
    <t>CEMENTO</t>
  </si>
  <si>
    <t>RETIRO DE MATERIAL</t>
  </si>
  <si>
    <t>RETIRO</t>
  </si>
  <si>
    <t>LONGITUD</t>
  </si>
  <si>
    <t>ACERO (KG)</t>
  </si>
  <si>
    <t>CAJA DE ENTREGA</t>
  </si>
  <si>
    <t>CAMARA DE QUIEBRE</t>
  </si>
  <si>
    <t>Tanque</t>
  </si>
  <si>
    <t>Losa superior caja entrada</t>
  </si>
  <si>
    <t>Losa inferior caja entrada</t>
  </si>
  <si>
    <t>Muro caja entrada</t>
  </si>
  <si>
    <t>Losa superior tanque</t>
  </si>
  <si>
    <t>Losa inferior tanque</t>
  </si>
  <si>
    <t>Muro tanque</t>
  </si>
  <si>
    <t xml:space="preserve">Rebose </t>
  </si>
  <si>
    <t>Losa inferior rebose</t>
  </si>
  <si>
    <t>Anclajes tubería perforada</t>
  </si>
  <si>
    <t>Pasamuros</t>
  </si>
  <si>
    <t>ACERO DE REFUERZO 60000PSI</t>
  </si>
  <si>
    <t>AGUA</t>
  </si>
  <si>
    <t>ALAMBRE NEGRO NO.18</t>
  </si>
  <si>
    <t>ARENA DE PEÑA</t>
  </si>
  <si>
    <t>m³</t>
  </si>
  <si>
    <t>ARENA LAVADA</t>
  </si>
  <si>
    <t xml:space="preserve">BASE ASFALTICA 80 100 MDC 2 </t>
  </si>
  <si>
    <t>COMPACTADOR(CANGURO)</t>
  </si>
  <si>
    <t>COMPRESOR DE 2 MARTILLOS</t>
  </si>
  <si>
    <t>CORTADORA PAVIMENTO CONCRETO</t>
  </si>
  <si>
    <t>ESLINGA Y MALACATE</t>
  </si>
  <si>
    <t xml:space="preserve">FORMALETA DE MADERA </t>
  </si>
  <si>
    <t>FORMALETA DE METÁLICA</t>
  </si>
  <si>
    <t>GRAVA</t>
  </si>
  <si>
    <t>MEZCLADORA</t>
  </si>
  <si>
    <t>RETROEXCAVADORA</t>
  </si>
  <si>
    <t>SELECCIÓN DE MATERIAL</t>
  </si>
  <si>
    <t>SUBBASE GRANULAR SBG4 (NORMA ET-2005 IDU)</t>
  </si>
  <si>
    <t>VIBRADOR</t>
  </si>
  <si>
    <t>VOLQUETA RETIRO SOBRANTE</t>
  </si>
  <si>
    <t>EQUIPO DE EXTRACCION</t>
  </si>
  <si>
    <t>un/dia</t>
  </si>
  <si>
    <t>un/hr</t>
  </si>
  <si>
    <t>MINICARGADOR</t>
  </si>
  <si>
    <t>CURADO</t>
  </si>
  <si>
    <t>EQUIPO DE MOVILIZACION</t>
  </si>
  <si>
    <t>VALVULA DE COMPUERTA BxB 150mm</t>
  </si>
  <si>
    <t>VALVULA DE CONTROL DE NIVEL BxB 150mm</t>
  </si>
  <si>
    <t>UNION DE DESMONTAJE BxB 150mm</t>
  </si>
  <si>
    <t>NIPLE HD BxB 150mm L=0 a 1m</t>
  </si>
  <si>
    <t>NIPLE HD BxB 150mm L=1 a 2m</t>
  </si>
  <si>
    <t>FILTRO BxB 150mm</t>
  </si>
  <si>
    <t>VALVULA MARIPOSA BxB 150mm</t>
  </si>
  <si>
    <t>NIPLE HD BxB 250mm L=4 a 5m</t>
  </si>
  <si>
    <t>NIPLE HD BxB 400mm L=1 a 2m</t>
  </si>
  <si>
    <t>NIPLE HD BxB 150mm L=2 a 3m</t>
  </si>
  <si>
    <t>UNION DE DESMONTAJE BxB 250mm</t>
  </si>
  <si>
    <t>VALVULA DE COMPUERTA BxB 250mm</t>
  </si>
  <si>
    <t>NIPLE HD BxB 250mm L=1 a 2m</t>
  </si>
  <si>
    <t>NIPLE HD BxB 250mm L=0 a 1m</t>
  </si>
  <si>
    <t>NIPLE HD BxB 100mm L=0 a 1m</t>
  </si>
  <si>
    <t>NIPLE HD BxB 100mm L=2 a 3m</t>
  </si>
  <si>
    <t>UNION DE DESMONTAJE BxB 100mm</t>
  </si>
  <si>
    <t>VALVULA MARIPOSA BxB 100mm</t>
  </si>
  <si>
    <t>NIPLE HD BxB 100mm L=1 a 2m</t>
  </si>
  <si>
    <t>TAPON BRIDADO 200mm</t>
  </si>
  <si>
    <t>TAPON BRIDADO 250mm</t>
  </si>
  <si>
    <t>BLOQUE Nº5</t>
  </si>
  <si>
    <t>MORTERO DE PEGA</t>
  </si>
  <si>
    <t>CIMBRA</t>
  </si>
  <si>
    <t>ESCALONES GALVANIZADOS DE 3/4"</t>
  </si>
  <si>
    <t>TUBERIA DE 1 1/2"</t>
  </si>
  <si>
    <t>PLATINAS DE 3/8" DE 10x10cm</t>
  </si>
  <si>
    <t>SOLDADURA</t>
  </si>
  <si>
    <t>PERNOS EXPANSIVOS</t>
  </si>
  <si>
    <t>MORTERO</t>
  </si>
  <si>
    <t>IMPERMEABILIZANTE</t>
  </si>
  <si>
    <t>VIGA DE CIMENTACION EN CONCRETO</t>
  </si>
  <si>
    <t>BLOQUE DE ANCLAJE PARAL EN CONCRETO</t>
  </si>
  <si>
    <t>ALAMBRE DE PUAS TIPO MOTTO O SIMILAR</t>
  </si>
  <si>
    <t>ANGULO DE 1"</t>
  </si>
  <si>
    <t>PARALES DE 3m</t>
  </si>
  <si>
    <t>EQUIPO DE SOLDADURA</t>
  </si>
  <si>
    <t>ANFOR</t>
  </si>
  <si>
    <t>INDUGEL</t>
  </si>
  <si>
    <t>CORDON DETONANTE</t>
  </si>
  <si>
    <t>TRANSPORTE MATERIAL EXPLOSIVO</t>
  </si>
  <si>
    <t>VOLQUETA</t>
  </si>
  <si>
    <t>TRANSPORTE, DESCARGUE Y ALMACENAMIENTO TUBERIA ACERROJADA</t>
  </si>
  <si>
    <t>TRANSPORTE, DESCARGUE Y ALMACENAMIENTO REDUCCION 350x250mm</t>
  </si>
  <si>
    <t>TRANSPORTE, DESCARGUE Y ALMACENAMIENTO CODOS 250mm 11.25º,22.5º</t>
  </si>
  <si>
    <t>TRANSPORTE, DESCARGUE Y ALMACENAMIENTO CODOS 250mm 45º</t>
  </si>
  <si>
    <t>TRANSPORTE, DESCARGUE Y ALMACENAMIENTO CODOS 250mm 90º</t>
  </si>
  <si>
    <t>TRANSPORTE, DESCARGUE Y ALMACENAMIENTO CODOS 350mm 11.25º,22.5º</t>
  </si>
  <si>
    <t>TRANSPORTE, DESCARGUE Y ALMACENAMIENTO CODOS 350mm 45º</t>
  </si>
  <si>
    <t>TRANSPORTE, DESCARGUE Y ALMACENAMIENTO CODOS 350mm 90º</t>
  </si>
  <si>
    <t>TAPA Y ARO DE SEGURIDAD</t>
  </si>
  <si>
    <t>TRANSPORTE, DESCARGUE Y ALMACENAMIENTO TEE 250x100mm HD</t>
  </si>
  <si>
    <t>TRANSPORTE, DESCARGUE Y ALMACENAMIENTO TEE 350x100mm HD</t>
  </si>
  <si>
    <t>TAPON BRIDADO 100mm</t>
  </si>
  <si>
    <t>TRANSPORTE, DESCARGUE Y ALMACENAMIENTO TAPON BRIDADO 100mm HD</t>
  </si>
  <si>
    <t>UNION UNIVERSAL 250mm HD (292mm a 310mm)</t>
  </si>
  <si>
    <t>TRANSPORTE, DESCARGUE Y ALMACENAMIENTO UNION UNVERSAL 250mm HD</t>
  </si>
  <si>
    <t xml:space="preserve">UNION UNIVERSAL 350mm HD </t>
  </si>
  <si>
    <t>TRANSPORTE, DESCARGUE Y ALMACENAMIENTO UNION UNVERSAL 350mm HD</t>
  </si>
  <si>
    <t>HIPOCLORITO DE SODIO</t>
  </si>
  <si>
    <t>PULIDORA PARA CORTES</t>
  </si>
  <si>
    <t>DISCO DIAMANTADO</t>
  </si>
  <si>
    <t>DISCO DE TUGSTENO</t>
  </si>
  <si>
    <t>VIBROCOMPACTADOR BENITIN</t>
  </si>
  <si>
    <t>ASFALTO LIQUIDO LIGA</t>
  </si>
  <si>
    <t>EMULSION ASFALTICA</t>
  </si>
  <si>
    <t>EQUIPO DE CCTV</t>
  </si>
  <si>
    <t>BOMBA DE PRUEBA HIDROSTATICA</t>
  </si>
  <si>
    <t>EMPAQUE</t>
  </si>
  <si>
    <t>CONCRETO POBRE SOLADO</t>
  </si>
  <si>
    <t>CONCRETO RESIST. 4000 PSI LOSA INFERIOR</t>
  </si>
  <si>
    <t>CONCRETO RESIST. 4000 PSI MUROS Y LOSA SUPERIOR</t>
  </si>
  <si>
    <t>NIPLE HD BxB 400mm L=0 a 1m</t>
  </si>
  <si>
    <t>NIPLE HD LxL 400mm L=0 a 1m</t>
  </si>
  <si>
    <t>UNION DESLIZANTE TIPO MANGUITO EXPRESS O SIMILAR</t>
  </si>
  <si>
    <t>CODO PVC GRAN RADIO 90º RDE 21 100mm</t>
  </si>
  <si>
    <t>VALVULA DE COMPUERTA BxB 100mm</t>
  </si>
  <si>
    <t>TUBERIA PVC UNION MECANICA RDE 21 150mm</t>
  </si>
  <si>
    <t>NIPLE HD BxB 150mm L=3 a 4m</t>
  </si>
  <si>
    <t>VALVULA ANTIROTURA DN 250 PN 25</t>
  </si>
  <si>
    <t>UNION DE DESMONTAJE BxB 350mm</t>
  </si>
  <si>
    <t>VALVULA ANTIROTURA DN 350 PN 25</t>
  </si>
  <si>
    <t>VALVULA ANTIROTURA DN 350 PN 40</t>
  </si>
  <si>
    <t>VALVULA ANTIROTURA DN 350 PN 55</t>
  </si>
  <si>
    <t>VALVULA DE CHEQUE DN 350 PN 25</t>
  </si>
  <si>
    <t>VALVULA DE CHEQUE DN 350 PN 40</t>
  </si>
  <si>
    <t>VALVULA DE CHEQUE DN 350 PN 55</t>
  </si>
  <si>
    <t>VALVULA DE ADMISION Y RETENCION DE AIRE BxB 100mm</t>
  </si>
  <si>
    <t>ADAPTADOR UNIVERSAL 100mm</t>
  </si>
  <si>
    <t>PASAMURO BB 100mm L=0.5 a 1m</t>
  </si>
  <si>
    <t>PASAMURO BB 250mm L=0.5 a 1m</t>
  </si>
  <si>
    <t>PASAMURO BB 350mm L=0.5 a 1m</t>
  </si>
  <si>
    <t>PASAMURO BL 250mm L=0.5 a 1m</t>
  </si>
  <si>
    <t>PASAMURO BL 350mm L=0.5 a 1m</t>
  </si>
  <si>
    <t>VALVULA MARIPOSA BxB 250mm</t>
  </si>
  <si>
    <t>FILTRO BxB 250mm</t>
  </si>
  <si>
    <t>ADAPTADOR UNIVERSAL 250mm</t>
  </si>
  <si>
    <t>VALVULA MARIPOSA BxB 350mm</t>
  </si>
  <si>
    <t>FILTRO BxB 350mm</t>
  </si>
  <si>
    <t>ADAPTADOR UNIVERSAL 350mm</t>
  </si>
  <si>
    <t>VALVULA DE BOLA DN350 PN 40</t>
  </si>
  <si>
    <t>VALVULA DE BOLA DN350 PN 55</t>
  </si>
  <si>
    <t>PASAMURO BB 150mm L=0.5 a 1m</t>
  </si>
  <si>
    <t>CRUZ 250x250x150x150 mm BxB HD</t>
  </si>
  <si>
    <t>TUBERIA PERFORADA HD L= 4.00 A 5.00m</t>
  </si>
  <si>
    <t>MANOMETRO DIFERENCIAL</t>
  </si>
  <si>
    <t xml:space="preserve">MANOMETRO ABSOLUTO </t>
  </si>
  <si>
    <t>VALVULA REDUCTORA DE PRESION 150mm</t>
  </si>
  <si>
    <t>VALVULA DE CONTROL ANTICAVITACION, ANULAR O DE AGUJA DN 100</t>
  </si>
  <si>
    <t>VALVULA DE CONTROL ANTICAVITACION, ANULAR O DE AGUJA DN 150</t>
  </si>
  <si>
    <t>COMPUERTA DE 350x350mm</t>
  </si>
  <si>
    <t>COMPUERTA DE 250x250mm</t>
  </si>
  <si>
    <t>TUBERIA ACERROJADA O ACERO AL CARBON DN350 PN 25</t>
  </si>
  <si>
    <t>TUBERIA ACERROJADA O ACERO AL CARBON DN250 PN 25</t>
  </si>
  <si>
    <t>TAPON BRIDADO 150mm</t>
  </si>
  <si>
    <t>CODOS 90 º HD 4" BB</t>
  </si>
  <si>
    <t>CODOS 90 º HD 4" LL</t>
  </si>
  <si>
    <t>NIPLE HD LxL 100mm L=0 a 1m</t>
  </si>
  <si>
    <t>NIPLE HD LxL 100mm L=1 a 2m</t>
  </si>
  <si>
    <t>PASAMURO CON ANILLO ANCLAJE BB 400mm L=2 a 3m</t>
  </si>
  <si>
    <t>UNION UNIVERSAL 100mm</t>
  </si>
  <si>
    <t>TUBERIA PVC UNION MECANICA RDE 21 100mm</t>
  </si>
  <si>
    <t>PASAMURO BB 100mm L=0.0 a 0.5 m</t>
  </si>
  <si>
    <t>PASAMURO BB 400mm L=0.5 a 1m</t>
  </si>
  <si>
    <t>VALVULA MARIPOSA BxB 400mm</t>
  </si>
  <si>
    <t>UNION DE DESMONTAJE BxB 400mm</t>
  </si>
  <si>
    <t>VALVULA MARIPOSA BxB 200mm</t>
  </si>
  <si>
    <t>PASAMURO BB 200mm L=0.5 a 1m</t>
  </si>
  <si>
    <t>TUBERIA HD LxL 250mm</t>
  </si>
  <si>
    <t>TUBERIA HD LxL 200mm</t>
  </si>
  <si>
    <t>Alambre negro No.18</t>
  </si>
  <si>
    <t>COLUMNA DE MANIOBRA CRM</t>
  </si>
  <si>
    <t>SOPORTE GUÍA VÁSTAGO NO 1</t>
  </si>
  <si>
    <t>SOPORTE GUÍA VÁSTAGO NO 2</t>
  </si>
  <si>
    <t>Tablero de control con sistemas de velocidad</t>
  </si>
  <si>
    <t>Cable Fuerza</t>
  </si>
  <si>
    <t>Cable control</t>
  </si>
  <si>
    <t>Cable tierra</t>
  </si>
  <si>
    <t xml:space="preserve">TEE HD BxBxB 100mmX100mm </t>
  </si>
  <si>
    <t xml:space="preserve">TEE HD  BxBxB 150mmX150mm </t>
  </si>
  <si>
    <t xml:space="preserve">TEE HD BxBxB 250mmX100mm </t>
  </si>
  <si>
    <t xml:space="preserve">TEE HD BxBxB 250mmX150mm </t>
  </si>
  <si>
    <t xml:space="preserve">TEE HD BxBxB 250mmX250mm </t>
  </si>
  <si>
    <t xml:space="preserve">TEE HD BxBxB 350mmX100mm </t>
  </si>
  <si>
    <t xml:space="preserve">TEE HD BxBxB 350mmX250mm </t>
  </si>
  <si>
    <t xml:space="preserve">TEE HD BxBxB 400mmX100mm </t>
  </si>
  <si>
    <t xml:space="preserve">TEE HD BxBxB 400mmX200mm </t>
  </si>
  <si>
    <t xml:space="preserve">TEE HD BxBxB 400mmX250mm </t>
  </si>
  <si>
    <t>TEE HD LxLxL 250mmX100mm</t>
  </si>
  <si>
    <t>TEE HD LxLxL 350mmX100mm</t>
  </si>
  <si>
    <t>TEE HD 350mm X 100mm PN 40</t>
  </si>
  <si>
    <t>TEE PVC 150mmX150 mm</t>
  </si>
  <si>
    <t>UNION DE REPARACION 150mm JH PVC</t>
  </si>
  <si>
    <t>INSTALACION TUBERIA PVC 150MM</t>
  </si>
  <si>
    <t>ADAPTADOR BRIDA POR ACOPLE UNIVERSAL 150mm</t>
  </si>
  <si>
    <t xml:space="preserve">TEE HD  BxBxB 150mmX100mm </t>
  </si>
  <si>
    <t xml:space="preserve">TEE HD BxBxB 200mmX200mm </t>
  </si>
  <si>
    <t>NIPLE HD BxB 200mm L=0 a 1m</t>
  </si>
  <si>
    <t>TORRE DE 4 BANDEJAS AIREADORAS</t>
  </si>
  <si>
    <t>EQUIPO DE PRUEBA HIDROSTATICA</t>
  </si>
  <si>
    <t>DESPERDICIO</t>
  </si>
  <si>
    <t>LUBRICANTES PARA TUBERÍA (500GRMS)</t>
  </si>
  <si>
    <t>%mo</t>
  </si>
  <si>
    <t>dia</t>
  </si>
  <si>
    <t/>
  </si>
  <si>
    <t>mL</t>
  </si>
  <si>
    <t>L</t>
  </si>
  <si>
    <t>INSTALACION ACCESORIOS PVC 150MM a 200MM</t>
  </si>
  <si>
    <t>NIPLE HD BxB 200mm L=1 a 2m</t>
  </si>
  <si>
    <t xml:space="preserve">TEE HD BxBxB 200mmX100mm </t>
  </si>
  <si>
    <t>VALVULA DE CHEQUE DN 200</t>
  </si>
  <si>
    <t>NIPLE HD BxB 200mm L=2 a 3m</t>
  </si>
  <si>
    <t>ADAPTADOR BRIDA POR ACOPLE UNIVERSAL 200mm</t>
  </si>
  <si>
    <t>REDUCCION EXCENTRICA BB 150mmX80mm</t>
  </si>
  <si>
    <t>REDUCCION HD 150mmX100mm BB</t>
  </si>
  <si>
    <t>REDUCCION HD 200mmX100mm BB</t>
  </si>
  <si>
    <t>REDUCCION HD 200mmX150mm BB</t>
  </si>
  <si>
    <t>REDUCCION HD 250mmX150mm BB</t>
  </si>
  <si>
    <t>REDUCCION HD 350mmX250mm BB</t>
  </si>
  <si>
    <t>REDUCCION HD 400mmX250mm BB</t>
  </si>
  <si>
    <t>REDUCCION HD 150mmX80mm BB</t>
  </si>
  <si>
    <t>REDUCCION HD 80mmX65mm BB</t>
  </si>
  <si>
    <t>UNION UNIVERSAL 150mm</t>
  </si>
  <si>
    <t xml:space="preserve">TEE HD  BxBxB 150mmX80mm </t>
  </si>
  <si>
    <t>VALVULA DE ADMISION Y RETENCION DE AIRE BxB 80mm</t>
  </si>
  <si>
    <t>VALVULA DE CHEQUE DN 150</t>
  </si>
  <si>
    <t>UNION UNIVERSAL 200mm</t>
  </si>
  <si>
    <t>COMPUERTA LATERAL CON VASTAGO ASCENDENTE VOLANTE SOPORTES Y APOTO DE VOLANTE 150mm</t>
  </si>
  <si>
    <t xml:space="preserve"> INSTALACIÓN ACCESORIOS EN HIERRO DÚCTIL  8"(200MM)</t>
  </si>
  <si>
    <t>CODOS 90 º HD 8" BB</t>
  </si>
  <si>
    <t>VALVULA PUE DE COLADERA 150mm</t>
  </si>
  <si>
    <t>1. RETIRO DE TUBERIA</t>
  </si>
  <si>
    <t>4. SUMINISTRO E INSTALACION DE  TAPONES BRIDADOS PASAMUROS 8"</t>
  </si>
  <si>
    <t>Losa Piso y tapa</t>
  </si>
  <si>
    <t>Ver hoja de calculo anclajes</t>
  </si>
  <si>
    <t xml:space="preserve">Ver hoja de calculo de refuerzo. Cantidades promedio dependiendo del L variable </t>
  </si>
  <si>
    <t>Cantidades tuberia planos</t>
  </si>
  <si>
    <t>Realineamiento K16+975-K17+060. Ecuacion de empalme: K17+060=K17+980</t>
  </si>
  <si>
    <t>Obervacione</t>
  </si>
  <si>
    <t>Diametro</t>
  </si>
  <si>
    <t>Material</t>
  </si>
  <si>
    <t>Longitud</t>
  </si>
  <si>
    <t>Reinstalar la misma?</t>
  </si>
  <si>
    <t>Reinstalar tub de otro lugar?</t>
  </si>
  <si>
    <t>Tuberia nueva?</t>
  </si>
  <si>
    <t>Tuberia existente?</t>
  </si>
  <si>
    <t>HDA</t>
  </si>
  <si>
    <t>No</t>
  </si>
  <si>
    <t>Si</t>
  </si>
  <si>
    <t>HD</t>
  </si>
  <si>
    <t>Retirar y reinstalar la misma, aquí no cumple la prof necesaria la tubería ya instalada que se encuentra en buenas condiciones</t>
  </si>
  <si>
    <t>RETIRAR</t>
  </si>
  <si>
    <t xml:space="preserve">Balance </t>
  </si>
  <si>
    <t>250 HD</t>
  </si>
  <si>
    <t>250HDA</t>
  </si>
  <si>
    <t>350 HD</t>
  </si>
  <si>
    <t xml:space="preserve">VRP 4 </t>
  </si>
  <si>
    <t>Ventosa</t>
  </si>
  <si>
    <t>B-1</t>
  </si>
  <si>
    <t>PN</t>
  </si>
  <si>
    <t>B-2</t>
  </si>
  <si>
    <t>B-3</t>
  </si>
  <si>
    <t>B-4</t>
  </si>
  <si>
    <t>B-5</t>
  </si>
  <si>
    <t>B-6</t>
  </si>
  <si>
    <t>B-7</t>
  </si>
  <si>
    <t>B-8</t>
  </si>
  <si>
    <t>B-9</t>
  </si>
  <si>
    <t>B-10</t>
  </si>
  <si>
    <t>B-11</t>
  </si>
  <si>
    <t>B-12</t>
  </si>
  <si>
    <t>B-13</t>
  </si>
  <si>
    <t>B-14</t>
  </si>
  <si>
    <t>B-15</t>
  </si>
  <si>
    <t>B-16</t>
  </si>
  <si>
    <t>B-17</t>
  </si>
  <si>
    <t>B-18</t>
  </si>
  <si>
    <t>B-19</t>
  </si>
  <si>
    <t>B-20</t>
  </si>
  <si>
    <t>B-21</t>
  </si>
  <si>
    <t>B-22</t>
  </si>
  <si>
    <t>B-23</t>
  </si>
  <si>
    <t>B-24</t>
  </si>
  <si>
    <t>B-25</t>
  </si>
  <si>
    <t>B-26</t>
  </si>
  <si>
    <t>B-27</t>
  </si>
  <si>
    <t>B-28</t>
  </si>
  <si>
    <t>B-29</t>
  </si>
  <si>
    <t>B-30</t>
  </si>
  <si>
    <t>B-31</t>
  </si>
  <si>
    <t>B-32</t>
  </si>
  <si>
    <t>Total</t>
  </si>
  <si>
    <t>L(m)</t>
  </si>
  <si>
    <t>Cantidad</t>
  </si>
  <si>
    <t>Total (m)</t>
  </si>
  <si>
    <t>Peso angulo(kg/m)</t>
  </si>
  <si>
    <t>L 2-1/2"x1/4"</t>
  </si>
  <si>
    <t>TOTAL (Kg)</t>
  </si>
  <si>
    <t>VIADUCTO ALTO GRANDE</t>
  </si>
  <si>
    <t>UNION DE DESMONTAJE BxB 200mm</t>
  </si>
  <si>
    <t>Retirar y reinstalar la misma por construccion de camara 5</t>
  </si>
  <si>
    <t>Retirar y reinstalar la misma por construccion de camara 2</t>
  </si>
  <si>
    <t>Retirar</t>
  </si>
  <si>
    <t>Instalar</t>
  </si>
  <si>
    <t>Instalar tuberia sobrante de K26320</t>
  </si>
  <si>
    <t>Reinstalar tuberia sobrante de K26+320</t>
  </si>
  <si>
    <t>Viaducto Alto grande</t>
  </si>
  <si>
    <t>350 HDA</t>
  </si>
  <si>
    <t>Tuberia Viaducto</t>
  </si>
  <si>
    <t xml:space="preserve">Retirar </t>
  </si>
  <si>
    <t>Instalar tuberia sobrante de K26+320 y K34553</t>
  </si>
  <si>
    <t xml:space="preserve">ojo plano 22 dice 350 retirar </t>
  </si>
  <si>
    <t>plano 21 K34553-34740 dice fase 4 existente 350 retirar y 350HDA instalar</t>
  </si>
  <si>
    <t>Instalar tuberia nueva</t>
  </si>
  <si>
    <t>Instalar tuberia sobrante de  K34553</t>
  </si>
  <si>
    <t>PN10</t>
  </si>
  <si>
    <t>PN16</t>
  </si>
  <si>
    <t>PN25</t>
  </si>
  <si>
    <t>PN40</t>
  </si>
  <si>
    <t>PN60</t>
  </si>
  <si>
    <t>Cinética</t>
  </si>
  <si>
    <t>Desagüe</t>
  </si>
  <si>
    <t>Filtro</t>
  </si>
  <si>
    <t>DN</t>
  </si>
  <si>
    <t>HD 250</t>
  </si>
  <si>
    <t>HD 350</t>
  </si>
  <si>
    <t>HDA 350</t>
  </si>
  <si>
    <t>Disipadora</t>
  </si>
  <si>
    <t>Cheque</t>
  </si>
  <si>
    <t>Material-DN</t>
  </si>
  <si>
    <t>250</t>
  </si>
  <si>
    <t>350</t>
  </si>
  <si>
    <t>A-15</t>
  </si>
  <si>
    <t>Lámina 1/2" A36</t>
  </si>
  <si>
    <t>LAM 1/4" A36</t>
  </si>
  <si>
    <t>LAM 1/2" A36</t>
  </si>
  <si>
    <t>LAM 3/4" A36</t>
  </si>
  <si>
    <t>LOCALIZACIÓN Y REPLANTEO DE REDES</t>
  </si>
  <si>
    <t xml:space="preserve"> TARIFA/DÍA </t>
  </si>
  <si>
    <t xml:space="preserve"> VALOR </t>
  </si>
  <si>
    <t>ESTACIÓN ELÉCTRONICA</t>
  </si>
  <si>
    <t>CINTA METÁLICA</t>
  </si>
  <si>
    <t xml:space="preserve">  </t>
  </si>
  <si>
    <t xml:space="preserve"> VALOR UNITARIO </t>
  </si>
  <si>
    <t>ESTACA DE MADERA</t>
  </si>
  <si>
    <t>MOJONES DE REFERENCIA</t>
  </si>
  <si>
    <t xml:space="preserve"> $                       -  </t>
  </si>
  <si>
    <t xml:space="preserve"> JORNAL TOTAL </t>
  </si>
  <si>
    <t>TOPOGRAFO</t>
  </si>
  <si>
    <t>CADENERO 1º</t>
  </si>
  <si>
    <t>CADENERO 2º</t>
  </si>
  <si>
    <t>ESTAQUERO</t>
  </si>
  <si>
    <t>LOCALIZACIÓN Y REPLANTEO DE ESTRUCTURAS</t>
  </si>
  <si>
    <t>m-km</t>
  </si>
  <si>
    <t>INSTALACIÓN ACCESORIOS PVC D=150 MM A 200 MM</t>
  </si>
  <si>
    <t>INSTALACIÓN ACCESORIOS PVC D=50MM A 100 MM</t>
  </si>
  <si>
    <t>MAESTRO</t>
  </si>
  <si>
    <t>NIPLE HD BxB 400mm L=2 a 3m</t>
  </si>
  <si>
    <t>$(M*KM)</t>
  </si>
  <si>
    <t>Retiro, limpieza e inspección de elementos existentes</t>
  </si>
  <si>
    <t>Pavimentos</t>
  </si>
  <si>
    <t>DEMOLICIÓN DE PAVIMENTO FLEXIBLE</t>
  </si>
  <si>
    <t>CORTADORA</t>
  </si>
  <si>
    <t>h</t>
  </si>
  <si>
    <t>Localización y replanteo de redes</t>
  </si>
  <si>
    <t>Localización y replanteo de estructuras</t>
  </si>
  <si>
    <t>TOTAL (m3)</t>
  </si>
  <si>
    <r>
      <t>TOTAL (m</t>
    </r>
    <r>
      <rPr>
        <b/>
        <vertAlign val="superscript"/>
        <sz val="8"/>
        <color theme="1"/>
        <rFont val="Arial"/>
        <family val="2"/>
      </rPr>
      <t>3</t>
    </r>
    <r>
      <rPr>
        <b/>
        <sz val="8"/>
        <color theme="1"/>
        <rFont val="Arial"/>
        <family val="2"/>
      </rPr>
      <t>)</t>
    </r>
  </si>
  <si>
    <t>0. LOCALIZACION Y REPLANTEO</t>
  </si>
  <si>
    <t>TOTAL (ML)</t>
  </si>
  <si>
    <t>0.1 Localización y replanteo de redes</t>
  </si>
  <si>
    <t>0.2 Localización y replanteo de estructuras</t>
  </si>
  <si>
    <t>Estribos Alto grande y ERP 2</t>
  </si>
  <si>
    <t>Tornillos  19.1</t>
  </si>
  <si>
    <t>Malla De Cerramiento Eslabonada galvanizada  h= 2m en modulo de 3m</t>
  </si>
  <si>
    <t>Unión universal (30 mm) 250 MM HD</t>
  </si>
  <si>
    <t>Codos  250 MM x 11,25° HD</t>
  </si>
  <si>
    <t>Cortes de tubería 250 MM HD</t>
  </si>
  <si>
    <t>Tubería en HD 250 MM</t>
  </si>
  <si>
    <t>Codos 250 MM x 45° HD</t>
  </si>
  <si>
    <t>Codos 250 MM x 90° HD</t>
  </si>
  <si>
    <t xml:space="preserve">Tubería  PVC Unión mecánica RDE 21 D= 250 MM </t>
  </si>
  <si>
    <t xml:space="preserve">Tubería  PVC Unión mecánica RDE 26 D= 250 MM </t>
  </si>
  <si>
    <t xml:space="preserve">Tubería  PVC Unión mecánica RDE 32,5 D= 250 MM </t>
  </si>
  <si>
    <t xml:space="preserve">Tubería  PVC Unión mecánica RDE 41 D= 250 MM </t>
  </si>
  <si>
    <t xml:space="preserve">Tubería  PVC Extremo Liso RDE 13,5 D= 250 MM </t>
  </si>
  <si>
    <t>Codo PVC Gran radio 90º RDE 21 D=250 MM</t>
  </si>
  <si>
    <t>Codo PVC Gran radio 45º RDE 21 D=250 MM</t>
  </si>
  <si>
    <t>Codo PVC Gran radio 22,5º RDE 21 D=250 MM</t>
  </si>
  <si>
    <t>Codo PVC Gran radio 11,25º RDE 21 D=250 MM</t>
  </si>
  <si>
    <t>Codos PVC Gran radio 6º D=250 MM</t>
  </si>
  <si>
    <t>Uniones unión mecánica D= 250 MM</t>
  </si>
  <si>
    <t>Uniones de Reparación  unión mecánica D=250 MM</t>
  </si>
  <si>
    <t>Uniones Rápidas  unión mecánica D=250 MM</t>
  </si>
  <si>
    <t>Brida ajustable PVC de D=250 MM</t>
  </si>
  <si>
    <t>Tubería en HG D=250 MM</t>
  </si>
  <si>
    <t>Tubería en HD 250 MM (250 mm)</t>
  </si>
  <si>
    <t>Niples en HD 250 MM (250 mm) EL x EL L=0,00 a 1,00 m</t>
  </si>
  <si>
    <t>Niples en HD 250 MM (250 mm) EB x EB L=0,00 a 1,00 m</t>
  </si>
  <si>
    <t>Niples en HD 250 MM (250 mm) EL x EL L=1,00 a 2,00 m</t>
  </si>
  <si>
    <t>Niples en HD 250 MM (250 mm) EB x EB L=1,00 a 2,00 m</t>
  </si>
  <si>
    <t>Niples en HD 250 MM (250 mm) EL x EL L=2,00 a 3,00 m</t>
  </si>
  <si>
    <t>Niples en HD 250 MM (250 mm) EB x EB L=2,00 a3,00 m</t>
  </si>
  <si>
    <t>Niples en HD 250 MM (250 mm) EL x EL L=3,00 a 4,00 m</t>
  </si>
  <si>
    <t>Niples en HD 250 MM (250 mm) EB x EB L=3,00 a 4,00 m</t>
  </si>
  <si>
    <t>Niples en HD 250 MM (250 mm) EL x EL L=4,00 a 5,00 m</t>
  </si>
  <si>
    <t>Niples en HD 250 MM (250 mm) EB x EB L=4,00 a 5,00 m</t>
  </si>
  <si>
    <t>Tee HD 250 MM x 2" (250 mm x 50 mm) EL</t>
  </si>
  <si>
    <t>Tee HD 250 MM x 3" (250 mm x 75 mm) EL</t>
  </si>
  <si>
    <t>Tee HD 250 MM x 4" (250 mm x 100 mm) EL</t>
  </si>
  <si>
    <t>Tee HD 250 MM x 8" (250 mm x 200 mm) EL</t>
  </si>
  <si>
    <t>Tee HD 250 MM x 250 MM (250 mm x 250 mm) EL</t>
  </si>
  <si>
    <t>Tee HD 12" x 250 MM (300 mm x 250 mm) EL</t>
  </si>
  <si>
    <t>Tee HD 18" x 250 MM (450 mm x 250 mm) EL</t>
  </si>
  <si>
    <t>Tee HD 20" x 250 MM (500 mm x 250 mm) EL</t>
  </si>
  <si>
    <t>Tee HD 24" x 250 MM (600 mm x 250 mm) EL</t>
  </si>
  <si>
    <t>Tee HD 250 MM x 2" (250 mm x 50 mm) JH PVC</t>
  </si>
  <si>
    <t>Tee HD 250 MM x 3" (250 mm x 75 mm) JH PVC</t>
  </si>
  <si>
    <t>Tee HD 250 MM x 4" (250 mm x 100 mm) JH PVC</t>
  </si>
  <si>
    <t>Tee HD 250 MM x 8" (250 mm x 200 mm) JH PVC</t>
  </si>
  <si>
    <t>Tee HD 250 MM x 250 MM (250 mm x 250 mm) JH PVC</t>
  </si>
  <si>
    <t>Tee HD 12" x 250 MM (300 mm x 250 mm) EJH PVC</t>
  </si>
  <si>
    <t>Tee HD 18" x 250 MM (450 mm x 250 mm) JH PVC</t>
  </si>
  <si>
    <t>Tee HD 20" x 250 MM (500 mm x 250 mm) JH PVC</t>
  </si>
  <si>
    <t>Tee HD 24" x 250 MM (600 mm x 250 mm) JH PVC</t>
  </si>
  <si>
    <t>Tee HD 250 MM x 2" (250 mm x 50 mm) EB</t>
  </si>
  <si>
    <t>Tee HD 250 MM x 3" (250 mm x 75 mm) EB</t>
  </si>
  <si>
    <t>Tee HD 250 MM x 4" (250 mm x 100 mm) EB</t>
  </si>
  <si>
    <t>Tee HD 250 MM x 8" (250 mm x 200 mm) EB</t>
  </si>
  <si>
    <t>Tee HD 250 MM x 250 MM (250 mm x 250 mm) EB</t>
  </si>
  <si>
    <t>Tee HD 12" x 250 MM (300 mm x 250 mm) EB</t>
  </si>
  <si>
    <t>Tee HD 18" x 250 MM (450 mm x 250 mm) EB</t>
  </si>
  <si>
    <t>Tee HD 20" x 250 MM (500 mm x 250 mm) EB</t>
  </si>
  <si>
    <t>Tee HD 24" x 250 MM (600 mm x 250 mm) EB</t>
  </si>
  <si>
    <t>Reducción HD 250 MM x 2" (250 mm x 50 mm) EL</t>
  </si>
  <si>
    <t>Reducción HD 250 MM x 3" (250 mm x 75 mm) EL</t>
  </si>
  <si>
    <t>Reducción HD 250 MM x 4" (250 mm x 100 mm) EL</t>
  </si>
  <si>
    <t>Reducción HD 250 MM x 8" (250 mm x 200 mm) EL</t>
  </si>
  <si>
    <t>Reducción HD 12" x 250 MM (300 mm x 250 mm) EL</t>
  </si>
  <si>
    <t>Reducción HD 18" x 250 MM (450 mm x 250 mm) EL</t>
  </si>
  <si>
    <t>Reducción HD 20" x 250 MM (500 mm x 250 mm) EL</t>
  </si>
  <si>
    <t>Reducción HD 24" x 250 MM (600 mm x 250 mm) EL</t>
  </si>
  <si>
    <t>Reducción HD 250 MM x 2" (250 mm x 50 mm) JH PVC</t>
  </si>
  <si>
    <t>Reducción HD 250 MM x 3" (250 mm x 75 mm) JH PVC</t>
  </si>
  <si>
    <t>Reducción HD 250 MM x 4" (250 mm x 100 mm) JH PVC</t>
  </si>
  <si>
    <t>Reducción HD 250 MM x 8" (250 mm x 200 mm) JH PVC</t>
  </si>
  <si>
    <t>Reducción HD 12" x 250 MM (300 mm x 250 mm) JH PVC</t>
  </si>
  <si>
    <t>Reducción HD 18" x 250 MM (450 mm x 250 mm) JH PVC</t>
  </si>
  <si>
    <t>Reducción HD 20" x 250 MM (500 mm x 250 mm) JH PVC</t>
  </si>
  <si>
    <t>Reducción HD 24" x 250 MM (600 mm x 250 mm) JH PVC</t>
  </si>
  <si>
    <t>Reducción HD 250 MM x 2" (250 mm x 50 mm) EB</t>
  </si>
  <si>
    <t>Reducción HD 250 MM x 3" (250 mm x 75 mm) EB</t>
  </si>
  <si>
    <t>Reducción HD 250 MM x 4" (250 mm x 100 mm) EB</t>
  </si>
  <si>
    <t>Reducción HD 250 MM x 8" (250 mm x 200 mm) EB</t>
  </si>
  <si>
    <t>Reducción HD 12" x 250 MM (300 mm x 250 mm) EB</t>
  </si>
  <si>
    <t>Reducción HD 18" x 250 MM (450 mm x 250 mm) EB</t>
  </si>
  <si>
    <t>Reducción HD 20" x 250 MM (500 mm x 250 mm) EB</t>
  </si>
  <si>
    <t>Reducción HD 24" x 250 MM (600 mm x 250 mm) EB</t>
  </si>
  <si>
    <t>Codo HD 250 MM (250 mm)</t>
  </si>
  <si>
    <t>Cruz HD 250 MM x 3" (250 mm x 75 mm) EL</t>
  </si>
  <si>
    <t>Cruz HD 250 MM x 4" (250 mm x 100 mm) EL</t>
  </si>
  <si>
    <t>Cruz HD 250 MM x 8" (250 mm x 200 mm) EL</t>
  </si>
  <si>
    <t>Cruz HD 250 MM x 250 MM (250 mm x 250 mm) EL</t>
  </si>
  <si>
    <t>Cruz HD 12" x 250 MM (300 mm x 250 mm) EL</t>
  </si>
  <si>
    <t>Cruz HD 18" x 250 MM (450 mm x 250 mm) EL</t>
  </si>
  <si>
    <t>Cruz HD 20" x 250 MM (500 mm x 250 mm) EL</t>
  </si>
  <si>
    <t>Cruz HD 24" x 250 MM (600 mm x 250 mm) EL</t>
  </si>
  <si>
    <t>Cruz HD 250 MM x 3" (250 mm x 75 mm) JH PVC</t>
  </si>
  <si>
    <t>Cruz HD 250 MM x 4" (250 mm x 100 mm) JH PVC</t>
  </si>
  <si>
    <t>Cruz HD 250 MM x 8" (250 mm x 200 mm) JH PVC</t>
  </si>
  <si>
    <t>Cruz HD 250 MM x 250 MM (250 mm x 250 mm) JH PVC</t>
  </si>
  <si>
    <t>Cruz HD 12" x 250 MM (300 mm x 250 mm) EJH PVC</t>
  </si>
  <si>
    <t>Cruz HD 18" x 250 MM (450 mm x 250 mm) JH PVC</t>
  </si>
  <si>
    <t>Cruz HD 20" x 250 MM (500 mm x 250 mm) JH PVC</t>
  </si>
  <si>
    <t>Cruz HD 24" x 250 MM (600 mm x 250 mm) JH PVC</t>
  </si>
  <si>
    <t>Cruz HD 250 MM x 3" (250 mm x 75 mm) EB</t>
  </si>
  <si>
    <t>Cruz HD 250 MM x 4" (250 mm x 100 mm) EB</t>
  </si>
  <si>
    <t>Cruz HD 250 MM x 8" (250 mm x 200 mm) EB</t>
  </si>
  <si>
    <t>Cruz HD 250 MM x 250 MM (250 mm x 250 mm) EB</t>
  </si>
  <si>
    <t>Cruz HD 12" x 250 MM (300 mm x 250 mm) EB</t>
  </si>
  <si>
    <t>Cruz HD 18" x 250 MM (450 mm x 250 mm) EB</t>
  </si>
  <si>
    <t>Cruz HD 20" x 250 MM (500 mm x 250 mm) EB</t>
  </si>
  <si>
    <t>Cruz HD 24" x 250 MM (600 mm x 250 mm) EB</t>
  </si>
  <si>
    <t>Yee HD 250 MM x 3" (250 mm x 75 mm) EL</t>
  </si>
  <si>
    <t>Yee HD 250 MM x 4" (250 mm x 100 mm) EL</t>
  </si>
  <si>
    <t>Yee HD 250 MM x 8" (250 mm x 200 mm) EL</t>
  </si>
  <si>
    <t>Yee HD 250 MM x 250 MM (250 mm x 250 mm) EL</t>
  </si>
  <si>
    <t>Yee HD 12" x 250 MM (300 mm x 250 mm) EL</t>
  </si>
  <si>
    <t>Yee HD 18" x 250 MM (450 mm x 250 mm) EL</t>
  </si>
  <si>
    <t>Yee HD 20" x 250 MM (500 mm x 250 mm) EL</t>
  </si>
  <si>
    <t>Yee HD 24" x 250 MM (600 mm x 250 mm) EL</t>
  </si>
  <si>
    <t>Yee HD 250 MM x 3" (250 mm x 75 mm) JH PVC</t>
  </si>
  <si>
    <t>Yee HD 250 MM x 4" (250 mm x 100 mm) JH PVC</t>
  </si>
  <si>
    <t>Yee HD 250 MM x 8" (250 mm x 200 mm) JH PVC</t>
  </si>
  <si>
    <t>Yee HD 250 MM x 250 MM (250 mm x 250 mm) JH PVC</t>
  </si>
  <si>
    <t>Yee HD 12" x 250 MM (300 mm x 250 mm) JH PVC</t>
  </si>
  <si>
    <t>Yee HD 18" x 250 MM (450 mm x 250 mm) JH PVC</t>
  </si>
  <si>
    <t>Yee HD 20" x 250 MM (500 mm x 250 mm) JH PVC</t>
  </si>
  <si>
    <t>Yee HD 24" x 250 MM (600 mm x 250 mm) JH PVC</t>
  </si>
  <si>
    <t>Yee HD 250 MM x 3" (250 mm x 75 mm) EB</t>
  </si>
  <si>
    <t>Yee HD 250 MM x 4" (250 mm x 100 mm) EB</t>
  </si>
  <si>
    <t>Yee HD 250 MM x 8" (250 mm x 200 mm) EB</t>
  </si>
  <si>
    <t>Yee HD 250 MM x 250 MM (250 mm x 250 mm) EB</t>
  </si>
  <si>
    <t>Yee HD 12" x 250 MM (300 mm x 250 mm) EB</t>
  </si>
  <si>
    <t>Yee HD 18" x 250 MM (450 mm x 250 mm) EB</t>
  </si>
  <si>
    <t>Yee HD 20" x 250 MM (500 mm x 250 mm) EB</t>
  </si>
  <si>
    <t>Yee HD 24" x 250 MM (600 mm x 250 mm) EB</t>
  </si>
  <si>
    <t>Tapon HD 250 MM EL</t>
  </si>
  <si>
    <t>Tapon HD 250 MM JH PVC</t>
  </si>
  <si>
    <t>Unión Tipo Dresser de 250 MM</t>
  </si>
  <si>
    <t>Unión HD Gibault 250 MM</t>
  </si>
  <si>
    <t>Unión HD de montaje autoportante de 250 MM</t>
  </si>
  <si>
    <t>Unión HD Construcción y Reparación 250 MM</t>
  </si>
  <si>
    <t>Acople Universal 250 MM (268 mm a 286 mm) R1</t>
  </si>
  <si>
    <t>Acople Universal 250 MM (292 mm a 310 mm) R2</t>
  </si>
  <si>
    <t>Adaptador Brida porAcople Universal 250 MM (268 mm a 286 mm) R1</t>
  </si>
  <si>
    <t>Adaptador Brida por Acople Universal 250 MM (292 mm a 310 mm) R2</t>
  </si>
  <si>
    <t>Brida Ciega de 250 MM</t>
  </si>
  <si>
    <t>Brida Roscada de 250 MM</t>
  </si>
  <si>
    <t>Brida loca de 250 MM</t>
  </si>
  <si>
    <t>Collar de 250 MM</t>
  </si>
  <si>
    <t>Filtro tipo Yee 250 MM</t>
  </si>
  <si>
    <t>Pasamuro HF de 250 MM ELXEL L= 0 a 0,50 m</t>
  </si>
  <si>
    <t>Pasamuro HF de 250 MM ELXEB L= 0 a 0,50 m</t>
  </si>
  <si>
    <t>Pasamuro HF de 250 MM EBXEB= 0 a 0,50 m</t>
  </si>
  <si>
    <t>Pasamuro HF de 250 MM ELXEL L= 0,50  a 1,00 m</t>
  </si>
  <si>
    <t>Pasamuro HF de 250 MM ELXEB L= 0,50 a 1,00 m</t>
  </si>
  <si>
    <t>Pasamuro HF de 250 MM EBXEB= 0,50 a1,00 m</t>
  </si>
  <si>
    <t xml:space="preserve">Válvula de compuerta de vástago no ascendente 250 MM (250 mm) SRM </t>
  </si>
  <si>
    <t xml:space="preserve">Válvula de compuerta de vástago no ascendente 250 MM (250 mm) CRM </t>
  </si>
  <si>
    <t xml:space="preserve">Válvula de compuerta de vástago no ascendente 250 MM (250 mm) Sello de Bronce </t>
  </si>
  <si>
    <t xml:space="preserve">Válvula de compuerta de vástago ascendente 250 MM (250 mm)  </t>
  </si>
  <si>
    <t xml:space="preserve">Válvula de compuerta de vástago ascendente 250 MM (250 mm) Sello bronce </t>
  </si>
  <si>
    <t>Válvula reguladora de nivel de 250 MM</t>
  </si>
  <si>
    <t>Válvula de retención (Cheque) de 250 MM</t>
  </si>
  <si>
    <t>Válvula Globol de 250 MM</t>
  </si>
  <si>
    <t>Válvula Reguladora de presión de 250 MM</t>
  </si>
  <si>
    <t>Válvula de Fondo de 250 MM</t>
  </si>
  <si>
    <t>Válvula de Pie o Coladera de 250 MM</t>
  </si>
  <si>
    <t>Válvula mariposa de 250 MM</t>
  </si>
  <si>
    <t>Válvula de apertura y cierre rápido de 250 MM</t>
  </si>
  <si>
    <t>Compuerta lateral deslizante con sello de bronce (circular) 250 MM</t>
  </si>
  <si>
    <t>Compuerta lateral deslizante con sello de bronce (Rectangular) 250 MM</t>
  </si>
  <si>
    <t>Macromedidor Tipo Woltman de 250 MM</t>
  </si>
  <si>
    <t>6. SUMINISTRO E INSTALACION DE  TAPONES BRIDADOS PASAMUROS 250 MM</t>
  </si>
  <si>
    <t>CODOS 11.25 º Y 22.5º HD 250 MM BB</t>
  </si>
  <si>
    <t>CODOS 45 º HD 250 MM BB</t>
  </si>
  <si>
    <t>CODOS 90 º HD 250 MM BB</t>
  </si>
  <si>
    <t>Tomar tubería sobrante de 250 MM K25615</t>
  </si>
  <si>
    <t>Tomar tubería sobrante de 250 MM K25615, K28557 y</t>
  </si>
  <si>
    <t>Codos 250 MM x 22,5° HD</t>
  </si>
  <si>
    <t>Tubería en HD 350 MM</t>
  </si>
  <si>
    <t>Reducciones de 350 MM a 250 MM HD</t>
  </si>
  <si>
    <t>Codos  350 MM x 11,25° HD</t>
  </si>
  <si>
    <t>Codos 350 MM x 22,5° HD</t>
  </si>
  <si>
    <t>Unión universal (30 mm) 350 MM HD</t>
  </si>
  <si>
    <t>Cortes de tubería 350 MM HD</t>
  </si>
  <si>
    <t>Viaducto K33 + 007 - Sólo sum/inst Tubería Acerrojada 350 MM</t>
  </si>
  <si>
    <t>Viaducto K33 + 322 - Sólo sum/inst Tubería Acerrojada 350 MM</t>
  </si>
  <si>
    <t>Viaducto K35 + 440 - Sólo sum/inst Tubería Acerrojada 350 MM</t>
  </si>
  <si>
    <t>Codos 350 MM x 45° HD</t>
  </si>
  <si>
    <t>Codos 350 MM x 90° HD</t>
  </si>
  <si>
    <t>Tubería Acerrojada de 350 MM</t>
  </si>
  <si>
    <t xml:space="preserve">Tubería  PVC Unión mecánica RDE 21 D=350 MM </t>
  </si>
  <si>
    <t xml:space="preserve">Tubería  PVC Unión mecánica RDE 26 D=350 MM </t>
  </si>
  <si>
    <t xml:space="preserve">Tubería  PVC Unión mecánica RDE 32,5 D=350 MM </t>
  </si>
  <si>
    <t xml:space="preserve">Tubería  PVC Unión mecánica RDE 41 D=350 MM </t>
  </si>
  <si>
    <t xml:space="preserve">Tubería  PVC Extremo Liso RDE 13,5 D= 350 MM </t>
  </si>
  <si>
    <t>Tubería en HD 350 MM (350 mm)</t>
  </si>
  <si>
    <t>Niples en HD 350 MM (350 mm) EL x EL L=0,00 a 1,00 m</t>
  </si>
  <si>
    <t>Niples en HD 350 MM (350 mm) EB x EB L=0,00 a 1,00 m</t>
  </si>
  <si>
    <t>Niples en HD 350 MM (350 mm) EL x EL L=1,00 a 2,00 m</t>
  </si>
  <si>
    <t>Niples en HD 350 MM (350 mm) EB x EB L=1,00 a 2,00 m</t>
  </si>
  <si>
    <t>Niples en HD 350 MM (350 mm) EL x EL L=2,00 a 3,00 m</t>
  </si>
  <si>
    <t>Niples en HD 350 MM (350 mm) EB x EB L=2,00 a3,00 m</t>
  </si>
  <si>
    <t>Niples en HD 350 MM (350 mm) EL x EL L=3,00 a 4,00 m</t>
  </si>
  <si>
    <t>Niples en HD 350 MM (350 mm) EB x EB L=3,00 a 4,00 m</t>
  </si>
  <si>
    <t>Niples en HD 350 MM (350 mm) EL x EL L=4,00 a 5,00 m</t>
  </si>
  <si>
    <t>Niples en HD 350 MM (350 mm) EB x EB L=4,00 a 5,00 m</t>
  </si>
  <si>
    <t>Tee HD 350 MM x 3" (350 mm x 75 mm) EL</t>
  </si>
  <si>
    <t>Tee HD 350 MM x 4" (350 mm x 100 mm) EL</t>
  </si>
  <si>
    <t>Tee HD 350 MM x 8" (350 mm x 200 mm) EL</t>
  </si>
  <si>
    <t>Tee HD 350 MM x 250 MM (350 mm x 250 mm) EL</t>
  </si>
  <si>
    <t>Tee HD 350 MM x 12" (350 mm x 300 mm) EL</t>
  </si>
  <si>
    <t>Tee HD 350 MM x 350 MM (350 mm x 350 mm) EL</t>
  </si>
  <si>
    <t>Tee HD 18" x 350 MM (450 mm x 350 mm) EL</t>
  </si>
  <si>
    <t>Tee HD 20" x 350 MM (500 mm x 350 mm) EL</t>
  </si>
  <si>
    <t>Tee HD 24" x 350 MM (600 mm x 350 mm) EL</t>
  </si>
  <si>
    <t>Tee HD 350 MM x 3" (350 mm x 75 mm) JH PVC</t>
  </si>
  <si>
    <t>Tee HD 350 MM x 4" (350 mm x 100 mm) JH PVC</t>
  </si>
  <si>
    <t>Tee HD 350 MM x 8" (350 mm x 200 mm) JH PVC</t>
  </si>
  <si>
    <t>Tee HD 350 MM x 250 MM (350 mm x 250 mm) JH PVC</t>
  </si>
  <si>
    <t>Tee HD 350 MM x 12" (350 mm x 300 mm) JH PVC</t>
  </si>
  <si>
    <t>Tee HD 350 MM x 350 MM (350 mm x 350 mm) JH PVC</t>
  </si>
  <si>
    <t>Tee HD 18" x 350 MM (450 mm x 350 mm) JH PVC</t>
  </si>
  <si>
    <t>Tee HD 20" x 350 MM (500 mm x 350 mm) JH PVC</t>
  </si>
  <si>
    <t>Tee HD 24" x 350 MM (600 mm x 350 mm) JH PVC</t>
  </si>
  <si>
    <t>Tee HD 350 MM x 3" (350 mm x 75 mm) EB</t>
  </si>
  <si>
    <t>Tee HD 350 MM x 4" (350 mm x 100 mm) EB</t>
  </si>
  <si>
    <t>Tee HD 350 MM x 8" (350 mm x 200 mm) EB</t>
  </si>
  <si>
    <t>Tee HD 350 MM x 250 MM (350 mm x 250 mm) EB</t>
  </si>
  <si>
    <t>Tee HD 350 MM x 12" (350 mm x 300 mm) EB</t>
  </si>
  <si>
    <t>Tee HD 350 MM x 350 MM (350 mm x 350 mm) EB</t>
  </si>
  <si>
    <t>Tee HD 18" x 350 MM (450 mm x 350 mm) EB</t>
  </si>
  <si>
    <t>Tee HD 20" x 350 MM (500 mm x 350 mm) EB</t>
  </si>
  <si>
    <t>Tee HD 24" x 350 MM (600 mm x 350 mm) EB</t>
  </si>
  <si>
    <t>Reduccion HD 350 MM x 3" (350 mm x 75 mm) EL</t>
  </si>
  <si>
    <t>Reducción HD 350 MM x 4" (350 mm x 100 mm) EL</t>
  </si>
  <si>
    <t>Reducción HD 350 MM x 8" (350 mm x 200 mm) EL</t>
  </si>
  <si>
    <t>Reducción HD 350 MM x 250 MM (350 mm x 250 mm) EL</t>
  </si>
  <si>
    <t>Reducción HD 350 MM x 12" (350 mm x 300 mm) EL</t>
  </si>
  <si>
    <t>Reducción HD 18" x 350 MM (450 mm x 350 mm) EL</t>
  </si>
  <si>
    <t>Reducci{on HD 20" x 350 MM (500 mm x 350 mm) EL</t>
  </si>
  <si>
    <t>Reducción HD 24" x 350 MM (600 mm x 350 mm) EL</t>
  </si>
  <si>
    <t>Reduccion HD 350 MM x 3" (350 mm x 75 mm) JH PVC</t>
  </si>
  <si>
    <t>Reducción HD 350 MM x 4" (350 mm x 100 mm) JH PVC</t>
  </si>
  <si>
    <t>Reducción HD 350 MM x 8" (350 mm x 200 mm) JH PVC</t>
  </si>
  <si>
    <t>Reducción HD 350 MM x 250 MM (350 mm x 250 mm) JH PVC</t>
  </si>
  <si>
    <t>Reducción HD 350 MM x 12" (350 mm x 300 mm) JH PVC</t>
  </si>
  <si>
    <t>Reducción HD 18" x 350 MM (450 mm x 350 mm) JH PVC</t>
  </si>
  <si>
    <t>Reducci{on HD 20" x 350 MM (500 mm x 350 mm) JH PVC</t>
  </si>
  <si>
    <t>Reducción HD 24" x 350 MM (600 mm x 350 mm) JH PVC</t>
  </si>
  <si>
    <t>Reduccion HD 350 MM x 3" (350 mm x 75 mm) EB</t>
  </si>
  <si>
    <t>Reducción HD 350 MM x 4" (350 mm x 100 mm) EB</t>
  </si>
  <si>
    <t>Reducción HD 350 MM x 8" (350 mm x 200 mm) EB</t>
  </si>
  <si>
    <t>Reducción HD 350 MM x 250 MM (350 mm x 250 mm) EB</t>
  </si>
  <si>
    <t>Reducción HD 350 MM x 12" (350 mm x 300 mm) EB</t>
  </si>
  <si>
    <t>Reducción HD 18" x 350 MM (450 mm x 350 mm) EB</t>
  </si>
  <si>
    <t>Reducci{on HD 20" x 350 MM (500 mm x 350 mm) EB</t>
  </si>
  <si>
    <t>Reducción HD 24" x 350 MM (600 mm x 350 mm) EB</t>
  </si>
  <si>
    <t>Codo HD 350 MM (350 mm)</t>
  </si>
  <si>
    <t>Cruz HD 350 MM x 3" (350 mm x 75 mm) EL</t>
  </si>
  <si>
    <t>Cruz HD 350 MM x 4" (350 mm x 100 mm) EL</t>
  </si>
  <si>
    <t>Cruz HD 350 MM x 8" (350 mm x 200 mm) EL</t>
  </si>
  <si>
    <t>Cruz HD 350 MM x 250 MM (350 mm x 250 mm) EL</t>
  </si>
  <si>
    <t>Cruz HD 350 MM x 12" (350 mm x 300 mm) EL</t>
  </si>
  <si>
    <t>Cruz HD 350 MM x 350 MM (350 mm x 350 mm) EL</t>
  </si>
  <si>
    <t>Cruz HD 18" x 350 MM (450 mm x 350 mm) EL</t>
  </si>
  <si>
    <t>Cruz HD 20" x 350 MM (500 mm x 350 mm) EL</t>
  </si>
  <si>
    <t>Cruz HD 24" x 350 MM (600 mm x 350 mm) EL</t>
  </si>
  <si>
    <t>Cruz HD 350 MM x 3" (350 mm x 75 mm) JH PVC</t>
  </si>
  <si>
    <t>Cruz HD 350 MM x 4" (350 mm x 100 mm) JH PVC</t>
  </si>
  <si>
    <t>Cruz HD 350 MM x 8" (350 mm x 200 mm) JH PVC</t>
  </si>
  <si>
    <t>Cruz HD 350 MM x 250 MM (350 mm x 250 mm) JH PVC</t>
  </si>
  <si>
    <t>Cruz HD 350 MM x 12" (350 mm x 300 mm) JH PVC</t>
  </si>
  <si>
    <t>Cruz HD 350 MM x 350 MM (350 mm x 350 mm) JH PVC</t>
  </si>
  <si>
    <t>Cruz HD 18" x 350 MM (450 mm x 350 mm) JH PVC</t>
  </si>
  <si>
    <t>Cruz HD 20" x 350 MM (500 mm x 350 mm) JH PVC</t>
  </si>
  <si>
    <t>Cruz HD 24" x 350 MM (600 mm x 350 mm) JH PVC</t>
  </si>
  <si>
    <t>Cruz HD 350 MM x 3" (350 mm x 75 mm) EB</t>
  </si>
  <si>
    <t>Cruz HD 350 MM x 4" (350 mm x 100 mm) EB</t>
  </si>
  <si>
    <t>Cruz HD 350 MM x 8" (350 mm x 200 mm) EB</t>
  </si>
  <si>
    <t>Cruz HD 350 MM x 250 MM (350 mm x 250 mm) EB</t>
  </si>
  <si>
    <t>Cruz HD 350 MM x 12" (350 mm x 300 mm) EB</t>
  </si>
  <si>
    <t>Cruz HD 350 MM x 350 MM (350 mm x 350 mm) EB</t>
  </si>
  <si>
    <t>Cruz HD 18" x 350 MM (450 mm x 350 mm) EB</t>
  </si>
  <si>
    <t>Cruz HD 20" x 350 MM (500 mm x 350 mm) EB</t>
  </si>
  <si>
    <t>Cruz HD 24" x 350 MM (600 mm x 350 mm) EB</t>
  </si>
  <si>
    <t>Yee HD 350 MM x 3" (350 mm x 75 mm) EL</t>
  </si>
  <si>
    <t>Yee HD 350 MM x 4" (350 mm x 100 mm) EL</t>
  </si>
  <si>
    <t>YeeHD 350 MM x 8" (350 mm x 200 mm) EL</t>
  </si>
  <si>
    <t>Yee HD 350 MM x 250 MM (350 mm x 250 mm) EL</t>
  </si>
  <si>
    <t>Yee HD 350 MM x 12" (350 mm x 300 mm) EL</t>
  </si>
  <si>
    <t>Yee HD 350 MM x 350 MM (350 mm x 350 mm) EL</t>
  </si>
  <si>
    <t>yee HD 18" x 350 MM (450 mm x 350 mm) EL</t>
  </si>
  <si>
    <t>Yee HD 20" x 350 MM (500 mm x 350 mm) EL</t>
  </si>
  <si>
    <t>Yee HD 24" x 350 MM (600 mm x 350 mm) EL</t>
  </si>
  <si>
    <t>Yee HD 350 MM x 3" (350 mm x 75 mm) JH PVC</t>
  </si>
  <si>
    <t>Yee HD 350 MM x 4" (350 mm x 100 mm) JH PVC</t>
  </si>
  <si>
    <t>YeeHD 350 MM x 8" (350 mm x 200 mm) JH PVC</t>
  </si>
  <si>
    <t>Yee HD 350 MM x 250 MM (350 mm x 250 mm) JH PVC</t>
  </si>
  <si>
    <t>Yee HD 350 MM x 12" (350 mm x 300 mm) JH PVC</t>
  </si>
  <si>
    <t>Yee HD 350 MM x 350 MM (350 mm x 350 mm) JH PVC</t>
  </si>
  <si>
    <t>yee HD 18" x 350 MM (450 mm x 350 mm) JH PVC</t>
  </si>
  <si>
    <t>Yee HD 20" x 350 MM (500 mm x 350 mm) JH PVC</t>
  </si>
  <si>
    <t>Yee HD 24" x 350 MM (600 mm x 350 mm) JH PVC</t>
  </si>
  <si>
    <t>Yee HD 350 MM x 3" (350 mm x 75 mm) EB</t>
  </si>
  <si>
    <t>Yee HD 350 MM x 4" (350 mm x 100 mm) EB</t>
  </si>
  <si>
    <t>YeeHD 350 MM x 8" (350 mm x 200 mm) EB</t>
  </si>
  <si>
    <t>Yee HD 350 MM x 250 MM (350 mm x 250 mm) EB</t>
  </si>
  <si>
    <t>Yee HD 350 MM x 12" (350 mm x 300 mm) EB</t>
  </si>
  <si>
    <t>Yee HD 350 MM x 350 MM (350 mm x 350 mm) EB</t>
  </si>
  <si>
    <t>yee HD 18" x 350 MM (450 mm x 350 mm) EB</t>
  </si>
  <si>
    <t>Yee HD 20" x 350 MM (500 mm x 350 mm) EB</t>
  </si>
  <si>
    <t>Yee HD 24" x 350 MM (600 mm x 350 mm) EB</t>
  </si>
  <si>
    <t>Tapon HD 350 MM EL</t>
  </si>
  <si>
    <t>Tapon HD 350 MM JH PVC</t>
  </si>
  <si>
    <t>Unión Tipo Dresser de 350 MM</t>
  </si>
  <si>
    <t>Unión HD Gibault 350 MM</t>
  </si>
  <si>
    <t>Unión HD de montaje autoportante de 350 MM</t>
  </si>
  <si>
    <t>Unión HD Construcción y Reparación 350 MM</t>
  </si>
  <si>
    <t xml:space="preserve">Acople Universal 350 MM </t>
  </si>
  <si>
    <t xml:space="preserve">Adaptador Brida porAcople Universal 350 MM </t>
  </si>
  <si>
    <t>Brida Ciega de 350 MM</t>
  </si>
  <si>
    <t>Brida Roscada de 350 MM</t>
  </si>
  <si>
    <t>Pasamuro HF de 350 MM ELXEL L= 0 a 0,50 m</t>
  </si>
  <si>
    <t>Pasamuro HF de 350 MM ELXEB L= 0 a 0,50 m</t>
  </si>
  <si>
    <t>Pasamuro HF de 350 MM EBXEB= 0 a 0,50 m</t>
  </si>
  <si>
    <t>Pasamuro HF de 350 MM ELXEL L= 0,50  a 1,00 m</t>
  </si>
  <si>
    <t>Pasamuro HF de 350 MM ELXEB L= 0,50 a 1,00 m</t>
  </si>
  <si>
    <t>Pasamuro HF de 350 MM EBXEB= 0,50 a1,00 m</t>
  </si>
  <si>
    <t xml:space="preserve">Válvula de compuerta de vástago no ascendente 350 MM (350 mm) SRM </t>
  </si>
  <si>
    <t xml:space="preserve">Válvula de compuerta de vástago no ascendente 350 MM (350 mm) CRM </t>
  </si>
  <si>
    <t>Válvula de compuerta de vástago no ascendente 350 MM (350 mm) Srello de Bronce</t>
  </si>
  <si>
    <t>Válvula de retención (Cheque) de 350 MM</t>
  </si>
  <si>
    <t>Válvula de Fondo de 350 MM</t>
  </si>
  <si>
    <t>Válvula mariposa de 350 MM</t>
  </si>
  <si>
    <t>Válvula de apertura y cierre rápido de 350 MM</t>
  </si>
  <si>
    <t>Compuerta lateral deslizante con sello de bronce (circular) 350 MM</t>
  </si>
  <si>
    <t>Compuerta lateral deslizante con sello de bronce (Rectangular) 350 MM</t>
  </si>
  <si>
    <t>Macromedidor Tipo Woltman de 350 MM</t>
  </si>
  <si>
    <t>Acople universal de 350 MM</t>
  </si>
  <si>
    <t>CODOS 11.25 º Y 22.5º HD 350 MM BB</t>
  </si>
  <si>
    <t>CODOS 45 º HD 350 MM BB</t>
  </si>
  <si>
    <t>CODOS 90 º HD 350 MM BB</t>
  </si>
  <si>
    <t>Tomar tubería sobrante de 350 MM y reinstalar</t>
  </si>
  <si>
    <t>L 2"x3/16  "</t>
  </si>
  <si>
    <t>PLATINA DE 2 1/2"x3/16  "</t>
  </si>
  <si>
    <t xml:space="preserve">Tubería  PVC Unión mecánica RDE 21 D=400 MM </t>
  </si>
  <si>
    <t xml:space="preserve">Tubería  PVC Unión mecánica RDE 26 D=400 MM </t>
  </si>
  <si>
    <t xml:space="preserve">Tubería  PVC Unión mecánica RDE 32,5 D=400 MM </t>
  </si>
  <si>
    <t xml:space="preserve">Tubería  PVC Unión mecánica RDE 41 D=400 MM </t>
  </si>
  <si>
    <t>Tubería en HG D=400 MM</t>
  </si>
  <si>
    <t>Tubería en HD 400 MM (400 mm)</t>
  </si>
  <si>
    <t>Niples en HD 400 MM (400 mm) EL x EL L=0,00 a 1,00 m</t>
  </si>
  <si>
    <t>Niples en HD 400 MM (400 mm) EB x EB L=0,00 a 1,00 m</t>
  </si>
  <si>
    <t>Niples en HD 400 MM (400 mm) EL x EL L=1,00 a 2,00 m</t>
  </si>
  <si>
    <t>Niples en HD 400 MM (400 mm) EB x EB L=1,00 a 2,00 m</t>
  </si>
  <si>
    <t>Niples en HD 400 MM (400 mm) EL x EL L=2,00 a 3,00 m</t>
  </si>
  <si>
    <t>Niples en HD 400 MM (400 mm) EB x EB L=2,00 a3,00 m</t>
  </si>
  <si>
    <t>Niples en HD 400 MM (400 mm) EL x EL L=3,00 a 4,00 m</t>
  </si>
  <si>
    <t>Niples en HD 400 MM (400 mm) EB x EB L=3,00 a 4,00 m</t>
  </si>
  <si>
    <t>Niples en HD 400 MM (400 mm) EL x EL L=4,00 a 5,00 m</t>
  </si>
  <si>
    <t>Niples en HD 400 MM (1400 mm) EB x EB L=4,00 a 5,00 m</t>
  </si>
  <si>
    <t>Tee HD 400 MM x 4" (400 mm x 100 mm) EL</t>
  </si>
  <si>
    <t>Tee HD 400 MM x 8" (400 mm x 200 mm) EL</t>
  </si>
  <si>
    <t>Tee HD 400 MM x 250 MM (400 mm x 250 mm) EL</t>
  </si>
  <si>
    <t>Tee HD 400 MM x 12" (400 mm x 300 mm) EL</t>
  </si>
  <si>
    <t>Tee HD 400 MM x 350 MM (400 mm x 350 mm) EL</t>
  </si>
  <si>
    <t>Tee HD 400 MM x 400 MM (400 mm x 400 mm) EL</t>
  </si>
  <si>
    <t>Tee HD 18" x 400 MM (450 mm x 400 mm) EL</t>
  </si>
  <si>
    <t>Tee HD 20" x 400 MM (500 mm x 400 mm) EL</t>
  </si>
  <si>
    <t>Tee HD 24" x 400 MM (600 mm x 400 mm) EL</t>
  </si>
  <si>
    <t>Tee HD 400 MM x 4" (400 mm x 100 mm) JH PVC</t>
  </si>
  <si>
    <t>Tee HD 400 MM x 8" (400 mm x 200 mm) JH PVC</t>
  </si>
  <si>
    <t>Tee HD 400 MM x 250 MM (400 mm x 250 mm) JH PVC</t>
  </si>
  <si>
    <t>Tee HD 400 MM x 12" (400 mm x 300 mm) JH PVC</t>
  </si>
  <si>
    <t>Tee HD 400 MM x 350 MM (400 mm x 350 mm) EJH PVC</t>
  </si>
  <si>
    <t>Tee HD 400 MM x 400 MM (400 mm x 400 mm) JH PVC</t>
  </si>
  <si>
    <t>Tee HD 18" x 400 MM (450 mm x 400 mm) JH PVC</t>
  </si>
  <si>
    <t>Tee HD 20" x 400 MM (500 mm x 400 mm) JH PVC</t>
  </si>
  <si>
    <t>Tee HD 24" x 400 MM (600 mm x 400 mm) JH PVC</t>
  </si>
  <si>
    <t>Tee HD 400 MM x 4" (400 mm x 100 mm) EB</t>
  </si>
  <si>
    <t>Tee HD 400 MM x 8" (400 mm x 200 mm) EB</t>
  </si>
  <si>
    <t>Tee HD 400 MM x 250 MM (400 mm x 250 mm) EB</t>
  </si>
  <si>
    <t>Tee HD 400 MM x 12" (400 mm x 300 mm) EB</t>
  </si>
  <si>
    <t>Tee HD 400 MM x 350 MM (400 mm x 350 mm) EB</t>
  </si>
  <si>
    <t>Tee HD 400 MM x 400 MM (400 mm x 400 mm) EB</t>
  </si>
  <si>
    <t>Tee HD 18" x 400 MM (450 mm x 400 mm) EB</t>
  </si>
  <si>
    <t>Tee HD 20" x 400 MM (500 mm x 400 mm) EB</t>
  </si>
  <si>
    <t>Tee HD 24" x 400 MM (600 mm x 400 mm) EB</t>
  </si>
  <si>
    <t>Reducción HD 400 MM x 4" (400 mm x 100 mm) EL</t>
  </si>
  <si>
    <t>Reducción HD 400 MM x 8" (400 mm x 200 mm) EL</t>
  </si>
  <si>
    <t>Reducción HD 400 MM x 250 MM (400 mm x 250 mm) EL</t>
  </si>
  <si>
    <t>Reducción HD 400 MM x 12" (400 mm x 300 mm) EL</t>
  </si>
  <si>
    <t>Reducción HD 400 MM x 350 MM (400 mm x 350 mm) EL</t>
  </si>
  <si>
    <t>Reducción HD 18" x 400 MM (450 mm x 400 mm) EL</t>
  </si>
  <si>
    <t>Reducción HD 20" x 400 MM (500 mm x 400 mm) EL</t>
  </si>
  <si>
    <t>Reducción HD 24" x 400 MM (600 mm x 400 mm) EL</t>
  </si>
  <si>
    <t>Reducción HD 400 MM x 4" (400 mm x 100 mm) JH PVC</t>
  </si>
  <si>
    <t>Reducción HD 400 MM x 8" (400 mm x 200 mm) JH PVC</t>
  </si>
  <si>
    <t>Reducción HD 400 MM x 250 MM (400 mm x 250 mm) JH PVC</t>
  </si>
  <si>
    <t>Reducción HD 400 MM x 12" (400 mm x 300 mm) JH PVC</t>
  </si>
  <si>
    <t>Reducción HD 400 MM x 350 MM (400 mm x 350 mm) EJH PVC</t>
  </si>
  <si>
    <t>Reducción HD 18" x 400 MM (450 mm x 400 mm) JH PVC</t>
  </si>
  <si>
    <t>Reducción HD 20" x 400 MM (500 mm x 400 mm) JH PVC</t>
  </si>
  <si>
    <t>Reducción HD 24" x 400 MM (600 mm x 400 mm) JH PVC</t>
  </si>
  <si>
    <t>Reducción HD 400 MM x 4" (400 mm x 100 mm) EB</t>
  </si>
  <si>
    <t>Reducción HD 400 MM x 8" (400 mm x 200 mm) EB</t>
  </si>
  <si>
    <t>Reducción HD 400 MM x 250 MM (400 mm x 250 mm) EB</t>
  </si>
  <si>
    <t>Reducción HD 400 MM x 12" (400 mm x 300 mm) EB</t>
  </si>
  <si>
    <t>Reducción HD 400 MM x 350 MM (400 mm x 350 mm) EB</t>
  </si>
  <si>
    <t>Reducción HD 18" x 400 MM (450 mm x 400 mm) EB</t>
  </si>
  <si>
    <t>Reducción HD 20" x 400 MM (500 mm x 400 mm) EB</t>
  </si>
  <si>
    <t>Reducción HD 24" x 400 MM (600 mm x 400 mm) EB</t>
  </si>
  <si>
    <t>Codo HD 400 MM (400 mm)</t>
  </si>
  <si>
    <t>Cruz HD 400 MM x 4" (400 mm x 100 mm) EL</t>
  </si>
  <si>
    <t>Cruz HD 400 MM x 8" (400 mm x 200 mm) EL</t>
  </si>
  <si>
    <t>Cruz HD 400 MM x 250 MM (400 mm x 250 mm) EL</t>
  </si>
  <si>
    <t>Cruz HD 400 MM x 12" (400 mm x 300 mm) EL</t>
  </si>
  <si>
    <t>Cruz HD 400 MM x 350 MM (400 mm x 350 mm) EL</t>
  </si>
  <si>
    <t>Cruz HD 400 MM x 400 MM (400 mm x 400 mm) EL</t>
  </si>
  <si>
    <t>Cruz HD 18" x 400 MM (450 mm x 400 mm) EL</t>
  </si>
  <si>
    <t>Cruz HD 20" x 400 MM (500 mm x 400 mm) EL</t>
  </si>
  <si>
    <t>Cruz HD 24" x 400 MM (600 mm x 400 mm) EL</t>
  </si>
  <si>
    <t>Cruz HD 400 MM x 4" (400 mm x 100 mm) JH PVC</t>
  </si>
  <si>
    <t>Cruz HD 400 MM x 8" (400 mm x 200 mm) JH PVC</t>
  </si>
  <si>
    <t>Cruz HD 400 MM x 250 MM (400 mm x 250 mm) JH PVC</t>
  </si>
  <si>
    <t>Cruz HD 400 MM x 12" (400 mm x 300 mm) JH PVC</t>
  </si>
  <si>
    <t>Cruz HD 400 MM x 350 MM (400 mm x 350 mm) EJH PVC</t>
  </si>
  <si>
    <t>Cruz HD 400 MM x 400 MM (400 mm x 400 mm) JH PVC</t>
  </si>
  <si>
    <t>Cruz HD 18" x 400 MM (450 mm x 400 mm) JH PVC</t>
  </si>
  <si>
    <t>Cruz HD 20" x 400 MM (500 mm x 400 mm) JH PVC</t>
  </si>
  <si>
    <t>Cruz HD 24" x 400 MM (600 mm x 400 mm) JH PVC</t>
  </si>
  <si>
    <t>Cruz HD 400 MM x 4" (400 mm x 100 mm) EB</t>
  </si>
  <si>
    <t>Cruz HD 400 MM x 8" (400 mm x 200 mm) EB</t>
  </si>
  <si>
    <t>Cruz HD 400 MM x 250 MM (400 mm x 250 mm) EB</t>
  </si>
  <si>
    <t>Cruz HD 400 MM x 12" (400 mm x 300 mm) EB</t>
  </si>
  <si>
    <t>Cruz HD 400 MM x 350 MM (400 mm x 350 mm) EB</t>
  </si>
  <si>
    <t>Cruz HD 400 MM x 400 MM (400 mm x 400 mm) EB</t>
  </si>
  <si>
    <t>Cruz HD 18" x 400 MM (450 mm x 400 mm) EB</t>
  </si>
  <si>
    <t>Cruz HD 20" x 400 MM (500 mm x 400 mm) EB</t>
  </si>
  <si>
    <t>Cruz HD 24" x 400 MM (600 mm x 400 mm) EB</t>
  </si>
  <si>
    <t>Yee HD 400 MM x 4" (400 mm x 100 mm) EL</t>
  </si>
  <si>
    <t>Yee HD 400 MM x 8" (400 mm x 200 mm) EL</t>
  </si>
  <si>
    <t>Yee HD 400 MM x 250 MM (400 mm x 250 mm) EL</t>
  </si>
  <si>
    <t>Yee HD 400 MM x 12" (400 mm x 300 mm) EL</t>
  </si>
  <si>
    <t>Yee HD 400 MM x 350 MM (400 mm x 350 mm) EL</t>
  </si>
  <si>
    <t>Yee HD 400 MM x 400 MM (400 mm x 400 mm) EL</t>
  </si>
  <si>
    <t>Yee HD 18" x 400 MM (450 mm x 400 mm) EL</t>
  </si>
  <si>
    <t>YeeHD 20" x 400 MM (500 mm x 400 mm) EL</t>
  </si>
  <si>
    <t>Yee HD 24" x 400 MM (600 mm x 400 mm) EL</t>
  </si>
  <si>
    <t>Yee HD 400 MM x 4" (400 mm x 100 mm) JH PVC</t>
  </si>
  <si>
    <t>Yee HD 400 MM x 8" (400 mm x 200 mm) JH PVC</t>
  </si>
  <si>
    <t xml:space="preserve">Yee HD 400 MM x 250 MM (400 mm x 250 mm) JH PVC </t>
  </si>
  <si>
    <t>Yee HD 400 MM x 12" (400 mm x 300 mm) JH PVC</t>
  </si>
  <si>
    <t>Yee HD 400 MM x 350 MM (400 mm x 350 mm) JH PVC</t>
  </si>
  <si>
    <t>Yee HD 400 MM x 400 MM (400 mm x 400 mm) JH PVC</t>
  </si>
  <si>
    <t>Yee HD 18" x 400 MM (450 mm x 400 mm) JH PVC</t>
  </si>
  <si>
    <t>YeeHD 20" x 400 MM (500 mm x 400 mm) JH PVC</t>
  </si>
  <si>
    <t>Yee HD 24" x 400 MM (600 mm x 400 mm) JH PVC</t>
  </si>
  <si>
    <t>Yee HD 400 MM x 4" (400 mm x 100 mm) EB</t>
  </si>
  <si>
    <t>Yee HD 400 MM x 8" (400 mm x 200 mm) EB</t>
  </si>
  <si>
    <t>Yee HD 400 MM x 250 MM (400 mm x 250 mm) EB</t>
  </si>
  <si>
    <t>Yee HD 400 MM x 12" (400 mm x 300 mm) EB</t>
  </si>
  <si>
    <t>Yee HD 400 MM x 350 MM (400 mm x 350 mm) EB</t>
  </si>
  <si>
    <t>Yee HD 400 MM x 400 MM (400 mm x 400 mm) EB</t>
  </si>
  <si>
    <t>Yee HD 18" x 400 MM (450 mm x 400 mm) EB</t>
  </si>
  <si>
    <t>YeeHD 20" x 400 MM (500 mm x 400 mm) EB</t>
  </si>
  <si>
    <t>Yee HD 24" x 400 MM (600 mm x 400 mm) EB</t>
  </si>
  <si>
    <t>Tapon HD 400 MM EL</t>
  </si>
  <si>
    <t>Tapon HD 400 MM JH PVC</t>
  </si>
  <si>
    <t>Unión Tipo Dresser de 400 MM</t>
  </si>
  <si>
    <t>Unión HD Gibault 400 MM</t>
  </si>
  <si>
    <t>Unión HD de montaje autoportante de 400 MM</t>
  </si>
  <si>
    <t>Unión HD Construcción y Reparación 400 MM</t>
  </si>
  <si>
    <t xml:space="preserve">Acople Universal 400 MM </t>
  </si>
  <si>
    <t xml:space="preserve">Adaptador Brida porAcople Universal 400 MM </t>
  </si>
  <si>
    <t>Brida Ciega de 400 MM</t>
  </si>
  <si>
    <t>Brida Roscada de 400 MM</t>
  </si>
  <si>
    <t>Pasamuro HF de 400 MM ELXEL L= 0 a 0,50 m</t>
  </si>
  <si>
    <t>Pasamuro HF de 400 MM ELXEB L= 0 a 0,50 m</t>
  </si>
  <si>
    <t>Pasamuro HF de 400 MM EBXEB= 0 a 0,50 m</t>
  </si>
  <si>
    <t>Pasamuro HF de 400 MM ELXEL L= 0,50  a 1,00 m</t>
  </si>
  <si>
    <t>Pasamuro HF de 400 MM ELXEB L= 0,50 a 1,00 m</t>
  </si>
  <si>
    <t>Pasamuro HF de 400 MM EBXEB= 0,50 a1,00 m</t>
  </si>
  <si>
    <t xml:space="preserve">Válvula de compuerta de vástago no ascendente 400 MM (400 mm) SRM </t>
  </si>
  <si>
    <t xml:space="preserve">Válvula de compuerta de vástago no ascendente 400 MM (400 mm) CRM </t>
  </si>
  <si>
    <t xml:space="preserve">Válvula de compuerta de vástago no ascendente 400 MM (400 mm) Sello de Bronce </t>
  </si>
  <si>
    <t>Válvula de retención (Cheque) de 400 MM</t>
  </si>
  <si>
    <t>Válvula de Fondo de 400 MM</t>
  </si>
  <si>
    <t>Válvula mariposa de 400 MM</t>
  </si>
  <si>
    <t>Válvula de apertura y cierre rápido de 400 MM</t>
  </si>
  <si>
    <t>Compuerta lateral deslizante con sello de bronce (circular) 400 MM</t>
  </si>
  <si>
    <t>Compuerta lateral deslizante con sello de bronce (Rectangular) 400 MM</t>
  </si>
  <si>
    <t>Vástago para compuerta 250 MM-400 MM</t>
  </si>
  <si>
    <t>Rueda de manejo o vlantes 250 MM-400 MM</t>
  </si>
  <si>
    <t>Macromedidor Tipo Woltman de 400 MM</t>
  </si>
  <si>
    <t>400 MM</t>
  </si>
  <si>
    <t>Tubería en HD 400 MM</t>
  </si>
  <si>
    <t>Codos 400 MM x 11,25° HD</t>
  </si>
  <si>
    <t>Codos 400 MM x 22,5° HD</t>
  </si>
  <si>
    <t>Unión universal (30 mm) 400 MM HD</t>
  </si>
  <si>
    <t>CODOS 90 º HD 400 MM BB</t>
  </si>
  <si>
    <t>VÁSTAGO PARA COMPUERTA 250 MM-400 MM</t>
  </si>
  <si>
    <t>RUEDA DE MANEJO O VLANTES 250 MM-400 MM</t>
  </si>
  <si>
    <t>UNIÓN DE DESMONTAJE EN HD 150 MM</t>
  </si>
  <si>
    <t>CODO 90° EN HD BRIDADO  150 MM</t>
  </si>
  <si>
    <t>NIPLE EN HD, EXTREMO BxB, L=0.15 m 150 MM</t>
  </si>
  <si>
    <t>BRIDA POR ACOPLE UNIVERSAL  150 MM</t>
  </si>
  <si>
    <t>NIPLE EN PVC RDE 41, PERFORADO, L=1.65 m 150 MM</t>
  </si>
  <si>
    <t>TAPÓN EN PVC  150 MM</t>
  </si>
  <si>
    <t>Tee HD 250 MM x 150 MM (250 mm x 150 mm) EB</t>
  </si>
  <si>
    <t xml:space="preserve">Tubería  PVC Unión mecánica RDE 21 D= 150 MM </t>
  </si>
  <si>
    <t xml:space="preserve">Tubería  PVC Unión mecánica RDE 26 D= 150 MM </t>
  </si>
  <si>
    <t xml:space="preserve">Tubería  PVC Unión mecánica RDE 32,5 D= 150 MM </t>
  </si>
  <si>
    <t xml:space="preserve">Tubería  PVC Unión mecánica RDE 41 D= 150 MM </t>
  </si>
  <si>
    <t>Tubería PVC extremo liso RDE 9 D=150 MM</t>
  </si>
  <si>
    <t>Tubería PVC extremo liso RDE 11 D=150 MM</t>
  </si>
  <si>
    <t xml:space="preserve">Tubería  PVC Unión mecánica RDE 13,5 D= 150 MM </t>
  </si>
  <si>
    <t>Codo PVC Gran radio 90º RDE 21 D=150 MM</t>
  </si>
  <si>
    <t>Codo PVC Gran radio 45º RDE 21 D=150 MM</t>
  </si>
  <si>
    <t>Codo PVC Gran radio 22,5º RDE 21 D=150 MM</t>
  </si>
  <si>
    <t>Codo PVC Gran radio 11,25º RDE 21 D=150 MM</t>
  </si>
  <si>
    <t>Codos PVC Radio corto 90º D=150 MM</t>
  </si>
  <si>
    <t>Codos PVC Radio corto 45º D=150 MM</t>
  </si>
  <si>
    <t>Tee PVC Unión mecánica D=150 MM</t>
  </si>
  <si>
    <t>Tee PVC Unión mecánica D=150 MMx 3"</t>
  </si>
  <si>
    <t>Tee PVC Unión mecánica D=150 MMx 4"</t>
  </si>
  <si>
    <t>Tee PVC Unión mecánica D=8"x 150 MM</t>
  </si>
  <si>
    <t>Reducción PVC Unión mecánica de 150 MMx 4"</t>
  </si>
  <si>
    <t>Reducción PVC Unión mecánica de 8"x 150 MM</t>
  </si>
  <si>
    <t>Tapones unión mecánica D=150 MM</t>
  </si>
  <si>
    <t>Collar de derivación de 150 MMx 1/2"</t>
  </si>
  <si>
    <t>Collar de derivación de 150 MMx 3/4"</t>
  </si>
  <si>
    <t>Uniones unión mecánica D= 150 MM</t>
  </si>
  <si>
    <t>Uniones de Reparación unión mecánica D= 150 MM</t>
  </si>
  <si>
    <t>Uniones Rápidas unión mecánica D= 150 MM</t>
  </si>
  <si>
    <t>Brida ajustable PVC de D=150 MM</t>
  </si>
  <si>
    <t>Tubería en HG D=150 MM</t>
  </si>
  <si>
    <t>Tubería en HD 150 MM (150 mm)</t>
  </si>
  <si>
    <t>Niples en HD 150 MM (150 mm) EL x EL L=0,00 a 1,00 m</t>
  </si>
  <si>
    <t>Niples en HD 150 MM (150 mm) EB x EB L=0,00 a 1,00 m</t>
  </si>
  <si>
    <t>Niples en HD 150 MM (150 mm) EL x EL L=1,00 a 2,00 m</t>
  </si>
  <si>
    <t>Niples en HD 150 MM (150 mm) EB x EB L=1,00 a 2,00 m</t>
  </si>
  <si>
    <t>Niples en HD 150 MM (150 mm) EL x EL L=2,00 a 3,00 m</t>
  </si>
  <si>
    <t>Niples en HD 150 MM (150 mm) EB x EB L=2,00 a3,00 m</t>
  </si>
  <si>
    <t>Niples en HD 150 MM (150 mm) EL x EL L=3,00 a 4,00 m</t>
  </si>
  <si>
    <t>Niples en HD 150 MM (150 mm) EB x EB L=3,00 a 4,00 m</t>
  </si>
  <si>
    <t>Niples en HD 150 MM (150 mm) EL x EL L=4,00 a 5,00 m</t>
  </si>
  <si>
    <t>Niples en HD 150 MM (150 mm) EB x EB L=4,00 a 5,00 m</t>
  </si>
  <si>
    <t>Tee HD 150 MM x 2" (150 mm x 50 mm) EL</t>
  </si>
  <si>
    <t>Tee HD 150 MM x 3" (150 mm x 75 mm) EL</t>
  </si>
  <si>
    <t>Tee HD 150 MM x 4" (150 mm x 100 mm) EL</t>
  </si>
  <si>
    <t>Tee HD 150 MM x 150 MM (150 mm x 150 mm) EL</t>
  </si>
  <si>
    <t>Tee HD 8" x 150 MM (200 mm x 150 mm) EL</t>
  </si>
  <si>
    <t>Tee HD 250 MM x 150 MM (250 mm x 150 mm) EL</t>
  </si>
  <si>
    <t>Tee HD 12" x 150 MM (300 mm x 150 mm) EL</t>
  </si>
  <si>
    <t>Tee HD 350 MM x 150 MM (350 mm x 150 mm) EL</t>
  </si>
  <si>
    <t>Tee HD 400 MM x 150 MM (400 mm x 150 mm) EL</t>
  </si>
  <si>
    <t>Tee HD 18" x 150 MM (450 mm x 150 mm) EL</t>
  </si>
  <si>
    <t>Tee HD 150 MM x 2" (150 mm x 50 mm) JH PVC</t>
  </si>
  <si>
    <t>Tee HD 150 MM x 3" (150 mm x 75 mm) JH PVC</t>
  </si>
  <si>
    <t>Tee HD 150 MM x 4" (150 mm x 100 mm) JH PVC</t>
  </si>
  <si>
    <t>Tee HD 150 MM x 150 MM (150 mm x 150 mm) JH PVC</t>
  </si>
  <si>
    <t>Tee HD 8" x 150 MM (200 mm x 150 mm) JH PVC</t>
  </si>
  <si>
    <t>Tee HD 250 MM x 150 MM (250 mm x 150 mm) JH PVC</t>
  </si>
  <si>
    <t>Tee HD 12" x 150 MM (300 mm x 150 mm) JH PVC</t>
  </si>
  <si>
    <t>Tee HD 350 MM x 150 MM (350 mm x 150 mm) JH PVC</t>
  </si>
  <si>
    <t>Tee HD 400 MM x 150 MM (400 mm x 150 mm) JH PVC</t>
  </si>
  <si>
    <t>Tee HD 18" x 150 MM (450 mm x 150 mm) JH PVC</t>
  </si>
  <si>
    <t>Tee HD 150 MM x 2" (150 mm x 50 mm) EB</t>
  </si>
  <si>
    <t>Tee HD 150 MM x 3" (150 mm x 75 mm) EB</t>
  </si>
  <si>
    <t>Tee HD 150 MM x 4" (150 mm x 100 mm) EB</t>
  </si>
  <si>
    <t>Tee HD 150 MM x 150 MM (150 mm x 150 mm) EB</t>
  </si>
  <si>
    <t>Tee HD 8" x 150 MM (200 mm x 150 mm) EB</t>
  </si>
  <si>
    <t>Tee HD 12" x 150 MM (300 mm x 150 mm) EB</t>
  </si>
  <si>
    <t>Tee HD 350 MM x 150 MM (350 mm x 150 mm) EB</t>
  </si>
  <si>
    <t>Tee HD 400 MM x 150 MM (400 mm x 150 mm) EB</t>
  </si>
  <si>
    <t>Tee HD 18" x 150 MM (450 mm x 150 mm) EB</t>
  </si>
  <si>
    <t>Reducción HD 150 MM x 2" (150 mm x 50 mm) EL</t>
  </si>
  <si>
    <t>Reducción HD 150 MM x 3" (150 mm x 75 mm) EL</t>
  </si>
  <si>
    <t>Reducción HD 150 MM x 4" (150 mm x 100 mm) EL</t>
  </si>
  <si>
    <t>ReducciónHD 8" x 150 MM (200 mm x 150 mm) EL</t>
  </si>
  <si>
    <t>Reducción HD 250 MM x 150 MM (250 mm x 150 mm) EL</t>
  </si>
  <si>
    <t>Reducción HD 12" x 150 MM (300 mm x 150 mm) EL</t>
  </si>
  <si>
    <t>Reducción HD 350 MM x 150 MM (350 mm x 150 mm) EL</t>
  </si>
  <si>
    <t>Reducción HD 400 MM x 150 MM (400 mm x 150 mm) EL</t>
  </si>
  <si>
    <t>Reducción HD 18" x 150 MM (450 mm x 150 mm) EL</t>
  </si>
  <si>
    <t>Reducción HD 150 MM x 2" (150 mm x 50 mm) JH PVC</t>
  </si>
  <si>
    <t>Reducción HD 150 MM x 3" (150 mm x 75 mm) JH PVC</t>
  </si>
  <si>
    <t>Reducción HD 150 MM x 4" (150 mm x 100 mm) JH PVC</t>
  </si>
  <si>
    <t>ReducciónHD 8" x 150 MM (200 mm x 150 mm) JH PVC</t>
  </si>
  <si>
    <t>Reducción HD 250 MM x 150 MM (250 mm x 150 mm) JH PVC</t>
  </si>
  <si>
    <t>Reducción HD 12" x 150 MM (300 mm x 150 mm) JH PVC</t>
  </si>
  <si>
    <t>Reducción HD 350 MM x 150 MM (350 mm x 150 mm) JH PVC</t>
  </si>
  <si>
    <t>Reducción HD 400 MM x 150 MM (400 mm x 150 mm) JH PVC</t>
  </si>
  <si>
    <t>Reducción HD 18" x 150 MM (450 mm x 150 mm) JH PVC</t>
  </si>
  <si>
    <t>Reducción HD 150 MM x 2" (150 mm x 50 mm) EB</t>
  </si>
  <si>
    <t>Reducción HD 150 MM x 3" (150 mm x 75 mm) EB</t>
  </si>
  <si>
    <t>Reducción HD 150 MM x 4" (150 mm x 100 mm) EB</t>
  </si>
  <si>
    <t>ReducciónHD 8" x 150 MM (200 mm x 150 mm) EB</t>
  </si>
  <si>
    <t>Reducción HD 250 MM x 150 MM (250 mm x 150 mm) EB</t>
  </si>
  <si>
    <t>Reducción HD 12" x 150 MM (300 mm x 150 mm) EB</t>
  </si>
  <si>
    <t>Reducción HD 350 MM x 150 MM (350 mm x 150 mm) EB</t>
  </si>
  <si>
    <t>Reducción HD 400 MM x 150 MM (400 mm x 150 mm) EB</t>
  </si>
  <si>
    <t>Reducción HD 18" x 150 MM (450 mm x 150 mm) EB</t>
  </si>
  <si>
    <t>Reducción HD 150 MM x 2 1/2" (150 mm x 63 mm) EB</t>
  </si>
  <si>
    <t>Codo HD 150 MM (150 mm)</t>
  </si>
  <si>
    <t>Cruz HD 150 MM x 2" (150 mm x 50 mm) EL</t>
  </si>
  <si>
    <t>Cruz HD 150 MM x 3" (150 mm x 75 mm) EL</t>
  </si>
  <si>
    <t>Cruz HD 150 MM x 4" (150 mm x 100 mm) EL</t>
  </si>
  <si>
    <t>Cruz HD 150 MM x 150 MM (150 mm x 150 mm) EL</t>
  </si>
  <si>
    <t>Cruz HD 8" x 150 MM (200 mm x 150 mm) EL</t>
  </si>
  <si>
    <t>Cruz HD 250 MM x 150 MM (250 mm x 150 mm) EL</t>
  </si>
  <si>
    <t>Cruz HD 12" x 150 MM (300 mm x 150 mm) EL</t>
  </si>
  <si>
    <t>Cruz HD 350 MM x 150 MM (350 mm x 150 mm) EL</t>
  </si>
  <si>
    <t>Cruz HD 400 MM x 150 MM (400 mm x 150 mm) EL</t>
  </si>
  <si>
    <t>Cruz HD 150 MM x 2" (150 mm x 50 mm) JH PVC</t>
  </si>
  <si>
    <t>Cruz HD 150 MM x 3" (150 mm x 75 mm) JH PVC</t>
  </si>
  <si>
    <t>Cruz HD 150 MM x 4" (150 mm x 100 mm) JH PVC</t>
  </si>
  <si>
    <t>Cruz HD 150 MM x 150 MM (150 mm x 150 mm) JH PVC</t>
  </si>
  <si>
    <t>Cruz HD 8" x 150 MM (200 mm x 150 mm) JH PVC</t>
  </si>
  <si>
    <t>Cruz HD 250 MM x 150 MM (250 mm x 150 mm) JH PVC</t>
  </si>
  <si>
    <t>Cruz HD 12" x 150 MM (300 mm x 150 mm) JH PVC</t>
  </si>
  <si>
    <t>Cruz HD 350 MM x 150 MM (350 mm x 150 mm) JH PVC</t>
  </si>
  <si>
    <t>Cruz HD 400 MM x 150 MM (400 mm x 150 mm) JH PVC</t>
  </si>
  <si>
    <t>Cruz HD 150 MM x 2" (150 mm x 50 mm) EB</t>
  </si>
  <si>
    <t>Cruz HD 150 MM x 3" (150 mm x 75 mm) EB</t>
  </si>
  <si>
    <t>Cruz HD 150 MM x 4" (150 mm x 100 mm) EB</t>
  </si>
  <si>
    <t>Cruz HD 150 MM x 150 MM (150 mm x 150 mm) EB</t>
  </si>
  <si>
    <t>Cruz HD 8" x 150 MM (200 mm x 150 mm) EB</t>
  </si>
  <si>
    <t>Cruz HD 250 MM x 150 MM (250 mm x 150 mm) EB</t>
  </si>
  <si>
    <t>Cruz HD 12" x 150 MM (300 mm x 150 mm) EB</t>
  </si>
  <si>
    <t>Cruz HD 350 MM x 150 MM (350 mm x 150 mm) EB</t>
  </si>
  <si>
    <t>Cruz HD 400 MM x 150 MM (400 mm x 150 mm) EB</t>
  </si>
  <si>
    <t>Yee HD 150 MM x 3" (150 mm x 75 mm) EL</t>
  </si>
  <si>
    <t>Yee HD 150 MM x 4" (150 mm x 100 mm) EL</t>
  </si>
  <si>
    <t>Yee HD 150 MM x 150 MM (150 mm x 150 mm) EL</t>
  </si>
  <si>
    <t>Yee HD 8" x 150 MM (200 mm x 150 mm) EL</t>
  </si>
  <si>
    <t>Yee HD 250 MM x 150 MM (250 mm x 150 mm) EL</t>
  </si>
  <si>
    <t>Yee HD 12" x 150 MM (300 mm x 150 mm) EL</t>
  </si>
  <si>
    <t>Yee HD 350 MM x 150 MM (350 mm x 150 mm) EL</t>
  </si>
  <si>
    <t>Yee HD 400 MM x 150 MM (400 mm x 150 mm) EL</t>
  </si>
  <si>
    <t>Yee HD 150 MM x 3" (150 mm x 75 mm) JH PVC</t>
  </si>
  <si>
    <t>Yee HD 150 MM x 4" (150 mm x 100 mm) JH PVC</t>
  </si>
  <si>
    <t>Yee HD 150 MM x 150 MM (150 mm x 150 mm) JH PVC</t>
  </si>
  <si>
    <t>Yee HD 8" x 150 MM (200 mm x 150 mm) JH PVC</t>
  </si>
  <si>
    <t>Yee HD 250 MM x 150 MM (250 mm x 150 mm) JH PVC</t>
  </si>
  <si>
    <t>Yee HD 12" x 150 MM (300 mm x 150 mm) JH PVC</t>
  </si>
  <si>
    <t>Yee HD 350 MM x 150 MM (350 mm x 150 mm) JH PVC</t>
  </si>
  <si>
    <t>Yee HD 400 MM x 150 MM (400 mm x 150 mm) JH PVC</t>
  </si>
  <si>
    <t>Yee HD 150 MM x 3" (150 mm x 75 mm) EB</t>
  </si>
  <si>
    <t>Yee HD 150 MM x 4" (150 mm x 100 mm) EB</t>
  </si>
  <si>
    <t>Yee HD 150 MM x 150 MM (150 mm x 150 mm) EB</t>
  </si>
  <si>
    <t>Yee HD 8" x 150 MM (200 mm x 150 mm) EB</t>
  </si>
  <si>
    <t>Yee HD 250 MM x 150 MM (250 mm x 150 mm) EB</t>
  </si>
  <si>
    <t>Yee HD 12" x 150 MM (300 mm x 150 mm) EB</t>
  </si>
  <si>
    <t>Yee HD 350 MM x 150 MM (350 mm x 150 mm) EB</t>
  </si>
  <si>
    <t>Yee HD 400 MM x 150 MM (400 mm x 150 mm) EB</t>
  </si>
  <si>
    <t>Tapon HD 150 MM EL</t>
  </si>
  <si>
    <t>Tapon HD 150 MM JH PVC</t>
  </si>
  <si>
    <t>Unión Tipo Dresser de 150 MM</t>
  </si>
  <si>
    <t>Unión HD Gibault 150 MM</t>
  </si>
  <si>
    <t>Unión HD de montaje autoportante de 150 MM</t>
  </si>
  <si>
    <t>Unión HD Construcción y Reparación 150 MM</t>
  </si>
  <si>
    <t>Acople Universal 150 MM (159mm a 181 mm) R1</t>
  </si>
  <si>
    <t>Acople Universal 150 MM (167 mm a 189 mm) R2</t>
  </si>
  <si>
    <t>Adaptador Brida por Acople Universal 150 MM (159mm a 181 mm) R1</t>
  </si>
  <si>
    <t>Adaptador Brida por Acople Universal 150 MM (167 mm a 189 mm) R2</t>
  </si>
  <si>
    <t>Brida Ciega de 150 MM</t>
  </si>
  <si>
    <t>Brida roscada de 150 MM</t>
  </si>
  <si>
    <t>Brida loca de 150 MM</t>
  </si>
  <si>
    <t>Collar de 150 MM</t>
  </si>
  <si>
    <t>Filtro tipo Yee 150 MM</t>
  </si>
  <si>
    <t>Pasamuro HF de 150 MM ELXEL L= 0 a 0,50 m</t>
  </si>
  <si>
    <t>Pasamuro HF de 150 MM ELXEB L= 0 a 0,50 m</t>
  </si>
  <si>
    <t>Pasamuro HF de 150 MM ELXER L= 0 a 0,50 m</t>
  </si>
  <si>
    <t>Pasamuro HF de 150 MM EBXER= 0 a 0,50 m</t>
  </si>
  <si>
    <t>Pasamuro HF de 150 MM ERXER= 0 a 0,50 m</t>
  </si>
  <si>
    <t>Pasamuro HF de 150 MM EBXEB= 0 a 0,50 m</t>
  </si>
  <si>
    <t>Pasamuro HF de 150 MM ELXEL L= 0,50  a 1,00 m</t>
  </si>
  <si>
    <t>Pasamuro HF de 150 MM ELXEB L= 0,50 a 1,00 m</t>
  </si>
  <si>
    <t>Pasamuro HF de 150 MM ELXER L= 0,50 a 1,00 m</t>
  </si>
  <si>
    <t>Pasamuro HF de 150 MM EBXER= 0,50 a1,00 m</t>
  </si>
  <si>
    <t>Pasamuro HF de 150 MM ERXER= 0,50 a1,00 m</t>
  </si>
  <si>
    <t>Pasamuro HF de 150 MM EBXEB= 0,50 a1,00 m</t>
  </si>
  <si>
    <t>Hidrante Tipo Tráfico de 150 MM Brida</t>
  </si>
  <si>
    <t>Para Hidrantes Tipo tráfico de 150 MM</t>
  </si>
  <si>
    <t xml:space="preserve">Válvula de compuerta de vástago no ascendente 150 MM (150 mm) SRM </t>
  </si>
  <si>
    <t xml:space="preserve">Válvula de compuerta de vástago no ascendente 150 MM (150 mm) CRM </t>
  </si>
  <si>
    <t>Válvula de compuerta de vástago no ascendente 150 MM (150 mm) Sello de Bronce</t>
  </si>
  <si>
    <t xml:space="preserve">Válvula de compuerta de vástago ascendente 150 MM (150 mm) </t>
  </si>
  <si>
    <t>Válvula de compuerta de vástago ascendente 150 MM (150 mm) Sello Bronce</t>
  </si>
  <si>
    <t>Válvula ventosa (cámara doble) 150 MM Brida</t>
  </si>
  <si>
    <t>Válvula reguladora de nivel de 150 MM</t>
  </si>
  <si>
    <t>Válvula de retención (Cheque) de 150 MM</t>
  </si>
  <si>
    <t>Válvula Globol de 150 MM</t>
  </si>
  <si>
    <t>Válvula Reguladora de presión de 150 MM</t>
  </si>
  <si>
    <t>Válvula de Fondo de 150 MM</t>
  </si>
  <si>
    <t>Válvula de Pie o Coladera de 150 MM</t>
  </si>
  <si>
    <t>Válvula mariposa de 150 MM</t>
  </si>
  <si>
    <t>Válvula de apertura y cierre rápido de 150 MM</t>
  </si>
  <si>
    <t>Compuerta lateral deslizante con sello de bronce (circular) 150 MM</t>
  </si>
  <si>
    <t>Compuerta lateral deslizante con sello de bronce (circular) 3150 MM</t>
  </si>
  <si>
    <t>Compuerta lateral deslizante con sello de bronce (Rectangular) 150 MM</t>
  </si>
  <si>
    <t>Compuerta lateral deslizante con sello de bronce (Rectangular) 3150 MM</t>
  </si>
  <si>
    <t>Vástago para compuerta 24"-3150 MM</t>
  </si>
  <si>
    <t>Rueda de manejo o volantes 150 MM-8"</t>
  </si>
  <si>
    <t>Macromedidor Tipo Woltman de 150 MM</t>
  </si>
  <si>
    <t>Válvula Anticavitatoria de 150 MM</t>
  </si>
  <si>
    <t>PASAMURO EN HD, EXTREMO LXB, L= 0.40 m, z=10 cm 150 MM</t>
  </si>
  <si>
    <t>VÁLVULA DE MARIPOSA EXTREMO BXB, CON PALANCA 150 MM</t>
  </si>
  <si>
    <t>CODOS 45 º HD 150 MM BB</t>
  </si>
  <si>
    <t>CODOS 90 º HD 150 MM BB</t>
  </si>
  <si>
    <t xml:space="preserve"> INSTALACIÓN ACCESORIOS EN HIERRO DÚCTIL  150 MM(150MM)</t>
  </si>
  <si>
    <t>Tuberia Flexible para Bomba de Pozo Profundo 200 MM</t>
  </si>
  <si>
    <t>Acople Acero Rigido 3-16 (200 MM a 150 MM) Roscado y Soldado con platinas</t>
  </si>
  <si>
    <t>ANCLAJE ARGOLLADO 1/4 X 1 3/8 "</t>
  </si>
  <si>
    <t>Escalones en varilla galvanizada de 3/4 " Para Escalera de Gato</t>
  </si>
  <si>
    <t>Lámina 1/4 " A36</t>
  </si>
  <si>
    <t>Lámina 3/4 " A36</t>
  </si>
  <si>
    <t>CABLE ACERO GALVANIZADO CALIBRE 1/4 "</t>
  </si>
  <si>
    <t>PERNOS GALVANIZADOS 1/4 " X 4 UN</t>
  </si>
  <si>
    <t>Ventosas de triple acción 100 MM (incluye caja)</t>
  </si>
  <si>
    <t>Estructura de purga disipadora 100 MM</t>
  </si>
  <si>
    <t>Estructura de purga de desague 100 MM</t>
  </si>
  <si>
    <t>CONCRETO SIMPLE RESIST. 14.0 Mpa (140Kg/cm2, ) PRODUCCION Y VACIADO</t>
  </si>
  <si>
    <t>Bomba para pozo profundo H=270m Q=50L/s</t>
  </si>
  <si>
    <t>CARBON COQUE &gt;10MM</t>
  </si>
  <si>
    <t>ton</t>
  </si>
  <si>
    <t>ton-km</t>
  </si>
  <si>
    <t>Peso (ton)</t>
  </si>
  <si>
    <t>(ton/km)</t>
  </si>
  <si>
    <t>Long(m)</t>
  </si>
  <si>
    <t>Peso tuberia(kg/m)</t>
  </si>
  <si>
    <t>Distancia total recorrida</t>
  </si>
  <si>
    <t>Peso Total (ton)</t>
  </si>
  <si>
    <t>Tramo K34+588 a K36455</t>
  </si>
  <si>
    <t>* factor de expancion 1,4</t>
  </si>
  <si>
    <t>2. CONSTRUCCIÓN CAJAS DE ACCESO A TANQUES</t>
  </si>
  <si>
    <t xml:space="preserve">3. SUMINISTRO E INSTALACION ACCESORIOS </t>
  </si>
  <si>
    <t>7. CONSTRUCCIÓN CAMARA DISIPACION DE ENERGÍA</t>
  </si>
  <si>
    <t>ACERO ESTRUCTURAL</t>
  </si>
  <si>
    <t>RECEBO</t>
  </si>
  <si>
    <t>CONCRETO ESTRIBOS</t>
  </si>
  <si>
    <t>VIADUCTO VEREDA CHILCAL</t>
  </si>
  <si>
    <t>m²</t>
  </si>
  <si>
    <t>TECNICO ESPECIALIZADO</t>
  </si>
  <si>
    <t>Relleno con Arena</t>
  </si>
  <si>
    <t xml:space="preserve">Instalación de accesorios </t>
  </si>
  <si>
    <t>VARILLA DE 3/4"</t>
  </si>
  <si>
    <t>PLASTOCRETE DM</t>
  </si>
  <si>
    <t>CONCRETOS</t>
  </si>
  <si>
    <t>CARGUE DESCARGUE</t>
  </si>
  <si>
    <t>CORTES</t>
  </si>
  <si>
    <t>DEMOLICION</t>
  </si>
  <si>
    <t>INSTALACION TUBERIA PVC</t>
  </si>
  <si>
    <t>INSTALACION TUBERIA HD</t>
  </si>
  <si>
    <t>INSTALACION TUBERIA ACERROJADA</t>
  </si>
  <si>
    <t>LIMPIEZA, (INSPECCION) Y PRUEBA HIDRAULICA</t>
  </si>
  <si>
    <t>LOCALIZACION Y REPLANTEO</t>
  </si>
  <si>
    <t>OBRAS COMPLEMENTARIAS</t>
  </si>
  <si>
    <t>PAVIMENTO</t>
  </si>
  <si>
    <t>EXCAVACIONES</t>
  </si>
  <si>
    <t>ACERO</t>
  </si>
  <si>
    <t>Mini cargador</t>
  </si>
  <si>
    <t>CODOS 45 º HD 200 MM BB</t>
  </si>
  <si>
    <t>1/2"</t>
  </si>
  <si>
    <t>Base en recebo compactado</t>
  </si>
  <si>
    <t>Mortero de pega 1:4 e=0.08</t>
  </si>
  <si>
    <t>Disposicion de sobrantes</t>
  </si>
  <si>
    <t>CARGUE , RETIRO Y DISPOSICION DE SOBRANTES</t>
  </si>
  <si>
    <t>COSTOS DE MANO DE OBRA</t>
  </si>
  <si>
    <t>JORNAL BASE</t>
  </si>
  <si>
    <t xml:space="preserve">PRESTACIONES </t>
  </si>
  <si>
    <t>CONTRATISTA DE ESTRUCTURA</t>
  </si>
  <si>
    <t>CORTADOR</t>
  </si>
  <si>
    <t>DINAMITERO</t>
  </si>
  <si>
    <t>INGENIERO DE INSTALACIÓN</t>
  </si>
  <si>
    <t>MACHINERO</t>
  </si>
  <si>
    <t>SOLDADOR</t>
  </si>
  <si>
    <t>SUB CONTRATISTA</t>
  </si>
  <si>
    <t>SUB CONTRATO INSTALACIÓN MACROMEDIDOR ULTRASÓNICO</t>
  </si>
  <si>
    <t>TÉCNICO TERMOFUSIÓN</t>
  </si>
  <si>
    <t xml:space="preserve">TECNICO ELECTRICO </t>
  </si>
  <si>
    <t xml:space="preserve">TECNICO- METALISTERIA </t>
  </si>
  <si>
    <t>Porcentaje de prestaciones (%)</t>
  </si>
  <si>
    <t>Prestaciones Salario &lt;2 SMMLV</t>
  </si>
  <si>
    <t>Tomado gobernación risaralda</t>
  </si>
  <si>
    <t>Prestaciones Salario &gt;2 SMMLV</t>
  </si>
  <si>
    <t>Salario Mínimo 2017</t>
  </si>
  <si>
    <t>IPC 2016</t>
  </si>
  <si>
    <t>IPC 2015</t>
  </si>
  <si>
    <t>||</t>
  </si>
  <si>
    <t>MINI CARGADOR</t>
  </si>
  <si>
    <t>ARENA</t>
  </si>
  <si>
    <r>
      <t>m</t>
    </r>
    <r>
      <rPr>
        <vertAlign val="superscript"/>
        <sz val="11"/>
        <color theme="1"/>
        <rFont val="Calibri"/>
        <family val="2"/>
        <scheme val="minor"/>
      </rPr>
      <t>3</t>
    </r>
  </si>
  <si>
    <t>Compactador(canguro)</t>
  </si>
  <si>
    <t>Eslinga y malacate</t>
  </si>
  <si>
    <t>Volqueta</t>
  </si>
  <si>
    <t>MATERIAL EXPLOSIVO</t>
  </si>
  <si>
    <t>Disco diamantado</t>
  </si>
  <si>
    <t>Cortadora</t>
  </si>
  <si>
    <t>Eslinga y Malacate</t>
  </si>
  <si>
    <t>ADAPTADOR BRIDA POR ACOPLE UNIVERSAL 400mm</t>
  </si>
  <si>
    <t>Vibrocompactador Benitin</t>
  </si>
  <si>
    <t>Emulsion Asfaltica</t>
  </si>
  <si>
    <t>CONCRETO DE 17,5 MPA (175 KG/CM2)</t>
  </si>
  <si>
    <t>Platinas de 3/8" de 10x10cm</t>
  </si>
  <si>
    <t>ORNAMENTADOR</t>
  </si>
  <si>
    <t>Excavacion</t>
  </si>
  <si>
    <t>Concreto resist. 4000 psi losa inferior</t>
  </si>
  <si>
    <t>Concreto resist. 4000 psi muros y losa superior</t>
  </si>
  <si>
    <t>Impermeabilizante</t>
  </si>
  <si>
    <t xml:space="preserve">TUBERÍA  PVC UNIÓN MECÁNICA RDE 41 D= 6" </t>
  </si>
  <si>
    <t>UNIÓN HD CONSTRUCCIÓN Y REPARACIÓN 400 MM</t>
  </si>
  <si>
    <t>VÁLVULA VENTOSA (CÁMARA DOBLE) 4" BRIDA</t>
  </si>
  <si>
    <t>Relleno en material comun</t>
  </si>
  <si>
    <t>DIFERENCIAL</t>
  </si>
  <si>
    <t>PASADOR METÁLICO</t>
  </si>
  <si>
    <t>VISAGRA</t>
  </si>
  <si>
    <t>TUBO MUEBLE 1"X1"</t>
  </si>
  <si>
    <t>INSTALADOR BOMBA ANTI ROTURA</t>
  </si>
  <si>
    <t>RELLENO EN MATERIAL COMUN</t>
  </si>
  <si>
    <t>DISPOSICION DE SOBRANTES</t>
  </si>
  <si>
    <r>
      <t>m</t>
    </r>
    <r>
      <rPr>
        <vertAlign val="superscript"/>
        <sz val="11"/>
        <color theme="1"/>
        <rFont val="Calibri"/>
        <family val="2"/>
        <scheme val="minor"/>
      </rPr>
      <t>4</t>
    </r>
    <r>
      <rPr>
        <sz val="9"/>
        <color theme="1"/>
        <rFont val="Calibri"/>
        <family val="2"/>
      </rPr>
      <t/>
    </r>
  </si>
  <si>
    <t>NEOPRENO</t>
  </si>
  <si>
    <t>TORNILLOS  19.1</t>
  </si>
  <si>
    <t>ACERO ESTRUCTURAL L 2"X3/16  "</t>
  </si>
  <si>
    <t>BRIDA POR ADAPTADOR UNIVERSAL</t>
  </si>
  <si>
    <t>VÁLVULA COMPUERTA 200 MM BRIDADA</t>
  </si>
  <si>
    <t>VALVULA DE COMPUERTA BxB 80mm</t>
  </si>
  <si>
    <t>CODOS 450 MM X 11.25 A 22.5° HD</t>
  </si>
  <si>
    <t>AMPLIACION HD BXB 250 MMX350 MM</t>
  </si>
  <si>
    <t>Valvula Ventosa (Cámara sencilla) doble acción</t>
  </si>
  <si>
    <t>3.17.7.8</t>
  </si>
  <si>
    <t>3.17.7.9</t>
  </si>
  <si>
    <t>3.17.7.10</t>
  </si>
  <si>
    <t>Tapa Para Pozo De Inspección Ø0,60 Con Sistema De Seguridad</t>
  </si>
  <si>
    <t>Tapa Para Pozo De Inspección Ø0,60 Sin Sistema De Seguridad</t>
  </si>
  <si>
    <t>Marco Con Tapa Para Cajilla Unitaria Tipo Empo</t>
  </si>
  <si>
    <t>Tapa Valvula Tipo Chorote Aya - Trafico Pesado</t>
  </si>
  <si>
    <t>Tapa Valvula Tipo Chorote - Trafico Liviano</t>
  </si>
  <si>
    <t>Tapa Valvula Tipo Comun</t>
  </si>
  <si>
    <t>Tapa Valvula Seguridad Cierre Permanente No.1</t>
  </si>
  <si>
    <t>Tapa Valvula Seguridad Cierre Permanente No.2</t>
  </si>
  <si>
    <t>Tapa Valvula Seguridad Cierre Permanente No.3</t>
  </si>
  <si>
    <t>Marco Tapa Doble Ventanilla Medidor Con Seguridad</t>
  </si>
  <si>
    <t>Filtros pata Red de Acueducto Tipo "Y" 14" ( 350 mm ) - Extremo Brida</t>
  </si>
  <si>
    <t>Filtros pata Red de Acueducto Tipo "Y" 16" (400 mm ) - Extremo Brida</t>
  </si>
  <si>
    <t>Inicio</t>
  </si>
  <si>
    <t>Fin</t>
  </si>
  <si>
    <t>Tubería</t>
  </si>
  <si>
    <t>Diámetro</t>
  </si>
  <si>
    <t>Existente</t>
  </si>
  <si>
    <t>HDA O ACERO</t>
  </si>
  <si>
    <t>Retirar y reinstalar</t>
  </si>
  <si>
    <t>Subtotal Obra Civil</t>
  </si>
  <si>
    <t>Subtotal Suministros</t>
  </si>
  <si>
    <t>Transporte de Tuberia</t>
  </si>
  <si>
    <t>Tanque Bojaca</t>
  </si>
  <si>
    <t>Camara 1</t>
  </si>
  <si>
    <t>Camara 2</t>
  </si>
  <si>
    <t>Camara 5</t>
  </si>
  <si>
    <t>ANEXO 5.3 TABLA DE CANTIDADES  LINEA CASABLANCA LA MESA</t>
  </si>
  <si>
    <t>Tubería HD DN 400 PN40</t>
  </si>
  <si>
    <t>Tubería HD DN 400 PN25</t>
  </si>
  <si>
    <t>Suministro tuberia 400</t>
  </si>
  <si>
    <t>Codos 400 MM x 45° HD</t>
  </si>
  <si>
    <t>Codos 400 MM x 90° HD</t>
  </si>
  <si>
    <t>Porcentaje</t>
  </si>
  <si>
    <t>Tipo</t>
  </si>
  <si>
    <t xml:space="preserve">Placa huella </t>
  </si>
  <si>
    <t>Cortes de tubería 400 MM HD</t>
  </si>
  <si>
    <t>Tubería en HD 300mm</t>
  </si>
  <si>
    <t>Clase</t>
  </si>
  <si>
    <t>A-1</t>
  </si>
  <si>
    <t>A-2</t>
  </si>
  <si>
    <t>A-3</t>
  </si>
  <si>
    <t>A-4</t>
  </si>
  <si>
    <t>A-5</t>
  </si>
  <si>
    <t>A-6</t>
  </si>
  <si>
    <t>A-7</t>
  </si>
  <si>
    <t>Cota</t>
  </si>
  <si>
    <t>Estatica</t>
  </si>
  <si>
    <t>I</t>
  </si>
  <si>
    <t>II</t>
  </si>
  <si>
    <t>A-8</t>
  </si>
  <si>
    <t>A-9</t>
  </si>
  <si>
    <t>A-10</t>
  </si>
  <si>
    <t>A-11</t>
  </si>
  <si>
    <t>A-12</t>
  </si>
  <si>
    <t>A-13</t>
  </si>
  <si>
    <t>A-14</t>
  </si>
  <si>
    <t>CINETICA</t>
  </si>
  <si>
    <t>VENTOSAS</t>
  </si>
  <si>
    <t>PN 10</t>
  </si>
  <si>
    <t>PN 16</t>
  </si>
  <si>
    <t>PN 25</t>
  </si>
  <si>
    <t>PN 40</t>
  </si>
  <si>
    <t>PN 60</t>
  </si>
  <si>
    <t>Purgas Desague</t>
  </si>
  <si>
    <t>A1</t>
  </si>
  <si>
    <t>A2</t>
  </si>
  <si>
    <t>A3</t>
  </si>
  <si>
    <t>A4</t>
  </si>
  <si>
    <t>A5</t>
  </si>
  <si>
    <t>A6</t>
  </si>
  <si>
    <t>A7</t>
  </si>
  <si>
    <t>A8</t>
  </si>
  <si>
    <t>A9</t>
  </si>
  <si>
    <t>A10</t>
  </si>
  <si>
    <t>A11</t>
  </si>
  <si>
    <t>A12</t>
  </si>
  <si>
    <t>B1</t>
  </si>
  <si>
    <t>B2</t>
  </si>
  <si>
    <t>B3</t>
  </si>
  <si>
    <t>B4</t>
  </si>
  <si>
    <t>B5</t>
  </si>
  <si>
    <t>B6</t>
  </si>
  <si>
    <t>B7</t>
  </si>
  <si>
    <t>B8</t>
  </si>
  <si>
    <t>B9</t>
  </si>
  <si>
    <t>B10</t>
  </si>
  <si>
    <t>B11</t>
  </si>
  <si>
    <t>B12</t>
  </si>
  <si>
    <t>B13</t>
  </si>
  <si>
    <t>B14</t>
  </si>
  <si>
    <t>B15</t>
  </si>
  <si>
    <t>Purgas Disipadora</t>
  </si>
  <si>
    <t>A-P1</t>
  </si>
  <si>
    <t>A-P2</t>
  </si>
  <si>
    <t>P1</t>
  </si>
  <si>
    <t>P2</t>
  </si>
  <si>
    <t>P3</t>
  </si>
  <si>
    <t>P4</t>
  </si>
  <si>
    <t>P5</t>
  </si>
  <si>
    <t>A-16</t>
  </si>
  <si>
    <t>A-17</t>
  </si>
  <si>
    <t>A-18</t>
  </si>
  <si>
    <t>A-19</t>
  </si>
  <si>
    <t>A-20</t>
  </si>
  <si>
    <t>A-21</t>
  </si>
  <si>
    <t>A-22</t>
  </si>
  <si>
    <t>A-23</t>
  </si>
  <si>
    <t>A-24</t>
  </si>
  <si>
    <t>A-25</t>
  </si>
  <si>
    <t>FILTRO BxB 100mm</t>
  </si>
  <si>
    <t xml:space="preserve">PRESUPUESTO ACUEDUCTO </t>
  </si>
  <si>
    <t>EMPRESAS PÚBLICAS DE CUNDINAMARCA</t>
  </si>
  <si>
    <t>No.</t>
  </si>
  <si>
    <t>VALOR TOTAL</t>
  </si>
  <si>
    <t>Tanque Bojaca.</t>
  </si>
  <si>
    <t>Linea de Alta presion</t>
  </si>
  <si>
    <t>Estructuras Especiales</t>
  </si>
  <si>
    <t>Anclajes</t>
  </si>
  <si>
    <t>Localizacion y replanteo</t>
  </si>
  <si>
    <t>Señalización</t>
  </si>
  <si>
    <t xml:space="preserve">Rellenos </t>
  </si>
  <si>
    <t xml:space="preserve">Demolición y Retiro sobrantes </t>
  </si>
  <si>
    <t xml:space="preserve">Concretos, morteros, acero de refuerzo y aditivos </t>
  </si>
  <si>
    <t xml:space="preserve">Plantas y estaciones de bombeo </t>
  </si>
  <si>
    <t xml:space="preserve">Subtotal Obra Civil </t>
  </si>
  <si>
    <t xml:space="preserve">Sistema manual para movilizar cilindros de una (1) tonelada, con viga monorriel. </t>
  </si>
  <si>
    <t xml:space="preserve">ESTACIÓN DE BOMBEO </t>
  </si>
  <si>
    <t>Tapas CS278 para camaras de inspección sencilla</t>
  </si>
  <si>
    <t>Caja de inspeccion  tipo CS275 norma Codensa</t>
  </si>
  <si>
    <t>Acometida  media tension en cable cobre XLPE 3X2/0  de 35KV</t>
  </si>
  <si>
    <t>Terminales premoldeado tipo exterior para cable 2/0 XLPE 35 KV.( Juego )</t>
  </si>
  <si>
    <t>Terminales premoldeado tipo interior para cable 2/0 XLPE 35KV. ( Juego )</t>
  </si>
  <si>
    <t>Celda de protección para transformadores</t>
  </si>
  <si>
    <t>ACCESORIOS Y MANTENIMIENTO DE  CELDA DE PROTECCION PARA OPERACIÓN BAJO CARGA 630 AMP EN SF6, SECCIONADOR DE PUESTA A TIERRA EN SF6, SECCIONADOR DE PUESTA A TIERRA INFERIOR EN AIRE JUEGO DE BARRAS TRIPOLARES PARA CONEXIÓN SUPERIOR DE 630 AMP, MANDO MANUAL CL1 DISPOSITIVO DE BLOQUE(TIPO QM MARCA SCHNEIDER-MERLIN GERIN)</t>
  </si>
  <si>
    <t>Cable 3" No 2/0 XLPE 35 KV tarmo Trafo-Celda de proteccion</t>
  </si>
  <si>
    <t>Transformadores</t>
  </si>
  <si>
    <t>TRANSFORMADOR 3F 800 KVA/34,5 V 440 V +ACCESORIOS DE MEDIDA+VALVULA DE SOBRE PRESION 2 CONTACTOS + TERMOMETRO  2 CONTACTOS</t>
  </si>
  <si>
    <t>TRANSFORMADOR 3F 1250 KVA/34,5 V 440/254 V+ ACCESORIOS DE MEDIDA+VALVULA DE SOBREPRESION 2 CONTACTOS+ALARMA Y DISPARO</t>
  </si>
  <si>
    <t xml:space="preserve">CELDAS EN BAJA TENSIÓN </t>
  </si>
  <si>
    <t>ACCESORIOS, CABLEADO, SPT Y MANTENIMIENTO  Tablero 3Ø tipo linea de 24 circuitos con espacio para totalizador industrial  (iluminacion y tomas) (T-B) Ver Diagrama Unifilar.</t>
  </si>
  <si>
    <t>Tablero 3Ø tipo linea de 12 circuitos .</t>
  </si>
  <si>
    <t xml:space="preserve">SISTEMA DE CORRIENTE CONTINUA </t>
  </si>
  <si>
    <t>TABLEROS DE DISTRIBUCIÓN 208 VAC</t>
  </si>
  <si>
    <t>ACOMETIDAS ELÉCTRICAS EN BAJA TENSIÓN</t>
  </si>
  <si>
    <t>Acometida parcial de transformador a Interruptor totalizador en ducto de barras capacidad 4.000 amp, 2300 Vac, 65 KA.</t>
  </si>
  <si>
    <t>Acometida parcial de Modulo No 1, Interruptor Ppal a transferencia Modulo 6 en 2(3X500+1X350+1X2/0T)</t>
  </si>
  <si>
    <t>Acometida parcial de Modulo No 6, Transferencia Automatica a Planta de Emergencia en 2(3X500+1X350+1X2/0T)</t>
  </si>
  <si>
    <t>Acometida parcial de Modulo No 1. Interruptor Pppal  a Modulo No 2. CCM motores en ducto de barras capacidad 3.000 amp, 2300 Vac, 65 KA.</t>
  </si>
  <si>
    <t>Acometida parcial de tablero totalizador Modulo No 8. -Tablero T-TGRUA a puente grua Casa de Bombas en 3X6+1X8+1X8T</t>
  </si>
  <si>
    <t>Acometida parcial de tablero iluminacion normal TB tablero de Bombas a Tablero Servicios auxiliares T8 en 3X6+1X8+1X8T</t>
  </si>
  <si>
    <t>Acometida parcial de tablero iluminacion normal TO tablero de Oficinas a Tablero Servicios auxiliares T8 en 3X6+1X8+1X8T</t>
  </si>
  <si>
    <t>Acometida parcial de tablero iluminacion normal TS tablero de subestación a Tablero Servicios auxiliares T8 en 3X8+1X10+1X10T</t>
  </si>
  <si>
    <t>Acometida parcial de tablero iluminacion normal TCC tablero de Cuarto de Celaduría a Tablero Servicios auxiliares T8 en 3X6+1X8+1X8T</t>
  </si>
  <si>
    <t>Acometida parcial de tablero iluminacion normal TPE tablero de Planta de Emergencia a Tablero Servicios auxiliares T8 en 3X8+1X10+1X10T</t>
  </si>
  <si>
    <t>Acometida parcial de tablero InversorCargador a Tablero Servicios auxiliares T8 en 3X6+1X8+1X8T</t>
  </si>
  <si>
    <t>Acometida parcial motor No 1 a Tablero Modulo No 2. CCM en 2*(3*500) Kcmil + 2T AWG THHN</t>
  </si>
  <si>
    <t>Acometida parcial motor No 2 a Tablero Modulo No 3. CCM en 2*(3*500) Kcmil + 2T AWG THHN</t>
  </si>
  <si>
    <t>Acometida parcial motor No 3 a Tablero Modulo No 4. CCM en 2*(3*500) Kcmil + 2T AWG THHN</t>
  </si>
  <si>
    <t>Acometida parcial motor No 4 a Tablero Modulo No 5. CCM en 2*(3*500) Kcmil + 2T AWG THHN</t>
  </si>
  <si>
    <t>Acometida parcial motor No 5 a Tablero Modulo No 7. CCM en 2*(3*500) Kcmil + 2T AWG THHN</t>
  </si>
  <si>
    <t>Acometida parcial Tablero Bomba sentina a Tablero servicios auxiliares Modulo No 8. en  cable 3X6+1X8+1X8T AWG THHN</t>
  </si>
  <si>
    <t>Acometida parcial Válvula mariposa a Tablero servicios auxiliares Modulo No 8. en  cable 3X6+1X8+1X8T AWG THHN</t>
  </si>
  <si>
    <t>CANALIZACIÓN REDES DE BAJA TENSIÓN</t>
  </si>
  <si>
    <t>Cajas de inspeccion CS 276 norma Codensa</t>
  </si>
  <si>
    <t>Cajas de inspeccion CS 275 norma Codensa</t>
  </si>
  <si>
    <t>Cajas de inspeccion CS 274 norma Codensa</t>
  </si>
  <si>
    <t>Cajas de inspeccion CS 280 tipo vehicular norma Codensa</t>
  </si>
  <si>
    <t xml:space="preserve">Canalizacion de 9Ø6" </t>
  </si>
  <si>
    <t xml:space="preserve">Canalizacion de 4Ø4" </t>
  </si>
  <si>
    <t xml:space="preserve">Canalizacion de 6Ø4" </t>
  </si>
  <si>
    <t xml:space="preserve">Canalizacion de 2Ø2" </t>
  </si>
  <si>
    <t>Bandeja portacable tipo escalera galvanizada con tapa y division 50/10 cm.</t>
  </si>
  <si>
    <t>Bandeja portacable tipo escalera galvanizada 40 cm.con division para carcamo.</t>
  </si>
  <si>
    <t>Bandeja portacable tipo escalera galvanizada 20 cm para carcamo.</t>
  </si>
  <si>
    <t>Bandeja portacable tipo escalera galvanizada 60 cm con division para carcamo.</t>
  </si>
  <si>
    <t>SALIDAS ELÉCTRICAS</t>
  </si>
  <si>
    <t>Luminaria de 150W sodio 208V con fotocelda y con brazo.</t>
  </si>
  <si>
    <t>Postes de concreto de 10mts. Tipo A.P.</t>
  </si>
  <si>
    <t>Empalmes premoldeado de baja tension 91B1</t>
  </si>
  <si>
    <t>Acometida alumbrado exterior cable 2*6 + 8T AWG THHN</t>
  </si>
  <si>
    <t>Acometida desde empalme caja cs274 a luminaria en poste  cable 2*12 + 12T AWG THHN</t>
  </si>
  <si>
    <t>Lampara fluorescente 2X32W .Incluye lámpara, iterruptor, tubería y cableado.</t>
  </si>
  <si>
    <t>Lampara tipo aplique incandescente 100 w.Incluye lámpara, interruptor, tubería y cableado.</t>
  </si>
  <si>
    <t xml:space="preserve">Lampara metal halide 150W tipo Industrial. De sobre poner en muro. Incluye lámpara, tubería y cableado. </t>
  </si>
  <si>
    <t>Toma monofasica con polo a tierra. Incluye tomacorriente, tubería,cableado y accesorios de montaje.</t>
  </si>
  <si>
    <t>Toma bifasica. Incluye tomacorriente, tubería,cableado y accesorios de montaje.</t>
  </si>
  <si>
    <t>Toma trifásica. Incluye tomacorriente, tubería,cableado y accesorios de montaje.</t>
  </si>
  <si>
    <t>DUCTERIA METALICA A LA VISTA EN FLEXICONDUIT DE 1/2"</t>
  </si>
  <si>
    <t>ducteria en tubo metalico conduit de 1/2"</t>
  </si>
  <si>
    <t>JGO</t>
  </si>
  <si>
    <t xml:space="preserve">PUESTA A TIERRA </t>
  </si>
  <si>
    <t>Varillas 5/8"x2,44 mts.</t>
  </si>
  <si>
    <t>Cable 2/0 CU desnudo</t>
  </si>
  <si>
    <t>Soldadura exotermica 115 Grs.</t>
  </si>
  <si>
    <t>Tratamiento quimico de suelo.</t>
  </si>
  <si>
    <t>Pozo de Inspección</t>
  </si>
  <si>
    <t>Barrajes  de toma a tierra</t>
  </si>
  <si>
    <t>SISTEMA DE CONTROL E INSTRUMENTACIÓN</t>
  </si>
  <si>
    <t>Cable de control 3 * 16 blindado, incluye marquillado, terminales, suministro y montaje.</t>
  </si>
  <si>
    <t>Cable de control 8 * 16 encauchetado, incluye marquillado, terminales, suministro y montaje.</t>
  </si>
  <si>
    <t>Cable de fuerza 3*14 encauchetado , incluye  marquillado y terminales</t>
  </si>
  <si>
    <t>Cajas en fundicion de aluminio tipo NEMA-4 de 15x15 Cm.</t>
  </si>
  <si>
    <t>Tubo conduit galv. 3/4" con accesorios de instalacion</t>
  </si>
  <si>
    <t>Flexiconduit de 3/4"</t>
  </si>
  <si>
    <t>Transmisor de nivel tipo sonda Hidrostática</t>
  </si>
  <si>
    <t>Interruptor de nivel tipo pera</t>
  </si>
  <si>
    <t xml:space="preserve">GRUPO ELECTROGENO </t>
  </si>
  <si>
    <t xml:space="preserve">SISTEMA MECÁNICO </t>
  </si>
  <si>
    <t>SISTEMA DE CORRIENTE CONTINUA, INVERSOR – CARGADOR; incluye cargador, rectificador, banco de baterias, yablero de distribución</t>
  </si>
  <si>
    <t xml:space="preserve">Mantenimiento general de Bombas 10" y motores </t>
  </si>
  <si>
    <t>Mantenimiento Cubiertas</t>
  </si>
  <si>
    <t>Cambio y/o reposición de chapas y candados de puertas de acceso</t>
  </si>
  <si>
    <t>Anden en concreto para tránsito y acceso a cuartos</t>
  </si>
  <si>
    <t>Conformación-Nivelación terreno acceso a cuartos y estación</t>
  </si>
  <si>
    <t>Suministro e Instalación ventanas parte alta estación de bombeo tipo persiana</t>
  </si>
  <si>
    <t>Suministro e Instalación canal de Aguas lluvias</t>
  </si>
  <si>
    <t>Mantenimiento y lubricación estructuras metálicas y ptas corredizas</t>
  </si>
  <si>
    <t>POSTES TUBULARES</t>
  </si>
  <si>
    <t>CINTA DE SEÑALIZACIÓN</t>
  </si>
  <si>
    <t>LIMPIADOR PVC 1/4 GL</t>
  </si>
  <si>
    <t xml:space="preserve">Herramienta menor </t>
  </si>
  <si>
    <t>SOLDARURA PCV 1/4 GL</t>
  </si>
  <si>
    <t xml:space="preserve">EQUIPO DE CARGA </t>
  </si>
  <si>
    <t>INSTALACIÓN VÁLVULA DE 10" A 12" BRIDADAS</t>
  </si>
  <si>
    <t>día</t>
  </si>
  <si>
    <t xml:space="preserve">Transporte </t>
  </si>
  <si>
    <t>CINTA PVC V-22</t>
  </si>
  <si>
    <t>ACERO ESTRUCTURAL INCLUYE PINTURA Y ELEMENTOS DE FIJACIÓN</t>
  </si>
  <si>
    <t xml:space="preserve">Sub contratista </t>
  </si>
  <si>
    <t>TEJA DE FIBRO CEMENTO Nº 6</t>
  </si>
  <si>
    <t xml:space="preserve">AMARRE PARA TEJA </t>
  </si>
  <si>
    <t>GANCHO PARA TEJA ONDULADA ETERNIT</t>
  </si>
  <si>
    <t>CORREAS METALICAS</t>
  </si>
  <si>
    <t xml:space="preserve">PUNTO ELÉCTRICO </t>
  </si>
  <si>
    <t xml:space="preserve">PUNTO HIDRÁULICO </t>
  </si>
  <si>
    <t xml:space="preserve">Tapa metalica en lámina de alfajor de 6mm con dos láminas de 0,60 x 1,0 m incluye marco en L metálico 2" x3/16" , bisagras metálicas y agarraderas </t>
  </si>
  <si>
    <t>BISAGRA DE 3"</t>
  </si>
  <si>
    <t>VIDRIO DE 4 MM</t>
  </si>
  <si>
    <t>TABLETA TIPO GRES DE 0,20X</t>
  </si>
  <si>
    <t>MORTERO RESIST. 17,5 MPA (175 KG/CM2)</t>
  </si>
  <si>
    <t>LAMINA DE ALFAJOR 3/16" (1M X 3 M)</t>
  </si>
  <si>
    <t>ÁNGULO DE 2" X 3/16"</t>
  </si>
  <si>
    <t>PUERTA EN LÁMINA COLROLL CAL 18 DE 0,90 M</t>
  </si>
  <si>
    <t>SUM E INSR. VENTANERÍA EN LÁMINA</t>
  </si>
  <si>
    <t xml:space="preserve">Ornamentador </t>
  </si>
  <si>
    <t>Suministro e instalación de bomba centrifuga de Q= 6 GPM, H=40 psi</t>
  </si>
  <si>
    <t xml:space="preserve">Transporte sitio de la obra </t>
  </si>
  <si>
    <t>BOMBA CENTRIFUGA Q= 6GPM, H= 40 PSI</t>
  </si>
  <si>
    <t xml:space="preserve">Sistema de dosificación de cloro gaseoso marca HYDRO, modelo 502 o similar, con capacidad 0-100 lb/día. </t>
  </si>
  <si>
    <t>SISTEMA DE DOSIFICACIÓN DE CLORO GASEOSO MARCA HYDRO, MODELO 502 O SIMILAR, CON CAPACIDAD 0-100 LB/DÍA A KG/D</t>
  </si>
  <si>
    <t xml:space="preserve">Técnico especializado </t>
  </si>
  <si>
    <t>VARILLA DE 1/2"</t>
  </si>
  <si>
    <t xml:space="preserve">Manifold hidráulico para línea de alimentación de agua a Eyector del sistema de cloración. </t>
  </si>
  <si>
    <t xml:space="preserve">Distribuidor múltiple de dos (2) válvulas para anclar a pared, alimentar un clorador y recibir cloro de dos (2) cilindros de un tonelada. </t>
  </si>
  <si>
    <t xml:space="preserve">Container en acero sin costura para almacenar y transportar cloro gaseoso, con capcaidad hasta 2200 lbs (1000 kg), incluye: tubos eductores, válvulas, capuchón protector, marcados con el nombre del propietario, construido bajo normas amerericanas DOF -500X, vación y puesto en obra </t>
  </si>
  <si>
    <t xml:space="preserve">Llenado con cloro gaseoso en contenedores de 1000 kg. Puesto en obra </t>
  </si>
  <si>
    <t>Báscula para pesar un (1) contenedor de cloro de tonelada, marca SCALETRON, modelo 3001 o similar, con capacidad hasta 2000 Kg, diseñada para el manejo de contenedores de cloro de 1000 kg.</t>
  </si>
  <si>
    <t xml:space="preserve">Trunions con rodillos en polietileno sobre ejes en acero inoxidable para fácil movimiento de los contenedores </t>
  </si>
  <si>
    <t xml:space="preserve">Autoválvula digital con capacidad de 0-100 Lb/día, para automatización de cloro gaseoso por medio de señales provenientes de una analizador de cloro residual en línia y/o medidor de caudal en línea. </t>
  </si>
  <si>
    <t>Analizador de cloro residual en línea</t>
  </si>
  <si>
    <t>Detector de gas cloro digital, marca HYDRO modelo GA-1800-1 o similar, icnluye tableros de control, señalización, baliza luminosa y sirena de señal auditiva.</t>
  </si>
  <si>
    <t xml:space="preserve">Máscaras de protección facial modelo advantage 3000 o similar contra gases ácidos y vapores orgánicos, con cuerpo de neopreno blando antialégico. Incluye un (1) filtro de cloro. </t>
  </si>
  <si>
    <t xml:space="preserve">Equipo de aire autocontenido marca MSA modelo AIR-HAWK o similar de 2216 psi y una duración de carga de 30 minutos. </t>
  </si>
  <si>
    <t>Vestido para menejo de cloro gasoso, fabricado en PVC tipo encapsulado para utilizar con equipo de aire autocontenido (No incluido).</t>
  </si>
  <si>
    <t>Kit de emergencia para contenedores de cloro 1000 kg. Incluye dispositivos y herramientas para controlar y contener fugas.</t>
  </si>
  <si>
    <t xml:space="preserve">Kit de emergencia </t>
  </si>
  <si>
    <t xml:space="preserve">MANIFOLD HIDRÁULICO PARA LÍNEA DE ALIMENTACIÓN DE AGUA A EYECTOR DEL SISTEMA DE CLORACIÓN </t>
  </si>
  <si>
    <t>DISTRIBUIDOR MÚLTIPLE DE DOS (2) VÁLVULAS PARA ANCLAR A PARED, ALIMENTAR UN CLORADOR Y RECIBIR CLORO DE DOS (2) CILINDROS DE UNA TONELADA.</t>
  </si>
  <si>
    <t>CONTAINER DE 2200 LBS (1000 KG)</t>
  </si>
  <si>
    <t xml:space="preserve">LLENADO CLORO GASEOSO </t>
  </si>
  <si>
    <t>BÁSCULA PARA PESAR UN (1) CONTENEDOR DE CLORO DE TONELADA, MARCA SCALETRON, MODELO 3001 O SIMILAR, CON CAPACIDAD HASTA 2000 KG, DISEÑADA PARA EL MANEJO DE CONTENEDORES DE CLORO DE 1000KG</t>
  </si>
  <si>
    <t>TRUNIONS</t>
  </si>
  <si>
    <t xml:space="preserve">SISTEMA MANUAL PARA MOVILIZAR CILINDROS DE UNA (1) TONELADA, CON VIGA MONORRIEL </t>
  </si>
  <si>
    <t xml:space="preserve">AUTOVÁLVULA </t>
  </si>
  <si>
    <t>ANALIZADOR DE CLORO EN LÍNEA</t>
  </si>
  <si>
    <t xml:space="preserve">DETECTOR DE GAS CLORO DIGITAL </t>
  </si>
  <si>
    <t xml:space="preserve">MASCARA </t>
  </si>
  <si>
    <t xml:space="preserve">EQUIPO DE AIRE AUTOCONTENIDO </t>
  </si>
  <si>
    <t xml:space="preserve">VESTIDO PARA MANEJO DE CLORO </t>
  </si>
  <si>
    <t xml:space="preserve">KIT DE EMERGENCIA </t>
  </si>
  <si>
    <t>CINTAS PLÁSTICAS REFLECTIVAS. INCLUYE POSTES TUBULARES</t>
  </si>
  <si>
    <t>CONCRETO SIMPLE RESIST 17,5 MPA (175 KG/CM2)</t>
  </si>
  <si>
    <t>CONCRETO ESTRUCTURAL RESIST. 21,0 MPA (210 KG/CM2) PLACA FONDO INCLUYE FORMALETA)</t>
  </si>
  <si>
    <t xml:space="preserve">CONCRETO ESTRUCTURAL RESIST. 21,0 MPA (210 KG/CM2) COLUMNAS Y ZAPATAS. INCLUYE FORMALETA </t>
  </si>
  <si>
    <t>CONCRETO ESTRUCTURAL RESIST. 24,5 MPA (245 KG/CM2) MUROS Y VIGAS. INCLUYE FORMALETA</t>
  </si>
  <si>
    <t xml:space="preserve">PISO EN TABLETA DE GRES DE 0,20 X 0,20 M </t>
  </si>
  <si>
    <t>TUBERIA ACERROJADA O ACERO AL CARBON DN300 PN 55</t>
  </si>
  <si>
    <t>TEE HD 300mm X 100mm PN 55</t>
  </si>
  <si>
    <t>Tanque Cloración</t>
  </si>
  <si>
    <t>Caseta Cloración</t>
  </si>
  <si>
    <t>C-1</t>
  </si>
  <si>
    <t>C-2</t>
  </si>
  <si>
    <t>C-3</t>
  </si>
  <si>
    <t>C-P1</t>
  </si>
  <si>
    <t>C-P2</t>
  </si>
  <si>
    <t>Conduccion Caja Derivacion - Tanque Casablanca</t>
  </si>
  <si>
    <t xml:space="preserve">ACUEDUCTO REGIONAL LA MESA ANAPOIMA </t>
  </si>
  <si>
    <t>Instalacion de accesorios caja de control</t>
  </si>
  <si>
    <t>AUTOMATIZACIÓN Y CONTROL</t>
  </si>
  <si>
    <t>Subtotal Automatizacion y Control</t>
  </si>
  <si>
    <t>Circuito urbano 34,5 kV retención con derivación larga en cable triplex longitud mayor de 100 m según LA 118</t>
  </si>
  <si>
    <t>Caja de control</t>
  </si>
  <si>
    <t xml:space="preserve">SUMINISTRO </t>
  </si>
  <si>
    <t>CINETICAS</t>
  </si>
  <si>
    <t>PURGA</t>
  </si>
  <si>
    <t>PURGA DISIPADORA</t>
  </si>
  <si>
    <t>FILTRO</t>
  </si>
  <si>
    <t>TOTAL</t>
  </si>
  <si>
    <t>VÁLVULA DE ADMISION Y RETENCION DE AIRE 100 MM PN 10</t>
  </si>
  <si>
    <t>VÁLVULA DE ADMISION Y RETENCION DE AIRE 100 MM PN 16</t>
  </si>
  <si>
    <t>VÁLVULA DE ADMISION Y RETENCION DE AIRE 100 MM PN 25</t>
  </si>
  <si>
    <t>VÁLVULA DE ADMISION Y RETENCION DE AIRE 100 MM PN 40</t>
  </si>
  <si>
    <t>VÁLVULA DE ADMISION Y RETENCION DE AIRE 100 MM PN 60</t>
  </si>
  <si>
    <t>VALVULA DE COMPUERTA BxB  100 MM PN 10</t>
  </si>
  <si>
    <t>VALVULA DE COMPUERTA BxB  100 MM PN 16</t>
  </si>
  <si>
    <t>VALVULA DE MARIPOSA BxB  100 MM PN 25</t>
  </si>
  <si>
    <t>VALVULA DE MARIPOSA BxB  100 MM PN 40</t>
  </si>
  <si>
    <t>VALVULA DE BOLA BxB  100 MM PN 60</t>
  </si>
  <si>
    <t>NIPLE PASAMURO CON ANILLO DE ANCLAJE HD BXB 100MM PN 10</t>
  </si>
  <si>
    <t>NIPLE PASAMURO CON ANILLO DE ANCLAJE HD BXB 100MM PN 16</t>
  </si>
  <si>
    <t>NIPLE PASAMURO CON ANILLO DE ANCLAJE HD BxB 100MM PN 25</t>
  </si>
  <si>
    <t>NIPLE PASAMURO CON ANILLO DE ANCLAJE HD BxB 100MM PN 40</t>
  </si>
  <si>
    <t>NIPLE PASAMURO CON ANILLO DE ANCLAJE HD BXB 100MM PN 60</t>
  </si>
  <si>
    <t>NIPLE PASAMURO CON ANILLO DE ANCLAJE HD BXL 100MM PN 10</t>
  </si>
  <si>
    <t>NIPLE PASAMURO CON ANILLO DE ANCLAJE HD BXL 100MM PN 16</t>
  </si>
  <si>
    <t>NIPLE PASAMURO CON ANILLO DE ANCLAJE HD BXL 100MM PN 25</t>
  </si>
  <si>
    <t>NIPLE PASAMURO CON ANILLO DE ANCLAJE HD BXL 100MM PN 40</t>
  </si>
  <si>
    <t>NIPLE PASAMURO CON ANILLO DE ANCLAJE HD BXL 100MM PN 60</t>
  </si>
  <si>
    <t>FILTRO HD BXB 100MM PN 16</t>
  </si>
  <si>
    <t>FILTRO HD BxB 100MM PN 25</t>
  </si>
  <si>
    <t>FILTRO HD BxB 100MM PN 40</t>
  </si>
  <si>
    <t>FILTRO HD BXB 100MM PN 60</t>
  </si>
  <si>
    <t>TEE HD CxCxB 250x250x100 PN 10</t>
  </si>
  <si>
    <t>TEE HD CxCxB 350x350x100 PN 10</t>
  </si>
  <si>
    <t>TEE HD CxCxB 400x400x100 PN 10</t>
  </si>
  <si>
    <t>TEE HD CxCxB 250x250x100 PN 16</t>
  </si>
  <si>
    <t>TEE HD CxCxB 350x350x100 PN 16</t>
  </si>
  <si>
    <t>TEE HD CxCxB 400x400x100 PN 16</t>
  </si>
  <si>
    <t>TEE HD CxCxB 250x250x100 PN 25</t>
  </si>
  <si>
    <t>TEE HD CxCxB 350x350x100 PN 25</t>
  </si>
  <si>
    <t>TEE HD CxCxB 400x400x100 PN 25</t>
  </si>
  <si>
    <t>TEE HD CxCxB 250x250x100 PN 40</t>
  </si>
  <si>
    <t>TEE HD CxCxB 350x350x100 PN 40</t>
  </si>
  <si>
    <t>TEE HD CxCxB 400x400x100 PN 40</t>
  </si>
  <si>
    <t>TEE HD PARA TUBERIA ACERROJADA 300x300x100 PN 60</t>
  </si>
  <si>
    <t>NIPLE HD 250 MM LXL L ENTRE 0 Y 1 M PN 10</t>
  </si>
  <si>
    <t>NIPLE HD 350 MM LXL L ENTRE 0 Y 1 M PN 10</t>
  </si>
  <si>
    <t>NIPLE HD 400 MM LXL L ENTRE 0 Y 1 M PN 10</t>
  </si>
  <si>
    <t>NIPLE HD 250 MM LXL L ENTRE 0 Y 1 M PN 16</t>
  </si>
  <si>
    <t>NIPLE HD 350 MM LXL L ENTRE 0 Y 1 M PN 16</t>
  </si>
  <si>
    <t>NIPLE HD 400 MM LXL L ENTRE 0 Y 1 M PN 16</t>
  </si>
  <si>
    <t>NIPLE HD 350 MM LXL L ENTRE 0 Y 1 M PN 25</t>
  </si>
  <si>
    <t>NIPLE HD 400 MM LXL L ENTRE 0 Y 1 M PN 25</t>
  </si>
  <si>
    <t>NIPLE HD 350 MM LXL L ENTRE 0 Y 1 M PN 40</t>
  </si>
  <si>
    <t>NIPLE HD 400 MM LXL L ENTRE 0 Y 1 M PN 40</t>
  </si>
  <si>
    <t>UNION DESLIZANTE TIPO MANGUITO EXPRESS O SIMILAR HD BXB 250MM PN 10</t>
  </si>
  <si>
    <t>UNION DESLIZANTE TIPO MANGUITO EXPRESS O SIMILAR HD BXB 350MM PN 10</t>
  </si>
  <si>
    <t>UNION DESLIZANTE TIPO MANGUITO EXPRESS O SIMILAR HD BXB 400MM PN 10</t>
  </si>
  <si>
    <t>UNION DESLIZANTE TIPO MANGUITO EXPRESS O SIMILAR HD BXB 250MM PN 16</t>
  </si>
  <si>
    <t>UNION DESLIZANTE TIPO MANGUITO EXPRESS O SIMILAR HD BXB 350MM PN 16</t>
  </si>
  <si>
    <t>UNION DESLIZANTE TIPO MANGUITO EXPRESS O SIMILAR HD BXB 400MM PN 16</t>
  </si>
  <si>
    <t>UNION DESLIZANTE TIPO MANGUITO EXPRESS O SIMILAR HD BXB 350MM PN 25</t>
  </si>
  <si>
    <t>UNION DESLIZANTE TIPO MANGUITO EXPRESS O SIMILAR HD BXB 400MM PN 25</t>
  </si>
  <si>
    <t>UNION DESLIZANTE TIPO MANGUITO EXPRESS O SIMILAR HD BXB 350MM PN 40</t>
  </si>
  <si>
    <t>UNION DESLIZANTE TIPO MANGUITO EXPRESS O SIMILAR HD BXB 400MM PN 40</t>
  </si>
  <si>
    <t>UNION DE DESMONTAJE HD BXB 250MM PN 10</t>
  </si>
  <si>
    <t>UNION DE DESMONTAJE HD BXB 350MM PN 10</t>
  </si>
  <si>
    <t>UNION DE DESMONTAJE HD BXB 400MM PN 10</t>
  </si>
  <si>
    <t>UNION DE DESMONTAJE HD BXB 250MM PN 16</t>
  </si>
  <si>
    <t>UNION DE DESMONTAJE HD BXB 350MM PN 16</t>
  </si>
  <si>
    <t>UNION DE DESMONTAJE HD BXB 400MM PN 16</t>
  </si>
  <si>
    <t>UNION DE DESMONTAJE HD BXB 250MM PN 25</t>
  </si>
  <si>
    <t>UNION DE DESMONTAJE HD BXB 350MM PN 25</t>
  </si>
  <si>
    <t>UNION DE DESMONTAJE HD BXB 400MM PN 25</t>
  </si>
  <si>
    <t>UNION DE DESMONTAJE HD BXB 350MM PN 40</t>
  </si>
  <si>
    <t>UNION DE DESMONTAJE HD BXB 400MM PN 40</t>
  </si>
  <si>
    <t>NIPLE PASAMURO CON ANILLO DE ANCLAJE HD BXB 250MM PN 10</t>
  </si>
  <si>
    <t>NIPLE PASAMURO CON ANILLO DE ANCLAJE HD BXB 350MM PN 10</t>
  </si>
  <si>
    <t>NIPLE PASAMURO CON ANILLO DE ANCLAJE HD BXB 400MM PN 10</t>
  </si>
  <si>
    <t>NIPLE PASAMURO CON ANILLO DE ANCLAJE HD BXB 250MM PN 16</t>
  </si>
  <si>
    <t>NIPLE PASAMURO CON ANILLO DE ANCLAJE HD BXB 350MM PN 16</t>
  </si>
  <si>
    <t>NIPLE PASAMURO CON ANILLO DE ANCLAJE HD BXB 400MM PN 16</t>
  </si>
  <si>
    <t>NIPLE PASAMURO CON ANILLO DE ANCLAJE HD BXB 250MM PN 25</t>
  </si>
  <si>
    <t>NIPLE PASAMURO CON ANILLO DE ANCLAJE HD BXB 350MM PN 25</t>
  </si>
  <si>
    <t>NIPLE PASAMURO CON ANILLO DE ANCLAJE HD BXB 400MM PN 25</t>
  </si>
  <si>
    <t>NIPLE PASAMURO CON ANILLO DE ANCLAJE HD BXB 350MM PN 40</t>
  </si>
  <si>
    <t>NIPLE PASAMURO CON ANILLO DE ANCLAJE HD BXB 400MM PN 40</t>
  </si>
  <si>
    <t>VALVULA CINETICA O SIMILAR (PILOTEADA) BXB 250 MM PN10</t>
  </si>
  <si>
    <t>VALVULA CINETICA O SIMILAR (PILOTEADA) BXB 350 MM PN10</t>
  </si>
  <si>
    <t>VALVULA CINETICA O SIMILAR (PILOTEADA) BXB 400 MM PN10</t>
  </si>
  <si>
    <t>VALVULA CINETICA O SIMILAR (PILOTEADA) BXB 250 MM PN16</t>
  </si>
  <si>
    <t>VALVULA CINETICA O SIMILAR (PILOTEADA) BXB 350 MM PN16</t>
  </si>
  <si>
    <t>VALVULA CINETICA O SIMILAR (PILOTEADA) BXB 400 MM PN16</t>
  </si>
  <si>
    <t>VALVULA CINETICA O SIMILAR (PILOTEADA) BXB 250 MM PN25</t>
  </si>
  <si>
    <t>VALVULA CINETICA O SIMILAR (PILOTEADA) BXB 400 MM PN25</t>
  </si>
  <si>
    <t>VALVULA CINETICA O SIMILAR (PILOTEADA) BXB 350 MM PN40</t>
  </si>
  <si>
    <t>VALVULA CINETICA O SIMILAR (PILOTEADA) BXB 400 MM PN40</t>
  </si>
  <si>
    <t>VALVULA CINETICA O SIMILAR (PILOTEADA) BXB 300 MM PN60</t>
  </si>
  <si>
    <t>CODO 90º HD BXB 100MM PN 10</t>
  </si>
  <si>
    <t>CODO 90º HD BXB 100MM PN 16</t>
  </si>
  <si>
    <t>CODO 90º HD BxB 100MM PN 25</t>
  </si>
  <si>
    <t>CODO 90º HD BxB 100MM PN 40</t>
  </si>
  <si>
    <t>CODO 90º HD BXB 100MM PN 60</t>
  </si>
  <si>
    <t>UNION DE DESMONTAJE  HD BXB 100MM PN 10</t>
  </si>
  <si>
    <t>UNION DE DESMONTAJE  HD BXB 100MM PN 16</t>
  </si>
  <si>
    <t>UNION DE DESMONTAJE  HD BxB 100MM PN 25</t>
  </si>
  <si>
    <t>UNION DE DESMONTAJE  HD BxB 100MM PN 40</t>
  </si>
  <si>
    <t>UNION DE DESMONTAJE  HD BXB 100MM PN 60</t>
  </si>
  <si>
    <t>VALVULA ANITCAVITACION O DE AGUJA BXB 100MM PN 16</t>
  </si>
  <si>
    <t>VALVULA ANITCAVITACION O DE AGUJA BXB 100MM PN 25</t>
  </si>
  <si>
    <t>VALVULA ANITCAVITACION O DE AGUJA BXB 100MM PN 40</t>
  </si>
  <si>
    <t>VALVULA ANITCAVITACION O DE AGUJA BXB 100MM PN 60</t>
  </si>
  <si>
    <t>FILTRO 250MM PN 25</t>
  </si>
  <si>
    <t>FILTRO 350MM PN 25</t>
  </si>
  <si>
    <t>FILTRO 400MM PN 25</t>
  </si>
  <si>
    <t>C-4</t>
  </si>
  <si>
    <t>TEE HD CxCxB 500x500x100 PN 25</t>
  </si>
  <si>
    <t>NIPLE HD 500 MM LXL L ENTRE 0 Y 1 M PN 25</t>
  </si>
  <si>
    <t>UNION DESLIZANTE TIPO MANGUITO EXPRESS O SIMILAR HD BXB 500MM PN 25</t>
  </si>
  <si>
    <t>TEE HD CxCxB 350x350x100 PN 60</t>
  </si>
  <si>
    <t>TEE HD CxCxB 400x400x100 PN 60</t>
  </si>
  <si>
    <t>NIPLE HD 350 MM LXL L ENTRE 0 Y 1 M PN 60</t>
  </si>
  <si>
    <t>UNION DESLIZANTE TIPO MANGUITO EXPRESS O SIMILAR HD BXB 350MM PN 60</t>
  </si>
  <si>
    <t>UNION DE DESMONTAJE HD BXB 350MM PN 60</t>
  </si>
  <si>
    <t>UNION DE DESMONTAJE HD BXB 400MM PN 60</t>
  </si>
  <si>
    <t>VALVULA CINETICA O SIMILAR (PILOTEADA) BXB 350 MM PN60</t>
  </si>
  <si>
    <t>VALVULA CINETICA O SIMILAR (PILOTEADA) BXB 400 MM PN60</t>
  </si>
  <si>
    <t>NIPLE PASAMURO CON ANILLO DE ANCLAJE HD BXB 350MM PN 60</t>
  </si>
  <si>
    <t>NIPLE PASAMURO CON ANILLO DE ANCLAJE HD BXB 400MM PN 60</t>
  </si>
  <si>
    <t>NIPLE PASAMURO CON ANILLO DE ANCLAJE HD BXL 250MM PN 10</t>
  </si>
  <si>
    <t>NIPLE PASAMURO CON ANILLO DE ANCLAJE HD BXL 350MM PN 10</t>
  </si>
  <si>
    <t>NIPLE PASAMURO CON ANILLO DE ANCLAJE HD BXL 400MM PN 10</t>
  </si>
  <si>
    <t>NIPLE PASAMURO CON ANILLO DE ANCLAJE HD BXL 250MM PN 16</t>
  </si>
  <si>
    <t>NIPLE PASAMURO CON ANILLO DE ANCLAJE HD BXL 350MM PN 16</t>
  </si>
  <si>
    <t>NIPLE PASAMURO CON ANILLO DE ANCLAJE HD BXL 400MM PN 16</t>
  </si>
  <si>
    <t>NIPLE PASAMURO CON ANILLO DE ANCLAJE HD BXL 250MM PN 25</t>
  </si>
  <si>
    <t>NIPLE PASAMURO CON ANILLO DE ANCLAJE HD BXL 400MM PN 25</t>
  </si>
  <si>
    <t>NIPLE PASAMURO CON ANILLO DE ANCLAJE HD BXL 350MM PN 40</t>
  </si>
  <si>
    <t>NIPLE PASAMURO CON ANILLO DE ANCLAJE HD BXL 400MM PN 40</t>
  </si>
  <si>
    <t>NIPLE PASAMURO CON ANILLO DE ANCLAJE HD BXL 350MM PN 60</t>
  </si>
  <si>
    <t>NIPLE PASAMURO CON ANILLO DE ANCLAJE HD BXL 400MM PN 60</t>
  </si>
  <si>
    <t>Codo 90º HD 250 MM BB</t>
  </si>
  <si>
    <t>MEDIDOR DE PRESIÓN ABSOLUTA (SCADA EAB)</t>
  </si>
  <si>
    <t>NIPLE HD 100 MM BxB L ENTRE 0 a 1M</t>
  </si>
  <si>
    <t xml:space="preserve">TUBERIA PVC  150MM PERFORADA </t>
  </si>
  <si>
    <t>NIPLE HD 150 MM BxB L ENTRE 0 a 1M</t>
  </si>
  <si>
    <t>INSTALACIÓN ACCESORIOS EN HIERRO DÚCTIL 150MM</t>
  </si>
  <si>
    <t>INSTALACIÓN ACCESORIOS EN HIERRO DUCTIL 100MM</t>
  </si>
  <si>
    <t>INSTALACIÓN ACCESORIOS EN HIERRO DÚCTIL 250MM</t>
  </si>
  <si>
    <t>INSTALACIÓN VÁLVULA DE 2" A 4" BRIDADAS</t>
  </si>
  <si>
    <t>INSTALACIÓN VÁLVULA DE 6" A 8" BRIDADAS</t>
  </si>
  <si>
    <t>INSTALACIÓN VÁLVULA DE 14" A 16" BRIDADAS</t>
  </si>
  <si>
    <t>INSTALACIÓN VÁLVULA ESPECIAL DE 2" A 4" BRIDADAS</t>
  </si>
  <si>
    <t>INSTALACIÓN VÁLVULA ESPECIAL DE 6" A 8" BRIDADAS</t>
  </si>
  <si>
    <t>INSTALACIÓN VÁLVULA ESPECIAL DE 10" A 12" BRIDADAS</t>
  </si>
  <si>
    <t>INSTALACIÓN VÁLVULA DE 18" A 20" BRIDADAS</t>
  </si>
  <si>
    <t>Postes Tubulares</t>
  </si>
  <si>
    <t>Cinta De Señalización</t>
  </si>
  <si>
    <t>Arena Lavada</t>
  </si>
  <si>
    <t>INSTALACIÓN ACCESORIOS EN HIERRO DÚCTIL 300MM</t>
  </si>
  <si>
    <t>INSTALACIÓN ACCESORIOS EN HIERRO DÚCTIL 350MM</t>
  </si>
  <si>
    <t>INSTALACIÓN ACCESORIOS EN HIERRO DÚCTIL 400MM</t>
  </si>
  <si>
    <t>INSTALACIÓN ACCESORIOS EN HIERRO DÚCTIL 500MM</t>
  </si>
  <si>
    <t>INSTALACIÓN ACCESORIOS EN HIERRO DÚCTIL 200MM</t>
  </si>
  <si>
    <t>INSTALACIÓN NIPLES PASAMURO EN  HD D=25 MM A 150 MM L=0 A 1M</t>
  </si>
  <si>
    <t>INSTALACIÓN NIPLES PASAMURO EN  HD D=25 MM A 150 MM L=1 A 2M</t>
  </si>
  <si>
    <t>INSTALACIÓN NIPLES PASAMURO EN  HD D=25 MM A 150 MM L=2 A 3M</t>
  </si>
  <si>
    <t>INSTALACIÓN NIPLES PASAMURO EN  HD D=25 MM A 150 MM L=3 A 4M</t>
  </si>
  <si>
    <t>INSTALACIÓN NIPLES EN  HD D=25 MM A 150 MM L=0 A 1M</t>
  </si>
  <si>
    <t>INSTALACIÓN NIPLES EN  HD D=25 MM A 150 MM L=1 A 2M</t>
  </si>
  <si>
    <t>INSTALACIÓN NIPLES EN  HD D=25 MM A 150 MM L=2 A 3M</t>
  </si>
  <si>
    <t>INSTALACIÓN NIPLES EN  HD D=25 MM A 150 MM L=3 A 4M</t>
  </si>
  <si>
    <t>INSTALACIÓN NIPLES EN HD D=400 MM A 500 MM L=0 A 1M</t>
  </si>
  <si>
    <t>INSTALACIÓN NIPLES EN HD D=400 MM A 500 MM L=1 A 2M</t>
  </si>
  <si>
    <t>INSTALACIÓN NIPLES EN HD D=400 MM A 500 MM L=2 A 3M</t>
  </si>
  <si>
    <t>INSTALACIÓN NIPLES EN HD D=400 MM A 500 MM L=3 A 4M</t>
  </si>
  <si>
    <t>INSTALACIÓN NIPLES PASAMURO EN  HD D=400 MM A 500 MM L=0 A 1M</t>
  </si>
  <si>
    <t>INSTALACIÓN NIPLES PASAMURO EN  HD D=400 MM A 500 MM L=1 A 2M</t>
  </si>
  <si>
    <t>INSTALACIÓN NIPLES PASAMURO EN  HD D=400 MM A 500 MM L=2 A 3M</t>
  </si>
  <si>
    <t>INSTALACIÓN NIPLES PASAMURO EN  HD D=400 MM A 500 MM L=3 A 4M</t>
  </si>
  <si>
    <t xml:space="preserve">INSTALACIÓN TUBERÍA HD UNION ACERROJADA DN 250 </t>
  </si>
  <si>
    <t>INSTALACIÓN TUBERÍA HD UNION ACERROJADA DN 300</t>
  </si>
  <si>
    <t>INSTALACIÓN TUBERÍA HD UNION ACERROJADA DN 350</t>
  </si>
  <si>
    <t>INSTALACIÓN TUBERÍA HD UNION ACERROJADA DN 500</t>
  </si>
  <si>
    <t>INSTALACIÓN TUBERÍA HD UNION ACERROJADA DN 400</t>
  </si>
  <si>
    <t>INSTALACIÓN VÁLVULA ESPECIAL DE 14" A 16" BRIDADAS</t>
  </si>
  <si>
    <t>INSTALACIÓN VÁLVULA ESPECIAL DE 18" A 20" BRIDADAS</t>
  </si>
  <si>
    <t>INSTALACIÓN NIPLES EN HD D=200 MM A 350 MM L=0 A 1M</t>
  </si>
  <si>
    <t>INSTALACIÓN NIPLES EN HD D=200 MM A 350 MM L=1 A 2M</t>
  </si>
  <si>
    <t>INSTALACIÓN NIPLES EN HD D=200 MM A 350 MM L=2 A 3M</t>
  </si>
  <si>
    <t>INSTALACIÓN NIPLES EN HD D=200 MM A 350 MM L=3 A 4M</t>
  </si>
  <si>
    <t>INSTALACIÓN NIPLES PASAMURO EN  HD D=200 MM A 350 MM L=0 A 1M</t>
  </si>
  <si>
    <t>INSTALACIÓN NIPLES PASAMURO EN  HD D=200 MM A 350 MM L=1 A 2M</t>
  </si>
  <si>
    <t>INSTALACIÓN NIPLES PASAMURO EN  HD D=200 MM A 350 MM L=2 A 3M</t>
  </si>
  <si>
    <t>INSTALACIÓN NIPLES PASAMURO EN  HD D=200 MM A 350 MM L=3 A 4M</t>
  </si>
  <si>
    <t>Codo 90º HD 150 MM BB</t>
  </si>
  <si>
    <t>Viaducto Bojaca</t>
  </si>
  <si>
    <t>PLAN DE GESTIÓN SOCIAL</t>
  </si>
  <si>
    <t>Valor total costos directos + indirectos Obra civil</t>
  </si>
  <si>
    <t>Valor total costos directos + indirectos Suministro</t>
  </si>
  <si>
    <t>TOTAL COSTOS DIRECTOS + INDIRECTOS</t>
  </si>
  <si>
    <t>Interventoria Obra civil (8%)</t>
  </si>
  <si>
    <t>TOTAL COSTOS INTERVENTORIA</t>
  </si>
  <si>
    <t>Gestión y Supervisión Empresas Públicas de Cundinamarca S.A. E.S.P. (sólo para recursos del PAP- PDA) (4%)</t>
  </si>
  <si>
    <t>Seguimiento MVCT recursos Tasa Compensada</t>
  </si>
  <si>
    <t>Seguimiento MVCT (solo para recursos audiencias públicas nación)</t>
  </si>
  <si>
    <t>VALOR TOTAL DEL PROYECTO</t>
  </si>
  <si>
    <t>CANTIDADES VENTOSAS</t>
  </si>
  <si>
    <t xml:space="preserve">Recebo </t>
  </si>
  <si>
    <t>Subtotal Ventosas</t>
  </si>
  <si>
    <t>CANTIDADES CINETICA</t>
  </si>
  <si>
    <t>Subtotal Cinetica</t>
  </si>
  <si>
    <t>CANTIDADES DISIPADORA</t>
  </si>
  <si>
    <t>Subtotal Purga D</t>
  </si>
  <si>
    <t>CANTIDADES PURGA</t>
  </si>
  <si>
    <t xml:space="preserve">Subtotal Purga </t>
  </si>
  <si>
    <t>Ecalera de gato</t>
  </si>
  <si>
    <t>CANTIDADES FILTRO</t>
  </si>
  <si>
    <t xml:space="preserve">Subtotal Filtro </t>
  </si>
  <si>
    <t>Caja de entrega</t>
  </si>
  <si>
    <t>Subtotal Viaductos</t>
  </si>
  <si>
    <t>EXCAVACIONES Y RELLENOS</t>
  </si>
  <si>
    <t>2.5.1</t>
  </si>
  <si>
    <t>2.5.2</t>
  </si>
  <si>
    <t>2.5.3</t>
  </si>
  <si>
    <t>3.3.1</t>
  </si>
  <si>
    <t>3.1.2</t>
  </si>
  <si>
    <t>3.1.3</t>
  </si>
  <si>
    <t>3.1.4</t>
  </si>
  <si>
    <t>3.1.5</t>
  </si>
  <si>
    <t>3.1.6</t>
  </si>
  <si>
    <t>3.1.7</t>
  </si>
  <si>
    <t>3.1.8</t>
  </si>
  <si>
    <t>3.1.9</t>
  </si>
  <si>
    <t>4.1.1</t>
  </si>
  <si>
    <t>4.1.2</t>
  </si>
  <si>
    <t>4.2.1</t>
  </si>
  <si>
    <t>4.2.2</t>
  </si>
  <si>
    <t>4.2.3</t>
  </si>
  <si>
    <t>4.2.4</t>
  </si>
  <si>
    <t>4.2.5</t>
  </si>
  <si>
    <t>4.2.6</t>
  </si>
  <si>
    <t>4.2.7</t>
  </si>
  <si>
    <t>4.2.8</t>
  </si>
  <si>
    <t>4.2.9</t>
  </si>
  <si>
    <t>4.2.10</t>
  </si>
  <si>
    <t>4.2.11</t>
  </si>
  <si>
    <t>4.2.12</t>
  </si>
  <si>
    <t>4.2.13</t>
  </si>
  <si>
    <t>4.2.14</t>
  </si>
  <si>
    <t>4.2.15</t>
  </si>
  <si>
    <t>4.2.16</t>
  </si>
  <si>
    <t>4.2.17</t>
  </si>
  <si>
    <t>4.2.18</t>
  </si>
  <si>
    <t>4.2.19</t>
  </si>
  <si>
    <t>4.2.20</t>
  </si>
  <si>
    <t>4.2.21</t>
  </si>
  <si>
    <t>4.2.22</t>
  </si>
  <si>
    <t>4.2.23</t>
  </si>
  <si>
    <t>4.2.24</t>
  </si>
  <si>
    <t>4.2.25</t>
  </si>
  <si>
    <t>4.2.26</t>
  </si>
  <si>
    <t>4.2.27</t>
  </si>
  <si>
    <t>4.2.28</t>
  </si>
  <si>
    <t>4.2.29</t>
  </si>
  <si>
    <t>4.2.30</t>
  </si>
  <si>
    <t>4.2.31</t>
  </si>
  <si>
    <t>4.2.32</t>
  </si>
  <si>
    <t>4.3.1</t>
  </si>
  <si>
    <t>4.3.2</t>
  </si>
  <si>
    <t>4.4.1</t>
  </si>
  <si>
    <t>4.4.2</t>
  </si>
  <si>
    <t>4.4.3</t>
  </si>
  <si>
    <t>4.4.4</t>
  </si>
  <si>
    <t>4.5.4</t>
  </si>
  <si>
    <t>4.5.5</t>
  </si>
  <si>
    <t>4.6.1</t>
  </si>
  <si>
    <t>4.6.2</t>
  </si>
  <si>
    <t>4.6.3</t>
  </si>
  <si>
    <t>4.6.4</t>
  </si>
  <si>
    <t>4.6.5</t>
  </si>
  <si>
    <t>4.6.6</t>
  </si>
  <si>
    <t>4.6.7</t>
  </si>
  <si>
    <t>4.6.8</t>
  </si>
  <si>
    <t>4.6.9</t>
  </si>
  <si>
    <t>4.6.10</t>
  </si>
  <si>
    <t>CAJA DE CONTROL Y CAJA DE DERIVACION</t>
  </si>
  <si>
    <t>SUMINISTRO CAJA DE CONTROL</t>
  </si>
  <si>
    <t>CONDUCCION CAJA DERIVACION - TANQUE CASABLANCA</t>
  </si>
  <si>
    <t>CONDUCCION TANQUE CASABLANCA - PTAP LA MESA</t>
  </si>
  <si>
    <t xml:space="preserve">CONSULTORÍA DE DIAGNOSTICO Y EVALUACION INTEGRAL PARA LA REFORMULACIÓN                                                                                                                                                                                                                                                                                                                                                                             DE LA PUESTA EN MARCHA DEL ACUEDUCTO REGIONAL LA MESA-ANAPOIMA - FASE 5  </t>
  </si>
  <si>
    <t>TANQUE CLORACION</t>
  </si>
  <si>
    <t>CASETA DE CLORACION</t>
  </si>
  <si>
    <t>7.1.7</t>
  </si>
  <si>
    <t>7.1.8</t>
  </si>
  <si>
    <t>7.1.9</t>
  </si>
  <si>
    <t>7.1.10</t>
  </si>
  <si>
    <t xml:space="preserve">Manifold Hidráulico Para Línea De Alimentación De Agua A Eyector Del Sistema De Cloración </t>
  </si>
  <si>
    <t>Distribuidor Múltiple De Dos (2) Válvulas Para Anclar A Pared, Alimentar Un Clorador Y Recibir Cloro De Dos (2) Cilindros De Una Tonelada.</t>
  </si>
  <si>
    <t>Container De 2200 Lbs (1000 Kg)</t>
  </si>
  <si>
    <t xml:space="preserve">Llenado Cloro Gaseoso </t>
  </si>
  <si>
    <t>Báscula Para Pesar Un (1) Contenedor De Cloro De Tonelada, Marca Scaletron, Modelo 3001 O Similar, Con Capacidad Hasta 2000 Kg, Diseñada Para El Manejo De Contenedores De Cloro De 1000Kg</t>
  </si>
  <si>
    <t>Trunions</t>
  </si>
  <si>
    <t xml:space="preserve">Sistema Manual Para Movilizar Cilindros De Una (1) Tonelada, Con Viga Monorriel </t>
  </si>
  <si>
    <t xml:space="preserve">Autoválvula </t>
  </si>
  <si>
    <t>Analizador De Cloro En Línea</t>
  </si>
  <si>
    <t xml:space="preserve">Detector De Gas Cloro Digital </t>
  </si>
  <si>
    <t xml:space="preserve">Mascara </t>
  </si>
  <si>
    <t xml:space="preserve">Equipo De Aire Autocontenido </t>
  </si>
  <si>
    <t xml:space="preserve">Vestido Para Manejo De Cloro </t>
  </si>
  <si>
    <t>7.1.11</t>
  </si>
  <si>
    <t>7.1.12</t>
  </si>
  <si>
    <t>7.1.13</t>
  </si>
  <si>
    <t>7.1.14</t>
  </si>
  <si>
    <t>7.1.15</t>
  </si>
  <si>
    <t>7.1.16</t>
  </si>
  <si>
    <t>7.1.17</t>
  </si>
  <si>
    <t>7.1.18</t>
  </si>
  <si>
    <t>7.1.19</t>
  </si>
  <si>
    <t>7.1.20</t>
  </si>
  <si>
    <t>7.1.21</t>
  </si>
  <si>
    <t>7.1.22</t>
  </si>
  <si>
    <t>7.1.23</t>
  </si>
  <si>
    <t>7.1.24</t>
  </si>
  <si>
    <t>7.1.25</t>
  </si>
  <si>
    <t>7.1.26</t>
  </si>
  <si>
    <t>7.1.27</t>
  </si>
  <si>
    <t>4.4.5</t>
  </si>
  <si>
    <t>Cargue, transporte y descargue</t>
  </si>
  <si>
    <t>RETIRO, LIMPIEZA E INSPECCIÓN DE ELEMENTOS EXISTENTES</t>
  </si>
  <si>
    <t>DESMONTE, LIMPIEZA Y TRANSPORTE DE ELEMENTOS</t>
  </si>
  <si>
    <t>2.5.4</t>
  </si>
  <si>
    <t>2.5.5</t>
  </si>
  <si>
    <t>PRECIO COTIZACIONES</t>
  </si>
  <si>
    <t>METACOL</t>
  </si>
  <si>
    <t>APOLO</t>
  </si>
  <si>
    <t>PAMCOL</t>
  </si>
  <si>
    <t>SAI EAAB</t>
  </si>
  <si>
    <t>S.1</t>
  </si>
  <si>
    <t>S.2</t>
  </si>
  <si>
    <t>S.3</t>
  </si>
  <si>
    <t>S.4</t>
  </si>
  <si>
    <t>S.5</t>
  </si>
  <si>
    <t>S.6</t>
  </si>
  <si>
    <t>S.7</t>
  </si>
  <si>
    <t>S.8</t>
  </si>
  <si>
    <t>S.9</t>
  </si>
  <si>
    <t>S.10</t>
  </si>
  <si>
    <t>S.11</t>
  </si>
  <si>
    <t>S.12</t>
  </si>
  <si>
    <t>S.13</t>
  </si>
  <si>
    <t>S.14</t>
  </si>
  <si>
    <t>S.15</t>
  </si>
  <si>
    <t>S.16</t>
  </si>
  <si>
    <t>S.17</t>
  </si>
  <si>
    <t>S.18</t>
  </si>
  <si>
    <t>S.19</t>
  </si>
  <si>
    <t>S.20</t>
  </si>
  <si>
    <t>S.21</t>
  </si>
  <si>
    <t>S.22</t>
  </si>
  <si>
    <t>S.23</t>
  </si>
  <si>
    <t>S.24</t>
  </si>
  <si>
    <t>S.25</t>
  </si>
  <si>
    <t>S.26</t>
  </si>
  <si>
    <t>S.27</t>
  </si>
  <si>
    <t>S.28</t>
  </si>
  <si>
    <t>S.29</t>
  </si>
  <si>
    <t>S.30</t>
  </si>
  <si>
    <t>S.31</t>
  </si>
  <si>
    <t>S.32</t>
  </si>
  <si>
    <t>S.33</t>
  </si>
  <si>
    <t>S.34</t>
  </si>
  <si>
    <t>S.35</t>
  </si>
  <si>
    <t>S.36</t>
  </si>
  <si>
    <t>S.37</t>
  </si>
  <si>
    <t>S.38</t>
  </si>
  <si>
    <t>S.39</t>
  </si>
  <si>
    <t>S.40</t>
  </si>
  <si>
    <t>S.41</t>
  </si>
  <si>
    <t>S.42</t>
  </si>
  <si>
    <t>S.43</t>
  </si>
  <si>
    <t>S.44</t>
  </si>
  <si>
    <t>S.45</t>
  </si>
  <si>
    <t>S.46</t>
  </si>
  <si>
    <t>S.47</t>
  </si>
  <si>
    <t>S.48</t>
  </si>
  <si>
    <t>S.49</t>
  </si>
  <si>
    <t>S.50</t>
  </si>
  <si>
    <t>S.51</t>
  </si>
  <si>
    <t>S.52</t>
  </si>
  <si>
    <t>S.53</t>
  </si>
  <si>
    <t>S.54</t>
  </si>
  <si>
    <t>S.55</t>
  </si>
  <si>
    <t>S.56</t>
  </si>
  <si>
    <t>S.57</t>
  </si>
  <si>
    <t>S.58</t>
  </si>
  <si>
    <t>S.59</t>
  </si>
  <si>
    <t>S.60</t>
  </si>
  <si>
    <t>S.61</t>
  </si>
  <si>
    <t>S.62</t>
  </si>
  <si>
    <t>S.63</t>
  </si>
  <si>
    <t>S.64</t>
  </si>
  <si>
    <t>S.65</t>
  </si>
  <si>
    <t>S.66</t>
  </si>
  <si>
    <t>S.67</t>
  </si>
  <si>
    <t>S.68</t>
  </si>
  <si>
    <t>S.69</t>
  </si>
  <si>
    <t>S.70</t>
  </si>
  <si>
    <t>S.71</t>
  </si>
  <si>
    <t>S.72</t>
  </si>
  <si>
    <t>S.73</t>
  </si>
  <si>
    <t>S.74</t>
  </si>
  <si>
    <t>S.75</t>
  </si>
  <si>
    <t>S.76</t>
  </si>
  <si>
    <t>S.77</t>
  </si>
  <si>
    <t>S.78</t>
  </si>
  <si>
    <t>S.79</t>
  </si>
  <si>
    <t>S.80</t>
  </si>
  <si>
    <t>S.81</t>
  </si>
  <si>
    <t>S.82</t>
  </si>
  <si>
    <t>S.83</t>
  </si>
  <si>
    <t>S.84</t>
  </si>
  <si>
    <t>S.85</t>
  </si>
  <si>
    <t>S.86</t>
  </si>
  <si>
    <t>S.87</t>
  </si>
  <si>
    <t>S.88</t>
  </si>
  <si>
    <t>S.89</t>
  </si>
  <si>
    <t>S.90</t>
  </si>
  <si>
    <t>S.91</t>
  </si>
  <si>
    <t>S.92</t>
  </si>
  <si>
    <t>S.93</t>
  </si>
  <si>
    <t>S.94</t>
  </si>
  <si>
    <t>S.95</t>
  </si>
  <si>
    <t>S.96</t>
  </si>
  <si>
    <t>S.97</t>
  </si>
  <si>
    <t>S.98</t>
  </si>
  <si>
    <t>S.99</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</si>
  <si>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</si>
  <si>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</si>
  <si>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</si>
  <si>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</si>
  <si>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</si>
  <si>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</si>
  <si>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</si>
  <si>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</si>
  <si>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</si>
  <si>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</si>
  <si>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</si>
  <si>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</si>
  <si>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</si>
  <si>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</si>
  <si>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</si>
  <si>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</si>
  <si>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</si>
  <si>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</si>
  <si>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</si>
  <si>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</si>
  <si>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</si>
  <si>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</si>
  <si>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</si>
  <si>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</si>
  <si>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</si>
  <si>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</si>
  <si>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</si>
  <si>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</si>
  <si>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</si>
  <si>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</si>
  <si>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</si>
  <si>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</si>
  <si>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</si>
  <si>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</si>
  <si>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</si>
  <si>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</si>
  <si>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</si>
  <si>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</si>
  <si>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</si>
  <si>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</si>
  <si>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</si>
  <si>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</si>
  <si>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</si>
  <si>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</si>
  <si>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</si>
  <si>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</si>
  <si>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</si>
  <si>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S.148</t>
  </si>
  <si>
    <t>S.149</t>
  </si>
  <si>
    <t>S.150</t>
  </si>
  <si>
    <t>S.151</t>
  </si>
  <si>
    <t>S.152</t>
  </si>
  <si>
    <t>S.153</t>
  </si>
  <si>
    <t>S.154</t>
  </si>
  <si>
    <t>S.155</t>
  </si>
  <si>
    <t>S.156</t>
  </si>
  <si>
    <t>S.157</t>
  </si>
  <si>
    <t>S.158</t>
  </si>
  <si>
    <t>S.159</t>
  </si>
  <si>
    <t>S.160</t>
  </si>
  <si>
    <t>S.161</t>
  </si>
  <si>
    <t>S.162</t>
  </si>
  <si>
    <t>S.163</t>
  </si>
  <si>
    <t>S.164</t>
  </si>
  <si>
    <t>S.165</t>
  </si>
  <si>
    <t>S.166</t>
  </si>
  <si>
    <t>S.167</t>
  </si>
  <si>
    <t>S.168</t>
  </si>
  <si>
    <t>S.169</t>
  </si>
  <si>
    <t>S.170</t>
  </si>
  <si>
    <t>S.171</t>
  </si>
  <si>
    <t>S.172</t>
  </si>
  <si>
    <t>S.173</t>
  </si>
  <si>
    <t>S.174</t>
  </si>
  <si>
    <t>S.175</t>
  </si>
  <si>
    <t>S.176</t>
  </si>
  <si>
    <t>S.177</t>
  </si>
  <si>
    <t>S.178</t>
  </si>
  <si>
    <t>S.179</t>
  </si>
  <si>
    <t>S.180</t>
  </si>
  <si>
    <t>S.181</t>
  </si>
  <si>
    <t>S.182</t>
  </si>
  <si>
    <t>S.183</t>
  </si>
  <si>
    <t>S.184</t>
  </si>
  <si>
    <t>S.185</t>
  </si>
  <si>
    <t>S.186</t>
  </si>
  <si>
    <t>S.187</t>
  </si>
  <si>
    <t>S.188</t>
  </si>
  <si>
    <t>S.189</t>
  </si>
  <si>
    <t>S.190</t>
  </si>
  <si>
    <t>S.191</t>
  </si>
  <si>
    <t>S.192</t>
  </si>
  <si>
    <t>S.193</t>
  </si>
  <si>
    <t>S.194</t>
  </si>
  <si>
    <t>S.195</t>
  </si>
  <si>
    <t>S.196</t>
  </si>
  <si>
    <t>S.197</t>
  </si>
  <si>
    <t>S.198</t>
  </si>
  <si>
    <t>S.199</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</si>
  <si>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</si>
  <si>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</si>
  <si>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</si>
  <si>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</si>
  <si>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</si>
  <si>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</si>
  <si>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</si>
  <si>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</si>
  <si>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</si>
  <si>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</si>
  <si>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</si>
  <si>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</si>
  <si>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</si>
  <si>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</si>
  <si>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</si>
  <si>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</si>
  <si>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</si>
  <si>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</si>
  <si>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</si>
  <si>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</si>
  <si>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</si>
  <si>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</si>
  <si>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</si>
  <si>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</si>
  <si>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</si>
  <si>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</si>
  <si>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</si>
  <si>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</si>
  <si>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</si>
  <si>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</si>
  <si>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</si>
  <si>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</si>
  <si>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</si>
  <si>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</si>
  <si>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</si>
  <si>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</si>
  <si>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</si>
  <si>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</si>
  <si>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</si>
  <si>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</si>
  <si>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</si>
  <si>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</si>
  <si>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</si>
  <si>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</si>
  <si>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</si>
  <si>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</si>
  <si>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</si>
  <si>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S.248</t>
  </si>
  <si>
    <t>S.249</t>
  </si>
  <si>
    <t>S.250</t>
  </si>
  <si>
    <t>S.251</t>
  </si>
  <si>
    <t>S.252</t>
  </si>
  <si>
    <t>S.253</t>
  </si>
  <si>
    <t>S.254</t>
  </si>
  <si>
    <t>S.255</t>
  </si>
  <si>
    <t>S.256</t>
  </si>
  <si>
    <t>S.262</t>
  </si>
  <si>
    <t>S.263</t>
  </si>
  <si>
    <t>ANEXO 5.6 TABLA DE CANTIDADES  CAJA DE CONTROL</t>
  </si>
  <si>
    <t xml:space="preserve">Excavacion </t>
  </si>
  <si>
    <t>EN TIERRA</t>
  </si>
  <si>
    <t>Cimentacion</t>
  </si>
  <si>
    <t>LOCALIZACION Y REPLANTEO DE ESTRUCTURAS</t>
  </si>
  <si>
    <t>CONCRETO ESTRUCTURAL PLACA DE PISO</t>
  </si>
  <si>
    <t>CONCRETO ESTRUCTURAL MUROS</t>
  </si>
  <si>
    <t>AREA EN PLANTA (m)</t>
  </si>
  <si>
    <t>CONCRETO ESTRUCTURAL PLACA</t>
  </si>
  <si>
    <t>CUANTIA</t>
  </si>
  <si>
    <t>ECALONES</t>
  </si>
  <si>
    <t>ud</t>
  </si>
  <si>
    <t>Retiro,limpieza e inspección tuberíaa retirar y reinstalar</t>
  </si>
  <si>
    <t>NIPLE HD 250 MM BxB L ENTRE 1 a 2M</t>
  </si>
  <si>
    <t>Intterventoria Suministro (4%)</t>
  </si>
  <si>
    <t>FLUJO DE INVERSION</t>
  </si>
  <si>
    <t>ANEXO 5.6 TABLA DE CANTIDADES  TANQUE DE CLORACION</t>
  </si>
  <si>
    <t>CONCRETO POBRE PLACA DE PISO</t>
  </si>
  <si>
    <t>S.257</t>
  </si>
  <si>
    <t>S.258</t>
  </si>
  <si>
    <t>S.259</t>
  </si>
  <si>
    <t>S.260</t>
  </si>
  <si>
    <t>S.261</t>
  </si>
  <si>
    <t>S.264</t>
  </si>
  <si>
    <t>S.265</t>
  </si>
  <si>
    <t>S.266</t>
  </si>
  <si>
    <t>S.267</t>
  </si>
  <si>
    <t>S.268</t>
  </si>
  <si>
    <t>S.269</t>
  </si>
  <si>
    <t>S.270</t>
  </si>
  <si>
    <t>S.271</t>
  </si>
  <si>
    <t>S.272</t>
  </si>
  <si>
    <t>S.273</t>
  </si>
  <si>
    <t>S.274</t>
  </si>
  <si>
    <t>S.275</t>
  </si>
  <si>
    <t>S.276</t>
  </si>
  <si>
    <t>S.277</t>
  </si>
  <si>
    <t>S.278</t>
  </si>
  <si>
    <t>S.279</t>
  </si>
  <si>
    <t>S.280</t>
  </si>
  <si>
    <t>S.281</t>
  </si>
  <si>
    <t xml:space="preserve">OBRA CIVIL ESTACIÓN DE BOMBEO </t>
  </si>
  <si>
    <t>Limpieza Superficie de Concreto con Agua a Chorro</t>
  </si>
  <si>
    <t>Ventaneria Tipo Persiana</t>
  </si>
  <si>
    <t>Masilla Neutra</t>
  </si>
  <si>
    <t>Ud</t>
  </si>
  <si>
    <t>Accesorios para Canal en PVC</t>
  </si>
  <si>
    <t>B-200 RECEBO SELECCIONADO</t>
  </si>
  <si>
    <t xml:space="preserve">Cimbra utilizada como estructura falsa para fundir muros y losa superior. </t>
  </si>
  <si>
    <t>Tapa Para Pozo De Inspección Ø0,60 con Sistema De Seguridad</t>
  </si>
  <si>
    <t>Material No Reciclable Resiste a tracción de 250 - 800 MPA. Resiste a Compresión 3000 - 6000 MPA,</t>
  </si>
  <si>
    <t>INSTALACION SISTEMA AUTOMATIZACIÓN Y CONTROL</t>
  </si>
  <si>
    <t>Retiro,limpieza e inspección tubería HD 250 MM</t>
  </si>
  <si>
    <t>Retiro,limpieza e inspección tubería HD 350 MM</t>
  </si>
  <si>
    <t>Retiro,limpieza e inspección accesorios HD</t>
  </si>
  <si>
    <t>Retiro,limpieza e inspección tubería HD 200 MM</t>
  </si>
  <si>
    <t>Retiro,limpieza e inspección tubería HD 400 MM</t>
  </si>
  <si>
    <t>Peso tuberia(Ton)</t>
  </si>
  <si>
    <t>Peso total cargado (Ton-km)</t>
  </si>
  <si>
    <t>INSTALACIÓN TUBERÍA PVC UNIÓN MECÁNICA D=100 MM (INCLUYE PRUEBA HIDROSTATICA)</t>
  </si>
  <si>
    <t>INSTALACIÓN TUBERÍA PVC UNIÓN MECÁNICA D=150 MM (INCLUYE PRUEBA HIDROSTATICA)</t>
  </si>
  <si>
    <t>IMPERMEABILIZACIÓN ESTRUCTURAS EXISTENTES EN CONCRETO</t>
  </si>
  <si>
    <t>EXCAVACIÓN A MAQUINA A CUALQUIER PROFUNDIDAD EN ROCA</t>
  </si>
  <si>
    <t>CORTES EN TUBERIA HD DE 250 MM</t>
  </si>
  <si>
    <t>CORTES EN TUBERIA HD DE 350 MM</t>
  </si>
  <si>
    <t>CORTES EN TUBERIA HD DE 400 MM</t>
  </si>
  <si>
    <t>CORTES EN TUBERIA HD DE 500 MM</t>
  </si>
  <si>
    <t>Peso Por viajes (TON)</t>
  </si>
  <si>
    <t>Numero de Viajes</t>
  </si>
  <si>
    <t>Volqueta Retiro sobrante a 20km</t>
  </si>
  <si>
    <t>VOLQUETA RETIRO SOBRANTE A 20KM</t>
  </si>
  <si>
    <t>Impermeabilizacion de los tanque Existentes.</t>
  </si>
  <si>
    <t xml:space="preserve">DESCARGUE Y TRANSPORTE </t>
  </si>
  <si>
    <t>Concreto MR 41KG/CM2</t>
  </si>
  <si>
    <t>RODILLO</t>
  </si>
  <si>
    <t>COMPRESOR BARRIDO Y SOPLADO</t>
  </si>
  <si>
    <t>GEORADAR</t>
  </si>
  <si>
    <t>GRUA</t>
  </si>
  <si>
    <t>DIA</t>
  </si>
  <si>
    <t>ACCESORIOS Y CONSUMIBLES RAMMING</t>
  </si>
  <si>
    <t>GL</t>
  </si>
  <si>
    <t>Georadar</t>
  </si>
  <si>
    <t>Excavacion Manual</t>
  </si>
  <si>
    <t>Relleno</t>
  </si>
  <si>
    <t>PLC, MODEMS, ACCESORIOS Y MANTENIMIENTO TABLERO DE CONTROL: Incluye suministro y montaje de un (1) tablero para PLC con accesorios y cableado para manejar señales así: 16 Al, 82 DI y 16 DO, un (1) switch ethernet 4 puertos, un (1) software de programación del PLC, un (1) CPU incluye fuente de alimentación y puntos de comunicaciones, una (1) tarjeta 4 AIN, 4-20 ma, cinco (5) módulo de 16 digitales de entrada DI, 120 v.a.c., un (1) módulo de 16 digitales de salida, 110 v.a.c., 0,5A, un (1) módulo de comunicaciones depuerto ETHERNET, veinte (20) metros de cable electrónico de 4x2x24 Nivel 5 para Ethernet, cuatro (4) protector de transientes allimentación 120 Vac., dos (2) protector de transientes para señales análogas, 4 a 20 mA. No se incluye en señales de reserva, un (1) protector de transitorios secundarios en extremo de comunicaciones RS 232, un (1) computador tipo industrial, incluye monitor, teclado y mouse, una (1) impresora de matriz de punto, un (1) software de supervisión, 500 Tag, incluye licencia.</t>
  </si>
  <si>
    <t>PLANTA DE EMERGENCIA , capacidad 750 kva a nivel madrid, cundinamarca., 2300 V, 3 fases, 60 hz.</t>
  </si>
  <si>
    <t>CONCRETO SOLADO</t>
  </si>
  <si>
    <t xml:space="preserve"> </t>
  </si>
  <si>
    <t>Equipo de Hidrolavado</t>
  </si>
  <si>
    <t>S.282</t>
  </si>
  <si>
    <t>S.283</t>
  </si>
  <si>
    <t>S.284</t>
  </si>
  <si>
    <t>INSTALACIÓN EMPAQUES PARA TUBERIA A REINSTALAR EN HD (INCLUYE SUMINISTRO)</t>
  </si>
  <si>
    <t>Retiro de tubería y accesorios</t>
  </si>
  <si>
    <t xml:space="preserve">Malla Eslabonada galvanizada </t>
  </si>
  <si>
    <t xml:space="preserve">CONCRETO DE 21,5 MPA </t>
  </si>
  <si>
    <t>Poste Intermedio de Tubo de acero H=2m</t>
  </si>
  <si>
    <t>Poste interior de refuerzo de tubo galvanizado h=2m</t>
  </si>
  <si>
    <t>Poste Extremo de tubo de acero galvanizado h=2m</t>
  </si>
  <si>
    <t>Poste en escuadra de tibo de acero galvanizado h=2m</t>
  </si>
  <si>
    <t>BARANDA METALICA M-80</t>
  </si>
  <si>
    <t>BARANDA METALICA</t>
  </si>
  <si>
    <t>Comision de topogafia</t>
  </si>
  <si>
    <t xml:space="preserve">Administracion </t>
  </si>
  <si>
    <t>Que se pague una vez</t>
  </si>
  <si>
    <t>Especificar en el documento</t>
  </si>
  <si>
    <t>Verificar rendimiento</t>
  </si>
  <si>
    <t>Revisar</t>
  </si>
  <si>
    <t xml:space="preserve">EXCAVACIÓN A MAQUINA A CUALQUIER PROFUNDIDAD </t>
  </si>
  <si>
    <t>MARTILLO HIDRAULICO</t>
  </si>
  <si>
    <t>Inspección con CCTV DN 250 (Incluye Limpieza de Tuberia para Inspección)</t>
  </si>
  <si>
    <t>Inspección con CCTV DN 350 (Incluye Limpieza de Tuberia para Inspección)</t>
  </si>
  <si>
    <t>Inspección con CCTV DN 500 (Incluye Limpieza de Tuberia para Inspección)</t>
  </si>
  <si>
    <t>Inspección con CCTV DN 400 (Incluye Limpieza de Tuberia para Inspección)</t>
  </si>
  <si>
    <t>Prueba hidráulica y desinfección tuberia DN200</t>
  </si>
  <si>
    <t>6.1.6</t>
  </si>
  <si>
    <t>6.1.7</t>
  </si>
  <si>
    <t>6.1.8</t>
  </si>
  <si>
    <t>6.1.9</t>
  </si>
  <si>
    <t>6.1.10</t>
  </si>
  <si>
    <t>Prueba hidráulica y desinfección tuberia DN250</t>
  </si>
  <si>
    <t>Prueba hidráulica y desinfección tuberia DN300</t>
  </si>
  <si>
    <t>Prueba hidráulica y desinfección tuberia DN350</t>
  </si>
  <si>
    <t>Prueba hidráulica y desinfección tuberia DN400</t>
  </si>
  <si>
    <t>Prueba hidráulica y desinfección tuberia DN500</t>
  </si>
  <si>
    <t>mg</t>
  </si>
  <si>
    <t xml:space="preserve"> INSTALACIÓN TUBERÍA EN HIERRO DÚCTIL 200MM (8")</t>
  </si>
  <si>
    <t xml:space="preserve"> INSTALACIÓN TUBERÍA EN HIERRO DÚCTIL 250MM (10")</t>
  </si>
  <si>
    <t xml:space="preserve"> INSTALACIÓN TUBERÍA EN HIERRO DÚCTIL 350MM (14")</t>
  </si>
  <si>
    <t xml:space="preserve"> INSTALACIÓN TUBERÍA EN HIERRO DÚCTIL 400MM (16")</t>
  </si>
  <si>
    <t>EQUIPO DE OXICORTE</t>
  </si>
  <si>
    <t>SOLDADURA.</t>
  </si>
  <si>
    <t>Soldadura.</t>
  </si>
  <si>
    <t>ANEXO 5.6 TABLA DE CANTIDADES  CASETA DE CLORACION</t>
  </si>
  <si>
    <t xml:space="preserve">ESTRUCTURAS ESPECIALES - CAMARAS DE QUIEBRE DE PRESION </t>
  </si>
  <si>
    <t>Localizacion y Replanteo</t>
  </si>
  <si>
    <t>LOCALIZACION Y REPLANTEO DE REDES</t>
  </si>
  <si>
    <t>RELLENO EN B-200</t>
  </si>
  <si>
    <t>CONCRETO PARA TAPAS</t>
  </si>
  <si>
    <t>Excavaciones y Rellenos</t>
  </si>
  <si>
    <t>CINTA PVC</t>
  </si>
  <si>
    <t>CRUZ HD BxBXBXB 250x250x150x150</t>
  </si>
  <si>
    <t>REDUCCION 250 x 150 BXB</t>
  </si>
  <si>
    <t>UNION DE DESMONTAJE HD BXB 150MM PN 25</t>
  </si>
  <si>
    <t>VALVULA DE MARIPOSA BxB  150 MM PN 25</t>
  </si>
  <si>
    <t>S.247</t>
  </si>
  <si>
    <t>S.285</t>
  </si>
  <si>
    <t>S.286</t>
  </si>
  <si>
    <t>S.287</t>
  </si>
  <si>
    <t>FILTRO HD BXB 150MM PN 25</t>
  </si>
  <si>
    <t>VALVULA ANITCAVITACION O DE AGUJA BXB 150MM PN  25</t>
  </si>
  <si>
    <t>VALVULA REDUCTORA DE PRESION 150 MM PN25</t>
  </si>
  <si>
    <t>NIPLE HD 150 MM BxB L ENTRE 1 a 2M</t>
  </si>
  <si>
    <t xml:space="preserve">TEE HD BxBxB 350mmX150mm </t>
  </si>
  <si>
    <t>COMPUERTA PLANA 250MM</t>
  </si>
  <si>
    <t>COMPUERTA PLANA 350MM</t>
  </si>
  <si>
    <t>NIPLE PASAMURO CON ANILLO DE ANCLAJE HD BXB 150MM PN 25</t>
  </si>
  <si>
    <t>Escalones de Acceso</t>
  </si>
  <si>
    <t>Subtotal Suministro</t>
  </si>
  <si>
    <t>Camara de Quiebre de Presion</t>
  </si>
  <si>
    <t>S.288</t>
  </si>
  <si>
    <t>S.289</t>
  </si>
  <si>
    <t>S.290</t>
  </si>
  <si>
    <t>S.291</t>
  </si>
  <si>
    <t>S.292</t>
  </si>
  <si>
    <t>S.293</t>
  </si>
  <si>
    <t>Anclajes y Motores</t>
  </si>
  <si>
    <t>(incluye cargue, transporte y descargue)</t>
  </si>
  <si>
    <t>TEE HD BXB 500MM x 500MM (incluye cargue, transporte y descargue)</t>
  </si>
  <si>
    <t>NIPLE HD 500 MM BXB L ENTRE 0 Y 1 M  (incluye cargue, transporte y descargue)</t>
  </si>
  <si>
    <t>VALVULA MARIPOSA HD BxB 500 MM (incluye cargue, transporte y descargue)</t>
  </si>
  <si>
    <t>NIPLE PASAMURO HD BB 500mm L=0 a 1m (incluye cargue, transporte y descargue)</t>
  </si>
  <si>
    <t>SONDA MULTIPARAMETRICA DE CALIDAD DE AGUA (incluye cargue, transporte y descargue)</t>
  </si>
  <si>
    <t>UNION DE DESMONTAJE HD BXB 500MM PN 10 (incluye cargue, transporte y descargue)</t>
  </si>
  <si>
    <t>YEE HD BXB 500x400MMx400MM (incluye cargue, transporte y descargue)</t>
  </si>
  <si>
    <t>Codo 45º HD 400 MM BB (incluye cargue, transporte y descargue)</t>
  </si>
  <si>
    <t>NIPLE PASAMURO CON ANILLO DE ANCLAJE HD BXB 400MM PN 10 (incluye cargue, transporte y descargue)</t>
  </si>
  <si>
    <t>VALVULA MARIPOSA HD BxB 400 MM (incluye cargue, transporte y descargue)</t>
  </si>
  <si>
    <t>UNION DE DESMONTAJE HD BXB 400MM PN 10 (incluye cargue, transporte y descargue)</t>
  </si>
  <si>
    <t>NIPLE HD 400 MM BXB L ENTRE 0 Y 1 M PN 10 (incluye cargue, transporte y descargue)</t>
  </si>
  <si>
    <t>FILTRO 400MM PN 10 (incluye cargue, transporte y descargue)</t>
  </si>
  <si>
    <t>NIPLE HD 400 MM BXB L ENTRE 1 Y 2 M PN 10 (incluye cargue, transporte y descargue)</t>
  </si>
  <si>
    <t>NIPLE HD 400 MM BXB L ENTRE 3 Y 4 M PN 10 (incluye cargue, transporte y descargue)</t>
  </si>
  <si>
    <t>VALVULA DE CONTROL DE PRESION Y CAUDAL 400 MM (incluye cargue, transporte y descargue)</t>
  </si>
  <si>
    <t>MEDIDOR DIFERENCIAL DE PRESION (incluye cargue, transporte y descargue)</t>
  </si>
  <si>
    <t>MEDIDOR DE PRESIÓN ABSOLUTA (SCADA EAB) (incluye cargue, transporte y descargue)</t>
  </si>
  <si>
    <t>Codo 45º HD 350 MM BB (incluye cargue, transporte y descargue)</t>
  </si>
  <si>
    <t>NIPLE HD 100 MM BxB L ENTRE 0 a 1M (incluye cargue, transporte y descargue)</t>
  </si>
  <si>
    <t>NIPLE HD 100 MM BxB L ENTRE 1 a 2M (incluye cargue, transporte y descargue)</t>
  </si>
  <si>
    <t>Tapon bridado 150mm (incluye cargue, transporte y descargue)</t>
  </si>
  <si>
    <t>NIPLE HD 150 MM BxB L ENTRE 0 a 1M (incluye cargue, transporte y descargue)</t>
  </si>
  <si>
    <t>NIPLE PASAMURO CON ANILLO DE ANCLAJE HD BXB 150MM PN 10 (incluye cargue, transporte y descargue)</t>
  </si>
  <si>
    <t>NIPLE HD 250 MM LXL L ENTRE 0 Y 1 M PN 10 (incluye cargue, transporte y descargue)</t>
  </si>
  <si>
    <t>NIPLE PASAMURO HD BB 250mm L=0 a 1m (incluye cargue, transporte y descargue)</t>
  </si>
  <si>
    <t>Niple HD BxB con salida para sonda de calidad de agua Φ=350x100mm (incluye cargue, transporte y descargue)</t>
  </si>
  <si>
    <t>Tapon bridado 200mm (incluye cargue, transporte y descargue)</t>
  </si>
  <si>
    <t>TEE HD BXBXB 100mmX100mm (incluye cargue, transporte y descargue)</t>
  </si>
  <si>
    <t>TEE HD BxBxB 250mmX150mm  (incluye cargue, transporte y descargue)</t>
  </si>
  <si>
    <t>TEE HD BxBxB 350mmX100mm  (incluye cargue, transporte y descargue)</t>
  </si>
  <si>
    <t>TEE HD BxBxB 350mmX250mm  (incluye cargue, transporte y descargue)</t>
  </si>
  <si>
    <t>Tapon bridado 250mm (incluye cargue, transporte y descargue)</t>
  </si>
  <si>
    <t>TEE HD BxBxB 400mmX250mm  (incluye cargue, transporte y descargue)</t>
  </si>
  <si>
    <t>UNION DE DESMONTAJE  HD BXB 100MM PN 10 (incluye cargue, transporte y descargue)</t>
  </si>
  <si>
    <t>UNION DESLIZANTE TIPO MANGUITO EXPRESS O SIMILAR HD BXB 100MM PN 10 (incluye cargue, transporte y descargue)</t>
  </si>
  <si>
    <t>UNION DE DESMONTAJE HD BXB 150MM PN 10 (incluye cargue, transporte y descargue)</t>
  </si>
  <si>
    <t>UNION DE DESMONTAJE HD BXB 250MM PN 10 (incluye cargue, transporte y descargue)</t>
  </si>
  <si>
    <t>CODO 90º HD BXB 100MM PN 10 (incluye cargue, transporte y descargue)</t>
  </si>
  <si>
    <t>VALVULA DE COMPUERTA BxB  100 MM PN 10 (incluye cargue, transporte y descargue)</t>
  </si>
  <si>
    <t>VALVULA ANITCAVITACION O DE AGUJA BXB 150MM PN 10 (incluye cargue, transporte y descargue)</t>
  </si>
  <si>
    <t>VALVULA DE MARIPOSA BxB  150 MM PN 10 (incluye cargue, transporte y descargue)</t>
  </si>
  <si>
    <t>CODO 90º HD BXB 150MM PN 10 (incluye cargue, transporte y descargue)</t>
  </si>
  <si>
    <t>VALVULA DE COMPUERTA BxB  250 MM PN 10 (incluye cargue, transporte y descargue)</t>
  </si>
  <si>
    <t>FILTRO HD BXB 150MM PN 10 (incluye cargue, transporte y descargue)</t>
  </si>
  <si>
    <t>MACROMEDIDOR ELECTROMAGNETICO 150MM  (incluye cargue, transporte y descargue)</t>
  </si>
  <si>
    <t>REDUCCION AMPLIACION HD BXB 250MM X 350MM (incluye cargue, transporte y descargue)</t>
  </si>
  <si>
    <t>REDUCCION AMPLIACION HD BXB 400MM X 250MM (incluye cargue, transporte y descargue)</t>
  </si>
  <si>
    <t>TUBERIA PVC  100MM (incluye cargue, transporte y descargue)</t>
  </si>
  <si>
    <t>TUBERIA PVC  150MM PERFORADA  (incluye cargue, transporte y descargue)</t>
  </si>
  <si>
    <t>Codo 90º HD 250 MM BB (incluye cargue, transporte y descargue)</t>
  </si>
  <si>
    <t>NIPLE PASAMURO HD BB 100mm L=0 a 1m (incluye cargue, transporte y descargue)</t>
  </si>
  <si>
    <t>NIPLE PASAMURO HD BB 150mm L=0 a 1m (incluye cargue, transporte y descargue)</t>
  </si>
  <si>
    <t>NIPLE HD 400 MM LXL L ENTRE 0 Y 1 M PN 10 (incluye cargue, transporte y descargue)</t>
  </si>
  <si>
    <t>Tuberia HD 250 MM PN 10 BxB (incluye cargue, transporte y descargue)</t>
  </si>
  <si>
    <t>Codo 90º HD 400 MM BB (incluye cargue, transporte y descargue)</t>
  </si>
  <si>
    <t>Codo 90º HD 150 MM BB (incluye cargue, transporte y descargue)</t>
  </si>
  <si>
    <t>Cruz HD 16" x 6" (400 mm x 150 mm) EB (incluye cargue, transporte y descargue)</t>
  </si>
  <si>
    <t>Reducción HD 16" x 6" (400 mm x 150 mm) EB (incluye cargue, transporte y descargue)</t>
  </si>
  <si>
    <t>VALVULA DE MARIPOSA BxB  150 MM PN 16 (incluye cargue, transporte y descargue)</t>
  </si>
  <si>
    <t>UNION DE DESMONTAJE HD BXB 150MM PN 16 (incluye cargue, transporte y descargue)</t>
  </si>
  <si>
    <t>FILTRO HD BXB 150MM PN 16 (incluye cargue, transporte y descargue)</t>
  </si>
  <si>
    <t>VALVULA ANITCAVITACION O DE AGUJA BXB 150MM PN 16 (incluye cargue, transporte y descargue)</t>
  </si>
  <si>
    <t>Codo 11.25º-22.5º HD 250 MM EL (incluye cargue, transporte y descargue)</t>
  </si>
  <si>
    <t>Codo 45º HD 250 MM EL (incluye cargue, transporte y descargue)</t>
  </si>
  <si>
    <t>Codo 90º HD 250 MM EL (incluye cargue, transporte y descargue)</t>
  </si>
  <si>
    <t>Codo 11.25º-22.5º HD 350 MM EL (incluye cargue, transporte y descargue)</t>
  </si>
  <si>
    <t>Codo 45º HD 350 MM EL (incluye cargue, transporte y descargue)</t>
  </si>
  <si>
    <t>Codo 90º HD 350 MM EL (incluye cargue, transporte y descargue)</t>
  </si>
  <si>
    <t>Codo 11.25º-22.5º HD 400 MM EL (incluye cargue, transporte y descargue)</t>
  </si>
  <si>
    <t>Codo 45º HD 400 MM EL (incluye cargue, transporte y descargue)</t>
  </si>
  <si>
    <t>Codo 90º HD 400 MM EL (incluye cargue, transporte y descargue)</t>
  </si>
  <si>
    <t>REDUCCION  AMPLIACION HD EL 350MM X 250MM  (incluye cargue, transporte y descargue)</t>
  </si>
  <si>
    <t>Tapon bridado 100mm (incluye cargue, transporte y descargue)</t>
  </si>
  <si>
    <t>UNION UNIVERSAL (30 mm) 250 MM  HD (incluye cargue, transporte y descargue)</t>
  </si>
  <si>
    <t>UNION UNIVERSAL (30 mm) 350 MM  HD (incluye cargue, transporte y descargue)</t>
  </si>
  <si>
    <t>UNION UNIVERSAL (30 mm) 400 MM  HD (incluye cargue, transporte y descargue)</t>
  </si>
  <si>
    <t>TEE HD PARA TUBERIA ACERROJADA 300x300x100 PN 60 (incluye cargue, transporte y descargue)</t>
  </si>
  <si>
    <t>Codo 11.25º HD MM ACERROJADO (incluye cargue, transporte y descargue)</t>
  </si>
  <si>
    <t>Codo 22.55º HD MM ACERROJADO (incluye cargue, transporte y descargue)</t>
  </si>
  <si>
    <t>Codo 45º HD MM ACERROJADO (incluye cargue, transporte y descargue)</t>
  </si>
  <si>
    <t>Codo 90º HD MM ACERROJADO (incluye cargue, transporte y descargue)</t>
  </si>
  <si>
    <t>VÁLVULA DE ADMISION Y RETENCION DE AIRE 100 MM PN 10 (incluye cargue, transporte y descargue)</t>
  </si>
  <si>
    <t>VÁLVULA DE ADMISION Y RETENCION DE AIRE 100 MM PN 16 (incluye cargue, transporte y descargue)</t>
  </si>
  <si>
    <t>VÁLVULA DE ADMISION Y RETENCION DE AIRE 100 MM PN 25 (incluye cargue, transporte y descargue)</t>
  </si>
  <si>
    <t>VÁLVULA DE ADMISION Y RETENCION DE AIRE 100 MM PN 40 (incluye cargue, transporte y descargue)</t>
  </si>
  <si>
    <t>VÁLVULA DE ADMISION Y RETENCION DE AIRE 100 MM PN 60 (incluye cargue, transporte y descargue)</t>
  </si>
  <si>
    <t>VALVULA DE COMPUERTA BxB  100 MM PN 16 (incluye cargue, transporte y descargue)</t>
  </si>
  <si>
    <t>VALVULA DE MARIPOSA BxB  100 MM PN 25 (incluye cargue, transporte y descargue)</t>
  </si>
  <si>
    <t>VALVULA DE MARIPOSA BxB  100 MM PN 40 (incluye cargue, transporte y descargue)</t>
  </si>
  <si>
    <t>VALVULA DE BOLA BxB  100 MM PN 60 (incluye cargue, transporte y descargue)</t>
  </si>
  <si>
    <t>FILTRO HD BXB 100MM PN 16 (incluye cargue, transporte y descargue)</t>
  </si>
  <si>
    <t>FILTRO HD BxB 100MM PN 25 (incluye cargue, transporte y descargue)</t>
  </si>
  <si>
    <t>FILTRO HD BxB 100MM PN 40 (incluye cargue, transporte y descargue)</t>
  </si>
  <si>
    <t>FILTRO HD BXB 100MM PN 60 (incluye cargue, transporte y descargue)</t>
  </si>
  <si>
    <t>TEE HD CxCxB 250x250x100 PN 10 (incluye cargue, transporte y descargue)</t>
  </si>
  <si>
    <t>TEE HD CxCxB 350x350x100 PN 10 (incluye cargue, transporte y descargue)</t>
  </si>
  <si>
    <t>TEE HD CxCxB 400x400x100 PN 10 (incluye cargue, transporte y descargue)</t>
  </si>
  <si>
    <t>TEE HD CxCxB 250x250x100 PN 16 (incluye cargue, transporte y descargue)</t>
  </si>
  <si>
    <t>TEE HD CxCxB 350x350x100 PN 16 (incluye cargue, transporte y descargue)</t>
  </si>
  <si>
    <t>TEE HD CxCxB 400x400x100 PN 16 (incluye cargue, transporte y descargue)</t>
  </si>
  <si>
    <t>TEE HD CxCxB 250x250x100 PN 25 (incluye cargue, transporte y descargue)</t>
  </si>
  <si>
    <t>TEE HD CxCxB 350x350x100 PN 25 (incluye cargue, transporte y descargue)</t>
  </si>
  <si>
    <t>TEE HD CxCxB 400x400x100 PN 25 (incluye cargue, transporte y descargue)</t>
  </si>
  <si>
    <t>TEE HD CxCxB 500x500x100 PN 25 (incluye cargue, transporte y descargue)</t>
  </si>
  <si>
    <t>TEE HD CxCxB 350x350x100 PN 40 (incluye cargue, transporte y descargue)</t>
  </si>
  <si>
    <t>TEE HD CxCxB 400x400x100 PN 40 (incluye cargue, transporte y descargue)</t>
  </si>
  <si>
    <t>TEE HD CxCxB 350x350x100 PN 60 (incluye cargue, transporte y descargue)</t>
  </si>
  <si>
    <t>TEE HD CxCxB 400x400x100 PN 60 (incluye cargue, transporte y descargue)</t>
  </si>
  <si>
    <t>NIPLE HD 350 MM LXL L ENTRE 0 Y 1 M PN 10 (incluye cargue, transporte y descargue)</t>
  </si>
  <si>
    <t>NIPLE HD 250 MM LXL L ENTRE 0 Y 1 M PN 16 (incluye cargue, transporte y descargue)</t>
  </si>
  <si>
    <t>NIPLE HD 350 MM LXL L ENTRE 0 Y 1 M PN 16 (incluye cargue, transporte y descargue)</t>
  </si>
  <si>
    <t>NIPLE HD 400 MM LXL L ENTRE 0 Y 1 M PN 16 (incluye cargue, transporte y descargue)</t>
  </si>
  <si>
    <t>NIPLE HD 350 MM LXL L ENTRE 0 Y 1 M PN 25 (incluye cargue, transporte y descargue)</t>
  </si>
  <si>
    <t>NIPLE HD 400 MM LXL L ENTRE 0 Y 1 M PN 25 (incluye cargue, transporte y descargue)</t>
  </si>
  <si>
    <t>NIPLE HD 500 MM LXL L ENTRE 0 Y 1 M PN 25 (incluye cargue, transporte y descargue)</t>
  </si>
  <si>
    <t>NIPLE HD 350 MM LXL L ENTRE 0 Y 1 M PN 40 (incluye cargue, transporte y descargue)</t>
  </si>
  <si>
    <t>NIPLE HD 400 MM LXL L ENTRE 0 Y 1 M PN 40 (incluye cargue, transporte y descargue)</t>
  </si>
  <si>
    <t>NIPLE HD 350 MM LXL L ENTRE 0 Y 1 M PN 60 (incluye cargue, transporte y descargue)</t>
  </si>
  <si>
    <t>UNION DESLIZANTE TIPO MANGUITO EXPRESS O SIMILAR HD BXB 250MM PN 10 (incluye cargue, transporte y descargue)</t>
  </si>
  <si>
    <t>UNION DESLIZANTE TIPO MANGUITO EXPRESS O SIMILAR HD BXB 350MM PN 10 (incluye cargue, transporte y descargue)</t>
  </si>
  <si>
    <t>UNION DESLIZANTE TIPO MANGUITO EXPRESS O SIMILAR HD BXB 400MM PN 10 (incluye cargue, transporte y descargue)</t>
  </si>
  <si>
    <t>UNION DESLIZANTE TIPO MANGUITO EXPRESS O SIMILAR HD BXB 250MM PN 16 (incluye cargue, transporte y descargue)</t>
  </si>
  <si>
    <t>UNION DESLIZANTE TIPO MANGUITO EXPRESS O SIMILAR HD BXB 350MM PN 16 (incluye cargue, transporte y descargue)</t>
  </si>
  <si>
    <t>UNION DESLIZANTE TIPO MANGUITO EXPRESS O SIMILAR HD BXB 400MM PN 16 (incluye cargue, transporte y descargue)</t>
  </si>
  <si>
    <t>UNION DESLIZANTE TIPO MANGUITO EXPRESS O SIMILAR HD BXB 350MM PN 25 (incluye cargue, transporte y descargue)</t>
  </si>
  <si>
    <t>UNION DESLIZANTE TIPO MANGUITO EXPRESS O SIMILAR HD BXB 400MM PN 25 (incluye cargue, transporte y descargue)</t>
  </si>
  <si>
    <t>UNION DESLIZANTE TIPO MANGUITO EXPRESS O SIMILAR HD BXB 500MM PN 25 (incluye cargue, transporte y descargue)</t>
  </si>
  <si>
    <t>UNION DESLIZANTE TIPO MANGUITO EXPRESS O SIMILAR HD BXB 350MM PN 40 (incluye cargue, transporte y descargue)</t>
  </si>
  <si>
    <t>UNION DESLIZANTE TIPO MANGUITO EXPRESS O SIMILAR HD BXB 400MM PN 40 (incluye cargue, transporte y descargue)</t>
  </si>
  <si>
    <t>UNION DESLIZANTE TIPO MANGUITO EXPRESS O SIMILAR HD BXB 350MM PN 60 (incluye cargue, transporte y descargue)</t>
  </si>
  <si>
    <t>UNION DE DESMONTAJE HD BXB 350MM PN 10 (incluye cargue, transporte y descargue)</t>
  </si>
  <si>
    <t>UNION DE DESMONTAJE HD BXB 250MM PN 16 (incluye cargue, transporte y descargue)</t>
  </si>
  <si>
    <t>UNION DE DESMONTAJE HD BXB 350MM PN 16 (incluye cargue, transporte y descargue)</t>
  </si>
  <si>
    <t>UNION DE DESMONTAJE HD BXB 400MM PN 16 (incluye cargue, transporte y descargue)</t>
  </si>
  <si>
    <t>UNION DE DESMONTAJE HD BXB 250MM PN 25 (incluye cargue, transporte y descargue)</t>
  </si>
  <si>
    <t>UNION DE DESMONTAJE HD BXB 350MM PN 25 (incluye cargue, transporte y descargue)</t>
  </si>
  <si>
    <t>UNION DE DESMONTAJE HD BXB 400MM PN 25 (incluye cargue, transporte y descargue)</t>
  </si>
  <si>
    <t>UNION DE DESMONTAJE HD BXB 350MM PN 40 (incluye cargue, transporte y descargue)</t>
  </si>
  <si>
    <t>UNION DE DESMONTAJE HD BXB 400MM PN 40 (incluye cargue, transporte y descargue)</t>
  </si>
  <si>
    <t>UNION DE DESMONTAJE HD BXB 350MM PN 60 (incluye cargue, transporte y descargue)</t>
  </si>
  <si>
    <t>UNION DE DESMONTAJE HD BXB 400MM PN 60 (incluye cargue, transporte y descargue)</t>
  </si>
  <si>
    <t>NIPLE PASAMURO CON ANILLO DE ANCLAJE HD BXB 350MM PN 10 (incluye cargue, transporte y descargue)</t>
  </si>
  <si>
    <t>VALVULA CINETICA O SIMILAR (PILOTEADA) BXB 250 MM PN10 (incluye cargue, transporte y descargue)</t>
  </si>
  <si>
    <t>VALVULA CINETICA O SIMILAR (PILOTEADA) BXB 350 MM PN10 (incluye cargue, transporte y descargue)</t>
  </si>
  <si>
    <t>VALVULA CINETICA O SIMILAR (PILOTEADA) BXB 400 MM PN10 (incluye cargue, transporte y descargue)</t>
  </si>
  <si>
    <t>VALVULA CINETICA O SIMILAR (PILOTEADA) BXB 250 MM PN16 (incluye cargue, transporte y descargue)</t>
  </si>
  <si>
    <t>VALVULA CINETICA O SIMILAR (PILOTEADA) BXB 350 MM PN16 (incluye cargue, transporte y descargue)</t>
  </si>
  <si>
    <t>VALVULA CINETICA O SIMILAR (PILOTEADA) BXB 400 MM PN16 (incluye cargue, transporte y descargue)</t>
  </si>
  <si>
    <t>VALVULA CINETICA O SIMILAR (PILOTEADA) BXB 250 MM PN25 (incluye cargue, transporte y descargue)</t>
  </si>
  <si>
    <t>VALVULA CINETICA O SIMILAR (PILOTEADA) BXB 400 MM PN25 (incluye cargue, transporte y descargue)</t>
  </si>
  <si>
    <t>VALVULA CINETICA O SIMILAR (PILOTEADA) BXB 350 MM PN40 (incluye cargue, transporte y descargue)</t>
  </si>
  <si>
    <t>VALVULA CINETICA O SIMILAR (PILOTEADA) BXB 400 MM PN40 (incluye cargue, transporte y descargue)</t>
  </si>
  <si>
    <t>VALVULA CINETICA O SIMILAR (PILOTEADA) BXB 350 MM PN60 (incluye cargue, transporte y descargue)</t>
  </si>
  <si>
    <t>VALVULA CINETICA O SIMILAR (PILOTEADA) BXB 400 MM PN60 (incluye cargue, transporte y descargue)</t>
  </si>
  <si>
    <t>VALVULA CINETICA O SIMILAR (PILOTEADA) BXB 300 MM PN60 (incluye cargue, transporte y descargue)</t>
  </si>
  <si>
    <t>CODO 90º HD BXB 100MM PN 16 (incluye cargue, transporte y descargue)</t>
  </si>
  <si>
    <t>CODO 90º HD BxB 100MM PN 25 (incluye cargue, transporte y descargue)</t>
  </si>
  <si>
    <t>CODO 90º HD BxB 100MM PN 40 (incluye cargue, transporte y descargue)</t>
  </si>
  <si>
    <t>CODO 90º HD BXB 100MM PN 60 (incluye cargue, transporte y descargue)</t>
  </si>
  <si>
    <t>UNION DE DESMONTAJE  HD BXB 100MM PN 16 (incluye cargue, transporte y descargue)</t>
  </si>
  <si>
    <t>UNION DE DESMONTAJE  HD BxB 100MM PN 25 (incluye cargue, transporte y descargue)</t>
  </si>
  <si>
    <t>UNION DE DESMONTAJE  HD BxB 100MM PN 40 (incluye cargue, transporte y descargue)</t>
  </si>
  <si>
    <t>UNION DE DESMONTAJE  HD BXB 100MM PN 60 (incluye cargue, transporte y descargue)</t>
  </si>
  <si>
    <t>VALVULA ANITCAVITACION O DE AGUJA BXB 100MM PN 16 (incluye cargue, transporte y descargue)</t>
  </si>
  <si>
    <t>VALVULA ANITCAVITACION O DE AGUJA BXB 100MM PN 25 (incluye cargue, transporte y descargue)</t>
  </si>
  <si>
    <t>VALVULA ANITCAVITACION O DE AGUJA BXB 100MM PN 40 (incluye cargue, transporte y descargue)</t>
  </si>
  <si>
    <t>VALVULA ANITCAVITACION O DE AGUJA BXB 100MM PN 60 (incluye cargue, transporte y descargue)</t>
  </si>
  <si>
    <t>FILTRO 250MM PN 25 (incluye cargue, transporte y descargue)</t>
  </si>
  <si>
    <t>FILTRO 350MM PN 25 (incluye cargue, transporte y descargue)</t>
  </si>
  <si>
    <t>FILTRO 400MM PN 25 (incluye cargue, transporte y descargue)</t>
  </si>
  <si>
    <t>Codo de 90° Presión soldar D= 1" (incluye cargue, transporte y descargue)</t>
  </si>
  <si>
    <t>Tee PVC Presión soldar D=1" (incluye cargue, transporte y descargue)</t>
  </si>
  <si>
    <t>Uniones Presión soldar D= 1" (incluye cargue, transporte y descargue)</t>
  </si>
  <si>
    <t>Niples en HD 12" (300 mm) EB x EL L= 0,00 a 1,00 m  (incluye cargue, transporte y descargue)</t>
  </si>
  <si>
    <t>Niples en HD 12" (300 mm) EB x EL L= 1,00 a 2,00 m  (incluye cargue, transporte y descargue)</t>
  </si>
  <si>
    <t>Niples en HD 12" (300 mm) EB x EB L= 2,00 a 3,00 m  (incluye cargue, transporte y descargue)</t>
  </si>
  <si>
    <t>Codo HD 12" (300 mm) (incluye cargue, transporte y descargue)</t>
  </si>
  <si>
    <t>Pasamuro HF de 14" ELXEL L = 0 a 0,50 m (incluye cargue, transporte y descargue)</t>
  </si>
  <si>
    <t>Pasamuro HF de 4" ELXEL L= 0,50 a 1,00 m (incluye cargue, transporte y descargue)</t>
  </si>
  <si>
    <t>Pasamuro HF de 12" EBXEB L = 0,50 a 1,00 m  (incluye cargue, transporte y descargue)</t>
  </si>
  <si>
    <t>Válvula de compuerta de vástago no ascendente 12" (300 mm) CRM  (incluye cargue, transporte y descargue)</t>
  </si>
  <si>
    <t>VALVULA DE COMPUERTA BxB  Φ=100mm (incluye cargue, transporte y descargue)</t>
  </si>
  <si>
    <t>Válvula de Pie o Coladera de 1" (incluye cargue, transporte y descargue)</t>
  </si>
  <si>
    <t>Registro de Bola de 1" (incluye cargue, transporte y descargue)</t>
  </si>
  <si>
    <t>Tubería PCV Presión soldar RDE 21 D= 1" (incluye cargue, transporte y descargue)</t>
  </si>
  <si>
    <t>Adaptador macho D= 1" (incluye cargue, transporte y descargue)</t>
  </si>
  <si>
    <t>Adaptador hembra D= 1" (incluye cargue, transporte y descargue)</t>
  </si>
  <si>
    <t>NIPLE HD 250 MM BxB L ENTRE 1 a 2M (incluye cargue, transporte y descargue)</t>
  </si>
  <si>
    <t>NIPLE PASAMURO HD BB 300mm L=0 a 1m (incluye cargue, transporte y descargue)</t>
  </si>
  <si>
    <t>NIPLE HD 300 MM BxB L ENTRE 0 a 1M (incluye cargue, transporte y descargue)</t>
  </si>
  <si>
    <t>REDUCCION AMPLIACION HD BXB 500MM X300MM (incluye cargue, transporte y descargue)</t>
  </si>
  <si>
    <t>Codo 90º HD 300 MM BB (incluye cargue, transporte y descargue)</t>
  </si>
  <si>
    <t>YEE HD BXB250x500MMx500MM (incluye cargue, transporte y descargue)</t>
  </si>
  <si>
    <t>UNION DE DESMONTAJE HD BXB 500MM PN 25 (incluye cargue, transporte y descargue)</t>
  </si>
  <si>
    <t>Brida Ciega de 10" (incluye cargue, transporte y descargue)</t>
  </si>
  <si>
    <t>VALVULA DE MARIPOSA BxB  250 MM PN 25 (incluye cargue, transporte y descargue)</t>
  </si>
  <si>
    <t>VALVULA DE MARIPOSA BxB  300 MM PN 25 (incluye cargue, transporte y descargue)</t>
  </si>
  <si>
    <t>Unión Antivibratoria PN 25 BB 10" (incluye cargue, transporte y descargue)</t>
  </si>
  <si>
    <t>Válvula Antivibratoria de Onda BB de 12" (incluye cargue, transporte y descargue)</t>
  </si>
  <si>
    <t>Válvula de Control de bombas PN 25 Autoportante BB 10" (incluye cargue, transporte y descargue)</t>
  </si>
  <si>
    <t>Válvula de Control de Nivel y Caudal 2 posiciones 20" (incluye cargue, transporte y descargue)</t>
  </si>
  <si>
    <t>COMPUERTA PLANA 250MM (incluye cargue, transporte y descargue)</t>
  </si>
  <si>
    <t>COMPUERTA PLANA 350MM (incluye cargue, transporte y descargue)</t>
  </si>
  <si>
    <t>CRUZ HD BxBXBXB 250x250x150x150 (incluye cargue, transporte y descargue)</t>
  </si>
  <si>
    <t>FILTRO HD BXB 150MM PN 25 (incluye cargue, transporte y descargue)</t>
  </si>
  <si>
    <t>NIPLE HD 150 MM BxB L ENTRE 1 a 2M (incluye cargue, transporte y descargue)</t>
  </si>
  <si>
    <t>REDUCCION 250 x 150 BXB (incluye cargue, transporte y descargue)</t>
  </si>
  <si>
    <t>TEE HD BxBxB 350mmX150mm  (incluye cargue, transporte y descargue)</t>
  </si>
  <si>
    <t>UNION DE DESMONTAJE HD BXB 150MM PN 25 (incluye cargue, transporte y descargue)</t>
  </si>
  <si>
    <t>VALVULA ANITCAVITACION O DE AGUJA BXB 150MM PN  25 (incluye cargue, transporte y descargue)</t>
  </si>
  <si>
    <t>VALVULA DE MARIPOSA BxB  150 MM PN 25 (incluye cargue, transporte y descargue)</t>
  </si>
  <si>
    <t>VALVULA REDUCTORA DE PRESION 150 MM PN25 (incluye cargue, transporte y descargue)</t>
  </si>
  <si>
    <t>Adaptador Brida porAcople Universal 10" (268 mm a 286 mm) R1 (incluye cargue, transporte y descargue)</t>
  </si>
  <si>
    <t>Codo 45 º HD 200 MM BB (incluye cargue, transporte y descargue)</t>
  </si>
  <si>
    <t>FILTRO HD BXB 100MM PN 10 (incluye cargue, transporte y descargue)</t>
  </si>
  <si>
    <t>NIPLE HD 200 MM BxB L ENTRE 1 a 2M (incluye cargue, transporte y descargue)</t>
  </si>
  <si>
    <t>NIPLE HD 250 MM LXL L ENTRE 0 Y 1 M PN 25 (incluye cargue, transporte y descargue)</t>
  </si>
  <si>
    <t>NIPLE HD 250 MM LXL L ENTRE 0 Y 1 M PN 40 (incluye cargue, transporte y descargue)</t>
  </si>
  <si>
    <t>NIPLE HD 250 MM LXL L ENTRE 0 Y 1 M PN 60 (incluye cargue, transporte y descargue)</t>
  </si>
  <si>
    <t>NIPLE HD 400 MM LXL L ENTRE 0 Y 1 M PN 60 (incluye cargue, transporte y descargue)</t>
  </si>
  <si>
    <t>NIPLE HD 500 MM LXL L ENTRE 0 Y 1 M PN 10 (incluye cargue, transporte y descargue)</t>
  </si>
  <si>
    <t>NIPLE HD 500 MM LXL L ENTRE 0 Y 1 M PN 16 (incluye cargue, transporte y descargue)</t>
  </si>
  <si>
    <t>NIPLE HD 500 MM LXL L ENTRE 0 Y 1 M PN 40 (incluye cargue, transporte y descargue)</t>
  </si>
  <si>
    <t>NIPLE HD 500 MM LXL L ENTRE 0 Y 1 M PN 60 (incluye cargue, transporte y descargue)</t>
  </si>
  <si>
    <t>NIPLE PASAMURO HD BB 200mm L=0 a 1m (incluye cargue, transporte y descargue)</t>
  </si>
  <si>
    <t>TABLERO DE CONTROL Y ACCESORIOS (incluye cargue, transporte y descargue)</t>
  </si>
  <si>
    <t>TEE HD BxBxB 200mmX100mm  (incluye cargue, transporte y descargue)</t>
  </si>
  <si>
    <t>TEE HD BxBxB 200mmX200mm  (incluye cargue, transporte y descargue)</t>
  </si>
  <si>
    <t>TEE HD CxCxB 250x250x100 PN 40 (incluye cargue, transporte y descargue)</t>
  </si>
  <si>
    <t>Tuberia Hd Lxl 200Mm (incluye cargue, transporte y descargue)</t>
  </si>
  <si>
    <t>UNION DESLIZANTE TIPO MANGUITO EXPRESS O SIMILAR HD BXB 250MM PN 25 (incluye cargue, transporte y descargue)</t>
  </si>
  <si>
    <t>UNION DESLIZANTE TIPO MANGUITO EXPRESS O SIMILAR HD BXB 250MM PN 40 (incluye cargue, transporte y descargue)</t>
  </si>
  <si>
    <t>UNION DESLIZANTE TIPO MANGUITO EXPRESS O SIMILAR HD BXB 250MM PN 60 (incluye cargue, transporte y descargue)</t>
  </si>
  <si>
    <t>UNION DESLIZANTE TIPO MANGUITO EXPRESS O SIMILAR HD BXB 400MM PN 60 (incluye cargue, transporte y descargue)</t>
  </si>
  <si>
    <t>UNION DESLIZANTE TIPO MANGUITO EXPRESS O SIMILAR HD BXB 500MM PN 10 (incluye cargue, transporte y descargue)</t>
  </si>
  <si>
    <t>UNION DESLIZANTE TIPO MANGUITO EXPRESS O SIMILAR HD BXB 500MM PN 16 (incluye cargue, transporte y descargue)</t>
  </si>
  <si>
    <t>UNION DESLIZANTE TIPO MANGUITO EXPRESS O SIMILAR HD BXB 500MM PN 40 (incluye cargue, transporte y descargue)</t>
  </si>
  <si>
    <t>UNION DESLIZANTE TIPO MANGUITO EXPRESS O SIMILAR HD BXB 500MM PN 60 (incluye cargue, transporte y descargue)</t>
  </si>
  <si>
    <t>VALVULA CINETICA O SIMILAR (PILOTEADA) BXB 350 MM PN25 (incluye cargue, transporte y descargue)</t>
  </si>
  <si>
    <t>Area en Planos</t>
  </si>
  <si>
    <t>Muro en ladrillo</t>
  </si>
  <si>
    <t>Arquitectonico</t>
  </si>
  <si>
    <t>Tableta en gres</t>
  </si>
  <si>
    <t>REDUCCION AMPLIACION HD 200MM x 100MM  (incluye cargue, transporte y descargue)</t>
  </si>
  <si>
    <t>ACUEDUCTO LA MESA</t>
  </si>
  <si>
    <t>PLC MODULAR TM221M16T (8IN/8OUT)</t>
  </si>
  <si>
    <t>MÓDULO DE ENTRADAS DIGITALES TM3DI16</t>
  </si>
  <si>
    <t>MÓDULO DE SALIDAS DIGITALES TM3DQ16T</t>
  </si>
  <si>
    <t>MÓDULOS DE ENTRADAS ANÁLOGAS TM3AI4/G</t>
  </si>
  <si>
    <t>MÓDULO DE SALIDAS ANÁLOGAS TM3AQ4/GUN</t>
  </si>
  <si>
    <t>MODEM GSM SR2MOD02</t>
  </si>
  <si>
    <t>FUENTE DE PODER 24VDC/5A</t>
  </si>
  <si>
    <t>CABLE DE CONEXIÓN PARA MÓDULOS</t>
  </si>
  <si>
    <t>SISTEMA DE CONTROL AUTOMATICO</t>
  </si>
  <si>
    <t>SISTEMA DE CONTROL DE VALVULAS</t>
  </si>
  <si>
    <t>Datalogger. 1 input analogue. 1 input digitalRDL10-T1C1C4</t>
  </si>
  <si>
    <t xml:space="preserve"> ACTUADOR ELECTRICO EIM TEC2 Model 500-A-AA-2</t>
  </si>
  <si>
    <t>TRANSMISOR DE PRESIÓN ROSEMOUNT 3051T G3A2B21AB1</t>
  </si>
  <si>
    <t>TABLERO DE CONTROL Y ACCESORIOS</t>
  </si>
  <si>
    <t>PROGRAMACION AUTOMATIZACION Y CONTROL</t>
  </si>
  <si>
    <t>MONTAJE DE COMPONENTES, IDENTIFICACIÓN Y CONEXIONADO</t>
  </si>
  <si>
    <t>COFRE METÁLICO ACERO COLD ROLLED CAL 16, PINTURA ELECTROSTATICA RAL 7035 - 1000X800X300MM. INCLUYE ACCESORIOS DE CONEXION, PROTECCIONES, TOTALIZADOR Y DISPOSITIVOS DE MANDO LOCAL</t>
  </si>
  <si>
    <t>CONFIGURACIÓN Y PARAMETRIZACIÓN MEDIDORES DE CAUDAL</t>
  </si>
  <si>
    <t>CONFIGURACIÓN DE SISTEMA DE COMUNICACIÓN GSM</t>
  </si>
  <si>
    <t>PROGRAMACIÓN PLC LOCAL Y REMOTO</t>
  </si>
  <si>
    <t>MACROMEDIDOR ULTRASONICO 400MM (SCADA EAB) (incluye cargue, transporte y descargue)</t>
  </si>
  <si>
    <t>Subtotal Obra Civil y Automatizacion</t>
  </si>
  <si>
    <t>ACERO ESTRUCTURAL VIADUCTO ALTO GRANDE (Incluye Suministro e Instalacion)</t>
  </si>
  <si>
    <t>Automatizacion Caja de Control</t>
  </si>
  <si>
    <t>CONFIGURACIÓN SISTEMA DE ACTUADORES MOTORIZADOS</t>
  </si>
  <si>
    <t>Camara Llegada PTAP La Mesa</t>
  </si>
  <si>
    <t>TRANSMISOR DE PRESIÓN ROSEMOUNT 3051S</t>
  </si>
  <si>
    <t>K0+600</t>
  </si>
  <si>
    <t>K0+960</t>
  </si>
  <si>
    <t>SUMINISTRO CAJA DE DERIVACION EXISTENTE</t>
  </si>
  <si>
    <t>Construcción caja conexión salida tanque Bojacá</t>
  </si>
  <si>
    <t>Proyectado</t>
  </si>
  <si>
    <t>Camara 3</t>
  </si>
  <si>
    <t>Camara 4</t>
  </si>
  <si>
    <t>Retirar para almacenar</t>
  </si>
  <si>
    <t>Inspección con CCTV  para tuberia existente</t>
  </si>
  <si>
    <t xml:space="preserve">Prueba Hidraulica y desinfeccion </t>
  </si>
  <si>
    <t>Tubería DN 350 PN 55 bares Acerrojada o Acero al carbón</t>
  </si>
  <si>
    <t>Galvanizado</t>
  </si>
  <si>
    <t>Cargue, transporte y descargue de accesorios (22km)</t>
  </si>
  <si>
    <t>CONCRETO ESTRUCTURAL RESIST. 28.0 Mpa (280Kg/cm2) IMPERMEABILIZADO PARA PLACA DE PISO EN CONCRETO</t>
  </si>
  <si>
    <t>CONCRETO ESTRUCTURAL RESIST. 28.0 MPA (280KG/CM2) IMPERMEABILIZADO PARA MUROS Y LOSA SUPERIOR</t>
  </si>
  <si>
    <t>CONCRETO ESTRUCTURAL RESIST. 28.0 MPA (280KG/CM2) IMPERMEABILIZADO PARA TAPAS</t>
  </si>
  <si>
    <t>SUMINISTRO E INSTALACIÓN DE TEJA ONDULADA EN A.C ( INCLUYE ELEMENTOS DE FIJACIÓN y ESTRUCTURA DE SOPORTE)</t>
  </si>
  <si>
    <t>Tubería  Pvc Unión Mecánica Rde 21 D= 1"  (incluye cargue, transporte y descargue)</t>
  </si>
  <si>
    <t>TEE HD BxBxB 300mmx300mm (incluye cargue, transporte y descargue)</t>
  </si>
  <si>
    <t>UNION DE DESMONTAJE HD BXB 300MM PN 10 (incluye cargue, transporte y descargue)</t>
  </si>
  <si>
    <t>CAMISA DE ACERO 24"</t>
  </si>
  <si>
    <t>EQUIPO PARA RAMMING, INCLUYE  EQUIPOS, TRANSPORTE DE EQUIPOS Y PERSONAL, SUMINISTRO Y TRANSPORTE DE CAMISAS DE ACERO, GRUA Y OBRA MECANICA REQUERIDA</t>
  </si>
  <si>
    <t>EXCAVACIÓN SIN ZANJA (RAMMING) PARA  CRUCE VIA NACIONAL CON CAMISA DE ACERO DE 600" PARA DIAMETRO DE SERVICIO DN 400, (INCLUYE OBRA CIVIL CAJA DE LANZAMIENTO)</t>
  </si>
  <si>
    <t>SISTEMA ELECTRICO</t>
  </si>
  <si>
    <t>Estación de Bombeo Casablanca Componente Mecanico</t>
  </si>
  <si>
    <t>Estación de Bombeo Casablanca Componente Electrico</t>
  </si>
  <si>
    <t>Acometida parcial de Modulo No 6 a Modulo 16, Transferencia Automatica a Planta de Emergencia en 5(3X500+1X250+1X2/0T)</t>
  </si>
  <si>
    <t>Acometida parcial de Modulo No 7 a Modulo 17 en 3X(3X500+1X250+1X2/0T)</t>
  </si>
  <si>
    <t>Acometida parcial de  Generador a Modulo 10 en 3X(3X500+1X250+1X2/0T)</t>
  </si>
  <si>
    <t>Acometida parcial de  Generador a Modulo 8 en 3X(3X500+1X250+1X2/0T)</t>
  </si>
  <si>
    <t>REHABILITACIÓN COMPONENTE ELÉCTRICO ESTACIÓN DE BOMBEO HACIENDA CASABLANCA</t>
  </si>
  <si>
    <t>10.20'</t>
  </si>
  <si>
    <t>Banco ductos en tubo PVC 4X6"</t>
  </si>
  <si>
    <t xml:space="preserve">VALOR UNITARIO </t>
  </si>
  <si>
    <t>HERRAMIENTAS</t>
  </si>
  <si>
    <t>TAPA CS 276 PARA CAMARA DE INSPECCION CERTIFICADA CODENSA DOS TAPAS + MARCO DOBLE</t>
  </si>
  <si>
    <t>MATERIAL MORTERO PARA ADHESIÓN DE MARCA A CAJA</t>
  </si>
  <si>
    <t>TRANSPORTE DESDE BOGOTA A MADRID</t>
  </si>
  <si>
    <t>Cuadrilla Obras Eléctricas Tipo I</t>
  </si>
  <si>
    <t xml:space="preserve">LADRILLO </t>
  </si>
  <si>
    <t>MORTERO PARA PAÑETE</t>
  </si>
  <si>
    <t>CONCRETO 3000 PSI</t>
  </si>
  <si>
    <t>GRAVILLA</t>
  </si>
  <si>
    <t>VIAJE</t>
  </si>
  <si>
    <t>TUBERIA TDP 6"</t>
  </si>
  <si>
    <t>TERMINAL CAMPANA 6"</t>
  </si>
  <si>
    <t>RELLENO ARENA SB100</t>
  </si>
  <si>
    <t>CABLE XLPE 35KV CU 2/0</t>
  </si>
  <si>
    <t>EMPALME MT</t>
  </si>
  <si>
    <t>TERMINAL INTERIOR/EXTERIOR 34,5KV USO INTERIOR/EXTERIOR</t>
  </si>
  <si>
    <t>ACCESORIOS FIJACIÓN Y ANCLAJE</t>
  </si>
  <si>
    <t>MATERIALES Y EQUIPO</t>
  </si>
  <si>
    <t>Bornes para conexión inferior de cable seco unipolar</t>
  </si>
  <si>
    <t>Seccionador de operación bajo carga 630 A (SF6) de tres posiciones (Conectado-Desconectado-Tierra)</t>
  </si>
  <si>
    <t>Resistencia de calefacción</t>
  </si>
  <si>
    <t>Un (1) bobina de cierre ó un (1) bobina de cierre + contactos</t>
  </si>
  <si>
    <t>Contacto eléctrico de señalización fusión fusible</t>
  </si>
  <si>
    <t>Tres (3) fusibles normas DIN</t>
  </si>
  <si>
    <t>Termóstato</t>
  </si>
  <si>
    <t xml:space="preserve">Multiprobador </t>
  </si>
  <si>
    <t xml:space="preserve">Pinza amperimétrica </t>
  </si>
  <si>
    <t xml:space="preserve">Probador de secuencia de fases </t>
  </si>
  <si>
    <t>Torcómetro</t>
  </si>
  <si>
    <t xml:space="preserve">Medidor de Humedad Relativa </t>
  </si>
  <si>
    <t xml:space="preserve">Medidor de Temperatura. </t>
  </si>
  <si>
    <t>Detector de fuga de gas SF6</t>
  </si>
  <si>
    <t>Maleta para Medida del aislamiento</t>
  </si>
  <si>
    <t>Cuadrilla obra eléctrica Tipo I</t>
  </si>
  <si>
    <t>% Rehabilitacion</t>
  </si>
  <si>
    <t>Transformador de intensidad</t>
  </si>
  <si>
    <t>Transformador de tensión</t>
  </si>
  <si>
    <t>Juego de barras tripolar para conexión superior 630 A</t>
  </si>
  <si>
    <t>Caja de baja tensión superior apta para instalación de contador de energía</t>
  </si>
  <si>
    <t>Interruptor automático Fluarc SF1 en SF6 - Relé de protección ( 50/51,50N/51N )</t>
  </si>
  <si>
    <t>TRANSFORMADOR 800KVA 34,5/,460 KV TIPO ACEITE</t>
  </si>
  <si>
    <t>CELDA PARA TRANSFORMADOR CR 16</t>
  </si>
  <si>
    <t>DUMPERS</t>
  </si>
  <si>
    <t>BROCADO</t>
  </si>
  <si>
    <t xml:space="preserve">FOSO DE ACEITE </t>
  </si>
  <si>
    <t>PUERTA CORTA FUEGO</t>
  </si>
  <si>
    <t>EQUIPOTENCIALIZACIÓN A TIERRA DE TRANSFORMADOR</t>
  </si>
  <si>
    <t xml:space="preserve">BARRA DE SEGURIDAD </t>
  </si>
  <si>
    <t>TRANSFORMADOR 3F 1250KVA 34,5KV/460V ACEITE</t>
  </si>
  <si>
    <t>ALIMENTADOR 4000 Amp AL IP54</t>
  </si>
  <si>
    <t>und</t>
  </si>
  <si>
    <t>CODO VERTICAL 4000 Amp AL IP54</t>
  </si>
  <si>
    <t>FLANCHE 4000 Amp AL IP54</t>
  </si>
  <si>
    <t>PERFIL MEDIO RAN GALV A 2 MM X 3.0 M</t>
  </si>
  <si>
    <t>PERNO DE OJO ABIERTO GALV 3/8" X 14"</t>
  </si>
  <si>
    <t>CABLE 500MCM COBRE</t>
  </si>
  <si>
    <t>CABLE 350MCM</t>
  </si>
  <si>
    <t>CABLE 2/0 CU</t>
  </si>
  <si>
    <t>TERMINAL 500MCM</t>
  </si>
  <si>
    <t>TERMINAL 2/0</t>
  </si>
  <si>
    <t>CABLE 250MCM</t>
  </si>
  <si>
    <t>TERMINAL 250MCM</t>
  </si>
  <si>
    <t>ELEMENTOS DE SUJECIÓN Y ANCLAJE</t>
  </si>
  <si>
    <t>TERMOENCOGIBLE DE COLORES</t>
  </si>
  <si>
    <t>MARQUILLA TIPO PESCADO</t>
  </si>
  <si>
    <t>CABLE 6 AWG COBRE</t>
  </si>
  <si>
    <t>CABLE 8 AWG COBRE</t>
  </si>
  <si>
    <t>TERMINAL 8 AWG</t>
  </si>
  <si>
    <t>TERMINAL 6AWG</t>
  </si>
  <si>
    <t>MARQUILLA</t>
  </si>
  <si>
    <t>TUBERIA</t>
  </si>
  <si>
    <t>TUBO 1" IMC</t>
  </si>
  <si>
    <t>CURVA 1" IMC</t>
  </si>
  <si>
    <t>TERMINAL NEGRA</t>
  </si>
  <si>
    <t>ELEMENTOS DE SUJECIÓN Y ANCLAJE RIEL DE 4CMX4CM, CHAZOS Y GRAPAS AJUSTABLES</t>
  </si>
  <si>
    <t>CABLE 10 AWG COBRE</t>
  </si>
  <si>
    <t>TERMINAL 10AWG</t>
  </si>
  <si>
    <t xml:space="preserve">MARQUILLA </t>
  </si>
  <si>
    <t>CABLE 2AWG</t>
  </si>
  <si>
    <t>TAPA CS 275 PARA CAMARA DE INSPECCION CERTIFICADA CODENSA UNA TAPA + MARCO</t>
  </si>
  <si>
    <t>TAPA CS 274 PARA CAMARA DE INSPECCION CERTIFICADA CODENSA UNA TAPA + MARCO</t>
  </si>
  <si>
    <t>TAPA CS 280 PARA CAMARA DE INSPECCION CERTIFICADA CODENSA UNA TAPA REDONDA + ARO</t>
  </si>
  <si>
    <t>TUBERIA TDP 4"</t>
  </si>
  <si>
    <t>CAMPANA 4" PVC</t>
  </si>
  <si>
    <t>DUCTO 2 X 6 M TIPO DB</t>
  </si>
  <si>
    <t>CAMPANA 2" PVC</t>
  </si>
  <si>
    <t>BANDEJA PORTACABLE 50CM</t>
  </si>
  <si>
    <t>DIVISION PARA BANDEJA</t>
  </si>
  <si>
    <t>KIT PARA TIERRA</t>
  </si>
  <si>
    <t>LINEA DE TIERRA 8AWG</t>
  </si>
  <si>
    <t>BANDEJA PORTACABLE 40CM</t>
  </si>
  <si>
    <t>BANDEJA PORTACABLE 20CM</t>
  </si>
  <si>
    <t>BANDEJA PORTACABLE 60CM</t>
  </si>
  <si>
    <t>LUMINARIA DE 150W CERRADA CMH</t>
  </si>
  <si>
    <t>BOMBILLO 150W CMH</t>
  </si>
  <si>
    <t>BRAZO PARA LUMINARIA 1 1/2" X 1,20M</t>
  </si>
  <si>
    <t>ACCESORIOS DE FIJACION, ANCLAJE Y CABLEADO</t>
  </si>
  <si>
    <t>FOTOCELDA</t>
  </si>
  <si>
    <t>POSTE DE CONCRETO DE 12 M X 510KGF</t>
  </si>
  <si>
    <t>GRUA PARA HINCADO DE POSTE</t>
  </si>
  <si>
    <t xml:space="preserve">empalme 91B1 para empalme en caja CS274 de alumbrado publico </t>
  </si>
  <si>
    <t>Luminaria 2x32W balasto multivoltaje, sockets, carcasa rectangular</t>
  </si>
  <si>
    <t>clavija</t>
  </si>
  <si>
    <t>regleta</t>
  </si>
  <si>
    <t>Luminaria 100W tipo ahorrador  WALLPACK</t>
  </si>
  <si>
    <t>Elementos de sujeción y anclaje</t>
  </si>
  <si>
    <t>EQUIPO/MATERIALES</t>
  </si>
  <si>
    <t>Lampara metal halide 150W tipo Industrial</t>
  </si>
  <si>
    <t>TUBO EMT 3MT X 3/4" COLMENA</t>
  </si>
  <si>
    <t>CABLE COBRE THHN  # 10 (F+N+T)</t>
  </si>
  <si>
    <t>CURVA EMT 3/4" COLMENA</t>
  </si>
  <si>
    <t>UNION 3/4" EMT COLMENA</t>
  </si>
  <si>
    <t>Toma doble, polo a tierra, 15A,125V. Color crema. Nema 5-15R</t>
  </si>
  <si>
    <t>TERMINAL EMT DE 3/4"</t>
  </si>
  <si>
    <t>Tapa para tomas: 5320, 5225, CR20, e interruptor 5224, color crema.</t>
  </si>
  <si>
    <t>Caja 2400</t>
  </si>
  <si>
    <t>EQUIPO / MATERIALES</t>
  </si>
  <si>
    <t>Caja 5800</t>
  </si>
  <si>
    <t xml:space="preserve"> Conector Coraza Liquid - Curvo 1/2 REF</t>
  </si>
  <si>
    <t xml:space="preserve">Conector Coraza Liquid - Recto 1/2 </t>
  </si>
  <si>
    <t xml:space="preserve"> Coraza Liquid 1/2"</t>
  </si>
  <si>
    <t>TUBO EMT 3MT X 1/2" COLMENA</t>
  </si>
  <si>
    <t>CURVA EMT 1/2" COLMENA</t>
  </si>
  <si>
    <t>UNION 1/2" EMT COLMENA</t>
  </si>
  <si>
    <t>TERMINAL EMT DE 1/2"</t>
  </si>
  <si>
    <t>VARILLA 2,40X5/8"</t>
  </si>
  <si>
    <t>CONECTOR 2/0 AWG TIPO TORNILLO PARTIDO PARA TIERRA</t>
  </si>
  <si>
    <t>CABLE 2/0 DESNUDO</t>
  </si>
  <si>
    <t>MARQUILLADO</t>
  </si>
  <si>
    <t>SOLDADURA EXOTERMICA 115GR SOLDELSER</t>
  </si>
  <si>
    <t>CHISPERO</t>
  </si>
  <si>
    <t>HERRAMIENTA MENOR MOLDE EN "X" Y "T"</t>
  </si>
  <si>
    <t>HIDRODOLSA 15KG</t>
  </si>
  <si>
    <t>CINTA DE COBRE 20mmX1mm</t>
  </si>
  <si>
    <t>CAJA DE PASO 30CMX30CMX40CM PREFABRICADA</t>
  </si>
  <si>
    <t>TAPA DE 30CMX30CM</t>
  </si>
  <si>
    <t>BARRAJE 1/4"X3"X30cm</t>
  </si>
  <si>
    <t>ELEMENTOS DE FIJACIÓN Y ANCLAJE</t>
  </si>
  <si>
    <t>GABINETE 1,20MX1.80CMX2.0M AUTOSOPORTADO CR 16 CON DOS PUERTAS, LLAVE Y MANILLA.</t>
  </si>
  <si>
    <t>SIMATIC S7-1500, CPU 1511-1 PN, CENTRALPROCESSING UNIT WITH WORKING MEMORY 150 KB FOR PROGRAM AND 1 MB FOR DATA,
1. INTERFACE: PROFINET IRT WITH 2 PORT SWITCH, 60 NS BIT-PERFORMANCE, SIMATIC MEMORY CARD NECESSARY</t>
  </si>
  <si>
    <t>SIMATIC S7, MEMORY CARD PARA S7-1X00 CPU/SINAMICS, 3,3 V FLASH, 4 MBYTE</t>
  </si>
  <si>
    <t>SIMATIC PM 1507 24 V/3 A FUENTE
ALIMENTACION ESTABILIZ. PARA SIMATIC S7-1500 ENTRADA: AC 120/230 V SALIDA: DC 24V/3 A</t>
  </si>
  <si>
    <t>SIMATIC S7-1500, MODULO DE ENTRADA DIGITAL DI 32 X DC24V, 32 CANALES EN GRUPOS DE 16; RETARDO DE LAS ENTR. 0,05..20MS TIPO DE ENTRADA 3 (CEI 61131);
DIAGNOSTICO; ALARMAS DE  PROCESO</t>
  </si>
  <si>
    <t>SIMATIC S7-1500, ENCH. FRONT. TECNICA BORNE DE TORN., 40POL. PARA MODULOS DE 35MM DE ANCHO INCL. 4 PUENTES POTENCIAL, Y ABRAZADERA DE CABLE</t>
  </si>
  <si>
    <t>SIMATIC S7-1500, MODULO DE SALIDADIGITAL DQ16 X DC24V / 0,5A; 16 CANALES ENGRUPOS DE 8; 4A POR GRUPO; DIAGNOSTICO; VALOR SU</t>
  </si>
  <si>
    <t>SIMATIC S7-1500, MODULOS DE ENTRADA ANALOG. AI 8 U/I/RTD/TC, 16BIT RESOLUCION, PRECISION 0,3%, 8 CANALES EN GRUPOS DE 8, 4 CANALES CON MEDICION RTD, TENSION EN MODO COMUN 10V; DIAGNOSTICO; ALARMAS DE PROCESO INCL.ELEMENTO DE ALIMENTACIO, ABRAZADERA DE PANTALLA Y CLIP DE PANTALLA</t>
  </si>
  <si>
    <t>JUEGO DE VENTILADORES</t>
  </si>
  <si>
    <t>MODULOS DE 16 RELEVOS</t>
  </si>
  <si>
    <t>PROTECCIONES ELECTRICAS 1X2A</t>
  </si>
  <si>
    <t>RIELES</t>
  </si>
  <si>
    <t>UPS 1KVA</t>
  </si>
  <si>
    <t>PANTALLA HMI KP700 COMFORT</t>
  </si>
  <si>
    <t>CABLEADO INTERNO ELECTRICO</t>
  </si>
  <si>
    <t>CABLEADO INTERNO SEÑALES</t>
  </si>
  <si>
    <t>CABLEADO ESTRUCTURADO</t>
  </si>
  <si>
    <t xml:space="preserve">COMPUTADOR CON MONITOR </t>
  </si>
  <si>
    <t xml:space="preserve">MODEM </t>
  </si>
  <si>
    <t>ROUTER MICROTIK</t>
  </si>
  <si>
    <t xml:space="preserve">ANTENA </t>
  </si>
  <si>
    <t xml:space="preserve">PROCESADOR IP </t>
  </si>
  <si>
    <t>DPS CLASE II + III</t>
  </si>
  <si>
    <t>PICOPROTECTOR</t>
  </si>
  <si>
    <t>CABLE DE INTRUMENTACION 3X16AWG BLINDADO</t>
  </si>
  <si>
    <t>TERMINALES</t>
  </si>
  <si>
    <t>CABLE DE INTRUMENTACION 8X16AWG BLINDADO</t>
  </si>
  <si>
    <t>CABLE DE INTRUMENTACION 3X14AWG ENCAUCHETADO</t>
  </si>
  <si>
    <t>ELEMENTOS DE FIJACION Y ANCLAJE</t>
  </si>
  <si>
    <t>Tubería IMC 3/4"</t>
  </si>
  <si>
    <t>CURVA 3/4"</t>
  </si>
  <si>
    <t>TERMINAL 3/4" IMC</t>
  </si>
  <si>
    <t xml:space="preserve">CORAZA AMERICANA 3/4" </t>
  </si>
  <si>
    <t>TERMINAL RECTA 3/4"</t>
  </si>
  <si>
    <t>SOPORTE PARA INSTALACION DE SENSOR DE NIVEL</t>
  </si>
  <si>
    <t>Ingeniero especialista</t>
  </si>
  <si>
    <t>Interruptor tipo pera</t>
  </si>
  <si>
    <t xml:space="preserve">Banco de baterias 48 V dc 180 W </t>
  </si>
  <si>
    <t>Rectificador 3000 W</t>
  </si>
  <si>
    <t xml:space="preserve">Tablero 24 circuitos </t>
  </si>
  <si>
    <t>Inversor 3000 W</t>
  </si>
  <si>
    <t>Tablero 3Ø tipo linea de 24 circuitos</t>
  </si>
  <si>
    <t>Totalizador easy pack 60 A, 25 Ka</t>
  </si>
  <si>
    <t>Tablero 3Ø tipo linea de 12 circuitos</t>
  </si>
  <si>
    <t>CUADRILLA AUTOMATIZACION PARA PROGRAMACION DEL SISTEMA (2) ING. PROGRAMADORES</t>
  </si>
  <si>
    <t>Accesorios, Gabinetes, Sistema de potencia, Banco de condensadores.</t>
  </si>
  <si>
    <t>Arrancador suave 3RW4455 Siemens</t>
  </si>
  <si>
    <t>Totalizador easy pack 600 A, 40 Ka</t>
  </si>
  <si>
    <t>Barraje 830 A</t>
  </si>
  <si>
    <t>C THHN/THWN-2 CT 4/0AWG UDC Cu 600V 90°C 19H NGO</t>
  </si>
  <si>
    <t>Conector tipo Compresion 600A 4/0 AWG 15KV</t>
  </si>
  <si>
    <t>Gabinete</t>
  </si>
  <si>
    <t>Banco de Condensadores</t>
  </si>
  <si>
    <t xml:space="preserve">Analizador de Red Modulo entrada y salida digital </t>
  </si>
  <si>
    <t>Interruptor Tripolar de 500 a 1250 A  termomagnetico 65 kVA 440V</t>
  </si>
  <si>
    <t>Interruptor Tripolar Regulable de 800 a 2000 A  termomagnetico 80 kVA 440V</t>
  </si>
  <si>
    <t>Fuente 440V/110V</t>
  </si>
  <si>
    <t>MONTACARGA</t>
  </si>
  <si>
    <t xml:space="preserve">Ensamble tableros </t>
  </si>
  <si>
    <t>LISTADO APU'S</t>
  </si>
  <si>
    <t>Acometida alumbrado exterior cable 2*10 + 12T AWG THHN</t>
  </si>
  <si>
    <t>juego</t>
  </si>
  <si>
    <t>Cuadrilla Obras Eléctricas Tipo III</t>
  </si>
  <si>
    <t>Herramienta menor especializada</t>
  </si>
  <si>
    <t>Pruebas de resistencia y capacidad de Tablero en Fábrica</t>
  </si>
  <si>
    <t>jgo</t>
  </si>
  <si>
    <t>CABLE 12 AWG COBRE</t>
  </si>
  <si>
    <t>cable encauchetado 3x12AWG</t>
  </si>
  <si>
    <t xml:space="preserve">Inspección de Bloque de cilindros. Incluye  verificación de tolerancias </t>
  </si>
  <si>
    <t xml:space="preserve">Inspección  Excentricidad y estado de Cigüeñales. Incluye  verificación de tolerancias </t>
  </si>
  <si>
    <t xml:space="preserve">Verificación de Bielas, y tornillos de sujección. Incluye  verificación de tolerancias </t>
  </si>
  <si>
    <t xml:space="preserve">Verificación  de Pistones. Incluye  verificación de tolerancias </t>
  </si>
  <si>
    <t xml:space="preserve">Verificación Camisas de cilindro.Incluye  verificación de tolerancias </t>
  </si>
  <si>
    <t>Cambio de Anillos de Pistón</t>
  </si>
  <si>
    <t>Suministro de Filtros de combustible</t>
  </si>
  <si>
    <t>Suministro de Filtros de aceite</t>
  </si>
  <si>
    <t>Suministro de Filtros de aire</t>
  </si>
  <si>
    <t>Suministro de Bomba de agua</t>
  </si>
  <si>
    <t>Suministro de Juntas</t>
  </si>
  <si>
    <t>Inspección de Árboles de levas</t>
  </si>
  <si>
    <t>Suministro de Cojinetes principales y cojinetes de empuje axial</t>
  </si>
  <si>
    <t>Inspección sistema de Sistema de enfriamiento</t>
  </si>
  <si>
    <t>Inspección de Turbocompresores</t>
  </si>
  <si>
    <t>Inspección de  Bomba de inyección del combustible</t>
  </si>
  <si>
    <t>Motor de arranque</t>
  </si>
  <si>
    <t>Alternador Motor</t>
  </si>
  <si>
    <t>Generador STAMFORD 750 kVA 480V</t>
  </si>
  <si>
    <t>Batería 24V -90A</t>
  </si>
  <si>
    <t>Cargador de Batería</t>
  </si>
  <si>
    <t>Aceite 10w50</t>
  </si>
  <si>
    <t>Kit Cableado electrico 24V- Remales</t>
  </si>
  <si>
    <t>Rehabilitación Tablero Control Local, cableado y revisión de protecciones</t>
  </si>
  <si>
    <t>Torcometro</t>
  </si>
  <si>
    <t>Calibrador</t>
  </si>
  <si>
    <t>Presostato</t>
  </si>
  <si>
    <t>TRANSPORTE DESDE MADRID A PLANTA Y VUELTA</t>
  </si>
  <si>
    <t>Cuadrilla Obras Electromecánicas</t>
  </si>
  <si>
    <t>Juego</t>
  </si>
  <si>
    <t>TUBERIA HD DN 400 PN o CLASE 30 (incluye cargue, transporte y descargue)</t>
  </si>
  <si>
    <t>TUBERIA HD DN 400 PN o CLASE 40 (incluye cargue, transporte y descargue)</t>
  </si>
  <si>
    <t>PGN 2015</t>
  </si>
  <si>
    <t>PGN 2016</t>
  </si>
  <si>
    <t>TASA COMPENSADA</t>
  </si>
  <si>
    <t>RECURSOS PROPIOS DEPTO</t>
  </si>
  <si>
    <t>USOS/FUENTES</t>
  </si>
  <si>
    <t>OBRA</t>
  </si>
  <si>
    <t>INTERVENTORIA</t>
  </si>
  <si>
    <t>REMUNERACION GESTOR</t>
  </si>
  <si>
    <t>SEGUIMIENTO MVCT</t>
  </si>
  <si>
    <t>RECURSOS PROPIOS DEPARTAMENTO</t>
  </si>
  <si>
    <t>Conduccion Tanque Casablanca - PTAP La Mesa</t>
  </si>
  <si>
    <t>% APORTE</t>
  </si>
  <si>
    <t>NIPLE PASAMURO CON ANILLO DE ANCLAJE HD BXB 150MM  L=0 a 1m PN 10 (incluye cargue, transporte y descargue)</t>
  </si>
  <si>
    <t>NIPLE PASAMURO CON ANILLO DE ANCLAJE HD BXB 400MM  L=0 a 1m PN 10 (incluye cargue, transporte y descargue)</t>
  </si>
  <si>
    <t>NIPLE PASAMURO CON ANILLO DE ANCLAJE HD BXB 100MM  L=0 a 1m PN 10 (incluye cargue, transporte y descargue)</t>
  </si>
  <si>
    <t>NIPLE PASAMURO CON ANILLO DE ANCLAJE HD BXB 100MM  L=0 a 1m PN 16 (incluye cargue, transporte y descargue)</t>
  </si>
  <si>
    <t>NIPLE PASAMURO CON ANILLO DE ANCLAJE HD BxB 100MM  L=0 a 1m PN 25 (incluye cargue, transporte y descargue)</t>
  </si>
  <si>
    <t>NIPLE PASAMURO CON ANILLO DE ANCLAJE HD BxB 100MM  L=0 a 1m PN 40 (incluye cargue, transporte y descargue)</t>
  </si>
  <si>
    <t>NIPLE PASAMURO CON ANILLO DE ANCLAJE HD BXB 100MM  L=0 a 1m PN 60 (incluye cargue, transporte y descargue)</t>
  </si>
  <si>
    <t>NIPLE PASAMURO CON ANILLO DE ANCLAJE HD BXB 250MM  L=0 a 1m PN 10 (incluye cargue, transporte y descargue)</t>
  </si>
  <si>
    <t>NIPLE PASAMURO CON ANILLO DE ANCLAJE HD BXB 250MM  L=0 a 1m PN 16 (incluye cargue, transporte y descargue)</t>
  </si>
  <si>
    <t>NIPLE PASAMURO CON ANILLO DE ANCLAJE HD BXB 250MM  L=0 a 1m PN 25 (incluye cargue, transporte y descargue)</t>
  </si>
  <si>
    <t>NIPLE PASAMURO CON ANILLO DE ANCLAJE HD BXB 250MM  L=0 a 1m PN 40 (incluye cargue, transporte y descargue)</t>
  </si>
  <si>
    <t>NIPLE PASAMURO CON ANILLO DE ANCLAJE HD BXB 250MM  L=0 a 1m PN 60 (incluye cargue, transporte y descargue)</t>
  </si>
  <si>
    <t>NIPLE PASAMURO CON ANILLO DE ANCLAJE HD BXB 350MM  L=0 a 1m PN 10 (incluye cargue, transporte y descargue)</t>
  </si>
  <si>
    <t>NIPLE PASAMURO CON ANILLO DE ANCLAJE HD BXB 350MM  L=0 a 1m PN 16 (incluye cargue, transporte y descargue)</t>
  </si>
  <si>
    <t>NIPLE PASAMURO CON ANILLO DE ANCLAJE HD BXB 350MM  L=0 a 1m PN 25 (incluye cargue, transporte y descargue)</t>
  </si>
  <si>
    <t>NIPLE PASAMURO CON ANILLO DE ANCLAJE HD BXB 350MM  L=0 a 1m PN 40 (incluye cargue, transporte y descargue)</t>
  </si>
  <si>
    <t>NIPLE PASAMURO CON ANILLO DE ANCLAJE HD BXB 350MM  L=0 a 1m PN 60 (incluye cargue, transporte y descargue)</t>
  </si>
  <si>
    <t>NIPLE PASAMURO CON ANILLO DE ANCLAJE HD BXB 400MM  L=0 a 1m PN 16 (incluye cargue, transporte y descargue)</t>
  </si>
  <si>
    <t>NIPLE PASAMURO CON ANILLO DE ANCLAJE HD BXB 400MM  L=0 a 1m PN 25 (incluye cargue, transporte y descargue)</t>
  </si>
  <si>
    <t>NIPLE PASAMURO CON ANILLO DE ANCLAJE HD BXB 400MM  L=0 a 1m PN 40 (incluye cargue, transporte y descargue)</t>
  </si>
  <si>
    <t>NIPLE PASAMURO CON ANILLO DE ANCLAJE HD BXB 400MM  L=0 a 1m PN 60 (incluye cargue, transporte y descargue)</t>
  </si>
  <si>
    <t>NIPLE PASAMURO CON ANILLO DE ANCLAJE HD BXB 500MM  L=0 a 1m PN 10 (incluye cargue, transporte y descargue)</t>
  </si>
  <si>
    <t>NIPLE PASAMURO CON ANILLO DE ANCLAJE HD BXL 100MM  L=0 a 1m PN 10 (incluye cargue, transporte y descargue)</t>
  </si>
  <si>
    <t>NIPLE PASAMURO CON ANILLO DE ANCLAJE HD BXL 100MM  L=0 a 1m PN 16 (incluye cargue, transporte y descargue)</t>
  </si>
  <si>
    <t>NIPLE PASAMURO CON ANILLO DE ANCLAJE HD BXL 100MM  L=0 a 1m PN 25 (incluye cargue, transporte y descargue)</t>
  </si>
  <si>
    <t>NIPLE PASAMURO CON ANILLO DE ANCLAJE HD BXL 100MM  L=0 a 1m PN 40 (incluye cargue, transporte y descargue)</t>
  </si>
  <si>
    <t>NIPLE PASAMURO CON ANILLO DE ANCLAJE HD BXL 100MM  L=0 a 1m PN 60 (incluye cargue, transporte y descargue)</t>
  </si>
  <si>
    <t>NIPLE PASAMURO CON ANILLO DE ANCLAJE HD BXL 250MM  L=0 a 1m PN 10 (incluye cargue, transporte y descargue)</t>
  </si>
  <si>
    <t>NIPLE PASAMURO CON ANILLO DE ANCLAJE HD BXL 250MM  L=0 a 1m PN 16 (incluye cargue, transporte y descargue)</t>
  </si>
  <si>
    <t>NIPLE PASAMURO CON ANILLO DE ANCLAJE HD BXL 350MM  L=0 a 1m PN 10 (incluye cargue, transporte y descargue)</t>
  </si>
  <si>
    <t>NIPLE PASAMURO CON ANILLO DE ANCLAJE HD BXL 350MM  L=0 a 1m PN 16 (incluye cargue, transporte y descargue)</t>
  </si>
  <si>
    <t>NIPLE PASAMURO CON ANILLO DE ANCLAJE HD BXL 350MM  L=0 a 1m PN 40 (incluye cargue, transporte y descargue)</t>
  </si>
  <si>
    <t>NIPLE PASAMURO CON ANILLO DE ANCLAJE HD BXL 350MM  L=0 a 1m PN 60 (incluye cargue, transporte y descargue)</t>
  </si>
  <si>
    <t>NIPLE PASAMURO CON ANILLO DE ANCLAJE HD BXL 400MM  L=0 a 1m PN 10 (incluye cargue, transporte y descargue)</t>
  </si>
  <si>
    <t>NIPLE PASAMURO CON ANILLO DE ANCLAJE HD BXL 400MM  L=0 a 1m PN 16 (incluye cargue, transporte y descargue)</t>
  </si>
  <si>
    <t>NIPLE PASAMURO CON ANILLO DE ANCLAJE HD BXL 400MM  L=0 a 1m PN 25 (incluye cargue, transporte y descargue)</t>
  </si>
  <si>
    <t>NIPLE PASAMURO CON ANILLO DE ANCLAJE HD BXL 400MM  L=0 a 1m PN 40 (incluye cargue, transporte y descargue)</t>
  </si>
  <si>
    <t>NIPLE PASAMURO CON ANILLO DE ANCLAJE HD BXL 400MM  L=0 a 1m PN 60 (incluye cargue, transporte y descargue)</t>
  </si>
  <si>
    <t>NIPLE PASAMURO CON ANILLO DE ANCLAJE HD BXL 500MM  L=0 a 1m PN 25 (incluye cargue, transporte y descargue)</t>
  </si>
  <si>
    <t>NIPLE PASAMURO CON ANILLO DE ANCLAJE HD BXL 250MM  L=0 a 1m PN 25 (incluye cargue, transporte y descargue)</t>
  </si>
  <si>
    <t>NIPLE PASAMURO CON ANILLO DE ANCLAJE HD BXB 150MM  L=0 a 1m PN 25 (incluye cargue, transporte y descargue)</t>
  </si>
  <si>
    <t>TUBERIA HD ACERROJADA DN 400 PN o CLASE 40 (incluye cargue, transporte y descargue)</t>
  </si>
  <si>
    <t>TUBERIA HD ACERROJADA DN 500 PN o CLASE 30 (incluye cargue, transporte y descargue)</t>
  </si>
  <si>
    <t>TUBERIA HD ACERROJADA DN 400 PN o CLASE 30 (incluye cargue, transporte y descargue)</t>
  </si>
  <si>
    <t>TUBERIA HD ACERROJADA DN 350 PN o CLASE 40 (incluye cargue, transporte y descargue)</t>
  </si>
  <si>
    <t>TUBERIA HD ACERROJADA DN 300 PN o CLASE 75 (incluye cargue, transporte y descargue)</t>
  </si>
  <si>
    <t>TUBERIA HD ACERROJADA DN 250 PN o CLASE 30 (incluye cargue, transporte y descargue)</t>
  </si>
  <si>
    <t>INSTALACIÓN ACCESORIOS EN HIERRO DUCTIL ACERROJADO 300MM</t>
  </si>
  <si>
    <t>ACERO ESTRUCTURAL  (Incluye suministro e instalacion)</t>
  </si>
  <si>
    <t>Preeliminares de Obra (Incluye Documentacion, transportes, viaticos, uniformes, identificaciones.)</t>
  </si>
  <si>
    <t>Reuniones con la comunidad (incluye Refrigerios, agua, pendones, informacion impresa, logistica. Ver Plan de gestion social en obras.)</t>
  </si>
  <si>
    <t>Cuñas radiales (Las que se requieran durante el transcurso de la obra, no deben ser menos de 15)</t>
  </si>
  <si>
    <t>PLAN DE GESTIÓN SOCIAL EN OBRA</t>
  </si>
  <si>
    <t>ETAPA 2: Ejecución de Obra</t>
  </si>
  <si>
    <t>PERSONAL</t>
  </si>
  <si>
    <t>CANT</t>
  </si>
  <si>
    <t>DEDICACIÓN MENSUAL (%)</t>
  </si>
  <si>
    <t>DURACION TOTAL (MESES)</t>
  </si>
  <si>
    <t>SUELDO BASICO MENSUAL (TARIFA)</t>
  </si>
  <si>
    <t>H/MES</t>
  </si>
  <si>
    <t>SUBTOTAL PERSONAL</t>
  </si>
  <si>
    <t>FM</t>
  </si>
  <si>
    <t>TOTAL PERSONAL</t>
  </si>
  <si>
    <t>GLB</t>
  </si>
  <si>
    <t>VALOR  TOTAL</t>
  </si>
  <si>
    <t>Profesional Social (Trabajador Social).
Profesional en Trabajo Social con al menos 5 años de experiencia certificada en manejo de comunidades en obras de infraestructura civil - Aguas - que posea conocimientos en resolucion de conflictos y planes de gestion social en obras.</t>
  </si>
  <si>
    <t>Auxiliar Social.
Tecnico en areas relacionadas con las humanidades que posea al menos 2 años de experiencia en temas relacionados con servicio al cliente y acompañamiento en el desarrollo de planes de gestion social en obras</t>
  </si>
  <si>
    <t>VR. UNITARIO</t>
  </si>
  <si>
    <t>Interferencias presentadas durante la obra (incluye accesibilidad a viviendas y establecimientos, daños a edificaciones, mobiliario y zonas verdes, suspensión de servicios públicos y notificación de trabajos nocturnos)</t>
  </si>
  <si>
    <t>Punto de atención a la comunidad (incluye pendón informativo, arriendo de oficina, mobiliario y servicios públicos)</t>
  </si>
  <si>
    <t>PERSONAL PROFESIONAL</t>
  </si>
  <si>
    <t>PERSONAL AUXILIAR TECNICO</t>
  </si>
  <si>
    <t>PRELIMINARES DE OBRA</t>
  </si>
  <si>
    <t>REUNIONES CON COMUNIDAD</t>
  </si>
  <si>
    <t xml:space="preserve">INTERFERENCIAS PRESENTADAS DURANTE LA OBRA </t>
  </si>
  <si>
    <t>PUNTO DE ATENCIÓN</t>
  </si>
  <si>
    <t>MICROPROYECTO Y PROYECCIÓN DEL MEDIO AMBIENTE</t>
  </si>
  <si>
    <t>Ejecución de microproyecto encaminado a la protección, cuidado y preservación del medio ambiente y la biodiversidad, con la participación activa de la comunidad</t>
  </si>
  <si>
    <t>PUBLICIDAD</t>
  </si>
  <si>
    <t>Elementos publicitarios (incluye vallas informativas, rectangulares de tres (3) metros de ancho por dos (2) metros de altura, documentacion impresa, publicidad, piezas informativas, pasa calles)</t>
  </si>
  <si>
    <t>FUENTES DE FINANCIACIÓN</t>
  </si>
  <si>
    <t>Celdas de Media Tensión</t>
  </si>
  <si>
    <t>Ver cotización Schnider Colombia</t>
  </si>
  <si>
    <t>Mantenimiento celdas de entrada y salida y de  protección de transformadores (incluye Transporte de las celdas Madrid - Funza - Madrid / Mantenimiento de las celdas preventivo y predictivo(2 QM, 2 GAM, 1 IM) /Pintura/ Repuestos iniciales / Instalación puesta en servicio - Incluye IVA (19%)) *Mantenimiento con Schnider Schneider Electric de Colombia S.A.S</t>
  </si>
  <si>
    <t>Mantenimiento celdas de medida GBC 36 kV, 3 CT´s, 3 TP,s, sin medidor (incluye Transporte de las celdas Madrid - Funza - Madrid / Mantenimiento de las celdas preventivo y predictivo/Pintura/ Repuestos iniciales / Instalación puesta en servicio  - Incluye IVA (19%)) *Mantenimiento con Schneider Electric de Colombia S.A.S</t>
  </si>
  <si>
    <t>Actividades</t>
  </si>
  <si>
    <t>1 año</t>
  </si>
  <si>
    <t>Semanas</t>
  </si>
  <si>
    <t>0-2</t>
  </si>
  <si>
    <t>2-4</t>
  </si>
  <si>
    <t>4-6</t>
  </si>
  <si>
    <t>6-8</t>
  </si>
  <si>
    <t>8-10</t>
  </si>
  <si>
    <t>10-12</t>
  </si>
  <si>
    <t>12-14</t>
  </si>
  <si>
    <t>14-16</t>
  </si>
  <si>
    <t>16-18</t>
  </si>
  <si>
    <t>18-20</t>
  </si>
  <si>
    <t>20-22</t>
  </si>
  <si>
    <t>22-24</t>
  </si>
  <si>
    <t>24-26</t>
  </si>
  <si>
    <t>26-28</t>
  </si>
  <si>
    <t>28-30</t>
  </si>
  <si>
    <t>30-32</t>
  </si>
  <si>
    <t>32-34</t>
  </si>
  <si>
    <t>34-36</t>
  </si>
  <si>
    <t>36-38</t>
  </si>
  <si>
    <t>38-40</t>
  </si>
  <si>
    <t>40-42</t>
  </si>
  <si>
    <t>42-44</t>
  </si>
  <si>
    <t>44-46</t>
  </si>
  <si>
    <t>46-48</t>
  </si>
  <si>
    <t>48-50</t>
  </si>
  <si>
    <t>50-52</t>
  </si>
  <si>
    <t>Frente de Obra (1) entre Caja de derivación (K0+000) a Tanque Casablanca (K2+220)</t>
  </si>
  <si>
    <t>1. Actividades preliminares</t>
  </si>
  <si>
    <t>1.1 Localización y replanteo</t>
  </si>
  <si>
    <t>1.2 Localización y replanteo CCTV</t>
  </si>
  <si>
    <t>2. Instalación de tubería y accesorios</t>
  </si>
  <si>
    <t>2.1 Construcción e Instalación de cajas</t>
  </si>
  <si>
    <t>2.2 Construcción e Instalación de accesorios</t>
  </si>
  <si>
    <t>2.3 Instalación tubería Viaductos</t>
  </si>
  <si>
    <t>3. Pruebas Hidráulicas y Empates</t>
  </si>
  <si>
    <t>3.1 Prueba Hidráulica</t>
  </si>
  <si>
    <t>3.2 Empates cajas y tramos</t>
  </si>
  <si>
    <t>Frente de Obra (2) entre Tanque Casablanca (K2+220) a Tanque Bojacá (K15+932)</t>
  </si>
  <si>
    <t>2.4 Instalación tubería nueva (160m)</t>
  </si>
  <si>
    <t>Frente de Obra (3) entre Tanque Bojacá (15+932) y Cámara de quiebre de presión 5 (K28+545)</t>
  </si>
  <si>
    <t>1.3 Inspección CCTV tubería sin diagnostico</t>
  </si>
  <si>
    <t>1.4 Diagnostico tubería CCTV investigada</t>
  </si>
  <si>
    <t>2.1 Retiro e Instalación de tubería in-situ</t>
  </si>
  <si>
    <t>2.2 Retiro e Instalación de tubería proveniente de zonas del proyecto</t>
  </si>
  <si>
    <t>2.3 Instalación de tubería nueva.</t>
  </si>
  <si>
    <t>2.4 Construcción e Instalación de cajas</t>
  </si>
  <si>
    <t>2.5 Construcción e Instalación de accesorios</t>
  </si>
  <si>
    <t>2.6 Instalación tubería viaductos</t>
  </si>
  <si>
    <t>2.7 Instalación Viaducto alto grande</t>
  </si>
  <si>
    <t>2.8 Instalación Cámaras de Quiebre de Presión</t>
  </si>
  <si>
    <t>Frente de Obra (4) entre Camara de quiebre de presion 5 ( K28+545) y PTAP La Mesa (K39+300)</t>
  </si>
  <si>
    <t>2.2 Retiro de tubería y disposicion en zonas del proyecto</t>
  </si>
  <si>
    <t>2.2 Instalación de tubería proveniente de zonas del proyecto</t>
  </si>
  <si>
    <t>2.6 Instalación tubería acerrojada Sifón de Florián</t>
  </si>
  <si>
    <t>Frente de Obra (5) Estructuras a gran Escala</t>
  </si>
  <si>
    <t>1. Construcción caja de control estación de bombeo</t>
  </si>
  <si>
    <t>2. Construcción Tanque de Recloración La Mesa, incluye caja de entrada y caseta de operación.</t>
  </si>
  <si>
    <t>4. Ajustes Tanque Bojacá</t>
  </si>
  <si>
    <t>5. Construcción Acometida eléctrica estación de bombeo tanque Casablanca.</t>
  </si>
  <si>
    <t xml:space="preserve">1. Se proyectan para la ejecución de los trabajos 5 frentes de obras generales, estos a su vez tendrán diferentes frentes de acuerdo a las actividades necesarias para la rehabilitación del acueducto regional la Mesa Anapoima.
2. En todo caso para la ejecución de las actividades de retiro e instalación de tubería proveniente de diferentes zonas del proyecto, se deberá adelantar la actividad de retiro de tubería existente para su futura reinstalación en las zonas que lo requiera.
3. Los frentes de trabajo 1 y 2 entraran a reforzar las actividades de obra de los frentes 3 y 4 siempre y cuando finalicen las actividades asociadas a cada segmento.
</t>
  </si>
  <si>
    <t>3. Puesta en marcha Estación de Bombeo Tanque Casablanca.</t>
  </si>
  <si>
    <t>PROYECTO: CONSTRUCCIÓN Y PUESTA EN MARCHA DEL ACUEDUCTO REGIONAL LA MESA - ANAPOIMA</t>
  </si>
  <si>
    <t>TANQUE BOJACÁ</t>
  </si>
  <si>
    <t xml:space="preserve">SUMINISTRO, TRANSPORTE E INSTALACIÓN DE RECEBO SELECCIONADO B-200 </t>
  </si>
  <si>
    <t>CONCRETO SIMPLE RESIST 17,5 MPA (175 KG/CM2) PRODUCCIÓN Y VACIADO</t>
  </si>
  <si>
    <t>Instalación de accesorios tanque Bojacá</t>
  </si>
  <si>
    <t>INSTALACIÓN DE MEDIDOR DE DIFERENCIAL PRESIÓN 150 mm</t>
  </si>
  <si>
    <t>INSTALACIÓN DE MEDIDOR DE PRESIÓN ABSOLUTA 150 mm</t>
  </si>
  <si>
    <t>INSTALACIÓN DE MACROMEDIDOR ELECTROMAGNÉTICO 150 MM</t>
  </si>
  <si>
    <t>INSTALACIÓN DE SONDA MULTIPARAMETRICA CALIDAD DE AGUA</t>
  </si>
  <si>
    <t>CARGUE, RETIRO Y DISPOSICION DE SOBRANTES</t>
  </si>
  <si>
    <t>Malla De Cerramiento Eslabonada galvanizada  h= 2m en módulo de 3m</t>
  </si>
  <si>
    <t>BARANDA METÁLICA</t>
  </si>
  <si>
    <t>REHABILITACIÓN ESTACIÓN DE BOMBEO - ELÉCTRICO</t>
  </si>
  <si>
    <t xml:space="preserve">Valor Total </t>
  </si>
  <si>
    <t>Valor Total</t>
  </si>
  <si>
    <t xml:space="preserve">CAMARA DE LLEGADA PTAP LA MESA </t>
  </si>
  <si>
    <t>Cargue, transporte y descargue de accesorios (hasta 22km)</t>
  </si>
  <si>
    <t>REINSTALACIÓN TUBERÍA EN HIERRO DÚCTIL 350MM (14")</t>
  </si>
  <si>
    <t>4.4.4.</t>
  </si>
  <si>
    <t>REINSTALACIÓN TUBERÍA EN HIERRO DÚCTIL 400MM (16")</t>
  </si>
  <si>
    <t>REINSTALACIÓN TUBERÍA EN HIERRO DÚCTIL 250MM (10")</t>
  </si>
  <si>
    <t xml:space="preserve">PAVIMENTO RÍGIDO (MR 41KG/CM2) </t>
  </si>
  <si>
    <t>LINEA DE ALTA PRESION (SIFON DE FLORIAN)</t>
  </si>
  <si>
    <t>Codo 11.25º HD 300 MM ACERROJADO (incluye cargue, transporte y descargue)</t>
  </si>
  <si>
    <t>Codo 22.55º HD 300 MM ACERROJADO (incluye cargue, transporte y descargue)</t>
  </si>
  <si>
    <t>Codo 45º HD 300 MM ACERROJADO (incluye cargue, transporte y descargue)</t>
  </si>
  <si>
    <t>Codo 90º HD 300 MM ACERROJADO (incluye cargue, transporte y descargue)</t>
  </si>
  <si>
    <t>REHABILITACIÓN ESTACIÓN DE BOMBEO - MECÁNICO</t>
  </si>
  <si>
    <t>Otros</t>
  </si>
  <si>
    <t>Subtotal Cajas</t>
  </si>
  <si>
    <t>INSTALACIÓN ACCESORIOS EN HIERRO DÚCTIL 100MM</t>
  </si>
  <si>
    <t xml:space="preserve">Tapa metalica en lámina de alfajor de 6mm con dos láminas de 0,60 x 1,0 m incluye marco en L metálico 2" x3/16", bisagras metálicas y agarraderas </t>
  </si>
  <si>
    <t xml:space="preserve">RESUMEN PRESUPUESTO ESTIMADO </t>
  </si>
  <si>
    <t xml:space="preserve">COSTO DIRECTO </t>
  </si>
  <si>
    <t xml:space="preserve">Subtotal Suministro </t>
  </si>
  <si>
    <t xml:space="preserve">SUBTOTAL TOTAL ESTACIÓN DE BOMBEO </t>
  </si>
  <si>
    <t>Subtotal  Estación de Bombeo</t>
  </si>
  <si>
    <t xml:space="preserve">ADMINISTRACIÓN </t>
  </si>
  <si>
    <t>IMPREVISTOS</t>
  </si>
  <si>
    <t xml:space="preserve">UTILIDAD </t>
  </si>
  <si>
    <t>IVA DE LA UTILIDAD (19%)</t>
  </si>
  <si>
    <t xml:space="preserve">PRESUPUESTO ESTIMADO ETAPA II - OBRA CIVIL </t>
  </si>
  <si>
    <t>SUBTOTAL COSTO DIRECTO ETAPA II - SUMINISTROS</t>
  </si>
  <si>
    <t>SUBTOTAL COSTO DIRECTO ETAPA II - OBRA CIVIL</t>
  </si>
  <si>
    <t xml:space="preserve">Actividades del Plan de gestión social </t>
  </si>
  <si>
    <t xml:space="preserve">PRESUPUESTO ESTIMADO ETAPA II - SUMINISTROS </t>
  </si>
  <si>
    <t xml:space="preserve">PRESUPUESTO ESTIMADO ETAPA II (OBRA CIVIL + SUMINISTROS) </t>
  </si>
  <si>
    <t xml:space="preserve">Vr. Unitario Mínimo </t>
  </si>
  <si>
    <t>Vr. Unitario Máximo</t>
  </si>
  <si>
    <t xml:space="preserve">PROYECTO: CONSTRUCCIÓN Y PUESTA EN MARCHA DEL ACUEDUCTO REGIONAL LA MESA ANAPOIMA </t>
  </si>
  <si>
    <t>PROPUESTA ECONÓMICA PLAN DE GESTIÓN SOCIAL EN OBRA</t>
  </si>
  <si>
    <t xml:space="preserve">DESCRIPCIÓN </t>
  </si>
  <si>
    <t xml:space="preserve">Plan de Gestión Social de Obra, el cual debe incluir como mínimo el personal profesional en el área y que cumpla la experiencia exigida,  en el documento de Estudios Previos y Términos de Referencia. 
Adempas deberá realizar en el plazo de ejecución de las Obras todas las actividades que fueron establecidas en el Plan de Gestión Social de las Obras, las cuales incluyen entre otras: 
1.Preliminares de Obra (Incluye Documentacion, transportes, viaticos, uniformes, identificaciones.)
2. Reuniones con la comunidad (incluye Refrigerios, agua, pendones, informacion impresa, logistica. Ver Plan de gestion social en obras.)
3. Interferencias presentadas durante la obra (incluye accesibilidad a viviendas y establecimientos, daños a edificaciones, mobiliario y zonas verdes, suspensión de servicios públicos y notificación de trabajos nocturnos)
4. Punto de atención a la comunidad (incluye pendón informativo, arriendo de oficina, mobiliario y servicios públicos)
5. Ejecución de microproyecto encaminado a la protección, cuidado y preservación del medio ambiente y la biodiversidad, con la participación activa de la comunidad
6. Cuñas radiales (Las que se requieran durante el transcurso de la obra, no deben ser menos de 15)
7. Elementos publicitarios (incluye vallas informativas, rectangulares de tres (3) metros de ancho por dos (2) metros de altura, documentacion impresa, publicidad, piezas informativas, pasa calles)
8. Las demás incluidas en el Plan de Gestión Social de Obra, Anexo a los documentos de la convocatoria 
</t>
  </si>
  <si>
    <t xml:space="preserve">Vr.Unitario Mínimo </t>
  </si>
  <si>
    <r>
      <rPr>
        <b/>
        <strike/>
        <sz val="11"/>
        <color theme="1"/>
        <rFont val="Arial Narrow"/>
        <family val="2"/>
      </rPr>
      <t>Excavasion</t>
    </r>
    <r>
      <rPr>
        <b/>
        <sz val="11"/>
        <color theme="1"/>
        <rFont val="Arial Narrow"/>
        <family val="2"/>
      </rPr>
      <t xml:space="preserve"> </t>
    </r>
    <r>
      <rPr>
        <b/>
        <i/>
        <u/>
        <sz val="11"/>
        <color theme="1"/>
        <rFont val="Arial Narrow"/>
        <family val="2"/>
      </rPr>
      <t>Excavación</t>
    </r>
    <r>
      <rPr>
        <b/>
        <sz val="11"/>
        <color theme="1"/>
        <rFont val="Arial Narrow"/>
        <family val="2"/>
      </rPr>
      <t xml:space="preserve"> sin zanja sobre Via Bogota-La Mesa</t>
    </r>
  </si>
  <si>
    <r>
      <t xml:space="preserve">EXCAVACIÓN SIN ZANJA (RAMMING) PARA  CRUCE VIA DEPARTAMENTAL CON CAMISA DE ACERO DE </t>
    </r>
    <r>
      <rPr>
        <strike/>
        <sz val="11"/>
        <color theme="1"/>
        <rFont val="Arial Narrow"/>
        <family val="2"/>
      </rPr>
      <t>600"</t>
    </r>
    <r>
      <rPr>
        <sz val="11"/>
        <color theme="1"/>
        <rFont val="Arial Narrow"/>
        <family val="2"/>
      </rPr>
      <t xml:space="preserve"> </t>
    </r>
    <r>
      <rPr>
        <b/>
        <i/>
        <u/>
        <sz val="11"/>
        <rFont val="Arial Narrow"/>
        <family val="2"/>
      </rPr>
      <t>60''</t>
    </r>
    <r>
      <rPr>
        <sz val="11"/>
        <color theme="1"/>
        <rFont val="Arial Narrow"/>
        <family val="2"/>
      </rPr>
      <t xml:space="preserve"> PARA DIAMETRO DE SERVICIO DN 400, (INCLUYE OBRA CIVIL CAJA DE LANZAMIENTO)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</si>
</sst>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8">
    <numFmt numFmtId="41" formatCode="_-* #,##0_-;\-* #,##0_-;_-* &quot;-&quot;_-;_-@_-"/>
    <numFmt numFmtId="44" formatCode="_-&quot;$&quot;\ * #,##0.00_-;\-&quot;$&quot;\ * #,##0.00_-;_-&quot;$&quot;\ * &quot;-&quot;??_-;_-@_-"/>
    <numFmt numFmtId="43" formatCode="_-* #,##0.00_-;\-* #,##0.00_-;_-* &quot;-&quot;??_-;_-@_-"/>
    <numFmt numFmtId="164" formatCode="&quot;$&quot;\ #,##0_);[Red]\(&quot;$&quot;\ #,##0\)"/>
    <numFmt numFmtId="165" formatCode="&quot;$&quot;\ #,##0.00_);[Red]\(&quot;$&quot;\ #,##0.00\)"/>
    <numFmt numFmtId="166" formatCode="_(&quot;$&quot;\ * #,##0_);_(&quot;$&quot;\ * \(#,##0\);_(&quot;$&quot;\ * &quot;-&quot;_);_(@_)"/>
    <numFmt numFmtId="167" formatCode="_(&quot;$&quot;\ * #,##0.00_);_(&quot;$&quot;\ * \(#,##0.00\);_(&quot;$&quot;\ * &quot;-&quot;??_);_(@_)"/>
    <numFmt numFmtId="168" formatCode="_(* #,##0.00_);_(* \(#,##0.00\);_(* &quot;-&quot;??_);_(@_)"/>
    <numFmt numFmtId="169" formatCode="_-&quot;$&quot;* #,##0_-;\-&quot;$&quot;* #,##0_-;_-&quot;$&quot;* &quot;-&quot;_-;_-@_-"/>
    <numFmt numFmtId="170" formatCode="_-&quot;$&quot;* #,##0.00_-;\-&quot;$&quot;* #,##0.00_-;_-&quot;$&quot;* &quot;-&quot;??_-;_-@_-"/>
    <numFmt numFmtId="171" formatCode="_-* #,##0.00\ _€_-;\-* #,##0.00\ _€_-;_-* &quot;-&quot;??\ _€_-;_-@_-"/>
    <numFmt numFmtId="172" formatCode="_(&quot;$&quot;* #,##0.00_);_(&quot;$&quot;* \(#,##0.00\);_(&quot;$&quot;* &quot;-&quot;??_);_(@_)"/>
    <numFmt numFmtId="173" formatCode="_(&quot;$&quot;\ * #,##0_);_(&quot;$&quot;\ * \(#,##0\);_(&quot;$&quot;\ * &quot;-&quot;??_);_(@_)"/>
    <numFmt numFmtId="174" formatCode="&quot;$&quot;\ #,##0.00"/>
    <numFmt numFmtId="175" formatCode="&quot;$&quot;\ #,##0"/>
    <numFmt numFmtId="176" formatCode="_([$$-240A]\ * #,##0.00_);_([$$-240A]\ * \(#,##0.00\);_([$$-240A]\ * &quot;-&quot;??_);_(@_)"/>
    <numFmt numFmtId="177" formatCode="0.000"/>
    <numFmt numFmtId="178" formatCode="0.0"/>
    <numFmt numFmtId="179" formatCode="###,000.00;###,000.00"/>
    <numFmt numFmtId="180" formatCode="_([$$-240A]\ * #,##0_);_([$$-240A]\ * \(#,##0\);_([$$-240A]\ * &quot;-&quot;??_);_(@_)"/>
    <numFmt numFmtId="181" formatCode="_(* #,##0_);_(* \(#,##0\);_(* &quot;-&quot;??_);_(@_)"/>
    <numFmt numFmtId="182" formatCode="0.0000"/>
    <numFmt numFmtId="183" formatCode="_([$$-240A]\ * #,##0.0_);_([$$-240A]\ * \(#,##0.0\);_([$$-240A]\ * &quot;-&quot;??_);_(@_)"/>
    <numFmt numFmtId="184" formatCode="_(&quot;$&quot;\ * #,##0.0_);_(&quot;$&quot;\ * \(#,##0.0\);_(&quot;$&quot;\ * &quot;-&quot;??_);_(@_)"/>
    <numFmt numFmtId="185" formatCode="_(&quot;$&quot;\ * #,##0.000_);_(&quot;$&quot;\ * \(#,##0.000\);_(&quot;$&quot;\ * &quot;-&quot;??_);_(@_)"/>
    <numFmt numFmtId="186" formatCode="#,##0.0_);\(#,##0.0\)"/>
    <numFmt numFmtId="187" formatCode="_([$$-240A]\ * #,##0.0000_);_([$$-240A]\ * \(#,##0.0000\);_([$$-240A]\ * &quot;-&quot;??_);_(@_)"/>
    <numFmt numFmtId="188" formatCode="&quot;$&quot;\ #,##0.000"/>
    <numFmt numFmtId="189" formatCode="_(&quot;$&quot;\ * #,##0.0000_);_(&quot;$&quot;\ * \(#,##0.0000\);_(&quot;$&quot;\ * &quot;-&quot;??_);_(@_)"/>
    <numFmt numFmtId="190" formatCode="#,##0.0"/>
    <numFmt numFmtId="191" formatCode="_(&quot;$&quot;\ * #,##0.0_);_(&quot;$&quot;\ * \(#,##0.0\);_(&quot;$&quot;\ * &quot;-&quot;?_);_(@_)"/>
    <numFmt numFmtId="192" formatCode="_(&quot;$&quot;\ * #,##0_);_(&quot;$&quot;\ * \(#,##0\);_(&quot;$&quot;\ * &quot;-&quot;?_);_(@_)"/>
    <numFmt numFmtId="193" formatCode="_ &quot;$&quot;\ * #,##0.00_ ;_ &quot;$&quot;\ * \-#,##0.00_ ;_ &quot;$&quot;\ * &quot;-&quot;??_ ;_ @_ "/>
    <numFmt numFmtId="194" formatCode="#."/>
    <numFmt numFmtId="195" formatCode="#.00"/>
    <numFmt numFmtId="196" formatCode="_-&quot;$&quot;* #,##0_-;\-&quot;$&quot;* #,##0_-;_-&quot;$&quot;* &quot;-&quot;??_-;_-@_-"/>
    <numFmt numFmtId="197" formatCode="&quot;$&quot;#.00"/>
    <numFmt numFmtId="198" formatCode="#,##0.00000"/>
    <numFmt numFmtId="199" formatCode="&quot;PRESTACIONES &quot;0%"/>
    <numFmt numFmtId="200" formatCode="&quot;$&quot;#,##0"/>
    <numFmt numFmtId="201" formatCode="\K0\+000"/>
    <numFmt numFmtId="202" formatCode="0.00\ &quot;m&quot;"/>
    <numFmt numFmtId="203" formatCode="0\ &quot;mm&quot;"/>
    <numFmt numFmtId="204" formatCode="\K0#&quot;+&quot;##0_);\(#,##0\)"/>
    <numFmt numFmtId="205" formatCode="_-[$$-240A]\ * #,##0.00_ ;_-[$$-240A]\ * \-#,##0.00\ ;_-[$$-240A]\ * &quot;-&quot;??_ ;_-@_ "/>
    <numFmt numFmtId="206" formatCode="_-[$$-240A]\ * #,##0_ ;_-[$$-240A]\ * \-#,##0\ ;_-[$$-240A]\ * &quot;-&quot;??_ ;_-@_ "/>
    <numFmt numFmtId="207" formatCode="_ [$€]\ * #,##0.00_ ;_ [$€]\ * \-#,##0.00_ ;_ [$€]\ * &quot;-&quot;??_ ;_ @_ "/>
    <numFmt numFmtId="208" formatCode="&quot;$&quot;#,##0_);[Red]\(&quot;$&quot;#,##0\)"/>
    <numFmt numFmtId="209" formatCode="&quot;$&quot;#,##0.00"/>
    <numFmt numFmtId="210" formatCode="0.000000"/>
    <numFmt numFmtId="211" formatCode="#,##0_ ;\-#,##0\ "/>
    <numFmt numFmtId="212" formatCode="_-&quot;$&quot;\ * #,##0_-;\-&quot;$&quot;\ * #,##0_-;_-&quot;$&quot;\ * &quot;-&quot;??_-;_-@_-"/>
    <numFmt numFmtId="213" formatCode="_(&quot;$&quot;\ * #,##0.00_);_(&quot;$&quot;\ * \(#,##0.00\);_(&quot;$&quot;\ * &quot;-&quot;?_);_(@_)"/>
    <numFmt numFmtId="214" formatCode="0.000%"/>
    <numFmt numFmtId="215" formatCode="0.00000%"/>
    <numFmt numFmtId="216" formatCode="_(&quot;$&quot;\ * #,##0.00000000_);_(&quot;$&quot;\ * \(#,##0.00000000\);_(&quot;$&quot;\ * &quot;-&quot;??_);_(@_)"/>
    <numFmt numFmtId="217" formatCode="0.00000"/>
    <numFmt numFmtId="218" formatCode="_(&quot;$&quot;\ * #,##0.00000_);_(&quot;$&quot;\ * \(#,##0.00000\);_(&quot;$&quot;\ * &quot;-&quot;??_);_(@_)"/>
  </numFmts>
  <fonts count="97" x14ac:knownFonts="1">
    <font>
      <sz val="11"/>
      <color theme="1"/>
      <name val="Calibri"/>
      <family val="2"/>
      <scheme val="minor"/>
    </font>
    <font>
      <sz val="9"/>
      <color theme="1"/>
      <name val="Calibri"/>
      <family val="2"/>
    </font>
    <font>
      <sz val="11"/>
      <color theme="1"/>
      <name val="Calibri"/>
      <family val="2"/>
      <scheme val="minor"/>
    </font>
    <font>
      <sz val="11"/>
      <color theme="1"/>
      <name val="Calibri"/>
      <family val="2"/>
      <scheme val="minor"/>
    </font>
    <font>
      <b/>
      <sz val="11"/>
      <color theme="1"/>
      <name val="Calibri"/>
      <family val="2"/>
      <scheme val="minor"/>
    </font>
    <font>
      <b/>
      <sz val="14"/>
      <color theme="1"/>
      <name val="Calibri"/>
      <family val="2"/>
      <scheme val="minor"/>
    </font>
    <font>
      <b/>
      <sz val="12"/>
      <color theme="1"/>
      <name val="Calibri"/>
      <family val="2"/>
      <scheme val="minor"/>
    </font>
    <font>
      <b/>
      <sz val="10"/>
      <color theme="1"/>
      <name val="Calibri"/>
      <family val="2"/>
      <scheme val="minor"/>
    </font>
    <font>
      <sz val="10"/>
      <color theme="1"/>
      <name val="Calibri"/>
      <family val="2"/>
      <scheme val="minor"/>
    </font>
    <font>
      <vertAlign val="superscript"/>
      <sz val="10"/>
      <color theme="1"/>
      <name val="Calibri"/>
      <family val="2"/>
      <scheme val="minor"/>
    </font>
    <font>
      <sz val="9"/>
      <color theme="1"/>
      <name val="Calibri"/>
      <family val="2"/>
      <scheme val="minor"/>
    </font>
    <font>
      <sz val="10"/>
      <name val="Courier New"/>
      <family val="3"/>
    </font>
    <font>
      <b/>
      <sz val="10"/>
      <name val="Courier New"/>
      <family val="3"/>
    </font>
    <font>
      <vertAlign val="superscript"/>
      <sz val="10"/>
      <color indexed="8"/>
      <name val="Calibri"/>
      <family val="2"/>
    </font>
    <font>
      <b/>
      <sz val="16"/>
      <color theme="1"/>
      <name val="Calibri"/>
      <family val="2"/>
      <scheme val="minor"/>
    </font>
    <font>
      <b/>
      <sz val="12"/>
      <color rgb="FF000000"/>
      <name val="Calibri"/>
      <family val="2"/>
      <scheme val="minor"/>
    </font>
    <font>
      <b/>
      <sz val="11"/>
      <color rgb="FF000000"/>
      <name val="Calibri"/>
      <family val="2"/>
      <scheme val="minor"/>
    </font>
    <font>
      <b/>
      <sz val="9"/>
      <color theme="1"/>
      <name val="Calibri"/>
      <family val="2"/>
      <scheme val="minor"/>
    </font>
    <font>
      <sz val="10"/>
      <color theme="1"/>
      <name val="Swis721 BT"/>
      <family val="2"/>
    </font>
    <font>
      <sz val="10"/>
      <color rgb="FF000000"/>
      <name val="Calibri"/>
      <family val="2"/>
      <scheme val="minor"/>
    </font>
    <font>
      <sz val="10"/>
      <name val="Calibri"/>
      <family val="2"/>
      <scheme val="minor"/>
    </font>
    <font>
      <b/>
      <sz val="10"/>
      <name val="Calibri"/>
      <family val="2"/>
      <scheme val="minor"/>
    </font>
    <font>
      <i/>
      <sz val="10"/>
      <color theme="1"/>
      <name val="Calibri"/>
      <family val="2"/>
      <scheme val="minor"/>
    </font>
    <font>
      <i/>
      <sz val="9"/>
      <color theme="1"/>
      <name val="Calibri"/>
      <family val="2"/>
      <scheme val="minor"/>
    </font>
    <font>
      <i/>
      <sz val="11"/>
      <color theme="1"/>
      <name val="Calibri"/>
      <family val="2"/>
      <scheme val="minor"/>
    </font>
    <font>
      <sz val="10"/>
      <color rgb="FFFF0000"/>
      <name val="Calibri"/>
      <family val="2"/>
      <scheme val="minor"/>
    </font>
    <font>
      <b/>
      <sz val="10"/>
      <color rgb="FFFF0000"/>
      <name val="Calibri"/>
      <family val="2"/>
      <scheme val="minor"/>
    </font>
    <font>
      <sz val="9"/>
      <name val="Calibri"/>
      <family val="2"/>
    </font>
    <font>
      <b/>
      <sz val="9"/>
      <name val="Calibri"/>
      <family val="2"/>
    </font>
    <font>
      <sz val="11"/>
      <color rgb="FFFF0000"/>
      <name val="Calibri"/>
      <family val="2"/>
      <scheme val="minor"/>
    </font>
    <font>
      <b/>
      <sz val="10"/>
      <color theme="1"/>
      <name val="Calibri"/>
      <family val="2"/>
    </font>
    <font>
      <sz val="10"/>
      <color theme="1"/>
      <name val="Calibri"/>
      <family val="2"/>
    </font>
    <font>
      <sz val="10"/>
      <color theme="1"/>
      <name val="Arial"/>
      <family val="2"/>
    </font>
    <font>
      <sz val="11"/>
      <name val="Calibri"/>
      <family val="2"/>
      <scheme val="minor"/>
    </font>
    <font>
      <b/>
      <vertAlign val="superscript"/>
      <sz val="10"/>
      <color theme="1"/>
      <name val="Calibri"/>
      <family val="2"/>
    </font>
    <font>
      <sz val="10"/>
      <name val="Arial"/>
      <family val="2"/>
    </font>
    <font>
      <sz val="9"/>
      <color indexed="81"/>
      <name val="Tahoma"/>
      <family val="2"/>
    </font>
    <font>
      <b/>
      <sz val="9"/>
      <color indexed="81"/>
      <name val="Tahoma"/>
      <family val="2"/>
    </font>
    <font>
      <b/>
      <sz val="8"/>
      <color theme="1"/>
      <name val="Arial"/>
      <family val="2"/>
    </font>
    <font>
      <sz val="8"/>
      <color theme="1"/>
      <name val="Calibri"/>
      <family val="2"/>
      <scheme val="minor"/>
    </font>
    <font>
      <b/>
      <vertAlign val="superscript"/>
      <sz val="8"/>
      <color theme="1"/>
      <name val="Arial"/>
      <family val="2"/>
    </font>
    <font>
      <sz val="8"/>
      <color theme="1"/>
      <name val="Calibri"/>
      <family val="2"/>
    </font>
    <font>
      <b/>
      <sz val="8"/>
      <color theme="1"/>
      <name val="Calibri"/>
      <family val="2"/>
      <scheme val="minor"/>
    </font>
    <font>
      <sz val="8"/>
      <name val="Calibri"/>
      <family val="2"/>
      <scheme val="minor"/>
    </font>
    <font>
      <sz val="8"/>
      <color rgb="FFFF0000"/>
      <name val="Calibri"/>
      <family val="2"/>
      <scheme val="minor"/>
    </font>
    <font>
      <sz val="11"/>
      <color theme="0" tint="-0.34998626667073579"/>
      <name val="Calibri"/>
      <family val="2"/>
      <scheme val="minor"/>
    </font>
    <font>
      <sz val="9"/>
      <color theme="1"/>
      <name val="arial"/>
      <family val="2"/>
    </font>
    <font>
      <b/>
      <i/>
      <sz val="11"/>
      <color theme="1"/>
      <name val="Calibri"/>
      <family val="2"/>
      <scheme val="minor"/>
    </font>
    <font>
      <b/>
      <sz val="18"/>
      <color theme="3"/>
      <name val="Cambria"/>
      <family val="2"/>
      <scheme val="major"/>
    </font>
    <font>
      <b/>
      <sz val="15"/>
      <color theme="3"/>
      <name val="arial"/>
      <family val="2"/>
    </font>
    <font>
      <b/>
      <sz val="13"/>
      <color theme="3"/>
      <name val="arial"/>
      <family val="2"/>
    </font>
    <font>
      <b/>
      <sz val="11"/>
      <color theme="3"/>
      <name val="arial"/>
      <family val="2"/>
    </font>
    <font>
      <sz val="9"/>
      <color rgb="FF006100"/>
      <name val="arial"/>
      <family val="2"/>
    </font>
    <font>
      <sz val="9"/>
      <color rgb="FF9C0006"/>
      <name val="arial"/>
      <family val="2"/>
    </font>
    <font>
      <sz val="9"/>
      <color rgb="FF9C6500"/>
      <name val="arial"/>
      <family val="2"/>
    </font>
    <font>
      <sz val="9"/>
      <color rgb="FF3F3F76"/>
      <name val="arial"/>
      <family val="2"/>
    </font>
    <font>
      <b/>
      <sz val="9"/>
      <color rgb="FF3F3F3F"/>
      <name val="arial"/>
      <family val="2"/>
    </font>
    <font>
      <b/>
      <sz val="9"/>
      <color rgb="FFFA7D00"/>
      <name val="arial"/>
      <family val="2"/>
    </font>
    <font>
      <sz val="9"/>
      <color rgb="FFFA7D00"/>
      <name val="arial"/>
      <family val="2"/>
    </font>
    <font>
      <b/>
      <sz val="9"/>
      <color theme="0"/>
      <name val="arial"/>
      <family val="2"/>
    </font>
    <font>
      <sz val="9"/>
      <color rgb="FFFF0000"/>
      <name val="arial"/>
      <family val="2"/>
    </font>
    <font>
      <i/>
      <sz val="9"/>
      <color rgb="FF7F7F7F"/>
      <name val="arial"/>
      <family val="2"/>
    </font>
    <font>
      <b/>
      <sz val="9"/>
      <color theme="1"/>
      <name val="arial"/>
      <family val="2"/>
    </font>
    <font>
      <sz val="9"/>
      <color theme="0"/>
      <name val="arial"/>
      <family val="2"/>
    </font>
    <font>
      <sz val="1"/>
      <color indexed="8"/>
      <name val="Courier"/>
      <family val="3"/>
    </font>
    <font>
      <b/>
      <sz val="1"/>
      <color indexed="8"/>
      <name val="Courier"/>
      <family val="3"/>
    </font>
    <font>
      <b/>
      <sz val="11"/>
      <name val="Arial Narrow"/>
      <family val="2"/>
    </font>
    <font>
      <sz val="11"/>
      <color theme="1"/>
      <name val="Arial Narrow"/>
      <family val="2"/>
    </font>
    <font>
      <sz val="11"/>
      <name val="Arial Narrow"/>
      <family val="2"/>
    </font>
    <font>
      <b/>
      <sz val="11"/>
      <color theme="1"/>
      <name val="Arial Narrow"/>
      <family val="2"/>
    </font>
    <font>
      <b/>
      <sz val="12"/>
      <color theme="1"/>
      <name val="Arial Narrow"/>
      <family val="2"/>
    </font>
    <font>
      <sz val="11"/>
      <color theme="0"/>
      <name val="Calibri"/>
      <family val="2"/>
      <scheme val="minor"/>
    </font>
    <font>
      <vertAlign val="superscript"/>
      <sz val="11"/>
      <color theme="1"/>
      <name val="Calibri"/>
      <family val="2"/>
      <scheme val="minor"/>
    </font>
    <font>
      <sz val="12"/>
      <name val="Calibri"/>
      <family val="2"/>
      <scheme val="minor"/>
    </font>
    <font>
      <sz val="11"/>
      <color indexed="8"/>
      <name val="Calibri"/>
      <family val="2"/>
    </font>
    <font>
      <sz val="11"/>
      <color rgb="FF000000"/>
      <name val="Calibri"/>
      <family val="2"/>
      <charset val="204"/>
    </font>
    <font>
      <sz val="11"/>
      <color theme="0" tint="-0.14999847407452621"/>
      <name val="Calibri"/>
      <family val="2"/>
      <scheme val="minor"/>
    </font>
    <font>
      <b/>
      <sz val="16"/>
      <color theme="1"/>
      <name val="Arial Narrow"/>
      <family val="2"/>
    </font>
    <font>
      <sz val="12"/>
      <color theme="1"/>
      <name val="Arial Narrow"/>
      <family val="2"/>
    </font>
    <font>
      <b/>
      <sz val="12"/>
      <name val="Arial Narrow"/>
      <family val="2"/>
    </font>
    <font>
      <sz val="12"/>
      <name val="Arial Narrow"/>
      <family val="2"/>
    </font>
    <font>
      <b/>
      <sz val="12"/>
      <color rgb="FF0000FF"/>
      <name val="Arial Narrow"/>
      <family val="2"/>
    </font>
    <font>
      <sz val="12"/>
      <color rgb="FFFF0000"/>
      <name val="Arial Narrow"/>
      <family val="2"/>
    </font>
    <font>
      <b/>
      <sz val="12"/>
      <color theme="1"/>
      <name val="Arial"/>
      <family val="2"/>
    </font>
    <font>
      <sz val="12"/>
      <color theme="1"/>
      <name val="Calibri"/>
      <family val="2"/>
      <scheme val="minor"/>
    </font>
    <font>
      <b/>
      <sz val="10"/>
      <color theme="1"/>
      <name val="Arial"/>
      <family val="2"/>
    </font>
    <font>
      <sz val="10"/>
      <color rgb="FF000000"/>
      <name val="Arial"/>
      <family val="2"/>
    </font>
    <font>
      <u/>
      <sz val="10"/>
      <color theme="1"/>
      <name val="Arial"/>
      <family val="2"/>
    </font>
    <font>
      <sz val="10"/>
      <color theme="1"/>
      <name val="Arial Narrow"/>
      <family val="2"/>
    </font>
    <font>
      <b/>
      <sz val="10"/>
      <color theme="1"/>
      <name val="Arial Narrow"/>
      <family val="2"/>
    </font>
    <font>
      <sz val="12.1"/>
      <name val="Arial Narrow"/>
      <family val="2"/>
    </font>
    <font>
      <b/>
      <i/>
      <u/>
      <sz val="11"/>
      <color theme="1"/>
      <name val="Arial Narrow"/>
      <family val="2"/>
    </font>
    <font>
      <b/>
      <i/>
      <u val="singleAccounting"/>
      <sz val="11"/>
      <color theme="1"/>
      <name val="Arial Narrow"/>
      <family val="2"/>
    </font>
    <font>
      <b/>
      <strike/>
      <sz val="11"/>
      <color theme="1"/>
      <name val="Arial Narrow"/>
      <family val="2"/>
    </font>
    <font>
      <b/>
      <i/>
      <u/>
      <sz val="11"/>
      <name val="Arial Narrow"/>
      <family val="2"/>
    </font>
    <font>
      <strike/>
      <sz val="11"/>
      <color theme="1"/>
      <name val="Arial Narrow"/>
      <family val="2"/>
    </font>
    <font>
      <strike/>
      <sz val="10"/>
      <color theme="1"/>
      <name val="Arial Narrow"/>
      <family val="2"/>
    </font>
  </fonts>
  <fills count="49">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2"/>
        <bgColor indexed="64"/>
      </patternFill>
    </fill>
    <fill>
      <patternFill patternType="solid">
        <fgColor theme="2" tint="-0.249977111117893"/>
        <bgColor indexed="64"/>
      </patternFill>
    </fill>
    <fill>
      <patternFill patternType="solid">
        <fgColor rgb="FF00B050"/>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tint="0.79998168889431442"/>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rgb="FFFFC000"/>
        <bgColor indexed="64"/>
      </patternFill>
    </fill>
    <fill>
      <patternFill patternType="solid">
        <fgColor theme="0" tint="-0.34998626667073579"/>
        <bgColor indexed="64"/>
      </patternFill>
    </fill>
    <fill>
      <patternFill patternType="solid">
        <fgColor rgb="FFFF0000"/>
        <bgColor indexed="64"/>
      </patternFill>
    </fill>
  </fills>
  <borders count="150">
    <border>
      <left/>
      <right/>
      <top/>
      <bottom/>
      <diagonal/>
    </border>
    <border>
      <left style="medium">
        <color indexed="64"/>
      </left>
      <right style="dashed">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dashed">
        <color indexed="64"/>
      </left>
      <right style="medium">
        <color indexed="64"/>
      </right>
      <top style="medium">
        <color indexed="64"/>
      </top>
      <bottom style="medium">
        <color indexed="64"/>
      </bottom>
      <diagonal/>
    </border>
    <border>
      <left style="dashed">
        <color indexed="64"/>
      </left>
      <right style="dashed">
        <color indexed="64"/>
      </right>
      <top style="medium">
        <color indexed="64"/>
      </top>
      <bottom style="dashed">
        <color indexed="64"/>
      </bottom>
      <diagonal/>
    </border>
    <border>
      <left style="dashed">
        <color indexed="64"/>
      </left>
      <right style="medium">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
      <left style="medium">
        <color indexed="64"/>
      </left>
      <right/>
      <top style="dashed">
        <color indexed="64"/>
      </top>
      <bottom style="dashed">
        <color indexed="64"/>
      </bottom>
      <diagonal/>
    </border>
    <border>
      <left style="medium">
        <color indexed="64"/>
      </left>
      <right/>
      <top style="dashed">
        <color indexed="64"/>
      </top>
      <bottom style="medium">
        <color indexed="64"/>
      </bottom>
      <diagonal/>
    </border>
    <border>
      <left/>
      <right/>
      <top style="dashed">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dashed">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dashed">
        <color indexed="64"/>
      </bottom>
      <diagonal/>
    </border>
    <border>
      <left style="medium">
        <color indexed="64"/>
      </left>
      <right/>
      <top/>
      <bottom style="medium">
        <color indexed="64"/>
      </bottom>
      <diagonal/>
    </border>
    <border>
      <left/>
      <right style="medium">
        <color indexed="64"/>
      </right>
      <top style="dashed">
        <color indexed="64"/>
      </top>
      <bottom style="medium">
        <color indexed="64"/>
      </bottom>
      <diagonal/>
    </border>
    <border>
      <left style="medium">
        <color indexed="64"/>
      </left>
      <right style="medium">
        <color indexed="64"/>
      </right>
      <top style="dashed">
        <color indexed="64"/>
      </top>
      <bottom style="medium">
        <color indexed="64"/>
      </bottom>
      <diagonal/>
    </border>
    <border>
      <left style="medium">
        <color indexed="64"/>
      </left>
      <right/>
      <top style="dashed">
        <color indexed="64"/>
      </top>
      <bottom/>
      <diagonal/>
    </border>
    <border>
      <left style="medium">
        <color indexed="64"/>
      </left>
      <right style="hair">
        <color indexed="64"/>
      </right>
      <top style="hair">
        <color indexed="64"/>
      </top>
      <bottom style="hair">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dashed">
        <color indexed="64"/>
      </right>
      <top style="medium">
        <color indexed="64"/>
      </top>
      <bottom style="dashed">
        <color indexed="64"/>
      </bottom>
      <diagonal/>
    </border>
    <border>
      <left style="medium">
        <color indexed="64"/>
      </left>
      <right style="dashed">
        <color indexed="64"/>
      </right>
      <top style="dashed">
        <color indexed="64"/>
      </top>
      <bottom/>
      <diagonal/>
    </border>
    <border>
      <left style="dashed">
        <color indexed="64"/>
      </left>
      <right style="dashed">
        <color indexed="64"/>
      </right>
      <top style="dashed">
        <color indexed="64"/>
      </top>
      <bottom/>
      <diagonal/>
    </border>
    <border>
      <left style="dashed">
        <color indexed="64"/>
      </left>
      <right style="medium">
        <color indexed="64"/>
      </right>
      <top style="dashed">
        <color indexed="64"/>
      </top>
      <bottom/>
      <diagonal/>
    </border>
    <border>
      <left style="medium">
        <color indexed="64"/>
      </left>
      <right style="dashed">
        <color indexed="64"/>
      </right>
      <top style="dashed">
        <color indexed="64"/>
      </top>
      <bottom style="medium">
        <color indexed="64"/>
      </bottom>
      <diagonal/>
    </border>
    <border>
      <left style="dashed">
        <color indexed="64"/>
      </left>
      <right style="dashed">
        <color indexed="64"/>
      </right>
      <top style="dashed">
        <color indexed="64"/>
      </top>
      <bottom style="medium">
        <color indexed="64"/>
      </bottom>
      <diagonal/>
    </border>
    <border>
      <left style="dashed">
        <color indexed="64"/>
      </left>
      <right style="medium">
        <color indexed="64"/>
      </right>
      <top style="dashed">
        <color indexed="64"/>
      </top>
      <bottom style="medium">
        <color indexed="64"/>
      </bottom>
      <diagonal/>
    </border>
    <border>
      <left/>
      <right/>
      <top/>
      <bottom style="medium">
        <color indexed="64"/>
      </bottom>
      <diagonal/>
    </border>
    <border>
      <left style="medium">
        <color indexed="64"/>
      </left>
      <right style="hair">
        <color indexed="64"/>
      </right>
      <top style="medium">
        <color indexed="64"/>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style="medium">
        <color indexed="64"/>
      </left>
      <right style="thin">
        <color indexed="64"/>
      </right>
      <top/>
      <bottom style="hair">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hair">
        <color indexed="64"/>
      </right>
      <top style="hair">
        <color indexed="64"/>
      </top>
      <bottom style="medium">
        <color indexed="64"/>
      </bottom>
      <diagonal/>
    </border>
    <border>
      <left style="thin">
        <color indexed="64"/>
      </left>
      <right style="thin">
        <color indexed="64"/>
      </right>
      <top style="medium">
        <color indexed="64"/>
      </top>
      <bottom style="hair">
        <color indexed="64"/>
      </bottom>
      <diagonal/>
    </border>
    <border>
      <left style="medium">
        <color rgb="FF000000"/>
      </left>
      <right style="thin">
        <color indexed="64"/>
      </right>
      <top style="medium">
        <color indexed="64"/>
      </top>
      <bottom style="hair">
        <color rgb="FF000000"/>
      </bottom>
      <diagonal/>
    </border>
    <border>
      <left style="medium">
        <color rgb="FF000000"/>
      </left>
      <right style="thin">
        <color indexed="64"/>
      </right>
      <top style="hair">
        <color rgb="FF000000"/>
      </top>
      <bottom style="hair">
        <color rgb="FF000000"/>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rgb="FF000000"/>
      </bottom>
      <diagonal/>
    </border>
    <border>
      <left style="medium">
        <color rgb="FF000000"/>
      </left>
      <right style="thin">
        <color rgb="FF000000"/>
      </right>
      <top style="medium">
        <color indexed="64"/>
      </top>
      <bottom style="hair">
        <color rgb="FF000000"/>
      </bottom>
      <diagonal/>
    </border>
    <border>
      <left style="thin">
        <color rgb="FF000000"/>
      </left>
      <right style="thin">
        <color rgb="FF000000"/>
      </right>
      <top style="medium">
        <color indexed="64"/>
      </top>
      <bottom style="hair">
        <color rgb="FF000000"/>
      </bottom>
      <diagonal/>
    </border>
    <border>
      <left style="medium">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style="hair">
        <color rgb="FF000000"/>
      </bottom>
      <diagonal/>
    </border>
    <border>
      <left style="medium">
        <color rgb="FF000000"/>
      </left>
      <right/>
      <top style="medium">
        <color indexed="64"/>
      </top>
      <bottom style="hair">
        <color rgb="FF000000"/>
      </bottom>
      <diagonal/>
    </border>
    <border>
      <left style="thin">
        <color indexed="64"/>
      </left>
      <right style="thin">
        <color indexed="64"/>
      </right>
      <top style="medium">
        <color indexed="64"/>
      </top>
      <bottom style="hair">
        <color rgb="FF000000"/>
      </bottom>
      <diagonal/>
    </border>
    <border>
      <left style="medium">
        <color rgb="FF000000"/>
      </left>
      <right/>
      <top style="hair">
        <color rgb="FF000000"/>
      </top>
      <bottom style="hair">
        <color rgb="FF000000"/>
      </bottom>
      <diagonal/>
    </border>
    <border>
      <left style="thin">
        <color indexed="64"/>
      </left>
      <right style="thin">
        <color indexed="64"/>
      </right>
      <top style="hair">
        <color rgb="FF000000"/>
      </top>
      <bottom style="hair">
        <color rgb="FF000000"/>
      </bottom>
      <diagonal/>
    </border>
    <border>
      <left style="medium">
        <color indexed="64"/>
      </left>
      <right/>
      <top style="hair">
        <color indexed="64"/>
      </top>
      <bottom style="hair">
        <color indexed="64"/>
      </bottom>
      <diagonal/>
    </border>
    <border>
      <left style="medium">
        <color rgb="FF000000"/>
      </left>
      <right style="thin">
        <color indexed="64"/>
      </right>
      <top style="medium">
        <color indexed="64"/>
      </top>
      <bottom/>
      <diagonal/>
    </border>
    <border>
      <left style="medium">
        <color rgb="FF000000"/>
      </left>
      <right style="thin">
        <color indexed="64"/>
      </right>
      <top style="hair">
        <color rgb="FF000000"/>
      </top>
      <bottom/>
      <diagonal/>
    </border>
    <border>
      <left/>
      <right style="medium">
        <color indexed="64"/>
      </right>
      <top style="hair">
        <color indexed="64"/>
      </top>
      <bottom style="hair">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hair">
        <color auto="1"/>
      </left>
      <right style="hair">
        <color auto="1"/>
      </right>
      <top style="hair">
        <color auto="1"/>
      </top>
      <bottom style="hair">
        <color auto="1"/>
      </bottom>
      <diagonal/>
    </border>
    <border>
      <left style="hair">
        <color auto="1"/>
      </left>
      <right/>
      <top/>
      <bottom/>
      <diagonal/>
    </border>
    <border>
      <left style="thin">
        <color auto="1"/>
      </left>
      <right style="thin">
        <color auto="1"/>
      </right>
      <top style="thin">
        <color auto="1"/>
      </top>
      <bottom style="thin">
        <color auto="1"/>
      </bottom>
      <diagonal/>
    </border>
    <border>
      <left style="dashed">
        <color indexed="64"/>
      </left>
      <right/>
      <top style="dashed">
        <color indexed="64"/>
      </top>
      <bottom style="dashed">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hair">
        <color indexed="64"/>
      </bottom>
      <diagonal/>
    </border>
    <border>
      <left style="thin">
        <color auto="1"/>
      </left>
      <right style="medium">
        <color auto="1"/>
      </right>
      <top style="thin">
        <color auto="1"/>
      </top>
      <bottom style="thin">
        <color auto="1"/>
      </bottom>
      <diagonal/>
    </border>
    <border>
      <left/>
      <right style="thin">
        <color indexed="64"/>
      </right>
      <top/>
      <bottom style="thin">
        <color indexed="64"/>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thin">
        <color indexed="64"/>
      </left>
      <right/>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top/>
      <bottom/>
      <diagonal/>
    </border>
    <border>
      <left style="medium">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dotted">
        <color indexed="64"/>
      </left>
      <right style="dotted">
        <color indexed="64"/>
      </right>
      <top style="dotted">
        <color indexed="64"/>
      </top>
      <bottom style="dotted">
        <color indexed="64"/>
      </bottom>
      <diagonal/>
    </border>
    <border>
      <left style="medium">
        <color indexed="64"/>
      </left>
      <right style="dotted">
        <color indexed="64"/>
      </right>
      <top style="dotted">
        <color indexed="64"/>
      </top>
      <bottom style="dotted">
        <color indexed="64"/>
      </bottom>
      <diagonal/>
    </border>
    <border>
      <left style="medium">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medium">
        <color indexed="64"/>
      </left>
      <right style="dotted">
        <color indexed="64"/>
      </right>
      <top/>
      <bottom style="dotted">
        <color indexed="64"/>
      </bottom>
      <diagonal/>
    </border>
    <border>
      <left style="dotted">
        <color indexed="64"/>
      </left>
      <right style="dotted">
        <color indexed="64"/>
      </right>
      <top/>
      <bottom style="dotted">
        <color indexed="64"/>
      </bottom>
      <diagonal/>
    </border>
    <border>
      <left style="medium">
        <color indexed="64"/>
      </left>
      <right style="dotted">
        <color indexed="64"/>
      </right>
      <top style="medium">
        <color indexed="64"/>
      </top>
      <bottom style="medium">
        <color indexed="64"/>
      </bottom>
      <diagonal/>
    </border>
    <border>
      <left style="dotted">
        <color indexed="64"/>
      </left>
      <right style="dotted">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hair">
        <color indexed="64"/>
      </bottom>
      <diagonal/>
    </border>
    <border>
      <left/>
      <right style="medium">
        <color indexed="64"/>
      </right>
      <top style="medium">
        <color indexed="64"/>
      </top>
      <bottom style="hair">
        <color indexed="64"/>
      </bottom>
      <diagonal/>
    </border>
    <border>
      <left/>
      <right style="medium">
        <color indexed="64"/>
      </right>
      <top style="hair">
        <color auto="1"/>
      </top>
      <bottom style="medium">
        <color indexed="64"/>
      </bottom>
      <diagonal/>
    </border>
    <border>
      <left style="hair">
        <color auto="1"/>
      </left>
      <right style="hair">
        <color auto="1"/>
      </right>
      <top/>
      <bottom/>
      <diagonal/>
    </border>
    <border>
      <left/>
      <right/>
      <top style="medium">
        <color indexed="64"/>
      </top>
      <bottom style="hair">
        <color indexed="64"/>
      </bottom>
      <diagonal/>
    </border>
    <border>
      <left style="medium">
        <color indexed="64"/>
      </left>
      <right style="hair">
        <color indexed="64"/>
      </right>
      <top/>
      <bottom style="hair">
        <color indexed="64"/>
      </bottom>
      <diagonal/>
    </border>
    <border>
      <left style="thin">
        <color indexed="64"/>
      </left>
      <right style="medium">
        <color indexed="64"/>
      </right>
      <top/>
      <bottom style="medium">
        <color indexed="64"/>
      </bottom>
      <diagonal/>
    </border>
    <border>
      <left/>
      <right style="thin">
        <color indexed="64"/>
      </right>
      <top/>
      <bottom style="hair">
        <color indexed="64"/>
      </bottom>
      <diagonal/>
    </border>
    <border>
      <left style="medium">
        <color indexed="64"/>
      </left>
      <right style="thin">
        <color indexed="64"/>
      </right>
      <top style="thin">
        <color indexed="64"/>
      </top>
      <bottom style="medium">
        <color indexed="64"/>
      </bottom>
      <diagonal/>
    </border>
    <border>
      <left/>
      <right/>
      <top/>
      <bottom style="thin">
        <color theme="4" tint="-0.24994659260841701"/>
      </bottom>
      <diagonal/>
    </border>
    <border>
      <left style="medium">
        <color indexed="64"/>
      </left>
      <right/>
      <top/>
      <bottom style="hair">
        <color indexed="64"/>
      </bottom>
      <diagonal/>
    </border>
    <border>
      <left style="medium">
        <color indexed="64"/>
      </left>
      <right style="hair">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thin">
        <color auto="1"/>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medium">
        <color indexed="64"/>
      </top>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bottom style="medium">
        <color indexed="64"/>
      </bottom>
      <diagonal/>
    </border>
  </borders>
  <cellStyleXfs count="222">
    <xf numFmtId="0" fontId="0" fillId="0" borderId="0"/>
    <xf numFmtId="167" fontId="3" fillId="0" borderId="0" applyFont="0" applyFill="0" applyBorder="0" applyAlignment="0" applyProtection="0"/>
    <xf numFmtId="0" fontId="11" fillId="0" borderId="0"/>
    <xf numFmtId="9" fontId="2" fillId="0" borderId="0" applyFont="0" applyFill="0" applyBorder="0" applyAlignment="0" applyProtection="0"/>
    <xf numFmtId="168" fontId="2" fillId="0" borderId="0" applyFont="0" applyFill="0" applyBorder="0" applyAlignment="0" applyProtection="0"/>
    <xf numFmtId="167" fontId="2" fillId="0" borderId="0" applyFont="0" applyFill="0" applyBorder="0" applyAlignment="0" applyProtection="0"/>
    <xf numFmtId="0" fontId="2" fillId="0" borderId="0"/>
    <xf numFmtId="9" fontId="2" fillId="0" borderId="0" applyFont="0" applyFill="0" applyBorder="0" applyAlignment="0" applyProtection="0"/>
    <xf numFmtId="168" fontId="2" fillId="0" borderId="0" applyFont="0" applyFill="0" applyBorder="0" applyAlignment="0" applyProtection="0"/>
    <xf numFmtId="0" fontId="35" fillId="0" borderId="0" applyNumberFormat="0" applyFont="0" applyFill="0" applyBorder="0" applyAlignment="0" applyProtection="0">
      <alignment vertical="top"/>
    </xf>
    <xf numFmtId="0" fontId="35" fillId="0" borderId="0"/>
    <xf numFmtId="167" fontId="2" fillId="0" borderId="0" applyFont="0" applyFill="0" applyBorder="0" applyAlignment="0" applyProtection="0"/>
    <xf numFmtId="0" fontId="46" fillId="0" borderId="0"/>
    <xf numFmtId="167" fontId="46" fillId="0" borderId="0" applyFont="0" applyFill="0" applyBorder="0" applyAlignment="0" applyProtection="0"/>
    <xf numFmtId="0" fontId="48" fillId="0" borderId="0" applyNumberFormat="0" applyFill="0" applyBorder="0" applyAlignment="0" applyProtection="0"/>
    <xf numFmtId="0" fontId="49" fillId="0" borderId="90" applyNumberFormat="0" applyFill="0" applyAlignment="0" applyProtection="0"/>
    <xf numFmtId="0" fontId="50" fillId="0" borderId="91" applyNumberFormat="0" applyFill="0" applyAlignment="0" applyProtection="0"/>
    <xf numFmtId="0" fontId="51" fillId="0" borderId="92" applyNumberFormat="0" applyFill="0" applyAlignment="0" applyProtection="0"/>
    <xf numFmtId="0" fontId="51" fillId="0" borderId="0" applyNumberFormat="0" applyFill="0" applyBorder="0" applyAlignment="0" applyProtection="0"/>
    <xf numFmtId="0" fontId="52" fillId="11" borderId="0" applyNumberFormat="0" applyBorder="0" applyAlignment="0" applyProtection="0"/>
    <xf numFmtId="0" fontId="53" fillId="12" borderId="0" applyNumberFormat="0" applyBorder="0" applyAlignment="0" applyProtection="0"/>
    <xf numFmtId="0" fontId="54" fillId="13" borderId="0" applyNumberFormat="0" applyBorder="0" applyAlignment="0" applyProtection="0"/>
    <xf numFmtId="0" fontId="55" fillId="14" borderId="93" applyNumberFormat="0" applyAlignment="0" applyProtection="0"/>
    <xf numFmtId="0" fontId="56" fillId="15" borderId="94" applyNumberFormat="0" applyAlignment="0" applyProtection="0"/>
    <xf numFmtId="0" fontId="57" fillId="15" borderId="93" applyNumberFormat="0" applyAlignment="0" applyProtection="0"/>
    <xf numFmtId="0" fontId="58" fillId="0" borderId="95" applyNumberFormat="0" applyFill="0" applyAlignment="0" applyProtection="0"/>
    <xf numFmtId="0" fontId="59" fillId="16" borderId="96" applyNumberFormat="0" applyAlignment="0" applyProtection="0"/>
    <xf numFmtId="0" fontId="60" fillId="0" borderId="0" applyNumberFormat="0" applyFill="0" applyBorder="0" applyAlignment="0" applyProtection="0"/>
    <xf numFmtId="0" fontId="46" fillId="17" borderId="97" applyNumberFormat="0" applyFont="0" applyAlignment="0" applyProtection="0"/>
    <xf numFmtId="0" fontId="61" fillId="0" borderId="0" applyNumberFormat="0" applyFill="0" applyBorder="0" applyAlignment="0" applyProtection="0"/>
    <xf numFmtId="0" fontId="62" fillId="0" borderId="98" applyNumberFormat="0" applyFill="0" applyAlignment="0" applyProtection="0"/>
    <xf numFmtId="0" fontId="63" fillId="18" borderId="0" applyNumberFormat="0" applyBorder="0" applyAlignment="0" applyProtection="0"/>
    <xf numFmtId="0" fontId="46" fillId="19" borderId="0" applyNumberFormat="0" applyBorder="0" applyAlignment="0" applyProtection="0"/>
    <xf numFmtId="0" fontId="46" fillId="20"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46" fillId="23" borderId="0" applyNumberFormat="0" applyBorder="0" applyAlignment="0" applyProtection="0"/>
    <xf numFmtId="0" fontId="46" fillId="24"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46" fillId="27" borderId="0" applyNumberFormat="0" applyBorder="0" applyAlignment="0" applyProtection="0"/>
    <xf numFmtId="0" fontId="46" fillId="28"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46" fillId="31" borderId="0" applyNumberFormat="0" applyBorder="0" applyAlignment="0" applyProtection="0"/>
    <xf numFmtId="0" fontId="46" fillId="32"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46" fillId="35" borderId="0" applyNumberFormat="0" applyBorder="0" applyAlignment="0" applyProtection="0"/>
    <xf numFmtId="0" fontId="46" fillId="36"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46" fillId="39" borderId="0" applyNumberFormat="0" applyBorder="0" applyAlignment="0" applyProtection="0"/>
    <xf numFmtId="0" fontId="46" fillId="40" borderId="0" applyNumberFormat="0" applyBorder="0" applyAlignment="0" applyProtection="0"/>
    <xf numFmtId="0" fontId="63" fillId="41" borderId="0" applyNumberFormat="0" applyBorder="0" applyAlignment="0" applyProtection="0"/>
    <xf numFmtId="0" fontId="2" fillId="0" borderId="0"/>
    <xf numFmtId="172" fontId="2" fillId="0" borderId="0" applyFont="0" applyFill="0" applyBorder="0" applyAlignment="0" applyProtection="0"/>
    <xf numFmtId="167" fontId="46" fillId="0" borderId="0" applyFont="0" applyFill="0" applyBorder="0" applyAlignment="0" applyProtection="0"/>
    <xf numFmtId="167" fontId="46" fillId="0" borderId="0" applyFont="0" applyFill="0" applyBorder="0" applyAlignment="0" applyProtection="0"/>
    <xf numFmtId="0" fontId="46" fillId="0" borderId="0"/>
    <xf numFmtId="193" fontId="2" fillId="0" borderId="0"/>
    <xf numFmtId="167" fontId="46" fillId="0" borderId="0" applyFont="0" applyFill="0" applyBorder="0" applyAlignment="0" applyProtection="0"/>
    <xf numFmtId="0" fontId="46" fillId="0" borderId="0"/>
    <xf numFmtId="167" fontId="46" fillId="0" borderId="0" applyFont="0" applyFill="0" applyBorder="0" applyAlignment="0" applyProtection="0"/>
    <xf numFmtId="9" fontId="46" fillId="0" borderId="0" applyFont="0" applyFill="0" applyBorder="0" applyAlignment="0" applyProtection="0"/>
    <xf numFmtId="0" fontId="2" fillId="0" borderId="0"/>
    <xf numFmtId="167" fontId="2" fillId="0" borderId="0" applyFont="0" applyFill="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64" fillId="0" borderId="0">
      <protection locked="0"/>
    </xf>
    <xf numFmtId="194" fontId="65" fillId="0" borderId="0">
      <protection locked="0"/>
    </xf>
    <xf numFmtId="194" fontId="65" fillId="0" borderId="0">
      <protection locked="0"/>
    </xf>
    <xf numFmtId="195" fontId="64" fillId="0" borderId="0">
      <protection locked="0"/>
    </xf>
    <xf numFmtId="4" fontId="64" fillId="0" borderId="0">
      <protection locked="0"/>
    </xf>
    <xf numFmtId="43"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75"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90" fontId="35" fillId="0" borderId="0" applyFont="0" applyFill="0" applyBorder="0" applyAlignment="0" applyProtection="0"/>
    <xf numFmtId="196" fontId="35" fillId="0" borderId="0" applyFont="0" applyFill="0" applyBorder="0" applyAlignment="0" applyProtection="0"/>
    <xf numFmtId="197" fontId="64" fillId="0" borderId="0">
      <protection locked="0"/>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5" fillId="0" borderId="0"/>
    <xf numFmtId="0" fontId="35" fillId="0" borderId="0"/>
    <xf numFmtId="0" fontId="35" fillId="0" borderId="0"/>
    <xf numFmtId="0" fontId="35" fillId="0" borderId="0"/>
    <xf numFmtId="0" fontId="35" fillId="0" borderId="0"/>
    <xf numFmtId="0" fontId="2" fillId="0" borderId="0"/>
    <xf numFmtId="0" fontId="35" fillId="0" borderId="0"/>
    <xf numFmtId="0" fontId="35" fillId="0" borderId="0"/>
    <xf numFmtId="0" fontId="35" fillId="0" borderId="0"/>
    <xf numFmtId="0" fontId="35" fillId="0" borderId="0"/>
    <xf numFmtId="0" fontId="35" fillId="0" borderId="0"/>
    <xf numFmtId="0" fontId="2" fillId="0" borderId="0"/>
    <xf numFmtId="198" fontId="2" fillId="0" borderId="0"/>
    <xf numFmtId="0" fontId="2" fillId="0" borderId="0"/>
    <xf numFmtId="0" fontId="35" fillId="0" borderId="0"/>
    <xf numFmtId="0" fontId="35" fillId="0" borderId="0"/>
    <xf numFmtId="0" fontId="3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 fillId="0" borderId="0"/>
    <xf numFmtId="0" fontId="35" fillId="0" borderId="0"/>
    <xf numFmtId="0" fontId="35" fillId="0" borderId="0"/>
    <xf numFmtId="0" fontId="35" fillId="0" borderId="0"/>
    <xf numFmtId="0" fontId="35" fillId="0" borderId="0"/>
    <xf numFmtId="0" fontId="3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5"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5" fillId="0" borderId="0" applyFont="0" applyFill="0" applyBorder="0" applyAlignment="0" applyProtection="0"/>
    <xf numFmtId="0" fontId="2" fillId="0" borderId="0"/>
    <xf numFmtId="0" fontId="2" fillId="35" borderId="0" applyNumberFormat="0" applyBorder="0" applyAlignment="0" applyProtection="0"/>
    <xf numFmtId="170" fontId="35" fillId="0" borderId="0" applyFont="0" applyFill="0" applyBorder="0" applyAlignment="0" applyProtection="0"/>
    <xf numFmtId="171" fontId="2" fillId="0" borderId="0" applyFont="0" applyFill="0" applyBorder="0" applyAlignment="0" applyProtection="0"/>
    <xf numFmtId="167" fontId="2" fillId="0" borderId="0" applyFont="0" applyFill="0" applyBorder="0" applyAlignment="0" applyProtection="0"/>
    <xf numFmtId="9" fontId="2" fillId="0" borderId="0" applyFont="0" applyFill="0" applyBorder="0" applyAlignment="0" applyProtection="0"/>
    <xf numFmtId="168" fontId="2" fillId="0" borderId="0" applyFont="0" applyFill="0" applyBorder="0" applyAlignment="0" applyProtection="0"/>
    <xf numFmtId="167" fontId="2" fillId="0" borderId="0" applyFont="0" applyFill="0" applyBorder="0" applyAlignment="0" applyProtection="0"/>
    <xf numFmtId="9" fontId="2" fillId="0" borderId="0" applyFont="0" applyFill="0" applyBorder="0" applyAlignment="0" applyProtection="0"/>
    <xf numFmtId="168" fontId="2" fillId="0" borderId="0" applyFont="0" applyFill="0" applyBorder="0" applyAlignment="0" applyProtection="0"/>
    <xf numFmtId="41" fontId="2" fillId="0" borderId="0" applyFont="0" applyFill="0" applyBorder="0" applyAlignment="0" applyProtection="0"/>
    <xf numFmtId="207" fontId="35" fillId="0" borderId="0" applyFont="0" applyFill="0" applyBorder="0" applyAlignment="0" applyProtection="0"/>
    <xf numFmtId="208" fontId="35" fillId="0" borderId="0" applyFont="0" applyFill="0" applyBorder="0" applyAlignment="0" applyProtection="0"/>
    <xf numFmtId="170" fontId="35" fillId="0" borderId="0" applyFont="0" applyFill="0" applyBorder="0" applyAlignment="0" applyProtection="0"/>
    <xf numFmtId="193" fontId="35" fillId="0" borderId="0" applyFont="0" applyFill="0" applyBorder="0" applyAlignment="0" applyProtection="0"/>
    <xf numFmtId="0" fontId="35" fillId="0" borderId="0" applyFont="0" applyFill="0" applyBorder="0" applyAlignment="0" applyProtection="0"/>
    <xf numFmtId="0" fontId="2" fillId="0" borderId="0"/>
    <xf numFmtId="0" fontId="2" fillId="0" borderId="0"/>
    <xf numFmtId="0" fontId="2" fillId="0" borderId="0"/>
    <xf numFmtId="0" fontId="74" fillId="0" borderId="0"/>
    <xf numFmtId="9" fontId="35" fillId="0" borderId="0" applyFont="0" applyFill="0" applyBorder="0" applyAlignment="0" applyProtection="0"/>
    <xf numFmtId="0" fontId="75" fillId="0" borderId="0"/>
    <xf numFmtId="167" fontId="2" fillId="0" borderId="0" applyFont="0" applyFill="0" applyBorder="0" applyAlignment="0" applyProtection="0"/>
    <xf numFmtId="9" fontId="2" fillId="0" borderId="0" applyFont="0" applyFill="0" applyBorder="0" applyAlignment="0" applyProtection="0"/>
    <xf numFmtId="168" fontId="2" fillId="0" borderId="0" applyFont="0" applyFill="0" applyBorder="0" applyAlignment="0" applyProtection="0"/>
    <xf numFmtId="41"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7" fontId="2" fillId="0" borderId="0" applyFont="0" applyFill="0" applyBorder="0" applyAlignment="0" applyProtection="0"/>
    <xf numFmtId="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1"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7" fontId="2" fillId="0" borderId="0" applyFont="0" applyFill="0" applyBorder="0" applyAlignment="0" applyProtection="0"/>
    <xf numFmtId="0" fontId="35" fillId="0" borderId="0"/>
    <xf numFmtId="9" fontId="35" fillId="0" borderId="0" applyFont="0" applyFill="0" applyBorder="0" applyAlignment="0" applyProtection="0"/>
    <xf numFmtId="44" fontId="35" fillId="0" borderId="0" applyFont="0" applyFill="0" applyBorder="0" applyAlignment="0" applyProtection="0"/>
    <xf numFmtId="167" fontId="2" fillId="0" borderId="0" applyFont="0" applyFill="0" applyBorder="0" applyAlignment="0" applyProtection="0"/>
    <xf numFmtId="171" fontId="35" fillId="0" borderId="0" applyFont="0" applyFill="0" applyBorder="0" applyAlignment="0" applyProtection="0"/>
  </cellStyleXfs>
  <cellXfs count="2535">
    <xf numFmtId="0" fontId="0" fillId="0" borderId="0" xfId="0"/>
    <xf numFmtId="0" fontId="4" fillId="0" borderId="0" xfId="0" applyFont="1" applyFill="1" applyAlignment="1">
      <alignment vertical="center"/>
    </xf>
    <xf numFmtId="0" fontId="4" fillId="0" borderId="0" xfId="0" applyFont="1" applyFill="1" applyAlignment="1">
      <alignment horizontal="center" vertical="center"/>
    </xf>
    <xf numFmtId="0" fontId="6" fillId="0" borderId="0" xfId="0" applyFont="1" applyFill="1" applyBorder="1" applyAlignment="1">
      <alignment horizontal="center" vertical="center" wrapText="1"/>
    </xf>
    <xf numFmtId="0" fontId="7" fillId="0" borderId="1" xfId="0" applyFont="1" applyBorder="1" applyAlignment="1">
      <alignment horizontal="center" vertical="center"/>
    </xf>
    <xf numFmtId="0" fontId="7" fillId="0" borderId="2" xfId="0" applyFont="1" applyBorder="1" applyAlignment="1">
      <alignment horizontal="center" vertical="center"/>
    </xf>
    <xf numFmtId="173" fontId="7" fillId="0" borderId="2" xfId="1" applyNumberFormat="1" applyFont="1" applyFill="1" applyBorder="1" applyAlignment="1">
      <alignment horizontal="center" vertical="center"/>
    </xf>
    <xf numFmtId="173" fontId="7" fillId="0" borderId="3" xfId="1" applyNumberFormat="1" applyFont="1" applyFill="1" applyBorder="1" applyAlignment="1">
      <alignment horizontal="center" vertical="center"/>
    </xf>
    <xf numFmtId="0" fontId="8" fillId="0" borderId="0" xfId="0" applyFont="1" applyAlignment="1">
      <alignment vertical="center"/>
    </xf>
    <xf numFmtId="0" fontId="8" fillId="2" borderId="4" xfId="0" applyFont="1" applyFill="1" applyBorder="1" applyAlignment="1">
      <alignment horizontal="center" vertical="center"/>
    </xf>
    <xf numFmtId="173" fontId="8" fillId="2" borderId="4" xfId="1" applyNumberFormat="1" applyFont="1" applyFill="1" applyBorder="1" applyAlignment="1">
      <alignment vertical="center"/>
    </xf>
    <xf numFmtId="173" fontId="8" fillId="2" borderId="5" xfId="1" applyNumberFormat="1" applyFont="1" applyFill="1" applyBorder="1" applyAlignment="1">
      <alignment vertical="center"/>
    </xf>
    <xf numFmtId="0" fontId="7" fillId="0" borderId="6" xfId="0" applyFont="1" applyBorder="1" applyAlignment="1">
      <alignment horizontal="center" vertical="center"/>
    </xf>
    <xf numFmtId="0" fontId="7" fillId="0" borderId="7" xfId="0" applyFont="1" applyBorder="1" applyAlignment="1">
      <alignment horizontal="left" vertical="center"/>
    </xf>
    <xf numFmtId="0" fontId="8" fillId="0" borderId="7" xfId="0" applyFont="1" applyBorder="1" applyAlignment="1">
      <alignment horizontal="center" vertical="center"/>
    </xf>
    <xf numFmtId="173" fontId="8" fillId="0" borderId="7" xfId="1" applyNumberFormat="1" applyFont="1" applyBorder="1" applyAlignment="1">
      <alignment vertical="center"/>
    </xf>
    <xf numFmtId="173" fontId="8" fillId="0" borderId="8" xfId="1" applyNumberFormat="1" applyFont="1" applyBorder="1" applyAlignment="1">
      <alignment vertical="center"/>
    </xf>
    <xf numFmtId="0" fontId="8" fillId="0" borderId="6" xfId="0" applyFont="1" applyBorder="1" applyAlignment="1">
      <alignment horizontal="center" vertical="center"/>
    </xf>
    <xf numFmtId="0" fontId="8" fillId="0" borderId="7" xfId="0" applyFont="1" applyBorder="1" applyAlignment="1">
      <alignment horizontal="left" vertical="center"/>
    </xf>
    <xf numFmtId="173" fontId="7" fillId="0" borderId="8" xfId="1" applyNumberFormat="1" applyFont="1" applyBorder="1" applyAlignment="1">
      <alignment vertical="center"/>
    </xf>
    <xf numFmtId="0" fontId="7" fillId="2" borderId="6" xfId="0" applyFont="1" applyFill="1" applyBorder="1" applyAlignment="1">
      <alignment horizontal="center" vertical="center"/>
    </xf>
    <xf numFmtId="0" fontId="7" fillId="2" borderId="7" xfId="0" applyFont="1" applyFill="1" applyBorder="1" applyAlignment="1">
      <alignment horizontal="left" vertical="center"/>
    </xf>
    <xf numFmtId="0" fontId="8" fillId="2" borderId="7" xfId="0" applyFont="1" applyFill="1" applyBorder="1" applyAlignment="1">
      <alignment horizontal="center" vertical="center"/>
    </xf>
    <xf numFmtId="173" fontId="8" fillId="2" borderId="7" xfId="1" applyNumberFormat="1" applyFont="1" applyFill="1" applyBorder="1" applyAlignment="1">
      <alignment vertical="center"/>
    </xf>
    <xf numFmtId="173" fontId="8" fillId="2" borderId="8" xfId="1" applyNumberFormat="1" applyFont="1" applyFill="1" applyBorder="1" applyAlignment="1">
      <alignment vertical="center"/>
    </xf>
    <xf numFmtId="0" fontId="8" fillId="0" borderId="7" xfId="0" applyFont="1" applyBorder="1" applyAlignment="1">
      <alignment horizontal="left" vertical="center" wrapText="1"/>
    </xf>
    <xf numFmtId="0" fontId="8" fillId="0" borderId="7" xfId="0" applyFont="1" applyFill="1" applyBorder="1" applyAlignment="1">
      <alignment horizontal="center" vertical="center"/>
    </xf>
    <xf numFmtId="0" fontId="7" fillId="0" borderId="6" xfId="0" applyFont="1" applyFill="1" applyBorder="1" applyAlignment="1">
      <alignment horizontal="center" vertical="center"/>
    </xf>
    <xf numFmtId="0" fontId="7" fillId="0" borderId="7" xfId="0" applyFont="1" applyFill="1" applyBorder="1" applyAlignment="1">
      <alignment horizontal="left" vertical="center"/>
    </xf>
    <xf numFmtId="173" fontId="8" fillId="0" borderId="7" xfId="1" applyNumberFormat="1" applyFont="1" applyFill="1" applyBorder="1" applyAlignment="1">
      <alignment vertical="center"/>
    </xf>
    <xf numFmtId="173" fontId="8" fillId="0" borderId="8" xfId="1" applyNumberFormat="1" applyFont="1" applyFill="1" applyBorder="1" applyAlignment="1">
      <alignment vertical="center"/>
    </xf>
    <xf numFmtId="0" fontId="8" fillId="0" borderId="6" xfId="0" applyFont="1" applyFill="1" applyBorder="1" applyAlignment="1">
      <alignment horizontal="center" vertical="center"/>
    </xf>
    <xf numFmtId="0" fontId="8" fillId="0" borderId="7" xfId="0" applyFont="1" applyBorder="1" applyAlignment="1">
      <alignment horizontal="left"/>
    </xf>
    <xf numFmtId="0" fontId="8" fillId="0" borderId="12" xfId="0" applyFont="1" applyBorder="1" applyAlignment="1">
      <alignment vertical="center"/>
    </xf>
    <xf numFmtId="173" fontId="7" fillId="0" borderId="3" xfId="1" applyNumberFormat="1" applyFont="1" applyBorder="1" applyAlignment="1">
      <alignment vertical="center"/>
    </xf>
    <xf numFmtId="0" fontId="10" fillId="0" borderId="0" xfId="0" applyFont="1" applyAlignment="1">
      <alignment horizontal="center"/>
    </xf>
    <xf numFmtId="0" fontId="10" fillId="0" borderId="0" xfId="0" applyFont="1" applyAlignment="1">
      <alignment horizontal="left"/>
    </xf>
    <xf numFmtId="0" fontId="0" fillId="0" borderId="0" xfId="0" applyAlignment="1">
      <alignment horizontal="center"/>
    </xf>
    <xf numFmtId="173" fontId="0" fillId="0" borderId="0" xfId="1" applyNumberFormat="1" applyFont="1"/>
    <xf numFmtId="0" fontId="10" fillId="0" borderId="12" xfId="0" applyFont="1" applyBorder="1" applyAlignment="1">
      <alignment horizontal="center"/>
    </xf>
    <xf numFmtId="173" fontId="6" fillId="0" borderId="16" xfId="1" applyNumberFormat="1" applyFont="1" applyBorder="1"/>
    <xf numFmtId="0" fontId="0" fillId="0" borderId="18" xfId="0" applyBorder="1"/>
    <xf numFmtId="173" fontId="4" fillId="0" borderId="20" xfId="1" applyNumberFormat="1" applyFont="1" applyBorder="1"/>
    <xf numFmtId="0" fontId="8" fillId="0" borderId="9" xfId="0" applyFont="1" applyBorder="1" applyAlignment="1">
      <alignment horizontal="center" vertical="center"/>
    </xf>
    <xf numFmtId="0" fontId="7" fillId="0" borderId="9" xfId="0" applyFont="1" applyBorder="1" applyAlignment="1">
      <alignment horizontal="center" vertical="center"/>
    </xf>
    <xf numFmtId="173" fontId="8" fillId="0" borderId="8" xfId="1" applyNumberFormat="1" applyFont="1" applyBorder="1" applyAlignment="1">
      <alignment horizontal="left" vertical="center"/>
    </xf>
    <xf numFmtId="0" fontId="7" fillId="0" borderId="7" xfId="0" applyFont="1" applyBorder="1" applyAlignment="1">
      <alignment horizontal="left" vertical="center" wrapText="1"/>
    </xf>
    <xf numFmtId="0" fontId="8" fillId="0" borderId="7" xfId="0" applyFont="1" applyBorder="1" applyAlignment="1">
      <alignment horizontal="left" wrapText="1"/>
    </xf>
    <xf numFmtId="0" fontId="7" fillId="0" borderId="7" xfId="0" applyFont="1" applyBorder="1" applyAlignment="1">
      <alignment horizontal="left" wrapText="1"/>
    </xf>
    <xf numFmtId="0" fontId="10" fillId="0" borderId="7" xfId="0" applyFont="1" applyBorder="1" applyAlignment="1">
      <alignment horizontal="left" vertical="center"/>
    </xf>
    <xf numFmtId="0" fontId="8" fillId="0" borderId="21" xfId="0" applyFont="1" applyBorder="1" applyAlignment="1">
      <alignment horizontal="center" vertical="center"/>
    </xf>
    <xf numFmtId="0" fontId="15" fillId="2" borderId="12" xfId="0" applyFont="1" applyFill="1" applyBorder="1" applyAlignment="1">
      <alignment horizontal="center" vertical="center"/>
    </xf>
    <xf numFmtId="0" fontId="15" fillId="2" borderId="23" xfId="0" applyFont="1" applyFill="1" applyBorder="1" applyAlignment="1">
      <alignment horizontal="center" vertical="center"/>
    </xf>
    <xf numFmtId="0" fontId="15" fillId="2" borderId="24" xfId="0" applyFont="1" applyFill="1" applyBorder="1" applyAlignment="1">
      <alignment horizontal="center" vertical="center"/>
    </xf>
    <xf numFmtId="173" fontId="16" fillId="2" borderId="24" xfId="1" applyNumberFormat="1" applyFont="1" applyFill="1" applyBorder="1" applyAlignment="1">
      <alignment horizontal="center" vertical="center"/>
    </xf>
    <xf numFmtId="9" fontId="16" fillId="2" borderId="24" xfId="3" applyFont="1" applyFill="1" applyBorder="1" applyAlignment="1">
      <alignment horizontal="center" vertical="center" wrapText="1"/>
    </xf>
    <xf numFmtId="174" fontId="15" fillId="2" borderId="25" xfId="0" applyNumberFormat="1" applyFont="1" applyFill="1" applyBorder="1" applyAlignment="1">
      <alignment horizontal="center" vertical="center" wrapText="1"/>
    </xf>
    <xf numFmtId="0" fontId="7" fillId="2" borderId="17" xfId="0" applyFont="1" applyFill="1" applyBorder="1" applyAlignment="1">
      <alignment horizontal="center" vertical="center"/>
    </xf>
    <xf numFmtId="0" fontId="7" fillId="2" borderId="26" xfId="0" applyFont="1" applyFill="1" applyBorder="1" applyAlignment="1">
      <alignment horizontal="left" vertical="center"/>
    </xf>
    <xf numFmtId="0" fontId="7" fillId="2" borderId="4" xfId="0" applyFont="1" applyFill="1" applyBorder="1" applyAlignment="1">
      <alignment horizontal="center" vertical="center"/>
    </xf>
    <xf numFmtId="0" fontId="7" fillId="2" borderId="5" xfId="0" applyFont="1" applyFill="1" applyBorder="1" applyAlignment="1">
      <alignment horizontal="left" vertical="center"/>
    </xf>
    <xf numFmtId="0" fontId="7" fillId="4" borderId="9" xfId="0" applyFont="1" applyFill="1" applyBorder="1" applyAlignment="1">
      <alignment horizontal="center" vertical="center"/>
    </xf>
    <xf numFmtId="0" fontId="7" fillId="4" borderId="6" xfId="0" applyFont="1" applyFill="1" applyBorder="1" applyAlignment="1">
      <alignment horizontal="left" vertical="center"/>
    </xf>
    <xf numFmtId="0" fontId="8" fillId="4" borderId="7" xfId="0" applyFont="1" applyFill="1" applyBorder="1" applyAlignment="1">
      <alignment horizontal="center" vertical="center"/>
    </xf>
    <xf numFmtId="0" fontId="7" fillId="4" borderId="7" xfId="0" applyFont="1" applyFill="1" applyBorder="1" applyAlignment="1">
      <alignment horizontal="center" vertical="center"/>
    </xf>
    <xf numFmtId="0" fontId="17" fillId="0" borderId="9" xfId="0" applyFont="1" applyBorder="1" applyAlignment="1">
      <alignment horizontal="center"/>
    </xf>
    <xf numFmtId="0" fontId="17" fillId="0" borderId="6" xfId="0" applyFont="1" applyBorder="1" applyAlignment="1">
      <alignment horizontal="left"/>
    </xf>
    <xf numFmtId="0" fontId="10" fillId="0" borderId="7" xfId="0" applyFont="1" applyBorder="1" applyAlignment="1">
      <alignment horizontal="center"/>
    </xf>
    <xf numFmtId="173" fontId="0" fillId="0" borderId="7" xfId="1" applyNumberFormat="1" applyFont="1" applyBorder="1"/>
    <xf numFmtId="0" fontId="0" fillId="0" borderId="7" xfId="0" applyBorder="1"/>
    <xf numFmtId="0" fontId="0" fillId="0" borderId="8" xfId="0" applyBorder="1"/>
    <xf numFmtId="0" fontId="10" fillId="0" borderId="9" xfId="0" applyFont="1" applyBorder="1" applyAlignment="1">
      <alignment horizontal="center"/>
    </xf>
    <xf numFmtId="0" fontId="10" fillId="0" borderId="6" xfId="0" applyFont="1" applyBorder="1" applyAlignment="1">
      <alignment horizontal="left"/>
    </xf>
    <xf numFmtId="173" fontId="2" fillId="0" borderId="7" xfId="1" applyNumberFormat="1" applyFont="1" applyBorder="1" applyAlignment="1">
      <alignment horizontal="center"/>
    </xf>
    <xf numFmtId="9" fontId="2" fillId="0" borderId="7" xfId="3" applyFont="1" applyBorder="1" applyAlignment="1">
      <alignment horizontal="center"/>
    </xf>
    <xf numFmtId="173" fontId="2" fillId="0" borderId="7" xfId="1" applyNumberFormat="1" applyFont="1" applyBorder="1" applyAlignment="1">
      <alignment horizontal="center" vertical="center"/>
    </xf>
    <xf numFmtId="173" fontId="2" fillId="0" borderId="7" xfId="1" applyNumberFormat="1" applyFont="1" applyBorder="1" applyAlignment="1">
      <alignment vertical="center"/>
    </xf>
    <xf numFmtId="173" fontId="0" fillId="0" borderId="8" xfId="1" applyNumberFormat="1" applyFont="1" applyBorder="1"/>
    <xf numFmtId="0" fontId="7" fillId="0" borderId="9" xfId="0" applyFont="1" applyFill="1" applyBorder="1" applyAlignment="1">
      <alignment horizontal="center" vertical="center"/>
    </xf>
    <xf numFmtId="0" fontId="7" fillId="0" borderId="6" xfId="0" applyFont="1" applyFill="1" applyBorder="1" applyAlignment="1">
      <alignment horizontal="left" vertical="center"/>
    </xf>
    <xf numFmtId="0" fontId="7" fillId="0" borderId="6" xfId="0" applyFont="1" applyBorder="1" applyAlignment="1">
      <alignment horizontal="left" vertical="center"/>
    </xf>
    <xf numFmtId="0" fontId="8" fillId="0" borderId="6" xfId="0" applyFont="1" applyBorder="1" applyAlignment="1">
      <alignment horizontal="left" vertical="center"/>
    </xf>
    <xf numFmtId="0" fontId="8" fillId="4" borderId="8" xfId="0" applyFont="1" applyFill="1" applyBorder="1" applyAlignment="1">
      <alignment horizontal="center" vertical="center"/>
    </xf>
    <xf numFmtId="0" fontId="10" fillId="0" borderId="6" xfId="0" applyFont="1" applyBorder="1" applyAlignment="1">
      <alignment horizontal="left" wrapText="1"/>
    </xf>
    <xf numFmtId="0" fontId="17" fillId="0" borderId="6" xfId="0" applyFont="1" applyBorder="1" applyAlignment="1">
      <alignment horizontal="left" wrapText="1"/>
    </xf>
    <xf numFmtId="0" fontId="8" fillId="0" borderId="9" xfId="0" applyFont="1" applyFill="1" applyBorder="1" applyAlignment="1">
      <alignment horizontal="center" vertical="center"/>
    </xf>
    <xf numFmtId="0" fontId="0" fillId="0" borderId="0" xfId="0" applyFont="1"/>
    <xf numFmtId="0" fontId="18" fillId="0" borderId="0" xfId="0" applyFont="1"/>
    <xf numFmtId="0" fontId="8" fillId="0" borderId="6" xfId="0" applyFont="1" applyFill="1" applyBorder="1" applyAlignment="1">
      <alignment horizontal="left" vertical="center"/>
    </xf>
    <xf numFmtId="0" fontId="7" fillId="0" borderId="6" xfId="0" applyFont="1" applyBorder="1" applyAlignment="1">
      <alignment horizontal="left" vertical="center" wrapText="1"/>
    </xf>
    <xf numFmtId="0" fontId="8" fillId="0" borderId="28" xfId="0" applyFont="1" applyBorder="1" applyAlignment="1">
      <alignment horizontal="center" vertical="center"/>
    </xf>
    <xf numFmtId="0" fontId="8" fillId="0" borderId="27" xfId="0" applyFont="1" applyBorder="1" applyAlignment="1">
      <alignment horizontal="left" vertical="center"/>
    </xf>
    <xf numFmtId="0" fontId="8" fillId="0" borderId="8" xfId="0" applyFont="1" applyFill="1" applyBorder="1" applyAlignment="1">
      <alignment horizontal="center" vertical="center"/>
    </xf>
    <xf numFmtId="0" fontId="7" fillId="2" borderId="9" xfId="0" applyFont="1" applyFill="1" applyBorder="1" applyAlignment="1">
      <alignment horizontal="center" vertical="center"/>
    </xf>
    <xf numFmtId="0" fontId="7" fillId="2" borderId="6" xfId="0" applyFont="1" applyFill="1" applyBorder="1" applyAlignment="1">
      <alignment horizontal="left" vertical="center"/>
    </xf>
    <xf numFmtId="0" fontId="8" fillId="2" borderId="8" xfId="0" applyFont="1" applyFill="1" applyBorder="1" applyAlignment="1">
      <alignment horizontal="center" vertical="center"/>
    </xf>
    <xf numFmtId="9" fontId="2" fillId="0" borderId="28" xfId="3" applyFont="1" applyBorder="1" applyAlignment="1">
      <alignment horizontal="center"/>
    </xf>
    <xf numFmtId="173" fontId="2" fillId="0" borderId="28" xfId="1" applyNumberFormat="1" applyFont="1" applyBorder="1" applyAlignment="1">
      <alignment horizontal="center" vertical="center"/>
    </xf>
    <xf numFmtId="173" fontId="2" fillId="0" borderId="28" xfId="1" applyNumberFormat="1" applyFont="1" applyBorder="1" applyAlignment="1">
      <alignment vertical="center"/>
    </xf>
    <xf numFmtId="173" fontId="0" fillId="0" borderId="29" xfId="1" applyNumberFormat="1" applyFont="1" applyBorder="1"/>
    <xf numFmtId="0" fontId="8" fillId="0" borderId="10" xfId="0" applyFont="1" applyBorder="1" applyAlignment="1">
      <alignment horizontal="center" vertical="center"/>
    </xf>
    <xf numFmtId="0" fontId="8" fillId="0" borderId="30" xfId="0" applyFont="1" applyBorder="1" applyAlignment="1">
      <alignment horizontal="left" vertical="center"/>
    </xf>
    <xf numFmtId="0" fontId="8" fillId="0" borderId="31" xfId="0" applyFont="1" applyBorder="1" applyAlignment="1">
      <alignment horizontal="center" vertical="center"/>
    </xf>
    <xf numFmtId="9" fontId="2" fillId="0" borderId="31" xfId="3" applyFont="1" applyBorder="1" applyAlignment="1">
      <alignment horizontal="center"/>
    </xf>
    <xf numFmtId="173" fontId="2" fillId="0" borderId="31" xfId="1" applyNumberFormat="1" applyFont="1" applyBorder="1" applyAlignment="1">
      <alignment horizontal="center" vertical="center"/>
    </xf>
    <xf numFmtId="173" fontId="2" fillId="0" borderId="31" xfId="1" applyNumberFormat="1" applyFont="1" applyBorder="1" applyAlignment="1">
      <alignment vertical="center"/>
    </xf>
    <xf numFmtId="173" fontId="0" fillId="0" borderId="32" xfId="1" applyNumberFormat="1" applyFont="1" applyBorder="1"/>
    <xf numFmtId="1" fontId="0" fillId="0" borderId="0" xfId="0" applyNumberFormat="1"/>
    <xf numFmtId="0" fontId="6" fillId="0" borderId="0" xfId="0" applyFont="1" applyFill="1" applyBorder="1" applyAlignment="1">
      <alignment horizontal="center" vertical="center" wrapText="1"/>
    </xf>
    <xf numFmtId="0" fontId="22" fillId="0" borderId="6" xfId="0" applyFont="1" applyBorder="1" applyAlignment="1">
      <alignment horizontal="left" vertical="center"/>
    </xf>
    <xf numFmtId="0" fontId="22" fillId="0" borderId="9" xfId="0" applyFont="1" applyFill="1" applyBorder="1" applyAlignment="1">
      <alignment horizontal="center" vertical="center"/>
    </xf>
    <xf numFmtId="0" fontId="23" fillId="0" borderId="6" xfId="0" applyFont="1" applyBorder="1" applyAlignment="1">
      <alignment horizontal="left" vertical="center"/>
    </xf>
    <xf numFmtId="0" fontId="24" fillId="0" borderId="6" xfId="0" applyFont="1" applyBorder="1" applyAlignment="1">
      <alignment horizontal="left" vertical="center"/>
    </xf>
    <xf numFmtId="0" fontId="25" fillId="0" borderId="6" xfId="0" applyFont="1" applyFill="1" applyBorder="1" applyAlignment="1">
      <alignment horizontal="left" vertical="center"/>
    </xf>
    <xf numFmtId="9" fontId="2" fillId="4" borderId="7" xfId="3" applyFont="1" applyFill="1" applyBorder="1" applyAlignment="1">
      <alignment horizontal="center"/>
    </xf>
    <xf numFmtId="173" fontId="2" fillId="4" borderId="7" xfId="1" applyNumberFormat="1" applyFont="1" applyFill="1" applyBorder="1" applyAlignment="1">
      <alignment horizontal="center" vertical="center"/>
    </xf>
    <xf numFmtId="173" fontId="2" fillId="4" borderId="7" xfId="1" applyNumberFormat="1" applyFont="1" applyFill="1" applyBorder="1" applyAlignment="1">
      <alignment vertical="center"/>
    </xf>
    <xf numFmtId="173" fontId="0" fillId="4" borderId="8" xfId="1" applyNumberFormat="1" applyFont="1" applyFill="1" applyBorder="1"/>
    <xf numFmtId="9" fontId="4" fillId="4" borderId="7" xfId="3" applyFont="1" applyFill="1" applyBorder="1" applyAlignment="1">
      <alignment horizontal="center"/>
    </xf>
    <xf numFmtId="173" fontId="4" fillId="4" borderId="7" xfId="1" applyNumberFormat="1" applyFont="1" applyFill="1" applyBorder="1" applyAlignment="1">
      <alignment horizontal="center" vertical="center"/>
    </xf>
    <xf numFmtId="173" fontId="4" fillId="4" borderId="7" xfId="1" applyNumberFormat="1" applyFont="1" applyFill="1" applyBorder="1" applyAlignment="1">
      <alignment vertical="center"/>
    </xf>
    <xf numFmtId="173" fontId="4" fillId="4" borderId="8" xfId="1" applyNumberFormat="1" applyFont="1" applyFill="1" applyBorder="1"/>
    <xf numFmtId="0" fontId="25" fillId="0" borderId="6" xfId="0" applyFont="1" applyBorder="1" applyAlignment="1">
      <alignment horizontal="left" vertical="center"/>
    </xf>
    <xf numFmtId="0" fontId="20" fillId="0" borderId="6" xfId="0" applyFont="1" applyBorder="1" applyAlignment="1">
      <alignment horizontal="left" vertical="center"/>
    </xf>
    <xf numFmtId="0" fontId="26" fillId="0" borderId="9" xfId="0" applyFont="1" applyFill="1" applyBorder="1" applyAlignment="1">
      <alignment horizontal="center" vertical="center"/>
    </xf>
    <xf numFmtId="0" fontId="26" fillId="0" borderId="6" xfId="0" applyFont="1" applyBorder="1" applyAlignment="1">
      <alignment horizontal="left" vertical="center"/>
    </xf>
    <xf numFmtId="0" fontId="25" fillId="0" borderId="9" xfId="0" applyFont="1" applyFill="1" applyBorder="1" applyAlignment="1">
      <alignment horizontal="center" vertical="center"/>
    </xf>
    <xf numFmtId="0" fontId="7" fillId="0" borderId="7" xfId="0" applyFont="1" applyFill="1" applyBorder="1" applyAlignment="1">
      <alignment horizontal="center" vertical="center"/>
    </xf>
    <xf numFmtId="0" fontId="7" fillId="0" borderId="8" xfId="0" applyFont="1" applyFill="1" applyBorder="1" applyAlignment="1">
      <alignment horizontal="left" vertical="center"/>
    </xf>
    <xf numFmtId="173" fontId="2" fillId="0" borderId="7" xfId="1" applyNumberFormat="1" applyFont="1" applyFill="1" applyBorder="1" applyAlignment="1">
      <alignment horizontal="center" vertical="center"/>
    </xf>
    <xf numFmtId="173" fontId="2" fillId="0" borderId="7" xfId="1" applyNumberFormat="1" applyFont="1" applyFill="1" applyBorder="1" applyAlignment="1">
      <alignment vertical="center"/>
    </xf>
    <xf numFmtId="173" fontId="0" fillId="0" borderId="8" xfId="1" applyNumberFormat="1" applyFont="1" applyFill="1" applyBorder="1"/>
    <xf numFmtId="0" fontId="7" fillId="0" borderId="7" xfId="0" applyFont="1" applyBorder="1" applyAlignment="1">
      <alignment horizontal="center" vertical="center"/>
    </xf>
    <xf numFmtId="0" fontId="8" fillId="0" borderId="0" xfId="0" applyFont="1" applyAlignment="1">
      <alignment horizontal="center" vertical="center"/>
    </xf>
    <xf numFmtId="175" fontId="8" fillId="0" borderId="0" xfId="0" applyNumberFormat="1" applyFont="1" applyAlignment="1">
      <alignment vertical="center"/>
    </xf>
    <xf numFmtId="10" fontId="8" fillId="0" borderId="0" xfId="3" applyNumberFormat="1" applyFont="1" applyAlignment="1">
      <alignment horizontal="center" vertical="center"/>
    </xf>
    <xf numFmtId="39" fontId="8" fillId="0" borderId="0" xfId="4" applyNumberFormat="1" applyFont="1" applyAlignment="1">
      <alignment horizontal="center" vertical="center"/>
    </xf>
    <xf numFmtId="0" fontId="5" fillId="0" borderId="0" xfId="0" applyFont="1" applyAlignment="1">
      <alignment horizontal="center" vertical="center"/>
    </xf>
    <xf numFmtId="176" fontId="8" fillId="4" borderId="0" xfId="0" applyNumberFormat="1" applyFont="1" applyFill="1" applyAlignment="1">
      <alignment horizontal="center" vertical="center"/>
    </xf>
    <xf numFmtId="175" fontId="7" fillId="4" borderId="0" xfId="0" applyNumberFormat="1" applyFont="1" applyFill="1" applyAlignment="1">
      <alignment horizontal="center" vertical="center"/>
    </xf>
    <xf numFmtId="176" fontId="8" fillId="0" borderId="0" xfId="0" applyNumberFormat="1" applyFont="1" applyAlignment="1">
      <alignment vertical="center"/>
    </xf>
    <xf numFmtId="176" fontId="8" fillId="0" borderId="0" xfId="0" applyNumberFormat="1" applyFont="1" applyAlignment="1">
      <alignment horizontal="center" vertical="center"/>
    </xf>
    <xf numFmtId="175" fontId="7" fillId="0" borderId="0" xfId="0" applyNumberFormat="1" applyFont="1" applyAlignment="1">
      <alignment horizontal="center" vertical="center"/>
    </xf>
    <xf numFmtId="176" fontId="8" fillId="0" borderId="23" xfId="0" applyNumberFormat="1" applyFont="1" applyBorder="1" applyAlignment="1">
      <alignment horizontal="center" vertical="center"/>
    </xf>
    <xf numFmtId="176" fontId="8" fillId="0" borderId="24" xfId="0" applyNumberFormat="1" applyFont="1" applyBorder="1" applyAlignment="1">
      <alignment horizontal="center" vertical="center"/>
    </xf>
    <xf numFmtId="175" fontId="8" fillId="0" borderId="25" xfId="0" applyNumberFormat="1" applyFont="1" applyBorder="1" applyAlignment="1">
      <alignment horizontal="center" vertical="center"/>
    </xf>
    <xf numFmtId="0" fontId="8" fillId="0" borderId="34" xfId="0" applyFont="1" applyFill="1" applyBorder="1" applyAlignment="1">
      <alignment vertical="center" wrapText="1"/>
    </xf>
    <xf numFmtId="176" fontId="8" fillId="0" borderId="35" xfId="0" applyNumberFormat="1" applyFont="1" applyBorder="1" applyAlignment="1">
      <alignment horizontal="center" vertical="center"/>
    </xf>
    <xf numFmtId="176" fontId="8" fillId="0" borderId="35" xfId="0" applyNumberFormat="1" applyFont="1" applyBorder="1" applyAlignment="1">
      <alignment vertical="center"/>
    </xf>
    <xf numFmtId="168" fontId="8" fillId="0" borderId="36" xfId="0" applyNumberFormat="1" applyFont="1" applyBorder="1" applyAlignment="1">
      <alignment vertical="center"/>
    </xf>
    <xf numFmtId="0" fontId="20" fillId="0" borderId="22" xfId="0" applyFont="1" applyFill="1" applyBorder="1" applyAlignment="1">
      <alignment vertical="center" wrapText="1"/>
    </xf>
    <xf numFmtId="176" fontId="8" fillId="0" borderId="37" xfId="0" applyNumberFormat="1" applyFont="1" applyBorder="1" applyAlignment="1">
      <alignment horizontal="center" vertical="center"/>
    </xf>
    <xf numFmtId="176" fontId="8" fillId="0" borderId="37" xfId="0" applyNumberFormat="1" applyFont="1" applyBorder="1" applyAlignment="1">
      <alignment vertical="center"/>
    </xf>
    <xf numFmtId="168" fontId="8" fillId="0" borderId="37" xfId="4" applyFont="1" applyBorder="1" applyAlignment="1">
      <alignment horizontal="center" vertical="center"/>
    </xf>
    <xf numFmtId="0" fontId="8" fillId="0" borderId="22" xfId="0" applyFont="1" applyFill="1" applyBorder="1" applyAlignment="1">
      <alignment vertical="center" wrapText="1"/>
    </xf>
    <xf numFmtId="176" fontId="8" fillId="0" borderId="38" xfId="0" applyNumberFormat="1" applyFont="1" applyBorder="1" applyAlignment="1">
      <alignment vertical="center"/>
    </xf>
    <xf numFmtId="175" fontId="8" fillId="0" borderId="39" xfId="0" applyNumberFormat="1" applyFont="1" applyBorder="1" applyAlignment="1">
      <alignment vertical="center"/>
    </xf>
    <xf numFmtId="176" fontId="8" fillId="0" borderId="40" xfId="0" applyNumberFormat="1" applyFont="1" applyBorder="1" applyAlignment="1">
      <alignment vertical="center"/>
    </xf>
    <xf numFmtId="176" fontId="8" fillId="0" borderId="41" xfId="0" applyNumberFormat="1" applyFont="1" applyBorder="1" applyAlignment="1">
      <alignment horizontal="center" vertical="center"/>
    </xf>
    <xf numFmtId="176" fontId="8" fillId="0" borderId="41" xfId="0" applyNumberFormat="1" applyFont="1" applyBorder="1" applyAlignment="1">
      <alignment vertical="center"/>
    </xf>
    <xf numFmtId="175" fontId="8" fillId="0" borderId="42" xfId="0" applyNumberFormat="1" applyFont="1" applyBorder="1" applyAlignment="1">
      <alignment vertical="center"/>
    </xf>
    <xf numFmtId="175" fontId="8" fillId="0" borderId="16" xfId="0" applyNumberFormat="1" applyFont="1" applyBorder="1" applyAlignment="1">
      <alignment vertical="center"/>
    </xf>
    <xf numFmtId="176" fontId="8" fillId="0" borderId="13" xfId="0" applyNumberFormat="1" applyFont="1" applyBorder="1" applyAlignment="1">
      <alignment vertical="center"/>
    </xf>
    <xf numFmtId="176" fontId="8" fillId="0" borderId="13" xfId="0" applyNumberFormat="1" applyFont="1" applyBorder="1" applyAlignment="1">
      <alignment horizontal="center" vertical="center"/>
    </xf>
    <xf numFmtId="175" fontId="8" fillId="0" borderId="13" xfId="0" applyNumberFormat="1" applyFont="1" applyBorder="1" applyAlignment="1">
      <alignment vertical="center"/>
    </xf>
    <xf numFmtId="175" fontId="8" fillId="0" borderId="0" xfId="0" applyNumberFormat="1" applyFont="1" applyBorder="1" applyAlignment="1">
      <alignment vertical="center"/>
    </xf>
    <xf numFmtId="176" fontId="8" fillId="0" borderId="43" xfId="0" applyNumberFormat="1" applyFont="1" applyBorder="1" applyAlignment="1">
      <alignment vertical="center"/>
    </xf>
    <xf numFmtId="2" fontId="8" fillId="0" borderId="35" xfId="0" applyNumberFormat="1" applyFont="1" applyBorder="1" applyAlignment="1">
      <alignment horizontal="center" vertical="center"/>
    </xf>
    <xf numFmtId="167" fontId="8" fillId="0" borderId="35" xfId="1" applyFont="1" applyBorder="1" applyAlignment="1">
      <alignment horizontal="center" vertical="center"/>
    </xf>
    <xf numFmtId="9" fontId="8" fillId="0" borderId="35" xfId="0" applyNumberFormat="1" applyFont="1" applyBorder="1" applyAlignment="1">
      <alignment horizontal="center" vertical="center"/>
    </xf>
    <xf numFmtId="175" fontId="8" fillId="0" borderId="36" xfId="0" applyNumberFormat="1" applyFont="1" applyBorder="1" applyAlignment="1">
      <alignment horizontal="center" vertical="center"/>
    </xf>
    <xf numFmtId="173" fontId="8" fillId="0" borderId="37" xfId="1" applyNumberFormat="1" applyFont="1" applyBorder="1" applyAlignment="1">
      <alignment vertical="center"/>
    </xf>
    <xf numFmtId="175" fontId="8" fillId="0" borderId="36" xfId="0" applyNumberFormat="1" applyFont="1" applyBorder="1" applyAlignment="1">
      <alignment vertical="center"/>
    </xf>
    <xf numFmtId="176" fontId="8" fillId="0" borderId="44" xfId="0" applyNumberFormat="1" applyFont="1" applyBorder="1" applyAlignment="1">
      <alignment horizontal="center" vertical="center"/>
    </xf>
    <xf numFmtId="175" fontId="8" fillId="0" borderId="45" xfId="0" applyNumberFormat="1" applyFont="1" applyBorder="1" applyAlignment="1">
      <alignment vertical="center"/>
    </xf>
    <xf numFmtId="173" fontId="8" fillId="0" borderId="35" xfId="1" applyNumberFormat="1" applyFont="1" applyBorder="1" applyAlignment="1">
      <alignment horizontal="center" vertical="center"/>
    </xf>
    <xf numFmtId="173" fontId="8" fillId="0" borderId="35" xfId="1" applyNumberFormat="1" applyFont="1" applyBorder="1" applyAlignment="1">
      <alignment vertical="center"/>
    </xf>
    <xf numFmtId="39" fontId="8" fillId="0" borderId="35" xfId="0" applyNumberFormat="1" applyFont="1" applyBorder="1" applyAlignment="1">
      <alignment horizontal="center" vertical="center"/>
    </xf>
    <xf numFmtId="173" fontId="8" fillId="0" borderId="36" xfId="1" applyNumberFormat="1" applyFont="1" applyBorder="1" applyAlignment="1">
      <alignment vertical="center"/>
    </xf>
    <xf numFmtId="176" fontId="8" fillId="0" borderId="46" xfId="0" applyNumberFormat="1" applyFont="1" applyBorder="1" applyAlignment="1">
      <alignment vertical="center"/>
    </xf>
    <xf numFmtId="176" fontId="8" fillId="0" borderId="47" xfId="0" applyNumberFormat="1" applyFont="1" applyBorder="1" applyAlignment="1">
      <alignment vertical="center"/>
    </xf>
    <xf numFmtId="176" fontId="8" fillId="0" borderId="47" xfId="0" applyNumberFormat="1" applyFont="1" applyBorder="1" applyAlignment="1">
      <alignment horizontal="center" vertical="center"/>
    </xf>
    <xf numFmtId="175" fontId="8" fillId="0" borderId="48" xfId="0" applyNumberFormat="1" applyFont="1" applyBorder="1" applyAlignment="1">
      <alignment vertical="center"/>
    </xf>
    <xf numFmtId="176" fontId="7" fillId="0" borderId="0" xfId="0" applyNumberFormat="1" applyFont="1" applyAlignment="1">
      <alignment vertical="center"/>
    </xf>
    <xf numFmtId="2" fontId="8" fillId="0" borderId="35" xfId="4" applyNumberFormat="1" applyFont="1" applyBorder="1" applyAlignment="1">
      <alignment horizontal="center" vertical="center"/>
    </xf>
    <xf numFmtId="2" fontId="8" fillId="0" borderId="37" xfId="4" applyNumberFormat="1" applyFont="1" applyBorder="1" applyAlignment="1">
      <alignment horizontal="center" vertical="center"/>
    </xf>
    <xf numFmtId="176" fontId="8" fillId="0" borderId="22" xfId="0" applyNumberFormat="1" applyFont="1" applyBorder="1" applyAlignment="1">
      <alignment vertical="center"/>
    </xf>
    <xf numFmtId="176" fontId="8" fillId="0" borderId="49" xfId="0" applyNumberFormat="1" applyFont="1" applyBorder="1" applyAlignment="1">
      <alignment vertical="center"/>
    </xf>
    <xf numFmtId="176" fontId="8" fillId="0" borderId="33" xfId="0" applyNumberFormat="1" applyFont="1" applyBorder="1" applyAlignment="1">
      <alignment vertical="center"/>
    </xf>
    <xf numFmtId="176" fontId="8" fillId="0" borderId="33" xfId="0" applyNumberFormat="1" applyFont="1" applyBorder="1" applyAlignment="1">
      <alignment horizontal="center" vertical="center"/>
    </xf>
    <xf numFmtId="175" fontId="8" fillId="0" borderId="33" xfId="0" applyNumberFormat="1" applyFont="1" applyBorder="1" applyAlignment="1">
      <alignment vertical="center"/>
    </xf>
    <xf numFmtId="0" fontId="8" fillId="0" borderId="35" xfId="4" applyNumberFormat="1" applyFont="1" applyBorder="1" applyAlignment="1">
      <alignment horizontal="center" vertical="center"/>
    </xf>
    <xf numFmtId="0" fontId="8" fillId="0" borderId="37" xfId="4" applyNumberFormat="1" applyFont="1" applyBorder="1" applyAlignment="1">
      <alignment horizontal="center" vertical="center"/>
    </xf>
    <xf numFmtId="0" fontId="8" fillId="0" borderId="24" xfId="0" applyFont="1" applyBorder="1" applyAlignment="1">
      <alignment horizontal="center" vertical="center"/>
    </xf>
    <xf numFmtId="0" fontId="8" fillId="0" borderId="43" xfId="0" applyFont="1" applyBorder="1" applyAlignment="1">
      <alignment vertical="center"/>
    </xf>
    <xf numFmtId="0" fontId="8" fillId="0" borderId="38" xfId="0" applyFont="1" applyBorder="1" applyAlignment="1">
      <alignment vertical="center"/>
    </xf>
    <xf numFmtId="176" fontId="8" fillId="0" borderId="38" xfId="0" applyNumberFormat="1" applyFont="1" applyBorder="1" applyAlignment="1">
      <alignment vertical="center" wrapText="1"/>
    </xf>
    <xf numFmtId="2" fontId="8" fillId="0" borderId="37" xfId="0" applyNumberFormat="1" applyFont="1" applyBorder="1" applyAlignment="1">
      <alignment horizontal="center" vertical="center"/>
    </xf>
    <xf numFmtId="167" fontId="8" fillId="0" borderId="37" xfId="1" applyFont="1" applyBorder="1" applyAlignment="1">
      <alignment vertical="center"/>
    </xf>
    <xf numFmtId="167" fontId="8" fillId="0" borderId="35" xfId="1" applyFont="1" applyBorder="1" applyAlignment="1">
      <alignment vertical="center"/>
    </xf>
    <xf numFmtId="173" fontId="8" fillId="0" borderId="0" xfId="1" applyNumberFormat="1" applyFont="1" applyAlignment="1">
      <alignment vertical="center"/>
    </xf>
    <xf numFmtId="176" fontId="8" fillId="0" borderId="43" xfId="0" applyNumberFormat="1" applyFont="1" applyBorder="1" applyAlignment="1">
      <alignment vertical="center" wrapText="1"/>
    </xf>
    <xf numFmtId="0" fontId="8" fillId="0" borderId="35" xfId="0" applyFont="1" applyBorder="1" applyAlignment="1">
      <alignment horizontal="center" vertical="center"/>
    </xf>
    <xf numFmtId="173" fontId="8" fillId="0" borderId="36" xfId="1" applyNumberFormat="1" applyFont="1" applyBorder="1" applyAlignment="1">
      <alignment horizontal="center" vertical="center"/>
    </xf>
    <xf numFmtId="1" fontId="8" fillId="0" borderId="35" xfId="0" applyNumberFormat="1" applyFont="1" applyBorder="1" applyAlignment="1">
      <alignment horizontal="center" vertical="center"/>
    </xf>
    <xf numFmtId="1" fontId="8" fillId="0" borderId="37" xfId="0" applyNumberFormat="1" applyFont="1" applyBorder="1" applyAlignment="1">
      <alignment horizontal="center" vertical="center"/>
    </xf>
    <xf numFmtId="177" fontId="8" fillId="0" borderId="35" xfId="0" applyNumberFormat="1" applyFont="1" applyBorder="1" applyAlignment="1">
      <alignment horizontal="center" vertical="center"/>
    </xf>
    <xf numFmtId="178" fontId="8" fillId="0" borderId="37" xfId="0" applyNumberFormat="1" applyFont="1" applyBorder="1" applyAlignment="1">
      <alignment horizontal="center" vertical="center"/>
    </xf>
    <xf numFmtId="179" fontId="8" fillId="0" borderId="37" xfId="0" applyNumberFormat="1" applyFont="1" applyBorder="1" applyAlignment="1">
      <alignment horizontal="center" vertical="center"/>
    </xf>
    <xf numFmtId="178" fontId="8" fillId="0" borderId="35" xfId="0" applyNumberFormat="1" applyFont="1" applyBorder="1" applyAlignment="1">
      <alignment horizontal="center" vertical="center"/>
    </xf>
    <xf numFmtId="174" fontId="8" fillId="0" borderId="0" xfId="0" applyNumberFormat="1" applyFont="1" applyAlignment="1">
      <alignment vertical="center"/>
    </xf>
    <xf numFmtId="0" fontId="8" fillId="0" borderId="35" xfId="0" applyNumberFormat="1" applyFont="1" applyBorder="1" applyAlignment="1">
      <alignment horizontal="center" vertical="center"/>
    </xf>
    <xf numFmtId="0" fontId="8" fillId="0" borderId="37" xfId="0" applyNumberFormat="1" applyFont="1" applyBorder="1" applyAlignment="1">
      <alignment horizontal="center" vertical="center"/>
    </xf>
    <xf numFmtId="180" fontId="8" fillId="0" borderId="37" xfId="0" applyNumberFormat="1" applyFont="1" applyBorder="1" applyAlignment="1">
      <alignment vertical="center"/>
    </xf>
    <xf numFmtId="168" fontId="8" fillId="0" borderId="35" xfId="4" applyFont="1" applyBorder="1" applyAlignment="1">
      <alignment horizontal="center"/>
    </xf>
    <xf numFmtId="181" fontId="8" fillId="0" borderId="37" xfId="4" applyNumberFormat="1" applyFont="1" applyBorder="1" applyAlignment="1">
      <alignment horizontal="center"/>
    </xf>
    <xf numFmtId="1" fontId="8" fillId="0" borderId="37" xfId="4" applyNumberFormat="1" applyFont="1" applyBorder="1" applyAlignment="1">
      <alignment horizontal="center" vertical="center"/>
    </xf>
    <xf numFmtId="0" fontId="20" fillId="0" borderId="34" xfId="0" applyFont="1" applyFill="1" applyBorder="1" applyAlignment="1">
      <alignment vertical="center" wrapText="1"/>
    </xf>
    <xf numFmtId="10" fontId="8" fillId="0" borderId="0" xfId="3" applyNumberFormat="1" applyFont="1" applyAlignment="1">
      <alignment vertical="center"/>
    </xf>
    <xf numFmtId="10" fontId="8" fillId="0" borderId="0" xfId="0" applyNumberFormat="1" applyFont="1" applyAlignment="1">
      <alignment vertical="center"/>
    </xf>
    <xf numFmtId="0" fontId="8" fillId="4" borderId="0" xfId="0" applyFont="1" applyFill="1" applyAlignment="1">
      <alignment horizontal="center" vertical="center"/>
    </xf>
    <xf numFmtId="0" fontId="8" fillId="4" borderId="0" xfId="0" applyFont="1" applyFill="1" applyBorder="1" applyAlignment="1">
      <alignment horizontal="center" vertical="center" wrapText="1"/>
    </xf>
    <xf numFmtId="173" fontId="7" fillId="4" borderId="0" xfId="1" applyNumberFormat="1" applyFont="1" applyFill="1" applyAlignment="1">
      <alignment horizontal="center" vertical="center"/>
    </xf>
    <xf numFmtId="0" fontId="7" fillId="0" borderId="0" xfId="0" applyFont="1" applyAlignment="1">
      <alignment vertical="center"/>
    </xf>
    <xf numFmtId="0" fontId="8" fillId="0" borderId="23" xfId="0" applyFont="1" applyBorder="1" applyAlignment="1">
      <alignment horizontal="center" vertical="center"/>
    </xf>
    <xf numFmtId="173" fontId="8" fillId="0" borderId="25" xfId="1" applyNumberFormat="1" applyFont="1" applyBorder="1" applyAlignment="1">
      <alignment horizontal="center" vertical="center"/>
    </xf>
    <xf numFmtId="0" fontId="8" fillId="0" borderId="37" xfId="0" applyFont="1" applyBorder="1" applyAlignment="1">
      <alignment horizontal="center" vertical="center"/>
    </xf>
    <xf numFmtId="173" fontId="0" fillId="0" borderId="50" xfId="1" applyNumberFormat="1" applyFont="1" applyFill="1" applyBorder="1" applyAlignment="1">
      <alignment vertical="top" wrapText="1"/>
    </xf>
    <xf numFmtId="180" fontId="8" fillId="0" borderId="35" xfId="0" applyNumberFormat="1" applyFont="1" applyBorder="1" applyAlignment="1">
      <alignment vertical="center"/>
    </xf>
    <xf numFmtId="173" fontId="8" fillId="0" borderId="39" xfId="1" applyNumberFormat="1" applyFont="1" applyBorder="1" applyAlignment="1">
      <alignment vertical="center"/>
    </xf>
    <xf numFmtId="173" fontId="0" fillId="0" borderId="37" xfId="1" applyNumberFormat="1" applyFont="1" applyFill="1" applyBorder="1" applyAlignment="1">
      <alignment vertical="top" wrapText="1"/>
    </xf>
    <xf numFmtId="173" fontId="8" fillId="0" borderId="39" xfId="1" applyNumberFormat="1" applyFont="1" applyBorder="1"/>
    <xf numFmtId="0" fontId="8" fillId="0" borderId="37" xfId="0" applyFont="1" applyBorder="1" applyAlignment="1">
      <alignment vertical="center"/>
    </xf>
    <xf numFmtId="0" fontId="8" fillId="0" borderId="40" xfId="0" applyFont="1" applyBorder="1" applyAlignment="1">
      <alignment vertical="center"/>
    </xf>
    <xf numFmtId="0" fontId="8" fillId="0" borderId="41" xfId="0" applyFont="1" applyBorder="1" applyAlignment="1">
      <alignment vertical="center"/>
    </xf>
    <xf numFmtId="0" fontId="8" fillId="0" borderId="41" xfId="0" applyFont="1" applyBorder="1" applyAlignment="1">
      <alignment horizontal="center" vertical="center"/>
    </xf>
    <xf numFmtId="173" fontId="8" fillId="0" borderId="42" xfId="1" applyNumberFormat="1" applyFont="1" applyBorder="1" applyAlignment="1">
      <alignment vertical="center"/>
    </xf>
    <xf numFmtId="173" fontId="8" fillId="0" borderId="16" xfId="1" applyNumberFormat="1" applyFont="1" applyBorder="1" applyAlignment="1">
      <alignment vertical="center"/>
    </xf>
    <xf numFmtId="0" fontId="8" fillId="0" borderId="13" xfId="0" applyFont="1" applyBorder="1" applyAlignment="1">
      <alignment vertical="center"/>
    </xf>
    <xf numFmtId="0" fontId="8" fillId="0" borderId="13" xfId="0" applyFont="1" applyBorder="1" applyAlignment="1">
      <alignment horizontal="center" vertical="center"/>
    </xf>
    <xf numFmtId="173" fontId="8" fillId="0" borderId="13" xfId="1" applyNumberFormat="1" applyFont="1" applyBorder="1" applyAlignment="1">
      <alignment vertical="center"/>
    </xf>
    <xf numFmtId="173" fontId="8" fillId="0" borderId="0" xfId="1" applyNumberFormat="1" applyFont="1" applyBorder="1" applyAlignment="1">
      <alignment vertical="center"/>
    </xf>
    <xf numFmtId="0" fontId="8" fillId="0" borderId="51" xfId="0" applyFont="1" applyFill="1" applyBorder="1" applyAlignment="1">
      <alignment vertical="center" wrapText="1"/>
    </xf>
    <xf numFmtId="0" fontId="8" fillId="0" borderId="52" xfId="0" applyFont="1" applyFill="1" applyBorder="1" applyAlignment="1">
      <alignment vertical="center" wrapText="1"/>
    </xf>
    <xf numFmtId="167" fontId="8" fillId="0" borderId="37" xfId="1" applyNumberFormat="1" applyFont="1" applyBorder="1" applyAlignment="1">
      <alignment vertical="center"/>
    </xf>
    <xf numFmtId="0" fontId="8" fillId="0" borderId="51" xfId="0" applyFont="1" applyFill="1" applyBorder="1" applyAlignment="1">
      <alignment vertical="top" wrapText="1"/>
    </xf>
    <xf numFmtId="173" fontId="8" fillId="0" borderId="0" xfId="1" applyNumberFormat="1" applyFont="1" applyAlignment="1">
      <alignment horizontal="center" vertical="center"/>
    </xf>
    <xf numFmtId="0" fontId="8" fillId="0" borderId="52" xfId="0" applyFont="1" applyFill="1" applyBorder="1" applyAlignment="1">
      <alignment vertical="top" wrapText="1"/>
    </xf>
    <xf numFmtId="0" fontId="8" fillId="0" borderId="35" xfId="0" applyFont="1" applyBorder="1" applyAlignment="1">
      <alignment vertical="center"/>
    </xf>
    <xf numFmtId="0" fontId="8" fillId="0" borderId="44" xfId="0" applyFont="1" applyBorder="1" applyAlignment="1">
      <alignment horizontal="center" vertical="center"/>
    </xf>
    <xf numFmtId="173" fontId="8" fillId="0" borderId="45" xfId="1" applyNumberFormat="1" applyFont="1" applyBorder="1" applyAlignment="1">
      <alignment vertical="center"/>
    </xf>
    <xf numFmtId="0" fontId="8" fillId="0" borderId="46" xfId="0" applyFont="1" applyBorder="1" applyAlignment="1">
      <alignment vertical="center"/>
    </xf>
    <xf numFmtId="0" fontId="8" fillId="0" borderId="47" xfId="0" applyFont="1" applyBorder="1" applyAlignment="1">
      <alignment vertical="center"/>
    </xf>
    <xf numFmtId="0" fontId="8" fillId="0" borderId="47" xfId="0" applyFont="1" applyBorder="1" applyAlignment="1">
      <alignment horizontal="center" vertical="center"/>
    </xf>
    <xf numFmtId="173" fontId="8" fillId="0" borderId="48" xfId="1" applyNumberFormat="1" applyFont="1" applyBorder="1" applyAlignment="1">
      <alignment vertical="center"/>
    </xf>
    <xf numFmtId="0" fontId="8" fillId="0" borderId="0" xfId="0" applyFont="1" applyAlignment="1">
      <alignment horizontal="center"/>
    </xf>
    <xf numFmtId="167" fontId="8" fillId="0" borderId="16" xfId="1" applyNumberFormat="1" applyFont="1" applyBorder="1" applyAlignment="1">
      <alignment vertical="center"/>
    </xf>
    <xf numFmtId="167" fontId="8" fillId="0" borderId="35" xfId="1" applyNumberFormat="1" applyFont="1" applyBorder="1" applyAlignment="1">
      <alignment horizontal="center" vertical="center"/>
    </xf>
    <xf numFmtId="0" fontId="8" fillId="0" borderId="53" xfId="0" applyFont="1" applyFill="1" applyBorder="1" applyAlignment="1">
      <alignment vertical="top" wrapText="1"/>
    </xf>
    <xf numFmtId="0" fontId="8" fillId="0" borderId="54" xfId="0" applyFont="1" applyFill="1" applyBorder="1" applyAlignment="1">
      <alignment vertical="top" wrapText="1"/>
    </xf>
    <xf numFmtId="0" fontId="8" fillId="0" borderId="38" xfId="0" applyFont="1" applyFill="1" applyBorder="1" applyAlignment="1">
      <alignment vertical="top" wrapText="1"/>
    </xf>
    <xf numFmtId="167" fontId="8" fillId="0" borderId="0" xfId="1" applyNumberFormat="1" applyFont="1" applyBorder="1" applyAlignment="1">
      <alignment vertical="center"/>
    </xf>
    <xf numFmtId="167" fontId="8" fillId="0" borderId="0" xfId="1" applyNumberFormat="1" applyFont="1" applyAlignment="1">
      <alignment vertical="center"/>
    </xf>
    <xf numFmtId="173" fontId="0" fillId="0" borderId="50" xfId="1" applyNumberFormat="1" applyFont="1" applyFill="1" applyBorder="1" applyAlignment="1">
      <alignment vertical="center" wrapText="1"/>
    </xf>
    <xf numFmtId="173" fontId="0" fillId="0" borderId="37" xfId="1" applyNumberFormat="1" applyFont="1" applyFill="1" applyBorder="1" applyAlignment="1">
      <alignment vertical="center" wrapText="1"/>
    </xf>
    <xf numFmtId="0" fontId="0" fillId="0" borderId="0" xfId="0" applyAlignment="1">
      <alignment vertical="center"/>
    </xf>
    <xf numFmtId="0" fontId="20" fillId="0" borderId="52" xfId="0" applyFont="1" applyFill="1" applyBorder="1" applyAlignment="1">
      <alignment vertical="center" wrapText="1"/>
    </xf>
    <xf numFmtId="0" fontId="8" fillId="0" borderId="53" xfId="0" applyFont="1" applyFill="1" applyBorder="1" applyAlignment="1">
      <alignment vertical="center" wrapText="1"/>
    </xf>
    <xf numFmtId="0" fontId="8" fillId="0" borderId="38" xfId="0" applyFont="1" applyFill="1" applyBorder="1" applyAlignment="1">
      <alignment vertical="center" wrapText="1"/>
    </xf>
    <xf numFmtId="0" fontId="20" fillId="0" borderId="38" xfId="0" applyFont="1" applyFill="1" applyBorder="1" applyAlignment="1">
      <alignment vertical="center" wrapText="1"/>
    </xf>
    <xf numFmtId="167" fontId="8" fillId="0" borderId="37" xfId="1" applyNumberFormat="1" applyFont="1" applyFill="1" applyBorder="1" applyAlignment="1">
      <alignment vertical="center"/>
    </xf>
    <xf numFmtId="167" fontId="8" fillId="0" borderId="35" xfId="1" applyNumberFormat="1" applyFont="1" applyFill="1" applyBorder="1" applyAlignment="1">
      <alignment horizontal="center" vertical="center"/>
    </xf>
    <xf numFmtId="173" fontId="8" fillId="0" borderId="37" xfId="1" applyNumberFormat="1" applyFont="1" applyFill="1" applyBorder="1" applyAlignment="1">
      <alignment vertical="center"/>
    </xf>
    <xf numFmtId="173" fontId="29" fillId="0" borderId="0" xfId="0" applyNumberFormat="1" applyFont="1"/>
    <xf numFmtId="177" fontId="8" fillId="0" borderId="37" xfId="0" applyNumberFormat="1" applyFont="1" applyBorder="1" applyAlignment="1">
      <alignment horizontal="center" vertical="center"/>
    </xf>
    <xf numFmtId="0" fontId="8" fillId="0" borderId="55" xfId="0" applyFont="1" applyFill="1" applyBorder="1" applyAlignment="1">
      <alignment vertical="top" wrapText="1"/>
    </xf>
    <xf numFmtId="0" fontId="8" fillId="0" borderId="56" xfId="0" applyFont="1" applyBorder="1" applyAlignment="1">
      <alignment horizontal="center" vertical="center"/>
    </xf>
    <xf numFmtId="167" fontId="8" fillId="0" borderId="56" xfId="1" applyFont="1" applyBorder="1" applyAlignment="1">
      <alignment horizontal="center" vertical="center"/>
    </xf>
    <xf numFmtId="0" fontId="8" fillId="0" borderId="57" xfId="0" applyFont="1" applyFill="1" applyBorder="1" applyAlignment="1">
      <alignment vertical="top" wrapText="1"/>
    </xf>
    <xf numFmtId="0" fontId="8" fillId="0" borderId="58" xfId="0" applyFont="1" applyBorder="1" applyAlignment="1">
      <alignment horizontal="center" vertical="center"/>
    </xf>
    <xf numFmtId="167" fontId="8" fillId="0" borderId="58" xfId="1" applyFont="1" applyBorder="1" applyAlignment="1">
      <alignment vertical="center"/>
    </xf>
    <xf numFmtId="0" fontId="8" fillId="0" borderId="58" xfId="0" applyFont="1" applyBorder="1" applyAlignment="1">
      <alignment vertical="center"/>
    </xf>
    <xf numFmtId="0" fontId="8" fillId="0" borderId="59" xfId="0" applyFont="1" applyFill="1" applyBorder="1" applyAlignment="1">
      <alignment vertical="top" wrapText="1"/>
    </xf>
    <xf numFmtId="0" fontId="8" fillId="0" borderId="60" xfId="0" applyFont="1" applyBorder="1" applyAlignment="1">
      <alignment horizontal="center" vertical="center"/>
    </xf>
    <xf numFmtId="167" fontId="8" fillId="0" borderId="60" xfId="1" applyFont="1" applyBorder="1" applyAlignment="1">
      <alignment horizontal="center" vertical="center"/>
    </xf>
    <xf numFmtId="0" fontId="8" fillId="0" borderId="61" xfId="0" applyFont="1" applyFill="1" applyBorder="1" applyAlignment="1">
      <alignment vertical="top" wrapText="1"/>
    </xf>
    <xf numFmtId="0" fontId="8" fillId="0" borderId="62" xfId="0" applyFont="1" applyBorder="1" applyAlignment="1">
      <alignment horizontal="center" vertical="center"/>
    </xf>
    <xf numFmtId="167" fontId="8" fillId="0" borderId="62" xfId="1" applyFont="1" applyBorder="1" applyAlignment="1">
      <alignment vertical="center"/>
    </xf>
    <xf numFmtId="0" fontId="8" fillId="0" borderId="62" xfId="0" applyFont="1" applyBorder="1" applyAlignment="1">
      <alignment vertical="center"/>
    </xf>
    <xf numFmtId="0" fontId="20" fillId="0" borderId="51" xfId="0" applyFont="1" applyFill="1" applyBorder="1" applyAlignment="1">
      <alignment vertical="top" wrapText="1"/>
    </xf>
    <xf numFmtId="177" fontId="8" fillId="0" borderId="35" xfId="4" applyNumberFormat="1" applyFont="1" applyBorder="1" applyAlignment="1">
      <alignment horizontal="center" vertical="center"/>
    </xf>
    <xf numFmtId="177" fontId="8" fillId="0" borderId="37" xfId="4" applyNumberFormat="1" applyFont="1" applyBorder="1" applyAlignment="1">
      <alignment horizontal="center" vertical="center"/>
    </xf>
    <xf numFmtId="167" fontId="8" fillId="0" borderId="39" xfId="1" applyNumberFormat="1" applyFont="1" applyBorder="1" applyAlignment="1">
      <alignment vertical="center"/>
    </xf>
    <xf numFmtId="173" fontId="32" fillId="0" borderId="39" xfId="1" applyNumberFormat="1" applyFont="1" applyBorder="1"/>
    <xf numFmtId="167" fontId="8" fillId="0" borderId="36" xfId="1" applyNumberFormat="1" applyFont="1" applyBorder="1" applyAlignment="1">
      <alignment vertical="center"/>
    </xf>
    <xf numFmtId="0" fontId="20" fillId="0" borderId="53" xfId="0" applyFont="1" applyFill="1" applyBorder="1" applyAlignment="1">
      <alignment vertical="top" wrapText="1"/>
    </xf>
    <xf numFmtId="9" fontId="8" fillId="0" borderId="37" xfId="3" applyFont="1" applyBorder="1" applyAlignment="1">
      <alignment horizontal="center" vertical="center"/>
    </xf>
    <xf numFmtId="9" fontId="8" fillId="0" borderId="35" xfId="3" applyFont="1" applyBorder="1" applyAlignment="1">
      <alignment horizontal="center" vertical="center"/>
    </xf>
    <xf numFmtId="178" fontId="8" fillId="0" borderId="37" xfId="4" applyNumberFormat="1" applyFont="1" applyBorder="1" applyAlignment="1">
      <alignment horizontal="center" vertical="center"/>
    </xf>
    <xf numFmtId="0" fontId="20" fillId="0" borderId="22" xfId="0" applyFont="1" applyFill="1" applyBorder="1" applyAlignment="1">
      <alignment vertical="center"/>
    </xf>
    <xf numFmtId="0" fontId="20" fillId="0" borderId="63" xfId="0" applyFont="1" applyFill="1" applyBorder="1" applyAlignment="1">
      <alignment vertical="center" wrapText="1"/>
    </xf>
    <xf numFmtId="182" fontId="8" fillId="0" borderId="35" xfId="0" applyNumberFormat="1" applyFont="1" applyBorder="1" applyAlignment="1">
      <alignment horizontal="center" vertical="center"/>
    </xf>
    <xf numFmtId="176" fontId="8" fillId="0" borderId="53" xfId="0" applyNumberFormat="1" applyFont="1" applyFill="1" applyBorder="1" applyAlignment="1">
      <alignment vertical="center" wrapText="1"/>
    </xf>
    <xf numFmtId="0" fontId="20" fillId="0" borderId="6" xfId="0" applyFont="1" applyFill="1" applyBorder="1" applyAlignment="1">
      <alignment vertical="center" wrapText="1"/>
    </xf>
    <xf numFmtId="0" fontId="19" fillId="0" borderId="6" xfId="0" applyFont="1" applyFill="1" applyBorder="1" applyAlignment="1">
      <alignment vertical="center" wrapText="1"/>
    </xf>
    <xf numFmtId="0" fontId="21" fillId="0" borderId="6" xfId="0" applyFont="1" applyFill="1" applyBorder="1" applyAlignment="1">
      <alignment vertical="center" wrapText="1"/>
    </xf>
    <xf numFmtId="0" fontId="21" fillId="0" borderId="9" xfId="0" applyFont="1" applyFill="1" applyBorder="1" applyAlignment="1">
      <alignment horizontal="center" vertical="center"/>
    </xf>
    <xf numFmtId="0" fontId="21" fillId="0" borderId="6" xfId="0" applyFont="1" applyBorder="1" applyAlignment="1">
      <alignment horizontal="left" vertical="center"/>
    </xf>
    <xf numFmtId="0" fontId="20" fillId="0" borderId="7" xfId="0" applyFont="1" applyFill="1" applyBorder="1" applyAlignment="1">
      <alignment horizontal="center" vertical="center"/>
    </xf>
    <xf numFmtId="9" fontId="33" fillId="0" borderId="7" xfId="3" applyFont="1" applyBorder="1" applyAlignment="1">
      <alignment horizontal="center"/>
    </xf>
    <xf numFmtId="173" fontId="33" fillId="0" borderId="7" xfId="1" applyNumberFormat="1" applyFont="1" applyFill="1" applyBorder="1" applyAlignment="1">
      <alignment horizontal="center" vertical="center"/>
    </xf>
    <xf numFmtId="173" fontId="33" fillId="0" borderId="7" xfId="1" applyNumberFormat="1" applyFont="1" applyFill="1" applyBorder="1" applyAlignment="1">
      <alignment vertical="center"/>
    </xf>
    <xf numFmtId="173" fontId="33" fillId="0" borderId="8" xfId="1" applyNumberFormat="1" applyFont="1" applyFill="1" applyBorder="1"/>
    <xf numFmtId="0" fontId="20" fillId="0" borderId="9" xfId="0" applyFont="1" applyFill="1" applyBorder="1" applyAlignment="1">
      <alignment horizontal="center" vertical="center"/>
    </xf>
    <xf numFmtId="0" fontId="8" fillId="0" borderId="51" xfId="0" applyFont="1" applyFill="1" applyBorder="1" applyAlignment="1">
      <alignment vertical="top"/>
    </xf>
    <xf numFmtId="0" fontId="8" fillId="0" borderId="52" xfId="0" applyFont="1" applyFill="1" applyBorder="1" applyAlignment="1">
      <alignment vertical="top"/>
    </xf>
    <xf numFmtId="0" fontId="7" fillId="2" borderId="26" xfId="0" applyFont="1" applyFill="1" applyBorder="1" applyAlignment="1">
      <alignment horizontal="center" vertical="center"/>
    </xf>
    <xf numFmtId="0" fontId="7" fillId="2" borderId="4" xfId="0" applyFont="1" applyFill="1" applyBorder="1" applyAlignment="1">
      <alignment horizontal="left" vertical="center"/>
    </xf>
    <xf numFmtId="0" fontId="7" fillId="0" borderId="7" xfId="0" applyFont="1" applyBorder="1" applyAlignment="1">
      <alignment horizontal="right" vertical="center"/>
    </xf>
    <xf numFmtId="0" fontId="7" fillId="2" borderId="7" xfId="0" applyFont="1" applyFill="1" applyBorder="1" applyAlignment="1">
      <alignment horizontal="left" vertical="center" wrapText="1"/>
    </xf>
    <xf numFmtId="0" fontId="8" fillId="0" borderId="7" xfId="0" applyFont="1" applyFill="1" applyBorder="1" applyAlignment="1">
      <alignment horizontal="left" vertical="center" wrapText="1"/>
    </xf>
    <xf numFmtId="0" fontId="7" fillId="0" borderId="7" xfId="0" applyFont="1" applyFill="1" applyBorder="1" applyAlignment="1">
      <alignment horizontal="left" vertical="center" wrapText="1"/>
    </xf>
    <xf numFmtId="173" fontId="7" fillId="0" borderId="32" xfId="1" applyNumberFormat="1" applyFont="1" applyBorder="1" applyAlignment="1">
      <alignment vertical="center"/>
    </xf>
    <xf numFmtId="176" fontId="25" fillId="0" borderId="35" xfId="0" applyNumberFormat="1" applyFont="1" applyBorder="1" applyAlignment="1">
      <alignment vertical="center"/>
    </xf>
    <xf numFmtId="2" fontId="8" fillId="0" borderId="37" xfId="0" applyNumberFormat="1" applyFont="1" applyBorder="1" applyAlignment="1">
      <alignment vertical="center"/>
    </xf>
    <xf numFmtId="1" fontId="8" fillId="0" borderId="37" xfId="0" applyNumberFormat="1" applyFont="1" applyBorder="1" applyAlignment="1">
      <alignment vertical="center"/>
    </xf>
    <xf numFmtId="1" fontId="8" fillId="0" borderId="41" xfId="0" applyNumberFormat="1" applyFont="1" applyBorder="1" applyAlignment="1">
      <alignment vertical="center"/>
    </xf>
    <xf numFmtId="1" fontId="8" fillId="0" borderId="41" xfId="0" applyNumberFormat="1" applyFont="1" applyBorder="1" applyAlignment="1">
      <alignment horizontal="center" vertical="center"/>
    </xf>
    <xf numFmtId="0" fontId="0" fillId="0" borderId="0" xfId="0" applyAlignment="1">
      <alignment horizontal="center"/>
    </xf>
    <xf numFmtId="0" fontId="26" fillId="0" borderId="6" xfId="0" applyFont="1" applyBorder="1" applyAlignment="1">
      <alignment horizontal="center" vertical="center"/>
    </xf>
    <xf numFmtId="0" fontId="10" fillId="0" borderId="7" xfId="0" applyFont="1" applyFill="1" applyBorder="1" applyAlignment="1">
      <alignment horizontal="left" vertical="center" wrapText="1"/>
    </xf>
    <xf numFmtId="0" fontId="5" fillId="0" borderId="0" xfId="0" applyFont="1" applyAlignment="1">
      <alignment horizontal="center" vertical="center"/>
    </xf>
    <xf numFmtId="183" fontId="8" fillId="0" borderId="35" xfId="0" applyNumberFormat="1" applyFont="1" applyBorder="1" applyAlignment="1">
      <alignment vertical="center"/>
    </xf>
    <xf numFmtId="2" fontId="8" fillId="0" borderId="37" xfId="0" applyNumberFormat="1" applyFont="1" applyBorder="1" applyAlignment="1">
      <alignment horizontal="center" vertical="center" wrapText="1"/>
    </xf>
    <xf numFmtId="184" fontId="8" fillId="0" borderId="35" xfId="1" applyNumberFormat="1" applyFont="1" applyBorder="1" applyAlignment="1">
      <alignment vertical="center"/>
    </xf>
    <xf numFmtId="0" fontId="8" fillId="0" borderId="0" xfId="0" applyFont="1" applyFill="1" applyBorder="1" applyAlignment="1">
      <alignment vertical="center"/>
    </xf>
    <xf numFmtId="0" fontId="0" fillId="0" borderId="0" xfId="0" applyFont="1" applyFill="1" applyBorder="1"/>
    <xf numFmtId="173" fontId="8" fillId="0" borderId="0" xfId="1" applyNumberFormat="1" applyFont="1" applyFill="1" applyBorder="1" applyAlignment="1">
      <alignment vertical="center"/>
    </xf>
    <xf numFmtId="173" fontId="8" fillId="0" borderId="0" xfId="1" applyNumberFormat="1" applyFont="1" applyFill="1" applyBorder="1" applyAlignment="1">
      <alignment horizontal="center" vertical="center"/>
    </xf>
    <xf numFmtId="167" fontId="8" fillId="0" borderId="0" xfId="1" applyNumberFormat="1" applyFont="1" applyFill="1" applyBorder="1" applyAlignment="1">
      <alignment vertical="center"/>
    </xf>
    <xf numFmtId="0" fontId="8" fillId="4" borderId="0" xfId="0" applyFont="1" applyFill="1" applyBorder="1" applyAlignment="1">
      <alignment horizontal="center" vertical="center"/>
    </xf>
    <xf numFmtId="173" fontId="8" fillId="0" borderId="0" xfId="5" applyNumberFormat="1" applyFont="1" applyAlignment="1">
      <alignment vertical="center"/>
    </xf>
    <xf numFmtId="173" fontId="7" fillId="4" borderId="0" xfId="5" applyNumberFormat="1" applyFont="1" applyFill="1" applyAlignment="1">
      <alignment horizontal="center" vertical="center"/>
    </xf>
    <xf numFmtId="173" fontId="8" fillId="0" borderId="25" xfId="5" applyNumberFormat="1" applyFont="1" applyBorder="1" applyAlignment="1">
      <alignment horizontal="center" vertical="center"/>
    </xf>
    <xf numFmtId="173" fontId="8" fillId="0" borderId="39" xfId="5" applyNumberFormat="1" applyFont="1" applyBorder="1" applyAlignment="1">
      <alignment vertical="center"/>
    </xf>
    <xf numFmtId="173" fontId="8" fillId="0" borderId="35" xfId="5" applyNumberFormat="1" applyFont="1" applyBorder="1" applyAlignment="1">
      <alignment vertical="center"/>
    </xf>
    <xf numFmtId="173" fontId="8" fillId="0" borderId="37" xfId="5" applyNumberFormat="1" applyFont="1" applyBorder="1" applyAlignment="1">
      <alignment vertical="center"/>
    </xf>
    <xf numFmtId="173" fontId="8" fillId="0" borderId="42" xfId="5" applyNumberFormat="1" applyFont="1" applyBorder="1" applyAlignment="1">
      <alignment vertical="center"/>
    </xf>
    <xf numFmtId="173" fontId="8" fillId="0" borderId="16" xfId="5" applyNumberFormat="1" applyFont="1" applyBorder="1" applyAlignment="1">
      <alignment vertical="center"/>
    </xf>
    <xf numFmtId="173" fontId="8" fillId="0" borderId="13" xfId="5" applyNumberFormat="1" applyFont="1" applyBorder="1" applyAlignment="1">
      <alignment vertical="center"/>
    </xf>
    <xf numFmtId="173" fontId="8" fillId="0" borderId="0" xfId="5" applyNumberFormat="1" applyFont="1" applyBorder="1" applyAlignment="1">
      <alignment vertical="center"/>
    </xf>
    <xf numFmtId="173" fontId="8" fillId="0" borderId="36" xfId="5" applyNumberFormat="1" applyFont="1" applyBorder="1" applyAlignment="1">
      <alignment vertical="center"/>
    </xf>
    <xf numFmtId="167" fontId="8" fillId="0" borderId="35" xfId="5" applyNumberFormat="1" applyFont="1" applyBorder="1" applyAlignment="1">
      <alignment vertical="center"/>
    </xf>
    <xf numFmtId="173" fontId="8" fillId="0" borderId="35" xfId="5" applyNumberFormat="1" applyFont="1" applyBorder="1" applyAlignment="1">
      <alignment horizontal="center" vertical="center"/>
    </xf>
    <xf numFmtId="173" fontId="8" fillId="0" borderId="36" xfId="5" applyNumberFormat="1" applyFont="1" applyBorder="1" applyAlignment="1">
      <alignment horizontal="center" vertical="center"/>
    </xf>
    <xf numFmtId="173" fontId="8" fillId="0" borderId="0" xfId="5" applyNumberFormat="1" applyFont="1" applyAlignment="1">
      <alignment horizontal="center" vertical="center"/>
    </xf>
    <xf numFmtId="173" fontId="8" fillId="0" borderId="45" xfId="5" applyNumberFormat="1" applyFont="1" applyBorder="1" applyAlignment="1">
      <alignment vertical="center"/>
    </xf>
    <xf numFmtId="173" fontId="8" fillId="0" borderId="48" xfId="5" applyNumberFormat="1" applyFont="1" applyBorder="1" applyAlignment="1">
      <alignment vertical="center"/>
    </xf>
    <xf numFmtId="167" fontId="8" fillId="0" borderId="16" xfId="5" applyNumberFormat="1" applyFont="1" applyBorder="1" applyAlignment="1">
      <alignment vertical="center"/>
    </xf>
    <xf numFmtId="167" fontId="8" fillId="0" borderId="35" xfId="5" applyFont="1" applyBorder="1" applyAlignment="1">
      <alignment vertical="center"/>
    </xf>
    <xf numFmtId="167" fontId="8" fillId="0" borderId="36" xfId="5" applyFont="1" applyBorder="1" applyAlignment="1">
      <alignment vertical="center"/>
    </xf>
    <xf numFmtId="167" fontId="8" fillId="0" borderId="37" xfId="5" applyFont="1" applyBorder="1" applyAlignment="1">
      <alignment vertical="center"/>
    </xf>
    <xf numFmtId="167" fontId="8" fillId="0" borderId="39" xfId="5" applyFont="1" applyBorder="1" applyAlignment="1">
      <alignment vertical="center"/>
    </xf>
    <xf numFmtId="167" fontId="8" fillId="0" borderId="42" xfId="5" applyFont="1" applyBorder="1" applyAlignment="1">
      <alignment vertical="center"/>
    </xf>
    <xf numFmtId="167" fontId="8" fillId="0" borderId="13" xfId="5" applyFont="1" applyBorder="1" applyAlignment="1">
      <alignment vertical="center"/>
    </xf>
    <xf numFmtId="167" fontId="8" fillId="0" borderId="25" xfId="5" applyFont="1" applyBorder="1" applyAlignment="1">
      <alignment horizontal="center" vertical="center"/>
    </xf>
    <xf numFmtId="167" fontId="8" fillId="0" borderId="35" xfId="5" applyFont="1" applyBorder="1" applyAlignment="1">
      <alignment horizontal="center" vertical="center"/>
    </xf>
    <xf numFmtId="167" fontId="8" fillId="0" borderId="36" xfId="5" applyFont="1" applyBorder="1" applyAlignment="1">
      <alignment horizontal="center" vertical="center"/>
    </xf>
    <xf numFmtId="167" fontId="8" fillId="0" borderId="0" xfId="5" applyFont="1" applyAlignment="1">
      <alignment vertical="center"/>
    </xf>
    <xf numFmtId="167" fontId="8" fillId="0" borderId="41" xfId="5" applyFont="1" applyBorder="1" applyAlignment="1">
      <alignment vertical="center"/>
    </xf>
    <xf numFmtId="167" fontId="8" fillId="0" borderId="24" xfId="5" applyFont="1" applyBorder="1" applyAlignment="1">
      <alignment horizontal="center" vertical="center"/>
    </xf>
    <xf numFmtId="165" fontId="8" fillId="0" borderId="35" xfId="5" applyNumberFormat="1" applyFont="1" applyBorder="1" applyAlignment="1">
      <alignment horizontal="center" vertical="center"/>
    </xf>
    <xf numFmtId="173" fontId="0" fillId="0" borderId="50" xfId="5" applyNumberFormat="1" applyFont="1" applyFill="1" applyBorder="1" applyAlignment="1">
      <alignment vertical="top" wrapText="1"/>
    </xf>
    <xf numFmtId="167" fontId="8" fillId="0" borderId="39" xfId="5" applyNumberFormat="1" applyFont="1" applyBorder="1" applyAlignment="1">
      <alignment vertical="center"/>
    </xf>
    <xf numFmtId="173" fontId="0" fillId="0" borderId="37" xfId="5" applyNumberFormat="1" applyFont="1" applyFill="1" applyBorder="1" applyAlignment="1">
      <alignment vertical="top" wrapText="1"/>
    </xf>
    <xf numFmtId="173" fontId="32" fillId="0" borderId="39" xfId="5" applyNumberFormat="1" applyFont="1" applyBorder="1"/>
    <xf numFmtId="167" fontId="8" fillId="0" borderId="37" xfId="5" applyNumberFormat="1" applyFont="1" applyBorder="1" applyAlignment="1">
      <alignment vertical="center"/>
    </xf>
    <xf numFmtId="167" fontId="8" fillId="0" borderId="36" xfId="5" applyNumberFormat="1" applyFont="1" applyBorder="1" applyAlignment="1">
      <alignment vertical="center"/>
    </xf>
    <xf numFmtId="167" fontId="8" fillId="0" borderId="35" xfId="5" applyNumberFormat="1" applyFont="1" applyBorder="1" applyAlignment="1">
      <alignment horizontal="center" vertical="center"/>
    </xf>
    <xf numFmtId="167" fontId="8" fillId="0" borderId="60" xfId="5" applyFont="1" applyBorder="1" applyAlignment="1">
      <alignment horizontal="center" vertical="center"/>
    </xf>
    <xf numFmtId="167" fontId="8" fillId="0" borderId="62" xfId="5" applyFont="1" applyBorder="1" applyAlignment="1">
      <alignment vertical="center"/>
    </xf>
    <xf numFmtId="0" fontId="8" fillId="0" borderId="43" xfId="0" applyNumberFormat="1" applyFont="1" applyBorder="1"/>
    <xf numFmtId="0" fontId="8" fillId="0" borderId="35" xfId="0" applyNumberFormat="1" applyFont="1" applyBorder="1" applyAlignment="1">
      <alignment horizontal="center"/>
    </xf>
    <xf numFmtId="0" fontId="8" fillId="0" borderId="35" xfId="0" applyNumberFormat="1" applyFont="1" applyBorder="1"/>
    <xf numFmtId="173" fontId="8" fillId="0" borderId="35" xfId="5" applyNumberFormat="1" applyFont="1" applyBorder="1"/>
    <xf numFmtId="0" fontId="8" fillId="0" borderId="38" xfId="0" applyNumberFormat="1" applyFont="1" applyBorder="1"/>
    <xf numFmtId="0" fontId="8" fillId="0" borderId="37" xfId="0" applyNumberFormat="1" applyFont="1" applyBorder="1" applyAlignment="1">
      <alignment horizontal="center"/>
    </xf>
    <xf numFmtId="0" fontId="8" fillId="0" borderId="37" xfId="0" applyNumberFormat="1" applyFont="1" applyBorder="1"/>
    <xf numFmtId="173" fontId="8" fillId="0" borderId="37" xfId="5" applyNumberFormat="1" applyFont="1" applyBorder="1"/>
    <xf numFmtId="0" fontId="8" fillId="0" borderId="43" xfId="0" applyNumberFormat="1" applyFont="1" applyFill="1" applyBorder="1" applyAlignment="1">
      <alignment wrapText="1"/>
    </xf>
    <xf numFmtId="0" fontId="8" fillId="0" borderId="43" xfId="0" applyNumberFormat="1" applyFont="1" applyFill="1" applyBorder="1" applyAlignment="1"/>
    <xf numFmtId="0" fontId="8" fillId="0" borderId="38" xfId="0" applyNumberFormat="1" applyFont="1" applyBorder="1" applyAlignment="1">
      <alignment vertical="center" wrapText="1"/>
    </xf>
    <xf numFmtId="0" fontId="8" fillId="0" borderId="38" xfId="0" applyNumberFormat="1" applyFont="1" applyBorder="1" applyAlignment="1">
      <alignment vertical="center"/>
    </xf>
    <xf numFmtId="0" fontId="8" fillId="0" borderId="38" xfId="0" applyNumberFormat="1" applyFont="1" applyBorder="1" applyAlignment="1"/>
    <xf numFmtId="185" fontId="8" fillId="0" borderId="0" xfId="5" applyNumberFormat="1" applyFont="1" applyAlignment="1">
      <alignment vertical="center"/>
    </xf>
    <xf numFmtId="173" fontId="20" fillId="0" borderId="35" xfId="5" applyNumberFormat="1" applyFont="1" applyBorder="1" applyAlignment="1">
      <alignment vertical="center"/>
    </xf>
    <xf numFmtId="9" fontId="8" fillId="0" borderId="35" xfId="0" applyNumberFormat="1" applyFont="1" applyBorder="1" applyAlignment="1">
      <alignment horizontal="center"/>
    </xf>
    <xf numFmtId="180" fontId="8" fillId="0" borderId="0" xfId="0" applyNumberFormat="1" applyFont="1"/>
    <xf numFmtId="175" fontId="8" fillId="0" borderId="0" xfId="0" applyNumberFormat="1" applyFont="1" applyAlignment="1"/>
    <xf numFmtId="180" fontId="8" fillId="0" borderId="0" xfId="0" applyNumberFormat="1" applyFont="1" applyAlignment="1"/>
    <xf numFmtId="180" fontId="8" fillId="0" borderId="0" xfId="0" applyNumberFormat="1" applyFont="1" applyAlignment="1">
      <alignment horizontal="center" vertical="center"/>
    </xf>
    <xf numFmtId="175" fontId="8" fillId="0" borderId="0" xfId="0" applyNumberFormat="1" applyFont="1"/>
    <xf numFmtId="180" fontId="7" fillId="0" borderId="0" xfId="0" applyNumberFormat="1" applyFont="1" applyAlignment="1">
      <alignment vertical="center"/>
    </xf>
    <xf numFmtId="186" fontId="8" fillId="0" borderId="0" xfId="0" applyNumberFormat="1" applyFont="1" applyAlignment="1">
      <alignment horizontal="center" vertical="center"/>
    </xf>
    <xf numFmtId="180" fontId="8" fillId="0" borderId="0" xfId="0" applyNumberFormat="1" applyFont="1" applyAlignment="1">
      <alignment vertical="center"/>
    </xf>
    <xf numFmtId="180" fontId="8" fillId="0" borderId="0" xfId="0" applyNumberFormat="1" applyFont="1" applyAlignment="1">
      <alignment horizontal="left" vertical="center"/>
    </xf>
    <xf numFmtId="180" fontId="7" fillId="0" borderId="0" xfId="0" applyNumberFormat="1" applyFont="1" applyAlignment="1">
      <alignment horizontal="center" vertical="center" wrapText="1"/>
    </xf>
    <xf numFmtId="0" fontId="8" fillId="0" borderId="23" xfId="0" applyNumberFormat="1" applyFont="1" applyBorder="1" applyAlignment="1">
      <alignment horizontal="center"/>
    </xf>
    <xf numFmtId="0" fontId="8" fillId="0" borderId="24" xfId="0" applyNumberFormat="1" applyFont="1" applyBorder="1" applyAlignment="1">
      <alignment horizontal="center"/>
    </xf>
    <xf numFmtId="175" fontId="8" fillId="0" borderId="25" xfId="0" applyNumberFormat="1" applyFont="1" applyBorder="1" applyAlignment="1">
      <alignment horizontal="center"/>
    </xf>
    <xf numFmtId="175" fontId="8" fillId="0" borderId="36" xfId="0" applyNumberFormat="1" applyFont="1" applyBorder="1"/>
    <xf numFmtId="175" fontId="8" fillId="0" borderId="39" xfId="0" applyNumberFormat="1" applyFont="1" applyBorder="1"/>
    <xf numFmtId="0" fontId="8" fillId="0" borderId="40" xfId="0" applyNumberFormat="1" applyFont="1" applyBorder="1"/>
    <xf numFmtId="0" fontId="8" fillId="0" borderId="41" xfId="0" applyNumberFormat="1" applyFont="1" applyBorder="1" applyAlignment="1">
      <alignment horizontal="center"/>
    </xf>
    <xf numFmtId="0" fontId="8" fillId="0" borderId="41" xfId="0" applyNumberFormat="1" applyFont="1" applyBorder="1"/>
    <xf numFmtId="175" fontId="8" fillId="0" borderId="42" xfId="0" applyNumberFormat="1" applyFont="1" applyBorder="1"/>
    <xf numFmtId="175" fontId="8" fillId="0" borderId="16" xfId="0" applyNumberFormat="1" applyFont="1" applyBorder="1"/>
    <xf numFmtId="0" fontId="8" fillId="0" borderId="13" xfId="0" applyNumberFormat="1" applyFont="1" applyBorder="1"/>
    <xf numFmtId="0" fontId="8" fillId="0" borderId="13" xfId="0" applyNumberFormat="1" applyFont="1" applyBorder="1" applyAlignment="1">
      <alignment horizontal="center"/>
    </xf>
    <xf numFmtId="175" fontId="8" fillId="0" borderId="13" xfId="0" applyNumberFormat="1" applyFont="1" applyBorder="1"/>
    <xf numFmtId="175" fontId="8" fillId="0" borderId="0" xfId="0" applyNumberFormat="1" applyFont="1" applyBorder="1"/>
    <xf numFmtId="173" fontId="20" fillId="0" borderId="37" xfId="5" applyNumberFormat="1" applyFont="1" applyBorder="1"/>
    <xf numFmtId="9" fontId="8" fillId="0" borderId="37" xfId="3" applyFont="1" applyBorder="1" applyAlignment="1">
      <alignment horizontal="center"/>
    </xf>
    <xf numFmtId="173" fontId="8" fillId="0" borderId="41" xfId="5" applyNumberFormat="1" applyFont="1" applyBorder="1"/>
    <xf numFmtId="9" fontId="8" fillId="0" borderId="41" xfId="3" applyFont="1" applyBorder="1" applyAlignment="1">
      <alignment horizontal="center"/>
    </xf>
    <xf numFmtId="0" fontId="8" fillId="0" borderId="44" xfId="0" applyNumberFormat="1" applyFont="1" applyBorder="1"/>
    <xf numFmtId="175" fontId="8" fillId="0" borderId="45" xfId="0" applyNumberFormat="1" applyFont="1" applyBorder="1"/>
    <xf numFmtId="0" fontId="8" fillId="0" borderId="46" xfId="0" applyNumberFormat="1" applyFont="1" applyBorder="1"/>
    <xf numFmtId="0" fontId="8" fillId="0" borderId="47" xfId="0" applyNumberFormat="1" applyFont="1" applyBorder="1"/>
    <xf numFmtId="175" fontId="8" fillId="0" borderId="48" xfId="0" applyNumberFormat="1" applyFont="1" applyBorder="1"/>
    <xf numFmtId="0" fontId="8" fillId="0" borderId="0" xfId="0" applyNumberFormat="1" applyFont="1"/>
    <xf numFmtId="0" fontId="7" fillId="0" borderId="0" xfId="0" applyNumberFormat="1" applyFont="1"/>
    <xf numFmtId="187" fontId="8" fillId="0" borderId="0" xfId="0" applyNumberFormat="1" applyFont="1" applyAlignment="1">
      <alignment vertical="center"/>
    </xf>
    <xf numFmtId="167" fontId="25" fillId="5" borderId="37" xfId="5" applyFont="1" applyFill="1" applyBorder="1" applyAlignment="1">
      <alignment vertical="center"/>
    </xf>
    <xf numFmtId="175" fontId="8" fillId="0" borderId="35" xfId="5" applyNumberFormat="1" applyFont="1" applyBorder="1" applyAlignment="1">
      <alignment vertical="center"/>
    </xf>
    <xf numFmtId="188" fontId="8" fillId="0" borderId="0" xfId="0" applyNumberFormat="1" applyFont="1" applyAlignment="1">
      <alignment vertical="center"/>
    </xf>
    <xf numFmtId="167" fontId="8" fillId="0" borderId="0" xfId="5" applyNumberFormat="1" applyFont="1" applyBorder="1" applyAlignment="1">
      <alignment vertical="center"/>
    </xf>
    <xf numFmtId="167" fontId="8" fillId="0" borderId="36" xfId="5" applyFont="1" applyBorder="1" applyAlignment="1">
      <alignment horizontal="right" vertical="center"/>
    </xf>
    <xf numFmtId="167" fontId="25" fillId="0" borderId="35" xfId="5" applyFont="1" applyBorder="1" applyAlignment="1">
      <alignment horizontal="center" vertical="center"/>
    </xf>
    <xf numFmtId="2" fontId="8" fillId="0" borderId="35" xfId="0" applyNumberFormat="1" applyFont="1" applyBorder="1" applyAlignment="1">
      <alignment vertical="center"/>
    </xf>
    <xf numFmtId="167" fontId="8" fillId="0" borderId="35" xfId="1" applyNumberFormat="1" applyFont="1" applyBorder="1" applyAlignment="1">
      <alignment vertical="center"/>
    </xf>
    <xf numFmtId="173" fontId="8" fillId="0" borderId="7" xfId="5" applyNumberFormat="1" applyFont="1" applyBorder="1" applyAlignment="1">
      <alignment vertical="center"/>
    </xf>
    <xf numFmtId="173" fontId="8" fillId="0" borderId="7" xfId="1" applyNumberFormat="1" applyFont="1" applyBorder="1" applyAlignment="1">
      <alignment horizontal="right" vertical="center"/>
    </xf>
    <xf numFmtId="173" fontId="8" fillId="0" borderId="7" xfId="1" applyNumberFormat="1" applyFont="1" applyBorder="1" applyAlignment="1">
      <alignment horizontal="left" vertical="center"/>
    </xf>
    <xf numFmtId="0" fontId="8" fillId="0" borderId="38" xfId="0" applyFont="1" applyFill="1" applyBorder="1" applyAlignment="1">
      <alignment vertical="center"/>
    </xf>
    <xf numFmtId="0" fontId="8" fillId="0" borderId="37" xfId="0" applyFont="1" applyFill="1" applyBorder="1" applyAlignment="1">
      <alignment horizontal="center" vertical="center"/>
    </xf>
    <xf numFmtId="173" fontId="8" fillId="0" borderId="39" xfId="5" applyNumberFormat="1" applyFont="1" applyFill="1" applyBorder="1" applyAlignment="1">
      <alignment vertical="center"/>
    </xf>
    <xf numFmtId="0" fontId="20" fillId="0" borderId="51" xfId="0" applyFont="1" applyFill="1" applyBorder="1" applyAlignment="1">
      <alignment vertical="center" wrapText="1"/>
    </xf>
    <xf numFmtId="0" fontId="20" fillId="0" borderId="52" xfId="0" applyFont="1" applyFill="1" applyBorder="1" applyAlignment="1">
      <alignment vertical="top" wrapText="1"/>
    </xf>
    <xf numFmtId="173" fontId="8" fillId="0" borderId="37" xfId="1" applyNumberFormat="1" applyFont="1" applyFill="1" applyBorder="1" applyAlignment="1">
      <alignment vertical="top" wrapText="1"/>
    </xf>
    <xf numFmtId="0" fontId="20" fillId="0" borderId="38" xfId="0" applyFont="1" applyFill="1" applyBorder="1" applyAlignment="1">
      <alignment vertical="top" wrapText="1"/>
    </xf>
    <xf numFmtId="167" fontId="8" fillId="0" borderId="36" xfId="1" applyFont="1" applyBorder="1" applyAlignment="1">
      <alignment vertical="center"/>
    </xf>
    <xf numFmtId="0" fontId="25" fillId="0" borderId="53" xfId="0" applyFont="1" applyFill="1" applyBorder="1" applyAlignment="1">
      <alignment vertical="top" wrapText="1"/>
    </xf>
    <xf numFmtId="0" fontId="25" fillId="0" borderId="54" xfId="0" applyFont="1" applyFill="1" applyBorder="1" applyAlignment="1">
      <alignment vertical="top" wrapText="1"/>
    </xf>
    <xf numFmtId="0" fontId="5" fillId="0" borderId="0" xfId="0" applyFont="1" applyAlignment="1">
      <alignment vertical="center"/>
    </xf>
    <xf numFmtId="0" fontId="7" fillId="0" borderId="7" xfId="0" applyFont="1" applyBorder="1" applyAlignment="1">
      <alignment horizontal="left"/>
    </xf>
    <xf numFmtId="173" fontId="8" fillId="0" borderId="7" xfId="5" applyNumberFormat="1" applyFont="1" applyFill="1" applyBorder="1" applyAlignment="1">
      <alignment vertical="center"/>
    </xf>
    <xf numFmtId="173" fontId="8" fillId="0" borderId="8" xfId="5" applyNumberFormat="1" applyFont="1" applyBorder="1" applyAlignment="1">
      <alignment vertical="center"/>
    </xf>
    <xf numFmtId="0" fontId="7" fillId="4" borderId="6" xfId="0" applyFont="1" applyFill="1" applyBorder="1" applyAlignment="1">
      <alignment horizontal="center" vertical="center"/>
    </xf>
    <xf numFmtId="0" fontId="7" fillId="4" borderId="7" xfId="0" applyFont="1" applyFill="1" applyBorder="1" applyAlignment="1">
      <alignment horizontal="left" vertical="center"/>
    </xf>
    <xf numFmtId="173" fontId="8" fillId="4" borderId="7" xfId="1" applyNumberFormat="1" applyFont="1" applyFill="1" applyBorder="1" applyAlignment="1">
      <alignment vertical="center"/>
    </xf>
    <xf numFmtId="173" fontId="8" fillId="4" borderId="8" xfId="1" applyNumberFormat="1" applyFont="1" applyFill="1" applyBorder="1" applyAlignment="1">
      <alignment vertical="center"/>
    </xf>
    <xf numFmtId="0" fontId="25" fillId="0" borderId="52" xfId="0" applyFont="1" applyFill="1" applyBorder="1" applyAlignment="1">
      <alignment vertical="center" wrapText="1"/>
    </xf>
    <xf numFmtId="0" fontId="5" fillId="0" borderId="0" xfId="0" applyFont="1" applyAlignment="1">
      <alignment horizontal="center" vertical="center"/>
    </xf>
    <xf numFmtId="0" fontId="8" fillId="0" borderId="52" xfId="0" applyFont="1" applyFill="1" applyBorder="1" applyAlignment="1">
      <alignment vertical="center"/>
    </xf>
    <xf numFmtId="0" fontId="8" fillId="0" borderId="64" xfId="0" applyFont="1" applyFill="1" applyBorder="1" applyAlignment="1">
      <alignment vertical="top"/>
    </xf>
    <xf numFmtId="0" fontId="8" fillId="0" borderId="65" xfId="0" applyFont="1" applyFill="1" applyBorder="1" applyAlignment="1">
      <alignment vertical="top" wrapText="1"/>
    </xf>
    <xf numFmtId="167" fontId="8" fillId="0" borderId="66" xfId="5" applyNumberFormat="1" applyFont="1" applyBorder="1" applyAlignment="1">
      <alignment vertical="center"/>
    </xf>
    <xf numFmtId="173" fontId="8" fillId="0" borderId="66" xfId="5" applyNumberFormat="1" applyFont="1" applyBorder="1" applyAlignment="1">
      <alignment vertical="center"/>
    </xf>
    <xf numFmtId="2" fontId="8" fillId="0" borderId="50" xfId="0" applyNumberFormat="1" applyFont="1" applyBorder="1"/>
    <xf numFmtId="2" fontId="8" fillId="0" borderId="37" xfId="0" applyNumberFormat="1" applyFont="1" applyBorder="1"/>
    <xf numFmtId="173" fontId="25" fillId="0" borderId="7" xfId="1" applyNumberFormat="1" applyFont="1" applyBorder="1" applyAlignment="1">
      <alignment vertical="center"/>
    </xf>
    <xf numFmtId="2" fontId="8" fillId="0" borderId="0" xfId="1" applyNumberFormat="1" applyFont="1" applyAlignment="1">
      <alignment vertical="center"/>
    </xf>
    <xf numFmtId="0" fontId="8" fillId="0" borderId="0" xfId="1" applyNumberFormat="1" applyFont="1" applyAlignment="1">
      <alignment vertical="center"/>
    </xf>
    <xf numFmtId="0" fontId="5" fillId="0" borderId="0" xfId="0" applyFont="1" applyAlignment="1">
      <alignment horizontal="center" vertical="center"/>
    </xf>
    <xf numFmtId="176" fontId="7" fillId="4" borderId="0" xfId="0" applyNumberFormat="1" applyFont="1" applyFill="1" applyAlignment="1">
      <alignment horizontal="center" vertical="center" wrapText="1"/>
    </xf>
    <xf numFmtId="0" fontId="8" fillId="5" borderId="0" xfId="0" applyFont="1" applyFill="1" applyAlignment="1">
      <alignment horizontal="center" vertical="center"/>
    </xf>
    <xf numFmtId="0" fontId="8" fillId="5" borderId="0" xfId="0" applyFont="1" applyFill="1" applyAlignment="1">
      <alignment vertical="center"/>
    </xf>
    <xf numFmtId="175" fontId="8" fillId="5" borderId="0" xfId="0" applyNumberFormat="1" applyFont="1" applyFill="1" applyAlignment="1">
      <alignment vertical="center"/>
    </xf>
    <xf numFmtId="176" fontId="8" fillId="5" borderId="0" xfId="0" applyNumberFormat="1" applyFont="1" applyFill="1" applyAlignment="1">
      <alignment horizontal="center" vertical="center"/>
    </xf>
    <xf numFmtId="175" fontId="7" fillId="5" borderId="0" xfId="0" applyNumberFormat="1" applyFont="1" applyFill="1" applyAlignment="1">
      <alignment horizontal="center" vertical="center"/>
    </xf>
    <xf numFmtId="176" fontId="8" fillId="5" borderId="0" xfId="0" applyNumberFormat="1" applyFont="1" applyFill="1" applyAlignment="1">
      <alignment vertical="center"/>
    </xf>
    <xf numFmtId="176" fontId="8" fillId="5" borderId="23" xfId="0" applyNumberFormat="1" applyFont="1" applyFill="1" applyBorder="1" applyAlignment="1">
      <alignment horizontal="center" vertical="center"/>
    </xf>
    <xf numFmtId="176" fontId="8" fillId="5" borderId="24" xfId="0" applyNumberFormat="1" applyFont="1" applyFill="1" applyBorder="1" applyAlignment="1">
      <alignment horizontal="center" vertical="center"/>
    </xf>
    <xf numFmtId="175" fontId="8" fillId="5" borderId="25" xfId="0" applyNumberFormat="1" applyFont="1" applyFill="1" applyBorder="1" applyAlignment="1">
      <alignment horizontal="center" vertical="center"/>
    </xf>
    <xf numFmtId="0" fontId="8" fillId="5" borderId="34" xfId="0" applyFont="1" applyFill="1" applyBorder="1" applyAlignment="1">
      <alignment vertical="center" wrapText="1"/>
    </xf>
    <xf numFmtId="176" fontId="8" fillId="5" borderId="35" xfId="0" applyNumberFormat="1" applyFont="1" applyFill="1" applyBorder="1" applyAlignment="1">
      <alignment horizontal="center" vertical="center"/>
    </xf>
    <xf numFmtId="176" fontId="8" fillId="5" borderId="35" xfId="0" applyNumberFormat="1" applyFont="1" applyFill="1" applyBorder="1" applyAlignment="1">
      <alignment vertical="center"/>
    </xf>
    <xf numFmtId="2" fontId="8" fillId="5" borderId="35" xfId="4" applyNumberFormat="1" applyFont="1" applyFill="1" applyBorder="1" applyAlignment="1">
      <alignment horizontal="center" vertical="center"/>
    </xf>
    <xf numFmtId="167" fontId="8" fillId="5" borderId="36" xfId="5" applyFont="1" applyFill="1" applyBorder="1" applyAlignment="1">
      <alignment vertical="center"/>
    </xf>
    <xf numFmtId="0" fontId="20" fillId="5" borderId="22" xfId="0" applyFont="1" applyFill="1" applyBorder="1" applyAlignment="1">
      <alignment vertical="center" wrapText="1"/>
    </xf>
    <xf numFmtId="176" fontId="8" fillId="5" borderId="37" xfId="0" applyNumberFormat="1" applyFont="1" applyFill="1" applyBorder="1" applyAlignment="1">
      <alignment horizontal="center" vertical="center"/>
    </xf>
    <xf numFmtId="176" fontId="8" fillId="5" borderId="37" xfId="0" applyNumberFormat="1" applyFont="1" applyFill="1" applyBorder="1" applyAlignment="1">
      <alignment vertical="center"/>
    </xf>
    <xf numFmtId="2" fontId="8" fillId="5" borderId="37" xfId="4" applyNumberFormat="1" applyFont="1" applyFill="1" applyBorder="1" applyAlignment="1">
      <alignment horizontal="center" vertical="center"/>
    </xf>
    <xf numFmtId="168" fontId="8" fillId="5" borderId="36" xfId="0" applyNumberFormat="1" applyFont="1" applyFill="1" applyBorder="1" applyAlignment="1">
      <alignment vertical="center"/>
    </xf>
    <xf numFmtId="0" fontId="8" fillId="5" borderId="22" xfId="0" applyFont="1" applyFill="1" applyBorder="1" applyAlignment="1">
      <alignment vertical="center" wrapText="1"/>
    </xf>
    <xf numFmtId="176" fontId="8" fillId="5" borderId="38" xfId="0" applyNumberFormat="1" applyFont="1" applyFill="1" applyBorder="1" applyAlignment="1">
      <alignment vertical="center"/>
    </xf>
    <xf numFmtId="175" fontId="8" fillId="5" borderId="39" xfId="0" applyNumberFormat="1" applyFont="1" applyFill="1" applyBorder="1" applyAlignment="1">
      <alignment vertical="center"/>
    </xf>
    <xf numFmtId="176" fontId="8" fillId="5" borderId="40" xfId="0" applyNumberFormat="1" applyFont="1" applyFill="1" applyBorder="1" applyAlignment="1">
      <alignment vertical="center"/>
    </xf>
    <xf numFmtId="176" fontId="8" fillId="5" borderId="41" xfId="0" applyNumberFormat="1" applyFont="1" applyFill="1" applyBorder="1" applyAlignment="1">
      <alignment horizontal="center" vertical="center"/>
    </xf>
    <xf numFmtId="176" fontId="8" fillId="5" borderId="41" xfId="0" applyNumberFormat="1" applyFont="1" applyFill="1" applyBorder="1" applyAlignment="1">
      <alignment vertical="center"/>
    </xf>
    <xf numFmtId="175" fontId="8" fillId="5" borderId="42" xfId="0" applyNumberFormat="1" applyFont="1" applyFill="1" applyBorder="1" applyAlignment="1">
      <alignment vertical="center"/>
    </xf>
    <xf numFmtId="175" fontId="8" fillId="5" borderId="16" xfId="0" applyNumberFormat="1" applyFont="1" applyFill="1" applyBorder="1" applyAlignment="1">
      <alignment vertical="center"/>
    </xf>
    <xf numFmtId="176" fontId="8" fillId="5" borderId="13" xfId="0" applyNumberFormat="1" applyFont="1" applyFill="1" applyBorder="1" applyAlignment="1">
      <alignment vertical="center"/>
    </xf>
    <xf numFmtId="176" fontId="8" fillId="5" borderId="13" xfId="0" applyNumberFormat="1" applyFont="1" applyFill="1" applyBorder="1" applyAlignment="1">
      <alignment horizontal="center" vertical="center"/>
    </xf>
    <xf numFmtId="175" fontId="8" fillId="5" borderId="13" xfId="0" applyNumberFormat="1" applyFont="1" applyFill="1" applyBorder="1" applyAlignment="1">
      <alignment vertical="center"/>
    </xf>
    <xf numFmtId="175" fontId="8" fillId="5" borderId="0" xfId="0" applyNumberFormat="1" applyFont="1" applyFill="1" applyBorder="1" applyAlignment="1">
      <alignment vertical="center"/>
    </xf>
    <xf numFmtId="176" fontId="8" fillId="5" borderId="43" xfId="0" applyNumberFormat="1" applyFont="1" applyFill="1" applyBorder="1" applyAlignment="1">
      <alignment vertical="center" wrapText="1"/>
    </xf>
    <xf numFmtId="2" fontId="8" fillId="5" borderId="35" xfId="0" applyNumberFormat="1" applyFont="1" applyFill="1" applyBorder="1" applyAlignment="1">
      <alignment horizontal="center" vertical="center"/>
    </xf>
    <xf numFmtId="9" fontId="8" fillId="5" borderId="35" xfId="0" applyNumberFormat="1" applyFont="1" applyFill="1" applyBorder="1" applyAlignment="1">
      <alignment horizontal="center" vertical="center"/>
    </xf>
    <xf numFmtId="167" fontId="8" fillId="5" borderId="36" xfId="5" applyFont="1" applyFill="1" applyBorder="1" applyAlignment="1">
      <alignment horizontal="center" vertical="center"/>
    </xf>
    <xf numFmtId="176" fontId="8" fillId="5" borderId="38" xfId="0" applyNumberFormat="1" applyFont="1" applyFill="1" applyBorder="1" applyAlignment="1">
      <alignment vertical="center" wrapText="1"/>
    </xf>
    <xf numFmtId="173" fontId="8" fillId="5" borderId="36" xfId="5" applyNumberFormat="1" applyFont="1" applyFill="1" applyBorder="1" applyAlignment="1">
      <alignment horizontal="center" vertical="center"/>
    </xf>
    <xf numFmtId="176" fontId="8" fillId="5" borderId="44" xfId="0" applyNumberFormat="1" applyFont="1" applyFill="1" applyBorder="1" applyAlignment="1">
      <alignment horizontal="center" vertical="center"/>
    </xf>
    <xf numFmtId="175" fontId="8" fillId="5" borderId="45" xfId="0" applyNumberFormat="1" applyFont="1" applyFill="1" applyBorder="1" applyAlignment="1">
      <alignment vertical="center"/>
    </xf>
    <xf numFmtId="176" fontId="8" fillId="5" borderId="43" xfId="0" applyNumberFormat="1" applyFont="1" applyFill="1" applyBorder="1" applyAlignment="1">
      <alignment vertical="center"/>
    </xf>
    <xf numFmtId="173" fontId="8" fillId="5" borderId="35" xfId="5" applyNumberFormat="1" applyFont="1" applyFill="1" applyBorder="1" applyAlignment="1">
      <alignment horizontal="center" vertical="center"/>
    </xf>
    <xf numFmtId="39" fontId="8" fillId="5" borderId="35" xfId="5" applyNumberFormat="1" applyFont="1" applyFill="1" applyBorder="1" applyAlignment="1">
      <alignment horizontal="center" vertical="center"/>
    </xf>
    <xf numFmtId="167" fontId="8" fillId="5" borderId="35" xfId="5" applyFont="1" applyFill="1" applyBorder="1" applyAlignment="1">
      <alignment horizontal="center" vertical="center"/>
    </xf>
    <xf numFmtId="173" fontId="8" fillId="5" borderId="36" xfId="5" applyNumberFormat="1" applyFont="1" applyFill="1" applyBorder="1" applyAlignment="1">
      <alignment vertical="center"/>
    </xf>
    <xf numFmtId="173" fontId="8" fillId="5" borderId="37" xfId="5" applyNumberFormat="1" applyFont="1" applyFill="1" applyBorder="1" applyAlignment="1">
      <alignment horizontal="center" vertical="center"/>
    </xf>
    <xf numFmtId="173" fontId="8" fillId="5" borderId="37" xfId="5" applyNumberFormat="1" applyFont="1" applyFill="1" applyBorder="1" applyAlignment="1">
      <alignment vertical="center"/>
    </xf>
    <xf numFmtId="173" fontId="8" fillId="5" borderId="35" xfId="5" applyNumberFormat="1" applyFont="1" applyFill="1" applyBorder="1" applyAlignment="1">
      <alignment vertical="center"/>
    </xf>
    <xf numFmtId="176" fontId="8" fillId="5" borderId="46" xfId="0" applyNumberFormat="1" applyFont="1" applyFill="1" applyBorder="1" applyAlignment="1">
      <alignment vertical="center"/>
    </xf>
    <xf numFmtId="176" fontId="8" fillId="5" borderId="47" xfId="0" applyNumberFormat="1" applyFont="1" applyFill="1" applyBorder="1" applyAlignment="1">
      <alignment vertical="center"/>
    </xf>
    <xf numFmtId="176" fontId="8" fillId="5" borderId="47" xfId="0" applyNumberFormat="1" applyFont="1" applyFill="1" applyBorder="1" applyAlignment="1">
      <alignment horizontal="center" vertical="center"/>
    </xf>
    <xf numFmtId="175" fontId="8" fillId="5" borderId="48" xfId="0" applyNumberFormat="1" applyFont="1" applyFill="1" applyBorder="1" applyAlignment="1">
      <alignment vertical="center"/>
    </xf>
    <xf numFmtId="176" fontId="7" fillId="5" borderId="0" xfId="0" applyNumberFormat="1" applyFont="1" applyFill="1" applyAlignment="1">
      <alignment vertical="center"/>
    </xf>
    <xf numFmtId="173" fontId="8" fillId="5" borderId="0" xfId="5" applyNumberFormat="1" applyFont="1" applyFill="1" applyAlignment="1">
      <alignment vertical="center"/>
    </xf>
    <xf numFmtId="0" fontId="8" fillId="0" borderId="0" xfId="0" applyNumberFormat="1" applyFont="1" applyAlignment="1">
      <alignment vertical="center"/>
    </xf>
    <xf numFmtId="0" fontId="20" fillId="0" borderId="53" xfId="0" applyFont="1" applyFill="1" applyBorder="1" applyAlignment="1">
      <alignment vertical="center" wrapText="1"/>
    </xf>
    <xf numFmtId="173" fontId="8" fillId="5" borderId="0" xfId="1" applyNumberFormat="1" applyFont="1" applyFill="1" applyAlignment="1">
      <alignment vertical="center"/>
    </xf>
    <xf numFmtId="0" fontId="8" fillId="5" borderId="0" xfId="0" applyFont="1" applyFill="1" applyBorder="1" applyAlignment="1">
      <alignment horizontal="center" vertical="center" wrapText="1"/>
    </xf>
    <xf numFmtId="173" fontId="7" fillId="5" borderId="0" xfId="1" applyNumberFormat="1" applyFont="1" applyFill="1" applyAlignment="1">
      <alignment horizontal="center" vertical="center"/>
    </xf>
    <xf numFmtId="0" fontId="7" fillId="5" borderId="0" xfId="0" applyFont="1" applyFill="1" applyAlignment="1">
      <alignment vertical="center"/>
    </xf>
    <xf numFmtId="0" fontId="8" fillId="5" borderId="23" xfId="0" applyFont="1" applyFill="1" applyBorder="1" applyAlignment="1">
      <alignment horizontal="center" vertical="center"/>
    </xf>
    <xf numFmtId="0" fontId="8" fillId="5" borderId="24" xfId="0" applyFont="1" applyFill="1" applyBorder="1" applyAlignment="1">
      <alignment horizontal="center" vertical="center"/>
    </xf>
    <xf numFmtId="173" fontId="8" fillId="5" borderId="25" xfId="1" applyNumberFormat="1" applyFont="1" applyFill="1" applyBorder="1" applyAlignment="1">
      <alignment horizontal="center" vertical="center"/>
    </xf>
    <xf numFmtId="0" fontId="8" fillId="5" borderId="38" xfId="0" applyFont="1" applyFill="1" applyBorder="1" applyAlignment="1">
      <alignment vertical="center"/>
    </xf>
    <xf numFmtId="0" fontId="8" fillId="5" borderId="37" xfId="0" applyFont="1" applyFill="1" applyBorder="1" applyAlignment="1">
      <alignment horizontal="center" vertical="center"/>
    </xf>
    <xf numFmtId="173" fontId="0" fillId="5" borderId="50" xfId="1" applyNumberFormat="1" applyFont="1" applyFill="1" applyBorder="1" applyAlignment="1">
      <alignment vertical="center" wrapText="1"/>
    </xf>
    <xf numFmtId="173" fontId="8" fillId="5" borderId="39" xfId="1" applyNumberFormat="1" applyFont="1" applyFill="1" applyBorder="1" applyAlignment="1">
      <alignment vertical="center"/>
    </xf>
    <xf numFmtId="173" fontId="0" fillId="5" borderId="37" xfId="1" applyNumberFormat="1" applyFont="1" applyFill="1" applyBorder="1" applyAlignment="1">
      <alignment vertical="center" wrapText="1"/>
    </xf>
    <xf numFmtId="173" fontId="8" fillId="5" borderId="35" xfId="1" applyNumberFormat="1" applyFont="1" applyFill="1" applyBorder="1" applyAlignment="1">
      <alignment vertical="center"/>
    </xf>
    <xf numFmtId="173" fontId="8" fillId="5" borderId="37" xfId="1" applyNumberFormat="1" applyFont="1" applyFill="1" applyBorder="1" applyAlignment="1">
      <alignment vertical="center"/>
    </xf>
    <xf numFmtId="173" fontId="8" fillId="5" borderId="39" xfId="1" applyNumberFormat="1" applyFont="1" applyFill="1" applyBorder="1"/>
    <xf numFmtId="0" fontId="8" fillId="5" borderId="37" xfId="0" applyFont="1" applyFill="1" applyBorder="1" applyAlignment="1">
      <alignment vertical="center"/>
    </xf>
    <xf numFmtId="0" fontId="8" fillId="5" borderId="40" xfId="0" applyFont="1" applyFill="1" applyBorder="1" applyAlignment="1">
      <alignment vertical="center"/>
    </xf>
    <xf numFmtId="0" fontId="8" fillId="5" borderId="41" xfId="0" applyFont="1" applyFill="1" applyBorder="1" applyAlignment="1">
      <alignment vertical="center"/>
    </xf>
    <xf numFmtId="0" fontId="8" fillId="5" borderId="41" xfId="0" applyFont="1" applyFill="1" applyBorder="1" applyAlignment="1">
      <alignment horizontal="center" vertical="center"/>
    </xf>
    <xf numFmtId="173" fontId="8" fillId="5" borderId="42" xfId="1" applyNumberFormat="1" applyFont="1" applyFill="1" applyBorder="1" applyAlignment="1">
      <alignment vertical="center"/>
    </xf>
    <xf numFmtId="173" fontId="8" fillId="5" borderId="16" xfId="1" applyNumberFormat="1" applyFont="1" applyFill="1" applyBorder="1" applyAlignment="1">
      <alignment vertical="center"/>
    </xf>
    <xf numFmtId="0" fontId="8" fillId="5" borderId="13" xfId="0" applyFont="1" applyFill="1" applyBorder="1" applyAlignment="1">
      <alignment vertical="center"/>
    </xf>
    <xf numFmtId="0" fontId="8" fillId="5" borderId="13" xfId="0" applyFont="1" applyFill="1" applyBorder="1" applyAlignment="1">
      <alignment horizontal="center" vertical="center"/>
    </xf>
    <xf numFmtId="173" fontId="8" fillId="5" borderId="13" xfId="1" applyNumberFormat="1" applyFont="1" applyFill="1" applyBorder="1" applyAlignment="1">
      <alignment vertical="center"/>
    </xf>
    <xf numFmtId="173" fontId="8" fillId="5" borderId="0" xfId="1" applyNumberFormat="1" applyFont="1" applyFill="1" applyBorder="1" applyAlignment="1">
      <alignment vertical="center"/>
    </xf>
    <xf numFmtId="0" fontId="20" fillId="5" borderId="53" xfId="0" applyFont="1" applyFill="1" applyBorder="1" applyAlignment="1">
      <alignment vertical="center" wrapText="1"/>
    </xf>
    <xf numFmtId="0" fontId="8" fillId="5" borderId="35" xfId="0" applyFont="1" applyFill="1" applyBorder="1" applyAlignment="1">
      <alignment horizontal="center" vertical="center"/>
    </xf>
    <xf numFmtId="167" fontId="8" fillId="5" borderId="37" xfId="1" applyNumberFormat="1" applyFont="1" applyFill="1" applyBorder="1" applyAlignment="1">
      <alignment vertical="center"/>
    </xf>
    <xf numFmtId="173" fontId="8" fillId="5" borderId="36" xfId="1" applyNumberFormat="1" applyFont="1" applyFill="1" applyBorder="1" applyAlignment="1">
      <alignment vertical="center"/>
    </xf>
    <xf numFmtId="0" fontId="20" fillId="5" borderId="38" xfId="0" applyFont="1" applyFill="1" applyBorder="1" applyAlignment="1">
      <alignment vertical="center" wrapText="1"/>
    </xf>
    <xf numFmtId="167" fontId="8" fillId="5" borderId="35" xfId="1" applyNumberFormat="1" applyFont="1" applyFill="1" applyBorder="1" applyAlignment="1">
      <alignment horizontal="center" vertical="center"/>
    </xf>
    <xf numFmtId="0" fontId="20" fillId="5" borderId="52" xfId="0" applyFont="1" applyFill="1" applyBorder="1" applyAlignment="1">
      <alignment vertical="center" wrapText="1"/>
    </xf>
    <xf numFmtId="0" fontId="8" fillId="5" borderId="43" xfId="0" applyFont="1" applyFill="1" applyBorder="1" applyAlignment="1">
      <alignment vertical="center"/>
    </xf>
    <xf numFmtId="167" fontId="8" fillId="5" borderId="16" xfId="1" applyNumberFormat="1" applyFont="1" applyFill="1" applyBorder="1" applyAlignment="1">
      <alignment vertical="center"/>
    </xf>
    <xf numFmtId="0" fontId="8" fillId="5" borderId="51" xfId="0" applyFont="1" applyFill="1" applyBorder="1" applyAlignment="1">
      <alignment vertical="center" wrapText="1"/>
    </xf>
    <xf numFmtId="173" fontId="8" fillId="5" borderId="35" xfId="1" applyNumberFormat="1" applyFont="1" applyFill="1" applyBorder="1" applyAlignment="1">
      <alignment horizontal="center" vertical="center"/>
    </xf>
    <xf numFmtId="173" fontId="8" fillId="5" borderId="36" xfId="1" applyNumberFormat="1" applyFont="1" applyFill="1" applyBorder="1" applyAlignment="1">
      <alignment horizontal="center" vertical="center"/>
    </xf>
    <xf numFmtId="173" fontId="8" fillId="5" borderId="0" xfId="1" applyNumberFormat="1" applyFont="1" applyFill="1" applyAlignment="1">
      <alignment horizontal="center" vertical="center"/>
    </xf>
    <xf numFmtId="0" fontId="8" fillId="5" borderId="52" xfId="0" applyFont="1" applyFill="1" applyBorder="1" applyAlignment="1">
      <alignment vertical="center" wrapText="1"/>
    </xf>
    <xf numFmtId="0" fontId="8" fillId="5" borderId="35" xfId="0" applyFont="1" applyFill="1" applyBorder="1" applyAlignment="1">
      <alignment vertical="center"/>
    </xf>
    <xf numFmtId="0" fontId="8" fillId="5" borderId="44" xfId="0" applyFont="1" applyFill="1" applyBorder="1" applyAlignment="1">
      <alignment horizontal="center" vertical="center"/>
    </xf>
    <xf numFmtId="173" fontId="8" fillId="5" borderId="45" xfId="1" applyNumberFormat="1" applyFont="1" applyFill="1" applyBorder="1" applyAlignment="1">
      <alignment vertical="center"/>
    </xf>
    <xf numFmtId="1" fontId="8" fillId="5" borderId="35" xfId="0" applyNumberFormat="1" applyFont="1" applyFill="1" applyBorder="1" applyAlignment="1">
      <alignment horizontal="center" vertical="center"/>
    </xf>
    <xf numFmtId="0" fontId="8" fillId="5" borderId="46" xfId="0" applyFont="1" applyFill="1" applyBorder="1" applyAlignment="1">
      <alignment vertical="center"/>
    </xf>
    <xf numFmtId="0" fontId="8" fillId="5" borderId="47" xfId="0" applyFont="1" applyFill="1" applyBorder="1" applyAlignment="1">
      <alignment vertical="center"/>
    </xf>
    <xf numFmtId="0" fontId="8" fillId="5" borderId="47" xfId="0" applyFont="1" applyFill="1" applyBorder="1" applyAlignment="1">
      <alignment horizontal="center" vertical="center"/>
    </xf>
    <xf numFmtId="173" fontId="8" fillId="5" borderId="48" xfId="1" applyNumberFormat="1" applyFont="1" applyFill="1" applyBorder="1" applyAlignment="1">
      <alignment vertical="center"/>
    </xf>
    <xf numFmtId="0" fontId="0" fillId="5" borderId="0" xfId="0" applyFill="1" applyAlignment="1">
      <alignment vertical="center"/>
    </xf>
    <xf numFmtId="0" fontId="8" fillId="0" borderId="67" xfId="0" applyNumberFormat="1" applyFont="1" applyBorder="1" applyAlignment="1">
      <alignment horizontal="center"/>
    </xf>
    <xf numFmtId="0" fontId="8" fillId="0" borderId="68" xfId="0" applyNumberFormat="1" applyFont="1" applyBorder="1" applyAlignment="1">
      <alignment horizontal="center"/>
    </xf>
    <xf numFmtId="175" fontId="8" fillId="0" borderId="69" xfId="0" applyNumberFormat="1" applyFont="1" applyBorder="1" applyAlignment="1">
      <alignment horizontal="center"/>
    </xf>
    <xf numFmtId="173" fontId="8" fillId="0" borderId="68" xfId="5" applyNumberFormat="1" applyFont="1" applyBorder="1"/>
    <xf numFmtId="175" fontId="8" fillId="0" borderId="69" xfId="0" applyNumberFormat="1" applyFont="1" applyBorder="1"/>
    <xf numFmtId="0" fontId="12" fillId="0" borderId="0" xfId="2" applyFont="1" applyBorder="1" applyAlignment="1">
      <alignment vertical="center" wrapText="1"/>
    </xf>
    <xf numFmtId="0" fontId="12" fillId="0" borderId="0" xfId="2" applyFont="1" applyBorder="1" applyAlignment="1">
      <alignment horizontal="center" vertical="center"/>
    </xf>
    <xf numFmtId="0" fontId="27" fillId="0" borderId="0" xfId="2" applyFont="1" applyBorder="1"/>
    <xf numFmtId="0" fontId="27" fillId="0" borderId="0" xfId="2" applyFont="1" applyBorder="1" applyAlignment="1">
      <alignment horizontal="center"/>
    </xf>
    <xf numFmtId="0" fontId="28" fillId="0" borderId="0" xfId="2" applyFont="1" applyBorder="1" applyAlignment="1">
      <alignment vertical="center" wrapText="1"/>
    </xf>
    <xf numFmtId="0" fontId="27" fillId="3" borderId="0" xfId="2" applyFont="1" applyFill="1" applyBorder="1"/>
    <xf numFmtId="173" fontId="25" fillId="0" borderId="0" xfId="1" applyNumberFormat="1" applyFont="1" applyAlignment="1">
      <alignment horizontal="center" vertical="center"/>
    </xf>
    <xf numFmtId="180" fontId="7" fillId="0" borderId="0" xfId="0" applyNumberFormat="1" applyFont="1" applyAlignment="1">
      <alignment horizontal="center" vertical="center" wrapText="1"/>
    </xf>
    <xf numFmtId="0" fontId="8" fillId="0" borderId="70" xfId="6" applyFont="1" applyBorder="1" applyAlignment="1">
      <alignment vertical="center"/>
    </xf>
    <xf numFmtId="180" fontId="7" fillId="4" borderId="0" xfId="0" applyNumberFormat="1" applyFont="1" applyFill="1" applyAlignment="1">
      <alignment vertical="center"/>
    </xf>
    <xf numFmtId="186" fontId="8" fillId="4" borderId="0" xfId="0" applyNumberFormat="1" applyFont="1" applyFill="1" applyAlignment="1">
      <alignment horizontal="center" vertical="center"/>
    </xf>
    <xf numFmtId="180" fontId="8" fillId="4" borderId="0" xfId="0" applyNumberFormat="1" applyFont="1" applyFill="1" applyAlignment="1">
      <alignment horizontal="center" vertical="center"/>
    </xf>
    <xf numFmtId="9" fontId="8" fillId="0" borderId="37" xfId="3" applyFont="1" applyBorder="1" applyAlignment="1">
      <alignment horizontal="center"/>
    </xf>
    <xf numFmtId="9" fontId="8" fillId="0" borderId="41" xfId="3" applyFont="1" applyBorder="1" applyAlignment="1">
      <alignment horizontal="center"/>
    </xf>
    <xf numFmtId="0" fontId="7" fillId="0" borderId="7" xfId="0" applyFont="1" applyBorder="1" applyAlignment="1">
      <alignment horizontal="right" vertical="center"/>
    </xf>
    <xf numFmtId="0" fontId="6" fillId="0" borderId="0" xfId="0" applyFont="1" applyFill="1" applyBorder="1" applyAlignment="1">
      <alignment horizontal="center" vertical="center" wrapText="1"/>
    </xf>
    <xf numFmtId="180" fontId="7" fillId="0" borderId="0" xfId="0" applyNumberFormat="1" applyFont="1" applyAlignment="1">
      <alignment horizontal="center" vertical="center" wrapText="1"/>
    </xf>
    <xf numFmtId="176" fontId="8" fillId="0" borderId="73" xfId="0" applyNumberFormat="1" applyFont="1" applyFill="1" applyBorder="1" applyAlignment="1">
      <alignment vertical="center" wrapText="1"/>
    </xf>
    <xf numFmtId="0" fontId="7" fillId="0" borderId="7" xfId="0" applyFont="1" applyBorder="1" applyAlignment="1">
      <alignment horizontal="right" vertical="center"/>
    </xf>
    <xf numFmtId="0" fontId="6" fillId="0" borderId="0" xfId="0" applyFont="1" applyFill="1" applyBorder="1" applyAlignment="1">
      <alignment horizontal="center" vertical="center" wrapText="1"/>
    </xf>
    <xf numFmtId="180" fontId="7" fillId="0" borderId="0" xfId="0" applyNumberFormat="1" applyFont="1" applyAlignment="1">
      <alignment horizontal="center" vertical="center" wrapText="1"/>
    </xf>
    <xf numFmtId="173" fontId="8" fillId="0" borderId="37" xfId="1" applyNumberFormat="1" applyFont="1" applyBorder="1"/>
    <xf numFmtId="189" fontId="8" fillId="0" borderId="37" xfId="5" applyNumberFormat="1" applyFont="1" applyBorder="1" applyAlignment="1">
      <alignment vertical="center"/>
    </xf>
    <xf numFmtId="189" fontId="8" fillId="0" borderId="0" xfId="5" applyNumberFormat="1" applyFont="1" applyAlignment="1">
      <alignment vertical="center"/>
    </xf>
    <xf numFmtId="0" fontId="21" fillId="0" borderId="6" xfId="0" applyFont="1" applyBorder="1" applyAlignment="1">
      <alignment horizontal="center" vertical="center"/>
    </xf>
    <xf numFmtId="178" fontId="8" fillId="0" borderId="37" xfId="0" applyNumberFormat="1" applyFont="1" applyBorder="1" applyAlignment="1">
      <alignment horizontal="center"/>
    </xf>
    <xf numFmtId="180" fontId="7" fillId="0" borderId="0" xfId="0" applyNumberFormat="1" applyFont="1" applyAlignment="1">
      <alignment horizontal="center" vertical="center" wrapText="1"/>
    </xf>
    <xf numFmtId="0" fontId="5" fillId="0" borderId="0" xfId="0" applyFont="1" applyAlignment="1">
      <alignment horizontal="centerContinuous" vertical="center"/>
    </xf>
    <xf numFmtId="0" fontId="7" fillId="4" borderId="0" xfId="0" applyFont="1" applyFill="1" applyAlignment="1">
      <alignment horizontal="centerContinuous" vertical="center" wrapText="1"/>
    </xf>
    <xf numFmtId="0" fontId="5" fillId="0" borderId="0" xfId="0" applyFont="1" applyAlignment="1">
      <alignment horizontal="center" vertical="center"/>
    </xf>
    <xf numFmtId="173" fontId="25" fillId="5" borderId="7" xfId="1" applyNumberFormat="1" applyFont="1" applyFill="1" applyBorder="1" applyAlignment="1">
      <alignment vertical="center"/>
    </xf>
    <xf numFmtId="0" fontId="8" fillId="5" borderId="7" xfId="0" applyFont="1" applyFill="1" applyBorder="1" applyAlignment="1">
      <alignment horizontal="center" vertical="center"/>
    </xf>
    <xf numFmtId="173" fontId="8" fillId="5" borderId="7" xfId="1" applyNumberFormat="1" applyFont="1" applyFill="1" applyBorder="1" applyAlignment="1">
      <alignment vertical="center"/>
    </xf>
    <xf numFmtId="173" fontId="2" fillId="0" borderId="7" xfId="5" applyNumberFormat="1" applyFont="1" applyFill="1" applyBorder="1" applyAlignment="1">
      <alignment horizontal="center" vertical="center"/>
    </xf>
    <xf numFmtId="173" fontId="2" fillId="0" borderId="7" xfId="5" applyNumberFormat="1" applyFont="1" applyFill="1" applyBorder="1" applyAlignment="1">
      <alignment vertical="center"/>
    </xf>
    <xf numFmtId="173" fontId="0" fillId="0" borderId="8" xfId="5" applyNumberFormat="1" applyFont="1" applyFill="1" applyBorder="1"/>
    <xf numFmtId="0" fontId="6" fillId="0" borderId="0" xfId="0" applyFont="1" applyFill="1" applyBorder="1" applyAlignment="1">
      <alignment horizontal="center" vertical="center" wrapText="1"/>
    </xf>
    <xf numFmtId="0" fontId="7" fillId="0" borderId="7" xfId="0" applyFont="1" applyBorder="1" applyAlignment="1">
      <alignment horizontal="right" vertical="center"/>
    </xf>
    <xf numFmtId="0" fontId="6" fillId="0" borderId="0" xfId="0" applyFont="1" applyFill="1" applyBorder="1" applyAlignment="1">
      <alignment horizontal="center" vertical="center" wrapText="1"/>
    </xf>
    <xf numFmtId="180" fontId="7" fillId="0" borderId="0" xfId="0" applyNumberFormat="1" applyFont="1" applyAlignment="1">
      <alignment horizontal="center" vertical="center" wrapText="1"/>
    </xf>
    <xf numFmtId="174" fontId="8" fillId="0" borderId="0" xfId="0" applyNumberFormat="1" applyFont="1"/>
    <xf numFmtId="2" fontId="8" fillId="0" borderId="37" xfId="0" applyNumberFormat="1" applyFont="1" applyBorder="1" applyAlignment="1">
      <alignment horizontal="center"/>
    </xf>
    <xf numFmtId="173" fontId="4" fillId="0" borderId="0" xfId="0" applyNumberFormat="1" applyFont="1"/>
    <xf numFmtId="0" fontId="0" fillId="0" borderId="0" xfId="0" applyFill="1"/>
    <xf numFmtId="0" fontId="4" fillId="0" borderId="0" xfId="0" applyFont="1" applyFill="1" applyBorder="1"/>
    <xf numFmtId="0" fontId="0" fillId="0" borderId="0" xfId="0" applyFill="1" applyAlignment="1">
      <alignment horizontal="center"/>
    </xf>
    <xf numFmtId="173" fontId="0" fillId="0" borderId="0" xfId="5" applyNumberFormat="1" applyFont="1" applyFill="1"/>
    <xf numFmtId="0" fontId="4" fillId="0" borderId="72" xfId="0" applyFont="1" applyFill="1" applyBorder="1" applyAlignment="1">
      <alignment horizontal="center"/>
    </xf>
    <xf numFmtId="173" fontId="4" fillId="0" borderId="72" xfId="5" applyNumberFormat="1" applyFont="1" applyFill="1" applyBorder="1" applyAlignment="1">
      <alignment horizontal="center"/>
    </xf>
    <xf numFmtId="0" fontId="0" fillId="6" borderId="72" xfId="0" applyFill="1" applyBorder="1" applyAlignment="1">
      <alignment horizontal="center"/>
    </xf>
    <xf numFmtId="173" fontId="0" fillId="6" borderId="72" xfId="5" applyNumberFormat="1" applyFont="1" applyFill="1" applyBorder="1" applyAlignment="1">
      <alignment horizontal="center"/>
    </xf>
    <xf numFmtId="173" fontId="0" fillId="0" borderId="0" xfId="0" applyNumberFormat="1"/>
    <xf numFmtId="173" fontId="0" fillId="0" borderId="72" xfId="5" applyNumberFormat="1" applyFont="1" applyFill="1" applyBorder="1" applyAlignment="1">
      <alignment horizontal="center"/>
    </xf>
    <xf numFmtId="0" fontId="33" fillId="0" borderId="72" xfId="0" applyFont="1" applyBorder="1"/>
    <xf numFmtId="0" fontId="0" fillId="0" borderId="72" xfId="0" applyBorder="1"/>
    <xf numFmtId="0" fontId="0" fillId="0" borderId="0" xfId="0" applyBorder="1"/>
    <xf numFmtId="0" fontId="0" fillId="0" borderId="0" xfId="0" applyFill="1" applyBorder="1"/>
    <xf numFmtId="0" fontId="4" fillId="6" borderId="72" xfId="0" applyFont="1" applyFill="1" applyBorder="1" applyAlignment="1">
      <alignment horizontal="left"/>
    </xf>
    <xf numFmtId="173" fontId="4" fillId="6" borderId="72" xfId="0" applyNumberFormat="1" applyFont="1" applyFill="1" applyBorder="1" applyAlignment="1">
      <alignment horizontal="center"/>
    </xf>
    <xf numFmtId="0" fontId="0" fillId="0" borderId="0" xfId="0" applyFill="1" applyBorder="1" applyAlignment="1">
      <alignment horizontal="center"/>
    </xf>
    <xf numFmtId="0" fontId="0" fillId="6" borderId="74" xfId="0" applyFill="1" applyBorder="1"/>
    <xf numFmtId="0" fontId="4" fillId="6" borderId="72" xfId="0" applyFont="1" applyFill="1" applyBorder="1" applyAlignment="1">
      <alignment horizontal="center"/>
    </xf>
    <xf numFmtId="173" fontId="4" fillId="6" borderId="72" xfId="5" applyNumberFormat="1" applyFont="1" applyFill="1" applyBorder="1" applyAlignment="1">
      <alignment horizontal="center"/>
    </xf>
    <xf numFmtId="0" fontId="0" fillId="0" borderId="72" xfId="0" applyFill="1" applyBorder="1" applyAlignment="1">
      <alignment horizontal="center"/>
    </xf>
    <xf numFmtId="0" fontId="0" fillId="0" borderId="74" xfId="0" applyFill="1" applyBorder="1"/>
    <xf numFmtId="0" fontId="0" fillId="0" borderId="72" xfId="0" applyFont="1" applyFill="1" applyBorder="1" applyAlignment="1">
      <alignment horizontal="center"/>
    </xf>
    <xf numFmtId="190" fontId="0" fillId="0" borderId="72" xfId="0" applyNumberFormat="1" applyFont="1" applyFill="1" applyBorder="1" applyAlignment="1">
      <alignment horizontal="right"/>
    </xf>
    <xf numFmtId="191" fontId="0" fillId="0" borderId="72" xfId="0" applyNumberFormat="1" applyFont="1" applyFill="1" applyBorder="1" applyAlignment="1">
      <alignment horizontal="center"/>
    </xf>
    <xf numFmtId="0" fontId="0" fillId="6" borderId="72" xfId="0" applyFont="1" applyFill="1" applyBorder="1" applyAlignment="1">
      <alignment horizontal="center"/>
    </xf>
    <xf numFmtId="190" fontId="0" fillId="6" borderId="72" xfId="0" applyNumberFormat="1" applyFont="1" applyFill="1" applyBorder="1" applyAlignment="1">
      <alignment horizontal="right"/>
    </xf>
    <xf numFmtId="173" fontId="0" fillId="0" borderId="72" xfId="5" applyNumberFormat="1" applyFont="1" applyFill="1" applyBorder="1"/>
    <xf numFmtId="178" fontId="0" fillId="0" borderId="0" xfId="0" applyNumberFormat="1" applyFill="1"/>
    <xf numFmtId="178" fontId="0" fillId="0" borderId="72" xfId="0" applyNumberFormat="1" applyFont="1" applyFill="1" applyBorder="1" applyAlignment="1">
      <alignment horizontal="right"/>
    </xf>
    <xf numFmtId="0" fontId="0" fillId="6" borderId="72" xfId="0" applyFill="1" applyBorder="1"/>
    <xf numFmtId="0" fontId="0" fillId="0" borderId="72" xfId="0" applyFill="1" applyBorder="1"/>
    <xf numFmtId="173" fontId="0" fillId="6" borderId="72" xfId="5" applyNumberFormat="1" applyFont="1" applyFill="1" applyBorder="1"/>
    <xf numFmtId="0" fontId="0" fillId="0" borderId="0" xfId="0" applyFont="1" applyFill="1" applyBorder="1" applyAlignment="1">
      <alignment horizontal="center"/>
    </xf>
    <xf numFmtId="178" fontId="0" fillId="0" borderId="0" xfId="0" applyNumberFormat="1" applyFont="1" applyFill="1" applyBorder="1" applyAlignment="1">
      <alignment horizontal="center"/>
    </xf>
    <xf numFmtId="173" fontId="0" fillId="0" borderId="0" xfId="5" applyNumberFormat="1" applyFont="1" applyFill="1" applyBorder="1" applyAlignment="1">
      <alignment horizontal="center"/>
    </xf>
    <xf numFmtId="178" fontId="0" fillId="6" borderId="72" xfId="0" applyNumberFormat="1" applyFont="1" applyFill="1" applyBorder="1" applyAlignment="1">
      <alignment horizontal="right"/>
    </xf>
    <xf numFmtId="173" fontId="0" fillId="6" borderId="72" xfId="0" applyNumberFormat="1" applyFont="1" applyFill="1" applyBorder="1"/>
    <xf numFmtId="173" fontId="0" fillId="0" borderId="72" xfId="0" applyNumberFormat="1" applyFont="1" applyFill="1" applyBorder="1"/>
    <xf numFmtId="178" fontId="0" fillId="0" borderId="0" xfId="0" applyNumberFormat="1" applyFont="1" applyFill="1" applyAlignment="1">
      <alignment horizontal="right"/>
    </xf>
    <xf numFmtId="0" fontId="0" fillId="0" borderId="0" xfId="0" applyFont="1" applyFill="1"/>
    <xf numFmtId="0" fontId="0" fillId="2" borderId="72" xfId="0" applyFill="1" applyBorder="1" applyAlignment="1">
      <alignment horizontal="center"/>
    </xf>
    <xf numFmtId="0" fontId="4" fillId="2" borderId="72" xfId="0" applyFont="1" applyFill="1" applyBorder="1" applyAlignment="1">
      <alignment horizontal="left"/>
    </xf>
    <xf numFmtId="173" fontId="0" fillId="2" borderId="72" xfId="5" applyNumberFormat="1" applyFont="1" applyFill="1" applyBorder="1" applyAlignment="1">
      <alignment horizontal="center"/>
    </xf>
    <xf numFmtId="191" fontId="4" fillId="2" borderId="72" xfId="0" applyNumberFormat="1" applyFont="1" applyFill="1" applyBorder="1" applyAlignment="1">
      <alignment horizontal="center"/>
    </xf>
    <xf numFmtId="167" fontId="0" fillId="0" borderId="0" xfId="1" applyFont="1" applyFill="1"/>
    <xf numFmtId="0" fontId="7" fillId="4" borderId="0" xfId="0" applyFont="1" applyFill="1" applyAlignment="1">
      <alignment horizontal="center" vertical="center"/>
    </xf>
    <xf numFmtId="167" fontId="7" fillId="0" borderId="16" xfId="5" applyNumberFormat="1" applyFont="1" applyBorder="1" applyAlignment="1">
      <alignment vertical="center"/>
    </xf>
    <xf numFmtId="167" fontId="0" fillId="0" borderId="0" xfId="0" applyNumberFormat="1"/>
    <xf numFmtId="167" fontId="7" fillId="0" borderId="0" xfId="5" applyNumberFormat="1" applyFont="1" applyBorder="1" applyAlignment="1">
      <alignment vertical="center"/>
    </xf>
    <xf numFmtId="9" fontId="8" fillId="0" borderId="50" xfId="0" applyNumberFormat="1" applyFont="1" applyBorder="1" applyAlignment="1">
      <alignment horizontal="center" vertical="center"/>
    </xf>
    <xf numFmtId="175" fontId="0" fillId="0" borderId="0" xfId="0" applyNumberFormat="1"/>
    <xf numFmtId="191" fontId="0" fillId="0" borderId="0" xfId="0" applyNumberFormat="1" applyFill="1"/>
    <xf numFmtId="9" fontId="0" fillId="0" borderId="72" xfId="0" applyNumberFormat="1" applyFill="1" applyBorder="1" applyAlignment="1">
      <alignment horizontal="center"/>
    </xf>
    <xf numFmtId="192" fontId="4" fillId="0" borderId="72" xfId="0" applyNumberFormat="1" applyFont="1" applyFill="1" applyBorder="1"/>
    <xf numFmtId="192" fontId="0" fillId="0" borderId="72" xfId="0" applyNumberFormat="1" applyFill="1" applyBorder="1"/>
    <xf numFmtId="178" fontId="8" fillId="0" borderId="7" xfId="0" applyNumberFormat="1" applyFont="1" applyFill="1" applyBorder="1" applyAlignment="1">
      <alignment horizontal="center" vertical="center"/>
    </xf>
    <xf numFmtId="0" fontId="8" fillId="0" borderId="7" xfId="0" applyFont="1" applyFill="1" applyBorder="1" applyAlignment="1">
      <alignment horizontal="left" vertical="center"/>
    </xf>
    <xf numFmtId="2" fontId="8" fillId="0" borderId="7" xfId="0" applyNumberFormat="1" applyFont="1" applyFill="1" applyBorder="1" applyAlignment="1">
      <alignment horizontal="center" vertical="center"/>
    </xf>
    <xf numFmtId="0" fontId="6" fillId="0" borderId="0" xfId="0" applyFont="1" applyFill="1" applyBorder="1" applyAlignment="1">
      <alignment vertical="center"/>
    </xf>
    <xf numFmtId="0" fontId="8" fillId="0" borderId="37" xfId="0" applyNumberFormat="1" applyFont="1" applyFill="1" applyBorder="1" applyAlignment="1">
      <alignment horizontal="center"/>
    </xf>
    <xf numFmtId="0" fontId="8" fillId="0" borderId="37" xfId="0" applyNumberFormat="1" applyFont="1" applyFill="1" applyBorder="1" applyAlignment="1">
      <alignment horizontal="center" vertical="center"/>
    </xf>
    <xf numFmtId="0" fontId="8" fillId="0" borderId="38" xfId="0" applyNumberFormat="1" applyFont="1" applyFill="1" applyBorder="1"/>
    <xf numFmtId="0" fontId="20" fillId="0" borderId="43" xfId="0" applyNumberFormat="1" applyFont="1" applyFill="1" applyBorder="1" applyAlignment="1">
      <alignment wrapText="1"/>
    </xf>
    <xf numFmtId="0" fontId="20" fillId="0" borderId="38" xfId="0" applyNumberFormat="1" applyFont="1" applyBorder="1" applyAlignment="1">
      <alignment vertical="center" wrapText="1"/>
    </xf>
    <xf numFmtId="0" fontId="20" fillId="0" borderId="38" xfId="0" applyNumberFormat="1" applyFont="1" applyBorder="1"/>
    <xf numFmtId="0" fontId="8" fillId="0" borderId="35" xfId="0" applyNumberFormat="1" applyFont="1" applyFill="1" applyBorder="1" applyAlignment="1">
      <alignment horizontal="center" vertical="center"/>
    </xf>
    <xf numFmtId="0" fontId="0" fillId="0" borderId="0" xfId="0" applyBorder="1" applyAlignment="1">
      <alignment horizontal="center"/>
    </xf>
    <xf numFmtId="173" fontId="8" fillId="0" borderId="39" xfId="5" applyNumberFormat="1" applyFont="1" applyBorder="1"/>
    <xf numFmtId="167" fontId="0" fillId="0" borderId="0" xfId="0" applyNumberFormat="1" applyFill="1"/>
    <xf numFmtId="0" fontId="8" fillId="0" borderId="38" xfId="0" applyNumberFormat="1" applyFont="1" applyFill="1" applyBorder="1" applyAlignment="1">
      <alignment vertical="center" wrapText="1"/>
    </xf>
    <xf numFmtId="9" fontId="8" fillId="0" borderId="35" xfId="0" applyNumberFormat="1" applyFont="1" applyFill="1" applyBorder="1" applyAlignment="1">
      <alignment horizontal="center" vertical="center"/>
    </xf>
    <xf numFmtId="0" fontId="39" fillId="0" borderId="0" xfId="0" applyFont="1"/>
    <xf numFmtId="0" fontId="38" fillId="2" borderId="82" xfId="0" applyFont="1" applyFill="1" applyBorder="1" applyAlignment="1">
      <alignment horizontal="center" vertical="center" wrapText="1"/>
    </xf>
    <xf numFmtId="0" fontId="39" fillId="0" borderId="72" xfId="0" applyFont="1" applyBorder="1" applyAlignment="1">
      <alignment horizontal="center"/>
    </xf>
    <xf numFmtId="2" fontId="39" fillId="0" borderId="72" xfId="0" applyNumberFormat="1" applyFont="1" applyBorder="1" applyAlignment="1">
      <alignment horizontal="center"/>
    </xf>
    <xf numFmtId="0" fontId="39" fillId="0" borderId="0" xfId="0" applyFont="1" applyBorder="1" applyAlignment="1">
      <alignment horizontal="center"/>
    </xf>
    <xf numFmtId="178" fontId="39" fillId="0" borderId="0" xfId="0" applyNumberFormat="1" applyFont="1"/>
    <xf numFmtId="0" fontId="38" fillId="0" borderId="0" xfId="0" applyFont="1" applyFill="1" applyBorder="1" applyAlignment="1">
      <alignment vertical="center" wrapText="1"/>
    </xf>
    <xf numFmtId="0" fontId="38" fillId="2" borderId="72" xfId="0" applyFont="1" applyFill="1" applyBorder="1" applyAlignment="1">
      <alignment horizontal="center" vertical="center" wrapText="1"/>
    </xf>
    <xf numFmtId="0" fontId="39" fillId="0" borderId="0" xfId="0" applyFont="1" applyFill="1" applyBorder="1"/>
    <xf numFmtId="0" fontId="39" fillId="0" borderId="72" xfId="0" applyFont="1" applyBorder="1"/>
    <xf numFmtId="178" fontId="39" fillId="0" borderId="72" xfId="0" applyNumberFormat="1" applyFont="1" applyBorder="1" applyAlignment="1">
      <alignment horizontal="center"/>
    </xf>
    <xf numFmtId="178" fontId="39" fillId="0" borderId="72" xfId="0" applyNumberFormat="1" applyFont="1" applyBorder="1"/>
    <xf numFmtId="178" fontId="39" fillId="0" borderId="82" xfId="0" applyNumberFormat="1" applyFont="1" applyBorder="1" applyAlignment="1">
      <alignment horizontal="center"/>
    </xf>
    <xf numFmtId="2" fontId="39" fillId="0" borderId="72" xfId="0" applyNumberFormat="1" applyFont="1" applyBorder="1"/>
    <xf numFmtId="0" fontId="39" fillId="0" borderId="0" xfId="0" applyFont="1" applyFill="1"/>
    <xf numFmtId="0" fontId="38" fillId="0" borderId="0" xfId="0" applyFont="1" applyFill="1" applyBorder="1" applyAlignment="1">
      <alignment horizontal="center" vertical="center" wrapText="1"/>
    </xf>
    <xf numFmtId="0" fontId="39" fillId="0" borderId="72" xfId="0" applyFont="1" applyFill="1" applyBorder="1"/>
    <xf numFmtId="1" fontId="42" fillId="0" borderId="72" xfId="0" applyNumberFormat="1" applyFont="1" applyBorder="1"/>
    <xf numFmtId="0" fontId="42" fillId="0" borderId="72" xfId="0" applyFont="1" applyBorder="1"/>
    <xf numFmtId="0" fontId="39" fillId="0" borderId="72" xfId="0" applyFont="1" applyBorder="1" applyAlignment="1"/>
    <xf numFmtId="0" fontId="44" fillId="0" borderId="0" xfId="0" applyFont="1"/>
    <xf numFmtId="0" fontId="39" fillId="0" borderId="0" xfId="0" applyFont="1" applyBorder="1"/>
    <xf numFmtId="0" fontId="39" fillId="0" borderId="0" xfId="0" applyFont="1" applyBorder="1" applyAlignment="1"/>
    <xf numFmtId="2" fontId="39" fillId="0" borderId="0" xfId="0" applyNumberFormat="1" applyFont="1" applyBorder="1" applyAlignment="1">
      <alignment horizontal="center"/>
    </xf>
    <xf numFmtId="2" fontId="42" fillId="0" borderId="72" xfId="0" applyNumberFormat="1" applyFont="1" applyBorder="1"/>
    <xf numFmtId="0" fontId="38" fillId="2" borderId="84" xfId="0" applyFont="1" applyFill="1" applyBorder="1" applyAlignment="1">
      <alignment horizontal="center" vertical="center" wrapText="1"/>
    </xf>
    <xf numFmtId="0" fontId="38" fillId="0" borderId="87" xfId="0" applyFont="1" applyFill="1" applyBorder="1" applyAlignment="1">
      <alignment horizontal="center" vertical="center" wrapText="1"/>
    </xf>
    <xf numFmtId="0" fontId="39" fillId="0" borderId="72" xfId="0" applyFont="1" applyFill="1" applyBorder="1" applyAlignment="1">
      <alignment horizontal="center"/>
    </xf>
    <xf numFmtId="1" fontId="39" fillId="0" borderId="72" xfId="0" applyNumberFormat="1" applyFont="1" applyBorder="1"/>
    <xf numFmtId="2" fontId="39" fillId="0" borderId="0" xfId="0" applyNumberFormat="1" applyFont="1" applyFill="1"/>
    <xf numFmtId="0" fontId="39" fillId="0" borderId="75" xfId="0" applyFont="1" applyBorder="1" applyAlignment="1">
      <alignment horizontal="center"/>
    </xf>
    <xf numFmtId="2" fontId="39" fillId="0" borderId="82" xfId="0" applyNumberFormat="1" applyFont="1" applyBorder="1" applyAlignment="1">
      <alignment horizontal="center"/>
    </xf>
    <xf numFmtId="0" fontId="2" fillId="0" borderId="88" xfId="6" applyBorder="1"/>
    <xf numFmtId="167" fontId="4" fillId="0" borderId="77" xfId="1" applyFont="1" applyBorder="1" applyAlignment="1">
      <alignment horizontal="center" vertical="center" wrapText="1"/>
    </xf>
    <xf numFmtId="167" fontId="0" fillId="0" borderId="0" xfId="1" applyFont="1"/>
    <xf numFmtId="0" fontId="0" fillId="0" borderId="88" xfId="6" applyFont="1" applyBorder="1"/>
    <xf numFmtId="0" fontId="0" fillId="5" borderId="0" xfId="0" applyFill="1"/>
    <xf numFmtId="0" fontId="0" fillId="0" borderId="72" xfId="0" applyFont="1" applyFill="1" applyBorder="1" applyAlignment="1">
      <alignment horizontal="center" vertical="center"/>
    </xf>
    <xf numFmtId="0" fontId="4" fillId="6" borderId="72" xfId="0" applyFont="1" applyFill="1" applyBorder="1" applyAlignment="1">
      <alignment horizontal="center" vertical="center"/>
    </xf>
    <xf numFmtId="0" fontId="0" fillId="6" borderId="72" xfId="0" applyFont="1" applyFill="1" applyBorder="1" applyAlignment="1">
      <alignment horizontal="center" vertical="center"/>
    </xf>
    <xf numFmtId="0" fontId="8" fillId="0" borderId="38" xfId="0" applyFont="1" applyBorder="1"/>
    <xf numFmtId="0" fontId="8" fillId="0" borderId="37" xfId="0" applyFont="1" applyBorder="1" applyAlignment="1">
      <alignment horizontal="center"/>
    </xf>
    <xf numFmtId="0" fontId="8" fillId="0" borderId="37" xfId="0" applyFont="1" applyBorder="1"/>
    <xf numFmtId="0" fontId="8" fillId="0" borderId="41" xfId="0" applyFont="1" applyBorder="1"/>
    <xf numFmtId="0" fontId="8" fillId="0" borderId="35" xfId="0" applyFont="1" applyBorder="1" applyAlignment="1">
      <alignment horizontal="center"/>
    </xf>
    <xf numFmtId="0" fontId="8" fillId="0" borderId="46" xfId="0" applyFont="1" applyBorder="1"/>
    <xf numFmtId="0" fontId="8" fillId="0" borderId="47" xfId="0" applyFont="1" applyBorder="1"/>
    <xf numFmtId="0" fontId="8" fillId="0" borderId="0" xfId="0" applyFont="1"/>
    <xf numFmtId="0" fontId="7" fillId="0" borderId="0" xfId="0" applyFont="1"/>
    <xf numFmtId="0" fontId="8" fillId="0" borderId="0" xfId="12" applyNumberFormat="1" applyFont="1" applyAlignment="1">
      <alignment vertical="center"/>
    </xf>
    <xf numFmtId="0" fontId="8" fillId="0" borderId="0" xfId="12" applyNumberFormat="1" applyFont="1" applyAlignment="1">
      <alignment horizontal="center" vertical="center"/>
    </xf>
    <xf numFmtId="0" fontId="7" fillId="4" borderId="0" xfId="12" applyNumberFormat="1" applyFont="1" applyFill="1" applyAlignment="1">
      <alignment horizontal="center" vertical="center"/>
    </xf>
    <xf numFmtId="0" fontId="7" fillId="0" borderId="0" xfId="12" applyNumberFormat="1" applyFont="1" applyAlignment="1">
      <alignment horizontal="center" vertical="center"/>
    </xf>
    <xf numFmtId="0" fontId="8" fillId="0" borderId="23" xfId="12" applyNumberFormat="1" applyFont="1" applyBorder="1" applyAlignment="1">
      <alignment horizontal="center" vertical="center"/>
    </xf>
    <xf numFmtId="0" fontId="8" fillId="0" borderId="24" xfId="12" applyNumberFormat="1" applyFont="1" applyBorder="1" applyAlignment="1">
      <alignment horizontal="center" vertical="center"/>
    </xf>
    <xf numFmtId="173" fontId="8" fillId="0" borderId="24" xfId="12" applyNumberFormat="1" applyFont="1" applyBorder="1" applyAlignment="1">
      <alignment horizontal="center" vertical="center"/>
    </xf>
    <xf numFmtId="173" fontId="8" fillId="0" borderId="25" xfId="12" applyNumberFormat="1" applyFont="1" applyBorder="1" applyAlignment="1">
      <alignment horizontal="center" vertical="center"/>
    </xf>
    <xf numFmtId="173" fontId="8" fillId="0" borderId="0" xfId="12" applyNumberFormat="1" applyFont="1" applyAlignment="1">
      <alignment horizontal="center" vertical="center"/>
    </xf>
    <xf numFmtId="0" fontId="8" fillId="0" borderId="34" xfId="12" applyNumberFormat="1" applyFont="1" applyFill="1" applyBorder="1" applyAlignment="1">
      <alignment vertical="center" wrapText="1"/>
    </xf>
    <xf numFmtId="173" fontId="8" fillId="0" borderId="35" xfId="12" applyNumberFormat="1" applyFont="1" applyBorder="1" applyAlignment="1">
      <alignment vertical="center"/>
    </xf>
    <xf numFmtId="177" fontId="8" fillId="0" borderId="35" xfId="12" applyNumberFormat="1" applyFont="1" applyBorder="1" applyAlignment="1">
      <alignment horizontal="center" vertical="center"/>
    </xf>
    <xf numFmtId="0" fontId="20" fillId="0" borderId="22" xfId="12" applyNumberFormat="1" applyFont="1" applyFill="1" applyBorder="1" applyAlignment="1">
      <alignment vertical="center" wrapText="1"/>
    </xf>
    <xf numFmtId="173" fontId="8" fillId="0" borderId="35" xfId="13" applyNumberFormat="1" applyFont="1" applyBorder="1" applyAlignment="1">
      <alignment horizontal="center" vertical="center"/>
    </xf>
    <xf numFmtId="182" fontId="8" fillId="0" borderId="37" xfId="12" applyNumberFormat="1" applyFont="1" applyBorder="1" applyAlignment="1">
      <alignment horizontal="center" vertical="center"/>
    </xf>
    <xf numFmtId="0" fontId="8" fillId="0" borderId="22" xfId="12" applyNumberFormat="1" applyFont="1" applyFill="1" applyBorder="1" applyAlignment="1">
      <alignment vertical="center" wrapText="1"/>
    </xf>
    <xf numFmtId="0" fontId="8" fillId="0" borderId="38" xfId="12" applyNumberFormat="1" applyFont="1" applyBorder="1" applyAlignment="1">
      <alignment vertical="center"/>
    </xf>
    <xf numFmtId="0" fontId="8" fillId="0" borderId="37" xfId="12" applyNumberFormat="1" applyFont="1" applyBorder="1" applyAlignment="1">
      <alignment vertical="center"/>
    </xf>
    <xf numFmtId="173" fontId="8" fillId="0" borderId="37" xfId="12" applyNumberFormat="1" applyFont="1" applyBorder="1" applyAlignment="1">
      <alignment vertical="center"/>
    </xf>
    <xf numFmtId="0" fontId="8" fillId="0" borderId="40" xfId="12" applyNumberFormat="1" applyFont="1" applyBorder="1" applyAlignment="1">
      <alignment vertical="center"/>
    </xf>
    <xf numFmtId="0" fontId="8" fillId="0" borderId="41" xfId="12" applyNumberFormat="1" applyFont="1" applyBorder="1" applyAlignment="1">
      <alignment horizontal="center" vertical="center"/>
    </xf>
    <xf numFmtId="0" fontId="8" fillId="0" borderId="41" xfId="12" applyNumberFormat="1" applyFont="1" applyBorder="1" applyAlignment="1">
      <alignment vertical="center"/>
    </xf>
    <xf numFmtId="173" fontId="8" fillId="0" borderId="41" xfId="12" applyNumberFormat="1" applyFont="1" applyBorder="1" applyAlignment="1">
      <alignment vertical="center"/>
    </xf>
    <xf numFmtId="173" fontId="8" fillId="0" borderId="16" xfId="12" applyNumberFormat="1" applyFont="1" applyBorder="1" applyAlignment="1">
      <alignment horizontal="center" vertical="center"/>
    </xf>
    <xf numFmtId="0" fontId="8" fillId="0" borderId="13" xfId="12" applyNumberFormat="1" applyFont="1" applyBorder="1" applyAlignment="1">
      <alignment vertical="center"/>
    </xf>
    <xf numFmtId="0" fontId="8" fillId="0" borderId="13" xfId="12" applyNumberFormat="1" applyFont="1" applyBorder="1" applyAlignment="1">
      <alignment horizontal="center" vertical="center"/>
    </xf>
    <xf numFmtId="173" fontId="8" fillId="0" borderId="13" xfId="12" applyNumberFormat="1" applyFont="1" applyBorder="1" applyAlignment="1">
      <alignment vertical="center"/>
    </xf>
    <xf numFmtId="173" fontId="8" fillId="0" borderId="13" xfId="12" applyNumberFormat="1" applyFont="1" applyBorder="1" applyAlignment="1">
      <alignment horizontal="center" vertical="center"/>
    </xf>
    <xf numFmtId="173" fontId="8" fillId="0" borderId="0" xfId="12" applyNumberFormat="1" applyFont="1" applyBorder="1" applyAlignment="1">
      <alignment horizontal="center" vertical="center"/>
    </xf>
    <xf numFmtId="0" fontId="8" fillId="0" borderId="43" xfId="12" applyNumberFormat="1" applyFont="1" applyBorder="1" applyAlignment="1">
      <alignment vertical="center" wrapText="1"/>
    </xf>
    <xf numFmtId="0" fontId="8" fillId="0" borderId="38" xfId="12" applyNumberFormat="1" applyFont="1" applyBorder="1" applyAlignment="1">
      <alignment vertical="center" wrapText="1"/>
    </xf>
    <xf numFmtId="0" fontId="8" fillId="0" borderId="44" xfId="12" applyNumberFormat="1" applyFont="1" applyBorder="1" applyAlignment="1">
      <alignment horizontal="center" vertical="center"/>
    </xf>
    <xf numFmtId="173" fontId="8" fillId="0" borderId="45" xfId="12" applyNumberFormat="1" applyFont="1" applyBorder="1" applyAlignment="1">
      <alignment horizontal="center" vertical="center"/>
    </xf>
    <xf numFmtId="0" fontId="8" fillId="0" borderId="43" xfId="12" applyNumberFormat="1" applyFont="1" applyBorder="1" applyAlignment="1">
      <alignment vertical="center"/>
    </xf>
    <xf numFmtId="173" fontId="8" fillId="0" borderId="35" xfId="13" applyNumberFormat="1" applyFont="1" applyBorder="1" applyAlignment="1">
      <alignment vertical="center"/>
    </xf>
    <xf numFmtId="173" fontId="8" fillId="0" borderId="39" xfId="12" applyNumberFormat="1" applyFont="1" applyBorder="1" applyAlignment="1">
      <alignment horizontal="center" vertical="center"/>
    </xf>
    <xf numFmtId="0" fontId="8" fillId="0" borderId="46" xfId="12" applyNumberFormat="1" applyFont="1" applyBorder="1" applyAlignment="1">
      <alignment vertical="center"/>
    </xf>
    <xf numFmtId="173" fontId="8" fillId="0" borderId="47" xfId="12" applyNumberFormat="1" applyFont="1" applyBorder="1" applyAlignment="1">
      <alignment vertical="center"/>
    </xf>
    <xf numFmtId="0" fontId="8" fillId="0" borderId="47" xfId="12" applyNumberFormat="1" applyFont="1" applyBorder="1" applyAlignment="1">
      <alignment horizontal="center" vertical="center"/>
    </xf>
    <xf numFmtId="173" fontId="8" fillId="0" borderId="48" xfId="12" applyNumberFormat="1" applyFont="1" applyBorder="1" applyAlignment="1">
      <alignment horizontal="center" vertical="center"/>
    </xf>
    <xf numFmtId="0" fontId="7" fillId="0" borderId="0" xfId="12" applyNumberFormat="1" applyFont="1" applyAlignment="1">
      <alignment vertical="center"/>
    </xf>
    <xf numFmtId="173" fontId="8" fillId="0" borderId="16" xfId="12" applyNumberFormat="1" applyFont="1" applyBorder="1" applyAlignment="1">
      <alignment vertical="center"/>
    </xf>
    <xf numFmtId="2" fontId="8" fillId="0" borderId="35" xfId="12" applyNumberFormat="1" applyFont="1" applyBorder="1" applyAlignment="1">
      <alignment horizontal="center" vertical="center"/>
    </xf>
    <xf numFmtId="0" fontId="0" fillId="0" borderId="72" xfId="0" applyFill="1" applyBorder="1" applyAlignment="1">
      <alignment wrapText="1"/>
    </xf>
    <xf numFmtId="0" fontId="0" fillId="0" borderId="88" xfId="6" applyFont="1" applyBorder="1" applyAlignment="1">
      <alignment wrapText="1"/>
    </xf>
    <xf numFmtId="0" fontId="39" fillId="0" borderId="72" xfId="0" applyFont="1" applyBorder="1" applyAlignment="1">
      <alignment horizontal="center"/>
    </xf>
    <xf numFmtId="0" fontId="38" fillId="2" borderId="72" xfId="0" applyFont="1" applyFill="1" applyBorder="1" applyAlignment="1">
      <alignment horizontal="center" vertical="center" wrapText="1"/>
    </xf>
    <xf numFmtId="2" fontId="39" fillId="0" borderId="72" xfId="0" applyNumberFormat="1" applyFont="1" applyBorder="1" applyAlignment="1">
      <alignment horizontal="center"/>
    </xf>
    <xf numFmtId="0" fontId="38" fillId="2" borderId="72" xfId="0" applyFont="1" applyFill="1" applyBorder="1" applyAlignment="1">
      <alignment horizontal="center" vertical="center" wrapText="1"/>
    </xf>
    <xf numFmtId="0" fontId="4" fillId="0" borderId="72" xfId="0" applyFont="1" applyBorder="1"/>
    <xf numFmtId="0" fontId="47" fillId="0" borderId="72" xfId="0" applyFont="1" applyBorder="1" applyAlignment="1">
      <alignment horizontal="center"/>
    </xf>
    <xf numFmtId="0" fontId="47" fillId="0" borderId="72" xfId="0" applyFont="1" applyBorder="1"/>
    <xf numFmtId="0" fontId="0" fillId="0" borderId="72" xfId="0" applyBorder="1" applyAlignment="1">
      <alignment wrapText="1"/>
    </xf>
    <xf numFmtId="0" fontId="0" fillId="0" borderId="72" xfId="0" applyBorder="1" applyAlignment="1"/>
    <xf numFmtId="0" fontId="4" fillId="0" borderId="72" xfId="0" applyFont="1" applyFill="1" applyBorder="1"/>
    <xf numFmtId="0" fontId="0" fillId="9" borderId="72" xfId="0" applyFill="1" applyBorder="1"/>
    <xf numFmtId="0" fontId="0" fillId="10" borderId="72" xfId="0" applyFill="1" applyBorder="1"/>
    <xf numFmtId="0" fontId="39" fillId="0" borderId="72" xfId="0" applyFont="1" applyBorder="1" applyAlignment="1">
      <alignment horizontal="center"/>
    </xf>
    <xf numFmtId="0" fontId="0" fillId="0" borderId="72" xfId="0" applyBorder="1" applyAlignment="1">
      <alignment horizontal="center"/>
    </xf>
    <xf numFmtId="178" fontId="0" fillId="0" borderId="72" xfId="0" applyNumberFormat="1" applyBorder="1"/>
    <xf numFmtId="0" fontId="47" fillId="0" borderId="68" xfId="0" applyFont="1" applyFill="1" applyBorder="1" applyAlignment="1">
      <alignment horizontal="center"/>
    </xf>
    <xf numFmtId="0" fontId="47" fillId="0" borderId="72" xfId="0" applyFont="1" applyFill="1" applyBorder="1" applyAlignment="1">
      <alignment horizontal="center"/>
    </xf>
    <xf numFmtId="0" fontId="29" fillId="0" borderId="0" xfId="0" applyFont="1"/>
    <xf numFmtId="0" fontId="33" fillId="0" borderId="0" xfId="0" applyFont="1"/>
    <xf numFmtId="2" fontId="0" fillId="0" borderId="72" xfId="4" applyNumberFormat="1" applyFont="1" applyBorder="1" applyAlignment="1">
      <alignment horizontal="center"/>
    </xf>
    <xf numFmtId="175" fontId="8" fillId="0" borderId="16" xfId="0" applyNumberFormat="1" applyFont="1" applyFill="1" applyBorder="1"/>
    <xf numFmtId="164" fontId="8" fillId="0" borderId="36" xfId="5" applyNumberFormat="1" applyFont="1" applyBorder="1" applyAlignment="1">
      <alignment vertical="center"/>
    </xf>
    <xf numFmtId="164" fontId="8" fillId="0" borderId="36" xfId="5" applyNumberFormat="1" applyFont="1" applyBorder="1" applyAlignment="1">
      <alignment horizontal="center" vertical="center"/>
    </xf>
    <xf numFmtId="164" fontId="8" fillId="0" borderId="35" xfId="5" applyNumberFormat="1" applyFont="1" applyBorder="1" applyAlignment="1">
      <alignment horizontal="center" vertical="center"/>
    </xf>
    <xf numFmtId="0" fontId="8" fillId="0" borderId="37" xfId="12" applyNumberFormat="1" applyFont="1" applyBorder="1" applyAlignment="1">
      <alignment horizontal="center" vertical="center"/>
    </xf>
    <xf numFmtId="173" fontId="8" fillId="0" borderId="36" xfId="13" applyNumberFormat="1" applyFont="1" applyBorder="1" applyAlignment="1">
      <alignment horizontal="center" vertical="center"/>
    </xf>
    <xf numFmtId="0" fontId="8" fillId="0" borderId="35" xfId="12" applyNumberFormat="1" applyFont="1" applyBorder="1" applyAlignment="1">
      <alignment horizontal="center" vertical="center"/>
    </xf>
    <xf numFmtId="167" fontId="39" fillId="0" borderId="0" xfId="1" applyFont="1"/>
    <xf numFmtId="0" fontId="38" fillId="2" borderId="74" xfId="0" applyFont="1" applyFill="1" applyBorder="1" applyAlignment="1">
      <alignment horizontal="center" vertical="center" wrapText="1"/>
    </xf>
    <xf numFmtId="0" fontId="38" fillId="2" borderId="72" xfId="0" applyFont="1" applyFill="1" applyBorder="1" applyAlignment="1">
      <alignment horizontal="center" vertical="center" wrapText="1"/>
    </xf>
    <xf numFmtId="0" fontId="39" fillId="0" borderId="72" xfId="0" applyFont="1" applyBorder="1" applyAlignment="1">
      <alignment horizontal="center"/>
    </xf>
    <xf numFmtId="2" fontId="39" fillId="0" borderId="72" xfId="0" applyNumberFormat="1" applyFont="1" applyBorder="1" applyAlignment="1">
      <alignment horizontal="center"/>
    </xf>
    <xf numFmtId="0" fontId="38" fillId="0" borderId="0" xfId="0" applyFont="1" applyFill="1" applyBorder="1" applyAlignment="1">
      <alignment horizontal="center" vertical="center" wrapText="1"/>
    </xf>
    <xf numFmtId="178" fontId="0" fillId="0" borderId="0" xfId="0" applyNumberFormat="1"/>
    <xf numFmtId="0" fontId="39" fillId="0" borderId="74" xfId="0" applyFont="1" applyBorder="1" applyAlignment="1"/>
    <xf numFmtId="0" fontId="39" fillId="0" borderId="75" xfId="0" applyFont="1" applyBorder="1" applyAlignment="1"/>
    <xf numFmtId="2" fontId="39" fillId="0" borderId="0" xfId="0" applyNumberFormat="1" applyFont="1" applyFill="1" applyBorder="1" applyAlignment="1">
      <alignment horizontal="center"/>
    </xf>
    <xf numFmtId="178" fontId="39" fillId="0" borderId="74" xfId="0" applyNumberFormat="1" applyFont="1" applyBorder="1" applyAlignment="1">
      <alignment horizontal="center"/>
    </xf>
    <xf numFmtId="173" fontId="8" fillId="0" borderId="16" xfId="1" applyNumberFormat="1" applyFont="1" applyFill="1" applyBorder="1" applyAlignment="1">
      <alignment vertical="center"/>
    </xf>
    <xf numFmtId="0" fontId="67" fillId="3" borderId="72" xfId="0" applyFont="1" applyFill="1" applyBorder="1" applyAlignment="1">
      <alignment horizontal="center" vertical="center"/>
    </xf>
    <xf numFmtId="0" fontId="67" fillId="6" borderId="72" xfId="0" applyFont="1" applyFill="1" applyBorder="1" applyAlignment="1">
      <alignment horizontal="center"/>
    </xf>
    <xf numFmtId="0" fontId="69" fillId="6" borderId="72" xfId="0" applyFont="1" applyFill="1" applyBorder="1" applyAlignment="1">
      <alignment horizontal="center" vertical="center"/>
    </xf>
    <xf numFmtId="0" fontId="69" fillId="6" borderId="72" xfId="0" applyFont="1" applyFill="1" applyBorder="1" applyAlignment="1">
      <alignment horizontal="center"/>
    </xf>
    <xf numFmtId="192" fontId="69" fillId="6" borderId="72" xfId="0" applyNumberFormat="1" applyFont="1" applyFill="1" applyBorder="1" applyAlignment="1">
      <alignment horizontal="center"/>
    </xf>
    <xf numFmtId="0" fontId="69" fillId="6" borderId="72" xfId="0" applyFont="1" applyFill="1" applyBorder="1"/>
    <xf numFmtId="0" fontId="67" fillId="0" borderId="0" xfId="0" applyFont="1" applyFill="1"/>
    <xf numFmtId="0" fontId="67" fillId="0" borderId="0" xfId="0" applyFont="1" applyFill="1" applyAlignment="1">
      <alignment horizontal="center" vertical="center"/>
    </xf>
    <xf numFmtId="0" fontId="67" fillId="0" borderId="0" xfId="0" applyFont="1" applyFill="1" applyAlignment="1">
      <alignment horizontal="center"/>
    </xf>
    <xf numFmtId="192" fontId="67" fillId="0" borderId="0" xfId="0" applyNumberFormat="1" applyFont="1" applyFill="1"/>
    <xf numFmtId="0" fontId="38" fillId="2" borderId="72" xfId="0" applyFont="1" applyFill="1" applyBorder="1" applyAlignment="1">
      <alignment horizontal="center" vertical="center" wrapText="1"/>
    </xf>
    <xf numFmtId="0" fontId="39" fillId="0" borderId="72" xfId="0" applyFont="1" applyBorder="1" applyAlignment="1">
      <alignment horizontal="center"/>
    </xf>
    <xf numFmtId="0" fontId="67" fillId="0" borderId="0" xfId="0" applyFont="1"/>
    <xf numFmtId="2" fontId="67" fillId="6" borderId="72" xfId="0" applyNumberFormat="1" applyFont="1" applyFill="1" applyBorder="1" applyAlignment="1">
      <alignment horizontal="center"/>
    </xf>
    <xf numFmtId="173" fontId="67" fillId="6" borderId="72" xfId="5" applyNumberFormat="1" applyFont="1" applyFill="1" applyBorder="1" applyAlignment="1">
      <alignment horizontal="center"/>
    </xf>
    <xf numFmtId="192" fontId="67" fillId="6" borderId="72" xfId="0" applyNumberFormat="1" applyFont="1" applyFill="1" applyBorder="1" applyAlignment="1">
      <alignment horizontal="center"/>
    </xf>
    <xf numFmtId="0" fontId="67" fillId="3" borderId="74" xfId="0" applyFont="1" applyFill="1" applyBorder="1"/>
    <xf numFmtId="0" fontId="67" fillId="6" borderId="72" xfId="0" applyFont="1" applyFill="1" applyBorder="1" applyAlignment="1">
      <alignment horizontal="center" vertical="center"/>
    </xf>
    <xf numFmtId="173" fontId="67" fillId="0" borderId="72" xfId="5" applyNumberFormat="1" applyFont="1" applyFill="1" applyBorder="1"/>
    <xf numFmtId="2" fontId="67" fillId="3" borderId="72" xfId="0" applyNumberFormat="1" applyFont="1" applyFill="1" applyBorder="1" applyAlignment="1">
      <alignment horizontal="center"/>
    </xf>
    <xf numFmtId="0" fontId="67" fillId="0" borderId="72" xfId="0" applyFont="1" applyBorder="1" applyAlignment="1">
      <alignment horizontal="center"/>
    </xf>
    <xf numFmtId="173" fontId="67" fillId="0" borderId="72" xfId="5" applyNumberFormat="1" applyFont="1" applyFill="1" applyBorder="1" applyAlignment="1">
      <alignment horizontal="center"/>
    </xf>
    <xf numFmtId="192" fontId="67" fillId="0" borderId="72" xfId="5" applyNumberFormat="1" applyFont="1" applyFill="1" applyBorder="1" applyAlignment="1">
      <alignment horizontal="center"/>
    </xf>
    <xf numFmtId="0" fontId="67" fillId="0" borderId="74" xfId="0" applyFont="1" applyFill="1" applyBorder="1"/>
    <xf numFmtId="192" fontId="67" fillId="6" borderId="72" xfId="5" applyNumberFormat="1" applyFont="1" applyFill="1" applyBorder="1" applyAlignment="1">
      <alignment horizontal="center"/>
    </xf>
    <xf numFmtId="192" fontId="67" fillId="6" borderId="72" xfId="0" applyNumberFormat="1" applyFont="1" applyFill="1" applyBorder="1"/>
    <xf numFmtId="192" fontId="67" fillId="6" borderId="72" xfId="5" applyNumberFormat="1" applyFont="1" applyFill="1" applyBorder="1"/>
    <xf numFmtId="0" fontId="69" fillId="6" borderId="74" xfId="0" applyFont="1" applyFill="1" applyBorder="1"/>
    <xf numFmtId="0" fontId="67" fillId="6" borderId="72" xfId="0" applyNumberFormat="1" applyFont="1" applyFill="1" applyBorder="1" applyAlignment="1">
      <alignment horizontal="center"/>
    </xf>
    <xf numFmtId="0" fontId="69" fillId="6" borderId="72" xfId="0" applyNumberFormat="1" applyFont="1" applyFill="1" applyBorder="1" applyAlignment="1">
      <alignment horizontal="center"/>
    </xf>
    <xf numFmtId="184" fontId="8" fillId="0" borderId="36" xfId="5" applyNumberFormat="1" applyFont="1" applyBorder="1" applyAlignment="1">
      <alignment vertical="center"/>
    </xf>
    <xf numFmtId="167" fontId="8" fillId="0" borderId="36" xfId="5" applyNumberFormat="1" applyFont="1" applyBorder="1" applyAlignment="1">
      <alignment horizontal="center" vertical="center"/>
    </xf>
    <xf numFmtId="178" fontId="8" fillId="0" borderId="37" xfId="12" applyNumberFormat="1" applyFont="1" applyBorder="1" applyAlignment="1">
      <alignment horizontal="center" vertical="center"/>
    </xf>
    <xf numFmtId="167" fontId="4" fillId="0" borderId="77" xfId="1" applyFont="1" applyFill="1" applyBorder="1" applyAlignment="1">
      <alignment horizontal="center" vertical="center" wrapText="1"/>
    </xf>
    <xf numFmtId="167" fontId="2" fillId="0" borderId="0" xfId="1" applyFont="1" applyFill="1" applyBorder="1" applyAlignment="1">
      <alignment horizontal="center" vertical="center"/>
    </xf>
    <xf numFmtId="167" fontId="45" fillId="0" borderId="0" xfId="1" applyFont="1" applyFill="1" applyBorder="1" applyAlignment="1">
      <alignment horizontal="center" vertical="center"/>
    </xf>
    <xf numFmtId="167" fontId="0" fillId="0" borderId="0" xfId="1" applyFont="1" applyFill="1" applyBorder="1" applyAlignment="1">
      <alignment horizontal="center" vertical="center"/>
    </xf>
    <xf numFmtId="167" fontId="4" fillId="0" borderId="99" xfId="1" applyFont="1" applyFill="1" applyBorder="1" applyAlignment="1">
      <alignment horizontal="center" vertical="center" wrapText="1"/>
    </xf>
    <xf numFmtId="167" fontId="4" fillId="0" borderId="0" xfId="1" applyFont="1" applyFill="1" applyBorder="1" applyAlignment="1">
      <alignment horizontal="center" vertical="center" wrapText="1"/>
    </xf>
    <xf numFmtId="167" fontId="0" fillId="0" borderId="0" xfId="1" applyFont="1" applyFill="1" applyBorder="1"/>
    <xf numFmtId="167" fontId="8" fillId="0" borderId="0" xfId="1" applyFont="1" applyAlignment="1">
      <alignment horizontal="center" vertical="center"/>
    </xf>
    <xf numFmtId="0" fontId="39" fillId="0" borderId="72" xfId="0" applyFont="1" applyBorder="1" applyAlignment="1">
      <alignment horizontal="center"/>
    </xf>
    <xf numFmtId="0" fontId="38" fillId="2" borderId="84" xfId="0" applyFont="1" applyFill="1" applyBorder="1" applyAlignment="1">
      <alignment horizontal="center" vertical="center" wrapText="1"/>
    </xf>
    <xf numFmtId="0" fontId="38" fillId="0" borderId="0" xfId="0" applyFont="1" applyFill="1" applyBorder="1" applyAlignment="1">
      <alignment horizontal="center" vertical="center" wrapText="1"/>
    </xf>
    <xf numFmtId="2" fontId="39" fillId="0" borderId="72" xfId="0" applyNumberFormat="1" applyFont="1" applyBorder="1" applyAlignment="1">
      <alignment horizontal="center"/>
    </xf>
    <xf numFmtId="0" fontId="38" fillId="2" borderId="82" xfId="0" applyFont="1" applyFill="1" applyBorder="1" applyAlignment="1">
      <alignment horizontal="center" vertical="center" wrapText="1"/>
    </xf>
    <xf numFmtId="0" fontId="38" fillId="2" borderId="84" xfId="0" applyFont="1" applyFill="1" applyBorder="1" applyAlignment="1">
      <alignment horizontal="center" vertical="center" wrapText="1"/>
    </xf>
    <xf numFmtId="2" fontId="39" fillId="0" borderId="72" xfId="0" applyNumberFormat="1" applyFont="1" applyBorder="1" applyAlignment="1">
      <alignment horizontal="center"/>
    </xf>
    <xf numFmtId="0" fontId="39" fillId="0" borderId="72" xfId="0" applyFont="1" applyBorder="1" applyAlignment="1">
      <alignment horizontal="center"/>
    </xf>
    <xf numFmtId="0" fontId="38" fillId="0" borderId="0" xfId="0" applyFont="1" applyFill="1" applyBorder="1" applyAlignment="1">
      <alignment horizontal="center" vertical="center" wrapText="1"/>
    </xf>
    <xf numFmtId="178" fontId="39" fillId="0" borderId="0" xfId="0" applyNumberFormat="1" applyFont="1" applyBorder="1"/>
    <xf numFmtId="1" fontId="39" fillId="0" borderId="0" xfId="0" applyNumberFormat="1" applyFont="1" applyBorder="1"/>
    <xf numFmtId="0" fontId="39" fillId="0" borderId="0" xfId="0" quotePrefix="1" applyFont="1"/>
    <xf numFmtId="0" fontId="69" fillId="6" borderId="72" xfId="0" applyFont="1" applyFill="1" applyBorder="1" applyAlignment="1">
      <alignment horizontal="left" vertical="top"/>
    </xf>
    <xf numFmtId="0" fontId="66" fillId="6" borderId="72" xfId="0" applyFont="1" applyFill="1" applyBorder="1"/>
    <xf numFmtId="0" fontId="66" fillId="6" borderId="74" xfId="0" applyFont="1" applyFill="1" applyBorder="1"/>
    <xf numFmtId="0" fontId="38" fillId="2" borderId="72" xfId="0" applyFont="1" applyFill="1" applyBorder="1" applyAlignment="1">
      <alignment horizontal="center" vertical="center" wrapText="1"/>
    </xf>
    <xf numFmtId="0" fontId="4" fillId="0" borderId="0" xfId="0" applyFont="1"/>
    <xf numFmtId="180" fontId="7" fillId="4" borderId="0" xfId="0" applyNumberFormat="1" applyFont="1" applyFill="1" applyAlignment="1">
      <alignment horizontal="center" vertical="center"/>
    </xf>
    <xf numFmtId="0" fontId="0" fillId="0" borderId="0" xfId="0" applyAlignment="1">
      <alignment wrapText="1"/>
    </xf>
    <xf numFmtId="2" fontId="8" fillId="0" borderId="37" xfId="12" applyNumberFormat="1" applyFont="1" applyBorder="1" applyAlignment="1">
      <alignment horizontal="center" vertical="center"/>
    </xf>
    <xf numFmtId="2" fontId="67" fillId="0" borderId="72" xfId="0" applyNumberFormat="1" applyFont="1" applyFill="1" applyBorder="1" applyAlignment="1">
      <alignment horizontal="center"/>
    </xf>
    <xf numFmtId="173" fontId="2" fillId="0" borderId="80" xfId="6" applyNumberFormat="1" applyBorder="1"/>
    <xf numFmtId="0" fontId="8" fillId="0" borderId="0" xfId="0" applyFont="1" applyFill="1" applyAlignment="1">
      <alignment horizontal="center" vertical="center"/>
    </xf>
    <xf numFmtId="0" fontId="8" fillId="0" borderId="0" xfId="0" applyFont="1" applyFill="1" applyAlignment="1">
      <alignment vertical="center"/>
    </xf>
    <xf numFmtId="0" fontId="7" fillId="0" borderId="0" xfId="0" applyFont="1" applyFill="1" applyAlignment="1">
      <alignment vertical="center"/>
    </xf>
    <xf numFmtId="173" fontId="8" fillId="0" borderId="0" xfId="1" applyNumberFormat="1" applyFont="1" applyFill="1" applyAlignment="1">
      <alignment vertical="center"/>
    </xf>
    <xf numFmtId="0" fontId="8" fillId="0" borderId="23" xfId="0" applyFont="1" applyFill="1" applyBorder="1" applyAlignment="1">
      <alignment horizontal="center" vertical="center"/>
    </xf>
    <xf numFmtId="0" fontId="8" fillId="0" borderId="24" xfId="0" applyFont="1" applyFill="1" applyBorder="1" applyAlignment="1">
      <alignment horizontal="center" vertical="center"/>
    </xf>
    <xf numFmtId="0" fontId="8" fillId="0" borderId="35" xfId="0" applyFont="1" applyFill="1" applyBorder="1" applyAlignment="1">
      <alignment horizontal="center" vertical="center"/>
    </xf>
    <xf numFmtId="167" fontId="8" fillId="0" borderId="16" xfId="1" applyNumberFormat="1" applyFont="1" applyFill="1" applyBorder="1" applyAlignment="1">
      <alignment vertical="center"/>
    </xf>
    <xf numFmtId="173" fontId="8" fillId="0" borderId="0" xfId="1" applyNumberFormat="1" applyFont="1" applyFill="1" applyAlignment="1">
      <alignment horizontal="center" vertical="center"/>
    </xf>
    <xf numFmtId="173" fontId="8" fillId="0" borderId="0" xfId="5" applyNumberFormat="1" applyFont="1" applyFill="1" applyAlignment="1">
      <alignment vertical="center"/>
    </xf>
    <xf numFmtId="0" fontId="0" fillId="5" borderId="0" xfId="0" applyFill="1" applyBorder="1"/>
    <xf numFmtId="167" fontId="2" fillId="0" borderId="0" xfId="1" applyFont="1" applyBorder="1" applyAlignment="1">
      <alignment horizontal="center" vertical="center"/>
    </xf>
    <xf numFmtId="167" fontId="0" fillId="0" borderId="0" xfId="0" applyNumberFormat="1" applyBorder="1"/>
    <xf numFmtId="167" fontId="71" fillId="0" borderId="0" xfId="1" applyFont="1" applyFill="1" applyBorder="1" applyAlignment="1">
      <alignment horizontal="center" vertical="center"/>
    </xf>
    <xf numFmtId="0" fontId="71" fillId="0" borderId="0" xfId="0" applyFont="1" applyBorder="1"/>
    <xf numFmtId="0" fontId="71" fillId="0" borderId="0" xfId="0" applyFont="1" applyFill="1" applyBorder="1"/>
    <xf numFmtId="0" fontId="71" fillId="5" borderId="0" xfId="0" applyFont="1" applyFill="1" applyBorder="1"/>
    <xf numFmtId="167" fontId="71" fillId="0" borderId="0" xfId="1" applyFont="1" applyBorder="1" applyAlignment="1">
      <alignment horizontal="center" vertical="center"/>
    </xf>
    <xf numFmtId="167" fontId="71" fillId="5" borderId="0" xfId="1" applyFont="1" applyFill="1" applyBorder="1" applyAlignment="1">
      <alignment horizontal="center" vertical="center"/>
    </xf>
    <xf numFmtId="167" fontId="71" fillId="0" borderId="0" xfId="0" applyNumberFormat="1" applyFont="1" applyBorder="1"/>
    <xf numFmtId="167" fontId="71" fillId="0" borderId="0" xfId="1" applyFont="1" applyBorder="1"/>
    <xf numFmtId="0" fontId="6" fillId="0" borderId="0" xfId="6" applyFont="1" applyFill="1" applyBorder="1" applyAlignment="1">
      <alignment horizontal="centerContinuous" vertical="center" wrapText="1"/>
    </xf>
    <xf numFmtId="0" fontId="2" fillId="0" borderId="0" xfId="6"/>
    <xf numFmtId="0" fontId="2" fillId="0" borderId="0" xfId="6" applyAlignment="1">
      <alignment horizontal="centerContinuous"/>
    </xf>
    <xf numFmtId="0" fontId="4" fillId="0" borderId="23" xfId="6" applyFont="1" applyBorder="1" applyAlignment="1">
      <alignment horizontal="center" vertical="center" wrapText="1"/>
    </xf>
    <xf numFmtId="0" fontId="4" fillId="0" borderId="24" xfId="6" applyFont="1" applyBorder="1" applyAlignment="1">
      <alignment horizontal="center" vertical="center" wrapText="1"/>
    </xf>
    <xf numFmtId="199" fontId="4" fillId="0" borderId="24" xfId="6" applyNumberFormat="1" applyFont="1" applyBorder="1" applyAlignment="1">
      <alignment horizontal="center" vertical="center" wrapText="1"/>
    </xf>
    <xf numFmtId="0" fontId="4" fillId="0" borderId="25" xfId="6" applyFont="1" applyBorder="1" applyAlignment="1">
      <alignment horizontal="center" vertical="center" wrapText="1"/>
    </xf>
    <xf numFmtId="0" fontId="2" fillId="42" borderId="100" xfId="6" applyFill="1" applyBorder="1"/>
    <xf numFmtId="173" fontId="2" fillId="42" borderId="82" xfId="6" applyNumberFormat="1" applyFill="1" applyBorder="1"/>
    <xf numFmtId="173" fontId="2" fillId="42" borderId="83" xfId="6" applyNumberFormat="1" applyFill="1" applyBorder="1"/>
    <xf numFmtId="0" fontId="2" fillId="42" borderId="0" xfId="6" applyFill="1"/>
    <xf numFmtId="0" fontId="2" fillId="42" borderId="88" xfId="6" applyFill="1" applyBorder="1"/>
    <xf numFmtId="173" fontId="2" fillId="42" borderId="72" xfId="6" applyNumberFormat="1" applyFill="1" applyBorder="1"/>
    <xf numFmtId="173" fontId="2" fillId="42" borderId="80" xfId="6" applyNumberFormat="1" applyFill="1" applyBorder="1"/>
    <xf numFmtId="0" fontId="2" fillId="0" borderId="101" xfId="6" applyBorder="1"/>
    <xf numFmtId="173" fontId="2" fillId="0" borderId="72" xfId="6" applyNumberFormat="1" applyBorder="1"/>
    <xf numFmtId="173" fontId="2" fillId="0" borderId="82" xfId="6" applyNumberFormat="1" applyBorder="1"/>
    <xf numFmtId="0" fontId="2" fillId="43" borderId="88" xfId="6" applyFill="1" applyBorder="1"/>
    <xf numFmtId="173" fontId="2" fillId="43" borderId="72" xfId="6" applyNumberFormat="1" applyFill="1" applyBorder="1"/>
    <xf numFmtId="173" fontId="2" fillId="43" borderId="82" xfId="6" applyNumberFormat="1" applyFill="1" applyBorder="1"/>
    <xf numFmtId="173" fontId="2" fillId="43" borderId="80" xfId="6" applyNumberFormat="1" applyFill="1" applyBorder="1"/>
    <xf numFmtId="0" fontId="2" fillId="43" borderId="0" xfId="6" applyFill="1"/>
    <xf numFmtId="0" fontId="2" fillId="0" borderId="88" xfId="6" applyFont="1" applyBorder="1" applyAlignment="1">
      <alignment wrapText="1"/>
    </xf>
    <xf numFmtId="0" fontId="2" fillId="43" borderId="72" xfId="6" applyFill="1" applyBorder="1"/>
    <xf numFmtId="0" fontId="2" fillId="43" borderId="72" xfId="6" applyFont="1" applyFill="1" applyBorder="1"/>
    <xf numFmtId="0" fontId="2" fillId="0" borderId="72" xfId="6" applyFont="1" applyBorder="1"/>
    <xf numFmtId="1" fontId="2" fillId="42" borderId="0" xfId="6" applyNumberFormat="1" applyFill="1"/>
    <xf numFmtId="0" fontId="47" fillId="0" borderId="0" xfId="0" applyFont="1"/>
    <xf numFmtId="2" fontId="4" fillId="5" borderId="72" xfId="6" applyNumberFormat="1" applyFont="1" applyFill="1" applyBorder="1"/>
    <xf numFmtId="0" fontId="4" fillId="5" borderId="72" xfId="6" applyFont="1" applyFill="1" applyBorder="1"/>
    <xf numFmtId="10" fontId="2" fillId="0" borderId="0" xfId="3" applyNumberFormat="1" applyFont="1" applyFill="1" applyBorder="1" applyAlignment="1">
      <alignment horizontal="center" vertical="center"/>
    </xf>
    <xf numFmtId="0" fontId="69" fillId="2" borderId="72" xfId="0" applyFont="1" applyFill="1" applyBorder="1" applyAlignment="1">
      <alignment horizontal="center" vertical="center"/>
    </xf>
    <xf numFmtId="173" fontId="69" fillId="2" borderId="72" xfId="5" applyNumberFormat="1" applyFont="1" applyFill="1" applyBorder="1" applyAlignment="1">
      <alignment horizontal="center"/>
    </xf>
    <xf numFmtId="192" fontId="69" fillId="2" borderId="72" xfId="0" applyNumberFormat="1" applyFont="1" applyFill="1" applyBorder="1" applyAlignment="1">
      <alignment horizontal="center"/>
    </xf>
    <xf numFmtId="0" fontId="5" fillId="0" borderId="0" xfId="0" applyNumberFormat="1" applyFont="1" applyAlignment="1">
      <alignment horizontal="center" vertical="center"/>
    </xf>
    <xf numFmtId="0" fontId="8" fillId="0" borderId="24" xfId="0" applyNumberFormat="1" applyFont="1" applyBorder="1" applyAlignment="1">
      <alignment horizontal="center" vertical="center"/>
    </xf>
    <xf numFmtId="0" fontId="8" fillId="0" borderId="37" xfId="0" applyNumberFormat="1" applyFont="1" applyBorder="1" applyAlignment="1">
      <alignment vertical="center"/>
    </xf>
    <xf numFmtId="0" fontId="8" fillId="0" borderId="41" xfId="0" applyNumberFormat="1" applyFont="1" applyBorder="1" applyAlignment="1">
      <alignment vertical="center"/>
    </xf>
    <xf numFmtId="0" fontId="8" fillId="0" borderId="13" xfId="0" applyNumberFormat="1" applyFont="1" applyBorder="1" applyAlignment="1">
      <alignment vertical="center"/>
    </xf>
    <xf numFmtId="0" fontId="8" fillId="0" borderId="35" xfId="5" applyNumberFormat="1" applyFont="1" applyBorder="1" applyAlignment="1">
      <alignment vertical="center"/>
    </xf>
    <xf numFmtId="0" fontId="8" fillId="0" borderId="47" xfId="0" applyNumberFormat="1" applyFont="1" applyBorder="1" applyAlignment="1">
      <alignment vertical="center"/>
    </xf>
    <xf numFmtId="0" fontId="0" fillId="0" borderId="0" xfId="0" applyNumberFormat="1"/>
    <xf numFmtId="0" fontId="7" fillId="0" borderId="0" xfId="0" applyNumberFormat="1" applyFont="1" applyAlignment="1">
      <alignment vertical="center"/>
    </xf>
    <xf numFmtId="0" fontId="8" fillId="0" borderId="60" xfId="0" applyNumberFormat="1" applyFont="1" applyBorder="1" applyAlignment="1">
      <alignment horizontal="center" vertical="center"/>
    </xf>
    <xf numFmtId="0" fontId="8" fillId="0" borderId="62" xfId="0" applyNumberFormat="1" applyFont="1" applyBorder="1" applyAlignment="1">
      <alignment horizontal="center" vertical="center"/>
    </xf>
    <xf numFmtId="0" fontId="8" fillId="0" borderId="35" xfId="0" applyNumberFormat="1" applyFont="1" applyBorder="1" applyAlignment="1">
      <alignment vertical="center"/>
    </xf>
    <xf numFmtId="0" fontId="8" fillId="0" borderId="56" xfId="0" applyNumberFormat="1" applyFont="1" applyBorder="1" applyAlignment="1">
      <alignment horizontal="center" vertical="center"/>
    </xf>
    <xf numFmtId="0" fontId="8" fillId="0" borderId="58" xfId="0" applyNumberFormat="1" applyFont="1" applyBorder="1" applyAlignment="1">
      <alignment horizontal="center" vertical="center"/>
    </xf>
    <xf numFmtId="0" fontId="8" fillId="0" borderId="47" xfId="12" applyNumberFormat="1" applyFont="1" applyBorder="1" applyAlignment="1">
      <alignment vertical="center"/>
    </xf>
    <xf numFmtId="0" fontId="8" fillId="0" borderId="35" xfId="1" applyNumberFormat="1" applyFont="1" applyBorder="1" applyAlignment="1">
      <alignment vertical="center"/>
    </xf>
    <xf numFmtId="0" fontId="0" fillId="0" borderId="0" xfId="0" applyNumberFormat="1" applyFont="1"/>
    <xf numFmtId="0" fontId="8" fillId="0" borderId="50" xfId="0" applyNumberFormat="1" applyFont="1" applyBorder="1" applyAlignment="1">
      <alignment horizontal="center" vertical="center"/>
    </xf>
    <xf numFmtId="0" fontId="7" fillId="0" borderId="0" xfId="0" applyNumberFormat="1" applyFont="1" applyFill="1" applyAlignment="1">
      <alignment vertical="center"/>
    </xf>
    <xf numFmtId="0" fontId="8" fillId="0" borderId="0" xfId="0" applyNumberFormat="1" applyFont="1" applyFill="1" applyAlignment="1">
      <alignment vertical="center"/>
    </xf>
    <xf numFmtId="0" fontId="8" fillId="0" borderId="24" xfId="0" applyNumberFormat="1" applyFont="1" applyFill="1" applyBorder="1" applyAlignment="1">
      <alignment horizontal="center" vertical="center"/>
    </xf>
    <xf numFmtId="0" fontId="0" fillId="0" borderId="0" xfId="0" applyNumberFormat="1" applyFill="1"/>
    <xf numFmtId="0" fontId="8" fillId="0" borderId="35" xfId="5" applyNumberFormat="1" applyFont="1" applyBorder="1"/>
    <xf numFmtId="0" fontId="7" fillId="0" borderId="0" xfId="0" applyNumberFormat="1" applyFont="1" applyAlignment="1">
      <alignment horizontal="center" vertical="center" wrapText="1"/>
    </xf>
    <xf numFmtId="0" fontId="8" fillId="0" borderId="68" xfId="5" applyNumberFormat="1" applyFont="1" applyBorder="1"/>
    <xf numFmtId="176" fontId="8" fillId="0" borderId="35" xfId="0" applyNumberFormat="1" applyFont="1" applyFill="1" applyBorder="1" applyAlignment="1">
      <alignment vertical="center"/>
    </xf>
    <xf numFmtId="176" fontId="8" fillId="0" borderId="0" xfId="0" applyNumberFormat="1" applyFont="1" applyFill="1" applyAlignment="1">
      <alignment vertical="center"/>
    </xf>
    <xf numFmtId="176" fontId="8" fillId="0" borderId="24" xfId="0" applyNumberFormat="1" applyFont="1" applyFill="1" applyBorder="1" applyAlignment="1">
      <alignment horizontal="center" vertical="center"/>
    </xf>
    <xf numFmtId="173" fontId="8" fillId="0" borderId="25" xfId="5" applyNumberFormat="1" applyFont="1" applyFill="1" applyBorder="1" applyAlignment="1">
      <alignment horizontal="center" vertical="center"/>
    </xf>
    <xf numFmtId="173" fontId="8" fillId="0" borderId="36" xfId="13" applyNumberFormat="1" applyFont="1" applyFill="1" applyBorder="1" applyAlignment="1">
      <alignment horizontal="center" vertical="center"/>
    </xf>
    <xf numFmtId="176" fontId="8" fillId="0" borderId="37" xfId="0" applyNumberFormat="1" applyFont="1" applyFill="1" applyBorder="1" applyAlignment="1">
      <alignment vertical="center"/>
    </xf>
    <xf numFmtId="0" fontId="0" fillId="0" borderId="72" xfId="6" applyFont="1" applyBorder="1"/>
    <xf numFmtId="175" fontId="7" fillId="0" borderId="16" xfId="0" applyNumberFormat="1" applyFont="1" applyFill="1" applyBorder="1" applyAlignment="1">
      <alignment vertical="center"/>
    </xf>
    <xf numFmtId="167" fontId="8" fillId="0" borderId="16" xfId="5" applyNumberFormat="1" applyFont="1" applyFill="1" applyBorder="1" applyAlignment="1">
      <alignment vertical="center"/>
    </xf>
    <xf numFmtId="0" fontId="4" fillId="0" borderId="76" xfId="6" applyFont="1" applyBorder="1" applyAlignment="1">
      <alignment horizontal="center" vertical="center" wrapText="1"/>
    </xf>
    <xf numFmtId="0" fontId="4" fillId="0" borderId="77" xfId="6" applyFont="1" applyBorder="1" applyAlignment="1">
      <alignment horizontal="center" vertical="center" wrapText="1"/>
    </xf>
    <xf numFmtId="0" fontId="4" fillId="0" borderId="78" xfId="6" applyFont="1" applyBorder="1" applyAlignment="1">
      <alignment horizontal="center" vertical="center" wrapText="1"/>
    </xf>
    <xf numFmtId="0" fontId="2" fillId="0" borderId="0" xfId="0" applyFont="1"/>
    <xf numFmtId="176" fontId="8" fillId="0" borderId="38" xfId="0" applyNumberFormat="1" applyFont="1" applyFill="1" applyBorder="1" applyAlignment="1">
      <alignment vertical="center" wrapText="1"/>
    </xf>
    <xf numFmtId="176" fontId="8" fillId="0" borderId="35" xfId="0" applyNumberFormat="1" applyFont="1" applyFill="1" applyBorder="1" applyAlignment="1">
      <alignment horizontal="center" vertical="center"/>
    </xf>
    <xf numFmtId="176" fontId="8" fillId="0" borderId="43" xfId="0" applyNumberFormat="1" applyFont="1" applyFill="1" applyBorder="1" applyAlignment="1">
      <alignment vertical="center" wrapText="1"/>
    </xf>
    <xf numFmtId="2" fontId="8" fillId="0" borderId="35" xfId="0" applyNumberFormat="1" applyFont="1" applyFill="1" applyBorder="1" applyAlignment="1">
      <alignment horizontal="center" vertical="center"/>
    </xf>
    <xf numFmtId="175" fontId="8" fillId="0" borderId="16" xfId="0" applyNumberFormat="1" applyFont="1" applyFill="1" applyBorder="1" applyAlignment="1">
      <alignment vertical="center"/>
    </xf>
    <xf numFmtId="173" fontId="8" fillId="0" borderId="16" xfId="5" applyNumberFormat="1" applyFont="1" applyFill="1" applyBorder="1" applyAlignment="1">
      <alignment vertical="center"/>
    </xf>
    <xf numFmtId="173" fontId="7" fillId="0" borderId="16" xfId="5" applyNumberFormat="1" applyFont="1" applyFill="1" applyBorder="1" applyAlignment="1">
      <alignment vertical="center"/>
    </xf>
    <xf numFmtId="49" fontId="0" fillId="0" borderId="0" xfId="1" applyNumberFormat="1" applyFont="1" applyFill="1" applyBorder="1" applyAlignment="1">
      <alignment horizontal="center" vertical="center"/>
    </xf>
    <xf numFmtId="167" fontId="29" fillId="0" borderId="0" xfId="1" applyFont="1" applyFill="1" applyBorder="1" applyAlignment="1">
      <alignment horizontal="center" vertical="center"/>
    </xf>
    <xf numFmtId="200" fontId="0" fillId="0" borderId="0" xfId="0" applyNumberFormat="1" applyBorder="1" applyAlignment="1">
      <alignment horizontal="center"/>
    </xf>
    <xf numFmtId="167" fontId="2" fillId="0" borderId="80" xfId="1" applyFont="1" applyFill="1" applyBorder="1" applyAlignment="1">
      <alignment vertical="center"/>
    </xf>
    <xf numFmtId="173" fontId="8" fillId="0" borderId="7" xfId="1" applyNumberFormat="1" applyFont="1" applyFill="1" applyBorder="1" applyAlignment="1">
      <alignment horizontal="center" vertical="center"/>
    </xf>
    <xf numFmtId="173" fontId="0" fillId="0" borderId="7" xfId="1" applyNumberFormat="1" applyFont="1" applyBorder="1" applyAlignment="1">
      <alignment horizontal="center"/>
    </xf>
    <xf numFmtId="173" fontId="8" fillId="0" borderId="7" xfId="1" applyNumberFormat="1" applyFont="1" applyBorder="1" applyAlignment="1">
      <alignment horizontal="center"/>
    </xf>
    <xf numFmtId="173" fontId="8" fillId="0" borderId="7" xfId="1" applyNumberFormat="1" applyFont="1" applyFill="1" applyBorder="1" applyAlignment="1">
      <alignment horizontal="center"/>
    </xf>
    <xf numFmtId="173" fontId="8" fillId="4" borderId="7" xfId="1" applyNumberFormat="1" applyFont="1" applyFill="1" applyBorder="1" applyAlignment="1">
      <alignment horizontal="center" vertical="center"/>
    </xf>
    <xf numFmtId="173" fontId="8" fillId="4" borderId="7" xfId="1" applyNumberFormat="1" applyFont="1" applyFill="1" applyBorder="1" applyAlignment="1">
      <alignment horizontal="center"/>
    </xf>
    <xf numFmtId="173" fontId="7" fillId="4" borderId="7" xfId="1" applyNumberFormat="1" applyFont="1" applyFill="1" applyBorder="1" applyAlignment="1">
      <alignment horizontal="center"/>
    </xf>
    <xf numFmtId="173" fontId="20" fillId="0" borderId="7" xfId="1" applyNumberFormat="1" applyFont="1" applyBorder="1" applyAlignment="1">
      <alignment horizontal="center"/>
    </xf>
    <xf numFmtId="173" fontId="8" fillId="2" borderId="7" xfId="1" applyNumberFormat="1" applyFont="1" applyFill="1" applyBorder="1" applyAlignment="1">
      <alignment horizontal="center" vertical="center"/>
    </xf>
    <xf numFmtId="0" fontId="19" fillId="0" borderId="63" xfId="0" applyFont="1" applyFill="1" applyBorder="1" applyAlignment="1">
      <alignment vertical="center" wrapText="1"/>
    </xf>
    <xf numFmtId="0" fontId="21" fillId="0" borderId="101" xfId="0" applyFont="1" applyFill="1" applyBorder="1" applyAlignment="1">
      <alignment vertical="center" wrapText="1"/>
    </xf>
    <xf numFmtId="0" fontId="20" fillId="0" borderId="101" xfId="0" applyFont="1" applyFill="1" applyBorder="1" applyAlignment="1">
      <alignment vertical="center" wrapText="1"/>
    </xf>
    <xf numFmtId="173" fontId="0" fillId="0" borderId="31" xfId="1" applyNumberFormat="1" applyFont="1" applyBorder="1"/>
    <xf numFmtId="173" fontId="0" fillId="0" borderId="7" xfId="1" applyNumberFormat="1" applyFont="1" applyFill="1" applyBorder="1"/>
    <xf numFmtId="173" fontId="2" fillId="0" borderId="80" xfId="1" applyNumberFormat="1" applyFont="1" applyFill="1" applyBorder="1" applyAlignment="1">
      <alignment vertical="center"/>
    </xf>
    <xf numFmtId="0" fontId="8" fillId="44" borderId="111" xfId="0" applyFont="1" applyFill="1" applyBorder="1" applyAlignment="1">
      <alignment horizontal="center" vertical="center"/>
    </xf>
    <xf numFmtId="0" fontId="8" fillId="44" borderId="112" xfId="0" applyFont="1" applyFill="1" applyBorder="1" applyAlignment="1">
      <alignment horizontal="center" vertical="center"/>
    </xf>
    <xf numFmtId="201" fontId="8" fillId="0" borderId="109" xfId="0" applyNumberFormat="1" applyFont="1" applyBorder="1" applyAlignment="1">
      <alignment horizontal="center" vertical="center"/>
    </xf>
    <xf numFmtId="201" fontId="8" fillId="0" borderId="110" xfId="0" applyNumberFormat="1" applyFont="1" applyBorder="1" applyAlignment="1">
      <alignment horizontal="center" vertical="center"/>
    </xf>
    <xf numFmtId="0" fontId="8" fillId="0" borderId="110" xfId="0" applyFont="1" applyBorder="1" applyAlignment="1">
      <alignment horizontal="left" vertical="center"/>
    </xf>
    <xf numFmtId="203" fontId="8" fillId="0" borderId="110" xfId="0" applyNumberFormat="1" applyFont="1" applyBorder="1" applyAlignment="1">
      <alignment horizontal="center" vertical="center"/>
    </xf>
    <xf numFmtId="0" fontId="8" fillId="0" borderId="110" xfId="0" applyFont="1" applyBorder="1" applyAlignment="1">
      <alignment horizontal="center" vertical="center"/>
    </xf>
    <xf numFmtId="201" fontId="8" fillId="0" borderId="106" xfId="0" applyNumberFormat="1" applyFont="1" applyBorder="1" applyAlignment="1">
      <alignment horizontal="center" vertical="center"/>
    </xf>
    <xf numFmtId="201" fontId="8" fillId="0" borderId="105" xfId="0" applyNumberFormat="1" applyFont="1" applyBorder="1" applyAlignment="1">
      <alignment horizontal="center" vertical="center"/>
    </xf>
    <xf numFmtId="0" fontId="8" fillId="0" borderId="105" xfId="0" applyFont="1" applyBorder="1" applyAlignment="1">
      <alignment horizontal="left" vertical="center"/>
    </xf>
    <xf numFmtId="203" fontId="8" fillId="0" borderId="105" xfId="0" applyNumberFormat="1" applyFont="1" applyBorder="1" applyAlignment="1">
      <alignment horizontal="center" vertical="center"/>
    </xf>
    <xf numFmtId="202" fontId="8" fillId="0" borderId="105" xfId="0" applyNumberFormat="1" applyFont="1" applyBorder="1" applyAlignment="1">
      <alignment horizontal="center" vertical="center"/>
    </xf>
    <xf numFmtId="0" fontId="8" fillId="0" borderId="105" xfId="0" applyFont="1" applyBorder="1" applyAlignment="1">
      <alignment horizontal="center" vertical="center"/>
    </xf>
    <xf numFmtId="201" fontId="7" fillId="0" borderId="105" xfId="0" applyNumberFormat="1" applyFont="1" applyBorder="1" applyAlignment="1">
      <alignment horizontal="center" vertical="center"/>
    </xf>
    <xf numFmtId="201" fontId="8" fillId="0" borderId="107" xfId="0" applyNumberFormat="1" applyFont="1" applyBorder="1" applyAlignment="1">
      <alignment horizontal="center" vertical="center"/>
    </xf>
    <xf numFmtId="201" fontId="8" fillId="0" borderId="108" xfId="0" applyNumberFormat="1" applyFont="1" applyBorder="1" applyAlignment="1">
      <alignment horizontal="center" vertical="center"/>
    </xf>
    <xf numFmtId="203" fontId="8" fillId="0" borderId="108" xfId="0" applyNumberFormat="1" applyFont="1" applyBorder="1" applyAlignment="1">
      <alignment horizontal="center" vertical="center"/>
    </xf>
    <xf numFmtId="0" fontId="8" fillId="0" borderId="108" xfId="0" applyFont="1" applyBorder="1" applyAlignment="1">
      <alignment horizontal="center" vertical="center"/>
    </xf>
    <xf numFmtId="201" fontId="8" fillId="0" borderId="0" xfId="0" applyNumberFormat="1" applyFont="1" applyAlignment="1">
      <alignment horizontal="center" vertical="center"/>
    </xf>
    <xf numFmtId="2" fontId="39" fillId="0" borderId="72" xfId="0" applyNumberFormat="1" applyFont="1" applyBorder="1" applyAlignment="1">
      <alignment horizontal="center"/>
    </xf>
    <xf numFmtId="0" fontId="39" fillId="0" borderId="72" xfId="0" applyFont="1" applyBorder="1" applyAlignment="1">
      <alignment horizontal="center"/>
    </xf>
    <xf numFmtId="0" fontId="67" fillId="0" borderId="85" xfId="0" applyFont="1" applyFill="1" applyBorder="1" applyAlignment="1">
      <alignment horizontal="center" vertical="center"/>
    </xf>
    <xf numFmtId="0" fontId="8" fillId="0" borderId="72" xfId="0" applyFont="1" applyBorder="1" applyAlignment="1">
      <alignment horizontal="center" vertical="center"/>
    </xf>
    <xf numFmtId="0" fontId="8" fillId="0" borderId="0" xfId="0" applyNumberFormat="1" applyFont="1" applyAlignment="1">
      <alignment horizontal="center" vertical="center"/>
    </xf>
    <xf numFmtId="0" fontId="0" fillId="0" borderId="0" xfId="0" applyFill="1" applyBorder="1" applyAlignment="1">
      <alignment horizontal="left" vertical="center"/>
    </xf>
    <xf numFmtId="0" fontId="0" fillId="0" borderId="0" xfId="0" applyFill="1" applyBorder="1" applyAlignment="1">
      <alignment horizontal="center" vertical="center"/>
    </xf>
    <xf numFmtId="0" fontId="0" fillId="0" borderId="0" xfId="0" applyFill="1" applyBorder="1" applyAlignment="1">
      <alignment wrapText="1"/>
    </xf>
    <xf numFmtId="0" fontId="0" fillId="0" borderId="0" xfId="0" applyFill="1" applyBorder="1" applyAlignment="1">
      <alignment horizontal="center" wrapText="1"/>
    </xf>
    <xf numFmtId="0" fontId="8" fillId="0" borderId="0" xfId="0" applyFont="1" applyFill="1" applyBorder="1" applyAlignment="1">
      <alignment horizontal="center" vertical="center"/>
    </xf>
    <xf numFmtId="0" fontId="0" fillId="0" borderId="0" xfId="0" applyFill="1" applyBorder="1" applyAlignment="1">
      <alignment horizontal="center" vertical="center" wrapText="1"/>
    </xf>
    <xf numFmtId="0" fontId="4" fillId="0" borderId="0" xfId="0" applyFont="1" applyFill="1" applyBorder="1" applyAlignment="1">
      <alignment horizontal="center" vertical="center"/>
    </xf>
    <xf numFmtId="2" fontId="8" fillId="0" borderId="72" xfId="0" applyNumberFormat="1" applyFont="1" applyBorder="1" applyAlignment="1">
      <alignment horizontal="center" vertical="center"/>
    </xf>
    <xf numFmtId="202" fontId="8" fillId="0" borderId="72" xfId="0" applyNumberFormat="1" applyFont="1" applyBorder="1" applyAlignment="1">
      <alignment horizontal="center" vertical="center"/>
    </xf>
    <xf numFmtId="0" fontId="0" fillId="0" borderId="0" xfId="0"/>
    <xf numFmtId="0" fontId="0" fillId="0" borderId="0" xfId="0" applyAlignment="1">
      <alignment horizontal="center"/>
    </xf>
    <xf numFmtId="0" fontId="0" fillId="0" borderId="72" xfId="0" applyBorder="1"/>
    <xf numFmtId="0" fontId="0" fillId="0" borderId="72" xfId="0" applyBorder="1" applyAlignment="1">
      <alignment horizontal="center"/>
    </xf>
    <xf numFmtId="1" fontId="0" fillId="0" borderId="72" xfId="0" applyNumberFormat="1" applyBorder="1" applyAlignment="1">
      <alignment horizontal="center"/>
    </xf>
    <xf numFmtId="0" fontId="0" fillId="0" borderId="72" xfId="0" applyFill="1" applyBorder="1" applyAlignment="1">
      <alignment horizontal="center"/>
    </xf>
    <xf numFmtId="0" fontId="0" fillId="0" borderId="72" xfId="0" applyBorder="1" applyAlignment="1">
      <alignment horizontal="center" vertical="center"/>
    </xf>
    <xf numFmtId="177" fontId="0" fillId="0" borderId="0" xfId="0" applyNumberFormat="1" applyFill="1" applyBorder="1" applyAlignment="1">
      <alignment horizontal="center" vertical="center"/>
    </xf>
    <xf numFmtId="0" fontId="0" fillId="0" borderId="72" xfId="0" applyFill="1" applyBorder="1" applyAlignment="1">
      <alignment horizontal="center" vertical="center"/>
    </xf>
    <xf numFmtId="0" fontId="4" fillId="45" borderId="72" xfId="0" applyFont="1" applyFill="1" applyBorder="1" applyAlignment="1">
      <alignment horizontal="center"/>
    </xf>
    <xf numFmtId="1" fontId="0" fillId="0" borderId="72" xfId="0" applyNumberFormat="1" applyFill="1" applyBorder="1" applyAlignment="1">
      <alignment horizontal="center" vertical="center"/>
    </xf>
    <xf numFmtId="0" fontId="0" fillId="0" borderId="0" xfId="0"/>
    <xf numFmtId="0" fontId="0" fillId="0" borderId="0" xfId="0" applyFont="1" applyFill="1" applyAlignment="1">
      <alignment horizontal="center"/>
    </xf>
    <xf numFmtId="204" fontId="0" fillId="0" borderId="72" xfId="0" applyNumberFormat="1" applyFont="1" applyFill="1" applyBorder="1" applyAlignment="1">
      <alignment horizontal="center" vertical="center"/>
    </xf>
    <xf numFmtId="1" fontId="0" fillId="0" borderId="72" xfId="0" applyNumberFormat="1" applyFont="1" applyFill="1" applyBorder="1" applyAlignment="1">
      <alignment horizontal="center" vertical="center"/>
    </xf>
    <xf numFmtId="0" fontId="0" fillId="0" borderId="72" xfId="0" applyFont="1" applyFill="1" applyBorder="1" applyAlignment="1">
      <alignment horizontal="center"/>
    </xf>
    <xf numFmtId="0" fontId="0" fillId="0" borderId="0" xfId="0" applyFont="1" applyFill="1"/>
    <xf numFmtId="0" fontId="0" fillId="0" borderId="72" xfId="0" applyFont="1" applyFill="1" applyBorder="1" applyAlignment="1">
      <alignment horizontal="center" vertical="center"/>
    </xf>
    <xf numFmtId="173" fontId="2" fillId="0" borderId="0" xfId="6" applyNumberFormat="1" applyFont="1" applyFill="1" applyBorder="1" applyAlignment="1">
      <alignment horizontal="center" vertical="center" wrapText="1"/>
    </xf>
    <xf numFmtId="178" fontId="67" fillId="6" borderId="72" xfId="0" applyNumberFormat="1" applyFont="1" applyFill="1" applyBorder="1" applyAlignment="1">
      <alignment horizontal="center"/>
    </xf>
    <xf numFmtId="0" fontId="69" fillId="6" borderId="0" xfId="0" applyNumberFormat="1" applyFont="1" applyFill="1" applyBorder="1" applyAlignment="1">
      <alignment horizontal="center"/>
    </xf>
    <xf numFmtId="0" fontId="69" fillId="6" borderId="0" xfId="0" applyFont="1" applyFill="1" applyBorder="1"/>
    <xf numFmtId="0" fontId="69" fillId="6" borderId="0" xfId="0" applyFont="1" applyFill="1" applyBorder="1" applyAlignment="1">
      <alignment horizontal="center" vertical="center"/>
    </xf>
    <xf numFmtId="178" fontId="67" fillId="6" borderId="0" xfId="0" applyNumberFormat="1" applyFont="1" applyFill="1" applyBorder="1" applyAlignment="1">
      <alignment horizontal="right"/>
    </xf>
    <xf numFmtId="173" fontId="67" fillId="6" borderId="0" xfId="5" applyNumberFormat="1" applyFont="1" applyFill="1" applyBorder="1"/>
    <xf numFmtId="192" fontId="67" fillId="6" borderId="0" xfId="0" applyNumberFormat="1" applyFont="1" applyFill="1" applyBorder="1"/>
    <xf numFmtId="176" fontId="7" fillId="4" borderId="0" xfId="0" applyNumberFormat="1" applyFont="1" applyFill="1" applyAlignment="1">
      <alignment vertical="center" wrapText="1"/>
    </xf>
    <xf numFmtId="176" fontId="67" fillId="0" borderId="72" xfId="0" applyNumberFormat="1" applyFont="1" applyFill="1" applyBorder="1" applyAlignment="1">
      <alignment vertical="center" wrapText="1"/>
    </xf>
    <xf numFmtId="2" fontId="67" fillId="0" borderId="72" xfId="0" applyNumberFormat="1" applyFont="1" applyFill="1" applyBorder="1" applyAlignment="1">
      <alignment horizontal="center" vertical="center"/>
    </xf>
    <xf numFmtId="0" fontId="67" fillId="0" borderId="72" xfId="0" applyFont="1" applyBorder="1" applyAlignment="1">
      <alignment horizontal="center" vertical="center"/>
    </xf>
    <xf numFmtId="173" fontId="67" fillId="0" borderId="72" xfId="5" applyNumberFormat="1" applyFont="1" applyFill="1" applyBorder="1" applyAlignment="1">
      <alignment vertical="center"/>
    </xf>
    <xf numFmtId="192" fontId="67" fillId="0" borderId="72" xfId="5" applyNumberFormat="1" applyFont="1" applyFill="1" applyBorder="1" applyAlignment="1">
      <alignment horizontal="center" vertical="center"/>
    </xf>
    <xf numFmtId="0" fontId="67" fillId="0" borderId="0" xfId="0" applyFont="1" applyFill="1" applyBorder="1"/>
    <xf numFmtId="0" fontId="67" fillId="6" borderId="72" xfId="0" applyFont="1" applyFill="1" applyBorder="1"/>
    <xf numFmtId="0" fontId="67" fillId="0" borderId="72" xfId="0" applyFont="1" applyBorder="1" applyAlignment="1">
      <alignment vertical="center"/>
    </xf>
    <xf numFmtId="0" fontId="67" fillId="6" borderId="72" xfId="0" applyFont="1" applyFill="1" applyBorder="1" applyAlignment="1">
      <alignment vertical="center"/>
    </xf>
    <xf numFmtId="0" fontId="67" fillId="0" borderId="0" xfId="0" applyFont="1" applyAlignment="1"/>
    <xf numFmtId="0" fontId="67" fillId="0" borderId="72" xfId="0" applyFont="1" applyBorder="1" applyAlignment="1"/>
    <xf numFmtId="0" fontId="67" fillId="0" borderId="0" xfId="0" applyFont="1" applyAlignment="1">
      <alignment horizontal="center"/>
    </xf>
    <xf numFmtId="0" fontId="67" fillId="0" borderId="0" xfId="0" applyFont="1" applyAlignment="1">
      <alignment horizontal="center" vertical="center"/>
    </xf>
    <xf numFmtId="0" fontId="69" fillId="6" borderId="72" xfId="0" applyFont="1" applyFill="1" applyBorder="1" applyAlignment="1">
      <alignment horizontal="left" vertical="center" wrapText="1"/>
    </xf>
    <xf numFmtId="0" fontId="67" fillId="0" borderId="72" xfId="0" applyFont="1" applyBorder="1" applyAlignment="1">
      <alignment horizontal="left" vertical="center" wrapText="1"/>
    </xf>
    <xf numFmtId="0" fontId="67" fillId="0" borderId="0" xfId="0" applyFont="1" applyBorder="1" applyAlignment="1">
      <alignment horizontal="center" vertical="center"/>
    </xf>
    <xf numFmtId="0" fontId="67" fillId="0" borderId="0" xfId="0" applyFont="1" applyAlignment="1">
      <alignment vertical="center"/>
    </xf>
    <xf numFmtId="0" fontId="69" fillId="2" borderId="75" xfId="0" applyFont="1" applyFill="1" applyBorder="1" applyAlignment="1">
      <alignment horizontal="center" vertical="center"/>
    </xf>
    <xf numFmtId="0" fontId="69" fillId="6" borderId="72" xfId="0" applyNumberFormat="1" applyFont="1" applyFill="1" applyBorder="1" applyAlignment="1">
      <alignment horizontal="center" vertical="center"/>
    </xf>
    <xf numFmtId="2" fontId="67" fillId="6" borderId="72" xfId="0" applyNumberFormat="1" applyFont="1" applyFill="1" applyBorder="1" applyAlignment="1">
      <alignment horizontal="center" vertical="center"/>
    </xf>
    <xf numFmtId="173" fontId="67" fillId="6" borderId="72" xfId="5" applyNumberFormat="1" applyFont="1" applyFill="1" applyBorder="1" applyAlignment="1">
      <alignment horizontal="center" vertical="center"/>
    </xf>
    <xf numFmtId="192" fontId="67" fillId="6" borderId="72" xfId="0" applyNumberFormat="1" applyFont="1" applyFill="1" applyBorder="1" applyAlignment="1">
      <alignment horizontal="center" vertical="center"/>
    </xf>
    <xf numFmtId="0" fontId="69" fillId="6" borderId="72" xfId="0" applyFont="1" applyFill="1" applyBorder="1" applyAlignment="1">
      <alignment horizontal="left" vertical="center"/>
    </xf>
    <xf numFmtId="0" fontId="67" fillId="0" borderId="0" xfId="0" applyFont="1" applyBorder="1" applyAlignment="1">
      <alignment horizontal="left" vertical="center" wrapText="1"/>
    </xf>
    <xf numFmtId="0" fontId="67" fillId="0" borderId="0" xfId="0" applyFont="1" applyAlignment="1">
      <alignment horizontal="left" vertical="center" wrapText="1"/>
    </xf>
    <xf numFmtId="0" fontId="69" fillId="2" borderId="74" xfId="0" applyFont="1" applyFill="1" applyBorder="1" applyAlignment="1">
      <alignment horizontal="left" vertical="center"/>
    </xf>
    <xf numFmtId="0" fontId="68" fillId="0" borderId="72" xfId="0" applyFont="1" applyFill="1" applyBorder="1" applyAlignment="1">
      <alignment horizontal="justify" vertical="center"/>
    </xf>
    <xf numFmtId="0" fontId="67" fillId="0" borderId="72" xfId="0" applyFont="1" applyFill="1" applyBorder="1" applyAlignment="1">
      <alignment horizontal="left" vertical="center" wrapText="1"/>
    </xf>
    <xf numFmtId="0" fontId="67" fillId="0" borderId="72" xfId="0" applyFont="1" applyBorder="1" applyAlignment="1">
      <alignment horizontal="left" vertical="center"/>
    </xf>
    <xf numFmtId="167" fontId="67" fillId="6" borderId="72" xfId="1" applyFont="1" applyFill="1" applyBorder="1" applyAlignment="1">
      <alignment horizontal="center"/>
    </xf>
    <xf numFmtId="167" fontId="67" fillId="0" borderId="72" xfId="1" applyFont="1" applyBorder="1"/>
    <xf numFmtId="167" fontId="67" fillId="6" borderId="72" xfId="1" applyFont="1" applyFill="1" applyBorder="1"/>
    <xf numFmtId="167" fontId="69" fillId="6" borderId="72" xfId="1" applyFont="1" applyFill="1" applyBorder="1"/>
    <xf numFmtId="167" fontId="67" fillId="0" borderId="72" xfId="1" applyFont="1" applyBorder="1" applyAlignment="1">
      <alignment vertical="center"/>
    </xf>
    <xf numFmtId="167" fontId="67" fillId="6" borderId="72" xfId="1" applyFont="1" applyFill="1" applyBorder="1" applyAlignment="1">
      <alignment vertical="center"/>
    </xf>
    <xf numFmtId="167" fontId="67" fillId="0" borderId="0" xfId="1" applyFont="1"/>
    <xf numFmtId="167" fontId="67" fillId="0" borderId="72" xfId="0" applyNumberFormat="1" applyFont="1" applyBorder="1" applyAlignment="1">
      <alignment horizontal="center" vertical="center"/>
    </xf>
    <xf numFmtId="0" fontId="8" fillId="0" borderId="117" xfId="0" applyFont="1" applyBorder="1"/>
    <xf numFmtId="0" fontId="8" fillId="0" borderId="118" xfId="0" applyFont="1" applyBorder="1"/>
    <xf numFmtId="0" fontId="7" fillId="0" borderId="15" xfId="0" applyFont="1" applyBorder="1" applyAlignment="1">
      <alignment horizontal="center" vertical="center"/>
    </xf>
    <xf numFmtId="0" fontId="7" fillId="0" borderId="23" xfId="0" applyFont="1" applyBorder="1" applyAlignment="1">
      <alignment horizontal="center" vertical="center"/>
    </xf>
    <xf numFmtId="0" fontId="8" fillId="0" borderId="67" xfId="0" applyFont="1" applyBorder="1"/>
    <xf numFmtId="0" fontId="8" fillId="0" borderId="119" xfId="0" applyFont="1" applyBorder="1"/>
    <xf numFmtId="0" fontId="7" fillId="0" borderId="24" xfId="0" applyFont="1" applyBorder="1" applyAlignment="1">
      <alignment horizontal="center" vertical="center"/>
    </xf>
    <xf numFmtId="0" fontId="8" fillId="0" borderId="68" xfId="0" applyFont="1" applyBorder="1"/>
    <xf numFmtId="0" fontId="8" fillId="0" borderId="120" xfId="0" applyFont="1" applyBorder="1"/>
    <xf numFmtId="0" fontId="7" fillId="0" borderId="24" xfId="0" applyNumberFormat="1" applyFont="1" applyBorder="1" applyAlignment="1">
      <alignment horizontal="center" vertical="center"/>
    </xf>
    <xf numFmtId="0" fontId="8" fillId="0" borderId="68" xfId="0" applyNumberFormat="1" applyFont="1" applyBorder="1"/>
    <xf numFmtId="0" fontId="8" fillId="0" borderId="120" xfId="0" applyNumberFormat="1" applyFont="1" applyBorder="1"/>
    <xf numFmtId="0" fontId="8" fillId="0" borderId="35" xfId="0" applyFont="1" applyBorder="1"/>
    <xf numFmtId="0" fontId="8" fillId="0" borderId="121" xfId="0" applyFont="1" applyBorder="1"/>
    <xf numFmtId="0" fontId="8" fillId="0" borderId="39" xfId="0" applyFont="1" applyBorder="1"/>
    <xf numFmtId="0" fontId="8" fillId="0" borderId="66" xfId="0" applyFont="1" applyBorder="1"/>
    <xf numFmtId="0" fontId="8" fillId="0" borderId="53" xfId="0" applyFont="1" applyBorder="1"/>
    <xf numFmtId="0" fontId="8" fillId="0" borderId="123" xfId="0" applyFont="1" applyBorder="1"/>
    <xf numFmtId="0" fontId="8" fillId="0" borderId="50" xfId="0" applyFont="1" applyBorder="1" applyAlignment="1">
      <alignment horizontal="center" vertical="center"/>
    </xf>
    <xf numFmtId="0" fontId="8" fillId="0" borderId="122" xfId="0" applyFont="1" applyBorder="1" applyAlignment="1">
      <alignment horizontal="center" vertical="center"/>
    </xf>
    <xf numFmtId="0" fontId="8" fillId="0" borderId="121" xfId="0" applyFont="1" applyBorder="1" applyAlignment="1">
      <alignment horizontal="center" vertical="center"/>
    </xf>
    <xf numFmtId="0" fontId="8" fillId="0" borderId="66" xfId="0" applyFont="1" applyBorder="1" applyAlignment="1">
      <alignment horizontal="center" vertical="center"/>
    </xf>
    <xf numFmtId="0" fontId="8" fillId="0" borderId="43" xfId="0" applyFont="1" applyBorder="1"/>
    <xf numFmtId="167" fontId="8" fillId="0" borderId="16" xfId="1" applyFont="1" applyBorder="1"/>
    <xf numFmtId="185" fontId="8" fillId="0" borderId="16" xfId="1" applyNumberFormat="1" applyFont="1" applyBorder="1"/>
    <xf numFmtId="0" fontId="8" fillId="3" borderId="0" xfId="12" applyNumberFormat="1" applyFont="1" applyFill="1" applyAlignment="1">
      <alignment horizontal="center" vertical="center"/>
    </xf>
    <xf numFmtId="0" fontId="8" fillId="3" borderId="0" xfId="12" applyNumberFormat="1" applyFont="1" applyFill="1" applyAlignment="1">
      <alignment vertical="center"/>
    </xf>
    <xf numFmtId="0" fontId="7" fillId="3" borderId="0" xfId="12" applyNumberFormat="1" applyFont="1" applyFill="1" applyAlignment="1">
      <alignment horizontal="center" vertical="center"/>
    </xf>
    <xf numFmtId="173" fontId="8" fillId="3" borderId="0" xfId="12" applyNumberFormat="1" applyFont="1" applyFill="1" applyAlignment="1">
      <alignment horizontal="center" vertical="center"/>
    </xf>
    <xf numFmtId="0" fontId="8" fillId="3" borderId="34" xfId="12" applyNumberFormat="1" applyFont="1" applyFill="1" applyBorder="1" applyAlignment="1">
      <alignment vertical="center" wrapText="1"/>
    </xf>
    <xf numFmtId="0" fontId="8" fillId="3" borderId="35" xfId="12" applyNumberFormat="1" applyFont="1" applyFill="1" applyBorder="1" applyAlignment="1">
      <alignment horizontal="center" vertical="center"/>
    </xf>
    <xf numFmtId="1" fontId="8" fillId="3" borderId="35" xfId="12" applyNumberFormat="1" applyFont="1" applyFill="1" applyBorder="1" applyAlignment="1">
      <alignment horizontal="center" vertical="center"/>
    </xf>
    <xf numFmtId="173" fontId="8" fillId="3" borderId="35" xfId="12" applyNumberFormat="1" applyFont="1" applyFill="1" applyBorder="1" applyAlignment="1">
      <alignment vertical="center"/>
    </xf>
    <xf numFmtId="173" fontId="8" fillId="3" borderId="36" xfId="13" applyNumberFormat="1" applyFont="1" applyFill="1" applyBorder="1" applyAlignment="1">
      <alignment horizontal="center" vertical="center"/>
    </xf>
    <xf numFmtId="0" fontId="20" fillId="3" borderId="22" xfId="12" applyNumberFormat="1" applyFont="1" applyFill="1" applyBorder="1" applyAlignment="1">
      <alignment vertical="center" wrapText="1"/>
    </xf>
    <xf numFmtId="0" fontId="8" fillId="3" borderId="37" xfId="12" applyNumberFormat="1" applyFont="1" applyFill="1" applyBorder="1" applyAlignment="1">
      <alignment horizontal="center" vertical="center"/>
    </xf>
    <xf numFmtId="173" fontId="8" fillId="3" borderId="35" xfId="13" applyNumberFormat="1" applyFont="1" applyFill="1" applyBorder="1" applyAlignment="1">
      <alignment horizontal="center" vertical="center"/>
    </xf>
    <xf numFmtId="0" fontId="8" fillId="3" borderId="22" xfId="12" applyNumberFormat="1" applyFont="1" applyFill="1" applyBorder="1" applyAlignment="1">
      <alignment vertical="center" wrapText="1"/>
    </xf>
    <xf numFmtId="0" fontId="8" fillId="3" borderId="38" xfId="12" applyNumberFormat="1" applyFont="1" applyFill="1" applyBorder="1" applyAlignment="1">
      <alignment vertical="center"/>
    </xf>
    <xf numFmtId="0" fontId="8" fillId="3" borderId="37" xfId="12" applyNumberFormat="1" applyFont="1" applyFill="1" applyBorder="1" applyAlignment="1">
      <alignment vertical="center"/>
    </xf>
    <xf numFmtId="173" fontId="8" fillId="3" borderId="37" xfId="12" applyNumberFormat="1" applyFont="1" applyFill="1" applyBorder="1" applyAlignment="1">
      <alignment vertical="center"/>
    </xf>
    <xf numFmtId="0" fontId="8" fillId="3" borderId="40" xfId="12" applyNumberFormat="1" applyFont="1" applyFill="1" applyBorder="1" applyAlignment="1">
      <alignment vertical="center"/>
    </xf>
    <xf numFmtId="0" fontId="8" fillId="3" borderId="41" xfId="12" applyNumberFormat="1" applyFont="1" applyFill="1" applyBorder="1" applyAlignment="1">
      <alignment horizontal="center" vertical="center"/>
    </xf>
    <xf numFmtId="0" fontId="8" fillId="3" borderId="41" xfId="12" applyNumberFormat="1" applyFont="1" applyFill="1" applyBorder="1" applyAlignment="1">
      <alignment vertical="center"/>
    </xf>
    <xf numFmtId="173" fontId="8" fillId="3" borderId="41" xfId="12" applyNumberFormat="1" applyFont="1" applyFill="1" applyBorder="1" applyAlignment="1">
      <alignment vertical="center"/>
    </xf>
    <xf numFmtId="173" fontId="8" fillId="3" borderId="16" xfId="12" applyNumberFormat="1" applyFont="1" applyFill="1" applyBorder="1" applyAlignment="1">
      <alignment horizontal="center" vertical="center"/>
    </xf>
    <xf numFmtId="0" fontId="8" fillId="3" borderId="13" xfId="12" applyNumberFormat="1" applyFont="1" applyFill="1" applyBorder="1" applyAlignment="1">
      <alignment vertical="center"/>
    </xf>
    <xf numFmtId="0" fontId="8" fillId="3" borderId="13" xfId="12" applyNumberFormat="1" applyFont="1" applyFill="1" applyBorder="1" applyAlignment="1">
      <alignment horizontal="center" vertical="center"/>
    </xf>
    <xf numFmtId="173" fontId="8" fillId="3" borderId="13" xfId="12" applyNumberFormat="1" applyFont="1" applyFill="1" applyBorder="1" applyAlignment="1">
      <alignment vertical="center"/>
    </xf>
    <xf numFmtId="173" fontId="8" fillId="3" borderId="13" xfId="12" applyNumberFormat="1" applyFont="1" applyFill="1" applyBorder="1" applyAlignment="1">
      <alignment horizontal="center" vertical="center"/>
    </xf>
    <xf numFmtId="173" fontId="8" fillId="3" borderId="0" xfId="12" applyNumberFormat="1" applyFont="1" applyFill="1" applyBorder="1" applyAlignment="1">
      <alignment horizontal="center" vertical="center"/>
    </xf>
    <xf numFmtId="0" fontId="8" fillId="3" borderId="43" xfId="12" applyNumberFormat="1" applyFont="1" applyFill="1" applyBorder="1" applyAlignment="1">
      <alignment vertical="center" wrapText="1"/>
    </xf>
    <xf numFmtId="0" fontId="8" fillId="3" borderId="38" xfId="12" applyNumberFormat="1" applyFont="1" applyFill="1" applyBorder="1" applyAlignment="1">
      <alignment vertical="center" wrapText="1"/>
    </xf>
    <xf numFmtId="0" fontId="8" fillId="3" borderId="44" xfId="12" applyNumberFormat="1" applyFont="1" applyFill="1" applyBorder="1" applyAlignment="1">
      <alignment horizontal="center" vertical="center"/>
    </xf>
    <xf numFmtId="173" fontId="8" fillId="3" borderId="45" xfId="12" applyNumberFormat="1" applyFont="1" applyFill="1" applyBorder="1" applyAlignment="1">
      <alignment horizontal="center" vertical="center"/>
    </xf>
    <xf numFmtId="173" fontId="8" fillId="3" borderId="35" xfId="13" applyNumberFormat="1" applyFont="1" applyFill="1" applyBorder="1" applyAlignment="1">
      <alignment vertical="center"/>
    </xf>
    <xf numFmtId="173" fontId="8" fillId="3" borderId="39" xfId="12" applyNumberFormat="1" applyFont="1" applyFill="1" applyBorder="1" applyAlignment="1">
      <alignment horizontal="center" vertical="center"/>
    </xf>
    <xf numFmtId="0" fontId="8" fillId="3" borderId="46" xfId="12" applyNumberFormat="1" applyFont="1" applyFill="1" applyBorder="1" applyAlignment="1">
      <alignment vertical="center"/>
    </xf>
    <xf numFmtId="173" fontId="8" fillId="3" borderId="47" xfId="12" applyNumberFormat="1" applyFont="1" applyFill="1" applyBorder="1" applyAlignment="1">
      <alignment vertical="center"/>
    </xf>
    <xf numFmtId="0" fontId="8" fillId="3" borderId="47" xfId="12" applyNumberFormat="1" applyFont="1" applyFill="1" applyBorder="1" applyAlignment="1">
      <alignment horizontal="center" vertical="center"/>
    </xf>
    <xf numFmtId="173" fontId="8" fillId="3" borderId="48" xfId="12" applyNumberFormat="1" applyFont="1" applyFill="1" applyBorder="1" applyAlignment="1">
      <alignment horizontal="center" vertical="center"/>
    </xf>
    <xf numFmtId="0" fontId="7" fillId="3" borderId="0" xfId="12" applyNumberFormat="1" applyFont="1" applyFill="1" applyAlignment="1">
      <alignment vertical="center"/>
    </xf>
    <xf numFmtId="173" fontId="8" fillId="3" borderId="16" xfId="12" applyNumberFormat="1" applyFont="1" applyFill="1" applyBorder="1" applyAlignment="1">
      <alignment vertical="center"/>
    </xf>
    <xf numFmtId="0" fontId="7" fillId="3" borderId="23" xfId="12" applyNumberFormat="1" applyFont="1" applyFill="1" applyBorder="1" applyAlignment="1">
      <alignment horizontal="center" vertical="center"/>
    </xf>
    <xf numFmtId="0" fontId="7" fillId="3" borderId="24" xfId="12" applyNumberFormat="1" applyFont="1" applyFill="1" applyBorder="1" applyAlignment="1">
      <alignment horizontal="center" vertical="center"/>
    </xf>
    <xf numFmtId="173" fontId="7" fillId="3" borderId="24" xfId="12" applyNumberFormat="1" applyFont="1" applyFill="1" applyBorder="1" applyAlignment="1">
      <alignment horizontal="center" vertical="center"/>
    </xf>
    <xf numFmtId="173" fontId="7" fillId="3" borderId="25" xfId="12" applyNumberFormat="1" applyFont="1" applyFill="1" applyBorder="1" applyAlignment="1">
      <alignment horizontal="center" vertical="center"/>
    </xf>
    <xf numFmtId="167" fontId="8" fillId="0" borderId="50" xfId="0" applyNumberFormat="1" applyFont="1" applyBorder="1" applyAlignment="1">
      <alignment horizontal="center" vertical="center"/>
    </xf>
    <xf numFmtId="2" fontId="8" fillId="3" borderId="35" xfId="12" applyNumberFormat="1" applyFont="1" applyFill="1" applyBorder="1" applyAlignment="1">
      <alignment horizontal="center" vertical="center"/>
    </xf>
    <xf numFmtId="173" fontId="8" fillId="0" borderId="35" xfId="12" applyNumberFormat="1" applyFont="1" applyFill="1" applyBorder="1" applyAlignment="1">
      <alignment vertical="center"/>
    </xf>
    <xf numFmtId="173" fontId="8" fillId="0" borderId="35" xfId="13" applyNumberFormat="1" applyFont="1" applyFill="1" applyBorder="1" applyAlignment="1">
      <alignment horizontal="center" vertical="center"/>
    </xf>
    <xf numFmtId="0" fontId="8" fillId="0" borderId="50" xfId="0" applyFont="1" applyFill="1" applyBorder="1" applyAlignment="1">
      <alignment horizontal="center" vertical="center"/>
    </xf>
    <xf numFmtId="1" fontId="8" fillId="0" borderId="35" xfId="12" applyNumberFormat="1" applyFont="1" applyBorder="1" applyAlignment="1">
      <alignment horizontal="center" vertical="center"/>
    </xf>
    <xf numFmtId="0" fontId="7" fillId="0" borderId="23" xfId="12" applyNumberFormat="1" applyFont="1" applyBorder="1" applyAlignment="1">
      <alignment horizontal="center" vertical="center"/>
    </xf>
    <xf numFmtId="0" fontId="7" fillId="0" borderId="24" xfId="12" applyNumberFormat="1" applyFont="1" applyBorder="1" applyAlignment="1">
      <alignment horizontal="center" vertical="center"/>
    </xf>
    <xf numFmtId="173" fontId="7" fillId="0" borderId="24" xfId="12" applyNumberFormat="1" applyFont="1" applyBorder="1" applyAlignment="1">
      <alignment horizontal="center" vertical="center"/>
    </xf>
    <xf numFmtId="173" fontId="7" fillId="0" borderId="25" xfId="12" applyNumberFormat="1" applyFont="1" applyBorder="1" applyAlignment="1">
      <alignment horizontal="center" vertical="center"/>
    </xf>
    <xf numFmtId="173" fontId="7" fillId="3" borderId="0" xfId="12" applyNumberFormat="1" applyFont="1" applyFill="1" applyAlignment="1">
      <alignment horizontal="center" vertical="center"/>
    </xf>
    <xf numFmtId="173" fontId="7" fillId="0" borderId="0" xfId="12" applyNumberFormat="1" applyFont="1" applyAlignment="1">
      <alignment horizontal="center" vertical="center"/>
    </xf>
    <xf numFmtId="0" fontId="7" fillId="0" borderId="0" xfId="0" applyFont="1" applyFill="1" applyAlignment="1">
      <alignment horizontal="center"/>
    </xf>
    <xf numFmtId="0" fontId="8" fillId="0" borderId="0" xfId="12" applyNumberFormat="1" applyFont="1" applyFill="1" applyAlignment="1">
      <alignment horizontal="center" vertical="center"/>
    </xf>
    <xf numFmtId="0" fontId="8" fillId="0" borderId="0" xfId="12" applyNumberFormat="1" applyFont="1" applyFill="1" applyAlignment="1">
      <alignment vertical="center"/>
    </xf>
    <xf numFmtId="0" fontId="7" fillId="0" borderId="0" xfId="12" applyNumberFormat="1" applyFont="1" applyFill="1" applyAlignment="1">
      <alignment horizontal="center" vertical="center"/>
    </xf>
    <xf numFmtId="173" fontId="8" fillId="0" borderId="0" xfId="12" applyNumberFormat="1" applyFont="1" applyFill="1" applyAlignment="1">
      <alignment horizontal="center" vertical="center"/>
    </xf>
    <xf numFmtId="0" fontId="8" fillId="0" borderId="35" xfId="12" applyNumberFormat="1" applyFont="1" applyFill="1" applyBorder="1" applyAlignment="1">
      <alignment horizontal="center" vertical="center"/>
    </xf>
    <xf numFmtId="1" fontId="8" fillId="0" borderId="35" xfId="12" applyNumberFormat="1" applyFont="1" applyFill="1" applyBorder="1" applyAlignment="1">
      <alignment horizontal="center" vertical="center"/>
    </xf>
    <xf numFmtId="2" fontId="8" fillId="0" borderId="35" xfId="12" applyNumberFormat="1" applyFont="1" applyFill="1" applyBorder="1" applyAlignment="1">
      <alignment horizontal="center" vertical="center"/>
    </xf>
    <xf numFmtId="0" fontId="8" fillId="0" borderId="37" xfId="12" applyNumberFormat="1" applyFont="1" applyFill="1" applyBorder="1" applyAlignment="1">
      <alignment horizontal="center" vertical="center"/>
    </xf>
    <xf numFmtId="0" fontId="8" fillId="0" borderId="38" xfId="12" applyNumberFormat="1" applyFont="1" applyFill="1" applyBorder="1" applyAlignment="1">
      <alignment vertical="center"/>
    </xf>
    <xf numFmtId="0" fontId="8" fillId="0" borderId="37" xfId="12" applyNumberFormat="1" applyFont="1" applyFill="1" applyBorder="1" applyAlignment="1">
      <alignment vertical="center"/>
    </xf>
    <xf numFmtId="173" fontId="8" fillId="0" borderId="37" xfId="12" applyNumberFormat="1" applyFont="1" applyFill="1" applyBorder="1" applyAlignment="1">
      <alignment vertical="center"/>
    </xf>
    <xf numFmtId="0" fontId="8" fillId="0" borderId="40" xfId="12" applyNumberFormat="1" applyFont="1" applyFill="1" applyBorder="1" applyAlignment="1">
      <alignment vertical="center"/>
    </xf>
    <xf numFmtId="0" fontId="8" fillId="0" borderId="41" xfId="12" applyNumberFormat="1" applyFont="1" applyFill="1" applyBorder="1" applyAlignment="1">
      <alignment horizontal="center" vertical="center"/>
    </xf>
    <xf numFmtId="0" fontId="8" fillId="0" borderId="41" xfId="12" applyNumberFormat="1" applyFont="1" applyFill="1" applyBorder="1" applyAlignment="1">
      <alignment vertical="center"/>
    </xf>
    <xf numFmtId="173" fontId="8" fillId="0" borderId="41" xfId="12" applyNumberFormat="1" applyFont="1" applyFill="1" applyBorder="1" applyAlignment="1">
      <alignment vertical="center"/>
    </xf>
    <xf numFmtId="173" fontId="8" fillId="0" borderId="16" xfId="12" applyNumberFormat="1" applyFont="1" applyFill="1" applyBorder="1" applyAlignment="1">
      <alignment horizontal="center" vertical="center"/>
    </xf>
    <xf numFmtId="0" fontId="8" fillId="0" borderId="13" xfId="12" applyNumberFormat="1" applyFont="1" applyFill="1" applyBorder="1" applyAlignment="1">
      <alignment vertical="center"/>
    </xf>
    <xf numFmtId="0" fontId="8" fillId="0" borderId="13" xfId="12" applyNumberFormat="1" applyFont="1" applyFill="1" applyBorder="1" applyAlignment="1">
      <alignment horizontal="center" vertical="center"/>
    </xf>
    <xf numFmtId="173" fontId="8" fillId="0" borderId="13" xfId="12" applyNumberFormat="1" applyFont="1" applyFill="1" applyBorder="1" applyAlignment="1">
      <alignment vertical="center"/>
    </xf>
    <xf numFmtId="173" fontId="8" fillId="0" borderId="13" xfId="12" applyNumberFormat="1" applyFont="1" applyFill="1" applyBorder="1" applyAlignment="1">
      <alignment horizontal="center" vertical="center"/>
    </xf>
    <xf numFmtId="173" fontId="8" fillId="0" borderId="0" xfId="12" applyNumberFormat="1" applyFont="1" applyFill="1" applyBorder="1" applyAlignment="1">
      <alignment horizontal="center" vertical="center"/>
    </xf>
    <xf numFmtId="0" fontId="8" fillId="0" borderId="43" xfId="12" applyNumberFormat="1" applyFont="1" applyFill="1" applyBorder="1" applyAlignment="1">
      <alignment vertical="center" wrapText="1"/>
    </xf>
    <xf numFmtId="0" fontId="8" fillId="0" borderId="38" xfId="12" applyNumberFormat="1" applyFont="1" applyFill="1" applyBorder="1" applyAlignment="1">
      <alignment vertical="center" wrapText="1"/>
    </xf>
    <xf numFmtId="0" fontId="8" fillId="0" borderId="44" xfId="12" applyNumberFormat="1" applyFont="1" applyFill="1" applyBorder="1" applyAlignment="1">
      <alignment horizontal="center" vertical="center"/>
    </xf>
    <xf numFmtId="173" fontId="8" fillId="0" borderId="45" xfId="12" applyNumberFormat="1" applyFont="1" applyFill="1" applyBorder="1" applyAlignment="1">
      <alignment horizontal="center" vertical="center"/>
    </xf>
    <xf numFmtId="173" fontId="8" fillId="0" borderId="35" xfId="13" applyNumberFormat="1" applyFont="1" applyFill="1" applyBorder="1" applyAlignment="1">
      <alignment vertical="center"/>
    </xf>
    <xf numFmtId="173" fontId="8" fillId="0" borderId="39" xfId="12" applyNumberFormat="1" applyFont="1" applyFill="1" applyBorder="1" applyAlignment="1">
      <alignment horizontal="center" vertical="center"/>
    </xf>
    <xf numFmtId="0" fontId="8" fillId="0" borderId="46" xfId="12" applyNumberFormat="1" applyFont="1" applyFill="1" applyBorder="1" applyAlignment="1">
      <alignment vertical="center"/>
    </xf>
    <xf numFmtId="173" fontId="8" fillId="0" borderId="47" xfId="12" applyNumberFormat="1" applyFont="1" applyFill="1" applyBorder="1" applyAlignment="1">
      <alignment vertical="center"/>
    </xf>
    <xf numFmtId="0" fontId="8" fillId="0" borderId="47" xfId="12" applyNumberFormat="1" applyFont="1" applyFill="1" applyBorder="1" applyAlignment="1">
      <alignment horizontal="center" vertical="center"/>
    </xf>
    <xf numFmtId="173" fontId="8" fillId="0" borderId="48" xfId="12" applyNumberFormat="1" applyFont="1" applyFill="1" applyBorder="1" applyAlignment="1">
      <alignment horizontal="center" vertical="center"/>
    </xf>
    <xf numFmtId="0" fontId="7" fillId="0" borderId="0" xfId="12" applyNumberFormat="1" applyFont="1" applyFill="1" applyAlignment="1">
      <alignment vertical="center"/>
    </xf>
    <xf numFmtId="173" fontId="8" fillId="0" borderId="16" xfId="12" applyNumberFormat="1" applyFont="1" applyFill="1" applyBorder="1" applyAlignment="1">
      <alignment vertical="center"/>
    </xf>
    <xf numFmtId="0" fontId="2" fillId="3" borderId="53" xfId="6" applyFont="1" applyFill="1" applyBorder="1" applyAlignment="1">
      <alignment wrapText="1"/>
    </xf>
    <xf numFmtId="0" fontId="0" fillId="0" borderId="70" xfId="0" applyFont="1" applyFill="1" applyBorder="1"/>
    <xf numFmtId="0" fontId="0" fillId="0" borderId="70" xfId="0" applyBorder="1" applyAlignment="1">
      <alignment horizontal="center"/>
    </xf>
    <xf numFmtId="167" fontId="0" fillId="0" borderId="70" xfId="1" applyFont="1" applyFill="1" applyBorder="1"/>
    <xf numFmtId="0" fontId="0" fillId="0" borderId="70" xfId="0" applyFont="1" applyBorder="1"/>
    <xf numFmtId="177" fontId="8" fillId="0" borderId="37" xfId="12" applyNumberFormat="1" applyFont="1" applyBorder="1" applyAlignment="1">
      <alignment horizontal="center" vertical="center"/>
    </xf>
    <xf numFmtId="1" fontId="8" fillId="0" borderId="37" xfId="12" applyNumberFormat="1" applyFont="1" applyBorder="1" applyAlignment="1">
      <alignment horizontal="center" vertical="center"/>
    </xf>
    <xf numFmtId="0" fontId="8" fillId="0" borderId="53" xfId="12" applyNumberFormat="1" applyFont="1" applyFill="1" applyBorder="1" applyAlignment="1">
      <alignment vertical="center" wrapText="1"/>
    </xf>
    <xf numFmtId="0" fontId="2" fillId="0" borderId="67" xfId="6" applyFill="1" applyBorder="1"/>
    <xf numFmtId="49" fontId="8" fillId="0" borderId="43" xfId="0" applyNumberFormat="1" applyFont="1" applyBorder="1" applyAlignment="1">
      <alignment vertical="center"/>
    </xf>
    <xf numFmtId="173" fontId="8" fillId="0" borderId="35" xfId="56" applyNumberFormat="1" applyFont="1" applyBorder="1" applyAlignment="1">
      <alignment vertical="center"/>
    </xf>
    <xf numFmtId="173" fontId="10" fillId="0" borderId="35" xfId="56" applyNumberFormat="1" applyFont="1" applyBorder="1" applyAlignment="1">
      <alignment vertical="center"/>
    </xf>
    <xf numFmtId="0" fontId="2" fillId="3" borderId="0" xfId="6" applyFill="1"/>
    <xf numFmtId="175" fontId="2" fillId="3" borderId="0" xfId="6" applyNumberFormat="1" applyFill="1"/>
    <xf numFmtId="0" fontId="8" fillId="3" borderId="0" xfId="6" applyFont="1" applyFill="1" applyAlignment="1">
      <alignment horizontal="center" vertical="center"/>
    </xf>
    <xf numFmtId="173" fontId="7" fillId="3" borderId="0" xfId="56" applyNumberFormat="1" applyFont="1" applyFill="1" applyAlignment="1">
      <alignment horizontal="center" vertical="center"/>
    </xf>
    <xf numFmtId="173" fontId="8" fillId="3" borderId="0" xfId="56" applyNumberFormat="1" applyFont="1" applyFill="1" applyAlignment="1">
      <alignment vertical="center"/>
    </xf>
    <xf numFmtId="0" fontId="8" fillId="3" borderId="0" xfId="6" applyFont="1" applyFill="1" applyAlignment="1">
      <alignment vertical="center"/>
    </xf>
    <xf numFmtId="0" fontId="7" fillId="3" borderId="0" xfId="6" applyFont="1" applyFill="1" applyAlignment="1">
      <alignment vertical="center"/>
    </xf>
    <xf numFmtId="176" fontId="8" fillId="3" borderId="23" xfId="6" applyNumberFormat="1" applyFont="1" applyFill="1" applyBorder="1" applyAlignment="1">
      <alignment horizontal="center" vertical="center"/>
    </xf>
    <xf numFmtId="176" fontId="8" fillId="3" borderId="24" xfId="6" applyNumberFormat="1" applyFont="1" applyFill="1" applyBorder="1" applyAlignment="1">
      <alignment horizontal="center" vertical="center"/>
    </xf>
    <xf numFmtId="0" fontId="8" fillId="3" borderId="25" xfId="6" applyNumberFormat="1" applyFont="1" applyFill="1" applyBorder="1" applyAlignment="1">
      <alignment horizontal="center" vertical="center"/>
    </xf>
    <xf numFmtId="176" fontId="8" fillId="3" borderId="35" xfId="6" applyNumberFormat="1" applyFont="1" applyFill="1" applyBorder="1" applyAlignment="1">
      <alignment horizontal="center" vertical="center"/>
    </xf>
    <xf numFmtId="1" fontId="8" fillId="3" borderId="37" xfId="6" applyNumberFormat="1" applyFont="1" applyFill="1" applyBorder="1" applyAlignment="1">
      <alignment horizontal="center" vertical="center"/>
    </xf>
    <xf numFmtId="173" fontId="8" fillId="3" borderId="37" xfId="57" applyNumberFormat="1" applyFont="1" applyFill="1" applyBorder="1" applyAlignment="1">
      <alignment vertical="center"/>
    </xf>
    <xf numFmtId="0" fontId="8" fillId="3" borderId="37" xfId="6" applyFont="1" applyFill="1" applyBorder="1" applyAlignment="1">
      <alignment horizontal="center" vertical="center"/>
    </xf>
    <xf numFmtId="173" fontId="8" fillId="3" borderId="36" xfId="57" applyNumberFormat="1" applyFont="1" applyFill="1" applyBorder="1" applyAlignment="1">
      <alignment horizontal="right" vertical="center"/>
    </xf>
    <xf numFmtId="0" fontId="8" fillId="3" borderId="38" xfId="6" applyFont="1" applyFill="1" applyBorder="1" applyAlignment="1">
      <alignment vertical="center"/>
    </xf>
    <xf numFmtId="173" fontId="8" fillId="3" borderId="35" xfId="57" applyNumberFormat="1" applyFont="1" applyFill="1" applyBorder="1" applyAlignment="1">
      <alignment horizontal="right" vertical="center"/>
    </xf>
    <xf numFmtId="173" fontId="8" fillId="3" borderId="39" xfId="56" applyNumberFormat="1" applyFont="1" applyFill="1" applyBorder="1" applyAlignment="1">
      <alignment vertical="center"/>
    </xf>
    <xf numFmtId="0" fontId="8" fillId="3" borderId="37" xfId="6" applyFont="1" applyFill="1" applyBorder="1" applyAlignment="1">
      <alignment vertical="center"/>
    </xf>
    <xf numFmtId="0" fontId="8" fillId="3" borderId="40" xfId="6" applyFont="1" applyFill="1" applyBorder="1" applyAlignment="1">
      <alignment vertical="center"/>
    </xf>
    <xf numFmtId="0" fontId="8" fillId="3" borderId="41" xfId="6" applyFont="1" applyFill="1" applyBorder="1" applyAlignment="1">
      <alignment vertical="center"/>
    </xf>
    <xf numFmtId="0" fontId="8" fillId="3" borderId="41" xfId="6" applyFont="1" applyFill="1" applyBorder="1" applyAlignment="1">
      <alignment horizontal="center" vertical="center"/>
    </xf>
    <xf numFmtId="173" fontId="8" fillId="3" borderId="42" xfId="56" applyNumberFormat="1" applyFont="1" applyFill="1" applyBorder="1" applyAlignment="1">
      <alignment vertical="center"/>
    </xf>
    <xf numFmtId="173" fontId="8" fillId="3" borderId="16" xfId="56" applyNumberFormat="1" applyFont="1" applyFill="1" applyBorder="1" applyAlignment="1">
      <alignment vertical="center"/>
    </xf>
    <xf numFmtId="0" fontId="8" fillId="3" borderId="13" xfId="6" applyFont="1" applyFill="1" applyBorder="1" applyAlignment="1">
      <alignment vertical="center"/>
    </xf>
    <xf numFmtId="0" fontId="8" fillId="3" borderId="13" xfId="6" applyFont="1" applyFill="1" applyBorder="1" applyAlignment="1">
      <alignment horizontal="center" vertical="center"/>
    </xf>
    <xf numFmtId="173" fontId="8" fillId="3" borderId="13" xfId="56" applyNumberFormat="1" applyFont="1" applyFill="1" applyBorder="1" applyAlignment="1">
      <alignment vertical="center"/>
    </xf>
    <xf numFmtId="173" fontId="8" fillId="3" borderId="0" xfId="56" applyNumberFormat="1" applyFont="1" applyFill="1" applyBorder="1" applyAlignment="1">
      <alignment vertical="center"/>
    </xf>
    <xf numFmtId="0" fontId="8" fillId="3" borderId="35" xfId="6" applyFont="1" applyFill="1" applyBorder="1" applyAlignment="1">
      <alignment horizontal="center" vertical="center"/>
    </xf>
    <xf numFmtId="175" fontId="8" fillId="3" borderId="37" xfId="56" applyNumberFormat="1" applyFont="1" applyFill="1" applyBorder="1" applyAlignment="1">
      <alignment vertical="center"/>
    </xf>
    <xf numFmtId="9" fontId="8" fillId="3" borderId="35" xfId="6" applyNumberFormat="1" applyFont="1" applyFill="1" applyBorder="1" applyAlignment="1">
      <alignment horizontal="center" vertical="center"/>
    </xf>
    <xf numFmtId="173" fontId="8" fillId="3" borderId="36" xfId="56" applyNumberFormat="1" applyFont="1" applyFill="1" applyBorder="1" applyAlignment="1">
      <alignment vertical="center"/>
    </xf>
    <xf numFmtId="175" fontId="8" fillId="3" borderId="35" xfId="6" applyNumberFormat="1" applyFont="1" applyFill="1" applyBorder="1" applyAlignment="1">
      <alignment horizontal="right" vertical="center"/>
    </xf>
    <xf numFmtId="0" fontId="8" fillId="3" borderId="43" xfId="6" applyFont="1" applyFill="1" applyBorder="1" applyAlignment="1">
      <alignment vertical="center"/>
    </xf>
    <xf numFmtId="0" fontId="8" fillId="3" borderId="43" xfId="6" applyFont="1" applyFill="1" applyBorder="1" applyAlignment="1">
      <alignment vertical="center" wrapText="1"/>
    </xf>
    <xf numFmtId="185" fontId="8" fillId="3" borderId="0" xfId="56" applyNumberFormat="1" applyFont="1" applyFill="1" applyAlignment="1">
      <alignment vertical="center"/>
    </xf>
    <xf numFmtId="173" fontId="8" fillId="3" borderId="37" xfId="56" applyNumberFormat="1" applyFont="1" applyFill="1" applyBorder="1" applyAlignment="1">
      <alignment vertical="center"/>
    </xf>
    <xf numFmtId="0" fontId="8" fillId="3" borderId="43" xfId="6" applyFont="1" applyFill="1" applyBorder="1" applyAlignment="1">
      <alignment horizontal="left" vertical="center"/>
    </xf>
    <xf numFmtId="173" fontId="8" fillId="3" borderId="35" xfId="56" applyNumberFormat="1" applyFont="1" applyFill="1" applyBorder="1" applyAlignment="1">
      <alignment horizontal="center" vertical="center"/>
    </xf>
    <xf numFmtId="175" fontId="8" fillId="3" borderId="36" xfId="56" applyNumberFormat="1" applyFont="1" applyFill="1" applyBorder="1" applyAlignment="1">
      <alignment horizontal="right" vertical="center"/>
    </xf>
    <xf numFmtId="173" fontId="8" fillId="3" borderId="0" xfId="56" applyNumberFormat="1" applyFont="1" applyFill="1" applyAlignment="1">
      <alignment horizontal="center" vertical="center"/>
    </xf>
    <xf numFmtId="0" fontId="8" fillId="3" borderId="35" xfId="6" applyFont="1" applyFill="1" applyBorder="1" applyAlignment="1">
      <alignment vertical="center"/>
    </xf>
    <xf numFmtId="0" fontId="8" fillId="3" borderId="44" xfId="6" applyFont="1" applyFill="1" applyBorder="1" applyAlignment="1">
      <alignment horizontal="center" vertical="center"/>
    </xf>
    <xf numFmtId="173" fontId="8" fillId="3" borderId="45" xfId="56" applyNumberFormat="1" applyFont="1" applyFill="1" applyBorder="1" applyAlignment="1">
      <alignment vertical="center"/>
    </xf>
    <xf numFmtId="173" fontId="8" fillId="3" borderId="35" xfId="56" applyNumberFormat="1" applyFont="1" applyFill="1" applyBorder="1" applyAlignment="1">
      <alignment vertical="center"/>
    </xf>
    <xf numFmtId="175" fontId="8" fillId="3" borderId="35" xfId="56" applyNumberFormat="1" applyFont="1" applyFill="1" applyBorder="1" applyAlignment="1">
      <alignment horizontal="right" vertical="center"/>
    </xf>
    <xf numFmtId="0" fontId="8" fillId="3" borderId="46" xfId="6" applyFont="1" applyFill="1" applyBorder="1" applyAlignment="1">
      <alignment vertical="center"/>
    </xf>
    <xf numFmtId="0" fontId="8" fillId="3" borderId="47" xfId="6" applyFont="1" applyFill="1" applyBorder="1" applyAlignment="1">
      <alignment vertical="center"/>
    </xf>
    <xf numFmtId="0" fontId="8" fillId="3" borderId="47" xfId="6" applyFont="1" applyFill="1" applyBorder="1" applyAlignment="1">
      <alignment horizontal="center" vertical="center"/>
    </xf>
    <xf numFmtId="173" fontId="8" fillId="3" borderId="48" xfId="56" applyNumberFormat="1" applyFont="1" applyFill="1" applyBorder="1" applyAlignment="1">
      <alignment vertical="center"/>
    </xf>
    <xf numFmtId="176" fontId="7" fillId="3" borderId="0" xfId="6" applyNumberFormat="1" applyFont="1" applyFill="1" applyAlignment="1">
      <alignment vertical="center"/>
    </xf>
    <xf numFmtId="0" fontId="46" fillId="3" borderId="0" xfId="12" applyFill="1"/>
    <xf numFmtId="49" fontId="8" fillId="0" borderId="38" xfId="0" applyNumberFormat="1" applyFont="1" applyBorder="1" applyAlignment="1">
      <alignment vertical="center"/>
    </xf>
    <xf numFmtId="173" fontId="8" fillId="0" borderId="37" xfId="56" applyNumberFormat="1" applyFont="1" applyBorder="1" applyAlignment="1">
      <alignment vertical="center"/>
    </xf>
    <xf numFmtId="49" fontId="8" fillId="0" borderId="43" xfId="0" applyNumberFormat="1" applyFont="1" applyBorder="1" applyAlignment="1">
      <alignment vertical="center" wrapText="1"/>
    </xf>
    <xf numFmtId="173" fontId="8" fillId="0" borderId="35" xfId="56" applyNumberFormat="1" applyFont="1" applyBorder="1"/>
    <xf numFmtId="173" fontId="8" fillId="0" borderId="37" xfId="56" applyNumberFormat="1" applyFont="1" applyBorder="1"/>
    <xf numFmtId="0" fontId="7" fillId="3" borderId="0" xfId="6" applyFont="1" applyFill="1" applyAlignment="1">
      <alignment horizontal="center" vertical="center"/>
    </xf>
    <xf numFmtId="173" fontId="7" fillId="3" borderId="0" xfId="56" applyNumberFormat="1" applyFont="1" applyFill="1" applyAlignment="1">
      <alignment vertical="center"/>
    </xf>
    <xf numFmtId="0" fontId="7" fillId="4" borderId="0" xfId="6" applyFont="1" applyFill="1" applyAlignment="1">
      <alignment horizontal="center" vertical="center"/>
    </xf>
    <xf numFmtId="173" fontId="7" fillId="4" borderId="0" xfId="56" applyNumberFormat="1" applyFont="1" applyFill="1" applyAlignment="1">
      <alignment horizontal="center" vertical="center"/>
    </xf>
    <xf numFmtId="176" fontId="7" fillId="3" borderId="23" xfId="6" applyNumberFormat="1" applyFont="1" applyFill="1" applyBorder="1" applyAlignment="1">
      <alignment horizontal="center" vertical="center"/>
    </xf>
    <xf numFmtId="176" fontId="7" fillId="3" borderId="24" xfId="6" applyNumberFormat="1" applyFont="1" applyFill="1" applyBorder="1" applyAlignment="1">
      <alignment horizontal="center" vertical="center"/>
    </xf>
    <xf numFmtId="0" fontId="7" fillId="3" borderId="25" xfId="6" applyNumberFormat="1" applyFont="1" applyFill="1" applyBorder="1" applyAlignment="1">
      <alignment horizontal="center" vertical="center"/>
    </xf>
    <xf numFmtId="49" fontId="0" fillId="0" borderId="70" xfId="0" applyNumberFormat="1" applyFont="1" applyBorder="1" applyAlignment="1">
      <alignment vertical="center" wrapText="1"/>
    </xf>
    <xf numFmtId="49" fontId="8" fillId="0" borderId="38" xfId="0" applyNumberFormat="1" applyFont="1" applyBorder="1" applyAlignment="1">
      <alignment vertical="center" wrapText="1"/>
    </xf>
    <xf numFmtId="0" fontId="8" fillId="0" borderId="43" xfId="0" applyFont="1" applyBorder="1" applyAlignment="1">
      <alignment wrapText="1"/>
    </xf>
    <xf numFmtId="0" fontId="2" fillId="0" borderId="70" xfId="6" applyFont="1" applyBorder="1" applyAlignment="1">
      <alignment vertical="center"/>
    </xf>
    <xf numFmtId="0" fontId="2" fillId="0" borderId="70" xfId="6" applyBorder="1" applyAlignment="1">
      <alignment horizontal="center" vertical="center"/>
    </xf>
    <xf numFmtId="167" fontId="2" fillId="0" borderId="70" xfId="1" applyFont="1" applyFill="1" applyBorder="1" applyAlignment="1">
      <alignment vertical="center"/>
    </xf>
    <xf numFmtId="0" fontId="0" fillId="0" borderId="70" xfId="6" applyFont="1" applyBorder="1" applyAlignment="1">
      <alignment horizontal="center" vertical="center"/>
    </xf>
    <xf numFmtId="0" fontId="2" fillId="0" borderId="70" xfId="0" applyFont="1" applyFill="1" applyBorder="1" applyAlignment="1">
      <alignment vertical="center"/>
    </xf>
    <xf numFmtId="167" fontId="0" fillId="0" borderId="70" xfId="1" applyFont="1" applyBorder="1" applyAlignment="1">
      <alignment vertical="center"/>
    </xf>
    <xf numFmtId="0" fontId="2" fillId="0" borderId="70" xfId="6" applyFont="1" applyBorder="1" applyAlignment="1">
      <alignment vertical="center" wrapText="1"/>
    </xf>
    <xf numFmtId="0" fontId="45" fillId="4" borderId="70" xfId="6" applyFont="1" applyFill="1" applyBorder="1" applyAlignment="1">
      <alignment vertical="center"/>
    </xf>
    <xf numFmtId="0" fontId="45" fillId="4" borderId="70" xfId="6" applyFont="1" applyFill="1" applyBorder="1" applyAlignment="1">
      <alignment horizontal="center" vertical="center"/>
    </xf>
    <xf numFmtId="0" fontId="2" fillId="0" borderId="70" xfId="6" applyFont="1" applyFill="1" applyBorder="1" applyAlignment="1">
      <alignment vertical="center"/>
    </xf>
    <xf numFmtId="0" fontId="0" fillId="0" borderId="70" xfId="6" applyFont="1" applyFill="1" applyBorder="1" applyAlignment="1">
      <alignment horizontal="center" vertical="center"/>
    </xf>
    <xf numFmtId="0" fontId="0" fillId="0" borderId="70" xfId="6" applyFont="1" applyBorder="1" applyAlignment="1">
      <alignment vertical="center"/>
    </xf>
    <xf numFmtId="0" fontId="2" fillId="0" borderId="70" xfId="0" applyFont="1" applyBorder="1" applyAlignment="1">
      <alignment horizontal="left" vertical="center"/>
    </xf>
    <xf numFmtId="0" fontId="2" fillId="0" borderId="70" xfId="6" applyFill="1" applyBorder="1" applyAlignment="1">
      <alignment horizontal="center" vertical="center"/>
    </xf>
    <xf numFmtId="167" fontId="0" fillId="0" borderId="70" xfId="1" applyFont="1" applyFill="1" applyBorder="1" applyAlignment="1">
      <alignment vertical="center"/>
    </xf>
    <xf numFmtId="0" fontId="33" fillId="0" borderId="70" xfId="6" applyFont="1" applyFill="1" applyBorder="1" applyAlignment="1">
      <alignment horizontal="left" vertical="center"/>
    </xf>
    <xf numFmtId="0" fontId="2" fillId="0" borderId="70" xfId="0" applyFont="1" applyBorder="1" applyAlignment="1">
      <alignment vertical="center"/>
    </xf>
    <xf numFmtId="0" fontId="0" fillId="0" borderId="70" xfId="0" applyFont="1" applyFill="1" applyBorder="1" applyAlignment="1">
      <alignment vertical="center"/>
    </xf>
    <xf numFmtId="0" fontId="2" fillId="0" borderId="70" xfId="0" applyFont="1" applyBorder="1"/>
    <xf numFmtId="167" fontId="0" fillId="0" borderId="70" xfId="1" applyFont="1" applyBorder="1"/>
    <xf numFmtId="180" fontId="8" fillId="0" borderId="70" xfId="0" applyNumberFormat="1" applyFont="1" applyBorder="1" applyAlignment="1">
      <alignment vertical="center"/>
    </xf>
    <xf numFmtId="0" fontId="0" fillId="0" borderId="70" xfId="0" applyBorder="1" applyAlignment="1">
      <alignment horizontal="center" vertical="center"/>
    </xf>
    <xf numFmtId="0" fontId="0" fillId="0" borderId="124" xfId="0" applyFont="1" applyFill="1" applyBorder="1" applyAlignment="1">
      <alignment wrapText="1"/>
    </xf>
    <xf numFmtId="0" fontId="0" fillId="0" borderId="0" xfId="0" applyAlignment="1">
      <alignment horizontal="center" vertical="center"/>
    </xf>
    <xf numFmtId="167" fontId="0" fillId="0" borderId="0" xfId="1" applyFont="1" applyFill="1" applyBorder="1" applyAlignment="1">
      <alignment vertical="center"/>
    </xf>
    <xf numFmtId="0" fontId="8" fillId="3" borderId="53" xfId="6" applyFont="1" applyFill="1" applyBorder="1" applyAlignment="1">
      <alignment vertical="center"/>
    </xf>
    <xf numFmtId="173" fontId="8" fillId="3" borderId="50" xfId="56" applyNumberFormat="1" applyFont="1" applyFill="1" applyBorder="1" applyAlignment="1">
      <alignment vertical="center"/>
    </xf>
    <xf numFmtId="175" fontId="8" fillId="3" borderId="50" xfId="56" applyNumberFormat="1" applyFont="1" applyFill="1" applyBorder="1" applyAlignment="1">
      <alignment horizontal="right" vertical="center"/>
    </xf>
    <xf numFmtId="0" fontId="8" fillId="3" borderId="50" xfId="6" applyFont="1" applyFill="1" applyBorder="1" applyAlignment="1">
      <alignment horizontal="center" vertical="center"/>
    </xf>
    <xf numFmtId="175" fontId="8" fillId="3" borderId="79" xfId="56" applyNumberFormat="1" applyFont="1" applyFill="1" applyBorder="1" applyAlignment="1">
      <alignment horizontal="right" vertical="center"/>
    </xf>
    <xf numFmtId="0" fontId="2" fillId="0" borderId="38" xfId="6" applyFont="1" applyBorder="1"/>
    <xf numFmtId="175" fontId="8" fillId="0" borderId="79" xfId="0" applyNumberFormat="1" applyFont="1" applyBorder="1" applyAlignment="1">
      <alignment vertical="center"/>
    </xf>
    <xf numFmtId="0" fontId="2" fillId="3" borderId="53" xfId="6" applyFont="1" applyFill="1" applyBorder="1" applyAlignment="1">
      <alignment vertical="center" wrapText="1"/>
    </xf>
    <xf numFmtId="0" fontId="2" fillId="3" borderId="125" xfId="6" applyFont="1" applyFill="1" applyBorder="1" applyAlignment="1">
      <alignment vertical="center" wrapText="1"/>
    </xf>
    <xf numFmtId="0" fontId="2" fillId="3" borderId="50" xfId="6" applyFont="1" applyFill="1" applyBorder="1" applyAlignment="1">
      <alignment vertical="center" wrapText="1"/>
    </xf>
    <xf numFmtId="0" fontId="0" fillId="0" borderId="0" xfId="0" applyFont="1" applyAlignment="1">
      <alignment wrapText="1"/>
    </xf>
    <xf numFmtId="0" fontId="8" fillId="0" borderId="53" xfId="12" applyNumberFormat="1" applyFont="1" applyBorder="1" applyAlignment="1">
      <alignment vertical="center"/>
    </xf>
    <xf numFmtId="173" fontId="8" fillId="0" borderId="50" xfId="13" applyNumberFormat="1" applyFont="1" applyBorder="1" applyAlignment="1">
      <alignment vertical="center"/>
    </xf>
    <xf numFmtId="173" fontId="8" fillId="0" borderId="50" xfId="13" applyNumberFormat="1" applyFont="1" applyBorder="1" applyAlignment="1">
      <alignment horizontal="center" vertical="center"/>
    </xf>
    <xf numFmtId="0" fontId="0" fillId="0" borderId="0" xfId="0" applyFont="1" applyFill="1" applyBorder="1" applyAlignment="1">
      <alignment wrapText="1"/>
    </xf>
    <xf numFmtId="0" fontId="2" fillId="0" borderId="35" xfId="6" applyFont="1" applyBorder="1"/>
    <xf numFmtId="0" fontId="2" fillId="0" borderId="43" xfId="6" applyFont="1" applyBorder="1"/>
    <xf numFmtId="175" fontId="8" fillId="3" borderId="39" xfId="56" applyNumberFormat="1" applyFont="1" applyFill="1" applyBorder="1" applyAlignment="1">
      <alignment horizontal="right" vertical="center"/>
    </xf>
    <xf numFmtId="0" fontId="8" fillId="0" borderId="126" xfId="0" applyFont="1" applyFill="1" applyBorder="1" applyAlignment="1">
      <alignment vertical="center" wrapText="1"/>
    </xf>
    <xf numFmtId="0" fontId="8" fillId="0" borderId="68" xfId="0" applyNumberFormat="1" applyFont="1" applyBorder="1" applyAlignment="1">
      <alignment vertical="center"/>
    </xf>
    <xf numFmtId="176" fontId="8" fillId="0" borderId="50" xfId="0" applyNumberFormat="1" applyFont="1" applyBorder="1" applyAlignment="1">
      <alignment horizontal="center" vertical="center"/>
    </xf>
    <xf numFmtId="176" fontId="8" fillId="0" borderId="50" xfId="0" applyNumberFormat="1" applyFont="1" applyBorder="1" applyAlignment="1">
      <alignment vertical="center"/>
    </xf>
    <xf numFmtId="2" fontId="8" fillId="0" borderId="50" xfId="0" applyNumberFormat="1" applyFont="1" applyBorder="1" applyAlignment="1">
      <alignment horizontal="center" vertical="center"/>
    </xf>
    <xf numFmtId="164" fontId="8" fillId="0" borderId="79" xfId="5" applyNumberFormat="1" applyFont="1" applyBorder="1" applyAlignment="1">
      <alignment vertical="center"/>
    </xf>
    <xf numFmtId="176" fontId="8" fillId="0" borderId="0" xfId="0" applyNumberFormat="1" applyFont="1" applyBorder="1" applyAlignment="1">
      <alignment vertical="center"/>
    </xf>
    <xf numFmtId="176" fontId="8" fillId="0" borderId="0" xfId="0" applyNumberFormat="1" applyFont="1" applyBorder="1" applyAlignment="1">
      <alignment horizontal="center" vertical="center"/>
    </xf>
    <xf numFmtId="0" fontId="8" fillId="0" borderId="0" xfId="0" applyFont="1" applyFill="1" applyBorder="1" applyAlignment="1">
      <alignment vertical="center" wrapText="1"/>
    </xf>
    <xf numFmtId="0" fontId="8" fillId="0" borderId="0" xfId="0" applyNumberFormat="1" applyFont="1" applyBorder="1" applyAlignment="1">
      <alignment horizontal="center" vertical="center"/>
    </xf>
    <xf numFmtId="2" fontId="8" fillId="0" borderId="0" xfId="0" applyNumberFormat="1" applyFont="1" applyBorder="1" applyAlignment="1">
      <alignment horizontal="center" vertical="center"/>
    </xf>
    <xf numFmtId="175" fontId="8" fillId="0" borderId="0" xfId="0" applyNumberFormat="1" applyFont="1" applyBorder="1" applyAlignment="1">
      <alignment horizontal="center" vertical="center"/>
    </xf>
    <xf numFmtId="176" fontId="8" fillId="0" borderId="119" xfId="0" applyNumberFormat="1" applyFont="1" applyBorder="1" applyAlignment="1">
      <alignment vertical="center"/>
    </xf>
    <xf numFmtId="176" fontId="8" fillId="0" borderId="120" xfId="0" applyNumberFormat="1" applyFont="1" applyBorder="1" applyAlignment="1">
      <alignment vertical="center"/>
    </xf>
    <xf numFmtId="0" fontId="8" fillId="0" borderId="120" xfId="0" applyNumberFormat="1" applyFont="1" applyBorder="1" applyAlignment="1">
      <alignment vertical="center"/>
    </xf>
    <xf numFmtId="176" fontId="8" fillId="0" borderId="120" xfId="0" applyNumberFormat="1" applyFont="1" applyBorder="1" applyAlignment="1">
      <alignment horizontal="center" vertical="center"/>
    </xf>
    <xf numFmtId="175" fontId="8" fillId="0" borderId="127" xfId="0" applyNumberFormat="1" applyFont="1" applyBorder="1" applyAlignment="1">
      <alignment vertical="center"/>
    </xf>
    <xf numFmtId="176" fontId="7" fillId="0" borderId="24" xfId="0" applyNumberFormat="1" applyFont="1" applyBorder="1" applyAlignment="1">
      <alignment horizontal="center" vertical="center"/>
    </xf>
    <xf numFmtId="9" fontId="7" fillId="0" borderId="24" xfId="0" applyNumberFormat="1" applyFont="1" applyBorder="1" applyAlignment="1">
      <alignment horizontal="center" vertical="center"/>
    </xf>
    <xf numFmtId="167" fontId="7" fillId="0" borderId="25" xfId="5" applyFont="1" applyBorder="1" applyAlignment="1">
      <alignment horizontal="center" vertical="center"/>
    </xf>
    <xf numFmtId="176" fontId="7" fillId="0" borderId="23" xfId="0" applyNumberFormat="1" applyFont="1" applyBorder="1" applyAlignment="1">
      <alignment horizontal="center" vertical="center" wrapText="1"/>
    </xf>
    <xf numFmtId="175" fontId="8" fillId="0" borderId="0" xfId="0" applyNumberFormat="1" applyFont="1" applyAlignment="1">
      <alignment horizontal="center" vertical="center"/>
    </xf>
    <xf numFmtId="176" fontId="7" fillId="0" borderId="0" xfId="0" applyNumberFormat="1" applyFont="1" applyAlignment="1">
      <alignment horizontal="center" vertical="center"/>
    </xf>
    <xf numFmtId="176" fontId="7" fillId="0" borderId="23" xfId="0" applyNumberFormat="1" applyFont="1" applyBorder="1" applyAlignment="1">
      <alignment horizontal="center" vertical="center"/>
    </xf>
    <xf numFmtId="175" fontId="7" fillId="0" borderId="25" xfId="0" applyNumberFormat="1" applyFont="1" applyBorder="1" applyAlignment="1">
      <alignment horizontal="center" vertical="center"/>
    </xf>
    <xf numFmtId="175" fontId="7" fillId="0" borderId="0" xfId="0" applyNumberFormat="1" applyFont="1" applyAlignment="1">
      <alignment vertical="center"/>
    </xf>
    <xf numFmtId="176" fontId="8" fillId="0" borderId="116" xfId="0" applyNumberFormat="1" applyFont="1" applyBorder="1" applyAlignment="1">
      <alignment vertical="center"/>
    </xf>
    <xf numFmtId="0" fontId="8" fillId="0" borderId="116" xfId="0" applyNumberFormat="1" applyFont="1" applyBorder="1" applyAlignment="1">
      <alignment vertical="center"/>
    </xf>
    <xf numFmtId="176" fontId="8" fillId="0" borderId="116" xfId="0" applyNumberFormat="1" applyFont="1" applyBorder="1" applyAlignment="1">
      <alignment horizontal="center" vertical="center"/>
    </xf>
    <xf numFmtId="175" fontId="8" fillId="0" borderId="116" xfId="0" applyNumberFormat="1" applyFont="1" applyBorder="1" applyAlignment="1">
      <alignment vertical="center"/>
    </xf>
    <xf numFmtId="176" fontId="8" fillId="0" borderId="0" xfId="0" applyNumberFormat="1" applyFont="1" applyBorder="1" applyAlignment="1">
      <alignment vertical="center" wrapText="1"/>
    </xf>
    <xf numFmtId="9" fontId="8" fillId="0" borderId="0" xfId="0" applyNumberFormat="1" applyFont="1" applyBorder="1" applyAlignment="1">
      <alignment horizontal="center" vertical="center"/>
    </xf>
    <xf numFmtId="167" fontId="8" fillId="0" borderId="0" xfId="5" applyFont="1" applyBorder="1" applyAlignment="1">
      <alignment horizontal="center" vertical="center"/>
    </xf>
    <xf numFmtId="176" fontId="8" fillId="0" borderId="128" xfId="0" applyNumberFormat="1" applyFont="1" applyBorder="1" applyAlignment="1">
      <alignment horizontal="center" vertical="center"/>
    </xf>
    <xf numFmtId="176" fontId="8" fillId="0" borderId="37" xfId="0" applyNumberFormat="1" applyFont="1" applyFill="1" applyBorder="1" applyAlignment="1">
      <alignment horizontal="center" vertical="center"/>
    </xf>
    <xf numFmtId="176" fontId="7" fillId="0" borderId="16" xfId="0" applyNumberFormat="1" applyFont="1" applyBorder="1" applyAlignment="1">
      <alignment horizontal="center" vertical="center"/>
    </xf>
    <xf numFmtId="176" fontId="7" fillId="0" borderId="44" xfId="0" applyNumberFormat="1" applyFont="1" applyBorder="1" applyAlignment="1">
      <alignment horizontal="center" vertical="center"/>
    </xf>
    <xf numFmtId="175" fontId="7" fillId="0" borderId="0" xfId="0" applyNumberFormat="1" applyFont="1" applyBorder="1" applyAlignment="1">
      <alignment vertical="center"/>
    </xf>
    <xf numFmtId="0" fontId="7" fillId="0" borderId="0" xfId="0" applyFont="1" applyAlignment="1">
      <alignment horizontal="center" vertical="center"/>
    </xf>
    <xf numFmtId="173" fontId="7" fillId="0" borderId="25" xfId="5" applyNumberFormat="1" applyFont="1" applyBorder="1" applyAlignment="1">
      <alignment horizontal="center" vertical="center"/>
    </xf>
    <xf numFmtId="173" fontId="7" fillId="0" borderId="0" xfId="5" applyNumberFormat="1" applyFont="1" applyAlignment="1">
      <alignment vertical="center"/>
    </xf>
    <xf numFmtId="167" fontId="67" fillId="0" borderId="72" xfId="1" applyFont="1" applyBorder="1" applyAlignment="1">
      <alignment horizontal="center" vertical="center"/>
    </xf>
    <xf numFmtId="167" fontId="67" fillId="0" borderId="72" xfId="0" applyNumberFormat="1" applyFont="1" applyBorder="1" applyAlignment="1">
      <alignment horizontal="center"/>
    </xf>
    <xf numFmtId="167" fontId="67" fillId="0" borderId="72" xfId="1" applyFont="1" applyBorder="1" applyAlignment="1">
      <alignment horizontal="center"/>
    </xf>
    <xf numFmtId="178" fontId="7" fillId="4" borderId="0" xfId="12" applyNumberFormat="1" applyFont="1" applyFill="1" applyAlignment="1">
      <alignment horizontal="center" vertical="center"/>
    </xf>
    <xf numFmtId="0" fontId="69" fillId="6" borderId="75" xfId="0" applyFont="1" applyFill="1" applyBorder="1"/>
    <xf numFmtId="0" fontId="67" fillId="0" borderId="75" xfId="0" applyFont="1" applyBorder="1"/>
    <xf numFmtId="0" fontId="67" fillId="0" borderId="75" xfId="0" applyFont="1" applyBorder="1" applyAlignment="1">
      <alignment vertical="center"/>
    </xf>
    <xf numFmtId="0" fontId="67" fillId="0" borderId="75" xfId="0" applyFont="1" applyBorder="1" applyAlignment="1">
      <alignment vertical="center" wrapText="1"/>
    </xf>
    <xf numFmtId="0" fontId="67" fillId="0" borderId="0" xfId="0" applyFont="1" applyFill="1" applyAlignment="1">
      <alignment wrapText="1"/>
    </xf>
    <xf numFmtId="176" fontId="67" fillId="0" borderId="0" xfId="0" applyNumberFormat="1" applyFont="1" applyFill="1" applyAlignment="1">
      <alignment vertical="center" wrapText="1"/>
    </xf>
    <xf numFmtId="0" fontId="67" fillId="0" borderId="72" xfId="0" applyFont="1" applyBorder="1" applyAlignment="1">
      <alignment wrapText="1"/>
    </xf>
    <xf numFmtId="0" fontId="0" fillId="0" borderId="72" xfId="0" applyBorder="1" applyAlignment="1">
      <alignment horizontal="center" vertical="center"/>
    </xf>
    <xf numFmtId="0" fontId="0" fillId="0" borderId="72" xfId="0" applyFill="1" applyBorder="1" applyAlignment="1">
      <alignment horizontal="center"/>
    </xf>
    <xf numFmtId="0" fontId="67" fillId="0" borderId="72" xfId="0" applyFont="1" applyFill="1" applyBorder="1" applyAlignment="1">
      <alignment horizontal="left" vertical="center"/>
    </xf>
    <xf numFmtId="0" fontId="67" fillId="0" borderId="74" xfId="0" applyFont="1" applyFill="1" applyBorder="1" applyAlignment="1">
      <alignment horizontal="left" vertical="center"/>
    </xf>
    <xf numFmtId="0" fontId="0" fillId="0" borderId="72" xfId="0" applyBorder="1" applyAlignment="1">
      <alignment horizontal="center" vertical="center"/>
    </xf>
    <xf numFmtId="0" fontId="0" fillId="0" borderId="72" xfId="0" applyBorder="1" applyAlignment="1">
      <alignment horizontal="center"/>
    </xf>
    <xf numFmtId="0" fontId="0" fillId="0" borderId="72" xfId="0" applyFill="1" applyBorder="1" applyAlignment="1">
      <alignment horizontal="center"/>
    </xf>
    <xf numFmtId="0" fontId="0" fillId="0" borderId="0" xfId="0" applyFill="1" applyAlignment="1">
      <alignment horizontal="center" vertical="center" wrapText="1"/>
    </xf>
    <xf numFmtId="0" fontId="0" fillId="0" borderId="33" xfId="0" applyBorder="1" applyAlignment="1">
      <alignment vertical="center"/>
    </xf>
    <xf numFmtId="0" fontId="0" fillId="0" borderId="0" xfId="0" applyBorder="1" applyAlignment="1">
      <alignment vertical="center"/>
    </xf>
    <xf numFmtId="0" fontId="0" fillId="0" borderId="0" xfId="0" applyFill="1" applyAlignment="1">
      <alignment horizontal="center" vertical="center"/>
    </xf>
    <xf numFmtId="0" fontId="0" fillId="0" borderId="33" xfId="0" applyFill="1" applyBorder="1" applyAlignment="1">
      <alignment horizontal="center" vertical="center"/>
    </xf>
    <xf numFmtId="0" fontId="0" fillId="0" borderId="116" xfId="0" applyBorder="1" applyAlignment="1">
      <alignment vertical="center"/>
    </xf>
    <xf numFmtId="0" fontId="0" fillId="0" borderId="116" xfId="0" applyFill="1" applyBorder="1" applyAlignment="1">
      <alignment horizontal="center" vertical="center"/>
    </xf>
    <xf numFmtId="0" fontId="32" fillId="0" borderId="72" xfId="0" applyFont="1" applyBorder="1" applyAlignment="1">
      <alignment horizontal="left" wrapText="1"/>
    </xf>
    <xf numFmtId="0" fontId="32" fillId="0" borderId="72" xfId="0" applyFont="1" applyBorder="1" applyAlignment="1">
      <alignment horizontal="center" wrapText="1"/>
    </xf>
    <xf numFmtId="205" fontId="0" fillId="0" borderId="72" xfId="0" applyNumberFormat="1" applyBorder="1" applyAlignment="1">
      <alignment horizontal="center" wrapText="1"/>
    </xf>
    <xf numFmtId="0" fontId="0" fillId="0" borderId="0" xfId="0" applyAlignment="1">
      <alignment horizontal="left" wrapText="1"/>
    </xf>
    <xf numFmtId="0" fontId="73" fillId="0" borderId="72" xfId="6" applyFont="1" applyFill="1" applyBorder="1" applyAlignment="1">
      <alignment horizontal="center" vertical="center" wrapText="1"/>
    </xf>
    <xf numFmtId="0" fontId="0" fillId="0" borderId="72" xfId="0" applyBorder="1" applyAlignment="1">
      <alignment horizontal="center" wrapText="1"/>
    </xf>
    <xf numFmtId="206" fontId="0" fillId="0" borderId="72" xfId="0" applyNumberFormat="1" applyBorder="1" applyAlignment="1">
      <alignment horizontal="center" wrapText="1"/>
    </xf>
    <xf numFmtId="0" fontId="0" fillId="0" borderId="0" xfId="0" applyBorder="1" applyAlignment="1">
      <alignment wrapText="1"/>
    </xf>
    <xf numFmtId="0" fontId="0" fillId="0" borderId="72" xfId="0" applyBorder="1" applyAlignment="1">
      <alignment horizontal="left" wrapText="1"/>
    </xf>
    <xf numFmtId="0" fontId="0" fillId="0" borderId="0" xfId="0" applyBorder="1" applyAlignment="1">
      <alignment horizontal="left" wrapText="1"/>
    </xf>
    <xf numFmtId="0" fontId="32" fillId="0" borderId="72" xfId="0" applyFont="1" applyBorder="1" applyAlignment="1">
      <alignment horizontal="center" vertical="center" wrapText="1"/>
    </xf>
    <xf numFmtId="0" fontId="32" fillId="0" borderId="72" xfId="0" applyFont="1" applyBorder="1" applyAlignment="1">
      <alignment horizontal="left" vertical="center" wrapText="1"/>
    </xf>
    <xf numFmtId="176" fontId="7" fillId="4" borderId="0" xfId="0" applyNumberFormat="1" applyFont="1" applyFill="1" applyAlignment="1">
      <alignment horizontal="center" vertical="center"/>
    </xf>
    <xf numFmtId="0" fontId="5" fillId="0" borderId="0" xfId="0" applyFont="1" applyAlignment="1">
      <alignment horizontal="center" vertical="center"/>
    </xf>
    <xf numFmtId="0" fontId="32" fillId="0" borderId="72" xfId="0" applyFont="1" applyFill="1" applyBorder="1" applyAlignment="1">
      <alignment horizontal="left" vertical="center" wrapText="1"/>
    </xf>
    <xf numFmtId="0" fontId="32" fillId="0" borderId="72" xfId="0" applyFont="1" applyFill="1" applyBorder="1" applyAlignment="1">
      <alignment horizontal="left" wrapText="1"/>
    </xf>
    <xf numFmtId="0" fontId="8" fillId="0" borderId="23" xfId="12" applyNumberFormat="1" applyFont="1" applyFill="1" applyBorder="1" applyAlignment="1">
      <alignment horizontal="center" vertical="center"/>
    </xf>
    <xf numFmtId="0" fontId="8" fillId="0" borderId="24" xfId="12" applyNumberFormat="1" applyFont="1" applyFill="1" applyBorder="1" applyAlignment="1">
      <alignment horizontal="center" vertical="center"/>
    </xf>
    <xf numFmtId="173" fontId="8" fillId="0" borderId="24" xfId="12" applyNumberFormat="1" applyFont="1" applyFill="1" applyBorder="1" applyAlignment="1">
      <alignment horizontal="center" vertical="center"/>
    </xf>
    <xf numFmtId="173" fontId="8" fillId="0" borderId="25" xfId="12" applyNumberFormat="1" applyFont="1" applyFill="1" applyBorder="1" applyAlignment="1">
      <alignment horizontal="center" vertical="center"/>
    </xf>
    <xf numFmtId="0" fontId="67" fillId="3" borderId="74" xfId="0" applyFont="1" applyFill="1" applyBorder="1" applyAlignment="1">
      <alignment vertical="center"/>
    </xf>
    <xf numFmtId="0" fontId="67" fillId="6" borderId="72" xfId="0" applyNumberFormat="1" applyFont="1" applyFill="1" applyBorder="1" applyAlignment="1">
      <alignment horizontal="center" vertical="center"/>
    </xf>
    <xf numFmtId="2" fontId="68" fillId="0" borderId="72" xfId="0" applyNumberFormat="1" applyFont="1" applyFill="1" applyBorder="1" applyAlignment="1">
      <alignment horizontal="center" vertical="center"/>
    </xf>
    <xf numFmtId="0" fontId="67" fillId="0" borderId="72" xfId="0" applyFont="1" applyFill="1" applyBorder="1" applyAlignment="1">
      <alignment vertical="center"/>
    </xf>
    <xf numFmtId="2" fontId="67" fillId="0" borderId="72" xfId="0" applyNumberFormat="1" applyFont="1" applyFill="1" applyBorder="1" applyAlignment="1">
      <alignment horizontal="left" vertical="center"/>
    </xf>
    <xf numFmtId="0" fontId="33" fillId="0" borderId="72" xfId="0" applyFont="1" applyFill="1" applyBorder="1"/>
    <xf numFmtId="1" fontId="0" fillId="0" borderId="0" xfId="0" applyNumberFormat="1" applyAlignment="1">
      <alignment horizontal="center"/>
    </xf>
    <xf numFmtId="178" fontId="68" fillId="0" borderId="72" xfId="0" applyNumberFormat="1" applyFont="1" applyFill="1" applyBorder="1" applyAlignment="1">
      <alignment horizontal="center" vertical="center"/>
    </xf>
    <xf numFmtId="2" fontId="68" fillId="3" borderId="72" xfId="0" applyNumberFormat="1" applyFont="1" applyFill="1" applyBorder="1" applyAlignment="1">
      <alignment horizontal="center" vertical="center"/>
    </xf>
    <xf numFmtId="0" fontId="0" fillId="0" borderId="0" xfId="0"/>
    <xf numFmtId="0" fontId="0" fillId="0" borderId="0" xfId="0" applyAlignment="1">
      <alignment horizontal="center"/>
    </xf>
    <xf numFmtId="0" fontId="0" fillId="0" borderId="0" xfId="0" applyFill="1"/>
    <xf numFmtId="0" fontId="0" fillId="0" borderId="72" xfId="0" applyFill="1" applyBorder="1"/>
    <xf numFmtId="0" fontId="39" fillId="0" borderId="0" xfId="0" applyFont="1"/>
    <xf numFmtId="2" fontId="39" fillId="0" borderId="72" xfId="0" applyNumberFormat="1" applyFont="1" applyBorder="1" applyAlignment="1">
      <alignment horizontal="center"/>
    </xf>
    <xf numFmtId="178" fontId="39" fillId="0" borderId="72" xfId="0" applyNumberFormat="1" applyFont="1" applyBorder="1" applyAlignment="1">
      <alignment horizontal="center"/>
    </xf>
    <xf numFmtId="0" fontId="0" fillId="0" borderId="72" xfId="0" applyBorder="1" applyAlignment="1">
      <alignment wrapText="1"/>
    </xf>
    <xf numFmtId="0" fontId="67" fillId="0" borderId="72" xfId="0" applyFont="1" applyFill="1" applyBorder="1"/>
    <xf numFmtId="0" fontId="67" fillId="0" borderId="72" xfId="0" applyFont="1" applyFill="1" applyBorder="1" applyAlignment="1">
      <alignment horizontal="center" vertical="center"/>
    </xf>
    <xf numFmtId="0" fontId="67" fillId="3" borderId="72" xfId="0" applyNumberFormat="1" applyFont="1" applyFill="1" applyBorder="1" applyAlignment="1">
      <alignment horizontal="center"/>
    </xf>
    <xf numFmtId="0" fontId="0" fillId="0" borderId="0" xfId="0" applyAlignment="1">
      <alignment wrapText="1"/>
    </xf>
    <xf numFmtId="178" fontId="67" fillId="0" borderId="72" xfId="0" applyNumberFormat="1" applyFont="1" applyFill="1" applyBorder="1" applyAlignment="1">
      <alignment horizontal="center"/>
    </xf>
    <xf numFmtId="201" fontId="8" fillId="0" borderId="0" xfId="0" applyNumberFormat="1" applyFont="1" applyAlignment="1">
      <alignment horizontal="center" vertical="center"/>
    </xf>
    <xf numFmtId="192" fontId="67" fillId="0" borderId="72" xfId="0" applyNumberFormat="1" applyFont="1" applyFill="1" applyBorder="1" applyAlignment="1">
      <alignment horizontal="center" vertical="center"/>
    </xf>
    <xf numFmtId="0" fontId="4" fillId="6" borderId="72" xfId="6" applyFont="1" applyFill="1" applyBorder="1" applyAlignment="1">
      <alignment horizontal="left" vertical="center" wrapText="1"/>
    </xf>
    <xf numFmtId="173" fontId="2" fillId="0" borderId="80" xfId="6" applyNumberFormat="1" applyFont="1" applyFill="1" applyBorder="1" applyAlignment="1">
      <alignment horizontal="center" vertical="center" wrapText="1"/>
    </xf>
    <xf numFmtId="2" fontId="68" fillId="0" borderId="72" xfId="0" applyNumberFormat="1" applyFont="1" applyFill="1" applyBorder="1" applyAlignment="1">
      <alignment horizontal="center"/>
    </xf>
    <xf numFmtId="0" fontId="67" fillId="0" borderId="72" xfId="0" applyFont="1" applyBorder="1" applyAlignment="1">
      <alignment vertical="center" wrapText="1"/>
    </xf>
    <xf numFmtId="173" fontId="67" fillId="0" borderId="72" xfId="5" applyNumberFormat="1" applyFont="1" applyFill="1" applyBorder="1" applyAlignment="1">
      <alignment horizontal="center" vertical="center"/>
    </xf>
    <xf numFmtId="192" fontId="67" fillId="3" borderId="72" xfId="5" applyNumberFormat="1" applyFont="1" applyFill="1" applyBorder="1" applyAlignment="1">
      <alignment horizontal="center" vertical="center"/>
    </xf>
    <xf numFmtId="0" fontId="67" fillId="0" borderId="72" xfId="0" applyFont="1" applyBorder="1"/>
    <xf numFmtId="178" fontId="67" fillId="0" borderId="72" xfId="0" applyNumberFormat="1" applyFont="1" applyFill="1" applyBorder="1" applyAlignment="1">
      <alignment horizontal="center" vertical="center"/>
    </xf>
    <xf numFmtId="0" fontId="67" fillId="0" borderId="72" xfId="0" applyFont="1" applyFill="1" applyBorder="1" applyAlignment="1">
      <alignment vertical="center" wrapText="1"/>
    </xf>
    <xf numFmtId="173" fontId="69" fillId="0" borderId="72" xfId="5" applyNumberFormat="1" applyFont="1" applyFill="1" applyBorder="1" applyAlignment="1">
      <alignment horizontal="center" vertical="center"/>
    </xf>
    <xf numFmtId="2" fontId="67" fillId="0" borderId="72" xfId="0" applyNumberFormat="1" applyFont="1" applyBorder="1" applyAlignment="1">
      <alignment horizontal="left"/>
    </xf>
    <xf numFmtId="0" fontId="0" fillId="0" borderId="0" xfId="0" applyAlignment="1">
      <alignment horizontal="center" wrapText="1"/>
    </xf>
    <xf numFmtId="176" fontId="7" fillId="4" borderId="0" xfId="0" applyNumberFormat="1" applyFont="1" applyFill="1" applyAlignment="1">
      <alignment horizontal="center" vertical="center"/>
    </xf>
    <xf numFmtId="180" fontId="7" fillId="0" borderId="0" xfId="0" applyNumberFormat="1" applyFont="1" applyAlignment="1">
      <alignment horizontal="center" vertical="center" wrapText="1"/>
    </xf>
    <xf numFmtId="0" fontId="70" fillId="0" borderId="0" xfId="0" applyFont="1" applyFill="1" applyBorder="1" applyAlignment="1">
      <alignment vertical="center" wrapText="1"/>
    </xf>
    <xf numFmtId="0" fontId="67" fillId="3" borderId="89" xfId="0" applyNumberFormat="1" applyFont="1" applyFill="1" applyBorder="1" applyAlignment="1">
      <alignment horizontal="center" vertical="center"/>
    </xf>
    <xf numFmtId="0" fontId="69" fillId="0" borderId="89" xfId="0" applyFont="1" applyFill="1" applyBorder="1" applyAlignment="1">
      <alignment horizontal="left" vertical="center"/>
    </xf>
    <xf numFmtId="173" fontId="67" fillId="0" borderId="0" xfId="5" applyNumberFormat="1" applyFont="1" applyFill="1" applyAlignment="1">
      <alignment horizontal="center"/>
    </xf>
    <xf numFmtId="167" fontId="67" fillId="0" borderId="0" xfId="1" applyFont="1" applyAlignment="1">
      <alignment horizontal="center"/>
    </xf>
    <xf numFmtId="0" fontId="2" fillId="0" borderId="53" xfId="6" applyFont="1" applyFill="1" applyBorder="1" applyAlignment="1">
      <alignment vertical="center" wrapText="1"/>
    </xf>
    <xf numFmtId="190" fontId="67" fillId="0" borderId="72" xfId="0" applyNumberFormat="1" applyFont="1" applyFill="1" applyBorder="1" applyAlignment="1">
      <alignment horizontal="center" vertical="center"/>
    </xf>
    <xf numFmtId="167" fontId="2" fillId="46" borderId="70" xfId="1" applyFont="1" applyFill="1" applyBorder="1" applyAlignment="1">
      <alignment vertical="center"/>
    </xf>
    <xf numFmtId="41" fontId="0" fillId="0" borderId="0" xfId="175" applyFont="1"/>
    <xf numFmtId="176" fontId="8" fillId="46" borderId="35" xfId="0" applyNumberFormat="1" applyFont="1" applyFill="1" applyBorder="1" applyAlignment="1">
      <alignment vertical="center"/>
    </xf>
    <xf numFmtId="41" fontId="0" fillId="0" borderId="0" xfId="175" applyFont="1" applyAlignment="1">
      <alignment wrapText="1"/>
    </xf>
    <xf numFmtId="41" fontId="0" fillId="0" borderId="0" xfId="175" applyFont="1" applyAlignment="1">
      <alignment horizontal="center" wrapText="1"/>
    </xf>
    <xf numFmtId="41" fontId="0" fillId="0" borderId="0" xfId="175" applyFont="1" applyAlignment="1">
      <alignment horizontal="center" vertical="center" wrapText="1"/>
    </xf>
    <xf numFmtId="41" fontId="0" fillId="0" borderId="0" xfId="175" applyFont="1" applyAlignment="1">
      <alignment vertical="center" wrapText="1"/>
    </xf>
    <xf numFmtId="0" fontId="38" fillId="0" borderId="0" xfId="0" applyFont="1" applyFill="1" applyBorder="1" applyAlignment="1">
      <alignment horizontal="center" vertical="center" wrapText="1"/>
    </xf>
    <xf numFmtId="0" fontId="39" fillId="0" borderId="72" xfId="0" applyFont="1" applyBorder="1" applyAlignment="1">
      <alignment horizontal="center"/>
    </xf>
    <xf numFmtId="0" fontId="38" fillId="2" borderId="82" xfId="0" applyFont="1" applyFill="1" applyBorder="1" applyAlignment="1">
      <alignment horizontal="center" vertical="center" wrapText="1"/>
    </xf>
    <xf numFmtId="2" fontId="39" fillId="0" borderId="72" xfId="0" applyNumberFormat="1" applyFont="1" applyBorder="1" applyAlignment="1">
      <alignment horizontal="center"/>
    </xf>
    <xf numFmtId="0" fontId="0" fillId="0" borderId="72" xfId="0" applyBorder="1" applyAlignment="1">
      <alignment horizontal="center"/>
    </xf>
    <xf numFmtId="0" fontId="5" fillId="0" borderId="72" xfId="0" applyFont="1" applyBorder="1" applyAlignment="1">
      <alignment horizontal="center" vertical="center"/>
    </xf>
    <xf numFmtId="0" fontId="4" fillId="6" borderId="89" xfId="0" applyFont="1" applyFill="1" applyBorder="1" applyAlignment="1">
      <alignment horizontal="center"/>
    </xf>
    <xf numFmtId="0" fontId="4" fillId="6" borderId="82" xfId="6" applyFont="1" applyFill="1" applyBorder="1" applyAlignment="1">
      <alignment horizontal="left" vertical="center" wrapText="1"/>
    </xf>
    <xf numFmtId="0" fontId="0" fillId="0" borderId="72" xfId="6" applyFont="1" applyFill="1" applyBorder="1" applyAlignment="1">
      <alignment vertical="center" wrapText="1"/>
    </xf>
    <xf numFmtId="9" fontId="0" fillId="0" borderId="0" xfId="3" applyFont="1"/>
    <xf numFmtId="173" fontId="0" fillId="0" borderId="72" xfId="0" applyNumberFormat="1" applyBorder="1"/>
    <xf numFmtId="9" fontId="0" fillId="0" borderId="72" xfId="3" applyFont="1" applyBorder="1"/>
    <xf numFmtId="0" fontId="4" fillId="7" borderId="72" xfId="6" applyFont="1" applyFill="1" applyBorder="1" applyAlignment="1">
      <alignment vertical="center" wrapText="1"/>
    </xf>
    <xf numFmtId="173" fontId="0" fillId="7" borderId="72" xfId="0" applyNumberFormat="1" applyFill="1" applyBorder="1"/>
    <xf numFmtId="9" fontId="0" fillId="7" borderId="72" xfId="3" applyFont="1" applyFill="1" applyBorder="1"/>
    <xf numFmtId="0" fontId="0" fillId="7" borderId="0" xfId="0" applyFill="1"/>
    <xf numFmtId="173" fontId="0" fillId="7" borderId="89" xfId="0" applyNumberFormat="1" applyFill="1" applyBorder="1"/>
    <xf numFmtId="173" fontId="2" fillId="0" borderId="72" xfId="6" applyNumberFormat="1" applyFont="1" applyFill="1" applyBorder="1" applyAlignment="1">
      <alignment horizontal="center" vertical="center" wrapText="1"/>
    </xf>
    <xf numFmtId="173" fontId="4" fillId="7" borderId="83" xfId="56" applyNumberFormat="1" applyFont="1" applyFill="1" applyBorder="1" applyAlignment="1">
      <alignment vertical="center" wrapText="1"/>
    </xf>
    <xf numFmtId="0" fontId="38" fillId="0" borderId="0" xfId="0" applyFont="1" applyFill="1" applyBorder="1" applyAlignment="1">
      <alignment horizontal="center" vertical="center" wrapText="1"/>
    </xf>
    <xf numFmtId="0" fontId="39" fillId="0" borderId="72" xfId="0" applyFont="1" applyBorder="1" applyAlignment="1">
      <alignment horizontal="center"/>
    </xf>
    <xf numFmtId="2" fontId="39" fillId="0" borderId="72" xfId="0" applyNumberFormat="1" applyFont="1" applyBorder="1" applyAlignment="1">
      <alignment horizontal="center"/>
    </xf>
    <xf numFmtId="178" fontId="67" fillId="0" borderId="0" xfId="0" applyNumberFormat="1" applyFont="1" applyFill="1" applyAlignment="1">
      <alignment horizontal="center" vertical="center"/>
    </xf>
    <xf numFmtId="178" fontId="69" fillId="6" borderId="72" xfId="0" applyNumberFormat="1" applyFont="1" applyFill="1" applyBorder="1" applyAlignment="1">
      <alignment horizontal="center" vertical="center"/>
    </xf>
    <xf numFmtId="178" fontId="69" fillId="0" borderId="74" xfId="0" applyNumberFormat="1" applyFont="1" applyFill="1" applyBorder="1" applyAlignment="1">
      <alignment horizontal="center" vertical="center"/>
    </xf>
    <xf numFmtId="178" fontId="0" fillId="0" borderId="0" xfId="0" applyNumberFormat="1" applyAlignment="1">
      <alignment horizontal="center" vertical="center"/>
    </xf>
    <xf numFmtId="178" fontId="67" fillId="6" borderId="72" xfId="0" applyNumberFormat="1" applyFont="1" applyFill="1" applyBorder="1" applyAlignment="1">
      <alignment horizontal="center" vertical="center"/>
    </xf>
    <xf numFmtId="178" fontId="67" fillId="0" borderId="74" xfId="0" applyNumberFormat="1" applyFont="1" applyFill="1" applyBorder="1" applyAlignment="1">
      <alignment horizontal="center" vertical="center"/>
    </xf>
    <xf numFmtId="0" fontId="0" fillId="0" borderId="0" xfId="0" applyAlignment="1">
      <alignment horizontal="center" wrapText="1"/>
    </xf>
    <xf numFmtId="2" fontId="67" fillId="0" borderId="72" xfId="0" applyNumberFormat="1" applyFont="1" applyBorder="1" applyAlignment="1">
      <alignment horizontal="center" vertical="center"/>
    </xf>
    <xf numFmtId="0" fontId="73" fillId="0" borderId="89" xfId="6" applyFont="1" applyFill="1" applyBorder="1" applyAlignment="1">
      <alignment horizontal="left" vertical="center" wrapText="1"/>
    </xf>
    <xf numFmtId="0" fontId="73" fillId="0" borderId="89" xfId="6" applyFont="1" applyFill="1" applyBorder="1" applyAlignment="1">
      <alignment horizontal="center" vertical="center" wrapText="1"/>
    </xf>
    <xf numFmtId="166" fontId="33" fillId="0" borderId="89" xfId="56" applyNumberFormat="1" applyFont="1" applyFill="1" applyBorder="1" applyAlignment="1">
      <alignment horizontal="center" vertical="center" wrapText="1"/>
    </xf>
    <xf numFmtId="0" fontId="0" fillId="0" borderId="0" xfId="0" applyAlignment="1">
      <alignment horizontal="center" wrapText="1"/>
    </xf>
    <xf numFmtId="0" fontId="0" fillId="0" borderId="0" xfId="0" applyBorder="1" applyAlignment="1">
      <alignment horizontal="center" wrapText="1"/>
    </xf>
    <xf numFmtId="166" fontId="10" fillId="0" borderId="7" xfId="5" applyNumberFormat="1" applyFont="1" applyFill="1" applyBorder="1" applyAlignment="1">
      <alignment horizontal="center" vertical="center"/>
    </xf>
    <xf numFmtId="166" fontId="10" fillId="0" borderId="7" xfId="5" applyNumberFormat="1" applyFont="1" applyBorder="1" applyAlignment="1">
      <alignment horizontal="center"/>
    </xf>
    <xf numFmtId="0" fontId="0" fillId="0" borderId="0" xfId="0"/>
    <xf numFmtId="0" fontId="0" fillId="0" borderId="0" xfId="0"/>
    <xf numFmtId="0" fontId="8" fillId="0" borderId="0" xfId="0" applyFont="1" applyAlignment="1">
      <alignment horizontal="center" vertical="center"/>
    </xf>
    <xf numFmtId="175" fontId="8" fillId="0" borderId="0" xfId="0" applyNumberFormat="1" applyFont="1" applyAlignment="1">
      <alignment vertical="center"/>
    </xf>
    <xf numFmtId="176" fontId="8" fillId="4" borderId="0" xfId="0" applyNumberFormat="1" applyFont="1" applyFill="1" applyAlignment="1">
      <alignment horizontal="center" vertical="center"/>
    </xf>
    <xf numFmtId="175" fontId="7" fillId="4" borderId="0" xfId="0" applyNumberFormat="1" applyFont="1" applyFill="1" applyAlignment="1">
      <alignment horizontal="center" vertical="center"/>
    </xf>
    <xf numFmtId="176" fontId="8" fillId="0" borderId="0" xfId="0" applyNumberFormat="1" applyFont="1" applyAlignment="1">
      <alignment vertical="center"/>
    </xf>
    <xf numFmtId="176" fontId="8" fillId="0" borderId="0" xfId="0" applyNumberFormat="1" applyFont="1" applyAlignment="1">
      <alignment horizontal="center" vertical="center"/>
    </xf>
    <xf numFmtId="175" fontId="7" fillId="0" borderId="0" xfId="0" applyNumberFormat="1" applyFont="1" applyAlignment="1">
      <alignment horizontal="center" vertical="center"/>
    </xf>
    <xf numFmtId="176" fontId="8" fillId="0" borderId="23" xfId="0" applyNumberFormat="1" applyFont="1" applyBorder="1" applyAlignment="1">
      <alignment horizontal="center" vertical="center"/>
    </xf>
    <xf numFmtId="176" fontId="8" fillId="0" borderId="24" xfId="0" applyNumberFormat="1" applyFont="1" applyBorder="1" applyAlignment="1">
      <alignment horizontal="center" vertical="center"/>
    </xf>
    <xf numFmtId="175" fontId="8" fillId="0" borderId="25" xfId="0" applyNumberFormat="1" applyFont="1" applyBorder="1" applyAlignment="1">
      <alignment horizontal="center" vertical="center"/>
    </xf>
    <xf numFmtId="0" fontId="8" fillId="0" borderId="34" xfId="0" applyFont="1" applyFill="1" applyBorder="1" applyAlignment="1">
      <alignment vertical="center" wrapText="1"/>
    </xf>
    <xf numFmtId="176" fontId="8" fillId="0" borderId="35" xfId="0" applyNumberFormat="1" applyFont="1" applyBorder="1" applyAlignment="1">
      <alignment horizontal="center" vertical="center"/>
    </xf>
    <xf numFmtId="176" fontId="8" fillId="0" borderId="35" xfId="0" applyNumberFormat="1" applyFont="1" applyBorder="1" applyAlignment="1">
      <alignment vertical="center"/>
    </xf>
    <xf numFmtId="0" fontId="20" fillId="0" borderId="22" xfId="0" applyFont="1" applyFill="1" applyBorder="1" applyAlignment="1">
      <alignment vertical="center" wrapText="1"/>
    </xf>
    <xf numFmtId="176" fontId="8" fillId="0" borderId="37" xfId="0" applyNumberFormat="1" applyFont="1" applyBorder="1" applyAlignment="1">
      <alignment horizontal="center" vertical="center"/>
    </xf>
    <xf numFmtId="176" fontId="8" fillId="0" borderId="37" xfId="0" applyNumberFormat="1" applyFont="1" applyBorder="1" applyAlignment="1">
      <alignment vertical="center"/>
    </xf>
    <xf numFmtId="0" fontId="8" fillId="0" borderId="22" xfId="0" applyFont="1" applyFill="1" applyBorder="1" applyAlignment="1">
      <alignment vertical="center" wrapText="1"/>
    </xf>
    <xf numFmtId="176" fontId="8" fillId="0" borderId="38" xfId="0" applyNumberFormat="1" applyFont="1" applyBorder="1" applyAlignment="1">
      <alignment vertical="center"/>
    </xf>
    <xf numFmtId="175" fontId="8" fillId="0" borderId="39" xfId="0" applyNumberFormat="1" applyFont="1" applyBorder="1" applyAlignment="1">
      <alignment vertical="center"/>
    </xf>
    <xf numFmtId="176" fontId="8" fillId="0" borderId="40" xfId="0" applyNumberFormat="1" applyFont="1" applyBorder="1" applyAlignment="1">
      <alignment vertical="center"/>
    </xf>
    <xf numFmtId="176" fontId="8" fillId="0" borderId="41" xfId="0" applyNumberFormat="1" applyFont="1" applyBorder="1" applyAlignment="1">
      <alignment horizontal="center" vertical="center"/>
    </xf>
    <xf numFmtId="176" fontId="8" fillId="0" borderId="41" xfId="0" applyNumberFormat="1" applyFont="1" applyBorder="1" applyAlignment="1">
      <alignment vertical="center"/>
    </xf>
    <xf numFmtId="175" fontId="8" fillId="0" borderId="42" xfId="0" applyNumberFormat="1" applyFont="1" applyBorder="1" applyAlignment="1">
      <alignment vertical="center"/>
    </xf>
    <xf numFmtId="175" fontId="8" fillId="0" borderId="16" xfId="0" applyNumberFormat="1" applyFont="1" applyBorder="1" applyAlignment="1">
      <alignment vertical="center"/>
    </xf>
    <xf numFmtId="176" fontId="8" fillId="0" borderId="13" xfId="0" applyNumberFormat="1" applyFont="1" applyBorder="1" applyAlignment="1">
      <alignment vertical="center"/>
    </xf>
    <xf numFmtId="176" fontId="8" fillId="0" borderId="13" xfId="0" applyNumberFormat="1" applyFont="1" applyBorder="1" applyAlignment="1">
      <alignment horizontal="center" vertical="center"/>
    </xf>
    <xf numFmtId="175" fontId="8" fillId="0" borderId="13" xfId="0" applyNumberFormat="1" applyFont="1" applyBorder="1" applyAlignment="1">
      <alignment vertical="center"/>
    </xf>
    <xf numFmtId="175" fontId="8" fillId="0" borderId="0" xfId="0" applyNumberFormat="1" applyFont="1" applyBorder="1" applyAlignment="1">
      <alignment vertical="center"/>
    </xf>
    <xf numFmtId="2" fontId="8" fillId="0" borderId="35" xfId="0" applyNumberFormat="1" applyFont="1" applyBorder="1" applyAlignment="1">
      <alignment horizontal="center" vertical="center"/>
    </xf>
    <xf numFmtId="9" fontId="8" fillId="0" borderId="35" xfId="0" applyNumberFormat="1" applyFont="1" applyBorder="1" applyAlignment="1">
      <alignment horizontal="center" vertical="center"/>
    </xf>
    <xf numFmtId="176" fontId="8" fillId="0" borderId="44" xfId="0" applyNumberFormat="1" applyFont="1" applyBorder="1" applyAlignment="1">
      <alignment horizontal="center" vertical="center"/>
    </xf>
    <xf numFmtId="175" fontId="8" fillId="0" borderId="45" xfId="0" applyNumberFormat="1" applyFont="1" applyBorder="1" applyAlignment="1">
      <alignment vertical="center"/>
    </xf>
    <xf numFmtId="176" fontId="8" fillId="0" borderId="46" xfId="0" applyNumberFormat="1" applyFont="1" applyBorder="1" applyAlignment="1">
      <alignment vertical="center"/>
    </xf>
    <xf numFmtId="176" fontId="8" fillId="0" borderId="47" xfId="0" applyNumberFormat="1" applyFont="1" applyBorder="1" applyAlignment="1">
      <alignment vertical="center"/>
    </xf>
    <xf numFmtId="176" fontId="8" fillId="0" borderId="47" xfId="0" applyNumberFormat="1" applyFont="1" applyBorder="1" applyAlignment="1">
      <alignment horizontal="center" vertical="center"/>
    </xf>
    <xf numFmtId="175" fontId="8" fillId="0" borderId="48" xfId="0" applyNumberFormat="1" applyFont="1" applyBorder="1" applyAlignment="1">
      <alignment vertical="center"/>
    </xf>
    <xf numFmtId="176" fontId="7" fillId="0" borderId="0" xfId="0" applyNumberFormat="1" applyFont="1" applyAlignment="1">
      <alignment vertical="center"/>
    </xf>
    <xf numFmtId="0" fontId="8" fillId="0" borderId="43" xfId="0" applyFont="1" applyBorder="1" applyAlignment="1">
      <alignment vertical="center"/>
    </xf>
    <xf numFmtId="0" fontId="8" fillId="0" borderId="38" xfId="0" applyFont="1" applyBorder="1" applyAlignment="1">
      <alignment vertical="center"/>
    </xf>
    <xf numFmtId="176" fontId="8" fillId="0" borderId="38" xfId="0" applyNumberFormat="1" applyFont="1" applyBorder="1" applyAlignment="1">
      <alignment vertical="center" wrapText="1"/>
    </xf>
    <xf numFmtId="2" fontId="8" fillId="0" borderId="37" xfId="0" applyNumberFormat="1" applyFont="1" applyBorder="1" applyAlignment="1">
      <alignment horizontal="center" vertical="center"/>
    </xf>
    <xf numFmtId="176" fontId="8" fillId="0" borderId="43" xfId="0" applyNumberFormat="1" applyFont="1" applyBorder="1" applyAlignment="1">
      <alignment vertical="center" wrapText="1"/>
    </xf>
    <xf numFmtId="0" fontId="8" fillId="0" borderId="35" xfId="0" applyFont="1" applyBorder="1" applyAlignment="1">
      <alignment horizontal="center" vertical="center"/>
    </xf>
    <xf numFmtId="1" fontId="8" fillId="0" borderId="35" xfId="0" applyNumberFormat="1" applyFont="1" applyBorder="1" applyAlignment="1">
      <alignment horizontal="center" vertical="center"/>
    </xf>
    <xf numFmtId="1" fontId="8" fillId="0" borderId="37" xfId="0" applyNumberFormat="1" applyFont="1" applyBorder="1" applyAlignment="1">
      <alignment horizontal="center" vertical="center"/>
    </xf>
    <xf numFmtId="179" fontId="8" fillId="0" borderId="37" xfId="0" applyNumberFormat="1" applyFont="1" applyBorder="1" applyAlignment="1">
      <alignment horizontal="center" vertical="center"/>
    </xf>
    <xf numFmtId="173" fontId="8" fillId="0" borderId="35" xfId="5" applyNumberFormat="1" applyFont="1" applyBorder="1" applyAlignment="1">
      <alignment vertical="center"/>
    </xf>
    <xf numFmtId="167" fontId="8" fillId="0" borderId="36" xfId="5" applyFont="1" applyBorder="1" applyAlignment="1">
      <alignment vertical="center"/>
    </xf>
    <xf numFmtId="167" fontId="8" fillId="0" borderId="35" xfId="5" applyFont="1" applyBorder="1" applyAlignment="1">
      <alignment horizontal="center" vertical="center"/>
    </xf>
    <xf numFmtId="167" fontId="8" fillId="0" borderId="36" xfId="5" applyFont="1" applyBorder="1" applyAlignment="1">
      <alignment horizontal="center" vertical="center"/>
    </xf>
    <xf numFmtId="0" fontId="0" fillId="0" borderId="0" xfId="0" applyFill="1"/>
    <xf numFmtId="176" fontId="7" fillId="4" borderId="0" xfId="0" applyNumberFormat="1" applyFont="1" applyFill="1" applyAlignment="1">
      <alignment horizontal="center" vertical="center"/>
    </xf>
    <xf numFmtId="173" fontId="8" fillId="0" borderId="36" xfId="5" applyNumberFormat="1" applyFont="1" applyFill="1" applyBorder="1" applyAlignment="1">
      <alignment vertical="center"/>
    </xf>
    <xf numFmtId="176" fontId="7" fillId="4" borderId="0" xfId="0" applyNumberFormat="1" applyFont="1" applyFill="1" applyAlignment="1">
      <alignment horizontal="center" vertical="center"/>
    </xf>
    <xf numFmtId="0" fontId="38" fillId="2" borderId="72" xfId="0" applyFont="1" applyFill="1" applyBorder="1" applyAlignment="1">
      <alignment horizontal="center" vertical="center" wrapText="1"/>
    </xf>
    <xf numFmtId="0" fontId="0" fillId="0" borderId="70" xfId="6" applyFont="1" applyFill="1" applyBorder="1" applyAlignment="1">
      <alignment vertical="center"/>
    </xf>
    <xf numFmtId="0" fontId="8" fillId="0" borderId="38" xfId="0" applyFont="1" applyBorder="1" applyAlignment="1">
      <alignment vertical="center" wrapText="1"/>
    </xf>
    <xf numFmtId="0" fontId="7" fillId="0" borderId="37" xfId="12" applyNumberFormat="1" applyFont="1" applyBorder="1" applyAlignment="1">
      <alignment horizontal="center" vertical="center"/>
    </xf>
    <xf numFmtId="41" fontId="39" fillId="0" borderId="0" xfId="175" applyFont="1"/>
    <xf numFmtId="176" fontId="7" fillId="4" borderId="0" xfId="0" applyNumberFormat="1" applyFont="1" applyFill="1" applyAlignment="1">
      <alignment horizontal="center" vertical="center"/>
    </xf>
    <xf numFmtId="0" fontId="8" fillId="0" borderId="43" xfId="0" applyFont="1" applyBorder="1" applyAlignment="1">
      <alignment vertical="center" wrapText="1"/>
    </xf>
    <xf numFmtId="0" fontId="8" fillId="0" borderId="53" xfId="0" applyNumberFormat="1" applyFont="1" applyFill="1" applyBorder="1"/>
    <xf numFmtId="0" fontId="8" fillId="0" borderId="50" xfId="0" applyNumberFormat="1" applyFont="1" applyBorder="1" applyAlignment="1">
      <alignment horizontal="center"/>
    </xf>
    <xf numFmtId="176" fontId="8" fillId="0" borderId="50" xfId="0" applyNumberFormat="1" applyFont="1" applyFill="1" applyBorder="1" applyAlignment="1">
      <alignment vertical="center"/>
    </xf>
    <xf numFmtId="167" fontId="8" fillId="0" borderId="79" xfId="5" applyNumberFormat="1" applyFont="1" applyBorder="1" applyAlignment="1">
      <alignment vertical="center"/>
    </xf>
    <xf numFmtId="0" fontId="0" fillId="0" borderId="129" xfId="6" applyFont="1" applyBorder="1"/>
    <xf numFmtId="0" fontId="8" fillId="0" borderId="47" xfId="0" applyNumberFormat="1" applyFont="1" applyBorder="1" applyAlignment="1">
      <alignment horizontal="center"/>
    </xf>
    <xf numFmtId="176" fontId="8" fillId="0" borderId="47" xfId="0" applyNumberFormat="1" applyFont="1" applyFill="1" applyBorder="1" applyAlignment="1">
      <alignment vertical="center"/>
    </xf>
    <xf numFmtId="9" fontId="8" fillId="0" borderId="120" xfId="0" applyNumberFormat="1" applyFont="1" applyBorder="1" applyAlignment="1">
      <alignment horizontal="center"/>
    </xf>
    <xf numFmtId="167" fontId="8" fillId="0" borderId="127" xfId="5" applyNumberFormat="1" applyFont="1" applyBorder="1" applyAlignment="1">
      <alignment vertical="center"/>
    </xf>
    <xf numFmtId="176" fontId="7" fillId="4" borderId="0" xfId="0" applyNumberFormat="1" applyFont="1" applyFill="1" applyAlignment="1">
      <alignment horizontal="center" vertical="center"/>
    </xf>
    <xf numFmtId="167" fontId="8" fillId="5" borderId="16" xfId="1" applyFont="1" applyFill="1" applyBorder="1"/>
    <xf numFmtId="0" fontId="29" fillId="0" borderId="0" xfId="0" applyFont="1" applyFill="1"/>
    <xf numFmtId="209" fontId="0" fillId="0" borderId="0" xfId="0" applyNumberFormat="1"/>
    <xf numFmtId="167" fontId="8" fillId="5" borderId="16" xfId="5" applyNumberFormat="1" applyFont="1" applyFill="1" applyBorder="1" applyAlignment="1">
      <alignment vertical="center"/>
    </xf>
    <xf numFmtId="2" fontId="39" fillId="0" borderId="72" xfId="0" applyNumberFormat="1" applyFont="1" applyBorder="1" applyAlignment="1">
      <alignment horizontal="center"/>
    </xf>
    <xf numFmtId="0" fontId="39" fillId="0" borderId="72" xfId="0" applyFont="1" applyBorder="1" applyAlignment="1">
      <alignment horizontal="center"/>
    </xf>
    <xf numFmtId="0" fontId="38" fillId="0" borderId="0" xfId="0" applyFont="1" applyFill="1" applyBorder="1" applyAlignment="1">
      <alignment horizontal="center" vertical="center" wrapText="1"/>
    </xf>
    <xf numFmtId="0" fontId="0" fillId="0" borderId="0" xfId="0" applyAlignment="1">
      <alignment horizontal="center" wrapText="1"/>
    </xf>
    <xf numFmtId="0" fontId="39" fillId="0" borderId="72" xfId="0" applyFont="1" applyBorder="1" applyAlignment="1">
      <alignment horizontal="center"/>
    </xf>
    <xf numFmtId="2" fontId="39" fillId="0" borderId="72" xfId="0" applyNumberFormat="1" applyFont="1" applyBorder="1" applyAlignment="1">
      <alignment horizontal="center"/>
    </xf>
    <xf numFmtId="2" fontId="67" fillId="0" borderId="72" xfId="0" applyNumberFormat="1" applyFont="1" applyBorder="1" applyAlignment="1">
      <alignment horizontal="center"/>
    </xf>
    <xf numFmtId="0" fontId="32" fillId="0" borderId="75" xfId="0" applyFont="1" applyFill="1" applyBorder="1" applyAlignment="1">
      <alignment horizontal="left" vertical="center" wrapText="1"/>
    </xf>
    <xf numFmtId="0" fontId="32" fillId="0" borderId="75" xfId="0" applyFont="1" applyBorder="1" applyAlignment="1">
      <alignment horizontal="left" wrapText="1"/>
    </xf>
    <xf numFmtId="0" fontId="67" fillId="0" borderId="0" xfId="0" applyFont="1" applyBorder="1"/>
    <xf numFmtId="0" fontId="68" fillId="0" borderId="75" xfId="0" applyFont="1" applyFill="1" applyBorder="1" applyAlignment="1">
      <alignment horizontal="justify" vertical="center"/>
    </xf>
    <xf numFmtId="0" fontId="32" fillId="0" borderId="0" xfId="0" applyFont="1" applyBorder="1" applyAlignment="1">
      <alignment horizontal="center" wrapText="1"/>
    </xf>
    <xf numFmtId="206" fontId="0" fillId="0" borderId="0" xfId="0" applyNumberFormat="1" applyBorder="1" applyAlignment="1">
      <alignment horizontal="center" wrapText="1"/>
    </xf>
    <xf numFmtId="205" fontId="0" fillId="0" borderId="0" xfId="0" applyNumberFormat="1" applyBorder="1" applyAlignment="1">
      <alignment horizontal="center" wrapText="1"/>
    </xf>
    <xf numFmtId="41" fontId="0" fillId="0" borderId="7" xfId="175" applyFont="1" applyBorder="1" applyAlignment="1">
      <alignment wrapText="1"/>
    </xf>
    <xf numFmtId="41" fontId="0" fillId="0" borderId="72" xfId="175" applyFont="1" applyBorder="1" applyAlignment="1">
      <alignment wrapText="1"/>
    </xf>
    <xf numFmtId="166" fontId="10" fillId="0" borderId="0" xfId="5" applyNumberFormat="1" applyFont="1" applyBorder="1" applyAlignment="1">
      <alignment horizontal="center"/>
    </xf>
    <xf numFmtId="0" fontId="0" fillId="0" borderId="7" xfId="0" applyBorder="1" applyAlignment="1">
      <alignment wrapText="1"/>
    </xf>
    <xf numFmtId="166" fontId="10" fillId="0" borderId="0" xfId="5" applyNumberFormat="1" applyFont="1" applyFill="1" applyBorder="1" applyAlignment="1">
      <alignment horizontal="center" vertical="center"/>
    </xf>
    <xf numFmtId="167" fontId="67" fillId="0" borderId="0" xfId="5" applyFont="1" applyBorder="1" applyAlignment="1">
      <alignment horizontal="center"/>
    </xf>
    <xf numFmtId="173" fontId="67" fillId="0" borderId="0" xfId="5" applyNumberFormat="1" applyFont="1" applyFill="1" applyBorder="1"/>
    <xf numFmtId="41" fontId="0" fillId="0" borderId="0" xfId="175" applyFont="1" applyBorder="1" applyAlignment="1">
      <alignment wrapText="1"/>
    </xf>
    <xf numFmtId="0" fontId="39" fillId="0" borderId="0" xfId="0" applyFont="1" applyAlignment="1">
      <alignment horizontal="center"/>
    </xf>
    <xf numFmtId="0" fontId="67" fillId="0" borderId="0" xfId="0" applyFont="1" applyBorder="1" applyAlignment="1">
      <alignment vertical="center" wrapText="1"/>
    </xf>
    <xf numFmtId="0" fontId="39" fillId="0" borderId="74" xfId="0" applyFont="1" applyBorder="1" applyAlignment="1">
      <alignment horizontal="center"/>
    </xf>
    <xf numFmtId="0" fontId="39" fillId="0" borderId="85" xfId="0" applyFont="1" applyBorder="1" applyAlignment="1">
      <alignment horizontal="center"/>
    </xf>
    <xf numFmtId="0" fontId="38" fillId="0" borderId="0" xfId="0" applyFont="1" applyFill="1" applyBorder="1" applyAlignment="1">
      <alignment horizontal="center" vertical="center" wrapText="1"/>
    </xf>
    <xf numFmtId="2" fontId="39" fillId="0" borderId="72" xfId="0" applyNumberFormat="1" applyFont="1" applyBorder="1" applyAlignment="1">
      <alignment horizontal="center"/>
    </xf>
    <xf numFmtId="0" fontId="0" fillId="0" borderId="0" xfId="0" applyAlignment="1">
      <alignment horizontal="center"/>
    </xf>
    <xf numFmtId="176" fontId="7" fillId="4" borderId="0" xfId="0" applyNumberFormat="1" applyFont="1" applyFill="1" applyAlignment="1">
      <alignment horizontal="center" vertical="center"/>
    </xf>
    <xf numFmtId="210" fontId="0" fillId="0" borderId="0" xfId="0" applyNumberFormat="1"/>
    <xf numFmtId="204" fontId="0" fillId="2" borderId="72" xfId="0" applyNumberFormat="1" applyFill="1" applyBorder="1" applyAlignment="1">
      <alignment horizontal="center" vertical="center"/>
    </xf>
    <xf numFmtId="2" fontId="39" fillId="0" borderId="72" xfId="0" applyNumberFormat="1" applyFont="1" applyBorder="1" applyAlignment="1">
      <alignment horizontal="center"/>
    </xf>
    <xf numFmtId="0" fontId="4" fillId="0" borderId="0" xfId="0" applyFont="1" applyFill="1" applyBorder="1" applyAlignment="1">
      <alignment horizontal="center" vertical="center"/>
    </xf>
    <xf numFmtId="2" fontId="67" fillId="0" borderId="72" xfId="0" applyNumberFormat="1" applyFont="1" applyBorder="1" applyAlignment="1">
      <alignment horizontal="left" wrapText="1"/>
    </xf>
    <xf numFmtId="0" fontId="0" fillId="0" borderId="72" xfId="0" applyFill="1" applyBorder="1" applyAlignment="1">
      <alignment wrapText="1"/>
    </xf>
    <xf numFmtId="0" fontId="32" fillId="0" borderId="72" xfId="0" applyFont="1" applyBorder="1" applyAlignment="1">
      <alignment horizontal="left" wrapText="1"/>
    </xf>
    <xf numFmtId="0" fontId="32" fillId="0" borderId="72" xfId="0" applyFont="1" applyBorder="1" applyAlignment="1">
      <alignment horizontal="center" vertical="center"/>
    </xf>
    <xf numFmtId="0" fontId="32" fillId="0" borderId="72" xfId="0" applyFont="1" applyBorder="1" applyAlignment="1">
      <alignment horizontal="center"/>
    </xf>
    <xf numFmtId="0" fontId="0" fillId="0" borderId="0" xfId="0"/>
    <xf numFmtId="0" fontId="32" fillId="0" borderId="72" xfId="0" applyFont="1" applyBorder="1" applyAlignment="1">
      <alignment horizontal="center" vertical="center"/>
    </xf>
    <xf numFmtId="0" fontId="32" fillId="0" borderId="72" xfId="0" applyFont="1" applyBorder="1" applyAlignment="1">
      <alignment horizontal="center"/>
    </xf>
    <xf numFmtId="201" fontId="8" fillId="5" borderId="106" xfId="0" applyNumberFormat="1" applyFont="1" applyFill="1" applyBorder="1" applyAlignment="1">
      <alignment horizontal="center" vertical="center"/>
    </xf>
    <xf numFmtId="201" fontId="7" fillId="5" borderId="105" xfId="0" applyNumberFormat="1" applyFont="1" applyFill="1" applyBorder="1" applyAlignment="1">
      <alignment horizontal="center" vertical="center"/>
    </xf>
    <xf numFmtId="0" fontId="8" fillId="5" borderId="105" xfId="0" applyFont="1" applyFill="1" applyBorder="1" applyAlignment="1">
      <alignment horizontal="left" vertical="center"/>
    </xf>
    <xf numFmtId="203" fontId="8" fillId="5" borderId="105" xfId="0" applyNumberFormat="1" applyFont="1" applyFill="1" applyBorder="1" applyAlignment="1">
      <alignment horizontal="center" vertical="center"/>
    </xf>
    <xf numFmtId="202" fontId="8" fillId="5" borderId="105" xfId="0" applyNumberFormat="1" applyFont="1" applyFill="1" applyBorder="1" applyAlignment="1">
      <alignment horizontal="center" vertical="center"/>
    </xf>
    <xf numFmtId="0" fontId="8" fillId="5" borderId="105" xfId="0" applyFont="1" applyFill="1" applyBorder="1" applyAlignment="1">
      <alignment horizontal="center" vertical="center"/>
    </xf>
    <xf numFmtId="201" fontId="8" fillId="5" borderId="105" xfId="0" applyNumberFormat="1" applyFont="1" applyFill="1" applyBorder="1" applyAlignment="1">
      <alignment horizontal="center" vertical="center"/>
    </xf>
    <xf numFmtId="0" fontId="8" fillId="0" borderId="0" xfId="0" applyFont="1" applyBorder="1" applyAlignment="1">
      <alignment horizontal="center" vertical="center"/>
    </xf>
    <xf numFmtId="0" fontId="4" fillId="0" borderId="87" xfId="0" applyFont="1" applyFill="1" applyBorder="1" applyAlignment="1">
      <alignment vertical="center" wrapText="1"/>
    </xf>
    <xf numFmtId="0" fontId="8" fillId="8" borderId="72" xfId="0" applyFont="1" applyFill="1" applyBorder="1" applyAlignment="1">
      <alignment horizontal="center" vertical="center"/>
    </xf>
    <xf numFmtId="201" fontId="8" fillId="0" borderId="106" xfId="0" applyNumberFormat="1" applyFont="1" applyFill="1" applyBorder="1" applyAlignment="1">
      <alignment horizontal="center" vertical="center"/>
    </xf>
    <xf numFmtId="201" fontId="8" fillId="0" borderId="105" xfId="0" applyNumberFormat="1" applyFont="1" applyFill="1" applyBorder="1" applyAlignment="1">
      <alignment horizontal="center" vertical="center"/>
    </xf>
    <xf numFmtId="2" fontId="39" fillId="0" borderId="0" xfId="0" applyNumberFormat="1" applyFont="1"/>
    <xf numFmtId="0" fontId="32" fillId="0" borderId="72" xfId="0" applyFont="1" applyBorder="1" applyAlignment="1">
      <alignment horizontal="left" wrapText="1"/>
    </xf>
    <xf numFmtId="0" fontId="67" fillId="0" borderId="72" xfId="0" applyFont="1" applyBorder="1"/>
    <xf numFmtId="0" fontId="5" fillId="0" borderId="0" xfId="0" applyFont="1" applyAlignment="1">
      <alignment horizontal="center" vertical="center"/>
    </xf>
    <xf numFmtId="0" fontId="0" fillId="0" borderId="72" xfId="0" applyBorder="1" applyAlignment="1">
      <alignment horizontal="center" vertical="center"/>
    </xf>
    <xf numFmtId="167" fontId="0" fillId="0" borderId="0" xfId="1" applyFont="1" applyFill="1" applyAlignment="1">
      <alignment horizontal="center" vertical="center"/>
    </xf>
    <xf numFmtId="167" fontId="0" fillId="0" borderId="0" xfId="1" applyFont="1" applyAlignment="1">
      <alignment horizontal="center" vertical="center"/>
    </xf>
    <xf numFmtId="0" fontId="0" fillId="0" borderId="0" xfId="0" applyAlignment="1">
      <alignment horizontal="center" wrapText="1"/>
    </xf>
    <xf numFmtId="0" fontId="70" fillId="0" borderId="0" xfId="0" applyFont="1" applyFill="1" applyBorder="1" applyAlignment="1">
      <alignment horizontal="center" vertical="center" wrapText="1"/>
    </xf>
    <xf numFmtId="0" fontId="0" fillId="0" borderId="0" xfId="0" applyAlignment="1">
      <alignment horizontal="center"/>
    </xf>
    <xf numFmtId="0" fontId="0" fillId="0" borderId="33" xfId="0" applyBorder="1"/>
    <xf numFmtId="0" fontId="5" fillId="0" borderId="33" xfId="0" applyFont="1" applyBorder="1" applyAlignment="1">
      <alignment horizontal="center" vertical="center"/>
    </xf>
    <xf numFmtId="0" fontId="8" fillId="0" borderId="33" xfId="0" applyFont="1" applyBorder="1" applyAlignment="1">
      <alignment vertical="center"/>
    </xf>
    <xf numFmtId="49" fontId="7" fillId="4" borderId="0" xfId="0" applyNumberFormat="1" applyFont="1" applyFill="1" applyAlignment="1">
      <alignment horizontal="center" vertical="center"/>
    </xf>
    <xf numFmtId="2" fontId="7" fillId="4" borderId="0" xfId="12" applyNumberFormat="1" applyFont="1" applyFill="1" applyAlignment="1">
      <alignment horizontal="center" vertical="center"/>
    </xf>
    <xf numFmtId="0" fontId="8" fillId="0" borderId="63" xfId="0" applyFont="1" applyFill="1" applyBorder="1" applyAlignment="1">
      <alignment vertical="center" wrapText="1"/>
    </xf>
    <xf numFmtId="0" fontId="8" fillId="0" borderId="33" xfId="0" applyNumberFormat="1" applyFont="1" applyBorder="1" applyAlignment="1">
      <alignment horizontal="center" vertical="center"/>
    </xf>
    <xf numFmtId="167" fontId="8" fillId="0" borderId="33" xfId="5" applyFont="1" applyBorder="1" applyAlignment="1">
      <alignment horizontal="center" vertical="center"/>
    </xf>
    <xf numFmtId="0" fontId="76" fillId="0" borderId="0" xfId="0" applyFont="1"/>
    <xf numFmtId="0" fontId="8" fillId="0" borderId="0" xfId="0" applyNumberFormat="1" applyFont="1" applyBorder="1" applyAlignment="1">
      <alignment vertical="center"/>
    </xf>
    <xf numFmtId="176" fontId="7" fillId="0" borderId="0" xfId="0" applyNumberFormat="1" applyFont="1" applyBorder="1" applyAlignment="1">
      <alignment vertical="center"/>
    </xf>
    <xf numFmtId="2" fontId="76" fillId="0" borderId="0" xfId="0" applyNumberFormat="1" applyFont="1"/>
    <xf numFmtId="175" fontId="76" fillId="0" borderId="0" xfId="0" applyNumberFormat="1" applyFont="1"/>
    <xf numFmtId="0" fontId="8" fillId="0" borderId="130" xfId="0" applyFont="1" applyBorder="1" applyAlignment="1">
      <alignment horizontal="center" vertical="center"/>
    </xf>
    <xf numFmtId="176" fontId="8" fillId="0" borderId="130" xfId="0" applyNumberFormat="1" applyFont="1" applyBorder="1" applyAlignment="1">
      <alignment vertical="center"/>
    </xf>
    <xf numFmtId="0" fontId="8" fillId="0" borderId="130" xfId="0" applyNumberFormat="1" applyFont="1" applyBorder="1" applyAlignment="1">
      <alignment vertical="center"/>
    </xf>
    <xf numFmtId="176" fontId="7" fillId="0" borderId="130" xfId="0" applyNumberFormat="1" applyFont="1" applyBorder="1" applyAlignment="1">
      <alignment vertical="center"/>
    </xf>
    <xf numFmtId="176" fontId="8" fillId="0" borderId="130" xfId="0" applyNumberFormat="1" applyFont="1" applyBorder="1" applyAlignment="1">
      <alignment horizontal="center" vertical="center"/>
    </xf>
    <xf numFmtId="175" fontId="8" fillId="0" borderId="130" xfId="0" applyNumberFormat="1" applyFont="1" applyBorder="1" applyAlignment="1">
      <alignment vertical="center"/>
    </xf>
    <xf numFmtId="167" fontId="8" fillId="0" borderId="35" xfId="5" applyFont="1" applyBorder="1" applyAlignment="1">
      <alignment horizontal="right" vertical="center"/>
    </xf>
    <xf numFmtId="164" fontId="8" fillId="0" borderId="35" xfId="5" applyNumberFormat="1" applyFont="1" applyBorder="1" applyAlignment="1">
      <alignment horizontal="right" vertical="center"/>
    </xf>
    <xf numFmtId="0" fontId="8" fillId="0" borderId="132" xfId="0" applyFont="1" applyFill="1" applyBorder="1" applyAlignment="1">
      <alignment vertical="center" wrapText="1"/>
    </xf>
    <xf numFmtId="0" fontId="8" fillId="0" borderId="120" xfId="0" applyNumberFormat="1" applyFont="1" applyBorder="1" applyAlignment="1">
      <alignment horizontal="center" vertical="center"/>
    </xf>
    <xf numFmtId="2" fontId="8" fillId="0" borderId="120" xfId="0" applyNumberFormat="1" applyFont="1" applyBorder="1" applyAlignment="1">
      <alignment horizontal="center" vertical="center"/>
    </xf>
    <xf numFmtId="1" fontId="8" fillId="0" borderId="50" xfId="0" applyNumberFormat="1" applyFont="1" applyBorder="1" applyAlignment="1">
      <alignment horizontal="center" vertical="center"/>
    </xf>
    <xf numFmtId="167" fontId="8" fillId="0" borderId="36" xfId="5" applyFont="1" applyFill="1" applyBorder="1" applyAlignment="1">
      <alignment horizontal="center" vertical="center"/>
    </xf>
    <xf numFmtId="176" fontId="8" fillId="0" borderId="38" xfId="0" applyNumberFormat="1" applyFont="1" applyFill="1" applyBorder="1" applyAlignment="1">
      <alignment vertical="center"/>
    </xf>
    <xf numFmtId="1" fontId="8" fillId="0" borderId="37" xfId="0" applyNumberFormat="1" applyFont="1" applyFill="1" applyBorder="1" applyAlignment="1">
      <alignment horizontal="center" vertical="center"/>
    </xf>
    <xf numFmtId="0" fontId="8" fillId="0" borderId="43" xfId="0" applyFont="1" applyFill="1" applyBorder="1" applyAlignment="1">
      <alignment vertical="center"/>
    </xf>
    <xf numFmtId="173" fontId="8" fillId="0" borderId="35" xfId="5" applyNumberFormat="1" applyFont="1" applyFill="1" applyBorder="1" applyAlignment="1">
      <alignment vertical="center"/>
    </xf>
    <xf numFmtId="2" fontId="8" fillId="0" borderId="37" xfId="0" applyNumberFormat="1" applyFont="1" applyFill="1" applyBorder="1" applyAlignment="1">
      <alignment horizontal="center" vertical="center"/>
    </xf>
    <xf numFmtId="175" fontId="8" fillId="0" borderId="0" xfId="0" applyNumberFormat="1" applyFont="1" applyFill="1" applyAlignment="1">
      <alignment vertical="center"/>
    </xf>
    <xf numFmtId="176" fontId="8" fillId="0" borderId="46" xfId="0" applyNumberFormat="1" applyFont="1" applyFill="1" applyBorder="1" applyAlignment="1">
      <alignment vertical="center"/>
    </xf>
    <xf numFmtId="0" fontId="8" fillId="0" borderId="47" xfId="0" applyNumberFormat="1" applyFont="1" applyFill="1" applyBorder="1" applyAlignment="1">
      <alignment vertical="center"/>
    </xf>
    <xf numFmtId="176" fontId="8" fillId="0" borderId="47" xfId="0" applyNumberFormat="1" applyFont="1" applyFill="1" applyBorder="1" applyAlignment="1">
      <alignment horizontal="center" vertical="center"/>
    </xf>
    <xf numFmtId="175" fontId="8" fillId="0" borderId="48" xfId="0" applyNumberFormat="1" applyFont="1" applyFill="1" applyBorder="1" applyAlignment="1">
      <alignment vertical="center"/>
    </xf>
    <xf numFmtId="176" fontId="8" fillId="0" borderId="0" xfId="0" applyNumberFormat="1" applyFont="1" applyFill="1" applyBorder="1" applyAlignment="1">
      <alignment vertical="center" wrapText="1"/>
    </xf>
    <xf numFmtId="176" fontId="8" fillId="0" borderId="0" xfId="0" applyNumberFormat="1" applyFont="1" applyFill="1" applyBorder="1" applyAlignment="1">
      <alignment horizontal="center" vertical="center"/>
    </xf>
    <xf numFmtId="0" fontId="8" fillId="0" borderId="0" xfId="0" applyNumberFormat="1" applyFont="1" applyFill="1" applyBorder="1" applyAlignment="1">
      <alignment horizontal="center" vertical="center"/>
    </xf>
    <xf numFmtId="176" fontId="8" fillId="0" borderId="0" xfId="0" applyNumberFormat="1" applyFont="1" applyFill="1" applyBorder="1" applyAlignment="1">
      <alignment vertical="center"/>
    </xf>
    <xf numFmtId="9" fontId="8" fillId="0" borderId="0" xfId="0" applyNumberFormat="1" applyFont="1" applyFill="1" applyBorder="1" applyAlignment="1">
      <alignment horizontal="center" vertical="center"/>
    </xf>
    <xf numFmtId="167" fontId="8" fillId="0" borderId="0" xfId="5" applyFont="1" applyFill="1" applyBorder="1" applyAlignment="1">
      <alignment horizontal="center" vertical="center"/>
    </xf>
    <xf numFmtId="176" fontId="7" fillId="0" borderId="23" xfId="0" applyNumberFormat="1" applyFont="1" applyFill="1" applyBorder="1" applyAlignment="1">
      <alignment horizontal="center" vertical="center" wrapText="1"/>
    </xf>
    <xf numFmtId="176" fontId="7" fillId="0" borderId="24" xfId="0" applyNumberFormat="1" applyFont="1" applyFill="1" applyBorder="1" applyAlignment="1">
      <alignment horizontal="center" vertical="center"/>
    </xf>
    <xf numFmtId="0" fontId="7" fillId="0" borderId="24" xfId="0" applyNumberFormat="1" applyFont="1" applyFill="1" applyBorder="1" applyAlignment="1">
      <alignment horizontal="center" vertical="center"/>
    </xf>
    <xf numFmtId="167" fontId="7" fillId="0" borderId="25" xfId="5" applyFont="1" applyFill="1" applyBorder="1" applyAlignment="1">
      <alignment horizontal="center" vertical="center"/>
    </xf>
    <xf numFmtId="176" fontId="8" fillId="0" borderId="13" xfId="0" applyNumberFormat="1" applyFont="1" applyFill="1" applyBorder="1" applyAlignment="1">
      <alignment vertical="center"/>
    </xf>
    <xf numFmtId="0" fontId="8" fillId="0" borderId="13" xfId="0" applyNumberFormat="1" applyFont="1" applyFill="1" applyBorder="1" applyAlignment="1">
      <alignment vertical="center"/>
    </xf>
    <xf numFmtId="176" fontId="8" fillId="0" borderId="44" xfId="0" applyNumberFormat="1" applyFont="1" applyFill="1" applyBorder="1" applyAlignment="1">
      <alignment horizontal="center" vertical="center"/>
    </xf>
    <xf numFmtId="175" fontId="8" fillId="0" borderId="45" xfId="0" applyNumberFormat="1" applyFont="1" applyFill="1" applyBorder="1" applyAlignment="1">
      <alignment vertical="center"/>
    </xf>
    <xf numFmtId="175" fontId="8" fillId="0" borderId="0" xfId="0" applyNumberFormat="1" applyFont="1" applyFill="1" applyBorder="1" applyAlignment="1">
      <alignment vertical="center"/>
    </xf>
    <xf numFmtId="176" fontId="7" fillId="0" borderId="23" xfId="0" applyNumberFormat="1" applyFont="1" applyFill="1" applyBorder="1" applyAlignment="1">
      <alignment horizontal="center" vertical="center"/>
    </xf>
    <xf numFmtId="175" fontId="7" fillId="0" borderId="25" xfId="0" applyNumberFormat="1" applyFont="1" applyFill="1" applyBorder="1" applyAlignment="1">
      <alignment horizontal="center" vertical="center"/>
    </xf>
    <xf numFmtId="175" fontId="7" fillId="0" borderId="0" xfId="0" applyNumberFormat="1" applyFont="1" applyFill="1" applyAlignment="1">
      <alignment vertical="center"/>
    </xf>
    <xf numFmtId="167" fontId="0" fillId="0" borderId="72" xfId="1" applyFont="1" applyFill="1" applyBorder="1" applyAlignment="1">
      <alignment horizontal="center" vertical="center"/>
    </xf>
    <xf numFmtId="178" fontId="0" fillId="0" borderId="72" xfId="0" applyNumberFormat="1" applyFill="1" applyBorder="1" applyAlignment="1">
      <alignment horizontal="center" vertical="center"/>
    </xf>
    <xf numFmtId="167" fontId="33" fillId="0" borderId="72" xfId="1" applyFont="1" applyFill="1" applyBorder="1" applyAlignment="1">
      <alignment horizontal="center" vertical="center"/>
    </xf>
    <xf numFmtId="167" fontId="0" fillId="0" borderId="72" xfId="1" applyFont="1" applyBorder="1" applyAlignment="1">
      <alignment horizontal="center" vertical="center"/>
    </xf>
    <xf numFmtId="0" fontId="0" fillId="0" borderId="72" xfId="0" applyFill="1" applyBorder="1" applyAlignment="1">
      <alignment vertical="center"/>
    </xf>
    <xf numFmtId="168" fontId="8" fillId="0" borderId="35" xfId="4" applyFont="1" applyBorder="1" applyAlignment="1">
      <alignment horizontal="center" vertical="center"/>
    </xf>
    <xf numFmtId="1" fontId="8" fillId="0" borderId="47" xfId="0" applyNumberFormat="1" applyFont="1" applyBorder="1" applyAlignment="1">
      <alignment horizontal="center" vertical="center"/>
    </xf>
    <xf numFmtId="167" fontId="8" fillId="0" borderId="127" xfId="5" applyFont="1" applyBorder="1" applyAlignment="1">
      <alignment horizontal="center" vertical="center"/>
    </xf>
    <xf numFmtId="173" fontId="0" fillId="0" borderId="0" xfId="1" applyNumberFormat="1" applyFont="1" applyFill="1" applyBorder="1"/>
    <xf numFmtId="10" fontId="71" fillId="0" borderId="0" xfId="0" applyNumberFormat="1" applyFont="1" applyFill="1" applyBorder="1" applyAlignment="1">
      <alignment horizontal="center" wrapText="1"/>
    </xf>
    <xf numFmtId="0" fontId="68" fillId="0" borderId="72" xfId="0" applyFont="1" applyBorder="1"/>
    <xf numFmtId="178" fontId="67" fillId="6" borderId="72" xfId="0" applyNumberFormat="1" applyFont="1" applyFill="1" applyBorder="1" applyAlignment="1">
      <alignment vertical="center" wrapText="1"/>
    </xf>
    <xf numFmtId="0" fontId="69" fillId="6" borderId="72" xfId="0" applyFont="1" applyFill="1" applyBorder="1" applyAlignment="1">
      <alignment wrapText="1"/>
    </xf>
    <xf numFmtId="0" fontId="67" fillId="6" borderId="72" xfId="0" applyFont="1" applyFill="1" applyBorder="1" applyAlignment="1">
      <alignment horizontal="center" vertical="center" wrapText="1"/>
    </xf>
    <xf numFmtId="0" fontId="67" fillId="6" borderId="72" xfId="0" applyFont="1" applyFill="1" applyBorder="1" applyAlignment="1">
      <alignment horizontal="center" wrapText="1"/>
    </xf>
    <xf numFmtId="0" fontId="67" fillId="6" borderId="72" xfId="0" applyFont="1" applyFill="1" applyBorder="1" applyAlignment="1">
      <alignment wrapText="1"/>
    </xf>
    <xf numFmtId="178" fontId="67" fillId="0" borderId="72" xfId="0" applyNumberFormat="1" applyFont="1" applyFill="1" applyBorder="1" applyAlignment="1">
      <alignment horizontal="center" vertical="center" wrapText="1"/>
    </xf>
    <xf numFmtId="173" fontId="67" fillId="0" borderId="72" xfId="5" applyNumberFormat="1" applyFont="1" applyFill="1" applyBorder="1" applyAlignment="1">
      <alignment horizontal="center" vertical="center" wrapText="1"/>
    </xf>
    <xf numFmtId="167" fontId="67" fillId="0" borderId="72" xfId="0" applyNumberFormat="1" applyFont="1" applyBorder="1" applyAlignment="1">
      <alignment horizontal="center" vertical="center" wrapText="1"/>
    </xf>
    <xf numFmtId="2" fontId="67" fillId="6" borderId="72" xfId="0" applyNumberFormat="1" applyFont="1" applyFill="1" applyBorder="1" applyAlignment="1">
      <alignment vertical="center" wrapText="1"/>
    </xf>
    <xf numFmtId="2" fontId="67" fillId="0" borderId="72" xfId="0" applyNumberFormat="1" applyFont="1" applyFill="1" applyBorder="1" applyAlignment="1">
      <alignment horizontal="center" vertical="center" wrapText="1"/>
    </xf>
    <xf numFmtId="0" fontId="67" fillId="0" borderId="0" xfId="0" applyFont="1" applyAlignment="1">
      <alignment vertical="center" wrapText="1"/>
    </xf>
    <xf numFmtId="0" fontId="67" fillId="0" borderId="0" xfId="0" applyFont="1" applyAlignment="1">
      <alignment wrapText="1"/>
    </xf>
    <xf numFmtId="0" fontId="67" fillId="0" borderId="0" xfId="0" applyFont="1" applyAlignment="1">
      <alignment horizontal="center" vertical="center" wrapText="1"/>
    </xf>
    <xf numFmtId="0" fontId="67" fillId="0" borderId="0" xfId="0" applyFont="1" applyAlignment="1">
      <alignment horizontal="center" wrapText="1"/>
    </xf>
    <xf numFmtId="0" fontId="69" fillId="2" borderId="85" xfId="0" applyFont="1" applyFill="1" applyBorder="1" applyAlignment="1">
      <alignment vertical="center" wrapText="1"/>
    </xf>
    <xf numFmtId="0" fontId="0" fillId="0" borderId="0" xfId="0"/>
    <xf numFmtId="175" fontId="8" fillId="0" borderId="0" xfId="0" applyNumberFormat="1" applyFont="1" applyAlignment="1">
      <alignment vertical="center"/>
    </xf>
    <xf numFmtId="0" fontId="5" fillId="0" borderId="0" xfId="0" applyFont="1" applyAlignment="1">
      <alignment horizontal="center" vertical="center"/>
    </xf>
    <xf numFmtId="176" fontId="8" fillId="0" borderId="0" xfId="0" applyNumberFormat="1" applyFont="1" applyAlignment="1">
      <alignment horizontal="center" vertical="center"/>
    </xf>
    <xf numFmtId="0" fontId="8" fillId="0" borderId="34" xfId="0" applyFont="1" applyFill="1" applyBorder="1" applyAlignment="1">
      <alignment vertical="center" wrapText="1"/>
    </xf>
    <xf numFmtId="176" fontId="8" fillId="0" borderId="35" xfId="0" applyNumberFormat="1" applyFont="1" applyBorder="1" applyAlignment="1">
      <alignment horizontal="center" vertical="center"/>
    </xf>
    <xf numFmtId="176" fontId="8" fillId="0" borderId="35" xfId="0" applyNumberFormat="1" applyFont="1" applyBorder="1" applyAlignment="1">
      <alignment vertical="center"/>
    </xf>
    <xf numFmtId="176" fontId="8" fillId="0" borderId="37" xfId="0" applyNumberFormat="1" applyFont="1" applyBorder="1" applyAlignment="1">
      <alignment horizontal="center" vertical="center"/>
    </xf>
    <xf numFmtId="176" fontId="8" fillId="0" borderId="37" xfId="0" applyNumberFormat="1" applyFont="1" applyBorder="1" applyAlignment="1">
      <alignment vertical="center"/>
    </xf>
    <xf numFmtId="0" fontId="8" fillId="0" borderId="22" xfId="0" applyFont="1" applyFill="1" applyBorder="1" applyAlignment="1">
      <alignment vertical="center" wrapText="1"/>
    </xf>
    <xf numFmtId="176" fontId="8" fillId="0" borderId="38" xfId="0" applyNumberFormat="1" applyFont="1" applyBorder="1" applyAlignment="1">
      <alignment vertical="center"/>
    </xf>
    <xf numFmtId="175" fontId="8" fillId="0" borderId="39" xfId="0" applyNumberFormat="1" applyFont="1" applyBorder="1" applyAlignment="1">
      <alignment vertical="center"/>
    </xf>
    <xf numFmtId="176" fontId="8" fillId="0" borderId="40" xfId="0" applyNumberFormat="1" applyFont="1" applyBorder="1" applyAlignment="1">
      <alignment vertical="center"/>
    </xf>
    <xf numFmtId="176" fontId="8" fillId="0" borderId="41" xfId="0" applyNumberFormat="1" applyFont="1" applyBorder="1" applyAlignment="1">
      <alignment horizontal="center" vertical="center"/>
    </xf>
    <xf numFmtId="175" fontId="8" fillId="0" borderId="42" xfId="0" applyNumberFormat="1" applyFont="1" applyBorder="1" applyAlignment="1">
      <alignment vertical="center"/>
    </xf>
    <xf numFmtId="176" fontId="8" fillId="0" borderId="13" xfId="0" applyNumberFormat="1" applyFont="1" applyBorder="1" applyAlignment="1">
      <alignment vertical="center"/>
    </xf>
    <xf numFmtId="2" fontId="8" fillId="0" borderId="35" xfId="0" applyNumberFormat="1" applyFont="1" applyBorder="1" applyAlignment="1">
      <alignment horizontal="center" vertical="center"/>
    </xf>
    <xf numFmtId="176" fontId="8" fillId="0" borderId="44" xfId="0" applyNumberFormat="1" applyFont="1" applyBorder="1" applyAlignment="1">
      <alignment horizontal="center" vertical="center"/>
    </xf>
    <xf numFmtId="175" fontId="8" fillId="0" borderId="45" xfId="0" applyNumberFormat="1" applyFont="1" applyBorder="1" applyAlignment="1">
      <alignment vertical="center"/>
    </xf>
    <xf numFmtId="176" fontId="8" fillId="0" borderId="46" xfId="0" applyNumberFormat="1" applyFont="1" applyBorder="1" applyAlignment="1">
      <alignment vertical="center"/>
    </xf>
    <xf numFmtId="176" fontId="8" fillId="0" borderId="47" xfId="0" applyNumberFormat="1" applyFont="1" applyBorder="1" applyAlignment="1">
      <alignment vertical="center"/>
    </xf>
    <xf numFmtId="176" fontId="8" fillId="0" borderId="47" xfId="0" applyNumberFormat="1" applyFont="1" applyBorder="1" applyAlignment="1">
      <alignment horizontal="center" vertical="center"/>
    </xf>
    <xf numFmtId="175" fontId="8" fillId="0" borderId="48" xfId="0" applyNumberFormat="1" applyFont="1" applyBorder="1" applyAlignment="1">
      <alignment vertical="center"/>
    </xf>
    <xf numFmtId="176" fontId="8" fillId="0" borderId="33" xfId="0" applyNumberFormat="1" applyFont="1" applyBorder="1" applyAlignment="1">
      <alignment vertical="center"/>
    </xf>
    <xf numFmtId="176" fontId="8" fillId="0" borderId="33" xfId="0" applyNumberFormat="1" applyFont="1" applyBorder="1" applyAlignment="1">
      <alignment horizontal="center" vertical="center"/>
    </xf>
    <xf numFmtId="0" fontId="8" fillId="0" borderId="43" xfId="0" applyFont="1" applyBorder="1" applyAlignment="1">
      <alignment vertical="center"/>
    </xf>
    <xf numFmtId="0" fontId="8" fillId="0" borderId="38" xfId="0" applyFont="1" applyBorder="1" applyAlignment="1">
      <alignment vertical="center"/>
    </xf>
    <xf numFmtId="2" fontId="8" fillId="0" borderId="37" xfId="0" applyNumberFormat="1" applyFont="1" applyBorder="1" applyAlignment="1">
      <alignment horizontal="center" vertical="center"/>
    </xf>
    <xf numFmtId="176" fontId="8" fillId="0" borderId="43" xfId="0" applyNumberFormat="1" applyFont="1" applyBorder="1" applyAlignment="1">
      <alignment vertical="center" wrapText="1"/>
    </xf>
    <xf numFmtId="1" fontId="8" fillId="0" borderId="37" xfId="0" applyNumberFormat="1" applyFont="1" applyBorder="1" applyAlignment="1">
      <alignment horizontal="center" vertical="center"/>
    </xf>
    <xf numFmtId="0" fontId="8" fillId="0" borderId="35" xfId="0" applyNumberFormat="1" applyFont="1" applyBorder="1" applyAlignment="1">
      <alignment horizontal="center" vertical="center"/>
    </xf>
    <xf numFmtId="0" fontId="8" fillId="0" borderId="37" xfId="0" applyNumberFormat="1" applyFont="1" applyBorder="1" applyAlignment="1">
      <alignment horizontal="center" vertical="center"/>
    </xf>
    <xf numFmtId="0" fontId="8" fillId="0" borderId="38" xfId="0" applyFont="1" applyFill="1" applyBorder="1" applyAlignment="1">
      <alignment vertical="center" wrapText="1"/>
    </xf>
    <xf numFmtId="0" fontId="20" fillId="0" borderId="38" xfId="0" applyFont="1" applyFill="1" applyBorder="1" applyAlignment="1">
      <alignment vertical="center" wrapText="1"/>
    </xf>
    <xf numFmtId="9" fontId="8" fillId="0" borderId="37" xfId="3" applyFont="1" applyBorder="1" applyAlignment="1">
      <alignment horizontal="center" vertical="center"/>
    </xf>
    <xf numFmtId="9" fontId="8" fillId="0" borderId="35" xfId="3" applyFont="1" applyBorder="1" applyAlignment="1">
      <alignment horizontal="center" vertical="center"/>
    </xf>
    <xf numFmtId="173" fontId="8" fillId="0" borderId="35" xfId="5" applyNumberFormat="1" applyFont="1" applyBorder="1" applyAlignment="1">
      <alignment vertical="center"/>
    </xf>
    <xf numFmtId="167" fontId="8" fillId="0" borderId="35" xfId="5" applyNumberFormat="1" applyFont="1" applyBorder="1" applyAlignment="1">
      <alignment vertical="center"/>
    </xf>
    <xf numFmtId="167" fontId="8" fillId="0" borderId="35" xfId="5" applyFont="1" applyBorder="1" applyAlignment="1">
      <alignment vertical="center"/>
    </xf>
    <xf numFmtId="167" fontId="8" fillId="0" borderId="37" xfId="5" applyFont="1" applyBorder="1" applyAlignment="1">
      <alignment vertical="center"/>
    </xf>
    <xf numFmtId="167" fontId="8" fillId="0" borderId="35" xfId="5" applyFont="1" applyBorder="1" applyAlignment="1">
      <alignment horizontal="center" vertical="center"/>
    </xf>
    <xf numFmtId="167" fontId="8" fillId="0" borderId="36" xfId="5" applyFont="1" applyBorder="1" applyAlignment="1">
      <alignment horizontal="center" vertical="center"/>
    </xf>
    <xf numFmtId="167" fontId="8" fillId="0" borderId="41" xfId="5" applyFont="1" applyBorder="1" applyAlignment="1">
      <alignment vertical="center"/>
    </xf>
    <xf numFmtId="0" fontId="8" fillId="0" borderId="37" xfId="0" applyNumberFormat="1" applyFont="1" applyFill="1" applyBorder="1" applyAlignment="1">
      <alignment horizontal="center" vertical="center"/>
    </xf>
    <xf numFmtId="164" fontId="8" fillId="0" borderId="36" xfId="5" applyNumberFormat="1" applyFont="1" applyBorder="1" applyAlignment="1">
      <alignment vertical="center"/>
    </xf>
    <xf numFmtId="164" fontId="8" fillId="0" borderId="35" xfId="5" applyNumberFormat="1" applyFont="1" applyBorder="1" applyAlignment="1">
      <alignment horizontal="center" vertical="center"/>
    </xf>
    <xf numFmtId="0" fontId="8" fillId="0" borderId="37" xfId="12" applyNumberFormat="1" applyFont="1" applyBorder="1" applyAlignment="1">
      <alignment horizontal="center" vertical="center"/>
    </xf>
    <xf numFmtId="173" fontId="8" fillId="0" borderId="36" xfId="13" applyNumberFormat="1" applyFont="1" applyBorder="1" applyAlignment="1">
      <alignment horizontal="center" vertical="center"/>
    </xf>
    <xf numFmtId="0" fontId="8" fillId="0" borderId="35" xfId="12" applyNumberFormat="1" applyFont="1" applyBorder="1" applyAlignment="1">
      <alignment horizontal="center" vertical="center"/>
    </xf>
    <xf numFmtId="0" fontId="8" fillId="0" borderId="37" xfId="0" applyNumberFormat="1" applyFont="1" applyBorder="1" applyAlignment="1">
      <alignment vertical="center"/>
    </xf>
    <xf numFmtId="0" fontId="8" fillId="0" borderId="13" xfId="0" applyNumberFormat="1" applyFont="1" applyBorder="1" applyAlignment="1">
      <alignment vertical="center"/>
    </xf>
    <xf numFmtId="0" fontId="8" fillId="0" borderId="47" xfId="0" applyNumberFormat="1" applyFont="1" applyBorder="1" applyAlignment="1">
      <alignment vertical="center"/>
    </xf>
    <xf numFmtId="0" fontId="8" fillId="0" borderId="50" xfId="0" applyNumberFormat="1" applyFont="1" applyBorder="1" applyAlignment="1">
      <alignment horizontal="center" vertical="center"/>
    </xf>
    <xf numFmtId="176" fontId="8" fillId="0" borderId="35" xfId="0" applyNumberFormat="1" applyFont="1" applyFill="1" applyBorder="1" applyAlignment="1">
      <alignment vertical="center"/>
    </xf>
    <xf numFmtId="173" fontId="8" fillId="0" borderId="36" xfId="13" applyNumberFormat="1" applyFont="1" applyFill="1" applyBorder="1" applyAlignment="1">
      <alignment horizontal="center" vertical="center"/>
    </xf>
    <xf numFmtId="176" fontId="8" fillId="0" borderId="38" xfId="0" applyNumberFormat="1" applyFont="1" applyFill="1" applyBorder="1" applyAlignment="1">
      <alignment vertical="center" wrapText="1"/>
    </xf>
    <xf numFmtId="0" fontId="0" fillId="0" borderId="72" xfId="0" applyBorder="1" applyAlignment="1">
      <alignment horizontal="center" vertical="center"/>
    </xf>
    <xf numFmtId="0" fontId="7" fillId="0" borderId="24" xfId="0" applyNumberFormat="1" applyFont="1" applyBorder="1" applyAlignment="1">
      <alignment horizontal="center" vertical="center"/>
    </xf>
    <xf numFmtId="2" fontId="8" fillId="0" borderId="35" xfId="12" applyNumberFormat="1" applyFont="1" applyFill="1" applyBorder="1" applyAlignment="1">
      <alignment horizontal="center" vertical="center"/>
    </xf>
    <xf numFmtId="0" fontId="8" fillId="0" borderId="126" xfId="0" applyFont="1" applyFill="1" applyBorder="1" applyAlignment="1">
      <alignment vertical="center" wrapText="1"/>
    </xf>
    <xf numFmtId="176" fontId="8" fillId="0" borderId="50" xfId="0" applyNumberFormat="1" applyFont="1" applyBorder="1" applyAlignment="1">
      <alignment horizontal="center" vertical="center"/>
    </xf>
    <xf numFmtId="176" fontId="8" fillId="0" borderId="50" xfId="0" applyNumberFormat="1" applyFont="1" applyBorder="1" applyAlignment="1">
      <alignment vertical="center"/>
    </xf>
    <xf numFmtId="2" fontId="8" fillId="0" borderId="50" xfId="0" applyNumberFormat="1" applyFont="1" applyBorder="1" applyAlignment="1">
      <alignment horizontal="center" vertical="center"/>
    </xf>
    <xf numFmtId="164" fontId="8" fillId="0" borderId="79" xfId="5" applyNumberFormat="1" applyFont="1" applyBorder="1" applyAlignment="1">
      <alignment vertical="center"/>
    </xf>
    <xf numFmtId="176" fontId="8" fillId="0" borderId="0" xfId="0" applyNumberFormat="1" applyFont="1" applyBorder="1" applyAlignment="1">
      <alignment vertical="center"/>
    </xf>
    <xf numFmtId="176" fontId="8" fillId="0" borderId="0" xfId="0" applyNumberFormat="1" applyFont="1" applyBorder="1" applyAlignment="1">
      <alignment horizontal="center" vertical="center"/>
    </xf>
    <xf numFmtId="0" fontId="8" fillId="0" borderId="0" xfId="0" applyNumberFormat="1" applyFont="1" applyBorder="1" applyAlignment="1">
      <alignment horizontal="center" vertical="center"/>
    </xf>
    <xf numFmtId="176" fontId="7" fillId="0" borderId="24" xfId="0" applyNumberFormat="1" applyFont="1" applyBorder="1" applyAlignment="1">
      <alignment horizontal="center" vertical="center"/>
    </xf>
    <xf numFmtId="167" fontId="7" fillId="0" borderId="25" xfId="5" applyFont="1" applyBorder="1" applyAlignment="1">
      <alignment horizontal="center" vertical="center"/>
    </xf>
    <xf numFmtId="176" fontId="7" fillId="0" borderId="23" xfId="0" applyNumberFormat="1" applyFont="1" applyBorder="1" applyAlignment="1">
      <alignment horizontal="center" vertical="center" wrapText="1"/>
    </xf>
    <xf numFmtId="176" fontId="7" fillId="0" borderId="23" xfId="0" applyNumberFormat="1" applyFont="1" applyBorder="1" applyAlignment="1">
      <alignment horizontal="center" vertical="center"/>
    </xf>
    <xf numFmtId="175" fontId="7" fillId="0" borderId="25" xfId="0" applyNumberFormat="1" applyFont="1" applyBorder="1" applyAlignment="1">
      <alignment horizontal="center" vertical="center"/>
    </xf>
    <xf numFmtId="176" fontId="8" fillId="0" borderId="116" xfId="0" applyNumberFormat="1" applyFont="1" applyBorder="1" applyAlignment="1">
      <alignment vertical="center"/>
    </xf>
    <xf numFmtId="0" fontId="8" fillId="0" borderId="116" xfId="0" applyNumberFormat="1" applyFont="1" applyBorder="1" applyAlignment="1">
      <alignment vertical="center"/>
    </xf>
    <xf numFmtId="176" fontId="8" fillId="0" borderId="116" xfId="0" applyNumberFormat="1" applyFont="1" applyBorder="1" applyAlignment="1">
      <alignment horizontal="center" vertical="center"/>
    </xf>
    <xf numFmtId="175" fontId="8" fillId="0" borderId="116" xfId="0" applyNumberFormat="1" applyFont="1" applyBorder="1" applyAlignment="1">
      <alignment vertical="center"/>
    </xf>
    <xf numFmtId="176" fontId="8" fillId="0" borderId="0" xfId="0" applyNumberFormat="1" applyFont="1" applyBorder="1" applyAlignment="1">
      <alignment vertical="center" wrapText="1"/>
    </xf>
    <xf numFmtId="9" fontId="8" fillId="0" borderId="0" xfId="0" applyNumberFormat="1" applyFont="1" applyBorder="1" applyAlignment="1">
      <alignment horizontal="center" vertical="center"/>
    </xf>
    <xf numFmtId="167" fontId="8" fillId="0" borderId="0" xfId="5" applyFont="1" applyBorder="1" applyAlignment="1">
      <alignment horizontal="center" vertical="center"/>
    </xf>
    <xf numFmtId="176" fontId="8" fillId="0" borderId="37" xfId="0" applyNumberFormat="1" applyFont="1" applyFill="1" applyBorder="1" applyAlignment="1">
      <alignment horizontal="center" vertical="center"/>
    </xf>
    <xf numFmtId="0" fontId="8" fillId="0" borderId="63" xfId="0" applyFont="1" applyFill="1" applyBorder="1" applyAlignment="1">
      <alignment vertical="center" wrapText="1"/>
    </xf>
    <xf numFmtId="0" fontId="8" fillId="0" borderId="33" xfId="0" applyNumberFormat="1" applyFont="1" applyBorder="1" applyAlignment="1">
      <alignment horizontal="center" vertical="center"/>
    </xf>
    <xf numFmtId="167" fontId="8" fillId="0" borderId="33" xfId="5" applyFont="1" applyBorder="1" applyAlignment="1">
      <alignment horizontal="center" vertical="center"/>
    </xf>
    <xf numFmtId="167" fontId="8" fillId="0" borderId="35" xfId="5" applyFont="1" applyBorder="1" applyAlignment="1">
      <alignment horizontal="right" vertical="center"/>
    </xf>
    <xf numFmtId="176" fontId="8" fillId="0" borderId="50" xfId="0" applyNumberFormat="1" applyFont="1" applyBorder="1" applyAlignment="1">
      <alignment horizontal="right" vertical="center"/>
    </xf>
    <xf numFmtId="164" fontId="8" fillId="0" borderId="35" xfId="5" applyNumberFormat="1" applyFont="1" applyBorder="1" applyAlignment="1">
      <alignment horizontal="right" vertical="center"/>
    </xf>
    <xf numFmtId="0" fontId="8" fillId="0" borderId="131" xfId="0" applyFont="1" applyFill="1" applyBorder="1" applyAlignment="1">
      <alignment vertical="center" wrapText="1"/>
    </xf>
    <xf numFmtId="0" fontId="8" fillId="0" borderId="41" xfId="0" applyNumberFormat="1" applyFont="1" applyBorder="1" applyAlignment="1">
      <alignment horizontal="center" vertical="center"/>
    </xf>
    <xf numFmtId="0" fontId="7" fillId="0" borderId="63" xfId="0" applyFont="1" applyFill="1" applyBorder="1" applyAlignment="1">
      <alignment horizontal="right" vertical="center" wrapText="1"/>
    </xf>
    <xf numFmtId="178" fontId="8" fillId="0" borderId="50" xfId="0" applyNumberFormat="1" applyFont="1" applyBorder="1" applyAlignment="1">
      <alignment horizontal="center" vertical="center"/>
    </xf>
    <xf numFmtId="1" fontId="8" fillId="0" borderId="50" xfId="0" applyNumberFormat="1" applyFont="1" applyBorder="1" applyAlignment="1">
      <alignment horizontal="center" vertical="center"/>
    </xf>
    <xf numFmtId="167" fontId="8" fillId="0" borderId="36" xfId="5" applyFont="1" applyFill="1" applyBorder="1" applyAlignment="1">
      <alignment horizontal="center" vertical="center"/>
    </xf>
    <xf numFmtId="176" fontId="8" fillId="0" borderId="38" xfId="0" applyNumberFormat="1" applyFont="1" applyFill="1" applyBorder="1" applyAlignment="1">
      <alignment vertical="center"/>
    </xf>
    <xf numFmtId="1" fontId="8" fillId="0" borderId="37" xfId="0" applyNumberFormat="1" applyFont="1" applyFill="1" applyBorder="1" applyAlignment="1">
      <alignment horizontal="center" vertical="center"/>
    </xf>
    <xf numFmtId="0" fontId="8" fillId="0" borderId="43" xfId="0" applyFont="1" applyFill="1" applyBorder="1" applyAlignment="1">
      <alignment vertical="center"/>
    </xf>
    <xf numFmtId="173" fontId="8" fillId="0" borderId="35" xfId="5" applyNumberFormat="1" applyFont="1" applyFill="1" applyBorder="1" applyAlignment="1">
      <alignment vertical="center"/>
    </xf>
    <xf numFmtId="2" fontId="8" fillId="0" borderId="68" xfId="0" applyNumberFormat="1" applyFont="1" applyBorder="1" applyAlignment="1">
      <alignment horizontal="center" vertical="center"/>
    </xf>
    <xf numFmtId="0" fontId="8" fillId="0" borderId="43" xfId="0" applyFont="1" applyBorder="1" applyAlignment="1">
      <alignment vertical="justify"/>
    </xf>
    <xf numFmtId="0" fontId="8" fillId="3" borderId="34" xfId="0" applyFont="1" applyFill="1" applyBorder="1" applyAlignment="1">
      <alignment vertical="center" wrapText="1"/>
    </xf>
    <xf numFmtId="176" fontId="8" fillId="3" borderId="50" xfId="0" applyNumberFormat="1" applyFont="1" applyFill="1" applyBorder="1" applyAlignment="1">
      <alignment horizontal="center" vertical="center"/>
    </xf>
    <xf numFmtId="0" fontId="8" fillId="3" borderId="50" xfId="0" applyNumberFormat="1" applyFont="1" applyFill="1" applyBorder="1" applyAlignment="1">
      <alignment horizontal="center" vertical="center"/>
    </xf>
    <xf numFmtId="176" fontId="8" fillId="3" borderId="50" xfId="0" applyNumberFormat="1" applyFont="1" applyFill="1" applyBorder="1" applyAlignment="1">
      <alignment vertical="center"/>
    </xf>
    <xf numFmtId="2" fontId="8" fillId="3" borderId="50" xfId="0" applyNumberFormat="1" applyFont="1" applyFill="1" applyBorder="1" applyAlignment="1">
      <alignment horizontal="center" vertical="center"/>
    </xf>
    <xf numFmtId="164" fontId="8" fillId="3" borderId="79" xfId="5" applyNumberFormat="1" applyFont="1" applyFill="1" applyBorder="1" applyAlignment="1">
      <alignment vertical="center"/>
    </xf>
    <xf numFmtId="0" fontId="8" fillId="3" borderId="63" xfId="0" applyFont="1" applyFill="1" applyBorder="1" applyAlignment="1">
      <alignment vertical="center" wrapText="1"/>
    </xf>
    <xf numFmtId="176" fontId="8" fillId="3" borderId="37" xfId="0" applyNumberFormat="1" applyFont="1" applyFill="1" applyBorder="1" applyAlignment="1">
      <alignment horizontal="center" vertical="center"/>
    </xf>
    <xf numFmtId="0" fontId="8" fillId="3" borderId="37" xfId="0" applyNumberFormat="1" applyFont="1" applyFill="1" applyBorder="1" applyAlignment="1">
      <alignment horizontal="center" vertical="center"/>
    </xf>
    <xf numFmtId="167" fontId="8" fillId="3" borderId="35" xfId="5" applyFont="1" applyFill="1" applyBorder="1" applyAlignment="1">
      <alignment horizontal="right" vertical="center"/>
    </xf>
    <xf numFmtId="2" fontId="8" fillId="3" borderId="37" xfId="0" applyNumberFormat="1" applyFont="1" applyFill="1" applyBorder="1" applyAlignment="1">
      <alignment horizontal="center" vertical="center"/>
    </xf>
    <xf numFmtId="164" fontId="8" fillId="3" borderId="36" xfId="5" applyNumberFormat="1" applyFont="1" applyFill="1" applyBorder="1" applyAlignment="1">
      <alignment vertical="center"/>
    </xf>
    <xf numFmtId="167" fontId="8" fillId="3" borderId="35" xfId="5" applyFont="1" applyFill="1" applyBorder="1" applyAlignment="1">
      <alignment horizontal="center" vertical="center"/>
    </xf>
    <xf numFmtId="9" fontId="8" fillId="0" borderId="37" xfId="3" applyFont="1" applyFill="1" applyBorder="1" applyAlignment="1">
      <alignment horizontal="center" vertical="center"/>
    </xf>
    <xf numFmtId="9" fontId="7" fillId="0" borderId="24" xfId="3" applyFont="1" applyBorder="1" applyAlignment="1">
      <alignment horizontal="center" vertical="center"/>
    </xf>
    <xf numFmtId="0" fontId="69" fillId="6" borderId="72" xfId="0" applyFont="1" applyFill="1" applyBorder="1" applyAlignment="1">
      <alignment horizontal="left" vertical="top" wrapText="1"/>
    </xf>
    <xf numFmtId="0" fontId="69" fillId="6" borderId="75" xfId="0" applyFont="1" applyFill="1" applyBorder="1" applyAlignment="1">
      <alignment wrapText="1"/>
    </xf>
    <xf numFmtId="0" fontId="69" fillId="6" borderId="85" xfId="0" applyFont="1" applyFill="1" applyBorder="1" applyAlignment="1">
      <alignment wrapText="1"/>
    </xf>
    <xf numFmtId="0" fontId="69" fillId="6" borderId="75" xfId="0" applyFont="1" applyFill="1" applyBorder="1" applyAlignment="1">
      <alignment vertical="center" wrapText="1"/>
    </xf>
    <xf numFmtId="0" fontId="67" fillId="0" borderId="75" xfId="0" applyFont="1" applyBorder="1" applyAlignment="1">
      <alignment wrapText="1"/>
    </xf>
    <xf numFmtId="0" fontId="0" fillId="0" borderId="0" xfId="0"/>
    <xf numFmtId="0" fontId="8" fillId="0" borderId="0" xfId="0" applyFont="1" applyAlignment="1">
      <alignment horizontal="center" vertical="center"/>
    </xf>
    <xf numFmtId="0" fontId="8" fillId="0" borderId="43" xfId="0" applyFont="1" applyBorder="1" applyAlignment="1">
      <alignment vertical="center"/>
    </xf>
    <xf numFmtId="0" fontId="8" fillId="0" borderId="38" xfId="0" applyFont="1" applyBorder="1" applyAlignment="1">
      <alignment vertical="center"/>
    </xf>
    <xf numFmtId="0" fontId="8" fillId="0" borderId="35" xfId="0" applyNumberFormat="1" applyFont="1" applyBorder="1" applyAlignment="1">
      <alignment horizontal="center" vertical="center"/>
    </xf>
    <xf numFmtId="0" fontId="8" fillId="0" borderId="37" xfId="0" applyNumberFormat="1" applyFont="1" applyBorder="1" applyAlignment="1">
      <alignment horizontal="center" vertical="center"/>
    </xf>
    <xf numFmtId="173" fontId="8" fillId="0" borderId="35" xfId="5" applyNumberFormat="1" applyFont="1" applyBorder="1" applyAlignment="1">
      <alignment vertical="center"/>
    </xf>
    <xf numFmtId="0" fontId="8" fillId="0" borderId="0" xfId="0" applyNumberFormat="1" applyFont="1" applyAlignment="1">
      <alignment vertical="center"/>
    </xf>
    <xf numFmtId="173" fontId="8" fillId="0" borderId="36" xfId="13" applyNumberFormat="1" applyFont="1" applyBorder="1" applyAlignment="1">
      <alignment horizontal="center" vertical="center"/>
    </xf>
    <xf numFmtId="0" fontId="8" fillId="0" borderId="37" xfId="0" applyNumberFormat="1" applyFont="1" applyBorder="1" applyAlignment="1">
      <alignment vertical="center"/>
    </xf>
    <xf numFmtId="0" fontId="8" fillId="0" borderId="41" xfId="0" applyNumberFormat="1" applyFont="1" applyBorder="1" applyAlignment="1">
      <alignment vertical="center"/>
    </xf>
    <xf numFmtId="0" fontId="8" fillId="0" borderId="13" xfId="0" applyNumberFormat="1" applyFont="1" applyBorder="1" applyAlignment="1">
      <alignment vertical="center"/>
    </xf>
    <xf numFmtId="0" fontId="8" fillId="0" borderId="47" xfId="0" applyNumberFormat="1" applyFont="1" applyBorder="1" applyAlignment="1">
      <alignment vertical="center"/>
    </xf>
    <xf numFmtId="0" fontId="0" fillId="0" borderId="0" xfId="0" applyNumberFormat="1"/>
    <xf numFmtId="178" fontId="7" fillId="4" borderId="0" xfId="12" applyNumberFormat="1" applyFont="1" applyFill="1" applyAlignment="1">
      <alignment horizontal="center" vertical="center"/>
    </xf>
    <xf numFmtId="0" fontId="4" fillId="0" borderId="72" xfId="0" applyFont="1" applyBorder="1" applyAlignment="1">
      <alignment vertical="center" wrapText="1"/>
    </xf>
    <xf numFmtId="0" fontId="4" fillId="0" borderId="72" xfId="0" applyFont="1" applyBorder="1" applyAlignment="1">
      <alignment horizontal="center" vertical="center" wrapText="1"/>
    </xf>
    <xf numFmtId="173" fontId="0" fillId="0" borderId="72" xfId="1" applyNumberFormat="1" applyFont="1" applyBorder="1" applyAlignment="1">
      <alignment horizontal="center" vertical="center" wrapText="1"/>
    </xf>
    <xf numFmtId="173" fontId="0" fillId="0" borderId="72" xfId="1" applyNumberFormat="1" applyFont="1" applyBorder="1"/>
    <xf numFmtId="173" fontId="4" fillId="0" borderId="72" xfId="1" applyNumberFormat="1" applyFont="1" applyBorder="1"/>
    <xf numFmtId="9" fontId="0" fillId="0" borderId="72" xfId="3" applyNumberFormat="1" applyFont="1" applyBorder="1" applyAlignment="1">
      <alignment horizontal="center"/>
    </xf>
    <xf numFmtId="173" fontId="4" fillId="7" borderId="0" xfId="0" applyNumberFormat="1" applyFont="1" applyFill="1"/>
    <xf numFmtId="0" fontId="0" fillId="0" borderId="72" xfId="0" applyBorder="1" applyAlignment="1">
      <alignment horizontal="center" vertical="center"/>
    </xf>
    <xf numFmtId="178" fontId="68" fillId="0" borderId="72" xfId="0" applyNumberFormat="1" applyFont="1" applyFill="1" applyBorder="1" applyAlignment="1">
      <alignment horizontal="center" vertical="center" wrapText="1"/>
    </xf>
    <xf numFmtId="2" fontId="68" fillId="0" borderId="72" xfId="0" applyNumberFormat="1" applyFont="1" applyFill="1" applyBorder="1" applyAlignment="1">
      <alignment horizontal="center" vertical="center" wrapText="1"/>
    </xf>
    <xf numFmtId="0" fontId="78" fillId="0" borderId="0" xfId="0" applyFont="1"/>
    <xf numFmtId="0" fontId="80" fillId="0" borderId="0" xfId="217" applyFont="1"/>
    <xf numFmtId="212" fontId="80" fillId="0" borderId="0" xfId="217" applyNumberFormat="1" applyFont="1"/>
    <xf numFmtId="212" fontId="78" fillId="0" borderId="0" xfId="0" applyNumberFormat="1" applyFont="1"/>
    <xf numFmtId="173" fontId="78" fillId="0" borderId="0" xfId="196" applyNumberFormat="1" applyFont="1"/>
    <xf numFmtId="173" fontId="78" fillId="0" borderId="0" xfId="0" applyNumberFormat="1" applyFont="1"/>
    <xf numFmtId="0" fontId="80" fillId="0" borderId="72" xfId="165" applyFont="1" applyFill="1" applyBorder="1" applyAlignment="1">
      <alignment horizontal="center" vertical="center"/>
    </xf>
    <xf numFmtId="9" fontId="80" fillId="0" borderId="72" xfId="218" applyFont="1" applyFill="1" applyBorder="1" applyAlignment="1">
      <alignment horizontal="center" vertical="center"/>
    </xf>
    <xf numFmtId="212" fontId="80" fillId="0" borderId="80" xfId="219" applyNumberFormat="1" applyFont="1" applyFill="1" applyBorder="1" applyAlignment="1">
      <alignment horizontal="right" vertical="center"/>
    </xf>
    <xf numFmtId="9" fontId="82" fillId="0" borderId="0" xfId="3" applyNumberFormat="1" applyFont="1"/>
    <xf numFmtId="0" fontId="82" fillId="0" borderId="0" xfId="0" applyFont="1"/>
    <xf numFmtId="0" fontId="80" fillId="0" borderId="72" xfId="217" applyFont="1" applyFill="1" applyBorder="1" applyAlignment="1">
      <alignment horizontal="left" vertical="center" wrapText="1"/>
    </xf>
    <xf numFmtId="0" fontId="79" fillId="0" borderId="72" xfId="165" applyFont="1" applyFill="1" applyBorder="1" applyAlignment="1">
      <alignment vertical="center"/>
    </xf>
    <xf numFmtId="0" fontId="79" fillId="0" borderId="72" xfId="165" applyFont="1" applyFill="1" applyBorder="1" applyAlignment="1">
      <alignment horizontal="center" vertical="center"/>
    </xf>
    <xf numFmtId="212" fontId="79" fillId="0" borderId="72" xfId="219" applyNumberFormat="1" applyFont="1" applyFill="1" applyBorder="1" applyAlignment="1">
      <alignment vertical="center"/>
    </xf>
    <xf numFmtId="212" fontId="79" fillId="0" borderId="72" xfId="219" applyNumberFormat="1" applyFont="1" applyFill="1" applyBorder="1" applyAlignment="1">
      <alignment horizontal="right" vertical="center"/>
    </xf>
    <xf numFmtId="173" fontId="80" fillId="0" borderId="0" xfId="220" applyNumberFormat="1" applyFont="1"/>
    <xf numFmtId="0" fontId="79" fillId="0" borderId="89" xfId="165" applyFont="1" applyFill="1" applyBorder="1" applyAlignment="1">
      <alignment vertical="center"/>
    </xf>
    <xf numFmtId="212" fontId="79" fillId="0" borderId="140" xfId="219" applyNumberFormat="1" applyFont="1" applyFill="1" applyBorder="1" applyAlignment="1">
      <alignment horizontal="right" vertical="center"/>
    </xf>
    <xf numFmtId="0" fontId="79" fillId="0" borderId="133" xfId="165" applyFont="1" applyFill="1" applyBorder="1" applyAlignment="1">
      <alignment vertical="center"/>
    </xf>
    <xf numFmtId="0" fontId="79" fillId="0" borderId="133" xfId="165" applyFont="1" applyFill="1" applyBorder="1" applyAlignment="1">
      <alignment horizontal="center" vertical="center"/>
    </xf>
    <xf numFmtId="44" fontId="79" fillId="0" borderId="80" xfId="219" applyFont="1" applyFill="1" applyBorder="1" applyAlignment="1">
      <alignment horizontal="right" vertical="center"/>
    </xf>
    <xf numFmtId="0" fontId="84" fillId="0" borderId="0" xfId="0" applyFont="1" applyAlignment="1">
      <alignment vertical="center" wrapText="1"/>
    </xf>
    <xf numFmtId="0" fontId="84" fillId="0" borderId="0" xfId="0" applyFont="1"/>
    <xf numFmtId="212" fontId="84" fillId="0" borderId="0" xfId="0" applyNumberFormat="1" applyFont="1" applyAlignment="1">
      <alignment vertical="center" wrapText="1"/>
    </xf>
    <xf numFmtId="212" fontId="79" fillId="0" borderId="80" xfId="219" applyNumberFormat="1" applyFont="1" applyFill="1" applyBorder="1" applyAlignment="1">
      <alignment horizontal="right" vertical="center"/>
    </xf>
    <xf numFmtId="167" fontId="78" fillId="0" borderId="0" xfId="220" applyFont="1"/>
    <xf numFmtId="167" fontId="80" fillId="0" borderId="0" xfId="220" applyFont="1"/>
    <xf numFmtId="212" fontId="79" fillId="0" borderId="135" xfId="219" applyNumberFormat="1" applyFont="1" applyFill="1" applyBorder="1" applyAlignment="1">
      <alignment horizontal="right" vertical="center"/>
    </xf>
    <xf numFmtId="173" fontId="80" fillId="0" borderId="0" xfId="196" applyNumberFormat="1" applyFont="1"/>
    <xf numFmtId="212" fontId="79" fillId="0" borderId="135" xfId="219" applyNumberFormat="1" applyFont="1" applyFill="1" applyBorder="1" applyAlignment="1">
      <alignment vertical="center"/>
    </xf>
    <xf numFmtId="173" fontId="78" fillId="0" borderId="0" xfId="220" applyNumberFormat="1" applyFont="1"/>
    <xf numFmtId="0" fontId="80" fillId="0" borderId="0" xfId="165" applyFont="1" applyFill="1" applyBorder="1" applyAlignment="1"/>
    <xf numFmtId="3" fontId="80" fillId="0" borderId="0" xfId="165" applyNumberFormat="1" applyFont="1" applyFill="1" applyBorder="1" applyAlignment="1">
      <alignment vertical="center"/>
    </xf>
    <xf numFmtId="171" fontId="78" fillId="0" borderId="0" xfId="221" applyFont="1"/>
    <xf numFmtId="212" fontId="81" fillId="0" borderId="72" xfId="219" applyNumberFormat="1" applyFont="1" applyFill="1" applyBorder="1" applyAlignment="1">
      <alignment vertical="center"/>
    </xf>
    <xf numFmtId="9" fontId="80" fillId="0" borderId="72" xfId="217" applyNumberFormat="1" applyFont="1" applyFill="1" applyBorder="1" applyAlignment="1">
      <alignment horizontal="center" vertical="center"/>
    </xf>
    <xf numFmtId="0" fontId="78" fillId="0" borderId="72" xfId="217" applyFont="1" applyBorder="1" applyAlignment="1">
      <alignment horizontal="left" vertical="center" wrapText="1"/>
    </xf>
    <xf numFmtId="3" fontId="80" fillId="0" borderId="72" xfId="165" applyNumberFormat="1" applyFont="1" applyFill="1" applyBorder="1" applyAlignment="1">
      <alignment horizontal="center" vertical="center"/>
    </xf>
    <xf numFmtId="0" fontId="78" fillId="0" borderId="88" xfId="0" applyFont="1" applyBorder="1" applyAlignment="1">
      <alignment horizontal="center" vertical="center"/>
    </xf>
    <xf numFmtId="0" fontId="78" fillId="0" borderId="129" xfId="0" applyFont="1" applyBorder="1" applyAlignment="1">
      <alignment horizontal="center" vertical="center"/>
    </xf>
    <xf numFmtId="0" fontId="78" fillId="45" borderId="88" xfId="0" applyFont="1" applyFill="1" applyBorder="1"/>
    <xf numFmtId="0" fontId="79" fillId="45" borderId="72" xfId="165" applyFont="1" applyFill="1" applyBorder="1" applyAlignment="1">
      <alignment horizontal="left" vertical="center" wrapText="1"/>
    </xf>
    <xf numFmtId="0" fontId="78" fillId="45" borderId="88" xfId="0" applyFont="1" applyFill="1" applyBorder="1" applyAlignment="1">
      <alignment horizontal="center" vertical="center"/>
    </xf>
    <xf numFmtId="3" fontId="79" fillId="45" borderId="72" xfId="165" applyNumberFormat="1" applyFont="1" applyFill="1" applyBorder="1" applyAlignment="1">
      <alignment horizontal="left" vertical="center"/>
    </xf>
    <xf numFmtId="0" fontId="80" fillId="0" borderId="88" xfId="0" applyFont="1" applyBorder="1" applyAlignment="1">
      <alignment horizontal="center" vertical="center"/>
    </xf>
    <xf numFmtId="0" fontId="78" fillId="0" borderId="72" xfId="217" applyFont="1" applyBorder="1" applyAlignment="1">
      <alignment horizontal="justify" vertical="center" wrapText="1"/>
    </xf>
    <xf numFmtId="0" fontId="84" fillId="0" borderId="88" xfId="0" applyFont="1" applyBorder="1" applyAlignment="1">
      <alignment horizontal="center" vertical="center"/>
    </xf>
    <xf numFmtId="0" fontId="78" fillId="0" borderId="129" xfId="0" applyFont="1" applyBorder="1"/>
    <xf numFmtId="212" fontId="79" fillId="0" borderId="133" xfId="165" applyNumberFormat="1" applyFont="1" applyFill="1" applyBorder="1" applyAlignment="1">
      <alignment vertical="center"/>
    </xf>
    <xf numFmtId="0" fontId="78" fillId="47" borderId="88" xfId="0" applyFont="1" applyFill="1" applyBorder="1" applyAlignment="1">
      <alignment horizontal="center" vertical="center"/>
    </xf>
    <xf numFmtId="0" fontId="79" fillId="47" borderId="72" xfId="165" applyFont="1" applyFill="1" applyBorder="1" applyAlignment="1">
      <alignment horizontal="center" vertical="center" wrapText="1"/>
    </xf>
    <xf numFmtId="3" fontId="79" fillId="47" borderId="72" xfId="165" applyNumberFormat="1" applyFont="1" applyFill="1" applyBorder="1" applyAlignment="1">
      <alignment horizontal="center" vertical="center" wrapText="1"/>
    </xf>
    <xf numFmtId="3" fontId="79" fillId="47" borderId="80" xfId="165" applyNumberFormat="1" applyFont="1" applyFill="1" applyBorder="1" applyAlignment="1">
      <alignment horizontal="center" vertical="center" wrapText="1"/>
    </xf>
    <xf numFmtId="0" fontId="84" fillId="45" borderId="88" xfId="0" applyFont="1" applyFill="1" applyBorder="1" applyAlignment="1">
      <alignment horizontal="center" vertical="center"/>
    </xf>
    <xf numFmtId="0" fontId="83" fillId="45" borderId="72" xfId="0" applyFont="1" applyFill="1" applyBorder="1" applyAlignment="1">
      <alignment horizontal="left" vertical="center" wrapText="1"/>
    </xf>
    <xf numFmtId="0" fontId="70" fillId="45" borderId="72" xfId="217" applyFont="1" applyFill="1" applyBorder="1" applyAlignment="1">
      <alignment horizontal="left" vertical="center" wrapText="1"/>
    </xf>
    <xf numFmtId="0" fontId="78" fillId="0" borderId="139" xfId="0" applyFont="1" applyBorder="1"/>
    <xf numFmtId="212" fontId="79" fillId="0" borderId="89" xfId="165" applyNumberFormat="1" applyFont="1" applyFill="1" applyBorder="1" applyAlignment="1">
      <alignment vertical="center"/>
    </xf>
    <xf numFmtId="0" fontId="78" fillId="0" borderId="102" xfId="0" applyFont="1" applyBorder="1"/>
    <xf numFmtId="0" fontId="79" fillId="0" borderId="0" xfId="165" applyFont="1" applyFill="1" applyBorder="1"/>
    <xf numFmtId="0" fontId="80" fillId="0" borderId="0" xfId="165" applyFont="1" applyFill="1" applyBorder="1" applyAlignment="1">
      <alignment horizontal="center"/>
    </xf>
    <xf numFmtId="0" fontId="80" fillId="0" borderId="0" xfId="165" applyFont="1" applyFill="1" applyBorder="1"/>
    <xf numFmtId="0" fontId="0" fillId="0" borderId="68" xfId="0" applyFill="1" applyBorder="1" applyAlignment="1">
      <alignment horizontal="left" vertical="center"/>
    </xf>
    <xf numFmtId="0" fontId="8" fillId="48" borderId="0" xfId="0" applyFont="1" applyFill="1" applyAlignment="1">
      <alignment horizontal="center" vertical="center"/>
    </xf>
    <xf numFmtId="0" fontId="5" fillId="48" borderId="0" xfId="0" applyFont="1" applyFill="1" applyAlignment="1">
      <alignment horizontal="center" vertical="center"/>
    </xf>
    <xf numFmtId="0" fontId="5" fillId="48" borderId="0" xfId="0" applyNumberFormat="1" applyFont="1" applyFill="1" applyAlignment="1">
      <alignment horizontal="center" vertical="center"/>
    </xf>
    <xf numFmtId="0" fontId="8" fillId="48" borderId="0" xfId="0" applyFont="1" applyFill="1" applyAlignment="1">
      <alignment vertical="center"/>
    </xf>
    <xf numFmtId="0" fontId="0" fillId="48" borderId="0" xfId="0" applyFill="1"/>
    <xf numFmtId="0" fontId="76" fillId="48" borderId="0" xfId="0" applyFont="1" applyFill="1"/>
    <xf numFmtId="0" fontId="8" fillId="48" borderId="0" xfId="0" applyNumberFormat="1" applyFont="1" applyFill="1" applyAlignment="1">
      <alignment vertical="center"/>
    </xf>
    <xf numFmtId="175" fontId="8" fillId="48" borderId="0" xfId="0" applyNumberFormat="1" applyFont="1" applyFill="1" applyAlignment="1">
      <alignment vertical="center"/>
    </xf>
    <xf numFmtId="49" fontId="7" fillId="48" borderId="0" xfId="0" applyNumberFormat="1" applyFont="1" applyFill="1" applyAlignment="1">
      <alignment horizontal="center" vertical="center"/>
    </xf>
    <xf numFmtId="178" fontId="7" fillId="48" borderId="0" xfId="12" applyNumberFormat="1" applyFont="1" applyFill="1" applyAlignment="1">
      <alignment horizontal="center" vertical="center"/>
    </xf>
    <xf numFmtId="176" fontId="8" fillId="48" borderId="0" xfId="0" applyNumberFormat="1" applyFont="1" applyFill="1" applyAlignment="1">
      <alignment horizontal="center" vertical="center"/>
    </xf>
    <xf numFmtId="176" fontId="8" fillId="48" borderId="0" xfId="0" applyNumberFormat="1" applyFont="1" applyFill="1" applyAlignment="1">
      <alignment vertical="center"/>
    </xf>
    <xf numFmtId="175" fontId="7" fillId="48" borderId="0" xfId="0" applyNumberFormat="1" applyFont="1" applyFill="1" applyAlignment="1">
      <alignment horizontal="center" vertical="center"/>
    </xf>
    <xf numFmtId="176" fontId="7" fillId="48" borderId="0" xfId="0" applyNumberFormat="1" applyFont="1" applyFill="1" applyAlignment="1">
      <alignment horizontal="center" vertical="center"/>
    </xf>
    <xf numFmtId="176" fontId="7" fillId="48" borderId="23" xfId="0" applyNumberFormat="1" applyFont="1" applyFill="1" applyBorder="1" applyAlignment="1">
      <alignment horizontal="center" vertical="center"/>
    </xf>
    <xf numFmtId="176" fontId="7" fillId="48" borderId="24" xfId="0" applyNumberFormat="1" applyFont="1" applyFill="1" applyBorder="1" applyAlignment="1">
      <alignment horizontal="center" vertical="center"/>
    </xf>
    <xf numFmtId="0" fontId="7" fillId="48" borderId="24" xfId="0" applyNumberFormat="1" applyFont="1" applyFill="1" applyBorder="1" applyAlignment="1">
      <alignment horizontal="center" vertical="center"/>
    </xf>
    <xf numFmtId="175" fontId="7" fillId="48" borderId="25" xfId="0" applyNumberFormat="1" applyFont="1" applyFill="1" applyBorder="1" applyAlignment="1">
      <alignment horizontal="center" vertical="center"/>
    </xf>
    <xf numFmtId="175" fontId="7" fillId="48" borderId="0" xfId="0" applyNumberFormat="1" applyFont="1" applyFill="1" applyAlignment="1">
      <alignment vertical="center"/>
    </xf>
    <xf numFmtId="0" fontId="8" fillId="48" borderId="63" xfId="0" applyFont="1" applyFill="1" applyBorder="1" applyAlignment="1">
      <alignment vertical="center" wrapText="1"/>
    </xf>
    <xf numFmtId="176" fontId="8" fillId="48" borderId="37" xfId="0" applyNumberFormat="1" applyFont="1" applyFill="1" applyBorder="1" applyAlignment="1">
      <alignment horizontal="center" vertical="center"/>
    </xf>
    <xf numFmtId="0" fontId="8" fillId="48" borderId="37" xfId="0" applyNumberFormat="1" applyFont="1" applyFill="1" applyBorder="1" applyAlignment="1">
      <alignment horizontal="center" vertical="center"/>
    </xf>
    <xf numFmtId="176" fontId="8" fillId="48" borderId="35" xfId="0" applyNumberFormat="1" applyFont="1" applyFill="1" applyBorder="1" applyAlignment="1">
      <alignment vertical="center"/>
    </xf>
    <xf numFmtId="2" fontId="8" fillId="48" borderId="37" xfId="0" applyNumberFormat="1" applyFont="1" applyFill="1" applyBorder="1" applyAlignment="1">
      <alignment horizontal="center" vertical="center"/>
    </xf>
    <xf numFmtId="164" fontId="8" fillId="48" borderId="36" xfId="5" applyNumberFormat="1" applyFont="1" applyFill="1" applyBorder="1" applyAlignment="1">
      <alignment vertical="center"/>
    </xf>
    <xf numFmtId="0" fontId="8" fillId="48" borderId="38" xfId="0" applyFont="1" applyFill="1" applyBorder="1" applyAlignment="1">
      <alignment vertical="center" wrapText="1"/>
    </xf>
    <xf numFmtId="0" fontId="8" fillId="48" borderId="35" xfId="0" applyNumberFormat="1" applyFont="1" applyFill="1" applyBorder="1" applyAlignment="1">
      <alignment horizontal="center" vertical="center"/>
    </xf>
    <xf numFmtId="2" fontId="8" fillId="48" borderId="35" xfId="0" applyNumberFormat="1" applyFont="1" applyFill="1" applyBorder="1" applyAlignment="1">
      <alignment horizontal="center" vertical="center"/>
    </xf>
    <xf numFmtId="0" fontId="8" fillId="48" borderId="126" xfId="0" applyFont="1" applyFill="1" applyBorder="1" applyAlignment="1">
      <alignment vertical="center" wrapText="1"/>
    </xf>
    <xf numFmtId="0" fontId="8" fillId="48" borderId="131" xfId="0" applyFont="1" applyFill="1" applyBorder="1" applyAlignment="1">
      <alignment vertical="center" wrapText="1"/>
    </xf>
    <xf numFmtId="164" fontId="8" fillId="48" borderId="35" xfId="5" applyNumberFormat="1" applyFont="1" applyFill="1" applyBorder="1" applyAlignment="1">
      <alignment horizontal="center" vertical="center"/>
    </xf>
    <xf numFmtId="0" fontId="20" fillId="48" borderId="38" xfId="0" applyFont="1" applyFill="1" applyBorder="1" applyAlignment="1">
      <alignment vertical="center" wrapText="1"/>
    </xf>
    <xf numFmtId="176" fontId="8" fillId="48" borderId="35" xfId="0" applyNumberFormat="1" applyFont="1" applyFill="1" applyBorder="1" applyAlignment="1">
      <alignment horizontal="center" vertical="center"/>
    </xf>
    <xf numFmtId="175" fontId="8" fillId="48" borderId="39" xfId="0" applyNumberFormat="1" applyFont="1" applyFill="1" applyBorder="1" applyAlignment="1">
      <alignment vertical="center"/>
    </xf>
    <xf numFmtId="176" fontId="8" fillId="48" borderId="38" xfId="0" applyNumberFormat="1" applyFont="1" applyFill="1" applyBorder="1" applyAlignment="1">
      <alignment vertical="center"/>
    </xf>
    <xf numFmtId="0" fontId="8" fillId="48" borderId="37" xfId="0" applyNumberFormat="1" applyFont="1" applyFill="1" applyBorder="1" applyAlignment="1">
      <alignment vertical="center"/>
    </xf>
    <xf numFmtId="176" fontId="8" fillId="48" borderId="37" xfId="0" applyNumberFormat="1" applyFont="1" applyFill="1" applyBorder="1" applyAlignment="1">
      <alignment vertical="center"/>
    </xf>
    <xf numFmtId="176" fontId="8" fillId="48" borderId="46" xfId="0" applyNumberFormat="1" applyFont="1" applyFill="1" applyBorder="1" applyAlignment="1">
      <alignment vertical="center"/>
    </xf>
    <xf numFmtId="176" fontId="8" fillId="48" borderId="47" xfId="0" applyNumberFormat="1" applyFont="1" applyFill="1" applyBorder="1" applyAlignment="1">
      <alignment horizontal="center" vertical="center"/>
    </xf>
    <xf numFmtId="0" fontId="8" fillId="48" borderId="47" xfId="0" applyNumberFormat="1" applyFont="1" applyFill="1" applyBorder="1" applyAlignment="1">
      <alignment vertical="center"/>
    </xf>
    <xf numFmtId="176" fontId="8" fillId="48" borderId="47" xfId="0" applyNumberFormat="1" applyFont="1" applyFill="1" applyBorder="1" applyAlignment="1">
      <alignment vertical="center"/>
    </xf>
    <xf numFmtId="175" fontId="8" fillId="48" borderId="48" xfId="0" applyNumberFormat="1" applyFont="1" applyFill="1" applyBorder="1" applyAlignment="1">
      <alignment vertical="center"/>
    </xf>
    <xf numFmtId="175" fontId="8" fillId="48" borderId="16" xfId="0" applyNumberFormat="1" applyFont="1" applyFill="1" applyBorder="1" applyAlignment="1">
      <alignment vertical="center"/>
    </xf>
    <xf numFmtId="176" fontId="8" fillId="48" borderId="116" xfId="0" applyNumberFormat="1" applyFont="1" applyFill="1" applyBorder="1" applyAlignment="1">
      <alignment vertical="center"/>
    </xf>
    <xf numFmtId="176" fontId="8" fillId="48" borderId="116" xfId="0" applyNumberFormat="1" applyFont="1" applyFill="1" applyBorder="1" applyAlignment="1">
      <alignment horizontal="center" vertical="center"/>
    </xf>
    <xf numFmtId="0" fontId="8" fillId="48" borderId="116" xfId="0" applyNumberFormat="1" applyFont="1" applyFill="1" applyBorder="1" applyAlignment="1">
      <alignment vertical="center"/>
    </xf>
    <xf numFmtId="175" fontId="8" fillId="48" borderId="116" xfId="0" applyNumberFormat="1" applyFont="1" applyFill="1" applyBorder="1" applyAlignment="1">
      <alignment vertical="center"/>
    </xf>
    <xf numFmtId="175" fontId="8" fillId="48" borderId="0" xfId="0" applyNumberFormat="1" applyFont="1" applyFill="1" applyBorder="1" applyAlignment="1">
      <alignment vertical="center"/>
    </xf>
    <xf numFmtId="176" fontId="8" fillId="48" borderId="33" xfId="0" applyNumberFormat="1" applyFont="1" applyFill="1" applyBorder="1" applyAlignment="1">
      <alignment vertical="center"/>
    </xf>
    <xf numFmtId="176" fontId="8" fillId="48" borderId="33" xfId="0" applyNumberFormat="1" applyFont="1" applyFill="1" applyBorder="1" applyAlignment="1">
      <alignment horizontal="center" vertical="center"/>
    </xf>
    <xf numFmtId="0" fontId="8" fillId="48" borderId="33" xfId="0" applyNumberFormat="1" applyFont="1" applyFill="1" applyBorder="1" applyAlignment="1">
      <alignment horizontal="center" vertical="center"/>
    </xf>
    <xf numFmtId="167" fontId="8" fillId="48" borderId="33" xfId="5" applyFont="1" applyFill="1" applyBorder="1" applyAlignment="1">
      <alignment horizontal="center" vertical="center"/>
    </xf>
    <xf numFmtId="176" fontId="7" fillId="48" borderId="23" xfId="0" applyNumberFormat="1" applyFont="1" applyFill="1" applyBorder="1" applyAlignment="1">
      <alignment horizontal="center" vertical="center" wrapText="1"/>
    </xf>
    <xf numFmtId="167" fontId="7" fillId="48" borderId="25" xfId="5" applyFont="1" applyFill="1" applyBorder="1" applyAlignment="1">
      <alignment horizontal="center" vertical="center"/>
    </xf>
    <xf numFmtId="176" fontId="8" fillId="48" borderId="43" xfId="0" applyNumberFormat="1" applyFont="1" applyFill="1" applyBorder="1" applyAlignment="1">
      <alignment vertical="center" wrapText="1"/>
    </xf>
    <xf numFmtId="167" fontId="8" fillId="48" borderId="36" xfId="5" applyFont="1" applyFill="1" applyBorder="1" applyAlignment="1">
      <alignment horizontal="center" vertical="center"/>
    </xf>
    <xf numFmtId="176" fontId="8" fillId="48" borderId="38" xfId="0" applyNumberFormat="1" applyFont="1" applyFill="1" applyBorder="1" applyAlignment="1">
      <alignment vertical="center" wrapText="1"/>
    </xf>
    <xf numFmtId="176" fontId="8" fillId="48" borderId="40" xfId="0" applyNumberFormat="1" applyFont="1" applyFill="1" applyBorder="1" applyAlignment="1">
      <alignment vertical="center"/>
    </xf>
    <xf numFmtId="176" fontId="8" fillId="48" borderId="41" xfId="0" applyNumberFormat="1" applyFont="1" applyFill="1" applyBorder="1" applyAlignment="1">
      <alignment horizontal="center" vertical="center"/>
    </xf>
    <xf numFmtId="0" fontId="8" fillId="48" borderId="41" xfId="0" applyNumberFormat="1" applyFont="1" applyFill="1" applyBorder="1" applyAlignment="1">
      <alignment horizontal="center" vertical="center"/>
    </xf>
    <xf numFmtId="176" fontId="8" fillId="48" borderId="0" xfId="0" applyNumberFormat="1" applyFont="1" applyFill="1" applyBorder="1" applyAlignment="1">
      <alignment vertical="center" wrapText="1"/>
    </xf>
    <xf numFmtId="176" fontId="8" fillId="48" borderId="0" xfId="0" applyNumberFormat="1" applyFont="1" applyFill="1" applyBorder="1" applyAlignment="1">
      <alignment horizontal="center" vertical="center"/>
    </xf>
    <xf numFmtId="0" fontId="8" fillId="48" borderId="0" xfId="0" applyNumberFormat="1" applyFont="1" applyFill="1" applyBorder="1" applyAlignment="1">
      <alignment horizontal="center" vertical="center"/>
    </xf>
    <xf numFmtId="176" fontId="8" fillId="48" borderId="0" xfId="0" applyNumberFormat="1" applyFont="1" applyFill="1" applyBorder="1" applyAlignment="1">
      <alignment vertical="center"/>
    </xf>
    <xf numFmtId="9" fontId="8" fillId="48" borderId="0" xfId="0" applyNumberFormat="1" applyFont="1" applyFill="1" applyBorder="1" applyAlignment="1">
      <alignment horizontal="center" vertical="center"/>
    </xf>
    <xf numFmtId="167" fontId="8" fillId="48" borderId="0" xfId="5" applyFont="1" applyFill="1" applyBorder="1" applyAlignment="1">
      <alignment horizontal="center" vertical="center"/>
    </xf>
    <xf numFmtId="176" fontId="8" fillId="48" borderId="13" xfId="0" applyNumberFormat="1" applyFont="1" applyFill="1" applyBorder="1" applyAlignment="1">
      <alignment vertical="center"/>
    </xf>
    <xf numFmtId="0" fontId="8" fillId="48" borderId="13" xfId="0" applyNumberFormat="1" applyFont="1" applyFill="1" applyBorder="1" applyAlignment="1">
      <alignment vertical="center"/>
    </xf>
    <xf numFmtId="176" fontId="8" fillId="48" borderId="44" xfId="0" applyNumberFormat="1" applyFont="1" applyFill="1" applyBorder="1" applyAlignment="1">
      <alignment horizontal="center" vertical="center"/>
    </xf>
    <xf numFmtId="175" fontId="8" fillId="48" borderId="45" xfId="0" applyNumberFormat="1" applyFont="1" applyFill="1" applyBorder="1" applyAlignment="1">
      <alignment vertical="center"/>
    </xf>
    <xf numFmtId="176" fontId="7" fillId="48" borderId="0" xfId="0" applyNumberFormat="1" applyFont="1" applyFill="1" applyAlignment="1">
      <alignment vertical="center"/>
    </xf>
    <xf numFmtId="0" fontId="8" fillId="48" borderId="43" xfId="0" applyFont="1" applyFill="1" applyBorder="1" applyAlignment="1">
      <alignment vertical="center"/>
    </xf>
    <xf numFmtId="173" fontId="8" fillId="48" borderId="35" xfId="5" applyNumberFormat="1" applyFont="1" applyFill="1" applyBorder="1" applyAlignment="1">
      <alignment vertical="center"/>
    </xf>
    <xf numFmtId="0" fontId="8" fillId="48" borderId="35" xfId="12" applyNumberFormat="1" applyFont="1" applyFill="1" applyBorder="1" applyAlignment="1">
      <alignment horizontal="center" vertical="center"/>
    </xf>
    <xf numFmtId="173" fontId="8" fillId="48" borderId="36" xfId="13" applyNumberFormat="1" applyFont="1" applyFill="1" applyBorder="1" applyAlignment="1">
      <alignment horizontal="center" vertical="center"/>
    </xf>
    <xf numFmtId="0" fontId="8" fillId="48" borderId="38" xfId="0" applyFont="1" applyFill="1" applyBorder="1" applyAlignment="1">
      <alignment vertical="center"/>
    </xf>
    <xf numFmtId="0" fontId="8" fillId="48" borderId="37" xfId="12" applyNumberFormat="1" applyFont="1" applyFill="1" applyBorder="1" applyAlignment="1">
      <alignment horizontal="center" vertical="center"/>
    </xf>
    <xf numFmtId="0" fontId="8" fillId="48" borderId="0" xfId="0" applyFont="1" applyFill="1" applyBorder="1" applyAlignment="1">
      <alignment horizontal="center" vertical="center"/>
    </xf>
    <xf numFmtId="0" fontId="8" fillId="48" borderId="0" xfId="0" applyNumberFormat="1" applyFont="1" applyFill="1" applyBorder="1" applyAlignment="1">
      <alignment vertical="center"/>
    </xf>
    <xf numFmtId="176" fontId="7" fillId="48" borderId="0" xfId="0" applyNumberFormat="1" applyFont="1" applyFill="1" applyBorder="1" applyAlignment="1">
      <alignment vertical="center"/>
    </xf>
    <xf numFmtId="2" fontId="76" fillId="48" borderId="0" xfId="0" applyNumberFormat="1" applyFont="1" applyFill="1"/>
    <xf numFmtId="175" fontId="76" fillId="48" borderId="0" xfId="0" applyNumberFormat="1" applyFont="1" applyFill="1"/>
    <xf numFmtId="0" fontId="8" fillId="48" borderId="130" xfId="0" applyFont="1" applyFill="1" applyBorder="1" applyAlignment="1">
      <alignment horizontal="center" vertical="center"/>
    </xf>
    <xf numFmtId="176" fontId="8" fillId="48" borderId="130" xfId="0" applyNumberFormat="1" applyFont="1" applyFill="1" applyBorder="1" applyAlignment="1">
      <alignment vertical="center"/>
    </xf>
    <xf numFmtId="0" fontId="8" fillId="48" borderId="130" xfId="0" applyNumberFormat="1" applyFont="1" applyFill="1" applyBorder="1" applyAlignment="1">
      <alignment vertical="center"/>
    </xf>
    <xf numFmtId="176" fontId="7" fillId="48" borderId="130" xfId="0" applyNumberFormat="1" applyFont="1" applyFill="1" applyBorder="1" applyAlignment="1">
      <alignment vertical="center"/>
    </xf>
    <xf numFmtId="176" fontId="8" fillId="48" borderId="130" xfId="0" applyNumberFormat="1" applyFont="1" applyFill="1" applyBorder="1" applyAlignment="1">
      <alignment horizontal="center" vertical="center"/>
    </xf>
    <xf numFmtId="175" fontId="8" fillId="48" borderId="130" xfId="0" applyNumberFormat="1" applyFont="1" applyFill="1" applyBorder="1" applyAlignment="1">
      <alignment vertical="center"/>
    </xf>
    <xf numFmtId="0" fontId="8" fillId="48" borderId="34" xfId="0" applyFont="1" applyFill="1" applyBorder="1" applyAlignment="1">
      <alignment vertical="center" wrapText="1"/>
    </xf>
    <xf numFmtId="176" fontId="8" fillId="48" borderId="50" xfId="0" applyNumberFormat="1" applyFont="1" applyFill="1" applyBorder="1" applyAlignment="1">
      <alignment horizontal="center" vertical="center"/>
    </xf>
    <xf numFmtId="0" fontId="8" fillId="48" borderId="50" xfId="0" applyNumberFormat="1" applyFont="1" applyFill="1" applyBorder="1" applyAlignment="1">
      <alignment horizontal="center" vertical="center"/>
    </xf>
    <xf numFmtId="176" fontId="8" fillId="48" borderId="50" xfId="0" applyNumberFormat="1" applyFont="1" applyFill="1" applyBorder="1" applyAlignment="1">
      <alignment vertical="center"/>
    </xf>
    <xf numFmtId="2" fontId="8" fillId="48" borderId="50" xfId="0" applyNumberFormat="1" applyFont="1" applyFill="1" applyBorder="1" applyAlignment="1">
      <alignment horizontal="center" vertical="center"/>
    </xf>
    <xf numFmtId="164" fontId="8" fillId="48" borderId="79" xfId="5" applyNumberFormat="1" applyFont="1" applyFill="1" applyBorder="1" applyAlignment="1">
      <alignment vertical="center"/>
    </xf>
    <xf numFmtId="0" fontId="8" fillId="48" borderId="22" xfId="0" applyFont="1" applyFill="1" applyBorder="1" applyAlignment="1">
      <alignment vertical="center" wrapText="1"/>
    </xf>
    <xf numFmtId="0" fontId="8" fillId="48" borderId="23" xfId="0" applyFont="1" applyFill="1" applyBorder="1" applyAlignment="1">
      <alignment horizontal="center" vertical="center" wrapText="1"/>
    </xf>
    <xf numFmtId="0" fontId="8" fillId="48" borderId="24" xfId="0" applyFont="1" applyFill="1" applyBorder="1" applyAlignment="1">
      <alignment horizontal="center" vertical="center" wrapText="1"/>
    </xf>
    <xf numFmtId="0" fontId="8" fillId="48" borderId="24" xfId="0" applyNumberFormat="1" applyFont="1" applyFill="1" applyBorder="1" applyAlignment="1">
      <alignment horizontal="center" vertical="center" wrapText="1"/>
    </xf>
    <xf numFmtId="173" fontId="8" fillId="48" borderId="25" xfId="5" applyNumberFormat="1" applyFont="1" applyFill="1" applyBorder="1" applyAlignment="1">
      <alignment horizontal="center" vertical="center" wrapText="1"/>
    </xf>
    <xf numFmtId="9" fontId="8" fillId="48" borderId="35" xfId="3" applyFont="1" applyFill="1" applyBorder="1" applyAlignment="1">
      <alignment horizontal="center" vertical="center"/>
    </xf>
    <xf numFmtId="0" fontId="0" fillId="48" borderId="72" xfId="0" applyFill="1" applyBorder="1" applyAlignment="1">
      <alignment horizontal="center" vertical="center"/>
    </xf>
    <xf numFmtId="0" fontId="0" fillId="48" borderId="72" xfId="0" applyFill="1" applyBorder="1" applyAlignment="1">
      <alignment vertical="top" wrapText="1"/>
    </xf>
    <xf numFmtId="167" fontId="0" fillId="48" borderId="72" xfId="1" applyFont="1" applyFill="1" applyBorder="1" applyAlignment="1">
      <alignment horizontal="center" vertical="center"/>
    </xf>
    <xf numFmtId="0" fontId="32" fillId="0" borderId="72" xfId="0" applyFont="1" applyBorder="1"/>
    <xf numFmtId="0" fontId="86" fillId="0" borderId="72" xfId="0" applyFont="1" applyBorder="1" applyAlignment="1">
      <alignment vertical="center"/>
    </xf>
    <xf numFmtId="0" fontId="32" fillId="0" borderId="75" xfId="0" applyFont="1" applyBorder="1"/>
    <xf numFmtId="0" fontId="32" fillId="42" borderId="75" xfId="0" applyFont="1" applyFill="1" applyBorder="1"/>
    <xf numFmtId="0" fontId="32" fillId="0" borderId="72" xfId="0" applyFont="1" applyFill="1" applyBorder="1"/>
    <xf numFmtId="0" fontId="32" fillId="42" borderId="72" xfId="0" applyFont="1" applyFill="1" applyBorder="1"/>
    <xf numFmtId="0" fontId="0" fillId="42" borderId="0" xfId="0" applyFill="1"/>
    <xf numFmtId="0" fontId="32" fillId="0" borderId="75" xfId="0" applyFont="1" applyFill="1" applyBorder="1"/>
    <xf numFmtId="0" fontId="86" fillId="0" borderId="72" xfId="0" applyFont="1" applyBorder="1" applyAlignment="1">
      <alignment vertical="center" wrapText="1"/>
    </xf>
    <xf numFmtId="0" fontId="87" fillId="42" borderId="72" xfId="0" applyFont="1" applyFill="1" applyBorder="1"/>
    <xf numFmtId="0" fontId="69" fillId="2" borderId="72" xfId="0" applyFont="1" applyFill="1" applyBorder="1" applyAlignment="1">
      <alignment horizontal="center"/>
    </xf>
    <xf numFmtId="0" fontId="69" fillId="2" borderId="85" xfId="0" applyFont="1" applyFill="1" applyBorder="1" applyAlignment="1">
      <alignment horizontal="center" vertical="center"/>
    </xf>
    <xf numFmtId="167" fontId="67" fillId="0" borderId="72" xfId="5" applyNumberFormat="1" applyFont="1" applyFill="1" applyBorder="1" applyAlignment="1">
      <alignment horizontal="center"/>
    </xf>
    <xf numFmtId="213" fontId="67" fillId="0" borderId="72" xfId="5" applyNumberFormat="1" applyFont="1" applyFill="1" applyBorder="1" applyAlignment="1">
      <alignment horizontal="center"/>
    </xf>
    <xf numFmtId="167" fontId="67" fillId="0" borderId="72" xfId="5" applyNumberFormat="1" applyFont="1" applyFill="1" applyBorder="1" applyAlignment="1">
      <alignment horizontal="center" vertical="center"/>
    </xf>
    <xf numFmtId="0" fontId="67" fillId="0" borderId="72" xfId="0" applyFont="1" applyBorder="1" applyAlignment="1">
      <alignment horizontal="justify" vertical="center" wrapText="1"/>
    </xf>
    <xf numFmtId="213" fontId="67" fillId="0" borderId="72" xfId="5" applyNumberFormat="1" applyFont="1" applyFill="1" applyBorder="1" applyAlignment="1">
      <alignment horizontal="center" vertical="center"/>
    </xf>
    <xf numFmtId="0" fontId="88" fillId="0" borderId="72" xfId="0" applyFont="1" applyFill="1" applyBorder="1" applyAlignment="1">
      <alignment horizontal="left" vertical="center" wrapText="1"/>
    </xf>
    <xf numFmtId="178" fontId="67" fillId="0" borderId="0" xfId="0" applyNumberFormat="1" applyFont="1" applyAlignment="1">
      <alignment horizontal="center" vertical="center"/>
    </xf>
    <xf numFmtId="0" fontId="88" fillId="0" borderId="72" xfId="0" applyFont="1" applyBorder="1" applyAlignment="1">
      <alignment horizontal="left" vertical="center" wrapText="1"/>
    </xf>
    <xf numFmtId="0" fontId="69" fillId="6" borderId="72" xfId="0" applyFont="1" applyFill="1" applyBorder="1" applyAlignment="1">
      <alignment vertical="center" wrapText="1"/>
    </xf>
    <xf numFmtId="0" fontId="88" fillId="0" borderId="72" xfId="0" applyFont="1" applyBorder="1" applyAlignment="1">
      <alignment vertical="center" wrapText="1"/>
    </xf>
    <xf numFmtId="2" fontId="88" fillId="0" borderId="72" xfId="0" applyNumberFormat="1" applyFont="1" applyBorder="1" applyAlignment="1">
      <alignment horizontal="center" vertical="center" wrapText="1"/>
    </xf>
    <xf numFmtId="2" fontId="67" fillId="0" borderId="72" xfId="0" applyNumberFormat="1" applyFont="1" applyBorder="1" applyAlignment="1">
      <alignment horizontal="center" vertical="center" wrapText="1"/>
    </xf>
    <xf numFmtId="167" fontId="67" fillId="0" borderId="72" xfId="5" applyNumberFormat="1" applyFont="1" applyFill="1" applyBorder="1" applyAlignment="1">
      <alignment horizontal="center" vertical="center" wrapText="1"/>
    </xf>
    <xf numFmtId="0" fontId="69" fillId="6" borderId="72" xfId="0" applyNumberFormat="1" applyFont="1" applyFill="1" applyBorder="1" applyAlignment="1">
      <alignment horizontal="center" vertical="center" wrapText="1"/>
    </xf>
    <xf numFmtId="2" fontId="69" fillId="6" borderId="72" xfId="0" applyNumberFormat="1" applyFont="1" applyFill="1" applyBorder="1" applyAlignment="1">
      <alignment horizontal="center" vertical="center" wrapText="1"/>
    </xf>
    <xf numFmtId="0" fontId="68" fillId="0" borderId="72" xfId="0" applyFont="1" applyFill="1" applyBorder="1" applyAlignment="1">
      <alignment horizontal="justify" vertical="center" wrapText="1"/>
    </xf>
    <xf numFmtId="167" fontId="69" fillId="4" borderId="72" xfId="0" applyNumberFormat="1" applyFont="1" applyFill="1" applyBorder="1" applyAlignment="1">
      <alignment horizontal="center" wrapText="1"/>
    </xf>
    <xf numFmtId="0" fontId="67" fillId="6" borderId="0" xfId="0" applyFont="1" applyFill="1" applyAlignment="1">
      <alignment vertical="center"/>
    </xf>
    <xf numFmtId="167" fontId="67" fillId="6" borderId="72" xfId="5" applyNumberFormat="1" applyFont="1" applyFill="1" applyBorder="1" applyAlignment="1">
      <alignment horizontal="center" vertical="center"/>
    </xf>
    <xf numFmtId="213" fontId="67" fillId="3" borderId="72" xfId="5" applyNumberFormat="1" applyFont="1" applyFill="1" applyBorder="1" applyAlignment="1">
      <alignment horizontal="center" vertical="center"/>
    </xf>
    <xf numFmtId="213" fontId="69" fillId="4" borderId="113" xfId="0" applyNumberFormat="1" applyFont="1" applyFill="1" applyBorder="1" applyAlignment="1">
      <alignment horizontal="left" vertical="center"/>
    </xf>
    <xf numFmtId="167" fontId="67" fillId="0" borderId="72" xfId="5" applyNumberFormat="1" applyFont="1" applyFill="1" applyBorder="1" applyAlignment="1">
      <alignment vertical="center"/>
    </xf>
    <xf numFmtId="213" fontId="69" fillId="4" borderId="72" xfId="0" applyNumberFormat="1" applyFont="1" applyFill="1" applyBorder="1" applyAlignment="1">
      <alignment vertical="center"/>
    </xf>
    <xf numFmtId="0" fontId="67" fillId="0" borderId="0" xfId="0" applyFont="1" applyFill="1" applyAlignment="1">
      <alignment vertical="center" wrapText="1"/>
    </xf>
    <xf numFmtId="2" fontId="69" fillId="6" borderId="72" xfId="0" applyNumberFormat="1" applyFont="1" applyFill="1" applyBorder="1" applyAlignment="1">
      <alignment horizontal="center"/>
    </xf>
    <xf numFmtId="167" fontId="69" fillId="6" borderId="72" xfId="5" applyNumberFormat="1" applyFont="1" applyFill="1" applyBorder="1" applyAlignment="1">
      <alignment horizontal="center"/>
    </xf>
    <xf numFmtId="167" fontId="67" fillId="6" borderId="72" xfId="5" applyNumberFormat="1" applyFont="1" applyFill="1" applyBorder="1" applyAlignment="1">
      <alignment horizontal="center"/>
    </xf>
    <xf numFmtId="213" fontId="67" fillId="3" borderId="72" xfId="5" applyNumberFormat="1" applyFont="1" applyFill="1" applyBorder="1" applyAlignment="1">
      <alignment horizontal="center"/>
    </xf>
    <xf numFmtId="213" fontId="69" fillId="4" borderId="72" xfId="0" applyNumberFormat="1" applyFont="1" applyFill="1" applyBorder="1" applyAlignment="1">
      <alignment horizontal="left"/>
    </xf>
    <xf numFmtId="4" fontId="67" fillId="0" borderId="72" xfId="0" applyNumberFormat="1" applyFont="1" applyFill="1" applyBorder="1" applyAlignment="1">
      <alignment horizontal="center" vertical="center"/>
    </xf>
    <xf numFmtId="178" fontId="67" fillId="0" borderId="72" xfId="0" applyNumberFormat="1" applyFont="1" applyFill="1" applyBorder="1" applyAlignment="1">
      <alignment horizontal="left" vertical="center"/>
    </xf>
    <xf numFmtId="213" fontId="69" fillId="4" borderId="72" xfId="0" applyNumberFormat="1" applyFont="1" applyFill="1" applyBorder="1"/>
    <xf numFmtId="167" fontId="67" fillId="6" borderId="72" xfId="5" applyNumberFormat="1" applyFont="1" applyFill="1" applyBorder="1"/>
    <xf numFmtId="0" fontId="67" fillId="6" borderId="0" xfId="0" applyFont="1" applyFill="1" applyBorder="1"/>
    <xf numFmtId="0" fontId="67" fillId="0" borderId="72" xfId="0" applyFont="1" applyBorder="1" applyAlignment="1">
      <alignment horizontal="left" wrapText="1"/>
    </xf>
    <xf numFmtId="213" fontId="69" fillId="4" borderId="72" xfId="0" applyNumberFormat="1" applyFont="1" applyFill="1" applyBorder="1" applyAlignment="1">
      <alignment horizontal="center"/>
    </xf>
    <xf numFmtId="0" fontId="69" fillId="2" borderId="72" xfId="0" applyFont="1" applyFill="1" applyBorder="1" applyAlignment="1">
      <alignment horizontal="left" vertical="center"/>
    </xf>
    <xf numFmtId="0" fontId="68" fillId="0" borderId="72" xfId="0" applyFont="1" applyFill="1" applyBorder="1"/>
    <xf numFmtId="0" fontId="68" fillId="0" borderId="0" xfId="0" applyFont="1" applyFill="1"/>
    <xf numFmtId="0" fontId="67" fillId="0" borderId="72" xfId="0" applyFont="1" applyFill="1" applyBorder="1" applyAlignment="1">
      <alignment horizontal="left" wrapText="1"/>
    </xf>
    <xf numFmtId="0" fontId="67" fillId="0" borderId="0" xfId="0" applyFont="1" applyFill="1" applyBorder="1" applyAlignment="1">
      <alignment horizontal="left" wrapText="1"/>
    </xf>
    <xf numFmtId="167" fontId="67" fillId="6" borderId="72" xfId="0" applyNumberFormat="1" applyFont="1" applyFill="1" applyBorder="1"/>
    <xf numFmtId="167" fontId="69" fillId="4" borderId="72" xfId="0" applyNumberFormat="1" applyFont="1" applyFill="1" applyBorder="1" applyAlignment="1">
      <alignment horizontal="center"/>
    </xf>
    <xf numFmtId="167" fontId="67" fillId="0" borderId="72" xfId="1" applyNumberFormat="1" applyFont="1" applyBorder="1" applyAlignment="1">
      <alignment horizontal="center" vertical="center"/>
    </xf>
    <xf numFmtId="2" fontId="67" fillId="3" borderId="72" xfId="0" applyNumberFormat="1" applyFont="1" applyFill="1" applyBorder="1" applyAlignment="1">
      <alignment horizontal="center" vertical="center"/>
    </xf>
    <xf numFmtId="173" fontId="69" fillId="2" borderId="72" xfId="5" applyNumberFormat="1" applyFont="1" applyFill="1" applyBorder="1" applyAlignment="1">
      <alignment horizontal="center" vertical="center"/>
    </xf>
    <xf numFmtId="192" fontId="69" fillId="2" borderId="72" xfId="0" applyNumberFormat="1" applyFont="1" applyFill="1" applyBorder="1" applyAlignment="1">
      <alignment horizontal="center" vertical="center"/>
    </xf>
    <xf numFmtId="0" fontId="67" fillId="0" borderId="74" xfId="0" applyFont="1" applyFill="1" applyBorder="1" applyAlignment="1">
      <alignment vertical="center"/>
    </xf>
    <xf numFmtId="192" fontId="69" fillId="0" borderId="85" xfId="5" applyNumberFormat="1" applyFont="1" applyFill="1" applyBorder="1" applyAlignment="1">
      <alignment vertical="center"/>
    </xf>
    <xf numFmtId="192" fontId="69" fillId="0" borderId="85" xfId="0" applyNumberFormat="1" applyFont="1" applyFill="1" applyBorder="1" applyAlignment="1">
      <alignment horizontal="left" vertical="center"/>
    </xf>
    <xf numFmtId="192" fontId="69" fillId="0" borderId="85" xfId="5" applyNumberFormat="1" applyFont="1" applyFill="1" applyBorder="1" applyAlignment="1">
      <alignment horizontal="center" vertical="center"/>
    </xf>
    <xf numFmtId="2" fontId="69" fillId="0" borderId="85" xfId="0" applyNumberFormat="1" applyFont="1" applyFill="1" applyBorder="1" applyAlignment="1">
      <alignment horizontal="center" vertical="center"/>
    </xf>
    <xf numFmtId="2" fontId="67" fillId="0" borderId="72" xfId="0" applyNumberFormat="1" applyFont="1" applyBorder="1" applyAlignment="1">
      <alignment horizontal="left" vertical="center"/>
    </xf>
    <xf numFmtId="213" fontId="69" fillId="4" borderId="74" xfId="0" applyNumberFormat="1" applyFont="1" applyFill="1" applyBorder="1" applyAlignment="1">
      <alignment horizontal="left" vertical="center"/>
    </xf>
    <xf numFmtId="213" fontId="69" fillId="4" borderId="72" xfId="0" applyNumberFormat="1" applyFont="1" applyFill="1" applyBorder="1" applyAlignment="1">
      <alignment horizontal="left" vertical="center"/>
    </xf>
    <xf numFmtId="213" fontId="69" fillId="4" borderId="85" xfId="0" applyNumberFormat="1" applyFont="1" applyFill="1" applyBorder="1" applyAlignment="1">
      <alignment horizontal="left" vertical="center"/>
    </xf>
    <xf numFmtId="2" fontId="69" fillId="2" borderId="72" xfId="0" applyNumberFormat="1" applyFont="1" applyFill="1" applyBorder="1" applyAlignment="1">
      <alignment horizontal="center" vertical="center"/>
    </xf>
    <xf numFmtId="167" fontId="69" fillId="2" borderId="72" xfId="5" applyNumberFormat="1" applyFont="1" applyFill="1" applyBorder="1" applyAlignment="1">
      <alignment horizontal="center" vertical="center"/>
    </xf>
    <xf numFmtId="0" fontId="69" fillId="6" borderId="74" xfId="0" applyFont="1" applyFill="1" applyBorder="1" applyAlignment="1">
      <alignment vertical="center"/>
    </xf>
    <xf numFmtId="192" fontId="67" fillId="6" borderId="72" xfId="0" applyNumberFormat="1" applyFont="1" applyFill="1" applyBorder="1" applyAlignment="1">
      <alignment vertical="center"/>
    </xf>
    <xf numFmtId="0" fontId="67" fillId="0" borderId="0" xfId="0" applyFont="1" applyFill="1" applyAlignment="1">
      <alignment vertical="center"/>
    </xf>
    <xf numFmtId="0" fontId="68" fillId="0" borderId="72" xfId="0" applyFont="1" applyFill="1" applyBorder="1" applyAlignment="1">
      <alignment vertical="center"/>
    </xf>
    <xf numFmtId="0" fontId="67" fillId="3" borderId="72" xfId="0" applyNumberFormat="1" applyFont="1" applyFill="1" applyBorder="1" applyAlignment="1">
      <alignment horizontal="center" vertical="center"/>
    </xf>
    <xf numFmtId="0" fontId="69" fillId="6" borderId="72" xfId="0" applyFont="1" applyFill="1" applyBorder="1" applyAlignment="1">
      <alignment vertical="center"/>
    </xf>
    <xf numFmtId="2" fontId="68" fillId="6" borderId="72" xfId="0" applyNumberFormat="1" applyFont="1" applyFill="1" applyBorder="1" applyAlignment="1">
      <alignment horizontal="center" vertical="center"/>
    </xf>
    <xf numFmtId="178" fontId="68" fillId="6" borderId="72" xfId="0" applyNumberFormat="1" applyFont="1" applyFill="1" applyBorder="1" applyAlignment="1">
      <alignment horizontal="center" vertical="center"/>
    </xf>
    <xf numFmtId="0" fontId="67" fillId="0" borderId="72" xfId="0" applyNumberFormat="1" applyFont="1" applyFill="1" applyBorder="1" applyAlignment="1">
      <alignment horizontal="center" vertical="center"/>
    </xf>
    <xf numFmtId="167" fontId="69" fillId="0" borderId="72" xfId="5" applyNumberFormat="1" applyFont="1" applyFill="1" applyBorder="1" applyAlignment="1">
      <alignment horizontal="center" vertical="center"/>
    </xf>
    <xf numFmtId="213" fontId="69" fillId="4" borderId="72" xfId="5" applyNumberFormat="1" applyFont="1" applyFill="1" applyBorder="1" applyAlignment="1">
      <alignment horizontal="center" vertical="center"/>
    </xf>
    <xf numFmtId="170" fontId="67" fillId="0" borderId="72" xfId="5" applyNumberFormat="1" applyFont="1" applyFill="1" applyBorder="1" applyAlignment="1">
      <alignment horizontal="center" vertical="center"/>
    </xf>
    <xf numFmtId="0" fontId="69" fillId="2" borderId="72" xfId="0" applyFont="1" applyFill="1" applyBorder="1" applyAlignment="1">
      <alignment horizontal="center"/>
    </xf>
    <xf numFmtId="0" fontId="69" fillId="2" borderId="72" xfId="0" applyFont="1" applyFill="1" applyBorder="1" applyAlignment="1">
      <alignment horizontal="center" vertical="center"/>
    </xf>
    <xf numFmtId="213" fontId="69" fillId="4" borderId="68" xfId="0" applyNumberFormat="1" applyFont="1" applyFill="1" applyBorder="1" applyAlignment="1">
      <alignment vertical="center"/>
    </xf>
    <xf numFmtId="0" fontId="69" fillId="2" borderId="72" xfId="0" applyFont="1" applyFill="1" applyBorder="1" applyAlignment="1">
      <alignment horizontal="center" vertical="center"/>
    </xf>
    <xf numFmtId="176" fontId="89" fillId="0" borderId="0" xfId="0" applyNumberFormat="1" applyFont="1" applyFill="1" applyAlignment="1">
      <alignment vertical="center" wrapText="1"/>
    </xf>
    <xf numFmtId="0" fontId="89" fillId="0" borderId="0" xfId="0" applyFont="1" applyFill="1" applyAlignment="1">
      <alignment wrapText="1"/>
    </xf>
    <xf numFmtId="0" fontId="67" fillId="0" borderId="72" xfId="0" applyFont="1" applyFill="1" applyBorder="1" applyAlignment="1">
      <alignment wrapText="1"/>
    </xf>
    <xf numFmtId="0" fontId="88" fillId="0" borderId="72" xfId="0" applyFont="1" applyBorder="1" applyAlignment="1">
      <alignment horizontal="left" wrapText="1"/>
    </xf>
    <xf numFmtId="0" fontId="88" fillId="0" borderId="75" xfId="0" applyFont="1" applyBorder="1" applyAlignment="1">
      <alignment horizontal="left" wrapText="1"/>
    </xf>
    <xf numFmtId="2" fontId="67" fillId="0" borderId="82" xfId="0" applyNumberFormat="1" applyFont="1" applyBorder="1" applyAlignment="1">
      <alignment horizontal="center"/>
    </xf>
    <xf numFmtId="167" fontId="67" fillId="6" borderId="72" xfId="1" applyNumberFormat="1" applyFont="1" applyFill="1" applyBorder="1" applyAlignment="1">
      <alignment horizontal="center"/>
    </xf>
    <xf numFmtId="167" fontId="69" fillId="6" borderId="72" xfId="1" applyNumberFormat="1" applyFont="1" applyFill="1" applyBorder="1" applyAlignment="1">
      <alignment horizontal="center"/>
    </xf>
    <xf numFmtId="167" fontId="67" fillId="6" borderId="72" xfId="1" applyNumberFormat="1" applyFont="1" applyFill="1" applyBorder="1" applyAlignment="1">
      <alignment horizontal="center" vertical="center"/>
    </xf>
    <xf numFmtId="167" fontId="69" fillId="4" borderId="72" xfId="1" applyFont="1" applyFill="1" applyBorder="1" applyAlignment="1">
      <alignment vertical="center"/>
    </xf>
    <xf numFmtId="167" fontId="69" fillId="4" borderId="72" xfId="1" applyFont="1" applyFill="1" applyBorder="1"/>
    <xf numFmtId="2" fontId="69" fillId="6" borderId="72" xfId="0" applyNumberFormat="1" applyFont="1" applyFill="1" applyBorder="1" applyAlignment="1">
      <alignment horizontal="center" vertical="center"/>
    </xf>
    <xf numFmtId="167" fontId="67" fillId="6" borderId="72" xfId="0" applyNumberFormat="1" applyFont="1" applyFill="1" applyBorder="1" applyAlignment="1">
      <alignment horizontal="center" vertical="center"/>
    </xf>
    <xf numFmtId="167" fontId="69" fillId="6" borderId="72" xfId="0" applyNumberFormat="1" applyFont="1" applyFill="1" applyBorder="1" applyAlignment="1">
      <alignment horizontal="center" vertical="center"/>
    </xf>
    <xf numFmtId="167" fontId="69" fillId="4" borderId="72" xfId="0" applyNumberFormat="1" applyFont="1" applyFill="1" applyBorder="1" applyAlignment="1">
      <alignment horizontal="center" vertical="center"/>
    </xf>
    <xf numFmtId="0" fontId="88" fillId="0" borderId="72" xfId="0" applyFont="1" applyFill="1" applyBorder="1" applyAlignment="1">
      <alignment horizontal="left" wrapText="1"/>
    </xf>
    <xf numFmtId="0" fontId="88" fillId="0" borderId="0" xfId="0" applyFont="1" applyFill="1" applyBorder="1" applyAlignment="1">
      <alignment horizontal="left" vertical="center" wrapText="1"/>
    </xf>
    <xf numFmtId="0" fontId="88" fillId="0" borderId="0" xfId="0" applyFont="1" applyBorder="1" applyAlignment="1">
      <alignment horizontal="left" wrapText="1"/>
    </xf>
    <xf numFmtId="0" fontId="88" fillId="0" borderId="75" xfId="0" applyFont="1" applyFill="1" applyBorder="1" applyAlignment="1">
      <alignment horizontal="left" vertical="center" wrapText="1"/>
    </xf>
    <xf numFmtId="2" fontId="67" fillId="0" borderId="0" xfId="0" applyNumberFormat="1" applyFont="1"/>
    <xf numFmtId="167" fontId="67" fillId="0" borderId="0" xfId="0" applyNumberFormat="1" applyFont="1"/>
    <xf numFmtId="2" fontId="68" fillId="3" borderId="72" xfId="0" applyNumberFormat="1" applyFont="1" applyFill="1" applyBorder="1" applyAlignment="1">
      <alignment horizontal="center"/>
    </xf>
    <xf numFmtId="175" fontId="80" fillId="0" borderId="0" xfId="165" applyNumberFormat="1" applyFont="1" applyFill="1" applyBorder="1" applyAlignment="1">
      <alignment horizontal="center"/>
    </xf>
    <xf numFmtId="0" fontId="80" fillId="0" borderId="0" xfId="165" applyFont="1" applyFill="1" applyBorder="1" applyAlignment="1">
      <alignment horizontal="center"/>
    </xf>
    <xf numFmtId="0" fontId="67" fillId="3" borderId="72" xfId="0" applyFont="1" applyFill="1" applyBorder="1"/>
    <xf numFmtId="0" fontId="68" fillId="3" borderId="0" xfId="0" applyFont="1" applyFill="1"/>
    <xf numFmtId="0" fontId="68" fillId="3" borderId="72" xfId="0" applyFont="1" applyFill="1" applyBorder="1"/>
    <xf numFmtId="173" fontId="68" fillId="3" borderId="72" xfId="5" applyNumberFormat="1" applyFont="1" applyFill="1" applyBorder="1" applyAlignment="1">
      <alignment horizontal="center"/>
    </xf>
    <xf numFmtId="167" fontId="68" fillId="3" borderId="72" xfId="5" applyNumberFormat="1" applyFont="1" applyFill="1" applyBorder="1" applyAlignment="1">
      <alignment horizontal="center"/>
    </xf>
    <xf numFmtId="213" fontId="68" fillId="3" borderId="72" xfId="5" applyNumberFormat="1" applyFont="1" applyFill="1" applyBorder="1" applyAlignment="1">
      <alignment horizontal="center"/>
    </xf>
    <xf numFmtId="0" fontId="88" fillId="3" borderId="72" xfId="0" applyFont="1" applyFill="1" applyBorder="1" applyAlignment="1">
      <alignment horizontal="left" vertical="center" wrapText="1"/>
    </xf>
    <xf numFmtId="0" fontId="88" fillId="3" borderId="72" xfId="0" applyFont="1" applyFill="1" applyBorder="1" applyAlignment="1">
      <alignment horizontal="left" wrapText="1"/>
    </xf>
    <xf numFmtId="2" fontId="88" fillId="3" borderId="72" xfId="0" applyNumberFormat="1" applyFont="1" applyFill="1" applyBorder="1" applyAlignment="1">
      <alignment horizontal="left" wrapText="1"/>
    </xf>
    <xf numFmtId="0" fontId="67" fillId="3" borderId="72" xfId="0" applyFont="1" applyFill="1" applyBorder="1" applyAlignment="1">
      <alignment wrapText="1"/>
    </xf>
    <xf numFmtId="2" fontId="67" fillId="3" borderId="72" xfId="0" applyNumberFormat="1" applyFont="1" applyFill="1" applyBorder="1" applyAlignment="1">
      <alignment horizontal="left" wrapText="1"/>
    </xf>
    <xf numFmtId="0" fontId="67" fillId="3" borderId="72" xfId="0" applyFont="1" applyFill="1" applyBorder="1" applyAlignment="1">
      <alignment horizontal="left" wrapText="1"/>
    </xf>
    <xf numFmtId="173" fontId="68" fillId="3" borderId="72" xfId="5" applyNumberFormat="1" applyFont="1" applyFill="1" applyBorder="1"/>
    <xf numFmtId="167" fontId="67" fillId="0" borderId="72" xfId="0" applyNumberFormat="1" applyFont="1" applyBorder="1"/>
    <xf numFmtId="167" fontId="67" fillId="0" borderId="72" xfId="0" applyNumberFormat="1" applyFont="1" applyBorder="1" applyAlignment="1">
      <alignment vertical="center"/>
    </xf>
    <xf numFmtId="0" fontId="68" fillId="3" borderId="72" xfId="0" applyFont="1" applyFill="1" applyBorder="1" applyAlignment="1">
      <alignment vertical="center"/>
    </xf>
    <xf numFmtId="173" fontId="68" fillId="0" borderId="72" xfId="5" applyNumberFormat="1" applyFont="1" applyFill="1" applyBorder="1" applyAlignment="1">
      <alignment horizontal="center"/>
    </xf>
    <xf numFmtId="167" fontId="68" fillId="0" borderId="72" xfId="5" applyNumberFormat="1" applyFont="1" applyFill="1" applyBorder="1" applyAlignment="1">
      <alignment horizontal="center"/>
    </xf>
    <xf numFmtId="213" fontId="68" fillId="0" borderId="72" xfId="5" applyNumberFormat="1" applyFont="1" applyFill="1" applyBorder="1" applyAlignment="1">
      <alignment horizontal="center"/>
    </xf>
    <xf numFmtId="0" fontId="67" fillId="3" borderId="72" xfId="0" applyFont="1" applyFill="1" applyBorder="1" applyAlignment="1">
      <alignment horizontal="left" vertical="center" wrapText="1"/>
    </xf>
    <xf numFmtId="167" fontId="67" fillId="6" borderId="72" xfId="0" applyNumberFormat="1" applyFont="1" applyFill="1" applyBorder="1" applyAlignment="1">
      <alignment vertical="center"/>
    </xf>
    <xf numFmtId="4" fontId="67" fillId="3" borderId="72" xfId="0" applyNumberFormat="1" applyFont="1" applyFill="1" applyBorder="1" applyAlignment="1">
      <alignment horizontal="center" vertical="center"/>
    </xf>
    <xf numFmtId="0" fontId="69" fillId="2" borderId="82" xfId="0" applyFont="1" applyFill="1" applyBorder="1" applyAlignment="1">
      <alignment horizontal="center" vertical="center"/>
    </xf>
    <xf numFmtId="0" fontId="69" fillId="2" borderId="82" xfId="0" applyFont="1" applyFill="1" applyBorder="1" applyAlignment="1">
      <alignment horizontal="center"/>
    </xf>
    <xf numFmtId="173" fontId="69" fillId="2" borderId="82" xfId="5" applyNumberFormat="1" applyFont="1" applyFill="1" applyBorder="1" applyAlignment="1">
      <alignment horizontal="center"/>
    </xf>
    <xf numFmtId="192" fontId="69" fillId="2" borderId="82" xfId="0" applyNumberFormat="1" applyFont="1" applyFill="1" applyBorder="1" applyAlignment="1">
      <alignment horizontal="center"/>
    </xf>
    <xf numFmtId="173" fontId="69" fillId="2" borderId="82" xfId="5" applyNumberFormat="1" applyFont="1" applyFill="1" applyBorder="1" applyAlignment="1">
      <alignment horizontal="center" vertical="center"/>
    </xf>
    <xf numFmtId="192" fontId="69" fillId="2" borderId="82" xfId="0" applyNumberFormat="1" applyFont="1" applyFill="1" applyBorder="1" applyAlignment="1">
      <alignment horizontal="center" vertical="center"/>
    </xf>
    <xf numFmtId="2" fontId="90" fillId="3" borderId="72" xfId="0" applyNumberFormat="1" applyFont="1" applyFill="1" applyBorder="1" applyAlignment="1">
      <alignment horizontal="center"/>
    </xf>
    <xf numFmtId="2" fontId="90" fillId="3" borderId="72" xfId="0" applyNumberFormat="1" applyFont="1" applyFill="1" applyBorder="1" applyAlignment="1">
      <alignment horizontal="center" vertical="center"/>
    </xf>
    <xf numFmtId="167" fontId="67" fillId="3" borderId="72" xfId="1" applyFont="1" applyFill="1" applyBorder="1" applyAlignment="1">
      <alignment vertical="center"/>
    </xf>
    <xf numFmtId="167" fontId="69" fillId="6" borderId="72" xfId="0" applyNumberFormat="1" applyFont="1" applyFill="1" applyBorder="1" applyAlignment="1">
      <alignment horizontal="center"/>
    </xf>
    <xf numFmtId="0" fontId="68" fillId="0" borderId="0" xfId="0" applyFont="1" applyFill="1" applyAlignment="1">
      <alignment horizontal="justify" vertical="center" wrapText="1"/>
    </xf>
    <xf numFmtId="2" fontId="67" fillId="0" borderId="72" xfId="0" applyNumberFormat="1" applyFont="1" applyBorder="1" applyAlignment="1">
      <alignment horizontal="left" vertical="center" wrapText="1"/>
    </xf>
    <xf numFmtId="178" fontId="68" fillId="3" borderId="72" xfId="0" applyNumberFormat="1" applyFont="1" applyFill="1" applyBorder="1" applyAlignment="1">
      <alignment horizontal="center" vertical="center"/>
    </xf>
    <xf numFmtId="0" fontId="67" fillId="0" borderId="0" xfId="6" applyFont="1" applyProtection="1">
      <protection hidden="1"/>
    </xf>
    <xf numFmtId="0" fontId="67" fillId="2" borderId="115" xfId="6" applyFont="1" applyFill="1" applyBorder="1" applyAlignment="1" applyProtection="1">
      <alignment horizontal="center" vertical="center" wrapText="1"/>
      <protection hidden="1"/>
    </xf>
    <xf numFmtId="0" fontId="67" fillId="2" borderId="89" xfId="6" applyFont="1" applyFill="1" applyBorder="1" applyAlignment="1" applyProtection="1">
      <alignment horizontal="center" vertical="center" wrapText="1"/>
      <protection hidden="1"/>
    </xf>
    <xf numFmtId="0" fontId="67" fillId="2" borderId="140" xfId="6" applyFont="1" applyFill="1" applyBorder="1" applyAlignment="1" applyProtection="1">
      <alignment horizontal="center" vertical="center" wrapText="1"/>
      <protection hidden="1"/>
    </xf>
    <xf numFmtId="0" fontId="69" fillId="0" borderId="67" xfId="6" applyFont="1" applyFill="1" applyBorder="1" applyAlignment="1" applyProtection="1">
      <alignment horizontal="center" vertical="center" wrapText="1"/>
      <protection hidden="1"/>
    </xf>
    <xf numFmtId="0" fontId="69" fillId="6" borderId="102" xfId="6" applyFont="1" applyFill="1" applyBorder="1" applyAlignment="1" applyProtection="1">
      <alignment horizontal="center" vertical="center" wrapText="1"/>
      <protection hidden="1"/>
    </xf>
    <xf numFmtId="0" fontId="69" fillId="6" borderId="103" xfId="6" applyFont="1" applyFill="1" applyBorder="1" applyAlignment="1" applyProtection="1">
      <alignment horizontal="left" vertical="center" wrapText="1"/>
      <protection hidden="1"/>
    </xf>
    <xf numFmtId="0" fontId="69" fillId="6" borderId="104" xfId="6" applyFont="1" applyFill="1" applyBorder="1" applyAlignment="1" applyProtection="1">
      <alignment horizontal="left" vertical="center" wrapText="1"/>
      <protection hidden="1"/>
    </xf>
    <xf numFmtId="0" fontId="69" fillId="6" borderId="102" xfId="6" applyFont="1" applyFill="1" applyBorder="1" applyAlignment="1" applyProtection="1">
      <alignment horizontal="left" vertical="center" wrapText="1"/>
      <protection hidden="1"/>
    </xf>
    <xf numFmtId="0" fontId="69" fillId="0" borderId="88" xfId="6" quotePrefix="1" applyFont="1" applyFill="1" applyBorder="1" applyAlignment="1" applyProtection="1">
      <alignment horizontal="center" vertical="center" wrapText="1"/>
      <protection hidden="1"/>
    </xf>
    <xf numFmtId="0" fontId="67" fillId="3" borderId="72" xfId="6" applyFont="1" applyFill="1" applyBorder="1" applyAlignment="1" applyProtection="1">
      <alignment vertical="center"/>
      <protection hidden="1"/>
    </xf>
    <xf numFmtId="167" fontId="67" fillId="3" borderId="80" xfId="6" applyNumberFormat="1" applyFont="1" applyFill="1" applyBorder="1" applyAlignment="1" applyProtection="1">
      <alignment horizontal="center" vertical="center" wrapText="1"/>
      <protection hidden="1"/>
    </xf>
    <xf numFmtId="173" fontId="67" fillId="5" borderId="88" xfId="6" applyNumberFormat="1" applyFont="1" applyFill="1" applyBorder="1" applyAlignment="1" applyProtection="1">
      <alignment horizontal="center" vertical="center" wrapText="1"/>
      <protection hidden="1"/>
    </xf>
    <xf numFmtId="173" fontId="67" fillId="5" borderId="72" xfId="6" applyNumberFormat="1" applyFont="1" applyFill="1" applyBorder="1" applyAlignment="1" applyProtection="1">
      <alignment horizontal="center" vertical="center" wrapText="1"/>
      <protection hidden="1"/>
    </xf>
    <xf numFmtId="167" fontId="67" fillId="5" borderId="80" xfId="6" applyNumberFormat="1" applyFont="1" applyFill="1" applyBorder="1" applyAlignment="1" applyProtection="1">
      <alignment horizontal="center" vertical="center" wrapText="1"/>
      <protection hidden="1"/>
    </xf>
    <xf numFmtId="214" fontId="67" fillId="0" borderId="0" xfId="3" applyNumberFormat="1" applyFont="1" applyProtection="1">
      <protection hidden="1"/>
    </xf>
    <xf numFmtId="215" fontId="67" fillId="0" borderId="0" xfId="6" applyNumberFormat="1" applyFont="1" applyProtection="1">
      <protection hidden="1"/>
    </xf>
    <xf numFmtId="0" fontId="69" fillId="0" borderId="88" xfId="6" applyFont="1" applyFill="1" applyBorder="1" applyAlignment="1" applyProtection="1">
      <alignment horizontal="center" vertical="center" wrapText="1"/>
      <protection hidden="1"/>
    </xf>
    <xf numFmtId="210" fontId="67" fillId="0" borderId="0" xfId="6" applyNumberFormat="1" applyFont="1" applyProtection="1">
      <protection hidden="1"/>
    </xf>
    <xf numFmtId="0" fontId="69" fillId="6" borderId="88" xfId="6" applyFont="1" applyFill="1" applyBorder="1" applyAlignment="1" applyProtection="1">
      <alignment horizontal="center" vertical="center" wrapText="1"/>
      <protection hidden="1"/>
    </xf>
    <xf numFmtId="0" fontId="69" fillId="6" borderId="72" xfId="6" applyFont="1" applyFill="1" applyBorder="1" applyAlignment="1" applyProtection="1">
      <alignment horizontal="left" vertical="center" wrapText="1"/>
      <protection hidden="1"/>
    </xf>
    <xf numFmtId="0" fontId="69" fillId="6" borderId="80" xfId="6" applyFont="1" applyFill="1" applyBorder="1" applyAlignment="1" applyProtection="1">
      <alignment horizontal="left" vertical="center" wrapText="1"/>
      <protection hidden="1"/>
    </xf>
    <xf numFmtId="0" fontId="69" fillId="6" borderId="88" xfId="6" applyFont="1" applyFill="1" applyBorder="1" applyAlignment="1" applyProtection="1">
      <alignment horizontal="left" vertical="center" wrapText="1"/>
      <protection hidden="1"/>
    </xf>
    <xf numFmtId="182" fontId="67" fillId="0" borderId="0" xfId="6" applyNumberFormat="1" applyFont="1" applyProtection="1">
      <protection hidden="1"/>
    </xf>
    <xf numFmtId="173" fontId="67" fillId="5" borderId="80" xfId="6" applyNumberFormat="1" applyFont="1" applyFill="1" applyBorder="1" applyAlignment="1" applyProtection="1">
      <alignment horizontal="center" vertical="center" wrapText="1"/>
      <protection hidden="1"/>
    </xf>
    <xf numFmtId="173" fontId="67" fillId="0" borderId="72" xfId="6" applyNumberFormat="1" applyFont="1" applyFill="1" applyBorder="1" applyAlignment="1" applyProtection="1">
      <alignment horizontal="center" vertical="center" wrapText="1"/>
      <protection hidden="1"/>
    </xf>
    <xf numFmtId="173" fontId="67" fillId="0" borderId="80" xfId="6" applyNumberFormat="1" applyFont="1" applyFill="1" applyBorder="1" applyAlignment="1" applyProtection="1">
      <alignment horizontal="center" vertical="center" wrapText="1"/>
      <protection hidden="1"/>
    </xf>
    <xf numFmtId="173" fontId="67" fillId="0" borderId="0" xfId="6" applyNumberFormat="1" applyFont="1" applyProtection="1">
      <protection hidden="1"/>
    </xf>
    <xf numFmtId="0" fontId="69" fillId="4" borderId="72" xfId="6" applyFont="1" applyFill="1" applyBorder="1" applyAlignment="1" applyProtection="1">
      <alignment vertical="center"/>
      <protection hidden="1"/>
    </xf>
    <xf numFmtId="167" fontId="69" fillId="4" borderId="80" xfId="6" applyNumberFormat="1" applyFont="1" applyFill="1" applyBorder="1" applyAlignment="1" applyProtection="1">
      <alignment horizontal="center" vertical="center" wrapText="1"/>
      <protection hidden="1"/>
    </xf>
    <xf numFmtId="0" fontId="69" fillId="3" borderId="72" xfId="6" applyFont="1" applyFill="1" applyBorder="1" applyAlignment="1" applyProtection="1">
      <alignment vertical="center"/>
      <protection hidden="1"/>
    </xf>
    <xf numFmtId="184" fontId="67" fillId="5" borderId="72" xfId="6" applyNumberFormat="1" applyFont="1" applyFill="1" applyBorder="1" applyAlignment="1" applyProtection="1">
      <alignment horizontal="center" vertical="center" wrapText="1"/>
      <protection hidden="1"/>
    </xf>
    <xf numFmtId="0" fontId="67" fillId="6" borderId="88" xfId="6" applyFont="1" applyFill="1" applyBorder="1" applyAlignment="1" applyProtection="1">
      <alignment horizontal="center" vertical="center" wrapText="1"/>
      <protection hidden="1"/>
    </xf>
    <xf numFmtId="0" fontId="69" fillId="4" borderId="72" xfId="6" applyFont="1" applyFill="1" applyBorder="1" applyAlignment="1" applyProtection="1">
      <alignment horizontal="left" vertical="center" wrapText="1"/>
      <protection hidden="1"/>
    </xf>
    <xf numFmtId="173" fontId="67" fillId="6" borderId="88" xfId="6" applyNumberFormat="1" applyFont="1" applyFill="1" applyBorder="1" applyAlignment="1" applyProtection="1">
      <alignment horizontal="center" vertical="center" wrapText="1"/>
      <protection hidden="1"/>
    </xf>
    <xf numFmtId="173" fontId="67" fillId="6" borderId="72" xfId="6" applyNumberFormat="1" applyFont="1" applyFill="1" applyBorder="1" applyAlignment="1" applyProtection="1">
      <alignment horizontal="center" vertical="center" wrapText="1"/>
      <protection hidden="1"/>
    </xf>
    <xf numFmtId="173" fontId="67" fillId="6" borderId="80" xfId="6" applyNumberFormat="1" applyFont="1" applyFill="1" applyBorder="1" applyAlignment="1" applyProtection="1">
      <alignment horizontal="center" vertical="center" wrapText="1"/>
      <protection hidden="1"/>
    </xf>
    <xf numFmtId="0" fontId="69" fillId="3" borderId="88" xfId="6" applyFont="1" applyFill="1" applyBorder="1" applyAlignment="1" applyProtection="1">
      <alignment horizontal="center" vertical="center"/>
      <protection hidden="1"/>
    </xf>
    <xf numFmtId="173" fontId="69" fillId="7" borderId="88" xfId="56" applyNumberFormat="1" applyFont="1" applyFill="1" applyBorder="1" applyAlignment="1" applyProtection="1">
      <alignment vertical="center" wrapText="1"/>
      <protection hidden="1"/>
    </xf>
    <xf numFmtId="173" fontId="69" fillId="7" borderId="72" xfId="56" applyNumberFormat="1" applyFont="1" applyFill="1" applyBorder="1" applyAlignment="1" applyProtection="1">
      <alignment vertical="center" wrapText="1"/>
      <protection hidden="1"/>
    </xf>
    <xf numFmtId="173" fontId="69" fillId="7" borderId="80" xfId="56" applyNumberFormat="1" applyFont="1" applyFill="1" applyBorder="1" applyAlignment="1" applyProtection="1">
      <alignment vertical="center" wrapText="1"/>
      <protection hidden="1"/>
    </xf>
    <xf numFmtId="173" fontId="67" fillId="0" borderId="0" xfId="1" applyNumberFormat="1" applyFont="1" applyProtection="1">
      <protection hidden="1"/>
    </xf>
    <xf numFmtId="0" fontId="67" fillId="3" borderId="88" xfId="6" applyFont="1" applyFill="1" applyBorder="1" applyAlignment="1" applyProtection="1">
      <alignment horizontal="center" vertical="center" wrapText="1"/>
      <protection hidden="1"/>
    </xf>
    <xf numFmtId="173" fontId="67" fillId="6" borderId="88" xfId="5" applyNumberFormat="1" applyFont="1" applyFill="1" applyBorder="1" applyAlignment="1" applyProtection="1">
      <alignment horizontal="center" vertical="center" wrapText="1"/>
      <protection hidden="1"/>
    </xf>
    <xf numFmtId="173" fontId="67" fillId="6" borderId="72" xfId="5" applyNumberFormat="1" applyFont="1" applyFill="1" applyBorder="1" applyAlignment="1" applyProtection="1">
      <alignment horizontal="center" vertical="center" wrapText="1"/>
      <protection hidden="1"/>
    </xf>
    <xf numFmtId="173" fontId="67" fillId="6" borderId="80" xfId="5" applyNumberFormat="1" applyFont="1" applyFill="1" applyBorder="1" applyAlignment="1" applyProtection="1">
      <alignment horizontal="center" vertical="center" wrapText="1"/>
      <protection hidden="1"/>
    </xf>
    <xf numFmtId="173" fontId="69" fillId="3" borderId="80" xfId="56" applyNumberFormat="1" applyFont="1" applyFill="1" applyBorder="1" applyAlignment="1" applyProtection="1">
      <alignment vertical="center" wrapText="1"/>
      <protection hidden="1"/>
    </xf>
    <xf numFmtId="0" fontId="69" fillId="4" borderId="72" xfId="6" applyFont="1" applyFill="1" applyBorder="1" applyAlignment="1" applyProtection="1">
      <alignment horizontal="center" vertical="center" wrapText="1"/>
      <protection hidden="1"/>
    </xf>
    <xf numFmtId="0" fontId="69" fillId="0" borderId="0" xfId="6" quotePrefix="1" applyFont="1" applyFill="1" applyBorder="1" applyAlignment="1" applyProtection="1">
      <alignment horizontal="center" vertical="center" wrapText="1"/>
      <protection hidden="1"/>
    </xf>
    <xf numFmtId="0" fontId="67" fillId="0" borderId="0" xfId="6" applyFont="1" applyFill="1" applyBorder="1" applyAlignment="1" applyProtection="1">
      <alignment vertical="center"/>
      <protection hidden="1"/>
    </xf>
    <xf numFmtId="173" fontId="67" fillId="0" borderId="0" xfId="6" applyNumberFormat="1" applyFont="1" applyFill="1" applyBorder="1" applyAlignment="1" applyProtection="1">
      <alignment horizontal="center" vertical="center" wrapText="1"/>
      <protection hidden="1"/>
    </xf>
    <xf numFmtId="0" fontId="67" fillId="0" borderId="0" xfId="6" applyFont="1" applyBorder="1" applyProtection="1">
      <protection hidden="1"/>
    </xf>
    <xf numFmtId="0" fontId="67" fillId="0" borderId="0" xfId="6" applyFont="1" applyFill="1" applyBorder="1" applyProtection="1">
      <protection hidden="1"/>
    </xf>
    <xf numFmtId="0" fontId="67" fillId="6" borderId="0" xfId="6" applyFont="1" applyFill="1" applyBorder="1" applyProtection="1">
      <protection hidden="1"/>
    </xf>
    <xf numFmtId="0" fontId="67" fillId="0" borderId="0" xfId="6" applyFont="1" applyFill="1" applyProtection="1">
      <protection hidden="1"/>
    </xf>
    <xf numFmtId="0" fontId="80" fillId="0" borderId="72" xfId="217" applyFont="1" applyFill="1" applyBorder="1" applyAlignment="1">
      <alignment horizontal="justify" vertical="center" wrapText="1"/>
    </xf>
    <xf numFmtId="44" fontId="68" fillId="0" borderId="80" xfId="219" applyNumberFormat="1" applyFont="1" applyFill="1" applyBorder="1" applyAlignment="1">
      <alignment horizontal="right" vertical="center"/>
    </xf>
    <xf numFmtId="2" fontId="68" fillId="0" borderId="72" xfId="165" applyNumberFormat="1" applyFont="1" applyFill="1" applyBorder="1" applyAlignment="1">
      <alignment horizontal="center" vertical="center"/>
    </xf>
    <xf numFmtId="212" fontId="79" fillId="0" borderId="127" xfId="219" applyNumberFormat="1" applyFont="1" applyFill="1" applyBorder="1" applyAlignment="1">
      <alignment vertical="center"/>
    </xf>
    <xf numFmtId="216" fontId="67" fillId="0" borderId="0" xfId="6" applyNumberFormat="1" applyFont="1" applyProtection="1">
      <protection hidden="1"/>
    </xf>
    <xf numFmtId="177" fontId="67" fillId="0" borderId="0" xfId="0" applyNumberFormat="1" applyFont="1"/>
    <xf numFmtId="217" fontId="67" fillId="0" borderId="0" xfId="0" applyNumberFormat="1" applyFont="1"/>
    <xf numFmtId="2" fontId="91" fillId="5" borderId="72" xfId="0" applyNumberFormat="1" applyFont="1" applyFill="1" applyBorder="1" applyAlignment="1">
      <alignment horizontal="center"/>
    </xf>
    <xf numFmtId="213" fontId="92" fillId="5" borderId="72" xfId="5" applyNumberFormat="1" applyFont="1" applyFill="1" applyBorder="1" applyAlignment="1">
      <alignment horizontal="center"/>
    </xf>
    <xf numFmtId="213" fontId="92" fillId="5" borderId="72" xfId="0" applyNumberFormat="1" applyFont="1" applyFill="1" applyBorder="1" applyAlignment="1">
      <alignment horizontal="left"/>
    </xf>
    <xf numFmtId="167" fontId="92" fillId="5" borderId="80" xfId="6" applyNumberFormat="1" applyFont="1" applyFill="1" applyBorder="1" applyAlignment="1" applyProtection="1">
      <alignment horizontal="center" vertical="center" wrapText="1"/>
      <protection hidden="1"/>
    </xf>
    <xf numFmtId="167" fontId="92" fillId="5" borderId="80" xfId="5" applyNumberFormat="1" applyFont="1" applyFill="1" applyBorder="1" applyAlignment="1" applyProtection="1">
      <alignment horizontal="center" vertical="center" wrapText="1"/>
      <protection hidden="1"/>
    </xf>
    <xf numFmtId="185" fontId="67" fillId="0" borderId="0" xfId="6" applyNumberFormat="1" applyFont="1" applyProtection="1">
      <protection hidden="1"/>
    </xf>
    <xf numFmtId="218" fontId="67" fillId="0" borderId="0" xfId="6" applyNumberFormat="1" applyFont="1" applyProtection="1">
      <protection hidden="1"/>
    </xf>
    <xf numFmtId="178" fontId="95" fillId="5" borderId="72" xfId="0" applyNumberFormat="1" applyFont="1" applyFill="1" applyBorder="1" applyAlignment="1">
      <alignment horizontal="center" vertical="center"/>
    </xf>
    <xf numFmtId="0" fontId="96" fillId="5" borderId="72" xfId="0" applyFont="1" applyFill="1" applyBorder="1" applyAlignment="1">
      <alignment horizontal="left" wrapText="1"/>
    </xf>
    <xf numFmtId="0" fontId="95" fillId="5" borderId="72" xfId="0" applyFont="1" applyFill="1" applyBorder="1" applyAlignment="1">
      <alignment horizontal="center" vertical="center"/>
    </xf>
    <xf numFmtId="2" fontId="95" fillId="5" borderId="72" xfId="0" applyNumberFormat="1" applyFont="1" applyFill="1" applyBorder="1" applyAlignment="1">
      <alignment horizontal="center"/>
    </xf>
    <xf numFmtId="173" fontId="95" fillId="5" borderId="72" xfId="5" applyNumberFormat="1" applyFont="1" applyFill="1" applyBorder="1"/>
    <xf numFmtId="192" fontId="95" fillId="5" borderId="72" xfId="5" applyNumberFormat="1" applyFont="1" applyFill="1" applyBorder="1" applyAlignment="1">
      <alignment horizontal="center"/>
    </xf>
    <xf numFmtId="167" fontId="95" fillId="5" borderId="72" xfId="0" applyNumberFormat="1" applyFont="1" applyFill="1" applyBorder="1" applyAlignment="1">
      <alignment vertical="center"/>
    </xf>
    <xf numFmtId="0" fontId="94" fillId="5" borderId="72" xfId="0" applyFont="1" applyFill="1" applyBorder="1"/>
    <xf numFmtId="167" fontId="67" fillId="0" borderId="0" xfId="6" applyNumberFormat="1" applyFont="1" applyBorder="1" applyProtection="1">
      <protection hidden="1"/>
    </xf>
    <xf numFmtId="0" fontId="4" fillId="0" borderId="74" xfId="0" applyFont="1" applyFill="1" applyBorder="1" applyAlignment="1">
      <alignment horizontal="center"/>
    </xf>
    <xf numFmtId="0" fontId="4" fillId="0" borderId="75" xfId="0" applyFont="1" applyFill="1" applyBorder="1" applyAlignment="1">
      <alignment horizontal="center"/>
    </xf>
    <xf numFmtId="0" fontId="4" fillId="0" borderId="72" xfId="0" applyFont="1" applyFill="1" applyBorder="1" applyAlignment="1">
      <alignment horizontal="center"/>
    </xf>
    <xf numFmtId="0" fontId="6" fillId="0" borderId="0" xfId="0" applyFont="1" applyFill="1" applyBorder="1" applyAlignment="1">
      <alignment horizontal="center" vertical="center" wrapText="1"/>
    </xf>
    <xf numFmtId="0" fontId="69" fillId="4" borderId="72" xfId="0" applyFont="1" applyFill="1" applyBorder="1" applyAlignment="1" applyProtection="1">
      <alignment horizontal="center" vertical="center" wrapText="1"/>
      <protection hidden="1"/>
    </xf>
    <xf numFmtId="0" fontId="69" fillId="0" borderId="114" xfId="6" applyFont="1" applyFill="1" applyBorder="1" applyAlignment="1" applyProtection="1">
      <alignment horizontal="center" vertical="center" wrapText="1"/>
      <protection hidden="1"/>
    </xf>
    <xf numFmtId="0" fontId="69" fillId="0" borderId="33" xfId="6" applyFont="1" applyFill="1" applyBorder="1" applyAlignment="1" applyProtection="1">
      <alignment horizontal="center" vertical="center" wrapText="1"/>
      <protection hidden="1"/>
    </xf>
    <xf numFmtId="0" fontId="67" fillId="3" borderId="134" xfId="6" applyFont="1" applyFill="1" applyBorder="1" applyAlignment="1" applyProtection="1">
      <alignment horizontal="center" vertical="center" wrapText="1"/>
      <protection hidden="1"/>
    </xf>
    <xf numFmtId="0" fontId="67" fillId="3" borderId="85" xfId="6" applyFont="1" applyFill="1" applyBorder="1" applyAlignment="1" applyProtection="1">
      <alignment horizontal="center" vertical="center" wrapText="1"/>
      <protection hidden="1"/>
    </xf>
    <xf numFmtId="0" fontId="67" fillId="3" borderId="142" xfId="6" applyFont="1" applyFill="1" applyBorder="1" applyAlignment="1" applyProtection="1">
      <alignment horizontal="center" vertical="center" wrapText="1"/>
      <protection hidden="1"/>
    </xf>
    <xf numFmtId="0" fontId="69" fillId="0" borderId="134" xfId="6" applyFont="1" applyFill="1" applyBorder="1" applyAlignment="1" applyProtection="1">
      <alignment horizontal="center" vertical="center" wrapText="1"/>
      <protection hidden="1"/>
    </xf>
    <xf numFmtId="0" fontId="69" fillId="0" borderId="85" xfId="6" applyFont="1" applyFill="1" applyBorder="1" applyAlignment="1" applyProtection="1">
      <alignment horizontal="center" vertical="center" wrapText="1"/>
      <protection hidden="1"/>
    </xf>
    <xf numFmtId="0" fontId="69" fillId="0" borderId="142" xfId="6" applyFont="1" applyFill="1" applyBorder="1" applyAlignment="1" applyProtection="1">
      <alignment horizontal="center" vertical="center" wrapText="1"/>
      <protection hidden="1"/>
    </xf>
    <xf numFmtId="0" fontId="67" fillId="0" borderId="101" xfId="6" applyFont="1" applyBorder="1" applyAlignment="1" applyProtection="1">
      <alignment horizontal="left" wrapText="1"/>
      <protection hidden="1"/>
    </xf>
    <xf numFmtId="0" fontId="67" fillId="0" borderId="0" xfId="6" applyFont="1" applyBorder="1" applyAlignment="1" applyProtection="1">
      <alignment horizontal="left" wrapText="1"/>
      <protection hidden="1"/>
    </xf>
    <xf numFmtId="0" fontId="69" fillId="2" borderId="12" xfId="6" applyFont="1" applyFill="1" applyBorder="1" applyAlignment="1" applyProtection="1">
      <alignment horizontal="left" vertical="center" wrapText="1"/>
      <protection hidden="1"/>
    </xf>
    <xf numFmtId="0" fontId="69" fillId="2" borderId="13" xfId="6" applyFont="1" applyFill="1" applyBorder="1" applyAlignment="1" applyProtection="1">
      <alignment horizontal="left" vertical="center" wrapText="1"/>
      <protection hidden="1"/>
    </xf>
    <xf numFmtId="0" fontId="69" fillId="2" borderId="15" xfId="6" applyFont="1" applyFill="1" applyBorder="1" applyAlignment="1" applyProtection="1">
      <alignment horizontal="left" vertical="center" wrapText="1"/>
      <protection hidden="1"/>
    </xf>
    <xf numFmtId="0" fontId="69" fillId="2" borderId="145" xfId="6" applyFont="1" applyFill="1" applyBorder="1" applyAlignment="1" applyProtection="1">
      <alignment horizontal="center" vertical="center" wrapText="1"/>
      <protection hidden="1"/>
    </xf>
    <xf numFmtId="0" fontId="69" fillId="2" borderId="115" xfId="6" applyFont="1" applyFill="1" applyBorder="1" applyAlignment="1" applyProtection="1">
      <alignment horizontal="center" vertical="center" wrapText="1"/>
      <protection hidden="1"/>
    </xf>
    <xf numFmtId="0" fontId="69" fillId="2" borderId="147" xfId="6" applyFont="1" applyFill="1" applyBorder="1" applyAlignment="1" applyProtection="1">
      <alignment horizontal="center" vertical="center" wrapText="1"/>
      <protection hidden="1"/>
    </xf>
    <xf numFmtId="0" fontId="69" fillId="2" borderId="148" xfId="6" applyFont="1" applyFill="1" applyBorder="1" applyAlignment="1" applyProtection="1">
      <alignment horizontal="center" vertical="center" wrapText="1"/>
      <protection hidden="1"/>
    </xf>
    <xf numFmtId="0" fontId="69" fillId="2" borderId="104" xfId="6" applyFont="1" applyFill="1" applyBorder="1" applyAlignment="1" applyProtection="1">
      <alignment horizontal="center" vertical="center" wrapText="1"/>
      <protection hidden="1"/>
    </xf>
    <xf numFmtId="0" fontId="69" fillId="2" borderId="140" xfId="6" applyFont="1" applyFill="1" applyBorder="1" applyAlignment="1" applyProtection="1">
      <alignment horizontal="center" vertical="center" wrapText="1"/>
      <protection hidden="1"/>
    </xf>
    <xf numFmtId="0" fontId="67" fillId="2" borderId="145" xfId="6" applyFont="1" applyFill="1" applyBorder="1" applyAlignment="1" applyProtection="1">
      <alignment horizontal="center" vertical="center" wrapText="1"/>
      <protection hidden="1"/>
    </xf>
    <xf numFmtId="0" fontId="67" fillId="2" borderId="103" xfId="6" applyFont="1" applyFill="1" applyBorder="1" applyAlignment="1" applyProtection="1">
      <alignment horizontal="center" vertical="center" wrapText="1"/>
      <protection hidden="1"/>
    </xf>
    <xf numFmtId="0" fontId="67" fillId="2" borderId="104" xfId="6" applyFont="1" applyFill="1" applyBorder="1" applyAlignment="1" applyProtection="1">
      <alignment horizontal="center" vertical="center" wrapText="1"/>
      <protection hidden="1"/>
    </xf>
    <xf numFmtId="0" fontId="69" fillId="0" borderId="45" xfId="6" applyFont="1" applyFill="1" applyBorder="1" applyAlignment="1" applyProtection="1">
      <alignment horizontal="center" vertical="center" wrapText="1"/>
      <protection hidden="1"/>
    </xf>
    <xf numFmtId="0" fontId="69" fillId="0" borderId="13" xfId="6" applyFont="1" applyFill="1" applyBorder="1" applyAlignment="1" applyProtection="1">
      <alignment horizontal="center" vertical="center" wrapText="1"/>
      <protection hidden="1"/>
    </xf>
    <xf numFmtId="0" fontId="4" fillId="6" borderId="89" xfId="0" applyFont="1" applyFill="1" applyBorder="1" applyAlignment="1">
      <alignment horizontal="center"/>
    </xf>
    <xf numFmtId="0" fontId="4" fillId="6" borderId="68" xfId="0" applyFont="1" applyFill="1" applyBorder="1" applyAlignment="1">
      <alignment horizontal="center"/>
    </xf>
    <xf numFmtId="0" fontId="4" fillId="6" borderId="82" xfId="0" applyFont="1" applyFill="1" applyBorder="1" applyAlignment="1">
      <alignment horizontal="center"/>
    </xf>
    <xf numFmtId="0" fontId="5" fillId="0" borderId="72" xfId="0" applyFont="1" applyBorder="1" applyAlignment="1">
      <alignment horizontal="center"/>
    </xf>
    <xf numFmtId="0" fontId="4" fillId="0" borderId="0" xfId="0" applyFont="1" applyAlignment="1">
      <alignment horizontal="center"/>
    </xf>
    <xf numFmtId="0" fontId="85" fillId="45" borderId="85" xfId="0" applyFont="1" applyFill="1" applyBorder="1" applyAlignment="1">
      <alignment horizontal="center"/>
    </xf>
    <xf numFmtId="0" fontId="85" fillId="45" borderId="75" xfId="0" applyFont="1" applyFill="1" applyBorder="1" applyAlignment="1">
      <alignment horizontal="center"/>
    </xf>
    <xf numFmtId="0" fontId="32" fillId="0" borderId="72" xfId="0" applyFont="1" applyBorder="1" applyAlignment="1">
      <alignment horizontal="left" vertical="center" wrapText="1"/>
    </xf>
    <xf numFmtId="0" fontId="32" fillId="0" borderId="72" xfId="0" applyFont="1" applyBorder="1" applyAlignment="1">
      <alignment horizontal="left" vertical="center"/>
    </xf>
    <xf numFmtId="0" fontId="14" fillId="0" borderId="0" xfId="0" applyFont="1" applyAlignment="1">
      <alignment horizontal="center" vertical="center"/>
    </xf>
    <xf numFmtId="0" fontId="85" fillId="0" borderId="72" xfId="0" applyFont="1" applyBorder="1" applyAlignment="1">
      <alignment horizontal="center" vertical="center"/>
    </xf>
    <xf numFmtId="0" fontId="85" fillId="0" borderId="72" xfId="0" applyFont="1" applyBorder="1" applyAlignment="1">
      <alignment horizontal="center"/>
    </xf>
    <xf numFmtId="0" fontId="85" fillId="45" borderId="74" xfId="0" applyFont="1" applyFill="1" applyBorder="1" applyAlignment="1">
      <alignment horizontal="center"/>
    </xf>
    <xf numFmtId="0" fontId="70" fillId="4" borderId="72" xfId="0" applyFont="1" applyFill="1" applyBorder="1" applyAlignment="1">
      <alignment horizontal="center" vertical="center" wrapText="1"/>
    </xf>
    <xf numFmtId="0" fontId="70" fillId="0" borderId="72" xfId="0" applyFont="1" applyFill="1" applyBorder="1" applyAlignment="1">
      <alignment horizontal="center" vertical="center" wrapText="1"/>
    </xf>
    <xf numFmtId="0" fontId="69" fillId="0" borderId="113" xfId="0" applyFont="1" applyBorder="1" applyAlignment="1">
      <alignment horizontal="center"/>
    </xf>
    <xf numFmtId="0" fontId="69" fillId="0" borderId="114" xfId="0" applyFont="1" applyBorder="1" applyAlignment="1">
      <alignment horizontal="center"/>
    </xf>
    <xf numFmtId="0" fontId="69" fillId="2" borderId="72" xfId="0" applyFont="1" applyFill="1" applyBorder="1" applyAlignment="1">
      <alignment horizontal="center"/>
    </xf>
    <xf numFmtId="192" fontId="69" fillId="0" borderId="72" xfId="5" applyNumberFormat="1" applyFont="1" applyFill="1" applyBorder="1" applyAlignment="1">
      <alignment horizontal="center"/>
    </xf>
    <xf numFmtId="178" fontId="69" fillId="0" borderId="74" xfId="0" applyNumberFormat="1" applyFont="1" applyFill="1" applyBorder="1" applyAlignment="1">
      <alignment horizontal="center"/>
    </xf>
    <xf numFmtId="178" fontId="69" fillId="0" borderId="85" xfId="0" applyNumberFormat="1" applyFont="1" applyFill="1" applyBorder="1" applyAlignment="1">
      <alignment horizontal="center"/>
    </xf>
    <xf numFmtId="178" fontId="69" fillId="0" borderId="75" xfId="0" applyNumberFormat="1" applyFont="1" applyFill="1" applyBorder="1" applyAlignment="1">
      <alignment horizontal="center"/>
    </xf>
    <xf numFmtId="0" fontId="69" fillId="4" borderId="72" xfId="0" applyFont="1" applyFill="1" applyBorder="1" applyAlignment="1">
      <alignment horizontal="center" vertical="center" wrapText="1"/>
    </xf>
    <xf numFmtId="0" fontId="69" fillId="0" borderId="72" xfId="0" applyFont="1" applyFill="1" applyBorder="1" applyAlignment="1">
      <alignment horizontal="center" vertical="center" wrapText="1"/>
    </xf>
    <xf numFmtId="167" fontId="67" fillId="0" borderId="113" xfId="0" applyNumberFormat="1" applyFont="1" applyBorder="1" applyAlignment="1">
      <alignment horizontal="center"/>
    </xf>
    <xf numFmtId="167" fontId="67" fillId="0" borderId="115" xfId="0" applyNumberFormat="1" applyFont="1" applyBorder="1" applyAlignment="1">
      <alignment horizontal="center"/>
    </xf>
    <xf numFmtId="167" fontId="67" fillId="0" borderId="84" xfId="0" applyNumberFormat="1" applyFont="1" applyBorder="1" applyAlignment="1">
      <alignment horizontal="center"/>
    </xf>
    <xf numFmtId="167" fontId="67" fillId="0" borderId="81" xfId="0" applyNumberFormat="1" applyFont="1" applyBorder="1" applyAlignment="1">
      <alignment horizontal="center"/>
    </xf>
    <xf numFmtId="0" fontId="69" fillId="0" borderId="72" xfId="0" applyFont="1" applyBorder="1" applyAlignment="1">
      <alignment horizontal="center" vertical="center"/>
    </xf>
    <xf numFmtId="0" fontId="67" fillId="3" borderId="74" xfId="0" applyNumberFormat="1" applyFont="1" applyFill="1" applyBorder="1" applyAlignment="1">
      <alignment horizontal="center" vertical="center"/>
    </xf>
    <xf numFmtId="0" fontId="67" fillId="3" borderId="85" xfId="0" applyNumberFormat="1" applyFont="1" applyFill="1" applyBorder="1" applyAlignment="1">
      <alignment horizontal="center" vertical="center"/>
    </xf>
    <xf numFmtId="0" fontId="67" fillId="3" borderId="75" xfId="0" applyNumberFormat="1" applyFont="1" applyFill="1" applyBorder="1" applyAlignment="1">
      <alignment horizontal="center" vertical="center"/>
    </xf>
    <xf numFmtId="0" fontId="69" fillId="0" borderId="74" xfId="0" applyFont="1" applyBorder="1" applyAlignment="1">
      <alignment horizontal="center" vertical="center"/>
    </xf>
    <xf numFmtId="0" fontId="69" fillId="0" borderId="85" xfId="0" applyFont="1" applyBorder="1" applyAlignment="1">
      <alignment horizontal="center" vertical="center"/>
    </xf>
    <xf numFmtId="0" fontId="69" fillId="0" borderId="75" xfId="0" applyFont="1" applyBorder="1" applyAlignment="1">
      <alignment horizontal="center" vertical="center"/>
    </xf>
    <xf numFmtId="0" fontId="67" fillId="0" borderId="113" xfId="0" applyFont="1" applyBorder="1" applyAlignment="1">
      <alignment horizontal="center"/>
    </xf>
    <xf numFmtId="0" fontId="67" fillId="0" borderId="114" xfId="0" applyFont="1" applyBorder="1" applyAlignment="1">
      <alignment horizontal="center"/>
    </xf>
    <xf numFmtId="0" fontId="67" fillId="0" borderId="84" xfId="0" applyFont="1" applyBorder="1" applyAlignment="1">
      <alignment horizontal="center"/>
    </xf>
    <xf numFmtId="0" fontId="67" fillId="0" borderId="86" xfId="0" applyFont="1" applyBorder="1" applyAlignment="1">
      <alignment horizontal="center"/>
    </xf>
    <xf numFmtId="0" fontId="69" fillId="0" borderId="72" xfId="0" applyFont="1" applyBorder="1" applyAlignment="1">
      <alignment horizontal="center"/>
    </xf>
    <xf numFmtId="0" fontId="67" fillId="3" borderId="74" xfId="0" applyNumberFormat="1" applyFont="1" applyFill="1" applyBorder="1" applyAlignment="1">
      <alignment horizontal="center"/>
    </xf>
    <xf numFmtId="0" fontId="67" fillId="3" borderId="85" xfId="0" applyNumberFormat="1" applyFont="1" applyFill="1" applyBorder="1" applyAlignment="1">
      <alignment horizontal="center"/>
    </xf>
    <xf numFmtId="0" fontId="67" fillId="3" borderId="75" xfId="0" applyNumberFormat="1" applyFont="1" applyFill="1" applyBorder="1" applyAlignment="1">
      <alignment horizontal="center"/>
    </xf>
    <xf numFmtId="0" fontId="69" fillId="0" borderId="74" xfId="0" applyFont="1" applyBorder="1" applyAlignment="1">
      <alignment horizontal="center"/>
    </xf>
    <xf numFmtId="0" fontId="69" fillId="0" borderId="85" xfId="0" applyFont="1" applyBorder="1" applyAlignment="1">
      <alignment horizontal="center"/>
    </xf>
    <xf numFmtId="0" fontId="69" fillId="0" borderId="75" xfId="0" applyFont="1" applyBorder="1" applyAlignment="1">
      <alignment horizontal="center"/>
    </xf>
    <xf numFmtId="0" fontId="69" fillId="4" borderId="87" xfId="0" applyFont="1" applyFill="1" applyBorder="1" applyAlignment="1">
      <alignment horizontal="center" vertical="center" wrapText="1"/>
    </xf>
    <xf numFmtId="0" fontId="69" fillId="4" borderId="0" xfId="0" applyFont="1" applyFill="1" applyBorder="1" applyAlignment="1">
      <alignment horizontal="center" vertical="center" wrapText="1"/>
    </xf>
    <xf numFmtId="0" fontId="67" fillId="0" borderId="87" xfId="0" applyFont="1" applyBorder="1" applyAlignment="1">
      <alignment horizontal="center"/>
    </xf>
    <xf numFmtId="0" fontId="67" fillId="0" borderId="0" xfId="0" applyFont="1" applyAlignment="1">
      <alignment horizontal="center"/>
    </xf>
    <xf numFmtId="0" fontId="69" fillId="2" borderId="82" xfId="0" applyFont="1" applyFill="1" applyBorder="1" applyAlignment="1">
      <alignment horizontal="center"/>
    </xf>
    <xf numFmtId="0" fontId="67" fillId="3" borderId="84" xfId="0" applyNumberFormat="1" applyFont="1" applyFill="1" applyBorder="1" applyAlignment="1">
      <alignment horizontal="center"/>
    </xf>
    <xf numFmtId="0" fontId="67" fillId="3" borderId="86" xfId="0" applyNumberFormat="1" applyFont="1" applyFill="1" applyBorder="1" applyAlignment="1">
      <alignment horizontal="center"/>
    </xf>
    <xf numFmtId="0" fontId="79" fillId="45" borderId="72" xfId="165" applyFont="1" applyFill="1" applyBorder="1" applyAlignment="1">
      <alignment horizontal="center" vertical="center" wrapText="1"/>
    </xf>
    <xf numFmtId="0" fontId="79" fillId="45" borderId="80" xfId="165" applyFont="1" applyFill="1" applyBorder="1" applyAlignment="1">
      <alignment horizontal="center" vertical="center" wrapText="1"/>
    </xf>
    <xf numFmtId="0" fontId="79" fillId="0" borderId="149" xfId="165" applyFont="1" applyFill="1" applyBorder="1" applyAlignment="1">
      <alignment horizontal="right" vertical="center"/>
    </xf>
    <xf numFmtId="0" fontId="79" fillId="0" borderId="33" xfId="165" applyFont="1" applyFill="1" applyBorder="1" applyAlignment="1">
      <alignment horizontal="right" vertical="center"/>
    </xf>
    <xf numFmtId="0" fontId="69" fillId="4" borderId="87" xfId="0" applyFont="1" applyFill="1" applyBorder="1" applyAlignment="1">
      <alignment horizontal="center" vertical="center"/>
    </xf>
    <xf numFmtId="0" fontId="69" fillId="4" borderId="0" xfId="0" applyFont="1" applyFill="1" applyBorder="1" applyAlignment="1">
      <alignment horizontal="center" vertical="center"/>
    </xf>
    <xf numFmtId="0" fontId="79" fillId="2" borderId="72" xfId="165" applyFont="1" applyFill="1" applyBorder="1" applyAlignment="1">
      <alignment horizontal="center"/>
    </xf>
    <xf numFmtId="212" fontId="66" fillId="2" borderId="72" xfId="217" applyNumberFormat="1" applyFont="1" applyFill="1" applyBorder="1" applyAlignment="1">
      <alignment horizontal="center" vertical="center"/>
    </xf>
    <xf numFmtId="212" fontId="69" fillId="2" borderId="72" xfId="0" applyNumberFormat="1" applyFont="1" applyFill="1" applyBorder="1" applyAlignment="1">
      <alignment horizontal="center" vertical="center"/>
    </xf>
    <xf numFmtId="3" fontId="79" fillId="0" borderId="72" xfId="165" applyNumberFormat="1" applyFont="1" applyFill="1" applyBorder="1" applyAlignment="1">
      <alignment horizontal="center" vertical="center"/>
    </xf>
    <xf numFmtId="0" fontId="78" fillId="0" borderId="0" xfId="0" applyFont="1" applyBorder="1" applyAlignment="1">
      <alignment horizontal="center"/>
    </xf>
    <xf numFmtId="0" fontId="78" fillId="2" borderId="139" xfId="0" applyFont="1" applyFill="1" applyBorder="1" applyAlignment="1">
      <alignment horizontal="center"/>
    </xf>
    <xf numFmtId="0" fontId="78" fillId="2" borderId="100" xfId="0" applyFont="1" applyFill="1" applyBorder="1" applyAlignment="1">
      <alignment horizontal="center"/>
    </xf>
    <xf numFmtId="0" fontId="79" fillId="2" borderId="72" xfId="165" applyFont="1" applyFill="1" applyBorder="1" applyAlignment="1">
      <alignment horizontal="center" vertical="center" wrapText="1"/>
    </xf>
    <xf numFmtId="0" fontId="79" fillId="2" borderId="74" xfId="165" applyFont="1" applyFill="1" applyBorder="1" applyAlignment="1">
      <alignment horizontal="center" vertical="center" wrapText="1"/>
    </xf>
    <xf numFmtId="0" fontId="67" fillId="0" borderId="74" xfId="0" applyFont="1" applyBorder="1" applyAlignment="1">
      <alignment horizontal="center" vertical="center"/>
    </xf>
    <xf numFmtId="0" fontId="67" fillId="0" borderId="85" xfId="0" applyFont="1" applyBorder="1" applyAlignment="1">
      <alignment horizontal="center" vertical="center"/>
    </xf>
    <xf numFmtId="0" fontId="67" fillId="0" borderId="75" xfId="0" applyFont="1" applyBorder="1" applyAlignment="1">
      <alignment horizontal="center" vertical="center"/>
    </xf>
    <xf numFmtId="0" fontId="69" fillId="2" borderId="72" xfId="0" applyFont="1" applyFill="1" applyBorder="1" applyAlignment="1">
      <alignment horizontal="center" vertical="center"/>
    </xf>
    <xf numFmtId="0" fontId="69" fillId="2" borderId="82" xfId="0" applyFont="1" applyFill="1" applyBorder="1" applyAlignment="1">
      <alignment horizontal="center" vertical="center"/>
    </xf>
    <xf numFmtId="0" fontId="67" fillId="0" borderId="74" xfId="0" applyNumberFormat="1" applyFont="1" applyFill="1" applyBorder="1" applyAlignment="1">
      <alignment horizontal="center" vertical="center"/>
    </xf>
    <xf numFmtId="0" fontId="67" fillId="0" borderId="85" xfId="0" applyNumberFormat="1" applyFont="1" applyFill="1" applyBorder="1" applyAlignment="1">
      <alignment horizontal="center" vertical="center"/>
    </xf>
    <xf numFmtId="0" fontId="67" fillId="0" borderId="75" xfId="0" applyNumberFormat="1" applyFont="1" applyFill="1" applyBorder="1" applyAlignment="1">
      <alignment horizontal="center" vertical="center"/>
    </xf>
    <xf numFmtId="0" fontId="69" fillId="0" borderId="74" xfId="0" applyFont="1" applyBorder="1" applyAlignment="1">
      <alignment horizontal="center" vertical="center" wrapText="1"/>
    </xf>
    <xf numFmtId="0" fontId="69" fillId="0" borderId="85" xfId="0" applyFont="1" applyBorder="1" applyAlignment="1">
      <alignment horizontal="center" vertical="center" wrapText="1"/>
    </xf>
    <xf numFmtId="0" fontId="69" fillId="0" borderId="75" xfId="0" applyFont="1" applyBorder="1" applyAlignment="1">
      <alignment horizontal="center" vertical="center" wrapText="1"/>
    </xf>
    <xf numFmtId="0" fontId="69" fillId="0" borderId="113" xfId="0" applyFont="1" applyBorder="1" applyAlignment="1">
      <alignment horizontal="center" vertical="center"/>
    </xf>
    <xf numFmtId="0" fontId="69" fillId="0" borderId="114" xfId="0" applyFont="1" applyBorder="1" applyAlignment="1">
      <alignment horizontal="center" vertical="center"/>
    </xf>
    <xf numFmtId="0" fontId="69" fillId="0" borderId="115" xfId="0" applyFont="1" applyBorder="1" applyAlignment="1">
      <alignment horizontal="center" vertical="center"/>
    </xf>
    <xf numFmtId="0" fontId="67" fillId="0" borderId="115" xfId="0" applyFont="1" applyBorder="1" applyAlignment="1">
      <alignment horizontal="center"/>
    </xf>
    <xf numFmtId="0" fontId="67" fillId="0" borderId="81" xfId="0" applyFont="1" applyBorder="1" applyAlignment="1">
      <alignment horizontal="center"/>
    </xf>
    <xf numFmtId="0" fontId="69" fillId="2" borderId="82" xfId="0" applyFont="1" applyFill="1" applyBorder="1" applyAlignment="1">
      <alignment horizontal="center" vertical="center" wrapText="1"/>
    </xf>
    <xf numFmtId="192" fontId="69" fillId="0" borderId="72" xfId="5" applyNumberFormat="1" applyFont="1" applyFill="1" applyBorder="1" applyAlignment="1">
      <alignment horizontal="center" vertical="center"/>
    </xf>
    <xf numFmtId="192" fontId="69" fillId="0" borderId="85" xfId="5" applyNumberFormat="1" applyFont="1" applyFill="1" applyBorder="1" applyAlignment="1">
      <alignment horizontal="center" vertical="center"/>
    </xf>
    <xf numFmtId="192" fontId="69" fillId="0" borderId="75" xfId="5" applyNumberFormat="1" applyFont="1" applyFill="1" applyBorder="1" applyAlignment="1">
      <alignment horizontal="center" vertical="center"/>
    </xf>
    <xf numFmtId="178" fontId="69" fillId="0" borderId="74" xfId="0" applyNumberFormat="1" applyFont="1" applyFill="1" applyBorder="1" applyAlignment="1">
      <alignment horizontal="center" vertical="center"/>
    </xf>
    <xf numFmtId="178" fontId="69" fillId="0" borderId="85" xfId="0" applyNumberFormat="1" applyFont="1" applyFill="1" applyBorder="1" applyAlignment="1">
      <alignment horizontal="center" vertical="center"/>
    </xf>
    <xf numFmtId="178" fontId="67" fillId="0" borderId="74" xfId="0" applyNumberFormat="1" applyFont="1" applyFill="1" applyBorder="1" applyAlignment="1">
      <alignment horizontal="center" vertical="center"/>
    </xf>
    <xf numFmtId="178" fontId="67" fillId="0" borderId="85" xfId="0" applyNumberFormat="1" applyFont="1" applyFill="1" applyBorder="1" applyAlignment="1">
      <alignment horizontal="center" vertical="center"/>
    </xf>
    <xf numFmtId="3" fontId="79" fillId="0" borderId="113" xfId="165" applyNumberFormat="1" applyFont="1" applyFill="1" applyBorder="1" applyAlignment="1">
      <alignment horizontal="right" vertical="center"/>
    </xf>
    <xf numFmtId="3" fontId="79" fillId="0" borderId="114" xfId="165" applyNumberFormat="1" applyFont="1" applyFill="1" applyBorder="1" applyAlignment="1">
      <alignment horizontal="right" vertical="center"/>
    </xf>
    <xf numFmtId="3" fontId="79" fillId="0" borderId="115" xfId="165" applyNumberFormat="1" applyFont="1" applyFill="1" applyBorder="1" applyAlignment="1">
      <alignment horizontal="right" vertical="center"/>
    </xf>
    <xf numFmtId="0" fontId="79" fillId="0" borderId="146" xfId="165" applyFont="1" applyFill="1" applyBorder="1" applyAlignment="1">
      <alignment horizontal="right" vertical="center"/>
    </xf>
    <xf numFmtId="0" fontId="79" fillId="0" borderId="143" xfId="165" applyFont="1" applyFill="1" applyBorder="1" applyAlignment="1">
      <alignment horizontal="right" vertical="center"/>
    </xf>
    <xf numFmtId="0" fontId="79" fillId="0" borderId="144" xfId="165" applyFont="1" applyFill="1" applyBorder="1" applyAlignment="1">
      <alignment horizontal="right" vertical="center"/>
    </xf>
    <xf numFmtId="0" fontId="79" fillId="0" borderId="136" xfId="165" applyFont="1" applyFill="1" applyBorder="1" applyAlignment="1">
      <alignment horizontal="center" vertical="center"/>
    </xf>
    <xf numFmtId="0" fontId="79" fillId="0" borderId="137" xfId="165" applyFont="1" applyFill="1" applyBorder="1" applyAlignment="1">
      <alignment horizontal="center" vertical="center"/>
    </xf>
    <xf numFmtId="0" fontId="79" fillId="0" borderId="138" xfId="165" applyFont="1" applyFill="1" applyBorder="1" applyAlignment="1">
      <alignment horizontal="center" vertical="center"/>
    </xf>
    <xf numFmtId="0" fontId="77" fillId="0" borderId="0" xfId="0" applyFont="1" applyFill="1" applyBorder="1" applyAlignment="1">
      <alignment horizontal="center" vertical="center" wrapText="1"/>
    </xf>
    <xf numFmtId="0" fontId="70" fillId="0" borderId="0" xfId="0" applyFont="1" applyFill="1" applyBorder="1" applyAlignment="1">
      <alignment horizontal="center" vertical="center" wrapText="1"/>
    </xf>
    <xf numFmtId="0" fontId="79" fillId="2" borderId="102" xfId="165" applyFont="1" applyFill="1" applyBorder="1" applyAlignment="1">
      <alignment horizontal="left"/>
    </xf>
    <xf numFmtId="0" fontId="79" fillId="2" borderId="103" xfId="165" applyFont="1" applyFill="1" applyBorder="1" applyAlignment="1">
      <alignment horizontal="left"/>
    </xf>
    <xf numFmtId="0" fontId="79" fillId="2" borderId="104" xfId="165" applyFont="1" applyFill="1" applyBorder="1" applyAlignment="1">
      <alignment horizontal="left"/>
    </xf>
    <xf numFmtId="3" fontId="79" fillId="0" borderId="74" xfId="165" applyNumberFormat="1" applyFont="1" applyFill="1" applyBorder="1" applyAlignment="1">
      <alignment horizontal="right" vertical="center"/>
    </xf>
    <xf numFmtId="3" fontId="79" fillId="0" borderId="85" xfId="165" applyNumberFormat="1" applyFont="1" applyFill="1" applyBorder="1" applyAlignment="1">
      <alignment horizontal="right" vertical="center"/>
    </xf>
    <xf numFmtId="3" fontId="79" fillId="0" borderId="75" xfId="165" applyNumberFormat="1" applyFont="1" applyFill="1" applyBorder="1" applyAlignment="1">
      <alignment horizontal="right" vertical="center"/>
    </xf>
    <xf numFmtId="3" fontId="79" fillId="0" borderId="146" xfId="165" applyNumberFormat="1" applyFont="1" applyFill="1" applyBorder="1" applyAlignment="1">
      <alignment horizontal="right" vertical="center"/>
    </xf>
    <xf numFmtId="3" fontId="79" fillId="0" borderId="143" xfId="165" applyNumberFormat="1" applyFont="1" applyFill="1" applyBorder="1" applyAlignment="1">
      <alignment horizontal="right" vertical="center"/>
    </xf>
    <xf numFmtId="3" fontId="79" fillId="0" borderId="144" xfId="165" applyNumberFormat="1" applyFont="1" applyFill="1" applyBorder="1" applyAlignment="1">
      <alignment horizontal="right" vertical="center"/>
    </xf>
    <xf numFmtId="0" fontId="78" fillId="0" borderId="134" xfId="0" applyFont="1" applyBorder="1" applyAlignment="1">
      <alignment horizontal="center" vertical="center"/>
    </xf>
    <xf numFmtId="0" fontId="78" fillId="0" borderId="85" xfId="0" applyFont="1" applyBorder="1" applyAlignment="1">
      <alignment horizontal="center" vertical="center"/>
    </xf>
    <xf numFmtId="0" fontId="78" fillId="0" borderId="142" xfId="0" applyFont="1" applyBorder="1" applyAlignment="1">
      <alignment horizontal="center" vertical="center"/>
    </xf>
    <xf numFmtId="0" fontId="80" fillId="0" borderId="72" xfId="165" applyFont="1" applyFill="1" applyBorder="1" applyAlignment="1">
      <alignment horizontal="center" vertical="center"/>
    </xf>
    <xf numFmtId="0" fontId="78" fillId="0" borderId="72" xfId="217" applyFont="1" applyBorder="1" applyAlignment="1">
      <alignment horizontal="center" vertical="center" wrapText="1"/>
    </xf>
    <xf numFmtId="0" fontId="78" fillId="0" borderId="80" xfId="217" applyFont="1" applyBorder="1" applyAlignment="1">
      <alignment horizontal="center" vertical="center" wrapText="1"/>
    </xf>
    <xf numFmtId="0" fontId="80" fillId="45" borderId="72" xfId="165" applyFont="1" applyFill="1" applyBorder="1" applyAlignment="1">
      <alignment horizontal="center" vertical="center"/>
    </xf>
    <xf numFmtId="0" fontId="80" fillId="45" borderId="80" xfId="165" applyFont="1" applyFill="1" applyBorder="1" applyAlignment="1">
      <alignment horizontal="center" vertical="center"/>
    </xf>
    <xf numFmtId="175" fontId="80" fillId="0" borderId="0" xfId="165" applyNumberFormat="1" applyFont="1" applyFill="1" applyBorder="1" applyAlignment="1">
      <alignment horizontal="center"/>
    </xf>
    <xf numFmtId="0" fontId="79" fillId="47" borderId="72" xfId="165" applyFont="1" applyFill="1" applyBorder="1" applyAlignment="1">
      <alignment horizontal="center" vertical="center" wrapText="1"/>
    </xf>
    <xf numFmtId="0" fontId="80" fillId="0" borderId="0" xfId="165" applyFont="1" applyFill="1" applyBorder="1" applyAlignment="1">
      <alignment horizontal="center"/>
    </xf>
    <xf numFmtId="3" fontId="79" fillId="0" borderId="80" xfId="165" applyNumberFormat="1" applyFont="1" applyFill="1" applyBorder="1" applyAlignment="1">
      <alignment horizontal="center" vertical="center"/>
    </xf>
    <xf numFmtId="0" fontId="80" fillId="0" borderId="72" xfId="165" applyFont="1" applyFill="1" applyBorder="1" applyAlignment="1">
      <alignment horizontal="center" vertical="center" wrapText="1"/>
    </xf>
    <xf numFmtId="0" fontId="79" fillId="2" borderId="80" xfId="165" applyFont="1" applyFill="1" applyBorder="1" applyAlignment="1">
      <alignment horizontal="center" vertical="center" wrapText="1"/>
    </xf>
    <xf numFmtId="3" fontId="79" fillId="45" borderId="72" xfId="165" applyNumberFormat="1" applyFont="1" applyFill="1" applyBorder="1" applyAlignment="1">
      <alignment horizontal="center" vertical="center"/>
    </xf>
    <xf numFmtId="3" fontId="79" fillId="45" borderId="80" xfId="165" applyNumberFormat="1" applyFont="1" applyFill="1" applyBorder="1" applyAlignment="1">
      <alignment horizontal="center" vertical="center"/>
    </xf>
    <xf numFmtId="0" fontId="79" fillId="47" borderId="102" xfId="165" applyFont="1" applyFill="1" applyBorder="1" applyAlignment="1">
      <alignment horizontal="left" vertical="center"/>
    </xf>
    <xf numFmtId="0" fontId="79" fillId="47" borderId="103" xfId="165" applyFont="1" applyFill="1" applyBorder="1" applyAlignment="1">
      <alignment horizontal="left" vertical="center"/>
    </xf>
    <xf numFmtId="0" fontId="79" fillId="47" borderId="104" xfId="165" applyFont="1" applyFill="1" applyBorder="1" applyAlignment="1">
      <alignment horizontal="left" vertical="center"/>
    </xf>
    <xf numFmtId="0" fontId="78" fillId="0" borderId="116" xfId="0" applyFont="1" applyBorder="1" applyAlignment="1">
      <alignment horizontal="center" vertical="center"/>
    </xf>
    <xf numFmtId="0" fontId="78" fillId="0" borderId="141" xfId="0" applyFont="1" applyBorder="1" applyAlignment="1">
      <alignment horizontal="center" vertical="center"/>
    </xf>
    <xf numFmtId="0" fontId="70" fillId="0" borderId="85" xfId="0" applyFont="1" applyFill="1" applyBorder="1" applyAlignment="1">
      <alignment horizontal="center" vertical="center" wrapText="1"/>
    </xf>
    <xf numFmtId="178" fontId="67" fillId="0" borderId="74" xfId="0" applyNumberFormat="1" applyFont="1" applyFill="1" applyBorder="1" applyAlignment="1">
      <alignment horizontal="center"/>
    </xf>
    <xf numFmtId="178" fontId="67" fillId="0" borderId="85" xfId="0" applyNumberFormat="1" applyFont="1" applyFill="1" applyBorder="1" applyAlignment="1">
      <alignment horizontal="center"/>
    </xf>
    <xf numFmtId="178" fontId="67" fillId="0" borderId="75" xfId="0" applyNumberFormat="1" applyFont="1" applyFill="1" applyBorder="1" applyAlignment="1">
      <alignment horizontal="center"/>
    </xf>
    <xf numFmtId="211" fontId="7" fillId="4" borderId="0" xfId="4" applyNumberFormat="1" applyFont="1" applyFill="1" applyAlignment="1">
      <alignment horizontal="center" vertical="center" wrapText="1"/>
    </xf>
    <xf numFmtId="211" fontId="7" fillId="4" borderId="0" xfId="4" applyNumberFormat="1" applyFont="1" applyFill="1" applyAlignment="1">
      <alignment horizontal="center" vertical="center"/>
    </xf>
    <xf numFmtId="211" fontId="7" fillId="48" borderId="0" xfId="4" applyNumberFormat="1" applyFont="1" applyFill="1" applyAlignment="1">
      <alignment horizontal="center" vertical="center" wrapText="1"/>
    </xf>
    <xf numFmtId="176" fontId="21" fillId="4" borderId="0" xfId="0" applyNumberFormat="1" applyFont="1" applyFill="1" applyAlignment="1">
      <alignment horizontal="center" vertical="center" wrapText="1"/>
    </xf>
    <xf numFmtId="180" fontId="7" fillId="4" borderId="0" xfId="0" applyNumberFormat="1" applyFont="1" applyFill="1" applyAlignment="1">
      <alignment horizontal="center" vertical="center" wrapText="1"/>
    </xf>
    <xf numFmtId="0" fontId="2" fillId="3" borderId="0" xfId="6" applyFont="1" applyFill="1" applyBorder="1" applyAlignment="1">
      <alignment horizontal="left" vertical="center" wrapText="1"/>
    </xf>
    <xf numFmtId="0" fontId="7" fillId="4" borderId="0" xfId="6" applyFont="1" applyFill="1" applyBorder="1" applyAlignment="1">
      <alignment horizontal="center" vertical="center" wrapText="1"/>
    </xf>
    <xf numFmtId="0" fontId="4" fillId="4" borderId="0" xfId="6" applyFont="1" applyFill="1" applyBorder="1" applyAlignment="1">
      <alignment horizontal="center" vertical="center" wrapText="1"/>
    </xf>
    <xf numFmtId="0" fontId="7" fillId="4" borderId="0" xfId="0" applyFont="1" applyFill="1" applyAlignment="1">
      <alignment horizontal="center" vertical="center" wrapText="1"/>
    </xf>
    <xf numFmtId="176" fontId="7" fillId="4" borderId="0" xfId="0" applyNumberFormat="1" applyFont="1" applyFill="1" applyAlignment="1">
      <alignment horizontal="center" vertical="center" wrapText="1"/>
    </xf>
    <xf numFmtId="176" fontId="7" fillId="4" borderId="0" xfId="0" applyNumberFormat="1" applyFont="1" applyFill="1" applyAlignment="1">
      <alignment horizontal="center" vertical="center"/>
    </xf>
    <xf numFmtId="0" fontId="7" fillId="4" borderId="71" xfId="6" applyFont="1" applyFill="1" applyBorder="1" applyAlignment="1">
      <alignment horizontal="center" vertical="center" wrapText="1"/>
    </xf>
    <xf numFmtId="0" fontId="7" fillId="4" borderId="0" xfId="0" applyFont="1" applyFill="1" applyAlignment="1">
      <alignment horizontal="center" wrapText="1"/>
    </xf>
    <xf numFmtId="0" fontId="7" fillId="0" borderId="6" xfId="0" applyFont="1" applyBorder="1" applyAlignment="1">
      <alignment horizontal="right" vertical="center"/>
    </xf>
    <xf numFmtId="0" fontId="7" fillId="0" borderId="7" xfId="0" applyFont="1" applyBorder="1" applyAlignment="1">
      <alignment horizontal="right" vertical="center"/>
    </xf>
    <xf numFmtId="0" fontId="7" fillId="0" borderId="30" xfId="0" applyFont="1" applyBorder="1" applyAlignment="1">
      <alignment horizontal="right" vertical="center"/>
    </xf>
    <xf numFmtId="0" fontId="7" fillId="0" borderId="31" xfId="0" applyFont="1" applyBorder="1" applyAlignment="1">
      <alignment horizontal="right" vertical="center"/>
    </xf>
    <xf numFmtId="0" fontId="7" fillId="0" borderId="13" xfId="0" applyFont="1" applyBorder="1" applyAlignment="1">
      <alignment horizontal="right" vertical="center"/>
    </xf>
    <xf numFmtId="0" fontId="7" fillId="0" borderId="14" xfId="0" applyFont="1" applyBorder="1" applyAlignment="1">
      <alignment horizontal="right" vertical="center"/>
    </xf>
    <xf numFmtId="0" fontId="6" fillId="0" borderId="13" xfId="0" applyFont="1" applyBorder="1" applyAlignment="1">
      <alignment horizontal="right"/>
    </xf>
    <xf numFmtId="0" fontId="6" fillId="0" borderId="15" xfId="0" applyFont="1" applyBorder="1" applyAlignment="1">
      <alignment horizontal="right"/>
    </xf>
    <xf numFmtId="0" fontId="5" fillId="0" borderId="0" xfId="0" applyFont="1" applyFill="1" applyAlignment="1">
      <alignment horizontal="center" vertical="center"/>
    </xf>
    <xf numFmtId="0" fontId="5" fillId="0" borderId="0" xfId="0" applyFont="1" applyFill="1" applyAlignment="1">
      <alignment horizontal="center" vertical="center" wrapText="1"/>
    </xf>
    <xf numFmtId="0" fontId="6" fillId="0" borderId="0" xfId="6" applyFont="1" applyFill="1" applyAlignment="1">
      <alignment horizontal="center" vertical="center"/>
    </xf>
    <xf numFmtId="0" fontId="7" fillId="0" borderId="6" xfId="0" applyFont="1" applyFill="1" applyBorder="1" applyAlignment="1">
      <alignment horizontal="right" vertical="center"/>
    </xf>
    <xf numFmtId="0" fontId="7" fillId="0" borderId="7" xfId="0" applyFont="1" applyFill="1" applyBorder="1" applyAlignment="1">
      <alignment horizontal="right" vertical="center"/>
    </xf>
    <xf numFmtId="0" fontId="4" fillId="0" borderId="11" xfId="0" applyFont="1" applyBorder="1" applyAlignment="1">
      <alignment horizontal="right"/>
    </xf>
    <xf numFmtId="0" fontId="4" fillId="0" borderId="19" xfId="0" applyFont="1" applyBorder="1" applyAlignment="1">
      <alignment horizontal="right"/>
    </xf>
    <xf numFmtId="0" fontId="39" fillId="0" borderId="74" xfId="0" applyFont="1" applyBorder="1" applyAlignment="1">
      <alignment horizontal="center"/>
    </xf>
    <xf numFmtId="0" fontId="39" fillId="0" borderId="75" xfId="0" applyFont="1" applyBorder="1" applyAlignment="1">
      <alignment horizontal="center"/>
    </xf>
    <xf numFmtId="0" fontId="38" fillId="2" borderId="72" xfId="0" applyFont="1" applyFill="1" applyBorder="1" applyAlignment="1">
      <alignment horizontal="center" vertical="center" wrapText="1"/>
    </xf>
    <xf numFmtId="0" fontId="38" fillId="2" borderId="74" xfId="0" applyFont="1" applyFill="1" applyBorder="1" applyAlignment="1">
      <alignment horizontal="center" vertical="center" wrapText="1"/>
    </xf>
    <xf numFmtId="0" fontId="38" fillId="2" borderId="85" xfId="0" applyFont="1" applyFill="1" applyBorder="1" applyAlignment="1">
      <alignment horizontal="center" vertical="center" wrapText="1"/>
    </xf>
    <xf numFmtId="0" fontId="38" fillId="2" borderId="75" xfId="0" applyFont="1" applyFill="1" applyBorder="1" applyAlignment="1">
      <alignment horizontal="center" vertical="center" wrapText="1"/>
    </xf>
    <xf numFmtId="0" fontId="38" fillId="2" borderId="84" xfId="0" applyFont="1" applyFill="1" applyBorder="1" applyAlignment="1">
      <alignment horizontal="center" vertical="center" wrapText="1"/>
    </xf>
    <xf numFmtId="0" fontId="38" fillId="2" borderId="81" xfId="0" applyFont="1" applyFill="1" applyBorder="1" applyAlignment="1">
      <alignment horizontal="center" vertical="center" wrapText="1"/>
    </xf>
    <xf numFmtId="2" fontId="39" fillId="0" borderId="74" xfId="0" applyNumberFormat="1" applyFont="1" applyBorder="1" applyAlignment="1">
      <alignment horizontal="center"/>
    </xf>
    <xf numFmtId="0" fontId="39" fillId="0" borderId="85" xfId="0" applyFont="1" applyBorder="1" applyAlignment="1">
      <alignment horizontal="center"/>
    </xf>
    <xf numFmtId="2" fontId="39" fillId="0" borderId="85" xfId="0" applyNumberFormat="1" applyFont="1" applyBorder="1" applyAlignment="1">
      <alignment horizontal="center"/>
    </xf>
    <xf numFmtId="2" fontId="39" fillId="0" borderId="75" xfId="0" applyNumberFormat="1" applyFont="1" applyBorder="1" applyAlignment="1">
      <alignment horizontal="center"/>
    </xf>
    <xf numFmtId="0" fontId="38" fillId="0" borderId="72" xfId="0" applyFont="1" applyFill="1" applyBorder="1" applyAlignment="1">
      <alignment horizontal="center" vertical="center" wrapText="1"/>
    </xf>
    <xf numFmtId="0" fontId="38" fillId="0" borderId="0" xfId="0" applyFont="1" applyFill="1" applyBorder="1" applyAlignment="1">
      <alignment horizontal="center" vertical="center" wrapText="1"/>
    </xf>
    <xf numFmtId="2" fontId="39" fillId="0" borderId="74" xfId="0" applyNumberFormat="1" applyFont="1" applyFill="1" applyBorder="1" applyAlignment="1">
      <alignment horizontal="center"/>
    </xf>
    <xf numFmtId="2" fontId="39" fillId="0" borderId="75" xfId="0" applyNumberFormat="1" applyFont="1" applyFill="1" applyBorder="1" applyAlignment="1">
      <alignment horizontal="center"/>
    </xf>
    <xf numFmtId="0" fontId="39" fillId="0" borderId="72" xfId="0" applyFont="1" applyBorder="1" applyAlignment="1">
      <alignment horizontal="center" wrapText="1"/>
    </xf>
    <xf numFmtId="0" fontId="43" fillId="0" borderId="74" xfId="0" applyFont="1" applyBorder="1" applyAlignment="1">
      <alignment horizontal="center"/>
    </xf>
    <xf numFmtId="0" fontId="43" fillId="0" borderId="75" xfId="0" applyFont="1" applyBorder="1" applyAlignment="1">
      <alignment horizontal="center"/>
    </xf>
    <xf numFmtId="0" fontId="39" fillId="0" borderId="89" xfId="0" applyFont="1" applyBorder="1" applyAlignment="1">
      <alignment horizontal="center"/>
    </xf>
    <xf numFmtId="0" fontId="39" fillId="0" borderId="82" xfId="0" applyFont="1" applyBorder="1" applyAlignment="1">
      <alignment horizontal="center"/>
    </xf>
    <xf numFmtId="0" fontId="39" fillId="0" borderId="68" xfId="0" applyFont="1" applyBorder="1" applyAlignment="1">
      <alignment horizontal="center"/>
    </xf>
    <xf numFmtId="0" fontId="38" fillId="2" borderId="86" xfId="0" applyFont="1" applyFill="1" applyBorder="1" applyAlignment="1">
      <alignment horizontal="center" vertical="center" wrapText="1"/>
    </xf>
    <xf numFmtId="0" fontId="32" fillId="0" borderId="74" xfId="0" applyFont="1" applyFill="1" applyBorder="1" applyAlignment="1">
      <alignment horizontal="center" vertical="center" wrapText="1"/>
    </xf>
    <xf numFmtId="0" fontId="32" fillId="0" borderId="85" xfId="0" applyFont="1" applyFill="1" applyBorder="1" applyAlignment="1">
      <alignment horizontal="center" vertical="center" wrapText="1"/>
    </xf>
    <xf numFmtId="0" fontId="32" fillId="0" borderId="75" xfId="0" applyFont="1" applyFill="1" applyBorder="1" applyAlignment="1">
      <alignment horizontal="center" vertical="center" wrapText="1"/>
    </xf>
    <xf numFmtId="0" fontId="39" fillId="0" borderId="72" xfId="0" applyFont="1" applyBorder="1" applyAlignment="1">
      <alignment horizontal="center"/>
    </xf>
    <xf numFmtId="2" fontId="39" fillId="0" borderId="72" xfId="0" applyNumberFormat="1" applyFont="1" applyBorder="1" applyAlignment="1">
      <alignment horizontal="center"/>
    </xf>
    <xf numFmtId="0" fontId="39" fillId="0" borderId="72" xfId="0" applyFont="1" applyFill="1" applyBorder="1" applyAlignment="1">
      <alignment horizontal="center" wrapText="1"/>
    </xf>
    <xf numFmtId="0" fontId="39" fillId="0" borderId="74" xfId="0" applyFont="1" applyBorder="1" applyAlignment="1">
      <alignment horizontal="center" wrapText="1"/>
    </xf>
    <xf numFmtId="0" fontId="39" fillId="0" borderId="75" xfId="0" applyFont="1" applyBorder="1" applyAlignment="1">
      <alignment horizontal="center" wrapText="1"/>
    </xf>
    <xf numFmtId="0" fontId="39" fillId="0" borderId="74" xfId="0" applyFont="1" applyFill="1" applyBorder="1" applyAlignment="1">
      <alignment horizontal="center" wrapText="1"/>
    </xf>
    <xf numFmtId="0" fontId="39" fillId="0" borderId="75" xfId="0" applyFont="1" applyFill="1" applyBorder="1" applyAlignment="1">
      <alignment horizontal="center" wrapText="1"/>
    </xf>
    <xf numFmtId="0" fontId="32" fillId="0" borderId="74" xfId="0" applyFont="1" applyBorder="1" applyAlignment="1">
      <alignment horizontal="center" wrapText="1"/>
    </xf>
    <xf numFmtId="0" fontId="32" fillId="0" borderId="85" xfId="0" applyFont="1" applyBorder="1" applyAlignment="1">
      <alignment horizontal="center" wrapText="1"/>
    </xf>
    <xf numFmtId="0" fontId="32" fillId="0" borderId="75" xfId="0" applyFont="1" applyBorder="1" applyAlignment="1">
      <alignment horizontal="center" wrapText="1"/>
    </xf>
    <xf numFmtId="0" fontId="14" fillId="0" borderId="0" xfId="0" applyFont="1" applyAlignment="1">
      <alignment horizontal="center"/>
    </xf>
    <xf numFmtId="0" fontId="5" fillId="0" borderId="0" xfId="0" applyFont="1" applyAlignment="1">
      <alignment horizontal="center" vertical="center"/>
    </xf>
    <xf numFmtId="0" fontId="5" fillId="5" borderId="0" xfId="0" applyFont="1" applyFill="1" applyAlignment="1">
      <alignment horizontal="center" vertical="center"/>
    </xf>
    <xf numFmtId="176" fontId="7" fillId="5" borderId="0" xfId="0" applyNumberFormat="1" applyFont="1" applyFill="1" applyAlignment="1">
      <alignment horizontal="center" vertical="center" wrapText="1"/>
    </xf>
    <xf numFmtId="0" fontId="7" fillId="5" borderId="0" xfId="0" applyFont="1" applyFill="1" applyAlignment="1">
      <alignment horizontal="center" vertical="center" wrapText="1"/>
    </xf>
    <xf numFmtId="0" fontId="8" fillId="4" borderId="71" xfId="6" applyFont="1" applyFill="1" applyBorder="1" applyAlignment="1">
      <alignment horizontal="center" vertical="center" wrapText="1"/>
    </xf>
    <xf numFmtId="0" fontId="8" fillId="4" borderId="0" xfId="6" applyFont="1" applyFill="1" applyBorder="1" applyAlignment="1">
      <alignment horizontal="center" vertical="center" wrapText="1"/>
    </xf>
    <xf numFmtId="180" fontId="7" fillId="0" borderId="0" xfId="0" applyNumberFormat="1" applyFont="1" applyFill="1" applyAlignment="1">
      <alignment horizontal="center"/>
    </xf>
    <xf numFmtId="180" fontId="7" fillId="0" borderId="0" xfId="0" applyNumberFormat="1" applyFont="1" applyAlignment="1">
      <alignment horizontal="center" vertical="center" wrapText="1"/>
    </xf>
    <xf numFmtId="0" fontId="8" fillId="0" borderId="71" xfId="6" applyFont="1" applyBorder="1" applyAlignment="1">
      <alignment horizontal="center" vertical="center" wrapText="1"/>
    </xf>
    <xf numFmtId="0" fontId="8" fillId="0" borderId="0" xfId="6" applyFont="1" applyBorder="1" applyAlignment="1">
      <alignment horizontal="center" vertical="center" wrapText="1"/>
    </xf>
    <xf numFmtId="0" fontId="0" fillId="0" borderId="72" xfId="0" applyBorder="1" applyAlignment="1">
      <alignment horizontal="left"/>
    </xf>
    <xf numFmtId="0" fontId="0" fillId="9" borderId="72" xfId="0" applyFill="1" applyBorder="1" applyAlignment="1">
      <alignment horizontal="right" vertical="center"/>
    </xf>
    <xf numFmtId="0" fontId="4" fillId="0" borderId="89" xfId="0" applyFont="1" applyBorder="1" applyAlignment="1">
      <alignment horizontal="center"/>
    </xf>
    <xf numFmtId="0" fontId="0" fillId="0" borderId="72" xfId="0" applyBorder="1" applyAlignment="1">
      <alignment horizontal="center" vertical="center"/>
    </xf>
    <xf numFmtId="0" fontId="0" fillId="0" borderId="89" xfId="0" applyBorder="1" applyAlignment="1">
      <alignment horizontal="center"/>
    </xf>
    <xf numFmtId="0" fontId="0" fillId="0" borderId="82" xfId="0" applyBorder="1" applyAlignment="1">
      <alignment horizontal="center"/>
    </xf>
    <xf numFmtId="0" fontId="0" fillId="0" borderId="72" xfId="0" applyBorder="1" applyAlignment="1">
      <alignment horizontal="center"/>
    </xf>
    <xf numFmtId="0" fontId="4" fillId="0" borderId="84" xfId="0" applyFont="1" applyBorder="1" applyAlignment="1">
      <alignment horizontal="center"/>
    </xf>
    <xf numFmtId="0" fontId="4" fillId="0" borderId="86" xfId="0" applyFont="1" applyBorder="1" applyAlignment="1">
      <alignment horizontal="center"/>
    </xf>
    <xf numFmtId="0" fontId="0" fillId="9" borderId="72" xfId="0" applyFill="1" applyBorder="1" applyAlignment="1">
      <alignment horizontal="center"/>
    </xf>
    <xf numFmtId="0" fontId="0" fillId="0" borderId="72" xfId="0" applyBorder="1" applyAlignment="1">
      <alignment horizontal="right" vertical="center"/>
    </xf>
    <xf numFmtId="0" fontId="0" fillId="0" borderId="89" xfId="0" applyFill="1" applyBorder="1" applyAlignment="1">
      <alignment horizontal="center"/>
    </xf>
    <xf numFmtId="0" fontId="0" fillId="0" borderId="82" xfId="0" applyFill="1" applyBorder="1" applyAlignment="1">
      <alignment horizontal="center"/>
    </xf>
    <xf numFmtId="0" fontId="0" fillId="0" borderId="72" xfId="0" applyFill="1" applyBorder="1" applyAlignment="1">
      <alignment horizontal="center"/>
    </xf>
    <xf numFmtId="0" fontId="4" fillId="7" borderId="72" xfId="0" applyFont="1" applyFill="1" applyBorder="1" applyAlignment="1">
      <alignment horizontal="center"/>
    </xf>
    <xf numFmtId="0" fontId="0" fillId="9" borderId="89" xfId="0" applyFill="1" applyBorder="1" applyAlignment="1">
      <alignment horizontal="center"/>
    </xf>
    <xf numFmtId="0" fontId="0" fillId="9" borderId="82" xfId="0" applyFill="1" applyBorder="1" applyAlignment="1">
      <alignment horizontal="center"/>
    </xf>
    <xf numFmtId="0" fontId="2" fillId="5" borderId="72" xfId="6" applyFont="1" applyFill="1" applyBorder="1" applyAlignment="1">
      <alignment horizontal="center"/>
    </xf>
    <xf numFmtId="0" fontId="4" fillId="0" borderId="72" xfId="6" applyFont="1" applyBorder="1" applyAlignment="1">
      <alignment horizontal="center"/>
    </xf>
  </cellXfs>
  <cellStyles count="222">
    <cellStyle name="20% - Énfasis1 2" xfId="32"/>
    <cellStyle name="20% - Énfasis2 2" xfId="36"/>
    <cellStyle name="20% - Énfasis3 2" xfId="40"/>
    <cellStyle name="20% - Énfasis4 2" xfId="44"/>
    <cellStyle name="20% - Énfasis5 2" xfId="67"/>
    <cellStyle name="20% - Énfasis5 2 2" xfId="68"/>
    <cellStyle name="20% - Énfasis5 3" xfId="69"/>
    <cellStyle name="20% - Énfasis5 3 2" xfId="70"/>
    <cellStyle name="20% - Énfasis5 4" xfId="166"/>
    <cellStyle name="20% - Énfasis5 5" xfId="48"/>
    <cellStyle name="20% - Énfasis6 2" xfId="52"/>
    <cellStyle name="40% - Énfasis1 2" xfId="33"/>
    <cellStyle name="40% - Énfasis2 2" xfId="37"/>
    <cellStyle name="40% - Énfasis3 2" xfId="41"/>
    <cellStyle name="40% - Énfasis4 2" xfId="45"/>
    <cellStyle name="40% - Énfasis5 2" xfId="49"/>
    <cellStyle name="40% - Énfasis6 2" xfId="53"/>
    <cellStyle name="60% - Énfasis1 2" xfId="34"/>
    <cellStyle name="60% - Énfasis2 2" xfId="38"/>
    <cellStyle name="60% - Énfasis3 2" xfId="42"/>
    <cellStyle name="60% - Énfasis4 2" xfId="46"/>
    <cellStyle name="60% - Énfasis5 2" xfId="50"/>
    <cellStyle name="60% - Énfasis6 2" xfId="54"/>
    <cellStyle name="Buena 2" xfId="19"/>
    <cellStyle name="Cálculo 2" xfId="24"/>
    <cellStyle name="Celda de comprobación 2" xfId="26"/>
    <cellStyle name="Celda vinculada 2" xfId="25"/>
    <cellStyle name="Dia" xfId="71"/>
    <cellStyle name="Encabez1" xfId="72"/>
    <cellStyle name="Encabez2" xfId="73"/>
    <cellStyle name="Encabezado 4 2" xfId="18"/>
    <cellStyle name="Énfasis1 2" xfId="31"/>
    <cellStyle name="Énfasis2 2" xfId="35"/>
    <cellStyle name="Énfasis3 2" xfId="39"/>
    <cellStyle name="Énfasis4 2" xfId="43"/>
    <cellStyle name="Énfasis5 2" xfId="47"/>
    <cellStyle name="Énfasis6 2" xfId="51"/>
    <cellStyle name="Entrada 2" xfId="22"/>
    <cellStyle name="Euro" xfId="176"/>
    <cellStyle name="Fijo" xfId="74"/>
    <cellStyle name="Financiero" xfId="75"/>
    <cellStyle name="Incorrecto 2" xfId="20"/>
    <cellStyle name="Millares" xfId="4" builtinId="3"/>
    <cellStyle name="Millares [0]" xfId="175" builtinId="6"/>
    <cellStyle name="Millares [0] 2" xfId="190"/>
    <cellStyle name="Millares [0] 3" xfId="200"/>
    <cellStyle name="Millares 10" xfId="195"/>
    <cellStyle name="Millares 11" xfId="194"/>
    <cellStyle name="Millares 12" xfId="198"/>
    <cellStyle name="Millares 13" xfId="201"/>
    <cellStyle name="Millares 14" xfId="202"/>
    <cellStyle name="Millares 15" xfId="211"/>
    <cellStyle name="Millares 16" xfId="205"/>
    <cellStyle name="Millares 17" xfId="208"/>
    <cellStyle name="Millares 18" xfId="213"/>
    <cellStyle name="Millares 19" xfId="203"/>
    <cellStyle name="Millares 2" xfId="8"/>
    <cellStyle name="Millares 2 2" xfId="76"/>
    <cellStyle name="Millares 2 2 2" xfId="77"/>
    <cellStyle name="Millares 2 2 3" xfId="78"/>
    <cellStyle name="Millares 2 2 4" xfId="79"/>
    <cellStyle name="Millares 2 3" xfId="80"/>
    <cellStyle name="Millares 2 4" xfId="81"/>
    <cellStyle name="Millares 2 5" xfId="82"/>
    <cellStyle name="Millares 20" xfId="209"/>
    <cellStyle name="Millares 21" xfId="206"/>
    <cellStyle name="Millares 22" xfId="214"/>
    <cellStyle name="Millares 23" xfId="204"/>
    <cellStyle name="Millares 24" xfId="199"/>
    <cellStyle name="Millares 25" xfId="212"/>
    <cellStyle name="Millares 26" xfId="215"/>
    <cellStyle name="Millares 27" xfId="207"/>
    <cellStyle name="Millares 28" xfId="210"/>
    <cellStyle name="Millares 3" xfId="168"/>
    <cellStyle name="Millares 4" xfId="171"/>
    <cellStyle name="Millares 4 2" xfId="221"/>
    <cellStyle name="Millares 5" xfId="174"/>
    <cellStyle name="Millares 6" xfId="189"/>
    <cellStyle name="Millares 7" xfId="192"/>
    <cellStyle name="Millares 8" xfId="191"/>
    <cellStyle name="Millares 9" xfId="193"/>
    <cellStyle name="Moneda" xfId="1" builtinId="4"/>
    <cellStyle name="Moneda 10" xfId="196"/>
    <cellStyle name="Moneda 11" xfId="216"/>
    <cellStyle name="Moneda 2" xfId="5"/>
    <cellStyle name="Moneda 2 2" xfId="83"/>
    <cellStyle name="Moneda 2 3" xfId="84"/>
    <cellStyle name="Moneda 2 4" xfId="11"/>
    <cellStyle name="Moneda 2 5" xfId="167"/>
    <cellStyle name="Moneda 2 6" xfId="56"/>
    <cellStyle name="Moneda 3" xfId="57"/>
    <cellStyle name="Moneda 3 2" xfId="177"/>
    <cellStyle name="Moneda 3 3" xfId="220"/>
    <cellStyle name="Moneda 4" xfId="13"/>
    <cellStyle name="Moneda 4 2" xfId="58"/>
    <cellStyle name="Moneda 4 2 2" xfId="179"/>
    <cellStyle name="Moneda 4 2 3" xfId="219"/>
    <cellStyle name="Moneda 4 3" xfId="63"/>
    <cellStyle name="Moneda 4 4" xfId="178"/>
    <cellStyle name="Moneda 5" xfId="66"/>
    <cellStyle name="Moneda 5 2" xfId="180"/>
    <cellStyle name="Moneda 6" xfId="61"/>
    <cellStyle name="Moneda 7" xfId="169"/>
    <cellStyle name="Moneda 8" xfId="172"/>
    <cellStyle name="Moneda 9" xfId="187"/>
    <cellStyle name="Monetario" xfId="85"/>
    <cellStyle name="Neutral 2" xfId="21"/>
    <cellStyle name="Normal" xfId="0" builtinId="0"/>
    <cellStyle name="Normal 10" xfId="6"/>
    <cellStyle name="Normal 10 2" xfId="65"/>
    <cellStyle name="Normal 11 2" xfId="86"/>
    <cellStyle name="Normal 11 3" xfId="87"/>
    <cellStyle name="Normal 11 4" xfId="88"/>
    <cellStyle name="Normal 12 2" xfId="89"/>
    <cellStyle name="Normal 12 3" xfId="90"/>
    <cellStyle name="Normal 13 2" xfId="91"/>
    <cellStyle name="Normal 2" xfId="9"/>
    <cellStyle name="Normal 2 10" xfId="92"/>
    <cellStyle name="Normal 2 10 2" xfId="10"/>
    <cellStyle name="Normal 2 10 3" xfId="93"/>
    <cellStyle name="Normal 2 10 4" xfId="94"/>
    <cellStyle name="Normal 2 10 5" xfId="95"/>
    <cellStyle name="Normal 2 10 6" xfId="96"/>
    <cellStyle name="Normal 2 10 7" xfId="97"/>
    <cellStyle name="Normal 2 11" xfId="98"/>
    <cellStyle name="Normal 2 11 2" xfId="99"/>
    <cellStyle name="Normal 2 11 3" xfId="100"/>
    <cellStyle name="Normal 2 11 4" xfId="101"/>
    <cellStyle name="Normal 2 11 5" xfId="102"/>
    <cellStyle name="Normal 2 11 6" xfId="103"/>
    <cellStyle name="Normal 2 12" xfId="104"/>
    <cellStyle name="Normal 2 13" xfId="105"/>
    <cellStyle name="Normal 2 13 2" xfId="60"/>
    <cellStyle name="Normal 2 13 3" xfId="181"/>
    <cellStyle name="Normal 2 14" xfId="55"/>
    <cellStyle name="Normal 2 2" xfId="106"/>
    <cellStyle name="Normal 2 2 2" xfId="107"/>
    <cellStyle name="Normal 2 2 3" xfId="108"/>
    <cellStyle name="Normal 2 2 4" xfId="109"/>
    <cellStyle name="Normal 2 3" xfId="110"/>
    <cellStyle name="Normal 2 4" xfId="111"/>
    <cellStyle name="Normal 2 5" xfId="112"/>
    <cellStyle name="Normal 2 6" xfId="113"/>
    <cellStyle name="Normal 2 7" xfId="114"/>
    <cellStyle name="Normal 2 8" xfId="115"/>
    <cellStyle name="Normal 2 9" xfId="116"/>
    <cellStyle name="Normal 2 9 2" xfId="117"/>
    <cellStyle name="Normal 2 9 3" xfId="118"/>
    <cellStyle name="Normal 2 9 4" xfId="119"/>
    <cellStyle name="Normal 2 9 5" xfId="120"/>
    <cellStyle name="Normal 2 9 6" xfId="121"/>
    <cellStyle name="Normal 2 9 7" xfId="122"/>
    <cellStyle name="Normal 2 9 8" xfId="123"/>
    <cellStyle name="Normal 3" xfId="12"/>
    <cellStyle name="Normal 3 10" xfId="124"/>
    <cellStyle name="Normal 3 2" xfId="59"/>
    <cellStyle name="Normal 3 2 2" xfId="125"/>
    <cellStyle name="Normal 3 2 3" xfId="126"/>
    <cellStyle name="Normal 3 2 4" xfId="127"/>
    <cellStyle name="Normal 3 2 5" xfId="128"/>
    <cellStyle name="Normal 3 2 6" xfId="129"/>
    <cellStyle name="Normal 3 2 7" xfId="130"/>
    <cellStyle name="Normal 3 2 8" xfId="131"/>
    <cellStyle name="Normal 3 2 9" xfId="182"/>
    <cellStyle name="Normal 3 3" xfId="62"/>
    <cellStyle name="Normal 3 3 2" xfId="132"/>
    <cellStyle name="Normal 3 3 3" xfId="133"/>
    <cellStyle name="Normal 3 3 4" xfId="134"/>
    <cellStyle name="Normal 3 3 5" xfId="135"/>
    <cellStyle name="Normal 3 3 6" xfId="136"/>
    <cellStyle name="Normal 3 3 7" xfId="137"/>
    <cellStyle name="Normal 3 3 8" xfId="183"/>
    <cellStyle name="Normal 3 4" xfId="138"/>
    <cellStyle name="Normal 3 4 2" xfId="139"/>
    <cellStyle name="Normal 3 4 3" xfId="140"/>
    <cellStyle name="Normal 3 4 4" xfId="141"/>
    <cellStyle name="Normal 3 4 5" xfId="142"/>
    <cellStyle name="Normal 3 4 6" xfId="143"/>
    <cellStyle name="Normal 3 5" xfId="144"/>
    <cellStyle name="Normal 3 6" xfId="145"/>
    <cellStyle name="Normal 3 7" xfId="146"/>
    <cellStyle name="Normal 3 8" xfId="147"/>
    <cellStyle name="Normal 3 9" xfId="148"/>
    <cellStyle name="Normal 4" xfId="165"/>
    <cellStyle name="Normal 4 2" xfId="149"/>
    <cellStyle name="Normal 4 3" xfId="150"/>
    <cellStyle name="Normal 4 4" xfId="151"/>
    <cellStyle name="Normal 4 5" xfId="152"/>
    <cellStyle name="Normal 4_Presupuesto Acueducto Santa Bárbara de Pinto" xfId="184"/>
    <cellStyle name="Normal 5" xfId="186"/>
    <cellStyle name="Normal 5 2" xfId="153"/>
    <cellStyle name="Normal 5 3" xfId="154"/>
    <cellStyle name="Normal 5 4" xfId="155"/>
    <cellStyle name="Normal 6" xfId="156"/>
    <cellStyle name="Normal 6 2 2" xfId="217"/>
    <cellStyle name="Normal 9 2" xfId="157"/>
    <cellStyle name="Normal 9 3" xfId="158"/>
    <cellStyle name="Normal 9 4" xfId="159"/>
    <cellStyle name="Normal 9 5" xfId="160"/>
    <cellStyle name="Normal_DPP0090-2008 CONDUCTO CAJÓN SAUCES 4. AV. ENRIQUE GRAUD" xfId="2"/>
    <cellStyle name="Notas 2" xfId="28"/>
    <cellStyle name="Porcentaje" xfId="3"/>
    <cellStyle name="Porcentaje 2" xfId="7"/>
    <cellStyle name="Porcentaje 3" xfId="64"/>
    <cellStyle name="Porcentaje 4" xfId="170"/>
    <cellStyle name="Porcentaje 5" xfId="173"/>
    <cellStyle name="Porcentaje 6" xfId="188"/>
    <cellStyle name="Porcentaje 7" xfId="197"/>
    <cellStyle name="Porcentual 2" xfId="185"/>
    <cellStyle name="Porcentual 2 2" xfId="161"/>
    <cellStyle name="Porcentual 2 2 2" xfId="218"/>
    <cellStyle name="Porcentual 2 3" xfId="162"/>
    <cellStyle name="Porcentual 2 4" xfId="163"/>
    <cellStyle name="Porcentual 3" xfId="164"/>
    <cellStyle name="Salida 2" xfId="23"/>
    <cellStyle name="Texto de advertencia 2" xfId="27"/>
    <cellStyle name="Texto explicativo 2" xfId="29"/>
    <cellStyle name="Título" xfId="14" builtinId="15" customBuiltin="1"/>
    <cellStyle name="Título 1 2" xfId="15"/>
    <cellStyle name="Título 2 2" xfId="16"/>
    <cellStyle name="Título 3 2" xfId="17"/>
    <cellStyle name="Total 2" xfId="30"/>
  </cellStyles>
  <dxfs count="556">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rgb="FFFFFF00"/>
        </patternFill>
      </fill>
    </dxf>
    <dxf>
      <fill>
        <patternFill>
          <bgColor rgb="FFFFFF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fgColor indexed="64"/>
          <bgColor rgb="FFFF0000"/>
        </patternFill>
      </fill>
    </dxf>
    <dxf>
      <fill>
        <patternFill>
          <bgColor rgb="FFFFFF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6</xdr:col>
      <xdr:colOff>112059</xdr:colOff>
      <xdr:row>0</xdr:row>
      <xdr:rowOff>190499</xdr:rowOff>
    </xdr:from>
    <xdr:to>
      <xdr:col>6</xdr:col>
      <xdr:colOff>736473</xdr:colOff>
      <xdr:row>3</xdr:row>
      <xdr:rowOff>14558</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00" y="190499"/>
          <a:ext cx="624414" cy="5972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789214</xdr:colOff>
      <xdr:row>0</xdr:row>
      <xdr:rowOff>68037</xdr:rowOff>
    </xdr:from>
    <xdr:to>
      <xdr:col>15</xdr:col>
      <xdr:colOff>790451</xdr:colOff>
      <xdr:row>4</xdr:row>
      <xdr:rowOff>59104</xdr:rowOff>
    </xdr:to>
    <xdr:pic>
      <xdr:nvPicPr>
        <xdr:cNvPr id="2" name="Imagen 1" descr="Empresas Públicas de Cundinamarca S.A. ESP">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3750" y="68037"/>
          <a:ext cx="1170214" cy="753067"/>
        </a:xfrm>
        <a:prstGeom prst="rect">
          <a:avLst/>
        </a:prstGeom>
        <a:noFill/>
        <a:ln>
          <a:noFill/>
        </a:ln>
      </xdr:spPr>
    </xdr:pic>
    <xdr:clientData/>
  </xdr:twoCellAnchor>
  <xdr:twoCellAnchor editAs="oneCell">
    <xdr:from>
      <xdr:col>21</xdr:col>
      <xdr:colOff>190500</xdr:colOff>
      <xdr:row>0</xdr:row>
      <xdr:rowOff>27214</xdr:rowOff>
    </xdr:from>
    <xdr:to>
      <xdr:col>21</xdr:col>
      <xdr:colOff>1209432</xdr:colOff>
      <xdr:row>4</xdr:row>
      <xdr:rowOff>93890</xdr:rowOff>
    </xdr:to>
    <xdr:pic>
      <xdr:nvPicPr>
        <xdr:cNvPr id="3" name="Imagen 2" descr="Logo IEH_3.jpg">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94429" y="27214"/>
          <a:ext cx="1018932" cy="828676"/>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952500</xdr:colOff>
      <xdr:row>0</xdr:row>
      <xdr:rowOff>183698</xdr:rowOff>
    </xdr:from>
    <xdr:to>
      <xdr:col>0</xdr:col>
      <xdr:colOff>1847252</xdr:colOff>
      <xdr:row>3</xdr:row>
      <xdr:rowOff>141654</xdr:rowOff>
    </xdr:to>
    <xdr:pic>
      <xdr:nvPicPr>
        <xdr:cNvPr id="2" name="Imagen 1" descr="Empresas Públicas de Cundinamarca S.A. ESP">
          <a:extLst>
            <a:ext uri="{FF2B5EF4-FFF2-40B4-BE49-F238E27FC236}">
              <a16:creationId xmlns:a16="http://schemas.microsoft.com/office/drawing/2014/main" id="{FD78E0DB-4EE5-44D5-A704-4AD8195B558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0" y="183698"/>
          <a:ext cx="894752" cy="605656"/>
        </a:xfrm>
        <a:prstGeom prst="rect">
          <a:avLst/>
        </a:prstGeom>
        <a:noFill/>
        <a:ln>
          <a:noFill/>
        </a:ln>
      </xdr:spPr>
    </xdr:pic>
    <xdr:clientData/>
  </xdr:twoCellAnchor>
  <xdr:twoCellAnchor editAs="oneCell">
    <xdr:from>
      <xdr:col>25</xdr:col>
      <xdr:colOff>380944</xdr:colOff>
      <xdr:row>0</xdr:row>
      <xdr:rowOff>158750</xdr:rowOff>
    </xdr:from>
    <xdr:to>
      <xdr:col>26</xdr:col>
      <xdr:colOff>579796</xdr:colOff>
      <xdr:row>3</xdr:row>
      <xdr:rowOff>173265</xdr:rowOff>
    </xdr:to>
    <xdr:pic>
      <xdr:nvPicPr>
        <xdr:cNvPr id="3" name="Imagen 2" descr="Logo IEH_3.jpg">
          <a:extLst>
            <a:ext uri="{FF2B5EF4-FFF2-40B4-BE49-F238E27FC236}">
              <a16:creationId xmlns:a16="http://schemas.microsoft.com/office/drawing/2014/main" id="{249A7F33-3555-4937-A690-7DC27FA67B3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21844" y="158750"/>
          <a:ext cx="960852" cy="66221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388882</xdr:colOff>
      <xdr:row>0</xdr:row>
      <xdr:rowOff>145597</xdr:rowOff>
    </xdr:from>
    <xdr:to>
      <xdr:col>7</xdr:col>
      <xdr:colOff>1352567</xdr:colOff>
      <xdr:row>4</xdr:row>
      <xdr:rowOff>152742</xdr:rowOff>
    </xdr:to>
    <xdr:pic>
      <xdr:nvPicPr>
        <xdr:cNvPr id="2" name="Imagen 1" descr="Logo IEH_3.jpg">
          <a:extLst>
            <a:ext uri="{FF2B5EF4-FFF2-40B4-BE49-F238E27FC236}">
              <a16:creationId xmlns:a16="http://schemas.microsoft.com/office/drawing/2014/main" id="{DD99EEB5-EDAB-43CC-9F8C-F04C0553CBD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99332" y="145597"/>
          <a:ext cx="963685" cy="807245"/>
        </a:xfrm>
        <a:prstGeom prst="rect">
          <a:avLst/>
        </a:prstGeom>
        <a:noFill/>
        <a:ln>
          <a:noFill/>
        </a:ln>
      </xdr:spPr>
    </xdr:pic>
    <xdr:clientData/>
  </xdr:twoCellAnchor>
  <xdr:twoCellAnchor editAs="oneCell">
    <xdr:from>
      <xdr:col>1</xdr:col>
      <xdr:colOff>100855</xdr:colOff>
      <xdr:row>1</xdr:row>
      <xdr:rowOff>100852</xdr:rowOff>
    </xdr:from>
    <xdr:to>
      <xdr:col>1</xdr:col>
      <xdr:colOff>1003030</xdr:colOff>
      <xdr:row>4</xdr:row>
      <xdr:rowOff>80713</xdr:rowOff>
    </xdr:to>
    <xdr:pic>
      <xdr:nvPicPr>
        <xdr:cNvPr id="3" name="Imagen 1" descr="Empresas Públicas de Cundinamarca S.A. ESP">
          <a:extLst>
            <a:ext uri="{FF2B5EF4-FFF2-40B4-BE49-F238E27FC236}">
              <a16:creationId xmlns:a16="http://schemas.microsoft.com/office/drawing/2014/main" id="{59FB4F00-123A-4FF7-A479-C37B5D887915}"/>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855" y="291352"/>
          <a:ext cx="902175" cy="579936"/>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544286</xdr:colOff>
      <xdr:row>0</xdr:row>
      <xdr:rowOff>128788</xdr:rowOff>
    </xdr:from>
    <xdr:to>
      <xdr:col>4</xdr:col>
      <xdr:colOff>413016</xdr:colOff>
      <xdr:row>3</xdr:row>
      <xdr:rowOff>27215</xdr:rowOff>
    </xdr:to>
    <xdr:pic>
      <xdr:nvPicPr>
        <xdr:cNvPr id="2" name="Imagen 2" descr="Logo IEH_3.jpg">
          <a:extLst>
            <a:ext uri="{FF2B5EF4-FFF2-40B4-BE49-F238E27FC236}">
              <a16:creationId xmlns:a16="http://schemas.microsoft.com/office/drawing/2014/main" id="{00000000-0008-0000-1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52215" y="128788"/>
          <a:ext cx="1147801" cy="1027820"/>
        </a:xfrm>
        <a:prstGeom prst="rect">
          <a:avLst/>
        </a:prstGeom>
        <a:noFill/>
        <a:ln>
          <a:noFill/>
        </a:ln>
      </xdr:spPr>
    </xdr:pic>
    <xdr:clientData/>
  </xdr:twoCellAnchor>
  <xdr:twoCellAnchor editAs="oneCell">
    <xdr:from>
      <xdr:col>0</xdr:col>
      <xdr:colOff>441034</xdr:colOff>
      <xdr:row>0</xdr:row>
      <xdr:rowOff>182494</xdr:rowOff>
    </xdr:from>
    <xdr:to>
      <xdr:col>1</xdr:col>
      <xdr:colOff>1236650</xdr:colOff>
      <xdr:row>2</xdr:row>
      <xdr:rowOff>193701</xdr:rowOff>
    </xdr:to>
    <xdr:pic>
      <xdr:nvPicPr>
        <xdr:cNvPr id="3" name="Imagen 1" descr="Empresas Públicas de Cundinamarca S.A. ESP">
          <a:extLst>
            <a:ext uri="{FF2B5EF4-FFF2-40B4-BE49-F238E27FC236}">
              <a16:creationId xmlns:a16="http://schemas.microsoft.com/office/drawing/2014/main" id="{00000000-0008-0000-11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41034" y="182494"/>
          <a:ext cx="1557616" cy="936493"/>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867132</xdr:colOff>
      <xdr:row>0</xdr:row>
      <xdr:rowOff>183216</xdr:rowOff>
    </xdr:from>
    <xdr:to>
      <xdr:col>5</xdr:col>
      <xdr:colOff>930087</xdr:colOff>
      <xdr:row>3</xdr:row>
      <xdr:rowOff>145676</xdr:rowOff>
    </xdr:to>
    <xdr:pic>
      <xdr:nvPicPr>
        <xdr:cNvPr id="2" name="Imagen 2" descr="Logo IEH_3.jpg">
          <a:extLst>
            <a:ext uri="{FF2B5EF4-FFF2-40B4-BE49-F238E27FC236}">
              <a16:creationId xmlns:a16="http://schemas.microsoft.com/office/drawing/2014/main" id="{00000000-0008-0000-14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44014" y="183216"/>
          <a:ext cx="1205955" cy="1094254"/>
        </a:xfrm>
        <a:prstGeom prst="rect">
          <a:avLst/>
        </a:prstGeom>
        <a:noFill/>
        <a:ln>
          <a:noFill/>
        </a:ln>
      </xdr:spPr>
    </xdr:pic>
    <xdr:clientData/>
  </xdr:twoCellAnchor>
  <xdr:twoCellAnchor editAs="oneCell">
    <xdr:from>
      <xdr:col>0</xdr:col>
      <xdr:colOff>100855</xdr:colOff>
      <xdr:row>1</xdr:row>
      <xdr:rowOff>100851</xdr:rowOff>
    </xdr:from>
    <xdr:to>
      <xdr:col>1</xdr:col>
      <xdr:colOff>896471</xdr:colOff>
      <xdr:row>3</xdr:row>
      <xdr:rowOff>112058</xdr:rowOff>
    </xdr:to>
    <xdr:pic>
      <xdr:nvPicPr>
        <xdr:cNvPr id="3" name="Imagen 1" descr="Empresas Públicas de Cundinamarca S.A. ESP">
          <a:extLst>
            <a:ext uri="{FF2B5EF4-FFF2-40B4-BE49-F238E27FC236}">
              <a16:creationId xmlns:a16="http://schemas.microsoft.com/office/drawing/2014/main" id="{00000000-0008-0000-14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855" y="313763"/>
          <a:ext cx="1322292" cy="930089"/>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ATOS/MIS%20DOCUMENTOS/Nueva%20carpeta%20(3)/ALCANTARILLADO%20IPIALES/Analisis%20de%20Precios%20Unitarios/Definitivos%20venta/Informaci&#243;n%20Oscar/PRESUPUESTO%20Y%20PARETOS-PLANTILLA%20TUNJUEL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is%20documentos/Archivos%20IEH%20GRUCON/IBAGUE/140411%20IBAL%20PRESUPUESTOS/140402%20Anexo%20Cap.%209a%20-%20Presupuesto%20general%20del%20contrat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Mis%20Documentos/Dise&#241;os%20cundinamarca%20ultima%20version%20PTAP/CUNDINAMARCA/ED-C264-VEG-PTAP-IT-06.V2/Anexos/ANEXO%206%20Presupuesto-Memorias%20cantidades%20obra/Presupuesto%20PTAP%20La%20Vega_VF.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emdepa/Downloads/presupuesto%20referente.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Mis%20documentos\Archivos%20IEH%20GRUCON\ESPECIFICACIONES\Formato%20Presupuestos\Formato%202014%20Pto.%20Alcantarilla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
      <sheetName val="TRANSPORTE"/>
      <sheetName val="MATERIALES"/>
      <sheetName val="MANO DE OBRA"/>
      <sheetName val="EQUIPO"/>
      <sheetName val="1.1 Replanteo general"/>
      <sheetName val="1.2- Excavacion Mecanica"/>
      <sheetName val="1.3-Cargue y Transporte"/>
      <sheetName val="2.1-Base Granular"/>
      <sheetName val="2.2-Material relleno"/>
      <sheetName val="2.3-Subbase"/>
      <sheetName val="2.4-Relleno Tierra"/>
      <sheetName val="2.5-Renivelacion Subrasante"/>
      <sheetName val="3.1 Concreto 350"/>
      <sheetName val="3.2-Izaje vigas 40m"/>
      <sheetName val="3.3-Izaje vigas 20m"/>
      <sheetName val="3.4-Concreto 280 Riostras"/>
      <sheetName val="3.5-Concreto 280 Tablero"/>
      <sheetName val="3.6-Concreto 210 Barrera"/>
      <sheetName val="3.7-Concreto Anden"/>
      <sheetName val="3.8-Refuerzo Tensionado"/>
      <sheetName val="3.9- Refuerzo Fy=4200"/>
      <sheetName val="4.1-Concreto 210 Estribos"/>
      <sheetName val="4.2-Concreto 280 Sobrealturas"/>
      <sheetName val="4.3-Concreto 280 Placas Acc"/>
      <sheetName val="4.4-Conectores sismicos 1.8"/>
      <sheetName val="4.5-Conectores sismicos 1.98"/>
      <sheetName val="4.6-Junta"/>
      <sheetName val="4.7-Pilotes"/>
      <sheetName val="4.8-Refuerzo  4200 Pilotes"/>
      <sheetName val="4.9-Neopreno 45x40"/>
      <sheetName val="4.10 Neopreno 40x40"/>
      <sheetName val="4.11-Neopreno 20x20"/>
      <sheetName val="4.12 Drenajes 4&quot;"/>
      <sheetName val="4.13-Drenaje 3&quot;"/>
      <sheetName val="4.14-Drenaje 6&quot;"/>
      <sheetName val="4.15-Geotextil"/>
      <sheetName val="4.16 Filtro Grava fin"/>
      <sheetName val="5.1-Emulsion asfaltica"/>
      <sheetName val="5.2-Mezcla MD-12"/>
      <sheetName val="5.3-Mezcla MD-20"/>
      <sheetName val="6.1-Sardinel 1"/>
      <sheetName val="6.2-Sardinel 2"/>
      <sheetName val="6.3-Adoquin Arcilla"/>
      <sheetName val="6.4.Toperol 40x40"/>
      <sheetName val="6.5 Loseta"/>
      <sheetName val="6.6-Toperol 20x40"/>
      <sheetName val="6.7-Cintas concreto"/>
      <sheetName val="6.8-Rampas Concreto"/>
      <sheetName val="6.9-Materas"/>
      <sheetName val="6.10-Baranda Peatonal"/>
      <sheetName val="6.11-Baranda NY"/>
      <sheetName val="6.12-Barrera Trafico"/>
      <sheetName val="6.13-Empradizacion"/>
      <sheetName val="6.14-Arboles"/>
      <sheetName val="6.15-Cunetas"/>
      <sheetName val="6.16-Filtros"/>
      <sheetName val="7.1-Señales verticales"/>
      <sheetName val="7.2-Señal Horiz Doble Amar"/>
      <sheetName val="7.3-Demarcacion"/>
      <sheetName val="7.4-Señal Horiz senc Amar"/>
      <sheetName val="7.5-Señal Horiz senc blan"/>
      <sheetName val="7.6-Señaliz Cicloruta"/>
      <sheetName val="7.7-Zona demarc Inters"/>
      <sheetName val="Hoja1"/>
    </sheetNames>
    <sheetDataSet>
      <sheetData sheetId="0" refreshError="1"/>
      <sheetData sheetId="1" refreshError="1"/>
      <sheetData sheetId="2" refreshError="1"/>
      <sheetData sheetId="3" refreshError="1"/>
      <sheetData sheetId="4" refreshError="1">
        <row r="9">
          <cell r="B9" t="str">
            <v>ASPERSOR CON MOLDE</v>
          </cell>
        </row>
        <row r="10">
          <cell r="B10" t="str">
            <v>BULDOZER DE ORUGA</v>
          </cell>
        </row>
        <row r="11">
          <cell r="B11" t="str">
            <v>CAMIÓN PARA TRANSPORTES</v>
          </cell>
        </row>
        <row r="12">
          <cell r="B12" t="str">
            <v>CARGADOR</v>
          </cell>
        </row>
        <row r="13">
          <cell r="B13" t="str">
            <v>CARMIX PARA CONCRETO HIDRAULICO</v>
          </cell>
        </row>
        <row r="14">
          <cell r="B14" t="str">
            <v>CARROTANQUE CON AGUA</v>
          </cell>
        </row>
        <row r="15">
          <cell r="B15" t="str">
            <v>CARROTANQUE DE AGUA</v>
          </cell>
        </row>
        <row r="16">
          <cell r="B16" t="str">
            <v>CARROTANQUE PARA RIEGO DE IMPRIMANTE</v>
          </cell>
        </row>
        <row r="17">
          <cell r="B17" t="str">
            <v>CLASIFICADORA  O ZARANDA</v>
          </cell>
        </row>
        <row r="18">
          <cell r="B18" t="str">
            <v>COMPACTADOR NEUMATICO</v>
          </cell>
        </row>
        <row r="19">
          <cell r="B19" t="str">
            <v>COMPRESOR CON MARTILLOS</v>
          </cell>
        </row>
        <row r="20">
          <cell r="B20" t="str">
            <v>DOBLADORA ACERO</v>
          </cell>
        </row>
        <row r="21">
          <cell r="B21" t="str">
            <v>EQUIPO DE COMPACTACIÓN MENOR SALTARIN</v>
          </cell>
        </row>
        <row r="22">
          <cell r="B22" t="str">
            <v>EQUIPO DE SEÑALIZACIÓN</v>
          </cell>
        </row>
        <row r="23">
          <cell r="B23" t="str">
            <v>EQUIPO DE TOPOGRAFIA</v>
          </cell>
        </row>
        <row r="24">
          <cell r="B24" t="str">
            <v>FINISHER</v>
          </cell>
        </row>
        <row r="25">
          <cell r="B25" t="str">
            <v>FORMALETA</v>
          </cell>
        </row>
        <row r="26">
          <cell r="B26" t="str">
            <v>FORMALETA BORDILLO</v>
          </cell>
        </row>
        <row r="27">
          <cell r="B27" t="str">
            <v>FORMALETA MADERA</v>
          </cell>
        </row>
        <row r="28">
          <cell r="B28" t="str">
            <v>FORMALETA METALICA</v>
          </cell>
        </row>
        <row r="29">
          <cell r="B29" t="str">
            <v>FORMALETA MADERA FORRADA EN TRIPLEX PARA ESTRUCTURAS DE CONCRETO</v>
          </cell>
        </row>
        <row r="30">
          <cell r="B30" t="str">
            <v>GRUA</v>
          </cell>
        </row>
        <row r="31">
          <cell r="B31" t="str">
            <v>HERRAMIENTA MENOR</v>
          </cell>
        </row>
        <row r="32">
          <cell r="B32" t="str">
            <v>MINICARGADOR</v>
          </cell>
        </row>
        <row r="33">
          <cell r="B33" t="str">
            <v>MOTONIVELADORA</v>
          </cell>
        </row>
        <row r="34">
          <cell r="B34" t="str">
            <v>PILOTEADORA</v>
          </cell>
        </row>
        <row r="35">
          <cell r="B35" t="str">
            <v>PLANTA DE ASFALTO</v>
          </cell>
        </row>
        <row r="36">
          <cell r="B36" t="str">
            <v>PLANTA ELECTRICA</v>
          </cell>
        </row>
        <row r="37">
          <cell r="B37" t="str">
            <v>PLANTA PARA CONCRETO HIDRAULICO</v>
          </cell>
        </row>
        <row r="38">
          <cell r="B38" t="str">
            <v>REGLA VIBRATORIA</v>
          </cell>
        </row>
        <row r="39">
          <cell r="B39" t="str">
            <v>RETROCARGADOR DE LLANTAS</v>
          </cell>
        </row>
        <row r="40">
          <cell r="B40" t="str">
            <v>RETROEXCAVADORA DE LLANTAS</v>
          </cell>
        </row>
        <row r="41">
          <cell r="B41" t="str">
            <v xml:space="preserve">RETROEXCAVADORA DE ORUGAS </v>
          </cell>
        </row>
        <row r="42">
          <cell r="B42" t="str">
            <v>SEÑALIZACION TEMPORAL</v>
          </cell>
        </row>
        <row r="43">
          <cell r="B43" t="str">
            <v>EQUIPO DE SOLDADURA</v>
          </cell>
        </row>
        <row r="44">
          <cell r="B44" t="str">
            <v>TALADRO</v>
          </cell>
        </row>
        <row r="45">
          <cell r="B45" t="str">
            <v>TRANSPORTE PARA ASPERSOR</v>
          </cell>
        </row>
        <row r="46">
          <cell r="B46" t="str">
            <v>TROMPO MEZCLADOR</v>
          </cell>
        </row>
        <row r="47">
          <cell r="B47" t="str">
            <v>VIBRADOR DE CONCRETO</v>
          </cell>
        </row>
        <row r="48">
          <cell r="B48" t="str">
            <v>VIBROCOMPACTADOR</v>
          </cell>
        </row>
        <row r="49">
          <cell r="B49" t="str">
            <v>VOLQUETA 6 M3</v>
          </cell>
        </row>
        <row r="50">
          <cell r="B50" t="str">
            <v>VOLQUETA MEZCLA EN CALIENTE</v>
          </cell>
        </row>
        <row r="51">
          <cell r="B51" t="str">
            <v>VOLQUETA PARA RETIRO</v>
          </cell>
        </row>
        <row r="52">
          <cell r="B52" t="str">
            <v>CAMABAJA</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DRID- BOJACA"/>
      <sheetName val="RESUMEN"/>
      <sheetName val="TANQUE BOJACA"/>
      <sheetName val="TANQUE LA MESA"/>
      <sheetName val="CONDUCCION TCB-PTAP"/>
      <sheetName val="LINEA ALTA PRESION"/>
      <sheetName val="ESTRUCTURAS ESPECIALES"/>
      <sheetName val="TANQUE DE CLORACIÓN"/>
      <sheetName val="CASETA CLORACIÓN"/>
      <sheetName val="ESTACIÓN DE BOMBEO"/>
      <sheetName val="APUs"/>
      <sheetName val="OC Tanque"/>
      <sheetName val="Pto Sum TANQUE"/>
      <sheetName val="OC LC"/>
      <sheetName val="Pto Sum LC"/>
      <sheetName val="OC LAP"/>
      <sheetName val="Pto Sum LAP"/>
      <sheetName val="OC ESTRUCTURAS"/>
      <sheetName val="Pto ESTRUCTURAS"/>
      <sheetName val="OC L16"/>
      <sheetName val="Pto Sum L16"/>
      <sheetName val="Cantidades"/>
      <sheetName val="Resumen Tuberia"/>
      <sheetName val="Resumen estr"/>
      <sheetName val="SUM"/>
      <sheetName val="SO"/>
      <sheetName val="APU CAP 1-2"/>
      <sheetName val="APU CAP 3"/>
      <sheetName val="APU CAP 5"/>
      <sheetName val="APU CAP 6"/>
      <sheetName val="APU CAP 7"/>
      <sheetName val="APU CAP 8"/>
      <sheetName val="APU ESTRUCTURAS"/>
      <sheetName val="Cronograma"/>
      <sheetName val="Insumos"/>
      <sheetName val="Tuberia HD"/>
      <sheetName val="EE"/>
      <sheetName val="ListaAPUs"/>
      <sheetName val="Mano de obra"/>
      <sheetName val="Personal"/>
      <sheetName val="PPTO sin formular"/>
      <sheetName val="PPTO"/>
      <sheetName val="Plantilla1"/>
      <sheetName val="Plantilla"/>
      <sheetName val="ListaPrecios"/>
      <sheetName val="ListaPreciosItemNoInc"/>
      <sheetName val="APU1"/>
      <sheetName val="APU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row r="1">
          <cell r="A1" t="str">
            <v>DESCRIPCIÓN</v>
          </cell>
          <cell r="B1" t="str">
            <v>MEDIDA</v>
          </cell>
          <cell r="C1" t="str">
            <v>VALOR</v>
          </cell>
        </row>
        <row r="2">
          <cell r="A2" t="str">
            <v>AGUA</v>
          </cell>
          <cell r="B2" t="str">
            <v>L</v>
          </cell>
          <cell r="C2">
            <v>20</v>
          </cell>
        </row>
        <row r="3">
          <cell r="A3" t="str">
            <v>ALAMBRE</v>
          </cell>
          <cell r="B3" t="str">
            <v>KG</v>
          </cell>
          <cell r="C3">
            <v>3000</v>
          </cell>
        </row>
        <row r="4">
          <cell r="A4" t="str">
            <v>ARENA</v>
          </cell>
          <cell r="B4" t="str">
            <v>M3</v>
          </cell>
          <cell r="C4">
            <v>76000</v>
          </cell>
        </row>
        <row r="5">
          <cell r="A5" t="str">
            <v>BOMBA DE PRESIÓN</v>
          </cell>
          <cell r="B5" t="str">
            <v>DIA</v>
          </cell>
          <cell r="C5">
            <v>50000</v>
          </cell>
        </row>
        <row r="6">
          <cell r="A6" t="str">
            <v>Camión Bogotá - Bocato Cócora</v>
          </cell>
          <cell r="B6" t="str">
            <v>m3/km</v>
          </cell>
          <cell r="C6">
            <v>1300</v>
          </cell>
        </row>
        <row r="7">
          <cell r="A7" t="str">
            <v>CEMENTO</v>
          </cell>
          <cell r="B7" t="str">
            <v>KG</v>
          </cell>
          <cell r="C7">
            <v>450</v>
          </cell>
        </row>
        <row r="8">
          <cell r="A8" t="str">
            <v>cerco madera 010 x 004 x 60 m.</v>
          </cell>
          <cell r="B8" t="str">
            <v>UN</v>
          </cell>
          <cell r="C8">
            <v>12000</v>
          </cell>
        </row>
        <row r="9">
          <cell r="A9" t="str">
            <v>CODAL MADERA D=0,15 M L=4 M.</v>
          </cell>
          <cell r="B9" t="str">
            <v>UN</v>
          </cell>
          <cell r="C9">
            <v>28000</v>
          </cell>
        </row>
        <row r="10">
          <cell r="A10" t="str">
            <v>CODAL MADERA D=015 M L=4 M.</v>
          </cell>
          <cell r="B10" t="str">
            <v>UN</v>
          </cell>
          <cell r="C10">
            <v>28000</v>
          </cell>
        </row>
        <row r="11">
          <cell r="A11" t="str">
            <v>CODO ACERO 36" De 22.5° a 45° de L= 1,00 mX 1,00 m</v>
          </cell>
          <cell r="B11" t="str">
            <v>UN</v>
          </cell>
          <cell r="C11">
            <v>5147320</v>
          </cell>
        </row>
        <row r="12">
          <cell r="A12" t="str">
            <v>CODO ACERO 36" De 45° a 67.5" L= 1,60 mX 1,60 m</v>
          </cell>
          <cell r="B12" t="str">
            <v>UN</v>
          </cell>
          <cell r="C12">
            <v>7705653</v>
          </cell>
        </row>
        <row r="13">
          <cell r="A13" t="str">
            <v>CODO ACERO 36" De 67.5° a 90° L= 2,35 m X 2,35 m</v>
          </cell>
          <cell r="B13" t="str">
            <v>UN</v>
          </cell>
          <cell r="C13">
            <v>10561070</v>
          </cell>
        </row>
        <row r="14">
          <cell r="A14" t="str">
            <v>CODO ACERO 36" De 6º a 22.5° de L= 0,50 mX 0,50 m</v>
          </cell>
          <cell r="B14" t="str">
            <v>UN</v>
          </cell>
          <cell r="C14">
            <v>2908987</v>
          </cell>
        </row>
        <row r="15">
          <cell r="A15" t="str">
            <v>COMPUERTA METÁLICA DE 1.20 X 1.20</v>
          </cell>
          <cell r="B15" t="str">
            <v>UN</v>
          </cell>
          <cell r="C15">
            <v>17331400</v>
          </cell>
        </row>
        <row r="16">
          <cell r="A16" t="str">
            <v>CRONÓMETROS</v>
          </cell>
          <cell r="B16" t="str">
            <v>DIA</v>
          </cell>
          <cell r="C16">
            <v>10000</v>
          </cell>
        </row>
        <row r="17">
          <cell r="A17" t="str">
            <v>EQUIPO DE SOLDADURA</v>
          </cell>
          <cell r="B17" t="str">
            <v>DIA</v>
          </cell>
          <cell r="C17">
            <v>50000</v>
          </cell>
        </row>
        <row r="18">
          <cell r="A18" t="str">
            <v>EQUIPO DE TOPOGRAFÍA</v>
          </cell>
          <cell r="B18" t="str">
            <v>DIA</v>
          </cell>
          <cell r="C18">
            <v>50000</v>
          </cell>
        </row>
        <row r="19">
          <cell r="A19" t="str">
            <v>ESTACAS MADERA</v>
          </cell>
          <cell r="B19" t="str">
            <v>UN</v>
          </cell>
          <cell r="C19">
            <v>200</v>
          </cell>
        </row>
        <row r="20">
          <cell r="A20" t="str">
            <v>FORMALETA</v>
          </cell>
          <cell r="B20" t="str">
            <v>M2</v>
          </cell>
          <cell r="C20">
            <v>40000</v>
          </cell>
        </row>
        <row r="21">
          <cell r="A21" t="str">
            <v>GRAVILLA</v>
          </cell>
          <cell r="B21" t="str">
            <v>M3</v>
          </cell>
          <cell r="C21">
            <v>30000</v>
          </cell>
        </row>
        <row r="22">
          <cell r="A22" t="str">
            <v>HERRAMIENTA MENOR</v>
          </cell>
          <cell r="B22" t="str">
            <v>DIA</v>
          </cell>
          <cell r="C22">
            <v>6000</v>
          </cell>
        </row>
        <row r="23">
          <cell r="A23" t="str">
            <v>HERRAMIENTA PARA REPLANTEO</v>
          </cell>
          <cell r="B23" t="str">
            <v>DIA</v>
          </cell>
          <cell r="C23">
            <v>1000</v>
          </cell>
        </row>
        <row r="24">
          <cell r="A24" t="str">
            <v>HIERRO DE REFUERZO A-60</v>
          </cell>
          <cell r="B24" t="str">
            <v>KG</v>
          </cell>
          <cell r="C24">
            <v>2373</v>
          </cell>
        </row>
        <row r="25">
          <cell r="A25" t="str">
            <v>Incluye el suministro e instalación de una salida normal en terreno natural 0 4" con brida de longitud 0.20 metros en promedio en los codos, un niple en acero con extremos bridados de máximo 1,00 metro de longitud, una válvula de compuerta y una válvula de ventosa, tres juegos de espárragos tuercas y empaques. El valor cotizado no incluye el precio del codo donde van instaladas las salidas. Presión hasta 150 psi.</v>
          </cell>
          <cell r="B25" t="str">
            <v>UN</v>
          </cell>
          <cell r="C25">
            <v>3266483</v>
          </cell>
        </row>
        <row r="26">
          <cell r="A26" t="str">
            <v>Incluye el suministro e instalación de una salida normal en terreno natural 0 6" con brida de longitud 0.20 metros en promedio en los codos un niple en acero con extremos bridados de máximo 100 metro de longitud una válvula de compuerta y una válvula de ventosa tres juegos de espárragos tuercas y empaques. El valor cotizado no Incluye el precio del codo donde van instaladas las salidas. Presión hasta 150 psi.</v>
          </cell>
          <cell r="B26" t="str">
            <v>UN</v>
          </cell>
          <cell r="C26">
            <v>5931082</v>
          </cell>
        </row>
        <row r="27">
          <cell r="A27" t="str">
            <v>Incluye el suministro e instalación de una salida normal en terreno natural 8" con brida de longitud 0.20 metros en promedio en los codos un niple en acero con extremos bridados de máximo 100 metro de longitud una válvula de compuerta y una válvula de ventosa tres juegos de espárragos tuercas y empaques. El valor cotizado no incluye el precio del codo donde van instaladas las salidas. Presión hasta 150 PsI.</v>
          </cell>
          <cell r="B27" t="str">
            <v>UN</v>
          </cell>
          <cell r="C27">
            <v>9629221</v>
          </cell>
        </row>
        <row r="28">
          <cell r="A28" t="str">
            <v>Incluye el suministro e Instalación de una válvula de compuerta, dos niples en acero con brida y espigo liso para unión tipo dresser de 0.20 metros de longitud, una unión tipo dresser, un niple con extremos bridados de 0.30 metros de longitud, dos platinas de orificio en acero inoxidable, un niple con brida pasamuro y extremo liso de 0.59 metros de longitud, dos juegos para las uniones bridadas y dos  juegos  para  las  uniones bridadas con platinas de orificio de espárragos tuercas y empaques. El valor cotizado no Incluye el precio del codo donde va instalada la sallda.Presión hasta 150 psi</v>
          </cell>
          <cell r="B28" t="str">
            <v>UN</v>
          </cell>
          <cell r="C28">
            <v>6050913</v>
          </cell>
        </row>
        <row r="29">
          <cell r="A29" t="str">
            <v>Incluye el suministro e Instalación de una válvula de compuerta, dos niples en acero con brida y espigo liso para unión tipo dresser de 0.20 metros de longitud, una unión tipo dresser, un niple con extremos bridados de 0.30 metros de longitud, dos platinas de orificio en acero inoxidable, un niple con brida pasamuro y extremo liso de 0.59 metros de longitud, dos juegos para las uniones bridadas y dos juegos  para  las  uniones bridadas con platinas de orificio de espárragos tuercas y empaques. El valor cotizado no Incluye el precio del codo donde va instalada la sallda.Presión hasta 150 psi</v>
          </cell>
          <cell r="B29" t="str">
            <v>UN</v>
          </cell>
          <cell r="C29">
            <v>32747980</v>
          </cell>
        </row>
        <row r="30">
          <cell r="A30" t="str">
            <v>MANÓMETROS</v>
          </cell>
          <cell r="B30" t="str">
            <v>DIA</v>
          </cell>
          <cell r="C30">
            <v>10000</v>
          </cell>
        </row>
        <row r="31">
          <cell r="A31" t="str">
            <v>medio cerco mad. 005 x 005 x 30 m.</v>
          </cell>
          <cell r="B31" t="str">
            <v>UN</v>
          </cell>
          <cell r="C31">
            <v>3000</v>
          </cell>
        </row>
        <row r="32">
          <cell r="A32" t="str">
            <v>MEZCLA PRO. QUÍMICO (Explosivo)</v>
          </cell>
          <cell r="B32" t="str">
            <v>kg</v>
          </cell>
          <cell r="C32">
            <v>10000</v>
          </cell>
        </row>
        <row r="33">
          <cell r="A33" t="str">
            <v>MEZCLADORA DE CONCRETO</v>
          </cell>
          <cell r="B33" t="str">
            <v>DIA</v>
          </cell>
          <cell r="C33">
            <v>40000</v>
          </cell>
        </row>
        <row r="34">
          <cell r="A34" t="str">
            <v>paral madera 010 x 010 x 30 m.</v>
          </cell>
          <cell r="B34" t="str">
            <v>UN</v>
          </cell>
          <cell r="C34">
            <v>12000</v>
          </cell>
        </row>
        <row r="35">
          <cell r="A35" t="str">
            <v>PLANTA ELÉCTRICA</v>
          </cell>
          <cell r="B35" t="str">
            <v>DIA</v>
          </cell>
          <cell r="C35">
            <v>50000</v>
          </cell>
        </row>
        <row r="36">
          <cell r="A36" t="str">
            <v>PULIDORA</v>
          </cell>
          <cell r="B36" t="str">
            <v>DIA</v>
          </cell>
          <cell r="C36">
            <v>10000</v>
          </cell>
        </row>
        <row r="37">
          <cell r="A37" t="str">
            <v>PUNTILLA 3"</v>
          </cell>
          <cell r="B37" t="str">
            <v>KG</v>
          </cell>
          <cell r="C37">
            <v>3000</v>
          </cell>
        </row>
        <row r="38">
          <cell r="A38" t="str">
            <v>RECEBO</v>
          </cell>
          <cell r="B38" t="str">
            <v>M3</v>
          </cell>
          <cell r="C38">
            <v>7664</v>
          </cell>
        </row>
        <row r="39">
          <cell r="A39" t="str">
            <v>RETROEXCAVADORA</v>
          </cell>
          <cell r="B39" t="str">
            <v>DIA</v>
          </cell>
          <cell r="C39">
            <v>960000</v>
          </cell>
        </row>
        <row r="40">
          <cell r="A40" t="str">
            <v>SALTARÍN (APISONADOR)</v>
          </cell>
          <cell r="B40" t="str">
            <v>DIA</v>
          </cell>
          <cell r="C40">
            <v>40000</v>
          </cell>
        </row>
        <row r="41">
          <cell r="A41" t="str">
            <v>SEÑALES Y PROTECCIONES INFORMAm</v>
          </cell>
          <cell r="B41" t="str">
            <v>UN</v>
          </cell>
          <cell r="C41">
            <v>1000000</v>
          </cell>
        </row>
        <row r="42">
          <cell r="A42" t="str">
            <v>SOLDADURA E70</v>
          </cell>
          <cell r="B42" t="str">
            <v>KG</v>
          </cell>
          <cell r="C42">
            <v>10000</v>
          </cell>
        </row>
        <row r="43">
          <cell r="A43" t="str">
            <v>TABLA MADERA 0,20 X 0,04 X 3,0 N</v>
          </cell>
          <cell r="B43" t="str">
            <v>UN</v>
          </cell>
          <cell r="C43">
            <v>14000</v>
          </cell>
        </row>
        <row r="44">
          <cell r="A44" t="str">
            <v>TABLA MADERA 020 X 004 X 30 N</v>
          </cell>
          <cell r="B44" t="str">
            <v>UN</v>
          </cell>
          <cell r="C44">
            <v>14000</v>
          </cell>
        </row>
        <row r="45">
          <cell r="A45" t="str">
            <v>tabla madera 030 x 002 x 30 m.</v>
          </cell>
          <cell r="B45" t="str">
            <v>UN</v>
          </cell>
          <cell r="C45">
            <v>9000</v>
          </cell>
        </row>
        <row r="46">
          <cell r="A46" t="str">
            <v>TAPONES TUBERÍA</v>
          </cell>
          <cell r="B46" t="str">
            <v>UN</v>
          </cell>
          <cell r="C46">
            <v>1000000</v>
          </cell>
        </row>
        <row r="47">
          <cell r="A47" t="str">
            <v>TEE ACERO DE 36" x 24"</v>
          </cell>
          <cell r="B47" t="str">
            <v>UN</v>
          </cell>
          <cell r="C47">
            <v>12791070</v>
          </cell>
        </row>
        <row r="48">
          <cell r="A48" t="str">
            <v>teja zinc 305</v>
          </cell>
          <cell r="B48" t="str">
            <v>UN</v>
          </cell>
          <cell r="C48">
            <v>22000</v>
          </cell>
        </row>
        <row r="49">
          <cell r="A49" t="str">
            <v>TRITURADO 3/4"</v>
          </cell>
          <cell r="B49" t="str">
            <v>M3</v>
          </cell>
          <cell r="C49">
            <v>80000</v>
          </cell>
        </row>
        <row r="50">
          <cell r="A50" t="str">
            <v>TRITURADO 3/4" ARENA AGUA</v>
          </cell>
          <cell r="B50" t="str">
            <v>M3</v>
          </cell>
          <cell r="C50">
            <v>80000</v>
          </cell>
        </row>
        <row r="51">
          <cell r="A51" t="str">
            <v>TUBERÍA PVC 12" ó 315 mm</v>
          </cell>
          <cell r="B51" t="str">
            <v>ML</v>
          </cell>
          <cell r="C51">
            <v>37000</v>
          </cell>
        </row>
        <row r="52">
          <cell r="A52" t="str">
            <v>VALLAS DE IDENTIFICACIÓN</v>
          </cell>
          <cell r="B52" t="str">
            <v>UN</v>
          </cell>
          <cell r="C52">
            <v>450000</v>
          </cell>
        </row>
        <row r="53">
          <cell r="A53" t="str">
            <v>Vehículo</v>
          </cell>
          <cell r="B53" t="str">
            <v>GLB</v>
          </cell>
          <cell r="C53">
            <v>5500000</v>
          </cell>
        </row>
        <row r="54">
          <cell r="A54" t="str">
            <v>VIBRADOR DE CONCRETO</v>
          </cell>
          <cell r="B54" t="str">
            <v>DIA</v>
          </cell>
          <cell r="C54">
            <v>30000</v>
          </cell>
        </row>
        <row r="55">
          <cell r="A55" t="str">
            <v>VOLQUETA</v>
          </cell>
          <cell r="B55" t="str">
            <v>m3/km</v>
          </cell>
          <cell r="C55">
            <v>1300</v>
          </cell>
        </row>
        <row r="56">
          <cell r="A56" t="str">
            <v>VOLQUETA 6 M3</v>
          </cell>
          <cell r="B56" t="str">
            <v>DIA</v>
          </cell>
          <cell r="C56">
            <v>440000</v>
          </cell>
        </row>
        <row r="57">
          <cell r="A57" t="str">
            <v>EMPAQUE</v>
          </cell>
          <cell r="B57" t="str">
            <v>un</v>
          </cell>
          <cell r="C57">
            <v>143831.94848918397</v>
          </cell>
        </row>
        <row r="58">
          <cell r="A58" t="str">
            <v>EMULSION ASFALTICA</v>
          </cell>
          <cell r="B58" t="str">
            <v>kg</v>
          </cell>
          <cell r="C58">
            <v>6241.7499472</v>
          </cell>
        </row>
        <row r="59">
          <cell r="A59" t="str">
            <v>EQUIPO DE CCTV</v>
          </cell>
          <cell r="B59" t="str">
            <v>ml</v>
          </cell>
          <cell r="C59">
            <v>18991.125599999999</v>
          </cell>
        </row>
        <row r="60">
          <cell r="A60" t="str">
            <v>EQUIPO DE EXTRACCION</v>
          </cell>
          <cell r="B60" t="str">
            <v>un/dia</v>
          </cell>
          <cell r="C60">
            <v>202536</v>
          </cell>
        </row>
        <row r="61">
          <cell r="A61" t="str">
            <v>EQUIPO DE MOVILIZACION</v>
          </cell>
          <cell r="B61" t="str">
            <v>un/hr</v>
          </cell>
          <cell r="C61">
            <v>112520</v>
          </cell>
        </row>
        <row r="62">
          <cell r="A62" t="str">
            <v>EQUIPO DE SOLDADURA</v>
          </cell>
          <cell r="B62" t="str">
            <v>un/hr</v>
          </cell>
          <cell r="C62">
            <v>15825.938</v>
          </cell>
        </row>
        <row r="63">
          <cell r="A63" t="str">
            <v>ESCALONES GALVANIZADOS DE 3/4"</v>
          </cell>
          <cell r="B63" t="str">
            <v>un</v>
          </cell>
          <cell r="C63">
            <v>31651.876</v>
          </cell>
        </row>
        <row r="64">
          <cell r="A64" t="str">
            <v>ESLINGA Y MALACATE</v>
          </cell>
          <cell r="B64" t="str">
            <v>ml</v>
          </cell>
          <cell r="C64">
            <v>189911.25599999999</v>
          </cell>
        </row>
        <row r="65">
          <cell r="A65" t="str">
            <v>FILTRO BxB 150mm</v>
          </cell>
          <cell r="B65" t="str">
            <v>un</v>
          </cell>
          <cell r="C65">
            <v>1527014</v>
          </cell>
        </row>
        <row r="66">
          <cell r="A66" t="str">
            <v>FILTRO BxB 250mm</v>
          </cell>
          <cell r="B66" t="str">
            <v>un</v>
          </cell>
          <cell r="C66">
            <v>3000424</v>
          </cell>
        </row>
        <row r="67">
          <cell r="A67" t="str">
            <v>FILTRO BxB 350mm</v>
          </cell>
          <cell r="B67" t="str">
            <v>un</v>
          </cell>
          <cell r="C67">
            <v>6650964</v>
          </cell>
        </row>
        <row r="68">
          <cell r="A68" t="str">
            <v xml:space="preserve">FORMALETA DE MADERA </v>
          </cell>
          <cell r="B68" t="str">
            <v>m2</v>
          </cell>
          <cell r="C68">
            <v>58999.096863999999</v>
          </cell>
        </row>
        <row r="69">
          <cell r="A69" t="str">
            <v>FORMALETA DE METÁLICA</v>
          </cell>
          <cell r="B69" t="str">
            <v>m2</v>
          </cell>
          <cell r="C69">
            <v>198935.36</v>
          </cell>
        </row>
        <row r="70">
          <cell r="A70" t="str">
            <v>GRAVA</v>
          </cell>
          <cell r="B70" t="str">
            <v>m³</v>
          </cell>
          <cell r="C70">
            <v>90016</v>
          </cell>
        </row>
        <row r="71">
          <cell r="A71" t="str">
            <v>HIPOCLORITO DE SODIO</v>
          </cell>
          <cell r="B71" t="str">
            <v>gr</v>
          </cell>
          <cell r="C71">
            <v>0.82294877600000005</v>
          </cell>
        </row>
        <row r="72">
          <cell r="A72" t="str">
            <v>IMPERMEABILIZANTE</v>
          </cell>
          <cell r="B72" t="str">
            <v>kg</v>
          </cell>
          <cell r="C72">
            <v>10100</v>
          </cell>
        </row>
        <row r="73">
          <cell r="A73" t="str">
            <v>INDUGEL</v>
          </cell>
          <cell r="B73" t="str">
            <v>kg</v>
          </cell>
          <cell r="C73">
            <v>15848.170277702398</v>
          </cell>
        </row>
        <row r="74">
          <cell r="A74" t="str">
            <v xml:space="preserve"> INSTALACIÓN ACCESORIOS EN HIERRO DÚCTIL 100MM</v>
          </cell>
          <cell r="B74" t="str">
            <v>UN</v>
          </cell>
          <cell r="C74">
            <v>10636.515600000001</v>
          </cell>
        </row>
        <row r="75">
          <cell r="A75" t="str">
            <v xml:space="preserve"> INSTALACIÓN ACCESORIOS EN HIERRO DÚCTIL  150 MM(150MM)</v>
          </cell>
          <cell r="B75" t="str">
            <v>UN</v>
          </cell>
          <cell r="C75">
            <v>15654.9076</v>
          </cell>
        </row>
        <row r="76">
          <cell r="A76" t="str">
            <v xml:space="preserve"> INSTALACIÓN ACCESORIOS EN HIERRO DÚCTIL  8"(200MM)</v>
          </cell>
          <cell r="B76" t="str">
            <v>UN</v>
          </cell>
          <cell r="C76">
            <v>17226.811999999998</v>
          </cell>
        </row>
        <row r="77">
          <cell r="A77" t="str">
            <v xml:space="preserve"> INSTALACIÓN ACCESORIOS EN HIERRO DÚCTIL 250 MM</v>
          </cell>
          <cell r="B77" t="str">
            <v>UN</v>
          </cell>
          <cell r="C77">
            <v>19585.231199999998</v>
          </cell>
        </row>
        <row r="78">
          <cell r="A78" t="str">
            <v xml:space="preserve"> INSTALACIÓN ACCESORIOS EN HIERRO DÚCTIL 350 MM</v>
          </cell>
          <cell r="B78" t="str">
            <v>UN</v>
          </cell>
          <cell r="C78">
            <v>41365.727599999998</v>
          </cell>
        </row>
        <row r="79">
          <cell r="A79" t="str">
            <v xml:space="preserve"> INSTALACIÓN TUBERÍA EN HIERRO DÚCTIL 350MM (14")</v>
          </cell>
          <cell r="B79" t="str">
            <v>ml</v>
          </cell>
          <cell r="C79">
            <v>39618.292000000001</v>
          </cell>
        </row>
        <row r="80">
          <cell r="A80" t="str">
            <v xml:space="preserve"> INSTALACIÓN TUBERÍA EN HIERRO DÚCTIL 250MM (10")</v>
          </cell>
          <cell r="B80" t="str">
            <v>ml</v>
          </cell>
          <cell r="C80">
            <v>21433.934799999999</v>
          </cell>
        </row>
        <row r="81">
          <cell r="A81" t="str">
            <v xml:space="preserve"> INSTALACIÓN TUBERÍA UNION ACERROJADA DN 250 K9</v>
          </cell>
          <cell r="B81" t="str">
            <v>ml</v>
          </cell>
          <cell r="C81">
            <v>141398.258</v>
          </cell>
        </row>
        <row r="82">
          <cell r="A82" t="str">
            <v xml:space="preserve"> INSTALACIÓN NIPLES EN HD D=200 MM A 300MM L= 0 A 1,00 M</v>
          </cell>
          <cell r="B82" t="str">
            <v>un</v>
          </cell>
          <cell r="C82">
            <v>84430.507199999993</v>
          </cell>
        </row>
        <row r="83">
          <cell r="A83" t="str">
            <v xml:space="preserve"> INSTALACIÓN NIPLES EN HD D=350 MM A 400MM L= 0 A 1.00 M</v>
          </cell>
          <cell r="B83" t="str">
            <v>un</v>
          </cell>
          <cell r="C83">
            <v>144265.64266666668</v>
          </cell>
        </row>
        <row r="84">
          <cell r="A84" t="str">
            <v xml:space="preserve">INSTALACION TUBERIA DN 200 HD </v>
          </cell>
          <cell r="B84" t="str">
            <v>ML</v>
          </cell>
          <cell r="C84">
            <v>17064.783199999998</v>
          </cell>
        </row>
        <row r="85">
          <cell r="A85" t="str">
            <v>INSTALACION TUBERIA PVC 150MM</v>
          </cell>
          <cell r="B85" t="str">
            <v>ML</v>
          </cell>
          <cell r="C85">
            <v>57702.506399999998</v>
          </cell>
        </row>
        <row r="86">
          <cell r="A86" t="str">
            <v>INSTALACION ACCESORIOS PVC 150MM a 200MM</v>
          </cell>
          <cell r="B86" t="str">
            <v>UN</v>
          </cell>
          <cell r="C86">
            <v>12196.042799999999</v>
          </cell>
        </row>
        <row r="87">
          <cell r="A87">
            <v>0</v>
          </cell>
          <cell r="B87">
            <v>0</v>
          </cell>
          <cell r="C87">
            <v>0</v>
          </cell>
        </row>
        <row r="88">
          <cell r="A88">
            <v>0</v>
          </cell>
          <cell r="B88">
            <v>0</v>
          </cell>
          <cell r="C88">
            <v>0</v>
          </cell>
        </row>
        <row r="89">
          <cell r="A89">
            <v>0</v>
          </cell>
          <cell r="B89">
            <v>0</v>
          </cell>
          <cell r="C89">
            <v>0</v>
          </cell>
        </row>
        <row r="90">
          <cell r="A90">
            <v>0</v>
          </cell>
          <cell r="B90">
            <v>0</v>
          </cell>
          <cell r="C90">
            <v>0</v>
          </cell>
        </row>
        <row r="91">
          <cell r="A91">
            <v>0</v>
          </cell>
          <cell r="B91">
            <v>0</v>
          </cell>
          <cell r="C91">
            <v>0</v>
          </cell>
        </row>
        <row r="92">
          <cell r="A92" t="str">
            <v>Lámina 1/4 " A36</v>
          </cell>
          <cell r="B92" t="str">
            <v>kg</v>
          </cell>
          <cell r="C92">
            <v>10397.9732</v>
          </cell>
        </row>
        <row r="93">
          <cell r="A93" t="str">
            <v>Lámina 1/2" A36</v>
          </cell>
          <cell r="B93" t="str">
            <v>kg</v>
          </cell>
          <cell r="C93">
            <v>10397.9732</v>
          </cell>
        </row>
        <row r="94">
          <cell r="A94" t="str">
            <v>Lámina 3/4 " A36</v>
          </cell>
          <cell r="B94" t="str">
            <v>kg</v>
          </cell>
          <cell r="C94">
            <v>10397.9732</v>
          </cell>
        </row>
        <row r="95">
          <cell r="A95" t="str">
            <v>MACROMEDIDOR ELECTROMAGNÉTICO 150 MM</v>
          </cell>
          <cell r="B95" t="str">
            <v>un</v>
          </cell>
          <cell r="C95">
            <v>16315400</v>
          </cell>
        </row>
        <row r="96">
          <cell r="A96" t="str">
            <v>Macromedidor Tipo Woltman de 8"</v>
          </cell>
          <cell r="B96" t="str">
            <v>un</v>
          </cell>
          <cell r="C96">
            <v>3498600</v>
          </cell>
        </row>
        <row r="97">
          <cell r="A97" t="str">
            <v>MALLA ESLABONADA GALVANIZADA H=2M CALIBRE 10</v>
          </cell>
          <cell r="B97" t="str">
            <v>ml</v>
          </cell>
          <cell r="C97">
            <v>36569</v>
          </cell>
        </row>
        <row r="98">
          <cell r="A98" t="str">
            <v xml:space="preserve">MANOMETRO ABSOLUTO </v>
          </cell>
          <cell r="B98" t="str">
            <v>un</v>
          </cell>
          <cell r="C98">
            <v>562600</v>
          </cell>
        </row>
        <row r="99">
          <cell r="A99" t="str">
            <v>MANOMETRO DIFERENCIAL</v>
          </cell>
          <cell r="B99" t="str">
            <v>un</v>
          </cell>
          <cell r="C99">
            <v>112520</v>
          </cell>
        </row>
        <row r="100">
          <cell r="A100" t="str">
            <v>MEZCLADORA</v>
          </cell>
          <cell r="B100" t="str">
            <v>m3</v>
          </cell>
          <cell r="C100">
            <v>11252</v>
          </cell>
        </row>
        <row r="101">
          <cell r="A101" t="str">
            <v>MINICARGADOR</v>
          </cell>
          <cell r="B101" t="str">
            <v>hr</v>
          </cell>
          <cell r="C101">
            <v>45008</v>
          </cell>
        </row>
        <row r="102">
          <cell r="A102" t="str">
            <v>MORTERO DE PEGA</v>
          </cell>
          <cell r="B102" t="str">
            <v>m3</v>
          </cell>
          <cell r="C102">
            <v>327242.41558880004</v>
          </cell>
        </row>
        <row r="103">
          <cell r="A103" t="str">
            <v>MORTERO</v>
          </cell>
          <cell r="B103" t="str">
            <v>m3</v>
          </cell>
          <cell r="C103">
            <v>8940.8392000000003</v>
          </cell>
        </row>
        <row r="104">
          <cell r="A104" t="str">
            <v>NIPLE HD BxB 100mm L=0 a 1m</v>
          </cell>
          <cell r="B104" t="str">
            <v>un</v>
          </cell>
          <cell r="C104">
            <v>411237</v>
          </cell>
        </row>
        <row r="105">
          <cell r="A105" t="str">
            <v>NIPLE HD BxB 100mm L=1 a 2m</v>
          </cell>
          <cell r="B105" t="str">
            <v>un</v>
          </cell>
          <cell r="C105">
            <v>695939</v>
          </cell>
        </row>
        <row r="106">
          <cell r="A106" t="str">
            <v>NIPLE HD BxB 100mm L=2 a 3m</v>
          </cell>
          <cell r="B106" t="str">
            <v>un</v>
          </cell>
          <cell r="C106">
            <v>1075542</v>
          </cell>
        </row>
        <row r="107">
          <cell r="A107" t="str">
            <v>NIPLE HD BxB 150mm L=0 a 1m</v>
          </cell>
          <cell r="B107" t="str">
            <v>un</v>
          </cell>
          <cell r="C107">
            <v>690667</v>
          </cell>
        </row>
        <row r="108">
          <cell r="A108" t="str">
            <v>NIPLE HD BxB 150mm L=1 a 2m</v>
          </cell>
          <cell r="B108" t="str">
            <v>un</v>
          </cell>
          <cell r="C108">
            <v>1212621</v>
          </cell>
        </row>
        <row r="109">
          <cell r="A109" t="str">
            <v>NIPLE HD BxB 150mm L=2 a 3m</v>
          </cell>
          <cell r="B109" t="str">
            <v>un</v>
          </cell>
          <cell r="C109">
            <v>1908560</v>
          </cell>
        </row>
        <row r="110">
          <cell r="A110" t="str">
            <v>NIPLE HD BxB 150mm L=3 a 4m</v>
          </cell>
          <cell r="B110" t="str">
            <v>un</v>
          </cell>
          <cell r="C110">
            <v>2604499</v>
          </cell>
        </row>
        <row r="111">
          <cell r="A111" t="str">
            <v>NIPLE HD BxB 200mm L=0 a 1m</v>
          </cell>
          <cell r="B111" t="str">
            <v>un</v>
          </cell>
          <cell r="C111">
            <v>930223.09360000002</v>
          </cell>
        </row>
        <row r="112">
          <cell r="A112" t="str">
            <v>NIPLE HD BxB 200mm L=1 a 2m</v>
          </cell>
          <cell r="B112" t="str">
            <v>un</v>
          </cell>
          <cell r="C112">
            <v>1624034.916</v>
          </cell>
        </row>
        <row r="113">
          <cell r="A113" t="str">
            <v>NIPLE HD BxB 200mm L=2 a 3m</v>
          </cell>
          <cell r="B113" t="str">
            <v>un</v>
          </cell>
          <cell r="C113">
            <v>2549118.0959999999</v>
          </cell>
        </row>
        <row r="114">
          <cell r="A114" t="str">
            <v>NIPLE HD BxB 250mm L=0 a 1m</v>
          </cell>
          <cell r="B114" t="str">
            <v>un</v>
          </cell>
          <cell r="C114">
            <v>1217893</v>
          </cell>
        </row>
        <row r="115">
          <cell r="A115" t="str">
            <v>NIPLE HD BxB 250mm L=1 a 2m</v>
          </cell>
          <cell r="B115" t="str">
            <v>un</v>
          </cell>
          <cell r="C115">
            <v>2119451</v>
          </cell>
        </row>
        <row r="116">
          <cell r="A116" t="str">
            <v>NIPLE HD BxB 250mm L=4 a 5m</v>
          </cell>
          <cell r="B116" t="str">
            <v>un</v>
          </cell>
          <cell r="C116">
            <v>5725680</v>
          </cell>
        </row>
        <row r="117">
          <cell r="A117" t="str">
            <v>NIPLE HD BxB 400mm L=0 a 1m</v>
          </cell>
          <cell r="B117" t="str">
            <v>un</v>
          </cell>
          <cell r="C117">
            <v>2630860</v>
          </cell>
        </row>
        <row r="118">
          <cell r="A118" t="str">
            <v>NIPLE HD BxB 400mm L=1 a 2m</v>
          </cell>
          <cell r="B118" t="str">
            <v>un</v>
          </cell>
          <cell r="C118">
            <v>4544693</v>
          </cell>
        </row>
        <row r="119">
          <cell r="A119" t="str">
            <v>NIPLE HD BxB 400mm L=2 a 3m</v>
          </cell>
          <cell r="B119" t="str">
            <v>un</v>
          </cell>
          <cell r="C119">
            <v>7096469</v>
          </cell>
        </row>
        <row r="120">
          <cell r="A120" t="str">
            <v>NIPLE HD LxL 100mm L=0 a 1m</v>
          </cell>
          <cell r="B120" t="str">
            <v>un</v>
          </cell>
          <cell r="C120">
            <v>273314</v>
          </cell>
        </row>
        <row r="121">
          <cell r="A121" t="str">
            <v>NIPLE HD LxL 100mm L=1 a 2m</v>
          </cell>
          <cell r="B121" t="str">
            <v>un</v>
          </cell>
          <cell r="C121">
            <v>546628</v>
          </cell>
        </row>
        <row r="122">
          <cell r="A122" t="str">
            <v>NIPLE HD LxL 400mm L=0 a 1m</v>
          </cell>
          <cell r="B122" t="str">
            <v>un</v>
          </cell>
          <cell r="C122">
            <v>1837279</v>
          </cell>
        </row>
        <row r="123">
          <cell r="A123" t="str">
            <v>NIPLE HD BxB CON SALIDA PARA SONDA DE CALIDAD DE AGUA Φ=350x100mm</v>
          </cell>
          <cell r="B123" t="str">
            <v>un</v>
          </cell>
          <cell r="C123">
            <v>1977099</v>
          </cell>
        </row>
        <row r="124">
          <cell r="A124" t="str">
            <v>PARALES DE 3m</v>
          </cell>
          <cell r="B124" t="str">
            <v>un</v>
          </cell>
          <cell r="C124">
            <v>9001.6</v>
          </cell>
        </row>
        <row r="125">
          <cell r="A125" t="str">
            <v>PASAMURO BB 100mm L=0.0 a 0.5 m</v>
          </cell>
          <cell r="B125" t="str">
            <v>un</v>
          </cell>
          <cell r="C125">
            <v>342075.4276</v>
          </cell>
        </row>
        <row r="126">
          <cell r="A126" t="str">
            <v>PASAMURO BB 100mm L=0.5 a 1m</v>
          </cell>
          <cell r="B126" t="str">
            <v>un</v>
          </cell>
          <cell r="C126">
            <v>534492.50399999996</v>
          </cell>
        </row>
        <row r="127">
          <cell r="A127" t="str">
            <v>PASAMURO BB 150mm L=0.5 a 1m</v>
          </cell>
          <cell r="B127" t="str">
            <v>un</v>
          </cell>
          <cell r="C127">
            <v>908637.25679999997</v>
          </cell>
        </row>
        <row r="128">
          <cell r="A128" t="str">
            <v>PASAMURO BB 200mm L=0.5 a 1m</v>
          </cell>
          <cell r="B128" t="str">
            <v>un</v>
          </cell>
          <cell r="C128">
            <v>564641.1128</v>
          </cell>
        </row>
        <row r="129">
          <cell r="A129" t="str">
            <v>PASAMURO BB 250mm L=0.5 a 1m</v>
          </cell>
          <cell r="B129" t="str">
            <v>un</v>
          </cell>
          <cell r="C129">
            <v>1592788.112</v>
          </cell>
        </row>
        <row r="130">
          <cell r="A130" t="str">
            <v>PASAMURO BB 350mm L=0.5 a 1m</v>
          </cell>
          <cell r="B130" t="str">
            <v>un</v>
          </cell>
          <cell r="C130">
            <v>2608323.8695999999</v>
          </cell>
        </row>
        <row r="131">
          <cell r="A131" t="str">
            <v>PASAMURO BL 250mm L=0.5 a 1m</v>
          </cell>
          <cell r="B131" t="str">
            <v>un</v>
          </cell>
          <cell r="C131">
            <v>1395710.4572000001</v>
          </cell>
        </row>
        <row r="132">
          <cell r="A132" t="str">
            <v>PASAMURO BL 350mm L=0.5 a 1m</v>
          </cell>
          <cell r="B132" t="str">
            <v>un</v>
          </cell>
          <cell r="C132">
            <v>2260218.4951999998</v>
          </cell>
        </row>
        <row r="133">
          <cell r="A133" t="str">
            <v>PASAMURO BB 400mm L=0.5 a 1m</v>
          </cell>
          <cell r="B133" t="str">
            <v>un</v>
          </cell>
          <cell r="C133">
            <v>1387624.77</v>
          </cell>
        </row>
        <row r="134">
          <cell r="A134" t="str">
            <v>PASAMURO CON ANILLO ANCLAJE BB 400mm L=2 a 3m</v>
          </cell>
          <cell r="B134" t="str">
            <v>un</v>
          </cell>
          <cell r="C134">
            <v>5534053.1568</v>
          </cell>
        </row>
        <row r="135">
          <cell r="A135" t="str">
            <v>PAVIMENTO RÍGIDO (MR 41KG/CM2)</v>
          </cell>
          <cell r="B135" t="str">
            <v>m³</v>
          </cell>
          <cell r="C135">
            <v>361388.45941759995</v>
          </cell>
        </row>
        <row r="136">
          <cell r="A136" t="str">
            <v>PERNOS EXPANSIVOS</v>
          </cell>
          <cell r="B136" t="str">
            <v>un</v>
          </cell>
          <cell r="C136">
            <v>12660.750399999999</v>
          </cell>
        </row>
        <row r="137">
          <cell r="A137" t="str">
            <v>PLATINAS DE 3/8" DE 10x10cm</v>
          </cell>
          <cell r="B137" t="str">
            <v>un</v>
          </cell>
          <cell r="C137">
            <v>25321.500799999998</v>
          </cell>
        </row>
        <row r="138">
          <cell r="A138" t="str">
            <v>PLATINA DE 2 1/2"x3/16  "</v>
          </cell>
          <cell r="B138" t="str">
            <v>ml</v>
          </cell>
          <cell r="C138">
            <v>13502.4</v>
          </cell>
        </row>
        <row r="139">
          <cell r="A139" t="str">
            <v>PULIDORA PARA CORTES</v>
          </cell>
          <cell r="B139" t="str">
            <v>un/hr</v>
          </cell>
          <cell r="C139">
            <v>6330.3751999999995</v>
          </cell>
        </row>
        <row r="140">
          <cell r="A140" t="str">
            <v>REDUCCION EXCENTRICA BB 150mmX80mm</v>
          </cell>
          <cell r="B140" t="str">
            <v>un</v>
          </cell>
          <cell r="C140">
            <v>361480</v>
          </cell>
        </row>
        <row r="141">
          <cell r="A141" t="str">
            <v>REDUCCION HD 80mmX65mm BB</v>
          </cell>
          <cell r="B141" t="str">
            <v>un</v>
          </cell>
          <cell r="C141">
            <v>153938</v>
          </cell>
        </row>
        <row r="142">
          <cell r="A142" t="str">
            <v>REDUCCION HD 150mmX80mm BB</v>
          </cell>
          <cell r="B142" t="str">
            <v>un</v>
          </cell>
          <cell r="C142">
            <v>361480</v>
          </cell>
        </row>
        <row r="143">
          <cell r="A143" t="str">
            <v>REDUCCION HD 150mmX100mm BB</v>
          </cell>
          <cell r="B143" t="str">
            <v>un</v>
          </cell>
          <cell r="C143">
            <v>394467</v>
          </cell>
        </row>
        <row r="144">
          <cell r="A144" t="str">
            <v>REDUCCION HD 200mmX100mm BB</v>
          </cell>
          <cell r="B144" t="str">
            <v>un</v>
          </cell>
          <cell r="C144">
            <v>578643</v>
          </cell>
        </row>
        <row r="145">
          <cell r="A145" t="str">
            <v>REDUCCION HD 200mmX150mm BB</v>
          </cell>
          <cell r="B145" t="str">
            <v>un</v>
          </cell>
          <cell r="C145">
            <v>711965</v>
          </cell>
        </row>
        <row r="146">
          <cell r="A146" t="str">
            <v>REDUCCION HD 250mmX150mm BB</v>
          </cell>
          <cell r="B146" t="str">
            <v>un</v>
          </cell>
          <cell r="C146">
            <v>970362</v>
          </cell>
        </row>
        <row r="147">
          <cell r="A147" t="str">
            <v>REDUCCION HD 350mmX250mm BB</v>
          </cell>
          <cell r="B147" t="str">
            <v>un</v>
          </cell>
          <cell r="C147">
            <v>2182627</v>
          </cell>
        </row>
        <row r="148">
          <cell r="A148" t="str">
            <v>REDUCCION HD 400mmX250mm BB</v>
          </cell>
          <cell r="B148" t="str">
            <v>un</v>
          </cell>
          <cell r="C148">
            <v>2754398</v>
          </cell>
        </row>
        <row r="149">
          <cell r="A149" t="str">
            <v>RETROEXCAVADORA</v>
          </cell>
          <cell r="B149" t="str">
            <v>un/hr</v>
          </cell>
          <cell r="C149">
            <v>202536</v>
          </cell>
        </row>
        <row r="150">
          <cell r="A150" t="str">
            <v>SELECCIÓN DE MATERIAL</v>
          </cell>
          <cell r="B150" t="str">
            <v>m3</v>
          </cell>
          <cell r="C150">
            <v>2532.1500799999999</v>
          </cell>
        </row>
        <row r="151">
          <cell r="A151" t="str">
            <v>SOLDADURA</v>
          </cell>
          <cell r="B151" t="str">
            <v>kg</v>
          </cell>
          <cell r="C151">
            <v>51782.469136</v>
          </cell>
        </row>
        <row r="152">
          <cell r="A152" t="str">
            <v>SUBBASE GRANULAR SBG4 (NORMA ET-2005 IDU)</v>
          </cell>
          <cell r="B152" t="str">
            <v>m³</v>
          </cell>
          <cell r="C152">
            <v>45008</v>
          </cell>
        </row>
        <row r="153">
          <cell r="A153" t="str">
            <v>Tablero de control con sistemas de velocidad</v>
          </cell>
          <cell r="B153" t="str">
            <v>un</v>
          </cell>
          <cell r="C153">
            <v>62913096.062399991</v>
          </cell>
        </row>
        <row r="154">
          <cell r="A154" t="str">
            <v>TAPON BRIDADO 100mm</v>
          </cell>
          <cell r="B154" t="str">
            <v>un</v>
          </cell>
          <cell r="C154">
            <v>107211.23438720001</v>
          </cell>
        </row>
        <row r="155">
          <cell r="A155" t="str">
            <v>TAPON BRIDADO 150mm</v>
          </cell>
          <cell r="B155" t="str">
            <v>un</v>
          </cell>
          <cell r="C155">
            <v>227501.9376</v>
          </cell>
        </row>
        <row r="156">
          <cell r="A156" t="str">
            <v>TAPON BRIDADO 200mm</v>
          </cell>
          <cell r="B156" t="str">
            <v>un</v>
          </cell>
          <cell r="C156">
            <v>470334.2166096</v>
          </cell>
        </row>
        <row r="157">
          <cell r="A157" t="str">
            <v>TAPON BRIDADO 250mm</v>
          </cell>
          <cell r="B157" t="str">
            <v>un</v>
          </cell>
          <cell r="C157">
            <v>670804.53844320006</v>
          </cell>
        </row>
        <row r="158">
          <cell r="A158" t="str">
            <v>TAPA Y ARO DE SEGURIDAD</v>
          </cell>
          <cell r="B158" t="str">
            <v>un</v>
          </cell>
          <cell r="C158">
            <v>806802</v>
          </cell>
        </row>
        <row r="159">
          <cell r="A159" t="str">
            <v xml:space="preserve">TEE HD BxBxB 100mmX100mm </v>
          </cell>
          <cell r="B159" t="str">
            <v>un</v>
          </cell>
          <cell r="C159">
            <v>591014</v>
          </cell>
        </row>
        <row r="160">
          <cell r="A160" t="str">
            <v xml:space="preserve">TEE HD  BxBxB 150mmX80mm </v>
          </cell>
          <cell r="B160" t="str">
            <v>un</v>
          </cell>
          <cell r="C160">
            <v>754573</v>
          </cell>
        </row>
        <row r="161">
          <cell r="A161" t="str">
            <v xml:space="preserve">TEE HD  BxBxB 150mmX100mm </v>
          </cell>
          <cell r="B161" t="str">
            <v>un</v>
          </cell>
          <cell r="C161">
            <v>831542</v>
          </cell>
        </row>
        <row r="162">
          <cell r="A162" t="str">
            <v xml:space="preserve">TEE HD  BxBxB 150mmX150mm </v>
          </cell>
          <cell r="B162" t="str">
            <v>un</v>
          </cell>
          <cell r="C162">
            <v>853533</v>
          </cell>
        </row>
        <row r="163">
          <cell r="A163" t="str">
            <v xml:space="preserve">TEE HD BxBxB 200mmX100mm </v>
          </cell>
          <cell r="B163" t="str">
            <v>un</v>
          </cell>
          <cell r="C163">
            <v>1268617</v>
          </cell>
        </row>
        <row r="164">
          <cell r="A164" t="str">
            <v xml:space="preserve">TEE HD BxBxB 200mmX200mm </v>
          </cell>
          <cell r="B164" t="str">
            <v>un</v>
          </cell>
          <cell r="C164">
            <v>1400565</v>
          </cell>
        </row>
        <row r="165">
          <cell r="A165" t="str">
            <v xml:space="preserve">TEE HD BxBxB 250mmX100mm </v>
          </cell>
          <cell r="B165" t="str">
            <v>un</v>
          </cell>
          <cell r="C165">
            <v>2351684</v>
          </cell>
        </row>
        <row r="166">
          <cell r="A166" t="str">
            <v xml:space="preserve">TEE HD BxBxB 250mmX150mm </v>
          </cell>
          <cell r="B166" t="str">
            <v>un</v>
          </cell>
          <cell r="C166">
            <v>2351684</v>
          </cell>
        </row>
        <row r="167">
          <cell r="A167" t="str">
            <v xml:space="preserve">TEE HD BxBxB 250mmX250mm </v>
          </cell>
          <cell r="B167" t="str">
            <v>un</v>
          </cell>
          <cell r="C167">
            <v>2401164</v>
          </cell>
        </row>
        <row r="168">
          <cell r="A168" t="str">
            <v xml:space="preserve">TEE HD BxBxB 350mmX100mm </v>
          </cell>
          <cell r="B168" t="str">
            <v>un</v>
          </cell>
          <cell r="C168">
            <v>3928178</v>
          </cell>
        </row>
        <row r="169">
          <cell r="A169" t="str">
            <v xml:space="preserve">TEE HD BxBxB 350mmX250mm </v>
          </cell>
          <cell r="B169" t="str">
            <v>un</v>
          </cell>
          <cell r="C169">
            <v>4315773</v>
          </cell>
        </row>
        <row r="170">
          <cell r="A170" t="str">
            <v xml:space="preserve">TEE HD BxBxB 400mmX100mm </v>
          </cell>
          <cell r="B170" t="str">
            <v>un</v>
          </cell>
          <cell r="C170">
            <v>4266293</v>
          </cell>
        </row>
        <row r="171">
          <cell r="A171" t="str">
            <v xml:space="preserve">TEE HD BxBxB 400mmX200mm </v>
          </cell>
          <cell r="B171" t="str">
            <v>un</v>
          </cell>
          <cell r="C171">
            <v>4582416</v>
          </cell>
        </row>
        <row r="172">
          <cell r="A172" t="str">
            <v xml:space="preserve">TEE HD BxBxB 400mmX250mm </v>
          </cell>
          <cell r="B172" t="str">
            <v>un</v>
          </cell>
          <cell r="C172">
            <v>4582416</v>
          </cell>
        </row>
        <row r="173">
          <cell r="A173" t="str">
            <v>TEE HD LxLxL 250mmX100mm</v>
          </cell>
          <cell r="B173" t="str">
            <v>un</v>
          </cell>
          <cell r="C173">
            <v>1047331</v>
          </cell>
        </row>
        <row r="174">
          <cell r="A174" t="str">
            <v>TEE HD LxLxL 350mmX100mm</v>
          </cell>
          <cell r="B174" t="str">
            <v>un</v>
          </cell>
          <cell r="C174">
            <v>2109781</v>
          </cell>
        </row>
        <row r="175">
          <cell r="A175" t="str">
            <v>TEE HD 350mm X 100mm PN 40</v>
          </cell>
          <cell r="B175" t="str">
            <v>un</v>
          </cell>
          <cell r="C175">
            <v>1763825.2631999999</v>
          </cell>
        </row>
        <row r="176">
          <cell r="A176" t="str">
            <v>TEE HD 350mm X 100mm PN 55</v>
          </cell>
          <cell r="B176" t="str">
            <v>un</v>
          </cell>
          <cell r="C176">
            <v>2579816.9276000001</v>
          </cell>
        </row>
        <row r="177">
          <cell r="A177" t="str">
            <v>TEE PVC 150mmX150 mm</v>
          </cell>
          <cell r="B177" t="str">
            <v>un</v>
          </cell>
          <cell r="C177">
            <v>1277138</v>
          </cell>
        </row>
        <row r="178">
          <cell r="A178" t="str">
            <v>TRANSPORTE MATERIAL EXPLOSIVO</v>
          </cell>
          <cell r="B178" t="str">
            <v>kg</v>
          </cell>
          <cell r="C178">
            <v>1125200</v>
          </cell>
        </row>
        <row r="179">
          <cell r="A179" t="str">
            <v>TRANSPORTE, DESCARGUE Y ALMACENAMIENTO TUBERIA ACERROJADA</v>
          </cell>
          <cell r="B179" t="str">
            <v>gl</v>
          </cell>
          <cell r="C179">
            <v>24762.857849350399</v>
          </cell>
        </row>
        <row r="180">
          <cell r="A180" t="str">
            <v>TRANSPORTE, DESCARGUE Y ALMACENAMIENTO REDUCCION 350x250mm</v>
          </cell>
          <cell r="B180" t="str">
            <v>gl</v>
          </cell>
          <cell r="C180">
            <v>113111.523896112</v>
          </cell>
        </row>
        <row r="181">
          <cell r="A181" t="str">
            <v>TRANSPORTE, DESCARGUE Y ALMACENAMIENTO CODOS 250mm 11.25º,22.5º</v>
          </cell>
          <cell r="B181" t="str">
            <v>gl</v>
          </cell>
          <cell r="C181">
            <v>67003.349874383988</v>
          </cell>
        </row>
        <row r="182">
          <cell r="A182" t="str">
            <v>TRANSPORTE, DESCARGUE Y ALMACENAMIENTO CODOS 250mm 45º</v>
          </cell>
          <cell r="B182" t="str">
            <v>gl</v>
          </cell>
          <cell r="C182">
            <v>78568.945364783984</v>
          </cell>
        </row>
        <row r="183">
          <cell r="A183" t="str">
            <v>TRANSPORTE, DESCARGUE Y ALMACENAMIENTO CODOS 250mm 90º</v>
          </cell>
          <cell r="B183" t="str">
            <v>gl</v>
          </cell>
          <cell r="C183">
            <v>91035.037379999994</v>
          </cell>
        </row>
        <row r="184">
          <cell r="A184" t="str">
            <v>TRANSPORTE, DESCARGUE Y ALMACENAMIENTO CODOS 350mm 11.25º,22.5º</v>
          </cell>
          <cell r="B184" t="str">
            <v>gl</v>
          </cell>
          <cell r="C184">
            <v>126296.302755168</v>
          </cell>
        </row>
        <row r="185">
          <cell r="A185" t="str">
            <v>TRANSPORTE, DESCARGUE Y ALMACENAMIENTO CODOS 350mm 45º</v>
          </cell>
          <cell r="B185" t="str">
            <v>gl</v>
          </cell>
          <cell r="C185">
            <v>145572.29523916799</v>
          </cell>
        </row>
        <row r="186">
          <cell r="A186" t="str">
            <v>TRANSPORTE, DESCARGUE Y ALMACENAMIENTO CODOS 350mm 90º</v>
          </cell>
          <cell r="B186" t="str">
            <v>gl</v>
          </cell>
          <cell r="C186">
            <v>152203.236653664</v>
          </cell>
        </row>
        <row r="187">
          <cell r="A187" t="str">
            <v>TRANSPORTE, DESCARGUE Y ALMACENAMIENTO TAPON BRIDADO 100mm HD</v>
          </cell>
          <cell r="B187" t="str">
            <v>gl</v>
          </cell>
          <cell r="C187">
            <v>5360.5617193600001</v>
          </cell>
        </row>
        <row r="188">
          <cell r="A188" t="str">
            <v>TRANSPORTE, DESCARGUE Y ALMACENAMIENTO TEE 250x100mm HD</v>
          </cell>
          <cell r="B188" t="str">
            <v>gl</v>
          </cell>
          <cell r="C188">
            <v>49200.720240000002</v>
          </cell>
        </row>
        <row r="189">
          <cell r="A189" t="str">
            <v>TRANSPORTE, DESCARGUE Y ALMACENAMIENTO TEE 350x100mm HD</v>
          </cell>
          <cell r="B189" t="str">
            <v>gl</v>
          </cell>
          <cell r="C189">
            <v>99223.736640000017</v>
          </cell>
        </row>
        <row r="190">
          <cell r="A190" t="str">
            <v>TRANSPORTE, DESCARGUE Y ALMACENAMIENTO UNION UNVERSAL 250mm HD</v>
          </cell>
          <cell r="B190" t="str">
            <v>gl</v>
          </cell>
          <cell r="C190">
            <v>28836.884756064002</v>
          </cell>
        </row>
        <row r="191">
          <cell r="A191" t="str">
            <v>TRANSPORTE, DESCARGUE Y ALMACENAMIENTO UNION UNVERSAL 350mm HD</v>
          </cell>
          <cell r="B191" t="str">
            <v>gl</v>
          </cell>
          <cell r="C191">
            <v>56285.898053279998</v>
          </cell>
        </row>
        <row r="192">
          <cell r="A192" t="str">
            <v>TUBERIA DE 1 1/2"</v>
          </cell>
          <cell r="B192" t="str">
            <v>ml</v>
          </cell>
          <cell r="C192">
            <v>77109</v>
          </cell>
        </row>
        <row r="193">
          <cell r="A193" t="str">
            <v>TUBERIA ACERROJADA O ACERO AL CARBON DN250 PN 25</v>
          </cell>
          <cell r="B193" t="str">
            <v>ml</v>
          </cell>
          <cell r="C193">
            <v>440150.33503999998</v>
          </cell>
        </row>
        <row r="194">
          <cell r="A194" t="str">
            <v>TUBERIA ACERROJADA O ACERO AL CARBON DN350 PN 25</v>
          </cell>
          <cell r="B194" t="str">
            <v>ml</v>
          </cell>
          <cell r="C194">
            <v>746477.93359999999</v>
          </cell>
        </row>
        <row r="195">
          <cell r="A195" t="str">
            <v>TUBERIA ACERROJADA O ACERO AL CARBON DN350 PN 55</v>
          </cell>
          <cell r="B195" t="str">
            <v>ml</v>
          </cell>
          <cell r="C195">
            <v>577697.93359999999</v>
          </cell>
        </row>
        <row r="196">
          <cell r="A196" t="str">
            <v>Tuberia Flexible para Bomba de Pozo Profundo 200 MM</v>
          </cell>
          <cell r="B196">
            <v>0</v>
          </cell>
          <cell r="C196">
            <v>288456.27199999994</v>
          </cell>
        </row>
        <row r="197">
          <cell r="A197" t="str">
            <v>TUBERIA HD LxL 200mm</v>
          </cell>
          <cell r="B197" t="str">
            <v>ml</v>
          </cell>
          <cell r="C197">
            <v>462157.89679999999</v>
          </cell>
        </row>
        <row r="198">
          <cell r="A198" t="str">
            <v>TUBERIA HD LxL 250mm</v>
          </cell>
          <cell r="B198" t="str">
            <v>ml</v>
          </cell>
          <cell r="C198">
            <v>474110</v>
          </cell>
        </row>
        <row r="199">
          <cell r="A199" t="str">
            <v>TUBERIA PVC UNION MECANICA RDE 21 100mm</v>
          </cell>
          <cell r="B199" t="str">
            <v>ml</v>
          </cell>
          <cell r="C199">
            <v>42330</v>
          </cell>
        </row>
        <row r="200">
          <cell r="A200" t="str">
            <v>TUBERIA PVC UNION MECANICA RDE 21 150mm</v>
          </cell>
          <cell r="B200" t="str">
            <v>ml</v>
          </cell>
          <cell r="C200">
            <v>92427</v>
          </cell>
        </row>
        <row r="201">
          <cell r="A201" t="str">
            <v>TUBERIA PERFORADA HD L= 4.00 A 5.00m</v>
          </cell>
          <cell r="B201" t="str">
            <v>un</v>
          </cell>
          <cell r="C201">
            <v>3520525.76</v>
          </cell>
        </row>
        <row r="202">
          <cell r="A202" t="str">
            <v>UNION DESLIZANTE TIPO MANGUITO EXPRESS O SIMILAR</v>
          </cell>
          <cell r="B202" t="str">
            <v>un</v>
          </cell>
          <cell r="C202">
            <v>1810422.0456000001</v>
          </cell>
        </row>
        <row r="203">
          <cell r="A203" t="str">
            <v>UNION DE DESMONTAJE BxB 100mm</v>
          </cell>
          <cell r="B203" t="str">
            <v>un</v>
          </cell>
          <cell r="C203">
            <v>533287</v>
          </cell>
        </row>
        <row r="204">
          <cell r="A204" t="str">
            <v>UNION DE DESMONTAJE BxB 150mm</v>
          </cell>
          <cell r="B204" t="str">
            <v>un</v>
          </cell>
          <cell r="C204">
            <v>703718</v>
          </cell>
        </row>
        <row r="205">
          <cell r="A205" t="str">
            <v>UNION DE DESMONTAJE BxB 200mm</v>
          </cell>
          <cell r="B205" t="str">
            <v>un</v>
          </cell>
          <cell r="C205">
            <v>1285111</v>
          </cell>
        </row>
        <row r="206">
          <cell r="A206" t="str">
            <v>UNION DE DESMONTAJE BxB 250mm</v>
          </cell>
          <cell r="B206" t="str">
            <v>un</v>
          </cell>
          <cell r="C206">
            <v>1818397</v>
          </cell>
        </row>
        <row r="207">
          <cell r="A207" t="str">
            <v>UNION DE DESMONTAJE BxB 350mm</v>
          </cell>
          <cell r="B207" t="str">
            <v>un</v>
          </cell>
          <cell r="C207">
            <v>3106257</v>
          </cell>
        </row>
        <row r="208">
          <cell r="A208" t="str">
            <v>UNION DE DESMONTAJE BxB 400mm</v>
          </cell>
          <cell r="B208" t="str">
            <v>un</v>
          </cell>
          <cell r="C208">
            <v>5240778</v>
          </cell>
        </row>
        <row r="209">
          <cell r="A209" t="str">
            <v>UNION DE REPARACION 150mm JH PVC</v>
          </cell>
          <cell r="B209" t="str">
            <v>un</v>
          </cell>
          <cell r="C209">
            <v>255648</v>
          </cell>
        </row>
        <row r="210">
          <cell r="A210" t="str">
            <v>UNION UNIVERSAL 100mm</v>
          </cell>
          <cell r="B210" t="str">
            <v>un</v>
          </cell>
          <cell r="C210">
            <v>111009.9816</v>
          </cell>
        </row>
        <row r="211">
          <cell r="A211" t="str">
            <v>UNION UNIVERSAL 150mm</v>
          </cell>
          <cell r="B211" t="str">
            <v>un</v>
          </cell>
          <cell r="C211">
            <v>205574.04</v>
          </cell>
        </row>
        <row r="212">
          <cell r="A212" t="str">
            <v>UNION UNIVERSAL 200mm</v>
          </cell>
          <cell r="B212" t="str">
            <v>un</v>
          </cell>
          <cell r="C212">
            <v>242577.36720000001</v>
          </cell>
        </row>
        <row r="213">
          <cell r="A213" t="str">
            <v>UNION UNIVERSAL 250mm HD (292mm a 310mm)</v>
          </cell>
          <cell r="B213" t="str">
            <v>un</v>
          </cell>
          <cell r="C213">
            <v>512564.60639999999</v>
          </cell>
        </row>
        <row r="214">
          <cell r="A214" t="str">
            <v xml:space="preserve">UNION UNIVERSAL 350mm HD </v>
          </cell>
          <cell r="B214" t="str">
            <v>un</v>
          </cell>
          <cell r="C214">
            <v>1000460.328</v>
          </cell>
        </row>
        <row r="215">
          <cell r="A215" t="str">
            <v>VALVULA ANTIROTURA DN 250 PN 25</v>
          </cell>
          <cell r="B215" t="str">
            <v>un</v>
          </cell>
          <cell r="C215">
            <v>39585076.096000001</v>
          </cell>
        </row>
        <row r="216">
          <cell r="A216" t="str">
            <v>VALVULA ANTIROTURA DN 350 PN 25</v>
          </cell>
          <cell r="B216" t="str">
            <v>un</v>
          </cell>
          <cell r="C216">
            <v>72440376</v>
          </cell>
        </row>
        <row r="217">
          <cell r="A217" t="str">
            <v>VALVULA ANTIROTURA DN 350 PN 40</v>
          </cell>
          <cell r="B217" t="str">
            <v>un</v>
          </cell>
          <cell r="C217">
            <v>79684413.599999994</v>
          </cell>
        </row>
        <row r="218">
          <cell r="A218" t="str">
            <v>VALVULA ANTIROTURA DN 350 PN 55</v>
          </cell>
          <cell r="B218" t="str">
            <v>un</v>
          </cell>
          <cell r="C218">
            <v>87652854.959999993</v>
          </cell>
        </row>
        <row r="219">
          <cell r="A219" t="str">
            <v>VALVULA DE CONTROL ANTICAVITACION, ANULAR O DE AGUJA DN 100</v>
          </cell>
          <cell r="B219" t="str">
            <v>un</v>
          </cell>
          <cell r="C219">
            <v>4523451.4012000002</v>
          </cell>
        </row>
        <row r="220">
          <cell r="A220" t="str">
            <v>VALVULA DE CONTROL ANTICAVITACION, ANULAR O DE AGUJA DN 150</v>
          </cell>
          <cell r="B220" t="str">
            <v>un</v>
          </cell>
          <cell r="C220">
            <v>19486292</v>
          </cell>
        </row>
        <row r="221">
          <cell r="A221" t="str">
            <v>VALVULA DE ADMISION Y RETENCION DE AIRE BxB 80mm</v>
          </cell>
          <cell r="B221" t="str">
            <v>un</v>
          </cell>
          <cell r="C221">
            <v>1028089</v>
          </cell>
        </row>
        <row r="222">
          <cell r="A222" t="str">
            <v>VALVULA DE ADMISION Y RETENCION DE AIRE BxB 100mm</v>
          </cell>
          <cell r="B222" t="str">
            <v>un</v>
          </cell>
          <cell r="C222">
            <v>1627349</v>
          </cell>
        </row>
        <row r="223">
          <cell r="A223" t="str">
            <v>VALVULA DE BOLA DN350 PN 40</v>
          </cell>
          <cell r="B223" t="str">
            <v>un</v>
          </cell>
          <cell r="C223">
            <v>24425321.757599998</v>
          </cell>
        </row>
        <row r="224">
          <cell r="A224" t="str">
            <v>VALVULA DE BOLA DN350 PN 55</v>
          </cell>
          <cell r="B224" t="str">
            <v>un</v>
          </cell>
          <cell r="C224">
            <v>27216996.9672</v>
          </cell>
        </row>
        <row r="225">
          <cell r="A225" t="str">
            <v>VALVULA DE CHEQUE DN 150</v>
          </cell>
          <cell r="B225" t="str">
            <v>UN</v>
          </cell>
          <cell r="C225">
            <v>2498750</v>
          </cell>
        </row>
        <row r="226">
          <cell r="A226" t="str">
            <v>VALVULA DE CHEQUE DN 200</v>
          </cell>
          <cell r="B226" t="str">
            <v>un</v>
          </cell>
          <cell r="C226">
            <v>4550804</v>
          </cell>
        </row>
        <row r="227">
          <cell r="A227" t="str">
            <v>VALVULA DE CHEQUE DN 350 PN 25</v>
          </cell>
          <cell r="B227" t="str">
            <v>un</v>
          </cell>
          <cell r="C227">
            <v>5227062.5904000001</v>
          </cell>
        </row>
        <row r="228">
          <cell r="A228" t="str">
            <v>VALVULA DE CHEQUE DN 350 PN 40</v>
          </cell>
          <cell r="B228" t="str">
            <v>un</v>
          </cell>
          <cell r="C228">
            <v>5749768.84944</v>
          </cell>
        </row>
        <row r="229">
          <cell r="A229" t="str">
            <v>VALVULA DE CHEQUE DN 350 PN 55</v>
          </cell>
          <cell r="B229" t="str">
            <v>un</v>
          </cell>
          <cell r="C229">
            <v>12246350</v>
          </cell>
        </row>
        <row r="230">
          <cell r="A230" t="str">
            <v>VALVULA DE COMPUERTA BxB 80mm</v>
          </cell>
          <cell r="B230" t="str">
            <v>un</v>
          </cell>
          <cell r="C230">
            <v>1012970</v>
          </cell>
        </row>
        <row r="231">
          <cell r="A231" t="str">
            <v>VALVULA DE COMPUERTA BxB 100mm</v>
          </cell>
          <cell r="B231" t="str">
            <v>un</v>
          </cell>
          <cell r="C231">
            <v>1349710</v>
          </cell>
        </row>
        <row r="232">
          <cell r="A232" t="str">
            <v>VALVULA DE COMPUERTA BxB 150mm</v>
          </cell>
          <cell r="B232" t="str">
            <v>un</v>
          </cell>
          <cell r="C232">
            <v>2364054</v>
          </cell>
        </row>
        <row r="233">
          <cell r="A233" t="str">
            <v>VALVULA DE COMPUERTA BxB 250mm</v>
          </cell>
          <cell r="B233" t="str">
            <v>un</v>
          </cell>
          <cell r="C233">
            <v>5653113</v>
          </cell>
        </row>
        <row r="234">
          <cell r="A234" t="str">
            <v>VALVULA DE CONTROL DE NIVEL BxB 150mm</v>
          </cell>
          <cell r="B234" t="str">
            <v>un</v>
          </cell>
          <cell r="C234">
            <v>5905148</v>
          </cell>
        </row>
        <row r="235">
          <cell r="A235" t="str">
            <v>VALVULA MARIPOSA BxB 100mm</v>
          </cell>
          <cell r="B235" t="str">
            <v>un</v>
          </cell>
          <cell r="C235">
            <v>1075542</v>
          </cell>
        </row>
        <row r="236">
          <cell r="A236" t="str">
            <v>VALVULA MARIPOSA BxB 150mm</v>
          </cell>
          <cell r="B236" t="str">
            <v>un</v>
          </cell>
          <cell r="C236">
            <v>1561996</v>
          </cell>
        </row>
        <row r="237">
          <cell r="A237" t="str">
            <v>VALVULA MARIPOSA BxB 200mm</v>
          </cell>
          <cell r="B237" t="str">
            <v>un</v>
          </cell>
          <cell r="C237">
            <v>3198508</v>
          </cell>
        </row>
        <row r="238">
          <cell r="A238" t="str">
            <v>VALVULA MARIPOSA BxB 250mm</v>
          </cell>
          <cell r="B238" t="str">
            <v>un</v>
          </cell>
          <cell r="C238">
            <v>4687395</v>
          </cell>
        </row>
        <row r="239">
          <cell r="A239" t="str">
            <v>VALVULA MARIPOSA BxB 350mm</v>
          </cell>
          <cell r="B239" t="str">
            <v>un</v>
          </cell>
          <cell r="C239">
            <v>8144595</v>
          </cell>
        </row>
        <row r="240">
          <cell r="A240" t="str">
            <v>VALVULA MARIPOSA BxB 400mm</v>
          </cell>
          <cell r="B240" t="str">
            <v>un</v>
          </cell>
          <cell r="C240">
            <v>11257341</v>
          </cell>
        </row>
        <row r="241">
          <cell r="A241" t="str">
            <v>VALVULA PUE DE COLADERA 150mm</v>
          </cell>
          <cell r="B241" t="str">
            <v>un</v>
          </cell>
          <cell r="C241">
            <v>1761848</v>
          </cell>
        </row>
        <row r="242">
          <cell r="A242" t="str">
            <v>VALVULA REDUCTORA DE PRESION 150mm</v>
          </cell>
          <cell r="B242" t="str">
            <v>un</v>
          </cell>
          <cell r="C242">
            <v>7570345.5999999996</v>
          </cell>
        </row>
        <row r="243">
          <cell r="A243" t="str">
            <v>VARILLA DE 3/4"</v>
          </cell>
          <cell r="B243" t="str">
            <v>m</v>
          </cell>
          <cell r="C243">
            <v>3682.7795999999998</v>
          </cell>
        </row>
        <row r="244">
          <cell r="A244" t="str">
            <v>VIGA DE CIMENTACION EN CONCRETO</v>
          </cell>
          <cell r="B244" t="str">
            <v>m3</v>
          </cell>
          <cell r="C244">
            <v>506340</v>
          </cell>
        </row>
        <row r="245">
          <cell r="A245" t="str">
            <v>VIBRADOR</v>
          </cell>
          <cell r="B245" t="str">
            <v>m3</v>
          </cell>
          <cell r="C245">
            <v>4500.8</v>
          </cell>
        </row>
        <row r="246">
          <cell r="A246" t="str">
            <v>VIBROCOMPACTADOR BENITIN</v>
          </cell>
          <cell r="B246" t="str">
            <v>hr</v>
          </cell>
          <cell r="C246">
            <v>82294.877599999993</v>
          </cell>
        </row>
        <row r="247">
          <cell r="A247" t="str">
            <v>VOLQUETA</v>
          </cell>
          <cell r="B247" t="str">
            <v>un</v>
          </cell>
          <cell r="C247">
            <v>562.6</v>
          </cell>
        </row>
        <row r="248">
          <cell r="A248" t="str">
            <v>VOLQUETA RETIRO SOBRANTE</v>
          </cell>
          <cell r="B248" t="str">
            <v>ml</v>
          </cell>
          <cell r="C248">
            <v>78.763999999999996</v>
          </cell>
        </row>
        <row r="249">
          <cell r="A249" t="str">
            <v>VOLQUETA RETIRO SOBRANTE A 10KM</v>
          </cell>
          <cell r="B249" t="str">
            <v>m3</v>
          </cell>
          <cell r="C249">
            <v>956.42</v>
          </cell>
        </row>
        <row r="250">
          <cell r="A250" t="str">
            <v>COLUMNA DE MANIOBRA CRM</v>
          </cell>
          <cell r="B250" t="str">
            <v>un</v>
          </cell>
          <cell r="C250">
            <v>751824</v>
          </cell>
        </row>
        <row r="251">
          <cell r="A251" t="str">
            <v>VÁSTAGO PARA COMPUERTA 250 MM-400 MM</v>
          </cell>
          <cell r="B251" t="str">
            <v>ml</v>
          </cell>
          <cell r="C251">
            <v>426080</v>
          </cell>
        </row>
        <row r="252">
          <cell r="A252" t="str">
            <v>SOPORTE GUÍA VÁSTAGO NO 1</v>
          </cell>
          <cell r="B252" t="str">
            <v>un</v>
          </cell>
          <cell r="C252">
            <v>343613</v>
          </cell>
        </row>
        <row r="253">
          <cell r="A253" t="str">
            <v>SOPORTE GUÍA VÁSTAGO NO 2</v>
          </cell>
          <cell r="B253" t="str">
            <v>un</v>
          </cell>
          <cell r="C253">
            <v>995102</v>
          </cell>
        </row>
        <row r="254">
          <cell r="A254" t="str">
            <v>RUEDA DE MANEJO O VLANTES 250 MM-400 MM</v>
          </cell>
          <cell r="B254" t="str">
            <v>un</v>
          </cell>
          <cell r="C254">
            <v>145692</v>
          </cell>
        </row>
        <row r="255">
          <cell r="A255" t="str">
            <v>TAPÓN EN PVC  150 MM</v>
          </cell>
          <cell r="B255" t="str">
            <v>un</v>
          </cell>
          <cell r="C255">
            <v>295398</v>
          </cell>
        </row>
        <row r="256">
          <cell r="A256" t="str">
            <v>Adaptador Brida por Acople Universal 150 MM (159mm a 181 mm) R1</v>
          </cell>
          <cell r="B256" t="str">
            <v>un</v>
          </cell>
          <cell r="C256">
            <v>163560</v>
          </cell>
        </row>
        <row r="257">
          <cell r="A257" t="str">
            <v>ESTACIÓN ELÉCTRONICA</v>
          </cell>
          <cell r="B257" t="str">
            <v>un</v>
          </cell>
          <cell r="C257">
            <v>78750</v>
          </cell>
        </row>
        <row r="258">
          <cell r="A258" t="str">
            <v>CINTA METÁLICA</v>
          </cell>
          <cell r="B258" t="str">
            <v>un</v>
          </cell>
          <cell r="C258">
            <v>105</v>
          </cell>
        </row>
        <row r="259">
          <cell r="A259" t="str">
            <v>ESTACA DE MADERA</v>
          </cell>
          <cell r="B259" t="str">
            <v>un</v>
          </cell>
          <cell r="C259">
            <v>3500</v>
          </cell>
        </row>
        <row r="260">
          <cell r="A260" t="str">
            <v>MOJONES DE REFERENCIA</v>
          </cell>
          <cell r="B260" t="str">
            <v>un</v>
          </cell>
          <cell r="C260">
            <v>52500</v>
          </cell>
        </row>
        <row r="261">
          <cell r="A261" t="str">
            <v>MINI CARGADOR</v>
          </cell>
          <cell r="B261" t="str">
            <v>h</v>
          </cell>
          <cell r="C261">
            <v>42000</v>
          </cell>
        </row>
        <row r="262">
          <cell r="A262" t="str">
            <v>ARENA</v>
          </cell>
          <cell r="B262" t="str">
            <v>m3</v>
          </cell>
          <cell r="C262">
            <v>42030.197</v>
          </cell>
        </row>
        <row r="263">
          <cell r="A263" t="str">
            <v>SUB-BASE B-200 (RECEBO SELECCIONADO)</v>
          </cell>
          <cell r="B263" t="str">
            <v>m3</v>
          </cell>
          <cell r="C263">
            <v>46400</v>
          </cell>
        </row>
        <row r="264">
          <cell r="A264" t="str">
            <v>COMPRESOR</v>
          </cell>
          <cell r="B264" t="str">
            <v>un</v>
          </cell>
          <cell r="C264">
            <v>73080</v>
          </cell>
        </row>
        <row r="265">
          <cell r="A265" t="str">
            <v>MATERIAL EXPLOSIVO</v>
          </cell>
          <cell r="B265" t="str">
            <v>kg</v>
          </cell>
          <cell r="C265">
            <v>84000</v>
          </cell>
        </row>
        <row r="266">
          <cell r="A266" t="str">
            <v>CORTADORA</v>
          </cell>
          <cell r="B266" t="str">
            <v>h</v>
          </cell>
          <cell r="C266">
            <v>65000</v>
          </cell>
        </row>
        <row r="267">
          <cell r="A267" t="str">
            <v>PLASTOCRETE DM</v>
          </cell>
          <cell r="B267" t="str">
            <v>kg</v>
          </cell>
          <cell r="C267">
            <v>10100</v>
          </cell>
        </row>
        <row r="268">
          <cell r="A268" t="str">
            <v>LUBRICANTES PARA TUBERÍA (500GRMS)</v>
          </cell>
          <cell r="B268" t="str">
            <v>lb</v>
          </cell>
          <cell r="C268">
            <v>14775.6</v>
          </cell>
        </row>
        <row r="269">
          <cell r="A269" t="str">
            <v>EQUIPO DE PRUEBA HIDROSTATICA</v>
          </cell>
          <cell r="B269" t="str">
            <v>dia</v>
          </cell>
          <cell r="C269">
            <v>52500</v>
          </cell>
        </row>
        <row r="270">
          <cell r="A270" t="str">
            <v>ADAPTADOR BRIDA POR ACOPLE UNIVERSAL 400mm</v>
          </cell>
          <cell r="B270" t="str">
            <v>un</v>
          </cell>
          <cell r="C270">
            <v>1478908</v>
          </cell>
        </row>
        <row r="271">
          <cell r="A271" t="str">
            <v xml:space="preserve">TUBERÍA  PVC UNIÓN MECÁNICA RDE 41 D= 6" </v>
          </cell>
          <cell r="B271" t="str">
            <v>ml</v>
          </cell>
          <cell r="C271">
            <v>40618</v>
          </cell>
        </row>
        <row r="272">
          <cell r="A272" t="str">
            <v>CONCRETO DE 17,5 MPA (175 KG/CM2)</v>
          </cell>
          <cell r="B272" t="str">
            <v>m3</v>
          </cell>
          <cell r="C272">
            <v>403563.51874999999</v>
          </cell>
        </row>
        <row r="273">
          <cell r="A273" t="str">
            <v>EXCAVACION</v>
          </cell>
          <cell r="B273" t="str">
            <v>m3</v>
          </cell>
          <cell r="C273">
            <v>25050.327600000001</v>
          </cell>
        </row>
        <row r="274">
          <cell r="A274" t="str">
            <v>UNIÓN HD CONSTRUCCIÓN Y REPARACIÓN 400 MM</v>
          </cell>
          <cell r="B274" t="str">
            <v>un</v>
          </cell>
          <cell r="C274">
            <v>1565624</v>
          </cell>
        </row>
        <row r="275">
          <cell r="A275" t="str">
            <v>VÁLVULA VENTOSA (CÁMARA DOBLE) 4" BRIDA</v>
          </cell>
          <cell r="B275" t="str">
            <v>un</v>
          </cell>
          <cell r="C275">
            <v>1627349</v>
          </cell>
        </row>
        <row r="276">
          <cell r="A276" t="str">
            <v>RETIRO DE MATERIAL</v>
          </cell>
          <cell r="B276" t="str">
            <v>m3</v>
          </cell>
          <cell r="C276">
            <v>12486.3444</v>
          </cell>
        </row>
        <row r="277">
          <cell r="A277" t="str">
            <v>DIFERENCIAL</v>
          </cell>
          <cell r="B277" t="str">
            <v>un</v>
          </cell>
          <cell r="C277">
            <v>202536</v>
          </cell>
        </row>
        <row r="278">
          <cell r="A278" t="str">
            <v>PASADOR METÁLICO</v>
          </cell>
          <cell r="B278" t="str">
            <v>un</v>
          </cell>
          <cell r="C278">
            <v>11252</v>
          </cell>
        </row>
        <row r="279">
          <cell r="A279" t="str">
            <v>VISAGRA</v>
          </cell>
          <cell r="B279" t="str">
            <v>un</v>
          </cell>
          <cell r="C279">
            <v>5626</v>
          </cell>
        </row>
        <row r="280">
          <cell r="A280" t="str">
            <v>TUBO MUEBLE 1"X1"</v>
          </cell>
          <cell r="B280" t="str">
            <v>ml</v>
          </cell>
          <cell r="C280">
            <v>90016</v>
          </cell>
        </row>
        <row r="281">
          <cell r="A281" t="str">
            <v>RELLENO EN MATERIAL COMUN</v>
          </cell>
          <cell r="B281" t="str">
            <v>m3</v>
          </cell>
          <cell r="C281">
            <v>12486.3444</v>
          </cell>
        </row>
        <row r="282">
          <cell r="A282" t="str">
            <v>DISPOSICION DE SOBRANTES</v>
          </cell>
          <cell r="B282" t="str">
            <v>m4</v>
          </cell>
          <cell r="C282">
            <v>5626</v>
          </cell>
        </row>
        <row r="283">
          <cell r="A283" t="str">
            <v>TORNILLOS  19.1</v>
          </cell>
          <cell r="B283" t="str">
            <v>un</v>
          </cell>
          <cell r="C283">
            <v>8619.0319999999992</v>
          </cell>
        </row>
        <row r="284">
          <cell r="A284" t="str">
            <v>NEOPRENO</v>
          </cell>
          <cell r="B284" t="str">
            <v>m2</v>
          </cell>
          <cell r="C284">
            <v>225040</v>
          </cell>
        </row>
        <row r="285">
          <cell r="A285" t="str">
            <v>ACERO ESTRUCTURAL L 2-1/2"X1/4"</v>
          </cell>
          <cell r="B285" t="str">
            <v>kg</v>
          </cell>
          <cell r="C285">
            <v>10397.9732</v>
          </cell>
        </row>
        <row r="286">
          <cell r="A286" t="str">
            <v>ACERO ESTRUCTURAL L 2"X3/16  "</v>
          </cell>
          <cell r="B286" t="str">
            <v>kg</v>
          </cell>
          <cell r="C286">
            <v>10397.9732</v>
          </cell>
        </row>
        <row r="287">
          <cell r="A287" t="str">
            <v>TORRE DE 4 BANDEJAS AIREADORAS</v>
          </cell>
          <cell r="B287" t="str">
            <v>un</v>
          </cell>
          <cell r="C287">
            <v>11477040</v>
          </cell>
        </row>
        <row r="288">
          <cell r="A288" t="str">
            <v>CABLE ACERO GALVANIZADO CALIBRE 1/4 "</v>
          </cell>
          <cell r="B288" t="str">
            <v>un</v>
          </cell>
          <cell r="C288">
            <v>32964.984400000001</v>
          </cell>
        </row>
        <row r="289">
          <cell r="A289" t="str">
            <v>ANCLAJE ARGOLLADO 1/4 X 1 3/8 "</v>
          </cell>
          <cell r="B289" t="str">
            <v>kg</v>
          </cell>
          <cell r="C289">
            <v>2414.6792</v>
          </cell>
        </row>
        <row r="290">
          <cell r="A290" t="str">
            <v>PERNOS GALVANIZADOS 1/4 " X 4 UN</v>
          </cell>
          <cell r="B290" t="str">
            <v>m2</v>
          </cell>
          <cell r="C290">
            <v>2362.92</v>
          </cell>
        </row>
        <row r="291">
          <cell r="A291" t="str">
            <v>CARBON COQUE &gt;10MM</v>
          </cell>
          <cell r="B291" t="str">
            <v>kg</v>
          </cell>
          <cell r="C291">
            <v>378.06720000000001</v>
          </cell>
        </row>
        <row r="292">
          <cell r="A292" t="str">
            <v>BRIDA POR ADAPTADOR UNIVERSAL</v>
          </cell>
          <cell r="B292" t="str">
            <v>un</v>
          </cell>
          <cell r="C292">
            <v>1285111</v>
          </cell>
        </row>
        <row r="293">
          <cell r="A293" t="str">
            <v>VÁLVULA COMPUERTA 200 MM BRIDADA</v>
          </cell>
          <cell r="B293" t="str">
            <v>un</v>
          </cell>
          <cell r="C293">
            <v>2104688</v>
          </cell>
        </row>
        <row r="294">
          <cell r="A294" t="str">
            <v>CODOS 450 MM X 11.25 A 22.5° HD</v>
          </cell>
          <cell r="B294" t="str">
            <v>un</v>
          </cell>
          <cell r="C294">
            <v>4413359</v>
          </cell>
        </row>
        <row r="295">
          <cell r="A295" t="str">
            <v>AMPLIACION HD BXB 250 MMX350 MM</v>
          </cell>
          <cell r="B295" t="str">
            <v>un</v>
          </cell>
          <cell r="C295">
            <v>2010514.1111999999</v>
          </cell>
        </row>
        <row r="296">
          <cell r="A296" t="str">
            <v>FILTRO BxB 100mm</v>
          </cell>
          <cell r="B296" t="str">
            <v>un</v>
          </cell>
          <cell r="C296">
            <v>799930</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A"/>
      <sheetName val="Inst. Accesorios"/>
      <sheetName val="CAP. 7"/>
      <sheetName val="Resumen"/>
      <sheetName val="Programa de inversion"/>
      <sheetName val="PTTO POZO SUCCION"/>
      <sheetName val="PTTO LECHOS"/>
      <sheetName val="PTTO TK ESPESA"/>
      <sheetName val="PTTO OPT._PTAP"/>
      <sheetName val="SUM OPT._PTAP"/>
      <sheetName val="PTTO OPT._PTAP LARGO PLAZO"/>
      <sheetName val="SUM OPT._PTAP LARGO PLAZO"/>
      <sheetName val="PPTO_ELEC_LAVEGA"/>
      <sheetName val="Sum. Tubería"/>
      <sheetName val="Sum. Accesorios"/>
      <sheetName val="ListaPrecios"/>
      <sheetName val="APU"/>
      <sheetName val="Insumos"/>
      <sheetName val="ListaMCantera"/>
      <sheetName val="MCantera"/>
      <sheetName val="Tuberia"/>
      <sheetName val="ManoDeObra"/>
      <sheetName val="Municipios"/>
      <sheetName val="APU5,4S"/>
      <sheetName val="APU5,3S"/>
      <sheetName val="APU5,2S"/>
      <sheetName val="APU5,1S"/>
      <sheetName val="APU4,2S"/>
      <sheetName val="APU4,1S"/>
      <sheetName val="APU3,3S"/>
      <sheetName val="APU3,2S"/>
      <sheetName val="APU3,1S"/>
      <sheetName val="APU2,2S"/>
      <sheetName val="APU2,1S"/>
      <sheetName val="APU1,5S"/>
      <sheetName val="APU1,4S"/>
      <sheetName val="APU1,3S"/>
      <sheetName val="APU1,2S"/>
      <sheetName val="APU1,1S"/>
      <sheetName val="APU6,1M"/>
      <sheetName val="APU5,1M"/>
      <sheetName val="APU4,2M"/>
      <sheetName val="APU4,1M"/>
      <sheetName val="APU3,3M"/>
      <sheetName val="APU3,2M"/>
      <sheetName val="APU3,1M"/>
      <sheetName val="APU2,2M"/>
      <sheetName val="APU2,1M"/>
      <sheetName val="APU1,4M"/>
      <sheetName val="APU1,3M"/>
      <sheetName val="APU1,2M"/>
      <sheetName val="APU1,1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1">
          <cell r="A1" t="str">
            <v>COSTOS MANO DE OBRA - MUNICIPIO DE LA VEGA</v>
          </cell>
        </row>
        <row r="2">
          <cell r="A2" t="str">
            <v>MANO DE OBRA</v>
          </cell>
          <cell r="B2" t="str">
            <v>JORNAL</v>
          </cell>
          <cell r="C2">
            <v>0.85</v>
          </cell>
          <cell r="D2" t="str">
            <v>JORNAL TOTAL</v>
          </cell>
        </row>
        <row r="3">
          <cell r="A3" t="str">
            <v>AYUDANTE</v>
          </cell>
          <cell r="B3">
            <v>19080</v>
          </cell>
          <cell r="C3">
            <v>16218</v>
          </cell>
          <cell r="D3">
            <v>35298</v>
          </cell>
        </row>
        <row r="4">
          <cell r="A4" t="str">
            <v>AYUDANTE COMPRESOR</v>
          </cell>
          <cell r="B4">
            <v>25000</v>
          </cell>
          <cell r="C4">
            <v>21250</v>
          </cell>
          <cell r="D4">
            <v>46250</v>
          </cell>
        </row>
        <row r="5">
          <cell r="A5" t="str">
            <v>OFICIAL</v>
          </cell>
          <cell r="B5">
            <v>31800</v>
          </cell>
          <cell r="C5">
            <v>27030</v>
          </cell>
          <cell r="D5">
            <v>58830</v>
          </cell>
        </row>
        <row r="6">
          <cell r="A6" t="str">
            <v>OFICIAL ESPECIALIZADO</v>
          </cell>
          <cell r="B6">
            <v>63600</v>
          </cell>
          <cell r="C6">
            <v>54060</v>
          </cell>
          <cell r="D6">
            <v>117660</v>
          </cell>
        </row>
        <row r="7">
          <cell r="A7" t="str">
            <v>TÉCNICO EN ROTURA</v>
          </cell>
          <cell r="B7">
            <v>250000</v>
          </cell>
          <cell r="C7">
            <v>212500</v>
          </cell>
          <cell r="D7">
            <v>462500</v>
          </cell>
        </row>
        <row r="8">
          <cell r="A8" t="str">
            <v>TÉCNICO TERMOFUSIÓN</v>
          </cell>
          <cell r="B8">
            <v>47613</v>
          </cell>
          <cell r="C8">
            <v>40471</v>
          </cell>
          <cell r="D8">
            <v>88084</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ado"/>
      <sheetName val="Resumen"/>
      <sheetName val="PROG Inversión"/>
      <sheetName val="PPTO"/>
      <sheetName val="AA"/>
      <sheetName val="ListaPrecios"/>
      <sheetName val="APU"/>
      <sheetName val="Insumos"/>
      <sheetName val="Tuberia"/>
      <sheetName val="Sistema Electrico"/>
      <sheetName val="APU Sistema Electrico"/>
      <sheetName val="ManoDeObra"/>
      <sheetName val="EXCAVACIONES"/>
      <sheetName val="CONCRETO Y ACERO DE REFUERZO"/>
      <sheetName val="Cantidades Tuberia &amp; Acc"/>
    </sheetNames>
    <sheetDataSet>
      <sheetData sheetId="0"/>
      <sheetData sheetId="1"/>
      <sheetData sheetId="2"/>
      <sheetData sheetId="3"/>
      <sheetData sheetId="4"/>
      <sheetData sheetId="5"/>
      <sheetData sheetId="6"/>
      <sheetData sheetId="7"/>
      <sheetData sheetId="8"/>
      <sheetData sheetId="9"/>
      <sheetData sheetId="10"/>
      <sheetData sheetId="11">
        <row r="1">
          <cell r="A1" t="str">
            <v>PRESUPUESTO ESTIMADO RED DE ACUEDUCTO</v>
          </cell>
        </row>
        <row r="2">
          <cell r="A2" t="str">
            <v>MUNICIPIO DE  BUENAVENTURA DEPARTAMENTO DE VALLE DEL CAUCA</v>
          </cell>
        </row>
        <row r="3">
          <cell r="A3" t="str">
            <v>HIDROPACÍFICO S.A. E.S.P.</v>
          </cell>
        </row>
        <row r="4">
          <cell r="A4" t="str">
            <v xml:space="preserve">TANQUE  PROYECTADO  VENECIA </v>
          </cell>
        </row>
        <row r="5">
          <cell r="A5" t="str">
            <v>COSTOS DE MANO DE OBRA</v>
          </cell>
        </row>
        <row r="7">
          <cell r="A7" t="str">
            <v>DESCRIPCIÓN</v>
          </cell>
          <cell r="B7" t="str">
            <v>JORNAL BASE</v>
          </cell>
          <cell r="C7">
            <v>0.85</v>
          </cell>
          <cell r="D7" t="str">
            <v>JORNAL TOTAL</v>
          </cell>
        </row>
        <row r="8">
          <cell r="A8" t="str">
            <v>AYUDANTE</v>
          </cell>
          <cell r="B8">
            <v>20600</v>
          </cell>
          <cell r="C8">
            <v>17510</v>
          </cell>
          <cell r="D8">
            <v>38110</v>
          </cell>
        </row>
        <row r="9">
          <cell r="A9" t="str">
            <v>CADENERO 1º</v>
          </cell>
          <cell r="B9">
            <v>40000</v>
          </cell>
          <cell r="C9">
            <v>34000</v>
          </cell>
          <cell r="D9">
            <v>74000</v>
          </cell>
        </row>
        <row r="10">
          <cell r="A10" t="str">
            <v>CADENERO 2º</v>
          </cell>
          <cell r="B10">
            <v>25000</v>
          </cell>
          <cell r="C10">
            <v>21250</v>
          </cell>
          <cell r="D10">
            <v>46250</v>
          </cell>
        </row>
        <row r="11">
          <cell r="A11" t="str">
            <v>CONTRATISTA DE ESTRUCTURA</v>
          </cell>
          <cell r="B11">
            <v>100000</v>
          </cell>
          <cell r="C11">
            <v>85000</v>
          </cell>
          <cell r="D11">
            <v>185000</v>
          </cell>
        </row>
        <row r="12">
          <cell r="A12" t="str">
            <v>CORTADOR</v>
          </cell>
          <cell r="B12">
            <v>19650</v>
          </cell>
          <cell r="C12">
            <v>16702.5</v>
          </cell>
          <cell r="D12">
            <v>36352.5</v>
          </cell>
        </row>
        <row r="13">
          <cell r="A13" t="str">
            <v>DINAMITERO</v>
          </cell>
          <cell r="B13">
            <v>120000</v>
          </cell>
          <cell r="C13">
            <v>102000</v>
          </cell>
          <cell r="D13">
            <v>222000</v>
          </cell>
        </row>
        <row r="14">
          <cell r="A14" t="str">
            <v>ESTAQUERO</v>
          </cell>
          <cell r="B14">
            <v>22000</v>
          </cell>
          <cell r="C14">
            <v>18700</v>
          </cell>
          <cell r="D14">
            <v>40700</v>
          </cell>
        </row>
        <row r="15">
          <cell r="A15" t="str">
            <v>INGENIERO DE INSTALACIÓN</v>
          </cell>
          <cell r="B15">
            <v>450000</v>
          </cell>
          <cell r="C15">
            <v>382500</v>
          </cell>
          <cell r="D15">
            <v>832500</v>
          </cell>
        </row>
        <row r="16">
          <cell r="A16" t="str">
            <v>MACHINERO</v>
          </cell>
          <cell r="B16">
            <v>22000</v>
          </cell>
          <cell r="C16">
            <v>18700</v>
          </cell>
          <cell r="D16">
            <v>40700</v>
          </cell>
        </row>
        <row r="17">
          <cell r="A17" t="str">
            <v>MAESTRO</v>
          </cell>
          <cell r="B17">
            <v>70000</v>
          </cell>
          <cell r="C17">
            <v>59500</v>
          </cell>
          <cell r="D17">
            <v>129500</v>
          </cell>
        </row>
        <row r="18">
          <cell r="A18" t="str">
            <v>OFICIAL</v>
          </cell>
          <cell r="B18">
            <v>40000</v>
          </cell>
          <cell r="C18">
            <v>34000</v>
          </cell>
          <cell r="D18">
            <v>74000</v>
          </cell>
        </row>
        <row r="19">
          <cell r="A19" t="str">
            <v>OFICIAL ESPECIALIZADO</v>
          </cell>
          <cell r="B19">
            <v>70000</v>
          </cell>
          <cell r="C19">
            <v>59500</v>
          </cell>
          <cell r="D19">
            <v>129500</v>
          </cell>
        </row>
        <row r="20">
          <cell r="A20" t="str">
            <v>SOLDADOR</v>
          </cell>
          <cell r="B20">
            <v>100000</v>
          </cell>
          <cell r="C20">
            <v>85000</v>
          </cell>
          <cell r="D20">
            <v>185000</v>
          </cell>
        </row>
        <row r="21">
          <cell r="A21" t="str">
            <v>SUB CONTRATISTA</v>
          </cell>
          <cell r="B21">
            <v>200000</v>
          </cell>
          <cell r="C21">
            <v>170000</v>
          </cell>
          <cell r="D21">
            <v>370000</v>
          </cell>
        </row>
        <row r="22">
          <cell r="A22" t="str">
            <v>TECNICO ESPECIALIZADO</v>
          </cell>
          <cell r="B22">
            <v>300000</v>
          </cell>
          <cell r="C22">
            <v>255000</v>
          </cell>
          <cell r="D22">
            <v>555000</v>
          </cell>
        </row>
        <row r="23">
          <cell r="A23" t="str">
            <v>TÉCNICO TERMOFUSIÓN</v>
          </cell>
          <cell r="B23">
            <v>50000</v>
          </cell>
          <cell r="C23">
            <v>42500</v>
          </cell>
          <cell r="D23">
            <v>92500</v>
          </cell>
        </row>
        <row r="24">
          <cell r="A24" t="str">
            <v>TOPOGRAFO</v>
          </cell>
          <cell r="B24">
            <v>70000</v>
          </cell>
          <cell r="C24">
            <v>59500</v>
          </cell>
          <cell r="D24">
            <v>129500</v>
          </cell>
        </row>
      </sheetData>
      <sheetData sheetId="12"/>
      <sheetData sheetId="13"/>
      <sheetData sheetId="1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o."/>
      <sheetName val="Pto. Suministros"/>
      <sheetName val="APU Suministros"/>
      <sheetName val="CAP 1-2"/>
      <sheetName val="CAP 4"/>
      <sheetName val="CAP 5"/>
      <sheetName val="CAP 7"/>
      <sheetName val="Insumos"/>
    </sheetNames>
    <sheetDataSet>
      <sheetData sheetId="0"/>
      <sheetData sheetId="1"/>
      <sheetData sheetId="2"/>
      <sheetData sheetId="3"/>
      <sheetData sheetId="4">
        <row r="372">
          <cell r="H372">
            <v>0</v>
          </cell>
        </row>
      </sheetData>
      <sheetData sheetId="5">
        <row r="214">
          <cell r="H214">
            <v>279488.25</v>
          </cell>
        </row>
      </sheetData>
      <sheetData sheetId="6"/>
      <sheetData sheetId="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L68"/>
  <sheetViews>
    <sheetView workbookViewId="0"/>
  </sheetViews>
  <sheetFormatPr baseColWidth="10" defaultColWidth="11.42578125" defaultRowHeight="15" x14ac:dyDescent="0.25"/>
  <cols>
    <col min="1" max="1" width="11.42578125" style="627"/>
    <col min="2" max="2" width="6.140625" style="627" customWidth="1"/>
    <col min="3" max="3" width="50.28515625" style="627" bestFit="1" customWidth="1"/>
    <col min="4" max="4" width="7.140625" style="627" customWidth="1"/>
    <col min="5" max="5" width="7.140625" style="629" customWidth="1"/>
    <col min="6" max="6" width="13.140625" style="630" customWidth="1"/>
    <col min="7" max="7" width="15.5703125" style="627" customWidth="1"/>
    <col min="8" max="8" width="14.7109375" style="627" bestFit="1" customWidth="1"/>
    <col min="9" max="9" width="14.5703125" style="627" bestFit="1" customWidth="1"/>
    <col min="10" max="16384" width="11.42578125" style="627"/>
  </cols>
  <sheetData>
    <row r="2" spans="2:7" ht="30.75" customHeight="1" x14ac:dyDescent="0.25">
      <c r="B2" s="2278" t="s">
        <v>6615</v>
      </c>
      <c r="C2" s="2278"/>
      <c r="D2" s="2278"/>
      <c r="E2" s="2278"/>
      <c r="F2" s="2278"/>
      <c r="G2" s="686"/>
    </row>
    <row r="4" spans="2:7" x14ac:dyDescent="0.25">
      <c r="B4" s="628"/>
    </row>
    <row r="6" spans="2:7" x14ac:dyDescent="0.25">
      <c r="B6" s="2275" t="s">
        <v>6676</v>
      </c>
      <c r="C6" s="2276"/>
      <c r="D6" s="631" t="s">
        <v>6616</v>
      </c>
      <c r="E6" s="631" t="s">
        <v>6617</v>
      </c>
      <c r="F6" s="632" t="s">
        <v>6618</v>
      </c>
      <c r="G6" s="631" t="s">
        <v>6619</v>
      </c>
    </row>
    <row r="7" spans="2:7" x14ac:dyDescent="0.25">
      <c r="B7" s="633">
        <v>1</v>
      </c>
      <c r="C7" s="644" t="s">
        <v>6626</v>
      </c>
      <c r="D7" s="645"/>
      <c r="E7" s="645"/>
      <c r="F7" s="646"/>
      <c r="G7" s="645"/>
    </row>
    <row r="8" spans="2:7" x14ac:dyDescent="0.25">
      <c r="B8" s="647" t="s">
        <v>10</v>
      </c>
      <c r="C8" s="648" t="s">
        <v>6627</v>
      </c>
      <c r="D8" s="649" t="s">
        <v>5542</v>
      </c>
      <c r="E8" s="650">
        <f>+E19*0.8*(1+0.5)*0.95</f>
        <v>563.16000000000008</v>
      </c>
      <c r="F8" s="636">
        <v>22263</v>
      </c>
      <c r="G8" s="651">
        <f>F8*E8</f>
        <v>12537631.080000002</v>
      </c>
    </row>
    <row r="9" spans="2:7" x14ac:dyDescent="0.25">
      <c r="B9" s="647">
        <v>1.2</v>
      </c>
      <c r="C9" s="648" t="s">
        <v>6628</v>
      </c>
      <c r="D9" s="649" t="s">
        <v>5542</v>
      </c>
      <c r="E9" s="650">
        <f>+E19*0.8*(1+0.5)*0.05</f>
        <v>29.640000000000004</v>
      </c>
      <c r="F9" s="636">
        <v>156265</v>
      </c>
      <c r="G9" s="651">
        <f t="shared" ref="G9:G30" si="0">F9*E9</f>
        <v>4631694.6000000006</v>
      </c>
    </row>
    <row r="10" spans="2:7" x14ac:dyDescent="0.25">
      <c r="B10" s="633">
        <v>2</v>
      </c>
      <c r="C10" s="644" t="s">
        <v>6631</v>
      </c>
      <c r="D10" s="652" t="s">
        <v>5542</v>
      </c>
      <c r="E10" s="653">
        <f>+(E19*0.85)*0.1</f>
        <v>41.99</v>
      </c>
      <c r="F10" s="634">
        <v>80534</v>
      </c>
      <c r="G10" s="634">
        <f t="shared" si="0"/>
        <v>3381622.66</v>
      </c>
    </row>
    <row r="11" spans="2:7" x14ac:dyDescent="0.25">
      <c r="B11" s="633">
        <v>3</v>
      </c>
      <c r="C11" s="644" t="s">
        <v>6634</v>
      </c>
      <c r="D11" s="652"/>
      <c r="E11" s="653"/>
      <c r="F11" s="634"/>
      <c r="G11" s="634"/>
    </row>
    <row r="12" spans="2:7" x14ac:dyDescent="0.25">
      <c r="B12" s="647">
        <v>3.1</v>
      </c>
      <c r="C12" s="648" t="s">
        <v>6677</v>
      </c>
      <c r="D12" s="649" t="s">
        <v>5402</v>
      </c>
      <c r="E12" s="650">
        <f>(226+111-40)-100</f>
        <v>197</v>
      </c>
      <c r="F12" s="636">
        <v>410734</v>
      </c>
      <c r="G12" s="651">
        <f t="shared" si="0"/>
        <v>80914598</v>
      </c>
    </row>
    <row r="13" spans="2:7" x14ac:dyDescent="0.25">
      <c r="B13" s="647">
        <v>3.2</v>
      </c>
      <c r="C13" s="648" t="s">
        <v>6678</v>
      </c>
      <c r="D13" s="649" t="s">
        <v>5424</v>
      </c>
      <c r="E13" s="650">
        <f>3+4</f>
        <v>7</v>
      </c>
      <c r="F13" s="636">
        <f>+'Pto Sum L16'!$E$1382</f>
        <v>2083666</v>
      </c>
      <c r="G13" s="651">
        <f t="shared" si="0"/>
        <v>14585662</v>
      </c>
    </row>
    <row r="14" spans="2:7" x14ac:dyDescent="0.25">
      <c r="B14" s="647">
        <v>3.3</v>
      </c>
      <c r="C14" s="648" t="s">
        <v>6679</v>
      </c>
      <c r="D14" s="649" t="s">
        <v>5424</v>
      </c>
      <c r="E14" s="650">
        <f>3</f>
        <v>3</v>
      </c>
      <c r="F14" s="636">
        <f>+'Pto Sum L16'!$E$1369</f>
        <v>2083666</v>
      </c>
      <c r="G14" s="651">
        <f t="shared" si="0"/>
        <v>6250998</v>
      </c>
    </row>
    <row r="15" spans="2:7" x14ac:dyDescent="0.25">
      <c r="B15" s="647">
        <v>3.4</v>
      </c>
      <c r="C15" s="648" t="s">
        <v>6680</v>
      </c>
      <c r="D15" s="649" t="s">
        <v>5424</v>
      </c>
      <c r="E15" s="650">
        <v>29</v>
      </c>
      <c r="F15" s="636">
        <f>+'Pto Sum L16'!$E$1000</f>
        <v>2618327</v>
      </c>
      <c r="G15" s="651">
        <f t="shared" si="0"/>
        <v>75931483</v>
      </c>
    </row>
    <row r="16" spans="2:7" x14ac:dyDescent="0.25">
      <c r="B16" s="647">
        <v>3.5</v>
      </c>
      <c r="C16" s="648" t="s">
        <v>6636</v>
      </c>
      <c r="D16" s="649" t="s">
        <v>5424</v>
      </c>
      <c r="E16" s="650">
        <v>4</v>
      </c>
      <c r="F16" s="636">
        <f>+'Pto Sum L16'!$E$1968</f>
        <v>142943</v>
      </c>
      <c r="G16" s="651">
        <f t="shared" si="0"/>
        <v>571772</v>
      </c>
    </row>
    <row r="17" spans="2:12" x14ac:dyDescent="0.25">
      <c r="B17" s="647">
        <v>3.6</v>
      </c>
      <c r="C17" s="648" t="s">
        <v>6681</v>
      </c>
      <c r="D17" s="649" t="s">
        <v>5424</v>
      </c>
      <c r="E17" s="650">
        <f>ROUND((E25+10)*2*1.2,0)</f>
        <v>79</v>
      </c>
      <c r="F17" s="636">
        <f>1187550</f>
        <v>1187550</v>
      </c>
      <c r="G17" s="651">
        <f t="shared" si="0"/>
        <v>93816450</v>
      </c>
      <c r="I17" s="679"/>
    </row>
    <row r="18" spans="2:12" x14ac:dyDescent="0.25">
      <c r="B18" s="633">
        <v>4</v>
      </c>
      <c r="C18" s="644" t="s">
        <v>6637</v>
      </c>
      <c r="D18" s="652"/>
      <c r="E18" s="653"/>
      <c r="F18" s="634"/>
      <c r="G18" s="634"/>
    </row>
    <row r="19" spans="2:12" x14ac:dyDescent="0.25">
      <c r="B19" s="647">
        <v>4.0999999999999996</v>
      </c>
      <c r="C19" s="648" t="s">
        <v>6682</v>
      </c>
      <c r="D19" s="649" t="s">
        <v>5402</v>
      </c>
      <c r="E19" s="650">
        <f>226+111-40+197</f>
        <v>494</v>
      </c>
      <c r="F19" s="636">
        <f>+'OC L16'!$E$246</f>
        <v>33693</v>
      </c>
      <c r="G19" s="651">
        <f t="shared" si="0"/>
        <v>16644342</v>
      </c>
    </row>
    <row r="20" spans="2:12" x14ac:dyDescent="0.25">
      <c r="B20" s="647">
        <v>4.2</v>
      </c>
      <c r="C20" s="648" t="s">
        <v>6678</v>
      </c>
      <c r="D20" s="649" t="s">
        <v>5424</v>
      </c>
      <c r="E20" s="650">
        <f>+E13</f>
        <v>7</v>
      </c>
      <c r="F20" s="636">
        <f>+'OC L16'!$E$285</f>
        <v>46678</v>
      </c>
      <c r="G20" s="651">
        <f t="shared" si="0"/>
        <v>326746</v>
      </c>
    </row>
    <row r="21" spans="2:12" x14ac:dyDescent="0.25">
      <c r="B21" s="647">
        <v>4.3</v>
      </c>
      <c r="C21" s="648" t="s">
        <v>6679</v>
      </c>
      <c r="D21" s="649" t="s">
        <v>5424</v>
      </c>
      <c r="E21" s="650">
        <f>+E14</f>
        <v>3</v>
      </c>
      <c r="F21" s="636">
        <f>+'OC L16'!$E$285</f>
        <v>46678</v>
      </c>
      <c r="G21" s="651">
        <f t="shared" si="0"/>
        <v>140034</v>
      </c>
    </row>
    <row r="22" spans="2:12" x14ac:dyDescent="0.25">
      <c r="B22" s="647">
        <v>4.4000000000000004</v>
      </c>
      <c r="C22" s="648" t="s">
        <v>6680</v>
      </c>
      <c r="D22" s="649" t="s">
        <v>5424</v>
      </c>
      <c r="E22" s="650">
        <f>+E45+E51+E53</f>
        <v>29</v>
      </c>
      <c r="F22" s="636">
        <f>+'OC L16'!$E$285</f>
        <v>46678</v>
      </c>
      <c r="G22" s="651">
        <f t="shared" si="0"/>
        <v>1353662</v>
      </c>
    </row>
    <row r="23" spans="2:12" x14ac:dyDescent="0.25">
      <c r="B23" s="647">
        <v>4.5</v>
      </c>
      <c r="C23" s="648" t="s">
        <v>6636</v>
      </c>
      <c r="D23" s="649" t="s">
        <v>5424</v>
      </c>
      <c r="E23" s="650">
        <v>7</v>
      </c>
      <c r="F23" s="636">
        <v>9453</v>
      </c>
      <c r="G23" s="651">
        <f t="shared" si="0"/>
        <v>66171</v>
      </c>
    </row>
    <row r="24" spans="2:12" x14ac:dyDescent="0.25">
      <c r="B24" s="647">
        <v>4.5999999999999996</v>
      </c>
      <c r="C24" s="648" t="s">
        <v>6681</v>
      </c>
      <c r="D24" s="649" t="s">
        <v>5424</v>
      </c>
      <c r="E24" s="650">
        <f>+E17</f>
        <v>79</v>
      </c>
      <c r="F24" s="636">
        <v>46678</v>
      </c>
      <c r="G24" s="651">
        <f t="shared" si="0"/>
        <v>3687562</v>
      </c>
    </row>
    <row r="25" spans="2:12" x14ac:dyDescent="0.25">
      <c r="B25" s="647">
        <v>4.7</v>
      </c>
      <c r="C25" s="648" t="s">
        <v>6683</v>
      </c>
      <c r="D25" s="649" t="s">
        <v>5424</v>
      </c>
      <c r="E25" s="650">
        <v>23</v>
      </c>
      <c r="F25" s="636">
        <f>+'OC L16'!$E$310</f>
        <v>129880</v>
      </c>
      <c r="G25" s="651">
        <f t="shared" si="0"/>
        <v>2987240</v>
      </c>
    </row>
    <row r="26" spans="2:12" x14ac:dyDescent="0.25">
      <c r="B26" s="633">
        <v>5</v>
      </c>
      <c r="C26" s="644" t="s">
        <v>6642</v>
      </c>
      <c r="D26" s="652"/>
      <c r="E26" s="653"/>
      <c r="F26" s="634"/>
      <c r="G26" s="634"/>
    </row>
    <row r="27" spans="2:12" x14ac:dyDescent="0.25">
      <c r="B27" s="647">
        <v>5.0999999999999996</v>
      </c>
      <c r="C27" s="648" t="s">
        <v>6643</v>
      </c>
      <c r="D27" s="649" t="s">
        <v>5542</v>
      </c>
      <c r="E27" s="650">
        <f>+((0.8*0.95)-PI()*0.4^2/4)*(E19-126.26-40)</f>
        <v>207.89737694849927</v>
      </c>
      <c r="F27" s="636">
        <v>11097</v>
      </c>
      <c r="G27" s="651">
        <f t="shared" si="0"/>
        <v>2307037.1919974964</v>
      </c>
      <c r="L27" s="655"/>
    </row>
    <row r="28" spans="2:12" x14ac:dyDescent="0.25">
      <c r="B28" s="647">
        <v>5.2</v>
      </c>
      <c r="C28" s="648" t="s">
        <v>6644</v>
      </c>
      <c r="D28" s="649" t="s">
        <v>5542</v>
      </c>
      <c r="E28" s="650">
        <f>+((0.25*0.95)-PI()*0.4^2/4)*(E19-126.26-40)</f>
        <v>36.653226948499245</v>
      </c>
      <c r="F28" s="636">
        <v>62337</v>
      </c>
      <c r="G28" s="651">
        <f t="shared" si="0"/>
        <v>2284852.2082885974</v>
      </c>
      <c r="H28" s="655"/>
      <c r="L28" s="655"/>
    </row>
    <row r="29" spans="2:12" x14ac:dyDescent="0.25">
      <c r="B29" s="633">
        <v>6</v>
      </c>
      <c r="C29" s="644" t="s">
        <v>6645</v>
      </c>
      <c r="D29" s="652" t="s">
        <v>5542</v>
      </c>
      <c r="E29" s="653">
        <v>15.6</v>
      </c>
      <c r="F29" s="634">
        <v>498359</v>
      </c>
      <c r="G29" s="634">
        <f t="shared" si="0"/>
        <v>7774400.3999999994</v>
      </c>
    </row>
    <row r="30" spans="2:12" x14ac:dyDescent="0.25">
      <c r="B30" s="633">
        <v>7</v>
      </c>
      <c r="C30" s="644" t="s">
        <v>6646</v>
      </c>
      <c r="D30" s="652" t="s">
        <v>5431</v>
      </c>
      <c r="E30" s="653">
        <f>E29*50</f>
        <v>780</v>
      </c>
      <c r="F30" s="634">
        <v>3455</v>
      </c>
      <c r="G30" s="634">
        <f t="shared" si="0"/>
        <v>2694900</v>
      </c>
    </row>
    <row r="31" spans="2:12" x14ac:dyDescent="0.25">
      <c r="B31" s="633">
        <v>8</v>
      </c>
      <c r="C31" s="644" t="s">
        <v>6648</v>
      </c>
      <c r="D31" s="652"/>
      <c r="E31" s="653"/>
      <c r="F31" s="634"/>
      <c r="G31" s="634"/>
    </row>
    <row r="32" spans="2:12" x14ac:dyDescent="0.25">
      <c r="B32" s="647">
        <v>8.1</v>
      </c>
      <c r="C32" s="648" t="s">
        <v>6649</v>
      </c>
      <c r="D32" s="649" t="s">
        <v>5542</v>
      </c>
      <c r="E32" s="650">
        <f>+E36+E37</f>
        <v>60.302400000000006</v>
      </c>
      <c r="F32" s="636">
        <v>83236</v>
      </c>
      <c r="G32" s="651">
        <f t="shared" ref="G32:G39" si="1">F32*E32</f>
        <v>5019330.5664000008</v>
      </c>
    </row>
    <row r="33" spans="2:7" x14ac:dyDescent="0.25">
      <c r="B33" s="647">
        <v>8.1999999999999993</v>
      </c>
      <c r="C33" s="648" t="s">
        <v>6650</v>
      </c>
      <c r="D33" s="649" t="s">
        <v>6651</v>
      </c>
      <c r="E33" s="650">
        <f>E34*5</f>
        <v>422.11680000000001</v>
      </c>
      <c r="F33" s="636">
        <v>14194</v>
      </c>
      <c r="G33" s="651">
        <f t="shared" si="1"/>
        <v>5991525.8591999998</v>
      </c>
    </row>
    <row r="34" spans="2:7" x14ac:dyDescent="0.25">
      <c r="B34" s="647">
        <v>8.3000000000000007</v>
      </c>
      <c r="C34" s="648" t="s">
        <v>6652</v>
      </c>
      <c r="D34" s="649" t="s">
        <v>5542</v>
      </c>
      <c r="E34" s="650">
        <f>+E32*1.4</f>
        <v>84.423360000000002</v>
      </c>
      <c r="F34" s="636">
        <v>5000</v>
      </c>
      <c r="G34" s="651">
        <f t="shared" si="1"/>
        <v>422116.8</v>
      </c>
    </row>
    <row r="35" spans="2:7" x14ac:dyDescent="0.25">
      <c r="B35" s="633">
        <v>9</v>
      </c>
      <c r="C35" s="657" t="s">
        <v>6653</v>
      </c>
      <c r="D35" s="652"/>
      <c r="E35" s="653"/>
      <c r="F35" s="634"/>
      <c r="G35" s="634"/>
    </row>
    <row r="36" spans="2:7" x14ac:dyDescent="0.25">
      <c r="B36" s="647">
        <v>9.1</v>
      </c>
      <c r="C36" s="658" t="s">
        <v>6654</v>
      </c>
      <c r="D36" s="649" t="s">
        <v>5542</v>
      </c>
      <c r="E36" s="650">
        <f>226.26*0.3*0.8</f>
        <v>54.302400000000006</v>
      </c>
      <c r="F36" s="636">
        <v>448853</v>
      </c>
      <c r="G36" s="651">
        <f t="shared" si="1"/>
        <v>24373795.147200003</v>
      </c>
    </row>
    <row r="37" spans="2:7" x14ac:dyDescent="0.25">
      <c r="B37" s="647">
        <v>9.1999999999999993</v>
      </c>
      <c r="C37" s="658" t="s">
        <v>6655</v>
      </c>
      <c r="D37" s="649" t="s">
        <v>5542</v>
      </c>
      <c r="E37" s="650">
        <v>6</v>
      </c>
      <c r="F37" s="636">
        <v>543457</v>
      </c>
      <c r="G37" s="651">
        <f t="shared" si="1"/>
        <v>3260742</v>
      </c>
    </row>
    <row r="38" spans="2:7" x14ac:dyDescent="0.25">
      <c r="B38" s="633">
        <v>10</v>
      </c>
      <c r="C38" s="657" t="s">
        <v>6656</v>
      </c>
      <c r="D38" s="652" t="s">
        <v>5402</v>
      </c>
      <c r="E38" s="657">
        <v>5480</v>
      </c>
      <c r="F38" s="659">
        <v>46105</v>
      </c>
      <c r="G38" s="659">
        <f t="shared" si="1"/>
        <v>252655400</v>
      </c>
    </row>
    <row r="39" spans="2:7" x14ac:dyDescent="0.25">
      <c r="B39" s="633">
        <v>11</v>
      </c>
      <c r="C39" s="657" t="s">
        <v>6657</v>
      </c>
      <c r="D39" s="652" t="s">
        <v>5424</v>
      </c>
      <c r="E39" s="653">
        <f>+ROUND(E12/6,0)</f>
        <v>33</v>
      </c>
      <c r="F39" s="659">
        <v>120001</v>
      </c>
      <c r="G39" s="659">
        <f t="shared" si="1"/>
        <v>3960033</v>
      </c>
    </row>
    <row r="40" spans="2:7" x14ac:dyDescent="0.25">
      <c r="B40" s="668"/>
      <c r="C40" s="669" t="s">
        <v>6658</v>
      </c>
      <c r="D40" s="668"/>
      <c r="E40" s="668"/>
      <c r="F40" s="670"/>
      <c r="G40" s="671">
        <f>SUM(G8:G39)</f>
        <v>628571801.51308608</v>
      </c>
    </row>
    <row r="41" spans="2:7" s="640" customFormat="1" x14ac:dyDescent="0.25">
      <c r="B41" s="643"/>
      <c r="D41" s="660"/>
      <c r="E41" s="661"/>
      <c r="F41" s="662"/>
      <c r="G41" s="660"/>
    </row>
    <row r="42" spans="2:7" x14ac:dyDescent="0.25">
      <c r="E42" s="666"/>
      <c r="G42" s="667"/>
    </row>
    <row r="43" spans="2:7" x14ac:dyDescent="0.25">
      <c r="B43" s="2277" t="s">
        <v>6450</v>
      </c>
      <c r="C43" s="2277"/>
      <c r="D43" s="631" t="s">
        <v>6616</v>
      </c>
      <c r="E43" s="631" t="s">
        <v>6617</v>
      </c>
      <c r="F43" s="632" t="s">
        <v>6618</v>
      </c>
      <c r="G43" s="631" t="s">
        <v>6619</v>
      </c>
    </row>
    <row r="44" spans="2:7" x14ac:dyDescent="0.25">
      <c r="B44" s="633">
        <v>1</v>
      </c>
      <c r="C44" s="644" t="s">
        <v>6662</v>
      </c>
      <c r="D44" s="652"/>
      <c r="E44" s="663"/>
      <c r="F44" s="659"/>
      <c r="G44" s="664"/>
    </row>
    <row r="45" spans="2:7" x14ac:dyDescent="0.25">
      <c r="B45" s="647">
        <v>1.1000000000000001</v>
      </c>
      <c r="C45" s="648" t="s">
        <v>6663</v>
      </c>
      <c r="D45" s="649" t="s">
        <v>5424</v>
      </c>
      <c r="E45" s="656">
        <v>15</v>
      </c>
      <c r="F45" s="654">
        <v>7409926</v>
      </c>
      <c r="G45" s="665">
        <f>F45*E45</f>
        <v>111148890</v>
      </c>
    </row>
    <row r="46" spans="2:7" x14ac:dyDescent="0.25">
      <c r="B46" s="633">
        <v>2</v>
      </c>
      <c r="C46" s="657" t="s">
        <v>6664</v>
      </c>
      <c r="D46" s="657"/>
      <c r="E46" s="663"/>
      <c r="F46" s="659"/>
      <c r="G46" s="659"/>
    </row>
    <row r="47" spans="2:7" x14ac:dyDescent="0.25">
      <c r="B47" s="647">
        <v>2.1</v>
      </c>
      <c r="C47" s="648" t="s">
        <v>6684</v>
      </c>
      <c r="D47" s="649" t="s">
        <v>5424</v>
      </c>
      <c r="E47" s="656">
        <v>6</v>
      </c>
      <c r="F47" s="654">
        <f>+'Pto Sum L16'!$E$2443*0.8+'OC L16'!E627</f>
        <v>71985847.180670008</v>
      </c>
      <c r="G47" s="665">
        <f>F47*E47</f>
        <v>431915083.08402002</v>
      </c>
    </row>
    <row r="48" spans="2:7" x14ac:dyDescent="0.25">
      <c r="B48" s="633">
        <v>3</v>
      </c>
      <c r="C48" s="657" t="s">
        <v>6665</v>
      </c>
      <c r="D48" s="657"/>
      <c r="E48" s="663"/>
      <c r="F48" s="659"/>
      <c r="G48" s="659"/>
    </row>
    <row r="49" spans="2:7" x14ac:dyDescent="0.25">
      <c r="B49" s="647">
        <v>3.1</v>
      </c>
      <c r="C49" s="648" t="s">
        <v>6684</v>
      </c>
      <c r="D49" s="649" t="s">
        <v>5424</v>
      </c>
      <c r="E49" s="656">
        <v>1</v>
      </c>
      <c r="F49" s="654">
        <f>+'Pto Sum L16'!$E$2445*0.8+'OC L16'!E629</f>
        <v>25225953.520670004</v>
      </c>
      <c r="G49" s="665">
        <f>F49*E49</f>
        <v>25225953.520670004</v>
      </c>
    </row>
    <row r="50" spans="2:7" x14ac:dyDescent="0.25">
      <c r="B50" s="633">
        <v>4</v>
      </c>
      <c r="C50" s="657" t="s">
        <v>6666</v>
      </c>
      <c r="D50" s="633"/>
      <c r="E50" s="663"/>
      <c r="F50" s="659"/>
      <c r="G50" s="659"/>
    </row>
    <row r="51" spans="2:7" x14ac:dyDescent="0.25">
      <c r="B51" s="647">
        <v>4.0999999999999996</v>
      </c>
      <c r="C51" s="648" t="s">
        <v>6663</v>
      </c>
      <c r="D51" s="649" t="s">
        <v>5424</v>
      </c>
      <c r="E51" s="656">
        <v>2</v>
      </c>
      <c r="F51" s="654">
        <v>16095828</v>
      </c>
      <c r="G51" s="665">
        <f>F51*E51</f>
        <v>32191656</v>
      </c>
    </row>
    <row r="52" spans="2:7" x14ac:dyDescent="0.25">
      <c r="B52" s="633">
        <v>5</v>
      </c>
      <c r="C52" s="657" t="s">
        <v>6667</v>
      </c>
      <c r="D52" s="633"/>
      <c r="E52" s="663"/>
      <c r="F52" s="659"/>
      <c r="G52" s="659"/>
    </row>
    <row r="53" spans="2:7" x14ac:dyDescent="0.25">
      <c r="B53" s="647">
        <v>5.0999999999999996</v>
      </c>
      <c r="C53" s="648" t="s">
        <v>6663</v>
      </c>
      <c r="D53" s="649" t="s">
        <v>5424</v>
      </c>
      <c r="E53" s="656">
        <v>12</v>
      </c>
      <c r="F53" s="654">
        <v>11988412</v>
      </c>
      <c r="G53" s="665">
        <f>F53*E53</f>
        <v>143860944</v>
      </c>
    </row>
    <row r="54" spans="2:7" x14ac:dyDescent="0.25">
      <c r="B54" s="633">
        <v>6</v>
      </c>
      <c r="C54" s="657" t="s">
        <v>6484</v>
      </c>
      <c r="D54" s="657"/>
      <c r="E54" s="663"/>
      <c r="F54" s="659"/>
      <c r="G54" s="659"/>
    </row>
    <row r="55" spans="2:7" x14ac:dyDescent="0.25">
      <c r="B55" s="647">
        <v>6.1</v>
      </c>
      <c r="C55" s="658" t="s">
        <v>6684</v>
      </c>
      <c r="D55" s="647" t="s">
        <v>5424</v>
      </c>
      <c r="E55" s="656">
        <v>2</v>
      </c>
      <c r="F55" s="654">
        <f>+'Pto Sum L16'!$E$2451*0.8+'OC L16'!E635</f>
        <v>56416975.224100009</v>
      </c>
      <c r="G55" s="665">
        <f>F55*E55</f>
        <v>112833950.44820002</v>
      </c>
    </row>
    <row r="56" spans="2:7" x14ac:dyDescent="0.25">
      <c r="B56" s="633">
        <v>7</v>
      </c>
      <c r="C56" s="657" t="s">
        <v>6668</v>
      </c>
      <c r="D56" s="633"/>
      <c r="E56" s="663"/>
      <c r="F56" s="659"/>
      <c r="G56" s="659"/>
    </row>
    <row r="57" spans="2:7" x14ac:dyDescent="0.25">
      <c r="B57" s="647">
        <v>7.1</v>
      </c>
      <c r="C57" s="658" t="s">
        <v>6625</v>
      </c>
      <c r="D57" s="647" t="s">
        <v>5424</v>
      </c>
      <c r="E57" s="656">
        <f>+E53+E51</f>
        <v>14</v>
      </c>
      <c r="F57" s="654">
        <f>+'Pto Sum L16'!$E$2453+'OC L16'!E637</f>
        <v>2794347</v>
      </c>
      <c r="G57" s="665">
        <f>F57*E57</f>
        <v>39120858</v>
      </c>
    </row>
    <row r="58" spans="2:7" x14ac:dyDescent="0.25">
      <c r="B58" s="633">
        <v>8</v>
      </c>
      <c r="C58" s="657" t="s">
        <v>6497</v>
      </c>
      <c r="D58" s="657"/>
      <c r="E58" s="663"/>
      <c r="F58" s="659"/>
      <c r="G58" s="659"/>
    </row>
    <row r="59" spans="2:7" x14ac:dyDescent="0.25">
      <c r="B59" s="647">
        <v>8.1</v>
      </c>
      <c r="C59" s="658" t="s">
        <v>6691</v>
      </c>
      <c r="D59" s="647" t="s">
        <v>5402</v>
      </c>
      <c r="E59" s="656">
        <v>40</v>
      </c>
      <c r="F59" s="654">
        <f>+'OC L16'!E639</f>
        <v>1845838</v>
      </c>
      <c r="G59" s="665">
        <f>F59*E59</f>
        <v>73833520</v>
      </c>
    </row>
    <row r="60" spans="2:7" x14ac:dyDescent="0.25">
      <c r="B60" s="633"/>
      <c r="C60" s="641" t="s">
        <v>6671</v>
      </c>
      <c r="D60" s="633"/>
      <c r="E60" s="633"/>
      <c r="F60" s="634"/>
      <c r="G60" s="642">
        <f>SUM(G45:G59)</f>
        <v>970130855.05289006</v>
      </c>
    </row>
    <row r="62" spans="2:7" x14ac:dyDescent="0.25">
      <c r="C62" s="641" t="s">
        <v>6672</v>
      </c>
      <c r="D62" s="658"/>
      <c r="E62" s="647"/>
      <c r="F62" s="654"/>
      <c r="G62" s="681">
        <f>+G60+G40</f>
        <v>1598702656.5659761</v>
      </c>
    </row>
    <row r="63" spans="2:7" x14ac:dyDescent="0.25">
      <c r="C63" s="641" t="s">
        <v>6673</v>
      </c>
      <c r="D63" s="680">
        <v>0.25</v>
      </c>
      <c r="E63" s="647"/>
      <c r="F63" s="654"/>
      <c r="G63" s="682">
        <f>+G62*D63</f>
        <v>399675664.14149404</v>
      </c>
    </row>
    <row r="64" spans="2:7" x14ac:dyDescent="0.25">
      <c r="C64" s="641" t="s">
        <v>6674</v>
      </c>
      <c r="D64" s="647"/>
      <c r="E64" s="647"/>
      <c r="F64" s="654"/>
      <c r="G64" s="681">
        <f>+G62+G63</f>
        <v>1998378320.7074702</v>
      </c>
    </row>
    <row r="65" spans="3:7" x14ac:dyDescent="0.25">
      <c r="C65" s="641" t="s">
        <v>6675</v>
      </c>
      <c r="D65" s="680">
        <v>0.08</v>
      </c>
      <c r="E65" s="647"/>
      <c r="F65" s="654"/>
      <c r="G65" s="682">
        <f>+G62*D65</f>
        <v>127896212.52527809</v>
      </c>
    </row>
    <row r="66" spans="3:7" x14ac:dyDescent="0.25">
      <c r="G66" s="681">
        <f>+G64+G65</f>
        <v>2126274533.2327483</v>
      </c>
    </row>
    <row r="68" spans="3:7" x14ac:dyDescent="0.25">
      <c r="G68" s="672"/>
    </row>
  </sheetData>
  <mergeCells count="3">
    <mergeCell ref="B6:C6"/>
    <mergeCell ref="B43:C43"/>
    <mergeCell ref="B2:F2"/>
  </mergeCells>
  <pageMargins left="1" right="1" top="1" bottom="1" header="0.5" footer="0.5"/>
  <pageSetup scale="65" fitToHeight="0" orientation="portrait"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L85"/>
  <sheetViews>
    <sheetView view="pageBreakPreview" topLeftCell="A10" zoomScale="85" zoomScaleNormal="100" zoomScaleSheetLayoutView="85" workbookViewId="0">
      <selection activeCell="G43" sqref="G43"/>
    </sheetView>
  </sheetViews>
  <sheetFormatPr baseColWidth="10" defaultRowHeight="16.5" x14ac:dyDescent="0.3"/>
  <cols>
    <col min="1" max="1" width="8.42578125" style="844" customWidth="1"/>
    <col min="2" max="2" width="70.5703125" style="844" bestFit="1" customWidth="1"/>
    <col min="3" max="3" width="6.42578125" style="844" bestFit="1" customWidth="1"/>
    <col min="4" max="4" width="9.42578125" style="844" bestFit="1" customWidth="1"/>
    <col min="5" max="5" width="13.85546875" style="844" bestFit="1" customWidth="1"/>
    <col min="6" max="6" width="17.28515625" style="844" customWidth="1"/>
    <col min="7" max="7" width="19.28515625" style="844" customWidth="1"/>
    <col min="8" max="8" width="22.28515625" style="844" customWidth="1"/>
    <col min="9" max="16384" width="11.42578125" style="844"/>
  </cols>
  <sheetData>
    <row r="1" spans="1:8" ht="16.5" customHeight="1" x14ac:dyDescent="0.3">
      <c r="A1" s="2326" t="s">
        <v>9817</v>
      </c>
      <c r="B1" s="2326"/>
      <c r="C1" s="2326"/>
      <c r="D1" s="2326"/>
      <c r="E1" s="2326"/>
      <c r="F1" s="2326"/>
      <c r="G1" s="2326"/>
      <c r="H1" s="2326"/>
    </row>
    <row r="2" spans="1:8" ht="51.75" customHeight="1" x14ac:dyDescent="0.3">
      <c r="A2" s="2326"/>
      <c r="B2" s="2326"/>
      <c r="C2" s="2326"/>
      <c r="D2" s="2326"/>
      <c r="E2" s="2326"/>
      <c r="F2" s="2326"/>
      <c r="G2" s="2326"/>
      <c r="H2" s="2326"/>
    </row>
    <row r="3" spans="1:8" ht="15" customHeight="1" x14ac:dyDescent="0.3">
      <c r="A3" s="2326"/>
      <c r="B3" s="2326"/>
      <c r="C3" s="2326"/>
      <c r="D3" s="2326"/>
      <c r="E3" s="2326"/>
      <c r="F3" s="2326"/>
      <c r="G3" s="2326"/>
      <c r="H3" s="2326"/>
    </row>
    <row r="4" spans="1:8" ht="20.25" customHeight="1" x14ac:dyDescent="0.3">
      <c r="A4" s="2327" t="s">
        <v>9839</v>
      </c>
      <c r="B4" s="2327"/>
      <c r="C4" s="2327"/>
      <c r="D4" s="2327"/>
      <c r="E4" s="2327"/>
      <c r="F4" s="2327"/>
      <c r="G4" s="2327"/>
      <c r="H4" s="2327"/>
    </row>
    <row r="5" spans="1:8" x14ac:dyDescent="0.3">
      <c r="A5" s="2321" t="s">
        <v>2</v>
      </c>
      <c r="B5" s="2321"/>
      <c r="C5" s="947" t="s">
        <v>6616</v>
      </c>
      <c r="D5" s="2062" t="s">
        <v>6617</v>
      </c>
      <c r="E5" s="948" t="s">
        <v>6618</v>
      </c>
      <c r="F5" s="949" t="s">
        <v>9831</v>
      </c>
      <c r="G5" s="949" t="s">
        <v>9864</v>
      </c>
      <c r="H5" s="949" t="s">
        <v>9865</v>
      </c>
    </row>
    <row r="6" spans="1:8" x14ac:dyDescent="0.3">
      <c r="A6" s="860"/>
      <c r="B6" s="885" t="s">
        <v>8167</v>
      </c>
      <c r="C6" s="849"/>
      <c r="D6" s="845"/>
      <c r="E6" s="846"/>
      <c r="F6" s="847"/>
      <c r="G6" s="857"/>
      <c r="H6" s="857"/>
    </row>
    <row r="7" spans="1:8" x14ac:dyDescent="0.3">
      <c r="A7" s="1453">
        <v>1.1000000000000001</v>
      </c>
      <c r="B7" s="844" t="s">
        <v>7204</v>
      </c>
      <c r="C7" s="853" t="s">
        <v>5734</v>
      </c>
      <c r="D7" s="893">
        <v>1877</v>
      </c>
      <c r="E7" s="2066">
        <v>1913</v>
      </c>
      <c r="F7" s="2091">
        <f>ROUND(E7*D7,0)</f>
        <v>3590701</v>
      </c>
      <c r="G7" s="2176">
        <f>+ROUND(E7*0.9,0)</f>
        <v>1722</v>
      </c>
      <c r="H7" s="2176">
        <f>+ROUND(E7*1.1,0)</f>
        <v>2104</v>
      </c>
    </row>
    <row r="8" spans="1:8" x14ac:dyDescent="0.3">
      <c r="A8" s="860"/>
      <c r="B8" s="859" t="s">
        <v>6626</v>
      </c>
      <c r="C8" s="834"/>
      <c r="D8" s="845"/>
      <c r="E8" s="2096"/>
      <c r="F8" s="857"/>
      <c r="G8" s="857"/>
      <c r="H8" s="857"/>
    </row>
    <row r="9" spans="1:8" x14ac:dyDescent="0.3">
      <c r="A9" s="1453" t="s">
        <v>5458</v>
      </c>
      <c r="B9" s="1654" t="s">
        <v>5968</v>
      </c>
      <c r="C9" s="853" t="s">
        <v>6858</v>
      </c>
      <c r="D9" s="893">
        <v>1998.56</v>
      </c>
      <c r="E9" s="2066">
        <v>24270</v>
      </c>
      <c r="F9" s="2091">
        <f t="shared" ref="F9:F31" si="0">ROUND(E9*D9,0)</f>
        <v>48505051</v>
      </c>
      <c r="G9" s="2176">
        <f t="shared" ref="G9:G31" si="1">+ROUND(E9*0.9,0)</f>
        <v>21843</v>
      </c>
      <c r="H9" s="2176">
        <f t="shared" ref="H9:H31" si="2">+ROUND(E9*1.1,0)</f>
        <v>26697</v>
      </c>
    </row>
    <row r="10" spans="1:8" x14ac:dyDescent="0.3">
      <c r="A10" s="1453" t="s">
        <v>89</v>
      </c>
      <c r="B10" s="1654" t="s">
        <v>9005</v>
      </c>
      <c r="C10" s="853" t="s">
        <v>6858</v>
      </c>
      <c r="D10" s="893">
        <v>105.19</v>
      </c>
      <c r="E10" s="2066">
        <v>53003</v>
      </c>
      <c r="F10" s="2091">
        <f t="shared" si="0"/>
        <v>5575386</v>
      </c>
      <c r="G10" s="2176">
        <f t="shared" si="1"/>
        <v>47703</v>
      </c>
      <c r="H10" s="2176">
        <f t="shared" si="2"/>
        <v>58303</v>
      </c>
    </row>
    <row r="11" spans="1:8" x14ac:dyDescent="0.3">
      <c r="A11" s="860"/>
      <c r="B11" s="859" t="s">
        <v>7199</v>
      </c>
      <c r="C11" s="834"/>
      <c r="D11" s="845"/>
      <c r="E11" s="2096"/>
      <c r="F11" s="857"/>
      <c r="G11" s="857"/>
      <c r="H11" s="857"/>
    </row>
    <row r="12" spans="1:8" x14ac:dyDescent="0.3">
      <c r="A12" s="1453" t="s">
        <v>8573</v>
      </c>
      <c r="B12" s="1654" t="s">
        <v>8996</v>
      </c>
      <c r="C12" s="853" t="s">
        <v>5402</v>
      </c>
      <c r="D12" s="893">
        <v>1877</v>
      </c>
      <c r="E12" s="2066">
        <v>35070</v>
      </c>
      <c r="F12" s="2091">
        <f t="shared" si="0"/>
        <v>65826390</v>
      </c>
      <c r="G12" s="2176">
        <f t="shared" si="1"/>
        <v>31563</v>
      </c>
      <c r="H12" s="2176">
        <f t="shared" si="2"/>
        <v>38577</v>
      </c>
    </row>
    <row r="13" spans="1:8" x14ac:dyDescent="0.3">
      <c r="A13" s="1453" t="s">
        <v>8681</v>
      </c>
      <c r="B13" s="1654" t="s">
        <v>8997</v>
      </c>
      <c r="C13" s="853" t="s">
        <v>37</v>
      </c>
      <c r="D13" s="893">
        <v>46</v>
      </c>
      <c r="E13" s="2066">
        <v>69603</v>
      </c>
      <c r="F13" s="2091">
        <f t="shared" si="0"/>
        <v>3201738</v>
      </c>
      <c r="G13" s="2176">
        <f t="shared" si="1"/>
        <v>62643</v>
      </c>
      <c r="H13" s="2176">
        <f t="shared" si="2"/>
        <v>76563</v>
      </c>
    </row>
    <row r="14" spans="1:8" x14ac:dyDescent="0.3">
      <c r="A14" s="860"/>
      <c r="B14" s="886" t="s">
        <v>6642</v>
      </c>
      <c r="C14" s="849"/>
      <c r="D14" s="845"/>
      <c r="E14" s="2090"/>
      <c r="F14" s="858"/>
      <c r="G14" s="858"/>
      <c r="H14" s="858"/>
    </row>
    <row r="15" spans="1:8" x14ac:dyDescent="0.3">
      <c r="A15" s="1453" t="s">
        <v>95</v>
      </c>
      <c r="B15" s="1654" t="s">
        <v>7959</v>
      </c>
      <c r="C15" s="853" t="s">
        <v>6858</v>
      </c>
      <c r="D15" s="893">
        <v>140.25</v>
      </c>
      <c r="E15" s="2066">
        <v>60853</v>
      </c>
      <c r="F15" s="2091">
        <f t="shared" si="0"/>
        <v>8534633</v>
      </c>
      <c r="G15" s="2176">
        <f t="shared" si="1"/>
        <v>54768</v>
      </c>
      <c r="H15" s="2176">
        <f t="shared" si="2"/>
        <v>66938</v>
      </c>
    </row>
    <row r="16" spans="1:8" x14ac:dyDescent="0.3">
      <c r="A16" s="860"/>
      <c r="B16" s="859" t="s">
        <v>6660</v>
      </c>
      <c r="C16" s="834"/>
      <c r="D16" s="845"/>
      <c r="E16" s="2096"/>
      <c r="F16" s="857"/>
      <c r="G16" s="857"/>
      <c r="H16" s="857"/>
    </row>
    <row r="17" spans="1:8" x14ac:dyDescent="0.3">
      <c r="A17" s="1453" t="s">
        <v>98</v>
      </c>
      <c r="B17" s="1654" t="s">
        <v>6632</v>
      </c>
      <c r="C17" s="853" t="s">
        <v>7941</v>
      </c>
      <c r="D17" s="1458">
        <v>40195.089999999997</v>
      </c>
      <c r="E17" s="2066">
        <v>2912</v>
      </c>
      <c r="F17" s="2091">
        <f t="shared" si="0"/>
        <v>117048102</v>
      </c>
      <c r="G17" s="2176">
        <f t="shared" si="1"/>
        <v>2621</v>
      </c>
      <c r="H17" s="2176">
        <f t="shared" si="2"/>
        <v>3203</v>
      </c>
    </row>
    <row r="18" spans="1:8" x14ac:dyDescent="0.3">
      <c r="A18" s="1453" t="s">
        <v>99</v>
      </c>
      <c r="B18" s="1654" t="s">
        <v>9833</v>
      </c>
      <c r="C18" s="853" t="s">
        <v>6414</v>
      </c>
      <c r="D18" s="893">
        <v>1740</v>
      </c>
      <c r="E18" s="2066">
        <v>2559</v>
      </c>
      <c r="F18" s="2091">
        <f t="shared" si="0"/>
        <v>4452660</v>
      </c>
      <c r="G18" s="2176">
        <f t="shared" si="1"/>
        <v>2303</v>
      </c>
      <c r="H18" s="2176">
        <f t="shared" si="2"/>
        <v>2815</v>
      </c>
    </row>
    <row r="19" spans="1:8" x14ac:dyDescent="0.3">
      <c r="A19" s="860"/>
      <c r="B19" s="859" t="s">
        <v>6637</v>
      </c>
      <c r="C19" s="849"/>
      <c r="D19" s="845"/>
      <c r="E19" s="2096"/>
      <c r="F19" s="857"/>
      <c r="G19" s="857"/>
      <c r="H19" s="857"/>
    </row>
    <row r="20" spans="1:8" x14ac:dyDescent="0.3">
      <c r="A20" s="1453" t="s">
        <v>1073</v>
      </c>
      <c r="B20" s="1654" t="s">
        <v>8530</v>
      </c>
      <c r="C20" s="853" t="s">
        <v>5402</v>
      </c>
      <c r="D20" s="893">
        <v>1877</v>
      </c>
      <c r="E20" s="2066">
        <v>89079</v>
      </c>
      <c r="F20" s="2091">
        <f t="shared" si="0"/>
        <v>167201283</v>
      </c>
      <c r="G20" s="2176">
        <f t="shared" si="1"/>
        <v>80171</v>
      </c>
      <c r="H20" s="2176">
        <f t="shared" si="2"/>
        <v>97987</v>
      </c>
    </row>
    <row r="21" spans="1:8" x14ac:dyDescent="0.3">
      <c r="A21" s="1453">
        <v>4.7</v>
      </c>
      <c r="B21" s="1654" t="s">
        <v>9715</v>
      </c>
      <c r="C21" s="853" t="s">
        <v>5424</v>
      </c>
      <c r="D21" s="893">
        <v>52</v>
      </c>
      <c r="E21" s="2066">
        <v>64175</v>
      </c>
      <c r="F21" s="2091">
        <f t="shared" si="0"/>
        <v>3337100</v>
      </c>
      <c r="G21" s="2176">
        <f t="shared" si="1"/>
        <v>57758</v>
      </c>
      <c r="H21" s="2176">
        <f t="shared" si="2"/>
        <v>70593</v>
      </c>
    </row>
    <row r="22" spans="1:8" x14ac:dyDescent="0.3">
      <c r="A22" s="1453"/>
      <c r="B22" s="887" t="s">
        <v>6642</v>
      </c>
      <c r="C22" s="849"/>
      <c r="D22" s="845"/>
      <c r="E22" s="2096"/>
      <c r="F22" s="857"/>
      <c r="G22" s="857"/>
      <c r="H22" s="857"/>
    </row>
    <row r="23" spans="1:8" x14ac:dyDescent="0.3">
      <c r="A23" s="1453" t="s">
        <v>96</v>
      </c>
      <c r="B23" s="1654" t="s">
        <v>5463</v>
      </c>
      <c r="C23" s="853" t="s">
        <v>6858</v>
      </c>
      <c r="D23" s="893">
        <v>1367.94</v>
      </c>
      <c r="E23" s="2066">
        <v>10017</v>
      </c>
      <c r="F23" s="2091">
        <f t="shared" si="0"/>
        <v>13702655</v>
      </c>
      <c r="G23" s="2176">
        <f t="shared" si="1"/>
        <v>9015</v>
      </c>
      <c r="H23" s="2176">
        <f t="shared" si="2"/>
        <v>11019</v>
      </c>
    </row>
    <row r="24" spans="1:8" ht="33" x14ac:dyDescent="0.3">
      <c r="A24" s="1463" t="s">
        <v>97</v>
      </c>
      <c r="B24" s="1074" t="s">
        <v>9819</v>
      </c>
      <c r="C24" s="1460" t="s">
        <v>6858</v>
      </c>
      <c r="D24" s="1075">
        <v>351.94</v>
      </c>
      <c r="E24" s="2066">
        <v>52233</v>
      </c>
      <c r="F24" s="2083">
        <f t="shared" si="0"/>
        <v>18382882</v>
      </c>
      <c r="G24" s="2176">
        <f t="shared" si="1"/>
        <v>47010</v>
      </c>
      <c r="H24" s="2176">
        <f t="shared" si="2"/>
        <v>57456</v>
      </c>
    </row>
    <row r="25" spans="1:8" x14ac:dyDescent="0.3">
      <c r="A25" s="860"/>
      <c r="B25" s="887" t="s">
        <v>6648</v>
      </c>
      <c r="C25" s="849"/>
      <c r="D25" s="845"/>
      <c r="E25" s="2096"/>
      <c r="F25" s="857"/>
      <c r="G25" s="857"/>
      <c r="H25" s="857"/>
    </row>
    <row r="26" spans="1:8" x14ac:dyDescent="0.3">
      <c r="A26" s="1453" t="s">
        <v>138</v>
      </c>
      <c r="B26" s="1654" t="s">
        <v>5681</v>
      </c>
      <c r="C26" s="853" t="s">
        <v>6858</v>
      </c>
      <c r="D26" s="893">
        <v>90</v>
      </c>
      <c r="E26" s="2066">
        <v>138838</v>
      </c>
      <c r="F26" s="2091">
        <f t="shared" si="0"/>
        <v>12495420</v>
      </c>
      <c r="G26" s="2176">
        <f t="shared" si="1"/>
        <v>124954</v>
      </c>
      <c r="H26" s="2176">
        <f t="shared" si="2"/>
        <v>152722</v>
      </c>
    </row>
    <row r="27" spans="1:8" x14ac:dyDescent="0.3">
      <c r="A27" s="1453" t="s">
        <v>5976</v>
      </c>
      <c r="B27" s="1654" t="s">
        <v>7982</v>
      </c>
      <c r="C27" s="853" t="s">
        <v>6858</v>
      </c>
      <c r="D27" s="893">
        <v>125.99999999999999</v>
      </c>
      <c r="E27" s="2066">
        <v>34912</v>
      </c>
      <c r="F27" s="2091">
        <f t="shared" si="0"/>
        <v>4398912</v>
      </c>
      <c r="G27" s="2176">
        <f t="shared" si="1"/>
        <v>31421</v>
      </c>
      <c r="H27" s="2176">
        <f t="shared" si="2"/>
        <v>38403</v>
      </c>
    </row>
    <row r="28" spans="1:8" x14ac:dyDescent="0.3">
      <c r="A28" s="860"/>
      <c r="B28" s="886" t="s">
        <v>7200</v>
      </c>
      <c r="C28" s="849"/>
      <c r="D28" s="845"/>
      <c r="E28" s="2096"/>
      <c r="F28" s="857"/>
      <c r="G28" s="857"/>
      <c r="H28" s="857"/>
    </row>
    <row r="29" spans="1:8" x14ac:dyDescent="0.3">
      <c r="A29" s="1453">
        <v>5.0999999999999996</v>
      </c>
      <c r="B29" s="1654" t="s">
        <v>5584</v>
      </c>
      <c r="C29" s="853" t="s">
        <v>6858</v>
      </c>
      <c r="D29" s="893">
        <v>90</v>
      </c>
      <c r="E29" s="2066">
        <v>502865</v>
      </c>
      <c r="F29" s="2091">
        <f t="shared" si="0"/>
        <v>45257850</v>
      </c>
      <c r="G29" s="2176">
        <f t="shared" si="1"/>
        <v>452579</v>
      </c>
      <c r="H29" s="2176">
        <f t="shared" si="2"/>
        <v>553152</v>
      </c>
    </row>
    <row r="30" spans="1:8" x14ac:dyDescent="0.3">
      <c r="A30" s="860"/>
      <c r="B30" s="859" t="s">
        <v>9393</v>
      </c>
      <c r="C30" s="849"/>
      <c r="D30" s="845"/>
      <c r="E30" s="2090"/>
      <c r="F30" s="856"/>
      <c r="G30" s="857"/>
      <c r="H30" s="857"/>
    </row>
    <row r="31" spans="1:8" x14ac:dyDescent="0.3">
      <c r="A31" s="1453" t="s">
        <v>684</v>
      </c>
      <c r="B31" s="1449" t="s">
        <v>9064</v>
      </c>
      <c r="C31" s="853" t="s">
        <v>5402</v>
      </c>
      <c r="D31" s="893">
        <v>1877</v>
      </c>
      <c r="E31" s="2066">
        <v>15374</v>
      </c>
      <c r="F31" s="2091">
        <f t="shared" si="0"/>
        <v>28856998</v>
      </c>
      <c r="G31" s="2176">
        <f t="shared" si="1"/>
        <v>13837</v>
      </c>
      <c r="H31" s="2176">
        <f t="shared" si="2"/>
        <v>16911</v>
      </c>
    </row>
    <row r="32" spans="1:8" x14ac:dyDescent="0.3">
      <c r="A32" s="1451"/>
      <c r="B32" s="1654"/>
      <c r="C32" s="2343" t="s">
        <v>8068</v>
      </c>
      <c r="D32" s="2343"/>
      <c r="E32" s="2343"/>
      <c r="F32" s="2099">
        <f>+ROUND(SUM(F6:F31),0)</f>
        <v>550367761</v>
      </c>
    </row>
    <row r="33" spans="1:12" x14ac:dyDescent="0.3">
      <c r="A33" s="2355"/>
      <c r="B33" s="2356"/>
      <c r="C33" s="2356"/>
      <c r="D33" s="2356"/>
      <c r="E33" s="2356"/>
      <c r="F33" s="2356"/>
    </row>
    <row r="34" spans="1:12" x14ac:dyDescent="0.3">
      <c r="A34" s="2321" t="s">
        <v>8351</v>
      </c>
      <c r="B34" s="2321"/>
      <c r="C34" s="947" t="s">
        <v>6616</v>
      </c>
      <c r="D34" s="2062" t="s">
        <v>6617</v>
      </c>
      <c r="E34" s="948" t="s">
        <v>6618</v>
      </c>
      <c r="F34" s="949" t="s">
        <v>9831</v>
      </c>
      <c r="G34" s="949" t="s">
        <v>9864</v>
      </c>
      <c r="H34" s="949" t="s">
        <v>9865</v>
      </c>
    </row>
    <row r="35" spans="1:12" ht="33" x14ac:dyDescent="0.3">
      <c r="A35" s="1463" t="s">
        <v>8867</v>
      </c>
      <c r="B35" s="1459" t="s">
        <v>9713</v>
      </c>
      <c r="C35" s="1076" t="s">
        <v>5402</v>
      </c>
      <c r="D35" s="1476">
        <v>1877</v>
      </c>
      <c r="E35" s="2066">
        <v>640994</v>
      </c>
      <c r="F35" s="2083">
        <f t="shared" ref="F35:F40" si="3">ROUND(E35*D35,0)</f>
        <v>1203145738</v>
      </c>
      <c r="G35" s="2176">
        <f t="shared" ref="G35" si="4">+ROUND(E35*0.9,0)</f>
        <v>576895</v>
      </c>
      <c r="H35" s="2176">
        <f t="shared" ref="H35" si="5">+ROUND(E35*1.1,0)</f>
        <v>705093</v>
      </c>
    </row>
    <row r="36" spans="1:12" ht="33" x14ac:dyDescent="0.3">
      <c r="A36" s="1463" t="s">
        <v>8862</v>
      </c>
      <c r="B36" s="2098" t="s">
        <v>9188</v>
      </c>
      <c r="C36" s="1076" t="s">
        <v>5424</v>
      </c>
      <c r="D36" s="1476">
        <v>8</v>
      </c>
      <c r="E36" s="2066">
        <v>7695011</v>
      </c>
      <c r="F36" s="2083">
        <f t="shared" si="3"/>
        <v>61560088</v>
      </c>
      <c r="G36" s="2176">
        <f t="shared" ref="G36:G40" si="6">+ROUND(E36*0.9,0)</f>
        <v>6925510</v>
      </c>
      <c r="H36" s="2176">
        <f t="shared" ref="H36:H40" si="7">+ROUND(E36*1.1,0)</f>
        <v>8464512</v>
      </c>
    </row>
    <row r="37" spans="1:12" x14ac:dyDescent="0.3">
      <c r="A37" s="1463" t="s">
        <v>8691</v>
      </c>
      <c r="B37" s="1726" t="s">
        <v>9840</v>
      </c>
      <c r="C37" s="1076" t="s">
        <v>5424</v>
      </c>
      <c r="D37" s="1476">
        <v>13</v>
      </c>
      <c r="E37" s="2066">
        <v>1583117</v>
      </c>
      <c r="F37" s="2083">
        <f t="shared" si="3"/>
        <v>20580521</v>
      </c>
      <c r="G37" s="2176">
        <f t="shared" si="6"/>
        <v>1424805</v>
      </c>
      <c r="H37" s="2176">
        <f t="shared" si="7"/>
        <v>1741429</v>
      </c>
    </row>
    <row r="38" spans="1:12" x14ac:dyDescent="0.3">
      <c r="A38" s="1463" t="s">
        <v>8695</v>
      </c>
      <c r="B38" s="1726" t="s">
        <v>9841</v>
      </c>
      <c r="C38" s="1076" t="s">
        <v>5424</v>
      </c>
      <c r="D38" s="1476">
        <v>21</v>
      </c>
      <c r="E38" s="2066">
        <v>1583117</v>
      </c>
      <c r="F38" s="2083">
        <f t="shared" si="3"/>
        <v>33245457</v>
      </c>
      <c r="G38" s="2176">
        <f t="shared" si="6"/>
        <v>1424805</v>
      </c>
      <c r="H38" s="2176">
        <f t="shared" si="7"/>
        <v>1741429</v>
      </c>
    </row>
    <row r="39" spans="1:12" x14ac:dyDescent="0.3">
      <c r="A39" s="1463" t="s">
        <v>8702</v>
      </c>
      <c r="B39" s="1726" t="s">
        <v>9842</v>
      </c>
      <c r="C39" s="1076" t="s">
        <v>5424</v>
      </c>
      <c r="D39" s="1476">
        <v>8</v>
      </c>
      <c r="E39" s="2066">
        <v>1639344</v>
      </c>
      <c r="F39" s="2083">
        <f t="shared" si="3"/>
        <v>13114752</v>
      </c>
      <c r="G39" s="2176">
        <f t="shared" si="6"/>
        <v>1475410</v>
      </c>
      <c r="H39" s="2176">
        <f t="shared" si="7"/>
        <v>1803278</v>
      </c>
    </row>
    <row r="40" spans="1:12" x14ac:dyDescent="0.3">
      <c r="A40" s="1463" t="s">
        <v>8716</v>
      </c>
      <c r="B40" s="1726" t="s">
        <v>9843</v>
      </c>
      <c r="C40" s="1076" t="s">
        <v>5424</v>
      </c>
      <c r="D40" s="1476">
        <v>2</v>
      </c>
      <c r="E40" s="2066">
        <v>1715564</v>
      </c>
      <c r="F40" s="2083">
        <f t="shared" si="3"/>
        <v>3431128</v>
      </c>
      <c r="G40" s="2176">
        <f t="shared" si="6"/>
        <v>1544008</v>
      </c>
      <c r="H40" s="2176">
        <f t="shared" si="7"/>
        <v>1887120</v>
      </c>
    </row>
    <row r="41" spans="1:12" x14ac:dyDescent="0.3">
      <c r="C41" s="2343" t="s">
        <v>8069</v>
      </c>
      <c r="D41" s="2343"/>
      <c r="E41" s="2343"/>
      <c r="F41" s="2086">
        <f>+ROUND(SUM(F35:F40),0)</f>
        <v>1335077684</v>
      </c>
    </row>
    <row r="48" spans="1:12" x14ac:dyDescent="0.3">
      <c r="A48" s="1607"/>
      <c r="B48" s="1607"/>
      <c r="C48" s="1607"/>
      <c r="D48" s="1607"/>
      <c r="E48" s="1607"/>
      <c r="F48" s="1607"/>
      <c r="G48" s="1607"/>
      <c r="H48" s="1607"/>
      <c r="I48" s="1607"/>
      <c r="J48" s="1607"/>
      <c r="K48" s="1607"/>
      <c r="L48" s="1607"/>
    </row>
    <row r="49" spans="1:12" x14ac:dyDescent="0.3">
      <c r="A49" s="1607"/>
      <c r="B49" s="1607"/>
      <c r="C49" s="1607"/>
      <c r="D49" s="1607"/>
      <c r="E49" s="1607"/>
      <c r="F49" s="1607"/>
      <c r="G49" s="1607"/>
      <c r="H49" s="1607"/>
      <c r="I49" s="1607"/>
      <c r="J49" s="1607"/>
      <c r="K49" s="1607"/>
      <c r="L49" s="1607"/>
    </row>
    <row r="50" spans="1:12" x14ac:dyDescent="0.3">
      <c r="A50" s="1607"/>
      <c r="B50" s="1607"/>
      <c r="C50" s="1607"/>
      <c r="D50" s="1607"/>
      <c r="E50" s="1607"/>
      <c r="F50" s="1607"/>
      <c r="G50" s="1607"/>
      <c r="H50" s="1607"/>
      <c r="I50" s="1607"/>
      <c r="J50" s="1607"/>
      <c r="K50" s="1607"/>
      <c r="L50" s="1607"/>
    </row>
    <row r="51" spans="1:12" x14ac:dyDescent="0.3">
      <c r="A51" s="1607"/>
      <c r="B51" s="1607"/>
      <c r="C51" s="1607"/>
      <c r="D51" s="1607"/>
      <c r="E51" s="1607"/>
      <c r="F51" s="1607"/>
      <c r="G51" s="1607"/>
      <c r="H51" s="1607"/>
      <c r="I51" s="1607"/>
      <c r="J51" s="1607"/>
      <c r="K51" s="1607"/>
      <c r="L51" s="1607"/>
    </row>
    <row r="52" spans="1:12" x14ac:dyDescent="0.3">
      <c r="A52" s="1607"/>
      <c r="B52" s="1607"/>
      <c r="C52" s="1607"/>
      <c r="D52" s="1607"/>
      <c r="E52" s="1607"/>
      <c r="F52" s="1607"/>
      <c r="G52" s="1607"/>
      <c r="H52" s="1607"/>
      <c r="I52" s="1607"/>
      <c r="J52" s="1607"/>
      <c r="K52" s="1607"/>
      <c r="L52" s="1607"/>
    </row>
    <row r="53" spans="1:12" x14ac:dyDescent="0.3">
      <c r="A53" s="1607"/>
      <c r="B53" s="1607"/>
      <c r="C53" s="1607"/>
      <c r="D53" s="1607"/>
      <c r="E53" s="1607"/>
      <c r="F53" s="1607"/>
      <c r="G53" s="1607"/>
      <c r="H53" s="1607"/>
      <c r="I53" s="1607"/>
      <c r="J53" s="1607"/>
      <c r="K53" s="1607"/>
      <c r="L53" s="1607"/>
    </row>
    <row r="54" spans="1:12" x14ac:dyDescent="0.3">
      <c r="A54" s="1607"/>
      <c r="B54" s="1607"/>
      <c r="C54" s="1607"/>
      <c r="D54" s="1607"/>
      <c r="E54" s="1607"/>
      <c r="F54" s="1607"/>
      <c r="G54" s="1607"/>
      <c r="H54" s="1607"/>
      <c r="I54" s="1607"/>
      <c r="J54" s="1607"/>
      <c r="K54" s="1607"/>
      <c r="L54" s="1607"/>
    </row>
    <row r="55" spans="1:12" x14ac:dyDescent="0.3">
      <c r="A55" s="1607"/>
      <c r="B55" s="1607"/>
      <c r="C55" s="1607"/>
      <c r="D55" s="1607"/>
      <c r="E55" s="1607"/>
      <c r="F55" s="1607"/>
      <c r="G55" s="1607"/>
      <c r="H55" s="1607"/>
      <c r="I55" s="1607"/>
      <c r="J55" s="1607"/>
      <c r="K55" s="1607"/>
      <c r="L55" s="1607"/>
    </row>
    <row r="56" spans="1:12" x14ac:dyDescent="0.3">
      <c r="A56" s="1607"/>
      <c r="B56" s="1607"/>
      <c r="C56" s="1607"/>
      <c r="D56" s="1607"/>
      <c r="E56" s="1607"/>
      <c r="F56" s="1607"/>
      <c r="G56" s="1607"/>
      <c r="H56" s="1607"/>
      <c r="I56" s="1607"/>
      <c r="J56" s="1607"/>
      <c r="K56" s="1607"/>
      <c r="L56" s="1607"/>
    </row>
    <row r="57" spans="1:12" x14ac:dyDescent="0.3">
      <c r="A57" s="1607"/>
      <c r="B57" s="1607"/>
      <c r="C57" s="1607"/>
      <c r="D57" s="1607"/>
      <c r="E57" s="1607"/>
      <c r="F57" s="1607"/>
      <c r="G57" s="1607"/>
      <c r="H57" s="1607"/>
      <c r="I57" s="1607"/>
      <c r="J57" s="1607"/>
      <c r="K57" s="1607"/>
      <c r="L57" s="1607"/>
    </row>
    <row r="58" spans="1:12" x14ac:dyDescent="0.3">
      <c r="A58" s="1067"/>
      <c r="B58" s="1068"/>
      <c r="C58" s="1069"/>
      <c r="D58" s="1070"/>
      <c r="E58" s="1071"/>
      <c r="F58" s="1072"/>
      <c r="G58" s="1607"/>
      <c r="H58" s="1607"/>
      <c r="I58" s="1607"/>
      <c r="J58" s="1607"/>
      <c r="K58" s="1607"/>
      <c r="L58" s="1607"/>
    </row>
    <row r="59" spans="1:12" x14ac:dyDescent="0.3">
      <c r="A59" s="1607"/>
      <c r="B59" s="1607"/>
      <c r="C59" s="1607"/>
      <c r="D59" s="1607"/>
      <c r="E59" s="1607"/>
      <c r="F59" s="1607"/>
      <c r="G59" s="1607"/>
      <c r="H59" s="1607"/>
      <c r="I59" s="1607"/>
      <c r="J59" s="1607"/>
      <c r="K59" s="1607"/>
      <c r="L59" s="1607"/>
    </row>
    <row r="60" spans="1:12" x14ac:dyDescent="0.3">
      <c r="A60" s="1607"/>
      <c r="B60" s="1607"/>
      <c r="C60" s="1607"/>
      <c r="D60" s="1607"/>
      <c r="E60" s="1607"/>
      <c r="F60" s="1607"/>
      <c r="G60" s="1607"/>
      <c r="H60" s="1607"/>
      <c r="I60" s="1607"/>
      <c r="J60" s="1607"/>
      <c r="K60" s="1607"/>
      <c r="L60" s="1607"/>
    </row>
    <row r="61" spans="1:12" x14ac:dyDescent="0.3">
      <c r="A61" s="1607"/>
      <c r="B61" s="1607"/>
      <c r="C61" s="1607"/>
      <c r="D61" s="1607"/>
      <c r="E61" s="1607"/>
      <c r="F61" s="1607"/>
      <c r="G61" s="1607"/>
      <c r="H61" s="1607"/>
      <c r="I61" s="1607"/>
      <c r="J61" s="1607"/>
      <c r="K61" s="1607"/>
      <c r="L61" s="1607"/>
    </row>
    <row r="62" spans="1:12" x14ac:dyDescent="0.3">
      <c r="A62" s="1607"/>
      <c r="B62" s="1607"/>
      <c r="C62" s="1607"/>
      <c r="D62" s="1607"/>
      <c r="E62" s="1607"/>
      <c r="F62" s="1607"/>
      <c r="G62" s="1607"/>
      <c r="H62" s="1607"/>
      <c r="I62" s="1607"/>
      <c r="J62" s="1607"/>
      <c r="K62" s="1607"/>
      <c r="L62" s="1607"/>
    </row>
    <row r="63" spans="1:12" x14ac:dyDescent="0.3">
      <c r="A63" s="1607"/>
      <c r="B63" s="1607"/>
      <c r="C63" s="1607"/>
      <c r="D63" s="1607"/>
      <c r="E63" s="1607"/>
      <c r="F63" s="1607"/>
      <c r="G63" s="1607"/>
      <c r="H63" s="1607"/>
      <c r="I63" s="1607"/>
      <c r="J63" s="1607"/>
      <c r="K63" s="1607"/>
      <c r="L63" s="1607"/>
    </row>
    <row r="64" spans="1:12" x14ac:dyDescent="0.3">
      <c r="A64" s="1607"/>
      <c r="B64" s="1607"/>
      <c r="C64" s="1607"/>
      <c r="D64" s="1607"/>
      <c r="E64" s="1607"/>
      <c r="F64" s="1607"/>
      <c r="G64" s="1607"/>
      <c r="H64" s="1607"/>
      <c r="I64" s="1607"/>
      <c r="J64" s="1607"/>
      <c r="K64" s="1607"/>
      <c r="L64" s="1607"/>
    </row>
    <row r="65" spans="1:12" x14ac:dyDescent="0.3">
      <c r="A65" s="1607"/>
      <c r="B65" s="1607"/>
      <c r="C65" s="2097"/>
      <c r="D65" s="2097"/>
      <c r="E65" s="2097"/>
      <c r="F65" s="2097"/>
      <c r="G65" s="1607"/>
      <c r="H65" s="1607"/>
      <c r="I65" s="1607"/>
      <c r="J65" s="1607"/>
      <c r="K65" s="1607"/>
      <c r="L65" s="1607"/>
    </row>
    <row r="66" spans="1:12" x14ac:dyDescent="0.3">
      <c r="A66" s="1607"/>
      <c r="B66" s="1607"/>
      <c r="C66" s="2097"/>
      <c r="D66" s="2097"/>
      <c r="E66" s="2097"/>
      <c r="F66" s="2097"/>
      <c r="G66" s="1607"/>
      <c r="H66" s="1607"/>
      <c r="I66" s="1607"/>
      <c r="J66" s="1607"/>
      <c r="K66" s="1607"/>
      <c r="L66" s="1607"/>
    </row>
    <row r="67" spans="1:12" x14ac:dyDescent="0.3">
      <c r="A67" s="1607"/>
      <c r="B67" s="1607"/>
      <c r="C67" s="2097"/>
      <c r="D67" s="2097"/>
      <c r="E67" s="2097"/>
      <c r="F67" s="2097"/>
      <c r="G67" s="1607"/>
      <c r="H67" s="1607"/>
      <c r="I67" s="1607"/>
      <c r="J67" s="1607"/>
      <c r="K67" s="1607"/>
      <c r="L67" s="1607"/>
    </row>
    <row r="68" spans="1:12" x14ac:dyDescent="0.3">
      <c r="A68" s="1607"/>
      <c r="B68" s="1607"/>
      <c r="C68" s="2097"/>
      <c r="D68" s="2097"/>
      <c r="E68" s="2097"/>
      <c r="F68" s="2097"/>
      <c r="G68" s="1607"/>
      <c r="H68" s="1607"/>
      <c r="I68" s="1607"/>
      <c r="J68" s="1607"/>
      <c r="K68" s="1607"/>
      <c r="L68" s="1607"/>
    </row>
    <row r="69" spans="1:12" x14ac:dyDescent="0.3">
      <c r="A69" s="1607"/>
      <c r="B69" s="1607"/>
      <c r="C69" s="2097"/>
      <c r="D69" s="2097"/>
      <c r="E69" s="2097"/>
      <c r="F69" s="2097"/>
      <c r="G69" s="1607"/>
      <c r="H69" s="1607"/>
      <c r="I69" s="1607"/>
      <c r="J69" s="1607"/>
      <c r="K69" s="1607"/>
      <c r="L69" s="1607"/>
    </row>
    <row r="70" spans="1:12" x14ac:dyDescent="0.3">
      <c r="A70" s="1607"/>
      <c r="B70" s="1607"/>
      <c r="C70" s="2097"/>
      <c r="D70" s="2097"/>
      <c r="E70" s="2097"/>
      <c r="F70" s="2097"/>
      <c r="G70" s="1607"/>
      <c r="H70" s="1607"/>
      <c r="I70" s="1607"/>
      <c r="J70" s="1607"/>
      <c r="K70" s="1607"/>
      <c r="L70" s="1607"/>
    </row>
    <row r="71" spans="1:12" x14ac:dyDescent="0.3">
      <c r="A71" s="1607"/>
      <c r="B71" s="1607"/>
      <c r="C71" s="1607"/>
      <c r="D71" s="1607"/>
      <c r="E71" s="1607"/>
      <c r="F71" s="1607"/>
      <c r="G71" s="1607"/>
      <c r="H71" s="1607"/>
      <c r="I71" s="1607"/>
      <c r="J71" s="1607"/>
      <c r="K71" s="1607"/>
      <c r="L71" s="1607"/>
    </row>
    <row r="72" spans="1:12" x14ac:dyDescent="0.3">
      <c r="A72" s="1607"/>
      <c r="B72" s="1607"/>
      <c r="C72" s="1607"/>
      <c r="D72" s="1607"/>
      <c r="E72" s="1607"/>
      <c r="F72" s="1607"/>
      <c r="G72" s="1607"/>
      <c r="H72" s="1607"/>
      <c r="I72" s="1607"/>
      <c r="J72" s="1607"/>
      <c r="K72" s="1607"/>
      <c r="L72" s="1607"/>
    </row>
    <row r="73" spans="1:12" x14ac:dyDescent="0.3">
      <c r="A73" s="1607"/>
      <c r="B73" s="1607"/>
      <c r="C73" s="1607"/>
      <c r="D73" s="1607"/>
      <c r="E73" s="1607"/>
      <c r="F73" s="1607"/>
      <c r="G73" s="1607"/>
      <c r="H73" s="1607"/>
      <c r="I73" s="1607"/>
      <c r="J73" s="1607"/>
      <c r="K73" s="1607"/>
      <c r="L73" s="1607"/>
    </row>
    <row r="74" spans="1:12" x14ac:dyDescent="0.3">
      <c r="A74" s="1607"/>
      <c r="B74" s="1607"/>
      <c r="C74" s="1607"/>
      <c r="D74" s="1607"/>
      <c r="E74" s="1607"/>
      <c r="F74" s="1607"/>
      <c r="G74" s="1607"/>
      <c r="H74" s="1607"/>
      <c r="I74" s="1607"/>
      <c r="J74" s="1607"/>
      <c r="K74" s="1607"/>
      <c r="L74" s="1607"/>
    </row>
    <row r="75" spans="1:12" x14ac:dyDescent="0.3">
      <c r="A75" s="1607"/>
      <c r="B75" s="1607"/>
      <c r="C75" s="1607"/>
      <c r="D75" s="1607"/>
      <c r="E75" s="1607"/>
      <c r="F75" s="1607"/>
      <c r="G75" s="1607"/>
      <c r="H75" s="1607"/>
      <c r="I75" s="1607"/>
      <c r="J75" s="1607"/>
      <c r="K75" s="1607"/>
      <c r="L75" s="1607"/>
    </row>
    <row r="76" spans="1:12" x14ac:dyDescent="0.3">
      <c r="A76" s="1607"/>
      <c r="B76" s="1607"/>
      <c r="C76" s="1607"/>
      <c r="D76" s="1607"/>
      <c r="E76" s="1607"/>
      <c r="F76" s="1607"/>
      <c r="G76" s="1607"/>
      <c r="H76" s="1607"/>
      <c r="I76" s="1607"/>
      <c r="J76" s="1607"/>
      <c r="K76" s="1607"/>
      <c r="L76" s="1607"/>
    </row>
    <row r="77" spans="1:12" x14ac:dyDescent="0.3">
      <c r="A77" s="1607"/>
      <c r="B77" s="1607"/>
      <c r="C77" s="1607"/>
      <c r="D77" s="1607"/>
      <c r="E77" s="1607"/>
      <c r="F77" s="1607"/>
      <c r="G77" s="1607"/>
      <c r="H77" s="1607"/>
      <c r="I77" s="1607"/>
      <c r="J77" s="1607"/>
      <c r="K77" s="1607"/>
      <c r="L77" s="1607"/>
    </row>
    <row r="78" spans="1:12" x14ac:dyDescent="0.3">
      <c r="A78" s="1607"/>
      <c r="B78" s="1607"/>
      <c r="C78" s="1607"/>
      <c r="D78" s="1607"/>
      <c r="E78" s="1607"/>
      <c r="F78" s="1607"/>
      <c r="G78" s="1607"/>
      <c r="H78" s="1607"/>
      <c r="I78" s="1607"/>
      <c r="J78" s="1607"/>
      <c r="K78" s="1607"/>
      <c r="L78" s="1607"/>
    </row>
    <row r="79" spans="1:12" x14ac:dyDescent="0.3">
      <c r="A79" s="1607"/>
      <c r="B79" s="1607"/>
      <c r="C79" s="1607"/>
      <c r="D79" s="1607"/>
      <c r="E79" s="1607"/>
      <c r="F79" s="1607"/>
      <c r="G79" s="1607"/>
      <c r="H79" s="1607"/>
      <c r="I79" s="1607"/>
      <c r="J79" s="1607"/>
      <c r="K79" s="1607"/>
      <c r="L79" s="1607"/>
    </row>
    <row r="80" spans="1:12" x14ac:dyDescent="0.3">
      <c r="A80" s="1607"/>
      <c r="B80" s="1607"/>
      <c r="C80" s="1607"/>
      <c r="D80" s="1607"/>
      <c r="E80" s="1607"/>
      <c r="F80" s="1607"/>
      <c r="G80" s="1607"/>
      <c r="H80" s="1607"/>
      <c r="I80" s="1607"/>
      <c r="J80" s="1607"/>
      <c r="K80" s="1607"/>
      <c r="L80" s="1607"/>
    </row>
    <row r="81" spans="1:12" x14ac:dyDescent="0.3">
      <c r="A81" s="1607"/>
      <c r="B81" s="1607"/>
      <c r="C81" s="1607"/>
      <c r="D81" s="1607"/>
      <c r="E81" s="1607"/>
      <c r="F81" s="1607"/>
      <c r="G81" s="1607"/>
      <c r="H81" s="1607"/>
      <c r="I81" s="1607"/>
      <c r="J81" s="1607"/>
      <c r="K81" s="1607"/>
      <c r="L81" s="1607"/>
    </row>
    <row r="82" spans="1:12" x14ac:dyDescent="0.3">
      <c r="A82" s="1607"/>
      <c r="B82" s="1607"/>
      <c r="C82" s="1607"/>
      <c r="D82" s="1607"/>
      <c r="E82" s="1607"/>
      <c r="F82" s="1607"/>
      <c r="G82" s="1607"/>
      <c r="H82" s="1607"/>
      <c r="I82" s="1607"/>
      <c r="J82" s="1607"/>
      <c r="K82" s="1607"/>
      <c r="L82" s="1607"/>
    </row>
    <row r="83" spans="1:12" x14ac:dyDescent="0.3">
      <c r="A83" s="1607"/>
      <c r="B83" s="1607"/>
      <c r="C83" s="1607"/>
      <c r="D83" s="1607"/>
      <c r="E83" s="1607"/>
      <c r="F83" s="1607"/>
      <c r="G83" s="1607"/>
      <c r="H83" s="1607"/>
      <c r="I83" s="1607"/>
      <c r="J83" s="1607"/>
      <c r="K83" s="1607"/>
      <c r="L83" s="1607"/>
    </row>
    <row r="84" spans="1:12" x14ac:dyDescent="0.3">
      <c r="A84" s="1607"/>
      <c r="B84" s="1607"/>
      <c r="C84" s="1607"/>
      <c r="D84" s="1607"/>
      <c r="E84" s="1607"/>
      <c r="F84" s="1607"/>
      <c r="G84" s="1607"/>
      <c r="H84" s="1607"/>
      <c r="I84" s="1607"/>
      <c r="J84" s="1607"/>
      <c r="K84" s="1607"/>
      <c r="L84" s="1607"/>
    </row>
    <row r="85" spans="1:12" x14ac:dyDescent="0.3">
      <c r="A85" s="1607"/>
      <c r="B85" s="1607"/>
      <c r="C85" s="1607"/>
      <c r="D85" s="1607"/>
      <c r="E85" s="1607"/>
      <c r="F85" s="1607"/>
      <c r="G85" s="1607"/>
      <c r="H85" s="1607"/>
      <c r="I85" s="1607"/>
      <c r="J85" s="1607"/>
      <c r="K85" s="1607"/>
      <c r="L85" s="1607"/>
    </row>
  </sheetData>
  <sheetProtection algorithmName="SHA-512" hashValue="iLHsH8KbdwjqDik97RJckkr3c/aQAahZsEZJ69k85jTxOTxxGTP4Fc6/preM3taLCCPP1lszh8yMJ8tOC/z2TA==" saltValue="f9v73D96F2r9icbE/Oiwzw==" spinCount="100000" sheet="1" objects="1" scenarios="1" selectLockedCells="1" selectUnlockedCells="1"/>
  <mergeCells count="7">
    <mergeCell ref="A1:H3"/>
    <mergeCell ref="A4:H4"/>
    <mergeCell ref="C41:E41"/>
    <mergeCell ref="A34:B34"/>
    <mergeCell ref="A33:F33"/>
    <mergeCell ref="A5:B5"/>
    <mergeCell ref="C32:E32"/>
  </mergeCells>
  <pageMargins left="0.70866141732283472" right="0.70866141732283472" top="0.74803149606299213" bottom="0.74803149606299213" header="0.31496062992125984" footer="0.31496062992125984"/>
  <pageSetup scale="54"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G30"/>
  <sheetViews>
    <sheetView view="pageBreakPreview" topLeftCell="A10" zoomScale="80" zoomScaleNormal="100" zoomScaleSheetLayoutView="80" workbookViewId="0">
      <selection activeCell="F14" sqref="F14"/>
    </sheetView>
  </sheetViews>
  <sheetFormatPr baseColWidth="10" defaultRowHeight="15.75" x14ac:dyDescent="0.25"/>
  <cols>
    <col min="1" max="1" width="8.5703125" style="1885" customWidth="1"/>
    <col min="2" max="2" width="99.42578125" style="1885" customWidth="1"/>
    <col min="3" max="3" width="11.42578125" style="1885" customWidth="1"/>
    <col min="4" max="4" width="20.5703125" style="1885" customWidth="1"/>
    <col min="5" max="5" width="17.140625" style="1885" bestFit="1" customWidth="1"/>
    <col min="6" max="6" width="21.85546875" style="1885" customWidth="1"/>
    <col min="7" max="8" width="16.5703125" style="1885" bestFit="1" customWidth="1"/>
    <col min="9" max="16384" width="11.42578125" style="1885"/>
  </cols>
  <sheetData>
    <row r="1" spans="1:7" s="1860" customFormat="1" ht="15" customHeight="1" x14ac:dyDescent="0.25">
      <c r="A1" s="2361" t="s">
        <v>9866</v>
      </c>
      <c r="B1" s="2362"/>
      <c r="C1" s="2362"/>
      <c r="D1" s="2362"/>
      <c r="E1" s="2362"/>
      <c r="F1" s="2362"/>
    </row>
    <row r="2" spans="1:7" s="1860" customFormat="1" ht="15.75" customHeight="1" x14ac:dyDescent="0.25">
      <c r="A2" s="2361"/>
      <c r="B2" s="2362"/>
      <c r="C2" s="2362"/>
      <c r="D2" s="2362"/>
      <c r="E2" s="2362"/>
      <c r="F2" s="2362"/>
    </row>
    <row r="3" spans="1:7" s="1860" customFormat="1" ht="15" customHeight="1" x14ac:dyDescent="0.25">
      <c r="A3" s="2361"/>
      <c r="B3" s="2362"/>
      <c r="C3" s="2362"/>
      <c r="D3" s="2362"/>
      <c r="E3" s="2362"/>
      <c r="F3" s="2362"/>
    </row>
    <row r="4" spans="1:7" s="1860" customFormat="1" ht="14.25" customHeight="1" x14ac:dyDescent="0.25">
      <c r="A4" s="2361"/>
      <c r="B4" s="2362"/>
      <c r="C4" s="2362"/>
      <c r="D4" s="2362"/>
      <c r="E4" s="2362"/>
      <c r="F4" s="2362"/>
    </row>
    <row r="5" spans="1:7" s="1860" customFormat="1" ht="16.5" hidden="1" customHeight="1" x14ac:dyDescent="0.25">
      <c r="A5" s="2361"/>
      <c r="B5" s="2362"/>
      <c r="C5" s="2362"/>
      <c r="D5" s="2362"/>
      <c r="E5" s="2362"/>
      <c r="F5" s="2362"/>
    </row>
    <row r="6" spans="1:7" s="1860" customFormat="1" ht="15" customHeight="1" x14ac:dyDescent="0.25">
      <c r="A6" s="2327" t="s">
        <v>9867</v>
      </c>
      <c r="B6" s="2327"/>
      <c r="C6" s="2327"/>
      <c r="D6" s="2327"/>
      <c r="E6" s="2327"/>
      <c r="F6" s="2327"/>
    </row>
    <row r="7" spans="1:7" s="1860" customFormat="1" ht="15" customHeight="1" x14ac:dyDescent="0.25">
      <c r="A7" s="2327"/>
      <c r="B7" s="2327"/>
      <c r="C7" s="2327"/>
      <c r="D7" s="2327"/>
      <c r="E7" s="2327"/>
      <c r="F7" s="2327"/>
    </row>
    <row r="8" spans="1:7" s="1860" customFormat="1" ht="4.5" customHeight="1" x14ac:dyDescent="0.25">
      <c r="A8" s="2327"/>
      <c r="B8" s="2327"/>
      <c r="C8" s="2327"/>
      <c r="D8" s="2327"/>
      <c r="E8" s="2327"/>
      <c r="F8" s="2327"/>
    </row>
    <row r="9" spans="1:7" ht="13.5" customHeight="1" x14ac:dyDescent="0.25">
      <c r="A9" s="2367"/>
      <c r="B9" s="2367"/>
      <c r="C9" s="2367"/>
      <c r="D9" s="2367"/>
      <c r="E9" s="1886"/>
    </row>
    <row r="10" spans="1:7" x14ac:dyDescent="0.25">
      <c r="A10" s="2363"/>
      <c r="B10" s="2363"/>
      <c r="C10" s="2363"/>
      <c r="D10" s="2363"/>
      <c r="E10" s="2363"/>
      <c r="F10" s="2363"/>
    </row>
    <row r="11" spans="1:7" ht="15.75" customHeight="1" x14ac:dyDescent="0.25">
      <c r="A11" s="2368"/>
      <c r="B11" s="2370" t="s">
        <v>9868</v>
      </c>
      <c r="C11" s="2370" t="s">
        <v>9723</v>
      </c>
      <c r="D11" s="2371" t="s">
        <v>8162</v>
      </c>
      <c r="E11" s="2364" t="s">
        <v>9870</v>
      </c>
      <c r="F11" s="2365" t="s">
        <v>9865</v>
      </c>
    </row>
    <row r="12" spans="1:7" x14ac:dyDescent="0.25">
      <c r="A12" s="2369"/>
      <c r="B12" s="2370"/>
      <c r="C12" s="2370"/>
      <c r="D12" s="2371"/>
      <c r="E12" s="2364"/>
      <c r="F12" s="2365"/>
    </row>
    <row r="13" spans="1:7" x14ac:dyDescent="0.25">
      <c r="A13" s="1926"/>
      <c r="B13" s="1927" t="s">
        <v>9738</v>
      </c>
      <c r="C13" s="2357"/>
      <c r="D13" s="2358"/>
      <c r="E13" s="2357"/>
      <c r="F13" s="2358"/>
    </row>
    <row r="14" spans="1:7" s="1895" customFormat="1" ht="409.5" customHeight="1" x14ac:dyDescent="0.25">
      <c r="A14" s="1930">
        <v>13.1</v>
      </c>
      <c r="B14" s="2252" t="s">
        <v>9869</v>
      </c>
      <c r="C14" s="2254">
        <v>1</v>
      </c>
      <c r="D14" s="2253">
        <v>381154400</v>
      </c>
      <c r="E14" s="2253">
        <f>+ROUND(D14*0.8,0)</f>
        <v>304923520</v>
      </c>
      <c r="F14" s="2253">
        <f>+D14</f>
        <v>381154400</v>
      </c>
    </row>
    <row r="15" spans="1:7" ht="6" customHeight="1" x14ac:dyDescent="0.25">
      <c r="A15" s="1924"/>
      <c r="B15" s="2366"/>
      <c r="C15" s="2366"/>
      <c r="D15" s="2366"/>
      <c r="E15" s="2366"/>
      <c r="F15" s="2366"/>
    </row>
    <row r="16" spans="1:7" ht="21" customHeight="1" thickBot="1" x14ac:dyDescent="0.3">
      <c r="A16" s="1933"/>
      <c r="B16" s="2359" t="s">
        <v>9732</v>
      </c>
      <c r="C16" s="2360"/>
      <c r="D16" s="2255">
        <f>+D14</f>
        <v>381154400</v>
      </c>
      <c r="E16" s="1914"/>
      <c r="F16" s="1890"/>
      <c r="G16" s="1916"/>
    </row>
    <row r="17" spans="2:5" x14ac:dyDescent="0.25">
      <c r="B17" s="1917"/>
      <c r="C17" s="1917"/>
      <c r="D17" s="1918"/>
      <c r="E17" s="1886"/>
    </row>
    <row r="18" spans="2:5" x14ac:dyDescent="0.25">
      <c r="B18" s="1917"/>
      <c r="C18" s="1917"/>
      <c r="D18" s="1918"/>
      <c r="E18" s="1886"/>
    </row>
    <row r="19" spans="2:5" x14ac:dyDescent="0.25">
      <c r="B19" s="1917"/>
      <c r="C19" s="1917"/>
      <c r="D19" s="1918"/>
      <c r="E19" s="1886"/>
    </row>
    <row r="20" spans="2:5" x14ac:dyDescent="0.25">
      <c r="B20" s="1917"/>
      <c r="C20" s="2161"/>
      <c r="D20" s="1886"/>
      <c r="E20" s="1886"/>
    </row>
    <row r="21" spans="2:5" x14ac:dyDescent="0.25">
      <c r="B21" s="1917"/>
      <c r="C21" s="2160"/>
      <c r="D21" s="1886"/>
      <c r="E21" s="1886"/>
    </row>
    <row r="22" spans="2:5" x14ac:dyDescent="0.25">
      <c r="B22" s="1917"/>
      <c r="C22" s="2161"/>
      <c r="E22" s="1886"/>
    </row>
    <row r="23" spans="2:5" x14ac:dyDescent="0.25">
      <c r="B23" s="1917"/>
      <c r="C23" s="2161"/>
      <c r="E23" s="1886"/>
    </row>
    <row r="24" spans="2:5" x14ac:dyDescent="0.25">
      <c r="B24" s="1917"/>
      <c r="C24" s="2160"/>
    </row>
    <row r="30" spans="2:5" x14ac:dyDescent="0.25">
      <c r="B30" s="1886"/>
      <c r="C30" s="1886"/>
    </row>
  </sheetData>
  <sheetProtection algorithmName="SHA-512" hashValue="9Zn8DWhACtJTvXIAs9lw6ywQakz48G4te7oKjcdm69nJ7XOim+4EOsCxBBmvaav4+ZGK3/0oYuSxzBr+QQNCoQ==" saltValue="2JkTk1SLjH0KhL7oLwBtEw==" spinCount="100000" sheet="1" objects="1" scenarios="1" selectLockedCells="1" selectUnlockedCells="1"/>
  <mergeCells count="14">
    <mergeCell ref="C13:D13"/>
    <mergeCell ref="B16:C16"/>
    <mergeCell ref="A1:F5"/>
    <mergeCell ref="A6:F8"/>
    <mergeCell ref="A10:F10"/>
    <mergeCell ref="E11:E12"/>
    <mergeCell ref="F11:F12"/>
    <mergeCell ref="E13:F13"/>
    <mergeCell ref="B15:F15"/>
    <mergeCell ref="A9:D9"/>
    <mergeCell ref="A11:A12"/>
    <mergeCell ref="B11:B12"/>
    <mergeCell ref="C11:C12"/>
    <mergeCell ref="D11:D12"/>
  </mergeCells>
  <pageMargins left="0.59" right="0.59" top="0.57999999999999996" bottom="0.74803149606299213" header="0.31496062992125984" footer="0.31496062992125984"/>
  <pageSetup scale="54"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I258"/>
  <sheetViews>
    <sheetView view="pageBreakPreview" topLeftCell="A211" zoomScaleNormal="100" zoomScaleSheetLayoutView="100" workbookViewId="0">
      <selection activeCell="G9" sqref="G9"/>
    </sheetView>
  </sheetViews>
  <sheetFormatPr baseColWidth="10" defaultRowHeight="16.5" x14ac:dyDescent="0.25"/>
  <cols>
    <col min="1" max="1" width="7.7109375" style="1090" customWidth="1"/>
    <col min="2" max="2" width="78.7109375" style="1090" customWidth="1"/>
    <col min="3" max="3" width="13.5703125" style="1090" bestFit="1" customWidth="1"/>
    <col min="4" max="4" width="9.42578125" style="1086" bestFit="1" customWidth="1"/>
    <col min="5" max="5" width="22.42578125" style="1086" customWidth="1"/>
    <col min="6" max="6" width="22.5703125" style="1090" customWidth="1"/>
    <col min="7" max="7" width="18.7109375" style="1090" customWidth="1"/>
    <col min="8" max="8" width="18.28515625" style="1090" bestFit="1" customWidth="1"/>
    <col min="9" max="16384" width="11.42578125" style="1090"/>
  </cols>
  <sheetData>
    <row r="1" spans="1:8" ht="16.5" customHeight="1" x14ac:dyDescent="0.25">
      <c r="A1" s="2350" t="s">
        <v>9817</v>
      </c>
      <c r="B1" s="2351"/>
      <c r="C1" s="2351"/>
      <c r="D1" s="2351"/>
      <c r="E1" s="2351"/>
      <c r="F1" s="2351"/>
      <c r="G1" s="2351"/>
      <c r="H1" s="2351"/>
    </row>
    <row r="2" spans="1:8" ht="36" customHeight="1" x14ac:dyDescent="0.25">
      <c r="A2" s="2350"/>
      <c r="B2" s="2351"/>
      <c r="C2" s="2351"/>
      <c r="D2" s="2351"/>
      <c r="E2" s="2351"/>
      <c r="F2" s="2351"/>
      <c r="G2" s="2351"/>
      <c r="H2" s="2351"/>
    </row>
    <row r="3" spans="1:8" ht="15" customHeight="1" x14ac:dyDescent="0.25">
      <c r="A3" s="2350"/>
      <c r="B3" s="2351"/>
      <c r="C3" s="2351"/>
      <c r="D3" s="2351"/>
      <c r="E3" s="2351"/>
      <c r="F3" s="2351"/>
      <c r="G3" s="2351"/>
      <c r="H3" s="2351"/>
    </row>
    <row r="4" spans="1:8" ht="15" customHeight="1" x14ac:dyDescent="0.25">
      <c r="A4" s="2327" t="s">
        <v>6450</v>
      </c>
      <c r="B4" s="2327"/>
      <c r="C4" s="2327"/>
      <c r="D4" s="2327"/>
      <c r="E4" s="2327"/>
      <c r="F4" s="2327"/>
      <c r="G4" s="2327"/>
      <c r="H4" s="2327"/>
    </row>
    <row r="5" spans="1:8" x14ac:dyDescent="0.3">
      <c r="A5" s="2376" t="s">
        <v>2</v>
      </c>
      <c r="B5" s="2376"/>
      <c r="C5" s="2184" t="s">
        <v>6616</v>
      </c>
      <c r="D5" s="2184" t="s">
        <v>6617</v>
      </c>
      <c r="E5" s="2188" t="s">
        <v>6618</v>
      </c>
      <c r="F5" s="2189" t="s">
        <v>9831</v>
      </c>
      <c r="G5" s="949" t="s">
        <v>9864</v>
      </c>
      <c r="H5" s="949" t="s">
        <v>9865</v>
      </c>
    </row>
    <row r="6" spans="1:8" x14ac:dyDescent="0.25">
      <c r="A6" s="1433"/>
      <c r="B6" s="2122" t="s">
        <v>7934</v>
      </c>
      <c r="C6" s="849"/>
      <c r="D6" s="1510"/>
      <c r="E6" s="1094"/>
      <c r="F6" s="2123"/>
      <c r="G6" s="2123"/>
      <c r="H6" s="2123"/>
    </row>
    <row r="7" spans="1:8" x14ac:dyDescent="0.25">
      <c r="A7" s="1463">
        <v>1.1000000000000001</v>
      </c>
      <c r="B7" s="1081" t="s">
        <v>7204</v>
      </c>
      <c r="C7" s="1460" t="s">
        <v>5734</v>
      </c>
      <c r="D7" s="2108">
        <v>168</v>
      </c>
      <c r="E7" s="2066">
        <v>1913</v>
      </c>
      <c r="F7" s="2083">
        <f>ROUND(E7*D7,0)</f>
        <v>321384</v>
      </c>
      <c r="G7" s="2176">
        <f>+ROUND(E7*0.9,0)</f>
        <v>1722</v>
      </c>
      <c r="H7" s="2176">
        <f>+ROUND(E7*1.1,0)</f>
        <v>2104</v>
      </c>
    </row>
    <row r="8" spans="1:8" x14ac:dyDescent="0.25">
      <c r="A8" s="1463">
        <v>1.2</v>
      </c>
      <c r="B8" s="1081" t="s">
        <v>7192</v>
      </c>
      <c r="C8" s="1460" t="s">
        <v>5556</v>
      </c>
      <c r="D8" s="2108">
        <v>127.67999999999999</v>
      </c>
      <c r="E8" s="2066">
        <v>2899</v>
      </c>
      <c r="F8" s="2083">
        <f t="shared" ref="F8:F24" si="0">ROUND(E8*D8,0)</f>
        <v>370144</v>
      </c>
      <c r="G8" s="2176">
        <f t="shared" ref="G8:G24" si="1">+ROUND(E8*0.9,0)</f>
        <v>2609</v>
      </c>
      <c r="H8" s="2176">
        <f t="shared" ref="H8:H24" si="2">+ROUND(E8*1.1,0)</f>
        <v>3189</v>
      </c>
    </row>
    <row r="9" spans="1:8" s="2124" customFormat="1" x14ac:dyDescent="0.25">
      <c r="A9" s="1463" t="s">
        <v>5458</v>
      </c>
      <c r="B9" s="1435" t="s">
        <v>5968</v>
      </c>
      <c r="C9" s="1460" t="s">
        <v>6858</v>
      </c>
      <c r="D9" s="1075">
        <v>185.64</v>
      </c>
      <c r="E9" s="2066">
        <v>24270</v>
      </c>
      <c r="F9" s="2083">
        <f t="shared" si="0"/>
        <v>4505483</v>
      </c>
      <c r="G9" s="2176">
        <f t="shared" si="1"/>
        <v>21843</v>
      </c>
      <c r="H9" s="2176">
        <f t="shared" si="2"/>
        <v>26697</v>
      </c>
    </row>
    <row r="10" spans="1:8" x14ac:dyDescent="0.25">
      <c r="A10" s="1463" t="s">
        <v>97</v>
      </c>
      <c r="B10" s="1074" t="s">
        <v>9819</v>
      </c>
      <c r="C10" s="1460" t="s">
        <v>6858</v>
      </c>
      <c r="D10" s="1075">
        <v>30.240000000000002</v>
      </c>
      <c r="E10" s="2066">
        <v>52233</v>
      </c>
      <c r="F10" s="2083">
        <f t="shared" si="0"/>
        <v>1579526</v>
      </c>
      <c r="G10" s="2176">
        <f t="shared" si="1"/>
        <v>47010</v>
      </c>
      <c r="H10" s="2176">
        <f t="shared" si="2"/>
        <v>57456</v>
      </c>
    </row>
    <row r="11" spans="1:8" x14ac:dyDescent="0.25">
      <c r="A11" s="1463" t="s">
        <v>873</v>
      </c>
      <c r="B11" s="1435" t="s">
        <v>7937</v>
      </c>
      <c r="C11" s="1460" t="s">
        <v>6858</v>
      </c>
      <c r="D11" s="1440">
        <v>6.19</v>
      </c>
      <c r="E11" s="2066">
        <v>396261</v>
      </c>
      <c r="F11" s="2083">
        <f t="shared" si="0"/>
        <v>2452856</v>
      </c>
      <c r="G11" s="2176">
        <f t="shared" si="1"/>
        <v>356635</v>
      </c>
      <c r="H11" s="2176">
        <f t="shared" si="2"/>
        <v>435887</v>
      </c>
    </row>
    <row r="12" spans="1:8" ht="33" x14ac:dyDescent="0.25">
      <c r="A12" s="1463" t="s">
        <v>8575</v>
      </c>
      <c r="B12" s="1464" t="s">
        <v>9397</v>
      </c>
      <c r="C12" s="1460" t="s">
        <v>6858</v>
      </c>
      <c r="D12" s="1440">
        <v>18.559999999999999</v>
      </c>
      <c r="E12" s="2066">
        <v>613345</v>
      </c>
      <c r="F12" s="2083">
        <f t="shared" si="0"/>
        <v>11383683</v>
      </c>
      <c r="G12" s="2176">
        <f t="shared" si="1"/>
        <v>552011</v>
      </c>
      <c r="H12" s="2176">
        <f t="shared" si="2"/>
        <v>674680</v>
      </c>
    </row>
    <row r="13" spans="1:8" ht="33" x14ac:dyDescent="0.25">
      <c r="A13" s="1463" t="s">
        <v>8576</v>
      </c>
      <c r="B13" s="1464" t="s">
        <v>9398</v>
      </c>
      <c r="C13" s="1460" t="s">
        <v>6858</v>
      </c>
      <c r="D13" s="1440">
        <v>46.87</v>
      </c>
      <c r="E13" s="2066">
        <v>793562</v>
      </c>
      <c r="F13" s="2083">
        <f t="shared" si="0"/>
        <v>37194251</v>
      </c>
      <c r="G13" s="2176">
        <f t="shared" si="1"/>
        <v>714206</v>
      </c>
      <c r="H13" s="2176">
        <f t="shared" si="2"/>
        <v>872918</v>
      </c>
    </row>
    <row r="14" spans="1:8" x14ac:dyDescent="0.25">
      <c r="A14" s="1463" t="s">
        <v>233</v>
      </c>
      <c r="B14" s="1435" t="s">
        <v>5573</v>
      </c>
      <c r="C14" s="1460" t="s">
        <v>5431</v>
      </c>
      <c r="D14" s="1434">
        <v>4088.5600000000004</v>
      </c>
      <c r="E14" s="2066">
        <v>3841</v>
      </c>
      <c r="F14" s="2083">
        <f t="shared" si="0"/>
        <v>15704159</v>
      </c>
      <c r="G14" s="2176">
        <f t="shared" si="1"/>
        <v>3457</v>
      </c>
      <c r="H14" s="2176">
        <f t="shared" si="2"/>
        <v>4225</v>
      </c>
    </row>
    <row r="15" spans="1:8" x14ac:dyDescent="0.25">
      <c r="A15" s="1463" t="s">
        <v>8577</v>
      </c>
      <c r="B15" s="1435" t="s">
        <v>9399</v>
      </c>
      <c r="C15" s="1460" t="s">
        <v>6858</v>
      </c>
      <c r="D15" s="1075">
        <v>7.49</v>
      </c>
      <c r="E15" s="2066">
        <v>612002</v>
      </c>
      <c r="F15" s="2083">
        <f t="shared" si="0"/>
        <v>4583895</v>
      </c>
      <c r="G15" s="2176">
        <f t="shared" si="1"/>
        <v>550802</v>
      </c>
      <c r="H15" s="2176">
        <f t="shared" si="2"/>
        <v>673202</v>
      </c>
    </row>
    <row r="16" spans="1:8" x14ac:dyDescent="0.25">
      <c r="A16" s="1463" t="s">
        <v>5976</v>
      </c>
      <c r="B16" s="1081" t="s">
        <v>7982</v>
      </c>
      <c r="C16" s="1460" t="s">
        <v>6858</v>
      </c>
      <c r="D16" s="1434">
        <v>241.33</v>
      </c>
      <c r="E16" s="2066">
        <v>34912</v>
      </c>
      <c r="F16" s="2083">
        <f t="shared" si="0"/>
        <v>8425313</v>
      </c>
      <c r="G16" s="2176">
        <f t="shared" si="1"/>
        <v>31421</v>
      </c>
      <c r="H16" s="2176">
        <f t="shared" si="2"/>
        <v>38403</v>
      </c>
    </row>
    <row r="17" spans="1:8" x14ac:dyDescent="0.25">
      <c r="A17" s="1463" t="s">
        <v>8625</v>
      </c>
      <c r="B17" s="1435" t="s">
        <v>8498</v>
      </c>
      <c r="C17" s="1460" t="s">
        <v>5424</v>
      </c>
      <c r="D17" s="1440">
        <v>112</v>
      </c>
      <c r="E17" s="2066">
        <v>42963</v>
      </c>
      <c r="F17" s="2083">
        <f t="shared" si="0"/>
        <v>4811856</v>
      </c>
      <c r="G17" s="2176">
        <f t="shared" si="1"/>
        <v>38667</v>
      </c>
      <c r="H17" s="2176">
        <f t="shared" si="2"/>
        <v>47259</v>
      </c>
    </row>
    <row r="18" spans="1:8" x14ac:dyDescent="0.25">
      <c r="A18" s="1463" t="s">
        <v>8605</v>
      </c>
      <c r="B18" s="2125" t="s">
        <v>8513</v>
      </c>
      <c r="C18" s="1460" t="s">
        <v>5424</v>
      </c>
      <c r="D18" s="1440">
        <v>56</v>
      </c>
      <c r="E18" s="2066">
        <v>78115</v>
      </c>
      <c r="F18" s="2083">
        <f t="shared" si="0"/>
        <v>4374440</v>
      </c>
      <c r="G18" s="2176">
        <f t="shared" si="1"/>
        <v>70304</v>
      </c>
      <c r="H18" s="2176">
        <f t="shared" si="2"/>
        <v>85927</v>
      </c>
    </row>
    <row r="19" spans="1:8" x14ac:dyDescent="0.25">
      <c r="A19" s="1463" t="s">
        <v>8588</v>
      </c>
      <c r="B19" s="2125" t="s">
        <v>8497</v>
      </c>
      <c r="C19" s="1460" t="s">
        <v>5424</v>
      </c>
      <c r="D19" s="1440">
        <v>8</v>
      </c>
      <c r="E19" s="2066">
        <v>26752</v>
      </c>
      <c r="F19" s="2083">
        <f t="shared" si="0"/>
        <v>214016</v>
      </c>
      <c r="G19" s="2176">
        <f t="shared" si="1"/>
        <v>24077</v>
      </c>
      <c r="H19" s="2176">
        <f t="shared" si="2"/>
        <v>29427</v>
      </c>
    </row>
    <row r="20" spans="1:8" x14ac:dyDescent="0.25">
      <c r="A20" s="1463" t="s">
        <v>8589</v>
      </c>
      <c r="B20" s="1435" t="s">
        <v>8508</v>
      </c>
      <c r="C20" s="1460" t="s">
        <v>5424</v>
      </c>
      <c r="D20" s="1440">
        <v>1</v>
      </c>
      <c r="E20" s="2066">
        <v>36879</v>
      </c>
      <c r="F20" s="2083">
        <f t="shared" si="0"/>
        <v>36879</v>
      </c>
      <c r="G20" s="2176">
        <f t="shared" si="1"/>
        <v>33191</v>
      </c>
      <c r="H20" s="2176">
        <f t="shared" si="2"/>
        <v>40567</v>
      </c>
    </row>
    <row r="21" spans="1:8" x14ac:dyDescent="0.25">
      <c r="A21" s="1463" t="s">
        <v>8590</v>
      </c>
      <c r="B21" s="1435" t="s">
        <v>8509</v>
      </c>
      <c r="C21" s="1460" t="s">
        <v>5424</v>
      </c>
      <c r="D21" s="1440">
        <v>30</v>
      </c>
      <c r="E21" s="2066">
        <v>38572</v>
      </c>
      <c r="F21" s="2083">
        <f t="shared" si="0"/>
        <v>1157160</v>
      </c>
      <c r="G21" s="2176">
        <f t="shared" si="1"/>
        <v>34715</v>
      </c>
      <c r="H21" s="2176">
        <f t="shared" si="2"/>
        <v>42429</v>
      </c>
    </row>
    <row r="22" spans="1:8" x14ac:dyDescent="0.25">
      <c r="A22" s="1463" t="s">
        <v>8591</v>
      </c>
      <c r="B22" s="1435" t="s">
        <v>8510</v>
      </c>
      <c r="C22" s="1460" t="s">
        <v>5424</v>
      </c>
      <c r="D22" s="1440">
        <v>69</v>
      </c>
      <c r="E22" s="2066">
        <v>38572</v>
      </c>
      <c r="F22" s="2083">
        <f t="shared" si="0"/>
        <v>2661468</v>
      </c>
      <c r="G22" s="2176">
        <f t="shared" si="1"/>
        <v>34715</v>
      </c>
      <c r="H22" s="2176">
        <f t="shared" si="2"/>
        <v>42429</v>
      </c>
    </row>
    <row r="23" spans="1:8" x14ac:dyDescent="0.25">
      <c r="A23" s="1463" t="s">
        <v>8592</v>
      </c>
      <c r="B23" s="1435" t="s">
        <v>8511</v>
      </c>
      <c r="C23" s="1460" t="s">
        <v>5424</v>
      </c>
      <c r="D23" s="1440">
        <v>6</v>
      </c>
      <c r="E23" s="2066">
        <v>58690</v>
      </c>
      <c r="F23" s="2083">
        <f t="shared" si="0"/>
        <v>352140</v>
      </c>
      <c r="G23" s="2176">
        <f t="shared" si="1"/>
        <v>52821</v>
      </c>
      <c r="H23" s="2176">
        <f t="shared" si="2"/>
        <v>64559</v>
      </c>
    </row>
    <row r="24" spans="1:8" x14ac:dyDescent="0.25">
      <c r="A24" s="1463" t="s">
        <v>5585</v>
      </c>
      <c r="B24" s="1435" t="s">
        <v>7929</v>
      </c>
      <c r="C24" s="1460" t="s">
        <v>5424</v>
      </c>
      <c r="D24" s="1434">
        <v>168</v>
      </c>
      <c r="E24" s="2066">
        <v>29456</v>
      </c>
      <c r="F24" s="2083">
        <f t="shared" si="0"/>
        <v>4948608</v>
      </c>
      <c r="G24" s="2176">
        <f t="shared" si="1"/>
        <v>26510</v>
      </c>
      <c r="H24" s="2176">
        <f t="shared" si="2"/>
        <v>32402</v>
      </c>
    </row>
    <row r="25" spans="1:8" x14ac:dyDescent="0.25">
      <c r="A25" s="2126"/>
      <c r="B25" s="1435"/>
      <c r="C25" s="1450"/>
      <c r="D25" s="1434"/>
      <c r="E25" s="2131" t="s">
        <v>8558</v>
      </c>
      <c r="F25" s="2132">
        <f>+ROUND(SUM(F7:F24),0)</f>
        <v>105077261</v>
      </c>
      <c r="G25" s="2176"/>
      <c r="H25" s="2176"/>
    </row>
    <row r="26" spans="1:8" x14ac:dyDescent="0.25">
      <c r="A26" s="1433"/>
      <c r="B26" s="2127" t="s">
        <v>6664</v>
      </c>
      <c r="C26" s="849"/>
      <c r="D26" s="2128"/>
      <c r="E26" s="2082"/>
      <c r="F26" s="2123"/>
      <c r="G26" s="2123"/>
      <c r="H26" s="2123"/>
    </row>
    <row r="27" spans="1:8" x14ac:dyDescent="0.25">
      <c r="A27" s="1463">
        <v>1.1000000000000001</v>
      </c>
      <c r="B27" s="1081" t="s">
        <v>7204</v>
      </c>
      <c r="C27" s="1460" t="s">
        <v>5734</v>
      </c>
      <c r="D27" s="1440">
        <v>60</v>
      </c>
      <c r="E27" s="2066">
        <v>1913</v>
      </c>
      <c r="F27" s="2083">
        <f>ROUND(E27*D27,0)</f>
        <v>114780</v>
      </c>
      <c r="G27" s="2176">
        <f t="shared" ref="G27:G88" si="3">+ROUND(E27*0.9,0)</f>
        <v>1722</v>
      </c>
      <c r="H27" s="2176">
        <f t="shared" ref="H27:H88" si="4">+ROUND(E27*1.1,0)</f>
        <v>2104</v>
      </c>
    </row>
    <row r="28" spans="1:8" x14ac:dyDescent="0.25">
      <c r="A28" s="1463">
        <v>1.2</v>
      </c>
      <c r="B28" s="1081" t="s">
        <v>7192</v>
      </c>
      <c r="C28" s="1460" t="s">
        <v>5556</v>
      </c>
      <c r="D28" s="1434">
        <v>94.2</v>
      </c>
      <c r="E28" s="2066">
        <v>2899</v>
      </c>
      <c r="F28" s="2083">
        <f t="shared" ref="F28:F46" si="5">ROUND(E28*D28,0)</f>
        <v>273086</v>
      </c>
      <c r="G28" s="2176">
        <f t="shared" si="3"/>
        <v>2609</v>
      </c>
      <c r="H28" s="2176">
        <f t="shared" si="4"/>
        <v>3189</v>
      </c>
    </row>
    <row r="29" spans="1:8" x14ac:dyDescent="0.25">
      <c r="A29" s="1463" t="s">
        <v>5458</v>
      </c>
      <c r="B29" s="1435" t="s">
        <v>5968</v>
      </c>
      <c r="C29" s="1460" t="s">
        <v>6858</v>
      </c>
      <c r="D29" s="1434">
        <v>183.92000000000002</v>
      </c>
      <c r="E29" s="2066">
        <v>24270</v>
      </c>
      <c r="F29" s="2083">
        <f t="shared" si="5"/>
        <v>4463738</v>
      </c>
      <c r="G29" s="2176">
        <f t="shared" si="3"/>
        <v>21843</v>
      </c>
      <c r="H29" s="2176">
        <f t="shared" si="4"/>
        <v>26697</v>
      </c>
    </row>
    <row r="30" spans="1:8" x14ac:dyDescent="0.25">
      <c r="A30" s="1463" t="s">
        <v>97</v>
      </c>
      <c r="B30" s="1074" t="s">
        <v>9819</v>
      </c>
      <c r="C30" s="1460" t="s">
        <v>6858</v>
      </c>
      <c r="D30" s="1434">
        <v>18.84</v>
      </c>
      <c r="E30" s="2066">
        <v>52233</v>
      </c>
      <c r="F30" s="2083">
        <f t="shared" si="5"/>
        <v>984070</v>
      </c>
      <c r="G30" s="2176">
        <f t="shared" si="3"/>
        <v>47010</v>
      </c>
      <c r="H30" s="2176">
        <f t="shared" si="4"/>
        <v>57456</v>
      </c>
    </row>
    <row r="31" spans="1:8" x14ac:dyDescent="0.25">
      <c r="A31" s="1463" t="s">
        <v>873</v>
      </c>
      <c r="B31" s="1435" t="s">
        <v>7937</v>
      </c>
      <c r="C31" s="1460" t="s">
        <v>6858</v>
      </c>
      <c r="D31" s="1434">
        <v>4.75</v>
      </c>
      <c r="E31" s="2066">
        <v>396261</v>
      </c>
      <c r="F31" s="2083">
        <f t="shared" si="5"/>
        <v>1882240</v>
      </c>
      <c r="G31" s="2176">
        <f t="shared" si="3"/>
        <v>356635</v>
      </c>
      <c r="H31" s="2176">
        <f t="shared" si="4"/>
        <v>435887</v>
      </c>
    </row>
    <row r="32" spans="1:8" ht="33" x14ac:dyDescent="0.25">
      <c r="A32" s="1463" t="s">
        <v>8575</v>
      </c>
      <c r="B32" s="1464" t="s">
        <v>9397</v>
      </c>
      <c r="C32" s="1460" t="s">
        <v>6858</v>
      </c>
      <c r="D32" s="1434">
        <v>14.25</v>
      </c>
      <c r="E32" s="2066">
        <v>613345</v>
      </c>
      <c r="F32" s="2083">
        <f t="shared" si="5"/>
        <v>8740166</v>
      </c>
      <c r="G32" s="2176">
        <f t="shared" si="3"/>
        <v>552011</v>
      </c>
      <c r="H32" s="2176">
        <f t="shared" si="4"/>
        <v>674680</v>
      </c>
    </row>
    <row r="33" spans="1:8" ht="33" x14ac:dyDescent="0.25">
      <c r="A33" s="1463" t="s">
        <v>8576</v>
      </c>
      <c r="B33" s="1464" t="s">
        <v>9398</v>
      </c>
      <c r="C33" s="1460" t="s">
        <v>6858</v>
      </c>
      <c r="D33" s="1434">
        <v>53.780000000000008</v>
      </c>
      <c r="E33" s="2066">
        <v>793562</v>
      </c>
      <c r="F33" s="2083">
        <f t="shared" si="5"/>
        <v>42677764</v>
      </c>
      <c r="G33" s="2176">
        <f t="shared" si="3"/>
        <v>714206</v>
      </c>
      <c r="H33" s="2176">
        <f t="shared" si="4"/>
        <v>872918</v>
      </c>
    </row>
    <row r="34" spans="1:8" x14ac:dyDescent="0.25">
      <c r="A34" s="1463" t="s">
        <v>233</v>
      </c>
      <c r="B34" s="1435" t="s">
        <v>5573</v>
      </c>
      <c r="C34" s="1460" t="s">
        <v>5431</v>
      </c>
      <c r="D34" s="1434">
        <v>4634</v>
      </c>
      <c r="E34" s="2066">
        <v>3841</v>
      </c>
      <c r="F34" s="2083">
        <f t="shared" si="5"/>
        <v>17799194</v>
      </c>
      <c r="G34" s="2176">
        <f t="shared" si="3"/>
        <v>3457</v>
      </c>
      <c r="H34" s="2176">
        <f t="shared" si="4"/>
        <v>4225</v>
      </c>
    </row>
    <row r="35" spans="1:8" x14ac:dyDescent="0.25">
      <c r="A35" s="1463" t="s">
        <v>8577</v>
      </c>
      <c r="B35" s="1435" t="s">
        <v>9399</v>
      </c>
      <c r="C35" s="1460" t="s">
        <v>6858</v>
      </c>
      <c r="D35" s="1075">
        <v>7.49</v>
      </c>
      <c r="E35" s="2066">
        <v>612002</v>
      </c>
      <c r="F35" s="2083">
        <f t="shared" si="5"/>
        <v>4583895</v>
      </c>
      <c r="G35" s="2176">
        <f t="shared" si="3"/>
        <v>550802</v>
      </c>
      <c r="H35" s="2176">
        <f t="shared" si="4"/>
        <v>673202</v>
      </c>
    </row>
    <row r="36" spans="1:8" x14ac:dyDescent="0.25">
      <c r="A36" s="1463" t="s">
        <v>5976</v>
      </c>
      <c r="B36" s="1081" t="s">
        <v>7982</v>
      </c>
      <c r="C36" s="1460" t="s">
        <v>6858</v>
      </c>
      <c r="D36" s="1434">
        <v>239.1</v>
      </c>
      <c r="E36" s="2066">
        <v>34912</v>
      </c>
      <c r="F36" s="2083">
        <f t="shared" si="5"/>
        <v>8347459</v>
      </c>
      <c r="G36" s="2176">
        <f t="shared" si="3"/>
        <v>31421</v>
      </c>
      <c r="H36" s="2176">
        <f t="shared" si="4"/>
        <v>38403</v>
      </c>
    </row>
    <row r="37" spans="1:8" x14ac:dyDescent="0.25">
      <c r="A37" s="1463" t="s">
        <v>8625</v>
      </c>
      <c r="B37" s="1435" t="s">
        <v>8498</v>
      </c>
      <c r="C37" s="1460" t="s">
        <v>5424</v>
      </c>
      <c r="D37" s="1440">
        <v>40</v>
      </c>
      <c r="E37" s="2066">
        <v>42963</v>
      </c>
      <c r="F37" s="2083">
        <f t="shared" si="5"/>
        <v>1718520</v>
      </c>
      <c r="G37" s="2176">
        <f t="shared" si="3"/>
        <v>38667</v>
      </c>
      <c r="H37" s="2176">
        <f t="shared" si="4"/>
        <v>47259</v>
      </c>
    </row>
    <row r="38" spans="1:8" x14ac:dyDescent="0.25">
      <c r="A38" s="1463" t="s">
        <v>8632</v>
      </c>
      <c r="B38" s="1435" t="s">
        <v>8503</v>
      </c>
      <c r="C38" s="1460" t="s">
        <v>5424</v>
      </c>
      <c r="D38" s="1440">
        <v>5</v>
      </c>
      <c r="E38" s="2066">
        <v>117793</v>
      </c>
      <c r="F38" s="2083">
        <f t="shared" si="5"/>
        <v>588965</v>
      </c>
      <c r="G38" s="2176">
        <f t="shared" si="3"/>
        <v>106014</v>
      </c>
      <c r="H38" s="2176">
        <f t="shared" si="4"/>
        <v>129572</v>
      </c>
    </row>
    <row r="39" spans="1:8" x14ac:dyDescent="0.25">
      <c r="A39" s="1463" t="s">
        <v>8633</v>
      </c>
      <c r="B39" s="1435" t="s">
        <v>8534</v>
      </c>
      <c r="C39" s="1460" t="s">
        <v>5424</v>
      </c>
      <c r="D39" s="1440">
        <v>15</v>
      </c>
      <c r="E39" s="2066">
        <v>139031</v>
      </c>
      <c r="F39" s="2083">
        <f t="shared" si="5"/>
        <v>2085465</v>
      </c>
      <c r="G39" s="2176">
        <f t="shared" si="3"/>
        <v>125128</v>
      </c>
      <c r="H39" s="2176">
        <f t="shared" si="4"/>
        <v>152934</v>
      </c>
    </row>
    <row r="40" spans="1:8" x14ac:dyDescent="0.25">
      <c r="A40" s="1463" t="s">
        <v>8588</v>
      </c>
      <c r="B40" s="2125" t="s">
        <v>8497</v>
      </c>
      <c r="C40" s="1460" t="s">
        <v>5424</v>
      </c>
      <c r="D40" s="1440">
        <v>8</v>
      </c>
      <c r="E40" s="2066">
        <v>26752</v>
      </c>
      <c r="F40" s="2083">
        <f t="shared" si="5"/>
        <v>214016</v>
      </c>
      <c r="G40" s="2176">
        <f t="shared" si="3"/>
        <v>24077</v>
      </c>
      <c r="H40" s="2176">
        <f t="shared" si="4"/>
        <v>29427</v>
      </c>
    </row>
    <row r="41" spans="1:8" x14ac:dyDescent="0.25">
      <c r="A41" s="1463" t="s">
        <v>8589</v>
      </c>
      <c r="B41" s="2125" t="s">
        <v>8508</v>
      </c>
      <c r="C41" s="1460" t="s">
        <v>5424</v>
      </c>
      <c r="D41" s="1440">
        <v>1</v>
      </c>
      <c r="E41" s="2066">
        <v>36879</v>
      </c>
      <c r="F41" s="2083">
        <f t="shared" si="5"/>
        <v>36879</v>
      </c>
      <c r="G41" s="2176">
        <f t="shared" si="3"/>
        <v>33191</v>
      </c>
      <c r="H41" s="2176">
        <f t="shared" si="4"/>
        <v>40567</v>
      </c>
    </row>
    <row r="42" spans="1:8" x14ac:dyDescent="0.25">
      <c r="A42" s="1463" t="s">
        <v>8590</v>
      </c>
      <c r="B42" s="1435" t="s">
        <v>8509</v>
      </c>
      <c r="C42" s="1460" t="s">
        <v>5424</v>
      </c>
      <c r="D42" s="1440">
        <v>12</v>
      </c>
      <c r="E42" s="2066">
        <v>38572</v>
      </c>
      <c r="F42" s="2083">
        <f t="shared" si="5"/>
        <v>462864</v>
      </c>
      <c r="G42" s="2176">
        <f t="shared" si="3"/>
        <v>34715</v>
      </c>
      <c r="H42" s="2176">
        <f t="shared" si="4"/>
        <v>42429</v>
      </c>
    </row>
    <row r="43" spans="1:8" x14ac:dyDescent="0.25">
      <c r="A43" s="1463" t="s">
        <v>8591</v>
      </c>
      <c r="B43" s="1435" t="s">
        <v>8510</v>
      </c>
      <c r="C43" s="1460" t="s">
        <v>5424</v>
      </c>
      <c r="D43" s="1440">
        <v>18</v>
      </c>
      <c r="E43" s="2066">
        <v>38572</v>
      </c>
      <c r="F43" s="2083">
        <f t="shared" si="5"/>
        <v>694296</v>
      </c>
      <c r="G43" s="2176">
        <f t="shared" si="3"/>
        <v>34715</v>
      </c>
      <c r="H43" s="2176">
        <f t="shared" si="4"/>
        <v>42429</v>
      </c>
    </row>
    <row r="44" spans="1:8" x14ac:dyDescent="0.25">
      <c r="A44" s="1463" t="s">
        <v>8609</v>
      </c>
      <c r="B44" s="2125" t="s">
        <v>8540</v>
      </c>
      <c r="C44" s="1460" t="s">
        <v>5424</v>
      </c>
      <c r="D44" s="1440">
        <v>20</v>
      </c>
      <c r="E44" s="2066">
        <v>79222</v>
      </c>
      <c r="F44" s="2083">
        <f t="shared" si="5"/>
        <v>1584440</v>
      </c>
      <c r="G44" s="2176">
        <f t="shared" si="3"/>
        <v>71300</v>
      </c>
      <c r="H44" s="2176">
        <f t="shared" si="4"/>
        <v>87144</v>
      </c>
    </row>
    <row r="45" spans="1:8" x14ac:dyDescent="0.25">
      <c r="A45" s="1463" t="s">
        <v>8613</v>
      </c>
      <c r="B45" s="2125" t="s">
        <v>8525</v>
      </c>
      <c r="C45" s="1460" t="s">
        <v>5424</v>
      </c>
      <c r="D45" s="1440">
        <v>18</v>
      </c>
      <c r="E45" s="2066">
        <v>133375</v>
      </c>
      <c r="F45" s="2083">
        <f t="shared" si="5"/>
        <v>2400750</v>
      </c>
      <c r="G45" s="2176">
        <f t="shared" si="3"/>
        <v>120038</v>
      </c>
      <c r="H45" s="2176">
        <f t="shared" si="4"/>
        <v>146713</v>
      </c>
    </row>
    <row r="46" spans="1:8" x14ac:dyDescent="0.25">
      <c r="A46" s="1463" t="s">
        <v>5585</v>
      </c>
      <c r="B46" s="1435" t="s">
        <v>7929</v>
      </c>
      <c r="C46" s="1460" t="s">
        <v>5424</v>
      </c>
      <c r="D46" s="1434">
        <v>100</v>
      </c>
      <c r="E46" s="2066">
        <v>29456</v>
      </c>
      <c r="F46" s="2083">
        <f t="shared" si="5"/>
        <v>2945600</v>
      </c>
      <c r="G46" s="2176">
        <f t="shared" si="3"/>
        <v>26510</v>
      </c>
      <c r="H46" s="2176">
        <f t="shared" si="4"/>
        <v>32402</v>
      </c>
    </row>
    <row r="47" spans="1:8" x14ac:dyDescent="0.25">
      <c r="A47" s="2126"/>
      <c r="B47" s="1081"/>
      <c r="C47" s="1450"/>
      <c r="D47" s="1439"/>
      <c r="E47" s="1465" t="s">
        <v>8560</v>
      </c>
      <c r="F47" s="2132">
        <f>+ROUND(SUM(F27:F46),0)</f>
        <v>102598187</v>
      </c>
      <c r="G47" s="2176"/>
      <c r="H47" s="2176"/>
    </row>
    <row r="48" spans="1:8" x14ac:dyDescent="0.25">
      <c r="A48" s="2333"/>
      <c r="B48" s="2334"/>
      <c r="C48" s="2334"/>
      <c r="D48" s="2334"/>
      <c r="E48" s="2334"/>
      <c r="F48" s="2335"/>
      <c r="G48" s="2176"/>
      <c r="H48" s="2176"/>
    </row>
    <row r="49" spans="1:8" x14ac:dyDescent="0.25">
      <c r="A49" s="1433"/>
      <c r="B49" s="2127" t="s">
        <v>7935</v>
      </c>
      <c r="C49" s="849"/>
      <c r="D49" s="2129"/>
      <c r="E49" s="1094"/>
      <c r="F49" s="2123"/>
      <c r="G49" s="2123"/>
      <c r="H49" s="2123"/>
    </row>
    <row r="50" spans="1:8" x14ac:dyDescent="0.25">
      <c r="A50" s="1463">
        <v>1.1000000000000001</v>
      </c>
      <c r="B50" s="1081" t="s">
        <v>7204</v>
      </c>
      <c r="C50" s="1460" t="s">
        <v>5734</v>
      </c>
      <c r="D50" s="1434">
        <v>27</v>
      </c>
      <c r="E50" s="2066">
        <v>1913</v>
      </c>
      <c r="F50" s="2083">
        <f t="shared" ref="F50:F69" si="6">ROUND(E50*D50,0)</f>
        <v>51651</v>
      </c>
      <c r="G50" s="2176">
        <f t="shared" si="3"/>
        <v>1722</v>
      </c>
      <c r="H50" s="2176">
        <f t="shared" si="4"/>
        <v>2104</v>
      </c>
    </row>
    <row r="51" spans="1:8" x14ac:dyDescent="0.25">
      <c r="A51" s="1463">
        <v>1.2</v>
      </c>
      <c r="B51" s="1081" t="s">
        <v>7192</v>
      </c>
      <c r="C51" s="1460" t="s">
        <v>5556</v>
      </c>
      <c r="D51" s="1434">
        <v>26.01</v>
      </c>
      <c r="E51" s="2066">
        <v>2899</v>
      </c>
      <c r="F51" s="2083">
        <f t="shared" si="6"/>
        <v>75403</v>
      </c>
      <c r="G51" s="2176">
        <f t="shared" si="3"/>
        <v>2609</v>
      </c>
      <c r="H51" s="2176">
        <f t="shared" si="4"/>
        <v>3189</v>
      </c>
    </row>
    <row r="52" spans="1:8" x14ac:dyDescent="0.25">
      <c r="A52" s="1463" t="s">
        <v>5458</v>
      </c>
      <c r="B52" s="1435" t="s">
        <v>5968</v>
      </c>
      <c r="C52" s="1460" t="s">
        <v>6858</v>
      </c>
      <c r="D52" s="1434">
        <v>45.75</v>
      </c>
      <c r="E52" s="2066">
        <v>24270</v>
      </c>
      <c r="F52" s="2083">
        <f t="shared" si="6"/>
        <v>1110353</v>
      </c>
      <c r="G52" s="2176">
        <f t="shared" si="3"/>
        <v>21843</v>
      </c>
      <c r="H52" s="2176">
        <f t="shared" si="4"/>
        <v>26697</v>
      </c>
    </row>
    <row r="53" spans="1:8" x14ac:dyDescent="0.25">
      <c r="A53" s="1463" t="s">
        <v>97</v>
      </c>
      <c r="B53" s="1435" t="s">
        <v>8990</v>
      </c>
      <c r="C53" s="1460" t="s">
        <v>6858</v>
      </c>
      <c r="D53" s="1434">
        <v>5.22</v>
      </c>
      <c r="E53" s="2066">
        <v>52233</v>
      </c>
      <c r="F53" s="2083">
        <f t="shared" si="6"/>
        <v>272656</v>
      </c>
      <c r="G53" s="2176">
        <f t="shared" si="3"/>
        <v>47010</v>
      </c>
      <c r="H53" s="2176">
        <f t="shared" si="4"/>
        <v>57456</v>
      </c>
    </row>
    <row r="54" spans="1:8" x14ac:dyDescent="0.25">
      <c r="A54" s="1463" t="s">
        <v>873</v>
      </c>
      <c r="B54" s="1435" t="s">
        <v>7937</v>
      </c>
      <c r="C54" s="1460" t="s">
        <v>6858</v>
      </c>
      <c r="D54" s="1434">
        <v>0.99</v>
      </c>
      <c r="E54" s="2066">
        <v>396261</v>
      </c>
      <c r="F54" s="2083">
        <f t="shared" si="6"/>
        <v>392298</v>
      </c>
      <c r="G54" s="2176">
        <f t="shared" si="3"/>
        <v>356635</v>
      </c>
      <c r="H54" s="2176">
        <f t="shared" si="4"/>
        <v>435887</v>
      </c>
    </row>
    <row r="55" spans="1:8" ht="33" x14ac:dyDescent="0.25">
      <c r="A55" s="1463" t="s">
        <v>8575</v>
      </c>
      <c r="B55" s="1464" t="s">
        <v>9397</v>
      </c>
      <c r="C55" s="1460" t="s">
        <v>6858</v>
      </c>
      <c r="D55" s="1434">
        <v>3.33</v>
      </c>
      <c r="E55" s="2066">
        <v>613345</v>
      </c>
      <c r="F55" s="2083">
        <f t="shared" si="6"/>
        <v>2042439</v>
      </c>
      <c r="G55" s="2176">
        <f t="shared" si="3"/>
        <v>552011</v>
      </c>
      <c r="H55" s="2176">
        <f t="shared" si="4"/>
        <v>674680</v>
      </c>
    </row>
    <row r="56" spans="1:8" ht="33" x14ac:dyDescent="0.25">
      <c r="A56" s="1463" t="s">
        <v>8576</v>
      </c>
      <c r="B56" s="1464" t="s">
        <v>9398</v>
      </c>
      <c r="C56" s="1460" t="s">
        <v>6858</v>
      </c>
      <c r="D56" s="1434">
        <v>15.11</v>
      </c>
      <c r="E56" s="2066">
        <v>793562</v>
      </c>
      <c r="F56" s="2083">
        <f t="shared" si="6"/>
        <v>11990722</v>
      </c>
      <c r="G56" s="2176">
        <f t="shared" si="3"/>
        <v>714206</v>
      </c>
      <c r="H56" s="2176">
        <f t="shared" si="4"/>
        <v>872918</v>
      </c>
    </row>
    <row r="57" spans="1:8" x14ac:dyDescent="0.25">
      <c r="A57" s="1463" t="s">
        <v>233</v>
      </c>
      <c r="B57" s="1435" t="s">
        <v>5573</v>
      </c>
      <c r="C57" s="1460" t="s">
        <v>5431</v>
      </c>
      <c r="D57" s="1434">
        <v>1152</v>
      </c>
      <c r="E57" s="2066">
        <v>3841</v>
      </c>
      <c r="F57" s="2083">
        <f t="shared" si="6"/>
        <v>4424832</v>
      </c>
      <c r="G57" s="2176">
        <f t="shared" si="3"/>
        <v>3457</v>
      </c>
      <c r="H57" s="2176">
        <f t="shared" si="4"/>
        <v>4225</v>
      </c>
    </row>
    <row r="58" spans="1:8" x14ac:dyDescent="0.25">
      <c r="A58" s="1463" t="s">
        <v>8577</v>
      </c>
      <c r="B58" s="1435" t="s">
        <v>9399</v>
      </c>
      <c r="C58" s="1460" t="s">
        <v>6858</v>
      </c>
      <c r="D58" s="1075">
        <v>7.49</v>
      </c>
      <c r="E58" s="2066">
        <v>612002</v>
      </c>
      <c r="F58" s="2083">
        <f t="shared" si="6"/>
        <v>4583895</v>
      </c>
      <c r="G58" s="2176">
        <f t="shared" si="3"/>
        <v>550802</v>
      </c>
      <c r="H58" s="2176">
        <f t="shared" si="4"/>
        <v>673202</v>
      </c>
    </row>
    <row r="59" spans="1:8" x14ac:dyDescent="0.25">
      <c r="A59" s="1463" t="s">
        <v>5976</v>
      </c>
      <c r="B59" s="1081" t="s">
        <v>7982</v>
      </c>
      <c r="C59" s="1460" t="s">
        <v>6858</v>
      </c>
      <c r="D59" s="1434">
        <v>59.47</v>
      </c>
      <c r="E59" s="2066">
        <v>34912</v>
      </c>
      <c r="F59" s="2083">
        <f t="shared" si="6"/>
        <v>2076217</v>
      </c>
      <c r="G59" s="2176">
        <f t="shared" si="3"/>
        <v>31421</v>
      </c>
      <c r="H59" s="2176">
        <f t="shared" si="4"/>
        <v>38403</v>
      </c>
    </row>
    <row r="60" spans="1:8" x14ac:dyDescent="0.25">
      <c r="A60" s="1463" t="s">
        <v>8625</v>
      </c>
      <c r="B60" s="1435" t="s">
        <v>8498</v>
      </c>
      <c r="C60" s="1460" t="s">
        <v>5424</v>
      </c>
      <c r="D60" s="1440">
        <v>18</v>
      </c>
      <c r="E60" s="2066">
        <v>42963</v>
      </c>
      <c r="F60" s="2083">
        <f t="shared" si="6"/>
        <v>773334</v>
      </c>
      <c r="G60" s="2176">
        <f t="shared" si="3"/>
        <v>38667</v>
      </c>
      <c r="H60" s="2176">
        <f t="shared" si="4"/>
        <v>47259</v>
      </c>
    </row>
    <row r="61" spans="1:8" x14ac:dyDescent="0.25">
      <c r="A61" s="1463" t="s">
        <v>8586</v>
      </c>
      <c r="B61" s="2125" t="s">
        <v>9847</v>
      </c>
      <c r="C61" s="1460" t="s">
        <v>5424</v>
      </c>
      <c r="D61" s="1440">
        <v>9</v>
      </c>
      <c r="E61" s="2066">
        <v>18707</v>
      </c>
      <c r="F61" s="2083">
        <f t="shared" si="6"/>
        <v>168363</v>
      </c>
      <c r="G61" s="2176">
        <f t="shared" si="3"/>
        <v>16836</v>
      </c>
      <c r="H61" s="2176">
        <f t="shared" si="4"/>
        <v>20578</v>
      </c>
    </row>
    <row r="62" spans="1:8" x14ac:dyDescent="0.25">
      <c r="A62" s="1463" t="s">
        <v>8589</v>
      </c>
      <c r="B62" s="1435" t="s">
        <v>8508</v>
      </c>
      <c r="C62" s="1460" t="s">
        <v>5424</v>
      </c>
      <c r="D62" s="1440">
        <v>2</v>
      </c>
      <c r="E62" s="2066">
        <v>36879</v>
      </c>
      <c r="F62" s="2083">
        <f t="shared" si="6"/>
        <v>73758</v>
      </c>
      <c r="G62" s="2176">
        <f t="shared" si="3"/>
        <v>33191</v>
      </c>
      <c r="H62" s="2176">
        <f t="shared" si="4"/>
        <v>40567</v>
      </c>
    </row>
    <row r="63" spans="1:8" x14ac:dyDescent="0.25">
      <c r="A63" s="1463" t="s">
        <v>8590</v>
      </c>
      <c r="B63" s="1435" t="s">
        <v>8509</v>
      </c>
      <c r="C63" s="1460" t="s">
        <v>5424</v>
      </c>
      <c r="D63" s="1440">
        <v>2</v>
      </c>
      <c r="E63" s="2066">
        <v>38572</v>
      </c>
      <c r="F63" s="2083">
        <f t="shared" si="6"/>
        <v>77144</v>
      </c>
      <c r="G63" s="2176">
        <f t="shared" si="3"/>
        <v>34715</v>
      </c>
      <c r="H63" s="2176">
        <f t="shared" si="4"/>
        <v>42429</v>
      </c>
    </row>
    <row r="64" spans="1:8" x14ac:dyDescent="0.25">
      <c r="A64" s="1463" t="s">
        <v>8591</v>
      </c>
      <c r="B64" s="1435" t="s">
        <v>8510</v>
      </c>
      <c r="C64" s="1460" t="s">
        <v>5424</v>
      </c>
      <c r="D64" s="1440">
        <v>10</v>
      </c>
      <c r="E64" s="2066">
        <v>38572</v>
      </c>
      <c r="F64" s="2083">
        <f t="shared" si="6"/>
        <v>385720</v>
      </c>
      <c r="G64" s="2176">
        <f t="shared" si="3"/>
        <v>34715</v>
      </c>
      <c r="H64" s="2176">
        <f t="shared" si="4"/>
        <v>42429</v>
      </c>
    </row>
    <row r="65" spans="1:8" x14ac:dyDescent="0.25">
      <c r="A65" s="1463" t="s">
        <v>8592</v>
      </c>
      <c r="B65" s="1435" t="s">
        <v>8511</v>
      </c>
      <c r="C65" s="1460" t="s">
        <v>5424</v>
      </c>
      <c r="D65" s="1440">
        <v>4</v>
      </c>
      <c r="E65" s="2066">
        <v>58690</v>
      </c>
      <c r="F65" s="2083">
        <f t="shared" si="6"/>
        <v>234760</v>
      </c>
      <c r="G65" s="2176">
        <f t="shared" si="3"/>
        <v>52821</v>
      </c>
      <c r="H65" s="2176">
        <f t="shared" si="4"/>
        <v>64559</v>
      </c>
    </row>
    <row r="66" spans="1:8" x14ac:dyDescent="0.25">
      <c r="A66" s="1463" t="s">
        <v>8605</v>
      </c>
      <c r="B66" s="2125" t="s">
        <v>8513</v>
      </c>
      <c r="C66" s="1460" t="s">
        <v>5424</v>
      </c>
      <c r="D66" s="1440">
        <v>18</v>
      </c>
      <c r="E66" s="2066">
        <v>78115</v>
      </c>
      <c r="F66" s="2083">
        <f t="shared" si="6"/>
        <v>1406070</v>
      </c>
      <c r="G66" s="2176">
        <f t="shared" si="3"/>
        <v>70304</v>
      </c>
      <c r="H66" s="2176">
        <f t="shared" si="4"/>
        <v>85927</v>
      </c>
    </row>
    <row r="67" spans="1:8" x14ac:dyDescent="0.25">
      <c r="A67" s="1463" t="s">
        <v>8597</v>
      </c>
      <c r="B67" s="2125" t="s">
        <v>8536</v>
      </c>
      <c r="C67" s="1460" t="s">
        <v>5424</v>
      </c>
      <c r="D67" s="1440">
        <v>19</v>
      </c>
      <c r="E67" s="2066">
        <v>79222</v>
      </c>
      <c r="F67" s="2083">
        <f t="shared" si="6"/>
        <v>1505218</v>
      </c>
      <c r="G67" s="2176">
        <f t="shared" si="3"/>
        <v>71300</v>
      </c>
      <c r="H67" s="2176">
        <f t="shared" si="4"/>
        <v>87144</v>
      </c>
    </row>
    <row r="68" spans="1:8" x14ac:dyDescent="0.25">
      <c r="A68" s="1463" t="s">
        <v>8601</v>
      </c>
      <c r="B68" s="2125" t="s">
        <v>8521</v>
      </c>
      <c r="C68" s="1460" t="s">
        <v>5424</v>
      </c>
      <c r="D68" s="1440">
        <v>38</v>
      </c>
      <c r="E68" s="2066">
        <v>111058</v>
      </c>
      <c r="F68" s="2083">
        <f t="shared" si="6"/>
        <v>4220204</v>
      </c>
      <c r="G68" s="2176">
        <f t="shared" si="3"/>
        <v>99952</v>
      </c>
      <c r="H68" s="2176">
        <f t="shared" si="4"/>
        <v>122164</v>
      </c>
    </row>
    <row r="69" spans="1:8" x14ac:dyDescent="0.25">
      <c r="A69" s="1463" t="s">
        <v>5585</v>
      </c>
      <c r="B69" s="1435" t="s">
        <v>7929</v>
      </c>
      <c r="C69" s="1460" t="s">
        <v>5424</v>
      </c>
      <c r="D69" s="1434">
        <v>45</v>
      </c>
      <c r="E69" s="2066">
        <v>29456</v>
      </c>
      <c r="F69" s="2083">
        <f t="shared" si="6"/>
        <v>1325520</v>
      </c>
      <c r="G69" s="2176">
        <f t="shared" si="3"/>
        <v>26510</v>
      </c>
      <c r="H69" s="2176">
        <f t="shared" si="4"/>
        <v>32402</v>
      </c>
    </row>
    <row r="70" spans="1:8" x14ac:dyDescent="0.25">
      <c r="A70" s="2126"/>
      <c r="B70" s="2125"/>
      <c r="C70" s="1450"/>
      <c r="D70" s="1434"/>
      <c r="E70" s="2131" t="s">
        <v>8562</v>
      </c>
      <c r="F70" s="2132">
        <f>+ROUND(SUM(F50:F69),0)</f>
        <v>37190557</v>
      </c>
      <c r="G70" s="2176"/>
      <c r="H70" s="2176"/>
    </row>
    <row r="71" spans="1:8" x14ac:dyDescent="0.25">
      <c r="A71" s="1433"/>
      <c r="B71" s="2127" t="s">
        <v>7936</v>
      </c>
      <c r="C71" s="849"/>
      <c r="D71" s="2128"/>
      <c r="E71" s="2082"/>
      <c r="F71" s="2123"/>
      <c r="G71" s="2123"/>
      <c r="H71" s="2123"/>
    </row>
    <row r="72" spans="1:8" x14ac:dyDescent="0.25">
      <c r="A72" s="1463">
        <v>1.1000000000000001</v>
      </c>
      <c r="B72" s="1081" t="s">
        <v>7204</v>
      </c>
      <c r="C72" s="1460" t="s">
        <v>5734</v>
      </c>
      <c r="D72" s="1434">
        <v>93</v>
      </c>
      <c r="E72" s="2066">
        <v>1913</v>
      </c>
      <c r="F72" s="2083">
        <f t="shared" ref="F72:F92" si="7">ROUND(E72*D72,0)</f>
        <v>177909</v>
      </c>
      <c r="G72" s="2176">
        <f t="shared" si="3"/>
        <v>1722</v>
      </c>
      <c r="H72" s="2176">
        <f t="shared" si="4"/>
        <v>2104</v>
      </c>
    </row>
    <row r="73" spans="1:8" x14ac:dyDescent="0.25">
      <c r="A73" s="1463">
        <v>1.2</v>
      </c>
      <c r="B73" s="1081" t="s">
        <v>7192</v>
      </c>
      <c r="C73" s="1460" t="s">
        <v>5556</v>
      </c>
      <c r="D73" s="1434">
        <v>146.01</v>
      </c>
      <c r="E73" s="2066">
        <v>2899</v>
      </c>
      <c r="F73" s="2083">
        <f t="shared" si="7"/>
        <v>423283</v>
      </c>
      <c r="G73" s="2176">
        <f t="shared" si="3"/>
        <v>2609</v>
      </c>
      <c r="H73" s="2176">
        <f t="shared" si="4"/>
        <v>3189</v>
      </c>
    </row>
    <row r="74" spans="1:8" x14ac:dyDescent="0.25">
      <c r="A74" s="1463" t="s">
        <v>5458</v>
      </c>
      <c r="B74" s="1435" t="s">
        <v>5968</v>
      </c>
      <c r="C74" s="1460" t="s">
        <v>6858</v>
      </c>
      <c r="D74" s="1434">
        <v>143.87</v>
      </c>
      <c r="E74" s="2066">
        <v>24270</v>
      </c>
      <c r="F74" s="2083">
        <f t="shared" si="7"/>
        <v>3491725</v>
      </c>
      <c r="G74" s="2176">
        <f t="shared" si="3"/>
        <v>21843</v>
      </c>
      <c r="H74" s="2176">
        <f t="shared" si="4"/>
        <v>26697</v>
      </c>
    </row>
    <row r="75" spans="1:8" x14ac:dyDescent="0.25">
      <c r="A75" s="1463" t="s">
        <v>97</v>
      </c>
      <c r="B75" s="1435" t="s">
        <v>8990</v>
      </c>
      <c r="C75" s="1460" t="s">
        <v>6858</v>
      </c>
      <c r="D75" s="1434">
        <v>15.5</v>
      </c>
      <c r="E75" s="2066">
        <v>52233</v>
      </c>
      <c r="F75" s="2083">
        <f t="shared" si="7"/>
        <v>809612</v>
      </c>
      <c r="G75" s="2176">
        <f t="shared" si="3"/>
        <v>47010</v>
      </c>
      <c r="H75" s="2176">
        <f t="shared" si="4"/>
        <v>57456</v>
      </c>
    </row>
    <row r="76" spans="1:8" x14ac:dyDescent="0.25">
      <c r="A76" s="1463" t="s">
        <v>873</v>
      </c>
      <c r="B76" s="1435" t="s">
        <v>7937</v>
      </c>
      <c r="C76" s="1460" t="s">
        <v>6858</v>
      </c>
      <c r="D76" s="1434">
        <v>3.43</v>
      </c>
      <c r="E76" s="2066">
        <v>396261</v>
      </c>
      <c r="F76" s="2083">
        <f t="shared" si="7"/>
        <v>1359175</v>
      </c>
      <c r="G76" s="2176">
        <f t="shared" si="3"/>
        <v>356635</v>
      </c>
      <c r="H76" s="2176">
        <f t="shared" si="4"/>
        <v>435887</v>
      </c>
    </row>
    <row r="77" spans="1:8" ht="33" x14ac:dyDescent="0.25">
      <c r="A77" s="1463" t="s">
        <v>8575</v>
      </c>
      <c r="B77" s="1464" t="s">
        <v>9397</v>
      </c>
      <c r="C77" s="1460" t="s">
        <v>6858</v>
      </c>
      <c r="D77" s="1434">
        <v>10.28</v>
      </c>
      <c r="E77" s="2066">
        <v>613345</v>
      </c>
      <c r="F77" s="2083">
        <f t="shared" si="7"/>
        <v>6305187</v>
      </c>
      <c r="G77" s="2176">
        <f t="shared" si="3"/>
        <v>552011</v>
      </c>
      <c r="H77" s="2176">
        <f t="shared" si="4"/>
        <v>674680</v>
      </c>
    </row>
    <row r="78" spans="1:8" ht="33" x14ac:dyDescent="0.25">
      <c r="A78" s="1463" t="s">
        <v>8576</v>
      </c>
      <c r="B78" s="1464" t="s">
        <v>9398</v>
      </c>
      <c r="C78" s="1460" t="s">
        <v>6858</v>
      </c>
      <c r="D78" s="1434">
        <v>47.03</v>
      </c>
      <c r="E78" s="2066">
        <v>793562</v>
      </c>
      <c r="F78" s="2083">
        <f t="shared" si="7"/>
        <v>37321221</v>
      </c>
      <c r="G78" s="2176">
        <f t="shared" si="3"/>
        <v>714206</v>
      </c>
      <c r="H78" s="2176">
        <f t="shared" si="4"/>
        <v>872918</v>
      </c>
    </row>
    <row r="79" spans="1:8" x14ac:dyDescent="0.25">
      <c r="A79" s="1463" t="s">
        <v>233</v>
      </c>
      <c r="B79" s="1435" t="s">
        <v>5573</v>
      </c>
      <c r="C79" s="1460" t="s">
        <v>5431</v>
      </c>
      <c r="D79" s="1434">
        <v>3968</v>
      </c>
      <c r="E79" s="2066">
        <v>3841</v>
      </c>
      <c r="F79" s="2083">
        <f t="shared" si="7"/>
        <v>15241088</v>
      </c>
      <c r="G79" s="2176">
        <f t="shared" si="3"/>
        <v>3457</v>
      </c>
      <c r="H79" s="2176">
        <f t="shared" si="4"/>
        <v>4225</v>
      </c>
    </row>
    <row r="80" spans="1:8" x14ac:dyDescent="0.25">
      <c r="A80" s="1463" t="s">
        <v>8577</v>
      </c>
      <c r="B80" s="1435" t="s">
        <v>9399</v>
      </c>
      <c r="C80" s="1460" t="s">
        <v>6858</v>
      </c>
      <c r="D80" s="1075">
        <v>7.49</v>
      </c>
      <c r="E80" s="2066">
        <v>612002</v>
      </c>
      <c r="F80" s="2083">
        <f t="shared" si="7"/>
        <v>4583895</v>
      </c>
      <c r="G80" s="2176">
        <f t="shared" si="3"/>
        <v>550802</v>
      </c>
      <c r="H80" s="2176">
        <f t="shared" si="4"/>
        <v>673202</v>
      </c>
    </row>
    <row r="81" spans="1:8" x14ac:dyDescent="0.25">
      <c r="A81" s="1463" t="s">
        <v>5976</v>
      </c>
      <c r="B81" s="1081" t="s">
        <v>7982</v>
      </c>
      <c r="C81" s="1460" t="s">
        <v>6858</v>
      </c>
      <c r="D81" s="1434">
        <v>187.03</v>
      </c>
      <c r="E81" s="2066">
        <v>34912</v>
      </c>
      <c r="F81" s="2083">
        <f t="shared" si="7"/>
        <v>6529591</v>
      </c>
      <c r="G81" s="2176">
        <f t="shared" si="3"/>
        <v>31421</v>
      </c>
      <c r="H81" s="2176">
        <f t="shared" si="4"/>
        <v>38403</v>
      </c>
    </row>
    <row r="82" spans="1:8" x14ac:dyDescent="0.25">
      <c r="A82" s="1463" t="s">
        <v>8625</v>
      </c>
      <c r="B82" s="1435" t="s">
        <v>8498</v>
      </c>
      <c r="C82" s="1460" t="s">
        <v>5424</v>
      </c>
      <c r="D82" s="1440">
        <v>31</v>
      </c>
      <c r="E82" s="2066">
        <v>42963</v>
      </c>
      <c r="F82" s="2083">
        <f t="shared" si="7"/>
        <v>1331853</v>
      </c>
      <c r="G82" s="2176">
        <f t="shared" si="3"/>
        <v>38667</v>
      </c>
      <c r="H82" s="2176">
        <f t="shared" si="4"/>
        <v>47259</v>
      </c>
    </row>
    <row r="83" spans="1:8" x14ac:dyDescent="0.25">
      <c r="A83" s="1463" t="s">
        <v>8586</v>
      </c>
      <c r="B83" s="2125" t="s">
        <v>9847</v>
      </c>
      <c r="C83" s="1460" t="s">
        <v>5424</v>
      </c>
      <c r="D83" s="1440">
        <v>71</v>
      </c>
      <c r="E83" s="2066">
        <v>18707</v>
      </c>
      <c r="F83" s="2083">
        <f t="shared" si="7"/>
        <v>1328197</v>
      </c>
      <c r="G83" s="2176">
        <f t="shared" si="3"/>
        <v>16836</v>
      </c>
      <c r="H83" s="2176">
        <f t="shared" si="4"/>
        <v>20578</v>
      </c>
    </row>
    <row r="84" spans="1:8" x14ac:dyDescent="0.25">
      <c r="A84" s="1463" t="s">
        <v>8588</v>
      </c>
      <c r="B84" s="2125" t="s">
        <v>8497</v>
      </c>
      <c r="C84" s="1460" t="s">
        <v>5424</v>
      </c>
      <c r="D84" s="1440">
        <v>4</v>
      </c>
      <c r="E84" s="2066">
        <v>26752</v>
      </c>
      <c r="F84" s="2083">
        <f t="shared" si="7"/>
        <v>107008</v>
      </c>
      <c r="G84" s="2176">
        <f t="shared" si="3"/>
        <v>24077</v>
      </c>
      <c r="H84" s="2176">
        <f t="shared" si="4"/>
        <v>29427</v>
      </c>
    </row>
    <row r="85" spans="1:8" x14ac:dyDescent="0.25">
      <c r="A85" s="1463" t="s">
        <v>8589</v>
      </c>
      <c r="B85" s="2125" t="s">
        <v>8508</v>
      </c>
      <c r="C85" s="1460" t="s">
        <v>5424</v>
      </c>
      <c r="D85" s="1440">
        <v>4</v>
      </c>
      <c r="E85" s="2066">
        <v>36879</v>
      </c>
      <c r="F85" s="2083">
        <f t="shared" si="7"/>
        <v>147516</v>
      </c>
      <c r="G85" s="2176">
        <f t="shared" si="3"/>
        <v>33191</v>
      </c>
      <c r="H85" s="2176">
        <f t="shared" si="4"/>
        <v>40567</v>
      </c>
    </row>
    <row r="86" spans="1:8" x14ac:dyDescent="0.25">
      <c r="A86" s="1463" t="s">
        <v>8590</v>
      </c>
      <c r="B86" s="1435" t="s">
        <v>8509</v>
      </c>
      <c r="C86" s="1460" t="s">
        <v>5424</v>
      </c>
      <c r="D86" s="1440">
        <v>16</v>
      </c>
      <c r="E86" s="2066">
        <v>38572</v>
      </c>
      <c r="F86" s="2083">
        <f t="shared" si="7"/>
        <v>617152</v>
      </c>
      <c r="G86" s="2176">
        <f t="shared" si="3"/>
        <v>34715</v>
      </c>
      <c r="H86" s="2176">
        <f t="shared" si="4"/>
        <v>42429</v>
      </c>
    </row>
    <row r="87" spans="1:8" x14ac:dyDescent="0.25">
      <c r="A87" s="1463" t="s">
        <v>8591</v>
      </c>
      <c r="B87" s="1435" t="s">
        <v>8510</v>
      </c>
      <c r="C87" s="1460" t="s">
        <v>5424</v>
      </c>
      <c r="D87" s="1440">
        <v>30</v>
      </c>
      <c r="E87" s="2066">
        <v>38572</v>
      </c>
      <c r="F87" s="2083">
        <f t="shared" si="7"/>
        <v>1157160</v>
      </c>
      <c r="G87" s="2176">
        <f t="shared" si="3"/>
        <v>34715</v>
      </c>
      <c r="H87" s="2176">
        <f t="shared" si="4"/>
        <v>42429</v>
      </c>
    </row>
    <row r="88" spans="1:8" x14ac:dyDescent="0.25">
      <c r="A88" s="1463" t="s">
        <v>8592</v>
      </c>
      <c r="B88" s="1435" t="s">
        <v>8511</v>
      </c>
      <c r="C88" s="1460" t="s">
        <v>5424</v>
      </c>
      <c r="D88" s="1440">
        <v>8</v>
      </c>
      <c r="E88" s="2066">
        <v>58690</v>
      </c>
      <c r="F88" s="2083">
        <f t="shared" si="7"/>
        <v>469520</v>
      </c>
      <c r="G88" s="2176">
        <f t="shared" si="3"/>
        <v>52821</v>
      </c>
      <c r="H88" s="2176">
        <f t="shared" si="4"/>
        <v>64559</v>
      </c>
    </row>
    <row r="89" spans="1:8" x14ac:dyDescent="0.25">
      <c r="A89" s="1463" t="s">
        <v>8605</v>
      </c>
      <c r="B89" s="2125" t="s">
        <v>8513</v>
      </c>
      <c r="C89" s="1460" t="s">
        <v>5424</v>
      </c>
      <c r="D89" s="1440">
        <v>62</v>
      </c>
      <c r="E89" s="2066">
        <v>78115</v>
      </c>
      <c r="F89" s="2083">
        <f t="shared" si="7"/>
        <v>4843130</v>
      </c>
      <c r="G89" s="2176">
        <f t="shared" ref="G89:G152" si="8">+ROUND(E89*0.9,0)</f>
        <v>70304</v>
      </c>
      <c r="H89" s="2176">
        <f t="shared" ref="H89:H152" si="9">+ROUND(E89*1.1,0)</f>
        <v>85927</v>
      </c>
    </row>
    <row r="90" spans="1:8" x14ac:dyDescent="0.25">
      <c r="A90" s="1463" t="s">
        <v>8597</v>
      </c>
      <c r="B90" s="2125" t="s">
        <v>8536</v>
      </c>
      <c r="C90" s="1460" t="s">
        <v>5424</v>
      </c>
      <c r="D90" s="1440">
        <v>10</v>
      </c>
      <c r="E90" s="2066">
        <v>79222</v>
      </c>
      <c r="F90" s="2083">
        <f t="shared" si="7"/>
        <v>792220</v>
      </c>
      <c r="G90" s="2176">
        <f t="shared" si="8"/>
        <v>71300</v>
      </c>
      <c r="H90" s="2176">
        <f t="shared" si="9"/>
        <v>87144</v>
      </c>
    </row>
    <row r="91" spans="1:8" x14ac:dyDescent="0.25">
      <c r="A91" s="1463" t="s">
        <v>8601</v>
      </c>
      <c r="B91" s="2125" t="s">
        <v>8521</v>
      </c>
      <c r="C91" s="1460" t="s">
        <v>5424</v>
      </c>
      <c r="D91" s="1440">
        <v>23</v>
      </c>
      <c r="E91" s="2066">
        <v>111058</v>
      </c>
      <c r="F91" s="2083">
        <f t="shared" si="7"/>
        <v>2554334</v>
      </c>
      <c r="G91" s="2176">
        <f t="shared" si="8"/>
        <v>99952</v>
      </c>
      <c r="H91" s="2176">
        <f t="shared" si="9"/>
        <v>122164</v>
      </c>
    </row>
    <row r="92" spans="1:8" x14ac:dyDescent="0.25">
      <c r="A92" s="1463" t="s">
        <v>5585</v>
      </c>
      <c r="B92" s="1435" t="s">
        <v>7929</v>
      </c>
      <c r="C92" s="1460" t="s">
        <v>5424</v>
      </c>
      <c r="D92" s="1434">
        <v>155</v>
      </c>
      <c r="E92" s="2066">
        <v>29456</v>
      </c>
      <c r="F92" s="2083">
        <f t="shared" si="7"/>
        <v>4565680</v>
      </c>
      <c r="G92" s="2176">
        <f t="shared" si="8"/>
        <v>26510</v>
      </c>
      <c r="H92" s="2176">
        <f t="shared" si="9"/>
        <v>32402</v>
      </c>
    </row>
    <row r="93" spans="1:8" x14ac:dyDescent="0.25">
      <c r="A93" s="2130"/>
      <c r="B93" s="1435"/>
      <c r="C93" s="1450"/>
      <c r="D93" s="1439"/>
      <c r="E93" s="1465" t="s">
        <v>8564</v>
      </c>
      <c r="F93" s="2132">
        <f>+ROUND(SUM(F72:F92),0)</f>
        <v>94156456</v>
      </c>
      <c r="G93" s="2176"/>
      <c r="H93" s="2176"/>
    </row>
    <row r="94" spans="1:8" x14ac:dyDescent="0.25">
      <c r="A94" s="2377"/>
      <c r="B94" s="2378"/>
      <c r="C94" s="2378"/>
      <c r="D94" s="2378"/>
      <c r="E94" s="2378"/>
      <c r="F94" s="2379"/>
      <c r="G94" s="2176"/>
      <c r="H94" s="2176"/>
    </row>
    <row r="95" spans="1:8" x14ac:dyDescent="0.25">
      <c r="A95" s="1433"/>
      <c r="B95" s="2127" t="s">
        <v>6484</v>
      </c>
      <c r="C95" s="849"/>
      <c r="D95" s="2129"/>
      <c r="E95" s="1094"/>
      <c r="F95" s="2123"/>
      <c r="G95" s="2123"/>
      <c r="H95" s="2123"/>
    </row>
    <row r="96" spans="1:8" x14ac:dyDescent="0.25">
      <c r="A96" s="1463">
        <v>1.1000000000000001</v>
      </c>
      <c r="B96" s="1081" t="s">
        <v>7204</v>
      </c>
      <c r="C96" s="1460" t="s">
        <v>5734</v>
      </c>
      <c r="D96" s="1434">
        <v>18</v>
      </c>
      <c r="E96" s="2066">
        <v>1913</v>
      </c>
      <c r="F96" s="2083">
        <f t="shared" ref="F96:F111" si="10">ROUND(E96*D96,0)</f>
        <v>34434</v>
      </c>
      <c r="G96" s="2176">
        <f t="shared" si="8"/>
        <v>1722</v>
      </c>
      <c r="H96" s="2176">
        <f t="shared" si="9"/>
        <v>2104</v>
      </c>
    </row>
    <row r="97" spans="1:8" x14ac:dyDescent="0.25">
      <c r="A97" s="1463">
        <v>1.2</v>
      </c>
      <c r="B97" s="1081" t="s">
        <v>7192</v>
      </c>
      <c r="C97" s="1460" t="s">
        <v>5556</v>
      </c>
      <c r="D97" s="1434">
        <v>30.599999999999998</v>
      </c>
      <c r="E97" s="2066">
        <v>2899</v>
      </c>
      <c r="F97" s="2083">
        <f t="shared" si="10"/>
        <v>88709</v>
      </c>
      <c r="G97" s="2176">
        <f t="shared" si="8"/>
        <v>2609</v>
      </c>
      <c r="H97" s="2176">
        <f t="shared" si="9"/>
        <v>3189</v>
      </c>
    </row>
    <row r="98" spans="1:8" x14ac:dyDescent="0.25">
      <c r="A98" s="1463" t="s">
        <v>5458</v>
      </c>
      <c r="B98" s="1435" t="s">
        <v>5968</v>
      </c>
      <c r="C98" s="1460" t="s">
        <v>6858</v>
      </c>
      <c r="D98" s="1434">
        <v>98.280000000000015</v>
      </c>
      <c r="E98" s="2066">
        <v>24270</v>
      </c>
      <c r="F98" s="2083">
        <f t="shared" si="10"/>
        <v>2385256</v>
      </c>
      <c r="G98" s="2176">
        <f t="shared" si="8"/>
        <v>21843</v>
      </c>
      <c r="H98" s="2176">
        <f t="shared" si="9"/>
        <v>26697</v>
      </c>
    </row>
    <row r="99" spans="1:8" x14ac:dyDescent="0.25">
      <c r="A99" s="1463" t="s">
        <v>97</v>
      </c>
      <c r="B99" s="1435" t="s">
        <v>8990</v>
      </c>
      <c r="C99" s="1460" t="s">
        <v>6858</v>
      </c>
      <c r="D99" s="1434">
        <v>6.7200000000000006</v>
      </c>
      <c r="E99" s="2066">
        <v>52233</v>
      </c>
      <c r="F99" s="2083">
        <f t="shared" si="10"/>
        <v>351006</v>
      </c>
      <c r="G99" s="2176">
        <f t="shared" si="8"/>
        <v>47010</v>
      </c>
      <c r="H99" s="2176">
        <f t="shared" si="9"/>
        <v>57456</v>
      </c>
    </row>
    <row r="100" spans="1:8" x14ac:dyDescent="0.25">
      <c r="A100" s="1463" t="s">
        <v>873</v>
      </c>
      <c r="B100" s="1435" t="s">
        <v>7937</v>
      </c>
      <c r="C100" s="1460" t="s">
        <v>6858</v>
      </c>
      <c r="D100" s="1434">
        <v>1.8900000000000003</v>
      </c>
      <c r="E100" s="2066">
        <v>396261</v>
      </c>
      <c r="F100" s="2083">
        <f t="shared" si="10"/>
        <v>748933</v>
      </c>
      <c r="G100" s="2176">
        <f t="shared" si="8"/>
        <v>356635</v>
      </c>
      <c r="H100" s="2176">
        <f t="shared" si="9"/>
        <v>435887</v>
      </c>
    </row>
    <row r="101" spans="1:8" ht="33" x14ac:dyDescent="0.25">
      <c r="A101" s="1463" t="s">
        <v>8575</v>
      </c>
      <c r="B101" s="1464" t="s">
        <v>9397</v>
      </c>
      <c r="C101" s="1460" t="s">
        <v>6858</v>
      </c>
      <c r="D101" s="1434">
        <v>13.919999999999998</v>
      </c>
      <c r="E101" s="2066">
        <v>613345</v>
      </c>
      <c r="F101" s="2083">
        <f t="shared" si="10"/>
        <v>8537762</v>
      </c>
      <c r="G101" s="2176">
        <f t="shared" si="8"/>
        <v>552011</v>
      </c>
      <c r="H101" s="2176">
        <f t="shared" si="9"/>
        <v>674680</v>
      </c>
    </row>
    <row r="102" spans="1:8" ht="33" x14ac:dyDescent="0.25">
      <c r="A102" s="1463" t="s">
        <v>8576</v>
      </c>
      <c r="B102" s="1464" t="s">
        <v>9398</v>
      </c>
      <c r="C102" s="1460" t="s">
        <v>6858</v>
      </c>
      <c r="D102" s="1434">
        <v>42</v>
      </c>
      <c r="E102" s="2066">
        <v>793562</v>
      </c>
      <c r="F102" s="2083">
        <f t="shared" si="10"/>
        <v>33329604</v>
      </c>
      <c r="G102" s="2176">
        <f t="shared" si="8"/>
        <v>714206</v>
      </c>
      <c r="H102" s="2176">
        <f t="shared" si="9"/>
        <v>872918</v>
      </c>
    </row>
    <row r="103" spans="1:8" x14ac:dyDescent="0.25">
      <c r="A103" s="1463" t="s">
        <v>233</v>
      </c>
      <c r="B103" s="1435" t="s">
        <v>5573</v>
      </c>
      <c r="C103" s="1460" t="s">
        <v>5431</v>
      </c>
      <c r="D103" s="1434">
        <v>4842</v>
      </c>
      <c r="E103" s="2066">
        <v>3841</v>
      </c>
      <c r="F103" s="2083">
        <f t="shared" si="10"/>
        <v>18598122</v>
      </c>
      <c r="G103" s="2176">
        <f t="shared" si="8"/>
        <v>3457</v>
      </c>
      <c r="H103" s="2176">
        <f t="shared" si="9"/>
        <v>4225</v>
      </c>
    </row>
    <row r="104" spans="1:8" ht="33" x14ac:dyDescent="0.25">
      <c r="A104" s="1463" t="s">
        <v>8577</v>
      </c>
      <c r="B104" s="1464" t="s">
        <v>9399</v>
      </c>
      <c r="C104" s="1460" t="s">
        <v>6858</v>
      </c>
      <c r="D104" s="1075">
        <v>7.49</v>
      </c>
      <c r="E104" s="2066">
        <v>612002</v>
      </c>
      <c r="F104" s="2083">
        <f t="shared" si="10"/>
        <v>4583895</v>
      </c>
      <c r="G104" s="2176">
        <f t="shared" si="8"/>
        <v>550802</v>
      </c>
      <c r="H104" s="2176">
        <f t="shared" si="9"/>
        <v>673202</v>
      </c>
    </row>
    <row r="105" spans="1:8" x14ac:dyDescent="0.25">
      <c r="A105" s="1463" t="s">
        <v>5976</v>
      </c>
      <c r="B105" s="1081" t="s">
        <v>7982</v>
      </c>
      <c r="C105" s="1460" t="s">
        <v>6858</v>
      </c>
      <c r="D105" s="1434">
        <v>127.76</v>
      </c>
      <c r="E105" s="2066">
        <v>34912</v>
      </c>
      <c r="F105" s="2083">
        <f t="shared" si="10"/>
        <v>4460357</v>
      </c>
      <c r="G105" s="2176">
        <f t="shared" si="8"/>
        <v>31421</v>
      </c>
      <c r="H105" s="2176">
        <f t="shared" si="9"/>
        <v>38403</v>
      </c>
    </row>
    <row r="106" spans="1:8" x14ac:dyDescent="0.25">
      <c r="A106" s="1463" t="s">
        <v>8627</v>
      </c>
      <c r="B106" s="1435" t="s">
        <v>8272</v>
      </c>
      <c r="C106" s="1460" t="s">
        <v>5424</v>
      </c>
      <c r="D106" s="1434">
        <v>15</v>
      </c>
      <c r="E106" s="2066">
        <v>129573</v>
      </c>
      <c r="F106" s="2083">
        <f t="shared" si="10"/>
        <v>1943595</v>
      </c>
      <c r="G106" s="2176">
        <f t="shared" si="8"/>
        <v>116616</v>
      </c>
      <c r="H106" s="2176">
        <f t="shared" si="9"/>
        <v>142530</v>
      </c>
    </row>
    <row r="107" spans="1:8" x14ac:dyDescent="0.25">
      <c r="A107" s="1463" t="s">
        <v>8628</v>
      </c>
      <c r="B107" s="1435" t="s">
        <v>8500</v>
      </c>
      <c r="C107" s="1460" t="s">
        <v>5424</v>
      </c>
      <c r="D107" s="1434">
        <v>3</v>
      </c>
      <c r="E107" s="2066">
        <v>139031</v>
      </c>
      <c r="F107" s="2083">
        <f t="shared" si="10"/>
        <v>417093</v>
      </c>
      <c r="G107" s="2176">
        <f t="shared" si="8"/>
        <v>125128</v>
      </c>
      <c r="H107" s="2176">
        <f t="shared" si="9"/>
        <v>152934</v>
      </c>
    </row>
    <row r="108" spans="1:8" x14ac:dyDescent="0.25">
      <c r="A108" s="1463" t="s">
        <v>8588</v>
      </c>
      <c r="B108" s="2125" t="s">
        <v>8497</v>
      </c>
      <c r="C108" s="1460" t="s">
        <v>5424</v>
      </c>
      <c r="D108" s="1440">
        <v>2</v>
      </c>
      <c r="E108" s="2066">
        <v>26752</v>
      </c>
      <c r="F108" s="2083">
        <f t="shared" si="10"/>
        <v>53504</v>
      </c>
      <c r="G108" s="2176">
        <f t="shared" si="8"/>
        <v>24077</v>
      </c>
      <c r="H108" s="2176">
        <f t="shared" si="9"/>
        <v>29427</v>
      </c>
    </row>
    <row r="109" spans="1:8" x14ac:dyDescent="0.25">
      <c r="A109" s="1463" t="s">
        <v>8590</v>
      </c>
      <c r="B109" s="1435" t="s">
        <v>8509</v>
      </c>
      <c r="C109" s="1460" t="s">
        <v>5424</v>
      </c>
      <c r="D109" s="1440">
        <v>3</v>
      </c>
      <c r="E109" s="2066">
        <v>38572</v>
      </c>
      <c r="F109" s="2083">
        <f t="shared" si="10"/>
        <v>115716</v>
      </c>
      <c r="G109" s="2176">
        <f t="shared" si="8"/>
        <v>34715</v>
      </c>
      <c r="H109" s="2176">
        <f t="shared" si="9"/>
        <v>42429</v>
      </c>
    </row>
    <row r="110" spans="1:8" x14ac:dyDescent="0.25">
      <c r="A110" s="1463" t="s">
        <v>8591</v>
      </c>
      <c r="B110" s="1435" t="s">
        <v>8510</v>
      </c>
      <c r="C110" s="1460" t="s">
        <v>5424</v>
      </c>
      <c r="D110" s="1440">
        <v>1</v>
      </c>
      <c r="E110" s="2066">
        <v>38572</v>
      </c>
      <c r="F110" s="2083">
        <f t="shared" si="10"/>
        <v>38572</v>
      </c>
      <c r="G110" s="2176">
        <f t="shared" si="8"/>
        <v>34715</v>
      </c>
      <c r="H110" s="2176">
        <f t="shared" si="9"/>
        <v>42429</v>
      </c>
    </row>
    <row r="111" spans="1:8" x14ac:dyDescent="0.25">
      <c r="A111" s="1463" t="s">
        <v>5585</v>
      </c>
      <c r="B111" s="1435" t="s">
        <v>7929</v>
      </c>
      <c r="C111" s="1460" t="s">
        <v>5424</v>
      </c>
      <c r="D111" s="1434">
        <v>30</v>
      </c>
      <c r="E111" s="2066">
        <v>29456</v>
      </c>
      <c r="F111" s="2083">
        <f t="shared" si="10"/>
        <v>883680</v>
      </c>
      <c r="G111" s="2176">
        <f t="shared" si="8"/>
        <v>26510</v>
      </c>
      <c r="H111" s="2176">
        <f t="shared" si="9"/>
        <v>32402</v>
      </c>
    </row>
    <row r="112" spans="1:8" x14ac:dyDescent="0.25">
      <c r="A112" s="1463" t="str">
        <f>+IF(B112="","",VLOOKUP(B112,ListaAPUs!$B:$E,4,FALSE))</f>
        <v/>
      </c>
      <c r="B112" s="1081"/>
      <c r="C112" s="1450"/>
      <c r="D112" s="1439"/>
      <c r="E112" s="1465" t="s">
        <v>8567</v>
      </c>
      <c r="F112" s="2132">
        <f>+ROUND(SUM(F96:F111),0)</f>
        <v>76570238</v>
      </c>
      <c r="G112" s="2176"/>
      <c r="H112" s="2176"/>
    </row>
    <row r="113" spans="1:8" x14ac:dyDescent="0.25">
      <c r="A113" s="1463"/>
      <c r="B113" s="2127" t="s">
        <v>8568</v>
      </c>
      <c r="C113" s="849"/>
      <c r="D113" s="2129"/>
      <c r="E113" s="1094"/>
      <c r="F113" s="2123"/>
      <c r="G113" s="2123"/>
      <c r="H113" s="2123"/>
    </row>
    <row r="114" spans="1:8" x14ac:dyDescent="0.25">
      <c r="A114" s="1463">
        <v>8.1</v>
      </c>
      <c r="B114" s="1081" t="s">
        <v>6419</v>
      </c>
      <c r="C114" s="1460" t="s">
        <v>5424</v>
      </c>
      <c r="D114" s="1434">
        <v>40</v>
      </c>
      <c r="E114" s="2066">
        <v>2544608</v>
      </c>
      <c r="F114" s="2083">
        <f t="shared" ref="F114" si="11">ROUND(E114*D114,0)</f>
        <v>101784320</v>
      </c>
      <c r="G114" s="2176">
        <f t="shared" si="8"/>
        <v>2290147</v>
      </c>
      <c r="H114" s="2176">
        <f t="shared" si="9"/>
        <v>2799069</v>
      </c>
    </row>
    <row r="115" spans="1:8" x14ac:dyDescent="0.25">
      <c r="A115" s="2126"/>
      <c r="B115" s="1081"/>
      <c r="C115" s="1450"/>
      <c r="D115" s="1439"/>
      <c r="E115" s="1465" t="s">
        <v>9846</v>
      </c>
      <c r="F115" s="2132">
        <f>+SUM(F114)</f>
        <v>101784320</v>
      </c>
      <c r="G115" s="2176"/>
      <c r="H115" s="2176"/>
    </row>
    <row r="116" spans="1:8" x14ac:dyDescent="0.25">
      <c r="A116" s="1433"/>
      <c r="B116" s="2127" t="s">
        <v>6497</v>
      </c>
      <c r="C116" s="849"/>
      <c r="D116" s="2129"/>
      <c r="E116" s="1094"/>
      <c r="F116" s="2123"/>
      <c r="G116" s="2123"/>
      <c r="H116" s="2123"/>
    </row>
    <row r="117" spans="1:8" x14ac:dyDescent="0.25">
      <c r="A117" s="1463" t="s">
        <v>5458</v>
      </c>
      <c r="B117" s="1459" t="s">
        <v>5968</v>
      </c>
      <c r="C117" s="1460" t="s">
        <v>6858</v>
      </c>
      <c r="D117" s="1434">
        <v>12.37</v>
      </c>
      <c r="E117" s="2133">
        <v>24270</v>
      </c>
      <c r="F117" s="2083">
        <f t="shared" ref="F117:F122" si="12">ROUND(E117*D117,0)</f>
        <v>300220</v>
      </c>
      <c r="G117" s="2176">
        <f t="shared" si="8"/>
        <v>21843</v>
      </c>
      <c r="H117" s="2176">
        <f t="shared" si="9"/>
        <v>26697</v>
      </c>
    </row>
    <row r="118" spans="1:8" x14ac:dyDescent="0.25">
      <c r="A118" s="1463" t="s">
        <v>97</v>
      </c>
      <c r="B118" s="1459" t="s">
        <v>8990</v>
      </c>
      <c r="C118" s="1460" t="s">
        <v>6858</v>
      </c>
      <c r="D118" s="1434">
        <v>1.32</v>
      </c>
      <c r="E118" s="2133">
        <v>52233</v>
      </c>
      <c r="F118" s="2083">
        <f t="shared" si="12"/>
        <v>68948</v>
      </c>
      <c r="G118" s="2176">
        <f t="shared" si="8"/>
        <v>47010</v>
      </c>
      <c r="H118" s="2176">
        <f t="shared" si="9"/>
        <v>57456</v>
      </c>
    </row>
    <row r="119" spans="1:8" x14ac:dyDescent="0.25">
      <c r="A119" s="1463" t="s">
        <v>873</v>
      </c>
      <c r="B119" s="1459" t="s">
        <v>7937</v>
      </c>
      <c r="C119" s="1460" t="s">
        <v>6858</v>
      </c>
      <c r="D119" s="1434">
        <v>0.46</v>
      </c>
      <c r="E119" s="2133">
        <v>396261</v>
      </c>
      <c r="F119" s="2083">
        <f t="shared" si="12"/>
        <v>182280</v>
      </c>
      <c r="G119" s="2176">
        <f t="shared" si="8"/>
        <v>356635</v>
      </c>
      <c r="H119" s="2176">
        <f t="shared" si="9"/>
        <v>435887</v>
      </c>
    </row>
    <row r="120" spans="1:8" ht="33" x14ac:dyDescent="0.25">
      <c r="A120" s="1463" t="s">
        <v>8576</v>
      </c>
      <c r="B120" s="1459" t="s">
        <v>9398</v>
      </c>
      <c r="C120" s="1460" t="s">
        <v>6858</v>
      </c>
      <c r="D120" s="1434">
        <v>5.29</v>
      </c>
      <c r="E120" s="2133">
        <v>793562</v>
      </c>
      <c r="F120" s="2083">
        <f t="shared" si="12"/>
        <v>4197943</v>
      </c>
      <c r="G120" s="2176">
        <f t="shared" si="8"/>
        <v>714206</v>
      </c>
      <c r="H120" s="2176">
        <f t="shared" si="9"/>
        <v>872918</v>
      </c>
    </row>
    <row r="121" spans="1:8" x14ac:dyDescent="0.25">
      <c r="A121" s="1463" t="s">
        <v>233</v>
      </c>
      <c r="B121" s="1459" t="s">
        <v>5573</v>
      </c>
      <c r="C121" s="1460" t="s">
        <v>5431</v>
      </c>
      <c r="D121" s="1434">
        <v>3072.39</v>
      </c>
      <c r="E121" s="2133">
        <v>3841</v>
      </c>
      <c r="F121" s="2083">
        <f t="shared" si="12"/>
        <v>11801050</v>
      </c>
      <c r="G121" s="2176">
        <f t="shared" si="8"/>
        <v>3457</v>
      </c>
      <c r="H121" s="2176">
        <f t="shared" si="9"/>
        <v>4225</v>
      </c>
    </row>
    <row r="122" spans="1:8" x14ac:dyDescent="0.25">
      <c r="A122" s="1463">
        <v>8.1999999999999993</v>
      </c>
      <c r="B122" s="1081" t="s">
        <v>9379</v>
      </c>
      <c r="C122" s="1460" t="s">
        <v>5944</v>
      </c>
      <c r="D122" s="1434">
        <v>2758.99</v>
      </c>
      <c r="E122" s="2133">
        <v>12022</v>
      </c>
      <c r="F122" s="2083">
        <f t="shared" si="12"/>
        <v>33168578</v>
      </c>
      <c r="G122" s="2176">
        <f t="shared" si="8"/>
        <v>10820</v>
      </c>
      <c r="H122" s="2176">
        <f t="shared" si="9"/>
        <v>13224</v>
      </c>
    </row>
    <row r="123" spans="1:8" x14ac:dyDescent="0.25">
      <c r="A123" s="2126"/>
      <c r="B123" s="1081"/>
      <c r="C123" s="1450"/>
      <c r="D123" s="1439"/>
      <c r="E123" s="1465" t="s">
        <v>8569</v>
      </c>
      <c r="F123" s="2132">
        <f>+ROUND(SUM(F117:F122),0)</f>
        <v>49719019</v>
      </c>
      <c r="G123" s="2176"/>
      <c r="H123" s="2176"/>
    </row>
    <row r="124" spans="1:8" x14ac:dyDescent="0.25">
      <c r="A124" s="2126"/>
      <c r="B124" s="1081"/>
      <c r="C124" s="2332"/>
      <c r="D124" s="2332"/>
      <c r="E124" s="2332"/>
      <c r="F124" s="1461"/>
      <c r="G124" s="2176"/>
      <c r="H124" s="2176"/>
    </row>
    <row r="125" spans="1:8" x14ac:dyDescent="0.25">
      <c r="A125" s="2126"/>
      <c r="B125" s="1081"/>
      <c r="C125" s="2332" t="s">
        <v>8068</v>
      </c>
      <c r="D125" s="2332"/>
      <c r="E125" s="2332"/>
      <c r="F125" s="2132">
        <f>+F123+F115+F112+F93+F70+F47+F25</f>
        <v>567096038</v>
      </c>
      <c r="G125" s="2176"/>
      <c r="H125" s="2176"/>
    </row>
    <row r="126" spans="1:8" x14ac:dyDescent="0.25">
      <c r="A126" s="2372"/>
      <c r="B126" s="2373"/>
      <c r="C126" s="2373"/>
      <c r="D126" s="2373"/>
      <c r="E126" s="2373"/>
      <c r="F126" s="2374"/>
      <c r="G126" s="2176"/>
      <c r="H126" s="2176"/>
    </row>
    <row r="127" spans="1:8" x14ac:dyDescent="0.3">
      <c r="A127" s="2375" t="s">
        <v>8351</v>
      </c>
      <c r="B127" s="2375"/>
      <c r="C127" s="947" t="s">
        <v>6616</v>
      </c>
      <c r="D127" s="947" t="s">
        <v>6617</v>
      </c>
      <c r="E127" s="2109" t="s">
        <v>6618</v>
      </c>
      <c r="F127" s="2110" t="s">
        <v>9831</v>
      </c>
      <c r="G127" s="949" t="s">
        <v>9864</v>
      </c>
      <c r="H127" s="949" t="s">
        <v>9865</v>
      </c>
    </row>
    <row r="128" spans="1:8" ht="33" x14ac:dyDescent="0.25">
      <c r="A128" s="1463" t="s">
        <v>8967</v>
      </c>
      <c r="B128" s="1459" t="s">
        <v>9193</v>
      </c>
      <c r="C128" s="1076" t="str">
        <f>+VLOOKUP(A128,'APU SUM'!$A:$G,3,FALSE)</f>
        <v>un</v>
      </c>
      <c r="D128" s="1440">
        <v>13</v>
      </c>
      <c r="E128" s="2066">
        <v>1596611</v>
      </c>
      <c r="F128" s="2083">
        <f t="shared" ref="F128:F191" si="13">ROUND(E128*D128,0)</f>
        <v>20755943</v>
      </c>
      <c r="G128" s="2176">
        <f t="shared" si="8"/>
        <v>1436950</v>
      </c>
      <c r="H128" s="2176">
        <f t="shared" si="9"/>
        <v>1756272</v>
      </c>
    </row>
    <row r="129" spans="1:8" ht="33" x14ac:dyDescent="0.25">
      <c r="A129" s="1463" t="s">
        <v>8968</v>
      </c>
      <c r="B129" s="1459" t="s">
        <v>9194</v>
      </c>
      <c r="C129" s="1076" t="str">
        <f>+VLOOKUP(A129,'APU SUM'!$A:$G,3,FALSE)</f>
        <v>un</v>
      </c>
      <c r="D129" s="1440">
        <v>26</v>
      </c>
      <c r="E129" s="2066">
        <v>1596611</v>
      </c>
      <c r="F129" s="2083">
        <f t="shared" si="13"/>
        <v>41511886</v>
      </c>
      <c r="G129" s="2176">
        <f t="shared" si="8"/>
        <v>1436950</v>
      </c>
      <c r="H129" s="2176">
        <f t="shared" si="9"/>
        <v>1756272</v>
      </c>
    </row>
    <row r="130" spans="1:8" ht="33" x14ac:dyDescent="0.25">
      <c r="A130" s="1463" t="s">
        <v>8969</v>
      </c>
      <c r="B130" s="1459" t="s">
        <v>9195</v>
      </c>
      <c r="C130" s="1076" t="str">
        <f>+VLOOKUP(A130,'APU SUM'!$A:$G,3,FALSE)</f>
        <v>un</v>
      </c>
      <c r="D130" s="1440">
        <v>21</v>
      </c>
      <c r="E130" s="2066">
        <v>1596611</v>
      </c>
      <c r="F130" s="2083">
        <f t="shared" si="13"/>
        <v>33528831</v>
      </c>
      <c r="G130" s="2176">
        <f t="shared" si="8"/>
        <v>1436950</v>
      </c>
      <c r="H130" s="2176">
        <f t="shared" si="9"/>
        <v>1756272</v>
      </c>
    </row>
    <row r="131" spans="1:8" ht="33" x14ac:dyDescent="0.25">
      <c r="A131" s="1463" t="s">
        <v>8970</v>
      </c>
      <c r="B131" s="1459" t="s">
        <v>9196</v>
      </c>
      <c r="C131" s="1076" t="str">
        <f>+VLOOKUP(A131,'APU SUM'!$A:$G,3,FALSE)</f>
        <v>un</v>
      </c>
      <c r="D131" s="1440">
        <v>6</v>
      </c>
      <c r="E131" s="2066">
        <v>3193222</v>
      </c>
      <c r="F131" s="2083">
        <f t="shared" si="13"/>
        <v>19159332</v>
      </c>
      <c r="G131" s="2176">
        <f t="shared" si="8"/>
        <v>2873900</v>
      </c>
      <c r="H131" s="2176">
        <f t="shared" si="9"/>
        <v>3512544</v>
      </c>
    </row>
    <row r="132" spans="1:8" ht="33" x14ac:dyDescent="0.25">
      <c r="A132" s="1463" t="s">
        <v>8971</v>
      </c>
      <c r="B132" s="1459" t="s">
        <v>9197</v>
      </c>
      <c r="C132" s="1076" t="str">
        <f>+VLOOKUP(A132,'APU SUM'!$A:$G,3,FALSE)</f>
        <v>un</v>
      </c>
      <c r="D132" s="1440">
        <v>10</v>
      </c>
      <c r="E132" s="2066">
        <v>3193222</v>
      </c>
      <c r="F132" s="2083">
        <f t="shared" si="13"/>
        <v>31932220</v>
      </c>
      <c r="G132" s="2176">
        <f t="shared" si="8"/>
        <v>2873900</v>
      </c>
      <c r="H132" s="2176">
        <f t="shared" si="9"/>
        <v>3512544</v>
      </c>
    </row>
    <row r="133" spans="1:8" x14ac:dyDescent="0.25">
      <c r="A133" s="1463" t="s">
        <v>8973</v>
      </c>
      <c r="B133" s="1459" t="s">
        <v>9150</v>
      </c>
      <c r="C133" s="1076" t="str">
        <f>+VLOOKUP(A133,'APU SUM'!$A:$G,3,FALSE)</f>
        <v>un</v>
      </c>
      <c r="D133" s="1440">
        <v>17</v>
      </c>
      <c r="E133" s="2066">
        <v>698179</v>
      </c>
      <c r="F133" s="2083">
        <f t="shared" si="13"/>
        <v>11869043</v>
      </c>
      <c r="G133" s="2176">
        <f t="shared" si="8"/>
        <v>628361</v>
      </c>
      <c r="H133" s="2176">
        <f t="shared" si="9"/>
        <v>767997</v>
      </c>
    </row>
    <row r="134" spans="1:8" x14ac:dyDescent="0.25">
      <c r="A134" s="1463" t="s">
        <v>8974</v>
      </c>
      <c r="B134" s="1459" t="s">
        <v>9198</v>
      </c>
      <c r="C134" s="1076" t="str">
        <f>+VLOOKUP(A134,'APU SUM'!$A:$G,3,FALSE)</f>
        <v>un</v>
      </c>
      <c r="D134" s="1440">
        <v>37</v>
      </c>
      <c r="E134" s="2066">
        <v>698179</v>
      </c>
      <c r="F134" s="2083">
        <f t="shared" si="13"/>
        <v>25832623</v>
      </c>
      <c r="G134" s="2176">
        <f t="shared" si="8"/>
        <v>628361</v>
      </c>
      <c r="H134" s="2176">
        <f t="shared" si="9"/>
        <v>767997</v>
      </c>
    </row>
    <row r="135" spans="1:8" x14ac:dyDescent="0.25">
      <c r="A135" s="1463" t="s">
        <v>8983</v>
      </c>
      <c r="B135" s="1459" t="s">
        <v>9199</v>
      </c>
      <c r="C135" s="1076" t="str">
        <f>+VLOOKUP(A135,'APU SUM'!$A:$G,3,FALSE)</f>
        <v>un</v>
      </c>
      <c r="D135" s="1440">
        <v>35</v>
      </c>
      <c r="E135" s="2066">
        <v>1318223</v>
      </c>
      <c r="F135" s="2083">
        <f t="shared" si="13"/>
        <v>46137805</v>
      </c>
      <c r="G135" s="2176">
        <f t="shared" si="8"/>
        <v>1186401</v>
      </c>
      <c r="H135" s="2176">
        <f t="shared" si="9"/>
        <v>1450045</v>
      </c>
    </row>
    <row r="136" spans="1:8" x14ac:dyDescent="0.25">
      <c r="A136" s="1463" t="s">
        <v>9032</v>
      </c>
      <c r="B136" s="1459" t="s">
        <v>9200</v>
      </c>
      <c r="C136" s="1076" t="str">
        <f>+VLOOKUP(A136,'APU SUM'!$A:$G,3,FALSE)</f>
        <v>un</v>
      </c>
      <c r="D136" s="1440">
        <v>12</v>
      </c>
      <c r="E136" s="2066">
        <v>1318223</v>
      </c>
      <c r="F136" s="2083">
        <f t="shared" si="13"/>
        <v>15818676</v>
      </c>
      <c r="G136" s="2176">
        <f t="shared" si="8"/>
        <v>1186401</v>
      </c>
      <c r="H136" s="2176">
        <f t="shared" si="9"/>
        <v>1450045</v>
      </c>
    </row>
    <row r="137" spans="1:8" ht="36.75" customHeight="1" x14ac:dyDescent="0.25">
      <c r="A137" s="1463" t="s">
        <v>8972</v>
      </c>
      <c r="B137" s="1459" t="s">
        <v>9201</v>
      </c>
      <c r="C137" s="1076" t="str">
        <f>+VLOOKUP(A137,'APU SUM'!$A:$G,3,FALSE)</f>
        <v>un</v>
      </c>
      <c r="D137" s="1440">
        <v>15</v>
      </c>
      <c r="E137" s="2066">
        <v>1329468</v>
      </c>
      <c r="F137" s="2083">
        <f t="shared" si="13"/>
        <v>19942020</v>
      </c>
      <c r="G137" s="2176">
        <f t="shared" si="8"/>
        <v>1196521</v>
      </c>
      <c r="H137" s="2176">
        <f t="shared" si="9"/>
        <v>1462415</v>
      </c>
    </row>
    <row r="138" spans="1:8" ht="33" x14ac:dyDescent="0.25">
      <c r="A138" s="1463" t="s">
        <v>8770</v>
      </c>
      <c r="B138" s="1459" t="s">
        <v>9670</v>
      </c>
      <c r="C138" s="1076" t="str">
        <f>+VLOOKUP(A138,'APU SUM'!$A:$G,3,FALSE)</f>
        <v>un</v>
      </c>
      <c r="D138" s="1440">
        <v>13</v>
      </c>
      <c r="E138" s="2066">
        <v>404838</v>
      </c>
      <c r="F138" s="2083">
        <f t="shared" si="13"/>
        <v>5262894</v>
      </c>
      <c r="G138" s="2176">
        <f t="shared" si="8"/>
        <v>364354</v>
      </c>
      <c r="H138" s="2176">
        <f t="shared" si="9"/>
        <v>445322</v>
      </c>
    </row>
    <row r="139" spans="1:8" ht="33" x14ac:dyDescent="0.25">
      <c r="A139" s="1463" t="s">
        <v>8771</v>
      </c>
      <c r="B139" s="1459" t="s">
        <v>9671</v>
      </c>
      <c r="C139" s="1076" t="str">
        <f>+VLOOKUP(A139,'APU SUM'!$A:$G,3,FALSE)</f>
        <v>un</v>
      </c>
      <c r="D139" s="1440">
        <v>31</v>
      </c>
      <c r="E139" s="2066">
        <v>877149</v>
      </c>
      <c r="F139" s="2083">
        <f t="shared" si="13"/>
        <v>27191619</v>
      </c>
      <c r="G139" s="2176">
        <f t="shared" si="8"/>
        <v>789434</v>
      </c>
      <c r="H139" s="2176">
        <f t="shared" si="9"/>
        <v>964864</v>
      </c>
    </row>
    <row r="140" spans="1:8" ht="33" x14ac:dyDescent="0.25">
      <c r="A140" s="1463" t="s">
        <v>8772</v>
      </c>
      <c r="B140" s="1459" t="s">
        <v>9672</v>
      </c>
      <c r="C140" s="1076" t="str">
        <f>+VLOOKUP(A140,'APU SUM'!$A:$G,3,FALSE)</f>
        <v>un</v>
      </c>
      <c r="D140" s="1440">
        <v>31</v>
      </c>
      <c r="E140" s="2066">
        <v>787185</v>
      </c>
      <c r="F140" s="2083">
        <f t="shared" si="13"/>
        <v>24402735</v>
      </c>
      <c r="G140" s="2176">
        <f t="shared" si="8"/>
        <v>708467</v>
      </c>
      <c r="H140" s="2176">
        <f t="shared" si="9"/>
        <v>865904</v>
      </c>
    </row>
    <row r="141" spans="1:8" ht="33" x14ac:dyDescent="0.25">
      <c r="A141" s="1463" t="s">
        <v>8773</v>
      </c>
      <c r="B141" s="1459" t="s">
        <v>9673</v>
      </c>
      <c r="C141" s="1076" t="str">
        <f>+VLOOKUP(A141,'APU SUM'!$A:$G,3,FALSE)</f>
        <v>un</v>
      </c>
      <c r="D141" s="1440">
        <v>9</v>
      </c>
      <c r="E141" s="2066">
        <v>359856</v>
      </c>
      <c r="F141" s="2083">
        <f t="shared" si="13"/>
        <v>3238704</v>
      </c>
      <c r="G141" s="2176">
        <f t="shared" si="8"/>
        <v>323870</v>
      </c>
      <c r="H141" s="2176">
        <f t="shared" si="9"/>
        <v>395842</v>
      </c>
    </row>
    <row r="142" spans="1:8" ht="33" x14ac:dyDescent="0.25">
      <c r="A142" s="1463" t="s">
        <v>8774</v>
      </c>
      <c r="B142" s="1459" t="s">
        <v>9674</v>
      </c>
      <c r="C142" s="1076" t="str">
        <f>+VLOOKUP(A142,'APU SUM'!$A:$G,3,FALSE)</f>
        <v>un</v>
      </c>
      <c r="D142" s="1440">
        <v>12</v>
      </c>
      <c r="E142" s="2066">
        <v>157437</v>
      </c>
      <c r="F142" s="2083">
        <f t="shared" si="13"/>
        <v>1889244</v>
      </c>
      <c r="G142" s="2176">
        <f t="shared" si="8"/>
        <v>141693</v>
      </c>
      <c r="H142" s="2176">
        <f t="shared" si="9"/>
        <v>173181</v>
      </c>
    </row>
    <row r="143" spans="1:8" ht="33" x14ac:dyDescent="0.25">
      <c r="A143" s="1463" t="s">
        <v>8793</v>
      </c>
      <c r="B143" s="1459" t="s">
        <v>9690</v>
      </c>
      <c r="C143" s="1076" t="str">
        <f>+VLOOKUP(A143,'APU SUM'!$A:$G,3,FALSE)</f>
        <v>un</v>
      </c>
      <c r="D143" s="1440">
        <v>4</v>
      </c>
      <c r="E143" s="2066">
        <v>179928</v>
      </c>
      <c r="F143" s="2083">
        <f t="shared" si="13"/>
        <v>719712</v>
      </c>
      <c r="G143" s="2176">
        <f t="shared" si="8"/>
        <v>161935</v>
      </c>
      <c r="H143" s="2176">
        <f t="shared" si="9"/>
        <v>197921</v>
      </c>
    </row>
    <row r="144" spans="1:8" ht="33" x14ac:dyDescent="0.25">
      <c r="A144" s="1463" t="s">
        <v>8794</v>
      </c>
      <c r="B144" s="1459" t="s">
        <v>9691</v>
      </c>
      <c r="C144" s="1076" t="str">
        <f>+VLOOKUP(A144,'APU SUM'!$A:$G,3,FALSE)</f>
        <v>un</v>
      </c>
      <c r="D144" s="1440">
        <v>11</v>
      </c>
      <c r="E144" s="2066">
        <v>179928</v>
      </c>
      <c r="F144" s="2083">
        <f t="shared" si="13"/>
        <v>1979208</v>
      </c>
      <c r="G144" s="2176">
        <f t="shared" si="8"/>
        <v>161935</v>
      </c>
      <c r="H144" s="2176">
        <f t="shared" si="9"/>
        <v>197921</v>
      </c>
    </row>
    <row r="145" spans="1:8" ht="33" x14ac:dyDescent="0.25">
      <c r="A145" s="1463" t="s">
        <v>8795</v>
      </c>
      <c r="B145" s="1459" t="s">
        <v>9692</v>
      </c>
      <c r="C145" s="1076" t="str">
        <f>+VLOOKUP(A145,'APU SUM'!$A:$G,3,FALSE)</f>
        <v>un</v>
      </c>
      <c r="D145" s="1440">
        <v>14</v>
      </c>
      <c r="E145" s="2066">
        <v>233906</v>
      </c>
      <c r="F145" s="2083">
        <f t="shared" si="13"/>
        <v>3274684</v>
      </c>
      <c r="G145" s="2176">
        <f t="shared" si="8"/>
        <v>210515</v>
      </c>
      <c r="H145" s="2176">
        <f t="shared" si="9"/>
        <v>257297</v>
      </c>
    </row>
    <row r="146" spans="1:8" ht="33" x14ac:dyDescent="0.25">
      <c r="A146" s="1463" t="s">
        <v>8796</v>
      </c>
      <c r="B146" s="1459" t="s">
        <v>9693</v>
      </c>
      <c r="C146" s="1076" t="str">
        <f>+VLOOKUP(A146,'APU SUM'!$A:$G,3,FALSE)</f>
        <v>un</v>
      </c>
      <c r="D146" s="1440">
        <v>6</v>
      </c>
      <c r="E146" s="2066">
        <v>304078</v>
      </c>
      <c r="F146" s="2083">
        <f t="shared" si="13"/>
        <v>1824468</v>
      </c>
      <c r="G146" s="2176">
        <f t="shared" si="8"/>
        <v>273670</v>
      </c>
      <c r="H146" s="2176">
        <f t="shared" si="9"/>
        <v>334486</v>
      </c>
    </row>
    <row r="147" spans="1:8" ht="33" x14ac:dyDescent="0.25">
      <c r="A147" s="1463" t="s">
        <v>8797</v>
      </c>
      <c r="B147" s="1459" t="s">
        <v>9694</v>
      </c>
      <c r="C147" s="1076" t="str">
        <f>+VLOOKUP(A147,'APU SUM'!$A:$G,3,FALSE)</f>
        <v>un</v>
      </c>
      <c r="D147" s="1440">
        <v>5</v>
      </c>
      <c r="E147" s="2066">
        <v>395302</v>
      </c>
      <c r="F147" s="2083">
        <f t="shared" si="13"/>
        <v>1976510</v>
      </c>
      <c r="G147" s="2176">
        <f t="shared" si="8"/>
        <v>355772</v>
      </c>
      <c r="H147" s="2176">
        <f t="shared" si="9"/>
        <v>434832</v>
      </c>
    </row>
    <row r="148" spans="1:8" x14ac:dyDescent="0.25">
      <c r="A148" s="1463" t="s">
        <v>8726</v>
      </c>
      <c r="B148" s="1459" t="s">
        <v>9202</v>
      </c>
      <c r="C148" s="1076" t="str">
        <f>+VLOOKUP(A148,'APU SUM'!$A:$G,3,FALSE)</f>
        <v>un</v>
      </c>
      <c r="D148" s="1440">
        <v>1</v>
      </c>
      <c r="E148" s="2066">
        <v>735456</v>
      </c>
      <c r="F148" s="2083">
        <f t="shared" si="13"/>
        <v>735456</v>
      </c>
      <c r="G148" s="2176">
        <f t="shared" si="8"/>
        <v>661910</v>
      </c>
      <c r="H148" s="2176">
        <f t="shared" si="9"/>
        <v>809002</v>
      </c>
    </row>
    <row r="149" spans="1:8" x14ac:dyDescent="0.25">
      <c r="A149" s="1463" t="s">
        <v>8727</v>
      </c>
      <c r="B149" s="1459" t="s">
        <v>9203</v>
      </c>
      <c r="C149" s="1076" t="str">
        <f>+VLOOKUP(A149,'APU SUM'!$A:$G,3,FALSE)</f>
        <v>un</v>
      </c>
      <c r="D149" s="1440">
        <v>4</v>
      </c>
      <c r="E149" s="2066">
        <v>735456</v>
      </c>
      <c r="F149" s="2083">
        <f t="shared" si="13"/>
        <v>2941824</v>
      </c>
      <c r="G149" s="2176">
        <f t="shared" si="8"/>
        <v>661910</v>
      </c>
      <c r="H149" s="2176">
        <f t="shared" si="9"/>
        <v>809002</v>
      </c>
    </row>
    <row r="150" spans="1:8" x14ac:dyDescent="0.25">
      <c r="A150" s="1463" t="s">
        <v>8728</v>
      </c>
      <c r="B150" s="1459" t="s">
        <v>9204</v>
      </c>
      <c r="C150" s="1076" t="str">
        <f>+VLOOKUP(A150,'APU SUM'!$A:$G,3,FALSE)</f>
        <v>un</v>
      </c>
      <c r="D150" s="1440">
        <v>2</v>
      </c>
      <c r="E150" s="2066">
        <v>735456</v>
      </c>
      <c r="F150" s="2083">
        <f t="shared" si="13"/>
        <v>1470912</v>
      </c>
      <c r="G150" s="2176">
        <f t="shared" si="8"/>
        <v>661910</v>
      </c>
      <c r="H150" s="2176">
        <f t="shared" si="9"/>
        <v>809002</v>
      </c>
    </row>
    <row r="151" spans="1:8" x14ac:dyDescent="0.25">
      <c r="A151" s="1463" t="s">
        <v>8729</v>
      </c>
      <c r="B151" s="1459" t="s">
        <v>9205</v>
      </c>
      <c r="C151" s="1076" t="str">
        <f>+VLOOKUP(A151,'APU SUM'!$A:$G,3,FALSE)</f>
        <v>un</v>
      </c>
      <c r="D151" s="1440">
        <v>2</v>
      </c>
      <c r="E151" s="2066">
        <v>735456</v>
      </c>
      <c r="F151" s="2083">
        <f t="shared" si="13"/>
        <v>1470912</v>
      </c>
      <c r="G151" s="2176">
        <f t="shared" si="8"/>
        <v>661910</v>
      </c>
      <c r="H151" s="2176">
        <f t="shared" si="9"/>
        <v>809002</v>
      </c>
    </row>
    <row r="152" spans="1:8" x14ac:dyDescent="0.25">
      <c r="A152" s="1463" t="s">
        <v>8847</v>
      </c>
      <c r="B152" s="1459" t="s">
        <v>9206</v>
      </c>
      <c r="C152" s="1076" t="str">
        <f>+VLOOKUP(A152,'APU SUM'!$A:$G,3,FALSE)</f>
        <v>un</v>
      </c>
      <c r="D152" s="1440">
        <v>4</v>
      </c>
      <c r="E152" s="2066">
        <v>1674205</v>
      </c>
      <c r="F152" s="2083">
        <f t="shared" si="13"/>
        <v>6696820</v>
      </c>
      <c r="G152" s="2176">
        <f t="shared" si="8"/>
        <v>1506785</v>
      </c>
      <c r="H152" s="2176">
        <f t="shared" si="9"/>
        <v>1841626</v>
      </c>
    </row>
    <row r="153" spans="1:8" x14ac:dyDescent="0.25">
      <c r="A153" s="1463" t="s">
        <v>8851</v>
      </c>
      <c r="B153" s="1459" t="s">
        <v>9207</v>
      </c>
      <c r="C153" s="1076" t="str">
        <f>+VLOOKUP(A153,'APU SUM'!$A:$G,3,FALSE)</f>
        <v>un</v>
      </c>
      <c r="D153" s="1440">
        <v>10</v>
      </c>
      <c r="E153" s="2066">
        <v>2591796</v>
      </c>
      <c r="F153" s="2083">
        <f t="shared" si="13"/>
        <v>25917960</v>
      </c>
      <c r="G153" s="2176">
        <f t="shared" ref="G153:G216" si="14">+ROUND(E153*0.9,0)</f>
        <v>2332616</v>
      </c>
      <c r="H153" s="2176">
        <f t="shared" ref="H153:H216" si="15">+ROUND(E153*1.1,0)</f>
        <v>2850976</v>
      </c>
    </row>
    <row r="154" spans="1:8" x14ac:dyDescent="0.25">
      <c r="A154" s="1463" t="s">
        <v>8856</v>
      </c>
      <c r="B154" s="1459" t="s">
        <v>9208</v>
      </c>
      <c r="C154" s="1076" t="str">
        <f>+VLOOKUP(A154,'APU SUM'!$A:$G,3,FALSE)</f>
        <v>un</v>
      </c>
      <c r="D154" s="1440">
        <v>3</v>
      </c>
      <c r="E154" s="2066">
        <v>3251449</v>
      </c>
      <c r="F154" s="2083">
        <f t="shared" si="13"/>
        <v>9754347</v>
      </c>
      <c r="G154" s="2176">
        <f t="shared" si="14"/>
        <v>2926304</v>
      </c>
      <c r="H154" s="2176">
        <f t="shared" si="15"/>
        <v>3576594</v>
      </c>
    </row>
    <row r="155" spans="1:8" x14ac:dyDescent="0.25">
      <c r="A155" s="1463" t="s">
        <v>8848</v>
      </c>
      <c r="B155" s="1459" t="s">
        <v>9209</v>
      </c>
      <c r="C155" s="1076" t="str">
        <f>+VLOOKUP(A155,'APU SUM'!$A:$G,3,FALSE)</f>
        <v>un</v>
      </c>
      <c r="D155" s="1440">
        <v>4</v>
      </c>
      <c r="E155" s="2066">
        <v>1674205</v>
      </c>
      <c r="F155" s="2083">
        <f t="shared" si="13"/>
        <v>6696820</v>
      </c>
      <c r="G155" s="2176">
        <f t="shared" si="14"/>
        <v>1506785</v>
      </c>
      <c r="H155" s="2176">
        <f t="shared" si="15"/>
        <v>1841626</v>
      </c>
    </row>
    <row r="156" spans="1:8" x14ac:dyDescent="0.25">
      <c r="A156" s="1463" t="s">
        <v>8852</v>
      </c>
      <c r="B156" s="1459" t="s">
        <v>9210</v>
      </c>
      <c r="C156" s="1076" t="str">
        <f>+VLOOKUP(A156,'APU SUM'!$A:$G,3,FALSE)</f>
        <v>un</v>
      </c>
      <c r="D156" s="1440">
        <v>6</v>
      </c>
      <c r="E156" s="2066">
        <v>2591796</v>
      </c>
      <c r="F156" s="2083">
        <f t="shared" si="13"/>
        <v>15550776</v>
      </c>
      <c r="G156" s="2176">
        <f t="shared" si="14"/>
        <v>2332616</v>
      </c>
      <c r="H156" s="2176">
        <f t="shared" si="15"/>
        <v>2850976</v>
      </c>
    </row>
    <row r="157" spans="1:8" x14ac:dyDescent="0.25">
      <c r="A157" s="1463" t="s">
        <v>8857</v>
      </c>
      <c r="B157" s="1459" t="s">
        <v>9211</v>
      </c>
      <c r="C157" s="1076" t="str">
        <f>+VLOOKUP(A157,'APU SUM'!$A:$G,3,FALSE)</f>
        <v>un</v>
      </c>
      <c r="D157" s="1440">
        <v>27</v>
      </c>
      <c r="E157" s="2066">
        <v>3251449</v>
      </c>
      <c r="F157" s="2083">
        <f t="shared" si="13"/>
        <v>87789123</v>
      </c>
      <c r="G157" s="2176">
        <f t="shared" si="14"/>
        <v>2926304</v>
      </c>
      <c r="H157" s="2176">
        <f t="shared" si="15"/>
        <v>3576594</v>
      </c>
    </row>
    <row r="158" spans="1:8" x14ac:dyDescent="0.25">
      <c r="A158" s="1463" t="s">
        <v>8849</v>
      </c>
      <c r="B158" s="1459" t="s">
        <v>9212</v>
      </c>
      <c r="C158" s="1076" t="str">
        <f>+VLOOKUP(A158,'APU SUM'!$A:$G,3,FALSE)</f>
        <v>un</v>
      </c>
      <c r="D158" s="1440">
        <v>1</v>
      </c>
      <c r="E158" s="2066">
        <v>1676704</v>
      </c>
      <c r="F158" s="2083">
        <f t="shared" si="13"/>
        <v>1676704</v>
      </c>
      <c r="G158" s="2176">
        <f t="shared" si="14"/>
        <v>1509034</v>
      </c>
      <c r="H158" s="2176">
        <f t="shared" si="15"/>
        <v>1844374</v>
      </c>
    </row>
    <row r="159" spans="1:8" x14ac:dyDescent="0.25">
      <c r="A159" s="1463" t="s">
        <v>8853</v>
      </c>
      <c r="B159" s="1459" t="s">
        <v>9213</v>
      </c>
      <c r="C159" s="1076" t="str">
        <f>+VLOOKUP(A159,'APU SUM'!$A:$G,3,FALSE)</f>
        <v>un</v>
      </c>
      <c r="D159" s="1440">
        <v>5</v>
      </c>
      <c r="E159" s="2066">
        <v>2591796</v>
      </c>
      <c r="F159" s="2083">
        <f t="shared" si="13"/>
        <v>12958980</v>
      </c>
      <c r="G159" s="2176">
        <f t="shared" si="14"/>
        <v>2332616</v>
      </c>
      <c r="H159" s="2176">
        <f t="shared" si="15"/>
        <v>2850976</v>
      </c>
    </row>
    <row r="160" spans="1:8" x14ac:dyDescent="0.25">
      <c r="A160" s="1463" t="s">
        <v>8858</v>
      </c>
      <c r="B160" s="1459" t="s">
        <v>9214</v>
      </c>
      <c r="C160" s="1076" t="str">
        <f>+VLOOKUP(A160,'APU SUM'!$A:$G,3,FALSE)</f>
        <v>un</v>
      </c>
      <c r="D160" s="1440">
        <v>20</v>
      </c>
      <c r="E160" s="2066">
        <v>3451244</v>
      </c>
      <c r="F160" s="2083">
        <f t="shared" si="13"/>
        <v>69024880</v>
      </c>
      <c r="G160" s="2176">
        <f t="shared" si="14"/>
        <v>3106120</v>
      </c>
      <c r="H160" s="2176">
        <f t="shared" si="15"/>
        <v>3796368</v>
      </c>
    </row>
    <row r="161" spans="1:8" x14ac:dyDescent="0.25">
      <c r="A161" s="1463" t="s">
        <v>8861</v>
      </c>
      <c r="B161" s="1459" t="s">
        <v>9215</v>
      </c>
      <c r="C161" s="1076" t="str">
        <f>+VLOOKUP(A161,'APU SUM'!$A:$G,3,FALSE)</f>
        <v>un</v>
      </c>
      <c r="D161" s="1440">
        <v>9</v>
      </c>
      <c r="E161" s="2066">
        <v>5919239</v>
      </c>
      <c r="F161" s="2083">
        <f t="shared" si="13"/>
        <v>53273151</v>
      </c>
      <c r="G161" s="2176">
        <f t="shared" si="14"/>
        <v>5327315</v>
      </c>
      <c r="H161" s="2176">
        <f t="shared" si="15"/>
        <v>6511163</v>
      </c>
    </row>
    <row r="162" spans="1:8" x14ac:dyDescent="0.25">
      <c r="A162" s="1463" t="s">
        <v>8854</v>
      </c>
      <c r="B162" s="1459" t="s">
        <v>9216</v>
      </c>
      <c r="C162" s="1076" t="str">
        <f>+VLOOKUP(A162,'APU SUM'!$A:$G,3,FALSE)</f>
        <v>un</v>
      </c>
      <c r="D162" s="1440">
        <v>2</v>
      </c>
      <c r="E162" s="2066">
        <v>2591796</v>
      </c>
      <c r="F162" s="2083">
        <f t="shared" si="13"/>
        <v>5183592</v>
      </c>
      <c r="G162" s="2176">
        <f t="shared" si="14"/>
        <v>2332616</v>
      </c>
      <c r="H162" s="2176">
        <f t="shared" si="15"/>
        <v>2850976</v>
      </c>
    </row>
    <row r="163" spans="1:8" x14ac:dyDescent="0.25">
      <c r="A163" s="1463" t="s">
        <v>8859</v>
      </c>
      <c r="B163" s="1459" t="s">
        <v>9217</v>
      </c>
      <c r="C163" s="1076" t="str">
        <f>+VLOOKUP(A163,'APU SUM'!$A:$G,3,FALSE)</f>
        <v>un</v>
      </c>
      <c r="D163" s="1440">
        <v>10</v>
      </c>
      <c r="E163" s="2066">
        <v>3451244</v>
      </c>
      <c r="F163" s="2083">
        <f t="shared" si="13"/>
        <v>34512440</v>
      </c>
      <c r="G163" s="2176">
        <f t="shared" si="14"/>
        <v>3106120</v>
      </c>
      <c r="H163" s="2176">
        <f t="shared" si="15"/>
        <v>3796368</v>
      </c>
    </row>
    <row r="164" spans="1:8" x14ac:dyDescent="0.25">
      <c r="A164" s="1463" t="s">
        <v>8855</v>
      </c>
      <c r="B164" s="1459" t="s">
        <v>9218</v>
      </c>
      <c r="C164" s="1076" t="str">
        <f>+VLOOKUP(A164,'APU SUM'!$A:$G,3,FALSE)</f>
        <v>un</v>
      </c>
      <c r="D164" s="1440">
        <v>7</v>
      </c>
      <c r="E164" s="2066">
        <v>2591796</v>
      </c>
      <c r="F164" s="2083">
        <f t="shared" si="13"/>
        <v>18142572</v>
      </c>
      <c r="G164" s="2176">
        <f t="shared" si="14"/>
        <v>2332616</v>
      </c>
      <c r="H164" s="2176">
        <f t="shared" si="15"/>
        <v>2850976</v>
      </c>
    </row>
    <row r="165" spans="1:8" x14ac:dyDescent="0.25">
      <c r="A165" s="1463" t="s">
        <v>8860</v>
      </c>
      <c r="B165" s="1459" t="s">
        <v>9219</v>
      </c>
      <c r="C165" s="1076" t="str">
        <f>+VLOOKUP(A165,'APU SUM'!$A:$G,3,FALSE)</f>
        <v>un</v>
      </c>
      <c r="D165" s="1440">
        <v>3</v>
      </c>
      <c r="E165" s="2066">
        <v>3451244</v>
      </c>
      <c r="F165" s="2083">
        <f t="shared" si="13"/>
        <v>10353732</v>
      </c>
      <c r="G165" s="2176">
        <f t="shared" si="14"/>
        <v>3106120</v>
      </c>
      <c r="H165" s="2176">
        <f t="shared" si="15"/>
        <v>3796368</v>
      </c>
    </row>
    <row r="166" spans="1:8" ht="33" x14ac:dyDescent="0.25">
      <c r="A166" s="1463" t="s">
        <v>8862</v>
      </c>
      <c r="B166" s="1459" t="s">
        <v>9188</v>
      </c>
      <c r="C166" s="1076" t="str">
        <f>+VLOOKUP(A166,'APU SUM'!$A:$G,3,FALSE)</f>
        <v>un</v>
      </c>
      <c r="D166" s="1440">
        <v>5</v>
      </c>
      <c r="E166" s="2066">
        <v>7695011</v>
      </c>
      <c r="F166" s="2083">
        <f t="shared" si="13"/>
        <v>38475055</v>
      </c>
      <c r="G166" s="2176">
        <f t="shared" si="14"/>
        <v>6925510</v>
      </c>
      <c r="H166" s="2176">
        <f t="shared" si="15"/>
        <v>8464512</v>
      </c>
    </row>
    <row r="167" spans="1:8" x14ac:dyDescent="0.25">
      <c r="A167" s="1463" t="s">
        <v>8744</v>
      </c>
      <c r="B167" s="1459" t="s">
        <v>9135</v>
      </c>
      <c r="C167" s="1076" t="str">
        <f>+VLOOKUP(A167,'APU SUM'!$A:$G,3,FALSE)</f>
        <v>un</v>
      </c>
      <c r="D167" s="1440">
        <v>2</v>
      </c>
      <c r="E167" s="2066">
        <v>415364</v>
      </c>
      <c r="F167" s="2083">
        <f t="shared" si="13"/>
        <v>830728</v>
      </c>
      <c r="G167" s="2176">
        <f t="shared" si="14"/>
        <v>373828</v>
      </c>
      <c r="H167" s="2176">
        <f t="shared" si="15"/>
        <v>456900</v>
      </c>
    </row>
    <row r="168" spans="1:8" x14ac:dyDescent="0.25">
      <c r="A168" s="1463" t="s">
        <v>8750</v>
      </c>
      <c r="B168" s="1459" t="s">
        <v>9220</v>
      </c>
      <c r="C168" s="1076" t="str">
        <f>+VLOOKUP(A168,'APU SUM'!$A:$G,3,FALSE)</f>
        <v>un</v>
      </c>
      <c r="D168" s="1440">
        <v>9</v>
      </c>
      <c r="E168" s="2066">
        <v>648551</v>
      </c>
      <c r="F168" s="2083">
        <f t="shared" si="13"/>
        <v>5836959</v>
      </c>
      <c r="G168" s="2176">
        <f t="shared" si="14"/>
        <v>583696</v>
      </c>
      <c r="H168" s="2176">
        <f t="shared" si="15"/>
        <v>713406</v>
      </c>
    </row>
    <row r="169" spans="1:8" x14ac:dyDescent="0.25">
      <c r="A169" s="1463" t="s">
        <v>8758</v>
      </c>
      <c r="B169" s="1459" t="s">
        <v>9164</v>
      </c>
      <c r="C169" s="1076" t="str">
        <f>+VLOOKUP(A169,'APU SUM'!$A:$G,3,FALSE)</f>
        <v>un</v>
      </c>
      <c r="D169" s="1440">
        <v>2</v>
      </c>
      <c r="E169" s="2066">
        <v>355845</v>
      </c>
      <c r="F169" s="2083">
        <f t="shared" si="13"/>
        <v>711690</v>
      </c>
      <c r="G169" s="2176">
        <f t="shared" si="14"/>
        <v>320261</v>
      </c>
      <c r="H169" s="2176">
        <f t="shared" si="15"/>
        <v>391430</v>
      </c>
    </row>
    <row r="170" spans="1:8" x14ac:dyDescent="0.25">
      <c r="A170" s="1463" t="s">
        <v>8745</v>
      </c>
      <c r="B170" s="1459" t="s">
        <v>9221</v>
      </c>
      <c r="C170" s="1076" t="str">
        <f>+VLOOKUP(A170,'APU SUM'!$A:$G,3,FALSE)</f>
        <v>un</v>
      </c>
      <c r="D170" s="1440">
        <v>3</v>
      </c>
      <c r="E170" s="2066">
        <v>415364</v>
      </c>
      <c r="F170" s="2083">
        <f t="shared" si="13"/>
        <v>1246092</v>
      </c>
      <c r="G170" s="2176">
        <f t="shared" si="14"/>
        <v>373828</v>
      </c>
      <c r="H170" s="2176">
        <f t="shared" si="15"/>
        <v>456900</v>
      </c>
    </row>
    <row r="171" spans="1:8" x14ac:dyDescent="0.25">
      <c r="A171" s="1463" t="s">
        <v>8751</v>
      </c>
      <c r="B171" s="1459" t="s">
        <v>9222</v>
      </c>
      <c r="C171" s="1076" t="str">
        <f>+VLOOKUP(A171,'APU SUM'!$A:$G,3,FALSE)</f>
        <v>un</v>
      </c>
      <c r="D171" s="1440">
        <v>3</v>
      </c>
      <c r="E171" s="2066">
        <v>648550</v>
      </c>
      <c r="F171" s="2083">
        <f t="shared" si="13"/>
        <v>1945650</v>
      </c>
      <c r="G171" s="2176">
        <f t="shared" si="14"/>
        <v>583695</v>
      </c>
      <c r="H171" s="2176">
        <f t="shared" si="15"/>
        <v>713405</v>
      </c>
    </row>
    <row r="172" spans="1:8" x14ac:dyDescent="0.25">
      <c r="A172" s="1463" t="s">
        <v>8759</v>
      </c>
      <c r="B172" s="1459" t="s">
        <v>9223</v>
      </c>
      <c r="C172" s="1076" t="str">
        <f>+VLOOKUP(A172,'APU SUM'!$A:$G,3,FALSE)</f>
        <v>un</v>
      </c>
      <c r="D172" s="1440">
        <v>25</v>
      </c>
      <c r="E172" s="2066">
        <v>355845</v>
      </c>
      <c r="F172" s="2083">
        <f t="shared" si="13"/>
        <v>8896125</v>
      </c>
      <c r="G172" s="2176">
        <f t="shared" si="14"/>
        <v>320261</v>
      </c>
      <c r="H172" s="2176">
        <f t="shared" si="15"/>
        <v>391430</v>
      </c>
    </row>
    <row r="173" spans="1:8" x14ac:dyDescent="0.25">
      <c r="A173" s="1463" t="s">
        <v>8752</v>
      </c>
      <c r="B173" s="1459" t="s">
        <v>9224</v>
      </c>
      <c r="C173" s="1076" t="str">
        <f>+VLOOKUP(A173,'APU SUM'!$A:$G,3,FALSE)</f>
        <v>un</v>
      </c>
      <c r="D173" s="1440">
        <v>5</v>
      </c>
      <c r="E173" s="2066">
        <v>648550</v>
      </c>
      <c r="F173" s="2083">
        <f t="shared" si="13"/>
        <v>3242750</v>
      </c>
      <c r="G173" s="2176">
        <f t="shared" si="14"/>
        <v>583695</v>
      </c>
      <c r="H173" s="2176">
        <f t="shared" si="15"/>
        <v>713405</v>
      </c>
    </row>
    <row r="174" spans="1:8" x14ac:dyDescent="0.25">
      <c r="A174" s="1463" t="s">
        <v>8760</v>
      </c>
      <c r="B174" s="1459" t="s">
        <v>9225</v>
      </c>
      <c r="C174" s="1076" t="str">
        <f>+VLOOKUP(A174,'APU SUM'!$A:$G,3,FALSE)</f>
        <v>un</v>
      </c>
      <c r="D174" s="1440">
        <v>17</v>
      </c>
      <c r="E174" s="2066">
        <v>355845</v>
      </c>
      <c r="F174" s="2083">
        <f t="shared" si="13"/>
        <v>6049365</v>
      </c>
      <c r="G174" s="2176">
        <f t="shared" si="14"/>
        <v>320261</v>
      </c>
      <c r="H174" s="2176">
        <f t="shared" si="15"/>
        <v>391430</v>
      </c>
    </row>
    <row r="175" spans="1:8" x14ac:dyDescent="0.25">
      <c r="A175" s="1463" t="s">
        <v>8766</v>
      </c>
      <c r="B175" s="1459" t="s">
        <v>9226</v>
      </c>
      <c r="C175" s="1076" t="str">
        <f>+VLOOKUP(A175,'APU SUM'!$A:$G,3,FALSE)</f>
        <v>un</v>
      </c>
      <c r="D175" s="1440">
        <v>9</v>
      </c>
      <c r="E175" s="2066">
        <v>1646341</v>
      </c>
      <c r="F175" s="2083">
        <f t="shared" si="13"/>
        <v>14817069</v>
      </c>
      <c r="G175" s="2176">
        <f t="shared" si="14"/>
        <v>1481707</v>
      </c>
      <c r="H175" s="2176">
        <f t="shared" si="15"/>
        <v>1810975</v>
      </c>
    </row>
    <row r="176" spans="1:8" x14ac:dyDescent="0.25">
      <c r="A176" s="1463" t="s">
        <v>8753</v>
      </c>
      <c r="B176" s="1459" t="s">
        <v>9227</v>
      </c>
      <c r="C176" s="1076" t="str">
        <f>+VLOOKUP(A176,'APU SUM'!$A:$G,3,FALSE)</f>
        <v>un</v>
      </c>
      <c r="D176" s="1440">
        <v>1</v>
      </c>
      <c r="E176" s="2066">
        <v>843116</v>
      </c>
      <c r="F176" s="2083">
        <f t="shared" si="13"/>
        <v>843116</v>
      </c>
      <c r="G176" s="2176">
        <f t="shared" si="14"/>
        <v>758804</v>
      </c>
      <c r="H176" s="2176">
        <f t="shared" si="15"/>
        <v>927428</v>
      </c>
    </row>
    <row r="177" spans="1:9" x14ac:dyDescent="0.25">
      <c r="A177" s="1463" t="s">
        <v>8761</v>
      </c>
      <c r="B177" s="1459" t="s">
        <v>9228</v>
      </c>
      <c r="C177" s="1076" t="str">
        <f>+VLOOKUP(A177,'APU SUM'!$A:$G,3,FALSE)</f>
        <v>un</v>
      </c>
      <c r="D177" s="1440">
        <v>8</v>
      </c>
      <c r="E177" s="2066">
        <v>414322</v>
      </c>
      <c r="F177" s="2083">
        <f t="shared" si="13"/>
        <v>3314576</v>
      </c>
      <c r="G177" s="2176">
        <f t="shared" si="14"/>
        <v>372890</v>
      </c>
      <c r="H177" s="2176">
        <f t="shared" si="15"/>
        <v>455754</v>
      </c>
    </row>
    <row r="178" spans="1:9" x14ac:dyDescent="0.25">
      <c r="A178" s="1463" t="s">
        <v>8754</v>
      </c>
      <c r="B178" s="1459" t="s">
        <v>9229</v>
      </c>
      <c r="C178" s="1076" t="str">
        <f>+VLOOKUP(A178,'APU SUM'!$A:$G,3,FALSE)</f>
        <v>un</v>
      </c>
      <c r="D178" s="1440">
        <v>6</v>
      </c>
      <c r="E178" s="2066">
        <v>1096050</v>
      </c>
      <c r="F178" s="2083">
        <f t="shared" si="13"/>
        <v>6576300</v>
      </c>
      <c r="G178" s="2176">
        <f t="shared" si="14"/>
        <v>986445</v>
      </c>
      <c r="H178" s="2176">
        <f t="shared" si="15"/>
        <v>1205655</v>
      </c>
    </row>
    <row r="179" spans="1:9" s="1737" customFormat="1" ht="32.25" customHeight="1" x14ac:dyDescent="0.25">
      <c r="A179" s="1463" t="s">
        <v>8903</v>
      </c>
      <c r="B179" s="1459" t="s">
        <v>9230</v>
      </c>
      <c r="C179" s="1076" t="str">
        <f>+VLOOKUP(A179,'APU SUM'!$A:$G,3,FALSE)</f>
        <v>un</v>
      </c>
      <c r="D179" s="1440">
        <v>2</v>
      </c>
      <c r="E179" s="2066">
        <v>417291</v>
      </c>
      <c r="F179" s="2083">
        <f t="shared" si="13"/>
        <v>834582</v>
      </c>
      <c r="G179" s="2176">
        <f t="shared" si="14"/>
        <v>375562</v>
      </c>
      <c r="H179" s="2176">
        <f t="shared" si="15"/>
        <v>459020</v>
      </c>
      <c r="I179" s="1090"/>
    </row>
    <row r="180" spans="1:9" s="1737" customFormat="1" ht="32.25" customHeight="1" x14ac:dyDescent="0.25">
      <c r="A180" s="1463" t="s">
        <v>8908</v>
      </c>
      <c r="B180" s="1459" t="s">
        <v>9231</v>
      </c>
      <c r="C180" s="1076" t="str">
        <f>+VLOOKUP(A180,'APU SUM'!$A:$G,3,FALSE)</f>
        <v>un</v>
      </c>
      <c r="D180" s="1440">
        <v>9</v>
      </c>
      <c r="E180" s="2066">
        <v>1146541</v>
      </c>
      <c r="F180" s="2083">
        <f t="shared" si="13"/>
        <v>10318869</v>
      </c>
      <c r="G180" s="2176">
        <f t="shared" si="14"/>
        <v>1031887</v>
      </c>
      <c r="H180" s="2176">
        <f t="shared" si="15"/>
        <v>1261195</v>
      </c>
      <c r="I180" s="1090"/>
    </row>
    <row r="181" spans="1:9" s="1737" customFormat="1" ht="32.25" customHeight="1" x14ac:dyDescent="0.25">
      <c r="A181" s="1463" t="s">
        <v>8913</v>
      </c>
      <c r="B181" s="1459" t="s">
        <v>9232</v>
      </c>
      <c r="C181" s="1076" t="str">
        <f>+VLOOKUP(A181,'APU SUM'!$A:$G,3,FALSE)</f>
        <v>un</v>
      </c>
      <c r="D181" s="1440">
        <v>2</v>
      </c>
      <c r="E181" s="2066">
        <v>1608481</v>
      </c>
      <c r="F181" s="2083">
        <f t="shared" si="13"/>
        <v>3216962</v>
      </c>
      <c r="G181" s="2176">
        <f t="shared" si="14"/>
        <v>1447633</v>
      </c>
      <c r="H181" s="2176">
        <f t="shared" si="15"/>
        <v>1769329</v>
      </c>
      <c r="I181" s="1090"/>
    </row>
    <row r="182" spans="1:9" s="1737" customFormat="1" ht="32.25" customHeight="1" x14ac:dyDescent="0.25">
      <c r="A182" s="1463" t="s">
        <v>8904</v>
      </c>
      <c r="B182" s="1459" t="s">
        <v>9233</v>
      </c>
      <c r="C182" s="1076" t="str">
        <f>+VLOOKUP(A182,'APU SUM'!$A:$G,3,FALSE)</f>
        <v>un</v>
      </c>
      <c r="D182" s="1440">
        <v>3</v>
      </c>
      <c r="E182" s="2066">
        <v>417291</v>
      </c>
      <c r="F182" s="2083">
        <f t="shared" si="13"/>
        <v>1251873</v>
      </c>
      <c r="G182" s="2176">
        <f t="shared" si="14"/>
        <v>375562</v>
      </c>
      <c r="H182" s="2176">
        <f t="shared" si="15"/>
        <v>459020</v>
      </c>
      <c r="I182" s="1090"/>
    </row>
    <row r="183" spans="1:9" s="1737" customFormat="1" ht="32.25" customHeight="1" x14ac:dyDescent="0.25">
      <c r="A183" s="1463" t="s">
        <v>8909</v>
      </c>
      <c r="B183" s="1459" t="s">
        <v>9234</v>
      </c>
      <c r="C183" s="1076" t="str">
        <f>+VLOOKUP(A183,'APU SUM'!$A:$G,3,FALSE)</f>
        <v>un</v>
      </c>
      <c r="D183" s="1440">
        <v>3</v>
      </c>
      <c r="E183" s="2066">
        <v>1146541</v>
      </c>
      <c r="F183" s="2083">
        <f t="shared" si="13"/>
        <v>3439623</v>
      </c>
      <c r="G183" s="2176">
        <f t="shared" si="14"/>
        <v>1031887</v>
      </c>
      <c r="H183" s="2176">
        <f t="shared" si="15"/>
        <v>1261195</v>
      </c>
      <c r="I183" s="1090"/>
    </row>
    <row r="184" spans="1:9" s="1737" customFormat="1" ht="32.25" customHeight="1" x14ac:dyDescent="0.25">
      <c r="A184" s="1463" t="s">
        <v>8914</v>
      </c>
      <c r="B184" s="1459" t="s">
        <v>9235</v>
      </c>
      <c r="C184" s="1076" t="str">
        <f>+VLOOKUP(A184,'APU SUM'!$A:$G,3,FALSE)</f>
        <v>un</v>
      </c>
      <c r="D184" s="1440">
        <v>25</v>
      </c>
      <c r="E184" s="2066">
        <v>1608481</v>
      </c>
      <c r="F184" s="2083">
        <f t="shared" si="13"/>
        <v>40212025</v>
      </c>
      <c r="G184" s="2176">
        <f t="shared" si="14"/>
        <v>1447633</v>
      </c>
      <c r="H184" s="2176">
        <f t="shared" si="15"/>
        <v>1769329</v>
      </c>
      <c r="I184" s="1090"/>
    </row>
    <row r="185" spans="1:9" s="1737" customFormat="1" ht="32.25" customHeight="1" x14ac:dyDescent="0.25">
      <c r="A185" s="1463" t="s">
        <v>8910</v>
      </c>
      <c r="B185" s="1459" t="s">
        <v>9236</v>
      </c>
      <c r="C185" s="1076" t="str">
        <f>+VLOOKUP(A185,'APU SUM'!$A:$G,3,FALSE)</f>
        <v>un</v>
      </c>
      <c r="D185" s="1440">
        <v>5</v>
      </c>
      <c r="E185" s="2066">
        <v>1146541</v>
      </c>
      <c r="F185" s="2083">
        <f t="shared" si="13"/>
        <v>5732705</v>
      </c>
      <c r="G185" s="2176">
        <f t="shared" si="14"/>
        <v>1031887</v>
      </c>
      <c r="H185" s="2176">
        <f t="shared" si="15"/>
        <v>1261195</v>
      </c>
      <c r="I185" s="1090"/>
    </row>
    <row r="186" spans="1:9" s="1737" customFormat="1" ht="32.25" customHeight="1" x14ac:dyDescent="0.25">
      <c r="A186" s="1463" t="s">
        <v>8915</v>
      </c>
      <c r="B186" s="1459" t="s">
        <v>9237</v>
      </c>
      <c r="C186" s="1076" t="str">
        <f>+VLOOKUP(A186,'APU SUM'!$A:$G,3,FALSE)</f>
        <v>un</v>
      </c>
      <c r="D186" s="1440">
        <v>17</v>
      </c>
      <c r="E186" s="2066">
        <v>1608481</v>
      </c>
      <c r="F186" s="2083">
        <f t="shared" si="13"/>
        <v>27344177</v>
      </c>
      <c r="G186" s="2176">
        <f t="shared" si="14"/>
        <v>1447633</v>
      </c>
      <c r="H186" s="2176">
        <f t="shared" si="15"/>
        <v>1769329</v>
      </c>
      <c r="I186" s="1090"/>
    </row>
    <row r="187" spans="1:9" s="1737" customFormat="1" ht="32.25" customHeight="1" x14ac:dyDescent="0.25">
      <c r="A187" s="1463" t="s">
        <v>8920</v>
      </c>
      <c r="B187" s="1459" t="s">
        <v>9238</v>
      </c>
      <c r="C187" s="1076" t="str">
        <f>+VLOOKUP(A187,'APU SUM'!$A:$G,3,FALSE)</f>
        <v>un</v>
      </c>
      <c r="D187" s="1440">
        <v>9</v>
      </c>
      <c r="E187" s="2066">
        <v>1358269</v>
      </c>
      <c r="F187" s="2083">
        <f t="shared" si="13"/>
        <v>12224421</v>
      </c>
      <c r="G187" s="2176">
        <f t="shared" si="14"/>
        <v>1222442</v>
      </c>
      <c r="H187" s="2176">
        <f t="shared" si="15"/>
        <v>1494096</v>
      </c>
      <c r="I187" s="1090"/>
    </row>
    <row r="188" spans="1:9" s="1737" customFormat="1" ht="32.25" customHeight="1" x14ac:dyDescent="0.25">
      <c r="A188" s="1463" t="s">
        <v>8911</v>
      </c>
      <c r="B188" s="1459" t="s">
        <v>9239</v>
      </c>
      <c r="C188" s="1076" t="str">
        <f>+VLOOKUP(A188,'APU SUM'!$A:$G,3,FALSE)</f>
        <v>un</v>
      </c>
      <c r="D188" s="1440">
        <v>1</v>
      </c>
      <c r="E188" s="2066">
        <v>1146541</v>
      </c>
      <c r="F188" s="2083">
        <f t="shared" si="13"/>
        <v>1146541</v>
      </c>
      <c r="G188" s="2176">
        <f t="shared" si="14"/>
        <v>1031887</v>
      </c>
      <c r="H188" s="2176">
        <f t="shared" si="15"/>
        <v>1261195</v>
      </c>
      <c r="I188" s="1090"/>
    </row>
    <row r="189" spans="1:9" s="1737" customFormat="1" ht="32.25" customHeight="1" x14ac:dyDescent="0.25">
      <c r="A189" s="1463" t="s">
        <v>8916</v>
      </c>
      <c r="B189" s="1459" t="s">
        <v>9240</v>
      </c>
      <c r="C189" s="1076" t="str">
        <f>+VLOOKUP(A189,'APU SUM'!$A:$G,3,FALSE)</f>
        <v>un</v>
      </c>
      <c r="D189" s="1440">
        <v>8</v>
      </c>
      <c r="E189" s="2066">
        <v>1608481</v>
      </c>
      <c r="F189" s="2083">
        <f t="shared" si="13"/>
        <v>12867848</v>
      </c>
      <c r="G189" s="2176">
        <f t="shared" si="14"/>
        <v>1447633</v>
      </c>
      <c r="H189" s="2176">
        <f t="shared" si="15"/>
        <v>1769329</v>
      </c>
      <c r="I189" s="1090"/>
    </row>
    <row r="190" spans="1:9" s="1737" customFormat="1" ht="32.25" customHeight="1" x14ac:dyDescent="0.25">
      <c r="A190" s="1463" t="s">
        <v>8912</v>
      </c>
      <c r="B190" s="1459" t="s">
        <v>9241</v>
      </c>
      <c r="C190" s="1076" t="str">
        <f>+VLOOKUP(A190,'APU SUM'!$A:$G,3,FALSE)</f>
        <v>un</v>
      </c>
      <c r="D190" s="1440">
        <v>6</v>
      </c>
      <c r="E190" s="2066">
        <v>1146541</v>
      </c>
      <c r="F190" s="2083">
        <f t="shared" si="13"/>
        <v>6879246</v>
      </c>
      <c r="G190" s="2176">
        <f t="shared" si="14"/>
        <v>1031887</v>
      </c>
      <c r="H190" s="2176">
        <f t="shared" si="15"/>
        <v>1261195</v>
      </c>
      <c r="I190" s="1090"/>
    </row>
    <row r="191" spans="1:9" x14ac:dyDescent="0.25">
      <c r="A191" s="1463" t="s">
        <v>8887</v>
      </c>
      <c r="B191" s="1459" t="s">
        <v>9148</v>
      </c>
      <c r="C191" s="1076" t="str">
        <f>+VLOOKUP(A191,'APU SUM'!$A:$G,3,FALSE)</f>
        <v>un</v>
      </c>
      <c r="D191" s="1440">
        <v>2</v>
      </c>
      <c r="E191" s="2066">
        <v>1603109</v>
      </c>
      <c r="F191" s="2083">
        <f t="shared" si="13"/>
        <v>3206218</v>
      </c>
      <c r="G191" s="2176">
        <f t="shared" si="14"/>
        <v>1442798</v>
      </c>
      <c r="H191" s="2176">
        <f t="shared" si="15"/>
        <v>1763420</v>
      </c>
    </row>
    <row r="192" spans="1:9" x14ac:dyDescent="0.25">
      <c r="A192" s="1463" t="s">
        <v>8890</v>
      </c>
      <c r="B192" s="1459" t="s">
        <v>9242</v>
      </c>
      <c r="C192" s="1076" t="str">
        <f>+VLOOKUP(A192,'APU SUM'!$A:$G,3,FALSE)</f>
        <v>un</v>
      </c>
      <c r="D192" s="1440">
        <v>1</v>
      </c>
      <c r="E192" s="2066">
        <v>3106257</v>
      </c>
      <c r="F192" s="2083">
        <f t="shared" ref="F192:F255" si="16">ROUND(E192*D192,0)</f>
        <v>3106257</v>
      </c>
      <c r="G192" s="2176">
        <f t="shared" si="14"/>
        <v>2795631</v>
      </c>
      <c r="H192" s="2176">
        <f t="shared" si="15"/>
        <v>3416883</v>
      </c>
    </row>
    <row r="193" spans="1:8" x14ac:dyDescent="0.25">
      <c r="A193" s="1463" t="s">
        <v>8895</v>
      </c>
      <c r="B193" s="1459" t="s">
        <v>9121</v>
      </c>
      <c r="C193" s="1076" t="str">
        <f>+VLOOKUP(A193,'APU SUM'!$A:$G,3,FALSE)</f>
        <v>un</v>
      </c>
      <c r="D193" s="1440">
        <v>1</v>
      </c>
      <c r="E193" s="2066">
        <v>3966850</v>
      </c>
      <c r="F193" s="2083">
        <f t="shared" si="16"/>
        <v>3966850</v>
      </c>
      <c r="G193" s="2176">
        <f t="shared" si="14"/>
        <v>3570165</v>
      </c>
      <c r="H193" s="2176">
        <f t="shared" si="15"/>
        <v>4363535</v>
      </c>
    </row>
    <row r="194" spans="1:8" x14ac:dyDescent="0.25">
      <c r="A194" s="1463" t="s">
        <v>8888</v>
      </c>
      <c r="B194" s="1459" t="s">
        <v>9243</v>
      </c>
      <c r="C194" s="1076" t="str">
        <f>+VLOOKUP(A194,'APU SUM'!$A:$G,3,FALSE)</f>
        <v>un</v>
      </c>
      <c r="D194" s="1440">
        <v>1</v>
      </c>
      <c r="E194" s="2066">
        <v>1626099</v>
      </c>
      <c r="F194" s="2083">
        <f t="shared" si="16"/>
        <v>1626099</v>
      </c>
      <c r="G194" s="2176">
        <f t="shared" si="14"/>
        <v>1463489</v>
      </c>
      <c r="H194" s="2176">
        <f t="shared" si="15"/>
        <v>1788709</v>
      </c>
    </row>
    <row r="195" spans="1:8" x14ac:dyDescent="0.25">
      <c r="A195" s="1463" t="s">
        <v>8891</v>
      </c>
      <c r="B195" s="1459" t="s">
        <v>9244</v>
      </c>
      <c r="C195" s="1076" t="str">
        <f>+VLOOKUP(A195,'APU SUM'!$A:$G,3,FALSE)</f>
        <v>un</v>
      </c>
      <c r="D195" s="1440">
        <v>3</v>
      </c>
      <c r="E195" s="2066">
        <v>3106257</v>
      </c>
      <c r="F195" s="2083">
        <f t="shared" si="16"/>
        <v>9318771</v>
      </c>
      <c r="G195" s="2176">
        <f t="shared" si="14"/>
        <v>2795631</v>
      </c>
      <c r="H195" s="2176">
        <f t="shared" si="15"/>
        <v>3416883</v>
      </c>
    </row>
    <row r="196" spans="1:8" x14ac:dyDescent="0.25">
      <c r="A196" s="1463" t="s">
        <v>8896</v>
      </c>
      <c r="B196" s="1459" t="s">
        <v>9245</v>
      </c>
      <c r="C196" s="1076" t="str">
        <f>+VLOOKUP(A196,'APU SUM'!$A:$G,3,FALSE)</f>
        <v>un</v>
      </c>
      <c r="D196" s="1440">
        <v>2</v>
      </c>
      <c r="E196" s="2066">
        <v>4033948</v>
      </c>
      <c r="F196" s="2083">
        <f t="shared" si="16"/>
        <v>8067896</v>
      </c>
      <c r="G196" s="2176">
        <f t="shared" si="14"/>
        <v>3630553</v>
      </c>
      <c r="H196" s="2176">
        <f t="shared" si="15"/>
        <v>4437343</v>
      </c>
    </row>
    <row r="197" spans="1:8" x14ac:dyDescent="0.25">
      <c r="A197" s="1463" t="s">
        <v>8889</v>
      </c>
      <c r="B197" s="1459" t="s">
        <v>9246</v>
      </c>
      <c r="C197" s="1076" t="str">
        <f>+VLOOKUP(A197,'APU SUM'!$A:$G,3,FALSE)</f>
        <v>un</v>
      </c>
      <c r="D197" s="1440">
        <v>3</v>
      </c>
      <c r="E197" s="2066">
        <v>1626099</v>
      </c>
      <c r="F197" s="2083">
        <f t="shared" si="16"/>
        <v>4878297</v>
      </c>
      <c r="G197" s="2176">
        <f t="shared" si="14"/>
        <v>1463489</v>
      </c>
      <c r="H197" s="2176">
        <f t="shared" si="15"/>
        <v>1788709</v>
      </c>
    </row>
    <row r="198" spans="1:8" x14ac:dyDescent="0.25">
      <c r="A198" s="1463" t="s">
        <v>8892</v>
      </c>
      <c r="B198" s="1459" t="s">
        <v>9247</v>
      </c>
      <c r="C198" s="1076" t="str">
        <f>+VLOOKUP(A198,'APU SUM'!$A:$G,3,FALSE)</f>
        <v>un</v>
      </c>
      <c r="D198" s="1440">
        <v>3</v>
      </c>
      <c r="E198" s="2066">
        <v>3106257</v>
      </c>
      <c r="F198" s="2083">
        <f t="shared" si="16"/>
        <v>9318771</v>
      </c>
      <c r="G198" s="2176">
        <f t="shared" si="14"/>
        <v>2795631</v>
      </c>
      <c r="H198" s="2176">
        <f t="shared" si="15"/>
        <v>3416883</v>
      </c>
    </row>
    <row r="199" spans="1:8" x14ac:dyDescent="0.25">
      <c r="A199" s="1463" t="s">
        <v>8897</v>
      </c>
      <c r="B199" s="1459" t="s">
        <v>9248</v>
      </c>
      <c r="C199" s="1076" t="str">
        <f>+VLOOKUP(A199,'APU SUM'!$A:$G,3,FALSE)</f>
        <v>un</v>
      </c>
      <c r="D199" s="1440">
        <v>4</v>
      </c>
      <c r="E199" s="2066">
        <v>4033948</v>
      </c>
      <c r="F199" s="2083">
        <f t="shared" si="16"/>
        <v>16135792</v>
      </c>
      <c r="G199" s="2176">
        <f t="shared" si="14"/>
        <v>3630553</v>
      </c>
      <c r="H199" s="2176">
        <f t="shared" si="15"/>
        <v>4437343</v>
      </c>
    </row>
    <row r="200" spans="1:8" x14ac:dyDescent="0.25">
      <c r="A200" s="1463" t="s">
        <v>8893</v>
      </c>
      <c r="B200" s="1459" t="s">
        <v>9249</v>
      </c>
      <c r="C200" s="1076" t="str">
        <f>+VLOOKUP(A200,'APU SUM'!$A:$G,3,FALSE)</f>
        <v>un</v>
      </c>
      <c r="D200" s="1440">
        <v>1</v>
      </c>
      <c r="E200" s="2066">
        <v>3106257</v>
      </c>
      <c r="F200" s="2083">
        <f t="shared" si="16"/>
        <v>3106257</v>
      </c>
      <c r="G200" s="2176">
        <f t="shared" si="14"/>
        <v>2795631</v>
      </c>
      <c r="H200" s="2176">
        <f t="shared" si="15"/>
        <v>3416883</v>
      </c>
    </row>
    <row r="201" spans="1:8" x14ac:dyDescent="0.25">
      <c r="A201" s="1463" t="s">
        <v>8898</v>
      </c>
      <c r="B201" s="1459" t="s">
        <v>9250</v>
      </c>
      <c r="C201" s="1076" t="str">
        <f>+VLOOKUP(A201,'APU SUM'!$A:$G,3,FALSE)</f>
        <v>un</v>
      </c>
      <c r="D201" s="1440">
        <v>2</v>
      </c>
      <c r="E201" s="2066">
        <v>4033948</v>
      </c>
      <c r="F201" s="2083">
        <f t="shared" si="16"/>
        <v>8067896</v>
      </c>
      <c r="G201" s="2176">
        <f t="shared" si="14"/>
        <v>3630553</v>
      </c>
      <c r="H201" s="2176">
        <f t="shared" si="15"/>
        <v>4437343</v>
      </c>
    </row>
    <row r="202" spans="1:8" x14ac:dyDescent="0.25">
      <c r="A202" s="1463" t="s">
        <v>8894</v>
      </c>
      <c r="B202" s="1459" t="s">
        <v>9251</v>
      </c>
      <c r="C202" s="1076" t="str">
        <f>+VLOOKUP(A202,'APU SUM'!$A:$G,3,FALSE)</f>
        <v>un</v>
      </c>
      <c r="D202" s="1440">
        <v>1</v>
      </c>
      <c r="E202" s="2066">
        <v>3106257</v>
      </c>
      <c r="F202" s="2083">
        <f t="shared" si="16"/>
        <v>3106257</v>
      </c>
      <c r="G202" s="2176">
        <f t="shared" si="14"/>
        <v>2795631</v>
      </c>
      <c r="H202" s="2176">
        <f t="shared" si="15"/>
        <v>3416883</v>
      </c>
    </row>
    <row r="203" spans="1:8" x14ac:dyDescent="0.25">
      <c r="A203" s="1463" t="s">
        <v>8899</v>
      </c>
      <c r="B203" s="1459" t="s">
        <v>9252</v>
      </c>
      <c r="C203" s="1076" t="str">
        <f>+VLOOKUP(A203,'APU SUM'!$A:$G,3,FALSE)</f>
        <v>un</v>
      </c>
      <c r="D203" s="1440">
        <v>1</v>
      </c>
      <c r="E203" s="2066">
        <v>4033948</v>
      </c>
      <c r="F203" s="2083">
        <f t="shared" si="16"/>
        <v>4033948</v>
      </c>
      <c r="G203" s="2176">
        <f t="shared" si="14"/>
        <v>3630553</v>
      </c>
      <c r="H203" s="2176">
        <f t="shared" si="15"/>
        <v>4437343</v>
      </c>
    </row>
    <row r="204" spans="1:8" ht="33" x14ac:dyDescent="0.25">
      <c r="A204" s="1463" t="s">
        <v>8798</v>
      </c>
      <c r="B204" s="1459" t="s">
        <v>9695</v>
      </c>
      <c r="C204" s="1076" t="str">
        <f>+VLOOKUP(A204,'APU SUM'!$A:$G,3,FALSE)</f>
        <v>un</v>
      </c>
      <c r="D204" s="1440">
        <v>2</v>
      </c>
      <c r="E204" s="2066">
        <v>224910</v>
      </c>
      <c r="F204" s="2083">
        <f t="shared" si="16"/>
        <v>449820</v>
      </c>
      <c r="G204" s="2176">
        <f t="shared" si="14"/>
        <v>202419</v>
      </c>
      <c r="H204" s="2176">
        <f t="shared" si="15"/>
        <v>247401</v>
      </c>
    </row>
    <row r="205" spans="1:8" ht="33" x14ac:dyDescent="0.25">
      <c r="A205" s="1463" t="s">
        <v>8801</v>
      </c>
      <c r="B205" s="1459" t="s">
        <v>9697</v>
      </c>
      <c r="C205" s="1076" t="str">
        <f>+VLOOKUP(A205,'APU SUM'!$A:$G,3,FALSE)</f>
        <v>un</v>
      </c>
      <c r="D205" s="1440">
        <v>1</v>
      </c>
      <c r="E205" s="2066">
        <v>640521</v>
      </c>
      <c r="F205" s="2083">
        <f t="shared" si="16"/>
        <v>640521</v>
      </c>
      <c r="G205" s="2176">
        <f t="shared" si="14"/>
        <v>576469</v>
      </c>
      <c r="H205" s="2176">
        <f t="shared" si="15"/>
        <v>704573</v>
      </c>
    </row>
    <row r="206" spans="1:8" ht="33" x14ac:dyDescent="0.25">
      <c r="A206" s="1463" t="s">
        <v>8805</v>
      </c>
      <c r="B206" s="1459" t="s">
        <v>9701</v>
      </c>
      <c r="C206" s="1076" t="str">
        <f>+VLOOKUP(A206,'APU SUM'!$A:$G,3,FALSE)</f>
        <v>un</v>
      </c>
      <c r="D206" s="1440">
        <v>1</v>
      </c>
      <c r="E206" s="2066">
        <v>768625</v>
      </c>
      <c r="F206" s="2083">
        <f t="shared" si="16"/>
        <v>768625</v>
      </c>
      <c r="G206" s="2176">
        <f t="shared" si="14"/>
        <v>691763</v>
      </c>
      <c r="H206" s="2176">
        <f t="shared" si="15"/>
        <v>845488</v>
      </c>
    </row>
    <row r="207" spans="1:8" ht="33" x14ac:dyDescent="0.25">
      <c r="A207" s="1463" t="s">
        <v>8799</v>
      </c>
      <c r="B207" s="1459" t="s">
        <v>9696</v>
      </c>
      <c r="C207" s="1076" t="str">
        <f>+VLOOKUP(A207,'APU SUM'!$A:$G,3,FALSE)</f>
        <v>un</v>
      </c>
      <c r="D207" s="1440">
        <v>1</v>
      </c>
      <c r="E207" s="2066">
        <v>224910</v>
      </c>
      <c r="F207" s="2083">
        <f t="shared" si="16"/>
        <v>224910</v>
      </c>
      <c r="G207" s="2176">
        <f t="shared" si="14"/>
        <v>202419</v>
      </c>
      <c r="H207" s="2176">
        <f t="shared" si="15"/>
        <v>247401</v>
      </c>
    </row>
    <row r="208" spans="1:8" ht="33" x14ac:dyDescent="0.25">
      <c r="A208" s="1463" t="s">
        <v>8802</v>
      </c>
      <c r="B208" s="1459" t="s">
        <v>9698</v>
      </c>
      <c r="C208" s="1076" t="str">
        <f>+VLOOKUP(A208,'APU SUM'!$A:$G,3,FALSE)</f>
        <v>un</v>
      </c>
      <c r="D208" s="1440">
        <v>3</v>
      </c>
      <c r="E208" s="2066">
        <v>640521</v>
      </c>
      <c r="F208" s="2083">
        <f t="shared" si="16"/>
        <v>1921563</v>
      </c>
      <c r="G208" s="2176">
        <f t="shared" si="14"/>
        <v>576469</v>
      </c>
      <c r="H208" s="2176">
        <f t="shared" si="15"/>
        <v>704573</v>
      </c>
    </row>
    <row r="209" spans="1:8" ht="33" x14ac:dyDescent="0.25">
      <c r="A209" s="1463" t="s">
        <v>8806</v>
      </c>
      <c r="B209" s="1459" t="s">
        <v>9702</v>
      </c>
      <c r="C209" s="1076" t="str">
        <f>+VLOOKUP(A209,'APU SUM'!$A:$G,3,FALSE)</f>
        <v>un</v>
      </c>
      <c r="D209" s="1440">
        <v>2</v>
      </c>
      <c r="E209" s="2066">
        <v>768625</v>
      </c>
      <c r="F209" s="2083">
        <f t="shared" si="16"/>
        <v>1537250</v>
      </c>
      <c r="G209" s="2176">
        <f t="shared" si="14"/>
        <v>691763</v>
      </c>
      <c r="H209" s="2176">
        <f t="shared" si="15"/>
        <v>845488</v>
      </c>
    </row>
    <row r="210" spans="1:8" ht="33" x14ac:dyDescent="0.25">
      <c r="A210" s="1463" t="s">
        <v>8800</v>
      </c>
      <c r="B210" s="1459" t="s">
        <v>9707</v>
      </c>
      <c r="C210" s="1076" t="str">
        <f>+VLOOKUP(A210,'APU SUM'!$A:$G,3,FALSE)</f>
        <v>un</v>
      </c>
      <c r="D210" s="1440">
        <v>1</v>
      </c>
      <c r="E210" s="2066">
        <v>224910</v>
      </c>
      <c r="F210" s="2083">
        <f t="shared" si="16"/>
        <v>224910</v>
      </c>
      <c r="G210" s="2176">
        <f t="shared" si="14"/>
        <v>202419</v>
      </c>
      <c r="H210" s="2176">
        <f t="shared" si="15"/>
        <v>247401</v>
      </c>
    </row>
    <row r="211" spans="1:8" ht="33" x14ac:dyDescent="0.25">
      <c r="A211" s="1463" t="s">
        <v>8807</v>
      </c>
      <c r="B211" s="1459" t="s">
        <v>9703</v>
      </c>
      <c r="C211" s="1076" t="str">
        <f>+VLOOKUP(A211,'APU SUM'!$A:$G,3,FALSE)</f>
        <v>un</v>
      </c>
      <c r="D211" s="1440">
        <v>3</v>
      </c>
      <c r="E211" s="2066">
        <v>999213</v>
      </c>
      <c r="F211" s="2083">
        <f t="shared" si="16"/>
        <v>2997639</v>
      </c>
      <c r="G211" s="2176">
        <f t="shared" si="14"/>
        <v>899292</v>
      </c>
      <c r="H211" s="2176">
        <f t="shared" si="15"/>
        <v>1099134</v>
      </c>
    </row>
    <row r="212" spans="1:8" ht="33" x14ac:dyDescent="0.25">
      <c r="A212" s="1463" t="s">
        <v>8803</v>
      </c>
      <c r="B212" s="1459" t="s">
        <v>9699</v>
      </c>
      <c r="C212" s="1076" t="str">
        <f>+VLOOKUP(A212,'APU SUM'!$A:$G,3,FALSE)</f>
        <v>un</v>
      </c>
      <c r="D212" s="1440">
        <v>1</v>
      </c>
      <c r="E212" s="2066">
        <v>1082481</v>
      </c>
      <c r="F212" s="2083">
        <f t="shared" si="16"/>
        <v>1082481</v>
      </c>
      <c r="G212" s="2176">
        <f t="shared" si="14"/>
        <v>974233</v>
      </c>
      <c r="H212" s="2176">
        <f t="shared" si="15"/>
        <v>1190729</v>
      </c>
    </row>
    <row r="213" spans="1:8" ht="33" x14ac:dyDescent="0.25">
      <c r="A213" s="1463" t="s">
        <v>8808</v>
      </c>
      <c r="B213" s="1459" t="s">
        <v>9704</v>
      </c>
      <c r="C213" s="1076" t="str">
        <f>+VLOOKUP(A213,'APU SUM'!$A:$G,3,FALSE)</f>
        <v>un</v>
      </c>
      <c r="D213" s="1440">
        <v>2</v>
      </c>
      <c r="E213" s="2066">
        <v>1298977</v>
      </c>
      <c r="F213" s="2083">
        <f t="shared" si="16"/>
        <v>2597954</v>
      </c>
      <c r="G213" s="2176">
        <f t="shared" si="14"/>
        <v>1169079</v>
      </c>
      <c r="H213" s="2176">
        <f t="shared" si="15"/>
        <v>1428875</v>
      </c>
    </row>
    <row r="214" spans="1:8" ht="33" x14ac:dyDescent="0.25">
      <c r="A214" s="1463" t="s">
        <v>8804</v>
      </c>
      <c r="B214" s="1459" t="s">
        <v>9700</v>
      </c>
      <c r="C214" s="1076" t="str">
        <f>+VLOOKUP(A214,'APU SUM'!$A:$G,3,FALSE)</f>
        <v>un</v>
      </c>
      <c r="D214" s="1440">
        <v>1</v>
      </c>
      <c r="E214" s="2066">
        <v>768625</v>
      </c>
      <c r="F214" s="2083">
        <f t="shared" si="16"/>
        <v>768625</v>
      </c>
      <c r="G214" s="2176">
        <f t="shared" si="14"/>
        <v>691763</v>
      </c>
      <c r="H214" s="2176">
        <f t="shared" si="15"/>
        <v>845488</v>
      </c>
    </row>
    <row r="215" spans="1:8" ht="33" x14ac:dyDescent="0.25">
      <c r="A215" s="1463" t="s">
        <v>8809</v>
      </c>
      <c r="B215" s="1459" t="s">
        <v>9705</v>
      </c>
      <c r="C215" s="1076" t="str">
        <f>+VLOOKUP(A215,'APU SUM'!$A:$G,3,FALSE)</f>
        <v>un</v>
      </c>
      <c r="D215" s="1440">
        <v>1</v>
      </c>
      <c r="E215" s="2066">
        <v>1558772</v>
      </c>
      <c r="F215" s="2083">
        <f t="shared" si="16"/>
        <v>1558772</v>
      </c>
      <c r="G215" s="2176">
        <f t="shared" si="14"/>
        <v>1402895</v>
      </c>
      <c r="H215" s="2176">
        <f t="shared" si="15"/>
        <v>1714649</v>
      </c>
    </row>
    <row r="216" spans="1:8" ht="33" x14ac:dyDescent="0.25">
      <c r="A216" s="1463" t="s">
        <v>8777</v>
      </c>
      <c r="B216" s="1459" t="s">
        <v>9675</v>
      </c>
      <c r="C216" s="1076" t="str">
        <f>+VLOOKUP(A216,'APU SUM'!$A:$G,3,FALSE)</f>
        <v>un</v>
      </c>
      <c r="D216" s="1440">
        <v>2</v>
      </c>
      <c r="E216" s="2066">
        <v>134946</v>
      </c>
      <c r="F216" s="2083">
        <f t="shared" si="16"/>
        <v>269892</v>
      </c>
      <c r="G216" s="2176">
        <f t="shared" si="14"/>
        <v>121451</v>
      </c>
      <c r="H216" s="2176">
        <f t="shared" si="15"/>
        <v>148441</v>
      </c>
    </row>
    <row r="217" spans="1:8" ht="33" x14ac:dyDescent="0.25">
      <c r="A217" s="1463" t="s">
        <v>8782</v>
      </c>
      <c r="B217" s="1459" t="s">
        <v>9680</v>
      </c>
      <c r="C217" s="1076" t="str">
        <f>+VLOOKUP(A217,'APU SUM'!$A:$G,3,FALSE)</f>
        <v>un</v>
      </c>
      <c r="D217" s="1440">
        <v>1</v>
      </c>
      <c r="E217" s="2066">
        <v>640521</v>
      </c>
      <c r="F217" s="2083">
        <f t="shared" si="16"/>
        <v>640521</v>
      </c>
      <c r="G217" s="2176">
        <f t="shared" ref="G217:G257" si="17">+ROUND(E217*0.9,0)</f>
        <v>576469</v>
      </c>
      <c r="H217" s="2176">
        <f t="shared" ref="H217:H257" si="18">+ROUND(E217*1.1,0)</f>
        <v>704573</v>
      </c>
    </row>
    <row r="218" spans="1:8" ht="33" x14ac:dyDescent="0.25">
      <c r="A218" s="1463" t="s">
        <v>8787</v>
      </c>
      <c r="B218" s="1459" t="s">
        <v>9669</v>
      </c>
      <c r="C218" s="1076" t="str">
        <f>+VLOOKUP(A218,'APU SUM'!$A:$G,3,FALSE)</f>
        <v>un</v>
      </c>
      <c r="D218" s="1440">
        <v>1</v>
      </c>
      <c r="E218" s="2066">
        <v>768625</v>
      </c>
      <c r="F218" s="2083">
        <f t="shared" si="16"/>
        <v>768625</v>
      </c>
      <c r="G218" s="2176">
        <f t="shared" si="17"/>
        <v>691763</v>
      </c>
      <c r="H218" s="2176">
        <f t="shared" si="18"/>
        <v>845488</v>
      </c>
    </row>
    <row r="219" spans="1:8" ht="33" x14ac:dyDescent="0.25">
      <c r="A219" s="1463" t="s">
        <v>8778</v>
      </c>
      <c r="B219" s="1459" t="s">
        <v>9676</v>
      </c>
      <c r="C219" s="1076" t="str">
        <f>+VLOOKUP(A219,'APU SUM'!$A:$G,3,FALSE)</f>
        <v>un</v>
      </c>
      <c r="D219" s="1440">
        <v>1</v>
      </c>
      <c r="E219" s="2066">
        <v>224910</v>
      </c>
      <c r="F219" s="2083">
        <f t="shared" si="16"/>
        <v>224910</v>
      </c>
      <c r="G219" s="2176">
        <f t="shared" si="17"/>
        <v>202419</v>
      </c>
      <c r="H219" s="2176">
        <f t="shared" si="18"/>
        <v>247401</v>
      </c>
    </row>
    <row r="220" spans="1:8" ht="33" x14ac:dyDescent="0.25">
      <c r="A220" s="1463" t="s">
        <v>8783</v>
      </c>
      <c r="B220" s="1459" t="s">
        <v>9681</v>
      </c>
      <c r="C220" s="1076" t="str">
        <f>+VLOOKUP(A220,'APU SUM'!$A:$G,3,FALSE)</f>
        <v>un</v>
      </c>
      <c r="D220" s="1440">
        <v>3</v>
      </c>
      <c r="E220" s="2066">
        <v>640521</v>
      </c>
      <c r="F220" s="2083">
        <f t="shared" si="16"/>
        <v>1921563</v>
      </c>
      <c r="G220" s="2176">
        <f t="shared" si="17"/>
        <v>576469</v>
      </c>
      <c r="H220" s="2176">
        <f t="shared" si="18"/>
        <v>704573</v>
      </c>
    </row>
    <row r="221" spans="1:8" ht="33" x14ac:dyDescent="0.25">
      <c r="A221" s="1463" t="s">
        <v>8788</v>
      </c>
      <c r="B221" s="1459" t="s">
        <v>9685</v>
      </c>
      <c r="C221" s="1076" t="str">
        <f>+VLOOKUP(A221,'APU SUM'!$A:$G,3,FALSE)</f>
        <v>un</v>
      </c>
      <c r="D221" s="1440">
        <v>2</v>
      </c>
      <c r="E221" s="2066">
        <v>768625</v>
      </c>
      <c r="F221" s="2083">
        <f t="shared" si="16"/>
        <v>1537250</v>
      </c>
      <c r="G221" s="2176">
        <f t="shared" si="17"/>
        <v>691763</v>
      </c>
      <c r="H221" s="2176">
        <f t="shared" si="18"/>
        <v>845488</v>
      </c>
    </row>
    <row r="222" spans="1:8" ht="33" x14ac:dyDescent="0.25">
      <c r="A222" s="1463" t="s">
        <v>8779</v>
      </c>
      <c r="B222" s="1459" t="s">
        <v>9677</v>
      </c>
      <c r="C222" s="1076" t="str">
        <f>+VLOOKUP(A222,'APU SUM'!$A:$G,3,FALSE)</f>
        <v>un</v>
      </c>
      <c r="D222" s="1440">
        <v>1</v>
      </c>
      <c r="E222" s="2066">
        <v>224910</v>
      </c>
      <c r="F222" s="2083">
        <f t="shared" si="16"/>
        <v>224910</v>
      </c>
      <c r="G222" s="2176">
        <f t="shared" si="17"/>
        <v>202419</v>
      </c>
      <c r="H222" s="2176">
        <f t="shared" si="18"/>
        <v>247401</v>
      </c>
    </row>
    <row r="223" spans="1:8" ht="33" x14ac:dyDescent="0.25">
      <c r="A223" s="1463" t="s">
        <v>8789</v>
      </c>
      <c r="B223" s="1459" t="s">
        <v>9686</v>
      </c>
      <c r="C223" s="1076" t="str">
        <f>+VLOOKUP(A223,'APU SUM'!$A:$G,3,FALSE)</f>
        <v>un</v>
      </c>
      <c r="D223" s="1440">
        <v>3</v>
      </c>
      <c r="E223" s="2066">
        <v>768625</v>
      </c>
      <c r="F223" s="2083">
        <f t="shared" si="16"/>
        <v>2305875</v>
      </c>
      <c r="G223" s="2176">
        <f t="shared" si="17"/>
        <v>691763</v>
      </c>
      <c r="H223" s="2176">
        <f t="shared" si="18"/>
        <v>845488</v>
      </c>
    </row>
    <row r="224" spans="1:8" ht="33" x14ac:dyDescent="0.25">
      <c r="A224" s="1463" t="s">
        <v>8785</v>
      </c>
      <c r="B224" s="1459" t="s">
        <v>9683</v>
      </c>
      <c r="C224" s="1076" t="str">
        <f>+VLOOKUP(A224,'APU SUM'!$A:$G,3,FALSE)</f>
        <v>un</v>
      </c>
      <c r="D224" s="1440">
        <v>1</v>
      </c>
      <c r="E224" s="2066">
        <v>832678</v>
      </c>
      <c r="F224" s="2083">
        <f t="shared" si="16"/>
        <v>832678</v>
      </c>
      <c r="G224" s="2176">
        <f t="shared" si="17"/>
        <v>749410</v>
      </c>
      <c r="H224" s="2176">
        <f t="shared" si="18"/>
        <v>915946</v>
      </c>
    </row>
    <row r="225" spans="1:8" ht="33" x14ac:dyDescent="0.25">
      <c r="A225" s="1463" t="s">
        <v>8790</v>
      </c>
      <c r="B225" s="1459" t="s">
        <v>9687</v>
      </c>
      <c r="C225" s="1076" t="str">
        <f>+VLOOKUP(A225,'APU SUM'!$A:$G,3,FALSE)</f>
        <v>un</v>
      </c>
      <c r="D225" s="1440">
        <v>2</v>
      </c>
      <c r="E225" s="2066">
        <v>999213</v>
      </c>
      <c r="F225" s="2083">
        <f t="shared" si="16"/>
        <v>1998426</v>
      </c>
      <c r="G225" s="2176">
        <f t="shared" si="17"/>
        <v>899292</v>
      </c>
      <c r="H225" s="2176">
        <f t="shared" si="18"/>
        <v>1099134</v>
      </c>
    </row>
    <row r="226" spans="1:8" ht="33" x14ac:dyDescent="0.25">
      <c r="A226" s="1463" t="s">
        <v>8786</v>
      </c>
      <c r="B226" s="1459" t="s">
        <v>9684</v>
      </c>
      <c r="C226" s="1076" t="str">
        <f>+VLOOKUP(A226,'APU SUM'!$A:$G,3,FALSE)</f>
        <v>un</v>
      </c>
      <c r="D226" s="1440">
        <v>1</v>
      </c>
      <c r="E226" s="2066">
        <v>1082481</v>
      </c>
      <c r="F226" s="2083">
        <f t="shared" si="16"/>
        <v>1082481</v>
      </c>
      <c r="G226" s="2176">
        <f t="shared" si="17"/>
        <v>974233</v>
      </c>
      <c r="H226" s="2176">
        <f t="shared" si="18"/>
        <v>1190729</v>
      </c>
    </row>
    <row r="227" spans="1:8" ht="33" x14ac:dyDescent="0.25">
      <c r="A227" s="1463" t="s">
        <v>8791</v>
      </c>
      <c r="B227" s="1459" t="s">
        <v>9688</v>
      </c>
      <c r="C227" s="1076" t="str">
        <f>+VLOOKUP(A227,'APU SUM'!$A:$G,3,FALSE)</f>
        <v>un</v>
      </c>
      <c r="D227" s="1440">
        <v>1</v>
      </c>
      <c r="E227" s="2066">
        <v>1298977</v>
      </c>
      <c r="F227" s="2083">
        <f t="shared" si="16"/>
        <v>1298977</v>
      </c>
      <c r="G227" s="2176">
        <f t="shared" si="17"/>
        <v>1169079</v>
      </c>
      <c r="H227" s="2176">
        <f t="shared" si="18"/>
        <v>1428875</v>
      </c>
    </row>
    <row r="228" spans="1:8" ht="33" x14ac:dyDescent="0.25">
      <c r="A228" s="1463" t="s">
        <v>8935</v>
      </c>
      <c r="B228" s="1459" t="s">
        <v>9254</v>
      </c>
      <c r="C228" s="1076" t="str">
        <f>+VLOOKUP(A228,'APU SUM'!$A:$G,3,FALSE)</f>
        <v>un</v>
      </c>
      <c r="D228" s="1440">
        <v>2</v>
      </c>
      <c r="E228" s="2066">
        <v>17040681</v>
      </c>
      <c r="F228" s="2083">
        <f t="shared" si="16"/>
        <v>34081362</v>
      </c>
      <c r="G228" s="2176">
        <f t="shared" si="17"/>
        <v>15336613</v>
      </c>
      <c r="H228" s="2176">
        <f t="shared" si="18"/>
        <v>18744749</v>
      </c>
    </row>
    <row r="229" spans="1:8" ht="33" x14ac:dyDescent="0.25">
      <c r="A229" s="1463" t="s">
        <v>8939</v>
      </c>
      <c r="B229" s="1459" t="s">
        <v>9255</v>
      </c>
      <c r="C229" s="1076" t="str">
        <f>+VLOOKUP(A229,'APU SUM'!$A:$G,3,FALSE)</f>
        <v>un</v>
      </c>
      <c r="D229" s="1440">
        <v>1</v>
      </c>
      <c r="E229" s="2066">
        <v>25561022</v>
      </c>
      <c r="F229" s="2083">
        <f t="shared" si="16"/>
        <v>25561022</v>
      </c>
      <c r="G229" s="2176">
        <f t="shared" si="17"/>
        <v>23004920</v>
      </c>
      <c r="H229" s="2176">
        <f t="shared" si="18"/>
        <v>28117124</v>
      </c>
    </row>
    <row r="230" spans="1:8" ht="33" x14ac:dyDescent="0.25">
      <c r="A230" s="1463" t="s">
        <v>8964</v>
      </c>
      <c r="B230" s="1459" t="s">
        <v>9256</v>
      </c>
      <c r="C230" s="1076" t="str">
        <f>+VLOOKUP(A230,'APU SUM'!$A:$G,3,FALSE)</f>
        <v>un</v>
      </c>
      <c r="D230" s="1440">
        <v>1</v>
      </c>
      <c r="E230" s="2066">
        <v>42420525</v>
      </c>
      <c r="F230" s="2083">
        <f t="shared" si="16"/>
        <v>42420525</v>
      </c>
      <c r="G230" s="2176">
        <f t="shared" si="17"/>
        <v>38178473</v>
      </c>
      <c r="H230" s="2176">
        <f t="shared" si="18"/>
        <v>46662578</v>
      </c>
    </row>
    <row r="231" spans="1:8" ht="33" x14ac:dyDescent="0.25">
      <c r="A231" s="1463" t="s">
        <v>8936</v>
      </c>
      <c r="B231" s="1459" t="s">
        <v>9257</v>
      </c>
      <c r="C231" s="1076" t="str">
        <f>+VLOOKUP(A231,'APU SUM'!$A:$G,3,FALSE)</f>
        <v>un</v>
      </c>
      <c r="D231" s="1440">
        <v>1</v>
      </c>
      <c r="E231" s="2066">
        <v>17040681</v>
      </c>
      <c r="F231" s="2083">
        <f t="shared" si="16"/>
        <v>17040681</v>
      </c>
      <c r="G231" s="2176">
        <f t="shared" si="17"/>
        <v>15336613</v>
      </c>
      <c r="H231" s="2176">
        <f t="shared" si="18"/>
        <v>18744749</v>
      </c>
    </row>
    <row r="232" spans="1:8" ht="33" x14ac:dyDescent="0.25">
      <c r="A232" s="1463" t="s">
        <v>8940</v>
      </c>
      <c r="B232" s="1459" t="s">
        <v>9258</v>
      </c>
      <c r="C232" s="1076" t="str">
        <f>+VLOOKUP(A232,'APU SUM'!$A:$G,3,FALSE)</f>
        <v>un</v>
      </c>
      <c r="D232" s="1440">
        <v>3</v>
      </c>
      <c r="E232" s="2066">
        <v>25561022</v>
      </c>
      <c r="F232" s="2083">
        <f t="shared" si="16"/>
        <v>76683066</v>
      </c>
      <c r="G232" s="2176">
        <f t="shared" si="17"/>
        <v>23004920</v>
      </c>
      <c r="H232" s="2176">
        <f t="shared" si="18"/>
        <v>28117124</v>
      </c>
    </row>
    <row r="233" spans="1:8" ht="33" x14ac:dyDescent="0.25">
      <c r="A233" s="1463" t="s">
        <v>8965</v>
      </c>
      <c r="B233" s="1459" t="s">
        <v>9259</v>
      </c>
      <c r="C233" s="1076" t="str">
        <f>+VLOOKUP(A233,'APU SUM'!$A:$G,3,FALSE)</f>
        <v>un</v>
      </c>
      <c r="D233" s="1440">
        <v>2</v>
      </c>
      <c r="E233" s="2066">
        <v>36214259</v>
      </c>
      <c r="F233" s="2083">
        <f t="shared" si="16"/>
        <v>72428518</v>
      </c>
      <c r="G233" s="2176">
        <f t="shared" si="17"/>
        <v>32592833</v>
      </c>
      <c r="H233" s="2176">
        <f t="shared" si="18"/>
        <v>39835685</v>
      </c>
    </row>
    <row r="234" spans="1:8" ht="33" x14ac:dyDescent="0.25">
      <c r="A234" s="1463" t="s">
        <v>8937</v>
      </c>
      <c r="B234" s="1459" t="s">
        <v>9260</v>
      </c>
      <c r="C234" s="1076" t="str">
        <f>+VLOOKUP(A234,'APU SUM'!$A:$G,3,FALSE)</f>
        <v>un</v>
      </c>
      <c r="D234" s="1440">
        <v>1</v>
      </c>
      <c r="E234" s="2066">
        <v>17040681</v>
      </c>
      <c r="F234" s="2083">
        <f t="shared" si="16"/>
        <v>17040681</v>
      </c>
      <c r="G234" s="2176">
        <f t="shared" si="17"/>
        <v>15336613</v>
      </c>
      <c r="H234" s="2176">
        <f t="shared" si="18"/>
        <v>18744749</v>
      </c>
    </row>
    <row r="235" spans="1:8" ht="33" x14ac:dyDescent="0.25">
      <c r="A235" s="1463" t="s">
        <v>8941</v>
      </c>
      <c r="B235" s="1459" t="s">
        <v>9261</v>
      </c>
      <c r="C235" s="1076" t="str">
        <f>+VLOOKUP(A235,'APU SUM'!$A:$G,3,FALSE)</f>
        <v>un</v>
      </c>
      <c r="D235" s="1440">
        <v>3</v>
      </c>
      <c r="E235" s="2066">
        <v>39831561</v>
      </c>
      <c r="F235" s="2083">
        <f t="shared" si="16"/>
        <v>119494683</v>
      </c>
      <c r="G235" s="2176">
        <f t="shared" si="17"/>
        <v>35848405</v>
      </c>
      <c r="H235" s="2176">
        <f t="shared" si="18"/>
        <v>43814717</v>
      </c>
    </row>
    <row r="236" spans="1:8" ht="33" x14ac:dyDescent="0.25">
      <c r="A236" s="1463" t="s">
        <v>8962</v>
      </c>
      <c r="B236" s="1459" t="s">
        <v>9262</v>
      </c>
      <c r="C236" s="1076" t="str">
        <f>+VLOOKUP(A236,'APU SUM'!$A:$G,3,FALSE)</f>
        <v>un</v>
      </c>
      <c r="D236" s="1440">
        <v>1</v>
      </c>
      <c r="E236" s="2066">
        <v>30673226</v>
      </c>
      <c r="F236" s="2083">
        <f t="shared" si="16"/>
        <v>30673226</v>
      </c>
      <c r="G236" s="2176">
        <f t="shared" si="17"/>
        <v>27605903</v>
      </c>
      <c r="H236" s="2176">
        <f t="shared" si="18"/>
        <v>33740549</v>
      </c>
    </row>
    <row r="237" spans="1:8" ht="33" x14ac:dyDescent="0.25">
      <c r="A237" s="1463" t="s">
        <v>8942</v>
      </c>
      <c r="B237" s="1459" t="s">
        <v>9263</v>
      </c>
      <c r="C237" s="1076" t="str">
        <f>+VLOOKUP(A237,'APU SUM'!$A:$G,3,FALSE)</f>
        <v>un</v>
      </c>
      <c r="D237" s="1440">
        <v>2</v>
      </c>
      <c r="E237" s="2066">
        <v>47797873</v>
      </c>
      <c r="F237" s="2083">
        <f t="shared" si="16"/>
        <v>95595746</v>
      </c>
      <c r="G237" s="2176">
        <f t="shared" si="17"/>
        <v>43018086</v>
      </c>
      <c r="H237" s="2176">
        <f t="shared" si="18"/>
        <v>52577660</v>
      </c>
    </row>
    <row r="238" spans="1:8" ht="33" x14ac:dyDescent="0.25">
      <c r="A238" s="1463" t="s">
        <v>8963</v>
      </c>
      <c r="B238" s="1459" t="s">
        <v>9264</v>
      </c>
      <c r="C238" s="1076" t="str">
        <f>+VLOOKUP(A238,'APU SUM'!$A:$G,3,FALSE)</f>
        <v>un</v>
      </c>
      <c r="D238" s="1440">
        <v>1</v>
      </c>
      <c r="E238" s="2066">
        <v>36807871</v>
      </c>
      <c r="F238" s="2083">
        <f t="shared" si="16"/>
        <v>36807871</v>
      </c>
      <c r="G238" s="2176">
        <f t="shared" si="17"/>
        <v>33127084</v>
      </c>
      <c r="H238" s="2176">
        <f t="shared" si="18"/>
        <v>40488658</v>
      </c>
    </row>
    <row r="239" spans="1:8" ht="33" x14ac:dyDescent="0.25">
      <c r="A239" s="1463" t="s">
        <v>8966</v>
      </c>
      <c r="B239" s="1459" t="s">
        <v>9265</v>
      </c>
      <c r="C239" s="1076" t="str">
        <f>+VLOOKUP(A239,'APU SUM'!$A:$G,3,FALSE)</f>
        <v>un</v>
      </c>
      <c r="D239" s="1440">
        <v>1</v>
      </c>
      <c r="E239" s="2066">
        <v>47797873</v>
      </c>
      <c r="F239" s="2083">
        <f t="shared" si="16"/>
        <v>47797873</v>
      </c>
      <c r="G239" s="2176">
        <f t="shared" si="17"/>
        <v>43018086</v>
      </c>
      <c r="H239" s="2176">
        <f t="shared" si="18"/>
        <v>52577660</v>
      </c>
    </row>
    <row r="240" spans="1:8" ht="33" x14ac:dyDescent="0.25">
      <c r="A240" s="1463" t="s">
        <v>8938</v>
      </c>
      <c r="B240" s="1459" t="s">
        <v>9266</v>
      </c>
      <c r="C240" s="1076" t="str">
        <f>+VLOOKUP(A240,'APU SUM'!$A:$G,3,FALSE)</f>
        <v>un</v>
      </c>
      <c r="D240" s="1440">
        <v>1</v>
      </c>
      <c r="E240" s="2066">
        <v>47797873</v>
      </c>
      <c r="F240" s="2083">
        <f t="shared" si="16"/>
        <v>47797873</v>
      </c>
      <c r="G240" s="2176">
        <f t="shared" si="17"/>
        <v>43018086</v>
      </c>
      <c r="H240" s="2176">
        <f t="shared" si="18"/>
        <v>52577660</v>
      </c>
    </row>
    <row r="241" spans="1:8" x14ac:dyDescent="0.25">
      <c r="A241" s="1463" t="s">
        <v>8710</v>
      </c>
      <c r="B241" s="1459" t="s">
        <v>9149</v>
      </c>
      <c r="C241" s="1076" t="str">
        <f>+VLOOKUP(A241,'APU SUM'!$A:$G,3,FALSE)</f>
        <v>un</v>
      </c>
      <c r="D241" s="1440">
        <v>4</v>
      </c>
      <c r="E241" s="2066">
        <v>270808</v>
      </c>
      <c r="F241" s="2083">
        <f t="shared" si="16"/>
        <v>1083232</v>
      </c>
      <c r="G241" s="2176">
        <f t="shared" si="17"/>
        <v>243727</v>
      </c>
      <c r="H241" s="2176">
        <f t="shared" si="18"/>
        <v>297889</v>
      </c>
    </row>
    <row r="242" spans="1:8" x14ac:dyDescent="0.25">
      <c r="A242" s="1463" t="s">
        <v>8711</v>
      </c>
      <c r="B242" s="1459" t="s">
        <v>9267</v>
      </c>
      <c r="C242" s="1076" t="str">
        <f>+VLOOKUP(A242,'APU SUM'!$A:$G,3,FALSE)</f>
        <v>un</v>
      </c>
      <c r="D242" s="1440">
        <v>10</v>
      </c>
      <c r="E242" s="2066">
        <v>270808</v>
      </c>
      <c r="F242" s="2083">
        <f t="shared" si="16"/>
        <v>2708080</v>
      </c>
      <c r="G242" s="2176">
        <f t="shared" si="17"/>
        <v>243727</v>
      </c>
      <c r="H242" s="2176">
        <f t="shared" si="18"/>
        <v>297889</v>
      </c>
    </row>
    <row r="243" spans="1:8" x14ac:dyDescent="0.25">
      <c r="A243" s="1463" t="s">
        <v>8712</v>
      </c>
      <c r="B243" s="1459" t="s">
        <v>9268</v>
      </c>
      <c r="C243" s="1076" t="str">
        <f>+VLOOKUP(A243,'APU SUM'!$A:$G,3,FALSE)</f>
        <v>un</v>
      </c>
      <c r="D243" s="1440">
        <v>10</v>
      </c>
      <c r="E243" s="2066">
        <v>275931</v>
      </c>
      <c r="F243" s="2083">
        <f t="shared" si="16"/>
        <v>2759310</v>
      </c>
      <c r="G243" s="2176">
        <f t="shared" si="17"/>
        <v>248338</v>
      </c>
      <c r="H243" s="2176">
        <f t="shared" si="18"/>
        <v>303524</v>
      </c>
    </row>
    <row r="244" spans="1:8" x14ac:dyDescent="0.25">
      <c r="A244" s="1463" t="s">
        <v>8713</v>
      </c>
      <c r="B244" s="1459" t="s">
        <v>9269</v>
      </c>
      <c r="C244" s="1076" t="str">
        <f>+VLOOKUP(A244,'APU SUM'!$A:$G,3,FALSE)</f>
        <v>un</v>
      </c>
      <c r="D244" s="1440">
        <v>4</v>
      </c>
      <c r="E244" s="2066">
        <v>275931</v>
      </c>
      <c r="F244" s="2083">
        <f t="shared" si="16"/>
        <v>1103724</v>
      </c>
      <c r="G244" s="2176">
        <f t="shared" si="17"/>
        <v>248338</v>
      </c>
      <c r="H244" s="2176">
        <f t="shared" si="18"/>
        <v>303524</v>
      </c>
    </row>
    <row r="245" spans="1:8" x14ac:dyDescent="0.25">
      <c r="A245" s="1463" t="s">
        <v>8714</v>
      </c>
      <c r="B245" s="1459" t="s">
        <v>9270</v>
      </c>
      <c r="C245" s="1076" t="str">
        <f>+VLOOKUP(A245,'APU SUM'!$A:$G,3,FALSE)</f>
        <v>un</v>
      </c>
      <c r="D245" s="1440">
        <v>3</v>
      </c>
      <c r="E245" s="2066">
        <v>275931</v>
      </c>
      <c r="F245" s="2083">
        <f t="shared" si="16"/>
        <v>827793</v>
      </c>
      <c r="G245" s="2176">
        <f t="shared" si="17"/>
        <v>248338</v>
      </c>
      <c r="H245" s="2176">
        <f t="shared" si="18"/>
        <v>303524</v>
      </c>
    </row>
    <row r="246" spans="1:8" x14ac:dyDescent="0.25">
      <c r="A246" s="1463" t="s">
        <v>8879</v>
      </c>
      <c r="B246" s="1459" t="s">
        <v>9145</v>
      </c>
      <c r="C246" s="1076" t="str">
        <f>+VLOOKUP(A246,'APU SUM'!$A:$G,3,FALSE)</f>
        <v>un</v>
      </c>
      <c r="D246" s="1440">
        <v>4</v>
      </c>
      <c r="E246" s="2066">
        <v>512378</v>
      </c>
      <c r="F246" s="2083">
        <f t="shared" si="16"/>
        <v>2049512</v>
      </c>
      <c r="G246" s="2176">
        <f t="shared" si="17"/>
        <v>461140</v>
      </c>
      <c r="H246" s="2176">
        <f t="shared" si="18"/>
        <v>563616</v>
      </c>
    </row>
    <row r="247" spans="1:8" x14ac:dyDescent="0.25">
      <c r="A247" s="1463" t="s">
        <v>8880</v>
      </c>
      <c r="B247" s="1459" t="s">
        <v>9271</v>
      </c>
      <c r="C247" s="1076" t="str">
        <f>+VLOOKUP(A247,'APU SUM'!$A:$G,3,FALSE)</f>
        <v>un</v>
      </c>
      <c r="D247" s="1440">
        <v>11</v>
      </c>
      <c r="E247" s="2066">
        <v>512378</v>
      </c>
      <c r="F247" s="2083">
        <f t="shared" si="16"/>
        <v>5636158</v>
      </c>
      <c r="G247" s="2176">
        <f t="shared" si="17"/>
        <v>461140</v>
      </c>
      <c r="H247" s="2176">
        <f t="shared" si="18"/>
        <v>563616</v>
      </c>
    </row>
    <row r="248" spans="1:8" x14ac:dyDescent="0.25">
      <c r="A248" s="1463" t="s">
        <v>8881</v>
      </c>
      <c r="B248" s="1459" t="s">
        <v>9272</v>
      </c>
      <c r="C248" s="1076" t="str">
        <f>+VLOOKUP(A248,'APU SUM'!$A:$G,3,FALSE)</f>
        <v>un</v>
      </c>
      <c r="D248" s="1440">
        <v>14</v>
      </c>
      <c r="E248" s="2066">
        <v>512378</v>
      </c>
      <c r="F248" s="2083">
        <f t="shared" si="16"/>
        <v>7173292</v>
      </c>
      <c r="G248" s="2176">
        <f t="shared" si="17"/>
        <v>461140</v>
      </c>
      <c r="H248" s="2176">
        <f t="shared" si="18"/>
        <v>563616</v>
      </c>
    </row>
    <row r="249" spans="1:8" x14ac:dyDescent="0.25">
      <c r="A249" s="1463" t="s">
        <v>8882</v>
      </c>
      <c r="B249" s="1459" t="s">
        <v>9273</v>
      </c>
      <c r="C249" s="1076" t="str">
        <f>+VLOOKUP(A249,'APU SUM'!$A:$G,3,FALSE)</f>
        <v>un</v>
      </c>
      <c r="D249" s="1440">
        <v>6</v>
      </c>
      <c r="E249" s="2066">
        <v>512378</v>
      </c>
      <c r="F249" s="2083">
        <f t="shared" si="16"/>
        <v>3074268</v>
      </c>
      <c r="G249" s="2176">
        <f t="shared" si="17"/>
        <v>461140</v>
      </c>
      <c r="H249" s="2176">
        <f t="shared" si="18"/>
        <v>563616</v>
      </c>
    </row>
    <row r="250" spans="1:8" x14ac:dyDescent="0.25">
      <c r="A250" s="1463" t="s">
        <v>8883</v>
      </c>
      <c r="B250" s="1459" t="s">
        <v>9274</v>
      </c>
      <c r="C250" s="1076" t="str">
        <f>+VLOOKUP(A250,'APU SUM'!$A:$G,3,FALSE)</f>
        <v>un</v>
      </c>
      <c r="D250" s="1440">
        <v>5</v>
      </c>
      <c r="E250" s="2066">
        <v>512378</v>
      </c>
      <c r="F250" s="2083">
        <f t="shared" si="16"/>
        <v>2561890</v>
      </c>
      <c r="G250" s="2176">
        <f t="shared" si="17"/>
        <v>461140</v>
      </c>
      <c r="H250" s="2176">
        <f t="shared" si="18"/>
        <v>563616</v>
      </c>
    </row>
    <row r="251" spans="1:8" ht="33" x14ac:dyDescent="0.25">
      <c r="A251" s="1463" t="s">
        <v>8928</v>
      </c>
      <c r="B251" s="1459" t="s">
        <v>9275</v>
      </c>
      <c r="C251" s="1076" t="str">
        <f>+VLOOKUP(A251,'APU SUM'!$A:$G,3,FALSE)</f>
        <v>un</v>
      </c>
      <c r="D251" s="1440">
        <v>1</v>
      </c>
      <c r="E251" s="2066">
        <v>14194887</v>
      </c>
      <c r="F251" s="2083">
        <f t="shared" si="16"/>
        <v>14194887</v>
      </c>
      <c r="G251" s="2176">
        <f t="shared" si="17"/>
        <v>12775398</v>
      </c>
      <c r="H251" s="2176">
        <f t="shared" si="18"/>
        <v>15614376</v>
      </c>
    </row>
    <row r="252" spans="1:8" ht="33" x14ac:dyDescent="0.25">
      <c r="A252" s="1463" t="s">
        <v>8929</v>
      </c>
      <c r="B252" s="1459" t="s">
        <v>9276</v>
      </c>
      <c r="C252" s="1076" t="str">
        <f>+VLOOKUP(A252,'APU SUM'!$A:$G,3,FALSE)</f>
        <v>un</v>
      </c>
      <c r="D252" s="1440">
        <v>4</v>
      </c>
      <c r="E252" s="2066">
        <v>14194887</v>
      </c>
      <c r="F252" s="2083">
        <f t="shared" si="16"/>
        <v>56779548</v>
      </c>
      <c r="G252" s="2176">
        <f t="shared" si="17"/>
        <v>12775398</v>
      </c>
      <c r="H252" s="2176">
        <f t="shared" si="18"/>
        <v>15614376</v>
      </c>
    </row>
    <row r="253" spans="1:8" ht="33" x14ac:dyDescent="0.25">
      <c r="A253" s="1463" t="s">
        <v>8930</v>
      </c>
      <c r="B253" s="1459" t="s">
        <v>9277</v>
      </c>
      <c r="C253" s="1076" t="str">
        <f>+VLOOKUP(A253,'APU SUM'!$A:$G,3,FALSE)</f>
        <v>un</v>
      </c>
      <c r="D253" s="1440">
        <v>2</v>
      </c>
      <c r="E253" s="2066">
        <v>18453353</v>
      </c>
      <c r="F253" s="2083">
        <f t="shared" si="16"/>
        <v>36906706</v>
      </c>
      <c r="G253" s="2176">
        <f t="shared" si="17"/>
        <v>16608018</v>
      </c>
      <c r="H253" s="2176">
        <f t="shared" si="18"/>
        <v>20298688</v>
      </c>
    </row>
    <row r="254" spans="1:8" ht="33" x14ac:dyDescent="0.25">
      <c r="A254" s="1463" t="s">
        <v>8931</v>
      </c>
      <c r="B254" s="1459" t="s">
        <v>9278</v>
      </c>
      <c r="C254" s="1076" t="str">
        <f>+VLOOKUP(A254,'APU SUM'!$A:$G,3,FALSE)</f>
        <v>un</v>
      </c>
      <c r="D254" s="1440">
        <v>2</v>
      </c>
      <c r="E254" s="2066">
        <v>23989359</v>
      </c>
      <c r="F254" s="2083">
        <f t="shared" si="16"/>
        <v>47978718</v>
      </c>
      <c r="G254" s="2176">
        <f t="shared" si="17"/>
        <v>21590423</v>
      </c>
      <c r="H254" s="2176">
        <f t="shared" si="18"/>
        <v>26388295</v>
      </c>
    </row>
    <row r="255" spans="1:8" x14ac:dyDescent="0.25">
      <c r="A255" s="1463" t="s">
        <v>8721</v>
      </c>
      <c r="B255" s="1459" t="s">
        <v>9279</v>
      </c>
      <c r="C255" s="1076" t="str">
        <f>+VLOOKUP(A255,'APU SUM'!$A:$G,3,FALSE)</f>
        <v>un</v>
      </c>
      <c r="D255" s="1440">
        <v>2</v>
      </c>
      <c r="E255" s="2066">
        <v>2757209</v>
      </c>
      <c r="F255" s="2083">
        <f t="shared" si="16"/>
        <v>5514418</v>
      </c>
      <c r="G255" s="2176">
        <f t="shared" si="17"/>
        <v>2481488</v>
      </c>
      <c r="H255" s="2176">
        <f t="shared" si="18"/>
        <v>3032930</v>
      </c>
    </row>
    <row r="256" spans="1:8" x14ac:dyDescent="0.25">
      <c r="A256" s="1463" t="s">
        <v>8722</v>
      </c>
      <c r="B256" s="1459" t="s">
        <v>9280</v>
      </c>
      <c r="C256" s="1076" t="str">
        <f>+VLOOKUP(A256,'APU SUM'!$A:$G,3,FALSE)</f>
        <v>un</v>
      </c>
      <c r="D256" s="1440">
        <v>3</v>
      </c>
      <c r="E256" s="2066">
        <v>6650964</v>
      </c>
      <c r="F256" s="2083">
        <f t="shared" ref="F256:F257" si="19">ROUND(E256*D256,0)</f>
        <v>19952892</v>
      </c>
      <c r="G256" s="2176">
        <f t="shared" si="17"/>
        <v>5985868</v>
      </c>
      <c r="H256" s="2176">
        <f t="shared" si="18"/>
        <v>7316060</v>
      </c>
    </row>
    <row r="257" spans="1:8" x14ac:dyDescent="0.25">
      <c r="A257" s="1463" t="s">
        <v>8724</v>
      </c>
      <c r="B257" s="1459" t="s">
        <v>9281</v>
      </c>
      <c r="C257" s="1076" t="str">
        <f>+VLOOKUP(A257,'APU SUM'!$A:$G,3,FALSE)</f>
        <v>un</v>
      </c>
      <c r="D257" s="1440">
        <v>1</v>
      </c>
      <c r="E257" s="2066">
        <v>10910384</v>
      </c>
      <c r="F257" s="2083">
        <f t="shared" si="19"/>
        <v>10910384</v>
      </c>
      <c r="G257" s="2176">
        <f t="shared" si="17"/>
        <v>9819346</v>
      </c>
      <c r="H257" s="2176">
        <f t="shared" si="18"/>
        <v>12001422</v>
      </c>
    </row>
    <row r="258" spans="1:8" ht="20.25" customHeight="1" x14ac:dyDescent="0.25">
      <c r="B258" s="1737"/>
      <c r="C258" s="2332" t="s">
        <v>8069</v>
      </c>
      <c r="D258" s="2332"/>
      <c r="E258" s="2332"/>
      <c r="F258" s="2136">
        <f>+ROUND(SUM(F128:F257),0)</f>
        <v>1911109931</v>
      </c>
    </row>
  </sheetData>
  <sheetProtection algorithmName="SHA-512" hashValue="4JhuS5NuIhbJCdi3yS8/MRTIUvoo7tzPflE8/rPhEf64J704uFtsbpbmq68ZCP8NhcLzZ2P6Cv5jAA1GiRdGaw==" saltValue="G3+Z2YDKR55cHChJz+K4Rg==" spinCount="100000" sheet="1" objects="1" scenarios="1" selectLockedCells="1" selectUnlockedCells="1"/>
  <mergeCells count="10">
    <mergeCell ref="A1:H3"/>
    <mergeCell ref="A4:H4"/>
    <mergeCell ref="C258:E258"/>
    <mergeCell ref="A126:F126"/>
    <mergeCell ref="A127:B127"/>
    <mergeCell ref="C125:E125"/>
    <mergeCell ref="A5:B5"/>
    <mergeCell ref="A48:F48"/>
    <mergeCell ref="A94:F94"/>
    <mergeCell ref="C124:E124"/>
  </mergeCells>
  <pageMargins left="0.70866141732283472" right="0.70866141732283472" top="0.74803149606299213" bottom="0.74803149606299213" header="0.31496062992125984" footer="0.31496062992125984"/>
  <pageSetup scale="47" fitToHeight="0" orientation="portrait" r:id="rId1"/>
  <rowBreaks count="5" manualBreakCount="5">
    <brk id="59" max="7" man="1"/>
    <brk id="113" max="7" man="1"/>
    <brk id="155" max="7" man="1"/>
    <brk id="191" max="7" man="1"/>
    <brk id="223" max="7"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K57"/>
  <sheetViews>
    <sheetView view="pageBreakPreview" topLeftCell="A37" zoomScale="85" zoomScaleNormal="100" zoomScaleSheetLayoutView="85" workbookViewId="0">
      <selection activeCell="G43" sqref="G43"/>
    </sheetView>
  </sheetViews>
  <sheetFormatPr baseColWidth="10" defaultRowHeight="16.5" x14ac:dyDescent="0.3"/>
  <cols>
    <col min="1" max="1" width="9.140625" style="1086" customWidth="1"/>
    <col min="2" max="2" width="82.5703125" style="1738" customWidth="1"/>
    <col min="3" max="3" width="7.42578125" style="1086" customWidth="1"/>
    <col min="4" max="4" width="8.7109375" style="1085" customWidth="1"/>
    <col min="5" max="5" width="17.28515625" style="1474" customWidth="1"/>
    <col min="6" max="6" width="19" style="1109" bestFit="1" customWidth="1"/>
    <col min="7" max="7" width="17.140625" style="844" customWidth="1"/>
    <col min="8" max="8" width="19.42578125" style="844" customWidth="1"/>
    <col min="9" max="16384" width="11.42578125" style="844"/>
  </cols>
  <sheetData>
    <row r="1" spans="1:11" ht="16.5" customHeight="1" x14ac:dyDescent="0.3">
      <c r="A1" s="2326" t="s">
        <v>9817</v>
      </c>
      <c r="B1" s="2326"/>
      <c r="C1" s="2326"/>
      <c r="D1" s="2326"/>
      <c r="E1" s="2326"/>
      <c r="F1" s="2326"/>
      <c r="G1" s="2326"/>
      <c r="H1" s="2326"/>
    </row>
    <row r="2" spans="1:11" ht="31.5" customHeight="1" x14ac:dyDescent="0.3">
      <c r="A2" s="2326"/>
      <c r="B2" s="2326"/>
      <c r="C2" s="2326"/>
      <c r="D2" s="2326"/>
      <c r="E2" s="2326"/>
      <c r="F2" s="2326"/>
      <c r="G2" s="2326"/>
      <c r="H2" s="2326"/>
    </row>
    <row r="3" spans="1:11" ht="15" customHeight="1" x14ac:dyDescent="0.3">
      <c r="A3" s="2326"/>
      <c r="B3" s="2326"/>
      <c r="C3" s="2326"/>
      <c r="D3" s="2326"/>
      <c r="E3" s="2326"/>
      <c r="F3" s="2326"/>
      <c r="G3" s="2326"/>
      <c r="H3" s="2326"/>
    </row>
    <row r="4" spans="1:11" ht="15" customHeight="1" x14ac:dyDescent="0.3">
      <c r="A4" s="2343" t="s">
        <v>8640</v>
      </c>
      <c r="B4" s="2343"/>
      <c r="C4" s="2343"/>
      <c r="D4" s="2343"/>
      <c r="E4" s="2343"/>
      <c r="F4" s="2343"/>
      <c r="G4" s="2343"/>
      <c r="H4" s="2343"/>
    </row>
    <row r="5" spans="1:11" x14ac:dyDescent="0.3">
      <c r="A5" s="2321" t="s">
        <v>2</v>
      </c>
      <c r="B5" s="2321"/>
      <c r="C5" s="2135" t="s">
        <v>6616</v>
      </c>
      <c r="D5" s="2134" t="s">
        <v>6617</v>
      </c>
      <c r="E5" s="948" t="s">
        <v>6618</v>
      </c>
      <c r="F5" s="949" t="s">
        <v>9831</v>
      </c>
      <c r="G5" s="949" t="s">
        <v>9864</v>
      </c>
      <c r="H5" s="949" t="s">
        <v>9865</v>
      </c>
    </row>
    <row r="6" spans="1:11" x14ac:dyDescent="0.3">
      <c r="A6" s="1092"/>
      <c r="B6" s="1855" t="s">
        <v>8167</v>
      </c>
      <c r="C6" s="849"/>
      <c r="D6" s="845"/>
      <c r="E6" s="1103"/>
      <c r="F6" s="1103"/>
      <c r="G6" s="1103"/>
      <c r="H6" s="1103"/>
    </row>
    <row r="7" spans="1:11" x14ac:dyDescent="0.3">
      <c r="A7" s="1453">
        <v>1.2</v>
      </c>
      <c r="B7" s="1738" t="s">
        <v>7192</v>
      </c>
      <c r="C7" s="853" t="s">
        <v>5556</v>
      </c>
      <c r="D7" s="1604">
        <v>98.399999999999991</v>
      </c>
      <c r="E7" s="2066">
        <v>2899</v>
      </c>
      <c r="F7" s="1104">
        <f>ROUND(D7*E7,0)</f>
        <v>285262</v>
      </c>
      <c r="G7" s="2176">
        <f>+ROUND(E7*0.9,0)</f>
        <v>2609</v>
      </c>
      <c r="H7" s="2176">
        <f>+ROUND(E7*1.1,0)</f>
        <v>3189</v>
      </c>
      <c r="I7" s="838"/>
      <c r="J7" s="838"/>
      <c r="K7" s="838"/>
    </row>
    <row r="8" spans="1:11" ht="16.5" customHeight="1" x14ac:dyDescent="0.3">
      <c r="A8" s="1076"/>
      <c r="B8" s="1856" t="s">
        <v>8168</v>
      </c>
      <c r="C8" s="849"/>
      <c r="D8" s="845"/>
      <c r="E8" s="2144"/>
      <c r="F8" s="1105"/>
      <c r="G8" s="1105"/>
      <c r="H8" s="1105"/>
      <c r="I8" s="2138"/>
      <c r="J8" s="2138"/>
      <c r="K8" s="838"/>
    </row>
    <row r="9" spans="1:11" ht="18" customHeight="1" x14ac:dyDescent="0.3">
      <c r="A9" s="1453">
        <v>1.3</v>
      </c>
      <c r="B9" s="1395" t="s">
        <v>8329</v>
      </c>
      <c r="C9" s="853" t="s">
        <v>5734</v>
      </c>
      <c r="D9" s="1604">
        <v>95.28</v>
      </c>
      <c r="E9" s="2066">
        <v>2227</v>
      </c>
      <c r="F9" s="1104">
        <f>ROUND(D9*E9,0)</f>
        <v>212189</v>
      </c>
      <c r="G9" s="2176">
        <f t="shared" ref="G9:G56" si="0">+ROUND(E9*0.9,0)</f>
        <v>2004</v>
      </c>
      <c r="H9" s="2176">
        <f t="shared" ref="H9:H56" si="1">+ROUND(E9*1.1,0)</f>
        <v>2450</v>
      </c>
      <c r="I9" s="2139"/>
      <c r="J9" s="2139"/>
      <c r="K9" s="838"/>
    </row>
    <row r="10" spans="1:11" x14ac:dyDescent="0.3">
      <c r="A10" s="849"/>
      <c r="B10" s="1856" t="s">
        <v>6626</v>
      </c>
      <c r="C10" s="834"/>
      <c r="D10" s="2088"/>
      <c r="E10" s="2145"/>
      <c r="F10" s="1106"/>
      <c r="G10" s="1106"/>
      <c r="H10" s="1106"/>
      <c r="I10" s="838"/>
      <c r="J10" s="838"/>
      <c r="K10" s="838"/>
    </row>
    <row r="11" spans="1:11" x14ac:dyDescent="0.3">
      <c r="A11" s="1453" t="s">
        <v>89</v>
      </c>
      <c r="B11" s="1396" t="s">
        <v>9005</v>
      </c>
      <c r="C11" s="853" t="s">
        <v>6858</v>
      </c>
      <c r="D11" s="1604">
        <v>467.4</v>
      </c>
      <c r="E11" s="2066">
        <v>53003</v>
      </c>
      <c r="F11" s="1104">
        <f>ROUND(D11*E11,0)</f>
        <v>24773602</v>
      </c>
      <c r="G11" s="2176">
        <f t="shared" si="0"/>
        <v>47703</v>
      </c>
      <c r="H11" s="2176">
        <f t="shared" si="1"/>
        <v>58303</v>
      </c>
      <c r="I11" s="838"/>
      <c r="J11" s="838"/>
      <c r="K11" s="838"/>
    </row>
    <row r="12" spans="1:11" x14ac:dyDescent="0.3">
      <c r="A12" s="849"/>
      <c r="B12" s="1856" t="s">
        <v>8169</v>
      </c>
      <c r="C12" s="834"/>
      <c r="D12" s="2088"/>
      <c r="E12" s="2145"/>
      <c r="F12" s="1106"/>
      <c r="G12" s="1106"/>
      <c r="H12" s="1106"/>
      <c r="I12" s="838"/>
      <c r="J12" s="838"/>
      <c r="K12" s="838"/>
    </row>
    <row r="13" spans="1:11" x14ac:dyDescent="0.3">
      <c r="A13" s="1453" t="s">
        <v>97</v>
      </c>
      <c r="B13" s="1074" t="s">
        <v>9819</v>
      </c>
      <c r="C13" s="853" t="s">
        <v>6858</v>
      </c>
      <c r="D13" s="1604">
        <v>19.68</v>
      </c>
      <c r="E13" s="2066">
        <v>52233</v>
      </c>
      <c r="F13" s="1104">
        <f>ROUND(D13*E13,0)</f>
        <v>1027945</v>
      </c>
      <c r="G13" s="2176">
        <f t="shared" si="0"/>
        <v>47010</v>
      </c>
      <c r="H13" s="2176">
        <f t="shared" si="1"/>
        <v>57456</v>
      </c>
    </row>
    <row r="14" spans="1:11" x14ac:dyDescent="0.3">
      <c r="A14" s="1453" t="s">
        <v>147</v>
      </c>
      <c r="B14" s="2140" t="s">
        <v>5461</v>
      </c>
      <c r="C14" s="853" t="s">
        <v>5556</v>
      </c>
      <c r="D14" s="2143">
        <v>40</v>
      </c>
      <c r="E14" s="2066">
        <v>28261</v>
      </c>
      <c r="F14" s="1104">
        <f>ROUND(D14*E14,0)</f>
        <v>1130440</v>
      </c>
      <c r="G14" s="2176">
        <f t="shared" si="0"/>
        <v>25435</v>
      </c>
      <c r="H14" s="2176">
        <f t="shared" si="1"/>
        <v>31087</v>
      </c>
    </row>
    <row r="15" spans="1:11" x14ac:dyDescent="0.3">
      <c r="A15" s="849"/>
      <c r="B15" s="1856" t="s">
        <v>8170</v>
      </c>
      <c r="C15" s="849"/>
      <c r="D15" s="845"/>
      <c r="E15" s="2144"/>
      <c r="F15" s="1105"/>
      <c r="G15" s="1105"/>
      <c r="H15" s="1105"/>
    </row>
    <row r="16" spans="1:11" x14ac:dyDescent="0.3">
      <c r="A16" s="1453" t="s">
        <v>5976</v>
      </c>
      <c r="B16" s="1395" t="s">
        <v>7982</v>
      </c>
      <c r="C16" s="853" t="s">
        <v>6858</v>
      </c>
      <c r="D16" s="1604">
        <v>607.62</v>
      </c>
      <c r="E16" s="2066">
        <v>34912</v>
      </c>
      <c r="F16" s="1104">
        <f>ROUND(D16*E16,0)</f>
        <v>21213229</v>
      </c>
      <c r="G16" s="2176">
        <f t="shared" si="0"/>
        <v>31421</v>
      </c>
      <c r="H16" s="2176">
        <f t="shared" si="1"/>
        <v>38403</v>
      </c>
    </row>
    <row r="17" spans="1:8" x14ac:dyDescent="0.3">
      <c r="A17" s="849"/>
      <c r="B17" s="1857" t="s">
        <v>6637</v>
      </c>
      <c r="C17" s="849"/>
      <c r="D17" s="845"/>
      <c r="E17" s="2144"/>
      <c r="F17" s="1105"/>
      <c r="G17" s="1105"/>
      <c r="H17" s="1105"/>
    </row>
    <row r="18" spans="1:8" x14ac:dyDescent="0.3">
      <c r="A18" s="1453" t="s">
        <v>8617</v>
      </c>
      <c r="B18" s="1397" t="s">
        <v>9002</v>
      </c>
      <c r="C18" s="853" t="s">
        <v>5402</v>
      </c>
      <c r="D18" s="851">
        <v>10</v>
      </c>
      <c r="E18" s="2066">
        <v>4240</v>
      </c>
      <c r="F18" s="1104">
        <f>ROUND(D18*E18,0)</f>
        <v>42400</v>
      </c>
      <c r="G18" s="2176">
        <f t="shared" si="0"/>
        <v>3816</v>
      </c>
      <c r="H18" s="2176">
        <f t="shared" si="1"/>
        <v>4664</v>
      </c>
    </row>
    <row r="19" spans="1:8" x14ac:dyDescent="0.3">
      <c r="A19" s="1453" t="s">
        <v>8583</v>
      </c>
      <c r="B19" s="1397" t="s">
        <v>7195</v>
      </c>
      <c r="C19" s="853" t="s">
        <v>5424</v>
      </c>
      <c r="D19" s="851">
        <v>14</v>
      </c>
      <c r="E19" s="2066">
        <v>7009</v>
      </c>
      <c r="F19" s="1104">
        <f t="shared" ref="F19:F37" si="2">ROUND(D19*E19,0)</f>
        <v>98126</v>
      </c>
      <c r="G19" s="2176">
        <f t="shared" si="0"/>
        <v>6308</v>
      </c>
      <c r="H19" s="2176">
        <f t="shared" si="1"/>
        <v>7710</v>
      </c>
    </row>
    <row r="20" spans="1:8" x14ac:dyDescent="0.3">
      <c r="A20" s="1453" t="s">
        <v>8589</v>
      </c>
      <c r="B20" s="1397" t="s">
        <v>8508</v>
      </c>
      <c r="C20" s="853" t="s">
        <v>5424</v>
      </c>
      <c r="D20" s="2159">
        <v>4</v>
      </c>
      <c r="E20" s="2066">
        <v>36879</v>
      </c>
      <c r="F20" s="1104">
        <f t="shared" si="2"/>
        <v>147516</v>
      </c>
      <c r="G20" s="2176">
        <f t="shared" si="0"/>
        <v>33191</v>
      </c>
      <c r="H20" s="2176">
        <f t="shared" si="1"/>
        <v>40567</v>
      </c>
    </row>
    <row r="21" spans="1:8" x14ac:dyDescent="0.3">
      <c r="A21" s="1453" t="s">
        <v>8605</v>
      </c>
      <c r="B21" s="1397" t="s">
        <v>8513</v>
      </c>
      <c r="C21" s="853" t="s">
        <v>5424</v>
      </c>
      <c r="D21" s="2159">
        <v>1</v>
      </c>
      <c r="E21" s="2066">
        <v>78115</v>
      </c>
      <c r="F21" s="1104">
        <f t="shared" si="2"/>
        <v>78115</v>
      </c>
      <c r="G21" s="2176">
        <f t="shared" si="0"/>
        <v>70304</v>
      </c>
      <c r="H21" s="2176">
        <f t="shared" si="1"/>
        <v>85927</v>
      </c>
    </row>
    <row r="22" spans="1:8" x14ac:dyDescent="0.3">
      <c r="A22" s="1453" t="s">
        <v>8609</v>
      </c>
      <c r="B22" s="1397" t="s">
        <v>8540</v>
      </c>
      <c r="C22" s="853" t="s">
        <v>5424</v>
      </c>
      <c r="D22" s="2159">
        <v>4</v>
      </c>
      <c r="E22" s="2066">
        <v>79222</v>
      </c>
      <c r="F22" s="1104">
        <f t="shared" si="2"/>
        <v>316888</v>
      </c>
      <c r="G22" s="2176">
        <f t="shared" si="0"/>
        <v>71300</v>
      </c>
      <c r="H22" s="2176">
        <f t="shared" si="1"/>
        <v>87144</v>
      </c>
    </row>
    <row r="23" spans="1:8" x14ac:dyDescent="0.3">
      <c r="A23" s="1453" t="s">
        <v>8625</v>
      </c>
      <c r="B23" s="1397" t="s">
        <v>8498</v>
      </c>
      <c r="C23" s="853" t="s">
        <v>5424</v>
      </c>
      <c r="D23" s="2159">
        <v>1</v>
      </c>
      <c r="E23" s="2066">
        <v>42963</v>
      </c>
      <c r="F23" s="1104">
        <f t="shared" si="2"/>
        <v>42963</v>
      </c>
      <c r="G23" s="2176">
        <f t="shared" si="0"/>
        <v>38667</v>
      </c>
      <c r="H23" s="2176">
        <f t="shared" si="1"/>
        <v>47259</v>
      </c>
    </row>
    <row r="24" spans="1:8" x14ac:dyDescent="0.3">
      <c r="A24" s="1453" t="s">
        <v>8627</v>
      </c>
      <c r="B24" s="1397" t="s">
        <v>8272</v>
      </c>
      <c r="C24" s="853" t="s">
        <v>5424</v>
      </c>
      <c r="D24" s="2159">
        <v>1</v>
      </c>
      <c r="E24" s="2066">
        <v>129573</v>
      </c>
      <c r="F24" s="1104">
        <f t="shared" si="2"/>
        <v>129573</v>
      </c>
      <c r="G24" s="2176">
        <f t="shared" si="0"/>
        <v>116616</v>
      </c>
      <c r="H24" s="2176">
        <f t="shared" si="1"/>
        <v>142530</v>
      </c>
    </row>
    <row r="25" spans="1:8" x14ac:dyDescent="0.3">
      <c r="A25" s="1453" t="s">
        <v>8597</v>
      </c>
      <c r="B25" s="1397" t="s">
        <v>8536</v>
      </c>
      <c r="C25" s="853" t="s">
        <v>5424</v>
      </c>
      <c r="D25" s="2159">
        <v>1</v>
      </c>
      <c r="E25" s="2066">
        <v>79222</v>
      </c>
      <c r="F25" s="1104">
        <f t="shared" si="2"/>
        <v>79222</v>
      </c>
      <c r="G25" s="2176">
        <f t="shared" si="0"/>
        <v>71300</v>
      </c>
      <c r="H25" s="2176">
        <f t="shared" si="1"/>
        <v>87144</v>
      </c>
    </row>
    <row r="26" spans="1:8" x14ac:dyDescent="0.3">
      <c r="A26" s="1453" t="s">
        <v>8599</v>
      </c>
      <c r="B26" s="1397" t="s">
        <v>8538</v>
      </c>
      <c r="C26" s="853" t="s">
        <v>5424</v>
      </c>
      <c r="D26" s="2159">
        <v>1</v>
      </c>
      <c r="E26" s="2066">
        <v>90104</v>
      </c>
      <c r="F26" s="1104">
        <f t="shared" si="2"/>
        <v>90104</v>
      </c>
      <c r="G26" s="2176">
        <f t="shared" si="0"/>
        <v>81094</v>
      </c>
      <c r="H26" s="2176">
        <f t="shared" si="1"/>
        <v>99114</v>
      </c>
    </row>
    <row r="27" spans="1:8" x14ac:dyDescent="0.3">
      <c r="A27" s="849"/>
      <c r="B27" s="1856" t="s">
        <v>8171</v>
      </c>
      <c r="C27" s="849"/>
      <c r="D27" s="845"/>
      <c r="E27" s="2144"/>
      <c r="F27" s="1105"/>
      <c r="G27" s="1105"/>
      <c r="H27" s="1105"/>
    </row>
    <row r="28" spans="1:8" x14ac:dyDescent="0.3">
      <c r="A28" s="1463" t="s">
        <v>8579</v>
      </c>
      <c r="B28" s="1395" t="s">
        <v>9820</v>
      </c>
      <c r="C28" s="1460" t="s">
        <v>6858</v>
      </c>
      <c r="D28" s="1434">
        <v>4.92</v>
      </c>
      <c r="E28" s="2066">
        <v>447833</v>
      </c>
      <c r="F28" s="1107">
        <f t="shared" si="2"/>
        <v>2203338</v>
      </c>
      <c r="G28" s="2176">
        <f t="shared" si="0"/>
        <v>403050</v>
      </c>
      <c r="H28" s="2176">
        <f t="shared" si="1"/>
        <v>492616</v>
      </c>
    </row>
    <row r="29" spans="1:8" ht="33" x14ac:dyDescent="0.3">
      <c r="A29" s="1463" t="s">
        <v>8576</v>
      </c>
      <c r="B29" s="1397" t="s">
        <v>9398</v>
      </c>
      <c r="C29" s="1460" t="s">
        <v>6858</v>
      </c>
      <c r="D29" s="1075">
        <v>112.18</v>
      </c>
      <c r="E29" s="2066">
        <v>793562</v>
      </c>
      <c r="F29" s="1107">
        <f t="shared" si="2"/>
        <v>89021785</v>
      </c>
      <c r="G29" s="2176">
        <f t="shared" si="0"/>
        <v>714206</v>
      </c>
      <c r="H29" s="2176">
        <f t="shared" si="1"/>
        <v>872918</v>
      </c>
    </row>
    <row r="30" spans="1:8" ht="33" x14ac:dyDescent="0.3">
      <c r="A30" s="1463" t="s">
        <v>8575</v>
      </c>
      <c r="B30" s="1397" t="s">
        <v>9397</v>
      </c>
      <c r="C30" s="1460" t="s">
        <v>6858</v>
      </c>
      <c r="D30" s="1075">
        <v>33.799999999999997</v>
      </c>
      <c r="E30" s="2066">
        <v>613345</v>
      </c>
      <c r="F30" s="1107">
        <f t="shared" si="2"/>
        <v>20731061</v>
      </c>
      <c r="G30" s="2176">
        <f t="shared" si="0"/>
        <v>552011</v>
      </c>
      <c r="H30" s="2176">
        <f t="shared" si="1"/>
        <v>674680</v>
      </c>
    </row>
    <row r="31" spans="1:8" x14ac:dyDescent="0.3">
      <c r="A31" s="1463" t="s">
        <v>233</v>
      </c>
      <c r="B31" s="1397" t="s">
        <v>5573</v>
      </c>
      <c r="C31" s="1460" t="s">
        <v>5431</v>
      </c>
      <c r="D31" s="1075">
        <v>21897.1</v>
      </c>
      <c r="E31" s="2066">
        <v>3841</v>
      </c>
      <c r="F31" s="1107">
        <f t="shared" si="2"/>
        <v>84106761</v>
      </c>
      <c r="G31" s="2176">
        <f t="shared" si="0"/>
        <v>3457</v>
      </c>
      <c r="H31" s="2176">
        <f t="shared" si="1"/>
        <v>4225</v>
      </c>
    </row>
    <row r="32" spans="1:8" x14ac:dyDescent="0.3">
      <c r="A32" s="1463" t="s">
        <v>187</v>
      </c>
      <c r="B32" s="1394" t="s">
        <v>8275</v>
      </c>
      <c r="C32" s="1460" t="s">
        <v>5734</v>
      </c>
      <c r="D32" s="1075">
        <v>120.85</v>
      </c>
      <c r="E32" s="2066">
        <v>39490</v>
      </c>
      <c r="F32" s="1107">
        <f t="shared" si="2"/>
        <v>4772367</v>
      </c>
      <c r="G32" s="2176">
        <f t="shared" si="0"/>
        <v>35541</v>
      </c>
      <c r="H32" s="2176">
        <f t="shared" si="1"/>
        <v>43439</v>
      </c>
    </row>
    <row r="33" spans="1:8" x14ac:dyDescent="0.3">
      <c r="A33" s="849"/>
      <c r="B33" s="1858" t="s">
        <v>8172</v>
      </c>
      <c r="C33" s="849"/>
      <c r="D33" s="1075"/>
      <c r="E33" s="2146"/>
      <c r="F33" s="1108"/>
      <c r="G33" s="1108"/>
      <c r="H33" s="1108"/>
    </row>
    <row r="34" spans="1:8" ht="33" x14ac:dyDescent="0.3">
      <c r="A34" s="1463" t="s">
        <v>8644</v>
      </c>
      <c r="B34" s="1394" t="s">
        <v>9848</v>
      </c>
      <c r="C34" s="1460" t="s">
        <v>5424</v>
      </c>
      <c r="D34" s="1075">
        <v>1</v>
      </c>
      <c r="E34" s="2066">
        <v>158748</v>
      </c>
      <c r="F34" s="1107">
        <f t="shared" si="2"/>
        <v>158748</v>
      </c>
      <c r="G34" s="2192">
        <f t="shared" si="0"/>
        <v>142873</v>
      </c>
      <c r="H34" s="2176">
        <f t="shared" si="1"/>
        <v>174623</v>
      </c>
    </row>
    <row r="35" spans="1:8" x14ac:dyDescent="0.3">
      <c r="A35" s="1463" t="s">
        <v>8660</v>
      </c>
      <c r="B35" s="1859" t="s">
        <v>8294</v>
      </c>
      <c r="C35" s="853" t="s">
        <v>5424</v>
      </c>
      <c r="D35" s="893">
        <v>2</v>
      </c>
      <c r="E35" s="2066">
        <v>2327467</v>
      </c>
      <c r="F35" s="1107">
        <f t="shared" si="2"/>
        <v>4654934</v>
      </c>
      <c r="G35" s="2176">
        <f t="shared" si="0"/>
        <v>2094720</v>
      </c>
      <c r="H35" s="2176">
        <f t="shared" si="1"/>
        <v>2560214</v>
      </c>
    </row>
    <row r="36" spans="1:8" x14ac:dyDescent="0.3">
      <c r="A36" s="1463" t="s">
        <v>5585</v>
      </c>
      <c r="B36" s="1394" t="s">
        <v>7929</v>
      </c>
      <c r="C36" s="853" t="s">
        <v>5424</v>
      </c>
      <c r="D36" s="1075">
        <v>16</v>
      </c>
      <c r="E36" s="2066">
        <v>29456</v>
      </c>
      <c r="F36" s="1107">
        <f t="shared" si="2"/>
        <v>471296</v>
      </c>
      <c r="G36" s="2176">
        <f t="shared" si="0"/>
        <v>26510</v>
      </c>
      <c r="H36" s="2176">
        <f t="shared" si="1"/>
        <v>32402</v>
      </c>
    </row>
    <row r="37" spans="1:8" x14ac:dyDescent="0.3">
      <c r="A37" s="1463" t="s">
        <v>5583</v>
      </c>
      <c r="B37" s="1394" t="s">
        <v>8992</v>
      </c>
      <c r="C37" s="853" t="s">
        <v>5424</v>
      </c>
      <c r="D37" s="1075">
        <v>3</v>
      </c>
      <c r="E37" s="2066">
        <v>819794</v>
      </c>
      <c r="F37" s="1107">
        <f t="shared" si="2"/>
        <v>2459382</v>
      </c>
      <c r="G37" s="2176">
        <f t="shared" si="0"/>
        <v>737815</v>
      </c>
      <c r="H37" s="2176">
        <f t="shared" si="1"/>
        <v>901773</v>
      </c>
    </row>
    <row r="38" spans="1:8" x14ac:dyDescent="0.3">
      <c r="A38" s="1076"/>
      <c r="B38" s="1394"/>
      <c r="C38" s="2336" t="s">
        <v>8173</v>
      </c>
      <c r="D38" s="2337"/>
      <c r="E38" s="2338"/>
      <c r="F38" s="2147">
        <f>+ROUND(SUM(F7:F37),0)</f>
        <v>258247246</v>
      </c>
      <c r="G38" s="2192"/>
      <c r="H38" s="2192"/>
    </row>
    <row r="39" spans="1:8" x14ac:dyDescent="0.3">
      <c r="A39" s="2372"/>
      <c r="B39" s="2373"/>
      <c r="C39" s="2373"/>
      <c r="D39" s="2373"/>
      <c r="E39" s="2373"/>
      <c r="F39" s="2374"/>
      <c r="G39" s="2192"/>
      <c r="H39" s="2192"/>
    </row>
    <row r="40" spans="1:8" x14ac:dyDescent="0.3">
      <c r="A40" s="2321" t="s">
        <v>8351</v>
      </c>
      <c r="B40" s="2321"/>
      <c r="C40" s="2135" t="s">
        <v>6616</v>
      </c>
      <c r="D40" s="2134" t="s">
        <v>6617</v>
      </c>
      <c r="E40" s="948" t="s">
        <v>6618</v>
      </c>
      <c r="F40" s="949" t="s">
        <v>9831</v>
      </c>
      <c r="G40" s="949" t="s">
        <v>9864</v>
      </c>
      <c r="H40" s="949" t="s">
        <v>9865</v>
      </c>
    </row>
    <row r="41" spans="1:8" x14ac:dyDescent="0.3">
      <c r="A41" s="1463" t="s">
        <v>8864</v>
      </c>
      <c r="B41" s="1859" t="s">
        <v>9401</v>
      </c>
      <c r="C41" s="1076" t="s">
        <v>5734</v>
      </c>
      <c r="D41" s="2159">
        <v>10</v>
      </c>
      <c r="E41" s="2066">
        <v>32573</v>
      </c>
      <c r="F41" s="1107">
        <f t="shared" ref="F41:F56" si="3">ROUND(D41*E41,0)</f>
        <v>325730</v>
      </c>
      <c r="G41" s="2176">
        <f t="shared" si="0"/>
        <v>29316</v>
      </c>
      <c r="H41" s="2176">
        <f t="shared" si="1"/>
        <v>35830</v>
      </c>
    </row>
    <row r="42" spans="1:8" x14ac:dyDescent="0.3">
      <c r="A42" s="1463" t="s">
        <v>8717</v>
      </c>
      <c r="B42" s="1859" t="s">
        <v>9282</v>
      </c>
      <c r="C42" s="1076" t="s">
        <v>5424</v>
      </c>
      <c r="D42" s="2159">
        <v>6</v>
      </c>
      <c r="E42" s="2066">
        <v>1551</v>
      </c>
      <c r="F42" s="1107">
        <f t="shared" si="3"/>
        <v>9306</v>
      </c>
      <c r="G42" s="2176">
        <f t="shared" si="0"/>
        <v>1396</v>
      </c>
      <c r="H42" s="2176">
        <f t="shared" si="1"/>
        <v>1706</v>
      </c>
    </row>
    <row r="43" spans="1:8" x14ac:dyDescent="0.3">
      <c r="A43" s="1463" t="s">
        <v>8863</v>
      </c>
      <c r="B43" s="1859" t="s">
        <v>9283</v>
      </c>
      <c r="C43" s="1076" t="s">
        <v>5424</v>
      </c>
      <c r="D43" s="2159">
        <v>2</v>
      </c>
      <c r="E43" s="2066">
        <v>2158</v>
      </c>
      <c r="F43" s="1107">
        <f t="shared" si="3"/>
        <v>4316</v>
      </c>
      <c r="G43" s="2176">
        <f t="shared" si="0"/>
        <v>1942</v>
      </c>
      <c r="H43" s="2176">
        <f t="shared" si="1"/>
        <v>2374</v>
      </c>
    </row>
    <row r="44" spans="1:8" x14ac:dyDescent="0.3">
      <c r="A44" s="1463" t="s">
        <v>8927</v>
      </c>
      <c r="B44" s="1859" t="s">
        <v>9284</v>
      </c>
      <c r="C44" s="1076" t="s">
        <v>5424</v>
      </c>
      <c r="D44" s="2159">
        <v>2</v>
      </c>
      <c r="E44" s="2066">
        <v>819</v>
      </c>
      <c r="F44" s="1107">
        <f t="shared" si="3"/>
        <v>1638</v>
      </c>
      <c r="G44" s="2176">
        <f t="shared" si="0"/>
        <v>737</v>
      </c>
      <c r="H44" s="2176">
        <f t="shared" si="1"/>
        <v>901</v>
      </c>
    </row>
    <row r="45" spans="1:8" x14ac:dyDescent="0.3">
      <c r="A45" s="1463" t="s">
        <v>9103</v>
      </c>
      <c r="B45" s="1859" t="s">
        <v>9294</v>
      </c>
      <c r="C45" s="1076" t="s">
        <v>5424</v>
      </c>
      <c r="D45" s="2159">
        <v>2</v>
      </c>
      <c r="E45" s="2066">
        <v>47494</v>
      </c>
      <c r="F45" s="1107">
        <f t="shared" si="3"/>
        <v>94988</v>
      </c>
      <c r="G45" s="2176">
        <f t="shared" si="0"/>
        <v>42745</v>
      </c>
      <c r="H45" s="2176">
        <f t="shared" si="1"/>
        <v>52243</v>
      </c>
    </row>
    <row r="46" spans="1:8" x14ac:dyDescent="0.3">
      <c r="A46" s="1463" t="s">
        <v>8830</v>
      </c>
      <c r="B46" s="1859" t="s">
        <v>9295</v>
      </c>
      <c r="C46" s="1076" t="s">
        <v>5424</v>
      </c>
      <c r="D46" s="2159">
        <v>2</v>
      </c>
      <c r="E46" s="2066">
        <v>33324</v>
      </c>
      <c r="F46" s="1107">
        <f t="shared" si="3"/>
        <v>66648</v>
      </c>
      <c r="G46" s="2176">
        <f t="shared" si="0"/>
        <v>29992</v>
      </c>
      <c r="H46" s="2176">
        <f t="shared" si="1"/>
        <v>36656</v>
      </c>
    </row>
    <row r="47" spans="1:8" ht="27" x14ac:dyDescent="0.3">
      <c r="A47" s="1463" t="s">
        <v>8770</v>
      </c>
      <c r="B47" s="2141" t="s">
        <v>9670</v>
      </c>
      <c r="C47" s="1076" t="s">
        <v>5424</v>
      </c>
      <c r="D47" s="2191">
        <v>1</v>
      </c>
      <c r="E47" s="2066">
        <v>404838</v>
      </c>
      <c r="F47" s="1107">
        <f t="shared" si="3"/>
        <v>404838</v>
      </c>
      <c r="G47" s="2176">
        <f t="shared" si="0"/>
        <v>364354</v>
      </c>
      <c r="H47" s="2176">
        <f t="shared" si="1"/>
        <v>445322</v>
      </c>
    </row>
    <row r="48" spans="1:8" x14ac:dyDescent="0.3">
      <c r="A48" s="1463" t="s">
        <v>8973</v>
      </c>
      <c r="B48" s="2142" t="s">
        <v>9150</v>
      </c>
      <c r="C48" s="1076" t="s">
        <v>5424</v>
      </c>
      <c r="D48" s="2190">
        <v>1</v>
      </c>
      <c r="E48" s="2066">
        <v>698179</v>
      </c>
      <c r="F48" s="1107">
        <f t="shared" si="3"/>
        <v>698179</v>
      </c>
      <c r="G48" s="2176">
        <f t="shared" si="0"/>
        <v>628361</v>
      </c>
      <c r="H48" s="2176">
        <f t="shared" si="1"/>
        <v>767997</v>
      </c>
    </row>
    <row r="49" spans="1:8" x14ac:dyDescent="0.3">
      <c r="A49" s="1463" t="s">
        <v>8818</v>
      </c>
      <c r="B49" s="1397" t="s">
        <v>9285</v>
      </c>
      <c r="C49" s="1076" t="s">
        <v>5424</v>
      </c>
      <c r="D49" s="2190">
        <v>1</v>
      </c>
      <c r="E49" s="2066">
        <v>2478216</v>
      </c>
      <c r="F49" s="1107">
        <f t="shared" si="3"/>
        <v>2478216</v>
      </c>
      <c r="G49" s="2176">
        <f t="shared" si="0"/>
        <v>2230394</v>
      </c>
      <c r="H49" s="2176">
        <f t="shared" si="1"/>
        <v>2726038</v>
      </c>
    </row>
    <row r="50" spans="1:8" x14ac:dyDescent="0.3">
      <c r="A50" s="1463" t="s">
        <v>8815</v>
      </c>
      <c r="B50" s="2141" t="s">
        <v>9300</v>
      </c>
      <c r="C50" s="1076" t="s">
        <v>5424</v>
      </c>
      <c r="D50" s="2190">
        <v>3</v>
      </c>
      <c r="E50" s="2066">
        <v>1867012</v>
      </c>
      <c r="F50" s="1107">
        <f t="shared" si="3"/>
        <v>5601036</v>
      </c>
      <c r="G50" s="2176">
        <f t="shared" si="0"/>
        <v>1680311</v>
      </c>
      <c r="H50" s="2176">
        <f t="shared" si="1"/>
        <v>2053713</v>
      </c>
    </row>
    <row r="51" spans="1:8" x14ac:dyDescent="0.3">
      <c r="A51" s="1463" t="s">
        <v>8706</v>
      </c>
      <c r="B51" s="2069" t="s">
        <v>9303</v>
      </c>
      <c r="C51" s="1076" t="s">
        <v>5424</v>
      </c>
      <c r="D51" s="2190">
        <v>2</v>
      </c>
      <c r="E51" s="2066">
        <v>2926329</v>
      </c>
      <c r="F51" s="1107">
        <f t="shared" si="3"/>
        <v>5852658</v>
      </c>
      <c r="G51" s="2176">
        <f t="shared" si="0"/>
        <v>2633696</v>
      </c>
      <c r="H51" s="2176">
        <f t="shared" si="1"/>
        <v>3218962</v>
      </c>
    </row>
    <row r="52" spans="1:8" x14ac:dyDescent="0.3">
      <c r="A52" s="1463" t="s">
        <v>8837</v>
      </c>
      <c r="B52" s="2141" t="s">
        <v>9402</v>
      </c>
      <c r="C52" s="1076" t="s">
        <v>5424</v>
      </c>
      <c r="D52" s="2190">
        <v>1</v>
      </c>
      <c r="E52" s="2066">
        <v>3358262</v>
      </c>
      <c r="F52" s="1107">
        <f t="shared" si="3"/>
        <v>3358262</v>
      </c>
      <c r="G52" s="2176">
        <f t="shared" si="0"/>
        <v>3022436</v>
      </c>
      <c r="H52" s="2176">
        <f t="shared" si="1"/>
        <v>3694088</v>
      </c>
    </row>
    <row r="53" spans="1:8" x14ac:dyDescent="0.3">
      <c r="A53" s="1463" t="s">
        <v>8923</v>
      </c>
      <c r="B53" s="1632" t="s">
        <v>9403</v>
      </c>
      <c r="C53" s="1076" t="s">
        <v>5424</v>
      </c>
      <c r="D53" s="2190">
        <v>1</v>
      </c>
      <c r="E53" s="2066">
        <v>2622245</v>
      </c>
      <c r="F53" s="1107">
        <f t="shared" si="3"/>
        <v>2622245</v>
      </c>
      <c r="G53" s="2176">
        <f t="shared" si="0"/>
        <v>2360021</v>
      </c>
      <c r="H53" s="2176">
        <f t="shared" si="1"/>
        <v>2884470</v>
      </c>
    </row>
    <row r="54" spans="1:8" ht="33" x14ac:dyDescent="0.3">
      <c r="A54" s="1463" t="s">
        <v>8979</v>
      </c>
      <c r="B54" s="1394" t="s">
        <v>9292</v>
      </c>
      <c r="C54" s="1076" t="s">
        <v>5424</v>
      </c>
      <c r="D54" s="2190">
        <v>1</v>
      </c>
      <c r="E54" s="2066">
        <v>4926194</v>
      </c>
      <c r="F54" s="1107">
        <f t="shared" si="3"/>
        <v>4926194</v>
      </c>
      <c r="G54" s="2176">
        <f t="shared" si="0"/>
        <v>4433575</v>
      </c>
      <c r="H54" s="2176">
        <f t="shared" si="1"/>
        <v>5418813</v>
      </c>
    </row>
    <row r="55" spans="1:8" x14ac:dyDescent="0.3">
      <c r="A55" s="1463" t="s">
        <v>8817</v>
      </c>
      <c r="B55" s="1394" t="s">
        <v>9287</v>
      </c>
      <c r="C55" s="1076" t="s">
        <v>5424</v>
      </c>
      <c r="D55" s="2190">
        <v>1</v>
      </c>
      <c r="E55" s="2066">
        <v>6308186</v>
      </c>
      <c r="F55" s="1107">
        <f t="shared" si="3"/>
        <v>6308186</v>
      </c>
      <c r="G55" s="2176">
        <f t="shared" si="0"/>
        <v>5677367</v>
      </c>
      <c r="H55" s="2176">
        <f t="shared" si="1"/>
        <v>6939005</v>
      </c>
    </row>
    <row r="56" spans="1:8" ht="27" x14ac:dyDescent="0.3">
      <c r="A56" s="1463" t="s">
        <v>8782</v>
      </c>
      <c r="B56" s="2141" t="s">
        <v>9680</v>
      </c>
      <c r="C56" s="1076" t="s">
        <v>5424</v>
      </c>
      <c r="D56" s="2190">
        <v>1</v>
      </c>
      <c r="E56" s="2066">
        <v>640521</v>
      </c>
      <c r="F56" s="1107">
        <f t="shared" si="3"/>
        <v>640521</v>
      </c>
      <c r="G56" s="2176">
        <f t="shared" si="0"/>
        <v>576469</v>
      </c>
      <c r="H56" s="2176">
        <f t="shared" si="1"/>
        <v>704573</v>
      </c>
    </row>
    <row r="57" spans="1:8" x14ac:dyDescent="0.3">
      <c r="A57" s="1076"/>
      <c r="B57" s="1859"/>
      <c r="C57" s="2347" t="s">
        <v>8069</v>
      </c>
      <c r="D57" s="2348"/>
      <c r="E57" s="2349"/>
      <c r="F57" s="2148">
        <f>+ROUND(SUM(F41:F56),0)</f>
        <v>33392961</v>
      </c>
    </row>
  </sheetData>
  <sheetProtection algorithmName="SHA-512" hashValue="q8VbrwGzBr/5wuolSbFRPN6p94lMzwur5a5TZptc+DbK5rKCINvg2Yd8Ee94LReNhE4vCRK6uvInHt3BFVMEyw==" saltValue="6mC8pvfJRdj3TNnT/q7/Gg==" spinCount="100000" sheet="1" objects="1" scenarios="1" selectLockedCells="1" selectUnlockedCells="1"/>
  <mergeCells count="7">
    <mergeCell ref="A1:H3"/>
    <mergeCell ref="A4:H4"/>
    <mergeCell ref="C38:E38"/>
    <mergeCell ref="C57:E57"/>
    <mergeCell ref="A5:B5"/>
    <mergeCell ref="A40:B40"/>
    <mergeCell ref="A39:F39"/>
  </mergeCells>
  <pageMargins left="0.70866141732283472" right="0.70866141732283472" top="0.74803149606299213" bottom="0.74803149606299213" header="0.31496062992125984" footer="0.31496062992125984"/>
  <pageSetup scale="50" fitToHeight="0" orientation="portrait" r:id="rId1"/>
  <rowBreaks count="1" manualBreakCount="1">
    <brk id="39" max="7"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H57"/>
  <sheetViews>
    <sheetView view="pageBreakPreview" topLeftCell="A37" zoomScale="85" zoomScaleNormal="100" zoomScaleSheetLayoutView="85" workbookViewId="0">
      <selection activeCell="G43" sqref="G43"/>
    </sheetView>
  </sheetViews>
  <sheetFormatPr baseColWidth="10" defaultRowHeight="16.5" x14ac:dyDescent="0.3"/>
  <cols>
    <col min="1" max="1" width="9.5703125" style="1086" customWidth="1"/>
    <col min="2" max="2" width="80.85546875" style="1098" customWidth="1"/>
    <col min="3" max="3" width="8.28515625" style="1086" customWidth="1"/>
    <col min="4" max="4" width="10.28515625" style="1086" customWidth="1"/>
    <col min="5" max="5" width="14.85546875" style="1086" bestFit="1" customWidth="1"/>
    <col min="6" max="6" width="17.85546875" style="1086" customWidth="1"/>
    <col min="7" max="7" width="18.42578125" style="844" customWidth="1"/>
    <col min="8" max="8" width="22" style="844" customWidth="1"/>
    <col min="9" max="16384" width="11.42578125" style="844"/>
  </cols>
  <sheetData>
    <row r="1" spans="1:8" ht="16.5" customHeight="1" x14ac:dyDescent="0.3">
      <c r="A1" s="2326" t="s">
        <v>9817</v>
      </c>
      <c r="B1" s="2326"/>
      <c r="C1" s="2326"/>
      <c r="D1" s="2326"/>
      <c r="E1" s="2326"/>
      <c r="F1" s="2326"/>
      <c r="G1" s="2326"/>
      <c r="H1" s="2326"/>
    </row>
    <row r="2" spans="1:8" ht="15.75" customHeight="1" x14ac:dyDescent="0.3">
      <c r="A2" s="2326"/>
      <c r="B2" s="2326"/>
      <c r="C2" s="2326"/>
      <c r="D2" s="2326"/>
      <c r="E2" s="2326"/>
      <c r="F2" s="2326"/>
      <c r="G2" s="2326"/>
      <c r="H2" s="2326"/>
    </row>
    <row r="3" spans="1:8" x14ac:dyDescent="0.3">
      <c r="A3" s="2326"/>
      <c r="B3" s="2326"/>
      <c r="C3" s="2326"/>
      <c r="D3" s="2326"/>
      <c r="E3" s="2326"/>
      <c r="F3" s="2326"/>
      <c r="G3" s="2326"/>
      <c r="H3" s="2326"/>
    </row>
    <row r="4" spans="1:8" ht="15.75" customHeight="1" x14ac:dyDescent="0.3">
      <c r="A4" s="2343" t="s">
        <v>8641</v>
      </c>
      <c r="B4" s="2343"/>
      <c r="C4" s="2343"/>
      <c r="D4" s="2343"/>
      <c r="E4" s="2343"/>
      <c r="F4" s="2343"/>
      <c r="G4" s="2343"/>
      <c r="H4" s="2343"/>
    </row>
    <row r="5" spans="1:8" x14ac:dyDescent="0.3">
      <c r="A5" s="2321" t="s">
        <v>2</v>
      </c>
      <c r="B5" s="2321"/>
      <c r="C5" s="2135" t="s">
        <v>6616</v>
      </c>
      <c r="D5" s="2134" t="s">
        <v>6617</v>
      </c>
      <c r="E5" s="948" t="s">
        <v>6618</v>
      </c>
      <c r="F5" s="949" t="s">
        <v>9831</v>
      </c>
      <c r="G5" s="949" t="s">
        <v>9864</v>
      </c>
      <c r="H5" s="949" t="s">
        <v>9865</v>
      </c>
    </row>
    <row r="6" spans="1:8" x14ac:dyDescent="0.3">
      <c r="A6" s="1092"/>
      <c r="B6" s="1087" t="s">
        <v>8167</v>
      </c>
      <c r="C6" s="849"/>
      <c r="D6" s="1093"/>
      <c r="E6" s="1094"/>
      <c r="F6" s="1095"/>
      <c r="G6" s="1095"/>
      <c r="H6" s="1095"/>
    </row>
    <row r="7" spans="1:8" x14ac:dyDescent="0.3">
      <c r="A7" s="1453">
        <v>1.2</v>
      </c>
      <c r="B7" s="844" t="s">
        <v>7192</v>
      </c>
      <c r="C7" s="1460" t="s">
        <v>5556</v>
      </c>
      <c r="D7" s="1513">
        <v>176</v>
      </c>
      <c r="E7" s="2066">
        <v>2899</v>
      </c>
      <c r="F7" s="1387">
        <f>ROUND(D7*E7,0)</f>
        <v>510224</v>
      </c>
      <c r="G7" s="2176">
        <f>+ROUND(E7*0.9,0)</f>
        <v>2609</v>
      </c>
      <c r="H7" s="2176">
        <f>+ROUND(E7*1.1,0)</f>
        <v>3189</v>
      </c>
    </row>
    <row r="8" spans="1:8" x14ac:dyDescent="0.3">
      <c r="A8" s="849"/>
      <c r="B8" s="1087" t="s">
        <v>8168</v>
      </c>
      <c r="C8" s="849"/>
      <c r="D8" s="1093"/>
      <c r="E8" s="2150"/>
      <c r="F8" s="849"/>
      <c r="G8" s="849"/>
      <c r="H8" s="849"/>
    </row>
    <row r="9" spans="1:8" x14ac:dyDescent="0.3">
      <c r="A9" s="1453">
        <v>1.3</v>
      </c>
      <c r="B9" s="1088" t="s">
        <v>8329</v>
      </c>
      <c r="C9" s="1460" t="s">
        <v>5734</v>
      </c>
      <c r="D9" s="1513">
        <v>58</v>
      </c>
      <c r="E9" s="2066">
        <v>2227</v>
      </c>
      <c r="F9" s="1387">
        <f>ROUND(D9*E9,0)</f>
        <v>129166</v>
      </c>
      <c r="G9" s="2176">
        <f t="shared" ref="G9:G43" si="0">+ROUND(E9*0.9,0)</f>
        <v>2004</v>
      </c>
      <c r="H9" s="2176">
        <f t="shared" ref="H9:H43" si="1">+ROUND(E9*1.1,0)</f>
        <v>2450</v>
      </c>
    </row>
    <row r="10" spans="1:8" x14ac:dyDescent="0.3">
      <c r="A10" s="849"/>
      <c r="B10" s="1087" t="s">
        <v>6626</v>
      </c>
      <c r="C10" s="834"/>
      <c r="D10" s="2149"/>
      <c r="E10" s="2151"/>
      <c r="F10" s="834"/>
      <c r="G10" s="834"/>
      <c r="H10" s="834"/>
    </row>
    <row r="11" spans="1:8" x14ac:dyDescent="0.3">
      <c r="A11" s="1453" t="s">
        <v>89</v>
      </c>
      <c r="B11" s="844" t="s">
        <v>9005</v>
      </c>
      <c r="C11" s="1460" t="s">
        <v>6858</v>
      </c>
      <c r="D11" s="1513">
        <v>316.8</v>
      </c>
      <c r="E11" s="2066">
        <v>53003</v>
      </c>
      <c r="F11" s="1387">
        <f>ROUND(D11*E11,0)</f>
        <v>16791350</v>
      </c>
      <c r="G11" s="2176">
        <f t="shared" si="0"/>
        <v>47703</v>
      </c>
      <c r="H11" s="2176">
        <f t="shared" si="1"/>
        <v>58303</v>
      </c>
    </row>
    <row r="12" spans="1:8" x14ac:dyDescent="0.3">
      <c r="A12" s="849"/>
      <c r="B12" s="1087" t="s">
        <v>6642</v>
      </c>
      <c r="C12" s="834"/>
      <c r="D12" s="2149"/>
      <c r="E12" s="2151"/>
      <c r="F12" s="834"/>
      <c r="G12" s="834"/>
      <c r="H12" s="834"/>
    </row>
    <row r="13" spans="1:8" x14ac:dyDescent="0.3">
      <c r="A13" s="1453" t="s">
        <v>97</v>
      </c>
      <c r="B13" s="1074" t="s">
        <v>9819</v>
      </c>
      <c r="C13" s="1460" t="s">
        <v>6858</v>
      </c>
      <c r="D13" s="1513">
        <v>35.200000000000003</v>
      </c>
      <c r="E13" s="2066">
        <v>52233</v>
      </c>
      <c r="F13" s="1387">
        <f>ROUND(D13*E13,0)</f>
        <v>1838602</v>
      </c>
      <c r="G13" s="2176">
        <f t="shared" si="0"/>
        <v>47010</v>
      </c>
      <c r="H13" s="2176">
        <f t="shared" si="1"/>
        <v>57456</v>
      </c>
    </row>
    <row r="14" spans="1:8" x14ac:dyDescent="0.3">
      <c r="A14" s="849"/>
      <c r="B14" s="1087" t="s">
        <v>8170</v>
      </c>
      <c r="C14" s="849"/>
      <c r="D14" s="1093"/>
      <c r="E14" s="2150"/>
      <c r="F14" s="849"/>
      <c r="G14" s="849"/>
      <c r="H14" s="849"/>
    </row>
    <row r="15" spans="1:8" x14ac:dyDescent="0.3">
      <c r="A15" s="1453" t="s">
        <v>5976</v>
      </c>
      <c r="B15" s="844" t="s">
        <v>7982</v>
      </c>
      <c r="C15" s="1460" t="s">
        <v>6858</v>
      </c>
      <c r="D15" s="1513">
        <v>411.84000000000003</v>
      </c>
      <c r="E15" s="2066">
        <v>34912</v>
      </c>
      <c r="F15" s="1387">
        <f>ROUND(D15*E15,0)</f>
        <v>14378158</v>
      </c>
      <c r="G15" s="2176">
        <f t="shared" si="0"/>
        <v>31421</v>
      </c>
      <c r="H15" s="2176">
        <f t="shared" si="1"/>
        <v>38403</v>
      </c>
    </row>
    <row r="16" spans="1:8" x14ac:dyDescent="0.3">
      <c r="A16" s="849"/>
      <c r="B16" s="1087" t="s">
        <v>8171</v>
      </c>
      <c r="C16" s="849"/>
      <c r="D16" s="1093"/>
      <c r="E16" s="2150"/>
      <c r="F16" s="849"/>
      <c r="G16" s="849"/>
      <c r="H16" s="849"/>
    </row>
    <row r="17" spans="1:8" x14ac:dyDescent="0.3">
      <c r="A17" s="1453" t="s">
        <v>8579</v>
      </c>
      <c r="B17" s="1088" t="s">
        <v>8330</v>
      </c>
      <c r="C17" s="1460" t="s">
        <v>6858</v>
      </c>
      <c r="D17" s="1513">
        <v>28.4</v>
      </c>
      <c r="E17" s="2066">
        <v>447833</v>
      </c>
      <c r="F17" s="1387">
        <f t="shared" ref="F17:F22" si="2">ROUND(D17*E17,0)</f>
        <v>12718457</v>
      </c>
      <c r="G17" s="2176">
        <f t="shared" si="0"/>
        <v>403050</v>
      </c>
      <c r="H17" s="2176">
        <f t="shared" si="1"/>
        <v>492616</v>
      </c>
    </row>
    <row r="18" spans="1:8" ht="33" x14ac:dyDescent="0.3">
      <c r="A18" s="1453" t="s">
        <v>8580</v>
      </c>
      <c r="B18" s="1088" t="s">
        <v>8332</v>
      </c>
      <c r="C18" s="1460" t="s">
        <v>6858</v>
      </c>
      <c r="D18" s="1513">
        <v>8.5</v>
      </c>
      <c r="E18" s="2066">
        <v>608428</v>
      </c>
      <c r="F18" s="1387">
        <f t="shared" si="2"/>
        <v>5171638</v>
      </c>
      <c r="G18" s="2176">
        <f t="shared" si="0"/>
        <v>547585</v>
      </c>
      <c r="H18" s="2176">
        <f t="shared" si="1"/>
        <v>669271</v>
      </c>
    </row>
    <row r="19" spans="1:8" ht="33" x14ac:dyDescent="0.3">
      <c r="A19" s="1453" t="s">
        <v>8581</v>
      </c>
      <c r="B19" s="1088" t="s">
        <v>8331</v>
      </c>
      <c r="C19" s="1460" t="s">
        <v>6858</v>
      </c>
      <c r="D19" s="1513">
        <v>11.41</v>
      </c>
      <c r="E19" s="2066">
        <v>517277</v>
      </c>
      <c r="F19" s="1387">
        <f t="shared" si="2"/>
        <v>5902131</v>
      </c>
      <c r="G19" s="2176">
        <f t="shared" si="0"/>
        <v>465549</v>
      </c>
      <c r="H19" s="2176">
        <f t="shared" si="1"/>
        <v>569005</v>
      </c>
    </row>
    <row r="20" spans="1:8" ht="33" x14ac:dyDescent="0.3">
      <c r="A20" s="1453" t="s">
        <v>8582</v>
      </c>
      <c r="B20" s="1088" t="s">
        <v>8333</v>
      </c>
      <c r="C20" s="1460" t="s">
        <v>6858</v>
      </c>
      <c r="D20" s="1513">
        <v>8.5</v>
      </c>
      <c r="E20" s="2066">
        <v>799603</v>
      </c>
      <c r="F20" s="1387">
        <f t="shared" si="2"/>
        <v>6796626</v>
      </c>
      <c r="G20" s="2176">
        <f t="shared" si="0"/>
        <v>719643</v>
      </c>
      <c r="H20" s="2176">
        <f t="shared" si="1"/>
        <v>879563</v>
      </c>
    </row>
    <row r="21" spans="1:8" x14ac:dyDescent="0.3">
      <c r="A21" s="1453" t="s">
        <v>233</v>
      </c>
      <c r="B21" s="844" t="s">
        <v>5573</v>
      </c>
      <c r="C21" s="1460" t="s">
        <v>5431</v>
      </c>
      <c r="D21" s="1513">
        <v>3121</v>
      </c>
      <c r="E21" s="2066">
        <v>3841</v>
      </c>
      <c r="F21" s="1387">
        <f t="shared" si="2"/>
        <v>11987761</v>
      </c>
      <c r="G21" s="2176">
        <f t="shared" si="0"/>
        <v>3457</v>
      </c>
      <c r="H21" s="2176">
        <f t="shared" si="1"/>
        <v>4225</v>
      </c>
    </row>
    <row r="22" spans="1:8" x14ac:dyDescent="0.3">
      <c r="A22" s="1453" t="s">
        <v>234</v>
      </c>
      <c r="B22" s="1449" t="s">
        <v>9716</v>
      </c>
      <c r="C22" s="1460" t="s">
        <v>5431</v>
      </c>
      <c r="D22" s="1513">
        <v>1100</v>
      </c>
      <c r="E22" s="2066">
        <v>9013</v>
      </c>
      <c r="F22" s="1387">
        <f t="shared" si="2"/>
        <v>9914300</v>
      </c>
      <c r="G22" s="2176">
        <f t="shared" si="0"/>
        <v>8112</v>
      </c>
      <c r="H22" s="2176">
        <f t="shared" si="1"/>
        <v>9914</v>
      </c>
    </row>
    <row r="23" spans="1:8" x14ac:dyDescent="0.3">
      <c r="A23" s="849"/>
      <c r="B23" s="1087" t="s">
        <v>8172</v>
      </c>
      <c r="C23" s="849"/>
      <c r="D23" s="1093"/>
      <c r="E23" s="2150"/>
      <c r="F23" s="849"/>
      <c r="G23" s="849"/>
      <c r="H23" s="849"/>
    </row>
    <row r="24" spans="1:8" x14ac:dyDescent="0.3">
      <c r="A24" s="1463" t="s">
        <v>778</v>
      </c>
      <c r="B24" s="1088" t="s">
        <v>5597</v>
      </c>
      <c r="C24" s="1460" t="s">
        <v>7957</v>
      </c>
      <c r="D24" s="1513">
        <v>88.34</v>
      </c>
      <c r="E24" s="2066">
        <v>32414</v>
      </c>
      <c r="F24" s="1387">
        <f>ROUND(D24*E24,0)</f>
        <v>2863453</v>
      </c>
      <c r="G24" s="2176">
        <f t="shared" si="0"/>
        <v>29173</v>
      </c>
      <c r="H24" s="2176">
        <f t="shared" si="1"/>
        <v>35655</v>
      </c>
    </row>
    <row r="25" spans="1:8" ht="33" x14ac:dyDescent="0.3">
      <c r="A25" s="1463" t="s">
        <v>8642</v>
      </c>
      <c r="B25" s="1088" t="s">
        <v>9400</v>
      </c>
      <c r="C25" s="1460" t="s">
        <v>7957</v>
      </c>
      <c r="D25" s="1513">
        <v>114</v>
      </c>
      <c r="E25" s="2066">
        <v>57339</v>
      </c>
      <c r="F25" s="1387">
        <f t="shared" ref="F25:F43" si="3">ROUND(D25*E25,0)</f>
        <v>6536646</v>
      </c>
      <c r="G25" s="2176">
        <f t="shared" si="0"/>
        <v>51605</v>
      </c>
      <c r="H25" s="2176">
        <f t="shared" si="1"/>
        <v>63073</v>
      </c>
    </row>
    <row r="26" spans="1:8" x14ac:dyDescent="0.3">
      <c r="A26" s="1463" t="s">
        <v>8643</v>
      </c>
      <c r="B26" s="1088" t="s">
        <v>8334</v>
      </c>
      <c r="C26" s="1460" t="s">
        <v>7957</v>
      </c>
      <c r="D26" s="1513">
        <v>18.37</v>
      </c>
      <c r="E26" s="2066">
        <v>52508</v>
      </c>
      <c r="F26" s="1387">
        <f t="shared" si="3"/>
        <v>964572</v>
      </c>
      <c r="G26" s="2176">
        <f t="shared" si="0"/>
        <v>47257</v>
      </c>
      <c r="H26" s="2176">
        <f t="shared" si="1"/>
        <v>57759</v>
      </c>
    </row>
    <row r="27" spans="1:8" ht="33" x14ac:dyDescent="0.3">
      <c r="A27" s="1463" t="s">
        <v>8645</v>
      </c>
      <c r="B27" s="1088" t="s">
        <v>5872</v>
      </c>
      <c r="C27" s="1460" t="s">
        <v>5424</v>
      </c>
      <c r="D27" s="1513">
        <v>2</v>
      </c>
      <c r="E27" s="2066">
        <v>311114</v>
      </c>
      <c r="F27" s="1387">
        <f t="shared" si="3"/>
        <v>622228</v>
      </c>
      <c r="G27" s="2176">
        <f t="shared" si="0"/>
        <v>280003</v>
      </c>
      <c r="H27" s="2176">
        <f t="shared" si="1"/>
        <v>342225</v>
      </c>
    </row>
    <row r="28" spans="1:8" x14ac:dyDescent="0.3">
      <c r="A28" s="1463" t="s">
        <v>8659</v>
      </c>
      <c r="B28" s="1088" t="s">
        <v>5871</v>
      </c>
      <c r="C28" s="1460" t="s">
        <v>7957</v>
      </c>
      <c r="D28" s="1513">
        <v>6</v>
      </c>
      <c r="E28" s="2066">
        <v>186690</v>
      </c>
      <c r="F28" s="1387">
        <f t="shared" si="3"/>
        <v>1120140</v>
      </c>
      <c r="G28" s="2176">
        <f t="shared" si="0"/>
        <v>168021</v>
      </c>
      <c r="H28" s="2176">
        <f t="shared" si="1"/>
        <v>205359</v>
      </c>
    </row>
    <row r="29" spans="1:8" ht="33" x14ac:dyDescent="0.3">
      <c r="A29" s="1463" t="s">
        <v>8661</v>
      </c>
      <c r="B29" s="1088" t="s">
        <v>8297</v>
      </c>
      <c r="C29" s="1460" t="s">
        <v>5424</v>
      </c>
      <c r="D29" s="1513">
        <v>1</v>
      </c>
      <c r="E29" s="2066">
        <v>17292389</v>
      </c>
      <c r="F29" s="1387">
        <f t="shared" si="3"/>
        <v>17292389</v>
      </c>
      <c r="G29" s="2176">
        <f t="shared" si="0"/>
        <v>15563150</v>
      </c>
      <c r="H29" s="2176">
        <f t="shared" si="1"/>
        <v>19021628</v>
      </c>
    </row>
    <row r="30" spans="1:8" x14ac:dyDescent="0.3">
      <c r="A30" s="1463" t="s">
        <v>8662</v>
      </c>
      <c r="B30" s="1088" t="s">
        <v>8301</v>
      </c>
      <c r="C30" s="1460" t="s">
        <v>5424</v>
      </c>
      <c r="D30" s="1513">
        <v>1</v>
      </c>
      <c r="E30" s="2066">
        <v>1437051</v>
      </c>
      <c r="F30" s="1387">
        <f t="shared" si="3"/>
        <v>1437051</v>
      </c>
      <c r="G30" s="2176">
        <f t="shared" si="0"/>
        <v>1293346</v>
      </c>
      <c r="H30" s="2176">
        <f t="shared" si="1"/>
        <v>1580756</v>
      </c>
    </row>
    <row r="31" spans="1:8" ht="33" x14ac:dyDescent="0.3">
      <c r="A31" s="1463" t="s">
        <v>8663</v>
      </c>
      <c r="B31" s="1088" t="s">
        <v>8302</v>
      </c>
      <c r="C31" s="1460" t="s">
        <v>5424</v>
      </c>
      <c r="D31" s="1513">
        <v>2</v>
      </c>
      <c r="E31" s="2066">
        <v>3535836</v>
      </c>
      <c r="F31" s="1387">
        <f t="shared" si="3"/>
        <v>7071672</v>
      </c>
      <c r="G31" s="2176">
        <f t="shared" si="0"/>
        <v>3182252</v>
      </c>
      <c r="H31" s="2176">
        <f t="shared" si="1"/>
        <v>3889420</v>
      </c>
    </row>
    <row r="32" spans="1:8" ht="49.5" x14ac:dyDescent="0.3">
      <c r="A32" s="1463" t="s">
        <v>8664</v>
      </c>
      <c r="B32" s="1088" t="s">
        <v>8303</v>
      </c>
      <c r="C32" s="1460" t="s">
        <v>5424</v>
      </c>
      <c r="D32" s="1513">
        <v>4</v>
      </c>
      <c r="E32" s="2066">
        <v>29298848</v>
      </c>
      <c r="F32" s="1387">
        <f t="shared" si="3"/>
        <v>117195392</v>
      </c>
      <c r="G32" s="2176">
        <f t="shared" si="0"/>
        <v>26368963</v>
      </c>
      <c r="H32" s="2176">
        <f t="shared" si="1"/>
        <v>32228733</v>
      </c>
    </row>
    <row r="33" spans="1:8" x14ac:dyDescent="0.3">
      <c r="A33" s="1463" t="s">
        <v>8665</v>
      </c>
      <c r="B33" s="1088" t="s">
        <v>8304</v>
      </c>
      <c r="C33" s="1460" t="s">
        <v>5424</v>
      </c>
      <c r="D33" s="1513">
        <v>4</v>
      </c>
      <c r="E33" s="2066">
        <v>7150288</v>
      </c>
      <c r="F33" s="1387">
        <f t="shared" si="3"/>
        <v>28601152</v>
      </c>
      <c r="G33" s="2176">
        <f t="shared" si="0"/>
        <v>6435259</v>
      </c>
      <c r="H33" s="2176">
        <f t="shared" si="1"/>
        <v>7865317</v>
      </c>
    </row>
    <row r="34" spans="1:8" ht="49.5" x14ac:dyDescent="0.3">
      <c r="A34" s="1463" t="s">
        <v>8666</v>
      </c>
      <c r="B34" s="1088" t="s">
        <v>8305</v>
      </c>
      <c r="C34" s="1460" t="s">
        <v>5424</v>
      </c>
      <c r="D34" s="1513">
        <v>2</v>
      </c>
      <c r="E34" s="2066">
        <v>39747855</v>
      </c>
      <c r="F34" s="1387">
        <f t="shared" si="3"/>
        <v>79495710</v>
      </c>
      <c r="G34" s="2176">
        <f t="shared" si="0"/>
        <v>35773070</v>
      </c>
      <c r="H34" s="2176">
        <f t="shared" si="1"/>
        <v>43722641</v>
      </c>
    </row>
    <row r="35" spans="1:8" ht="33" x14ac:dyDescent="0.3">
      <c r="A35" s="1463" t="s">
        <v>8667</v>
      </c>
      <c r="B35" s="1088" t="s">
        <v>8306</v>
      </c>
      <c r="C35" s="1460" t="s">
        <v>5424</v>
      </c>
      <c r="D35" s="1513">
        <v>4</v>
      </c>
      <c r="E35" s="2066">
        <v>1308660</v>
      </c>
      <c r="F35" s="1387">
        <f t="shared" si="3"/>
        <v>5234640</v>
      </c>
      <c r="G35" s="2176">
        <f t="shared" si="0"/>
        <v>1177794</v>
      </c>
      <c r="H35" s="2176">
        <f t="shared" si="1"/>
        <v>1439526</v>
      </c>
    </row>
    <row r="36" spans="1:8" ht="28.5" customHeight="1" x14ac:dyDescent="0.3">
      <c r="A36" s="1463" t="s">
        <v>8668</v>
      </c>
      <c r="B36" s="1088" t="s">
        <v>8174</v>
      </c>
      <c r="C36" s="1460" t="s">
        <v>5424</v>
      </c>
      <c r="D36" s="1513">
        <v>1</v>
      </c>
      <c r="E36" s="2066">
        <v>22775720</v>
      </c>
      <c r="F36" s="1387">
        <f t="shared" si="3"/>
        <v>22775720</v>
      </c>
      <c r="G36" s="2176">
        <f t="shared" si="0"/>
        <v>20498148</v>
      </c>
      <c r="H36" s="2176">
        <f t="shared" si="1"/>
        <v>25053292</v>
      </c>
    </row>
    <row r="37" spans="1:8" ht="49.5" x14ac:dyDescent="0.3">
      <c r="A37" s="1463" t="s">
        <v>8669</v>
      </c>
      <c r="B37" s="1088" t="s">
        <v>8307</v>
      </c>
      <c r="C37" s="1460" t="s">
        <v>5424</v>
      </c>
      <c r="D37" s="1513">
        <v>1</v>
      </c>
      <c r="E37" s="2066">
        <v>26621533</v>
      </c>
      <c r="F37" s="1387">
        <f t="shared" si="3"/>
        <v>26621533</v>
      </c>
      <c r="G37" s="2176">
        <f t="shared" si="0"/>
        <v>23959380</v>
      </c>
      <c r="H37" s="2176">
        <f t="shared" si="1"/>
        <v>29283686</v>
      </c>
    </row>
    <row r="38" spans="1:8" x14ac:dyDescent="0.3">
      <c r="A38" s="1463" t="s">
        <v>8670</v>
      </c>
      <c r="B38" s="1088" t="s">
        <v>8308</v>
      </c>
      <c r="C38" s="1460" t="s">
        <v>5424</v>
      </c>
      <c r="D38" s="1513">
        <v>1</v>
      </c>
      <c r="E38" s="2066">
        <v>27565767</v>
      </c>
      <c r="F38" s="1387">
        <f t="shared" si="3"/>
        <v>27565767</v>
      </c>
      <c r="G38" s="2176">
        <f t="shared" si="0"/>
        <v>24809190</v>
      </c>
      <c r="H38" s="2176">
        <f t="shared" si="1"/>
        <v>30322344</v>
      </c>
    </row>
    <row r="39" spans="1:8" ht="33" x14ac:dyDescent="0.3">
      <c r="A39" s="1463" t="s">
        <v>8671</v>
      </c>
      <c r="B39" s="1088" t="s">
        <v>8309</v>
      </c>
      <c r="C39" s="1460" t="s">
        <v>5424</v>
      </c>
      <c r="D39" s="1513">
        <v>1</v>
      </c>
      <c r="E39" s="2066">
        <v>12400374</v>
      </c>
      <c r="F39" s="1387">
        <f t="shared" si="3"/>
        <v>12400374</v>
      </c>
      <c r="G39" s="2176">
        <f t="shared" si="0"/>
        <v>11160337</v>
      </c>
      <c r="H39" s="2176">
        <f t="shared" si="1"/>
        <v>13640411</v>
      </c>
    </row>
    <row r="40" spans="1:8" ht="33" x14ac:dyDescent="0.3">
      <c r="A40" s="1463" t="s">
        <v>8672</v>
      </c>
      <c r="B40" s="1088" t="s">
        <v>8310</v>
      </c>
      <c r="C40" s="1460" t="s">
        <v>5424</v>
      </c>
      <c r="D40" s="1513">
        <v>2</v>
      </c>
      <c r="E40" s="2066">
        <v>987105</v>
      </c>
      <c r="F40" s="1387">
        <f t="shared" si="3"/>
        <v>1974210</v>
      </c>
      <c r="G40" s="2176">
        <f t="shared" si="0"/>
        <v>888395</v>
      </c>
      <c r="H40" s="2176">
        <f t="shared" si="1"/>
        <v>1085816</v>
      </c>
    </row>
    <row r="41" spans="1:8" ht="33" x14ac:dyDescent="0.3">
      <c r="A41" s="1463" t="s">
        <v>8673</v>
      </c>
      <c r="B41" s="1088" t="s">
        <v>8311</v>
      </c>
      <c r="C41" s="1460" t="s">
        <v>5424</v>
      </c>
      <c r="D41" s="1513">
        <v>1</v>
      </c>
      <c r="E41" s="2066">
        <v>13880099</v>
      </c>
      <c r="F41" s="1387">
        <f t="shared" si="3"/>
        <v>13880099</v>
      </c>
      <c r="G41" s="2176">
        <f t="shared" si="0"/>
        <v>12492089</v>
      </c>
      <c r="H41" s="2176">
        <f t="shared" si="1"/>
        <v>15268109</v>
      </c>
    </row>
    <row r="42" spans="1:8" ht="33" x14ac:dyDescent="0.3">
      <c r="A42" s="1463" t="s">
        <v>8674</v>
      </c>
      <c r="B42" s="1088" t="s">
        <v>8312</v>
      </c>
      <c r="C42" s="1460" t="s">
        <v>5424</v>
      </c>
      <c r="D42" s="1513">
        <v>2</v>
      </c>
      <c r="E42" s="2066">
        <v>8921430</v>
      </c>
      <c r="F42" s="1387">
        <f t="shared" si="3"/>
        <v>17842860</v>
      </c>
      <c r="G42" s="2176">
        <f t="shared" si="0"/>
        <v>8029287</v>
      </c>
      <c r="H42" s="2176">
        <f t="shared" si="1"/>
        <v>9813573</v>
      </c>
    </row>
    <row r="43" spans="1:8" ht="33" x14ac:dyDescent="0.3">
      <c r="A43" s="1463" t="s">
        <v>8675</v>
      </c>
      <c r="B43" s="1088" t="s">
        <v>8313</v>
      </c>
      <c r="C43" s="1460" t="s">
        <v>5424</v>
      </c>
      <c r="D43" s="1513">
        <v>1</v>
      </c>
      <c r="E43" s="2066">
        <v>20954054</v>
      </c>
      <c r="F43" s="1387">
        <f t="shared" si="3"/>
        <v>20954054</v>
      </c>
      <c r="G43" s="2176">
        <f t="shared" si="0"/>
        <v>18858649</v>
      </c>
      <c r="H43" s="2176">
        <f t="shared" si="1"/>
        <v>23049459</v>
      </c>
    </row>
    <row r="44" spans="1:8" x14ac:dyDescent="0.3">
      <c r="A44" s="1076"/>
      <c r="B44" s="1088"/>
      <c r="C44" s="2380" t="s">
        <v>8068</v>
      </c>
      <c r="D44" s="2381"/>
      <c r="E44" s="2382"/>
      <c r="F44" s="2152">
        <f>+ROUND(SUM(F7:F43),0)</f>
        <v>498588075</v>
      </c>
    </row>
    <row r="45" spans="1:8" x14ac:dyDescent="0.3">
      <c r="A45" s="1089"/>
      <c r="B45" s="1097"/>
      <c r="C45" s="1089"/>
      <c r="D45" s="1089"/>
      <c r="E45" s="1089"/>
      <c r="F45" s="1089"/>
      <c r="G45" s="1607"/>
    </row>
    <row r="46" spans="1:8" x14ac:dyDescent="0.3">
      <c r="A46" s="1089"/>
      <c r="B46" s="1097"/>
      <c r="C46" s="1089"/>
      <c r="D46" s="1089"/>
      <c r="E46" s="1089"/>
      <c r="F46" s="1089"/>
      <c r="G46" s="1607"/>
    </row>
    <row r="47" spans="1:8" x14ac:dyDescent="0.3">
      <c r="A47" s="1089"/>
      <c r="B47" s="1097"/>
      <c r="C47" s="1089"/>
      <c r="D47" s="1089"/>
      <c r="E47" s="1089"/>
      <c r="F47" s="1089"/>
      <c r="G47" s="1607"/>
    </row>
    <row r="48" spans="1:8" x14ac:dyDescent="0.3">
      <c r="A48" s="1089"/>
      <c r="B48" s="1097"/>
      <c r="C48" s="1089"/>
      <c r="D48" s="1089"/>
      <c r="E48" s="1089"/>
      <c r="F48" s="1089"/>
      <c r="G48" s="1607"/>
    </row>
    <row r="49" spans="1:7" x14ac:dyDescent="0.3">
      <c r="A49" s="1089"/>
      <c r="B49" s="1097"/>
      <c r="C49" s="1089"/>
      <c r="D49" s="1089"/>
      <c r="E49" s="1089"/>
      <c r="F49" s="1089"/>
      <c r="G49" s="1607"/>
    </row>
    <row r="50" spans="1:7" x14ac:dyDescent="0.3">
      <c r="A50" s="1089"/>
      <c r="B50" s="1097"/>
      <c r="C50" s="1089"/>
      <c r="D50" s="1089"/>
      <c r="E50" s="1089"/>
      <c r="F50" s="1089"/>
      <c r="G50" s="1607"/>
    </row>
    <row r="51" spans="1:7" x14ac:dyDescent="0.3">
      <c r="A51" s="1089"/>
      <c r="B51" s="1097"/>
      <c r="C51" s="1089"/>
      <c r="D51" s="1089"/>
      <c r="E51" s="1089"/>
      <c r="F51" s="1089"/>
      <c r="G51" s="1607"/>
    </row>
    <row r="52" spans="1:7" x14ac:dyDescent="0.3">
      <c r="A52" s="1089"/>
      <c r="B52" s="1097"/>
      <c r="C52" s="1089"/>
      <c r="D52" s="1089"/>
      <c r="E52" s="1089"/>
      <c r="F52" s="1089"/>
      <c r="G52" s="1607"/>
    </row>
    <row r="53" spans="1:7" x14ac:dyDescent="0.3">
      <c r="A53" s="1089"/>
      <c r="B53" s="1097"/>
      <c r="C53" s="1089"/>
      <c r="D53" s="1089"/>
      <c r="E53" s="1089"/>
      <c r="F53" s="1089"/>
      <c r="G53" s="1607"/>
    </row>
    <row r="54" spans="1:7" x14ac:dyDescent="0.3">
      <c r="A54" s="1089"/>
      <c r="B54" s="1097"/>
      <c r="C54" s="1089"/>
      <c r="D54" s="1089"/>
      <c r="E54" s="1089"/>
      <c r="F54" s="1089"/>
      <c r="G54" s="1607"/>
    </row>
    <row r="55" spans="1:7" x14ac:dyDescent="0.3">
      <c r="A55" s="1089"/>
      <c r="B55" s="1097"/>
      <c r="C55" s="1089"/>
      <c r="D55" s="1089"/>
      <c r="E55" s="1089"/>
      <c r="F55" s="1089"/>
    </row>
    <row r="56" spans="1:7" x14ac:dyDescent="0.3">
      <c r="A56" s="1089"/>
      <c r="B56" s="1097"/>
      <c r="C56" s="1089"/>
      <c r="D56" s="1089"/>
      <c r="E56" s="1089"/>
      <c r="F56" s="1089"/>
    </row>
    <row r="57" spans="1:7" x14ac:dyDescent="0.3">
      <c r="A57" s="1089"/>
      <c r="B57" s="1097"/>
      <c r="C57" s="1089"/>
      <c r="D57" s="1089"/>
      <c r="E57" s="1089"/>
      <c r="F57" s="1089"/>
    </row>
  </sheetData>
  <sheetProtection algorithmName="SHA-512" hashValue="hgqfqq0OpH51SkEhZu26ZJw+MTFmuL86BcJIkHOy5dzLzNMxExdLefpgrF+lIZSE/fPw9JO9bIP1sZh+PGPETg==" saltValue="rD2wkDOhFTP6QbaslZy6sg==" spinCount="100000" sheet="1" objects="1" scenarios="1" selectLockedCells="1" selectUnlockedCells="1"/>
  <mergeCells count="4">
    <mergeCell ref="C44:E44"/>
    <mergeCell ref="A5:B5"/>
    <mergeCell ref="A1:H3"/>
    <mergeCell ref="A4:H4"/>
  </mergeCells>
  <pageMargins left="0.70866141732283472" right="0.70866141732283472" top="0.74803149606299213" bottom="0.74803149606299213" header="0.31496062992125984" footer="0.31496062992125984"/>
  <pageSetup scale="50"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J54"/>
  <sheetViews>
    <sheetView view="pageBreakPreview" topLeftCell="A31" zoomScale="85" zoomScaleNormal="100" zoomScaleSheetLayoutView="85" workbookViewId="0">
      <selection activeCell="G43" sqref="G43"/>
    </sheetView>
  </sheetViews>
  <sheetFormatPr baseColWidth="10" defaultRowHeight="16.5" x14ac:dyDescent="0.3"/>
  <cols>
    <col min="1" max="1" width="8.28515625" style="1090" customWidth="1"/>
    <col min="2" max="2" width="72.5703125" style="1083" bestFit="1" customWidth="1"/>
    <col min="3" max="3" width="8.28515625" style="1086" customWidth="1"/>
    <col min="4" max="4" width="9.42578125" style="1086" customWidth="1"/>
    <col min="5" max="5" width="20" style="1085" customWidth="1"/>
    <col min="6" max="6" width="25.28515625" style="1085" bestFit="1" customWidth="1"/>
    <col min="7" max="7" width="26.28515625" style="844" bestFit="1" customWidth="1"/>
    <col min="8" max="8" width="18.28515625" style="844" bestFit="1" customWidth="1"/>
    <col min="9" max="16384" width="11.42578125" style="844"/>
  </cols>
  <sheetData>
    <row r="1" spans="1:8" ht="15" customHeight="1" x14ac:dyDescent="0.3">
      <c r="A1" s="2326" t="s">
        <v>9817</v>
      </c>
      <c r="B1" s="2326"/>
      <c r="C1" s="2326"/>
      <c r="D1" s="2326"/>
      <c r="E1" s="2326"/>
      <c r="F1" s="2326"/>
      <c r="G1" s="2326"/>
      <c r="H1" s="2326"/>
    </row>
    <row r="2" spans="1:8" ht="21" customHeight="1" x14ac:dyDescent="0.3">
      <c r="A2" s="2326"/>
      <c r="B2" s="2326"/>
      <c r="C2" s="2326"/>
      <c r="D2" s="2326"/>
      <c r="E2" s="2326"/>
      <c r="F2" s="2326"/>
      <c r="G2" s="2326"/>
      <c r="H2" s="2326"/>
    </row>
    <row r="3" spans="1:8" ht="18" customHeight="1" x14ac:dyDescent="0.3">
      <c r="A3" s="2326"/>
      <c r="B3" s="2326"/>
      <c r="C3" s="2326"/>
      <c r="D3" s="2326"/>
      <c r="E3" s="2326"/>
      <c r="F3" s="2326"/>
      <c r="G3" s="2326"/>
      <c r="H3" s="2326"/>
    </row>
    <row r="4" spans="1:8" ht="21.75" customHeight="1" x14ac:dyDescent="0.3">
      <c r="A4" s="2327" t="s">
        <v>9844</v>
      </c>
      <c r="B4" s="2327"/>
      <c r="C4" s="2327"/>
      <c r="D4" s="2327"/>
      <c r="E4" s="2327"/>
      <c r="F4" s="2327"/>
      <c r="G4" s="2327"/>
      <c r="H4" s="2327"/>
    </row>
    <row r="5" spans="1:8" x14ac:dyDescent="0.3">
      <c r="A5" s="2375" t="s">
        <v>8175</v>
      </c>
      <c r="B5" s="2375"/>
      <c r="C5" s="947" t="s">
        <v>6616</v>
      </c>
      <c r="D5" s="947" t="s">
        <v>6617</v>
      </c>
      <c r="E5" s="947" t="s">
        <v>6618</v>
      </c>
      <c r="F5" s="947" t="s">
        <v>9831</v>
      </c>
      <c r="G5" s="949" t="s">
        <v>9864</v>
      </c>
      <c r="H5" s="949" t="s">
        <v>9865</v>
      </c>
    </row>
    <row r="6" spans="1:8" x14ac:dyDescent="0.3">
      <c r="A6" s="844"/>
      <c r="B6" s="2100" t="s">
        <v>8256</v>
      </c>
      <c r="C6" s="2063"/>
      <c r="D6" s="2063"/>
      <c r="E6" s="2063"/>
      <c r="F6" s="1091"/>
      <c r="G6" s="1091"/>
      <c r="H6" s="1091"/>
    </row>
    <row r="7" spans="1:8" x14ac:dyDescent="0.3">
      <c r="A7" s="1082"/>
      <c r="B7" s="859" t="s">
        <v>6637</v>
      </c>
      <c r="C7" s="849"/>
      <c r="D7" s="833"/>
      <c r="E7" s="1080"/>
      <c r="F7" s="1080"/>
      <c r="G7" s="1080"/>
      <c r="H7" s="1080"/>
    </row>
    <row r="8" spans="1:8" x14ac:dyDescent="0.3">
      <c r="A8" s="1453" t="s">
        <v>8588</v>
      </c>
      <c r="B8" s="2101" t="s">
        <v>8497</v>
      </c>
      <c r="C8" s="853" t="s">
        <v>5424</v>
      </c>
      <c r="D8" s="1440">
        <v>8</v>
      </c>
      <c r="E8" s="2066">
        <v>26752</v>
      </c>
      <c r="F8" s="1388">
        <f>ROUND(D8*E8,0)</f>
        <v>214016</v>
      </c>
      <c r="G8" s="2176">
        <f>+ROUND(E8*0.9,0)</f>
        <v>24077</v>
      </c>
      <c r="H8" s="2176">
        <f>+ROUND(E8*1.1,0)</f>
        <v>29427</v>
      </c>
    </row>
    <row r="9" spans="1:8" x14ac:dyDescent="0.3">
      <c r="A9" s="1453" t="s">
        <v>8589</v>
      </c>
      <c r="B9" s="1449" t="s">
        <v>8508</v>
      </c>
      <c r="C9" s="853" t="s">
        <v>5424</v>
      </c>
      <c r="D9" s="1440">
        <v>2</v>
      </c>
      <c r="E9" s="2066">
        <v>36879</v>
      </c>
      <c r="F9" s="1388">
        <f t="shared" ref="F9:F31" si="0">ROUND(D9*E9,0)</f>
        <v>73758</v>
      </c>
      <c r="G9" s="2176">
        <f t="shared" ref="G9:G53" si="1">+ROUND(E9*0.9,0)</f>
        <v>33191</v>
      </c>
      <c r="H9" s="2176">
        <f t="shared" ref="H9:H53" si="2">+ROUND(E9*1.1,0)</f>
        <v>40567</v>
      </c>
    </row>
    <row r="10" spans="1:8" x14ac:dyDescent="0.3">
      <c r="A10" s="1453" t="s">
        <v>8592</v>
      </c>
      <c r="B10" s="1449" t="s">
        <v>8511</v>
      </c>
      <c r="C10" s="853" t="s">
        <v>5424</v>
      </c>
      <c r="D10" s="1440">
        <v>8</v>
      </c>
      <c r="E10" s="2066">
        <v>58690</v>
      </c>
      <c r="F10" s="1388">
        <f t="shared" si="0"/>
        <v>469520</v>
      </c>
      <c r="G10" s="2176">
        <f t="shared" si="1"/>
        <v>52821</v>
      </c>
      <c r="H10" s="2176">
        <f t="shared" si="2"/>
        <v>64559</v>
      </c>
    </row>
    <row r="11" spans="1:8" x14ac:dyDescent="0.3">
      <c r="A11" s="1453" t="s">
        <v>8597</v>
      </c>
      <c r="B11" s="1100" t="s">
        <v>8536</v>
      </c>
      <c r="C11" s="853" t="s">
        <v>5424</v>
      </c>
      <c r="D11" s="1440">
        <v>3</v>
      </c>
      <c r="E11" s="2066">
        <v>79222</v>
      </c>
      <c r="F11" s="1388">
        <f t="shared" si="0"/>
        <v>237666</v>
      </c>
      <c r="G11" s="2176">
        <f t="shared" si="1"/>
        <v>71300</v>
      </c>
      <c r="H11" s="2176">
        <f t="shared" si="2"/>
        <v>87144</v>
      </c>
    </row>
    <row r="12" spans="1:8" x14ac:dyDescent="0.3">
      <c r="A12" s="1453" t="s">
        <v>8601</v>
      </c>
      <c r="B12" s="1100" t="s">
        <v>8521</v>
      </c>
      <c r="C12" s="853" t="s">
        <v>5424</v>
      </c>
      <c r="D12" s="1440">
        <v>5</v>
      </c>
      <c r="E12" s="2066">
        <v>111058</v>
      </c>
      <c r="F12" s="1388">
        <f t="shared" si="0"/>
        <v>555290</v>
      </c>
      <c r="G12" s="2176">
        <f t="shared" si="1"/>
        <v>99952</v>
      </c>
      <c r="H12" s="2176">
        <f t="shared" si="2"/>
        <v>122164</v>
      </c>
    </row>
    <row r="13" spans="1:8" x14ac:dyDescent="0.3">
      <c r="A13" s="1453" t="s">
        <v>8598</v>
      </c>
      <c r="B13" s="1100" t="s">
        <v>8537</v>
      </c>
      <c r="C13" s="853" t="s">
        <v>5424</v>
      </c>
      <c r="D13" s="1440">
        <v>3</v>
      </c>
      <c r="E13" s="2066">
        <v>80640</v>
      </c>
      <c r="F13" s="1388">
        <f t="shared" si="0"/>
        <v>241920</v>
      </c>
      <c r="G13" s="2176">
        <f t="shared" si="1"/>
        <v>72576</v>
      </c>
      <c r="H13" s="2176">
        <f t="shared" si="2"/>
        <v>88704</v>
      </c>
    </row>
    <row r="14" spans="1:8" x14ac:dyDescent="0.3">
      <c r="A14" s="1453" t="s">
        <v>8625</v>
      </c>
      <c r="B14" s="1100" t="s">
        <v>8498</v>
      </c>
      <c r="C14" s="853" t="s">
        <v>5424</v>
      </c>
      <c r="D14" s="1440">
        <v>2</v>
      </c>
      <c r="E14" s="2066">
        <v>42963</v>
      </c>
      <c r="F14" s="1388">
        <f t="shared" si="0"/>
        <v>85926</v>
      </c>
      <c r="G14" s="2176">
        <f t="shared" si="1"/>
        <v>38667</v>
      </c>
      <c r="H14" s="2176">
        <f t="shared" si="2"/>
        <v>47259</v>
      </c>
    </row>
    <row r="15" spans="1:8" x14ac:dyDescent="0.3">
      <c r="A15" s="1453" t="s">
        <v>8627</v>
      </c>
      <c r="B15" s="1100" t="s">
        <v>8272</v>
      </c>
      <c r="C15" s="853" t="s">
        <v>5424</v>
      </c>
      <c r="D15" s="1440">
        <v>4</v>
      </c>
      <c r="E15" s="2066">
        <v>129573</v>
      </c>
      <c r="F15" s="1388">
        <f t="shared" si="0"/>
        <v>518292</v>
      </c>
      <c r="G15" s="2176">
        <f t="shared" si="1"/>
        <v>116616</v>
      </c>
      <c r="H15" s="2176">
        <f t="shared" si="2"/>
        <v>142530</v>
      </c>
    </row>
    <row r="16" spans="1:8" x14ac:dyDescent="0.3">
      <c r="A16" s="1453" t="s">
        <v>8632</v>
      </c>
      <c r="B16" s="1449" t="s">
        <v>8503</v>
      </c>
      <c r="C16" s="853" t="s">
        <v>5424</v>
      </c>
      <c r="D16" s="1434">
        <v>4</v>
      </c>
      <c r="E16" s="2066">
        <v>117793</v>
      </c>
      <c r="F16" s="1388">
        <f t="shared" si="0"/>
        <v>471172</v>
      </c>
      <c r="G16" s="2176">
        <f t="shared" si="1"/>
        <v>106014</v>
      </c>
      <c r="H16" s="2176">
        <f t="shared" si="2"/>
        <v>129572</v>
      </c>
    </row>
    <row r="17" spans="1:8" x14ac:dyDescent="0.3">
      <c r="A17" s="1453" t="s">
        <v>8634</v>
      </c>
      <c r="B17" s="1449" t="s">
        <v>8535</v>
      </c>
      <c r="C17" s="853" t="s">
        <v>5424</v>
      </c>
      <c r="D17" s="1075">
        <v>1</v>
      </c>
      <c r="E17" s="2066">
        <v>194027</v>
      </c>
      <c r="F17" s="1388">
        <f t="shared" si="0"/>
        <v>194027</v>
      </c>
      <c r="G17" s="2176">
        <f t="shared" si="1"/>
        <v>174624</v>
      </c>
      <c r="H17" s="2176">
        <f t="shared" si="2"/>
        <v>213430</v>
      </c>
    </row>
    <row r="18" spans="1:8" x14ac:dyDescent="0.3">
      <c r="A18" s="1082"/>
      <c r="B18" s="837" t="s">
        <v>8171</v>
      </c>
      <c r="C18" s="849"/>
      <c r="D18" s="845"/>
      <c r="E18" s="2105"/>
      <c r="F18" s="1080"/>
      <c r="G18" s="1080"/>
      <c r="H18" s="1080"/>
    </row>
    <row r="19" spans="1:8" ht="33" x14ac:dyDescent="0.3">
      <c r="A19" s="1463" t="s">
        <v>8575</v>
      </c>
      <c r="B19" s="1459" t="s">
        <v>9397</v>
      </c>
      <c r="C19" s="1460" t="s">
        <v>6858</v>
      </c>
      <c r="D19" s="1513">
        <v>3</v>
      </c>
      <c r="E19" s="2066">
        <v>613345</v>
      </c>
      <c r="F19" s="1110">
        <f t="shared" si="0"/>
        <v>1840035</v>
      </c>
      <c r="G19" s="2176">
        <f t="shared" si="1"/>
        <v>552011</v>
      </c>
      <c r="H19" s="2176">
        <f t="shared" si="2"/>
        <v>674680</v>
      </c>
    </row>
    <row r="20" spans="1:8" ht="21.75" customHeight="1" x14ac:dyDescent="0.3">
      <c r="A20" s="1463" t="s">
        <v>233</v>
      </c>
      <c r="B20" s="1101" t="s">
        <v>5573</v>
      </c>
      <c r="C20" s="1460" t="s">
        <v>5431</v>
      </c>
      <c r="D20" s="1513">
        <v>450</v>
      </c>
      <c r="E20" s="2066">
        <v>3841</v>
      </c>
      <c r="F20" s="1110">
        <f t="shared" si="0"/>
        <v>1728450</v>
      </c>
      <c r="G20" s="2176">
        <f t="shared" si="1"/>
        <v>3457</v>
      </c>
      <c r="H20" s="2176">
        <f t="shared" si="2"/>
        <v>4225</v>
      </c>
    </row>
    <row r="21" spans="1:8" x14ac:dyDescent="0.3">
      <c r="A21" s="1082"/>
      <c r="B21" s="837" t="s">
        <v>9109</v>
      </c>
      <c r="C21" s="849"/>
      <c r="D21" s="845"/>
      <c r="E21" s="2105"/>
      <c r="F21" s="1080"/>
      <c r="G21" s="1080"/>
      <c r="H21" s="1080"/>
    </row>
    <row r="22" spans="1:8" x14ac:dyDescent="0.3">
      <c r="A22" s="1453">
        <v>9.8000000000000007</v>
      </c>
      <c r="B22" s="1100" t="s">
        <v>8258</v>
      </c>
      <c r="C22" s="1076" t="s">
        <v>5424</v>
      </c>
      <c r="D22" s="1513">
        <v>3</v>
      </c>
      <c r="E22" s="2066">
        <v>10000000</v>
      </c>
      <c r="F22" s="1388">
        <f t="shared" si="0"/>
        <v>30000000</v>
      </c>
      <c r="G22" s="2176">
        <f t="shared" si="1"/>
        <v>9000000</v>
      </c>
      <c r="H22" s="2176">
        <f t="shared" si="2"/>
        <v>11000000</v>
      </c>
    </row>
    <row r="23" spans="1:8" x14ac:dyDescent="0.3">
      <c r="A23" s="1453" t="s">
        <v>5585</v>
      </c>
      <c r="B23" s="1449" t="s">
        <v>7929</v>
      </c>
      <c r="C23" s="1076" t="s">
        <v>5424</v>
      </c>
      <c r="D23" s="1513">
        <v>10</v>
      </c>
      <c r="E23" s="2066">
        <v>29456</v>
      </c>
      <c r="F23" s="1388">
        <f t="shared" si="0"/>
        <v>294560</v>
      </c>
      <c r="G23" s="2176">
        <f t="shared" si="1"/>
        <v>26510</v>
      </c>
      <c r="H23" s="2176">
        <f t="shared" si="2"/>
        <v>32402</v>
      </c>
    </row>
    <row r="24" spans="1:8" x14ac:dyDescent="0.3">
      <c r="A24" s="1082"/>
      <c r="B24" s="837" t="s">
        <v>9845</v>
      </c>
      <c r="C24" s="849"/>
      <c r="D24" s="845"/>
      <c r="E24" s="2105"/>
      <c r="F24" s="1080"/>
      <c r="G24" s="1080"/>
      <c r="H24" s="1080"/>
    </row>
    <row r="25" spans="1:8" x14ac:dyDescent="0.3">
      <c r="A25" s="1453">
        <v>9.1</v>
      </c>
      <c r="B25" s="1088" t="s">
        <v>8259</v>
      </c>
      <c r="C25" s="1076" t="s">
        <v>5556</v>
      </c>
      <c r="D25" s="1075">
        <v>230.5</v>
      </c>
      <c r="E25" s="2066">
        <v>30661</v>
      </c>
      <c r="F25" s="1388">
        <f t="shared" si="0"/>
        <v>7067361</v>
      </c>
      <c r="G25" s="2176">
        <f t="shared" si="1"/>
        <v>27595</v>
      </c>
      <c r="H25" s="2176">
        <f t="shared" si="2"/>
        <v>33727</v>
      </c>
    </row>
    <row r="26" spans="1:8" x14ac:dyDescent="0.3">
      <c r="A26" s="1453">
        <v>9.6</v>
      </c>
      <c r="B26" s="1088" t="s">
        <v>8260</v>
      </c>
      <c r="C26" s="1076" t="s">
        <v>5475</v>
      </c>
      <c r="D26" s="1075">
        <v>1</v>
      </c>
      <c r="E26" s="2107">
        <v>650000</v>
      </c>
      <c r="F26" s="1388">
        <f t="shared" si="0"/>
        <v>650000</v>
      </c>
      <c r="G26" s="2176">
        <f t="shared" si="1"/>
        <v>585000</v>
      </c>
      <c r="H26" s="2176">
        <f t="shared" si="2"/>
        <v>715000</v>
      </c>
    </row>
    <row r="27" spans="1:8" x14ac:dyDescent="0.3">
      <c r="A27" s="1453">
        <v>9.1999999999999993</v>
      </c>
      <c r="B27" s="1088" t="s">
        <v>8261</v>
      </c>
      <c r="C27" s="1076" t="s">
        <v>5556</v>
      </c>
      <c r="D27" s="1075">
        <v>40.5</v>
      </c>
      <c r="E27" s="2066">
        <v>120596</v>
      </c>
      <c r="F27" s="1388">
        <f t="shared" si="0"/>
        <v>4884138</v>
      </c>
      <c r="G27" s="2176">
        <f t="shared" si="1"/>
        <v>108536</v>
      </c>
      <c r="H27" s="2176">
        <f t="shared" si="2"/>
        <v>132656</v>
      </c>
    </row>
    <row r="28" spans="1:8" x14ac:dyDescent="0.3">
      <c r="A28" s="1453">
        <v>9.3000000000000007</v>
      </c>
      <c r="B28" s="1088" t="s">
        <v>8262</v>
      </c>
      <c r="C28" s="1076" t="s">
        <v>5556</v>
      </c>
      <c r="D28" s="1513">
        <v>450</v>
      </c>
      <c r="E28" s="2066">
        <v>6299</v>
      </c>
      <c r="F28" s="1388">
        <f t="shared" si="0"/>
        <v>2834550</v>
      </c>
      <c r="G28" s="2176">
        <f t="shared" si="1"/>
        <v>5669</v>
      </c>
      <c r="H28" s="2176">
        <f t="shared" si="2"/>
        <v>6929</v>
      </c>
    </row>
    <row r="29" spans="1:8" x14ac:dyDescent="0.3">
      <c r="A29" s="1453">
        <v>9.4</v>
      </c>
      <c r="B29" s="1088" t="s">
        <v>8263</v>
      </c>
      <c r="C29" s="1076" t="s">
        <v>5556</v>
      </c>
      <c r="D29" s="1513">
        <v>152.5</v>
      </c>
      <c r="E29" s="2066">
        <v>315172</v>
      </c>
      <c r="F29" s="1388">
        <f t="shared" si="0"/>
        <v>48063730</v>
      </c>
      <c r="G29" s="2176">
        <f t="shared" si="1"/>
        <v>283655</v>
      </c>
      <c r="H29" s="2176">
        <f t="shared" si="2"/>
        <v>346689</v>
      </c>
    </row>
    <row r="30" spans="1:8" x14ac:dyDescent="0.3">
      <c r="A30" s="1453">
        <v>9.5</v>
      </c>
      <c r="B30" s="1088" t="s">
        <v>8264</v>
      </c>
      <c r="C30" s="1450" t="s">
        <v>5556</v>
      </c>
      <c r="D30" s="1513">
        <v>106</v>
      </c>
      <c r="E30" s="2066">
        <v>19408</v>
      </c>
      <c r="F30" s="1388">
        <f t="shared" si="0"/>
        <v>2057248</v>
      </c>
      <c r="G30" s="2176">
        <f t="shared" si="1"/>
        <v>17467</v>
      </c>
      <c r="H30" s="2176">
        <f t="shared" si="2"/>
        <v>21349</v>
      </c>
    </row>
    <row r="31" spans="1:8" x14ac:dyDescent="0.3">
      <c r="A31" s="1453">
        <v>9.6999999999999993</v>
      </c>
      <c r="B31" s="1088" t="s">
        <v>8265</v>
      </c>
      <c r="C31" s="1076" t="s">
        <v>5475</v>
      </c>
      <c r="D31" s="1513">
        <v>1</v>
      </c>
      <c r="E31" s="2107">
        <v>5000000</v>
      </c>
      <c r="F31" s="1388">
        <f t="shared" si="0"/>
        <v>5000000</v>
      </c>
      <c r="G31" s="2176">
        <f t="shared" si="1"/>
        <v>4500000</v>
      </c>
      <c r="H31" s="2176">
        <f t="shared" si="2"/>
        <v>5500000</v>
      </c>
    </row>
    <row r="32" spans="1:8" x14ac:dyDescent="0.3">
      <c r="A32" s="1081"/>
      <c r="B32" s="1084"/>
      <c r="C32" s="2336" t="s">
        <v>8173</v>
      </c>
      <c r="D32" s="2337"/>
      <c r="E32" s="2338"/>
      <c r="F32" s="2106">
        <f>ROUND(SUM(F8:F31),0)</f>
        <v>107481659</v>
      </c>
      <c r="G32" s="2339"/>
      <c r="H32" s="2386"/>
    </row>
    <row r="33" spans="1:10" x14ac:dyDescent="0.3">
      <c r="A33" s="2372"/>
      <c r="B33" s="2373"/>
      <c r="C33" s="2373"/>
      <c r="D33" s="2373"/>
      <c r="E33" s="2373"/>
      <c r="F33" s="2374"/>
      <c r="G33" s="2341"/>
      <c r="H33" s="2387"/>
    </row>
    <row r="34" spans="1:10" ht="15" customHeight="1" x14ac:dyDescent="0.3">
      <c r="A34" s="834"/>
      <c r="B34" s="835" t="s">
        <v>5398</v>
      </c>
      <c r="C34" s="834" t="s">
        <v>6616</v>
      </c>
      <c r="D34" s="2088" t="s">
        <v>6617</v>
      </c>
      <c r="E34" s="2193" t="s">
        <v>6618</v>
      </c>
      <c r="F34" s="835" t="s">
        <v>9831</v>
      </c>
      <c r="G34" s="835" t="s">
        <v>9864</v>
      </c>
      <c r="H34" s="835" t="s">
        <v>9865</v>
      </c>
    </row>
    <row r="35" spans="1:10" x14ac:dyDescent="0.3">
      <c r="A35" s="1463" t="s">
        <v>8743</v>
      </c>
      <c r="B35" s="1101" t="s">
        <v>9299</v>
      </c>
      <c r="C35" s="1076" t="s">
        <v>5424</v>
      </c>
      <c r="D35" s="1440">
        <v>3</v>
      </c>
      <c r="E35" s="2066">
        <v>1883621</v>
      </c>
      <c r="F35" s="1387">
        <f>ROUND(D35*E35,0)</f>
        <v>5650863</v>
      </c>
      <c r="G35" s="2176">
        <f t="shared" si="1"/>
        <v>1695259</v>
      </c>
      <c r="H35" s="2176">
        <f t="shared" si="2"/>
        <v>2071983</v>
      </c>
    </row>
    <row r="36" spans="1:10" x14ac:dyDescent="0.3">
      <c r="A36" s="1463" t="s">
        <v>8815</v>
      </c>
      <c r="B36" s="2103" t="s">
        <v>9300</v>
      </c>
      <c r="C36" s="1076" t="s">
        <v>5424</v>
      </c>
      <c r="D36" s="1440">
        <v>1</v>
      </c>
      <c r="E36" s="2066">
        <v>1867012</v>
      </c>
      <c r="F36" s="1387">
        <f t="shared" ref="F36:F53" si="3">ROUND(D36*E36,0)</f>
        <v>1867012</v>
      </c>
      <c r="G36" s="2176">
        <f t="shared" si="1"/>
        <v>1680311</v>
      </c>
      <c r="H36" s="2176">
        <f t="shared" si="2"/>
        <v>2053713</v>
      </c>
    </row>
    <row r="37" spans="1:10" x14ac:dyDescent="0.3">
      <c r="A37" s="1463" t="s">
        <v>8749</v>
      </c>
      <c r="B37" s="2103" t="s">
        <v>9301</v>
      </c>
      <c r="C37" s="1076" t="s">
        <v>5424</v>
      </c>
      <c r="D37" s="1440">
        <v>2</v>
      </c>
      <c r="E37" s="2066">
        <v>1115179</v>
      </c>
      <c r="F37" s="1387">
        <f t="shared" si="3"/>
        <v>2230358</v>
      </c>
      <c r="G37" s="2176">
        <f t="shared" si="1"/>
        <v>1003661</v>
      </c>
      <c r="H37" s="2176">
        <f t="shared" si="2"/>
        <v>1226697</v>
      </c>
    </row>
    <row r="38" spans="1:10" x14ac:dyDescent="0.3">
      <c r="A38" s="1463" t="s">
        <v>8763</v>
      </c>
      <c r="B38" s="1466" t="s">
        <v>9112</v>
      </c>
      <c r="C38" s="1076" t="s">
        <v>5424</v>
      </c>
      <c r="D38" s="1440">
        <v>5</v>
      </c>
      <c r="E38" s="2066">
        <v>2595836</v>
      </c>
      <c r="F38" s="1387">
        <f t="shared" si="3"/>
        <v>12979180</v>
      </c>
      <c r="G38" s="2176">
        <f t="shared" si="1"/>
        <v>2336252</v>
      </c>
      <c r="H38" s="2176">
        <f t="shared" si="2"/>
        <v>2855420</v>
      </c>
      <c r="J38" s="2102"/>
    </row>
    <row r="39" spans="1:10" x14ac:dyDescent="0.3">
      <c r="A39" s="1463" t="s">
        <v>8861</v>
      </c>
      <c r="B39" s="2103" t="s">
        <v>9215</v>
      </c>
      <c r="C39" s="1076" t="s">
        <v>5424</v>
      </c>
      <c r="D39" s="1440">
        <v>1</v>
      </c>
      <c r="E39" s="2066">
        <v>5919239</v>
      </c>
      <c r="F39" s="1387">
        <f t="shared" si="3"/>
        <v>5919239</v>
      </c>
      <c r="G39" s="2176">
        <f t="shared" si="1"/>
        <v>5327315</v>
      </c>
      <c r="H39" s="2176">
        <f t="shared" si="2"/>
        <v>6511163</v>
      </c>
    </row>
    <row r="40" spans="1:10" ht="33" x14ac:dyDescent="0.3">
      <c r="A40" s="1463" t="s">
        <v>8828</v>
      </c>
      <c r="B40" s="1464" t="s">
        <v>9302</v>
      </c>
      <c r="C40" s="1076" t="s">
        <v>5424</v>
      </c>
      <c r="D40" s="1440">
        <v>1</v>
      </c>
      <c r="E40" s="2066">
        <v>4974260</v>
      </c>
      <c r="F40" s="1387">
        <f t="shared" si="3"/>
        <v>4974260</v>
      </c>
      <c r="G40" s="2176">
        <f t="shared" si="1"/>
        <v>4476834</v>
      </c>
      <c r="H40" s="2176">
        <f t="shared" si="2"/>
        <v>5471686</v>
      </c>
    </row>
    <row r="41" spans="1:10" x14ac:dyDescent="0.3">
      <c r="A41" s="1463" t="s">
        <v>8706</v>
      </c>
      <c r="B41" s="1101" t="s">
        <v>9303</v>
      </c>
      <c r="C41" s="1076" t="s">
        <v>5424</v>
      </c>
      <c r="D41" s="1440">
        <v>2</v>
      </c>
      <c r="E41" s="2066">
        <v>2926329</v>
      </c>
      <c r="F41" s="1387">
        <f t="shared" si="3"/>
        <v>5852658</v>
      </c>
      <c r="G41" s="2176">
        <f t="shared" si="1"/>
        <v>2633696</v>
      </c>
      <c r="H41" s="2176">
        <f t="shared" si="2"/>
        <v>3218962</v>
      </c>
    </row>
    <row r="42" spans="1:10" x14ac:dyDescent="0.3">
      <c r="A42" s="1463" t="s">
        <v>9108</v>
      </c>
      <c r="B42" s="1654" t="s">
        <v>9304</v>
      </c>
      <c r="C42" s="1076" t="s">
        <v>5424</v>
      </c>
      <c r="D42" s="1440">
        <v>5</v>
      </c>
      <c r="E42" s="2066">
        <v>8915183</v>
      </c>
      <c r="F42" s="1387">
        <f t="shared" si="3"/>
        <v>44575915</v>
      </c>
      <c r="G42" s="2176">
        <f t="shared" si="1"/>
        <v>8023665</v>
      </c>
      <c r="H42" s="2176">
        <f t="shared" si="2"/>
        <v>9806701</v>
      </c>
    </row>
    <row r="43" spans="1:10" ht="33" x14ac:dyDescent="0.3">
      <c r="A43" s="1463" t="s">
        <v>8889</v>
      </c>
      <c r="B43" s="1088" t="s">
        <v>9246</v>
      </c>
      <c r="C43" s="1076" t="s">
        <v>5424</v>
      </c>
      <c r="D43" s="1440">
        <v>3</v>
      </c>
      <c r="E43" s="2066">
        <v>1626099</v>
      </c>
      <c r="F43" s="1387">
        <f t="shared" si="3"/>
        <v>4878297</v>
      </c>
      <c r="G43" s="2176">
        <f t="shared" si="1"/>
        <v>1463489</v>
      </c>
      <c r="H43" s="2176">
        <f t="shared" si="2"/>
        <v>1788709</v>
      </c>
    </row>
    <row r="44" spans="1:10" ht="33" x14ac:dyDescent="0.3">
      <c r="A44" s="1463" t="s">
        <v>8901</v>
      </c>
      <c r="B44" s="1101" t="s">
        <v>9305</v>
      </c>
      <c r="C44" s="1076" t="s">
        <v>5424</v>
      </c>
      <c r="D44" s="1440">
        <v>1</v>
      </c>
      <c r="E44" s="2066">
        <v>7096285</v>
      </c>
      <c r="F44" s="1387">
        <f t="shared" si="3"/>
        <v>7096285</v>
      </c>
      <c r="G44" s="2176">
        <f t="shared" si="1"/>
        <v>6386657</v>
      </c>
      <c r="H44" s="2176">
        <f t="shared" si="2"/>
        <v>7805914</v>
      </c>
    </row>
    <row r="45" spans="1:10" x14ac:dyDescent="0.3">
      <c r="A45" s="1463" t="s">
        <v>8690</v>
      </c>
      <c r="B45" s="1102" t="s">
        <v>9306</v>
      </c>
      <c r="C45" s="1076" t="s">
        <v>5424</v>
      </c>
      <c r="D45" s="1440">
        <v>2</v>
      </c>
      <c r="E45" s="2066">
        <v>436076</v>
      </c>
      <c r="F45" s="1387">
        <f t="shared" si="3"/>
        <v>872152</v>
      </c>
      <c r="G45" s="2176">
        <f t="shared" si="1"/>
        <v>392468</v>
      </c>
      <c r="H45" s="2176">
        <f t="shared" si="2"/>
        <v>479684</v>
      </c>
    </row>
    <row r="46" spans="1:10" x14ac:dyDescent="0.3">
      <c r="A46" s="1463" t="s">
        <v>8983</v>
      </c>
      <c r="B46" s="2104" t="s">
        <v>9199</v>
      </c>
      <c r="C46" s="1076" t="s">
        <v>5424</v>
      </c>
      <c r="D46" s="1440">
        <v>1</v>
      </c>
      <c r="E46" s="2066">
        <v>1318223</v>
      </c>
      <c r="F46" s="1387">
        <f t="shared" si="3"/>
        <v>1318223</v>
      </c>
      <c r="G46" s="2176">
        <f t="shared" si="1"/>
        <v>1186401</v>
      </c>
      <c r="H46" s="2176">
        <f t="shared" si="2"/>
        <v>1450045</v>
      </c>
    </row>
    <row r="47" spans="1:10" x14ac:dyDescent="0.3">
      <c r="A47" s="1463" t="s">
        <v>9090</v>
      </c>
      <c r="B47" s="1101" t="s">
        <v>9307</v>
      </c>
      <c r="C47" s="1076" t="s">
        <v>5424</v>
      </c>
      <c r="D47" s="1440">
        <v>3</v>
      </c>
      <c r="E47" s="2066">
        <v>5762694</v>
      </c>
      <c r="F47" s="1387">
        <f t="shared" si="3"/>
        <v>17288082</v>
      </c>
      <c r="G47" s="2176">
        <f t="shared" si="1"/>
        <v>5186425</v>
      </c>
      <c r="H47" s="2176">
        <f t="shared" si="2"/>
        <v>6338963</v>
      </c>
    </row>
    <row r="48" spans="1:10" x14ac:dyDescent="0.3">
      <c r="A48" s="1463" t="s">
        <v>9091</v>
      </c>
      <c r="B48" s="1101" t="s">
        <v>9308</v>
      </c>
      <c r="C48" s="1076" t="s">
        <v>5424</v>
      </c>
      <c r="D48" s="1440">
        <v>1</v>
      </c>
      <c r="E48" s="2066">
        <v>7238354</v>
      </c>
      <c r="F48" s="1387">
        <f t="shared" si="3"/>
        <v>7238354</v>
      </c>
      <c r="G48" s="2176">
        <f t="shared" si="1"/>
        <v>6514519</v>
      </c>
      <c r="H48" s="2176">
        <f t="shared" si="2"/>
        <v>7962189</v>
      </c>
    </row>
    <row r="49" spans="1:8" x14ac:dyDescent="0.3">
      <c r="A49" s="1463" t="s">
        <v>8878</v>
      </c>
      <c r="B49" s="1100" t="s">
        <v>9309</v>
      </c>
      <c r="C49" s="1076" t="s">
        <v>5424</v>
      </c>
      <c r="D49" s="1440">
        <v>3</v>
      </c>
      <c r="E49" s="2066">
        <v>11414183</v>
      </c>
      <c r="F49" s="1387">
        <f t="shared" si="3"/>
        <v>34242549</v>
      </c>
      <c r="G49" s="2176">
        <f t="shared" si="1"/>
        <v>10272765</v>
      </c>
      <c r="H49" s="2176">
        <f t="shared" si="2"/>
        <v>12555601</v>
      </c>
    </row>
    <row r="50" spans="1:8" x14ac:dyDescent="0.3">
      <c r="A50" s="1463" t="s">
        <v>8934</v>
      </c>
      <c r="B50" s="1100" t="s">
        <v>9310</v>
      </c>
      <c r="C50" s="1076" t="s">
        <v>5424</v>
      </c>
      <c r="D50" s="1440">
        <v>1</v>
      </c>
      <c r="E50" s="2066">
        <v>45504541</v>
      </c>
      <c r="F50" s="1387">
        <f t="shared" si="3"/>
        <v>45504541</v>
      </c>
      <c r="G50" s="2176">
        <f t="shared" si="1"/>
        <v>40954087</v>
      </c>
      <c r="H50" s="2176">
        <f t="shared" si="2"/>
        <v>50054995</v>
      </c>
    </row>
    <row r="51" spans="1:8" ht="33" x14ac:dyDescent="0.3">
      <c r="A51" s="1463" t="s">
        <v>8969</v>
      </c>
      <c r="B51" s="2103" t="s">
        <v>9195</v>
      </c>
      <c r="C51" s="1076" t="s">
        <v>5424</v>
      </c>
      <c r="D51" s="1440">
        <v>1</v>
      </c>
      <c r="E51" s="2066">
        <v>1596611</v>
      </c>
      <c r="F51" s="1387">
        <f t="shared" si="3"/>
        <v>1596611</v>
      </c>
      <c r="G51" s="2176">
        <f t="shared" si="1"/>
        <v>1436950</v>
      </c>
      <c r="H51" s="2176">
        <f t="shared" si="2"/>
        <v>1756272</v>
      </c>
    </row>
    <row r="52" spans="1:8" ht="33" x14ac:dyDescent="0.3">
      <c r="A52" s="1463" t="s">
        <v>8980</v>
      </c>
      <c r="B52" s="1100" t="s">
        <v>9311</v>
      </c>
      <c r="C52" s="1076" t="s">
        <v>5424</v>
      </c>
      <c r="D52" s="1440">
        <v>3</v>
      </c>
      <c r="E52" s="2066">
        <v>33177224</v>
      </c>
      <c r="F52" s="1387">
        <f t="shared" si="3"/>
        <v>99531672</v>
      </c>
      <c r="G52" s="2176">
        <f t="shared" si="1"/>
        <v>29859502</v>
      </c>
      <c r="H52" s="2176">
        <f t="shared" si="2"/>
        <v>36494946</v>
      </c>
    </row>
    <row r="53" spans="1:8" ht="33" x14ac:dyDescent="0.3">
      <c r="A53" s="1463" t="s">
        <v>8981</v>
      </c>
      <c r="B53" s="1100" t="s">
        <v>9312</v>
      </c>
      <c r="C53" s="1076" t="s">
        <v>5424</v>
      </c>
      <c r="D53" s="1440">
        <v>1</v>
      </c>
      <c r="E53" s="2066">
        <v>21093409</v>
      </c>
      <c r="F53" s="1387">
        <f t="shared" si="3"/>
        <v>21093409</v>
      </c>
      <c r="G53" s="2176">
        <f t="shared" si="1"/>
        <v>18984068</v>
      </c>
      <c r="H53" s="2176">
        <f t="shared" si="2"/>
        <v>23202750</v>
      </c>
    </row>
    <row r="54" spans="1:8" x14ac:dyDescent="0.3">
      <c r="A54" s="1081"/>
      <c r="B54" s="1084"/>
      <c r="C54" s="2383" t="s">
        <v>8069</v>
      </c>
      <c r="D54" s="2384"/>
      <c r="E54" s="2385"/>
      <c r="F54" s="2106">
        <f>ROUND(SUM(F35:F53),0)</f>
        <v>324709660</v>
      </c>
    </row>
  </sheetData>
  <sheetProtection algorithmName="SHA-512" hashValue="vfmdQfSCZX6NvEI0Cj6TRFaHTOjfyUI+LhsYpMV9/ulr/wBxOjBlanpkxhXJdOPxXLWgB4oC/EIOg3XhUR/3tg==" saltValue="kG4s/zydrSHuQVxXwaKd6w==" spinCount="100000" sheet="1" objects="1" scenarios="1" selectLockedCells="1" selectUnlockedCells="1"/>
  <mergeCells count="7">
    <mergeCell ref="A5:B5"/>
    <mergeCell ref="C32:E32"/>
    <mergeCell ref="C54:E54"/>
    <mergeCell ref="A33:F33"/>
    <mergeCell ref="A1:H3"/>
    <mergeCell ref="A4:H4"/>
    <mergeCell ref="G32:H33"/>
  </mergeCells>
  <pageMargins left="0.70866141732283472" right="0.70866141732283472" top="0.74803149606299213" bottom="0.74803149606299213" header="0.31496062992125984" footer="0.31496062992125984"/>
  <pageSetup scale="48"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H98"/>
  <sheetViews>
    <sheetView view="pageBreakPreview" topLeftCell="A16" zoomScale="85" zoomScaleNormal="100" zoomScaleSheetLayoutView="85" workbookViewId="0">
      <selection activeCell="G43" sqref="G43"/>
    </sheetView>
  </sheetViews>
  <sheetFormatPr baseColWidth="10" defaultRowHeight="16.5" x14ac:dyDescent="0.3"/>
  <cols>
    <col min="1" max="1" width="9.5703125" style="1737" customWidth="1"/>
    <col min="2" max="2" width="64.85546875" style="1738" customWidth="1"/>
    <col min="3" max="3" width="8.28515625" style="1739" customWidth="1"/>
    <col min="4" max="4" width="9.42578125" style="1739" customWidth="1"/>
    <col min="5" max="6" width="20.140625" style="1740" customWidth="1"/>
    <col min="7" max="7" width="21" style="1452" customWidth="1"/>
    <col min="8" max="8" width="19.28515625" style="1452" customWidth="1"/>
    <col min="9" max="16384" width="11.42578125" style="1452"/>
  </cols>
  <sheetData>
    <row r="1" spans="1:8" ht="15" customHeight="1" x14ac:dyDescent="0.25">
      <c r="A1" s="2317" t="s">
        <v>9817</v>
      </c>
      <c r="B1" s="2317"/>
      <c r="C1" s="2317"/>
      <c r="D1" s="2317"/>
      <c r="E1" s="2317"/>
      <c r="F1" s="2317"/>
      <c r="G1" s="2317"/>
      <c r="H1" s="2317"/>
    </row>
    <row r="2" spans="1:8" ht="39" customHeight="1" x14ac:dyDescent="0.25">
      <c r="A2" s="2317"/>
      <c r="B2" s="2317"/>
      <c r="C2" s="2317"/>
      <c r="D2" s="2317"/>
      <c r="E2" s="2317"/>
      <c r="F2" s="2317"/>
      <c r="G2" s="2317"/>
      <c r="H2" s="2317"/>
    </row>
    <row r="3" spans="1:8" ht="21" customHeight="1" x14ac:dyDescent="0.25">
      <c r="A3" s="2317"/>
      <c r="B3" s="2317"/>
      <c r="C3" s="2317"/>
      <c r="D3" s="2317"/>
      <c r="E3" s="2317"/>
      <c r="F3" s="2317"/>
      <c r="G3" s="2317"/>
      <c r="H3" s="2317"/>
    </row>
    <row r="4" spans="1:8" ht="30" customHeight="1" x14ac:dyDescent="0.25">
      <c r="A4" s="2318" t="s">
        <v>9829</v>
      </c>
      <c r="B4" s="2318"/>
      <c r="C4" s="2318"/>
      <c r="D4" s="2318"/>
      <c r="E4" s="2318"/>
      <c r="F4" s="2318"/>
      <c r="G4" s="2318"/>
      <c r="H4" s="2318"/>
    </row>
    <row r="5" spans="1:8" x14ac:dyDescent="0.3">
      <c r="A5" s="2388" t="s">
        <v>8175</v>
      </c>
      <c r="B5" s="2388"/>
      <c r="C5" s="2184" t="s">
        <v>6616</v>
      </c>
      <c r="D5" s="2185" t="s">
        <v>6617</v>
      </c>
      <c r="E5" s="2186" t="s">
        <v>6618</v>
      </c>
      <c r="F5" s="2187" t="s">
        <v>9830</v>
      </c>
      <c r="G5" s="949" t="s">
        <v>9864</v>
      </c>
      <c r="H5" s="949" t="s">
        <v>9865</v>
      </c>
    </row>
    <row r="6" spans="1:8" ht="16.5" customHeight="1" x14ac:dyDescent="0.25">
      <c r="B6" s="1099" t="s">
        <v>9407</v>
      </c>
      <c r="C6" s="1741"/>
      <c r="D6" s="1741"/>
      <c r="E6" s="1741"/>
      <c r="F6" s="1741"/>
      <c r="G6" s="1741"/>
      <c r="H6" s="1741"/>
    </row>
    <row r="7" spans="1:8" ht="36.75" customHeight="1" x14ac:dyDescent="0.3">
      <c r="A7" s="1727"/>
      <c r="B7" s="2072" t="s">
        <v>8349</v>
      </c>
      <c r="C7" s="1729"/>
      <c r="D7" s="1730"/>
      <c r="E7" s="1731"/>
      <c r="F7" s="1731"/>
      <c r="G7" s="1731"/>
      <c r="H7" s="1731"/>
    </row>
    <row r="8" spans="1:8" x14ac:dyDescent="0.25">
      <c r="A8" s="1732">
        <v>10.199999999999999</v>
      </c>
      <c r="B8" s="2073" t="s">
        <v>8176</v>
      </c>
      <c r="C8" s="1733" t="s">
        <v>5424</v>
      </c>
      <c r="D8" s="2075">
        <v>10</v>
      </c>
      <c r="E8" s="2076">
        <v>850000</v>
      </c>
      <c r="F8" s="1734">
        <f>+ROUND(D8*E8,0)</f>
        <v>8500000</v>
      </c>
      <c r="G8" s="2176">
        <f>+ROUND(E8*0.9,0)</f>
        <v>765000</v>
      </c>
      <c r="H8" s="2176">
        <f>+ROUND(E8*1.1,0)</f>
        <v>935000</v>
      </c>
    </row>
    <row r="9" spans="1:8" x14ac:dyDescent="0.25">
      <c r="A9" s="1732">
        <v>10.3</v>
      </c>
      <c r="B9" s="2073" t="s">
        <v>8177</v>
      </c>
      <c r="C9" s="1733" t="s">
        <v>5424</v>
      </c>
      <c r="D9" s="2075">
        <v>11</v>
      </c>
      <c r="E9" s="2076">
        <v>637302</v>
      </c>
      <c r="F9" s="1734">
        <f t="shared" ref="F9:F50" si="0">+ROUND(D9*E9,0)</f>
        <v>7010322</v>
      </c>
      <c r="G9" s="2176">
        <f t="shared" ref="G9:G72" si="1">+ROUND(E9*0.9,0)</f>
        <v>573572</v>
      </c>
      <c r="H9" s="2176">
        <f t="shared" ref="H9:H72" si="2">+ROUND(E9*1.1,0)</f>
        <v>701032</v>
      </c>
    </row>
    <row r="10" spans="1:8" x14ac:dyDescent="0.25">
      <c r="A10" s="1732">
        <v>10.4</v>
      </c>
      <c r="B10" s="2073" t="s">
        <v>9416</v>
      </c>
      <c r="C10" s="1733" t="s">
        <v>5734</v>
      </c>
      <c r="D10" s="2075">
        <v>500</v>
      </c>
      <c r="E10" s="2076">
        <v>655232</v>
      </c>
      <c r="F10" s="1734">
        <f t="shared" si="0"/>
        <v>327616000</v>
      </c>
      <c r="G10" s="2176">
        <f t="shared" si="1"/>
        <v>589709</v>
      </c>
      <c r="H10" s="2176">
        <f t="shared" si="2"/>
        <v>720755</v>
      </c>
    </row>
    <row r="11" spans="1:8" x14ac:dyDescent="0.25">
      <c r="A11" s="1732">
        <v>10.5</v>
      </c>
      <c r="B11" s="2073" t="s">
        <v>8178</v>
      </c>
      <c r="C11" s="1733" t="s">
        <v>5734</v>
      </c>
      <c r="D11" s="2075">
        <v>570</v>
      </c>
      <c r="E11" s="2076">
        <v>238300</v>
      </c>
      <c r="F11" s="1734">
        <f t="shared" si="0"/>
        <v>135831000</v>
      </c>
      <c r="G11" s="2176">
        <f t="shared" si="1"/>
        <v>214470</v>
      </c>
      <c r="H11" s="2176">
        <f t="shared" si="2"/>
        <v>262130</v>
      </c>
    </row>
    <row r="12" spans="1:8" x14ac:dyDescent="0.25">
      <c r="A12" s="1732">
        <v>10.6</v>
      </c>
      <c r="B12" s="2073" t="s">
        <v>8179</v>
      </c>
      <c r="C12" s="1733" t="s">
        <v>9653</v>
      </c>
      <c r="D12" s="2075">
        <v>10</v>
      </c>
      <c r="E12" s="2076">
        <v>1800530</v>
      </c>
      <c r="F12" s="1734">
        <f t="shared" si="0"/>
        <v>18005300</v>
      </c>
      <c r="G12" s="2176">
        <f t="shared" si="1"/>
        <v>1620477</v>
      </c>
      <c r="H12" s="2176">
        <f t="shared" si="2"/>
        <v>1980583</v>
      </c>
    </row>
    <row r="13" spans="1:8" x14ac:dyDescent="0.25">
      <c r="A13" s="1732">
        <v>10.7</v>
      </c>
      <c r="B13" s="2073" t="s">
        <v>8180</v>
      </c>
      <c r="C13" s="1733" t="s">
        <v>9653</v>
      </c>
      <c r="D13" s="2075">
        <v>13</v>
      </c>
      <c r="E13" s="2076">
        <v>2476911</v>
      </c>
      <c r="F13" s="1734">
        <f t="shared" si="0"/>
        <v>32199843</v>
      </c>
      <c r="G13" s="2176">
        <f t="shared" si="1"/>
        <v>2229220</v>
      </c>
      <c r="H13" s="2176">
        <f t="shared" si="2"/>
        <v>2724602</v>
      </c>
    </row>
    <row r="14" spans="1:8" x14ac:dyDescent="0.3">
      <c r="A14" s="1727"/>
      <c r="B14" s="1728" t="s">
        <v>9749</v>
      </c>
      <c r="C14" s="1729"/>
      <c r="D14" s="1730"/>
      <c r="E14" s="1731"/>
      <c r="F14" s="1731"/>
      <c r="G14" s="1731"/>
      <c r="H14" s="1731"/>
    </row>
    <row r="15" spans="1:8" ht="93" customHeight="1" x14ac:dyDescent="0.25">
      <c r="A15" s="1883">
        <v>10.8</v>
      </c>
      <c r="B15" s="2079" t="str">
        <f>+ListaAPUs!B208</f>
        <v>Mantenimiento celdas de entrada y salida y de  protección de transformadores (incluye Transporte de las celdas Madrid - Funza - Madrid / Mantenimiento de las celdas preventivo y predictivo(2 QM, 2 GAM, 1 IM) /Pintura/ Repuestos iniciales / Instalación puesta en servicio - Incluye IVA (19%)) *Mantenimiento con Schnider Schneider Electric de Colombia S.A.S</v>
      </c>
      <c r="C15" s="1733" t="s">
        <v>5460</v>
      </c>
      <c r="D15" s="2074">
        <v>1</v>
      </c>
      <c r="E15" s="2076">
        <v>36347955</v>
      </c>
      <c r="F15" s="1734">
        <f t="shared" si="0"/>
        <v>36347955</v>
      </c>
      <c r="G15" s="2176">
        <f t="shared" si="1"/>
        <v>32713160</v>
      </c>
      <c r="H15" s="2176">
        <f t="shared" si="2"/>
        <v>39982751</v>
      </c>
    </row>
    <row r="16" spans="1:8" ht="82.5" x14ac:dyDescent="0.25">
      <c r="A16" s="1732">
        <v>10.9</v>
      </c>
      <c r="B16" s="2194" t="str">
        <f>ListaAPUs!B209</f>
        <v>Mantenimiento celdas de medida GBC 36 kV, 3 CT´s, 3 TP,s, sin medidor (incluye Transporte de las celdas Madrid - Funza - Madrid / Mantenimiento de las celdas preventivo y predictivo/Pintura/ Repuestos iniciales / Instalación puesta en servicio  - Incluye IVA (19%)) *Mantenimiento con Schneider Electric de Colombia S.A.S</v>
      </c>
      <c r="C16" s="1733" t="s">
        <v>5460</v>
      </c>
      <c r="D16" s="2074">
        <v>1</v>
      </c>
      <c r="E16" s="2076">
        <v>64056510</v>
      </c>
      <c r="F16" s="1734">
        <f t="shared" si="0"/>
        <v>64056510</v>
      </c>
      <c r="G16" s="2176">
        <f t="shared" si="1"/>
        <v>57650859</v>
      </c>
      <c r="H16" s="2176">
        <f t="shared" si="2"/>
        <v>70462161</v>
      </c>
    </row>
    <row r="17" spans="1:8" ht="22.5" customHeight="1" x14ac:dyDescent="0.3">
      <c r="A17" s="1735"/>
      <c r="B17" s="2072" t="s">
        <v>8181</v>
      </c>
      <c r="C17" s="1729"/>
      <c r="D17" s="2077"/>
      <c r="E17" s="1731"/>
      <c r="F17" s="1731"/>
      <c r="G17" s="1731"/>
      <c r="H17" s="1731"/>
    </row>
    <row r="18" spans="1:8" ht="21.75" customHeight="1" x14ac:dyDescent="0.25">
      <c r="A18" s="1736">
        <v>10.109999999999998</v>
      </c>
      <c r="B18" s="1459" t="s">
        <v>8183</v>
      </c>
      <c r="C18" s="1733" t="s">
        <v>5734</v>
      </c>
      <c r="D18" s="2075">
        <v>90</v>
      </c>
      <c r="E18" s="2076">
        <v>238300</v>
      </c>
      <c r="F18" s="1734">
        <f t="shared" si="0"/>
        <v>21447000</v>
      </c>
      <c r="G18" s="2176">
        <f t="shared" si="1"/>
        <v>214470</v>
      </c>
      <c r="H18" s="2176">
        <f t="shared" si="2"/>
        <v>262130</v>
      </c>
    </row>
    <row r="19" spans="1:8" x14ac:dyDescent="0.3">
      <c r="A19" s="1735"/>
      <c r="B19" s="1728" t="s">
        <v>8184</v>
      </c>
      <c r="C19" s="1729"/>
      <c r="D19" s="2078"/>
      <c r="E19" s="1731"/>
      <c r="F19" s="1731"/>
      <c r="G19" s="1731"/>
      <c r="H19" s="1731"/>
    </row>
    <row r="20" spans="1:8" ht="55.5" customHeight="1" x14ac:dyDescent="0.25">
      <c r="A20" s="1736">
        <v>10.109999999999998</v>
      </c>
      <c r="B20" s="2079" t="s">
        <v>8185</v>
      </c>
      <c r="C20" s="1733" t="s">
        <v>5424</v>
      </c>
      <c r="D20" s="2075">
        <v>1</v>
      </c>
      <c r="E20" s="2076">
        <v>86319435</v>
      </c>
      <c r="F20" s="1734">
        <f t="shared" si="0"/>
        <v>86319435</v>
      </c>
      <c r="G20" s="2176">
        <f t="shared" si="1"/>
        <v>77687492</v>
      </c>
      <c r="H20" s="2176">
        <f t="shared" si="2"/>
        <v>94951379</v>
      </c>
    </row>
    <row r="21" spans="1:8" ht="49.5" x14ac:dyDescent="0.25">
      <c r="A21" s="1736">
        <v>10.129999999999997</v>
      </c>
      <c r="B21" s="2079" t="s">
        <v>8186</v>
      </c>
      <c r="C21" s="1733" t="s">
        <v>5424</v>
      </c>
      <c r="D21" s="2075">
        <v>1</v>
      </c>
      <c r="E21" s="2076">
        <v>99314235</v>
      </c>
      <c r="F21" s="1734">
        <f t="shared" si="0"/>
        <v>99314235</v>
      </c>
      <c r="G21" s="2176">
        <f t="shared" si="1"/>
        <v>89382812</v>
      </c>
      <c r="H21" s="2176">
        <f t="shared" si="2"/>
        <v>109245659</v>
      </c>
    </row>
    <row r="22" spans="1:8" x14ac:dyDescent="0.3">
      <c r="A22" s="1735"/>
      <c r="B22" s="1728" t="s">
        <v>8187</v>
      </c>
      <c r="C22" s="1729"/>
      <c r="D22" s="2078"/>
      <c r="E22" s="1731"/>
      <c r="F22" s="1731"/>
      <c r="G22" s="1731"/>
      <c r="H22" s="1731"/>
    </row>
    <row r="23" spans="1:8" ht="17.25" customHeight="1" x14ac:dyDescent="0.3">
      <c r="A23" s="1736">
        <v>10.139999999999997</v>
      </c>
      <c r="B23" s="1738" t="s">
        <v>9601</v>
      </c>
      <c r="C23" s="1733" t="s">
        <v>5460</v>
      </c>
      <c r="D23" s="2075">
        <v>1</v>
      </c>
      <c r="E23" s="2076">
        <v>248975204</v>
      </c>
      <c r="F23" s="1734">
        <f t="shared" si="0"/>
        <v>248975204</v>
      </c>
      <c r="G23" s="2176">
        <f t="shared" si="1"/>
        <v>224077684</v>
      </c>
      <c r="H23" s="2176">
        <f t="shared" si="2"/>
        <v>273872724</v>
      </c>
    </row>
    <row r="24" spans="1:8" x14ac:dyDescent="0.3">
      <c r="A24" s="1735"/>
      <c r="B24" s="1728" t="s">
        <v>8190</v>
      </c>
      <c r="C24" s="1729"/>
      <c r="D24" s="2078"/>
      <c r="E24" s="1731"/>
      <c r="F24" s="1731"/>
      <c r="G24" s="1731"/>
      <c r="H24" s="1731"/>
    </row>
    <row r="25" spans="1:8" ht="41.25" customHeight="1" x14ac:dyDescent="0.25">
      <c r="A25" s="1736">
        <v>10.149999999999997</v>
      </c>
      <c r="B25" s="2079" t="s">
        <v>8257</v>
      </c>
      <c r="C25" s="1733" t="s">
        <v>5460</v>
      </c>
      <c r="D25" s="2075">
        <v>1</v>
      </c>
      <c r="E25" s="2076">
        <v>45442797</v>
      </c>
      <c r="F25" s="1734">
        <f t="shared" si="0"/>
        <v>45442797</v>
      </c>
      <c r="G25" s="2176">
        <f t="shared" si="1"/>
        <v>40898517</v>
      </c>
      <c r="H25" s="2176">
        <f t="shared" si="2"/>
        <v>49987077</v>
      </c>
    </row>
    <row r="26" spans="1:8" x14ac:dyDescent="0.3">
      <c r="A26" s="1735"/>
      <c r="B26" s="1728" t="s">
        <v>8191</v>
      </c>
      <c r="C26" s="1729"/>
      <c r="D26" s="2078"/>
      <c r="E26" s="1731"/>
      <c r="F26" s="1731"/>
      <c r="G26" s="1731"/>
      <c r="H26" s="1731"/>
    </row>
    <row r="27" spans="1:8" ht="55.5" customHeight="1" x14ac:dyDescent="0.25">
      <c r="A27" s="1736">
        <v>10.159999999999997</v>
      </c>
      <c r="B27" s="1459" t="s">
        <v>8188</v>
      </c>
      <c r="C27" s="1733" t="s">
        <v>5424</v>
      </c>
      <c r="D27" s="2075">
        <v>1</v>
      </c>
      <c r="E27" s="2076">
        <v>1033852</v>
      </c>
      <c r="F27" s="1734">
        <f t="shared" si="0"/>
        <v>1033852</v>
      </c>
      <c r="G27" s="2176">
        <f t="shared" si="1"/>
        <v>930467</v>
      </c>
      <c r="H27" s="2176">
        <f t="shared" si="2"/>
        <v>1137237</v>
      </c>
    </row>
    <row r="28" spans="1:8" ht="23.25" customHeight="1" x14ac:dyDescent="0.25">
      <c r="A28" s="1736">
        <v>10.169999999999996</v>
      </c>
      <c r="B28" s="1459" t="s">
        <v>8189</v>
      </c>
      <c r="C28" s="1733" t="s">
        <v>5424</v>
      </c>
      <c r="D28" s="2075">
        <v>1</v>
      </c>
      <c r="E28" s="2076">
        <v>897952</v>
      </c>
      <c r="F28" s="1734">
        <f t="shared" si="0"/>
        <v>897952</v>
      </c>
      <c r="G28" s="2176">
        <f t="shared" si="1"/>
        <v>808157</v>
      </c>
      <c r="H28" s="2176">
        <f t="shared" si="2"/>
        <v>987747</v>
      </c>
    </row>
    <row r="29" spans="1:8" x14ac:dyDescent="0.3">
      <c r="A29" s="1735"/>
      <c r="B29" s="1728" t="s">
        <v>8192</v>
      </c>
      <c r="C29" s="1729"/>
      <c r="D29" s="2078"/>
      <c r="E29" s="1731"/>
      <c r="F29" s="1731"/>
      <c r="G29" s="1731"/>
      <c r="H29" s="1731"/>
    </row>
    <row r="30" spans="1:8" ht="33" x14ac:dyDescent="0.25">
      <c r="A30" s="1736">
        <v>10.179999999999996</v>
      </c>
      <c r="B30" s="2079" t="s">
        <v>8193</v>
      </c>
      <c r="C30" s="1733" t="s">
        <v>5734</v>
      </c>
      <c r="D30" s="2075">
        <v>8</v>
      </c>
      <c r="E30" s="2076">
        <v>856468</v>
      </c>
      <c r="F30" s="1734">
        <f>+ROUND(D30*E30,0)</f>
        <v>6851744</v>
      </c>
      <c r="G30" s="2176">
        <f t="shared" si="1"/>
        <v>770821</v>
      </c>
      <c r="H30" s="2176">
        <f t="shared" si="2"/>
        <v>942115</v>
      </c>
    </row>
    <row r="31" spans="1:8" ht="33" x14ac:dyDescent="0.25">
      <c r="A31" s="1736">
        <v>10.189999999999996</v>
      </c>
      <c r="B31" s="2079" t="s">
        <v>8194</v>
      </c>
      <c r="C31" s="1733" t="s">
        <v>5734</v>
      </c>
      <c r="D31" s="2075">
        <v>8</v>
      </c>
      <c r="E31" s="2076">
        <v>628622</v>
      </c>
      <c r="F31" s="1734">
        <f>+ROUND(D31*E31,0)</f>
        <v>5028976</v>
      </c>
      <c r="G31" s="2176">
        <f t="shared" si="1"/>
        <v>565760</v>
      </c>
      <c r="H31" s="2176">
        <f t="shared" si="2"/>
        <v>691484</v>
      </c>
    </row>
    <row r="32" spans="1:8" ht="33" x14ac:dyDescent="0.25">
      <c r="A32" s="1736" t="s">
        <v>9415</v>
      </c>
      <c r="B32" s="2079" t="s">
        <v>8195</v>
      </c>
      <c r="C32" s="1733" t="s">
        <v>5734</v>
      </c>
      <c r="D32" s="1736">
        <v>10</v>
      </c>
      <c r="E32" s="2076">
        <v>832848</v>
      </c>
      <c r="F32" s="1734">
        <f>+ROUND(D32*E32,0)</f>
        <v>8328480</v>
      </c>
      <c r="G32" s="2176">
        <f t="shared" si="1"/>
        <v>749563</v>
      </c>
      <c r="H32" s="2176">
        <f t="shared" si="2"/>
        <v>916133</v>
      </c>
    </row>
    <row r="33" spans="1:8" ht="33" x14ac:dyDescent="0.25">
      <c r="A33" s="1736">
        <v>10.210000000000001</v>
      </c>
      <c r="B33" s="2079" t="s">
        <v>9410</v>
      </c>
      <c r="C33" s="1733" t="s">
        <v>5734</v>
      </c>
      <c r="D33" s="1736">
        <v>10</v>
      </c>
      <c r="E33" s="2076">
        <v>1788593</v>
      </c>
      <c r="F33" s="1734">
        <f t="shared" si="0"/>
        <v>17885930</v>
      </c>
      <c r="G33" s="2176">
        <f t="shared" si="1"/>
        <v>1609734</v>
      </c>
      <c r="H33" s="2176">
        <f t="shared" si="2"/>
        <v>1967452</v>
      </c>
    </row>
    <row r="34" spans="1:8" x14ac:dyDescent="0.25">
      <c r="A34" s="1736">
        <v>10.220000000000001</v>
      </c>
      <c r="B34" s="2079" t="s">
        <v>9411</v>
      </c>
      <c r="C34" s="1733" t="s">
        <v>5734</v>
      </c>
      <c r="D34" s="1736">
        <v>10</v>
      </c>
      <c r="E34" s="2076">
        <v>1211083</v>
      </c>
      <c r="F34" s="1734">
        <f t="shared" si="0"/>
        <v>12110830</v>
      </c>
      <c r="G34" s="2176">
        <f t="shared" si="1"/>
        <v>1089975</v>
      </c>
      <c r="H34" s="2176">
        <f t="shared" si="2"/>
        <v>1332191</v>
      </c>
    </row>
    <row r="35" spans="1:8" x14ac:dyDescent="0.25">
      <c r="A35" s="1736">
        <v>10.23</v>
      </c>
      <c r="B35" s="2079" t="s">
        <v>9412</v>
      </c>
      <c r="C35" s="1733" t="s">
        <v>5734</v>
      </c>
      <c r="D35" s="1736">
        <v>10</v>
      </c>
      <c r="E35" s="2076">
        <v>1211083</v>
      </c>
      <c r="F35" s="1734">
        <f t="shared" si="0"/>
        <v>12110830</v>
      </c>
      <c r="G35" s="2176">
        <f t="shared" si="1"/>
        <v>1089975</v>
      </c>
      <c r="H35" s="2176">
        <f t="shared" si="2"/>
        <v>1332191</v>
      </c>
    </row>
    <row r="36" spans="1:8" x14ac:dyDescent="0.25">
      <c r="A36" s="1736">
        <v>10.24</v>
      </c>
      <c r="B36" s="2079" t="s">
        <v>9413</v>
      </c>
      <c r="C36" s="1733" t="s">
        <v>5734</v>
      </c>
      <c r="D36" s="1736">
        <v>10</v>
      </c>
      <c r="E36" s="2076">
        <v>1211083</v>
      </c>
      <c r="F36" s="1734">
        <f t="shared" si="0"/>
        <v>12110830</v>
      </c>
      <c r="G36" s="2176">
        <f t="shared" si="1"/>
        <v>1089975</v>
      </c>
      <c r="H36" s="2176">
        <f t="shared" si="2"/>
        <v>1332191</v>
      </c>
    </row>
    <row r="37" spans="1:8" ht="33" x14ac:dyDescent="0.25">
      <c r="A37" s="1736">
        <v>10.25</v>
      </c>
      <c r="B37" s="2079" t="s">
        <v>8196</v>
      </c>
      <c r="C37" s="1733" t="s">
        <v>5734</v>
      </c>
      <c r="D37" s="1736">
        <v>5</v>
      </c>
      <c r="E37" s="2076">
        <v>1493860</v>
      </c>
      <c r="F37" s="1734">
        <f t="shared" si="0"/>
        <v>7469300</v>
      </c>
      <c r="G37" s="2176">
        <f t="shared" si="1"/>
        <v>1344474</v>
      </c>
      <c r="H37" s="2176">
        <f t="shared" si="2"/>
        <v>1643246</v>
      </c>
    </row>
    <row r="38" spans="1:8" ht="33" x14ac:dyDescent="0.25">
      <c r="A38" s="1736">
        <v>10.26</v>
      </c>
      <c r="B38" s="2079" t="s">
        <v>8197</v>
      </c>
      <c r="C38" s="1733" t="s">
        <v>5734</v>
      </c>
      <c r="D38" s="1736">
        <v>35</v>
      </c>
      <c r="E38" s="2076">
        <v>65332</v>
      </c>
      <c r="F38" s="1734">
        <f t="shared" si="0"/>
        <v>2286620</v>
      </c>
      <c r="G38" s="2176">
        <f t="shared" si="1"/>
        <v>58799</v>
      </c>
      <c r="H38" s="2176">
        <f t="shared" si="2"/>
        <v>71865</v>
      </c>
    </row>
    <row r="39" spans="1:8" ht="33" x14ac:dyDescent="0.25">
      <c r="A39" s="1736">
        <v>10.27</v>
      </c>
      <c r="B39" s="2079" t="s">
        <v>8198</v>
      </c>
      <c r="C39" s="1733" t="s">
        <v>5734</v>
      </c>
      <c r="D39" s="2075">
        <v>35</v>
      </c>
      <c r="E39" s="2076">
        <v>65332</v>
      </c>
      <c r="F39" s="1734">
        <f t="shared" si="0"/>
        <v>2286620</v>
      </c>
      <c r="G39" s="2176">
        <f t="shared" si="1"/>
        <v>58799</v>
      </c>
      <c r="H39" s="2176">
        <f t="shared" si="2"/>
        <v>71865</v>
      </c>
    </row>
    <row r="40" spans="1:8" ht="33" x14ac:dyDescent="0.25">
      <c r="A40" s="1736">
        <v>10.28</v>
      </c>
      <c r="B40" s="2079" t="s">
        <v>8199</v>
      </c>
      <c r="C40" s="1733" t="s">
        <v>5734</v>
      </c>
      <c r="D40" s="2075">
        <v>30</v>
      </c>
      <c r="E40" s="2076">
        <v>65332</v>
      </c>
      <c r="F40" s="1734">
        <f t="shared" si="0"/>
        <v>1959960</v>
      </c>
      <c r="G40" s="2176">
        <f t="shared" si="1"/>
        <v>58799</v>
      </c>
      <c r="H40" s="2176">
        <f t="shared" si="2"/>
        <v>71865</v>
      </c>
    </row>
    <row r="41" spans="1:8" ht="33" x14ac:dyDescent="0.25">
      <c r="A41" s="1736">
        <v>10.29</v>
      </c>
      <c r="B41" s="2079" t="s">
        <v>8200</v>
      </c>
      <c r="C41" s="1733" t="s">
        <v>5734</v>
      </c>
      <c r="D41" s="2075">
        <v>5</v>
      </c>
      <c r="E41" s="2076">
        <v>60426</v>
      </c>
      <c r="F41" s="1734">
        <f t="shared" si="0"/>
        <v>302130</v>
      </c>
      <c r="G41" s="2176">
        <f t="shared" si="1"/>
        <v>54383</v>
      </c>
      <c r="H41" s="2176">
        <f t="shared" si="2"/>
        <v>66469</v>
      </c>
    </row>
    <row r="42" spans="1:8" ht="33" x14ac:dyDescent="0.25">
      <c r="A42" s="1736">
        <v>10.3</v>
      </c>
      <c r="B42" s="2079" t="s">
        <v>8201</v>
      </c>
      <c r="C42" s="1733" t="s">
        <v>5734</v>
      </c>
      <c r="D42" s="2075">
        <v>15</v>
      </c>
      <c r="E42" s="2076">
        <v>68718</v>
      </c>
      <c r="F42" s="1734">
        <f t="shared" si="0"/>
        <v>1030770</v>
      </c>
      <c r="G42" s="2176">
        <f t="shared" si="1"/>
        <v>61846</v>
      </c>
      <c r="H42" s="2176">
        <f t="shared" si="2"/>
        <v>75590</v>
      </c>
    </row>
    <row r="43" spans="1:8" ht="33" x14ac:dyDescent="0.25">
      <c r="A43" s="1736">
        <v>10.31</v>
      </c>
      <c r="B43" s="2079" t="s">
        <v>8202</v>
      </c>
      <c r="C43" s="1733" t="s">
        <v>5734</v>
      </c>
      <c r="D43" s="2075">
        <v>15</v>
      </c>
      <c r="E43" s="2076">
        <v>25139</v>
      </c>
      <c r="F43" s="1734">
        <f t="shared" si="0"/>
        <v>377085</v>
      </c>
      <c r="G43" s="2176">
        <f t="shared" si="1"/>
        <v>22625</v>
      </c>
      <c r="H43" s="2176">
        <f t="shared" si="2"/>
        <v>27653</v>
      </c>
    </row>
    <row r="44" spans="1:8" ht="33" x14ac:dyDescent="0.25">
      <c r="A44" s="1736">
        <v>10.32</v>
      </c>
      <c r="B44" s="2079" t="s">
        <v>8203</v>
      </c>
      <c r="C44" s="1733" t="s">
        <v>5734</v>
      </c>
      <c r="D44" s="2075">
        <v>25</v>
      </c>
      <c r="E44" s="2076">
        <v>59198</v>
      </c>
      <c r="F44" s="1734">
        <f t="shared" si="0"/>
        <v>1479950</v>
      </c>
      <c r="G44" s="2176">
        <f t="shared" si="1"/>
        <v>53278</v>
      </c>
      <c r="H44" s="2176">
        <f t="shared" si="2"/>
        <v>65118</v>
      </c>
    </row>
    <row r="45" spans="1:8" ht="33" x14ac:dyDescent="0.25">
      <c r="A45" s="1736">
        <v>10.33</v>
      </c>
      <c r="B45" s="2079" t="s">
        <v>8204</v>
      </c>
      <c r="C45" s="1733" t="s">
        <v>5734</v>
      </c>
      <c r="D45" s="2075">
        <v>50</v>
      </c>
      <c r="E45" s="2076">
        <v>597688</v>
      </c>
      <c r="F45" s="1734">
        <f t="shared" si="0"/>
        <v>29884400</v>
      </c>
      <c r="G45" s="2176">
        <f t="shared" si="1"/>
        <v>537919</v>
      </c>
      <c r="H45" s="2176">
        <f t="shared" si="2"/>
        <v>657457</v>
      </c>
    </row>
    <row r="46" spans="1:8" ht="33" x14ac:dyDescent="0.25">
      <c r="A46" s="1736">
        <v>10.34</v>
      </c>
      <c r="B46" s="2079" t="s">
        <v>8205</v>
      </c>
      <c r="C46" s="1733" t="s">
        <v>5734</v>
      </c>
      <c r="D46" s="2075">
        <v>53</v>
      </c>
      <c r="E46" s="2076">
        <v>597688</v>
      </c>
      <c r="F46" s="1734">
        <f t="shared" si="0"/>
        <v>31677464</v>
      </c>
      <c r="G46" s="2176">
        <f t="shared" si="1"/>
        <v>537919</v>
      </c>
      <c r="H46" s="2176">
        <f t="shared" si="2"/>
        <v>657457</v>
      </c>
    </row>
    <row r="47" spans="1:8" ht="33" x14ac:dyDescent="0.25">
      <c r="A47" s="1736">
        <v>10.35</v>
      </c>
      <c r="B47" s="2079" t="s">
        <v>8206</v>
      </c>
      <c r="C47" s="1733" t="s">
        <v>5734</v>
      </c>
      <c r="D47" s="2075">
        <v>56</v>
      </c>
      <c r="E47" s="2076">
        <v>597688</v>
      </c>
      <c r="F47" s="1734">
        <f t="shared" si="0"/>
        <v>33470528</v>
      </c>
      <c r="G47" s="2176">
        <f t="shared" si="1"/>
        <v>537919</v>
      </c>
      <c r="H47" s="2176">
        <f t="shared" si="2"/>
        <v>657457</v>
      </c>
    </row>
    <row r="48" spans="1:8" ht="33" x14ac:dyDescent="0.25">
      <c r="A48" s="1736">
        <v>10.36</v>
      </c>
      <c r="B48" s="2079" t="s">
        <v>8207</v>
      </c>
      <c r="C48" s="1733" t="s">
        <v>5734</v>
      </c>
      <c r="D48" s="2075">
        <v>59</v>
      </c>
      <c r="E48" s="2076">
        <v>597688</v>
      </c>
      <c r="F48" s="1734">
        <f t="shared" si="0"/>
        <v>35263592</v>
      </c>
      <c r="G48" s="2176">
        <f t="shared" si="1"/>
        <v>537919</v>
      </c>
      <c r="H48" s="2176">
        <f t="shared" si="2"/>
        <v>657457</v>
      </c>
    </row>
    <row r="49" spans="1:8" ht="33" x14ac:dyDescent="0.25">
      <c r="A49" s="1736">
        <v>10.37</v>
      </c>
      <c r="B49" s="2079" t="s">
        <v>8208</v>
      </c>
      <c r="C49" s="1733" t="s">
        <v>5734</v>
      </c>
      <c r="D49" s="2075">
        <v>60</v>
      </c>
      <c r="E49" s="2076">
        <v>597688</v>
      </c>
      <c r="F49" s="1734">
        <f t="shared" si="0"/>
        <v>35861280</v>
      </c>
      <c r="G49" s="2176">
        <f t="shared" si="1"/>
        <v>537919</v>
      </c>
      <c r="H49" s="2176">
        <f t="shared" si="2"/>
        <v>657457</v>
      </c>
    </row>
    <row r="50" spans="1:8" ht="33" x14ac:dyDescent="0.25">
      <c r="A50" s="1736">
        <v>10.38</v>
      </c>
      <c r="B50" s="2079" t="s">
        <v>8209</v>
      </c>
      <c r="C50" s="1733" t="s">
        <v>5734</v>
      </c>
      <c r="D50" s="2075">
        <v>50</v>
      </c>
      <c r="E50" s="2076">
        <v>67518</v>
      </c>
      <c r="F50" s="1734">
        <f t="shared" si="0"/>
        <v>3375900</v>
      </c>
      <c r="G50" s="2176">
        <f t="shared" si="1"/>
        <v>60766</v>
      </c>
      <c r="H50" s="2176">
        <f t="shared" si="2"/>
        <v>74270</v>
      </c>
    </row>
    <row r="51" spans="1:8" ht="33" x14ac:dyDescent="0.25">
      <c r="A51" s="1736">
        <v>10.39</v>
      </c>
      <c r="B51" s="2079" t="s">
        <v>8210</v>
      </c>
      <c r="C51" s="1733" t="s">
        <v>5734</v>
      </c>
      <c r="D51" s="2075">
        <v>35</v>
      </c>
      <c r="E51" s="2076">
        <v>67518</v>
      </c>
      <c r="F51" s="1734">
        <f>+ROUND(D51*E51,0)</f>
        <v>2363130</v>
      </c>
      <c r="G51" s="2176">
        <f t="shared" si="1"/>
        <v>60766</v>
      </c>
      <c r="H51" s="2176">
        <f t="shared" si="2"/>
        <v>74270</v>
      </c>
    </row>
    <row r="52" spans="1:8" x14ac:dyDescent="0.3">
      <c r="A52" s="1735"/>
      <c r="B52" s="1728" t="s">
        <v>8211</v>
      </c>
      <c r="C52" s="1729"/>
      <c r="D52" s="2078"/>
      <c r="E52" s="1731"/>
      <c r="F52" s="1731"/>
      <c r="G52" s="1731"/>
      <c r="H52" s="1731"/>
    </row>
    <row r="53" spans="1:8" x14ac:dyDescent="0.25">
      <c r="A53" s="1736">
        <v>10.4</v>
      </c>
      <c r="B53" s="1459" t="s">
        <v>8212</v>
      </c>
      <c r="C53" s="1733" t="s">
        <v>5424</v>
      </c>
      <c r="D53" s="2075">
        <v>1</v>
      </c>
      <c r="E53" s="2076">
        <v>1341702</v>
      </c>
      <c r="F53" s="1734">
        <f t="shared" ref="F53:F95" si="3">+ROUND(D53*E53,0)</f>
        <v>1341702</v>
      </c>
      <c r="G53" s="2176">
        <f t="shared" si="1"/>
        <v>1207532</v>
      </c>
      <c r="H53" s="2176">
        <f t="shared" si="2"/>
        <v>1475872</v>
      </c>
    </row>
    <row r="54" spans="1:8" x14ac:dyDescent="0.25">
      <c r="A54" s="1736">
        <v>10.41</v>
      </c>
      <c r="B54" s="1459" t="s">
        <v>8213</v>
      </c>
      <c r="C54" s="1733" t="s">
        <v>5424</v>
      </c>
      <c r="D54" s="2075">
        <v>3</v>
      </c>
      <c r="E54" s="2076">
        <v>904767</v>
      </c>
      <c r="F54" s="1734">
        <f t="shared" si="3"/>
        <v>2714301</v>
      </c>
      <c r="G54" s="2176">
        <f t="shared" si="1"/>
        <v>814290</v>
      </c>
      <c r="H54" s="2176">
        <f t="shared" si="2"/>
        <v>995244</v>
      </c>
    </row>
    <row r="55" spans="1:8" x14ac:dyDescent="0.25">
      <c r="A55" s="1736">
        <v>10.42</v>
      </c>
      <c r="B55" s="1459" t="s">
        <v>8214</v>
      </c>
      <c r="C55" s="1733" t="s">
        <v>5424</v>
      </c>
      <c r="D55" s="2075">
        <v>14</v>
      </c>
      <c r="E55" s="2076">
        <v>684217</v>
      </c>
      <c r="F55" s="1734">
        <f t="shared" si="3"/>
        <v>9579038</v>
      </c>
      <c r="G55" s="2176">
        <f t="shared" si="1"/>
        <v>615795</v>
      </c>
      <c r="H55" s="2176">
        <f t="shared" si="2"/>
        <v>752639</v>
      </c>
    </row>
    <row r="56" spans="1:8" x14ac:dyDescent="0.25">
      <c r="A56" s="1736">
        <v>10.43</v>
      </c>
      <c r="B56" s="1459" t="s">
        <v>8215</v>
      </c>
      <c r="C56" s="1733" t="s">
        <v>5424</v>
      </c>
      <c r="D56" s="2075">
        <v>2</v>
      </c>
      <c r="E56" s="2076">
        <v>2427367</v>
      </c>
      <c r="F56" s="1734">
        <f t="shared" si="3"/>
        <v>4854734</v>
      </c>
      <c r="G56" s="2176">
        <f t="shared" si="1"/>
        <v>2184630</v>
      </c>
      <c r="H56" s="2176">
        <f t="shared" si="2"/>
        <v>2670104</v>
      </c>
    </row>
    <row r="57" spans="1:8" x14ac:dyDescent="0.25">
      <c r="A57" s="1736">
        <v>10.44</v>
      </c>
      <c r="B57" s="1459" t="s">
        <v>8216</v>
      </c>
      <c r="C57" s="1733" t="s">
        <v>5734</v>
      </c>
      <c r="D57" s="2075">
        <v>25</v>
      </c>
      <c r="E57" s="2076">
        <v>1147115</v>
      </c>
      <c r="F57" s="1734">
        <f t="shared" si="3"/>
        <v>28677875</v>
      </c>
      <c r="G57" s="2176">
        <f t="shared" si="1"/>
        <v>1032404</v>
      </c>
      <c r="H57" s="2176">
        <f t="shared" si="2"/>
        <v>1261827</v>
      </c>
    </row>
    <row r="58" spans="1:8" x14ac:dyDescent="0.25">
      <c r="A58" s="1736">
        <v>10.45</v>
      </c>
      <c r="B58" s="1459" t="s">
        <v>8217</v>
      </c>
      <c r="C58" s="1733" t="s">
        <v>5734</v>
      </c>
      <c r="D58" s="2075">
        <v>35</v>
      </c>
      <c r="E58" s="2076">
        <v>151295</v>
      </c>
      <c r="F58" s="1734">
        <f t="shared" si="3"/>
        <v>5295325</v>
      </c>
      <c r="G58" s="2176">
        <f t="shared" si="1"/>
        <v>136166</v>
      </c>
      <c r="H58" s="2176">
        <f t="shared" si="2"/>
        <v>166425</v>
      </c>
    </row>
    <row r="59" spans="1:8" x14ac:dyDescent="0.25">
      <c r="A59" s="1736">
        <v>10.46</v>
      </c>
      <c r="B59" s="1459" t="s">
        <v>8218</v>
      </c>
      <c r="C59" s="1733" t="s">
        <v>5734</v>
      </c>
      <c r="D59" s="2075">
        <v>11</v>
      </c>
      <c r="E59" s="2076">
        <v>183302</v>
      </c>
      <c r="F59" s="1734">
        <f t="shared" si="3"/>
        <v>2016322</v>
      </c>
      <c r="G59" s="2176">
        <f t="shared" si="1"/>
        <v>164972</v>
      </c>
      <c r="H59" s="2176">
        <f t="shared" si="2"/>
        <v>201632</v>
      </c>
    </row>
    <row r="60" spans="1:8" x14ac:dyDescent="0.25">
      <c r="A60" s="1736">
        <v>10.47</v>
      </c>
      <c r="B60" s="1459" t="s">
        <v>8219</v>
      </c>
      <c r="C60" s="1733" t="s">
        <v>5734</v>
      </c>
      <c r="D60" s="2075">
        <v>7</v>
      </c>
      <c r="E60" s="2076">
        <v>113943</v>
      </c>
      <c r="F60" s="1734">
        <f t="shared" si="3"/>
        <v>797601</v>
      </c>
      <c r="G60" s="2176">
        <f t="shared" si="1"/>
        <v>102549</v>
      </c>
      <c r="H60" s="2176">
        <f t="shared" si="2"/>
        <v>125337</v>
      </c>
    </row>
    <row r="61" spans="1:8" x14ac:dyDescent="0.25">
      <c r="A61" s="1736">
        <v>10.48</v>
      </c>
      <c r="B61" s="1459" t="s">
        <v>8220</v>
      </c>
      <c r="C61" s="1733" t="s">
        <v>5734</v>
      </c>
      <c r="D61" s="2075">
        <v>2</v>
      </c>
      <c r="E61" s="2076">
        <v>165857</v>
      </c>
      <c r="F61" s="1734">
        <f t="shared" si="3"/>
        <v>331714</v>
      </c>
      <c r="G61" s="2176">
        <f t="shared" si="1"/>
        <v>149271</v>
      </c>
      <c r="H61" s="2176">
        <f t="shared" si="2"/>
        <v>182443</v>
      </c>
    </row>
    <row r="62" spans="1:8" ht="33" x14ac:dyDescent="0.25">
      <c r="A62" s="1736">
        <v>10.49</v>
      </c>
      <c r="B62" s="1459" t="s">
        <v>8221</v>
      </c>
      <c r="C62" s="1733" t="s">
        <v>5734</v>
      </c>
      <c r="D62" s="2075">
        <v>8</v>
      </c>
      <c r="E62" s="2076">
        <v>114557</v>
      </c>
      <c r="F62" s="1734">
        <f t="shared" si="3"/>
        <v>916456</v>
      </c>
      <c r="G62" s="2176">
        <f t="shared" si="1"/>
        <v>103101</v>
      </c>
      <c r="H62" s="2176">
        <f t="shared" si="2"/>
        <v>126013</v>
      </c>
    </row>
    <row r="63" spans="1:8" x14ac:dyDescent="0.25">
      <c r="A63" s="1736">
        <v>10.5</v>
      </c>
      <c r="B63" s="1459" t="s">
        <v>8222</v>
      </c>
      <c r="C63" s="1733" t="s">
        <v>5734</v>
      </c>
      <c r="D63" s="2075">
        <v>20</v>
      </c>
      <c r="E63" s="2076">
        <v>104117</v>
      </c>
      <c r="F63" s="1734">
        <f t="shared" si="3"/>
        <v>2082340</v>
      </c>
      <c r="G63" s="2176">
        <f t="shared" si="1"/>
        <v>93705</v>
      </c>
      <c r="H63" s="2176">
        <f t="shared" si="2"/>
        <v>114529</v>
      </c>
    </row>
    <row r="64" spans="1:8" ht="33" x14ac:dyDescent="0.25">
      <c r="A64" s="1736">
        <v>10.51</v>
      </c>
      <c r="B64" s="1459" t="s">
        <v>8223</v>
      </c>
      <c r="C64" s="1733" t="s">
        <v>5734</v>
      </c>
      <c r="D64" s="2075">
        <v>10</v>
      </c>
      <c r="E64" s="2076">
        <v>124117</v>
      </c>
      <c r="F64" s="1734">
        <f t="shared" si="3"/>
        <v>1241170</v>
      </c>
      <c r="G64" s="2176">
        <f t="shared" si="1"/>
        <v>111705</v>
      </c>
      <c r="H64" s="2176">
        <f t="shared" si="2"/>
        <v>136529</v>
      </c>
    </row>
    <row r="65" spans="1:8" x14ac:dyDescent="0.3">
      <c r="A65" s="1735"/>
      <c r="B65" s="1728" t="s">
        <v>8224</v>
      </c>
      <c r="C65" s="1729"/>
      <c r="D65" s="2078"/>
      <c r="E65" s="1731"/>
      <c r="F65" s="1731"/>
      <c r="G65" s="1731"/>
      <c r="H65" s="1731"/>
    </row>
    <row r="66" spans="1:8" x14ac:dyDescent="0.25">
      <c r="A66" s="1736">
        <v>10.52</v>
      </c>
      <c r="B66" s="1459" t="s">
        <v>8225</v>
      </c>
      <c r="C66" s="1733" t="s">
        <v>5424</v>
      </c>
      <c r="D66" s="2075">
        <v>14</v>
      </c>
      <c r="E66" s="2076">
        <v>451600</v>
      </c>
      <c r="F66" s="1734">
        <f t="shared" si="3"/>
        <v>6322400</v>
      </c>
      <c r="G66" s="2176">
        <f t="shared" si="1"/>
        <v>406440</v>
      </c>
      <c r="H66" s="2176">
        <f t="shared" si="2"/>
        <v>496760</v>
      </c>
    </row>
    <row r="67" spans="1:8" x14ac:dyDescent="0.25">
      <c r="A67" s="1736">
        <v>10.53</v>
      </c>
      <c r="B67" s="1459" t="s">
        <v>8226</v>
      </c>
      <c r="C67" s="1733" t="s">
        <v>5424</v>
      </c>
      <c r="D67" s="2075">
        <v>9</v>
      </c>
      <c r="E67" s="2076">
        <v>787950</v>
      </c>
      <c r="F67" s="1734">
        <f t="shared" si="3"/>
        <v>7091550</v>
      </c>
      <c r="G67" s="2176">
        <f t="shared" si="1"/>
        <v>709155</v>
      </c>
      <c r="H67" s="2176">
        <f t="shared" si="2"/>
        <v>866745</v>
      </c>
    </row>
    <row r="68" spans="1:8" x14ac:dyDescent="0.25">
      <c r="A68" s="1736">
        <v>10.54</v>
      </c>
      <c r="B68" s="1459" t="s">
        <v>8227</v>
      </c>
      <c r="C68" s="1733" t="s">
        <v>8238</v>
      </c>
      <c r="D68" s="2075">
        <v>9</v>
      </c>
      <c r="E68" s="2076">
        <v>218371</v>
      </c>
      <c r="F68" s="1734">
        <f t="shared" si="3"/>
        <v>1965339</v>
      </c>
      <c r="G68" s="2176">
        <f t="shared" si="1"/>
        <v>196534</v>
      </c>
      <c r="H68" s="2176">
        <f t="shared" si="2"/>
        <v>240208</v>
      </c>
    </row>
    <row r="69" spans="1:8" x14ac:dyDescent="0.25">
      <c r="A69" s="1736">
        <v>10.55</v>
      </c>
      <c r="B69" s="1459" t="s">
        <v>8228</v>
      </c>
      <c r="C69" s="1733" t="s">
        <v>5734</v>
      </c>
      <c r="D69" s="2075">
        <v>150</v>
      </c>
      <c r="E69" s="2076">
        <v>8279</v>
      </c>
      <c r="F69" s="1734">
        <f t="shared" si="3"/>
        <v>1241850</v>
      </c>
      <c r="G69" s="2176">
        <f t="shared" si="1"/>
        <v>7451</v>
      </c>
      <c r="H69" s="2176">
        <f t="shared" si="2"/>
        <v>9107</v>
      </c>
    </row>
    <row r="70" spans="1:8" ht="33" x14ac:dyDescent="0.25">
      <c r="A70" s="1736">
        <v>10.56</v>
      </c>
      <c r="B70" s="1459" t="s">
        <v>8229</v>
      </c>
      <c r="C70" s="1733" t="s">
        <v>5734</v>
      </c>
      <c r="D70" s="2075">
        <v>120</v>
      </c>
      <c r="E70" s="2076">
        <v>7100</v>
      </c>
      <c r="F70" s="1734">
        <f t="shared" si="3"/>
        <v>852000</v>
      </c>
      <c r="G70" s="2176">
        <f t="shared" si="1"/>
        <v>6390</v>
      </c>
      <c r="H70" s="2176">
        <f t="shared" si="2"/>
        <v>7810</v>
      </c>
    </row>
    <row r="71" spans="1:8" x14ac:dyDescent="0.25">
      <c r="A71" s="1736">
        <v>10.57</v>
      </c>
      <c r="B71" s="1459" t="s">
        <v>8230</v>
      </c>
      <c r="C71" s="1733" t="s">
        <v>5424</v>
      </c>
      <c r="D71" s="2075">
        <v>4</v>
      </c>
      <c r="E71" s="2076">
        <v>123120</v>
      </c>
      <c r="F71" s="1734">
        <f t="shared" si="3"/>
        <v>492480</v>
      </c>
      <c r="G71" s="2176">
        <f t="shared" si="1"/>
        <v>110808</v>
      </c>
      <c r="H71" s="2176">
        <f t="shared" si="2"/>
        <v>135432</v>
      </c>
    </row>
    <row r="72" spans="1:8" ht="33" x14ac:dyDescent="0.25">
      <c r="A72" s="1736">
        <v>10.58</v>
      </c>
      <c r="B72" s="1459" t="s">
        <v>8231</v>
      </c>
      <c r="C72" s="1733" t="s">
        <v>5424</v>
      </c>
      <c r="D72" s="2075">
        <v>3</v>
      </c>
      <c r="E72" s="2076">
        <v>106220</v>
      </c>
      <c r="F72" s="1734">
        <f t="shared" si="3"/>
        <v>318660</v>
      </c>
      <c r="G72" s="2176">
        <f t="shared" si="1"/>
        <v>95598</v>
      </c>
      <c r="H72" s="2176">
        <f t="shared" si="2"/>
        <v>116842</v>
      </c>
    </row>
    <row r="73" spans="1:8" ht="33" x14ac:dyDescent="0.25">
      <c r="A73" s="1736">
        <v>10.59</v>
      </c>
      <c r="B73" s="2079" t="s">
        <v>8232</v>
      </c>
      <c r="C73" s="1733" t="s">
        <v>5424</v>
      </c>
      <c r="D73" s="2075">
        <v>6</v>
      </c>
      <c r="E73" s="2076">
        <v>239456</v>
      </c>
      <c r="F73" s="1734">
        <f t="shared" si="3"/>
        <v>1436736</v>
      </c>
      <c r="G73" s="2176">
        <f t="shared" ref="G73:G97" si="4">+ROUND(E73*0.9,0)</f>
        <v>215510</v>
      </c>
      <c r="H73" s="2176">
        <f t="shared" ref="H73:H97" si="5">+ROUND(E73*1.1,0)</f>
        <v>263402</v>
      </c>
    </row>
    <row r="74" spans="1:8" ht="33" x14ac:dyDescent="0.25">
      <c r="A74" s="1736">
        <v>10.6</v>
      </c>
      <c r="B74" s="2079" t="s">
        <v>8233</v>
      </c>
      <c r="C74" s="1733" t="s">
        <v>5424</v>
      </c>
      <c r="D74" s="2075">
        <v>18</v>
      </c>
      <c r="E74" s="2076">
        <v>29643</v>
      </c>
      <c r="F74" s="1734">
        <f t="shared" si="3"/>
        <v>533574</v>
      </c>
      <c r="G74" s="2176">
        <f t="shared" si="4"/>
        <v>26679</v>
      </c>
      <c r="H74" s="2176">
        <f t="shared" si="5"/>
        <v>32607</v>
      </c>
    </row>
    <row r="75" spans="1:8" ht="33" x14ac:dyDescent="0.25">
      <c r="A75" s="1736">
        <v>10.61</v>
      </c>
      <c r="B75" s="1459" t="s">
        <v>8234</v>
      </c>
      <c r="C75" s="1733" t="s">
        <v>5424</v>
      </c>
      <c r="D75" s="2075">
        <v>1</v>
      </c>
      <c r="E75" s="2076">
        <v>94783</v>
      </c>
      <c r="F75" s="1734">
        <f t="shared" si="3"/>
        <v>94783</v>
      </c>
      <c r="G75" s="2176">
        <f t="shared" si="4"/>
        <v>85305</v>
      </c>
      <c r="H75" s="2176">
        <f t="shared" si="5"/>
        <v>104261</v>
      </c>
    </row>
    <row r="76" spans="1:8" ht="33" x14ac:dyDescent="0.25">
      <c r="A76" s="1736">
        <v>10.62</v>
      </c>
      <c r="B76" s="1459" t="s">
        <v>8235</v>
      </c>
      <c r="C76" s="1733" t="s">
        <v>5424</v>
      </c>
      <c r="D76" s="2075">
        <v>2</v>
      </c>
      <c r="E76" s="2076">
        <v>80715</v>
      </c>
      <c r="F76" s="1734">
        <f t="shared" si="3"/>
        <v>161430</v>
      </c>
      <c r="G76" s="2176">
        <f t="shared" si="4"/>
        <v>72644</v>
      </c>
      <c r="H76" s="2176">
        <f t="shared" si="5"/>
        <v>88787</v>
      </c>
    </row>
    <row r="77" spans="1:8" ht="18" customHeight="1" x14ac:dyDescent="0.25">
      <c r="A77" s="1736">
        <v>10.63</v>
      </c>
      <c r="B77" s="1459" t="s">
        <v>8236</v>
      </c>
      <c r="C77" s="1733" t="s">
        <v>5734</v>
      </c>
      <c r="D77" s="2075">
        <v>10</v>
      </c>
      <c r="E77" s="2076">
        <v>24256</v>
      </c>
      <c r="F77" s="1734">
        <f t="shared" si="3"/>
        <v>242560</v>
      </c>
      <c r="G77" s="2176">
        <f t="shared" si="4"/>
        <v>21830</v>
      </c>
      <c r="H77" s="2176">
        <f t="shared" si="5"/>
        <v>26682</v>
      </c>
    </row>
    <row r="78" spans="1:8" ht="21.75" customHeight="1" x14ac:dyDescent="0.25">
      <c r="A78" s="1736">
        <v>10.64</v>
      </c>
      <c r="B78" s="1459" t="s">
        <v>8237</v>
      </c>
      <c r="C78" s="1733" t="s">
        <v>5734</v>
      </c>
      <c r="D78" s="2075">
        <v>30</v>
      </c>
      <c r="E78" s="2076">
        <v>12498</v>
      </c>
      <c r="F78" s="1734">
        <f t="shared" si="3"/>
        <v>374940</v>
      </c>
      <c r="G78" s="2176">
        <f t="shared" si="4"/>
        <v>11248</v>
      </c>
      <c r="H78" s="2176">
        <f t="shared" si="5"/>
        <v>13748</v>
      </c>
    </row>
    <row r="79" spans="1:8" x14ac:dyDescent="0.3">
      <c r="A79" s="1735"/>
      <c r="B79" s="1728" t="s">
        <v>8239</v>
      </c>
      <c r="C79" s="1729"/>
      <c r="D79" s="2078"/>
      <c r="E79" s="1731"/>
      <c r="F79" s="1731"/>
      <c r="G79" s="1731"/>
      <c r="H79" s="1731"/>
    </row>
    <row r="80" spans="1:8" x14ac:dyDescent="0.25">
      <c r="A80" s="1736">
        <v>10.65</v>
      </c>
      <c r="B80" s="1459" t="s">
        <v>8240</v>
      </c>
      <c r="C80" s="1733" t="s">
        <v>5424</v>
      </c>
      <c r="D80" s="2075">
        <v>25</v>
      </c>
      <c r="E80" s="2076">
        <v>146900</v>
      </c>
      <c r="F80" s="1734">
        <f t="shared" si="3"/>
        <v>3672500</v>
      </c>
      <c r="G80" s="2176">
        <f t="shared" si="4"/>
        <v>132210</v>
      </c>
      <c r="H80" s="2176">
        <f t="shared" si="5"/>
        <v>161590</v>
      </c>
    </row>
    <row r="81" spans="1:8" x14ac:dyDescent="0.25">
      <c r="A81" s="1736">
        <v>10.66</v>
      </c>
      <c r="B81" s="1459" t="s">
        <v>8241</v>
      </c>
      <c r="C81" s="1733" t="s">
        <v>5424</v>
      </c>
      <c r="D81" s="2075">
        <v>175</v>
      </c>
      <c r="E81" s="2076">
        <v>24990</v>
      </c>
      <c r="F81" s="1734">
        <f t="shared" si="3"/>
        <v>4373250</v>
      </c>
      <c r="G81" s="2176">
        <f t="shared" si="4"/>
        <v>22491</v>
      </c>
      <c r="H81" s="2176">
        <f t="shared" si="5"/>
        <v>27489</v>
      </c>
    </row>
    <row r="82" spans="1:8" x14ac:dyDescent="0.25">
      <c r="A82" s="1736">
        <v>10.67</v>
      </c>
      <c r="B82" s="1459" t="s">
        <v>8242</v>
      </c>
      <c r="C82" s="1733" t="s">
        <v>5424</v>
      </c>
      <c r="D82" s="2075">
        <v>30</v>
      </c>
      <c r="E82" s="2076">
        <v>33160</v>
      </c>
      <c r="F82" s="1734">
        <f t="shared" si="3"/>
        <v>994800</v>
      </c>
      <c r="G82" s="2176">
        <f t="shared" si="4"/>
        <v>29844</v>
      </c>
      <c r="H82" s="2176">
        <f t="shared" si="5"/>
        <v>36476</v>
      </c>
    </row>
    <row r="83" spans="1:8" x14ac:dyDescent="0.25">
      <c r="A83" s="1736">
        <v>10.68</v>
      </c>
      <c r="B83" s="1459" t="s">
        <v>8243</v>
      </c>
      <c r="C83" s="1733" t="s">
        <v>5424</v>
      </c>
      <c r="D83" s="2075">
        <v>25</v>
      </c>
      <c r="E83" s="2076">
        <v>135350</v>
      </c>
      <c r="F83" s="1734">
        <f t="shared" si="3"/>
        <v>3383750</v>
      </c>
      <c r="G83" s="2176">
        <f t="shared" si="4"/>
        <v>121815</v>
      </c>
      <c r="H83" s="2176">
        <f t="shared" si="5"/>
        <v>148885</v>
      </c>
    </row>
    <row r="84" spans="1:8" x14ac:dyDescent="0.25">
      <c r="A84" s="1736">
        <v>10.69</v>
      </c>
      <c r="B84" s="1459" t="s">
        <v>8244</v>
      </c>
      <c r="C84" s="1733" t="s">
        <v>5424</v>
      </c>
      <c r="D84" s="2075">
        <v>4</v>
      </c>
      <c r="E84" s="2076">
        <v>137100</v>
      </c>
      <c r="F84" s="1734">
        <f t="shared" si="3"/>
        <v>548400</v>
      </c>
      <c r="G84" s="2176">
        <f t="shared" si="4"/>
        <v>123390</v>
      </c>
      <c r="H84" s="2176">
        <f t="shared" si="5"/>
        <v>150810</v>
      </c>
    </row>
    <row r="85" spans="1:8" x14ac:dyDescent="0.25">
      <c r="A85" s="1736">
        <v>10.7</v>
      </c>
      <c r="B85" s="1459" t="s">
        <v>8245</v>
      </c>
      <c r="C85" s="1733" t="s">
        <v>5424</v>
      </c>
      <c r="D85" s="2075">
        <v>16</v>
      </c>
      <c r="E85" s="2076">
        <v>117520</v>
      </c>
      <c r="F85" s="1734">
        <f t="shared" si="3"/>
        <v>1880320</v>
      </c>
      <c r="G85" s="2176">
        <f t="shared" si="4"/>
        <v>105768</v>
      </c>
      <c r="H85" s="2176">
        <f t="shared" si="5"/>
        <v>129272</v>
      </c>
    </row>
    <row r="86" spans="1:8" x14ac:dyDescent="0.3">
      <c r="A86" s="1735"/>
      <c r="B86" s="1728" t="s">
        <v>8246</v>
      </c>
      <c r="C86" s="1729"/>
      <c r="D86" s="2078"/>
      <c r="E86" s="1731"/>
      <c r="F86" s="1731"/>
      <c r="G86" s="1731"/>
      <c r="H86" s="1731"/>
    </row>
    <row r="87" spans="1:8" ht="231" x14ac:dyDescent="0.25">
      <c r="A87" s="1884">
        <v>10.71</v>
      </c>
      <c r="B87" s="2067" t="s">
        <v>9027</v>
      </c>
      <c r="C87" s="1733" t="s">
        <v>5475</v>
      </c>
      <c r="D87" s="2075">
        <v>1</v>
      </c>
      <c r="E87" s="2076">
        <v>66606872</v>
      </c>
      <c r="F87" s="1734">
        <f t="shared" si="3"/>
        <v>66606872</v>
      </c>
      <c r="G87" s="2176">
        <f t="shared" si="4"/>
        <v>59946185</v>
      </c>
      <c r="H87" s="2176">
        <f t="shared" si="5"/>
        <v>73267559</v>
      </c>
    </row>
    <row r="88" spans="1:8" ht="33" x14ac:dyDescent="0.25">
      <c r="A88" s="1736">
        <v>10.72</v>
      </c>
      <c r="B88" s="1459" t="s">
        <v>8247</v>
      </c>
      <c r="C88" s="1733" t="s">
        <v>5734</v>
      </c>
      <c r="D88" s="2075">
        <v>300</v>
      </c>
      <c r="E88" s="2076">
        <v>7885</v>
      </c>
      <c r="F88" s="1734">
        <f t="shared" si="3"/>
        <v>2365500</v>
      </c>
      <c r="G88" s="2176">
        <f t="shared" si="4"/>
        <v>7097</v>
      </c>
      <c r="H88" s="2176">
        <f t="shared" si="5"/>
        <v>8674</v>
      </c>
    </row>
    <row r="89" spans="1:8" ht="33" x14ac:dyDescent="0.25">
      <c r="A89" s="1736">
        <v>10.73</v>
      </c>
      <c r="B89" s="1459" t="s">
        <v>8248</v>
      </c>
      <c r="C89" s="1733" t="s">
        <v>5734</v>
      </c>
      <c r="D89" s="2075">
        <v>450</v>
      </c>
      <c r="E89" s="2076">
        <v>12442</v>
      </c>
      <c r="F89" s="1734">
        <f t="shared" si="3"/>
        <v>5598900</v>
      </c>
      <c r="G89" s="2176">
        <f t="shared" si="4"/>
        <v>11198</v>
      </c>
      <c r="H89" s="2176">
        <f t="shared" si="5"/>
        <v>13686</v>
      </c>
    </row>
    <row r="90" spans="1:8" x14ac:dyDescent="0.25">
      <c r="A90" s="1736">
        <v>10.74</v>
      </c>
      <c r="B90" s="1459" t="s">
        <v>8249</v>
      </c>
      <c r="C90" s="1733" t="s">
        <v>5734</v>
      </c>
      <c r="D90" s="2075">
        <v>200</v>
      </c>
      <c r="E90" s="2076">
        <v>7778</v>
      </c>
      <c r="F90" s="1734">
        <f t="shared" si="3"/>
        <v>1555600</v>
      </c>
      <c r="G90" s="2176">
        <f t="shared" si="4"/>
        <v>7000</v>
      </c>
      <c r="H90" s="2176">
        <f t="shared" si="5"/>
        <v>8556</v>
      </c>
    </row>
    <row r="91" spans="1:8" x14ac:dyDescent="0.25">
      <c r="A91" s="1736">
        <v>10.75</v>
      </c>
      <c r="B91" s="1459" t="s">
        <v>8250</v>
      </c>
      <c r="C91" s="1733" t="s">
        <v>5424</v>
      </c>
      <c r="D91" s="2075">
        <v>6</v>
      </c>
      <c r="E91" s="2076">
        <v>10330</v>
      </c>
      <c r="F91" s="1734">
        <f t="shared" si="3"/>
        <v>61980</v>
      </c>
      <c r="G91" s="2176">
        <f t="shared" si="4"/>
        <v>9297</v>
      </c>
      <c r="H91" s="2176">
        <f t="shared" si="5"/>
        <v>11363</v>
      </c>
    </row>
    <row r="92" spans="1:8" x14ac:dyDescent="0.25">
      <c r="A92" s="1736">
        <v>10.76</v>
      </c>
      <c r="B92" s="1459" t="s">
        <v>8251</v>
      </c>
      <c r="C92" s="1733" t="s">
        <v>5734</v>
      </c>
      <c r="D92" s="2075">
        <v>100</v>
      </c>
      <c r="E92" s="2076">
        <v>14852</v>
      </c>
      <c r="F92" s="1734">
        <f t="shared" si="3"/>
        <v>1485200</v>
      </c>
      <c r="G92" s="2176">
        <f t="shared" si="4"/>
        <v>13367</v>
      </c>
      <c r="H92" s="2176">
        <f t="shared" si="5"/>
        <v>16337</v>
      </c>
    </row>
    <row r="93" spans="1:8" x14ac:dyDescent="0.25">
      <c r="A93" s="1736">
        <v>10.77</v>
      </c>
      <c r="B93" s="1459" t="s">
        <v>8252</v>
      </c>
      <c r="C93" s="1733" t="s">
        <v>5734</v>
      </c>
      <c r="D93" s="2075">
        <v>25</v>
      </c>
      <c r="E93" s="2076">
        <v>7670</v>
      </c>
      <c r="F93" s="1734">
        <f t="shared" si="3"/>
        <v>191750</v>
      </c>
      <c r="G93" s="2176">
        <f t="shared" si="4"/>
        <v>6903</v>
      </c>
      <c r="H93" s="2176">
        <f t="shared" si="5"/>
        <v>8437</v>
      </c>
    </row>
    <row r="94" spans="1:8" x14ac:dyDescent="0.25">
      <c r="A94" s="1736">
        <v>10.78</v>
      </c>
      <c r="B94" s="1459" t="s">
        <v>8253</v>
      </c>
      <c r="C94" s="1733" t="s">
        <v>5424</v>
      </c>
      <c r="D94" s="2075">
        <v>1</v>
      </c>
      <c r="E94" s="2076">
        <v>8409052</v>
      </c>
      <c r="F94" s="1734">
        <f t="shared" si="3"/>
        <v>8409052</v>
      </c>
      <c r="G94" s="2176">
        <f t="shared" si="4"/>
        <v>7568147</v>
      </c>
      <c r="H94" s="2176">
        <f t="shared" si="5"/>
        <v>9249957</v>
      </c>
    </row>
    <row r="95" spans="1:8" x14ac:dyDescent="0.25">
      <c r="A95" s="1736">
        <v>10.79</v>
      </c>
      <c r="B95" s="1459" t="s">
        <v>8254</v>
      </c>
      <c r="C95" s="1733" t="s">
        <v>5424</v>
      </c>
      <c r="D95" s="2075">
        <v>5</v>
      </c>
      <c r="E95" s="2076">
        <v>200300</v>
      </c>
      <c r="F95" s="1734">
        <f t="shared" si="3"/>
        <v>1001500</v>
      </c>
      <c r="G95" s="2176">
        <f t="shared" si="4"/>
        <v>180270</v>
      </c>
      <c r="H95" s="2176">
        <f t="shared" si="5"/>
        <v>220330</v>
      </c>
    </row>
    <row r="96" spans="1:8" x14ac:dyDescent="0.3">
      <c r="A96" s="1735"/>
      <c r="B96" s="1728" t="s">
        <v>8255</v>
      </c>
      <c r="C96" s="1729"/>
      <c r="D96" s="2078"/>
      <c r="E96" s="1731"/>
      <c r="F96" s="1731"/>
      <c r="G96" s="1731"/>
      <c r="H96" s="1731"/>
    </row>
    <row r="97" spans="1:8" ht="33" x14ac:dyDescent="0.25">
      <c r="A97" s="1736">
        <v>10.8</v>
      </c>
      <c r="B97" s="1459" t="s">
        <v>9028</v>
      </c>
      <c r="C97" s="1733" t="s">
        <v>5460</v>
      </c>
      <c r="D97" s="2075">
        <v>1</v>
      </c>
      <c r="E97" s="1733">
        <v>141585000</v>
      </c>
      <c r="F97" s="1734">
        <f>+ROUND(D97*E97,0)</f>
        <v>141585000</v>
      </c>
      <c r="G97" s="2176">
        <f t="shared" si="4"/>
        <v>127426500</v>
      </c>
      <c r="H97" s="2176">
        <f t="shared" si="5"/>
        <v>155743500</v>
      </c>
    </row>
    <row r="98" spans="1:8" x14ac:dyDescent="0.3">
      <c r="C98" s="2380" t="s">
        <v>9852</v>
      </c>
      <c r="D98" s="2381"/>
      <c r="E98" s="2382"/>
      <c r="F98" s="2080">
        <f>+SUM(F7:F97)</f>
        <v>1721205008</v>
      </c>
    </row>
  </sheetData>
  <sheetProtection algorithmName="SHA-512" hashValue="5K1MJgiazWIDSKQwXTbzN2ww67cGQW6hIePW6WlZFl6WCwdePPx+LtpJRO/dCScAeY+pBOaaQKtEx+49EzNimQ==" saltValue="KCKk+r8sgUH+PhLxShftyw==" spinCount="100000" sheet="1" objects="1" scenarios="1" selectLockedCells="1" selectUnlockedCells="1"/>
  <mergeCells count="4">
    <mergeCell ref="C98:E98"/>
    <mergeCell ref="A5:B5"/>
    <mergeCell ref="A1:H3"/>
    <mergeCell ref="A4:H4"/>
  </mergeCells>
  <pageMargins left="0.70866141732283472" right="0.70866141732283472" top="0.74803149606299213" bottom="0.74803149606299213" header="0.31496062992125984" footer="0.31496062992125984"/>
  <pageSetup scale="52" fitToHeight="0" orientation="portrait" r:id="rId1"/>
  <rowBreaks count="1" manualBreakCount="1">
    <brk id="50" max="7"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H61"/>
  <sheetViews>
    <sheetView view="pageBreakPreview" topLeftCell="A7" zoomScaleNormal="100" zoomScaleSheetLayoutView="100" workbookViewId="0">
      <selection activeCell="G43" sqref="G43"/>
    </sheetView>
  </sheetViews>
  <sheetFormatPr baseColWidth="10" defaultRowHeight="16.5" x14ac:dyDescent="0.25"/>
  <cols>
    <col min="1" max="1" width="11.5703125" style="1086" bestFit="1" customWidth="1"/>
    <col min="2" max="2" width="68" style="1090" customWidth="1"/>
    <col min="3" max="3" width="12.140625" style="1090" customWidth="1"/>
    <col min="4" max="4" width="9.42578125" style="1090" bestFit="1" customWidth="1"/>
    <col min="5" max="5" width="16.28515625" style="1090" bestFit="1" customWidth="1"/>
    <col min="6" max="6" width="19.85546875" style="1090" bestFit="1" customWidth="1"/>
    <col min="7" max="7" width="22.42578125" style="1090" customWidth="1"/>
    <col min="8" max="8" width="27.28515625" style="1090" customWidth="1"/>
    <col min="9" max="16384" width="11.42578125" style="1090"/>
  </cols>
  <sheetData>
    <row r="1" spans="1:8" ht="16.5" customHeight="1" x14ac:dyDescent="0.25">
      <c r="A1" s="2326" t="s">
        <v>9817</v>
      </c>
      <c r="B1" s="2326"/>
      <c r="C1" s="2326"/>
      <c r="D1" s="2326"/>
      <c r="E1" s="2326"/>
      <c r="F1" s="2326"/>
      <c r="G1" s="2326"/>
      <c r="H1" s="2326"/>
    </row>
    <row r="2" spans="1:8" ht="28.5" customHeight="1" x14ac:dyDescent="0.25">
      <c r="A2" s="2326"/>
      <c r="B2" s="2326"/>
      <c r="C2" s="2326"/>
      <c r="D2" s="2326"/>
      <c r="E2" s="2326"/>
      <c r="F2" s="2326"/>
      <c r="G2" s="2326"/>
      <c r="H2" s="2326"/>
    </row>
    <row r="3" spans="1:8" ht="15" customHeight="1" x14ac:dyDescent="0.25">
      <c r="A3" s="2326"/>
      <c r="B3" s="2326"/>
      <c r="C3" s="2326"/>
      <c r="D3" s="2326"/>
      <c r="E3" s="2326"/>
      <c r="F3" s="2326"/>
      <c r="G3" s="2326"/>
      <c r="H3" s="2326"/>
    </row>
    <row r="4" spans="1:8" ht="15" customHeight="1" x14ac:dyDescent="0.25">
      <c r="A4" s="2327" t="s">
        <v>8635</v>
      </c>
      <c r="B4" s="2327"/>
      <c r="C4" s="2327"/>
      <c r="D4" s="2327"/>
      <c r="E4" s="2327"/>
      <c r="F4" s="2327"/>
      <c r="G4" s="2327"/>
      <c r="H4" s="2327"/>
    </row>
    <row r="5" spans="1:8" x14ac:dyDescent="0.3">
      <c r="A5" s="2375" t="s">
        <v>2</v>
      </c>
      <c r="B5" s="2375"/>
      <c r="C5" s="947" t="s">
        <v>6616</v>
      </c>
      <c r="D5" s="947" t="s">
        <v>6617</v>
      </c>
      <c r="E5" s="2109" t="s">
        <v>6618</v>
      </c>
      <c r="F5" s="2110" t="s">
        <v>9831</v>
      </c>
      <c r="G5" s="949" t="s">
        <v>9864</v>
      </c>
      <c r="H5" s="949" t="s">
        <v>9865</v>
      </c>
    </row>
    <row r="6" spans="1:8" x14ac:dyDescent="0.25">
      <c r="A6" s="1507"/>
      <c r="B6" s="1096" t="s">
        <v>8167</v>
      </c>
      <c r="C6" s="849"/>
      <c r="D6" s="1093"/>
      <c r="E6" s="1094"/>
      <c r="F6" s="1095"/>
      <c r="G6" s="1095"/>
      <c r="H6" s="1095"/>
    </row>
    <row r="7" spans="1:8" x14ac:dyDescent="0.25">
      <c r="A7" s="1463">
        <v>1.1000000000000001</v>
      </c>
      <c r="B7" s="2111" t="s">
        <v>7204</v>
      </c>
      <c r="C7" s="1460" t="s">
        <v>5734</v>
      </c>
      <c r="D7" s="1075">
        <v>14</v>
      </c>
      <c r="E7" s="2066">
        <v>1913</v>
      </c>
      <c r="F7" s="2068">
        <f>+ROUND(E7*D7,0)</f>
        <v>26782</v>
      </c>
      <c r="G7" s="2176">
        <f>+ROUND(E7*0.9,0)</f>
        <v>1722</v>
      </c>
      <c r="H7" s="2176">
        <f>+ROUND(E7*1.1,0)</f>
        <v>2104</v>
      </c>
    </row>
    <row r="8" spans="1:8" x14ac:dyDescent="0.25">
      <c r="A8" s="1463">
        <v>1.2</v>
      </c>
      <c r="B8" s="2111" t="s">
        <v>7205</v>
      </c>
      <c r="C8" s="1460" t="s">
        <v>5556</v>
      </c>
      <c r="D8" s="1075">
        <v>57.15</v>
      </c>
      <c r="E8" s="2066">
        <v>2899</v>
      </c>
      <c r="F8" s="2068">
        <f t="shared" ref="F8:F28" si="0">+ROUND(E8*D8,0)</f>
        <v>165678</v>
      </c>
      <c r="G8" s="2176">
        <f t="shared" ref="G8:G60" si="1">+ROUND(E8*0.9,0)</f>
        <v>2609</v>
      </c>
      <c r="H8" s="2176">
        <f t="shared" ref="H8:H60" si="2">+ROUND(E8*1.1,0)</f>
        <v>3189</v>
      </c>
    </row>
    <row r="9" spans="1:8" x14ac:dyDescent="0.25">
      <c r="A9" s="1463" t="s">
        <v>5458</v>
      </c>
      <c r="B9" s="2111" t="s">
        <v>5968</v>
      </c>
      <c r="C9" s="1460" t="s">
        <v>6858</v>
      </c>
      <c r="D9" s="1075">
        <v>211.45</v>
      </c>
      <c r="E9" s="2066">
        <v>24270</v>
      </c>
      <c r="F9" s="2068">
        <f t="shared" si="0"/>
        <v>5131892</v>
      </c>
      <c r="G9" s="2176">
        <f t="shared" si="1"/>
        <v>21843</v>
      </c>
      <c r="H9" s="2176">
        <f t="shared" si="2"/>
        <v>26697</v>
      </c>
    </row>
    <row r="10" spans="1:8" ht="33" x14ac:dyDescent="0.25">
      <c r="A10" s="1463" t="s">
        <v>97</v>
      </c>
      <c r="B10" s="1074" t="s">
        <v>9819</v>
      </c>
      <c r="C10" s="1460" t="s">
        <v>6858</v>
      </c>
      <c r="D10" s="1075">
        <v>11.43</v>
      </c>
      <c r="E10" s="2066">
        <v>52233</v>
      </c>
      <c r="F10" s="2068">
        <f t="shared" si="0"/>
        <v>597023</v>
      </c>
      <c r="G10" s="2176">
        <f t="shared" si="1"/>
        <v>47010</v>
      </c>
      <c r="H10" s="2176">
        <f t="shared" si="2"/>
        <v>57456</v>
      </c>
    </row>
    <row r="11" spans="1:8" x14ac:dyDescent="0.25">
      <c r="A11" s="1463" t="s">
        <v>5976</v>
      </c>
      <c r="B11" s="1435" t="s">
        <v>7982</v>
      </c>
      <c r="C11" s="1460" t="s">
        <v>6858</v>
      </c>
      <c r="D11" s="1075">
        <v>274.88</v>
      </c>
      <c r="E11" s="2066">
        <v>34912</v>
      </c>
      <c r="F11" s="2068">
        <f t="shared" si="0"/>
        <v>9596611</v>
      </c>
      <c r="G11" s="2176">
        <f t="shared" si="1"/>
        <v>31421</v>
      </c>
      <c r="H11" s="2176">
        <f t="shared" si="2"/>
        <v>38403</v>
      </c>
    </row>
    <row r="12" spans="1:8" ht="33" x14ac:dyDescent="0.25">
      <c r="A12" s="1463" t="s">
        <v>873</v>
      </c>
      <c r="B12" s="2087" t="s">
        <v>7937</v>
      </c>
      <c r="C12" s="1460" t="s">
        <v>6858</v>
      </c>
      <c r="D12" s="1075">
        <v>2.86</v>
      </c>
      <c r="E12" s="2066">
        <v>396261</v>
      </c>
      <c r="F12" s="2068">
        <f t="shared" si="0"/>
        <v>1133306</v>
      </c>
      <c r="G12" s="2176">
        <f t="shared" si="1"/>
        <v>356635</v>
      </c>
      <c r="H12" s="2176">
        <f t="shared" si="2"/>
        <v>435887</v>
      </c>
    </row>
    <row r="13" spans="1:8" ht="33" x14ac:dyDescent="0.25">
      <c r="A13" s="1463" t="s">
        <v>8575</v>
      </c>
      <c r="B13" s="1464" t="s">
        <v>9397</v>
      </c>
      <c r="C13" s="1460" t="s">
        <v>6858</v>
      </c>
      <c r="D13" s="1075">
        <v>14.29</v>
      </c>
      <c r="E13" s="2066">
        <v>613345</v>
      </c>
      <c r="F13" s="2068">
        <f t="shared" si="0"/>
        <v>8764700</v>
      </c>
      <c r="G13" s="2176">
        <f t="shared" si="1"/>
        <v>552011</v>
      </c>
      <c r="H13" s="2176">
        <f t="shared" si="2"/>
        <v>674680</v>
      </c>
    </row>
    <row r="14" spans="1:8" ht="33" x14ac:dyDescent="0.25">
      <c r="A14" s="1463" t="s">
        <v>8576</v>
      </c>
      <c r="B14" s="1464" t="s">
        <v>9398</v>
      </c>
      <c r="C14" s="1460" t="s">
        <v>6858</v>
      </c>
      <c r="D14" s="1075">
        <v>36.1</v>
      </c>
      <c r="E14" s="2066">
        <v>793562</v>
      </c>
      <c r="F14" s="2068">
        <f t="shared" si="0"/>
        <v>28647588</v>
      </c>
      <c r="G14" s="2176">
        <f t="shared" si="1"/>
        <v>714206</v>
      </c>
      <c r="H14" s="2176">
        <f t="shared" si="2"/>
        <v>872918</v>
      </c>
    </row>
    <row r="15" spans="1:8" ht="33" x14ac:dyDescent="0.25">
      <c r="A15" s="1463" t="s">
        <v>8577</v>
      </c>
      <c r="B15" s="1464" t="s">
        <v>9399</v>
      </c>
      <c r="C15" s="1460" t="s">
        <v>6858</v>
      </c>
      <c r="D15" s="1075">
        <v>1</v>
      </c>
      <c r="E15" s="2066">
        <v>612002</v>
      </c>
      <c r="F15" s="2068">
        <f t="shared" si="0"/>
        <v>612002</v>
      </c>
      <c r="G15" s="2176">
        <f t="shared" si="1"/>
        <v>550802</v>
      </c>
      <c r="H15" s="2176">
        <f t="shared" si="2"/>
        <v>673202</v>
      </c>
    </row>
    <row r="16" spans="1:8" x14ac:dyDescent="0.25">
      <c r="A16" s="1463" t="s">
        <v>233</v>
      </c>
      <c r="B16" s="1435" t="s">
        <v>5573</v>
      </c>
      <c r="C16" s="1460" t="s">
        <v>5431</v>
      </c>
      <c r="D16" s="1075">
        <v>7557.58</v>
      </c>
      <c r="E16" s="2066">
        <v>3841</v>
      </c>
      <c r="F16" s="2068">
        <f t="shared" si="0"/>
        <v>29028665</v>
      </c>
      <c r="G16" s="2176">
        <f t="shared" si="1"/>
        <v>3457</v>
      </c>
      <c r="H16" s="2176">
        <f t="shared" si="2"/>
        <v>4225</v>
      </c>
    </row>
    <row r="17" spans="1:8" x14ac:dyDescent="0.25">
      <c r="A17" s="1463" t="s">
        <v>5585</v>
      </c>
      <c r="B17" s="1435" t="s">
        <v>7929</v>
      </c>
      <c r="C17" s="1460" t="s">
        <v>5424</v>
      </c>
      <c r="D17" s="1463">
        <v>20</v>
      </c>
      <c r="E17" s="2066">
        <v>29456</v>
      </c>
      <c r="F17" s="2068">
        <f t="shared" si="0"/>
        <v>589120</v>
      </c>
      <c r="G17" s="2176">
        <f t="shared" si="1"/>
        <v>26510</v>
      </c>
      <c r="H17" s="2176">
        <f t="shared" si="2"/>
        <v>32402</v>
      </c>
    </row>
    <row r="18" spans="1:8" x14ac:dyDescent="0.25">
      <c r="A18" s="1463" t="s">
        <v>5583</v>
      </c>
      <c r="B18" s="1435" t="s">
        <v>8992</v>
      </c>
      <c r="C18" s="1460" t="s">
        <v>5424</v>
      </c>
      <c r="D18" s="1075">
        <v>2</v>
      </c>
      <c r="E18" s="2066">
        <v>819794</v>
      </c>
      <c r="F18" s="2068">
        <f t="shared" si="0"/>
        <v>1639588</v>
      </c>
      <c r="G18" s="2176">
        <f t="shared" si="1"/>
        <v>737815</v>
      </c>
      <c r="H18" s="2176">
        <f t="shared" si="2"/>
        <v>901773</v>
      </c>
    </row>
    <row r="19" spans="1:8" x14ac:dyDescent="0.25">
      <c r="A19" s="1510"/>
      <c r="B19" s="1096" t="s">
        <v>8346</v>
      </c>
      <c r="C19" s="849"/>
      <c r="D19" s="1093"/>
      <c r="E19" s="2082"/>
      <c r="F19" s="1095"/>
      <c r="G19" s="1095"/>
      <c r="H19" s="1095"/>
    </row>
    <row r="20" spans="1:8" x14ac:dyDescent="0.25">
      <c r="A20" s="1463" t="s">
        <v>8628</v>
      </c>
      <c r="B20" s="1435" t="s">
        <v>8500</v>
      </c>
      <c r="C20" s="1450" t="s">
        <v>5424</v>
      </c>
      <c r="D20" s="1075">
        <v>6</v>
      </c>
      <c r="E20" s="2066">
        <v>139031</v>
      </c>
      <c r="F20" s="2068">
        <f t="shared" si="0"/>
        <v>834186</v>
      </c>
      <c r="G20" s="2176">
        <f t="shared" si="1"/>
        <v>125128</v>
      </c>
      <c r="H20" s="2176">
        <f t="shared" si="2"/>
        <v>152934</v>
      </c>
    </row>
    <row r="21" spans="1:8" x14ac:dyDescent="0.25">
      <c r="A21" s="1463" t="s">
        <v>8629</v>
      </c>
      <c r="B21" s="1435" t="s">
        <v>8504</v>
      </c>
      <c r="C21" s="1460" t="s">
        <v>5424</v>
      </c>
      <c r="D21" s="1075">
        <v>1</v>
      </c>
      <c r="E21" s="2066">
        <v>194027</v>
      </c>
      <c r="F21" s="2068">
        <f t="shared" si="0"/>
        <v>194027</v>
      </c>
      <c r="G21" s="2176">
        <f t="shared" si="1"/>
        <v>174624</v>
      </c>
      <c r="H21" s="2176">
        <f t="shared" si="2"/>
        <v>213430</v>
      </c>
    </row>
    <row r="22" spans="1:8" x14ac:dyDescent="0.25">
      <c r="A22" s="1463" t="s">
        <v>8633</v>
      </c>
      <c r="B22" s="1435" t="s">
        <v>8534</v>
      </c>
      <c r="C22" s="1460" t="s">
        <v>5424</v>
      </c>
      <c r="D22" s="1075">
        <v>4</v>
      </c>
      <c r="E22" s="2066">
        <v>139031</v>
      </c>
      <c r="F22" s="2068">
        <f t="shared" si="0"/>
        <v>556124</v>
      </c>
      <c r="G22" s="2176">
        <f t="shared" si="1"/>
        <v>125128</v>
      </c>
      <c r="H22" s="2176">
        <f t="shared" si="2"/>
        <v>152934</v>
      </c>
    </row>
    <row r="23" spans="1:8" x14ac:dyDescent="0.25">
      <c r="A23" s="1463" t="s">
        <v>8591</v>
      </c>
      <c r="B23" s="1435" t="s">
        <v>8510</v>
      </c>
      <c r="C23" s="1460" t="s">
        <v>5424</v>
      </c>
      <c r="D23" s="1075">
        <v>8</v>
      </c>
      <c r="E23" s="2066">
        <v>38572</v>
      </c>
      <c r="F23" s="2068">
        <f t="shared" si="0"/>
        <v>308576</v>
      </c>
      <c r="G23" s="2176">
        <f t="shared" si="1"/>
        <v>34715</v>
      </c>
      <c r="H23" s="2176">
        <f t="shared" si="2"/>
        <v>42429</v>
      </c>
    </row>
    <row r="24" spans="1:8" x14ac:dyDescent="0.25">
      <c r="A24" s="1463" t="s">
        <v>8592</v>
      </c>
      <c r="B24" s="1435" t="s">
        <v>8511</v>
      </c>
      <c r="C24" s="1460" t="s">
        <v>5424</v>
      </c>
      <c r="D24" s="1075">
        <v>4</v>
      </c>
      <c r="E24" s="2066">
        <v>58690</v>
      </c>
      <c r="F24" s="2068">
        <f t="shared" si="0"/>
        <v>234760</v>
      </c>
      <c r="G24" s="2176">
        <f t="shared" si="1"/>
        <v>52821</v>
      </c>
      <c r="H24" s="2176">
        <f t="shared" si="2"/>
        <v>64559</v>
      </c>
    </row>
    <row r="25" spans="1:8" x14ac:dyDescent="0.25">
      <c r="A25" s="1463" t="s">
        <v>8601</v>
      </c>
      <c r="B25" s="1435" t="s">
        <v>8521</v>
      </c>
      <c r="C25" s="1460" t="s">
        <v>5424</v>
      </c>
      <c r="D25" s="1075">
        <v>6</v>
      </c>
      <c r="E25" s="2066">
        <v>111058</v>
      </c>
      <c r="F25" s="2068">
        <f t="shared" si="0"/>
        <v>666348</v>
      </c>
      <c r="G25" s="2176">
        <f t="shared" si="1"/>
        <v>99952</v>
      </c>
      <c r="H25" s="2176">
        <f t="shared" si="2"/>
        <v>122164</v>
      </c>
    </row>
    <row r="26" spans="1:8" x14ac:dyDescent="0.25">
      <c r="A26" s="1463" t="s">
        <v>8602</v>
      </c>
      <c r="B26" s="1435" t="s">
        <v>8522</v>
      </c>
      <c r="C26" s="1460" t="s">
        <v>5424</v>
      </c>
      <c r="D26" s="1075">
        <v>4</v>
      </c>
      <c r="E26" s="2066">
        <v>120172</v>
      </c>
      <c r="F26" s="2068">
        <f t="shared" si="0"/>
        <v>480688</v>
      </c>
      <c r="G26" s="2176">
        <f t="shared" si="1"/>
        <v>108155</v>
      </c>
      <c r="H26" s="2176">
        <f t="shared" si="2"/>
        <v>132189</v>
      </c>
    </row>
    <row r="27" spans="1:8" x14ac:dyDescent="0.25">
      <c r="A27" s="1463" t="s">
        <v>8604</v>
      </c>
      <c r="B27" s="1435" t="s">
        <v>8524</v>
      </c>
      <c r="C27" s="1460" t="s">
        <v>5424</v>
      </c>
      <c r="D27" s="1075">
        <v>2</v>
      </c>
      <c r="E27" s="2066">
        <v>167806</v>
      </c>
      <c r="F27" s="2068">
        <f t="shared" si="0"/>
        <v>335612</v>
      </c>
      <c r="G27" s="2176">
        <f t="shared" si="1"/>
        <v>151025</v>
      </c>
      <c r="H27" s="2176">
        <f t="shared" si="2"/>
        <v>184587</v>
      </c>
    </row>
    <row r="28" spans="1:8" x14ac:dyDescent="0.25">
      <c r="A28" s="1463" t="s">
        <v>8613</v>
      </c>
      <c r="B28" s="1435" t="s">
        <v>8525</v>
      </c>
      <c r="C28" s="1460" t="s">
        <v>5424</v>
      </c>
      <c r="D28" s="1075">
        <v>6</v>
      </c>
      <c r="E28" s="2066">
        <v>133375</v>
      </c>
      <c r="F28" s="2068">
        <f t="shared" si="0"/>
        <v>800250</v>
      </c>
      <c r="G28" s="2176">
        <f t="shared" si="1"/>
        <v>120038</v>
      </c>
      <c r="H28" s="2176">
        <f t="shared" si="2"/>
        <v>146713</v>
      </c>
    </row>
    <row r="29" spans="1:8" x14ac:dyDescent="0.25">
      <c r="A29" s="1508"/>
      <c r="B29" s="1035"/>
      <c r="C29" s="2390" t="s">
        <v>8068</v>
      </c>
      <c r="D29" s="2390"/>
      <c r="E29" s="2391"/>
      <c r="F29" s="2117">
        <f>+ROUND(SUM(F7:F28),0)</f>
        <v>90343526</v>
      </c>
      <c r="G29" s="2176"/>
      <c r="H29" s="2176"/>
    </row>
    <row r="30" spans="1:8" x14ac:dyDescent="0.25">
      <c r="A30" s="2392"/>
      <c r="B30" s="2393"/>
      <c r="C30" s="2393"/>
      <c r="D30" s="2393"/>
      <c r="E30" s="2393"/>
      <c r="F30" s="2393"/>
      <c r="G30" s="2176"/>
      <c r="H30" s="2176"/>
    </row>
    <row r="31" spans="1:8" x14ac:dyDescent="0.3">
      <c r="A31" s="2375" t="s">
        <v>8347</v>
      </c>
      <c r="B31" s="2375"/>
      <c r="C31" s="947" t="s">
        <v>6616</v>
      </c>
      <c r="D31" s="947" t="s">
        <v>6617</v>
      </c>
      <c r="E31" s="2109" t="s">
        <v>6618</v>
      </c>
      <c r="F31" s="2110" t="s">
        <v>6619</v>
      </c>
      <c r="G31" s="949" t="s">
        <v>9864</v>
      </c>
      <c r="H31" s="949" t="s">
        <v>9865</v>
      </c>
    </row>
    <row r="32" spans="1:8" x14ac:dyDescent="0.25">
      <c r="A32" s="1463">
        <v>11.1</v>
      </c>
      <c r="B32" s="1435" t="s">
        <v>9365</v>
      </c>
      <c r="C32" s="1460" t="s">
        <v>5460</v>
      </c>
      <c r="D32" s="1075">
        <v>1</v>
      </c>
      <c r="E32" s="2066">
        <v>51134264</v>
      </c>
      <c r="F32" s="2068">
        <f t="shared" ref="F32:F35" si="3">+ROUND(E32*D32,0)</f>
        <v>51134264</v>
      </c>
      <c r="G32" s="2176">
        <f t="shared" si="1"/>
        <v>46020838</v>
      </c>
      <c r="H32" s="2176">
        <f t="shared" si="2"/>
        <v>56247690</v>
      </c>
    </row>
    <row r="33" spans="1:8" x14ac:dyDescent="0.25">
      <c r="A33" s="1463">
        <v>11.2</v>
      </c>
      <c r="B33" s="1435" t="s">
        <v>9366</v>
      </c>
      <c r="C33" s="1460" t="s">
        <v>5460</v>
      </c>
      <c r="D33" s="1075">
        <v>1</v>
      </c>
      <c r="E33" s="2066">
        <v>160124703</v>
      </c>
      <c r="F33" s="2068">
        <f t="shared" si="3"/>
        <v>160124703</v>
      </c>
      <c r="G33" s="2176">
        <f t="shared" si="1"/>
        <v>144112233</v>
      </c>
      <c r="H33" s="2176">
        <f t="shared" si="2"/>
        <v>176137173</v>
      </c>
    </row>
    <row r="34" spans="1:8" x14ac:dyDescent="0.25">
      <c r="A34" s="1463">
        <v>11.3</v>
      </c>
      <c r="B34" s="1435" t="s">
        <v>9370</v>
      </c>
      <c r="C34" s="1460" t="s">
        <v>5460</v>
      </c>
      <c r="D34" s="1075">
        <v>1</v>
      </c>
      <c r="E34" s="2066">
        <v>24019263</v>
      </c>
      <c r="F34" s="2068">
        <f t="shared" si="3"/>
        <v>24019263</v>
      </c>
      <c r="G34" s="2176">
        <f t="shared" si="1"/>
        <v>21617337</v>
      </c>
      <c r="H34" s="2176">
        <f t="shared" si="2"/>
        <v>26421189</v>
      </c>
    </row>
    <row r="35" spans="1:8" x14ac:dyDescent="0.25">
      <c r="A35" s="1463">
        <v>11.4</v>
      </c>
      <c r="B35" s="1435" t="s">
        <v>9371</v>
      </c>
      <c r="C35" s="1460" t="s">
        <v>5460</v>
      </c>
      <c r="D35" s="1075">
        <v>1</v>
      </c>
      <c r="E35" s="2066">
        <v>7957363</v>
      </c>
      <c r="F35" s="2068">
        <f t="shared" si="3"/>
        <v>7957363</v>
      </c>
      <c r="G35" s="2176">
        <f t="shared" si="1"/>
        <v>7161627</v>
      </c>
      <c r="H35" s="2176">
        <f t="shared" si="2"/>
        <v>8753099</v>
      </c>
    </row>
    <row r="36" spans="1:8" x14ac:dyDescent="0.25">
      <c r="A36" s="1511"/>
      <c r="B36" s="1401"/>
      <c r="C36" s="2389" t="s">
        <v>8348</v>
      </c>
      <c r="D36" s="2389"/>
      <c r="E36" s="2389"/>
      <c r="F36" s="2118">
        <f>ROUND(SUM(F32:F35),0)</f>
        <v>243235593</v>
      </c>
      <c r="G36" s="2176"/>
      <c r="H36" s="2176"/>
    </row>
    <row r="37" spans="1:8" x14ac:dyDescent="0.25">
      <c r="A37" s="2394"/>
      <c r="B37" s="2395"/>
      <c r="C37" s="2395"/>
      <c r="D37" s="2395"/>
      <c r="E37" s="2395"/>
      <c r="F37" s="2395"/>
      <c r="G37" s="2176"/>
      <c r="H37" s="2176"/>
    </row>
    <row r="38" spans="1:8" x14ac:dyDescent="0.25">
      <c r="A38" s="1511"/>
      <c r="B38" s="1401"/>
      <c r="C38" s="2390" t="s">
        <v>9378</v>
      </c>
      <c r="D38" s="2390"/>
      <c r="E38" s="2391"/>
      <c r="F38" s="2119">
        <f>+F36+F29</f>
        <v>333579119</v>
      </c>
      <c r="G38" s="2176"/>
      <c r="H38" s="2176"/>
    </row>
    <row r="39" spans="1:8" x14ac:dyDescent="0.25">
      <c r="A39" s="1511"/>
      <c r="B39" s="1401"/>
      <c r="C39" s="2114"/>
      <c r="D39" s="2115"/>
      <c r="E39" s="2112"/>
      <c r="F39" s="2113"/>
      <c r="G39" s="2176"/>
      <c r="H39" s="2176"/>
    </row>
    <row r="40" spans="1:8" x14ac:dyDescent="0.3">
      <c r="A40" s="2375" t="s">
        <v>9386</v>
      </c>
      <c r="B40" s="2375"/>
      <c r="C40" s="947" t="s">
        <v>6616</v>
      </c>
      <c r="D40" s="947" t="s">
        <v>6617</v>
      </c>
      <c r="E40" s="2109" t="s">
        <v>6618</v>
      </c>
      <c r="F40" s="2110" t="s">
        <v>9831</v>
      </c>
      <c r="G40" s="949" t="s">
        <v>9864</v>
      </c>
      <c r="H40" s="949" t="s">
        <v>9865</v>
      </c>
    </row>
    <row r="41" spans="1:8" x14ac:dyDescent="0.25">
      <c r="A41" s="1463" t="s">
        <v>8838</v>
      </c>
      <c r="B41" s="2116" t="s">
        <v>9111</v>
      </c>
      <c r="C41" s="1450" t="s">
        <v>5424</v>
      </c>
      <c r="D41" s="1075">
        <v>1</v>
      </c>
      <c r="E41" s="2066">
        <v>10302377</v>
      </c>
      <c r="F41" s="2068">
        <f t="shared" ref="F41:F60" si="4">+ROUND(E41*D41,0)</f>
        <v>10302377</v>
      </c>
      <c r="G41" s="2176">
        <f t="shared" si="1"/>
        <v>9272139</v>
      </c>
      <c r="H41" s="2176">
        <f t="shared" si="2"/>
        <v>11332615</v>
      </c>
    </row>
    <row r="42" spans="1:8" x14ac:dyDescent="0.25">
      <c r="A42" s="1463" t="s">
        <v>8763</v>
      </c>
      <c r="B42" s="2116" t="s">
        <v>9112</v>
      </c>
      <c r="C42" s="1450" t="s">
        <v>5424</v>
      </c>
      <c r="D42" s="1075">
        <v>2</v>
      </c>
      <c r="E42" s="2066">
        <v>2595836</v>
      </c>
      <c r="F42" s="2068">
        <f t="shared" si="4"/>
        <v>5191672</v>
      </c>
      <c r="G42" s="2176">
        <f t="shared" si="1"/>
        <v>2336252</v>
      </c>
      <c r="H42" s="2176">
        <f t="shared" si="2"/>
        <v>2855420</v>
      </c>
    </row>
    <row r="43" spans="1:8" ht="33" x14ac:dyDescent="0.25">
      <c r="A43" s="1463" t="s">
        <v>8792</v>
      </c>
      <c r="B43" s="2195" t="s">
        <v>9689</v>
      </c>
      <c r="C43" s="1450" t="s">
        <v>5424</v>
      </c>
      <c r="D43" s="1075">
        <v>2</v>
      </c>
      <c r="E43" s="2066">
        <v>1558772</v>
      </c>
      <c r="F43" s="2068">
        <f t="shared" si="4"/>
        <v>3117544</v>
      </c>
      <c r="G43" s="2176">
        <f t="shared" si="1"/>
        <v>1402895</v>
      </c>
      <c r="H43" s="2176">
        <f t="shared" si="2"/>
        <v>1714649</v>
      </c>
    </row>
    <row r="44" spans="1:8" x14ac:dyDescent="0.25">
      <c r="A44" s="1463" t="s">
        <v>9105</v>
      </c>
      <c r="B44" s="2116" t="s">
        <v>9113</v>
      </c>
      <c r="C44" s="1450" t="s">
        <v>5424</v>
      </c>
      <c r="D44" s="1075">
        <v>1</v>
      </c>
      <c r="E44" s="2066">
        <v>31896624</v>
      </c>
      <c r="F44" s="2068">
        <f t="shared" si="4"/>
        <v>31896624</v>
      </c>
      <c r="G44" s="2176">
        <f t="shared" si="1"/>
        <v>28706962</v>
      </c>
      <c r="H44" s="2176">
        <f t="shared" si="2"/>
        <v>35086286</v>
      </c>
    </row>
    <row r="45" spans="1:8" ht="33" x14ac:dyDescent="0.25">
      <c r="A45" s="1463" t="s">
        <v>8831</v>
      </c>
      <c r="B45" s="2195" t="s">
        <v>9115</v>
      </c>
      <c r="C45" s="1450" t="s">
        <v>5424</v>
      </c>
      <c r="D45" s="1075">
        <v>1</v>
      </c>
      <c r="E45" s="2066">
        <v>18944919</v>
      </c>
      <c r="F45" s="2068">
        <f t="shared" si="4"/>
        <v>18944919</v>
      </c>
      <c r="G45" s="2176">
        <f t="shared" si="1"/>
        <v>17050427</v>
      </c>
      <c r="H45" s="2176">
        <f t="shared" si="2"/>
        <v>20839411</v>
      </c>
    </row>
    <row r="46" spans="1:8" ht="33" x14ac:dyDescent="0.25">
      <c r="A46" s="1463" t="s">
        <v>8900</v>
      </c>
      <c r="B46" s="2195" t="s">
        <v>9116</v>
      </c>
      <c r="C46" s="1450" t="s">
        <v>5424</v>
      </c>
      <c r="D46" s="1075">
        <v>1</v>
      </c>
      <c r="E46" s="2066">
        <v>7096285</v>
      </c>
      <c r="F46" s="2068">
        <f t="shared" si="4"/>
        <v>7096285</v>
      </c>
      <c r="G46" s="2176">
        <f t="shared" si="1"/>
        <v>6386657</v>
      </c>
      <c r="H46" s="2176">
        <f t="shared" si="2"/>
        <v>7805914</v>
      </c>
    </row>
    <row r="47" spans="1:8" x14ac:dyDescent="0.3">
      <c r="A47" s="2375" t="s">
        <v>8636</v>
      </c>
      <c r="B47" s="2375"/>
      <c r="C47" s="2137" t="s">
        <v>6616</v>
      </c>
      <c r="D47" s="2120" t="s">
        <v>6617</v>
      </c>
      <c r="E47" s="2121" t="s">
        <v>6618</v>
      </c>
      <c r="F47" s="2110" t="s">
        <v>9831</v>
      </c>
      <c r="G47" s="949" t="s">
        <v>9864</v>
      </c>
      <c r="H47" s="949" t="s">
        <v>9865</v>
      </c>
    </row>
    <row r="48" spans="1:8" ht="24" customHeight="1" x14ac:dyDescent="0.25">
      <c r="A48" s="1463" t="s">
        <v>9107</v>
      </c>
      <c r="B48" s="2116" t="s">
        <v>9117</v>
      </c>
      <c r="C48" s="1450" t="s">
        <v>5424</v>
      </c>
      <c r="D48" s="1075">
        <v>2</v>
      </c>
      <c r="E48" s="2066">
        <v>13420130</v>
      </c>
      <c r="F48" s="2068">
        <f t="shared" si="4"/>
        <v>26840260</v>
      </c>
      <c r="G48" s="2176">
        <f t="shared" si="1"/>
        <v>12078117</v>
      </c>
      <c r="H48" s="2176">
        <f t="shared" si="2"/>
        <v>14762143</v>
      </c>
    </row>
    <row r="49" spans="1:8" ht="24" customHeight="1" x14ac:dyDescent="0.25">
      <c r="A49" s="1463" t="s">
        <v>8700</v>
      </c>
      <c r="B49" s="2116" t="s">
        <v>9118</v>
      </c>
      <c r="C49" s="1450" t="s">
        <v>5424</v>
      </c>
      <c r="D49" s="1075">
        <v>4</v>
      </c>
      <c r="E49" s="2066">
        <v>3823158</v>
      </c>
      <c r="F49" s="2068">
        <f t="shared" si="4"/>
        <v>15292632</v>
      </c>
      <c r="G49" s="2176">
        <f t="shared" si="1"/>
        <v>3440842</v>
      </c>
      <c r="H49" s="2176">
        <f t="shared" si="2"/>
        <v>4205474</v>
      </c>
    </row>
    <row r="50" spans="1:8" ht="33" x14ac:dyDescent="0.25">
      <c r="A50" s="1463" t="s">
        <v>8787</v>
      </c>
      <c r="B50" s="2195" t="s">
        <v>9669</v>
      </c>
      <c r="C50" s="1450" t="s">
        <v>5424</v>
      </c>
      <c r="D50" s="1075">
        <v>4</v>
      </c>
      <c r="E50" s="2066">
        <v>768625</v>
      </c>
      <c r="F50" s="2068">
        <f t="shared" si="4"/>
        <v>3074500</v>
      </c>
      <c r="G50" s="2176">
        <f t="shared" si="1"/>
        <v>691763</v>
      </c>
      <c r="H50" s="2176">
        <f t="shared" si="2"/>
        <v>845488</v>
      </c>
    </row>
    <row r="51" spans="1:8" x14ac:dyDescent="0.25">
      <c r="A51" s="1463" t="s">
        <v>9104</v>
      </c>
      <c r="B51" s="2116" t="s">
        <v>9120</v>
      </c>
      <c r="C51" s="1450" t="s">
        <v>5424</v>
      </c>
      <c r="D51" s="1075">
        <v>4</v>
      </c>
      <c r="E51" s="2066">
        <v>11015369</v>
      </c>
      <c r="F51" s="2068">
        <f t="shared" si="4"/>
        <v>44061476</v>
      </c>
      <c r="G51" s="2176">
        <f t="shared" si="1"/>
        <v>9913832</v>
      </c>
      <c r="H51" s="2176">
        <f t="shared" si="2"/>
        <v>12116906</v>
      </c>
    </row>
    <row r="52" spans="1:8" ht="33" x14ac:dyDescent="0.25">
      <c r="A52" s="1463" t="s">
        <v>8895</v>
      </c>
      <c r="B52" s="2195" t="s">
        <v>9121</v>
      </c>
      <c r="C52" s="1450" t="s">
        <v>5424</v>
      </c>
      <c r="D52" s="1075">
        <v>4</v>
      </c>
      <c r="E52" s="2066">
        <v>3966850</v>
      </c>
      <c r="F52" s="2068">
        <f t="shared" si="4"/>
        <v>15867400</v>
      </c>
      <c r="G52" s="2176">
        <f t="shared" si="1"/>
        <v>3570165</v>
      </c>
      <c r="H52" s="2176">
        <f t="shared" si="2"/>
        <v>4363535</v>
      </c>
    </row>
    <row r="53" spans="1:8" ht="33" x14ac:dyDescent="0.25">
      <c r="A53" s="1463" t="s">
        <v>8755</v>
      </c>
      <c r="B53" s="2195" t="s">
        <v>9122</v>
      </c>
      <c r="C53" s="1450" t="s">
        <v>5424</v>
      </c>
      <c r="D53" s="1075">
        <v>4</v>
      </c>
      <c r="E53" s="2066">
        <v>533768</v>
      </c>
      <c r="F53" s="2068">
        <f t="shared" si="4"/>
        <v>2135072</v>
      </c>
      <c r="G53" s="2176">
        <f t="shared" si="1"/>
        <v>480391</v>
      </c>
      <c r="H53" s="2176">
        <f t="shared" si="2"/>
        <v>587145</v>
      </c>
    </row>
    <row r="54" spans="1:8" x14ac:dyDescent="0.25">
      <c r="A54" s="1463" t="s">
        <v>8723</v>
      </c>
      <c r="B54" s="2195" t="s">
        <v>9123</v>
      </c>
      <c r="C54" s="1450" t="s">
        <v>5424</v>
      </c>
      <c r="D54" s="1075">
        <v>2</v>
      </c>
      <c r="E54" s="2066">
        <v>10910384</v>
      </c>
      <c r="F54" s="2068">
        <f t="shared" si="4"/>
        <v>21820768</v>
      </c>
      <c r="G54" s="2176">
        <f t="shared" si="1"/>
        <v>9819346</v>
      </c>
      <c r="H54" s="2176">
        <f t="shared" si="2"/>
        <v>12001422</v>
      </c>
    </row>
    <row r="55" spans="1:8" ht="33" x14ac:dyDescent="0.25">
      <c r="A55" s="1463" t="s">
        <v>8756</v>
      </c>
      <c r="B55" s="2195" t="s">
        <v>9124</v>
      </c>
      <c r="C55" s="1450" t="s">
        <v>5424</v>
      </c>
      <c r="D55" s="1075">
        <v>4</v>
      </c>
      <c r="E55" s="2066">
        <v>1067535</v>
      </c>
      <c r="F55" s="2068">
        <f t="shared" si="4"/>
        <v>4270140</v>
      </c>
      <c r="G55" s="2176">
        <f t="shared" si="1"/>
        <v>960782</v>
      </c>
      <c r="H55" s="2176">
        <f t="shared" si="2"/>
        <v>1174289</v>
      </c>
    </row>
    <row r="56" spans="1:8" ht="33" x14ac:dyDescent="0.25">
      <c r="A56" s="1463" t="s">
        <v>8734</v>
      </c>
      <c r="B56" s="2195" t="s">
        <v>9377</v>
      </c>
      <c r="C56" s="1450" t="s">
        <v>5424</v>
      </c>
      <c r="D56" s="1075">
        <v>2</v>
      </c>
      <c r="E56" s="2066">
        <v>60052725</v>
      </c>
      <c r="F56" s="2068">
        <f t="shared" si="4"/>
        <v>120105450</v>
      </c>
      <c r="G56" s="2176">
        <f t="shared" si="1"/>
        <v>54047453</v>
      </c>
      <c r="H56" s="2176">
        <f t="shared" si="2"/>
        <v>66057998</v>
      </c>
    </row>
    <row r="57" spans="1:8" ht="33" x14ac:dyDescent="0.25">
      <c r="A57" s="1463" t="s">
        <v>8757</v>
      </c>
      <c r="B57" s="2195" t="s">
        <v>9125</v>
      </c>
      <c r="C57" s="1450" t="s">
        <v>5424</v>
      </c>
      <c r="D57" s="1075">
        <v>2</v>
      </c>
      <c r="E57" s="2066">
        <v>2135071</v>
      </c>
      <c r="F57" s="2068">
        <f t="shared" si="4"/>
        <v>4270142</v>
      </c>
      <c r="G57" s="2176">
        <f t="shared" si="1"/>
        <v>1921564</v>
      </c>
      <c r="H57" s="2176">
        <f t="shared" si="2"/>
        <v>2348578</v>
      </c>
    </row>
    <row r="58" spans="1:8" ht="33" x14ac:dyDescent="0.25">
      <c r="A58" s="1463" t="s">
        <v>8982</v>
      </c>
      <c r="B58" s="2195" t="s">
        <v>9126</v>
      </c>
      <c r="C58" s="1450" t="s">
        <v>5424</v>
      </c>
      <c r="D58" s="1075">
        <v>2</v>
      </c>
      <c r="E58" s="2066">
        <v>33702764</v>
      </c>
      <c r="F58" s="2068">
        <f t="shared" si="4"/>
        <v>67405528</v>
      </c>
      <c r="G58" s="2176">
        <f t="shared" si="1"/>
        <v>30332488</v>
      </c>
      <c r="H58" s="2176">
        <f t="shared" si="2"/>
        <v>37073040</v>
      </c>
    </row>
    <row r="59" spans="1:8" ht="22.5" customHeight="1" x14ac:dyDescent="0.25">
      <c r="A59" s="1463" t="s">
        <v>8736</v>
      </c>
      <c r="B59" s="2116" t="s">
        <v>9127</v>
      </c>
      <c r="C59" s="1450" t="s">
        <v>5424</v>
      </c>
      <c r="D59" s="1075">
        <v>2</v>
      </c>
      <c r="E59" s="2066">
        <v>150435</v>
      </c>
      <c r="F59" s="2068">
        <f t="shared" si="4"/>
        <v>300870</v>
      </c>
      <c r="G59" s="2176">
        <f t="shared" si="1"/>
        <v>135392</v>
      </c>
      <c r="H59" s="2176">
        <f t="shared" si="2"/>
        <v>165479</v>
      </c>
    </row>
    <row r="60" spans="1:8" ht="33" x14ac:dyDescent="0.25">
      <c r="A60" s="1463" t="s">
        <v>8735</v>
      </c>
      <c r="B60" s="2195" t="s">
        <v>9128</v>
      </c>
      <c r="C60" s="1450" t="s">
        <v>5424</v>
      </c>
      <c r="D60" s="1075">
        <v>2</v>
      </c>
      <c r="E60" s="2066">
        <v>741632</v>
      </c>
      <c r="F60" s="2068">
        <f t="shared" si="4"/>
        <v>1483264</v>
      </c>
      <c r="G60" s="2176">
        <f t="shared" si="1"/>
        <v>667469</v>
      </c>
      <c r="H60" s="2176">
        <f t="shared" si="2"/>
        <v>815795</v>
      </c>
    </row>
    <row r="61" spans="1:8" x14ac:dyDescent="0.25">
      <c r="A61" s="2070"/>
      <c r="C61" s="2336" t="s">
        <v>8069</v>
      </c>
      <c r="D61" s="2337"/>
      <c r="E61" s="2338"/>
      <c r="F61" s="2086">
        <f>+SUM(F41:F60)</f>
        <v>403476923</v>
      </c>
    </row>
  </sheetData>
  <sheetProtection algorithmName="SHA-512" hashValue="j+uy6415OvCPnFsx6Y+hlUQ6Z4etccrBTu33Wx1jl0mfFa9axDMcedvkrdyfmAOCU0mgwIaZUJOto5fbnq0GLA==" saltValue="rO0Nb21B8pKMC/yJxdNJ2w==" spinCount="100000" sheet="1" objects="1" scenarios="1" selectLockedCells="1" selectUnlockedCells="1"/>
  <mergeCells count="12">
    <mergeCell ref="A1:H3"/>
    <mergeCell ref="A4:H4"/>
    <mergeCell ref="C61:E61"/>
    <mergeCell ref="C36:E36"/>
    <mergeCell ref="A40:B40"/>
    <mergeCell ref="A47:B47"/>
    <mergeCell ref="C38:E38"/>
    <mergeCell ref="C29:E29"/>
    <mergeCell ref="A30:F30"/>
    <mergeCell ref="A37:F37"/>
    <mergeCell ref="A5:B5"/>
    <mergeCell ref="A31:B31"/>
  </mergeCells>
  <pageMargins left="0.70866141732283472" right="0.70866141732283472" top="0.74803149606299213" bottom="0.74803149606299213" header="0.31496062992125984" footer="0.31496062992125984"/>
  <pageSetup scale="48" fitToHeight="0" orientation="portrait" r:id="rId1"/>
  <rowBreaks count="1" manualBreakCount="1">
    <brk id="39" max="7"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9"/>
  <sheetViews>
    <sheetView view="pageBreakPreview" topLeftCell="A32" zoomScale="70" zoomScaleNormal="100" zoomScaleSheetLayoutView="70" workbookViewId="0">
      <selection activeCell="H42" sqref="H42"/>
    </sheetView>
  </sheetViews>
  <sheetFormatPr baseColWidth="10" defaultRowHeight="15.75" x14ac:dyDescent="0.25"/>
  <cols>
    <col min="1" max="1" width="8.5703125" style="1885" customWidth="1"/>
    <col min="2" max="2" width="41.42578125" style="1885" customWidth="1"/>
    <col min="3" max="3" width="8.5703125" style="1885" customWidth="1"/>
    <col min="4" max="4" width="11.42578125" style="1885" customWidth="1"/>
    <col min="5" max="5" width="15.42578125" style="1885" customWidth="1"/>
    <col min="6" max="6" width="14.85546875" style="1885" customWidth="1"/>
    <col min="7" max="7" width="19.42578125" style="1885" customWidth="1"/>
    <col min="8" max="8" width="20.5703125" style="1885" customWidth="1"/>
    <col min="9" max="9" width="17.140625" style="1885" bestFit="1" customWidth="1"/>
    <col min="10" max="10" width="21.85546875" style="1885" customWidth="1"/>
    <col min="11" max="12" width="16.5703125" style="1885" bestFit="1" customWidth="1"/>
    <col min="13" max="16384" width="11.42578125" style="1885"/>
  </cols>
  <sheetData>
    <row r="1" spans="1:12" s="1860" customFormat="1" ht="15" x14ac:dyDescent="0.25"/>
    <row r="2" spans="1:12" s="1860" customFormat="1" ht="15.75" customHeight="1" x14ac:dyDescent="0.25">
      <c r="A2" s="2406" t="s">
        <v>8639</v>
      </c>
      <c r="B2" s="2406"/>
      <c r="C2" s="2406"/>
      <c r="D2" s="2406"/>
      <c r="E2" s="2406"/>
      <c r="F2" s="2406"/>
      <c r="G2" s="2406"/>
      <c r="H2" s="2406"/>
    </row>
    <row r="3" spans="1:12" s="1860" customFormat="1" ht="15" customHeight="1" x14ac:dyDescent="0.25">
      <c r="A3" s="2406"/>
      <c r="B3" s="2406"/>
      <c r="C3" s="2406"/>
      <c r="D3" s="2406"/>
      <c r="E3" s="2406"/>
      <c r="F3" s="2406"/>
      <c r="G3" s="2406"/>
      <c r="H3" s="2406"/>
    </row>
    <row r="4" spans="1:12" s="1860" customFormat="1" ht="15" customHeight="1" x14ac:dyDescent="0.25">
      <c r="A4" s="2406"/>
      <c r="B4" s="2406"/>
      <c r="C4" s="2406"/>
      <c r="D4" s="2406"/>
      <c r="E4" s="2406"/>
      <c r="F4" s="2406"/>
      <c r="G4" s="2406"/>
      <c r="H4" s="2406"/>
    </row>
    <row r="5" spans="1:12" s="1860" customFormat="1" ht="16.5" customHeight="1" x14ac:dyDescent="0.25">
      <c r="A5" s="2406"/>
      <c r="B5" s="2406"/>
      <c r="C5" s="2406"/>
      <c r="D5" s="2406"/>
      <c r="E5" s="2406"/>
      <c r="F5" s="2406"/>
      <c r="G5" s="2406"/>
      <c r="H5" s="2406"/>
    </row>
    <row r="6" spans="1:12" s="1860" customFormat="1" ht="15" customHeight="1" x14ac:dyDescent="0.25">
      <c r="A6" s="2405" t="s">
        <v>9720</v>
      </c>
      <c r="B6" s="2405"/>
      <c r="C6" s="2405"/>
      <c r="D6" s="2405"/>
      <c r="E6" s="2405"/>
      <c r="F6" s="2405"/>
      <c r="G6" s="2405"/>
      <c r="H6" s="2405"/>
    </row>
    <row r="7" spans="1:12" s="1860" customFormat="1" ht="15" customHeight="1" x14ac:dyDescent="0.25">
      <c r="A7" s="2405"/>
      <c r="B7" s="2405"/>
      <c r="C7" s="2405"/>
      <c r="D7" s="2405"/>
      <c r="E7" s="2405"/>
      <c r="F7" s="2405"/>
      <c r="G7" s="2405"/>
      <c r="H7" s="2405"/>
    </row>
    <row r="8" spans="1:12" s="1860" customFormat="1" ht="15.75" customHeight="1" x14ac:dyDescent="0.25">
      <c r="A8" s="2405"/>
      <c r="B8" s="2405"/>
      <c r="C8" s="2405"/>
      <c r="D8" s="2405"/>
      <c r="E8" s="2405"/>
      <c r="F8" s="2405"/>
      <c r="G8" s="2405"/>
      <c r="H8" s="2405"/>
    </row>
    <row r="9" spans="1:12" ht="16.5" thickBot="1" x14ac:dyDescent="0.3">
      <c r="B9" s="1945"/>
      <c r="C9" s="1945"/>
      <c r="D9" s="1945"/>
      <c r="E9" s="1946"/>
      <c r="F9" s="1947"/>
      <c r="G9" s="1947"/>
      <c r="H9" s="1947"/>
      <c r="I9" s="1886"/>
    </row>
    <row r="10" spans="1:12" x14ac:dyDescent="0.25">
      <c r="A10" s="2407" t="s">
        <v>9722</v>
      </c>
      <c r="B10" s="2408"/>
      <c r="C10" s="2408"/>
      <c r="D10" s="2408"/>
      <c r="E10" s="2408"/>
      <c r="F10" s="2408"/>
      <c r="G10" s="2408"/>
      <c r="H10" s="2409"/>
      <c r="I10" s="1886"/>
    </row>
    <row r="11" spans="1:12" x14ac:dyDescent="0.25">
      <c r="A11" s="2368"/>
      <c r="B11" s="2370" t="s">
        <v>9722</v>
      </c>
      <c r="C11" s="2370" t="s">
        <v>867</v>
      </c>
      <c r="D11" s="2370" t="s">
        <v>9723</v>
      </c>
      <c r="E11" s="2370" t="s">
        <v>9724</v>
      </c>
      <c r="F11" s="2370" t="s">
        <v>9725</v>
      </c>
      <c r="G11" s="2370" t="s">
        <v>9726</v>
      </c>
      <c r="H11" s="2429" t="s">
        <v>8162</v>
      </c>
      <c r="I11" s="1887"/>
      <c r="J11" s="1888"/>
    </row>
    <row r="12" spans="1:12" x14ac:dyDescent="0.25">
      <c r="A12" s="2369"/>
      <c r="B12" s="2370"/>
      <c r="C12" s="2370"/>
      <c r="D12" s="2370"/>
      <c r="E12" s="2370"/>
      <c r="F12" s="2370"/>
      <c r="G12" s="2370"/>
      <c r="H12" s="2429"/>
      <c r="I12" s="1886"/>
      <c r="J12" s="1889"/>
    </row>
    <row r="13" spans="1:12" x14ac:dyDescent="0.25">
      <c r="A13" s="1926"/>
      <c r="B13" s="1927" t="s">
        <v>9738</v>
      </c>
      <c r="C13" s="2357"/>
      <c r="D13" s="2357"/>
      <c r="E13" s="2357"/>
      <c r="F13" s="2357"/>
      <c r="G13" s="2357"/>
      <c r="H13" s="2358"/>
      <c r="I13" s="1886"/>
      <c r="J13" s="1890"/>
    </row>
    <row r="14" spans="1:12" s="1895" customFormat="1" ht="110.25" x14ac:dyDescent="0.25">
      <c r="A14" s="1930">
        <v>13.1</v>
      </c>
      <c r="B14" s="1896" t="s">
        <v>9733</v>
      </c>
      <c r="C14" s="1891" t="s">
        <v>9727</v>
      </c>
      <c r="D14" s="1891">
        <v>2</v>
      </c>
      <c r="E14" s="1921">
        <v>1</v>
      </c>
      <c r="F14" s="1891">
        <v>12</v>
      </c>
      <c r="G14" s="1899">
        <v>3818000</v>
      </c>
      <c r="H14" s="1893">
        <f t="shared" ref="H14" si="0">+G14*F14*E14*D14</f>
        <v>91632000</v>
      </c>
      <c r="I14" s="1894"/>
    </row>
    <row r="15" spans="1:12" ht="6" customHeight="1" x14ac:dyDescent="0.25">
      <c r="A15" s="2416"/>
      <c r="B15" s="2417"/>
      <c r="C15" s="2417"/>
      <c r="D15" s="2417"/>
      <c r="E15" s="2417"/>
      <c r="F15" s="2417"/>
      <c r="G15" s="2417"/>
      <c r="H15" s="2418"/>
      <c r="I15" s="1901"/>
      <c r="L15" s="1889"/>
    </row>
    <row r="16" spans="1:12" x14ac:dyDescent="0.25">
      <c r="A16" s="1928"/>
      <c r="B16" s="1929" t="s">
        <v>9739</v>
      </c>
      <c r="C16" s="2430"/>
      <c r="D16" s="2430"/>
      <c r="E16" s="2430"/>
      <c r="F16" s="2430"/>
      <c r="G16" s="2430"/>
      <c r="H16" s="2431"/>
      <c r="I16" s="1901"/>
    </row>
    <row r="17" spans="1:11" ht="110.25" x14ac:dyDescent="0.25">
      <c r="A17" s="1924">
        <v>13.2</v>
      </c>
      <c r="B17" s="1922" t="s">
        <v>9734</v>
      </c>
      <c r="C17" s="1923" t="s">
        <v>9727</v>
      </c>
      <c r="D17" s="1923">
        <v>1</v>
      </c>
      <c r="E17" s="1892">
        <v>1</v>
      </c>
      <c r="F17" s="1891">
        <v>12</v>
      </c>
      <c r="G17" s="1900">
        <v>1385000</v>
      </c>
      <c r="H17" s="1893">
        <f>+G17*F17*E17*D17</f>
        <v>16620000</v>
      </c>
      <c r="I17" s="1894"/>
      <c r="J17" s="1895"/>
      <c r="K17" s="1889">
        <f>350*750000</f>
        <v>262500000</v>
      </c>
    </row>
    <row r="18" spans="1:11" ht="6.75" customHeight="1" x14ac:dyDescent="0.25">
      <c r="A18" s="2416"/>
      <c r="B18" s="2417"/>
      <c r="C18" s="2417"/>
      <c r="D18" s="2417"/>
      <c r="E18" s="2417"/>
      <c r="F18" s="2417"/>
      <c r="G18" s="2417"/>
      <c r="H18" s="2418"/>
      <c r="I18" s="1886"/>
    </row>
    <row r="19" spans="1:11" x14ac:dyDescent="0.25">
      <c r="A19" s="1924"/>
      <c r="B19" s="2410" t="s">
        <v>9728</v>
      </c>
      <c r="C19" s="2411"/>
      <c r="D19" s="2411"/>
      <c r="E19" s="2412"/>
      <c r="F19" s="1898"/>
      <c r="G19" s="1897"/>
      <c r="H19" s="1910">
        <f>+SUM(H17,H14)</f>
        <v>108252000</v>
      </c>
      <c r="I19" s="1886"/>
    </row>
    <row r="20" spans="1:11" x14ac:dyDescent="0.25">
      <c r="A20" s="1924"/>
      <c r="B20" s="2410" t="s">
        <v>9729</v>
      </c>
      <c r="C20" s="2411"/>
      <c r="D20" s="2411"/>
      <c r="E20" s="2412"/>
      <c r="F20" s="1898">
        <v>2.2000000000000002</v>
      </c>
      <c r="G20" s="1897"/>
      <c r="H20" s="1906"/>
      <c r="I20" s="1886"/>
    </row>
    <row r="21" spans="1:11" ht="16.5" thickBot="1" x14ac:dyDescent="0.3">
      <c r="A21" s="1925"/>
      <c r="B21" s="2413" t="s">
        <v>9730</v>
      </c>
      <c r="C21" s="2414"/>
      <c r="D21" s="2414"/>
      <c r="E21" s="2415"/>
      <c r="F21" s="1905"/>
      <c r="G21" s="1904"/>
      <c r="H21" s="1913">
        <f>+H19*F20</f>
        <v>238154400.00000003</v>
      </c>
      <c r="I21" s="1886"/>
    </row>
    <row r="22" spans="1:11" ht="6" customHeight="1" thickBot="1" x14ac:dyDescent="0.3">
      <c r="A22" s="2435"/>
      <c r="B22" s="2435"/>
      <c r="C22" s="2435"/>
      <c r="D22" s="2435"/>
      <c r="E22" s="2435"/>
      <c r="F22" s="2435"/>
      <c r="G22" s="2435"/>
      <c r="H22" s="2436"/>
      <c r="I22" s="1886"/>
    </row>
    <row r="23" spans="1:11" x14ac:dyDescent="0.25">
      <c r="A23" s="2432" t="s">
        <v>5415</v>
      </c>
      <c r="B23" s="2433"/>
      <c r="C23" s="2433"/>
      <c r="D23" s="2433"/>
      <c r="E23" s="2433"/>
      <c r="F23" s="2433"/>
      <c r="G23" s="2433"/>
      <c r="H23" s="2434"/>
      <c r="I23" s="1886"/>
    </row>
    <row r="24" spans="1:11" x14ac:dyDescent="0.25">
      <c r="A24" s="1935"/>
      <c r="B24" s="1936" t="s">
        <v>4</v>
      </c>
      <c r="C24" s="2425" t="s">
        <v>867</v>
      </c>
      <c r="D24" s="2425"/>
      <c r="E24" s="2425" t="s">
        <v>6</v>
      </c>
      <c r="F24" s="2425"/>
      <c r="G24" s="1937" t="s">
        <v>9735</v>
      </c>
      <c r="H24" s="1938" t="s">
        <v>8162</v>
      </c>
      <c r="I24" s="1886"/>
    </row>
    <row r="25" spans="1:11" s="1908" customFormat="1" x14ac:dyDescent="0.25">
      <c r="A25" s="1939"/>
      <c r="B25" s="1940" t="s">
        <v>9740</v>
      </c>
      <c r="C25" s="2357"/>
      <c r="D25" s="2357"/>
      <c r="E25" s="2357"/>
      <c r="F25" s="2357"/>
      <c r="G25" s="2357"/>
      <c r="H25" s="2358"/>
      <c r="I25" s="1907"/>
    </row>
    <row r="26" spans="1:11" s="1908" customFormat="1" ht="47.25" x14ac:dyDescent="0.25">
      <c r="A26" s="1932">
        <v>13.3</v>
      </c>
      <c r="B26" s="1922" t="s">
        <v>9717</v>
      </c>
      <c r="C26" s="2428" t="s">
        <v>9731</v>
      </c>
      <c r="D26" s="2428"/>
      <c r="E26" s="2419">
        <v>1</v>
      </c>
      <c r="F26" s="2419"/>
      <c r="G26" s="1920">
        <v>10000000</v>
      </c>
      <c r="H26" s="1893">
        <f>+G26*E26</f>
        <v>10000000</v>
      </c>
      <c r="I26" s="1909"/>
    </row>
    <row r="27" spans="1:11" ht="6" customHeight="1" x14ac:dyDescent="0.25">
      <c r="A27" s="1924"/>
      <c r="B27" s="2366"/>
      <c r="C27" s="2366"/>
      <c r="D27" s="2366"/>
      <c r="E27" s="2366"/>
      <c r="F27" s="2366"/>
      <c r="G27" s="2366"/>
      <c r="H27" s="2427"/>
      <c r="I27" s="1886"/>
    </row>
    <row r="28" spans="1:11" x14ac:dyDescent="0.25">
      <c r="A28" s="1928"/>
      <c r="B28" s="1941" t="s">
        <v>9741</v>
      </c>
      <c r="C28" s="2422"/>
      <c r="D28" s="2422"/>
      <c r="E28" s="2422"/>
      <c r="F28" s="2422"/>
      <c r="G28" s="2422"/>
      <c r="H28" s="2423"/>
      <c r="I28" s="1886"/>
    </row>
    <row r="29" spans="1:11" ht="63" x14ac:dyDescent="0.25">
      <c r="A29" s="1924">
        <v>13.4</v>
      </c>
      <c r="B29" s="1922" t="s">
        <v>9718</v>
      </c>
      <c r="C29" s="2428" t="s">
        <v>9731</v>
      </c>
      <c r="D29" s="2428"/>
      <c r="E29" s="2419">
        <v>1</v>
      </c>
      <c r="F29" s="2419"/>
      <c r="G29" s="1920">
        <v>15000000</v>
      </c>
      <c r="H29" s="1893">
        <f>+G29*E29</f>
        <v>15000000</v>
      </c>
      <c r="I29" s="1886"/>
    </row>
    <row r="30" spans="1:11" ht="6" customHeight="1" x14ac:dyDescent="0.25">
      <c r="A30" s="1924"/>
      <c r="B30" s="2420"/>
      <c r="C30" s="2420"/>
      <c r="D30" s="2420"/>
      <c r="E30" s="2420"/>
      <c r="F30" s="2420"/>
      <c r="G30" s="2420"/>
      <c r="H30" s="2421"/>
      <c r="I30" s="1886"/>
    </row>
    <row r="31" spans="1:11" ht="31.5" x14ac:dyDescent="0.25">
      <c r="A31" s="1928"/>
      <c r="B31" s="1941" t="s">
        <v>9742</v>
      </c>
      <c r="C31" s="2422"/>
      <c r="D31" s="2422"/>
      <c r="E31" s="2422"/>
      <c r="F31" s="2422"/>
      <c r="G31" s="2422"/>
      <c r="H31" s="2423"/>
      <c r="I31" s="1886"/>
    </row>
    <row r="32" spans="1:11" ht="94.5" x14ac:dyDescent="0.25">
      <c r="A32" s="1924">
        <v>13.5</v>
      </c>
      <c r="B32" s="1922" t="s">
        <v>9736</v>
      </c>
      <c r="C32" s="2419" t="s">
        <v>9731</v>
      </c>
      <c r="D32" s="2419"/>
      <c r="E32" s="2419">
        <v>1</v>
      </c>
      <c r="F32" s="2419"/>
      <c r="G32" s="1920">
        <v>50000000</v>
      </c>
      <c r="H32" s="1893">
        <f>+G32*E32</f>
        <v>50000000</v>
      </c>
      <c r="I32" s="1886"/>
    </row>
    <row r="33" spans="1:11" ht="9" customHeight="1" x14ac:dyDescent="0.25">
      <c r="A33" s="1924"/>
      <c r="B33" s="2420"/>
      <c r="C33" s="2420"/>
      <c r="D33" s="2420"/>
      <c r="E33" s="2420"/>
      <c r="F33" s="2420"/>
      <c r="G33" s="2420"/>
      <c r="H33" s="2421"/>
      <c r="I33" s="1886"/>
      <c r="J33" s="1911"/>
    </row>
    <row r="34" spans="1:11" x14ac:dyDescent="0.25">
      <c r="A34" s="1928"/>
      <c r="B34" s="1941" t="s">
        <v>9743</v>
      </c>
      <c r="C34" s="2422"/>
      <c r="D34" s="2422"/>
      <c r="E34" s="2422"/>
      <c r="F34" s="2422"/>
      <c r="G34" s="2422"/>
      <c r="H34" s="2423"/>
      <c r="I34" s="1886"/>
    </row>
    <row r="35" spans="1:11" ht="49.5" customHeight="1" x14ac:dyDescent="0.25">
      <c r="A35" s="1924">
        <v>13.6</v>
      </c>
      <c r="B35" s="1922" t="s">
        <v>9737</v>
      </c>
      <c r="C35" s="2419" t="s">
        <v>9731</v>
      </c>
      <c r="D35" s="2419"/>
      <c r="E35" s="2419">
        <v>1</v>
      </c>
      <c r="F35" s="2419"/>
      <c r="G35" s="1920">
        <v>20000000</v>
      </c>
      <c r="H35" s="1893">
        <f>E35*G35</f>
        <v>20000000</v>
      </c>
      <c r="I35" s="1887"/>
    </row>
    <row r="36" spans="1:11" ht="9" customHeight="1" x14ac:dyDescent="0.25">
      <c r="A36" s="1924"/>
      <c r="B36" s="2420"/>
      <c r="C36" s="2420"/>
      <c r="D36" s="2420"/>
      <c r="E36" s="2420"/>
      <c r="F36" s="2420"/>
      <c r="G36" s="2420"/>
      <c r="H36" s="2421"/>
      <c r="I36" s="1912"/>
    </row>
    <row r="37" spans="1:11" ht="31.5" x14ac:dyDescent="0.25">
      <c r="A37" s="1928"/>
      <c r="B37" s="1941" t="s">
        <v>9744</v>
      </c>
      <c r="C37" s="2422"/>
      <c r="D37" s="2422"/>
      <c r="E37" s="2422"/>
      <c r="F37" s="2422"/>
      <c r="G37" s="2422"/>
      <c r="H37" s="2423"/>
      <c r="I37" s="1886"/>
    </row>
    <row r="38" spans="1:11" ht="48" customHeight="1" x14ac:dyDescent="0.25">
      <c r="A38" s="1924">
        <v>13.7</v>
      </c>
      <c r="B38" s="1922" t="s">
        <v>9745</v>
      </c>
      <c r="C38" s="2419" t="s">
        <v>9731</v>
      </c>
      <c r="D38" s="2419"/>
      <c r="E38" s="2419">
        <v>1</v>
      </c>
      <c r="F38" s="2419"/>
      <c r="G38" s="1920">
        <v>30000000</v>
      </c>
      <c r="H38" s="1893">
        <f>+G38*E38</f>
        <v>30000000</v>
      </c>
      <c r="I38" s="1887"/>
    </row>
    <row r="39" spans="1:11" ht="6" customHeight="1" x14ac:dyDescent="0.25">
      <c r="A39" s="1924"/>
      <c r="B39" s="2366"/>
      <c r="C39" s="2366"/>
      <c r="D39" s="2366"/>
      <c r="E39" s="2366"/>
      <c r="F39" s="2366"/>
      <c r="G39" s="2366"/>
      <c r="H39" s="2427"/>
      <c r="I39" s="1886"/>
    </row>
    <row r="40" spans="1:11" x14ac:dyDescent="0.25">
      <c r="A40" s="1928"/>
      <c r="B40" s="1941" t="s">
        <v>9746</v>
      </c>
      <c r="C40" s="2422"/>
      <c r="D40" s="2422"/>
      <c r="E40" s="2422"/>
      <c r="F40" s="2422"/>
      <c r="G40" s="2422"/>
      <c r="H40" s="2423"/>
      <c r="I40" s="1886"/>
    </row>
    <row r="41" spans="1:11" ht="47.25" customHeight="1" x14ac:dyDescent="0.25">
      <c r="A41" s="1924">
        <v>13.8</v>
      </c>
      <c r="B41" s="1931" t="s">
        <v>9719</v>
      </c>
      <c r="C41" s="2419" t="s">
        <v>9731</v>
      </c>
      <c r="D41" s="2419"/>
      <c r="E41" s="2419">
        <v>1</v>
      </c>
      <c r="F41" s="2419"/>
      <c r="G41" s="1920">
        <v>5000000</v>
      </c>
      <c r="H41" s="1893">
        <f>+G41*E41</f>
        <v>5000000</v>
      </c>
      <c r="I41" s="1886"/>
    </row>
    <row r="42" spans="1:11" ht="81" customHeight="1" x14ac:dyDescent="0.25">
      <c r="A42" s="1924">
        <v>13.9</v>
      </c>
      <c r="B42" s="1931" t="s">
        <v>9747</v>
      </c>
      <c r="C42" s="2419" t="s">
        <v>9731</v>
      </c>
      <c r="D42" s="2419"/>
      <c r="E42" s="2419">
        <v>1</v>
      </c>
      <c r="F42" s="2419"/>
      <c r="G42" s="1920">
        <v>13000000</v>
      </c>
      <c r="H42" s="1893">
        <f>+G42*E42</f>
        <v>13000000</v>
      </c>
      <c r="I42" s="1886"/>
    </row>
    <row r="43" spans="1:11" ht="16.5" thickBot="1" x14ac:dyDescent="0.3">
      <c r="A43" s="1942"/>
      <c r="B43" s="2396" t="s">
        <v>46</v>
      </c>
      <c r="C43" s="2397"/>
      <c r="D43" s="2397"/>
      <c r="E43" s="2398"/>
      <c r="F43" s="1902"/>
      <c r="G43" s="1943"/>
      <c r="H43" s="1903">
        <f>+SUM(H41:H42,H38,H35,H32,H29,H26)</f>
        <v>143000000</v>
      </c>
      <c r="I43" s="1887"/>
      <c r="J43" s="1888"/>
    </row>
    <row r="44" spans="1:11" ht="9" customHeight="1" x14ac:dyDescent="0.25">
      <c r="A44" s="1944"/>
      <c r="B44" s="2402"/>
      <c r="C44" s="2403"/>
      <c r="D44" s="2403"/>
      <c r="E44" s="2403"/>
      <c r="F44" s="2403"/>
      <c r="G44" s="2403"/>
      <c r="H44" s="2404"/>
    </row>
    <row r="45" spans="1:11" ht="21" customHeight="1" thickBot="1" x14ac:dyDescent="0.3">
      <c r="A45" s="1933"/>
      <c r="B45" s="2399" t="s">
        <v>9732</v>
      </c>
      <c r="C45" s="2400"/>
      <c r="D45" s="2400"/>
      <c r="E45" s="2401"/>
      <c r="F45" s="1904"/>
      <c r="G45" s="1934"/>
      <c r="H45" s="1915">
        <f>+H43+H21</f>
        <v>381154400</v>
      </c>
      <c r="I45" s="1914"/>
      <c r="J45" s="1890"/>
      <c r="K45" s="1916"/>
    </row>
    <row r="46" spans="1:11" x14ac:dyDescent="0.25">
      <c r="B46" s="1917"/>
      <c r="C46" s="1917"/>
      <c r="D46" s="1917"/>
      <c r="E46" s="1917"/>
      <c r="F46" s="1917"/>
      <c r="G46" s="1917"/>
      <c r="H46" s="1918"/>
      <c r="I46" s="1886"/>
    </row>
    <row r="47" spans="1:11" x14ac:dyDescent="0.25">
      <c r="B47" s="1917"/>
      <c r="C47" s="1917"/>
      <c r="D47" s="1917"/>
      <c r="E47" s="1917"/>
      <c r="F47" s="1917"/>
      <c r="G47" s="1917"/>
      <c r="H47" s="1918"/>
      <c r="I47" s="1886"/>
    </row>
    <row r="48" spans="1:11" x14ac:dyDescent="0.25">
      <c r="B48" s="1917"/>
      <c r="C48" s="1917"/>
      <c r="D48" s="1917"/>
      <c r="E48" s="1917"/>
      <c r="F48" s="1917"/>
      <c r="G48" s="1917"/>
      <c r="H48" s="1918"/>
      <c r="I48" s="1886"/>
    </row>
    <row r="49" spans="2:9" x14ac:dyDescent="0.25">
      <c r="B49" s="1917"/>
      <c r="C49" s="2426"/>
      <c r="D49" s="2426"/>
      <c r="E49" s="1886"/>
      <c r="F49" s="1886"/>
      <c r="G49" s="1886"/>
      <c r="H49" s="1886"/>
      <c r="I49" s="1886"/>
    </row>
    <row r="50" spans="2:9" x14ac:dyDescent="0.25">
      <c r="B50" s="1917"/>
      <c r="C50" s="2424"/>
      <c r="D50" s="2424"/>
      <c r="E50" s="1886"/>
      <c r="F50" s="1886"/>
      <c r="G50" s="1886"/>
      <c r="H50" s="1886"/>
      <c r="I50" s="1886"/>
    </row>
    <row r="51" spans="2:9" x14ac:dyDescent="0.25">
      <c r="B51" s="1917"/>
      <c r="C51" s="2426"/>
      <c r="D51" s="2426"/>
      <c r="I51" s="1886"/>
    </row>
    <row r="52" spans="2:9" x14ac:dyDescent="0.25">
      <c r="B52" s="1917"/>
      <c r="C52" s="2426"/>
      <c r="D52" s="2426"/>
      <c r="I52" s="1886"/>
    </row>
    <row r="53" spans="2:9" x14ac:dyDescent="0.25">
      <c r="B53" s="1917"/>
      <c r="C53" s="2424"/>
      <c r="D53" s="2424"/>
    </row>
    <row r="59" spans="2:9" x14ac:dyDescent="0.25">
      <c r="B59" s="1886"/>
      <c r="C59" s="1919"/>
      <c r="D59" s="1886"/>
    </row>
  </sheetData>
  <mergeCells count="55">
    <mergeCell ref="C25:H25"/>
    <mergeCell ref="C26:D26"/>
    <mergeCell ref="E26:F26"/>
    <mergeCell ref="B27:H27"/>
    <mergeCell ref="H11:H12"/>
    <mergeCell ref="C13:H13"/>
    <mergeCell ref="C16:H16"/>
    <mergeCell ref="C24:D24"/>
    <mergeCell ref="A23:H23"/>
    <mergeCell ref="A22:H22"/>
    <mergeCell ref="B11:B12"/>
    <mergeCell ref="C11:C12"/>
    <mergeCell ref="D11:D12"/>
    <mergeCell ref="E11:E12"/>
    <mergeCell ref="F11:F12"/>
    <mergeCell ref="G11:G12"/>
    <mergeCell ref="C35:D35"/>
    <mergeCell ref="E35:F35"/>
    <mergeCell ref="C28:H28"/>
    <mergeCell ref="C29:D29"/>
    <mergeCell ref="B30:H30"/>
    <mergeCell ref="C31:H31"/>
    <mergeCell ref="C32:D32"/>
    <mergeCell ref="C53:D53"/>
    <mergeCell ref="E24:F24"/>
    <mergeCell ref="E29:F29"/>
    <mergeCell ref="E32:F32"/>
    <mergeCell ref="C49:D49"/>
    <mergeCell ref="C50:D50"/>
    <mergeCell ref="C51:D51"/>
    <mergeCell ref="C52:D52"/>
    <mergeCell ref="B39:H39"/>
    <mergeCell ref="C40:H40"/>
    <mergeCell ref="C41:D41"/>
    <mergeCell ref="E41:F41"/>
    <mergeCell ref="C42:D42"/>
    <mergeCell ref="E42:F42"/>
    <mergeCell ref="B36:H36"/>
    <mergeCell ref="C37:H37"/>
    <mergeCell ref="B43:E43"/>
    <mergeCell ref="B45:E45"/>
    <mergeCell ref="B44:H44"/>
    <mergeCell ref="A6:H8"/>
    <mergeCell ref="A2:H5"/>
    <mergeCell ref="A10:H10"/>
    <mergeCell ref="A11:A12"/>
    <mergeCell ref="B19:E19"/>
    <mergeCell ref="B21:E21"/>
    <mergeCell ref="B20:E20"/>
    <mergeCell ref="A15:H15"/>
    <mergeCell ref="A18:H18"/>
    <mergeCell ref="C38:D38"/>
    <mergeCell ref="E38:F38"/>
    <mergeCell ref="B33:H33"/>
    <mergeCell ref="C34:H34"/>
  </mergeCells>
  <pageMargins left="0.59" right="0.59" top="0.57999999999999996" bottom="0.74803149606299213" header="0.31496062992125984" footer="0.31496062992125984"/>
  <pageSetup scale="61"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62"/>
  <sheetViews>
    <sheetView view="pageBreakPreview" topLeftCell="A10" zoomScale="85" zoomScaleNormal="100" zoomScaleSheetLayoutView="85" workbookViewId="0">
      <selection activeCell="G43" sqref="G43"/>
    </sheetView>
  </sheetViews>
  <sheetFormatPr baseColWidth="10" defaultRowHeight="16.5" x14ac:dyDescent="0.3"/>
  <cols>
    <col min="1" max="1" width="10.5703125" style="844" customWidth="1"/>
    <col min="2" max="2" width="69.42578125" style="844" customWidth="1"/>
    <col min="3" max="3" width="6.7109375" style="844" customWidth="1"/>
    <col min="4" max="4" width="9.5703125" style="844" customWidth="1"/>
    <col min="5" max="5" width="16.28515625" style="844" customWidth="1"/>
    <col min="6" max="6" width="19.7109375" style="844" customWidth="1"/>
    <col min="7" max="7" width="16.42578125" style="844" customWidth="1"/>
    <col min="8" max="8" width="21.5703125" style="844" customWidth="1"/>
    <col min="9" max="16384" width="11.42578125" style="844"/>
  </cols>
  <sheetData>
    <row r="1" spans="1:8" ht="16.5" customHeight="1" x14ac:dyDescent="0.3">
      <c r="A1" s="2326" t="s">
        <v>9817</v>
      </c>
      <c r="B1" s="2326"/>
      <c r="C1" s="2326"/>
      <c r="D1" s="2326"/>
      <c r="E1" s="2326"/>
      <c r="F1" s="2326"/>
      <c r="G1" s="2326"/>
      <c r="H1" s="2326"/>
    </row>
    <row r="2" spans="1:8" ht="15.75" customHeight="1" x14ac:dyDescent="0.3">
      <c r="A2" s="2326"/>
      <c r="B2" s="2326"/>
      <c r="C2" s="2326"/>
      <c r="D2" s="2326"/>
      <c r="E2" s="2326"/>
      <c r="F2" s="2326"/>
      <c r="G2" s="2326"/>
      <c r="H2" s="2326"/>
    </row>
    <row r="3" spans="1:8" x14ac:dyDescent="0.3">
      <c r="A3" s="2326"/>
      <c r="B3" s="2326"/>
      <c r="C3" s="2326"/>
      <c r="D3" s="2326"/>
      <c r="E3" s="2326"/>
      <c r="F3" s="2326"/>
      <c r="G3" s="2326"/>
      <c r="H3" s="2326"/>
    </row>
    <row r="4" spans="1:8" ht="16.5" customHeight="1" x14ac:dyDescent="0.3">
      <c r="A4" s="2437" t="s">
        <v>9077</v>
      </c>
      <c r="B4" s="2437"/>
      <c r="C4" s="2437"/>
      <c r="D4" s="2437"/>
      <c r="E4" s="2437"/>
      <c r="F4" s="2437"/>
      <c r="G4" s="2437"/>
      <c r="H4" s="2437"/>
    </row>
    <row r="5" spans="1:8" x14ac:dyDescent="0.3">
      <c r="A5" s="2321" t="s">
        <v>2</v>
      </c>
      <c r="B5" s="2321"/>
      <c r="C5" s="2135" t="s">
        <v>6616</v>
      </c>
      <c r="D5" s="2134" t="s">
        <v>6617</v>
      </c>
      <c r="E5" s="948" t="s">
        <v>6618</v>
      </c>
      <c r="F5" s="949" t="s">
        <v>9831</v>
      </c>
      <c r="G5" s="949" t="s">
        <v>9864</v>
      </c>
      <c r="H5" s="949" t="s">
        <v>9865</v>
      </c>
    </row>
    <row r="6" spans="1:8" x14ac:dyDescent="0.3">
      <c r="A6" s="860"/>
      <c r="B6" s="859"/>
      <c r="C6" s="849"/>
      <c r="D6" s="1066"/>
      <c r="E6" s="846"/>
      <c r="F6" s="857"/>
      <c r="G6" s="857"/>
      <c r="H6" s="857"/>
    </row>
    <row r="7" spans="1:8" x14ac:dyDescent="0.3">
      <c r="A7" s="860"/>
      <c r="B7" s="859" t="s">
        <v>9078</v>
      </c>
      <c r="C7" s="849"/>
      <c r="D7" s="1066"/>
      <c r="E7" s="846"/>
      <c r="F7" s="857"/>
      <c r="G7" s="857"/>
      <c r="H7" s="857"/>
    </row>
    <row r="8" spans="1:8" x14ac:dyDescent="0.3">
      <c r="A8" s="1453">
        <v>1.1000000000000001</v>
      </c>
      <c r="B8" s="1654" t="s">
        <v>7204</v>
      </c>
      <c r="C8" s="853" t="s">
        <v>5734</v>
      </c>
      <c r="D8" s="851">
        <v>100</v>
      </c>
      <c r="E8" s="2066">
        <v>1913</v>
      </c>
      <c r="F8" s="2083">
        <f>ROUND(E8*D8,0)</f>
        <v>191300</v>
      </c>
      <c r="G8" s="2176">
        <f>+ROUND(E8*0.9,0)</f>
        <v>1722</v>
      </c>
      <c r="H8" s="2176">
        <f>+ROUND(E8*1.1,0)</f>
        <v>2104</v>
      </c>
    </row>
    <row r="9" spans="1:8" x14ac:dyDescent="0.3">
      <c r="A9" s="1453">
        <v>1.2</v>
      </c>
      <c r="B9" s="1654" t="s">
        <v>7192</v>
      </c>
      <c r="C9" s="853" t="s">
        <v>5556</v>
      </c>
      <c r="D9" s="851">
        <v>351.07</v>
      </c>
      <c r="E9" s="2066">
        <v>2899</v>
      </c>
      <c r="F9" s="2083">
        <f>ROUND(E9*D9,0)</f>
        <v>1017752</v>
      </c>
      <c r="G9" s="2176">
        <f t="shared" ref="G9:G36" si="0">+ROUND(E9*0.9,0)</f>
        <v>2609</v>
      </c>
      <c r="H9" s="2176">
        <f t="shared" ref="H9:H36" si="1">+ROUND(E9*1.1,0)</f>
        <v>3189</v>
      </c>
    </row>
    <row r="10" spans="1:8" x14ac:dyDescent="0.3">
      <c r="A10" s="860"/>
      <c r="B10" s="859" t="s">
        <v>9082</v>
      </c>
      <c r="C10" s="849"/>
      <c r="D10" s="1066"/>
      <c r="E10" s="2090"/>
      <c r="F10" s="857"/>
      <c r="G10" s="857"/>
      <c r="H10" s="857"/>
    </row>
    <row r="11" spans="1:8" x14ac:dyDescent="0.3">
      <c r="A11" s="1453" t="s">
        <v>5458</v>
      </c>
      <c r="B11" s="1435" t="s">
        <v>5968</v>
      </c>
      <c r="C11" s="853" t="s">
        <v>6858</v>
      </c>
      <c r="D11" s="1075">
        <v>1024.4100000000001</v>
      </c>
      <c r="E11" s="2066">
        <v>24270</v>
      </c>
      <c r="F11" s="2083">
        <f>ROUND(E11*D11,0)</f>
        <v>24862431</v>
      </c>
      <c r="G11" s="2176">
        <f>+ROUND(E11*0.9,0)</f>
        <v>21843</v>
      </c>
      <c r="H11" s="2176">
        <f t="shared" si="1"/>
        <v>26697</v>
      </c>
    </row>
    <row r="12" spans="1:8" ht="33" x14ac:dyDescent="0.3">
      <c r="A12" s="1463" t="s">
        <v>97</v>
      </c>
      <c r="B12" s="1074" t="s">
        <v>9819</v>
      </c>
      <c r="C12" s="1460" t="s">
        <v>6858</v>
      </c>
      <c r="D12" s="1075">
        <v>48.17</v>
      </c>
      <c r="E12" s="2066">
        <v>52233</v>
      </c>
      <c r="F12" s="2083">
        <f t="shared" ref="F12:F36" si="2">ROUND(E12*D12,0)</f>
        <v>2516064</v>
      </c>
      <c r="G12" s="2176">
        <f t="shared" si="0"/>
        <v>47010</v>
      </c>
      <c r="H12" s="2176">
        <f t="shared" si="1"/>
        <v>57456</v>
      </c>
    </row>
    <row r="13" spans="1:8" x14ac:dyDescent="0.3">
      <c r="A13" s="1453" t="s">
        <v>5976</v>
      </c>
      <c r="B13" s="1654" t="s">
        <v>7982</v>
      </c>
      <c r="C13" s="853" t="s">
        <v>6858</v>
      </c>
      <c r="D13" s="1458">
        <v>1331.73</v>
      </c>
      <c r="E13" s="2066">
        <v>34912</v>
      </c>
      <c r="F13" s="2083">
        <f t="shared" si="2"/>
        <v>46493358</v>
      </c>
      <c r="G13" s="2176">
        <f t="shared" si="0"/>
        <v>31421</v>
      </c>
      <c r="H13" s="2176">
        <f t="shared" si="1"/>
        <v>38403</v>
      </c>
    </row>
    <row r="14" spans="1:8" x14ac:dyDescent="0.3">
      <c r="A14" s="860"/>
      <c r="B14" s="1391" t="s">
        <v>8171</v>
      </c>
      <c r="C14" s="849"/>
      <c r="D14" s="1066"/>
      <c r="E14" s="2090"/>
      <c r="F14" s="857"/>
      <c r="G14" s="857"/>
      <c r="H14" s="857"/>
    </row>
    <row r="15" spans="1:8" x14ac:dyDescent="0.3">
      <c r="A15" s="1453" t="s">
        <v>8579</v>
      </c>
      <c r="B15" s="838" t="s">
        <v>8330</v>
      </c>
      <c r="C15" s="853" t="s">
        <v>6858</v>
      </c>
      <c r="D15" s="1440">
        <v>11.38</v>
      </c>
      <c r="E15" s="2066">
        <v>447833</v>
      </c>
      <c r="F15" s="2083">
        <f t="shared" si="2"/>
        <v>5096340</v>
      </c>
      <c r="G15" s="2176">
        <f t="shared" si="0"/>
        <v>403050</v>
      </c>
      <c r="H15" s="2176">
        <f t="shared" si="1"/>
        <v>492616</v>
      </c>
    </row>
    <row r="16" spans="1:8" ht="33" x14ac:dyDescent="0.3">
      <c r="A16" s="1453" t="s">
        <v>8575</v>
      </c>
      <c r="B16" s="1464" t="s">
        <v>9397</v>
      </c>
      <c r="C16" s="853" t="s">
        <v>6858</v>
      </c>
      <c r="D16" s="1440">
        <v>35.54</v>
      </c>
      <c r="E16" s="2066">
        <v>613345</v>
      </c>
      <c r="F16" s="2083">
        <f t="shared" si="2"/>
        <v>21798281</v>
      </c>
      <c r="G16" s="2176">
        <f t="shared" si="0"/>
        <v>552011</v>
      </c>
      <c r="H16" s="2176">
        <f t="shared" si="1"/>
        <v>674680</v>
      </c>
    </row>
    <row r="17" spans="1:12" ht="33" x14ac:dyDescent="0.3">
      <c r="A17" s="1453" t="s">
        <v>8576</v>
      </c>
      <c r="B17" s="1464" t="s">
        <v>9398</v>
      </c>
      <c r="C17" s="853" t="s">
        <v>6858</v>
      </c>
      <c r="D17" s="1440">
        <v>135.21</v>
      </c>
      <c r="E17" s="2066">
        <v>793562</v>
      </c>
      <c r="F17" s="2083">
        <f t="shared" si="2"/>
        <v>107297518</v>
      </c>
      <c r="G17" s="2176">
        <f t="shared" si="0"/>
        <v>714206</v>
      </c>
      <c r="H17" s="2176">
        <f t="shared" si="1"/>
        <v>872918</v>
      </c>
    </row>
    <row r="18" spans="1:12" x14ac:dyDescent="0.3">
      <c r="A18" s="1453" t="s">
        <v>233</v>
      </c>
      <c r="B18" s="1435" t="s">
        <v>5573</v>
      </c>
      <c r="C18" s="853" t="s">
        <v>5431</v>
      </c>
      <c r="D18" s="1439">
        <v>34048.26</v>
      </c>
      <c r="E18" s="2066">
        <v>3841</v>
      </c>
      <c r="F18" s="2083">
        <f t="shared" si="2"/>
        <v>130779367</v>
      </c>
      <c r="G18" s="2176">
        <f t="shared" si="0"/>
        <v>3457</v>
      </c>
      <c r="H18" s="2176">
        <f t="shared" si="1"/>
        <v>4225</v>
      </c>
    </row>
    <row r="19" spans="1:12" ht="33" x14ac:dyDescent="0.3">
      <c r="A19" s="1453" t="s">
        <v>8577</v>
      </c>
      <c r="B19" s="1464" t="s">
        <v>9399</v>
      </c>
      <c r="C19" s="853" t="s">
        <v>6858</v>
      </c>
      <c r="D19" s="1075">
        <v>9.6000000000000014</v>
      </c>
      <c r="E19" s="2066">
        <v>612002</v>
      </c>
      <c r="F19" s="2083">
        <f t="shared" si="2"/>
        <v>5875219</v>
      </c>
      <c r="G19" s="2176">
        <f t="shared" si="0"/>
        <v>550802</v>
      </c>
      <c r="H19" s="2176">
        <f t="shared" si="1"/>
        <v>673202</v>
      </c>
    </row>
    <row r="20" spans="1:12" x14ac:dyDescent="0.3">
      <c r="A20" s="1453" t="s">
        <v>187</v>
      </c>
      <c r="B20" s="838" t="s">
        <v>8275</v>
      </c>
      <c r="C20" s="853" t="s">
        <v>5734</v>
      </c>
      <c r="D20" s="1075">
        <v>186.5</v>
      </c>
      <c r="E20" s="2066">
        <v>39490</v>
      </c>
      <c r="F20" s="2083">
        <f t="shared" si="2"/>
        <v>7364885</v>
      </c>
      <c r="G20" s="2176">
        <f t="shared" si="0"/>
        <v>35541</v>
      </c>
      <c r="H20" s="2176">
        <f t="shared" si="1"/>
        <v>43439</v>
      </c>
    </row>
    <row r="21" spans="1:12" x14ac:dyDescent="0.3">
      <c r="A21" s="860"/>
      <c r="B21" s="1391" t="s">
        <v>444</v>
      </c>
      <c r="C21" s="849"/>
      <c r="D21" s="1066"/>
      <c r="E21" s="2090"/>
      <c r="F21" s="857"/>
      <c r="G21" s="857"/>
      <c r="H21" s="857"/>
    </row>
    <row r="22" spans="1:12" x14ac:dyDescent="0.3">
      <c r="A22" s="1453" t="s">
        <v>8626</v>
      </c>
      <c r="B22" s="1449" t="s">
        <v>8499</v>
      </c>
      <c r="C22" s="853" t="s">
        <v>5424</v>
      </c>
      <c r="D22" s="2159">
        <v>30</v>
      </c>
      <c r="E22" s="2066">
        <v>65469</v>
      </c>
      <c r="F22" s="2083">
        <f t="shared" si="2"/>
        <v>1964070</v>
      </c>
      <c r="G22" s="2176">
        <f t="shared" si="0"/>
        <v>58922</v>
      </c>
      <c r="H22" s="2176">
        <f t="shared" si="1"/>
        <v>72016</v>
      </c>
    </row>
    <row r="23" spans="1:12" x14ac:dyDescent="0.3">
      <c r="A23" s="1453" t="s">
        <v>8631</v>
      </c>
      <c r="B23" s="1449" t="s">
        <v>8502</v>
      </c>
      <c r="C23" s="853" t="s">
        <v>5424</v>
      </c>
      <c r="D23" s="2159">
        <v>15</v>
      </c>
      <c r="E23" s="2066">
        <v>65469</v>
      </c>
      <c r="F23" s="2083">
        <f t="shared" si="2"/>
        <v>982035</v>
      </c>
      <c r="G23" s="2176">
        <f t="shared" si="0"/>
        <v>58922</v>
      </c>
      <c r="H23" s="2176">
        <f t="shared" si="1"/>
        <v>72016</v>
      </c>
    </row>
    <row r="24" spans="1:12" x14ac:dyDescent="0.3">
      <c r="A24" s="1453" t="s">
        <v>8605</v>
      </c>
      <c r="B24" s="2101" t="s">
        <v>8513</v>
      </c>
      <c r="C24" s="853" t="s">
        <v>5424</v>
      </c>
      <c r="D24" s="2159">
        <v>30</v>
      </c>
      <c r="E24" s="2066">
        <v>78115</v>
      </c>
      <c r="F24" s="2083">
        <f t="shared" si="2"/>
        <v>2343450</v>
      </c>
      <c r="G24" s="2176">
        <f t="shared" si="0"/>
        <v>70304</v>
      </c>
      <c r="H24" s="2176">
        <f t="shared" si="1"/>
        <v>85927</v>
      </c>
    </row>
    <row r="25" spans="1:12" x14ac:dyDescent="0.3">
      <c r="A25" s="1453" t="s">
        <v>8609</v>
      </c>
      <c r="B25" s="2101" t="s">
        <v>8540</v>
      </c>
      <c r="C25" s="853" t="s">
        <v>5424</v>
      </c>
      <c r="D25" s="2159">
        <v>10</v>
      </c>
      <c r="E25" s="2066">
        <v>79222</v>
      </c>
      <c r="F25" s="2083">
        <f t="shared" si="2"/>
        <v>792220</v>
      </c>
      <c r="G25" s="2176">
        <f t="shared" si="0"/>
        <v>71300</v>
      </c>
      <c r="H25" s="2176">
        <f t="shared" si="1"/>
        <v>87144</v>
      </c>
    </row>
    <row r="26" spans="1:12" x14ac:dyDescent="0.3">
      <c r="A26" s="1453" t="s">
        <v>8593</v>
      </c>
      <c r="B26" s="2101" t="s">
        <v>8517</v>
      </c>
      <c r="C26" s="853" t="s">
        <v>5424</v>
      </c>
      <c r="D26" s="2159">
        <v>45</v>
      </c>
      <c r="E26" s="2066">
        <v>70676</v>
      </c>
      <c r="F26" s="2083">
        <f t="shared" si="2"/>
        <v>3180420</v>
      </c>
      <c r="G26" s="2176">
        <f t="shared" si="0"/>
        <v>63608</v>
      </c>
      <c r="H26" s="2176">
        <f t="shared" si="1"/>
        <v>77744</v>
      </c>
    </row>
    <row r="27" spans="1:12" x14ac:dyDescent="0.3">
      <c r="A27" s="1453" t="s">
        <v>8594</v>
      </c>
      <c r="B27" s="2101" t="s">
        <v>8518</v>
      </c>
      <c r="C27" s="853" t="s">
        <v>5424</v>
      </c>
      <c r="D27" s="2159">
        <v>45</v>
      </c>
      <c r="E27" s="2066">
        <v>72538</v>
      </c>
      <c r="F27" s="2083">
        <f t="shared" si="2"/>
        <v>3264210</v>
      </c>
      <c r="G27" s="2176">
        <f t="shared" si="0"/>
        <v>65284</v>
      </c>
      <c r="H27" s="2176">
        <f t="shared" si="1"/>
        <v>79792</v>
      </c>
    </row>
    <row r="28" spans="1:12" x14ac:dyDescent="0.3">
      <c r="A28" s="1453" t="s">
        <v>8598</v>
      </c>
      <c r="B28" s="2101" t="s">
        <v>8537</v>
      </c>
      <c r="C28" s="853" t="s">
        <v>5424</v>
      </c>
      <c r="D28" s="2159">
        <v>25</v>
      </c>
      <c r="E28" s="2066">
        <v>80640</v>
      </c>
      <c r="F28" s="2083">
        <f t="shared" si="2"/>
        <v>2016000</v>
      </c>
      <c r="G28" s="2176">
        <f t="shared" si="0"/>
        <v>72576</v>
      </c>
      <c r="H28" s="2176">
        <f t="shared" si="1"/>
        <v>88704</v>
      </c>
    </row>
    <row r="29" spans="1:12" x14ac:dyDescent="0.3">
      <c r="A29" s="1453" t="s">
        <v>8586</v>
      </c>
      <c r="B29" s="838" t="s">
        <v>8495</v>
      </c>
      <c r="C29" s="853" t="s">
        <v>5424</v>
      </c>
      <c r="D29" s="2159">
        <v>90</v>
      </c>
      <c r="E29" s="2066">
        <v>18707</v>
      </c>
      <c r="F29" s="2083">
        <f t="shared" si="2"/>
        <v>1683630</v>
      </c>
      <c r="G29" s="2176">
        <f t="shared" si="0"/>
        <v>16836</v>
      </c>
      <c r="H29" s="2176">
        <f t="shared" si="1"/>
        <v>20578</v>
      </c>
    </row>
    <row r="30" spans="1:12" x14ac:dyDescent="0.3">
      <c r="A30" s="1453" t="s">
        <v>8588</v>
      </c>
      <c r="B30" s="2101" t="s">
        <v>8497</v>
      </c>
      <c r="C30" s="853" t="s">
        <v>5424</v>
      </c>
      <c r="D30" s="2159">
        <v>35</v>
      </c>
      <c r="E30" s="2066">
        <v>26752</v>
      </c>
      <c r="F30" s="2083">
        <f t="shared" si="2"/>
        <v>936320</v>
      </c>
      <c r="G30" s="2176">
        <f t="shared" si="0"/>
        <v>24077</v>
      </c>
      <c r="H30" s="2176">
        <f t="shared" si="1"/>
        <v>29427</v>
      </c>
    </row>
    <row r="31" spans="1:12" x14ac:dyDescent="0.3">
      <c r="A31" s="1453" t="s">
        <v>8590</v>
      </c>
      <c r="B31" s="1449" t="s">
        <v>8509</v>
      </c>
      <c r="C31" s="853" t="s">
        <v>5424</v>
      </c>
      <c r="D31" s="2159">
        <v>10</v>
      </c>
      <c r="E31" s="2066">
        <v>38572</v>
      </c>
      <c r="F31" s="2083">
        <f t="shared" si="2"/>
        <v>385720</v>
      </c>
      <c r="G31" s="2176">
        <f t="shared" si="0"/>
        <v>34715</v>
      </c>
      <c r="H31" s="2176">
        <f t="shared" si="1"/>
        <v>42429</v>
      </c>
      <c r="L31" s="2102"/>
    </row>
    <row r="32" spans="1:12" ht="33" x14ac:dyDescent="0.3">
      <c r="A32" s="1463" t="s">
        <v>8618</v>
      </c>
      <c r="B32" s="1395" t="s">
        <v>9003</v>
      </c>
      <c r="C32" s="853" t="s">
        <v>5402</v>
      </c>
      <c r="D32" s="1458">
        <v>20.5</v>
      </c>
      <c r="E32" s="2066">
        <v>9905.3036111111123</v>
      </c>
      <c r="F32" s="2083">
        <f t="shared" si="2"/>
        <v>203059</v>
      </c>
      <c r="G32" s="2176">
        <f t="shared" si="0"/>
        <v>8915</v>
      </c>
      <c r="H32" s="2176">
        <f t="shared" si="1"/>
        <v>10896</v>
      </c>
      <c r="L32" s="2102"/>
    </row>
    <row r="33" spans="1:12" x14ac:dyDescent="0.3">
      <c r="A33" s="2196" t="s">
        <v>8605</v>
      </c>
      <c r="B33" s="2164" t="s">
        <v>9822</v>
      </c>
      <c r="C33" s="2165" t="s">
        <v>5424</v>
      </c>
      <c r="D33" s="2159">
        <v>15</v>
      </c>
      <c r="E33" s="2166">
        <v>11453</v>
      </c>
      <c r="F33" s="2167">
        <f t="shared" ref="F33:F34" si="3">+ROUND(D33*E33,0)</f>
        <v>171795</v>
      </c>
      <c r="G33" s="2176">
        <f t="shared" si="0"/>
        <v>10308</v>
      </c>
      <c r="H33" s="2176">
        <f t="shared" si="1"/>
        <v>12598</v>
      </c>
      <c r="L33" s="2102"/>
    </row>
    <row r="34" spans="1:12" x14ac:dyDescent="0.3">
      <c r="A34" s="2196" t="s">
        <v>8606</v>
      </c>
      <c r="B34" s="2164" t="s">
        <v>9823</v>
      </c>
      <c r="C34" s="2165" t="s">
        <v>5424</v>
      </c>
      <c r="D34" s="2159">
        <v>15</v>
      </c>
      <c r="E34" s="2166">
        <v>11453</v>
      </c>
      <c r="F34" s="2167">
        <f t="shared" si="3"/>
        <v>171795</v>
      </c>
      <c r="G34" s="2176">
        <f t="shared" si="0"/>
        <v>10308</v>
      </c>
      <c r="H34" s="2176">
        <f t="shared" si="1"/>
        <v>12598</v>
      </c>
      <c r="L34" s="2102"/>
    </row>
    <row r="35" spans="1:12" x14ac:dyDescent="0.3">
      <c r="A35" s="1453" t="s">
        <v>5583</v>
      </c>
      <c r="B35" s="1449" t="s">
        <v>8992</v>
      </c>
      <c r="C35" s="853" t="s">
        <v>5424</v>
      </c>
      <c r="D35" s="1458">
        <v>15</v>
      </c>
      <c r="E35" s="2066">
        <v>819794</v>
      </c>
      <c r="F35" s="2083">
        <f t="shared" si="2"/>
        <v>12296910</v>
      </c>
      <c r="G35" s="2176">
        <f t="shared" si="0"/>
        <v>737815</v>
      </c>
      <c r="H35" s="2176">
        <f t="shared" si="1"/>
        <v>901773</v>
      </c>
      <c r="L35" s="2102"/>
    </row>
    <row r="36" spans="1:12" x14ac:dyDescent="0.3">
      <c r="A36" s="1453" t="s">
        <v>5585</v>
      </c>
      <c r="B36" s="1449" t="s">
        <v>7929</v>
      </c>
      <c r="C36" s="853" t="s">
        <v>5424</v>
      </c>
      <c r="D36" s="1458">
        <v>150</v>
      </c>
      <c r="E36" s="2066">
        <v>29456</v>
      </c>
      <c r="F36" s="2083">
        <f t="shared" si="2"/>
        <v>4418400</v>
      </c>
      <c r="G36" s="2176">
        <f t="shared" si="0"/>
        <v>26510</v>
      </c>
      <c r="H36" s="2176">
        <f t="shared" si="1"/>
        <v>32402</v>
      </c>
    </row>
    <row r="37" spans="1:12" x14ac:dyDescent="0.3">
      <c r="A37" s="1453"/>
      <c r="B37" s="1449"/>
      <c r="C37" s="2336" t="s">
        <v>8173</v>
      </c>
      <c r="D37" s="2337"/>
      <c r="E37" s="2338"/>
      <c r="F37" s="2106">
        <f>+ROUND(SUM(F8:F36),0)</f>
        <v>388102549</v>
      </c>
    </row>
    <row r="38" spans="1:12" x14ac:dyDescent="0.3">
      <c r="A38" s="2438"/>
      <c r="B38" s="2439"/>
      <c r="C38" s="2439"/>
      <c r="D38" s="2439"/>
      <c r="E38" s="2439"/>
      <c r="F38" s="2440"/>
      <c r="I38" s="2158"/>
    </row>
    <row r="39" spans="1:12" x14ac:dyDescent="0.3">
      <c r="A39" s="2321" t="s">
        <v>8351</v>
      </c>
      <c r="B39" s="2321"/>
      <c r="C39" s="2135" t="s">
        <v>6616</v>
      </c>
      <c r="D39" s="2134" t="s">
        <v>6617</v>
      </c>
      <c r="E39" s="948" t="s">
        <v>6618</v>
      </c>
      <c r="F39" s="949" t="s">
        <v>9831</v>
      </c>
      <c r="G39" s="949" t="s">
        <v>9864</v>
      </c>
      <c r="H39" s="949" t="s">
        <v>9865</v>
      </c>
    </row>
    <row r="40" spans="1:12" x14ac:dyDescent="0.3">
      <c r="A40" s="1453" t="s">
        <v>8703</v>
      </c>
      <c r="B40" s="2141" t="s">
        <v>9167</v>
      </c>
      <c r="C40" s="852" t="s">
        <v>5424</v>
      </c>
      <c r="D40" s="2159">
        <v>55</v>
      </c>
      <c r="E40" s="2066">
        <v>522791</v>
      </c>
      <c r="F40" s="2083">
        <f t="shared" ref="F40:F61" si="4">ROUND(E40*D40,0)</f>
        <v>28753505</v>
      </c>
      <c r="G40" s="2176">
        <f>+ROUND(E40*0.9,0)</f>
        <v>470512</v>
      </c>
      <c r="H40" s="2176">
        <f t="shared" ref="H40" si="5">+ROUND(E40*1.1,0)</f>
        <v>575070</v>
      </c>
    </row>
    <row r="41" spans="1:12" x14ac:dyDescent="0.3">
      <c r="A41" s="1453" t="s">
        <v>8704</v>
      </c>
      <c r="B41" s="2153" t="s">
        <v>9161</v>
      </c>
      <c r="C41" s="852" t="s">
        <v>5424</v>
      </c>
      <c r="D41" s="2159">
        <v>20</v>
      </c>
      <c r="E41" s="2066">
        <v>1661648</v>
      </c>
      <c r="F41" s="2083">
        <f t="shared" si="4"/>
        <v>33232960</v>
      </c>
      <c r="G41" s="2176">
        <f t="shared" ref="G41:G61" si="6">+ROUND(E41*0.9,0)</f>
        <v>1495483</v>
      </c>
      <c r="H41" s="2176">
        <f t="shared" ref="H41:H61" si="7">+ROUND(E41*1.1,0)</f>
        <v>1827813</v>
      </c>
    </row>
    <row r="42" spans="1:12" x14ac:dyDescent="0.3">
      <c r="A42" s="1453" t="s">
        <v>8977</v>
      </c>
      <c r="B42" s="1621" t="s">
        <v>9313</v>
      </c>
      <c r="C42" s="852" t="s">
        <v>5424</v>
      </c>
      <c r="D42" s="2159">
        <v>5</v>
      </c>
      <c r="E42" s="2066">
        <v>7284311</v>
      </c>
      <c r="F42" s="2083">
        <f t="shared" si="4"/>
        <v>36421555</v>
      </c>
      <c r="G42" s="2176">
        <f t="shared" si="6"/>
        <v>6555880</v>
      </c>
      <c r="H42" s="2176">
        <f t="shared" si="7"/>
        <v>8012742</v>
      </c>
    </row>
    <row r="43" spans="1:12" x14ac:dyDescent="0.3">
      <c r="A43" s="1453" t="s">
        <v>8978</v>
      </c>
      <c r="B43" s="1459" t="s">
        <v>9314</v>
      </c>
      <c r="C43" s="852" t="s">
        <v>5424</v>
      </c>
      <c r="D43" s="2159">
        <v>5</v>
      </c>
      <c r="E43" s="2066">
        <v>4711346</v>
      </c>
      <c r="F43" s="2083">
        <f t="shared" si="4"/>
        <v>23556730</v>
      </c>
      <c r="G43" s="2176">
        <f t="shared" si="6"/>
        <v>4240211</v>
      </c>
      <c r="H43" s="2176">
        <f t="shared" si="7"/>
        <v>5182481</v>
      </c>
    </row>
    <row r="44" spans="1:12" x14ac:dyDescent="0.3">
      <c r="A44" s="1453" t="s">
        <v>8720</v>
      </c>
      <c r="B44" s="2098" t="s">
        <v>9315</v>
      </c>
      <c r="C44" s="852" t="s">
        <v>8954</v>
      </c>
      <c r="D44" s="2159">
        <v>5</v>
      </c>
      <c r="E44" s="2066">
        <v>3736442</v>
      </c>
      <c r="F44" s="2083">
        <f t="shared" si="4"/>
        <v>18682210</v>
      </c>
      <c r="G44" s="2176">
        <f t="shared" si="6"/>
        <v>3362798</v>
      </c>
      <c r="H44" s="2176">
        <f t="shared" si="7"/>
        <v>4110086</v>
      </c>
    </row>
    <row r="45" spans="1:12" x14ac:dyDescent="0.3">
      <c r="A45" s="1453" t="s">
        <v>8732</v>
      </c>
      <c r="B45" s="2154" t="s">
        <v>9316</v>
      </c>
      <c r="C45" s="852" t="s">
        <v>5424</v>
      </c>
      <c r="D45" s="2159">
        <v>15</v>
      </c>
      <c r="E45" s="2066">
        <v>1403876</v>
      </c>
      <c r="F45" s="2083">
        <f t="shared" si="4"/>
        <v>21058140</v>
      </c>
      <c r="G45" s="2176">
        <f t="shared" si="6"/>
        <v>1263488</v>
      </c>
      <c r="H45" s="2176">
        <f t="shared" si="7"/>
        <v>1544264</v>
      </c>
    </row>
    <row r="46" spans="1:12" ht="33" x14ac:dyDescent="0.3">
      <c r="A46" s="1463" t="s">
        <v>8735</v>
      </c>
      <c r="B46" s="1632" t="s">
        <v>9128</v>
      </c>
      <c r="C46" s="1076" t="s">
        <v>5424</v>
      </c>
      <c r="D46" s="2159">
        <v>15</v>
      </c>
      <c r="E46" s="2066">
        <v>741632</v>
      </c>
      <c r="F46" s="2083">
        <f t="shared" si="4"/>
        <v>11124480</v>
      </c>
      <c r="G46" s="2176">
        <f t="shared" si="6"/>
        <v>667469</v>
      </c>
      <c r="H46" s="2176">
        <f t="shared" si="7"/>
        <v>815795</v>
      </c>
      <c r="I46" s="2157"/>
      <c r="J46" s="2157"/>
    </row>
    <row r="47" spans="1:12" x14ac:dyDescent="0.3">
      <c r="A47" s="1463" t="s">
        <v>8736</v>
      </c>
      <c r="B47" s="2142" t="s">
        <v>9127</v>
      </c>
      <c r="C47" s="1076" t="s">
        <v>5424</v>
      </c>
      <c r="D47" s="2159">
        <v>15</v>
      </c>
      <c r="E47" s="2066">
        <v>150435</v>
      </c>
      <c r="F47" s="2083">
        <f t="shared" si="4"/>
        <v>2256525</v>
      </c>
      <c r="G47" s="2176">
        <f t="shared" si="6"/>
        <v>135392</v>
      </c>
      <c r="H47" s="2176">
        <f t="shared" si="7"/>
        <v>165479</v>
      </c>
    </row>
    <row r="48" spans="1:12" x14ac:dyDescent="0.3">
      <c r="A48" s="1463" t="s">
        <v>8737</v>
      </c>
      <c r="B48" s="2141" t="s">
        <v>9130</v>
      </c>
      <c r="C48" s="1076" t="s">
        <v>5424</v>
      </c>
      <c r="D48" s="1440">
        <v>10</v>
      </c>
      <c r="E48" s="2066">
        <v>2396392</v>
      </c>
      <c r="F48" s="2083">
        <f t="shared" si="4"/>
        <v>23963920</v>
      </c>
      <c r="G48" s="2176">
        <f t="shared" si="6"/>
        <v>2156753</v>
      </c>
      <c r="H48" s="2176">
        <f t="shared" si="7"/>
        <v>2636031</v>
      </c>
    </row>
    <row r="49" spans="1:8" x14ac:dyDescent="0.3">
      <c r="A49" s="1463" t="s">
        <v>8739</v>
      </c>
      <c r="B49" s="2141" t="s">
        <v>9133</v>
      </c>
      <c r="C49" s="1076" t="s">
        <v>5424</v>
      </c>
      <c r="D49" s="1440">
        <v>35</v>
      </c>
      <c r="E49" s="2066">
        <v>2514244</v>
      </c>
      <c r="F49" s="2083">
        <f t="shared" si="4"/>
        <v>87998540</v>
      </c>
      <c r="G49" s="2176">
        <f t="shared" si="6"/>
        <v>2262820</v>
      </c>
      <c r="H49" s="2176">
        <f t="shared" si="7"/>
        <v>2765668</v>
      </c>
    </row>
    <row r="50" spans="1:8" x14ac:dyDescent="0.3">
      <c r="A50" s="1463" t="s">
        <v>8740</v>
      </c>
      <c r="B50" s="2141" t="s">
        <v>9317</v>
      </c>
      <c r="C50" s="1076" t="s">
        <v>5424</v>
      </c>
      <c r="D50" s="1440">
        <v>45</v>
      </c>
      <c r="E50" s="2066">
        <v>5028488</v>
      </c>
      <c r="F50" s="2083">
        <f t="shared" si="4"/>
        <v>226281960</v>
      </c>
      <c r="G50" s="2176">
        <f t="shared" si="6"/>
        <v>4525639</v>
      </c>
      <c r="H50" s="2176">
        <f t="shared" si="7"/>
        <v>5531337</v>
      </c>
    </row>
    <row r="51" spans="1:8" x14ac:dyDescent="0.3">
      <c r="A51" s="1463" t="s">
        <v>8743</v>
      </c>
      <c r="B51" s="2141" t="s">
        <v>9299</v>
      </c>
      <c r="C51" s="1076" t="s">
        <v>5424</v>
      </c>
      <c r="D51" s="1440">
        <v>25</v>
      </c>
      <c r="E51" s="2066">
        <v>1883621</v>
      </c>
      <c r="F51" s="2083">
        <f t="shared" si="4"/>
        <v>47090525</v>
      </c>
      <c r="G51" s="2176">
        <f t="shared" si="6"/>
        <v>1695259</v>
      </c>
      <c r="H51" s="2176">
        <f t="shared" si="7"/>
        <v>2071983</v>
      </c>
    </row>
    <row r="52" spans="1:8" ht="27" x14ac:dyDescent="0.3">
      <c r="A52" s="1463" t="s">
        <v>8776</v>
      </c>
      <c r="B52" s="2141" t="s">
        <v>9708</v>
      </c>
      <c r="C52" s="1076" t="s">
        <v>5424</v>
      </c>
      <c r="D52" s="1440">
        <v>30</v>
      </c>
      <c r="E52" s="2066">
        <v>506048</v>
      </c>
      <c r="F52" s="2083">
        <f t="shared" si="4"/>
        <v>15181440</v>
      </c>
      <c r="G52" s="2176">
        <f t="shared" si="6"/>
        <v>455443</v>
      </c>
      <c r="H52" s="2176">
        <f t="shared" si="7"/>
        <v>556653</v>
      </c>
    </row>
    <row r="53" spans="1:8" ht="27" x14ac:dyDescent="0.3">
      <c r="A53" s="1463" t="s">
        <v>8784</v>
      </c>
      <c r="B53" s="2155" t="s">
        <v>9682</v>
      </c>
      <c r="C53" s="1076" t="s">
        <v>5424</v>
      </c>
      <c r="D53" s="1440">
        <v>5</v>
      </c>
      <c r="E53" s="2066">
        <v>640521</v>
      </c>
      <c r="F53" s="2083">
        <f t="shared" si="4"/>
        <v>3202605</v>
      </c>
      <c r="G53" s="2176">
        <f t="shared" si="6"/>
        <v>576469</v>
      </c>
      <c r="H53" s="2176">
        <f t="shared" si="7"/>
        <v>704573</v>
      </c>
    </row>
    <row r="54" spans="1:8" ht="27" x14ac:dyDescent="0.3">
      <c r="A54" s="1463" t="s">
        <v>8800</v>
      </c>
      <c r="B54" s="2141" t="s">
        <v>9707</v>
      </c>
      <c r="C54" s="1076" t="s">
        <v>5424</v>
      </c>
      <c r="D54" s="1440">
        <v>5</v>
      </c>
      <c r="E54" s="2066">
        <v>224910</v>
      </c>
      <c r="F54" s="2083">
        <f t="shared" si="4"/>
        <v>1124550</v>
      </c>
      <c r="G54" s="2176">
        <f t="shared" si="6"/>
        <v>202419</v>
      </c>
      <c r="H54" s="2176">
        <f t="shared" si="7"/>
        <v>247401</v>
      </c>
    </row>
    <row r="55" spans="1:8" x14ac:dyDescent="0.3">
      <c r="A55" s="1463" t="s">
        <v>8825</v>
      </c>
      <c r="B55" s="2098" t="s">
        <v>9318</v>
      </c>
      <c r="C55" s="1076" t="s">
        <v>5424</v>
      </c>
      <c r="D55" s="1440">
        <v>5</v>
      </c>
      <c r="E55" s="2066">
        <v>1773978</v>
      </c>
      <c r="F55" s="2083">
        <f t="shared" si="4"/>
        <v>8869890</v>
      </c>
      <c r="G55" s="2176">
        <f t="shared" si="6"/>
        <v>1596580</v>
      </c>
      <c r="H55" s="2176">
        <f t="shared" si="7"/>
        <v>1951376</v>
      </c>
    </row>
    <row r="56" spans="1:8" x14ac:dyDescent="0.3">
      <c r="A56" s="1463" t="s">
        <v>8844</v>
      </c>
      <c r="B56" s="2141" t="s">
        <v>9319</v>
      </c>
      <c r="C56" s="1076" t="s">
        <v>5424</v>
      </c>
      <c r="D56" s="1440">
        <v>5</v>
      </c>
      <c r="E56" s="2066">
        <v>3472423</v>
      </c>
      <c r="F56" s="2083">
        <f t="shared" si="4"/>
        <v>17362115</v>
      </c>
      <c r="G56" s="2176">
        <f t="shared" si="6"/>
        <v>3125181</v>
      </c>
      <c r="H56" s="2176">
        <f t="shared" si="7"/>
        <v>3819665</v>
      </c>
    </row>
    <row r="57" spans="1:8" x14ac:dyDescent="0.3">
      <c r="A57" s="1463" t="s">
        <v>8877</v>
      </c>
      <c r="B57" s="1859" t="s">
        <v>9160</v>
      </c>
      <c r="C57" s="1076" t="s">
        <v>5402</v>
      </c>
      <c r="D57" s="1440">
        <v>20.5</v>
      </c>
      <c r="E57" s="2066">
        <v>196601</v>
      </c>
      <c r="F57" s="2083">
        <f t="shared" si="4"/>
        <v>4030321</v>
      </c>
      <c r="G57" s="2176">
        <f t="shared" si="6"/>
        <v>176941</v>
      </c>
      <c r="H57" s="2176">
        <f t="shared" si="7"/>
        <v>216261</v>
      </c>
    </row>
    <row r="58" spans="1:8" x14ac:dyDescent="0.3">
      <c r="A58" s="1463" t="s">
        <v>8886</v>
      </c>
      <c r="B58" s="2156" t="s">
        <v>9320</v>
      </c>
      <c r="C58" s="1076" t="s">
        <v>5424</v>
      </c>
      <c r="D58" s="1440">
        <v>20</v>
      </c>
      <c r="E58" s="2066">
        <v>1694509</v>
      </c>
      <c r="F58" s="2083">
        <f t="shared" si="4"/>
        <v>33890180</v>
      </c>
      <c r="G58" s="2176">
        <f t="shared" si="6"/>
        <v>1525058</v>
      </c>
      <c r="H58" s="2176">
        <f t="shared" si="7"/>
        <v>1863960</v>
      </c>
    </row>
    <row r="59" spans="1:8" ht="25.5" x14ac:dyDescent="0.3">
      <c r="A59" s="1463" t="s">
        <v>8933</v>
      </c>
      <c r="B59" s="2069" t="s">
        <v>9321</v>
      </c>
      <c r="C59" s="1076" t="s">
        <v>5424</v>
      </c>
      <c r="D59" s="1440">
        <v>15</v>
      </c>
      <c r="E59" s="2066">
        <v>21089547</v>
      </c>
      <c r="F59" s="2083">
        <f t="shared" si="4"/>
        <v>316343205</v>
      </c>
      <c r="G59" s="2176">
        <f t="shared" si="6"/>
        <v>18980592</v>
      </c>
      <c r="H59" s="2176">
        <f t="shared" si="7"/>
        <v>23198502</v>
      </c>
    </row>
    <row r="60" spans="1:8" ht="21" customHeight="1" x14ac:dyDescent="0.3">
      <c r="A60" s="1463" t="s">
        <v>9089</v>
      </c>
      <c r="B60" s="2069" t="s">
        <v>9322</v>
      </c>
      <c r="C60" s="1076" t="s">
        <v>5424</v>
      </c>
      <c r="D60" s="1440">
        <v>15</v>
      </c>
      <c r="E60" s="2066">
        <v>1736805</v>
      </c>
      <c r="F60" s="2083">
        <f t="shared" si="4"/>
        <v>26052075</v>
      </c>
      <c r="G60" s="2176">
        <f t="shared" si="6"/>
        <v>1563125</v>
      </c>
      <c r="H60" s="2176">
        <f t="shared" si="7"/>
        <v>1910486</v>
      </c>
    </row>
    <row r="61" spans="1:8" ht="33" x14ac:dyDescent="0.3">
      <c r="A61" s="1463" t="s">
        <v>9106</v>
      </c>
      <c r="B61" s="1459" t="s">
        <v>9323</v>
      </c>
      <c r="C61" s="1076" t="s">
        <v>5424</v>
      </c>
      <c r="D61" s="1440">
        <v>15</v>
      </c>
      <c r="E61" s="2066">
        <v>25307456</v>
      </c>
      <c r="F61" s="2083">
        <f t="shared" si="4"/>
        <v>379611840</v>
      </c>
      <c r="G61" s="2176">
        <f t="shared" si="6"/>
        <v>22776710</v>
      </c>
      <c r="H61" s="2176">
        <f t="shared" si="7"/>
        <v>27838202</v>
      </c>
    </row>
    <row r="62" spans="1:8" ht="17.25" customHeight="1" x14ac:dyDescent="0.3">
      <c r="A62" s="1451"/>
      <c r="B62" s="1449"/>
      <c r="C62" s="2336" t="s">
        <v>9101</v>
      </c>
      <c r="D62" s="2337"/>
      <c r="E62" s="2338"/>
      <c r="F62" s="2152">
        <f>+ROUND(SUM(F40:F61),0)</f>
        <v>1366089271</v>
      </c>
    </row>
  </sheetData>
  <sheetProtection algorithmName="SHA-512" hashValue="K9G99UwCDU01kBDq9wfQHAPTJkSW2TlCxcNjlS7fxqdlD2Opk1Pq8CFUOJaVV8/GLAVN3rXFg9ZJpKdm9WmVgg==" saltValue="K0oLBamV9o6TTUPkLV6GGg==" spinCount="100000" sheet="1" objects="1" scenarios="1" selectLockedCells="1" selectUnlockedCells="1"/>
  <sortState ref="A43:F64">
    <sortCondition ref="B43:B64"/>
  </sortState>
  <mergeCells count="7">
    <mergeCell ref="A1:H3"/>
    <mergeCell ref="A4:H4"/>
    <mergeCell ref="C62:E62"/>
    <mergeCell ref="A5:B5"/>
    <mergeCell ref="A39:B39"/>
    <mergeCell ref="C37:E37"/>
    <mergeCell ref="A38:F38"/>
  </mergeCells>
  <pageMargins left="0.70866141732283472" right="0.70866141732283472" top="0.74803149606299213" bottom="0.74803149606299213" header="0.31496062992125984" footer="0.31496062992125984"/>
  <pageSetup scale="52" fitToHeight="0" orientation="portrait" r:id="rId1"/>
  <rowBreaks count="1" manualBreakCount="1">
    <brk id="38"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87"/>
  <sheetViews>
    <sheetView view="pageBreakPreview" topLeftCell="A49" zoomScale="86" zoomScaleNormal="70" zoomScaleSheetLayoutView="86" workbookViewId="0">
      <selection activeCell="C62" sqref="C62"/>
    </sheetView>
  </sheetViews>
  <sheetFormatPr baseColWidth="10" defaultColWidth="11.42578125" defaultRowHeight="16.5" x14ac:dyDescent="0.3"/>
  <cols>
    <col min="1" max="1" width="8.140625" style="2197" customWidth="1"/>
    <col min="2" max="2" width="76.85546875" style="2197" bestFit="1" customWidth="1"/>
    <col min="3" max="3" width="29.7109375" style="2197" bestFit="1" customWidth="1"/>
    <col min="4" max="4" width="27.85546875" style="2197" hidden="1" customWidth="1"/>
    <col min="5" max="5" width="27.85546875" style="2251" hidden="1" customWidth="1"/>
    <col min="6" max="6" width="29.7109375" style="2251" hidden="1" customWidth="1"/>
    <col min="7" max="7" width="27.85546875" style="2251" hidden="1" customWidth="1"/>
    <col min="8" max="8" width="20.140625" style="2197" bestFit="1" customWidth="1"/>
    <col min="9" max="9" width="19.5703125" style="2197" bestFit="1" customWidth="1"/>
    <col min="10" max="10" width="11.42578125" style="2197"/>
    <col min="11" max="11" width="18.28515625" style="2197" bestFit="1" customWidth="1"/>
    <col min="12" max="12" width="11.42578125" style="2197"/>
    <col min="13" max="13" width="18.140625" style="2197" bestFit="1" customWidth="1"/>
    <col min="14" max="16384" width="11.42578125" style="2197"/>
  </cols>
  <sheetData>
    <row r="1" spans="1:13" ht="18.75" customHeight="1" x14ac:dyDescent="0.3">
      <c r="A1" s="2279" t="s">
        <v>9817</v>
      </c>
      <c r="B1" s="2279"/>
      <c r="C1" s="2279"/>
      <c r="D1" s="2279"/>
      <c r="E1" s="2279"/>
      <c r="F1" s="2279"/>
      <c r="G1" s="2279"/>
    </row>
    <row r="2" spans="1:13" ht="18.75" customHeight="1" x14ac:dyDescent="0.3">
      <c r="A2" s="2279"/>
      <c r="B2" s="2279"/>
      <c r="C2" s="2279"/>
      <c r="D2" s="2279"/>
      <c r="E2" s="2279"/>
      <c r="F2" s="2279"/>
      <c r="G2" s="2279"/>
    </row>
    <row r="3" spans="1:13" ht="3.75" customHeight="1" x14ac:dyDescent="0.3">
      <c r="A3" s="2279"/>
      <c r="B3" s="2279"/>
      <c r="C3" s="2279"/>
      <c r="D3" s="2279"/>
      <c r="E3" s="2279"/>
      <c r="F3" s="2279"/>
      <c r="G3" s="2279"/>
    </row>
    <row r="4" spans="1:13" x14ac:dyDescent="0.3">
      <c r="A4" s="2280" t="s">
        <v>9849</v>
      </c>
      <c r="B4" s="2280"/>
      <c r="C4" s="2280"/>
      <c r="D4" s="2280"/>
      <c r="E4" s="2280"/>
      <c r="F4" s="2280"/>
      <c r="G4" s="2280"/>
    </row>
    <row r="5" spans="1:13" ht="13.5" customHeight="1" thickBot="1" x14ac:dyDescent="0.35">
      <c r="A5" s="2281"/>
      <c r="B5" s="2281"/>
      <c r="C5" s="2281"/>
      <c r="D5" s="2281"/>
      <c r="E5" s="2281"/>
      <c r="F5" s="2281"/>
      <c r="G5" s="2281"/>
    </row>
    <row r="6" spans="1:13" ht="25.5" customHeight="1" x14ac:dyDescent="0.3">
      <c r="A6" s="2295" t="s">
        <v>8161</v>
      </c>
      <c r="B6" s="2293" t="s">
        <v>4</v>
      </c>
      <c r="C6" s="2297" t="s">
        <v>9850</v>
      </c>
      <c r="D6" s="2299" t="s">
        <v>9748</v>
      </c>
      <c r="E6" s="2300"/>
      <c r="F6" s="2300"/>
      <c r="G6" s="2301"/>
    </row>
    <row r="7" spans="1:13" ht="13.5" customHeight="1" thickBot="1" x14ac:dyDescent="0.35">
      <c r="A7" s="2296"/>
      <c r="B7" s="2294"/>
      <c r="C7" s="2298"/>
      <c r="D7" s="2198" t="s">
        <v>9656</v>
      </c>
      <c r="E7" s="2199" t="s">
        <v>9657</v>
      </c>
      <c r="F7" s="2199" t="s">
        <v>9658</v>
      </c>
      <c r="G7" s="2200" t="s">
        <v>9665</v>
      </c>
    </row>
    <row r="8" spans="1:13" ht="6" customHeight="1" thickBot="1" x14ac:dyDescent="0.35">
      <c r="A8" s="2201"/>
      <c r="B8" s="2302"/>
      <c r="C8" s="2303"/>
      <c r="D8" s="2303"/>
      <c r="E8" s="2303"/>
      <c r="F8" s="2303"/>
      <c r="G8" s="2303"/>
    </row>
    <row r="9" spans="1:13" ht="21" customHeight="1" thickBot="1" x14ac:dyDescent="0.35">
      <c r="A9" s="2290" t="s">
        <v>9721</v>
      </c>
      <c r="B9" s="2291"/>
      <c r="C9" s="2291"/>
      <c r="D9" s="2291"/>
      <c r="E9" s="2291"/>
      <c r="F9" s="2291"/>
      <c r="G9" s="2292"/>
    </row>
    <row r="10" spans="1:13" x14ac:dyDescent="0.3">
      <c r="A10" s="2202">
        <v>1</v>
      </c>
      <c r="B10" s="2203" t="s">
        <v>8163</v>
      </c>
      <c r="C10" s="2204"/>
      <c r="D10" s="2205"/>
      <c r="E10" s="2203"/>
      <c r="F10" s="2203"/>
      <c r="G10" s="2204"/>
    </row>
    <row r="11" spans="1:13" x14ac:dyDescent="0.3">
      <c r="A11" s="2206"/>
      <c r="B11" s="2207" t="s">
        <v>8173</v>
      </c>
      <c r="C11" s="2208">
        <f>+'TANQUE BOJACA (2)'!F59</f>
        <v>118123155</v>
      </c>
      <c r="D11" s="2209"/>
      <c r="E11" s="2210"/>
      <c r="F11" s="2210"/>
      <c r="G11" s="2211">
        <f>+C11</f>
        <v>118123155</v>
      </c>
      <c r="H11" s="2212"/>
      <c r="J11" s="2213"/>
    </row>
    <row r="12" spans="1:13" ht="21" x14ac:dyDescent="0.3">
      <c r="A12" s="2214"/>
      <c r="B12" s="2207" t="s">
        <v>9851</v>
      </c>
      <c r="C12" s="2262">
        <f>+'TANQUE BOJACA (2)'!F104</f>
        <v>362220788</v>
      </c>
      <c r="D12" s="2209"/>
      <c r="E12" s="2210"/>
      <c r="F12" s="2210"/>
      <c r="G12" s="2211">
        <f>+C12</f>
        <v>362220788</v>
      </c>
      <c r="K12" s="2213"/>
      <c r="M12" s="2215"/>
    </row>
    <row r="13" spans="1:13" x14ac:dyDescent="0.3">
      <c r="A13" s="2216">
        <v>2</v>
      </c>
      <c r="B13" s="2217" t="s">
        <v>9382</v>
      </c>
      <c r="C13" s="2218"/>
      <c r="D13" s="2219"/>
      <c r="E13" s="2217"/>
      <c r="F13" s="2217"/>
      <c r="G13" s="2218"/>
      <c r="L13" s="2220"/>
    </row>
    <row r="14" spans="1:13" x14ac:dyDescent="0.3">
      <c r="A14" s="2206"/>
      <c r="B14" s="2207" t="s">
        <v>8173</v>
      </c>
      <c r="C14" s="2208">
        <f>+'CAMARA LLEGADA PTAP'!F35</f>
        <v>58427249</v>
      </c>
      <c r="D14" s="2209"/>
      <c r="E14" s="2210"/>
      <c r="F14" s="2210">
        <f>+C14</f>
        <v>58427249</v>
      </c>
      <c r="G14" s="2221"/>
    </row>
    <row r="15" spans="1:13" x14ac:dyDescent="0.3">
      <c r="A15" s="2214"/>
      <c r="B15" s="2207" t="s">
        <v>9851</v>
      </c>
      <c r="C15" s="2208">
        <f>+'CAMARA LLEGADA PTAP'!F52</f>
        <v>194834543</v>
      </c>
      <c r="D15" s="2209"/>
      <c r="E15" s="2210"/>
      <c r="F15" s="2210">
        <f>+C15</f>
        <v>194834543</v>
      </c>
      <c r="G15" s="2221"/>
    </row>
    <row r="16" spans="1:13" x14ac:dyDescent="0.3">
      <c r="A16" s="2216">
        <v>3</v>
      </c>
      <c r="B16" s="2217" t="s">
        <v>9666</v>
      </c>
      <c r="C16" s="2218"/>
      <c r="D16" s="2219"/>
      <c r="E16" s="2217"/>
      <c r="F16" s="2217"/>
      <c r="G16" s="2218"/>
    </row>
    <row r="17" spans="1:10" ht="15" customHeight="1" x14ac:dyDescent="0.3">
      <c r="A17" s="2214"/>
      <c r="B17" s="2207" t="s">
        <v>8173</v>
      </c>
      <c r="C17" s="2262">
        <f>+'CONDUCCION TCB-PTAP'!F63</f>
        <v>5058850271</v>
      </c>
      <c r="D17" s="2209"/>
      <c r="E17" s="2210">
        <f>+C17*0.57</f>
        <v>2883544654.4699998</v>
      </c>
      <c r="F17" s="2210">
        <f>+C17*0.43</f>
        <v>2175305616.5299997</v>
      </c>
      <c r="G17" s="2221"/>
      <c r="H17" s="2288"/>
      <c r="I17" s="2289"/>
      <c r="J17" s="2289"/>
    </row>
    <row r="18" spans="1:10" x14ac:dyDescent="0.3">
      <c r="A18" s="2214"/>
      <c r="B18" s="2207" t="s">
        <v>9851</v>
      </c>
      <c r="C18" s="2208">
        <f>+'CONDUCCION TCB-PTAP'!F86</f>
        <v>5013591622</v>
      </c>
      <c r="D18" s="2209"/>
      <c r="E18" s="2210">
        <f>+C18*0.57</f>
        <v>2857747224.54</v>
      </c>
      <c r="F18" s="2210">
        <f>+C18*0.43</f>
        <v>2155844397.46</v>
      </c>
      <c r="G18" s="2221"/>
      <c r="H18" s="2288"/>
      <c r="I18" s="2289"/>
      <c r="J18" s="2289"/>
    </row>
    <row r="19" spans="1:10" x14ac:dyDescent="0.3">
      <c r="A19" s="2216">
        <v>4</v>
      </c>
      <c r="B19" s="2217" t="s">
        <v>8344</v>
      </c>
      <c r="C19" s="2218"/>
      <c r="D19" s="2219"/>
      <c r="E19" s="2217"/>
      <c r="F19" s="2217"/>
      <c r="G19" s="2218"/>
    </row>
    <row r="20" spans="1:10" x14ac:dyDescent="0.3">
      <c r="A20" s="2214"/>
      <c r="B20" s="2207" t="s">
        <v>8173</v>
      </c>
      <c r="C20" s="2208">
        <f>+'CONDUCCION CD -TCB'!F17</f>
        <v>93259195</v>
      </c>
      <c r="D20" s="2209"/>
      <c r="E20" s="2210"/>
      <c r="F20" s="2210">
        <f>+C20</f>
        <v>93259195</v>
      </c>
      <c r="G20" s="2221"/>
    </row>
    <row r="21" spans="1:10" x14ac:dyDescent="0.3">
      <c r="A21" s="2214"/>
      <c r="B21" s="2207" t="s">
        <v>9851</v>
      </c>
      <c r="C21" s="2208">
        <f>+'CONDUCCION CD -TCB'!F21</f>
        <v>59271509</v>
      </c>
      <c r="D21" s="2209"/>
      <c r="E21" s="2210"/>
      <c r="F21" s="2210">
        <f>+C21</f>
        <v>59271509</v>
      </c>
      <c r="G21" s="2221"/>
    </row>
    <row r="22" spans="1:10" x14ac:dyDescent="0.3">
      <c r="A22" s="2216">
        <v>5</v>
      </c>
      <c r="B22" s="2217" t="s">
        <v>8164</v>
      </c>
      <c r="C22" s="2218"/>
      <c r="D22" s="2219"/>
      <c r="E22" s="2217"/>
      <c r="F22" s="2217"/>
      <c r="G22" s="2218"/>
    </row>
    <row r="23" spans="1:10" x14ac:dyDescent="0.3">
      <c r="A23" s="2206"/>
      <c r="B23" s="2207" t="s">
        <v>8173</v>
      </c>
      <c r="C23" s="2208">
        <f>+'LINEA ALTA PRESION'!F32</f>
        <v>550367761</v>
      </c>
      <c r="D23" s="2209" t="e">
        <f>+C23*(1-#REF!)</f>
        <v>#REF!</v>
      </c>
      <c r="E23" s="2210" t="e">
        <f>+C23*#REF!</f>
        <v>#REF!</v>
      </c>
      <c r="F23" s="2210"/>
      <c r="G23" s="2221"/>
      <c r="H23" s="2288"/>
      <c r="I23" s="2289"/>
      <c r="J23" s="2289"/>
    </row>
    <row r="24" spans="1:10" x14ac:dyDescent="0.3">
      <c r="A24" s="2214"/>
      <c r="B24" s="2207" t="s">
        <v>9851</v>
      </c>
      <c r="C24" s="2208">
        <f>+'LINEA ALTA PRESION'!F41</f>
        <v>1335077684</v>
      </c>
      <c r="D24" s="2209" t="e">
        <f>+C24*(1-#REF!)</f>
        <v>#REF!</v>
      </c>
      <c r="E24" s="2210" t="e">
        <f>+C24*#REF!</f>
        <v>#REF!</v>
      </c>
      <c r="F24" s="2210"/>
      <c r="G24" s="2221"/>
      <c r="H24" s="2288"/>
      <c r="I24" s="2289"/>
      <c r="J24" s="2289"/>
    </row>
    <row r="25" spans="1:10" x14ac:dyDescent="0.3">
      <c r="A25" s="2216">
        <v>6</v>
      </c>
      <c r="B25" s="2217" t="s">
        <v>8165</v>
      </c>
      <c r="C25" s="2218"/>
      <c r="D25" s="2219"/>
      <c r="E25" s="2217"/>
      <c r="F25" s="2217"/>
      <c r="G25" s="2218"/>
    </row>
    <row r="26" spans="1:10" x14ac:dyDescent="0.3">
      <c r="A26" s="2214"/>
      <c r="B26" s="2207" t="s">
        <v>8173</v>
      </c>
      <c r="C26" s="2208">
        <f>+'ESTRUCTURAS ESPECIALES'!F125</f>
        <v>567096038</v>
      </c>
      <c r="D26" s="2209">
        <f>+C26</f>
        <v>567096038</v>
      </c>
      <c r="E26" s="2210"/>
      <c r="F26" s="2210"/>
      <c r="G26" s="2221"/>
    </row>
    <row r="27" spans="1:10" x14ac:dyDescent="0.3">
      <c r="A27" s="2214"/>
      <c r="B27" s="2207" t="s">
        <v>9851</v>
      </c>
      <c r="C27" s="2208">
        <f>+'ESTRUCTURAS ESPECIALES'!F258</f>
        <v>1911109931</v>
      </c>
      <c r="D27" s="2209">
        <f>+C27</f>
        <v>1911109931</v>
      </c>
      <c r="E27" s="2210"/>
      <c r="F27" s="2210"/>
      <c r="G27" s="2221"/>
    </row>
    <row r="28" spans="1:10" x14ac:dyDescent="0.3">
      <c r="A28" s="2216">
        <v>7</v>
      </c>
      <c r="B28" s="2217" t="s">
        <v>8337</v>
      </c>
      <c r="C28" s="2218"/>
      <c r="D28" s="2219"/>
      <c r="E28" s="2217"/>
      <c r="F28" s="2217"/>
      <c r="G28" s="2218"/>
    </row>
    <row r="29" spans="1:10" x14ac:dyDescent="0.3">
      <c r="A29" s="2214"/>
      <c r="B29" s="2207" t="s">
        <v>8173</v>
      </c>
      <c r="C29" s="2208">
        <f>+'TANQUE DE CLORACIÓN'!F38</f>
        <v>258247246</v>
      </c>
      <c r="D29" s="2209">
        <f>+C29</f>
        <v>258247246</v>
      </c>
      <c r="E29" s="2210"/>
      <c r="F29" s="2210"/>
      <c r="G29" s="2221"/>
    </row>
    <row r="30" spans="1:10" x14ac:dyDescent="0.3">
      <c r="A30" s="2214"/>
      <c r="B30" s="2207" t="s">
        <v>9851</v>
      </c>
      <c r="C30" s="2208">
        <f>+'TANQUE DE CLORACIÓN'!F57</f>
        <v>33392961</v>
      </c>
      <c r="D30" s="2209">
        <f>+C30</f>
        <v>33392961</v>
      </c>
      <c r="E30" s="2210"/>
      <c r="F30" s="2210"/>
      <c r="G30" s="2221"/>
    </row>
    <row r="31" spans="1:10" x14ac:dyDescent="0.3">
      <c r="A31" s="2216">
        <v>8</v>
      </c>
      <c r="B31" s="2217" t="s">
        <v>8338</v>
      </c>
      <c r="C31" s="2218"/>
      <c r="D31" s="2219"/>
      <c r="E31" s="2217"/>
      <c r="F31" s="2217"/>
      <c r="G31" s="2218"/>
    </row>
    <row r="32" spans="1:10" x14ac:dyDescent="0.3">
      <c r="A32" s="2214"/>
      <c r="B32" s="2207" t="s">
        <v>8173</v>
      </c>
      <c r="C32" s="2208">
        <f>+'CASETA CLORACIÓN'!F44</f>
        <v>498588075</v>
      </c>
      <c r="D32" s="2209">
        <f>+C32</f>
        <v>498588075</v>
      </c>
      <c r="E32" s="2222"/>
      <c r="F32" s="2222"/>
      <c r="G32" s="2223"/>
    </row>
    <row r="33" spans="1:9" x14ac:dyDescent="0.3">
      <c r="A33" s="2216">
        <v>9</v>
      </c>
      <c r="B33" s="2217" t="s">
        <v>9408</v>
      </c>
      <c r="C33" s="2218"/>
      <c r="D33" s="2219"/>
      <c r="E33" s="2217"/>
      <c r="F33" s="2217"/>
      <c r="G33" s="2218"/>
    </row>
    <row r="34" spans="1:9" x14ac:dyDescent="0.3">
      <c r="A34" s="2214"/>
      <c r="B34" s="2207" t="s">
        <v>8173</v>
      </c>
      <c r="C34" s="2208">
        <f>+'EB-MECANICO'!F32</f>
        <v>107481659</v>
      </c>
      <c r="D34" s="2209"/>
      <c r="E34" s="2210"/>
      <c r="F34" s="2210">
        <f>+C34</f>
        <v>107481659</v>
      </c>
      <c r="G34" s="2221"/>
    </row>
    <row r="35" spans="1:9" x14ac:dyDescent="0.3">
      <c r="A35" s="2214"/>
      <c r="B35" s="2207" t="s">
        <v>9851</v>
      </c>
      <c r="C35" s="2208">
        <f>+'EB-MECANICO'!F54</f>
        <v>324709660</v>
      </c>
      <c r="D35" s="2209"/>
      <c r="E35" s="2210"/>
      <c r="F35" s="2210">
        <f>+C35</f>
        <v>324709660</v>
      </c>
      <c r="G35" s="2221"/>
    </row>
    <row r="36" spans="1:9" x14ac:dyDescent="0.3">
      <c r="A36" s="2216">
        <v>10</v>
      </c>
      <c r="B36" s="2217" t="s">
        <v>9409</v>
      </c>
      <c r="C36" s="2218"/>
      <c r="D36" s="2219"/>
      <c r="E36" s="2217"/>
      <c r="F36" s="2217"/>
      <c r="G36" s="2218"/>
    </row>
    <row r="37" spans="1:9" x14ac:dyDescent="0.3">
      <c r="A37" s="2214"/>
      <c r="B37" s="2207" t="s">
        <v>9853</v>
      </c>
      <c r="C37" s="2208">
        <f>+'EB-ELECTRICO'!F98</f>
        <v>1721205008</v>
      </c>
      <c r="D37" s="2209"/>
      <c r="E37" s="2210"/>
      <c r="F37" s="2210"/>
      <c r="G37" s="2221">
        <f>+C37</f>
        <v>1721205008</v>
      </c>
    </row>
    <row r="38" spans="1:9" x14ac:dyDescent="0.3">
      <c r="A38" s="2216">
        <v>11</v>
      </c>
      <c r="B38" s="2217" t="s">
        <v>8350</v>
      </c>
      <c r="C38" s="2218"/>
      <c r="D38" s="2219"/>
      <c r="E38" s="2217"/>
      <c r="F38" s="2217"/>
      <c r="G38" s="2218"/>
    </row>
    <row r="39" spans="1:9" x14ac:dyDescent="0.3">
      <c r="A39" s="2214"/>
      <c r="B39" s="2207" t="s">
        <v>8173</v>
      </c>
      <c r="C39" s="2208">
        <f>+'CAJA DE CONTROL'!F38</f>
        <v>333579119</v>
      </c>
      <c r="D39" s="2209"/>
      <c r="E39" s="2210"/>
      <c r="F39" s="2210">
        <f>+C39</f>
        <v>333579119</v>
      </c>
      <c r="G39" s="2221"/>
    </row>
    <row r="40" spans="1:9" x14ac:dyDescent="0.3">
      <c r="A40" s="2214"/>
      <c r="B40" s="2207" t="s">
        <v>9851</v>
      </c>
      <c r="C40" s="2208">
        <f>+'CAJA DE CONTROL'!F61</f>
        <v>403476923</v>
      </c>
      <c r="D40" s="2209"/>
      <c r="E40" s="2210"/>
      <c r="F40" s="2210">
        <f>+C40</f>
        <v>403476923</v>
      </c>
      <c r="G40" s="2221"/>
    </row>
    <row r="41" spans="1:9" x14ac:dyDescent="0.3">
      <c r="A41" s="2216">
        <v>12</v>
      </c>
      <c r="B41" s="2217" t="s">
        <v>9102</v>
      </c>
      <c r="C41" s="2218"/>
      <c r="D41" s="2219"/>
      <c r="E41" s="2217"/>
      <c r="F41" s="2217"/>
      <c r="G41" s="2218"/>
    </row>
    <row r="42" spans="1:9" x14ac:dyDescent="0.3">
      <c r="A42" s="2214"/>
      <c r="B42" s="2207" t="s">
        <v>8173</v>
      </c>
      <c r="C42" s="2208">
        <f>+'CAMARAS DE QUIEBRE'!F37</f>
        <v>388102549</v>
      </c>
      <c r="D42" s="2209"/>
      <c r="E42" s="2210"/>
      <c r="F42" s="2210">
        <f>+C42</f>
        <v>388102549</v>
      </c>
      <c r="G42" s="2221"/>
      <c r="I42" s="2224"/>
    </row>
    <row r="43" spans="1:9" x14ac:dyDescent="0.3">
      <c r="A43" s="2214"/>
      <c r="B43" s="2207" t="s">
        <v>9851</v>
      </c>
      <c r="C43" s="2208">
        <f>+'CAMARAS DE QUIEBRE'!F62</f>
        <v>1366089271</v>
      </c>
      <c r="D43" s="2209"/>
      <c r="E43" s="2210"/>
      <c r="F43" s="2210">
        <f>+C43</f>
        <v>1366089271</v>
      </c>
      <c r="G43" s="2221"/>
    </row>
    <row r="44" spans="1:9" x14ac:dyDescent="0.3">
      <c r="A44" s="2285"/>
      <c r="B44" s="2286"/>
      <c r="C44" s="2287"/>
      <c r="D44" s="2209"/>
      <c r="E44" s="2210"/>
      <c r="F44" s="2210"/>
      <c r="G44" s="2221"/>
    </row>
    <row r="45" spans="1:9" ht="23.25" customHeight="1" x14ac:dyDescent="0.3">
      <c r="A45" s="2214"/>
      <c r="B45" s="2225" t="s">
        <v>9860</v>
      </c>
      <c r="C45" s="2262">
        <f>+C11+C14+C17+C20+C23+C26+C29+C32+C34+C37+C39+C42</f>
        <v>9753327325</v>
      </c>
      <c r="D45" s="2209"/>
      <c r="E45" s="2210"/>
      <c r="F45" s="2210"/>
      <c r="G45" s="2221"/>
    </row>
    <row r="46" spans="1:9" ht="23.25" customHeight="1" x14ac:dyDescent="0.3">
      <c r="A46" s="2214"/>
      <c r="B46" s="2227" t="s">
        <v>9854</v>
      </c>
      <c r="C46" s="2262">
        <f>+ROUND(C45*23.25%,0)</f>
        <v>2267648603</v>
      </c>
      <c r="D46" s="2209"/>
      <c r="E46" s="2210"/>
      <c r="F46" s="2210"/>
      <c r="G46" s="2221"/>
      <c r="I46" s="2256"/>
    </row>
    <row r="47" spans="1:9" ht="23.25" customHeight="1" x14ac:dyDescent="0.3">
      <c r="A47" s="2214"/>
      <c r="B47" s="2227" t="s">
        <v>9855</v>
      </c>
      <c r="C47" s="2262">
        <f>+ROUND(C45*3%,0)</f>
        <v>292599820</v>
      </c>
      <c r="D47" s="2209"/>
      <c r="E47" s="2210"/>
      <c r="F47" s="2210"/>
      <c r="G47" s="2221"/>
    </row>
    <row r="48" spans="1:9" ht="23.25" customHeight="1" x14ac:dyDescent="0.3">
      <c r="A48" s="2214"/>
      <c r="B48" s="2227" t="s">
        <v>9856</v>
      </c>
      <c r="C48" s="2262">
        <f>+ROUND(C45*5%,0)</f>
        <v>487666366</v>
      </c>
      <c r="D48" s="2209"/>
      <c r="E48" s="2210"/>
      <c r="F48" s="2210"/>
      <c r="G48" s="2221"/>
    </row>
    <row r="49" spans="1:13" ht="23.25" customHeight="1" x14ac:dyDescent="0.3">
      <c r="A49" s="2214"/>
      <c r="B49" s="2227" t="s">
        <v>9857</v>
      </c>
      <c r="C49" s="2262">
        <f>+ROUND(C48*19%,0)</f>
        <v>92656610</v>
      </c>
      <c r="D49" s="2209"/>
      <c r="E49" s="2210"/>
      <c r="F49" s="2210"/>
      <c r="G49" s="2221"/>
    </row>
    <row r="50" spans="1:13" ht="23.25" customHeight="1" x14ac:dyDescent="0.3">
      <c r="A50" s="2216">
        <v>13</v>
      </c>
      <c r="B50" s="2217" t="s">
        <v>8546</v>
      </c>
      <c r="C50" s="2218"/>
      <c r="D50" s="2219"/>
      <c r="E50" s="2217"/>
      <c r="F50" s="2217"/>
      <c r="G50" s="2218"/>
    </row>
    <row r="51" spans="1:13" ht="21.75" customHeight="1" x14ac:dyDescent="0.3">
      <c r="A51" s="2214"/>
      <c r="B51" s="2207" t="s">
        <v>9861</v>
      </c>
      <c r="C51" s="2208">
        <f>PGSO!H45</f>
        <v>381154400</v>
      </c>
      <c r="D51" s="2209"/>
      <c r="E51" s="2210">
        <v>206374259</v>
      </c>
      <c r="F51" s="2228">
        <f>+C51-E51-G51</f>
        <v>86829465</v>
      </c>
      <c r="G51" s="2221">
        <v>87950676</v>
      </c>
    </row>
    <row r="52" spans="1:13" ht="17.25" customHeight="1" x14ac:dyDescent="0.3">
      <c r="A52" s="2229"/>
      <c r="B52" s="2230" t="s">
        <v>9858</v>
      </c>
      <c r="C52" s="2262">
        <f>+ROUND((C45+C46+C47+C48+C49+C51),0)</f>
        <v>13275053124</v>
      </c>
      <c r="D52" s="2231" t="e">
        <f>+D29+D26+D23+D17+D14+D42+D32+D34+D39+D20+D51+D11+D37</f>
        <v>#REF!</v>
      </c>
      <c r="E52" s="2232" t="e">
        <f>+E29+E26+E23+E17+E14+E42+E32+E34+E39+E20+E51+E11+E37</f>
        <v>#REF!</v>
      </c>
      <c r="F52" s="2232">
        <f>+F29+F26+F23+F17+F14+F42+F32+F34+F39+F20+F51+F11+F37</f>
        <v>3242984852.5299997</v>
      </c>
      <c r="G52" s="2233">
        <f>+G29+G26+G23+G17+G14+G42+G32+G34+G39+G20+G51+G11+G37</f>
        <v>1927278839</v>
      </c>
      <c r="H52" s="2224"/>
    </row>
    <row r="53" spans="1:13" x14ac:dyDescent="0.3">
      <c r="A53" s="2282"/>
      <c r="B53" s="2283"/>
      <c r="C53" s="2284"/>
      <c r="D53" s="2231"/>
      <c r="E53" s="2232"/>
      <c r="F53" s="2232"/>
      <c r="G53" s="2233"/>
      <c r="H53" s="2224"/>
    </row>
    <row r="54" spans="1:13" ht="18.75" customHeight="1" x14ac:dyDescent="0.3">
      <c r="A54" s="2234"/>
      <c r="B54" s="2225" t="s">
        <v>9859</v>
      </c>
      <c r="C54" s="2226">
        <f>+C12+C15+C18+C21+C24+C27+C30+C35+C40+C43</f>
        <v>11003774892</v>
      </c>
      <c r="D54" s="2235"/>
      <c r="E54" s="2236"/>
      <c r="F54" s="2236"/>
      <c r="G54" s="2237"/>
      <c r="H54" s="2224"/>
      <c r="I54" s="2224"/>
      <c r="K54" s="2238"/>
      <c r="M54" s="2224"/>
    </row>
    <row r="55" spans="1:13" ht="18.75" customHeight="1" x14ac:dyDescent="0.3">
      <c r="A55" s="2239"/>
      <c r="B55" s="2227" t="s">
        <v>9854</v>
      </c>
      <c r="C55" s="2263">
        <v>1101104593</v>
      </c>
      <c r="D55" s="2240"/>
      <c r="E55" s="2241"/>
      <c r="F55" s="2241"/>
      <c r="G55" s="2242"/>
      <c r="H55" s="2224"/>
    </row>
    <row r="56" spans="1:13" ht="21" x14ac:dyDescent="0.3">
      <c r="A56" s="2229"/>
      <c r="B56" s="2230" t="s">
        <v>9862</v>
      </c>
      <c r="C56" s="2262">
        <f>+ROUND((C54+C55),0)</f>
        <v>12104879485</v>
      </c>
      <c r="D56" s="2240"/>
      <c r="E56" s="2241"/>
      <c r="F56" s="2241"/>
      <c r="G56" s="2242"/>
      <c r="H56" s="2224"/>
    </row>
    <row r="57" spans="1:13" x14ac:dyDescent="0.3">
      <c r="A57" s="2234"/>
      <c r="B57" s="2227"/>
      <c r="C57" s="2243"/>
      <c r="D57" s="2235"/>
      <c r="E57" s="2236"/>
      <c r="F57" s="2236"/>
      <c r="G57" s="2237"/>
      <c r="H57" s="2224"/>
      <c r="I57" s="2265"/>
      <c r="K57" s="2238"/>
      <c r="M57" s="2224"/>
    </row>
    <row r="58" spans="1:13" ht="24" customHeight="1" x14ac:dyDescent="0.3">
      <c r="A58" s="2239"/>
      <c r="B58" s="2244" t="s">
        <v>9863</v>
      </c>
      <c r="C58" s="2263">
        <f>+C52+C56</f>
        <v>25379932609</v>
      </c>
      <c r="D58" s="2240"/>
      <c r="E58" s="2241"/>
      <c r="F58" s="2241"/>
      <c r="G58" s="2242"/>
      <c r="H58" s="2264"/>
      <c r="I58" s="2224"/>
      <c r="K58" s="2238"/>
      <c r="M58" s="2224"/>
    </row>
    <row r="59" spans="1:13" x14ac:dyDescent="0.3">
      <c r="A59" s="2245"/>
      <c r="B59" s="2246"/>
      <c r="C59" s="2247"/>
      <c r="D59" s="2247"/>
      <c r="E59" s="2247"/>
      <c r="F59" s="2247"/>
      <c r="G59" s="2247"/>
    </row>
    <row r="60" spans="1:13" x14ac:dyDescent="0.3">
      <c r="A60" s="2248"/>
      <c r="B60" s="2248"/>
      <c r="C60" s="2248"/>
      <c r="D60" s="2248"/>
      <c r="E60" s="2249"/>
      <c r="F60" s="2249"/>
      <c r="G60" s="2249"/>
    </row>
    <row r="61" spans="1:13" x14ac:dyDescent="0.3">
      <c r="A61" s="2248"/>
      <c r="B61" s="2248"/>
      <c r="C61" s="2248"/>
      <c r="D61" s="2248"/>
      <c r="E61" s="2249"/>
      <c r="F61" s="2249"/>
      <c r="G61" s="2249"/>
    </row>
    <row r="62" spans="1:13" x14ac:dyDescent="0.3">
      <c r="A62" s="2248"/>
      <c r="B62" s="2248"/>
      <c r="C62" s="2248"/>
      <c r="D62" s="2248"/>
      <c r="E62" s="2249"/>
      <c r="F62" s="2249"/>
      <c r="G62" s="2249"/>
    </row>
    <row r="63" spans="1:13" x14ac:dyDescent="0.3">
      <c r="A63" s="2248"/>
      <c r="B63" s="2248"/>
      <c r="C63" s="2274"/>
      <c r="D63" s="2248"/>
      <c r="E63" s="2249"/>
      <c r="F63" s="2249"/>
      <c r="G63" s="2249"/>
    </row>
    <row r="64" spans="1:13" x14ac:dyDescent="0.3">
      <c r="A64" s="2248"/>
      <c r="B64" s="2248"/>
      <c r="C64" s="2248"/>
      <c r="D64" s="2248"/>
      <c r="E64" s="2249"/>
      <c r="F64" s="2249"/>
      <c r="G64" s="2249"/>
    </row>
    <row r="65" spans="1:7" x14ac:dyDescent="0.3">
      <c r="A65" s="2248"/>
      <c r="B65" s="2248"/>
      <c r="C65" s="2248"/>
      <c r="D65" s="2248"/>
      <c r="E65" s="2249"/>
      <c r="F65" s="2249"/>
      <c r="G65" s="2249"/>
    </row>
    <row r="66" spans="1:7" x14ac:dyDescent="0.3">
      <c r="A66" s="2248"/>
      <c r="B66" s="2248"/>
      <c r="C66" s="2250"/>
      <c r="D66" s="2250"/>
      <c r="E66" s="2249"/>
      <c r="F66" s="2249"/>
      <c r="G66" s="2249"/>
    </row>
    <row r="67" spans="1:7" x14ac:dyDescent="0.3">
      <c r="A67" s="2248"/>
      <c r="B67" s="2248"/>
      <c r="C67" s="2250"/>
      <c r="D67" s="2250"/>
      <c r="E67" s="2249"/>
      <c r="F67" s="2249"/>
      <c r="G67" s="2249"/>
    </row>
    <row r="68" spans="1:7" x14ac:dyDescent="0.3">
      <c r="A68" s="2248"/>
      <c r="B68" s="2248"/>
      <c r="C68" s="2250"/>
      <c r="D68" s="2250"/>
      <c r="E68" s="2249"/>
      <c r="F68" s="2249"/>
      <c r="G68" s="2249"/>
    </row>
    <row r="69" spans="1:7" x14ac:dyDescent="0.3">
      <c r="A69" s="2248"/>
      <c r="B69" s="2248"/>
      <c r="C69" s="2250"/>
      <c r="D69" s="2250"/>
      <c r="E69" s="2249"/>
      <c r="F69" s="2249"/>
      <c r="G69" s="2249"/>
    </row>
    <row r="70" spans="1:7" x14ac:dyDescent="0.3">
      <c r="A70" s="2248"/>
      <c r="B70" s="2248"/>
      <c r="C70" s="2250"/>
      <c r="D70" s="2250"/>
      <c r="E70" s="2249"/>
      <c r="F70" s="2249"/>
      <c r="G70" s="2249"/>
    </row>
    <row r="71" spans="1:7" x14ac:dyDescent="0.3">
      <c r="A71" s="2248"/>
      <c r="B71" s="2248"/>
      <c r="C71" s="2250"/>
      <c r="D71" s="2250"/>
      <c r="E71" s="2249"/>
      <c r="F71" s="2249"/>
      <c r="G71" s="2249"/>
    </row>
    <row r="72" spans="1:7" x14ac:dyDescent="0.3">
      <c r="A72" s="2248"/>
      <c r="B72" s="2248"/>
      <c r="C72" s="2248"/>
      <c r="D72" s="2248"/>
      <c r="E72" s="2249"/>
      <c r="F72" s="2249"/>
      <c r="G72" s="2249"/>
    </row>
    <row r="73" spans="1:7" x14ac:dyDescent="0.3">
      <c r="A73" s="2248"/>
      <c r="B73" s="2248"/>
      <c r="C73" s="2248"/>
      <c r="D73" s="2248"/>
      <c r="E73" s="2249"/>
      <c r="F73" s="2249"/>
      <c r="G73" s="2249"/>
    </row>
    <row r="74" spans="1:7" x14ac:dyDescent="0.3">
      <c r="A74" s="2248"/>
      <c r="B74" s="2248"/>
      <c r="C74" s="2248"/>
      <c r="D74" s="2248"/>
      <c r="E74" s="2249"/>
      <c r="F74" s="2249"/>
      <c r="G74" s="2249"/>
    </row>
    <row r="75" spans="1:7" x14ac:dyDescent="0.3">
      <c r="A75" s="2248"/>
      <c r="B75" s="2248"/>
      <c r="C75" s="2248"/>
      <c r="D75" s="2248"/>
      <c r="E75" s="2249"/>
      <c r="F75" s="2249"/>
      <c r="G75" s="2249"/>
    </row>
    <row r="76" spans="1:7" x14ac:dyDescent="0.3">
      <c r="A76" s="2248"/>
      <c r="B76" s="2248"/>
      <c r="C76" s="2248"/>
      <c r="D76" s="2248"/>
      <c r="E76" s="2249"/>
      <c r="F76" s="2249"/>
      <c r="G76" s="2249"/>
    </row>
    <row r="77" spans="1:7" x14ac:dyDescent="0.3">
      <c r="A77" s="2248"/>
      <c r="B77" s="2248"/>
      <c r="C77" s="2248"/>
      <c r="D77" s="2248"/>
      <c r="E77" s="2249"/>
      <c r="F77" s="2249"/>
      <c r="G77" s="2249"/>
    </row>
    <row r="78" spans="1:7" x14ac:dyDescent="0.3">
      <c r="A78" s="2248"/>
      <c r="B78" s="2248"/>
      <c r="C78" s="2248"/>
      <c r="D78" s="2248"/>
      <c r="E78" s="2249"/>
      <c r="F78" s="2249"/>
      <c r="G78" s="2249"/>
    </row>
    <row r="79" spans="1:7" x14ac:dyDescent="0.3">
      <c r="A79" s="2248"/>
      <c r="B79" s="2248"/>
      <c r="C79" s="2248"/>
      <c r="D79" s="2248"/>
      <c r="E79" s="2249"/>
      <c r="F79" s="2249"/>
      <c r="G79" s="2249"/>
    </row>
    <row r="80" spans="1:7" x14ac:dyDescent="0.3">
      <c r="A80" s="2248"/>
      <c r="B80" s="2248"/>
      <c r="C80" s="2248"/>
      <c r="D80" s="2248"/>
      <c r="E80" s="2249"/>
      <c r="F80" s="2249"/>
      <c r="G80" s="2249"/>
    </row>
    <row r="81" spans="1:7" x14ac:dyDescent="0.3">
      <c r="A81" s="2248"/>
      <c r="B81" s="2248"/>
      <c r="C81" s="2248"/>
      <c r="D81" s="2248"/>
      <c r="E81" s="2249"/>
      <c r="F81" s="2249"/>
      <c r="G81" s="2249"/>
    </row>
    <row r="82" spans="1:7" x14ac:dyDescent="0.3">
      <c r="A82" s="2248"/>
      <c r="B82" s="2248"/>
      <c r="C82" s="2248"/>
      <c r="D82" s="2248"/>
      <c r="E82" s="2249"/>
      <c r="F82" s="2249"/>
      <c r="G82" s="2249"/>
    </row>
    <row r="83" spans="1:7" x14ac:dyDescent="0.3">
      <c r="A83" s="2248"/>
      <c r="B83" s="2248"/>
      <c r="C83" s="2248"/>
      <c r="D83" s="2248"/>
      <c r="E83" s="2249"/>
      <c r="F83" s="2249"/>
      <c r="G83" s="2249"/>
    </row>
    <row r="84" spans="1:7" x14ac:dyDescent="0.3">
      <c r="A84" s="2248"/>
      <c r="B84" s="2248"/>
      <c r="C84" s="2248"/>
      <c r="D84" s="2248"/>
      <c r="E84" s="2249"/>
      <c r="F84" s="2249"/>
      <c r="G84" s="2249"/>
    </row>
    <row r="85" spans="1:7" x14ac:dyDescent="0.3">
      <c r="A85" s="2248"/>
      <c r="B85" s="2248"/>
      <c r="C85" s="2248"/>
      <c r="D85" s="2248"/>
      <c r="E85" s="2249"/>
      <c r="F85" s="2249"/>
      <c r="G85" s="2249"/>
    </row>
    <row r="86" spans="1:7" x14ac:dyDescent="0.3">
      <c r="A86" s="2248"/>
      <c r="B86" s="2248"/>
      <c r="C86" s="2248"/>
      <c r="D86" s="2248"/>
      <c r="E86" s="2249"/>
      <c r="F86" s="2249"/>
      <c r="G86" s="2249"/>
    </row>
    <row r="87" spans="1:7" x14ac:dyDescent="0.3">
      <c r="A87" s="2248"/>
      <c r="B87" s="2248"/>
      <c r="C87" s="2248"/>
      <c r="D87" s="2248"/>
      <c r="E87" s="2249"/>
      <c r="F87" s="2249"/>
      <c r="G87" s="2249"/>
    </row>
  </sheetData>
  <sheetProtection algorithmName="SHA-512" hashValue="u2UBEkOkhx6q8QEOhyzeilpMwrm8OPZVfvRp76rEHgwrgeR5jZ1sjBYunwU/9pL8uN6RyG8KdZqB1TJRsHl3Ng==" saltValue="jsoTBTKYEZVQDPrRHjNIvw==" spinCount="100000" sheet="1" objects="1" scenarios="1" selectLockedCells="1" selectUnlockedCells="1"/>
  <mergeCells count="12">
    <mergeCell ref="A1:G3"/>
    <mergeCell ref="A4:G5"/>
    <mergeCell ref="A53:C53"/>
    <mergeCell ref="A44:C44"/>
    <mergeCell ref="H17:J18"/>
    <mergeCell ref="H23:J24"/>
    <mergeCell ref="A9:G9"/>
    <mergeCell ref="B6:B7"/>
    <mergeCell ref="A6:A7"/>
    <mergeCell ref="C6:C7"/>
    <mergeCell ref="D6:G6"/>
    <mergeCell ref="B8:G8"/>
  </mergeCells>
  <pageMargins left="0.70866141732283472" right="0.5" top="0.49" bottom="0.39" header="0.31496062992125984" footer="0.31496062992125984"/>
  <pageSetup fitToHeight="0" orientation="landscape" r:id="rId1"/>
  <rowBreaks count="1" manualBreakCount="1">
    <brk id="32" max="6"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87"/>
  <sheetViews>
    <sheetView view="pageBreakPreview" topLeftCell="A189" zoomScale="60" zoomScaleNormal="100" workbookViewId="0">
      <selection activeCell="B210" sqref="B210"/>
    </sheetView>
  </sheetViews>
  <sheetFormatPr baseColWidth="10" defaultRowHeight="15" x14ac:dyDescent="0.25"/>
  <cols>
    <col min="1" max="1" width="11.42578125" style="1326"/>
    <col min="2" max="2" width="112.140625" style="1573" customWidth="1"/>
    <col min="3" max="3" width="11.42578125" style="1326"/>
    <col min="4" max="4" width="19.140625" style="1658" bestFit="1" customWidth="1"/>
    <col min="5" max="5" width="13.28515625" style="1326" bestFit="1" customWidth="1"/>
  </cols>
  <sheetData>
    <row r="1" spans="1:12" s="1452" customFormat="1" ht="16.5" x14ac:dyDescent="0.3">
      <c r="A1" s="1506"/>
      <c r="B1" s="838"/>
      <c r="C1" s="839"/>
      <c r="D1" s="840"/>
      <c r="E1" s="1473"/>
      <c r="F1" s="1659"/>
      <c r="G1" s="1480"/>
      <c r="I1" s="1480"/>
      <c r="J1" s="1480"/>
      <c r="K1" s="1480"/>
      <c r="L1" s="1480"/>
    </row>
    <row r="2" spans="1:12" s="1452" customFormat="1" ht="56.25" customHeight="1" x14ac:dyDescent="0.25">
      <c r="A2" s="1326"/>
      <c r="B2" s="2406" t="s">
        <v>8639</v>
      </c>
      <c r="C2" s="2406"/>
      <c r="D2" s="2406"/>
      <c r="E2" s="1470"/>
      <c r="F2" s="1659"/>
      <c r="G2" s="1480"/>
      <c r="I2" s="1480"/>
      <c r="J2" s="1480"/>
      <c r="K2" s="1480"/>
      <c r="L2" s="1480"/>
    </row>
    <row r="3" spans="1:12" s="1452" customFormat="1" ht="15.75" x14ac:dyDescent="0.25">
      <c r="A3" s="1660"/>
      <c r="B3" s="1637"/>
      <c r="C3" s="1637"/>
      <c r="D3" s="1661"/>
      <c r="E3" s="1661"/>
      <c r="F3" s="1659"/>
      <c r="G3" s="1480"/>
      <c r="I3" s="1480"/>
      <c r="J3" s="1480"/>
      <c r="K3" s="1480"/>
      <c r="L3" s="1480"/>
    </row>
    <row r="4" spans="1:12" s="1452" customFormat="1" ht="15.75" x14ac:dyDescent="0.25">
      <c r="B4" s="2406" t="s">
        <v>9615</v>
      </c>
      <c r="C4" s="2406"/>
      <c r="D4" s="2406"/>
      <c r="F4" s="1659"/>
      <c r="G4" s="1480"/>
      <c r="I4" s="1480"/>
      <c r="J4" s="1480"/>
      <c r="K4" s="1480"/>
      <c r="L4" s="1480"/>
    </row>
    <row r="5" spans="1:12" s="1452" customFormat="1" x14ac:dyDescent="0.25">
      <c r="B5" s="1415"/>
      <c r="F5" s="1659"/>
      <c r="G5" s="1480"/>
      <c r="I5" s="1480"/>
      <c r="J5" s="1480"/>
      <c r="K5" s="1480"/>
      <c r="L5" s="1480"/>
    </row>
    <row r="6" spans="1:12" s="627" customFormat="1" x14ac:dyDescent="0.25">
      <c r="A6" s="1408"/>
      <c r="B6" s="1573"/>
      <c r="C6" s="1408"/>
      <c r="D6" s="1657"/>
      <c r="E6" s="1408"/>
    </row>
    <row r="7" spans="1:12" s="627" customFormat="1" x14ac:dyDescent="0.25">
      <c r="A7" s="1055"/>
      <c r="B7" s="802" t="s">
        <v>7971</v>
      </c>
      <c r="C7" s="1055"/>
      <c r="D7" s="1716"/>
      <c r="E7" s="1055"/>
    </row>
    <row r="8" spans="1:12" s="627" customFormat="1" x14ac:dyDescent="0.25">
      <c r="A8" s="1057"/>
      <c r="B8" s="1444" t="s">
        <v>7177</v>
      </c>
      <c r="C8" s="1055" t="s">
        <v>5734</v>
      </c>
      <c r="D8" s="1716">
        <f>+APUS!H50</f>
        <v>1913</v>
      </c>
      <c r="E8" s="1717">
        <v>1.1000000000000001</v>
      </c>
    </row>
    <row r="9" spans="1:12" s="627" customFormat="1" x14ac:dyDescent="0.25">
      <c r="A9" s="1055" t="s">
        <v>3</v>
      </c>
      <c r="B9" s="1444" t="s">
        <v>7192</v>
      </c>
      <c r="C9" s="1055" t="s">
        <v>5556</v>
      </c>
      <c r="D9" s="1716">
        <f>+APUS!H101</f>
        <v>2899</v>
      </c>
      <c r="E9" s="1717">
        <v>1.2</v>
      </c>
    </row>
    <row r="10" spans="1:12" s="627" customFormat="1" x14ac:dyDescent="0.25">
      <c r="A10" s="1055" t="s">
        <v>3</v>
      </c>
      <c r="B10" s="1444" t="s">
        <v>8329</v>
      </c>
      <c r="C10" s="1055" t="s">
        <v>5734</v>
      </c>
      <c r="D10" s="1716">
        <f>+APUS!H150</f>
        <v>2227</v>
      </c>
      <c r="E10" s="1717">
        <v>1.3</v>
      </c>
    </row>
    <row r="11" spans="1:12" s="1443" customFormat="1" x14ac:dyDescent="0.25">
      <c r="A11" s="1055"/>
      <c r="B11" s="1444"/>
      <c r="C11" s="1055"/>
      <c r="D11" s="1716"/>
      <c r="E11" s="1717"/>
    </row>
    <row r="12" spans="1:12" s="627" customFormat="1" x14ac:dyDescent="0.25">
      <c r="A12" s="1055"/>
      <c r="B12" s="1444" t="s">
        <v>8570</v>
      </c>
      <c r="C12" s="1055"/>
      <c r="D12" s="1716"/>
      <c r="E12" s="1055"/>
    </row>
    <row r="13" spans="1:12" s="627" customFormat="1" x14ac:dyDescent="0.25">
      <c r="A13" s="1055"/>
      <c r="B13" s="802" t="s">
        <v>7974</v>
      </c>
      <c r="C13" s="1055"/>
      <c r="D13" s="1716"/>
      <c r="E13" s="1055">
        <v>2.1</v>
      </c>
    </row>
    <row r="14" spans="1:12" s="627" customFormat="1" x14ac:dyDescent="0.25">
      <c r="A14" s="1055" t="s">
        <v>3</v>
      </c>
      <c r="B14" s="1444" t="s">
        <v>5968</v>
      </c>
      <c r="C14" s="1055" t="s">
        <v>6858</v>
      </c>
      <c r="D14" s="1716">
        <f>+APUS!H200</f>
        <v>24270</v>
      </c>
      <c r="E14" s="1055" t="s">
        <v>5458</v>
      </c>
    </row>
    <row r="15" spans="1:12" s="627" customFormat="1" x14ac:dyDescent="0.25">
      <c r="A15" s="1055" t="s">
        <v>3</v>
      </c>
      <c r="B15" s="1444" t="s">
        <v>9005</v>
      </c>
      <c r="C15" s="1055" t="s">
        <v>6858</v>
      </c>
      <c r="D15" s="1716">
        <f>+APUS!H248</f>
        <v>53003</v>
      </c>
      <c r="E15" s="1055" t="s">
        <v>89</v>
      </c>
    </row>
    <row r="16" spans="1:12" s="1573" customFormat="1" x14ac:dyDescent="0.25">
      <c r="A16" s="1055" t="s">
        <v>3</v>
      </c>
      <c r="B16" s="1444" t="s">
        <v>9051</v>
      </c>
      <c r="C16" s="1055" t="s">
        <v>6858</v>
      </c>
      <c r="D16" s="1716">
        <f>+APUS!H297</f>
        <v>7086</v>
      </c>
      <c r="E16" s="1055" t="s">
        <v>90</v>
      </c>
    </row>
    <row r="17" spans="1:5" s="627" customFormat="1" x14ac:dyDescent="0.25">
      <c r="A17" s="1055"/>
      <c r="B17" s="1444"/>
      <c r="C17" s="1055"/>
      <c r="D17" s="1716"/>
      <c r="E17" s="1055"/>
    </row>
    <row r="18" spans="1:5" s="627" customFormat="1" x14ac:dyDescent="0.25">
      <c r="A18" s="1055"/>
      <c r="B18" s="802" t="s">
        <v>29</v>
      </c>
      <c r="C18" s="1055"/>
      <c r="D18" s="1716"/>
      <c r="E18" s="1055">
        <v>2.2000000000000002</v>
      </c>
    </row>
    <row r="19" spans="1:5" s="627" customFormat="1" x14ac:dyDescent="0.25">
      <c r="A19" s="1055" t="s">
        <v>3</v>
      </c>
      <c r="B19" s="1444" t="s">
        <v>7959</v>
      </c>
      <c r="C19" s="1055" t="s">
        <v>6858</v>
      </c>
      <c r="D19" s="1716">
        <f>+APUS!H347</f>
        <v>60853</v>
      </c>
      <c r="E19" s="1055" t="s">
        <v>95</v>
      </c>
    </row>
    <row r="20" spans="1:5" s="627" customFormat="1" x14ac:dyDescent="0.25">
      <c r="A20" s="1055" t="s">
        <v>3</v>
      </c>
      <c r="B20" s="1444" t="s">
        <v>5463</v>
      </c>
      <c r="C20" s="1055" t="s">
        <v>6858</v>
      </c>
      <c r="D20" s="1716">
        <f>+APUS!H397</f>
        <v>10017</v>
      </c>
      <c r="E20" s="1055" t="s">
        <v>96</v>
      </c>
    </row>
    <row r="21" spans="1:5" s="627" customFormat="1" x14ac:dyDescent="0.25">
      <c r="A21" s="1055" t="s">
        <v>3</v>
      </c>
      <c r="B21" s="1444" t="s">
        <v>8990</v>
      </c>
      <c r="C21" s="1055" t="s">
        <v>6858</v>
      </c>
      <c r="D21" s="1716">
        <f>+APUS!H447</f>
        <v>52233</v>
      </c>
      <c r="E21" s="1055" t="s">
        <v>97</v>
      </c>
    </row>
    <row r="22" spans="1:5" s="627" customFormat="1" x14ac:dyDescent="0.25">
      <c r="A22" s="1055"/>
      <c r="B22" s="1444"/>
      <c r="C22" s="1055"/>
      <c r="D22" s="1716"/>
      <c r="E22" s="1055"/>
    </row>
    <row r="23" spans="1:5" s="627" customFormat="1" x14ac:dyDescent="0.25">
      <c r="A23" s="1055"/>
      <c r="B23" s="802" t="s">
        <v>7964</v>
      </c>
      <c r="C23" s="1055"/>
      <c r="D23" s="1716"/>
      <c r="E23" s="1055"/>
    </row>
    <row r="24" spans="1:5" s="1443" customFormat="1" x14ac:dyDescent="0.25">
      <c r="A24" s="1055"/>
      <c r="B24" s="802" t="s">
        <v>8677</v>
      </c>
      <c r="C24" s="1055"/>
      <c r="D24" s="1716"/>
      <c r="E24" s="1055">
        <v>2.2999999999999998</v>
      </c>
    </row>
    <row r="25" spans="1:5" s="627" customFormat="1" x14ac:dyDescent="0.25">
      <c r="A25" s="1055" t="s">
        <v>5482</v>
      </c>
      <c r="B25" s="1444" t="s">
        <v>6632</v>
      </c>
      <c r="C25" s="1055" t="s">
        <v>7941</v>
      </c>
      <c r="D25" s="1716">
        <f>+APUS!H496</f>
        <v>2912</v>
      </c>
      <c r="E25" s="1055" t="s">
        <v>98</v>
      </c>
    </row>
    <row r="26" spans="1:5" s="627" customFormat="1" x14ac:dyDescent="0.25">
      <c r="A26" s="1055" t="s">
        <v>5482</v>
      </c>
      <c r="B26" s="1444" t="s">
        <v>9396</v>
      </c>
      <c r="C26" s="1055" t="s">
        <v>6414</v>
      </c>
      <c r="D26" s="1716">
        <f>+APUS!H545</f>
        <v>2559</v>
      </c>
      <c r="E26" s="1055" t="s">
        <v>99</v>
      </c>
    </row>
    <row r="27" spans="1:5" s="627" customFormat="1" x14ac:dyDescent="0.25">
      <c r="A27" s="1055" t="s">
        <v>3</v>
      </c>
      <c r="B27" s="1444" t="s">
        <v>7982</v>
      </c>
      <c r="C27" s="1055" t="s">
        <v>6858</v>
      </c>
      <c r="D27" s="1716">
        <f>+APUS!H595</f>
        <v>34912</v>
      </c>
      <c r="E27" s="1055" t="s">
        <v>5976</v>
      </c>
    </row>
    <row r="28" spans="1:5" s="1443" customFormat="1" x14ac:dyDescent="0.25">
      <c r="A28" s="1055"/>
      <c r="B28" s="1444"/>
      <c r="C28" s="1055"/>
      <c r="D28" s="1716"/>
      <c r="E28" s="1055"/>
    </row>
    <row r="29" spans="1:5" s="1443" customFormat="1" x14ac:dyDescent="0.25">
      <c r="A29" s="1055"/>
      <c r="B29" s="802" t="s">
        <v>8679</v>
      </c>
      <c r="C29" s="1055"/>
      <c r="D29" s="1716"/>
      <c r="E29" s="1055">
        <v>2.4</v>
      </c>
    </row>
    <row r="30" spans="1:5" s="627" customFormat="1" x14ac:dyDescent="0.25">
      <c r="A30" s="1055" t="s">
        <v>5482</v>
      </c>
      <c r="B30" s="1444" t="s">
        <v>6391</v>
      </c>
      <c r="C30" s="1055" t="s">
        <v>5424</v>
      </c>
      <c r="D30" s="1716">
        <f>+APUS!H643</f>
        <v>1568280</v>
      </c>
      <c r="E30" s="1055" t="s">
        <v>101</v>
      </c>
    </row>
    <row r="31" spans="1:5" s="1443" customFormat="1" x14ac:dyDescent="0.25">
      <c r="A31" s="1055"/>
      <c r="B31" s="1444"/>
      <c r="C31" s="1055"/>
      <c r="D31" s="1716"/>
      <c r="E31" s="1055"/>
    </row>
    <row r="32" spans="1:5" s="1443" customFormat="1" x14ac:dyDescent="0.25">
      <c r="A32" s="1055"/>
      <c r="B32" s="802" t="s">
        <v>8678</v>
      </c>
      <c r="C32" s="1055"/>
      <c r="D32" s="1716"/>
      <c r="E32" s="1055">
        <v>2.5</v>
      </c>
    </row>
    <row r="33" spans="1:5" s="627" customFormat="1" x14ac:dyDescent="0.25">
      <c r="A33" s="1055" t="s">
        <v>3</v>
      </c>
      <c r="B33" s="1444" t="s">
        <v>8998</v>
      </c>
      <c r="C33" s="1055" t="s">
        <v>5402</v>
      </c>
      <c r="D33" s="1716">
        <f>+APUS!H693</f>
        <v>25412</v>
      </c>
      <c r="E33" s="1055" t="s">
        <v>8571</v>
      </c>
    </row>
    <row r="34" spans="1:5" s="627" customFormat="1" x14ac:dyDescent="0.25">
      <c r="A34" s="1055" t="s">
        <v>3</v>
      </c>
      <c r="B34" s="1444" t="s">
        <v>8995</v>
      </c>
      <c r="C34" s="1055" t="s">
        <v>5402</v>
      </c>
      <c r="D34" s="1716">
        <f>+APUS!H742</f>
        <v>27756</v>
      </c>
      <c r="E34" s="1055" t="s">
        <v>8572</v>
      </c>
    </row>
    <row r="35" spans="1:5" s="627" customFormat="1" x14ac:dyDescent="0.25">
      <c r="A35" s="1055" t="s">
        <v>3</v>
      </c>
      <c r="B35" s="1444" t="s">
        <v>8996</v>
      </c>
      <c r="C35" s="1055" t="s">
        <v>5402</v>
      </c>
      <c r="D35" s="1716">
        <f>+APUS!H791</f>
        <v>35070</v>
      </c>
      <c r="E35" s="1055" t="s">
        <v>8573</v>
      </c>
    </row>
    <row r="36" spans="1:5" s="627" customFormat="1" x14ac:dyDescent="0.25">
      <c r="A36" s="1055" t="s">
        <v>3</v>
      </c>
      <c r="B36" s="1444" t="s">
        <v>8999</v>
      </c>
      <c r="C36" s="1055" t="s">
        <v>5402</v>
      </c>
      <c r="D36" s="1716">
        <f>+APUS!H842</f>
        <v>39946</v>
      </c>
      <c r="E36" s="1055" t="s">
        <v>8680</v>
      </c>
    </row>
    <row r="37" spans="1:5" s="627" customFormat="1" x14ac:dyDescent="0.25">
      <c r="A37" s="1055" t="s">
        <v>3</v>
      </c>
      <c r="B37" s="1444" t="s">
        <v>8997</v>
      </c>
      <c r="C37" s="1055" t="s">
        <v>37</v>
      </c>
      <c r="D37" s="1716">
        <f>+APUS!H892</f>
        <v>69603</v>
      </c>
      <c r="E37" s="1055" t="s">
        <v>8681</v>
      </c>
    </row>
    <row r="38" spans="1:5" s="627" customFormat="1" x14ac:dyDescent="0.25">
      <c r="A38" s="1055"/>
      <c r="B38" s="1444"/>
      <c r="C38" s="1055"/>
      <c r="D38" s="1716"/>
      <c r="E38" s="1055"/>
    </row>
    <row r="39" spans="1:5" s="627" customFormat="1" x14ac:dyDescent="0.25">
      <c r="A39" s="1055"/>
      <c r="B39" s="802" t="s">
        <v>7965</v>
      </c>
      <c r="C39" s="1055"/>
      <c r="D39" s="1716"/>
      <c r="E39" s="1055">
        <v>2.6</v>
      </c>
    </row>
    <row r="40" spans="1:5" s="627" customFormat="1" x14ac:dyDescent="0.25">
      <c r="A40" s="1055" t="s">
        <v>5482</v>
      </c>
      <c r="B40" s="1444" t="s">
        <v>9006</v>
      </c>
      <c r="C40" s="1055" t="s">
        <v>8954</v>
      </c>
      <c r="D40" s="1716">
        <f>+APUS!H941</f>
        <v>32756</v>
      </c>
      <c r="E40" s="1055" t="s">
        <v>5674</v>
      </c>
    </row>
    <row r="41" spans="1:5" s="627" customFormat="1" x14ac:dyDescent="0.25">
      <c r="A41" s="1055" t="s">
        <v>5482</v>
      </c>
      <c r="B41" s="1444" t="s">
        <v>9007</v>
      </c>
      <c r="C41" s="1055" t="s">
        <v>8954</v>
      </c>
      <c r="D41" s="1716">
        <f>+APUS!H990</f>
        <v>36111</v>
      </c>
      <c r="E41" s="1055" t="s">
        <v>121</v>
      </c>
    </row>
    <row r="42" spans="1:5" s="627" customFormat="1" x14ac:dyDescent="0.25">
      <c r="A42" s="1055" t="s">
        <v>5482</v>
      </c>
      <c r="B42" s="1444" t="s">
        <v>9008</v>
      </c>
      <c r="C42" s="1055" t="s">
        <v>8954</v>
      </c>
      <c r="D42" s="1716">
        <f>+APUS!H1039</f>
        <v>40547</v>
      </c>
      <c r="E42" s="1055" t="s">
        <v>122</v>
      </c>
    </row>
    <row r="43" spans="1:5" s="627" customFormat="1" x14ac:dyDescent="0.25">
      <c r="A43" s="1055" t="s">
        <v>5482</v>
      </c>
      <c r="B43" s="1444" t="s">
        <v>9009</v>
      </c>
      <c r="C43" s="1055" t="s">
        <v>8954</v>
      </c>
      <c r="D43" s="1716">
        <f>+APUS!H1088</f>
        <v>43085</v>
      </c>
      <c r="E43" s="1055" t="s">
        <v>123</v>
      </c>
    </row>
    <row r="44" spans="1:5" s="627" customFormat="1" x14ac:dyDescent="0.25">
      <c r="A44" s="1055"/>
      <c r="B44" s="1444"/>
      <c r="C44" s="1055"/>
      <c r="D44" s="1716"/>
      <c r="E44" s="1055"/>
    </row>
    <row r="45" spans="1:5" s="627" customFormat="1" x14ac:dyDescent="0.25">
      <c r="A45" s="1055"/>
      <c r="B45" s="802" t="s">
        <v>7966</v>
      </c>
      <c r="C45" s="1055"/>
      <c r="D45" s="1716"/>
      <c r="E45" s="1055">
        <v>2.7</v>
      </c>
    </row>
    <row r="46" spans="1:5" s="627" customFormat="1" x14ac:dyDescent="0.25">
      <c r="A46" s="1055" t="s">
        <v>3</v>
      </c>
      <c r="B46" s="1444" t="s">
        <v>7201</v>
      </c>
      <c r="C46" s="1055" t="s">
        <v>6858</v>
      </c>
      <c r="D46" s="1716">
        <f>+APUS!H1138</f>
        <v>122847</v>
      </c>
      <c r="E46" s="1055" t="s">
        <v>136</v>
      </c>
    </row>
    <row r="47" spans="1:5" s="627" customFormat="1" x14ac:dyDescent="0.25">
      <c r="A47" s="1055" t="s">
        <v>3</v>
      </c>
      <c r="B47" s="1444" t="s">
        <v>5681</v>
      </c>
      <c r="C47" s="1055" t="s">
        <v>6858</v>
      </c>
      <c r="D47" s="1716">
        <f>+APUS!H1188</f>
        <v>138838</v>
      </c>
      <c r="E47" s="1055" t="s">
        <v>138</v>
      </c>
    </row>
    <row r="48" spans="1:5" s="627" customFormat="1" x14ac:dyDescent="0.25">
      <c r="A48" s="1055" t="s">
        <v>3</v>
      </c>
      <c r="B48" s="1444" t="s">
        <v>5675</v>
      </c>
      <c r="C48" s="1055" t="s">
        <v>6858</v>
      </c>
      <c r="D48" s="1716">
        <f>+APUS!H1237</f>
        <v>110780</v>
      </c>
      <c r="E48" s="1055" t="s">
        <v>139</v>
      </c>
    </row>
    <row r="49" spans="1:5" s="627" customFormat="1" x14ac:dyDescent="0.25">
      <c r="A49" s="1055"/>
      <c r="B49" s="1444"/>
      <c r="C49" s="1055"/>
      <c r="D49" s="1716"/>
      <c r="E49" s="1055"/>
    </row>
    <row r="50" spans="1:5" s="1443" customFormat="1" x14ac:dyDescent="0.25">
      <c r="A50" s="1055"/>
      <c r="B50" s="802" t="s">
        <v>135</v>
      </c>
      <c r="C50" s="1055"/>
      <c r="D50" s="1716"/>
      <c r="E50" s="1055">
        <v>2.8</v>
      </c>
    </row>
    <row r="51" spans="1:5" s="1443" customFormat="1" x14ac:dyDescent="0.25">
      <c r="A51" s="1055" t="s">
        <v>3</v>
      </c>
      <c r="B51" s="1444" t="s">
        <v>5461</v>
      </c>
      <c r="C51" s="1055" t="s">
        <v>5556</v>
      </c>
      <c r="D51" s="1716">
        <f>+APUS!H6581</f>
        <v>28260.528666666665</v>
      </c>
      <c r="E51" s="1055" t="s">
        <v>147</v>
      </c>
    </row>
    <row r="52" spans="1:5" s="1443" customFormat="1" x14ac:dyDescent="0.25">
      <c r="A52" s="1055"/>
      <c r="B52" s="1444"/>
      <c r="C52" s="1055"/>
      <c r="D52" s="1716"/>
      <c r="E52" s="1055"/>
    </row>
    <row r="53" spans="1:5" s="627" customFormat="1" x14ac:dyDescent="0.25">
      <c r="A53" s="1055"/>
      <c r="B53" s="802" t="s">
        <v>7963</v>
      </c>
      <c r="C53" s="1055"/>
      <c r="D53" s="1716"/>
      <c r="E53" s="1055">
        <v>3</v>
      </c>
    </row>
    <row r="54" spans="1:5" s="627" customFormat="1" x14ac:dyDescent="0.25">
      <c r="A54" s="1055" t="s">
        <v>5482</v>
      </c>
      <c r="B54" s="1444" t="s">
        <v>7937</v>
      </c>
      <c r="C54" s="1055" t="s">
        <v>6858</v>
      </c>
      <c r="D54" s="1716">
        <f>+APUS!H1286</f>
        <v>396261</v>
      </c>
      <c r="E54" s="1055" t="s">
        <v>873</v>
      </c>
    </row>
    <row r="55" spans="1:5" s="627" customFormat="1" x14ac:dyDescent="0.25">
      <c r="A55" s="1055" t="s">
        <v>5482</v>
      </c>
      <c r="B55" s="1444" t="s">
        <v>9397</v>
      </c>
      <c r="C55" s="1055" t="s">
        <v>6858</v>
      </c>
      <c r="D55" s="1716">
        <f>+APUS!H1335</f>
        <v>613345.04055360006</v>
      </c>
      <c r="E55" s="1055" t="s">
        <v>8575</v>
      </c>
    </row>
    <row r="56" spans="1:5" s="627" customFormat="1" x14ac:dyDescent="0.25">
      <c r="A56" s="1055" t="s">
        <v>5482</v>
      </c>
      <c r="B56" s="1444" t="s">
        <v>9398</v>
      </c>
      <c r="C56" s="1055" t="s">
        <v>6858</v>
      </c>
      <c r="D56" s="1716">
        <f>+APUS!H1383</f>
        <v>793561.99020080001</v>
      </c>
      <c r="E56" s="1055" t="s">
        <v>8576</v>
      </c>
    </row>
    <row r="57" spans="1:5" s="627" customFormat="1" x14ac:dyDescent="0.25">
      <c r="A57" s="1055" t="s">
        <v>3</v>
      </c>
      <c r="B57" s="1444" t="s">
        <v>9399</v>
      </c>
      <c r="C57" s="1055" t="s">
        <v>6858</v>
      </c>
      <c r="D57" s="1718">
        <f>+APUS!H1432</f>
        <v>612002.1964436</v>
      </c>
      <c r="E57" s="1055" t="s">
        <v>8577</v>
      </c>
    </row>
    <row r="58" spans="1:5" s="627" customFormat="1" x14ac:dyDescent="0.25">
      <c r="A58" s="1055" t="s">
        <v>5482</v>
      </c>
      <c r="B58" s="1444" t="s">
        <v>6688</v>
      </c>
      <c r="C58" s="1055" t="s">
        <v>6858</v>
      </c>
      <c r="D58" s="1716">
        <f>+APUS!H1480</f>
        <v>472252.10541193333</v>
      </c>
      <c r="E58" s="1055" t="s">
        <v>8578</v>
      </c>
    </row>
    <row r="59" spans="1:5" s="627" customFormat="1" x14ac:dyDescent="0.25">
      <c r="A59" s="1055" t="s">
        <v>5482</v>
      </c>
      <c r="B59" s="1444" t="s">
        <v>8330</v>
      </c>
      <c r="C59" s="1055" t="s">
        <v>6858</v>
      </c>
      <c r="D59" s="1716">
        <f>+APUS!H1577</f>
        <v>447833</v>
      </c>
      <c r="E59" s="1055" t="s">
        <v>8579</v>
      </c>
    </row>
    <row r="60" spans="1:5" s="627" customFormat="1" x14ac:dyDescent="0.25">
      <c r="A60" s="1055" t="s">
        <v>5482</v>
      </c>
      <c r="B60" s="1633" t="s">
        <v>8332</v>
      </c>
      <c r="C60" s="1055" t="s">
        <v>6858</v>
      </c>
      <c r="D60" s="1716">
        <f>+APUS!H1625</f>
        <v>608428</v>
      </c>
      <c r="E60" s="1055" t="s">
        <v>8580</v>
      </c>
    </row>
    <row r="61" spans="1:5" s="627" customFormat="1" x14ac:dyDescent="0.25">
      <c r="A61" s="1055" t="s">
        <v>5482</v>
      </c>
      <c r="B61" s="1633" t="s">
        <v>8331</v>
      </c>
      <c r="C61" s="1055" t="s">
        <v>6858</v>
      </c>
      <c r="D61" s="1716">
        <f>+APUS!H1673</f>
        <v>517277</v>
      </c>
      <c r="E61" s="1055" t="s">
        <v>8581</v>
      </c>
    </row>
    <row r="62" spans="1:5" s="627" customFormat="1" x14ac:dyDescent="0.25">
      <c r="A62" s="1055" t="s">
        <v>5482</v>
      </c>
      <c r="B62" s="1633" t="s">
        <v>8333</v>
      </c>
      <c r="C62" s="1055" t="s">
        <v>6858</v>
      </c>
      <c r="D62" s="1716">
        <f>+APUS!H1721</f>
        <v>799603</v>
      </c>
      <c r="E62" s="1055" t="s">
        <v>8582</v>
      </c>
    </row>
    <row r="63" spans="1:5" s="627" customFormat="1" x14ac:dyDescent="0.25">
      <c r="A63" s="1055" t="s">
        <v>5482</v>
      </c>
      <c r="B63" s="1444" t="s">
        <v>8275</v>
      </c>
      <c r="C63" s="1055" t="s">
        <v>5734</v>
      </c>
      <c r="D63" s="1716">
        <f>+APUS!H1866</f>
        <v>39490</v>
      </c>
      <c r="E63" s="1055" t="s">
        <v>187</v>
      </c>
    </row>
    <row r="64" spans="1:5" s="627" customFormat="1" x14ac:dyDescent="0.25">
      <c r="A64" s="1055" t="s">
        <v>5482</v>
      </c>
      <c r="B64" s="1444" t="s">
        <v>9004</v>
      </c>
      <c r="C64" s="1055" t="s">
        <v>5556</v>
      </c>
      <c r="D64" s="1716">
        <f>+APUS!H1529</f>
        <v>13923</v>
      </c>
      <c r="E64" s="1055" t="s">
        <v>8574</v>
      </c>
    </row>
    <row r="65" spans="1:5" s="627" customFormat="1" x14ac:dyDescent="0.25">
      <c r="A65" s="1055"/>
      <c r="B65" s="1444"/>
      <c r="C65" s="1055"/>
      <c r="D65" s="1716"/>
      <c r="E65" s="1055"/>
    </row>
    <row r="66" spans="1:5" s="627" customFormat="1" x14ac:dyDescent="0.25">
      <c r="A66" s="1055"/>
      <c r="B66" s="802" t="s">
        <v>7975</v>
      </c>
      <c r="C66" s="1055"/>
      <c r="D66" s="1716"/>
      <c r="E66" s="1055"/>
    </row>
    <row r="67" spans="1:5" s="627" customFormat="1" x14ac:dyDescent="0.25">
      <c r="A67" s="1055" t="s">
        <v>5482</v>
      </c>
      <c r="B67" s="1444" t="s">
        <v>5573</v>
      </c>
      <c r="C67" s="1055" t="s">
        <v>5431</v>
      </c>
      <c r="D67" s="1716">
        <f>+APUS!H1769</f>
        <v>3841</v>
      </c>
      <c r="E67" s="1055" t="s">
        <v>233</v>
      </c>
    </row>
    <row r="68" spans="1:5" s="627" customFormat="1" x14ac:dyDescent="0.25">
      <c r="A68" s="1055" t="s">
        <v>5482</v>
      </c>
      <c r="B68" s="1444" t="s">
        <v>9716</v>
      </c>
      <c r="C68" s="1055" t="s">
        <v>5431</v>
      </c>
      <c r="D68" s="1716">
        <f>+APUS!H1817</f>
        <v>9013</v>
      </c>
      <c r="E68" s="1055" t="s">
        <v>234</v>
      </c>
    </row>
    <row r="69" spans="1:5" s="627" customFormat="1" x14ac:dyDescent="0.25">
      <c r="A69" s="1055"/>
      <c r="B69" s="1444"/>
      <c r="C69" s="1055"/>
      <c r="D69" s="1716"/>
      <c r="E69" s="1055"/>
    </row>
    <row r="70" spans="1:5" s="627" customFormat="1" x14ac:dyDescent="0.25">
      <c r="A70" s="1055"/>
      <c r="B70" s="802" t="s">
        <v>232</v>
      </c>
      <c r="C70" s="1055"/>
      <c r="D70" s="1716"/>
      <c r="E70" s="1055"/>
    </row>
    <row r="71" spans="1:5" s="627" customFormat="1" x14ac:dyDescent="0.25">
      <c r="A71" s="1055" t="s">
        <v>3</v>
      </c>
      <c r="B71" s="1444" t="s">
        <v>7195</v>
      </c>
      <c r="C71" s="1055" t="s">
        <v>5424</v>
      </c>
      <c r="D71" s="1716">
        <f>+APUS!H1914</f>
        <v>7008.7730750000001</v>
      </c>
      <c r="E71" s="1055" t="s">
        <v>8583</v>
      </c>
    </row>
    <row r="72" spans="1:5" s="627" customFormat="1" x14ac:dyDescent="0.25">
      <c r="A72" s="1055" t="s">
        <v>3</v>
      </c>
      <c r="B72" s="1444" t="s">
        <v>7194</v>
      </c>
      <c r="C72" s="1055" t="s">
        <v>5424</v>
      </c>
      <c r="D72" s="1716">
        <f>+APUS!H1962</f>
        <v>10901.62925</v>
      </c>
      <c r="E72" s="1055" t="s">
        <v>8584</v>
      </c>
    </row>
    <row r="73" spans="1:5" s="627" customFormat="1" x14ac:dyDescent="0.25">
      <c r="A73" s="1055"/>
      <c r="B73" s="1444"/>
      <c r="C73" s="1055"/>
      <c r="D73" s="1716"/>
      <c r="E73" s="1055"/>
    </row>
    <row r="74" spans="1:5" s="627" customFormat="1" x14ac:dyDescent="0.25">
      <c r="A74" s="1055"/>
      <c r="B74" s="802" t="s">
        <v>396</v>
      </c>
      <c r="C74" s="1055"/>
      <c r="D74" s="1716"/>
      <c r="E74" s="1055"/>
    </row>
    <row r="75" spans="1:5" s="627" customFormat="1" x14ac:dyDescent="0.25">
      <c r="A75" s="1055" t="s">
        <v>5482</v>
      </c>
      <c r="B75" s="1444" t="s">
        <v>8496</v>
      </c>
      <c r="C75" s="1055" t="s">
        <v>5424</v>
      </c>
      <c r="D75" s="1716">
        <f>+APUS!H2010</f>
        <v>18707</v>
      </c>
      <c r="E75" s="1055" t="s">
        <v>8585</v>
      </c>
    </row>
    <row r="76" spans="1:5" s="627" customFormat="1" x14ac:dyDescent="0.25">
      <c r="A76" s="1055" t="s">
        <v>5482</v>
      </c>
      <c r="B76" s="1444" t="s">
        <v>8495</v>
      </c>
      <c r="C76" s="1055" t="s">
        <v>5424</v>
      </c>
      <c r="D76" s="1716">
        <f>+APUS!H2058</f>
        <v>18707</v>
      </c>
      <c r="E76" s="1055" t="s">
        <v>8586</v>
      </c>
    </row>
    <row r="77" spans="1:5" s="627" customFormat="1" x14ac:dyDescent="0.25">
      <c r="A77" s="1055" t="s">
        <v>5482</v>
      </c>
      <c r="B77" s="1444" t="s">
        <v>8512</v>
      </c>
      <c r="C77" s="1055" t="s">
        <v>5424</v>
      </c>
      <c r="D77" s="1716">
        <f>+APUS!H2107</f>
        <v>26752</v>
      </c>
      <c r="E77" s="1055" t="s">
        <v>8587</v>
      </c>
    </row>
    <row r="78" spans="1:5" s="627" customFormat="1" x14ac:dyDescent="0.25">
      <c r="A78" s="1055" t="s">
        <v>5482</v>
      </c>
      <c r="B78" s="1437" t="s">
        <v>8497</v>
      </c>
      <c r="C78" s="1055" t="s">
        <v>5424</v>
      </c>
      <c r="D78" s="1716">
        <f>+APUS!H2155</f>
        <v>26752</v>
      </c>
      <c r="E78" s="1055" t="s">
        <v>8588</v>
      </c>
    </row>
    <row r="79" spans="1:5" s="627" customFormat="1" x14ac:dyDescent="0.25">
      <c r="A79" s="1055" t="s">
        <v>5482</v>
      </c>
      <c r="B79" s="1444" t="s">
        <v>8508</v>
      </c>
      <c r="C79" s="1055" t="s">
        <v>5424</v>
      </c>
      <c r="D79" s="1716">
        <f>+APUS!H2203</f>
        <v>36879</v>
      </c>
      <c r="E79" s="1055" t="s">
        <v>8589</v>
      </c>
    </row>
    <row r="80" spans="1:5" s="627" customFormat="1" x14ac:dyDescent="0.25">
      <c r="A80" s="1055" t="s">
        <v>5482</v>
      </c>
      <c r="B80" s="1444" t="s">
        <v>8509</v>
      </c>
      <c r="C80" s="1055" t="s">
        <v>5424</v>
      </c>
      <c r="D80" s="1716">
        <f>+APUS!H2251</f>
        <v>38572</v>
      </c>
      <c r="E80" s="1055" t="s">
        <v>8590</v>
      </c>
    </row>
    <row r="81" spans="1:5" s="627" customFormat="1" x14ac:dyDescent="0.25">
      <c r="A81" s="1055" t="s">
        <v>5482</v>
      </c>
      <c r="B81" s="1444" t="s">
        <v>8510</v>
      </c>
      <c r="C81" s="1055" t="s">
        <v>5424</v>
      </c>
      <c r="D81" s="1716">
        <f>+APUS!H2299</f>
        <v>38572</v>
      </c>
      <c r="E81" s="1055" t="s">
        <v>8591</v>
      </c>
    </row>
    <row r="82" spans="1:5" s="627" customFormat="1" x14ac:dyDescent="0.25">
      <c r="A82" s="1055" t="s">
        <v>5482</v>
      </c>
      <c r="B82" s="1444" t="s">
        <v>8511</v>
      </c>
      <c r="C82" s="1055" t="s">
        <v>5424</v>
      </c>
      <c r="D82" s="1716">
        <f>+APUS!H2347</f>
        <v>58690</v>
      </c>
      <c r="E82" s="1055" t="s">
        <v>8592</v>
      </c>
    </row>
    <row r="83" spans="1:5" s="627" customFormat="1" x14ac:dyDescent="0.25">
      <c r="A83" s="1055" t="s">
        <v>5482</v>
      </c>
      <c r="B83" s="1437" t="s">
        <v>8517</v>
      </c>
      <c r="C83" s="1055" t="s">
        <v>5424</v>
      </c>
      <c r="D83" s="1716">
        <f>+APUS!H2395</f>
        <v>70676</v>
      </c>
      <c r="E83" s="1055" t="s">
        <v>8593</v>
      </c>
    </row>
    <row r="84" spans="1:5" s="627" customFormat="1" x14ac:dyDescent="0.25">
      <c r="A84" s="1055" t="s">
        <v>5482</v>
      </c>
      <c r="B84" s="1437" t="s">
        <v>8518</v>
      </c>
      <c r="C84" s="1055" t="s">
        <v>5424</v>
      </c>
      <c r="D84" s="1716">
        <f>+APUS!H2444</f>
        <v>72538</v>
      </c>
      <c r="E84" s="1055" t="s">
        <v>8594</v>
      </c>
    </row>
    <row r="85" spans="1:5" s="627" customFormat="1" x14ac:dyDescent="0.25">
      <c r="A85" s="1055" t="s">
        <v>5482</v>
      </c>
      <c r="B85" s="1437" t="s">
        <v>8519</v>
      </c>
      <c r="C85" s="1055" t="s">
        <v>5424</v>
      </c>
      <c r="D85" s="1716">
        <f>+APUS!H2492</f>
        <v>80640</v>
      </c>
      <c r="E85" s="1055" t="s">
        <v>8595</v>
      </c>
    </row>
    <row r="86" spans="1:5" s="627" customFormat="1" x14ac:dyDescent="0.25">
      <c r="A86" s="1055" t="s">
        <v>5482</v>
      </c>
      <c r="B86" s="1437" t="s">
        <v>8520</v>
      </c>
      <c r="C86" s="1055" t="s">
        <v>5424</v>
      </c>
      <c r="D86" s="1716">
        <f>+APUS!H2540</f>
        <v>82665</v>
      </c>
      <c r="E86" s="1055" t="s">
        <v>8596</v>
      </c>
    </row>
    <row r="87" spans="1:5" s="627" customFormat="1" x14ac:dyDescent="0.25">
      <c r="A87" s="1055" t="s">
        <v>5482</v>
      </c>
      <c r="B87" s="1437" t="s">
        <v>8536</v>
      </c>
      <c r="C87" s="1055" t="s">
        <v>5424</v>
      </c>
      <c r="D87" s="1716">
        <f>+APUS!H2588</f>
        <v>79222</v>
      </c>
      <c r="E87" s="1055" t="s">
        <v>8597</v>
      </c>
    </row>
    <row r="88" spans="1:5" s="627" customFormat="1" x14ac:dyDescent="0.25">
      <c r="A88" s="1055" t="s">
        <v>5482</v>
      </c>
      <c r="B88" s="1437" t="s">
        <v>8537</v>
      </c>
      <c r="C88" s="1055" t="s">
        <v>5424</v>
      </c>
      <c r="D88" s="1716">
        <f>+APUS!H2636</f>
        <v>80640</v>
      </c>
      <c r="E88" s="1055" t="s">
        <v>8598</v>
      </c>
    </row>
    <row r="89" spans="1:5" s="627" customFormat="1" x14ac:dyDescent="0.25">
      <c r="A89" s="1055" t="s">
        <v>5482</v>
      </c>
      <c r="B89" s="1437" t="s">
        <v>8538</v>
      </c>
      <c r="C89" s="1055" t="s">
        <v>5424</v>
      </c>
      <c r="D89" s="1716">
        <f>+APUS!H2684</f>
        <v>90104</v>
      </c>
      <c r="E89" s="1055" t="s">
        <v>8599</v>
      </c>
    </row>
    <row r="90" spans="1:5" s="627" customFormat="1" x14ac:dyDescent="0.25">
      <c r="A90" s="1055" t="s">
        <v>5482</v>
      </c>
      <c r="B90" s="1437" t="s">
        <v>8539</v>
      </c>
      <c r="C90" s="1055" t="s">
        <v>5424</v>
      </c>
      <c r="D90" s="1716">
        <f>+APUS!H2732</f>
        <v>92129</v>
      </c>
      <c r="E90" s="1055" t="s">
        <v>8600</v>
      </c>
    </row>
    <row r="91" spans="1:5" s="627" customFormat="1" x14ac:dyDescent="0.25">
      <c r="A91" s="1055" t="s">
        <v>5482</v>
      </c>
      <c r="B91" s="1437" t="s">
        <v>8521</v>
      </c>
      <c r="C91" s="1055" t="s">
        <v>5424</v>
      </c>
      <c r="D91" s="1716">
        <f>+APUS!H2780</f>
        <v>111058</v>
      </c>
      <c r="E91" s="1055" t="s">
        <v>8601</v>
      </c>
    </row>
    <row r="92" spans="1:5" s="627" customFormat="1" x14ac:dyDescent="0.25">
      <c r="A92" s="1055" t="s">
        <v>5482</v>
      </c>
      <c r="B92" s="1437" t="s">
        <v>8522</v>
      </c>
      <c r="C92" s="1055" t="s">
        <v>5424</v>
      </c>
      <c r="D92" s="1716">
        <f>+APUS!H2828</f>
        <v>120172</v>
      </c>
      <c r="E92" s="1055" t="s">
        <v>8602</v>
      </c>
    </row>
    <row r="93" spans="1:5" s="627" customFormat="1" x14ac:dyDescent="0.25">
      <c r="A93" s="1055" t="s">
        <v>5482</v>
      </c>
      <c r="B93" s="1437" t="s">
        <v>8523</v>
      </c>
      <c r="C93" s="1055" t="s">
        <v>5424</v>
      </c>
      <c r="D93" s="1716">
        <f>+APUS!H2876</f>
        <v>149578</v>
      </c>
      <c r="E93" s="1055" t="s">
        <v>8603</v>
      </c>
    </row>
    <row r="94" spans="1:5" s="627" customFormat="1" x14ac:dyDescent="0.25">
      <c r="A94" s="1055" t="s">
        <v>5482</v>
      </c>
      <c r="B94" s="1437" t="s">
        <v>8524</v>
      </c>
      <c r="C94" s="1055" t="s">
        <v>5424</v>
      </c>
      <c r="D94" s="1716">
        <f>+APUS!H2924</f>
        <v>167806</v>
      </c>
      <c r="E94" s="1055" t="s">
        <v>8604</v>
      </c>
    </row>
    <row r="95" spans="1:5" s="627" customFormat="1" x14ac:dyDescent="0.25">
      <c r="A95" s="1055" t="s">
        <v>5482</v>
      </c>
      <c r="B95" s="1437" t="s">
        <v>8513</v>
      </c>
      <c r="C95" s="1055" t="s">
        <v>5424</v>
      </c>
      <c r="D95" s="1716">
        <f>+APUS!H2972</f>
        <v>78115</v>
      </c>
      <c r="E95" s="1055" t="s">
        <v>8605</v>
      </c>
    </row>
    <row r="96" spans="1:5" s="627" customFormat="1" x14ac:dyDescent="0.25">
      <c r="A96" s="1055" t="s">
        <v>5482</v>
      </c>
      <c r="B96" s="1437" t="s">
        <v>8514</v>
      </c>
      <c r="C96" s="1055" t="s">
        <v>5424</v>
      </c>
      <c r="D96" s="1716">
        <f>+APUS!H3021</f>
        <v>79977</v>
      </c>
      <c r="E96" s="1055" t="s">
        <v>8606</v>
      </c>
    </row>
    <row r="97" spans="1:5" s="627" customFormat="1" x14ac:dyDescent="0.25">
      <c r="A97" s="1055" t="s">
        <v>5482</v>
      </c>
      <c r="B97" s="1437" t="s">
        <v>8515</v>
      </c>
      <c r="C97" s="1055" t="s">
        <v>5424</v>
      </c>
      <c r="D97" s="1716">
        <f>+APUS!H3069</f>
        <v>80640</v>
      </c>
      <c r="E97" s="1055" t="s">
        <v>8607</v>
      </c>
    </row>
    <row r="98" spans="1:5" s="627" customFormat="1" x14ac:dyDescent="0.25">
      <c r="A98" s="1055" t="s">
        <v>5482</v>
      </c>
      <c r="B98" s="1437" t="s">
        <v>8516</v>
      </c>
      <c r="C98" s="1055" t="s">
        <v>5424</v>
      </c>
      <c r="D98" s="1716">
        <f>+APUS!H3117</f>
        <v>82665</v>
      </c>
      <c r="E98" s="1055" t="s">
        <v>8608</v>
      </c>
    </row>
    <row r="99" spans="1:5" s="627" customFormat="1" x14ac:dyDescent="0.25">
      <c r="A99" s="1055" t="s">
        <v>5482</v>
      </c>
      <c r="B99" s="1437" t="s">
        <v>8540</v>
      </c>
      <c r="C99" s="1055" t="s">
        <v>5424</v>
      </c>
      <c r="D99" s="1716">
        <f>+APUS!H3165</f>
        <v>79222</v>
      </c>
      <c r="E99" s="1055" t="s">
        <v>8609</v>
      </c>
    </row>
    <row r="100" spans="1:5" s="627" customFormat="1" x14ac:dyDescent="0.25">
      <c r="A100" s="1055" t="s">
        <v>5482</v>
      </c>
      <c r="B100" s="1437" t="s">
        <v>8541</v>
      </c>
      <c r="C100" s="1055" t="s">
        <v>5424</v>
      </c>
      <c r="D100" s="1716">
        <f>+APUS!H3213</f>
        <v>80640</v>
      </c>
      <c r="E100" s="1055" t="s">
        <v>8610</v>
      </c>
    </row>
    <row r="101" spans="1:5" s="627" customFormat="1" x14ac:dyDescent="0.25">
      <c r="A101" s="1055" t="s">
        <v>5482</v>
      </c>
      <c r="B101" s="1437" t="s">
        <v>8542</v>
      </c>
      <c r="C101" s="1055" t="s">
        <v>5424</v>
      </c>
      <c r="D101" s="1716">
        <f>+APUS!H3261</f>
        <v>104982</v>
      </c>
      <c r="E101" s="1055" t="s">
        <v>8611</v>
      </c>
    </row>
    <row r="102" spans="1:5" s="627" customFormat="1" x14ac:dyDescent="0.25">
      <c r="A102" s="1055" t="s">
        <v>5482</v>
      </c>
      <c r="B102" s="1437" t="s">
        <v>8543</v>
      </c>
      <c r="C102" s="1055" t="s">
        <v>5424</v>
      </c>
      <c r="D102" s="1716">
        <f>+APUS!H3309</f>
        <v>129325</v>
      </c>
      <c r="E102" s="1055" t="s">
        <v>8612</v>
      </c>
    </row>
    <row r="103" spans="1:5" s="627" customFormat="1" x14ac:dyDescent="0.25">
      <c r="A103" s="1055" t="s">
        <v>5482</v>
      </c>
      <c r="B103" s="1437" t="s">
        <v>8525</v>
      </c>
      <c r="C103" s="1055" t="s">
        <v>5424</v>
      </c>
      <c r="D103" s="1716">
        <f>+APUS!H3357</f>
        <v>133375</v>
      </c>
      <c r="E103" s="1055" t="s">
        <v>8613</v>
      </c>
    </row>
    <row r="104" spans="1:5" s="627" customFormat="1" x14ac:dyDescent="0.25">
      <c r="A104" s="1055" t="s">
        <v>5482</v>
      </c>
      <c r="B104" s="1437" t="s">
        <v>8526</v>
      </c>
      <c r="C104" s="1055" t="s">
        <v>5424</v>
      </c>
      <c r="D104" s="1716">
        <f>+APUS!H3405</f>
        <v>164807</v>
      </c>
      <c r="E104" s="1055" t="s">
        <v>8614</v>
      </c>
    </row>
    <row r="105" spans="1:5" s="627" customFormat="1" x14ac:dyDescent="0.25">
      <c r="A105" s="1055" t="s">
        <v>5482</v>
      </c>
      <c r="B105" s="1437" t="s">
        <v>8527</v>
      </c>
      <c r="C105" s="1055" t="s">
        <v>5424</v>
      </c>
      <c r="D105" s="1716">
        <f>+APUS!H3453</f>
        <v>171895</v>
      </c>
      <c r="E105" s="1055" t="s">
        <v>8615</v>
      </c>
    </row>
    <row r="106" spans="1:5" s="627" customFormat="1" x14ac:dyDescent="0.25">
      <c r="A106" s="1055" t="s">
        <v>5482</v>
      </c>
      <c r="B106" s="1437" t="s">
        <v>8528</v>
      </c>
      <c r="C106" s="1055" t="s">
        <v>5424</v>
      </c>
      <c r="D106" s="1716">
        <f>+APUS!H3501</f>
        <v>223599</v>
      </c>
      <c r="E106" s="1055" t="s">
        <v>8616</v>
      </c>
    </row>
    <row r="107" spans="1:5" s="1573" customFormat="1" x14ac:dyDescent="0.25">
      <c r="A107" s="1055"/>
      <c r="B107" s="1437"/>
      <c r="C107" s="1055"/>
      <c r="D107" s="1716"/>
      <c r="E107" s="1055"/>
    </row>
    <row r="108" spans="1:5" s="1573" customFormat="1" x14ac:dyDescent="0.25">
      <c r="A108" s="1055"/>
      <c r="B108" s="802" t="s">
        <v>396</v>
      </c>
      <c r="C108" s="1055"/>
      <c r="D108" s="1716"/>
      <c r="E108" s="1055"/>
    </row>
    <row r="109" spans="1:5" s="1573" customFormat="1" x14ac:dyDescent="0.25">
      <c r="A109" s="1055" t="s">
        <v>5482</v>
      </c>
      <c r="B109" s="1444" t="s">
        <v>9715</v>
      </c>
      <c r="C109" s="1055" t="s">
        <v>5424</v>
      </c>
      <c r="D109" s="1716">
        <f>+APUS!H7182</f>
        <v>64175</v>
      </c>
      <c r="E109" s="1055">
        <v>4.7</v>
      </c>
    </row>
    <row r="110" spans="1:5" s="627" customFormat="1" x14ac:dyDescent="0.25">
      <c r="A110" s="1055"/>
      <c r="B110" s="1437"/>
      <c r="C110" s="1055"/>
      <c r="D110" s="1716"/>
      <c r="E110" s="1055"/>
    </row>
    <row r="111" spans="1:5" s="627" customFormat="1" x14ac:dyDescent="0.25">
      <c r="A111" s="1055"/>
      <c r="B111" s="802" t="s">
        <v>7967</v>
      </c>
      <c r="C111" s="1055"/>
      <c r="D111" s="1716"/>
      <c r="E111" s="1055"/>
    </row>
    <row r="112" spans="1:5" s="627" customFormat="1" x14ac:dyDescent="0.25">
      <c r="A112" s="1055" t="s">
        <v>5482</v>
      </c>
      <c r="B112" s="1444" t="s">
        <v>9002</v>
      </c>
      <c r="C112" s="1055" t="s">
        <v>5402</v>
      </c>
      <c r="D112" s="1716">
        <f>+APUS!H3549</f>
        <v>4240</v>
      </c>
      <c r="E112" s="1055" t="s">
        <v>8617</v>
      </c>
    </row>
    <row r="113" spans="1:5" s="627" customFormat="1" x14ac:dyDescent="0.25">
      <c r="A113" s="1055" t="s">
        <v>3</v>
      </c>
      <c r="B113" s="1444" t="s">
        <v>9003</v>
      </c>
      <c r="C113" s="1055" t="s">
        <v>5402</v>
      </c>
      <c r="D113" s="1716">
        <f>+APUS!H3597</f>
        <v>9905.3036111111123</v>
      </c>
      <c r="E113" s="1055" t="s">
        <v>8618</v>
      </c>
    </row>
    <row r="114" spans="1:5" s="627" customFormat="1" x14ac:dyDescent="0.25">
      <c r="A114" s="1055"/>
      <c r="B114" s="1444" t="s">
        <v>7182</v>
      </c>
      <c r="C114" s="1055"/>
      <c r="D114" s="1716"/>
      <c r="E114" s="1055"/>
    </row>
    <row r="115" spans="1:5" s="627" customFormat="1" x14ac:dyDescent="0.25">
      <c r="A115" s="1055"/>
      <c r="B115" s="802" t="s">
        <v>7968</v>
      </c>
      <c r="C115" s="1055"/>
      <c r="D115" s="1716"/>
      <c r="E115" s="1055"/>
    </row>
    <row r="116" spans="1:5" s="627" customFormat="1" x14ac:dyDescent="0.25">
      <c r="A116" s="1055" t="s">
        <v>5482</v>
      </c>
      <c r="B116" s="1444" t="s">
        <v>9069</v>
      </c>
      <c r="C116" s="1055" t="s">
        <v>5402</v>
      </c>
      <c r="D116" s="1716">
        <f>+APUS!H3645</f>
        <v>10134</v>
      </c>
      <c r="E116" s="1055" t="s">
        <v>8619</v>
      </c>
    </row>
    <row r="117" spans="1:5" s="627" customFormat="1" x14ac:dyDescent="0.25">
      <c r="A117" s="1055" t="s">
        <v>5482</v>
      </c>
      <c r="B117" s="1444" t="s">
        <v>9070</v>
      </c>
      <c r="C117" s="1055" t="s">
        <v>5402</v>
      </c>
      <c r="D117" s="1716">
        <f>+APUS!H3693</f>
        <v>13645</v>
      </c>
      <c r="E117" s="1055" t="s">
        <v>8620</v>
      </c>
    </row>
    <row r="118" spans="1:5" s="627" customFormat="1" x14ac:dyDescent="0.25">
      <c r="A118" s="1055" t="s">
        <v>5482</v>
      </c>
      <c r="B118" s="1437" t="s">
        <v>9071</v>
      </c>
      <c r="C118" s="1055" t="s">
        <v>5402</v>
      </c>
      <c r="D118" s="1716">
        <f>+APUS!H3741</f>
        <v>21995</v>
      </c>
      <c r="E118" s="1055" t="s">
        <v>8621</v>
      </c>
    </row>
    <row r="119" spans="1:5" s="627" customFormat="1" x14ac:dyDescent="0.25">
      <c r="A119" s="1055" t="s">
        <v>5482</v>
      </c>
      <c r="B119" s="1437" t="s">
        <v>9072</v>
      </c>
      <c r="C119" s="1055" t="s">
        <v>5402</v>
      </c>
      <c r="D119" s="1716">
        <f>+APUS!H3789</f>
        <v>25545</v>
      </c>
      <c r="E119" s="1055" t="s">
        <v>8622</v>
      </c>
    </row>
    <row r="120" spans="1:5" s="1443" customFormat="1" x14ac:dyDescent="0.25">
      <c r="A120" s="1055" t="s">
        <v>5482</v>
      </c>
      <c r="B120" s="1437" t="s">
        <v>9035</v>
      </c>
      <c r="C120" s="1055" t="s">
        <v>5424</v>
      </c>
      <c r="D120" s="1716">
        <f>+APUS!H6531</f>
        <v>150510</v>
      </c>
      <c r="E120" s="1055" t="s">
        <v>8676</v>
      </c>
    </row>
    <row r="121" spans="1:5" s="627" customFormat="1" x14ac:dyDescent="0.25">
      <c r="A121" s="1055"/>
      <c r="B121" s="1444"/>
      <c r="C121" s="1055"/>
      <c r="D121" s="1716"/>
      <c r="E121" s="1055"/>
    </row>
    <row r="122" spans="1:5" s="627" customFormat="1" x14ac:dyDescent="0.25">
      <c r="A122" s="1055"/>
      <c r="B122" s="802" t="s">
        <v>7969</v>
      </c>
      <c r="C122" s="1055"/>
      <c r="D122" s="1716"/>
      <c r="E122" s="1055"/>
    </row>
    <row r="123" spans="1:5" s="627" customFormat="1" x14ac:dyDescent="0.25">
      <c r="A123" s="1055" t="s">
        <v>5482</v>
      </c>
      <c r="B123" s="1444" t="s">
        <v>8529</v>
      </c>
      <c r="C123" s="1055" t="s">
        <v>5402</v>
      </c>
      <c r="D123" s="1716">
        <f>+APUS!H3837</f>
        <v>89079</v>
      </c>
      <c r="E123" s="1055" t="s">
        <v>1071</v>
      </c>
    </row>
    <row r="124" spans="1:5" s="627" customFormat="1" x14ac:dyDescent="0.25">
      <c r="A124" s="1055" t="s">
        <v>5482</v>
      </c>
      <c r="B124" s="1444" t="s">
        <v>8530</v>
      </c>
      <c r="C124" s="1055" t="s">
        <v>5402</v>
      </c>
      <c r="D124" s="1716">
        <f>+APUS!H3885</f>
        <v>89079</v>
      </c>
      <c r="E124" s="1055" t="s">
        <v>1073</v>
      </c>
    </row>
    <row r="125" spans="1:5" s="627" customFormat="1" x14ac:dyDescent="0.25">
      <c r="A125" s="1055" t="s">
        <v>5482</v>
      </c>
      <c r="B125" s="1444" t="s">
        <v>8531</v>
      </c>
      <c r="C125" s="1055" t="s">
        <v>5402</v>
      </c>
      <c r="D125" s="1716">
        <f>+APUS!H3933</f>
        <v>106069</v>
      </c>
      <c r="E125" s="1055" t="s">
        <v>1075</v>
      </c>
    </row>
    <row r="126" spans="1:5" s="627" customFormat="1" x14ac:dyDescent="0.25">
      <c r="A126" s="1055" t="s">
        <v>5482</v>
      </c>
      <c r="B126" s="1444" t="s">
        <v>8533</v>
      </c>
      <c r="C126" s="1055" t="s">
        <v>5402</v>
      </c>
      <c r="D126" s="1716">
        <f>+APUS!H3981</f>
        <v>110316</v>
      </c>
      <c r="E126" s="1055" t="s">
        <v>8623</v>
      </c>
    </row>
    <row r="127" spans="1:5" s="627" customFormat="1" x14ac:dyDescent="0.25">
      <c r="A127" s="1055" t="s">
        <v>5482</v>
      </c>
      <c r="B127" s="1444" t="s">
        <v>8532</v>
      </c>
      <c r="C127" s="1055" t="s">
        <v>5402</v>
      </c>
      <c r="D127" s="1716">
        <f>+APUS!H4029</f>
        <v>131553</v>
      </c>
      <c r="E127" s="1055" t="s">
        <v>8624</v>
      </c>
    </row>
    <row r="128" spans="1:5" s="627" customFormat="1" x14ac:dyDescent="0.25">
      <c r="A128" s="1055"/>
      <c r="B128" s="1444"/>
      <c r="C128" s="1055"/>
      <c r="D128" s="1716"/>
      <c r="E128" s="1055"/>
    </row>
    <row r="129" spans="1:5" s="627" customFormat="1" x14ac:dyDescent="0.25">
      <c r="A129" s="1055"/>
      <c r="B129" s="802" t="s">
        <v>444</v>
      </c>
      <c r="C129" s="1055"/>
      <c r="D129" s="1716"/>
      <c r="E129" s="1055"/>
    </row>
    <row r="130" spans="1:5" s="627" customFormat="1" x14ac:dyDescent="0.25">
      <c r="A130" s="1055" t="s">
        <v>5482</v>
      </c>
      <c r="B130" s="1444" t="s">
        <v>8498</v>
      </c>
      <c r="C130" s="1055" t="s">
        <v>5424</v>
      </c>
      <c r="D130" s="1716">
        <f>+APUS!H4077</f>
        <v>42963</v>
      </c>
      <c r="E130" s="1717" t="s">
        <v>8625</v>
      </c>
    </row>
    <row r="131" spans="1:5" s="627" customFormat="1" x14ac:dyDescent="0.25">
      <c r="A131" s="1055" t="s">
        <v>5482</v>
      </c>
      <c r="B131" s="1444" t="s">
        <v>8499</v>
      </c>
      <c r="C131" s="1055" t="s">
        <v>5424</v>
      </c>
      <c r="D131" s="1716">
        <f>+APUS!H4125</f>
        <v>65469</v>
      </c>
      <c r="E131" s="1717" t="s">
        <v>8626</v>
      </c>
    </row>
    <row r="132" spans="1:5" s="627" customFormat="1" x14ac:dyDescent="0.25">
      <c r="A132" s="1055" t="s">
        <v>5482</v>
      </c>
      <c r="B132" s="1444" t="s">
        <v>8272</v>
      </c>
      <c r="C132" s="1055" t="s">
        <v>5424</v>
      </c>
      <c r="D132" s="1716">
        <f>+APUS!H4173</f>
        <v>129573</v>
      </c>
      <c r="E132" s="1717" t="s">
        <v>8627</v>
      </c>
    </row>
    <row r="133" spans="1:5" s="627" customFormat="1" x14ac:dyDescent="0.25">
      <c r="A133" s="1055" t="s">
        <v>5482</v>
      </c>
      <c r="B133" s="1444" t="s">
        <v>8500</v>
      </c>
      <c r="C133" s="1055" t="s">
        <v>5424</v>
      </c>
      <c r="D133" s="1716">
        <f>+APUS!H4221</f>
        <v>139031</v>
      </c>
      <c r="E133" s="1717" t="s">
        <v>8628</v>
      </c>
    </row>
    <row r="134" spans="1:5" s="627" customFormat="1" x14ac:dyDescent="0.25">
      <c r="A134" s="1055" t="s">
        <v>5482</v>
      </c>
      <c r="B134" s="1444" t="s">
        <v>8504</v>
      </c>
      <c r="C134" s="1055" t="s">
        <v>5424</v>
      </c>
      <c r="D134" s="1716">
        <f>+APUS!H4269</f>
        <v>194027</v>
      </c>
      <c r="E134" s="1717" t="s">
        <v>8629</v>
      </c>
    </row>
    <row r="135" spans="1:5" s="627" customFormat="1" x14ac:dyDescent="0.25">
      <c r="A135" s="1055" t="s">
        <v>5482</v>
      </c>
      <c r="B135" s="1444" t="s">
        <v>8501</v>
      </c>
      <c r="C135" s="1055" t="s">
        <v>5424</v>
      </c>
      <c r="D135" s="1716">
        <f>+APUS!H4317</f>
        <v>42963</v>
      </c>
      <c r="E135" s="1717" t="s">
        <v>8630</v>
      </c>
    </row>
    <row r="136" spans="1:5" s="627" customFormat="1" x14ac:dyDescent="0.25">
      <c r="A136" s="1055" t="s">
        <v>5482</v>
      </c>
      <c r="B136" s="1444" t="s">
        <v>8502</v>
      </c>
      <c r="C136" s="1055" t="s">
        <v>5424</v>
      </c>
      <c r="D136" s="1716">
        <f>+APUS!H4365</f>
        <v>65469</v>
      </c>
      <c r="E136" s="1717" t="s">
        <v>8631</v>
      </c>
    </row>
    <row r="137" spans="1:5" s="627" customFormat="1" x14ac:dyDescent="0.25">
      <c r="A137" s="1055" t="s">
        <v>5482</v>
      </c>
      <c r="B137" s="1444" t="s">
        <v>8503</v>
      </c>
      <c r="C137" s="1055" t="s">
        <v>5424</v>
      </c>
      <c r="D137" s="1716">
        <f>+APUS!H4411</f>
        <v>117793.2</v>
      </c>
      <c r="E137" s="1717" t="s">
        <v>8632</v>
      </c>
    </row>
    <row r="138" spans="1:5" s="627" customFormat="1" x14ac:dyDescent="0.25">
      <c r="A138" s="1055" t="s">
        <v>5482</v>
      </c>
      <c r="B138" s="1444" t="s">
        <v>8534</v>
      </c>
      <c r="C138" s="1055" t="s">
        <v>5424</v>
      </c>
      <c r="D138" s="1716">
        <f>+APUS!H4461</f>
        <v>139031</v>
      </c>
      <c r="E138" s="1717" t="s">
        <v>8633</v>
      </c>
    </row>
    <row r="139" spans="1:5" s="627" customFormat="1" x14ac:dyDescent="0.25">
      <c r="A139" s="1055" t="s">
        <v>5482</v>
      </c>
      <c r="B139" s="1444" t="s">
        <v>8535</v>
      </c>
      <c r="C139" s="1055" t="s">
        <v>5424</v>
      </c>
      <c r="D139" s="1716">
        <f>+APUS!H4509</f>
        <v>194027</v>
      </c>
      <c r="E139" s="1717" t="s">
        <v>8634</v>
      </c>
    </row>
    <row r="140" spans="1:5" s="1443" customFormat="1" x14ac:dyDescent="0.25">
      <c r="A140" s="1055"/>
      <c r="B140" s="1444"/>
      <c r="C140" s="1055"/>
      <c r="D140" s="1716"/>
      <c r="E140" s="1717"/>
    </row>
    <row r="141" spans="1:5" s="1443" customFormat="1" x14ac:dyDescent="0.25">
      <c r="A141" s="1656"/>
      <c r="B141" s="802" t="s">
        <v>7973</v>
      </c>
      <c r="C141" s="1656"/>
      <c r="D141" s="1719"/>
      <c r="E141" s="1656"/>
    </row>
    <row r="142" spans="1:5" s="1443" customFormat="1" x14ac:dyDescent="0.25">
      <c r="A142" s="1656" t="s">
        <v>3</v>
      </c>
      <c r="B142" s="1444" t="s">
        <v>5584</v>
      </c>
      <c r="C142" s="1656" t="s">
        <v>6858</v>
      </c>
      <c r="D142" s="1719">
        <f>+APUS!H4558</f>
        <v>502865</v>
      </c>
      <c r="E142" s="1656">
        <v>5.0999999999999996</v>
      </c>
    </row>
    <row r="143" spans="1:5" s="1443" customFormat="1" x14ac:dyDescent="0.25">
      <c r="A143" s="1656" t="s">
        <v>3</v>
      </c>
      <c r="B143" s="1444" t="s">
        <v>5581</v>
      </c>
      <c r="C143" s="1656" t="s">
        <v>6858</v>
      </c>
      <c r="D143" s="1719">
        <f>+APUS!H4607</f>
        <v>718800</v>
      </c>
      <c r="E143" s="1656">
        <v>5.2</v>
      </c>
    </row>
    <row r="144" spans="1:5" s="1058" customFormat="1" x14ac:dyDescent="0.25">
      <c r="A144" s="1656"/>
      <c r="B144" s="1444"/>
      <c r="C144" s="1656"/>
      <c r="D144" s="1719"/>
      <c r="E144" s="1656"/>
    </row>
    <row r="145" spans="1:5" x14ac:dyDescent="0.25">
      <c r="A145" s="1656"/>
      <c r="B145" s="802" t="s">
        <v>7970</v>
      </c>
      <c r="C145" s="1656"/>
      <c r="D145" s="1719"/>
      <c r="E145" s="1656"/>
    </row>
    <row r="146" spans="1:5" x14ac:dyDescent="0.25">
      <c r="A146" s="1656" t="s">
        <v>5482</v>
      </c>
      <c r="B146" s="1444" t="s">
        <v>9057</v>
      </c>
      <c r="C146" s="1656" t="s">
        <v>5402</v>
      </c>
      <c r="D146" s="1719">
        <f>+APUS!H4655</f>
        <v>8435</v>
      </c>
      <c r="E146" s="1656" t="s">
        <v>674</v>
      </c>
    </row>
    <row r="147" spans="1:5" s="1522" customFormat="1" x14ac:dyDescent="0.25">
      <c r="A147" s="1656" t="s">
        <v>5482</v>
      </c>
      <c r="B147" s="1444" t="s">
        <v>9063</v>
      </c>
      <c r="C147" s="1656" t="s">
        <v>5402</v>
      </c>
      <c r="D147" s="1719">
        <f>+APUS!H4703</f>
        <v>11437</v>
      </c>
      <c r="E147" s="1656" t="s">
        <v>679</v>
      </c>
    </row>
    <row r="148" spans="1:5" s="1522" customFormat="1" x14ac:dyDescent="0.25">
      <c r="A148" s="1656" t="s">
        <v>5482</v>
      </c>
      <c r="B148" s="1444" t="s">
        <v>9064</v>
      </c>
      <c r="C148" s="1656" t="s">
        <v>5402</v>
      </c>
      <c r="D148" s="1719">
        <f>+APUS!H4751</f>
        <v>15374</v>
      </c>
      <c r="E148" s="1656" t="s">
        <v>684</v>
      </c>
    </row>
    <row r="149" spans="1:5" s="1522" customFormat="1" x14ac:dyDescent="0.25">
      <c r="A149" s="1656" t="s">
        <v>5482</v>
      </c>
      <c r="B149" s="1444" t="s">
        <v>9065</v>
      </c>
      <c r="C149" s="1656" t="s">
        <v>5402</v>
      </c>
      <c r="D149" s="1719">
        <f>+APUS!H4799</f>
        <v>20725</v>
      </c>
      <c r="E149" s="1656" t="s">
        <v>690</v>
      </c>
    </row>
    <row r="150" spans="1:5" s="1522" customFormat="1" x14ac:dyDescent="0.25">
      <c r="A150" s="1656" t="s">
        <v>5482</v>
      </c>
      <c r="B150" s="1444" t="s">
        <v>9066</v>
      </c>
      <c r="C150" s="1656" t="s">
        <v>5402</v>
      </c>
      <c r="D150" s="1719">
        <f>+APUS!H4847</f>
        <v>26050</v>
      </c>
      <c r="E150" s="1656" t="s">
        <v>693</v>
      </c>
    </row>
    <row r="151" spans="1:5" s="1522" customFormat="1" x14ac:dyDescent="0.25">
      <c r="A151" s="1656" t="s">
        <v>5482</v>
      </c>
      <c r="B151" s="1444" t="s">
        <v>9067</v>
      </c>
      <c r="C151" s="1656" t="s">
        <v>5402</v>
      </c>
      <c r="D151" s="1719">
        <f>+APUS!H4895</f>
        <v>34214</v>
      </c>
      <c r="E151" s="1656" t="s">
        <v>9058</v>
      </c>
    </row>
    <row r="152" spans="1:5" x14ac:dyDescent="0.25">
      <c r="A152" s="1656" t="s">
        <v>5482</v>
      </c>
      <c r="B152" s="1444" t="s">
        <v>9053</v>
      </c>
      <c r="C152" s="1656" t="s">
        <v>5402</v>
      </c>
      <c r="D152" s="1719">
        <f>+APUS!H4943</f>
        <v>50599</v>
      </c>
      <c r="E152" s="1656" t="s">
        <v>9059</v>
      </c>
    </row>
    <row r="153" spans="1:5" s="1441" customFormat="1" x14ac:dyDescent="0.25">
      <c r="A153" s="1656" t="s">
        <v>5482</v>
      </c>
      <c r="B153" s="1444" t="s">
        <v>9054</v>
      </c>
      <c r="C153" s="1656" t="s">
        <v>5402</v>
      </c>
      <c r="D153" s="1719">
        <f>+APUS!H4992</f>
        <v>52083</v>
      </c>
      <c r="E153" s="1656" t="s">
        <v>9060</v>
      </c>
    </row>
    <row r="154" spans="1:5" s="1441" customFormat="1" x14ac:dyDescent="0.25">
      <c r="A154" s="1656" t="s">
        <v>5482</v>
      </c>
      <c r="B154" s="1444" t="s">
        <v>9056</v>
      </c>
      <c r="C154" s="1656" t="s">
        <v>5402</v>
      </c>
      <c r="D154" s="1719">
        <f>+APUS!H5040</f>
        <v>53011</v>
      </c>
      <c r="E154" s="1656" t="s">
        <v>9061</v>
      </c>
    </row>
    <row r="155" spans="1:5" s="1441" customFormat="1" x14ac:dyDescent="0.25">
      <c r="A155" s="1656" t="s">
        <v>5482</v>
      </c>
      <c r="B155" s="1444" t="s">
        <v>9055</v>
      </c>
      <c r="C155" s="1656" t="s">
        <v>5402</v>
      </c>
      <c r="D155" s="1719">
        <f>+APUS!H5088</f>
        <v>55237</v>
      </c>
      <c r="E155" s="1656" t="s">
        <v>9062</v>
      </c>
    </row>
    <row r="156" spans="1:5" s="1441" customFormat="1" x14ac:dyDescent="0.25">
      <c r="A156" s="1656"/>
      <c r="B156" s="1444"/>
      <c r="C156" s="1656"/>
      <c r="D156" s="1719"/>
      <c r="E156" s="1656"/>
    </row>
    <row r="157" spans="1:5" x14ac:dyDescent="0.25">
      <c r="A157" s="1656"/>
      <c r="B157" s="802" t="s">
        <v>7972</v>
      </c>
      <c r="C157" s="1656"/>
      <c r="D157" s="1719"/>
      <c r="E157" s="1656"/>
    </row>
    <row r="158" spans="1:5" x14ac:dyDescent="0.25">
      <c r="A158" s="1656" t="s">
        <v>5482</v>
      </c>
      <c r="B158" s="1444" t="s">
        <v>5597</v>
      </c>
      <c r="C158" s="1656" t="s">
        <v>7957</v>
      </c>
      <c r="D158" s="1719">
        <f>+APUS!H5137</f>
        <v>32414</v>
      </c>
      <c r="E158" s="1656" t="s">
        <v>778</v>
      </c>
    </row>
    <row r="159" spans="1:5" x14ac:dyDescent="0.25">
      <c r="A159" s="1656" t="s">
        <v>3</v>
      </c>
      <c r="B159" s="1444" t="s">
        <v>6685</v>
      </c>
      <c r="C159" s="1656" t="s">
        <v>37</v>
      </c>
      <c r="D159" s="1719">
        <f>+APUS!H5187</f>
        <v>123581</v>
      </c>
      <c r="E159" s="1656" t="s">
        <v>779</v>
      </c>
    </row>
    <row r="160" spans="1:5" x14ac:dyDescent="0.25">
      <c r="A160" s="1656" t="s">
        <v>5482</v>
      </c>
      <c r="B160" s="1444" t="s">
        <v>7214</v>
      </c>
      <c r="C160" s="1656" t="s">
        <v>5402</v>
      </c>
      <c r="D160" s="1719">
        <f>+APUS!H5239</f>
        <v>270740</v>
      </c>
      <c r="E160" s="1656" t="s">
        <v>780</v>
      </c>
    </row>
    <row r="161" spans="1:5" x14ac:dyDescent="0.25">
      <c r="A161" s="1656" t="s">
        <v>5482</v>
      </c>
      <c r="B161" s="1444" t="s">
        <v>8992</v>
      </c>
      <c r="C161" s="1656" t="s">
        <v>5424</v>
      </c>
      <c r="D161" s="1719">
        <f>+APUS!H5384</f>
        <v>819794</v>
      </c>
      <c r="E161" s="1656" t="s">
        <v>5583</v>
      </c>
    </row>
    <row r="162" spans="1:5" x14ac:dyDescent="0.25">
      <c r="A162" s="1656" t="s">
        <v>5482</v>
      </c>
      <c r="B162" s="1444" t="s">
        <v>7929</v>
      </c>
      <c r="C162" s="1656" t="s">
        <v>5424</v>
      </c>
      <c r="D162" s="1719">
        <f>+APUS!H5286</f>
        <v>29456</v>
      </c>
      <c r="E162" s="1656" t="s">
        <v>5585</v>
      </c>
    </row>
    <row r="163" spans="1:5" x14ac:dyDescent="0.25">
      <c r="A163" s="1656" t="s">
        <v>5482</v>
      </c>
      <c r="B163" s="1444" t="s">
        <v>9044</v>
      </c>
      <c r="C163" s="1656" t="s">
        <v>5402</v>
      </c>
      <c r="D163" s="1719">
        <f>+APUS!H5335</f>
        <v>405493</v>
      </c>
      <c r="E163" s="1656" t="s">
        <v>5587</v>
      </c>
    </row>
    <row r="164" spans="1:5" s="1058" customFormat="1" x14ac:dyDescent="0.25">
      <c r="A164" s="1656" t="s">
        <v>5482</v>
      </c>
      <c r="B164" s="1633" t="s">
        <v>9400</v>
      </c>
      <c r="C164" s="1656" t="s">
        <v>7957</v>
      </c>
      <c r="D164" s="1719">
        <f>+APUS!H5519</f>
        <v>57339</v>
      </c>
      <c r="E164" s="1656" t="s">
        <v>8642</v>
      </c>
    </row>
    <row r="165" spans="1:5" s="1058" customFormat="1" x14ac:dyDescent="0.25">
      <c r="A165" s="1656" t="s">
        <v>5482</v>
      </c>
      <c r="B165" s="1444" t="s">
        <v>8334</v>
      </c>
      <c r="C165" s="1656" t="s">
        <v>7957</v>
      </c>
      <c r="D165" s="1719">
        <f>+APUS!H5567</f>
        <v>52508</v>
      </c>
      <c r="E165" s="1656" t="s">
        <v>8643</v>
      </c>
    </row>
    <row r="166" spans="1:5" s="1058" customFormat="1" ht="30" x14ac:dyDescent="0.25">
      <c r="A166" s="1656" t="s">
        <v>5482</v>
      </c>
      <c r="B166" s="1633" t="s">
        <v>8284</v>
      </c>
      <c r="C166" s="1656" t="s">
        <v>5424</v>
      </c>
      <c r="D166" s="1719">
        <f>+APUS!H5615</f>
        <v>158748</v>
      </c>
      <c r="E166" s="1656" t="s">
        <v>8644</v>
      </c>
    </row>
    <row r="167" spans="1:5" s="1058" customFormat="1" x14ac:dyDescent="0.25">
      <c r="A167" s="1656" t="s">
        <v>5482</v>
      </c>
      <c r="B167" s="1633" t="s">
        <v>5872</v>
      </c>
      <c r="C167" s="1656" t="s">
        <v>5424</v>
      </c>
      <c r="D167" s="1719">
        <f>+APUS!H5663</f>
        <v>311114</v>
      </c>
      <c r="E167" s="1656" t="s">
        <v>8645</v>
      </c>
    </row>
    <row r="168" spans="1:5" s="1058" customFormat="1" x14ac:dyDescent="0.25">
      <c r="A168" s="1656" t="s">
        <v>5482</v>
      </c>
      <c r="B168" s="1444" t="s">
        <v>5871</v>
      </c>
      <c r="C168" s="1656" t="s">
        <v>7957</v>
      </c>
      <c r="D168" s="1719">
        <f>+APUS!H5711</f>
        <v>186690</v>
      </c>
      <c r="E168" s="1656" t="s">
        <v>8659</v>
      </c>
    </row>
    <row r="169" spans="1:5" s="1058" customFormat="1" x14ac:dyDescent="0.25">
      <c r="A169" s="1656" t="s">
        <v>5482</v>
      </c>
      <c r="B169" s="1444" t="s">
        <v>8294</v>
      </c>
      <c r="C169" s="1656" t="s">
        <v>5424</v>
      </c>
      <c r="D169" s="1719">
        <f>+APUS!H5759</f>
        <v>2327467</v>
      </c>
      <c r="E169" s="1656" t="s">
        <v>8660</v>
      </c>
    </row>
    <row r="170" spans="1:5" s="1058" customFormat="1" x14ac:dyDescent="0.25">
      <c r="A170" s="1656" t="s">
        <v>5482</v>
      </c>
      <c r="B170" s="1633" t="s">
        <v>8297</v>
      </c>
      <c r="C170" s="1656" t="s">
        <v>5424</v>
      </c>
      <c r="D170" s="1719">
        <f>+APUS!H5805</f>
        <v>17292389</v>
      </c>
      <c r="E170" s="1656" t="s">
        <v>8661</v>
      </c>
    </row>
    <row r="171" spans="1:5" s="1058" customFormat="1" x14ac:dyDescent="0.25">
      <c r="A171" s="1656" t="s">
        <v>5482</v>
      </c>
      <c r="B171" s="1633" t="s">
        <v>8301</v>
      </c>
      <c r="C171" s="1656" t="s">
        <v>5424</v>
      </c>
      <c r="D171" s="1719">
        <f>+APUS!H5854</f>
        <v>1437051</v>
      </c>
      <c r="E171" s="1656" t="s">
        <v>8662</v>
      </c>
    </row>
    <row r="172" spans="1:5" s="1058" customFormat="1" ht="30" x14ac:dyDescent="0.25">
      <c r="A172" s="1656" t="s">
        <v>5482</v>
      </c>
      <c r="B172" s="1633" t="s">
        <v>8302</v>
      </c>
      <c r="C172" s="1656" t="s">
        <v>5424</v>
      </c>
      <c r="D172" s="1719">
        <f>+APUS!H5902</f>
        <v>3535836</v>
      </c>
      <c r="E172" s="1656" t="s">
        <v>8663</v>
      </c>
    </row>
    <row r="173" spans="1:5" s="1058" customFormat="1" ht="45" x14ac:dyDescent="0.25">
      <c r="A173" s="1656" t="s">
        <v>5482</v>
      </c>
      <c r="B173" s="1633" t="s">
        <v>8303</v>
      </c>
      <c r="C173" s="1656" t="s">
        <v>5424</v>
      </c>
      <c r="D173" s="1719">
        <f>+APUS!H5950</f>
        <v>29298848</v>
      </c>
      <c r="E173" s="1656" t="s">
        <v>8664</v>
      </c>
    </row>
    <row r="174" spans="1:5" s="1058" customFormat="1" x14ac:dyDescent="0.25">
      <c r="A174" s="1656" t="s">
        <v>5482</v>
      </c>
      <c r="B174" s="1633" t="s">
        <v>8304</v>
      </c>
      <c r="C174" s="1656" t="s">
        <v>5424</v>
      </c>
      <c r="D174" s="1719">
        <f>+APUS!H5998</f>
        <v>7150288</v>
      </c>
      <c r="E174" s="1656" t="s">
        <v>8665</v>
      </c>
    </row>
    <row r="175" spans="1:5" s="1058" customFormat="1" ht="30" x14ac:dyDescent="0.25">
      <c r="A175" s="1656" t="s">
        <v>5482</v>
      </c>
      <c r="B175" s="1633" t="s">
        <v>8305</v>
      </c>
      <c r="C175" s="1656" t="s">
        <v>5424</v>
      </c>
      <c r="D175" s="1719">
        <f>+APUS!H6046</f>
        <v>39747855</v>
      </c>
      <c r="E175" s="1656" t="s">
        <v>8666</v>
      </c>
    </row>
    <row r="176" spans="1:5" s="1058" customFormat="1" x14ac:dyDescent="0.25">
      <c r="A176" s="1656" t="s">
        <v>5482</v>
      </c>
      <c r="B176" s="1633" t="s">
        <v>8306</v>
      </c>
      <c r="C176" s="1656" t="s">
        <v>5424</v>
      </c>
      <c r="D176" s="1719">
        <f>+APUS!H6094</f>
        <v>1308660</v>
      </c>
      <c r="E176" s="1656" t="s">
        <v>8667</v>
      </c>
    </row>
    <row r="177" spans="1:5" s="1058" customFormat="1" x14ac:dyDescent="0.25">
      <c r="A177" s="1656" t="s">
        <v>5482</v>
      </c>
      <c r="B177" s="1633" t="s">
        <v>8174</v>
      </c>
      <c r="C177" s="1656" t="s">
        <v>5424</v>
      </c>
      <c r="D177" s="1719">
        <f>+APUS!H6142</f>
        <v>22775720</v>
      </c>
      <c r="E177" s="1656" t="s">
        <v>8668</v>
      </c>
    </row>
    <row r="178" spans="1:5" s="1058" customFormat="1" ht="30" x14ac:dyDescent="0.25">
      <c r="A178" s="1656" t="s">
        <v>5482</v>
      </c>
      <c r="B178" s="1633" t="s">
        <v>8307</v>
      </c>
      <c r="C178" s="1656" t="s">
        <v>5424</v>
      </c>
      <c r="D178" s="1719">
        <f>+APUS!H6190</f>
        <v>26621533</v>
      </c>
      <c r="E178" s="1656" t="s">
        <v>8669</v>
      </c>
    </row>
    <row r="179" spans="1:5" s="1058" customFormat="1" x14ac:dyDescent="0.25">
      <c r="A179" s="1656" t="s">
        <v>5482</v>
      </c>
      <c r="B179" s="1633" t="s">
        <v>8308</v>
      </c>
      <c r="C179" s="1656" t="s">
        <v>5424</v>
      </c>
      <c r="D179" s="1719">
        <f>+APUS!H6238</f>
        <v>27565767</v>
      </c>
      <c r="E179" s="1656" t="s">
        <v>8670</v>
      </c>
    </row>
    <row r="180" spans="1:5" s="1058" customFormat="1" ht="30" x14ac:dyDescent="0.25">
      <c r="A180" s="1656" t="s">
        <v>5482</v>
      </c>
      <c r="B180" s="1633" t="s">
        <v>8309</v>
      </c>
      <c r="C180" s="1656" t="s">
        <v>5424</v>
      </c>
      <c r="D180" s="1719">
        <f>+APUS!H6286</f>
        <v>12400374</v>
      </c>
      <c r="E180" s="1656" t="s">
        <v>8671</v>
      </c>
    </row>
    <row r="181" spans="1:5" s="1058" customFormat="1" ht="30" x14ac:dyDescent="0.25">
      <c r="A181" s="1656" t="s">
        <v>5482</v>
      </c>
      <c r="B181" s="1633" t="s">
        <v>8310</v>
      </c>
      <c r="C181" s="1656" t="s">
        <v>5424</v>
      </c>
      <c r="D181" s="1719">
        <f>+APUS!H6335</f>
        <v>987105</v>
      </c>
      <c r="E181" s="1656" t="s">
        <v>8672</v>
      </c>
    </row>
    <row r="182" spans="1:5" s="1058" customFormat="1" x14ac:dyDescent="0.25">
      <c r="A182" s="1656" t="s">
        <v>5482</v>
      </c>
      <c r="B182" s="1633" t="s">
        <v>8311</v>
      </c>
      <c r="C182" s="1656" t="s">
        <v>5424</v>
      </c>
      <c r="D182" s="1719">
        <f>+APUS!H6384</f>
        <v>13880099</v>
      </c>
      <c r="E182" s="1656" t="s">
        <v>8673</v>
      </c>
    </row>
    <row r="183" spans="1:5" s="1058" customFormat="1" ht="30" x14ac:dyDescent="0.25">
      <c r="A183" s="1656" t="s">
        <v>5482</v>
      </c>
      <c r="B183" s="1633" t="s">
        <v>8312</v>
      </c>
      <c r="C183" s="1656" t="s">
        <v>5424</v>
      </c>
      <c r="D183" s="1719">
        <f>+APUS!H6433</f>
        <v>8921430</v>
      </c>
      <c r="E183" s="1656" t="s">
        <v>8674</v>
      </c>
    </row>
    <row r="184" spans="1:5" s="1058" customFormat="1" x14ac:dyDescent="0.25">
      <c r="A184" s="1656" t="s">
        <v>5482</v>
      </c>
      <c r="B184" s="1633" t="s">
        <v>8313</v>
      </c>
      <c r="C184" s="1656" t="s">
        <v>5424</v>
      </c>
      <c r="D184" s="1719">
        <f>+APUS!H6482</f>
        <v>20954054</v>
      </c>
      <c r="E184" s="1656" t="s">
        <v>8675</v>
      </c>
    </row>
    <row r="185" spans="1:5" ht="30" x14ac:dyDescent="0.25">
      <c r="A185" s="1656" t="s">
        <v>3</v>
      </c>
      <c r="B185" s="1633" t="s">
        <v>9406</v>
      </c>
      <c r="C185" s="1656" t="s">
        <v>5402</v>
      </c>
      <c r="D185" s="1719">
        <f>+APUS!H6932</f>
        <v>4389521</v>
      </c>
      <c r="E185" s="1656">
        <v>7.2</v>
      </c>
    </row>
    <row r="186" spans="1:5" s="1637" customFormat="1" x14ac:dyDescent="0.25">
      <c r="A186" s="1656"/>
      <c r="B186" s="1444"/>
      <c r="C186" s="1656"/>
      <c r="D186" s="1719"/>
      <c r="E186" s="1656"/>
    </row>
    <row r="187" spans="1:5" x14ac:dyDescent="0.25">
      <c r="A187" s="1656"/>
      <c r="B187" s="802" t="s">
        <v>6450</v>
      </c>
      <c r="C187" s="1656"/>
      <c r="D187" s="1719"/>
      <c r="E187" s="1656"/>
    </row>
    <row r="188" spans="1:5" x14ac:dyDescent="0.25">
      <c r="A188" s="1656" t="s">
        <v>5482</v>
      </c>
      <c r="B188" s="1444" t="s">
        <v>6419</v>
      </c>
      <c r="C188" s="1656" t="s">
        <v>5424</v>
      </c>
      <c r="D188" s="1719">
        <f>+APUS!H5424</f>
        <v>2544608</v>
      </c>
      <c r="E188" s="1656">
        <v>8.1</v>
      </c>
    </row>
    <row r="189" spans="1:5" s="1058" customFormat="1" x14ac:dyDescent="0.25">
      <c r="A189" s="1656" t="s">
        <v>3</v>
      </c>
      <c r="B189" s="1444" t="s">
        <v>9379</v>
      </c>
      <c r="C189" s="1656" t="s">
        <v>5944</v>
      </c>
      <c r="D189" s="1719">
        <f>+APUS!H5471</f>
        <v>12022</v>
      </c>
      <c r="E189" s="1656">
        <v>8.1999999999999993</v>
      </c>
    </row>
    <row r="190" spans="1:5" s="1522" customFormat="1" x14ac:dyDescent="0.25">
      <c r="A190" s="1656"/>
      <c r="B190" s="1444"/>
      <c r="C190" s="1656"/>
      <c r="D190" s="1719"/>
      <c r="E190" s="1656"/>
    </row>
    <row r="191" spans="1:5" x14ac:dyDescent="0.25">
      <c r="A191" s="1656"/>
      <c r="B191" s="802" t="s">
        <v>8984</v>
      </c>
      <c r="C191" s="1656"/>
      <c r="D191" s="1719"/>
      <c r="E191" s="1656">
        <v>9</v>
      </c>
    </row>
    <row r="192" spans="1:5" x14ac:dyDescent="0.25">
      <c r="A192" s="1656" t="s">
        <v>3</v>
      </c>
      <c r="B192" s="1633" t="s">
        <v>8259</v>
      </c>
      <c r="C192" s="1656" t="s">
        <v>7957</v>
      </c>
      <c r="D192" s="1719">
        <f>+APUS!H6631</f>
        <v>30661.317999999999</v>
      </c>
      <c r="E192" s="1656">
        <v>9.1</v>
      </c>
    </row>
    <row r="193" spans="1:6" x14ac:dyDescent="0.25">
      <c r="A193" s="1656" t="s">
        <v>3</v>
      </c>
      <c r="B193" s="1633" t="s">
        <v>8261</v>
      </c>
      <c r="C193" s="1656" t="s">
        <v>7957</v>
      </c>
      <c r="D193" s="1719">
        <f>+APUS!H6681</f>
        <v>120595.83426000002</v>
      </c>
      <c r="E193" s="1656">
        <v>9.1999999999999993</v>
      </c>
    </row>
    <row r="194" spans="1:6" x14ac:dyDescent="0.25">
      <c r="A194" s="1656" t="s">
        <v>3</v>
      </c>
      <c r="B194" s="1633" t="s">
        <v>8262</v>
      </c>
      <c r="C194" s="1656" t="s">
        <v>7957</v>
      </c>
      <c r="D194" s="1719">
        <f>+APUS!H6730</f>
        <v>6299</v>
      </c>
      <c r="E194" s="1656">
        <v>9.3000000000000007</v>
      </c>
    </row>
    <row r="195" spans="1:6" x14ac:dyDescent="0.25">
      <c r="A195" s="1656" t="s">
        <v>3</v>
      </c>
      <c r="B195" s="1633" t="s">
        <v>8263</v>
      </c>
      <c r="C195" s="1656" t="s">
        <v>7957</v>
      </c>
      <c r="D195" s="1719">
        <f>+APUS!H6781</f>
        <v>315172</v>
      </c>
      <c r="E195" s="1656">
        <v>9.4</v>
      </c>
    </row>
    <row r="196" spans="1:6" x14ac:dyDescent="0.25">
      <c r="A196" s="1656" t="s">
        <v>3</v>
      </c>
      <c r="B196" s="1633" t="s">
        <v>8264</v>
      </c>
      <c r="C196" s="1656" t="s">
        <v>5402</v>
      </c>
      <c r="D196" s="1719">
        <f>+APUS!H6832</f>
        <v>19408</v>
      </c>
      <c r="E196" s="1656">
        <v>9.5</v>
      </c>
    </row>
    <row r="197" spans="1:6" x14ac:dyDescent="0.25">
      <c r="A197" s="1656" t="s">
        <v>3</v>
      </c>
      <c r="B197" s="1633" t="s">
        <v>8260</v>
      </c>
      <c r="C197" s="1656" t="s">
        <v>5475</v>
      </c>
      <c r="D197" s="1719">
        <v>650000</v>
      </c>
      <c r="E197" s="1656">
        <v>9.6</v>
      </c>
    </row>
    <row r="198" spans="1:6" x14ac:dyDescent="0.25">
      <c r="A198" s="1656" t="s">
        <v>3</v>
      </c>
      <c r="B198" s="1633" t="s">
        <v>8265</v>
      </c>
      <c r="C198" s="1656" t="s">
        <v>5475</v>
      </c>
      <c r="D198" s="1719">
        <v>5000000</v>
      </c>
      <c r="E198" s="1656">
        <v>9.6999999999999993</v>
      </c>
    </row>
    <row r="199" spans="1:6" ht="16.5" x14ac:dyDescent="0.25">
      <c r="A199" s="1656" t="s">
        <v>3</v>
      </c>
      <c r="B199" s="1100" t="s">
        <v>8258</v>
      </c>
      <c r="C199" s="1656" t="s">
        <v>8954</v>
      </c>
      <c r="D199" s="1719">
        <v>10000000</v>
      </c>
      <c r="E199" s="1656">
        <v>9.8000000000000007</v>
      </c>
    </row>
    <row r="200" spans="1:6" x14ac:dyDescent="0.25">
      <c r="A200" s="1656"/>
      <c r="B200" s="1444"/>
      <c r="C200" s="1656"/>
      <c r="D200" s="1719"/>
      <c r="E200" s="1656"/>
    </row>
    <row r="201" spans="1:6" x14ac:dyDescent="0.25">
      <c r="A201" s="1656"/>
      <c r="B201" s="802" t="s">
        <v>9414</v>
      </c>
      <c r="C201" s="1656"/>
      <c r="D201" s="1719"/>
      <c r="E201" s="1656"/>
    </row>
    <row r="202" spans="1:6" x14ac:dyDescent="0.25">
      <c r="A202" s="1656" t="s">
        <v>3</v>
      </c>
      <c r="B202" s="1633" t="s">
        <v>8176</v>
      </c>
      <c r="C202" s="1656" t="s">
        <v>5424</v>
      </c>
      <c r="D202" s="1719">
        <f>+'APU ELECTRICOS'!H50</f>
        <v>850000</v>
      </c>
      <c r="E202" s="1656">
        <v>10.199999999999999</v>
      </c>
    </row>
    <row r="203" spans="1:6" x14ac:dyDescent="0.25">
      <c r="A203" s="1656" t="s">
        <v>3</v>
      </c>
      <c r="B203" s="1633" t="s">
        <v>8177</v>
      </c>
      <c r="C203" s="1656" t="s">
        <v>5424</v>
      </c>
      <c r="D203" s="1719">
        <f>+'APU ELECTRICOS'!H100</f>
        <v>637302</v>
      </c>
      <c r="E203" s="1656">
        <v>10.3</v>
      </c>
    </row>
    <row r="204" spans="1:6" x14ac:dyDescent="0.25">
      <c r="A204" s="1656" t="s">
        <v>3</v>
      </c>
      <c r="B204" s="1633" t="s">
        <v>9416</v>
      </c>
      <c r="C204" s="1656" t="s">
        <v>5734</v>
      </c>
      <c r="D204" s="1719">
        <f>+'APU ELECTRICOS'!H150</f>
        <v>655232</v>
      </c>
      <c r="E204" s="1656">
        <v>10.4</v>
      </c>
    </row>
    <row r="205" spans="1:6" x14ac:dyDescent="0.25">
      <c r="A205" s="1656" t="s">
        <v>3</v>
      </c>
      <c r="B205" s="1633" t="s">
        <v>8178</v>
      </c>
      <c r="C205" s="1656" t="s">
        <v>5734</v>
      </c>
      <c r="D205" s="1719">
        <f>+'APU ELECTRICOS'!H200</f>
        <v>238300</v>
      </c>
      <c r="E205" s="1656">
        <v>10.5</v>
      </c>
    </row>
    <row r="206" spans="1:6" x14ac:dyDescent="0.25">
      <c r="A206" s="1656" t="s">
        <v>3</v>
      </c>
      <c r="B206" s="1633" t="s">
        <v>8179</v>
      </c>
      <c r="C206" s="1656" t="s">
        <v>9653</v>
      </c>
      <c r="D206" s="1719">
        <f>+'APU ELECTRICOS'!H250</f>
        <v>1800530</v>
      </c>
      <c r="E206" s="1656">
        <v>10.6</v>
      </c>
    </row>
    <row r="207" spans="1:6" x14ac:dyDescent="0.25">
      <c r="A207" s="1656" t="s">
        <v>3</v>
      </c>
      <c r="B207" s="1633" t="s">
        <v>8180</v>
      </c>
      <c r="C207" s="1798" t="s">
        <v>9653</v>
      </c>
      <c r="D207" s="1719">
        <f>+'APU ELECTRICOS'!H300</f>
        <v>2476911</v>
      </c>
      <c r="E207" s="1656">
        <v>10.7</v>
      </c>
    </row>
    <row r="208" spans="1:6" ht="45" x14ac:dyDescent="0.25">
      <c r="A208" s="1656" t="s">
        <v>3</v>
      </c>
      <c r="B208" s="1633" t="s">
        <v>9751</v>
      </c>
      <c r="C208" s="1656" t="s">
        <v>5460</v>
      </c>
      <c r="D208" s="1719">
        <f>30544500*1.19</f>
        <v>36347955</v>
      </c>
      <c r="E208" s="1656">
        <v>10.8</v>
      </c>
      <c r="F208" s="1948" t="s">
        <v>9750</v>
      </c>
    </row>
    <row r="209" spans="1:6" ht="45" x14ac:dyDescent="0.25">
      <c r="A209" s="1656" t="s">
        <v>3</v>
      </c>
      <c r="B209" s="1633" t="s">
        <v>9752</v>
      </c>
      <c r="C209" s="1656" t="s">
        <v>5460</v>
      </c>
      <c r="D209" s="1719">
        <f>53829000*1.19</f>
        <v>64056510</v>
      </c>
      <c r="E209" s="1656">
        <v>10.9</v>
      </c>
      <c r="F209" s="1948" t="s">
        <v>9750</v>
      </c>
    </row>
    <row r="210" spans="1:6" ht="68.25" customHeight="1" x14ac:dyDescent="0.25">
      <c r="A210" s="2049" t="s">
        <v>3</v>
      </c>
      <c r="B210" s="2050" t="s">
        <v>8182</v>
      </c>
      <c r="C210" s="2049" t="s">
        <v>5460</v>
      </c>
      <c r="D210" s="2051">
        <f>+'APU ELECTRICOS'!H477</f>
        <v>29747521</v>
      </c>
      <c r="E210" s="2049">
        <v>10.099999999999998</v>
      </c>
    </row>
    <row r="211" spans="1:6" x14ac:dyDescent="0.25">
      <c r="A211" s="1656" t="s">
        <v>3</v>
      </c>
      <c r="B211" s="1633" t="s">
        <v>8183</v>
      </c>
      <c r="C211" s="1656" t="s">
        <v>5734</v>
      </c>
      <c r="D211" s="1719">
        <f>+'APU ELECTRICOS'!H527</f>
        <v>238300</v>
      </c>
      <c r="E211" s="1656">
        <v>10.109999999999998</v>
      </c>
    </row>
    <row r="212" spans="1:6" ht="30" x14ac:dyDescent="0.25">
      <c r="A212" s="1656" t="s">
        <v>3</v>
      </c>
      <c r="B212" s="1633" t="s">
        <v>8185</v>
      </c>
      <c r="C212" s="1656" t="s">
        <v>5424</v>
      </c>
      <c r="D212" s="1719">
        <f>+'APU ELECTRICOS'!H577</f>
        <v>86319435</v>
      </c>
      <c r="E212" s="1656">
        <v>10.109999999999998</v>
      </c>
    </row>
    <row r="213" spans="1:6" ht="30" x14ac:dyDescent="0.25">
      <c r="A213" s="1656" t="s">
        <v>3</v>
      </c>
      <c r="B213" s="1633" t="s">
        <v>8186</v>
      </c>
      <c r="C213" s="1656" t="s">
        <v>5424</v>
      </c>
      <c r="D213" s="1719">
        <f>+'APU ELECTRICOS'!H627</f>
        <v>99314235</v>
      </c>
      <c r="E213" s="1656">
        <v>10.129999999999997</v>
      </c>
    </row>
    <row r="214" spans="1:6" x14ac:dyDescent="0.25">
      <c r="A214" s="1656" t="s">
        <v>3</v>
      </c>
      <c r="B214" s="1637" t="s">
        <v>9601</v>
      </c>
      <c r="C214" s="1656" t="s">
        <v>5460</v>
      </c>
      <c r="D214" s="1719">
        <f>+'APU ELECTRICOS'!H677</f>
        <v>248975204</v>
      </c>
      <c r="E214" s="1656">
        <v>10.139999999999997</v>
      </c>
    </row>
    <row r="215" spans="1:6" ht="30" x14ac:dyDescent="0.25">
      <c r="A215" s="1656" t="s">
        <v>3</v>
      </c>
      <c r="B215" s="1633" t="s">
        <v>8257</v>
      </c>
      <c r="C215" s="1656" t="s">
        <v>5460</v>
      </c>
      <c r="D215" s="1719">
        <f>+'APU ELECTRICOS'!H727</f>
        <v>45442797</v>
      </c>
      <c r="E215" s="1656">
        <v>10.149999999999997</v>
      </c>
    </row>
    <row r="216" spans="1:6" ht="30" x14ac:dyDescent="0.25">
      <c r="A216" s="1656" t="s">
        <v>3</v>
      </c>
      <c r="B216" s="1633" t="s">
        <v>8188</v>
      </c>
      <c r="C216" s="1656" t="s">
        <v>5424</v>
      </c>
      <c r="D216" s="1719">
        <f>+'APU ELECTRICOS'!H777</f>
        <v>1033852</v>
      </c>
      <c r="E216" s="1656">
        <v>10.159999999999997</v>
      </c>
    </row>
    <row r="217" spans="1:6" x14ac:dyDescent="0.25">
      <c r="A217" s="1656" t="s">
        <v>3</v>
      </c>
      <c r="B217" s="1633" t="s">
        <v>8189</v>
      </c>
      <c r="C217" s="1656" t="s">
        <v>5424</v>
      </c>
      <c r="D217" s="1719">
        <f>+'APU ELECTRICOS'!H827</f>
        <v>897952</v>
      </c>
      <c r="E217" s="1656">
        <v>10.169999999999996</v>
      </c>
    </row>
    <row r="218" spans="1:6" x14ac:dyDescent="0.25">
      <c r="A218" s="1656" t="s">
        <v>3</v>
      </c>
      <c r="B218" s="1633" t="s">
        <v>8193</v>
      </c>
      <c r="C218" s="1656" t="s">
        <v>5734</v>
      </c>
      <c r="D218" s="1719">
        <f>+'APU ELECTRICOS'!H877</f>
        <v>856468</v>
      </c>
      <c r="E218" s="1656">
        <v>10.179999999999996</v>
      </c>
    </row>
    <row r="219" spans="1:6" x14ac:dyDescent="0.25">
      <c r="A219" s="1656" t="s">
        <v>3</v>
      </c>
      <c r="B219" s="1633" t="s">
        <v>8194</v>
      </c>
      <c r="C219" s="1656" t="s">
        <v>5734</v>
      </c>
      <c r="D219" s="1719">
        <f>+'APU ELECTRICOS'!H927</f>
        <v>628622</v>
      </c>
      <c r="E219" s="1656">
        <v>10.189999999999996</v>
      </c>
    </row>
    <row r="220" spans="1:6" x14ac:dyDescent="0.25">
      <c r="A220" s="1656" t="s">
        <v>3</v>
      </c>
      <c r="B220" s="1633" t="s">
        <v>8195</v>
      </c>
      <c r="C220" s="1656" t="s">
        <v>5734</v>
      </c>
      <c r="D220" s="1719">
        <f>+'APU ELECTRICOS'!H977</f>
        <v>832848</v>
      </c>
      <c r="E220" s="1656" t="s">
        <v>9415</v>
      </c>
    </row>
    <row r="221" spans="1:6" ht="30" x14ac:dyDescent="0.25">
      <c r="A221" s="1656" t="s">
        <v>3</v>
      </c>
      <c r="B221" s="1633" t="s">
        <v>9410</v>
      </c>
      <c r="C221" s="1656" t="s">
        <v>5734</v>
      </c>
      <c r="D221" s="1719">
        <f>+'APU ELECTRICOS'!H3851</f>
        <v>1788593</v>
      </c>
      <c r="E221" s="1656">
        <v>10.210000000000001</v>
      </c>
    </row>
    <row r="222" spans="1:6" x14ac:dyDescent="0.25">
      <c r="A222" s="1656" t="s">
        <v>3</v>
      </c>
      <c r="B222" s="1633" t="s">
        <v>9411</v>
      </c>
      <c r="C222" s="1656" t="s">
        <v>5734</v>
      </c>
      <c r="D222" s="1719">
        <f>+'APU ELECTRICOS'!H3901</f>
        <v>1211083</v>
      </c>
      <c r="E222" s="1656">
        <v>10.220000000000001</v>
      </c>
    </row>
    <row r="223" spans="1:6" x14ac:dyDescent="0.25">
      <c r="A223" s="1656" t="s">
        <v>3</v>
      </c>
      <c r="B223" s="1633" t="s">
        <v>9412</v>
      </c>
      <c r="C223" s="1656" t="s">
        <v>5734</v>
      </c>
      <c r="D223" s="1719">
        <f>+'APU ELECTRICOS'!H3951</f>
        <v>1211083</v>
      </c>
      <c r="E223" s="1656">
        <v>10.23</v>
      </c>
    </row>
    <row r="224" spans="1:6" x14ac:dyDescent="0.25">
      <c r="A224" s="1656" t="s">
        <v>3</v>
      </c>
      <c r="B224" s="1633" t="s">
        <v>9413</v>
      </c>
      <c r="C224" s="1656" t="s">
        <v>5734</v>
      </c>
      <c r="D224" s="1719">
        <f>+'APU ELECTRICOS'!H4001</f>
        <v>1211083</v>
      </c>
      <c r="E224" s="1656">
        <v>10.24</v>
      </c>
    </row>
    <row r="225" spans="1:5" ht="30" x14ac:dyDescent="0.25">
      <c r="A225" s="1656" t="s">
        <v>3</v>
      </c>
      <c r="B225" s="1633" t="s">
        <v>8196</v>
      </c>
      <c r="C225" s="1656" t="s">
        <v>5734</v>
      </c>
      <c r="D225" s="1719">
        <f>+'APU ELECTRICOS'!H1027</f>
        <v>1493860</v>
      </c>
      <c r="E225" s="1656">
        <v>10.25</v>
      </c>
    </row>
    <row r="226" spans="1:5" x14ac:dyDescent="0.25">
      <c r="A226" s="1656" t="s">
        <v>3</v>
      </c>
      <c r="B226" s="1633" t="s">
        <v>8197</v>
      </c>
      <c r="C226" s="1656" t="s">
        <v>5734</v>
      </c>
      <c r="D226" s="1719">
        <f>+'APU ELECTRICOS'!H1077</f>
        <v>65332</v>
      </c>
      <c r="E226" s="1656">
        <v>10.26</v>
      </c>
    </row>
    <row r="227" spans="1:5" x14ac:dyDescent="0.25">
      <c r="A227" s="1656" t="s">
        <v>3</v>
      </c>
      <c r="B227" s="1633" t="s">
        <v>8198</v>
      </c>
      <c r="C227" s="1656" t="s">
        <v>5734</v>
      </c>
      <c r="D227" s="1719">
        <f>+'APU ELECTRICOS'!H1127</f>
        <v>65332</v>
      </c>
      <c r="E227" s="1656">
        <v>10.27</v>
      </c>
    </row>
    <row r="228" spans="1:5" x14ac:dyDescent="0.25">
      <c r="A228" s="1656" t="s">
        <v>3</v>
      </c>
      <c r="B228" s="1633" t="s">
        <v>8199</v>
      </c>
      <c r="C228" s="1656" t="s">
        <v>5734</v>
      </c>
      <c r="D228" s="1719">
        <f>+'APU ELECTRICOS'!H1177</f>
        <v>65332</v>
      </c>
      <c r="E228" s="1656">
        <v>10.28</v>
      </c>
    </row>
    <row r="229" spans="1:5" ht="30" x14ac:dyDescent="0.25">
      <c r="A229" s="1656" t="s">
        <v>3</v>
      </c>
      <c r="B229" s="1633" t="s">
        <v>8200</v>
      </c>
      <c r="C229" s="1656" t="s">
        <v>5734</v>
      </c>
      <c r="D229" s="1719">
        <f>+'APU ELECTRICOS'!H1227</f>
        <v>60426</v>
      </c>
      <c r="E229" s="1656">
        <v>10.29</v>
      </c>
    </row>
    <row r="230" spans="1:5" ht="30" x14ac:dyDescent="0.25">
      <c r="A230" s="1656" t="s">
        <v>3</v>
      </c>
      <c r="B230" s="1633" t="s">
        <v>8201</v>
      </c>
      <c r="C230" s="1656" t="s">
        <v>5734</v>
      </c>
      <c r="D230" s="1719">
        <f>+'APU ELECTRICOS'!H1277</f>
        <v>68718</v>
      </c>
      <c r="E230" s="1656">
        <v>10.3</v>
      </c>
    </row>
    <row r="231" spans="1:5" ht="30" x14ac:dyDescent="0.25">
      <c r="A231" s="1656" t="s">
        <v>3</v>
      </c>
      <c r="B231" s="1633" t="s">
        <v>8202</v>
      </c>
      <c r="C231" s="1656" t="s">
        <v>5734</v>
      </c>
      <c r="D231" s="1719">
        <f>+'APU ELECTRICOS'!H1327</f>
        <v>25139</v>
      </c>
      <c r="E231" s="1656">
        <v>10.31</v>
      </c>
    </row>
    <row r="232" spans="1:5" x14ac:dyDescent="0.25">
      <c r="A232" s="1656" t="s">
        <v>3</v>
      </c>
      <c r="B232" s="1633" t="s">
        <v>8203</v>
      </c>
      <c r="C232" s="1656" t="s">
        <v>5734</v>
      </c>
      <c r="D232" s="1719">
        <f>+'APU ELECTRICOS'!H1377</f>
        <v>59198</v>
      </c>
      <c r="E232" s="1656">
        <v>10.32</v>
      </c>
    </row>
    <row r="233" spans="1:5" x14ac:dyDescent="0.25">
      <c r="A233" s="1656" t="s">
        <v>3</v>
      </c>
      <c r="B233" s="1633" t="s">
        <v>8204</v>
      </c>
      <c r="C233" s="1656" t="s">
        <v>5734</v>
      </c>
      <c r="D233" s="1719">
        <f>+'APU ELECTRICOS'!H1427</f>
        <v>597688</v>
      </c>
      <c r="E233" s="1656">
        <v>10.33</v>
      </c>
    </row>
    <row r="234" spans="1:5" x14ac:dyDescent="0.25">
      <c r="A234" s="1656" t="s">
        <v>3</v>
      </c>
      <c r="B234" s="1633" t="s">
        <v>8205</v>
      </c>
      <c r="C234" s="1656" t="s">
        <v>5734</v>
      </c>
      <c r="D234" s="1719">
        <f>+'APU ELECTRICOS'!H1477</f>
        <v>597688</v>
      </c>
      <c r="E234" s="1656">
        <v>10.34</v>
      </c>
    </row>
    <row r="235" spans="1:5" x14ac:dyDescent="0.25">
      <c r="A235" s="1656" t="s">
        <v>3</v>
      </c>
      <c r="B235" s="1633" t="s">
        <v>8206</v>
      </c>
      <c r="C235" s="1656" t="s">
        <v>5734</v>
      </c>
      <c r="D235" s="1719">
        <f>+'APU ELECTRICOS'!H1527</f>
        <v>597688</v>
      </c>
      <c r="E235" s="1656">
        <v>10.35</v>
      </c>
    </row>
    <row r="236" spans="1:5" x14ac:dyDescent="0.25">
      <c r="A236" s="1656" t="s">
        <v>3</v>
      </c>
      <c r="B236" s="1633" t="s">
        <v>8207</v>
      </c>
      <c r="C236" s="1656" t="s">
        <v>5734</v>
      </c>
      <c r="D236" s="1719">
        <f>+'APU ELECTRICOS'!H1577</f>
        <v>597688</v>
      </c>
      <c r="E236" s="1656">
        <v>10.36</v>
      </c>
    </row>
    <row r="237" spans="1:5" x14ac:dyDescent="0.25">
      <c r="A237" s="1656" t="s">
        <v>3</v>
      </c>
      <c r="B237" s="1633" t="s">
        <v>8208</v>
      </c>
      <c r="C237" s="1656" t="s">
        <v>5734</v>
      </c>
      <c r="D237" s="1719">
        <f>+'APU ELECTRICOS'!H1627</f>
        <v>597688</v>
      </c>
      <c r="E237" s="1656">
        <v>10.37</v>
      </c>
    </row>
    <row r="238" spans="1:5" x14ac:dyDescent="0.25">
      <c r="A238" s="1656" t="s">
        <v>3</v>
      </c>
      <c r="B238" s="1633" t="s">
        <v>8209</v>
      </c>
      <c r="C238" s="1656" t="s">
        <v>5734</v>
      </c>
      <c r="D238" s="1719">
        <f>+'APU ELECTRICOS'!H1677</f>
        <v>67518</v>
      </c>
      <c r="E238" s="1656">
        <v>10.38</v>
      </c>
    </row>
    <row r="239" spans="1:5" x14ac:dyDescent="0.25">
      <c r="A239" s="1656" t="s">
        <v>3</v>
      </c>
      <c r="B239" s="1633" t="s">
        <v>8210</v>
      </c>
      <c r="C239" s="1656" t="s">
        <v>5734</v>
      </c>
      <c r="D239" s="1719">
        <f>+'APU ELECTRICOS'!H1727</f>
        <v>67518</v>
      </c>
      <c r="E239" s="1656">
        <v>10.39</v>
      </c>
    </row>
    <row r="240" spans="1:5" x14ac:dyDescent="0.25">
      <c r="A240" s="1656" t="s">
        <v>3</v>
      </c>
      <c r="B240" s="1633" t="s">
        <v>8212</v>
      </c>
      <c r="C240" s="1656" t="s">
        <v>5424</v>
      </c>
      <c r="D240" s="1719">
        <f>+'APU ELECTRICOS'!H1777</f>
        <v>1341702</v>
      </c>
      <c r="E240" s="1656">
        <v>10.4</v>
      </c>
    </row>
    <row r="241" spans="1:5" x14ac:dyDescent="0.25">
      <c r="A241" s="1656" t="s">
        <v>3</v>
      </c>
      <c r="B241" s="1633" t="s">
        <v>8213</v>
      </c>
      <c r="C241" s="1656" t="s">
        <v>5424</v>
      </c>
      <c r="D241" s="1719">
        <f>+'APU ELECTRICOS'!H1827</f>
        <v>904767</v>
      </c>
      <c r="E241" s="1656">
        <v>10.41</v>
      </c>
    </row>
    <row r="242" spans="1:5" x14ac:dyDescent="0.25">
      <c r="A242" s="1656" t="s">
        <v>3</v>
      </c>
      <c r="B242" s="1633" t="s">
        <v>8214</v>
      </c>
      <c r="C242" s="1656" t="s">
        <v>5424</v>
      </c>
      <c r="D242" s="1719">
        <f>+'APU ELECTRICOS'!H1877</f>
        <v>684217</v>
      </c>
      <c r="E242" s="1656">
        <v>10.42</v>
      </c>
    </row>
    <row r="243" spans="1:5" x14ac:dyDescent="0.25">
      <c r="A243" s="1656" t="s">
        <v>3</v>
      </c>
      <c r="B243" s="1633" t="s">
        <v>8215</v>
      </c>
      <c r="C243" s="1656" t="s">
        <v>5424</v>
      </c>
      <c r="D243" s="1719">
        <f>+'APU ELECTRICOS'!H1927</f>
        <v>2427367</v>
      </c>
      <c r="E243" s="1656">
        <v>10.43</v>
      </c>
    </row>
    <row r="244" spans="1:5" x14ac:dyDescent="0.25">
      <c r="A244" s="1656" t="s">
        <v>3</v>
      </c>
      <c r="B244" s="1633" t="s">
        <v>8216</v>
      </c>
      <c r="C244" s="1656" t="s">
        <v>5734</v>
      </c>
      <c r="D244" s="1719">
        <f>+'APU ELECTRICOS'!H1977</f>
        <v>1147115</v>
      </c>
      <c r="E244" s="1656">
        <v>10.44</v>
      </c>
    </row>
    <row r="245" spans="1:5" x14ac:dyDescent="0.25">
      <c r="A245" s="1656" t="s">
        <v>3</v>
      </c>
      <c r="B245" s="1633" t="s">
        <v>8217</v>
      </c>
      <c r="C245" s="1656" t="s">
        <v>5734</v>
      </c>
      <c r="D245" s="1719">
        <f>+'APU ELECTRICOS'!H2027</f>
        <v>151295</v>
      </c>
      <c r="E245" s="1656">
        <v>10.45</v>
      </c>
    </row>
    <row r="246" spans="1:5" x14ac:dyDescent="0.25">
      <c r="A246" s="1656" t="s">
        <v>3</v>
      </c>
      <c r="B246" s="1633" t="s">
        <v>8218</v>
      </c>
      <c r="C246" s="1656" t="s">
        <v>5734</v>
      </c>
      <c r="D246" s="1719">
        <f>+'APU ELECTRICOS'!H2077</f>
        <v>183302</v>
      </c>
      <c r="E246" s="1656">
        <v>10.46</v>
      </c>
    </row>
    <row r="247" spans="1:5" x14ac:dyDescent="0.25">
      <c r="A247" s="1656" t="s">
        <v>3</v>
      </c>
      <c r="B247" s="1633" t="s">
        <v>8219</v>
      </c>
      <c r="C247" s="1656" t="s">
        <v>5734</v>
      </c>
      <c r="D247" s="1719">
        <f>+'APU ELECTRICOS'!H2127</f>
        <v>113943</v>
      </c>
      <c r="E247" s="1656">
        <v>10.47</v>
      </c>
    </row>
    <row r="248" spans="1:5" x14ac:dyDescent="0.25">
      <c r="A248" s="1656" t="s">
        <v>3</v>
      </c>
      <c r="B248" s="1633" t="s">
        <v>8220</v>
      </c>
      <c r="C248" s="1656" t="s">
        <v>5734</v>
      </c>
      <c r="D248" s="1719">
        <f>+'APU ELECTRICOS'!H2177</f>
        <v>165857</v>
      </c>
      <c r="E248" s="1656">
        <v>10.48</v>
      </c>
    </row>
    <row r="249" spans="1:5" x14ac:dyDescent="0.25">
      <c r="A249" s="1656" t="s">
        <v>3</v>
      </c>
      <c r="B249" s="1633" t="s">
        <v>8221</v>
      </c>
      <c r="C249" s="1656" t="s">
        <v>5734</v>
      </c>
      <c r="D249" s="1719">
        <f>+'APU ELECTRICOS'!H2227</f>
        <v>114557</v>
      </c>
      <c r="E249" s="1656">
        <v>10.49</v>
      </c>
    </row>
    <row r="250" spans="1:5" x14ac:dyDescent="0.25">
      <c r="A250" s="1656" t="s">
        <v>3</v>
      </c>
      <c r="B250" s="1633" t="s">
        <v>8222</v>
      </c>
      <c r="C250" s="1656" t="s">
        <v>5734</v>
      </c>
      <c r="D250" s="1719">
        <f>+'APU ELECTRICOS'!H2277</f>
        <v>104117</v>
      </c>
      <c r="E250" s="1656">
        <v>10.5</v>
      </c>
    </row>
    <row r="251" spans="1:5" x14ac:dyDescent="0.25">
      <c r="A251" s="1656" t="s">
        <v>3</v>
      </c>
      <c r="B251" s="1633" t="s">
        <v>8223</v>
      </c>
      <c r="C251" s="1656" t="s">
        <v>5734</v>
      </c>
      <c r="D251" s="1719">
        <f>+'APU ELECTRICOS'!H2327</f>
        <v>124117</v>
      </c>
      <c r="E251" s="1656">
        <v>10.51</v>
      </c>
    </row>
    <row r="252" spans="1:5" x14ac:dyDescent="0.25">
      <c r="A252" s="1656" t="s">
        <v>3</v>
      </c>
      <c r="B252" s="1633" t="s">
        <v>8225</v>
      </c>
      <c r="C252" s="1656" t="s">
        <v>5424</v>
      </c>
      <c r="D252" s="1719">
        <f>+'APU ELECTRICOS'!H2377</f>
        <v>451600</v>
      </c>
      <c r="E252" s="1656">
        <v>10.52</v>
      </c>
    </row>
    <row r="253" spans="1:5" x14ac:dyDescent="0.25">
      <c r="A253" s="1656" t="s">
        <v>3</v>
      </c>
      <c r="B253" s="1633" t="s">
        <v>8226</v>
      </c>
      <c r="C253" s="1656" t="s">
        <v>5424</v>
      </c>
      <c r="D253" s="1719">
        <f>+'APU ELECTRICOS'!H2427</f>
        <v>787950</v>
      </c>
      <c r="E253" s="1656">
        <v>10.53</v>
      </c>
    </row>
    <row r="254" spans="1:5" x14ac:dyDescent="0.25">
      <c r="A254" s="1656" t="s">
        <v>3</v>
      </c>
      <c r="B254" s="1633" t="s">
        <v>8227</v>
      </c>
      <c r="C254" s="1656" t="s">
        <v>8238</v>
      </c>
      <c r="D254" s="1719">
        <f>+'APU ELECTRICOS'!H2477</f>
        <v>218371</v>
      </c>
      <c r="E254" s="1656">
        <v>10.54</v>
      </c>
    </row>
    <row r="255" spans="1:5" x14ac:dyDescent="0.25">
      <c r="A255" s="1656" t="s">
        <v>3</v>
      </c>
      <c r="B255" s="1633" t="s">
        <v>8228</v>
      </c>
      <c r="C255" s="1656" t="s">
        <v>5734</v>
      </c>
      <c r="D255" s="1719">
        <f>+'APU ELECTRICOS'!H2527</f>
        <v>8279</v>
      </c>
      <c r="E255" s="1656">
        <v>10.55</v>
      </c>
    </row>
    <row r="256" spans="1:5" x14ac:dyDescent="0.25">
      <c r="A256" s="1656" t="s">
        <v>3</v>
      </c>
      <c r="B256" s="1633" t="s">
        <v>8229</v>
      </c>
      <c r="C256" s="1656" t="s">
        <v>5734</v>
      </c>
      <c r="D256" s="1719">
        <f>+'APU ELECTRICOS'!H2577</f>
        <v>7100</v>
      </c>
      <c r="E256" s="1656">
        <v>10.56</v>
      </c>
    </row>
    <row r="257" spans="1:5" x14ac:dyDescent="0.25">
      <c r="A257" s="1656" t="s">
        <v>3</v>
      </c>
      <c r="B257" s="1633" t="s">
        <v>8230</v>
      </c>
      <c r="C257" s="1656" t="s">
        <v>5424</v>
      </c>
      <c r="D257" s="1719">
        <f>+'APU ELECTRICOS'!H2627</f>
        <v>123120</v>
      </c>
      <c r="E257" s="1656">
        <v>10.57</v>
      </c>
    </row>
    <row r="258" spans="1:5" x14ac:dyDescent="0.25">
      <c r="A258" s="1656" t="s">
        <v>3</v>
      </c>
      <c r="B258" s="1633" t="s">
        <v>8231</v>
      </c>
      <c r="C258" s="1656" t="s">
        <v>5424</v>
      </c>
      <c r="D258" s="1719">
        <f>+'APU ELECTRICOS'!H2677</f>
        <v>106220</v>
      </c>
      <c r="E258" s="1656">
        <v>10.58</v>
      </c>
    </row>
    <row r="259" spans="1:5" x14ac:dyDescent="0.25">
      <c r="A259" s="1656" t="s">
        <v>3</v>
      </c>
      <c r="B259" s="1633" t="s">
        <v>8232</v>
      </c>
      <c r="C259" s="1656" t="s">
        <v>5424</v>
      </c>
      <c r="D259" s="1719">
        <f>+'APU ELECTRICOS'!H2727</f>
        <v>239456</v>
      </c>
      <c r="E259" s="1656">
        <v>10.59</v>
      </c>
    </row>
    <row r="260" spans="1:5" x14ac:dyDescent="0.25">
      <c r="A260" s="1656" t="s">
        <v>3</v>
      </c>
      <c r="B260" s="1633" t="s">
        <v>8233</v>
      </c>
      <c r="C260" s="1656" t="s">
        <v>5424</v>
      </c>
      <c r="D260" s="1719">
        <f>+'APU ELECTRICOS'!H2777</f>
        <v>29643</v>
      </c>
      <c r="E260" s="1656">
        <v>10.6</v>
      </c>
    </row>
    <row r="261" spans="1:5" x14ac:dyDescent="0.25">
      <c r="A261" s="1656" t="s">
        <v>3</v>
      </c>
      <c r="B261" s="1633" t="s">
        <v>8234</v>
      </c>
      <c r="C261" s="1656" t="s">
        <v>5424</v>
      </c>
      <c r="D261" s="1719">
        <f>+'APU ELECTRICOS'!H2831</f>
        <v>94783</v>
      </c>
      <c r="E261" s="1656">
        <v>10.61</v>
      </c>
    </row>
    <row r="262" spans="1:5" x14ac:dyDescent="0.25">
      <c r="A262" s="1656" t="s">
        <v>3</v>
      </c>
      <c r="B262" s="1633" t="s">
        <v>8235</v>
      </c>
      <c r="C262" s="1656" t="s">
        <v>5424</v>
      </c>
      <c r="D262" s="1719">
        <f>+'APU ELECTRICOS'!H2881</f>
        <v>80715</v>
      </c>
      <c r="E262" s="1656">
        <v>10.62</v>
      </c>
    </row>
    <row r="263" spans="1:5" x14ac:dyDescent="0.25">
      <c r="A263" s="1656" t="s">
        <v>3</v>
      </c>
      <c r="B263" s="1633" t="s">
        <v>8236</v>
      </c>
      <c r="C263" s="1656" t="s">
        <v>5734</v>
      </c>
      <c r="D263" s="1719">
        <f>+'APU ELECTRICOS'!H2931</f>
        <v>24256</v>
      </c>
      <c r="E263" s="1656">
        <v>10.63</v>
      </c>
    </row>
    <row r="264" spans="1:5" x14ac:dyDescent="0.25">
      <c r="A264" s="1656" t="s">
        <v>3</v>
      </c>
      <c r="B264" s="1633" t="s">
        <v>8237</v>
      </c>
      <c r="C264" s="1656" t="s">
        <v>5734</v>
      </c>
      <c r="D264" s="1719">
        <f>+'APU ELECTRICOS'!H2981</f>
        <v>12498</v>
      </c>
      <c r="E264" s="1656">
        <v>10.64</v>
      </c>
    </row>
    <row r="265" spans="1:5" x14ac:dyDescent="0.25">
      <c r="A265" s="1656" t="s">
        <v>3</v>
      </c>
      <c r="B265" s="1633" t="s">
        <v>8240</v>
      </c>
      <c r="C265" s="1656" t="s">
        <v>5424</v>
      </c>
      <c r="D265" s="1719">
        <f>+'APU ELECTRICOS'!H3031</f>
        <v>146900</v>
      </c>
      <c r="E265" s="1656">
        <v>10.65</v>
      </c>
    </row>
    <row r="266" spans="1:5" x14ac:dyDescent="0.25">
      <c r="A266" s="1656" t="s">
        <v>3</v>
      </c>
      <c r="B266" s="1633" t="s">
        <v>8241</v>
      </c>
      <c r="C266" s="1656" t="s">
        <v>5424</v>
      </c>
      <c r="D266" s="1719">
        <f>+'APU ELECTRICOS'!H3081</f>
        <v>24990</v>
      </c>
      <c r="E266" s="1656">
        <v>10.66</v>
      </c>
    </row>
    <row r="267" spans="1:5" x14ac:dyDescent="0.25">
      <c r="A267" s="1656" t="s">
        <v>3</v>
      </c>
      <c r="B267" s="1633" t="s">
        <v>8242</v>
      </c>
      <c r="C267" s="1656" t="s">
        <v>5424</v>
      </c>
      <c r="D267" s="1719">
        <f>+'APU ELECTRICOS'!H3131</f>
        <v>33160</v>
      </c>
      <c r="E267" s="1656">
        <v>10.67</v>
      </c>
    </row>
    <row r="268" spans="1:5" x14ac:dyDescent="0.25">
      <c r="A268" s="1656" t="s">
        <v>3</v>
      </c>
      <c r="B268" s="1633" t="s">
        <v>8243</v>
      </c>
      <c r="C268" s="1656" t="s">
        <v>5424</v>
      </c>
      <c r="D268" s="1719">
        <f>+'APU ELECTRICOS'!H3181</f>
        <v>135350</v>
      </c>
      <c r="E268" s="1656">
        <v>10.68</v>
      </c>
    </row>
    <row r="269" spans="1:5" x14ac:dyDescent="0.25">
      <c r="A269" s="1656" t="s">
        <v>3</v>
      </c>
      <c r="B269" s="1633" t="s">
        <v>8244</v>
      </c>
      <c r="C269" s="1656" t="s">
        <v>5424</v>
      </c>
      <c r="D269" s="1719">
        <f>+'APU ELECTRICOS'!H3231</f>
        <v>137100</v>
      </c>
      <c r="E269" s="1656">
        <v>10.69</v>
      </c>
    </row>
    <row r="270" spans="1:5" x14ac:dyDescent="0.25">
      <c r="A270" s="1656" t="s">
        <v>3</v>
      </c>
      <c r="B270" s="1633" t="s">
        <v>8245</v>
      </c>
      <c r="C270" s="1656" t="s">
        <v>5424</v>
      </c>
      <c r="D270" s="1719">
        <f>+'APU ELECTRICOS'!H3281</f>
        <v>117520</v>
      </c>
      <c r="E270" s="1656">
        <v>10.7</v>
      </c>
    </row>
    <row r="271" spans="1:5" ht="135" x14ac:dyDescent="0.25">
      <c r="A271" s="1656" t="s">
        <v>3</v>
      </c>
      <c r="B271" s="1633" t="s">
        <v>9027</v>
      </c>
      <c r="C271" s="1882" t="s">
        <v>5460</v>
      </c>
      <c r="D271" s="1719">
        <f>+'APU ELECTRICOS'!H3341</f>
        <v>66606872</v>
      </c>
      <c r="E271" s="1656">
        <v>10.71</v>
      </c>
    </row>
    <row r="272" spans="1:5" x14ac:dyDescent="0.25">
      <c r="A272" s="1656" t="s">
        <v>3</v>
      </c>
      <c r="B272" s="1633" t="s">
        <v>8247</v>
      </c>
      <c r="C272" s="1656" t="s">
        <v>5734</v>
      </c>
      <c r="D272" s="1719">
        <f>+'APU ELECTRICOS'!H3391</f>
        <v>7885</v>
      </c>
      <c r="E272" s="1656">
        <v>10.72</v>
      </c>
    </row>
    <row r="273" spans="1:5" x14ac:dyDescent="0.25">
      <c r="A273" s="1656" t="s">
        <v>3</v>
      </c>
      <c r="B273" s="1633" t="s">
        <v>8248</v>
      </c>
      <c r="C273" s="1656" t="s">
        <v>5734</v>
      </c>
      <c r="D273" s="1719">
        <f>+'APU ELECTRICOS'!H3441</f>
        <v>12442</v>
      </c>
      <c r="E273" s="1656">
        <v>10.73</v>
      </c>
    </row>
    <row r="274" spans="1:5" x14ac:dyDescent="0.25">
      <c r="A274" s="1656" t="s">
        <v>3</v>
      </c>
      <c r="B274" s="1633" t="s">
        <v>8249</v>
      </c>
      <c r="C274" s="1656" t="s">
        <v>5734</v>
      </c>
      <c r="D274" s="1719">
        <f>+'APU ELECTRICOS'!H3491</f>
        <v>7778</v>
      </c>
      <c r="E274" s="1656">
        <v>10.74</v>
      </c>
    </row>
    <row r="275" spans="1:5" x14ac:dyDescent="0.25">
      <c r="A275" s="1656" t="s">
        <v>3</v>
      </c>
      <c r="B275" s="1633" t="s">
        <v>8250</v>
      </c>
      <c r="C275" s="1656" t="s">
        <v>5424</v>
      </c>
      <c r="D275" s="1719">
        <f>+'APU ELECTRICOS'!H3541</f>
        <v>10330</v>
      </c>
      <c r="E275" s="1656">
        <v>10.75</v>
      </c>
    </row>
    <row r="276" spans="1:5" x14ac:dyDescent="0.25">
      <c r="A276" s="1656" t="s">
        <v>3</v>
      </c>
      <c r="B276" s="1633" t="s">
        <v>8251</v>
      </c>
      <c r="C276" s="1656" t="s">
        <v>5734</v>
      </c>
      <c r="D276" s="1719">
        <f>+'APU ELECTRICOS'!H3591</f>
        <v>14852</v>
      </c>
      <c r="E276" s="1656">
        <v>10.76</v>
      </c>
    </row>
    <row r="277" spans="1:5" x14ac:dyDescent="0.25">
      <c r="A277" s="1656" t="s">
        <v>3</v>
      </c>
      <c r="B277" s="1633" t="s">
        <v>8252</v>
      </c>
      <c r="C277" s="1656" t="s">
        <v>5734</v>
      </c>
      <c r="D277" s="1719">
        <f>+'APU ELECTRICOS'!H3641</f>
        <v>7670</v>
      </c>
      <c r="E277" s="1656">
        <v>10.77</v>
      </c>
    </row>
    <row r="278" spans="1:5" x14ac:dyDescent="0.25">
      <c r="A278" s="1656" t="s">
        <v>3</v>
      </c>
      <c r="B278" s="1633" t="s">
        <v>8253</v>
      </c>
      <c r="C278" s="1656" t="s">
        <v>5424</v>
      </c>
      <c r="D278" s="1719">
        <f>+'APU ELECTRICOS'!H3691</f>
        <v>8409052</v>
      </c>
      <c r="E278" s="1656">
        <v>10.78</v>
      </c>
    </row>
    <row r="279" spans="1:5" x14ac:dyDescent="0.25">
      <c r="A279" s="1656" t="s">
        <v>3</v>
      </c>
      <c r="B279" s="1633" t="s">
        <v>8254</v>
      </c>
      <c r="C279" s="1656" t="s">
        <v>5424</v>
      </c>
      <c r="D279" s="1719">
        <f>+'APU ELECTRICOS'!H3741</f>
        <v>200300</v>
      </c>
      <c r="E279" s="1656">
        <v>10.79</v>
      </c>
    </row>
    <row r="280" spans="1:5" x14ac:dyDescent="0.25">
      <c r="A280" s="1656" t="s">
        <v>3</v>
      </c>
      <c r="B280" s="1633" t="s">
        <v>9028</v>
      </c>
      <c r="C280" s="1882" t="s">
        <v>5460</v>
      </c>
      <c r="D280" s="1719">
        <f>+'APU ELECTRICOS'!H3801</f>
        <v>141585000</v>
      </c>
      <c r="E280" s="1656">
        <v>10.8</v>
      </c>
    </row>
    <row r="281" spans="1:5" x14ac:dyDescent="0.25">
      <c r="A281" s="1656"/>
      <c r="B281" s="1444"/>
      <c r="C281" s="1656"/>
      <c r="D281" s="1719"/>
      <c r="E281" s="1656"/>
    </row>
    <row r="282" spans="1:5" x14ac:dyDescent="0.25">
      <c r="A282" s="1656"/>
      <c r="B282" s="802" t="s">
        <v>9380</v>
      </c>
      <c r="C282" s="1656"/>
      <c r="D282" s="1719"/>
      <c r="E282" s="1656"/>
    </row>
    <row r="283" spans="1:5" x14ac:dyDescent="0.25">
      <c r="A283" s="1656" t="s">
        <v>3</v>
      </c>
      <c r="B283" s="1720" t="s">
        <v>9365</v>
      </c>
      <c r="C283" s="1882" t="s">
        <v>5460</v>
      </c>
      <c r="D283" s="1716">
        <f>+APUS!H6983</f>
        <v>51134264</v>
      </c>
      <c r="E283" s="1656">
        <v>11.1</v>
      </c>
    </row>
    <row r="284" spans="1:5" x14ac:dyDescent="0.25">
      <c r="A284" s="1656" t="s">
        <v>3</v>
      </c>
      <c r="B284" s="1444" t="s">
        <v>9366</v>
      </c>
      <c r="C284" s="1882" t="s">
        <v>5460</v>
      </c>
      <c r="D284" s="1716">
        <f>+APUS!H7033</f>
        <v>160124703</v>
      </c>
      <c r="E284" s="1656">
        <v>11.2</v>
      </c>
    </row>
    <row r="285" spans="1:5" x14ac:dyDescent="0.25">
      <c r="A285" s="1656" t="s">
        <v>3</v>
      </c>
      <c r="B285" s="1720" t="s">
        <v>9370</v>
      </c>
      <c r="C285" s="1882" t="s">
        <v>5460</v>
      </c>
      <c r="D285" s="1716">
        <f>+APUS!H7083</f>
        <v>24019263</v>
      </c>
      <c r="E285" s="1656">
        <v>11.3</v>
      </c>
    </row>
    <row r="286" spans="1:5" x14ac:dyDescent="0.25">
      <c r="A286" s="1656" t="s">
        <v>3</v>
      </c>
      <c r="B286" s="1444" t="s">
        <v>9371</v>
      </c>
      <c r="C286" s="1882" t="s">
        <v>5460</v>
      </c>
      <c r="D286" s="1716">
        <f>+APUS!H7133</f>
        <v>7957363</v>
      </c>
      <c r="E286" s="1656">
        <v>11.4</v>
      </c>
    </row>
    <row r="287" spans="1:5" x14ac:dyDescent="0.25">
      <c r="A287" s="1656"/>
      <c r="B287" s="1444"/>
      <c r="C287" s="1656"/>
      <c r="D287" s="1716"/>
      <c r="E287" s="1656"/>
    </row>
  </sheetData>
  <mergeCells count="2">
    <mergeCell ref="B2:D2"/>
    <mergeCell ref="B4:D4"/>
  </mergeCells>
  <pageMargins left="0.70866141732283472" right="0.70866141732283472" top="0.74803149606299213" bottom="0.74803149606299213" header="0.31496062992125984" footer="0.31496062992125984"/>
  <pageSetup scale="62" fitToHeight="0" orientation="portrait" r:id="rId1"/>
  <rowBreaks count="3" manualBreakCount="3">
    <brk id="86" max="4" man="1"/>
    <brk id="165" max="4" man="1"/>
    <brk id="225" max="4"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002"/>
  <sheetViews>
    <sheetView view="pageBreakPreview" topLeftCell="A363" zoomScale="85" zoomScaleNormal="100" zoomScaleSheetLayoutView="85" workbookViewId="0">
      <selection activeCell="B210" sqref="B210"/>
    </sheetView>
  </sheetViews>
  <sheetFormatPr baseColWidth="10" defaultRowHeight="15" x14ac:dyDescent="0.25"/>
  <cols>
    <col min="1" max="1" width="5.85546875" style="1637" bestFit="1" customWidth="1"/>
    <col min="2" max="2" width="28.42578125" style="1637" customWidth="1"/>
    <col min="3" max="3" width="11.5703125" style="1637" bestFit="1" customWidth="1"/>
    <col min="4" max="4" width="39.42578125" style="1637" bestFit="1" customWidth="1"/>
    <col min="5" max="5" width="19" style="1637" customWidth="1"/>
    <col min="6" max="6" width="13.140625" style="1637" bestFit="1" customWidth="1"/>
    <col min="7" max="7" width="16.7109375" style="1637" customWidth="1"/>
    <col min="8" max="8" width="12.28515625" style="1637" bestFit="1" customWidth="1"/>
    <col min="9" max="9" width="6.28515625" style="1637" customWidth="1"/>
    <col min="10" max="10" width="5.7109375" style="1670" bestFit="1" customWidth="1"/>
    <col min="11" max="11" width="14.140625" style="1670" customWidth="1"/>
    <col min="12" max="12" width="11.42578125" style="1637"/>
    <col min="13" max="13" width="15.42578125" style="1637" bestFit="1" customWidth="1"/>
    <col min="14" max="14" width="16.7109375" style="1637" bestFit="1" customWidth="1"/>
    <col min="15" max="16384" width="11.42578125" style="1637"/>
  </cols>
  <sheetData>
    <row r="1" spans="1:11" ht="19.5" thickBot="1" x14ac:dyDescent="0.3">
      <c r="A1" s="1662"/>
      <c r="B1" s="1662"/>
      <c r="C1" s="1663"/>
      <c r="D1" s="1663" t="s">
        <v>5400</v>
      </c>
      <c r="E1" s="1663"/>
      <c r="F1" s="1663"/>
      <c r="G1" s="1663"/>
      <c r="H1" s="1664"/>
      <c r="J1" s="1637"/>
      <c r="K1" s="1637"/>
    </row>
    <row r="2" spans="1:11" ht="18.75" x14ac:dyDescent="0.25">
      <c r="A2" s="1523"/>
      <c r="B2" s="1655"/>
      <c r="C2" s="1655"/>
      <c r="D2" s="950"/>
      <c r="E2" s="1655"/>
      <c r="F2" s="1655"/>
      <c r="G2" s="1655"/>
      <c r="H2" s="8"/>
    </row>
    <row r="3" spans="1:11" x14ac:dyDescent="0.25">
      <c r="A3" s="1523"/>
      <c r="B3" s="8"/>
      <c r="C3" s="8"/>
      <c r="D3" s="529"/>
      <c r="E3" s="8"/>
      <c r="F3" s="1523"/>
      <c r="G3" s="1524"/>
      <c r="H3" s="8"/>
    </row>
    <row r="4" spans="1:11" ht="15" customHeight="1" x14ac:dyDescent="0.25">
      <c r="A4" s="1665" t="s">
        <v>3</v>
      </c>
      <c r="B4" s="1390">
        <f>+VLOOKUP(C4,ListaAPUs!$B:$E,4,FALSE)</f>
        <v>10.199999999999999</v>
      </c>
      <c r="C4" s="2442" t="str">
        <f>+ListaAPUs!B202</f>
        <v>Tapas CS278 para camaras de inspección sencilla</v>
      </c>
      <c r="D4" s="2442"/>
      <c r="E4" s="2442"/>
      <c r="F4" s="1665" t="s">
        <v>867</v>
      </c>
      <c r="G4" s="1390" t="str">
        <f>+VLOOKUP(C4,ListaAPUs!$B:$E,2,FALSE)</f>
        <v>un</v>
      </c>
      <c r="H4" s="1524"/>
    </row>
    <row r="5" spans="1:11" x14ac:dyDescent="0.25">
      <c r="A5" s="1528"/>
      <c r="B5" s="1527"/>
      <c r="C5" s="1527"/>
      <c r="D5" s="529"/>
      <c r="E5" s="1527"/>
      <c r="F5" s="1528"/>
      <c r="G5" s="1524"/>
      <c r="H5" s="1524"/>
    </row>
    <row r="6" spans="1:11" x14ac:dyDescent="0.25">
      <c r="A6" s="1528"/>
      <c r="B6" s="1527"/>
      <c r="C6" s="1527"/>
      <c r="D6" s="529"/>
      <c r="E6" s="1527"/>
      <c r="F6" s="1528"/>
      <c r="G6" s="1529"/>
      <c r="H6" s="1524"/>
    </row>
    <row r="7" spans="1:11" ht="15.75" thickBot="1" x14ac:dyDescent="0.3">
      <c r="A7" s="1528"/>
      <c r="B7" s="1527"/>
      <c r="C7" s="1527"/>
      <c r="D7" s="529"/>
      <c r="E7" s="1527"/>
      <c r="F7" s="1528"/>
      <c r="G7" s="1524"/>
      <c r="H7" s="1524"/>
    </row>
    <row r="8" spans="1:11" ht="15.75" thickBot="1" x14ac:dyDescent="0.3">
      <c r="A8" s="1368"/>
      <c r="B8" s="1369" t="s">
        <v>5403</v>
      </c>
      <c r="C8" s="1363" t="s">
        <v>867</v>
      </c>
      <c r="D8" s="1120" t="s">
        <v>6</v>
      </c>
      <c r="E8" s="1363" t="s">
        <v>9417</v>
      </c>
      <c r="F8" s="1363" t="s">
        <v>5405</v>
      </c>
      <c r="G8" s="1370" t="s">
        <v>7179</v>
      </c>
      <c r="H8" s="1371"/>
    </row>
    <row r="9" spans="1:11" ht="51" x14ac:dyDescent="0.25">
      <c r="A9" s="1528"/>
      <c r="B9" s="1533" t="s">
        <v>9419</v>
      </c>
      <c r="C9" s="1348" t="s">
        <v>5</v>
      </c>
      <c r="D9" s="967">
        <v>1</v>
      </c>
      <c r="E9" s="1349">
        <f>480000*1.19</f>
        <v>571200</v>
      </c>
      <c r="F9" s="1350">
        <v>1</v>
      </c>
      <c r="G9" s="1351">
        <f>+F9*E9</f>
        <v>571200</v>
      </c>
      <c r="H9" s="1524"/>
    </row>
    <row r="10" spans="1:11" ht="25.5" x14ac:dyDescent="0.25">
      <c r="A10" s="1528"/>
      <c r="B10" s="1667" t="s">
        <v>9420</v>
      </c>
      <c r="C10" s="1537" t="s">
        <v>9023</v>
      </c>
      <c r="D10" s="212">
        <v>1</v>
      </c>
      <c r="E10" s="1681">
        <v>70000</v>
      </c>
      <c r="F10" s="1563">
        <v>1</v>
      </c>
      <c r="G10" s="814">
        <f>+F10*E10</f>
        <v>70000</v>
      </c>
      <c r="H10" s="1524"/>
    </row>
    <row r="11" spans="1:11" x14ac:dyDescent="0.25">
      <c r="A11" s="1528"/>
      <c r="B11" s="1667"/>
      <c r="C11" s="1537"/>
      <c r="D11" s="212"/>
      <c r="E11" s="816"/>
      <c r="F11" s="1563"/>
      <c r="G11" s="814"/>
      <c r="H11" s="1524"/>
    </row>
    <row r="12" spans="1:11" x14ac:dyDescent="0.25">
      <c r="A12" s="1528"/>
      <c r="B12" s="1667"/>
      <c r="C12" s="1537"/>
      <c r="D12" s="212"/>
      <c r="E12" s="816"/>
      <c r="F12" s="1563"/>
      <c r="G12" s="814"/>
      <c r="H12" s="1524"/>
    </row>
    <row r="13" spans="1:11" x14ac:dyDescent="0.25">
      <c r="A13" s="1528"/>
      <c r="B13" s="1667"/>
      <c r="C13" s="1537"/>
      <c r="D13" s="212"/>
      <c r="E13" s="816"/>
      <c r="F13" s="1563"/>
      <c r="G13" s="814"/>
      <c r="H13" s="1524"/>
    </row>
    <row r="14" spans="1:11" x14ac:dyDescent="0.25">
      <c r="A14" s="1528"/>
      <c r="B14" s="1667"/>
      <c r="C14" s="1537"/>
      <c r="D14" s="212"/>
      <c r="E14" s="816"/>
      <c r="F14" s="1563"/>
      <c r="G14" s="814"/>
      <c r="H14" s="1524"/>
    </row>
    <row r="15" spans="1:11" x14ac:dyDescent="0.25">
      <c r="A15" s="1528"/>
      <c r="B15" s="1667"/>
      <c r="C15" s="1537"/>
      <c r="D15" s="212"/>
      <c r="E15" s="816"/>
      <c r="F15" s="1563"/>
      <c r="G15" s="814"/>
      <c r="H15" s="1524"/>
      <c r="J15" s="1637"/>
      <c r="K15" s="1637"/>
    </row>
    <row r="16" spans="1:11" x14ac:dyDescent="0.25">
      <c r="A16" s="1528"/>
      <c r="B16" s="1667"/>
      <c r="C16" s="1537"/>
      <c r="D16" s="212"/>
      <c r="E16" s="816"/>
      <c r="F16" s="1563"/>
      <c r="G16" s="814"/>
      <c r="H16" s="1524"/>
      <c r="J16" s="1637"/>
      <c r="K16" s="1637"/>
    </row>
    <row r="17" spans="1:11" x14ac:dyDescent="0.25">
      <c r="A17" s="1528"/>
      <c r="B17" s="1667"/>
      <c r="C17" s="1537"/>
      <c r="D17" s="212"/>
      <c r="E17" s="816"/>
      <c r="F17" s="1563"/>
      <c r="G17" s="814"/>
      <c r="H17" s="1524"/>
      <c r="J17" s="1637"/>
      <c r="K17" s="1637"/>
    </row>
    <row r="18" spans="1:11" x14ac:dyDescent="0.25">
      <c r="A18" s="1528"/>
      <c r="B18" s="1667"/>
      <c r="C18" s="1537"/>
      <c r="D18" s="212"/>
      <c r="E18" s="816"/>
      <c r="F18" s="1563"/>
      <c r="G18" s="814"/>
      <c r="H18" s="1524"/>
      <c r="J18" s="1637"/>
      <c r="K18" s="1637"/>
    </row>
    <row r="19" spans="1:11" x14ac:dyDescent="0.25">
      <c r="A19" s="1528"/>
      <c r="B19" s="1667"/>
      <c r="C19" s="1537"/>
      <c r="D19" s="212"/>
      <c r="E19" s="816"/>
      <c r="F19" s="1563"/>
      <c r="G19" s="814"/>
      <c r="H19" s="1524"/>
      <c r="J19" s="1637"/>
      <c r="K19" s="1637"/>
    </row>
    <row r="20" spans="1:11" x14ac:dyDescent="0.25">
      <c r="A20" s="1528"/>
      <c r="B20" s="269"/>
      <c r="C20" s="1537"/>
      <c r="D20" s="212"/>
      <c r="E20" s="816"/>
      <c r="F20" s="1563"/>
      <c r="G20" s="814"/>
      <c r="H20" s="1524"/>
      <c r="J20" s="1637"/>
      <c r="K20" s="1637"/>
    </row>
    <row r="21" spans="1:11" x14ac:dyDescent="0.25">
      <c r="A21" s="1528"/>
      <c r="B21" s="268"/>
      <c r="C21" s="1534"/>
      <c r="D21" s="211"/>
      <c r="E21" s="1535" t="s">
        <v>7182</v>
      </c>
      <c r="F21" s="1551"/>
      <c r="G21" s="1541" t="s">
        <v>7182</v>
      </c>
      <c r="H21" s="1524"/>
      <c r="J21" s="1637"/>
      <c r="K21" s="1637"/>
    </row>
    <row r="22" spans="1:11" x14ac:dyDescent="0.25">
      <c r="A22" s="1528"/>
      <c r="B22" s="1346"/>
      <c r="C22" s="1534"/>
      <c r="D22" s="211"/>
      <c r="E22" s="1535" t="s">
        <v>7182</v>
      </c>
      <c r="F22" s="1551"/>
      <c r="G22" s="1541" t="s">
        <v>7182</v>
      </c>
      <c r="H22" s="1524"/>
      <c r="J22" s="1637"/>
      <c r="K22" s="1637"/>
    </row>
    <row r="23" spans="1:11" ht="15.75" thickBot="1" x14ac:dyDescent="0.3">
      <c r="A23" s="1528"/>
      <c r="B23" s="1540"/>
      <c r="C23" s="1537"/>
      <c r="D23" s="952"/>
      <c r="E23" s="1538" t="s">
        <v>7182</v>
      </c>
      <c r="F23" s="1537"/>
      <c r="G23" s="1541" t="s">
        <v>7182</v>
      </c>
      <c r="H23" s="1524"/>
      <c r="J23" s="1637"/>
      <c r="K23" s="1637"/>
    </row>
    <row r="24" spans="1:11" ht="15.75" thickBot="1" x14ac:dyDescent="0.3">
      <c r="A24" s="1528"/>
      <c r="B24" s="1555"/>
      <c r="C24" s="1557"/>
      <c r="D24" s="956"/>
      <c r="E24" s="1556" t="s">
        <v>7182</v>
      </c>
      <c r="F24" s="1557"/>
      <c r="G24" s="1558" t="s">
        <v>7182</v>
      </c>
      <c r="H24" s="1546">
        <f>SUM(G9:G24)</f>
        <v>641200</v>
      </c>
      <c r="J24" s="1637"/>
      <c r="K24" s="1637"/>
    </row>
    <row r="25" spans="1:11" x14ac:dyDescent="0.25">
      <c r="A25" s="1528"/>
      <c r="B25" s="1372"/>
      <c r="C25" s="1374"/>
      <c r="D25" s="1373"/>
      <c r="E25" s="1372" t="s">
        <v>7182</v>
      </c>
      <c r="F25" s="1374"/>
      <c r="G25" s="1375" t="s">
        <v>7182</v>
      </c>
      <c r="H25" s="1550"/>
      <c r="J25" s="1637"/>
      <c r="K25" s="1637"/>
    </row>
    <row r="26" spans="1:11" ht="15.75" thickBot="1" x14ac:dyDescent="0.3">
      <c r="A26" s="1527"/>
      <c r="B26" s="188"/>
      <c r="C26" s="189"/>
      <c r="D26" s="1668"/>
      <c r="E26" s="188"/>
      <c r="F26" s="189"/>
      <c r="G26" s="1669"/>
      <c r="H26" s="1550"/>
      <c r="J26" s="1637"/>
      <c r="K26" s="1637"/>
    </row>
    <row r="27" spans="1:11" ht="15.75" thickBot="1" x14ac:dyDescent="0.3">
      <c r="A27" s="1527"/>
      <c r="B27" s="1366" t="s">
        <v>9418</v>
      </c>
      <c r="C27" s="1363" t="s">
        <v>867</v>
      </c>
      <c r="D27" s="1120" t="s">
        <v>6</v>
      </c>
      <c r="E27" s="1363" t="s">
        <v>7183</v>
      </c>
      <c r="F27" s="1363" t="s">
        <v>5405</v>
      </c>
      <c r="G27" s="1365" t="s">
        <v>7179</v>
      </c>
      <c r="H27" s="1524"/>
      <c r="J27" s="1637"/>
      <c r="K27" s="1637"/>
    </row>
    <row r="28" spans="1:11" x14ac:dyDescent="0.25">
      <c r="A28" s="1527"/>
      <c r="B28" s="1564" t="s">
        <v>5455</v>
      </c>
      <c r="C28" s="1534" t="s">
        <v>5</v>
      </c>
      <c r="D28" s="211">
        <v>1</v>
      </c>
      <c r="E28" s="1535">
        <v>0</v>
      </c>
      <c r="F28" s="1534">
        <v>0</v>
      </c>
      <c r="G28" s="1572">
        <f>+F28*E28</f>
        <v>0</v>
      </c>
      <c r="H28" s="1524"/>
      <c r="J28" s="1637"/>
      <c r="K28" s="1637"/>
    </row>
    <row r="29" spans="1:11" x14ac:dyDescent="0.25">
      <c r="A29" s="1527"/>
      <c r="B29" s="1540"/>
      <c r="C29" s="1537"/>
      <c r="D29" s="212"/>
      <c r="E29" s="1535" t="s">
        <v>7182</v>
      </c>
      <c r="F29" s="1537"/>
      <c r="G29" s="1572" t="s">
        <v>7182</v>
      </c>
      <c r="H29" s="1524"/>
      <c r="J29" s="1637"/>
      <c r="K29" s="1637"/>
    </row>
    <row r="30" spans="1:11" x14ac:dyDescent="0.25">
      <c r="A30" s="1527"/>
      <c r="B30" s="1540"/>
      <c r="C30" s="1537"/>
      <c r="D30" s="212"/>
      <c r="E30" s="1535" t="s">
        <v>7182</v>
      </c>
      <c r="F30" s="1537"/>
      <c r="G30" s="1572" t="s">
        <v>7182</v>
      </c>
      <c r="H30" s="1524"/>
      <c r="J30" s="1637"/>
      <c r="K30" s="1637"/>
    </row>
    <row r="31" spans="1:11" ht="15.75" thickBot="1" x14ac:dyDescent="0.3">
      <c r="A31" s="1527"/>
      <c r="B31" s="1540"/>
      <c r="C31" s="1537"/>
      <c r="D31" s="212"/>
      <c r="E31" s="1535" t="s">
        <v>7182</v>
      </c>
      <c r="F31" s="1537"/>
      <c r="G31" s="1572" t="s">
        <v>7182</v>
      </c>
      <c r="H31" s="1524"/>
      <c r="J31" s="1637"/>
      <c r="K31" s="1637"/>
    </row>
    <row r="32" spans="1:11" ht="15.75" thickBot="1" x14ac:dyDescent="0.3">
      <c r="A32" s="1527"/>
      <c r="B32" s="1555"/>
      <c r="C32" s="1556"/>
      <c r="D32" s="956"/>
      <c r="E32" s="1556" t="s">
        <v>7182</v>
      </c>
      <c r="F32" s="1557"/>
      <c r="G32" s="1558" t="s">
        <v>7182</v>
      </c>
      <c r="H32" s="1546">
        <f>SUM(G28:G32)</f>
        <v>0</v>
      </c>
      <c r="J32" s="1637"/>
      <c r="K32" s="1637"/>
    </row>
    <row r="33" spans="1:11" ht="15.75" thickBot="1" x14ac:dyDescent="0.3">
      <c r="A33" s="1527"/>
      <c r="B33" s="1376"/>
      <c r="C33" s="1353"/>
      <c r="D33" s="1355"/>
      <c r="E33" s="1352"/>
      <c r="F33" s="1377"/>
      <c r="G33" s="1378"/>
      <c r="H33" s="1524"/>
      <c r="J33" s="1637"/>
      <c r="K33" s="1637"/>
    </row>
    <row r="34" spans="1:11" ht="15.75" thickBot="1" x14ac:dyDescent="0.3">
      <c r="A34" s="1527"/>
      <c r="B34" s="1366" t="s">
        <v>5410</v>
      </c>
      <c r="C34" s="1363" t="s">
        <v>867</v>
      </c>
      <c r="D34" s="1120" t="s">
        <v>6</v>
      </c>
      <c r="E34" s="1363" t="s">
        <v>7183</v>
      </c>
      <c r="F34" s="1363" t="s">
        <v>5405</v>
      </c>
      <c r="G34" s="1365" t="s">
        <v>7179</v>
      </c>
      <c r="H34" s="1524"/>
      <c r="J34" s="1637"/>
      <c r="K34" s="1637"/>
    </row>
    <row r="35" spans="1:11" ht="25.5" x14ac:dyDescent="0.25">
      <c r="A35" s="1527"/>
      <c r="B35" s="1564" t="s">
        <v>9421</v>
      </c>
      <c r="C35" s="1534" t="s">
        <v>9023</v>
      </c>
      <c r="D35" s="211">
        <v>1</v>
      </c>
      <c r="E35" s="1535">
        <v>180000</v>
      </c>
      <c r="F35" s="297">
        <v>1</v>
      </c>
      <c r="G35" s="1572">
        <f>+F35*E35</f>
        <v>180000</v>
      </c>
      <c r="H35" s="1524"/>
      <c r="J35" s="1637"/>
      <c r="K35" s="1637"/>
    </row>
    <row r="36" spans="1:11" x14ac:dyDescent="0.25">
      <c r="A36" s="1527"/>
      <c r="B36" s="1540"/>
      <c r="C36" s="1537"/>
      <c r="D36" s="212"/>
      <c r="E36" s="1535" t="s">
        <v>7182</v>
      </c>
      <c r="F36" s="1537"/>
      <c r="G36" s="1572" t="s">
        <v>7182</v>
      </c>
      <c r="H36" s="1524"/>
      <c r="J36" s="1637"/>
      <c r="K36" s="1637"/>
    </row>
    <row r="37" spans="1:11" x14ac:dyDescent="0.25">
      <c r="A37" s="1527"/>
      <c r="B37" s="1540"/>
      <c r="C37" s="1537"/>
      <c r="D37" s="212"/>
      <c r="E37" s="1535" t="s">
        <v>7182</v>
      </c>
      <c r="F37" s="1537"/>
      <c r="G37" s="1572" t="s">
        <v>7182</v>
      </c>
      <c r="H37" s="1524"/>
      <c r="J37" s="1637"/>
      <c r="K37" s="1637"/>
    </row>
    <row r="38" spans="1:11" ht="15.75" thickBot="1" x14ac:dyDescent="0.3">
      <c r="A38" s="1527"/>
      <c r="B38" s="1540"/>
      <c r="C38" s="1537"/>
      <c r="D38" s="212"/>
      <c r="E38" s="1535" t="s">
        <v>7182</v>
      </c>
      <c r="F38" s="1537"/>
      <c r="G38" s="1572" t="s">
        <v>7182</v>
      </c>
      <c r="H38" s="1524"/>
      <c r="J38" s="1637"/>
      <c r="K38" s="1637"/>
    </row>
    <row r="39" spans="1:11" ht="15.75" thickBot="1" x14ac:dyDescent="0.3">
      <c r="A39" s="1527"/>
      <c r="B39" s="1555"/>
      <c r="C39" s="1556"/>
      <c r="D39" s="956"/>
      <c r="E39" s="1556" t="s">
        <v>7182</v>
      </c>
      <c r="F39" s="1557"/>
      <c r="G39" s="1558" t="s">
        <v>7182</v>
      </c>
      <c r="H39" s="1546">
        <f>SUM(G35:G39)</f>
        <v>180000</v>
      </c>
      <c r="J39" s="1637"/>
      <c r="K39" s="1637"/>
    </row>
    <row r="40" spans="1:11" ht="15.75" thickBot="1" x14ac:dyDescent="0.3">
      <c r="A40" s="1527"/>
      <c r="B40" s="1547"/>
      <c r="C40" s="1547"/>
      <c r="D40" s="954"/>
      <c r="E40" s="1547"/>
      <c r="F40" s="1553"/>
      <c r="G40" s="1554"/>
      <c r="H40" s="1550"/>
      <c r="J40" s="1637"/>
      <c r="K40" s="1637"/>
    </row>
    <row r="41" spans="1:11" ht="15.75" thickBot="1" x14ac:dyDescent="0.3">
      <c r="A41" s="1559"/>
      <c r="B41" s="1369" t="s">
        <v>5412</v>
      </c>
      <c r="C41" s="1363" t="s">
        <v>5420</v>
      </c>
      <c r="D41" s="1120" t="s">
        <v>5421</v>
      </c>
      <c r="E41" s="1363" t="s">
        <v>7187</v>
      </c>
      <c r="F41" s="1363" t="s">
        <v>5405</v>
      </c>
      <c r="G41" s="1370" t="s">
        <v>7179</v>
      </c>
      <c r="H41" s="1371"/>
      <c r="J41" s="1637"/>
      <c r="K41" s="1637"/>
    </row>
    <row r="42" spans="1:11" x14ac:dyDescent="0.25">
      <c r="A42" s="1527"/>
      <c r="B42" s="1560" t="s">
        <v>9422</v>
      </c>
      <c r="C42" s="1569">
        <v>180000</v>
      </c>
      <c r="D42" s="352">
        <f>0.6*C42</f>
        <v>108000</v>
      </c>
      <c r="E42" s="1569">
        <f>+D42+C42</f>
        <v>288000</v>
      </c>
      <c r="F42" s="297">
        <v>0.1</v>
      </c>
      <c r="G42" s="818">
        <f>+F42*E42</f>
        <v>28800</v>
      </c>
      <c r="H42" s="1524"/>
      <c r="J42" s="1637"/>
      <c r="K42" s="1637"/>
    </row>
    <row r="43" spans="1:11" x14ac:dyDescent="0.25">
      <c r="A43" s="1527"/>
      <c r="B43" s="1560"/>
      <c r="C43" s="1569"/>
      <c r="D43" s="1569"/>
      <c r="E43" s="1569"/>
      <c r="F43" s="819"/>
      <c r="G43" s="818"/>
      <c r="H43" s="1524"/>
      <c r="J43" s="1637"/>
      <c r="K43" s="1637"/>
    </row>
    <row r="44" spans="1:11" x14ac:dyDescent="0.25">
      <c r="A44" s="1527"/>
      <c r="B44" s="1561"/>
      <c r="C44" s="1569"/>
      <c r="D44" s="1569"/>
      <c r="E44" s="1569"/>
      <c r="F44" s="817"/>
      <c r="G44" s="818"/>
      <c r="H44" s="1524"/>
      <c r="J44" s="1637"/>
      <c r="K44" s="1637"/>
    </row>
    <row r="45" spans="1:11" x14ac:dyDescent="0.25">
      <c r="A45" s="1527"/>
      <c r="B45" s="1540"/>
      <c r="C45" s="1569"/>
      <c r="D45" s="1569"/>
      <c r="E45" s="1569"/>
      <c r="F45" s="817"/>
      <c r="G45" s="818"/>
      <c r="H45" s="1524"/>
      <c r="J45" s="1637"/>
      <c r="K45" s="1637"/>
    </row>
    <row r="46" spans="1:11" x14ac:dyDescent="0.25">
      <c r="A46" s="1527"/>
      <c r="B46" s="1540"/>
      <c r="C46" s="1538" t="s">
        <v>7182</v>
      </c>
      <c r="D46" s="952" t="s">
        <v>7182</v>
      </c>
      <c r="E46" s="1538" t="s">
        <v>7182</v>
      </c>
      <c r="F46" s="817"/>
      <c r="G46" s="818" t="str">
        <f>IF(B46="","",E46/F46)</f>
        <v/>
      </c>
      <c r="H46" s="1524"/>
      <c r="J46" s="1637"/>
      <c r="K46" s="1637"/>
    </row>
    <row r="47" spans="1:11" ht="15.75" thickBot="1" x14ac:dyDescent="0.3">
      <c r="A47" s="1527"/>
      <c r="B47" s="1540"/>
      <c r="C47" s="1538" t="s">
        <v>7182</v>
      </c>
      <c r="D47" s="952" t="s">
        <v>7182</v>
      </c>
      <c r="E47" s="1538" t="s">
        <v>7182</v>
      </c>
      <c r="F47" s="1537"/>
      <c r="G47" s="818" t="str">
        <f>IF(B47="","",E47/F47)</f>
        <v/>
      </c>
      <c r="H47" s="1524"/>
    </row>
    <row r="48" spans="1:11" ht="15.75" thickBot="1" x14ac:dyDescent="0.3">
      <c r="A48" s="1527"/>
      <c r="B48" s="1555"/>
      <c r="C48" s="1556"/>
      <c r="D48" s="956"/>
      <c r="E48" s="1556"/>
      <c r="F48" s="1557"/>
      <c r="G48" s="1558"/>
      <c r="H48" s="1546">
        <f>SUM(G42:G48)</f>
        <v>28800</v>
      </c>
    </row>
    <row r="49" spans="1:11" ht="15.75" thickBot="1" x14ac:dyDescent="0.3">
      <c r="A49" s="1527"/>
      <c r="B49" s="1527"/>
      <c r="C49" s="1527"/>
      <c r="D49" s="529"/>
      <c r="F49" s="1528"/>
      <c r="G49" s="1524"/>
      <c r="H49" s="1524"/>
    </row>
    <row r="50" spans="1:11" ht="15.75" thickBot="1" x14ac:dyDescent="0.3">
      <c r="A50" s="1647" t="s">
        <v>6744</v>
      </c>
      <c r="B50" s="1352"/>
      <c r="C50" s="1352"/>
      <c r="D50" s="1671"/>
      <c r="E50" s="1672"/>
      <c r="F50" s="1353"/>
      <c r="G50" s="1527" t="s">
        <v>5415</v>
      </c>
      <c r="H50" s="502">
        <f>ROUND(SUM(H8:H49),0)</f>
        <v>850000</v>
      </c>
      <c r="J50" s="1673">
        <f>+B4</f>
        <v>10.199999999999999</v>
      </c>
      <c r="K50" s="1674">
        <f>+H50</f>
        <v>850000</v>
      </c>
    </row>
    <row r="51" spans="1:11" x14ac:dyDescent="0.25">
      <c r="A51" s="1675"/>
      <c r="B51" s="1676"/>
      <c r="C51" s="1676"/>
      <c r="D51" s="1677"/>
      <c r="E51" s="1678"/>
      <c r="F51" s="1679"/>
      <c r="G51" s="1680"/>
      <c r="H51" s="1680"/>
    </row>
    <row r="52" spans="1:11" ht="18.75" x14ac:dyDescent="0.25">
      <c r="A52" s="1523"/>
      <c r="B52" s="1655"/>
      <c r="C52" s="1655"/>
      <c r="D52" s="950"/>
      <c r="E52" s="1655"/>
      <c r="F52" s="1655"/>
      <c r="G52" s="1655"/>
      <c r="H52" s="8"/>
    </row>
    <row r="53" spans="1:11" x14ac:dyDescent="0.25">
      <c r="A53" s="1523"/>
      <c r="B53" s="8"/>
      <c r="C53" s="8"/>
      <c r="D53" s="529"/>
      <c r="E53" s="8"/>
      <c r="F53" s="1523"/>
      <c r="G53" s="1524"/>
      <c r="H53" s="8"/>
    </row>
    <row r="54" spans="1:11" ht="15" customHeight="1" x14ac:dyDescent="0.25">
      <c r="A54" s="1665" t="s">
        <v>3</v>
      </c>
      <c r="B54" s="1390">
        <f>+VLOOKUP(C54,ListaAPUs!$B:$E,4,FALSE)</f>
        <v>10.3</v>
      </c>
      <c r="C54" s="2442" t="str">
        <f>+ListaAPUs!B203</f>
        <v>Caja de inspeccion  tipo CS275 norma Codensa</v>
      </c>
      <c r="D54" s="2442"/>
      <c r="E54" s="2442"/>
      <c r="F54" s="1665" t="s">
        <v>867</v>
      </c>
      <c r="G54" s="1390" t="str">
        <f>+VLOOKUP(C54,ListaAPUs!$B:$E,2,FALSE)</f>
        <v>un</v>
      </c>
      <c r="H54" s="1524"/>
    </row>
    <row r="55" spans="1:11" x14ac:dyDescent="0.25">
      <c r="A55" s="1528"/>
      <c r="B55" s="1527"/>
      <c r="C55" s="1527"/>
      <c r="D55" s="529"/>
      <c r="E55" s="1527"/>
      <c r="F55" s="1528"/>
      <c r="G55" s="1524"/>
      <c r="H55" s="1524"/>
    </row>
    <row r="56" spans="1:11" x14ac:dyDescent="0.25">
      <c r="A56" s="1528"/>
      <c r="B56" s="1527"/>
      <c r="C56" s="1527"/>
      <c r="D56" s="529"/>
      <c r="E56" s="1527"/>
      <c r="F56" s="1528"/>
      <c r="G56" s="1529"/>
      <c r="H56" s="1524"/>
    </row>
    <row r="57" spans="1:11" ht="15.75" thickBot="1" x14ac:dyDescent="0.3">
      <c r="A57" s="1528"/>
      <c r="B57" s="1527"/>
      <c r="C57" s="1527"/>
      <c r="D57" s="529"/>
      <c r="E57" s="1527"/>
      <c r="F57" s="1528"/>
      <c r="G57" s="1524"/>
      <c r="H57" s="1524"/>
    </row>
    <row r="58" spans="1:11" ht="15.75" thickBot="1" x14ac:dyDescent="0.3">
      <c r="A58" s="1368"/>
      <c r="B58" s="1369" t="s">
        <v>5403</v>
      </c>
      <c r="C58" s="1363" t="s">
        <v>867</v>
      </c>
      <c r="D58" s="1120" t="s">
        <v>6</v>
      </c>
      <c r="E58" s="1363" t="s">
        <v>9417</v>
      </c>
      <c r="F58" s="1363" t="s">
        <v>5405</v>
      </c>
      <c r="G58" s="1370" t="s">
        <v>7179</v>
      </c>
      <c r="H58" s="1371"/>
    </row>
    <row r="59" spans="1:11" x14ac:dyDescent="0.25">
      <c r="A59" s="1528"/>
      <c r="B59" s="1822" t="s">
        <v>9423</v>
      </c>
      <c r="C59" s="1749" t="s">
        <v>5</v>
      </c>
      <c r="D59" s="1773">
        <f>300*2</f>
        <v>600</v>
      </c>
      <c r="E59" s="1825">
        <v>500</v>
      </c>
      <c r="F59" s="1769">
        <v>1</v>
      </c>
      <c r="G59" s="1786">
        <f>+F59*E59*D59</f>
        <v>300000</v>
      </c>
      <c r="H59" s="1524"/>
    </row>
    <row r="60" spans="1:11" x14ac:dyDescent="0.25">
      <c r="A60" s="1528"/>
      <c r="B60" s="1822" t="s">
        <v>9424</v>
      </c>
      <c r="C60" s="1749" t="s">
        <v>5464</v>
      </c>
      <c r="D60" s="1773">
        <v>0.46</v>
      </c>
      <c r="E60" s="1782">
        <v>250000</v>
      </c>
      <c r="F60" s="1769">
        <v>1</v>
      </c>
      <c r="G60" s="1786">
        <v>1</v>
      </c>
      <c r="H60" s="1524"/>
    </row>
    <row r="61" spans="1:11" x14ac:dyDescent="0.25">
      <c r="A61" s="1528"/>
      <c r="B61" s="1822" t="s">
        <v>9425</v>
      </c>
      <c r="C61" s="1749" t="s">
        <v>5464</v>
      </c>
      <c r="D61" s="1773">
        <v>0.35</v>
      </c>
      <c r="E61" s="1782">
        <v>270000</v>
      </c>
      <c r="F61" s="1769">
        <v>1</v>
      </c>
      <c r="G61" s="1786">
        <v>1</v>
      </c>
      <c r="H61" s="1524"/>
    </row>
    <row r="62" spans="1:11" x14ac:dyDescent="0.25">
      <c r="A62" s="1528"/>
      <c r="B62" s="1822" t="s">
        <v>9426</v>
      </c>
      <c r="C62" s="1749" t="s">
        <v>9023</v>
      </c>
      <c r="D62" s="1773">
        <v>1</v>
      </c>
      <c r="E62" s="1782">
        <v>45000</v>
      </c>
      <c r="F62" s="1769">
        <v>1</v>
      </c>
      <c r="G62" s="1786">
        <f>+F62*E62*D62</f>
        <v>45000</v>
      </c>
      <c r="H62" s="1524"/>
    </row>
    <row r="63" spans="1:11" x14ac:dyDescent="0.25">
      <c r="A63" s="1528"/>
      <c r="B63" s="1822"/>
      <c r="C63" s="1749"/>
      <c r="D63" s="1773"/>
      <c r="E63" s="1787"/>
      <c r="F63" s="1769"/>
      <c r="G63" s="1786"/>
      <c r="H63" s="1524"/>
      <c r="J63" s="1637"/>
      <c r="K63" s="1637"/>
    </row>
    <row r="64" spans="1:11" x14ac:dyDescent="0.25">
      <c r="A64" s="1528"/>
      <c r="B64" s="1822"/>
      <c r="C64" s="1749"/>
      <c r="D64" s="1773"/>
      <c r="E64" s="1787"/>
      <c r="F64" s="1769"/>
      <c r="G64" s="1786"/>
      <c r="H64" s="1524"/>
      <c r="J64" s="1637"/>
      <c r="K64" s="1637"/>
    </row>
    <row r="65" spans="1:11" x14ac:dyDescent="0.25">
      <c r="A65" s="1528"/>
      <c r="B65" s="1822"/>
      <c r="C65" s="1749"/>
      <c r="D65" s="1773"/>
      <c r="E65" s="1787"/>
      <c r="F65" s="1769"/>
      <c r="G65" s="1786"/>
      <c r="H65" s="1524"/>
      <c r="J65" s="1637"/>
      <c r="K65" s="1637"/>
    </row>
    <row r="66" spans="1:11" x14ac:dyDescent="0.25">
      <c r="A66" s="1528"/>
      <c r="B66" s="1822"/>
      <c r="C66" s="1749"/>
      <c r="D66" s="1773"/>
      <c r="E66" s="1787"/>
      <c r="F66" s="1769"/>
      <c r="G66" s="1786"/>
      <c r="H66" s="1524"/>
      <c r="J66" s="1637"/>
      <c r="K66" s="1637"/>
    </row>
    <row r="67" spans="1:11" x14ac:dyDescent="0.25">
      <c r="A67" s="1528"/>
      <c r="B67" s="1822"/>
      <c r="C67" s="1749"/>
      <c r="D67" s="1773"/>
      <c r="E67" s="1787"/>
      <c r="F67" s="1769"/>
      <c r="G67" s="1786"/>
      <c r="H67" s="1524"/>
      <c r="J67" s="1637"/>
      <c r="K67" s="1637"/>
    </row>
    <row r="68" spans="1:11" x14ac:dyDescent="0.25">
      <c r="A68" s="1528"/>
      <c r="B68" s="1822"/>
      <c r="C68" s="1749"/>
      <c r="D68" s="1773"/>
      <c r="E68" s="1787"/>
      <c r="F68" s="1769"/>
      <c r="G68" s="1786"/>
      <c r="H68" s="1524"/>
      <c r="J68" s="1637"/>
      <c r="K68" s="1637"/>
    </row>
    <row r="69" spans="1:11" x14ac:dyDescent="0.25">
      <c r="A69" s="1528"/>
      <c r="B69" s="1822"/>
      <c r="C69" s="1749"/>
      <c r="D69" s="1773"/>
      <c r="E69" s="1787"/>
      <c r="F69" s="1769"/>
      <c r="G69" s="1786"/>
      <c r="H69" s="1524"/>
      <c r="J69" s="1637"/>
      <c r="K69" s="1637"/>
    </row>
    <row r="70" spans="1:11" x14ac:dyDescent="0.25">
      <c r="A70" s="1528"/>
      <c r="B70" s="1775"/>
      <c r="C70" s="1749"/>
      <c r="D70" s="1773"/>
      <c r="E70" s="1787"/>
      <c r="F70" s="1769"/>
      <c r="G70" s="1786"/>
      <c r="H70" s="1524"/>
      <c r="J70" s="1637"/>
      <c r="K70" s="1637"/>
    </row>
    <row r="71" spans="1:11" ht="25.5" x14ac:dyDescent="0.25">
      <c r="A71" s="1528"/>
      <c r="B71" s="1774" t="s">
        <v>9616</v>
      </c>
      <c r="C71" s="1747"/>
      <c r="D71" s="1772"/>
      <c r="E71" s="1748" t="s">
        <v>7182</v>
      </c>
      <c r="F71" s="1758"/>
      <c r="G71" s="1753" t="s">
        <v>7182</v>
      </c>
      <c r="H71" s="1524"/>
      <c r="J71" s="1637"/>
      <c r="K71" s="1637"/>
    </row>
    <row r="72" spans="1:11" x14ac:dyDescent="0.25">
      <c r="A72" s="1528"/>
      <c r="B72" s="1801"/>
      <c r="C72" s="1747"/>
      <c r="D72" s="1772"/>
      <c r="E72" s="1748" t="s">
        <v>7182</v>
      </c>
      <c r="F72" s="1758"/>
      <c r="G72" s="1753" t="s">
        <v>7182</v>
      </c>
      <c r="H72" s="1524"/>
      <c r="J72" s="1637"/>
      <c r="K72" s="1637"/>
    </row>
    <row r="73" spans="1:11" ht="15.75" thickBot="1" x14ac:dyDescent="0.3">
      <c r="A73" s="1528"/>
      <c r="B73" s="1752"/>
      <c r="C73" s="1749"/>
      <c r="D73" s="1791"/>
      <c r="E73" s="1750" t="s">
        <v>7182</v>
      </c>
      <c r="F73" s="1749"/>
      <c r="G73" s="1753" t="s">
        <v>7182</v>
      </c>
      <c r="H73" s="1524"/>
      <c r="J73" s="1637"/>
      <c r="K73" s="1637"/>
    </row>
    <row r="74" spans="1:11" ht="15.75" thickBot="1" x14ac:dyDescent="0.3">
      <c r="A74" s="1528"/>
      <c r="B74" s="1761"/>
      <c r="C74" s="1763"/>
      <c r="D74" s="1793"/>
      <c r="E74" s="1762" t="s">
        <v>7182</v>
      </c>
      <c r="F74" s="1763"/>
      <c r="G74" s="1764" t="s">
        <v>7182</v>
      </c>
      <c r="H74" s="1546">
        <f>SUM(G59:G74)</f>
        <v>345002</v>
      </c>
      <c r="J74" s="1637"/>
      <c r="K74" s="1637"/>
    </row>
    <row r="75" spans="1:11" x14ac:dyDescent="0.25">
      <c r="A75" s="1528"/>
      <c r="B75" s="1814"/>
      <c r="C75" s="1816"/>
      <c r="D75" s="1815"/>
      <c r="E75" s="1814" t="s">
        <v>7182</v>
      </c>
      <c r="F75" s="1816"/>
      <c r="G75" s="1817" t="s">
        <v>7182</v>
      </c>
      <c r="H75" s="1550"/>
      <c r="J75" s="1637"/>
      <c r="K75" s="1637"/>
    </row>
    <row r="76" spans="1:11" ht="15.75" thickBot="1" x14ac:dyDescent="0.3">
      <c r="A76" s="1527"/>
      <c r="B76" s="1765"/>
      <c r="C76" s="1766"/>
      <c r="D76" s="1823"/>
      <c r="E76" s="1765"/>
      <c r="F76" s="1766"/>
      <c r="G76" s="1824"/>
      <c r="H76" s="1550"/>
      <c r="J76" s="1637"/>
      <c r="K76" s="1637"/>
    </row>
    <row r="77" spans="1:11" ht="15.75" thickBot="1" x14ac:dyDescent="0.3">
      <c r="A77" s="1527"/>
      <c r="B77" s="1811" t="s">
        <v>9418</v>
      </c>
      <c r="C77" s="1809" t="s">
        <v>867</v>
      </c>
      <c r="D77" s="1799" t="s">
        <v>6</v>
      </c>
      <c r="E77" s="1809" t="s">
        <v>7183</v>
      </c>
      <c r="F77" s="1809" t="s">
        <v>5405</v>
      </c>
      <c r="G77" s="1810" t="s">
        <v>7179</v>
      </c>
      <c r="H77" s="1524"/>
      <c r="J77" s="1637"/>
      <c r="K77" s="1637"/>
    </row>
    <row r="78" spans="1:11" x14ac:dyDescent="0.25">
      <c r="A78" s="1527"/>
      <c r="B78" s="1770" t="s">
        <v>5455</v>
      </c>
      <c r="C78" s="1747" t="s">
        <v>5</v>
      </c>
      <c r="D78" s="1772">
        <v>1</v>
      </c>
      <c r="E78" s="1748">
        <v>50000</v>
      </c>
      <c r="F78" s="1777">
        <v>0.05</v>
      </c>
      <c r="G78" s="1783">
        <f>+F78*E78</f>
        <v>2500</v>
      </c>
      <c r="H78" s="1524"/>
      <c r="J78" s="1637"/>
      <c r="K78" s="1637"/>
    </row>
    <row r="79" spans="1:11" x14ac:dyDescent="0.25">
      <c r="A79" s="1527"/>
      <c r="B79" s="1752"/>
      <c r="C79" s="1749"/>
      <c r="D79" s="1773"/>
      <c r="E79" s="1748" t="s">
        <v>7182</v>
      </c>
      <c r="F79" s="1749"/>
      <c r="G79" s="1783" t="s">
        <v>7182</v>
      </c>
      <c r="H79" s="1524"/>
      <c r="J79" s="1637"/>
      <c r="K79" s="1637"/>
    </row>
    <row r="80" spans="1:11" x14ac:dyDescent="0.25">
      <c r="A80" s="1527"/>
      <c r="B80" s="1752"/>
      <c r="C80" s="1749"/>
      <c r="D80" s="1773"/>
      <c r="E80" s="1748" t="s">
        <v>7182</v>
      </c>
      <c r="F80" s="1749"/>
      <c r="G80" s="1783" t="s">
        <v>7182</v>
      </c>
      <c r="H80" s="1524"/>
      <c r="J80" s="1637"/>
      <c r="K80" s="1637"/>
    </row>
    <row r="81" spans="1:11" ht="15.75" thickBot="1" x14ac:dyDescent="0.3">
      <c r="A81" s="1527"/>
      <c r="B81" s="1752"/>
      <c r="C81" s="1749"/>
      <c r="D81" s="1773"/>
      <c r="E81" s="1748" t="s">
        <v>7182</v>
      </c>
      <c r="F81" s="1749"/>
      <c r="G81" s="1783" t="s">
        <v>7182</v>
      </c>
      <c r="H81" s="1524"/>
      <c r="J81" s="1637"/>
      <c r="K81" s="1637"/>
    </row>
    <row r="82" spans="1:11" ht="15.75" thickBot="1" x14ac:dyDescent="0.3">
      <c r="A82" s="1527"/>
      <c r="B82" s="1761"/>
      <c r="C82" s="1762"/>
      <c r="D82" s="1793"/>
      <c r="E82" s="1762" t="s">
        <v>7182</v>
      </c>
      <c r="F82" s="1763"/>
      <c r="G82" s="1764" t="s">
        <v>7182</v>
      </c>
      <c r="H82" s="1546">
        <f>SUM(G78:G82)</f>
        <v>2500</v>
      </c>
      <c r="J82" s="1637"/>
      <c r="K82" s="1637"/>
    </row>
    <row r="83" spans="1:11" ht="15.75" thickBot="1" x14ac:dyDescent="0.3">
      <c r="A83" s="1527"/>
      <c r="B83" s="1818"/>
      <c r="C83" s="1807"/>
      <c r="D83" s="1808"/>
      <c r="E83" s="1806"/>
      <c r="F83" s="1819"/>
      <c r="G83" s="1820"/>
      <c r="H83" s="1524"/>
      <c r="J83" s="1637"/>
      <c r="K83" s="1637"/>
    </row>
    <row r="84" spans="1:11" ht="15.75" thickBot="1" x14ac:dyDescent="0.3">
      <c r="A84" s="1527"/>
      <c r="B84" s="1811" t="s">
        <v>5410</v>
      </c>
      <c r="C84" s="1809" t="s">
        <v>867</v>
      </c>
      <c r="D84" s="1799" t="s">
        <v>6</v>
      </c>
      <c r="E84" s="1809" t="s">
        <v>7183</v>
      </c>
      <c r="F84" s="1809" t="s">
        <v>5405</v>
      </c>
      <c r="G84" s="1810" t="s">
        <v>7179</v>
      </c>
      <c r="H84" s="1524"/>
      <c r="J84" s="1637"/>
      <c r="K84" s="1637"/>
    </row>
    <row r="85" spans="1:11" ht="26.25" thickBot="1" x14ac:dyDescent="0.3">
      <c r="A85" s="1527"/>
      <c r="B85" s="1770" t="s">
        <v>9421</v>
      </c>
      <c r="C85" s="1747" t="s">
        <v>9427</v>
      </c>
      <c r="D85" s="1772">
        <v>1</v>
      </c>
      <c r="E85" s="1748">
        <v>180000</v>
      </c>
      <c r="F85" s="1854">
        <v>0.01</v>
      </c>
      <c r="G85" s="1783">
        <f>+F85*E85</f>
        <v>1800</v>
      </c>
      <c r="H85" s="1524"/>
      <c r="J85" s="1637"/>
      <c r="K85" s="1637"/>
    </row>
    <row r="86" spans="1:11" x14ac:dyDescent="0.25">
      <c r="A86" s="1527"/>
      <c r="B86" s="1752"/>
      <c r="C86" s="1749"/>
      <c r="D86" s="1773"/>
      <c r="E86" s="1748" t="s">
        <v>7182</v>
      </c>
      <c r="F86" s="1749"/>
      <c r="G86" s="1783" t="s">
        <v>7182</v>
      </c>
      <c r="H86" s="1524"/>
      <c r="J86" s="1637"/>
      <c r="K86" s="1637"/>
    </row>
    <row r="87" spans="1:11" x14ac:dyDescent="0.25">
      <c r="A87" s="1527"/>
      <c r="B87" s="1752"/>
      <c r="C87" s="1749"/>
      <c r="D87" s="1773"/>
      <c r="E87" s="1748" t="s">
        <v>7182</v>
      </c>
      <c r="F87" s="1749"/>
      <c r="G87" s="1783" t="s">
        <v>7182</v>
      </c>
      <c r="H87" s="1524"/>
      <c r="J87" s="1637"/>
      <c r="K87" s="1637"/>
    </row>
    <row r="88" spans="1:11" ht="15.75" thickBot="1" x14ac:dyDescent="0.3">
      <c r="A88" s="1527"/>
      <c r="B88" s="1752"/>
      <c r="C88" s="1749"/>
      <c r="D88" s="1773"/>
      <c r="E88" s="1748" t="s">
        <v>7182</v>
      </c>
      <c r="F88" s="1749"/>
      <c r="G88" s="1783" t="s">
        <v>7182</v>
      </c>
      <c r="H88" s="1524"/>
      <c r="J88" s="1637"/>
      <c r="K88" s="1637"/>
    </row>
    <row r="89" spans="1:11" ht="15.75" thickBot="1" x14ac:dyDescent="0.3">
      <c r="A89" s="1527"/>
      <c r="B89" s="1761"/>
      <c r="C89" s="1762"/>
      <c r="D89" s="1793"/>
      <c r="E89" s="1762" t="s">
        <v>7182</v>
      </c>
      <c r="F89" s="1763"/>
      <c r="G89" s="1764" t="s">
        <v>7182</v>
      </c>
      <c r="H89" s="1546">
        <f>SUM(G85:G89)</f>
        <v>1800</v>
      </c>
      <c r="J89" s="1637"/>
      <c r="K89" s="1637"/>
    </row>
    <row r="90" spans="1:11" ht="15.75" thickBot="1" x14ac:dyDescent="0.3">
      <c r="A90" s="1527"/>
      <c r="B90" s="1757"/>
      <c r="C90" s="1757"/>
      <c r="D90" s="1792"/>
      <c r="E90" s="1757"/>
      <c r="F90" s="1759"/>
      <c r="G90" s="1760"/>
      <c r="H90" s="1550"/>
      <c r="J90" s="1637"/>
      <c r="K90" s="1637"/>
    </row>
    <row r="91" spans="1:11" ht="15.75" thickBot="1" x14ac:dyDescent="0.3">
      <c r="A91" s="1559"/>
      <c r="B91" s="1812" t="s">
        <v>5412</v>
      </c>
      <c r="C91" s="1809" t="s">
        <v>5420</v>
      </c>
      <c r="D91" s="1799" t="s">
        <v>5421</v>
      </c>
      <c r="E91" s="1809" t="s">
        <v>7187</v>
      </c>
      <c r="F91" s="1809" t="s">
        <v>5405</v>
      </c>
      <c r="G91" s="1813" t="s">
        <v>7179</v>
      </c>
      <c r="H91" s="1371"/>
      <c r="J91" s="1637"/>
      <c r="K91" s="1637"/>
    </row>
    <row r="92" spans="1:11" x14ac:dyDescent="0.25">
      <c r="A92" s="1527"/>
      <c r="B92" s="1767" t="s">
        <v>9422</v>
      </c>
      <c r="C92" s="1778">
        <v>180000</v>
      </c>
      <c r="D92" s="1779">
        <f>0.6*C92</f>
        <v>108000</v>
      </c>
      <c r="E92" s="1778">
        <f>+D92+C92</f>
        <v>288000</v>
      </c>
      <c r="F92" s="1777">
        <v>1</v>
      </c>
      <c r="G92" s="1789">
        <f>+F92*E92</f>
        <v>288000</v>
      </c>
      <c r="H92" s="1524"/>
      <c r="J92" s="1637"/>
      <c r="K92" s="1637"/>
    </row>
    <row r="93" spans="1:11" x14ac:dyDescent="0.25">
      <c r="A93" s="1527"/>
      <c r="B93" s="1767"/>
      <c r="C93" s="1778"/>
      <c r="D93" s="1778"/>
      <c r="E93" s="1778"/>
      <c r="F93" s="1790"/>
      <c r="G93" s="1789"/>
      <c r="H93" s="1524"/>
      <c r="J93" s="1637"/>
      <c r="K93" s="1637"/>
    </row>
    <row r="94" spans="1:11" x14ac:dyDescent="0.25">
      <c r="A94" s="1527"/>
      <c r="B94" s="1768"/>
      <c r="C94" s="1778"/>
      <c r="D94" s="1778"/>
      <c r="E94" s="1778"/>
      <c r="F94" s="1788"/>
      <c r="G94" s="1789"/>
      <c r="H94" s="1524"/>
      <c r="J94" s="1637"/>
      <c r="K94" s="1637"/>
    </row>
    <row r="95" spans="1:11" x14ac:dyDescent="0.25">
      <c r="A95" s="1527"/>
      <c r="B95" s="1752"/>
      <c r="C95" s="1778"/>
      <c r="D95" s="1778"/>
      <c r="E95" s="1778"/>
      <c r="F95" s="1788"/>
      <c r="G95" s="1789"/>
      <c r="H95" s="1524"/>
    </row>
    <row r="96" spans="1:11" x14ac:dyDescent="0.25">
      <c r="A96" s="1527"/>
      <c r="B96" s="1752"/>
      <c r="C96" s="1750" t="s">
        <v>7182</v>
      </c>
      <c r="D96" s="1791" t="s">
        <v>7182</v>
      </c>
      <c r="E96" s="1750" t="s">
        <v>7182</v>
      </c>
      <c r="F96" s="1788"/>
      <c r="G96" s="1789" t="str">
        <f>IF(B96="","",E96/F96)</f>
        <v/>
      </c>
      <c r="H96" s="1524"/>
    </row>
    <row r="97" spans="1:11" ht="15.75" thickBot="1" x14ac:dyDescent="0.3">
      <c r="A97" s="1527"/>
      <c r="B97" s="1752"/>
      <c r="C97" s="1750" t="s">
        <v>7182</v>
      </c>
      <c r="D97" s="1791" t="s">
        <v>7182</v>
      </c>
      <c r="E97" s="1750" t="s">
        <v>7182</v>
      </c>
      <c r="F97" s="1749"/>
      <c r="G97" s="1789" t="str">
        <f>IF(B97="","",E97/F97)</f>
        <v/>
      </c>
      <c r="H97" s="1524"/>
    </row>
    <row r="98" spans="1:11" ht="15.75" thickBot="1" x14ac:dyDescent="0.3">
      <c r="A98" s="1527"/>
      <c r="B98" s="1761"/>
      <c r="C98" s="1762"/>
      <c r="D98" s="1793"/>
      <c r="E98" s="1762"/>
      <c r="F98" s="1763"/>
      <c r="G98" s="1764"/>
      <c r="H98" s="1546">
        <f>SUM(G92:G98)</f>
        <v>288000</v>
      </c>
    </row>
    <row r="99" spans="1:11" ht="15.75" thickBot="1" x14ac:dyDescent="0.3">
      <c r="A99" s="1527"/>
      <c r="B99" s="1527"/>
      <c r="C99" s="1527"/>
      <c r="D99" s="529"/>
      <c r="F99" s="1528"/>
      <c r="G99" s="1524"/>
      <c r="H99" s="1524"/>
    </row>
    <row r="100" spans="1:11" ht="15.75" thickBot="1" x14ac:dyDescent="0.3">
      <c r="A100" s="1647" t="s">
        <v>6744</v>
      </c>
      <c r="B100" s="1352"/>
      <c r="C100" s="1352"/>
      <c r="D100" s="1671"/>
      <c r="E100" s="1672"/>
      <c r="F100" s="1353"/>
      <c r="G100" s="1527" t="s">
        <v>5415</v>
      </c>
      <c r="H100" s="502">
        <f>ROUND(SUM(H58:H99),0)</f>
        <v>637302</v>
      </c>
      <c r="J100" s="1673">
        <f>+B54</f>
        <v>10.3</v>
      </c>
      <c r="K100" s="1674">
        <f>+H100</f>
        <v>637302</v>
      </c>
    </row>
    <row r="101" spans="1:11" x14ac:dyDescent="0.25">
      <c r="A101" s="1675"/>
      <c r="B101" s="1676"/>
      <c r="C101" s="1676"/>
      <c r="D101" s="1677"/>
      <c r="E101" s="1678"/>
      <c r="F101" s="1679"/>
      <c r="G101" s="1680"/>
      <c r="H101" s="1680"/>
    </row>
    <row r="102" spans="1:11" ht="18.75" x14ac:dyDescent="0.25">
      <c r="A102" s="1523"/>
      <c r="B102" s="1655"/>
      <c r="C102" s="1655"/>
      <c r="D102" s="950"/>
      <c r="E102" s="1655"/>
      <c r="F102" s="1655"/>
      <c r="G102" s="1655"/>
      <c r="H102" s="8"/>
    </row>
    <row r="103" spans="1:11" x14ac:dyDescent="0.25">
      <c r="A103" s="1523"/>
      <c r="B103" s="8"/>
      <c r="C103" s="8"/>
      <c r="D103" s="529"/>
      <c r="E103" s="8"/>
      <c r="F103" s="1523"/>
      <c r="G103" s="1524"/>
      <c r="H103" s="8"/>
    </row>
    <row r="104" spans="1:11" ht="15" customHeight="1" x14ac:dyDescent="0.25">
      <c r="A104" s="1665" t="s">
        <v>3</v>
      </c>
      <c r="B104" s="1390">
        <f>+VLOOKUP(C104,ListaAPUs!$B:$E,4,FALSE)</f>
        <v>10.4</v>
      </c>
      <c r="C104" s="2442" t="str">
        <f>+ListaAPUs!B204</f>
        <v>Banco ductos en tubo PVC 4X6"</v>
      </c>
      <c r="D104" s="2442"/>
      <c r="E104" s="2442"/>
      <c r="F104" s="1665" t="s">
        <v>867</v>
      </c>
      <c r="G104" s="1390" t="str">
        <f>+VLOOKUP(C104,ListaAPUs!$B:$E,2,FALSE)</f>
        <v>m</v>
      </c>
      <c r="H104" s="1524"/>
    </row>
    <row r="105" spans="1:11" x14ac:dyDescent="0.25">
      <c r="A105" s="1528"/>
      <c r="B105" s="1527"/>
      <c r="C105" s="1527"/>
      <c r="D105" s="529"/>
      <c r="E105" s="1527"/>
      <c r="F105" s="1528"/>
      <c r="G105" s="1524"/>
      <c r="H105" s="1524"/>
    </row>
    <row r="106" spans="1:11" x14ac:dyDescent="0.25">
      <c r="A106" s="1528"/>
      <c r="B106" s="1527"/>
      <c r="C106" s="1527"/>
      <c r="D106" s="529"/>
      <c r="E106" s="1527"/>
      <c r="F106" s="1528"/>
      <c r="G106" s="1529"/>
      <c r="H106" s="1524"/>
    </row>
    <row r="107" spans="1:11" ht="15.75" thickBot="1" x14ac:dyDescent="0.3">
      <c r="A107" s="1528"/>
      <c r="B107" s="1527"/>
      <c r="C107" s="1527"/>
      <c r="D107" s="529"/>
      <c r="E107" s="1527"/>
      <c r="F107" s="1528"/>
      <c r="G107" s="1524"/>
      <c r="H107" s="1524"/>
    </row>
    <row r="108" spans="1:11" ht="15.75" thickBot="1" x14ac:dyDescent="0.3">
      <c r="A108" s="1368"/>
      <c r="B108" s="1812" t="s">
        <v>5403</v>
      </c>
      <c r="C108" s="1809" t="s">
        <v>867</v>
      </c>
      <c r="D108" s="1799" t="s">
        <v>6</v>
      </c>
      <c r="E108" s="1809" t="s">
        <v>9417</v>
      </c>
      <c r="F108" s="1809" t="s">
        <v>5405</v>
      </c>
      <c r="G108" s="1813" t="s">
        <v>7179</v>
      </c>
      <c r="H108" s="1371"/>
    </row>
    <row r="109" spans="1:11" x14ac:dyDescent="0.25">
      <c r="A109" s="1528"/>
      <c r="B109" s="1746" t="s">
        <v>9428</v>
      </c>
      <c r="C109" s="1802" t="s">
        <v>5432</v>
      </c>
      <c r="D109" s="1794">
        <v>4</v>
      </c>
      <c r="E109" s="1826">
        <f>1321673/12.025</f>
        <v>109910.43659043658</v>
      </c>
      <c r="F109" s="1804">
        <v>1</v>
      </c>
      <c r="G109" s="1786">
        <f>+F109*E109*D109</f>
        <v>439641.74636174634</v>
      </c>
      <c r="H109" s="1524"/>
    </row>
    <row r="110" spans="1:11" x14ac:dyDescent="0.25">
      <c r="A110" s="1528"/>
      <c r="B110" s="1751" t="s">
        <v>9429</v>
      </c>
      <c r="C110" s="1749" t="s">
        <v>5</v>
      </c>
      <c r="D110" s="1773">
        <v>0.2</v>
      </c>
      <c r="E110" s="1827">
        <v>10950</v>
      </c>
      <c r="F110" s="1769">
        <v>1</v>
      </c>
      <c r="G110" s="1786">
        <f>+F110*E110*D110</f>
        <v>2190</v>
      </c>
      <c r="H110" s="1524"/>
    </row>
    <row r="111" spans="1:11" x14ac:dyDescent="0.25">
      <c r="A111" s="1528"/>
      <c r="B111" s="1822" t="s">
        <v>9430</v>
      </c>
      <c r="C111" s="1749" t="s">
        <v>5464</v>
      </c>
      <c r="D111" s="1773">
        <v>0.8</v>
      </c>
      <c r="E111" s="1827">
        <v>80000</v>
      </c>
      <c r="F111" s="1769">
        <v>1</v>
      </c>
      <c r="G111" s="1786">
        <f>+F111*E111*D111</f>
        <v>64000</v>
      </c>
      <c r="H111" s="1524"/>
      <c r="J111" s="1637"/>
      <c r="K111" s="1637"/>
    </row>
    <row r="112" spans="1:11" x14ac:dyDescent="0.25">
      <c r="A112" s="1528"/>
      <c r="B112" s="1667"/>
      <c r="C112" s="1537"/>
      <c r="D112" s="212"/>
      <c r="E112" s="1682"/>
      <c r="F112" s="1563"/>
      <c r="G112" s="814"/>
      <c r="H112" s="1524"/>
      <c r="J112" s="1637"/>
      <c r="K112" s="1637"/>
    </row>
    <row r="113" spans="1:11" x14ac:dyDescent="0.25">
      <c r="A113" s="1528"/>
      <c r="B113" s="1667"/>
      <c r="C113" s="1537"/>
      <c r="D113" s="212"/>
      <c r="E113" s="1682"/>
      <c r="F113" s="1563"/>
      <c r="G113" s="814"/>
      <c r="H113" s="1524"/>
      <c r="J113" s="1637"/>
      <c r="K113" s="1637"/>
    </row>
    <row r="114" spans="1:11" x14ac:dyDescent="0.25">
      <c r="A114" s="1528"/>
      <c r="B114" s="1667"/>
      <c r="C114" s="1537"/>
      <c r="D114" s="212"/>
      <c r="E114" s="816"/>
      <c r="F114" s="1563"/>
      <c r="G114" s="814"/>
      <c r="H114" s="1524"/>
      <c r="J114" s="1637"/>
      <c r="K114" s="1637"/>
    </row>
    <row r="115" spans="1:11" x14ac:dyDescent="0.25">
      <c r="A115" s="1528"/>
      <c r="B115" s="1667"/>
      <c r="C115" s="1537"/>
      <c r="D115" s="212"/>
      <c r="E115" s="816"/>
      <c r="F115" s="1563"/>
      <c r="G115" s="814"/>
      <c r="H115" s="1524"/>
      <c r="J115" s="1637"/>
      <c r="K115" s="1637"/>
    </row>
    <row r="116" spans="1:11" x14ac:dyDescent="0.25">
      <c r="A116" s="1528"/>
      <c r="B116" s="1667"/>
      <c r="C116" s="1537"/>
      <c r="D116" s="212"/>
      <c r="E116" s="816"/>
      <c r="F116" s="1563"/>
      <c r="G116" s="814"/>
      <c r="H116" s="1524"/>
      <c r="J116" s="1637"/>
      <c r="K116" s="1637"/>
    </row>
    <row r="117" spans="1:11" x14ac:dyDescent="0.25">
      <c r="A117" s="1528"/>
      <c r="B117" s="1667"/>
      <c r="C117" s="1537"/>
      <c r="D117" s="212"/>
      <c r="E117" s="816"/>
      <c r="F117" s="1563"/>
      <c r="G117" s="814"/>
      <c r="H117" s="1524"/>
      <c r="J117" s="1637"/>
      <c r="K117" s="1637"/>
    </row>
    <row r="118" spans="1:11" x14ac:dyDescent="0.25">
      <c r="A118" s="1528"/>
      <c r="B118" s="1667"/>
      <c r="C118" s="1537"/>
      <c r="D118" s="212"/>
      <c r="E118" s="816"/>
      <c r="F118" s="1563"/>
      <c r="G118" s="814"/>
      <c r="H118" s="1524"/>
      <c r="J118" s="1637"/>
      <c r="K118" s="1637"/>
    </row>
    <row r="119" spans="1:11" x14ac:dyDescent="0.25">
      <c r="A119" s="1528"/>
      <c r="B119" s="1667"/>
      <c r="C119" s="1537"/>
      <c r="D119" s="212"/>
      <c r="E119" s="816"/>
      <c r="F119" s="1563"/>
      <c r="G119" s="814"/>
      <c r="H119" s="1524"/>
      <c r="J119" s="1637"/>
      <c r="K119" s="1637"/>
    </row>
    <row r="120" spans="1:11" x14ac:dyDescent="0.25">
      <c r="A120" s="1528"/>
      <c r="B120" s="269"/>
      <c r="C120" s="1537"/>
      <c r="D120" s="212"/>
      <c r="E120" s="816"/>
      <c r="F120" s="1563"/>
      <c r="G120" s="814"/>
      <c r="H120" s="1524"/>
      <c r="J120" s="1637"/>
      <c r="K120" s="1637"/>
    </row>
    <row r="121" spans="1:11" x14ac:dyDescent="0.25">
      <c r="A121" s="1528"/>
      <c r="B121" s="268"/>
      <c r="C121" s="1534"/>
      <c r="D121" s="211"/>
      <c r="E121" s="1535" t="s">
        <v>7182</v>
      </c>
      <c r="F121" s="1551"/>
      <c r="G121" s="1541" t="s">
        <v>7182</v>
      </c>
      <c r="H121" s="1524"/>
      <c r="J121" s="1637"/>
      <c r="K121" s="1637"/>
    </row>
    <row r="122" spans="1:11" x14ac:dyDescent="0.25">
      <c r="A122" s="1528"/>
      <c r="B122" s="1346"/>
      <c r="C122" s="1534"/>
      <c r="D122" s="211"/>
      <c r="E122" s="1535" t="s">
        <v>7182</v>
      </c>
      <c r="F122" s="1551"/>
      <c r="G122" s="1541" t="s">
        <v>7182</v>
      </c>
      <c r="H122" s="1524"/>
      <c r="J122" s="1637"/>
      <c r="K122" s="1637"/>
    </row>
    <row r="123" spans="1:11" ht="15.75" thickBot="1" x14ac:dyDescent="0.3">
      <c r="A123" s="1528"/>
      <c r="B123" s="1540"/>
      <c r="C123" s="1537"/>
      <c r="D123" s="952"/>
      <c r="E123" s="1538" t="s">
        <v>7182</v>
      </c>
      <c r="F123" s="1537"/>
      <c r="G123" s="1541" t="s">
        <v>7182</v>
      </c>
      <c r="H123" s="1524"/>
      <c r="J123" s="1637"/>
      <c r="K123" s="1637"/>
    </row>
    <row r="124" spans="1:11" ht="15.75" thickBot="1" x14ac:dyDescent="0.3">
      <c r="A124" s="1528"/>
      <c r="B124" s="1555"/>
      <c r="C124" s="1557"/>
      <c r="D124" s="956"/>
      <c r="E124" s="1556" t="s">
        <v>7182</v>
      </c>
      <c r="F124" s="1557"/>
      <c r="G124" s="1558" t="s">
        <v>7182</v>
      </c>
      <c r="H124" s="1546">
        <f>SUM(G109:G124)</f>
        <v>505831.74636174634</v>
      </c>
      <c r="J124" s="1637"/>
      <c r="K124" s="1637"/>
    </row>
    <row r="125" spans="1:11" x14ac:dyDescent="0.25">
      <c r="A125" s="1528"/>
      <c r="B125" s="1372"/>
      <c r="C125" s="1374"/>
      <c r="D125" s="1373"/>
      <c r="E125" s="1372" t="s">
        <v>7182</v>
      </c>
      <c r="F125" s="1374"/>
      <c r="G125" s="1375" t="s">
        <v>7182</v>
      </c>
      <c r="H125" s="1550"/>
      <c r="J125" s="1637"/>
      <c r="K125" s="1637"/>
    </row>
    <row r="126" spans="1:11" ht="15.75" thickBot="1" x14ac:dyDescent="0.3">
      <c r="A126" s="1527"/>
      <c r="B126" s="188"/>
      <c r="C126" s="189"/>
      <c r="D126" s="1668"/>
      <c r="E126" s="188"/>
      <c r="F126" s="189"/>
      <c r="G126" s="1669"/>
      <c r="H126" s="1550"/>
      <c r="J126" s="1637"/>
      <c r="K126" s="1637"/>
    </row>
    <row r="127" spans="1:11" ht="15.75" thickBot="1" x14ac:dyDescent="0.3">
      <c r="A127" s="1527"/>
      <c r="B127" s="1366" t="s">
        <v>9418</v>
      </c>
      <c r="C127" s="1363" t="s">
        <v>867</v>
      </c>
      <c r="D127" s="1120" t="s">
        <v>6</v>
      </c>
      <c r="E127" s="1363" t="s">
        <v>7183</v>
      </c>
      <c r="F127" s="1363" t="s">
        <v>5405</v>
      </c>
      <c r="G127" s="1365" t="s">
        <v>7179</v>
      </c>
      <c r="H127" s="1524"/>
      <c r="J127" s="1637"/>
      <c r="K127" s="1637"/>
    </row>
    <row r="128" spans="1:11" x14ac:dyDescent="0.25">
      <c r="A128" s="1527"/>
      <c r="B128" s="1564" t="s">
        <v>5455</v>
      </c>
      <c r="C128" s="1534" t="s">
        <v>5</v>
      </c>
      <c r="D128" s="211">
        <v>1</v>
      </c>
      <c r="E128" s="1535">
        <v>20000</v>
      </c>
      <c r="F128" s="297">
        <v>0.1</v>
      </c>
      <c r="G128" s="1572">
        <f>+F128*E128</f>
        <v>2000</v>
      </c>
      <c r="H128" s="1524"/>
      <c r="J128" s="1637"/>
      <c r="K128" s="1637"/>
    </row>
    <row r="129" spans="1:11" x14ac:dyDescent="0.25">
      <c r="A129" s="1527"/>
      <c r="B129" s="1540"/>
      <c r="C129" s="1537"/>
      <c r="D129" s="212"/>
      <c r="E129" s="1535" t="s">
        <v>7182</v>
      </c>
      <c r="F129" s="1537"/>
      <c r="G129" s="1572" t="s">
        <v>7182</v>
      </c>
      <c r="H129" s="1524"/>
      <c r="J129" s="1637"/>
      <c r="K129" s="1637"/>
    </row>
    <row r="130" spans="1:11" x14ac:dyDescent="0.25">
      <c r="A130" s="1527"/>
      <c r="B130" s="1540"/>
      <c r="C130" s="1537"/>
      <c r="D130" s="212"/>
      <c r="E130" s="1535" t="s">
        <v>7182</v>
      </c>
      <c r="F130" s="1537"/>
      <c r="G130" s="1572" t="s">
        <v>7182</v>
      </c>
      <c r="H130" s="1524"/>
      <c r="J130" s="1637"/>
      <c r="K130" s="1637"/>
    </row>
    <row r="131" spans="1:11" ht="15.75" thickBot="1" x14ac:dyDescent="0.3">
      <c r="A131" s="1527"/>
      <c r="B131" s="1540"/>
      <c r="C131" s="1537"/>
      <c r="D131" s="212"/>
      <c r="E131" s="1535" t="s">
        <v>7182</v>
      </c>
      <c r="F131" s="1537"/>
      <c r="G131" s="1572" t="s">
        <v>7182</v>
      </c>
      <c r="H131" s="1524"/>
      <c r="J131" s="1637"/>
      <c r="K131" s="1637"/>
    </row>
    <row r="132" spans="1:11" ht="15.75" thickBot="1" x14ac:dyDescent="0.3">
      <c r="A132" s="1527"/>
      <c r="B132" s="1555"/>
      <c r="C132" s="1556"/>
      <c r="D132" s="956"/>
      <c r="E132" s="1556" t="s">
        <v>7182</v>
      </c>
      <c r="F132" s="1557"/>
      <c r="G132" s="1558" t="s">
        <v>7182</v>
      </c>
      <c r="H132" s="1546">
        <f>SUM(G128:G132)</f>
        <v>2000</v>
      </c>
      <c r="J132" s="1637"/>
      <c r="K132" s="1637"/>
    </row>
    <row r="133" spans="1:11" ht="15.75" thickBot="1" x14ac:dyDescent="0.3">
      <c r="A133" s="1527"/>
      <c r="B133" s="1376"/>
      <c r="C133" s="1353"/>
      <c r="D133" s="1355"/>
      <c r="E133" s="1352"/>
      <c r="F133" s="1377"/>
      <c r="G133" s="1378"/>
      <c r="H133" s="1524"/>
      <c r="J133" s="1637"/>
      <c r="K133" s="1637"/>
    </row>
    <row r="134" spans="1:11" ht="15.75" thickBot="1" x14ac:dyDescent="0.3">
      <c r="A134" s="1527"/>
      <c r="B134" s="1366" t="s">
        <v>5410</v>
      </c>
      <c r="C134" s="1363" t="s">
        <v>867</v>
      </c>
      <c r="D134" s="1120" t="s">
        <v>6</v>
      </c>
      <c r="E134" s="1363" t="s">
        <v>7183</v>
      </c>
      <c r="F134" s="1363" t="s">
        <v>5405</v>
      </c>
      <c r="G134" s="1365" t="s">
        <v>7179</v>
      </c>
      <c r="H134" s="1524"/>
      <c r="J134" s="1637"/>
      <c r="K134" s="1637"/>
    </row>
    <row r="135" spans="1:11" ht="25.5" x14ac:dyDescent="0.25">
      <c r="A135" s="1527"/>
      <c r="B135" s="1564" t="s">
        <v>9421</v>
      </c>
      <c r="C135" s="1534" t="s">
        <v>9023</v>
      </c>
      <c r="D135" s="211">
        <v>1</v>
      </c>
      <c r="E135" s="1535">
        <v>25000</v>
      </c>
      <c r="F135" s="297">
        <v>1</v>
      </c>
      <c r="G135" s="1572">
        <f>+F135*E135</f>
        <v>25000</v>
      </c>
      <c r="H135" s="1524"/>
      <c r="J135" s="1637"/>
      <c r="K135" s="1637"/>
    </row>
    <row r="136" spans="1:11" x14ac:dyDescent="0.25">
      <c r="A136" s="1527"/>
      <c r="B136" s="1540"/>
      <c r="C136" s="1537"/>
      <c r="D136" s="212"/>
      <c r="E136" s="1535" t="s">
        <v>7182</v>
      </c>
      <c r="F136" s="1537"/>
      <c r="G136" s="1572" t="s">
        <v>7182</v>
      </c>
      <c r="H136" s="1524"/>
      <c r="J136" s="1637"/>
      <c r="K136" s="1637"/>
    </row>
    <row r="137" spans="1:11" x14ac:dyDescent="0.25">
      <c r="A137" s="1527"/>
      <c r="B137" s="1540"/>
      <c r="C137" s="1537"/>
      <c r="D137" s="212"/>
      <c r="E137" s="1535" t="s">
        <v>7182</v>
      </c>
      <c r="F137" s="1537"/>
      <c r="G137" s="1572" t="s">
        <v>7182</v>
      </c>
      <c r="H137" s="1524"/>
      <c r="J137" s="1637"/>
      <c r="K137" s="1637"/>
    </row>
    <row r="138" spans="1:11" ht="15.75" thickBot="1" x14ac:dyDescent="0.3">
      <c r="A138" s="1527"/>
      <c r="B138" s="1540"/>
      <c r="C138" s="1537"/>
      <c r="D138" s="212"/>
      <c r="E138" s="1535" t="s">
        <v>7182</v>
      </c>
      <c r="F138" s="1537"/>
      <c r="G138" s="1572" t="s">
        <v>7182</v>
      </c>
      <c r="H138" s="1524"/>
      <c r="J138" s="1637"/>
      <c r="K138" s="1637"/>
    </row>
    <row r="139" spans="1:11" ht="15.75" thickBot="1" x14ac:dyDescent="0.3">
      <c r="A139" s="1527"/>
      <c r="B139" s="1555"/>
      <c r="C139" s="1556"/>
      <c r="D139" s="956"/>
      <c r="E139" s="1556" t="s">
        <v>7182</v>
      </c>
      <c r="F139" s="1557"/>
      <c r="G139" s="1558" t="s">
        <v>7182</v>
      </c>
      <c r="H139" s="1546">
        <f>SUM(G135:G139)</f>
        <v>25000</v>
      </c>
      <c r="J139" s="1637"/>
      <c r="K139" s="1637"/>
    </row>
    <row r="140" spans="1:11" ht="15.75" thickBot="1" x14ac:dyDescent="0.3">
      <c r="A140" s="1527"/>
      <c r="B140" s="1547"/>
      <c r="C140" s="1547"/>
      <c r="D140" s="954"/>
      <c r="E140" s="1547"/>
      <c r="F140" s="1553"/>
      <c r="G140" s="1554"/>
      <c r="H140" s="1550"/>
      <c r="J140" s="1637"/>
      <c r="K140" s="1637"/>
    </row>
    <row r="141" spans="1:11" ht="15.75" thickBot="1" x14ac:dyDescent="0.3">
      <c r="A141" s="1559"/>
      <c r="B141" s="1369" t="s">
        <v>5412</v>
      </c>
      <c r="C141" s="1363" t="s">
        <v>5420</v>
      </c>
      <c r="D141" s="1120" t="s">
        <v>5421</v>
      </c>
      <c r="E141" s="1363" t="s">
        <v>7187</v>
      </c>
      <c r="F141" s="1363" t="s">
        <v>5405</v>
      </c>
      <c r="G141" s="1370" t="s">
        <v>7179</v>
      </c>
      <c r="H141" s="1371"/>
      <c r="J141" s="1637"/>
      <c r="K141" s="1637"/>
    </row>
    <row r="142" spans="1:11" x14ac:dyDescent="0.25">
      <c r="A142" s="1527"/>
      <c r="B142" s="1560" t="s">
        <v>9422</v>
      </c>
      <c r="C142" s="1569">
        <v>170000</v>
      </c>
      <c r="D142" s="352">
        <f>0.6*C142</f>
        <v>102000</v>
      </c>
      <c r="E142" s="1569">
        <f>+D142+C142</f>
        <v>272000</v>
      </c>
      <c r="F142" s="1721">
        <v>0.45</v>
      </c>
      <c r="G142" s="818">
        <f>+F142*E142</f>
        <v>122400</v>
      </c>
      <c r="H142" s="1524"/>
      <c r="J142" s="1637"/>
      <c r="K142" s="1637"/>
    </row>
    <row r="143" spans="1:11" x14ac:dyDescent="0.25">
      <c r="A143" s="1527"/>
      <c r="B143" s="1560"/>
      <c r="C143" s="1569"/>
      <c r="D143" s="1569"/>
      <c r="E143" s="1569"/>
      <c r="F143" s="819"/>
      <c r="G143" s="818"/>
      <c r="H143" s="1524"/>
    </row>
    <row r="144" spans="1:11" x14ac:dyDescent="0.25">
      <c r="A144" s="1527"/>
      <c r="B144" s="1561"/>
      <c r="C144" s="1569"/>
      <c r="D144" s="1569"/>
      <c r="E144" s="1569"/>
      <c r="F144" s="817"/>
      <c r="G144" s="818"/>
      <c r="H144" s="1524"/>
    </row>
    <row r="145" spans="1:11" x14ac:dyDescent="0.25">
      <c r="A145" s="1527"/>
      <c r="B145" s="1540"/>
      <c r="C145" s="1569"/>
      <c r="D145" s="1569"/>
      <c r="E145" s="1569"/>
      <c r="F145" s="817"/>
      <c r="G145" s="818"/>
      <c r="H145" s="1524"/>
    </row>
    <row r="146" spans="1:11" x14ac:dyDescent="0.25">
      <c r="A146" s="1527"/>
      <c r="B146" s="1540"/>
      <c r="C146" s="1538" t="s">
        <v>7182</v>
      </c>
      <c r="D146" s="952" t="s">
        <v>7182</v>
      </c>
      <c r="E146" s="1538" t="s">
        <v>7182</v>
      </c>
      <c r="F146" s="817"/>
      <c r="G146" s="818" t="str">
        <f>IF(B146="","",E146/F146)</f>
        <v/>
      </c>
      <c r="H146" s="1524"/>
    </row>
    <row r="147" spans="1:11" ht="15.75" thickBot="1" x14ac:dyDescent="0.3">
      <c r="A147" s="1527"/>
      <c r="B147" s="1540"/>
      <c r="C147" s="1538" t="s">
        <v>7182</v>
      </c>
      <c r="D147" s="952" t="s">
        <v>7182</v>
      </c>
      <c r="E147" s="1538" t="s">
        <v>7182</v>
      </c>
      <c r="F147" s="1537"/>
      <c r="G147" s="818" t="str">
        <f>IF(B147="","",E147/F147)</f>
        <v/>
      </c>
      <c r="H147" s="1524"/>
    </row>
    <row r="148" spans="1:11" ht="15.75" thickBot="1" x14ac:dyDescent="0.3">
      <c r="A148" s="1527"/>
      <c r="B148" s="1555"/>
      <c r="C148" s="1556"/>
      <c r="D148" s="956"/>
      <c r="E148" s="1556"/>
      <c r="F148" s="1557"/>
      <c r="G148" s="1558"/>
      <c r="H148" s="1546">
        <f>SUM(G142:G148)</f>
        <v>122400</v>
      </c>
    </row>
    <row r="149" spans="1:11" ht="15.75" thickBot="1" x14ac:dyDescent="0.3">
      <c r="A149" s="1527"/>
      <c r="B149" s="1527"/>
      <c r="C149" s="1527"/>
      <c r="D149" s="529"/>
      <c r="F149" s="1528"/>
      <c r="G149" s="1524"/>
      <c r="H149" s="1524"/>
    </row>
    <row r="150" spans="1:11" ht="15.75" thickBot="1" x14ac:dyDescent="0.3">
      <c r="A150" s="1647" t="s">
        <v>6744</v>
      </c>
      <c r="B150" s="1352"/>
      <c r="C150" s="1352"/>
      <c r="D150" s="1671"/>
      <c r="E150" s="1672"/>
      <c r="F150" s="1353"/>
      <c r="G150" s="1527" t="s">
        <v>5415</v>
      </c>
      <c r="H150" s="502">
        <f>ROUND(SUM(H108:H149),0)</f>
        <v>655232</v>
      </c>
      <c r="J150" s="1673">
        <f>+B104</f>
        <v>10.4</v>
      </c>
      <c r="K150" s="1674">
        <f>+H150</f>
        <v>655232</v>
      </c>
    </row>
    <row r="151" spans="1:11" x14ac:dyDescent="0.25">
      <c r="A151" s="1675"/>
      <c r="B151" s="1676"/>
      <c r="C151" s="1676"/>
      <c r="D151" s="1677"/>
      <c r="E151" s="1678"/>
      <c r="F151" s="1679"/>
      <c r="G151" s="1680"/>
      <c r="H151" s="1680"/>
    </row>
    <row r="152" spans="1:11" ht="18.75" x14ac:dyDescent="0.25">
      <c r="A152" s="1523"/>
      <c r="B152" s="1655"/>
      <c r="C152" s="1655"/>
      <c r="D152" s="950"/>
      <c r="E152" s="1655"/>
      <c r="F152" s="1655"/>
      <c r="G152" s="1655"/>
      <c r="H152" s="8"/>
    </row>
    <row r="153" spans="1:11" x14ac:dyDescent="0.25">
      <c r="A153" s="1523"/>
      <c r="B153" s="8"/>
      <c r="C153" s="8"/>
      <c r="D153" s="529"/>
      <c r="E153" s="8"/>
      <c r="F153" s="1523"/>
      <c r="G153" s="1524"/>
      <c r="H153" s="8"/>
    </row>
    <row r="154" spans="1:11" ht="15" customHeight="1" x14ac:dyDescent="0.25">
      <c r="A154" s="1665" t="s">
        <v>3</v>
      </c>
      <c r="B154" s="1390">
        <f>+VLOOKUP(C154,ListaAPUs!$B:$E,4,FALSE)</f>
        <v>10.5</v>
      </c>
      <c r="C154" s="2442" t="str">
        <f>+ListaAPUs!B205</f>
        <v>Acometida  media tension en cable cobre XLPE 3X2/0  de 35KV</v>
      </c>
      <c r="D154" s="2442"/>
      <c r="E154" s="2442"/>
      <c r="F154" s="1665" t="s">
        <v>867</v>
      </c>
      <c r="G154" s="1390" t="str">
        <f>+VLOOKUP(C154,ListaAPUs!$B:$E,2,FALSE)</f>
        <v>m</v>
      </c>
      <c r="H154" s="1524"/>
    </row>
    <row r="155" spans="1:11" x14ac:dyDescent="0.25">
      <c r="A155" s="1528"/>
      <c r="B155" s="1527"/>
      <c r="C155" s="1527"/>
      <c r="D155" s="529"/>
      <c r="E155" s="1527"/>
      <c r="F155" s="1528"/>
      <c r="G155" s="1524"/>
      <c r="H155" s="1524"/>
    </row>
    <row r="156" spans="1:11" x14ac:dyDescent="0.25">
      <c r="A156" s="1528"/>
      <c r="B156" s="1527"/>
      <c r="C156" s="1527"/>
      <c r="D156" s="529"/>
      <c r="E156" s="1527"/>
      <c r="F156" s="1528"/>
      <c r="G156" s="1529"/>
      <c r="H156" s="1524"/>
    </row>
    <row r="157" spans="1:11" ht="15.75" thickBot="1" x14ac:dyDescent="0.3">
      <c r="A157" s="1528"/>
      <c r="B157" s="1527"/>
      <c r="C157" s="1527"/>
      <c r="D157" s="529"/>
      <c r="E157" s="1527"/>
      <c r="F157" s="1528"/>
      <c r="G157" s="1524"/>
      <c r="H157" s="1524"/>
    </row>
    <row r="158" spans="1:11" ht="15.75" thickBot="1" x14ac:dyDescent="0.3">
      <c r="A158" s="1368"/>
      <c r="B158" s="1369" t="s">
        <v>5403</v>
      </c>
      <c r="C158" s="1363" t="s">
        <v>867</v>
      </c>
      <c r="D158" s="1120" t="s">
        <v>6</v>
      </c>
      <c r="E158" s="1363" t="s">
        <v>9417</v>
      </c>
      <c r="F158" s="1363" t="s">
        <v>5405</v>
      </c>
      <c r="G158" s="1370" t="s">
        <v>7179</v>
      </c>
      <c r="H158" s="1371"/>
    </row>
    <row r="159" spans="1:11" x14ac:dyDescent="0.25">
      <c r="A159" s="1528"/>
      <c r="B159" s="1746" t="s">
        <v>9431</v>
      </c>
      <c r="C159" s="1802" t="s">
        <v>5432</v>
      </c>
      <c r="D159" s="1794">
        <v>3</v>
      </c>
      <c r="E159" s="1803">
        <v>53579</v>
      </c>
      <c r="F159" s="1804">
        <v>1.05</v>
      </c>
      <c r="G159" s="1805">
        <f>+F159*E159*D159</f>
        <v>168773.85</v>
      </c>
      <c r="H159" s="1524"/>
      <c r="J159" s="1637"/>
      <c r="K159" s="1637"/>
    </row>
    <row r="160" spans="1:11" x14ac:dyDescent="0.25">
      <c r="A160" s="1528"/>
      <c r="B160" s="1751" t="s">
        <v>9432</v>
      </c>
      <c r="C160" s="1749" t="s">
        <v>5</v>
      </c>
      <c r="D160" s="1773">
        <v>0.01</v>
      </c>
      <c r="E160" s="1825">
        <v>50000</v>
      </c>
      <c r="F160" s="1769">
        <v>1</v>
      </c>
      <c r="G160" s="1786">
        <f>+F160*E160*D160</f>
        <v>500</v>
      </c>
      <c r="H160" s="1524"/>
      <c r="J160" s="1637"/>
      <c r="K160" s="1637"/>
    </row>
    <row r="161" spans="1:11" x14ac:dyDescent="0.25">
      <c r="A161" s="1528"/>
      <c r="B161" s="1667"/>
      <c r="C161" s="1537"/>
      <c r="D161" s="212"/>
      <c r="E161" s="816"/>
      <c r="F161" s="1563"/>
      <c r="G161" s="814"/>
      <c r="H161" s="1524"/>
      <c r="J161" s="1637"/>
      <c r="K161" s="1637"/>
    </row>
    <row r="162" spans="1:11" x14ac:dyDescent="0.25">
      <c r="A162" s="1528"/>
      <c r="B162" s="1667"/>
      <c r="C162" s="1537"/>
      <c r="D162" s="212"/>
      <c r="E162" s="816"/>
      <c r="F162" s="1563"/>
      <c r="G162" s="814"/>
      <c r="H162" s="1524"/>
      <c r="J162" s="1637"/>
      <c r="K162" s="1637"/>
    </row>
    <row r="163" spans="1:11" x14ac:dyDescent="0.25">
      <c r="A163" s="1528"/>
      <c r="B163" s="1667"/>
      <c r="C163" s="1537"/>
      <c r="D163" s="212"/>
      <c r="E163" s="816"/>
      <c r="F163" s="1563"/>
      <c r="G163" s="814"/>
      <c r="H163" s="1524"/>
      <c r="J163" s="1637"/>
      <c r="K163" s="1637"/>
    </row>
    <row r="164" spans="1:11" x14ac:dyDescent="0.25">
      <c r="A164" s="1528"/>
      <c r="B164" s="1667"/>
      <c r="C164" s="1537"/>
      <c r="D164" s="212"/>
      <c r="E164" s="816"/>
      <c r="F164" s="1563"/>
      <c r="G164" s="814"/>
      <c r="H164" s="1524"/>
      <c r="J164" s="1637"/>
      <c r="K164" s="1637"/>
    </row>
    <row r="165" spans="1:11" x14ac:dyDescent="0.25">
      <c r="A165" s="1528"/>
      <c r="B165" s="1667"/>
      <c r="C165" s="1537"/>
      <c r="D165" s="212"/>
      <c r="E165" s="816"/>
      <c r="F165" s="1563"/>
      <c r="G165" s="814"/>
      <c r="H165" s="1524"/>
      <c r="J165" s="1637"/>
      <c r="K165" s="1637"/>
    </row>
    <row r="166" spans="1:11" x14ac:dyDescent="0.25">
      <c r="A166" s="1528"/>
      <c r="B166" s="1667"/>
      <c r="C166" s="1537"/>
      <c r="D166" s="212"/>
      <c r="E166" s="816"/>
      <c r="F166" s="1563"/>
      <c r="G166" s="814"/>
      <c r="H166" s="1524"/>
      <c r="J166" s="1637"/>
      <c r="K166" s="1637"/>
    </row>
    <row r="167" spans="1:11" x14ac:dyDescent="0.25">
      <c r="A167" s="1528"/>
      <c r="B167" s="1667"/>
      <c r="C167" s="1537"/>
      <c r="D167" s="212"/>
      <c r="E167" s="816"/>
      <c r="F167" s="1563"/>
      <c r="G167" s="814"/>
      <c r="H167" s="1524"/>
      <c r="J167" s="1637"/>
      <c r="K167" s="1637"/>
    </row>
    <row r="168" spans="1:11" x14ac:dyDescent="0.25">
      <c r="A168" s="1528"/>
      <c r="B168" s="1667"/>
      <c r="C168" s="1537"/>
      <c r="D168" s="212"/>
      <c r="E168" s="816"/>
      <c r="F168" s="1563"/>
      <c r="G168" s="814"/>
      <c r="H168" s="1524"/>
      <c r="J168" s="1637"/>
      <c r="K168" s="1637"/>
    </row>
    <row r="169" spans="1:11" x14ac:dyDescent="0.25">
      <c r="A169" s="1528"/>
      <c r="B169" s="1667"/>
      <c r="C169" s="1537"/>
      <c r="D169" s="212"/>
      <c r="E169" s="816"/>
      <c r="F169" s="1563"/>
      <c r="G169" s="814"/>
      <c r="H169" s="1524"/>
      <c r="J169" s="1637"/>
      <c r="K169" s="1637"/>
    </row>
    <row r="170" spans="1:11" x14ac:dyDescent="0.25">
      <c r="A170" s="1528"/>
      <c r="B170" s="269"/>
      <c r="C170" s="1537"/>
      <c r="D170" s="212"/>
      <c r="E170" s="816"/>
      <c r="F170" s="1563"/>
      <c r="G170" s="814"/>
      <c r="H170" s="1524"/>
      <c r="J170" s="1637"/>
      <c r="K170" s="1637"/>
    </row>
    <row r="171" spans="1:11" x14ac:dyDescent="0.25">
      <c r="A171" s="1528"/>
      <c r="B171" s="268"/>
      <c r="C171" s="1534"/>
      <c r="D171" s="211"/>
      <c r="E171" s="1535" t="s">
        <v>7182</v>
      </c>
      <c r="F171" s="1551"/>
      <c r="G171" s="1541" t="s">
        <v>7182</v>
      </c>
      <c r="H171" s="1524"/>
      <c r="J171" s="1637"/>
      <c r="K171" s="1637"/>
    </row>
    <row r="172" spans="1:11" x14ac:dyDescent="0.25">
      <c r="A172" s="1528"/>
      <c r="B172" s="1346"/>
      <c r="C172" s="1534"/>
      <c r="D172" s="211"/>
      <c r="E172" s="1535" t="s">
        <v>7182</v>
      </c>
      <c r="F172" s="1551"/>
      <c r="G172" s="1541" t="s">
        <v>7182</v>
      </c>
      <c r="H172" s="1524"/>
      <c r="J172" s="1637"/>
      <c r="K172" s="1637"/>
    </row>
    <row r="173" spans="1:11" ht="15.75" thickBot="1" x14ac:dyDescent="0.3">
      <c r="A173" s="1528"/>
      <c r="B173" s="1540"/>
      <c r="C173" s="1537"/>
      <c r="D173" s="952"/>
      <c r="E173" s="1538" t="s">
        <v>7182</v>
      </c>
      <c r="F173" s="1537"/>
      <c r="G173" s="1541" t="s">
        <v>7182</v>
      </c>
      <c r="H173" s="1524"/>
      <c r="J173" s="1637"/>
      <c r="K173" s="1637"/>
    </row>
    <row r="174" spans="1:11" ht="15.75" thickBot="1" x14ac:dyDescent="0.3">
      <c r="A174" s="1528"/>
      <c r="B174" s="1555"/>
      <c r="C174" s="1557"/>
      <c r="D174" s="956"/>
      <c r="E174" s="1556" t="s">
        <v>7182</v>
      </c>
      <c r="F174" s="1557"/>
      <c r="G174" s="1558" t="s">
        <v>7182</v>
      </c>
      <c r="H174" s="1546">
        <f>SUM(G159:G174)</f>
        <v>169273.85</v>
      </c>
      <c r="J174" s="1637"/>
      <c r="K174" s="1637"/>
    </row>
    <row r="175" spans="1:11" x14ac:dyDescent="0.25">
      <c r="A175" s="1528"/>
      <c r="B175" s="1372"/>
      <c r="C175" s="1374"/>
      <c r="D175" s="1373"/>
      <c r="E175" s="1372" t="s">
        <v>7182</v>
      </c>
      <c r="F175" s="1374"/>
      <c r="G175" s="1375" t="s">
        <v>7182</v>
      </c>
      <c r="H175" s="1550"/>
      <c r="J175" s="1637"/>
      <c r="K175" s="1637"/>
    </row>
    <row r="176" spans="1:11" ht="15.75" thickBot="1" x14ac:dyDescent="0.3">
      <c r="A176" s="1527"/>
      <c r="B176" s="188"/>
      <c r="C176" s="189"/>
      <c r="D176" s="1668"/>
      <c r="E176" s="188"/>
      <c r="F176" s="189"/>
      <c r="G176" s="1669"/>
      <c r="H176" s="1550"/>
      <c r="J176" s="1637"/>
      <c r="K176" s="1637"/>
    </row>
    <row r="177" spans="1:11" ht="15.75" thickBot="1" x14ac:dyDescent="0.3">
      <c r="A177" s="1527"/>
      <c r="B177" s="1366" t="s">
        <v>9418</v>
      </c>
      <c r="C177" s="1363" t="s">
        <v>867</v>
      </c>
      <c r="D177" s="1120" t="s">
        <v>6</v>
      </c>
      <c r="E177" s="1363" t="s">
        <v>7183</v>
      </c>
      <c r="F177" s="1363" t="s">
        <v>5405</v>
      </c>
      <c r="G177" s="1365" t="s">
        <v>7179</v>
      </c>
      <c r="H177" s="1524"/>
      <c r="J177" s="1637"/>
      <c r="K177" s="1637"/>
    </row>
    <row r="178" spans="1:11" x14ac:dyDescent="0.25">
      <c r="A178" s="1527"/>
      <c r="B178" s="1564" t="s">
        <v>5455</v>
      </c>
      <c r="C178" s="1534" t="s">
        <v>5</v>
      </c>
      <c r="D178" s="211">
        <v>1</v>
      </c>
      <c r="E178" s="1535">
        <v>5000</v>
      </c>
      <c r="F178" s="297">
        <v>0.1</v>
      </c>
      <c r="G178" s="1572">
        <f>+F178*E178</f>
        <v>500</v>
      </c>
      <c r="H178" s="1524"/>
      <c r="J178" s="1637"/>
      <c r="K178" s="1637"/>
    </row>
    <row r="179" spans="1:11" x14ac:dyDescent="0.25">
      <c r="A179" s="1527"/>
      <c r="B179" s="1540"/>
      <c r="C179" s="1537"/>
      <c r="D179" s="212"/>
      <c r="E179" s="1535" t="s">
        <v>7182</v>
      </c>
      <c r="F179" s="1537"/>
      <c r="G179" s="1572" t="s">
        <v>7182</v>
      </c>
      <c r="H179" s="1524"/>
      <c r="J179" s="1637"/>
      <c r="K179" s="1637"/>
    </row>
    <row r="180" spans="1:11" x14ac:dyDescent="0.25">
      <c r="A180" s="1527"/>
      <c r="B180" s="1540"/>
      <c r="C180" s="1537"/>
      <c r="D180" s="212"/>
      <c r="E180" s="1535" t="s">
        <v>7182</v>
      </c>
      <c r="F180" s="1537"/>
      <c r="G180" s="1572" t="s">
        <v>7182</v>
      </c>
      <c r="H180" s="1524"/>
      <c r="J180" s="1637"/>
      <c r="K180" s="1637"/>
    </row>
    <row r="181" spans="1:11" ht="15.75" thickBot="1" x14ac:dyDescent="0.3">
      <c r="A181" s="1527"/>
      <c r="B181" s="1540"/>
      <c r="C181" s="1537"/>
      <c r="D181" s="212"/>
      <c r="E181" s="1535" t="s">
        <v>7182</v>
      </c>
      <c r="F181" s="1537"/>
      <c r="G181" s="1572" t="s">
        <v>7182</v>
      </c>
      <c r="H181" s="1524"/>
      <c r="J181" s="1637"/>
      <c r="K181" s="1637"/>
    </row>
    <row r="182" spans="1:11" ht="15.75" thickBot="1" x14ac:dyDescent="0.3">
      <c r="A182" s="1527"/>
      <c r="B182" s="1555"/>
      <c r="C182" s="1556"/>
      <c r="D182" s="956"/>
      <c r="E182" s="1556" t="s">
        <v>7182</v>
      </c>
      <c r="F182" s="1557"/>
      <c r="G182" s="1558" t="s">
        <v>7182</v>
      </c>
      <c r="H182" s="1546">
        <f>SUM(G178:G182)</f>
        <v>500</v>
      </c>
      <c r="J182" s="1637"/>
      <c r="K182" s="1637"/>
    </row>
    <row r="183" spans="1:11" ht="15.75" thickBot="1" x14ac:dyDescent="0.3">
      <c r="A183" s="1527"/>
      <c r="B183" s="1376"/>
      <c r="C183" s="1353"/>
      <c r="D183" s="1355"/>
      <c r="E183" s="1352"/>
      <c r="F183" s="1377"/>
      <c r="G183" s="1378"/>
      <c r="H183" s="1524"/>
      <c r="J183" s="1637"/>
      <c r="K183" s="1637"/>
    </row>
    <row r="184" spans="1:11" ht="15.75" thickBot="1" x14ac:dyDescent="0.3">
      <c r="A184" s="1527"/>
      <c r="B184" s="1366" t="s">
        <v>5410</v>
      </c>
      <c r="C184" s="1363" t="s">
        <v>867</v>
      </c>
      <c r="D184" s="1120" t="s">
        <v>6</v>
      </c>
      <c r="E184" s="1363" t="s">
        <v>7183</v>
      </c>
      <c r="F184" s="1363" t="s">
        <v>5405</v>
      </c>
      <c r="G184" s="1365" t="s">
        <v>7179</v>
      </c>
      <c r="H184" s="1524"/>
      <c r="J184" s="1637"/>
      <c r="K184" s="1637"/>
    </row>
    <row r="185" spans="1:11" ht="25.5" x14ac:dyDescent="0.25">
      <c r="A185" s="1527"/>
      <c r="B185" s="1564" t="s">
        <v>9421</v>
      </c>
      <c r="C185" s="1534" t="s">
        <v>9023</v>
      </c>
      <c r="D185" s="211">
        <v>1</v>
      </c>
      <c r="E185" s="1535">
        <f>300000/570</f>
        <v>526.31578947368416</v>
      </c>
      <c r="F185" s="297">
        <v>1</v>
      </c>
      <c r="G185" s="1572">
        <f>+F185*E185</f>
        <v>526.31578947368416</v>
      </c>
      <c r="H185" s="1524"/>
      <c r="J185" s="1637"/>
      <c r="K185" s="1637"/>
    </row>
    <row r="186" spans="1:11" x14ac:dyDescent="0.25">
      <c r="A186" s="1527"/>
      <c r="B186" s="1540"/>
      <c r="C186" s="1537"/>
      <c r="D186" s="212"/>
      <c r="E186" s="1535" t="s">
        <v>7182</v>
      </c>
      <c r="F186" s="1537"/>
      <c r="G186" s="1572" t="s">
        <v>7182</v>
      </c>
      <c r="H186" s="1524"/>
      <c r="J186" s="1637"/>
      <c r="K186" s="1637"/>
    </row>
    <row r="187" spans="1:11" x14ac:dyDescent="0.25">
      <c r="A187" s="1527"/>
      <c r="B187" s="1540"/>
      <c r="C187" s="1537"/>
      <c r="D187" s="212"/>
      <c r="E187" s="1535" t="s">
        <v>7182</v>
      </c>
      <c r="F187" s="1537"/>
      <c r="G187" s="1572" t="s">
        <v>7182</v>
      </c>
      <c r="H187" s="1524"/>
      <c r="J187" s="1637"/>
      <c r="K187" s="1637"/>
    </row>
    <row r="188" spans="1:11" ht="15.75" thickBot="1" x14ac:dyDescent="0.3">
      <c r="A188" s="1527"/>
      <c r="B188" s="1540"/>
      <c r="C188" s="1537"/>
      <c r="D188" s="212"/>
      <c r="E188" s="1535" t="s">
        <v>7182</v>
      </c>
      <c r="F188" s="1537"/>
      <c r="G188" s="1572" t="s">
        <v>7182</v>
      </c>
      <c r="H188" s="1524"/>
      <c r="J188" s="1637"/>
      <c r="K188" s="1637"/>
    </row>
    <row r="189" spans="1:11" ht="15.75" thickBot="1" x14ac:dyDescent="0.3">
      <c r="A189" s="1527"/>
      <c r="B189" s="1555"/>
      <c r="C189" s="1556"/>
      <c r="D189" s="956"/>
      <c r="E189" s="1556" t="s">
        <v>7182</v>
      </c>
      <c r="F189" s="1557"/>
      <c r="G189" s="1558" t="s">
        <v>7182</v>
      </c>
      <c r="H189" s="1546">
        <f>SUM(G185:G189)</f>
        <v>526.31578947368416</v>
      </c>
      <c r="J189" s="1637"/>
      <c r="K189" s="1637"/>
    </row>
    <row r="190" spans="1:11" ht="15.75" thickBot="1" x14ac:dyDescent="0.3">
      <c r="A190" s="1527"/>
      <c r="B190" s="1547"/>
      <c r="C190" s="1547"/>
      <c r="D190" s="954"/>
      <c r="E190" s="1547"/>
      <c r="F190" s="1553"/>
      <c r="G190" s="1554"/>
      <c r="H190" s="1550"/>
      <c r="J190" s="1637"/>
      <c r="K190" s="1637"/>
    </row>
    <row r="191" spans="1:11" ht="15.75" thickBot="1" x14ac:dyDescent="0.3">
      <c r="A191" s="1559"/>
      <c r="B191" s="1369" t="s">
        <v>5412</v>
      </c>
      <c r="C191" s="1363" t="s">
        <v>5420</v>
      </c>
      <c r="D191" s="1120" t="s">
        <v>5421</v>
      </c>
      <c r="E191" s="1363" t="s">
        <v>7187</v>
      </c>
      <c r="F191" s="1363" t="s">
        <v>5405</v>
      </c>
      <c r="G191" s="1370" t="s">
        <v>7179</v>
      </c>
      <c r="H191" s="1371"/>
    </row>
    <row r="192" spans="1:11" x14ac:dyDescent="0.25">
      <c r="A192" s="1527"/>
      <c r="B192" s="1560" t="s">
        <v>9422</v>
      </c>
      <c r="C192" s="1569">
        <v>170000</v>
      </c>
      <c r="D192" s="352">
        <f>0.6*C192</f>
        <v>102000</v>
      </c>
      <c r="E192" s="1569">
        <f>+D192+C192</f>
        <v>272000</v>
      </c>
      <c r="F192" s="1721">
        <v>0.25</v>
      </c>
      <c r="G192" s="818">
        <f>+F192*E192</f>
        <v>68000</v>
      </c>
      <c r="H192" s="1524"/>
    </row>
    <row r="193" spans="1:11" x14ac:dyDescent="0.25">
      <c r="A193" s="1527"/>
      <c r="B193" s="1560"/>
      <c r="C193" s="1569"/>
      <c r="D193" s="1569"/>
      <c r="E193" s="1569"/>
      <c r="F193" s="819"/>
      <c r="G193" s="818"/>
      <c r="H193" s="1524"/>
    </row>
    <row r="194" spans="1:11" x14ac:dyDescent="0.25">
      <c r="A194" s="1527"/>
      <c r="B194" s="1561"/>
      <c r="C194" s="1569"/>
      <c r="D194" s="1569"/>
      <c r="E194" s="1569"/>
      <c r="F194" s="817"/>
      <c r="G194" s="818"/>
      <c r="H194" s="1524"/>
    </row>
    <row r="195" spans="1:11" x14ac:dyDescent="0.25">
      <c r="A195" s="1527"/>
      <c r="B195" s="1540"/>
      <c r="C195" s="1569"/>
      <c r="D195" s="1569"/>
      <c r="E195" s="1569"/>
      <c r="F195" s="817"/>
      <c r="G195" s="818"/>
      <c r="H195" s="1524"/>
    </row>
    <row r="196" spans="1:11" x14ac:dyDescent="0.25">
      <c r="A196" s="1527"/>
      <c r="B196" s="1540"/>
      <c r="C196" s="1538" t="s">
        <v>7182</v>
      </c>
      <c r="D196" s="952" t="s">
        <v>7182</v>
      </c>
      <c r="E196" s="1538" t="s">
        <v>7182</v>
      </c>
      <c r="F196" s="817"/>
      <c r="G196" s="818" t="str">
        <f>IF(B196="","",E196/F196)</f>
        <v/>
      </c>
      <c r="H196" s="1524"/>
    </row>
    <row r="197" spans="1:11" ht="15.75" thickBot="1" x14ac:dyDescent="0.3">
      <c r="A197" s="1527"/>
      <c r="B197" s="1540"/>
      <c r="C197" s="1538" t="s">
        <v>7182</v>
      </c>
      <c r="D197" s="952" t="s">
        <v>7182</v>
      </c>
      <c r="E197" s="1538" t="s">
        <v>7182</v>
      </c>
      <c r="F197" s="1537"/>
      <c r="G197" s="818" t="str">
        <f>IF(B197="","",E197/F197)</f>
        <v/>
      </c>
      <c r="H197" s="1524"/>
    </row>
    <row r="198" spans="1:11" ht="15.75" thickBot="1" x14ac:dyDescent="0.3">
      <c r="A198" s="1527"/>
      <c r="B198" s="1555"/>
      <c r="C198" s="1556"/>
      <c r="D198" s="956"/>
      <c r="E198" s="1556"/>
      <c r="F198" s="1557"/>
      <c r="G198" s="1558"/>
      <c r="H198" s="1546">
        <f>SUM(G192:G198)</f>
        <v>68000</v>
      </c>
    </row>
    <row r="199" spans="1:11" ht="15.75" thickBot="1" x14ac:dyDescent="0.3">
      <c r="A199" s="1527"/>
      <c r="B199" s="1527"/>
      <c r="C199" s="1527"/>
      <c r="D199" s="529"/>
      <c r="F199" s="1528"/>
      <c r="G199" s="1524"/>
      <c r="H199" s="1524"/>
    </row>
    <row r="200" spans="1:11" ht="15.75" thickBot="1" x14ac:dyDescent="0.3">
      <c r="A200" s="1647" t="s">
        <v>6744</v>
      </c>
      <c r="B200" s="1352"/>
      <c r="C200" s="1352"/>
      <c r="D200" s="1671"/>
      <c r="E200" s="1672"/>
      <c r="F200" s="1353"/>
      <c r="G200" s="1527" t="s">
        <v>5415</v>
      </c>
      <c r="H200" s="502">
        <f>ROUND(SUM(H158:H199),0)</f>
        <v>238300</v>
      </c>
      <c r="J200" s="1673">
        <f>+B154</f>
        <v>10.5</v>
      </c>
      <c r="K200" s="1674">
        <f>+H200</f>
        <v>238300</v>
      </c>
    </row>
    <row r="201" spans="1:11" x14ac:dyDescent="0.25">
      <c r="A201" s="1675"/>
      <c r="B201" s="1676"/>
      <c r="C201" s="1676"/>
      <c r="D201" s="1677"/>
      <c r="E201" s="1678"/>
      <c r="F201" s="1679"/>
      <c r="G201" s="1680"/>
      <c r="H201" s="1680"/>
    </row>
    <row r="202" spans="1:11" ht="18.75" x14ac:dyDescent="0.25">
      <c r="A202" s="1523"/>
      <c r="B202" s="1655"/>
      <c r="C202" s="1655"/>
      <c r="D202" s="950"/>
      <c r="E202" s="1655"/>
      <c r="F202" s="1655"/>
      <c r="G202" s="1655"/>
      <c r="H202" s="8"/>
    </row>
    <row r="203" spans="1:11" x14ac:dyDescent="0.25">
      <c r="A203" s="1523"/>
      <c r="B203" s="8"/>
      <c r="C203" s="8"/>
      <c r="D203" s="529"/>
      <c r="E203" s="8"/>
      <c r="F203" s="1523"/>
      <c r="G203" s="1524"/>
      <c r="H203" s="8"/>
    </row>
    <row r="204" spans="1:11" ht="38.25" customHeight="1" x14ac:dyDescent="0.25">
      <c r="A204" s="1665" t="s">
        <v>3</v>
      </c>
      <c r="B204" s="1390">
        <f>+VLOOKUP(C204,ListaAPUs!$B:$E,4,FALSE)</f>
        <v>10.6</v>
      </c>
      <c r="C204" s="2441" t="str">
        <f>+ListaAPUs!B206</f>
        <v>Terminales premoldeado tipo exterior para cable 2/0 XLPE 35 KV.( Juego )</v>
      </c>
      <c r="D204" s="2441"/>
      <c r="E204" s="2441"/>
      <c r="F204" s="1665" t="s">
        <v>867</v>
      </c>
      <c r="G204" s="1390" t="str">
        <f>+VLOOKUP(C204,ListaAPUs!$B:$E,2,FALSE)</f>
        <v>Juego</v>
      </c>
      <c r="H204" s="1524"/>
    </row>
    <row r="205" spans="1:11" x14ac:dyDescent="0.25">
      <c r="A205" s="1528"/>
      <c r="B205" s="1527"/>
      <c r="C205" s="1527"/>
      <c r="D205" s="529"/>
      <c r="E205" s="1527"/>
      <c r="F205" s="1528"/>
      <c r="G205" s="1524"/>
      <c r="H205" s="1524"/>
    </row>
    <row r="206" spans="1:11" x14ac:dyDescent="0.25">
      <c r="A206" s="1528"/>
      <c r="B206" s="1527"/>
      <c r="C206" s="1527"/>
      <c r="D206" s="529"/>
      <c r="E206" s="1527"/>
      <c r="F206" s="1528"/>
      <c r="G206" s="1529"/>
      <c r="H206" s="1524"/>
    </row>
    <row r="207" spans="1:11" ht="15.75" thickBot="1" x14ac:dyDescent="0.3">
      <c r="A207" s="1528"/>
      <c r="B207" s="1527"/>
      <c r="C207" s="1527"/>
      <c r="D207" s="529"/>
      <c r="E207" s="1527"/>
      <c r="F207" s="1528"/>
      <c r="G207" s="1524"/>
      <c r="H207" s="1524"/>
      <c r="J207" s="1637"/>
      <c r="K207" s="1637"/>
    </row>
    <row r="208" spans="1:11" ht="15.75" thickBot="1" x14ac:dyDescent="0.3">
      <c r="A208" s="1368"/>
      <c r="B208" s="1369" t="s">
        <v>5403</v>
      </c>
      <c r="C208" s="1363" t="s">
        <v>867</v>
      </c>
      <c r="D208" s="1120" t="s">
        <v>6</v>
      </c>
      <c r="E208" s="1363" t="s">
        <v>9417</v>
      </c>
      <c r="F208" s="1363" t="s">
        <v>5405</v>
      </c>
      <c r="G208" s="1370" t="s">
        <v>7179</v>
      </c>
      <c r="H208" s="1371"/>
      <c r="J208" s="1637"/>
      <c r="K208" s="1637"/>
    </row>
    <row r="209" spans="1:11" ht="25.5" x14ac:dyDescent="0.25">
      <c r="A209" s="1528"/>
      <c r="B209" s="1746" t="s">
        <v>9433</v>
      </c>
      <c r="C209" s="1802" t="s">
        <v>9617</v>
      </c>
      <c r="D209" s="1794">
        <v>1</v>
      </c>
      <c r="E209" s="1803">
        <v>1748004</v>
      </c>
      <c r="F209" s="1804">
        <v>1</v>
      </c>
      <c r="G209" s="1805">
        <f>+F209*E209*D209</f>
        <v>1748004</v>
      </c>
      <c r="H209" s="1524"/>
      <c r="J209" s="1637"/>
      <c r="K209" s="1637"/>
    </row>
    <row r="210" spans="1:11" x14ac:dyDescent="0.25">
      <c r="A210" s="1528"/>
      <c r="B210" s="1751" t="s">
        <v>9434</v>
      </c>
      <c r="C210" s="1749" t="s">
        <v>9023</v>
      </c>
      <c r="D210" s="1773">
        <v>1</v>
      </c>
      <c r="E210" s="1825">
        <v>50000</v>
      </c>
      <c r="F210" s="1769">
        <v>1</v>
      </c>
      <c r="G210" s="1786">
        <f>+F210*E210*D210</f>
        <v>50000</v>
      </c>
      <c r="H210" s="1524"/>
      <c r="J210" s="1637"/>
      <c r="K210" s="1637"/>
    </row>
    <row r="211" spans="1:11" x14ac:dyDescent="0.25">
      <c r="A211" s="1528"/>
      <c r="B211" s="1667"/>
      <c r="C211" s="1537"/>
      <c r="D211" s="212"/>
      <c r="E211" s="816"/>
      <c r="F211" s="1563"/>
      <c r="G211" s="814"/>
      <c r="H211" s="1524"/>
      <c r="J211" s="1637"/>
      <c r="K211" s="1637"/>
    </row>
    <row r="212" spans="1:11" x14ac:dyDescent="0.25">
      <c r="A212" s="1528"/>
      <c r="B212" s="1667"/>
      <c r="C212" s="1537"/>
      <c r="D212" s="212"/>
      <c r="E212" s="816"/>
      <c r="F212" s="1563"/>
      <c r="G212" s="814"/>
      <c r="H212" s="1524"/>
      <c r="J212" s="1637"/>
      <c r="K212" s="1637"/>
    </row>
    <row r="213" spans="1:11" x14ac:dyDescent="0.25">
      <c r="A213" s="1528"/>
      <c r="B213" s="1667"/>
      <c r="C213" s="1537"/>
      <c r="D213" s="212"/>
      <c r="E213" s="816"/>
      <c r="F213" s="1563"/>
      <c r="G213" s="814"/>
      <c r="H213" s="1524"/>
      <c r="J213" s="1637"/>
      <c r="K213" s="1637"/>
    </row>
    <row r="214" spans="1:11" x14ac:dyDescent="0.25">
      <c r="A214" s="1528"/>
      <c r="B214" s="1667"/>
      <c r="C214" s="1537"/>
      <c r="D214" s="212"/>
      <c r="E214" s="816"/>
      <c r="F214" s="1563"/>
      <c r="G214" s="814"/>
      <c r="H214" s="1524"/>
      <c r="J214" s="1637"/>
      <c r="K214" s="1637"/>
    </row>
    <row r="215" spans="1:11" x14ac:dyDescent="0.25">
      <c r="A215" s="1528"/>
      <c r="B215" s="1667"/>
      <c r="C215" s="1537"/>
      <c r="D215" s="212"/>
      <c r="E215" s="816"/>
      <c r="F215" s="1563"/>
      <c r="G215" s="814"/>
      <c r="H215" s="1524"/>
      <c r="J215" s="1637"/>
      <c r="K215" s="1637"/>
    </row>
    <row r="216" spans="1:11" x14ac:dyDescent="0.25">
      <c r="A216" s="1528"/>
      <c r="B216" s="1667"/>
      <c r="C216" s="1537"/>
      <c r="D216" s="212"/>
      <c r="E216" s="816"/>
      <c r="F216" s="1563"/>
      <c r="G216" s="814"/>
      <c r="H216" s="1524"/>
      <c r="J216" s="1637"/>
      <c r="K216" s="1637"/>
    </row>
    <row r="217" spans="1:11" x14ac:dyDescent="0.25">
      <c r="A217" s="1528"/>
      <c r="B217" s="1667"/>
      <c r="C217" s="1537"/>
      <c r="D217" s="212"/>
      <c r="E217" s="816"/>
      <c r="F217" s="1563"/>
      <c r="G217" s="814"/>
      <c r="H217" s="1524"/>
      <c r="J217" s="1637"/>
      <c r="K217" s="1637"/>
    </row>
    <row r="218" spans="1:11" x14ac:dyDescent="0.25">
      <c r="A218" s="1528"/>
      <c r="B218" s="1667"/>
      <c r="C218" s="1537"/>
      <c r="D218" s="212"/>
      <c r="E218" s="816"/>
      <c r="F218" s="1563"/>
      <c r="G218" s="814"/>
      <c r="H218" s="1524"/>
      <c r="J218" s="1637"/>
      <c r="K218" s="1637"/>
    </row>
    <row r="219" spans="1:11" x14ac:dyDescent="0.25">
      <c r="A219" s="1528"/>
      <c r="B219" s="1667"/>
      <c r="C219" s="1537"/>
      <c r="D219" s="212"/>
      <c r="E219" s="816"/>
      <c r="F219" s="1563"/>
      <c r="G219" s="814"/>
      <c r="H219" s="1524"/>
      <c r="J219" s="1637"/>
      <c r="K219" s="1637"/>
    </row>
    <row r="220" spans="1:11" x14ac:dyDescent="0.25">
      <c r="A220" s="1528"/>
      <c r="B220" s="269"/>
      <c r="C220" s="1537"/>
      <c r="D220" s="212"/>
      <c r="E220" s="816"/>
      <c r="F220" s="1563"/>
      <c r="G220" s="814"/>
      <c r="H220" s="1524"/>
      <c r="J220" s="1637"/>
      <c r="K220" s="1637"/>
    </row>
    <row r="221" spans="1:11" x14ac:dyDescent="0.25">
      <c r="A221" s="1528"/>
      <c r="B221" s="268"/>
      <c r="C221" s="1534"/>
      <c r="D221" s="211"/>
      <c r="E221" s="1535" t="s">
        <v>7182</v>
      </c>
      <c r="F221" s="1551"/>
      <c r="G221" s="1541" t="s">
        <v>7182</v>
      </c>
      <c r="H221" s="1524"/>
      <c r="J221" s="1637"/>
      <c r="K221" s="1637"/>
    </row>
    <row r="222" spans="1:11" x14ac:dyDescent="0.25">
      <c r="A222" s="1528"/>
      <c r="B222" s="1346"/>
      <c r="C222" s="1534"/>
      <c r="D222" s="211"/>
      <c r="E222" s="1535" t="s">
        <v>7182</v>
      </c>
      <c r="F222" s="1551"/>
      <c r="G222" s="1541" t="s">
        <v>7182</v>
      </c>
      <c r="H222" s="1524"/>
      <c r="J222" s="1637"/>
      <c r="K222" s="1637"/>
    </row>
    <row r="223" spans="1:11" ht="15.75" thickBot="1" x14ac:dyDescent="0.3">
      <c r="A223" s="1528"/>
      <c r="B223" s="1540"/>
      <c r="C223" s="1537"/>
      <c r="D223" s="952"/>
      <c r="E223" s="1538" t="s">
        <v>7182</v>
      </c>
      <c r="F223" s="1537"/>
      <c r="G223" s="1541" t="s">
        <v>7182</v>
      </c>
      <c r="H223" s="1524"/>
      <c r="J223" s="1637"/>
      <c r="K223" s="1637"/>
    </row>
    <row r="224" spans="1:11" ht="15.75" thickBot="1" x14ac:dyDescent="0.3">
      <c r="A224" s="1528"/>
      <c r="B224" s="1555"/>
      <c r="C224" s="1557"/>
      <c r="D224" s="956"/>
      <c r="E224" s="1556" t="s">
        <v>7182</v>
      </c>
      <c r="F224" s="1557"/>
      <c r="G224" s="1558" t="s">
        <v>7182</v>
      </c>
      <c r="H224" s="1546">
        <f>SUM(G209:G224)</f>
        <v>1798004</v>
      </c>
      <c r="J224" s="1637"/>
      <c r="K224" s="1637"/>
    </row>
    <row r="225" spans="1:11" x14ac:dyDescent="0.25">
      <c r="A225" s="1528"/>
      <c r="B225" s="1372"/>
      <c r="C225" s="1374"/>
      <c r="D225" s="1373"/>
      <c r="E225" s="1372" t="s">
        <v>7182</v>
      </c>
      <c r="F225" s="1374"/>
      <c r="G225" s="1375" t="s">
        <v>7182</v>
      </c>
      <c r="H225" s="1550"/>
      <c r="J225" s="1637"/>
      <c r="K225" s="1637"/>
    </row>
    <row r="226" spans="1:11" ht="15.75" thickBot="1" x14ac:dyDescent="0.3">
      <c r="A226" s="1527"/>
      <c r="B226" s="188"/>
      <c r="C226" s="189"/>
      <c r="D226" s="1668"/>
      <c r="E226" s="188"/>
      <c r="F226" s="189"/>
      <c r="G226" s="1669"/>
      <c r="H226" s="1550"/>
      <c r="J226" s="1637"/>
      <c r="K226" s="1637"/>
    </row>
    <row r="227" spans="1:11" ht="15.75" thickBot="1" x14ac:dyDescent="0.3">
      <c r="A227" s="1527"/>
      <c r="B227" s="1366" t="s">
        <v>9418</v>
      </c>
      <c r="C227" s="1363" t="s">
        <v>867</v>
      </c>
      <c r="D227" s="1120" t="s">
        <v>6</v>
      </c>
      <c r="E227" s="1363" t="s">
        <v>7183</v>
      </c>
      <c r="F227" s="1363" t="s">
        <v>5405</v>
      </c>
      <c r="G227" s="1365" t="s">
        <v>7179</v>
      </c>
      <c r="H227" s="1524"/>
      <c r="J227" s="1637"/>
      <c r="K227" s="1637"/>
    </row>
    <row r="228" spans="1:11" x14ac:dyDescent="0.25">
      <c r="A228" s="1527"/>
      <c r="B228" s="1564" t="s">
        <v>5455</v>
      </c>
      <c r="C228" s="1534" t="s">
        <v>5</v>
      </c>
      <c r="D228" s="211">
        <v>1</v>
      </c>
      <c r="E228" s="1535">
        <v>40000</v>
      </c>
      <c r="F228" s="297">
        <v>0.05</v>
      </c>
      <c r="G228" s="1572">
        <f>+F228*E228</f>
        <v>2000</v>
      </c>
      <c r="H228" s="1524"/>
      <c r="J228" s="1637"/>
      <c r="K228" s="1637"/>
    </row>
    <row r="229" spans="1:11" x14ac:dyDescent="0.25">
      <c r="A229" s="1527"/>
      <c r="B229" s="1540"/>
      <c r="C229" s="1537"/>
      <c r="D229" s="212"/>
      <c r="E229" s="1535" t="s">
        <v>7182</v>
      </c>
      <c r="F229" s="1537"/>
      <c r="G229" s="1572" t="s">
        <v>7182</v>
      </c>
      <c r="H229" s="1524"/>
      <c r="J229" s="1637"/>
      <c r="K229" s="1637"/>
    </row>
    <row r="230" spans="1:11" x14ac:dyDescent="0.25">
      <c r="A230" s="1527"/>
      <c r="B230" s="1540"/>
      <c r="C230" s="1537"/>
      <c r="D230" s="212"/>
      <c r="E230" s="1535" t="s">
        <v>7182</v>
      </c>
      <c r="F230" s="1537"/>
      <c r="G230" s="1572" t="s">
        <v>7182</v>
      </c>
      <c r="H230" s="1524"/>
      <c r="J230" s="1637"/>
      <c r="K230" s="1637"/>
    </row>
    <row r="231" spans="1:11" ht="15.75" thickBot="1" x14ac:dyDescent="0.3">
      <c r="A231" s="1527"/>
      <c r="B231" s="1540"/>
      <c r="C231" s="1537"/>
      <c r="D231" s="212"/>
      <c r="E231" s="1535" t="s">
        <v>7182</v>
      </c>
      <c r="F231" s="1537"/>
      <c r="G231" s="1572" t="s">
        <v>7182</v>
      </c>
      <c r="H231" s="1524"/>
      <c r="J231" s="1637"/>
      <c r="K231" s="1637"/>
    </row>
    <row r="232" spans="1:11" ht="15.75" thickBot="1" x14ac:dyDescent="0.3">
      <c r="A232" s="1527"/>
      <c r="B232" s="1555"/>
      <c r="C232" s="1556"/>
      <c r="D232" s="956"/>
      <c r="E232" s="1556" t="s">
        <v>7182</v>
      </c>
      <c r="F232" s="1557"/>
      <c r="G232" s="1558" t="s">
        <v>7182</v>
      </c>
      <c r="H232" s="1546">
        <f>SUM(G228:G232)</f>
        <v>2000</v>
      </c>
      <c r="J232" s="1637"/>
      <c r="K232" s="1637"/>
    </row>
    <row r="233" spans="1:11" ht="15.75" thickBot="1" x14ac:dyDescent="0.3">
      <c r="A233" s="1527"/>
      <c r="B233" s="1376"/>
      <c r="C233" s="1353"/>
      <c r="D233" s="1355"/>
      <c r="E233" s="1352"/>
      <c r="F233" s="1377"/>
      <c r="G233" s="1378"/>
      <c r="H233" s="1524"/>
      <c r="J233" s="1637"/>
      <c r="K233" s="1637"/>
    </row>
    <row r="234" spans="1:11" ht="15.75" thickBot="1" x14ac:dyDescent="0.3">
      <c r="A234" s="1527"/>
      <c r="B234" s="1366" t="s">
        <v>5410</v>
      </c>
      <c r="C234" s="1363" t="s">
        <v>867</v>
      </c>
      <c r="D234" s="1120" t="s">
        <v>6</v>
      </c>
      <c r="E234" s="1363" t="s">
        <v>7183</v>
      </c>
      <c r="F234" s="1363" t="s">
        <v>5405</v>
      </c>
      <c r="G234" s="1365" t="s">
        <v>7179</v>
      </c>
      <c r="H234" s="1524"/>
      <c r="J234" s="1637"/>
      <c r="K234" s="1637"/>
    </row>
    <row r="235" spans="1:11" ht="25.5" x14ac:dyDescent="0.25">
      <c r="A235" s="1527"/>
      <c r="B235" s="1564" t="s">
        <v>9421</v>
      </c>
      <c r="C235" s="1534" t="s">
        <v>9023</v>
      </c>
      <c r="D235" s="211">
        <v>1</v>
      </c>
      <c r="E235" s="1535">
        <f>300000/570</f>
        <v>526.31578947368416</v>
      </c>
      <c r="F235" s="297">
        <v>1</v>
      </c>
      <c r="G235" s="1572">
        <f>+F235*E235</f>
        <v>526.31578947368416</v>
      </c>
      <c r="H235" s="1524"/>
      <c r="J235" s="1637"/>
      <c r="K235" s="1637"/>
    </row>
    <row r="236" spans="1:11" x14ac:dyDescent="0.25">
      <c r="A236" s="1527"/>
      <c r="B236" s="1540"/>
      <c r="C236" s="1537"/>
      <c r="D236" s="212"/>
      <c r="E236" s="1535" t="s">
        <v>7182</v>
      </c>
      <c r="F236" s="1537"/>
      <c r="G236" s="1572" t="s">
        <v>7182</v>
      </c>
      <c r="H236" s="1524"/>
      <c r="J236" s="1637"/>
      <c r="K236" s="1637"/>
    </row>
    <row r="237" spans="1:11" x14ac:dyDescent="0.25">
      <c r="A237" s="1527"/>
      <c r="B237" s="1540"/>
      <c r="C237" s="1537"/>
      <c r="D237" s="212"/>
      <c r="E237" s="1535" t="s">
        <v>7182</v>
      </c>
      <c r="F237" s="1537"/>
      <c r="G237" s="1572" t="s">
        <v>7182</v>
      </c>
      <c r="H237" s="1524"/>
      <c r="J237" s="1637"/>
      <c r="K237" s="1637"/>
    </row>
    <row r="238" spans="1:11" ht="15.75" thickBot="1" x14ac:dyDescent="0.3">
      <c r="A238" s="1527"/>
      <c r="B238" s="1540"/>
      <c r="C238" s="1537"/>
      <c r="D238" s="212"/>
      <c r="E238" s="1535" t="s">
        <v>7182</v>
      </c>
      <c r="F238" s="1537"/>
      <c r="G238" s="1572" t="s">
        <v>7182</v>
      </c>
      <c r="H238" s="1524"/>
      <c r="J238" s="1637"/>
      <c r="K238" s="1637"/>
    </row>
    <row r="239" spans="1:11" ht="15.75" thickBot="1" x14ac:dyDescent="0.3">
      <c r="A239" s="1527"/>
      <c r="B239" s="1555"/>
      <c r="C239" s="1556"/>
      <c r="D239" s="956"/>
      <c r="E239" s="1556" t="s">
        <v>7182</v>
      </c>
      <c r="F239" s="1557"/>
      <c r="G239" s="1558" t="s">
        <v>7182</v>
      </c>
      <c r="H239" s="1546">
        <f>SUM(G235:G239)</f>
        <v>526.31578947368416</v>
      </c>
    </row>
    <row r="240" spans="1:11" ht="15.75" thickBot="1" x14ac:dyDescent="0.3">
      <c r="A240" s="1527"/>
      <c r="B240" s="1547"/>
      <c r="C240" s="1547"/>
      <c r="D240" s="954"/>
      <c r="E240" s="1547"/>
      <c r="F240" s="1553"/>
      <c r="G240" s="1554"/>
      <c r="H240" s="1550"/>
    </row>
    <row r="241" spans="1:11" ht="15.75" thickBot="1" x14ac:dyDescent="0.3">
      <c r="A241" s="1559"/>
      <c r="B241" s="1369" t="s">
        <v>5412</v>
      </c>
      <c r="C241" s="1363" t="s">
        <v>5420</v>
      </c>
      <c r="D241" s="1120" t="s">
        <v>5421</v>
      </c>
      <c r="E241" s="1363" t="s">
        <v>7187</v>
      </c>
      <c r="F241" s="1363" t="s">
        <v>5405</v>
      </c>
      <c r="G241" s="1370" t="s">
        <v>7179</v>
      </c>
      <c r="H241" s="1371"/>
    </row>
    <row r="242" spans="1:11" x14ac:dyDescent="0.25">
      <c r="A242" s="1527"/>
      <c r="B242" s="1560"/>
      <c r="C242" s="1569"/>
      <c r="D242" s="352"/>
      <c r="E242" s="1569"/>
      <c r="F242" s="819"/>
      <c r="G242" s="818"/>
      <c r="H242" s="1524"/>
    </row>
    <row r="243" spans="1:11" x14ac:dyDescent="0.25">
      <c r="A243" s="1527"/>
      <c r="B243" s="1560"/>
      <c r="C243" s="1569"/>
      <c r="D243" s="1569"/>
      <c r="E243" s="1569"/>
      <c r="F243" s="819"/>
      <c r="G243" s="818"/>
      <c r="H243" s="1524"/>
    </row>
    <row r="244" spans="1:11" x14ac:dyDescent="0.25">
      <c r="A244" s="1527"/>
      <c r="B244" s="1561"/>
      <c r="C244" s="1569"/>
      <c r="D244" s="1569"/>
      <c r="E244" s="1569"/>
      <c r="F244" s="817"/>
      <c r="G244" s="818"/>
      <c r="H244" s="1524"/>
    </row>
    <row r="245" spans="1:11" x14ac:dyDescent="0.25">
      <c r="A245" s="1527"/>
      <c r="B245" s="1540"/>
      <c r="C245" s="1569"/>
      <c r="D245" s="1569"/>
      <c r="E245" s="1569"/>
      <c r="F245" s="817"/>
      <c r="G245" s="818"/>
      <c r="H245" s="1524"/>
    </row>
    <row r="246" spans="1:11" x14ac:dyDescent="0.25">
      <c r="A246" s="1527"/>
      <c r="B246" s="1540"/>
      <c r="C246" s="1538" t="s">
        <v>7182</v>
      </c>
      <c r="D246" s="952" t="s">
        <v>7182</v>
      </c>
      <c r="E246" s="1538" t="s">
        <v>7182</v>
      </c>
      <c r="F246" s="817"/>
      <c r="G246" s="818" t="str">
        <f>IF(B246="","",E246/F246)</f>
        <v/>
      </c>
      <c r="H246" s="1524"/>
    </row>
    <row r="247" spans="1:11" ht="15.75" thickBot="1" x14ac:dyDescent="0.3">
      <c r="A247" s="1527"/>
      <c r="B247" s="1540"/>
      <c r="C247" s="1538" t="s">
        <v>7182</v>
      </c>
      <c r="D247" s="952" t="s">
        <v>7182</v>
      </c>
      <c r="E247" s="1538" t="s">
        <v>7182</v>
      </c>
      <c r="F247" s="1537"/>
      <c r="G247" s="818" t="str">
        <f>IF(B247="","",E247/F247)</f>
        <v/>
      </c>
      <c r="H247" s="1524"/>
    </row>
    <row r="248" spans="1:11" ht="15.75" thickBot="1" x14ac:dyDescent="0.3">
      <c r="A248" s="1527"/>
      <c r="B248" s="1555"/>
      <c r="C248" s="1556"/>
      <c r="D248" s="956"/>
      <c r="E248" s="1556"/>
      <c r="F248" s="1557"/>
      <c r="G248" s="1558"/>
      <c r="H248" s="1546">
        <f>SUM(G242:G248)</f>
        <v>0</v>
      </c>
    </row>
    <row r="249" spans="1:11" ht="15.75" thickBot="1" x14ac:dyDescent="0.3">
      <c r="A249" s="1527"/>
      <c r="B249" s="1527"/>
      <c r="C249" s="1527"/>
      <c r="D249" s="529"/>
      <c r="F249" s="1528"/>
      <c r="G249" s="1524"/>
      <c r="H249" s="1524"/>
    </row>
    <row r="250" spans="1:11" ht="15.75" thickBot="1" x14ac:dyDescent="0.3">
      <c r="A250" s="1647" t="s">
        <v>6744</v>
      </c>
      <c r="B250" s="1352"/>
      <c r="C250" s="1352"/>
      <c r="D250" s="1671"/>
      <c r="E250" s="1672"/>
      <c r="F250" s="1353"/>
      <c r="G250" s="1527" t="s">
        <v>5415</v>
      </c>
      <c r="H250" s="502">
        <f>ROUND(SUM(H208:H249),0)</f>
        <v>1800530</v>
      </c>
      <c r="J250" s="1673">
        <f>+B204</f>
        <v>10.6</v>
      </c>
      <c r="K250" s="1674">
        <f>+H250</f>
        <v>1800530</v>
      </c>
    </row>
    <row r="251" spans="1:11" x14ac:dyDescent="0.25">
      <c r="A251" s="1675"/>
      <c r="B251" s="1676"/>
      <c r="C251" s="1676"/>
      <c r="D251" s="1677"/>
      <c r="E251" s="1678"/>
      <c r="F251" s="1679"/>
      <c r="G251" s="1680"/>
      <c r="H251" s="1680"/>
    </row>
    <row r="252" spans="1:11" ht="18.75" x14ac:dyDescent="0.25">
      <c r="A252" s="1523"/>
      <c r="B252" s="1744" t="s">
        <v>9616</v>
      </c>
      <c r="C252" s="1655"/>
      <c r="D252" s="950"/>
      <c r="E252" s="1655"/>
      <c r="F252" s="1655"/>
      <c r="G252" s="1655"/>
      <c r="H252" s="8"/>
    </row>
    <row r="253" spans="1:11" x14ac:dyDescent="0.25">
      <c r="A253" s="1523"/>
      <c r="B253" s="8"/>
      <c r="C253" s="8"/>
      <c r="D253" s="529"/>
      <c r="E253" s="8"/>
      <c r="F253" s="1523"/>
      <c r="G253" s="1524"/>
      <c r="H253" s="8"/>
    </row>
    <row r="254" spans="1:11" ht="15" customHeight="1" x14ac:dyDescent="0.25">
      <c r="A254" s="1665" t="s">
        <v>3</v>
      </c>
      <c r="B254" s="1390">
        <f>+VLOOKUP(C254,ListaAPUs!$B:$E,4,FALSE)</f>
        <v>10.7</v>
      </c>
      <c r="C254" s="2442" t="str">
        <f>+ListaAPUs!B207</f>
        <v>Terminales premoldeado tipo interior para cable 2/0 XLPE 35KV. ( Juego )</v>
      </c>
      <c r="D254" s="2442"/>
      <c r="E254" s="2442"/>
      <c r="F254" s="1665" t="s">
        <v>867</v>
      </c>
      <c r="G254" s="1390" t="str">
        <f>+VLOOKUP(C254,ListaAPUs!$B:$E,2,FALSE)</f>
        <v>Juego</v>
      </c>
      <c r="H254" s="1524"/>
    </row>
    <row r="255" spans="1:11" x14ac:dyDescent="0.25">
      <c r="A255" s="1528"/>
      <c r="B255" s="1527"/>
      <c r="C255" s="1527"/>
      <c r="D255" s="529"/>
      <c r="E255" s="1527"/>
      <c r="F255" s="1528"/>
      <c r="G255" s="1524"/>
      <c r="H255" s="1524"/>
      <c r="J255" s="1637"/>
      <c r="K255" s="1637"/>
    </row>
    <row r="256" spans="1:11" x14ac:dyDescent="0.25">
      <c r="A256" s="1528"/>
      <c r="B256" s="1527"/>
      <c r="C256" s="1527"/>
      <c r="D256" s="529"/>
      <c r="E256" s="1527"/>
      <c r="F256" s="1528"/>
      <c r="G256" s="1529"/>
      <c r="H256" s="1524"/>
      <c r="J256" s="1637"/>
      <c r="K256" s="1637"/>
    </row>
    <row r="257" spans="1:11" ht="15.75" thickBot="1" x14ac:dyDescent="0.3">
      <c r="A257" s="1528"/>
      <c r="B257" s="1527"/>
      <c r="C257" s="1527"/>
      <c r="D257" s="529"/>
      <c r="E257" s="1527"/>
      <c r="F257" s="1528"/>
      <c r="G257" s="1524"/>
      <c r="H257" s="1524"/>
      <c r="J257" s="1637"/>
      <c r="K257" s="1637"/>
    </row>
    <row r="258" spans="1:11" ht="15.75" thickBot="1" x14ac:dyDescent="0.3">
      <c r="A258" s="1368"/>
      <c r="B258" s="1369" t="s">
        <v>5403</v>
      </c>
      <c r="C258" s="1363" t="s">
        <v>867</v>
      </c>
      <c r="D258" s="1120" t="s">
        <v>6</v>
      </c>
      <c r="E258" s="1363" t="s">
        <v>9417</v>
      </c>
      <c r="F258" s="1363" t="s">
        <v>5405</v>
      </c>
      <c r="G258" s="1370" t="s">
        <v>7179</v>
      </c>
      <c r="H258" s="1371"/>
      <c r="J258" s="1637"/>
      <c r="K258" s="1637"/>
    </row>
    <row r="259" spans="1:11" ht="25.5" x14ac:dyDescent="0.25">
      <c r="A259" s="1528"/>
      <c r="B259" s="1746" t="s">
        <v>9433</v>
      </c>
      <c r="C259" s="1802" t="s">
        <v>9617</v>
      </c>
      <c r="D259" s="1794">
        <v>1</v>
      </c>
      <c r="E259" s="1803">
        <v>1748004</v>
      </c>
      <c r="F259" s="1804">
        <v>1</v>
      </c>
      <c r="G259" s="1805">
        <f>+F259*E259*D259</f>
        <v>1748004</v>
      </c>
      <c r="H259" s="1524"/>
      <c r="J259" s="1637"/>
      <c r="K259" s="1637"/>
    </row>
    <row r="260" spans="1:11" x14ac:dyDescent="0.25">
      <c r="A260" s="1528"/>
      <c r="B260" s="1751" t="s">
        <v>9434</v>
      </c>
      <c r="C260" s="1749" t="s">
        <v>9023</v>
      </c>
      <c r="D260" s="1773">
        <v>1</v>
      </c>
      <c r="E260" s="1825">
        <v>50000</v>
      </c>
      <c r="F260" s="1769">
        <v>1</v>
      </c>
      <c r="G260" s="1786">
        <f>+F260*E260*D260</f>
        <v>50000</v>
      </c>
      <c r="H260" s="1524"/>
      <c r="J260" s="1637"/>
      <c r="K260" s="1637"/>
    </row>
    <row r="261" spans="1:11" x14ac:dyDescent="0.25">
      <c r="A261" s="1528"/>
      <c r="B261" s="1667"/>
      <c r="C261" s="1537"/>
      <c r="D261" s="212"/>
      <c r="E261" s="816"/>
      <c r="F261" s="1563"/>
      <c r="G261" s="814"/>
      <c r="H261" s="1524"/>
      <c r="J261" s="1637"/>
      <c r="K261" s="1637"/>
    </row>
    <row r="262" spans="1:11" x14ac:dyDescent="0.25">
      <c r="A262" s="1528"/>
      <c r="B262" s="1667"/>
      <c r="C262" s="1537"/>
      <c r="D262" s="212"/>
      <c r="E262" s="816"/>
      <c r="F262" s="1563"/>
      <c r="G262" s="814"/>
      <c r="H262" s="1524"/>
      <c r="J262" s="1637"/>
      <c r="K262" s="1637"/>
    </row>
    <row r="263" spans="1:11" x14ac:dyDescent="0.25">
      <c r="A263" s="1528"/>
      <c r="B263" s="1667"/>
      <c r="C263" s="1537"/>
      <c r="D263" s="212"/>
      <c r="E263" s="816"/>
      <c r="F263" s="1563"/>
      <c r="G263" s="814"/>
      <c r="H263" s="1524"/>
      <c r="J263" s="1637"/>
      <c r="K263" s="1637"/>
    </row>
    <row r="264" spans="1:11" x14ac:dyDescent="0.25">
      <c r="A264" s="1528"/>
      <c r="B264" s="1667"/>
      <c r="C264" s="1537"/>
      <c r="D264" s="212"/>
      <c r="E264" s="816"/>
      <c r="F264" s="1563"/>
      <c r="G264" s="814"/>
      <c r="H264" s="1524"/>
      <c r="J264" s="1637"/>
      <c r="K264" s="1637"/>
    </row>
    <row r="265" spans="1:11" x14ac:dyDescent="0.25">
      <c r="A265" s="1528"/>
      <c r="B265" s="1667"/>
      <c r="C265" s="1537"/>
      <c r="D265" s="212"/>
      <c r="E265" s="816"/>
      <c r="F265" s="1563"/>
      <c r="G265" s="814"/>
      <c r="H265" s="1524"/>
      <c r="J265" s="1637"/>
      <c r="K265" s="1637"/>
    </row>
    <row r="266" spans="1:11" x14ac:dyDescent="0.25">
      <c r="A266" s="1528"/>
      <c r="B266" s="1667"/>
      <c r="C266" s="1537"/>
      <c r="D266" s="212"/>
      <c r="E266" s="816"/>
      <c r="F266" s="1563"/>
      <c r="G266" s="814"/>
      <c r="H266" s="1524"/>
      <c r="J266" s="1637"/>
      <c r="K266" s="1637"/>
    </row>
    <row r="267" spans="1:11" x14ac:dyDescent="0.25">
      <c r="A267" s="1528"/>
      <c r="B267" s="1667"/>
      <c r="C267" s="1537"/>
      <c r="D267" s="212"/>
      <c r="E267" s="816"/>
      <c r="F267" s="1563"/>
      <c r="G267" s="814"/>
      <c r="H267" s="1524"/>
      <c r="J267" s="1637"/>
      <c r="K267" s="1637"/>
    </row>
    <row r="268" spans="1:11" x14ac:dyDescent="0.25">
      <c r="A268" s="1528"/>
      <c r="B268" s="1667"/>
      <c r="C268" s="1537"/>
      <c r="D268" s="212"/>
      <c r="E268" s="816"/>
      <c r="F268" s="1563"/>
      <c r="G268" s="814"/>
      <c r="H268" s="1524"/>
      <c r="J268" s="1637"/>
      <c r="K268" s="1637"/>
    </row>
    <row r="269" spans="1:11" x14ac:dyDescent="0.25">
      <c r="A269" s="1528"/>
      <c r="B269" s="1667"/>
      <c r="C269" s="1537"/>
      <c r="D269" s="212"/>
      <c r="E269" s="816"/>
      <c r="F269" s="1563"/>
      <c r="G269" s="814"/>
      <c r="H269" s="1524"/>
      <c r="J269" s="1637"/>
      <c r="K269" s="1637"/>
    </row>
    <row r="270" spans="1:11" x14ac:dyDescent="0.25">
      <c r="A270" s="1528"/>
      <c r="B270" s="269"/>
      <c r="C270" s="1537"/>
      <c r="D270" s="212"/>
      <c r="E270" s="816"/>
      <c r="F270" s="1563"/>
      <c r="G270" s="814"/>
      <c r="H270" s="1524"/>
      <c r="J270" s="1637"/>
      <c r="K270" s="1637"/>
    </row>
    <row r="271" spans="1:11" x14ac:dyDescent="0.25">
      <c r="A271" s="1528"/>
      <c r="B271" s="268"/>
      <c r="C271" s="1534"/>
      <c r="D271" s="211"/>
      <c r="E271" s="1535" t="s">
        <v>7182</v>
      </c>
      <c r="F271" s="1551"/>
      <c r="G271" s="1541" t="s">
        <v>7182</v>
      </c>
      <c r="H271" s="1524"/>
      <c r="J271" s="1637"/>
      <c r="K271" s="1637"/>
    </row>
    <row r="272" spans="1:11" x14ac:dyDescent="0.25">
      <c r="A272" s="1528"/>
      <c r="B272" s="1346"/>
      <c r="C272" s="1534"/>
      <c r="D272" s="211"/>
      <c r="E272" s="1535" t="s">
        <v>7182</v>
      </c>
      <c r="F272" s="1551"/>
      <c r="G272" s="1541" t="s">
        <v>7182</v>
      </c>
      <c r="H272" s="1524"/>
      <c r="J272" s="1637"/>
      <c r="K272" s="1637"/>
    </row>
    <row r="273" spans="1:11" ht="15.75" thickBot="1" x14ac:dyDescent="0.3">
      <c r="A273" s="1528"/>
      <c r="B273" s="1540"/>
      <c r="C273" s="1537"/>
      <c r="D273" s="952"/>
      <c r="E273" s="1538" t="s">
        <v>7182</v>
      </c>
      <c r="F273" s="1537"/>
      <c r="G273" s="1541" t="s">
        <v>7182</v>
      </c>
      <c r="H273" s="1524"/>
      <c r="J273" s="1637"/>
      <c r="K273" s="1637"/>
    </row>
    <row r="274" spans="1:11" ht="15.75" thickBot="1" x14ac:dyDescent="0.3">
      <c r="A274" s="1528"/>
      <c r="B274" s="1555"/>
      <c r="C274" s="1557"/>
      <c r="D274" s="956"/>
      <c r="E274" s="1556" t="s">
        <v>7182</v>
      </c>
      <c r="F274" s="1557"/>
      <c r="G274" s="1558" t="s">
        <v>7182</v>
      </c>
      <c r="H274" s="1546">
        <f>SUM(G259:G274)</f>
        <v>1798004</v>
      </c>
      <c r="J274" s="1637"/>
      <c r="K274" s="1637"/>
    </row>
    <row r="275" spans="1:11" x14ac:dyDescent="0.25">
      <c r="A275" s="1528"/>
      <c r="B275" s="1372"/>
      <c r="C275" s="1374"/>
      <c r="D275" s="1373"/>
      <c r="E275" s="1372" t="s">
        <v>7182</v>
      </c>
      <c r="F275" s="1374"/>
      <c r="G275" s="1375" t="s">
        <v>7182</v>
      </c>
      <c r="H275" s="1550"/>
      <c r="J275" s="1637"/>
      <c r="K275" s="1637"/>
    </row>
    <row r="276" spans="1:11" ht="15.75" thickBot="1" x14ac:dyDescent="0.3">
      <c r="A276" s="1527"/>
      <c r="B276" s="188"/>
      <c r="C276" s="189"/>
      <c r="D276" s="1668"/>
      <c r="E276" s="188"/>
      <c r="F276" s="189"/>
      <c r="G276" s="1669"/>
      <c r="H276" s="1550"/>
      <c r="J276" s="1637"/>
      <c r="K276" s="1637"/>
    </row>
    <row r="277" spans="1:11" ht="15.75" thickBot="1" x14ac:dyDescent="0.3">
      <c r="A277" s="1527"/>
      <c r="B277" s="1366" t="s">
        <v>9418</v>
      </c>
      <c r="C277" s="1363" t="s">
        <v>867</v>
      </c>
      <c r="D277" s="1120" t="s">
        <v>6</v>
      </c>
      <c r="E277" s="1363" t="s">
        <v>7183</v>
      </c>
      <c r="F277" s="1363" t="s">
        <v>5405</v>
      </c>
      <c r="G277" s="1365" t="s">
        <v>7179</v>
      </c>
      <c r="H277" s="1524"/>
      <c r="J277" s="1637"/>
      <c r="K277" s="1637"/>
    </row>
    <row r="278" spans="1:11" x14ac:dyDescent="0.25">
      <c r="A278" s="1527"/>
      <c r="B278" s="1564" t="s">
        <v>5455</v>
      </c>
      <c r="C278" s="1534" t="s">
        <v>5</v>
      </c>
      <c r="D278" s="211">
        <v>1</v>
      </c>
      <c r="E278" s="1535">
        <v>40000</v>
      </c>
      <c r="F278" s="297">
        <v>0.1</v>
      </c>
      <c r="G278" s="1572">
        <f>+F278*E278</f>
        <v>4000</v>
      </c>
      <c r="H278" s="1524"/>
      <c r="J278" s="1637"/>
      <c r="K278" s="1637"/>
    </row>
    <row r="279" spans="1:11" x14ac:dyDescent="0.25">
      <c r="A279" s="1527"/>
      <c r="B279" s="1540"/>
      <c r="C279" s="1537"/>
      <c r="D279" s="212"/>
      <c r="E279" s="1535" t="s">
        <v>7182</v>
      </c>
      <c r="F279" s="1537"/>
      <c r="G279" s="1572" t="s">
        <v>7182</v>
      </c>
      <c r="H279" s="1524"/>
      <c r="J279" s="1637"/>
      <c r="K279" s="1637"/>
    </row>
    <row r="280" spans="1:11" x14ac:dyDescent="0.25">
      <c r="A280" s="1527"/>
      <c r="B280" s="1540"/>
      <c r="C280" s="1537"/>
      <c r="D280" s="212"/>
      <c r="E280" s="1535" t="s">
        <v>7182</v>
      </c>
      <c r="F280" s="1537"/>
      <c r="G280" s="1572" t="s">
        <v>7182</v>
      </c>
      <c r="H280" s="1524"/>
      <c r="J280" s="1637"/>
      <c r="K280" s="1637"/>
    </row>
    <row r="281" spans="1:11" ht="15.75" thickBot="1" x14ac:dyDescent="0.3">
      <c r="A281" s="1527"/>
      <c r="B281" s="1540"/>
      <c r="C281" s="1537"/>
      <c r="D281" s="212"/>
      <c r="E281" s="1535" t="s">
        <v>7182</v>
      </c>
      <c r="F281" s="1537"/>
      <c r="G281" s="1572" t="s">
        <v>7182</v>
      </c>
      <c r="H281" s="1524"/>
      <c r="J281" s="1637"/>
      <c r="K281" s="1637"/>
    </row>
    <row r="282" spans="1:11" ht="15.75" thickBot="1" x14ac:dyDescent="0.3">
      <c r="A282" s="1527"/>
      <c r="B282" s="1555"/>
      <c r="C282" s="1556"/>
      <c r="D282" s="956"/>
      <c r="E282" s="1556" t="s">
        <v>7182</v>
      </c>
      <c r="F282" s="1557"/>
      <c r="G282" s="1558" t="s">
        <v>7182</v>
      </c>
      <c r="H282" s="1546">
        <f>SUM(G278:G282)</f>
        <v>4000</v>
      </c>
      <c r="J282" s="1637"/>
      <c r="K282" s="1637"/>
    </row>
    <row r="283" spans="1:11" ht="15.75" thickBot="1" x14ac:dyDescent="0.3">
      <c r="A283" s="1527"/>
      <c r="B283" s="1376"/>
      <c r="C283" s="1353"/>
      <c r="D283" s="1355"/>
      <c r="E283" s="1352"/>
      <c r="F283" s="1377"/>
      <c r="G283" s="1378"/>
      <c r="H283" s="1524"/>
      <c r="J283" s="1637"/>
      <c r="K283" s="1637"/>
    </row>
    <row r="284" spans="1:11" ht="15.75" thickBot="1" x14ac:dyDescent="0.3">
      <c r="A284" s="1527"/>
      <c r="B284" s="1366" t="s">
        <v>5410</v>
      </c>
      <c r="C284" s="1363" t="s">
        <v>867</v>
      </c>
      <c r="D284" s="1120" t="s">
        <v>6</v>
      </c>
      <c r="E284" s="1363" t="s">
        <v>7183</v>
      </c>
      <c r="F284" s="1363" t="s">
        <v>5405</v>
      </c>
      <c r="G284" s="1365" t="s">
        <v>7179</v>
      </c>
      <c r="H284" s="1524"/>
      <c r="J284" s="1637"/>
      <c r="K284" s="1637"/>
    </row>
    <row r="285" spans="1:11" ht="25.5" x14ac:dyDescent="0.25">
      <c r="A285" s="1527"/>
      <c r="B285" s="1564" t="s">
        <v>9421</v>
      </c>
      <c r="C285" s="1534" t="s">
        <v>9023</v>
      </c>
      <c r="D285" s="211">
        <v>1</v>
      </c>
      <c r="E285" s="1535">
        <f>300000/570</f>
        <v>526.31578947368416</v>
      </c>
      <c r="F285" s="297">
        <v>1</v>
      </c>
      <c r="G285" s="1572">
        <f>+F285*E285</f>
        <v>526.31578947368416</v>
      </c>
      <c r="H285" s="1524"/>
      <c r="J285" s="1637"/>
      <c r="K285" s="1637"/>
    </row>
    <row r="286" spans="1:11" x14ac:dyDescent="0.25">
      <c r="A286" s="1527"/>
      <c r="B286" s="1540"/>
      <c r="C286" s="1537"/>
      <c r="D286" s="212"/>
      <c r="E286" s="1535" t="s">
        <v>7182</v>
      </c>
      <c r="F286" s="1537"/>
      <c r="G286" s="1572" t="s">
        <v>7182</v>
      </c>
      <c r="H286" s="1524"/>
      <c r="J286" s="1637"/>
      <c r="K286" s="1637"/>
    </row>
    <row r="287" spans="1:11" x14ac:dyDescent="0.25">
      <c r="A287" s="1527"/>
      <c r="B287" s="1540"/>
      <c r="C287" s="1537"/>
      <c r="D287" s="212"/>
      <c r="E287" s="1535" t="s">
        <v>7182</v>
      </c>
      <c r="F287" s="1537"/>
      <c r="G287" s="1572" t="s">
        <v>7182</v>
      </c>
      <c r="H287" s="1524"/>
    </row>
    <row r="288" spans="1:11" ht="15.75" thickBot="1" x14ac:dyDescent="0.3">
      <c r="A288" s="1527"/>
      <c r="B288" s="1540"/>
      <c r="C288" s="1537"/>
      <c r="D288" s="212"/>
      <c r="E288" s="1535" t="s">
        <v>7182</v>
      </c>
      <c r="F288" s="1537"/>
      <c r="G288" s="1572" t="s">
        <v>7182</v>
      </c>
      <c r="H288" s="1524"/>
    </row>
    <row r="289" spans="1:11" ht="15.75" thickBot="1" x14ac:dyDescent="0.3">
      <c r="A289" s="1527"/>
      <c r="B289" s="1555"/>
      <c r="C289" s="1556"/>
      <c r="D289" s="956"/>
      <c r="E289" s="1556" t="s">
        <v>7182</v>
      </c>
      <c r="F289" s="1557"/>
      <c r="G289" s="1558" t="s">
        <v>7182</v>
      </c>
      <c r="H289" s="1546">
        <f>SUM(G285:G289)</f>
        <v>526.31578947368416</v>
      </c>
    </row>
    <row r="290" spans="1:11" ht="15.75" thickBot="1" x14ac:dyDescent="0.3">
      <c r="A290" s="1527"/>
      <c r="B290" s="1547"/>
      <c r="C290" s="1547"/>
      <c r="D290" s="954"/>
      <c r="E290" s="1547"/>
      <c r="F290" s="1553"/>
      <c r="G290" s="1554"/>
      <c r="H290" s="1550"/>
    </row>
    <row r="291" spans="1:11" ht="15.75" thickBot="1" x14ac:dyDescent="0.3">
      <c r="A291" s="1559"/>
      <c r="B291" s="1369" t="s">
        <v>5412</v>
      </c>
      <c r="C291" s="1363" t="s">
        <v>5420</v>
      </c>
      <c r="D291" s="1120" t="s">
        <v>5421</v>
      </c>
      <c r="E291" s="1363" t="s">
        <v>7187</v>
      </c>
      <c r="F291" s="1363" t="s">
        <v>5405</v>
      </c>
      <c r="G291" s="1370" t="s">
        <v>7179</v>
      </c>
      <c r="H291" s="1371"/>
    </row>
    <row r="292" spans="1:11" x14ac:dyDescent="0.25">
      <c r="A292" s="1527"/>
      <c r="B292" s="1767" t="s">
        <v>9618</v>
      </c>
      <c r="C292" s="1778">
        <f>99238+118599+63155</f>
        <v>280992</v>
      </c>
      <c r="D292" s="1779">
        <f>0.6*C292</f>
        <v>168595.19999999998</v>
      </c>
      <c r="E292" s="1778">
        <f>+D292+C292</f>
        <v>449587.19999999995</v>
      </c>
      <c r="F292" s="1790">
        <v>1.5</v>
      </c>
      <c r="G292" s="1789">
        <f>+F292*E292</f>
        <v>674380.79999999993</v>
      </c>
      <c r="H292" s="1524"/>
    </row>
    <row r="293" spans="1:11" x14ac:dyDescent="0.25">
      <c r="A293" s="1527"/>
      <c r="B293" s="1560"/>
      <c r="C293" s="1569"/>
      <c r="D293" s="1569"/>
      <c r="E293" s="1569"/>
      <c r="F293" s="819"/>
      <c r="G293" s="818"/>
      <c r="H293" s="1524"/>
    </row>
    <row r="294" spans="1:11" x14ac:dyDescent="0.25">
      <c r="A294" s="1527"/>
      <c r="B294" s="1561"/>
      <c r="C294" s="1569"/>
      <c r="D294" s="1569"/>
      <c r="E294" s="1569"/>
      <c r="F294" s="817"/>
      <c r="G294" s="818"/>
      <c r="H294" s="1524"/>
    </row>
    <row r="295" spans="1:11" x14ac:dyDescent="0.25">
      <c r="A295" s="1527"/>
      <c r="B295" s="1540"/>
      <c r="C295" s="1569"/>
      <c r="D295" s="1569"/>
      <c r="E295" s="1569"/>
      <c r="F295" s="817"/>
      <c r="G295" s="818"/>
      <c r="H295" s="1524"/>
    </row>
    <row r="296" spans="1:11" x14ac:dyDescent="0.25">
      <c r="A296" s="1527"/>
      <c r="B296" s="1540"/>
      <c r="C296" s="1538" t="s">
        <v>7182</v>
      </c>
      <c r="D296" s="952" t="s">
        <v>7182</v>
      </c>
      <c r="E296" s="1538" t="s">
        <v>7182</v>
      </c>
      <c r="F296" s="817"/>
      <c r="G296" s="818" t="str">
        <f>IF(B296="","",E296/F296)</f>
        <v/>
      </c>
      <c r="H296" s="1524"/>
    </row>
    <row r="297" spans="1:11" ht="15.75" thickBot="1" x14ac:dyDescent="0.3">
      <c r="A297" s="1527"/>
      <c r="B297" s="1540"/>
      <c r="C297" s="1538" t="s">
        <v>7182</v>
      </c>
      <c r="D297" s="952" t="s">
        <v>7182</v>
      </c>
      <c r="E297" s="1538" t="s">
        <v>7182</v>
      </c>
      <c r="F297" s="1537"/>
      <c r="G297" s="818" t="str">
        <f>IF(B297="","",E297/F297)</f>
        <v/>
      </c>
      <c r="H297" s="1524"/>
    </row>
    <row r="298" spans="1:11" ht="15.75" thickBot="1" x14ac:dyDescent="0.3">
      <c r="A298" s="1527"/>
      <c r="B298" s="1555"/>
      <c r="C298" s="1556"/>
      <c r="D298" s="956"/>
      <c r="E298" s="1556"/>
      <c r="F298" s="1557"/>
      <c r="G298" s="1558"/>
      <c r="H298" s="1546">
        <f>SUM(G292:G298)</f>
        <v>674380.79999999993</v>
      </c>
    </row>
    <row r="299" spans="1:11" ht="15.75" thickBot="1" x14ac:dyDescent="0.3">
      <c r="A299" s="1527"/>
      <c r="B299" s="1527"/>
      <c r="C299" s="1527"/>
      <c r="D299" s="529"/>
      <c r="F299" s="1528"/>
      <c r="G299" s="1524"/>
      <c r="H299" s="1524"/>
    </row>
    <row r="300" spans="1:11" ht="15.75" thickBot="1" x14ac:dyDescent="0.3">
      <c r="A300" s="1647" t="s">
        <v>6744</v>
      </c>
      <c r="B300" s="1352"/>
      <c r="C300" s="1352"/>
      <c r="D300" s="1671"/>
      <c r="E300" s="1672"/>
      <c r="F300" s="1353"/>
      <c r="G300" s="1527" t="s">
        <v>5415</v>
      </c>
      <c r="H300" s="502">
        <f>ROUND(SUM(H258:H299),0)</f>
        <v>2476911</v>
      </c>
      <c r="J300" s="1673">
        <f>+B254</f>
        <v>10.7</v>
      </c>
      <c r="K300" s="1674">
        <f>+H300</f>
        <v>2476911</v>
      </c>
    </row>
    <row r="301" spans="1:11" x14ac:dyDescent="0.25">
      <c r="A301" s="1675"/>
      <c r="B301" s="1676"/>
      <c r="C301" s="1676"/>
      <c r="D301" s="1677"/>
      <c r="E301" s="1678"/>
      <c r="F301" s="1679"/>
      <c r="G301" s="1680"/>
      <c r="H301" s="1680"/>
    </row>
    <row r="302" spans="1:11" s="1953" customFormat="1" ht="18.75" x14ac:dyDescent="0.25">
      <c r="A302" s="1949"/>
      <c r="B302" s="1950"/>
      <c r="C302" s="1950"/>
      <c r="D302" s="1951"/>
      <c r="E302" s="1950"/>
      <c r="F302" s="1950"/>
      <c r="G302" s="1950"/>
      <c r="H302" s="1952"/>
      <c r="J302" s="1954"/>
      <c r="K302" s="1954"/>
    </row>
    <row r="303" spans="1:11" s="1953" customFormat="1" x14ac:dyDescent="0.25">
      <c r="A303" s="1949"/>
      <c r="B303" s="1952"/>
      <c r="C303" s="1952"/>
      <c r="D303" s="1955"/>
      <c r="E303" s="1952"/>
      <c r="F303" s="1949"/>
      <c r="G303" s="1956"/>
      <c r="H303" s="1952"/>
    </row>
    <row r="304" spans="1:11" s="1953" customFormat="1" ht="71.25" customHeight="1" x14ac:dyDescent="0.25">
      <c r="A304" s="1957" t="s">
        <v>3</v>
      </c>
      <c r="B304" s="1958">
        <v>10.8</v>
      </c>
      <c r="C304" s="2443" t="str">
        <f>+ListaAPUs!B208</f>
        <v>Mantenimiento celdas de entrada y salida y de  protección de transformadores (incluye Transporte de las celdas Madrid - Funza - Madrid / Mantenimiento de las celdas preventivo y predictivo(2 QM, 2 GAM, 1 IM) /Pintura/ Repuestos iniciales / Instalación puesta en servicio - Incluye IVA (19%)) *Mantenimiento con Schnider Schneider Electric de Colombia S.A.S</v>
      </c>
      <c r="D304" s="2443"/>
      <c r="E304" s="2443"/>
      <c r="F304" s="1957" t="s">
        <v>867</v>
      </c>
      <c r="G304" s="1958" t="s">
        <v>5460</v>
      </c>
      <c r="H304" s="1956"/>
      <c r="J304" s="1954"/>
      <c r="K304" s="1954"/>
    </row>
    <row r="305" spans="1:8" s="1953" customFormat="1" x14ac:dyDescent="0.25">
      <c r="A305" s="1959"/>
      <c r="B305" s="1960"/>
      <c r="C305" s="1960"/>
      <c r="D305" s="1955"/>
      <c r="E305" s="1960"/>
      <c r="F305" s="1959"/>
      <c r="G305" s="1956"/>
      <c r="H305" s="1956"/>
    </row>
    <row r="306" spans="1:8" s="1953" customFormat="1" x14ac:dyDescent="0.25">
      <c r="A306" s="1959"/>
      <c r="B306" s="1960"/>
      <c r="C306" s="1960"/>
      <c r="D306" s="1955"/>
      <c r="E306" s="1960"/>
      <c r="F306" s="1959"/>
      <c r="G306" s="1961"/>
      <c r="H306" s="1956"/>
    </row>
    <row r="307" spans="1:8" s="1953" customFormat="1" ht="15.75" thickBot="1" x14ac:dyDescent="0.3">
      <c r="A307" s="1959"/>
      <c r="B307" s="1960"/>
      <c r="C307" s="1960"/>
      <c r="D307" s="1955"/>
      <c r="E307" s="1960"/>
      <c r="F307" s="1959"/>
      <c r="G307" s="1956"/>
      <c r="H307" s="1956"/>
    </row>
    <row r="308" spans="1:8" s="1953" customFormat="1" ht="15.75" thickBot="1" x14ac:dyDescent="0.3">
      <c r="A308" s="1962"/>
      <c r="B308" s="1963" t="s">
        <v>9435</v>
      </c>
      <c r="C308" s="1964" t="s">
        <v>867</v>
      </c>
      <c r="D308" s="1965" t="s">
        <v>6</v>
      </c>
      <c r="E308" s="1964" t="s">
        <v>9417</v>
      </c>
      <c r="F308" s="1964" t="s">
        <v>5405</v>
      </c>
      <c r="G308" s="1966" t="s">
        <v>7179</v>
      </c>
      <c r="H308" s="1967"/>
    </row>
    <row r="309" spans="1:8" s="1953" customFormat="1" ht="25.5" x14ac:dyDescent="0.25">
      <c r="A309" s="1959"/>
      <c r="B309" s="1968" t="s">
        <v>9436</v>
      </c>
      <c r="C309" s="1969" t="s">
        <v>5424</v>
      </c>
      <c r="D309" s="1970">
        <v>1</v>
      </c>
      <c r="E309" s="1971">
        <v>150000</v>
      </c>
      <c r="F309" s="1972"/>
      <c r="G309" s="1973">
        <f t="shared" ref="G309:G315" si="0">D309*E309</f>
        <v>150000</v>
      </c>
      <c r="H309" s="1956"/>
    </row>
    <row r="310" spans="1:8" s="1953" customFormat="1" ht="51" x14ac:dyDescent="0.25">
      <c r="A310" s="1959"/>
      <c r="B310" s="1968" t="s">
        <v>9437</v>
      </c>
      <c r="C310" s="1969" t="s">
        <v>5424</v>
      </c>
      <c r="D310" s="1970">
        <v>1</v>
      </c>
      <c r="E310" s="1971">
        <v>17371852</v>
      </c>
      <c r="F310" s="1972"/>
      <c r="G310" s="1973">
        <f t="shared" si="0"/>
        <v>17371852</v>
      </c>
      <c r="H310" s="1956"/>
    </row>
    <row r="311" spans="1:8" s="1953" customFormat="1" x14ac:dyDescent="0.25">
      <c r="A311" s="1959"/>
      <c r="B311" s="1968" t="s">
        <v>9438</v>
      </c>
      <c r="C311" s="1969" t="s">
        <v>5424</v>
      </c>
      <c r="D311" s="1970">
        <v>1</v>
      </c>
      <c r="E311" s="1971">
        <v>22000</v>
      </c>
      <c r="F311" s="1972"/>
      <c r="G311" s="1973">
        <f t="shared" si="0"/>
        <v>22000</v>
      </c>
      <c r="H311" s="1956"/>
    </row>
    <row r="312" spans="1:8" s="1953" customFormat="1" ht="25.5" x14ac:dyDescent="0.25">
      <c r="A312" s="1959"/>
      <c r="B312" s="1974" t="s">
        <v>9439</v>
      </c>
      <c r="C312" s="1969" t="s">
        <v>5424</v>
      </c>
      <c r="D312" s="1975">
        <v>1</v>
      </c>
      <c r="E312" s="1971">
        <v>375000</v>
      </c>
      <c r="F312" s="1976"/>
      <c r="G312" s="1973">
        <f t="shared" si="0"/>
        <v>375000</v>
      </c>
      <c r="H312" s="1956"/>
    </row>
    <row r="313" spans="1:8" s="1953" customFormat="1" ht="25.5" x14ac:dyDescent="0.25">
      <c r="A313" s="1959"/>
      <c r="B313" s="1977" t="s">
        <v>9440</v>
      </c>
      <c r="C313" s="1969" t="s">
        <v>5424</v>
      </c>
      <c r="D313" s="1975">
        <v>1</v>
      </c>
      <c r="E313" s="1971">
        <v>35000</v>
      </c>
      <c r="F313" s="1976"/>
      <c r="G313" s="1973">
        <f t="shared" si="0"/>
        <v>35000</v>
      </c>
      <c r="H313" s="1956"/>
    </row>
    <row r="314" spans="1:8" s="1953" customFormat="1" x14ac:dyDescent="0.25">
      <c r="A314" s="1959"/>
      <c r="B314" s="1978" t="s">
        <v>9441</v>
      </c>
      <c r="C314" s="1969" t="s">
        <v>5424</v>
      </c>
      <c r="D314" s="1975">
        <v>3</v>
      </c>
      <c r="E314" s="1971">
        <v>305000</v>
      </c>
      <c r="F314" s="1976"/>
      <c r="G314" s="1973">
        <f t="shared" si="0"/>
        <v>915000</v>
      </c>
      <c r="H314" s="1956"/>
    </row>
    <row r="315" spans="1:8" s="1953" customFormat="1" x14ac:dyDescent="0.25">
      <c r="A315" s="1959"/>
      <c r="B315" s="1978" t="s">
        <v>9442</v>
      </c>
      <c r="C315" s="1969" t="s">
        <v>5424</v>
      </c>
      <c r="D315" s="1975">
        <v>1</v>
      </c>
      <c r="E315" s="1971">
        <v>40000</v>
      </c>
      <c r="F315" s="1976"/>
      <c r="G315" s="1973">
        <f t="shared" si="0"/>
        <v>40000</v>
      </c>
      <c r="H315" s="1956"/>
    </row>
    <row r="316" spans="1:8" s="1953" customFormat="1" x14ac:dyDescent="0.25">
      <c r="A316" s="1959"/>
      <c r="B316" s="1968"/>
      <c r="C316" s="1969"/>
      <c r="D316" s="1970"/>
      <c r="E316" s="1979"/>
      <c r="F316" s="1972"/>
      <c r="G316" s="1973"/>
      <c r="H316" s="1956"/>
    </row>
    <row r="317" spans="1:8" s="1953" customFormat="1" x14ac:dyDescent="0.25">
      <c r="A317" s="1959"/>
      <c r="B317" s="1968"/>
      <c r="C317" s="1969"/>
      <c r="D317" s="1970"/>
      <c r="E317" s="1979"/>
      <c r="F317" s="1972"/>
      <c r="G317" s="1973"/>
      <c r="H317" s="1956"/>
    </row>
    <row r="318" spans="1:8" s="1953" customFormat="1" x14ac:dyDescent="0.25">
      <c r="A318" s="1959"/>
      <c r="B318" s="1968"/>
      <c r="C318" s="1969"/>
      <c r="D318" s="1970"/>
      <c r="E318" s="1979"/>
      <c r="F318" s="1972"/>
      <c r="G318" s="1973"/>
      <c r="H318" s="1956"/>
    </row>
    <row r="319" spans="1:8" s="1953" customFormat="1" x14ac:dyDescent="0.25">
      <c r="A319" s="1959"/>
      <c r="B319" s="1968"/>
      <c r="C319" s="1969"/>
      <c r="D319" s="1970"/>
      <c r="E319" s="1979"/>
      <c r="F319" s="1972"/>
      <c r="G319" s="1973"/>
      <c r="H319" s="1956"/>
    </row>
    <row r="320" spans="1:8" s="1953" customFormat="1" x14ac:dyDescent="0.25">
      <c r="A320" s="1959"/>
      <c r="B320" s="1980"/>
      <c r="C320" s="1969"/>
      <c r="D320" s="1970"/>
      <c r="E320" s="1979"/>
      <c r="F320" s="1972"/>
      <c r="G320" s="1973"/>
      <c r="H320" s="1956"/>
    </row>
    <row r="321" spans="1:8" s="1953" customFormat="1" x14ac:dyDescent="0.25">
      <c r="A321" s="1959"/>
      <c r="B321" s="1974"/>
      <c r="C321" s="1981"/>
      <c r="D321" s="1975"/>
      <c r="E321" s="1971" t="s">
        <v>7182</v>
      </c>
      <c r="F321" s="1976"/>
      <c r="G321" s="1982" t="s">
        <v>7182</v>
      </c>
      <c r="H321" s="1956"/>
    </row>
    <row r="322" spans="1:8" s="1953" customFormat="1" x14ac:dyDescent="0.25">
      <c r="A322" s="1959"/>
      <c r="B322" s="1977"/>
      <c r="C322" s="1981"/>
      <c r="D322" s="1975"/>
      <c r="E322" s="1971" t="s">
        <v>7182</v>
      </c>
      <c r="F322" s="1976"/>
      <c r="G322" s="1982" t="s">
        <v>7182</v>
      </c>
      <c r="H322" s="1956"/>
    </row>
    <row r="323" spans="1:8" s="1953" customFormat="1" ht="15.75" thickBot="1" x14ac:dyDescent="0.3">
      <c r="A323" s="1959"/>
      <c r="B323" s="1983"/>
      <c r="C323" s="1969"/>
      <c r="D323" s="1984"/>
      <c r="E323" s="1985" t="s">
        <v>7182</v>
      </c>
      <c r="F323" s="1969"/>
      <c r="G323" s="1982" t="s">
        <v>7182</v>
      </c>
      <c r="H323" s="1956"/>
    </row>
    <row r="324" spans="1:8" s="1953" customFormat="1" ht="15.75" thickBot="1" x14ac:dyDescent="0.3">
      <c r="A324" s="1959"/>
      <c r="B324" s="1986"/>
      <c r="C324" s="1987"/>
      <c r="D324" s="1988"/>
      <c r="E324" s="1989" t="s">
        <v>7182</v>
      </c>
      <c r="F324" s="1987"/>
      <c r="G324" s="1990" t="s">
        <v>7182</v>
      </c>
      <c r="H324" s="1991">
        <f>SUM(G309:G324)</f>
        <v>18908852</v>
      </c>
    </row>
    <row r="325" spans="1:8" s="1953" customFormat="1" x14ac:dyDescent="0.25">
      <c r="A325" s="1959"/>
      <c r="B325" s="1992"/>
      <c r="C325" s="1993"/>
      <c r="D325" s="1994"/>
      <c r="E325" s="1992" t="s">
        <v>7182</v>
      </c>
      <c r="F325" s="1993"/>
      <c r="G325" s="1995" t="s">
        <v>7182</v>
      </c>
      <c r="H325" s="1996"/>
    </row>
    <row r="326" spans="1:8" s="1953" customFormat="1" ht="15.75" thickBot="1" x14ac:dyDescent="0.3">
      <c r="A326" s="1960"/>
      <c r="B326" s="1997"/>
      <c r="C326" s="1998"/>
      <c r="D326" s="1999"/>
      <c r="E326" s="1997"/>
      <c r="F326" s="1998"/>
      <c r="G326" s="2000"/>
      <c r="H326" s="1996"/>
    </row>
    <row r="327" spans="1:8" s="1953" customFormat="1" ht="15.75" thickBot="1" x14ac:dyDescent="0.3">
      <c r="A327" s="1960"/>
      <c r="B327" s="2001" t="s">
        <v>9418</v>
      </c>
      <c r="C327" s="1964" t="s">
        <v>867</v>
      </c>
      <c r="D327" s="1965" t="s">
        <v>6</v>
      </c>
      <c r="E327" s="1964" t="s">
        <v>7183</v>
      </c>
      <c r="F327" s="1964" t="s">
        <v>5405</v>
      </c>
      <c r="G327" s="2002" t="s">
        <v>7179</v>
      </c>
      <c r="H327" s="1956"/>
    </row>
    <row r="328" spans="1:8" s="1953" customFormat="1" x14ac:dyDescent="0.25">
      <c r="A328" s="1960"/>
      <c r="B328" s="2003" t="s">
        <v>9443</v>
      </c>
      <c r="C328" s="1981" t="s">
        <v>5475</v>
      </c>
      <c r="D328" s="1975">
        <v>1</v>
      </c>
      <c r="E328" s="1971">
        <f>264700/100</f>
        <v>2647</v>
      </c>
      <c r="F328" s="1981"/>
      <c r="G328" s="2004">
        <f>D328*E328</f>
        <v>2647</v>
      </c>
      <c r="H328" s="1956"/>
    </row>
    <row r="329" spans="1:8" s="1953" customFormat="1" x14ac:dyDescent="0.25">
      <c r="A329" s="1960"/>
      <c r="B329" s="2005" t="s">
        <v>9444</v>
      </c>
      <c r="C329" s="1969" t="s">
        <v>5475</v>
      </c>
      <c r="D329" s="1970">
        <v>3</v>
      </c>
      <c r="E329" s="1971">
        <f>306500/100</f>
        <v>3065</v>
      </c>
      <c r="F329" s="1969"/>
      <c r="G329" s="2004">
        <f t="shared" ref="G329:G335" si="1">D329*E329</f>
        <v>9195</v>
      </c>
      <c r="H329" s="1956"/>
    </row>
    <row r="330" spans="1:8" s="1953" customFormat="1" x14ac:dyDescent="0.25">
      <c r="A330" s="1960"/>
      <c r="B330" s="1983" t="s">
        <v>9445</v>
      </c>
      <c r="C330" s="1969" t="s">
        <v>5475</v>
      </c>
      <c r="D330" s="1970">
        <v>3</v>
      </c>
      <c r="E330" s="1971">
        <f>180000/100</f>
        <v>1800</v>
      </c>
      <c r="F330" s="1969"/>
      <c r="G330" s="2004">
        <f t="shared" si="1"/>
        <v>5400</v>
      </c>
      <c r="H330" s="1956"/>
    </row>
    <row r="331" spans="1:8" s="1953" customFormat="1" x14ac:dyDescent="0.25">
      <c r="A331" s="1960"/>
      <c r="B331" s="1983" t="s">
        <v>9446</v>
      </c>
      <c r="C331" s="1969" t="s">
        <v>5475</v>
      </c>
      <c r="D331" s="1970">
        <v>10</v>
      </c>
      <c r="E331" s="1971">
        <f>80000/100</f>
        <v>800</v>
      </c>
      <c r="F331" s="1969"/>
      <c r="G331" s="2004">
        <f t="shared" si="1"/>
        <v>8000</v>
      </c>
      <c r="H331" s="1956"/>
    </row>
    <row r="332" spans="1:8" s="1953" customFormat="1" x14ac:dyDescent="0.25">
      <c r="A332" s="1960"/>
      <c r="B332" s="2006" t="s">
        <v>9447</v>
      </c>
      <c r="C332" s="2007" t="s">
        <v>5475</v>
      </c>
      <c r="D332" s="2008">
        <v>1</v>
      </c>
      <c r="E332" s="1971">
        <f>400000/100</f>
        <v>4000</v>
      </c>
      <c r="F332" s="1969"/>
      <c r="G332" s="2004">
        <f t="shared" si="1"/>
        <v>4000</v>
      </c>
      <c r="H332" s="1956"/>
    </row>
    <row r="333" spans="1:8" s="1953" customFormat="1" x14ac:dyDescent="0.25">
      <c r="A333" s="1960"/>
      <c r="B333" s="2006" t="s">
        <v>9448</v>
      </c>
      <c r="C333" s="2007" t="s">
        <v>5475</v>
      </c>
      <c r="D333" s="2008">
        <v>3</v>
      </c>
      <c r="E333" s="1971">
        <f>450000/100</f>
        <v>4500</v>
      </c>
      <c r="F333" s="1969"/>
      <c r="G333" s="2004">
        <f t="shared" si="1"/>
        <v>13500</v>
      </c>
      <c r="H333" s="1956"/>
    </row>
    <row r="334" spans="1:8" s="1953" customFormat="1" x14ac:dyDescent="0.25">
      <c r="A334" s="1960"/>
      <c r="B334" s="2006" t="s">
        <v>9449</v>
      </c>
      <c r="C334" s="2007" t="s">
        <v>5475</v>
      </c>
      <c r="D334" s="2008">
        <v>3</v>
      </c>
      <c r="E334" s="1971">
        <f>178500/100</f>
        <v>1785</v>
      </c>
      <c r="F334" s="1969"/>
      <c r="G334" s="2004">
        <f t="shared" si="1"/>
        <v>5355</v>
      </c>
      <c r="H334" s="1956"/>
    </row>
    <row r="335" spans="1:8" s="1953" customFormat="1" x14ac:dyDescent="0.25">
      <c r="A335" s="1960"/>
      <c r="B335" s="2006" t="s">
        <v>9450</v>
      </c>
      <c r="C335" s="2007" t="s">
        <v>5475</v>
      </c>
      <c r="D335" s="2008">
        <v>3</v>
      </c>
      <c r="E335" s="1971">
        <f>5500000/100</f>
        <v>55000</v>
      </c>
      <c r="F335" s="1969"/>
      <c r="G335" s="2004">
        <f t="shared" si="1"/>
        <v>165000</v>
      </c>
      <c r="H335" s="1956"/>
    </row>
    <row r="336" spans="1:8" s="1953" customFormat="1" ht="15.75" thickBot="1" x14ac:dyDescent="0.3">
      <c r="A336" s="1960"/>
      <c r="B336" s="1983"/>
      <c r="C336" s="1969"/>
      <c r="D336" s="1970"/>
      <c r="E336" s="1971" t="s">
        <v>7182</v>
      </c>
      <c r="F336" s="1969"/>
      <c r="G336" s="2004" t="s">
        <v>7182</v>
      </c>
      <c r="H336" s="1956"/>
    </row>
    <row r="337" spans="1:11" s="1953" customFormat="1" ht="15.75" thickBot="1" x14ac:dyDescent="0.3">
      <c r="A337" s="1960"/>
      <c r="B337" s="1986"/>
      <c r="C337" s="1989"/>
      <c r="D337" s="1988"/>
      <c r="E337" s="1989" t="s">
        <v>7182</v>
      </c>
      <c r="F337" s="1987"/>
      <c r="G337" s="1990" t="s">
        <v>7182</v>
      </c>
      <c r="H337" s="1991">
        <f>SUM(G328:G337)</f>
        <v>213097</v>
      </c>
    </row>
    <row r="338" spans="1:11" s="1953" customFormat="1" ht="15.75" thickBot="1" x14ac:dyDescent="0.3">
      <c r="A338" s="1960"/>
      <c r="B338" s="2009"/>
      <c r="C338" s="2010"/>
      <c r="D338" s="2011"/>
      <c r="E338" s="2012"/>
      <c r="F338" s="2013"/>
      <c r="G338" s="2014"/>
      <c r="H338" s="1956"/>
    </row>
    <row r="339" spans="1:11" s="1953" customFormat="1" ht="15.75" thickBot="1" x14ac:dyDescent="0.3">
      <c r="A339" s="1960"/>
      <c r="B339" s="2001" t="s">
        <v>5410</v>
      </c>
      <c r="C339" s="1964" t="s">
        <v>867</v>
      </c>
      <c r="D339" s="1965" t="s">
        <v>6</v>
      </c>
      <c r="E339" s="1964" t="s">
        <v>7183</v>
      </c>
      <c r="F339" s="1964" t="s">
        <v>5405</v>
      </c>
      <c r="G339" s="2002" t="s">
        <v>7179</v>
      </c>
      <c r="H339" s="1956"/>
    </row>
    <row r="340" spans="1:11" s="1953" customFormat="1" ht="25.5" x14ac:dyDescent="0.25">
      <c r="A340" s="1960"/>
      <c r="B340" s="2003" t="s">
        <v>9421</v>
      </c>
      <c r="C340" s="1981" t="s">
        <v>9023</v>
      </c>
      <c r="D340" s="1975">
        <v>1</v>
      </c>
      <c r="E340" s="1971">
        <v>50000</v>
      </c>
      <c r="F340" s="1981">
        <v>1</v>
      </c>
      <c r="G340" s="2004">
        <f>+F340*E340</f>
        <v>50000</v>
      </c>
      <c r="H340" s="1956"/>
    </row>
    <row r="341" spans="1:11" s="1953" customFormat="1" x14ac:dyDescent="0.25">
      <c r="A341" s="1960"/>
      <c r="B341" s="1983"/>
      <c r="C341" s="1969"/>
      <c r="D341" s="1970"/>
      <c r="E341" s="1971" t="s">
        <v>7182</v>
      </c>
      <c r="F341" s="1969"/>
      <c r="G341" s="2004" t="s">
        <v>7182</v>
      </c>
      <c r="H341" s="1956"/>
    </row>
    <row r="342" spans="1:11" s="1953" customFormat="1" x14ac:dyDescent="0.25">
      <c r="A342" s="1960"/>
      <c r="B342" s="1983"/>
      <c r="C342" s="1969"/>
      <c r="D342" s="1970"/>
      <c r="E342" s="1971" t="s">
        <v>7182</v>
      </c>
      <c r="F342" s="1969"/>
      <c r="G342" s="2004" t="s">
        <v>7182</v>
      </c>
      <c r="H342" s="1956"/>
    </row>
    <row r="343" spans="1:11" s="1953" customFormat="1" ht="15.75" thickBot="1" x14ac:dyDescent="0.3">
      <c r="A343" s="1960"/>
      <c r="B343" s="1983"/>
      <c r="C343" s="1969"/>
      <c r="D343" s="1970"/>
      <c r="E343" s="1971" t="s">
        <v>7182</v>
      </c>
      <c r="F343" s="1969"/>
      <c r="G343" s="2004" t="s">
        <v>7182</v>
      </c>
      <c r="H343" s="1956"/>
    </row>
    <row r="344" spans="1:11" s="1953" customFormat="1" ht="15.75" thickBot="1" x14ac:dyDescent="0.3">
      <c r="A344" s="1960"/>
      <c r="B344" s="1986"/>
      <c r="C344" s="1989"/>
      <c r="D344" s="1988"/>
      <c r="E344" s="1989" t="s">
        <v>7182</v>
      </c>
      <c r="F344" s="1987"/>
      <c r="G344" s="1990" t="s">
        <v>7182</v>
      </c>
      <c r="H344" s="1991">
        <f>SUM(G340:G344)</f>
        <v>50000</v>
      </c>
    </row>
    <row r="345" spans="1:11" s="1953" customFormat="1" ht="15.75" thickBot="1" x14ac:dyDescent="0.3">
      <c r="A345" s="1960"/>
      <c r="B345" s="2015"/>
      <c r="C345" s="2015"/>
      <c r="D345" s="2016"/>
      <c r="E345" s="2015"/>
      <c r="F345" s="2017"/>
      <c r="G345" s="2018"/>
      <c r="H345" s="1996"/>
    </row>
    <row r="346" spans="1:11" s="1953" customFormat="1" ht="15.75" thickBot="1" x14ac:dyDescent="0.3">
      <c r="A346" s="2019"/>
      <c r="B346" s="1963" t="s">
        <v>5412</v>
      </c>
      <c r="C346" s="1964" t="s">
        <v>5420</v>
      </c>
      <c r="D346" s="1965" t="s">
        <v>5421</v>
      </c>
      <c r="E346" s="1964" t="s">
        <v>7187</v>
      </c>
      <c r="F346" s="1964" t="s">
        <v>5405</v>
      </c>
      <c r="G346" s="1966" t="s">
        <v>7179</v>
      </c>
      <c r="H346" s="1967"/>
    </row>
    <row r="347" spans="1:11" s="1953" customFormat="1" x14ac:dyDescent="0.25">
      <c r="A347" s="1960"/>
      <c r="B347" s="2020" t="s">
        <v>9618</v>
      </c>
      <c r="C347" s="2021">
        <f>99238+118599+63155</f>
        <v>280992</v>
      </c>
      <c r="D347" s="2021">
        <v>102000</v>
      </c>
      <c r="E347" s="2021">
        <f>C347+D347</f>
        <v>382992</v>
      </c>
      <c r="F347" s="2022">
        <v>3</v>
      </c>
      <c r="G347" s="2023">
        <f>E347*F347</f>
        <v>1148976</v>
      </c>
      <c r="H347" s="1956"/>
    </row>
    <row r="348" spans="1:11" s="1953" customFormat="1" x14ac:dyDescent="0.25">
      <c r="A348" s="1960"/>
      <c r="B348" s="2020"/>
      <c r="C348" s="2021"/>
      <c r="D348" s="2021"/>
      <c r="E348" s="2021"/>
      <c r="F348" s="2022"/>
      <c r="G348" s="2023"/>
      <c r="H348" s="1956"/>
    </row>
    <row r="349" spans="1:11" s="1953" customFormat="1" x14ac:dyDescent="0.25">
      <c r="A349" s="1960"/>
      <c r="B349" s="2024"/>
      <c r="C349" s="2021"/>
      <c r="D349" s="2021"/>
      <c r="E349" s="2021"/>
      <c r="F349" s="2025"/>
      <c r="G349" s="2023"/>
      <c r="H349" s="1956"/>
    </row>
    <row r="350" spans="1:11" s="1953" customFormat="1" x14ac:dyDescent="0.25">
      <c r="A350" s="1960"/>
      <c r="B350" s="1983"/>
      <c r="C350" s="2021"/>
      <c r="D350" s="2021"/>
      <c r="E350" s="2021"/>
      <c r="F350" s="2025"/>
      <c r="G350" s="2023"/>
      <c r="H350" s="1956"/>
    </row>
    <row r="351" spans="1:11" s="1953" customFormat="1" x14ac:dyDescent="0.25">
      <c r="A351" s="1960"/>
      <c r="B351" s="1983"/>
      <c r="C351" s="1985" t="s">
        <v>7182</v>
      </c>
      <c r="D351" s="1984" t="s">
        <v>7182</v>
      </c>
      <c r="E351" s="1985" t="s">
        <v>7182</v>
      </c>
      <c r="F351" s="2025"/>
      <c r="G351" s="2023" t="str">
        <f>IF(B351="","",E351/F351)</f>
        <v/>
      </c>
      <c r="H351" s="1956"/>
      <c r="J351" s="1954"/>
      <c r="K351" s="1954"/>
    </row>
    <row r="352" spans="1:11" s="1953" customFormat="1" ht="15.75" thickBot="1" x14ac:dyDescent="0.3">
      <c r="A352" s="1960"/>
      <c r="B352" s="1983"/>
      <c r="C352" s="1985" t="s">
        <v>7182</v>
      </c>
      <c r="D352" s="1984" t="s">
        <v>7182</v>
      </c>
      <c r="E352" s="1985" t="s">
        <v>7182</v>
      </c>
      <c r="F352" s="1969"/>
      <c r="G352" s="2023" t="str">
        <f>IF(B352="","",E352/F352)</f>
        <v/>
      </c>
      <c r="H352" s="1956"/>
      <c r="J352" s="1954"/>
      <c r="K352" s="1954"/>
    </row>
    <row r="353" spans="1:11" s="1953" customFormat="1" ht="15.75" thickBot="1" x14ac:dyDescent="0.3">
      <c r="A353" s="1960"/>
      <c r="B353" s="1986"/>
      <c r="C353" s="1989"/>
      <c r="D353" s="1988"/>
      <c r="E353" s="1989"/>
      <c r="F353" s="1987"/>
      <c r="G353" s="1990"/>
      <c r="H353" s="1991">
        <f>SUM(G347:G353)</f>
        <v>1148976</v>
      </c>
      <c r="J353" s="1954"/>
      <c r="K353" s="1954"/>
    </row>
    <row r="354" spans="1:11" s="1953" customFormat="1" ht="15.75" thickBot="1" x14ac:dyDescent="0.3">
      <c r="A354" s="1960"/>
      <c r="B354" s="1960"/>
      <c r="C354" s="1960"/>
      <c r="D354" s="1955"/>
      <c r="F354" s="1959"/>
      <c r="G354" s="1956"/>
      <c r="H354" s="1956"/>
      <c r="J354" s="1954"/>
      <c r="K354" s="1954"/>
    </row>
    <row r="355" spans="1:11" s="1953" customFormat="1" ht="15.75" thickBot="1" x14ac:dyDescent="0.3">
      <c r="A355" s="2026" t="s">
        <v>6744</v>
      </c>
      <c r="B355" s="2012"/>
      <c r="C355" s="2012"/>
      <c r="D355" s="2027"/>
      <c r="E355" s="2028"/>
      <c r="F355" s="2010"/>
      <c r="G355" s="1960" t="s">
        <v>5415</v>
      </c>
      <c r="H355" s="1991">
        <f>ROUND(SUM(H308:H354),0)</f>
        <v>20320925</v>
      </c>
      <c r="J355" s="2029">
        <f>+B304</f>
        <v>10.8</v>
      </c>
      <c r="K355" s="2030">
        <f>+H355</f>
        <v>20320925</v>
      </c>
    </row>
    <row r="356" spans="1:11" s="1953" customFormat="1" x14ac:dyDescent="0.25">
      <c r="A356" s="2031"/>
      <c r="B356" s="2032"/>
      <c r="C356" s="2032"/>
      <c r="D356" s="2033"/>
      <c r="E356" s="2034"/>
      <c r="F356" s="2035"/>
      <c r="G356" s="2036"/>
      <c r="H356" s="2036"/>
      <c r="J356" s="1954"/>
      <c r="K356" s="1954"/>
    </row>
    <row r="357" spans="1:11" s="1953" customFormat="1" ht="18.75" x14ac:dyDescent="0.25">
      <c r="A357" s="1949"/>
      <c r="B357" s="1950"/>
      <c r="C357" s="1950"/>
      <c r="D357" s="1951"/>
      <c r="E357" s="1950"/>
      <c r="F357" s="1950"/>
      <c r="G357" s="1950"/>
      <c r="H357" s="1952"/>
      <c r="J357" s="1954"/>
      <c r="K357" s="1954"/>
    </row>
    <row r="358" spans="1:11" s="1953" customFormat="1" x14ac:dyDescent="0.25">
      <c r="A358" s="1949"/>
      <c r="B358" s="1952"/>
      <c r="C358" s="1952"/>
      <c r="D358" s="1955"/>
      <c r="E358" s="1952"/>
      <c r="F358" s="1949"/>
      <c r="G358" s="1956"/>
      <c r="H358" s="1952"/>
      <c r="J358" s="1954"/>
      <c r="K358" s="1954"/>
    </row>
    <row r="359" spans="1:11" s="1953" customFormat="1" ht="71.25" customHeight="1" x14ac:dyDescent="0.25">
      <c r="A359" s="1957" t="s">
        <v>3</v>
      </c>
      <c r="B359" s="1958" t="e">
        <f>+VLOOKUP(C359,ListaAPUs!$B:$E,4,FALSE)</f>
        <v>#VALUE!</v>
      </c>
      <c r="C359" s="2443" t="str">
        <f>+ListaAPUs!B209</f>
        <v>Mantenimiento celdas de medida GBC 36 kV, 3 CT´s, 3 TP,s, sin medidor (incluye Transporte de las celdas Madrid - Funza - Madrid / Mantenimiento de las celdas preventivo y predictivo/Pintura/ Repuestos iniciales / Instalación puesta en servicio  - Incluye IVA (19%)) *Mantenimiento con Schneider Electric de Colombia S.A.S</v>
      </c>
      <c r="D359" s="2443"/>
      <c r="E359" s="2443"/>
      <c r="F359" s="1957" t="s">
        <v>867</v>
      </c>
      <c r="G359" s="1958" t="e">
        <f>+VLOOKUP(C359,ListaAPUs!$B:$E,2,FALSE)</f>
        <v>#VALUE!</v>
      </c>
      <c r="H359" s="1956"/>
      <c r="J359" s="1954"/>
      <c r="K359" s="1954"/>
    </row>
    <row r="360" spans="1:11" s="1953" customFormat="1" x14ac:dyDescent="0.25">
      <c r="A360" s="1959"/>
      <c r="B360" s="1960"/>
      <c r="C360" s="1960"/>
      <c r="D360" s="1955"/>
      <c r="E360" s="1960"/>
      <c r="F360" s="1959"/>
      <c r="G360" s="1956"/>
      <c r="H360" s="1956"/>
      <c r="J360" s="1954"/>
      <c r="K360" s="1954"/>
    </row>
    <row r="361" spans="1:11" s="1953" customFormat="1" x14ac:dyDescent="0.25">
      <c r="A361" s="1959"/>
      <c r="B361" s="1960"/>
      <c r="C361" s="1960"/>
      <c r="D361" s="1955"/>
      <c r="E361" s="1960"/>
      <c r="F361" s="1959"/>
      <c r="G361" s="1961"/>
      <c r="H361" s="1956"/>
      <c r="J361" s="1954"/>
      <c r="K361" s="1954"/>
    </row>
    <row r="362" spans="1:11" s="1953" customFormat="1" ht="15.75" thickBot="1" x14ac:dyDescent="0.3">
      <c r="A362" s="1959"/>
      <c r="B362" s="1960"/>
      <c r="C362" s="1960"/>
      <c r="D362" s="1955"/>
      <c r="E362" s="1960"/>
      <c r="F362" s="1959"/>
      <c r="G362" s="1956"/>
      <c r="H362" s="1956"/>
      <c r="J362" s="1954"/>
      <c r="K362" s="1954"/>
    </row>
    <row r="363" spans="1:11" s="1953" customFormat="1" ht="15.75" thickBot="1" x14ac:dyDescent="0.3">
      <c r="A363" s="1962"/>
      <c r="B363" s="1963" t="s">
        <v>5403</v>
      </c>
      <c r="C363" s="1964" t="s">
        <v>867</v>
      </c>
      <c r="D363" s="1965" t="s">
        <v>6</v>
      </c>
      <c r="E363" s="1964" t="s">
        <v>9417</v>
      </c>
      <c r="F363" s="1964" t="s">
        <v>5405</v>
      </c>
      <c r="G363" s="1966" t="s">
        <v>7179</v>
      </c>
      <c r="H363" s="1967"/>
      <c r="J363" s="1954"/>
      <c r="K363" s="1954"/>
    </row>
    <row r="364" spans="1:11" s="1953" customFormat="1" x14ac:dyDescent="0.25">
      <c r="A364" s="1959"/>
      <c r="B364" s="2037"/>
      <c r="C364" s="2038"/>
      <c r="D364" s="2039"/>
      <c r="E364" s="2040"/>
      <c r="F364" s="2041"/>
      <c r="G364" s="2042"/>
      <c r="H364" s="1956"/>
      <c r="J364" s="1954"/>
      <c r="K364" s="1954"/>
    </row>
    <row r="365" spans="1:11" s="1953" customFormat="1" x14ac:dyDescent="0.25">
      <c r="A365" s="1959"/>
      <c r="B365" s="2043"/>
      <c r="C365" s="1969"/>
      <c r="D365" s="1970"/>
      <c r="E365" s="1979"/>
      <c r="F365" s="1972"/>
      <c r="G365" s="1973"/>
      <c r="H365" s="1956"/>
      <c r="J365" s="1954"/>
      <c r="K365" s="1954"/>
    </row>
    <row r="366" spans="1:11" s="1953" customFormat="1" x14ac:dyDescent="0.25">
      <c r="A366" s="1959"/>
      <c r="B366" s="1968"/>
      <c r="C366" s="1969"/>
      <c r="D366" s="1970"/>
      <c r="E366" s="1979"/>
      <c r="F366" s="1972"/>
      <c r="G366" s="1973"/>
      <c r="H366" s="1956"/>
      <c r="J366" s="1954"/>
      <c r="K366" s="1954"/>
    </row>
    <row r="367" spans="1:11" s="1953" customFormat="1" x14ac:dyDescent="0.25">
      <c r="A367" s="1959"/>
      <c r="B367" s="1968"/>
      <c r="C367" s="1969"/>
      <c r="D367" s="1970"/>
      <c r="E367" s="1979"/>
      <c r="F367" s="1972"/>
      <c r="G367" s="1973"/>
      <c r="H367" s="1956"/>
    </row>
    <row r="368" spans="1:11" s="1953" customFormat="1" x14ac:dyDescent="0.25">
      <c r="A368" s="1959"/>
      <c r="B368" s="1968"/>
      <c r="C368" s="1969"/>
      <c r="D368" s="1970"/>
      <c r="E368" s="1979"/>
      <c r="F368" s="1972"/>
      <c r="G368" s="1973"/>
      <c r="H368" s="1956"/>
    </row>
    <row r="369" spans="1:8" s="1953" customFormat="1" x14ac:dyDescent="0.25">
      <c r="A369" s="1959"/>
      <c r="B369" s="1980"/>
      <c r="C369" s="1969"/>
      <c r="D369" s="1970"/>
      <c r="E369" s="1979"/>
      <c r="F369" s="1972"/>
      <c r="G369" s="1973"/>
      <c r="H369" s="1956"/>
    </row>
    <row r="370" spans="1:8" s="1953" customFormat="1" x14ac:dyDescent="0.25">
      <c r="A370" s="1959"/>
      <c r="B370" s="1974"/>
      <c r="C370" s="1981"/>
      <c r="D370" s="1975"/>
      <c r="E370" s="1971" t="s">
        <v>7182</v>
      </c>
      <c r="F370" s="1976"/>
      <c r="G370" s="1982" t="s">
        <v>7182</v>
      </c>
      <c r="H370" s="1956"/>
    </row>
    <row r="371" spans="1:8" s="1953" customFormat="1" x14ac:dyDescent="0.25">
      <c r="A371" s="1959"/>
      <c r="B371" s="1977"/>
      <c r="C371" s="1981"/>
      <c r="D371" s="1975"/>
      <c r="E371" s="1971" t="s">
        <v>7182</v>
      </c>
      <c r="F371" s="1976"/>
      <c r="G371" s="1982" t="s">
        <v>7182</v>
      </c>
      <c r="H371" s="1956"/>
    </row>
    <row r="372" spans="1:8" s="1953" customFormat="1" ht="15.75" thickBot="1" x14ac:dyDescent="0.3">
      <c r="A372" s="1959"/>
      <c r="B372" s="1983"/>
      <c r="C372" s="1969"/>
      <c r="D372" s="1984"/>
      <c r="E372" s="1985" t="s">
        <v>7182</v>
      </c>
      <c r="F372" s="1969"/>
      <c r="G372" s="1982" t="s">
        <v>7182</v>
      </c>
      <c r="H372" s="1956"/>
    </row>
    <row r="373" spans="1:8" s="1953" customFormat="1" ht="15.75" thickBot="1" x14ac:dyDescent="0.3">
      <c r="A373" s="1959"/>
      <c r="B373" s="1986"/>
      <c r="C373" s="1987"/>
      <c r="D373" s="1988"/>
      <c r="E373" s="1989" t="s">
        <v>7182</v>
      </c>
      <c r="F373" s="1987"/>
      <c r="G373" s="1990" t="s">
        <v>7182</v>
      </c>
      <c r="H373" s="1991">
        <f>SUM(G364:G373)</f>
        <v>0</v>
      </c>
    </row>
    <row r="374" spans="1:8" s="1953" customFormat="1" x14ac:dyDescent="0.25">
      <c r="A374" s="1959"/>
      <c r="B374" s="1992"/>
      <c r="C374" s="1993"/>
      <c r="D374" s="1994"/>
      <c r="E374" s="1992" t="s">
        <v>7182</v>
      </c>
      <c r="F374" s="1993"/>
      <c r="G374" s="1995" t="s">
        <v>7182</v>
      </c>
      <c r="H374" s="1996"/>
    </row>
    <row r="375" spans="1:8" s="1953" customFormat="1" ht="15.75" thickBot="1" x14ac:dyDescent="0.3">
      <c r="A375" s="1959"/>
      <c r="B375" s="2012"/>
      <c r="C375" s="2010"/>
      <c r="D375" s="2027"/>
      <c r="E375" s="2012"/>
      <c r="F375" s="2010"/>
      <c r="G375" s="1996"/>
      <c r="H375" s="1996"/>
    </row>
    <row r="376" spans="1:8" s="1953" customFormat="1" ht="26.25" thickBot="1" x14ac:dyDescent="0.3">
      <c r="A376" s="1959"/>
      <c r="B376" s="2044" t="s">
        <v>5408</v>
      </c>
      <c r="C376" s="2045" t="s">
        <v>867</v>
      </c>
      <c r="D376" s="2046" t="s">
        <v>6</v>
      </c>
      <c r="E376" s="2045" t="s">
        <v>870</v>
      </c>
      <c r="F376" s="2045" t="s">
        <v>9452</v>
      </c>
      <c r="G376" s="2047" t="s">
        <v>868</v>
      </c>
      <c r="H376" s="1956"/>
    </row>
    <row r="377" spans="1:8" s="1953" customFormat="1" x14ac:dyDescent="0.25">
      <c r="A377" s="1959"/>
      <c r="B377" s="1968" t="s">
        <v>9453</v>
      </c>
      <c r="C377" s="1969" t="s">
        <v>5424</v>
      </c>
      <c r="D377" s="1970">
        <v>3</v>
      </c>
      <c r="E377" s="1971">
        <v>2287586.6874921075</v>
      </c>
      <c r="F377" s="1972"/>
      <c r="G377" s="1973">
        <f>D377*E377</f>
        <v>6862760.0624763221</v>
      </c>
      <c r="H377" s="1956"/>
    </row>
    <row r="378" spans="1:8" s="1953" customFormat="1" x14ac:dyDescent="0.25">
      <c r="A378" s="1959"/>
      <c r="B378" s="1968" t="s">
        <v>9454</v>
      </c>
      <c r="C378" s="1969" t="s">
        <v>5424</v>
      </c>
      <c r="D378" s="1970">
        <v>3</v>
      </c>
      <c r="E378" s="1971">
        <v>3431380.031238161</v>
      </c>
      <c r="F378" s="1972"/>
      <c r="G378" s="1973">
        <f>D378*E378</f>
        <v>10294140.093714483</v>
      </c>
      <c r="H378" s="1956"/>
    </row>
    <row r="379" spans="1:8" s="1953" customFormat="1" ht="25.5" x14ac:dyDescent="0.25">
      <c r="A379" s="1959"/>
      <c r="B379" s="1980" t="s">
        <v>9455</v>
      </c>
      <c r="C379" s="1969" t="s">
        <v>5424</v>
      </c>
      <c r="D379" s="1970">
        <v>1</v>
      </c>
      <c r="E379" s="1971">
        <v>7500000</v>
      </c>
      <c r="F379" s="1972"/>
      <c r="G379" s="1973">
        <f>D379*E379</f>
        <v>7500000</v>
      </c>
      <c r="H379" s="1956"/>
    </row>
    <row r="380" spans="1:8" s="1953" customFormat="1" ht="38.25" x14ac:dyDescent="0.25">
      <c r="A380" s="1959"/>
      <c r="B380" s="1974" t="s">
        <v>9456</v>
      </c>
      <c r="C380" s="1969" t="s">
        <v>5424</v>
      </c>
      <c r="D380" s="1970">
        <v>1</v>
      </c>
      <c r="E380" s="1971">
        <v>450000</v>
      </c>
      <c r="F380" s="1976"/>
      <c r="G380" s="1973">
        <f>D380*E380</f>
        <v>450000</v>
      </c>
      <c r="H380" s="1956"/>
    </row>
    <row r="381" spans="1:8" s="1953" customFormat="1" x14ac:dyDescent="0.25">
      <c r="A381" s="1959"/>
      <c r="B381" s="1977" t="s">
        <v>9438</v>
      </c>
      <c r="C381" s="1969" t="s">
        <v>5424</v>
      </c>
      <c r="D381" s="1975">
        <v>1</v>
      </c>
      <c r="E381" s="1971">
        <v>22000</v>
      </c>
      <c r="F381" s="1976"/>
      <c r="G381" s="1973">
        <f>D381*E381</f>
        <v>22000</v>
      </c>
      <c r="H381" s="1956"/>
    </row>
    <row r="382" spans="1:8" s="1953" customFormat="1" ht="15.75" thickBot="1" x14ac:dyDescent="0.3">
      <c r="A382" s="1959"/>
      <c r="B382" s="1983"/>
      <c r="C382" s="1969"/>
      <c r="D382" s="1984"/>
      <c r="E382" s="1985" t="s">
        <v>7182</v>
      </c>
      <c r="F382" s="1969"/>
      <c r="G382" s="1982" t="s">
        <v>7182</v>
      </c>
      <c r="H382" s="1956"/>
    </row>
    <row r="383" spans="1:8" s="1953" customFormat="1" ht="15.75" thickBot="1" x14ac:dyDescent="0.3">
      <c r="A383" s="1959"/>
      <c r="B383" s="1986"/>
      <c r="C383" s="1987"/>
      <c r="D383" s="1988"/>
      <c r="E383" s="1989" t="s">
        <v>7182</v>
      </c>
      <c r="F383" s="1987"/>
      <c r="G383" s="1990" t="s">
        <v>7182</v>
      </c>
      <c r="H383" s="1991">
        <f>SUM(G377:G383)</f>
        <v>25128900.156190805</v>
      </c>
    </row>
    <row r="384" spans="1:8" s="1953" customFormat="1" x14ac:dyDescent="0.25">
      <c r="A384" s="1959"/>
      <c r="B384" s="2012"/>
      <c r="C384" s="2010"/>
      <c r="D384" s="2027"/>
      <c r="E384" s="2012"/>
      <c r="F384" s="2010"/>
      <c r="G384" s="1996"/>
      <c r="H384" s="1996"/>
    </row>
    <row r="385" spans="1:11" s="1953" customFormat="1" ht="15.75" thickBot="1" x14ac:dyDescent="0.3">
      <c r="A385" s="1960"/>
      <c r="B385" s="1997"/>
      <c r="C385" s="1998"/>
      <c r="D385" s="1999"/>
      <c r="E385" s="1997"/>
      <c r="F385" s="1998"/>
      <c r="G385" s="2000"/>
      <c r="H385" s="1996"/>
    </row>
    <row r="386" spans="1:11" s="1953" customFormat="1" ht="15.75" thickBot="1" x14ac:dyDescent="0.3">
      <c r="A386" s="1960"/>
      <c r="B386" s="2001" t="s">
        <v>9418</v>
      </c>
      <c r="C386" s="1964" t="s">
        <v>867</v>
      </c>
      <c r="D386" s="1965" t="s">
        <v>6</v>
      </c>
      <c r="E386" s="1964" t="s">
        <v>7183</v>
      </c>
      <c r="F386" s="1964" t="s">
        <v>5405</v>
      </c>
      <c r="G386" s="2002" t="s">
        <v>7179</v>
      </c>
      <c r="H386" s="1956"/>
    </row>
    <row r="387" spans="1:11" s="1953" customFormat="1" x14ac:dyDescent="0.25">
      <c r="A387" s="1960"/>
      <c r="B387" s="2003" t="s">
        <v>9619</v>
      </c>
      <c r="C387" s="1981" t="s">
        <v>5475</v>
      </c>
      <c r="D387" s="1975">
        <v>1</v>
      </c>
      <c r="E387" s="1971">
        <v>213097</v>
      </c>
      <c r="F387" s="1981"/>
      <c r="G387" s="2004">
        <f>D387*E387</f>
        <v>213097</v>
      </c>
      <c r="H387" s="1956"/>
    </row>
    <row r="388" spans="1:11" s="1953" customFormat="1" x14ac:dyDescent="0.25">
      <c r="A388" s="1960"/>
      <c r="B388" s="2005"/>
      <c r="C388" s="1969"/>
      <c r="D388" s="1970"/>
      <c r="E388" s="1971"/>
      <c r="F388" s="1969"/>
      <c r="G388" s="2004"/>
      <c r="H388" s="1956"/>
    </row>
    <row r="389" spans="1:11" s="1953" customFormat="1" x14ac:dyDescent="0.25">
      <c r="A389" s="1960"/>
      <c r="B389" s="1983"/>
      <c r="C389" s="1969"/>
      <c r="D389" s="1970"/>
      <c r="E389" s="1971"/>
      <c r="F389" s="1969"/>
      <c r="G389" s="2004"/>
      <c r="H389" s="1956"/>
    </row>
    <row r="390" spans="1:11" s="1953" customFormat="1" x14ac:dyDescent="0.25">
      <c r="A390" s="1960"/>
      <c r="B390" s="1983"/>
      <c r="C390" s="1969"/>
      <c r="D390" s="1970"/>
      <c r="E390" s="1971"/>
      <c r="F390" s="1969"/>
      <c r="G390" s="2004"/>
      <c r="H390" s="1956"/>
    </row>
    <row r="391" spans="1:11" s="1953" customFormat="1" x14ac:dyDescent="0.25">
      <c r="A391" s="1960"/>
      <c r="B391" s="2006"/>
      <c r="C391" s="2007"/>
      <c r="D391" s="2008"/>
      <c r="E391" s="1971"/>
      <c r="F391" s="1969"/>
      <c r="G391" s="2004"/>
      <c r="H391" s="1956"/>
    </row>
    <row r="392" spans="1:11" s="1953" customFormat="1" x14ac:dyDescent="0.25">
      <c r="A392" s="1960"/>
      <c r="B392" s="2006"/>
      <c r="C392" s="2007"/>
      <c r="D392" s="2008"/>
      <c r="E392" s="1971"/>
      <c r="F392" s="1969"/>
      <c r="G392" s="2004"/>
      <c r="H392" s="1956"/>
    </row>
    <row r="393" spans="1:11" s="1953" customFormat="1" x14ac:dyDescent="0.25">
      <c r="A393" s="1960"/>
      <c r="B393" s="2006"/>
      <c r="C393" s="2007"/>
      <c r="D393" s="2008"/>
      <c r="E393" s="1971"/>
      <c r="F393" s="1969"/>
      <c r="G393" s="2004"/>
      <c r="H393" s="1956"/>
    </row>
    <row r="394" spans="1:11" s="1953" customFormat="1" x14ac:dyDescent="0.25">
      <c r="A394" s="1960"/>
      <c r="B394" s="1983"/>
      <c r="C394" s="1969"/>
      <c r="D394" s="1970"/>
      <c r="E394" s="1971"/>
      <c r="F394" s="1969"/>
      <c r="G394" s="2004"/>
      <c r="H394" s="1956"/>
    </row>
    <row r="395" spans="1:11" s="1953" customFormat="1" ht="15.75" thickBot="1" x14ac:dyDescent="0.3">
      <c r="A395" s="1960"/>
      <c r="B395" s="1983"/>
      <c r="C395" s="1969"/>
      <c r="D395" s="1970"/>
      <c r="E395" s="1971" t="s">
        <v>7182</v>
      </c>
      <c r="F395" s="1969"/>
      <c r="G395" s="2004" t="s">
        <v>7182</v>
      </c>
      <c r="H395" s="1956"/>
    </row>
    <row r="396" spans="1:11" s="1953" customFormat="1" ht="15.75" thickBot="1" x14ac:dyDescent="0.3">
      <c r="A396" s="1960"/>
      <c r="B396" s="1986"/>
      <c r="C396" s="1989"/>
      <c r="D396" s="1988"/>
      <c r="E396" s="1989" t="s">
        <v>7182</v>
      </c>
      <c r="F396" s="1987"/>
      <c r="G396" s="1990" t="s">
        <v>7182</v>
      </c>
      <c r="H396" s="1991">
        <f>SUM(G387:G396)</f>
        <v>213097</v>
      </c>
    </row>
    <row r="397" spans="1:11" s="1953" customFormat="1" ht="15.75" thickBot="1" x14ac:dyDescent="0.3">
      <c r="A397" s="1960"/>
      <c r="B397" s="2009"/>
      <c r="C397" s="2010"/>
      <c r="D397" s="2011"/>
      <c r="E397" s="2012"/>
      <c r="F397" s="2013"/>
      <c r="G397" s="2014"/>
      <c r="H397" s="1956"/>
    </row>
    <row r="398" spans="1:11" s="1953" customFormat="1" ht="15.75" thickBot="1" x14ac:dyDescent="0.3">
      <c r="A398" s="1960"/>
      <c r="B398" s="2001" t="s">
        <v>5410</v>
      </c>
      <c r="C398" s="1964" t="s">
        <v>867</v>
      </c>
      <c r="D398" s="1965" t="s">
        <v>6</v>
      </c>
      <c r="E398" s="1964" t="s">
        <v>7183</v>
      </c>
      <c r="F398" s="1964" t="s">
        <v>5405</v>
      </c>
      <c r="G398" s="2002" t="s">
        <v>7179</v>
      </c>
      <c r="H398" s="1956"/>
    </row>
    <row r="399" spans="1:11" s="1953" customFormat="1" ht="25.5" x14ac:dyDescent="0.25">
      <c r="A399" s="1960"/>
      <c r="B399" s="2003" t="s">
        <v>9421</v>
      </c>
      <c r="C399" s="1981" t="s">
        <v>9023</v>
      </c>
      <c r="D399" s="1975">
        <v>1</v>
      </c>
      <c r="E399" s="1971">
        <v>50000</v>
      </c>
      <c r="F399" s="2048">
        <v>1</v>
      </c>
      <c r="G399" s="2004">
        <f>+F399*E399</f>
        <v>50000</v>
      </c>
      <c r="H399" s="1956"/>
      <c r="J399" s="1954"/>
      <c r="K399" s="1954"/>
    </row>
    <row r="400" spans="1:11" s="1953" customFormat="1" x14ac:dyDescent="0.25">
      <c r="A400" s="1960"/>
      <c r="B400" s="1983"/>
      <c r="C400" s="1969"/>
      <c r="D400" s="1970"/>
      <c r="E400" s="1971" t="s">
        <v>7182</v>
      </c>
      <c r="F400" s="1969"/>
      <c r="G400" s="2004" t="s">
        <v>7182</v>
      </c>
      <c r="H400" s="1956"/>
      <c r="J400" s="1954"/>
      <c r="K400" s="1954"/>
    </row>
    <row r="401" spans="1:11" s="1953" customFormat="1" x14ac:dyDescent="0.25">
      <c r="A401" s="1960"/>
      <c r="B401" s="1983"/>
      <c r="C401" s="1969"/>
      <c r="D401" s="1970"/>
      <c r="E401" s="1971" t="s">
        <v>7182</v>
      </c>
      <c r="F401" s="1969"/>
      <c r="G401" s="2004" t="s">
        <v>7182</v>
      </c>
      <c r="H401" s="1956"/>
      <c r="J401" s="1954"/>
      <c r="K401" s="1954"/>
    </row>
    <row r="402" spans="1:11" s="1953" customFormat="1" ht="15.75" thickBot="1" x14ac:dyDescent="0.3">
      <c r="A402" s="1960"/>
      <c r="B402" s="1983"/>
      <c r="C402" s="1969"/>
      <c r="D402" s="1970"/>
      <c r="E402" s="1971" t="s">
        <v>7182</v>
      </c>
      <c r="F402" s="1969"/>
      <c r="G402" s="2004" t="s">
        <v>7182</v>
      </c>
      <c r="H402" s="1956"/>
      <c r="J402" s="1954"/>
      <c r="K402" s="1954"/>
    </row>
    <row r="403" spans="1:11" s="1953" customFormat="1" ht="15.75" thickBot="1" x14ac:dyDescent="0.3">
      <c r="A403" s="1960"/>
      <c r="B403" s="1986"/>
      <c r="C403" s="1989"/>
      <c r="D403" s="1988"/>
      <c r="E403" s="1989" t="s">
        <v>7182</v>
      </c>
      <c r="F403" s="1987"/>
      <c r="G403" s="1990" t="s">
        <v>7182</v>
      </c>
      <c r="H403" s="1991">
        <f>SUM(G399:G403)</f>
        <v>50000</v>
      </c>
      <c r="J403" s="1954"/>
      <c r="K403" s="1954"/>
    </row>
    <row r="404" spans="1:11" s="1953" customFormat="1" ht="15.75" thickBot="1" x14ac:dyDescent="0.3">
      <c r="A404" s="1960"/>
      <c r="B404" s="2015"/>
      <c r="C404" s="2015"/>
      <c r="D404" s="2016"/>
      <c r="E404" s="2015"/>
      <c r="F404" s="2017"/>
      <c r="G404" s="2018"/>
      <c r="H404" s="1996"/>
      <c r="J404" s="1954"/>
      <c r="K404" s="1954"/>
    </row>
    <row r="405" spans="1:11" s="1953" customFormat="1" ht="15.75" thickBot="1" x14ac:dyDescent="0.3">
      <c r="A405" s="2019"/>
      <c r="B405" s="1963" t="s">
        <v>5412</v>
      </c>
      <c r="C405" s="1964" t="s">
        <v>5420</v>
      </c>
      <c r="D405" s="1965" t="s">
        <v>5421</v>
      </c>
      <c r="E405" s="1964" t="s">
        <v>7187</v>
      </c>
      <c r="F405" s="1964" t="s">
        <v>5405</v>
      </c>
      <c r="G405" s="1966" t="s">
        <v>7179</v>
      </c>
      <c r="H405" s="1967"/>
      <c r="J405" s="1954"/>
      <c r="K405" s="1954"/>
    </row>
    <row r="406" spans="1:11" s="1953" customFormat="1" x14ac:dyDescent="0.25">
      <c r="A406" s="1960"/>
      <c r="B406" s="2020" t="s">
        <v>9618</v>
      </c>
      <c r="C406" s="2021">
        <f>99238+118599+63155</f>
        <v>280992</v>
      </c>
      <c r="D406" s="2021">
        <v>102000</v>
      </c>
      <c r="E406" s="2021">
        <f>C406+D406</f>
        <v>382992</v>
      </c>
      <c r="F406" s="2022">
        <v>4</v>
      </c>
      <c r="G406" s="2023">
        <f>E406*F406</f>
        <v>1531968</v>
      </c>
      <c r="H406" s="1956"/>
      <c r="J406" s="1954"/>
      <c r="K406" s="1954"/>
    </row>
    <row r="407" spans="1:11" s="1953" customFormat="1" x14ac:dyDescent="0.25">
      <c r="A407" s="1960"/>
      <c r="B407" s="2020"/>
      <c r="C407" s="2021"/>
      <c r="D407" s="2021"/>
      <c r="E407" s="2021"/>
      <c r="F407" s="2022"/>
      <c r="G407" s="2023"/>
      <c r="H407" s="1956"/>
      <c r="J407" s="1954"/>
      <c r="K407" s="1954"/>
    </row>
    <row r="408" spans="1:11" s="1953" customFormat="1" x14ac:dyDescent="0.25">
      <c r="A408" s="1960"/>
      <c r="B408" s="2024"/>
      <c r="C408" s="2021"/>
      <c r="D408" s="2021"/>
      <c r="E408" s="2021"/>
      <c r="F408" s="2025"/>
      <c r="G408" s="2023"/>
      <c r="H408" s="1956"/>
      <c r="J408" s="1954"/>
      <c r="K408" s="1954"/>
    </row>
    <row r="409" spans="1:11" s="1953" customFormat="1" x14ac:dyDescent="0.25">
      <c r="A409" s="1960"/>
      <c r="B409" s="1983"/>
      <c r="C409" s="2021"/>
      <c r="D409" s="2021"/>
      <c r="E409" s="2021"/>
      <c r="F409" s="2025"/>
      <c r="G409" s="2023"/>
      <c r="H409" s="1956"/>
      <c r="J409" s="1954"/>
      <c r="K409" s="1954"/>
    </row>
    <row r="410" spans="1:11" s="1953" customFormat="1" x14ac:dyDescent="0.25">
      <c r="A410" s="1960"/>
      <c r="B410" s="1983"/>
      <c r="C410" s="1985" t="s">
        <v>7182</v>
      </c>
      <c r="D410" s="1984" t="s">
        <v>7182</v>
      </c>
      <c r="E410" s="1985" t="s">
        <v>7182</v>
      </c>
      <c r="F410" s="2025"/>
      <c r="G410" s="2023" t="str">
        <f>IF(B410="","",E410/F410)</f>
        <v/>
      </c>
      <c r="H410" s="1956"/>
      <c r="J410" s="1954"/>
      <c r="K410" s="1954"/>
    </row>
    <row r="411" spans="1:11" s="1953" customFormat="1" ht="15.75" thickBot="1" x14ac:dyDescent="0.3">
      <c r="A411" s="1960"/>
      <c r="B411" s="1983"/>
      <c r="C411" s="1985" t="s">
        <v>7182</v>
      </c>
      <c r="D411" s="1984" t="s">
        <v>7182</v>
      </c>
      <c r="E411" s="1985" t="s">
        <v>7182</v>
      </c>
      <c r="F411" s="1969"/>
      <c r="G411" s="2023" t="str">
        <f>IF(B411="","",E411/F411)</f>
        <v/>
      </c>
      <c r="H411" s="1956"/>
      <c r="J411" s="1954"/>
      <c r="K411" s="1954"/>
    </row>
    <row r="412" spans="1:11" s="1953" customFormat="1" ht="15.75" thickBot="1" x14ac:dyDescent="0.3">
      <c r="A412" s="1960"/>
      <c r="B412" s="1986"/>
      <c r="C412" s="1989"/>
      <c r="D412" s="1988"/>
      <c r="E412" s="1989"/>
      <c r="F412" s="1987"/>
      <c r="G412" s="1990"/>
      <c r="H412" s="1991">
        <f>SUM(G406:G412)</f>
        <v>1531968</v>
      </c>
      <c r="J412" s="1954"/>
      <c r="K412" s="1954"/>
    </row>
    <row r="413" spans="1:11" s="1953" customFormat="1" ht="15.75" thickBot="1" x14ac:dyDescent="0.3">
      <c r="A413" s="1960"/>
      <c r="B413" s="1960"/>
      <c r="C413" s="1960"/>
      <c r="D413" s="1955"/>
      <c r="F413" s="1959"/>
      <c r="G413" s="1956"/>
      <c r="H413" s="1956"/>
      <c r="J413" s="1954"/>
      <c r="K413" s="1954"/>
    </row>
    <row r="414" spans="1:11" s="1953" customFormat="1" ht="15.75" thickBot="1" x14ac:dyDescent="0.3">
      <c r="A414" s="2026" t="s">
        <v>6744</v>
      </c>
      <c r="B414" s="2012"/>
      <c r="C414" s="2012"/>
      <c r="D414" s="2027"/>
      <c r="E414" s="2028"/>
      <c r="F414" s="2010"/>
      <c r="G414" s="1960" t="s">
        <v>5415</v>
      </c>
      <c r="H414" s="1991">
        <f>ROUND(SUM(H363:H413),0)</f>
        <v>26923965</v>
      </c>
      <c r="J414" s="2029" t="e">
        <f>+B359</f>
        <v>#VALUE!</v>
      </c>
      <c r="K414" s="2030">
        <f>+H414</f>
        <v>26923965</v>
      </c>
    </row>
    <row r="415" spans="1:11" s="1953" customFormat="1" x14ac:dyDescent="0.25">
      <c r="A415" s="2031"/>
      <c r="B415" s="2032"/>
      <c r="C415" s="2032"/>
      <c r="D415" s="2033"/>
      <c r="E415" s="2034"/>
      <c r="F415" s="2035"/>
      <c r="G415" s="2036"/>
      <c r="H415" s="2036"/>
    </row>
    <row r="416" spans="1:11" s="1953" customFormat="1" ht="18.75" x14ac:dyDescent="0.25">
      <c r="A416" s="1949"/>
      <c r="B416" s="1950"/>
      <c r="C416" s="1950"/>
      <c r="D416" s="1951"/>
      <c r="E416" s="1950"/>
      <c r="F416" s="1950"/>
      <c r="G416" s="1950"/>
      <c r="H416" s="1952"/>
    </row>
    <row r="417" spans="1:11" s="1953" customFormat="1" x14ac:dyDescent="0.25">
      <c r="A417" s="1949"/>
      <c r="B417" s="1952"/>
      <c r="C417" s="1952"/>
      <c r="D417" s="1955"/>
      <c r="E417" s="1952"/>
      <c r="F417" s="1949"/>
      <c r="G417" s="1956"/>
      <c r="H417" s="1952"/>
    </row>
    <row r="418" spans="1:11" s="1953" customFormat="1" ht="85.5" customHeight="1" x14ac:dyDescent="0.25">
      <c r="A418" s="1957" t="s">
        <v>3</v>
      </c>
      <c r="B418" s="1958">
        <f>+ListaAPUs!E210</f>
        <v>10.099999999999998</v>
      </c>
      <c r="C418" s="2443" t="str">
        <f>+ListaAPUs!B210</f>
        <v>ACCESORIOS Y MANTENIMIENTO DE  CELDA DE PROTECCION PARA OPERACIÓN BAJO CARGA 630 AMP EN SF6, SECCIONADOR DE PUESTA A TIERRA EN SF6, SECCIONADOR DE PUESTA A TIERRA INFERIOR EN AIRE JUEGO DE BARRAS TRIPOLARES PARA CONEXIÓN SUPERIOR DE 630 AMP, MANDO MANUAL CL1 DISPOSITIVO DE BLOQUE(TIPO QM MARCA SCHNEIDER-MERLIN GERIN)</v>
      </c>
      <c r="D418" s="2443"/>
      <c r="E418" s="2443"/>
      <c r="F418" s="1957" t="s">
        <v>867</v>
      </c>
      <c r="G418" s="1958" t="str">
        <f>+ListaAPUs!C210</f>
        <v>glb</v>
      </c>
      <c r="H418" s="1956"/>
      <c r="J418" s="1954"/>
      <c r="K418" s="1954"/>
    </row>
    <row r="419" spans="1:11" s="1953" customFormat="1" x14ac:dyDescent="0.25">
      <c r="A419" s="1959"/>
      <c r="B419" s="1960"/>
      <c r="C419" s="1960"/>
      <c r="D419" s="1955"/>
      <c r="E419" s="1960"/>
      <c r="F419" s="1959"/>
      <c r="G419" s="1956"/>
      <c r="H419" s="1956"/>
    </row>
    <row r="420" spans="1:11" s="1953" customFormat="1" x14ac:dyDescent="0.25">
      <c r="A420" s="1959"/>
      <c r="B420" s="1960"/>
      <c r="C420" s="1960"/>
      <c r="D420" s="1955"/>
      <c r="E420" s="1960"/>
      <c r="F420" s="1959"/>
      <c r="G420" s="1961"/>
      <c r="H420" s="1956"/>
    </row>
    <row r="421" spans="1:11" s="1953" customFormat="1" ht="15.75" thickBot="1" x14ac:dyDescent="0.3">
      <c r="A421" s="1959"/>
      <c r="B421" s="1960"/>
      <c r="C421" s="1960"/>
      <c r="D421" s="1955"/>
      <c r="E421" s="1960"/>
      <c r="F421" s="1959"/>
      <c r="G421" s="1956"/>
      <c r="H421" s="1956"/>
    </row>
    <row r="422" spans="1:11" s="1953" customFormat="1" ht="15.75" thickBot="1" x14ac:dyDescent="0.3">
      <c r="A422" s="1962"/>
      <c r="B422" s="1963" t="s">
        <v>5403</v>
      </c>
      <c r="C422" s="1964" t="s">
        <v>867</v>
      </c>
      <c r="D422" s="1965" t="s">
        <v>6</v>
      </c>
      <c r="E422" s="1964" t="s">
        <v>9417</v>
      </c>
      <c r="F422" s="1964" t="s">
        <v>5405</v>
      </c>
      <c r="G422" s="1966" t="s">
        <v>7179</v>
      </c>
      <c r="H422" s="1967"/>
    </row>
    <row r="423" spans="1:11" s="1953" customFormat="1" x14ac:dyDescent="0.25">
      <c r="A423" s="1959"/>
      <c r="B423" s="2037"/>
      <c r="C423" s="2038"/>
      <c r="D423" s="2039"/>
      <c r="E423" s="2040"/>
      <c r="F423" s="2041"/>
      <c r="G423" s="2042"/>
      <c r="H423" s="1956"/>
    </row>
    <row r="424" spans="1:11" s="1953" customFormat="1" x14ac:dyDescent="0.25">
      <c r="A424" s="1959"/>
      <c r="B424" s="2043"/>
      <c r="C424" s="1969"/>
      <c r="D424" s="1970"/>
      <c r="E424" s="1979"/>
      <c r="F424" s="1972"/>
      <c r="G424" s="1973"/>
      <c r="H424" s="1956"/>
    </row>
    <row r="425" spans="1:11" s="1953" customFormat="1" x14ac:dyDescent="0.25">
      <c r="A425" s="1959"/>
      <c r="B425" s="1968"/>
      <c r="C425" s="1969"/>
      <c r="D425" s="1970"/>
      <c r="E425" s="1979"/>
      <c r="F425" s="1972"/>
      <c r="G425" s="1973"/>
      <c r="H425" s="1956"/>
    </row>
    <row r="426" spans="1:11" s="1953" customFormat="1" x14ac:dyDescent="0.25">
      <c r="A426" s="1959"/>
      <c r="B426" s="1980"/>
      <c r="C426" s="1969"/>
      <c r="D426" s="1970"/>
      <c r="E426" s="1979"/>
      <c r="F426" s="1972"/>
      <c r="G426" s="1973"/>
      <c r="H426" s="1956"/>
    </row>
    <row r="427" spans="1:11" s="1953" customFormat="1" x14ac:dyDescent="0.25">
      <c r="A427" s="1959"/>
      <c r="B427" s="1974"/>
      <c r="C427" s="1981"/>
      <c r="D427" s="1975"/>
      <c r="E427" s="1971" t="s">
        <v>7182</v>
      </c>
      <c r="F427" s="1976"/>
      <c r="G427" s="1982" t="s">
        <v>7182</v>
      </c>
      <c r="H427" s="1956"/>
    </row>
    <row r="428" spans="1:11" s="1953" customFormat="1" x14ac:dyDescent="0.25">
      <c r="A428" s="1959"/>
      <c r="B428" s="1977"/>
      <c r="C428" s="1981"/>
      <c r="D428" s="1975"/>
      <c r="E428" s="1971" t="s">
        <v>7182</v>
      </c>
      <c r="F428" s="1976"/>
      <c r="G428" s="1982" t="s">
        <v>7182</v>
      </c>
      <c r="H428" s="1956"/>
    </row>
    <row r="429" spans="1:11" s="1953" customFormat="1" ht="15.75" thickBot="1" x14ac:dyDescent="0.3">
      <c r="A429" s="1959"/>
      <c r="B429" s="1983"/>
      <c r="C429" s="1969"/>
      <c r="D429" s="1984"/>
      <c r="E429" s="1985" t="s">
        <v>7182</v>
      </c>
      <c r="F429" s="1969"/>
      <c r="G429" s="1982" t="s">
        <v>7182</v>
      </c>
      <c r="H429" s="1956"/>
    </row>
    <row r="430" spans="1:11" s="1953" customFormat="1" ht="15.75" thickBot="1" x14ac:dyDescent="0.3">
      <c r="A430" s="1959"/>
      <c r="B430" s="1986"/>
      <c r="C430" s="1987"/>
      <c r="D430" s="1988"/>
      <c r="E430" s="1989" t="s">
        <v>7182</v>
      </c>
      <c r="F430" s="1987"/>
      <c r="G430" s="1990" t="s">
        <v>7182</v>
      </c>
      <c r="H430" s="1991">
        <f>SUM(G423:G430)</f>
        <v>0</v>
      </c>
    </row>
    <row r="431" spans="1:11" s="1953" customFormat="1" x14ac:dyDescent="0.25">
      <c r="A431" s="1959"/>
      <c r="B431" s="1992"/>
      <c r="C431" s="1993"/>
      <c r="D431" s="1994"/>
      <c r="E431" s="1992" t="s">
        <v>7182</v>
      </c>
      <c r="F431" s="1993"/>
      <c r="G431" s="1995" t="s">
        <v>7182</v>
      </c>
      <c r="H431" s="1996"/>
    </row>
    <row r="432" spans="1:11" s="1953" customFormat="1" ht="15.75" thickBot="1" x14ac:dyDescent="0.3">
      <c r="A432" s="1959"/>
      <c r="B432" s="2012"/>
      <c r="C432" s="2010"/>
      <c r="D432" s="2027"/>
      <c r="E432" s="2012"/>
      <c r="F432" s="2010"/>
      <c r="G432" s="1996"/>
      <c r="H432" s="1996"/>
    </row>
    <row r="433" spans="1:8" s="1953" customFormat="1" ht="26.25" thickBot="1" x14ac:dyDescent="0.3">
      <c r="A433" s="1959"/>
      <c r="B433" s="2044" t="s">
        <v>5408</v>
      </c>
      <c r="C433" s="2045" t="s">
        <v>867</v>
      </c>
      <c r="D433" s="2046" t="s">
        <v>6</v>
      </c>
      <c r="E433" s="2045" t="s">
        <v>870</v>
      </c>
      <c r="F433" s="2045" t="s">
        <v>9452</v>
      </c>
      <c r="G433" s="2047" t="s">
        <v>868</v>
      </c>
      <c r="H433" s="1956"/>
    </row>
    <row r="434" spans="1:8" s="1953" customFormat="1" ht="25.5" x14ac:dyDescent="0.25">
      <c r="A434" s="1959"/>
      <c r="B434" s="1968" t="s">
        <v>9436</v>
      </c>
      <c r="C434" s="1969" t="s">
        <v>5424</v>
      </c>
      <c r="D434" s="1970">
        <v>1</v>
      </c>
      <c r="E434" s="1971">
        <v>150000</v>
      </c>
      <c r="F434" s="1972"/>
      <c r="G434" s="1973">
        <f t="shared" ref="G434:G441" si="2">D434*E434</f>
        <v>150000</v>
      </c>
      <c r="H434" s="1956"/>
    </row>
    <row r="435" spans="1:8" s="1953" customFormat="1" ht="51" x14ac:dyDescent="0.25">
      <c r="A435" s="1959"/>
      <c r="B435" s="1968" t="s">
        <v>9437</v>
      </c>
      <c r="C435" s="1969" t="s">
        <v>5424</v>
      </c>
      <c r="D435" s="1970">
        <v>1</v>
      </c>
      <c r="E435" s="1971">
        <v>17371852</v>
      </c>
      <c r="F435" s="1972"/>
      <c r="G435" s="1973">
        <f t="shared" si="2"/>
        <v>17371852</v>
      </c>
      <c r="H435" s="1956"/>
    </row>
    <row r="436" spans="1:8" s="1953" customFormat="1" x14ac:dyDescent="0.25">
      <c r="A436" s="1959"/>
      <c r="B436" s="1968" t="s">
        <v>9438</v>
      </c>
      <c r="C436" s="1969" t="s">
        <v>5424</v>
      </c>
      <c r="D436" s="1970">
        <v>1</v>
      </c>
      <c r="E436" s="1971">
        <v>22000</v>
      </c>
      <c r="F436" s="1972"/>
      <c r="G436" s="1973">
        <f t="shared" si="2"/>
        <v>22000</v>
      </c>
      <c r="H436" s="1956"/>
    </row>
    <row r="437" spans="1:8" s="1953" customFormat="1" ht="25.5" x14ac:dyDescent="0.25">
      <c r="A437" s="1959"/>
      <c r="B437" s="1974" t="s">
        <v>9439</v>
      </c>
      <c r="C437" s="1969" t="s">
        <v>5424</v>
      </c>
      <c r="D437" s="1975">
        <v>1</v>
      </c>
      <c r="E437" s="1971">
        <v>375000</v>
      </c>
      <c r="F437" s="1976"/>
      <c r="G437" s="1973">
        <f t="shared" si="2"/>
        <v>375000</v>
      </c>
      <c r="H437" s="1956"/>
    </row>
    <row r="438" spans="1:8" s="1953" customFormat="1" ht="25.5" x14ac:dyDescent="0.25">
      <c r="A438" s="1959"/>
      <c r="B438" s="1977" t="s">
        <v>9440</v>
      </c>
      <c r="C438" s="1969" t="s">
        <v>5424</v>
      </c>
      <c r="D438" s="1975">
        <v>1</v>
      </c>
      <c r="E438" s="1971">
        <v>35000</v>
      </c>
      <c r="F438" s="1976"/>
      <c r="G438" s="1973">
        <f t="shared" si="2"/>
        <v>35000</v>
      </c>
      <c r="H438" s="1956"/>
    </row>
    <row r="439" spans="1:8" s="1953" customFormat="1" x14ac:dyDescent="0.25">
      <c r="A439" s="1959"/>
      <c r="B439" s="1978" t="s">
        <v>9441</v>
      </c>
      <c r="C439" s="1969" t="s">
        <v>5424</v>
      </c>
      <c r="D439" s="1975">
        <v>3</v>
      </c>
      <c r="E439" s="1971">
        <v>305000</v>
      </c>
      <c r="F439" s="1976"/>
      <c r="G439" s="1973">
        <f t="shared" si="2"/>
        <v>915000</v>
      </c>
      <c r="H439" s="1956"/>
    </row>
    <row r="440" spans="1:8" s="1953" customFormat="1" x14ac:dyDescent="0.25">
      <c r="A440" s="1959"/>
      <c r="B440" s="1978" t="s">
        <v>9442</v>
      </c>
      <c r="C440" s="1969" t="s">
        <v>5424</v>
      </c>
      <c r="D440" s="1975">
        <v>1</v>
      </c>
      <c r="E440" s="1971">
        <v>40000</v>
      </c>
      <c r="F440" s="1976"/>
      <c r="G440" s="1973">
        <f t="shared" si="2"/>
        <v>40000</v>
      </c>
      <c r="H440" s="1956"/>
    </row>
    <row r="441" spans="1:8" s="1953" customFormat="1" ht="38.25" x14ac:dyDescent="0.25">
      <c r="A441" s="1959"/>
      <c r="B441" s="1977" t="s">
        <v>9457</v>
      </c>
      <c r="C441" s="1969" t="s">
        <v>5424</v>
      </c>
      <c r="D441" s="1975">
        <v>1</v>
      </c>
      <c r="E441" s="1971">
        <v>9426596</v>
      </c>
      <c r="F441" s="1976"/>
      <c r="G441" s="1973">
        <f t="shared" si="2"/>
        <v>9426596</v>
      </c>
      <c r="H441" s="1956"/>
    </row>
    <row r="442" spans="1:8" s="1953" customFormat="1" ht="15.75" thickBot="1" x14ac:dyDescent="0.3">
      <c r="A442" s="1959"/>
      <c r="B442" s="1983"/>
      <c r="C442" s="1969"/>
      <c r="D442" s="1984"/>
      <c r="E442" s="1985" t="s">
        <v>7182</v>
      </c>
      <c r="F442" s="1969"/>
      <c r="G442" s="1982" t="s">
        <v>7182</v>
      </c>
      <c r="H442" s="1956"/>
    </row>
    <row r="443" spans="1:8" s="1953" customFormat="1" ht="15.75" thickBot="1" x14ac:dyDescent="0.3">
      <c r="A443" s="1959"/>
      <c r="B443" s="1986"/>
      <c r="C443" s="1987"/>
      <c r="D443" s="1988"/>
      <c r="E443" s="1989" t="s">
        <v>7182</v>
      </c>
      <c r="F443" s="1987"/>
      <c r="G443" s="1990" t="s">
        <v>7182</v>
      </c>
      <c r="H443" s="1991">
        <f>SUM(G434:G443)</f>
        <v>28335448</v>
      </c>
    </row>
    <row r="444" spans="1:8" s="1953" customFormat="1" x14ac:dyDescent="0.25">
      <c r="A444" s="1959"/>
      <c r="B444" s="2012"/>
      <c r="C444" s="2010"/>
      <c r="D444" s="2027"/>
      <c r="E444" s="2012"/>
      <c r="F444" s="2010"/>
      <c r="G444" s="1996"/>
      <c r="H444" s="1996"/>
    </row>
    <row r="445" spans="1:8" s="1953" customFormat="1" ht="15.75" thickBot="1" x14ac:dyDescent="0.3">
      <c r="A445" s="1959"/>
      <c r="B445" s="2012"/>
      <c r="C445" s="2010"/>
      <c r="D445" s="2027"/>
      <c r="E445" s="2012"/>
      <c r="F445" s="2010"/>
      <c r="G445" s="1996"/>
      <c r="H445" s="1996"/>
    </row>
    <row r="446" spans="1:8" s="1953" customFormat="1" ht="15.75" thickBot="1" x14ac:dyDescent="0.3">
      <c r="A446" s="1960"/>
      <c r="B446" s="2001" t="s">
        <v>9418</v>
      </c>
      <c r="C446" s="1964" t="s">
        <v>867</v>
      </c>
      <c r="D446" s="1965" t="s">
        <v>6</v>
      </c>
      <c r="E446" s="1964" t="s">
        <v>7183</v>
      </c>
      <c r="F446" s="1964" t="s">
        <v>5405</v>
      </c>
      <c r="G446" s="2002" t="s">
        <v>7179</v>
      </c>
      <c r="H446" s="1956"/>
    </row>
    <row r="447" spans="1:8" s="1953" customFormat="1" x14ac:dyDescent="0.25">
      <c r="A447" s="1960"/>
      <c r="B447" s="2003" t="s">
        <v>9619</v>
      </c>
      <c r="C447" s="1981" t="s">
        <v>5475</v>
      </c>
      <c r="D447" s="1975">
        <v>1</v>
      </c>
      <c r="E447" s="1971">
        <v>213097</v>
      </c>
      <c r="F447" s="1981"/>
      <c r="G447" s="2004">
        <f>D447*E447</f>
        <v>213097</v>
      </c>
      <c r="H447" s="1956"/>
    </row>
    <row r="448" spans="1:8" s="1953" customFormat="1" x14ac:dyDescent="0.25">
      <c r="A448" s="1960"/>
      <c r="B448" s="2005"/>
      <c r="C448" s="1969"/>
      <c r="D448" s="1970"/>
      <c r="E448" s="1971"/>
      <c r="F448" s="1969"/>
      <c r="G448" s="2004"/>
      <c r="H448" s="1956"/>
    </row>
    <row r="449" spans="1:11" s="1953" customFormat="1" x14ac:dyDescent="0.25">
      <c r="A449" s="1960"/>
      <c r="B449" s="1983"/>
      <c r="C449" s="1969"/>
      <c r="D449" s="1970"/>
      <c r="E449" s="1971"/>
      <c r="F449" s="1969"/>
      <c r="G449" s="2004"/>
      <c r="H449" s="1956"/>
    </row>
    <row r="450" spans="1:11" s="1953" customFormat="1" x14ac:dyDescent="0.25">
      <c r="A450" s="1960"/>
      <c r="B450" s="1983"/>
      <c r="C450" s="1969"/>
      <c r="D450" s="1970"/>
      <c r="E450" s="1971"/>
      <c r="F450" s="1969"/>
      <c r="G450" s="2004"/>
      <c r="H450" s="1956"/>
    </row>
    <row r="451" spans="1:11" s="1953" customFormat="1" x14ac:dyDescent="0.25">
      <c r="A451" s="1960"/>
      <c r="B451" s="2006"/>
      <c r="C451" s="2007"/>
      <c r="D451" s="2008"/>
      <c r="E451" s="1971"/>
      <c r="F451" s="1969"/>
      <c r="G451" s="2004"/>
      <c r="H451" s="1956"/>
    </row>
    <row r="452" spans="1:11" s="1953" customFormat="1" x14ac:dyDescent="0.25">
      <c r="A452" s="1960"/>
      <c r="B452" s="2006"/>
      <c r="C452" s="2007"/>
      <c r="D452" s="2008"/>
      <c r="E452" s="1971"/>
      <c r="F452" s="1969"/>
      <c r="G452" s="2004"/>
      <c r="H452" s="1956"/>
    </row>
    <row r="453" spans="1:11" s="1953" customFormat="1" x14ac:dyDescent="0.25">
      <c r="A453" s="1960"/>
      <c r="B453" s="2006"/>
      <c r="C453" s="2007"/>
      <c r="D453" s="2008"/>
      <c r="E453" s="1971"/>
      <c r="F453" s="1969"/>
      <c r="G453" s="2004"/>
      <c r="H453" s="1956"/>
    </row>
    <row r="454" spans="1:11" s="1953" customFormat="1" x14ac:dyDescent="0.25">
      <c r="A454" s="1960"/>
      <c r="B454" s="2006"/>
      <c r="C454" s="2007"/>
      <c r="D454" s="2008"/>
      <c r="E454" s="1971"/>
      <c r="F454" s="1969"/>
      <c r="G454" s="2004"/>
      <c r="H454" s="1956"/>
    </row>
    <row r="455" spans="1:11" s="1953" customFormat="1" x14ac:dyDescent="0.25">
      <c r="A455" s="1960"/>
      <c r="B455" s="1983"/>
      <c r="C455" s="1969"/>
      <c r="D455" s="1970"/>
      <c r="E455" s="1971"/>
      <c r="F455" s="1969"/>
      <c r="G455" s="2004"/>
      <c r="H455" s="1956"/>
    </row>
    <row r="456" spans="1:11" s="1953" customFormat="1" x14ac:dyDescent="0.25">
      <c r="A456" s="1960"/>
      <c r="B456" s="1983"/>
      <c r="C456" s="1969"/>
      <c r="D456" s="1970"/>
      <c r="E456" s="1971"/>
      <c r="F456" s="1969"/>
      <c r="G456" s="2004"/>
      <c r="H456" s="1956"/>
    </row>
    <row r="457" spans="1:11" s="1953" customFormat="1" x14ac:dyDescent="0.25">
      <c r="A457" s="1960"/>
      <c r="B457" s="1983"/>
      <c r="C457" s="1969"/>
      <c r="D457" s="1970"/>
      <c r="E457" s="1971"/>
      <c r="F457" s="1969"/>
      <c r="G457" s="2004"/>
      <c r="H457" s="1956"/>
    </row>
    <row r="458" spans="1:11" s="1953" customFormat="1" ht="15.75" thickBot="1" x14ac:dyDescent="0.3">
      <c r="A458" s="1960"/>
      <c r="B458" s="1983"/>
      <c r="C458" s="1969"/>
      <c r="D458" s="1970"/>
      <c r="E458" s="1971" t="s">
        <v>7182</v>
      </c>
      <c r="F458" s="1969"/>
      <c r="G458" s="2004" t="s">
        <v>7182</v>
      </c>
      <c r="H458" s="1956"/>
    </row>
    <row r="459" spans="1:11" s="1953" customFormat="1" ht="15.75" thickBot="1" x14ac:dyDescent="0.3">
      <c r="A459" s="1960"/>
      <c r="B459" s="1986"/>
      <c r="C459" s="1989"/>
      <c r="D459" s="1988"/>
      <c r="E459" s="1989" t="s">
        <v>7182</v>
      </c>
      <c r="F459" s="1987"/>
      <c r="G459" s="1990" t="s">
        <v>7182</v>
      </c>
      <c r="H459" s="1991">
        <f>SUM(G447:G459)</f>
        <v>213097</v>
      </c>
    </row>
    <row r="460" spans="1:11" s="1953" customFormat="1" ht="15.75" thickBot="1" x14ac:dyDescent="0.3">
      <c r="A460" s="1960"/>
      <c r="B460" s="2009"/>
      <c r="C460" s="2010"/>
      <c r="D460" s="2011"/>
      <c r="E460" s="2012"/>
      <c r="F460" s="2013"/>
      <c r="G460" s="2014"/>
      <c r="H460" s="1956"/>
    </row>
    <row r="461" spans="1:11" s="1953" customFormat="1" ht="15.75" thickBot="1" x14ac:dyDescent="0.3">
      <c r="A461" s="1960"/>
      <c r="B461" s="2001" t="s">
        <v>5410</v>
      </c>
      <c r="C461" s="1964" t="s">
        <v>867</v>
      </c>
      <c r="D461" s="1965" t="s">
        <v>6</v>
      </c>
      <c r="E461" s="1964" t="s">
        <v>7183</v>
      </c>
      <c r="F461" s="1964" t="s">
        <v>5405</v>
      </c>
      <c r="G461" s="2002" t="s">
        <v>7179</v>
      </c>
      <c r="H461" s="1956"/>
    </row>
    <row r="462" spans="1:11" s="1953" customFormat="1" ht="25.5" x14ac:dyDescent="0.25">
      <c r="A462" s="1960"/>
      <c r="B462" s="2003" t="s">
        <v>9421</v>
      </c>
      <c r="C462" s="1981" t="s">
        <v>9023</v>
      </c>
      <c r="D462" s="1975">
        <v>1</v>
      </c>
      <c r="E462" s="1971">
        <v>50000</v>
      </c>
      <c r="F462" s="2048">
        <v>1</v>
      </c>
      <c r="G462" s="2004">
        <f>+F462*E462</f>
        <v>50000</v>
      </c>
      <c r="H462" s="1956"/>
    </row>
    <row r="463" spans="1:11" s="1953" customFormat="1" x14ac:dyDescent="0.25">
      <c r="A463" s="1960"/>
      <c r="B463" s="1983"/>
      <c r="C463" s="1969"/>
      <c r="D463" s="1970"/>
      <c r="E463" s="1971" t="s">
        <v>7182</v>
      </c>
      <c r="F463" s="1969"/>
      <c r="G463" s="2004" t="s">
        <v>7182</v>
      </c>
      <c r="H463" s="1956"/>
      <c r="J463" s="1954"/>
      <c r="K463" s="1954"/>
    </row>
    <row r="464" spans="1:11" s="1953" customFormat="1" x14ac:dyDescent="0.25">
      <c r="A464" s="1960"/>
      <c r="B464" s="1983"/>
      <c r="C464" s="1969"/>
      <c r="D464" s="1970"/>
      <c r="E464" s="1971" t="s">
        <v>7182</v>
      </c>
      <c r="F464" s="1969"/>
      <c r="G464" s="2004" t="s">
        <v>7182</v>
      </c>
      <c r="H464" s="1956"/>
      <c r="J464" s="1954"/>
      <c r="K464" s="1954"/>
    </row>
    <row r="465" spans="1:11" s="1953" customFormat="1" ht="15.75" thickBot="1" x14ac:dyDescent="0.3">
      <c r="A465" s="1960"/>
      <c r="B465" s="1983"/>
      <c r="C465" s="1969"/>
      <c r="D465" s="1970"/>
      <c r="E465" s="1971" t="s">
        <v>7182</v>
      </c>
      <c r="F465" s="1969"/>
      <c r="G465" s="2004" t="s">
        <v>7182</v>
      </c>
      <c r="H465" s="1956"/>
      <c r="J465" s="1954"/>
      <c r="K465" s="1954"/>
    </row>
    <row r="466" spans="1:11" s="1953" customFormat="1" ht="15.75" thickBot="1" x14ac:dyDescent="0.3">
      <c r="A466" s="1960"/>
      <c r="B466" s="1986"/>
      <c r="C466" s="1989"/>
      <c r="D466" s="1988"/>
      <c r="E466" s="1989" t="s">
        <v>7182</v>
      </c>
      <c r="F466" s="1987"/>
      <c r="G466" s="1990" t="s">
        <v>7182</v>
      </c>
      <c r="H466" s="1991">
        <f>SUM(G462:G466)</f>
        <v>50000</v>
      </c>
      <c r="J466" s="1954"/>
      <c r="K466" s="1954"/>
    </row>
    <row r="467" spans="1:11" s="1953" customFormat="1" ht="15.75" thickBot="1" x14ac:dyDescent="0.3">
      <c r="A467" s="1960"/>
      <c r="B467" s="2015"/>
      <c r="C467" s="2015"/>
      <c r="D467" s="2016"/>
      <c r="E467" s="2015"/>
      <c r="F467" s="2017"/>
      <c r="G467" s="2018"/>
      <c r="H467" s="1996"/>
      <c r="J467" s="1954"/>
      <c r="K467" s="1954"/>
    </row>
    <row r="468" spans="1:11" s="1953" customFormat="1" ht="15.75" thickBot="1" x14ac:dyDescent="0.3">
      <c r="A468" s="2019"/>
      <c r="B468" s="1963" t="s">
        <v>5412</v>
      </c>
      <c r="C468" s="1964" t="s">
        <v>5420</v>
      </c>
      <c r="D468" s="1965" t="s">
        <v>5421</v>
      </c>
      <c r="E468" s="1964" t="s">
        <v>7187</v>
      </c>
      <c r="F468" s="1964" t="s">
        <v>5405</v>
      </c>
      <c r="G468" s="1966" t="s">
        <v>7179</v>
      </c>
      <c r="H468" s="1967"/>
      <c r="J468" s="1954"/>
      <c r="K468" s="1954"/>
    </row>
    <row r="469" spans="1:11" s="1953" customFormat="1" x14ac:dyDescent="0.25">
      <c r="A469" s="1960"/>
      <c r="B469" s="2020" t="s">
        <v>9618</v>
      </c>
      <c r="C469" s="2021">
        <f>99238+118599+63155</f>
        <v>280992</v>
      </c>
      <c r="D469" s="2021">
        <v>102000</v>
      </c>
      <c r="E469" s="2021">
        <f>C469+D469</f>
        <v>382992</v>
      </c>
      <c r="F469" s="2022">
        <v>3</v>
      </c>
      <c r="G469" s="2023">
        <f>E469*F469</f>
        <v>1148976</v>
      </c>
      <c r="H469" s="1956"/>
      <c r="J469" s="1954"/>
      <c r="K469" s="1954"/>
    </row>
    <row r="470" spans="1:11" s="1953" customFormat="1" x14ac:dyDescent="0.25">
      <c r="A470" s="1960"/>
      <c r="B470" s="2020"/>
      <c r="C470" s="2021"/>
      <c r="D470" s="2021"/>
      <c r="E470" s="2021"/>
      <c r="F470" s="2022"/>
      <c r="G470" s="2023"/>
      <c r="H470" s="1956"/>
      <c r="J470" s="1954"/>
      <c r="K470" s="1954"/>
    </row>
    <row r="471" spans="1:11" s="1953" customFormat="1" x14ac:dyDescent="0.25">
      <c r="A471" s="1960"/>
      <c r="B471" s="2024"/>
      <c r="C471" s="2021"/>
      <c r="D471" s="2021"/>
      <c r="E471" s="2021"/>
      <c r="F471" s="2025"/>
      <c r="G471" s="2023"/>
      <c r="H471" s="1956"/>
      <c r="J471" s="1954"/>
      <c r="K471" s="1954"/>
    </row>
    <row r="472" spans="1:11" s="1953" customFormat="1" x14ac:dyDescent="0.25">
      <c r="A472" s="1960"/>
      <c r="B472" s="1983"/>
      <c r="C472" s="2021"/>
      <c r="D472" s="2021"/>
      <c r="E472" s="2021"/>
      <c r="F472" s="2025"/>
      <c r="G472" s="2023"/>
      <c r="H472" s="1956"/>
      <c r="J472" s="1954"/>
      <c r="K472" s="1954"/>
    </row>
    <row r="473" spans="1:11" s="1953" customFormat="1" x14ac:dyDescent="0.25">
      <c r="A473" s="1960"/>
      <c r="B473" s="1983"/>
      <c r="C473" s="1985" t="s">
        <v>7182</v>
      </c>
      <c r="D473" s="1984" t="s">
        <v>7182</v>
      </c>
      <c r="E473" s="1985" t="s">
        <v>7182</v>
      </c>
      <c r="F473" s="2025"/>
      <c r="G473" s="2023" t="str">
        <f>IF(B473="","",E473/F473)</f>
        <v/>
      </c>
      <c r="H473" s="1956"/>
      <c r="J473" s="1954"/>
      <c r="K473" s="1954"/>
    </row>
    <row r="474" spans="1:11" s="1953" customFormat="1" ht="15.75" thickBot="1" x14ac:dyDescent="0.3">
      <c r="A474" s="1960"/>
      <c r="B474" s="1983"/>
      <c r="C474" s="1985" t="s">
        <v>7182</v>
      </c>
      <c r="D474" s="1984" t="s">
        <v>7182</v>
      </c>
      <c r="E474" s="1985" t="s">
        <v>7182</v>
      </c>
      <c r="F474" s="1969"/>
      <c r="G474" s="2023" t="str">
        <f>IF(B474="","",E474/F474)</f>
        <v/>
      </c>
      <c r="H474" s="1956"/>
      <c r="J474" s="1954"/>
      <c r="K474" s="1954"/>
    </row>
    <row r="475" spans="1:11" s="1953" customFormat="1" ht="15.75" thickBot="1" x14ac:dyDescent="0.3">
      <c r="A475" s="1960"/>
      <c r="B475" s="1986"/>
      <c r="C475" s="1989"/>
      <c r="D475" s="1988"/>
      <c r="E475" s="1989"/>
      <c r="F475" s="1987"/>
      <c r="G475" s="1990"/>
      <c r="H475" s="1991">
        <f>SUM(G469:G475)</f>
        <v>1148976</v>
      </c>
      <c r="J475" s="1954"/>
      <c r="K475" s="1954"/>
    </row>
    <row r="476" spans="1:11" s="1953" customFormat="1" ht="15.75" thickBot="1" x14ac:dyDescent="0.3">
      <c r="A476" s="1960"/>
      <c r="B476" s="1960"/>
      <c r="C476" s="1960"/>
      <c r="D476" s="1955"/>
      <c r="F476" s="1959"/>
      <c r="G476" s="1956"/>
      <c r="H476" s="1956"/>
      <c r="J476" s="1954"/>
      <c r="K476" s="1954"/>
    </row>
    <row r="477" spans="1:11" s="1953" customFormat="1" ht="15.75" thickBot="1" x14ac:dyDescent="0.3">
      <c r="A477" s="2026" t="s">
        <v>6744</v>
      </c>
      <c r="B477" s="2012"/>
      <c r="C477" s="2012"/>
      <c r="D477" s="2027"/>
      <c r="E477" s="2028"/>
      <c r="F477" s="2010"/>
      <c r="G477" s="1960" t="s">
        <v>5415</v>
      </c>
      <c r="H477" s="1991">
        <f>ROUND(SUM(H422:H476),0)</f>
        <v>29747521</v>
      </c>
      <c r="J477" s="2029">
        <f>+B418</f>
        <v>10.099999999999998</v>
      </c>
      <c r="K477" s="2030">
        <f>+H477</f>
        <v>29747521</v>
      </c>
    </row>
    <row r="478" spans="1:11" s="1953" customFormat="1" x14ac:dyDescent="0.25">
      <c r="A478" s="2031"/>
      <c r="B478" s="2032"/>
      <c r="C478" s="2032"/>
      <c r="D478" s="2033"/>
      <c r="E478" s="2034"/>
      <c r="F478" s="2035"/>
      <c r="G478" s="2036"/>
      <c r="H478" s="2036"/>
      <c r="J478" s="1954"/>
      <c r="K478" s="1954"/>
    </row>
    <row r="479" spans="1:11" ht="18.75" x14ac:dyDescent="0.25">
      <c r="A479" s="1523"/>
      <c r="B479" s="1655"/>
      <c r="C479" s="1655"/>
      <c r="D479" s="950"/>
      <c r="E479" s="1655"/>
      <c r="F479" s="1655"/>
      <c r="G479" s="1655"/>
      <c r="H479" s="8"/>
      <c r="J479" s="1637"/>
      <c r="K479" s="1637"/>
    </row>
    <row r="480" spans="1:11" x14ac:dyDescent="0.25">
      <c r="A480" s="1523"/>
      <c r="B480" s="8"/>
      <c r="C480" s="8"/>
      <c r="D480" s="529"/>
      <c r="E480" s="8"/>
      <c r="F480" s="1523"/>
      <c r="G480" s="1524"/>
      <c r="H480" s="8"/>
      <c r="J480" s="1637"/>
      <c r="K480" s="1637"/>
    </row>
    <row r="481" spans="1:11" x14ac:dyDescent="0.25">
      <c r="A481" s="1665" t="s">
        <v>3</v>
      </c>
      <c r="B481" s="1666">
        <f>+VLOOKUP(C481,ListaAPUs!$B:$E,4,FALSE)</f>
        <v>10.109999999999998</v>
      </c>
      <c r="C481" s="2441" t="str">
        <f>+ListaAPUs!B211</f>
        <v>Cable 3" No 2/0 XLPE 35 KV tarmo Trafo-Celda de proteccion</v>
      </c>
      <c r="D481" s="2441"/>
      <c r="E481" s="2441"/>
      <c r="F481" s="1665" t="s">
        <v>867</v>
      </c>
      <c r="G481" s="1390" t="str">
        <f>+VLOOKUP(C481,ListaAPUs!$B:$E,2,FALSE)</f>
        <v>m</v>
      </c>
      <c r="H481" s="1524"/>
    </row>
    <row r="482" spans="1:11" x14ac:dyDescent="0.25">
      <c r="A482" s="1528"/>
      <c r="B482" s="1527"/>
      <c r="C482" s="1527"/>
      <c r="D482" s="529"/>
      <c r="E482" s="1527"/>
      <c r="F482" s="1528"/>
      <c r="G482" s="1524"/>
      <c r="H482" s="1524"/>
      <c r="J482" s="1637"/>
      <c r="K482" s="1637"/>
    </row>
    <row r="483" spans="1:11" x14ac:dyDescent="0.25">
      <c r="A483" s="1528"/>
      <c r="B483" s="1527"/>
      <c r="C483" s="1527"/>
      <c r="D483" s="529"/>
      <c r="E483" s="1527"/>
      <c r="F483" s="1528"/>
      <c r="G483" s="1529"/>
      <c r="H483" s="1524"/>
      <c r="J483" s="1637"/>
      <c r="K483" s="1637"/>
    </row>
    <row r="484" spans="1:11" ht="15.75" thickBot="1" x14ac:dyDescent="0.3">
      <c r="A484" s="1528"/>
      <c r="B484" s="1527"/>
      <c r="C484" s="1527"/>
      <c r="D484" s="529"/>
      <c r="E484" s="1527"/>
      <c r="F484" s="1528"/>
      <c r="G484" s="1524"/>
      <c r="H484" s="1524"/>
      <c r="J484" s="1637"/>
      <c r="K484" s="1637"/>
    </row>
    <row r="485" spans="1:11" ht="15.75" thickBot="1" x14ac:dyDescent="0.3">
      <c r="A485" s="1368"/>
      <c r="B485" s="1369" t="s">
        <v>5403</v>
      </c>
      <c r="C485" s="1363" t="s">
        <v>867</v>
      </c>
      <c r="D485" s="1120" t="s">
        <v>6</v>
      </c>
      <c r="E485" s="1363" t="s">
        <v>9417</v>
      </c>
      <c r="F485" s="1363" t="s">
        <v>5405</v>
      </c>
      <c r="G485" s="1370" t="s">
        <v>7179</v>
      </c>
      <c r="H485" s="1371"/>
      <c r="J485" s="1637"/>
      <c r="K485" s="1637"/>
    </row>
    <row r="486" spans="1:11" x14ac:dyDescent="0.25">
      <c r="A486" s="1528"/>
      <c r="B486" s="1746" t="s">
        <v>9431</v>
      </c>
      <c r="C486" s="1802" t="s">
        <v>5432</v>
      </c>
      <c r="D486" s="1794">
        <v>3</v>
      </c>
      <c r="E486" s="1803">
        <v>53579</v>
      </c>
      <c r="F486" s="1804">
        <v>1.05</v>
      </c>
      <c r="G486" s="1805">
        <f>+F486*E486*D486</f>
        <v>168773.85</v>
      </c>
      <c r="H486" s="1524"/>
      <c r="J486" s="1637"/>
      <c r="K486" s="1637"/>
    </row>
    <row r="487" spans="1:11" x14ac:dyDescent="0.25">
      <c r="A487" s="1528"/>
      <c r="B487" s="1751" t="s">
        <v>9432</v>
      </c>
      <c r="C487" s="1749" t="s">
        <v>5</v>
      </c>
      <c r="D487" s="1773">
        <v>0.01</v>
      </c>
      <c r="E487" s="1825">
        <v>50000</v>
      </c>
      <c r="F487" s="1769">
        <v>1</v>
      </c>
      <c r="G487" s="1786">
        <f>+F487*E487*D487</f>
        <v>500</v>
      </c>
      <c r="H487" s="1524"/>
      <c r="J487" s="1637"/>
      <c r="K487" s="1637"/>
    </row>
    <row r="488" spans="1:11" x14ac:dyDescent="0.25">
      <c r="A488" s="1528"/>
      <c r="B488" s="1667"/>
      <c r="C488" s="1537"/>
      <c r="D488" s="212"/>
      <c r="E488" s="816"/>
      <c r="F488" s="1563"/>
      <c r="G488" s="814"/>
      <c r="H488" s="1524"/>
      <c r="J488" s="1637"/>
      <c r="K488" s="1637"/>
    </row>
    <row r="489" spans="1:11" x14ac:dyDescent="0.25">
      <c r="A489" s="1528"/>
      <c r="B489" s="1667"/>
      <c r="C489" s="1537"/>
      <c r="D489" s="212"/>
      <c r="E489" s="816"/>
      <c r="F489" s="1563"/>
      <c r="G489" s="814"/>
      <c r="H489" s="1524"/>
      <c r="J489" s="1637"/>
      <c r="K489" s="1637"/>
    </row>
    <row r="490" spans="1:11" x14ac:dyDescent="0.25">
      <c r="A490" s="1528"/>
      <c r="B490" s="1667"/>
      <c r="C490" s="1537"/>
      <c r="D490" s="212"/>
      <c r="E490" s="816"/>
      <c r="F490" s="1563"/>
      <c r="G490" s="814"/>
      <c r="H490" s="1524"/>
      <c r="J490" s="1637"/>
      <c r="K490" s="1637"/>
    </row>
    <row r="491" spans="1:11" x14ac:dyDescent="0.25">
      <c r="A491" s="1528"/>
      <c r="B491" s="1667"/>
      <c r="C491" s="1537"/>
      <c r="D491" s="212"/>
      <c r="E491" s="816"/>
      <c r="F491" s="1563"/>
      <c r="G491" s="814"/>
      <c r="H491" s="1524"/>
      <c r="J491" s="1637"/>
      <c r="K491" s="1637"/>
    </row>
    <row r="492" spans="1:11" x14ac:dyDescent="0.25">
      <c r="A492" s="1528"/>
      <c r="B492" s="1667"/>
      <c r="C492" s="1537"/>
      <c r="D492" s="212"/>
      <c r="E492" s="816"/>
      <c r="F492" s="1563"/>
      <c r="G492" s="814"/>
      <c r="H492" s="1524"/>
      <c r="J492" s="1637"/>
      <c r="K492" s="1637"/>
    </row>
    <row r="493" spans="1:11" x14ac:dyDescent="0.25">
      <c r="A493" s="1528"/>
      <c r="B493" s="1667"/>
      <c r="C493" s="1537"/>
      <c r="D493" s="212"/>
      <c r="E493" s="816"/>
      <c r="F493" s="1563"/>
      <c r="G493" s="814"/>
      <c r="H493" s="1524"/>
      <c r="J493" s="1637"/>
      <c r="K493" s="1637"/>
    </row>
    <row r="494" spans="1:11" x14ac:dyDescent="0.25">
      <c r="A494" s="1528"/>
      <c r="B494" s="1667"/>
      <c r="C494" s="1537"/>
      <c r="D494" s="212"/>
      <c r="E494" s="816"/>
      <c r="F494" s="1563"/>
      <c r="G494" s="814"/>
      <c r="H494" s="1524"/>
      <c r="J494" s="1637"/>
      <c r="K494" s="1637"/>
    </row>
    <row r="495" spans="1:11" x14ac:dyDescent="0.25">
      <c r="A495" s="1528"/>
      <c r="B495" s="1667"/>
      <c r="C495" s="1537"/>
      <c r="D495" s="212"/>
      <c r="E495" s="816"/>
      <c r="F495" s="1563"/>
      <c r="G495" s="814"/>
      <c r="H495" s="1524"/>
      <c r="J495" s="1637"/>
      <c r="K495" s="1637"/>
    </row>
    <row r="496" spans="1:11" x14ac:dyDescent="0.25">
      <c r="A496" s="1528"/>
      <c r="B496" s="1667"/>
      <c r="C496" s="1537"/>
      <c r="D496" s="212"/>
      <c r="E496" s="816"/>
      <c r="F496" s="1563"/>
      <c r="G496" s="814"/>
      <c r="H496" s="1524"/>
      <c r="J496" s="1637"/>
      <c r="K496" s="1637"/>
    </row>
    <row r="497" spans="1:11" x14ac:dyDescent="0.25">
      <c r="A497" s="1528"/>
      <c r="B497" s="269"/>
      <c r="C497" s="1537"/>
      <c r="D497" s="212"/>
      <c r="E497" s="816"/>
      <c r="F497" s="1563"/>
      <c r="G497" s="814"/>
      <c r="H497" s="1524"/>
      <c r="J497" s="1637"/>
      <c r="K497" s="1637"/>
    </row>
    <row r="498" spans="1:11" x14ac:dyDescent="0.25">
      <c r="A498" s="1528"/>
      <c r="B498" s="268"/>
      <c r="C498" s="1534"/>
      <c r="D498" s="211"/>
      <c r="E498" s="1535" t="s">
        <v>7182</v>
      </c>
      <c r="F498" s="1551"/>
      <c r="G498" s="1541" t="s">
        <v>7182</v>
      </c>
      <c r="H498" s="1524"/>
      <c r="J498" s="1637"/>
      <c r="K498" s="1637"/>
    </row>
    <row r="499" spans="1:11" x14ac:dyDescent="0.25">
      <c r="A499" s="1528"/>
      <c r="B499" s="1346"/>
      <c r="C499" s="1534"/>
      <c r="D499" s="211"/>
      <c r="E499" s="1535" t="s">
        <v>7182</v>
      </c>
      <c r="F499" s="1551"/>
      <c r="G499" s="1541" t="s">
        <v>7182</v>
      </c>
      <c r="H499" s="1524"/>
      <c r="J499" s="1637"/>
      <c r="K499" s="1637"/>
    </row>
    <row r="500" spans="1:11" ht="15.75" thickBot="1" x14ac:dyDescent="0.3">
      <c r="A500" s="1528"/>
      <c r="B500" s="1540"/>
      <c r="C500" s="1537"/>
      <c r="D500" s="952"/>
      <c r="E500" s="1538" t="s">
        <v>7182</v>
      </c>
      <c r="F500" s="1537"/>
      <c r="G500" s="1541" t="s">
        <v>7182</v>
      </c>
      <c r="H500" s="1524"/>
      <c r="J500" s="1637"/>
      <c r="K500" s="1637"/>
    </row>
    <row r="501" spans="1:11" ht="15.75" thickBot="1" x14ac:dyDescent="0.3">
      <c r="A501" s="1528"/>
      <c r="B501" s="1555"/>
      <c r="C501" s="1557"/>
      <c r="D501" s="956"/>
      <c r="E501" s="1556" t="s">
        <v>7182</v>
      </c>
      <c r="F501" s="1557"/>
      <c r="G501" s="1558" t="s">
        <v>7182</v>
      </c>
      <c r="H501" s="1546">
        <f>SUM(G486:G501)</f>
        <v>169273.85</v>
      </c>
      <c r="J501" s="1637"/>
      <c r="K501" s="1637"/>
    </row>
    <row r="502" spans="1:11" x14ac:dyDescent="0.25">
      <c r="A502" s="1528"/>
      <c r="B502" s="1372"/>
      <c r="C502" s="1374"/>
      <c r="D502" s="1373"/>
      <c r="E502" s="1372" t="s">
        <v>7182</v>
      </c>
      <c r="F502" s="1374"/>
      <c r="G502" s="1375" t="s">
        <v>7182</v>
      </c>
      <c r="H502" s="1550"/>
      <c r="J502" s="1637"/>
      <c r="K502" s="1637"/>
    </row>
    <row r="503" spans="1:11" ht="15.75" thickBot="1" x14ac:dyDescent="0.3">
      <c r="A503" s="1527"/>
      <c r="B503" s="188"/>
      <c r="C503" s="189"/>
      <c r="D503" s="1668"/>
      <c r="E503" s="188"/>
      <c r="F503" s="189"/>
      <c r="G503" s="1669"/>
      <c r="H503" s="1550"/>
      <c r="J503" s="1637"/>
      <c r="K503" s="1637"/>
    </row>
    <row r="504" spans="1:11" ht="15.75" thickBot="1" x14ac:dyDescent="0.3">
      <c r="A504" s="1527"/>
      <c r="B504" s="1366" t="s">
        <v>9418</v>
      </c>
      <c r="C504" s="1363" t="s">
        <v>867</v>
      </c>
      <c r="D504" s="1120" t="s">
        <v>6</v>
      </c>
      <c r="E504" s="1363" t="s">
        <v>7183</v>
      </c>
      <c r="F504" s="1363" t="s">
        <v>5405</v>
      </c>
      <c r="G504" s="1365" t="s">
        <v>7179</v>
      </c>
      <c r="H504" s="1524"/>
      <c r="J504" s="1637"/>
      <c r="K504" s="1637"/>
    </row>
    <row r="505" spans="1:11" x14ac:dyDescent="0.25">
      <c r="A505" s="1527"/>
      <c r="B505" s="1564" t="s">
        <v>5455</v>
      </c>
      <c r="C505" s="1534" t="s">
        <v>5</v>
      </c>
      <c r="D505" s="211">
        <v>1</v>
      </c>
      <c r="E505" s="1535">
        <v>5000</v>
      </c>
      <c r="F505" s="1777">
        <v>0.1</v>
      </c>
      <c r="G505" s="1572">
        <f>+F505*E505</f>
        <v>500</v>
      </c>
      <c r="H505" s="1524"/>
      <c r="J505" s="1637"/>
      <c r="K505" s="1637"/>
    </row>
    <row r="506" spans="1:11" x14ac:dyDescent="0.25">
      <c r="A506" s="1527"/>
      <c r="B506" s="1540"/>
      <c r="C506" s="1537"/>
      <c r="D506" s="212"/>
      <c r="E506" s="1535" t="s">
        <v>7182</v>
      </c>
      <c r="F506" s="1537"/>
      <c r="G506" s="1572" t="s">
        <v>7182</v>
      </c>
      <c r="H506" s="1524"/>
      <c r="J506" s="1637"/>
      <c r="K506" s="1637"/>
    </row>
    <row r="507" spans="1:11" x14ac:dyDescent="0.25">
      <c r="A507" s="1527"/>
      <c r="B507" s="1540"/>
      <c r="C507" s="1537"/>
      <c r="D507" s="212"/>
      <c r="E507" s="1535" t="s">
        <v>7182</v>
      </c>
      <c r="F507" s="1537"/>
      <c r="G507" s="1572" t="s">
        <v>7182</v>
      </c>
      <c r="H507" s="1524"/>
      <c r="J507" s="1637"/>
      <c r="K507" s="1637"/>
    </row>
    <row r="508" spans="1:11" ht="15.75" thickBot="1" x14ac:dyDescent="0.3">
      <c r="A508" s="1527"/>
      <c r="B508" s="1540"/>
      <c r="C508" s="1537"/>
      <c r="D508" s="212"/>
      <c r="E508" s="1535" t="s">
        <v>7182</v>
      </c>
      <c r="F508" s="1537"/>
      <c r="G508" s="1572" t="s">
        <v>7182</v>
      </c>
      <c r="H508" s="1524"/>
      <c r="J508" s="1637"/>
      <c r="K508" s="1637"/>
    </row>
    <row r="509" spans="1:11" ht="15.75" thickBot="1" x14ac:dyDescent="0.3">
      <c r="A509" s="1527"/>
      <c r="B509" s="1555"/>
      <c r="C509" s="1556"/>
      <c r="D509" s="956"/>
      <c r="E509" s="1556" t="s">
        <v>7182</v>
      </c>
      <c r="F509" s="1557"/>
      <c r="G509" s="1558" t="s">
        <v>7182</v>
      </c>
      <c r="H509" s="1546">
        <f>SUM(G505:G509)</f>
        <v>500</v>
      </c>
      <c r="J509" s="1637"/>
      <c r="K509" s="1637"/>
    </row>
    <row r="510" spans="1:11" ht="15.75" thickBot="1" x14ac:dyDescent="0.3">
      <c r="A510" s="1527"/>
      <c r="B510" s="1376"/>
      <c r="C510" s="1353"/>
      <c r="D510" s="1355"/>
      <c r="E510" s="1352"/>
      <c r="F510" s="1377"/>
      <c r="G510" s="1378"/>
      <c r="H510" s="1524"/>
      <c r="J510" s="1637"/>
      <c r="K510" s="1637"/>
    </row>
    <row r="511" spans="1:11" ht="15.75" thickBot="1" x14ac:dyDescent="0.3">
      <c r="A511" s="1527"/>
      <c r="B511" s="1366" t="s">
        <v>5410</v>
      </c>
      <c r="C511" s="1363" t="s">
        <v>867</v>
      </c>
      <c r="D511" s="1120" t="s">
        <v>6</v>
      </c>
      <c r="E511" s="1363" t="s">
        <v>7183</v>
      </c>
      <c r="F511" s="1363" t="s">
        <v>5405</v>
      </c>
      <c r="G511" s="1365" t="s">
        <v>7179</v>
      </c>
      <c r="H511" s="1524"/>
      <c r="J511" s="1637"/>
      <c r="K511" s="1637"/>
    </row>
    <row r="512" spans="1:11" ht="25.5" x14ac:dyDescent="0.25">
      <c r="A512" s="1527"/>
      <c r="B512" s="1770" t="s">
        <v>9421</v>
      </c>
      <c r="C512" s="1747" t="s">
        <v>9023</v>
      </c>
      <c r="D512" s="1772">
        <v>1</v>
      </c>
      <c r="E512" s="1748">
        <f>300000/570</f>
        <v>526.31578947368416</v>
      </c>
      <c r="F512" s="1777">
        <v>1</v>
      </c>
      <c r="G512" s="1783">
        <f>+F512*E512</f>
        <v>526.31578947368416</v>
      </c>
      <c r="H512" s="1524"/>
      <c r="J512" s="1637"/>
      <c r="K512" s="1637"/>
    </row>
    <row r="513" spans="1:11" x14ac:dyDescent="0.25">
      <c r="A513" s="1527"/>
      <c r="B513" s="1752"/>
      <c r="C513" s="1749"/>
      <c r="D513" s="1773"/>
      <c r="E513" s="1748" t="s">
        <v>7182</v>
      </c>
      <c r="F513" s="1749"/>
      <c r="G513" s="1783" t="s">
        <v>7182</v>
      </c>
      <c r="H513" s="1524"/>
      <c r="J513" s="1637"/>
      <c r="K513" s="1637"/>
    </row>
    <row r="514" spans="1:11" x14ac:dyDescent="0.25">
      <c r="A514" s="1527"/>
      <c r="B514" s="1540"/>
      <c r="C514" s="1537"/>
      <c r="D514" s="212"/>
      <c r="E514" s="1535" t="s">
        <v>7182</v>
      </c>
      <c r="F514" s="1537"/>
      <c r="G514" s="1572" t="s">
        <v>7182</v>
      </c>
      <c r="H514" s="1524"/>
      <c r="J514" s="1637"/>
      <c r="K514" s="1637"/>
    </row>
    <row r="515" spans="1:11" ht="15.75" thickBot="1" x14ac:dyDescent="0.3">
      <c r="A515" s="1527"/>
      <c r="B515" s="1540"/>
      <c r="C515" s="1537"/>
      <c r="D515" s="212"/>
      <c r="E515" s="1535" t="s">
        <v>7182</v>
      </c>
      <c r="F515" s="1537"/>
      <c r="G515" s="1572" t="s">
        <v>7182</v>
      </c>
      <c r="H515" s="1524"/>
      <c r="J515" s="1637"/>
      <c r="K515" s="1637"/>
    </row>
    <row r="516" spans="1:11" ht="15.75" thickBot="1" x14ac:dyDescent="0.3">
      <c r="A516" s="1527"/>
      <c r="B516" s="1555"/>
      <c r="C516" s="1556"/>
      <c r="D516" s="956"/>
      <c r="E516" s="1556" t="s">
        <v>7182</v>
      </c>
      <c r="F516" s="1557"/>
      <c r="G516" s="1558" t="s">
        <v>7182</v>
      </c>
      <c r="H516" s="1546">
        <f>SUM(G512:G516)</f>
        <v>526.31578947368416</v>
      </c>
      <c r="J516" s="1637"/>
      <c r="K516" s="1637"/>
    </row>
    <row r="517" spans="1:11" ht="15.75" thickBot="1" x14ac:dyDescent="0.3">
      <c r="A517" s="1527"/>
      <c r="B517" s="1547"/>
      <c r="C517" s="1547"/>
      <c r="D517" s="954"/>
      <c r="E517" s="1547"/>
      <c r="F517" s="1553"/>
      <c r="G517" s="1554"/>
      <c r="H517" s="1550"/>
      <c r="J517" s="1637"/>
      <c r="K517" s="1637"/>
    </row>
    <row r="518" spans="1:11" ht="15.75" thickBot="1" x14ac:dyDescent="0.3">
      <c r="A518" s="1559"/>
      <c r="B518" s="1369" t="s">
        <v>5412</v>
      </c>
      <c r="C518" s="1363" t="s">
        <v>5420</v>
      </c>
      <c r="D518" s="1120" t="s">
        <v>5421</v>
      </c>
      <c r="E518" s="1363" t="s">
        <v>7187</v>
      </c>
      <c r="F518" s="1363" t="s">
        <v>5405</v>
      </c>
      <c r="G518" s="1370" t="s">
        <v>7179</v>
      </c>
      <c r="H518" s="1371"/>
      <c r="J518" s="1637"/>
      <c r="K518" s="1637"/>
    </row>
    <row r="519" spans="1:11" x14ac:dyDescent="0.25">
      <c r="A519" s="1527"/>
      <c r="B519" s="1560" t="s">
        <v>9422</v>
      </c>
      <c r="C519" s="1569">
        <v>170000</v>
      </c>
      <c r="D519" s="352">
        <f>0.6*C519</f>
        <v>102000</v>
      </c>
      <c r="E519" s="1569">
        <f>+D519+C519</f>
        <v>272000</v>
      </c>
      <c r="F519" s="819">
        <v>0.25</v>
      </c>
      <c r="G519" s="818">
        <f>+F519*E519</f>
        <v>68000</v>
      </c>
      <c r="H519" s="1524"/>
      <c r="J519" s="1637"/>
      <c r="K519" s="1637"/>
    </row>
    <row r="520" spans="1:11" x14ac:dyDescent="0.25">
      <c r="A520" s="1527"/>
      <c r="B520" s="1560"/>
      <c r="C520" s="1569"/>
      <c r="D520" s="1569"/>
      <c r="E520" s="1569"/>
      <c r="F520" s="819"/>
      <c r="G520" s="818"/>
      <c r="H520" s="1524"/>
      <c r="J520" s="1637"/>
      <c r="K520" s="1637"/>
    </row>
    <row r="521" spans="1:11" x14ac:dyDescent="0.25">
      <c r="A521" s="1527"/>
      <c r="B521" s="1561"/>
      <c r="C521" s="1569"/>
      <c r="D521" s="1569"/>
      <c r="E521" s="1569"/>
      <c r="F521" s="817"/>
      <c r="G521" s="818"/>
      <c r="H521" s="1524"/>
      <c r="J521" s="1637"/>
      <c r="K521" s="1637"/>
    </row>
    <row r="522" spans="1:11" x14ac:dyDescent="0.25">
      <c r="A522" s="1527"/>
      <c r="B522" s="1540"/>
      <c r="C522" s="1569"/>
      <c r="D522" s="1569"/>
      <c r="E522" s="1569"/>
      <c r="F522" s="817"/>
      <c r="G522" s="818"/>
      <c r="H522" s="1524"/>
      <c r="J522" s="1637"/>
      <c r="K522" s="1637"/>
    </row>
    <row r="523" spans="1:11" x14ac:dyDescent="0.25">
      <c r="A523" s="1527"/>
      <c r="B523" s="1540"/>
      <c r="C523" s="1538" t="s">
        <v>7182</v>
      </c>
      <c r="D523" s="952" t="s">
        <v>7182</v>
      </c>
      <c r="E523" s="1538" t="s">
        <v>7182</v>
      </c>
      <c r="F523" s="817"/>
      <c r="G523" s="818" t="str">
        <f>IF(B523="","",E523/F523)</f>
        <v/>
      </c>
      <c r="H523" s="1524"/>
      <c r="J523" s="1637"/>
      <c r="K523" s="1637"/>
    </row>
    <row r="524" spans="1:11" ht="15.75" thickBot="1" x14ac:dyDescent="0.3">
      <c r="A524" s="1527"/>
      <c r="B524" s="1540"/>
      <c r="C524" s="1538" t="s">
        <v>7182</v>
      </c>
      <c r="D524" s="952" t="s">
        <v>7182</v>
      </c>
      <c r="E524" s="1538" t="s">
        <v>7182</v>
      </c>
      <c r="F524" s="1537"/>
      <c r="G524" s="818" t="str">
        <f>IF(B524="","",E524/F524)</f>
        <v/>
      </c>
      <c r="H524" s="1524"/>
      <c r="J524" s="1637"/>
      <c r="K524" s="1637"/>
    </row>
    <row r="525" spans="1:11" ht="15.75" thickBot="1" x14ac:dyDescent="0.3">
      <c r="A525" s="1527"/>
      <c r="B525" s="1555"/>
      <c r="C525" s="1556"/>
      <c r="D525" s="956"/>
      <c r="E525" s="1556"/>
      <c r="F525" s="1557"/>
      <c r="G525" s="1558"/>
      <c r="H525" s="1546">
        <f>SUM(G519:G525)</f>
        <v>68000</v>
      </c>
      <c r="J525" s="1637"/>
      <c r="K525" s="1637"/>
    </row>
    <row r="526" spans="1:11" ht="15.75" thickBot="1" x14ac:dyDescent="0.3">
      <c r="A526" s="1527"/>
      <c r="B526" s="1527"/>
      <c r="C526" s="1527"/>
      <c r="D526" s="529"/>
      <c r="F526" s="1528"/>
      <c r="G526" s="1524"/>
      <c r="H526" s="1524"/>
      <c r="J526" s="1637"/>
      <c r="K526" s="1637"/>
    </row>
    <row r="527" spans="1:11" ht="15.75" thickBot="1" x14ac:dyDescent="0.3">
      <c r="A527" s="1647" t="s">
        <v>6744</v>
      </c>
      <c r="B527" s="1352"/>
      <c r="C527" s="1352"/>
      <c r="D527" s="1671"/>
      <c r="E527" s="1672"/>
      <c r="F527" s="1353"/>
      <c r="G527" s="1527" t="s">
        <v>5415</v>
      </c>
      <c r="H527" s="502">
        <f>ROUND(SUM(H485:H526),0)</f>
        <v>238300</v>
      </c>
      <c r="J527" s="1673">
        <f>+B481</f>
        <v>10.109999999999998</v>
      </c>
      <c r="K527" s="1674">
        <f>+H527</f>
        <v>238300</v>
      </c>
    </row>
    <row r="528" spans="1:11" x14ac:dyDescent="0.25">
      <c r="A528" s="1675"/>
      <c r="B528" s="1676"/>
      <c r="C528" s="1676"/>
      <c r="D528" s="1677"/>
      <c r="E528" s="1678"/>
      <c r="F528" s="1679"/>
      <c r="G528" s="1680"/>
      <c r="H528" s="1680"/>
    </row>
    <row r="529" spans="1:11" ht="18.75" x14ac:dyDescent="0.25">
      <c r="A529" s="1523"/>
      <c r="B529" s="1655"/>
      <c r="C529" s="1655"/>
      <c r="D529" s="950"/>
      <c r="E529" s="1655"/>
      <c r="F529" s="1655"/>
      <c r="G529" s="1655"/>
      <c r="H529" s="8"/>
    </row>
    <row r="530" spans="1:11" x14ac:dyDescent="0.25">
      <c r="A530" s="1523"/>
      <c r="B530" s="8"/>
      <c r="C530" s="8"/>
      <c r="D530" s="529"/>
      <c r="E530" s="8"/>
      <c r="F530" s="1523"/>
      <c r="G530" s="1524"/>
      <c r="H530" s="8"/>
    </row>
    <row r="531" spans="1:11" ht="27" customHeight="1" x14ac:dyDescent="0.25">
      <c r="A531" s="1665" t="s">
        <v>3</v>
      </c>
      <c r="B531" s="1666">
        <f>+VLOOKUP(C531,ListaAPUs!$B:$E,4,FALSE)</f>
        <v>10.109999999999998</v>
      </c>
      <c r="C531" s="2441" t="str">
        <f>+ListaAPUs!B212</f>
        <v>TRANSFORMADOR 3F 800 KVA/34,5 V 440 V +ACCESORIOS DE MEDIDA+VALVULA DE SOBRE PRESION 2 CONTACTOS + TERMOMETRO  2 CONTACTOS</v>
      </c>
      <c r="D531" s="2441"/>
      <c r="E531" s="2441"/>
      <c r="F531" s="1665" t="s">
        <v>867</v>
      </c>
      <c r="G531" s="1390" t="str">
        <f>+VLOOKUP(C531,ListaAPUs!$B:$E,2,FALSE)</f>
        <v>un</v>
      </c>
      <c r="H531" s="1524"/>
    </row>
    <row r="532" spans="1:11" x14ac:dyDescent="0.25">
      <c r="A532" s="1528"/>
      <c r="B532" s="1527"/>
      <c r="C532" s="1527"/>
      <c r="D532" s="529"/>
      <c r="E532" s="1527"/>
      <c r="F532" s="1528"/>
      <c r="G532" s="1524"/>
      <c r="H532" s="1524"/>
    </row>
    <row r="533" spans="1:11" x14ac:dyDescent="0.25">
      <c r="A533" s="1528"/>
      <c r="B533" s="1527"/>
      <c r="C533" s="1527"/>
      <c r="D533" s="529"/>
      <c r="E533" s="1527"/>
      <c r="F533" s="1528"/>
      <c r="G533" s="1529"/>
      <c r="H533" s="1524"/>
    </row>
    <row r="534" spans="1:11" ht="15.75" thickBot="1" x14ac:dyDescent="0.3">
      <c r="A534" s="1528"/>
      <c r="B534" s="1527"/>
      <c r="C534" s="1527"/>
      <c r="D534" s="529"/>
      <c r="E534" s="1527"/>
      <c r="F534" s="1528"/>
      <c r="G534" s="1524"/>
      <c r="H534" s="1524"/>
    </row>
    <row r="535" spans="1:11" ht="15.75" thickBot="1" x14ac:dyDescent="0.3">
      <c r="A535" s="1368"/>
      <c r="B535" s="1369" t="s">
        <v>5403</v>
      </c>
      <c r="C535" s="1363" t="s">
        <v>867</v>
      </c>
      <c r="D535" s="1120" t="s">
        <v>6</v>
      </c>
      <c r="E535" s="1363" t="s">
        <v>9417</v>
      </c>
      <c r="F535" s="1363" t="s">
        <v>5405</v>
      </c>
      <c r="G535" s="1370" t="s">
        <v>7179</v>
      </c>
      <c r="H535" s="1371"/>
    </row>
    <row r="536" spans="1:11" ht="25.5" x14ac:dyDescent="0.25">
      <c r="A536" s="1528"/>
      <c r="B536" s="1533" t="s">
        <v>9458</v>
      </c>
      <c r="C536" s="1348" t="s">
        <v>5</v>
      </c>
      <c r="D536" s="967">
        <v>1</v>
      </c>
      <c r="E536" s="1349">
        <f>58936500*1.19</f>
        <v>70134435</v>
      </c>
      <c r="F536" s="1350">
        <v>1</v>
      </c>
      <c r="G536" s="1351">
        <f t="shared" ref="G536:G543" si="3">+F536*E536*D536</f>
        <v>70134435</v>
      </c>
      <c r="H536" s="1524"/>
    </row>
    <row r="537" spans="1:11" ht="25.5" x14ac:dyDescent="0.25">
      <c r="A537" s="1528"/>
      <c r="B537" s="1539" t="s">
        <v>9459</v>
      </c>
      <c r="C537" s="1537" t="s">
        <v>5</v>
      </c>
      <c r="D537" s="212">
        <v>1</v>
      </c>
      <c r="E537" s="1681">
        <v>4500000</v>
      </c>
      <c r="F537" s="1563">
        <v>1</v>
      </c>
      <c r="G537" s="814">
        <f t="shared" si="3"/>
        <v>4500000</v>
      </c>
      <c r="H537" s="1524"/>
    </row>
    <row r="538" spans="1:11" x14ac:dyDescent="0.25">
      <c r="A538" s="1528"/>
      <c r="B538" s="1667" t="s">
        <v>9460</v>
      </c>
      <c r="C538" s="1537" t="s">
        <v>5</v>
      </c>
      <c r="D538" s="212">
        <v>2</v>
      </c>
      <c r="E538" s="1681">
        <v>250000</v>
      </c>
      <c r="F538" s="1563">
        <v>1</v>
      </c>
      <c r="G538" s="814">
        <f t="shared" si="3"/>
        <v>500000</v>
      </c>
      <c r="H538" s="1524"/>
    </row>
    <row r="539" spans="1:11" x14ac:dyDescent="0.25">
      <c r="A539" s="1528"/>
      <c r="B539" s="1539" t="s">
        <v>9461</v>
      </c>
      <c r="C539" s="1537" t="s">
        <v>5</v>
      </c>
      <c r="D539" s="212">
        <v>1</v>
      </c>
      <c r="E539" s="1681">
        <v>450000</v>
      </c>
      <c r="F539" s="1563">
        <v>1</v>
      </c>
      <c r="G539" s="814">
        <f t="shared" si="3"/>
        <v>450000</v>
      </c>
      <c r="H539" s="1524"/>
    </row>
    <row r="540" spans="1:11" x14ac:dyDescent="0.25">
      <c r="A540" s="1528"/>
      <c r="B540" s="1667" t="s">
        <v>9462</v>
      </c>
      <c r="C540" s="1537" t="s">
        <v>5</v>
      </c>
      <c r="D540" s="212">
        <v>1</v>
      </c>
      <c r="E540" s="1681">
        <v>750000</v>
      </c>
      <c r="F540" s="1563">
        <v>1</v>
      </c>
      <c r="G540" s="814">
        <f t="shared" si="3"/>
        <v>750000</v>
      </c>
      <c r="H540" s="1524"/>
    </row>
    <row r="541" spans="1:11" x14ac:dyDescent="0.25">
      <c r="A541" s="1528"/>
      <c r="B541" s="1667" t="s">
        <v>9463</v>
      </c>
      <c r="C541" s="1537" t="s">
        <v>5</v>
      </c>
      <c r="D541" s="212">
        <v>1</v>
      </c>
      <c r="E541" s="1571">
        <v>6879000</v>
      </c>
      <c r="F541" s="1563">
        <v>1</v>
      </c>
      <c r="G541" s="814">
        <f t="shared" si="3"/>
        <v>6879000</v>
      </c>
      <c r="H541" s="1524"/>
    </row>
    <row r="542" spans="1:11" ht="25.5" x14ac:dyDescent="0.25">
      <c r="A542" s="1528"/>
      <c r="B542" s="1667" t="s">
        <v>9464</v>
      </c>
      <c r="C542" s="1537" t="s">
        <v>5</v>
      </c>
      <c r="D542" s="212">
        <v>1</v>
      </c>
      <c r="E542" s="1571">
        <v>700000</v>
      </c>
      <c r="F542" s="1563">
        <v>1</v>
      </c>
      <c r="G542" s="814">
        <f t="shared" si="3"/>
        <v>700000</v>
      </c>
      <c r="H542" s="1524"/>
    </row>
    <row r="543" spans="1:11" x14ac:dyDescent="0.25">
      <c r="A543" s="1528"/>
      <c r="B543" s="1667" t="s">
        <v>9465</v>
      </c>
      <c r="C543" s="1537" t="s">
        <v>5</v>
      </c>
      <c r="D543" s="212">
        <v>1</v>
      </c>
      <c r="E543" s="1571">
        <v>1250000</v>
      </c>
      <c r="F543" s="1563">
        <v>1</v>
      </c>
      <c r="G543" s="814">
        <f t="shared" si="3"/>
        <v>1250000</v>
      </c>
      <c r="H543" s="1524"/>
      <c r="J543" s="1637"/>
      <c r="K543" s="1637"/>
    </row>
    <row r="544" spans="1:11" x14ac:dyDescent="0.25">
      <c r="A544" s="1528"/>
      <c r="B544" s="1667"/>
      <c r="C544" s="1537"/>
      <c r="D544" s="212"/>
      <c r="E544" s="816"/>
      <c r="F544" s="1563"/>
      <c r="G544" s="814"/>
      <c r="H544" s="1524"/>
      <c r="J544" s="1637"/>
      <c r="K544" s="1637"/>
    </row>
    <row r="545" spans="1:11" x14ac:dyDescent="0.25">
      <c r="A545" s="1528"/>
      <c r="B545" s="1667"/>
      <c r="C545" s="1537"/>
      <c r="D545" s="212"/>
      <c r="E545" s="816"/>
      <c r="F545" s="1563"/>
      <c r="G545" s="814"/>
      <c r="H545" s="1524"/>
      <c r="J545" s="1637"/>
      <c r="K545" s="1637"/>
    </row>
    <row r="546" spans="1:11" x14ac:dyDescent="0.25">
      <c r="A546" s="1528"/>
      <c r="B546" s="1667"/>
      <c r="C546" s="1537"/>
      <c r="D546" s="212"/>
      <c r="E546" s="816"/>
      <c r="F546" s="1563"/>
      <c r="G546" s="814"/>
      <c r="H546" s="1524"/>
      <c r="J546" s="1637"/>
      <c r="K546" s="1637"/>
    </row>
    <row r="547" spans="1:11" x14ac:dyDescent="0.25">
      <c r="A547" s="1528"/>
      <c r="B547" s="269"/>
      <c r="C547" s="1537"/>
      <c r="D547" s="212"/>
      <c r="E547" s="816"/>
      <c r="F547" s="1563"/>
      <c r="G547" s="814"/>
      <c r="H547" s="1524"/>
      <c r="J547" s="1637"/>
      <c r="K547" s="1637"/>
    </row>
    <row r="548" spans="1:11" x14ac:dyDescent="0.25">
      <c r="A548" s="1528"/>
      <c r="B548" s="268"/>
      <c r="C548" s="1534"/>
      <c r="D548" s="211"/>
      <c r="E548" s="1535" t="s">
        <v>7182</v>
      </c>
      <c r="F548" s="1551"/>
      <c r="G548" s="1541" t="s">
        <v>7182</v>
      </c>
      <c r="H548" s="1524"/>
      <c r="J548" s="1637"/>
      <c r="K548" s="1637"/>
    </row>
    <row r="549" spans="1:11" x14ac:dyDescent="0.25">
      <c r="A549" s="1528"/>
      <c r="B549" s="1346"/>
      <c r="C549" s="1534"/>
      <c r="D549" s="211"/>
      <c r="E549" s="1535" t="s">
        <v>7182</v>
      </c>
      <c r="F549" s="1551"/>
      <c r="G549" s="1541" t="s">
        <v>7182</v>
      </c>
      <c r="H549" s="1524"/>
      <c r="J549" s="1637"/>
      <c r="K549" s="1637"/>
    </row>
    <row r="550" spans="1:11" ht="15.75" thickBot="1" x14ac:dyDescent="0.3">
      <c r="A550" s="1528"/>
      <c r="B550" s="1540"/>
      <c r="C550" s="1537"/>
      <c r="D550" s="952"/>
      <c r="E550" s="1538" t="s">
        <v>7182</v>
      </c>
      <c r="F550" s="1537"/>
      <c r="G550" s="1541" t="s">
        <v>7182</v>
      </c>
      <c r="H550" s="1524"/>
      <c r="J550" s="1637"/>
      <c r="K550" s="1637"/>
    </row>
    <row r="551" spans="1:11" ht="15.75" thickBot="1" x14ac:dyDescent="0.3">
      <c r="A551" s="1528"/>
      <c r="B551" s="1555"/>
      <c r="C551" s="1557"/>
      <c r="D551" s="956"/>
      <c r="E551" s="1556" t="s">
        <v>7182</v>
      </c>
      <c r="F551" s="1557"/>
      <c r="G551" s="1558" t="s">
        <v>7182</v>
      </c>
      <c r="H551" s="1546">
        <f>SUM(G536:G551)</f>
        <v>85163435</v>
      </c>
      <c r="J551" s="1637"/>
      <c r="K551" s="1637"/>
    </row>
    <row r="552" spans="1:11" x14ac:dyDescent="0.25">
      <c r="A552" s="1528"/>
      <c r="B552" s="1372"/>
      <c r="C552" s="1374"/>
      <c r="D552" s="1373"/>
      <c r="E552" s="1372" t="s">
        <v>7182</v>
      </c>
      <c r="F552" s="1374"/>
      <c r="G552" s="1375" t="s">
        <v>7182</v>
      </c>
      <c r="H552" s="1550"/>
      <c r="J552" s="1637"/>
      <c r="K552" s="1637"/>
    </row>
    <row r="553" spans="1:11" ht="15.75" thickBot="1" x14ac:dyDescent="0.3">
      <c r="A553" s="1527"/>
      <c r="B553" s="188"/>
      <c r="C553" s="189"/>
      <c r="D553" s="1668"/>
      <c r="E553" s="188"/>
      <c r="F553" s="189"/>
      <c r="G553" s="1669"/>
      <c r="H553" s="1550"/>
      <c r="J553" s="1637"/>
      <c r="K553" s="1637"/>
    </row>
    <row r="554" spans="1:11" ht="15.75" thickBot="1" x14ac:dyDescent="0.3">
      <c r="A554" s="1527"/>
      <c r="B554" s="1366" t="s">
        <v>9418</v>
      </c>
      <c r="C554" s="1363" t="s">
        <v>867</v>
      </c>
      <c r="D554" s="1120" t="s">
        <v>6</v>
      </c>
      <c r="E554" s="1363" t="s">
        <v>7183</v>
      </c>
      <c r="F554" s="1363" t="s">
        <v>5405</v>
      </c>
      <c r="G554" s="1365" t="s">
        <v>7179</v>
      </c>
      <c r="H554" s="1524"/>
      <c r="J554" s="1637"/>
      <c r="K554" s="1637"/>
    </row>
    <row r="555" spans="1:11" x14ac:dyDescent="0.25">
      <c r="A555" s="1527"/>
      <c r="B555" s="1564" t="s">
        <v>5455</v>
      </c>
      <c r="C555" s="1534" t="s">
        <v>5</v>
      </c>
      <c r="D555" s="211">
        <v>1</v>
      </c>
      <c r="E555" s="1535">
        <v>40000</v>
      </c>
      <c r="F555" s="297">
        <v>1</v>
      </c>
      <c r="G555" s="1572">
        <f>+F555*E555</f>
        <v>40000</v>
      </c>
      <c r="H555" s="1524"/>
      <c r="J555" s="1637"/>
      <c r="K555" s="1637"/>
    </row>
    <row r="556" spans="1:11" x14ac:dyDescent="0.25">
      <c r="A556" s="1527"/>
      <c r="B556" s="1540"/>
      <c r="C556" s="1537"/>
      <c r="D556" s="212"/>
      <c r="E556" s="1535" t="s">
        <v>7182</v>
      </c>
      <c r="F556" s="1537"/>
      <c r="G556" s="1572" t="s">
        <v>7182</v>
      </c>
      <c r="H556" s="1524"/>
      <c r="J556" s="1637"/>
      <c r="K556" s="1637"/>
    </row>
    <row r="557" spans="1:11" x14ac:dyDescent="0.25">
      <c r="A557" s="1527"/>
      <c r="B557" s="1540"/>
      <c r="C557" s="1537"/>
      <c r="D557" s="212"/>
      <c r="E557" s="1535" t="s">
        <v>7182</v>
      </c>
      <c r="F557" s="1537"/>
      <c r="G557" s="1572" t="s">
        <v>7182</v>
      </c>
      <c r="H557" s="1524"/>
      <c r="J557" s="1637"/>
      <c r="K557" s="1637"/>
    </row>
    <row r="558" spans="1:11" ht="15.75" thickBot="1" x14ac:dyDescent="0.3">
      <c r="A558" s="1527"/>
      <c r="B558" s="1540"/>
      <c r="C558" s="1537"/>
      <c r="D558" s="212"/>
      <c r="E558" s="1535" t="s">
        <v>7182</v>
      </c>
      <c r="F558" s="1537"/>
      <c r="G558" s="1572" t="s">
        <v>7182</v>
      </c>
      <c r="H558" s="1524"/>
      <c r="J558" s="1637"/>
      <c r="K558" s="1637"/>
    </row>
    <row r="559" spans="1:11" ht="15.75" thickBot="1" x14ac:dyDescent="0.3">
      <c r="A559" s="1527"/>
      <c r="B559" s="1555"/>
      <c r="C559" s="1556"/>
      <c r="D559" s="956"/>
      <c r="E559" s="1556" t="s">
        <v>7182</v>
      </c>
      <c r="F559" s="1557"/>
      <c r="G559" s="1558" t="s">
        <v>7182</v>
      </c>
      <c r="H559" s="1546">
        <f>SUM(G555:G559)</f>
        <v>40000</v>
      </c>
      <c r="J559" s="1637"/>
      <c r="K559" s="1637"/>
    </row>
    <row r="560" spans="1:11" ht="15.75" thickBot="1" x14ac:dyDescent="0.3">
      <c r="A560" s="1527"/>
      <c r="B560" s="1376"/>
      <c r="C560" s="1353"/>
      <c r="D560" s="1355"/>
      <c r="E560" s="1352"/>
      <c r="F560" s="1377"/>
      <c r="G560" s="1378"/>
      <c r="H560" s="1524"/>
      <c r="J560" s="1637"/>
      <c r="K560" s="1637"/>
    </row>
    <row r="561" spans="1:11" ht="15.75" thickBot="1" x14ac:dyDescent="0.3">
      <c r="A561" s="1527"/>
      <c r="B561" s="1366" t="s">
        <v>5410</v>
      </c>
      <c r="C561" s="1363" t="s">
        <v>867</v>
      </c>
      <c r="D561" s="1120" t="s">
        <v>6</v>
      </c>
      <c r="E561" s="1363" t="s">
        <v>7183</v>
      </c>
      <c r="F561" s="1363" t="s">
        <v>5405</v>
      </c>
      <c r="G561" s="1365" t="s">
        <v>7179</v>
      </c>
      <c r="H561" s="1524"/>
      <c r="J561" s="1637"/>
      <c r="K561" s="1637"/>
    </row>
    <row r="562" spans="1:11" ht="25.5" x14ac:dyDescent="0.25">
      <c r="A562" s="1527"/>
      <c r="B562" s="1564" t="s">
        <v>9421</v>
      </c>
      <c r="C562" s="1534" t="s">
        <v>9023</v>
      </c>
      <c r="D562" s="211">
        <v>1</v>
      </c>
      <c r="E562" s="1535">
        <v>300000</v>
      </c>
      <c r="F562" s="297">
        <v>1</v>
      </c>
      <c r="G562" s="1572">
        <f>+F562*E562</f>
        <v>300000</v>
      </c>
      <c r="H562" s="1524"/>
      <c r="J562" s="1637"/>
      <c r="K562" s="1637"/>
    </row>
    <row r="563" spans="1:11" x14ac:dyDescent="0.25">
      <c r="A563" s="1527"/>
      <c r="B563" s="1540"/>
      <c r="C563" s="1537"/>
      <c r="D563" s="212"/>
      <c r="E563" s="1535" t="s">
        <v>7182</v>
      </c>
      <c r="F563" s="1537"/>
      <c r="G563" s="1572" t="s">
        <v>7182</v>
      </c>
      <c r="H563" s="1524"/>
      <c r="J563" s="1637"/>
      <c r="K563" s="1637"/>
    </row>
    <row r="564" spans="1:11" x14ac:dyDescent="0.25">
      <c r="A564" s="1527"/>
      <c r="B564" s="1540"/>
      <c r="C564" s="1537"/>
      <c r="D564" s="212"/>
      <c r="E564" s="1535" t="s">
        <v>7182</v>
      </c>
      <c r="F564" s="1537"/>
      <c r="G564" s="1572" t="s">
        <v>7182</v>
      </c>
      <c r="H564" s="1524"/>
      <c r="J564" s="1637"/>
      <c r="K564" s="1637"/>
    </row>
    <row r="565" spans="1:11" ht="15.75" thickBot="1" x14ac:dyDescent="0.3">
      <c r="A565" s="1527"/>
      <c r="B565" s="1540"/>
      <c r="C565" s="1537"/>
      <c r="D565" s="212"/>
      <c r="E565" s="1535" t="s">
        <v>7182</v>
      </c>
      <c r="F565" s="1537"/>
      <c r="G565" s="1572" t="s">
        <v>7182</v>
      </c>
      <c r="H565" s="1524"/>
      <c r="J565" s="1637"/>
      <c r="K565" s="1637"/>
    </row>
    <row r="566" spans="1:11" ht="15.75" thickBot="1" x14ac:dyDescent="0.3">
      <c r="A566" s="1527"/>
      <c r="B566" s="1555"/>
      <c r="C566" s="1556"/>
      <c r="D566" s="956"/>
      <c r="E566" s="1556" t="s">
        <v>7182</v>
      </c>
      <c r="F566" s="1557"/>
      <c r="G566" s="1558" t="s">
        <v>7182</v>
      </c>
      <c r="H566" s="1546">
        <f>SUM(G562:G566)</f>
        <v>300000</v>
      </c>
      <c r="J566" s="1637"/>
      <c r="K566" s="1637"/>
    </row>
    <row r="567" spans="1:11" ht="15.75" thickBot="1" x14ac:dyDescent="0.3">
      <c r="A567" s="1527"/>
      <c r="B567" s="1547"/>
      <c r="C567" s="1547"/>
      <c r="D567" s="954"/>
      <c r="E567" s="1547"/>
      <c r="F567" s="1553"/>
      <c r="G567" s="1554"/>
      <c r="H567" s="1550"/>
      <c r="J567" s="1637"/>
      <c r="K567" s="1637"/>
    </row>
    <row r="568" spans="1:11" ht="15.75" thickBot="1" x14ac:dyDescent="0.3">
      <c r="A568" s="1559"/>
      <c r="B568" s="1369" t="s">
        <v>5412</v>
      </c>
      <c r="C568" s="1363" t="s">
        <v>5420</v>
      </c>
      <c r="D568" s="1120" t="s">
        <v>5421</v>
      </c>
      <c r="E568" s="1363" t="s">
        <v>7187</v>
      </c>
      <c r="F568" s="1363" t="s">
        <v>5405</v>
      </c>
      <c r="G568" s="1370" t="s">
        <v>7179</v>
      </c>
      <c r="H568" s="1371"/>
      <c r="J568" s="1637"/>
      <c r="K568" s="1637"/>
    </row>
    <row r="569" spans="1:11" x14ac:dyDescent="0.25">
      <c r="A569" s="1527"/>
      <c r="B569" s="1560" t="s">
        <v>9422</v>
      </c>
      <c r="C569" s="1569">
        <v>170000</v>
      </c>
      <c r="D569" s="352">
        <f>0.6*C569</f>
        <v>102000</v>
      </c>
      <c r="E569" s="1569">
        <f>+D569+C569</f>
        <v>272000</v>
      </c>
      <c r="F569" s="819">
        <v>3</v>
      </c>
      <c r="G569" s="818">
        <f>+F569*E569</f>
        <v>816000</v>
      </c>
      <c r="H569" s="1524"/>
      <c r="J569" s="1637"/>
      <c r="K569" s="1637"/>
    </row>
    <row r="570" spans="1:11" x14ac:dyDescent="0.25">
      <c r="A570" s="1527"/>
      <c r="B570" s="1560"/>
      <c r="C570" s="1569"/>
      <c r="D570" s="1569"/>
      <c r="E570" s="1569"/>
      <c r="F570" s="819"/>
      <c r="G570" s="818"/>
      <c r="H570" s="1524"/>
      <c r="J570" s="1637"/>
      <c r="K570" s="1637"/>
    </row>
    <row r="571" spans="1:11" x14ac:dyDescent="0.25">
      <c r="A571" s="1527"/>
      <c r="B571" s="1561"/>
      <c r="C571" s="1569"/>
      <c r="D571" s="1569"/>
      <c r="E571" s="1569"/>
      <c r="F571" s="817"/>
      <c r="G571" s="818"/>
      <c r="H571" s="1524"/>
      <c r="J571" s="1637"/>
      <c r="K571" s="1637"/>
    </row>
    <row r="572" spans="1:11" x14ac:dyDescent="0.25">
      <c r="A572" s="1527"/>
      <c r="B572" s="1540"/>
      <c r="C572" s="1569"/>
      <c r="D572" s="1569"/>
      <c r="E572" s="1569"/>
      <c r="F572" s="817"/>
      <c r="G572" s="818"/>
      <c r="H572" s="1524"/>
      <c r="J572" s="1637"/>
      <c r="K572" s="1637"/>
    </row>
    <row r="573" spans="1:11" x14ac:dyDescent="0.25">
      <c r="A573" s="1527"/>
      <c r="B573" s="1540"/>
      <c r="C573" s="1538" t="s">
        <v>7182</v>
      </c>
      <c r="D573" s="952" t="s">
        <v>7182</v>
      </c>
      <c r="E573" s="1538" t="s">
        <v>7182</v>
      </c>
      <c r="F573" s="817"/>
      <c r="G573" s="818" t="str">
        <f>IF(B573="","",E573/F573)</f>
        <v/>
      </c>
      <c r="H573" s="1524"/>
      <c r="J573" s="1637"/>
      <c r="K573" s="1637"/>
    </row>
    <row r="574" spans="1:11" ht="15.75" thickBot="1" x14ac:dyDescent="0.3">
      <c r="A574" s="1527"/>
      <c r="B574" s="1540"/>
      <c r="C574" s="1538" t="s">
        <v>7182</v>
      </c>
      <c r="D574" s="952" t="s">
        <v>7182</v>
      </c>
      <c r="E574" s="1538" t="s">
        <v>7182</v>
      </c>
      <c r="F574" s="1537"/>
      <c r="G574" s="818" t="str">
        <f>IF(B574="","",E574/F574)</f>
        <v/>
      </c>
      <c r="H574" s="1524"/>
      <c r="J574" s="1637"/>
      <c r="K574" s="1637"/>
    </row>
    <row r="575" spans="1:11" ht="15.75" thickBot="1" x14ac:dyDescent="0.3">
      <c r="A575" s="1527"/>
      <c r="B575" s="1555"/>
      <c r="C575" s="1556"/>
      <c r="D575" s="956"/>
      <c r="E575" s="1556"/>
      <c r="F575" s="1557"/>
      <c r="G575" s="1558"/>
      <c r="H575" s="1546">
        <f>SUM(G569:G575)</f>
        <v>816000</v>
      </c>
    </row>
    <row r="576" spans="1:11" ht="15.75" thickBot="1" x14ac:dyDescent="0.3">
      <c r="A576" s="1527"/>
      <c r="B576" s="1527"/>
      <c r="C576" s="1527"/>
      <c r="D576" s="529"/>
      <c r="F576" s="1528"/>
      <c r="G576" s="1524"/>
      <c r="H576" s="1524"/>
    </row>
    <row r="577" spans="1:11" ht="15.75" thickBot="1" x14ac:dyDescent="0.3">
      <c r="A577" s="1647" t="s">
        <v>6744</v>
      </c>
      <c r="B577" s="1352"/>
      <c r="C577" s="1352"/>
      <c r="D577" s="1671"/>
      <c r="E577" s="1672"/>
      <c r="F577" s="1353"/>
      <c r="G577" s="1527" t="s">
        <v>5415</v>
      </c>
      <c r="H577" s="502">
        <f>ROUND(SUM(H535:H576),0)</f>
        <v>86319435</v>
      </c>
      <c r="J577" s="1673">
        <f>+B531</f>
        <v>10.109999999999998</v>
      </c>
      <c r="K577" s="1674">
        <f>+H577</f>
        <v>86319435</v>
      </c>
    </row>
    <row r="578" spans="1:11" x14ac:dyDescent="0.25">
      <c r="A578" s="1675"/>
      <c r="B578" s="1676"/>
      <c r="C578" s="1676"/>
      <c r="D578" s="1677"/>
      <c r="E578" s="1678"/>
      <c r="F578" s="1679"/>
      <c r="G578" s="1680"/>
      <c r="H578" s="1680"/>
    </row>
    <row r="579" spans="1:11" ht="18.75" x14ac:dyDescent="0.25">
      <c r="A579" s="1523"/>
      <c r="B579" s="1655"/>
      <c r="C579" s="1655"/>
      <c r="D579" s="950"/>
      <c r="E579" s="1655"/>
      <c r="F579" s="1655"/>
      <c r="G579" s="1655"/>
      <c r="H579" s="8"/>
    </row>
    <row r="580" spans="1:11" x14ac:dyDescent="0.25">
      <c r="A580" s="1523"/>
      <c r="B580" s="8"/>
      <c r="C580" s="8"/>
      <c r="D580" s="529"/>
      <c r="E580" s="8"/>
      <c r="F580" s="1523"/>
      <c r="G580" s="1524"/>
      <c r="H580" s="8"/>
    </row>
    <row r="581" spans="1:11" ht="27" customHeight="1" x14ac:dyDescent="0.25">
      <c r="A581" s="1665" t="s">
        <v>3</v>
      </c>
      <c r="B581" s="1666">
        <f>+VLOOKUP(C581,ListaAPUs!$B:$E,4,FALSE)</f>
        <v>10.129999999999997</v>
      </c>
      <c r="C581" s="2441" t="str">
        <f>+ListaAPUs!B213</f>
        <v>TRANSFORMADOR 3F 1250 KVA/34,5 V 440/254 V+ ACCESORIOS DE MEDIDA+VALVULA DE SOBREPRESION 2 CONTACTOS+ALARMA Y DISPARO</v>
      </c>
      <c r="D581" s="2441"/>
      <c r="E581" s="2441"/>
      <c r="F581" s="1665" t="s">
        <v>867</v>
      </c>
      <c r="G581" s="1390" t="str">
        <f>+VLOOKUP(C581,ListaAPUs!$B:$E,2,FALSE)</f>
        <v>un</v>
      </c>
      <c r="H581" s="1524"/>
    </row>
    <row r="582" spans="1:11" x14ac:dyDescent="0.25">
      <c r="A582" s="1528"/>
      <c r="B582" s="1527"/>
      <c r="C582" s="1527"/>
      <c r="D582" s="529"/>
      <c r="E582" s="1527"/>
      <c r="F582" s="1528"/>
      <c r="G582" s="1524"/>
      <c r="H582" s="1524"/>
    </row>
    <row r="583" spans="1:11" x14ac:dyDescent="0.25">
      <c r="A583" s="1528"/>
      <c r="B583" s="1527"/>
      <c r="C583" s="1527"/>
      <c r="D583" s="529"/>
      <c r="E583" s="1527"/>
      <c r="F583" s="1528"/>
      <c r="G583" s="1529"/>
      <c r="H583" s="1524"/>
    </row>
    <row r="584" spans="1:11" ht="15.75" thickBot="1" x14ac:dyDescent="0.3">
      <c r="A584" s="1528"/>
      <c r="B584" s="1527"/>
      <c r="C584" s="1527"/>
      <c r="D584" s="529"/>
      <c r="E584" s="1527"/>
      <c r="F584" s="1528"/>
      <c r="G584" s="1524"/>
      <c r="H584" s="1524"/>
    </row>
    <row r="585" spans="1:11" ht="15.75" thickBot="1" x14ac:dyDescent="0.3">
      <c r="A585" s="1368"/>
      <c r="B585" s="1369" t="s">
        <v>5403</v>
      </c>
      <c r="C585" s="1363" t="s">
        <v>867</v>
      </c>
      <c r="D585" s="1120" t="s">
        <v>6</v>
      </c>
      <c r="E585" s="1363" t="s">
        <v>9417</v>
      </c>
      <c r="F585" s="1363" t="s">
        <v>5405</v>
      </c>
      <c r="G585" s="1370" t="s">
        <v>7179</v>
      </c>
      <c r="H585" s="1371"/>
    </row>
    <row r="586" spans="1:11" ht="25.5" x14ac:dyDescent="0.25">
      <c r="A586" s="1528"/>
      <c r="B586" s="1533" t="s">
        <v>9466</v>
      </c>
      <c r="C586" s="1348" t="s">
        <v>5</v>
      </c>
      <c r="D586" s="967">
        <v>1</v>
      </c>
      <c r="E586" s="1349">
        <f>69856500*1.19</f>
        <v>83129235</v>
      </c>
      <c r="F586" s="1350">
        <v>1</v>
      </c>
      <c r="G586" s="1351">
        <f t="shared" ref="G586:G593" si="4">+F586*E586*D586</f>
        <v>83129235</v>
      </c>
      <c r="H586" s="1524"/>
    </row>
    <row r="587" spans="1:11" ht="25.5" x14ac:dyDescent="0.25">
      <c r="A587" s="1528"/>
      <c r="B587" s="1539" t="s">
        <v>9459</v>
      </c>
      <c r="C587" s="1537" t="s">
        <v>5</v>
      </c>
      <c r="D587" s="212">
        <v>1</v>
      </c>
      <c r="E587" s="1681">
        <v>4500000</v>
      </c>
      <c r="F587" s="1563">
        <v>1</v>
      </c>
      <c r="G587" s="814">
        <f t="shared" si="4"/>
        <v>4500000</v>
      </c>
      <c r="H587" s="1524"/>
    </row>
    <row r="588" spans="1:11" x14ac:dyDescent="0.25">
      <c r="A588" s="1528"/>
      <c r="B588" s="1667" t="s">
        <v>9460</v>
      </c>
      <c r="C588" s="1537" t="s">
        <v>5</v>
      </c>
      <c r="D588" s="212">
        <v>2</v>
      </c>
      <c r="E588" s="1681">
        <v>250000</v>
      </c>
      <c r="F588" s="1563">
        <v>1</v>
      </c>
      <c r="G588" s="814">
        <f t="shared" si="4"/>
        <v>500000</v>
      </c>
      <c r="H588" s="1524"/>
    </row>
    <row r="589" spans="1:11" x14ac:dyDescent="0.25">
      <c r="A589" s="1528"/>
      <c r="B589" s="1539" t="s">
        <v>9461</v>
      </c>
      <c r="C589" s="1537" t="s">
        <v>5</v>
      </c>
      <c r="D589" s="212">
        <v>1</v>
      </c>
      <c r="E589" s="1681">
        <v>450000</v>
      </c>
      <c r="F589" s="1563">
        <v>1</v>
      </c>
      <c r="G589" s="814">
        <f t="shared" si="4"/>
        <v>450000</v>
      </c>
      <c r="H589" s="1524"/>
    </row>
    <row r="590" spans="1:11" x14ac:dyDescent="0.25">
      <c r="A590" s="1528"/>
      <c r="B590" s="1667" t="s">
        <v>9462</v>
      </c>
      <c r="C590" s="1537" t="s">
        <v>5</v>
      </c>
      <c r="D590" s="212">
        <v>1</v>
      </c>
      <c r="E590" s="1681">
        <v>750000</v>
      </c>
      <c r="F590" s="1563">
        <v>1</v>
      </c>
      <c r="G590" s="814">
        <f t="shared" si="4"/>
        <v>750000</v>
      </c>
      <c r="H590" s="1524"/>
    </row>
    <row r="591" spans="1:11" x14ac:dyDescent="0.25">
      <c r="A591" s="1528"/>
      <c r="B591" s="1667" t="s">
        <v>9463</v>
      </c>
      <c r="C591" s="1537" t="s">
        <v>5</v>
      </c>
      <c r="D591" s="212">
        <v>1</v>
      </c>
      <c r="E591" s="1571">
        <v>6879000</v>
      </c>
      <c r="F591" s="1563">
        <v>1</v>
      </c>
      <c r="G591" s="814">
        <f t="shared" si="4"/>
        <v>6879000</v>
      </c>
      <c r="H591" s="1524"/>
      <c r="J591" s="1637"/>
      <c r="K591" s="1637"/>
    </row>
    <row r="592" spans="1:11" ht="25.5" x14ac:dyDescent="0.25">
      <c r="A592" s="1528"/>
      <c r="B592" s="1667" t="s">
        <v>9464</v>
      </c>
      <c r="C592" s="1537" t="s">
        <v>5</v>
      </c>
      <c r="D592" s="212">
        <v>1</v>
      </c>
      <c r="E592" s="1571">
        <v>700000</v>
      </c>
      <c r="F592" s="1563">
        <v>1</v>
      </c>
      <c r="G592" s="814">
        <f t="shared" si="4"/>
        <v>700000</v>
      </c>
      <c r="H592" s="1524"/>
      <c r="J592" s="1637"/>
      <c r="K592" s="1637"/>
    </row>
    <row r="593" spans="1:11" x14ac:dyDescent="0.25">
      <c r="A593" s="1528"/>
      <c r="B593" s="1667" t="s">
        <v>9465</v>
      </c>
      <c r="C593" s="1537" t="s">
        <v>5</v>
      </c>
      <c r="D593" s="212">
        <v>1</v>
      </c>
      <c r="E593" s="1571">
        <v>1250000</v>
      </c>
      <c r="F593" s="1563">
        <v>1</v>
      </c>
      <c r="G593" s="814">
        <f t="shared" si="4"/>
        <v>1250000</v>
      </c>
      <c r="H593" s="1524"/>
      <c r="J593" s="1637"/>
      <c r="K593" s="1637"/>
    </row>
    <row r="594" spans="1:11" x14ac:dyDescent="0.25">
      <c r="A594" s="1528"/>
      <c r="B594" s="1667"/>
      <c r="C594" s="1537"/>
      <c r="D594" s="212"/>
      <c r="E594" s="816"/>
      <c r="F594" s="1563"/>
      <c r="G594" s="814"/>
      <c r="H594" s="1524"/>
      <c r="J594" s="1637"/>
      <c r="K594" s="1637"/>
    </row>
    <row r="595" spans="1:11" x14ac:dyDescent="0.25">
      <c r="A595" s="1528"/>
      <c r="B595" s="1667"/>
      <c r="C595" s="1537"/>
      <c r="D595" s="212"/>
      <c r="E595" s="816"/>
      <c r="F595" s="1563"/>
      <c r="G595" s="814"/>
      <c r="H595" s="1524"/>
      <c r="J595" s="1637"/>
      <c r="K595" s="1637"/>
    </row>
    <row r="596" spans="1:11" x14ac:dyDescent="0.25">
      <c r="A596" s="1528"/>
      <c r="B596" s="1667"/>
      <c r="C596" s="1537"/>
      <c r="D596" s="212"/>
      <c r="E596" s="816"/>
      <c r="F596" s="1563"/>
      <c r="G596" s="814"/>
      <c r="H596" s="1524"/>
      <c r="J596" s="1637"/>
      <c r="K596" s="1637"/>
    </row>
    <row r="597" spans="1:11" x14ac:dyDescent="0.25">
      <c r="A597" s="1528"/>
      <c r="B597" s="269"/>
      <c r="C597" s="1537"/>
      <c r="D597" s="212"/>
      <c r="E597" s="816"/>
      <c r="F597" s="1563"/>
      <c r="G597" s="814"/>
      <c r="H597" s="1524"/>
      <c r="J597" s="1637"/>
      <c r="K597" s="1637"/>
    </row>
    <row r="598" spans="1:11" x14ac:dyDescent="0.25">
      <c r="A598" s="1528"/>
      <c r="B598" s="268"/>
      <c r="C598" s="1534"/>
      <c r="D598" s="211"/>
      <c r="E598" s="1535" t="s">
        <v>7182</v>
      </c>
      <c r="F598" s="1551"/>
      <c r="G598" s="1541" t="s">
        <v>7182</v>
      </c>
      <c r="H598" s="1524"/>
      <c r="J598" s="1637"/>
      <c r="K598" s="1637"/>
    </row>
    <row r="599" spans="1:11" x14ac:dyDescent="0.25">
      <c r="A599" s="1528"/>
      <c r="B599" s="1346"/>
      <c r="C599" s="1534"/>
      <c r="D599" s="211"/>
      <c r="E599" s="1535" t="s">
        <v>7182</v>
      </c>
      <c r="F599" s="1551"/>
      <c r="G599" s="1541" t="s">
        <v>7182</v>
      </c>
      <c r="H599" s="1524"/>
      <c r="J599" s="1637"/>
      <c r="K599" s="1637"/>
    </row>
    <row r="600" spans="1:11" ht="15.75" thickBot="1" x14ac:dyDescent="0.3">
      <c r="A600" s="1528"/>
      <c r="B600" s="1540"/>
      <c r="C600" s="1537"/>
      <c r="D600" s="952"/>
      <c r="E600" s="1538" t="s">
        <v>7182</v>
      </c>
      <c r="F600" s="1537"/>
      <c r="G600" s="1541" t="s">
        <v>7182</v>
      </c>
      <c r="H600" s="1524"/>
      <c r="J600" s="1637"/>
      <c r="K600" s="1637"/>
    </row>
    <row r="601" spans="1:11" ht="15.75" thickBot="1" x14ac:dyDescent="0.3">
      <c r="A601" s="1528"/>
      <c r="B601" s="1555"/>
      <c r="C601" s="1557"/>
      <c r="D601" s="956"/>
      <c r="E601" s="1556" t="s">
        <v>7182</v>
      </c>
      <c r="F601" s="1557"/>
      <c r="G601" s="1558" t="s">
        <v>7182</v>
      </c>
      <c r="H601" s="1546">
        <f>SUM(G586:G601)</f>
        <v>98158235</v>
      </c>
      <c r="J601" s="1637"/>
      <c r="K601" s="1637"/>
    </row>
    <row r="602" spans="1:11" x14ac:dyDescent="0.25">
      <c r="A602" s="1528"/>
      <c r="B602" s="1372"/>
      <c r="C602" s="1374"/>
      <c r="D602" s="1373"/>
      <c r="E602" s="1372" t="s">
        <v>7182</v>
      </c>
      <c r="F602" s="1374"/>
      <c r="G602" s="1375" t="s">
        <v>7182</v>
      </c>
      <c r="H602" s="1550"/>
      <c r="J602" s="1637"/>
      <c r="K602" s="1637"/>
    </row>
    <row r="603" spans="1:11" ht="15.75" thickBot="1" x14ac:dyDescent="0.3">
      <c r="A603" s="1527"/>
      <c r="B603" s="188"/>
      <c r="C603" s="189"/>
      <c r="D603" s="1668"/>
      <c r="E603" s="188"/>
      <c r="F603" s="189"/>
      <c r="G603" s="1669"/>
      <c r="H603" s="1550"/>
      <c r="J603" s="1637"/>
      <c r="K603" s="1637"/>
    </row>
    <row r="604" spans="1:11" ht="15.75" thickBot="1" x14ac:dyDescent="0.3">
      <c r="A604" s="1527"/>
      <c r="B604" s="1366" t="s">
        <v>9418</v>
      </c>
      <c r="C604" s="1363" t="s">
        <v>867</v>
      </c>
      <c r="D604" s="1120" t="s">
        <v>6</v>
      </c>
      <c r="E604" s="1363" t="s">
        <v>7183</v>
      </c>
      <c r="F604" s="1363" t="s">
        <v>5405</v>
      </c>
      <c r="G604" s="1365" t="s">
        <v>7179</v>
      </c>
      <c r="H604" s="1524"/>
      <c r="J604" s="1637"/>
      <c r="K604" s="1637"/>
    </row>
    <row r="605" spans="1:11" x14ac:dyDescent="0.25">
      <c r="A605" s="1527"/>
      <c r="B605" s="1564" t="s">
        <v>5455</v>
      </c>
      <c r="C605" s="1534" t="s">
        <v>5</v>
      </c>
      <c r="D605" s="211">
        <v>1</v>
      </c>
      <c r="E605" s="1535">
        <v>40000</v>
      </c>
      <c r="F605" s="297">
        <v>1</v>
      </c>
      <c r="G605" s="1572">
        <f>+F605*E605</f>
        <v>40000</v>
      </c>
      <c r="H605" s="1524"/>
      <c r="J605" s="1637"/>
      <c r="K605" s="1637"/>
    </row>
    <row r="606" spans="1:11" x14ac:dyDescent="0.25">
      <c r="A606" s="1527"/>
      <c r="B606" s="1540"/>
      <c r="C606" s="1537"/>
      <c r="D606" s="212"/>
      <c r="E606" s="1535" t="s">
        <v>7182</v>
      </c>
      <c r="F606" s="1537"/>
      <c r="G606" s="1572" t="s">
        <v>7182</v>
      </c>
      <c r="H606" s="1524"/>
      <c r="J606" s="1637"/>
      <c r="K606" s="1637"/>
    </row>
    <row r="607" spans="1:11" x14ac:dyDescent="0.25">
      <c r="A607" s="1527"/>
      <c r="B607" s="1540"/>
      <c r="C607" s="1537"/>
      <c r="D607" s="212"/>
      <c r="E607" s="1535" t="s">
        <v>7182</v>
      </c>
      <c r="F607" s="1537"/>
      <c r="G607" s="1572" t="s">
        <v>7182</v>
      </c>
      <c r="H607" s="1524"/>
      <c r="J607" s="1637"/>
      <c r="K607" s="1637"/>
    </row>
    <row r="608" spans="1:11" ht="15.75" thickBot="1" x14ac:dyDescent="0.3">
      <c r="A608" s="1527"/>
      <c r="B608" s="1540"/>
      <c r="C608" s="1537"/>
      <c r="D608" s="212"/>
      <c r="E608" s="1535" t="s">
        <v>7182</v>
      </c>
      <c r="F608" s="1537"/>
      <c r="G608" s="1572" t="s">
        <v>7182</v>
      </c>
      <c r="H608" s="1524"/>
      <c r="J608" s="1637"/>
      <c r="K608" s="1637"/>
    </row>
    <row r="609" spans="1:11" ht="15.75" thickBot="1" x14ac:dyDescent="0.3">
      <c r="A609" s="1527"/>
      <c r="B609" s="1555"/>
      <c r="C609" s="1556"/>
      <c r="D609" s="956"/>
      <c r="E609" s="1556" t="s">
        <v>7182</v>
      </c>
      <c r="F609" s="1557"/>
      <c r="G609" s="1558" t="s">
        <v>7182</v>
      </c>
      <c r="H609" s="1546">
        <f>SUM(G605:G609)</f>
        <v>40000</v>
      </c>
      <c r="J609" s="1637"/>
      <c r="K609" s="1637"/>
    </row>
    <row r="610" spans="1:11" ht="15.75" thickBot="1" x14ac:dyDescent="0.3">
      <c r="A610" s="1527"/>
      <c r="B610" s="1376"/>
      <c r="C610" s="1353"/>
      <c r="D610" s="1355"/>
      <c r="E610" s="1352"/>
      <c r="F610" s="1377"/>
      <c r="G610" s="1378"/>
      <c r="H610" s="1524"/>
      <c r="J610" s="1637"/>
      <c r="K610" s="1637"/>
    </row>
    <row r="611" spans="1:11" ht="15.75" thickBot="1" x14ac:dyDescent="0.3">
      <c r="A611" s="1527"/>
      <c r="B611" s="1366" t="s">
        <v>5410</v>
      </c>
      <c r="C611" s="1363" t="s">
        <v>867</v>
      </c>
      <c r="D611" s="1120" t="s">
        <v>6</v>
      </c>
      <c r="E611" s="1363" t="s">
        <v>7183</v>
      </c>
      <c r="F611" s="1363" t="s">
        <v>5405</v>
      </c>
      <c r="G611" s="1365" t="s">
        <v>7179</v>
      </c>
      <c r="H611" s="1524"/>
      <c r="J611" s="1637"/>
      <c r="K611" s="1637"/>
    </row>
    <row r="612" spans="1:11" ht="25.5" x14ac:dyDescent="0.25">
      <c r="A612" s="1527"/>
      <c r="B612" s="1564" t="s">
        <v>9421</v>
      </c>
      <c r="C612" s="1534" t="s">
        <v>9023</v>
      </c>
      <c r="D612" s="211">
        <v>1</v>
      </c>
      <c r="E612" s="1535">
        <v>300000</v>
      </c>
      <c r="F612" s="297">
        <v>1</v>
      </c>
      <c r="G612" s="1572">
        <f>+F612*E612</f>
        <v>300000</v>
      </c>
      <c r="H612" s="1524"/>
      <c r="J612" s="1637"/>
      <c r="K612" s="1637"/>
    </row>
    <row r="613" spans="1:11" x14ac:dyDescent="0.25">
      <c r="A613" s="1527"/>
      <c r="B613" s="1540"/>
      <c r="C613" s="1537"/>
      <c r="D613" s="212"/>
      <c r="E613" s="1535" t="s">
        <v>7182</v>
      </c>
      <c r="F613" s="1537"/>
      <c r="G613" s="1572" t="s">
        <v>7182</v>
      </c>
      <c r="H613" s="1524"/>
      <c r="J613" s="1637"/>
      <c r="K613" s="1637"/>
    </row>
    <row r="614" spans="1:11" x14ac:dyDescent="0.25">
      <c r="A614" s="1527"/>
      <c r="B614" s="1540"/>
      <c r="C614" s="1537"/>
      <c r="D614" s="212"/>
      <c r="E614" s="1535" t="s">
        <v>7182</v>
      </c>
      <c r="F614" s="1537"/>
      <c r="G614" s="1572" t="s">
        <v>7182</v>
      </c>
      <c r="H614" s="1524"/>
      <c r="J614" s="1637"/>
      <c r="K614" s="1637"/>
    </row>
    <row r="615" spans="1:11" ht="15.75" thickBot="1" x14ac:dyDescent="0.3">
      <c r="A615" s="1527"/>
      <c r="B615" s="1540"/>
      <c r="C615" s="1537"/>
      <c r="D615" s="212"/>
      <c r="E615" s="1535" t="s">
        <v>7182</v>
      </c>
      <c r="F615" s="1537"/>
      <c r="G615" s="1572" t="s">
        <v>7182</v>
      </c>
      <c r="H615" s="1524"/>
      <c r="J615" s="1637"/>
      <c r="K615" s="1637"/>
    </row>
    <row r="616" spans="1:11" ht="15.75" thickBot="1" x14ac:dyDescent="0.3">
      <c r="A616" s="1527"/>
      <c r="B616" s="1555"/>
      <c r="C616" s="1556"/>
      <c r="D616" s="956"/>
      <c r="E616" s="1556" t="s">
        <v>7182</v>
      </c>
      <c r="F616" s="1557"/>
      <c r="G616" s="1558" t="s">
        <v>7182</v>
      </c>
      <c r="H616" s="1546">
        <f>SUM(G612:G616)</f>
        <v>300000</v>
      </c>
      <c r="J616" s="1637"/>
      <c r="K616" s="1637"/>
    </row>
    <row r="617" spans="1:11" ht="15.75" thickBot="1" x14ac:dyDescent="0.3">
      <c r="A617" s="1527"/>
      <c r="B617" s="1547"/>
      <c r="C617" s="1547"/>
      <c r="D617" s="954"/>
      <c r="E617" s="1547"/>
      <c r="F617" s="1553"/>
      <c r="G617" s="1554"/>
      <c r="H617" s="1550"/>
      <c r="J617" s="1637"/>
      <c r="K617" s="1637"/>
    </row>
    <row r="618" spans="1:11" ht="15.75" thickBot="1" x14ac:dyDescent="0.3">
      <c r="A618" s="1559"/>
      <c r="B618" s="1369" t="s">
        <v>5412</v>
      </c>
      <c r="C618" s="1363" t="s">
        <v>5420</v>
      </c>
      <c r="D618" s="1120" t="s">
        <v>5421</v>
      </c>
      <c r="E618" s="1363" t="s">
        <v>7187</v>
      </c>
      <c r="F618" s="1363" t="s">
        <v>5405</v>
      </c>
      <c r="G618" s="1370" t="s">
        <v>7179</v>
      </c>
      <c r="H618" s="1371"/>
      <c r="J618" s="1637"/>
      <c r="K618" s="1637"/>
    </row>
    <row r="619" spans="1:11" x14ac:dyDescent="0.25">
      <c r="A619" s="1527"/>
      <c r="B619" s="1560" t="s">
        <v>9422</v>
      </c>
      <c r="C619" s="1569">
        <v>170000</v>
      </c>
      <c r="D619" s="352">
        <f>0.6*C619</f>
        <v>102000</v>
      </c>
      <c r="E619" s="1569">
        <f>+D619+C619</f>
        <v>272000</v>
      </c>
      <c r="F619" s="819">
        <v>3</v>
      </c>
      <c r="G619" s="818">
        <f>+F619*E619</f>
        <v>816000</v>
      </c>
      <c r="H619" s="1524"/>
      <c r="J619" s="1637"/>
      <c r="K619" s="1637"/>
    </row>
    <row r="620" spans="1:11" x14ac:dyDescent="0.25">
      <c r="A620" s="1527"/>
      <c r="B620" s="1560"/>
      <c r="C620" s="1569"/>
      <c r="D620" s="1569"/>
      <c r="E620" s="1569"/>
      <c r="F620" s="819"/>
      <c r="G620" s="818"/>
      <c r="H620" s="1524"/>
      <c r="J620" s="1637"/>
      <c r="K620" s="1637"/>
    </row>
    <row r="621" spans="1:11" x14ac:dyDescent="0.25">
      <c r="A621" s="1527"/>
      <c r="B621" s="1561"/>
      <c r="C621" s="1569"/>
      <c r="D621" s="1569"/>
      <c r="E621" s="1569"/>
      <c r="F621" s="817"/>
      <c r="G621" s="818"/>
      <c r="H621" s="1524"/>
      <c r="J621" s="1637"/>
      <c r="K621" s="1637"/>
    </row>
    <row r="622" spans="1:11" x14ac:dyDescent="0.25">
      <c r="A622" s="1527"/>
      <c r="B622" s="1540"/>
      <c r="C622" s="1569"/>
      <c r="D622" s="1569"/>
      <c r="E622" s="1569"/>
      <c r="F622" s="817"/>
      <c r="G622" s="818"/>
      <c r="H622" s="1524"/>
      <c r="J622" s="1637"/>
      <c r="K622" s="1637"/>
    </row>
    <row r="623" spans="1:11" x14ac:dyDescent="0.25">
      <c r="A623" s="1527"/>
      <c r="B623" s="1540"/>
      <c r="C623" s="1538" t="s">
        <v>7182</v>
      </c>
      <c r="D623" s="952" t="s">
        <v>7182</v>
      </c>
      <c r="E623" s="1538" t="s">
        <v>7182</v>
      </c>
      <c r="F623" s="817"/>
      <c r="G623" s="818" t="str">
        <f>IF(B623="","",E623/F623)</f>
        <v/>
      </c>
      <c r="H623" s="1524"/>
    </row>
    <row r="624" spans="1:11" ht="15.75" thickBot="1" x14ac:dyDescent="0.3">
      <c r="A624" s="1527"/>
      <c r="B624" s="1540"/>
      <c r="C624" s="1538" t="s">
        <v>7182</v>
      </c>
      <c r="D624" s="952" t="s">
        <v>7182</v>
      </c>
      <c r="E624" s="1538" t="s">
        <v>7182</v>
      </c>
      <c r="F624" s="1537"/>
      <c r="G624" s="818" t="str">
        <f>IF(B624="","",E624/F624)</f>
        <v/>
      </c>
      <c r="H624" s="1524"/>
    </row>
    <row r="625" spans="1:11" ht="15.75" thickBot="1" x14ac:dyDescent="0.3">
      <c r="A625" s="1527"/>
      <c r="B625" s="1555"/>
      <c r="C625" s="1556"/>
      <c r="D625" s="956"/>
      <c r="E625" s="1556"/>
      <c r="F625" s="1557"/>
      <c r="G625" s="1558"/>
      <c r="H625" s="1546">
        <f>SUM(G619:G625)</f>
        <v>816000</v>
      </c>
    </row>
    <row r="626" spans="1:11" ht="15.75" thickBot="1" x14ac:dyDescent="0.3">
      <c r="A626" s="1527"/>
      <c r="B626" s="1527"/>
      <c r="C626" s="1527"/>
      <c r="D626" s="529"/>
      <c r="F626" s="1528"/>
      <c r="G626" s="1524"/>
      <c r="H626" s="1524"/>
    </row>
    <row r="627" spans="1:11" ht="15.75" thickBot="1" x14ac:dyDescent="0.3">
      <c r="A627" s="1647" t="s">
        <v>6744</v>
      </c>
      <c r="B627" s="1352"/>
      <c r="C627" s="1352"/>
      <c r="D627" s="1671"/>
      <c r="E627" s="1672"/>
      <c r="F627" s="1353"/>
      <c r="G627" s="1527" t="s">
        <v>5415</v>
      </c>
      <c r="H627" s="502">
        <f>ROUND(SUM(H585:H626),0)</f>
        <v>99314235</v>
      </c>
      <c r="J627" s="1673">
        <f>+B581</f>
        <v>10.129999999999997</v>
      </c>
      <c r="K627" s="1674">
        <f>+H627</f>
        <v>99314235</v>
      </c>
    </row>
    <row r="628" spans="1:11" x14ac:dyDescent="0.25">
      <c r="A628" s="1675"/>
      <c r="B628" s="1676"/>
      <c r="C628" s="1676"/>
      <c r="D628" s="1677"/>
      <c r="E628" s="1678"/>
      <c r="F628" s="1679"/>
      <c r="G628" s="1680"/>
      <c r="H628" s="1680"/>
    </row>
    <row r="629" spans="1:11" ht="18.75" x14ac:dyDescent="0.25">
      <c r="A629" s="1523"/>
      <c r="B629" s="1655"/>
      <c r="C629" s="1655"/>
      <c r="D629" s="950"/>
      <c r="E629" s="1655"/>
      <c r="F629" s="1655"/>
      <c r="G629" s="1655"/>
      <c r="H629" s="8"/>
    </row>
    <row r="630" spans="1:11" x14ac:dyDescent="0.25">
      <c r="A630" s="1523"/>
      <c r="B630" s="8"/>
      <c r="C630" s="8"/>
      <c r="D630" s="529"/>
      <c r="E630" s="8"/>
      <c r="F630" s="1523"/>
      <c r="G630" s="1524"/>
      <c r="H630" s="8"/>
    </row>
    <row r="631" spans="1:11" ht="27" customHeight="1" x14ac:dyDescent="0.25">
      <c r="A631" s="1665" t="s">
        <v>3</v>
      </c>
      <c r="B631" s="1666">
        <f>+VLOOKUP(C631,ListaAPUs!$B:$E,4,FALSE)</f>
        <v>10.139999999999997</v>
      </c>
      <c r="C631" s="2441" t="str">
        <f>+ListaAPUs!B214</f>
        <v>Accesorios, Gabinetes, Sistema de potencia, Banco de condensadores.</v>
      </c>
      <c r="D631" s="2441"/>
      <c r="E631" s="2441"/>
      <c r="F631" s="1665" t="s">
        <v>867</v>
      </c>
      <c r="G631" s="1390" t="str">
        <f>+VLOOKUP(C631,ListaAPUs!$B:$E,2,FALSE)</f>
        <v>glb</v>
      </c>
      <c r="H631" s="1524"/>
    </row>
    <row r="632" spans="1:11" x14ac:dyDescent="0.25">
      <c r="A632" s="1528"/>
      <c r="B632" s="1527"/>
      <c r="C632" s="1527"/>
      <c r="D632" s="529"/>
      <c r="E632" s="1527"/>
      <c r="F632" s="1528"/>
      <c r="G632" s="1524"/>
      <c r="H632" s="1524"/>
    </row>
    <row r="633" spans="1:11" x14ac:dyDescent="0.25">
      <c r="A633" s="1528"/>
      <c r="B633" s="1527"/>
      <c r="C633" s="1527"/>
      <c r="D633" s="529"/>
      <c r="E633" s="1527"/>
      <c r="F633" s="1528"/>
      <c r="G633" s="1529"/>
      <c r="H633" s="1524"/>
    </row>
    <row r="634" spans="1:11" ht="15.75" thickBot="1" x14ac:dyDescent="0.3">
      <c r="A634" s="1528"/>
      <c r="B634" s="1527"/>
      <c r="C634" s="1527"/>
      <c r="D634" s="529"/>
      <c r="E634" s="1527"/>
      <c r="F634" s="1528"/>
      <c r="G634" s="1524"/>
      <c r="H634" s="1524"/>
    </row>
    <row r="635" spans="1:11" ht="15.75" thickBot="1" x14ac:dyDescent="0.3">
      <c r="A635" s="1368"/>
      <c r="B635" s="1369" t="s">
        <v>5403</v>
      </c>
      <c r="C635" s="1363" t="s">
        <v>867</v>
      </c>
      <c r="D635" s="1120" t="s">
        <v>6</v>
      </c>
      <c r="E635" s="1363" t="s">
        <v>9417</v>
      </c>
      <c r="F635" s="1363" t="s">
        <v>5405</v>
      </c>
      <c r="G635" s="1370" t="s">
        <v>7179</v>
      </c>
      <c r="H635" s="1371"/>
    </row>
    <row r="636" spans="1:11" ht="25.5" x14ac:dyDescent="0.25">
      <c r="A636" s="1528"/>
      <c r="B636" s="1822" t="s">
        <v>9602</v>
      </c>
      <c r="C636" s="1749" t="s">
        <v>5424</v>
      </c>
      <c r="D636" s="1773">
        <v>3</v>
      </c>
      <c r="E636" s="1748">
        <v>25193000</v>
      </c>
      <c r="F636" s="1769"/>
      <c r="G636" s="1783">
        <f t="shared" ref="G636:G646" si="5">D636*E636</f>
        <v>75579000</v>
      </c>
      <c r="H636" s="1524"/>
    </row>
    <row r="637" spans="1:11" ht="25.5" x14ac:dyDescent="0.25">
      <c r="A637" s="1528"/>
      <c r="B637" s="1822" t="s">
        <v>9603</v>
      </c>
      <c r="C637" s="1749" t="s">
        <v>5424</v>
      </c>
      <c r="D637" s="1773">
        <v>3</v>
      </c>
      <c r="E637" s="1748">
        <v>2330100</v>
      </c>
      <c r="F637" s="1769"/>
      <c r="G637" s="1783">
        <f t="shared" si="5"/>
        <v>6990300</v>
      </c>
      <c r="H637" s="1524"/>
    </row>
    <row r="638" spans="1:11" x14ac:dyDescent="0.25">
      <c r="A638" s="1528"/>
      <c r="B638" s="1775" t="s">
        <v>9604</v>
      </c>
      <c r="C638" s="1749" t="s">
        <v>5734</v>
      </c>
      <c r="D638" s="1773">
        <f>15*3</f>
        <v>45</v>
      </c>
      <c r="E638" s="1748">
        <v>865800</v>
      </c>
      <c r="F638" s="1769"/>
      <c r="G638" s="1783">
        <f t="shared" si="5"/>
        <v>38961000</v>
      </c>
      <c r="H638" s="1524"/>
    </row>
    <row r="639" spans="1:11" ht="25.5" x14ac:dyDescent="0.25">
      <c r="A639" s="1528"/>
      <c r="B639" s="1822" t="s">
        <v>9605</v>
      </c>
      <c r="C639" s="1749" t="s">
        <v>5734</v>
      </c>
      <c r="D639" s="1773">
        <f>12*3</f>
        <v>36</v>
      </c>
      <c r="E639" s="1748">
        <v>29771</v>
      </c>
      <c r="F639" s="1758"/>
      <c r="G639" s="1783">
        <f t="shared" si="5"/>
        <v>1071756</v>
      </c>
      <c r="H639" s="1524"/>
      <c r="J639" s="1637"/>
      <c r="K639" s="1637"/>
    </row>
    <row r="640" spans="1:11" ht="25.5" x14ac:dyDescent="0.25">
      <c r="A640" s="1528"/>
      <c r="B640" s="1801" t="s">
        <v>9606</v>
      </c>
      <c r="C640" s="1749" t="s">
        <v>5424</v>
      </c>
      <c r="D640" s="1772">
        <f>24*3</f>
        <v>72</v>
      </c>
      <c r="E640" s="1748">
        <v>124350</v>
      </c>
      <c r="F640" s="1758"/>
      <c r="G640" s="1783">
        <f t="shared" si="5"/>
        <v>8953200</v>
      </c>
      <c r="H640" s="1524"/>
      <c r="J640" s="1637"/>
      <c r="K640" s="1637"/>
    </row>
    <row r="641" spans="1:11" x14ac:dyDescent="0.25">
      <c r="A641" s="1528"/>
      <c r="B641" s="1752" t="s">
        <v>9607</v>
      </c>
      <c r="C641" s="1749" t="s">
        <v>5424</v>
      </c>
      <c r="D641" s="1772">
        <f>1*6</f>
        <v>6</v>
      </c>
      <c r="E641" s="1750">
        <v>1200000</v>
      </c>
      <c r="F641" s="1749"/>
      <c r="G641" s="1783">
        <f t="shared" si="5"/>
        <v>7200000</v>
      </c>
      <c r="H641" s="1524"/>
      <c r="J641" s="1637"/>
      <c r="K641" s="1637"/>
    </row>
    <row r="642" spans="1:11" x14ac:dyDescent="0.25">
      <c r="A642" s="1528"/>
      <c r="B642" s="1822" t="s">
        <v>9608</v>
      </c>
      <c r="C642" s="1749" t="s">
        <v>5424</v>
      </c>
      <c r="D642" s="1773">
        <f>5*6</f>
        <v>30</v>
      </c>
      <c r="E642" s="1750">
        <f>565800*1.19</f>
        <v>673302</v>
      </c>
      <c r="F642" s="1769"/>
      <c r="G642" s="1783">
        <f t="shared" si="5"/>
        <v>20199060</v>
      </c>
      <c r="H642" s="1524"/>
      <c r="J642" s="1637"/>
      <c r="K642" s="1637"/>
    </row>
    <row r="643" spans="1:11" ht="25.5" x14ac:dyDescent="0.25">
      <c r="A643" s="1528"/>
      <c r="B643" s="1822" t="s">
        <v>9609</v>
      </c>
      <c r="C643" s="1749" t="s">
        <v>5424</v>
      </c>
      <c r="D643" s="1773">
        <v>1</v>
      </c>
      <c r="E643" s="1750">
        <v>1700000</v>
      </c>
      <c r="F643" s="1769"/>
      <c r="G643" s="1783">
        <f t="shared" si="5"/>
        <v>1700000</v>
      </c>
      <c r="H643" s="1524"/>
      <c r="J643" s="1637"/>
      <c r="K643" s="1637"/>
    </row>
    <row r="644" spans="1:11" ht="38.25" x14ac:dyDescent="0.25">
      <c r="A644" s="1528"/>
      <c r="B644" s="1822" t="s">
        <v>9610</v>
      </c>
      <c r="C644" s="1749" t="s">
        <v>5424</v>
      </c>
      <c r="D644" s="1773">
        <v>1</v>
      </c>
      <c r="E644" s="1750">
        <f>16900000*1.19</f>
        <v>20111000</v>
      </c>
      <c r="F644" s="1769"/>
      <c r="G644" s="1783">
        <f t="shared" si="5"/>
        <v>20111000</v>
      </c>
      <c r="H644" s="1524"/>
      <c r="J644" s="1637"/>
      <c r="K644" s="1637"/>
    </row>
    <row r="645" spans="1:11" ht="38.25" x14ac:dyDescent="0.25">
      <c r="A645" s="1528"/>
      <c r="B645" s="1822" t="s">
        <v>9611</v>
      </c>
      <c r="C645" s="1749" t="s">
        <v>5424</v>
      </c>
      <c r="D645" s="1773">
        <v>1</v>
      </c>
      <c r="E645" s="1750">
        <f>28250000*1.19</f>
        <v>33617500</v>
      </c>
      <c r="F645" s="1769"/>
      <c r="G645" s="1783">
        <f t="shared" si="5"/>
        <v>33617500</v>
      </c>
      <c r="H645" s="1524"/>
      <c r="J645" s="1637"/>
      <c r="K645" s="1637"/>
    </row>
    <row r="646" spans="1:11" x14ac:dyDescent="0.25">
      <c r="A646" s="1528"/>
      <c r="B646" s="1822" t="s">
        <v>9612</v>
      </c>
      <c r="C646" s="1749" t="s">
        <v>5424</v>
      </c>
      <c r="D646" s="1772">
        <f>1*6</f>
        <v>6</v>
      </c>
      <c r="E646" s="1750">
        <f>400000*1.19</f>
        <v>476000</v>
      </c>
      <c r="F646" s="1749"/>
      <c r="G646" s="1783">
        <f t="shared" si="5"/>
        <v>2856000</v>
      </c>
      <c r="H646" s="1524"/>
      <c r="J646" s="1637"/>
      <c r="K646" s="1637"/>
    </row>
    <row r="647" spans="1:11" ht="25.5" x14ac:dyDescent="0.25">
      <c r="A647" s="1528"/>
      <c r="B647" s="1822" t="s">
        <v>9620</v>
      </c>
      <c r="C647" s="1749" t="s">
        <v>6050</v>
      </c>
      <c r="D647" s="1773">
        <v>6</v>
      </c>
      <c r="E647" s="1750">
        <v>4000000</v>
      </c>
      <c r="F647" s="1769"/>
      <c r="G647" s="1783">
        <f>D647*E647</f>
        <v>24000000</v>
      </c>
      <c r="H647" s="1524"/>
      <c r="J647" s="1637"/>
      <c r="K647" s="1637"/>
    </row>
    <row r="648" spans="1:11" x14ac:dyDescent="0.25">
      <c r="A648" s="1528"/>
      <c r="B648" s="268"/>
      <c r="C648" s="1534"/>
      <c r="D648" s="211"/>
      <c r="E648" s="1535" t="s">
        <v>7182</v>
      </c>
      <c r="F648" s="1551"/>
      <c r="G648" s="1541" t="s">
        <v>7182</v>
      </c>
      <c r="H648" s="1524"/>
      <c r="J648" s="1637"/>
      <c r="K648" s="1637"/>
    </row>
    <row r="649" spans="1:11" x14ac:dyDescent="0.25">
      <c r="A649" s="1528"/>
      <c r="B649" s="1346"/>
      <c r="C649" s="1534"/>
      <c r="D649" s="211"/>
      <c r="E649" s="1535" t="s">
        <v>7182</v>
      </c>
      <c r="F649" s="1551"/>
      <c r="G649" s="1541" t="s">
        <v>7182</v>
      </c>
      <c r="H649" s="1524"/>
      <c r="J649" s="1637"/>
      <c r="K649" s="1637"/>
    </row>
    <row r="650" spans="1:11" ht="15.75" thickBot="1" x14ac:dyDescent="0.3">
      <c r="A650" s="1528"/>
      <c r="B650" s="1540"/>
      <c r="C650" s="1537"/>
      <c r="D650" s="952"/>
      <c r="E650" s="1538" t="s">
        <v>7182</v>
      </c>
      <c r="F650" s="1537"/>
      <c r="G650" s="1541" t="s">
        <v>7182</v>
      </c>
      <c r="H650" s="1524"/>
      <c r="J650" s="1637"/>
      <c r="K650" s="1637"/>
    </row>
    <row r="651" spans="1:11" ht="15.75" thickBot="1" x14ac:dyDescent="0.3">
      <c r="A651" s="1528"/>
      <c r="B651" s="1555"/>
      <c r="C651" s="1557"/>
      <c r="D651" s="956"/>
      <c r="E651" s="1556" t="s">
        <v>7182</v>
      </c>
      <c r="F651" s="1557"/>
      <c r="G651" s="1558" t="s">
        <v>7182</v>
      </c>
      <c r="H651" s="1546">
        <f>SUM(G636:G651)</f>
        <v>241238816</v>
      </c>
      <c r="J651" s="1637"/>
      <c r="K651" s="1637"/>
    </row>
    <row r="652" spans="1:11" x14ac:dyDescent="0.25">
      <c r="A652" s="1528"/>
      <c r="B652" s="1372"/>
      <c r="C652" s="1374"/>
      <c r="D652" s="1373"/>
      <c r="E652" s="1372" t="s">
        <v>7182</v>
      </c>
      <c r="F652" s="1374"/>
      <c r="G652" s="1375" t="s">
        <v>7182</v>
      </c>
      <c r="H652" s="1550"/>
      <c r="J652" s="1637"/>
      <c r="K652" s="1637"/>
    </row>
    <row r="653" spans="1:11" ht="15.75" thickBot="1" x14ac:dyDescent="0.3">
      <c r="A653" s="1527"/>
      <c r="B653" s="188"/>
      <c r="C653" s="189"/>
      <c r="D653" s="1668"/>
      <c r="E653" s="188"/>
      <c r="F653" s="189"/>
      <c r="G653" s="1669"/>
      <c r="H653" s="1550"/>
      <c r="J653" s="1637"/>
      <c r="K653" s="1637"/>
    </row>
    <row r="654" spans="1:11" ht="15.75" thickBot="1" x14ac:dyDescent="0.3">
      <c r="A654" s="1527"/>
      <c r="B654" s="1366" t="s">
        <v>9418</v>
      </c>
      <c r="C654" s="1363" t="s">
        <v>867</v>
      </c>
      <c r="D654" s="1120" t="s">
        <v>6</v>
      </c>
      <c r="E654" s="1363" t="s">
        <v>7183</v>
      </c>
      <c r="F654" s="1363" t="s">
        <v>5405</v>
      </c>
      <c r="G654" s="1365" t="s">
        <v>7179</v>
      </c>
      <c r="H654" s="1524"/>
      <c r="J654" s="1637"/>
      <c r="K654" s="1637"/>
    </row>
    <row r="655" spans="1:11" x14ac:dyDescent="0.25">
      <c r="A655" s="1527"/>
      <c r="B655" s="1770" t="s">
        <v>9619</v>
      </c>
      <c r="C655" s="1747" t="s">
        <v>5475</v>
      </c>
      <c r="D655" s="1772">
        <v>1</v>
      </c>
      <c r="E655" s="1748">
        <v>213097</v>
      </c>
      <c r="F655" s="1777">
        <v>4</v>
      </c>
      <c r="G655" s="1783">
        <f>D655*E655*F655</f>
        <v>852388</v>
      </c>
      <c r="H655" s="1524"/>
      <c r="J655" s="1637"/>
      <c r="K655" s="1637"/>
    </row>
    <row r="656" spans="1:11" x14ac:dyDescent="0.25">
      <c r="A656" s="1527"/>
      <c r="B656" s="1562"/>
      <c r="C656" s="1537"/>
      <c r="D656" s="212"/>
      <c r="E656" s="1535"/>
      <c r="F656" s="1537"/>
      <c r="G656" s="1572"/>
      <c r="H656" s="1524"/>
      <c r="J656" s="1637"/>
      <c r="K656" s="1637"/>
    </row>
    <row r="657" spans="1:11" x14ac:dyDescent="0.25">
      <c r="A657" s="1527"/>
      <c r="B657" s="1540"/>
      <c r="C657" s="1537"/>
      <c r="D657" s="212"/>
      <c r="E657" s="1535"/>
      <c r="F657" s="1537"/>
      <c r="G657" s="1572"/>
      <c r="H657" s="1524"/>
      <c r="J657" s="1637"/>
      <c r="K657" s="1637"/>
    </row>
    <row r="658" spans="1:11" ht="15.75" thickBot="1" x14ac:dyDescent="0.3">
      <c r="A658" s="1527"/>
      <c r="B658" s="1540"/>
      <c r="C658" s="1537"/>
      <c r="D658" s="212"/>
      <c r="E658" s="1535"/>
      <c r="F658" s="1537"/>
      <c r="G658" s="1572"/>
      <c r="H658" s="1524"/>
      <c r="J658" s="1637"/>
      <c r="K658" s="1637"/>
    </row>
    <row r="659" spans="1:11" ht="15.75" thickBot="1" x14ac:dyDescent="0.3">
      <c r="A659" s="1527"/>
      <c r="B659" s="1555"/>
      <c r="C659" s="1557"/>
      <c r="D659" s="1722"/>
      <c r="E659" s="1359"/>
      <c r="F659" s="1557"/>
      <c r="G659" s="1723"/>
      <c r="H659" s="1546">
        <f>SUM(G655:G659)</f>
        <v>852388</v>
      </c>
      <c r="J659" s="1637"/>
      <c r="K659" s="1637"/>
    </row>
    <row r="660" spans="1:11" ht="15.75" thickBot="1" x14ac:dyDescent="0.3">
      <c r="A660" s="1527"/>
      <c r="B660" s="1376"/>
      <c r="C660" s="1353"/>
      <c r="D660" s="1355"/>
      <c r="E660" s="1352"/>
      <c r="F660" s="1377"/>
      <c r="G660" s="1378"/>
      <c r="H660" s="1524"/>
      <c r="J660" s="1637"/>
      <c r="K660" s="1637"/>
    </row>
    <row r="661" spans="1:11" ht="15.75" thickBot="1" x14ac:dyDescent="0.3">
      <c r="A661" s="1527"/>
      <c r="B661" s="1366" t="s">
        <v>5410</v>
      </c>
      <c r="C661" s="1363" t="s">
        <v>867</v>
      </c>
      <c r="D661" s="1120" t="s">
        <v>6</v>
      </c>
      <c r="E661" s="1363" t="s">
        <v>7183</v>
      </c>
      <c r="F661" s="1363" t="s">
        <v>5405</v>
      </c>
      <c r="G661" s="1365" t="s">
        <v>7179</v>
      </c>
      <c r="H661" s="1524"/>
      <c r="J661" s="1637"/>
      <c r="K661" s="1637"/>
    </row>
    <row r="662" spans="1:11" ht="25.5" x14ac:dyDescent="0.25">
      <c r="A662" s="1527"/>
      <c r="B662" s="1564" t="s">
        <v>9421</v>
      </c>
      <c r="C662" s="1534" t="s">
        <v>9023</v>
      </c>
      <c r="D662" s="211">
        <v>1</v>
      </c>
      <c r="E662" s="1535">
        <v>450000</v>
      </c>
      <c r="F662" s="297">
        <v>1</v>
      </c>
      <c r="G662" s="1572">
        <f>+F662*E662</f>
        <v>450000</v>
      </c>
      <c r="H662" s="1524"/>
      <c r="J662" s="1637"/>
      <c r="K662" s="1637"/>
    </row>
    <row r="663" spans="1:11" x14ac:dyDescent="0.25">
      <c r="A663" s="1527"/>
      <c r="B663" s="1540" t="s">
        <v>9613</v>
      </c>
      <c r="C663" s="1537" t="s">
        <v>9023</v>
      </c>
      <c r="D663" s="212">
        <v>1</v>
      </c>
      <c r="E663" s="1535">
        <v>450000</v>
      </c>
      <c r="F663" s="297">
        <v>1</v>
      </c>
      <c r="G663" s="1572">
        <f>+F663*E663</f>
        <v>450000</v>
      </c>
      <c r="H663" s="1524"/>
      <c r="J663" s="1637"/>
      <c r="K663" s="1637"/>
    </row>
    <row r="664" spans="1:11" x14ac:dyDescent="0.25">
      <c r="A664" s="1527"/>
      <c r="B664" s="1540"/>
      <c r="C664" s="1537"/>
      <c r="D664" s="212"/>
      <c r="E664" s="1535" t="s">
        <v>7182</v>
      </c>
      <c r="F664" s="1537"/>
      <c r="G664" s="1572" t="s">
        <v>7182</v>
      </c>
      <c r="H664" s="1524"/>
      <c r="J664" s="1637"/>
      <c r="K664" s="1637"/>
    </row>
    <row r="665" spans="1:11" ht="15.75" thickBot="1" x14ac:dyDescent="0.3">
      <c r="A665" s="1527"/>
      <c r="B665" s="1540"/>
      <c r="C665" s="1537"/>
      <c r="D665" s="212"/>
      <c r="E665" s="1535" t="s">
        <v>7182</v>
      </c>
      <c r="F665" s="1537"/>
      <c r="G665" s="1572" t="s">
        <v>7182</v>
      </c>
      <c r="H665" s="1524"/>
      <c r="J665" s="1637"/>
      <c r="K665" s="1637"/>
    </row>
    <row r="666" spans="1:11" ht="15.75" thickBot="1" x14ac:dyDescent="0.3">
      <c r="A666" s="1527"/>
      <c r="B666" s="1555"/>
      <c r="C666" s="1556"/>
      <c r="D666" s="956"/>
      <c r="E666" s="1556" t="s">
        <v>7182</v>
      </c>
      <c r="F666" s="1557"/>
      <c r="G666" s="1558" t="s">
        <v>7182</v>
      </c>
      <c r="H666" s="1546">
        <f>SUM(G662:G666)</f>
        <v>900000</v>
      </c>
      <c r="J666" s="1637"/>
      <c r="K666" s="1637"/>
    </row>
    <row r="667" spans="1:11" ht="15.75" thickBot="1" x14ac:dyDescent="0.3">
      <c r="A667" s="1527"/>
      <c r="B667" s="1547"/>
      <c r="C667" s="1547"/>
      <c r="D667" s="954"/>
      <c r="E667" s="1547"/>
      <c r="F667" s="1553"/>
      <c r="G667" s="1554"/>
      <c r="H667" s="1550"/>
      <c r="J667" s="1637"/>
      <c r="K667" s="1637"/>
    </row>
    <row r="668" spans="1:11" ht="15.75" thickBot="1" x14ac:dyDescent="0.3">
      <c r="A668" s="1559"/>
      <c r="B668" s="1369" t="s">
        <v>5412</v>
      </c>
      <c r="C668" s="1363" t="s">
        <v>5420</v>
      </c>
      <c r="D668" s="1120" t="s">
        <v>5421</v>
      </c>
      <c r="E668" s="1363" t="s">
        <v>7187</v>
      </c>
      <c r="F668" s="1363" t="s">
        <v>5405</v>
      </c>
      <c r="G668" s="1370" t="s">
        <v>7179</v>
      </c>
      <c r="H668" s="1371"/>
      <c r="J668" s="1637"/>
      <c r="K668" s="1637"/>
    </row>
    <row r="669" spans="1:11" x14ac:dyDescent="0.25">
      <c r="A669" s="1527"/>
      <c r="B669" s="1560" t="s">
        <v>9422</v>
      </c>
      <c r="C669" s="1569">
        <v>170000</v>
      </c>
      <c r="D669" s="352">
        <f>0.6*C669</f>
        <v>102000</v>
      </c>
      <c r="E669" s="1569">
        <f>+D669+C669</f>
        <v>272000</v>
      </c>
      <c r="F669" s="819">
        <v>22</v>
      </c>
      <c r="G669" s="818">
        <f>+F669*E669</f>
        <v>5984000</v>
      </c>
      <c r="H669" s="1524"/>
      <c r="J669" s="1637"/>
      <c r="K669" s="1637"/>
    </row>
    <row r="670" spans="1:11" x14ac:dyDescent="0.25">
      <c r="A670" s="1527"/>
      <c r="B670" s="1560" t="s">
        <v>9614</v>
      </c>
      <c r="C670" s="1569"/>
      <c r="D670" s="1569"/>
      <c r="E670" s="1569"/>
      <c r="F670" s="819"/>
      <c r="G670" s="818"/>
      <c r="H670" s="1524"/>
      <c r="J670" s="1637"/>
      <c r="K670" s="1637"/>
    </row>
    <row r="671" spans="1:11" x14ac:dyDescent="0.25">
      <c r="A671" s="1527"/>
      <c r="B671" s="1561"/>
      <c r="C671" s="1569"/>
      <c r="D671" s="1569"/>
      <c r="E671" s="1569"/>
      <c r="F671" s="817"/>
      <c r="G671" s="818"/>
      <c r="H671" s="1524"/>
    </row>
    <row r="672" spans="1:11" x14ac:dyDescent="0.25">
      <c r="A672" s="1527"/>
      <c r="B672" s="1540"/>
      <c r="C672" s="1569"/>
      <c r="D672" s="1569"/>
      <c r="E672" s="1569"/>
      <c r="F672" s="817"/>
      <c r="G672" s="818"/>
      <c r="H672" s="1524"/>
    </row>
    <row r="673" spans="1:11" x14ac:dyDescent="0.25">
      <c r="A673" s="1527"/>
      <c r="B673" s="1540"/>
      <c r="C673" s="1538" t="s">
        <v>7182</v>
      </c>
      <c r="D673" s="952" t="s">
        <v>7182</v>
      </c>
      <c r="E673" s="1538" t="s">
        <v>7182</v>
      </c>
      <c r="F673" s="817"/>
      <c r="G673" s="818" t="str">
        <f>IF(B673="","",E673/F673)</f>
        <v/>
      </c>
      <c r="H673" s="1524"/>
    </row>
    <row r="674" spans="1:11" ht="15.75" thickBot="1" x14ac:dyDescent="0.3">
      <c r="A674" s="1527"/>
      <c r="B674" s="1540"/>
      <c r="C674" s="1538" t="s">
        <v>7182</v>
      </c>
      <c r="D674" s="952" t="s">
        <v>7182</v>
      </c>
      <c r="E674" s="1538" t="s">
        <v>7182</v>
      </c>
      <c r="F674" s="1537"/>
      <c r="G674" s="818" t="str">
        <f>IF(B674="","",E674/F674)</f>
        <v/>
      </c>
      <c r="H674" s="1524"/>
    </row>
    <row r="675" spans="1:11" ht="15.75" thickBot="1" x14ac:dyDescent="0.3">
      <c r="A675" s="1527"/>
      <c r="B675" s="1555"/>
      <c r="C675" s="1556"/>
      <c r="D675" s="956"/>
      <c r="E675" s="1556"/>
      <c r="F675" s="1557"/>
      <c r="G675" s="1558"/>
      <c r="H675" s="1546">
        <f>SUM(G669:G675)</f>
        <v>5984000</v>
      </c>
    </row>
    <row r="676" spans="1:11" ht="15.75" thickBot="1" x14ac:dyDescent="0.3">
      <c r="A676" s="1527"/>
      <c r="B676" s="1527"/>
      <c r="C676" s="1527"/>
      <c r="D676" s="529"/>
      <c r="F676" s="1528"/>
      <c r="G676" s="1524"/>
      <c r="H676" s="1524"/>
    </row>
    <row r="677" spans="1:11" ht="15.75" thickBot="1" x14ac:dyDescent="0.3">
      <c r="A677" s="1647" t="s">
        <v>6744</v>
      </c>
      <c r="B677" s="1352"/>
      <c r="C677" s="1352"/>
      <c r="D677" s="1671"/>
      <c r="E677" s="1672"/>
      <c r="F677" s="1353"/>
      <c r="G677" s="1527" t="s">
        <v>5415</v>
      </c>
      <c r="H677" s="502">
        <f>ROUND(SUM(H635:H676),0)</f>
        <v>248975204</v>
      </c>
      <c r="J677" s="1673">
        <f>+B631</f>
        <v>10.139999999999997</v>
      </c>
      <c r="K677" s="1674">
        <f>+H677</f>
        <v>248975204</v>
      </c>
    </row>
    <row r="678" spans="1:11" x14ac:dyDescent="0.25">
      <c r="A678" s="1675"/>
      <c r="B678" s="1676"/>
      <c r="C678" s="1676"/>
      <c r="D678" s="1677"/>
      <c r="E678" s="1678"/>
      <c r="F678" s="1679"/>
      <c r="G678" s="1680"/>
      <c r="H678" s="1680"/>
    </row>
    <row r="679" spans="1:11" ht="18.75" x14ac:dyDescent="0.25">
      <c r="A679" s="1523"/>
      <c r="B679" s="1655"/>
      <c r="C679" s="1655"/>
      <c r="D679" s="950"/>
      <c r="E679" s="1655"/>
      <c r="F679" s="1655"/>
      <c r="G679" s="1655"/>
      <c r="H679" s="8"/>
    </row>
    <row r="680" spans="1:11" x14ac:dyDescent="0.25">
      <c r="A680" s="1523"/>
      <c r="B680" s="8"/>
      <c r="C680" s="8"/>
      <c r="D680" s="529"/>
      <c r="E680" s="8"/>
      <c r="F680" s="1523"/>
      <c r="G680" s="1524"/>
      <c r="H680" s="8"/>
    </row>
    <row r="681" spans="1:11" ht="27" customHeight="1" x14ac:dyDescent="0.25">
      <c r="A681" s="1665" t="s">
        <v>3</v>
      </c>
      <c r="B681" s="1666">
        <f>+VLOOKUP(C681,ListaAPUs!$B:$E,4,FALSE)</f>
        <v>10.149999999999997</v>
      </c>
      <c r="C681" s="2441" t="str">
        <f>+ListaAPUs!B215</f>
        <v>SISTEMA DE CORRIENTE CONTINUA, INVERSOR – CARGADOR; incluye cargador, rectificador, banco de baterias, yablero de distribución</v>
      </c>
      <c r="D681" s="2441"/>
      <c r="E681" s="2441"/>
      <c r="F681" s="1665" t="s">
        <v>867</v>
      </c>
      <c r="G681" s="1390" t="str">
        <f>+VLOOKUP(C681,ListaAPUs!$B:$E,2,FALSE)</f>
        <v>glb</v>
      </c>
      <c r="H681" s="1524"/>
    </row>
    <row r="682" spans="1:11" x14ac:dyDescent="0.25">
      <c r="A682" s="1528"/>
      <c r="B682" s="1527"/>
      <c r="C682" s="1527"/>
      <c r="D682" s="529"/>
      <c r="E682" s="1527"/>
      <c r="F682" s="1528"/>
      <c r="G682" s="1524"/>
      <c r="H682" s="1524"/>
    </row>
    <row r="683" spans="1:11" x14ac:dyDescent="0.25">
      <c r="A683" s="1528"/>
      <c r="B683" s="1527"/>
      <c r="C683" s="1527"/>
      <c r="D683" s="529"/>
      <c r="E683" s="1527"/>
      <c r="F683" s="1528"/>
      <c r="G683" s="1529"/>
      <c r="H683" s="1524"/>
    </row>
    <row r="684" spans="1:11" ht="15.75" thickBot="1" x14ac:dyDescent="0.3">
      <c r="A684" s="1528"/>
      <c r="B684" s="1527"/>
      <c r="C684" s="1527"/>
      <c r="D684" s="529"/>
      <c r="E684" s="1527"/>
      <c r="F684" s="1528"/>
      <c r="G684" s="1524"/>
      <c r="H684" s="1524"/>
    </row>
    <row r="685" spans="1:11" ht="15.75" thickBot="1" x14ac:dyDescent="0.3">
      <c r="A685" s="1368"/>
      <c r="B685" s="1369" t="s">
        <v>5403</v>
      </c>
      <c r="C685" s="1363" t="s">
        <v>867</v>
      </c>
      <c r="D685" s="1120" t="s">
        <v>6</v>
      </c>
      <c r="E685" s="1363" t="s">
        <v>9417</v>
      </c>
      <c r="F685" s="1363" t="s">
        <v>5405</v>
      </c>
      <c r="G685" s="1370" t="s">
        <v>7179</v>
      </c>
      <c r="H685" s="1371"/>
    </row>
    <row r="686" spans="1:11" x14ac:dyDescent="0.25">
      <c r="A686" s="1528"/>
      <c r="B686" s="1667" t="s">
        <v>9593</v>
      </c>
      <c r="C686" s="1537" t="s">
        <v>37</v>
      </c>
      <c r="D686" s="212">
        <v>1</v>
      </c>
      <c r="E686" s="1535">
        <v>5280000</v>
      </c>
      <c r="F686" s="1563"/>
      <c r="G686" s="1572">
        <f>D686*E686</f>
        <v>5280000</v>
      </c>
      <c r="H686" s="1524"/>
    </row>
    <row r="687" spans="1:11" x14ac:dyDescent="0.25">
      <c r="A687" s="1528"/>
      <c r="B687" s="1667" t="s">
        <v>9594</v>
      </c>
      <c r="C687" s="1537" t="s">
        <v>37</v>
      </c>
      <c r="D687" s="212">
        <v>1</v>
      </c>
      <c r="E687" s="1535">
        <v>27500000</v>
      </c>
      <c r="F687" s="1563"/>
      <c r="G687" s="1572">
        <f>D687*E687</f>
        <v>27500000</v>
      </c>
      <c r="H687" s="1524"/>
      <c r="J687" s="1637"/>
      <c r="K687" s="1637"/>
    </row>
    <row r="688" spans="1:11" x14ac:dyDescent="0.25">
      <c r="A688" s="1528"/>
      <c r="B688" s="269" t="s">
        <v>9595</v>
      </c>
      <c r="C688" s="1537" t="s">
        <v>37</v>
      </c>
      <c r="D688" s="212">
        <v>1</v>
      </c>
      <c r="E688" s="1535">
        <v>455700</v>
      </c>
      <c r="F688" s="1563"/>
      <c r="G688" s="1572">
        <f>D688*E688</f>
        <v>455700</v>
      </c>
      <c r="H688" s="1524"/>
      <c r="J688" s="1637"/>
      <c r="K688" s="1637"/>
    </row>
    <row r="689" spans="1:11" x14ac:dyDescent="0.25">
      <c r="A689" s="1528"/>
      <c r="B689" s="268" t="s">
        <v>9596</v>
      </c>
      <c r="C689" s="1537" t="s">
        <v>37</v>
      </c>
      <c r="D689" s="211">
        <v>1</v>
      </c>
      <c r="E689" s="1535">
        <v>9640000</v>
      </c>
      <c r="F689" s="1551"/>
      <c r="G689" s="1572">
        <f>D689*E689</f>
        <v>9640000</v>
      </c>
      <c r="H689" s="1524"/>
      <c r="J689" s="1637"/>
      <c r="K689" s="1637"/>
    </row>
    <row r="690" spans="1:11" x14ac:dyDescent="0.25">
      <c r="A690" s="1528"/>
      <c r="B690" s="1667"/>
      <c r="C690" s="1537"/>
      <c r="D690" s="212"/>
      <c r="E690" s="816"/>
      <c r="F690" s="1563"/>
      <c r="G690" s="814"/>
      <c r="H690" s="1524"/>
      <c r="J690" s="1637"/>
      <c r="K690" s="1637"/>
    </row>
    <row r="691" spans="1:11" x14ac:dyDescent="0.25">
      <c r="A691" s="1528"/>
      <c r="B691" s="1667"/>
      <c r="C691" s="1537"/>
      <c r="D691" s="212"/>
      <c r="E691" s="816"/>
      <c r="F691" s="1563"/>
      <c r="G691" s="814"/>
      <c r="H691" s="1524"/>
      <c r="J691" s="1637"/>
      <c r="K691" s="1637"/>
    </row>
    <row r="692" spans="1:11" x14ac:dyDescent="0.25">
      <c r="A692" s="1528"/>
      <c r="B692" s="1667"/>
      <c r="C692" s="1537"/>
      <c r="D692" s="212"/>
      <c r="E692" s="816"/>
      <c r="F692" s="1563"/>
      <c r="G692" s="814"/>
      <c r="H692" s="1524"/>
      <c r="J692" s="1637"/>
      <c r="K692" s="1637"/>
    </row>
    <row r="693" spans="1:11" x14ac:dyDescent="0.25">
      <c r="A693" s="1528"/>
      <c r="B693" s="1667"/>
      <c r="C693" s="1537"/>
      <c r="D693" s="212"/>
      <c r="E693" s="816"/>
      <c r="F693" s="1563"/>
      <c r="G693" s="814"/>
      <c r="H693" s="1524"/>
      <c r="J693" s="1637"/>
      <c r="K693" s="1637"/>
    </row>
    <row r="694" spans="1:11" x14ac:dyDescent="0.25">
      <c r="A694" s="1528"/>
      <c r="B694" s="1667"/>
      <c r="C694" s="1537"/>
      <c r="D694" s="212"/>
      <c r="E694" s="816"/>
      <c r="F694" s="1563"/>
      <c r="G694" s="814"/>
      <c r="H694" s="1524"/>
      <c r="J694" s="1637"/>
      <c r="K694" s="1637"/>
    </row>
    <row r="695" spans="1:11" x14ac:dyDescent="0.25">
      <c r="A695" s="1528"/>
      <c r="B695" s="1667"/>
      <c r="C695" s="1537"/>
      <c r="D695" s="212"/>
      <c r="E695" s="816"/>
      <c r="F695" s="1563"/>
      <c r="G695" s="814"/>
      <c r="H695" s="1524"/>
      <c r="J695" s="1637"/>
      <c r="K695" s="1637"/>
    </row>
    <row r="696" spans="1:11" x14ac:dyDescent="0.25">
      <c r="A696" s="1528"/>
      <c r="B696" s="1667"/>
      <c r="C696" s="1537"/>
      <c r="D696" s="212"/>
      <c r="E696" s="816"/>
      <c r="F696" s="1563"/>
      <c r="G696" s="814"/>
      <c r="H696" s="1524"/>
      <c r="J696" s="1637"/>
      <c r="K696" s="1637"/>
    </row>
    <row r="697" spans="1:11" x14ac:dyDescent="0.25">
      <c r="A697" s="1528"/>
      <c r="B697" s="269"/>
      <c r="C697" s="1537"/>
      <c r="D697" s="212"/>
      <c r="E697" s="816"/>
      <c r="F697" s="1563"/>
      <c r="G697" s="814"/>
      <c r="H697" s="1524"/>
      <c r="J697" s="1637"/>
      <c r="K697" s="1637"/>
    </row>
    <row r="698" spans="1:11" x14ac:dyDescent="0.25">
      <c r="A698" s="1528"/>
      <c r="B698" s="268"/>
      <c r="C698" s="1534"/>
      <c r="D698" s="211"/>
      <c r="E698" s="1535" t="s">
        <v>7182</v>
      </c>
      <c r="F698" s="1551"/>
      <c r="G698" s="1541" t="s">
        <v>7182</v>
      </c>
      <c r="H698" s="1524"/>
      <c r="J698" s="1637"/>
      <c r="K698" s="1637"/>
    </row>
    <row r="699" spans="1:11" x14ac:dyDescent="0.25">
      <c r="A699" s="1528"/>
      <c r="B699" s="1346"/>
      <c r="C699" s="1534"/>
      <c r="D699" s="211"/>
      <c r="E699" s="1535" t="s">
        <v>7182</v>
      </c>
      <c r="F699" s="1551"/>
      <c r="G699" s="1541" t="s">
        <v>7182</v>
      </c>
      <c r="H699" s="1524"/>
      <c r="J699" s="1637"/>
      <c r="K699" s="1637"/>
    </row>
    <row r="700" spans="1:11" ht="15.75" thickBot="1" x14ac:dyDescent="0.3">
      <c r="A700" s="1528"/>
      <c r="B700" s="1540"/>
      <c r="C700" s="1537"/>
      <c r="D700" s="952"/>
      <c r="E700" s="1538" t="s">
        <v>7182</v>
      </c>
      <c r="F700" s="1537"/>
      <c r="G700" s="1541" t="s">
        <v>7182</v>
      </c>
      <c r="H700" s="1524"/>
      <c r="J700" s="1637"/>
      <c r="K700" s="1637"/>
    </row>
    <row r="701" spans="1:11" ht="15.75" thickBot="1" x14ac:dyDescent="0.3">
      <c r="A701" s="1528"/>
      <c r="B701" s="1555"/>
      <c r="C701" s="1557"/>
      <c r="D701" s="956"/>
      <c r="E701" s="1556" t="s">
        <v>7182</v>
      </c>
      <c r="F701" s="1557"/>
      <c r="G701" s="1558" t="s">
        <v>7182</v>
      </c>
      <c r="H701" s="1546">
        <f>SUM(G686:G701)</f>
        <v>42875700</v>
      </c>
      <c r="J701" s="1637"/>
      <c r="K701" s="1637"/>
    </row>
    <row r="702" spans="1:11" x14ac:dyDescent="0.25">
      <c r="A702" s="1528"/>
      <c r="B702" s="1372"/>
      <c r="C702" s="1374"/>
      <c r="D702" s="1373"/>
      <c r="E702" s="1372" t="s">
        <v>7182</v>
      </c>
      <c r="F702" s="1374"/>
      <c r="G702" s="1375" t="s">
        <v>7182</v>
      </c>
      <c r="H702" s="1550"/>
      <c r="J702" s="1637"/>
      <c r="K702" s="1637"/>
    </row>
    <row r="703" spans="1:11" ht="15.75" thickBot="1" x14ac:dyDescent="0.3">
      <c r="A703" s="1527"/>
      <c r="B703" s="188"/>
      <c r="C703" s="189"/>
      <c r="D703" s="1668"/>
      <c r="E703" s="188"/>
      <c r="F703" s="189"/>
      <c r="G703" s="1669"/>
      <c r="H703" s="1550"/>
      <c r="J703" s="1637"/>
      <c r="K703" s="1637"/>
    </row>
    <row r="704" spans="1:11" ht="15.75" thickBot="1" x14ac:dyDescent="0.3">
      <c r="A704" s="1527"/>
      <c r="B704" s="1366" t="s">
        <v>9418</v>
      </c>
      <c r="C704" s="1363" t="s">
        <v>867</v>
      </c>
      <c r="D704" s="1120" t="s">
        <v>6</v>
      </c>
      <c r="E704" s="1363" t="s">
        <v>7183</v>
      </c>
      <c r="F704" s="1363" t="s">
        <v>5405</v>
      </c>
      <c r="G704" s="1365" t="s">
        <v>7179</v>
      </c>
      <c r="H704" s="1524"/>
      <c r="J704" s="1637"/>
      <c r="K704" s="1637"/>
    </row>
    <row r="705" spans="1:11" x14ac:dyDescent="0.25">
      <c r="A705" s="1527"/>
      <c r="B705" s="1770" t="s">
        <v>9619</v>
      </c>
      <c r="C705" s="1747" t="s">
        <v>5475</v>
      </c>
      <c r="D705" s="1772">
        <v>1</v>
      </c>
      <c r="E705" s="1748">
        <v>213097</v>
      </c>
      <c r="F705" s="1777">
        <v>1</v>
      </c>
      <c r="G705" s="1783">
        <f>D705*E705*F705</f>
        <v>213097</v>
      </c>
      <c r="H705" s="1524"/>
      <c r="J705" s="1637"/>
      <c r="K705" s="1637"/>
    </row>
    <row r="706" spans="1:11" x14ac:dyDescent="0.25">
      <c r="A706" s="1527"/>
      <c r="B706" s="1562"/>
      <c r="C706" s="1537"/>
      <c r="D706" s="212"/>
      <c r="E706" s="1535"/>
      <c r="F706" s="1537"/>
      <c r="G706" s="1572"/>
      <c r="H706" s="1524"/>
      <c r="J706" s="1637"/>
      <c r="K706" s="1637"/>
    </row>
    <row r="707" spans="1:11" x14ac:dyDescent="0.25">
      <c r="A707" s="1527"/>
      <c r="B707" s="1540"/>
      <c r="C707" s="1537"/>
      <c r="D707" s="212"/>
      <c r="E707" s="1535"/>
      <c r="F707" s="1537"/>
      <c r="G707" s="1572"/>
      <c r="H707" s="1524"/>
      <c r="J707" s="1637"/>
      <c r="K707" s="1637"/>
    </row>
    <row r="708" spans="1:11" ht="15.75" thickBot="1" x14ac:dyDescent="0.3">
      <c r="A708" s="1527"/>
      <c r="B708" s="1540"/>
      <c r="C708" s="1537"/>
      <c r="D708" s="212"/>
      <c r="E708" s="1535"/>
      <c r="F708" s="1537"/>
      <c r="G708" s="1572"/>
      <c r="H708" s="1524"/>
      <c r="J708" s="1637"/>
      <c r="K708" s="1637"/>
    </row>
    <row r="709" spans="1:11" ht="15.75" thickBot="1" x14ac:dyDescent="0.3">
      <c r="A709" s="1527"/>
      <c r="B709" s="1540"/>
      <c r="C709" s="1537"/>
      <c r="D709" s="1567"/>
      <c r="E709" s="1535"/>
      <c r="F709" s="1537"/>
      <c r="G709" s="1572"/>
      <c r="H709" s="1546">
        <f>SUM(G705:G709)</f>
        <v>213097</v>
      </c>
      <c r="J709" s="1637"/>
      <c r="K709" s="1637"/>
    </row>
    <row r="710" spans="1:11" ht="15.75" thickBot="1" x14ac:dyDescent="0.3">
      <c r="A710" s="1527"/>
      <c r="B710" s="1376"/>
      <c r="C710" s="1353"/>
      <c r="D710" s="1355"/>
      <c r="E710" s="1352"/>
      <c r="F710" s="1377"/>
      <c r="G710" s="1378"/>
      <c r="H710" s="1524"/>
      <c r="J710" s="1637"/>
      <c r="K710" s="1637"/>
    </row>
    <row r="711" spans="1:11" ht="15.75" thickBot="1" x14ac:dyDescent="0.3">
      <c r="A711" s="1527"/>
      <c r="B711" s="1366" t="s">
        <v>5410</v>
      </c>
      <c r="C711" s="1363" t="s">
        <v>867</v>
      </c>
      <c r="D711" s="1120" t="s">
        <v>6</v>
      </c>
      <c r="E711" s="1363" t="s">
        <v>7183</v>
      </c>
      <c r="F711" s="1363" t="s">
        <v>5405</v>
      </c>
      <c r="G711" s="1365" t="s">
        <v>7179</v>
      </c>
      <c r="H711" s="1524"/>
      <c r="J711" s="1637"/>
      <c r="K711" s="1637"/>
    </row>
    <row r="712" spans="1:11" ht="25.5" x14ac:dyDescent="0.25">
      <c r="A712" s="1527"/>
      <c r="B712" s="1770" t="s">
        <v>9421</v>
      </c>
      <c r="C712" s="1747" t="s">
        <v>9023</v>
      </c>
      <c r="D712" s="1772">
        <v>1</v>
      </c>
      <c r="E712" s="1748">
        <v>450000</v>
      </c>
      <c r="F712" s="1777">
        <v>1</v>
      </c>
      <c r="G712" s="1783">
        <f>+F712*E712</f>
        <v>450000</v>
      </c>
      <c r="H712" s="1524"/>
      <c r="J712" s="1637"/>
      <c r="K712" s="1637"/>
    </row>
    <row r="713" spans="1:11" x14ac:dyDescent="0.25">
      <c r="A713" s="1527"/>
      <c r="B713" s="1540"/>
      <c r="C713" s="1537"/>
      <c r="D713" s="212"/>
      <c r="E713" s="1535" t="s">
        <v>7182</v>
      </c>
      <c r="F713" s="1537"/>
      <c r="G713" s="1572" t="s">
        <v>7182</v>
      </c>
      <c r="H713" s="1524"/>
      <c r="J713" s="1637"/>
      <c r="K713" s="1637"/>
    </row>
    <row r="714" spans="1:11" x14ac:dyDescent="0.25">
      <c r="A714" s="1527"/>
      <c r="B714" s="1540"/>
      <c r="C714" s="1537"/>
      <c r="D714" s="212"/>
      <c r="E714" s="1535" t="s">
        <v>7182</v>
      </c>
      <c r="F714" s="1537"/>
      <c r="G714" s="1572" t="s">
        <v>7182</v>
      </c>
      <c r="H714" s="1524"/>
      <c r="J714" s="1637"/>
      <c r="K714" s="1637"/>
    </row>
    <row r="715" spans="1:11" ht="15.75" thickBot="1" x14ac:dyDescent="0.3">
      <c r="A715" s="1527"/>
      <c r="B715" s="1540"/>
      <c r="C715" s="1537"/>
      <c r="D715" s="212"/>
      <c r="E715" s="1535" t="s">
        <v>7182</v>
      </c>
      <c r="F715" s="1537"/>
      <c r="G715" s="1572" t="s">
        <v>7182</v>
      </c>
      <c r="H715" s="1524"/>
      <c r="J715" s="1637"/>
      <c r="K715" s="1637"/>
    </row>
    <row r="716" spans="1:11" ht="15.75" thickBot="1" x14ac:dyDescent="0.3">
      <c r="A716" s="1527"/>
      <c r="B716" s="1555"/>
      <c r="C716" s="1556"/>
      <c r="D716" s="956"/>
      <c r="E716" s="1556" t="s">
        <v>7182</v>
      </c>
      <c r="F716" s="1557"/>
      <c r="G716" s="1558" t="s">
        <v>7182</v>
      </c>
      <c r="H716" s="1546">
        <f>SUM(G712:G716)</f>
        <v>450000</v>
      </c>
      <c r="J716" s="1637"/>
      <c r="K716" s="1637"/>
    </row>
    <row r="717" spans="1:11" ht="15.75" thickBot="1" x14ac:dyDescent="0.3">
      <c r="A717" s="1527"/>
      <c r="B717" s="1547"/>
      <c r="C717" s="1547"/>
      <c r="D717" s="954"/>
      <c r="E717" s="1547"/>
      <c r="F717" s="1553"/>
      <c r="G717" s="1554"/>
      <c r="H717" s="1550"/>
      <c r="J717" s="1637"/>
      <c r="K717" s="1637"/>
    </row>
    <row r="718" spans="1:11" ht="15.75" thickBot="1" x14ac:dyDescent="0.3">
      <c r="A718" s="1559"/>
      <c r="B718" s="1369" t="s">
        <v>5412</v>
      </c>
      <c r="C718" s="1363" t="s">
        <v>5420</v>
      </c>
      <c r="D718" s="1120" t="s">
        <v>5421</v>
      </c>
      <c r="E718" s="1363" t="s">
        <v>7187</v>
      </c>
      <c r="F718" s="1363" t="s">
        <v>5405</v>
      </c>
      <c r="G718" s="1370" t="s">
        <v>7179</v>
      </c>
      <c r="H718" s="1371"/>
      <c r="J718" s="1637"/>
      <c r="K718" s="1637"/>
    </row>
    <row r="719" spans="1:11" x14ac:dyDescent="0.25">
      <c r="A719" s="1527"/>
      <c r="B719" s="1560" t="s">
        <v>9451</v>
      </c>
      <c r="C719" s="1569">
        <v>170000</v>
      </c>
      <c r="D719" s="1569">
        <v>102000</v>
      </c>
      <c r="E719" s="1569">
        <f>C719+D719</f>
        <v>272000</v>
      </c>
      <c r="F719" s="819">
        <v>7</v>
      </c>
      <c r="G719" s="818">
        <f>E719*F719</f>
        <v>1904000</v>
      </c>
      <c r="H719" s="1524"/>
    </row>
    <row r="720" spans="1:11" x14ac:dyDescent="0.25">
      <c r="A720" s="1527"/>
      <c r="B720" s="1560"/>
      <c r="C720" s="1569"/>
      <c r="D720" s="1569"/>
      <c r="E720" s="1569"/>
      <c r="F720" s="819"/>
      <c r="G720" s="818"/>
      <c r="H720" s="1524"/>
    </row>
    <row r="721" spans="1:11" x14ac:dyDescent="0.25">
      <c r="A721" s="1527"/>
      <c r="B721" s="1561"/>
      <c r="C721" s="1569"/>
      <c r="D721" s="1569"/>
      <c r="E721" s="1569"/>
      <c r="F721" s="817"/>
      <c r="G721" s="818"/>
      <c r="H721" s="1524"/>
    </row>
    <row r="722" spans="1:11" x14ac:dyDescent="0.25">
      <c r="A722" s="1527"/>
      <c r="B722" s="1540"/>
      <c r="C722" s="1569"/>
      <c r="D722" s="1569"/>
      <c r="E722" s="1569"/>
      <c r="F722" s="817"/>
      <c r="G722" s="818"/>
      <c r="H722" s="1524"/>
    </row>
    <row r="723" spans="1:11" x14ac:dyDescent="0.25">
      <c r="A723" s="1527"/>
      <c r="B723" s="1540"/>
      <c r="C723" s="1538" t="s">
        <v>7182</v>
      </c>
      <c r="D723" s="952" t="s">
        <v>7182</v>
      </c>
      <c r="E723" s="1538" t="s">
        <v>7182</v>
      </c>
      <c r="F723" s="817"/>
      <c r="G723" s="818" t="str">
        <f>IF(B723="","",E723/F723)</f>
        <v/>
      </c>
      <c r="H723" s="1524"/>
    </row>
    <row r="724" spans="1:11" ht="15.75" thickBot="1" x14ac:dyDescent="0.3">
      <c r="A724" s="1527"/>
      <c r="B724" s="1540"/>
      <c r="C724" s="1538" t="s">
        <v>7182</v>
      </c>
      <c r="D724" s="952" t="s">
        <v>7182</v>
      </c>
      <c r="E724" s="1538" t="s">
        <v>7182</v>
      </c>
      <c r="F724" s="1537"/>
      <c r="G724" s="818" t="str">
        <f>IF(B724="","",E724/F724)</f>
        <v/>
      </c>
      <c r="H724" s="1524"/>
    </row>
    <row r="725" spans="1:11" ht="15.75" thickBot="1" x14ac:dyDescent="0.3">
      <c r="A725" s="1527"/>
      <c r="B725" s="1555"/>
      <c r="C725" s="1556"/>
      <c r="D725" s="956"/>
      <c r="E725" s="1556"/>
      <c r="F725" s="1557"/>
      <c r="G725" s="1558"/>
      <c r="H725" s="1546">
        <f>SUM(G719:G725)</f>
        <v>1904000</v>
      </c>
    </row>
    <row r="726" spans="1:11" ht="15.75" thickBot="1" x14ac:dyDescent="0.3">
      <c r="A726" s="1527"/>
      <c r="B726" s="1527"/>
      <c r="C726" s="1527"/>
      <c r="D726" s="529"/>
      <c r="F726" s="1528"/>
      <c r="G726" s="1524"/>
      <c r="H726" s="1524"/>
    </row>
    <row r="727" spans="1:11" ht="15.75" thickBot="1" x14ac:dyDescent="0.3">
      <c r="A727" s="1647" t="s">
        <v>6744</v>
      </c>
      <c r="B727" s="1352"/>
      <c r="C727" s="1352"/>
      <c r="D727" s="1671"/>
      <c r="E727" s="1672"/>
      <c r="F727" s="1353"/>
      <c r="G727" s="1527" t="s">
        <v>5415</v>
      </c>
      <c r="H727" s="502">
        <f>ROUND(SUM(H685:H726),0)</f>
        <v>45442797</v>
      </c>
      <c r="J727" s="1673">
        <f>+B681</f>
        <v>10.149999999999997</v>
      </c>
      <c r="K727" s="1674">
        <f>+H727</f>
        <v>45442797</v>
      </c>
    </row>
    <row r="728" spans="1:11" x14ac:dyDescent="0.25">
      <c r="A728" s="1675"/>
      <c r="B728" s="1676"/>
      <c r="C728" s="1676"/>
      <c r="D728" s="1677"/>
      <c r="E728" s="1678"/>
      <c r="F728" s="1679"/>
      <c r="G728" s="1680"/>
      <c r="H728" s="1680"/>
    </row>
    <row r="729" spans="1:11" ht="18.75" x14ac:dyDescent="0.25">
      <c r="A729" s="1523"/>
      <c r="B729" s="1655"/>
      <c r="C729" s="1655"/>
      <c r="D729" s="950"/>
      <c r="E729" s="1655"/>
      <c r="F729" s="1655"/>
      <c r="G729" s="1655"/>
      <c r="H729" s="8"/>
    </row>
    <row r="730" spans="1:11" x14ac:dyDescent="0.25">
      <c r="A730" s="1523"/>
      <c r="B730" s="8"/>
      <c r="C730" s="8"/>
      <c r="D730" s="529"/>
      <c r="E730" s="8"/>
      <c r="F730" s="1523"/>
      <c r="G730" s="1524"/>
      <c r="H730" s="8"/>
    </row>
    <row r="731" spans="1:11" ht="27" customHeight="1" x14ac:dyDescent="0.25">
      <c r="A731" s="1665" t="s">
        <v>3</v>
      </c>
      <c r="B731" s="1666">
        <f>+VLOOKUP(C731,ListaAPUs!$B:$E,4,FALSE)</f>
        <v>10.159999999999997</v>
      </c>
      <c r="C731" s="2441" t="str">
        <f>+ListaAPUs!B216</f>
        <v>ACCESORIOS, CABLEADO, SPT Y MANTENIMIENTO  Tablero 3Ø tipo linea de 24 circuitos con espacio para totalizador industrial  (iluminacion y tomas) (T-B) Ver Diagrama Unifilar.</v>
      </c>
      <c r="D731" s="2441"/>
      <c r="E731" s="2441"/>
      <c r="F731" s="1665" t="s">
        <v>867</v>
      </c>
      <c r="G731" s="1390" t="str">
        <f>+VLOOKUP(C731,ListaAPUs!$B:$E,2,FALSE)</f>
        <v>un</v>
      </c>
      <c r="H731" s="1524"/>
    </row>
    <row r="732" spans="1:11" x14ac:dyDescent="0.25">
      <c r="A732" s="1528"/>
      <c r="B732" s="1527"/>
      <c r="C732" s="1527"/>
      <c r="D732" s="529"/>
      <c r="E732" s="1527"/>
      <c r="F732" s="1528"/>
      <c r="G732" s="1524"/>
      <c r="H732" s="1524"/>
    </row>
    <row r="733" spans="1:11" x14ac:dyDescent="0.25">
      <c r="A733" s="1528"/>
      <c r="B733" s="1527"/>
      <c r="C733" s="1527"/>
      <c r="D733" s="529"/>
      <c r="E733" s="1527"/>
      <c r="F733" s="1528"/>
      <c r="G733" s="1529"/>
      <c r="H733" s="1524"/>
    </row>
    <row r="734" spans="1:11" ht="15.75" thickBot="1" x14ac:dyDescent="0.3">
      <c r="A734" s="1528"/>
      <c r="B734" s="1527"/>
      <c r="C734" s="1527"/>
      <c r="D734" s="529"/>
      <c r="E734" s="1527"/>
      <c r="F734" s="1528"/>
      <c r="G734" s="1524"/>
      <c r="H734" s="1524"/>
    </row>
    <row r="735" spans="1:11" ht="15.75" thickBot="1" x14ac:dyDescent="0.3">
      <c r="A735" s="1368"/>
      <c r="B735" s="1369" t="s">
        <v>5403</v>
      </c>
      <c r="C735" s="1363" t="s">
        <v>867</v>
      </c>
      <c r="D735" s="1120" t="s">
        <v>6</v>
      </c>
      <c r="E735" s="1363" t="s">
        <v>9417</v>
      </c>
      <c r="F735" s="1363" t="s">
        <v>5405</v>
      </c>
      <c r="G735" s="1370" t="s">
        <v>7179</v>
      </c>
      <c r="H735" s="1371"/>
      <c r="J735" s="1637"/>
      <c r="K735" s="1637"/>
    </row>
    <row r="736" spans="1:11" ht="25.5" x14ac:dyDescent="0.25">
      <c r="A736" s="1528"/>
      <c r="B736" s="1667" t="s">
        <v>9597</v>
      </c>
      <c r="C736" s="1537" t="s">
        <v>5424</v>
      </c>
      <c r="D736" s="212">
        <v>1</v>
      </c>
      <c r="E736" s="1535">
        <v>455700</v>
      </c>
      <c r="F736" s="1563"/>
      <c r="G736" s="1572">
        <f t="shared" ref="G736:G737" si="6">D736*E736</f>
        <v>455700</v>
      </c>
      <c r="H736" s="1524"/>
      <c r="J736" s="1637"/>
      <c r="K736" s="1637"/>
    </row>
    <row r="737" spans="1:11" x14ac:dyDescent="0.25">
      <c r="A737" s="1528"/>
      <c r="B737" s="1667" t="s">
        <v>9598</v>
      </c>
      <c r="C737" s="1537" t="s">
        <v>5424</v>
      </c>
      <c r="D737" s="212">
        <v>1</v>
      </c>
      <c r="E737" s="1535">
        <v>255200</v>
      </c>
      <c r="F737" s="1563"/>
      <c r="G737" s="1572">
        <f t="shared" si="6"/>
        <v>255200</v>
      </c>
      <c r="H737" s="1524"/>
      <c r="J737" s="1637"/>
      <c r="K737" s="1637"/>
    </row>
    <row r="738" spans="1:11" x14ac:dyDescent="0.25">
      <c r="A738" s="1528"/>
      <c r="B738" s="1667"/>
      <c r="C738" s="1537"/>
      <c r="D738" s="212"/>
      <c r="E738" s="816"/>
      <c r="F738" s="1563"/>
      <c r="G738" s="814"/>
      <c r="H738" s="1524"/>
      <c r="J738" s="1637"/>
      <c r="K738" s="1637"/>
    </row>
    <row r="739" spans="1:11" x14ac:dyDescent="0.25">
      <c r="A739" s="1528"/>
      <c r="B739" s="1667"/>
      <c r="C739" s="1537"/>
      <c r="D739" s="212"/>
      <c r="E739" s="816"/>
      <c r="F739" s="1563"/>
      <c r="G739" s="814"/>
      <c r="H739" s="1524"/>
      <c r="J739" s="1637"/>
      <c r="K739" s="1637"/>
    </row>
    <row r="740" spans="1:11" x14ac:dyDescent="0.25">
      <c r="A740" s="1528"/>
      <c r="B740" s="1667"/>
      <c r="C740" s="1537"/>
      <c r="D740" s="212"/>
      <c r="E740" s="816"/>
      <c r="F740" s="1563"/>
      <c r="G740" s="814"/>
      <c r="H740" s="1524"/>
      <c r="J740" s="1637"/>
      <c r="K740" s="1637"/>
    </row>
    <row r="741" spans="1:11" x14ac:dyDescent="0.25">
      <c r="A741" s="1528"/>
      <c r="B741" s="1667"/>
      <c r="C741" s="1537"/>
      <c r="D741" s="212"/>
      <c r="E741" s="816"/>
      <c r="F741" s="1563"/>
      <c r="G741" s="814"/>
      <c r="H741" s="1524"/>
      <c r="J741" s="1637"/>
      <c r="K741" s="1637"/>
    </row>
    <row r="742" spans="1:11" x14ac:dyDescent="0.25">
      <c r="A742" s="1528"/>
      <c r="B742" s="1667"/>
      <c r="C742" s="1537"/>
      <c r="D742" s="212"/>
      <c r="E742" s="816"/>
      <c r="F742" s="1563"/>
      <c r="G742" s="814"/>
      <c r="H742" s="1524"/>
      <c r="J742" s="1637"/>
      <c r="K742" s="1637"/>
    </row>
    <row r="743" spans="1:11" x14ac:dyDescent="0.25">
      <c r="A743" s="1528"/>
      <c r="B743" s="1667"/>
      <c r="C743" s="1537"/>
      <c r="D743" s="212"/>
      <c r="E743" s="816"/>
      <c r="F743" s="1563"/>
      <c r="G743" s="814"/>
      <c r="H743" s="1524"/>
      <c r="J743" s="1637"/>
      <c r="K743" s="1637"/>
    </row>
    <row r="744" spans="1:11" x14ac:dyDescent="0.25">
      <c r="A744" s="1528"/>
      <c r="B744" s="1667"/>
      <c r="C744" s="1537"/>
      <c r="D744" s="212"/>
      <c r="E744" s="816"/>
      <c r="F744" s="1563"/>
      <c r="G744" s="814"/>
      <c r="H744" s="1524"/>
      <c r="J744" s="1637"/>
      <c r="K744" s="1637"/>
    </row>
    <row r="745" spans="1:11" x14ac:dyDescent="0.25">
      <c r="A745" s="1528"/>
      <c r="B745" s="1667"/>
      <c r="C745" s="1537"/>
      <c r="D745" s="212"/>
      <c r="E745" s="816"/>
      <c r="F745" s="1563"/>
      <c r="G745" s="814"/>
      <c r="H745" s="1524"/>
      <c r="J745" s="1637"/>
      <c r="K745" s="1637"/>
    </row>
    <row r="746" spans="1:11" x14ac:dyDescent="0.25">
      <c r="A746" s="1528"/>
      <c r="B746" s="1667"/>
      <c r="C746" s="1537"/>
      <c r="D746" s="212"/>
      <c r="E746" s="816"/>
      <c r="F746" s="1563"/>
      <c r="G746" s="814"/>
      <c r="H746" s="1524"/>
      <c r="J746" s="1637"/>
      <c r="K746" s="1637"/>
    </row>
    <row r="747" spans="1:11" x14ac:dyDescent="0.25">
      <c r="A747" s="1528"/>
      <c r="B747" s="269"/>
      <c r="C747" s="1537"/>
      <c r="D747" s="212"/>
      <c r="E747" s="816"/>
      <c r="F747" s="1563"/>
      <c r="G747" s="814"/>
      <c r="H747" s="1524"/>
      <c r="J747" s="1637"/>
      <c r="K747" s="1637"/>
    </row>
    <row r="748" spans="1:11" x14ac:dyDescent="0.25">
      <c r="A748" s="1528"/>
      <c r="B748" s="268"/>
      <c r="C748" s="1534"/>
      <c r="D748" s="211"/>
      <c r="E748" s="1535" t="s">
        <v>7182</v>
      </c>
      <c r="F748" s="1551"/>
      <c r="G748" s="1541" t="s">
        <v>7182</v>
      </c>
      <c r="H748" s="1524"/>
      <c r="J748" s="1637"/>
      <c r="K748" s="1637"/>
    </row>
    <row r="749" spans="1:11" x14ac:dyDescent="0.25">
      <c r="A749" s="1528"/>
      <c r="B749" s="1346"/>
      <c r="C749" s="1534"/>
      <c r="D749" s="211"/>
      <c r="E749" s="1535" t="s">
        <v>7182</v>
      </c>
      <c r="F749" s="1551"/>
      <c r="G749" s="1541" t="s">
        <v>7182</v>
      </c>
      <c r="H749" s="1524"/>
      <c r="J749" s="1637"/>
      <c r="K749" s="1637"/>
    </row>
    <row r="750" spans="1:11" ht="15.75" thickBot="1" x14ac:dyDescent="0.3">
      <c r="A750" s="1528"/>
      <c r="B750" s="1540"/>
      <c r="C750" s="1537"/>
      <c r="D750" s="952"/>
      <c r="E750" s="1538" t="s">
        <v>7182</v>
      </c>
      <c r="F750" s="1537"/>
      <c r="G750" s="1541" t="s">
        <v>7182</v>
      </c>
      <c r="H750" s="1524"/>
      <c r="J750" s="1637"/>
      <c r="K750" s="1637"/>
    </row>
    <row r="751" spans="1:11" ht="15.75" thickBot="1" x14ac:dyDescent="0.3">
      <c r="A751" s="1528"/>
      <c r="B751" s="1555"/>
      <c r="C751" s="1557"/>
      <c r="D751" s="956"/>
      <c r="E751" s="1556" t="s">
        <v>7182</v>
      </c>
      <c r="F751" s="1557"/>
      <c r="G751" s="1558" t="s">
        <v>7182</v>
      </c>
      <c r="H751" s="1546">
        <f>SUM(G736:G751)</f>
        <v>710900</v>
      </c>
      <c r="J751" s="1637"/>
      <c r="K751" s="1637"/>
    </row>
    <row r="752" spans="1:11" x14ac:dyDescent="0.25">
      <c r="A752" s="1528"/>
      <c r="B752" s="1372"/>
      <c r="C752" s="1374"/>
      <c r="D752" s="1373"/>
      <c r="E752" s="1372" t="s">
        <v>7182</v>
      </c>
      <c r="F752" s="1374"/>
      <c r="G752" s="1375" t="s">
        <v>7182</v>
      </c>
      <c r="H752" s="1550"/>
      <c r="J752" s="1637"/>
      <c r="K752" s="1637"/>
    </row>
    <row r="753" spans="1:11" ht="15.75" thickBot="1" x14ac:dyDescent="0.3">
      <c r="A753" s="1527"/>
      <c r="B753" s="188"/>
      <c r="C753" s="189"/>
      <c r="D753" s="1668"/>
      <c r="E753" s="188"/>
      <c r="F753" s="189"/>
      <c r="G753" s="1669"/>
      <c r="H753" s="1550"/>
      <c r="J753" s="1637"/>
      <c r="K753" s="1637"/>
    </row>
    <row r="754" spans="1:11" ht="15.75" thickBot="1" x14ac:dyDescent="0.3">
      <c r="A754" s="1527"/>
      <c r="B754" s="1366" t="s">
        <v>9418</v>
      </c>
      <c r="C754" s="1363" t="s">
        <v>867</v>
      </c>
      <c r="D754" s="1120" t="s">
        <v>6</v>
      </c>
      <c r="E754" s="1363" t="s">
        <v>7183</v>
      </c>
      <c r="F754" s="1363" t="s">
        <v>5405</v>
      </c>
      <c r="G754" s="1365" t="s">
        <v>7179</v>
      </c>
      <c r="H754" s="1524"/>
      <c r="J754" s="1637"/>
      <c r="K754" s="1637"/>
    </row>
    <row r="755" spans="1:11" x14ac:dyDescent="0.25">
      <c r="A755" s="1527"/>
      <c r="B755" s="1752" t="s">
        <v>5440</v>
      </c>
      <c r="C755" s="1749" t="s">
        <v>5</v>
      </c>
      <c r="D755" s="1771">
        <v>1</v>
      </c>
      <c r="E755" s="1748">
        <v>1488</v>
      </c>
      <c r="F755" s="1776">
        <v>4</v>
      </c>
      <c r="G755" s="1783">
        <f>D755*E755*F755</f>
        <v>5952</v>
      </c>
      <c r="H755" s="1524"/>
      <c r="J755" s="1637"/>
      <c r="K755" s="1637"/>
    </row>
    <row r="756" spans="1:11" x14ac:dyDescent="0.25">
      <c r="A756" s="1527"/>
      <c r="B756" s="1752"/>
      <c r="C756" s="1749"/>
      <c r="D756" s="1773"/>
      <c r="E756" s="1748" t="s">
        <v>7182</v>
      </c>
      <c r="F756" s="1749"/>
      <c r="G756" s="1783" t="s">
        <v>7182</v>
      </c>
      <c r="H756" s="1524"/>
      <c r="J756" s="1637"/>
      <c r="K756" s="1637"/>
    </row>
    <row r="757" spans="1:11" x14ac:dyDescent="0.25">
      <c r="A757" s="1527"/>
      <c r="B757" s="1540"/>
      <c r="C757" s="1537"/>
      <c r="D757" s="1567"/>
      <c r="E757" s="1535"/>
      <c r="F757" s="1537"/>
      <c r="G757" s="1572"/>
      <c r="H757" s="1524"/>
      <c r="J757" s="1637"/>
      <c r="K757" s="1637"/>
    </row>
    <row r="758" spans="1:11" ht="15.75" thickBot="1" x14ac:dyDescent="0.3">
      <c r="A758" s="1527"/>
      <c r="B758" s="1540"/>
      <c r="C758" s="1537"/>
      <c r="D758" s="212"/>
      <c r="E758" s="1535" t="s">
        <v>7182</v>
      </c>
      <c r="F758" s="1537"/>
      <c r="G758" s="1572" t="s">
        <v>7182</v>
      </c>
      <c r="H758" s="1524"/>
      <c r="J758" s="1637"/>
      <c r="K758" s="1637"/>
    </row>
    <row r="759" spans="1:11" ht="15.75" thickBot="1" x14ac:dyDescent="0.3">
      <c r="A759" s="1527"/>
      <c r="B759" s="1555"/>
      <c r="C759" s="1556"/>
      <c r="D759" s="956"/>
      <c r="E759" s="1556" t="s">
        <v>7182</v>
      </c>
      <c r="F759" s="1557"/>
      <c r="G759" s="1558" t="s">
        <v>7182</v>
      </c>
      <c r="H759" s="1546">
        <f>SUM(G755:G759)</f>
        <v>5952</v>
      </c>
      <c r="J759" s="1637"/>
      <c r="K759" s="1637"/>
    </row>
    <row r="760" spans="1:11" ht="15.75" thickBot="1" x14ac:dyDescent="0.3">
      <c r="A760" s="1527"/>
      <c r="B760" s="1376"/>
      <c r="C760" s="1353"/>
      <c r="D760" s="1355"/>
      <c r="E760" s="1352"/>
      <c r="F760" s="1377"/>
      <c r="G760" s="1378"/>
      <c r="H760" s="1524"/>
      <c r="J760" s="1637"/>
      <c r="K760" s="1637"/>
    </row>
    <row r="761" spans="1:11" ht="15.75" thickBot="1" x14ac:dyDescent="0.3">
      <c r="A761" s="1527"/>
      <c r="B761" s="1366" t="s">
        <v>5410</v>
      </c>
      <c r="C761" s="1363" t="s">
        <v>867</v>
      </c>
      <c r="D761" s="1120" t="s">
        <v>6</v>
      </c>
      <c r="E761" s="1363" t="s">
        <v>7183</v>
      </c>
      <c r="F761" s="1363" t="s">
        <v>5405</v>
      </c>
      <c r="G761" s="1365" t="s">
        <v>7179</v>
      </c>
      <c r="H761" s="1524"/>
      <c r="J761" s="1637"/>
      <c r="K761" s="1637"/>
    </row>
    <row r="762" spans="1:11" ht="25.5" x14ac:dyDescent="0.25">
      <c r="A762" s="1527"/>
      <c r="B762" s="1770" t="s">
        <v>9421</v>
      </c>
      <c r="C762" s="1747" t="s">
        <v>9023</v>
      </c>
      <c r="D762" s="1772">
        <v>1</v>
      </c>
      <c r="E762" s="1748">
        <v>450000</v>
      </c>
      <c r="F762" s="1777">
        <v>0.1</v>
      </c>
      <c r="G762" s="1783">
        <f>+F762*E762</f>
        <v>45000</v>
      </c>
      <c r="H762" s="1524"/>
      <c r="J762" s="1637"/>
      <c r="K762" s="1637"/>
    </row>
    <row r="763" spans="1:11" x14ac:dyDescent="0.25">
      <c r="A763" s="1527"/>
      <c r="B763" s="1540"/>
      <c r="C763" s="1537"/>
      <c r="D763" s="212"/>
      <c r="E763" s="1535" t="s">
        <v>7182</v>
      </c>
      <c r="F763" s="1537"/>
      <c r="G763" s="1572" t="s">
        <v>7182</v>
      </c>
      <c r="H763" s="1524"/>
      <c r="J763" s="1637"/>
      <c r="K763" s="1637"/>
    </row>
    <row r="764" spans="1:11" x14ac:dyDescent="0.25">
      <c r="A764" s="1527"/>
      <c r="B764" s="1540"/>
      <c r="C764" s="1537"/>
      <c r="D764" s="212"/>
      <c r="E764" s="1535" t="s">
        <v>7182</v>
      </c>
      <c r="F764" s="1537"/>
      <c r="G764" s="1572" t="s">
        <v>7182</v>
      </c>
      <c r="H764" s="1524"/>
      <c r="J764" s="1637"/>
      <c r="K764" s="1637"/>
    </row>
    <row r="765" spans="1:11" ht="15.75" thickBot="1" x14ac:dyDescent="0.3">
      <c r="A765" s="1527"/>
      <c r="B765" s="1540"/>
      <c r="C765" s="1537"/>
      <c r="D765" s="212"/>
      <c r="E765" s="1535" t="s">
        <v>7182</v>
      </c>
      <c r="F765" s="1537"/>
      <c r="G765" s="1572" t="s">
        <v>7182</v>
      </c>
      <c r="H765" s="1524"/>
      <c r="J765" s="1637"/>
      <c r="K765" s="1637"/>
    </row>
    <row r="766" spans="1:11" ht="15.75" thickBot="1" x14ac:dyDescent="0.3">
      <c r="A766" s="1527"/>
      <c r="B766" s="1555"/>
      <c r="C766" s="1556"/>
      <c r="D766" s="956"/>
      <c r="E766" s="1556" t="s">
        <v>7182</v>
      </c>
      <c r="F766" s="1557"/>
      <c r="G766" s="1558" t="s">
        <v>7182</v>
      </c>
      <c r="H766" s="1546">
        <f>SUM(G762:G766)</f>
        <v>45000</v>
      </c>
      <c r="J766" s="1637"/>
      <c r="K766" s="1637"/>
    </row>
    <row r="767" spans="1:11" ht="15.75" thickBot="1" x14ac:dyDescent="0.3">
      <c r="A767" s="1527"/>
      <c r="B767" s="1547"/>
      <c r="C767" s="1547"/>
      <c r="D767" s="954"/>
      <c r="E767" s="1547"/>
      <c r="F767" s="1553"/>
      <c r="G767" s="1554"/>
      <c r="H767" s="1550"/>
    </row>
    <row r="768" spans="1:11" ht="15.75" thickBot="1" x14ac:dyDescent="0.3">
      <c r="A768" s="1559"/>
      <c r="B768" s="1369" t="s">
        <v>5412</v>
      </c>
      <c r="C768" s="1363" t="s">
        <v>5420</v>
      </c>
      <c r="D768" s="1120" t="s">
        <v>5421</v>
      </c>
      <c r="E768" s="1363" t="s">
        <v>7187</v>
      </c>
      <c r="F768" s="1363" t="s">
        <v>5405</v>
      </c>
      <c r="G768" s="1370" t="s">
        <v>7179</v>
      </c>
      <c r="H768" s="1371"/>
    </row>
    <row r="769" spans="1:11" x14ac:dyDescent="0.25">
      <c r="A769" s="1527"/>
      <c r="B769" s="1560" t="s">
        <v>9451</v>
      </c>
      <c r="C769" s="1569">
        <v>170000</v>
      </c>
      <c r="D769" s="1569">
        <v>102000</v>
      </c>
      <c r="E769" s="1569">
        <f>C769+D769</f>
        <v>272000</v>
      </c>
      <c r="F769" s="790">
        <v>1</v>
      </c>
      <c r="G769" s="818">
        <f>E769*F769</f>
        <v>272000</v>
      </c>
      <c r="H769" s="1524"/>
    </row>
    <row r="770" spans="1:11" x14ac:dyDescent="0.25">
      <c r="A770" s="1527"/>
      <c r="B770" s="1560"/>
      <c r="C770" s="1569"/>
      <c r="D770" s="1569"/>
      <c r="E770" s="1569"/>
      <c r="F770" s="819"/>
      <c r="G770" s="818"/>
      <c r="H770" s="1524"/>
    </row>
    <row r="771" spans="1:11" x14ac:dyDescent="0.25">
      <c r="A771" s="1527"/>
      <c r="B771" s="1561"/>
      <c r="C771" s="1569"/>
      <c r="D771" s="1569"/>
      <c r="E771" s="1569"/>
      <c r="F771" s="817"/>
      <c r="G771" s="818"/>
      <c r="H771" s="1524"/>
    </row>
    <row r="772" spans="1:11" x14ac:dyDescent="0.25">
      <c r="A772" s="1527"/>
      <c r="B772" s="1540"/>
      <c r="C772" s="1569"/>
      <c r="D772" s="1569"/>
      <c r="E772" s="1569"/>
      <c r="F772" s="817"/>
      <c r="G772" s="818"/>
      <c r="H772" s="1524"/>
    </row>
    <row r="773" spans="1:11" x14ac:dyDescent="0.25">
      <c r="A773" s="1527"/>
      <c r="B773" s="1540"/>
      <c r="C773" s="1538" t="s">
        <v>7182</v>
      </c>
      <c r="D773" s="952" t="s">
        <v>7182</v>
      </c>
      <c r="E773" s="1538" t="s">
        <v>7182</v>
      </c>
      <c r="F773" s="817"/>
      <c r="G773" s="818" t="str">
        <f>IF(B773="","",E773/F773)</f>
        <v/>
      </c>
      <c r="H773" s="1524"/>
    </row>
    <row r="774" spans="1:11" ht="15.75" thickBot="1" x14ac:dyDescent="0.3">
      <c r="A774" s="1527"/>
      <c r="B774" s="1540"/>
      <c r="C774" s="1538" t="s">
        <v>7182</v>
      </c>
      <c r="D774" s="952" t="s">
        <v>7182</v>
      </c>
      <c r="E774" s="1538" t="s">
        <v>7182</v>
      </c>
      <c r="F774" s="1537"/>
      <c r="G774" s="818" t="str">
        <f>IF(B774="","",E774/F774)</f>
        <v/>
      </c>
      <c r="H774" s="1524"/>
    </row>
    <row r="775" spans="1:11" ht="15.75" thickBot="1" x14ac:dyDescent="0.3">
      <c r="A775" s="1527"/>
      <c r="B775" s="1555"/>
      <c r="C775" s="1556"/>
      <c r="D775" s="956"/>
      <c r="E775" s="1556"/>
      <c r="F775" s="1557"/>
      <c r="G775" s="1558"/>
      <c r="H775" s="1546">
        <f>SUM(G769:G775)</f>
        <v>272000</v>
      </c>
    </row>
    <row r="776" spans="1:11" ht="15.75" thickBot="1" x14ac:dyDescent="0.3">
      <c r="A776" s="1527"/>
      <c r="B776" s="1527"/>
      <c r="C776" s="1527"/>
      <c r="D776" s="529"/>
      <c r="F776" s="1528"/>
      <c r="G776" s="1524"/>
      <c r="H776" s="1524"/>
    </row>
    <row r="777" spans="1:11" ht="15.75" thickBot="1" x14ac:dyDescent="0.3">
      <c r="A777" s="1647" t="s">
        <v>6744</v>
      </c>
      <c r="B777" s="1352"/>
      <c r="C777" s="1352"/>
      <c r="D777" s="1671"/>
      <c r="E777" s="1672"/>
      <c r="F777" s="1353"/>
      <c r="G777" s="1527" t="s">
        <v>5415</v>
      </c>
      <c r="H777" s="502">
        <f>ROUND(SUM(H735:H776),0)</f>
        <v>1033852</v>
      </c>
      <c r="J777" s="1673">
        <f>+B731</f>
        <v>10.159999999999997</v>
      </c>
      <c r="K777" s="1674">
        <f>+H777</f>
        <v>1033852</v>
      </c>
    </row>
    <row r="778" spans="1:11" x14ac:dyDescent="0.25">
      <c r="A778" s="1675"/>
      <c r="B778" s="1676"/>
      <c r="C778" s="1676"/>
      <c r="D778" s="1677"/>
      <c r="E778" s="1678"/>
      <c r="F778" s="1679"/>
      <c r="G778" s="1680"/>
      <c r="H778" s="1680"/>
    </row>
    <row r="779" spans="1:11" ht="18.75" x14ac:dyDescent="0.25">
      <c r="A779" s="1523"/>
      <c r="B779" s="1655"/>
      <c r="C779" s="1655"/>
      <c r="D779" s="950"/>
      <c r="E779" s="1655"/>
      <c r="F779" s="1655"/>
      <c r="G779" s="1655"/>
      <c r="H779" s="8"/>
    </row>
    <row r="780" spans="1:11" x14ac:dyDescent="0.25">
      <c r="A780" s="1523"/>
      <c r="B780" s="8"/>
      <c r="C780" s="8"/>
      <c r="D780" s="529"/>
      <c r="E780" s="8"/>
      <c r="F780" s="1523"/>
      <c r="G780" s="1524"/>
      <c r="H780" s="8"/>
    </row>
    <row r="781" spans="1:11" ht="27" customHeight="1" x14ac:dyDescent="0.25">
      <c r="A781" s="1665" t="s">
        <v>3</v>
      </c>
      <c r="B781" s="1666">
        <f>+VLOOKUP(C781,ListaAPUs!$B:$E,4,FALSE)</f>
        <v>10.169999999999996</v>
      </c>
      <c r="C781" s="2441" t="str">
        <f>+ListaAPUs!B217</f>
        <v>Tablero 3Ø tipo linea de 12 circuitos .</v>
      </c>
      <c r="D781" s="2441"/>
      <c r="E781" s="2441"/>
      <c r="F781" s="1665" t="s">
        <v>867</v>
      </c>
      <c r="G781" s="1390" t="str">
        <f>+VLOOKUP(C781,ListaAPUs!$B:$E,2,FALSE)</f>
        <v>un</v>
      </c>
      <c r="H781" s="1524"/>
    </row>
    <row r="782" spans="1:11" x14ac:dyDescent="0.25">
      <c r="A782" s="1528"/>
      <c r="B782" s="1527"/>
      <c r="C782" s="1527"/>
      <c r="D782" s="529"/>
      <c r="E782" s="1527"/>
      <c r="F782" s="1528"/>
      <c r="G782" s="1524"/>
      <c r="H782" s="1524"/>
    </row>
    <row r="783" spans="1:11" x14ac:dyDescent="0.25">
      <c r="A783" s="1528"/>
      <c r="B783" s="1527"/>
      <c r="C783" s="1527"/>
      <c r="D783" s="529"/>
      <c r="E783" s="1527"/>
      <c r="F783" s="1528"/>
      <c r="G783" s="1529"/>
      <c r="H783" s="1524"/>
      <c r="J783" s="1637"/>
      <c r="K783" s="1637"/>
    </row>
    <row r="784" spans="1:11" ht="15.75" thickBot="1" x14ac:dyDescent="0.3">
      <c r="A784" s="1528"/>
      <c r="B784" s="1527"/>
      <c r="C784" s="1527"/>
      <c r="D784" s="529"/>
      <c r="E784" s="1527"/>
      <c r="F784" s="1528"/>
      <c r="G784" s="1524"/>
      <c r="H784" s="1524"/>
      <c r="J784" s="1637"/>
      <c r="K784" s="1637"/>
    </row>
    <row r="785" spans="1:11" ht="15.75" thickBot="1" x14ac:dyDescent="0.3">
      <c r="A785" s="1368"/>
      <c r="B785" s="1369" t="s">
        <v>5403</v>
      </c>
      <c r="C785" s="1363" t="s">
        <v>867</v>
      </c>
      <c r="D785" s="1120" t="s">
        <v>6</v>
      </c>
      <c r="E785" s="1363" t="s">
        <v>9417</v>
      </c>
      <c r="F785" s="1363" t="s">
        <v>5405</v>
      </c>
      <c r="G785" s="1370" t="s">
        <v>7179</v>
      </c>
      <c r="H785" s="1371"/>
      <c r="J785" s="1637"/>
      <c r="K785" s="1637"/>
    </row>
    <row r="786" spans="1:11" ht="25.5" x14ac:dyDescent="0.25">
      <c r="A786" s="1528"/>
      <c r="B786" s="1533" t="s">
        <v>9599</v>
      </c>
      <c r="C786" s="1348" t="s">
        <v>5424</v>
      </c>
      <c r="D786" s="967">
        <v>1</v>
      </c>
      <c r="E786" s="1349">
        <v>319800</v>
      </c>
      <c r="F786" s="1350"/>
      <c r="G786" s="1351">
        <v>319800</v>
      </c>
      <c r="H786" s="1524"/>
      <c r="J786" s="1637"/>
      <c r="K786" s="1637"/>
    </row>
    <row r="787" spans="1:11" x14ac:dyDescent="0.25">
      <c r="A787" s="1528"/>
      <c r="B787" s="1539" t="s">
        <v>9598</v>
      </c>
      <c r="C787" s="1537" t="s">
        <v>5424</v>
      </c>
      <c r="D787" s="212">
        <v>1</v>
      </c>
      <c r="E787" s="816">
        <v>255200</v>
      </c>
      <c r="F787" s="1563"/>
      <c r="G787" s="814">
        <v>255200</v>
      </c>
      <c r="H787" s="1524"/>
      <c r="J787" s="1637"/>
      <c r="K787" s="1637"/>
    </row>
    <row r="788" spans="1:11" x14ac:dyDescent="0.25">
      <c r="A788" s="1528"/>
      <c r="B788" s="1667"/>
      <c r="C788" s="1537"/>
      <c r="D788" s="212"/>
      <c r="E788" s="816"/>
      <c r="F788" s="1563"/>
      <c r="G788" s="814"/>
      <c r="H788" s="1524"/>
      <c r="J788" s="1637"/>
      <c r="K788" s="1637"/>
    </row>
    <row r="789" spans="1:11" x14ac:dyDescent="0.25">
      <c r="A789" s="1528"/>
      <c r="B789" s="1667"/>
      <c r="C789" s="1537"/>
      <c r="D789" s="212"/>
      <c r="E789" s="816"/>
      <c r="F789" s="1563"/>
      <c r="G789" s="814"/>
      <c r="H789" s="1524"/>
      <c r="J789" s="1637"/>
      <c r="K789" s="1637"/>
    </row>
    <row r="790" spans="1:11" x14ac:dyDescent="0.25">
      <c r="A790" s="1528"/>
      <c r="B790" s="1667"/>
      <c r="C790" s="1537"/>
      <c r="D790" s="212"/>
      <c r="E790" s="816"/>
      <c r="F790" s="1563"/>
      <c r="G790" s="814"/>
      <c r="H790" s="1524"/>
      <c r="J790" s="1637"/>
      <c r="K790" s="1637"/>
    </row>
    <row r="791" spans="1:11" x14ac:dyDescent="0.25">
      <c r="A791" s="1528"/>
      <c r="B791" s="1667"/>
      <c r="C791" s="1537"/>
      <c r="D791" s="212"/>
      <c r="E791" s="816"/>
      <c r="F791" s="1563"/>
      <c r="G791" s="814"/>
      <c r="H791" s="1524"/>
      <c r="J791" s="1637"/>
      <c r="K791" s="1637"/>
    </row>
    <row r="792" spans="1:11" x14ac:dyDescent="0.25">
      <c r="A792" s="1528"/>
      <c r="B792" s="1667"/>
      <c r="C792" s="1537"/>
      <c r="D792" s="212"/>
      <c r="E792" s="816"/>
      <c r="F792" s="1563"/>
      <c r="G792" s="814"/>
      <c r="H792" s="1524"/>
      <c r="J792" s="1637"/>
      <c r="K792" s="1637"/>
    </row>
    <row r="793" spans="1:11" x14ac:dyDescent="0.25">
      <c r="A793" s="1528"/>
      <c r="B793" s="1667"/>
      <c r="C793" s="1537"/>
      <c r="D793" s="212"/>
      <c r="E793" s="816"/>
      <c r="F793" s="1563"/>
      <c r="G793" s="814"/>
      <c r="H793" s="1524"/>
      <c r="J793" s="1637"/>
      <c r="K793" s="1637"/>
    </row>
    <row r="794" spans="1:11" x14ac:dyDescent="0.25">
      <c r="A794" s="1528"/>
      <c r="B794" s="1667"/>
      <c r="C794" s="1537"/>
      <c r="D794" s="212"/>
      <c r="E794" s="816"/>
      <c r="F794" s="1563"/>
      <c r="G794" s="814"/>
      <c r="H794" s="1524"/>
      <c r="J794" s="1637"/>
      <c r="K794" s="1637"/>
    </row>
    <row r="795" spans="1:11" x14ac:dyDescent="0.25">
      <c r="A795" s="1528"/>
      <c r="B795" s="1667"/>
      <c r="C795" s="1537"/>
      <c r="D795" s="212"/>
      <c r="E795" s="816"/>
      <c r="F795" s="1563"/>
      <c r="G795" s="814"/>
      <c r="H795" s="1524"/>
      <c r="J795" s="1637"/>
      <c r="K795" s="1637"/>
    </row>
    <row r="796" spans="1:11" x14ac:dyDescent="0.25">
      <c r="A796" s="1528"/>
      <c r="B796" s="1667"/>
      <c r="C796" s="1537"/>
      <c r="D796" s="212"/>
      <c r="E796" s="816"/>
      <c r="F796" s="1563"/>
      <c r="G796" s="814"/>
      <c r="H796" s="1524"/>
      <c r="J796" s="1637"/>
      <c r="K796" s="1637"/>
    </row>
    <row r="797" spans="1:11" x14ac:dyDescent="0.25">
      <c r="A797" s="1528"/>
      <c r="B797" s="269"/>
      <c r="C797" s="1537"/>
      <c r="D797" s="212"/>
      <c r="E797" s="816"/>
      <c r="F797" s="1563"/>
      <c r="G797" s="814"/>
      <c r="H797" s="1524"/>
      <c r="J797" s="1637"/>
      <c r="K797" s="1637"/>
    </row>
    <row r="798" spans="1:11" x14ac:dyDescent="0.25">
      <c r="A798" s="1528"/>
      <c r="B798" s="268"/>
      <c r="C798" s="1534"/>
      <c r="D798" s="211"/>
      <c r="E798" s="1535" t="s">
        <v>7182</v>
      </c>
      <c r="F798" s="1551"/>
      <c r="G798" s="1541" t="s">
        <v>7182</v>
      </c>
      <c r="H798" s="1524"/>
      <c r="J798" s="1637"/>
      <c r="K798" s="1637"/>
    </row>
    <row r="799" spans="1:11" x14ac:dyDescent="0.25">
      <c r="A799" s="1528"/>
      <c r="B799" s="1346"/>
      <c r="C799" s="1534"/>
      <c r="D799" s="211"/>
      <c r="E799" s="1535" t="s">
        <v>7182</v>
      </c>
      <c r="F799" s="1551"/>
      <c r="G799" s="1541" t="s">
        <v>7182</v>
      </c>
      <c r="H799" s="1524"/>
      <c r="J799" s="1637"/>
      <c r="K799" s="1637"/>
    </row>
    <row r="800" spans="1:11" ht="15.75" thickBot="1" x14ac:dyDescent="0.3">
      <c r="A800" s="1528"/>
      <c r="B800" s="1540"/>
      <c r="C800" s="1537"/>
      <c r="D800" s="952"/>
      <c r="E800" s="1538" t="s">
        <v>7182</v>
      </c>
      <c r="F800" s="1537"/>
      <c r="G800" s="1541" t="s">
        <v>7182</v>
      </c>
      <c r="H800" s="1524"/>
      <c r="J800" s="1637"/>
      <c r="K800" s="1637"/>
    </row>
    <row r="801" spans="1:11" ht="15.75" thickBot="1" x14ac:dyDescent="0.3">
      <c r="A801" s="1528"/>
      <c r="B801" s="1555"/>
      <c r="C801" s="1557"/>
      <c r="D801" s="956"/>
      <c r="E801" s="1556" t="s">
        <v>7182</v>
      </c>
      <c r="F801" s="1557"/>
      <c r="G801" s="1558" t="s">
        <v>7182</v>
      </c>
      <c r="H801" s="1546">
        <f>SUM(G786:G801)</f>
        <v>575000</v>
      </c>
      <c r="J801" s="1637"/>
      <c r="K801" s="1637"/>
    </row>
    <row r="802" spans="1:11" x14ac:dyDescent="0.25">
      <c r="A802" s="1528"/>
      <c r="B802" s="1372"/>
      <c r="C802" s="1374"/>
      <c r="D802" s="1373"/>
      <c r="E802" s="1372" t="s">
        <v>7182</v>
      </c>
      <c r="F802" s="1374"/>
      <c r="G802" s="1375" t="s">
        <v>7182</v>
      </c>
      <c r="H802" s="1550"/>
      <c r="J802" s="1637"/>
      <c r="K802" s="1637"/>
    </row>
    <row r="803" spans="1:11" ht="15.75" thickBot="1" x14ac:dyDescent="0.3">
      <c r="A803" s="1527"/>
      <c r="B803" s="188"/>
      <c r="C803" s="189"/>
      <c r="D803" s="1668"/>
      <c r="E803" s="188"/>
      <c r="F803" s="189"/>
      <c r="G803" s="1669"/>
      <c r="H803" s="1550"/>
      <c r="J803" s="1637"/>
      <c r="K803" s="1637"/>
    </row>
    <row r="804" spans="1:11" ht="15.75" thickBot="1" x14ac:dyDescent="0.3">
      <c r="A804" s="1527"/>
      <c r="B804" s="1366" t="s">
        <v>9418</v>
      </c>
      <c r="C804" s="1363" t="s">
        <v>867</v>
      </c>
      <c r="D804" s="1120" t="s">
        <v>6</v>
      </c>
      <c r="E804" s="1363" t="s">
        <v>7183</v>
      </c>
      <c r="F804" s="1363" t="s">
        <v>5405</v>
      </c>
      <c r="G804" s="1365" t="s">
        <v>7179</v>
      </c>
      <c r="H804" s="1524"/>
      <c r="J804" s="1637"/>
      <c r="K804" s="1637"/>
    </row>
    <row r="805" spans="1:11" x14ac:dyDescent="0.25">
      <c r="A805" s="1527"/>
      <c r="B805" s="1752" t="s">
        <v>5440</v>
      </c>
      <c r="C805" s="1749" t="s">
        <v>5</v>
      </c>
      <c r="D805" s="1771">
        <v>1</v>
      </c>
      <c r="E805" s="1748">
        <v>1488</v>
      </c>
      <c r="F805" s="1776">
        <v>4</v>
      </c>
      <c r="G805" s="1783">
        <f>D805*E805*F805</f>
        <v>5952</v>
      </c>
      <c r="H805" s="1524"/>
      <c r="J805" s="1637"/>
      <c r="K805" s="1637"/>
    </row>
    <row r="806" spans="1:11" x14ac:dyDescent="0.25">
      <c r="A806" s="1527"/>
      <c r="B806" s="1562"/>
      <c r="C806" s="1537"/>
      <c r="D806" s="212"/>
      <c r="E806" s="1535"/>
      <c r="F806" s="1537"/>
      <c r="G806" s="1572"/>
      <c r="H806" s="1524"/>
      <c r="J806" s="1637"/>
      <c r="K806" s="1637"/>
    </row>
    <row r="807" spans="1:11" x14ac:dyDescent="0.25">
      <c r="A807" s="1527"/>
      <c r="B807" s="1540"/>
      <c r="C807" s="1537"/>
      <c r="D807" s="1567"/>
      <c r="E807" s="1535"/>
      <c r="F807" s="1537"/>
      <c r="G807" s="1572"/>
      <c r="H807" s="1524"/>
      <c r="J807" s="1637"/>
      <c r="K807" s="1637"/>
    </row>
    <row r="808" spans="1:11" ht="15.75" thickBot="1" x14ac:dyDescent="0.3">
      <c r="A808" s="1527"/>
      <c r="B808" s="1540"/>
      <c r="C808" s="1537"/>
      <c r="D808" s="212"/>
      <c r="E808" s="1535" t="s">
        <v>7182</v>
      </c>
      <c r="F808" s="1537"/>
      <c r="G808" s="1572" t="s">
        <v>7182</v>
      </c>
      <c r="H808" s="1524"/>
      <c r="J808" s="1637"/>
      <c r="K808" s="1637"/>
    </row>
    <row r="809" spans="1:11" ht="15.75" thickBot="1" x14ac:dyDescent="0.3">
      <c r="A809" s="1527"/>
      <c r="B809" s="1555"/>
      <c r="C809" s="1556"/>
      <c r="D809" s="956"/>
      <c r="E809" s="1556" t="s">
        <v>7182</v>
      </c>
      <c r="F809" s="1557"/>
      <c r="G809" s="1558" t="s">
        <v>7182</v>
      </c>
      <c r="H809" s="1546">
        <f>SUM(G805:G809)</f>
        <v>5952</v>
      </c>
      <c r="J809" s="1637"/>
      <c r="K809" s="1637"/>
    </row>
    <row r="810" spans="1:11" ht="15.75" thickBot="1" x14ac:dyDescent="0.3">
      <c r="A810" s="1527"/>
      <c r="B810" s="1376"/>
      <c r="C810" s="1353"/>
      <c r="D810" s="1355"/>
      <c r="E810" s="1352"/>
      <c r="F810" s="1377"/>
      <c r="G810" s="1378"/>
      <c r="H810" s="1524"/>
      <c r="J810" s="1637"/>
      <c r="K810" s="1637"/>
    </row>
    <row r="811" spans="1:11" ht="15.75" thickBot="1" x14ac:dyDescent="0.3">
      <c r="A811" s="1527"/>
      <c r="B811" s="1366" t="s">
        <v>5410</v>
      </c>
      <c r="C811" s="1363" t="s">
        <v>867</v>
      </c>
      <c r="D811" s="1120" t="s">
        <v>6</v>
      </c>
      <c r="E811" s="1363" t="s">
        <v>7183</v>
      </c>
      <c r="F811" s="1363" t="s">
        <v>5405</v>
      </c>
      <c r="G811" s="1365" t="s">
        <v>7179</v>
      </c>
      <c r="H811" s="1524"/>
      <c r="J811" s="1637"/>
      <c r="K811" s="1637"/>
    </row>
    <row r="812" spans="1:11" ht="25.5" x14ac:dyDescent="0.25">
      <c r="A812" s="1527"/>
      <c r="B812" s="1770" t="s">
        <v>9421</v>
      </c>
      <c r="C812" s="1747" t="s">
        <v>9023</v>
      </c>
      <c r="D812" s="1772">
        <v>1</v>
      </c>
      <c r="E812" s="1748">
        <v>450000</v>
      </c>
      <c r="F812" s="1777">
        <v>0.1</v>
      </c>
      <c r="G812" s="1783">
        <f>+F812*E812</f>
        <v>45000</v>
      </c>
      <c r="H812" s="1524"/>
      <c r="J812" s="1637"/>
      <c r="K812" s="1637"/>
    </row>
    <row r="813" spans="1:11" x14ac:dyDescent="0.25">
      <c r="A813" s="1527"/>
      <c r="B813" s="1540"/>
      <c r="C813" s="1537"/>
      <c r="D813" s="212"/>
      <c r="E813" s="1535" t="s">
        <v>7182</v>
      </c>
      <c r="F813" s="1537"/>
      <c r="G813" s="1572" t="s">
        <v>7182</v>
      </c>
      <c r="H813" s="1524"/>
      <c r="J813" s="1637"/>
      <c r="K813" s="1637"/>
    </row>
    <row r="814" spans="1:11" x14ac:dyDescent="0.25">
      <c r="A814" s="1527"/>
      <c r="B814" s="1540"/>
      <c r="C814" s="1537"/>
      <c r="D814" s="212"/>
      <c r="E814" s="1535" t="s">
        <v>7182</v>
      </c>
      <c r="F814" s="1537"/>
      <c r="G814" s="1572" t="s">
        <v>7182</v>
      </c>
      <c r="H814" s="1524"/>
      <c r="J814" s="1637"/>
      <c r="K814" s="1637"/>
    </row>
    <row r="815" spans="1:11" ht="15.75" thickBot="1" x14ac:dyDescent="0.3">
      <c r="A815" s="1527"/>
      <c r="B815" s="1540"/>
      <c r="C815" s="1537"/>
      <c r="D815" s="212"/>
      <c r="E815" s="1535" t="s">
        <v>7182</v>
      </c>
      <c r="F815" s="1537"/>
      <c r="G815" s="1572" t="s">
        <v>7182</v>
      </c>
      <c r="H815" s="1524"/>
    </row>
    <row r="816" spans="1:11" ht="15.75" thickBot="1" x14ac:dyDescent="0.3">
      <c r="A816" s="1527"/>
      <c r="B816" s="1555"/>
      <c r="C816" s="1556"/>
      <c r="D816" s="956"/>
      <c r="E816" s="1556" t="s">
        <v>7182</v>
      </c>
      <c r="F816" s="1557"/>
      <c r="G816" s="1558" t="s">
        <v>7182</v>
      </c>
      <c r="H816" s="1546">
        <f>SUM(G812:G816)</f>
        <v>45000</v>
      </c>
    </row>
    <row r="817" spans="1:11" ht="15.75" thickBot="1" x14ac:dyDescent="0.3">
      <c r="A817" s="1527"/>
      <c r="B817" s="1547"/>
      <c r="C817" s="1547"/>
      <c r="D817" s="954"/>
      <c r="E817" s="1547"/>
      <c r="F817" s="1553"/>
      <c r="G817" s="1554"/>
      <c r="H817" s="1550"/>
    </row>
    <row r="818" spans="1:11" ht="15.75" thickBot="1" x14ac:dyDescent="0.3">
      <c r="A818" s="1559"/>
      <c r="B818" s="1369" t="s">
        <v>5412</v>
      </c>
      <c r="C818" s="1363" t="s">
        <v>5420</v>
      </c>
      <c r="D818" s="1120" t="s">
        <v>5421</v>
      </c>
      <c r="E818" s="1363" t="s">
        <v>7187</v>
      </c>
      <c r="F818" s="1363" t="s">
        <v>5405</v>
      </c>
      <c r="G818" s="1370" t="s">
        <v>7179</v>
      </c>
      <c r="H818" s="1371"/>
    </row>
    <row r="819" spans="1:11" x14ac:dyDescent="0.25">
      <c r="A819" s="1527"/>
      <c r="B819" s="1560" t="s">
        <v>9451</v>
      </c>
      <c r="C819" s="1569">
        <v>170000</v>
      </c>
      <c r="D819" s="1569">
        <v>102000</v>
      </c>
      <c r="E819" s="1569">
        <f>C819+D819</f>
        <v>272000</v>
      </c>
      <c r="F819" s="790">
        <v>1</v>
      </c>
      <c r="G819" s="818">
        <f>E819*F819</f>
        <v>272000</v>
      </c>
      <c r="H819" s="1524"/>
    </row>
    <row r="820" spans="1:11" x14ac:dyDescent="0.25">
      <c r="A820" s="1527"/>
      <c r="B820" s="1560"/>
      <c r="C820" s="1569"/>
      <c r="D820" s="1569"/>
      <c r="E820" s="1569"/>
      <c r="F820" s="819"/>
      <c r="G820" s="818"/>
      <c r="H820" s="1524"/>
    </row>
    <row r="821" spans="1:11" x14ac:dyDescent="0.25">
      <c r="A821" s="1527"/>
      <c r="B821" s="1561"/>
      <c r="C821" s="1569"/>
      <c r="D821" s="1569"/>
      <c r="E821" s="1569"/>
      <c r="F821" s="817"/>
      <c r="G821" s="818"/>
      <c r="H821" s="1524"/>
    </row>
    <row r="822" spans="1:11" x14ac:dyDescent="0.25">
      <c r="A822" s="1527"/>
      <c r="B822" s="1540"/>
      <c r="C822" s="1569"/>
      <c r="D822" s="1569"/>
      <c r="E822" s="1569"/>
      <c r="F822" s="817"/>
      <c r="G822" s="818"/>
      <c r="H822" s="1524"/>
    </row>
    <row r="823" spans="1:11" x14ac:dyDescent="0.25">
      <c r="A823" s="1527"/>
      <c r="B823" s="1540"/>
      <c r="C823" s="1538" t="s">
        <v>7182</v>
      </c>
      <c r="D823" s="952" t="s">
        <v>7182</v>
      </c>
      <c r="E823" s="1538" t="s">
        <v>7182</v>
      </c>
      <c r="F823" s="817"/>
      <c r="G823" s="818" t="str">
        <f>IF(B823="","",E823/F823)</f>
        <v/>
      </c>
      <c r="H823" s="1524"/>
    </row>
    <row r="824" spans="1:11" ht="15.75" thickBot="1" x14ac:dyDescent="0.3">
      <c r="A824" s="1527"/>
      <c r="B824" s="1540"/>
      <c r="C824" s="1538" t="s">
        <v>7182</v>
      </c>
      <c r="D824" s="952" t="s">
        <v>7182</v>
      </c>
      <c r="E824" s="1538" t="s">
        <v>7182</v>
      </c>
      <c r="F824" s="1537"/>
      <c r="G824" s="818" t="str">
        <f>IF(B824="","",E824/F824)</f>
        <v/>
      </c>
      <c r="H824" s="1524"/>
    </row>
    <row r="825" spans="1:11" ht="15.75" thickBot="1" x14ac:dyDescent="0.3">
      <c r="A825" s="1527"/>
      <c r="B825" s="1555"/>
      <c r="C825" s="1556"/>
      <c r="D825" s="956"/>
      <c r="E825" s="1556"/>
      <c r="F825" s="1557"/>
      <c r="G825" s="1558"/>
      <c r="H825" s="1546">
        <f>SUM(G819:G825)</f>
        <v>272000</v>
      </c>
    </row>
    <row r="826" spans="1:11" ht="15.75" thickBot="1" x14ac:dyDescent="0.3">
      <c r="A826" s="1527"/>
      <c r="B826" s="1527"/>
      <c r="C826" s="1527"/>
      <c r="D826" s="529"/>
      <c r="F826" s="1528"/>
      <c r="G826" s="1524"/>
      <c r="H826" s="1524"/>
    </row>
    <row r="827" spans="1:11" ht="15.75" thickBot="1" x14ac:dyDescent="0.3">
      <c r="A827" s="1647" t="s">
        <v>6744</v>
      </c>
      <c r="B827" s="1352"/>
      <c r="C827" s="1352"/>
      <c r="D827" s="1671"/>
      <c r="E827" s="1672"/>
      <c r="F827" s="1353"/>
      <c r="G827" s="1527" t="s">
        <v>5415</v>
      </c>
      <c r="H827" s="502">
        <f>ROUND(SUM(H785:H826),0)</f>
        <v>897952</v>
      </c>
      <c r="J827" s="1673">
        <f>+B781</f>
        <v>10.169999999999996</v>
      </c>
      <c r="K827" s="1674">
        <f>+H827</f>
        <v>897952</v>
      </c>
    </row>
    <row r="828" spans="1:11" x14ac:dyDescent="0.25">
      <c r="A828" s="1675"/>
      <c r="B828" s="1676"/>
      <c r="C828" s="1676"/>
      <c r="D828" s="1677"/>
      <c r="E828" s="1678"/>
      <c r="F828" s="1679"/>
      <c r="G828" s="1680"/>
      <c r="H828" s="1680"/>
    </row>
    <row r="829" spans="1:11" ht="18.75" x14ac:dyDescent="0.25">
      <c r="A829" s="1523"/>
      <c r="B829" s="1655"/>
      <c r="C829" s="1655"/>
      <c r="D829" s="950"/>
      <c r="E829" s="1655"/>
      <c r="F829" s="1655"/>
      <c r="G829" s="1655"/>
      <c r="H829" s="8"/>
    </row>
    <row r="830" spans="1:11" x14ac:dyDescent="0.25">
      <c r="A830" s="1523"/>
      <c r="B830" s="8"/>
      <c r="C830" s="8"/>
      <c r="D830" s="529"/>
      <c r="E830" s="8"/>
      <c r="F830" s="1523"/>
      <c r="G830" s="1524"/>
      <c r="H830" s="8"/>
    </row>
    <row r="831" spans="1:11" ht="27" customHeight="1" x14ac:dyDescent="0.25">
      <c r="A831" s="1665" t="s">
        <v>3</v>
      </c>
      <c r="B831" s="1666">
        <f>+VLOOKUP(C831,ListaAPUs!$B:$E,4,FALSE)</f>
        <v>10.179999999999996</v>
      </c>
      <c r="C831" s="2441" t="str">
        <f>+ListaAPUs!B218</f>
        <v>Acometida parcial de transformador a Interruptor totalizador en ducto de barras capacidad 4.000 amp, 2300 Vac, 65 KA.</v>
      </c>
      <c r="D831" s="2441"/>
      <c r="E831" s="2441"/>
      <c r="F831" s="1665" t="s">
        <v>867</v>
      </c>
      <c r="G831" s="1390" t="str">
        <f>+VLOOKUP(C831,ListaAPUs!$B:$E,2,FALSE)</f>
        <v>m</v>
      </c>
      <c r="H831" s="1524"/>
    </row>
    <row r="832" spans="1:11" x14ac:dyDescent="0.25">
      <c r="A832" s="1528"/>
      <c r="B832" s="1527"/>
      <c r="C832" s="1527"/>
      <c r="D832" s="529"/>
      <c r="E832" s="1527"/>
      <c r="F832" s="1528"/>
      <c r="G832" s="1524"/>
      <c r="H832" s="1524"/>
      <c r="J832" s="1637"/>
      <c r="K832" s="1637"/>
    </row>
    <row r="833" spans="1:11" x14ac:dyDescent="0.25">
      <c r="A833" s="1528"/>
      <c r="B833" s="1527"/>
      <c r="C833" s="1527"/>
      <c r="D833" s="529"/>
      <c r="E833" s="1527"/>
      <c r="F833" s="1528"/>
      <c r="G833" s="1529"/>
      <c r="H833" s="1524"/>
      <c r="J833" s="1637"/>
      <c r="K833" s="1637"/>
    </row>
    <row r="834" spans="1:11" ht="15.75" thickBot="1" x14ac:dyDescent="0.3">
      <c r="A834" s="1528"/>
      <c r="B834" s="1527"/>
      <c r="C834" s="1527"/>
      <c r="D834" s="529"/>
      <c r="E834" s="1527"/>
      <c r="F834" s="1528"/>
      <c r="G834" s="1524"/>
      <c r="H834" s="1524"/>
      <c r="J834" s="1637"/>
      <c r="K834" s="1637"/>
    </row>
    <row r="835" spans="1:11" ht="15.75" thickBot="1" x14ac:dyDescent="0.3">
      <c r="A835" s="1368"/>
      <c r="B835" s="1369" t="s">
        <v>5403</v>
      </c>
      <c r="C835" s="1363" t="s">
        <v>867</v>
      </c>
      <c r="D835" s="1120" t="s">
        <v>6</v>
      </c>
      <c r="E835" s="1363" t="s">
        <v>9417</v>
      </c>
      <c r="F835" s="1363" t="s">
        <v>5405</v>
      </c>
      <c r="G835" s="1370" t="s">
        <v>7179</v>
      </c>
      <c r="H835" s="1371"/>
      <c r="J835" s="1637"/>
      <c r="K835" s="1637"/>
    </row>
    <row r="836" spans="1:11" x14ac:dyDescent="0.25">
      <c r="A836" s="1528"/>
      <c r="B836" s="1667" t="s">
        <v>9467</v>
      </c>
      <c r="C836" s="1537" t="s">
        <v>9468</v>
      </c>
      <c r="D836" s="212">
        <v>0.33</v>
      </c>
      <c r="E836" s="1535">
        <v>633000</v>
      </c>
      <c r="F836" s="1563"/>
      <c r="G836" s="1541">
        <f>D836*E836</f>
        <v>208890</v>
      </c>
      <c r="H836" s="1524"/>
      <c r="J836" s="1637"/>
      <c r="K836" s="1637"/>
    </row>
    <row r="837" spans="1:11" x14ac:dyDescent="0.25">
      <c r="A837" s="1528"/>
      <c r="B837" s="1667" t="s">
        <v>9469</v>
      </c>
      <c r="C837" s="1537" t="s">
        <v>9468</v>
      </c>
      <c r="D837" s="212">
        <v>0.25</v>
      </c>
      <c r="E837" s="1535">
        <v>380000</v>
      </c>
      <c r="F837" s="1563"/>
      <c r="G837" s="1541">
        <f>D837*E837</f>
        <v>95000</v>
      </c>
      <c r="H837" s="1524"/>
      <c r="J837" s="1637"/>
      <c r="K837" s="1637"/>
    </row>
    <row r="838" spans="1:11" x14ac:dyDescent="0.25">
      <c r="A838" s="1528"/>
      <c r="B838" s="269" t="s">
        <v>9470</v>
      </c>
      <c r="C838" s="1537" t="s">
        <v>9468</v>
      </c>
      <c r="D838" s="212">
        <v>0.125</v>
      </c>
      <c r="E838" s="1535">
        <v>490000</v>
      </c>
      <c r="F838" s="1563"/>
      <c r="G838" s="1541">
        <f>D838*E838</f>
        <v>61250</v>
      </c>
      <c r="H838" s="1524"/>
      <c r="J838" s="1637"/>
      <c r="K838" s="1637"/>
    </row>
    <row r="839" spans="1:11" ht="25.5" x14ac:dyDescent="0.25">
      <c r="A839" s="1528"/>
      <c r="B839" s="268" t="s">
        <v>9471</v>
      </c>
      <c r="C839" s="1534" t="s">
        <v>9468</v>
      </c>
      <c r="D839" s="211">
        <v>0.5</v>
      </c>
      <c r="E839" s="1535">
        <v>52771</v>
      </c>
      <c r="F839" s="1551"/>
      <c r="G839" s="1541">
        <f>D839*E839</f>
        <v>26385.5</v>
      </c>
      <c r="H839" s="1524"/>
      <c r="J839" s="1637"/>
      <c r="K839" s="1637"/>
    </row>
    <row r="840" spans="1:11" ht="25.5" x14ac:dyDescent="0.25">
      <c r="A840" s="1528"/>
      <c r="B840" s="1346" t="s">
        <v>9472</v>
      </c>
      <c r="C840" s="1534" t="s">
        <v>9468</v>
      </c>
      <c r="D840" s="211">
        <v>10</v>
      </c>
      <c r="E840" s="1535">
        <v>7399</v>
      </c>
      <c r="F840" s="1551"/>
      <c r="G840" s="1541">
        <f>D840*E840</f>
        <v>73990</v>
      </c>
      <c r="H840" s="1524"/>
      <c r="J840" s="1637"/>
      <c r="K840" s="1637"/>
    </row>
    <row r="841" spans="1:11" x14ac:dyDescent="0.25">
      <c r="A841" s="1528"/>
      <c r="B841" s="1667"/>
      <c r="C841" s="1537"/>
      <c r="D841" s="212"/>
      <c r="E841" s="816"/>
      <c r="F841" s="1563"/>
      <c r="G841" s="814"/>
      <c r="H841" s="1524"/>
      <c r="J841" s="1637"/>
      <c r="K841" s="1637"/>
    </row>
    <row r="842" spans="1:11" x14ac:dyDescent="0.25">
      <c r="A842" s="1528"/>
      <c r="B842" s="1667"/>
      <c r="C842" s="1537"/>
      <c r="D842" s="212"/>
      <c r="E842" s="816"/>
      <c r="F842" s="1563"/>
      <c r="G842" s="814"/>
      <c r="H842" s="1524"/>
      <c r="J842" s="1637"/>
      <c r="K842" s="1637"/>
    </row>
    <row r="843" spans="1:11" x14ac:dyDescent="0.25">
      <c r="A843" s="1528"/>
      <c r="B843" s="1667"/>
      <c r="C843" s="1537"/>
      <c r="D843" s="212"/>
      <c r="E843" s="816"/>
      <c r="F843" s="1563"/>
      <c r="G843" s="814"/>
      <c r="H843" s="1524"/>
      <c r="J843" s="1637"/>
      <c r="K843" s="1637"/>
    </row>
    <row r="844" spans="1:11" x14ac:dyDescent="0.25">
      <c r="A844" s="1528"/>
      <c r="B844" s="1667"/>
      <c r="C844" s="1537"/>
      <c r="D844" s="212"/>
      <c r="E844" s="816"/>
      <c r="F844" s="1563"/>
      <c r="G844" s="814"/>
      <c r="H844" s="1524"/>
      <c r="J844" s="1637"/>
      <c r="K844" s="1637"/>
    </row>
    <row r="845" spans="1:11" x14ac:dyDescent="0.25">
      <c r="A845" s="1528"/>
      <c r="B845" s="1667"/>
      <c r="C845" s="1537"/>
      <c r="D845" s="212"/>
      <c r="E845" s="816"/>
      <c r="F845" s="1563"/>
      <c r="G845" s="814"/>
      <c r="H845" s="1524"/>
      <c r="J845" s="1637"/>
      <c r="K845" s="1637"/>
    </row>
    <row r="846" spans="1:11" x14ac:dyDescent="0.25">
      <c r="A846" s="1528"/>
      <c r="B846" s="1667"/>
      <c r="C846" s="1537"/>
      <c r="D846" s="212"/>
      <c r="E846" s="816"/>
      <c r="F846" s="1563"/>
      <c r="G846" s="814"/>
      <c r="H846" s="1524"/>
      <c r="J846" s="1637"/>
      <c r="K846" s="1637"/>
    </row>
    <row r="847" spans="1:11" x14ac:dyDescent="0.25">
      <c r="A847" s="1528"/>
      <c r="B847" s="269"/>
      <c r="C847" s="1537"/>
      <c r="D847" s="212"/>
      <c r="E847" s="816"/>
      <c r="F847" s="1563"/>
      <c r="G847" s="814"/>
      <c r="H847" s="1524"/>
      <c r="J847" s="1637"/>
      <c r="K847" s="1637"/>
    </row>
    <row r="848" spans="1:11" x14ac:dyDescent="0.25">
      <c r="A848" s="1528"/>
      <c r="B848" s="268"/>
      <c r="C848" s="1534"/>
      <c r="D848" s="211"/>
      <c r="E848" s="1535" t="s">
        <v>7182</v>
      </c>
      <c r="F848" s="1551"/>
      <c r="G848" s="1541" t="s">
        <v>7182</v>
      </c>
      <c r="H848" s="1524"/>
      <c r="J848" s="1637"/>
      <c r="K848" s="1637"/>
    </row>
    <row r="849" spans="1:11" x14ac:dyDescent="0.25">
      <c r="A849" s="1528"/>
      <c r="B849" s="1346"/>
      <c r="C849" s="1534"/>
      <c r="D849" s="211"/>
      <c r="E849" s="1535" t="s">
        <v>7182</v>
      </c>
      <c r="F849" s="1551"/>
      <c r="G849" s="1541" t="s">
        <v>7182</v>
      </c>
      <c r="H849" s="1524"/>
      <c r="J849" s="1637"/>
      <c r="K849" s="1637"/>
    </row>
    <row r="850" spans="1:11" ht="15.75" thickBot="1" x14ac:dyDescent="0.3">
      <c r="A850" s="1528"/>
      <c r="B850" s="1540"/>
      <c r="C850" s="1537"/>
      <c r="D850" s="952"/>
      <c r="E850" s="1538" t="s">
        <v>7182</v>
      </c>
      <c r="F850" s="1537"/>
      <c r="G850" s="1541" t="s">
        <v>7182</v>
      </c>
      <c r="H850" s="1524"/>
      <c r="J850" s="1637"/>
      <c r="K850" s="1637"/>
    </row>
    <row r="851" spans="1:11" ht="15.75" thickBot="1" x14ac:dyDescent="0.3">
      <c r="A851" s="1528"/>
      <c r="B851" s="1555"/>
      <c r="C851" s="1557"/>
      <c r="D851" s="956"/>
      <c r="E851" s="1556" t="s">
        <v>7182</v>
      </c>
      <c r="F851" s="1557"/>
      <c r="G851" s="1558" t="s">
        <v>7182</v>
      </c>
      <c r="H851" s="1546">
        <f>SUM(G836:G851)</f>
        <v>465515.5</v>
      </c>
      <c r="J851" s="1637"/>
      <c r="K851" s="1637"/>
    </row>
    <row r="852" spans="1:11" x14ac:dyDescent="0.25">
      <c r="A852" s="1528"/>
      <c r="B852" s="1372"/>
      <c r="C852" s="1374"/>
      <c r="D852" s="1373"/>
      <c r="E852" s="1372" t="s">
        <v>7182</v>
      </c>
      <c r="F852" s="1374"/>
      <c r="G852" s="1375" t="s">
        <v>7182</v>
      </c>
      <c r="H852" s="1550"/>
      <c r="J852" s="1637"/>
      <c r="K852" s="1637"/>
    </row>
    <row r="853" spans="1:11" ht="15.75" thickBot="1" x14ac:dyDescent="0.3">
      <c r="A853" s="1527"/>
      <c r="B853" s="188"/>
      <c r="C853" s="189"/>
      <c r="D853" s="1668"/>
      <c r="E853" s="188"/>
      <c r="F853" s="189"/>
      <c r="G853" s="1669"/>
      <c r="H853" s="1550"/>
      <c r="J853" s="1637"/>
      <c r="K853" s="1637"/>
    </row>
    <row r="854" spans="1:11" ht="15.75" thickBot="1" x14ac:dyDescent="0.3">
      <c r="A854" s="1527"/>
      <c r="B854" s="1366" t="s">
        <v>9418</v>
      </c>
      <c r="C854" s="1363" t="s">
        <v>867</v>
      </c>
      <c r="D854" s="1120" t="s">
        <v>6</v>
      </c>
      <c r="E854" s="1363" t="s">
        <v>7183</v>
      </c>
      <c r="F854" s="1363" t="s">
        <v>5405</v>
      </c>
      <c r="G854" s="1365" t="s">
        <v>7179</v>
      </c>
      <c r="H854" s="1524"/>
      <c r="J854" s="1637"/>
      <c r="K854" s="1637"/>
    </row>
    <row r="855" spans="1:11" x14ac:dyDescent="0.25">
      <c r="A855" s="1527"/>
      <c r="B855" s="1752" t="s">
        <v>5440</v>
      </c>
      <c r="C855" s="1749" t="s">
        <v>5</v>
      </c>
      <c r="D855" s="1771">
        <v>1</v>
      </c>
      <c r="E855" s="1748">
        <v>1488</v>
      </c>
      <c r="F855" s="1776">
        <v>4</v>
      </c>
      <c r="G855" s="1783">
        <f>D855*E855*F855</f>
        <v>5952</v>
      </c>
      <c r="H855" s="1524"/>
      <c r="J855" s="1637"/>
      <c r="K855" s="1637"/>
    </row>
    <row r="856" spans="1:11" x14ac:dyDescent="0.25">
      <c r="A856" s="1527"/>
      <c r="B856" s="1540"/>
      <c r="C856" s="1537"/>
      <c r="D856" s="212"/>
      <c r="E856" s="1535"/>
      <c r="F856" s="1537"/>
      <c r="G856" s="1572"/>
      <c r="H856" s="1524"/>
      <c r="J856" s="1637"/>
      <c r="K856" s="1637"/>
    </row>
    <row r="857" spans="1:11" x14ac:dyDescent="0.25">
      <c r="A857" s="1527"/>
      <c r="B857" s="1540"/>
      <c r="C857" s="1537"/>
      <c r="D857" s="212"/>
      <c r="E857" s="1535"/>
      <c r="F857" s="1537"/>
      <c r="G857" s="1572"/>
      <c r="H857" s="1524"/>
      <c r="J857" s="1637"/>
      <c r="K857" s="1637"/>
    </row>
    <row r="858" spans="1:11" ht="15.75" thickBot="1" x14ac:dyDescent="0.3">
      <c r="A858" s="1527"/>
      <c r="B858" s="1540"/>
      <c r="C858" s="1537"/>
      <c r="D858" s="1567"/>
      <c r="E858" s="1535"/>
      <c r="F858" s="1537"/>
      <c r="G858" s="1572"/>
      <c r="H858" s="1524"/>
      <c r="J858" s="1637"/>
      <c r="K858" s="1637"/>
    </row>
    <row r="859" spans="1:11" ht="15.75" thickBot="1" x14ac:dyDescent="0.3">
      <c r="A859" s="1527"/>
      <c r="B859" s="1683"/>
      <c r="C859" s="1361"/>
      <c r="D859" s="1684"/>
      <c r="E859" s="1359"/>
      <c r="F859" s="1685"/>
      <c r="G859" s="1558"/>
      <c r="H859" s="1546">
        <f>SUM(G855:G859)</f>
        <v>5952</v>
      </c>
      <c r="J859" s="1637"/>
      <c r="K859" s="1637"/>
    </row>
    <row r="860" spans="1:11" ht="15.75" thickBot="1" x14ac:dyDescent="0.3">
      <c r="A860" s="1527"/>
      <c r="B860" s="1376"/>
      <c r="C860" s="1353"/>
      <c r="D860" s="1355"/>
      <c r="E860" s="1352"/>
      <c r="F860" s="1377"/>
      <c r="G860" s="1378"/>
      <c r="H860" s="1524"/>
      <c r="J860" s="1637"/>
      <c r="K860" s="1637"/>
    </row>
    <row r="861" spans="1:11" ht="15.75" thickBot="1" x14ac:dyDescent="0.3">
      <c r="A861" s="1527"/>
      <c r="B861" s="1366" t="s">
        <v>5410</v>
      </c>
      <c r="C861" s="1363" t="s">
        <v>867</v>
      </c>
      <c r="D861" s="1120" t="s">
        <v>6</v>
      </c>
      <c r="E861" s="1363" t="s">
        <v>7183</v>
      </c>
      <c r="F861" s="1363" t="s">
        <v>5405</v>
      </c>
      <c r="G861" s="1365" t="s">
        <v>7179</v>
      </c>
      <c r="H861" s="1524"/>
      <c r="J861" s="1637"/>
      <c r="K861" s="1637"/>
    </row>
    <row r="862" spans="1:11" ht="25.5" x14ac:dyDescent="0.25">
      <c r="A862" s="1527"/>
      <c r="B862" s="1770" t="s">
        <v>9421</v>
      </c>
      <c r="C862" s="1747" t="s">
        <v>9023</v>
      </c>
      <c r="D862" s="1772">
        <v>1</v>
      </c>
      <c r="E862" s="1748">
        <v>450000</v>
      </c>
      <c r="F862" s="1777">
        <v>0.1</v>
      </c>
      <c r="G862" s="1783">
        <f>+F862*E862</f>
        <v>45000</v>
      </c>
      <c r="H862" s="1524"/>
      <c r="J862" s="1637"/>
      <c r="K862" s="1637"/>
    </row>
    <row r="863" spans="1:11" x14ac:dyDescent="0.25">
      <c r="A863" s="1527"/>
      <c r="B863" s="1540"/>
      <c r="C863" s="1537"/>
      <c r="D863" s="212"/>
      <c r="E863" s="1535" t="s">
        <v>7182</v>
      </c>
      <c r="F863" s="1537"/>
      <c r="G863" s="1572" t="s">
        <v>7182</v>
      </c>
      <c r="H863" s="1524"/>
    </row>
    <row r="864" spans="1:11" x14ac:dyDescent="0.25">
      <c r="A864" s="1527"/>
      <c r="B864" s="1540"/>
      <c r="C864" s="1537"/>
      <c r="D864" s="212"/>
      <c r="E864" s="1535" t="s">
        <v>7182</v>
      </c>
      <c r="F864" s="1537"/>
      <c r="G864" s="1572" t="s">
        <v>7182</v>
      </c>
      <c r="H864" s="1524"/>
    </row>
    <row r="865" spans="1:11" ht="15.75" thickBot="1" x14ac:dyDescent="0.3">
      <c r="A865" s="1527"/>
      <c r="B865" s="1540"/>
      <c r="C865" s="1537"/>
      <c r="D865" s="212"/>
      <c r="E865" s="1535" t="s">
        <v>7182</v>
      </c>
      <c r="F865" s="1537"/>
      <c r="G865" s="1572" t="s">
        <v>7182</v>
      </c>
      <c r="H865" s="1524"/>
    </row>
    <row r="866" spans="1:11" ht="15.75" thickBot="1" x14ac:dyDescent="0.3">
      <c r="A866" s="1527"/>
      <c r="B866" s="1555"/>
      <c r="C866" s="1556"/>
      <c r="D866" s="956"/>
      <c r="E866" s="1556" t="s">
        <v>7182</v>
      </c>
      <c r="F866" s="1557"/>
      <c r="G866" s="1558" t="s">
        <v>7182</v>
      </c>
      <c r="H866" s="1546">
        <f>SUM(G862:G866)</f>
        <v>45000</v>
      </c>
    </row>
    <row r="867" spans="1:11" ht="15.75" thickBot="1" x14ac:dyDescent="0.3">
      <c r="A867" s="1527"/>
      <c r="B867" s="1547"/>
      <c r="C867" s="1547"/>
      <c r="D867" s="954"/>
      <c r="E867" s="1547"/>
      <c r="F867" s="1553"/>
      <c r="G867" s="1554"/>
      <c r="H867" s="1550"/>
    </row>
    <row r="868" spans="1:11" ht="15.75" thickBot="1" x14ac:dyDescent="0.3">
      <c r="A868" s="1559"/>
      <c r="B868" s="1369" t="s">
        <v>5412</v>
      </c>
      <c r="C868" s="1363" t="s">
        <v>5420</v>
      </c>
      <c r="D868" s="1120" t="s">
        <v>5421</v>
      </c>
      <c r="E868" s="1363" t="s">
        <v>7187</v>
      </c>
      <c r="F868" s="1363" t="s">
        <v>5405</v>
      </c>
      <c r="G868" s="1370" t="s">
        <v>7179</v>
      </c>
      <c r="H868" s="1371"/>
    </row>
    <row r="869" spans="1:11" x14ac:dyDescent="0.25">
      <c r="A869" s="1527"/>
      <c r="B869" s="1560" t="s">
        <v>9451</v>
      </c>
      <c r="C869" s="1569">
        <v>170000</v>
      </c>
      <c r="D869" s="1569">
        <v>102000</v>
      </c>
      <c r="E869" s="1569">
        <f>C869+D869</f>
        <v>272000</v>
      </c>
      <c r="F869" s="819">
        <v>1.25</v>
      </c>
      <c r="G869" s="818">
        <f>E869*F869</f>
        <v>340000</v>
      </c>
      <c r="H869" s="1524"/>
    </row>
    <row r="870" spans="1:11" x14ac:dyDescent="0.25">
      <c r="A870" s="1527"/>
      <c r="B870" s="1560"/>
      <c r="C870" s="1569"/>
      <c r="D870" s="1569"/>
      <c r="E870" s="1569"/>
      <c r="F870" s="819"/>
      <c r="G870" s="818"/>
      <c r="H870" s="1524"/>
    </row>
    <row r="871" spans="1:11" x14ac:dyDescent="0.25">
      <c r="A871" s="1527"/>
      <c r="B871" s="1561"/>
      <c r="C871" s="1569"/>
      <c r="D871" s="1569"/>
      <c r="E871" s="1569"/>
      <c r="F871" s="817"/>
      <c r="G871" s="818"/>
      <c r="H871" s="1524"/>
    </row>
    <row r="872" spans="1:11" x14ac:dyDescent="0.25">
      <c r="A872" s="1527"/>
      <c r="B872" s="1540"/>
      <c r="C872" s="1569"/>
      <c r="D872" s="1569"/>
      <c r="E872" s="1569"/>
      <c r="F872" s="817"/>
      <c r="G872" s="818"/>
      <c r="H872" s="1524"/>
    </row>
    <row r="873" spans="1:11" x14ac:dyDescent="0.25">
      <c r="A873" s="1527"/>
      <c r="B873" s="1540"/>
      <c r="C873" s="1538" t="s">
        <v>7182</v>
      </c>
      <c r="D873" s="952" t="s">
        <v>7182</v>
      </c>
      <c r="E873" s="1538" t="s">
        <v>7182</v>
      </c>
      <c r="F873" s="817"/>
      <c r="G873" s="818" t="str">
        <f>IF(B873="","",E873/F873)</f>
        <v/>
      </c>
      <c r="H873" s="1524"/>
    </row>
    <row r="874" spans="1:11" ht="15.75" thickBot="1" x14ac:dyDescent="0.3">
      <c r="A874" s="1527"/>
      <c r="B874" s="1540"/>
      <c r="C874" s="1538" t="s">
        <v>7182</v>
      </c>
      <c r="D874" s="952" t="s">
        <v>7182</v>
      </c>
      <c r="E874" s="1538" t="s">
        <v>7182</v>
      </c>
      <c r="F874" s="1537"/>
      <c r="G874" s="818" t="str">
        <f>IF(B874="","",E874/F874)</f>
        <v/>
      </c>
      <c r="H874" s="1524"/>
    </row>
    <row r="875" spans="1:11" ht="15.75" thickBot="1" x14ac:dyDescent="0.3">
      <c r="A875" s="1527"/>
      <c r="B875" s="1555"/>
      <c r="C875" s="1556"/>
      <c r="D875" s="956"/>
      <c r="E875" s="1556"/>
      <c r="F875" s="1557"/>
      <c r="G875" s="1558"/>
      <c r="H875" s="1546">
        <f>SUM(G869:G875)</f>
        <v>340000</v>
      </c>
    </row>
    <row r="876" spans="1:11" ht="15.75" thickBot="1" x14ac:dyDescent="0.3">
      <c r="A876" s="1527"/>
      <c r="B876" s="1527"/>
      <c r="C876" s="1527"/>
      <c r="D876" s="529"/>
      <c r="F876" s="1528"/>
      <c r="G876" s="1524"/>
      <c r="H876" s="1524"/>
    </row>
    <row r="877" spans="1:11" ht="15.75" thickBot="1" x14ac:dyDescent="0.3">
      <c r="A877" s="1647" t="s">
        <v>6744</v>
      </c>
      <c r="B877" s="1352"/>
      <c r="C877" s="1352"/>
      <c r="D877" s="1671"/>
      <c r="E877" s="1672"/>
      <c r="F877" s="1353"/>
      <c r="G877" s="1527" t="s">
        <v>5415</v>
      </c>
      <c r="H877" s="502">
        <f>ROUND(SUM(H835:H876),0)</f>
        <v>856468</v>
      </c>
      <c r="J877" s="1673">
        <f>+B831</f>
        <v>10.179999999999996</v>
      </c>
      <c r="K877" s="1674">
        <f>+H877</f>
        <v>856468</v>
      </c>
    </row>
    <row r="878" spans="1:11" x14ac:dyDescent="0.25">
      <c r="A878" s="1675"/>
      <c r="B878" s="1676"/>
      <c r="C878" s="1676"/>
      <c r="D878" s="1677"/>
      <c r="E878" s="1678"/>
      <c r="F878" s="1679"/>
      <c r="G878" s="1680"/>
      <c r="H878" s="1680"/>
    </row>
    <row r="879" spans="1:11" ht="18.75" x14ac:dyDescent="0.25">
      <c r="A879" s="1523"/>
      <c r="B879" s="1655"/>
      <c r="C879" s="1655"/>
      <c r="D879" s="950"/>
      <c r="E879" s="1655"/>
      <c r="F879" s="1655"/>
      <c r="G879" s="1655"/>
      <c r="H879" s="8"/>
      <c r="J879" s="1637"/>
      <c r="K879" s="1637"/>
    </row>
    <row r="880" spans="1:11" x14ac:dyDescent="0.25">
      <c r="A880" s="1523"/>
      <c r="B880" s="8"/>
      <c r="C880" s="8"/>
      <c r="D880" s="529"/>
      <c r="E880" s="8"/>
      <c r="F880" s="1523"/>
      <c r="G880" s="1524"/>
      <c r="H880" s="8"/>
      <c r="J880" s="1637"/>
      <c r="K880" s="1637"/>
    </row>
    <row r="881" spans="1:11" ht="27" customHeight="1" x14ac:dyDescent="0.25">
      <c r="A881" s="1665" t="s">
        <v>3</v>
      </c>
      <c r="B881" s="1666">
        <f>+VLOOKUP(C881,ListaAPUs!$B:$E,4,FALSE)</f>
        <v>10.189999999999996</v>
      </c>
      <c r="C881" s="2441" t="str">
        <f>+ListaAPUs!B219</f>
        <v>Acometida parcial de Modulo No 1, Interruptor Ppal a transferencia Modulo 6 en 2(3X500+1X350+1X2/0T)</v>
      </c>
      <c r="D881" s="2441"/>
      <c r="E881" s="2441"/>
      <c r="F881" s="1665" t="s">
        <v>867</v>
      </c>
      <c r="G881" s="1390" t="str">
        <f>+VLOOKUP(C881,ListaAPUs!$B:$E,2,FALSE)</f>
        <v>m</v>
      </c>
      <c r="H881" s="1524"/>
    </row>
    <row r="882" spans="1:11" x14ac:dyDescent="0.25">
      <c r="A882" s="1528"/>
      <c r="B882" s="1527"/>
      <c r="C882" s="1527"/>
      <c r="D882" s="529"/>
      <c r="E882" s="1527"/>
      <c r="F882" s="1528"/>
      <c r="G882" s="1524"/>
      <c r="H882" s="1524"/>
      <c r="J882" s="1637"/>
      <c r="K882" s="1637"/>
    </row>
    <row r="883" spans="1:11" x14ac:dyDescent="0.25">
      <c r="A883" s="1528"/>
      <c r="B883" s="1527"/>
      <c r="C883" s="1527"/>
      <c r="D883" s="529"/>
      <c r="E883" s="1527"/>
      <c r="F883" s="1528"/>
      <c r="G883" s="1529"/>
      <c r="H883" s="1524"/>
      <c r="J883" s="1637"/>
      <c r="K883" s="1637"/>
    </row>
    <row r="884" spans="1:11" ht="15.75" thickBot="1" x14ac:dyDescent="0.3">
      <c r="A884" s="1528"/>
      <c r="B884" s="1527"/>
      <c r="C884" s="1527"/>
      <c r="D884" s="529"/>
      <c r="E884" s="1527"/>
      <c r="F884" s="1528"/>
      <c r="G884" s="1524"/>
      <c r="H884" s="1524"/>
      <c r="J884" s="1637"/>
      <c r="K884" s="1637"/>
    </row>
    <row r="885" spans="1:11" ht="15.75" thickBot="1" x14ac:dyDescent="0.3">
      <c r="A885" s="1368"/>
      <c r="B885" s="1369" t="s">
        <v>5403</v>
      </c>
      <c r="C885" s="1363" t="s">
        <v>867</v>
      </c>
      <c r="D885" s="1120" t="s">
        <v>6</v>
      </c>
      <c r="E885" s="1363" t="s">
        <v>9417</v>
      </c>
      <c r="F885" s="1363" t="s">
        <v>5405</v>
      </c>
      <c r="G885" s="1370" t="s">
        <v>7179</v>
      </c>
      <c r="H885" s="1371"/>
      <c r="J885" s="1637"/>
      <c r="K885" s="1637"/>
    </row>
    <row r="886" spans="1:11" ht="15.75" thickBot="1" x14ac:dyDescent="0.3">
      <c r="A886" s="1528"/>
      <c r="B886" s="1746" t="s">
        <v>9473</v>
      </c>
      <c r="C886" s="1802" t="s">
        <v>5432</v>
      </c>
      <c r="D886" s="1794">
        <v>6</v>
      </c>
      <c r="E886" s="1803">
        <v>79100</v>
      </c>
      <c r="F886" s="1804">
        <v>1.05</v>
      </c>
      <c r="G886" s="1805">
        <f>+F886*E886*D886</f>
        <v>498330</v>
      </c>
      <c r="H886" s="1524"/>
      <c r="J886" s="1637"/>
      <c r="K886" s="1637"/>
    </row>
    <row r="887" spans="1:11" ht="15.75" thickBot="1" x14ac:dyDescent="0.3">
      <c r="A887" s="1528"/>
      <c r="B887" s="1751" t="s">
        <v>9474</v>
      </c>
      <c r="C887" s="1749" t="s">
        <v>5432</v>
      </c>
      <c r="D887" s="1773">
        <v>1</v>
      </c>
      <c r="E887" s="1825">
        <v>51350</v>
      </c>
      <c r="F887" s="1804">
        <v>1.05</v>
      </c>
      <c r="G887" s="1786">
        <f>+F887*E887*D887</f>
        <v>53917.5</v>
      </c>
      <c r="H887" s="1524"/>
      <c r="J887" s="1637"/>
      <c r="K887" s="1637"/>
    </row>
    <row r="888" spans="1:11" x14ac:dyDescent="0.25">
      <c r="A888" s="1528"/>
      <c r="B888" s="1822" t="s">
        <v>9475</v>
      </c>
      <c r="C888" s="1749" t="s">
        <v>5432</v>
      </c>
      <c r="D888" s="1773">
        <v>1</v>
      </c>
      <c r="E888" s="1825">
        <v>20300</v>
      </c>
      <c r="F888" s="1804">
        <v>1.05</v>
      </c>
      <c r="G888" s="1786">
        <f>+F888*E888</f>
        <v>21315</v>
      </c>
      <c r="H888" s="1524"/>
      <c r="J888" s="1637"/>
      <c r="K888" s="1637"/>
    </row>
    <row r="889" spans="1:11" x14ac:dyDescent="0.25">
      <c r="A889" s="1528"/>
      <c r="B889" s="1751" t="s">
        <v>9476</v>
      </c>
      <c r="C889" s="1749" t="s">
        <v>5</v>
      </c>
      <c r="D889" s="1773">
        <f>12/6</f>
        <v>2</v>
      </c>
      <c r="E889" s="1825">
        <v>8000</v>
      </c>
      <c r="F889" s="1769">
        <v>1</v>
      </c>
      <c r="G889" s="1786">
        <f>+F889*E889*D889</f>
        <v>16000</v>
      </c>
      <c r="H889" s="1524"/>
      <c r="J889" s="1637"/>
      <c r="K889" s="1637"/>
    </row>
    <row r="890" spans="1:11" x14ac:dyDescent="0.25">
      <c r="A890" s="1528"/>
      <c r="B890" s="1822" t="s">
        <v>9477</v>
      </c>
      <c r="C890" s="1749" t="s">
        <v>5</v>
      </c>
      <c r="D890" s="1769">
        <f>2/6</f>
        <v>0.33333333333333331</v>
      </c>
      <c r="E890" s="1825">
        <v>4000</v>
      </c>
      <c r="F890" s="1769">
        <v>1</v>
      </c>
      <c r="G890" s="1786">
        <f>+F890*E890*D890</f>
        <v>1333.3333333333333</v>
      </c>
      <c r="H890" s="1524"/>
      <c r="J890" s="1637"/>
      <c r="K890" s="1637"/>
    </row>
    <row r="891" spans="1:11" x14ac:dyDescent="0.25">
      <c r="A891" s="1528"/>
      <c r="B891" s="1667"/>
      <c r="C891" s="1537"/>
      <c r="D891" s="212"/>
      <c r="E891" s="816"/>
      <c r="F891" s="1563"/>
      <c r="G891" s="814"/>
      <c r="H891" s="1524"/>
      <c r="J891" s="1637"/>
      <c r="K891" s="1637"/>
    </row>
    <row r="892" spans="1:11" x14ac:dyDescent="0.25">
      <c r="A892" s="1528"/>
      <c r="B892" s="1667"/>
      <c r="C892" s="1537"/>
      <c r="D892" s="212"/>
      <c r="E892" s="816"/>
      <c r="F892" s="1563"/>
      <c r="G892" s="814"/>
      <c r="H892" s="1524"/>
      <c r="J892" s="1637"/>
      <c r="K892" s="1637"/>
    </row>
    <row r="893" spans="1:11" x14ac:dyDescent="0.25">
      <c r="A893" s="1528"/>
      <c r="B893" s="1667"/>
      <c r="C893" s="1537"/>
      <c r="D893" s="212"/>
      <c r="E893" s="816"/>
      <c r="F893" s="1563"/>
      <c r="G893" s="814"/>
      <c r="H893" s="1524"/>
      <c r="J893" s="1637"/>
      <c r="K893" s="1637"/>
    </row>
    <row r="894" spans="1:11" x14ac:dyDescent="0.25">
      <c r="A894" s="1528"/>
      <c r="B894" s="1667"/>
      <c r="C894" s="1537"/>
      <c r="D894" s="212"/>
      <c r="E894" s="816"/>
      <c r="F894" s="1563"/>
      <c r="G894" s="814"/>
      <c r="H894" s="1524"/>
      <c r="J894" s="1637"/>
      <c r="K894" s="1637"/>
    </row>
    <row r="895" spans="1:11" x14ac:dyDescent="0.25">
      <c r="A895" s="1528"/>
      <c r="B895" s="1667"/>
      <c r="C895" s="1537"/>
      <c r="D895" s="212"/>
      <c r="E895" s="816"/>
      <c r="F895" s="1563"/>
      <c r="G895" s="814"/>
      <c r="H895" s="1524"/>
      <c r="J895" s="1637"/>
      <c r="K895" s="1637"/>
    </row>
    <row r="896" spans="1:11" x14ac:dyDescent="0.25">
      <c r="A896" s="1528"/>
      <c r="B896" s="1667"/>
      <c r="C896" s="1537"/>
      <c r="D896" s="212"/>
      <c r="E896" s="816"/>
      <c r="F896" s="1563"/>
      <c r="G896" s="814"/>
      <c r="H896" s="1524"/>
      <c r="J896" s="1637"/>
      <c r="K896" s="1637"/>
    </row>
    <row r="897" spans="1:11" x14ac:dyDescent="0.25">
      <c r="A897" s="1528"/>
      <c r="B897" s="269"/>
      <c r="C897" s="1537"/>
      <c r="D897" s="212"/>
      <c r="E897" s="816"/>
      <c r="F897" s="1563"/>
      <c r="G897" s="814"/>
      <c r="H897" s="1524"/>
      <c r="J897" s="1637"/>
      <c r="K897" s="1637"/>
    </row>
    <row r="898" spans="1:11" x14ac:dyDescent="0.25">
      <c r="A898" s="1528"/>
      <c r="B898" s="268"/>
      <c r="C898" s="1534"/>
      <c r="D898" s="211"/>
      <c r="E898" s="1535" t="s">
        <v>7182</v>
      </c>
      <c r="F898" s="1551"/>
      <c r="G898" s="1541" t="s">
        <v>7182</v>
      </c>
      <c r="H898" s="1524"/>
      <c r="J898" s="1637"/>
      <c r="K898" s="1637"/>
    </row>
    <row r="899" spans="1:11" x14ac:dyDescent="0.25">
      <c r="A899" s="1528"/>
      <c r="B899" s="1346"/>
      <c r="C899" s="1534"/>
      <c r="D899" s="211"/>
      <c r="E899" s="1535" t="s">
        <v>7182</v>
      </c>
      <c r="F899" s="1551"/>
      <c r="G899" s="1541" t="s">
        <v>7182</v>
      </c>
      <c r="H899" s="1524"/>
      <c r="J899" s="1637"/>
      <c r="K899" s="1637"/>
    </row>
    <row r="900" spans="1:11" ht="15.75" thickBot="1" x14ac:dyDescent="0.3">
      <c r="A900" s="1528"/>
      <c r="B900" s="1540"/>
      <c r="C900" s="1537"/>
      <c r="D900" s="952"/>
      <c r="E900" s="1538" t="s">
        <v>7182</v>
      </c>
      <c r="F900" s="1537"/>
      <c r="G900" s="1541" t="s">
        <v>7182</v>
      </c>
      <c r="H900" s="1524"/>
      <c r="J900" s="1637"/>
      <c r="K900" s="1637"/>
    </row>
    <row r="901" spans="1:11" ht="15.75" thickBot="1" x14ac:dyDescent="0.3">
      <c r="A901" s="1528"/>
      <c r="B901" s="1555"/>
      <c r="C901" s="1557"/>
      <c r="D901" s="956"/>
      <c r="E901" s="1556" t="s">
        <v>7182</v>
      </c>
      <c r="F901" s="1557"/>
      <c r="G901" s="1558" t="s">
        <v>7182</v>
      </c>
      <c r="H901" s="1546">
        <f>SUM(G886:G901)</f>
        <v>590895.83333333337</v>
      </c>
      <c r="J901" s="1637"/>
      <c r="K901" s="1637"/>
    </row>
    <row r="902" spans="1:11" x14ac:dyDescent="0.25">
      <c r="A902" s="1528"/>
      <c r="B902" s="1372"/>
      <c r="C902" s="1374"/>
      <c r="D902" s="1373"/>
      <c r="E902" s="1372" t="s">
        <v>7182</v>
      </c>
      <c r="F902" s="1374"/>
      <c r="G902" s="1375" t="s">
        <v>7182</v>
      </c>
      <c r="H902" s="1550"/>
      <c r="J902" s="1637"/>
      <c r="K902" s="1637"/>
    </row>
    <row r="903" spans="1:11" ht="15.75" thickBot="1" x14ac:dyDescent="0.3">
      <c r="A903" s="1527"/>
      <c r="B903" s="188"/>
      <c r="C903" s="189"/>
      <c r="D903" s="1668"/>
      <c r="E903" s="188"/>
      <c r="F903" s="189"/>
      <c r="G903" s="1669"/>
      <c r="H903" s="1550"/>
      <c r="J903" s="1637"/>
      <c r="K903" s="1637"/>
    </row>
    <row r="904" spans="1:11" ht="15.75" thickBot="1" x14ac:dyDescent="0.3">
      <c r="A904" s="1527"/>
      <c r="B904" s="1366" t="s">
        <v>9418</v>
      </c>
      <c r="C904" s="1363" t="s">
        <v>867</v>
      </c>
      <c r="D904" s="1120" t="s">
        <v>6</v>
      </c>
      <c r="E904" s="1363" t="s">
        <v>7183</v>
      </c>
      <c r="F904" s="1363" t="s">
        <v>5405</v>
      </c>
      <c r="G904" s="1365" t="s">
        <v>7179</v>
      </c>
      <c r="H904" s="1524"/>
      <c r="J904" s="1637"/>
      <c r="K904" s="1637"/>
    </row>
    <row r="905" spans="1:11" x14ac:dyDescent="0.25">
      <c r="A905" s="1527"/>
      <c r="B905" s="1564" t="s">
        <v>5455</v>
      </c>
      <c r="C905" s="1534" t="s">
        <v>5</v>
      </c>
      <c r="D905" s="211">
        <v>1</v>
      </c>
      <c r="E905" s="1535">
        <v>10000</v>
      </c>
      <c r="F905" s="1534">
        <v>1</v>
      </c>
      <c r="G905" s="1572">
        <f>+F905*E905</f>
        <v>10000</v>
      </c>
      <c r="H905" s="1524"/>
      <c r="J905" s="1637"/>
      <c r="K905" s="1637"/>
    </row>
    <row r="906" spans="1:11" x14ac:dyDescent="0.25">
      <c r="A906" s="1527"/>
      <c r="B906" s="1540"/>
      <c r="C906" s="1537"/>
      <c r="D906" s="212"/>
      <c r="E906" s="1535" t="s">
        <v>7182</v>
      </c>
      <c r="F906" s="1537"/>
      <c r="G906" s="1572" t="s">
        <v>7182</v>
      </c>
      <c r="H906" s="1524"/>
      <c r="J906" s="1637"/>
      <c r="K906" s="1637"/>
    </row>
    <row r="907" spans="1:11" x14ac:dyDescent="0.25">
      <c r="A907" s="1527"/>
      <c r="B907" s="1540"/>
      <c r="C907" s="1537"/>
      <c r="D907" s="212"/>
      <c r="E907" s="1535" t="s">
        <v>7182</v>
      </c>
      <c r="F907" s="1537"/>
      <c r="G907" s="1572" t="s">
        <v>7182</v>
      </c>
      <c r="H907" s="1524"/>
      <c r="J907" s="1637"/>
      <c r="K907" s="1637"/>
    </row>
    <row r="908" spans="1:11" ht="15.75" thickBot="1" x14ac:dyDescent="0.3">
      <c r="A908" s="1527"/>
      <c r="B908" s="1540"/>
      <c r="C908" s="1537"/>
      <c r="D908" s="212"/>
      <c r="E908" s="1535" t="s">
        <v>7182</v>
      </c>
      <c r="F908" s="1537"/>
      <c r="G908" s="1572" t="s">
        <v>7182</v>
      </c>
      <c r="H908" s="1524"/>
      <c r="J908" s="1637"/>
      <c r="K908" s="1637"/>
    </row>
    <row r="909" spans="1:11" ht="15.75" thickBot="1" x14ac:dyDescent="0.3">
      <c r="A909" s="1527"/>
      <c r="B909" s="1555"/>
      <c r="C909" s="1556"/>
      <c r="D909" s="956"/>
      <c r="E909" s="1556" t="s">
        <v>7182</v>
      </c>
      <c r="F909" s="1557"/>
      <c r="G909" s="1558" t="s">
        <v>7182</v>
      </c>
      <c r="H909" s="1546">
        <f>SUM(G905:G909)</f>
        <v>10000</v>
      </c>
      <c r="J909" s="1637"/>
      <c r="K909" s="1637"/>
    </row>
    <row r="910" spans="1:11" ht="15.75" thickBot="1" x14ac:dyDescent="0.3">
      <c r="A910" s="1527"/>
      <c r="B910" s="1376"/>
      <c r="C910" s="1353"/>
      <c r="D910" s="1355"/>
      <c r="E910" s="1352"/>
      <c r="F910" s="1377"/>
      <c r="G910" s="1378"/>
      <c r="H910" s="1524"/>
      <c r="J910" s="1637"/>
      <c r="K910" s="1637"/>
    </row>
    <row r="911" spans="1:11" ht="15.75" thickBot="1" x14ac:dyDescent="0.3">
      <c r="A911" s="1527"/>
      <c r="B911" s="1366" t="s">
        <v>5410</v>
      </c>
      <c r="C911" s="1363" t="s">
        <v>867</v>
      </c>
      <c r="D911" s="1120" t="s">
        <v>6</v>
      </c>
      <c r="E911" s="1363" t="s">
        <v>7183</v>
      </c>
      <c r="F911" s="1363" t="s">
        <v>5405</v>
      </c>
      <c r="G911" s="1365" t="s">
        <v>7179</v>
      </c>
      <c r="H911" s="1524"/>
      <c r="J911" s="1637"/>
      <c r="K911" s="1637"/>
    </row>
    <row r="912" spans="1:11" ht="25.5" x14ac:dyDescent="0.25">
      <c r="A912" s="1527"/>
      <c r="B912" s="1564" t="s">
        <v>9421</v>
      </c>
      <c r="C912" s="1534" t="s">
        <v>9023</v>
      </c>
      <c r="D912" s="211">
        <v>1</v>
      </c>
      <c r="E912" s="1535">
        <f>300000/570</f>
        <v>526.31578947368416</v>
      </c>
      <c r="F912" s="1534">
        <v>1</v>
      </c>
      <c r="G912" s="1572">
        <f>+F912*E912</f>
        <v>526.31578947368416</v>
      </c>
      <c r="H912" s="1524"/>
      <c r="J912" s="1637"/>
      <c r="K912" s="1637"/>
    </row>
    <row r="913" spans="1:11" x14ac:dyDescent="0.25">
      <c r="A913" s="1527"/>
      <c r="B913" s="1540"/>
      <c r="C913" s="1537"/>
      <c r="D913" s="212"/>
      <c r="E913" s="1535" t="s">
        <v>7182</v>
      </c>
      <c r="F913" s="1537"/>
      <c r="G913" s="1572" t="s">
        <v>7182</v>
      </c>
      <c r="H913" s="1524"/>
      <c r="J913" s="1637"/>
      <c r="K913" s="1637"/>
    </row>
    <row r="914" spans="1:11" x14ac:dyDescent="0.25">
      <c r="A914" s="1527"/>
      <c r="B914" s="1540"/>
      <c r="C914" s="1537"/>
      <c r="D914" s="212"/>
      <c r="E914" s="1535" t="s">
        <v>7182</v>
      </c>
      <c r="F914" s="1537"/>
      <c r="G914" s="1572" t="s">
        <v>7182</v>
      </c>
      <c r="H914" s="1524"/>
      <c r="J914" s="1637"/>
      <c r="K914" s="1637"/>
    </row>
    <row r="915" spans="1:11" ht="15.75" thickBot="1" x14ac:dyDescent="0.3">
      <c r="A915" s="1527"/>
      <c r="B915" s="1540"/>
      <c r="C915" s="1537"/>
      <c r="D915" s="212"/>
      <c r="E915" s="1535" t="s">
        <v>7182</v>
      </c>
      <c r="F915" s="1537"/>
      <c r="G915" s="1572" t="s">
        <v>7182</v>
      </c>
      <c r="H915" s="1524"/>
      <c r="J915" s="1637"/>
      <c r="K915" s="1637"/>
    </row>
    <row r="916" spans="1:11" ht="15.75" thickBot="1" x14ac:dyDescent="0.3">
      <c r="A916" s="1527"/>
      <c r="B916" s="1555"/>
      <c r="C916" s="1556"/>
      <c r="D916" s="956"/>
      <c r="E916" s="1556" t="s">
        <v>7182</v>
      </c>
      <c r="F916" s="1557"/>
      <c r="G916" s="1558" t="s">
        <v>7182</v>
      </c>
      <c r="H916" s="1546">
        <f>SUM(G912:G916)</f>
        <v>526.31578947368416</v>
      </c>
      <c r="J916" s="1637"/>
      <c r="K916" s="1637"/>
    </row>
    <row r="917" spans="1:11" ht="15.75" thickBot="1" x14ac:dyDescent="0.3">
      <c r="A917" s="1527"/>
      <c r="B917" s="1547"/>
      <c r="C917" s="1547"/>
      <c r="D917" s="954"/>
      <c r="E917" s="1547"/>
      <c r="F917" s="1553"/>
      <c r="G917" s="1554"/>
      <c r="H917" s="1550"/>
      <c r="J917" s="1637"/>
      <c r="K917" s="1637"/>
    </row>
    <row r="918" spans="1:11" ht="15.75" thickBot="1" x14ac:dyDescent="0.3">
      <c r="A918" s="1559"/>
      <c r="B918" s="1369" t="s">
        <v>5412</v>
      </c>
      <c r="C918" s="1363" t="s">
        <v>5420</v>
      </c>
      <c r="D918" s="1120" t="s">
        <v>5421</v>
      </c>
      <c r="E918" s="1363" t="s">
        <v>7187</v>
      </c>
      <c r="F918" s="1363" t="s">
        <v>5405</v>
      </c>
      <c r="G918" s="1370" t="s">
        <v>7179</v>
      </c>
      <c r="H918" s="1371"/>
      <c r="J918" s="1637"/>
      <c r="K918" s="1637"/>
    </row>
    <row r="919" spans="1:11" x14ac:dyDescent="0.25">
      <c r="A919" s="1527"/>
      <c r="B919" s="1560" t="s">
        <v>9422</v>
      </c>
      <c r="C919" s="1569">
        <v>170000</v>
      </c>
      <c r="D919" s="352">
        <f>0.6*C919</f>
        <v>102000</v>
      </c>
      <c r="E919" s="1569">
        <f>+D919+C919</f>
        <v>272000</v>
      </c>
      <c r="F919" s="819">
        <v>0.1</v>
      </c>
      <c r="G919" s="818">
        <f>+F919*E919</f>
        <v>27200</v>
      </c>
      <c r="H919" s="1524"/>
      <c r="J919" s="1637"/>
      <c r="K919" s="1637"/>
    </row>
    <row r="920" spans="1:11" x14ac:dyDescent="0.25">
      <c r="A920" s="1527"/>
      <c r="B920" s="1560"/>
      <c r="C920" s="1569"/>
      <c r="D920" s="1569"/>
      <c r="E920" s="1569"/>
      <c r="F920" s="819"/>
      <c r="G920" s="818"/>
      <c r="H920" s="1524"/>
      <c r="J920" s="1637"/>
      <c r="K920" s="1637"/>
    </row>
    <row r="921" spans="1:11" x14ac:dyDescent="0.25">
      <c r="A921" s="1527"/>
      <c r="B921" s="1561"/>
      <c r="C921" s="1569"/>
      <c r="D921" s="1569"/>
      <c r="E921" s="1569"/>
      <c r="F921" s="817"/>
      <c r="G921" s="818"/>
      <c r="H921" s="1524"/>
      <c r="J921" s="1637"/>
      <c r="K921" s="1637"/>
    </row>
    <row r="922" spans="1:11" x14ac:dyDescent="0.25">
      <c r="A922" s="1527"/>
      <c r="B922" s="1540"/>
      <c r="C922" s="1569"/>
      <c r="D922" s="1569"/>
      <c r="E922" s="1569"/>
      <c r="F922" s="817"/>
      <c r="G922" s="818"/>
      <c r="H922" s="1524"/>
      <c r="J922" s="1637"/>
      <c r="K922" s="1637"/>
    </row>
    <row r="923" spans="1:11" x14ac:dyDescent="0.25">
      <c r="A923" s="1527"/>
      <c r="B923" s="1540"/>
      <c r="C923" s="1538" t="s">
        <v>7182</v>
      </c>
      <c r="D923" s="952" t="s">
        <v>7182</v>
      </c>
      <c r="E923" s="1538" t="s">
        <v>7182</v>
      </c>
      <c r="F923" s="817"/>
      <c r="G923" s="818" t="str">
        <f>IF(B923="","",E923/F923)</f>
        <v/>
      </c>
      <c r="H923" s="1524"/>
      <c r="J923" s="1637"/>
      <c r="K923" s="1637"/>
    </row>
    <row r="924" spans="1:11" ht="15.75" thickBot="1" x14ac:dyDescent="0.3">
      <c r="A924" s="1527"/>
      <c r="B924" s="1540"/>
      <c r="C924" s="1538" t="s">
        <v>7182</v>
      </c>
      <c r="D924" s="952" t="s">
        <v>7182</v>
      </c>
      <c r="E924" s="1538" t="s">
        <v>7182</v>
      </c>
      <c r="F924" s="1537"/>
      <c r="G924" s="818" t="str">
        <f>IF(B924="","",E924/F924)</f>
        <v/>
      </c>
      <c r="H924" s="1524"/>
      <c r="J924" s="1637"/>
      <c r="K924" s="1637"/>
    </row>
    <row r="925" spans="1:11" ht="15.75" thickBot="1" x14ac:dyDescent="0.3">
      <c r="A925" s="1527"/>
      <c r="B925" s="1555"/>
      <c r="C925" s="1556"/>
      <c r="D925" s="956"/>
      <c r="E925" s="1556"/>
      <c r="F925" s="1557"/>
      <c r="G925" s="1558"/>
      <c r="H925" s="1546">
        <f>SUM(G919:G925)</f>
        <v>27200</v>
      </c>
      <c r="J925" s="1637"/>
      <c r="K925" s="1637"/>
    </row>
    <row r="926" spans="1:11" ht="15.75" thickBot="1" x14ac:dyDescent="0.3">
      <c r="A926" s="1527"/>
      <c r="B926" s="1527"/>
      <c r="C926" s="1527"/>
      <c r="D926" s="529"/>
      <c r="F926" s="1528"/>
      <c r="G926" s="1524"/>
      <c r="H926" s="1524"/>
      <c r="J926" s="1637"/>
      <c r="K926" s="1637"/>
    </row>
    <row r="927" spans="1:11" ht="15.75" thickBot="1" x14ac:dyDescent="0.3">
      <c r="A927" s="1647" t="s">
        <v>6744</v>
      </c>
      <c r="B927" s="1352"/>
      <c r="C927" s="1352"/>
      <c r="D927" s="1671"/>
      <c r="E927" s="1672"/>
      <c r="F927" s="1353"/>
      <c r="G927" s="1527" t="s">
        <v>5415</v>
      </c>
      <c r="H927" s="502">
        <f>ROUND(SUM(H885:H926),0)</f>
        <v>628622</v>
      </c>
      <c r="J927" s="1673">
        <f>+B881</f>
        <v>10.189999999999996</v>
      </c>
      <c r="K927" s="1674">
        <f>+H927</f>
        <v>628622</v>
      </c>
    </row>
    <row r="928" spans="1:11" x14ac:dyDescent="0.25">
      <c r="A928" s="1675"/>
      <c r="B928" s="1676"/>
      <c r="C928" s="1676"/>
      <c r="D928" s="1677"/>
      <c r="E928" s="1678"/>
      <c r="F928" s="1679"/>
      <c r="G928" s="1680"/>
      <c r="H928" s="1680"/>
    </row>
    <row r="929" spans="1:11" ht="18.75" x14ac:dyDescent="0.25">
      <c r="A929" s="1523"/>
      <c r="B929" s="1655"/>
      <c r="C929" s="1655"/>
      <c r="D929" s="950"/>
      <c r="E929" s="1655"/>
      <c r="F929" s="1655"/>
      <c r="G929" s="1655"/>
      <c r="H929" s="8"/>
    </row>
    <row r="930" spans="1:11" x14ac:dyDescent="0.25">
      <c r="A930" s="1523"/>
      <c r="B930" s="8"/>
      <c r="C930" s="8"/>
      <c r="D930" s="529"/>
      <c r="E930" s="8"/>
      <c r="F930" s="1523"/>
      <c r="G930" s="1524"/>
      <c r="H930" s="8"/>
    </row>
    <row r="931" spans="1:11" ht="27" customHeight="1" x14ac:dyDescent="0.25">
      <c r="A931" s="1665" t="s">
        <v>3</v>
      </c>
      <c r="B931" s="1666" t="str">
        <f>+VLOOKUP(C931,ListaAPUs!$B:$E,4,FALSE)</f>
        <v>10.20'</v>
      </c>
      <c r="C931" s="2441" t="str">
        <f>+ListaAPUs!B220</f>
        <v>Acometida parcial de Modulo No 6, Transferencia Automatica a Planta de Emergencia en 2(3X500+1X350+1X2/0T)</v>
      </c>
      <c r="D931" s="2441"/>
      <c r="E931" s="2441"/>
      <c r="F931" s="1665" t="s">
        <v>867</v>
      </c>
      <c r="G931" s="1390" t="str">
        <f>+VLOOKUP(C931,ListaAPUs!$B:$E,2,FALSE)</f>
        <v>m</v>
      </c>
      <c r="H931" s="1524"/>
    </row>
    <row r="932" spans="1:11" x14ac:dyDescent="0.25">
      <c r="A932" s="1528"/>
      <c r="B932" s="1527"/>
      <c r="C932" s="1527"/>
      <c r="D932" s="529"/>
      <c r="E932" s="1527"/>
      <c r="F932" s="1528"/>
      <c r="G932" s="1524"/>
      <c r="H932" s="1524"/>
    </row>
    <row r="933" spans="1:11" x14ac:dyDescent="0.25">
      <c r="A933" s="1528"/>
      <c r="B933" s="1527"/>
      <c r="C933" s="1527"/>
      <c r="D933" s="529"/>
      <c r="E933" s="1527"/>
      <c r="F933" s="1528"/>
      <c r="G933" s="1529"/>
      <c r="H933" s="1524"/>
    </row>
    <row r="934" spans="1:11" ht="15.75" thickBot="1" x14ac:dyDescent="0.3">
      <c r="A934" s="1528"/>
      <c r="B934" s="1527"/>
      <c r="C934" s="1527"/>
      <c r="D934" s="529"/>
      <c r="E934" s="1527"/>
      <c r="F934" s="1528"/>
      <c r="G934" s="1524"/>
      <c r="H934" s="1524"/>
    </row>
    <row r="935" spans="1:11" ht="15.75" thickBot="1" x14ac:dyDescent="0.3">
      <c r="A935" s="1368"/>
      <c r="B935" s="1369" t="s">
        <v>5403</v>
      </c>
      <c r="C935" s="1363" t="s">
        <v>867</v>
      </c>
      <c r="D935" s="1120" t="s">
        <v>6</v>
      </c>
      <c r="E935" s="1363" t="s">
        <v>9417</v>
      </c>
      <c r="F935" s="1363" t="s">
        <v>5405</v>
      </c>
      <c r="G935" s="1370" t="s">
        <v>7179</v>
      </c>
      <c r="H935" s="1371"/>
    </row>
    <row r="936" spans="1:11" x14ac:dyDescent="0.25">
      <c r="A936" s="1528"/>
      <c r="B936" s="1533" t="s">
        <v>9473</v>
      </c>
      <c r="C936" s="1348" t="s">
        <v>5432</v>
      </c>
      <c r="D936" s="967">
        <v>6.3</v>
      </c>
      <c r="E936" s="1349">
        <v>79100</v>
      </c>
      <c r="F936" s="1350">
        <v>1</v>
      </c>
      <c r="G936" s="1351">
        <f>+F936*E936*D936</f>
        <v>498330</v>
      </c>
      <c r="H936" s="1524"/>
    </row>
    <row r="937" spans="1:11" x14ac:dyDescent="0.25">
      <c r="A937" s="1528"/>
      <c r="B937" s="1539" t="s">
        <v>9474</v>
      </c>
      <c r="C937" s="1537" t="s">
        <v>5432</v>
      </c>
      <c r="D937" s="212">
        <v>1.1000000000000001</v>
      </c>
      <c r="E937" s="1681">
        <v>51350</v>
      </c>
      <c r="F937" s="1563">
        <v>1</v>
      </c>
      <c r="G937" s="814">
        <f>+F937*E937*D937</f>
        <v>56485.000000000007</v>
      </c>
      <c r="H937" s="1524"/>
    </row>
    <row r="938" spans="1:11" x14ac:dyDescent="0.25">
      <c r="A938" s="1528"/>
      <c r="B938" s="1667" t="s">
        <v>9475</v>
      </c>
      <c r="C938" s="1537" t="s">
        <v>5432</v>
      </c>
      <c r="D938" s="212">
        <v>1.1000000000000001</v>
      </c>
      <c r="E938" s="1681">
        <v>20300</v>
      </c>
      <c r="F938" s="1563">
        <v>1</v>
      </c>
      <c r="G938" s="814">
        <f>+F938*E938</f>
        <v>20300</v>
      </c>
      <c r="H938" s="1524"/>
    </row>
    <row r="939" spans="1:11" x14ac:dyDescent="0.25">
      <c r="A939" s="1528"/>
      <c r="B939" s="1539" t="s">
        <v>9476</v>
      </c>
      <c r="C939" s="1537" t="s">
        <v>5</v>
      </c>
      <c r="D939" s="212">
        <f>12/6</f>
        <v>2</v>
      </c>
      <c r="E939" s="1681">
        <v>8000</v>
      </c>
      <c r="F939" s="1563">
        <v>1</v>
      </c>
      <c r="G939" s="814">
        <f>+F939*E939*D939</f>
        <v>16000</v>
      </c>
      <c r="H939" s="1524"/>
    </row>
    <row r="940" spans="1:11" x14ac:dyDescent="0.25">
      <c r="A940" s="1528"/>
      <c r="B940" s="1667" t="s">
        <v>9477</v>
      </c>
      <c r="C940" s="1537" t="s">
        <v>5</v>
      </c>
      <c r="D940" s="1563">
        <f>2/6</f>
        <v>0.33333333333333331</v>
      </c>
      <c r="E940" s="1681">
        <v>4000</v>
      </c>
      <c r="F940" s="1563">
        <v>1</v>
      </c>
      <c r="G940" s="814">
        <f>+F940*E940*D940</f>
        <v>1333.3333333333333</v>
      </c>
      <c r="H940" s="1524"/>
    </row>
    <row r="941" spans="1:11" x14ac:dyDescent="0.25">
      <c r="A941" s="1528"/>
      <c r="B941" s="1667"/>
      <c r="C941" s="1537"/>
      <c r="D941" s="212"/>
      <c r="E941" s="816"/>
      <c r="F941" s="1563"/>
      <c r="G941" s="814"/>
      <c r="H941" s="1524"/>
    </row>
    <row r="942" spans="1:11" x14ac:dyDescent="0.25">
      <c r="A942" s="1528"/>
      <c r="B942" s="1667"/>
      <c r="C942" s="1537"/>
      <c r="D942" s="212"/>
      <c r="E942" s="816"/>
      <c r="F942" s="1563"/>
      <c r="G942" s="814"/>
      <c r="H942" s="1524"/>
    </row>
    <row r="943" spans="1:11" x14ac:dyDescent="0.25">
      <c r="A943" s="1528"/>
      <c r="B943" s="1667"/>
      <c r="C943" s="1537"/>
      <c r="D943" s="212"/>
      <c r="E943" s="816"/>
      <c r="F943" s="1563"/>
      <c r="G943" s="814"/>
      <c r="H943" s="1524"/>
      <c r="J943" s="1637"/>
      <c r="K943" s="1637"/>
    </row>
    <row r="944" spans="1:11" x14ac:dyDescent="0.25">
      <c r="A944" s="1528"/>
      <c r="B944" s="1667"/>
      <c r="C944" s="1537"/>
      <c r="D944" s="212"/>
      <c r="E944" s="816"/>
      <c r="F944" s="1563"/>
      <c r="G944" s="814"/>
      <c r="H944" s="1524"/>
      <c r="J944" s="1637"/>
      <c r="K944" s="1637"/>
    </row>
    <row r="945" spans="1:11" x14ac:dyDescent="0.25">
      <c r="A945" s="1528"/>
      <c r="B945" s="1667"/>
      <c r="C945" s="1537"/>
      <c r="D945" s="212"/>
      <c r="E945" s="816"/>
      <c r="F945" s="1563"/>
      <c r="G945" s="814"/>
      <c r="H945" s="1524"/>
      <c r="J945" s="1637"/>
      <c r="K945" s="1637"/>
    </row>
    <row r="946" spans="1:11" x14ac:dyDescent="0.25">
      <c r="A946" s="1528"/>
      <c r="B946" s="1667"/>
      <c r="C946" s="1537"/>
      <c r="D946" s="212"/>
      <c r="E946" s="816"/>
      <c r="F946" s="1563"/>
      <c r="G946" s="814"/>
      <c r="H946" s="1524"/>
      <c r="J946" s="1637"/>
      <c r="K946" s="1637"/>
    </row>
    <row r="947" spans="1:11" x14ac:dyDescent="0.25">
      <c r="A947" s="1528"/>
      <c r="B947" s="269"/>
      <c r="C947" s="1537"/>
      <c r="D947" s="212"/>
      <c r="E947" s="816"/>
      <c r="F947" s="1563"/>
      <c r="G947" s="814"/>
      <c r="H947" s="1524"/>
      <c r="J947" s="1637"/>
      <c r="K947" s="1637"/>
    </row>
    <row r="948" spans="1:11" x14ac:dyDescent="0.25">
      <c r="A948" s="1528"/>
      <c r="B948" s="268"/>
      <c r="C948" s="1534"/>
      <c r="D948" s="211"/>
      <c r="E948" s="1535" t="s">
        <v>7182</v>
      </c>
      <c r="F948" s="1551"/>
      <c r="G948" s="1541" t="s">
        <v>7182</v>
      </c>
      <c r="H948" s="1524"/>
      <c r="J948" s="1637"/>
      <c r="K948" s="1637"/>
    </row>
    <row r="949" spans="1:11" x14ac:dyDescent="0.25">
      <c r="A949" s="1528"/>
      <c r="B949" s="1346"/>
      <c r="C949" s="1534"/>
      <c r="D949" s="211"/>
      <c r="E949" s="1535" t="s">
        <v>7182</v>
      </c>
      <c r="F949" s="1551"/>
      <c r="G949" s="1541" t="s">
        <v>7182</v>
      </c>
      <c r="H949" s="1524"/>
      <c r="J949" s="1637"/>
      <c r="K949" s="1637"/>
    </row>
    <row r="950" spans="1:11" ht="15.75" thickBot="1" x14ac:dyDescent="0.3">
      <c r="A950" s="1528"/>
      <c r="B950" s="1540"/>
      <c r="C950" s="1537"/>
      <c r="D950" s="952"/>
      <c r="E950" s="1538" t="s">
        <v>7182</v>
      </c>
      <c r="F950" s="1537"/>
      <c r="G950" s="1541" t="s">
        <v>7182</v>
      </c>
      <c r="H950" s="1524"/>
      <c r="J950" s="1637"/>
      <c r="K950" s="1637"/>
    </row>
    <row r="951" spans="1:11" ht="15.75" thickBot="1" x14ac:dyDescent="0.3">
      <c r="A951" s="1528"/>
      <c r="B951" s="1555"/>
      <c r="C951" s="1557"/>
      <c r="D951" s="956"/>
      <c r="E951" s="1556" t="s">
        <v>7182</v>
      </c>
      <c r="F951" s="1557"/>
      <c r="G951" s="1558" t="s">
        <v>7182</v>
      </c>
      <c r="H951" s="1546">
        <f>SUM(G936:G951)</f>
        <v>592448.33333333337</v>
      </c>
      <c r="J951" s="1637"/>
      <c r="K951" s="1637"/>
    </row>
    <row r="952" spans="1:11" x14ac:dyDescent="0.25">
      <c r="A952" s="1528"/>
      <c r="B952" s="1372"/>
      <c r="C952" s="1374"/>
      <c r="D952" s="1373"/>
      <c r="E952" s="1372" t="s">
        <v>7182</v>
      </c>
      <c r="F952" s="1374"/>
      <c r="G952" s="1375" t="s">
        <v>7182</v>
      </c>
      <c r="H952" s="1550"/>
      <c r="J952" s="1637"/>
      <c r="K952" s="1637"/>
    </row>
    <row r="953" spans="1:11" ht="15.75" thickBot="1" x14ac:dyDescent="0.3">
      <c r="A953" s="1527"/>
      <c r="B953" s="188"/>
      <c r="C953" s="189"/>
      <c r="D953" s="1668"/>
      <c r="E953" s="188"/>
      <c r="F953" s="189"/>
      <c r="G953" s="1669"/>
      <c r="H953" s="1550"/>
      <c r="J953" s="1637"/>
      <c r="K953" s="1637"/>
    </row>
    <row r="954" spans="1:11" ht="15.75" thickBot="1" x14ac:dyDescent="0.3">
      <c r="A954" s="1527"/>
      <c r="B954" s="1366" t="s">
        <v>9418</v>
      </c>
      <c r="C954" s="1363" t="s">
        <v>867</v>
      </c>
      <c r="D954" s="1120" t="s">
        <v>6</v>
      </c>
      <c r="E954" s="1363" t="s">
        <v>7183</v>
      </c>
      <c r="F954" s="1363" t="s">
        <v>5405</v>
      </c>
      <c r="G954" s="1365" t="s">
        <v>7179</v>
      </c>
      <c r="H954" s="1524"/>
      <c r="J954" s="1637"/>
      <c r="K954" s="1637"/>
    </row>
    <row r="955" spans="1:11" x14ac:dyDescent="0.25">
      <c r="A955" s="1527"/>
      <c r="B955" s="1564" t="s">
        <v>5455</v>
      </c>
      <c r="C955" s="1534" t="s">
        <v>5</v>
      </c>
      <c r="D955" s="211">
        <v>1</v>
      </c>
      <c r="E955" s="1535">
        <v>40000</v>
      </c>
      <c r="F955" s="1534">
        <v>1</v>
      </c>
      <c r="G955" s="1572">
        <f>+F955*E955</f>
        <v>40000</v>
      </c>
      <c r="H955" s="1524"/>
      <c r="J955" s="1637"/>
      <c r="K955" s="1637"/>
    </row>
    <row r="956" spans="1:11" x14ac:dyDescent="0.25">
      <c r="A956" s="1527"/>
      <c r="B956" s="1540"/>
      <c r="C956" s="1537"/>
      <c r="D956" s="212"/>
      <c r="E956" s="1535" t="s">
        <v>7182</v>
      </c>
      <c r="F956" s="1537"/>
      <c r="G956" s="1572" t="s">
        <v>7182</v>
      </c>
      <c r="H956" s="1524"/>
      <c r="J956" s="1637"/>
      <c r="K956" s="1637"/>
    </row>
    <row r="957" spans="1:11" x14ac:dyDescent="0.25">
      <c r="A957" s="1527"/>
      <c r="B957" s="1540"/>
      <c r="C957" s="1537"/>
      <c r="D957" s="212"/>
      <c r="E957" s="1535" t="s">
        <v>7182</v>
      </c>
      <c r="F957" s="1537"/>
      <c r="G957" s="1572" t="s">
        <v>7182</v>
      </c>
      <c r="H957" s="1524"/>
      <c r="J957" s="1637"/>
      <c r="K957" s="1637"/>
    </row>
    <row r="958" spans="1:11" ht="15.75" thickBot="1" x14ac:dyDescent="0.3">
      <c r="A958" s="1527"/>
      <c r="B958" s="1540"/>
      <c r="C958" s="1537"/>
      <c r="D958" s="212"/>
      <c r="E958" s="1535" t="s">
        <v>7182</v>
      </c>
      <c r="F958" s="1537"/>
      <c r="G958" s="1572" t="s">
        <v>7182</v>
      </c>
      <c r="H958" s="1524"/>
      <c r="J958" s="1637"/>
      <c r="K958" s="1637"/>
    </row>
    <row r="959" spans="1:11" ht="15.75" thickBot="1" x14ac:dyDescent="0.3">
      <c r="A959" s="1527"/>
      <c r="B959" s="1555"/>
      <c r="C959" s="1556"/>
      <c r="D959" s="956"/>
      <c r="E959" s="1556" t="s">
        <v>7182</v>
      </c>
      <c r="F959" s="1557"/>
      <c r="G959" s="1558" t="s">
        <v>7182</v>
      </c>
      <c r="H959" s="1546">
        <f>SUM(G955:G959)</f>
        <v>40000</v>
      </c>
      <c r="J959" s="1637"/>
      <c r="K959" s="1637"/>
    </row>
    <row r="960" spans="1:11" ht="15.75" thickBot="1" x14ac:dyDescent="0.3">
      <c r="A960" s="1527"/>
      <c r="B960" s="1376"/>
      <c r="C960" s="1353"/>
      <c r="D960" s="1355"/>
      <c r="E960" s="1352"/>
      <c r="F960" s="1377"/>
      <c r="G960" s="1378"/>
      <c r="H960" s="1524"/>
      <c r="J960" s="1637"/>
      <c r="K960" s="1637"/>
    </row>
    <row r="961" spans="1:11" ht="15.75" thickBot="1" x14ac:dyDescent="0.3">
      <c r="A961" s="1527"/>
      <c r="B961" s="1366" t="s">
        <v>5410</v>
      </c>
      <c r="C961" s="1363" t="s">
        <v>867</v>
      </c>
      <c r="D961" s="1120" t="s">
        <v>6</v>
      </c>
      <c r="E961" s="1363" t="s">
        <v>7183</v>
      </c>
      <c r="F961" s="1363" t="s">
        <v>5405</v>
      </c>
      <c r="G961" s="1365" t="s">
        <v>7179</v>
      </c>
      <c r="H961" s="1524"/>
      <c r="J961" s="1637"/>
      <c r="K961" s="1637"/>
    </row>
    <row r="962" spans="1:11" ht="25.5" x14ac:dyDescent="0.25">
      <c r="A962" s="1527"/>
      <c r="B962" s="1564" t="s">
        <v>9421</v>
      </c>
      <c r="C962" s="1534" t="s">
        <v>9023</v>
      </c>
      <c r="D962" s="211">
        <v>1</v>
      </c>
      <c r="E962" s="1535">
        <v>10000</v>
      </c>
      <c r="F962" s="1534">
        <v>1</v>
      </c>
      <c r="G962" s="1572">
        <f>+F962*E962</f>
        <v>10000</v>
      </c>
      <c r="H962" s="1524"/>
      <c r="J962" s="1637"/>
      <c r="K962" s="1637"/>
    </row>
    <row r="963" spans="1:11" x14ac:dyDescent="0.25">
      <c r="A963" s="1527"/>
      <c r="B963" s="1540"/>
      <c r="C963" s="1537"/>
      <c r="D963" s="212"/>
      <c r="E963" s="1535" t="s">
        <v>7182</v>
      </c>
      <c r="F963" s="1537"/>
      <c r="G963" s="1572" t="s">
        <v>7182</v>
      </c>
      <c r="H963" s="1524"/>
      <c r="J963" s="1637"/>
      <c r="K963" s="1637"/>
    </row>
    <row r="964" spans="1:11" x14ac:dyDescent="0.25">
      <c r="A964" s="1527"/>
      <c r="B964" s="1540"/>
      <c r="C964" s="1537"/>
      <c r="D964" s="212"/>
      <c r="E964" s="1535" t="s">
        <v>7182</v>
      </c>
      <c r="F964" s="1537"/>
      <c r="G964" s="1572" t="s">
        <v>7182</v>
      </c>
      <c r="H964" s="1524"/>
      <c r="J964" s="1637"/>
      <c r="K964" s="1637"/>
    </row>
    <row r="965" spans="1:11" ht="15.75" thickBot="1" x14ac:dyDescent="0.3">
      <c r="A965" s="1527"/>
      <c r="B965" s="1540"/>
      <c r="C965" s="1537"/>
      <c r="D965" s="212"/>
      <c r="E965" s="1535" t="s">
        <v>7182</v>
      </c>
      <c r="F965" s="1537"/>
      <c r="G965" s="1572" t="s">
        <v>7182</v>
      </c>
      <c r="H965" s="1524"/>
      <c r="J965" s="1637"/>
      <c r="K965" s="1637"/>
    </row>
    <row r="966" spans="1:11" ht="15.75" thickBot="1" x14ac:dyDescent="0.3">
      <c r="A966" s="1527"/>
      <c r="B966" s="1555"/>
      <c r="C966" s="1556"/>
      <c r="D966" s="956"/>
      <c r="E966" s="1556" t="s">
        <v>7182</v>
      </c>
      <c r="F966" s="1557"/>
      <c r="G966" s="1558" t="s">
        <v>7182</v>
      </c>
      <c r="H966" s="1546">
        <f>SUM(G962:G966)</f>
        <v>10000</v>
      </c>
      <c r="J966" s="1637"/>
      <c r="K966" s="1637"/>
    </row>
    <row r="967" spans="1:11" ht="15.75" thickBot="1" x14ac:dyDescent="0.3">
      <c r="A967" s="1527"/>
      <c r="B967" s="1547"/>
      <c r="C967" s="1547"/>
      <c r="D967" s="954"/>
      <c r="E967" s="1547"/>
      <c r="F967" s="1553"/>
      <c r="G967" s="1554"/>
      <c r="H967" s="1550"/>
      <c r="J967" s="1637"/>
      <c r="K967" s="1637"/>
    </row>
    <row r="968" spans="1:11" ht="15.75" thickBot="1" x14ac:dyDescent="0.3">
      <c r="A968" s="1559"/>
      <c r="B968" s="1369" t="s">
        <v>5412</v>
      </c>
      <c r="C968" s="1363" t="s">
        <v>5420</v>
      </c>
      <c r="D968" s="1120" t="s">
        <v>5421</v>
      </c>
      <c r="E968" s="1363" t="s">
        <v>7187</v>
      </c>
      <c r="F968" s="1363" t="s">
        <v>5405</v>
      </c>
      <c r="G968" s="1370" t="s">
        <v>7179</v>
      </c>
      <c r="H968" s="1371"/>
      <c r="J968" s="1637"/>
      <c r="K968" s="1637"/>
    </row>
    <row r="969" spans="1:11" x14ac:dyDescent="0.25">
      <c r="A969" s="1527"/>
      <c r="B969" s="1560" t="s">
        <v>9422</v>
      </c>
      <c r="C969" s="1569">
        <v>170000</v>
      </c>
      <c r="D969" s="352">
        <f>0.6*C969</f>
        <v>102000</v>
      </c>
      <c r="E969" s="1569">
        <f>+D969+C969</f>
        <v>272000</v>
      </c>
      <c r="F969" s="819">
        <v>0.7</v>
      </c>
      <c r="G969" s="818">
        <f>+F969*E969</f>
        <v>190400</v>
      </c>
      <c r="H969" s="1524"/>
      <c r="J969" s="1637"/>
      <c r="K969" s="1637"/>
    </row>
    <row r="970" spans="1:11" x14ac:dyDescent="0.25">
      <c r="A970" s="1527"/>
      <c r="B970" s="1560"/>
      <c r="C970" s="1569"/>
      <c r="D970" s="1569"/>
      <c r="E970" s="1569"/>
      <c r="F970" s="819"/>
      <c r="G970" s="818"/>
      <c r="H970" s="1524"/>
      <c r="J970" s="1637"/>
      <c r="K970" s="1637"/>
    </row>
    <row r="971" spans="1:11" x14ac:dyDescent="0.25">
      <c r="A971" s="1527"/>
      <c r="B971" s="1561"/>
      <c r="C971" s="1569"/>
      <c r="D971" s="1569"/>
      <c r="E971" s="1569"/>
      <c r="F971" s="817"/>
      <c r="G971" s="818"/>
      <c r="H971" s="1524"/>
      <c r="J971" s="1637"/>
      <c r="K971" s="1637"/>
    </row>
    <row r="972" spans="1:11" x14ac:dyDescent="0.25">
      <c r="A972" s="1527"/>
      <c r="B972" s="1540"/>
      <c r="C972" s="1569"/>
      <c r="D972" s="1569"/>
      <c r="E972" s="1569"/>
      <c r="F972" s="817"/>
      <c r="G972" s="818"/>
      <c r="H972" s="1524"/>
      <c r="J972" s="1637"/>
      <c r="K972" s="1637"/>
    </row>
    <row r="973" spans="1:11" x14ac:dyDescent="0.25">
      <c r="A973" s="1527"/>
      <c r="B973" s="1540"/>
      <c r="C973" s="1538" t="s">
        <v>7182</v>
      </c>
      <c r="D973" s="952" t="s">
        <v>7182</v>
      </c>
      <c r="E973" s="1538" t="s">
        <v>7182</v>
      </c>
      <c r="F973" s="817"/>
      <c r="G973" s="818" t="str">
        <f>IF(B973="","",E973/F973)</f>
        <v/>
      </c>
      <c r="H973" s="1524"/>
      <c r="J973" s="1637"/>
      <c r="K973" s="1637"/>
    </row>
    <row r="974" spans="1:11" ht="15.75" thickBot="1" x14ac:dyDescent="0.3">
      <c r="A974" s="1527"/>
      <c r="B974" s="1540"/>
      <c r="C974" s="1538" t="s">
        <v>7182</v>
      </c>
      <c r="D974" s="952" t="s">
        <v>7182</v>
      </c>
      <c r="E974" s="1538" t="s">
        <v>7182</v>
      </c>
      <c r="F974" s="1537"/>
      <c r="G974" s="818" t="str">
        <f>IF(B974="","",E974/F974)</f>
        <v/>
      </c>
      <c r="H974" s="1524"/>
      <c r="J974" s="1637"/>
      <c r="K974" s="1637"/>
    </row>
    <row r="975" spans="1:11" ht="15.75" thickBot="1" x14ac:dyDescent="0.3">
      <c r="A975" s="1527"/>
      <c r="B975" s="1555"/>
      <c r="C975" s="1556"/>
      <c r="D975" s="956"/>
      <c r="E975" s="1556"/>
      <c r="F975" s="1557"/>
      <c r="G975" s="1558"/>
      <c r="H975" s="1546">
        <f>SUM(G969:G975)</f>
        <v>190400</v>
      </c>
    </row>
    <row r="976" spans="1:11" ht="15.75" thickBot="1" x14ac:dyDescent="0.3">
      <c r="A976" s="1527"/>
      <c r="B976" s="1527"/>
      <c r="C976" s="1527"/>
      <c r="D976" s="529"/>
      <c r="F976" s="1528"/>
      <c r="G976" s="1524"/>
      <c r="H976" s="1524"/>
    </row>
    <row r="977" spans="1:11" ht="15.75" thickBot="1" x14ac:dyDescent="0.3">
      <c r="A977" s="1647" t="s">
        <v>6744</v>
      </c>
      <c r="B977" s="1352"/>
      <c r="C977" s="1352"/>
      <c r="D977" s="1671"/>
      <c r="E977" s="1672"/>
      <c r="F977" s="1353"/>
      <c r="G977" s="1527" t="s">
        <v>5415</v>
      </c>
      <c r="H977" s="502">
        <f>ROUND(SUM(H935:H976),0)</f>
        <v>832848</v>
      </c>
      <c r="J977" s="1673" t="str">
        <f>+B931</f>
        <v>10.20'</v>
      </c>
      <c r="K977" s="1674">
        <f>+H977</f>
        <v>832848</v>
      </c>
    </row>
    <row r="978" spans="1:11" x14ac:dyDescent="0.25">
      <c r="A978" s="1675"/>
      <c r="B978" s="1676"/>
      <c r="C978" s="1676"/>
      <c r="D978" s="1677"/>
      <c r="E978" s="1678"/>
      <c r="F978" s="1679"/>
      <c r="G978" s="1680"/>
      <c r="H978" s="1680"/>
    </row>
    <row r="979" spans="1:11" ht="18.75" x14ac:dyDescent="0.25">
      <c r="A979" s="1523"/>
      <c r="B979" s="1655"/>
      <c r="C979" s="1655"/>
      <c r="D979" s="950"/>
      <c r="E979" s="1655"/>
      <c r="F979" s="1655"/>
      <c r="G979" s="1655"/>
      <c r="H979" s="8"/>
    </row>
    <row r="980" spans="1:11" x14ac:dyDescent="0.25">
      <c r="A980" s="1523"/>
      <c r="B980" s="8"/>
      <c r="C980" s="8"/>
      <c r="D980" s="529"/>
      <c r="E980" s="8"/>
      <c r="F980" s="1523"/>
      <c r="G980" s="1524"/>
      <c r="H980" s="8"/>
    </row>
    <row r="981" spans="1:11" ht="27" customHeight="1" x14ac:dyDescent="0.25">
      <c r="A981" s="1665" t="s">
        <v>3</v>
      </c>
      <c r="B981" s="1666">
        <f>+VLOOKUP(C981,ListaAPUs!$B:$E,4,FALSE)</f>
        <v>10.25</v>
      </c>
      <c r="C981" s="2441" t="str">
        <f>+ListaAPUs!B225</f>
        <v>Acometida parcial de Modulo No 1. Interruptor Pppal  a Modulo No 2. CCM motores en ducto de barras capacidad 3.000 amp, 2300 Vac, 65 KA.</v>
      </c>
      <c r="D981" s="2441"/>
      <c r="E981" s="2441"/>
      <c r="F981" s="1665" t="s">
        <v>867</v>
      </c>
      <c r="G981" s="1390" t="str">
        <f>+VLOOKUP(C981,ListaAPUs!$B:$E,2,FALSE)</f>
        <v>m</v>
      </c>
      <c r="H981" s="1524"/>
    </row>
    <row r="982" spans="1:11" x14ac:dyDescent="0.25">
      <c r="A982" s="1528"/>
      <c r="B982" s="1527"/>
      <c r="C982" s="1527"/>
      <c r="D982" s="529"/>
      <c r="E982" s="1527"/>
      <c r="F982" s="1528"/>
      <c r="G982" s="1524"/>
      <c r="H982" s="1524"/>
    </row>
    <row r="983" spans="1:11" x14ac:dyDescent="0.25">
      <c r="A983" s="1528"/>
      <c r="B983" s="1527"/>
      <c r="C983" s="1527"/>
      <c r="D983" s="529"/>
      <c r="E983" s="1527"/>
      <c r="F983" s="1528"/>
      <c r="G983" s="1529"/>
      <c r="H983" s="1524"/>
    </row>
    <row r="984" spans="1:11" ht="15.75" thickBot="1" x14ac:dyDescent="0.3">
      <c r="A984" s="1528"/>
      <c r="B984" s="1527"/>
      <c r="C984" s="1527"/>
      <c r="D984" s="529"/>
      <c r="E984" s="1527"/>
      <c r="F984" s="1528"/>
      <c r="G984" s="1524"/>
      <c r="H984" s="1524"/>
    </row>
    <row r="985" spans="1:11" ht="15.75" thickBot="1" x14ac:dyDescent="0.3">
      <c r="A985" s="1368"/>
      <c r="B985" s="1369" t="s">
        <v>5403</v>
      </c>
      <c r="C985" s="1363" t="s">
        <v>867</v>
      </c>
      <c r="D985" s="1120" t="s">
        <v>6</v>
      </c>
      <c r="E985" s="1363" t="s">
        <v>9417</v>
      </c>
      <c r="F985" s="1363" t="s">
        <v>5405</v>
      </c>
      <c r="G985" s="1370" t="s">
        <v>7179</v>
      </c>
      <c r="H985" s="1371"/>
    </row>
    <row r="986" spans="1:11" x14ac:dyDescent="0.25">
      <c r="A986" s="1528"/>
      <c r="B986" s="1746" t="s">
        <v>9473</v>
      </c>
      <c r="C986" s="1802" t="s">
        <v>5432</v>
      </c>
      <c r="D986" s="1794">
        <v>16</v>
      </c>
      <c r="E986" s="1803">
        <v>79100</v>
      </c>
      <c r="F986" s="1804">
        <v>1.05</v>
      </c>
      <c r="G986" s="1805">
        <f>+F986*E986*D986</f>
        <v>1328880</v>
      </c>
      <c r="H986" s="1524"/>
    </row>
    <row r="987" spans="1:11" x14ac:dyDescent="0.25">
      <c r="A987" s="1528"/>
      <c r="B987" s="1751" t="s">
        <v>9478</v>
      </c>
      <c r="C987" s="1749" t="s">
        <v>5432</v>
      </c>
      <c r="D987" s="1773">
        <v>1</v>
      </c>
      <c r="E987" s="1825">
        <v>36100</v>
      </c>
      <c r="F987" s="1769">
        <v>1.05</v>
      </c>
      <c r="G987" s="1786">
        <f>+F987*E987*D987</f>
        <v>37905</v>
      </c>
      <c r="H987" s="1524"/>
    </row>
    <row r="988" spans="1:11" x14ac:dyDescent="0.25">
      <c r="A988" s="1528"/>
      <c r="B988" s="1822" t="s">
        <v>9475</v>
      </c>
      <c r="C988" s="1749" t="s">
        <v>5432</v>
      </c>
      <c r="D988" s="1773">
        <v>1</v>
      </c>
      <c r="E988" s="1825">
        <v>20300</v>
      </c>
      <c r="F988" s="1769">
        <v>1.05</v>
      </c>
      <c r="G988" s="1786">
        <f>+F988*E988</f>
        <v>21315</v>
      </c>
      <c r="H988" s="1524"/>
    </row>
    <row r="989" spans="1:11" x14ac:dyDescent="0.25">
      <c r="A989" s="1528"/>
      <c r="B989" s="1751" t="s">
        <v>9476</v>
      </c>
      <c r="C989" s="1749" t="s">
        <v>5</v>
      </c>
      <c r="D989" s="1773">
        <f>12/6</f>
        <v>2</v>
      </c>
      <c r="E989" s="1825">
        <v>8000</v>
      </c>
      <c r="F989" s="1769">
        <v>1</v>
      </c>
      <c r="G989" s="1786">
        <f>+F989*E989*D989</f>
        <v>16000</v>
      </c>
      <c r="H989" s="1524"/>
    </row>
    <row r="990" spans="1:11" x14ac:dyDescent="0.25">
      <c r="A990" s="1528"/>
      <c r="B990" s="1822" t="s">
        <v>9477</v>
      </c>
      <c r="C990" s="1749" t="s">
        <v>5</v>
      </c>
      <c r="D990" s="1769">
        <f>2/6</f>
        <v>0.33333333333333331</v>
      </c>
      <c r="E990" s="1825">
        <v>4000</v>
      </c>
      <c r="F990" s="1769">
        <v>1</v>
      </c>
      <c r="G990" s="1786">
        <f>+F990*E990*D990</f>
        <v>1333.3333333333333</v>
      </c>
      <c r="H990" s="1524"/>
    </row>
    <row r="991" spans="1:11" x14ac:dyDescent="0.25">
      <c r="A991" s="1528"/>
      <c r="B991" s="1751" t="s">
        <v>9479</v>
      </c>
      <c r="C991" s="1749" t="s">
        <v>5</v>
      </c>
      <c r="D991" s="1769">
        <f>2/6</f>
        <v>0.33333333333333331</v>
      </c>
      <c r="E991" s="1782">
        <v>6000</v>
      </c>
      <c r="F991" s="1769">
        <v>1</v>
      </c>
      <c r="G991" s="1786">
        <f>+F991*E991*D991</f>
        <v>2000</v>
      </c>
      <c r="H991" s="1524"/>
      <c r="J991" s="1637"/>
      <c r="K991" s="1637"/>
    </row>
    <row r="992" spans="1:11" ht="25.5" x14ac:dyDescent="0.25">
      <c r="A992" s="1528"/>
      <c r="B992" s="1822" t="s">
        <v>9480</v>
      </c>
      <c r="C992" s="1749" t="s">
        <v>9023</v>
      </c>
      <c r="D992" s="1773">
        <v>1</v>
      </c>
      <c r="E992" s="1782">
        <v>5000</v>
      </c>
      <c r="F992" s="1769">
        <v>1</v>
      </c>
      <c r="G992" s="1786">
        <f>+F992*E992</f>
        <v>5000</v>
      </c>
      <c r="H992" s="1524"/>
      <c r="J992" s="1637"/>
      <c r="K992" s="1637"/>
    </row>
    <row r="993" spans="1:11" x14ac:dyDescent="0.25">
      <c r="A993" s="1528"/>
      <c r="B993" s="1822" t="s">
        <v>9481</v>
      </c>
      <c r="C993" s="1749" t="s">
        <v>9023</v>
      </c>
      <c r="D993" s="1773">
        <v>1</v>
      </c>
      <c r="E993" s="1782">
        <f>2500*20</f>
        <v>50000</v>
      </c>
      <c r="F993" s="1769">
        <v>1</v>
      </c>
      <c r="G993" s="1786">
        <f>+F993*E993</f>
        <v>50000</v>
      </c>
      <c r="H993" s="1524"/>
      <c r="J993" s="1637"/>
      <c r="K993" s="1637"/>
    </row>
    <row r="994" spans="1:11" x14ac:dyDescent="0.25">
      <c r="A994" s="1528"/>
      <c r="B994" s="1822" t="s">
        <v>9482</v>
      </c>
      <c r="C994" s="1749" t="s">
        <v>5</v>
      </c>
      <c r="D994" s="1773">
        <f>(16+2)*2/20</f>
        <v>1.8</v>
      </c>
      <c r="E994" s="1782">
        <v>1500</v>
      </c>
      <c r="F994" s="1769">
        <v>1</v>
      </c>
      <c r="G994" s="1786">
        <f>+F994*E994*D994</f>
        <v>2700</v>
      </c>
      <c r="H994" s="1524"/>
      <c r="J994" s="1637"/>
      <c r="K994" s="1637"/>
    </row>
    <row r="995" spans="1:11" x14ac:dyDescent="0.25">
      <c r="A995" s="1528"/>
      <c r="B995" s="1667"/>
      <c r="C995" s="1537"/>
      <c r="D995" s="212"/>
      <c r="E995" s="816"/>
      <c r="F995" s="1563"/>
      <c r="G995" s="814"/>
      <c r="H995" s="1524"/>
      <c r="J995" s="1637"/>
      <c r="K995" s="1637"/>
    </row>
    <row r="996" spans="1:11" x14ac:dyDescent="0.25">
      <c r="A996" s="1528"/>
      <c r="B996" s="1667"/>
      <c r="C996" s="1537"/>
      <c r="D996" s="212"/>
      <c r="E996" s="816"/>
      <c r="F996" s="1563"/>
      <c r="G996" s="814"/>
      <c r="H996" s="1524"/>
      <c r="J996" s="1637"/>
      <c r="K996" s="1637"/>
    </row>
    <row r="997" spans="1:11" x14ac:dyDescent="0.25">
      <c r="A997" s="1528"/>
      <c r="B997" s="269"/>
      <c r="C997" s="1537"/>
      <c r="D997" s="212"/>
      <c r="E997" s="816"/>
      <c r="F997" s="1563"/>
      <c r="G997" s="814"/>
      <c r="H997" s="1524"/>
      <c r="J997" s="1637"/>
      <c r="K997" s="1637"/>
    </row>
    <row r="998" spans="1:11" x14ac:dyDescent="0.25">
      <c r="A998" s="1528"/>
      <c r="B998" s="268"/>
      <c r="C998" s="1534"/>
      <c r="D998" s="211"/>
      <c r="E998" s="1535" t="s">
        <v>7182</v>
      </c>
      <c r="F998" s="1551"/>
      <c r="G998" s="1541" t="s">
        <v>7182</v>
      </c>
      <c r="H998" s="1524"/>
      <c r="J998" s="1637"/>
      <c r="K998" s="1637"/>
    </row>
    <row r="999" spans="1:11" x14ac:dyDescent="0.25">
      <c r="A999" s="1528"/>
      <c r="B999" s="1346"/>
      <c r="C999" s="1534"/>
      <c r="D999" s="211"/>
      <c r="E999" s="1535" t="s">
        <v>7182</v>
      </c>
      <c r="F999" s="1551"/>
      <c r="G999" s="1541" t="s">
        <v>7182</v>
      </c>
      <c r="H999" s="1524"/>
      <c r="J999" s="1637"/>
      <c r="K999" s="1637"/>
    </row>
    <row r="1000" spans="1:11" ht="15.75" thickBot="1" x14ac:dyDescent="0.3">
      <c r="A1000" s="1528"/>
      <c r="B1000" s="1540"/>
      <c r="C1000" s="1537"/>
      <c r="D1000" s="952"/>
      <c r="E1000" s="1538" t="s">
        <v>7182</v>
      </c>
      <c r="F1000" s="1537"/>
      <c r="G1000" s="1541" t="s">
        <v>7182</v>
      </c>
      <c r="H1000" s="1524"/>
      <c r="J1000" s="1637"/>
      <c r="K1000" s="1637"/>
    </row>
    <row r="1001" spans="1:11" ht="15.75" thickBot="1" x14ac:dyDescent="0.3">
      <c r="A1001" s="1528"/>
      <c r="B1001" s="1555"/>
      <c r="C1001" s="1557"/>
      <c r="D1001" s="956"/>
      <c r="E1001" s="1556" t="s">
        <v>7182</v>
      </c>
      <c r="F1001" s="1557"/>
      <c r="G1001" s="1558" t="s">
        <v>7182</v>
      </c>
      <c r="H1001" s="1546">
        <f>SUM(G986:G1001)</f>
        <v>1465133.3333333333</v>
      </c>
      <c r="J1001" s="1637"/>
      <c r="K1001" s="1637"/>
    </row>
    <row r="1002" spans="1:11" x14ac:dyDescent="0.25">
      <c r="A1002" s="1528"/>
      <c r="B1002" s="1372"/>
      <c r="C1002" s="1374"/>
      <c r="D1002" s="1373"/>
      <c r="E1002" s="1372" t="s">
        <v>7182</v>
      </c>
      <c r="F1002" s="1374"/>
      <c r="G1002" s="1375" t="s">
        <v>7182</v>
      </c>
      <c r="H1002" s="1550"/>
      <c r="J1002" s="1637"/>
      <c r="K1002" s="1637"/>
    </row>
    <row r="1003" spans="1:11" ht="15.75" thickBot="1" x14ac:dyDescent="0.3">
      <c r="A1003" s="1527"/>
      <c r="B1003" s="188"/>
      <c r="C1003" s="189"/>
      <c r="D1003" s="1668"/>
      <c r="E1003" s="188"/>
      <c r="F1003" s="189"/>
      <c r="G1003" s="1669"/>
      <c r="H1003" s="1550"/>
      <c r="J1003" s="1637"/>
      <c r="K1003" s="1637"/>
    </row>
    <row r="1004" spans="1:11" ht="15.75" thickBot="1" x14ac:dyDescent="0.3">
      <c r="A1004" s="1527"/>
      <c r="B1004" s="1366" t="s">
        <v>9418</v>
      </c>
      <c r="C1004" s="1363" t="s">
        <v>867</v>
      </c>
      <c r="D1004" s="1120" t="s">
        <v>6</v>
      </c>
      <c r="E1004" s="1363" t="s">
        <v>7183</v>
      </c>
      <c r="F1004" s="1363" t="s">
        <v>5405</v>
      </c>
      <c r="G1004" s="1365" t="s">
        <v>7179</v>
      </c>
      <c r="H1004" s="1524"/>
      <c r="J1004" s="1637"/>
      <c r="K1004" s="1637"/>
    </row>
    <row r="1005" spans="1:11" x14ac:dyDescent="0.25">
      <c r="A1005" s="1527"/>
      <c r="B1005" s="1564" t="s">
        <v>5455</v>
      </c>
      <c r="C1005" s="1534" t="s">
        <v>5</v>
      </c>
      <c r="D1005" s="211">
        <v>1</v>
      </c>
      <c r="E1005" s="1535">
        <v>10000</v>
      </c>
      <c r="F1005" s="297">
        <v>0.1</v>
      </c>
      <c r="G1005" s="1572">
        <f>+F1005*E1005</f>
        <v>1000</v>
      </c>
      <c r="H1005" s="1524"/>
      <c r="J1005" s="1637"/>
      <c r="K1005" s="1637"/>
    </row>
    <row r="1006" spans="1:11" x14ac:dyDescent="0.25">
      <c r="A1006" s="1527"/>
      <c r="B1006" s="1540"/>
      <c r="C1006" s="1537"/>
      <c r="D1006" s="212"/>
      <c r="E1006" s="1535" t="s">
        <v>7182</v>
      </c>
      <c r="F1006" s="1537"/>
      <c r="G1006" s="1572" t="s">
        <v>7182</v>
      </c>
      <c r="H1006" s="1524"/>
      <c r="J1006" s="1637"/>
      <c r="K1006" s="1637"/>
    </row>
    <row r="1007" spans="1:11" x14ac:dyDescent="0.25">
      <c r="A1007" s="1527"/>
      <c r="B1007" s="1540"/>
      <c r="C1007" s="1537"/>
      <c r="D1007" s="212"/>
      <c r="E1007" s="1535" t="s">
        <v>7182</v>
      </c>
      <c r="F1007" s="1537"/>
      <c r="G1007" s="1572" t="s">
        <v>7182</v>
      </c>
      <c r="H1007" s="1524"/>
      <c r="J1007" s="1637"/>
      <c r="K1007" s="1637"/>
    </row>
    <row r="1008" spans="1:11" ht="15.75" thickBot="1" x14ac:dyDescent="0.3">
      <c r="A1008" s="1527"/>
      <c r="B1008" s="1540"/>
      <c r="C1008" s="1537"/>
      <c r="D1008" s="212"/>
      <c r="E1008" s="1535" t="s">
        <v>7182</v>
      </c>
      <c r="F1008" s="1537"/>
      <c r="G1008" s="1572" t="s">
        <v>7182</v>
      </c>
      <c r="H1008" s="1524"/>
      <c r="J1008" s="1637"/>
      <c r="K1008" s="1637"/>
    </row>
    <row r="1009" spans="1:11" ht="15.75" thickBot="1" x14ac:dyDescent="0.3">
      <c r="A1009" s="1527"/>
      <c r="B1009" s="1555"/>
      <c r="C1009" s="1556"/>
      <c r="D1009" s="956"/>
      <c r="E1009" s="1556" t="s">
        <v>7182</v>
      </c>
      <c r="F1009" s="1557"/>
      <c r="G1009" s="1558" t="s">
        <v>7182</v>
      </c>
      <c r="H1009" s="1546">
        <f>SUM(G1005:G1009)</f>
        <v>1000</v>
      </c>
      <c r="J1009" s="1637"/>
      <c r="K1009" s="1637"/>
    </row>
    <row r="1010" spans="1:11" ht="15.75" thickBot="1" x14ac:dyDescent="0.3">
      <c r="A1010" s="1527"/>
      <c r="B1010" s="1376"/>
      <c r="C1010" s="1353"/>
      <c r="D1010" s="1355"/>
      <c r="E1010" s="1352"/>
      <c r="F1010" s="1377"/>
      <c r="G1010" s="1378"/>
      <c r="H1010" s="1524"/>
      <c r="J1010" s="1637"/>
      <c r="K1010" s="1637"/>
    </row>
    <row r="1011" spans="1:11" ht="15.75" thickBot="1" x14ac:dyDescent="0.3">
      <c r="A1011" s="1527"/>
      <c r="B1011" s="1366" t="s">
        <v>5410</v>
      </c>
      <c r="C1011" s="1363" t="s">
        <v>867</v>
      </c>
      <c r="D1011" s="1120" t="s">
        <v>6</v>
      </c>
      <c r="E1011" s="1363" t="s">
        <v>7183</v>
      </c>
      <c r="F1011" s="1363" t="s">
        <v>5405</v>
      </c>
      <c r="G1011" s="1365" t="s">
        <v>7179</v>
      </c>
      <c r="H1011" s="1524"/>
      <c r="J1011" s="1637"/>
      <c r="K1011" s="1637"/>
    </row>
    <row r="1012" spans="1:11" ht="25.5" x14ac:dyDescent="0.25">
      <c r="A1012" s="1527"/>
      <c r="B1012" s="1564" t="s">
        <v>9421</v>
      </c>
      <c r="C1012" s="1534" t="s">
        <v>9023</v>
      </c>
      <c r="D1012" s="211">
        <v>1</v>
      </c>
      <c r="E1012" s="1535">
        <f>300000/570</f>
        <v>526.31578947368416</v>
      </c>
      <c r="F1012" s="297">
        <v>1</v>
      </c>
      <c r="G1012" s="1572">
        <f>+F1012*E1012</f>
        <v>526.31578947368416</v>
      </c>
      <c r="H1012" s="1524"/>
      <c r="J1012" s="1637"/>
      <c r="K1012" s="1637"/>
    </row>
    <row r="1013" spans="1:11" x14ac:dyDescent="0.25">
      <c r="A1013" s="1527"/>
      <c r="B1013" s="1540"/>
      <c r="C1013" s="1537"/>
      <c r="D1013" s="212"/>
      <c r="E1013" s="1535" t="s">
        <v>7182</v>
      </c>
      <c r="F1013" s="1537"/>
      <c r="G1013" s="1572" t="s">
        <v>7182</v>
      </c>
      <c r="H1013" s="1524"/>
      <c r="J1013" s="1637"/>
      <c r="K1013" s="1637"/>
    </row>
    <row r="1014" spans="1:11" x14ac:dyDescent="0.25">
      <c r="A1014" s="1527"/>
      <c r="B1014" s="1540"/>
      <c r="C1014" s="1537"/>
      <c r="D1014" s="212"/>
      <c r="E1014" s="1535" t="s">
        <v>7182</v>
      </c>
      <c r="F1014" s="1537"/>
      <c r="G1014" s="1572" t="s">
        <v>7182</v>
      </c>
      <c r="H1014" s="1524"/>
      <c r="J1014" s="1637"/>
      <c r="K1014" s="1637"/>
    </row>
    <row r="1015" spans="1:11" ht="15.75" thickBot="1" x14ac:dyDescent="0.3">
      <c r="A1015" s="1527"/>
      <c r="B1015" s="1540"/>
      <c r="C1015" s="1537"/>
      <c r="D1015" s="212"/>
      <c r="E1015" s="1535" t="s">
        <v>7182</v>
      </c>
      <c r="F1015" s="1537"/>
      <c r="G1015" s="1572" t="s">
        <v>7182</v>
      </c>
      <c r="H1015" s="1524"/>
      <c r="J1015" s="1637"/>
      <c r="K1015" s="1637"/>
    </row>
    <row r="1016" spans="1:11" ht="15.75" thickBot="1" x14ac:dyDescent="0.3">
      <c r="A1016" s="1527"/>
      <c r="B1016" s="1555"/>
      <c r="C1016" s="1556"/>
      <c r="D1016" s="956"/>
      <c r="E1016" s="1556" t="s">
        <v>7182</v>
      </c>
      <c r="F1016" s="1557"/>
      <c r="G1016" s="1558" t="s">
        <v>7182</v>
      </c>
      <c r="H1016" s="1546">
        <f>SUM(G1012:G1016)</f>
        <v>526.31578947368416</v>
      </c>
      <c r="J1016" s="1637"/>
      <c r="K1016" s="1637"/>
    </row>
    <row r="1017" spans="1:11" ht="15.75" thickBot="1" x14ac:dyDescent="0.3">
      <c r="A1017" s="1527"/>
      <c r="B1017" s="1547"/>
      <c r="C1017" s="1547"/>
      <c r="D1017" s="954"/>
      <c r="E1017" s="1547"/>
      <c r="F1017" s="1553"/>
      <c r="G1017" s="1554"/>
      <c r="H1017" s="1550"/>
      <c r="J1017" s="1637"/>
      <c r="K1017" s="1637"/>
    </row>
    <row r="1018" spans="1:11" ht="15.75" thickBot="1" x14ac:dyDescent="0.3">
      <c r="A1018" s="1559"/>
      <c r="B1018" s="1369" t="s">
        <v>5412</v>
      </c>
      <c r="C1018" s="1363" t="s">
        <v>5420</v>
      </c>
      <c r="D1018" s="1120" t="s">
        <v>5421</v>
      </c>
      <c r="E1018" s="1363" t="s">
        <v>7187</v>
      </c>
      <c r="F1018" s="1363" t="s">
        <v>5405</v>
      </c>
      <c r="G1018" s="1370" t="s">
        <v>7179</v>
      </c>
      <c r="H1018" s="1371"/>
      <c r="J1018" s="1637"/>
      <c r="K1018" s="1637"/>
    </row>
    <row r="1019" spans="1:11" x14ac:dyDescent="0.25">
      <c r="A1019" s="1527"/>
      <c r="B1019" s="1560" t="s">
        <v>9422</v>
      </c>
      <c r="C1019" s="1569">
        <v>170000</v>
      </c>
      <c r="D1019" s="352">
        <f>0.6*C1019</f>
        <v>102000</v>
      </c>
      <c r="E1019" s="1569">
        <f>+D1019+C1019</f>
        <v>272000</v>
      </c>
      <c r="F1019" s="819">
        <v>0.1</v>
      </c>
      <c r="G1019" s="818">
        <f>+F1019*E1019</f>
        <v>27200</v>
      </c>
      <c r="H1019" s="1524"/>
      <c r="J1019" s="1637"/>
      <c r="K1019" s="1637"/>
    </row>
    <row r="1020" spans="1:11" x14ac:dyDescent="0.25">
      <c r="A1020" s="1527"/>
      <c r="B1020" s="1560"/>
      <c r="C1020" s="1569"/>
      <c r="D1020" s="1569"/>
      <c r="E1020" s="1569"/>
      <c r="F1020" s="819"/>
      <c r="G1020" s="818"/>
      <c r="H1020" s="1524"/>
      <c r="J1020" s="1637"/>
      <c r="K1020" s="1637"/>
    </row>
    <row r="1021" spans="1:11" x14ac:dyDescent="0.25">
      <c r="A1021" s="1527"/>
      <c r="B1021" s="1561"/>
      <c r="C1021" s="1569"/>
      <c r="D1021" s="1569"/>
      <c r="E1021" s="1569"/>
      <c r="F1021" s="817"/>
      <c r="G1021" s="818"/>
      <c r="H1021" s="1524"/>
      <c r="J1021" s="1637"/>
      <c r="K1021" s="1637"/>
    </row>
    <row r="1022" spans="1:11" x14ac:dyDescent="0.25">
      <c r="A1022" s="1527"/>
      <c r="B1022" s="1540"/>
      <c r="C1022" s="1569"/>
      <c r="D1022" s="1569"/>
      <c r="E1022" s="1569"/>
      <c r="F1022" s="817"/>
      <c r="G1022" s="818"/>
      <c r="H1022" s="1524"/>
      <c r="J1022" s="1637"/>
      <c r="K1022" s="1637"/>
    </row>
    <row r="1023" spans="1:11" x14ac:dyDescent="0.25">
      <c r="A1023" s="1527"/>
      <c r="B1023" s="1540"/>
      <c r="C1023" s="1538" t="s">
        <v>7182</v>
      </c>
      <c r="D1023" s="952" t="s">
        <v>7182</v>
      </c>
      <c r="E1023" s="1538" t="s">
        <v>7182</v>
      </c>
      <c r="F1023" s="817"/>
      <c r="G1023" s="818" t="str">
        <f>IF(B1023="","",E1023/F1023)</f>
        <v/>
      </c>
      <c r="H1023" s="1524"/>
    </row>
    <row r="1024" spans="1:11" ht="15.75" thickBot="1" x14ac:dyDescent="0.3">
      <c r="A1024" s="1527"/>
      <c r="B1024" s="1540"/>
      <c r="C1024" s="1538" t="s">
        <v>7182</v>
      </c>
      <c r="D1024" s="952" t="s">
        <v>7182</v>
      </c>
      <c r="E1024" s="1538" t="s">
        <v>7182</v>
      </c>
      <c r="F1024" s="1537"/>
      <c r="G1024" s="818" t="str">
        <f>IF(B1024="","",E1024/F1024)</f>
        <v/>
      </c>
      <c r="H1024" s="1524"/>
    </row>
    <row r="1025" spans="1:11" ht="15.75" thickBot="1" x14ac:dyDescent="0.3">
      <c r="A1025" s="1527"/>
      <c r="B1025" s="1555"/>
      <c r="C1025" s="1556"/>
      <c r="D1025" s="956"/>
      <c r="E1025" s="1556"/>
      <c r="F1025" s="1557"/>
      <c r="G1025" s="1558"/>
      <c r="H1025" s="1546">
        <f>SUM(G1019:G1025)</f>
        <v>27200</v>
      </c>
    </row>
    <row r="1026" spans="1:11" ht="15.75" thickBot="1" x14ac:dyDescent="0.3">
      <c r="A1026" s="1527"/>
      <c r="B1026" s="1527"/>
      <c r="C1026" s="1527"/>
      <c r="D1026" s="529"/>
      <c r="F1026" s="1528"/>
      <c r="G1026" s="1524"/>
      <c r="H1026" s="1524"/>
    </row>
    <row r="1027" spans="1:11" ht="15.75" thickBot="1" x14ac:dyDescent="0.3">
      <c r="A1027" s="1647" t="s">
        <v>6744</v>
      </c>
      <c r="B1027" s="1352"/>
      <c r="C1027" s="1352"/>
      <c r="D1027" s="1671"/>
      <c r="E1027" s="1672"/>
      <c r="F1027" s="1353"/>
      <c r="G1027" s="1527" t="s">
        <v>5415</v>
      </c>
      <c r="H1027" s="502">
        <f>ROUND(SUM(H985:H1026),0)</f>
        <v>1493860</v>
      </c>
      <c r="J1027" s="1673">
        <f>+B981</f>
        <v>10.25</v>
      </c>
      <c r="K1027" s="1674">
        <f>+H1027</f>
        <v>1493860</v>
      </c>
    </row>
    <row r="1028" spans="1:11" x14ac:dyDescent="0.25">
      <c r="A1028" s="1675"/>
      <c r="B1028" s="1676"/>
      <c r="C1028" s="1676"/>
      <c r="D1028" s="1677"/>
      <c r="E1028" s="1678"/>
      <c r="F1028" s="1679"/>
      <c r="G1028" s="1680"/>
      <c r="H1028" s="1680"/>
    </row>
    <row r="1029" spans="1:11" ht="18.75" x14ac:dyDescent="0.25">
      <c r="A1029" s="1523"/>
      <c r="B1029" s="1655"/>
      <c r="C1029" s="1655"/>
      <c r="D1029" s="950"/>
      <c r="E1029" s="1655"/>
      <c r="F1029" s="1655"/>
      <c r="G1029" s="1655"/>
      <c r="H1029" s="8"/>
    </row>
    <row r="1030" spans="1:11" x14ac:dyDescent="0.25">
      <c r="A1030" s="1523"/>
      <c r="B1030" s="8"/>
      <c r="C1030" s="8"/>
      <c r="D1030" s="529"/>
      <c r="E1030" s="8"/>
      <c r="F1030" s="1523"/>
      <c r="G1030" s="1524"/>
      <c r="H1030" s="8"/>
    </row>
    <row r="1031" spans="1:11" ht="27" customHeight="1" x14ac:dyDescent="0.25">
      <c r="A1031" s="1665" t="s">
        <v>3</v>
      </c>
      <c r="B1031" s="1666">
        <f>+VLOOKUP(C1031,ListaAPUs!$B:$E,4,FALSE)</f>
        <v>10.26</v>
      </c>
      <c r="C1031" s="2441" t="str">
        <f>+ListaAPUs!B226</f>
        <v>Acometida parcial de tablero totalizador Modulo No 8. -Tablero T-TGRUA a puente grua Casa de Bombas en 3X6+1X8+1X8T</v>
      </c>
      <c r="D1031" s="2441"/>
      <c r="E1031" s="2441"/>
      <c r="F1031" s="1665" t="s">
        <v>867</v>
      </c>
      <c r="G1031" s="1390" t="str">
        <f>+VLOOKUP(C1031,ListaAPUs!$B:$E,2,FALSE)</f>
        <v>m</v>
      </c>
      <c r="H1031" s="1524"/>
    </row>
    <row r="1032" spans="1:11" x14ac:dyDescent="0.25">
      <c r="A1032" s="1528"/>
      <c r="B1032" s="1527"/>
      <c r="C1032" s="1527"/>
      <c r="D1032" s="529"/>
      <c r="E1032" s="1527"/>
      <c r="F1032" s="1528"/>
      <c r="G1032" s="1524"/>
      <c r="H1032" s="1524"/>
    </row>
    <row r="1033" spans="1:11" x14ac:dyDescent="0.25">
      <c r="A1033" s="1528"/>
      <c r="B1033" s="1527"/>
      <c r="C1033" s="1527"/>
      <c r="D1033" s="529"/>
      <c r="E1033" s="1527"/>
      <c r="F1033" s="1528"/>
      <c r="G1033" s="1529"/>
      <c r="H1033" s="1524"/>
    </row>
    <row r="1034" spans="1:11" ht="15.75" thickBot="1" x14ac:dyDescent="0.3">
      <c r="A1034" s="1528"/>
      <c r="B1034" s="1527"/>
      <c r="C1034" s="1527"/>
      <c r="D1034" s="529"/>
      <c r="E1034" s="1527"/>
      <c r="F1034" s="1528"/>
      <c r="G1034" s="1524"/>
      <c r="H1034" s="1524"/>
    </row>
    <row r="1035" spans="1:11" ht="15.75" thickBot="1" x14ac:dyDescent="0.3">
      <c r="A1035" s="1368"/>
      <c r="B1035" s="1369" t="s">
        <v>5403</v>
      </c>
      <c r="C1035" s="1363" t="s">
        <v>867</v>
      </c>
      <c r="D1035" s="1120" t="s">
        <v>6</v>
      </c>
      <c r="E1035" s="1363" t="s">
        <v>9417</v>
      </c>
      <c r="F1035" s="1363" t="s">
        <v>5405</v>
      </c>
      <c r="G1035" s="1370" t="s">
        <v>7179</v>
      </c>
      <c r="H1035" s="1371"/>
    </row>
    <row r="1036" spans="1:11" x14ac:dyDescent="0.25">
      <c r="A1036" s="1528"/>
      <c r="B1036" s="1746" t="s">
        <v>9483</v>
      </c>
      <c r="C1036" s="1802" t="s">
        <v>5432</v>
      </c>
      <c r="D1036" s="1794">
        <v>3</v>
      </c>
      <c r="E1036" s="1803">
        <v>3850</v>
      </c>
      <c r="F1036" s="1804">
        <v>1.05</v>
      </c>
      <c r="G1036" s="1805">
        <f>+F1036*E1036*D1036</f>
        <v>12127.5</v>
      </c>
      <c r="H1036" s="1524"/>
    </row>
    <row r="1037" spans="1:11" x14ac:dyDescent="0.25">
      <c r="A1037" s="1528"/>
      <c r="B1037" s="1751" t="s">
        <v>9484</v>
      </c>
      <c r="C1037" s="1749" t="s">
        <v>5432</v>
      </c>
      <c r="D1037" s="1773">
        <v>1</v>
      </c>
      <c r="E1037" s="1825">
        <v>2450</v>
      </c>
      <c r="F1037" s="1769">
        <v>1.05</v>
      </c>
      <c r="G1037" s="1786">
        <f>+F1037*E1037*D1037</f>
        <v>2572.5</v>
      </c>
      <c r="H1037" s="1524"/>
    </row>
    <row r="1038" spans="1:11" x14ac:dyDescent="0.25">
      <c r="A1038" s="1528"/>
      <c r="B1038" s="1822" t="s">
        <v>9485</v>
      </c>
      <c r="C1038" s="1749" t="s">
        <v>5</v>
      </c>
      <c r="D1038" s="1769">
        <f>2/6</f>
        <v>0.33333333333333331</v>
      </c>
      <c r="E1038" s="1825">
        <v>2000</v>
      </c>
      <c r="F1038" s="1769">
        <v>1</v>
      </c>
      <c r="G1038" s="1786">
        <f>+F1038*E1038*D1038</f>
        <v>666.66666666666663</v>
      </c>
      <c r="H1038" s="1524"/>
    </row>
    <row r="1039" spans="1:11" x14ac:dyDescent="0.25">
      <c r="A1039" s="1528"/>
      <c r="B1039" s="1751" t="s">
        <v>9486</v>
      </c>
      <c r="C1039" s="1749" t="s">
        <v>5</v>
      </c>
      <c r="D1039" s="1769">
        <v>0.5</v>
      </c>
      <c r="E1039" s="1782">
        <v>6000</v>
      </c>
      <c r="F1039" s="1769">
        <v>1</v>
      </c>
      <c r="G1039" s="1786">
        <f>+F1039*E1039*D1039</f>
        <v>3000</v>
      </c>
      <c r="H1039" s="1524"/>
      <c r="J1039" s="1637"/>
      <c r="K1039" s="1637"/>
    </row>
    <row r="1040" spans="1:11" ht="25.5" x14ac:dyDescent="0.25">
      <c r="A1040" s="1528"/>
      <c r="B1040" s="1822" t="s">
        <v>9480</v>
      </c>
      <c r="C1040" s="1749" t="s">
        <v>9023</v>
      </c>
      <c r="D1040" s="1773">
        <v>1</v>
      </c>
      <c r="E1040" s="1782">
        <v>1000</v>
      </c>
      <c r="F1040" s="1769">
        <v>1</v>
      </c>
      <c r="G1040" s="1786">
        <f>+F1040*E1040</f>
        <v>1000</v>
      </c>
      <c r="H1040" s="1524"/>
      <c r="J1040" s="1637"/>
      <c r="K1040" s="1637"/>
    </row>
    <row r="1041" spans="1:11" x14ac:dyDescent="0.25">
      <c r="A1041" s="1528"/>
      <c r="B1041" s="1822" t="s">
        <v>9481</v>
      </c>
      <c r="C1041" s="1749" t="s">
        <v>9023</v>
      </c>
      <c r="D1041" s="1773">
        <v>1</v>
      </c>
      <c r="E1041" s="1782">
        <v>2000</v>
      </c>
      <c r="F1041" s="1769">
        <v>1</v>
      </c>
      <c r="G1041" s="1786">
        <f>+F1041*E1041</f>
        <v>2000</v>
      </c>
      <c r="H1041" s="1524"/>
      <c r="J1041" s="1637"/>
      <c r="K1041" s="1637"/>
    </row>
    <row r="1042" spans="1:11" x14ac:dyDescent="0.25">
      <c r="A1042" s="1528"/>
      <c r="B1042" s="1822" t="s">
        <v>9487</v>
      </c>
      <c r="C1042" s="1749" t="s">
        <v>5</v>
      </c>
      <c r="D1042" s="1773">
        <v>1</v>
      </c>
      <c r="E1042" s="1782">
        <v>1000</v>
      </c>
      <c r="F1042" s="1769">
        <v>1</v>
      </c>
      <c r="G1042" s="1786">
        <f>+F1042*E1042*D1042</f>
        <v>1000</v>
      </c>
      <c r="H1042" s="1524"/>
      <c r="J1042" s="1637"/>
      <c r="K1042" s="1637"/>
    </row>
    <row r="1043" spans="1:11" x14ac:dyDescent="0.25">
      <c r="A1043" s="1528"/>
      <c r="B1043" s="1830" t="s">
        <v>9488</v>
      </c>
      <c r="C1043" s="1749"/>
      <c r="D1043" s="1773"/>
      <c r="E1043" s="1782"/>
      <c r="F1043" s="1769"/>
      <c r="G1043" s="1786"/>
      <c r="H1043" s="1524"/>
      <c r="J1043" s="1637"/>
      <c r="K1043" s="1637"/>
    </row>
    <row r="1044" spans="1:11" x14ac:dyDescent="0.25">
      <c r="A1044" s="1528"/>
      <c r="B1044" s="1822" t="s">
        <v>9489</v>
      </c>
      <c r="C1044" s="1749" t="s">
        <v>14</v>
      </c>
      <c r="D1044" s="1773">
        <v>1</v>
      </c>
      <c r="E1044" s="1782">
        <f>54100/3</f>
        <v>18033.333333333332</v>
      </c>
      <c r="F1044" s="1769">
        <v>1.05</v>
      </c>
      <c r="G1044" s="1786">
        <f>+F1044*E1044*D1044</f>
        <v>18935</v>
      </c>
      <c r="H1044" s="1524"/>
      <c r="J1044" s="1637"/>
      <c r="K1044" s="1637"/>
    </row>
    <row r="1045" spans="1:11" x14ac:dyDescent="0.25">
      <c r="A1045" s="1528"/>
      <c r="B1045" s="1822" t="s">
        <v>9490</v>
      </c>
      <c r="C1045" s="1749" t="s">
        <v>5</v>
      </c>
      <c r="D1045" s="1773">
        <v>0.2</v>
      </c>
      <c r="E1045" s="1782">
        <v>6150</v>
      </c>
      <c r="F1045" s="1769">
        <v>1</v>
      </c>
      <c r="G1045" s="1786">
        <f t="shared" ref="G1045:G1047" si="7">+F1045*E1045*D1045</f>
        <v>1230</v>
      </c>
      <c r="H1045" s="1524"/>
      <c r="J1045" s="1637"/>
      <c r="K1045" s="1637"/>
    </row>
    <row r="1046" spans="1:11" x14ac:dyDescent="0.25">
      <c r="A1046" s="1528"/>
      <c r="B1046" s="1822" t="s">
        <v>9491</v>
      </c>
      <c r="C1046" s="1749" t="s">
        <v>5</v>
      </c>
      <c r="D1046" s="1773">
        <v>0.2</v>
      </c>
      <c r="E1046" s="1782">
        <v>1000</v>
      </c>
      <c r="F1046" s="1769">
        <v>1</v>
      </c>
      <c r="G1046" s="1786">
        <f t="shared" si="7"/>
        <v>200</v>
      </c>
      <c r="H1046" s="1524"/>
      <c r="J1046" s="1637"/>
      <c r="K1046" s="1637"/>
    </row>
    <row r="1047" spans="1:11" ht="38.25" x14ac:dyDescent="0.25">
      <c r="A1047" s="1528"/>
      <c r="B1047" s="1822" t="s">
        <v>9492</v>
      </c>
      <c r="C1047" s="1749" t="s">
        <v>9023</v>
      </c>
      <c r="D1047" s="1773">
        <v>1</v>
      </c>
      <c r="E1047" s="1782">
        <v>6000</v>
      </c>
      <c r="F1047" s="1769">
        <v>1</v>
      </c>
      <c r="G1047" s="1786">
        <f t="shared" si="7"/>
        <v>6000</v>
      </c>
      <c r="H1047" s="1524"/>
      <c r="J1047" s="1637"/>
      <c r="K1047" s="1637"/>
    </row>
    <row r="1048" spans="1:11" x14ac:dyDescent="0.25">
      <c r="A1048" s="1528"/>
      <c r="B1048" s="268"/>
      <c r="C1048" s="1534"/>
      <c r="D1048" s="211"/>
      <c r="E1048" s="1535" t="s">
        <v>7182</v>
      </c>
      <c r="F1048" s="1551"/>
      <c r="G1048" s="1541" t="s">
        <v>7182</v>
      </c>
      <c r="H1048" s="1524"/>
      <c r="J1048" s="1637"/>
      <c r="K1048" s="1637"/>
    </row>
    <row r="1049" spans="1:11" x14ac:dyDescent="0.25">
      <c r="A1049" s="1528"/>
      <c r="B1049" s="1346"/>
      <c r="C1049" s="1534"/>
      <c r="D1049" s="211"/>
      <c r="E1049" s="1535" t="s">
        <v>7182</v>
      </c>
      <c r="F1049" s="1551"/>
      <c r="G1049" s="1541" t="s">
        <v>7182</v>
      </c>
      <c r="H1049" s="1524"/>
      <c r="J1049" s="1637"/>
      <c r="K1049" s="1637"/>
    </row>
    <row r="1050" spans="1:11" ht="15.75" thickBot="1" x14ac:dyDescent="0.3">
      <c r="A1050" s="1528"/>
      <c r="B1050" s="1540"/>
      <c r="C1050" s="1537"/>
      <c r="D1050" s="952"/>
      <c r="E1050" s="1538" t="s">
        <v>7182</v>
      </c>
      <c r="F1050" s="1537"/>
      <c r="G1050" s="1541" t="s">
        <v>7182</v>
      </c>
      <c r="H1050" s="1524"/>
      <c r="J1050" s="1637"/>
      <c r="K1050" s="1637"/>
    </row>
    <row r="1051" spans="1:11" ht="15.75" thickBot="1" x14ac:dyDescent="0.3">
      <c r="A1051" s="1528"/>
      <c r="B1051" s="1555"/>
      <c r="C1051" s="1557"/>
      <c r="D1051" s="956"/>
      <c r="E1051" s="1556" t="s">
        <v>7182</v>
      </c>
      <c r="F1051" s="1557"/>
      <c r="G1051" s="1558" t="s">
        <v>7182</v>
      </c>
      <c r="H1051" s="1546">
        <f>SUM(G1036:G1051)</f>
        <v>48731.666666666664</v>
      </c>
      <c r="J1051" s="1637"/>
      <c r="K1051" s="1637"/>
    </row>
    <row r="1052" spans="1:11" x14ac:dyDescent="0.25">
      <c r="A1052" s="1528"/>
      <c r="B1052" s="1372"/>
      <c r="C1052" s="1374"/>
      <c r="D1052" s="1373"/>
      <c r="E1052" s="1372" t="s">
        <v>7182</v>
      </c>
      <c r="F1052" s="1374"/>
      <c r="G1052" s="1375" t="s">
        <v>7182</v>
      </c>
      <c r="H1052" s="1550"/>
      <c r="J1052" s="1637"/>
      <c r="K1052" s="1637"/>
    </row>
    <row r="1053" spans="1:11" ht="15.75" thickBot="1" x14ac:dyDescent="0.3">
      <c r="A1053" s="1527"/>
      <c r="B1053" s="188"/>
      <c r="C1053" s="189"/>
      <c r="D1053" s="1668"/>
      <c r="E1053" s="188"/>
      <c r="F1053" s="189"/>
      <c r="G1053" s="1669"/>
      <c r="H1053" s="1550"/>
      <c r="J1053" s="1637"/>
      <c r="K1053" s="1637"/>
    </row>
    <row r="1054" spans="1:11" ht="15.75" thickBot="1" x14ac:dyDescent="0.3">
      <c r="A1054" s="1527"/>
      <c r="B1054" s="1366" t="s">
        <v>9418</v>
      </c>
      <c r="C1054" s="1363" t="s">
        <v>867</v>
      </c>
      <c r="D1054" s="1120" t="s">
        <v>6</v>
      </c>
      <c r="E1054" s="1363" t="s">
        <v>7183</v>
      </c>
      <c r="F1054" s="1363" t="s">
        <v>5405</v>
      </c>
      <c r="G1054" s="1365" t="s">
        <v>7179</v>
      </c>
      <c r="H1054" s="1524"/>
      <c r="J1054" s="1637"/>
      <c r="K1054" s="1637"/>
    </row>
    <row r="1055" spans="1:11" x14ac:dyDescent="0.25">
      <c r="A1055" s="1527"/>
      <c r="B1055" s="1564" t="s">
        <v>5455</v>
      </c>
      <c r="C1055" s="1534" t="s">
        <v>5</v>
      </c>
      <c r="D1055" s="211">
        <v>1</v>
      </c>
      <c r="E1055" s="1535">
        <v>500</v>
      </c>
      <c r="F1055" s="1534">
        <v>1</v>
      </c>
      <c r="G1055" s="1572">
        <f>+F1055*E1055</f>
        <v>500</v>
      </c>
      <c r="H1055" s="1524"/>
      <c r="J1055" s="1637"/>
      <c r="K1055" s="1637"/>
    </row>
    <row r="1056" spans="1:11" x14ac:dyDescent="0.25">
      <c r="A1056" s="1527"/>
      <c r="B1056" s="1540"/>
      <c r="C1056" s="1537"/>
      <c r="D1056" s="212"/>
      <c r="E1056" s="1535" t="s">
        <v>7182</v>
      </c>
      <c r="F1056" s="1537"/>
      <c r="G1056" s="1572" t="s">
        <v>7182</v>
      </c>
      <c r="H1056" s="1524"/>
      <c r="J1056" s="1637"/>
      <c r="K1056" s="1637"/>
    </row>
    <row r="1057" spans="1:11" x14ac:dyDescent="0.25">
      <c r="A1057" s="1527"/>
      <c r="B1057" s="1540"/>
      <c r="C1057" s="1537"/>
      <c r="D1057" s="212"/>
      <c r="E1057" s="1535" t="s">
        <v>7182</v>
      </c>
      <c r="F1057" s="1537"/>
      <c r="G1057" s="1572" t="s">
        <v>7182</v>
      </c>
      <c r="H1057" s="1524"/>
      <c r="J1057" s="1637"/>
      <c r="K1057" s="1637"/>
    </row>
    <row r="1058" spans="1:11" ht="15.75" thickBot="1" x14ac:dyDescent="0.3">
      <c r="A1058" s="1527"/>
      <c r="B1058" s="1540"/>
      <c r="C1058" s="1537"/>
      <c r="D1058" s="212"/>
      <c r="E1058" s="1535" t="s">
        <v>7182</v>
      </c>
      <c r="F1058" s="1537"/>
      <c r="G1058" s="1572" t="s">
        <v>7182</v>
      </c>
      <c r="H1058" s="1524"/>
      <c r="J1058" s="1637"/>
      <c r="K1058" s="1637"/>
    </row>
    <row r="1059" spans="1:11" ht="15.75" thickBot="1" x14ac:dyDescent="0.3">
      <c r="A1059" s="1527"/>
      <c r="B1059" s="1555"/>
      <c r="C1059" s="1556"/>
      <c r="D1059" s="956"/>
      <c r="E1059" s="1556" t="s">
        <v>7182</v>
      </c>
      <c r="F1059" s="1557"/>
      <c r="G1059" s="1558" t="s">
        <v>7182</v>
      </c>
      <c r="H1059" s="1546">
        <f>SUM(G1055:G1059)</f>
        <v>500</v>
      </c>
      <c r="J1059" s="1637"/>
      <c r="K1059" s="1637"/>
    </row>
    <row r="1060" spans="1:11" ht="15.75" thickBot="1" x14ac:dyDescent="0.3">
      <c r="A1060" s="1527"/>
      <c r="B1060" s="1376"/>
      <c r="C1060" s="1353"/>
      <c r="D1060" s="1355"/>
      <c r="E1060" s="1352"/>
      <c r="F1060" s="1377"/>
      <c r="G1060" s="1378"/>
      <c r="H1060" s="1524"/>
      <c r="J1060" s="1637"/>
      <c r="K1060" s="1637"/>
    </row>
    <row r="1061" spans="1:11" ht="15.75" thickBot="1" x14ac:dyDescent="0.3">
      <c r="A1061" s="1527"/>
      <c r="B1061" s="1366" t="s">
        <v>5410</v>
      </c>
      <c r="C1061" s="1363" t="s">
        <v>867</v>
      </c>
      <c r="D1061" s="1120" t="s">
        <v>6</v>
      </c>
      <c r="E1061" s="1363" t="s">
        <v>7183</v>
      </c>
      <c r="F1061" s="1363" t="s">
        <v>5405</v>
      </c>
      <c r="G1061" s="1365" t="s">
        <v>7179</v>
      </c>
      <c r="H1061" s="1524"/>
      <c r="J1061" s="1637"/>
      <c r="K1061" s="1637"/>
    </row>
    <row r="1062" spans="1:11" ht="25.5" x14ac:dyDescent="0.25">
      <c r="A1062" s="1527"/>
      <c r="B1062" s="1564" t="s">
        <v>9421</v>
      </c>
      <c r="C1062" s="1534" t="s">
        <v>9023</v>
      </c>
      <c r="D1062" s="211">
        <v>1</v>
      </c>
      <c r="E1062" s="1535">
        <v>2500</v>
      </c>
      <c r="F1062" s="1534">
        <v>1</v>
      </c>
      <c r="G1062" s="1572">
        <f>+F1062*E1062</f>
        <v>2500</v>
      </c>
      <c r="H1062" s="1524"/>
      <c r="J1062" s="1637"/>
      <c r="K1062" s="1637"/>
    </row>
    <row r="1063" spans="1:11" x14ac:dyDescent="0.25">
      <c r="A1063" s="1527"/>
      <c r="B1063" s="1540"/>
      <c r="C1063" s="1537"/>
      <c r="D1063" s="212"/>
      <c r="E1063" s="1535" t="s">
        <v>7182</v>
      </c>
      <c r="F1063" s="1537"/>
      <c r="G1063" s="1572" t="s">
        <v>7182</v>
      </c>
      <c r="H1063" s="1524"/>
      <c r="J1063" s="1637"/>
      <c r="K1063" s="1637"/>
    </row>
    <row r="1064" spans="1:11" x14ac:dyDescent="0.25">
      <c r="A1064" s="1527"/>
      <c r="B1064" s="1540"/>
      <c r="C1064" s="1537"/>
      <c r="D1064" s="212"/>
      <c r="E1064" s="1535" t="s">
        <v>7182</v>
      </c>
      <c r="F1064" s="1537"/>
      <c r="G1064" s="1572" t="s">
        <v>7182</v>
      </c>
      <c r="H1064" s="1524"/>
      <c r="J1064" s="1637"/>
      <c r="K1064" s="1637"/>
    </row>
    <row r="1065" spans="1:11" ht="15.75" thickBot="1" x14ac:dyDescent="0.3">
      <c r="A1065" s="1527"/>
      <c r="B1065" s="1540"/>
      <c r="C1065" s="1537"/>
      <c r="D1065" s="212"/>
      <c r="E1065" s="1535" t="s">
        <v>7182</v>
      </c>
      <c r="F1065" s="1537"/>
      <c r="G1065" s="1572" t="s">
        <v>7182</v>
      </c>
      <c r="H1065" s="1524"/>
      <c r="J1065" s="1637"/>
      <c r="K1065" s="1637"/>
    </row>
    <row r="1066" spans="1:11" ht="15.75" thickBot="1" x14ac:dyDescent="0.3">
      <c r="A1066" s="1527"/>
      <c r="B1066" s="1555"/>
      <c r="C1066" s="1556"/>
      <c r="D1066" s="956"/>
      <c r="E1066" s="1556" t="s">
        <v>7182</v>
      </c>
      <c r="F1066" s="1557"/>
      <c r="G1066" s="1558" t="s">
        <v>7182</v>
      </c>
      <c r="H1066" s="1546">
        <f>SUM(G1062:G1066)</f>
        <v>2500</v>
      </c>
      <c r="J1066" s="1637"/>
      <c r="K1066" s="1637"/>
    </row>
    <row r="1067" spans="1:11" ht="15.75" thickBot="1" x14ac:dyDescent="0.3">
      <c r="A1067" s="1527"/>
      <c r="B1067" s="1547"/>
      <c r="C1067" s="1547"/>
      <c r="D1067" s="954"/>
      <c r="E1067" s="1547"/>
      <c r="F1067" s="1553"/>
      <c r="G1067" s="1554"/>
      <c r="H1067" s="1550"/>
      <c r="J1067" s="1637"/>
      <c r="K1067" s="1637"/>
    </row>
    <row r="1068" spans="1:11" ht="15.75" thickBot="1" x14ac:dyDescent="0.3">
      <c r="A1068" s="1559"/>
      <c r="B1068" s="1369" t="s">
        <v>5412</v>
      </c>
      <c r="C1068" s="1363" t="s">
        <v>5420</v>
      </c>
      <c r="D1068" s="1120" t="s">
        <v>5421</v>
      </c>
      <c r="E1068" s="1363" t="s">
        <v>7187</v>
      </c>
      <c r="F1068" s="1363" t="s">
        <v>5405</v>
      </c>
      <c r="G1068" s="1370" t="s">
        <v>7179</v>
      </c>
      <c r="H1068" s="1371"/>
      <c r="J1068" s="1637"/>
      <c r="K1068" s="1637"/>
    </row>
    <row r="1069" spans="1:11" x14ac:dyDescent="0.25">
      <c r="A1069" s="1527"/>
      <c r="B1069" s="1560" t="s">
        <v>9422</v>
      </c>
      <c r="C1069" s="1569">
        <v>170000</v>
      </c>
      <c r="D1069" s="352">
        <f>0.6*C1069</f>
        <v>102000</v>
      </c>
      <c r="E1069" s="1569">
        <f>+D1069+C1069</f>
        <v>272000</v>
      </c>
      <c r="F1069" s="819">
        <v>0.05</v>
      </c>
      <c r="G1069" s="818">
        <f>+F1069*E1069</f>
        <v>13600</v>
      </c>
      <c r="H1069" s="1524"/>
      <c r="J1069" s="1637"/>
      <c r="K1069" s="1637"/>
    </row>
    <row r="1070" spans="1:11" x14ac:dyDescent="0.25">
      <c r="A1070" s="1527"/>
      <c r="B1070" s="1560"/>
      <c r="C1070" s="1569"/>
      <c r="D1070" s="1569"/>
      <c r="E1070" s="1569"/>
      <c r="F1070" s="819"/>
      <c r="G1070" s="818"/>
      <c r="H1070" s="1524"/>
      <c r="J1070" s="1637"/>
      <c r="K1070" s="1637"/>
    </row>
    <row r="1071" spans="1:11" x14ac:dyDescent="0.25">
      <c r="A1071" s="1527"/>
      <c r="B1071" s="1561"/>
      <c r="C1071" s="1569"/>
      <c r="D1071" s="1569"/>
      <c r="E1071" s="1569"/>
      <c r="F1071" s="817"/>
      <c r="G1071" s="818"/>
      <c r="H1071" s="1524"/>
    </row>
    <row r="1072" spans="1:11" x14ac:dyDescent="0.25">
      <c r="A1072" s="1527"/>
      <c r="B1072" s="1540"/>
      <c r="C1072" s="1569"/>
      <c r="D1072" s="1569"/>
      <c r="E1072" s="1569"/>
      <c r="F1072" s="817"/>
      <c r="G1072" s="818"/>
      <c r="H1072" s="1524"/>
    </row>
    <row r="1073" spans="1:11" x14ac:dyDescent="0.25">
      <c r="A1073" s="1527"/>
      <c r="B1073" s="1540"/>
      <c r="C1073" s="1538" t="s">
        <v>7182</v>
      </c>
      <c r="D1073" s="952" t="s">
        <v>7182</v>
      </c>
      <c r="E1073" s="1538" t="s">
        <v>7182</v>
      </c>
      <c r="F1073" s="817"/>
      <c r="G1073" s="818" t="str">
        <f>IF(B1073="","",E1073/F1073)</f>
        <v/>
      </c>
      <c r="H1073" s="1524"/>
    </row>
    <row r="1074" spans="1:11" ht="15.75" thickBot="1" x14ac:dyDescent="0.3">
      <c r="A1074" s="1527"/>
      <c r="B1074" s="1540"/>
      <c r="C1074" s="1538" t="s">
        <v>7182</v>
      </c>
      <c r="D1074" s="952" t="s">
        <v>7182</v>
      </c>
      <c r="E1074" s="1538" t="s">
        <v>7182</v>
      </c>
      <c r="F1074" s="1537"/>
      <c r="G1074" s="818" t="str">
        <f>IF(B1074="","",E1074/F1074)</f>
        <v/>
      </c>
      <c r="H1074" s="1524"/>
    </row>
    <row r="1075" spans="1:11" ht="15.75" thickBot="1" x14ac:dyDescent="0.3">
      <c r="A1075" s="1527"/>
      <c r="B1075" s="1555"/>
      <c r="C1075" s="1556"/>
      <c r="D1075" s="956"/>
      <c r="E1075" s="1556"/>
      <c r="F1075" s="1557"/>
      <c r="G1075" s="1558"/>
      <c r="H1075" s="1546">
        <f>SUM(G1069:G1075)</f>
        <v>13600</v>
      </c>
    </row>
    <row r="1076" spans="1:11" ht="15.75" thickBot="1" x14ac:dyDescent="0.3">
      <c r="A1076" s="1527"/>
      <c r="B1076" s="1527"/>
      <c r="C1076" s="1527"/>
      <c r="D1076" s="529"/>
      <c r="F1076" s="1528"/>
      <c r="G1076" s="1524"/>
      <c r="H1076" s="1524"/>
    </row>
    <row r="1077" spans="1:11" ht="15.75" thickBot="1" x14ac:dyDescent="0.3">
      <c r="A1077" s="1647" t="s">
        <v>6744</v>
      </c>
      <c r="B1077" s="1352"/>
      <c r="C1077" s="1352"/>
      <c r="D1077" s="1671"/>
      <c r="E1077" s="1672"/>
      <c r="F1077" s="1353"/>
      <c r="G1077" s="1527" t="s">
        <v>5415</v>
      </c>
      <c r="H1077" s="502">
        <f>ROUND(SUM(H1035:H1076),0)</f>
        <v>65332</v>
      </c>
      <c r="J1077" s="1673">
        <f>+B1031</f>
        <v>10.26</v>
      </c>
      <c r="K1077" s="1674">
        <f>+H1077</f>
        <v>65332</v>
      </c>
    </row>
    <row r="1078" spans="1:11" x14ac:dyDescent="0.25">
      <c r="A1078" s="1675"/>
      <c r="B1078" s="1676"/>
      <c r="C1078" s="1676"/>
      <c r="D1078" s="1677"/>
      <c r="E1078" s="1678"/>
      <c r="F1078" s="1679"/>
      <c r="G1078" s="1680"/>
      <c r="H1078" s="1680"/>
    </row>
    <row r="1079" spans="1:11" ht="18.75" x14ac:dyDescent="0.25">
      <c r="A1079" s="1523"/>
      <c r="B1079" s="1655"/>
      <c r="C1079" s="1655"/>
      <c r="D1079" s="950"/>
      <c r="E1079" s="1655"/>
      <c r="F1079" s="1655"/>
      <c r="G1079" s="1655"/>
      <c r="H1079" s="8"/>
    </row>
    <row r="1080" spans="1:11" x14ac:dyDescent="0.25">
      <c r="A1080" s="1523"/>
      <c r="B1080" s="8"/>
      <c r="C1080" s="8"/>
      <c r="D1080" s="529"/>
      <c r="E1080" s="8"/>
      <c r="F1080" s="1523"/>
      <c r="G1080" s="1524"/>
      <c r="H1080" s="8"/>
    </row>
    <row r="1081" spans="1:11" ht="27" customHeight="1" x14ac:dyDescent="0.25">
      <c r="A1081" s="1665" t="s">
        <v>3</v>
      </c>
      <c r="B1081" s="1666">
        <f>+VLOOKUP(C1081,ListaAPUs!$B:$E,4,FALSE)</f>
        <v>10.27</v>
      </c>
      <c r="C1081" s="2441" t="str">
        <f>+ListaAPUs!B227</f>
        <v>Acometida parcial de tablero iluminacion normal TB tablero de Bombas a Tablero Servicios auxiliares T8 en 3X6+1X8+1X8T</v>
      </c>
      <c r="D1081" s="2441"/>
      <c r="E1081" s="2441"/>
      <c r="F1081" s="1665" t="s">
        <v>867</v>
      </c>
      <c r="G1081" s="1390" t="str">
        <f>+VLOOKUP(C1081,ListaAPUs!$B:$E,2,FALSE)</f>
        <v>m</v>
      </c>
      <c r="H1081" s="1524"/>
    </row>
    <row r="1082" spans="1:11" x14ac:dyDescent="0.25">
      <c r="A1082" s="1528"/>
      <c r="B1082" s="1527"/>
      <c r="C1082" s="1527"/>
      <c r="D1082" s="529"/>
      <c r="E1082" s="1527"/>
      <c r="F1082" s="1528"/>
      <c r="G1082" s="1524"/>
      <c r="H1082" s="1524"/>
    </row>
    <row r="1083" spans="1:11" x14ac:dyDescent="0.25">
      <c r="A1083" s="1528"/>
      <c r="B1083" s="1527"/>
      <c r="C1083" s="1527"/>
      <c r="D1083" s="529"/>
      <c r="E1083" s="1527"/>
      <c r="F1083" s="1528"/>
      <c r="G1083" s="1529"/>
      <c r="H1083" s="1524"/>
    </row>
    <row r="1084" spans="1:11" ht="15.75" thickBot="1" x14ac:dyDescent="0.3">
      <c r="A1084" s="1528"/>
      <c r="B1084" s="1527"/>
      <c r="C1084" s="1527"/>
      <c r="D1084" s="529"/>
      <c r="E1084" s="1527"/>
      <c r="F1084" s="1528"/>
      <c r="G1084" s="1524"/>
      <c r="H1084" s="1524"/>
    </row>
    <row r="1085" spans="1:11" ht="15.75" thickBot="1" x14ac:dyDescent="0.3">
      <c r="A1085" s="1368"/>
      <c r="B1085" s="1369" t="s">
        <v>5403</v>
      </c>
      <c r="C1085" s="1363" t="s">
        <v>867</v>
      </c>
      <c r="D1085" s="1120" t="s">
        <v>6</v>
      </c>
      <c r="E1085" s="1363" t="s">
        <v>9417</v>
      </c>
      <c r="F1085" s="1363" t="s">
        <v>5405</v>
      </c>
      <c r="G1085" s="1370" t="s">
        <v>7179</v>
      </c>
      <c r="H1085" s="1371"/>
    </row>
    <row r="1086" spans="1:11" x14ac:dyDescent="0.25">
      <c r="A1086" s="1528"/>
      <c r="B1086" s="1746" t="s">
        <v>9483</v>
      </c>
      <c r="C1086" s="1802" t="s">
        <v>5432</v>
      </c>
      <c r="D1086" s="1794">
        <v>3</v>
      </c>
      <c r="E1086" s="1803">
        <v>3850</v>
      </c>
      <c r="F1086" s="1769">
        <v>1.05</v>
      </c>
      <c r="G1086" s="1805">
        <f>+F1086*E1086*D1086</f>
        <v>12127.5</v>
      </c>
      <c r="H1086" s="1524"/>
    </row>
    <row r="1087" spans="1:11" x14ac:dyDescent="0.25">
      <c r="A1087" s="1528"/>
      <c r="B1087" s="1751" t="s">
        <v>9484</v>
      </c>
      <c r="C1087" s="1749" t="s">
        <v>5432</v>
      </c>
      <c r="D1087" s="1773">
        <v>1</v>
      </c>
      <c r="E1087" s="1825">
        <v>2450</v>
      </c>
      <c r="F1087" s="1769">
        <v>1.05</v>
      </c>
      <c r="G1087" s="1786">
        <f>+F1087*E1087*D1087</f>
        <v>2572.5</v>
      </c>
      <c r="H1087" s="1524"/>
      <c r="J1087" s="1637"/>
      <c r="K1087" s="1637"/>
    </row>
    <row r="1088" spans="1:11" x14ac:dyDescent="0.25">
      <c r="A1088" s="1528"/>
      <c r="B1088" s="1822" t="s">
        <v>9485</v>
      </c>
      <c r="C1088" s="1749" t="s">
        <v>5</v>
      </c>
      <c r="D1088" s="1769">
        <f>2/6</f>
        <v>0.33333333333333331</v>
      </c>
      <c r="E1088" s="1825">
        <v>2000</v>
      </c>
      <c r="F1088" s="1769">
        <v>1</v>
      </c>
      <c r="G1088" s="1786">
        <f>+F1088*E1088*D1088</f>
        <v>666.66666666666663</v>
      </c>
      <c r="H1088" s="1524"/>
      <c r="J1088" s="1637"/>
      <c r="K1088" s="1637"/>
    </row>
    <row r="1089" spans="1:11" x14ac:dyDescent="0.25">
      <c r="A1089" s="1528"/>
      <c r="B1089" s="1751" t="s">
        <v>9486</v>
      </c>
      <c r="C1089" s="1749" t="s">
        <v>5</v>
      </c>
      <c r="D1089" s="1769">
        <v>0.5</v>
      </c>
      <c r="E1089" s="1782">
        <v>6000</v>
      </c>
      <c r="F1089" s="1769">
        <v>1</v>
      </c>
      <c r="G1089" s="1786">
        <f>+F1089*E1089*D1089</f>
        <v>3000</v>
      </c>
      <c r="H1089" s="1524"/>
      <c r="J1089" s="1637"/>
      <c r="K1089" s="1637"/>
    </row>
    <row r="1090" spans="1:11" ht="25.5" x14ac:dyDescent="0.25">
      <c r="A1090" s="1528"/>
      <c r="B1090" s="1822" t="s">
        <v>9480</v>
      </c>
      <c r="C1090" s="1749" t="s">
        <v>9023</v>
      </c>
      <c r="D1090" s="1773">
        <v>1</v>
      </c>
      <c r="E1090" s="1782">
        <v>1000</v>
      </c>
      <c r="F1090" s="1769">
        <v>1</v>
      </c>
      <c r="G1090" s="1786">
        <f>+F1090*E1090</f>
        <v>1000</v>
      </c>
      <c r="H1090" s="1524"/>
      <c r="J1090" s="1637"/>
      <c r="K1090" s="1637"/>
    </row>
    <row r="1091" spans="1:11" x14ac:dyDescent="0.25">
      <c r="A1091" s="1528"/>
      <c r="B1091" s="1822" t="s">
        <v>9481</v>
      </c>
      <c r="C1091" s="1749" t="s">
        <v>9023</v>
      </c>
      <c r="D1091" s="1773">
        <v>1</v>
      </c>
      <c r="E1091" s="1782">
        <v>2000</v>
      </c>
      <c r="F1091" s="1769">
        <v>1</v>
      </c>
      <c r="G1091" s="1786">
        <f>+F1091*E1091</f>
        <v>2000</v>
      </c>
      <c r="H1091" s="1524"/>
      <c r="J1091" s="1637"/>
      <c r="K1091" s="1637"/>
    </row>
    <row r="1092" spans="1:11" x14ac:dyDescent="0.25">
      <c r="A1092" s="1528"/>
      <c r="B1092" s="1822" t="s">
        <v>9487</v>
      </c>
      <c r="C1092" s="1749" t="s">
        <v>5</v>
      </c>
      <c r="D1092" s="1773">
        <v>1</v>
      </c>
      <c r="E1092" s="1782">
        <v>1000</v>
      </c>
      <c r="F1092" s="1769">
        <v>1</v>
      </c>
      <c r="G1092" s="1786">
        <f>+F1092*E1092*D1092</f>
        <v>1000</v>
      </c>
      <c r="H1092" s="1524"/>
      <c r="J1092" s="1637"/>
      <c r="K1092" s="1637"/>
    </row>
    <row r="1093" spans="1:11" x14ac:dyDescent="0.25">
      <c r="A1093" s="1528"/>
      <c r="B1093" s="1830" t="s">
        <v>9488</v>
      </c>
      <c r="C1093" s="1749"/>
      <c r="D1093" s="1773"/>
      <c r="E1093" s="1782"/>
      <c r="F1093" s="1769"/>
      <c r="G1093" s="1786"/>
      <c r="H1093" s="1524"/>
      <c r="J1093" s="1637"/>
      <c r="K1093" s="1637"/>
    </row>
    <row r="1094" spans="1:11" x14ac:dyDescent="0.25">
      <c r="A1094" s="1528"/>
      <c r="B1094" s="1822" t="s">
        <v>9489</v>
      </c>
      <c r="C1094" s="1749" t="s">
        <v>14</v>
      </c>
      <c r="D1094" s="1773">
        <v>1</v>
      </c>
      <c r="E1094" s="1782">
        <f>54100/3</f>
        <v>18033.333333333332</v>
      </c>
      <c r="F1094" s="1769">
        <v>1.05</v>
      </c>
      <c r="G1094" s="1786">
        <f>+F1094*E1094*D1094</f>
        <v>18935</v>
      </c>
      <c r="H1094" s="1524"/>
      <c r="J1094" s="1637"/>
      <c r="K1094" s="1637"/>
    </row>
    <row r="1095" spans="1:11" x14ac:dyDescent="0.25">
      <c r="A1095" s="1528"/>
      <c r="B1095" s="1822" t="s">
        <v>9490</v>
      </c>
      <c r="C1095" s="1749" t="s">
        <v>5</v>
      </c>
      <c r="D1095" s="1773">
        <v>0.2</v>
      </c>
      <c r="E1095" s="1782">
        <v>6150</v>
      </c>
      <c r="F1095" s="1769">
        <v>1</v>
      </c>
      <c r="G1095" s="1786">
        <f t="shared" ref="G1095:G1097" si="8">+F1095*E1095*D1095</f>
        <v>1230</v>
      </c>
      <c r="H1095" s="1524"/>
      <c r="J1095" s="1637"/>
      <c r="K1095" s="1637"/>
    </row>
    <row r="1096" spans="1:11" x14ac:dyDescent="0.25">
      <c r="A1096" s="1528"/>
      <c r="B1096" s="1822" t="s">
        <v>9491</v>
      </c>
      <c r="C1096" s="1749" t="s">
        <v>5</v>
      </c>
      <c r="D1096" s="1773">
        <v>0.2</v>
      </c>
      <c r="E1096" s="1782">
        <v>1000</v>
      </c>
      <c r="F1096" s="1769">
        <v>1</v>
      </c>
      <c r="G1096" s="1786">
        <f t="shared" si="8"/>
        <v>200</v>
      </c>
      <c r="H1096" s="1524"/>
      <c r="J1096" s="1637"/>
      <c r="K1096" s="1637"/>
    </row>
    <row r="1097" spans="1:11" ht="38.25" x14ac:dyDescent="0.25">
      <c r="A1097" s="1528"/>
      <c r="B1097" s="1822" t="s">
        <v>9492</v>
      </c>
      <c r="C1097" s="1749" t="s">
        <v>9023</v>
      </c>
      <c r="D1097" s="1773">
        <v>1</v>
      </c>
      <c r="E1097" s="1782">
        <v>6000</v>
      </c>
      <c r="F1097" s="1769">
        <v>1</v>
      </c>
      <c r="G1097" s="1786">
        <f t="shared" si="8"/>
        <v>6000</v>
      </c>
      <c r="H1097" s="1524"/>
      <c r="J1097" s="1637"/>
      <c r="K1097" s="1637"/>
    </row>
    <row r="1098" spans="1:11" x14ac:dyDescent="0.25">
      <c r="A1098" s="1528"/>
      <c r="B1098" s="268"/>
      <c r="C1098" s="1534"/>
      <c r="D1098" s="211"/>
      <c r="E1098" s="1535" t="s">
        <v>7182</v>
      </c>
      <c r="F1098" s="1551"/>
      <c r="G1098" s="1541" t="s">
        <v>7182</v>
      </c>
      <c r="H1098" s="1524"/>
      <c r="J1098" s="1637"/>
      <c r="K1098" s="1637"/>
    </row>
    <row r="1099" spans="1:11" x14ac:dyDescent="0.25">
      <c r="A1099" s="1528"/>
      <c r="B1099" s="1346"/>
      <c r="C1099" s="1534"/>
      <c r="D1099" s="211"/>
      <c r="E1099" s="1535" t="s">
        <v>7182</v>
      </c>
      <c r="F1099" s="1551"/>
      <c r="G1099" s="1541" t="s">
        <v>7182</v>
      </c>
      <c r="H1099" s="1524"/>
      <c r="J1099" s="1637"/>
      <c r="K1099" s="1637"/>
    </row>
    <row r="1100" spans="1:11" ht="15.75" thickBot="1" x14ac:dyDescent="0.3">
      <c r="A1100" s="1528"/>
      <c r="B1100" s="1540"/>
      <c r="C1100" s="1537"/>
      <c r="D1100" s="952"/>
      <c r="E1100" s="1538" t="s">
        <v>7182</v>
      </c>
      <c r="F1100" s="1537"/>
      <c r="G1100" s="1541" t="s">
        <v>7182</v>
      </c>
      <c r="H1100" s="1524"/>
      <c r="J1100" s="1637"/>
      <c r="K1100" s="1637"/>
    </row>
    <row r="1101" spans="1:11" ht="15.75" thickBot="1" x14ac:dyDescent="0.3">
      <c r="A1101" s="1528"/>
      <c r="B1101" s="1555"/>
      <c r="C1101" s="1557"/>
      <c r="D1101" s="956"/>
      <c r="E1101" s="1556" t="s">
        <v>7182</v>
      </c>
      <c r="F1101" s="1557"/>
      <c r="G1101" s="1558" t="s">
        <v>7182</v>
      </c>
      <c r="H1101" s="1546">
        <f>SUM(G1086:G1101)</f>
        <v>48731.666666666664</v>
      </c>
      <c r="J1101" s="1637"/>
      <c r="K1101" s="1637"/>
    </row>
    <row r="1102" spans="1:11" x14ac:dyDescent="0.25">
      <c r="A1102" s="1528"/>
      <c r="B1102" s="1372"/>
      <c r="C1102" s="1374"/>
      <c r="D1102" s="1373"/>
      <c r="E1102" s="1372" t="s">
        <v>7182</v>
      </c>
      <c r="F1102" s="1374"/>
      <c r="G1102" s="1375" t="s">
        <v>7182</v>
      </c>
      <c r="H1102" s="1550"/>
      <c r="J1102" s="1637"/>
      <c r="K1102" s="1637"/>
    </row>
    <row r="1103" spans="1:11" ht="15.75" thickBot="1" x14ac:dyDescent="0.3">
      <c r="A1103" s="1527"/>
      <c r="B1103" s="188"/>
      <c r="C1103" s="189"/>
      <c r="D1103" s="1668"/>
      <c r="E1103" s="188"/>
      <c r="F1103" s="189"/>
      <c r="G1103" s="1669"/>
      <c r="H1103" s="1550"/>
      <c r="J1103" s="1637"/>
      <c r="K1103" s="1637"/>
    </row>
    <row r="1104" spans="1:11" ht="15.75" thickBot="1" x14ac:dyDescent="0.3">
      <c r="A1104" s="1527"/>
      <c r="B1104" s="1366" t="s">
        <v>9418</v>
      </c>
      <c r="C1104" s="1363" t="s">
        <v>867</v>
      </c>
      <c r="D1104" s="1120" t="s">
        <v>6</v>
      </c>
      <c r="E1104" s="1363" t="s">
        <v>7183</v>
      </c>
      <c r="F1104" s="1363" t="s">
        <v>5405</v>
      </c>
      <c r="G1104" s="1365" t="s">
        <v>7179</v>
      </c>
      <c r="H1104" s="1524"/>
      <c r="J1104" s="1637"/>
      <c r="K1104" s="1637"/>
    </row>
    <row r="1105" spans="1:11" x14ac:dyDescent="0.25">
      <c r="A1105" s="1527"/>
      <c r="B1105" s="1564" t="s">
        <v>5455</v>
      </c>
      <c r="C1105" s="1534" t="s">
        <v>5</v>
      </c>
      <c r="D1105" s="211">
        <v>1</v>
      </c>
      <c r="E1105" s="1535">
        <v>500</v>
      </c>
      <c r="F1105" s="1534">
        <v>1</v>
      </c>
      <c r="G1105" s="1572">
        <f>+F1105*E1105</f>
        <v>500</v>
      </c>
      <c r="H1105" s="1524"/>
      <c r="J1105" s="1637"/>
      <c r="K1105" s="1637"/>
    </row>
    <row r="1106" spans="1:11" x14ac:dyDescent="0.25">
      <c r="A1106" s="1527"/>
      <c r="B1106" s="1540"/>
      <c r="C1106" s="1537"/>
      <c r="D1106" s="212"/>
      <c r="E1106" s="1535" t="s">
        <v>7182</v>
      </c>
      <c r="F1106" s="1537"/>
      <c r="G1106" s="1572" t="s">
        <v>7182</v>
      </c>
      <c r="H1106" s="1524"/>
      <c r="J1106" s="1637"/>
      <c r="K1106" s="1637"/>
    </row>
    <row r="1107" spans="1:11" x14ac:dyDescent="0.25">
      <c r="A1107" s="1527"/>
      <c r="B1107" s="1540"/>
      <c r="C1107" s="1537"/>
      <c r="D1107" s="212"/>
      <c r="E1107" s="1535" t="s">
        <v>7182</v>
      </c>
      <c r="F1107" s="1537"/>
      <c r="G1107" s="1572" t="s">
        <v>7182</v>
      </c>
      <c r="H1107" s="1524"/>
      <c r="J1107" s="1637"/>
      <c r="K1107" s="1637"/>
    </row>
    <row r="1108" spans="1:11" ht="15.75" thickBot="1" x14ac:dyDescent="0.3">
      <c r="A1108" s="1527"/>
      <c r="B1108" s="1540"/>
      <c r="C1108" s="1537"/>
      <c r="D1108" s="212"/>
      <c r="E1108" s="1535" t="s">
        <v>7182</v>
      </c>
      <c r="F1108" s="1537"/>
      <c r="G1108" s="1572" t="s">
        <v>7182</v>
      </c>
      <c r="H1108" s="1524"/>
      <c r="J1108" s="1637"/>
      <c r="K1108" s="1637"/>
    </row>
    <row r="1109" spans="1:11" ht="15.75" thickBot="1" x14ac:dyDescent="0.3">
      <c r="A1109" s="1527"/>
      <c r="B1109" s="1555"/>
      <c r="C1109" s="1556"/>
      <c r="D1109" s="956"/>
      <c r="E1109" s="1556" t="s">
        <v>7182</v>
      </c>
      <c r="F1109" s="1557"/>
      <c r="G1109" s="1558" t="s">
        <v>7182</v>
      </c>
      <c r="H1109" s="1546">
        <f>SUM(G1105:G1109)</f>
        <v>500</v>
      </c>
      <c r="J1109" s="1637"/>
      <c r="K1109" s="1637"/>
    </row>
    <row r="1110" spans="1:11" ht="15.75" thickBot="1" x14ac:dyDescent="0.3">
      <c r="A1110" s="1527"/>
      <c r="B1110" s="1376"/>
      <c r="C1110" s="1353"/>
      <c r="D1110" s="1355"/>
      <c r="E1110" s="1352"/>
      <c r="F1110" s="1377"/>
      <c r="G1110" s="1378"/>
      <c r="H1110" s="1524"/>
      <c r="J1110" s="1637"/>
      <c r="K1110" s="1637"/>
    </row>
    <row r="1111" spans="1:11" ht="15.75" thickBot="1" x14ac:dyDescent="0.3">
      <c r="A1111" s="1527"/>
      <c r="B1111" s="1366" t="s">
        <v>5410</v>
      </c>
      <c r="C1111" s="1363" t="s">
        <v>867</v>
      </c>
      <c r="D1111" s="1120" t="s">
        <v>6</v>
      </c>
      <c r="E1111" s="1363" t="s">
        <v>7183</v>
      </c>
      <c r="F1111" s="1363" t="s">
        <v>5405</v>
      </c>
      <c r="G1111" s="1365" t="s">
        <v>7179</v>
      </c>
      <c r="H1111" s="1524"/>
      <c r="J1111" s="1637"/>
      <c r="K1111" s="1637"/>
    </row>
    <row r="1112" spans="1:11" ht="25.5" x14ac:dyDescent="0.25">
      <c r="A1112" s="1527"/>
      <c r="B1112" s="1564" t="s">
        <v>9421</v>
      </c>
      <c r="C1112" s="1534" t="s">
        <v>9023</v>
      </c>
      <c r="D1112" s="211">
        <v>1</v>
      </c>
      <c r="E1112" s="1535">
        <v>2500</v>
      </c>
      <c r="F1112" s="1534">
        <v>1</v>
      </c>
      <c r="G1112" s="1572">
        <f>+F1112*E1112</f>
        <v>2500</v>
      </c>
      <c r="H1112" s="1524"/>
      <c r="J1112" s="1637"/>
      <c r="K1112" s="1637"/>
    </row>
    <row r="1113" spans="1:11" x14ac:dyDescent="0.25">
      <c r="A1113" s="1527"/>
      <c r="B1113" s="1540"/>
      <c r="C1113" s="1537"/>
      <c r="D1113" s="212"/>
      <c r="E1113" s="1535" t="s">
        <v>7182</v>
      </c>
      <c r="F1113" s="1537"/>
      <c r="G1113" s="1572" t="s">
        <v>7182</v>
      </c>
      <c r="H1113" s="1524"/>
      <c r="J1113" s="1637"/>
      <c r="K1113" s="1637"/>
    </row>
    <row r="1114" spans="1:11" x14ac:dyDescent="0.25">
      <c r="A1114" s="1527"/>
      <c r="B1114" s="1540"/>
      <c r="C1114" s="1537"/>
      <c r="D1114" s="212"/>
      <c r="E1114" s="1535" t="s">
        <v>7182</v>
      </c>
      <c r="F1114" s="1537"/>
      <c r="G1114" s="1572" t="s">
        <v>7182</v>
      </c>
      <c r="H1114" s="1524"/>
      <c r="J1114" s="1637"/>
      <c r="K1114" s="1637"/>
    </row>
    <row r="1115" spans="1:11" ht="15.75" thickBot="1" x14ac:dyDescent="0.3">
      <c r="A1115" s="1527"/>
      <c r="B1115" s="1540"/>
      <c r="C1115" s="1537"/>
      <c r="D1115" s="212"/>
      <c r="E1115" s="1535" t="s">
        <v>7182</v>
      </c>
      <c r="F1115" s="1537"/>
      <c r="G1115" s="1572" t="s">
        <v>7182</v>
      </c>
      <c r="H1115" s="1524"/>
      <c r="J1115" s="1637"/>
      <c r="K1115" s="1637"/>
    </row>
    <row r="1116" spans="1:11" ht="15.75" thickBot="1" x14ac:dyDescent="0.3">
      <c r="A1116" s="1527"/>
      <c r="B1116" s="1555"/>
      <c r="C1116" s="1556"/>
      <c r="D1116" s="956"/>
      <c r="E1116" s="1556" t="s">
        <v>7182</v>
      </c>
      <c r="F1116" s="1557"/>
      <c r="G1116" s="1558" t="s">
        <v>7182</v>
      </c>
      <c r="H1116" s="1546">
        <f>SUM(G1112:G1116)</f>
        <v>2500</v>
      </c>
      <c r="J1116" s="1637"/>
      <c r="K1116" s="1637"/>
    </row>
    <row r="1117" spans="1:11" ht="15.75" thickBot="1" x14ac:dyDescent="0.3">
      <c r="A1117" s="1527"/>
      <c r="B1117" s="1547"/>
      <c r="C1117" s="1547"/>
      <c r="D1117" s="954"/>
      <c r="E1117" s="1547"/>
      <c r="F1117" s="1553"/>
      <c r="G1117" s="1554"/>
      <c r="H1117" s="1550"/>
      <c r="J1117" s="1637"/>
      <c r="K1117" s="1637"/>
    </row>
    <row r="1118" spans="1:11" ht="15.75" thickBot="1" x14ac:dyDescent="0.3">
      <c r="A1118" s="1559"/>
      <c r="B1118" s="1369" t="s">
        <v>5412</v>
      </c>
      <c r="C1118" s="1363" t="s">
        <v>5420</v>
      </c>
      <c r="D1118" s="1120" t="s">
        <v>5421</v>
      </c>
      <c r="E1118" s="1363" t="s">
        <v>7187</v>
      </c>
      <c r="F1118" s="1363" t="s">
        <v>5405</v>
      </c>
      <c r="G1118" s="1370" t="s">
        <v>7179</v>
      </c>
      <c r="H1118" s="1371"/>
      <c r="J1118" s="1637"/>
      <c r="K1118" s="1637"/>
    </row>
    <row r="1119" spans="1:11" x14ac:dyDescent="0.25">
      <c r="A1119" s="1527"/>
      <c r="B1119" s="1767" t="s">
        <v>9422</v>
      </c>
      <c r="C1119" s="1778">
        <v>170000</v>
      </c>
      <c r="D1119" s="1779">
        <f>0.6*C1119</f>
        <v>102000</v>
      </c>
      <c r="E1119" s="1778">
        <f>+D1119+C1119</f>
        <v>272000</v>
      </c>
      <c r="F1119" s="1790">
        <v>0.05</v>
      </c>
      <c r="G1119" s="1789">
        <f>+F1119*E1119</f>
        <v>13600</v>
      </c>
      <c r="H1119" s="1524"/>
    </row>
    <row r="1120" spans="1:11" x14ac:dyDescent="0.25">
      <c r="A1120" s="1527"/>
      <c r="B1120" s="1560"/>
      <c r="C1120" s="1569"/>
      <c r="D1120" s="1569"/>
      <c r="E1120" s="1569"/>
      <c r="F1120" s="819"/>
      <c r="G1120" s="818"/>
      <c r="H1120" s="1524"/>
    </row>
    <row r="1121" spans="1:11" x14ac:dyDescent="0.25">
      <c r="A1121" s="1527"/>
      <c r="B1121" s="1561"/>
      <c r="C1121" s="1569"/>
      <c r="D1121" s="1569"/>
      <c r="E1121" s="1569"/>
      <c r="F1121" s="817"/>
      <c r="G1121" s="818"/>
      <c r="H1121" s="1524"/>
    </row>
    <row r="1122" spans="1:11" x14ac:dyDescent="0.25">
      <c r="A1122" s="1527"/>
      <c r="B1122" s="1540"/>
      <c r="C1122" s="1569"/>
      <c r="D1122" s="1569"/>
      <c r="E1122" s="1569"/>
      <c r="F1122" s="817"/>
      <c r="G1122" s="818"/>
      <c r="H1122" s="1524"/>
    </row>
    <row r="1123" spans="1:11" x14ac:dyDescent="0.25">
      <c r="A1123" s="1527"/>
      <c r="B1123" s="1540"/>
      <c r="C1123" s="1538" t="s">
        <v>7182</v>
      </c>
      <c r="D1123" s="952" t="s">
        <v>7182</v>
      </c>
      <c r="E1123" s="1538" t="s">
        <v>7182</v>
      </c>
      <c r="F1123" s="817"/>
      <c r="G1123" s="818" t="str">
        <f>IF(B1123="","",E1123/F1123)</f>
        <v/>
      </c>
      <c r="H1123" s="1524"/>
    </row>
    <row r="1124" spans="1:11" ht="15.75" thickBot="1" x14ac:dyDescent="0.3">
      <c r="A1124" s="1527"/>
      <c r="B1124" s="1540"/>
      <c r="C1124" s="1538" t="s">
        <v>7182</v>
      </c>
      <c r="D1124" s="952" t="s">
        <v>7182</v>
      </c>
      <c r="E1124" s="1538" t="s">
        <v>7182</v>
      </c>
      <c r="F1124" s="1537"/>
      <c r="G1124" s="818" t="str">
        <f>IF(B1124="","",E1124/F1124)</f>
        <v/>
      </c>
      <c r="H1124" s="1524"/>
    </row>
    <row r="1125" spans="1:11" ht="15.75" thickBot="1" x14ac:dyDescent="0.3">
      <c r="A1125" s="1527"/>
      <c r="B1125" s="1555"/>
      <c r="C1125" s="1556"/>
      <c r="D1125" s="956"/>
      <c r="E1125" s="1556"/>
      <c r="F1125" s="1557"/>
      <c r="G1125" s="1558"/>
      <c r="H1125" s="1546">
        <f>SUM(G1119:G1125)</f>
        <v>13600</v>
      </c>
    </row>
    <row r="1126" spans="1:11" ht="15.75" thickBot="1" x14ac:dyDescent="0.3">
      <c r="A1126" s="1527"/>
      <c r="B1126" s="1527"/>
      <c r="C1126" s="1527"/>
      <c r="D1126" s="529"/>
      <c r="F1126" s="1528"/>
      <c r="G1126" s="1524"/>
      <c r="H1126" s="1524"/>
    </row>
    <row r="1127" spans="1:11" ht="15.75" thickBot="1" x14ac:dyDescent="0.3">
      <c r="A1127" s="1647" t="s">
        <v>6744</v>
      </c>
      <c r="B1127" s="1352"/>
      <c r="C1127" s="1352"/>
      <c r="D1127" s="1671"/>
      <c r="E1127" s="1672"/>
      <c r="F1127" s="1353"/>
      <c r="G1127" s="1527" t="s">
        <v>5415</v>
      </c>
      <c r="H1127" s="502">
        <f>ROUND(SUM(H1085:H1126),0)</f>
        <v>65332</v>
      </c>
      <c r="J1127" s="1673">
        <f>+B1081</f>
        <v>10.27</v>
      </c>
      <c r="K1127" s="1674">
        <f>+H1127</f>
        <v>65332</v>
      </c>
    </row>
    <row r="1128" spans="1:11" x14ac:dyDescent="0.25">
      <c r="A1128" s="1675"/>
      <c r="B1128" s="1676"/>
      <c r="C1128" s="1676"/>
      <c r="D1128" s="1677"/>
      <c r="E1128" s="1678"/>
      <c r="F1128" s="1679"/>
      <c r="G1128" s="1680"/>
      <c r="H1128" s="1680"/>
    </row>
    <row r="1129" spans="1:11" ht="18.75" x14ac:dyDescent="0.25">
      <c r="A1129" s="1523"/>
      <c r="B1129" s="1655"/>
      <c r="C1129" s="1655"/>
      <c r="D1129" s="950"/>
      <c r="E1129" s="1655"/>
      <c r="F1129" s="1655"/>
      <c r="G1129" s="1655"/>
      <c r="H1129" s="8"/>
    </row>
    <row r="1130" spans="1:11" x14ac:dyDescent="0.25">
      <c r="A1130" s="1523"/>
      <c r="B1130" s="8"/>
      <c r="C1130" s="8"/>
      <c r="D1130" s="529"/>
      <c r="E1130" s="8"/>
      <c r="F1130" s="1523"/>
      <c r="G1130" s="1524"/>
      <c r="H1130" s="8"/>
    </row>
    <row r="1131" spans="1:11" ht="27" customHeight="1" x14ac:dyDescent="0.25">
      <c r="A1131" s="1665" t="s">
        <v>3</v>
      </c>
      <c r="B1131" s="1666">
        <f>+VLOOKUP(C1131,ListaAPUs!$B:$E,4,FALSE)</f>
        <v>10.28</v>
      </c>
      <c r="C1131" s="2441" t="str">
        <f>+ListaAPUs!B228</f>
        <v>Acometida parcial de tablero iluminacion normal TO tablero de Oficinas a Tablero Servicios auxiliares T8 en 3X6+1X8+1X8T</v>
      </c>
      <c r="D1131" s="2441"/>
      <c r="E1131" s="2441"/>
      <c r="F1131" s="1665" t="s">
        <v>867</v>
      </c>
      <c r="G1131" s="1390" t="str">
        <f>+VLOOKUP(C1131,ListaAPUs!$B:$E,2,FALSE)</f>
        <v>m</v>
      </c>
      <c r="H1131" s="1524"/>
    </row>
    <row r="1132" spans="1:11" x14ac:dyDescent="0.25">
      <c r="A1132" s="1528"/>
      <c r="B1132" s="1527"/>
      <c r="C1132" s="1527"/>
      <c r="D1132" s="529"/>
      <c r="E1132" s="1527"/>
      <c r="F1132" s="1528"/>
      <c r="G1132" s="1524"/>
      <c r="H1132" s="1524"/>
    </row>
    <row r="1133" spans="1:11" x14ac:dyDescent="0.25">
      <c r="A1133" s="1528"/>
      <c r="B1133" s="1527"/>
      <c r="C1133" s="1527"/>
      <c r="D1133" s="529"/>
      <c r="E1133" s="1527"/>
      <c r="F1133" s="1528"/>
      <c r="G1133" s="1529"/>
      <c r="H1133" s="1524"/>
    </row>
    <row r="1134" spans="1:11" ht="15.75" thickBot="1" x14ac:dyDescent="0.3">
      <c r="A1134" s="1528"/>
      <c r="B1134" s="1527"/>
      <c r="C1134" s="1527"/>
      <c r="D1134" s="529"/>
      <c r="E1134" s="1527"/>
      <c r="F1134" s="1528"/>
      <c r="G1134" s="1524"/>
      <c r="H1134" s="1524"/>
    </row>
    <row r="1135" spans="1:11" ht="15.75" thickBot="1" x14ac:dyDescent="0.3">
      <c r="A1135" s="1368"/>
      <c r="B1135" s="1369" t="s">
        <v>5403</v>
      </c>
      <c r="C1135" s="1363" t="s">
        <v>867</v>
      </c>
      <c r="D1135" s="1120" t="s">
        <v>6</v>
      </c>
      <c r="E1135" s="1363" t="s">
        <v>9417</v>
      </c>
      <c r="F1135" s="1363" t="s">
        <v>5405</v>
      </c>
      <c r="G1135" s="1370" t="s">
        <v>7179</v>
      </c>
      <c r="H1135" s="1371"/>
      <c r="J1135" s="1637"/>
      <c r="K1135" s="1637"/>
    </row>
    <row r="1136" spans="1:11" x14ac:dyDescent="0.25">
      <c r="A1136" s="1528"/>
      <c r="B1136" s="1746" t="s">
        <v>9483</v>
      </c>
      <c r="C1136" s="1802" t="s">
        <v>5432</v>
      </c>
      <c r="D1136" s="1794">
        <v>3</v>
      </c>
      <c r="E1136" s="1803">
        <v>3850</v>
      </c>
      <c r="F1136" s="1804">
        <v>1.05</v>
      </c>
      <c r="G1136" s="1805">
        <f>+F1136*E1136*D1136</f>
        <v>12127.5</v>
      </c>
      <c r="H1136" s="1524"/>
      <c r="J1136" s="1637"/>
      <c r="K1136" s="1637"/>
    </row>
    <row r="1137" spans="1:11" x14ac:dyDescent="0.25">
      <c r="A1137" s="1528"/>
      <c r="B1137" s="1751" t="s">
        <v>9484</v>
      </c>
      <c r="C1137" s="1749" t="s">
        <v>5432</v>
      </c>
      <c r="D1137" s="1773">
        <v>1</v>
      </c>
      <c r="E1137" s="1825">
        <v>2450</v>
      </c>
      <c r="F1137" s="1769">
        <v>1.05</v>
      </c>
      <c r="G1137" s="1786">
        <f>+F1137*E1137*D1137</f>
        <v>2572.5</v>
      </c>
      <c r="H1137" s="1524"/>
      <c r="J1137" s="1637"/>
      <c r="K1137" s="1637"/>
    </row>
    <row r="1138" spans="1:11" x14ac:dyDescent="0.25">
      <c r="A1138" s="1528"/>
      <c r="B1138" s="1822" t="s">
        <v>9485</v>
      </c>
      <c r="C1138" s="1749" t="s">
        <v>5</v>
      </c>
      <c r="D1138" s="1769">
        <f>2/6</f>
        <v>0.33333333333333331</v>
      </c>
      <c r="E1138" s="1825">
        <v>2000</v>
      </c>
      <c r="F1138" s="1769">
        <v>1</v>
      </c>
      <c r="G1138" s="1786">
        <f>+F1138*E1138*D1138</f>
        <v>666.66666666666663</v>
      </c>
      <c r="H1138" s="1524"/>
      <c r="J1138" s="1637"/>
      <c r="K1138" s="1637"/>
    </row>
    <row r="1139" spans="1:11" x14ac:dyDescent="0.25">
      <c r="A1139" s="1528"/>
      <c r="B1139" s="1751" t="s">
        <v>9486</v>
      </c>
      <c r="C1139" s="1749" t="s">
        <v>5</v>
      </c>
      <c r="D1139" s="1769">
        <v>0.5</v>
      </c>
      <c r="E1139" s="1782">
        <v>6000</v>
      </c>
      <c r="F1139" s="1769">
        <v>1</v>
      </c>
      <c r="G1139" s="1786">
        <f>+F1139*E1139*D1139</f>
        <v>3000</v>
      </c>
      <c r="H1139" s="1524"/>
      <c r="J1139" s="1637"/>
      <c r="K1139" s="1637"/>
    </row>
    <row r="1140" spans="1:11" ht="25.5" x14ac:dyDescent="0.25">
      <c r="A1140" s="1528"/>
      <c r="B1140" s="1822" t="s">
        <v>9480</v>
      </c>
      <c r="C1140" s="1749" t="s">
        <v>9023</v>
      </c>
      <c r="D1140" s="1773">
        <v>1</v>
      </c>
      <c r="E1140" s="1782">
        <v>1000</v>
      </c>
      <c r="F1140" s="1769">
        <v>1</v>
      </c>
      <c r="G1140" s="1786">
        <f>+F1140*E1140</f>
        <v>1000</v>
      </c>
      <c r="H1140" s="1524"/>
      <c r="J1140" s="1637"/>
      <c r="K1140" s="1637"/>
    </row>
    <row r="1141" spans="1:11" x14ac:dyDescent="0.25">
      <c r="A1141" s="1528"/>
      <c r="B1141" s="1822" t="s">
        <v>9481</v>
      </c>
      <c r="C1141" s="1749" t="s">
        <v>9023</v>
      </c>
      <c r="D1141" s="1773">
        <v>1</v>
      </c>
      <c r="E1141" s="1782">
        <v>2000</v>
      </c>
      <c r="F1141" s="1769">
        <v>1</v>
      </c>
      <c r="G1141" s="1786">
        <f>+F1141*E1141</f>
        <v>2000</v>
      </c>
      <c r="H1141" s="1524"/>
      <c r="J1141" s="1637"/>
      <c r="K1141" s="1637"/>
    </row>
    <row r="1142" spans="1:11" x14ac:dyDescent="0.25">
      <c r="A1142" s="1528"/>
      <c r="B1142" s="1822" t="s">
        <v>9487</v>
      </c>
      <c r="C1142" s="1749" t="s">
        <v>5</v>
      </c>
      <c r="D1142" s="1773">
        <v>1</v>
      </c>
      <c r="E1142" s="1782">
        <v>1000</v>
      </c>
      <c r="F1142" s="1769">
        <v>1</v>
      </c>
      <c r="G1142" s="1786">
        <f>+F1142*E1142*D1142</f>
        <v>1000</v>
      </c>
      <c r="H1142" s="1524"/>
      <c r="J1142" s="1637"/>
      <c r="K1142" s="1637"/>
    </row>
    <row r="1143" spans="1:11" x14ac:dyDescent="0.25">
      <c r="A1143" s="1528"/>
      <c r="B1143" s="1830" t="s">
        <v>9488</v>
      </c>
      <c r="C1143" s="1749"/>
      <c r="D1143" s="1773"/>
      <c r="E1143" s="1782"/>
      <c r="F1143" s="1769"/>
      <c r="G1143" s="1786"/>
      <c r="H1143" s="1524"/>
      <c r="J1143" s="1637"/>
      <c r="K1143" s="1637"/>
    </row>
    <row r="1144" spans="1:11" x14ac:dyDescent="0.25">
      <c r="A1144" s="1528"/>
      <c r="B1144" s="1822" t="s">
        <v>9489</v>
      </c>
      <c r="C1144" s="1749" t="s">
        <v>14</v>
      </c>
      <c r="D1144" s="1773">
        <v>1</v>
      </c>
      <c r="E1144" s="1782">
        <f>54100/3</f>
        <v>18033.333333333332</v>
      </c>
      <c r="F1144" s="1769">
        <v>1.05</v>
      </c>
      <c r="G1144" s="1786">
        <f>+F1144*E1144*D1144</f>
        <v>18935</v>
      </c>
      <c r="H1144" s="1524"/>
      <c r="J1144" s="1637"/>
      <c r="K1144" s="1637"/>
    </row>
    <row r="1145" spans="1:11" x14ac:dyDescent="0.25">
      <c r="A1145" s="1528"/>
      <c r="B1145" s="1822" t="s">
        <v>9490</v>
      </c>
      <c r="C1145" s="1749" t="s">
        <v>5</v>
      </c>
      <c r="D1145" s="1773">
        <v>0.2</v>
      </c>
      <c r="E1145" s="1782">
        <v>6150</v>
      </c>
      <c r="F1145" s="1769">
        <v>1</v>
      </c>
      <c r="G1145" s="1786">
        <f t="shared" ref="G1145:G1147" si="9">+F1145*E1145*D1145</f>
        <v>1230</v>
      </c>
      <c r="H1145" s="1524"/>
      <c r="J1145" s="1637"/>
      <c r="K1145" s="1637"/>
    </row>
    <row r="1146" spans="1:11" x14ac:dyDescent="0.25">
      <c r="A1146" s="1528"/>
      <c r="B1146" s="1822" t="s">
        <v>9491</v>
      </c>
      <c r="C1146" s="1749" t="s">
        <v>5</v>
      </c>
      <c r="D1146" s="1773">
        <v>0.2</v>
      </c>
      <c r="E1146" s="1782">
        <v>1000</v>
      </c>
      <c r="F1146" s="1769">
        <v>1</v>
      </c>
      <c r="G1146" s="1786">
        <f t="shared" si="9"/>
        <v>200</v>
      </c>
      <c r="H1146" s="1524"/>
      <c r="J1146" s="1637"/>
      <c r="K1146" s="1637"/>
    </row>
    <row r="1147" spans="1:11" ht="38.25" x14ac:dyDescent="0.25">
      <c r="A1147" s="1528"/>
      <c r="B1147" s="1822" t="s">
        <v>9492</v>
      </c>
      <c r="C1147" s="1749" t="s">
        <v>9023</v>
      </c>
      <c r="D1147" s="1773">
        <v>1</v>
      </c>
      <c r="E1147" s="1782">
        <v>6000</v>
      </c>
      <c r="F1147" s="1769">
        <v>1</v>
      </c>
      <c r="G1147" s="1786">
        <f t="shared" si="9"/>
        <v>6000</v>
      </c>
      <c r="H1147" s="1524"/>
      <c r="J1147" s="1637"/>
      <c r="K1147" s="1637"/>
    </row>
    <row r="1148" spans="1:11" x14ac:dyDescent="0.25">
      <c r="A1148" s="1528"/>
      <c r="B1148" s="268"/>
      <c r="C1148" s="1534"/>
      <c r="D1148" s="211"/>
      <c r="E1148" s="1535" t="s">
        <v>7182</v>
      </c>
      <c r="F1148" s="1551"/>
      <c r="G1148" s="1541" t="s">
        <v>7182</v>
      </c>
      <c r="H1148" s="1524"/>
      <c r="J1148" s="1637"/>
      <c r="K1148" s="1637"/>
    </row>
    <row r="1149" spans="1:11" x14ac:dyDescent="0.25">
      <c r="A1149" s="1528"/>
      <c r="B1149" s="1346"/>
      <c r="C1149" s="1534"/>
      <c r="D1149" s="211"/>
      <c r="E1149" s="1535" t="s">
        <v>7182</v>
      </c>
      <c r="F1149" s="1551"/>
      <c r="G1149" s="1541" t="s">
        <v>7182</v>
      </c>
      <c r="H1149" s="1524"/>
      <c r="J1149" s="1637"/>
      <c r="K1149" s="1637"/>
    </row>
    <row r="1150" spans="1:11" ht="15.75" thickBot="1" x14ac:dyDescent="0.3">
      <c r="A1150" s="1528"/>
      <c r="B1150" s="1540"/>
      <c r="C1150" s="1537"/>
      <c r="D1150" s="952"/>
      <c r="E1150" s="1538" t="s">
        <v>7182</v>
      </c>
      <c r="F1150" s="1537"/>
      <c r="G1150" s="1541" t="s">
        <v>7182</v>
      </c>
      <c r="H1150" s="1524"/>
      <c r="J1150" s="1637"/>
      <c r="K1150" s="1637"/>
    </row>
    <row r="1151" spans="1:11" ht="15.75" thickBot="1" x14ac:dyDescent="0.3">
      <c r="A1151" s="1528"/>
      <c r="B1151" s="1555"/>
      <c r="C1151" s="1557"/>
      <c r="D1151" s="956"/>
      <c r="E1151" s="1556" t="s">
        <v>7182</v>
      </c>
      <c r="F1151" s="1557"/>
      <c r="G1151" s="1558" t="s">
        <v>7182</v>
      </c>
      <c r="H1151" s="1546">
        <f>SUM(G1136:G1151)</f>
        <v>48731.666666666664</v>
      </c>
      <c r="J1151" s="1637"/>
      <c r="K1151" s="1637"/>
    </row>
    <row r="1152" spans="1:11" x14ac:dyDescent="0.25">
      <c r="A1152" s="1528"/>
      <c r="B1152" s="1372"/>
      <c r="C1152" s="1374"/>
      <c r="D1152" s="1373"/>
      <c r="E1152" s="1372" t="s">
        <v>7182</v>
      </c>
      <c r="F1152" s="1374"/>
      <c r="G1152" s="1375" t="s">
        <v>7182</v>
      </c>
      <c r="H1152" s="1550"/>
      <c r="J1152" s="1637"/>
      <c r="K1152" s="1637"/>
    </row>
    <row r="1153" spans="1:11" ht="15.75" thickBot="1" x14ac:dyDescent="0.3">
      <c r="A1153" s="1527"/>
      <c r="B1153" s="188"/>
      <c r="C1153" s="189"/>
      <c r="D1153" s="1668"/>
      <c r="E1153" s="188"/>
      <c r="F1153" s="189"/>
      <c r="G1153" s="1669"/>
      <c r="H1153" s="1550"/>
      <c r="J1153" s="1637"/>
      <c r="K1153" s="1637"/>
    </row>
    <row r="1154" spans="1:11" ht="15.75" thickBot="1" x14ac:dyDescent="0.3">
      <c r="A1154" s="1527"/>
      <c r="B1154" s="1366" t="s">
        <v>9418</v>
      </c>
      <c r="C1154" s="1363" t="s">
        <v>867</v>
      </c>
      <c r="D1154" s="1120" t="s">
        <v>6</v>
      </c>
      <c r="E1154" s="1363" t="s">
        <v>7183</v>
      </c>
      <c r="F1154" s="1363" t="s">
        <v>5405</v>
      </c>
      <c r="G1154" s="1365" t="s">
        <v>7179</v>
      </c>
      <c r="H1154" s="1524"/>
      <c r="J1154" s="1637"/>
      <c r="K1154" s="1637"/>
    </row>
    <row r="1155" spans="1:11" x14ac:dyDescent="0.25">
      <c r="A1155" s="1527"/>
      <c r="B1155" s="1564" t="s">
        <v>5455</v>
      </c>
      <c r="C1155" s="1534" t="s">
        <v>5</v>
      </c>
      <c r="D1155" s="211">
        <v>1</v>
      </c>
      <c r="E1155" s="1535">
        <v>500</v>
      </c>
      <c r="F1155" s="1534">
        <v>1</v>
      </c>
      <c r="G1155" s="1572">
        <f>+F1155*E1155</f>
        <v>500</v>
      </c>
      <c r="H1155" s="1524"/>
      <c r="J1155" s="1637"/>
      <c r="K1155" s="1637"/>
    </row>
    <row r="1156" spans="1:11" x14ac:dyDescent="0.25">
      <c r="A1156" s="1527"/>
      <c r="B1156" s="1540"/>
      <c r="C1156" s="1537"/>
      <c r="D1156" s="212"/>
      <c r="E1156" s="1535" t="s">
        <v>7182</v>
      </c>
      <c r="F1156" s="1537"/>
      <c r="G1156" s="1572" t="s">
        <v>7182</v>
      </c>
      <c r="H1156" s="1524"/>
      <c r="J1156" s="1637"/>
      <c r="K1156" s="1637"/>
    </row>
    <row r="1157" spans="1:11" x14ac:dyDescent="0.25">
      <c r="A1157" s="1527"/>
      <c r="B1157" s="1540"/>
      <c r="C1157" s="1537"/>
      <c r="D1157" s="212"/>
      <c r="E1157" s="1535" t="s">
        <v>7182</v>
      </c>
      <c r="F1157" s="1537"/>
      <c r="G1157" s="1572" t="s">
        <v>7182</v>
      </c>
      <c r="H1157" s="1524"/>
      <c r="J1157" s="1637"/>
      <c r="K1157" s="1637"/>
    </row>
    <row r="1158" spans="1:11" ht="15.75" thickBot="1" x14ac:dyDescent="0.3">
      <c r="A1158" s="1527"/>
      <c r="B1158" s="1540"/>
      <c r="C1158" s="1537"/>
      <c r="D1158" s="212"/>
      <c r="E1158" s="1535" t="s">
        <v>7182</v>
      </c>
      <c r="F1158" s="1537"/>
      <c r="G1158" s="1572" t="s">
        <v>7182</v>
      </c>
      <c r="H1158" s="1524"/>
      <c r="J1158" s="1637"/>
      <c r="K1158" s="1637"/>
    </row>
    <row r="1159" spans="1:11" ht="15.75" thickBot="1" x14ac:dyDescent="0.3">
      <c r="A1159" s="1527"/>
      <c r="B1159" s="1555"/>
      <c r="C1159" s="1556"/>
      <c r="D1159" s="956"/>
      <c r="E1159" s="1556" t="s">
        <v>7182</v>
      </c>
      <c r="F1159" s="1557"/>
      <c r="G1159" s="1558" t="s">
        <v>7182</v>
      </c>
      <c r="H1159" s="1546">
        <f>SUM(G1155:G1159)</f>
        <v>500</v>
      </c>
      <c r="J1159" s="1637"/>
      <c r="K1159" s="1637"/>
    </row>
    <row r="1160" spans="1:11" ht="15.75" thickBot="1" x14ac:dyDescent="0.3">
      <c r="A1160" s="1527"/>
      <c r="B1160" s="1376"/>
      <c r="C1160" s="1353"/>
      <c r="D1160" s="1355"/>
      <c r="E1160" s="1352"/>
      <c r="F1160" s="1377"/>
      <c r="G1160" s="1378"/>
      <c r="H1160" s="1524"/>
      <c r="J1160" s="1637"/>
      <c r="K1160" s="1637"/>
    </row>
    <row r="1161" spans="1:11" ht="15.75" thickBot="1" x14ac:dyDescent="0.3">
      <c r="A1161" s="1527"/>
      <c r="B1161" s="1366" t="s">
        <v>5410</v>
      </c>
      <c r="C1161" s="1363" t="s">
        <v>867</v>
      </c>
      <c r="D1161" s="1120" t="s">
        <v>6</v>
      </c>
      <c r="E1161" s="1363" t="s">
        <v>7183</v>
      </c>
      <c r="F1161" s="1363" t="s">
        <v>5405</v>
      </c>
      <c r="G1161" s="1365" t="s">
        <v>7179</v>
      </c>
      <c r="H1161" s="1524"/>
      <c r="J1161" s="1637"/>
      <c r="K1161" s="1637"/>
    </row>
    <row r="1162" spans="1:11" ht="25.5" x14ac:dyDescent="0.25">
      <c r="A1162" s="1527"/>
      <c r="B1162" s="1564" t="s">
        <v>9421</v>
      </c>
      <c r="C1162" s="1534" t="s">
        <v>9023</v>
      </c>
      <c r="D1162" s="211">
        <v>1</v>
      </c>
      <c r="E1162" s="1535">
        <v>2500</v>
      </c>
      <c r="F1162" s="297">
        <v>1</v>
      </c>
      <c r="G1162" s="1572">
        <f>+F1162*E1162</f>
        <v>2500</v>
      </c>
      <c r="H1162" s="1524"/>
      <c r="J1162" s="1637"/>
      <c r="K1162" s="1637"/>
    </row>
    <row r="1163" spans="1:11" x14ac:dyDescent="0.25">
      <c r="A1163" s="1527"/>
      <c r="B1163" s="1540"/>
      <c r="C1163" s="1537"/>
      <c r="D1163" s="212"/>
      <c r="E1163" s="1535" t="s">
        <v>7182</v>
      </c>
      <c r="F1163" s="1537"/>
      <c r="G1163" s="1572" t="s">
        <v>7182</v>
      </c>
      <c r="H1163" s="1524"/>
      <c r="J1163" s="1637"/>
      <c r="K1163" s="1637"/>
    </row>
    <row r="1164" spans="1:11" x14ac:dyDescent="0.25">
      <c r="A1164" s="1527"/>
      <c r="B1164" s="1540"/>
      <c r="C1164" s="1537"/>
      <c r="D1164" s="212"/>
      <c r="E1164" s="1535" t="s">
        <v>7182</v>
      </c>
      <c r="F1164" s="1537"/>
      <c r="G1164" s="1572" t="s">
        <v>7182</v>
      </c>
      <c r="H1164" s="1524"/>
      <c r="J1164" s="1637"/>
      <c r="K1164" s="1637"/>
    </row>
    <row r="1165" spans="1:11" ht="15.75" thickBot="1" x14ac:dyDescent="0.3">
      <c r="A1165" s="1527"/>
      <c r="B1165" s="1540"/>
      <c r="C1165" s="1537"/>
      <c r="D1165" s="212"/>
      <c r="E1165" s="1535" t="s">
        <v>7182</v>
      </c>
      <c r="F1165" s="1537"/>
      <c r="G1165" s="1572" t="s">
        <v>7182</v>
      </c>
      <c r="H1165" s="1524"/>
      <c r="J1165" s="1637"/>
      <c r="K1165" s="1637"/>
    </row>
    <row r="1166" spans="1:11" ht="15.75" thickBot="1" x14ac:dyDescent="0.3">
      <c r="A1166" s="1527"/>
      <c r="B1166" s="1555"/>
      <c r="C1166" s="1556"/>
      <c r="D1166" s="956"/>
      <c r="E1166" s="1556" t="s">
        <v>7182</v>
      </c>
      <c r="F1166" s="1557"/>
      <c r="G1166" s="1558" t="s">
        <v>7182</v>
      </c>
      <c r="H1166" s="1546">
        <f>SUM(G1162:G1166)</f>
        <v>2500</v>
      </c>
      <c r="J1166" s="1637"/>
      <c r="K1166" s="1637"/>
    </row>
    <row r="1167" spans="1:11" ht="15.75" thickBot="1" x14ac:dyDescent="0.3">
      <c r="A1167" s="1527"/>
      <c r="B1167" s="1547"/>
      <c r="C1167" s="1547"/>
      <c r="D1167" s="954"/>
      <c r="E1167" s="1547"/>
      <c r="F1167" s="1553"/>
      <c r="G1167" s="1554"/>
      <c r="H1167" s="1550"/>
    </row>
    <row r="1168" spans="1:11" ht="15.75" thickBot="1" x14ac:dyDescent="0.3">
      <c r="A1168" s="1559"/>
      <c r="B1168" s="1369" t="s">
        <v>5412</v>
      </c>
      <c r="C1168" s="1363" t="s">
        <v>5420</v>
      </c>
      <c r="D1168" s="1120" t="s">
        <v>5421</v>
      </c>
      <c r="E1168" s="1363" t="s">
        <v>7187</v>
      </c>
      <c r="F1168" s="1363" t="s">
        <v>5405</v>
      </c>
      <c r="G1168" s="1370" t="s">
        <v>7179</v>
      </c>
      <c r="H1168" s="1371"/>
    </row>
    <row r="1169" spans="1:11" x14ac:dyDescent="0.25">
      <c r="A1169" s="1527"/>
      <c r="B1169" s="1767" t="s">
        <v>9422</v>
      </c>
      <c r="C1169" s="1778">
        <v>170000</v>
      </c>
      <c r="D1169" s="1779">
        <f>0.6*C1169</f>
        <v>102000</v>
      </c>
      <c r="E1169" s="1778">
        <f>+D1169+C1169</f>
        <v>272000</v>
      </c>
      <c r="F1169" s="1790">
        <v>0.05</v>
      </c>
      <c r="G1169" s="1789">
        <f>+F1169*E1169</f>
        <v>13600</v>
      </c>
      <c r="H1169" s="1524"/>
    </row>
    <row r="1170" spans="1:11" x14ac:dyDescent="0.25">
      <c r="A1170" s="1527"/>
      <c r="B1170" s="1560"/>
      <c r="C1170" s="1569"/>
      <c r="D1170" s="1569"/>
      <c r="E1170" s="1569"/>
      <c r="F1170" s="819"/>
      <c r="G1170" s="818"/>
      <c r="H1170" s="1524"/>
    </row>
    <row r="1171" spans="1:11" x14ac:dyDescent="0.25">
      <c r="A1171" s="1527"/>
      <c r="B1171" s="1561"/>
      <c r="C1171" s="1569"/>
      <c r="D1171" s="1569"/>
      <c r="E1171" s="1569"/>
      <c r="F1171" s="817"/>
      <c r="G1171" s="818"/>
      <c r="H1171" s="1524"/>
    </row>
    <row r="1172" spans="1:11" x14ac:dyDescent="0.25">
      <c r="A1172" s="1527"/>
      <c r="B1172" s="1540"/>
      <c r="C1172" s="1569"/>
      <c r="D1172" s="1569"/>
      <c r="E1172" s="1569"/>
      <c r="F1172" s="817"/>
      <c r="G1172" s="818"/>
      <c r="H1172" s="1524"/>
    </row>
    <row r="1173" spans="1:11" x14ac:dyDescent="0.25">
      <c r="A1173" s="1527"/>
      <c r="B1173" s="1540"/>
      <c r="C1173" s="1538" t="s">
        <v>7182</v>
      </c>
      <c r="D1173" s="952" t="s">
        <v>7182</v>
      </c>
      <c r="E1173" s="1538" t="s">
        <v>7182</v>
      </c>
      <c r="F1173" s="817"/>
      <c r="G1173" s="818" t="str">
        <f>IF(B1173="","",E1173/F1173)</f>
        <v/>
      </c>
      <c r="H1173" s="1524"/>
    </row>
    <row r="1174" spans="1:11" ht="15.75" thickBot="1" x14ac:dyDescent="0.3">
      <c r="A1174" s="1527"/>
      <c r="B1174" s="1540"/>
      <c r="C1174" s="1538" t="s">
        <v>7182</v>
      </c>
      <c r="D1174" s="952" t="s">
        <v>7182</v>
      </c>
      <c r="E1174" s="1538" t="s">
        <v>7182</v>
      </c>
      <c r="F1174" s="1537"/>
      <c r="G1174" s="818" t="str">
        <f>IF(B1174="","",E1174/F1174)</f>
        <v/>
      </c>
      <c r="H1174" s="1524"/>
    </row>
    <row r="1175" spans="1:11" ht="15.75" thickBot="1" x14ac:dyDescent="0.3">
      <c r="A1175" s="1527"/>
      <c r="B1175" s="1555"/>
      <c r="C1175" s="1556"/>
      <c r="D1175" s="956"/>
      <c r="E1175" s="1556"/>
      <c r="F1175" s="1557"/>
      <c r="G1175" s="1558"/>
      <c r="H1175" s="1546">
        <f>SUM(G1169:G1175)</f>
        <v>13600</v>
      </c>
    </row>
    <row r="1176" spans="1:11" ht="15.75" thickBot="1" x14ac:dyDescent="0.3">
      <c r="A1176" s="1527"/>
      <c r="B1176" s="1527"/>
      <c r="C1176" s="1527"/>
      <c r="D1176" s="529"/>
      <c r="F1176" s="1528"/>
      <c r="G1176" s="1524"/>
      <c r="H1176" s="1524"/>
    </row>
    <row r="1177" spans="1:11" ht="15.75" thickBot="1" x14ac:dyDescent="0.3">
      <c r="A1177" s="1647" t="s">
        <v>6744</v>
      </c>
      <c r="B1177" s="1352"/>
      <c r="C1177" s="1352"/>
      <c r="D1177" s="1671"/>
      <c r="E1177" s="1672"/>
      <c r="F1177" s="1353"/>
      <c r="G1177" s="1527" t="s">
        <v>5415</v>
      </c>
      <c r="H1177" s="502">
        <f>ROUND(SUM(H1135:H1176),0)</f>
        <v>65332</v>
      </c>
      <c r="J1177" s="1673">
        <f>+B1131</f>
        <v>10.28</v>
      </c>
      <c r="K1177" s="1674">
        <f>+H1177</f>
        <v>65332</v>
      </c>
    </row>
    <row r="1178" spans="1:11" x14ac:dyDescent="0.25">
      <c r="A1178" s="1675"/>
      <c r="B1178" s="1676"/>
      <c r="C1178" s="1676"/>
      <c r="D1178" s="1677"/>
      <c r="E1178" s="1678"/>
      <c r="F1178" s="1679"/>
      <c r="G1178" s="1680"/>
      <c r="H1178" s="1680"/>
    </row>
    <row r="1179" spans="1:11" ht="18.75" x14ac:dyDescent="0.25">
      <c r="A1179" s="1523"/>
      <c r="B1179" s="1655"/>
      <c r="C1179" s="1655"/>
      <c r="D1179" s="950"/>
      <c r="E1179" s="1655"/>
      <c r="F1179" s="1655"/>
      <c r="G1179" s="1655"/>
      <c r="H1179" s="8"/>
    </row>
    <row r="1180" spans="1:11" x14ac:dyDescent="0.25">
      <c r="A1180" s="1523"/>
      <c r="B1180" s="8"/>
      <c r="C1180" s="8"/>
      <c r="D1180" s="529"/>
      <c r="E1180" s="8"/>
      <c r="F1180" s="1523"/>
      <c r="G1180" s="1524"/>
      <c r="H1180" s="8"/>
    </row>
    <row r="1181" spans="1:11" ht="27" customHeight="1" x14ac:dyDescent="0.25">
      <c r="A1181" s="1665" t="s">
        <v>3</v>
      </c>
      <c r="B1181" s="1666">
        <f>+VLOOKUP(C1181,ListaAPUs!$B:$E,4,FALSE)</f>
        <v>10.29</v>
      </c>
      <c r="C1181" s="2441" t="str">
        <f>+ListaAPUs!B229</f>
        <v>Acometida parcial de tablero iluminacion normal TS tablero de subestación a Tablero Servicios auxiliares T8 en 3X8+1X10+1X10T</v>
      </c>
      <c r="D1181" s="2441"/>
      <c r="E1181" s="2441"/>
      <c r="F1181" s="1665" t="s">
        <v>867</v>
      </c>
      <c r="G1181" s="1390" t="str">
        <f>+VLOOKUP(C1181,ListaAPUs!$B:$E,2,FALSE)</f>
        <v>m</v>
      </c>
      <c r="H1181" s="1524"/>
    </row>
    <row r="1182" spans="1:11" x14ac:dyDescent="0.25">
      <c r="A1182" s="1528"/>
      <c r="B1182" s="1527"/>
      <c r="C1182" s="1527"/>
      <c r="D1182" s="529"/>
      <c r="E1182" s="1527"/>
      <c r="F1182" s="1528"/>
      <c r="G1182" s="1524"/>
      <c r="H1182" s="1524"/>
    </row>
    <row r="1183" spans="1:11" x14ac:dyDescent="0.25">
      <c r="A1183" s="1528"/>
      <c r="B1183" s="1527"/>
      <c r="C1183" s="1527"/>
      <c r="D1183" s="529"/>
      <c r="E1183" s="1527"/>
      <c r="F1183" s="1528"/>
      <c r="G1183" s="1529"/>
      <c r="H1183" s="1524"/>
      <c r="J1183" s="1637"/>
      <c r="K1183" s="1637"/>
    </row>
    <row r="1184" spans="1:11" ht="15.75" thickBot="1" x14ac:dyDescent="0.3">
      <c r="A1184" s="1528"/>
      <c r="B1184" s="1527"/>
      <c r="C1184" s="1527"/>
      <c r="D1184" s="529"/>
      <c r="E1184" s="1527"/>
      <c r="F1184" s="1528"/>
      <c r="G1184" s="1524"/>
      <c r="H1184" s="1524"/>
      <c r="J1184" s="1637"/>
      <c r="K1184" s="1637"/>
    </row>
    <row r="1185" spans="1:11" ht="15.75" thickBot="1" x14ac:dyDescent="0.3">
      <c r="A1185" s="1368"/>
      <c r="B1185" s="1369" t="s">
        <v>5403</v>
      </c>
      <c r="C1185" s="1363" t="s">
        <v>867</v>
      </c>
      <c r="D1185" s="1120" t="s">
        <v>6</v>
      </c>
      <c r="E1185" s="1363" t="s">
        <v>9417</v>
      </c>
      <c r="F1185" s="1363" t="s">
        <v>5405</v>
      </c>
      <c r="G1185" s="1370" t="s">
        <v>7179</v>
      </c>
      <c r="H1185" s="1371"/>
      <c r="J1185" s="1637"/>
      <c r="K1185" s="1637"/>
    </row>
    <row r="1186" spans="1:11" x14ac:dyDescent="0.25">
      <c r="A1186" s="1528"/>
      <c r="B1186" s="1746" t="s">
        <v>9493</v>
      </c>
      <c r="C1186" s="1802" t="s">
        <v>5432</v>
      </c>
      <c r="D1186" s="1794">
        <v>2</v>
      </c>
      <c r="E1186" s="1803">
        <v>1750</v>
      </c>
      <c r="F1186" s="1804">
        <v>1.05</v>
      </c>
      <c r="G1186" s="1805">
        <f>+F1186*E1186*D1186</f>
        <v>3675</v>
      </c>
      <c r="H1186" s="1524"/>
      <c r="J1186" s="1637"/>
      <c r="K1186" s="1637"/>
    </row>
    <row r="1187" spans="1:11" x14ac:dyDescent="0.25">
      <c r="A1187" s="1528"/>
      <c r="B1187" s="1751" t="s">
        <v>9484</v>
      </c>
      <c r="C1187" s="1749" t="s">
        <v>5432</v>
      </c>
      <c r="D1187" s="1773">
        <v>3</v>
      </c>
      <c r="E1187" s="1825">
        <v>2450</v>
      </c>
      <c r="F1187" s="1769">
        <v>1.05</v>
      </c>
      <c r="G1187" s="1786">
        <f>+F1187*E1187*D1187</f>
        <v>7717.5</v>
      </c>
      <c r="H1187" s="1524"/>
      <c r="J1187" s="1637"/>
      <c r="K1187" s="1637"/>
    </row>
    <row r="1188" spans="1:11" x14ac:dyDescent="0.25">
      <c r="A1188" s="1528"/>
      <c r="B1188" s="1822" t="s">
        <v>9485</v>
      </c>
      <c r="C1188" s="1749" t="s">
        <v>5</v>
      </c>
      <c r="D1188" s="1769">
        <f>2/6</f>
        <v>0.33333333333333331</v>
      </c>
      <c r="E1188" s="1825">
        <v>2000</v>
      </c>
      <c r="F1188" s="1769">
        <v>1</v>
      </c>
      <c r="G1188" s="1786">
        <f>+F1188*E1188*D1188</f>
        <v>666.66666666666663</v>
      </c>
      <c r="H1188" s="1524"/>
      <c r="J1188" s="1637"/>
      <c r="K1188" s="1637"/>
    </row>
    <row r="1189" spans="1:11" x14ac:dyDescent="0.25">
      <c r="A1189" s="1528"/>
      <c r="B1189" s="1751" t="s">
        <v>9494</v>
      </c>
      <c r="C1189" s="1749" t="s">
        <v>5</v>
      </c>
      <c r="D1189" s="1769">
        <v>0.5</v>
      </c>
      <c r="E1189" s="1782">
        <v>1000</v>
      </c>
      <c r="F1189" s="1769">
        <v>1</v>
      </c>
      <c r="G1189" s="1786">
        <f>+F1189*E1189*D1189</f>
        <v>500</v>
      </c>
      <c r="H1189" s="1524"/>
      <c r="J1189" s="1637"/>
      <c r="K1189" s="1637"/>
    </row>
    <row r="1190" spans="1:11" ht="25.5" x14ac:dyDescent="0.25">
      <c r="A1190" s="1528"/>
      <c r="B1190" s="1822" t="s">
        <v>9480</v>
      </c>
      <c r="C1190" s="1749" t="s">
        <v>9023</v>
      </c>
      <c r="D1190" s="1773">
        <v>1</v>
      </c>
      <c r="E1190" s="1782">
        <v>1000</v>
      </c>
      <c r="F1190" s="1769">
        <v>1</v>
      </c>
      <c r="G1190" s="1786">
        <f>+F1190*E1190</f>
        <v>1000</v>
      </c>
      <c r="H1190" s="1524"/>
      <c r="J1190" s="1637"/>
      <c r="K1190" s="1637"/>
    </row>
    <row r="1191" spans="1:11" x14ac:dyDescent="0.25">
      <c r="A1191" s="1528"/>
      <c r="B1191" s="1822" t="s">
        <v>9481</v>
      </c>
      <c r="C1191" s="1749" t="s">
        <v>9023</v>
      </c>
      <c r="D1191" s="1773">
        <v>1</v>
      </c>
      <c r="E1191" s="1782">
        <v>2000</v>
      </c>
      <c r="F1191" s="1769">
        <v>1</v>
      </c>
      <c r="G1191" s="1786">
        <f>+F1191*E1191</f>
        <v>2000</v>
      </c>
      <c r="H1191" s="1524"/>
      <c r="J1191" s="1637"/>
      <c r="K1191" s="1637"/>
    </row>
    <row r="1192" spans="1:11" x14ac:dyDescent="0.25">
      <c r="A1192" s="1528"/>
      <c r="B1192" s="1822" t="s">
        <v>9487</v>
      </c>
      <c r="C1192" s="1749" t="s">
        <v>5</v>
      </c>
      <c r="D1192" s="1773">
        <v>1</v>
      </c>
      <c r="E1192" s="1782">
        <v>1000</v>
      </c>
      <c r="F1192" s="1769">
        <v>1</v>
      </c>
      <c r="G1192" s="1786">
        <f>+F1192*E1192*D1192</f>
        <v>1000</v>
      </c>
      <c r="H1192" s="1524"/>
      <c r="J1192" s="1637"/>
      <c r="K1192" s="1637"/>
    </row>
    <row r="1193" spans="1:11" x14ac:dyDescent="0.25">
      <c r="A1193" s="1528"/>
      <c r="B1193" s="1830" t="s">
        <v>9488</v>
      </c>
      <c r="C1193" s="1749"/>
      <c r="D1193" s="1773"/>
      <c r="E1193" s="1782"/>
      <c r="F1193" s="1769"/>
      <c r="G1193" s="1786"/>
      <c r="H1193" s="1524"/>
      <c r="J1193" s="1637"/>
      <c r="K1193" s="1637"/>
    </row>
    <row r="1194" spans="1:11" x14ac:dyDescent="0.25">
      <c r="A1194" s="1528"/>
      <c r="B1194" s="1822" t="s">
        <v>9489</v>
      </c>
      <c r="C1194" s="1749" t="s">
        <v>14</v>
      </c>
      <c r="D1194" s="1773">
        <v>1.1000000000000001</v>
      </c>
      <c r="E1194" s="1782">
        <f>54100/3</f>
        <v>18033.333333333332</v>
      </c>
      <c r="F1194" s="1769">
        <v>1</v>
      </c>
      <c r="G1194" s="1786">
        <f>+F1194*E1194*D1194</f>
        <v>19836.666666666668</v>
      </c>
      <c r="H1194" s="1524"/>
      <c r="J1194" s="1637"/>
      <c r="K1194" s="1637"/>
    </row>
    <row r="1195" spans="1:11" x14ac:dyDescent="0.25">
      <c r="A1195" s="1528"/>
      <c r="B1195" s="1822" t="s">
        <v>9490</v>
      </c>
      <c r="C1195" s="1749" t="s">
        <v>5</v>
      </c>
      <c r="D1195" s="1773">
        <v>0.2</v>
      </c>
      <c r="E1195" s="1782">
        <v>6150</v>
      </c>
      <c r="F1195" s="1769">
        <v>1</v>
      </c>
      <c r="G1195" s="1786">
        <f t="shared" ref="G1195:G1197" si="10">+F1195*E1195*D1195</f>
        <v>1230</v>
      </c>
      <c r="H1195" s="1524"/>
      <c r="J1195" s="1637"/>
      <c r="K1195" s="1637"/>
    </row>
    <row r="1196" spans="1:11" x14ac:dyDescent="0.25">
      <c r="A1196" s="1528"/>
      <c r="B1196" s="1822" t="s">
        <v>9491</v>
      </c>
      <c r="C1196" s="1749" t="s">
        <v>5</v>
      </c>
      <c r="D1196" s="1773">
        <v>0.2</v>
      </c>
      <c r="E1196" s="1782">
        <v>1000</v>
      </c>
      <c r="F1196" s="1769">
        <v>1</v>
      </c>
      <c r="G1196" s="1786">
        <f t="shared" si="10"/>
        <v>200</v>
      </c>
      <c r="H1196" s="1524"/>
      <c r="J1196" s="1637"/>
      <c r="K1196" s="1637"/>
    </row>
    <row r="1197" spans="1:11" ht="38.25" x14ac:dyDescent="0.25">
      <c r="A1197" s="1528"/>
      <c r="B1197" s="1822" t="s">
        <v>9492</v>
      </c>
      <c r="C1197" s="1749" t="s">
        <v>9023</v>
      </c>
      <c r="D1197" s="1773">
        <v>1</v>
      </c>
      <c r="E1197" s="1782">
        <v>6000</v>
      </c>
      <c r="F1197" s="1769">
        <v>1</v>
      </c>
      <c r="G1197" s="1786">
        <f t="shared" si="10"/>
        <v>6000</v>
      </c>
      <c r="H1197" s="1524"/>
      <c r="J1197" s="1637"/>
      <c r="K1197" s="1637"/>
    </row>
    <row r="1198" spans="1:11" x14ac:dyDescent="0.25">
      <c r="A1198" s="1528"/>
      <c r="B1198" s="268"/>
      <c r="C1198" s="1534"/>
      <c r="D1198" s="211"/>
      <c r="E1198" s="1535" t="s">
        <v>7182</v>
      </c>
      <c r="F1198" s="1551"/>
      <c r="G1198" s="1541" t="s">
        <v>7182</v>
      </c>
      <c r="H1198" s="1524"/>
      <c r="J1198" s="1637"/>
      <c r="K1198" s="1637"/>
    </row>
    <row r="1199" spans="1:11" x14ac:dyDescent="0.25">
      <c r="A1199" s="1528"/>
      <c r="B1199" s="1346"/>
      <c r="C1199" s="1534"/>
      <c r="D1199" s="211"/>
      <c r="E1199" s="1535" t="s">
        <v>7182</v>
      </c>
      <c r="F1199" s="1551"/>
      <c r="G1199" s="1541" t="s">
        <v>7182</v>
      </c>
      <c r="H1199" s="1524"/>
      <c r="J1199" s="1637"/>
      <c r="K1199" s="1637"/>
    </row>
    <row r="1200" spans="1:11" ht="15.75" thickBot="1" x14ac:dyDescent="0.3">
      <c r="A1200" s="1528"/>
      <c r="B1200" s="1540"/>
      <c r="C1200" s="1537"/>
      <c r="D1200" s="952"/>
      <c r="E1200" s="1538" t="s">
        <v>7182</v>
      </c>
      <c r="F1200" s="1537"/>
      <c r="G1200" s="1541" t="s">
        <v>7182</v>
      </c>
      <c r="H1200" s="1524"/>
      <c r="J1200" s="1637"/>
      <c r="K1200" s="1637"/>
    </row>
    <row r="1201" spans="1:11" ht="15.75" thickBot="1" x14ac:dyDescent="0.3">
      <c r="A1201" s="1528"/>
      <c r="B1201" s="1555"/>
      <c r="C1201" s="1557"/>
      <c r="D1201" s="956"/>
      <c r="E1201" s="1556" t="s">
        <v>7182</v>
      </c>
      <c r="F1201" s="1557"/>
      <c r="G1201" s="1558" t="s">
        <v>7182</v>
      </c>
      <c r="H1201" s="1546">
        <f>SUM(G1186:G1201)</f>
        <v>43825.833333333328</v>
      </c>
      <c r="J1201" s="1637"/>
      <c r="K1201" s="1637"/>
    </row>
    <row r="1202" spans="1:11" x14ac:dyDescent="0.25">
      <c r="A1202" s="1528"/>
      <c r="B1202" s="1372"/>
      <c r="C1202" s="1374"/>
      <c r="D1202" s="1373"/>
      <c r="E1202" s="1372" t="s">
        <v>7182</v>
      </c>
      <c r="F1202" s="1374"/>
      <c r="G1202" s="1375" t="s">
        <v>7182</v>
      </c>
      <c r="H1202" s="1550"/>
      <c r="J1202" s="1637"/>
      <c r="K1202" s="1637"/>
    </row>
    <row r="1203" spans="1:11" ht="15.75" thickBot="1" x14ac:dyDescent="0.3">
      <c r="A1203" s="1527"/>
      <c r="B1203" s="188"/>
      <c r="C1203" s="189"/>
      <c r="D1203" s="1668"/>
      <c r="E1203" s="188"/>
      <c r="F1203" s="189"/>
      <c r="G1203" s="1669"/>
      <c r="H1203" s="1550"/>
      <c r="J1203" s="1637"/>
      <c r="K1203" s="1637"/>
    </row>
    <row r="1204" spans="1:11" ht="15.75" thickBot="1" x14ac:dyDescent="0.3">
      <c r="A1204" s="1527"/>
      <c r="B1204" s="1366" t="s">
        <v>9418</v>
      </c>
      <c r="C1204" s="1363" t="s">
        <v>867</v>
      </c>
      <c r="D1204" s="1120" t="s">
        <v>6</v>
      </c>
      <c r="E1204" s="1363" t="s">
        <v>7183</v>
      </c>
      <c r="F1204" s="1363" t="s">
        <v>5405</v>
      </c>
      <c r="G1204" s="1365" t="s">
        <v>7179</v>
      </c>
      <c r="H1204" s="1524"/>
      <c r="J1204" s="1637"/>
      <c r="K1204" s="1637"/>
    </row>
    <row r="1205" spans="1:11" x14ac:dyDescent="0.25">
      <c r="A1205" s="1527"/>
      <c r="B1205" s="1564" t="s">
        <v>5455</v>
      </c>
      <c r="C1205" s="1534" t="s">
        <v>5</v>
      </c>
      <c r="D1205" s="211">
        <v>1</v>
      </c>
      <c r="E1205" s="1535">
        <v>500</v>
      </c>
      <c r="F1205" s="1534">
        <v>1</v>
      </c>
      <c r="G1205" s="1572">
        <f>+F1205*E1205</f>
        <v>500</v>
      </c>
      <c r="H1205" s="1524"/>
      <c r="J1205" s="1637"/>
      <c r="K1205" s="1637"/>
    </row>
    <row r="1206" spans="1:11" x14ac:dyDescent="0.25">
      <c r="A1206" s="1527"/>
      <c r="B1206" s="1540"/>
      <c r="C1206" s="1537"/>
      <c r="D1206" s="212"/>
      <c r="E1206" s="1535" t="s">
        <v>7182</v>
      </c>
      <c r="F1206" s="1537"/>
      <c r="G1206" s="1572" t="s">
        <v>7182</v>
      </c>
      <c r="H1206" s="1524"/>
      <c r="J1206" s="1637"/>
      <c r="K1206" s="1637"/>
    </row>
    <row r="1207" spans="1:11" x14ac:dyDescent="0.25">
      <c r="A1207" s="1527"/>
      <c r="B1207" s="1540"/>
      <c r="C1207" s="1537"/>
      <c r="D1207" s="212"/>
      <c r="E1207" s="1535" t="s">
        <v>7182</v>
      </c>
      <c r="F1207" s="1537"/>
      <c r="G1207" s="1572" t="s">
        <v>7182</v>
      </c>
      <c r="H1207" s="1524"/>
      <c r="J1207" s="1637"/>
      <c r="K1207" s="1637"/>
    </row>
    <row r="1208" spans="1:11" ht="15.75" thickBot="1" x14ac:dyDescent="0.3">
      <c r="A1208" s="1527"/>
      <c r="B1208" s="1540"/>
      <c r="C1208" s="1537"/>
      <c r="D1208" s="212"/>
      <c r="E1208" s="1535" t="s">
        <v>7182</v>
      </c>
      <c r="F1208" s="1537"/>
      <c r="G1208" s="1572" t="s">
        <v>7182</v>
      </c>
      <c r="H1208" s="1524"/>
      <c r="J1208" s="1637"/>
      <c r="K1208" s="1637"/>
    </row>
    <row r="1209" spans="1:11" ht="15.75" thickBot="1" x14ac:dyDescent="0.3">
      <c r="A1209" s="1527"/>
      <c r="B1209" s="1555"/>
      <c r="C1209" s="1556"/>
      <c r="D1209" s="956"/>
      <c r="E1209" s="1556" t="s">
        <v>7182</v>
      </c>
      <c r="F1209" s="1557"/>
      <c r="G1209" s="1558" t="s">
        <v>7182</v>
      </c>
      <c r="H1209" s="1546">
        <f>SUM(G1205:G1209)</f>
        <v>500</v>
      </c>
      <c r="J1209" s="1637"/>
      <c r="K1209" s="1637"/>
    </row>
    <row r="1210" spans="1:11" ht="15.75" thickBot="1" x14ac:dyDescent="0.3">
      <c r="A1210" s="1527"/>
      <c r="B1210" s="1376"/>
      <c r="C1210" s="1353"/>
      <c r="D1210" s="1355"/>
      <c r="E1210" s="1352"/>
      <c r="F1210" s="1377"/>
      <c r="G1210" s="1378"/>
      <c r="H1210" s="1524"/>
      <c r="J1210" s="1637"/>
      <c r="K1210" s="1637"/>
    </row>
    <row r="1211" spans="1:11" ht="15.75" thickBot="1" x14ac:dyDescent="0.3">
      <c r="A1211" s="1527"/>
      <c r="B1211" s="1366" t="s">
        <v>5410</v>
      </c>
      <c r="C1211" s="1363" t="s">
        <v>867</v>
      </c>
      <c r="D1211" s="1120" t="s">
        <v>6</v>
      </c>
      <c r="E1211" s="1363" t="s">
        <v>7183</v>
      </c>
      <c r="F1211" s="1363" t="s">
        <v>5405</v>
      </c>
      <c r="G1211" s="1365" t="s">
        <v>7179</v>
      </c>
      <c r="H1211" s="1524"/>
      <c r="J1211" s="1637"/>
      <c r="K1211" s="1637"/>
    </row>
    <row r="1212" spans="1:11" ht="25.5" x14ac:dyDescent="0.25">
      <c r="A1212" s="1527"/>
      <c r="B1212" s="1564" t="s">
        <v>9421</v>
      </c>
      <c r="C1212" s="1534" t="s">
        <v>9023</v>
      </c>
      <c r="D1212" s="211">
        <v>1</v>
      </c>
      <c r="E1212" s="1535">
        <v>2500</v>
      </c>
      <c r="F1212" s="297">
        <v>1</v>
      </c>
      <c r="G1212" s="1572">
        <f>+F1212*E1212</f>
        <v>2500</v>
      </c>
      <c r="H1212" s="1524"/>
      <c r="J1212" s="1637"/>
      <c r="K1212" s="1637"/>
    </row>
    <row r="1213" spans="1:11" x14ac:dyDescent="0.25">
      <c r="A1213" s="1527"/>
      <c r="B1213" s="1540"/>
      <c r="C1213" s="1537"/>
      <c r="D1213" s="212"/>
      <c r="E1213" s="1535" t="s">
        <v>7182</v>
      </c>
      <c r="F1213" s="1537"/>
      <c r="G1213" s="1572" t="s">
        <v>7182</v>
      </c>
      <c r="H1213" s="1524"/>
      <c r="J1213" s="1637"/>
      <c r="K1213" s="1637"/>
    </row>
    <row r="1214" spans="1:11" x14ac:dyDescent="0.25">
      <c r="A1214" s="1527"/>
      <c r="B1214" s="1540"/>
      <c r="C1214" s="1537"/>
      <c r="D1214" s="212"/>
      <c r="E1214" s="1535" t="s">
        <v>7182</v>
      </c>
      <c r="F1214" s="1537"/>
      <c r="G1214" s="1572" t="s">
        <v>7182</v>
      </c>
      <c r="H1214" s="1524"/>
      <c r="J1214" s="1637"/>
      <c r="K1214" s="1637"/>
    </row>
    <row r="1215" spans="1:11" ht="15.75" thickBot="1" x14ac:dyDescent="0.3">
      <c r="A1215" s="1527"/>
      <c r="B1215" s="1540"/>
      <c r="C1215" s="1537"/>
      <c r="D1215" s="212"/>
      <c r="E1215" s="1535" t="s">
        <v>7182</v>
      </c>
      <c r="F1215" s="1537"/>
      <c r="G1215" s="1572" t="s">
        <v>7182</v>
      </c>
      <c r="H1215" s="1524"/>
    </row>
    <row r="1216" spans="1:11" ht="15.75" thickBot="1" x14ac:dyDescent="0.3">
      <c r="A1216" s="1527"/>
      <c r="B1216" s="1555"/>
      <c r="C1216" s="1556"/>
      <c r="D1216" s="956"/>
      <c r="E1216" s="1556" t="s">
        <v>7182</v>
      </c>
      <c r="F1216" s="1557"/>
      <c r="G1216" s="1558" t="s">
        <v>7182</v>
      </c>
      <c r="H1216" s="1546">
        <f>SUM(G1212:G1216)</f>
        <v>2500</v>
      </c>
    </row>
    <row r="1217" spans="1:11" ht="15.75" thickBot="1" x14ac:dyDescent="0.3">
      <c r="A1217" s="1527"/>
      <c r="B1217" s="1547"/>
      <c r="C1217" s="1547"/>
      <c r="D1217" s="954"/>
      <c r="E1217" s="1547"/>
      <c r="F1217" s="1553"/>
      <c r="G1217" s="1554"/>
      <c r="H1217" s="1550"/>
    </row>
    <row r="1218" spans="1:11" ht="15.75" thickBot="1" x14ac:dyDescent="0.3">
      <c r="A1218" s="1559"/>
      <c r="B1218" s="1369" t="s">
        <v>5412</v>
      </c>
      <c r="C1218" s="1363" t="s">
        <v>5420</v>
      </c>
      <c r="D1218" s="1120" t="s">
        <v>5421</v>
      </c>
      <c r="E1218" s="1363" t="s">
        <v>7187</v>
      </c>
      <c r="F1218" s="1363" t="s">
        <v>5405</v>
      </c>
      <c r="G1218" s="1370" t="s">
        <v>7179</v>
      </c>
      <c r="H1218" s="1371"/>
    </row>
    <row r="1219" spans="1:11" x14ac:dyDescent="0.25">
      <c r="A1219" s="1527"/>
      <c r="B1219" s="1767" t="s">
        <v>9422</v>
      </c>
      <c r="C1219" s="1778">
        <v>170000</v>
      </c>
      <c r="D1219" s="1779">
        <f>0.6*C1219</f>
        <v>102000</v>
      </c>
      <c r="E1219" s="1778">
        <f>+D1219+C1219</f>
        <v>272000</v>
      </c>
      <c r="F1219" s="1790">
        <v>0.05</v>
      </c>
      <c r="G1219" s="1789">
        <f>+F1219*E1219</f>
        <v>13600</v>
      </c>
      <c r="H1219" s="1524"/>
    </row>
    <row r="1220" spans="1:11" x14ac:dyDescent="0.25">
      <c r="A1220" s="1527"/>
      <c r="B1220" s="1560"/>
      <c r="C1220" s="1569"/>
      <c r="D1220" s="1569"/>
      <c r="E1220" s="1569"/>
      <c r="F1220" s="819"/>
      <c r="G1220" s="818"/>
      <c r="H1220" s="1524"/>
    </row>
    <row r="1221" spans="1:11" x14ac:dyDescent="0.25">
      <c r="A1221" s="1527"/>
      <c r="B1221" s="1561"/>
      <c r="C1221" s="1569"/>
      <c r="D1221" s="1569"/>
      <c r="E1221" s="1569"/>
      <c r="F1221" s="817"/>
      <c r="G1221" s="818"/>
      <c r="H1221" s="1524"/>
    </row>
    <row r="1222" spans="1:11" x14ac:dyDescent="0.25">
      <c r="A1222" s="1527"/>
      <c r="B1222" s="1540"/>
      <c r="C1222" s="1569"/>
      <c r="D1222" s="1569"/>
      <c r="E1222" s="1569"/>
      <c r="F1222" s="817"/>
      <c r="G1222" s="818"/>
      <c r="H1222" s="1524"/>
    </row>
    <row r="1223" spans="1:11" x14ac:dyDescent="0.25">
      <c r="A1223" s="1527"/>
      <c r="B1223" s="1540"/>
      <c r="C1223" s="1538" t="s">
        <v>7182</v>
      </c>
      <c r="D1223" s="952" t="s">
        <v>7182</v>
      </c>
      <c r="E1223" s="1538" t="s">
        <v>7182</v>
      </c>
      <c r="F1223" s="817"/>
      <c r="G1223" s="818" t="str">
        <f>IF(B1223="","",E1223/F1223)</f>
        <v/>
      </c>
      <c r="H1223" s="1524"/>
    </row>
    <row r="1224" spans="1:11" ht="15.75" thickBot="1" x14ac:dyDescent="0.3">
      <c r="A1224" s="1527"/>
      <c r="B1224" s="1540"/>
      <c r="C1224" s="1538" t="s">
        <v>7182</v>
      </c>
      <c r="D1224" s="952" t="s">
        <v>7182</v>
      </c>
      <c r="E1224" s="1538" t="s">
        <v>7182</v>
      </c>
      <c r="F1224" s="1537"/>
      <c r="G1224" s="818" t="str">
        <f>IF(B1224="","",E1224/F1224)</f>
        <v/>
      </c>
      <c r="H1224" s="1524"/>
    </row>
    <row r="1225" spans="1:11" ht="15.75" thickBot="1" x14ac:dyDescent="0.3">
      <c r="A1225" s="1527"/>
      <c r="B1225" s="1555"/>
      <c r="C1225" s="1556"/>
      <c r="D1225" s="956"/>
      <c r="E1225" s="1556"/>
      <c r="F1225" s="1557"/>
      <c r="G1225" s="1558"/>
      <c r="H1225" s="1546">
        <f>SUM(G1219:G1225)</f>
        <v>13600</v>
      </c>
    </row>
    <row r="1226" spans="1:11" ht="15.75" thickBot="1" x14ac:dyDescent="0.3">
      <c r="A1226" s="1527"/>
      <c r="B1226" s="1527"/>
      <c r="C1226" s="1527"/>
      <c r="D1226" s="529"/>
      <c r="F1226" s="1528"/>
      <c r="G1226" s="1524"/>
      <c r="H1226" s="1524"/>
    </row>
    <row r="1227" spans="1:11" ht="15.75" thickBot="1" x14ac:dyDescent="0.3">
      <c r="A1227" s="1647" t="s">
        <v>6744</v>
      </c>
      <c r="B1227" s="1352"/>
      <c r="C1227" s="1352"/>
      <c r="D1227" s="1671"/>
      <c r="E1227" s="1672"/>
      <c r="F1227" s="1353"/>
      <c r="G1227" s="1527" t="s">
        <v>5415</v>
      </c>
      <c r="H1227" s="502">
        <f>ROUND(SUM(H1185:H1226),0)</f>
        <v>60426</v>
      </c>
      <c r="J1227" s="1673">
        <f>+B1181</f>
        <v>10.29</v>
      </c>
      <c r="K1227" s="1674">
        <f>+H1227</f>
        <v>60426</v>
      </c>
    </row>
    <row r="1228" spans="1:11" x14ac:dyDescent="0.25">
      <c r="A1228" s="1675"/>
      <c r="B1228" s="1676"/>
      <c r="C1228" s="1676"/>
      <c r="D1228" s="1677"/>
      <c r="E1228" s="1678"/>
      <c r="F1228" s="1679"/>
      <c r="G1228" s="1680"/>
      <c r="H1228" s="1680"/>
    </row>
    <row r="1229" spans="1:11" ht="18.75" x14ac:dyDescent="0.25">
      <c r="A1229" s="1523"/>
      <c r="B1229" s="1655"/>
      <c r="C1229" s="1655"/>
      <c r="D1229" s="950"/>
      <c r="E1229" s="1655"/>
      <c r="F1229" s="1655"/>
      <c r="G1229" s="1655"/>
      <c r="H1229" s="8"/>
    </row>
    <row r="1230" spans="1:11" x14ac:dyDescent="0.25">
      <c r="A1230" s="1523"/>
      <c r="B1230" s="8"/>
      <c r="C1230" s="8"/>
      <c r="D1230" s="529"/>
      <c r="E1230" s="8"/>
      <c r="F1230" s="1523"/>
      <c r="G1230" s="1524"/>
      <c r="H1230" s="8"/>
    </row>
    <row r="1231" spans="1:11" ht="27" customHeight="1" x14ac:dyDescent="0.25">
      <c r="A1231" s="1665" t="s">
        <v>3</v>
      </c>
      <c r="B1231" s="1666">
        <f>+VLOOKUP(C1231,ListaAPUs!$B:$E,4,FALSE)</f>
        <v>10.3</v>
      </c>
      <c r="C1231" s="2441" t="str">
        <f>+ListaAPUs!B230</f>
        <v>Acometida parcial de tablero iluminacion normal TCC tablero de Cuarto de Celaduría a Tablero Servicios auxiliares T8 en 3X6+1X8+1X8T</v>
      </c>
      <c r="D1231" s="2441"/>
      <c r="E1231" s="2441"/>
      <c r="F1231" s="1665" t="s">
        <v>867</v>
      </c>
      <c r="G1231" s="1390" t="str">
        <f>+VLOOKUP(C1231,ListaAPUs!$B:$E,2,FALSE)</f>
        <v>m</v>
      </c>
      <c r="H1231" s="1524"/>
    </row>
    <row r="1232" spans="1:11" x14ac:dyDescent="0.25">
      <c r="A1232" s="1528"/>
      <c r="B1232" s="1527"/>
      <c r="C1232" s="1527"/>
      <c r="D1232" s="529"/>
      <c r="E1232" s="1527"/>
      <c r="F1232" s="1528"/>
      <c r="G1232" s="1524"/>
      <c r="H1232" s="1524"/>
      <c r="J1232" s="1637"/>
      <c r="K1232" s="1637"/>
    </row>
    <row r="1233" spans="1:11" x14ac:dyDescent="0.25">
      <c r="A1233" s="1528"/>
      <c r="B1233" s="1527"/>
      <c r="C1233" s="1527"/>
      <c r="D1233" s="529"/>
      <c r="E1233" s="1527"/>
      <c r="F1233" s="1528"/>
      <c r="G1233" s="1529"/>
      <c r="H1233" s="1524"/>
      <c r="J1233" s="1637"/>
      <c r="K1233" s="1637"/>
    </row>
    <row r="1234" spans="1:11" ht="15.75" thickBot="1" x14ac:dyDescent="0.3">
      <c r="A1234" s="1528"/>
      <c r="B1234" s="1527"/>
      <c r="C1234" s="1527"/>
      <c r="D1234" s="529"/>
      <c r="E1234" s="1527"/>
      <c r="F1234" s="1528"/>
      <c r="G1234" s="1524"/>
      <c r="H1234" s="1524"/>
      <c r="J1234" s="1637"/>
      <c r="K1234" s="1637"/>
    </row>
    <row r="1235" spans="1:11" ht="15.75" thickBot="1" x14ac:dyDescent="0.3">
      <c r="A1235" s="1368"/>
      <c r="B1235" s="1369" t="s">
        <v>5403</v>
      </c>
      <c r="C1235" s="1363" t="s">
        <v>867</v>
      </c>
      <c r="D1235" s="1120" t="s">
        <v>6</v>
      </c>
      <c r="E1235" s="1363" t="s">
        <v>9417</v>
      </c>
      <c r="F1235" s="1363" t="s">
        <v>5405</v>
      </c>
      <c r="G1235" s="1370" t="s">
        <v>7179</v>
      </c>
      <c r="H1235" s="1371"/>
      <c r="J1235" s="1637"/>
      <c r="K1235" s="1637"/>
    </row>
    <row r="1236" spans="1:11" x14ac:dyDescent="0.25">
      <c r="A1236" s="1528"/>
      <c r="B1236" s="1746" t="s">
        <v>9483</v>
      </c>
      <c r="C1236" s="1802" t="s">
        <v>5432</v>
      </c>
      <c r="D1236" s="1794">
        <v>3</v>
      </c>
      <c r="E1236" s="1803">
        <v>3850</v>
      </c>
      <c r="F1236" s="1804">
        <v>1.05</v>
      </c>
      <c r="G1236" s="1805">
        <f>+F1236*E1236*D1236</f>
        <v>12127.5</v>
      </c>
      <c r="H1236" s="1524"/>
      <c r="J1236" s="1637"/>
      <c r="K1236" s="1637"/>
    </row>
    <row r="1237" spans="1:11" x14ac:dyDescent="0.25">
      <c r="A1237" s="1528"/>
      <c r="B1237" s="1751" t="s">
        <v>9484</v>
      </c>
      <c r="C1237" s="1749" t="s">
        <v>5432</v>
      </c>
      <c r="D1237" s="1773">
        <v>2</v>
      </c>
      <c r="E1237" s="1825">
        <v>2450</v>
      </c>
      <c r="F1237" s="1769">
        <v>1.05</v>
      </c>
      <c r="G1237" s="1786">
        <f>+F1237*E1237*D1237</f>
        <v>5145</v>
      </c>
      <c r="H1237" s="1524"/>
      <c r="J1237" s="1637"/>
      <c r="K1237" s="1637"/>
    </row>
    <row r="1238" spans="1:11" x14ac:dyDescent="0.25">
      <c r="A1238" s="1528"/>
      <c r="B1238" s="1822" t="s">
        <v>9485</v>
      </c>
      <c r="C1238" s="1749" t="s">
        <v>5</v>
      </c>
      <c r="D1238" s="1769">
        <v>0.44</v>
      </c>
      <c r="E1238" s="1825">
        <v>2000</v>
      </c>
      <c r="F1238" s="1769">
        <v>1</v>
      </c>
      <c r="G1238" s="1786">
        <f>+F1238*E1238*D1238</f>
        <v>880</v>
      </c>
      <c r="H1238" s="1524"/>
      <c r="J1238" s="1637"/>
      <c r="K1238" s="1637"/>
    </row>
    <row r="1239" spans="1:11" x14ac:dyDescent="0.25">
      <c r="A1239" s="1528"/>
      <c r="B1239" s="1751" t="s">
        <v>9486</v>
      </c>
      <c r="C1239" s="1749" t="s">
        <v>5</v>
      </c>
      <c r="D1239" s="1769">
        <v>0.6</v>
      </c>
      <c r="E1239" s="1782">
        <v>6000</v>
      </c>
      <c r="F1239" s="1769">
        <v>1</v>
      </c>
      <c r="G1239" s="1786">
        <f>+F1239*E1239*D1239</f>
        <v>3600</v>
      </c>
      <c r="H1239" s="1524"/>
      <c r="J1239" s="1637"/>
      <c r="K1239" s="1637"/>
    </row>
    <row r="1240" spans="1:11" ht="25.5" x14ac:dyDescent="0.25">
      <c r="A1240" s="1528"/>
      <c r="B1240" s="1822" t="s">
        <v>9480</v>
      </c>
      <c r="C1240" s="1749" t="s">
        <v>9023</v>
      </c>
      <c r="D1240" s="1773">
        <v>1</v>
      </c>
      <c r="E1240" s="1782">
        <v>1000</v>
      </c>
      <c r="F1240" s="1769">
        <v>1</v>
      </c>
      <c r="G1240" s="1786">
        <f>+F1240*E1240</f>
        <v>1000</v>
      </c>
      <c r="H1240" s="1524"/>
      <c r="J1240" s="1637"/>
      <c r="K1240" s="1637"/>
    </row>
    <row r="1241" spans="1:11" x14ac:dyDescent="0.25">
      <c r="A1241" s="1528"/>
      <c r="B1241" s="1822" t="s">
        <v>9481</v>
      </c>
      <c r="C1241" s="1749" t="s">
        <v>9023</v>
      </c>
      <c r="D1241" s="1773">
        <v>1</v>
      </c>
      <c r="E1241" s="1782">
        <v>2000</v>
      </c>
      <c r="F1241" s="1769">
        <v>1</v>
      </c>
      <c r="G1241" s="1786">
        <f>+F1241*E1241</f>
        <v>2000</v>
      </c>
      <c r="H1241" s="1524"/>
      <c r="J1241" s="1637"/>
      <c r="K1241" s="1637"/>
    </row>
    <row r="1242" spans="1:11" x14ac:dyDescent="0.25">
      <c r="A1242" s="1528"/>
      <c r="B1242" s="1822" t="s">
        <v>9487</v>
      </c>
      <c r="C1242" s="1749" t="s">
        <v>5</v>
      </c>
      <c r="D1242" s="1773">
        <v>1</v>
      </c>
      <c r="E1242" s="1782">
        <v>1000</v>
      </c>
      <c r="F1242" s="1769">
        <v>1</v>
      </c>
      <c r="G1242" s="1786">
        <f>+F1242*E1242*D1242</f>
        <v>1000</v>
      </c>
      <c r="H1242" s="1524"/>
      <c r="J1242" s="1637"/>
      <c r="K1242" s="1637"/>
    </row>
    <row r="1243" spans="1:11" x14ac:dyDescent="0.25">
      <c r="A1243" s="1528"/>
      <c r="B1243" s="1830" t="s">
        <v>9488</v>
      </c>
      <c r="C1243" s="1749"/>
      <c r="D1243" s="1773"/>
      <c r="E1243" s="1782"/>
      <c r="F1243" s="1769"/>
      <c r="G1243" s="1786"/>
      <c r="H1243" s="1524"/>
      <c r="J1243" s="1637"/>
      <c r="K1243" s="1637"/>
    </row>
    <row r="1244" spans="1:11" x14ac:dyDescent="0.25">
      <c r="A1244" s="1528"/>
      <c r="B1244" s="1822" t="s">
        <v>9489</v>
      </c>
      <c r="C1244" s="1749" t="s">
        <v>14</v>
      </c>
      <c r="D1244" s="1773">
        <v>1</v>
      </c>
      <c r="E1244" s="1782">
        <f>54100/3</f>
        <v>18033.333333333332</v>
      </c>
      <c r="F1244" s="1769">
        <v>1.05</v>
      </c>
      <c r="G1244" s="1786">
        <f>+F1244*E1244*D1244</f>
        <v>18935</v>
      </c>
      <c r="H1244" s="1524"/>
      <c r="J1244" s="1637"/>
      <c r="K1244" s="1637"/>
    </row>
    <row r="1245" spans="1:11" x14ac:dyDescent="0.25">
      <c r="A1245" s="1528"/>
      <c r="B1245" s="1822" t="s">
        <v>9490</v>
      </c>
      <c r="C1245" s="1749" t="s">
        <v>5</v>
      </c>
      <c r="D1245" s="1773">
        <v>0.2</v>
      </c>
      <c r="E1245" s="1782">
        <v>6150</v>
      </c>
      <c r="F1245" s="1769">
        <v>1</v>
      </c>
      <c r="G1245" s="1786">
        <f t="shared" ref="G1245:G1247" si="11">+F1245*E1245*D1245</f>
        <v>1230</v>
      </c>
      <c r="H1245" s="1524"/>
      <c r="J1245" s="1637"/>
      <c r="K1245" s="1637"/>
    </row>
    <row r="1246" spans="1:11" x14ac:dyDescent="0.25">
      <c r="A1246" s="1528"/>
      <c r="B1246" s="1822" t="s">
        <v>9491</v>
      </c>
      <c r="C1246" s="1749" t="s">
        <v>5</v>
      </c>
      <c r="D1246" s="1773">
        <v>0.2</v>
      </c>
      <c r="E1246" s="1782">
        <v>1000</v>
      </c>
      <c r="F1246" s="1769">
        <v>1</v>
      </c>
      <c r="G1246" s="1786">
        <f t="shared" si="11"/>
        <v>200</v>
      </c>
      <c r="H1246" s="1524"/>
      <c r="J1246" s="1637"/>
      <c r="K1246" s="1637"/>
    </row>
    <row r="1247" spans="1:11" ht="38.25" x14ac:dyDescent="0.25">
      <c r="A1247" s="1528"/>
      <c r="B1247" s="1822" t="s">
        <v>9492</v>
      </c>
      <c r="C1247" s="1749" t="s">
        <v>9023</v>
      </c>
      <c r="D1247" s="1773">
        <v>1</v>
      </c>
      <c r="E1247" s="1782">
        <v>6000</v>
      </c>
      <c r="F1247" s="1769">
        <v>1</v>
      </c>
      <c r="G1247" s="1786">
        <f t="shared" si="11"/>
        <v>6000</v>
      </c>
      <c r="H1247" s="1524"/>
      <c r="J1247" s="1637"/>
      <c r="K1247" s="1637"/>
    </row>
    <row r="1248" spans="1:11" x14ac:dyDescent="0.25">
      <c r="A1248" s="1528"/>
      <c r="B1248" s="268"/>
      <c r="C1248" s="1534"/>
      <c r="D1248" s="211"/>
      <c r="E1248" s="1535" t="s">
        <v>7182</v>
      </c>
      <c r="F1248" s="1551"/>
      <c r="G1248" s="1541" t="s">
        <v>7182</v>
      </c>
      <c r="H1248" s="1524"/>
      <c r="J1248" s="1637"/>
      <c r="K1248" s="1637"/>
    </row>
    <row r="1249" spans="1:11" x14ac:dyDescent="0.25">
      <c r="A1249" s="1528"/>
      <c r="B1249" s="1346"/>
      <c r="C1249" s="1534"/>
      <c r="D1249" s="211"/>
      <c r="E1249" s="1535" t="s">
        <v>7182</v>
      </c>
      <c r="F1249" s="1551"/>
      <c r="G1249" s="1541" t="s">
        <v>7182</v>
      </c>
      <c r="H1249" s="1524"/>
      <c r="J1249" s="1637"/>
      <c r="K1249" s="1637"/>
    </row>
    <row r="1250" spans="1:11" ht="15.75" thickBot="1" x14ac:dyDescent="0.3">
      <c r="A1250" s="1528"/>
      <c r="B1250" s="1540"/>
      <c r="C1250" s="1537"/>
      <c r="D1250" s="952"/>
      <c r="E1250" s="1538" t="s">
        <v>7182</v>
      </c>
      <c r="F1250" s="1537"/>
      <c r="G1250" s="1541" t="s">
        <v>7182</v>
      </c>
      <c r="H1250" s="1524"/>
      <c r="J1250" s="1637"/>
      <c r="K1250" s="1637"/>
    </row>
    <row r="1251" spans="1:11" ht="15.75" thickBot="1" x14ac:dyDescent="0.3">
      <c r="A1251" s="1528"/>
      <c r="B1251" s="1555"/>
      <c r="C1251" s="1557"/>
      <c r="D1251" s="956"/>
      <c r="E1251" s="1556" t="s">
        <v>7182</v>
      </c>
      <c r="F1251" s="1557"/>
      <c r="G1251" s="1558" t="s">
        <v>7182</v>
      </c>
      <c r="H1251" s="1546">
        <f>SUM(G1236:G1251)</f>
        <v>52117.5</v>
      </c>
      <c r="J1251" s="1637"/>
      <c r="K1251" s="1637"/>
    </row>
    <row r="1252" spans="1:11" x14ac:dyDescent="0.25">
      <c r="A1252" s="1528"/>
      <c r="B1252" s="1372"/>
      <c r="C1252" s="1374"/>
      <c r="D1252" s="1373"/>
      <c r="E1252" s="1372" t="s">
        <v>7182</v>
      </c>
      <c r="F1252" s="1374"/>
      <c r="G1252" s="1375" t="s">
        <v>7182</v>
      </c>
      <c r="H1252" s="1550"/>
      <c r="J1252" s="1637"/>
      <c r="K1252" s="1637"/>
    </row>
    <row r="1253" spans="1:11" ht="15.75" thickBot="1" x14ac:dyDescent="0.3">
      <c r="A1253" s="1527"/>
      <c r="B1253" s="188"/>
      <c r="C1253" s="189"/>
      <c r="D1253" s="1668"/>
      <c r="E1253" s="188"/>
      <c r="F1253" s="189"/>
      <c r="G1253" s="1669"/>
      <c r="H1253" s="1550"/>
      <c r="J1253" s="1637"/>
      <c r="K1253" s="1637"/>
    </row>
    <row r="1254" spans="1:11" ht="15.75" thickBot="1" x14ac:dyDescent="0.3">
      <c r="A1254" s="1527"/>
      <c r="B1254" s="1366" t="s">
        <v>9418</v>
      </c>
      <c r="C1254" s="1363" t="s">
        <v>867</v>
      </c>
      <c r="D1254" s="1120" t="s">
        <v>6</v>
      </c>
      <c r="E1254" s="1363" t="s">
        <v>7183</v>
      </c>
      <c r="F1254" s="1363" t="s">
        <v>5405</v>
      </c>
      <c r="G1254" s="1365" t="s">
        <v>7179</v>
      </c>
      <c r="H1254" s="1524"/>
      <c r="J1254" s="1637"/>
      <c r="K1254" s="1637"/>
    </row>
    <row r="1255" spans="1:11" x14ac:dyDescent="0.25">
      <c r="A1255" s="1527"/>
      <c r="B1255" s="1564" t="s">
        <v>5455</v>
      </c>
      <c r="C1255" s="1534" t="s">
        <v>5</v>
      </c>
      <c r="D1255" s="211">
        <v>1</v>
      </c>
      <c r="E1255" s="1535">
        <v>500</v>
      </c>
      <c r="F1255" s="1534">
        <v>1</v>
      </c>
      <c r="G1255" s="1572">
        <f>+F1255*E1255</f>
        <v>500</v>
      </c>
      <c r="H1255" s="1524"/>
      <c r="J1255" s="1637"/>
      <c r="K1255" s="1637"/>
    </row>
    <row r="1256" spans="1:11" x14ac:dyDescent="0.25">
      <c r="A1256" s="1527"/>
      <c r="B1256" s="1540"/>
      <c r="C1256" s="1537"/>
      <c r="D1256" s="212"/>
      <c r="E1256" s="1535" t="s">
        <v>7182</v>
      </c>
      <c r="F1256" s="1537"/>
      <c r="G1256" s="1572" t="s">
        <v>7182</v>
      </c>
      <c r="H1256" s="1524"/>
      <c r="J1256" s="1637"/>
      <c r="K1256" s="1637"/>
    </row>
    <row r="1257" spans="1:11" x14ac:dyDescent="0.25">
      <c r="A1257" s="1527"/>
      <c r="B1257" s="1540"/>
      <c r="C1257" s="1537"/>
      <c r="D1257" s="212"/>
      <c r="E1257" s="1535" t="s">
        <v>7182</v>
      </c>
      <c r="F1257" s="1537"/>
      <c r="G1257" s="1572" t="s">
        <v>7182</v>
      </c>
      <c r="H1257" s="1524"/>
      <c r="J1257" s="1637"/>
      <c r="K1257" s="1637"/>
    </row>
    <row r="1258" spans="1:11" ht="15.75" thickBot="1" x14ac:dyDescent="0.3">
      <c r="A1258" s="1527"/>
      <c r="B1258" s="1540"/>
      <c r="C1258" s="1537"/>
      <c r="D1258" s="212"/>
      <c r="E1258" s="1535" t="s">
        <v>7182</v>
      </c>
      <c r="F1258" s="1537"/>
      <c r="G1258" s="1572" t="s">
        <v>7182</v>
      </c>
      <c r="H1258" s="1524"/>
      <c r="J1258" s="1637"/>
      <c r="K1258" s="1637"/>
    </row>
    <row r="1259" spans="1:11" ht="15.75" thickBot="1" x14ac:dyDescent="0.3">
      <c r="A1259" s="1527"/>
      <c r="B1259" s="1555"/>
      <c r="C1259" s="1556"/>
      <c r="D1259" s="956"/>
      <c r="E1259" s="1556" t="s">
        <v>7182</v>
      </c>
      <c r="F1259" s="1557"/>
      <c r="G1259" s="1558" t="s">
        <v>7182</v>
      </c>
      <c r="H1259" s="1546">
        <f>SUM(G1255:G1259)</f>
        <v>500</v>
      </c>
      <c r="J1259" s="1637"/>
      <c r="K1259" s="1637"/>
    </row>
    <row r="1260" spans="1:11" ht="15.75" thickBot="1" x14ac:dyDescent="0.3">
      <c r="A1260" s="1527"/>
      <c r="B1260" s="1376"/>
      <c r="C1260" s="1353"/>
      <c r="D1260" s="1355"/>
      <c r="E1260" s="1352"/>
      <c r="F1260" s="1377"/>
      <c r="G1260" s="1378"/>
      <c r="H1260" s="1524"/>
      <c r="J1260" s="1637"/>
      <c r="K1260" s="1637"/>
    </row>
    <row r="1261" spans="1:11" ht="15.75" thickBot="1" x14ac:dyDescent="0.3">
      <c r="A1261" s="1527"/>
      <c r="B1261" s="1366" t="s">
        <v>5410</v>
      </c>
      <c r="C1261" s="1363" t="s">
        <v>867</v>
      </c>
      <c r="D1261" s="1120" t="s">
        <v>6</v>
      </c>
      <c r="E1261" s="1363" t="s">
        <v>7183</v>
      </c>
      <c r="F1261" s="1363" t="s">
        <v>5405</v>
      </c>
      <c r="G1261" s="1365" t="s">
        <v>7179</v>
      </c>
      <c r="H1261" s="1524"/>
      <c r="J1261" s="1637"/>
      <c r="K1261" s="1637"/>
    </row>
    <row r="1262" spans="1:11" ht="25.5" x14ac:dyDescent="0.25">
      <c r="A1262" s="1527"/>
      <c r="B1262" s="1564" t="s">
        <v>9421</v>
      </c>
      <c r="C1262" s="1534" t="s">
        <v>9023</v>
      </c>
      <c r="D1262" s="211">
        <v>1</v>
      </c>
      <c r="E1262" s="1535">
        <v>2500</v>
      </c>
      <c r="F1262" s="297">
        <v>1</v>
      </c>
      <c r="G1262" s="1572">
        <f>+F1262*E1262</f>
        <v>2500</v>
      </c>
      <c r="H1262" s="1524"/>
      <c r="J1262" s="1637"/>
      <c r="K1262" s="1637"/>
    </row>
    <row r="1263" spans="1:11" x14ac:dyDescent="0.25">
      <c r="A1263" s="1527"/>
      <c r="B1263" s="1540"/>
      <c r="C1263" s="1537"/>
      <c r="D1263" s="212"/>
      <c r="E1263" s="1535" t="s">
        <v>7182</v>
      </c>
      <c r="F1263" s="1537"/>
      <c r="G1263" s="1572" t="s">
        <v>7182</v>
      </c>
      <c r="H1263" s="1524"/>
    </row>
    <row r="1264" spans="1:11" x14ac:dyDescent="0.25">
      <c r="A1264" s="1527"/>
      <c r="B1264" s="1540"/>
      <c r="C1264" s="1537"/>
      <c r="D1264" s="212"/>
      <c r="E1264" s="1535" t="s">
        <v>7182</v>
      </c>
      <c r="F1264" s="1537"/>
      <c r="G1264" s="1572" t="s">
        <v>7182</v>
      </c>
      <c r="H1264" s="1524"/>
    </row>
    <row r="1265" spans="1:11" ht="15.75" thickBot="1" x14ac:dyDescent="0.3">
      <c r="A1265" s="1527"/>
      <c r="B1265" s="1540"/>
      <c r="C1265" s="1537"/>
      <c r="D1265" s="212"/>
      <c r="E1265" s="1535" t="s">
        <v>7182</v>
      </c>
      <c r="F1265" s="1537"/>
      <c r="G1265" s="1572" t="s">
        <v>7182</v>
      </c>
      <c r="H1265" s="1524"/>
    </row>
    <row r="1266" spans="1:11" ht="15.75" thickBot="1" x14ac:dyDescent="0.3">
      <c r="A1266" s="1527"/>
      <c r="B1266" s="1555"/>
      <c r="C1266" s="1556"/>
      <c r="D1266" s="956"/>
      <c r="E1266" s="1556" t="s">
        <v>7182</v>
      </c>
      <c r="F1266" s="1557"/>
      <c r="G1266" s="1558" t="s">
        <v>7182</v>
      </c>
      <c r="H1266" s="1546">
        <f>SUM(G1262:G1266)</f>
        <v>2500</v>
      </c>
    </row>
    <row r="1267" spans="1:11" ht="15.75" thickBot="1" x14ac:dyDescent="0.3">
      <c r="A1267" s="1527"/>
      <c r="B1267" s="1547"/>
      <c r="C1267" s="1547"/>
      <c r="D1267" s="954"/>
      <c r="E1267" s="1547"/>
      <c r="F1267" s="1553"/>
      <c r="G1267" s="1554"/>
      <c r="H1267" s="1550"/>
    </row>
    <row r="1268" spans="1:11" ht="15.75" thickBot="1" x14ac:dyDescent="0.3">
      <c r="A1268" s="1559"/>
      <c r="B1268" s="1369" t="s">
        <v>5412</v>
      </c>
      <c r="C1268" s="1363" t="s">
        <v>5420</v>
      </c>
      <c r="D1268" s="1120" t="s">
        <v>5421</v>
      </c>
      <c r="E1268" s="1363" t="s">
        <v>7187</v>
      </c>
      <c r="F1268" s="1363" t="s">
        <v>5405</v>
      </c>
      <c r="G1268" s="1370" t="s">
        <v>7179</v>
      </c>
      <c r="H1268" s="1371"/>
    </row>
    <row r="1269" spans="1:11" x14ac:dyDescent="0.25">
      <c r="A1269" s="1527"/>
      <c r="B1269" s="1767" t="s">
        <v>9422</v>
      </c>
      <c r="C1269" s="1778">
        <v>170000</v>
      </c>
      <c r="D1269" s="1779">
        <f>0.6*C1269</f>
        <v>102000</v>
      </c>
      <c r="E1269" s="1778">
        <f>+D1269+C1269</f>
        <v>272000</v>
      </c>
      <c r="F1269" s="1790">
        <v>0.05</v>
      </c>
      <c r="G1269" s="1789">
        <f>+F1269*E1269</f>
        <v>13600</v>
      </c>
      <c r="H1269" s="1524"/>
    </row>
    <row r="1270" spans="1:11" x14ac:dyDescent="0.25">
      <c r="A1270" s="1527"/>
      <c r="B1270" s="1560"/>
      <c r="C1270" s="1569"/>
      <c r="D1270" s="1569"/>
      <c r="E1270" s="1569"/>
      <c r="F1270" s="819"/>
      <c r="G1270" s="818"/>
      <c r="H1270" s="1524"/>
    </row>
    <row r="1271" spans="1:11" x14ac:dyDescent="0.25">
      <c r="A1271" s="1527"/>
      <c r="B1271" s="1561"/>
      <c r="C1271" s="1569"/>
      <c r="D1271" s="1569"/>
      <c r="E1271" s="1569"/>
      <c r="F1271" s="817"/>
      <c r="G1271" s="818"/>
      <c r="H1271" s="1524"/>
    </row>
    <row r="1272" spans="1:11" x14ac:dyDescent="0.25">
      <c r="A1272" s="1527"/>
      <c r="B1272" s="1540"/>
      <c r="C1272" s="1569"/>
      <c r="D1272" s="1569"/>
      <c r="E1272" s="1569"/>
      <c r="F1272" s="817"/>
      <c r="G1272" s="818"/>
      <c r="H1272" s="1524"/>
    </row>
    <row r="1273" spans="1:11" x14ac:dyDescent="0.25">
      <c r="A1273" s="1527"/>
      <c r="B1273" s="1540"/>
      <c r="C1273" s="1538" t="s">
        <v>7182</v>
      </c>
      <c r="D1273" s="952" t="s">
        <v>7182</v>
      </c>
      <c r="E1273" s="1538" t="s">
        <v>7182</v>
      </c>
      <c r="F1273" s="817"/>
      <c r="G1273" s="818" t="str">
        <f>IF(B1273="","",E1273/F1273)</f>
        <v/>
      </c>
      <c r="H1273" s="1524"/>
    </row>
    <row r="1274" spans="1:11" ht="15.75" thickBot="1" x14ac:dyDescent="0.3">
      <c r="A1274" s="1527"/>
      <c r="B1274" s="1540"/>
      <c r="C1274" s="1538" t="s">
        <v>7182</v>
      </c>
      <c r="D1274" s="952" t="s">
        <v>7182</v>
      </c>
      <c r="E1274" s="1538" t="s">
        <v>7182</v>
      </c>
      <c r="F1274" s="1537"/>
      <c r="G1274" s="818" t="str">
        <f>IF(B1274="","",E1274/F1274)</f>
        <v/>
      </c>
      <c r="H1274" s="1524"/>
    </row>
    <row r="1275" spans="1:11" ht="15.75" thickBot="1" x14ac:dyDescent="0.3">
      <c r="A1275" s="1527"/>
      <c r="B1275" s="1555"/>
      <c r="C1275" s="1556"/>
      <c r="D1275" s="956"/>
      <c r="E1275" s="1556"/>
      <c r="F1275" s="1557"/>
      <c r="G1275" s="1558"/>
      <c r="H1275" s="1546">
        <f>SUM(G1269:G1275)</f>
        <v>13600</v>
      </c>
    </row>
    <row r="1276" spans="1:11" ht="15.75" thickBot="1" x14ac:dyDescent="0.3">
      <c r="A1276" s="1527"/>
      <c r="B1276" s="1527"/>
      <c r="C1276" s="1527"/>
      <c r="D1276" s="529"/>
      <c r="F1276" s="1528"/>
      <c r="G1276" s="1524"/>
      <c r="H1276" s="1524"/>
    </row>
    <row r="1277" spans="1:11" ht="15.75" thickBot="1" x14ac:dyDescent="0.3">
      <c r="A1277" s="1647" t="s">
        <v>6744</v>
      </c>
      <c r="B1277" s="1352"/>
      <c r="C1277" s="1352"/>
      <c r="D1277" s="1671"/>
      <c r="E1277" s="1672"/>
      <c r="F1277" s="1353"/>
      <c r="G1277" s="1527" t="s">
        <v>5415</v>
      </c>
      <c r="H1277" s="502">
        <f>ROUND(SUM(H1235:H1276),0)</f>
        <v>68718</v>
      </c>
      <c r="J1277" s="1673">
        <f>+B1231</f>
        <v>10.3</v>
      </c>
      <c r="K1277" s="1674">
        <f>+H1277</f>
        <v>68718</v>
      </c>
    </row>
    <row r="1278" spans="1:11" x14ac:dyDescent="0.25">
      <c r="A1278" s="1675"/>
      <c r="B1278" s="1676"/>
      <c r="C1278" s="1676"/>
      <c r="D1278" s="1677"/>
      <c r="E1278" s="1678"/>
      <c r="F1278" s="1679"/>
      <c r="G1278" s="1680"/>
      <c r="H1278" s="1680"/>
    </row>
    <row r="1279" spans="1:11" ht="18.75" x14ac:dyDescent="0.25">
      <c r="A1279" s="1523"/>
      <c r="B1279" s="1655"/>
      <c r="C1279" s="1655"/>
      <c r="D1279" s="950"/>
      <c r="E1279" s="1655"/>
      <c r="F1279" s="1655"/>
      <c r="G1279" s="1655"/>
      <c r="H1279" s="8"/>
      <c r="J1279" s="1637"/>
      <c r="K1279" s="1637"/>
    </row>
    <row r="1280" spans="1:11" x14ac:dyDescent="0.25">
      <c r="A1280" s="1523"/>
      <c r="B1280" s="8"/>
      <c r="C1280" s="8"/>
      <c r="D1280" s="529"/>
      <c r="E1280" s="8"/>
      <c r="F1280" s="1523"/>
      <c r="G1280" s="1524"/>
      <c r="H1280" s="8"/>
      <c r="J1280" s="1637"/>
      <c r="K1280" s="1637"/>
    </row>
    <row r="1281" spans="1:11" ht="27" customHeight="1" x14ac:dyDescent="0.25">
      <c r="A1281" s="1665" t="s">
        <v>3</v>
      </c>
      <c r="B1281" s="1666">
        <f>+VLOOKUP(C1281,ListaAPUs!$B:$E,4,FALSE)</f>
        <v>10.31</v>
      </c>
      <c r="C1281" s="2441" t="str">
        <f>+ListaAPUs!B231</f>
        <v>Acometida parcial de tablero iluminacion normal TPE tablero de Planta de Emergencia a Tablero Servicios auxiliares T8 en 3X8+1X10+1X10T</v>
      </c>
      <c r="D1281" s="2441"/>
      <c r="E1281" s="2441"/>
      <c r="F1281" s="1665" t="s">
        <v>867</v>
      </c>
      <c r="G1281" s="1390" t="str">
        <f>+VLOOKUP(C1281,ListaAPUs!$B:$E,2,FALSE)</f>
        <v>m</v>
      </c>
      <c r="H1281" s="1524"/>
    </row>
    <row r="1282" spans="1:11" x14ac:dyDescent="0.25">
      <c r="A1282" s="1528"/>
      <c r="B1282" s="1527"/>
      <c r="C1282" s="1527"/>
      <c r="D1282" s="529"/>
      <c r="E1282" s="1527"/>
      <c r="F1282" s="1528"/>
      <c r="G1282" s="1524"/>
      <c r="H1282" s="1524"/>
      <c r="J1282" s="1637"/>
      <c r="K1282" s="1637"/>
    </row>
    <row r="1283" spans="1:11" x14ac:dyDescent="0.25">
      <c r="A1283" s="1528"/>
      <c r="B1283" s="1527"/>
      <c r="C1283" s="1527"/>
      <c r="D1283" s="529"/>
      <c r="E1283" s="1527"/>
      <c r="F1283" s="1528"/>
      <c r="G1283" s="1529"/>
      <c r="H1283" s="1524"/>
      <c r="J1283" s="1637"/>
      <c r="K1283" s="1637"/>
    </row>
    <row r="1284" spans="1:11" ht="15.75" thickBot="1" x14ac:dyDescent="0.3">
      <c r="A1284" s="1528"/>
      <c r="B1284" s="1527"/>
      <c r="C1284" s="1527"/>
      <c r="D1284" s="529"/>
      <c r="E1284" s="1527"/>
      <c r="F1284" s="1528"/>
      <c r="G1284" s="1524"/>
      <c r="H1284" s="1524"/>
      <c r="J1284" s="1637"/>
      <c r="K1284" s="1637"/>
    </row>
    <row r="1285" spans="1:11" ht="15.75" thickBot="1" x14ac:dyDescent="0.3">
      <c r="A1285" s="1368"/>
      <c r="B1285" s="1369" t="s">
        <v>5403</v>
      </c>
      <c r="C1285" s="1363" t="s">
        <v>867</v>
      </c>
      <c r="D1285" s="1120" t="s">
        <v>6</v>
      </c>
      <c r="E1285" s="1363" t="s">
        <v>9417</v>
      </c>
      <c r="F1285" s="1363" t="s">
        <v>5405</v>
      </c>
      <c r="G1285" s="1370" t="s">
        <v>7179</v>
      </c>
      <c r="H1285" s="1371"/>
      <c r="J1285" s="1637"/>
      <c r="K1285" s="1637"/>
    </row>
    <row r="1286" spans="1:11" x14ac:dyDescent="0.25">
      <c r="A1286" s="1528"/>
      <c r="B1286" s="1746" t="s">
        <v>9493</v>
      </c>
      <c r="C1286" s="1802" t="s">
        <v>5432</v>
      </c>
      <c r="D1286" s="1794">
        <v>2</v>
      </c>
      <c r="E1286" s="1803">
        <v>1750</v>
      </c>
      <c r="F1286" s="1804">
        <v>1.05</v>
      </c>
      <c r="G1286" s="1805">
        <f>+F1286*E1286*D1286</f>
        <v>3675</v>
      </c>
      <c r="H1286" s="1524"/>
      <c r="J1286" s="1637"/>
      <c r="K1286" s="1637"/>
    </row>
    <row r="1287" spans="1:11" x14ac:dyDescent="0.25">
      <c r="A1287" s="1528"/>
      <c r="B1287" s="1751" t="s">
        <v>9484</v>
      </c>
      <c r="C1287" s="1749" t="s">
        <v>5432</v>
      </c>
      <c r="D1287" s="1773">
        <v>3</v>
      </c>
      <c r="E1287" s="1825">
        <v>2450</v>
      </c>
      <c r="F1287" s="1769">
        <v>1.05</v>
      </c>
      <c r="G1287" s="1786">
        <f>+F1287*E1287*D1287</f>
        <v>7717.5</v>
      </c>
      <c r="H1287" s="1524"/>
      <c r="J1287" s="1637"/>
      <c r="K1287" s="1637"/>
    </row>
    <row r="1288" spans="1:11" x14ac:dyDescent="0.25">
      <c r="A1288" s="1528"/>
      <c r="B1288" s="1822" t="s">
        <v>9485</v>
      </c>
      <c r="C1288" s="1749" t="s">
        <v>5</v>
      </c>
      <c r="D1288" s="1769">
        <f>2/6</f>
        <v>0.33333333333333331</v>
      </c>
      <c r="E1288" s="1825">
        <v>2000</v>
      </c>
      <c r="F1288" s="1769">
        <v>1</v>
      </c>
      <c r="G1288" s="1786">
        <f>+F1288*E1288*D1288</f>
        <v>666.66666666666663</v>
      </c>
      <c r="H1288" s="1524"/>
      <c r="J1288" s="1637"/>
      <c r="K1288" s="1637"/>
    </row>
    <row r="1289" spans="1:11" x14ac:dyDescent="0.25">
      <c r="A1289" s="1528"/>
      <c r="B1289" s="1751" t="s">
        <v>9494</v>
      </c>
      <c r="C1289" s="1749" t="s">
        <v>5</v>
      </c>
      <c r="D1289" s="1769">
        <v>0.5</v>
      </c>
      <c r="E1289" s="1782">
        <v>1000</v>
      </c>
      <c r="F1289" s="1769">
        <v>1</v>
      </c>
      <c r="G1289" s="1786">
        <f>+F1289*E1289*D1289</f>
        <v>500</v>
      </c>
      <c r="H1289" s="1524"/>
      <c r="J1289" s="1637"/>
      <c r="K1289" s="1637"/>
    </row>
    <row r="1290" spans="1:11" ht="25.5" x14ac:dyDescent="0.25">
      <c r="A1290" s="1528"/>
      <c r="B1290" s="1822" t="s">
        <v>9480</v>
      </c>
      <c r="C1290" s="1749" t="s">
        <v>9023</v>
      </c>
      <c r="D1290" s="1773">
        <v>1</v>
      </c>
      <c r="E1290" s="1782">
        <v>1000</v>
      </c>
      <c r="F1290" s="1769">
        <v>1</v>
      </c>
      <c r="G1290" s="1786">
        <f>+F1290*E1290</f>
        <v>1000</v>
      </c>
      <c r="H1290" s="1524"/>
      <c r="J1290" s="1637"/>
      <c r="K1290" s="1637"/>
    </row>
    <row r="1291" spans="1:11" x14ac:dyDescent="0.25">
      <c r="A1291" s="1528"/>
      <c r="B1291" s="1822" t="s">
        <v>9481</v>
      </c>
      <c r="C1291" s="1749" t="s">
        <v>9023</v>
      </c>
      <c r="D1291" s="1773">
        <v>1</v>
      </c>
      <c r="E1291" s="1782">
        <v>2000</v>
      </c>
      <c r="F1291" s="1769">
        <v>1</v>
      </c>
      <c r="G1291" s="1786">
        <f>+F1291*E1291</f>
        <v>2000</v>
      </c>
      <c r="H1291" s="1524"/>
      <c r="J1291" s="1637"/>
      <c r="K1291" s="1637"/>
    </row>
    <row r="1292" spans="1:11" x14ac:dyDescent="0.25">
      <c r="A1292" s="1528"/>
      <c r="B1292" s="1822" t="s">
        <v>9495</v>
      </c>
      <c r="C1292" s="1749" t="s">
        <v>9023</v>
      </c>
      <c r="D1292" s="1773">
        <v>1</v>
      </c>
      <c r="E1292" s="1782">
        <v>2500</v>
      </c>
      <c r="F1292" s="1769">
        <v>1</v>
      </c>
      <c r="G1292" s="1786">
        <f>+F1292*E1292*D1292</f>
        <v>2500</v>
      </c>
      <c r="H1292" s="1524"/>
      <c r="J1292" s="1637"/>
      <c r="K1292" s="1637"/>
    </row>
    <row r="1293" spans="1:11" x14ac:dyDescent="0.25">
      <c r="A1293" s="1528"/>
      <c r="B1293" s="1667"/>
      <c r="C1293" s="1537"/>
      <c r="D1293" s="212"/>
      <c r="E1293" s="816"/>
      <c r="F1293" s="1563"/>
      <c r="G1293" s="814"/>
      <c r="H1293" s="1524"/>
      <c r="J1293" s="1637"/>
      <c r="K1293" s="1637"/>
    </row>
    <row r="1294" spans="1:11" x14ac:dyDescent="0.25">
      <c r="A1294" s="1528"/>
      <c r="B1294" s="1667"/>
      <c r="C1294" s="1537"/>
      <c r="D1294" s="212"/>
      <c r="E1294" s="816"/>
      <c r="F1294" s="1563"/>
      <c r="G1294" s="814"/>
      <c r="H1294" s="1524"/>
      <c r="J1294" s="1637"/>
      <c r="K1294" s="1637"/>
    </row>
    <row r="1295" spans="1:11" x14ac:dyDescent="0.25">
      <c r="A1295" s="1528"/>
      <c r="B1295" s="1667"/>
      <c r="C1295" s="1537"/>
      <c r="D1295" s="212"/>
      <c r="E1295" s="816"/>
      <c r="F1295" s="1563"/>
      <c r="G1295" s="814"/>
      <c r="H1295" s="1524"/>
      <c r="J1295" s="1637"/>
      <c r="K1295" s="1637"/>
    </row>
    <row r="1296" spans="1:11" x14ac:dyDescent="0.25">
      <c r="A1296" s="1528"/>
      <c r="B1296" s="1667"/>
      <c r="C1296" s="1537"/>
      <c r="D1296" s="212"/>
      <c r="E1296" s="816"/>
      <c r="F1296" s="1563"/>
      <c r="G1296" s="814"/>
      <c r="H1296" s="1524"/>
      <c r="J1296" s="1637"/>
      <c r="K1296" s="1637"/>
    </row>
    <row r="1297" spans="1:11" x14ac:dyDescent="0.25">
      <c r="A1297" s="1528"/>
      <c r="B1297" s="269"/>
      <c r="C1297" s="1537"/>
      <c r="D1297" s="212"/>
      <c r="E1297" s="816"/>
      <c r="F1297" s="1563"/>
      <c r="G1297" s="814"/>
      <c r="H1297" s="1524"/>
      <c r="J1297" s="1637"/>
      <c r="K1297" s="1637"/>
    </row>
    <row r="1298" spans="1:11" x14ac:dyDescent="0.25">
      <c r="A1298" s="1528"/>
      <c r="B1298" s="268"/>
      <c r="C1298" s="1534"/>
      <c r="D1298" s="211"/>
      <c r="E1298" s="1535" t="s">
        <v>7182</v>
      </c>
      <c r="F1298" s="1551"/>
      <c r="G1298" s="1541" t="s">
        <v>7182</v>
      </c>
      <c r="H1298" s="1524"/>
      <c r="J1298" s="1637"/>
      <c r="K1298" s="1637"/>
    </row>
    <row r="1299" spans="1:11" x14ac:dyDescent="0.25">
      <c r="A1299" s="1528"/>
      <c r="B1299" s="1346"/>
      <c r="C1299" s="1534"/>
      <c r="D1299" s="211"/>
      <c r="E1299" s="1535" t="s">
        <v>7182</v>
      </c>
      <c r="F1299" s="1551"/>
      <c r="G1299" s="1541" t="s">
        <v>7182</v>
      </c>
      <c r="H1299" s="1524"/>
      <c r="J1299" s="1637"/>
      <c r="K1299" s="1637"/>
    </row>
    <row r="1300" spans="1:11" ht="15.75" thickBot="1" x14ac:dyDescent="0.3">
      <c r="A1300" s="1528"/>
      <c r="B1300" s="1540"/>
      <c r="C1300" s="1537"/>
      <c r="D1300" s="952"/>
      <c r="E1300" s="1538" t="s">
        <v>7182</v>
      </c>
      <c r="F1300" s="1537"/>
      <c r="G1300" s="1541" t="s">
        <v>7182</v>
      </c>
      <c r="H1300" s="1524"/>
      <c r="J1300" s="1637"/>
      <c r="K1300" s="1637"/>
    </row>
    <row r="1301" spans="1:11" ht="15.75" thickBot="1" x14ac:dyDescent="0.3">
      <c r="A1301" s="1528"/>
      <c r="B1301" s="1555"/>
      <c r="C1301" s="1557"/>
      <c r="D1301" s="956"/>
      <c r="E1301" s="1556" t="s">
        <v>7182</v>
      </c>
      <c r="F1301" s="1557"/>
      <c r="G1301" s="1558" t="s">
        <v>7182</v>
      </c>
      <c r="H1301" s="1546">
        <f>SUM(G1286:G1301)</f>
        <v>18059.166666666664</v>
      </c>
      <c r="J1301" s="1637"/>
      <c r="K1301" s="1637"/>
    </row>
    <row r="1302" spans="1:11" x14ac:dyDescent="0.25">
      <c r="A1302" s="1528"/>
      <c r="B1302" s="1372"/>
      <c r="C1302" s="1374"/>
      <c r="D1302" s="1373"/>
      <c r="E1302" s="1372" t="s">
        <v>7182</v>
      </c>
      <c r="F1302" s="1374"/>
      <c r="G1302" s="1375" t="s">
        <v>7182</v>
      </c>
      <c r="H1302" s="1550"/>
      <c r="J1302" s="1637"/>
      <c r="K1302" s="1637"/>
    </row>
    <row r="1303" spans="1:11" ht="15.75" thickBot="1" x14ac:dyDescent="0.3">
      <c r="A1303" s="1527"/>
      <c r="B1303" s="188"/>
      <c r="C1303" s="189"/>
      <c r="D1303" s="1668"/>
      <c r="E1303" s="188"/>
      <c r="F1303" s="189"/>
      <c r="G1303" s="1669"/>
      <c r="H1303" s="1550"/>
      <c r="J1303" s="1637"/>
      <c r="K1303" s="1637"/>
    </row>
    <row r="1304" spans="1:11" ht="15.75" thickBot="1" x14ac:dyDescent="0.3">
      <c r="A1304" s="1527"/>
      <c r="B1304" s="1366" t="s">
        <v>9418</v>
      </c>
      <c r="C1304" s="1363" t="s">
        <v>867</v>
      </c>
      <c r="D1304" s="1120" t="s">
        <v>6</v>
      </c>
      <c r="E1304" s="1363" t="s">
        <v>7183</v>
      </c>
      <c r="F1304" s="1363" t="s">
        <v>5405</v>
      </c>
      <c r="G1304" s="1365" t="s">
        <v>7179</v>
      </c>
      <c r="H1304" s="1524"/>
      <c r="J1304" s="1637"/>
      <c r="K1304" s="1637"/>
    </row>
    <row r="1305" spans="1:11" x14ac:dyDescent="0.25">
      <c r="A1305" s="1527"/>
      <c r="B1305" s="1564" t="s">
        <v>5455</v>
      </c>
      <c r="C1305" s="1534" t="s">
        <v>5</v>
      </c>
      <c r="D1305" s="211">
        <v>1</v>
      </c>
      <c r="E1305" s="1535">
        <v>500</v>
      </c>
      <c r="F1305" s="1534">
        <v>1</v>
      </c>
      <c r="G1305" s="1572">
        <f>+F1305*E1305</f>
        <v>500</v>
      </c>
      <c r="H1305" s="1524"/>
      <c r="J1305" s="1637"/>
      <c r="K1305" s="1637"/>
    </row>
    <row r="1306" spans="1:11" x14ac:dyDescent="0.25">
      <c r="A1306" s="1527"/>
      <c r="B1306" s="1540"/>
      <c r="C1306" s="1537"/>
      <c r="D1306" s="212"/>
      <c r="E1306" s="1535" t="s">
        <v>7182</v>
      </c>
      <c r="F1306" s="1537"/>
      <c r="G1306" s="1572" t="s">
        <v>7182</v>
      </c>
      <c r="H1306" s="1524"/>
      <c r="J1306" s="1637"/>
      <c r="K1306" s="1637"/>
    </row>
    <row r="1307" spans="1:11" x14ac:dyDescent="0.25">
      <c r="A1307" s="1527"/>
      <c r="B1307" s="1540"/>
      <c r="C1307" s="1537"/>
      <c r="D1307" s="212"/>
      <c r="E1307" s="1535" t="s">
        <v>7182</v>
      </c>
      <c r="F1307" s="1537"/>
      <c r="G1307" s="1572" t="s">
        <v>7182</v>
      </c>
      <c r="H1307" s="1524"/>
      <c r="J1307" s="1637"/>
      <c r="K1307" s="1637"/>
    </row>
    <row r="1308" spans="1:11" ht="15.75" thickBot="1" x14ac:dyDescent="0.3">
      <c r="A1308" s="1527"/>
      <c r="B1308" s="1540"/>
      <c r="C1308" s="1537"/>
      <c r="D1308" s="212"/>
      <c r="E1308" s="1535" t="s">
        <v>7182</v>
      </c>
      <c r="F1308" s="1537"/>
      <c r="G1308" s="1572" t="s">
        <v>7182</v>
      </c>
      <c r="H1308" s="1524"/>
      <c r="J1308" s="1637"/>
      <c r="K1308" s="1637"/>
    </row>
    <row r="1309" spans="1:11" ht="15.75" thickBot="1" x14ac:dyDescent="0.3">
      <c r="A1309" s="1527"/>
      <c r="B1309" s="1555"/>
      <c r="C1309" s="1556"/>
      <c r="D1309" s="956"/>
      <c r="E1309" s="1556" t="s">
        <v>7182</v>
      </c>
      <c r="F1309" s="1557"/>
      <c r="G1309" s="1558" t="s">
        <v>7182</v>
      </c>
      <c r="H1309" s="1546">
        <f>SUM(G1305:G1309)</f>
        <v>500</v>
      </c>
      <c r="J1309" s="1637"/>
      <c r="K1309" s="1637"/>
    </row>
    <row r="1310" spans="1:11" ht="15.75" thickBot="1" x14ac:dyDescent="0.3">
      <c r="A1310" s="1527"/>
      <c r="B1310" s="1376"/>
      <c r="C1310" s="1353"/>
      <c r="D1310" s="1355"/>
      <c r="E1310" s="1352"/>
      <c r="F1310" s="1377"/>
      <c r="G1310" s="1378"/>
      <c r="H1310" s="1524"/>
      <c r="J1310" s="1637"/>
      <c r="K1310" s="1637"/>
    </row>
    <row r="1311" spans="1:11" ht="15.75" thickBot="1" x14ac:dyDescent="0.3">
      <c r="A1311" s="1527"/>
      <c r="B1311" s="1366" t="s">
        <v>5410</v>
      </c>
      <c r="C1311" s="1363" t="s">
        <v>867</v>
      </c>
      <c r="D1311" s="1120" t="s">
        <v>6</v>
      </c>
      <c r="E1311" s="1363" t="s">
        <v>7183</v>
      </c>
      <c r="F1311" s="1363" t="s">
        <v>5405</v>
      </c>
      <c r="G1311" s="1365" t="s">
        <v>7179</v>
      </c>
      <c r="H1311" s="1524"/>
      <c r="J1311" s="1637"/>
      <c r="K1311" s="1637"/>
    </row>
    <row r="1312" spans="1:11" ht="25.5" x14ac:dyDescent="0.25">
      <c r="A1312" s="1527"/>
      <c r="B1312" s="1564" t="s">
        <v>9421</v>
      </c>
      <c r="C1312" s="1534" t="s">
        <v>9023</v>
      </c>
      <c r="D1312" s="211">
        <v>1</v>
      </c>
      <c r="E1312" s="1535">
        <v>2500</v>
      </c>
      <c r="F1312" s="297">
        <v>1</v>
      </c>
      <c r="G1312" s="1572">
        <f>+F1312*E1312</f>
        <v>2500</v>
      </c>
      <c r="H1312" s="1524"/>
      <c r="J1312" s="1637"/>
      <c r="K1312" s="1637"/>
    </row>
    <row r="1313" spans="1:11" x14ac:dyDescent="0.25">
      <c r="A1313" s="1527"/>
      <c r="B1313" s="1540"/>
      <c r="C1313" s="1537"/>
      <c r="D1313" s="212"/>
      <c r="E1313" s="1535" t="s">
        <v>7182</v>
      </c>
      <c r="F1313" s="1537"/>
      <c r="G1313" s="1572" t="s">
        <v>7182</v>
      </c>
      <c r="H1313" s="1524"/>
      <c r="J1313" s="1637"/>
      <c r="K1313" s="1637"/>
    </row>
    <row r="1314" spans="1:11" x14ac:dyDescent="0.25">
      <c r="A1314" s="1527"/>
      <c r="B1314" s="1540"/>
      <c r="C1314" s="1537"/>
      <c r="D1314" s="212"/>
      <c r="E1314" s="1535" t="s">
        <v>7182</v>
      </c>
      <c r="F1314" s="1537"/>
      <c r="G1314" s="1572" t="s">
        <v>7182</v>
      </c>
      <c r="H1314" s="1524"/>
      <c r="J1314" s="1637"/>
      <c r="K1314" s="1637"/>
    </row>
    <row r="1315" spans="1:11" ht="15.75" thickBot="1" x14ac:dyDescent="0.3">
      <c r="A1315" s="1527"/>
      <c r="B1315" s="1540"/>
      <c r="C1315" s="1537"/>
      <c r="D1315" s="212"/>
      <c r="E1315" s="1535" t="s">
        <v>7182</v>
      </c>
      <c r="F1315" s="1537"/>
      <c r="G1315" s="1572" t="s">
        <v>7182</v>
      </c>
      <c r="H1315" s="1524"/>
      <c r="J1315" s="1637"/>
      <c r="K1315" s="1637"/>
    </row>
    <row r="1316" spans="1:11" ht="15.75" thickBot="1" x14ac:dyDescent="0.3">
      <c r="A1316" s="1527"/>
      <c r="B1316" s="1555"/>
      <c r="C1316" s="1556"/>
      <c r="D1316" s="956"/>
      <c r="E1316" s="1556" t="s">
        <v>7182</v>
      </c>
      <c r="F1316" s="1557"/>
      <c r="G1316" s="1558" t="s">
        <v>7182</v>
      </c>
      <c r="H1316" s="1546">
        <f>SUM(G1312:G1316)</f>
        <v>2500</v>
      </c>
      <c r="J1316" s="1637"/>
      <c r="K1316" s="1637"/>
    </row>
    <row r="1317" spans="1:11" ht="15.75" thickBot="1" x14ac:dyDescent="0.3">
      <c r="A1317" s="1527"/>
      <c r="B1317" s="1547"/>
      <c r="C1317" s="1547"/>
      <c r="D1317" s="954"/>
      <c r="E1317" s="1547"/>
      <c r="F1317" s="1553"/>
      <c r="G1317" s="1554"/>
      <c r="H1317" s="1550"/>
      <c r="J1317" s="1637"/>
      <c r="K1317" s="1637"/>
    </row>
    <row r="1318" spans="1:11" ht="15.75" thickBot="1" x14ac:dyDescent="0.3">
      <c r="A1318" s="1559"/>
      <c r="B1318" s="1369" t="s">
        <v>5412</v>
      </c>
      <c r="C1318" s="1363" t="s">
        <v>5420</v>
      </c>
      <c r="D1318" s="1120" t="s">
        <v>5421</v>
      </c>
      <c r="E1318" s="1363" t="s">
        <v>7187</v>
      </c>
      <c r="F1318" s="1363" t="s">
        <v>5405</v>
      </c>
      <c r="G1318" s="1370" t="s">
        <v>7179</v>
      </c>
      <c r="H1318" s="1371"/>
      <c r="J1318" s="1637"/>
      <c r="K1318" s="1637"/>
    </row>
    <row r="1319" spans="1:11" x14ac:dyDescent="0.25">
      <c r="A1319" s="1527"/>
      <c r="B1319" s="1560" t="s">
        <v>9422</v>
      </c>
      <c r="C1319" s="1569">
        <v>170000</v>
      </c>
      <c r="D1319" s="352">
        <f>0.6*C1319</f>
        <v>102000</v>
      </c>
      <c r="E1319" s="1569">
        <f>+D1319+C1319</f>
        <v>272000</v>
      </c>
      <c r="F1319" s="819">
        <v>1.4999999999999999E-2</v>
      </c>
      <c r="G1319" s="818">
        <f>+F1319*E1319</f>
        <v>4080</v>
      </c>
      <c r="H1319" s="1524"/>
      <c r="J1319" s="1637"/>
      <c r="K1319" s="1637"/>
    </row>
    <row r="1320" spans="1:11" x14ac:dyDescent="0.25">
      <c r="A1320" s="1527"/>
      <c r="B1320" s="1560"/>
      <c r="C1320" s="1569"/>
      <c r="D1320" s="1569"/>
      <c r="E1320" s="1569"/>
      <c r="F1320" s="819"/>
      <c r="G1320" s="818"/>
      <c r="H1320" s="1524"/>
      <c r="J1320" s="1637"/>
      <c r="K1320" s="1637"/>
    </row>
    <row r="1321" spans="1:11" x14ac:dyDescent="0.25">
      <c r="A1321" s="1527"/>
      <c r="B1321" s="1561"/>
      <c r="C1321" s="1569"/>
      <c r="D1321" s="1569"/>
      <c r="E1321" s="1569"/>
      <c r="F1321" s="817"/>
      <c r="G1321" s="818"/>
      <c r="H1321" s="1524"/>
      <c r="J1321" s="1637"/>
      <c r="K1321" s="1637"/>
    </row>
    <row r="1322" spans="1:11" x14ac:dyDescent="0.25">
      <c r="A1322" s="1527"/>
      <c r="B1322" s="1540"/>
      <c r="C1322" s="1569"/>
      <c r="D1322" s="1569"/>
      <c r="E1322" s="1569"/>
      <c r="F1322" s="817"/>
      <c r="G1322" s="818"/>
      <c r="H1322" s="1524"/>
      <c r="J1322" s="1637"/>
      <c r="K1322" s="1637"/>
    </row>
    <row r="1323" spans="1:11" x14ac:dyDescent="0.25">
      <c r="A1323" s="1527"/>
      <c r="B1323" s="1540"/>
      <c r="C1323" s="1538" t="s">
        <v>7182</v>
      </c>
      <c r="D1323" s="952" t="s">
        <v>7182</v>
      </c>
      <c r="E1323" s="1538" t="s">
        <v>7182</v>
      </c>
      <c r="F1323" s="817"/>
      <c r="G1323" s="818" t="str">
        <f>IF(B1323="","",E1323/F1323)</f>
        <v/>
      </c>
      <c r="H1323" s="1524"/>
      <c r="J1323" s="1637"/>
      <c r="K1323" s="1637"/>
    </row>
    <row r="1324" spans="1:11" ht="15.75" thickBot="1" x14ac:dyDescent="0.3">
      <c r="A1324" s="1527"/>
      <c r="B1324" s="1540"/>
      <c r="C1324" s="1538" t="s">
        <v>7182</v>
      </c>
      <c r="D1324" s="952" t="s">
        <v>7182</v>
      </c>
      <c r="E1324" s="1538" t="s">
        <v>7182</v>
      </c>
      <c r="F1324" s="1537"/>
      <c r="G1324" s="818" t="str">
        <f>IF(B1324="","",E1324/F1324)</f>
        <v/>
      </c>
      <c r="H1324" s="1524"/>
      <c r="J1324" s="1637"/>
      <c r="K1324" s="1637"/>
    </row>
    <row r="1325" spans="1:11" ht="15.75" thickBot="1" x14ac:dyDescent="0.3">
      <c r="A1325" s="1527"/>
      <c r="B1325" s="1555"/>
      <c r="C1325" s="1556"/>
      <c r="D1325" s="956"/>
      <c r="E1325" s="1556"/>
      <c r="F1325" s="1557"/>
      <c r="G1325" s="1558"/>
      <c r="H1325" s="1546">
        <f>SUM(G1319:G1325)</f>
        <v>4080</v>
      </c>
      <c r="J1325" s="1637"/>
      <c r="K1325" s="1637"/>
    </row>
    <row r="1326" spans="1:11" ht="15.75" thickBot="1" x14ac:dyDescent="0.3">
      <c r="A1326" s="1527"/>
      <c r="B1326" s="1527"/>
      <c r="C1326" s="1527"/>
      <c r="D1326" s="529"/>
      <c r="F1326" s="1528"/>
      <c r="G1326" s="1524"/>
      <c r="H1326" s="1524"/>
      <c r="J1326" s="1637"/>
      <c r="K1326" s="1637"/>
    </row>
    <row r="1327" spans="1:11" ht="15.75" thickBot="1" x14ac:dyDescent="0.3">
      <c r="A1327" s="1647" t="s">
        <v>6744</v>
      </c>
      <c r="B1327" s="1352"/>
      <c r="C1327" s="1352"/>
      <c r="D1327" s="1671"/>
      <c r="E1327" s="1672"/>
      <c r="F1327" s="1353"/>
      <c r="G1327" s="1527" t="s">
        <v>5415</v>
      </c>
      <c r="H1327" s="502">
        <f>ROUND(SUM(H1285:H1326),0)</f>
        <v>25139</v>
      </c>
      <c r="J1327" s="1673">
        <f>+B1281</f>
        <v>10.31</v>
      </c>
      <c r="K1327" s="1674">
        <f>+H1327</f>
        <v>25139</v>
      </c>
    </row>
    <row r="1328" spans="1:11" x14ac:dyDescent="0.25">
      <c r="A1328" s="1675"/>
      <c r="B1328" s="1676"/>
      <c r="C1328" s="1676"/>
      <c r="D1328" s="1677"/>
      <c r="E1328" s="1678"/>
      <c r="F1328" s="1679"/>
      <c r="G1328" s="1680"/>
      <c r="H1328" s="1680"/>
    </row>
    <row r="1329" spans="1:11" ht="18.75" x14ac:dyDescent="0.25">
      <c r="A1329" s="1523"/>
      <c r="B1329" s="1655"/>
      <c r="C1329" s="1655"/>
      <c r="D1329" s="950"/>
      <c r="E1329" s="1655"/>
      <c r="F1329" s="1655"/>
      <c r="G1329" s="1655"/>
      <c r="H1329" s="8"/>
    </row>
    <row r="1330" spans="1:11" x14ac:dyDescent="0.25">
      <c r="A1330" s="1523"/>
      <c r="B1330" s="8"/>
      <c r="C1330" s="8"/>
      <c r="D1330" s="529"/>
      <c r="E1330" s="8"/>
      <c r="F1330" s="1523"/>
      <c r="G1330" s="1524"/>
      <c r="H1330" s="8"/>
    </row>
    <row r="1331" spans="1:11" ht="49.5" customHeight="1" x14ac:dyDescent="0.25">
      <c r="A1331" s="1665" t="s">
        <v>3</v>
      </c>
      <c r="B1331" s="1666">
        <f>+VLOOKUP(C1331,ListaAPUs!$B:$E,4,FALSE)</f>
        <v>10.32</v>
      </c>
      <c r="C1331" s="2441" t="str">
        <f>+ListaAPUs!B232</f>
        <v>Acometida parcial de tablero InversorCargador a Tablero Servicios auxiliares T8 en 3X6+1X8+1X8T</v>
      </c>
      <c r="D1331" s="2441"/>
      <c r="E1331" s="2441"/>
      <c r="F1331" s="1665" t="s">
        <v>867</v>
      </c>
      <c r="G1331" s="1390" t="str">
        <f>+VLOOKUP(C1331,ListaAPUs!$B:$E,2,FALSE)</f>
        <v>m</v>
      </c>
      <c r="H1331" s="1524"/>
    </row>
    <row r="1332" spans="1:11" x14ac:dyDescent="0.25">
      <c r="A1332" s="1528"/>
      <c r="B1332" s="1527"/>
      <c r="C1332" s="1527"/>
      <c r="D1332" s="529"/>
      <c r="E1332" s="1527"/>
      <c r="F1332" s="1528"/>
      <c r="G1332" s="1524"/>
      <c r="H1332" s="1524"/>
    </row>
    <row r="1333" spans="1:11" x14ac:dyDescent="0.25">
      <c r="A1333" s="1528"/>
      <c r="B1333" s="1527"/>
      <c r="C1333" s="1527"/>
      <c r="D1333" s="529"/>
      <c r="E1333" s="1527"/>
      <c r="F1333" s="1528"/>
      <c r="G1333" s="1529"/>
      <c r="H1333" s="1524"/>
    </row>
    <row r="1334" spans="1:11" ht="15.75" thickBot="1" x14ac:dyDescent="0.3">
      <c r="A1334" s="1528"/>
      <c r="B1334" s="1527"/>
      <c r="C1334" s="1527"/>
      <c r="D1334" s="529"/>
      <c r="E1334" s="1527"/>
      <c r="F1334" s="1528"/>
      <c r="G1334" s="1524"/>
      <c r="H1334" s="1524"/>
    </row>
    <row r="1335" spans="1:11" ht="15.75" thickBot="1" x14ac:dyDescent="0.3">
      <c r="A1335" s="1368"/>
      <c r="B1335" s="1369" t="s">
        <v>5403</v>
      </c>
      <c r="C1335" s="1363" t="s">
        <v>867</v>
      </c>
      <c r="D1335" s="1120" t="s">
        <v>6</v>
      </c>
      <c r="E1335" s="1363" t="s">
        <v>9417</v>
      </c>
      <c r="F1335" s="1363" t="s">
        <v>5405</v>
      </c>
      <c r="G1335" s="1370" t="s">
        <v>7179</v>
      </c>
      <c r="H1335" s="1371"/>
    </row>
    <row r="1336" spans="1:11" x14ac:dyDescent="0.25">
      <c r="A1336" s="1528"/>
      <c r="B1336" s="1746" t="s">
        <v>9483</v>
      </c>
      <c r="C1336" s="1802" t="s">
        <v>5432</v>
      </c>
      <c r="D1336" s="1794">
        <v>3</v>
      </c>
      <c r="E1336" s="1803">
        <v>3850</v>
      </c>
      <c r="F1336" s="1804">
        <v>1.05</v>
      </c>
      <c r="G1336" s="1805">
        <f>+F1336*E1336*D1336</f>
        <v>12127.5</v>
      </c>
      <c r="H1336" s="1524"/>
    </row>
    <row r="1337" spans="1:11" x14ac:dyDescent="0.25">
      <c r="A1337" s="1528"/>
      <c r="B1337" s="1751" t="s">
        <v>9484</v>
      </c>
      <c r="C1337" s="1749" t="s">
        <v>5432</v>
      </c>
      <c r="D1337" s="1773">
        <v>2</v>
      </c>
      <c r="E1337" s="1825">
        <v>2450</v>
      </c>
      <c r="F1337" s="1769">
        <v>1.05</v>
      </c>
      <c r="G1337" s="1786">
        <f>+F1337*E1337*D1337</f>
        <v>5145</v>
      </c>
      <c r="H1337" s="1524"/>
    </row>
    <row r="1338" spans="1:11" x14ac:dyDescent="0.25">
      <c r="A1338" s="1528"/>
      <c r="B1338" s="1822" t="s">
        <v>9485</v>
      </c>
      <c r="C1338" s="1749" t="s">
        <v>5</v>
      </c>
      <c r="D1338" s="1769">
        <v>0.44</v>
      </c>
      <c r="E1338" s="1825">
        <v>2000</v>
      </c>
      <c r="F1338" s="1769">
        <v>1</v>
      </c>
      <c r="G1338" s="1786">
        <f>+F1338*E1338*D1338</f>
        <v>880</v>
      </c>
      <c r="H1338" s="1524"/>
    </row>
    <row r="1339" spans="1:11" x14ac:dyDescent="0.25">
      <c r="A1339" s="1528"/>
      <c r="B1339" s="1751" t="s">
        <v>9486</v>
      </c>
      <c r="C1339" s="1749" t="s">
        <v>5</v>
      </c>
      <c r="D1339" s="1769">
        <v>0.6</v>
      </c>
      <c r="E1339" s="1782">
        <v>6000</v>
      </c>
      <c r="F1339" s="1769">
        <v>1</v>
      </c>
      <c r="G1339" s="1786">
        <f>+F1339*E1339*D1339</f>
        <v>3600</v>
      </c>
      <c r="H1339" s="1524"/>
    </row>
    <row r="1340" spans="1:11" ht="25.5" x14ac:dyDescent="0.25">
      <c r="A1340" s="1528"/>
      <c r="B1340" s="1822" t="s">
        <v>9480</v>
      </c>
      <c r="C1340" s="1749" t="s">
        <v>9023</v>
      </c>
      <c r="D1340" s="1773">
        <v>1</v>
      </c>
      <c r="E1340" s="1782">
        <v>1000</v>
      </c>
      <c r="F1340" s="1769">
        <v>1</v>
      </c>
      <c r="G1340" s="1786">
        <f>+F1340*E1340</f>
        <v>1000</v>
      </c>
      <c r="H1340" s="1524"/>
    </row>
    <row r="1341" spans="1:11" x14ac:dyDescent="0.25">
      <c r="A1341" s="1528"/>
      <c r="B1341" s="1822" t="s">
        <v>9481</v>
      </c>
      <c r="C1341" s="1749" t="s">
        <v>9023</v>
      </c>
      <c r="D1341" s="1773">
        <v>1</v>
      </c>
      <c r="E1341" s="1782">
        <v>2000</v>
      </c>
      <c r="F1341" s="1769">
        <v>1</v>
      </c>
      <c r="G1341" s="1786">
        <f>+F1341*E1341</f>
        <v>2000</v>
      </c>
      <c r="H1341" s="1524"/>
    </row>
    <row r="1342" spans="1:11" x14ac:dyDescent="0.25">
      <c r="A1342" s="1528"/>
      <c r="B1342" s="1822" t="s">
        <v>9487</v>
      </c>
      <c r="C1342" s="1749" t="s">
        <v>5</v>
      </c>
      <c r="D1342" s="1773">
        <v>1</v>
      </c>
      <c r="E1342" s="1782">
        <v>1000</v>
      </c>
      <c r="F1342" s="1769">
        <v>1</v>
      </c>
      <c r="G1342" s="1786">
        <f>+F1342*E1342*D1342</f>
        <v>1000</v>
      </c>
      <c r="H1342" s="1524"/>
    </row>
    <row r="1343" spans="1:11" x14ac:dyDescent="0.25">
      <c r="A1343" s="1528"/>
      <c r="B1343" s="1830" t="s">
        <v>9488</v>
      </c>
      <c r="C1343" s="1749"/>
      <c r="D1343" s="1773"/>
      <c r="E1343" s="1782"/>
      <c r="F1343" s="1769"/>
      <c r="G1343" s="1786"/>
      <c r="H1343" s="1524"/>
      <c r="J1343" s="1637"/>
      <c r="K1343" s="1637"/>
    </row>
    <row r="1344" spans="1:11" x14ac:dyDescent="0.25">
      <c r="A1344" s="1528"/>
      <c r="B1344" s="1822" t="s">
        <v>9489</v>
      </c>
      <c r="C1344" s="1749" t="s">
        <v>14</v>
      </c>
      <c r="D1344" s="1773">
        <v>1</v>
      </c>
      <c r="E1344" s="1782">
        <f>54100/3</f>
        <v>18033.333333333332</v>
      </c>
      <c r="F1344" s="1769">
        <v>1.05</v>
      </c>
      <c r="G1344" s="1786">
        <f>+F1344*E1344*D1344</f>
        <v>18935</v>
      </c>
      <c r="H1344" s="1524"/>
      <c r="J1344" s="1637"/>
      <c r="K1344" s="1637"/>
    </row>
    <row r="1345" spans="1:11" x14ac:dyDescent="0.25">
      <c r="A1345" s="1528"/>
      <c r="B1345" s="1822" t="s">
        <v>9490</v>
      </c>
      <c r="C1345" s="1749" t="s">
        <v>5</v>
      </c>
      <c r="D1345" s="1773">
        <v>0.2</v>
      </c>
      <c r="E1345" s="1782">
        <v>6150</v>
      </c>
      <c r="F1345" s="1769">
        <v>1</v>
      </c>
      <c r="G1345" s="1786">
        <f t="shared" ref="G1345:G1347" si="12">+F1345*E1345*D1345</f>
        <v>1230</v>
      </c>
      <c r="H1345" s="1524"/>
      <c r="J1345" s="1637"/>
      <c r="K1345" s="1637"/>
    </row>
    <row r="1346" spans="1:11" x14ac:dyDescent="0.25">
      <c r="A1346" s="1528"/>
      <c r="B1346" s="1822" t="s">
        <v>9491</v>
      </c>
      <c r="C1346" s="1749" t="s">
        <v>5</v>
      </c>
      <c r="D1346" s="1773">
        <v>0.2</v>
      </c>
      <c r="E1346" s="1782">
        <v>1000</v>
      </c>
      <c r="F1346" s="1769">
        <v>1</v>
      </c>
      <c r="G1346" s="1786">
        <f t="shared" si="12"/>
        <v>200</v>
      </c>
      <c r="H1346" s="1524"/>
      <c r="J1346" s="1637"/>
      <c r="K1346" s="1637"/>
    </row>
    <row r="1347" spans="1:11" ht="38.25" x14ac:dyDescent="0.25">
      <c r="A1347" s="1528"/>
      <c r="B1347" s="1822" t="s">
        <v>9492</v>
      </c>
      <c r="C1347" s="1749" t="s">
        <v>9023</v>
      </c>
      <c r="D1347" s="1773">
        <v>1</v>
      </c>
      <c r="E1347" s="1782">
        <v>6000</v>
      </c>
      <c r="F1347" s="1769">
        <v>1</v>
      </c>
      <c r="G1347" s="1786">
        <f t="shared" si="12"/>
        <v>6000</v>
      </c>
      <c r="H1347" s="1524"/>
      <c r="J1347" s="1637"/>
      <c r="K1347" s="1637"/>
    </row>
    <row r="1348" spans="1:11" x14ac:dyDescent="0.25">
      <c r="A1348" s="1528"/>
      <c r="B1348" s="268"/>
      <c r="C1348" s="1534"/>
      <c r="D1348" s="211"/>
      <c r="E1348" s="1535" t="s">
        <v>7182</v>
      </c>
      <c r="F1348" s="1551"/>
      <c r="G1348" s="1541" t="s">
        <v>7182</v>
      </c>
      <c r="H1348" s="1524"/>
      <c r="J1348" s="1637"/>
      <c r="K1348" s="1637"/>
    </row>
    <row r="1349" spans="1:11" x14ac:dyDescent="0.25">
      <c r="A1349" s="1528"/>
      <c r="B1349" s="1346"/>
      <c r="C1349" s="1534"/>
      <c r="D1349" s="211"/>
      <c r="E1349" s="1535" t="s">
        <v>7182</v>
      </c>
      <c r="F1349" s="1551"/>
      <c r="G1349" s="1541" t="s">
        <v>7182</v>
      </c>
      <c r="H1349" s="1524"/>
      <c r="J1349" s="1637"/>
      <c r="K1349" s="1637"/>
    </row>
    <row r="1350" spans="1:11" ht="15.75" thickBot="1" x14ac:dyDescent="0.3">
      <c r="A1350" s="1528"/>
      <c r="B1350" s="1540"/>
      <c r="C1350" s="1537"/>
      <c r="D1350" s="952"/>
      <c r="E1350" s="1538" t="s">
        <v>7182</v>
      </c>
      <c r="F1350" s="1537"/>
      <c r="G1350" s="1541" t="s">
        <v>7182</v>
      </c>
      <c r="H1350" s="1524"/>
      <c r="J1350" s="1637"/>
      <c r="K1350" s="1637"/>
    </row>
    <row r="1351" spans="1:11" ht="15.75" thickBot="1" x14ac:dyDescent="0.3">
      <c r="A1351" s="1528"/>
      <c r="B1351" s="1555"/>
      <c r="C1351" s="1557"/>
      <c r="D1351" s="956"/>
      <c r="E1351" s="1556" t="s">
        <v>7182</v>
      </c>
      <c r="F1351" s="1557"/>
      <c r="G1351" s="1558" t="s">
        <v>7182</v>
      </c>
      <c r="H1351" s="1546">
        <f>SUM(G1336:G1351)</f>
        <v>52117.5</v>
      </c>
      <c r="J1351" s="1637"/>
      <c r="K1351" s="1637"/>
    </row>
    <row r="1352" spans="1:11" x14ac:dyDescent="0.25">
      <c r="A1352" s="1528"/>
      <c r="B1352" s="1372"/>
      <c r="C1352" s="1374"/>
      <c r="D1352" s="1373"/>
      <c r="E1352" s="1372" t="s">
        <v>7182</v>
      </c>
      <c r="F1352" s="1374"/>
      <c r="G1352" s="1375" t="s">
        <v>7182</v>
      </c>
      <c r="H1352" s="1550"/>
      <c r="J1352" s="1637"/>
      <c r="K1352" s="1637"/>
    </row>
    <row r="1353" spans="1:11" ht="15.75" thickBot="1" x14ac:dyDescent="0.3">
      <c r="A1353" s="1527"/>
      <c r="B1353" s="188"/>
      <c r="C1353" s="189"/>
      <c r="D1353" s="1668"/>
      <c r="E1353" s="188"/>
      <c r="F1353" s="189"/>
      <c r="G1353" s="1669"/>
      <c r="H1353" s="1550"/>
      <c r="J1353" s="1637"/>
      <c r="K1353" s="1637"/>
    </row>
    <row r="1354" spans="1:11" ht="15.75" thickBot="1" x14ac:dyDescent="0.3">
      <c r="A1354" s="1527"/>
      <c r="B1354" s="1366" t="s">
        <v>9418</v>
      </c>
      <c r="C1354" s="1363" t="s">
        <v>867</v>
      </c>
      <c r="D1354" s="1120" t="s">
        <v>6</v>
      </c>
      <c r="E1354" s="1363" t="s">
        <v>7183</v>
      </c>
      <c r="F1354" s="1363" t="s">
        <v>5405</v>
      </c>
      <c r="G1354" s="1365" t="s">
        <v>7179</v>
      </c>
      <c r="H1354" s="1524"/>
      <c r="J1354" s="1637"/>
      <c r="K1354" s="1637"/>
    </row>
    <row r="1355" spans="1:11" x14ac:dyDescent="0.25">
      <c r="A1355" s="1527"/>
      <c r="B1355" s="1564" t="s">
        <v>5455</v>
      </c>
      <c r="C1355" s="1534" t="s">
        <v>5</v>
      </c>
      <c r="D1355" s="211">
        <v>1</v>
      </c>
      <c r="E1355" s="1535">
        <v>500</v>
      </c>
      <c r="F1355" s="1534">
        <v>1</v>
      </c>
      <c r="G1355" s="1572">
        <f>+F1355*E1355</f>
        <v>500</v>
      </c>
      <c r="H1355" s="1524"/>
      <c r="J1355" s="1637"/>
      <c r="K1355" s="1637"/>
    </row>
    <row r="1356" spans="1:11" x14ac:dyDescent="0.25">
      <c r="A1356" s="1527"/>
      <c r="B1356" s="1540"/>
      <c r="C1356" s="1537"/>
      <c r="D1356" s="212"/>
      <c r="E1356" s="1535" t="s">
        <v>7182</v>
      </c>
      <c r="F1356" s="1537"/>
      <c r="G1356" s="1572" t="s">
        <v>7182</v>
      </c>
      <c r="H1356" s="1524"/>
      <c r="J1356" s="1637"/>
      <c r="K1356" s="1637"/>
    </row>
    <row r="1357" spans="1:11" x14ac:dyDescent="0.25">
      <c r="A1357" s="1527"/>
      <c r="B1357" s="1540"/>
      <c r="C1357" s="1537"/>
      <c r="D1357" s="212"/>
      <c r="E1357" s="1535" t="s">
        <v>7182</v>
      </c>
      <c r="F1357" s="1537"/>
      <c r="G1357" s="1572" t="s">
        <v>7182</v>
      </c>
      <c r="H1357" s="1524"/>
      <c r="J1357" s="1637"/>
      <c r="K1357" s="1637"/>
    </row>
    <row r="1358" spans="1:11" ht="15.75" thickBot="1" x14ac:dyDescent="0.3">
      <c r="A1358" s="1527"/>
      <c r="B1358" s="1540"/>
      <c r="C1358" s="1537"/>
      <c r="D1358" s="212"/>
      <c r="E1358" s="1535" t="s">
        <v>7182</v>
      </c>
      <c r="F1358" s="1537"/>
      <c r="G1358" s="1572" t="s">
        <v>7182</v>
      </c>
      <c r="H1358" s="1524"/>
      <c r="J1358" s="1637"/>
      <c r="K1358" s="1637"/>
    </row>
    <row r="1359" spans="1:11" ht="15.75" thickBot="1" x14ac:dyDescent="0.3">
      <c r="A1359" s="1527"/>
      <c r="B1359" s="1555"/>
      <c r="C1359" s="1556"/>
      <c r="D1359" s="956"/>
      <c r="E1359" s="1556" t="s">
        <v>7182</v>
      </c>
      <c r="F1359" s="1557"/>
      <c r="G1359" s="1558" t="s">
        <v>7182</v>
      </c>
      <c r="H1359" s="1546">
        <f>SUM(G1355:G1359)</f>
        <v>500</v>
      </c>
      <c r="J1359" s="1637"/>
      <c r="K1359" s="1637"/>
    </row>
    <row r="1360" spans="1:11" ht="15.75" thickBot="1" x14ac:dyDescent="0.3">
      <c r="A1360" s="1527"/>
      <c r="B1360" s="1376"/>
      <c r="C1360" s="1353"/>
      <c r="D1360" s="1355"/>
      <c r="E1360" s="1352"/>
      <c r="F1360" s="1377"/>
      <c r="G1360" s="1378"/>
      <c r="H1360" s="1524"/>
      <c r="J1360" s="1637"/>
      <c r="K1360" s="1637"/>
    </row>
    <row r="1361" spans="1:11" ht="15.75" thickBot="1" x14ac:dyDescent="0.3">
      <c r="A1361" s="1527"/>
      <c r="B1361" s="1366" t="s">
        <v>5410</v>
      </c>
      <c r="C1361" s="1363" t="s">
        <v>867</v>
      </c>
      <c r="D1361" s="1120" t="s">
        <v>6</v>
      </c>
      <c r="E1361" s="1363" t="s">
        <v>7183</v>
      </c>
      <c r="F1361" s="1363" t="s">
        <v>5405</v>
      </c>
      <c r="G1361" s="1365" t="s">
        <v>7179</v>
      </c>
      <c r="H1361" s="1524"/>
      <c r="J1361" s="1637"/>
      <c r="K1361" s="1637"/>
    </row>
    <row r="1362" spans="1:11" ht="25.5" x14ac:dyDescent="0.25">
      <c r="A1362" s="1527"/>
      <c r="B1362" s="1564" t="s">
        <v>9421</v>
      </c>
      <c r="C1362" s="1534" t="s">
        <v>9023</v>
      </c>
      <c r="D1362" s="211">
        <v>1</v>
      </c>
      <c r="E1362" s="1535">
        <v>2500</v>
      </c>
      <c r="F1362" s="1534">
        <v>1</v>
      </c>
      <c r="G1362" s="1572">
        <f>+F1362*E1362</f>
        <v>2500</v>
      </c>
      <c r="H1362" s="1524"/>
      <c r="J1362" s="1637"/>
      <c r="K1362" s="1637"/>
    </row>
    <row r="1363" spans="1:11" x14ac:dyDescent="0.25">
      <c r="A1363" s="1527"/>
      <c r="B1363" s="1540"/>
      <c r="C1363" s="1537"/>
      <c r="D1363" s="212"/>
      <c r="E1363" s="1535" t="s">
        <v>7182</v>
      </c>
      <c r="F1363" s="1537"/>
      <c r="G1363" s="1572" t="s">
        <v>7182</v>
      </c>
      <c r="H1363" s="1524"/>
      <c r="J1363" s="1637"/>
      <c r="K1363" s="1637"/>
    </row>
    <row r="1364" spans="1:11" x14ac:dyDescent="0.25">
      <c r="A1364" s="1527"/>
      <c r="B1364" s="1540"/>
      <c r="C1364" s="1537"/>
      <c r="D1364" s="212"/>
      <c r="E1364" s="1535" t="s">
        <v>7182</v>
      </c>
      <c r="F1364" s="1537"/>
      <c r="G1364" s="1572" t="s">
        <v>7182</v>
      </c>
      <c r="H1364" s="1524"/>
      <c r="J1364" s="1637"/>
      <c r="K1364" s="1637"/>
    </row>
    <row r="1365" spans="1:11" ht="15.75" thickBot="1" x14ac:dyDescent="0.3">
      <c r="A1365" s="1527"/>
      <c r="B1365" s="1540"/>
      <c r="C1365" s="1537"/>
      <c r="D1365" s="212"/>
      <c r="E1365" s="1535" t="s">
        <v>7182</v>
      </c>
      <c r="F1365" s="1537"/>
      <c r="G1365" s="1572" t="s">
        <v>7182</v>
      </c>
      <c r="H1365" s="1524"/>
      <c r="J1365" s="1637"/>
      <c r="K1365" s="1637"/>
    </row>
    <row r="1366" spans="1:11" ht="15.75" thickBot="1" x14ac:dyDescent="0.3">
      <c r="A1366" s="1527"/>
      <c r="B1366" s="1555"/>
      <c r="C1366" s="1556"/>
      <c r="D1366" s="956"/>
      <c r="E1366" s="1556" t="s">
        <v>7182</v>
      </c>
      <c r="F1366" s="1557"/>
      <c r="G1366" s="1558" t="s">
        <v>7182</v>
      </c>
      <c r="H1366" s="1546">
        <f>SUM(G1362:G1366)</f>
        <v>2500</v>
      </c>
      <c r="J1366" s="1637"/>
      <c r="K1366" s="1637"/>
    </row>
    <row r="1367" spans="1:11" ht="15.75" thickBot="1" x14ac:dyDescent="0.3">
      <c r="A1367" s="1527"/>
      <c r="B1367" s="1547"/>
      <c r="C1367" s="1547"/>
      <c r="D1367" s="954"/>
      <c r="E1367" s="1547"/>
      <c r="F1367" s="1553"/>
      <c r="G1367" s="1554"/>
      <c r="H1367" s="1550"/>
      <c r="J1367" s="1637"/>
      <c r="K1367" s="1637"/>
    </row>
    <row r="1368" spans="1:11" ht="15.75" thickBot="1" x14ac:dyDescent="0.3">
      <c r="A1368" s="1559"/>
      <c r="B1368" s="1369" t="s">
        <v>5412</v>
      </c>
      <c r="C1368" s="1363" t="s">
        <v>5420</v>
      </c>
      <c r="D1368" s="1120" t="s">
        <v>5421</v>
      </c>
      <c r="E1368" s="1363" t="s">
        <v>7187</v>
      </c>
      <c r="F1368" s="1363" t="s">
        <v>5405</v>
      </c>
      <c r="G1368" s="1370" t="s">
        <v>7179</v>
      </c>
      <c r="H1368" s="1371"/>
      <c r="J1368" s="1637"/>
      <c r="K1368" s="1637"/>
    </row>
    <row r="1369" spans="1:11" x14ac:dyDescent="0.25">
      <c r="A1369" s="1527"/>
      <c r="B1369" s="1560" t="s">
        <v>9422</v>
      </c>
      <c r="C1369" s="1569">
        <v>170000</v>
      </c>
      <c r="D1369" s="352">
        <f>0.6*C1369</f>
        <v>102000</v>
      </c>
      <c r="E1369" s="1569">
        <f>+D1369+C1369</f>
        <v>272000</v>
      </c>
      <c r="F1369" s="819">
        <v>1.4999999999999999E-2</v>
      </c>
      <c r="G1369" s="818">
        <f>+F1369*E1369</f>
        <v>4080</v>
      </c>
      <c r="H1369" s="1524"/>
      <c r="J1369" s="1637"/>
      <c r="K1369" s="1637"/>
    </row>
    <row r="1370" spans="1:11" x14ac:dyDescent="0.25">
      <c r="A1370" s="1527"/>
      <c r="B1370" s="1560"/>
      <c r="C1370" s="1569"/>
      <c r="D1370" s="1569"/>
      <c r="E1370" s="1569"/>
      <c r="F1370" s="819"/>
      <c r="G1370" s="818"/>
      <c r="H1370" s="1524"/>
      <c r="J1370" s="1637"/>
      <c r="K1370" s="1637"/>
    </row>
    <row r="1371" spans="1:11" x14ac:dyDescent="0.25">
      <c r="A1371" s="1527"/>
      <c r="B1371" s="1561"/>
      <c r="C1371" s="1569"/>
      <c r="D1371" s="1569"/>
      <c r="E1371" s="1569"/>
      <c r="F1371" s="817"/>
      <c r="G1371" s="818"/>
      <c r="H1371" s="1524"/>
      <c r="J1371" s="1637"/>
      <c r="K1371" s="1637"/>
    </row>
    <row r="1372" spans="1:11" x14ac:dyDescent="0.25">
      <c r="A1372" s="1527"/>
      <c r="B1372" s="1540"/>
      <c r="C1372" s="1569"/>
      <c r="D1372" s="1569"/>
      <c r="E1372" s="1569"/>
      <c r="F1372" s="817"/>
      <c r="G1372" s="818"/>
      <c r="H1372" s="1524"/>
      <c r="J1372" s="1637"/>
      <c r="K1372" s="1637"/>
    </row>
    <row r="1373" spans="1:11" x14ac:dyDescent="0.25">
      <c r="A1373" s="1527"/>
      <c r="B1373" s="1540"/>
      <c r="C1373" s="1538" t="s">
        <v>7182</v>
      </c>
      <c r="D1373" s="952" t="s">
        <v>7182</v>
      </c>
      <c r="E1373" s="1538" t="s">
        <v>7182</v>
      </c>
      <c r="F1373" s="817"/>
      <c r="G1373" s="818" t="str">
        <f>IF(B1373="","",E1373/F1373)</f>
        <v/>
      </c>
      <c r="H1373" s="1524"/>
      <c r="J1373" s="1637"/>
      <c r="K1373" s="1637"/>
    </row>
    <row r="1374" spans="1:11" ht="15.75" thickBot="1" x14ac:dyDescent="0.3">
      <c r="A1374" s="1527"/>
      <c r="B1374" s="1540"/>
      <c r="C1374" s="1538" t="s">
        <v>7182</v>
      </c>
      <c r="D1374" s="952" t="s">
        <v>7182</v>
      </c>
      <c r="E1374" s="1538" t="s">
        <v>7182</v>
      </c>
      <c r="F1374" s="1537"/>
      <c r="G1374" s="818" t="str">
        <f>IF(B1374="","",E1374/F1374)</f>
        <v/>
      </c>
      <c r="H1374" s="1524"/>
      <c r="J1374" s="1637"/>
      <c r="K1374" s="1637"/>
    </row>
    <row r="1375" spans="1:11" ht="15.75" thickBot="1" x14ac:dyDescent="0.3">
      <c r="A1375" s="1527"/>
      <c r="B1375" s="1555"/>
      <c r="C1375" s="1556"/>
      <c r="D1375" s="956"/>
      <c r="E1375" s="1556"/>
      <c r="F1375" s="1557"/>
      <c r="G1375" s="1558"/>
      <c r="H1375" s="1546">
        <f>SUM(G1369:G1375)</f>
        <v>4080</v>
      </c>
    </row>
    <row r="1376" spans="1:11" ht="15.75" thickBot="1" x14ac:dyDescent="0.3">
      <c r="A1376" s="1527"/>
      <c r="B1376" s="1527"/>
      <c r="C1376" s="1527"/>
      <c r="D1376" s="529"/>
      <c r="F1376" s="1528"/>
      <c r="G1376" s="1524"/>
      <c r="H1376" s="1524"/>
    </row>
    <row r="1377" spans="1:11" ht="15.75" thickBot="1" x14ac:dyDescent="0.3">
      <c r="A1377" s="1647" t="s">
        <v>6744</v>
      </c>
      <c r="B1377" s="1352"/>
      <c r="C1377" s="1352"/>
      <c r="D1377" s="1671"/>
      <c r="E1377" s="1672"/>
      <c r="F1377" s="1353"/>
      <c r="G1377" s="1527" t="s">
        <v>5415</v>
      </c>
      <c r="H1377" s="502">
        <f>ROUND(SUM(H1335:H1376),0)</f>
        <v>59198</v>
      </c>
      <c r="J1377" s="1673">
        <f>+B1331</f>
        <v>10.32</v>
      </c>
      <c r="K1377" s="1674">
        <f>+H1377</f>
        <v>59198</v>
      </c>
    </row>
    <row r="1378" spans="1:11" x14ac:dyDescent="0.25">
      <c r="A1378" s="1675"/>
      <c r="B1378" s="1676"/>
      <c r="C1378" s="1676"/>
      <c r="D1378" s="1677"/>
      <c r="E1378" s="1678"/>
      <c r="F1378" s="1679"/>
      <c r="G1378" s="1680"/>
      <c r="H1378" s="1680"/>
    </row>
    <row r="1379" spans="1:11" ht="18.75" x14ac:dyDescent="0.25">
      <c r="A1379" s="1523"/>
      <c r="B1379" s="1655"/>
      <c r="C1379" s="1655"/>
      <c r="D1379" s="950"/>
      <c r="E1379" s="1655"/>
      <c r="F1379" s="1655"/>
      <c r="G1379" s="1655"/>
      <c r="H1379" s="8"/>
    </row>
    <row r="1380" spans="1:11" x14ac:dyDescent="0.25">
      <c r="A1380" s="1523"/>
      <c r="B1380" s="8"/>
      <c r="C1380" s="8"/>
      <c r="D1380" s="529"/>
      <c r="E1380" s="8"/>
      <c r="F1380" s="1523"/>
      <c r="G1380" s="1524"/>
      <c r="H1380" s="8"/>
    </row>
    <row r="1381" spans="1:11" ht="49.5" customHeight="1" x14ac:dyDescent="0.25">
      <c r="A1381" s="1665" t="s">
        <v>3</v>
      </c>
      <c r="B1381" s="1666">
        <f>+VLOOKUP(C1381,ListaAPUs!$B:$E,4,FALSE)</f>
        <v>10.33</v>
      </c>
      <c r="C1381" s="2441" t="str">
        <f>+ListaAPUs!B233</f>
        <v>Acometida parcial motor No 1 a Tablero Modulo No 2. CCM en 2*(3*500) Kcmil + 2T AWG THHN</v>
      </c>
      <c r="D1381" s="2441"/>
      <c r="E1381" s="2441"/>
      <c r="F1381" s="1665" t="s">
        <v>867</v>
      </c>
      <c r="G1381" s="1390" t="str">
        <f>+VLOOKUP(C1381,ListaAPUs!$B:$E,2,FALSE)</f>
        <v>m</v>
      </c>
      <c r="H1381" s="1524"/>
    </row>
    <row r="1382" spans="1:11" x14ac:dyDescent="0.25">
      <c r="A1382" s="1528"/>
      <c r="B1382" s="1527"/>
      <c r="C1382" s="1527"/>
      <c r="D1382" s="529"/>
      <c r="E1382" s="1527"/>
      <c r="F1382" s="1528"/>
      <c r="G1382" s="1524"/>
      <c r="H1382" s="1524"/>
    </row>
    <row r="1383" spans="1:11" x14ac:dyDescent="0.25">
      <c r="A1383" s="1528"/>
      <c r="B1383" s="1527"/>
      <c r="C1383" s="1527"/>
      <c r="D1383" s="529"/>
      <c r="E1383" s="1527"/>
      <c r="F1383" s="1528"/>
      <c r="G1383" s="1529"/>
      <c r="H1383" s="1524"/>
    </row>
    <row r="1384" spans="1:11" ht="15.75" thickBot="1" x14ac:dyDescent="0.3">
      <c r="A1384" s="1528"/>
      <c r="B1384" s="1527"/>
      <c r="C1384" s="1527"/>
      <c r="D1384" s="529"/>
      <c r="E1384" s="1527"/>
      <c r="F1384" s="1528"/>
      <c r="G1384" s="1524"/>
      <c r="H1384" s="1524"/>
    </row>
    <row r="1385" spans="1:11" ht="15.75" thickBot="1" x14ac:dyDescent="0.3">
      <c r="A1385" s="1368"/>
      <c r="B1385" s="1369" t="s">
        <v>5403</v>
      </c>
      <c r="C1385" s="1363" t="s">
        <v>867</v>
      </c>
      <c r="D1385" s="1120" t="s">
        <v>6</v>
      </c>
      <c r="E1385" s="1363" t="s">
        <v>9417</v>
      </c>
      <c r="F1385" s="1363" t="s">
        <v>5405</v>
      </c>
      <c r="G1385" s="1370" t="s">
        <v>7179</v>
      </c>
      <c r="H1385" s="1371"/>
    </row>
    <row r="1386" spans="1:11" x14ac:dyDescent="0.25">
      <c r="A1386" s="1528"/>
      <c r="B1386" s="1746" t="s">
        <v>9473</v>
      </c>
      <c r="C1386" s="1802" t="s">
        <v>5432</v>
      </c>
      <c r="D1386" s="1794">
        <v>6</v>
      </c>
      <c r="E1386" s="1803">
        <v>79100</v>
      </c>
      <c r="F1386" s="1804">
        <v>1.05</v>
      </c>
      <c r="G1386" s="1805">
        <f>+F1386*E1386*D1386</f>
        <v>498330</v>
      </c>
      <c r="H1386" s="1524"/>
    </row>
    <row r="1387" spans="1:11" x14ac:dyDescent="0.25">
      <c r="A1387" s="1528"/>
      <c r="B1387" s="1822" t="s">
        <v>9496</v>
      </c>
      <c r="C1387" s="1749" t="s">
        <v>5432</v>
      </c>
      <c r="D1387" s="1773">
        <v>1</v>
      </c>
      <c r="E1387" s="1825">
        <v>9500</v>
      </c>
      <c r="F1387" s="1769">
        <v>1.05</v>
      </c>
      <c r="G1387" s="1786">
        <f>+F1387*E1387</f>
        <v>9975</v>
      </c>
      <c r="H1387" s="1524"/>
    </row>
    <row r="1388" spans="1:11" x14ac:dyDescent="0.25">
      <c r="A1388" s="1528"/>
      <c r="B1388" s="1751" t="s">
        <v>9476</v>
      </c>
      <c r="C1388" s="1749" t="s">
        <v>5</v>
      </c>
      <c r="D1388" s="1773">
        <f>12/6</f>
        <v>2</v>
      </c>
      <c r="E1388" s="1825">
        <v>8000</v>
      </c>
      <c r="F1388" s="1769">
        <v>1</v>
      </c>
      <c r="G1388" s="1786">
        <f>+F1388*E1388*D1388</f>
        <v>16000</v>
      </c>
      <c r="H1388" s="1524"/>
    </row>
    <row r="1389" spans="1:11" x14ac:dyDescent="0.25">
      <c r="A1389" s="1528"/>
      <c r="B1389" s="1822" t="s">
        <v>9477</v>
      </c>
      <c r="C1389" s="1749" t="s">
        <v>5</v>
      </c>
      <c r="D1389" s="1769">
        <f>2/6</f>
        <v>0.33333333333333331</v>
      </c>
      <c r="E1389" s="1825">
        <v>4000</v>
      </c>
      <c r="F1389" s="1769">
        <v>1</v>
      </c>
      <c r="G1389" s="1786">
        <f>+F1389*E1389*D1389</f>
        <v>1333.3333333333333</v>
      </c>
      <c r="H1389" s="1524"/>
    </row>
    <row r="1390" spans="1:11" ht="25.5" x14ac:dyDescent="0.25">
      <c r="A1390" s="1528"/>
      <c r="B1390" s="1822" t="s">
        <v>9480</v>
      </c>
      <c r="C1390" s="1749" t="s">
        <v>9023</v>
      </c>
      <c r="D1390" s="1773">
        <v>1</v>
      </c>
      <c r="E1390" s="1782">
        <v>5000</v>
      </c>
      <c r="F1390" s="1769">
        <v>1</v>
      </c>
      <c r="G1390" s="1786">
        <f>+F1390*E1390</f>
        <v>5000</v>
      </c>
      <c r="H1390" s="1524"/>
    </row>
    <row r="1391" spans="1:11" x14ac:dyDescent="0.25">
      <c r="A1391" s="1528"/>
      <c r="B1391" s="1822" t="s">
        <v>9481</v>
      </c>
      <c r="C1391" s="1749" t="s">
        <v>9023</v>
      </c>
      <c r="D1391" s="1773">
        <v>1</v>
      </c>
      <c r="E1391" s="1782">
        <f>2500*20</f>
        <v>50000</v>
      </c>
      <c r="F1391" s="1769">
        <v>1</v>
      </c>
      <c r="G1391" s="1786">
        <f>+F1391*E1391</f>
        <v>50000</v>
      </c>
      <c r="H1391" s="1524"/>
      <c r="J1391" s="1637"/>
      <c r="K1391" s="1637"/>
    </row>
    <row r="1392" spans="1:11" x14ac:dyDescent="0.25">
      <c r="A1392" s="1528"/>
      <c r="B1392" s="1822" t="s">
        <v>9482</v>
      </c>
      <c r="C1392" s="1749" t="s">
        <v>5</v>
      </c>
      <c r="D1392" s="1773">
        <f>(9+2)*2/20</f>
        <v>1.1000000000000001</v>
      </c>
      <c r="E1392" s="1782">
        <v>1500</v>
      </c>
      <c r="F1392" s="1769">
        <v>1</v>
      </c>
      <c r="G1392" s="1786">
        <f>+F1392*E1392*D1392</f>
        <v>1650.0000000000002</v>
      </c>
      <c r="H1392" s="1524"/>
      <c r="J1392" s="1637"/>
      <c r="K1392" s="1637"/>
    </row>
    <row r="1393" spans="1:11" x14ac:dyDescent="0.25">
      <c r="A1393" s="1528"/>
      <c r="B1393" s="1667"/>
      <c r="C1393" s="1537"/>
      <c r="D1393" s="212"/>
      <c r="E1393" s="816"/>
      <c r="F1393" s="1563"/>
      <c r="G1393" s="814"/>
      <c r="H1393" s="1524"/>
      <c r="J1393" s="1637"/>
      <c r="K1393" s="1637"/>
    </row>
    <row r="1394" spans="1:11" x14ac:dyDescent="0.25">
      <c r="A1394" s="1528"/>
      <c r="B1394" s="1667"/>
      <c r="C1394" s="1537"/>
      <c r="D1394" s="212"/>
      <c r="E1394" s="816"/>
      <c r="F1394" s="1563"/>
      <c r="G1394" s="814"/>
      <c r="H1394" s="1524"/>
      <c r="J1394" s="1637"/>
      <c r="K1394" s="1637"/>
    </row>
    <row r="1395" spans="1:11" x14ac:dyDescent="0.25">
      <c r="A1395" s="1528"/>
      <c r="B1395" s="1667"/>
      <c r="C1395" s="1537"/>
      <c r="D1395" s="212"/>
      <c r="E1395" s="816"/>
      <c r="F1395" s="1563"/>
      <c r="G1395" s="814"/>
      <c r="H1395" s="1524"/>
      <c r="J1395" s="1637"/>
      <c r="K1395" s="1637"/>
    </row>
    <row r="1396" spans="1:11" x14ac:dyDescent="0.25">
      <c r="A1396" s="1528"/>
      <c r="B1396" s="1667"/>
      <c r="C1396" s="1537"/>
      <c r="D1396" s="212"/>
      <c r="E1396" s="816"/>
      <c r="F1396" s="1563"/>
      <c r="G1396" s="814"/>
      <c r="H1396" s="1524"/>
      <c r="J1396" s="1637"/>
      <c r="K1396" s="1637"/>
    </row>
    <row r="1397" spans="1:11" x14ac:dyDescent="0.25">
      <c r="A1397" s="1528"/>
      <c r="B1397" s="269"/>
      <c r="C1397" s="1537"/>
      <c r="D1397" s="212"/>
      <c r="E1397" s="816"/>
      <c r="F1397" s="1563"/>
      <c r="G1397" s="814"/>
      <c r="H1397" s="1524"/>
      <c r="J1397" s="1637"/>
      <c r="K1397" s="1637"/>
    </row>
    <row r="1398" spans="1:11" x14ac:dyDescent="0.25">
      <c r="A1398" s="1528"/>
      <c r="B1398" s="268"/>
      <c r="C1398" s="1534"/>
      <c r="D1398" s="211"/>
      <c r="E1398" s="1535" t="s">
        <v>7182</v>
      </c>
      <c r="F1398" s="1551"/>
      <c r="G1398" s="1541" t="s">
        <v>7182</v>
      </c>
      <c r="H1398" s="1524"/>
      <c r="J1398" s="1637"/>
      <c r="K1398" s="1637"/>
    </row>
    <row r="1399" spans="1:11" x14ac:dyDescent="0.25">
      <c r="A1399" s="1528"/>
      <c r="B1399" s="1346"/>
      <c r="C1399" s="1534"/>
      <c r="D1399" s="211"/>
      <c r="E1399" s="1535" t="s">
        <v>7182</v>
      </c>
      <c r="F1399" s="1551"/>
      <c r="G1399" s="1541" t="s">
        <v>7182</v>
      </c>
      <c r="H1399" s="1524"/>
      <c r="J1399" s="1637"/>
      <c r="K1399" s="1637"/>
    </row>
    <row r="1400" spans="1:11" ht="15.75" thickBot="1" x14ac:dyDescent="0.3">
      <c r="A1400" s="1528"/>
      <c r="B1400" s="1540"/>
      <c r="C1400" s="1537"/>
      <c r="D1400" s="952"/>
      <c r="E1400" s="1538" t="s">
        <v>7182</v>
      </c>
      <c r="F1400" s="1537"/>
      <c r="G1400" s="1541" t="s">
        <v>7182</v>
      </c>
      <c r="H1400" s="1524"/>
      <c r="J1400" s="1637"/>
      <c r="K1400" s="1637"/>
    </row>
    <row r="1401" spans="1:11" ht="15.75" thickBot="1" x14ac:dyDescent="0.3">
      <c r="A1401" s="1528"/>
      <c r="B1401" s="1555"/>
      <c r="C1401" s="1557"/>
      <c r="D1401" s="956"/>
      <c r="E1401" s="1556" t="s">
        <v>7182</v>
      </c>
      <c r="F1401" s="1557"/>
      <c r="G1401" s="1558" t="s">
        <v>7182</v>
      </c>
      <c r="H1401" s="1546">
        <f>SUM(G1386:G1401)</f>
        <v>582288.33333333337</v>
      </c>
      <c r="J1401" s="1637"/>
      <c r="K1401" s="1637"/>
    </row>
    <row r="1402" spans="1:11" x14ac:dyDescent="0.25">
      <c r="A1402" s="1528"/>
      <c r="B1402" s="1372"/>
      <c r="C1402" s="1374"/>
      <c r="D1402" s="1373"/>
      <c r="E1402" s="1372" t="s">
        <v>7182</v>
      </c>
      <c r="F1402" s="1374"/>
      <c r="G1402" s="1375" t="s">
        <v>7182</v>
      </c>
      <c r="H1402" s="1550"/>
      <c r="J1402" s="1637"/>
      <c r="K1402" s="1637"/>
    </row>
    <row r="1403" spans="1:11" ht="15.75" thickBot="1" x14ac:dyDescent="0.3">
      <c r="A1403" s="1527"/>
      <c r="B1403" s="188"/>
      <c r="C1403" s="189"/>
      <c r="D1403" s="1668"/>
      <c r="E1403" s="188"/>
      <c r="F1403" s="189"/>
      <c r="G1403" s="1669"/>
      <c r="H1403" s="1550"/>
      <c r="J1403" s="1637"/>
      <c r="K1403" s="1637"/>
    </row>
    <row r="1404" spans="1:11" ht="15.75" thickBot="1" x14ac:dyDescent="0.3">
      <c r="A1404" s="1527"/>
      <c r="B1404" s="1366" t="s">
        <v>9418</v>
      </c>
      <c r="C1404" s="1363" t="s">
        <v>867</v>
      </c>
      <c r="D1404" s="1120" t="s">
        <v>6</v>
      </c>
      <c r="E1404" s="1363" t="s">
        <v>7183</v>
      </c>
      <c r="F1404" s="1363" t="s">
        <v>5405</v>
      </c>
      <c r="G1404" s="1365" t="s">
        <v>7179</v>
      </c>
      <c r="H1404" s="1524"/>
      <c r="J1404" s="1637"/>
      <c r="K1404" s="1637"/>
    </row>
    <row r="1405" spans="1:11" x14ac:dyDescent="0.25">
      <c r="A1405" s="1527"/>
      <c r="B1405" s="1564" t="s">
        <v>5455</v>
      </c>
      <c r="C1405" s="1534" t="s">
        <v>5</v>
      </c>
      <c r="D1405" s="211">
        <v>1</v>
      </c>
      <c r="E1405" s="1535">
        <f>40000/50</f>
        <v>800</v>
      </c>
      <c r="F1405" s="297">
        <v>1</v>
      </c>
      <c r="G1405" s="1572">
        <f>+F1405*E1405</f>
        <v>800</v>
      </c>
      <c r="H1405" s="1524"/>
      <c r="J1405" s="1637"/>
      <c r="K1405" s="1637"/>
    </row>
    <row r="1406" spans="1:11" x14ac:dyDescent="0.25">
      <c r="A1406" s="1527"/>
      <c r="B1406" s="1540"/>
      <c r="C1406" s="1537"/>
      <c r="D1406" s="212"/>
      <c r="E1406" s="1535" t="s">
        <v>7182</v>
      </c>
      <c r="F1406" s="1537"/>
      <c r="G1406" s="1572" t="s">
        <v>7182</v>
      </c>
      <c r="H1406" s="1524"/>
      <c r="J1406" s="1637"/>
      <c r="K1406" s="1637"/>
    </row>
    <row r="1407" spans="1:11" x14ac:dyDescent="0.25">
      <c r="A1407" s="1527"/>
      <c r="B1407" s="1540"/>
      <c r="C1407" s="1537"/>
      <c r="D1407" s="212"/>
      <c r="E1407" s="1535" t="s">
        <v>7182</v>
      </c>
      <c r="F1407" s="1537"/>
      <c r="G1407" s="1572" t="s">
        <v>7182</v>
      </c>
      <c r="H1407" s="1524"/>
      <c r="J1407" s="1637"/>
      <c r="K1407" s="1637"/>
    </row>
    <row r="1408" spans="1:11" ht="15.75" thickBot="1" x14ac:dyDescent="0.3">
      <c r="A1408" s="1527"/>
      <c r="B1408" s="1540"/>
      <c r="C1408" s="1537"/>
      <c r="D1408" s="212"/>
      <c r="E1408" s="1535" t="s">
        <v>7182</v>
      </c>
      <c r="F1408" s="1537"/>
      <c r="G1408" s="1572" t="s">
        <v>7182</v>
      </c>
      <c r="H1408" s="1524"/>
      <c r="J1408" s="1637"/>
      <c r="K1408" s="1637"/>
    </row>
    <row r="1409" spans="1:11" ht="15.75" thickBot="1" x14ac:dyDescent="0.3">
      <c r="A1409" s="1527"/>
      <c r="B1409" s="1555"/>
      <c r="C1409" s="1556"/>
      <c r="D1409" s="956"/>
      <c r="E1409" s="1556" t="s">
        <v>7182</v>
      </c>
      <c r="F1409" s="1557"/>
      <c r="G1409" s="1558" t="s">
        <v>7182</v>
      </c>
      <c r="H1409" s="1546">
        <f>SUM(G1405:G1409)</f>
        <v>800</v>
      </c>
      <c r="J1409" s="1637"/>
      <c r="K1409" s="1637"/>
    </row>
    <row r="1410" spans="1:11" ht="15.75" thickBot="1" x14ac:dyDescent="0.3">
      <c r="A1410" s="1527"/>
      <c r="B1410" s="1376"/>
      <c r="C1410" s="1353"/>
      <c r="D1410" s="1355"/>
      <c r="E1410" s="1352"/>
      <c r="F1410" s="1377"/>
      <c r="G1410" s="1378"/>
      <c r="H1410" s="1524"/>
      <c r="J1410" s="1637"/>
      <c r="K1410" s="1637"/>
    </row>
    <row r="1411" spans="1:11" ht="15.75" thickBot="1" x14ac:dyDescent="0.3">
      <c r="A1411" s="1527"/>
      <c r="B1411" s="1366" t="s">
        <v>5410</v>
      </c>
      <c r="C1411" s="1363" t="s">
        <v>867</v>
      </c>
      <c r="D1411" s="1120" t="s">
        <v>6</v>
      </c>
      <c r="E1411" s="1363" t="s">
        <v>7183</v>
      </c>
      <c r="F1411" s="1363" t="s">
        <v>5405</v>
      </c>
      <c r="G1411" s="1365" t="s">
        <v>7179</v>
      </c>
      <c r="H1411" s="1524"/>
      <c r="J1411" s="1637"/>
      <c r="K1411" s="1637"/>
    </row>
    <row r="1412" spans="1:11" ht="25.5" x14ac:dyDescent="0.25">
      <c r="A1412" s="1527"/>
      <c r="B1412" s="1564" t="s">
        <v>9421</v>
      </c>
      <c r="C1412" s="1534" t="s">
        <v>9023</v>
      </c>
      <c r="D1412" s="211">
        <v>1</v>
      </c>
      <c r="E1412" s="1535">
        <f>50000/50</f>
        <v>1000</v>
      </c>
      <c r="F1412" s="297">
        <v>1</v>
      </c>
      <c r="G1412" s="1572">
        <f>+F1412*E1412</f>
        <v>1000</v>
      </c>
      <c r="H1412" s="1524"/>
      <c r="J1412" s="1637"/>
      <c r="K1412" s="1637"/>
    </row>
    <row r="1413" spans="1:11" x14ac:dyDescent="0.25">
      <c r="A1413" s="1527"/>
      <c r="B1413" s="1540"/>
      <c r="C1413" s="1537"/>
      <c r="D1413" s="212"/>
      <c r="E1413" s="1535" t="s">
        <v>7182</v>
      </c>
      <c r="F1413" s="1537"/>
      <c r="G1413" s="1572" t="s">
        <v>7182</v>
      </c>
      <c r="H1413" s="1524"/>
      <c r="J1413" s="1637"/>
      <c r="K1413" s="1637"/>
    </row>
    <row r="1414" spans="1:11" x14ac:dyDescent="0.25">
      <c r="A1414" s="1527"/>
      <c r="B1414" s="1540"/>
      <c r="C1414" s="1537"/>
      <c r="D1414" s="212"/>
      <c r="E1414" s="1535" t="s">
        <v>7182</v>
      </c>
      <c r="F1414" s="1537"/>
      <c r="G1414" s="1572" t="s">
        <v>7182</v>
      </c>
      <c r="H1414" s="1524"/>
      <c r="J1414" s="1637"/>
      <c r="K1414" s="1637"/>
    </row>
    <row r="1415" spans="1:11" ht="15.75" thickBot="1" x14ac:dyDescent="0.3">
      <c r="A1415" s="1527"/>
      <c r="B1415" s="1540"/>
      <c r="C1415" s="1537"/>
      <c r="D1415" s="212"/>
      <c r="E1415" s="1535" t="s">
        <v>7182</v>
      </c>
      <c r="F1415" s="1537"/>
      <c r="G1415" s="1572" t="s">
        <v>7182</v>
      </c>
      <c r="H1415" s="1524"/>
      <c r="J1415" s="1637"/>
      <c r="K1415" s="1637"/>
    </row>
    <row r="1416" spans="1:11" ht="15.75" thickBot="1" x14ac:dyDescent="0.3">
      <c r="A1416" s="1527"/>
      <c r="B1416" s="1555"/>
      <c r="C1416" s="1556"/>
      <c r="D1416" s="956"/>
      <c r="E1416" s="1556" t="s">
        <v>7182</v>
      </c>
      <c r="F1416" s="1557"/>
      <c r="G1416" s="1558" t="s">
        <v>7182</v>
      </c>
      <c r="H1416" s="1546">
        <f>SUM(G1412:G1416)</f>
        <v>1000</v>
      </c>
      <c r="J1416" s="1637"/>
      <c r="K1416" s="1637"/>
    </row>
    <row r="1417" spans="1:11" ht="15.75" thickBot="1" x14ac:dyDescent="0.3">
      <c r="A1417" s="1527"/>
      <c r="B1417" s="1547"/>
      <c r="C1417" s="1547"/>
      <c r="D1417" s="954"/>
      <c r="E1417" s="1547"/>
      <c r="F1417" s="1553"/>
      <c r="G1417" s="1554"/>
      <c r="H1417" s="1550"/>
      <c r="J1417" s="1637"/>
      <c r="K1417" s="1637"/>
    </row>
    <row r="1418" spans="1:11" ht="15.75" thickBot="1" x14ac:dyDescent="0.3">
      <c r="A1418" s="1559"/>
      <c r="B1418" s="1369" t="s">
        <v>5412</v>
      </c>
      <c r="C1418" s="1363" t="s">
        <v>5420</v>
      </c>
      <c r="D1418" s="1120" t="s">
        <v>5421</v>
      </c>
      <c r="E1418" s="1363" t="s">
        <v>7187</v>
      </c>
      <c r="F1418" s="1363" t="s">
        <v>5405</v>
      </c>
      <c r="G1418" s="1370" t="s">
        <v>7179</v>
      </c>
      <c r="H1418" s="1371"/>
      <c r="J1418" s="1637"/>
      <c r="K1418" s="1637"/>
    </row>
    <row r="1419" spans="1:11" x14ac:dyDescent="0.25">
      <c r="A1419" s="1527"/>
      <c r="B1419" s="1560" t="s">
        <v>9422</v>
      </c>
      <c r="C1419" s="1569">
        <v>170000</v>
      </c>
      <c r="D1419" s="352">
        <f>0.6*C1419</f>
        <v>102000</v>
      </c>
      <c r="E1419" s="1569">
        <f>+D1419+C1419</f>
        <v>272000</v>
      </c>
      <c r="F1419" s="819">
        <v>0.05</v>
      </c>
      <c r="G1419" s="818">
        <f>+F1419*E1419</f>
        <v>13600</v>
      </c>
      <c r="H1419" s="1524"/>
      <c r="J1419" s="1637"/>
      <c r="K1419" s="1637"/>
    </row>
    <row r="1420" spans="1:11" x14ac:dyDescent="0.25">
      <c r="A1420" s="1527"/>
      <c r="B1420" s="1560"/>
      <c r="C1420" s="1569"/>
      <c r="D1420" s="1569"/>
      <c r="E1420" s="1569"/>
      <c r="F1420" s="819"/>
      <c r="G1420" s="818"/>
      <c r="H1420" s="1524"/>
      <c r="J1420" s="1637"/>
      <c r="K1420" s="1637"/>
    </row>
    <row r="1421" spans="1:11" x14ac:dyDescent="0.25">
      <c r="A1421" s="1527"/>
      <c r="B1421" s="1561"/>
      <c r="C1421" s="1569"/>
      <c r="D1421" s="1569"/>
      <c r="E1421" s="1569"/>
      <c r="F1421" s="817"/>
      <c r="G1421" s="818"/>
      <c r="H1421" s="1524"/>
      <c r="J1421" s="1637"/>
      <c r="K1421" s="1637"/>
    </row>
    <row r="1422" spans="1:11" x14ac:dyDescent="0.25">
      <c r="A1422" s="1527"/>
      <c r="B1422" s="1540"/>
      <c r="C1422" s="1569"/>
      <c r="D1422" s="1569"/>
      <c r="E1422" s="1569"/>
      <c r="F1422" s="817"/>
      <c r="G1422" s="818"/>
      <c r="H1422" s="1524"/>
      <c r="J1422" s="1637"/>
      <c r="K1422" s="1637"/>
    </row>
    <row r="1423" spans="1:11" x14ac:dyDescent="0.25">
      <c r="A1423" s="1527"/>
      <c r="B1423" s="1540"/>
      <c r="C1423" s="1538" t="s">
        <v>7182</v>
      </c>
      <c r="D1423" s="952" t="s">
        <v>7182</v>
      </c>
      <c r="E1423" s="1538" t="s">
        <v>7182</v>
      </c>
      <c r="F1423" s="817"/>
      <c r="G1423" s="818" t="str">
        <f>IF(B1423="","",E1423/F1423)</f>
        <v/>
      </c>
      <c r="H1423" s="1524"/>
    </row>
    <row r="1424" spans="1:11" ht="15.75" thickBot="1" x14ac:dyDescent="0.3">
      <c r="A1424" s="1527"/>
      <c r="B1424" s="1540"/>
      <c r="C1424" s="1538" t="s">
        <v>7182</v>
      </c>
      <c r="D1424" s="952" t="s">
        <v>7182</v>
      </c>
      <c r="E1424" s="1538" t="s">
        <v>7182</v>
      </c>
      <c r="F1424" s="1537"/>
      <c r="G1424" s="818" t="str">
        <f>IF(B1424="","",E1424/F1424)</f>
        <v/>
      </c>
      <c r="H1424" s="1524"/>
    </row>
    <row r="1425" spans="1:11" ht="15.75" thickBot="1" x14ac:dyDescent="0.3">
      <c r="A1425" s="1527"/>
      <c r="B1425" s="1555"/>
      <c r="C1425" s="1556"/>
      <c r="D1425" s="956"/>
      <c r="E1425" s="1556"/>
      <c r="F1425" s="1557"/>
      <c r="G1425" s="1558"/>
      <c r="H1425" s="1546">
        <f>SUM(G1419:G1425)</f>
        <v>13600</v>
      </c>
    </row>
    <row r="1426" spans="1:11" ht="15.75" thickBot="1" x14ac:dyDescent="0.3">
      <c r="A1426" s="1527"/>
      <c r="B1426" s="1527"/>
      <c r="C1426" s="1527"/>
      <c r="D1426" s="529"/>
      <c r="F1426" s="1528"/>
      <c r="G1426" s="1524"/>
      <c r="H1426" s="1524"/>
    </row>
    <row r="1427" spans="1:11" ht="15.75" thickBot="1" x14ac:dyDescent="0.3">
      <c r="A1427" s="1647" t="s">
        <v>6744</v>
      </c>
      <c r="B1427" s="1352"/>
      <c r="C1427" s="1352"/>
      <c r="D1427" s="1671"/>
      <c r="E1427" s="1672"/>
      <c r="F1427" s="1353"/>
      <c r="G1427" s="1527" t="s">
        <v>5415</v>
      </c>
      <c r="H1427" s="502">
        <f>ROUND(SUM(H1385:H1426),0)</f>
        <v>597688</v>
      </c>
      <c r="J1427" s="1673">
        <f>+B1381</f>
        <v>10.33</v>
      </c>
      <c r="K1427" s="1674">
        <f>+H1427</f>
        <v>597688</v>
      </c>
    </row>
    <row r="1428" spans="1:11" x14ac:dyDescent="0.25">
      <c r="A1428" s="1675"/>
      <c r="B1428" s="1676"/>
      <c r="C1428" s="1676"/>
      <c r="D1428" s="1677"/>
      <c r="E1428" s="1678"/>
      <c r="F1428" s="1679"/>
      <c r="G1428" s="1680"/>
      <c r="H1428" s="1680"/>
    </row>
    <row r="1429" spans="1:11" ht="18.75" x14ac:dyDescent="0.25">
      <c r="A1429" s="1523"/>
      <c r="B1429" s="1655"/>
      <c r="C1429" s="1655"/>
      <c r="D1429" s="950"/>
      <c r="E1429" s="1655"/>
      <c r="F1429" s="1655"/>
      <c r="G1429" s="1655"/>
      <c r="H1429" s="8"/>
    </row>
    <row r="1430" spans="1:11" x14ac:dyDescent="0.25">
      <c r="A1430" s="1523"/>
      <c r="B1430" s="8"/>
      <c r="C1430" s="8"/>
      <c r="D1430" s="529"/>
      <c r="E1430" s="8"/>
      <c r="F1430" s="1523"/>
      <c r="G1430" s="1524"/>
      <c r="H1430" s="8"/>
    </row>
    <row r="1431" spans="1:11" ht="49.5" customHeight="1" x14ac:dyDescent="0.25">
      <c r="A1431" s="1665" t="s">
        <v>3</v>
      </c>
      <c r="B1431" s="1666">
        <f>+VLOOKUP(C1431,ListaAPUs!$B:$E,4,FALSE)</f>
        <v>10.34</v>
      </c>
      <c r="C1431" s="2441" t="str">
        <f>+ListaAPUs!B234</f>
        <v>Acometida parcial motor No 2 a Tablero Modulo No 3. CCM en 2*(3*500) Kcmil + 2T AWG THHN</v>
      </c>
      <c r="D1431" s="2441"/>
      <c r="E1431" s="2441"/>
      <c r="F1431" s="1665" t="s">
        <v>867</v>
      </c>
      <c r="G1431" s="1390" t="str">
        <f>+VLOOKUP(C1431,ListaAPUs!$B:$E,2,FALSE)</f>
        <v>m</v>
      </c>
      <c r="H1431" s="1524"/>
    </row>
    <row r="1432" spans="1:11" x14ac:dyDescent="0.25">
      <c r="A1432" s="1528"/>
      <c r="B1432" s="1527"/>
      <c r="C1432" s="1527"/>
      <c r="D1432" s="529"/>
      <c r="E1432" s="1527"/>
      <c r="F1432" s="1528"/>
      <c r="G1432" s="1524"/>
      <c r="H1432" s="1524"/>
    </row>
    <row r="1433" spans="1:11" x14ac:dyDescent="0.25">
      <c r="A1433" s="1528"/>
      <c r="B1433" s="1527"/>
      <c r="C1433" s="1527"/>
      <c r="D1433" s="529"/>
      <c r="E1433" s="1527"/>
      <c r="F1433" s="1528"/>
      <c r="G1433" s="1529"/>
      <c r="H1433" s="1524"/>
    </row>
    <row r="1434" spans="1:11" ht="15.75" thickBot="1" x14ac:dyDescent="0.3">
      <c r="A1434" s="1528"/>
      <c r="B1434" s="1527"/>
      <c r="C1434" s="1527"/>
      <c r="D1434" s="529"/>
      <c r="E1434" s="1527"/>
      <c r="F1434" s="1528"/>
      <c r="G1434" s="1524"/>
      <c r="H1434" s="1524"/>
    </row>
    <row r="1435" spans="1:11" ht="15.75" thickBot="1" x14ac:dyDescent="0.3">
      <c r="A1435" s="1368"/>
      <c r="B1435" s="1369" t="s">
        <v>5403</v>
      </c>
      <c r="C1435" s="1363" t="s">
        <v>867</v>
      </c>
      <c r="D1435" s="1120" t="s">
        <v>6</v>
      </c>
      <c r="E1435" s="1363" t="s">
        <v>9417</v>
      </c>
      <c r="F1435" s="1363" t="s">
        <v>5405</v>
      </c>
      <c r="G1435" s="1370" t="s">
        <v>7179</v>
      </c>
      <c r="H1435" s="1371"/>
    </row>
    <row r="1436" spans="1:11" x14ac:dyDescent="0.25">
      <c r="A1436" s="1528"/>
      <c r="B1436" s="1746" t="s">
        <v>9473</v>
      </c>
      <c r="C1436" s="1802" t="s">
        <v>5432</v>
      </c>
      <c r="D1436" s="1794">
        <v>6</v>
      </c>
      <c r="E1436" s="1803">
        <v>79100</v>
      </c>
      <c r="F1436" s="1804">
        <v>1.05</v>
      </c>
      <c r="G1436" s="1805">
        <f>+F1436*E1436*D1436</f>
        <v>498330</v>
      </c>
      <c r="H1436" s="1524"/>
    </row>
    <row r="1437" spans="1:11" x14ac:dyDescent="0.25">
      <c r="A1437" s="1528"/>
      <c r="B1437" s="1822" t="s">
        <v>9496</v>
      </c>
      <c r="C1437" s="1749" t="s">
        <v>5432</v>
      </c>
      <c r="D1437" s="1773">
        <v>1</v>
      </c>
      <c r="E1437" s="1825">
        <v>9500</v>
      </c>
      <c r="F1437" s="1769">
        <v>1.05</v>
      </c>
      <c r="G1437" s="1786">
        <f>+F1437*E1437</f>
        <v>9975</v>
      </c>
      <c r="H1437" s="1524"/>
    </row>
    <row r="1438" spans="1:11" x14ac:dyDescent="0.25">
      <c r="A1438" s="1528"/>
      <c r="B1438" s="1751" t="s">
        <v>9476</v>
      </c>
      <c r="C1438" s="1749" t="s">
        <v>5</v>
      </c>
      <c r="D1438" s="1773">
        <f>12/6</f>
        <v>2</v>
      </c>
      <c r="E1438" s="1825">
        <v>8000</v>
      </c>
      <c r="F1438" s="1769">
        <v>1</v>
      </c>
      <c r="G1438" s="1786">
        <f>+F1438*E1438*D1438</f>
        <v>16000</v>
      </c>
      <c r="H1438" s="1524"/>
    </row>
    <row r="1439" spans="1:11" x14ac:dyDescent="0.25">
      <c r="A1439" s="1528"/>
      <c r="B1439" s="1822" t="s">
        <v>9477</v>
      </c>
      <c r="C1439" s="1749" t="s">
        <v>5</v>
      </c>
      <c r="D1439" s="1769">
        <f>2/6</f>
        <v>0.33333333333333331</v>
      </c>
      <c r="E1439" s="1825">
        <v>4000</v>
      </c>
      <c r="F1439" s="1769">
        <v>1</v>
      </c>
      <c r="G1439" s="1786">
        <f>+F1439*E1439*D1439</f>
        <v>1333.3333333333333</v>
      </c>
      <c r="H1439" s="1524"/>
      <c r="J1439" s="1637"/>
      <c r="K1439" s="1637"/>
    </row>
    <row r="1440" spans="1:11" ht="25.5" x14ac:dyDescent="0.25">
      <c r="A1440" s="1528"/>
      <c r="B1440" s="1822" t="s">
        <v>9480</v>
      </c>
      <c r="C1440" s="1749" t="s">
        <v>9023</v>
      </c>
      <c r="D1440" s="1773">
        <v>1</v>
      </c>
      <c r="E1440" s="1782">
        <v>5000</v>
      </c>
      <c r="F1440" s="1769">
        <v>1</v>
      </c>
      <c r="G1440" s="1786">
        <f>+F1440*E1440</f>
        <v>5000</v>
      </c>
      <c r="H1440" s="1524"/>
      <c r="J1440" s="1637"/>
      <c r="K1440" s="1637"/>
    </row>
    <row r="1441" spans="1:11" x14ac:dyDescent="0.25">
      <c r="A1441" s="1528"/>
      <c r="B1441" s="1822" t="s">
        <v>9481</v>
      </c>
      <c r="C1441" s="1749" t="s">
        <v>9023</v>
      </c>
      <c r="D1441" s="1773">
        <v>1</v>
      </c>
      <c r="E1441" s="1782">
        <f>2500*20</f>
        <v>50000</v>
      </c>
      <c r="F1441" s="1769">
        <v>1</v>
      </c>
      <c r="G1441" s="1786">
        <f>+F1441*E1441</f>
        <v>50000</v>
      </c>
      <c r="H1441" s="1524"/>
      <c r="J1441" s="1637"/>
      <c r="K1441" s="1637"/>
    </row>
    <row r="1442" spans="1:11" x14ac:dyDescent="0.25">
      <c r="A1442" s="1528"/>
      <c r="B1442" s="1822" t="s">
        <v>9482</v>
      </c>
      <c r="C1442" s="1749" t="s">
        <v>5</v>
      </c>
      <c r="D1442" s="1773">
        <f>(9+2)*2/20</f>
        <v>1.1000000000000001</v>
      </c>
      <c r="E1442" s="1782">
        <v>1500</v>
      </c>
      <c r="F1442" s="1769">
        <v>1</v>
      </c>
      <c r="G1442" s="1786">
        <f>+F1442*E1442*D1442</f>
        <v>1650.0000000000002</v>
      </c>
      <c r="H1442" s="1524"/>
      <c r="J1442" s="1637"/>
      <c r="K1442" s="1637"/>
    </row>
    <row r="1443" spans="1:11" x14ac:dyDescent="0.25">
      <c r="A1443" s="1528"/>
      <c r="B1443" s="1822"/>
      <c r="C1443" s="1749"/>
      <c r="D1443" s="1773"/>
      <c r="E1443" s="1787"/>
      <c r="F1443" s="1769"/>
      <c r="G1443" s="1786"/>
      <c r="H1443" s="1524"/>
      <c r="J1443" s="1637"/>
      <c r="K1443" s="1637"/>
    </row>
    <row r="1444" spans="1:11" x14ac:dyDescent="0.25">
      <c r="A1444" s="1528"/>
      <c r="B1444" s="1667"/>
      <c r="C1444" s="1537"/>
      <c r="D1444" s="212"/>
      <c r="E1444" s="816"/>
      <c r="F1444" s="1563"/>
      <c r="G1444" s="814"/>
      <c r="H1444" s="1524"/>
      <c r="J1444" s="1637"/>
      <c r="K1444" s="1637"/>
    </row>
    <row r="1445" spans="1:11" x14ac:dyDescent="0.25">
      <c r="A1445" s="1528"/>
      <c r="B1445" s="1667"/>
      <c r="C1445" s="1537"/>
      <c r="D1445" s="212"/>
      <c r="E1445" s="816"/>
      <c r="F1445" s="1563"/>
      <c r="G1445" s="814"/>
      <c r="H1445" s="1524"/>
      <c r="J1445" s="1637"/>
      <c r="K1445" s="1637"/>
    </row>
    <row r="1446" spans="1:11" x14ac:dyDescent="0.25">
      <c r="A1446" s="1528"/>
      <c r="B1446" s="1667"/>
      <c r="C1446" s="1537"/>
      <c r="D1446" s="212"/>
      <c r="E1446" s="816"/>
      <c r="F1446" s="1563"/>
      <c r="G1446" s="814"/>
      <c r="H1446" s="1524"/>
      <c r="J1446" s="1637"/>
      <c r="K1446" s="1637"/>
    </row>
    <row r="1447" spans="1:11" x14ac:dyDescent="0.25">
      <c r="A1447" s="1528"/>
      <c r="B1447" s="269"/>
      <c r="C1447" s="1537"/>
      <c r="D1447" s="212"/>
      <c r="E1447" s="816"/>
      <c r="F1447" s="1563"/>
      <c r="G1447" s="814"/>
      <c r="H1447" s="1524"/>
      <c r="J1447" s="1637"/>
      <c r="K1447" s="1637"/>
    </row>
    <row r="1448" spans="1:11" x14ac:dyDescent="0.25">
      <c r="A1448" s="1528"/>
      <c r="B1448" s="268"/>
      <c r="C1448" s="1534"/>
      <c r="D1448" s="211"/>
      <c r="E1448" s="1535" t="s">
        <v>7182</v>
      </c>
      <c r="F1448" s="1551"/>
      <c r="G1448" s="1541" t="s">
        <v>7182</v>
      </c>
      <c r="H1448" s="1524"/>
      <c r="J1448" s="1637"/>
      <c r="K1448" s="1637"/>
    </row>
    <row r="1449" spans="1:11" x14ac:dyDescent="0.25">
      <c r="A1449" s="1528"/>
      <c r="B1449" s="1346"/>
      <c r="C1449" s="1534"/>
      <c r="D1449" s="211"/>
      <c r="E1449" s="1535" t="s">
        <v>7182</v>
      </c>
      <c r="F1449" s="1551"/>
      <c r="G1449" s="1541" t="s">
        <v>7182</v>
      </c>
      <c r="H1449" s="1524"/>
      <c r="J1449" s="1637"/>
      <c r="K1449" s="1637"/>
    </row>
    <row r="1450" spans="1:11" ht="15.75" thickBot="1" x14ac:dyDescent="0.3">
      <c r="A1450" s="1528"/>
      <c r="B1450" s="1540"/>
      <c r="C1450" s="1537"/>
      <c r="D1450" s="952"/>
      <c r="E1450" s="1538" t="s">
        <v>7182</v>
      </c>
      <c r="F1450" s="1537"/>
      <c r="G1450" s="1541" t="s">
        <v>7182</v>
      </c>
      <c r="H1450" s="1524"/>
      <c r="J1450" s="1637"/>
      <c r="K1450" s="1637"/>
    </row>
    <row r="1451" spans="1:11" ht="15.75" thickBot="1" x14ac:dyDescent="0.3">
      <c r="A1451" s="1528"/>
      <c r="B1451" s="1555"/>
      <c r="C1451" s="1557"/>
      <c r="D1451" s="956"/>
      <c r="E1451" s="1556" t="s">
        <v>7182</v>
      </c>
      <c r="F1451" s="1557"/>
      <c r="G1451" s="1558" t="s">
        <v>7182</v>
      </c>
      <c r="H1451" s="1546">
        <f>SUM(G1436:G1451)</f>
        <v>582288.33333333337</v>
      </c>
      <c r="J1451" s="1637"/>
      <c r="K1451" s="1637"/>
    </row>
    <row r="1452" spans="1:11" x14ac:dyDescent="0.25">
      <c r="A1452" s="1528"/>
      <c r="B1452" s="1372"/>
      <c r="C1452" s="1374"/>
      <c r="D1452" s="1373"/>
      <c r="E1452" s="1372" t="s">
        <v>7182</v>
      </c>
      <c r="F1452" s="1374"/>
      <c r="G1452" s="1375" t="s">
        <v>7182</v>
      </c>
      <c r="H1452" s="1550"/>
      <c r="J1452" s="1637"/>
      <c r="K1452" s="1637"/>
    </row>
    <row r="1453" spans="1:11" ht="15.75" thickBot="1" x14ac:dyDescent="0.3">
      <c r="A1453" s="1527"/>
      <c r="B1453" s="188"/>
      <c r="C1453" s="189"/>
      <c r="D1453" s="1668"/>
      <c r="E1453" s="188"/>
      <c r="F1453" s="189"/>
      <c r="G1453" s="1669"/>
      <c r="H1453" s="1550"/>
      <c r="J1453" s="1637"/>
      <c r="K1453" s="1637"/>
    </row>
    <row r="1454" spans="1:11" ht="15.75" thickBot="1" x14ac:dyDescent="0.3">
      <c r="A1454" s="1527"/>
      <c r="B1454" s="1366" t="s">
        <v>9418</v>
      </c>
      <c r="C1454" s="1363" t="s">
        <v>867</v>
      </c>
      <c r="D1454" s="1120" t="s">
        <v>6</v>
      </c>
      <c r="E1454" s="1363" t="s">
        <v>7183</v>
      </c>
      <c r="F1454" s="1363" t="s">
        <v>5405</v>
      </c>
      <c r="G1454" s="1365" t="s">
        <v>7179</v>
      </c>
      <c r="H1454" s="1524"/>
      <c r="J1454" s="1637"/>
      <c r="K1454" s="1637"/>
    </row>
    <row r="1455" spans="1:11" x14ac:dyDescent="0.25">
      <c r="A1455" s="1527"/>
      <c r="B1455" s="1564" t="s">
        <v>5455</v>
      </c>
      <c r="C1455" s="1534" t="s">
        <v>5</v>
      </c>
      <c r="D1455" s="211">
        <v>1</v>
      </c>
      <c r="E1455" s="1535">
        <f>40000/50</f>
        <v>800</v>
      </c>
      <c r="F1455" s="297">
        <v>1</v>
      </c>
      <c r="G1455" s="1572">
        <f>+F1455*E1455</f>
        <v>800</v>
      </c>
      <c r="H1455" s="1524"/>
      <c r="J1455" s="1637"/>
      <c r="K1455" s="1637"/>
    </row>
    <row r="1456" spans="1:11" x14ac:dyDescent="0.25">
      <c r="A1456" s="1527"/>
      <c r="B1456" s="1540"/>
      <c r="C1456" s="1537"/>
      <c r="D1456" s="212"/>
      <c r="E1456" s="1535" t="s">
        <v>7182</v>
      </c>
      <c r="F1456" s="1537"/>
      <c r="G1456" s="1572" t="s">
        <v>7182</v>
      </c>
      <c r="H1456" s="1524"/>
      <c r="J1456" s="1637"/>
      <c r="K1456" s="1637"/>
    </row>
    <row r="1457" spans="1:11" x14ac:dyDescent="0.25">
      <c r="A1457" s="1527"/>
      <c r="B1457" s="1540"/>
      <c r="C1457" s="1537"/>
      <c r="D1457" s="212"/>
      <c r="E1457" s="1535" t="s">
        <v>7182</v>
      </c>
      <c r="F1457" s="1537"/>
      <c r="G1457" s="1572" t="s">
        <v>7182</v>
      </c>
      <c r="H1457" s="1524"/>
      <c r="J1457" s="1637"/>
      <c r="K1457" s="1637"/>
    </row>
    <row r="1458" spans="1:11" ht="15.75" thickBot="1" x14ac:dyDescent="0.3">
      <c r="A1458" s="1527"/>
      <c r="B1458" s="1540"/>
      <c r="C1458" s="1537"/>
      <c r="D1458" s="212"/>
      <c r="E1458" s="1535" t="s">
        <v>7182</v>
      </c>
      <c r="F1458" s="1537"/>
      <c r="G1458" s="1572" t="s">
        <v>7182</v>
      </c>
      <c r="H1458" s="1524"/>
      <c r="J1458" s="1637"/>
      <c r="K1458" s="1637"/>
    </row>
    <row r="1459" spans="1:11" ht="15.75" thickBot="1" x14ac:dyDescent="0.3">
      <c r="A1459" s="1527"/>
      <c r="B1459" s="1555"/>
      <c r="C1459" s="1556"/>
      <c r="D1459" s="956"/>
      <c r="E1459" s="1556" t="s">
        <v>7182</v>
      </c>
      <c r="F1459" s="1557"/>
      <c r="G1459" s="1558" t="s">
        <v>7182</v>
      </c>
      <c r="H1459" s="1546">
        <f>SUM(G1455:G1459)</f>
        <v>800</v>
      </c>
      <c r="J1459" s="1637"/>
      <c r="K1459" s="1637"/>
    </row>
    <row r="1460" spans="1:11" ht="15.75" thickBot="1" x14ac:dyDescent="0.3">
      <c r="A1460" s="1527"/>
      <c r="B1460" s="1376"/>
      <c r="C1460" s="1353"/>
      <c r="D1460" s="1355"/>
      <c r="E1460" s="1352"/>
      <c r="F1460" s="1377"/>
      <c r="G1460" s="1378"/>
      <c r="H1460" s="1524"/>
      <c r="J1460" s="1637"/>
      <c r="K1460" s="1637"/>
    </row>
    <row r="1461" spans="1:11" ht="15.75" thickBot="1" x14ac:dyDescent="0.3">
      <c r="A1461" s="1527"/>
      <c r="B1461" s="1366" t="s">
        <v>5410</v>
      </c>
      <c r="C1461" s="1363" t="s">
        <v>867</v>
      </c>
      <c r="D1461" s="1120" t="s">
        <v>6</v>
      </c>
      <c r="E1461" s="1363" t="s">
        <v>7183</v>
      </c>
      <c r="F1461" s="1363" t="s">
        <v>5405</v>
      </c>
      <c r="G1461" s="1365" t="s">
        <v>7179</v>
      </c>
      <c r="H1461" s="1524"/>
      <c r="J1461" s="1637"/>
      <c r="K1461" s="1637"/>
    </row>
    <row r="1462" spans="1:11" ht="25.5" x14ac:dyDescent="0.25">
      <c r="A1462" s="1527"/>
      <c r="B1462" s="1564" t="s">
        <v>9421</v>
      </c>
      <c r="C1462" s="1534" t="s">
        <v>9023</v>
      </c>
      <c r="D1462" s="211">
        <v>1</v>
      </c>
      <c r="E1462" s="1535">
        <f>50000/50</f>
        <v>1000</v>
      </c>
      <c r="F1462" s="297">
        <v>1</v>
      </c>
      <c r="G1462" s="1572">
        <f>+F1462*E1462</f>
        <v>1000</v>
      </c>
      <c r="H1462" s="1524"/>
      <c r="J1462" s="1637"/>
      <c r="K1462" s="1637"/>
    </row>
    <row r="1463" spans="1:11" x14ac:dyDescent="0.25">
      <c r="A1463" s="1527"/>
      <c r="B1463" s="1540"/>
      <c r="C1463" s="1537"/>
      <c r="D1463" s="212"/>
      <c r="E1463" s="1535" t="s">
        <v>7182</v>
      </c>
      <c r="F1463" s="1537"/>
      <c r="G1463" s="1572" t="s">
        <v>7182</v>
      </c>
      <c r="H1463" s="1524"/>
      <c r="J1463" s="1637"/>
      <c r="K1463" s="1637"/>
    </row>
    <row r="1464" spans="1:11" x14ac:dyDescent="0.25">
      <c r="A1464" s="1527"/>
      <c r="B1464" s="1540"/>
      <c r="C1464" s="1537"/>
      <c r="D1464" s="212"/>
      <c r="E1464" s="1535" t="s">
        <v>7182</v>
      </c>
      <c r="F1464" s="1537"/>
      <c r="G1464" s="1572" t="s">
        <v>7182</v>
      </c>
      <c r="H1464" s="1524"/>
      <c r="J1464" s="1637"/>
      <c r="K1464" s="1637"/>
    </row>
    <row r="1465" spans="1:11" ht="15.75" thickBot="1" x14ac:dyDescent="0.3">
      <c r="A1465" s="1527"/>
      <c r="B1465" s="1540"/>
      <c r="C1465" s="1537"/>
      <c r="D1465" s="212"/>
      <c r="E1465" s="1535" t="s">
        <v>7182</v>
      </c>
      <c r="F1465" s="1537"/>
      <c r="G1465" s="1572" t="s">
        <v>7182</v>
      </c>
      <c r="H1465" s="1524"/>
      <c r="J1465" s="1637"/>
      <c r="K1465" s="1637"/>
    </row>
    <row r="1466" spans="1:11" ht="15.75" thickBot="1" x14ac:dyDescent="0.3">
      <c r="A1466" s="1527"/>
      <c r="B1466" s="1555"/>
      <c r="C1466" s="1556"/>
      <c r="D1466" s="956"/>
      <c r="E1466" s="1556" t="s">
        <v>7182</v>
      </c>
      <c r="F1466" s="1557"/>
      <c r="G1466" s="1558" t="s">
        <v>7182</v>
      </c>
      <c r="H1466" s="1546">
        <f>SUM(G1462:G1466)</f>
        <v>1000</v>
      </c>
      <c r="J1466" s="1637"/>
      <c r="K1466" s="1637"/>
    </row>
    <row r="1467" spans="1:11" ht="15.75" thickBot="1" x14ac:dyDescent="0.3">
      <c r="A1467" s="1527"/>
      <c r="B1467" s="1547"/>
      <c r="C1467" s="1547"/>
      <c r="D1467" s="954"/>
      <c r="E1467" s="1547"/>
      <c r="F1467" s="1553"/>
      <c r="G1467" s="1554"/>
      <c r="H1467" s="1550"/>
      <c r="J1467" s="1637"/>
      <c r="K1467" s="1637"/>
    </row>
    <row r="1468" spans="1:11" ht="15.75" thickBot="1" x14ac:dyDescent="0.3">
      <c r="A1468" s="1559"/>
      <c r="B1468" s="1369" t="s">
        <v>5412</v>
      </c>
      <c r="C1468" s="1363" t="s">
        <v>5420</v>
      </c>
      <c r="D1468" s="1120" t="s">
        <v>5421</v>
      </c>
      <c r="E1468" s="1363" t="s">
        <v>7187</v>
      </c>
      <c r="F1468" s="1363" t="s">
        <v>5405</v>
      </c>
      <c r="G1468" s="1370" t="s">
        <v>7179</v>
      </c>
      <c r="H1468" s="1371"/>
      <c r="J1468" s="1637"/>
      <c r="K1468" s="1637"/>
    </row>
    <row r="1469" spans="1:11" x14ac:dyDescent="0.25">
      <c r="A1469" s="1527"/>
      <c r="B1469" s="1560" t="s">
        <v>9422</v>
      </c>
      <c r="C1469" s="1569">
        <v>170000</v>
      </c>
      <c r="D1469" s="352">
        <f>0.6*C1469</f>
        <v>102000</v>
      </c>
      <c r="E1469" s="1569">
        <f>+D1469+C1469</f>
        <v>272000</v>
      </c>
      <c r="F1469" s="819">
        <v>0.05</v>
      </c>
      <c r="G1469" s="818">
        <f>+F1469*E1469</f>
        <v>13600</v>
      </c>
      <c r="H1469" s="1524"/>
      <c r="J1469" s="1637"/>
      <c r="K1469" s="1637"/>
    </row>
    <row r="1470" spans="1:11" x14ac:dyDescent="0.25">
      <c r="A1470" s="1527"/>
      <c r="B1470" s="1560"/>
      <c r="C1470" s="1569"/>
      <c r="D1470" s="1569"/>
      <c r="E1470" s="1569"/>
      <c r="F1470" s="819"/>
      <c r="G1470" s="818"/>
      <c r="H1470" s="1524"/>
      <c r="J1470" s="1637"/>
      <c r="K1470" s="1637"/>
    </row>
    <row r="1471" spans="1:11" x14ac:dyDescent="0.25">
      <c r="A1471" s="1527"/>
      <c r="B1471" s="1561"/>
      <c r="C1471" s="1569"/>
      <c r="D1471" s="1569"/>
      <c r="E1471" s="1569"/>
      <c r="F1471" s="817"/>
      <c r="G1471" s="818"/>
      <c r="H1471" s="1524"/>
    </row>
    <row r="1472" spans="1:11" x14ac:dyDescent="0.25">
      <c r="A1472" s="1527"/>
      <c r="B1472" s="1540"/>
      <c r="C1472" s="1569"/>
      <c r="D1472" s="1569"/>
      <c r="E1472" s="1569"/>
      <c r="F1472" s="817"/>
      <c r="G1472" s="818"/>
      <c r="H1472" s="1524"/>
    </row>
    <row r="1473" spans="1:11" x14ac:dyDescent="0.25">
      <c r="A1473" s="1527"/>
      <c r="B1473" s="1540"/>
      <c r="C1473" s="1538" t="s">
        <v>7182</v>
      </c>
      <c r="D1473" s="952" t="s">
        <v>7182</v>
      </c>
      <c r="E1473" s="1538" t="s">
        <v>7182</v>
      </c>
      <c r="F1473" s="817"/>
      <c r="G1473" s="818" t="str">
        <f>IF(B1473="","",E1473/F1473)</f>
        <v/>
      </c>
      <c r="H1473" s="1524"/>
    </row>
    <row r="1474" spans="1:11" ht="15.75" thickBot="1" x14ac:dyDescent="0.3">
      <c r="A1474" s="1527"/>
      <c r="B1474" s="1540"/>
      <c r="C1474" s="1538" t="s">
        <v>7182</v>
      </c>
      <c r="D1474" s="952" t="s">
        <v>7182</v>
      </c>
      <c r="E1474" s="1538" t="s">
        <v>7182</v>
      </c>
      <c r="F1474" s="1537"/>
      <c r="G1474" s="818" t="str">
        <f>IF(B1474="","",E1474/F1474)</f>
        <v/>
      </c>
      <c r="H1474" s="1524"/>
    </row>
    <row r="1475" spans="1:11" ht="15.75" thickBot="1" x14ac:dyDescent="0.3">
      <c r="A1475" s="1527"/>
      <c r="B1475" s="1555"/>
      <c r="C1475" s="1556"/>
      <c r="D1475" s="956"/>
      <c r="E1475" s="1556"/>
      <c r="F1475" s="1557"/>
      <c r="G1475" s="1558"/>
      <c r="H1475" s="1546">
        <f>SUM(G1469:G1475)</f>
        <v>13600</v>
      </c>
    </row>
    <row r="1476" spans="1:11" ht="15.75" thickBot="1" x14ac:dyDescent="0.3">
      <c r="A1476" s="1527"/>
      <c r="B1476" s="1527"/>
      <c r="C1476" s="1527"/>
      <c r="D1476" s="529"/>
      <c r="F1476" s="1528"/>
      <c r="G1476" s="1524"/>
      <c r="H1476" s="1524"/>
    </row>
    <row r="1477" spans="1:11" ht="15.75" thickBot="1" x14ac:dyDescent="0.3">
      <c r="A1477" s="1647" t="s">
        <v>6744</v>
      </c>
      <c r="B1477" s="1352"/>
      <c r="C1477" s="1352"/>
      <c r="D1477" s="1671"/>
      <c r="E1477" s="1672"/>
      <c r="F1477" s="1353"/>
      <c r="G1477" s="1527" t="s">
        <v>5415</v>
      </c>
      <c r="H1477" s="502">
        <f>ROUND(SUM(H1435:H1476),0)</f>
        <v>597688</v>
      </c>
      <c r="J1477" s="1673">
        <f>+B1431</f>
        <v>10.34</v>
      </c>
      <c r="K1477" s="1674">
        <f>+H1477</f>
        <v>597688</v>
      </c>
    </row>
    <row r="1478" spans="1:11" x14ac:dyDescent="0.25">
      <c r="A1478" s="1675"/>
      <c r="B1478" s="1676"/>
      <c r="C1478" s="1676"/>
      <c r="D1478" s="1677"/>
      <c r="E1478" s="1678"/>
      <c r="F1478" s="1679"/>
      <c r="G1478" s="1680"/>
      <c r="H1478" s="1680"/>
    </row>
    <row r="1479" spans="1:11" ht="18.75" x14ac:dyDescent="0.25">
      <c r="A1479" s="1523"/>
      <c r="B1479" s="1655"/>
      <c r="C1479" s="1655"/>
      <c r="D1479" s="950"/>
      <c r="E1479" s="1655"/>
      <c r="F1479" s="1655"/>
      <c r="G1479" s="1655"/>
      <c r="H1479" s="8"/>
    </row>
    <row r="1480" spans="1:11" x14ac:dyDescent="0.25">
      <c r="A1480" s="1523"/>
      <c r="B1480" s="8"/>
      <c r="C1480" s="8"/>
      <c r="D1480" s="529"/>
      <c r="E1480" s="8"/>
      <c r="F1480" s="1523"/>
      <c r="G1480" s="1524"/>
      <c r="H1480" s="8"/>
    </row>
    <row r="1481" spans="1:11" ht="49.5" customHeight="1" x14ac:dyDescent="0.25">
      <c r="A1481" s="1665" t="s">
        <v>3</v>
      </c>
      <c r="B1481" s="1666">
        <f>+VLOOKUP(C1481,ListaAPUs!$B:$E,4,FALSE)</f>
        <v>10.35</v>
      </c>
      <c r="C1481" s="2441" t="str">
        <f>+ListaAPUs!B235</f>
        <v>Acometida parcial motor No 3 a Tablero Modulo No 4. CCM en 2*(3*500) Kcmil + 2T AWG THHN</v>
      </c>
      <c r="D1481" s="2441"/>
      <c r="E1481" s="2441"/>
      <c r="F1481" s="1665" t="s">
        <v>867</v>
      </c>
      <c r="G1481" s="1390" t="str">
        <f>+VLOOKUP(C1481,ListaAPUs!$B:$E,2,FALSE)</f>
        <v>m</v>
      </c>
      <c r="H1481" s="1524"/>
    </row>
    <row r="1482" spans="1:11" x14ac:dyDescent="0.25">
      <c r="A1482" s="1528"/>
      <c r="B1482" s="1527"/>
      <c r="C1482" s="1527"/>
      <c r="D1482" s="529"/>
      <c r="E1482" s="1527"/>
      <c r="F1482" s="1528"/>
      <c r="G1482" s="1524"/>
      <c r="H1482" s="1524"/>
    </row>
    <row r="1483" spans="1:11" x14ac:dyDescent="0.25">
      <c r="A1483" s="1528"/>
      <c r="B1483" s="1527"/>
      <c r="C1483" s="1527"/>
      <c r="D1483" s="529"/>
      <c r="E1483" s="1527"/>
      <c r="F1483" s="1528"/>
      <c r="G1483" s="1529"/>
      <c r="H1483" s="1524"/>
    </row>
    <row r="1484" spans="1:11" ht="15.75" thickBot="1" x14ac:dyDescent="0.3">
      <c r="A1484" s="1528"/>
      <c r="B1484" s="1527"/>
      <c r="C1484" s="1527"/>
      <c r="D1484" s="529"/>
      <c r="E1484" s="1527"/>
      <c r="F1484" s="1528"/>
      <c r="G1484" s="1524"/>
      <c r="H1484" s="1524"/>
    </row>
    <row r="1485" spans="1:11" ht="15.75" thickBot="1" x14ac:dyDescent="0.3">
      <c r="A1485" s="1368"/>
      <c r="B1485" s="1369" t="s">
        <v>5403</v>
      </c>
      <c r="C1485" s="1363" t="s">
        <v>867</v>
      </c>
      <c r="D1485" s="1120" t="s">
        <v>6</v>
      </c>
      <c r="E1485" s="1363" t="s">
        <v>9417</v>
      </c>
      <c r="F1485" s="1363" t="s">
        <v>5405</v>
      </c>
      <c r="G1485" s="1370" t="s">
        <v>7179</v>
      </c>
      <c r="H1485" s="1371"/>
    </row>
    <row r="1486" spans="1:11" x14ac:dyDescent="0.25">
      <c r="A1486" s="1528"/>
      <c r="B1486" s="1746" t="s">
        <v>9473</v>
      </c>
      <c r="C1486" s="1802" t="s">
        <v>5432</v>
      </c>
      <c r="D1486" s="1794">
        <v>6</v>
      </c>
      <c r="E1486" s="1803">
        <v>79100</v>
      </c>
      <c r="F1486" s="1804">
        <v>1.05</v>
      </c>
      <c r="G1486" s="1805">
        <f>+F1486*E1486*D1486</f>
        <v>498330</v>
      </c>
      <c r="H1486" s="1524"/>
    </row>
    <row r="1487" spans="1:11" x14ac:dyDescent="0.25">
      <c r="A1487" s="1528"/>
      <c r="B1487" s="1822" t="s">
        <v>9496</v>
      </c>
      <c r="C1487" s="1749" t="s">
        <v>5432</v>
      </c>
      <c r="D1487" s="1773">
        <v>1</v>
      </c>
      <c r="E1487" s="1825">
        <v>9500</v>
      </c>
      <c r="F1487" s="1769">
        <v>1.05</v>
      </c>
      <c r="G1487" s="1786">
        <f>+F1487*E1487</f>
        <v>9975</v>
      </c>
      <c r="H1487" s="1524"/>
      <c r="J1487" s="1637"/>
      <c r="K1487" s="1637"/>
    </row>
    <row r="1488" spans="1:11" x14ac:dyDescent="0.25">
      <c r="A1488" s="1528"/>
      <c r="B1488" s="1751" t="s">
        <v>9476</v>
      </c>
      <c r="C1488" s="1749" t="s">
        <v>5</v>
      </c>
      <c r="D1488" s="1773">
        <f>12/6</f>
        <v>2</v>
      </c>
      <c r="E1488" s="1825">
        <v>8000</v>
      </c>
      <c r="F1488" s="1769">
        <v>1</v>
      </c>
      <c r="G1488" s="1786">
        <f>+F1488*E1488*D1488</f>
        <v>16000</v>
      </c>
      <c r="H1488" s="1524"/>
      <c r="J1488" s="1637"/>
      <c r="K1488" s="1637"/>
    </row>
    <row r="1489" spans="1:11" x14ac:dyDescent="0.25">
      <c r="A1489" s="1528"/>
      <c r="B1489" s="1822" t="s">
        <v>9477</v>
      </c>
      <c r="C1489" s="1749" t="s">
        <v>5</v>
      </c>
      <c r="D1489" s="1769">
        <f>2/6</f>
        <v>0.33333333333333331</v>
      </c>
      <c r="E1489" s="1825">
        <v>4000</v>
      </c>
      <c r="F1489" s="1769">
        <v>1</v>
      </c>
      <c r="G1489" s="1786">
        <f>+F1489*E1489*D1489</f>
        <v>1333.3333333333333</v>
      </c>
      <c r="H1489" s="1524"/>
      <c r="J1489" s="1637"/>
      <c r="K1489" s="1637"/>
    </row>
    <row r="1490" spans="1:11" ht="25.5" x14ac:dyDescent="0.25">
      <c r="A1490" s="1528"/>
      <c r="B1490" s="1822" t="s">
        <v>9480</v>
      </c>
      <c r="C1490" s="1749" t="s">
        <v>9023</v>
      </c>
      <c r="D1490" s="1773">
        <v>1</v>
      </c>
      <c r="E1490" s="1782">
        <v>5000</v>
      </c>
      <c r="F1490" s="1769">
        <v>1</v>
      </c>
      <c r="G1490" s="1786">
        <f>+F1490*E1490</f>
        <v>5000</v>
      </c>
      <c r="H1490" s="1524"/>
      <c r="J1490" s="1637"/>
      <c r="K1490" s="1637"/>
    </row>
    <row r="1491" spans="1:11" x14ac:dyDescent="0.25">
      <c r="A1491" s="1528"/>
      <c r="B1491" s="1822" t="s">
        <v>9481</v>
      </c>
      <c r="C1491" s="1749" t="s">
        <v>9023</v>
      </c>
      <c r="D1491" s="1773">
        <v>1</v>
      </c>
      <c r="E1491" s="1782">
        <f>2500*20</f>
        <v>50000</v>
      </c>
      <c r="F1491" s="1769">
        <v>1</v>
      </c>
      <c r="G1491" s="1786">
        <f>+F1491*E1491</f>
        <v>50000</v>
      </c>
      <c r="H1491" s="1524"/>
      <c r="J1491" s="1637"/>
      <c r="K1491" s="1637"/>
    </row>
    <row r="1492" spans="1:11" x14ac:dyDescent="0.25">
      <c r="A1492" s="1528"/>
      <c r="B1492" s="1822" t="s">
        <v>9482</v>
      </c>
      <c r="C1492" s="1749" t="s">
        <v>5</v>
      </c>
      <c r="D1492" s="1773">
        <f>(9+2)*2/20</f>
        <v>1.1000000000000001</v>
      </c>
      <c r="E1492" s="1782">
        <v>1500</v>
      </c>
      <c r="F1492" s="1769">
        <v>1</v>
      </c>
      <c r="G1492" s="1786">
        <f>+F1492*E1492*D1492</f>
        <v>1650.0000000000002</v>
      </c>
      <c r="H1492" s="1524"/>
      <c r="J1492" s="1637"/>
      <c r="K1492" s="1637"/>
    </row>
    <row r="1493" spans="1:11" x14ac:dyDescent="0.25">
      <c r="A1493" s="1528"/>
      <c r="B1493" s="1667"/>
      <c r="C1493" s="1537"/>
      <c r="D1493" s="212"/>
      <c r="E1493" s="816"/>
      <c r="F1493" s="1563"/>
      <c r="G1493" s="814"/>
      <c r="H1493" s="1524"/>
      <c r="J1493" s="1637"/>
      <c r="K1493" s="1637"/>
    </row>
    <row r="1494" spans="1:11" x14ac:dyDescent="0.25">
      <c r="A1494" s="1528"/>
      <c r="B1494" s="1667"/>
      <c r="C1494" s="1537"/>
      <c r="D1494" s="212"/>
      <c r="E1494" s="816"/>
      <c r="F1494" s="1563"/>
      <c r="G1494" s="814"/>
      <c r="H1494" s="1524"/>
      <c r="J1494" s="1637"/>
      <c r="K1494" s="1637"/>
    </row>
    <row r="1495" spans="1:11" x14ac:dyDescent="0.25">
      <c r="A1495" s="1528"/>
      <c r="B1495" s="1667"/>
      <c r="C1495" s="1537"/>
      <c r="D1495" s="212"/>
      <c r="E1495" s="816"/>
      <c r="F1495" s="1563"/>
      <c r="G1495" s="814"/>
      <c r="H1495" s="1524"/>
      <c r="J1495" s="1637"/>
      <c r="K1495" s="1637"/>
    </row>
    <row r="1496" spans="1:11" x14ac:dyDescent="0.25">
      <c r="A1496" s="1528"/>
      <c r="B1496" s="1667"/>
      <c r="C1496" s="1537"/>
      <c r="D1496" s="212"/>
      <c r="E1496" s="816"/>
      <c r="F1496" s="1563"/>
      <c r="G1496" s="814"/>
      <c r="H1496" s="1524"/>
      <c r="J1496" s="1637"/>
      <c r="K1496" s="1637"/>
    </row>
    <row r="1497" spans="1:11" x14ac:dyDescent="0.25">
      <c r="A1497" s="1528"/>
      <c r="B1497" s="269"/>
      <c r="C1497" s="1537"/>
      <c r="D1497" s="212"/>
      <c r="E1497" s="816"/>
      <c r="F1497" s="1563"/>
      <c r="G1497" s="814"/>
      <c r="H1497" s="1524"/>
      <c r="J1497" s="1637"/>
      <c r="K1497" s="1637"/>
    </row>
    <row r="1498" spans="1:11" x14ac:dyDescent="0.25">
      <c r="A1498" s="1528"/>
      <c r="B1498" s="268"/>
      <c r="C1498" s="1534"/>
      <c r="D1498" s="211"/>
      <c r="E1498" s="1535" t="s">
        <v>7182</v>
      </c>
      <c r="F1498" s="1551"/>
      <c r="G1498" s="1541" t="s">
        <v>7182</v>
      </c>
      <c r="H1498" s="1524"/>
      <c r="J1498" s="1637"/>
      <c r="K1498" s="1637"/>
    </row>
    <row r="1499" spans="1:11" x14ac:dyDescent="0.25">
      <c r="A1499" s="1528"/>
      <c r="B1499" s="1346"/>
      <c r="C1499" s="1534"/>
      <c r="D1499" s="211"/>
      <c r="E1499" s="1535" t="s">
        <v>7182</v>
      </c>
      <c r="F1499" s="1551"/>
      <c r="G1499" s="1541" t="s">
        <v>7182</v>
      </c>
      <c r="H1499" s="1524"/>
      <c r="J1499" s="1637"/>
      <c r="K1499" s="1637"/>
    </row>
    <row r="1500" spans="1:11" ht="15.75" thickBot="1" x14ac:dyDescent="0.3">
      <c r="A1500" s="1528"/>
      <c r="B1500" s="1540"/>
      <c r="C1500" s="1537"/>
      <c r="D1500" s="952"/>
      <c r="E1500" s="1538" t="s">
        <v>7182</v>
      </c>
      <c r="F1500" s="1537"/>
      <c r="G1500" s="1541" t="s">
        <v>7182</v>
      </c>
      <c r="H1500" s="1524"/>
      <c r="J1500" s="1637"/>
      <c r="K1500" s="1637"/>
    </row>
    <row r="1501" spans="1:11" ht="15.75" thickBot="1" x14ac:dyDescent="0.3">
      <c r="A1501" s="1528"/>
      <c r="B1501" s="1555"/>
      <c r="C1501" s="1557"/>
      <c r="D1501" s="956"/>
      <c r="E1501" s="1556" t="s">
        <v>7182</v>
      </c>
      <c r="F1501" s="1557"/>
      <c r="G1501" s="1558" t="s">
        <v>7182</v>
      </c>
      <c r="H1501" s="1546">
        <f>SUM(G1486:G1501)</f>
        <v>582288.33333333337</v>
      </c>
      <c r="J1501" s="1637"/>
      <c r="K1501" s="1637"/>
    </row>
    <row r="1502" spans="1:11" x14ac:dyDescent="0.25">
      <c r="A1502" s="1528"/>
      <c r="B1502" s="1372"/>
      <c r="C1502" s="1374"/>
      <c r="D1502" s="1373"/>
      <c r="E1502" s="1372" t="s">
        <v>7182</v>
      </c>
      <c r="F1502" s="1374"/>
      <c r="G1502" s="1375" t="s">
        <v>7182</v>
      </c>
      <c r="H1502" s="1550"/>
      <c r="J1502" s="1637"/>
      <c r="K1502" s="1637"/>
    </row>
    <row r="1503" spans="1:11" ht="15.75" thickBot="1" x14ac:dyDescent="0.3">
      <c r="A1503" s="1527"/>
      <c r="B1503" s="188"/>
      <c r="C1503" s="189"/>
      <c r="D1503" s="1668"/>
      <c r="E1503" s="188"/>
      <c r="F1503" s="189"/>
      <c r="G1503" s="1669"/>
      <c r="H1503" s="1550"/>
      <c r="J1503" s="1637"/>
      <c r="K1503" s="1637"/>
    </row>
    <row r="1504" spans="1:11" ht="15.75" thickBot="1" x14ac:dyDescent="0.3">
      <c r="A1504" s="1527"/>
      <c r="B1504" s="1366" t="s">
        <v>9418</v>
      </c>
      <c r="C1504" s="1363" t="s">
        <v>867</v>
      </c>
      <c r="D1504" s="1120" t="s">
        <v>6</v>
      </c>
      <c r="E1504" s="1363" t="s">
        <v>7183</v>
      </c>
      <c r="F1504" s="1363" t="s">
        <v>5405</v>
      </c>
      <c r="G1504" s="1365" t="s">
        <v>7179</v>
      </c>
      <c r="H1504" s="1524"/>
      <c r="J1504" s="1637"/>
      <c r="K1504" s="1637"/>
    </row>
    <row r="1505" spans="1:11" x14ac:dyDescent="0.25">
      <c r="A1505" s="1527"/>
      <c r="B1505" s="1564" t="s">
        <v>5455</v>
      </c>
      <c r="C1505" s="1534" t="s">
        <v>5</v>
      </c>
      <c r="D1505" s="211">
        <v>1</v>
      </c>
      <c r="E1505" s="1535">
        <f>40000/50</f>
        <v>800</v>
      </c>
      <c r="F1505" s="297">
        <v>1</v>
      </c>
      <c r="G1505" s="1572">
        <f>+F1505*E1505</f>
        <v>800</v>
      </c>
      <c r="H1505" s="1524"/>
      <c r="J1505" s="1637"/>
      <c r="K1505" s="1637"/>
    </row>
    <row r="1506" spans="1:11" x14ac:dyDescent="0.25">
      <c r="A1506" s="1527"/>
      <c r="B1506" s="1540"/>
      <c r="C1506" s="1537"/>
      <c r="D1506" s="212"/>
      <c r="E1506" s="1535" t="s">
        <v>7182</v>
      </c>
      <c r="F1506" s="1537"/>
      <c r="G1506" s="1572" t="s">
        <v>7182</v>
      </c>
      <c r="H1506" s="1524"/>
      <c r="J1506" s="1637"/>
      <c r="K1506" s="1637"/>
    </row>
    <row r="1507" spans="1:11" x14ac:dyDescent="0.25">
      <c r="A1507" s="1527"/>
      <c r="B1507" s="1540"/>
      <c r="C1507" s="1537"/>
      <c r="D1507" s="212"/>
      <c r="E1507" s="1535" t="s">
        <v>7182</v>
      </c>
      <c r="F1507" s="1537"/>
      <c r="G1507" s="1572" t="s">
        <v>7182</v>
      </c>
      <c r="H1507" s="1524"/>
      <c r="J1507" s="1637"/>
      <c r="K1507" s="1637"/>
    </row>
    <row r="1508" spans="1:11" ht="15.75" thickBot="1" x14ac:dyDescent="0.3">
      <c r="A1508" s="1527"/>
      <c r="B1508" s="1540"/>
      <c r="C1508" s="1537"/>
      <c r="D1508" s="212"/>
      <c r="E1508" s="1535" t="s">
        <v>7182</v>
      </c>
      <c r="F1508" s="1537"/>
      <c r="G1508" s="1572" t="s">
        <v>7182</v>
      </c>
      <c r="H1508" s="1524"/>
      <c r="J1508" s="1637"/>
      <c r="K1508" s="1637"/>
    </row>
    <row r="1509" spans="1:11" ht="15.75" thickBot="1" x14ac:dyDescent="0.3">
      <c r="A1509" s="1527"/>
      <c r="B1509" s="1555"/>
      <c r="C1509" s="1556"/>
      <c r="D1509" s="956"/>
      <c r="E1509" s="1556" t="s">
        <v>7182</v>
      </c>
      <c r="F1509" s="1557"/>
      <c r="G1509" s="1558" t="s">
        <v>7182</v>
      </c>
      <c r="H1509" s="1546">
        <f>SUM(G1505:G1509)</f>
        <v>800</v>
      </c>
      <c r="J1509" s="1637"/>
      <c r="K1509" s="1637"/>
    </row>
    <row r="1510" spans="1:11" ht="15.75" thickBot="1" x14ac:dyDescent="0.3">
      <c r="A1510" s="1527"/>
      <c r="B1510" s="1376"/>
      <c r="C1510" s="1353"/>
      <c r="D1510" s="1355"/>
      <c r="E1510" s="1352"/>
      <c r="F1510" s="1377"/>
      <c r="G1510" s="1378"/>
      <c r="H1510" s="1524"/>
      <c r="J1510" s="1637"/>
      <c r="K1510" s="1637"/>
    </row>
    <row r="1511" spans="1:11" ht="15.75" thickBot="1" x14ac:dyDescent="0.3">
      <c r="A1511" s="1527"/>
      <c r="B1511" s="1366" t="s">
        <v>5410</v>
      </c>
      <c r="C1511" s="1363" t="s">
        <v>867</v>
      </c>
      <c r="D1511" s="1120" t="s">
        <v>6</v>
      </c>
      <c r="E1511" s="1363" t="s">
        <v>7183</v>
      </c>
      <c r="F1511" s="1363" t="s">
        <v>5405</v>
      </c>
      <c r="G1511" s="1365" t="s">
        <v>7179</v>
      </c>
      <c r="H1511" s="1524"/>
      <c r="J1511" s="1637"/>
      <c r="K1511" s="1637"/>
    </row>
    <row r="1512" spans="1:11" ht="25.5" x14ac:dyDescent="0.25">
      <c r="A1512" s="1527"/>
      <c r="B1512" s="1564" t="s">
        <v>9421</v>
      </c>
      <c r="C1512" s="1534" t="s">
        <v>9023</v>
      </c>
      <c r="D1512" s="211">
        <v>1</v>
      </c>
      <c r="E1512" s="1535">
        <f>50000/50</f>
        <v>1000</v>
      </c>
      <c r="F1512" s="297">
        <v>1</v>
      </c>
      <c r="G1512" s="1572">
        <f>+F1512*E1512</f>
        <v>1000</v>
      </c>
      <c r="H1512" s="1524"/>
      <c r="J1512" s="1637"/>
      <c r="K1512" s="1637"/>
    </row>
    <row r="1513" spans="1:11" x14ac:dyDescent="0.25">
      <c r="A1513" s="1527"/>
      <c r="B1513" s="1540"/>
      <c r="C1513" s="1537"/>
      <c r="D1513" s="212"/>
      <c r="E1513" s="1535" t="s">
        <v>7182</v>
      </c>
      <c r="F1513" s="1537"/>
      <c r="G1513" s="1572" t="s">
        <v>7182</v>
      </c>
      <c r="H1513" s="1524"/>
      <c r="J1513" s="1637"/>
      <c r="K1513" s="1637"/>
    </row>
    <row r="1514" spans="1:11" x14ac:dyDescent="0.25">
      <c r="A1514" s="1527"/>
      <c r="B1514" s="1540"/>
      <c r="C1514" s="1537"/>
      <c r="D1514" s="212"/>
      <c r="E1514" s="1535" t="s">
        <v>7182</v>
      </c>
      <c r="F1514" s="1537"/>
      <c r="G1514" s="1572" t="s">
        <v>7182</v>
      </c>
      <c r="H1514" s="1524"/>
      <c r="J1514" s="1637"/>
      <c r="K1514" s="1637"/>
    </row>
    <row r="1515" spans="1:11" ht="15.75" thickBot="1" x14ac:dyDescent="0.3">
      <c r="A1515" s="1527"/>
      <c r="B1515" s="1540"/>
      <c r="C1515" s="1537"/>
      <c r="D1515" s="212"/>
      <c r="E1515" s="1535" t="s">
        <v>7182</v>
      </c>
      <c r="F1515" s="1537"/>
      <c r="G1515" s="1572" t="s">
        <v>7182</v>
      </c>
      <c r="H1515" s="1524"/>
      <c r="J1515" s="1637"/>
      <c r="K1515" s="1637"/>
    </row>
    <row r="1516" spans="1:11" ht="15.75" thickBot="1" x14ac:dyDescent="0.3">
      <c r="A1516" s="1527"/>
      <c r="B1516" s="1555"/>
      <c r="C1516" s="1556"/>
      <c r="D1516" s="956"/>
      <c r="E1516" s="1556" t="s">
        <v>7182</v>
      </c>
      <c r="F1516" s="1557"/>
      <c r="G1516" s="1558" t="s">
        <v>7182</v>
      </c>
      <c r="H1516" s="1546">
        <f>SUM(G1512:G1516)</f>
        <v>1000</v>
      </c>
      <c r="J1516" s="1637"/>
      <c r="K1516" s="1637"/>
    </row>
    <row r="1517" spans="1:11" ht="15.75" thickBot="1" x14ac:dyDescent="0.3">
      <c r="A1517" s="1527"/>
      <c r="B1517" s="1547"/>
      <c r="C1517" s="1547"/>
      <c r="D1517" s="954"/>
      <c r="E1517" s="1547"/>
      <c r="F1517" s="1553"/>
      <c r="G1517" s="1554"/>
      <c r="H1517" s="1550"/>
      <c r="J1517" s="1637"/>
      <c r="K1517" s="1637"/>
    </row>
    <row r="1518" spans="1:11" ht="15.75" thickBot="1" x14ac:dyDescent="0.3">
      <c r="A1518" s="1559"/>
      <c r="B1518" s="1369" t="s">
        <v>5412</v>
      </c>
      <c r="C1518" s="1363" t="s">
        <v>5420</v>
      </c>
      <c r="D1518" s="1120" t="s">
        <v>5421</v>
      </c>
      <c r="E1518" s="1363" t="s">
        <v>7187</v>
      </c>
      <c r="F1518" s="1363" t="s">
        <v>5405</v>
      </c>
      <c r="G1518" s="1370" t="s">
        <v>7179</v>
      </c>
      <c r="H1518" s="1371"/>
      <c r="J1518" s="1637"/>
      <c r="K1518" s="1637"/>
    </row>
    <row r="1519" spans="1:11" x14ac:dyDescent="0.25">
      <c r="A1519" s="1527"/>
      <c r="B1519" s="1560" t="s">
        <v>9422</v>
      </c>
      <c r="C1519" s="1569">
        <v>170000</v>
      </c>
      <c r="D1519" s="352">
        <f>0.6*C1519</f>
        <v>102000</v>
      </c>
      <c r="E1519" s="1569">
        <f>+D1519+C1519</f>
        <v>272000</v>
      </c>
      <c r="F1519" s="819">
        <v>0.05</v>
      </c>
      <c r="G1519" s="818">
        <f>+F1519*E1519</f>
        <v>13600</v>
      </c>
      <c r="H1519" s="1524"/>
    </row>
    <row r="1520" spans="1:11" x14ac:dyDescent="0.25">
      <c r="A1520" s="1527"/>
      <c r="B1520" s="1560"/>
      <c r="C1520" s="1569"/>
      <c r="D1520" s="1569"/>
      <c r="E1520" s="1569"/>
      <c r="F1520" s="819"/>
      <c r="G1520" s="818"/>
      <c r="H1520" s="1524"/>
    </row>
    <row r="1521" spans="1:11" x14ac:dyDescent="0.25">
      <c r="A1521" s="1527"/>
      <c r="B1521" s="1561"/>
      <c r="C1521" s="1569"/>
      <c r="D1521" s="1569"/>
      <c r="E1521" s="1569"/>
      <c r="F1521" s="817"/>
      <c r="G1521" s="818"/>
      <c r="H1521" s="1524"/>
    </row>
    <row r="1522" spans="1:11" x14ac:dyDescent="0.25">
      <c r="A1522" s="1527"/>
      <c r="B1522" s="1540"/>
      <c r="C1522" s="1569"/>
      <c r="D1522" s="1569"/>
      <c r="E1522" s="1569"/>
      <c r="F1522" s="817"/>
      <c r="G1522" s="818"/>
      <c r="H1522" s="1524"/>
    </row>
    <row r="1523" spans="1:11" x14ac:dyDescent="0.25">
      <c r="A1523" s="1527"/>
      <c r="B1523" s="1540"/>
      <c r="C1523" s="1538" t="s">
        <v>7182</v>
      </c>
      <c r="D1523" s="952" t="s">
        <v>7182</v>
      </c>
      <c r="E1523" s="1538" t="s">
        <v>7182</v>
      </c>
      <c r="F1523" s="817"/>
      <c r="G1523" s="818" t="str">
        <f>IF(B1523="","",E1523/F1523)</f>
        <v/>
      </c>
      <c r="H1523" s="1524"/>
    </row>
    <row r="1524" spans="1:11" ht="15.75" thickBot="1" x14ac:dyDescent="0.3">
      <c r="A1524" s="1527"/>
      <c r="B1524" s="1540"/>
      <c r="C1524" s="1538" t="s">
        <v>7182</v>
      </c>
      <c r="D1524" s="952" t="s">
        <v>7182</v>
      </c>
      <c r="E1524" s="1538" t="s">
        <v>7182</v>
      </c>
      <c r="F1524" s="1537"/>
      <c r="G1524" s="818" t="str">
        <f>IF(B1524="","",E1524/F1524)</f>
        <v/>
      </c>
      <c r="H1524" s="1524"/>
    </row>
    <row r="1525" spans="1:11" ht="15.75" thickBot="1" x14ac:dyDescent="0.3">
      <c r="A1525" s="1527"/>
      <c r="B1525" s="1555"/>
      <c r="C1525" s="1556"/>
      <c r="D1525" s="956"/>
      <c r="E1525" s="1556"/>
      <c r="F1525" s="1557"/>
      <c r="G1525" s="1558"/>
      <c r="H1525" s="1546">
        <f>SUM(G1519:G1525)</f>
        <v>13600</v>
      </c>
    </row>
    <row r="1526" spans="1:11" ht="15.75" thickBot="1" x14ac:dyDescent="0.3">
      <c r="A1526" s="1527"/>
      <c r="B1526" s="1527"/>
      <c r="C1526" s="1527"/>
      <c r="D1526" s="529"/>
      <c r="F1526" s="1528"/>
      <c r="G1526" s="1524"/>
      <c r="H1526" s="1524"/>
    </row>
    <row r="1527" spans="1:11" ht="15.75" thickBot="1" x14ac:dyDescent="0.3">
      <c r="A1527" s="1647" t="s">
        <v>6744</v>
      </c>
      <c r="B1527" s="1352"/>
      <c r="C1527" s="1352"/>
      <c r="D1527" s="1671"/>
      <c r="E1527" s="1672"/>
      <c r="F1527" s="1353"/>
      <c r="G1527" s="1527" t="s">
        <v>5415</v>
      </c>
      <c r="H1527" s="502">
        <f>ROUND(SUM(H1485:H1526),0)</f>
        <v>597688</v>
      </c>
      <c r="J1527" s="1673">
        <f>+B1481</f>
        <v>10.35</v>
      </c>
      <c r="K1527" s="1674">
        <f>+H1527</f>
        <v>597688</v>
      </c>
    </row>
    <row r="1528" spans="1:11" x14ac:dyDescent="0.25">
      <c r="A1528" s="1675"/>
      <c r="B1528" s="1676"/>
      <c r="C1528" s="1676"/>
      <c r="D1528" s="1677"/>
      <c r="E1528" s="1678"/>
      <c r="F1528" s="1679"/>
      <c r="G1528" s="1680"/>
      <c r="H1528" s="1680"/>
    </row>
    <row r="1529" spans="1:11" ht="18.75" x14ac:dyDescent="0.25">
      <c r="A1529" s="1523"/>
      <c r="B1529" s="1655"/>
      <c r="C1529" s="1655"/>
      <c r="D1529" s="950"/>
      <c r="E1529" s="1655"/>
      <c r="F1529" s="1655"/>
      <c r="G1529" s="1655"/>
      <c r="H1529" s="8"/>
    </row>
    <row r="1530" spans="1:11" x14ac:dyDescent="0.25">
      <c r="A1530" s="1523"/>
      <c r="B1530" s="8"/>
      <c r="C1530" s="8"/>
      <c r="D1530" s="529"/>
      <c r="E1530" s="8"/>
      <c r="F1530" s="1523"/>
      <c r="G1530" s="1524"/>
      <c r="H1530" s="8"/>
    </row>
    <row r="1531" spans="1:11" ht="49.5" customHeight="1" x14ac:dyDescent="0.25">
      <c r="A1531" s="1665" t="s">
        <v>3</v>
      </c>
      <c r="B1531" s="1666">
        <f>+VLOOKUP(C1531,ListaAPUs!$B:$E,4,FALSE)</f>
        <v>10.36</v>
      </c>
      <c r="C1531" s="2441" t="str">
        <f>+ListaAPUs!B236</f>
        <v>Acometida parcial motor No 4 a Tablero Modulo No 5. CCM en 2*(3*500) Kcmil + 2T AWG THHN</v>
      </c>
      <c r="D1531" s="2441"/>
      <c r="E1531" s="2441"/>
      <c r="F1531" s="1665" t="s">
        <v>867</v>
      </c>
      <c r="G1531" s="1390" t="str">
        <f>+VLOOKUP(C1531,ListaAPUs!$B:$E,2,FALSE)</f>
        <v>m</v>
      </c>
      <c r="H1531" s="1524"/>
    </row>
    <row r="1532" spans="1:11" x14ac:dyDescent="0.25">
      <c r="A1532" s="1528"/>
      <c r="B1532" s="1527"/>
      <c r="C1532" s="1527"/>
      <c r="D1532" s="529"/>
      <c r="E1532" s="1527"/>
      <c r="F1532" s="1528"/>
      <c r="G1532" s="1524"/>
      <c r="H1532" s="1524"/>
    </row>
    <row r="1533" spans="1:11" x14ac:dyDescent="0.25">
      <c r="A1533" s="1528"/>
      <c r="B1533" s="1527"/>
      <c r="C1533" s="1527"/>
      <c r="D1533" s="529"/>
      <c r="E1533" s="1527"/>
      <c r="F1533" s="1528"/>
      <c r="G1533" s="1529"/>
      <c r="H1533" s="1524"/>
    </row>
    <row r="1534" spans="1:11" ht="15.75" thickBot="1" x14ac:dyDescent="0.3">
      <c r="A1534" s="1528"/>
      <c r="B1534" s="1527"/>
      <c r="C1534" s="1527"/>
      <c r="D1534" s="529"/>
      <c r="E1534" s="1527"/>
      <c r="F1534" s="1528"/>
      <c r="G1534" s="1524"/>
      <c r="H1534" s="1524"/>
    </row>
    <row r="1535" spans="1:11" ht="15.75" thickBot="1" x14ac:dyDescent="0.3">
      <c r="A1535" s="1368"/>
      <c r="B1535" s="1369" t="s">
        <v>5403</v>
      </c>
      <c r="C1535" s="1363" t="s">
        <v>867</v>
      </c>
      <c r="D1535" s="1120" t="s">
        <v>6</v>
      </c>
      <c r="E1535" s="1363" t="s">
        <v>9417</v>
      </c>
      <c r="F1535" s="1363" t="s">
        <v>5405</v>
      </c>
      <c r="G1535" s="1370" t="s">
        <v>7179</v>
      </c>
      <c r="H1535" s="1371"/>
      <c r="J1535" s="1637"/>
      <c r="K1535" s="1637"/>
    </row>
    <row r="1536" spans="1:11" x14ac:dyDescent="0.25">
      <c r="A1536" s="1528"/>
      <c r="B1536" s="1746" t="s">
        <v>9473</v>
      </c>
      <c r="C1536" s="1802" t="s">
        <v>5432</v>
      </c>
      <c r="D1536" s="1794">
        <v>6</v>
      </c>
      <c r="E1536" s="1803">
        <v>79100</v>
      </c>
      <c r="F1536" s="1804">
        <v>1.05</v>
      </c>
      <c r="G1536" s="1805">
        <f>+F1536*E1536*D1536</f>
        <v>498330</v>
      </c>
      <c r="H1536" s="1524"/>
      <c r="J1536" s="1637"/>
      <c r="K1536" s="1637"/>
    </row>
    <row r="1537" spans="1:11" x14ac:dyDescent="0.25">
      <c r="A1537" s="1528"/>
      <c r="B1537" s="1822" t="s">
        <v>9496</v>
      </c>
      <c r="C1537" s="1749" t="s">
        <v>5432</v>
      </c>
      <c r="D1537" s="1773">
        <v>1</v>
      </c>
      <c r="E1537" s="1825">
        <v>9500</v>
      </c>
      <c r="F1537" s="1769">
        <v>1.05</v>
      </c>
      <c r="G1537" s="1786">
        <f>+F1537*E1537</f>
        <v>9975</v>
      </c>
      <c r="H1537" s="1524"/>
      <c r="J1537" s="1637"/>
      <c r="K1537" s="1637"/>
    </row>
    <row r="1538" spans="1:11" x14ac:dyDescent="0.25">
      <c r="A1538" s="1528"/>
      <c r="B1538" s="1751" t="s">
        <v>9476</v>
      </c>
      <c r="C1538" s="1749" t="s">
        <v>5</v>
      </c>
      <c r="D1538" s="1773">
        <f>12/6</f>
        <v>2</v>
      </c>
      <c r="E1538" s="1825">
        <v>8000</v>
      </c>
      <c r="F1538" s="1769">
        <v>1</v>
      </c>
      <c r="G1538" s="1786">
        <f>+F1538*E1538*D1538</f>
        <v>16000</v>
      </c>
      <c r="H1538" s="1524"/>
      <c r="J1538" s="1637"/>
      <c r="K1538" s="1637"/>
    </row>
    <row r="1539" spans="1:11" x14ac:dyDescent="0.25">
      <c r="A1539" s="1528"/>
      <c r="B1539" s="1822" t="s">
        <v>9477</v>
      </c>
      <c r="C1539" s="1749" t="s">
        <v>5</v>
      </c>
      <c r="D1539" s="1769">
        <f>2/6</f>
        <v>0.33333333333333331</v>
      </c>
      <c r="E1539" s="1825">
        <v>4000</v>
      </c>
      <c r="F1539" s="1769">
        <v>1</v>
      </c>
      <c r="G1539" s="1786">
        <f>+F1539*E1539*D1539</f>
        <v>1333.3333333333333</v>
      </c>
      <c r="H1539" s="1524"/>
      <c r="J1539" s="1637"/>
      <c r="K1539" s="1637"/>
    </row>
    <row r="1540" spans="1:11" ht="25.5" x14ac:dyDescent="0.25">
      <c r="A1540" s="1528"/>
      <c r="B1540" s="1822" t="s">
        <v>9480</v>
      </c>
      <c r="C1540" s="1749" t="s">
        <v>9023</v>
      </c>
      <c r="D1540" s="1773">
        <v>1</v>
      </c>
      <c r="E1540" s="1782">
        <v>5000</v>
      </c>
      <c r="F1540" s="1769">
        <v>1</v>
      </c>
      <c r="G1540" s="1786">
        <f>+F1540*E1540</f>
        <v>5000</v>
      </c>
      <c r="H1540" s="1524"/>
      <c r="J1540" s="1637"/>
      <c r="K1540" s="1637"/>
    </row>
    <row r="1541" spans="1:11" x14ac:dyDescent="0.25">
      <c r="A1541" s="1528"/>
      <c r="B1541" s="1822" t="s">
        <v>9481</v>
      </c>
      <c r="C1541" s="1749" t="s">
        <v>9023</v>
      </c>
      <c r="D1541" s="1773">
        <v>1</v>
      </c>
      <c r="E1541" s="1782">
        <f>2500*20</f>
        <v>50000</v>
      </c>
      <c r="F1541" s="1769">
        <v>1</v>
      </c>
      <c r="G1541" s="1786">
        <f>+F1541*E1541</f>
        <v>50000</v>
      </c>
      <c r="H1541" s="1524"/>
      <c r="J1541" s="1637"/>
      <c r="K1541" s="1637"/>
    </row>
    <row r="1542" spans="1:11" x14ac:dyDescent="0.25">
      <c r="A1542" s="1528"/>
      <c r="B1542" s="1822" t="s">
        <v>9482</v>
      </c>
      <c r="C1542" s="1749" t="s">
        <v>5</v>
      </c>
      <c r="D1542" s="1773">
        <f>(9+2)*2/20</f>
        <v>1.1000000000000001</v>
      </c>
      <c r="E1542" s="1782">
        <v>1500</v>
      </c>
      <c r="F1542" s="1769">
        <v>1</v>
      </c>
      <c r="G1542" s="1786">
        <f>+F1542*E1542*D1542</f>
        <v>1650.0000000000002</v>
      </c>
      <c r="H1542" s="1524"/>
      <c r="J1542" s="1637"/>
      <c r="K1542" s="1637"/>
    </row>
    <row r="1543" spans="1:11" x14ac:dyDescent="0.25">
      <c r="A1543" s="1528"/>
      <c r="B1543" s="1667"/>
      <c r="C1543" s="1537"/>
      <c r="D1543" s="212"/>
      <c r="E1543" s="816"/>
      <c r="F1543" s="1563"/>
      <c r="G1543" s="814"/>
      <c r="H1543" s="1524"/>
      <c r="J1543" s="1637"/>
      <c r="K1543" s="1637"/>
    </row>
    <row r="1544" spans="1:11" x14ac:dyDescent="0.25">
      <c r="A1544" s="1528"/>
      <c r="B1544" s="1667"/>
      <c r="C1544" s="1537"/>
      <c r="D1544" s="212"/>
      <c r="E1544" s="816"/>
      <c r="F1544" s="1563"/>
      <c r="G1544" s="814"/>
      <c r="H1544" s="1524"/>
      <c r="J1544" s="1637"/>
      <c r="K1544" s="1637"/>
    </row>
    <row r="1545" spans="1:11" x14ac:dyDescent="0.25">
      <c r="A1545" s="1528"/>
      <c r="B1545" s="1667"/>
      <c r="C1545" s="1537"/>
      <c r="D1545" s="212"/>
      <c r="E1545" s="816"/>
      <c r="F1545" s="1563"/>
      <c r="G1545" s="814"/>
      <c r="H1545" s="1524"/>
      <c r="J1545" s="1637"/>
      <c r="K1545" s="1637"/>
    </row>
    <row r="1546" spans="1:11" x14ac:dyDescent="0.25">
      <c r="A1546" s="1528"/>
      <c r="B1546" s="1667"/>
      <c r="C1546" s="1537"/>
      <c r="D1546" s="212"/>
      <c r="E1546" s="816"/>
      <c r="F1546" s="1563"/>
      <c r="G1546" s="814"/>
      <c r="H1546" s="1524"/>
      <c r="J1546" s="1637"/>
      <c r="K1546" s="1637"/>
    </row>
    <row r="1547" spans="1:11" x14ac:dyDescent="0.25">
      <c r="A1547" s="1528"/>
      <c r="B1547" s="269"/>
      <c r="C1547" s="1537"/>
      <c r="D1547" s="212"/>
      <c r="E1547" s="816"/>
      <c r="F1547" s="1563"/>
      <c r="G1547" s="814"/>
      <c r="H1547" s="1524"/>
      <c r="J1547" s="1637"/>
      <c r="K1547" s="1637"/>
    </row>
    <row r="1548" spans="1:11" x14ac:dyDescent="0.25">
      <c r="A1548" s="1528"/>
      <c r="B1548" s="268"/>
      <c r="C1548" s="1534"/>
      <c r="D1548" s="211"/>
      <c r="E1548" s="1535" t="s">
        <v>7182</v>
      </c>
      <c r="F1548" s="1551"/>
      <c r="G1548" s="1541" t="s">
        <v>7182</v>
      </c>
      <c r="H1548" s="1524"/>
      <c r="J1548" s="1637"/>
      <c r="K1548" s="1637"/>
    </row>
    <row r="1549" spans="1:11" x14ac:dyDescent="0.25">
      <c r="A1549" s="1528"/>
      <c r="B1549" s="1346"/>
      <c r="C1549" s="1534"/>
      <c r="D1549" s="211"/>
      <c r="E1549" s="1535" t="s">
        <v>7182</v>
      </c>
      <c r="F1549" s="1551"/>
      <c r="G1549" s="1541" t="s">
        <v>7182</v>
      </c>
      <c r="H1549" s="1524"/>
      <c r="J1549" s="1637"/>
      <c r="K1549" s="1637"/>
    </row>
    <row r="1550" spans="1:11" ht="15.75" thickBot="1" x14ac:dyDescent="0.3">
      <c r="A1550" s="1528"/>
      <c r="B1550" s="1540"/>
      <c r="C1550" s="1537"/>
      <c r="D1550" s="952"/>
      <c r="E1550" s="1538" t="s">
        <v>7182</v>
      </c>
      <c r="F1550" s="1537"/>
      <c r="G1550" s="1541" t="s">
        <v>7182</v>
      </c>
      <c r="H1550" s="1524"/>
      <c r="J1550" s="1637"/>
      <c r="K1550" s="1637"/>
    </row>
    <row r="1551" spans="1:11" ht="15.75" thickBot="1" x14ac:dyDescent="0.3">
      <c r="A1551" s="1528"/>
      <c r="B1551" s="1555"/>
      <c r="C1551" s="1557"/>
      <c r="D1551" s="956"/>
      <c r="E1551" s="1556" t="s">
        <v>7182</v>
      </c>
      <c r="F1551" s="1557"/>
      <c r="G1551" s="1558" t="s">
        <v>7182</v>
      </c>
      <c r="H1551" s="1546">
        <f>SUM(G1536:G1551)</f>
        <v>582288.33333333337</v>
      </c>
      <c r="J1551" s="1637"/>
      <c r="K1551" s="1637"/>
    </row>
    <row r="1552" spans="1:11" x14ac:dyDescent="0.25">
      <c r="A1552" s="1528"/>
      <c r="B1552" s="1372"/>
      <c r="C1552" s="1374"/>
      <c r="D1552" s="1373"/>
      <c r="E1552" s="1372" t="s">
        <v>7182</v>
      </c>
      <c r="F1552" s="1374"/>
      <c r="G1552" s="1375" t="s">
        <v>7182</v>
      </c>
      <c r="H1552" s="1550"/>
      <c r="J1552" s="1637"/>
      <c r="K1552" s="1637"/>
    </row>
    <row r="1553" spans="1:11" ht="15.75" thickBot="1" x14ac:dyDescent="0.3">
      <c r="A1553" s="1527"/>
      <c r="B1553" s="188"/>
      <c r="C1553" s="189"/>
      <c r="D1553" s="1668"/>
      <c r="E1553" s="188"/>
      <c r="F1553" s="189"/>
      <c r="G1553" s="1669"/>
      <c r="H1553" s="1550"/>
      <c r="J1553" s="1637"/>
      <c r="K1553" s="1637"/>
    </row>
    <row r="1554" spans="1:11" ht="15.75" thickBot="1" x14ac:dyDescent="0.3">
      <c r="A1554" s="1527"/>
      <c r="B1554" s="1366" t="s">
        <v>9418</v>
      </c>
      <c r="C1554" s="1363" t="s">
        <v>867</v>
      </c>
      <c r="D1554" s="1120" t="s">
        <v>6</v>
      </c>
      <c r="E1554" s="1363" t="s">
        <v>7183</v>
      </c>
      <c r="F1554" s="1363" t="s">
        <v>5405</v>
      </c>
      <c r="G1554" s="1365" t="s">
        <v>7179</v>
      </c>
      <c r="H1554" s="1524"/>
      <c r="J1554" s="1637"/>
      <c r="K1554" s="1637"/>
    </row>
    <row r="1555" spans="1:11" x14ac:dyDescent="0.25">
      <c r="A1555" s="1527"/>
      <c r="B1555" s="1564" t="s">
        <v>5455</v>
      </c>
      <c r="C1555" s="1534" t="s">
        <v>5</v>
      </c>
      <c r="D1555" s="211">
        <v>1</v>
      </c>
      <c r="E1555" s="1535">
        <f>40000/50</f>
        <v>800</v>
      </c>
      <c r="F1555" s="297">
        <v>1</v>
      </c>
      <c r="G1555" s="1572">
        <f>+F1555*E1555</f>
        <v>800</v>
      </c>
      <c r="H1555" s="1524"/>
      <c r="J1555" s="1637"/>
      <c r="K1555" s="1637"/>
    </row>
    <row r="1556" spans="1:11" x14ac:dyDescent="0.25">
      <c r="A1556" s="1527"/>
      <c r="B1556" s="1540"/>
      <c r="C1556" s="1537"/>
      <c r="D1556" s="212"/>
      <c r="E1556" s="1535" t="s">
        <v>7182</v>
      </c>
      <c r="F1556" s="1537"/>
      <c r="G1556" s="1572" t="s">
        <v>7182</v>
      </c>
      <c r="H1556" s="1524"/>
      <c r="J1556" s="1637"/>
      <c r="K1556" s="1637"/>
    </row>
    <row r="1557" spans="1:11" x14ac:dyDescent="0.25">
      <c r="A1557" s="1527"/>
      <c r="B1557" s="1540"/>
      <c r="C1557" s="1537"/>
      <c r="D1557" s="212"/>
      <c r="E1557" s="1535" t="s">
        <v>7182</v>
      </c>
      <c r="F1557" s="1537"/>
      <c r="G1557" s="1572" t="s">
        <v>7182</v>
      </c>
      <c r="H1557" s="1524"/>
      <c r="J1557" s="1637"/>
      <c r="K1557" s="1637"/>
    </row>
    <row r="1558" spans="1:11" ht="15.75" thickBot="1" x14ac:dyDescent="0.3">
      <c r="A1558" s="1527"/>
      <c r="B1558" s="1540"/>
      <c r="C1558" s="1537"/>
      <c r="D1558" s="212"/>
      <c r="E1558" s="1535" t="s">
        <v>7182</v>
      </c>
      <c r="F1558" s="1537"/>
      <c r="G1558" s="1572" t="s">
        <v>7182</v>
      </c>
      <c r="H1558" s="1524"/>
      <c r="J1558" s="1637"/>
      <c r="K1558" s="1637"/>
    </row>
    <row r="1559" spans="1:11" ht="15.75" thickBot="1" x14ac:dyDescent="0.3">
      <c r="A1559" s="1527"/>
      <c r="B1559" s="1555"/>
      <c r="C1559" s="1556"/>
      <c r="D1559" s="956"/>
      <c r="E1559" s="1556" t="s">
        <v>7182</v>
      </c>
      <c r="F1559" s="1557"/>
      <c r="G1559" s="1558" t="s">
        <v>7182</v>
      </c>
      <c r="H1559" s="1546">
        <f>SUM(G1555:G1559)</f>
        <v>800</v>
      </c>
      <c r="J1559" s="1637"/>
      <c r="K1559" s="1637"/>
    </row>
    <row r="1560" spans="1:11" ht="15.75" thickBot="1" x14ac:dyDescent="0.3">
      <c r="A1560" s="1527"/>
      <c r="B1560" s="1376"/>
      <c r="C1560" s="1353"/>
      <c r="D1560" s="1355"/>
      <c r="E1560" s="1352"/>
      <c r="F1560" s="1377"/>
      <c r="G1560" s="1378"/>
      <c r="H1560" s="1524"/>
      <c r="J1560" s="1637"/>
      <c r="K1560" s="1637"/>
    </row>
    <row r="1561" spans="1:11" ht="15.75" thickBot="1" x14ac:dyDescent="0.3">
      <c r="A1561" s="1527"/>
      <c r="B1561" s="1366" t="s">
        <v>5410</v>
      </c>
      <c r="C1561" s="1363" t="s">
        <v>867</v>
      </c>
      <c r="D1561" s="1120" t="s">
        <v>6</v>
      </c>
      <c r="E1561" s="1363" t="s">
        <v>7183</v>
      </c>
      <c r="F1561" s="1363" t="s">
        <v>5405</v>
      </c>
      <c r="G1561" s="1365" t="s">
        <v>7179</v>
      </c>
      <c r="H1561" s="1524"/>
      <c r="J1561" s="1637"/>
      <c r="K1561" s="1637"/>
    </row>
    <row r="1562" spans="1:11" ht="25.5" x14ac:dyDescent="0.25">
      <c r="A1562" s="1527"/>
      <c r="B1562" s="1564" t="s">
        <v>9421</v>
      </c>
      <c r="C1562" s="1534" t="s">
        <v>9023</v>
      </c>
      <c r="D1562" s="211">
        <v>1</v>
      </c>
      <c r="E1562" s="1535">
        <f>50000/50</f>
        <v>1000</v>
      </c>
      <c r="F1562" s="297">
        <v>1</v>
      </c>
      <c r="G1562" s="1572">
        <f>+F1562*E1562</f>
        <v>1000</v>
      </c>
      <c r="H1562" s="1524"/>
      <c r="J1562" s="1637"/>
      <c r="K1562" s="1637"/>
    </row>
    <row r="1563" spans="1:11" x14ac:dyDescent="0.25">
      <c r="A1563" s="1527"/>
      <c r="B1563" s="1540"/>
      <c r="C1563" s="1537"/>
      <c r="D1563" s="212"/>
      <c r="E1563" s="1535" t="s">
        <v>7182</v>
      </c>
      <c r="F1563" s="1537"/>
      <c r="G1563" s="1572" t="s">
        <v>7182</v>
      </c>
      <c r="H1563" s="1524"/>
      <c r="J1563" s="1637"/>
      <c r="K1563" s="1637"/>
    </row>
    <row r="1564" spans="1:11" x14ac:dyDescent="0.25">
      <c r="A1564" s="1527"/>
      <c r="B1564" s="1540"/>
      <c r="C1564" s="1537"/>
      <c r="D1564" s="212"/>
      <c r="E1564" s="1535" t="s">
        <v>7182</v>
      </c>
      <c r="F1564" s="1537"/>
      <c r="G1564" s="1572" t="s">
        <v>7182</v>
      </c>
      <c r="H1564" s="1524"/>
      <c r="J1564" s="1637"/>
      <c r="K1564" s="1637"/>
    </row>
    <row r="1565" spans="1:11" ht="15.75" thickBot="1" x14ac:dyDescent="0.3">
      <c r="A1565" s="1527"/>
      <c r="B1565" s="1540"/>
      <c r="C1565" s="1537"/>
      <c r="D1565" s="212"/>
      <c r="E1565" s="1535" t="s">
        <v>7182</v>
      </c>
      <c r="F1565" s="1537"/>
      <c r="G1565" s="1572" t="s">
        <v>7182</v>
      </c>
      <c r="H1565" s="1524"/>
      <c r="J1565" s="1637"/>
      <c r="K1565" s="1637"/>
    </row>
    <row r="1566" spans="1:11" ht="15.75" thickBot="1" x14ac:dyDescent="0.3">
      <c r="A1566" s="1527"/>
      <c r="B1566" s="1555"/>
      <c r="C1566" s="1556"/>
      <c r="D1566" s="956"/>
      <c r="E1566" s="1556" t="s">
        <v>7182</v>
      </c>
      <c r="F1566" s="1557"/>
      <c r="G1566" s="1558" t="s">
        <v>7182</v>
      </c>
      <c r="H1566" s="1546">
        <f>SUM(G1562:G1566)</f>
        <v>1000</v>
      </c>
      <c r="J1566" s="1637"/>
      <c r="K1566" s="1637"/>
    </row>
    <row r="1567" spans="1:11" ht="15.75" thickBot="1" x14ac:dyDescent="0.3">
      <c r="A1567" s="1527"/>
      <c r="B1567" s="1547"/>
      <c r="C1567" s="1547"/>
      <c r="D1567" s="954"/>
      <c r="E1567" s="1547"/>
      <c r="F1567" s="1553"/>
      <c r="G1567" s="1554"/>
      <c r="H1567" s="1550"/>
    </row>
    <row r="1568" spans="1:11" ht="15.75" thickBot="1" x14ac:dyDescent="0.3">
      <c r="A1568" s="1559"/>
      <c r="B1568" s="1369" t="s">
        <v>5412</v>
      </c>
      <c r="C1568" s="1363" t="s">
        <v>5420</v>
      </c>
      <c r="D1568" s="1120" t="s">
        <v>5421</v>
      </c>
      <c r="E1568" s="1363" t="s">
        <v>7187</v>
      </c>
      <c r="F1568" s="1363" t="s">
        <v>5405</v>
      </c>
      <c r="G1568" s="1370" t="s">
        <v>7179</v>
      </c>
      <c r="H1568" s="1371"/>
    </row>
    <row r="1569" spans="1:11" x14ac:dyDescent="0.25">
      <c r="A1569" s="1527"/>
      <c r="B1569" s="1560" t="s">
        <v>9422</v>
      </c>
      <c r="C1569" s="1569">
        <v>170000</v>
      </c>
      <c r="D1569" s="352">
        <f>0.6*C1569</f>
        <v>102000</v>
      </c>
      <c r="E1569" s="1569">
        <f>+D1569+C1569</f>
        <v>272000</v>
      </c>
      <c r="F1569" s="819">
        <v>0.05</v>
      </c>
      <c r="G1569" s="818">
        <f>+F1569*E1569</f>
        <v>13600</v>
      </c>
      <c r="H1569" s="1524"/>
    </row>
    <row r="1570" spans="1:11" x14ac:dyDescent="0.25">
      <c r="A1570" s="1527"/>
      <c r="B1570" s="1560"/>
      <c r="C1570" s="1569"/>
      <c r="D1570" s="1569"/>
      <c r="E1570" s="1569"/>
      <c r="F1570" s="819"/>
      <c r="G1570" s="818"/>
      <c r="H1570" s="1524"/>
    </row>
    <row r="1571" spans="1:11" x14ac:dyDescent="0.25">
      <c r="A1571" s="1527"/>
      <c r="B1571" s="1561"/>
      <c r="C1571" s="1569"/>
      <c r="D1571" s="1569"/>
      <c r="E1571" s="1569"/>
      <c r="F1571" s="817"/>
      <c r="G1571" s="818"/>
      <c r="H1571" s="1524"/>
    </row>
    <row r="1572" spans="1:11" x14ac:dyDescent="0.25">
      <c r="A1572" s="1527"/>
      <c r="B1572" s="1540"/>
      <c r="C1572" s="1569"/>
      <c r="D1572" s="1569"/>
      <c r="E1572" s="1569"/>
      <c r="F1572" s="817"/>
      <c r="G1572" s="818"/>
      <c r="H1572" s="1524"/>
    </row>
    <row r="1573" spans="1:11" x14ac:dyDescent="0.25">
      <c r="A1573" s="1527"/>
      <c r="B1573" s="1540"/>
      <c r="C1573" s="1538" t="s">
        <v>7182</v>
      </c>
      <c r="D1573" s="952" t="s">
        <v>7182</v>
      </c>
      <c r="E1573" s="1538" t="s">
        <v>7182</v>
      </c>
      <c r="F1573" s="817"/>
      <c r="G1573" s="818" t="str">
        <f>IF(B1573="","",E1573/F1573)</f>
        <v/>
      </c>
      <c r="H1573" s="1524"/>
    </row>
    <row r="1574" spans="1:11" ht="15.75" thickBot="1" x14ac:dyDescent="0.3">
      <c r="A1574" s="1527"/>
      <c r="B1574" s="1540"/>
      <c r="C1574" s="1538" t="s">
        <v>7182</v>
      </c>
      <c r="D1574" s="952" t="s">
        <v>7182</v>
      </c>
      <c r="E1574" s="1538" t="s">
        <v>7182</v>
      </c>
      <c r="F1574" s="1537"/>
      <c r="G1574" s="818" t="str">
        <f>IF(B1574="","",E1574/F1574)</f>
        <v/>
      </c>
      <c r="H1574" s="1524"/>
    </row>
    <row r="1575" spans="1:11" ht="15.75" thickBot="1" x14ac:dyDescent="0.3">
      <c r="A1575" s="1527"/>
      <c r="B1575" s="1555"/>
      <c r="C1575" s="1556"/>
      <c r="D1575" s="956"/>
      <c r="E1575" s="1556"/>
      <c r="F1575" s="1557"/>
      <c r="G1575" s="1558"/>
      <c r="H1575" s="1546">
        <f>SUM(G1569:G1575)</f>
        <v>13600</v>
      </c>
    </row>
    <row r="1576" spans="1:11" ht="15.75" thickBot="1" x14ac:dyDescent="0.3">
      <c r="A1576" s="1527"/>
      <c r="B1576" s="1527"/>
      <c r="C1576" s="1527"/>
      <c r="D1576" s="529"/>
      <c r="F1576" s="1528"/>
      <c r="G1576" s="1524"/>
      <c r="H1576" s="1524"/>
    </row>
    <row r="1577" spans="1:11" ht="15.75" thickBot="1" x14ac:dyDescent="0.3">
      <c r="A1577" s="1647" t="s">
        <v>6744</v>
      </c>
      <c r="B1577" s="1352"/>
      <c r="C1577" s="1352"/>
      <c r="D1577" s="1671"/>
      <c r="E1577" s="1672"/>
      <c r="F1577" s="1353"/>
      <c r="G1577" s="1527" t="s">
        <v>5415</v>
      </c>
      <c r="H1577" s="502">
        <f>ROUND(SUM(H1535:H1576),0)</f>
        <v>597688</v>
      </c>
      <c r="J1577" s="1673">
        <f>+B1531</f>
        <v>10.36</v>
      </c>
      <c r="K1577" s="1674">
        <f>+H1577</f>
        <v>597688</v>
      </c>
    </row>
    <row r="1578" spans="1:11" x14ac:dyDescent="0.25">
      <c r="A1578" s="1675"/>
      <c r="B1578" s="1676"/>
      <c r="C1578" s="1676"/>
      <c r="D1578" s="1677"/>
      <c r="E1578" s="1678"/>
      <c r="F1578" s="1679"/>
      <c r="G1578" s="1680"/>
      <c r="H1578" s="1680"/>
    </row>
    <row r="1579" spans="1:11" ht="18.75" x14ac:dyDescent="0.25">
      <c r="A1579" s="1523"/>
      <c r="B1579" s="1655"/>
      <c r="C1579" s="1655"/>
      <c r="D1579" s="950"/>
      <c r="E1579" s="1655"/>
      <c r="F1579" s="1655"/>
      <c r="G1579" s="1655"/>
      <c r="H1579" s="8"/>
    </row>
    <row r="1580" spans="1:11" x14ac:dyDescent="0.25">
      <c r="A1580" s="1523"/>
      <c r="B1580" s="8"/>
      <c r="C1580" s="8"/>
      <c r="D1580" s="529"/>
      <c r="E1580" s="8"/>
      <c r="F1580" s="1523"/>
      <c r="G1580" s="1524"/>
      <c r="H1580" s="8"/>
    </row>
    <row r="1581" spans="1:11" ht="49.5" customHeight="1" x14ac:dyDescent="0.25">
      <c r="A1581" s="1665" t="s">
        <v>3</v>
      </c>
      <c r="B1581" s="1666">
        <f>+VLOOKUP(C1581,ListaAPUs!$B:$E,4,FALSE)</f>
        <v>10.37</v>
      </c>
      <c r="C1581" s="2441" t="str">
        <f>+ListaAPUs!B237</f>
        <v>Acometida parcial motor No 5 a Tablero Modulo No 7. CCM en 2*(3*500) Kcmil + 2T AWG THHN</v>
      </c>
      <c r="D1581" s="2441"/>
      <c r="E1581" s="2441"/>
      <c r="F1581" s="1665" t="s">
        <v>867</v>
      </c>
      <c r="G1581" s="1390" t="str">
        <f>+VLOOKUP(C1581,ListaAPUs!$B:$E,2,FALSE)</f>
        <v>m</v>
      </c>
      <c r="H1581" s="1524"/>
    </row>
    <row r="1582" spans="1:11" x14ac:dyDescent="0.25">
      <c r="A1582" s="1528"/>
      <c r="B1582" s="1527"/>
      <c r="C1582" s="1527"/>
      <c r="D1582" s="529"/>
      <c r="E1582" s="1527"/>
      <c r="F1582" s="1528"/>
      <c r="G1582" s="1524"/>
      <c r="H1582" s="1524"/>
    </row>
    <row r="1583" spans="1:11" x14ac:dyDescent="0.25">
      <c r="A1583" s="1528"/>
      <c r="B1583" s="1527"/>
      <c r="C1583" s="1527"/>
      <c r="D1583" s="529"/>
      <c r="E1583" s="1527"/>
      <c r="F1583" s="1528"/>
      <c r="G1583" s="1529"/>
      <c r="H1583" s="1524"/>
      <c r="J1583" s="1637"/>
      <c r="K1583" s="1637"/>
    </row>
    <row r="1584" spans="1:11" ht="15.75" thickBot="1" x14ac:dyDescent="0.3">
      <c r="A1584" s="1528"/>
      <c r="B1584" s="1527"/>
      <c r="C1584" s="1527"/>
      <c r="D1584" s="529"/>
      <c r="E1584" s="1527"/>
      <c r="F1584" s="1528"/>
      <c r="G1584" s="1524"/>
      <c r="H1584" s="1524"/>
      <c r="J1584" s="1637"/>
      <c r="K1584" s="1637"/>
    </row>
    <row r="1585" spans="1:11" ht="15.75" thickBot="1" x14ac:dyDescent="0.3">
      <c r="A1585" s="1368"/>
      <c r="B1585" s="1369" t="s">
        <v>5403</v>
      </c>
      <c r="C1585" s="1363" t="s">
        <v>867</v>
      </c>
      <c r="D1585" s="1120" t="s">
        <v>6</v>
      </c>
      <c r="E1585" s="1363" t="s">
        <v>9417</v>
      </c>
      <c r="F1585" s="1363" t="s">
        <v>5405</v>
      </c>
      <c r="G1585" s="1370" t="s">
        <v>7179</v>
      </c>
      <c r="H1585" s="1371"/>
      <c r="J1585" s="1637"/>
      <c r="K1585" s="1637"/>
    </row>
    <row r="1586" spans="1:11" x14ac:dyDescent="0.25">
      <c r="A1586" s="1528"/>
      <c r="B1586" s="1746" t="s">
        <v>9473</v>
      </c>
      <c r="C1586" s="1802" t="s">
        <v>5432</v>
      </c>
      <c r="D1586" s="1794">
        <v>6</v>
      </c>
      <c r="E1586" s="1803">
        <v>79100</v>
      </c>
      <c r="F1586" s="1804">
        <v>1.05</v>
      </c>
      <c r="G1586" s="1805">
        <f>+F1586*E1586*D1586</f>
        <v>498330</v>
      </c>
      <c r="H1586" s="1524"/>
      <c r="J1586" s="1637"/>
      <c r="K1586" s="1637"/>
    </row>
    <row r="1587" spans="1:11" x14ac:dyDescent="0.25">
      <c r="A1587" s="1528"/>
      <c r="B1587" s="1822" t="s">
        <v>9496</v>
      </c>
      <c r="C1587" s="1749" t="s">
        <v>5432</v>
      </c>
      <c r="D1587" s="1773">
        <v>1</v>
      </c>
      <c r="E1587" s="1825">
        <v>9500</v>
      </c>
      <c r="F1587" s="1769">
        <v>1.05</v>
      </c>
      <c r="G1587" s="1786">
        <f>+F1587*E1587</f>
        <v>9975</v>
      </c>
      <c r="H1587" s="1524"/>
      <c r="J1587" s="1637"/>
      <c r="K1587" s="1637"/>
    </row>
    <row r="1588" spans="1:11" x14ac:dyDescent="0.25">
      <c r="A1588" s="1528"/>
      <c r="B1588" s="1751" t="s">
        <v>9476</v>
      </c>
      <c r="C1588" s="1749" t="s">
        <v>5</v>
      </c>
      <c r="D1588" s="1773">
        <f>12/6</f>
        <v>2</v>
      </c>
      <c r="E1588" s="1825">
        <v>8000</v>
      </c>
      <c r="F1588" s="1769">
        <v>1</v>
      </c>
      <c r="G1588" s="1786">
        <f>+F1588*E1588*D1588</f>
        <v>16000</v>
      </c>
      <c r="H1588" s="1524"/>
      <c r="J1588" s="1637"/>
      <c r="K1588" s="1637"/>
    </row>
    <row r="1589" spans="1:11" x14ac:dyDescent="0.25">
      <c r="A1589" s="1528"/>
      <c r="B1589" s="1822" t="s">
        <v>9477</v>
      </c>
      <c r="C1589" s="1749" t="s">
        <v>5</v>
      </c>
      <c r="D1589" s="1769">
        <f>2/6</f>
        <v>0.33333333333333331</v>
      </c>
      <c r="E1589" s="1825">
        <v>4000</v>
      </c>
      <c r="F1589" s="1769">
        <v>1</v>
      </c>
      <c r="G1589" s="1786">
        <f>+F1589*E1589*D1589</f>
        <v>1333.3333333333333</v>
      </c>
      <c r="H1589" s="1524"/>
      <c r="J1589" s="1637"/>
      <c r="K1589" s="1637"/>
    </row>
    <row r="1590" spans="1:11" ht="25.5" x14ac:dyDescent="0.25">
      <c r="A1590" s="1528"/>
      <c r="B1590" s="1822" t="s">
        <v>9480</v>
      </c>
      <c r="C1590" s="1749" t="s">
        <v>9023</v>
      </c>
      <c r="D1590" s="1773">
        <v>1</v>
      </c>
      <c r="E1590" s="1782">
        <v>5000</v>
      </c>
      <c r="F1590" s="1769">
        <v>1</v>
      </c>
      <c r="G1590" s="1786">
        <f>+F1590*E1590</f>
        <v>5000</v>
      </c>
      <c r="H1590" s="1524"/>
      <c r="J1590" s="1637"/>
      <c r="K1590" s="1637"/>
    </row>
    <row r="1591" spans="1:11" x14ac:dyDescent="0.25">
      <c r="A1591" s="1528"/>
      <c r="B1591" s="1822" t="s">
        <v>9481</v>
      </c>
      <c r="C1591" s="1749" t="s">
        <v>9023</v>
      </c>
      <c r="D1591" s="1773">
        <v>1</v>
      </c>
      <c r="E1591" s="1782">
        <f>2500*20</f>
        <v>50000</v>
      </c>
      <c r="F1591" s="1769">
        <v>1</v>
      </c>
      <c r="G1591" s="1786">
        <f>+F1591*E1591</f>
        <v>50000</v>
      </c>
      <c r="H1591" s="1524"/>
      <c r="J1591" s="1637"/>
      <c r="K1591" s="1637"/>
    </row>
    <row r="1592" spans="1:11" x14ac:dyDescent="0.25">
      <c r="A1592" s="1528"/>
      <c r="B1592" s="1822" t="s">
        <v>9482</v>
      </c>
      <c r="C1592" s="1749" t="s">
        <v>5</v>
      </c>
      <c r="D1592" s="1773">
        <f>(9+2)*2/20</f>
        <v>1.1000000000000001</v>
      </c>
      <c r="E1592" s="1782">
        <v>1500</v>
      </c>
      <c r="F1592" s="1769">
        <v>1</v>
      </c>
      <c r="G1592" s="1786">
        <f>+F1592*E1592*D1592</f>
        <v>1650.0000000000002</v>
      </c>
      <c r="H1592" s="1524"/>
      <c r="J1592" s="1637"/>
      <c r="K1592" s="1637"/>
    </row>
    <row r="1593" spans="1:11" x14ac:dyDescent="0.25">
      <c r="A1593" s="1528"/>
      <c r="B1593" s="1667"/>
      <c r="C1593" s="1537"/>
      <c r="D1593" s="212"/>
      <c r="E1593" s="816"/>
      <c r="F1593" s="1563"/>
      <c r="G1593" s="814"/>
      <c r="H1593" s="1524"/>
      <c r="J1593" s="1637"/>
      <c r="K1593" s="1637"/>
    </row>
    <row r="1594" spans="1:11" x14ac:dyDescent="0.25">
      <c r="A1594" s="1528"/>
      <c r="B1594" s="1667"/>
      <c r="C1594" s="1537"/>
      <c r="D1594" s="212"/>
      <c r="E1594" s="816"/>
      <c r="F1594" s="1563"/>
      <c r="G1594" s="814"/>
      <c r="H1594" s="1524"/>
      <c r="J1594" s="1637"/>
      <c r="K1594" s="1637"/>
    </row>
    <row r="1595" spans="1:11" x14ac:dyDescent="0.25">
      <c r="A1595" s="1528"/>
      <c r="B1595" s="1667"/>
      <c r="C1595" s="1537"/>
      <c r="D1595" s="212"/>
      <c r="E1595" s="816"/>
      <c r="F1595" s="1563"/>
      <c r="G1595" s="814"/>
      <c r="H1595" s="1524"/>
      <c r="J1595" s="1637"/>
      <c r="K1595" s="1637"/>
    </row>
    <row r="1596" spans="1:11" x14ac:dyDescent="0.25">
      <c r="A1596" s="1528"/>
      <c r="B1596" s="1667"/>
      <c r="C1596" s="1537"/>
      <c r="D1596" s="212"/>
      <c r="E1596" s="816"/>
      <c r="F1596" s="1563"/>
      <c r="G1596" s="814"/>
      <c r="H1596" s="1524"/>
      <c r="J1596" s="1637"/>
      <c r="K1596" s="1637"/>
    </row>
    <row r="1597" spans="1:11" x14ac:dyDescent="0.25">
      <c r="A1597" s="1528"/>
      <c r="B1597" s="269"/>
      <c r="C1597" s="1537"/>
      <c r="D1597" s="212"/>
      <c r="E1597" s="816"/>
      <c r="F1597" s="1563"/>
      <c r="G1597" s="814"/>
      <c r="H1597" s="1524"/>
      <c r="J1597" s="1637"/>
      <c r="K1597" s="1637"/>
    </row>
    <row r="1598" spans="1:11" x14ac:dyDescent="0.25">
      <c r="A1598" s="1528"/>
      <c r="B1598" s="268"/>
      <c r="C1598" s="1534"/>
      <c r="D1598" s="211"/>
      <c r="E1598" s="1535" t="s">
        <v>7182</v>
      </c>
      <c r="F1598" s="1551"/>
      <c r="G1598" s="1541" t="s">
        <v>7182</v>
      </c>
      <c r="H1598" s="1524"/>
      <c r="J1598" s="1637"/>
      <c r="K1598" s="1637"/>
    </row>
    <row r="1599" spans="1:11" x14ac:dyDescent="0.25">
      <c r="A1599" s="1528"/>
      <c r="B1599" s="1346"/>
      <c r="C1599" s="1534"/>
      <c r="D1599" s="211"/>
      <c r="E1599" s="1535" t="s">
        <v>7182</v>
      </c>
      <c r="F1599" s="1551"/>
      <c r="G1599" s="1541" t="s">
        <v>7182</v>
      </c>
      <c r="H1599" s="1524"/>
      <c r="J1599" s="1637"/>
      <c r="K1599" s="1637"/>
    </row>
    <row r="1600" spans="1:11" ht="15.75" thickBot="1" x14ac:dyDescent="0.3">
      <c r="A1600" s="1528"/>
      <c r="B1600" s="1540"/>
      <c r="C1600" s="1537"/>
      <c r="D1600" s="952"/>
      <c r="E1600" s="1538" t="s">
        <v>7182</v>
      </c>
      <c r="F1600" s="1537"/>
      <c r="G1600" s="1541" t="s">
        <v>7182</v>
      </c>
      <c r="H1600" s="1524"/>
      <c r="J1600" s="1637"/>
      <c r="K1600" s="1637"/>
    </row>
    <row r="1601" spans="1:11" ht="15.75" thickBot="1" x14ac:dyDescent="0.3">
      <c r="A1601" s="1528"/>
      <c r="B1601" s="1555"/>
      <c r="C1601" s="1557"/>
      <c r="D1601" s="956"/>
      <c r="E1601" s="1556" t="s">
        <v>7182</v>
      </c>
      <c r="F1601" s="1557"/>
      <c r="G1601" s="1558" t="s">
        <v>7182</v>
      </c>
      <c r="H1601" s="1546">
        <f>SUM(G1586:G1601)</f>
        <v>582288.33333333337</v>
      </c>
      <c r="J1601" s="1637"/>
      <c r="K1601" s="1637"/>
    </row>
    <row r="1602" spans="1:11" x14ac:dyDescent="0.25">
      <c r="A1602" s="1528"/>
      <c r="B1602" s="1372"/>
      <c r="C1602" s="1374"/>
      <c r="D1602" s="1373"/>
      <c r="E1602" s="1372" t="s">
        <v>7182</v>
      </c>
      <c r="F1602" s="1374"/>
      <c r="G1602" s="1375" t="s">
        <v>7182</v>
      </c>
      <c r="H1602" s="1550"/>
      <c r="J1602" s="1637"/>
      <c r="K1602" s="1637"/>
    </row>
    <row r="1603" spans="1:11" ht="15.75" thickBot="1" x14ac:dyDescent="0.3">
      <c r="A1603" s="1527"/>
      <c r="B1603" s="188"/>
      <c r="C1603" s="189"/>
      <c r="D1603" s="1668"/>
      <c r="E1603" s="188"/>
      <c r="F1603" s="189"/>
      <c r="G1603" s="1669"/>
      <c r="H1603" s="1550"/>
      <c r="J1603" s="1637"/>
      <c r="K1603" s="1637"/>
    </row>
    <row r="1604" spans="1:11" ht="15.75" thickBot="1" x14ac:dyDescent="0.3">
      <c r="A1604" s="1527"/>
      <c r="B1604" s="1366" t="s">
        <v>9418</v>
      </c>
      <c r="C1604" s="1363" t="s">
        <v>867</v>
      </c>
      <c r="D1604" s="1120" t="s">
        <v>6</v>
      </c>
      <c r="E1604" s="1363" t="s">
        <v>7183</v>
      </c>
      <c r="F1604" s="1363" t="s">
        <v>5405</v>
      </c>
      <c r="G1604" s="1365" t="s">
        <v>7179</v>
      </c>
      <c r="H1604" s="1524"/>
      <c r="J1604" s="1637"/>
      <c r="K1604" s="1637"/>
    </row>
    <row r="1605" spans="1:11" x14ac:dyDescent="0.25">
      <c r="A1605" s="1527"/>
      <c r="B1605" s="1564" t="s">
        <v>5455</v>
      </c>
      <c r="C1605" s="1534" t="s">
        <v>5</v>
      </c>
      <c r="D1605" s="211">
        <v>1</v>
      </c>
      <c r="E1605" s="1535">
        <f>40000/50</f>
        <v>800</v>
      </c>
      <c r="F1605" s="297">
        <v>1</v>
      </c>
      <c r="G1605" s="1572">
        <f>+F1605*E1605</f>
        <v>800</v>
      </c>
      <c r="H1605" s="1524"/>
      <c r="J1605" s="1637"/>
      <c r="K1605" s="1637"/>
    </row>
    <row r="1606" spans="1:11" x14ac:dyDescent="0.25">
      <c r="A1606" s="1527"/>
      <c r="B1606" s="1540"/>
      <c r="C1606" s="1537"/>
      <c r="D1606" s="212"/>
      <c r="E1606" s="1535" t="s">
        <v>7182</v>
      </c>
      <c r="F1606" s="1537"/>
      <c r="G1606" s="1572" t="s">
        <v>7182</v>
      </c>
      <c r="H1606" s="1524"/>
      <c r="J1606" s="1637"/>
      <c r="K1606" s="1637"/>
    </row>
    <row r="1607" spans="1:11" x14ac:dyDescent="0.25">
      <c r="A1607" s="1527"/>
      <c r="B1607" s="1540"/>
      <c r="C1607" s="1537"/>
      <c r="D1607" s="212"/>
      <c r="E1607" s="1535" t="s">
        <v>7182</v>
      </c>
      <c r="F1607" s="1537"/>
      <c r="G1607" s="1572" t="s">
        <v>7182</v>
      </c>
      <c r="H1607" s="1524"/>
      <c r="J1607" s="1637"/>
      <c r="K1607" s="1637"/>
    </row>
    <row r="1608" spans="1:11" ht="15.75" thickBot="1" x14ac:dyDescent="0.3">
      <c r="A1608" s="1527"/>
      <c r="B1608" s="1540"/>
      <c r="C1608" s="1537"/>
      <c r="D1608" s="212"/>
      <c r="E1608" s="1535" t="s">
        <v>7182</v>
      </c>
      <c r="F1608" s="1537"/>
      <c r="G1608" s="1572" t="s">
        <v>7182</v>
      </c>
      <c r="H1608" s="1524"/>
      <c r="J1608" s="1637"/>
      <c r="K1608" s="1637"/>
    </row>
    <row r="1609" spans="1:11" ht="15.75" thickBot="1" x14ac:dyDescent="0.3">
      <c r="A1609" s="1527"/>
      <c r="B1609" s="1555"/>
      <c r="C1609" s="1556"/>
      <c r="D1609" s="956"/>
      <c r="E1609" s="1556" t="s">
        <v>7182</v>
      </c>
      <c r="F1609" s="1557"/>
      <c r="G1609" s="1558" t="s">
        <v>7182</v>
      </c>
      <c r="H1609" s="1546">
        <f>SUM(G1605:G1609)</f>
        <v>800</v>
      </c>
      <c r="J1609" s="1637"/>
      <c r="K1609" s="1637"/>
    </row>
    <row r="1610" spans="1:11" ht="15.75" thickBot="1" x14ac:dyDescent="0.3">
      <c r="A1610" s="1527"/>
      <c r="B1610" s="1376"/>
      <c r="C1610" s="1353"/>
      <c r="D1610" s="1355"/>
      <c r="E1610" s="1352"/>
      <c r="F1610" s="1377"/>
      <c r="G1610" s="1378"/>
      <c r="H1610" s="1524"/>
      <c r="J1610" s="1637"/>
      <c r="K1610" s="1637"/>
    </row>
    <row r="1611" spans="1:11" ht="15.75" thickBot="1" x14ac:dyDescent="0.3">
      <c r="A1611" s="1527"/>
      <c r="B1611" s="1366" t="s">
        <v>5410</v>
      </c>
      <c r="C1611" s="1363" t="s">
        <v>867</v>
      </c>
      <c r="D1611" s="1120" t="s">
        <v>6</v>
      </c>
      <c r="E1611" s="1363" t="s">
        <v>7183</v>
      </c>
      <c r="F1611" s="1363" t="s">
        <v>5405</v>
      </c>
      <c r="G1611" s="1365" t="s">
        <v>7179</v>
      </c>
      <c r="H1611" s="1524"/>
      <c r="J1611" s="1637"/>
      <c r="K1611" s="1637"/>
    </row>
    <row r="1612" spans="1:11" ht="25.5" x14ac:dyDescent="0.25">
      <c r="A1612" s="1527"/>
      <c r="B1612" s="1564" t="s">
        <v>9421</v>
      </c>
      <c r="C1612" s="1534" t="s">
        <v>9023</v>
      </c>
      <c r="D1612" s="211">
        <v>1</v>
      </c>
      <c r="E1612" s="1535">
        <f>50000/50</f>
        <v>1000</v>
      </c>
      <c r="F1612" s="297">
        <v>1</v>
      </c>
      <c r="G1612" s="1572">
        <f>+F1612*E1612</f>
        <v>1000</v>
      </c>
      <c r="H1612" s="1524"/>
      <c r="J1612" s="1637"/>
      <c r="K1612" s="1637"/>
    </row>
    <row r="1613" spans="1:11" x14ac:dyDescent="0.25">
      <c r="A1613" s="1527"/>
      <c r="B1613" s="1540"/>
      <c r="C1613" s="1537"/>
      <c r="D1613" s="212"/>
      <c r="E1613" s="1535" t="s">
        <v>7182</v>
      </c>
      <c r="F1613" s="1537"/>
      <c r="G1613" s="1572" t="s">
        <v>7182</v>
      </c>
      <c r="H1613" s="1524"/>
      <c r="J1613" s="1637"/>
      <c r="K1613" s="1637"/>
    </row>
    <row r="1614" spans="1:11" x14ac:dyDescent="0.25">
      <c r="A1614" s="1527"/>
      <c r="B1614" s="1540"/>
      <c r="C1614" s="1537"/>
      <c r="D1614" s="212"/>
      <c r="E1614" s="1535" t="s">
        <v>7182</v>
      </c>
      <c r="F1614" s="1537"/>
      <c r="G1614" s="1572" t="s">
        <v>7182</v>
      </c>
      <c r="H1614" s="1524"/>
      <c r="J1614" s="1637"/>
      <c r="K1614" s="1637"/>
    </row>
    <row r="1615" spans="1:11" ht="15.75" thickBot="1" x14ac:dyDescent="0.3">
      <c r="A1615" s="1527"/>
      <c r="B1615" s="1540"/>
      <c r="C1615" s="1537"/>
      <c r="D1615" s="212"/>
      <c r="E1615" s="1535" t="s">
        <v>7182</v>
      </c>
      <c r="F1615" s="1537"/>
      <c r="G1615" s="1572" t="s">
        <v>7182</v>
      </c>
      <c r="H1615" s="1524"/>
    </row>
    <row r="1616" spans="1:11" ht="15.75" thickBot="1" x14ac:dyDescent="0.3">
      <c r="A1616" s="1527"/>
      <c r="B1616" s="1555"/>
      <c r="C1616" s="1556"/>
      <c r="D1616" s="956"/>
      <c r="E1616" s="1556" t="s">
        <v>7182</v>
      </c>
      <c r="F1616" s="1557"/>
      <c r="G1616" s="1558" t="s">
        <v>7182</v>
      </c>
      <c r="H1616" s="1546">
        <f>SUM(G1612:G1616)</f>
        <v>1000</v>
      </c>
    </row>
    <row r="1617" spans="1:11" ht="15.75" thickBot="1" x14ac:dyDescent="0.3">
      <c r="A1617" s="1527"/>
      <c r="B1617" s="1547"/>
      <c r="C1617" s="1547"/>
      <c r="D1617" s="954"/>
      <c r="E1617" s="1547"/>
      <c r="F1617" s="1553"/>
      <c r="G1617" s="1554"/>
      <c r="H1617" s="1550"/>
    </row>
    <row r="1618" spans="1:11" ht="15.75" thickBot="1" x14ac:dyDescent="0.3">
      <c r="A1618" s="1559"/>
      <c r="B1618" s="1369" t="s">
        <v>5412</v>
      </c>
      <c r="C1618" s="1363" t="s">
        <v>5420</v>
      </c>
      <c r="D1618" s="1120" t="s">
        <v>5421</v>
      </c>
      <c r="E1618" s="1363" t="s">
        <v>7187</v>
      </c>
      <c r="F1618" s="1363" t="s">
        <v>5405</v>
      </c>
      <c r="G1618" s="1370" t="s">
        <v>7179</v>
      </c>
      <c r="H1618" s="1371"/>
    </row>
    <row r="1619" spans="1:11" x14ac:dyDescent="0.25">
      <c r="A1619" s="1527"/>
      <c r="B1619" s="1560" t="s">
        <v>9422</v>
      </c>
      <c r="C1619" s="1569">
        <v>170000</v>
      </c>
      <c r="D1619" s="352">
        <f>0.6*C1619</f>
        <v>102000</v>
      </c>
      <c r="E1619" s="1569">
        <f>+D1619+C1619</f>
        <v>272000</v>
      </c>
      <c r="F1619" s="819">
        <v>0.05</v>
      </c>
      <c r="G1619" s="818">
        <f>+F1619*E1619</f>
        <v>13600</v>
      </c>
      <c r="H1619" s="1524"/>
    </row>
    <row r="1620" spans="1:11" x14ac:dyDescent="0.25">
      <c r="A1620" s="1527"/>
      <c r="B1620" s="1560"/>
      <c r="C1620" s="1569"/>
      <c r="D1620" s="1569"/>
      <c r="E1620" s="1569"/>
      <c r="F1620" s="819"/>
      <c r="G1620" s="818"/>
      <c r="H1620" s="1524"/>
    </row>
    <row r="1621" spans="1:11" x14ac:dyDescent="0.25">
      <c r="A1621" s="1527"/>
      <c r="B1621" s="1561"/>
      <c r="C1621" s="1569"/>
      <c r="D1621" s="1569"/>
      <c r="E1621" s="1569"/>
      <c r="F1621" s="817"/>
      <c r="G1621" s="818"/>
      <c r="H1621" s="1524"/>
    </row>
    <row r="1622" spans="1:11" x14ac:dyDescent="0.25">
      <c r="A1622" s="1527"/>
      <c r="B1622" s="1540"/>
      <c r="C1622" s="1569"/>
      <c r="D1622" s="1569"/>
      <c r="E1622" s="1569"/>
      <c r="F1622" s="817"/>
      <c r="G1622" s="818"/>
      <c r="H1622" s="1524"/>
    </row>
    <row r="1623" spans="1:11" x14ac:dyDescent="0.25">
      <c r="A1623" s="1527"/>
      <c r="B1623" s="1540"/>
      <c r="C1623" s="1538" t="s">
        <v>7182</v>
      </c>
      <c r="D1623" s="952" t="s">
        <v>7182</v>
      </c>
      <c r="E1623" s="1538" t="s">
        <v>7182</v>
      </c>
      <c r="F1623" s="817"/>
      <c r="G1623" s="818" t="str">
        <f>IF(B1623="","",E1623/F1623)</f>
        <v/>
      </c>
      <c r="H1623" s="1524"/>
    </row>
    <row r="1624" spans="1:11" ht="15.75" thickBot="1" x14ac:dyDescent="0.3">
      <c r="A1624" s="1527"/>
      <c r="B1624" s="1540"/>
      <c r="C1624" s="1538" t="s">
        <v>7182</v>
      </c>
      <c r="D1624" s="952" t="s">
        <v>7182</v>
      </c>
      <c r="E1624" s="1538" t="s">
        <v>7182</v>
      </c>
      <c r="F1624" s="1537"/>
      <c r="G1624" s="818" t="str">
        <f>IF(B1624="","",E1624/F1624)</f>
        <v/>
      </c>
      <c r="H1624" s="1524"/>
    </row>
    <row r="1625" spans="1:11" ht="15.75" thickBot="1" x14ac:dyDescent="0.3">
      <c r="A1625" s="1527"/>
      <c r="B1625" s="1555"/>
      <c r="C1625" s="1556"/>
      <c r="D1625" s="956"/>
      <c r="E1625" s="1556"/>
      <c r="F1625" s="1557"/>
      <c r="G1625" s="1558"/>
      <c r="H1625" s="1546">
        <f>SUM(G1619:G1625)</f>
        <v>13600</v>
      </c>
    </row>
    <row r="1626" spans="1:11" ht="15.75" thickBot="1" x14ac:dyDescent="0.3">
      <c r="A1626" s="1527"/>
      <c r="B1626" s="1527"/>
      <c r="C1626" s="1527"/>
      <c r="D1626" s="529"/>
      <c r="F1626" s="1528"/>
      <c r="G1626" s="1524"/>
      <c r="H1626" s="1524"/>
    </row>
    <row r="1627" spans="1:11" ht="15.75" thickBot="1" x14ac:dyDescent="0.3">
      <c r="A1627" s="1647" t="s">
        <v>6744</v>
      </c>
      <c r="B1627" s="1352"/>
      <c r="C1627" s="1352"/>
      <c r="D1627" s="1671"/>
      <c r="E1627" s="1672"/>
      <c r="F1627" s="1353"/>
      <c r="G1627" s="1527" t="s">
        <v>5415</v>
      </c>
      <c r="H1627" s="502">
        <f>ROUND(SUM(H1585:H1626),0)</f>
        <v>597688</v>
      </c>
      <c r="J1627" s="1673">
        <f>+B1581</f>
        <v>10.37</v>
      </c>
      <c r="K1627" s="1674">
        <f>+H1627</f>
        <v>597688</v>
      </c>
    </row>
    <row r="1628" spans="1:11" x14ac:dyDescent="0.25">
      <c r="A1628" s="1675"/>
      <c r="B1628" s="1676"/>
      <c r="C1628" s="1676"/>
      <c r="D1628" s="1677"/>
      <c r="E1628" s="1678"/>
      <c r="F1628" s="1679"/>
      <c r="G1628" s="1680"/>
      <c r="H1628" s="1680"/>
    </row>
    <row r="1629" spans="1:11" ht="18.75" x14ac:dyDescent="0.25">
      <c r="A1629" s="1523"/>
      <c r="B1629" s="1655"/>
      <c r="C1629" s="1655"/>
      <c r="D1629" s="950"/>
      <c r="E1629" s="1655"/>
      <c r="F1629" s="1655"/>
      <c r="G1629" s="1655"/>
      <c r="H1629" s="8"/>
    </row>
    <row r="1630" spans="1:11" x14ac:dyDescent="0.25">
      <c r="A1630" s="1523"/>
      <c r="B1630" s="8"/>
      <c r="C1630" s="8"/>
      <c r="D1630" s="529"/>
      <c r="E1630" s="8"/>
      <c r="F1630" s="1523"/>
      <c r="G1630" s="1524"/>
      <c r="H1630" s="8"/>
    </row>
    <row r="1631" spans="1:11" ht="49.5" customHeight="1" x14ac:dyDescent="0.25">
      <c r="A1631" s="1665" t="s">
        <v>3</v>
      </c>
      <c r="B1631" s="1666">
        <f>+VLOOKUP(C1631,ListaAPUs!$B:$E,4,FALSE)</f>
        <v>10.38</v>
      </c>
      <c r="C1631" s="2441" t="str">
        <f>+ListaAPUs!B238</f>
        <v>Acometida parcial Tablero Bomba sentina a Tablero servicios auxiliares Modulo No 8. en  cable 3X6+1X8+1X8T AWG THHN</v>
      </c>
      <c r="D1631" s="2441"/>
      <c r="E1631" s="2441"/>
      <c r="F1631" s="1665" t="s">
        <v>867</v>
      </c>
      <c r="G1631" s="1390" t="str">
        <f>+VLOOKUP(C1631,ListaAPUs!$B:$E,2,FALSE)</f>
        <v>m</v>
      </c>
      <c r="H1631" s="1524"/>
    </row>
    <row r="1632" spans="1:11" x14ac:dyDescent="0.25">
      <c r="A1632" s="1528"/>
      <c r="B1632" s="1527"/>
      <c r="C1632" s="1527"/>
      <c r="D1632" s="529"/>
      <c r="E1632" s="1527"/>
      <c r="F1632" s="1528"/>
      <c r="G1632" s="1524"/>
      <c r="H1632" s="1524"/>
      <c r="J1632" s="1637"/>
      <c r="K1632" s="1637"/>
    </row>
    <row r="1633" spans="1:11" x14ac:dyDescent="0.25">
      <c r="A1633" s="1528"/>
      <c r="B1633" s="1527"/>
      <c r="C1633" s="1527"/>
      <c r="D1633" s="529"/>
      <c r="E1633" s="1527"/>
      <c r="F1633" s="1528"/>
      <c r="G1633" s="1529"/>
      <c r="H1633" s="1524"/>
      <c r="J1633" s="1637"/>
      <c r="K1633" s="1637"/>
    </row>
    <row r="1634" spans="1:11" ht="15.75" thickBot="1" x14ac:dyDescent="0.3">
      <c r="A1634" s="1528"/>
      <c r="B1634" s="1527"/>
      <c r="C1634" s="1527"/>
      <c r="D1634" s="529"/>
      <c r="E1634" s="1527"/>
      <c r="F1634" s="1528"/>
      <c r="G1634" s="1524"/>
      <c r="H1634" s="1524"/>
      <c r="J1634" s="1637"/>
      <c r="K1634" s="1637"/>
    </row>
    <row r="1635" spans="1:11" ht="15.75" thickBot="1" x14ac:dyDescent="0.3">
      <c r="A1635" s="1368"/>
      <c r="B1635" s="1369" t="s">
        <v>5403</v>
      </c>
      <c r="C1635" s="1363" t="s">
        <v>867</v>
      </c>
      <c r="D1635" s="1120" t="s">
        <v>6</v>
      </c>
      <c r="E1635" s="1363" t="s">
        <v>9417</v>
      </c>
      <c r="F1635" s="1363" t="s">
        <v>5405</v>
      </c>
      <c r="G1635" s="1370" t="s">
        <v>7179</v>
      </c>
      <c r="H1635" s="1371"/>
      <c r="J1635" s="1637"/>
      <c r="K1635" s="1637"/>
    </row>
    <row r="1636" spans="1:11" x14ac:dyDescent="0.25">
      <c r="A1636" s="1528"/>
      <c r="B1636" s="1746" t="s">
        <v>9483</v>
      </c>
      <c r="C1636" s="1802" t="s">
        <v>5432</v>
      </c>
      <c r="D1636" s="1794">
        <v>3</v>
      </c>
      <c r="E1636" s="1803">
        <v>3850</v>
      </c>
      <c r="F1636" s="1804">
        <v>1.05</v>
      </c>
      <c r="G1636" s="1805">
        <f>+F1636*E1636*D1636</f>
        <v>12127.5</v>
      </c>
      <c r="H1636" s="1524"/>
      <c r="J1636" s="1637"/>
      <c r="K1636" s="1637"/>
    </row>
    <row r="1637" spans="1:11" x14ac:dyDescent="0.25">
      <c r="A1637" s="1528"/>
      <c r="B1637" s="1751" t="s">
        <v>9484</v>
      </c>
      <c r="C1637" s="1749" t="s">
        <v>5432</v>
      </c>
      <c r="D1637" s="1773">
        <v>2</v>
      </c>
      <c r="E1637" s="1825">
        <v>2450</v>
      </c>
      <c r="F1637" s="1769">
        <v>1.05</v>
      </c>
      <c r="G1637" s="1786">
        <f>+F1637*E1637*D1637</f>
        <v>5145</v>
      </c>
      <c r="H1637" s="1524"/>
      <c r="J1637" s="1637"/>
      <c r="K1637" s="1637"/>
    </row>
    <row r="1638" spans="1:11" x14ac:dyDescent="0.25">
      <c r="A1638" s="1528"/>
      <c r="B1638" s="1822" t="s">
        <v>9485</v>
      </c>
      <c r="C1638" s="1749" t="s">
        <v>5</v>
      </c>
      <c r="D1638" s="1769">
        <v>0.44</v>
      </c>
      <c r="E1638" s="1825">
        <v>2000</v>
      </c>
      <c r="F1638" s="1769">
        <v>1</v>
      </c>
      <c r="G1638" s="1786">
        <f>+F1638*E1638*D1638</f>
        <v>880</v>
      </c>
      <c r="H1638" s="1524"/>
      <c r="J1638" s="1637"/>
      <c r="K1638" s="1637"/>
    </row>
    <row r="1639" spans="1:11" x14ac:dyDescent="0.25">
      <c r="A1639" s="1528"/>
      <c r="B1639" s="1751" t="s">
        <v>9486</v>
      </c>
      <c r="C1639" s="1749" t="s">
        <v>5</v>
      </c>
      <c r="D1639" s="1769">
        <v>0.6</v>
      </c>
      <c r="E1639" s="1782">
        <v>6000</v>
      </c>
      <c r="F1639" s="1769">
        <v>1</v>
      </c>
      <c r="G1639" s="1786">
        <f>+F1639*E1639*D1639</f>
        <v>3600</v>
      </c>
      <c r="H1639" s="1524"/>
      <c r="J1639" s="1637"/>
      <c r="K1639" s="1637"/>
    </row>
    <row r="1640" spans="1:11" ht="25.5" x14ac:dyDescent="0.25">
      <c r="A1640" s="1528"/>
      <c r="B1640" s="1822" t="s">
        <v>9480</v>
      </c>
      <c r="C1640" s="1749" t="s">
        <v>9023</v>
      </c>
      <c r="D1640" s="1773">
        <v>1</v>
      </c>
      <c r="E1640" s="1782">
        <v>1000</v>
      </c>
      <c r="F1640" s="1769">
        <v>1</v>
      </c>
      <c r="G1640" s="1786">
        <f>+F1640*E1640</f>
        <v>1000</v>
      </c>
      <c r="H1640" s="1524"/>
      <c r="J1640" s="1637"/>
      <c r="K1640" s="1637"/>
    </row>
    <row r="1641" spans="1:11" x14ac:dyDescent="0.25">
      <c r="A1641" s="1528"/>
      <c r="B1641" s="1822" t="s">
        <v>9481</v>
      </c>
      <c r="C1641" s="1749" t="s">
        <v>9023</v>
      </c>
      <c r="D1641" s="1773">
        <v>1</v>
      </c>
      <c r="E1641" s="1782">
        <v>2000</v>
      </c>
      <c r="F1641" s="1769">
        <v>1</v>
      </c>
      <c r="G1641" s="1786">
        <f>+F1641*E1641</f>
        <v>2000</v>
      </c>
      <c r="H1641" s="1524"/>
      <c r="J1641" s="1637"/>
      <c r="K1641" s="1637"/>
    </row>
    <row r="1642" spans="1:11" x14ac:dyDescent="0.25">
      <c r="A1642" s="1528"/>
      <c r="B1642" s="1822" t="s">
        <v>9487</v>
      </c>
      <c r="C1642" s="1749" t="s">
        <v>5</v>
      </c>
      <c r="D1642" s="1773">
        <v>1</v>
      </c>
      <c r="E1642" s="1782">
        <v>1000</v>
      </c>
      <c r="F1642" s="1769">
        <v>1</v>
      </c>
      <c r="G1642" s="1786">
        <f>+F1642*E1642*D1642</f>
        <v>1000</v>
      </c>
      <c r="H1642" s="1524"/>
      <c r="J1642" s="1637"/>
      <c r="K1642" s="1637"/>
    </row>
    <row r="1643" spans="1:11" x14ac:dyDescent="0.25">
      <c r="A1643" s="1528"/>
      <c r="B1643" s="1830" t="s">
        <v>9488</v>
      </c>
      <c r="C1643" s="1749"/>
      <c r="D1643" s="1773"/>
      <c r="E1643" s="1782"/>
      <c r="F1643" s="1769"/>
      <c r="G1643" s="1786"/>
      <c r="H1643" s="1524"/>
      <c r="J1643" s="1637"/>
      <c r="K1643" s="1637"/>
    </row>
    <row r="1644" spans="1:11" x14ac:dyDescent="0.25">
      <c r="A1644" s="1528"/>
      <c r="B1644" s="1822" t="s">
        <v>9489</v>
      </c>
      <c r="C1644" s="1749" t="s">
        <v>14</v>
      </c>
      <c r="D1644" s="1773">
        <v>1</v>
      </c>
      <c r="E1644" s="1782">
        <f>54100/3</f>
        <v>18033.333333333332</v>
      </c>
      <c r="F1644" s="1769">
        <v>1.05</v>
      </c>
      <c r="G1644" s="1786">
        <f>+F1644*E1644*D1644</f>
        <v>18935</v>
      </c>
      <c r="H1644" s="1524"/>
      <c r="J1644" s="1637"/>
      <c r="K1644" s="1637"/>
    </row>
    <row r="1645" spans="1:11" x14ac:dyDescent="0.25">
      <c r="A1645" s="1528"/>
      <c r="B1645" s="1822" t="s">
        <v>9490</v>
      </c>
      <c r="C1645" s="1749" t="s">
        <v>5</v>
      </c>
      <c r="D1645" s="1773">
        <v>0.2</v>
      </c>
      <c r="E1645" s="1782">
        <v>6150</v>
      </c>
      <c r="F1645" s="1769">
        <v>1</v>
      </c>
      <c r="G1645" s="1786">
        <f t="shared" ref="G1645:G1647" si="13">+F1645*E1645*D1645</f>
        <v>1230</v>
      </c>
      <c r="H1645" s="1524"/>
      <c r="J1645" s="1637"/>
      <c r="K1645" s="1637"/>
    </row>
    <row r="1646" spans="1:11" x14ac:dyDescent="0.25">
      <c r="A1646" s="1528"/>
      <c r="B1646" s="1822" t="s">
        <v>9491</v>
      </c>
      <c r="C1646" s="1749" t="s">
        <v>5</v>
      </c>
      <c r="D1646" s="1773">
        <v>0.2</v>
      </c>
      <c r="E1646" s="1782">
        <v>1000</v>
      </c>
      <c r="F1646" s="1769">
        <v>1</v>
      </c>
      <c r="G1646" s="1786">
        <f t="shared" si="13"/>
        <v>200</v>
      </c>
      <c r="H1646" s="1524"/>
      <c r="J1646" s="1637"/>
      <c r="K1646" s="1637"/>
    </row>
    <row r="1647" spans="1:11" ht="38.25" x14ac:dyDescent="0.25">
      <c r="A1647" s="1528"/>
      <c r="B1647" s="1822" t="s">
        <v>9492</v>
      </c>
      <c r="C1647" s="1749" t="s">
        <v>9023</v>
      </c>
      <c r="D1647" s="1773">
        <v>1</v>
      </c>
      <c r="E1647" s="1782">
        <v>6000</v>
      </c>
      <c r="F1647" s="1769">
        <v>1</v>
      </c>
      <c r="G1647" s="1786">
        <f t="shared" si="13"/>
        <v>6000</v>
      </c>
      <c r="H1647" s="1524"/>
      <c r="J1647" s="1637"/>
      <c r="K1647" s="1637"/>
    </row>
    <row r="1648" spans="1:11" x14ac:dyDescent="0.25">
      <c r="A1648" s="1528"/>
      <c r="B1648" s="268"/>
      <c r="C1648" s="1534"/>
      <c r="D1648" s="211"/>
      <c r="E1648" s="1535" t="s">
        <v>7182</v>
      </c>
      <c r="F1648" s="1551"/>
      <c r="G1648" s="1541" t="s">
        <v>7182</v>
      </c>
      <c r="H1648" s="1524"/>
      <c r="J1648" s="1637"/>
      <c r="K1648" s="1637"/>
    </row>
    <row r="1649" spans="1:11" x14ac:dyDescent="0.25">
      <c r="A1649" s="1528"/>
      <c r="B1649" s="1346"/>
      <c r="C1649" s="1534"/>
      <c r="D1649" s="211"/>
      <c r="E1649" s="1535" t="s">
        <v>7182</v>
      </c>
      <c r="F1649" s="1551"/>
      <c r="G1649" s="1541" t="s">
        <v>7182</v>
      </c>
      <c r="H1649" s="1524"/>
      <c r="J1649" s="1637"/>
      <c r="K1649" s="1637"/>
    </row>
    <row r="1650" spans="1:11" ht="15.75" thickBot="1" x14ac:dyDescent="0.3">
      <c r="A1650" s="1528"/>
      <c r="B1650" s="1540"/>
      <c r="C1650" s="1537"/>
      <c r="D1650" s="952"/>
      <c r="E1650" s="1538" t="s">
        <v>7182</v>
      </c>
      <c r="F1650" s="1537"/>
      <c r="G1650" s="1541" t="s">
        <v>7182</v>
      </c>
      <c r="H1650" s="1524"/>
      <c r="J1650" s="1637"/>
      <c r="K1650" s="1637"/>
    </row>
    <row r="1651" spans="1:11" ht="15.75" thickBot="1" x14ac:dyDescent="0.3">
      <c r="A1651" s="1528"/>
      <c r="B1651" s="1555"/>
      <c r="C1651" s="1557"/>
      <c r="D1651" s="956"/>
      <c r="E1651" s="1556" t="s">
        <v>7182</v>
      </c>
      <c r="F1651" s="1557"/>
      <c r="G1651" s="1558" t="s">
        <v>7182</v>
      </c>
      <c r="H1651" s="1546">
        <f>SUM(G1636:G1651)</f>
        <v>52117.5</v>
      </c>
      <c r="J1651" s="1637"/>
      <c r="K1651" s="1637"/>
    </row>
    <row r="1652" spans="1:11" x14ac:dyDescent="0.25">
      <c r="A1652" s="1528"/>
      <c r="B1652" s="1372"/>
      <c r="C1652" s="1374"/>
      <c r="D1652" s="1373"/>
      <c r="E1652" s="1372" t="s">
        <v>7182</v>
      </c>
      <c r="F1652" s="1374"/>
      <c r="G1652" s="1375" t="s">
        <v>7182</v>
      </c>
      <c r="H1652" s="1550"/>
      <c r="J1652" s="1637"/>
      <c r="K1652" s="1637"/>
    </row>
    <row r="1653" spans="1:11" ht="15.75" thickBot="1" x14ac:dyDescent="0.3">
      <c r="A1653" s="1527"/>
      <c r="B1653" s="188"/>
      <c r="C1653" s="189"/>
      <c r="D1653" s="1668"/>
      <c r="E1653" s="188"/>
      <c r="F1653" s="189"/>
      <c r="G1653" s="1669"/>
      <c r="H1653" s="1550"/>
      <c r="J1653" s="1637"/>
      <c r="K1653" s="1637"/>
    </row>
    <row r="1654" spans="1:11" ht="15.75" thickBot="1" x14ac:dyDescent="0.3">
      <c r="A1654" s="1527"/>
      <c r="B1654" s="1366" t="s">
        <v>9418</v>
      </c>
      <c r="C1654" s="1363" t="s">
        <v>867</v>
      </c>
      <c r="D1654" s="1120" t="s">
        <v>6</v>
      </c>
      <c r="E1654" s="1363" t="s">
        <v>7183</v>
      </c>
      <c r="F1654" s="1363" t="s">
        <v>5405</v>
      </c>
      <c r="G1654" s="1365" t="s">
        <v>7179</v>
      </c>
      <c r="H1654" s="1524"/>
      <c r="J1654" s="1637"/>
      <c r="K1654" s="1637"/>
    </row>
    <row r="1655" spans="1:11" x14ac:dyDescent="0.25">
      <c r="A1655" s="1527"/>
      <c r="B1655" s="1564" t="s">
        <v>5455</v>
      </c>
      <c r="C1655" s="1534" t="s">
        <v>5</v>
      </c>
      <c r="D1655" s="211">
        <v>1</v>
      </c>
      <c r="E1655" s="1535">
        <f>40000/50</f>
        <v>800</v>
      </c>
      <c r="F1655" s="297">
        <v>1</v>
      </c>
      <c r="G1655" s="1572">
        <f>+F1655*E1655</f>
        <v>800</v>
      </c>
      <c r="H1655" s="1524"/>
      <c r="J1655" s="1637"/>
      <c r="K1655" s="1637"/>
    </row>
    <row r="1656" spans="1:11" x14ac:dyDescent="0.25">
      <c r="A1656" s="1527"/>
      <c r="B1656" s="1540"/>
      <c r="C1656" s="1537"/>
      <c r="D1656" s="212"/>
      <c r="E1656" s="1535" t="s">
        <v>7182</v>
      </c>
      <c r="F1656" s="1537"/>
      <c r="G1656" s="1572" t="s">
        <v>7182</v>
      </c>
      <c r="H1656" s="1524"/>
      <c r="J1656" s="1637"/>
      <c r="K1656" s="1637"/>
    </row>
    <row r="1657" spans="1:11" x14ac:dyDescent="0.25">
      <c r="A1657" s="1527"/>
      <c r="B1657" s="1540"/>
      <c r="C1657" s="1537"/>
      <c r="D1657" s="212"/>
      <c r="E1657" s="1535" t="s">
        <v>7182</v>
      </c>
      <c r="F1657" s="1537"/>
      <c r="G1657" s="1572" t="s">
        <v>7182</v>
      </c>
      <c r="H1657" s="1524"/>
      <c r="J1657" s="1637"/>
      <c r="K1657" s="1637"/>
    </row>
    <row r="1658" spans="1:11" ht="15.75" thickBot="1" x14ac:dyDescent="0.3">
      <c r="A1658" s="1527"/>
      <c r="B1658" s="1540"/>
      <c r="C1658" s="1537"/>
      <c r="D1658" s="212"/>
      <c r="E1658" s="1535" t="s">
        <v>7182</v>
      </c>
      <c r="F1658" s="1537"/>
      <c r="G1658" s="1572" t="s">
        <v>7182</v>
      </c>
      <c r="H1658" s="1524"/>
      <c r="J1658" s="1637"/>
      <c r="K1658" s="1637"/>
    </row>
    <row r="1659" spans="1:11" ht="15.75" thickBot="1" x14ac:dyDescent="0.3">
      <c r="A1659" s="1527"/>
      <c r="B1659" s="1555"/>
      <c r="C1659" s="1556"/>
      <c r="D1659" s="956"/>
      <c r="E1659" s="1556" t="s">
        <v>7182</v>
      </c>
      <c r="F1659" s="1557"/>
      <c r="G1659" s="1558" t="s">
        <v>7182</v>
      </c>
      <c r="H1659" s="1546">
        <f>SUM(G1655:G1659)</f>
        <v>800</v>
      </c>
      <c r="J1659" s="1637"/>
      <c r="K1659" s="1637"/>
    </row>
    <row r="1660" spans="1:11" ht="15.75" thickBot="1" x14ac:dyDescent="0.3">
      <c r="A1660" s="1527"/>
      <c r="B1660" s="1376"/>
      <c r="C1660" s="1353"/>
      <c r="D1660" s="1355"/>
      <c r="E1660" s="1352"/>
      <c r="F1660" s="1377"/>
      <c r="G1660" s="1378"/>
      <c r="H1660" s="1524"/>
      <c r="J1660" s="1637"/>
      <c r="K1660" s="1637"/>
    </row>
    <row r="1661" spans="1:11" ht="15.75" thickBot="1" x14ac:dyDescent="0.3">
      <c r="A1661" s="1527"/>
      <c r="B1661" s="1366" t="s">
        <v>5410</v>
      </c>
      <c r="C1661" s="1363" t="s">
        <v>867</v>
      </c>
      <c r="D1661" s="1120" t="s">
        <v>6</v>
      </c>
      <c r="E1661" s="1363" t="s">
        <v>7183</v>
      </c>
      <c r="F1661" s="1363" t="s">
        <v>5405</v>
      </c>
      <c r="G1661" s="1365" t="s">
        <v>7179</v>
      </c>
      <c r="H1661" s="1524"/>
      <c r="J1661" s="1637"/>
      <c r="K1661" s="1637"/>
    </row>
    <row r="1662" spans="1:11" ht="25.5" x14ac:dyDescent="0.25">
      <c r="A1662" s="1527"/>
      <c r="B1662" s="1564" t="s">
        <v>9421</v>
      </c>
      <c r="C1662" s="1534" t="s">
        <v>9023</v>
      </c>
      <c r="D1662" s="211">
        <v>1</v>
      </c>
      <c r="E1662" s="1535">
        <f>50000/50</f>
        <v>1000</v>
      </c>
      <c r="F1662" s="297">
        <v>1</v>
      </c>
      <c r="G1662" s="1572">
        <f>+F1662*E1662</f>
        <v>1000</v>
      </c>
      <c r="H1662" s="1524"/>
      <c r="J1662" s="1637"/>
      <c r="K1662" s="1637"/>
    </row>
    <row r="1663" spans="1:11" x14ac:dyDescent="0.25">
      <c r="A1663" s="1527"/>
      <c r="B1663" s="1540"/>
      <c r="C1663" s="1537"/>
      <c r="D1663" s="212"/>
      <c r="E1663" s="1535" t="s">
        <v>7182</v>
      </c>
      <c r="F1663" s="1537"/>
      <c r="G1663" s="1572" t="s">
        <v>7182</v>
      </c>
      <c r="H1663" s="1524"/>
    </row>
    <row r="1664" spans="1:11" x14ac:dyDescent="0.25">
      <c r="A1664" s="1527"/>
      <c r="B1664" s="1540"/>
      <c r="C1664" s="1537"/>
      <c r="D1664" s="212"/>
      <c r="E1664" s="1535" t="s">
        <v>7182</v>
      </c>
      <c r="F1664" s="1537"/>
      <c r="G1664" s="1572" t="s">
        <v>7182</v>
      </c>
      <c r="H1664" s="1524"/>
    </row>
    <row r="1665" spans="1:11" ht="15.75" thickBot="1" x14ac:dyDescent="0.3">
      <c r="A1665" s="1527"/>
      <c r="B1665" s="1540"/>
      <c r="C1665" s="1537"/>
      <c r="D1665" s="212"/>
      <c r="E1665" s="1535" t="s">
        <v>7182</v>
      </c>
      <c r="F1665" s="1537"/>
      <c r="G1665" s="1572" t="s">
        <v>7182</v>
      </c>
      <c r="H1665" s="1524"/>
    </row>
    <row r="1666" spans="1:11" ht="15.75" thickBot="1" x14ac:dyDescent="0.3">
      <c r="A1666" s="1527"/>
      <c r="B1666" s="1555"/>
      <c r="C1666" s="1556"/>
      <c r="D1666" s="956"/>
      <c r="E1666" s="1556" t="s">
        <v>7182</v>
      </c>
      <c r="F1666" s="1557"/>
      <c r="G1666" s="1558" t="s">
        <v>7182</v>
      </c>
      <c r="H1666" s="1546">
        <f>SUM(G1662:G1666)</f>
        <v>1000</v>
      </c>
    </row>
    <row r="1667" spans="1:11" ht="15.75" thickBot="1" x14ac:dyDescent="0.3">
      <c r="A1667" s="1527"/>
      <c r="B1667" s="1547"/>
      <c r="C1667" s="1547"/>
      <c r="D1667" s="954"/>
      <c r="E1667" s="1547"/>
      <c r="F1667" s="1553"/>
      <c r="G1667" s="1554"/>
      <c r="H1667" s="1550"/>
    </row>
    <row r="1668" spans="1:11" ht="15.75" thickBot="1" x14ac:dyDescent="0.3">
      <c r="A1668" s="1559"/>
      <c r="B1668" s="1369" t="s">
        <v>5412</v>
      </c>
      <c r="C1668" s="1363" t="s">
        <v>5420</v>
      </c>
      <c r="D1668" s="1120" t="s">
        <v>5421</v>
      </c>
      <c r="E1668" s="1363" t="s">
        <v>7187</v>
      </c>
      <c r="F1668" s="1363" t="s">
        <v>5405</v>
      </c>
      <c r="G1668" s="1370" t="s">
        <v>7179</v>
      </c>
      <c r="H1668" s="1371"/>
    </row>
    <row r="1669" spans="1:11" x14ac:dyDescent="0.25">
      <c r="A1669" s="1527"/>
      <c r="B1669" s="1560" t="s">
        <v>9422</v>
      </c>
      <c r="C1669" s="1569">
        <v>170000</v>
      </c>
      <c r="D1669" s="352">
        <f>0.6*C1669</f>
        <v>102000</v>
      </c>
      <c r="E1669" s="1569">
        <f>+D1669+C1669</f>
        <v>272000</v>
      </c>
      <c r="F1669" s="819">
        <v>0.05</v>
      </c>
      <c r="G1669" s="818">
        <f>+F1669*E1669</f>
        <v>13600</v>
      </c>
      <c r="H1669" s="1524"/>
    </row>
    <row r="1670" spans="1:11" x14ac:dyDescent="0.25">
      <c r="A1670" s="1527"/>
      <c r="B1670" s="1560"/>
      <c r="C1670" s="1569"/>
      <c r="D1670" s="1569"/>
      <c r="E1670" s="1569"/>
      <c r="F1670" s="819"/>
      <c r="G1670" s="818"/>
      <c r="H1670" s="1524"/>
    </row>
    <row r="1671" spans="1:11" x14ac:dyDescent="0.25">
      <c r="A1671" s="1527"/>
      <c r="B1671" s="1561"/>
      <c r="C1671" s="1569"/>
      <c r="D1671" s="1569"/>
      <c r="E1671" s="1569"/>
      <c r="F1671" s="817"/>
      <c r="G1671" s="818"/>
      <c r="H1671" s="1524"/>
    </row>
    <row r="1672" spans="1:11" x14ac:dyDescent="0.25">
      <c r="A1672" s="1527"/>
      <c r="B1672" s="1540"/>
      <c r="C1672" s="1569"/>
      <c r="D1672" s="1569"/>
      <c r="E1672" s="1569"/>
      <c r="F1672" s="817"/>
      <c r="G1672" s="818"/>
      <c r="H1672" s="1524"/>
    </row>
    <row r="1673" spans="1:11" x14ac:dyDescent="0.25">
      <c r="A1673" s="1527"/>
      <c r="B1673" s="1540"/>
      <c r="C1673" s="1538" t="s">
        <v>7182</v>
      </c>
      <c r="D1673" s="952" t="s">
        <v>7182</v>
      </c>
      <c r="E1673" s="1538" t="s">
        <v>7182</v>
      </c>
      <c r="F1673" s="817"/>
      <c r="G1673" s="818" t="str">
        <f>IF(B1673="","",E1673/F1673)</f>
        <v/>
      </c>
      <c r="H1673" s="1524"/>
    </row>
    <row r="1674" spans="1:11" ht="15.75" thickBot="1" x14ac:dyDescent="0.3">
      <c r="A1674" s="1527"/>
      <c r="B1674" s="1540"/>
      <c r="C1674" s="1538" t="s">
        <v>7182</v>
      </c>
      <c r="D1674" s="952" t="s">
        <v>7182</v>
      </c>
      <c r="E1674" s="1538" t="s">
        <v>7182</v>
      </c>
      <c r="F1674" s="1537"/>
      <c r="G1674" s="818" t="str">
        <f>IF(B1674="","",E1674/F1674)</f>
        <v/>
      </c>
      <c r="H1674" s="1524"/>
    </row>
    <row r="1675" spans="1:11" ht="15.75" thickBot="1" x14ac:dyDescent="0.3">
      <c r="A1675" s="1527"/>
      <c r="B1675" s="1555"/>
      <c r="C1675" s="1556"/>
      <c r="D1675" s="956"/>
      <c r="E1675" s="1556"/>
      <c r="F1675" s="1557"/>
      <c r="G1675" s="1558"/>
      <c r="H1675" s="1546">
        <f>SUM(G1669:G1675)</f>
        <v>13600</v>
      </c>
    </row>
    <row r="1676" spans="1:11" ht="15.75" thickBot="1" x14ac:dyDescent="0.3">
      <c r="A1676" s="1527"/>
      <c r="B1676" s="1527"/>
      <c r="C1676" s="1527"/>
      <c r="D1676" s="529"/>
      <c r="F1676" s="1528"/>
      <c r="G1676" s="1524"/>
      <c r="H1676" s="1524"/>
    </row>
    <row r="1677" spans="1:11" ht="15.75" thickBot="1" x14ac:dyDescent="0.3">
      <c r="A1677" s="1647" t="s">
        <v>6744</v>
      </c>
      <c r="B1677" s="1352"/>
      <c r="C1677" s="1352"/>
      <c r="D1677" s="1671"/>
      <c r="E1677" s="1672"/>
      <c r="F1677" s="1353"/>
      <c r="G1677" s="1527" t="s">
        <v>5415</v>
      </c>
      <c r="H1677" s="502">
        <f>ROUND(SUM(H1635:H1676),0)</f>
        <v>67518</v>
      </c>
      <c r="J1677" s="1673">
        <f>+B1631</f>
        <v>10.38</v>
      </c>
      <c r="K1677" s="1674">
        <f>+H1677</f>
        <v>67518</v>
      </c>
    </row>
    <row r="1678" spans="1:11" x14ac:dyDescent="0.25">
      <c r="A1678" s="1675"/>
      <c r="B1678" s="1676"/>
      <c r="C1678" s="1676"/>
      <c r="D1678" s="1677"/>
      <c r="E1678" s="1678"/>
      <c r="F1678" s="1679"/>
      <c r="G1678" s="1680"/>
      <c r="H1678" s="1680"/>
    </row>
    <row r="1679" spans="1:11" ht="18.75" x14ac:dyDescent="0.25">
      <c r="A1679" s="1523"/>
      <c r="B1679" s="1655"/>
      <c r="C1679" s="1655"/>
      <c r="D1679" s="950"/>
      <c r="E1679" s="1655"/>
      <c r="F1679" s="1655"/>
      <c r="G1679" s="1655"/>
      <c r="H1679" s="8"/>
      <c r="J1679" s="1637"/>
      <c r="K1679" s="1637"/>
    </row>
    <row r="1680" spans="1:11" x14ac:dyDescent="0.25">
      <c r="A1680" s="1523"/>
      <c r="B1680" s="8"/>
      <c r="C1680" s="8"/>
      <c r="D1680" s="529"/>
      <c r="E1680" s="8"/>
      <c r="F1680" s="1523"/>
      <c r="G1680" s="1524"/>
      <c r="H1680" s="8"/>
      <c r="J1680" s="1637"/>
      <c r="K1680" s="1637"/>
    </row>
    <row r="1681" spans="1:11" ht="49.5" customHeight="1" x14ac:dyDescent="0.25">
      <c r="A1681" s="1665" t="s">
        <v>3</v>
      </c>
      <c r="B1681" s="1666">
        <f>+VLOOKUP(C1681,ListaAPUs!$B:$E,4,FALSE)</f>
        <v>10.39</v>
      </c>
      <c r="C1681" s="2441" t="str">
        <f>+ListaAPUs!B239</f>
        <v>Acometida parcial Válvula mariposa a Tablero servicios auxiliares Modulo No 8. en  cable 3X6+1X8+1X8T AWG THHN</v>
      </c>
      <c r="D1681" s="2441"/>
      <c r="E1681" s="2441"/>
      <c r="F1681" s="1665" t="s">
        <v>867</v>
      </c>
      <c r="G1681" s="1390" t="str">
        <f>+VLOOKUP(C1681,ListaAPUs!$B:$E,2,FALSE)</f>
        <v>m</v>
      </c>
      <c r="H1681" s="1524"/>
    </row>
    <row r="1682" spans="1:11" x14ac:dyDescent="0.25">
      <c r="A1682" s="1528"/>
      <c r="B1682" s="1527"/>
      <c r="C1682" s="1527"/>
      <c r="D1682" s="529"/>
      <c r="E1682" s="1527"/>
      <c r="F1682" s="1528"/>
      <c r="G1682" s="1524"/>
      <c r="H1682" s="1524"/>
      <c r="J1682" s="1637"/>
      <c r="K1682" s="1637"/>
    </row>
    <row r="1683" spans="1:11" x14ac:dyDescent="0.25">
      <c r="A1683" s="1528"/>
      <c r="B1683" s="1527"/>
      <c r="C1683" s="1527"/>
      <c r="D1683" s="529"/>
      <c r="E1683" s="1527"/>
      <c r="F1683" s="1528"/>
      <c r="G1683" s="1529"/>
      <c r="H1683" s="1524"/>
      <c r="J1683" s="1637"/>
      <c r="K1683" s="1637"/>
    </row>
    <row r="1684" spans="1:11" ht="15.75" thickBot="1" x14ac:dyDescent="0.3">
      <c r="A1684" s="1528"/>
      <c r="B1684" s="1527"/>
      <c r="C1684" s="1527"/>
      <c r="D1684" s="529"/>
      <c r="E1684" s="1527"/>
      <c r="F1684" s="1528"/>
      <c r="G1684" s="1524"/>
      <c r="H1684" s="1524"/>
      <c r="J1684" s="1637"/>
      <c r="K1684" s="1637"/>
    </row>
    <row r="1685" spans="1:11" ht="15.75" thickBot="1" x14ac:dyDescent="0.3">
      <c r="A1685" s="1368"/>
      <c r="B1685" s="1369" t="s">
        <v>5403</v>
      </c>
      <c r="C1685" s="1363" t="s">
        <v>867</v>
      </c>
      <c r="D1685" s="1120" t="s">
        <v>6</v>
      </c>
      <c r="E1685" s="1363" t="s">
        <v>9417</v>
      </c>
      <c r="F1685" s="1363" t="s">
        <v>5405</v>
      </c>
      <c r="G1685" s="1370" t="s">
        <v>7179</v>
      </c>
      <c r="H1685" s="1371"/>
      <c r="J1685" s="1637"/>
      <c r="K1685" s="1637"/>
    </row>
    <row r="1686" spans="1:11" x14ac:dyDescent="0.25">
      <c r="A1686" s="1528"/>
      <c r="B1686" s="1746" t="s">
        <v>9483</v>
      </c>
      <c r="C1686" s="1802" t="s">
        <v>5432</v>
      </c>
      <c r="D1686" s="1794">
        <v>3</v>
      </c>
      <c r="E1686" s="1803">
        <v>3850</v>
      </c>
      <c r="F1686" s="1804">
        <v>1.05</v>
      </c>
      <c r="G1686" s="1805">
        <f>+F1686*E1686*D1686</f>
        <v>12127.5</v>
      </c>
      <c r="H1686" s="1524"/>
      <c r="J1686" s="1637"/>
      <c r="K1686" s="1637"/>
    </row>
    <row r="1687" spans="1:11" x14ac:dyDescent="0.25">
      <c r="A1687" s="1528"/>
      <c r="B1687" s="1751" t="s">
        <v>9484</v>
      </c>
      <c r="C1687" s="1749" t="s">
        <v>5432</v>
      </c>
      <c r="D1687" s="1773">
        <v>2</v>
      </c>
      <c r="E1687" s="1825">
        <v>2450</v>
      </c>
      <c r="F1687" s="1769">
        <v>1.05</v>
      </c>
      <c r="G1687" s="1786">
        <f>+F1687*E1687*D1687</f>
        <v>5145</v>
      </c>
      <c r="H1687" s="1524"/>
      <c r="J1687" s="1637"/>
      <c r="K1687" s="1637"/>
    </row>
    <row r="1688" spans="1:11" x14ac:dyDescent="0.25">
      <c r="A1688" s="1528"/>
      <c r="B1688" s="1822" t="s">
        <v>9485</v>
      </c>
      <c r="C1688" s="1749" t="s">
        <v>5</v>
      </c>
      <c r="D1688" s="1769">
        <v>0.44</v>
      </c>
      <c r="E1688" s="1825">
        <v>2000</v>
      </c>
      <c r="F1688" s="1769">
        <v>1</v>
      </c>
      <c r="G1688" s="1786">
        <f>+F1688*E1688*D1688</f>
        <v>880</v>
      </c>
      <c r="H1688" s="1524"/>
      <c r="J1688" s="1637"/>
      <c r="K1688" s="1637"/>
    </row>
    <row r="1689" spans="1:11" x14ac:dyDescent="0.25">
      <c r="A1689" s="1528"/>
      <c r="B1689" s="1751" t="s">
        <v>9486</v>
      </c>
      <c r="C1689" s="1749" t="s">
        <v>5</v>
      </c>
      <c r="D1689" s="1769">
        <v>0.6</v>
      </c>
      <c r="E1689" s="1782">
        <v>6000</v>
      </c>
      <c r="F1689" s="1769">
        <v>1</v>
      </c>
      <c r="G1689" s="1786">
        <f>+F1689*E1689*D1689</f>
        <v>3600</v>
      </c>
      <c r="H1689" s="1524"/>
      <c r="J1689" s="1637"/>
      <c r="K1689" s="1637"/>
    </row>
    <row r="1690" spans="1:11" ht="25.5" x14ac:dyDescent="0.25">
      <c r="A1690" s="1528"/>
      <c r="B1690" s="1822" t="s">
        <v>9480</v>
      </c>
      <c r="C1690" s="1749" t="s">
        <v>9023</v>
      </c>
      <c r="D1690" s="1773">
        <v>1</v>
      </c>
      <c r="E1690" s="1782">
        <v>1000</v>
      </c>
      <c r="F1690" s="1769">
        <v>1</v>
      </c>
      <c r="G1690" s="1786">
        <f>+F1690*E1690</f>
        <v>1000</v>
      </c>
      <c r="H1690" s="1524"/>
      <c r="J1690" s="1637"/>
      <c r="K1690" s="1637"/>
    </row>
    <row r="1691" spans="1:11" x14ac:dyDescent="0.25">
      <c r="A1691" s="1528"/>
      <c r="B1691" s="1822" t="s">
        <v>9481</v>
      </c>
      <c r="C1691" s="1749" t="s">
        <v>9023</v>
      </c>
      <c r="D1691" s="1773">
        <v>1</v>
      </c>
      <c r="E1691" s="1782">
        <v>2000</v>
      </c>
      <c r="F1691" s="1769">
        <v>1</v>
      </c>
      <c r="G1691" s="1786">
        <f>+F1691*E1691</f>
        <v>2000</v>
      </c>
      <c r="H1691" s="1524"/>
      <c r="J1691" s="1637"/>
      <c r="K1691" s="1637"/>
    </row>
    <row r="1692" spans="1:11" x14ac:dyDescent="0.25">
      <c r="A1692" s="1528"/>
      <c r="B1692" s="1822" t="s">
        <v>9487</v>
      </c>
      <c r="C1692" s="1749" t="s">
        <v>5</v>
      </c>
      <c r="D1692" s="1773">
        <v>1</v>
      </c>
      <c r="E1692" s="1782">
        <v>1000</v>
      </c>
      <c r="F1692" s="1769">
        <v>1</v>
      </c>
      <c r="G1692" s="1786">
        <f>+F1692*E1692*D1692</f>
        <v>1000</v>
      </c>
      <c r="H1692" s="1524"/>
      <c r="J1692" s="1637"/>
      <c r="K1692" s="1637"/>
    </row>
    <row r="1693" spans="1:11" x14ac:dyDescent="0.25">
      <c r="A1693" s="1528"/>
      <c r="B1693" s="1830" t="s">
        <v>9488</v>
      </c>
      <c r="C1693" s="1749"/>
      <c r="D1693" s="1773"/>
      <c r="E1693" s="1782"/>
      <c r="F1693" s="1769"/>
      <c r="G1693" s="1786"/>
      <c r="H1693" s="1524"/>
      <c r="J1693" s="1637"/>
      <c r="K1693" s="1637"/>
    </row>
    <row r="1694" spans="1:11" x14ac:dyDescent="0.25">
      <c r="A1694" s="1528"/>
      <c r="B1694" s="1822" t="s">
        <v>9489</v>
      </c>
      <c r="C1694" s="1749" t="s">
        <v>14</v>
      </c>
      <c r="D1694" s="1773">
        <v>1</v>
      </c>
      <c r="E1694" s="1782">
        <f>54100/3</f>
        <v>18033.333333333332</v>
      </c>
      <c r="F1694" s="1769">
        <v>1.05</v>
      </c>
      <c r="G1694" s="1786">
        <f>+F1694*E1694*D1694</f>
        <v>18935</v>
      </c>
      <c r="H1694" s="1524"/>
      <c r="J1694" s="1637"/>
      <c r="K1694" s="1637"/>
    </row>
    <row r="1695" spans="1:11" x14ac:dyDescent="0.25">
      <c r="A1695" s="1528"/>
      <c r="B1695" s="1822" t="s">
        <v>9490</v>
      </c>
      <c r="C1695" s="1749" t="s">
        <v>5</v>
      </c>
      <c r="D1695" s="1773">
        <v>0.2</v>
      </c>
      <c r="E1695" s="1782">
        <v>6150</v>
      </c>
      <c r="F1695" s="1769">
        <v>1</v>
      </c>
      <c r="G1695" s="1786">
        <f t="shared" ref="G1695:G1697" si="14">+F1695*E1695*D1695</f>
        <v>1230</v>
      </c>
      <c r="H1695" s="1524"/>
      <c r="J1695" s="1637"/>
      <c r="K1695" s="1637"/>
    </row>
    <row r="1696" spans="1:11" x14ac:dyDescent="0.25">
      <c r="A1696" s="1528"/>
      <c r="B1696" s="1822" t="s">
        <v>9491</v>
      </c>
      <c r="C1696" s="1749" t="s">
        <v>5</v>
      </c>
      <c r="D1696" s="1773">
        <v>0.2</v>
      </c>
      <c r="E1696" s="1782">
        <v>1000</v>
      </c>
      <c r="F1696" s="1769">
        <v>1</v>
      </c>
      <c r="G1696" s="1786">
        <f t="shared" si="14"/>
        <v>200</v>
      </c>
      <c r="H1696" s="1524"/>
      <c r="J1696" s="1637"/>
      <c r="K1696" s="1637"/>
    </row>
    <row r="1697" spans="1:11" ht="38.25" x14ac:dyDescent="0.25">
      <c r="A1697" s="1528"/>
      <c r="B1697" s="1822" t="s">
        <v>9492</v>
      </c>
      <c r="C1697" s="1749" t="s">
        <v>9023</v>
      </c>
      <c r="D1697" s="1773">
        <v>1</v>
      </c>
      <c r="E1697" s="1782">
        <v>6000</v>
      </c>
      <c r="F1697" s="1769">
        <v>1</v>
      </c>
      <c r="G1697" s="1786">
        <f t="shared" si="14"/>
        <v>6000</v>
      </c>
      <c r="H1697" s="1524"/>
      <c r="J1697" s="1637"/>
      <c r="K1697" s="1637"/>
    </row>
    <row r="1698" spans="1:11" x14ac:dyDescent="0.25">
      <c r="A1698" s="1528"/>
      <c r="B1698" s="268"/>
      <c r="C1698" s="1534"/>
      <c r="D1698" s="211"/>
      <c r="E1698" s="1535" t="s">
        <v>7182</v>
      </c>
      <c r="F1698" s="1551"/>
      <c r="G1698" s="1541" t="s">
        <v>7182</v>
      </c>
      <c r="H1698" s="1524"/>
      <c r="J1698" s="1637"/>
      <c r="K1698" s="1637"/>
    </row>
    <row r="1699" spans="1:11" x14ac:dyDescent="0.25">
      <c r="A1699" s="1528"/>
      <c r="B1699" s="1346"/>
      <c r="C1699" s="1534"/>
      <c r="D1699" s="211"/>
      <c r="E1699" s="1535" t="s">
        <v>7182</v>
      </c>
      <c r="F1699" s="1551"/>
      <c r="G1699" s="1541" t="s">
        <v>7182</v>
      </c>
      <c r="H1699" s="1524"/>
      <c r="J1699" s="1637"/>
      <c r="K1699" s="1637"/>
    </row>
    <row r="1700" spans="1:11" ht="15.75" thickBot="1" x14ac:dyDescent="0.3">
      <c r="A1700" s="1528"/>
      <c r="B1700" s="1540"/>
      <c r="C1700" s="1537"/>
      <c r="D1700" s="952"/>
      <c r="E1700" s="1538" t="s">
        <v>7182</v>
      </c>
      <c r="F1700" s="1537"/>
      <c r="G1700" s="1541" t="s">
        <v>7182</v>
      </c>
      <c r="H1700" s="1524"/>
      <c r="J1700" s="1637"/>
      <c r="K1700" s="1637"/>
    </row>
    <row r="1701" spans="1:11" ht="15.75" thickBot="1" x14ac:dyDescent="0.3">
      <c r="A1701" s="1528"/>
      <c r="B1701" s="1555"/>
      <c r="C1701" s="1557"/>
      <c r="D1701" s="956"/>
      <c r="E1701" s="1556" t="s">
        <v>7182</v>
      </c>
      <c r="F1701" s="1557"/>
      <c r="G1701" s="1558" t="s">
        <v>7182</v>
      </c>
      <c r="H1701" s="1546">
        <f>SUM(G1686:G1701)</f>
        <v>52117.5</v>
      </c>
      <c r="J1701" s="1637"/>
      <c r="K1701" s="1637"/>
    </row>
    <row r="1702" spans="1:11" x14ac:dyDescent="0.25">
      <c r="A1702" s="1528"/>
      <c r="B1702" s="1372"/>
      <c r="C1702" s="1374"/>
      <c r="D1702" s="1373"/>
      <c r="E1702" s="1372" t="s">
        <v>7182</v>
      </c>
      <c r="F1702" s="1374"/>
      <c r="G1702" s="1375" t="s">
        <v>7182</v>
      </c>
      <c r="H1702" s="1550"/>
      <c r="J1702" s="1637"/>
      <c r="K1702" s="1637"/>
    </row>
    <row r="1703" spans="1:11" ht="15.75" thickBot="1" x14ac:dyDescent="0.3">
      <c r="A1703" s="1527"/>
      <c r="B1703" s="188"/>
      <c r="C1703" s="189"/>
      <c r="D1703" s="1668"/>
      <c r="E1703" s="188"/>
      <c r="F1703" s="189"/>
      <c r="G1703" s="1669"/>
      <c r="H1703" s="1550"/>
      <c r="J1703" s="1637"/>
      <c r="K1703" s="1637"/>
    </row>
    <row r="1704" spans="1:11" ht="15.75" thickBot="1" x14ac:dyDescent="0.3">
      <c r="A1704" s="1527"/>
      <c r="B1704" s="1366" t="s">
        <v>9418</v>
      </c>
      <c r="C1704" s="1363" t="s">
        <v>867</v>
      </c>
      <c r="D1704" s="1120" t="s">
        <v>6</v>
      </c>
      <c r="E1704" s="1363" t="s">
        <v>7183</v>
      </c>
      <c r="F1704" s="1363" t="s">
        <v>5405</v>
      </c>
      <c r="G1704" s="1365" t="s">
        <v>7179</v>
      </c>
      <c r="H1704" s="1524"/>
      <c r="J1704" s="1637"/>
      <c r="K1704" s="1637"/>
    </row>
    <row r="1705" spans="1:11" x14ac:dyDescent="0.25">
      <c r="A1705" s="1527"/>
      <c r="B1705" s="1564" t="s">
        <v>5455</v>
      </c>
      <c r="C1705" s="1534" t="s">
        <v>5</v>
      </c>
      <c r="D1705" s="211">
        <v>1</v>
      </c>
      <c r="E1705" s="1535">
        <f>40000/50</f>
        <v>800</v>
      </c>
      <c r="F1705" s="297">
        <v>1</v>
      </c>
      <c r="G1705" s="1572">
        <f>+F1705*E1705</f>
        <v>800</v>
      </c>
      <c r="H1705" s="1524"/>
      <c r="J1705" s="1637"/>
      <c r="K1705" s="1637"/>
    </row>
    <row r="1706" spans="1:11" x14ac:dyDescent="0.25">
      <c r="A1706" s="1527"/>
      <c r="B1706" s="1540"/>
      <c r="C1706" s="1537"/>
      <c r="D1706" s="212"/>
      <c r="E1706" s="1535" t="s">
        <v>7182</v>
      </c>
      <c r="F1706" s="1537"/>
      <c r="G1706" s="1572" t="s">
        <v>7182</v>
      </c>
      <c r="H1706" s="1524"/>
      <c r="J1706" s="1637"/>
      <c r="K1706" s="1637"/>
    </row>
    <row r="1707" spans="1:11" x14ac:dyDescent="0.25">
      <c r="A1707" s="1527"/>
      <c r="B1707" s="1540"/>
      <c r="C1707" s="1537"/>
      <c r="D1707" s="212"/>
      <c r="E1707" s="1535" t="s">
        <v>7182</v>
      </c>
      <c r="F1707" s="1537"/>
      <c r="G1707" s="1572" t="s">
        <v>7182</v>
      </c>
      <c r="H1707" s="1524"/>
      <c r="J1707" s="1637"/>
      <c r="K1707" s="1637"/>
    </row>
    <row r="1708" spans="1:11" ht="15.75" thickBot="1" x14ac:dyDescent="0.3">
      <c r="A1708" s="1527"/>
      <c r="B1708" s="1540"/>
      <c r="C1708" s="1537"/>
      <c r="D1708" s="212"/>
      <c r="E1708" s="1535" t="s">
        <v>7182</v>
      </c>
      <c r="F1708" s="1537"/>
      <c r="G1708" s="1572" t="s">
        <v>7182</v>
      </c>
      <c r="H1708" s="1524"/>
      <c r="J1708" s="1637"/>
      <c r="K1708" s="1637"/>
    </row>
    <row r="1709" spans="1:11" ht="15.75" thickBot="1" x14ac:dyDescent="0.3">
      <c r="A1709" s="1527"/>
      <c r="B1709" s="1555"/>
      <c r="C1709" s="1556"/>
      <c r="D1709" s="956"/>
      <c r="E1709" s="1556" t="s">
        <v>7182</v>
      </c>
      <c r="F1709" s="1557"/>
      <c r="G1709" s="1558" t="s">
        <v>7182</v>
      </c>
      <c r="H1709" s="1546">
        <f>SUM(G1705:G1709)</f>
        <v>800</v>
      </c>
      <c r="J1709" s="1637"/>
      <c r="K1709" s="1637"/>
    </row>
    <row r="1710" spans="1:11" ht="15.75" thickBot="1" x14ac:dyDescent="0.3">
      <c r="A1710" s="1527"/>
      <c r="B1710" s="1376"/>
      <c r="C1710" s="1353"/>
      <c r="D1710" s="1355"/>
      <c r="E1710" s="1352"/>
      <c r="F1710" s="1377"/>
      <c r="G1710" s="1378"/>
      <c r="H1710" s="1524"/>
      <c r="J1710" s="1637"/>
      <c r="K1710" s="1637"/>
    </row>
    <row r="1711" spans="1:11" ht="15.75" thickBot="1" x14ac:dyDescent="0.3">
      <c r="A1711" s="1527"/>
      <c r="B1711" s="1366" t="s">
        <v>5410</v>
      </c>
      <c r="C1711" s="1363" t="s">
        <v>867</v>
      </c>
      <c r="D1711" s="1120" t="s">
        <v>6</v>
      </c>
      <c r="E1711" s="1363" t="s">
        <v>7183</v>
      </c>
      <c r="F1711" s="1363" t="s">
        <v>5405</v>
      </c>
      <c r="G1711" s="1365" t="s">
        <v>7179</v>
      </c>
      <c r="H1711" s="1524"/>
      <c r="J1711" s="1637"/>
      <c r="K1711" s="1637"/>
    </row>
    <row r="1712" spans="1:11" ht="25.5" x14ac:dyDescent="0.25">
      <c r="A1712" s="1527"/>
      <c r="B1712" s="1564" t="s">
        <v>9421</v>
      </c>
      <c r="C1712" s="1534" t="s">
        <v>9023</v>
      </c>
      <c r="D1712" s="211">
        <v>1</v>
      </c>
      <c r="E1712" s="1535">
        <f>50000/50</f>
        <v>1000</v>
      </c>
      <c r="F1712" s="297">
        <v>1</v>
      </c>
      <c r="G1712" s="1572">
        <f>+F1712*E1712</f>
        <v>1000</v>
      </c>
      <c r="H1712" s="1524"/>
      <c r="J1712" s="1637"/>
      <c r="K1712" s="1637"/>
    </row>
    <row r="1713" spans="1:11" x14ac:dyDescent="0.25">
      <c r="A1713" s="1527"/>
      <c r="B1713" s="1540"/>
      <c r="C1713" s="1537"/>
      <c r="D1713" s="212"/>
      <c r="E1713" s="1535" t="s">
        <v>7182</v>
      </c>
      <c r="F1713" s="1537"/>
      <c r="G1713" s="1572" t="s">
        <v>7182</v>
      </c>
      <c r="H1713" s="1524"/>
      <c r="J1713" s="1637"/>
      <c r="K1713" s="1637"/>
    </row>
    <row r="1714" spans="1:11" x14ac:dyDescent="0.25">
      <c r="A1714" s="1527"/>
      <c r="B1714" s="1540"/>
      <c r="C1714" s="1537"/>
      <c r="D1714" s="212"/>
      <c r="E1714" s="1535" t="s">
        <v>7182</v>
      </c>
      <c r="F1714" s="1537"/>
      <c r="G1714" s="1572" t="s">
        <v>7182</v>
      </c>
      <c r="H1714" s="1524"/>
      <c r="J1714" s="1637"/>
      <c r="K1714" s="1637"/>
    </row>
    <row r="1715" spans="1:11" ht="15.75" thickBot="1" x14ac:dyDescent="0.3">
      <c r="A1715" s="1527"/>
      <c r="B1715" s="1540"/>
      <c r="C1715" s="1537"/>
      <c r="D1715" s="212"/>
      <c r="E1715" s="1535" t="s">
        <v>7182</v>
      </c>
      <c r="F1715" s="1537"/>
      <c r="G1715" s="1572" t="s">
        <v>7182</v>
      </c>
      <c r="H1715" s="1524"/>
      <c r="J1715" s="1637"/>
      <c r="K1715" s="1637"/>
    </row>
    <row r="1716" spans="1:11" ht="15.75" thickBot="1" x14ac:dyDescent="0.3">
      <c r="A1716" s="1527"/>
      <c r="B1716" s="1555"/>
      <c r="C1716" s="1556"/>
      <c r="D1716" s="956"/>
      <c r="E1716" s="1556" t="s">
        <v>7182</v>
      </c>
      <c r="F1716" s="1557"/>
      <c r="G1716" s="1558" t="s">
        <v>7182</v>
      </c>
      <c r="H1716" s="1546">
        <f>SUM(G1712:G1716)</f>
        <v>1000</v>
      </c>
      <c r="J1716" s="1637"/>
      <c r="K1716" s="1637"/>
    </row>
    <row r="1717" spans="1:11" ht="15.75" thickBot="1" x14ac:dyDescent="0.3">
      <c r="A1717" s="1527"/>
      <c r="B1717" s="1547"/>
      <c r="C1717" s="1547"/>
      <c r="D1717" s="954"/>
      <c r="E1717" s="1547"/>
      <c r="F1717" s="1553"/>
      <c r="G1717" s="1554"/>
      <c r="H1717" s="1550"/>
      <c r="J1717" s="1637"/>
      <c r="K1717" s="1637"/>
    </row>
    <row r="1718" spans="1:11" ht="15.75" thickBot="1" x14ac:dyDescent="0.3">
      <c r="A1718" s="1559"/>
      <c r="B1718" s="1369" t="s">
        <v>5412</v>
      </c>
      <c r="C1718" s="1363" t="s">
        <v>5420</v>
      </c>
      <c r="D1718" s="1120" t="s">
        <v>5421</v>
      </c>
      <c r="E1718" s="1363" t="s">
        <v>7187</v>
      </c>
      <c r="F1718" s="1363" t="s">
        <v>5405</v>
      </c>
      <c r="G1718" s="1370" t="s">
        <v>7179</v>
      </c>
      <c r="H1718" s="1371"/>
      <c r="J1718" s="1637"/>
      <c r="K1718" s="1637"/>
    </row>
    <row r="1719" spans="1:11" x14ac:dyDescent="0.25">
      <c r="A1719" s="1527"/>
      <c r="B1719" s="1560" t="s">
        <v>9422</v>
      </c>
      <c r="C1719" s="1569">
        <v>170000</v>
      </c>
      <c r="D1719" s="352">
        <f>0.6*C1719</f>
        <v>102000</v>
      </c>
      <c r="E1719" s="1569">
        <f>+D1719+C1719</f>
        <v>272000</v>
      </c>
      <c r="F1719" s="819">
        <v>0.05</v>
      </c>
      <c r="G1719" s="818">
        <f>+F1719*E1719</f>
        <v>13600</v>
      </c>
      <c r="H1719" s="1524"/>
      <c r="J1719" s="1637"/>
      <c r="K1719" s="1637"/>
    </row>
    <row r="1720" spans="1:11" x14ac:dyDescent="0.25">
      <c r="A1720" s="1527"/>
      <c r="B1720" s="1560"/>
      <c r="C1720" s="1569"/>
      <c r="D1720" s="1569"/>
      <c r="E1720" s="1569"/>
      <c r="F1720" s="819"/>
      <c r="G1720" s="818"/>
      <c r="H1720" s="1524"/>
      <c r="J1720" s="1637"/>
      <c r="K1720" s="1637"/>
    </row>
    <row r="1721" spans="1:11" x14ac:dyDescent="0.25">
      <c r="A1721" s="1527"/>
      <c r="B1721" s="1561"/>
      <c r="C1721" s="1569"/>
      <c r="D1721" s="1569"/>
      <c r="E1721" s="1569"/>
      <c r="F1721" s="817"/>
      <c r="G1721" s="818"/>
      <c r="H1721" s="1524"/>
      <c r="J1721" s="1637"/>
      <c r="K1721" s="1637"/>
    </row>
    <row r="1722" spans="1:11" x14ac:dyDescent="0.25">
      <c r="A1722" s="1527"/>
      <c r="B1722" s="1540"/>
      <c r="C1722" s="1569"/>
      <c r="D1722" s="1569"/>
      <c r="E1722" s="1569"/>
      <c r="F1722" s="817"/>
      <c r="G1722" s="818"/>
      <c r="H1722" s="1524"/>
      <c r="J1722" s="1637"/>
      <c r="K1722" s="1637"/>
    </row>
    <row r="1723" spans="1:11" x14ac:dyDescent="0.25">
      <c r="A1723" s="1527"/>
      <c r="B1723" s="1540"/>
      <c r="C1723" s="1538" t="s">
        <v>7182</v>
      </c>
      <c r="D1723" s="952" t="s">
        <v>7182</v>
      </c>
      <c r="E1723" s="1538" t="s">
        <v>7182</v>
      </c>
      <c r="F1723" s="817"/>
      <c r="G1723" s="818" t="str">
        <f>IF(B1723="","",E1723/F1723)</f>
        <v/>
      </c>
      <c r="H1723" s="1524"/>
      <c r="J1723" s="1637"/>
      <c r="K1723" s="1637"/>
    </row>
    <row r="1724" spans="1:11" ht="15.75" thickBot="1" x14ac:dyDescent="0.3">
      <c r="A1724" s="1527"/>
      <c r="B1724" s="1540"/>
      <c r="C1724" s="1538" t="s">
        <v>7182</v>
      </c>
      <c r="D1724" s="952" t="s">
        <v>7182</v>
      </c>
      <c r="E1724" s="1538" t="s">
        <v>7182</v>
      </c>
      <c r="F1724" s="1537"/>
      <c r="G1724" s="818" t="str">
        <f>IF(B1724="","",E1724/F1724)</f>
        <v/>
      </c>
      <c r="H1724" s="1524"/>
      <c r="J1724" s="1637"/>
      <c r="K1724" s="1637"/>
    </row>
    <row r="1725" spans="1:11" ht="15.75" thickBot="1" x14ac:dyDescent="0.3">
      <c r="A1725" s="1527"/>
      <c r="B1725" s="1555"/>
      <c r="C1725" s="1556"/>
      <c r="D1725" s="956"/>
      <c r="E1725" s="1556"/>
      <c r="F1725" s="1557"/>
      <c r="G1725" s="1558"/>
      <c r="H1725" s="1546">
        <f>SUM(G1719:G1725)</f>
        <v>13600</v>
      </c>
      <c r="J1725" s="1637"/>
      <c r="K1725" s="1637"/>
    </row>
    <row r="1726" spans="1:11" ht="15.75" thickBot="1" x14ac:dyDescent="0.3">
      <c r="A1726" s="1527"/>
      <c r="B1726" s="1527"/>
      <c r="C1726" s="1527"/>
      <c r="D1726" s="529"/>
      <c r="F1726" s="1528"/>
      <c r="G1726" s="1524"/>
      <c r="H1726" s="1524"/>
      <c r="J1726" s="1637"/>
      <c r="K1726" s="1637"/>
    </row>
    <row r="1727" spans="1:11" ht="15.75" thickBot="1" x14ac:dyDescent="0.3">
      <c r="A1727" s="1647" t="s">
        <v>6744</v>
      </c>
      <c r="B1727" s="1352"/>
      <c r="C1727" s="1352"/>
      <c r="D1727" s="1671"/>
      <c r="E1727" s="1672"/>
      <c r="F1727" s="1353"/>
      <c r="G1727" s="1527" t="s">
        <v>5415</v>
      </c>
      <c r="H1727" s="502">
        <f>ROUND(SUM(H1685:H1726),0)</f>
        <v>67518</v>
      </c>
      <c r="J1727" s="1673">
        <f>+B1681</f>
        <v>10.39</v>
      </c>
      <c r="K1727" s="1674">
        <f>+H1727</f>
        <v>67518</v>
      </c>
    </row>
    <row r="1728" spans="1:11" x14ac:dyDescent="0.25">
      <c r="A1728" s="1675"/>
      <c r="B1728" s="1676"/>
      <c r="C1728" s="1676"/>
      <c r="D1728" s="1677"/>
      <c r="E1728" s="1678"/>
      <c r="F1728" s="1679"/>
      <c r="G1728" s="1680"/>
      <c r="H1728" s="1680"/>
    </row>
    <row r="1729" spans="1:11" ht="18.75" x14ac:dyDescent="0.25">
      <c r="A1729" s="1523"/>
      <c r="B1729" s="1655"/>
      <c r="C1729" s="1655"/>
      <c r="D1729" s="950"/>
      <c r="E1729" s="1655"/>
      <c r="F1729" s="1655"/>
      <c r="G1729" s="1655"/>
      <c r="H1729" s="8"/>
    </row>
    <row r="1730" spans="1:11" x14ac:dyDescent="0.25">
      <c r="A1730" s="1523"/>
      <c r="B1730" s="8"/>
      <c r="C1730" s="8"/>
      <c r="D1730" s="529"/>
      <c r="E1730" s="8"/>
      <c r="F1730" s="1523"/>
      <c r="G1730" s="1524"/>
      <c r="H1730" s="8"/>
    </row>
    <row r="1731" spans="1:11" ht="49.5" customHeight="1" x14ac:dyDescent="0.25">
      <c r="A1731" s="1665" t="s">
        <v>3</v>
      </c>
      <c r="B1731" s="1666">
        <f>+VLOOKUP(C1731,ListaAPUs!$B:$E,4,FALSE)</f>
        <v>10.4</v>
      </c>
      <c r="C1731" s="2441" t="str">
        <f>+ListaAPUs!B240</f>
        <v>Cajas de inspeccion CS 276 norma Codensa</v>
      </c>
      <c r="D1731" s="2441"/>
      <c r="E1731" s="2441"/>
      <c r="F1731" s="1665" t="s">
        <v>867</v>
      </c>
      <c r="G1731" s="1390" t="str">
        <f>+VLOOKUP(C1731,ListaAPUs!$B:$E,2,FALSE)</f>
        <v>un</v>
      </c>
      <c r="H1731" s="1524"/>
    </row>
    <row r="1732" spans="1:11" x14ac:dyDescent="0.25">
      <c r="A1732" s="1528"/>
      <c r="B1732" s="1527"/>
      <c r="C1732" s="1527"/>
      <c r="D1732" s="529"/>
      <c r="E1732" s="1527"/>
      <c r="F1732" s="1528"/>
      <c r="G1732" s="1524"/>
      <c r="H1732" s="1524"/>
    </row>
    <row r="1733" spans="1:11" x14ac:dyDescent="0.25">
      <c r="A1733" s="1528"/>
      <c r="B1733" s="1527"/>
      <c r="C1733" s="1527"/>
      <c r="D1733" s="529"/>
      <c r="E1733" s="1527"/>
      <c r="F1733" s="1528"/>
      <c r="G1733" s="1529"/>
      <c r="H1733" s="1524"/>
    </row>
    <row r="1734" spans="1:11" ht="15.75" thickBot="1" x14ac:dyDescent="0.3">
      <c r="A1734" s="1528"/>
      <c r="B1734" s="1527"/>
      <c r="C1734" s="1527"/>
      <c r="D1734" s="529"/>
      <c r="E1734" s="1527"/>
      <c r="F1734" s="1528"/>
      <c r="G1734" s="1524"/>
      <c r="H1734" s="1524"/>
    </row>
    <row r="1735" spans="1:11" ht="15.75" thickBot="1" x14ac:dyDescent="0.3">
      <c r="A1735" s="1368"/>
      <c r="B1735" s="1369" t="s">
        <v>5403</v>
      </c>
      <c r="C1735" s="1363" t="s">
        <v>867</v>
      </c>
      <c r="D1735" s="1120" t="s">
        <v>6</v>
      </c>
      <c r="E1735" s="1363" t="s">
        <v>9417</v>
      </c>
      <c r="F1735" s="1363" t="s">
        <v>5405</v>
      </c>
      <c r="G1735" s="1370" t="s">
        <v>7179</v>
      </c>
      <c r="H1735" s="1371"/>
    </row>
    <row r="1736" spans="1:11" ht="51" x14ac:dyDescent="0.25">
      <c r="A1736" s="1528"/>
      <c r="B1736" s="1746" t="s">
        <v>9419</v>
      </c>
      <c r="C1736" s="1802" t="s">
        <v>5</v>
      </c>
      <c r="D1736" s="1794">
        <v>1</v>
      </c>
      <c r="E1736" s="1803">
        <f>480000*1.19</f>
        <v>571200</v>
      </c>
      <c r="F1736" s="1804">
        <v>1</v>
      </c>
      <c r="G1736" s="1805">
        <f>+F1736*E1736</f>
        <v>571200</v>
      </c>
      <c r="H1736" s="1524"/>
    </row>
    <row r="1737" spans="1:11" ht="25.5" x14ac:dyDescent="0.25">
      <c r="A1737" s="1528"/>
      <c r="B1737" s="1822" t="s">
        <v>9420</v>
      </c>
      <c r="C1737" s="1749" t="s">
        <v>9023</v>
      </c>
      <c r="D1737" s="1773">
        <v>1</v>
      </c>
      <c r="E1737" s="1825">
        <v>70000</v>
      </c>
      <c r="F1737" s="1769">
        <v>1</v>
      </c>
      <c r="G1737" s="1786">
        <f>+F1737*E1737</f>
        <v>70000</v>
      </c>
      <c r="H1737" s="1524"/>
    </row>
    <row r="1738" spans="1:11" x14ac:dyDescent="0.25">
      <c r="A1738" s="1528"/>
      <c r="B1738" s="1822" t="s">
        <v>9423</v>
      </c>
      <c r="C1738" s="1749" t="s">
        <v>5</v>
      </c>
      <c r="D1738" s="1773">
        <f>300*2</f>
        <v>600</v>
      </c>
      <c r="E1738" s="1825">
        <v>500</v>
      </c>
      <c r="F1738" s="1769">
        <v>1</v>
      </c>
      <c r="G1738" s="1786">
        <f>+F1738*E1738*D1738</f>
        <v>300000</v>
      </c>
      <c r="H1738" s="1524"/>
    </row>
    <row r="1739" spans="1:11" x14ac:dyDescent="0.25">
      <c r="A1739" s="1528"/>
      <c r="B1739" s="1822" t="s">
        <v>9424</v>
      </c>
      <c r="C1739" s="1749" t="s">
        <v>5464</v>
      </c>
      <c r="D1739" s="1773">
        <v>0.46</v>
      </c>
      <c r="E1739" s="1782">
        <v>250000</v>
      </c>
      <c r="F1739" s="1769">
        <v>1</v>
      </c>
      <c r="G1739" s="1786">
        <v>1</v>
      </c>
      <c r="H1739" s="1524"/>
    </row>
    <row r="1740" spans="1:11" x14ac:dyDescent="0.25">
      <c r="A1740" s="1528"/>
      <c r="B1740" s="1822" t="s">
        <v>9425</v>
      </c>
      <c r="C1740" s="1749" t="s">
        <v>5464</v>
      </c>
      <c r="D1740" s="1773">
        <v>0.35</v>
      </c>
      <c r="E1740" s="1782">
        <v>270000</v>
      </c>
      <c r="F1740" s="1769">
        <v>1</v>
      </c>
      <c r="G1740" s="1786">
        <v>1</v>
      </c>
      <c r="H1740" s="1524"/>
    </row>
    <row r="1741" spans="1:11" x14ac:dyDescent="0.25">
      <c r="A1741" s="1528"/>
      <c r="B1741" s="1822" t="s">
        <v>9426</v>
      </c>
      <c r="C1741" s="1749" t="s">
        <v>9023</v>
      </c>
      <c r="D1741" s="1773">
        <v>1</v>
      </c>
      <c r="E1741" s="1782">
        <v>45000</v>
      </c>
      <c r="F1741" s="1769">
        <v>1</v>
      </c>
      <c r="G1741" s="1786">
        <f>+F1741*E1741*D1741</f>
        <v>45000</v>
      </c>
      <c r="H1741" s="1524"/>
    </row>
    <row r="1742" spans="1:11" x14ac:dyDescent="0.25">
      <c r="A1742" s="1528"/>
      <c r="B1742" s="1667"/>
      <c r="C1742" s="1537"/>
      <c r="D1742" s="212"/>
      <c r="E1742" s="816"/>
      <c r="F1742" s="1563"/>
      <c r="G1742" s="814"/>
      <c r="H1742" s="1524"/>
    </row>
    <row r="1743" spans="1:11" x14ac:dyDescent="0.25">
      <c r="A1743" s="1528"/>
      <c r="B1743" s="1667"/>
      <c r="C1743" s="1537"/>
      <c r="D1743" s="212"/>
      <c r="E1743" s="816"/>
      <c r="F1743" s="1563"/>
      <c r="G1743" s="814"/>
      <c r="H1743" s="1524"/>
      <c r="J1743" s="1637"/>
      <c r="K1743" s="1637"/>
    </row>
    <row r="1744" spans="1:11" x14ac:dyDescent="0.25">
      <c r="A1744" s="1528"/>
      <c r="B1744" s="1667"/>
      <c r="C1744" s="1537"/>
      <c r="D1744" s="212"/>
      <c r="E1744" s="816"/>
      <c r="F1744" s="1563"/>
      <c r="G1744" s="814"/>
      <c r="H1744" s="1524"/>
      <c r="J1744" s="1637"/>
      <c r="K1744" s="1637"/>
    </row>
    <row r="1745" spans="1:11" x14ac:dyDescent="0.25">
      <c r="A1745" s="1528"/>
      <c r="B1745" s="1667"/>
      <c r="C1745" s="1537"/>
      <c r="D1745" s="212"/>
      <c r="E1745" s="816"/>
      <c r="F1745" s="1563"/>
      <c r="G1745" s="814"/>
      <c r="H1745" s="1524"/>
      <c r="J1745" s="1637"/>
      <c r="K1745" s="1637"/>
    </row>
    <row r="1746" spans="1:11" x14ac:dyDescent="0.25">
      <c r="A1746" s="1528"/>
      <c r="B1746" s="1667"/>
      <c r="C1746" s="1537"/>
      <c r="D1746" s="212"/>
      <c r="E1746" s="816"/>
      <c r="F1746" s="1563"/>
      <c r="G1746" s="814"/>
      <c r="H1746" s="1524"/>
      <c r="J1746" s="1637"/>
      <c r="K1746" s="1637"/>
    </row>
    <row r="1747" spans="1:11" x14ac:dyDescent="0.25">
      <c r="A1747" s="1528"/>
      <c r="B1747" s="269"/>
      <c r="C1747" s="1537"/>
      <c r="D1747" s="212"/>
      <c r="E1747" s="816"/>
      <c r="F1747" s="1563"/>
      <c r="G1747" s="814"/>
      <c r="H1747" s="1524"/>
      <c r="J1747" s="1637"/>
      <c r="K1747" s="1637"/>
    </row>
    <row r="1748" spans="1:11" x14ac:dyDescent="0.25">
      <c r="A1748" s="1528"/>
      <c r="B1748" s="268"/>
      <c r="C1748" s="1534"/>
      <c r="D1748" s="211"/>
      <c r="E1748" s="1535" t="s">
        <v>7182</v>
      </c>
      <c r="F1748" s="1551"/>
      <c r="G1748" s="1541" t="s">
        <v>7182</v>
      </c>
      <c r="H1748" s="1524"/>
      <c r="J1748" s="1637"/>
      <c r="K1748" s="1637"/>
    </row>
    <row r="1749" spans="1:11" x14ac:dyDescent="0.25">
      <c r="A1749" s="1528"/>
      <c r="B1749" s="1346"/>
      <c r="C1749" s="1534"/>
      <c r="D1749" s="211"/>
      <c r="E1749" s="1535" t="s">
        <v>7182</v>
      </c>
      <c r="F1749" s="1551"/>
      <c r="G1749" s="1541" t="s">
        <v>7182</v>
      </c>
      <c r="H1749" s="1524"/>
      <c r="J1749" s="1637"/>
      <c r="K1749" s="1637"/>
    </row>
    <row r="1750" spans="1:11" ht="15.75" thickBot="1" x14ac:dyDescent="0.3">
      <c r="A1750" s="1528"/>
      <c r="B1750" s="1540"/>
      <c r="C1750" s="1537"/>
      <c r="D1750" s="952"/>
      <c r="E1750" s="1538" t="s">
        <v>7182</v>
      </c>
      <c r="F1750" s="1537"/>
      <c r="G1750" s="1541" t="s">
        <v>7182</v>
      </c>
      <c r="H1750" s="1524"/>
      <c r="J1750" s="1637"/>
      <c r="K1750" s="1637"/>
    </row>
    <row r="1751" spans="1:11" ht="15.75" thickBot="1" x14ac:dyDescent="0.3">
      <c r="A1751" s="1528"/>
      <c r="B1751" s="1555"/>
      <c r="C1751" s="1557"/>
      <c r="D1751" s="956"/>
      <c r="E1751" s="1556" t="s">
        <v>7182</v>
      </c>
      <c r="F1751" s="1557"/>
      <c r="G1751" s="1558" t="s">
        <v>7182</v>
      </c>
      <c r="H1751" s="1546">
        <f>SUM(G1736:G1751)</f>
        <v>986202</v>
      </c>
      <c r="J1751" s="1637"/>
      <c r="K1751" s="1637"/>
    </row>
    <row r="1752" spans="1:11" x14ac:dyDescent="0.25">
      <c r="A1752" s="1528"/>
      <c r="B1752" s="1372"/>
      <c r="C1752" s="1374"/>
      <c r="D1752" s="1373"/>
      <c r="E1752" s="1372" t="s">
        <v>7182</v>
      </c>
      <c r="F1752" s="1374"/>
      <c r="G1752" s="1375" t="s">
        <v>7182</v>
      </c>
      <c r="H1752" s="1550"/>
      <c r="J1752" s="1637"/>
      <c r="K1752" s="1637"/>
    </row>
    <row r="1753" spans="1:11" ht="15.75" thickBot="1" x14ac:dyDescent="0.3">
      <c r="A1753" s="1527"/>
      <c r="B1753" s="188"/>
      <c r="C1753" s="189"/>
      <c r="D1753" s="1668"/>
      <c r="E1753" s="188"/>
      <c r="F1753" s="189"/>
      <c r="G1753" s="1669"/>
      <c r="H1753" s="1550"/>
      <c r="J1753" s="1637"/>
      <c r="K1753" s="1637"/>
    </row>
    <row r="1754" spans="1:11" ht="15.75" thickBot="1" x14ac:dyDescent="0.3">
      <c r="A1754" s="1527"/>
      <c r="B1754" s="1366" t="s">
        <v>9418</v>
      </c>
      <c r="C1754" s="1363" t="s">
        <v>867</v>
      </c>
      <c r="D1754" s="1120" t="s">
        <v>6</v>
      </c>
      <c r="E1754" s="1363" t="s">
        <v>7183</v>
      </c>
      <c r="F1754" s="1363" t="s">
        <v>5405</v>
      </c>
      <c r="G1754" s="1365" t="s">
        <v>7179</v>
      </c>
      <c r="H1754" s="1524"/>
      <c r="J1754" s="1637"/>
      <c r="K1754" s="1637"/>
    </row>
    <row r="1755" spans="1:11" x14ac:dyDescent="0.25">
      <c r="A1755" s="1527"/>
      <c r="B1755" s="1564" t="s">
        <v>5455</v>
      </c>
      <c r="C1755" s="1534" t="s">
        <v>5</v>
      </c>
      <c r="D1755" s="211">
        <v>1</v>
      </c>
      <c r="E1755" s="1535">
        <f>50000/12</f>
        <v>4166.666666666667</v>
      </c>
      <c r="F1755" s="297">
        <v>3</v>
      </c>
      <c r="G1755" s="1572">
        <f>+F1755*E1755</f>
        <v>12500</v>
      </c>
      <c r="H1755" s="1524"/>
      <c r="J1755" s="1637"/>
      <c r="K1755" s="1637"/>
    </row>
    <row r="1756" spans="1:11" x14ac:dyDescent="0.25">
      <c r="A1756" s="1527"/>
      <c r="B1756" s="1540"/>
      <c r="C1756" s="1537"/>
      <c r="D1756" s="212"/>
      <c r="E1756" s="1535" t="s">
        <v>7182</v>
      </c>
      <c r="F1756" s="1537"/>
      <c r="G1756" s="1572" t="s">
        <v>7182</v>
      </c>
      <c r="H1756" s="1524"/>
      <c r="J1756" s="1637"/>
      <c r="K1756" s="1637"/>
    </row>
    <row r="1757" spans="1:11" x14ac:dyDescent="0.25">
      <c r="A1757" s="1527"/>
      <c r="B1757" s="1540"/>
      <c r="C1757" s="1537"/>
      <c r="D1757" s="212"/>
      <c r="E1757" s="1535" t="s">
        <v>7182</v>
      </c>
      <c r="F1757" s="1537"/>
      <c r="G1757" s="1572" t="s">
        <v>7182</v>
      </c>
      <c r="H1757" s="1524"/>
      <c r="J1757" s="1637"/>
      <c r="K1757" s="1637"/>
    </row>
    <row r="1758" spans="1:11" ht="15.75" thickBot="1" x14ac:dyDescent="0.3">
      <c r="A1758" s="1527"/>
      <c r="B1758" s="1540"/>
      <c r="C1758" s="1537"/>
      <c r="D1758" s="212"/>
      <c r="E1758" s="1535" t="s">
        <v>7182</v>
      </c>
      <c r="F1758" s="1537"/>
      <c r="G1758" s="1572" t="s">
        <v>7182</v>
      </c>
      <c r="H1758" s="1524"/>
      <c r="J1758" s="1637"/>
      <c r="K1758" s="1637"/>
    </row>
    <row r="1759" spans="1:11" ht="15.75" thickBot="1" x14ac:dyDescent="0.3">
      <c r="A1759" s="1527"/>
      <c r="B1759" s="1555"/>
      <c r="C1759" s="1556"/>
      <c r="D1759" s="956"/>
      <c r="E1759" s="1556" t="s">
        <v>7182</v>
      </c>
      <c r="F1759" s="1557"/>
      <c r="G1759" s="1558" t="s">
        <v>7182</v>
      </c>
      <c r="H1759" s="1546">
        <f>SUM(G1755:G1759)</f>
        <v>12500</v>
      </c>
      <c r="J1759" s="1637"/>
      <c r="K1759" s="1637"/>
    </row>
    <row r="1760" spans="1:11" ht="15.75" thickBot="1" x14ac:dyDescent="0.3">
      <c r="A1760" s="1527"/>
      <c r="B1760" s="1376"/>
      <c r="C1760" s="1353"/>
      <c r="D1760" s="1355"/>
      <c r="E1760" s="1352"/>
      <c r="F1760" s="1377"/>
      <c r="G1760" s="1378"/>
      <c r="H1760" s="1524"/>
      <c r="J1760" s="1637"/>
      <c r="K1760" s="1637"/>
    </row>
    <row r="1761" spans="1:11" ht="15.75" thickBot="1" x14ac:dyDescent="0.3">
      <c r="A1761" s="1527"/>
      <c r="B1761" s="1366" t="s">
        <v>5410</v>
      </c>
      <c r="C1761" s="1363" t="s">
        <v>867</v>
      </c>
      <c r="D1761" s="1120" t="s">
        <v>6</v>
      </c>
      <c r="E1761" s="1363" t="s">
        <v>7183</v>
      </c>
      <c r="F1761" s="1363" t="s">
        <v>5405</v>
      </c>
      <c r="G1761" s="1365" t="s">
        <v>7179</v>
      </c>
      <c r="H1761" s="1524"/>
      <c r="J1761" s="1637"/>
      <c r="K1761" s="1637"/>
    </row>
    <row r="1762" spans="1:11" ht="25.5" x14ac:dyDescent="0.25">
      <c r="A1762" s="1527"/>
      <c r="B1762" s="1770" t="s">
        <v>9421</v>
      </c>
      <c r="C1762" s="1747" t="s">
        <v>9023</v>
      </c>
      <c r="D1762" s="1772">
        <v>1</v>
      </c>
      <c r="E1762" s="1748">
        <f>330000*0.166666666666667</f>
        <v>55000.000000000109</v>
      </c>
      <c r="F1762" s="1777">
        <v>1</v>
      </c>
      <c r="G1762" s="1783">
        <f>+F1762*E1762</f>
        <v>55000.000000000109</v>
      </c>
      <c r="H1762" s="1524"/>
      <c r="J1762" s="1637"/>
      <c r="K1762" s="1637"/>
    </row>
    <row r="1763" spans="1:11" x14ac:dyDescent="0.25">
      <c r="A1763" s="1527"/>
      <c r="B1763" s="1540"/>
      <c r="C1763" s="1537"/>
      <c r="D1763" s="212"/>
      <c r="E1763" s="1535" t="s">
        <v>7182</v>
      </c>
      <c r="F1763" s="1537"/>
      <c r="G1763" s="1572" t="s">
        <v>7182</v>
      </c>
      <c r="H1763" s="1524"/>
      <c r="J1763" s="1637"/>
      <c r="K1763" s="1637"/>
    </row>
    <row r="1764" spans="1:11" x14ac:dyDescent="0.25">
      <c r="A1764" s="1527"/>
      <c r="B1764" s="1540"/>
      <c r="C1764" s="1537"/>
      <c r="D1764" s="212"/>
      <c r="E1764" s="1535" t="s">
        <v>7182</v>
      </c>
      <c r="F1764" s="1537"/>
      <c r="G1764" s="1572" t="s">
        <v>7182</v>
      </c>
      <c r="H1764" s="1524"/>
      <c r="J1764" s="1637"/>
      <c r="K1764" s="1637"/>
    </row>
    <row r="1765" spans="1:11" ht="15.75" thickBot="1" x14ac:dyDescent="0.3">
      <c r="A1765" s="1527"/>
      <c r="B1765" s="1540"/>
      <c r="C1765" s="1537"/>
      <c r="D1765" s="212"/>
      <c r="E1765" s="1535" t="s">
        <v>7182</v>
      </c>
      <c r="F1765" s="1537"/>
      <c r="G1765" s="1572" t="s">
        <v>7182</v>
      </c>
      <c r="H1765" s="1524"/>
      <c r="J1765" s="1637"/>
      <c r="K1765" s="1637"/>
    </row>
    <row r="1766" spans="1:11" ht="15.75" thickBot="1" x14ac:dyDescent="0.3">
      <c r="A1766" s="1527"/>
      <c r="B1766" s="1555"/>
      <c r="C1766" s="1556"/>
      <c r="D1766" s="956"/>
      <c r="E1766" s="1556" t="s">
        <v>7182</v>
      </c>
      <c r="F1766" s="1557"/>
      <c r="G1766" s="1558" t="s">
        <v>7182</v>
      </c>
      <c r="H1766" s="1546">
        <f>SUM(G1762:G1766)</f>
        <v>55000.000000000109</v>
      </c>
      <c r="J1766" s="1637"/>
      <c r="K1766" s="1637"/>
    </row>
    <row r="1767" spans="1:11" ht="15.75" thickBot="1" x14ac:dyDescent="0.3">
      <c r="A1767" s="1527"/>
      <c r="B1767" s="1547"/>
      <c r="C1767" s="1547"/>
      <c r="D1767" s="954"/>
      <c r="E1767" s="1547"/>
      <c r="F1767" s="1553"/>
      <c r="G1767" s="1554"/>
      <c r="H1767" s="1550"/>
      <c r="J1767" s="1637"/>
      <c r="K1767" s="1637"/>
    </row>
    <row r="1768" spans="1:11" ht="15.75" thickBot="1" x14ac:dyDescent="0.3">
      <c r="A1768" s="1559"/>
      <c r="B1768" s="1369" t="s">
        <v>5412</v>
      </c>
      <c r="C1768" s="1363" t="s">
        <v>5420</v>
      </c>
      <c r="D1768" s="1120" t="s">
        <v>5421</v>
      </c>
      <c r="E1768" s="1363" t="s">
        <v>7187</v>
      </c>
      <c r="F1768" s="1363" t="s">
        <v>5405</v>
      </c>
      <c r="G1768" s="1370" t="s">
        <v>7179</v>
      </c>
      <c r="H1768" s="1371"/>
      <c r="J1768" s="1637"/>
      <c r="K1768" s="1637"/>
    </row>
    <row r="1769" spans="1:11" x14ac:dyDescent="0.25">
      <c r="A1769" s="1527"/>
      <c r="B1769" s="1767" t="s">
        <v>9422</v>
      </c>
      <c r="C1769" s="1778">
        <v>180000</v>
      </c>
      <c r="D1769" s="1779">
        <f>0.6*C1769</f>
        <v>108000</v>
      </c>
      <c r="E1769" s="1778">
        <f>+D1769+C1769</f>
        <v>288000</v>
      </c>
      <c r="F1769" s="1790">
        <v>1</v>
      </c>
      <c r="G1769" s="1789">
        <f>+F1769*E1769</f>
        <v>288000</v>
      </c>
      <c r="H1769" s="1524"/>
      <c r="J1769" s="1637"/>
      <c r="K1769" s="1637"/>
    </row>
    <row r="1770" spans="1:11" x14ac:dyDescent="0.25">
      <c r="A1770" s="1527"/>
      <c r="B1770" s="1560"/>
      <c r="C1770" s="1569"/>
      <c r="D1770" s="1569"/>
      <c r="E1770" s="1569"/>
      <c r="F1770" s="819"/>
      <c r="G1770" s="818"/>
      <c r="H1770" s="1524"/>
      <c r="J1770" s="1637"/>
      <c r="K1770" s="1637"/>
    </row>
    <row r="1771" spans="1:11" x14ac:dyDescent="0.25">
      <c r="A1771" s="1527"/>
      <c r="B1771" s="1561"/>
      <c r="C1771" s="1569"/>
      <c r="D1771" s="1569"/>
      <c r="E1771" s="1569"/>
      <c r="F1771" s="817"/>
      <c r="G1771" s="818"/>
      <c r="H1771" s="1524"/>
      <c r="J1771" s="1637"/>
      <c r="K1771" s="1637"/>
    </row>
    <row r="1772" spans="1:11" x14ac:dyDescent="0.25">
      <c r="A1772" s="1527"/>
      <c r="B1772" s="1540"/>
      <c r="C1772" s="1569"/>
      <c r="D1772" s="1569"/>
      <c r="E1772" s="1569"/>
      <c r="F1772" s="817"/>
      <c r="G1772" s="818"/>
      <c r="H1772" s="1524"/>
      <c r="J1772" s="1637"/>
      <c r="K1772" s="1637"/>
    </row>
    <row r="1773" spans="1:11" x14ac:dyDescent="0.25">
      <c r="A1773" s="1527"/>
      <c r="B1773" s="1540"/>
      <c r="C1773" s="1538" t="s">
        <v>7182</v>
      </c>
      <c r="D1773" s="952" t="s">
        <v>7182</v>
      </c>
      <c r="E1773" s="1538" t="s">
        <v>7182</v>
      </c>
      <c r="F1773" s="817"/>
      <c r="G1773" s="818" t="str">
        <f>IF(B1773="","",E1773/F1773)</f>
        <v/>
      </c>
      <c r="H1773" s="1524"/>
      <c r="J1773" s="1637"/>
      <c r="K1773" s="1637"/>
    </row>
    <row r="1774" spans="1:11" ht="15.75" thickBot="1" x14ac:dyDescent="0.3">
      <c r="A1774" s="1527"/>
      <c r="B1774" s="1540"/>
      <c r="C1774" s="1538" t="s">
        <v>7182</v>
      </c>
      <c r="D1774" s="952" t="s">
        <v>7182</v>
      </c>
      <c r="E1774" s="1538" t="s">
        <v>7182</v>
      </c>
      <c r="F1774" s="1537"/>
      <c r="G1774" s="818" t="str">
        <f>IF(B1774="","",E1774/F1774)</f>
        <v/>
      </c>
      <c r="H1774" s="1524"/>
      <c r="J1774" s="1637"/>
      <c r="K1774" s="1637"/>
    </row>
    <row r="1775" spans="1:11" ht="15.75" thickBot="1" x14ac:dyDescent="0.3">
      <c r="A1775" s="1527"/>
      <c r="B1775" s="1555"/>
      <c r="C1775" s="1556"/>
      <c r="D1775" s="956"/>
      <c r="E1775" s="1556"/>
      <c r="F1775" s="1557"/>
      <c r="G1775" s="1558"/>
      <c r="H1775" s="1546">
        <f>SUM(G1769:G1775)</f>
        <v>288000</v>
      </c>
    </row>
    <row r="1776" spans="1:11" ht="15.75" thickBot="1" x14ac:dyDescent="0.3">
      <c r="A1776" s="1527"/>
      <c r="B1776" s="1527"/>
      <c r="C1776" s="1527"/>
      <c r="D1776" s="529"/>
      <c r="F1776" s="1528"/>
      <c r="G1776" s="1524"/>
      <c r="H1776" s="1524"/>
    </row>
    <row r="1777" spans="1:11" ht="15.75" thickBot="1" x14ac:dyDescent="0.3">
      <c r="A1777" s="1647" t="s">
        <v>6744</v>
      </c>
      <c r="B1777" s="1352"/>
      <c r="C1777" s="1352"/>
      <c r="D1777" s="1671"/>
      <c r="E1777" s="1672"/>
      <c r="F1777" s="1353"/>
      <c r="G1777" s="1527" t="s">
        <v>5415</v>
      </c>
      <c r="H1777" s="502">
        <f>ROUND(SUM(H1735:H1776),0)</f>
        <v>1341702</v>
      </c>
      <c r="J1777" s="1673">
        <f>+B1731</f>
        <v>10.4</v>
      </c>
      <c r="K1777" s="1674">
        <f>+H1777</f>
        <v>1341702</v>
      </c>
    </row>
    <row r="1778" spans="1:11" x14ac:dyDescent="0.25">
      <c r="A1778" s="1675"/>
      <c r="B1778" s="1676"/>
      <c r="C1778" s="1676"/>
      <c r="D1778" s="1677"/>
      <c r="E1778" s="1678"/>
      <c r="F1778" s="1679"/>
      <c r="G1778" s="1680"/>
      <c r="H1778" s="1680"/>
    </row>
    <row r="1779" spans="1:11" ht="18.75" x14ac:dyDescent="0.25">
      <c r="A1779" s="1523"/>
      <c r="B1779" s="1655"/>
      <c r="C1779" s="1655"/>
      <c r="D1779" s="950"/>
      <c r="E1779" s="1655"/>
      <c r="F1779" s="1655"/>
      <c r="G1779" s="1655"/>
      <c r="H1779" s="8"/>
    </row>
    <row r="1780" spans="1:11" x14ac:dyDescent="0.25">
      <c r="A1780" s="1523"/>
      <c r="B1780" s="8"/>
      <c r="C1780" s="8"/>
      <c r="D1780" s="529"/>
      <c r="E1780" s="8"/>
      <c r="F1780" s="1523"/>
      <c r="G1780" s="1524"/>
      <c r="H1780" s="8"/>
    </row>
    <row r="1781" spans="1:11" ht="49.5" customHeight="1" x14ac:dyDescent="0.25">
      <c r="A1781" s="1665" t="s">
        <v>3</v>
      </c>
      <c r="B1781" s="1666">
        <f>+VLOOKUP(C1781,ListaAPUs!$B:$E,4,FALSE)</f>
        <v>10.41</v>
      </c>
      <c r="C1781" s="2441" t="str">
        <f>+ListaAPUs!B241</f>
        <v>Cajas de inspeccion CS 275 norma Codensa</v>
      </c>
      <c r="D1781" s="2441"/>
      <c r="E1781" s="2441"/>
      <c r="F1781" s="1665" t="s">
        <v>867</v>
      </c>
      <c r="G1781" s="1390" t="str">
        <f>+VLOOKUP(C1781,ListaAPUs!$B:$E,2,FALSE)</f>
        <v>un</v>
      </c>
      <c r="H1781" s="1524"/>
    </row>
    <row r="1782" spans="1:11" x14ac:dyDescent="0.25">
      <c r="A1782" s="1528"/>
      <c r="B1782" s="1527"/>
      <c r="C1782" s="1527"/>
      <c r="D1782" s="529"/>
      <c r="E1782" s="1527"/>
      <c r="F1782" s="1528"/>
      <c r="G1782" s="1524"/>
      <c r="H1782" s="1524"/>
    </row>
    <row r="1783" spans="1:11" x14ac:dyDescent="0.25">
      <c r="A1783" s="1528"/>
      <c r="B1783" s="1527"/>
      <c r="C1783" s="1527"/>
      <c r="D1783" s="529"/>
      <c r="E1783" s="1527"/>
      <c r="F1783" s="1528"/>
      <c r="G1783" s="1529"/>
      <c r="H1783" s="1524"/>
    </row>
    <row r="1784" spans="1:11" ht="15.75" thickBot="1" x14ac:dyDescent="0.3">
      <c r="A1784" s="1528"/>
      <c r="B1784" s="1527"/>
      <c r="C1784" s="1527"/>
      <c r="D1784" s="529"/>
      <c r="E1784" s="1527"/>
      <c r="F1784" s="1528"/>
      <c r="G1784" s="1524"/>
      <c r="H1784" s="1524"/>
    </row>
    <row r="1785" spans="1:11" ht="15.75" thickBot="1" x14ac:dyDescent="0.3">
      <c r="A1785" s="1368"/>
      <c r="B1785" s="1369" t="s">
        <v>5403</v>
      </c>
      <c r="C1785" s="1363" t="s">
        <v>867</v>
      </c>
      <c r="D1785" s="1120" t="s">
        <v>6</v>
      </c>
      <c r="E1785" s="1363" t="s">
        <v>9417</v>
      </c>
      <c r="F1785" s="1363" t="s">
        <v>5405</v>
      </c>
      <c r="G1785" s="1370" t="s">
        <v>7179</v>
      </c>
      <c r="H1785" s="1371"/>
    </row>
    <row r="1786" spans="1:11" ht="38.25" x14ac:dyDescent="0.25">
      <c r="A1786" s="1528"/>
      <c r="B1786" s="1840" t="s">
        <v>9497</v>
      </c>
      <c r="C1786" s="1841" t="s">
        <v>5</v>
      </c>
      <c r="D1786" s="1842">
        <v>1</v>
      </c>
      <c r="E1786" s="1843">
        <f>280000*1.19</f>
        <v>333200</v>
      </c>
      <c r="F1786" s="1844">
        <v>1</v>
      </c>
      <c r="G1786" s="1845">
        <f>+F1786*E1786</f>
        <v>333200</v>
      </c>
      <c r="H1786" s="1524"/>
    </row>
    <row r="1787" spans="1:11" ht="25.5" x14ac:dyDescent="0.25">
      <c r="A1787" s="1528"/>
      <c r="B1787" s="1846" t="s">
        <v>9420</v>
      </c>
      <c r="C1787" s="1847" t="s">
        <v>9023</v>
      </c>
      <c r="D1787" s="1848">
        <v>1</v>
      </c>
      <c r="E1787" s="1849">
        <v>70000</v>
      </c>
      <c r="F1787" s="1850">
        <v>1</v>
      </c>
      <c r="G1787" s="1851">
        <f>+F1787*E1787</f>
        <v>70000</v>
      </c>
      <c r="H1787" s="1524"/>
    </row>
    <row r="1788" spans="1:11" x14ac:dyDescent="0.25">
      <c r="A1788" s="1528"/>
      <c r="B1788" s="1846" t="s">
        <v>9423</v>
      </c>
      <c r="C1788" s="1847" t="s">
        <v>5</v>
      </c>
      <c r="D1788" s="1848">
        <v>175</v>
      </c>
      <c r="E1788" s="1825">
        <v>500</v>
      </c>
      <c r="F1788" s="1850">
        <v>1</v>
      </c>
      <c r="G1788" s="1851">
        <f>+F1788*E1788*D1788</f>
        <v>87500</v>
      </c>
      <c r="H1788" s="1524"/>
    </row>
    <row r="1789" spans="1:11" x14ac:dyDescent="0.25">
      <c r="A1789" s="1528"/>
      <c r="B1789" s="1846" t="s">
        <v>9424</v>
      </c>
      <c r="C1789" s="1847" t="s">
        <v>5464</v>
      </c>
      <c r="D1789" s="1848">
        <v>0.13</v>
      </c>
      <c r="E1789" s="1782">
        <v>250000</v>
      </c>
      <c r="F1789" s="1850">
        <v>1</v>
      </c>
      <c r="G1789" s="1851">
        <f>+F1789*E1789*D1789</f>
        <v>32500</v>
      </c>
      <c r="H1789" s="1524"/>
    </row>
    <row r="1790" spans="1:11" x14ac:dyDescent="0.25">
      <c r="A1790" s="1528"/>
      <c r="B1790" s="1846" t="s">
        <v>9425</v>
      </c>
      <c r="C1790" s="1847" t="s">
        <v>5464</v>
      </c>
      <c r="D1790" s="1848">
        <f>0.18+0.14</f>
        <v>0.32</v>
      </c>
      <c r="E1790" s="1782">
        <v>270000</v>
      </c>
      <c r="F1790" s="1850">
        <v>1</v>
      </c>
      <c r="G1790" s="1851">
        <f>+F1790*E1790*D1790</f>
        <v>86400</v>
      </c>
      <c r="H1790" s="1524"/>
    </row>
    <row r="1791" spans="1:11" x14ac:dyDescent="0.25">
      <c r="A1791" s="1528"/>
      <c r="B1791" s="1846" t="s">
        <v>9426</v>
      </c>
      <c r="C1791" s="1847" t="s">
        <v>9023</v>
      </c>
      <c r="D1791" s="1848">
        <v>1</v>
      </c>
      <c r="E1791" s="1782">
        <v>45000</v>
      </c>
      <c r="F1791" s="1850">
        <v>1</v>
      </c>
      <c r="G1791" s="1851">
        <f>+F1791*E1791*D1791</f>
        <v>45000</v>
      </c>
      <c r="H1791" s="1524"/>
      <c r="J1791" s="1637"/>
      <c r="K1791" s="1637"/>
    </row>
    <row r="1792" spans="1:11" x14ac:dyDescent="0.25">
      <c r="A1792" s="1528"/>
      <c r="B1792" s="1667"/>
      <c r="C1792" s="1537"/>
      <c r="D1792" s="212"/>
      <c r="E1792" s="816"/>
      <c r="F1792" s="1563"/>
      <c r="G1792" s="814"/>
      <c r="H1792" s="1524"/>
      <c r="J1792" s="1637"/>
      <c r="K1792" s="1637"/>
    </row>
    <row r="1793" spans="1:11" x14ac:dyDescent="0.25">
      <c r="A1793" s="1528"/>
      <c r="B1793" s="1667"/>
      <c r="C1793" s="1537"/>
      <c r="D1793" s="212"/>
      <c r="E1793" s="816"/>
      <c r="F1793" s="1563"/>
      <c r="G1793" s="814"/>
      <c r="H1793" s="1524"/>
      <c r="J1793" s="1637"/>
      <c r="K1793" s="1637"/>
    </row>
    <row r="1794" spans="1:11" x14ac:dyDescent="0.25">
      <c r="A1794" s="1528"/>
      <c r="B1794" s="1667"/>
      <c r="C1794" s="1537"/>
      <c r="D1794" s="212"/>
      <c r="E1794" s="816"/>
      <c r="F1794" s="1563"/>
      <c r="G1794" s="814"/>
      <c r="H1794" s="1524"/>
      <c r="J1794" s="1637"/>
      <c r="K1794" s="1637"/>
    </row>
    <row r="1795" spans="1:11" x14ac:dyDescent="0.25">
      <c r="A1795" s="1528"/>
      <c r="B1795" s="1667"/>
      <c r="C1795" s="1537"/>
      <c r="D1795" s="212"/>
      <c r="E1795" s="816"/>
      <c r="F1795" s="1563"/>
      <c r="G1795" s="814"/>
      <c r="H1795" s="1524"/>
      <c r="J1795" s="1637"/>
      <c r="K1795" s="1637"/>
    </row>
    <row r="1796" spans="1:11" x14ac:dyDescent="0.25">
      <c r="A1796" s="1528"/>
      <c r="B1796" s="1667"/>
      <c r="C1796" s="1537"/>
      <c r="D1796" s="212"/>
      <c r="E1796" s="816"/>
      <c r="F1796" s="1563"/>
      <c r="G1796" s="814"/>
      <c r="H1796" s="1524"/>
      <c r="J1796" s="1637"/>
      <c r="K1796" s="1637"/>
    </row>
    <row r="1797" spans="1:11" x14ac:dyDescent="0.25">
      <c r="A1797" s="1528"/>
      <c r="B1797" s="269"/>
      <c r="C1797" s="1537"/>
      <c r="D1797" s="212"/>
      <c r="E1797" s="816"/>
      <c r="F1797" s="1563"/>
      <c r="G1797" s="814"/>
      <c r="H1797" s="1524"/>
      <c r="J1797" s="1637"/>
      <c r="K1797" s="1637"/>
    </row>
    <row r="1798" spans="1:11" x14ac:dyDescent="0.25">
      <c r="A1798" s="1528"/>
      <c r="B1798" s="268"/>
      <c r="C1798" s="1534"/>
      <c r="D1798" s="211"/>
      <c r="E1798" s="1535" t="s">
        <v>7182</v>
      </c>
      <c r="F1798" s="1551"/>
      <c r="G1798" s="1541" t="s">
        <v>7182</v>
      </c>
      <c r="H1798" s="1524"/>
      <c r="J1798" s="1637"/>
      <c r="K1798" s="1637"/>
    </row>
    <row r="1799" spans="1:11" x14ac:dyDescent="0.25">
      <c r="A1799" s="1528"/>
      <c r="B1799" s="1346"/>
      <c r="C1799" s="1534"/>
      <c r="D1799" s="211"/>
      <c r="E1799" s="1535" t="s">
        <v>7182</v>
      </c>
      <c r="F1799" s="1551"/>
      <c r="G1799" s="1541" t="s">
        <v>7182</v>
      </c>
      <c r="H1799" s="1524"/>
      <c r="J1799" s="1637"/>
      <c r="K1799" s="1637"/>
    </row>
    <row r="1800" spans="1:11" ht="15.75" thickBot="1" x14ac:dyDescent="0.3">
      <c r="A1800" s="1528"/>
      <c r="B1800" s="1540"/>
      <c r="C1800" s="1537"/>
      <c r="D1800" s="952"/>
      <c r="E1800" s="1538" t="s">
        <v>7182</v>
      </c>
      <c r="F1800" s="1537"/>
      <c r="G1800" s="1541" t="s">
        <v>7182</v>
      </c>
      <c r="H1800" s="1524"/>
      <c r="J1800" s="1637"/>
      <c r="K1800" s="1637"/>
    </row>
    <row r="1801" spans="1:11" ht="15.75" thickBot="1" x14ac:dyDescent="0.3">
      <c r="A1801" s="1528"/>
      <c r="B1801" s="1555"/>
      <c r="C1801" s="1557"/>
      <c r="D1801" s="956"/>
      <c r="E1801" s="1556" t="s">
        <v>7182</v>
      </c>
      <c r="F1801" s="1557"/>
      <c r="G1801" s="1558" t="s">
        <v>7182</v>
      </c>
      <c r="H1801" s="1546">
        <f>SUM(G1786:G1801)</f>
        <v>654600</v>
      </c>
      <c r="J1801" s="1637"/>
      <c r="K1801" s="1637"/>
    </row>
    <row r="1802" spans="1:11" x14ac:dyDescent="0.25">
      <c r="A1802" s="1528"/>
      <c r="B1802" s="1372"/>
      <c r="C1802" s="1374"/>
      <c r="D1802" s="1373"/>
      <c r="E1802" s="1372" t="s">
        <v>7182</v>
      </c>
      <c r="F1802" s="1374"/>
      <c r="G1802" s="1375" t="s">
        <v>7182</v>
      </c>
      <c r="H1802" s="1550"/>
      <c r="J1802" s="1637"/>
      <c r="K1802" s="1637"/>
    </row>
    <row r="1803" spans="1:11" ht="15.75" thickBot="1" x14ac:dyDescent="0.3">
      <c r="A1803" s="1527"/>
      <c r="B1803" s="188"/>
      <c r="C1803" s="189"/>
      <c r="D1803" s="1668"/>
      <c r="E1803" s="188"/>
      <c r="F1803" s="189"/>
      <c r="G1803" s="1669"/>
      <c r="H1803" s="1550"/>
      <c r="J1803" s="1637"/>
      <c r="K1803" s="1637"/>
    </row>
    <row r="1804" spans="1:11" ht="15.75" thickBot="1" x14ac:dyDescent="0.3">
      <c r="A1804" s="1527"/>
      <c r="B1804" s="1366" t="s">
        <v>9418</v>
      </c>
      <c r="C1804" s="1363" t="s">
        <v>867</v>
      </c>
      <c r="D1804" s="1120" t="s">
        <v>6</v>
      </c>
      <c r="E1804" s="1363" t="s">
        <v>7183</v>
      </c>
      <c r="F1804" s="1363" t="s">
        <v>5405</v>
      </c>
      <c r="G1804" s="1365" t="s">
        <v>7179</v>
      </c>
      <c r="H1804" s="1524"/>
      <c r="J1804" s="1637"/>
      <c r="K1804" s="1637"/>
    </row>
    <row r="1805" spans="1:11" x14ac:dyDescent="0.25">
      <c r="A1805" s="1527"/>
      <c r="B1805" s="1564" t="s">
        <v>5455</v>
      </c>
      <c r="C1805" s="1534" t="s">
        <v>5</v>
      </c>
      <c r="D1805" s="211">
        <v>1</v>
      </c>
      <c r="E1805" s="1535">
        <f>50000/12</f>
        <v>4166.666666666667</v>
      </c>
      <c r="F1805" s="297">
        <v>1</v>
      </c>
      <c r="G1805" s="1572">
        <f>+F1805*E1805</f>
        <v>4166.666666666667</v>
      </c>
      <c r="H1805" s="1524"/>
      <c r="J1805" s="1637"/>
      <c r="K1805" s="1637"/>
    </row>
    <row r="1806" spans="1:11" x14ac:dyDescent="0.25">
      <c r="A1806" s="1527"/>
      <c r="B1806" s="1540"/>
      <c r="C1806" s="1537"/>
      <c r="D1806" s="212"/>
      <c r="E1806" s="1535" t="s">
        <v>7182</v>
      </c>
      <c r="F1806" s="1537"/>
      <c r="G1806" s="1572" t="s">
        <v>7182</v>
      </c>
      <c r="H1806" s="1524"/>
      <c r="J1806" s="1637"/>
      <c r="K1806" s="1637"/>
    </row>
    <row r="1807" spans="1:11" x14ac:dyDescent="0.25">
      <c r="A1807" s="1527"/>
      <c r="B1807" s="1540"/>
      <c r="C1807" s="1537"/>
      <c r="D1807" s="212"/>
      <c r="E1807" s="1535" t="s">
        <v>7182</v>
      </c>
      <c r="F1807" s="1537"/>
      <c r="G1807" s="1572" t="s">
        <v>7182</v>
      </c>
      <c r="H1807" s="1524"/>
      <c r="J1807" s="1637"/>
      <c r="K1807" s="1637"/>
    </row>
    <row r="1808" spans="1:11" ht="15.75" thickBot="1" x14ac:dyDescent="0.3">
      <c r="A1808" s="1527"/>
      <c r="B1808" s="1540"/>
      <c r="C1808" s="1537"/>
      <c r="D1808" s="212"/>
      <c r="E1808" s="1535" t="s">
        <v>7182</v>
      </c>
      <c r="F1808" s="1537"/>
      <c r="G1808" s="1572" t="s">
        <v>7182</v>
      </c>
      <c r="H1808" s="1524"/>
      <c r="J1808" s="1637"/>
      <c r="K1808" s="1637"/>
    </row>
    <row r="1809" spans="1:11" ht="15.75" thickBot="1" x14ac:dyDescent="0.3">
      <c r="A1809" s="1527"/>
      <c r="B1809" s="1555"/>
      <c r="C1809" s="1556"/>
      <c r="D1809" s="956"/>
      <c r="E1809" s="1556" t="s">
        <v>7182</v>
      </c>
      <c r="F1809" s="1557"/>
      <c r="G1809" s="1558" t="s">
        <v>7182</v>
      </c>
      <c r="H1809" s="1546">
        <f>SUM(G1805:G1809)</f>
        <v>4166.666666666667</v>
      </c>
      <c r="J1809" s="1637"/>
      <c r="K1809" s="1637"/>
    </row>
    <row r="1810" spans="1:11" ht="15.75" thickBot="1" x14ac:dyDescent="0.3">
      <c r="A1810" s="1527"/>
      <c r="B1810" s="1376"/>
      <c r="C1810" s="1353"/>
      <c r="D1810" s="1355"/>
      <c r="E1810" s="1352"/>
      <c r="F1810" s="1377"/>
      <c r="G1810" s="1378"/>
      <c r="H1810" s="1524"/>
      <c r="J1810" s="1637"/>
      <c r="K1810" s="1637"/>
    </row>
    <row r="1811" spans="1:11" ht="15.75" thickBot="1" x14ac:dyDescent="0.3">
      <c r="A1811" s="1527"/>
      <c r="B1811" s="1366" t="s">
        <v>5410</v>
      </c>
      <c r="C1811" s="1363" t="s">
        <v>867</v>
      </c>
      <c r="D1811" s="1120" t="s">
        <v>6</v>
      </c>
      <c r="E1811" s="1363" t="s">
        <v>7183</v>
      </c>
      <c r="F1811" s="1363" t="s">
        <v>5405</v>
      </c>
      <c r="G1811" s="1365" t="s">
        <v>7179</v>
      </c>
      <c r="H1811" s="1524"/>
      <c r="J1811" s="1637"/>
      <c r="K1811" s="1637"/>
    </row>
    <row r="1812" spans="1:11" ht="25.5" x14ac:dyDescent="0.25">
      <c r="A1812" s="1527"/>
      <c r="B1812" s="1564" t="s">
        <v>9421</v>
      </c>
      <c r="C1812" s="1534" t="s">
        <v>9023</v>
      </c>
      <c r="D1812" s="211">
        <v>1</v>
      </c>
      <c r="E1812" s="1535">
        <f>180000*0.166666666666667</f>
        <v>30000.000000000058</v>
      </c>
      <c r="F1812" s="297">
        <v>1</v>
      </c>
      <c r="G1812" s="1572">
        <f>+F1812*E1812</f>
        <v>30000.000000000058</v>
      </c>
      <c r="H1812" s="1524"/>
      <c r="J1812" s="1637"/>
      <c r="K1812" s="1637"/>
    </row>
    <row r="1813" spans="1:11" x14ac:dyDescent="0.25">
      <c r="A1813" s="1527"/>
      <c r="B1813" s="1540"/>
      <c r="C1813" s="1537"/>
      <c r="D1813" s="212"/>
      <c r="E1813" s="1535" t="s">
        <v>7182</v>
      </c>
      <c r="F1813" s="1537"/>
      <c r="G1813" s="1572" t="s">
        <v>7182</v>
      </c>
      <c r="H1813" s="1524"/>
      <c r="J1813" s="1637"/>
      <c r="K1813" s="1637"/>
    </row>
    <row r="1814" spans="1:11" x14ac:dyDescent="0.25">
      <c r="A1814" s="1527"/>
      <c r="B1814" s="1540"/>
      <c r="C1814" s="1537"/>
      <c r="D1814" s="212"/>
      <c r="E1814" s="1535" t="s">
        <v>7182</v>
      </c>
      <c r="F1814" s="1537"/>
      <c r="G1814" s="1572" t="s">
        <v>7182</v>
      </c>
      <c r="H1814" s="1524"/>
      <c r="J1814" s="1637"/>
      <c r="K1814" s="1637"/>
    </row>
    <row r="1815" spans="1:11" ht="15.75" thickBot="1" x14ac:dyDescent="0.3">
      <c r="A1815" s="1527"/>
      <c r="B1815" s="1540"/>
      <c r="C1815" s="1537"/>
      <c r="D1815" s="212"/>
      <c r="E1815" s="1535" t="s">
        <v>7182</v>
      </c>
      <c r="F1815" s="1537"/>
      <c r="G1815" s="1572" t="s">
        <v>7182</v>
      </c>
      <c r="H1815" s="1524"/>
      <c r="J1815" s="1637"/>
      <c r="K1815" s="1637"/>
    </row>
    <row r="1816" spans="1:11" ht="15.75" thickBot="1" x14ac:dyDescent="0.3">
      <c r="A1816" s="1527"/>
      <c r="B1816" s="1555"/>
      <c r="C1816" s="1556"/>
      <c r="D1816" s="956"/>
      <c r="E1816" s="1556" t="s">
        <v>7182</v>
      </c>
      <c r="F1816" s="1557"/>
      <c r="G1816" s="1558" t="s">
        <v>7182</v>
      </c>
      <c r="H1816" s="1546">
        <f>SUM(G1812:G1816)</f>
        <v>30000.000000000058</v>
      </c>
      <c r="J1816" s="1637"/>
      <c r="K1816" s="1637"/>
    </row>
    <row r="1817" spans="1:11" ht="15.75" thickBot="1" x14ac:dyDescent="0.3">
      <c r="A1817" s="1527"/>
      <c r="B1817" s="1547"/>
      <c r="C1817" s="1547"/>
      <c r="D1817" s="954"/>
      <c r="E1817" s="1547"/>
      <c r="F1817" s="1553"/>
      <c r="G1817" s="1554"/>
      <c r="H1817" s="1550"/>
      <c r="J1817" s="1637"/>
      <c r="K1817" s="1637"/>
    </row>
    <row r="1818" spans="1:11" ht="15.75" thickBot="1" x14ac:dyDescent="0.3">
      <c r="A1818" s="1559"/>
      <c r="B1818" s="1369" t="s">
        <v>5412</v>
      </c>
      <c r="C1818" s="1363" t="s">
        <v>5420</v>
      </c>
      <c r="D1818" s="1120" t="s">
        <v>5421</v>
      </c>
      <c r="E1818" s="1363" t="s">
        <v>7187</v>
      </c>
      <c r="F1818" s="1363" t="s">
        <v>5405</v>
      </c>
      <c r="G1818" s="1370" t="s">
        <v>7179</v>
      </c>
      <c r="H1818" s="1371"/>
      <c r="J1818" s="1637"/>
      <c r="K1818" s="1637"/>
    </row>
    <row r="1819" spans="1:11" x14ac:dyDescent="0.25">
      <c r="A1819" s="1527"/>
      <c r="B1819" s="1560" t="s">
        <v>9422</v>
      </c>
      <c r="C1819" s="1569">
        <v>180000</v>
      </c>
      <c r="D1819" s="352">
        <f>0.6*C1819</f>
        <v>108000</v>
      </c>
      <c r="E1819" s="1569">
        <f>+D1819+C1819</f>
        <v>288000</v>
      </c>
      <c r="F1819" s="819">
        <v>0.75</v>
      </c>
      <c r="G1819" s="818">
        <f>+F1819*E1819</f>
        <v>216000</v>
      </c>
      <c r="H1819" s="1524"/>
      <c r="J1819" s="1637"/>
      <c r="K1819" s="1637"/>
    </row>
    <row r="1820" spans="1:11" x14ac:dyDescent="0.25">
      <c r="A1820" s="1527"/>
      <c r="B1820" s="1560"/>
      <c r="C1820" s="1569"/>
      <c r="D1820" s="1569"/>
      <c r="E1820" s="1569"/>
      <c r="F1820" s="819"/>
      <c r="G1820" s="818"/>
      <c r="H1820" s="1524"/>
      <c r="J1820" s="1637"/>
      <c r="K1820" s="1637"/>
    </row>
    <row r="1821" spans="1:11" x14ac:dyDescent="0.25">
      <c r="A1821" s="1527"/>
      <c r="B1821" s="1561"/>
      <c r="C1821" s="1569"/>
      <c r="D1821" s="1569"/>
      <c r="E1821" s="1569"/>
      <c r="F1821" s="817"/>
      <c r="G1821" s="818"/>
      <c r="H1821" s="1524"/>
      <c r="J1821" s="1637"/>
      <c r="K1821" s="1637"/>
    </row>
    <row r="1822" spans="1:11" x14ac:dyDescent="0.25">
      <c r="A1822" s="1527"/>
      <c r="B1822" s="1540"/>
      <c r="C1822" s="1569"/>
      <c r="D1822" s="1569"/>
      <c r="E1822" s="1569"/>
      <c r="F1822" s="817"/>
      <c r="G1822" s="818"/>
      <c r="H1822" s="1524"/>
      <c r="J1822" s="1637"/>
      <c r="K1822" s="1637"/>
    </row>
    <row r="1823" spans="1:11" x14ac:dyDescent="0.25">
      <c r="A1823" s="1527"/>
      <c r="B1823" s="1540"/>
      <c r="C1823" s="1538" t="s">
        <v>7182</v>
      </c>
      <c r="D1823" s="952" t="s">
        <v>7182</v>
      </c>
      <c r="E1823" s="1538" t="s">
        <v>7182</v>
      </c>
      <c r="F1823" s="817"/>
      <c r="G1823" s="818" t="str">
        <f>IF(B1823="","",E1823/F1823)</f>
        <v/>
      </c>
      <c r="H1823" s="1524"/>
    </row>
    <row r="1824" spans="1:11" ht="15.75" thickBot="1" x14ac:dyDescent="0.3">
      <c r="A1824" s="1527"/>
      <c r="B1824" s="1540"/>
      <c r="C1824" s="1538" t="s">
        <v>7182</v>
      </c>
      <c r="D1824" s="952" t="s">
        <v>7182</v>
      </c>
      <c r="E1824" s="1538" t="s">
        <v>7182</v>
      </c>
      <c r="F1824" s="1537"/>
      <c r="G1824" s="818" t="str">
        <f>IF(B1824="","",E1824/F1824)</f>
        <v/>
      </c>
      <c r="H1824" s="1524"/>
    </row>
    <row r="1825" spans="1:11" ht="15.75" thickBot="1" x14ac:dyDescent="0.3">
      <c r="A1825" s="1527"/>
      <c r="B1825" s="1555"/>
      <c r="C1825" s="1556"/>
      <c r="D1825" s="956"/>
      <c r="E1825" s="1556"/>
      <c r="F1825" s="1557"/>
      <c r="G1825" s="1558"/>
      <c r="H1825" s="1546">
        <f>SUM(G1819:G1825)</f>
        <v>216000</v>
      </c>
    </row>
    <row r="1826" spans="1:11" ht="15.75" thickBot="1" x14ac:dyDescent="0.3">
      <c r="A1826" s="1527"/>
      <c r="B1826" s="1527"/>
      <c r="C1826" s="1527"/>
      <c r="D1826" s="529"/>
      <c r="F1826" s="1528"/>
      <c r="G1826" s="1524"/>
      <c r="H1826" s="1524"/>
    </row>
    <row r="1827" spans="1:11" ht="15.75" thickBot="1" x14ac:dyDescent="0.3">
      <c r="A1827" s="1647" t="s">
        <v>6744</v>
      </c>
      <c r="B1827" s="1352"/>
      <c r="C1827" s="1352"/>
      <c r="D1827" s="1671"/>
      <c r="E1827" s="1672"/>
      <c r="F1827" s="1353"/>
      <c r="G1827" s="1527" t="s">
        <v>5415</v>
      </c>
      <c r="H1827" s="502">
        <f>ROUND(SUM(H1785:H1826),0)</f>
        <v>904767</v>
      </c>
      <c r="J1827" s="1673">
        <f>+B1781</f>
        <v>10.41</v>
      </c>
      <c r="K1827" s="1674">
        <f>+H1827</f>
        <v>904767</v>
      </c>
    </row>
    <row r="1828" spans="1:11" x14ac:dyDescent="0.25">
      <c r="A1828" s="1675"/>
      <c r="B1828" s="1676"/>
      <c r="C1828" s="1676"/>
      <c r="D1828" s="1677"/>
      <c r="E1828" s="1678"/>
      <c r="F1828" s="1679"/>
      <c r="G1828" s="1680"/>
      <c r="H1828" s="1680"/>
    </row>
    <row r="1829" spans="1:11" ht="18.75" x14ac:dyDescent="0.25">
      <c r="A1829" s="1523"/>
      <c r="B1829" s="1655"/>
      <c r="C1829" s="1655"/>
      <c r="D1829" s="950"/>
      <c r="E1829" s="1655"/>
      <c r="F1829" s="1655"/>
      <c r="G1829" s="1655"/>
      <c r="H1829" s="8"/>
    </row>
    <row r="1830" spans="1:11" x14ac:dyDescent="0.25">
      <c r="A1830" s="1523"/>
      <c r="B1830" s="8"/>
      <c r="C1830" s="8"/>
      <c r="D1830" s="529"/>
      <c r="E1830" s="8"/>
      <c r="F1830" s="1523"/>
      <c r="G1830" s="1524"/>
      <c r="H1830" s="8"/>
    </row>
    <row r="1831" spans="1:11" ht="49.5" customHeight="1" x14ac:dyDescent="0.25">
      <c r="A1831" s="1665" t="s">
        <v>3</v>
      </c>
      <c r="B1831" s="1666">
        <f>+VLOOKUP(C1831,ListaAPUs!$B:$E,4,FALSE)</f>
        <v>10.42</v>
      </c>
      <c r="C1831" s="2441" t="str">
        <f>+ListaAPUs!B242</f>
        <v>Cajas de inspeccion CS 274 norma Codensa</v>
      </c>
      <c r="D1831" s="2441"/>
      <c r="E1831" s="2441"/>
      <c r="F1831" s="1665" t="s">
        <v>867</v>
      </c>
      <c r="G1831" s="1390" t="str">
        <f>+VLOOKUP(C1831,ListaAPUs!$B:$E,2,FALSE)</f>
        <v>un</v>
      </c>
      <c r="H1831" s="1524"/>
    </row>
    <row r="1832" spans="1:11" x14ac:dyDescent="0.25">
      <c r="A1832" s="1528"/>
      <c r="B1832" s="1527"/>
      <c r="C1832" s="1527"/>
      <c r="D1832" s="529"/>
      <c r="E1832" s="1527"/>
      <c r="F1832" s="1528"/>
      <c r="G1832" s="1524"/>
      <c r="H1832" s="1524"/>
    </row>
    <row r="1833" spans="1:11" x14ac:dyDescent="0.25">
      <c r="A1833" s="1528"/>
      <c r="B1833" s="1527"/>
      <c r="C1833" s="1527"/>
      <c r="D1833" s="529"/>
      <c r="E1833" s="1527"/>
      <c r="F1833" s="1528"/>
      <c r="G1833" s="1529"/>
      <c r="H1833" s="1524"/>
    </row>
    <row r="1834" spans="1:11" ht="15.75" thickBot="1" x14ac:dyDescent="0.3">
      <c r="A1834" s="1528"/>
      <c r="B1834" s="1527"/>
      <c r="C1834" s="1527"/>
      <c r="D1834" s="529"/>
      <c r="E1834" s="1527"/>
      <c r="F1834" s="1528"/>
      <c r="G1834" s="1524"/>
      <c r="H1834" s="1524"/>
    </row>
    <row r="1835" spans="1:11" ht="15.75" thickBot="1" x14ac:dyDescent="0.3">
      <c r="A1835" s="1368"/>
      <c r="B1835" s="1369" t="s">
        <v>5403</v>
      </c>
      <c r="C1835" s="1363" t="s">
        <v>867</v>
      </c>
      <c r="D1835" s="1120" t="s">
        <v>6</v>
      </c>
      <c r="E1835" s="1363" t="s">
        <v>9417</v>
      </c>
      <c r="F1835" s="1363" t="s">
        <v>5405</v>
      </c>
      <c r="G1835" s="1370" t="s">
        <v>7179</v>
      </c>
      <c r="H1835" s="1371"/>
    </row>
    <row r="1836" spans="1:11" ht="38.25" x14ac:dyDescent="0.25">
      <c r="A1836" s="1528"/>
      <c r="B1836" s="1840" t="s">
        <v>9498</v>
      </c>
      <c r="C1836" s="1841" t="s">
        <v>5</v>
      </c>
      <c r="D1836" s="1842">
        <v>1</v>
      </c>
      <c r="E1836" s="1843">
        <f>145000*1.19</f>
        <v>172550</v>
      </c>
      <c r="F1836" s="1844">
        <v>1</v>
      </c>
      <c r="G1836" s="1845">
        <f>+F1836*E1836</f>
        <v>172550</v>
      </c>
      <c r="H1836" s="1524"/>
    </row>
    <row r="1837" spans="1:11" ht="25.5" x14ac:dyDescent="0.25">
      <c r="A1837" s="1528"/>
      <c r="B1837" s="1846" t="s">
        <v>9420</v>
      </c>
      <c r="C1837" s="1847" t="s">
        <v>9023</v>
      </c>
      <c r="D1837" s="1848">
        <v>1</v>
      </c>
      <c r="E1837" s="1849">
        <v>70000</v>
      </c>
      <c r="F1837" s="1850">
        <v>1</v>
      </c>
      <c r="G1837" s="1851">
        <f>+F1837*E1837</f>
        <v>70000</v>
      </c>
      <c r="H1837" s="1524"/>
    </row>
    <row r="1838" spans="1:11" x14ac:dyDescent="0.25">
      <c r="A1838" s="1528"/>
      <c r="B1838" s="1846" t="s">
        <v>9423</v>
      </c>
      <c r="C1838" s="1847" t="s">
        <v>5</v>
      </c>
      <c r="D1838" s="1848">
        <v>130</v>
      </c>
      <c r="E1838" s="1849">
        <v>500</v>
      </c>
      <c r="F1838" s="1850">
        <v>1</v>
      </c>
      <c r="G1838" s="1851">
        <f>+F1838*E1838*D1838</f>
        <v>65000</v>
      </c>
      <c r="H1838" s="1524"/>
    </row>
    <row r="1839" spans="1:11" x14ac:dyDescent="0.25">
      <c r="A1839" s="1528"/>
      <c r="B1839" s="1846" t="s">
        <v>9424</v>
      </c>
      <c r="C1839" s="1847" t="s">
        <v>5464</v>
      </c>
      <c r="D1839" s="1848">
        <v>0.13</v>
      </c>
      <c r="E1839" s="1852">
        <v>250000</v>
      </c>
      <c r="F1839" s="1850">
        <v>1</v>
      </c>
      <c r="G1839" s="1851">
        <f>+F1839*E1839*D1839</f>
        <v>32500</v>
      </c>
      <c r="H1839" s="1524"/>
      <c r="J1839" s="1637"/>
      <c r="K1839" s="1637"/>
    </row>
    <row r="1840" spans="1:11" x14ac:dyDescent="0.25">
      <c r="A1840" s="1528"/>
      <c r="B1840" s="1846" t="s">
        <v>9425</v>
      </c>
      <c r="C1840" s="1847" t="s">
        <v>5464</v>
      </c>
      <c r="D1840" s="1848">
        <f>0.04+0.16</f>
        <v>0.2</v>
      </c>
      <c r="E1840" s="1852">
        <v>270000</v>
      </c>
      <c r="F1840" s="1850">
        <v>1</v>
      </c>
      <c r="G1840" s="1851">
        <f>+F1840*E1840*D1840</f>
        <v>54000</v>
      </c>
      <c r="H1840" s="1524"/>
      <c r="J1840" s="1637"/>
      <c r="K1840" s="1637"/>
    </row>
    <row r="1841" spans="1:11" x14ac:dyDescent="0.25">
      <c r="A1841" s="1528"/>
      <c r="B1841" s="1846" t="s">
        <v>9426</v>
      </c>
      <c r="C1841" s="1847" t="s">
        <v>9023</v>
      </c>
      <c r="D1841" s="1848">
        <v>1</v>
      </c>
      <c r="E1841" s="1852">
        <v>45000</v>
      </c>
      <c r="F1841" s="1850">
        <v>1</v>
      </c>
      <c r="G1841" s="1851">
        <f>+F1841*E1841*D1841</f>
        <v>45000</v>
      </c>
      <c r="H1841" s="1524"/>
      <c r="J1841" s="1637"/>
      <c r="K1841" s="1637"/>
    </row>
    <row r="1842" spans="1:11" x14ac:dyDescent="0.25">
      <c r="A1842" s="1528"/>
      <c r="B1842" s="1667"/>
      <c r="C1842" s="1537"/>
      <c r="D1842" s="212"/>
      <c r="E1842" s="816"/>
      <c r="F1842" s="1563"/>
      <c r="G1842" s="814"/>
      <c r="H1842" s="1524"/>
      <c r="J1842" s="1637"/>
      <c r="K1842" s="1637"/>
    </row>
    <row r="1843" spans="1:11" x14ac:dyDescent="0.25">
      <c r="A1843" s="1528"/>
      <c r="B1843" s="1667"/>
      <c r="C1843" s="1537"/>
      <c r="D1843" s="212"/>
      <c r="E1843" s="816"/>
      <c r="F1843" s="1563"/>
      <c r="G1843" s="814"/>
      <c r="H1843" s="1524"/>
      <c r="J1843" s="1637"/>
      <c r="K1843" s="1637"/>
    </row>
    <row r="1844" spans="1:11" x14ac:dyDescent="0.25">
      <c r="A1844" s="1528"/>
      <c r="B1844" s="1667"/>
      <c r="C1844" s="1537"/>
      <c r="D1844" s="212"/>
      <c r="E1844" s="816"/>
      <c r="F1844" s="1563"/>
      <c r="G1844" s="814"/>
      <c r="H1844" s="1524"/>
      <c r="J1844" s="1637"/>
      <c r="K1844" s="1637"/>
    </row>
    <row r="1845" spans="1:11" x14ac:dyDescent="0.25">
      <c r="A1845" s="1528"/>
      <c r="B1845" s="1667"/>
      <c r="C1845" s="1537"/>
      <c r="D1845" s="212"/>
      <c r="E1845" s="816"/>
      <c r="F1845" s="1563"/>
      <c r="G1845" s="814"/>
      <c r="H1845" s="1524"/>
      <c r="J1845" s="1637"/>
      <c r="K1845" s="1637"/>
    </row>
    <row r="1846" spans="1:11" x14ac:dyDescent="0.25">
      <c r="A1846" s="1528"/>
      <c r="B1846" s="1667"/>
      <c r="C1846" s="1537"/>
      <c r="D1846" s="212"/>
      <c r="E1846" s="816"/>
      <c r="F1846" s="1563"/>
      <c r="G1846" s="814"/>
      <c r="H1846" s="1524"/>
      <c r="J1846" s="1637"/>
      <c r="K1846" s="1637"/>
    </row>
    <row r="1847" spans="1:11" x14ac:dyDescent="0.25">
      <c r="A1847" s="1528"/>
      <c r="B1847" s="269"/>
      <c r="C1847" s="1537"/>
      <c r="D1847" s="212"/>
      <c r="E1847" s="816"/>
      <c r="F1847" s="1563"/>
      <c r="G1847" s="814"/>
      <c r="H1847" s="1524"/>
      <c r="J1847" s="1637"/>
      <c r="K1847" s="1637"/>
    </row>
    <row r="1848" spans="1:11" x14ac:dyDescent="0.25">
      <c r="A1848" s="1528"/>
      <c r="B1848" s="268"/>
      <c r="C1848" s="1534"/>
      <c r="D1848" s="211"/>
      <c r="E1848" s="1535" t="s">
        <v>7182</v>
      </c>
      <c r="F1848" s="1551"/>
      <c r="G1848" s="1541" t="s">
        <v>7182</v>
      </c>
      <c r="H1848" s="1524"/>
      <c r="J1848" s="1637"/>
      <c r="K1848" s="1637"/>
    </row>
    <row r="1849" spans="1:11" x14ac:dyDescent="0.25">
      <c r="A1849" s="1528"/>
      <c r="B1849" s="1346"/>
      <c r="C1849" s="1534"/>
      <c r="D1849" s="211"/>
      <c r="E1849" s="1535" t="s">
        <v>7182</v>
      </c>
      <c r="F1849" s="1551"/>
      <c r="G1849" s="1541" t="s">
        <v>7182</v>
      </c>
      <c r="H1849" s="1524"/>
      <c r="J1849" s="1637"/>
      <c r="K1849" s="1637"/>
    </row>
    <row r="1850" spans="1:11" ht="15.75" thickBot="1" x14ac:dyDescent="0.3">
      <c r="A1850" s="1528"/>
      <c r="B1850" s="1540"/>
      <c r="C1850" s="1537"/>
      <c r="D1850" s="952"/>
      <c r="E1850" s="1538" t="s">
        <v>7182</v>
      </c>
      <c r="F1850" s="1537"/>
      <c r="G1850" s="1541" t="s">
        <v>7182</v>
      </c>
      <c r="H1850" s="1524"/>
      <c r="J1850" s="1637"/>
      <c r="K1850" s="1637"/>
    </row>
    <row r="1851" spans="1:11" ht="15.75" thickBot="1" x14ac:dyDescent="0.3">
      <c r="A1851" s="1528"/>
      <c r="B1851" s="1555"/>
      <c r="C1851" s="1557"/>
      <c r="D1851" s="956"/>
      <c r="E1851" s="1556" t="s">
        <v>7182</v>
      </c>
      <c r="F1851" s="1557"/>
      <c r="G1851" s="1558" t="s">
        <v>7182</v>
      </c>
      <c r="H1851" s="1546">
        <f>SUM(G1836:G1851)</f>
        <v>439050</v>
      </c>
      <c r="J1851" s="1637"/>
      <c r="K1851" s="1637"/>
    </row>
    <row r="1852" spans="1:11" x14ac:dyDescent="0.25">
      <c r="A1852" s="1528"/>
      <c r="B1852" s="1372"/>
      <c r="C1852" s="1374"/>
      <c r="D1852" s="1373"/>
      <c r="E1852" s="1372" t="s">
        <v>7182</v>
      </c>
      <c r="F1852" s="1374"/>
      <c r="G1852" s="1375" t="s">
        <v>7182</v>
      </c>
      <c r="H1852" s="1550"/>
      <c r="J1852" s="1637"/>
      <c r="K1852" s="1637"/>
    </row>
    <row r="1853" spans="1:11" ht="15.75" thickBot="1" x14ac:dyDescent="0.3">
      <c r="A1853" s="1527"/>
      <c r="B1853" s="188"/>
      <c r="C1853" s="189"/>
      <c r="D1853" s="1668"/>
      <c r="E1853" s="188"/>
      <c r="F1853" s="189"/>
      <c r="G1853" s="1669"/>
      <c r="H1853" s="1550"/>
      <c r="J1853" s="1637"/>
      <c r="K1853" s="1637"/>
    </row>
    <row r="1854" spans="1:11" ht="15.75" thickBot="1" x14ac:dyDescent="0.3">
      <c r="A1854" s="1527"/>
      <c r="B1854" s="1366" t="s">
        <v>9418</v>
      </c>
      <c r="C1854" s="1363" t="s">
        <v>867</v>
      </c>
      <c r="D1854" s="1120" t="s">
        <v>6</v>
      </c>
      <c r="E1854" s="1363" t="s">
        <v>7183</v>
      </c>
      <c r="F1854" s="1363" t="s">
        <v>5405</v>
      </c>
      <c r="G1854" s="1365" t="s">
        <v>7179</v>
      </c>
      <c r="H1854" s="1524"/>
      <c r="J1854" s="1637"/>
      <c r="K1854" s="1637"/>
    </row>
    <row r="1855" spans="1:11" x14ac:dyDescent="0.25">
      <c r="A1855" s="1527"/>
      <c r="B1855" s="1564" t="s">
        <v>5455</v>
      </c>
      <c r="C1855" s="1534" t="s">
        <v>5</v>
      </c>
      <c r="D1855" s="211">
        <v>1</v>
      </c>
      <c r="E1855" s="1535">
        <f>50000/12</f>
        <v>4166.666666666667</v>
      </c>
      <c r="F1855" s="1534">
        <v>1</v>
      </c>
      <c r="G1855" s="1572">
        <f>+F1855*E1855</f>
        <v>4166.666666666667</v>
      </c>
      <c r="H1855" s="1524"/>
      <c r="J1855" s="1637"/>
      <c r="K1855" s="1637"/>
    </row>
    <row r="1856" spans="1:11" x14ac:dyDescent="0.25">
      <c r="A1856" s="1527"/>
      <c r="B1856" s="1540"/>
      <c r="C1856" s="1537"/>
      <c r="D1856" s="212"/>
      <c r="E1856" s="1535" t="s">
        <v>7182</v>
      </c>
      <c r="F1856" s="1537"/>
      <c r="G1856" s="1572" t="s">
        <v>7182</v>
      </c>
      <c r="H1856" s="1524"/>
      <c r="J1856" s="1637"/>
      <c r="K1856" s="1637"/>
    </row>
    <row r="1857" spans="1:11" x14ac:dyDescent="0.25">
      <c r="A1857" s="1527"/>
      <c r="B1857" s="1540"/>
      <c r="C1857" s="1537"/>
      <c r="D1857" s="212"/>
      <c r="E1857" s="1535" t="s">
        <v>7182</v>
      </c>
      <c r="F1857" s="1537"/>
      <c r="G1857" s="1572" t="s">
        <v>7182</v>
      </c>
      <c r="H1857" s="1524"/>
      <c r="J1857" s="1637"/>
      <c r="K1857" s="1637"/>
    </row>
    <row r="1858" spans="1:11" ht="15.75" thickBot="1" x14ac:dyDescent="0.3">
      <c r="A1858" s="1527"/>
      <c r="B1858" s="1540"/>
      <c r="C1858" s="1537"/>
      <c r="D1858" s="212"/>
      <c r="E1858" s="1535" t="s">
        <v>7182</v>
      </c>
      <c r="F1858" s="1537"/>
      <c r="G1858" s="1572" t="s">
        <v>7182</v>
      </c>
      <c r="H1858" s="1524"/>
      <c r="J1858" s="1637"/>
      <c r="K1858" s="1637"/>
    </row>
    <row r="1859" spans="1:11" ht="15.75" thickBot="1" x14ac:dyDescent="0.3">
      <c r="A1859" s="1527"/>
      <c r="B1859" s="1555"/>
      <c r="C1859" s="1556"/>
      <c r="D1859" s="956"/>
      <c r="E1859" s="1556" t="s">
        <v>7182</v>
      </c>
      <c r="F1859" s="1557"/>
      <c r="G1859" s="1558" t="s">
        <v>7182</v>
      </c>
      <c r="H1859" s="1546">
        <f>SUM(G1855:G1859)</f>
        <v>4166.666666666667</v>
      </c>
      <c r="J1859" s="1637"/>
      <c r="K1859" s="1637"/>
    </row>
    <row r="1860" spans="1:11" ht="15.75" thickBot="1" x14ac:dyDescent="0.3">
      <c r="A1860" s="1527"/>
      <c r="B1860" s="1376"/>
      <c r="C1860" s="1353"/>
      <c r="D1860" s="1355"/>
      <c r="E1860" s="1352"/>
      <c r="F1860" s="1377"/>
      <c r="G1860" s="1378"/>
      <c r="H1860" s="1524"/>
      <c r="J1860" s="1637"/>
      <c r="K1860" s="1637"/>
    </row>
    <row r="1861" spans="1:11" ht="15.75" thickBot="1" x14ac:dyDescent="0.3">
      <c r="A1861" s="1527"/>
      <c r="B1861" s="1366" t="s">
        <v>5410</v>
      </c>
      <c r="C1861" s="1363" t="s">
        <v>867</v>
      </c>
      <c r="D1861" s="1120" t="s">
        <v>6</v>
      </c>
      <c r="E1861" s="1363" t="s">
        <v>7183</v>
      </c>
      <c r="F1861" s="1363" t="s">
        <v>5405</v>
      </c>
      <c r="G1861" s="1365" t="s">
        <v>7179</v>
      </c>
      <c r="H1861" s="1524"/>
      <c r="J1861" s="1637"/>
      <c r="K1861" s="1637"/>
    </row>
    <row r="1862" spans="1:11" ht="25.5" x14ac:dyDescent="0.25">
      <c r="A1862" s="1527"/>
      <c r="B1862" s="1564" t="s">
        <v>9421</v>
      </c>
      <c r="C1862" s="1534" t="s">
        <v>9023</v>
      </c>
      <c r="D1862" s="211">
        <v>1</v>
      </c>
      <c r="E1862" s="1535">
        <f>300000/12</f>
        <v>25000</v>
      </c>
      <c r="F1862" s="1534">
        <v>1</v>
      </c>
      <c r="G1862" s="1572">
        <f>+F1862*E1862</f>
        <v>25000</v>
      </c>
      <c r="H1862" s="1524"/>
      <c r="J1862" s="1637"/>
      <c r="K1862" s="1637"/>
    </row>
    <row r="1863" spans="1:11" x14ac:dyDescent="0.25">
      <c r="A1863" s="1527"/>
      <c r="B1863" s="1540"/>
      <c r="C1863" s="1537"/>
      <c r="D1863" s="212"/>
      <c r="E1863" s="1535" t="s">
        <v>7182</v>
      </c>
      <c r="F1863" s="1537"/>
      <c r="G1863" s="1572" t="s">
        <v>7182</v>
      </c>
      <c r="H1863" s="1524"/>
      <c r="J1863" s="1637"/>
      <c r="K1863" s="1637"/>
    </row>
    <row r="1864" spans="1:11" x14ac:dyDescent="0.25">
      <c r="A1864" s="1527"/>
      <c r="B1864" s="1540"/>
      <c r="C1864" s="1537"/>
      <c r="D1864" s="212"/>
      <c r="E1864" s="1535" t="s">
        <v>7182</v>
      </c>
      <c r="F1864" s="1537"/>
      <c r="G1864" s="1572" t="s">
        <v>7182</v>
      </c>
      <c r="H1864" s="1524"/>
      <c r="J1864" s="1637"/>
      <c r="K1864" s="1637"/>
    </row>
    <row r="1865" spans="1:11" ht="15.75" thickBot="1" x14ac:dyDescent="0.3">
      <c r="A1865" s="1527"/>
      <c r="B1865" s="1540"/>
      <c r="C1865" s="1537"/>
      <c r="D1865" s="212"/>
      <c r="E1865" s="1535" t="s">
        <v>7182</v>
      </c>
      <c r="F1865" s="1537"/>
      <c r="G1865" s="1572" t="s">
        <v>7182</v>
      </c>
      <c r="H1865" s="1524"/>
      <c r="J1865" s="1637"/>
      <c r="K1865" s="1637"/>
    </row>
    <row r="1866" spans="1:11" ht="15.75" thickBot="1" x14ac:dyDescent="0.3">
      <c r="A1866" s="1527"/>
      <c r="B1866" s="1555"/>
      <c r="C1866" s="1556"/>
      <c r="D1866" s="956"/>
      <c r="E1866" s="1556" t="s">
        <v>7182</v>
      </c>
      <c r="F1866" s="1557"/>
      <c r="G1866" s="1558" t="s">
        <v>7182</v>
      </c>
      <c r="H1866" s="1546">
        <f>SUM(G1862:G1866)</f>
        <v>25000</v>
      </c>
      <c r="J1866" s="1637"/>
      <c r="K1866" s="1637"/>
    </row>
    <row r="1867" spans="1:11" ht="15.75" thickBot="1" x14ac:dyDescent="0.3">
      <c r="A1867" s="1527"/>
      <c r="B1867" s="1547"/>
      <c r="C1867" s="1547"/>
      <c r="D1867" s="954"/>
      <c r="E1867" s="1547"/>
      <c r="F1867" s="1553"/>
      <c r="G1867" s="1554"/>
      <c r="H1867" s="1550"/>
      <c r="J1867" s="1637"/>
      <c r="K1867" s="1637"/>
    </row>
    <row r="1868" spans="1:11" ht="15.75" thickBot="1" x14ac:dyDescent="0.3">
      <c r="A1868" s="1559"/>
      <c r="B1868" s="1369" t="s">
        <v>5412</v>
      </c>
      <c r="C1868" s="1363" t="s">
        <v>5420</v>
      </c>
      <c r="D1868" s="1120" t="s">
        <v>5421</v>
      </c>
      <c r="E1868" s="1363" t="s">
        <v>7187</v>
      </c>
      <c r="F1868" s="1363" t="s">
        <v>5405</v>
      </c>
      <c r="G1868" s="1370" t="s">
        <v>7179</v>
      </c>
      <c r="H1868" s="1371"/>
      <c r="J1868" s="1637"/>
      <c r="K1868" s="1637"/>
    </row>
    <row r="1869" spans="1:11" x14ac:dyDescent="0.25">
      <c r="A1869" s="1527"/>
      <c r="B1869" s="1560" t="s">
        <v>9422</v>
      </c>
      <c r="C1869" s="1569">
        <v>180000</v>
      </c>
      <c r="D1869" s="352">
        <f>0.6*C1869</f>
        <v>108000</v>
      </c>
      <c r="E1869" s="1569">
        <f>+D1869+C1869</f>
        <v>288000</v>
      </c>
      <c r="F1869" s="819">
        <v>0.75</v>
      </c>
      <c r="G1869" s="818">
        <f>+F1869*E1869</f>
        <v>216000</v>
      </c>
      <c r="H1869" s="1524"/>
      <c r="J1869" s="1637"/>
      <c r="K1869" s="1637"/>
    </row>
    <row r="1870" spans="1:11" x14ac:dyDescent="0.25">
      <c r="A1870" s="1527"/>
      <c r="B1870" s="1560"/>
      <c r="C1870" s="1569"/>
      <c r="D1870" s="1569"/>
      <c r="E1870" s="1569"/>
      <c r="F1870" s="819"/>
      <c r="G1870" s="818"/>
      <c r="H1870" s="1524"/>
      <c r="J1870" s="1637"/>
      <c r="K1870" s="1637"/>
    </row>
    <row r="1871" spans="1:11" x14ac:dyDescent="0.25">
      <c r="A1871" s="1527"/>
      <c r="B1871" s="1561"/>
      <c r="C1871" s="1569"/>
      <c r="D1871" s="1569"/>
      <c r="E1871" s="1569"/>
      <c r="F1871" s="817"/>
      <c r="G1871" s="818"/>
      <c r="H1871" s="1524"/>
    </row>
    <row r="1872" spans="1:11" x14ac:dyDescent="0.25">
      <c r="A1872" s="1527"/>
      <c r="B1872" s="1540"/>
      <c r="C1872" s="1569"/>
      <c r="D1872" s="1569"/>
      <c r="E1872" s="1569"/>
      <c r="F1872" s="817"/>
      <c r="G1872" s="818"/>
      <c r="H1872" s="1524"/>
    </row>
    <row r="1873" spans="1:11" x14ac:dyDescent="0.25">
      <c r="A1873" s="1527"/>
      <c r="B1873" s="1540"/>
      <c r="C1873" s="1538" t="s">
        <v>7182</v>
      </c>
      <c r="D1873" s="952" t="s">
        <v>7182</v>
      </c>
      <c r="E1873" s="1538" t="s">
        <v>7182</v>
      </c>
      <c r="F1873" s="817"/>
      <c r="G1873" s="818" t="str">
        <f>IF(B1873="","",E1873/F1873)</f>
        <v/>
      </c>
      <c r="H1873" s="1524"/>
    </row>
    <row r="1874" spans="1:11" ht="15.75" thickBot="1" x14ac:dyDescent="0.3">
      <c r="A1874" s="1527"/>
      <c r="B1874" s="1540"/>
      <c r="C1874" s="1538" t="s">
        <v>7182</v>
      </c>
      <c r="D1874" s="952" t="s">
        <v>7182</v>
      </c>
      <c r="E1874" s="1538" t="s">
        <v>7182</v>
      </c>
      <c r="F1874" s="1537"/>
      <c r="G1874" s="818" t="str">
        <f>IF(B1874="","",E1874/F1874)</f>
        <v/>
      </c>
      <c r="H1874" s="1524"/>
    </row>
    <row r="1875" spans="1:11" ht="15.75" thickBot="1" x14ac:dyDescent="0.3">
      <c r="A1875" s="1527"/>
      <c r="B1875" s="1555"/>
      <c r="C1875" s="1556"/>
      <c r="D1875" s="956"/>
      <c r="E1875" s="1556"/>
      <c r="F1875" s="1557"/>
      <c r="G1875" s="1558"/>
      <c r="H1875" s="1546">
        <f>SUM(G1869:G1875)</f>
        <v>216000</v>
      </c>
    </row>
    <row r="1876" spans="1:11" ht="15.75" thickBot="1" x14ac:dyDescent="0.3">
      <c r="A1876" s="1527"/>
      <c r="B1876" s="1527"/>
      <c r="C1876" s="1527"/>
      <c r="D1876" s="529"/>
      <c r="F1876" s="1528"/>
      <c r="G1876" s="1524"/>
      <c r="H1876" s="1524"/>
    </row>
    <row r="1877" spans="1:11" ht="15.75" thickBot="1" x14ac:dyDescent="0.3">
      <c r="A1877" s="1647" t="s">
        <v>6744</v>
      </c>
      <c r="B1877" s="1352"/>
      <c r="C1877" s="1352"/>
      <c r="D1877" s="1671"/>
      <c r="E1877" s="1672"/>
      <c r="F1877" s="1353"/>
      <c r="G1877" s="1527" t="s">
        <v>5415</v>
      </c>
      <c r="H1877" s="502">
        <f>ROUND(SUM(H1835:H1876),0)</f>
        <v>684217</v>
      </c>
      <c r="J1877" s="1673">
        <f>+B1831</f>
        <v>10.42</v>
      </c>
      <c r="K1877" s="1674">
        <f>+H1877</f>
        <v>684217</v>
      </c>
    </row>
    <row r="1878" spans="1:11" x14ac:dyDescent="0.25">
      <c r="A1878" s="1675"/>
      <c r="B1878" s="1676"/>
      <c r="C1878" s="1676"/>
      <c r="D1878" s="1677"/>
      <c r="E1878" s="1678"/>
      <c r="F1878" s="1679"/>
      <c r="G1878" s="1680"/>
      <c r="H1878" s="1680"/>
    </row>
    <row r="1879" spans="1:11" ht="18.75" x14ac:dyDescent="0.25">
      <c r="A1879" s="1523"/>
      <c r="B1879" s="1655"/>
      <c r="C1879" s="1655"/>
      <c r="D1879" s="950"/>
      <c r="E1879" s="1655"/>
      <c r="F1879" s="1655"/>
      <c r="G1879" s="1655"/>
      <c r="H1879" s="8"/>
    </row>
    <row r="1880" spans="1:11" x14ac:dyDescent="0.25">
      <c r="A1880" s="1523"/>
      <c r="B1880" s="8"/>
      <c r="C1880" s="8"/>
      <c r="D1880" s="529"/>
      <c r="E1880" s="8"/>
      <c r="F1880" s="1523"/>
      <c r="G1880" s="1524"/>
      <c r="H1880" s="8"/>
    </row>
    <row r="1881" spans="1:11" ht="49.5" customHeight="1" x14ac:dyDescent="0.25">
      <c r="A1881" s="1665" t="s">
        <v>3</v>
      </c>
      <c r="B1881" s="1666">
        <f>+VLOOKUP(C1881,ListaAPUs!$B:$E,4,FALSE)</f>
        <v>10.43</v>
      </c>
      <c r="C1881" s="2441" t="str">
        <f>+ListaAPUs!B243</f>
        <v>Cajas de inspeccion CS 280 tipo vehicular norma Codensa</v>
      </c>
      <c r="D1881" s="2441"/>
      <c r="E1881" s="2441"/>
      <c r="F1881" s="1665" t="s">
        <v>867</v>
      </c>
      <c r="G1881" s="1390" t="str">
        <f>+VLOOKUP(C1881,ListaAPUs!$B:$E,2,FALSE)</f>
        <v>un</v>
      </c>
      <c r="H1881" s="1524"/>
    </row>
    <row r="1882" spans="1:11" x14ac:dyDescent="0.25">
      <c r="A1882" s="1528"/>
      <c r="B1882" s="1527"/>
      <c r="C1882" s="1527"/>
      <c r="D1882" s="529"/>
      <c r="E1882" s="1527"/>
      <c r="F1882" s="1528"/>
      <c r="G1882" s="1524"/>
      <c r="H1882" s="1524"/>
    </row>
    <row r="1883" spans="1:11" x14ac:dyDescent="0.25">
      <c r="A1883" s="1528"/>
      <c r="B1883" s="1527"/>
      <c r="C1883" s="1527"/>
      <c r="D1883" s="529"/>
      <c r="E1883" s="1527"/>
      <c r="F1883" s="1528"/>
      <c r="G1883" s="1529"/>
      <c r="H1883" s="1524"/>
    </row>
    <row r="1884" spans="1:11" ht="15.75" thickBot="1" x14ac:dyDescent="0.3">
      <c r="A1884" s="1528"/>
      <c r="B1884" s="1527"/>
      <c r="C1884" s="1527"/>
      <c r="D1884" s="529"/>
      <c r="E1884" s="1527"/>
      <c r="F1884" s="1528"/>
      <c r="G1884" s="1524"/>
      <c r="H1884" s="1524"/>
    </row>
    <row r="1885" spans="1:11" ht="15.75" thickBot="1" x14ac:dyDescent="0.3">
      <c r="A1885" s="1368"/>
      <c r="B1885" s="1369" t="s">
        <v>5403</v>
      </c>
      <c r="C1885" s="1363" t="s">
        <v>867</v>
      </c>
      <c r="D1885" s="1120" t="s">
        <v>6</v>
      </c>
      <c r="E1885" s="1363" t="s">
        <v>9417</v>
      </c>
      <c r="F1885" s="1363" t="s">
        <v>5405</v>
      </c>
      <c r="G1885" s="1370" t="s">
        <v>7179</v>
      </c>
      <c r="H1885" s="1371"/>
    </row>
    <row r="1886" spans="1:11" ht="51" x14ac:dyDescent="0.25">
      <c r="A1886" s="1528"/>
      <c r="B1886" s="1840" t="s">
        <v>9499</v>
      </c>
      <c r="C1886" s="1841" t="s">
        <v>5</v>
      </c>
      <c r="D1886" s="1842">
        <v>1</v>
      </c>
      <c r="E1886" s="1843">
        <f>250000*1.19</f>
        <v>297500</v>
      </c>
      <c r="F1886" s="1844">
        <v>1</v>
      </c>
      <c r="G1886" s="1845">
        <f>+F1886*E1886</f>
        <v>297500</v>
      </c>
      <c r="H1886" s="1524"/>
    </row>
    <row r="1887" spans="1:11" ht="25.5" x14ac:dyDescent="0.25">
      <c r="A1887" s="1528"/>
      <c r="B1887" s="1846" t="s">
        <v>9420</v>
      </c>
      <c r="C1887" s="1847" t="s">
        <v>9023</v>
      </c>
      <c r="D1887" s="1848">
        <v>1</v>
      </c>
      <c r="E1887" s="1849">
        <v>70000</v>
      </c>
      <c r="F1887" s="1850">
        <v>1</v>
      </c>
      <c r="G1887" s="1851">
        <f>+F1887*E1887</f>
        <v>70000</v>
      </c>
      <c r="H1887" s="1524"/>
      <c r="J1887" s="1637"/>
      <c r="K1887" s="1637"/>
    </row>
    <row r="1888" spans="1:11" x14ac:dyDescent="0.25">
      <c r="A1888" s="1528"/>
      <c r="B1888" s="1846" t="s">
        <v>9423</v>
      </c>
      <c r="C1888" s="1847" t="s">
        <v>5</v>
      </c>
      <c r="D1888" s="1848">
        <v>1300</v>
      </c>
      <c r="E1888" s="1849">
        <v>500</v>
      </c>
      <c r="F1888" s="1850">
        <v>1</v>
      </c>
      <c r="G1888" s="1851">
        <f>+F1888*E1888*D1888</f>
        <v>650000</v>
      </c>
      <c r="H1888" s="1524"/>
      <c r="J1888" s="1637"/>
      <c r="K1888" s="1637"/>
    </row>
    <row r="1889" spans="1:11" x14ac:dyDescent="0.25">
      <c r="A1889" s="1528"/>
      <c r="B1889" s="1846" t="s">
        <v>9424</v>
      </c>
      <c r="C1889" s="1847" t="s">
        <v>5464</v>
      </c>
      <c r="D1889" s="1848">
        <v>1.3</v>
      </c>
      <c r="E1889" s="1852">
        <v>250000</v>
      </c>
      <c r="F1889" s="1850">
        <v>1</v>
      </c>
      <c r="G1889" s="1851">
        <f>+F1889*E1889*D1889</f>
        <v>325000</v>
      </c>
      <c r="H1889" s="1524"/>
      <c r="J1889" s="1637"/>
      <c r="K1889" s="1637"/>
    </row>
    <row r="1890" spans="1:11" x14ac:dyDescent="0.25">
      <c r="A1890" s="1528"/>
      <c r="B1890" s="1846" t="s">
        <v>9425</v>
      </c>
      <c r="C1890" s="1847" t="s">
        <v>5464</v>
      </c>
      <c r="D1890" s="1848">
        <f>0.48+0.9</f>
        <v>1.38</v>
      </c>
      <c r="E1890" s="1852">
        <v>270000</v>
      </c>
      <c r="F1890" s="1850">
        <v>1</v>
      </c>
      <c r="G1890" s="1851">
        <f>+F1890*E1890*D1890</f>
        <v>372600</v>
      </c>
      <c r="H1890" s="1524"/>
      <c r="J1890" s="1637"/>
      <c r="K1890" s="1637"/>
    </row>
    <row r="1891" spans="1:11" x14ac:dyDescent="0.25">
      <c r="A1891" s="1528"/>
      <c r="B1891" s="1846" t="s">
        <v>9426</v>
      </c>
      <c r="C1891" s="1847" t="s">
        <v>9023</v>
      </c>
      <c r="D1891" s="1848">
        <v>1.1000000000000001</v>
      </c>
      <c r="E1891" s="1852">
        <v>45000</v>
      </c>
      <c r="F1891" s="1850">
        <v>1</v>
      </c>
      <c r="G1891" s="1851">
        <f>+F1891*E1891*D1891</f>
        <v>49500.000000000007</v>
      </c>
      <c r="H1891" s="1524"/>
      <c r="J1891" s="1637"/>
      <c r="K1891" s="1637"/>
    </row>
    <row r="1892" spans="1:11" x14ac:dyDescent="0.25">
      <c r="A1892" s="1528"/>
      <c r="B1892" s="1667"/>
      <c r="C1892" s="1537"/>
      <c r="D1892" s="212"/>
      <c r="E1892" s="816"/>
      <c r="F1892" s="1563"/>
      <c r="G1892" s="814"/>
      <c r="H1892" s="1524"/>
      <c r="J1892" s="1637"/>
      <c r="K1892" s="1637"/>
    </row>
    <row r="1893" spans="1:11" x14ac:dyDescent="0.25">
      <c r="A1893" s="1528"/>
      <c r="B1893" s="1667"/>
      <c r="C1893" s="1537"/>
      <c r="D1893" s="212"/>
      <c r="E1893" s="816"/>
      <c r="F1893" s="1563"/>
      <c r="G1893" s="814"/>
      <c r="H1893" s="1524"/>
      <c r="J1893" s="1637"/>
      <c r="K1893" s="1637"/>
    </row>
    <row r="1894" spans="1:11" x14ac:dyDescent="0.25">
      <c r="A1894" s="1528"/>
      <c r="B1894" s="1667"/>
      <c r="C1894" s="1537"/>
      <c r="D1894" s="212"/>
      <c r="E1894" s="816"/>
      <c r="F1894" s="1563"/>
      <c r="G1894" s="814"/>
      <c r="H1894" s="1524"/>
      <c r="J1894" s="1637"/>
      <c r="K1894" s="1637"/>
    </row>
    <row r="1895" spans="1:11" x14ac:dyDescent="0.25">
      <c r="A1895" s="1528"/>
      <c r="B1895" s="1667"/>
      <c r="C1895" s="1537"/>
      <c r="D1895" s="212"/>
      <c r="E1895" s="816"/>
      <c r="F1895" s="1563"/>
      <c r="G1895" s="814"/>
      <c r="H1895" s="1524"/>
      <c r="J1895" s="1637"/>
      <c r="K1895" s="1637"/>
    </row>
    <row r="1896" spans="1:11" x14ac:dyDescent="0.25">
      <c r="A1896" s="1528"/>
      <c r="B1896" s="1667"/>
      <c r="C1896" s="1537"/>
      <c r="D1896" s="212"/>
      <c r="E1896" s="816"/>
      <c r="F1896" s="1563"/>
      <c r="G1896" s="814"/>
      <c r="H1896" s="1524"/>
      <c r="J1896" s="1637"/>
      <c r="K1896" s="1637"/>
    </row>
    <row r="1897" spans="1:11" x14ac:dyDescent="0.25">
      <c r="A1897" s="1528"/>
      <c r="B1897" s="269"/>
      <c r="C1897" s="1537"/>
      <c r="D1897" s="212"/>
      <c r="E1897" s="816"/>
      <c r="F1897" s="1563"/>
      <c r="G1897" s="814"/>
      <c r="H1897" s="1524"/>
      <c r="J1897" s="1637"/>
      <c r="K1897" s="1637"/>
    </row>
    <row r="1898" spans="1:11" x14ac:dyDescent="0.25">
      <c r="A1898" s="1528"/>
      <c r="B1898" s="268"/>
      <c r="C1898" s="1534"/>
      <c r="D1898" s="211"/>
      <c r="E1898" s="1535" t="s">
        <v>7182</v>
      </c>
      <c r="F1898" s="1551"/>
      <c r="G1898" s="1541" t="s">
        <v>7182</v>
      </c>
      <c r="H1898" s="1524"/>
      <c r="J1898" s="1637"/>
      <c r="K1898" s="1637"/>
    </row>
    <row r="1899" spans="1:11" x14ac:dyDescent="0.25">
      <c r="A1899" s="1528"/>
      <c r="B1899" s="1346"/>
      <c r="C1899" s="1534"/>
      <c r="D1899" s="211"/>
      <c r="E1899" s="1535" t="s">
        <v>7182</v>
      </c>
      <c r="F1899" s="1551"/>
      <c r="G1899" s="1541" t="s">
        <v>7182</v>
      </c>
      <c r="H1899" s="1524"/>
      <c r="J1899" s="1637"/>
      <c r="K1899" s="1637"/>
    </row>
    <row r="1900" spans="1:11" ht="15.75" thickBot="1" x14ac:dyDescent="0.3">
      <c r="A1900" s="1528"/>
      <c r="B1900" s="1540"/>
      <c r="C1900" s="1537"/>
      <c r="D1900" s="952"/>
      <c r="E1900" s="1538" t="s">
        <v>7182</v>
      </c>
      <c r="F1900" s="1537"/>
      <c r="G1900" s="1541" t="s">
        <v>7182</v>
      </c>
      <c r="H1900" s="1524"/>
      <c r="J1900" s="1637"/>
      <c r="K1900" s="1637"/>
    </row>
    <row r="1901" spans="1:11" ht="15.75" thickBot="1" x14ac:dyDescent="0.3">
      <c r="A1901" s="1528"/>
      <c r="B1901" s="1555"/>
      <c r="C1901" s="1557"/>
      <c r="D1901" s="956"/>
      <c r="E1901" s="1556" t="s">
        <v>7182</v>
      </c>
      <c r="F1901" s="1557"/>
      <c r="G1901" s="1558" t="s">
        <v>7182</v>
      </c>
      <c r="H1901" s="1546">
        <f>SUM(G1886:G1901)</f>
        <v>1764600</v>
      </c>
      <c r="J1901" s="1637"/>
      <c r="K1901" s="1637"/>
    </row>
    <row r="1902" spans="1:11" x14ac:dyDescent="0.25">
      <c r="A1902" s="1528"/>
      <c r="B1902" s="1372"/>
      <c r="C1902" s="1374"/>
      <c r="D1902" s="1373"/>
      <c r="E1902" s="1372" t="s">
        <v>7182</v>
      </c>
      <c r="F1902" s="1374"/>
      <c r="G1902" s="1375" t="s">
        <v>7182</v>
      </c>
      <c r="H1902" s="1550"/>
      <c r="J1902" s="1637"/>
      <c r="K1902" s="1637"/>
    </row>
    <row r="1903" spans="1:11" ht="15.75" thickBot="1" x14ac:dyDescent="0.3">
      <c r="A1903" s="1527"/>
      <c r="B1903" s="188"/>
      <c r="C1903" s="189"/>
      <c r="D1903" s="1668"/>
      <c r="E1903" s="188"/>
      <c r="F1903" s="189"/>
      <c r="G1903" s="1669"/>
      <c r="H1903" s="1550"/>
      <c r="J1903" s="1637"/>
      <c r="K1903" s="1637"/>
    </row>
    <row r="1904" spans="1:11" ht="15.75" thickBot="1" x14ac:dyDescent="0.3">
      <c r="A1904" s="1527"/>
      <c r="B1904" s="1366" t="s">
        <v>9418</v>
      </c>
      <c r="C1904" s="1363" t="s">
        <v>867</v>
      </c>
      <c r="D1904" s="1120" t="s">
        <v>6</v>
      </c>
      <c r="E1904" s="1363" t="s">
        <v>7183</v>
      </c>
      <c r="F1904" s="1363" t="s">
        <v>5405</v>
      </c>
      <c r="G1904" s="1365" t="s">
        <v>7179</v>
      </c>
      <c r="H1904" s="1524"/>
      <c r="J1904" s="1637"/>
      <c r="K1904" s="1637"/>
    </row>
    <row r="1905" spans="1:11" x14ac:dyDescent="0.25">
      <c r="A1905" s="1527"/>
      <c r="B1905" s="1564" t="s">
        <v>5455</v>
      </c>
      <c r="C1905" s="1534" t="s">
        <v>5</v>
      </c>
      <c r="D1905" s="211">
        <v>1</v>
      </c>
      <c r="E1905" s="1535">
        <f>50000/12</f>
        <v>4166.666666666667</v>
      </c>
      <c r="F1905" s="1534">
        <v>1</v>
      </c>
      <c r="G1905" s="1572">
        <f>+F1905*E1905</f>
        <v>4166.666666666667</v>
      </c>
      <c r="H1905" s="1524"/>
      <c r="J1905" s="1637"/>
      <c r="K1905" s="1637"/>
    </row>
    <row r="1906" spans="1:11" x14ac:dyDescent="0.25">
      <c r="A1906" s="1527"/>
      <c r="B1906" s="1540"/>
      <c r="C1906" s="1537"/>
      <c r="D1906" s="212"/>
      <c r="E1906" s="1535" t="s">
        <v>7182</v>
      </c>
      <c r="F1906" s="1537"/>
      <c r="G1906" s="1572" t="s">
        <v>7182</v>
      </c>
      <c r="H1906" s="1524"/>
      <c r="J1906" s="1637"/>
      <c r="K1906" s="1637"/>
    </row>
    <row r="1907" spans="1:11" x14ac:dyDescent="0.25">
      <c r="A1907" s="1527"/>
      <c r="B1907" s="1540"/>
      <c r="C1907" s="1537"/>
      <c r="D1907" s="212"/>
      <c r="E1907" s="1535" t="s">
        <v>7182</v>
      </c>
      <c r="F1907" s="1537"/>
      <c r="G1907" s="1572" t="s">
        <v>7182</v>
      </c>
      <c r="H1907" s="1524"/>
      <c r="J1907" s="1637"/>
      <c r="K1907" s="1637"/>
    </row>
    <row r="1908" spans="1:11" ht="15.75" thickBot="1" x14ac:dyDescent="0.3">
      <c r="A1908" s="1527"/>
      <c r="B1908" s="1540"/>
      <c r="C1908" s="1537"/>
      <c r="D1908" s="212"/>
      <c r="E1908" s="1535" t="s">
        <v>7182</v>
      </c>
      <c r="F1908" s="1537"/>
      <c r="G1908" s="1572" t="s">
        <v>7182</v>
      </c>
      <c r="H1908" s="1524"/>
      <c r="J1908" s="1637"/>
      <c r="K1908" s="1637"/>
    </row>
    <row r="1909" spans="1:11" ht="15.75" thickBot="1" x14ac:dyDescent="0.3">
      <c r="A1909" s="1527"/>
      <c r="B1909" s="1555"/>
      <c r="C1909" s="1556"/>
      <c r="D1909" s="956"/>
      <c r="E1909" s="1556" t="s">
        <v>7182</v>
      </c>
      <c r="F1909" s="1557"/>
      <c r="G1909" s="1558" t="s">
        <v>7182</v>
      </c>
      <c r="H1909" s="1546">
        <f>SUM(G1905:G1909)</f>
        <v>4166.666666666667</v>
      </c>
      <c r="J1909" s="1637"/>
      <c r="K1909" s="1637"/>
    </row>
    <row r="1910" spans="1:11" ht="15.75" thickBot="1" x14ac:dyDescent="0.3">
      <c r="A1910" s="1527"/>
      <c r="B1910" s="1376"/>
      <c r="C1910" s="1353"/>
      <c r="D1910" s="1355"/>
      <c r="E1910" s="1352"/>
      <c r="F1910" s="1377"/>
      <c r="G1910" s="1378"/>
      <c r="H1910" s="1524"/>
      <c r="J1910" s="1637"/>
      <c r="K1910" s="1637"/>
    </row>
    <row r="1911" spans="1:11" ht="15.75" thickBot="1" x14ac:dyDescent="0.3">
      <c r="A1911" s="1527"/>
      <c r="B1911" s="1366" t="s">
        <v>5410</v>
      </c>
      <c r="C1911" s="1363" t="s">
        <v>867</v>
      </c>
      <c r="D1911" s="1120" t="s">
        <v>6</v>
      </c>
      <c r="E1911" s="1363" t="s">
        <v>7183</v>
      </c>
      <c r="F1911" s="1363" t="s">
        <v>5405</v>
      </c>
      <c r="G1911" s="1365" t="s">
        <v>7179</v>
      </c>
      <c r="H1911" s="1524"/>
      <c r="J1911" s="1637"/>
      <c r="K1911" s="1637"/>
    </row>
    <row r="1912" spans="1:11" ht="25.5" x14ac:dyDescent="0.25">
      <c r="A1912" s="1527"/>
      <c r="B1912" s="1564" t="s">
        <v>9421</v>
      </c>
      <c r="C1912" s="1534" t="s">
        <v>9023</v>
      </c>
      <c r="D1912" s="211">
        <v>1</v>
      </c>
      <c r="E1912" s="1535">
        <f>300000/12</f>
        <v>25000</v>
      </c>
      <c r="F1912" s="1534">
        <v>1</v>
      </c>
      <c r="G1912" s="1572">
        <f>+F1912*E1912</f>
        <v>25000</v>
      </c>
      <c r="H1912" s="1524"/>
      <c r="J1912" s="1637"/>
      <c r="K1912" s="1637"/>
    </row>
    <row r="1913" spans="1:11" x14ac:dyDescent="0.25">
      <c r="A1913" s="1527"/>
      <c r="B1913" s="1540"/>
      <c r="C1913" s="1537"/>
      <c r="D1913" s="212"/>
      <c r="E1913" s="1535" t="s">
        <v>7182</v>
      </c>
      <c r="F1913" s="1537"/>
      <c r="G1913" s="1572" t="s">
        <v>7182</v>
      </c>
      <c r="H1913" s="1524"/>
      <c r="J1913" s="1637"/>
      <c r="K1913" s="1637"/>
    </row>
    <row r="1914" spans="1:11" x14ac:dyDescent="0.25">
      <c r="A1914" s="1527"/>
      <c r="B1914" s="1540"/>
      <c r="C1914" s="1537"/>
      <c r="D1914" s="212"/>
      <c r="E1914" s="1535" t="s">
        <v>7182</v>
      </c>
      <c r="F1914" s="1537"/>
      <c r="G1914" s="1572" t="s">
        <v>7182</v>
      </c>
      <c r="H1914" s="1524"/>
      <c r="J1914" s="1637"/>
      <c r="K1914" s="1637"/>
    </row>
    <row r="1915" spans="1:11" ht="15.75" thickBot="1" x14ac:dyDescent="0.3">
      <c r="A1915" s="1527"/>
      <c r="B1915" s="1540"/>
      <c r="C1915" s="1537"/>
      <c r="D1915" s="212"/>
      <c r="E1915" s="1535" t="s">
        <v>7182</v>
      </c>
      <c r="F1915" s="1537"/>
      <c r="G1915" s="1572" t="s">
        <v>7182</v>
      </c>
      <c r="H1915" s="1524"/>
      <c r="J1915" s="1637"/>
      <c r="K1915" s="1637"/>
    </row>
    <row r="1916" spans="1:11" ht="15.75" thickBot="1" x14ac:dyDescent="0.3">
      <c r="A1916" s="1527"/>
      <c r="B1916" s="1555"/>
      <c r="C1916" s="1556"/>
      <c r="D1916" s="956"/>
      <c r="E1916" s="1556" t="s">
        <v>7182</v>
      </c>
      <c r="F1916" s="1557"/>
      <c r="G1916" s="1558" t="s">
        <v>7182</v>
      </c>
      <c r="H1916" s="1546">
        <f>SUM(G1912:G1916)</f>
        <v>25000</v>
      </c>
      <c r="J1916" s="1637"/>
      <c r="K1916" s="1637"/>
    </row>
    <row r="1917" spans="1:11" ht="15.75" thickBot="1" x14ac:dyDescent="0.3">
      <c r="A1917" s="1527"/>
      <c r="B1917" s="1547"/>
      <c r="C1917" s="1547"/>
      <c r="D1917" s="954"/>
      <c r="E1917" s="1547"/>
      <c r="F1917" s="1553"/>
      <c r="G1917" s="1554"/>
      <c r="H1917" s="1550"/>
      <c r="J1917" s="1637"/>
      <c r="K1917" s="1637"/>
    </row>
    <row r="1918" spans="1:11" ht="15.75" thickBot="1" x14ac:dyDescent="0.3">
      <c r="A1918" s="1559"/>
      <c r="B1918" s="1369" t="s">
        <v>5412</v>
      </c>
      <c r="C1918" s="1363" t="s">
        <v>5420</v>
      </c>
      <c r="D1918" s="1120" t="s">
        <v>5421</v>
      </c>
      <c r="E1918" s="1363" t="s">
        <v>7187</v>
      </c>
      <c r="F1918" s="1363" t="s">
        <v>5405</v>
      </c>
      <c r="G1918" s="1370" t="s">
        <v>7179</v>
      </c>
      <c r="H1918" s="1371"/>
      <c r="J1918" s="1637"/>
      <c r="K1918" s="1637"/>
    </row>
    <row r="1919" spans="1:11" x14ac:dyDescent="0.25">
      <c r="A1919" s="1527"/>
      <c r="B1919" s="1560" t="s">
        <v>9422</v>
      </c>
      <c r="C1919" s="1569">
        <v>180000</v>
      </c>
      <c r="D1919" s="352">
        <f>0.6*C1919</f>
        <v>108000</v>
      </c>
      <c r="E1919" s="1569">
        <f>+D1919+C1919</f>
        <v>288000</v>
      </c>
      <c r="F1919" s="819">
        <v>2.2000000000000002</v>
      </c>
      <c r="G1919" s="818">
        <f>+F1919*E1919</f>
        <v>633600</v>
      </c>
      <c r="H1919" s="1524"/>
    </row>
    <row r="1920" spans="1:11" x14ac:dyDescent="0.25">
      <c r="A1920" s="1527"/>
      <c r="B1920" s="1560"/>
      <c r="C1920" s="1569"/>
      <c r="D1920" s="1569"/>
      <c r="E1920" s="1569"/>
      <c r="F1920" s="819"/>
      <c r="G1920" s="818"/>
      <c r="H1920" s="1524"/>
    </row>
    <row r="1921" spans="1:11" x14ac:dyDescent="0.25">
      <c r="A1921" s="1527"/>
      <c r="B1921" s="1561"/>
      <c r="C1921" s="1569"/>
      <c r="D1921" s="1569"/>
      <c r="E1921" s="1569"/>
      <c r="F1921" s="817"/>
      <c r="G1921" s="818"/>
      <c r="H1921" s="1524"/>
    </row>
    <row r="1922" spans="1:11" x14ac:dyDescent="0.25">
      <c r="A1922" s="1527"/>
      <c r="B1922" s="1540"/>
      <c r="C1922" s="1569"/>
      <c r="D1922" s="1569"/>
      <c r="E1922" s="1569"/>
      <c r="F1922" s="817"/>
      <c r="G1922" s="818"/>
      <c r="H1922" s="1524"/>
    </row>
    <row r="1923" spans="1:11" x14ac:dyDescent="0.25">
      <c r="A1923" s="1527"/>
      <c r="B1923" s="1540"/>
      <c r="C1923" s="1538" t="s">
        <v>7182</v>
      </c>
      <c r="D1923" s="952" t="s">
        <v>7182</v>
      </c>
      <c r="E1923" s="1538" t="s">
        <v>7182</v>
      </c>
      <c r="F1923" s="817"/>
      <c r="G1923" s="818" t="str">
        <f>IF(B1923="","",E1923/F1923)</f>
        <v/>
      </c>
      <c r="H1923" s="1524"/>
    </row>
    <row r="1924" spans="1:11" ht="15.75" thickBot="1" x14ac:dyDescent="0.3">
      <c r="A1924" s="1527"/>
      <c r="B1924" s="1540"/>
      <c r="C1924" s="1538" t="s">
        <v>7182</v>
      </c>
      <c r="D1924" s="952" t="s">
        <v>7182</v>
      </c>
      <c r="E1924" s="1538" t="s">
        <v>7182</v>
      </c>
      <c r="F1924" s="1537"/>
      <c r="G1924" s="818" t="str">
        <f>IF(B1924="","",E1924/F1924)</f>
        <v/>
      </c>
      <c r="H1924" s="1524"/>
    </row>
    <row r="1925" spans="1:11" ht="15.75" thickBot="1" x14ac:dyDescent="0.3">
      <c r="A1925" s="1527"/>
      <c r="B1925" s="1555"/>
      <c r="C1925" s="1556"/>
      <c r="D1925" s="956"/>
      <c r="E1925" s="1556"/>
      <c r="F1925" s="1557"/>
      <c r="G1925" s="1558"/>
      <c r="H1925" s="1546">
        <f>SUM(G1919:G1925)</f>
        <v>633600</v>
      </c>
    </row>
    <row r="1926" spans="1:11" ht="15.75" thickBot="1" x14ac:dyDescent="0.3">
      <c r="A1926" s="1527"/>
      <c r="B1926" s="1527"/>
      <c r="C1926" s="1527"/>
      <c r="D1926" s="529"/>
      <c r="F1926" s="1528"/>
      <c r="G1926" s="1524"/>
      <c r="H1926" s="1524"/>
    </row>
    <row r="1927" spans="1:11" ht="15.75" thickBot="1" x14ac:dyDescent="0.3">
      <c r="A1927" s="1647" t="s">
        <v>6744</v>
      </c>
      <c r="B1927" s="1352"/>
      <c r="C1927" s="1352"/>
      <c r="D1927" s="1671"/>
      <c r="E1927" s="1672"/>
      <c r="F1927" s="1353"/>
      <c r="G1927" s="1527" t="s">
        <v>5415</v>
      </c>
      <c r="H1927" s="502">
        <f>ROUND(SUM(H1885:H1926),0)</f>
        <v>2427367</v>
      </c>
      <c r="J1927" s="1673">
        <f>+B1881</f>
        <v>10.43</v>
      </c>
      <c r="K1927" s="1674">
        <f>+H1927</f>
        <v>2427367</v>
      </c>
    </row>
    <row r="1928" spans="1:11" x14ac:dyDescent="0.25">
      <c r="A1928" s="1675"/>
      <c r="B1928" s="1676"/>
      <c r="C1928" s="1676"/>
      <c r="D1928" s="1677"/>
      <c r="E1928" s="1678"/>
      <c r="F1928" s="1679"/>
      <c r="G1928" s="1680"/>
      <c r="H1928" s="1680"/>
    </row>
    <row r="1929" spans="1:11" ht="18.75" x14ac:dyDescent="0.25">
      <c r="A1929" s="1523"/>
      <c r="B1929" s="1655"/>
      <c r="C1929" s="1655"/>
      <c r="D1929" s="950"/>
      <c r="E1929" s="1655"/>
      <c r="F1929" s="1655"/>
      <c r="G1929" s="1655"/>
      <c r="H1929" s="8"/>
    </row>
    <row r="1930" spans="1:11" x14ac:dyDescent="0.25">
      <c r="A1930" s="1523"/>
      <c r="B1930" s="8"/>
      <c r="C1930" s="8"/>
      <c r="D1930" s="529"/>
      <c r="E1930" s="8"/>
      <c r="F1930" s="1523"/>
      <c r="G1930" s="1524"/>
      <c r="H1930" s="8"/>
    </row>
    <row r="1931" spans="1:11" ht="49.5" customHeight="1" x14ac:dyDescent="0.25">
      <c r="A1931" s="1665" t="s">
        <v>3</v>
      </c>
      <c r="B1931" s="1666">
        <f>+VLOOKUP(C1931,ListaAPUs!$B:$E,4,FALSE)</f>
        <v>10.44</v>
      </c>
      <c r="C1931" s="2441" t="str">
        <f>+ListaAPUs!B244</f>
        <v xml:space="preserve">Canalizacion de 9Ø6" </v>
      </c>
      <c r="D1931" s="2441"/>
      <c r="E1931" s="2441"/>
      <c r="F1931" s="1665" t="s">
        <v>867</v>
      </c>
      <c r="G1931" s="1390" t="str">
        <f>+VLOOKUP(C1931,ListaAPUs!$B:$E,2,FALSE)</f>
        <v>m</v>
      </c>
      <c r="H1931" s="1524"/>
    </row>
    <row r="1932" spans="1:11" x14ac:dyDescent="0.25">
      <c r="A1932" s="1528"/>
      <c r="B1932" s="1527"/>
      <c r="C1932" s="1527"/>
      <c r="D1932" s="529"/>
      <c r="E1932" s="1527"/>
      <c r="F1932" s="1528"/>
      <c r="G1932" s="1524"/>
      <c r="H1932" s="1524"/>
    </row>
    <row r="1933" spans="1:11" x14ac:dyDescent="0.25">
      <c r="A1933" s="1528"/>
      <c r="B1933" s="1527"/>
      <c r="C1933" s="1527"/>
      <c r="D1933" s="529"/>
      <c r="E1933" s="1527"/>
      <c r="F1933" s="1528"/>
      <c r="G1933" s="1529"/>
      <c r="H1933" s="1524"/>
    </row>
    <row r="1934" spans="1:11" ht="15.75" thickBot="1" x14ac:dyDescent="0.3">
      <c r="A1934" s="1528"/>
      <c r="B1934" s="1527"/>
      <c r="C1934" s="1527"/>
      <c r="D1934" s="529"/>
      <c r="E1934" s="1527"/>
      <c r="F1934" s="1528"/>
      <c r="G1934" s="1524"/>
      <c r="H1934" s="1524"/>
    </row>
    <row r="1935" spans="1:11" ht="15.75" thickBot="1" x14ac:dyDescent="0.3">
      <c r="A1935" s="1368"/>
      <c r="B1935" s="1369" t="s">
        <v>5403</v>
      </c>
      <c r="C1935" s="1363" t="s">
        <v>867</v>
      </c>
      <c r="D1935" s="1120" t="s">
        <v>6</v>
      </c>
      <c r="E1935" s="1363" t="s">
        <v>9417</v>
      </c>
      <c r="F1935" s="1363" t="s">
        <v>5405</v>
      </c>
      <c r="G1935" s="1370" t="s">
        <v>7179</v>
      </c>
      <c r="H1935" s="1371"/>
      <c r="J1935" s="1637"/>
      <c r="K1935" s="1637"/>
    </row>
    <row r="1936" spans="1:11" x14ac:dyDescent="0.25">
      <c r="A1936" s="1528"/>
      <c r="B1936" s="1746" t="s">
        <v>9428</v>
      </c>
      <c r="C1936" s="1802" t="s">
        <v>5432</v>
      </c>
      <c r="D1936" s="1794">
        <v>9</v>
      </c>
      <c r="E1936" s="1826">
        <f>1321673/12.025</f>
        <v>109910.43659043658</v>
      </c>
      <c r="F1936" s="1804">
        <v>1.05</v>
      </c>
      <c r="G1936" s="1805">
        <f>+F1936*E1936*D1936</f>
        <v>1038653.6257796257</v>
      </c>
      <c r="H1936" s="1524"/>
      <c r="J1936" s="1637"/>
      <c r="K1936" s="1637"/>
    </row>
    <row r="1937" spans="1:11" x14ac:dyDescent="0.25">
      <c r="A1937" s="1528"/>
      <c r="B1937" s="1751" t="s">
        <v>9429</v>
      </c>
      <c r="C1937" s="1749" t="s">
        <v>5</v>
      </c>
      <c r="D1937" s="1773">
        <v>1</v>
      </c>
      <c r="E1937" s="1827">
        <v>10950</v>
      </c>
      <c r="F1937" s="1769">
        <v>1</v>
      </c>
      <c r="G1937" s="1786">
        <f>+F1937*E1937*D1937</f>
        <v>10950</v>
      </c>
      <c r="H1937" s="1524"/>
      <c r="J1937" s="1637"/>
      <c r="K1937" s="1637"/>
    </row>
    <row r="1938" spans="1:11" x14ac:dyDescent="0.25">
      <c r="A1938" s="1528"/>
      <c r="B1938" s="1822" t="s">
        <v>9430</v>
      </c>
      <c r="C1938" s="1749" t="s">
        <v>5464</v>
      </c>
      <c r="D1938" s="1773">
        <v>0.8</v>
      </c>
      <c r="E1938" s="1827">
        <v>80000</v>
      </c>
      <c r="F1938" s="1769">
        <v>1</v>
      </c>
      <c r="G1938" s="1786">
        <f>+F1938*E1938</f>
        <v>80000</v>
      </c>
      <c r="H1938" s="1524"/>
      <c r="J1938" s="1637"/>
      <c r="K1938" s="1637"/>
    </row>
    <row r="1939" spans="1:11" x14ac:dyDescent="0.25">
      <c r="A1939" s="1528"/>
      <c r="B1939" s="1667"/>
      <c r="C1939" s="1537"/>
      <c r="D1939" s="212"/>
      <c r="E1939" s="816"/>
      <c r="F1939" s="1563"/>
      <c r="G1939" s="814"/>
      <c r="H1939" s="1524"/>
      <c r="J1939" s="1637"/>
      <c r="K1939" s="1637"/>
    </row>
    <row r="1940" spans="1:11" x14ac:dyDescent="0.25">
      <c r="A1940" s="1528"/>
      <c r="B1940" s="1667"/>
      <c r="C1940" s="1537"/>
      <c r="D1940" s="212"/>
      <c r="E1940" s="816"/>
      <c r="F1940" s="1563"/>
      <c r="G1940" s="814"/>
      <c r="H1940" s="1524"/>
      <c r="J1940" s="1637"/>
      <c r="K1940" s="1637"/>
    </row>
    <row r="1941" spans="1:11" x14ac:dyDescent="0.25">
      <c r="A1941" s="1528"/>
      <c r="B1941" s="1667"/>
      <c r="C1941" s="1537"/>
      <c r="D1941" s="212"/>
      <c r="E1941" s="816"/>
      <c r="F1941" s="1563"/>
      <c r="G1941" s="814"/>
      <c r="H1941" s="1524"/>
      <c r="J1941" s="1637"/>
      <c r="K1941" s="1637"/>
    </row>
    <row r="1942" spans="1:11" x14ac:dyDescent="0.25">
      <c r="A1942" s="1528"/>
      <c r="B1942" s="1667"/>
      <c r="C1942" s="1537"/>
      <c r="D1942" s="212"/>
      <c r="E1942" s="816"/>
      <c r="F1942" s="1563"/>
      <c r="G1942" s="814"/>
      <c r="H1942" s="1524"/>
      <c r="J1942" s="1637"/>
      <c r="K1942" s="1637"/>
    </row>
    <row r="1943" spans="1:11" x14ac:dyDescent="0.25">
      <c r="A1943" s="1528"/>
      <c r="B1943" s="1667"/>
      <c r="C1943" s="1537"/>
      <c r="D1943" s="212"/>
      <c r="E1943" s="816"/>
      <c r="F1943" s="1563"/>
      <c r="G1943" s="814"/>
      <c r="H1943" s="1524"/>
      <c r="J1943" s="1637"/>
      <c r="K1943" s="1637"/>
    </row>
    <row r="1944" spans="1:11" x14ac:dyDescent="0.25">
      <c r="A1944" s="1528"/>
      <c r="B1944" s="1667"/>
      <c r="C1944" s="1537"/>
      <c r="D1944" s="212"/>
      <c r="E1944" s="816"/>
      <c r="F1944" s="1563"/>
      <c r="G1944" s="814"/>
      <c r="H1944" s="1524"/>
      <c r="J1944" s="1637"/>
      <c r="K1944" s="1637"/>
    </row>
    <row r="1945" spans="1:11" x14ac:dyDescent="0.25">
      <c r="A1945" s="1528"/>
      <c r="B1945" s="1667"/>
      <c r="C1945" s="1537"/>
      <c r="D1945" s="212"/>
      <c r="E1945" s="816"/>
      <c r="F1945" s="1563"/>
      <c r="G1945" s="814"/>
      <c r="H1945" s="1524"/>
      <c r="J1945" s="1637"/>
      <c r="K1945" s="1637"/>
    </row>
    <row r="1946" spans="1:11" x14ac:dyDescent="0.25">
      <c r="A1946" s="1528"/>
      <c r="B1946" s="1667"/>
      <c r="C1946" s="1537"/>
      <c r="D1946" s="212"/>
      <c r="E1946" s="816"/>
      <c r="F1946" s="1563"/>
      <c r="G1946" s="814"/>
      <c r="H1946" s="1524"/>
      <c r="J1946" s="1637"/>
      <c r="K1946" s="1637"/>
    </row>
    <row r="1947" spans="1:11" x14ac:dyDescent="0.25">
      <c r="A1947" s="1528"/>
      <c r="B1947" s="269"/>
      <c r="C1947" s="1537"/>
      <c r="D1947" s="212"/>
      <c r="E1947" s="816"/>
      <c r="F1947" s="1563"/>
      <c r="G1947" s="814"/>
      <c r="H1947" s="1524"/>
      <c r="J1947" s="1637"/>
      <c r="K1947" s="1637"/>
    </row>
    <row r="1948" spans="1:11" x14ac:dyDescent="0.25">
      <c r="A1948" s="1528"/>
      <c r="B1948" s="268"/>
      <c r="C1948" s="1534"/>
      <c r="D1948" s="211"/>
      <c r="E1948" s="1535" t="s">
        <v>7182</v>
      </c>
      <c r="F1948" s="1551"/>
      <c r="G1948" s="1541" t="s">
        <v>7182</v>
      </c>
      <c r="H1948" s="1524"/>
      <c r="J1948" s="1637"/>
      <c r="K1948" s="1637"/>
    </row>
    <row r="1949" spans="1:11" x14ac:dyDescent="0.25">
      <c r="A1949" s="1528"/>
      <c r="B1949" s="1346"/>
      <c r="C1949" s="1534"/>
      <c r="D1949" s="211"/>
      <c r="E1949" s="1535" t="s">
        <v>7182</v>
      </c>
      <c r="F1949" s="1551"/>
      <c r="G1949" s="1541" t="s">
        <v>7182</v>
      </c>
      <c r="H1949" s="1524"/>
      <c r="J1949" s="1637"/>
      <c r="K1949" s="1637"/>
    </row>
    <row r="1950" spans="1:11" ht="15.75" thickBot="1" x14ac:dyDescent="0.3">
      <c r="A1950" s="1528"/>
      <c r="B1950" s="1540"/>
      <c r="C1950" s="1537"/>
      <c r="D1950" s="952"/>
      <c r="E1950" s="1538" t="s">
        <v>7182</v>
      </c>
      <c r="F1950" s="1537"/>
      <c r="G1950" s="1541" t="s">
        <v>7182</v>
      </c>
      <c r="H1950" s="1524"/>
      <c r="J1950" s="1637"/>
      <c r="K1950" s="1637"/>
    </row>
    <row r="1951" spans="1:11" ht="15.75" thickBot="1" x14ac:dyDescent="0.3">
      <c r="A1951" s="1528"/>
      <c r="B1951" s="1555"/>
      <c r="C1951" s="1557"/>
      <c r="D1951" s="956"/>
      <c r="E1951" s="1556" t="s">
        <v>7182</v>
      </c>
      <c r="F1951" s="1557"/>
      <c r="G1951" s="1558" t="s">
        <v>7182</v>
      </c>
      <c r="H1951" s="1546">
        <f>SUM(G1936:G1951)</f>
        <v>1129603.6257796257</v>
      </c>
      <c r="J1951" s="1637"/>
      <c r="K1951" s="1637"/>
    </row>
    <row r="1952" spans="1:11" x14ac:dyDescent="0.25">
      <c r="A1952" s="1528"/>
      <c r="B1952" s="1372"/>
      <c r="C1952" s="1374"/>
      <c r="D1952" s="1373"/>
      <c r="E1952" s="1372" t="s">
        <v>7182</v>
      </c>
      <c r="F1952" s="1374"/>
      <c r="G1952" s="1375" t="s">
        <v>7182</v>
      </c>
      <c r="H1952" s="1550"/>
      <c r="J1952" s="1637"/>
      <c r="K1952" s="1637"/>
    </row>
    <row r="1953" spans="1:11" ht="15.75" thickBot="1" x14ac:dyDescent="0.3">
      <c r="A1953" s="1527"/>
      <c r="B1953" s="188"/>
      <c r="C1953" s="189"/>
      <c r="D1953" s="1668"/>
      <c r="E1953" s="188"/>
      <c r="F1953" s="189"/>
      <c r="G1953" s="1669"/>
      <c r="H1953" s="1550"/>
      <c r="J1953" s="1637"/>
      <c r="K1953" s="1637"/>
    </row>
    <row r="1954" spans="1:11" ht="15.75" thickBot="1" x14ac:dyDescent="0.3">
      <c r="A1954" s="1527"/>
      <c r="B1954" s="1366" t="s">
        <v>9418</v>
      </c>
      <c r="C1954" s="1363" t="s">
        <v>867</v>
      </c>
      <c r="D1954" s="1120" t="s">
        <v>6</v>
      </c>
      <c r="E1954" s="1363" t="s">
        <v>7183</v>
      </c>
      <c r="F1954" s="1363" t="s">
        <v>5405</v>
      </c>
      <c r="G1954" s="1365" t="s">
        <v>7179</v>
      </c>
      <c r="H1954" s="1524"/>
      <c r="J1954" s="1637"/>
      <c r="K1954" s="1637"/>
    </row>
    <row r="1955" spans="1:11" x14ac:dyDescent="0.25">
      <c r="A1955" s="1527"/>
      <c r="B1955" s="1564" t="s">
        <v>5455</v>
      </c>
      <c r="C1955" s="1534" t="s">
        <v>5</v>
      </c>
      <c r="D1955" s="211">
        <v>1</v>
      </c>
      <c r="E1955" s="1535">
        <f>300000/30</f>
        <v>10000</v>
      </c>
      <c r="F1955" s="297">
        <v>0.35</v>
      </c>
      <c r="G1955" s="1572">
        <f>+F1955*E1955</f>
        <v>3500</v>
      </c>
      <c r="H1955" s="1524"/>
      <c r="J1955" s="1637"/>
      <c r="K1955" s="1637"/>
    </row>
    <row r="1956" spans="1:11" x14ac:dyDescent="0.25">
      <c r="A1956" s="1527"/>
      <c r="B1956" s="1540"/>
      <c r="C1956" s="1537"/>
      <c r="D1956" s="212"/>
      <c r="E1956" s="1535" t="s">
        <v>7182</v>
      </c>
      <c r="F1956" s="1537"/>
      <c r="G1956" s="1572" t="s">
        <v>7182</v>
      </c>
      <c r="H1956" s="1524"/>
      <c r="J1956" s="1637"/>
      <c r="K1956" s="1637"/>
    </row>
    <row r="1957" spans="1:11" x14ac:dyDescent="0.25">
      <c r="A1957" s="1527"/>
      <c r="B1957" s="1540"/>
      <c r="C1957" s="1537"/>
      <c r="D1957" s="212"/>
      <c r="E1957" s="1535" t="s">
        <v>7182</v>
      </c>
      <c r="F1957" s="1537"/>
      <c r="G1957" s="1572" t="s">
        <v>7182</v>
      </c>
      <c r="H1957" s="1524"/>
      <c r="J1957" s="1637"/>
      <c r="K1957" s="1637"/>
    </row>
    <row r="1958" spans="1:11" ht="15.75" thickBot="1" x14ac:dyDescent="0.3">
      <c r="A1958" s="1527"/>
      <c r="B1958" s="1540"/>
      <c r="C1958" s="1537"/>
      <c r="D1958" s="212"/>
      <c r="E1958" s="1535" t="s">
        <v>7182</v>
      </c>
      <c r="F1958" s="1537"/>
      <c r="G1958" s="1572" t="s">
        <v>7182</v>
      </c>
      <c r="H1958" s="1524"/>
      <c r="J1958" s="1637"/>
      <c r="K1958" s="1637"/>
    </row>
    <row r="1959" spans="1:11" ht="15.75" thickBot="1" x14ac:dyDescent="0.3">
      <c r="A1959" s="1527"/>
      <c r="B1959" s="1555"/>
      <c r="C1959" s="1556"/>
      <c r="D1959" s="956"/>
      <c r="E1959" s="1556" t="s">
        <v>7182</v>
      </c>
      <c r="F1959" s="1557"/>
      <c r="G1959" s="1558" t="s">
        <v>7182</v>
      </c>
      <c r="H1959" s="1546">
        <f>SUM(G1955:G1959)</f>
        <v>3500</v>
      </c>
      <c r="J1959" s="1637"/>
      <c r="K1959" s="1637"/>
    </row>
    <row r="1960" spans="1:11" ht="15.75" thickBot="1" x14ac:dyDescent="0.3">
      <c r="A1960" s="1527"/>
      <c r="B1960" s="1376"/>
      <c r="C1960" s="1353"/>
      <c r="D1960" s="1355"/>
      <c r="E1960" s="1352"/>
      <c r="F1960" s="1377"/>
      <c r="G1960" s="1378"/>
      <c r="H1960" s="1524"/>
      <c r="J1960" s="1637"/>
      <c r="K1960" s="1637"/>
    </row>
    <row r="1961" spans="1:11" ht="15.75" thickBot="1" x14ac:dyDescent="0.3">
      <c r="A1961" s="1527"/>
      <c r="B1961" s="1366" t="s">
        <v>5410</v>
      </c>
      <c r="C1961" s="1363" t="s">
        <v>867</v>
      </c>
      <c r="D1961" s="1120" t="s">
        <v>6</v>
      </c>
      <c r="E1961" s="1363" t="s">
        <v>7183</v>
      </c>
      <c r="F1961" s="1363" t="s">
        <v>5405</v>
      </c>
      <c r="G1961" s="1365" t="s">
        <v>7179</v>
      </c>
      <c r="H1961" s="1524"/>
      <c r="J1961" s="1637"/>
      <c r="K1961" s="1637"/>
    </row>
    <row r="1962" spans="1:11" ht="25.5" x14ac:dyDescent="0.25">
      <c r="A1962" s="1527"/>
      <c r="B1962" s="1564" t="s">
        <v>9421</v>
      </c>
      <c r="C1962" s="1534" t="s">
        <v>9023</v>
      </c>
      <c r="D1962" s="211">
        <v>1</v>
      </c>
      <c r="E1962" s="1535">
        <f>300000/35</f>
        <v>8571.4285714285706</v>
      </c>
      <c r="F1962" s="1534">
        <v>1</v>
      </c>
      <c r="G1962" s="1572">
        <f>+F1962*E1962</f>
        <v>8571.4285714285706</v>
      </c>
      <c r="H1962" s="1524"/>
      <c r="J1962" s="1637"/>
      <c r="K1962" s="1637"/>
    </row>
    <row r="1963" spans="1:11" x14ac:dyDescent="0.25">
      <c r="A1963" s="1527"/>
      <c r="B1963" s="1540"/>
      <c r="C1963" s="1537"/>
      <c r="D1963" s="212"/>
      <c r="E1963" s="1535" t="s">
        <v>7182</v>
      </c>
      <c r="F1963" s="1537"/>
      <c r="G1963" s="1572" t="s">
        <v>7182</v>
      </c>
      <c r="H1963" s="1524"/>
      <c r="J1963" s="1637"/>
      <c r="K1963" s="1637"/>
    </row>
    <row r="1964" spans="1:11" x14ac:dyDescent="0.25">
      <c r="A1964" s="1527"/>
      <c r="B1964" s="1540"/>
      <c r="C1964" s="1537"/>
      <c r="D1964" s="212"/>
      <c r="E1964" s="1535" t="s">
        <v>7182</v>
      </c>
      <c r="F1964" s="1537"/>
      <c r="G1964" s="1572" t="s">
        <v>7182</v>
      </c>
      <c r="H1964" s="1524"/>
      <c r="J1964" s="1637"/>
      <c r="K1964" s="1637"/>
    </row>
    <row r="1965" spans="1:11" ht="15.75" thickBot="1" x14ac:dyDescent="0.3">
      <c r="A1965" s="1527"/>
      <c r="B1965" s="1540"/>
      <c r="C1965" s="1537"/>
      <c r="D1965" s="212"/>
      <c r="E1965" s="1535" t="s">
        <v>7182</v>
      </c>
      <c r="F1965" s="1537"/>
      <c r="G1965" s="1572" t="s">
        <v>7182</v>
      </c>
      <c r="H1965" s="1524"/>
      <c r="J1965" s="1637"/>
      <c r="K1965" s="1637"/>
    </row>
    <row r="1966" spans="1:11" ht="15.75" thickBot="1" x14ac:dyDescent="0.3">
      <c r="A1966" s="1527"/>
      <c r="B1966" s="1555"/>
      <c r="C1966" s="1556"/>
      <c r="D1966" s="956"/>
      <c r="E1966" s="1556" t="s">
        <v>7182</v>
      </c>
      <c r="F1966" s="1557"/>
      <c r="G1966" s="1558" t="s">
        <v>7182</v>
      </c>
      <c r="H1966" s="1546">
        <f>SUM(G1962:G1966)</f>
        <v>8571.4285714285706</v>
      </c>
      <c r="J1966" s="1637"/>
      <c r="K1966" s="1637"/>
    </row>
    <row r="1967" spans="1:11" ht="15.75" thickBot="1" x14ac:dyDescent="0.3">
      <c r="A1967" s="1527"/>
      <c r="B1967" s="1547"/>
      <c r="C1967" s="1547"/>
      <c r="D1967" s="954"/>
      <c r="E1967" s="1547"/>
      <c r="F1967" s="1553"/>
      <c r="G1967" s="1554"/>
      <c r="H1967" s="1550"/>
    </row>
    <row r="1968" spans="1:11" ht="15.75" thickBot="1" x14ac:dyDescent="0.3">
      <c r="A1968" s="1559"/>
      <c r="B1968" s="1369" t="s">
        <v>5412</v>
      </c>
      <c r="C1968" s="1363" t="s">
        <v>5420</v>
      </c>
      <c r="D1968" s="1120" t="s">
        <v>5421</v>
      </c>
      <c r="E1968" s="1363" t="s">
        <v>7187</v>
      </c>
      <c r="F1968" s="1363" t="s">
        <v>5405</v>
      </c>
      <c r="G1968" s="1370" t="s">
        <v>7179</v>
      </c>
      <c r="H1968" s="1371"/>
    </row>
    <row r="1969" spans="1:11" x14ac:dyDescent="0.25">
      <c r="A1969" s="1527"/>
      <c r="B1969" s="1560" t="s">
        <v>9422</v>
      </c>
      <c r="C1969" s="1569">
        <v>170000</v>
      </c>
      <c r="D1969" s="352">
        <f>0.6*C1969</f>
        <v>102000</v>
      </c>
      <c r="E1969" s="1569">
        <f>+D1969+C1969</f>
        <v>272000</v>
      </c>
      <c r="F1969" s="819">
        <v>0.02</v>
      </c>
      <c r="G1969" s="818">
        <f>+F1969*E1969</f>
        <v>5440</v>
      </c>
      <c r="H1969" s="1524"/>
    </row>
    <row r="1970" spans="1:11" x14ac:dyDescent="0.25">
      <c r="A1970" s="1527"/>
      <c r="B1970" s="1560"/>
      <c r="C1970" s="1569"/>
      <c r="D1970" s="1569"/>
      <c r="E1970" s="1569"/>
      <c r="F1970" s="819"/>
      <c r="G1970" s="818"/>
      <c r="H1970" s="1524"/>
    </row>
    <row r="1971" spans="1:11" x14ac:dyDescent="0.25">
      <c r="A1971" s="1527"/>
      <c r="B1971" s="1561"/>
      <c r="C1971" s="1569"/>
      <c r="D1971" s="1569"/>
      <c r="E1971" s="1569"/>
      <c r="F1971" s="817"/>
      <c r="G1971" s="818"/>
      <c r="H1971" s="1524"/>
    </row>
    <row r="1972" spans="1:11" x14ac:dyDescent="0.25">
      <c r="A1972" s="1527"/>
      <c r="B1972" s="1540"/>
      <c r="C1972" s="1569"/>
      <c r="D1972" s="1569"/>
      <c r="E1972" s="1569"/>
      <c r="F1972" s="817"/>
      <c r="G1972" s="818"/>
      <c r="H1972" s="1524"/>
    </row>
    <row r="1973" spans="1:11" x14ac:dyDescent="0.25">
      <c r="A1973" s="1527"/>
      <c r="B1973" s="1540"/>
      <c r="C1973" s="1538" t="s">
        <v>7182</v>
      </c>
      <c r="D1973" s="952" t="s">
        <v>7182</v>
      </c>
      <c r="E1973" s="1538" t="s">
        <v>7182</v>
      </c>
      <c r="F1973" s="817"/>
      <c r="G1973" s="818" t="str">
        <f>IF(B1973="","",E1973/F1973)</f>
        <v/>
      </c>
      <c r="H1973" s="1524"/>
    </row>
    <row r="1974" spans="1:11" ht="15.75" thickBot="1" x14ac:dyDescent="0.3">
      <c r="A1974" s="1527"/>
      <c r="B1974" s="1540"/>
      <c r="C1974" s="1538" t="s">
        <v>7182</v>
      </c>
      <c r="D1974" s="952" t="s">
        <v>7182</v>
      </c>
      <c r="E1974" s="1538" t="s">
        <v>7182</v>
      </c>
      <c r="F1974" s="1537"/>
      <c r="G1974" s="818" t="str">
        <f>IF(B1974="","",E1974/F1974)</f>
        <v/>
      </c>
      <c r="H1974" s="1524"/>
    </row>
    <row r="1975" spans="1:11" ht="15.75" thickBot="1" x14ac:dyDescent="0.3">
      <c r="A1975" s="1527"/>
      <c r="B1975" s="1555"/>
      <c r="C1975" s="1556"/>
      <c r="D1975" s="956"/>
      <c r="E1975" s="1556"/>
      <c r="F1975" s="1557"/>
      <c r="G1975" s="1558"/>
      <c r="H1975" s="1546">
        <f>SUM(G1969:G1975)</f>
        <v>5440</v>
      </c>
    </row>
    <row r="1976" spans="1:11" ht="15.75" thickBot="1" x14ac:dyDescent="0.3">
      <c r="A1976" s="1527"/>
      <c r="B1976" s="1527"/>
      <c r="C1976" s="1527"/>
      <c r="D1976" s="529"/>
      <c r="F1976" s="1528"/>
      <c r="G1976" s="1524"/>
      <c r="H1976" s="1524"/>
    </row>
    <row r="1977" spans="1:11" ht="15.75" thickBot="1" x14ac:dyDescent="0.3">
      <c r="A1977" s="1647" t="s">
        <v>6744</v>
      </c>
      <c r="B1977" s="1352"/>
      <c r="C1977" s="1352"/>
      <c r="D1977" s="1671"/>
      <c r="E1977" s="1672"/>
      <c r="F1977" s="1353"/>
      <c r="G1977" s="1527" t="s">
        <v>5415</v>
      </c>
      <c r="H1977" s="502">
        <f>ROUND(SUM(H1935:H1976),0)</f>
        <v>1147115</v>
      </c>
      <c r="J1977" s="1673">
        <f>+B1931</f>
        <v>10.44</v>
      </c>
      <c r="K1977" s="1674">
        <f>+H1977</f>
        <v>1147115</v>
      </c>
    </row>
    <row r="1978" spans="1:11" x14ac:dyDescent="0.25">
      <c r="A1978" s="1675"/>
      <c r="B1978" s="1676"/>
      <c r="C1978" s="1676"/>
      <c r="D1978" s="1677"/>
      <c r="E1978" s="1678"/>
      <c r="F1978" s="1679"/>
      <c r="G1978" s="1680"/>
      <c r="H1978" s="1680"/>
    </row>
    <row r="1979" spans="1:11" ht="18.75" x14ac:dyDescent="0.25">
      <c r="A1979" s="1523"/>
      <c r="B1979" s="1655"/>
      <c r="C1979" s="1655"/>
      <c r="D1979" s="950"/>
      <c r="E1979" s="1655"/>
      <c r="F1979" s="1655"/>
      <c r="G1979" s="1655"/>
      <c r="H1979" s="8"/>
    </row>
    <row r="1980" spans="1:11" x14ac:dyDescent="0.25">
      <c r="A1980" s="1523"/>
      <c r="B1980" s="8"/>
      <c r="C1980" s="8"/>
      <c r="D1980" s="529"/>
      <c r="E1980" s="8"/>
      <c r="F1980" s="1523"/>
      <c r="G1980" s="1524"/>
      <c r="H1980" s="8"/>
    </row>
    <row r="1981" spans="1:11" ht="49.5" customHeight="1" x14ac:dyDescent="0.25">
      <c r="A1981" s="1665" t="s">
        <v>3</v>
      </c>
      <c r="B1981" s="1666">
        <f>+VLOOKUP(C1981,ListaAPUs!$B:$E,4,FALSE)</f>
        <v>10.45</v>
      </c>
      <c r="C1981" s="2441" t="str">
        <f>+ListaAPUs!B245</f>
        <v xml:space="preserve">Canalizacion de 4Ø4" </v>
      </c>
      <c r="D1981" s="2441"/>
      <c r="E1981" s="2441"/>
      <c r="F1981" s="1665" t="s">
        <v>867</v>
      </c>
      <c r="G1981" s="1390" t="str">
        <f>+VLOOKUP(C1981,ListaAPUs!$B:$E,2,FALSE)</f>
        <v>m</v>
      </c>
      <c r="H1981" s="1524"/>
    </row>
    <row r="1982" spans="1:11" x14ac:dyDescent="0.25">
      <c r="A1982" s="1528"/>
      <c r="B1982" s="1527"/>
      <c r="C1982" s="1527"/>
      <c r="D1982" s="529"/>
      <c r="E1982" s="1527"/>
      <c r="F1982" s="1528"/>
      <c r="G1982" s="1524"/>
      <c r="H1982" s="1524"/>
    </row>
    <row r="1983" spans="1:11" x14ac:dyDescent="0.25">
      <c r="A1983" s="1528"/>
      <c r="B1983" s="1527"/>
      <c r="C1983" s="1527"/>
      <c r="D1983" s="529"/>
      <c r="E1983" s="1527"/>
      <c r="F1983" s="1528"/>
      <c r="G1983" s="1529"/>
      <c r="H1983" s="1524"/>
      <c r="J1983" s="1637"/>
      <c r="K1983" s="1637"/>
    </row>
    <row r="1984" spans="1:11" ht="15.75" thickBot="1" x14ac:dyDescent="0.3">
      <c r="A1984" s="1528"/>
      <c r="B1984" s="1527"/>
      <c r="C1984" s="1527"/>
      <c r="D1984" s="529"/>
      <c r="E1984" s="1527"/>
      <c r="F1984" s="1528"/>
      <c r="G1984" s="1524"/>
      <c r="H1984" s="1524"/>
      <c r="J1984" s="1637"/>
      <c r="K1984" s="1637"/>
    </row>
    <row r="1985" spans="1:11" ht="15.75" thickBot="1" x14ac:dyDescent="0.3">
      <c r="A1985" s="1368"/>
      <c r="B1985" s="1369" t="s">
        <v>5403</v>
      </c>
      <c r="C1985" s="1363" t="s">
        <v>867</v>
      </c>
      <c r="D1985" s="1120" t="s">
        <v>6</v>
      </c>
      <c r="E1985" s="1363" t="s">
        <v>9417</v>
      </c>
      <c r="F1985" s="1363" t="s">
        <v>5405</v>
      </c>
      <c r="G1985" s="1370" t="s">
        <v>7179</v>
      </c>
      <c r="H1985" s="1371"/>
      <c r="J1985" s="1637"/>
      <c r="K1985" s="1637"/>
    </row>
    <row r="1986" spans="1:11" ht="15.75" thickBot="1" x14ac:dyDescent="0.3">
      <c r="A1986" s="1528"/>
      <c r="B1986" s="1746" t="s">
        <v>9500</v>
      </c>
      <c r="C1986" s="1802" t="s">
        <v>5432</v>
      </c>
      <c r="D1986" s="1794">
        <v>4</v>
      </c>
      <c r="E1986" s="1803">
        <f>32297/2</f>
        <v>16148.5</v>
      </c>
      <c r="F1986" s="1804">
        <v>1.05</v>
      </c>
      <c r="G1986" s="1805">
        <f>+F1986*E1986*D1986</f>
        <v>67823.7</v>
      </c>
      <c r="H1986" s="1524"/>
      <c r="J1986" s="1637"/>
      <c r="K1986" s="1637"/>
    </row>
    <row r="1987" spans="1:11" ht="15.75" thickBot="1" x14ac:dyDescent="0.3">
      <c r="A1987" s="1528"/>
      <c r="B1987" s="1822" t="s">
        <v>9430</v>
      </c>
      <c r="C1987" s="1749" t="s">
        <v>5464</v>
      </c>
      <c r="D1987" s="1773">
        <v>0.8</v>
      </c>
      <c r="E1987" s="1825">
        <v>80000</v>
      </c>
      <c r="F1987" s="1769">
        <v>1</v>
      </c>
      <c r="G1987" s="1805">
        <f t="shared" ref="G1987:G1988" si="15">+F1987*E1987*D1987</f>
        <v>64000</v>
      </c>
      <c r="H1987" s="1524"/>
      <c r="J1987" s="1637"/>
      <c r="K1987" s="1637"/>
    </row>
    <row r="1988" spans="1:11" x14ac:dyDescent="0.25">
      <c r="A1988" s="1528"/>
      <c r="B1988" s="1822" t="s">
        <v>9501</v>
      </c>
      <c r="C1988" s="1749" t="s">
        <v>5</v>
      </c>
      <c r="D1988" s="1773">
        <v>0.2</v>
      </c>
      <c r="E1988" s="1825">
        <v>9800</v>
      </c>
      <c r="F1988" s="1769">
        <v>1</v>
      </c>
      <c r="G1988" s="1805">
        <f t="shared" si="15"/>
        <v>1960</v>
      </c>
      <c r="H1988" s="1524"/>
      <c r="J1988" s="1637"/>
      <c r="K1988" s="1637"/>
    </row>
    <row r="1989" spans="1:11" x14ac:dyDescent="0.25">
      <c r="A1989" s="1528"/>
      <c r="B1989" s="1822"/>
      <c r="C1989" s="1749"/>
      <c r="D1989" s="1773"/>
      <c r="E1989" s="1787"/>
      <c r="F1989" s="1769"/>
      <c r="G1989" s="1786"/>
      <c r="H1989" s="1524"/>
      <c r="J1989" s="1637"/>
      <c r="K1989" s="1637"/>
    </row>
    <row r="1990" spans="1:11" x14ac:dyDescent="0.25">
      <c r="A1990" s="1528"/>
      <c r="B1990" s="1822"/>
      <c r="C1990" s="1749"/>
      <c r="D1990" s="1773"/>
      <c r="E1990" s="1787"/>
      <c r="F1990" s="1769"/>
      <c r="G1990" s="1786"/>
      <c r="H1990" s="1524"/>
      <c r="J1990" s="1637"/>
      <c r="K1990" s="1637"/>
    </row>
    <row r="1991" spans="1:11" x14ac:dyDescent="0.25">
      <c r="A1991" s="1528"/>
      <c r="B1991" s="1822"/>
      <c r="C1991" s="1749"/>
      <c r="D1991" s="1773"/>
      <c r="E1991" s="1787"/>
      <c r="F1991" s="1769"/>
      <c r="G1991" s="1786"/>
      <c r="H1991" s="1524"/>
      <c r="J1991" s="1637"/>
      <c r="K1991" s="1637"/>
    </row>
    <row r="1992" spans="1:11" x14ac:dyDescent="0.25">
      <c r="A1992" s="1528"/>
      <c r="B1992" s="1667"/>
      <c r="C1992" s="1537"/>
      <c r="D1992" s="212"/>
      <c r="E1992" s="816"/>
      <c r="F1992" s="1563"/>
      <c r="G1992" s="814"/>
      <c r="H1992" s="1524"/>
      <c r="J1992" s="1637"/>
      <c r="K1992" s="1637"/>
    </row>
    <row r="1993" spans="1:11" x14ac:dyDescent="0.25">
      <c r="A1993" s="1528"/>
      <c r="B1993" s="1667"/>
      <c r="C1993" s="1537"/>
      <c r="D1993" s="212"/>
      <c r="E1993" s="816"/>
      <c r="F1993" s="1563"/>
      <c r="G1993" s="814"/>
      <c r="H1993" s="1524"/>
      <c r="J1993" s="1637"/>
      <c r="K1993" s="1637"/>
    </row>
    <row r="1994" spans="1:11" x14ac:dyDescent="0.25">
      <c r="A1994" s="1528"/>
      <c r="B1994" s="1667"/>
      <c r="C1994" s="1537"/>
      <c r="D1994" s="212"/>
      <c r="E1994" s="816"/>
      <c r="F1994" s="1563"/>
      <c r="G1994" s="814"/>
      <c r="H1994" s="1524"/>
      <c r="J1994" s="1637"/>
      <c r="K1994" s="1637"/>
    </row>
    <row r="1995" spans="1:11" x14ac:dyDescent="0.25">
      <c r="A1995" s="1528"/>
      <c r="B1995" s="1667"/>
      <c r="C1995" s="1537"/>
      <c r="D1995" s="212"/>
      <c r="E1995" s="816"/>
      <c r="F1995" s="1563"/>
      <c r="G1995" s="814"/>
      <c r="H1995" s="1524"/>
      <c r="J1995" s="1637"/>
      <c r="K1995" s="1637"/>
    </row>
    <row r="1996" spans="1:11" x14ac:dyDescent="0.25">
      <c r="A1996" s="1528"/>
      <c r="B1996" s="1667"/>
      <c r="C1996" s="1537"/>
      <c r="D1996" s="212"/>
      <c r="E1996" s="816"/>
      <c r="F1996" s="1563"/>
      <c r="G1996" s="814"/>
      <c r="H1996" s="1524"/>
      <c r="J1996" s="1637"/>
      <c r="K1996" s="1637"/>
    </row>
    <row r="1997" spans="1:11" x14ac:dyDescent="0.25">
      <c r="A1997" s="1528"/>
      <c r="B1997" s="269"/>
      <c r="C1997" s="1537"/>
      <c r="D1997" s="212"/>
      <c r="E1997" s="816"/>
      <c r="F1997" s="1563"/>
      <c r="G1997" s="814"/>
      <c r="H1997" s="1524"/>
      <c r="J1997" s="1637"/>
      <c r="K1997" s="1637"/>
    </row>
    <row r="1998" spans="1:11" x14ac:dyDescent="0.25">
      <c r="A1998" s="1528"/>
      <c r="B1998" s="268"/>
      <c r="C1998" s="1534"/>
      <c r="D1998" s="211"/>
      <c r="E1998" s="1535" t="s">
        <v>7182</v>
      </c>
      <c r="F1998" s="1551"/>
      <c r="G1998" s="1541" t="s">
        <v>7182</v>
      </c>
      <c r="H1998" s="1524"/>
      <c r="J1998" s="1637"/>
      <c r="K1998" s="1637"/>
    </row>
    <row r="1999" spans="1:11" x14ac:dyDescent="0.25">
      <c r="A1999" s="1528"/>
      <c r="B1999" s="1346"/>
      <c r="C1999" s="1534"/>
      <c r="D1999" s="211"/>
      <c r="E1999" s="1535" t="s">
        <v>7182</v>
      </c>
      <c r="F1999" s="1551"/>
      <c r="G1999" s="1541" t="s">
        <v>7182</v>
      </c>
      <c r="H1999" s="1524"/>
      <c r="J1999" s="1637"/>
      <c r="K1999" s="1637"/>
    </row>
    <row r="2000" spans="1:11" ht="15.75" thickBot="1" x14ac:dyDescent="0.3">
      <c r="A2000" s="1528"/>
      <c r="B2000" s="1540"/>
      <c r="C2000" s="1537"/>
      <c r="D2000" s="952"/>
      <c r="E2000" s="1538" t="s">
        <v>7182</v>
      </c>
      <c r="F2000" s="1537"/>
      <c r="G2000" s="1541" t="s">
        <v>7182</v>
      </c>
      <c r="H2000" s="1524"/>
      <c r="J2000" s="1637"/>
      <c r="K2000" s="1637"/>
    </row>
    <row r="2001" spans="1:11" ht="15.75" thickBot="1" x14ac:dyDescent="0.3">
      <c r="A2001" s="1528"/>
      <c r="B2001" s="1555"/>
      <c r="C2001" s="1557"/>
      <c r="D2001" s="956"/>
      <c r="E2001" s="1556" t="s">
        <v>7182</v>
      </c>
      <c r="F2001" s="1557"/>
      <c r="G2001" s="1558" t="s">
        <v>7182</v>
      </c>
      <c r="H2001" s="1546">
        <f>SUM(G1986:G2001)</f>
        <v>133783.70000000001</v>
      </c>
      <c r="J2001" s="1637"/>
      <c r="K2001" s="1637"/>
    </row>
    <row r="2002" spans="1:11" x14ac:dyDescent="0.25">
      <c r="A2002" s="1528"/>
      <c r="B2002" s="1372"/>
      <c r="C2002" s="1374"/>
      <c r="D2002" s="1373"/>
      <c r="E2002" s="1372" t="s">
        <v>7182</v>
      </c>
      <c r="F2002" s="1374"/>
      <c r="G2002" s="1375" t="s">
        <v>7182</v>
      </c>
      <c r="H2002" s="1550"/>
      <c r="J2002" s="1637"/>
      <c r="K2002" s="1637"/>
    </row>
    <row r="2003" spans="1:11" ht="15.75" thickBot="1" x14ac:dyDescent="0.3">
      <c r="A2003" s="1527"/>
      <c r="B2003" s="188"/>
      <c r="C2003" s="189"/>
      <c r="D2003" s="1668"/>
      <c r="E2003" s="188"/>
      <c r="F2003" s="189"/>
      <c r="G2003" s="1669"/>
      <c r="H2003" s="1550"/>
      <c r="J2003" s="1637"/>
      <c r="K2003" s="1637"/>
    </row>
    <row r="2004" spans="1:11" ht="15.75" thickBot="1" x14ac:dyDescent="0.3">
      <c r="A2004" s="1527"/>
      <c r="B2004" s="1366" t="s">
        <v>9418</v>
      </c>
      <c r="C2004" s="1363" t="s">
        <v>867</v>
      </c>
      <c r="D2004" s="1120" t="s">
        <v>6</v>
      </c>
      <c r="E2004" s="1363" t="s">
        <v>7183</v>
      </c>
      <c r="F2004" s="1363" t="s">
        <v>5405</v>
      </c>
      <c r="G2004" s="1365" t="s">
        <v>7179</v>
      </c>
      <c r="H2004" s="1524"/>
      <c r="J2004" s="1637"/>
      <c r="K2004" s="1637"/>
    </row>
    <row r="2005" spans="1:11" x14ac:dyDescent="0.25">
      <c r="A2005" s="1527"/>
      <c r="B2005" s="1564" t="s">
        <v>5455</v>
      </c>
      <c r="C2005" s="1534" t="s">
        <v>5</v>
      </c>
      <c r="D2005" s="211">
        <v>1</v>
      </c>
      <c r="E2005" s="1535">
        <f>300000/30</f>
        <v>10000</v>
      </c>
      <c r="F2005" s="297">
        <v>0.35</v>
      </c>
      <c r="G2005" s="1572">
        <f>+F2005*E2005</f>
        <v>3500</v>
      </c>
      <c r="H2005" s="1524"/>
      <c r="J2005" s="1637"/>
      <c r="K2005" s="1637"/>
    </row>
    <row r="2006" spans="1:11" x14ac:dyDescent="0.25">
      <c r="A2006" s="1527"/>
      <c r="B2006" s="1540"/>
      <c r="C2006" s="1537"/>
      <c r="D2006" s="212"/>
      <c r="E2006" s="1535" t="s">
        <v>7182</v>
      </c>
      <c r="F2006" s="1537"/>
      <c r="G2006" s="1572" t="s">
        <v>7182</v>
      </c>
      <c r="H2006" s="1524"/>
      <c r="J2006" s="1637"/>
      <c r="K2006" s="1637"/>
    </row>
    <row r="2007" spans="1:11" x14ac:dyDescent="0.25">
      <c r="A2007" s="1527"/>
      <c r="B2007" s="1540"/>
      <c r="C2007" s="1537"/>
      <c r="D2007" s="212"/>
      <c r="E2007" s="1535" t="s">
        <v>7182</v>
      </c>
      <c r="F2007" s="1537"/>
      <c r="G2007" s="1572" t="s">
        <v>7182</v>
      </c>
      <c r="H2007" s="1524"/>
      <c r="J2007" s="1637"/>
      <c r="K2007" s="1637"/>
    </row>
    <row r="2008" spans="1:11" ht="15.75" thickBot="1" x14ac:dyDescent="0.3">
      <c r="A2008" s="1527"/>
      <c r="B2008" s="1540"/>
      <c r="C2008" s="1537"/>
      <c r="D2008" s="212"/>
      <c r="E2008" s="1535" t="s">
        <v>7182</v>
      </c>
      <c r="F2008" s="1537"/>
      <c r="G2008" s="1572" t="s">
        <v>7182</v>
      </c>
      <c r="H2008" s="1524"/>
      <c r="J2008" s="1637"/>
      <c r="K2008" s="1637"/>
    </row>
    <row r="2009" spans="1:11" ht="15.75" thickBot="1" x14ac:dyDescent="0.3">
      <c r="A2009" s="1527"/>
      <c r="B2009" s="1555"/>
      <c r="C2009" s="1556"/>
      <c r="D2009" s="956"/>
      <c r="E2009" s="1556" t="s">
        <v>7182</v>
      </c>
      <c r="F2009" s="1557"/>
      <c r="G2009" s="1558" t="s">
        <v>7182</v>
      </c>
      <c r="H2009" s="1546">
        <f>SUM(G2005:G2009)</f>
        <v>3500</v>
      </c>
      <c r="J2009" s="1637"/>
      <c r="K2009" s="1637"/>
    </row>
    <row r="2010" spans="1:11" ht="15.75" thickBot="1" x14ac:dyDescent="0.3">
      <c r="A2010" s="1527"/>
      <c r="B2010" s="1376"/>
      <c r="C2010" s="1353"/>
      <c r="D2010" s="1355"/>
      <c r="E2010" s="1352"/>
      <c r="F2010" s="1377"/>
      <c r="G2010" s="1378"/>
      <c r="H2010" s="1524"/>
      <c r="J2010" s="1637"/>
      <c r="K2010" s="1637"/>
    </row>
    <row r="2011" spans="1:11" ht="15.75" thickBot="1" x14ac:dyDescent="0.3">
      <c r="A2011" s="1527"/>
      <c r="B2011" s="1366" t="s">
        <v>5410</v>
      </c>
      <c r="C2011" s="1363" t="s">
        <v>867</v>
      </c>
      <c r="D2011" s="1120" t="s">
        <v>6</v>
      </c>
      <c r="E2011" s="1363" t="s">
        <v>7183</v>
      </c>
      <c r="F2011" s="1363" t="s">
        <v>5405</v>
      </c>
      <c r="G2011" s="1365" t="s">
        <v>7179</v>
      </c>
      <c r="H2011" s="1524"/>
      <c r="J2011" s="1637"/>
      <c r="K2011" s="1637"/>
    </row>
    <row r="2012" spans="1:11" ht="25.5" x14ac:dyDescent="0.25">
      <c r="A2012" s="1527"/>
      <c r="B2012" s="1564" t="s">
        <v>9421</v>
      </c>
      <c r="C2012" s="1534" t="s">
        <v>9023</v>
      </c>
      <c r="D2012" s="211">
        <v>1</v>
      </c>
      <c r="E2012" s="1535">
        <f>300000/35</f>
        <v>8571.4285714285706</v>
      </c>
      <c r="F2012" s="297">
        <v>1</v>
      </c>
      <c r="G2012" s="1572">
        <f>+F2012*E2012</f>
        <v>8571.4285714285706</v>
      </c>
      <c r="H2012" s="1524"/>
      <c r="J2012" s="1637"/>
      <c r="K2012" s="1637"/>
    </row>
    <row r="2013" spans="1:11" x14ac:dyDescent="0.25">
      <c r="A2013" s="1527"/>
      <c r="B2013" s="1540"/>
      <c r="C2013" s="1537"/>
      <c r="D2013" s="212"/>
      <c r="E2013" s="1535" t="s">
        <v>7182</v>
      </c>
      <c r="F2013" s="1537"/>
      <c r="G2013" s="1572" t="s">
        <v>7182</v>
      </c>
      <c r="H2013" s="1524"/>
      <c r="J2013" s="1637"/>
      <c r="K2013" s="1637"/>
    </row>
    <row r="2014" spans="1:11" x14ac:dyDescent="0.25">
      <c r="A2014" s="1527"/>
      <c r="B2014" s="1540"/>
      <c r="C2014" s="1537"/>
      <c r="D2014" s="212"/>
      <c r="E2014" s="1535" t="s">
        <v>7182</v>
      </c>
      <c r="F2014" s="1537"/>
      <c r="G2014" s="1572" t="s">
        <v>7182</v>
      </c>
      <c r="H2014" s="1524"/>
      <c r="J2014" s="1637"/>
      <c r="K2014" s="1637"/>
    </row>
    <row r="2015" spans="1:11" ht="15.75" thickBot="1" x14ac:dyDescent="0.3">
      <c r="A2015" s="1527"/>
      <c r="B2015" s="1540"/>
      <c r="C2015" s="1537"/>
      <c r="D2015" s="212"/>
      <c r="E2015" s="1535" t="s">
        <v>7182</v>
      </c>
      <c r="F2015" s="1537"/>
      <c r="G2015" s="1572" t="s">
        <v>7182</v>
      </c>
      <c r="H2015" s="1524"/>
    </row>
    <row r="2016" spans="1:11" ht="15.75" thickBot="1" x14ac:dyDescent="0.3">
      <c r="A2016" s="1527"/>
      <c r="B2016" s="1555"/>
      <c r="C2016" s="1556"/>
      <c r="D2016" s="956"/>
      <c r="E2016" s="1556" t="s">
        <v>7182</v>
      </c>
      <c r="F2016" s="1557"/>
      <c r="G2016" s="1558" t="s">
        <v>7182</v>
      </c>
      <c r="H2016" s="1546">
        <f>SUM(G2012:G2016)</f>
        <v>8571.4285714285706</v>
      </c>
    </row>
    <row r="2017" spans="1:11" ht="15.75" thickBot="1" x14ac:dyDescent="0.3">
      <c r="A2017" s="1527"/>
      <c r="B2017" s="1547"/>
      <c r="C2017" s="1547"/>
      <c r="D2017" s="954"/>
      <c r="E2017" s="1547"/>
      <c r="F2017" s="1553"/>
      <c r="G2017" s="1554"/>
      <c r="H2017" s="1550"/>
    </row>
    <row r="2018" spans="1:11" ht="15.75" thickBot="1" x14ac:dyDescent="0.3">
      <c r="A2018" s="1559"/>
      <c r="B2018" s="1369" t="s">
        <v>5412</v>
      </c>
      <c r="C2018" s="1363" t="s">
        <v>5420</v>
      </c>
      <c r="D2018" s="1120" t="s">
        <v>5421</v>
      </c>
      <c r="E2018" s="1363" t="s">
        <v>7187</v>
      </c>
      <c r="F2018" s="1363" t="s">
        <v>5405</v>
      </c>
      <c r="G2018" s="1370" t="s">
        <v>7179</v>
      </c>
      <c r="H2018" s="1371"/>
    </row>
    <row r="2019" spans="1:11" x14ac:dyDescent="0.25">
      <c r="A2019" s="1527"/>
      <c r="B2019" s="1560" t="s">
        <v>9422</v>
      </c>
      <c r="C2019" s="1569">
        <v>170000</v>
      </c>
      <c r="D2019" s="352">
        <f>0.6*C2019</f>
        <v>102000</v>
      </c>
      <c r="E2019" s="1569">
        <f>+D2019+C2019</f>
        <v>272000</v>
      </c>
      <c r="F2019" s="819">
        <v>0.02</v>
      </c>
      <c r="G2019" s="818">
        <f>+F2019*E2019</f>
        <v>5440</v>
      </c>
      <c r="H2019" s="1524"/>
    </row>
    <row r="2020" spans="1:11" x14ac:dyDescent="0.25">
      <c r="A2020" s="1527"/>
      <c r="B2020" s="1560"/>
      <c r="C2020" s="1569"/>
      <c r="D2020" s="1569"/>
      <c r="E2020" s="1569"/>
      <c r="F2020" s="819"/>
      <c r="G2020" s="818"/>
      <c r="H2020" s="1524"/>
    </row>
    <row r="2021" spans="1:11" x14ac:dyDescent="0.25">
      <c r="A2021" s="1527"/>
      <c r="B2021" s="1561"/>
      <c r="C2021" s="1569"/>
      <c r="D2021" s="1569"/>
      <c r="E2021" s="1569"/>
      <c r="F2021" s="817"/>
      <c r="G2021" s="818"/>
      <c r="H2021" s="1524"/>
    </row>
    <row r="2022" spans="1:11" x14ac:dyDescent="0.25">
      <c r="A2022" s="1527"/>
      <c r="B2022" s="1540"/>
      <c r="C2022" s="1569"/>
      <c r="D2022" s="1569"/>
      <c r="E2022" s="1569"/>
      <c r="F2022" s="817"/>
      <c r="G2022" s="818"/>
      <c r="H2022" s="1524"/>
    </row>
    <row r="2023" spans="1:11" x14ac:dyDescent="0.25">
      <c r="A2023" s="1527"/>
      <c r="B2023" s="1540"/>
      <c r="C2023" s="1538" t="s">
        <v>7182</v>
      </c>
      <c r="D2023" s="952" t="s">
        <v>7182</v>
      </c>
      <c r="E2023" s="1538" t="s">
        <v>7182</v>
      </c>
      <c r="F2023" s="817"/>
      <c r="G2023" s="818" t="str">
        <f>IF(B2023="","",E2023/F2023)</f>
        <v/>
      </c>
      <c r="H2023" s="1524"/>
    </row>
    <row r="2024" spans="1:11" ht="15.75" thickBot="1" x14ac:dyDescent="0.3">
      <c r="A2024" s="1527"/>
      <c r="B2024" s="1540"/>
      <c r="C2024" s="1538" t="s">
        <v>7182</v>
      </c>
      <c r="D2024" s="952" t="s">
        <v>7182</v>
      </c>
      <c r="E2024" s="1538" t="s">
        <v>7182</v>
      </c>
      <c r="F2024" s="1537"/>
      <c r="G2024" s="818" t="str">
        <f>IF(B2024="","",E2024/F2024)</f>
        <v/>
      </c>
      <c r="H2024" s="1524"/>
    </row>
    <row r="2025" spans="1:11" ht="15.75" thickBot="1" x14ac:dyDescent="0.3">
      <c r="A2025" s="1527"/>
      <c r="B2025" s="1555"/>
      <c r="C2025" s="1556"/>
      <c r="D2025" s="956"/>
      <c r="E2025" s="1556"/>
      <c r="F2025" s="1557"/>
      <c r="G2025" s="1558"/>
      <c r="H2025" s="1546">
        <f>SUM(G2019:G2025)</f>
        <v>5440</v>
      </c>
    </row>
    <row r="2026" spans="1:11" ht="15.75" thickBot="1" x14ac:dyDescent="0.3">
      <c r="A2026" s="1527"/>
      <c r="B2026" s="1527"/>
      <c r="C2026" s="1527"/>
      <c r="D2026" s="529"/>
      <c r="F2026" s="1528"/>
      <c r="G2026" s="1524"/>
      <c r="H2026" s="1524"/>
    </row>
    <row r="2027" spans="1:11" ht="15.75" thickBot="1" x14ac:dyDescent="0.3">
      <c r="A2027" s="1647" t="s">
        <v>6744</v>
      </c>
      <c r="B2027" s="1352"/>
      <c r="C2027" s="1352"/>
      <c r="D2027" s="1671"/>
      <c r="E2027" s="1672"/>
      <c r="F2027" s="1353"/>
      <c r="G2027" s="1527" t="s">
        <v>5415</v>
      </c>
      <c r="H2027" s="502">
        <f>ROUND(SUM(H1985:H2026),0)</f>
        <v>151295</v>
      </c>
      <c r="J2027" s="1673">
        <f>+B1981</f>
        <v>10.45</v>
      </c>
      <c r="K2027" s="1674">
        <f>+H2027</f>
        <v>151295</v>
      </c>
    </row>
    <row r="2028" spans="1:11" x14ac:dyDescent="0.25">
      <c r="A2028" s="1675"/>
      <c r="B2028" s="1676"/>
      <c r="C2028" s="1676"/>
      <c r="D2028" s="1677"/>
      <c r="E2028" s="1678"/>
      <c r="F2028" s="1679"/>
      <c r="G2028" s="1680"/>
      <c r="H2028" s="1680"/>
    </row>
    <row r="2029" spans="1:11" ht="18.75" x14ac:dyDescent="0.25">
      <c r="A2029" s="1523"/>
      <c r="B2029" s="1655"/>
      <c r="C2029" s="1655"/>
      <c r="D2029" s="950"/>
      <c r="E2029" s="1655"/>
      <c r="F2029" s="1655"/>
      <c r="G2029" s="1655"/>
      <c r="H2029" s="8"/>
    </row>
    <row r="2030" spans="1:11" x14ac:dyDescent="0.25">
      <c r="A2030" s="1523"/>
      <c r="B2030" s="8"/>
      <c r="C2030" s="8"/>
      <c r="D2030" s="529"/>
      <c r="E2030" s="8"/>
      <c r="F2030" s="1523"/>
      <c r="G2030" s="1524"/>
      <c r="H2030" s="8"/>
    </row>
    <row r="2031" spans="1:11" ht="49.5" customHeight="1" x14ac:dyDescent="0.25">
      <c r="A2031" s="1665" t="s">
        <v>3</v>
      </c>
      <c r="B2031" s="1666">
        <f>+VLOOKUP(C2031,ListaAPUs!$B:$E,4,FALSE)</f>
        <v>10.46</v>
      </c>
      <c r="C2031" s="2441" t="str">
        <f>+ListaAPUs!B246</f>
        <v xml:space="preserve">Canalizacion de 6Ø4" </v>
      </c>
      <c r="D2031" s="2441"/>
      <c r="E2031" s="2441"/>
      <c r="F2031" s="1665" t="s">
        <v>867</v>
      </c>
      <c r="G2031" s="1390" t="str">
        <f>+VLOOKUP(C2031,ListaAPUs!$B:$E,2,FALSE)</f>
        <v>m</v>
      </c>
      <c r="H2031" s="1524"/>
    </row>
    <row r="2032" spans="1:11" x14ac:dyDescent="0.25">
      <c r="A2032" s="1528"/>
      <c r="B2032" s="1527"/>
      <c r="C2032" s="1527"/>
      <c r="D2032" s="529"/>
      <c r="E2032" s="1527"/>
      <c r="F2032" s="1528"/>
      <c r="G2032" s="1524"/>
      <c r="H2032" s="1524"/>
      <c r="J2032" s="1637"/>
      <c r="K2032" s="1637"/>
    </row>
    <row r="2033" spans="1:11" x14ac:dyDescent="0.25">
      <c r="A2033" s="1528"/>
      <c r="B2033" s="1527"/>
      <c r="C2033" s="1527"/>
      <c r="D2033" s="529"/>
      <c r="E2033" s="1527"/>
      <c r="F2033" s="1528"/>
      <c r="G2033" s="1529"/>
      <c r="H2033" s="1524"/>
      <c r="J2033" s="1637"/>
      <c r="K2033" s="1637"/>
    </row>
    <row r="2034" spans="1:11" ht="15.75" thickBot="1" x14ac:dyDescent="0.3">
      <c r="A2034" s="1528"/>
      <c r="B2034" s="1527"/>
      <c r="C2034" s="1527"/>
      <c r="D2034" s="529"/>
      <c r="E2034" s="1527"/>
      <c r="F2034" s="1528"/>
      <c r="G2034" s="1524"/>
      <c r="H2034" s="1524"/>
      <c r="J2034" s="1637"/>
      <c r="K2034" s="1637"/>
    </row>
    <row r="2035" spans="1:11" ht="15.75" thickBot="1" x14ac:dyDescent="0.3">
      <c r="A2035" s="1368"/>
      <c r="B2035" s="1369" t="s">
        <v>5403</v>
      </c>
      <c r="C2035" s="1363" t="s">
        <v>867</v>
      </c>
      <c r="D2035" s="1120" t="s">
        <v>6</v>
      </c>
      <c r="E2035" s="1363" t="s">
        <v>9417</v>
      </c>
      <c r="F2035" s="1363" t="s">
        <v>5405</v>
      </c>
      <c r="G2035" s="1370" t="s">
        <v>7179</v>
      </c>
      <c r="H2035" s="1371"/>
      <c r="J2035" s="1637"/>
      <c r="K2035" s="1637"/>
    </row>
    <row r="2036" spans="1:11" ht="15.75" thickBot="1" x14ac:dyDescent="0.3">
      <c r="A2036" s="1528"/>
      <c r="B2036" s="1746" t="s">
        <v>9500</v>
      </c>
      <c r="C2036" s="1802" t="s">
        <v>5432</v>
      </c>
      <c r="D2036" s="1794">
        <v>6</v>
      </c>
      <c r="E2036" s="1803">
        <f>32297/2</f>
        <v>16148.5</v>
      </c>
      <c r="F2036" s="1804">
        <v>1</v>
      </c>
      <c r="G2036" s="1805">
        <f>+F2036*E2036*D2036</f>
        <v>96891</v>
      </c>
      <c r="H2036" s="1524"/>
      <c r="J2036" s="1637"/>
      <c r="K2036" s="1637"/>
    </row>
    <row r="2037" spans="1:11" ht="15.75" thickBot="1" x14ac:dyDescent="0.3">
      <c r="A2037" s="1528"/>
      <c r="B2037" s="1822" t="s">
        <v>9430</v>
      </c>
      <c r="C2037" s="1749" t="s">
        <v>5464</v>
      </c>
      <c r="D2037" s="1773">
        <v>0.8</v>
      </c>
      <c r="E2037" s="1825">
        <v>80000</v>
      </c>
      <c r="F2037" s="1769">
        <v>1</v>
      </c>
      <c r="G2037" s="1805">
        <f t="shared" ref="G2037:G2038" si="16">+F2037*E2037*D2037</f>
        <v>64000</v>
      </c>
      <c r="H2037" s="1524"/>
      <c r="J2037" s="1637"/>
      <c r="K2037" s="1637"/>
    </row>
    <row r="2038" spans="1:11" x14ac:dyDescent="0.25">
      <c r="A2038" s="1528"/>
      <c r="B2038" s="1822" t="s">
        <v>9501</v>
      </c>
      <c r="C2038" s="1749" t="s">
        <v>5</v>
      </c>
      <c r="D2038" s="1773">
        <v>0.5</v>
      </c>
      <c r="E2038" s="1825">
        <v>9800</v>
      </c>
      <c r="F2038" s="1769">
        <v>1</v>
      </c>
      <c r="G2038" s="1805">
        <f t="shared" si="16"/>
        <v>4900</v>
      </c>
      <c r="H2038" s="1524"/>
      <c r="J2038" s="1637"/>
      <c r="K2038" s="1637"/>
    </row>
    <row r="2039" spans="1:11" x14ac:dyDescent="0.25">
      <c r="A2039" s="1528"/>
      <c r="B2039" s="1667"/>
      <c r="C2039" s="1537"/>
      <c r="D2039" s="212"/>
      <c r="E2039" s="816"/>
      <c r="F2039" s="1563"/>
      <c r="G2039" s="814"/>
      <c r="H2039" s="1524"/>
      <c r="J2039" s="1637"/>
      <c r="K2039" s="1637"/>
    </row>
    <row r="2040" spans="1:11" x14ac:dyDescent="0.25">
      <c r="A2040" s="1528"/>
      <c r="B2040" s="1667"/>
      <c r="C2040" s="1537"/>
      <c r="D2040" s="212"/>
      <c r="E2040" s="816"/>
      <c r="F2040" s="1563"/>
      <c r="G2040" s="814"/>
      <c r="H2040" s="1524"/>
      <c r="J2040" s="1637"/>
      <c r="K2040" s="1637"/>
    </row>
    <row r="2041" spans="1:11" x14ac:dyDescent="0.25">
      <c r="A2041" s="1528"/>
      <c r="B2041" s="1667"/>
      <c r="C2041" s="1537"/>
      <c r="D2041" s="212"/>
      <c r="E2041" s="816"/>
      <c r="F2041" s="1563"/>
      <c r="G2041" s="814"/>
      <c r="H2041" s="1524"/>
      <c r="J2041" s="1637"/>
      <c r="K2041" s="1637"/>
    </row>
    <row r="2042" spans="1:11" x14ac:dyDescent="0.25">
      <c r="A2042" s="1528"/>
      <c r="B2042" s="1667"/>
      <c r="C2042" s="1537"/>
      <c r="D2042" s="212"/>
      <c r="E2042" s="816"/>
      <c r="F2042" s="1563"/>
      <c r="G2042" s="814"/>
      <c r="H2042" s="1524"/>
      <c r="J2042" s="1637"/>
      <c r="K2042" s="1637"/>
    </row>
    <row r="2043" spans="1:11" x14ac:dyDescent="0.25">
      <c r="A2043" s="1528"/>
      <c r="B2043" s="1667"/>
      <c r="C2043" s="1537"/>
      <c r="D2043" s="212"/>
      <c r="E2043" s="816"/>
      <c r="F2043" s="1563"/>
      <c r="G2043" s="814"/>
      <c r="H2043" s="1524"/>
      <c r="J2043" s="1637"/>
      <c r="K2043" s="1637"/>
    </row>
    <row r="2044" spans="1:11" x14ac:dyDescent="0.25">
      <c r="A2044" s="1528"/>
      <c r="B2044" s="1667"/>
      <c r="C2044" s="1537"/>
      <c r="D2044" s="212"/>
      <c r="E2044" s="816"/>
      <c r="F2044" s="1563"/>
      <c r="G2044" s="814"/>
      <c r="H2044" s="1524"/>
      <c r="J2044" s="1637"/>
      <c r="K2044" s="1637"/>
    </row>
    <row r="2045" spans="1:11" x14ac:dyDescent="0.25">
      <c r="A2045" s="1528"/>
      <c r="B2045" s="1667"/>
      <c r="C2045" s="1537"/>
      <c r="D2045" s="212"/>
      <c r="E2045" s="816"/>
      <c r="F2045" s="1563"/>
      <c r="G2045" s="814"/>
      <c r="H2045" s="1524"/>
      <c r="J2045" s="1637"/>
      <c r="K2045" s="1637"/>
    </row>
    <row r="2046" spans="1:11" x14ac:dyDescent="0.25">
      <c r="A2046" s="1528"/>
      <c r="B2046" s="1667"/>
      <c r="C2046" s="1537"/>
      <c r="D2046" s="212"/>
      <c r="E2046" s="816"/>
      <c r="F2046" s="1563"/>
      <c r="G2046" s="814"/>
      <c r="H2046" s="1524"/>
      <c r="J2046" s="1637"/>
      <c r="K2046" s="1637"/>
    </row>
    <row r="2047" spans="1:11" x14ac:dyDescent="0.25">
      <c r="A2047" s="1528"/>
      <c r="B2047" s="269"/>
      <c r="C2047" s="1537"/>
      <c r="D2047" s="212"/>
      <c r="E2047" s="816"/>
      <c r="F2047" s="1563"/>
      <c r="G2047" s="814"/>
      <c r="H2047" s="1524"/>
      <c r="J2047" s="1637"/>
      <c r="K2047" s="1637"/>
    </row>
    <row r="2048" spans="1:11" x14ac:dyDescent="0.25">
      <c r="A2048" s="1528"/>
      <c r="B2048" s="268"/>
      <c r="C2048" s="1534"/>
      <c r="D2048" s="211"/>
      <c r="E2048" s="1535" t="s">
        <v>7182</v>
      </c>
      <c r="F2048" s="1551"/>
      <c r="G2048" s="1541" t="s">
        <v>7182</v>
      </c>
      <c r="H2048" s="1524"/>
      <c r="J2048" s="1637"/>
      <c r="K2048" s="1637"/>
    </row>
    <row r="2049" spans="1:11" x14ac:dyDescent="0.25">
      <c r="A2049" s="1528"/>
      <c r="B2049" s="1346"/>
      <c r="C2049" s="1534"/>
      <c r="D2049" s="211"/>
      <c r="E2049" s="1535" t="s">
        <v>7182</v>
      </c>
      <c r="F2049" s="1551"/>
      <c r="G2049" s="1541" t="s">
        <v>7182</v>
      </c>
      <c r="H2049" s="1524"/>
      <c r="J2049" s="1637"/>
      <c r="K2049" s="1637"/>
    </row>
    <row r="2050" spans="1:11" ht="15.75" thickBot="1" x14ac:dyDescent="0.3">
      <c r="A2050" s="1528"/>
      <c r="B2050" s="1540"/>
      <c r="C2050" s="1537"/>
      <c r="D2050" s="952"/>
      <c r="E2050" s="1538" t="s">
        <v>7182</v>
      </c>
      <c r="F2050" s="1537"/>
      <c r="G2050" s="1541" t="s">
        <v>7182</v>
      </c>
      <c r="H2050" s="1524"/>
      <c r="J2050" s="1637"/>
      <c r="K2050" s="1637"/>
    </row>
    <row r="2051" spans="1:11" ht="15.75" thickBot="1" x14ac:dyDescent="0.3">
      <c r="A2051" s="1528"/>
      <c r="B2051" s="1555"/>
      <c r="C2051" s="1557"/>
      <c r="D2051" s="956"/>
      <c r="E2051" s="1556" t="s">
        <v>7182</v>
      </c>
      <c r="F2051" s="1557"/>
      <c r="G2051" s="1558" t="s">
        <v>7182</v>
      </c>
      <c r="H2051" s="1546">
        <f>SUM(G2036:G2051)</f>
        <v>165791</v>
      </c>
      <c r="J2051" s="1637"/>
      <c r="K2051" s="1637"/>
    </row>
    <row r="2052" spans="1:11" x14ac:dyDescent="0.25">
      <c r="A2052" s="1528"/>
      <c r="B2052" s="1372"/>
      <c r="C2052" s="1374"/>
      <c r="D2052" s="1373"/>
      <c r="E2052" s="1372" t="s">
        <v>7182</v>
      </c>
      <c r="F2052" s="1374"/>
      <c r="G2052" s="1375" t="s">
        <v>7182</v>
      </c>
      <c r="H2052" s="1550"/>
      <c r="J2052" s="1637"/>
      <c r="K2052" s="1637"/>
    </row>
    <row r="2053" spans="1:11" ht="15.75" thickBot="1" x14ac:dyDescent="0.3">
      <c r="A2053" s="1527"/>
      <c r="B2053" s="188"/>
      <c r="C2053" s="189"/>
      <c r="D2053" s="1668"/>
      <c r="E2053" s="188"/>
      <c r="F2053" s="189"/>
      <c r="G2053" s="1669"/>
      <c r="H2053" s="1550"/>
      <c r="J2053" s="1637"/>
      <c r="K2053" s="1637"/>
    </row>
    <row r="2054" spans="1:11" ht="15.75" thickBot="1" x14ac:dyDescent="0.3">
      <c r="A2054" s="1527"/>
      <c r="B2054" s="1366" t="s">
        <v>9418</v>
      </c>
      <c r="C2054" s="1363" t="s">
        <v>867</v>
      </c>
      <c r="D2054" s="1120" t="s">
        <v>6</v>
      </c>
      <c r="E2054" s="1363" t="s">
        <v>7183</v>
      </c>
      <c r="F2054" s="1363" t="s">
        <v>5405</v>
      </c>
      <c r="G2054" s="1365" t="s">
        <v>7179</v>
      </c>
      <c r="H2054" s="1524"/>
      <c r="J2054" s="1637"/>
      <c r="K2054" s="1637"/>
    </row>
    <row r="2055" spans="1:11" x14ac:dyDescent="0.25">
      <c r="A2055" s="1527"/>
      <c r="B2055" s="1564" t="s">
        <v>5455</v>
      </c>
      <c r="C2055" s="1534" t="s">
        <v>5</v>
      </c>
      <c r="D2055" s="211">
        <v>1</v>
      </c>
      <c r="E2055" s="1535">
        <f>300000/30</f>
        <v>10000</v>
      </c>
      <c r="F2055" s="297">
        <v>0.35</v>
      </c>
      <c r="G2055" s="1572">
        <f>+F2055*E2055</f>
        <v>3500</v>
      </c>
      <c r="H2055" s="1524"/>
      <c r="J2055" s="1637"/>
      <c r="K2055" s="1637"/>
    </row>
    <row r="2056" spans="1:11" x14ac:dyDescent="0.25">
      <c r="A2056" s="1527"/>
      <c r="B2056" s="1540"/>
      <c r="C2056" s="1537"/>
      <c r="D2056" s="212"/>
      <c r="E2056" s="1535" t="s">
        <v>7182</v>
      </c>
      <c r="F2056" s="1537"/>
      <c r="G2056" s="1572" t="s">
        <v>7182</v>
      </c>
      <c r="H2056" s="1524"/>
      <c r="J2056" s="1637"/>
      <c r="K2056" s="1637"/>
    </row>
    <row r="2057" spans="1:11" x14ac:dyDescent="0.25">
      <c r="A2057" s="1527"/>
      <c r="B2057" s="1540"/>
      <c r="C2057" s="1537"/>
      <c r="D2057" s="212"/>
      <c r="E2057" s="1535" t="s">
        <v>7182</v>
      </c>
      <c r="F2057" s="1537"/>
      <c r="G2057" s="1572" t="s">
        <v>7182</v>
      </c>
      <c r="H2057" s="1524"/>
      <c r="J2057" s="1637"/>
      <c r="K2057" s="1637"/>
    </row>
    <row r="2058" spans="1:11" ht="15.75" thickBot="1" x14ac:dyDescent="0.3">
      <c r="A2058" s="1527"/>
      <c r="B2058" s="1540"/>
      <c r="C2058" s="1537"/>
      <c r="D2058" s="212"/>
      <c r="E2058" s="1535" t="s">
        <v>7182</v>
      </c>
      <c r="F2058" s="1537"/>
      <c r="G2058" s="1572" t="s">
        <v>7182</v>
      </c>
      <c r="H2058" s="1524"/>
      <c r="J2058" s="1637"/>
      <c r="K2058" s="1637"/>
    </row>
    <row r="2059" spans="1:11" ht="15.75" thickBot="1" x14ac:dyDescent="0.3">
      <c r="A2059" s="1527"/>
      <c r="B2059" s="1555"/>
      <c r="C2059" s="1556"/>
      <c r="D2059" s="956"/>
      <c r="E2059" s="1556" t="s">
        <v>7182</v>
      </c>
      <c r="F2059" s="1557"/>
      <c r="G2059" s="1558" t="s">
        <v>7182</v>
      </c>
      <c r="H2059" s="1546">
        <f>SUM(G2055:G2059)</f>
        <v>3500</v>
      </c>
      <c r="J2059" s="1637"/>
      <c r="K2059" s="1637"/>
    </row>
    <row r="2060" spans="1:11" ht="15.75" thickBot="1" x14ac:dyDescent="0.3">
      <c r="A2060" s="1527"/>
      <c r="B2060" s="1376"/>
      <c r="C2060" s="1353"/>
      <c r="D2060" s="1355"/>
      <c r="E2060" s="1352"/>
      <c r="F2060" s="1377"/>
      <c r="G2060" s="1378"/>
      <c r="H2060" s="1524"/>
      <c r="J2060" s="1637"/>
      <c r="K2060" s="1637"/>
    </row>
    <row r="2061" spans="1:11" ht="15.75" thickBot="1" x14ac:dyDescent="0.3">
      <c r="A2061" s="1527"/>
      <c r="B2061" s="1366" t="s">
        <v>5410</v>
      </c>
      <c r="C2061" s="1363" t="s">
        <v>867</v>
      </c>
      <c r="D2061" s="1120" t="s">
        <v>6</v>
      </c>
      <c r="E2061" s="1363" t="s">
        <v>7183</v>
      </c>
      <c r="F2061" s="1363" t="s">
        <v>5405</v>
      </c>
      <c r="G2061" s="1365" t="s">
        <v>7179</v>
      </c>
      <c r="H2061" s="1524"/>
      <c r="J2061" s="1637"/>
      <c r="K2061" s="1637"/>
    </row>
    <row r="2062" spans="1:11" ht="25.5" x14ac:dyDescent="0.25">
      <c r="A2062" s="1527"/>
      <c r="B2062" s="1564" t="s">
        <v>9421</v>
      </c>
      <c r="C2062" s="1534" t="s">
        <v>9023</v>
      </c>
      <c r="D2062" s="211">
        <v>1</v>
      </c>
      <c r="E2062" s="1535">
        <f>300000/35</f>
        <v>8571.4285714285706</v>
      </c>
      <c r="F2062" s="297">
        <v>1</v>
      </c>
      <c r="G2062" s="1572">
        <f>+F2062*E2062</f>
        <v>8571.4285714285706</v>
      </c>
      <c r="H2062" s="1524"/>
      <c r="J2062" s="1637"/>
      <c r="K2062" s="1637"/>
    </row>
    <row r="2063" spans="1:11" x14ac:dyDescent="0.25">
      <c r="A2063" s="1527"/>
      <c r="B2063" s="1540"/>
      <c r="C2063" s="1537"/>
      <c r="D2063" s="212"/>
      <c r="E2063" s="1535" t="s">
        <v>7182</v>
      </c>
      <c r="F2063" s="1537"/>
      <c r="G2063" s="1572" t="s">
        <v>7182</v>
      </c>
      <c r="H2063" s="1524"/>
    </row>
    <row r="2064" spans="1:11" x14ac:dyDescent="0.25">
      <c r="A2064" s="1527"/>
      <c r="B2064" s="1540"/>
      <c r="C2064" s="1537"/>
      <c r="D2064" s="212"/>
      <c r="E2064" s="1535" t="s">
        <v>7182</v>
      </c>
      <c r="F2064" s="1537"/>
      <c r="G2064" s="1572" t="s">
        <v>7182</v>
      </c>
      <c r="H2064" s="1524"/>
    </row>
    <row r="2065" spans="1:11" ht="15.75" thickBot="1" x14ac:dyDescent="0.3">
      <c r="A2065" s="1527"/>
      <c r="B2065" s="1540"/>
      <c r="C2065" s="1537"/>
      <c r="D2065" s="212"/>
      <c r="E2065" s="1535" t="s">
        <v>7182</v>
      </c>
      <c r="F2065" s="1537"/>
      <c r="G2065" s="1572" t="s">
        <v>7182</v>
      </c>
      <c r="H2065" s="1524"/>
    </row>
    <row r="2066" spans="1:11" ht="15.75" thickBot="1" x14ac:dyDescent="0.3">
      <c r="A2066" s="1527"/>
      <c r="B2066" s="1555"/>
      <c r="C2066" s="1556"/>
      <c r="D2066" s="956"/>
      <c r="E2066" s="1556" t="s">
        <v>7182</v>
      </c>
      <c r="F2066" s="1557"/>
      <c r="G2066" s="1558" t="s">
        <v>7182</v>
      </c>
      <c r="H2066" s="1546">
        <f>SUM(G2062:G2066)</f>
        <v>8571.4285714285706</v>
      </c>
    </row>
    <row r="2067" spans="1:11" ht="15.75" thickBot="1" x14ac:dyDescent="0.3">
      <c r="A2067" s="1527"/>
      <c r="B2067" s="1547"/>
      <c r="C2067" s="1547"/>
      <c r="D2067" s="954"/>
      <c r="E2067" s="1547"/>
      <c r="F2067" s="1553"/>
      <c r="G2067" s="1554"/>
      <c r="H2067" s="1550"/>
    </row>
    <row r="2068" spans="1:11" ht="15.75" thickBot="1" x14ac:dyDescent="0.3">
      <c r="A2068" s="1559"/>
      <c r="B2068" s="1369" t="s">
        <v>5412</v>
      </c>
      <c r="C2068" s="1363" t="s">
        <v>5420</v>
      </c>
      <c r="D2068" s="1120" t="s">
        <v>5421</v>
      </c>
      <c r="E2068" s="1363" t="s">
        <v>7187</v>
      </c>
      <c r="F2068" s="1363" t="s">
        <v>5405</v>
      </c>
      <c r="G2068" s="1370" t="s">
        <v>7179</v>
      </c>
      <c r="H2068" s="1371"/>
    </row>
    <row r="2069" spans="1:11" x14ac:dyDescent="0.25">
      <c r="A2069" s="1527"/>
      <c r="B2069" s="1560" t="s">
        <v>9422</v>
      </c>
      <c r="C2069" s="1569">
        <v>170000</v>
      </c>
      <c r="D2069" s="352">
        <f>0.6*C2069</f>
        <v>102000</v>
      </c>
      <c r="E2069" s="1569">
        <f>+D2069+C2069</f>
        <v>272000</v>
      </c>
      <c r="F2069" s="819">
        <v>0.02</v>
      </c>
      <c r="G2069" s="818">
        <f>+F2069*E2069</f>
        <v>5440</v>
      </c>
      <c r="H2069" s="1524"/>
    </row>
    <row r="2070" spans="1:11" x14ac:dyDescent="0.25">
      <c r="A2070" s="1527"/>
      <c r="B2070" s="1560"/>
      <c r="C2070" s="1569"/>
      <c r="D2070" s="1569"/>
      <c r="E2070" s="1569"/>
      <c r="F2070" s="819"/>
      <c r="G2070" s="818"/>
      <c r="H2070" s="1524"/>
    </row>
    <row r="2071" spans="1:11" x14ac:dyDescent="0.25">
      <c r="A2071" s="1527"/>
      <c r="B2071" s="1561"/>
      <c r="C2071" s="1569"/>
      <c r="D2071" s="1569"/>
      <c r="E2071" s="1569"/>
      <c r="F2071" s="817"/>
      <c r="G2071" s="818"/>
      <c r="H2071" s="1524"/>
    </row>
    <row r="2072" spans="1:11" x14ac:dyDescent="0.25">
      <c r="A2072" s="1527"/>
      <c r="B2072" s="1540"/>
      <c r="C2072" s="1569"/>
      <c r="D2072" s="1569"/>
      <c r="E2072" s="1569"/>
      <c r="F2072" s="817"/>
      <c r="G2072" s="818"/>
      <c r="H2072" s="1524"/>
    </row>
    <row r="2073" spans="1:11" x14ac:dyDescent="0.25">
      <c r="A2073" s="1527"/>
      <c r="B2073" s="1540"/>
      <c r="C2073" s="1538" t="s">
        <v>7182</v>
      </c>
      <c r="D2073" s="952" t="s">
        <v>7182</v>
      </c>
      <c r="E2073" s="1538" t="s">
        <v>7182</v>
      </c>
      <c r="F2073" s="817"/>
      <c r="G2073" s="818" t="str">
        <f>IF(B2073="","",E2073/F2073)</f>
        <v/>
      </c>
      <c r="H2073" s="1524"/>
    </row>
    <row r="2074" spans="1:11" ht="15.75" thickBot="1" x14ac:dyDescent="0.3">
      <c r="A2074" s="1527"/>
      <c r="B2074" s="1540"/>
      <c r="C2074" s="1538" t="s">
        <v>7182</v>
      </c>
      <c r="D2074" s="952" t="s">
        <v>7182</v>
      </c>
      <c r="E2074" s="1538" t="s">
        <v>7182</v>
      </c>
      <c r="F2074" s="1537"/>
      <c r="G2074" s="818" t="str">
        <f>IF(B2074="","",E2074/F2074)</f>
        <v/>
      </c>
      <c r="H2074" s="1524"/>
    </row>
    <row r="2075" spans="1:11" ht="15.75" thickBot="1" x14ac:dyDescent="0.3">
      <c r="A2075" s="1527"/>
      <c r="B2075" s="1555"/>
      <c r="C2075" s="1556"/>
      <c r="D2075" s="956"/>
      <c r="E2075" s="1556"/>
      <c r="F2075" s="1557"/>
      <c r="G2075" s="1558"/>
      <c r="H2075" s="1546">
        <f>SUM(G2069:G2075)</f>
        <v>5440</v>
      </c>
    </row>
    <row r="2076" spans="1:11" ht="15.75" thickBot="1" x14ac:dyDescent="0.3">
      <c r="A2076" s="1527"/>
      <c r="B2076" s="1527"/>
      <c r="C2076" s="1527"/>
      <c r="D2076" s="529"/>
      <c r="F2076" s="1528"/>
      <c r="G2076" s="1524"/>
      <c r="H2076" s="1524"/>
    </row>
    <row r="2077" spans="1:11" ht="15.75" thickBot="1" x14ac:dyDescent="0.3">
      <c r="A2077" s="1647" t="s">
        <v>6744</v>
      </c>
      <c r="B2077" s="1352"/>
      <c r="C2077" s="1352"/>
      <c r="D2077" s="1671"/>
      <c r="E2077" s="1672"/>
      <c r="F2077" s="1353"/>
      <c r="G2077" s="1527" t="s">
        <v>5415</v>
      </c>
      <c r="H2077" s="502">
        <f>ROUND(SUM(H2035:H2076),0)</f>
        <v>183302</v>
      </c>
      <c r="J2077" s="1673">
        <f>+B2031</f>
        <v>10.46</v>
      </c>
      <c r="K2077" s="1674">
        <f>+H2077</f>
        <v>183302</v>
      </c>
    </row>
    <row r="2078" spans="1:11" x14ac:dyDescent="0.25">
      <c r="A2078" s="1675"/>
      <c r="B2078" s="1676"/>
      <c r="C2078" s="1676"/>
      <c r="D2078" s="1677"/>
      <c r="E2078" s="1678"/>
      <c r="F2078" s="1679"/>
      <c r="G2078" s="1680"/>
      <c r="H2078" s="1680"/>
    </row>
    <row r="2079" spans="1:11" ht="18.75" x14ac:dyDescent="0.25">
      <c r="A2079" s="1523"/>
      <c r="B2079" s="1655"/>
      <c r="C2079" s="1655"/>
      <c r="D2079" s="950"/>
      <c r="E2079" s="1655"/>
      <c r="F2079" s="1655"/>
      <c r="G2079" s="1655"/>
      <c r="H2079" s="8"/>
      <c r="J2079" s="1637"/>
      <c r="K2079" s="1637"/>
    </row>
    <row r="2080" spans="1:11" x14ac:dyDescent="0.25">
      <c r="A2080" s="1523"/>
      <c r="B2080" s="8"/>
      <c r="C2080" s="8"/>
      <c r="D2080" s="529"/>
      <c r="E2080" s="8"/>
      <c r="F2080" s="1523"/>
      <c r="G2080" s="1524"/>
      <c r="H2080" s="8"/>
      <c r="J2080" s="1637"/>
      <c r="K2080" s="1637"/>
    </row>
    <row r="2081" spans="1:11" ht="49.5" customHeight="1" x14ac:dyDescent="0.25">
      <c r="A2081" s="1665" t="s">
        <v>3</v>
      </c>
      <c r="B2081" s="1666">
        <f>+VLOOKUP(C2081,ListaAPUs!$B:$E,4,FALSE)</f>
        <v>10.47</v>
      </c>
      <c r="C2081" s="2441" t="str">
        <f>+ListaAPUs!B247</f>
        <v xml:space="preserve">Canalizacion de 2Ø2" </v>
      </c>
      <c r="D2081" s="2441"/>
      <c r="E2081" s="2441"/>
      <c r="F2081" s="1665" t="s">
        <v>867</v>
      </c>
      <c r="G2081" s="1390" t="str">
        <f>+VLOOKUP(C2081,ListaAPUs!$B:$E,2,FALSE)</f>
        <v>m</v>
      </c>
      <c r="H2081" s="1524"/>
    </row>
    <row r="2082" spans="1:11" x14ac:dyDescent="0.25">
      <c r="A2082" s="1528"/>
      <c r="B2082" s="1527"/>
      <c r="C2082" s="1527"/>
      <c r="D2082" s="529"/>
      <c r="E2082" s="1527"/>
      <c r="F2082" s="1528"/>
      <c r="G2082" s="1524"/>
      <c r="H2082" s="1524"/>
      <c r="J2082" s="1637"/>
      <c r="K2082" s="1637"/>
    </row>
    <row r="2083" spans="1:11" x14ac:dyDescent="0.25">
      <c r="A2083" s="1528"/>
      <c r="B2083" s="1527"/>
      <c r="C2083" s="1527"/>
      <c r="D2083" s="529"/>
      <c r="E2083" s="1527"/>
      <c r="F2083" s="1528"/>
      <c r="G2083" s="1529"/>
      <c r="H2083" s="1524"/>
      <c r="J2083" s="1637"/>
      <c r="K2083" s="1637"/>
    </row>
    <row r="2084" spans="1:11" ht="15.75" thickBot="1" x14ac:dyDescent="0.3">
      <c r="A2084" s="1528"/>
      <c r="B2084" s="1527"/>
      <c r="C2084" s="1527"/>
      <c r="D2084" s="529"/>
      <c r="E2084" s="1527"/>
      <c r="F2084" s="1528"/>
      <c r="G2084" s="1524"/>
      <c r="H2084" s="1524"/>
      <c r="J2084" s="1637"/>
      <c r="K2084" s="1637"/>
    </row>
    <row r="2085" spans="1:11" ht="15.75" thickBot="1" x14ac:dyDescent="0.3">
      <c r="A2085" s="1368"/>
      <c r="B2085" s="1369" t="s">
        <v>5403</v>
      </c>
      <c r="C2085" s="1363" t="s">
        <v>867</v>
      </c>
      <c r="D2085" s="1120" t="s">
        <v>6</v>
      </c>
      <c r="E2085" s="1363" t="s">
        <v>9417</v>
      </c>
      <c r="F2085" s="1363" t="s">
        <v>5405</v>
      </c>
      <c r="G2085" s="1370" t="s">
        <v>7179</v>
      </c>
      <c r="H2085" s="1371"/>
      <c r="J2085" s="1637"/>
      <c r="K2085" s="1637"/>
    </row>
    <row r="2086" spans="1:11" x14ac:dyDescent="0.25">
      <c r="A2086" s="1528"/>
      <c r="B2086" s="1746" t="s">
        <v>9502</v>
      </c>
      <c r="C2086" s="1802" t="s">
        <v>5432</v>
      </c>
      <c r="D2086" s="1831">
        <v>2</v>
      </c>
      <c r="E2086" s="1803">
        <v>3158</v>
      </c>
      <c r="F2086" s="1804">
        <v>1.05</v>
      </c>
      <c r="G2086" s="1805">
        <f>+F2086*E2086*D2086</f>
        <v>6631.8</v>
      </c>
      <c r="H2086" s="1524"/>
      <c r="J2086" s="1637"/>
      <c r="K2086" s="1637"/>
    </row>
    <row r="2087" spans="1:11" x14ac:dyDescent="0.25">
      <c r="A2087" s="1528"/>
      <c r="B2087" s="1822" t="s">
        <v>9430</v>
      </c>
      <c r="C2087" s="1749" t="s">
        <v>5464</v>
      </c>
      <c r="D2087" s="1773">
        <v>0.7</v>
      </c>
      <c r="E2087" s="1825">
        <v>80000</v>
      </c>
      <c r="F2087" s="1769">
        <v>1</v>
      </c>
      <c r="G2087" s="1786">
        <f>+F2087*E2087</f>
        <v>80000</v>
      </c>
      <c r="H2087" s="1524"/>
      <c r="J2087" s="1637"/>
      <c r="K2087" s="1637"/>
    </row>
    <row r="2088" spans="1:11" x14ac:dyDescent="0.25">
      <c r="A2088" s="1528"/>
      <c r="B2088" s="1822" t="s">
        <v>9503</v>
      </c>
      <c r="C2088" s="1749" t="s">
        <v>5</v>
      </c>
      <c r="D2088" s="1773">
        <v>0.5</v>
      </c>
      <c r="E2088" s="1825">
        <v>9800</v>
      </c>
      <c r="F2088" s="1769">
        <v>1</v>
      </c>
      <c r="G2088" s="1786">
        <f>+F2088*E2088</f>
        <v>9800</v>
      </c>
      <c r="H2088" s="1524"/>
      <c r="J2088" s="1637"/>
      <c r="K2088" s="1637"/>
    </row>
    <row r="2089" spans="1:11" x14ac:dyDescent="0.25">
      <c r="A2089" s="1528"/>
      <c r="B2089" s="1667"/>
      <c r="C2089" s="1537"/>
      <c r="D2089" s="212"/>
      <c r="E2089" s="816"/>
      <c r="F2089" s="1563"/>
      <c r="G2089" s="814"/>
      <c r="H2089" s="1524"/>
      <c r="J2089" s="1637"/>
      <c r="K2089" s="1637"/>
    </row>
    <row r="2090" spans="1:11" x14ac:dyDescent="0.25">
      <c r="A2090" s="1528"/>
      <c r="B2090" s="1667"/>
      <c r="C2090" s="1537"/>
      <c r="D2090" s="212"/>
      <c r="E2090" s="816"/>
      <c r="F2090" s="1563"/>
      <c r="G2090" s="814"/>
      <c r="H2090" s="1524"/>
      <c r="J2090" s="1637"/>
      <c r="K2090" s="1637"/>
    </row>
    <row r="2091" spans="1:11" x14ac:dyDescent="0.25">
      <c r="A2091" s="1528"/>
      <c r="B2091" s="1667"/>
      <c r="C2091" s="1537"/>
      <c r="D2091" s="212"/>
      <c r="E2091" s="816"/>
      <c r="F2091" s="1563"/>
      <c r="G2091" s="814"/>
      <c r="H2091" s="1524"/>
      <c r="J2091" s="1637"/>
      <c r="K2091" s="1637"/>
    </row>
    <row r="2092" spans="1:11" x14ac:dyDescent="0.25">
      <c r="A2092" s="1528"/>
      <c r="B2092" s="1667"/>
      <c r="C2092" s="1537"/>
      <c r="D2092" s="212"/>
      <c r="E2092" s="816"/>
      <c r="F2092" s="1563"/>
      <c r="G2092" s="814"/>
      <c r="H2092" s="1524"/>
      <c r="J2092" s="1637"/>
      <c r="K2092" s="1637"/>
    </row>
    <row r="2093" spans="1:11" x14ac:dyDescent="0.25">
      <c r="A2093" s="1528"/>
      <c r="B2093" s="1667"/>
      <c r="C2093" s="1537"/>
      <c r="D2093" s="212"/>
      <c r="E2093" s="816"/>
      <c r="F2093" s="1563"/>
      <c r="G2093" s="814"/>
      <c r="H2093" s="1524"/>
      <c r="J2093" s="1637"/>
      <c r="K2093" s="1637"/>
    </row>
    <row r="2094" spans="1:11" x14ac:dyDescent="0.25">
      <c r="A2094" s="1528"/>
      <c r="B2094" s="1667"/>
      <c r="C2094" s="1537"/>
      <c r="D2094" s="212"/>
      <c r="E2094" s="816"/>
      <c r="F2094" s="1563"/>
      <c r="G2094" s="814"/>
      <c r="H2094" s="1524"/>
      <c r="J2094" s="1637"/>
      <c r="K2094" s="1637"/>
    </row>
    <row r="2095" spans="1:11" x14ac:dyDescent="0.25">
      <c r="A2095" s="1528"/>
      <c r="B2095" s="1667"/>
      <c r="C2095" s="1537"/>
      <c r="D2095" s="212"/>
      <c r="E2095" s="816"/>
      <c r="F2095" s="1563"/>
      <c r="G2095" s="814"/>
      <c r="H2095" s="1524"/>
      <c r="J2095" s="1637"/>
      <c r="K2095" s="1637"/>
    </row>
    <row r="2096" spans="1:11" x14ac:dyDescent="0.25">
      <c r="A2096" s="1528"/>
      <c r="B2096" s="1667"/>
      <c r="C2096" s="1537"/>
      <c r="D2096" s="212"/>
      <c r="E2096" s="816"/>
      <c r="F2096" s="1563"/>
      <c r="G2096" s="814"/>
      <c r="H2096" s="1524"/>
      <c r="J2096" s="1637"/>
      <c r="K2096" s="1637"/>
    </row>
    <row r="2097" spans="1:11" x14ac:dyDescent="0.25">
      <c r="A2097" s="1528"/>
      <c r="B2097" s="269"/>
      <c r="C2097" s="1537"/>
      <c r="D2097" s="212"/>
      <c r="E2097" s="816"/>
      <c r="F2097" s="1563"/>
      <c r="G2097" s="814"/>
      <c r="H2097" s="1524"/>
      <c r="J2097" s="1637"/>
      <c r="K2097" s="1637"/>
    </row>
    <row r="2098" spans="1:11" x14ac:dyDescent="0.25">
      <c r="A2098" s="1528"/>
      <c r="B2098" s="268"/>
      <c r="C2098" s="1534"/>
      <c r="D2098" s="211"/>
      <c r="E2098" s="1535" t="s">
        <v>7182</v>
      </c>
      <c r="F2098" s="1551"/>
      <c r="G2098" s="1541" t="s">
        <v>7182</v>
      </c>
      <c r="H2098" s="1524"/>
      <c r="J2098" s="1637"/>
      <c r="K2098" s="1637"/>
    </row>
    <row r="2099" spans="1:11" x14ac:dyDescent="0.25">
      <c r="A2099" s="1528"/>
      <c r="B2099" s="1346"/>
      <c r="C2099" s="1534"/>
      <c r="D2099" s="211"/>
      <c r="E2099" s="1535" t="s">
        <v>7182</v>
      </c>
      <c r="F2099" s="1551"/>
      <c r="G2099" s="1541" t="s">
        <v>7182</v>
      </c>
      <c r="H2099" s="1524"/>
      <c r="J2099" s="1637"/>
      <c r="K2099" s="1637"/>
    </row>
    <row r="2100" spans="1:11" ht="15.75" thickBot="1" x14ac:dyDescent="0.3">
      <c r="A2100" s="1528"/>
      <c r="B2100" s="1540"/>
      <c r="C2100" s="1537"/>
      <c r="D2100" s="952"/>
      <c r="E2100" s="1538" t="s">
        <v>7182</v>
      </c>
      <c r="F2100" s="1537"/>
      <c r="G2100" s="1541" t="s">
        <v>7182</v>
      </c>
      <c r="H2100" s="1524"/>
      <c r="J2100" s="1637"/>
      <c r="K2100" s="1637"/>
    </row>
    <row r="2101" spans="1:11" ht="15.75" thickBot="1" x14ac:dyDescent="0.3">
      <c r="A2101" s="1528"/>
      <c r="B2101" s="1555"/>
      <c r="C2101" s="1557"/>
      <c r="D2101" s="956"/>
      <c r="E2101" s="1556" t="s">
        <v>7182</v>
      </c>
      <c r="F2101" s="1557"/>
      <c r="G2101" s="1558" t="s">
        <v>7182</v>
      </c>
      <c r="H2101" s="1546">
        <f>SUM(G2086:G2101)</f>
        <v>96431.8</v>
      </c>
      <c r="J2101" s="1637"/>
      <c r="K2101" s="1637"/>
    </row>
    <row r="2102" spans="1:11" x14ac:dyDescent="0.25">
      <c r="A2102" s="1528"/>
      <c r="B2102" s="1372"/>
      <c r="C2102" s="1374"/>
      <c r="D2102" s="1373"/>
      <c r="E2102" s="1372" t="s">
        <v>7182</v>
      </c>
      <c r="F2102" s="1374"/>
      <c r="G2102" s="1375" t="s">
        <v>7182</v>
      </c>
      <c r="H2102" s="1550"/>
      <c r="J2102" s="1637"/>
      <c r="K2102" s="1637"/>
    </row>
    <row r="2103" spans="1:11" ht="15.75" thickBot="1" x14ac:dyDescent="0.3">
      <c r="A2103" s="1527"/>
      <c r="B2103" s="188"/>
      <c r="C2103" s="189"/>
      <c r="D2103" s="1668"/>
      <c r="E2103" s="188"/>
      <c r="F2103" s="189"/>
      <c r="G2103" s="1669"/>
      <c r="H2103" s="1550"/>
      <c r="J2103" s="1637"/>
      <c r="K2103" s="1637"/>
    </row>
    <row r="2104" spans="1:11" ht="15.75" thickBot="1" x14ac:dyDescent="0.3">
      <c r="A2104" s="1527"/>
      <c r="B2104" s="1366" t="s">
        <v>9418</v>
      </c>
      <c r="C2104" s="1363" t="s">
        <v>867</v>
      </c>
      <c r="D2104" s="1120" t="s">
        <v>6</v>
      </c>
      <c r="E2104" s="1363" t="s">
        <v>7183</v>
      </c>
      <c r="F2104" s="1363" t="s">
        <v>5405</v>
      </c>
      <c r="G2104" s="1365" t="s">
        <v>7179</v>
      </c>
      <c r="H2104" s="1524"/>
      <c r="J2104" s="1637"/>
      <c r="K2104" s="1637"/>
    </row>
    <row r="2105" spans="1:11" x14ac:dyDescent="0.25">
      <c r="A2105" s="1527"/>
      <c r="B2105" s="1564" t="s">
        <v>5455</v>
      </c>
      <c r="C2105" s="1534" t="s">
        <v>5</v>
      </c>
      <c r="D2105" s="211">
        <v>1</v>
      </c>
      <c r="E2105" s="1535">
        <f>300000/30</f>
        <v>10000</v>
      </c>
      <c r="F2105" s="297">
        <v>0.35</v>
      </c>
      <c r="G2105" s="1572">
        <f>+F2105*E2105</f>
        <v>3500</v>
      </c>
      <c r="H2105" s="1524"/>
      <c r="J2105" s="1637"/>
      <c r="K2105" s="1637"/>
    </row>
    <row r="2106" spans="1:11" x14ac:dyDescent="0.25">
      <c r="A2106" s="1527"/>
      <c r="B2106" s="1540"/>
      <c r="C2106" s="1537"/>
      <c r="D2106" s="212"/>
      <c r="E2106" s="1535" t="s">
        <v>7182</v>
      </c>
      <c r="F2106" s="1537"/>
      <c r="G2106" s="1572" t="s">
        <v>7182</v>
      </c>
      <c r="H2106" s="1524"/>
      <c r="J2106" s="1637"/>
      <c r="K2106" s="1637"/>
    </row>
    <row r="2107" spans="1:11" x14ac:dyDescent="0.25">
      <c r="A2107" s="1527"/>
      <c r="B2107" s="1540"/>
      <c r="C2107" s="1537"/>
      <c r="D2107" s="212"/>
      <c r="E2107" s="1535" t="s">
        <v>7182</v>
      </c>
      <c r="F2107" s="1537"/>
      <c r="G2107" s="1572" t="s">
        <v>7182</v>
      </c>
      <c r="H2107" s="1524"/>
      <c r="J2107" s="1637"/>
      <c r="K2107" s="1637"/>
    </row>
    <row r="2108" spans="1:11" ht="15.75" thickBot="1" x14ac:dyDescent="0.3">
      <c r="A2108" s="1527"/>
      <c r="B2108" s="1540"/>
      <c r="C2108" s="1537"/>
      <c r="D2108" s="212"/>
      <c r="E2108" s="1535" t="s">
        <v>7182</v>
      </c>
      <c r="F2108" s="1537"/>
      <c r="G2108" s="1572" t="s">
        <v>7182</v>
      </c>
      <c r="H2108" s="1524"/>
      <c r="J2108" s="1637"/>
      <c r="K2108" s="1637"/>
    </row>
    <row r="2109" spans="1:11" ht="15.75" thickBot="1" x14ac:dyDescent="0.3">
      <c r="A2109" s="1527"/>
      <c r="B2109" s="1555"/>
      <c r="C2109" s="1556"/>
      <c r="D2109" s="956"/>
      <c r="E2109" s="1556" t="s">
        <v>7182</v>
      </c>
      <c r="F2109" s="1557"/>
      <c r="G2109" s="1558" t="s">
        <v>7182</v>
      </c>
      <c r="H2109" s="1546">
        <f>SUM(G2105:G2109)</f>
        <v>3500</v>
      </c>
      <c r="J2109" s="1637"/>
      <c r="K2109" s="1637"/>
    </row>
    <row r="2110" spans="1:11" ht="15.75" thickBot="1" x14ac:dyDescent="0.3">
      <c r="A2110" s="1527"/>
      <c r="B2110" s="1376"/>
      <c r="C2110" s="1353"/>
      <c r="D2110" s="1355"/>
      <c r="E2110" s="1352"/>
      <c r="F2110" s="1377"/>
      <c r="G2110" s="1378"/>
      <c r="H2110" s="1524"/>
      <c r="J2110" s="1637"/>
      <c r="K2110" s="1637"/>
    </row>
    <row r="2111" spans="1:11" ht="15.75" thickBot="1" x14ac:dyDescent="0.3">
      <c r="A2111" s="1527"/>
      <c r="B2111" s="1366" t="s">
        <v>5410</v>
      </c>
      <c r="C2111" s="1363" t="s">
        <v>867</v>
      </c>
      <c r="D2111" s="1120" t="s">
        <v>6</v>
      </c>
      <c r="E2111" s="1363" t="s">
        <v>7183</v>
      </c>
      <c r="F2111" s="1363" t="s">
        <v>5405</v>
      </c>
      <c r="G2111" s="1365" t="s">
        <v>7179</v>
      </c>
      <c r="H2111" s="1524"/>
      <c r="J2111" s="1637"/>
      <c r="K2111" s="1637"/>
    </row>
    <row r="2112" spans="1:11" ht="25.5" x14ac:dyDescent="0.25">
      <c r="A2112" s="1527"/>
      <c r="B2112" s="1564" t="s">
        <v>9421</v>
      </c>
      <c r="C2112" s="1534" t="s">
        <v>9023</v>
      </c>
      <c r="D2112" s="211">
        <v>1</v>
      </c>
      <c r="E2112" s="1535">
        <f>300000/35</f>
        <v>8571.4285714285706</v>
      </c>
      <c r="F2112" s="297">
        <v>1</v>
      </c>
      <c r="G2112" s="1572">
        <f>+F2112*E2112</f>
        <v>8571.4285714285706</v>
      </c>
      <c r="H2112" s="1524"/>
      <c r="J2112" s="1637"/>
      <c r="K2112" s="1637"/>
    </row>
    <row r="2113" spans="1:11" x14ac:dyDescent="0.25">
      <c r="A2113" s="1527"/>
      <c r="B2113" s="1540"/>
      <c r="C2113" s="1537"/>
      <c r="D2113" s="212"/>
      <c r="E2113" s="1535" t="s">
        <v>7182</v>
      </c>
      <c r="F2113" s="1537"/>
      <c r="G2113" s="1572" t="s">
        <v>7182</v>
      </c>
      <c r="H2113" s="1524"/>
      <c r="J2113" s="1637"/>
      <c r="K2113" s="1637"/>
    </row>
    <row r="2114" spans="1:11" x14ac:dyDescent="0.25">
      <c r="A2114" s="1527"/>
      <c r="B2114" s="1540"/>
      <c r="C2114" s="1537"/>
      <c r="D2114" s="212"/>
      <c r="E2114" s="1535" t="s">
        <v>7182</v>
      </c>
      <c r="F2114" s="1537"/>
      <c r="G2114" s="1572" t="s">
        <v>7182</v>
      </c>
      <c r="H2114" s="1524"/>
      <c r="J2114" s="1637"/>
      <c r="K2114" s="1637"/>
    </row>
    <row r="2115" spans="1:11" ht="15.75" thickBot="1" x14ac:dyDescent="0.3">
      <c r="A2115" s="1527"/>
      <c r="B2115" s="1540"/>
      <c r="C2115" s="1537"/>
      <c r="D2115" s="212"/>
      <c r="E2115" s="1535" t="s">
        <v>7182</v>
      </c>
      <c r="F2115" s="1537"/>
      <c r="G2115" s="1572" t="s">
        <v>7182</v>
      </c>
      <c r="H2115" s="1524"/>
      <c r="J2115" s="1637"/>
      <c r="K2115" s="1637"/>
    </row>
    <row r="2116" spans="1:11" ht="15.75" thickBot="1" x14ac:dyDescent="0.3">
      <c r="A2116" s="1527"/>
      <c r="B2116" s="1555"/>
      <c r="C2116" s="1556"/>
      <c r="D2116" s="956"/>
      <c r="E2116" s="1556" t="s">
        <v>7182</v>
      </c>
      <c r="F2116" s="1557"/>
      <c r="G2116" s="1558" t="s">
        <v>7182</v>
      </c>
      <c r="H2116" s="1546">
        <f>SUM(G2112:G2116)</f>
        <v>8571.4285714285706</v>
      </c>
      <c r="J2116" s="1637"/>
      <c r="K2116" s="1637"/>
    </row>
    <row r="2117" spans="1:11" ht="15.75" thickBot="1" x14ac:dyDescent="0.3">
      <c r="A2117" s="1527"/>
      <c r="B2117" s="1547"/>
      <c r="C2117" s="1547"/>
      <c r="D2117" s="954"/>
      <c r="E2117" s="1547"/>
      <c r="F2117" s="1553"/>
      <c r="G2117" s="1554"/>
      <c r="H2117" s="1550"/>
      <c r="J2117" s="1637"/>
      <c r="K2117" s="1637"/>
    </row>
    <row r="2118" spans="1:11" ht="15.75" thickBot="1" x14ac:dyDescent="0.3">
      <c r="A2118" s="1559"/>
      <c r="B2118" s="1369" t="s">
        <v>5412</v>
      </c>
      <c r="C2118" s="1363" t="s">
        <v>5420</v>
      </c>
      <c r="D2118" s="1120" t="s">
        <v>5421</v>
      </c>
      <c r="E2118" s="1363" t="s">
        <v>7187</v>
      </c>
      <c r="F2118" s="1363" t="s">
        <v>5405</v>
      </c>
      <c r="G2118" s="1370" t="s">
        <v>7179</v>
      </c>
      <c r="H2118" s="1371"/>
      <c r="J2118" s="1637"/>
      <c r="K2118" s="1637"/>
    </row>
    <row r="2119" spans="1:11" x14ac:dyDescent="0.25">
      <c r="A2119" s="1527"/>
      <c r="B2119" s="1560" t="s">
        <v>9422</v>
      </c>
      <c r="C2119" s="1569">
        <v>170000</v>
      </c>
      <c r="D2119" s="352">
        <f>0.6*C2119</f>
        <v>102000</v>
      </c>
      <c r="E2119" s="1569">
        <f>+D2119+C2119</f>
        <v>272000</v>
      </c>
      <c r="F2119" s="819">
        <v>0.02</v>
      </c>
      <c r="G2119" s="818">
        <f>+F2119*E2119</f>
        <v>5440</v>
      </c>
      <c r="H2119" s="1524"/>
      <c r="J2119" s="1637"/>
      <c r="K2119" s="1637"/>
    </row>
    <row r="2120" spans="1:11" x14ac:dyDescent="0.25">
      <c r="A2120" s="1527"/>
      <c r="B2120" s="1560"/>
      <c r="C2120" s="1569"/>
      <c r="D2120" s="1569"/>
      <c r="E2120" s="1569"/>
      <c r="F2120" s="819"/>
      <c r="G2120" s="818"/>
      <c r="H2120" s="1524"/>
      <c r="J2120" s="1637"/>
      <c r="K2120" s="1637"/>
    </row>
    <row r="2121" spans="1:11" x14ac:dyDescent="0.25">
      <c r="A2121" s="1527"/>
      <c r="B2121" s="1561"/>
      <c r="C2121" s="1569"/>
      <c r="D2121" s="1569"/>
      <c r="E2121" s="1569"/>
      <c r="F2121" s="817"/>
      <c r="G2121" s="818"/>
      <c r="H2121" s="1524"/>
      <c r="J2121" s="1637"/>
      <c r="K2121" s="1637"/>
    </row>
    <row r="2122" spans="1:11" x14ac:dyDescent="0.25">
      <c r="A2122" s="1527"/>
      <c r="B2122" s="1540"/>
      <c r="C2122" s="1569"/>
      <c r="D2122" s="1569"/>
      <c r="E2122" s="1569"/>
      <c r="F2122" s="817"/>
      <c r="G2122" s="818"/>
      <c r="H2122" s="1524"/>
      <c r="J2122" s="1637"/>
      <c r="K2122" s="1637"/>
    </row>
    <row r="2123" spans="1:11" x14ac:dyDescent="0.25">
      <c r="A2123" s="1527"/>
      <c r="B2123" s="1540"/>
      <c r="C2123" s="1538" t="s">
        <v>7182</v>
      </c>
      <c r="D2123" s="952" t="s">
        <v>7182</v>
      </c>
      <c r="E2123" s="1538" t="s">
        <v>7182</v>
      </c>
      <c r="F2123" s="817"/>
      <c r="G2123" s="818" t="str">
        <f>IF(B2123="","",E2123/F2123)</f>
        <v/>
      </c>
      <c r="H2123" s="1524"/>
      <c r="J2123" s="1637"/>
      <c r="K2123" s="1637"/>
    </row>
    <row r="2124" spans="1:11" ht="15.75" thickBot="1" x14ac:dyDescent="0.3">
      <c r="A2124" s="1527"/>
      <c r="B2124" s="1540"/>
      <c r="C2124" s="1538" t="s">
        <v>7182</v>
      </c>
      <c r="D2124" s="952" t="s">
        <v>7182</v>
      </c>
      <c r="E2124" s="1538" t="s">
        <v>7182</v>
      </c>
      <c r="F2124" s="1537"/>
      <c r="G2124" s="818" t="str">
        <f>IF(B2124="","",E2124/F2124)</f>
        <v/>
      </c>
      <c r="H2124" s="1524"/>
      <c r="J2124" s="1637"/>
      <c r="K2124" s="1637"/>
    </row>
    <row r="2125" spans="1:11" ht="15.75" thickBot="1" x14ac:dyDescent="0.3">
      <c r="A2125" s="1527"/>
      <c r="B2125" s="1555"/>
      <c r="C2125" s="1556"/>
      <c r="D2125" s="956"/>
      <c r="E2125" s="1556"/>
      <c r="F2125" s="1557"/>
      <c r="G2125" s="1558"/>
      <c r="H2125" s="1546">
        <f>SUM(G2119:G2125)</f>
        <v>5440</v>
      </c>
      <c r="J2125" s="1637"/>
      <c r="K2125" s="1637"/>
    </row>
    <row r="2126" spans="1:11" ht="15.75" thickBot="1" x14ac:dyDescent="0.3">
      <c r="A2126" s="1527"/>
      <c r="B2126" s="1527"/>
      <c r="C2126" s="1527"/>
      <c r="D2126" s="529"/>
      <c r="F2126" s="1528"/>
      <c r="G2126" s="1524"/>
      <c r="H2126" s="1524"/>
      <c r="J2126" s="1637"/>
      <c r="K2126" s="1637"/>
    </row>
    <row r="2127" spans="1:11" ht="15.75" thickBot="1" x14ac:dyDescent="0.3">
      <c r="A2127" s="1647" t="s">
        <v>6744</v>
      </c>
      <c r="B2127" s="1352"/>
      <c r="C2127" s="1352"/>
      <c r="D2127" s="1671"/>
      <c r="E2127" s="1672"/>
      <c r="F2127" s="1353"/>
      <c r="G2127" s="1527" t="s">
        <v>5415</v>
      </c>
      <c r="H2127" s="502">
        <f>ROUND(SUM(H2085:H2126),0)</f>
        <v>113943</v>
      </c>
      <c r="J2127" s="1673">
        <f>+B2081</f>
        <v>10.47</v>
      </c>
      <c r="K2127" s="1674">
        <f>+H2127</f>
        <v>113943</v>
      </c>
    </row>
    <row r="2128" spans="1:11" x14ac:dyDescent="0.25">
      <c r="A2128" s="1675"/>
      <c r="B2128" s="1676"/>
      <c r="C2128" s="1676"/>
      <c r="D2128" s="1677"/>
      <c r="E2128" s="1678"/>
      <c r="F2128" s="1679"/>
      <c r="G2128" s="1680"/>
      <c r="H2128" s="1680"/>
    </row>
    <row r="2129" spans="1:11" ht="18.75" x14ac:dyDescent="0.25">
      <c r="A2129" s="1523"/>
      <c r="B2129" s="1655"/>
      <c r="C2129" s="1655"/>
      <c r="D2129" s="950"/>
      <c r="E2129" s="1655"/>
      <c r="F2129" s="1655"/>
      <c r="G2129" s="1655"/>
      <c r="H2129" s="8"/>
    </row>
    <row r="2130" spans="1:11" x14ac:dyDescent="0.25">
      <c r="A2130" s="1523"/>
      <c r="B2130" s="8"/>
      <c r="C2130" s="8"/>
      <c r="D2130" s="529"/>
      <c r="E2130" s="8"/>
      <c r="F2130" s="1523"/>
      <c r="G2130" s="1524"/>
      <c r="H2130" s="8"/>
    </row>
    <row r="2131" spans="1:11" x14ac:dyDescent="0.25">
      <c r="A2131" s="1665" t="s">
        <v>3</v>
      </c>
      <c r="B2131" s="1666">
        <f>+VLOOKUP(C2131,ListaAPUs!$B:$E,4,FALSE)</f>
        <v>10.48</v>
      </c>
      <c r="C2131" s="2441" t="str">
        <f>+ListaAPUs!B248</f>
        <v>Bandeja portacable tipo escalera galvanizada con tapa y division 50/10 cm.</v>
      </c>
      <c r="D2131" s="2441"/>
      <c r="E2131" s="2441"/>
      <c r="F2131" s="1665" t="s">
        <v>867</v>
      </c>
      <c r="G2131" s="1390" t="str">
        <f>+VLOOKUP(C2131,ListaAPUs!$B:$E,2,FALSE)</f>
        <v>m</v>
      </c>
      <c r="H2131" s="1524"/>
    </row>
    <row r="2132" spans="1:11" x14ac:dyDescent="0.25">
      <c r="A2132" s="1528"/>
      <c r="B2132" s="1527"/>
      <c r="C2132" s="1527"/>
      <c r="D2132" s="529"/>
      <c r="E2132" s="1527"/>
      <c r="F2132" s="1528"/>
      <c r="G2132" s="1524"/>
      <c r="H2132" s="1524"/>
    </row>
    <row r="2133" spans="1:11" x14ac:dyDescent="0.25">
      <c r="A2133" s="1528"/>
      <c r="B2133" s="1527"/>
      <c r="C2133" s="1527"/>
      <c r="D2133" s="529"/>
      <c r="E2133" s="1527"/>
      <c r="F2133" s="1528"/>
      <c r="G2133" s="1529"/>
      <c r="H2133" s="1524"/>
    </row>
    <row r="2134" spans="1:11" ht="15.75" thickBot="1" x14ac:dyDescent="0.3">
      <c r="A2134" s="1528"/>
      <c r="B2134" s="1527"/>
      <c r="C2134" s="1527"/>
      <c r="D2134" s="529"/>
      <c r="E2134" s="1527"/>
      <c r="F2134" s="1528"/>
      <c r="G2134" s="1524"/>
      <c r="H2134" s="1524"/>
    </row>
    <row r="2135" spans="1:11" ht="15.75" thickBot="1" x14ac:dyDescent="0.3">
      <c r="A2135" s="1368"/>
      <c r="B2135" s="1369" t="s">
        <v>5403</v>
      </c>
      <c r="C2135" s="1363" t="s">
        <v>867</v>
      </c>
      <c r="D2135" s="1120" t="s">
        <v>6</v>
      </c>
      <c r="E2135" s="1363" t="s">
        <v>9417</v>
      </c>
      <c r="F2135" s="1363" t="s">
        <v>5405</v>
      </c>
      <c r="G2135" s="1370" t="s">
        <v>7179</v>
      </c>
      <c r="H2135" s="1371"/>
    </row>
    <row r="2136" spans="1:11" x14ac:dyDescent="0.25">
      <c r="A2136" s="1528"/>
      <c r="B2136" s="1746" t="s">
        <v>9504</v>
      </c>
      <c r="C2136" s="1802" t="s">
        <v>5432</v>
      </c>
      <c r="D2136" s="1831">
        <v>1</v>
      </c>
      <c r="E2136" s="1803">
        <f>158900/3</f>
        <v>52966.666666666664</v>
      </c>
      <c r="F2136" s="1804">
        <v>1</v>
      </c>
      <c r="G2136" s="1805">
        <f>+F2136*E2136*D2136</f>
        <v>52966.666666666664</v>
      </c>
      <c r="H2136" s="1524"/>
    </row>
    <row r="2137" spans="1:11" x14ac:dyDescent="0.25">
      <c r="A2137" s="1528"/>
      <c r="B2137" s="1822" t="s">
        <v>9505</v>
      </c>
      <c r="C2137" s="1749" t="s">
        <v>5432</v>
      </c>
      <c r="D2137" s="1773">
        <v>0.2</v>
      </c>
      <c r="E2137" s="1825">
        <f>120000/3</f>
        <v>40000</v>
      </c>
      <c r="F2137" s="1769">
        <v>1</v>
      </c>
      <c r="G2137" s="1786">
        <f>+F2137*E2137</f>
        <v>40000</v>
      </c>
      <c r="H2137" s="1524"/>
    </row>
    <row r="2138" spans="1:11" x14ac:dyDescent="0.25">
      <c r="A2138" s="1528"/>
      <c r="B2138" s="1822" t="s">
        <v>9506</v>
      </c>
      <c r="C2138" s="1749" t="s">
        <v>5</v>
      </c>
      <c r="D2138" s="1769">
        <v>0.2</v>
      </c>
      <c r="E2138" s="1825">
        <v>25000</v>
      </c>
      <c r="F2138" s="1769">
        <v>1</v>
      </c>
      <c r="G2138" s="1786">
        <f>+F2138*E2138*D2138</f>
        <v>5000</v>
      </c>
      <c r="H2138" s="1524"/>
    </row>
    <row r="2139" spans="1:11" x14ac:dyDescent="0.25">
      <c r="A2139" s="1528"/>
      <c r="B2139" s="1751" t="s">
        <v>9507</v>
      </c>
      <c r="C2139" s="1749" t="s">
        <v>5432</v>
      </c>
      <c r="D2139" s="1773">
        <v>0.2</v>
      </c>
      <c r="E2139" s="1825">
        <v>2450</v>
      </c>
      <c r="F2139" s="1769">
        <v>1</v>
      </c>
      <c r="G2139" s="1786">
        <f>+F2139*E2139*D2139</f>
        <v>490</v>
      </c>
      <c r="H2139" s="1524"/>
    </row>
    <row r="2140" spans="1:11" x14ac:dyDescent="0.25">
      <c r="A2140" s="1528"/>
      <c r="B2140" s="1667"/>
      <c r="C2140" s="1537"/>
      <c r="D2140" s="212"/>
      <c r="E2140" s="816"/>
      <c r="F2140" s="1563"/>
      <c r="G2140" s="814"/>
      <c r="H2140" s="1524"/>
    </row>
    <row r="2141" spans="1:11" x14ac:dyDescent="0.25">
      <c r="A2141" s="1528"/>
      <c r="B2141" s="1667"/>
      <c r="C2141" s="1537"/>
      <c r="D2141" s="212"/>
      <c r="E2141" s="816"/>
      <c r="F2141" s="1563"/>
      <c r="G2141" s="814"/>
      <c r="H2141" s="1524"/>
    </row>
    <row r="2142" spans="1:11" x14ac:dyDescent="0.25">
      <c r="A2142" s="1528"/>
      <c r="B2142" s="1667"/>
      <c r="C2142" s="1537"/>
      <c r="D2142" s="212"/>
      <c r="E2142" s="816"/>
      <c r="F2142" s="1563"/>
      <c r="G2142" s="814"/>
      <c r="H2142" s="1524"/>
    </row>
    <row r="2143" spans="1:11" x14ac:dyDescent="0.25">
      <c r="A2143" s="1528"/>
      <c r="B2143" s="1667"/>
      <c r="C2143" s="1537"/>
      <c r="D2143" s="212"/>
      <c r="E2143" s="816"/>
      <c r="F2143" s="1563"/>
      <c r="G2143" s="814"/>
      <c r="H2143" s="1524"/>
      <c r="J2143" s="1637"/>
      <c r="K2143" s="1637"/>
    </row>
    <row r="2144" spans="1:11" x14ac:dyDescent="0.25">
      <c r="A2144" s="1528"/>
      <c r="B2144" s="1667"/>
      <c r="C2144" s="1537"/>
      <c r="D2144" s="212"/>
      <c r="E2144" s="816"/>
      <c r="F2144" s="1563"/>
      <c r="G2144" s="814"/>
      <c r="H2144" s="1524"/>
      <c r="J2144" s="1637"/>
      <c r="K2144" s="1637"/>
    </row>
    <row r="2145" spans="1:11" x14ac:dyDescent="0.25">
      <c r="A2145" s="1528"/>
      <c r="B2145" s="1667"/>
      <c r="C2145" s="1537"/>
      <c r="D2145" s="212"/>
      <c r="E2145" s="816"/>
      <c r="F2145" s="1563"/>
      <c r="G2145" s="814"/>
      <c r="H2145" s="1524"/>
      <c r="J2145" s="1637"/>
      <c r="K2145" s="1637"/>
    </row>
    <row r="2146" spans="1:11" x14ac:dyDescent="0.25">
      <c r="A2146" s="1528"/>
      <c r="B2146" s="1667"/>
      <c r="C2146" s="1537"/>
      <c r="D2146" s="212"/>
      <c r="E2146" s="816"/>
      <c r="F2146" s="1563"/>
      <c r="G2146" s="814"/>
      <c r="H2146" s="1524"/>
      <c r="J2146" s="1637"/>
      <c r="K2146" s="1637"/>
    </row>
    <row r="2147" spans="1:11" x14ac:dyDescent="0.25">
      <c r="A2147" s="1528"/>
      <c r="B2147" s="269"/>
      <c r="C2147" s="1537"/>
      <c r="D2147" s="212"/>
      <c r="E2147" s="816"/>
      <c r="F2147" s="1563"/>
      <c r="G2147" s="814"/>
      <c r="H2147" s="1524"/>
      <c r="J2147" s="1637"/>
      <c r="K2147" s="1637"/>
    </row>
    <row r="2148" spans="1:11" x14ac:dyDescent="0.25">
      <c r="A2148" s="1528"/>
      <c r="B2148" s="268"/>
      <c r="C2148" s="1534"/>
      <c r="D2148" s="211"/>
      <c r="E2148" s="1535" t="s">
        <v>7182</v>
      </c>
      <c r="F2148" s="1551"/>
      <c r="G2148" s="1541" t="s">
        <v>7182</v>
      </c>
      <c r="H2148" s="1524"/>
      <c r="J2148" s="1637"/>
      <c r="K2148" s="1637"/>
    </row>
    <row r="2149" spans="1:11" x14ac:dyDescent="0.25">
      <c r="A2149" s="1528"/>
      <c r="B2149" s="1346"/>
      <c r="C2149" s="1534"/>
      <c r="D2149" s="211"/>
      <c r="E2149" s="1535" t="s">
        <v>7182</v>
      </c>
      <c r="F2149" s="1551"/>
      <c r="G2149" s="1541" t="s">
        <v>7182</v>
      </c>
      <c r="H2149" s="1524"/>
      <c r="J2149" s="1637"/>
      <c r="K2149" s="1637"/>
    </row>
    <row r="2150" spans="1:11" ht="15.75" thickBot="1" x14ac:dyDescent="0.3">
      <c r="A2150" s="1528"/>
      <c r="B2150" s="1540"/>
      <c r="C2150" s="1537"/>
      <c r="D2150" s="952"/>
      <c r="E2150" s="1538" t="s">
        <v>7182</v>
      </c>
      <c r="F2150" s="1537"/>
      <c r="G2150" s="1541" t="s">
        <v>7182</v>
      </c>
      <c r="H2150" s="1524"/>
      <c r="J2150" s="1637"/>
      <c r="K2150" s="1637"/>
    </row>
    <row r="2151" spans="1:11" ht="15.75" thickBot="1" x14ac:dyDescent="0.3">
      <c r="A2151" s="1528"/>
      <c r="B2151" s="1555"/>
      <c r="C2151" s="1557"/>
      <c r="D2151" s="956"/>
      <c r="E2151" s="1556" t="s">
        <v>7182</v>
      </c>
      <c r="F2151" s="1557"/>
      <c r="G2151" s="1558" t="s">
        <v>7182</v>
      </c>
      <c r="H2151" s="1546">
        <f>SUM(G2136:G2151)</f>
        <v>98456.666666666657</v>
      </c>
      <c r="J2151" s="1637"/>
      <c r="K2151" s="1637"/>
    </row>
    <row r="2152" spans="1:11" x14ac:dyDescent="0.25">
      <c r="A2152" s="1528"/>
      <c r="B2152" s="1372"/>
      <c r="C2152" s="1374"/>
      <c r="D2152" s="1373"/>
      <c r="E2152" s="1372" t="s">
        <v>7182</v>
      </c>
      <c r="F2152" s="1374"/>
      <c r="G2152" s="1375" t="s">
        <v>7182</v>
      </c>
      <c r="H2152" s="1550"/>
      <c r="J2152" s="1637"/>
      <c r="K2152" s="1637"/>
    </row>
    <row r="2153" spans="1:11" ht="15.75" thickBot="1" x14ac:dyDescent="0.3">
      <c r="A2153" s="1527"/>
      <c r="B2153" s="188"/>
      <c r="C2153" s="189"/>
      <c r="D2153" s="1668"/>
      <c r="E2153" s="188"/>
      <c r="F2153" s="189"/>
      <c r="G2153" s="1669"/>
      <c r="H2153" s="1550"/>
      <c r="J2153" s="1637"/>
      <c r="K2153" s="1637"/>
    </row>
    <row r="2154" spans="1:11" ht="15.75" thickBot="1" x14ac:dyDescent="0.3">
      <c r="A2154" s="1527"/>
      <c r="B2154" s="1366" t="s">
        <v>9418</v>
      </c>
      <c r="C2154" s="1363" t="s">
        <v>867</v>
      </c>
      <c r="D2154" s="1120" t="s">
        <v>6</v>
      </c>
      <c r="E2154" s="1363" t="s">
        <v>7183</v>
      </c>
      <c r="F2154" s="1363" t="s">
        <v>5405</v>
      </c>
      <c r="G2154" s="1365" t="s">
        <v>7179</v>
      </c>
      <c r="H2154" s="1524"/>
      <c r="J2154" s="1637"/>
      <c r="K2154" s="1637"/>
    </row>
    <row r="2155" spans="1:11" x14ac:dyDescent="0.25">
      <c r="A2155" s="1527"/>
      <c r="B2155" s="1564" t="s">
        <v>5455</v>
      </c>
      <c r="C2155" s="1534" t="s">
        <v>5</v>
      </c>
      <c r="D2155" s="211">
        <v>1</v>
      </c>
      <c r="E2155" s="1535">
        <v>5000</v>
      </c>
      <c r="F2155" s="1534">
        <v>1</v>
      </c>
      <c r="G2155" s="1572">
        <f>+F2155*E2155</f>
        <v>5000</v>
      </c>
      <c r="H2155" s="1524"/>
      <c r="J2155" s="1637"/>
      <c r="K2155" s="1637"/>
    </row>
    <row r="2156" spans="1:11" x14ac:dyDescent="0.25">
      <c r="A2156" s="1527"/>
      <c r="B2156" s="1540"/>
      <c r="C2156" s="1537"/>
      <c r="D2156" s="212"/>
      <c r="E2156" s="1535" t="s">
        <v>7182</v>
      </c>
      <c r="F2156" s="1537"/>
      <c r="G2156" s="1572" t="s">
        <v>7182</v>
      </c>
      <c r="H2156" s="1524"/>
      <c r="J2156" s="1637"/>
      <c r="K2156" s="1637"/>
    </row>
    <row r="2157" spans="1:11" x14ac:dyDescent="0.25">
      <c r="A2157" s="1527"/>
      <c r="B2157" s="1540"/>
      <c r="C2157" s="1537"/>
      <c r="D2157" s="212"/>
      <c r="E2157" s="1535" t="s">
        <v>7182</v>
      </c>
      <c r="F2157" s="1537"/>
      <c r="G2157" s="1572" t="s">
        <v>7182</v>
      </c>
      <c r="H2157" s="1524"/>
      <c r="J2157" s="1637"/>
      <c r="K2157" s="1637"/>
    </row>
    <row r="2158" spans="1:11" ht="15.75" thickBot="1" x14ac:dyDescent="0.3">
      <c r="A2158" s="1527"/>
      <c r="B2158" s="1540"/>
      <c r="C2158" s="1537"/>
      <c r="D2158" s="212"/>
      <c r="E2158" s="1535" t="s">
        <v>7182</v>
      </c>
      <c r="F2158" s="1537"/>
      <c r="G2158" s="1572" t="s">
        <v>7182</v>
      </c>
      <c r="H2158" s="1524"/>
      <c r="J2158" s="1637"/>
      <c r="K2158" s="1637"/>
    </row>
    <row r="2159" spans="1:11" ht="15.75" thickBot="1" x14ac:dyDescent="0.3">
      <c r="A2159" s="1527"/>
      <c r="B2159" s="1555"/>
      <c r="C2159" s="1556"/>
      <c r="D2159" s="956"/>
      <c r="E2159" s="1556" t="s">
        <v>7182</v>
      </c>
      <c r="F2159" s="1557"/>
      <c r="G2159" s="1558" t="s">
        <v>7182</v>
      </c>
      <c r="H2159" s="1546">
        <f>SUM(G2155:G2159)</f>
        <v>5000</v>
      </c>
      <c r="J2159" s="1637"/>
      <c r="K2159" s="1637"/>
    </row>
    <row r="2160" spans="1:11" ht="15.75" thickBot="1" x14ac:dyDescent="0.3">
      <c r="A2160" s="1527"/>
      <c r="B2160" s="1376"/>
      <c r="C2160" s="1353"/>
      <c r="D2160" s="1355"/>
      <c r="E2160" s="1352"/>
      <c r="F2160" s="1377"/>
      <c r="G2160" s="1378"/>
      <c r="H2160" s="1524"/>
      <c r="J2160" s="1637"/>
      <c r="K2160" s="1637"/>
    </row>
    <row r="2161" spans="1:11" ht="15.75" thickBot="1" x14ac:dyDescent="0.3">
      <c r="A2161" s="1527"/>
      <c r="B2161" s="1366" t="s">
        <v>5410</v>
      </c>
      <c r="C2161" s="1363" t="s">
        <v>867</v>
      </c>
      <c r="D2161" s="1120" t="s">
        <v>6</v>
      </c>
      <c r="E2161" s="1363" t="s">
        <v>7183</v>
      </c>
      <c r="F2161" s="1363" t="s">
        <v>5405</v>
      </c>
      <c r="G2161" s="1365" t="s">
        <v>7179</v>
      </c>
      <c r="H2161" s="1524"/>
      <c r="J2161" s="1637"/>
      <c r="K2161" s="1637"/>
    </row>
    <row r="2162" spans="1:11" ht="25.5" x14ac:dyDescent="0.25">
      <c r="A2162" s="1527"/>
      <c r="B2162" s="1564" t="s">
        <v>9421</v>
      </c>
      <c r="C2162" s="1534" t="s">
        <v>9023</v>
      </c>
      <c r="D2162" s="211">
        <v>1</v>
      </c>
      <c r="E2162" s="1535">
        <v>8000</v>
      </c>
      <c r="F2162" s="1534">
        <v>1</v>
      </c>
      <c r="G2162" s="1572">
        <f>+F2162*E2162</f>
        <v>8000</v>
      </c>
      <c r="H2162" s="1524"/>
      <c r="J2162" s="1637"/>
      <c r="K2162" s="1637"/>
    </row>
    <row r="2163" spans="1:11" x14ac:dyDescent="0.25">
      <c r="A2163" s="1527"/>
      <c r="B2163" s="1540"/>
      <c r="C2163" s="1537"/>
      <c r="D2163" s="212"/>
      <c r="E2163" s="1535" t="s">
        <v>7182</v>
      </c>
      <c r="F2163" s="1537"/>
      <c r="G2163" s="1572" t="s">
        <v>7182</v>
      </c>
      <c r="H2163" s="1524"/>
      <c r="J2163" s="1637"/>
      <c r="K2163" s="1637"/>
    </row>
    <row r="2164" spans="1:11" x14ac:dyDescent="0.25">
      <c r="A2164" s="1527"/>
      <c r="B2164" s="1540"/>
      <c r="C2164" s="1537"/>
      <c r="D2164" s="212"/>
      <c r="E2164" s="1535" t="s">
        <v>7182</v>
      </c>
      <c r="F2164" s="1537"/>
      <c r="G2164" s="1572" t="s">
        <v>7182</v>
      </c>
      <c r="H2164" s="1524"/>
      <c r="J2164" s="1637"/>
      <c r="K2164" s="1637"/>
    </row>
    <row r="2165" spans="1:11" ht="15.75" thickBot="1" x14ac:dyDescent="0.3">
      <c r="A2165" s="1527"/>
      <c r="B2165" s="1540"/>
      <c r="C2165" s="1537"/>
      <c r="D2165" s="212"/>
      <c r="E2165" s="1535" t="s">
        <v>7182</v>
      </c>
      <c r="F2165" s="1537"/>
      <c r="G2165" s="1572" t="s">
        <v>7182</v>
      </c>
      <c r="H2165" s="1524"/>
      <c r="J2165" s="1637"/>
      <c r="K2165" s="1637"/>
    </row>
    <row r="2166" spans="1:11" ht="15.75" thickBot="1" x14ac:dyDescent="0.3">
      <c r="A2166" s="1527"/>
      <c r="B2166" s="1555"/>
      <c r="C2166" s="1556"/>
      <c r="D2166" s="956"/>
      <c r="E2166" s="1556" t="s">
        <v>7182</v>
      </c>
      <c r="F2166" s="1557"/>
      <c r="G2166" s="1558" t="s">
        <v>7182</v>
      </c>
      <c r="H2166" s="1546">
        <f>SUM(G2162:G2166)</f>
        <v>8000</v>
      </c>
      <c r="J2166" s="1637"/>
      <c r="K2166" s="1637"/>
    </row>
    <row r="2167" spans="1:11" ht="15.75" thickBot="1" x14ac:dyDescent="0.3">
      <c r="A2167" s="1527"/>
      <c r="B2167" s="1547"/>
      <c r="C2167" s="1547"/>
      <c r="D2167" s="954"/>
      <c r="E2167" s="1547"/>
      <c r="F2167" s="1553"/>
      <c r="G2167" s="1554"/>
      <c r="H2167" s="1550"/>
      <c r="J2167" s="1637"/>
      <c r="K2167" s="1637"/>
    </row>
    <row r="2168" spans="1:11" ht="15.75" thickBot="1" x14ac:dyDescent="0.3">
      <c r="A2168" s="1559"/>
      <c r="B2168" s="1369" t="s">
        <v>5412</v>
      </c>
      <c r="C2168" s="1363" t="s">
        <v>5420</v>
      </c>
      <c r="D2168" s="1120" t="s">
        <v>5421</v>
      </c>
      <c r="E2168" s="1363" t="s">
        <v>7187</v>
      </c>
      <c r="F2168" s="1363" t="s">
        <v>5405</v>
      </c>
      <c r="G2168" s="1370" t="s">
        <v>7179</v>
      </c>
      <c r="H2168" s="1371"/>
      <c r="J2168" s="1637"/>
      <c r="K2168" s="1637"/>
    </row>
    <row r="2169" spans="1:11" x14ac:dyDescent="0.25">
      <c r="A2169" s="1527"/>
      <c r="B2169" s="1560" t="s">
        <v>9422</v>
      </c>
      <c r="C2169" s="1569">
        <v>170000</v>
      </c>
      <c r="D2169" s="352">
        <f>0.6*C2169</f>
        <v>102000</v>
      </c>
      <c r="E2169" s="1569">
        <f>+D2169+C2169</f>
        <v>272000</v>
      </c>
      <c r="F2169" s="819">
        <v>0.2</v>
      </c>
      <c r="G2169" s="818">
        <f>+F2169*E2169</f>
        <v>54400</v>
      </c>
      <c r="H2169" s="1524"/>
      <c r="J2169" s="1637"/>
      <c r="K2169" s="1637"/>
    </row>
    <row r="2170" spans="1:11" x14ac:dyDescent="0.25">
      <c r="A2170" s="1527"/>
      <c r="B2170" s="1560"/>
      <c r="C2170" s="1569"/>
      <c r="D2170" s="1569"/>
      <c r="E2170" s="1569"/>
      <c r="F2170" s="819"/>
      <c r="G2170" s="818"/>
      <c r="H2170" s="1524"/>
      <c r="J2170" s="1637"/>
      <c r="K2170" s="1637"/>
    </row>
    <row r="2171" spans="1:11" x14ac:dyDescent="0.25">
      <c r="A2171" s="1527"/>
      <c r="B2171" s="1561"/>
      <c r="C2171" s="1569"/>
      <c r="D2171" s="1569"/>
      <c r="E2171" s="1569"/>
      <c r="F2171" s="817"/>
      <c r="G2171" s="818"/>
      <c r="H2171" s="1524"/>
      <c r="J2171" s="1637"/>
      <c r="K2171" s="1637"/>
    </row>
    <row r="2172" spans="1:11" x14ac:dyDescent="0.25">
      <c r="A2172" s="1527"/>
      <c r="B2172" s="1540"/>
      <c r="C2172" s="1569"/>
      <c r="D2172" s="1569"/>
      <c r="E2172" s="1569"/>
      <c r="F2172" s="817"/>
      <c r="G2172" s="818"/>
      <c r="H2172" s="1524"/>
      <c r="J2172" s="1637"/>
      <c r="K2172" s="1637"/>
    </row>
    <row r="2173" spans="1:11" x14ac:dyDescent="0.25">
      <c r="A2173" s="1527"/>
      <c r="B2173" s="1540"/>
      <c r="C2173" s="1538" t="s">
        <v>7182</v>
      </c>
      <c r="D2173" s="952" t="s">
        <v>7182</v>
      </c>
      <c r="E2173" s="1538" t="s">
        <v>7182</v>
      </c>
      <c r="F2173" s="817"/>
      <c r="G2173" s="818" t="str">
        <f>IF(B2173="","",E2173/F2173)</f>
        <v/>
      </c>
      <c r="H2173" s="1524"/>
      <c r="J2173" s="1637"/>
      <c r="K2173" s="1637"/>
    </row>
    <row r="2174" spans="1:11" ht="15.75" thickBot="1" x14ac:dyDescent="0.3">
      <c r="A2174" s="1527"/>
      <c r="B2174" s="1540"/>
      <c r="C2174" s="1538" t="s">
        <v>7182</v>
      </c>
      <c r="D2174" s="952" t="s">
        <v>7182</v>
      </c>
      <c r="E2174" s="1538" t="s">
        <v>7182</v>
      </c>
      <c r="F2174" s="1537"/>
      <c r="G2174" s="818" t="str">
        <f>IF(B2174="","",E2174/F2174)</f>
        <v/>
      </c>
      <c r="H2174" s="1524"/>
      <c r="J2174" s="1637"/>
      <c r="K2174" s="1637"/>
    </row>
    <row r="2175" spans="1:11" ht="15.75" thickBot="1" x14ac:dyDescent="0.3">
      <c r="A2175" s="1527"/>
      <c r="B2175" s="1555"/>
      <c r="C2175" s="1556"/>
      <c r="D2175" s="956"/>
      <c r="E2175" s="1556"/>
      <c r="F2175" s="1557"/>
      <c r="G2175" s="1558"/>
      <c r="H2175" s="1546">
        <f>SUM(G2169:G2175)</f>
        <v>54400</v>
      </c>
    </row>
    <row r="2176" spans="1:11" ht="15.75" thickBot="1" x14ac:dyDescent="0.3">
      <c r="A2176" s="1527"/>
      <c r="B2176" s="1527"/>
      <c r="C2176" s="1527"/>
      <c r="D2176" s="529"/>
      <c r="F2176" s="1528"/>
      <c r="G2176" s="1524"/>
      <c r="H2176" s="1524"/>
    </row>
    <row r="2177" spans="1:11" ht="15.75" thickBot="1" x14ac:dyDescent="0.3">
      <c r="A2177" s="1647" t="s">
        <v>6744</v>
      </c>
      <c r="B2177" s="1352"/>
      <c r="C2177" s="1352"/>
      <c r="D2177" s="1671"/>
      <c r="E2177" s="1672"/>
      <c r="F2177" s="1353"/>
      <c r="G2177" s="1527" t="s">
        <v>5415</v>
      </c>
      <c r="H2177" s="502">
        <f>ROUND(SUM(H2135:H2176),0)</f>
        <v>165857</v>
      </c>
      <c r="J2177" s="1673">
        <f>+B2131</f>
        <v>10.48</v>
      </c>
      <c r="K2177" s="1674">
        <f>+H2177</f>
        <v>165857</v>
      </c>
    </row>
    <row r="2178" spans="1:11" x14ac:dyDescent="0.25">
      <c r="A2178" s="1675"/>
      <c r="B2178" s="1676"/>
      <c r="C2178" s="1676"/>
      <c r="D2178" s="1677"/>
      <c r="E2178" s="1678"/>
      <c r="F2178" s="1679"/>
      <c r="G2178" s="1680"/>
      <c r="H2178" s="1680"/>
    </row>
    <row r="2179" spans="1:11" ht="18.75" x14ac:dyDescent="0.25">
      <c r="A2179" s="1523"/>
      <c r="B2179" s="1655"/>
      <c r="C2179" s="1655"/>
      <c r="D2179" s="950"/>
      <c r="E2179" s="1655"/>
      <c r="F2179" s="1655"/>
      <c r="G2179" s="1655"/>
      <c r="H2179" s="8"/>
    </row>
    <row r="2180" spans="1:11" x14ac:dyDescent="0.25">
      <c r="A2180" s="1523"/>
      <c r="B2180" s="8"/>
      <c r="C2180" s="8"/>
      <c r="D2180" s="529"/>
      <c r="E2180" s="8"/>
      <c r="F2180" s="1523"/>
      <c r="G2180" s="1524"/>
      <c r="H2180" s="8"/>
    </row>
    <row r="2181" spans="1:11" x14ac:dyDescent="0.25">
      <c r="A2181" s="1665" t="s">
        <v>3</v>
      </c>
      <c r="B2181" s="1666">
        <f>+VLOOKUP(C2181,ListaAPUs!$B:$E,4,FALSE)</f>
        <v>10.49</v>
      </c>
      <c r="C2181" s="2441" t="str">
        <f>+ListaAPUs!B249</f>
        <v>Bandeja portacable tipo escalera galvanizada 40 cm.con division para carcamo.</v>
      </c>
      <c r="D2181" s="2441"/>
      <c r="E2181" s="2441"/>
      <c r="F2181" s="1665" t="s">
        <v>867</v>
      </c>
      <c r="G2181" s="1390" t="str">
        <f>+VLOOKUP(C2181,ListaAPUs!$B:$E,2,FALSE)</f>
        <v>m</v>
      </c>
      <c r="H2181" s="1524"/>
    </row>
    <row r="2182" spans="1:11" x14ac:dyDescent="0.25">
      <c r="A2182" s="1528"/>
      <c r="B2182" s="1527"/>
      <c r="C2182" s="1527"/>
      <c r="D2182" s="529"/>
      <c r="E2182" s="1527"/>
      <c r="F2182" s="1528"/>
      <c r="G2182" s="1524"/>
      <c r="H2182" s="1524"/>
    </row>
    <row r="2183" spans="1:11" x14ac:dyDescent="0.25">
      <c r="A2183" s="1528"/>
      <c r="B2183" s="1527"/>
      <c r="C2183" s="1527"/>
      <c r="D2183" s="529"/>
      <c r="E2183" s="1527"/>
      <c r="F2183" s="1528"/>
      <c r="G2183" s="1529"/>
      <c r="H2183" s="1524"/>
    </row>
    <row r="2184" spans="1:11" ht="15.75" thickBot="1" x14ac:dyDescent="0.3">
      <c r="A2184" s="1528"/>
      <c r="B2184" s="1527"/>
      <c r="C2184" s="1527"/>
      <c r="D2184" s="529"/>
      <c r="E2184" s="1527"/>
      <c r="F2184" s="1528"/>
      <c r="G2184" s="1524"/>
      <c r="H2184" s="1524"/>
    </row>
    <row r="2185" spans="1:11" ht="15.75" thickBot="1" x14ac:dyDescent="0.3">
      <c r="A2185" s="1368"/>
      <c r="B2185" s="1369" t="s">
        <v>5403</v>
      </c>
      <c r="C2185" s="1363" t="s">
        <v>867</v>
      </c>
      <c r="D2185" s="1120" t="s">
        <v>6</v>
      </c>
      <c r="E2185" s="1363" t="s">
        <v>9417</v>
      </c>
      <c r="F2185" s="1363" t="s">
        <v>5405</v>
      </c>
      <c r="G2185" s="1370" t="s">
        <v>7179</v>
      </c>
      <c r="H2185" s="1371"/>
    </row>
    <row r="2186" spans="1:11" x14ac:dyDescent="0.25">
      <c r="A2186" s="1528"/>
      <c r="B2186" s="1746" t="s">
        <v>9508</v>
      </c>
      <c r="C2186" s="1802" t="s">
        <v>5432</v>
      </c>
      <c r="D2186" s="1831">
        <v>1</v>
      </c>
      <c r="E2186" s="1803">
        <f>125000/3</f>
        <v>41666.666666666664</v>
      </c>
      <c r="F2186" s="1804">
        <v>1</v>
      </c>
      <c r="G2186" s="1805">
        <f>+F2186*E2186*D2186</f>
        <v>41666.666666666664</v>
      </c>
      <c r="H2186" s="1524"/>
    </row>
    <row r="2187" spans="1:11" x14ac:dyDescent="0.25">
      <c r="A2187" s="1528"/>
      <c r="B2187" s="1822" t="s">
        <v>9506</v>
      </c>
      <c r="C2187" s="1749" t="s">
        <v>5</v>
      </c>
      <c r="D2187" s="1769">
        <v>0.2</v>
      </c>
      <c r="E2187" s="1825">
        <v>25000</v>
      </c>
      <c r="F2187" s="1769">
        <v>1</v>
      </c>
      <c r="G2187" s="1786">
        <f>+F2187*E2187*D2187</f>
        <v>5000</v>
      </c>
      <c r="H2187" s="1524"/>
    </row>
    <row r="2188" spans="1:11" x14ac:dyDescent="0.25">
      <c r="A2188" s="1528"/>
      <c r="B2188" s="1751" t="s">
        <v>9507</v>
      </c>
      <c r="C2188" s="1749" t="s">
        <v>5432</v>
      </c>
      <c r="D2188" s="1773">
        <v>0.2</v>
      </c>
      <c r="E2188" s="1825">
        <v>2450</v>
      </c>
      <c r="F2188" s="1769">
        <v>1</v>
      </c>
      <c r="G2188" s="1786">
        <f>+F2188*E2188*D2188</f>
        <v>490</v>
      </c>
      <c r="H2188" s="1524"/>
    </row>
    <row r="2189" spans="1:11" x14ac:dyDescent="0.25">
      <c r="A2189" s="1528"/>
      <c r="B2189" s="1667"/>
      <c r="C2189" s="1537"/>
      <c r="D2189" s="212"/>
      <c r="E2189" s="816"/>
      <c r="F2189" s="1563"/>
      <c r="G2189" s="814"/>
      <c r="H2189" s="1524"/>
    </row>
    <row r="2190" spans="1:11" x14ac:dyDescent="0.25">
      <c r="A2190" s="1528"/>
      <c r="B2190" s="1667"/>
      <c r="C2190" s="1537"/>
      <c r="D2190" s="212"/>
      <c r="E2190" s="816"/>
      <c r="F2190" s="1563"/>
      <c r="G2190" s="814"/>
      <c r="H2190" s="1524"/>
    </row>
    <row r="2191" spans="1:11" x14ac:dyDescent="0.25">
      <c r="A2191" s="1528"/>
      <c r="B2191" s="1667"/>
      <c r="C2191" s="1537"/>
      <c r="D2191" s="212"/>
      <c r="E2191" s="816"/>
      <c r="F2191" s="1563"/>
      <c r="G2191" s="814"/>
      <c r="H2191" s="1524"/>
      <c r="J2191" s="1637"/>
      <c r="K2191" s="1637"/>
    </row>
    <row r="2192" spans="1:11" x14ac:dyDescent="0.25">
      <c r="A2192" s="1528"/>
      <c r="B2192" s="1667"/>
      <c r="C2192" s="1537"/>
      <c r="D2192" s="212"/>
      <c r="E2192" s="816"/>
      <c r="F2192" s="1563"/>
      <c r="G2192" s="814"/>
      <c r="H2192" s="1524"/>
      <c r="J2192" s="1637"/>
      <c r="K2192" s="1637"/>
    </row>
    <row r="2193" spans="1:11" x14ac:dyDescent="0.25">
      <c r="A2193" s="1528"/>
      <c r="B2193" s="1667"/>
      <c r="C2193" s="1537"/>
      <c r="D2193" s="212"/>
      <c r="E2193" s="816"/>
      <c r="F2193" s="1563"/>
      <c r="G2193" s="814"/>
      <c r="H2193" s="1524"/>
      <c r="J2193" s="1637"/>
      <c r="K2193" s="1637"/>
    </row>
    <row r="2194" spans="1:11" x14ac:dyDescent="0.25">
      <c r="A2194" s="1528"/>
      <c r="B2194" s="1667"/>
      <c r="C2194" s="1537"/>
      <c r="D2194" s="212"/>
      <c r="E2194" s="816"/>
      <c r="F2194" s="1563"/>
      <c r="G2194" s="814"/>
      <c r="H2194" s="1524"/>
      <c r="J2194" s="1637"/>
      <c r="K2194" s="1637"/>
    </row>
    <row r="2195" spans="1:11" x14ac:dyDescent="0.25">
      <c r="A2195" s="1528"/>
      <c r="B2195" s="1667"/>
      <c r="C2195" s="1537"/>
      <c r="D2195" s="212"/>
      <c r="E2195" s="816"/>
      <c r="F2195" s="1563"/>
      <c r="G2195" s="814"/>
      <c r="H2195" s="1524"/>
      <c r="J2195" s="1637"/>
      <c r="K2195" s="1637"/>
    </row>
    <row r="2196" spans="1:11" x14ac:dyDescent="0.25">
      <c r="A2196" s="1528"/>
      <c r="B2196" s="1667"/>
      <c r="C2196" s="1537"/>
      <c r="D2196" s="212"/>
      <c r="E2196" s="816"/>
      <c r="F2196" s="1563"/>
      <c r="G2196" s="814"/>
      <c r="H2196" s="1524"/>
      <c r="J2196" s="1637"/>
      <c r="K2196" s="1637"/>
    </row>
    <row r="2197" spans="1:11" x14ac:dyDescent="0.25">
      <c r="A2197" s="1528"/>
      <c r="B2197" s="269"/>
      <c r="C2197" s="1537"/>
      <c r="D2197" s="212"/>
      <c r="E2197" s="816"/>
      <c r="F2197" s="1563"/>
      <c r="G2197" s="814"/>
      <c r="H2197" s="1524"/>
      <c r="J2197" s="1637"/>
      <c r="K2197" s="1637"/>
    </row>
    <row r="2198" spans="1:11" x14ac:dyDescent="0.25">
      <c r="A2198" s="1528"/>
      <c r="B2198" s="268"/>
      <c r="C2198" s="1534"/>
      <c r="D2198" s="211"/>
      <c r="E2198" s="1535" t="s">
        <v>7182</v>
      </c>
      <c r="F2198" s="1551"/>
      <c r="G2198" s="1541" t="s">
        <v>7182</v>
      </c>
      <c r="H2198" s="1524"/>
      <c r="J2198" s="1637"/>
      <c r="K2198" s="1637"/>
    </row>
    <row r="2199" spans="1:11" x14ac:dyDescent="0.25">
      <c r="A2199" s="1528"/>
      <c r="B2199" s="1346"/>
      <c r="C2199" s="1534"/>
      <c r="D2199" s="211"/>
      <c r="E2199" s="1535" t="s">
        <v>7182</v>
      </c>
      <c r="F2199" s="1551"/>
      <c r="G2199" s="1541" t="s">
        <v>7182</v>
      </c>
      <c r="H2199" s="1524"/>
      <c r="J2199" s="1637"/>
      <c r="K2199" s="1637"/>
    </row>
    <row r="2200" spans="1:11" ht="15.75" thickBot="1" x14ac:dyDescent="0.3">
      <c r="A2200" s="1528"/>
      <c r="B2200" s="1540"/>
      <c r="C2200" s="1537"/>
      <c r="D2200" s="952"/>
      <c r="E2200" s="1538" t="s">
        <v>7182</v>
      </c>
      <c r="F2200" s="1537"/>
      <c r="G2200" s="1541" t="s">
        <v>7182</v>
      </c>
      <c r="H2200" s="1524"/>
      <c r="J2200" s="1637"/>
      <c r="K2200" s="1637"/>
    </row>
    <row r="2201" spans="1:11" ht="15.75" thickBot="1" x14ac:dyDescent="0.3">
      <c r="A2201" s="1528"/>
      <c r="B2201" s="1555"/>
      <c r="C2201" s="1557"/>
      <c r="D2201" s="956"/>
      <c r="E2201" s="1556" t="s">
        <v>7182</v>
      </c>
      <c r="F2201" s="1557"/>
      <c r="G2201" s="1558" t="s">
        <v>7182</v>
      </c>
      <c r="H2201" s="1546">
        <f>SUM(G2186:G2201)</f>
        <v>47156.666666666664</v>
      </c>
      <c r="J2201" s="1637"/>
      <c r="K2201" s="1637"/>
    </row>
    <row r="2202" spans="1:11" x14ac:dyDescent="0.25">
      <c r="A2202" s="1528"/>
      <c r="B2202" s="1372"/>
      <c r="C2202" s="1374"/>
      <c r="D2202" s="1373"/>
      <c r="E2202" s="1372" t="s">
        <v>7182</v>
      </c>
      <c r="F2202" s="1374"/>
      <c r="G2202" s="1375" t="s">
        <v>7182</v>
      </c>
      <c r="H2202" s="1550"/>
      <c r="J2202" s="1637"/>
      <c r="K2202" s="1637"/>
    </row>
    <row r="2203" spans="1:11" ht="15.75" thickBot="1" x14ac:dyDescent="0.3">
      <c r="A2203" s="1527"/>
      <c r="B2203" s="188"/>
      <c r="C2203" s="189"/>
      <c r="D2203" s="1668"/>
      <c r="E2203" s="188"/>
      <c r="F2203" s="189"/>
      <c r="G2203" s="1669"/>
      <c r="H2203" s="1550"/>
      <c r="J2203" s="1637"/>
      <c r="K2203" s="1637"/>
    </row>
    <row r="2204" spans="1:11" ht="15.75" thickBot="1" x14ac:dyDescent="0.3">
      <c r="A2204" s="1527"/>
      <c r="B2204" s="1366" t="s">
        <v>9418</v>
      </c>
      <c r="C2204" s="1363" t="s">
        <v>867</v>
      </c>
      <c r="D2204" s="1120" t="s">
        <v>6</v>
      </c>
      <c r="E2204" s="1363" t="s">
        <v>7183</v>
      </c>
      <c r="F2204" s="1363" t="s">
        <v>5405</v>
      </c>
      <c r="G2204" s="1365" t="s">
        <v>7179</v>
      </c>
      <c r="H2204" s="1524"/>
      <c r="J2204" s="1637"/>
      <c r="K2204" s="1637"/>
    </row>
    <row r="2205" spans="1:11" x14ac:dyDescent="0.25">
      <c r="A2205" s="1527"/>
      <c r="B2205" s="1564" t="s">
        <v>5455</v>
      </c>
      <c r="C2205" s="1534" t="s">
        <v>5</v>
      </c>
      <c r="D2205" s="211">
        <v>1</v>
      </c>
      <c r="E2205" s="1535">
        <v>5000</v>
      </c>
      <c r="F2205" s="1534">
        <v>1</v>
      </c>
      <c r="G2205" s="1572">
        <f>+F2205*E2205</f>
        <v>5000</v>
      </c>
      <c r="H2205" s="1524"/>
      <c r="J2205" s="1637"/>
      <c r="K2205" s="1637"/>
    </row>
    <row r="2206" spans="1:11" x14ac:dyDescent="0.25">
      <c r="A2206" s="1527"/>
      <c r="B2206" s="1540"/>
      <c r="C2206" s="1537"/>
      <c r="D2206" s="212"/>
      <c r="E2206" s="1535" t="s">
        <v>7182</v>
      </c>
      <c r="F2206" s="1537"/>
      <c r="G2206" s="1572" t="s">
        <v>7182</v>
      </c>
      <c r="H2206" s="1524"/>
      <c r="J2206" s="1637"/>
      <c r="K2206" s="1637"/>
    </row>
    <row r="2207" spans="1:11" x14ac:dyDescent="0.25">
      <c r="A2207" s="1527"/>
      <c r="B2207" s="1540"/>
      <c r="C2207" s="1537"/>
      <c r="D2207" s="212"/>
      <c r="E2207" s="1535" t="s">
        <v>7182</v>
      </c>
      <c r="F2207" s="1537"/>
      <c r="G2207" s="1572" t="s">
        <v>7182</v>
      </c>
      <c r="H2207" s="1524"/>
      <c r="J2207" s="1637"/>
      <c r="K2207" s="1637"/>
    </row>
    <row r="2208" spans="1:11" ht="15.75" thickBot="1" x14ac:dyDescent="0.3">
      <c r="A2208" s="1527"/>
      <c r="B2208" s="1540"/>
      <c r="C2208" s="1537"/>
      <c r="D2208" s="212"/>
      <c r="E2208" s="1535" t="s">
        <v>7182</v>
      </c>
      <c r="F2208" s="1537"/>
      <c r="G2208" s="1572" t="s">
        <v>7182</v>
      </c>
      <c r="H2208" s="1524"/>
      <c r="J2208" s="1637"/>
      <c r="K2208" s="1637"/>
    </row>
    <row r="2209" spans="1:11" ht="15.75" thickBot="1" x14ac:dyDescent="0.3">
      <c r="A2209" s="1527"/>
      <c r="B2209" s="1555"/>
      <c r="C2209" s="1556"/>
      <c r="D2209" s="956"/>
      <c r="E2209" s="1556" t="s">
        <v>7182</v>
      </c>
      <c r="F2209" s="1557"/>
      <c r="G2209" s="1558" t="s">
        <v>7182</v>
      </c>
      <c r="H2209" s="1546">
        <f>SUM(G2205:G2209)</f>
        <v>5000</v>
      </c>
      <c r="J2209" s="1637"/>
      <c r="K2209" s="1637"/>
    </row>
    <row r="2210" spans="1:11" ht="15.75" thickBot="1" x14ac:dyDescent="0.3">
      <c r="A2210" s="1527"/>
      <c r="B2210" s="1376"/>
      <c r="C2210" s="1353"/>
      <c r="D2210" s="1355"/>
      <c r="E2210" s="1352"/>
      <c r="F2210" s="1377"/>
      <c r="G2210" s="1378"/>
      <c r="H2210" s="1524"/>
      <c r="J2210" s="1637"/>
      <c r="K2210" s="1637"/>
    </row>
    <row r="2211" spans="1:11" ht="15.75" thickBot="1" x14ac:dyDescent="0.3">
      <c r="A2211" s="1527"/>
      <c r="B2211" s="1366" t="s">
        <v>5410</v>
      </c>
      <c r="C2211" s="1363" t="s">
        <v>867</v>
      </c>
      <c r="D2211" s="1120" t="s">
        <v>6</v>
      </c>
      <c r="E2211" s="1363" t="s">
        <v>7183</v>
      </c>
      <c r="F2211" s="1363" t="s">
        <v>5405</v>
      </c>
      <c r="G2211" s="1365" t="s">
        <v>7179</v>
      </c>
      <c r="H2211" s="1524"/>
      <c r="J2211" s="1637"/>
      <c r="K2211" s="1637"/>
    </row>
    <row r="2212" spans="1:11" ht="25.5" x14ac:dyDescent="0.25">
      <c r="A2212" s="1527"/>
      <c r="B2212" s="1564" t="s">
        <v>9421</v>
      </c>
      <c r="C2212" s="1534" t="s">
        <v>9023</v>
      </c>
      <c r="D2212" s="211">
        <v>1</v>
      </c>
      <c r="E2212" s="1535">
        <v>8000</v>
      </c>
      <c r="F2212" s="1534">
        <v>1</v>
      </c>
      <c r="G2212" s="1572">
        <f>+F2212*E2212</f>
        <v>8000</v>
      </c>
      <c r="H2212" s="1524"/>
      <c r="J2212" s="1637"/>
      <c r="K2212" s="1637"/>
    </row>
    <row r="2213" spans="1:11" x14ac:dyDescent="0.25">
      <c r="A2213" s="1527"/>
      <c r="B2213" s="1540"/>
      <c r="C2213" s="1537"/>
      <c r="D2213" s="212"/>
      <c r="E2213" s="1535" t="s">
        <v>7182</v>
      </c>
      <c r="F2213" s="1537"/>
      <c r="G2213" s="1572" t="s">
        <v>7182</v>
      </c>
      <c r="H2213" s="1524"/>
      <c r="J2213" s="1637"/>
      <c r="K2213" s="1637"/>
    </row>
    <row r="2214" spans="1:11" x14ac:dyDescent="0.25">
      <c r="A2214" s="1527"/>
      <c r="B2214" s="1540"/>
      <c r="C2214" s="1537"/>
      <c r="D2214" s="212"/>
      <c r="E2214" s="1535" t="s">
        <v>7182</v>
      </c>
      <c r="F2214" s="1537"/>
      <c r="G2214" s="1572" t="s">
        <v>7182</v>
      </c>
      <c r="H2214" s="1524"/>
      <c r="J2214" s="1637"/>
      <c r="K2214" s="1637"/>
    </row>
    <row r="2215" spans="1:11" ht="15.75" thickBot="1" x14ac:dyDescent="0.3">
      <c r="A2215" s="1527"/>
      <c r="B2215" s="1540"/>
      <c r="C2215" s="1537"/>
      <c r="D2215" s="212"/>
      <c r="E2215" s="1535" t="s">
        <v>7182</v>
      </c>
      <c r="F2215" s="1537"/>
      <c r="G2215" s="1572" t="s">
        <v>7182</v>
      </c>
      <c r="H2215" s="1524"/>
      <c r="J2215" s="1637"/>
      <c r="K2215" s="1637"/>
    </row>
    <row r="2216" spans="1:11" ht="15.75" thickBot="1" x14ac:dyDescent="0.3">
      <c r="A2216" s="1527"/>
      <c r="B2216" s="1555"/>
      <c r="C2216" s="1556"/>
      <c r="D2216" s="956"/>
      <c r="E2216" s="1556" t="s">
        <v>7182</v>
      </c>
      <c r="F2216" s="1557"/>
      <c r="G2216" s="1558" t="s">
        <v>7182</v>
      </c>
      <c r="H2216" s="1546">
        <f>SUM(G2212:G2216)</f>
        <v>8000</v>
      </c>
      <c r="J2216" s="1637"/>
      <c r="K2216" s="1637"/>
    </row>
    <row r="2217" spans="1:11" ht="15.75" thickBot="1" x14ac:dyDescent="0.3">
      <c r="A2217" s="1527"/>
      <c r="B2217" s="1547"/>
      <c r="C2217" s="1547"/>
      <c r="D2217" s="954"/>
      <c r="E2217" s="1547"/>
      <c r="F2217" s="1553"/>
      <c r="G2217" s="1554"/>
      <c r="H2217" s="1550"/>
      <c r="J2217" s="1637"/>
      <c r="K2217" s="1637"/>
    </row>
    <row r="2218" spans="1:11" ht="15.75" thickBot="1" x14ac:dyDescent="0.3">
      <c r="A2218" s="1559"/>
      <c r="B2218" s="1369" t="s">
        <v>5412</v>
      </c>
      <c r="C2218" s="1363" t="s">
        <v>5420</v>
      </c>
      <c r="D2218" s="1120" t="s">
        <v>5421</v>
      </c>
      <c r="E2218" s="1363" t="s">
        <v>7187</v>
      </c>
      <c r="F2218" s="1363" t="s">
        <v>5405</v>
      </c>
      <c r="G2218" s="1370" t="s">
        <v>7179</v>
      </c>
      <c r="H2218" s="1371"/>
      <c r="J2218" s="1637"/>
      <c r="K2218" s="1637"/>
    </row>
    <row r="2219" spans="1:11" x14ac:dyDescent="0.25">
      <c r="A2219" s="1527"/>
      <c r="B2219" s="1560" t="s">
        <v>9422</v>
      </c>
      <c r="C2219" s="1569">
        <v>170000</v>
      </c>
      <c r="D2219" s="352">
        <f>0.6*C2219</f>
        <v>102000</v>
      </c>
      <c r="E2219" s="1569">
        <f>+D2219+C2219</f>
        <v>272000</v>
      </c>
      <c r="F2219" s="819">
        <v>0.2</v>
      </c>
      <c r="G2219" s="818">
        <f>+F2219*E2219</f>
        <v>54400</v>
      </c>
      <c r="H2219" s="1524"/>
      <c r="J2219" s="1637"/>
      <c r="K2219" s="1637"/>
    </row>
    <row r="2220" spans="1:11" x14ac:dyDescent="0.25">
      <c r="A2220" s="1527"/>
      <c r="B2220" s="1560"/>
      <c r="C2220" s="1569"/>
      <c r="D2220" s="1569"/>
      <c r="E2220" s="1569"/>
      <c r="F2220" s="819"/>
      <c r="G2220" s="818"/>
      <c r="H2220" s="1524"/>
      <c r="J2220" s="1637"/>
      <c r="K2220" s="1637"/>
    </row>
    <row r="2221" spans="1:11" x14ac:dyDescent="0.25">
      <c r="A2221" s="1527"/>
      <c r="B2221" s="1561"/>
      <c r="C2221" s="1569"/>
      <c r="D2221" s="1569"/>
      <c r="E2221" s="1569"/>
      <c r="F2221" s="817"/>
      <c r="G2221" s="818"/>
      <c r="H2221" s="1524"/>
      <c r="J2221" s="1637"/>
      <c r="K2221" s="1637"/>
    </row>
    <row r="2222" spans="1:11" x14ac:dyDescent="0.25">
      <c r="A2222" s="1527"/>
      <c r="B2222" s="1540"/>
      <c r="C2222" s="1569"/>
      <c r="D2222" s="1569"/>
      <c r="E2222" s="1569"/>
      <c r="F2222" s="817"/>
      <c r="G2222" s="818"/>
      <c r="H2222" s="1524"/>
      <c r="J2222" s="1637"/>
      <c r="K2222" s="1637"/>
    </row>
    <row r="2223" spans="1:11" x14ac:dyDescent="0.25">
      <c r="A2223" s="1527"/>
      <c r="B2223" s="1540"/>
      <c r="C2223" s="1538" t="s">
        <v>7182</v>
      </c>
      <c r="D2223" s="952" t="s">
        <v>7182</v>
      </c>
      <c r="E2223" s="1538" t="s">
        <v>7182</v>
      </c>
      <c r="F2223" s="817"/>
      <c r="G2223" s="818" t="str">
        <f>IF(B2223="","",E2223/F2223)</f>
        <v/>
      </c>
      <c r="H2223" s="1524"/>
    </row>
    <row r="2224" spans="1:11" ht="15.75" thickBot="1" x14ac:dyDescent="0.3">
      <c r="A2224" s="1527"/>
      <c r="B2224" s="1540"/>
      <c r="C2224" s="1538" t="s">
        <v>7182</v>
      </c>
      <c r="D2224" s="952" t="s">
        <v>7182</v>
      </c>
      <c r="E2224" s="1538" t="s">
        <v>7182</v>
      </c>
      <c r="F2224" s="1537"/>
      <c r="G2224" s="818" t="str">
        <f>IF(B2224="","",E2224/F2224)</f>
        <v/>
      </c>
      <c r="H2224" s="1524"/>
    </row>
    <row r="2225" spans="1:11" ht="15.75" thickBot="1" x14ac:dyDescent="0.3">
      <c r="A2225" s="1527"/>
      <c r="B2225" s="1555"/>
      <c r="C2225" s="1556"/>
      <c r="D2225" s="956"/>
      <c r="E2225" s="1556"/>
      <c r="F2225" s="1557"/>
      <c r="G2225" s="1558"/>
      <c r="H2225" s="1546">
        <f>SUM(G2219:G2225)</f>
        <v>54400</v>
      </c>
    </row>
    <row r="2226" spans="1:11" ht="15.75" thickBot="1" x14ac:dyDescent="0.3">
      <c r="A2226" s="1527"/>
      <c r="B2226" s="1527"/>
      <c r="C2226" s="1527"/>
      <c r="D2226" s="529"/>
      <c r="F2226" s="1528"/>
      <c r="G2226" s="1524"/>
      <c r="H2226" s="1524"/>
    </row>
    <row r="2227" spans="1:11" ht="15.75" thickBot="1" x14ac:dyDescent="0.3">
      <c r="A2227" s="1647" t="s">
        <v>6744</v>
      </c>
      <c r="B2227" s="1352"/>
      <c r="C2227" s="1352"/>
      <c r="D2227" s="1671"/>
      <c r="E2227" s="1672"/>
      <c r="F2227" s="1353"/>
      <c r="G2227" s="1527" t="s">
        <v>5415</v>
      </c>
      <c r="H2227" s="502">
        <f>ROUND(SUM(H2185:H2226),0)</f>
        <v>114557</v>
      </c>
      <c r="J2227" s="1673">
        <f>+B2181</f>
        <v>10.49</v>
      </c>
      <c r="K2227" s="1674">
        <f>+H2227</f>
        <v>114557</v>
      </c>
    </row>
    <row r="2228" spans="1:11" x14ac:dyDescent="0.25">
      <c r="A2228" s="1675"/>
      <c r="B2228" s="1676"/>
      <c r="C2228" s="1676"/>
      <c r="D2228" s="1677"/>
      <c r="E2228" s="1678"/>
      <c r="F2228" s="1679"/>
      <c r="G2228" s="1680"/>
      <c r="H2228" s="1680"/>
    </row>
    <row r="2229" spans="1:11" ht="18.75" x14ac:dyDescent="0.25">
      <c r="A2229" s="1523"/>
      <c r="B2229" s="1655"/>
      <c r="C2229" s="1655"/>
      <c r="D2229" s="950"/>
      <c r="E2229" s="1655"/>
      <c r="F2229" s="1655"/>
      <c r="G2229" s="1655"/>
      <c r="H2229" s="8"/>
    </row>
    <row r="2230" spans="1:11" x14ac:dyDescent="0.25">
      <c r="A2230" s="1523"/>
      <c r="B2230" s="8"/>
      <c r="C2230" s="8"/>
      <c r="D2230" s="529"/>
      <c r="E2230" s="8"/>
      <c r="F2230" s="1523"/>
      <c r="G2230" s="1524"/>
      <c r="H2230" s="8"/>
    </row>
    <row r="2231" spans="1:11" x14ac:dyDescent="0.25">
      <c r="A2231" s="1665" t="s">
        <v>3</v>
      </c>
      <c r="B2231" s="1666">
        <f>+VLOOKUP(C2231,ListaAPUs!$B:$E,4,FALSE)</f>
        <v>10.5</v>
      </c>
      <c r="C2231" s="2441" t="str">
        <f>+ListaAPUs!B250</f>
        <v>Bandeja portacable tipo escalera galvanizada 20 cm para carcamo.</v>
      </c>
      <c r="D2231" s="2441"/>
      <c r="E2231" s="2441"/>
      <c r="F2231" s="1665" t="s">
        <v>867</v>
      </c>
      <c r="G2231" s="1390" t="str">
        <f>+VLOOKUP(C2231,ListaAPUs!$B:$E,2,FALSE)</f>
        <v>m</v>
      </c>
      <c r="H2231" s="1524"/>
    </row>
    <row r="2232" spans="1:11" x14ac:dyDescent="0.25">
      <c r="A2232" s="1528"/>
      <c r="B2232" s="1527"/>
      <c r="C2232" s="1527"/>
      <c r="D2232" s="529"/>
      <c r="E2232" s="1527"/>
      <c r="F2232" s="1528"/>
      <c r="G2232" s="1524"/>
      <c r="H2232" s="1524"/>
    </row>
    <row r="2233" spans="1:11" x14ac:dyDescent="0.25">
      <c r="A2233" s="1528"/>
      <c r="B2233" s="1527"/>
      <c r="C2233" s="1527"/>
      <c r="D2233" s="529"/>
      <c r="E2233" s="1527"/>
      <c r="F2233" s="1528"/>
      <c r="G2233" s="1529"/>
      <c r="H2233" s="1524"/>
    </row>
    <row r="2234" spans="1:11" ht="15.75" thickBot="1" x14ac:dyDescent="0.3">
      <c r="A2234" s="1528"/>
      <c r="B2234" s="1527"/>
      <c r="C2234" s="1527"/>
      <c r="D2234" s="529"/>
      <c r="E2234" s="1527"/>
      <c r="F2234" s="1528"/>
      <c r="G2234" s="1524"/>
      <c r="H2234" s="1524"/>
    </row>
    <row r="2235" spans="1:11" ht="15.75" thickBot="1" x14ac:dyDescent="0.3">
      <c r="A2235" s="1368"/>
      <c r="B2235" s="1369" t="s">
        <v>5403</v>
      </c>
      <c r="C2235" s="1363" t="s">
        <v>867</v>
      </c>
      <c r="D2235" s="1120" t="s">
        <v>6</v>
      </c>
      <c r="E2235" s="1363" t="s">
        <v>9417</v>
      </c>
      <c r="F2235" s="1363" t="s">
        <v>5405</v>
      </c>
      <c r="G2235" s="1370" t="s">
        <v>7179</v>
      </c>
      <c r="H2235" s="1371"/>
    </row>
    <row r="2236" spans="1:11" x14ac:dyDescent="0.25">
      <c r="A2236" s="1528"/>
      <c r="B2236" s="1746" t="s">
        <v>9509</v>
      </c>
      <c r="C2236" s="1802" t="s">
        <v>5432</v>
      </c>
      <c r="D2236" s="1831">
        <v>1</v>
      </c>
      <c r="E2236" s="1803">
        <f>110000/3</f>
        <v>36666.666666666664</v>
      </c>
      <c r="F2236" s="1804">
        <v>1</v>
      </c>
      <c r="G2236" s="1805">
        <f>+F2236*E2236*D2236</f>
        <v>36666.666666666664</v>
      </c>
      <c r="H2236" s="1524"/>
    </row>
    <row r="2237" spans="1:11" x14ac:dyDescent="0.25">
      <c r="A2237" s="1528"/>
      <c r="B2237" s="1822" t="s">
        <v>9506</v>
      </c>
      <c r="C2237" s="1749" t="s">
        <v>5</v>
      </c>
      <c r="D2237" s="1769">
        <v>0.2</v>
      </c>
      <c r="E2237" s="1825">
        <v>25000</v>
      </c>
      <c r="F2237" s="1769">
        <v>1</v>
      </c>
      <c r="G2237" s="1786">
        <f>+F2237*E2237*D2237</f>
        <v>5000</v>
      </c>
      <c r="H2237" s="1524"/>
    </row>
    <row r="2238" spans="1:11" x14ac:dyDescent="0.25">
      <c r="A2238" s="1528"/>
      <c r="B2238" s="1751" t="s">
        <v>9507</v>
      </c>
      <c r="C2238" s="1749" t="s">
        <v>5432</v>
      </c>
      <c r="D2238" s="1773">
        <v>0.2</v>
      </c>
      <c r="E2238" s="1825">
        <v>2450</v>
      </c>
      <c r="F2238" s="1769">
        <v>1</v>
      </c>
      <c r="G2238" s="1786">
        <f>+F2238*E2238*D2238</f>
        <v>490</v>
      </c>
      <c r="H2238" s="1524"/>
    </row>
    <row r="2239" spans="1:11" x14ac:dyDescent="0.25">
      <c r="A2239" s="1528"/>
      <c r="B2239" s="1667"/>
      <c r="C2239" s="1537"/>
      <c r="D2239" s="212"/>
      <c r="E2239" s="816"/>
      <c r="F2239" s="1563"/>
      <c r="G2239" s="814"/>
      <c r="H2239" s="1524"/>
      <c r="J2239" s="1637"/>
      <c r="K2239" s="1637"/>
    </row>
    <row r="2240" spans="1:11" x14ac:dyDescent="0.25">
      <c r="A2240" s="1528"/>
      <c r="B2240" s="1667"/>
      <c r="C2240" s="1537"/>
      <c r="D2240" s="212"/>
      <c r="E2240" s="816"/>
      <c r="F2240" s="1563"/>
      <c r="G2240" s="814"/>
      <c r="H2240" s="1524"/>
      <c r="J2240" s="1637"/>
      <c r="K2240" s="1637"/>
    </row>
    <row r="2241" spans="1:11" x14ac:dyDescent="0.25">
      <c r="A2241" s="1528"/>
      <c r="B2241" s="1667"/>
      <c r="C2241" s="1537"/>
      <c r="D2241" s="212"/>
      <c r="E2241" s="816"/>
      <c r="F2241" s="1563"/>
      <c r="G2241" s="814"/>
      <c r="H2241" s="1524"/>
      <c r="J2241" s="1637"/>
      <c r="K2241" s="1637"/>
    </row>
    <row r="2242" spans="1:11" x14ac:dyDescent="0.25">
      <c r="A2242" s="1528"/>
      <c r="B2242" s="1667"/>
      <c r="C2242" s="1537"/>
      <c r="D2242" s="212"/>
      <c r="E2242" s="816"/>
      <c r="F2242" s="1563"/>
      <c r="G2242" s="814"/>
      <c r="H2242" s="1524"/>
      <c r="J2242" s="1637"/>
      <c r="K2242" s="1637"/>
    </row>
    <row r="2243" spans="1:11" x14ac:dyDescent="0.25">
      <c r="A2243" s="1528"/>
      <c r="B2243" s="1667"/>
      <c r="C2243" s="1537"/>
      <c r="D2243" s="212"/>
      <c r="E2243" s="816"/>
      <c r="F2243" s="1563"/>
      <c r="G2243" s="814"/>
      <c r="H2243" s="1524"/>
      <c r="J2243" s="1637"/>
      <c r="K2243" s="1637"/>
    </row>
    <row r="2244" spans="1:11" x14ac:dyDescent="0.25">
      <c r="A2244" s="1528"/>
      <c r="B2244" s="1667"/>
      <c r="C2244" s="1537"/>
      <c r="D2244" s="212"/>
      <c r="E2244" s="816"/>
      <c r="F2244" s="1563"/>
      <c r="G2244" s="814"/>
      <c r="H2244" s="1524"/>
      <c r="J2244" s="1637"/>
      <c r="K2244" s="1637"/>
    </row>
    <row r="2245" spans="1:11" x14ac:dyDescent="0.25">
      <c r="A2245" s="1528"/>
      <c r="B2245" s="1667"/>
      <c r="C2245" s="1537"/>
      <c r="D2245" s="212"/>
      <c r="E2245" s="816"/>
      <c r="F2245" s="1563"/>
      <c r="G2245" s="814"/>
      <c r="H2245" s="1524"/>
      <c r="J2245" s="1637"/>
      <c r="K2245" s="1637"/>
    </row>
    <row r="2246" spans="1:11" x14ac:dyDescent="0.25">
      <c r="A2246" s="1528"/>
      <c r="B2246" s="1667"/>
      <c r="C2246" s="1537"/>
      <c r="D2246" s="212"/>
      <c r="E2246" s="816"/>
      <c r="F2246" s="1563"/>
      <c r="G2246" s="814"/>
      <c r="H2246" s="1524"/>
      <c r="J2246" s="1637"/>
      <c r="K2246" s="1637"/>
    </row>
    <row r="2247" spans="1:11" x14ac:dyDescent="0.25">
      <c r="A2247" s="1528"/>
      <c r="B2247" s="269"/>
      <c r="C2247" s="1537"/>
      <c r="D2247" s="212"/>
      <c r="E2247" s="816"/>
      <c r="F2247" s="1563"/>
      <c r="G2247" s="814"/>
      <c r="H2247" s="1524"/>
      <c r="J2247" s="1637"/>
      <c r="K2247" s="1637"/>
    </row>
    <row r="2248" spans="1:11" x14ac:dyDescent="0.25">
      <c r="A2248" s="1528"/>
      <c r="B2248" s="268"/>
      <c r="C2248" s="1534"/>
      <c r="D2248" s="211"/>
      <c r="E2248" s="1535" t="s">
        <v>7182</v>
      </c>
      <c r="F2248" s="1551"/>
      <c r="G2248" s="1541" t="s">
        <v>7182</v>
      </c>
      <c r="H2248" s="1524"/>
      <c r="J2248" s="1637"/>
      <c r="K2248" s="1637"/>
    </row>
    <row r="2249" spans="1:11" x14ac:dyDescent="0.25">
      <c r="A2249" s="1528"/>
      <c r="B2249" s="1346"/>
      <c r="C2249" s="1534"/>
      <c r="D2249" s="211"/>
      <c r="E2249" s="1535" t="s">
        <v>7182</v>
      </c>
      <c r="F2249" s="1551"/>
      <c r="G2249" s="1541" t="s">
        <v>7182</v>
      </c>
      <c r="H2249" s="1524"/>
      <c r="J2249" s="1637"/>
      <c r="K2249" s="1637"/>
    </row>
    <row r="2250" spans="1:11" ht="15.75" thickBot="1" x14ac:dyDescent="0.3">
      <c r="A2250" s="1528"/>
      <c r="B2250" s="1540"/>
      <c r="C2250" s="1537"/>
      <c r="D2250" s="952"/>
      <c r="E2250" s="1538" t="s">
        <v>7182</v>
      </c>
      <c r="F2250" s="1537"/>
      <c r="G2250" s="1541" t="s">
        <v>7182</v>
      </c>
      <c r="H2250" s="1524"/>
      <c r="J2250" s="1637"/>
      <c r="K2250" s="1637"/>
    </row>
    <row r="2251" spans="1:11" ht="15.75" thickBot="1" x14ac:dyDescent="0.3">
      <c r="A2251" s="1528"/>
      <c r="B2251" s="1555"/>
      <c r="C2251" s="1557"/>
      <c r="D2251" s="956"/>
      <c r="E2251" s="1556" t="s">
        <v>7182</v>
      </c>
      <c r="F2251" s="1557"/>
      <c r="G2251" s="1558" t="s">
        <v>7182</v>
      </c>
      <c r="H2251" s="1546">
        <f>SUM(G2236:G2251)</f>
        <v>42156.666666666664</v>
      </c>
      <c r="J2251" s="1637"/>
      <c r="K2251" s="1637"/>
    </row>
    <row r="2252" spans="1:11" x14ac:dyDescent="0.25">
      <c r="A2252" s="1528"/>
      <c r="B2252" s="1372"/>
      <c r="C2252" s="1374"/>
      <c r="D2252" s="1373"/>
      <c r="E2252" s="1372" t="s">
        <v>7182</v>
      </c>
      <c r="F2252" s="1374"/>
      <c r="G2252" s="1375" t="s">
        <v>7182</v>
      </c>
      <c r="H2252" s="1550"/>
      <c r="J2252" s="1637"/>
      <c r="K2252" s="1637"/>
    </row>
    <row r="2253" spans="1:11" ht="15.75" thickBot="1" x14ac:dyDescent="0.3">
      <c r="A2253" s="1527"/>
      <c r="B2253" s="188"/>
      <c r="C2253" s="189"/>
      <c r="D2253" s="1668"/>
      <c r="E2253" s="188"/>
      <c r="F2253" s="189"/>
      <c r="G2253" s="1669"/>
      <c r="H2253" s="1550"/>
      <c r="J2253" s="1637"/>
      <c r="K2253" s="1637"/>
    </row>
    <row r="2254" spans="1:11" ht="15.75" thickBot="1" x14ac:dyDescent="0.3">
      <c r="A2254" s="1527"/>
      <c r="B2254" s="1366" t="s">
        <v>9418</v>
      </c>
      <c r="C2254" s="1363" t="s">
        <v>867</v>
      </c>
      <c r="D2254" s="1120" t="s">
        <v>6</v>
      </c>
      <c r="E2254" s="1363" t="s">
        <v>7183</v>
      </c>
      <c r="F2254" s="1363" t="s">
        <v>5405</v>
      </c>
      <c r="G2254" s="1365" t="s">
        <v>7179</v>
      </c>
      <c r="H2254" s="1524"/>
      <c r="J2254" s="1637"/>
      <c r="K2254" s="1637"/>
    </row>
    <row r="2255" spans="1:11" x14ac:dyDescent="0.25">
      <c r="A2255" s="1527"/>
      <c r="B2255" s="1564" t="s">
        <v>5455</v>
      </c>
      <c r="C2255" s="1534" t="s">
        <v>5</v>
      </c>
      <c r="D2255" s="211">
        <v>1</v>
      </c>
      <c r="E2255" s="1535">
        <v>5000</v>
      </c>
      <c r="F2255" s="1534">
        <v>1</v>
      </c>
      <c r="G2255" s="1572">
        <f>+F2255*E2255</f>
        <v>5000</v>
      </c>
      <c r="H2255" s="1524"/>
      <c r="J2255" s="1637"/>
      <c r="K2255" s="1637"/>
    </row>
    <row r="2256" spans="1:11" x14ac:dyDescent="0.25">
      <c r="A2256" s="1527"/>
      <c r="B2256" s="1540"/>
      <c r="C2256" s="1537"/>
      <c r="D2256" s="212"/>
      <c r="E2256" s="1535" t="s">
        <v>7182</v>
      </c>
      <c r="F2256" s="1537"/>
      <c r="G2256" s="1572" t="s">
        <v>7182</v>
      </c>
      <c r="H2256" s="1524"/>
      <c r="J2256" s="1637"/>
      <c r="K2256" s="1637"/>
    </row>
    <row r="2257" spans="1:11" x14ac:dyDescent="0.25">
      <c r="A2257" s="1527"/>
      <c r="B2257" s="1540"/>
      <c r="C2257" s="1537"/>
      <c r="D2257" s="212"/>
      <c r="E2257" s="1535" t="s">
        <v>7182</v>
      </c>
      <c r="F2257" s="1537"/>
      <c r="G2257" s="1572" t="s">
        <v>7182</v>
      </c>
      <c r="H2257" s="1524"/>
      <c r="J2257" s="1637"/>
      <c r="K2257" s="1637"/>
    </row>
    <row r="2258" spans="1:11" ht="15.75" thickBot="1" x14ac:dyDescent="0.3">
      <c r="A2258" s="1527"/>
      <c r="B2258" s="1540"/>
      <c r="C2258" s="1537"/>
      <c r="D2258" s="212"/>
      <c r="E2258" s="1535" t="s">
        <v>7182</v>
      </c>
      <c r="F2258" s="1537"/>
      <c r="G2258" s="1572" t="s">
        <v>7182</v>
      </c>
      <c r="H2258" s="1524"/>
      <c r="J2258" s="1637"/>
      <c r="K2258" s="1637"/>
    </row>
    <row r="2259" spans="1:11" ht="15.75" thickBot="1" x14ac:dyDescent="0.3">
      <c r="A2259" s="1527"/>
      <c r="B2259" s="1555"/>
      <c r="C2259" s="1556"/>
      <c r="D2259" s="956"/>
      <c r="E2259" s="1556" t="s">
        <v>7182</v>
      </c>
      <c r="F2259" s="1557"/>
      <c r="G2259" s="1558" t="s">
        <v>7182</v>
      </c>
      <c r="H2259" s="1546">
        <f>SUM(G2255:G2259)</f>
        <v>5000</v>
      </c>
      <c r="J2259" s="1637"/>
      <c r="K2259" s="1637"/>
    </row>
    <row r="2260" spans="1:11" ht="15.75" thickBot="1" x14ac:dyDescent="0.3">
      <c r="A2260" s="1527"/>
      <c r="B2260" s="1376"/>
      <c r="C2260" s="1353"/>
      <c r="D2260" s="1355"/>
      <c r="E2260" s="1352"/>
      <c r="F2260" s="1377"/>
      <c r="G2260" s="1378"/>
      <c r="H2260" s="1524"/>
      <c r="J2260" s="1637"/>
      <c r="K2260" s="1637"/>
    </row>
    <row r="2261" spans="1:11" ht="15.75" thickBot="1" x14ac:dyDescent="0.3">
      <c r="A2261" s="1527"/>
      <c r="B2261" s="1366" t="s">
        <v>5410</v>
      </c>
      <c r="C2261" s="1363" t="s">
        <v>867</v>
      </c>
      <c r="D2261" s="1120" t="s">
        <v>6</v>
      </c>
      <c r="E2261" s="1363" t="s">
        <v>7183</v>
      </c>
      <c r="F2261" s="1363" t="s">
        <v>5405</v>
      </c>
      <c r="G2261" s="1365" t="s">
        <v>7179</v>
      </c>
      <c r="H2261" s="1524"/>
      <c r="J2261" s="1637"/>
      <c r="K2261" s="1637"/>
    </row>
    <row r="2262" spans="1:11" ht="25.5" x14ac:dyDescent="0.25">
      <c r="A2262" s="1527"/>
      <c r="B2262" s="1564" t="s">
        <v>9421</v>
      </c>
      <c r="C2262" s="1534" t="s">
        <v>9023</v>
      </c>
      <c r="D2262" s="211">
        <v>1</v>
      </c>
      <c r="E2262" s="1535">
        <v>8000</v>
      </c>
      <c r="F2262" s="1534">
        <v>1</v>
      </c>
      <c r="G2262" s="1572">
        <f>+F2262*E2262</f>
        <v>8000</v>
      </c>
      <c r="H2262" s="1524"/>
      <c r="J2262" s="1637"/>
      <c r="K2262" s="1637"/>
    </row>
    <row r="2263" spans="1:11" x14ac:dyDescent="0.25">
      <c r="A2263" s="1527"/>
      <c r="B2263" s="1540"/>
      <c r="C2263" s="1537"/>
      <c r="D2263" s="212"/>
      <c r="E2263" s="1535" t="s">
        <v>7182</v>
      </c>
      <c r="F2263" s="1537"/>
      <c r="G2263" s="1572" t="s">
        <v>7182</v>
      </c>
      <c r="H2263" s="1524"/>
      <c r="J2263" s="1637"/>
      <c r="K2263" s="1637"/>
    </row>
    <row r="2264" spans="1:11" x14ac:dyDescent="0.25">
      <c r="A2264" s="1527"/>
      <c r="B2264" s="1540"/>
      <c r="C2264" s="1537"/>
      <c r="D2264" s="212"/>
      <c r="E2264" s="1535" t="s">
        <v>7182</v>
      </c>
      <c r="F2264" s="1537"/>
      <c r="G2264" s="1572" t="s">
        <v>7182</v>
      </c>
      <c r="H2264" s="1524"/>
      <c r="J2264" s="1637"/>
      <c r="K2264" s="1637"/>
    </row>
    <row r="2265" spans="1:11" ht="15.75" thickBot="1" x14ac:dyDescent="0.3">
      <c r="A2265" s="1527"/>
      <c r="B2265" s="1540"/>
      <c r="C2265" s="1537"/>
      <c r="D2265" s="212"/>
      <c r="E2265" s="1535" t="s">
        <v>7182</v>
      </c>
      <c r="F2265" s="1537"/>
      <c r="G2265" s="1572" t="s">
        <v>7182</v>
      </c>
      <c r="H2265" s="1524"/>
      <c r="J2265" s="1637"/>
      <c r="K2265" s="1637"/>
    </row>
    <row r="2266" spans="1:11" ht="15.75" thickBot="1" x14ac:dyDescent="0.3">
      <c r="A2266" s="1527"/>
      <c r="B2266" s="1555"/>
      <c r="C2266" s="1556"/>
      <c r="D2266" s="956"/>
      <c r="E2266" s="1556" t="s">
        <v>7182</v>
      </c>
      <c r="F2266" s="1557"/>
      <c r="G2266" s="1558" t="s">
        <v>7182</v>
      </c>
      <c r="H2266" s="1546">
        <f>SUM(G2262:G2266)</f>
        <v>8000</v>
      </c>
      <c r="J2266" s="1637"/>
      <c r="K2266" s="1637"/>
    </row>
    <row r="2267" spans="1:11" ht="15.75" thickBot="1" x14ac:dyDescent="0.3">
      <c r="A2267" s="1527"/>
      <c r="B2267" s="1547"/>
      <c r="C2267" s="1547"/>
      <c r="D2267" s="954"/>
      <c r="E2267" s="1547"/>
      <c r="F2267" s="1553"/>
      <c r="G2267" s="1554"/>
      <c r="H2267" s="1550"/>
      <c r="J2267" s="1637"/>
      <c r="K2267" s="1637"/>
    </row>
    <row r="2268" spans="1:11" ht="15.75" thickBot="1" x14ac:dyDescent="0.3">
      <c r="A2268" s="1559"/>
      <c r="B2268" s="1369" t="s">
        <v>5412</v>
      </c>
      <c r="C2268" s="1363" t="s">
        <v>5420</v>
      </c>
      <c r="D2268" s="1120" t="s">
        <v>5421</v>
      </c>
      <c r="E2268" s="1363" t="s">
        <v>7187</v>
      </c>
      <c r="F2268" s="1363" t="s">
        <v>5405</v>
      </c>
      <c r="G2268" s="1370" t="s">
        <v>7179</v>
      </c>
      <c r="H2268" s="1371"/>
      <c r="J2268" s="1637"/>
      <c r="K2268" s="1637"/>
    </row>
    <row r="2269" spans="1:11" x14ac:dyDescent="0.25">
      <c r="A2269" s="1527"/>
      <c r="B2269" s="1560" t="s">
        <v>9422</v>
      </c>
      <c r="C2269" s="1569">
        <v>170000</v>
      </c>
      <c r="D2269" s="352">
        <f>0.6*C2269</f>
        <v>102000</v>
      </c>
      <c r="E2269" s="1569">
        <f>+D2269+C2269</f>
        <v>272000</v>
      </c>
      <c r="F2269" s="819">
        <v>0.18</v>
      </c>
      <c r="G2269" s="818">
        <f>+F2269*E2269</f>
        <v>48960</v>
      </c>
      <c r="H2269" s="1524"/>
      <c r="J2269" s="1637"/>
      <c r="K2269" s="1637"/>
    </row>
    <row r="2270" spans="1:11" x14ac:dyDescent="0.25">
      <c r="A2270" s="1527"/>
      <c r="B2270" s="1560"/>
      <c r="C2270" s="1569"/>
      <c r="D2270" s="1569"/>
      <c r="E2270" s="1569"/>
      <c r="F2270" s="819"/>
      <c r="G2270" s="818"/>
      <c r="H2270" s="1524"/>
      <c r="J2270" s="1637"/>
      <c r="K2270" s="1637"/>
    </row>
    <row r="2271" spans="1:11" x14ac:dyDescent="0.25">
      <c r="A2271" s="1527"/>
      <c r="B2271" s="1561"/>
      <c r="C2271" s="1569"/>
      <c r="D2271" s="1569"/>
      <c r="E2271" s="1569"/>
      <c r="F2271" s="817"/>
      <c r="G2271" s="818"/>
      <c r="H2271" s="1524"/>
    </row>
    <row r="2272" spans="1:11" x14ac:dyDescent="0.25">
      <c r="A2272" s="1527"/>
      <c r="B2272" s="1540"/>
      <c r="C2272" s="1569"/>
      <c r="D2272" s="1569"/>
      <c r="E2272" s="1569"/>
      <c r="F2272" s="817"/>
      <c r="G2272" s="818"/>
      <c r="H2272" s="1524"/>
    </row>
    <row r="2273" spans="1:11" x14ac:dyDescent="0.25">
      <c r="A2273" s="1527"/>
      <c r="B2273" s="1540"/>
      <c r="C2273" s="1538" t="s">
        <v>7182</v>
      </c>
      <c r="D2273" s="952" t="s">
        <v>7182</v>
      </c>
      <c r="E2273" s="1538" t="s">
        <v>7182</v>
      </c>
      <c r="F2273" s="817"/>
      <c r="G2273" s="818" t="str">
        <f>IF(B2273="","",E2273/F2273)</f>
        <v/>
      </c>
      <c r="H2273" s="1524"/>
    </row>
    <row r="2274" spans="1:11" ht="15.75" thickBot="1" x14ac:dyDescent="0.3">
      <c r="A2274" s="1527"/>
      <c r="B2274" s="1540"/>
      <c r="C2274" s="1538" t="s">
        <v>7182</v>
      </c>
      <c r="D2274" s="952" t="s">
        <v>7182</v>
      </c>
      <c r="E2274" s="1538" t="s">
        <v>7182</v>
      </c>
      <c r="F2274" s="1537"/>
      <c r="G2274" s="818" t="str">
        <f>IF(B2274="","",E2274/F2274)</f>
        <v/>
      </c>
      <c r="H2274" s="1524"/>
    </row>
    <row r="2275" spans="1:11" ht="15.75" thickBot="1" x14ac:dyDescent="0.3">
      <c r="A2275" s="1527"/>
      <c r="B2275" s="1555"/>
      <c r="C2275" s="1556"/>
      <c r="D2275" s="956"/>
      <c r="E2275" s="1556"/>
      <c r="F2275" s="1557"/>
      <c r="G2275" s="1558"/>
      <c r="H2275" s="1546">
        <f>SUM(G2269:G2275)</f>
        <v>48960</v>
      </c>
    </row>
    <row r="2276" spans="1:11" ht="15.75" thickBot="1" x14ac:dyDescent="0.3">
      <c r="A2276" s="1527"/>
      <c r="B2276" s="1527"/>
      <c r="C2276" s="1527"/>
      <c r="D2276" s="529"/>
      <c r="F2276" s="1528"/>
      <c r="G2276" s="1524"/>
      <c r="H2276" s="1524"/>
    </row>
    <row r="2277" spans="1:11" ht="15.75" thickBot="1" x14ac:dyDescent="0.3">
      <c r="A2277" s="1647" t="s">
        <v>6744</v>
      </c>
      <c r="B2277" s="1352"/>
      <c r="C2277" s="1352"/>
      <c r="D2277" s="1671"/>
      <c r="E2277" s="1672"/>
      <c r="F2277" s="1353"/>
      <c r="G2277" s="1527" t="s">
        <v>5415</v>
      </c>
      <c r="H2277" s="502">
        <f>ROUND(SUM(H2235:H2276),0)</f>
        <v>104117</v>
      </c>
      <c r="J2277" s="1673">
        <f>+B2231</f>
        <v>10.5</v>
      </c>
      <c r="K2277" s="1674">
        <f>+H2277</f>
        <v>104117</v>
      </c>
    </row>
    <row r="2278" spans="1:11" x14ac:dyDescent="0.25">
      <c r="A2278" s="1675"/>
      <c r="B2278" s="1676"/>
      <c r="C2278" s="1676"/>
      <c r="D2278" s="1677"/>
      <c r="E2278" s="1678"/>
      <c r="F2278" s="1679"/>
      <c r="G2278" s="1680"/>
      <c r="H2278" s="1680"/>
    </row>
    <row r="2279" spans="1:11" ht="18.75" x14ac:dyDescent="0.25">
      <c r="A2279" s="1523"/>
      <c r="B2279" s="1655"/>
      <c r="C2279" s="1655"/>
      <c r="D2279" s="950"/>
      <c r="E2279" s="1655"/>
      <c r="F2279" s="1655"/>
      <c r="G2279" s="1655"/>
      <c r="H2279" s="8"/>
    </row>
    <row r="2280" spans="1:11" x14ac:dyDescent="0.25">
      <c r="A2280" s="1523"/>
      <c r="B2280" s="8"/>
      <c r="C2280" s="8"/>
      <c r="D2280" s="529"/>
      <c r="E2280" s="8"/>
      <c r="F2280" s="1523"/>
      <c r="G2280" s="1524"/>
      <c r="H2280" s="8"/>
    </row>
    <row r="2281" spans="1:11" x14ac:dyDescent="0.25">
      <c r="A2281" s="1665" t="s">
        <v>3</v>
      </c>
      <c r="B2281" s="1666">
        <f>+VLOOKUP(C2281,ListaAPUs!$B:$E,4,FALSE)</f>
        <v>10.51</v>
      </c>
      <c r="C2281" s="2441" t="str">
        <f>+ListaAPUs!B251</f>
        <v>Bandeja portacable tipo escalera galvanizada 60 cm con division para carcamo.</v>
      </c>
      <c r="D2281" s="2441"/>
      <c r="E2281" s="2441"/>
      <c r="F2281" s="1665" t="s">
        <v>867</v>
      </c>
      <c r="G2281" s="1390" t="str">
        <f>+VLOOKUP(C2281,ListaAPUs!$B:$E,2,FALSE)</f>
        <v>m</v>
      </c>
      <c r="H2281" s="1524"/>
    </row>
    <row r="2282" spans="1:11" x14ac:dyDescent="0.25">
      <c r="A2282" s="1528"/>
      <c r="B2282" s="1527"/>
      <c r="C2282" s="1527"/>
      <c r="D2282" s="529"/>
      <c r="E2282" s="1527"/>
      <c r="F2282" s="1528"/>
      <c r="G2282" s="1524"/>
      <c r="H2282" s="1524"/>
    </row>
    <row r="2283" spans="1:11" x14ac:dyDescent="0.25">
      <c r="A2283" s="1528"/>
      <c r="B2283" s="1527"/>
      <c r="C2283" s="1527"/>
      <c r="D2283" s="529"/>
      <c r="E2283" s="1527"/>
      <c r="F2283" s="1528"/>
      <c r="G2283" s="1529"/>
      <c r="H2283" s="1524"/>
    </row>
    <row r="2284" spans="1:11" ht="15.75" thickBot="1" x14ac:dyDescent="0.3">
      <c r="A2284" s="1528"/>
      <c r="B2284" s="1527"/>
      <c r="C2284" s="1527"/>
      <c r="D2284" s="529"/>
      <c r="E2284" s="1527"/>
      <c r="F2284" s="1528"/>
      <c r="G2284" s="1524"/>
      <c r="H2284" s="1524"/>
    </row>
    <row r="2285" spans="1:11" ht="15.75" thickBot="1" x14ac:dyDescent="0.3">
      <c r="A2285" s="1368"/>
      <c r="B2285" s="1369" t="s">
        <v>5403</v>
      </c>
      <c r="C2285" s="1363" t="s">
        <v>867</v>
      </c>
      <c r="D2285" s="1120" t="s">
        <v>6</v>
      </c>
      <c r="E2285" s="1363" t="s">
        <v>9417</v>
      </c>
      <c r="F2285" s="1363" t="s">
        <v>5405</v>
      </c>
      <c r="G2285" s="1370" t="s">
        <v>7179</v>
      </c>
      <c r="H2285" s="1371"/>
    </row>
    <row r="2286" spans="1:11" x14ac:dyDescent="0.25">
      <c r="A2286" s="1528"/>
      <c r="B2286" s="1746" t="s">
        <v>9510</v>
      </c>
      <c r="C2286" s="1802" t="s">
        <v>5432</v>
      </c>
      <c r="D2286" s="1831">
        <v>1</v>
      </c>
      <c r="E2286" s="1803">
        <f>170000/3</f>
        <v>56666.666666666664</v>
      </c>
      <c r="F2286" s="1804">
        <v>1</v>
      </c>
      <c r="G2286" s="1805">
        <f>+F2286*E2286*D2286</f>
        <v>56666.666666666664</v>
      </c>
      <c r="H2286" s="1524"/>
    </row>
    <row r="2287" spans="1:11" x14ac:dyDescent="0.25">
      <c r="A2287" s="1528"/>
      <c r="B2287" s="1822" t="s">
        <v>9506</v>
      </c>
      <c r="C2287" s="1749" t="s">
        <v>5</v>
      </c>
      <c r="D2287" s="1769">
        <v>0.2</v>
      </c>
      <c r="E2287" s="1825">
        <v>25000</v>
      </c>
      <c r="F2287" s="1769">
        <v>1</v>
      </c>
      <c r="G2287" s="1786">
        <f>+F2287*E2287*D2287</f>
        <v>5000</v>
      </c>
      <c r="H2287" s="1524"/>
      <c r="J2287" s="1637"/>
      <c r="K2287" s="1637"/>
    </row>
    <row r="2288" spans="1:11" x14ac:dyDescent="0.25">
      <c r="A2288" s="1528"/>
      <c r="B2288" s="1751" t="s">
        <v>9507</v>
      </c>
      <c r="C2288" s="1749" t="s">
        <v>5432</v>
      </c>
      <c r="D2288" s="1773">
        <v>0.2</v>
      </c>
      <c r="E2288" s="1825">
        <v>2450</v>
      </c>
      <c r="F2288" s="1769">
        <v>1</v>
      </c>
      <c r="G2288" s="1786">
        <f>+F2288*E2288*D2288</f>
        <v>490</v>
      </c>
      <c r="H2288" s="1524"/>
      <c r="J2288" s="1637"/>
      <c r="K2288" s="1637"/>
    </row>
    <row r="2289" spans="1:11" x14ac:dyDescent="0.25">
      <c r="A2289" s="1528"/>
      <c r="B2289" s="1667"/>
      <c r="C2289" s="1537"/>
      <c r="D2289" s="212"/>
      <c r="E2289" s="816"/>
      <c r="F2289" s="1563"/>
      <c r="G2289" s="814"/>
      <c r="H2289" s="1524"/>
      <c r="J2289" s="1637"/>
      <c r="K2289" s="1637"/>
    </row>
    <row r="2290" spans="1:11" x14ac:dyDescent="0.25">
      <c r="A2290" s="1528"/>
      <c r="B2290" s="1667"/>
      <c r="C2290" s="1537"/>
      <c r="D2290" s="212"/>
      <c r="E2290" s="816"/>
      <c r="F2290" s="1563"/>
      <c r="G2290" s="814"/>
      <c r="H2290" s="1524"/>
      <c r="J2290" s="1637"/>
      <c r="K2290" s="1637"/>
    </row>
    <row r="2291" spans="1:11" x14ac:dyDescent="0.25">
      <c r="A2291" s="1528"/>
      <c r="B2291" s="1667"/>
      <c r="C2291" s="1537"/>
      <c r="D2291" s="212"/>
      <c r="E2291" s="816"/>
      <c r="F2291" s="1563"/>
      <c r="G2291" s="814"/>
      <c r="H2291" s="1524"/>
      <c r="J2291" s="1637"/>
      <c r="K2291" s="1637"/>
    </row>
    <row r="2292" spans="1:11" x14ac:dyDescent="0.25">
      <c r="A2292" s="1528"/>
      <c r="B2292" s="1667"/>
      <c r="C2292" s="1537"/>
      <c r="D2292" s="212"/>
      <c r="E2292" s="816"/>
      <c r="F2292" s="1563"/>
      <c r="G2292" s="814"/>
      <c r="H2292" s="1524"/>
      <c r="J2292" s="1637"/>
      <c r="K2292" s="1637"/>
    </row>
    <row r="2293" spans="1:11" x14ac:dyDescent="0.25">
      <c r="A2293" s="1528"/>
      <c r="B2293" s="1667"/>
      <c r="C2293" s="1537"/>
      <c r="D2293" s="212"/>
      <c r="E2293" s="816"/>
      <c r="F2293" s="1563"/>
      <c r="G2293" s="814"/>
      <c r="H2293" s="1524"/>
      <c r="J2293" s="1637"/>
      <c r="K2293" s="1637"/>
    </row>
    <row r="2294" spans="1:11" x14ac:dyDescent="0.25">
      <c r="A2294" s="1528"/>
      <c r="B2294" s="1667"/>
      <c r="C2294" s="1537"/>
      <c r="D2294" s="212"/>
      <c r="E2294" s="816"/>
      <c r="F2294" s="1563"/>
      <c r="G2294" s="814"/>
      <c r="H2294" s="1524"/>
      <c r="J2294" s="1637"/>
      <c r="K2294" s="1637"/>
    </row>
    <row r="2295" spans="1:11" x14ac:dyDescent="0.25">
      <c r="A2295" s="1528"/>
      <c r="B2295" s="1667"/>
      <c r="C2295" s="1537"/>
      <c r="D2295" s="212"/>
      <c r="E2295" s="816"/>
      <c r="F2295" s="1563"/>
      <c r="G2295" s="814"/>
      <c r="H2295" s="1524"/>
      <c r="J2295" s="1637"/>
      <c r="K2295" s="1637"/>
    </row>
    <row r="2296" spans="1:11" x14ac:dyDescent="0.25">
      <c r="A2296" s="1528"/>
      <c r="B2296" s="1667"/>
      <c r="C2296" s="1537"/>
      <c r="D2296" s="212"/>
      <c r="E2296" s="816"/>
      <c r="F2296" s="1563"/>
      <c r="G2296" s="814"/>
      <c r="H2296" s="1524"/>
      <c r="J2296" s="1637"/>
      <c r="K2296" s="1637"/>
    </row>
    <row r="2297" spans="1:11" x14ac:dyDescent="0.25">
      <c r="A2297" s="1528"/>
      <c r="B2297" s="269"/>
      <c r="C2297" s="1537"/>
      <c r="D2297" s="212"/>
      <c r="E2297" s="816"/>
      <c r="F2297" s="1563"/>
      <c r="G2297" s="814"/>
      <c r="H2297" s="1524"/>
      <c r="J2297" s="1637"/>
      <c r="K2297" s="1637"/>
    </row>
    <row r="2298" spans="1:11" x14ac:dyDescent="0.25">
      <c r="A2298" s="1528"/>
      <c r="B2298" s="268"/>
      <c r="C2298" s="1534"/>
      <c r="D2298" s="211"/>
      <c r="E2298" s="1535" t="s">
        <v>7182</v>
      </c>
      <c r="F2298" s="1551"/>
      <c r="G2298" s="1541" t="s">
        <v>7182</v>
      </c>
      <c r="H2298" s="1524"/>
      <c r="J2298" s="1637"/>
      <c r="K2298" s="1637"/>
    </row>
    <row r="2299" spans="1:11" x14ac:dyDescent="0.25">
      <c r="A2299" s="1528"/>
      <c r="B2299" s="1346"/>
      <c r="C2299" s="1534"/>
      <c r="D2299" s="211"/>
      <c r="E2299" s="1535" t="s">
        <v>7182</v>
      </c>
      <c r="F2299" s="1551"/>
      <c r="G2299" s="1541" t="s">
        <v>7182</v>
      </c>
      <c r="H2299" s="1524"/>
      <c r="J2299" s="1637"/>
      <c r="K2299" s="1637"/>
    </row>
    <row r="2300" spans="1:11" ht="15.75" thickBot="1" x14ac:dyDescent="0.3">
      <c r="A2300" s="1528"/>
      <c r="B2300" s="1540"/>
      <c r="C2300" s="1537"/>
      <c r="D2300" s="952"/>
      <c r="E2300" s="1538" t="s">
        <v>7182</v>
      </c>
      <c r="F2300" s="1537"/>
      <c r="G2300" s="1541" t="s">
        <v>7182</v>
      </c>
      <c r="H2300" s="1524"/>
      <c r="J2300" s="1637"/>
      <c r="K2300" s="1637"/>
    </row>
    <row r="2301" spans="1:11" ht="15.75" thickBot="1" x14ac:dyDescent="0.3">
      <c r="A2301" s="1528"/>
      <c r="B2301" s="1555"/>
      <c r="C2301" s="1557"/>
      <c r="D2301" s="956"/>
      <c r="E2301" s="1556" t="s">
        <v>7182</v>
      </c>
      <c r="F2301" s="1557"/>
      <c r="G2301" s="1558" t="s">
        <v>7182</v>
      </c>
      <c r="H2301" s="1546">
        <f>SUM(G2286:G2301)</f>
        <v>62156.666666666664</v>
      </c>
      <c r="J2301" s="1637"/>
      <c r="K2301" s="1637"/>
    </row>
    <row r="2302" spans="1:11" x14ac:dyDescent="0.25">
      <c r="A2302" s="1528"/>
      <c r="B2302" s="1372"/>
      <c r="C2302" s="1374"/>
      <c r="D2302" s="1373"/>
      <c r="E2302" s="1372" t="s">
        <v>7182</v>
      </c>
      <c r="F2302" s="1374"/>
      <c r="G2302" s="1375" t="s">
        <v>7182</v>
      </c>
      <c r="H2302" s="1550"/>
      <c r="J2302" s="1637"/>
      <c r="K2302" s="1637"/>
    </row>
    <row r="2303" spans="1:11" ht="15.75" thickBot="1" x14ac:dyDescent="0.3">
      <c r="A2303" s="1527"/>
      <c r="B2303" s="188"/>
      <c r="C2303" s="189"/>
      <c r="D2303" s="1668"/>
      <c r="E2303" s="188"/>
      <c r="F2303" s="189"/>
      <c r="G2303" s="1669"/>
      <c r="H2303" s="1550"/>
      <c r="J2303" s="1637"/>
      <c r="K2303" s="1637"/>
    </row>
    <row r="2304" spans="1:11" ht="15.75" thickBot="1" x14ac:dyDescent="0.3">
      <c r="A2304" s="1527"/>
      <c r="B2304" s="1366" t="s">
        <v>9418</v>
      </c>
      <c r="C2304" s="1363" t="s">
        <v>867</v>
      </c>
      <c r="D2304" s="1120" t="s">
        <v>6</v>
      </c>
      <c r="E2304" s="1363" t="s">
        <v>7183</v>
      </c>
      <c r="F2304" s="1363" t="s">
        <v>5405</v>
      </c>
      <c r="G2304" s="1365" t="s">
        <v>7179</v>
      </c>
      <c r="H2304" s="1524"/>
      <c r="J2304" s="1637"/>
      <c r="K2304" s="1637"/>
    </row>
    <row r="2305" spans="1:11" x14ac:dyDescent="0.25">
      <c r="A2305" s="1527"/>
      <c r="B2305" s="1564" t="s">
        <v>5455</v>
      </c>
      <c r="C2305" s="1534" t="s">
        <v>5</v>
      </c>
      <c r="D2305" s="211">
        <v>1</v>
      </c>
      <c r="E2305" s="1535">
        <v>5000</v>
      </c>
      <c r="F2305" s="1534">
        <v>1</v>
      </c>
      <c r="G2305" s="1572">
        <f>+F2305*E2305</f>
        <v>5000</v>
      </c>
      <c r="H2305" s="1524"/>
      <c r="J2305" s="1637"/>
      <c r="K2305" s="1637"/>
    </row>
    <row r="2306" spans="1:11" x14ac:dyDescent="0.25">
      <c r="A2306" s="1527"/>
      <c r="B2306" s="1540"/>
      <c r="C2306" s="1537"/>
      <c r="D2306" s="212"/>
      <c r="E2306" s="1535" t="s">
        <v>7182</v>
      </c>
      <c r="F2306" s="1537"/>
      <c r="G2306" s="1572" t="s">
        <v>7182</v>
      </c>
      <c r="H2306" s="1524"/>
      <c r="J2306" s="1637"/>
      <c r="K2306" s="1637"/>
    </row>
    <row r="2307" spans="1:11" x14ac:dyDescent="0.25">
      <c r="A2307" s="1527"/>
      <c r="B2307" s="1540"/>
      <c r="C2307" s="1537"/>
      <c r="D2307" s="212"/>
      <c r="E2307" s="1535" t="s">
        <v>7182</v>
      </c>
      <c r="F2307" s="1537"/>
      <c r="G2307" s="1572" t="s">
        <v>7182</v>
      </c>
      <c r="H2307" s="1524"/>
      <c r="J2307" s="1637"/>
      <c r="K2307" s="1637"/>
    </row>
    <row r="2308" spans="1:11" ht="15.75" thickBot="1" x14ac:dyDescent="0.3">
      <c r="A2308" s="1527"/>
      <c r="B2308" s="1540"/>
      <c r="C2308" s="1537"/>
      <c r="D2308" s="212"/>
      <c r="E2308" s="1535" t="s">
        <v>7182</v>
      </c>
      <c r="F2308" s="1537"/>
      <c r="G2308" s="1572" t="s">
        <v>7182</v>
      </c>
      <c r="H2308" s="1524"/>
      <c r="J2308" s="1637"/>
      <c r="K2308" s="1637"/>
    </row>
    <row r="2309" spans="1:11" ht="15.75" thickBot="1" x14ac:dyDescent="0.3">
      <c r="A2309" s="1527"/>
      <c r="B2309" s="1555"/>
      <c r="C2309" s="1556"/>
      <c r="D2309" s="956"/>
      <c r="E2309" s="1556" t="s">
        <v>7182</v>
      </c>
      <c r="F2309" s="1557"/>
      <c r="G2309" s="1558" t="s">
        <v>7182</v>
      </c>
      <c r="H2309" s="1546">
        <f>SUM(G2305:G2309)</f>
        <v>5000</v>
      </c>
      <c r="J2309" s="1637"/>
      <c r="K2309" s="1637"/>
    </row>
    <row r="2310" spans="1:11" ht="15.75" thickBot="1" x14ac:dyDescent="0.3">
      <c r="A2310" s="1527"/>
      <c r="B2310" s="1376"/>
      <c r="C2310" s="1353"/>
      <c r="D2310" s="1355"/>
      <c r="E2310" s="1352"/>
      <c r="F2310" s="1377"/>
      <c r="G2310" s="1378"/>
      <c r="H2310" s="1524"/>
      <c r="J2310" s="1637"/>
      <c r="K2310" s="1637"/>
    </row>
    <row r="2311" spans="1:11" ht="15.75" thickBot="1" x14ac:dyDescent="0.3">
      <c r="A2311" s="1527"/>
      <c r="B2311" s="1366" t="s">
        <v>5410</v>
      </c>
      <c r="C2311" s="1363" t="s">
        <v>867</v>
      </c>
      <c r="D2311" s="1120" t="s">
        <v>6</v>
      </c>
      <c r="E2311" s="1363" t="s">
        <v>7183</v>
      </c>
      <c r="F2311" s="1363" t="s">
        <v>5405</v>
      </c>
      <c r="G2311" s="1365" t="s">
        <v>7179</v>
      </c>
      <c r="H2311" s="1524"/>
      <c r="J2311" s="1637"/>
      <c r="K2311" s="1637"/>
    </row>
    <row r="2312" spans="1:11" ht="25.5" x14ac:dyDescent="0.25">
      <c r="A2312" s="1527"/>
      <c r="B2312" s="1564" t="s">
        <v>9421</v>
      </c>
      <c r="C2312" s="1534" t="s">
        <v>9023</v>
      </c>
      <c r="D2312" s="211">
        <v>1</v>
      </c>
      <c r="E2312" s="1535">
        <v>8000</v>
      </c>
      <c r="F2312" s="1534">
        <v>1</v>
      </c>
      <c r="G2312" s="1572">
        <f>+F2312*E2312</f>
        <v>8000</v>
      </c>
      <c r="H2312" s="1524"/>
      <c r="J2312" s="1637"/>
      <c r="K2312" s="1637"/>
    </row>
    <row r="2313" spans="1:11" x14ac:dyDescent="0.25">
      <c r="A2313" s="1527"/>
      <c r="B2313" s="1540"/>
      <c r="C2313" s="1537"/>
      <c r="D2313" s="212"/>
      <c r="E2313" s="1535" t="s">
        <v>7182</v>
      </c>
      <c r="F2313" s="1537"/>
      <c r="G2313" s="1572" t="s">
        <v>7182</v>
      </c>
      <c r="H2313" s="1524"/>
      <c r="J2313" s="1637"/>
      <c r="K2313" s="1637"/>
    </row>
    <row r="2314" spans="1:11" x14ac:dyDescent="0.25">
      <c r="A2314" s="1527"/>
      <c r="B2314" s="1540"/>
      <c r="C2314" s="1537"/>
      <c r="D2314" s="212"/>
      <c r="E2314" s="1535" t="s">
        <v>7182</v>
      </c>
      <c r="F2314" s="1537"/>
      <c r="G2314" s="1572" t="s">
        <v>7182</v>
      </c>
      <c r="H2314" s="1524"/>
      <c r="J2314" s="1637"/>
      <c r="K2314" s="1637"/>
    </row>
    <row r="2315" spans="1:11" ht="15.75" thickBot="1" x14ac:dyDescent="0.3">
      <c r="A2315" s="1527"/>
      <c r="B2315" s="1540"/>
      <c r="C2315" s="1537"/>
      <c r="D2315" s="212"/>
      <c r="E2315" s="1535" t="s">
        <v>7182</v>
      </c>
      <c r="F2315" s="1537"/>
      <c r="G2315" s="1572" t="s">
        <v>7182</v>
      </c>
      <c r="H2315" s="1524"/>
      <c r="J2315" s="1637"/>
      <c r="K2315" s="1637"/>
    </row>
    <row r="2316" spans="1:11" ht="15.75" thickBot="1" x14ac:dyDescent="0.3">
      <c r="A2316" s="1527"/>
      <c r="B2316" s="1555"/>
      <c r="C2316" s="1556"/>
      <c r="D2316" s="956"/>
      <c r="E2316" s="1556" t="s">
        <v>7182</v>
      </c>
      <c r="F2316" s="1557"/>
      <c r="G2316" s="1558" t="s">
        <v>7182</v>
      </c>
      <c r="H2316" s="1546">
        <f>SUM(G2312:G2316)</f>
        <v>8000</v>
      </c>
      <c r="J2316" s="1637"/>
      <c r="K2316" s="1637"/>
    </row>
    <row r="2317" spans="1:11" ht="15.75" thickBot="1" x14ac:dyDescent="0.3">
      <c r="A2317" s="1527"/>
      <c r="B2317" s="1547"/>
      <c r="C2317" s="1547"/>
      <c r="D2317" s="954"/>
      <c r="E2317" s="1547"/>
      <c r="F2317" s="1553"/>
      <c r="G2317" s="1554"/>
      <c r="H2317" s="1550"/>
      <c r="J2317" s="1637"/>
      <c r="K2317" s="1637"/>
    </row>
    <row r="2318" spans="1:11" ht="15.75" thickBot="1" x14ac:dyDescent="0.3">
      <c r="A2318" s="1559"/>
      <c r="B2318" s="1369" t="s">
        <v>5412</v>
      </c>
      <c r="C2318" s="1363" t="s">
        <v>5420</v>
      </c>
      <c r="D2318" s="1120" t="s">
        <v>5421</v>
      </c>
      <c r="E2318" s="1363" t="s">
        <v>7187</v>
      </c>
      <c r="F2318" s="1363" t="s">
        <v>5405</v>
      </c>
      <c r="G2318" s="1370" t="s">
        <v>7179</v>
      </c>
      <c r="H2318" s="1371"/>
      <c r="J2318" s="1637"/>
      <c r="K2318" s="1637"/>
    </row>
    <row r="2319" spans="1:11" x14ac:dyDescent="0.25">
      <c r="A2319" s="1527"/>
      <c r="B2319" s="1560" t="s">
        <v>9422</v>
      </c>
      <c r="C2319" s="1569">
        <v>170000</v>
      </c>
      <c r="D2319" s="352">
        <f>0.6*C2319</f>
        <v>102000</v>
      </c>
      <c r="E2319" s="1569">
        <f>+D2319+C2319</f>
        <v>272000</v>
      </c>
      <c r="F2319" s="819">
        <v>0.18</v>
      </c>
      <c r="G2319" s="818">
        <f>+F2319*E2319</f>
        <v>48960</v>
      </c>
      <c r="H2319" s="1524"/>
    </row>
    <row r="2320" spans="1:11" x14ac:dyDescent="0.25">
      <c r="A2320" s="1527"/>
      <c r="B2320" s="1560"/>
      <c r="C2320" s="1569"/>
      <c r="D2320" s="1569"/>
      <c r="E2320" s="1569"/>
      <c r="F2320" s="819"/>
      <c r="G2320" s="818"/>
      <c r="H2320" s="1524"/>
    </row>
    <row r="2321" spans="1:11" x14ac:dyDescent="0.25">
      <c r="A2321" s="1527"/>
      <c r="B2321" s="1561"/>
      <c r="C2321" s="1569"/>
      <c r="D2321" s="1569"/>
      <c r="E2321" s="1569"/>
      <c r="F2321" s="817"/>
      <c r="G2321" s="818"/>
      <c r="H2321" s="1524"/>
    </row>
    <row r="2322" spans="1:11" x14ac:dyDescent="0.25">
      <c r="A2322" s="1527"/>
      <c r="B2322" s="1540"/>
      <c r="C2322" s="1569"/>
      <c r="D2322" s="1569"/>
      <c r="E2322" s="1569"/>
      <c r="F2322" s="817"/>
      <c r="G2322" s="818"/>
      <c r="H2322" s="1524"/>
    </row>
    <row r="2323" spans="1:11" x14ac:dyDescent="0.25">
      <c r="A2323" s="1527"/>
      <c r="B2323" s="1540"/>
      <c r="C2323" s="1538" t="s">
        <v>7182</v>
      </c>
      <c r="D2323" s="952" t="s">
        <v>7182</v>
      </c>
      <c r="E2323" s="1538" t="s">
        <v>7182</v>
      </c>
      <c r="F2323" s="817"/>
      <c r="G2323" s="818" t="str">
        <f>IF(B2323="","",E2323/F2323)</f>
        <v/>
      </c>
      <c r="H2323" s="1524"/>
    </row>
    <row r="2324" spans="1:11" ht="15.75" thickBot="1" x14ac:dyDescent="0.3">
      <c r="A2324" s="1527"/>
      <c r="B2324" s="1540"/>
      <c r="C2324" s="1538" t="s">
        <v>7182</v>
      </c>
      <c r="D2324" s="952" t="s">
        <v>7182</v>
      </c>
      <c r="E2324" s="1538" t="s">
        <v>7182</v>
      </c>
      <c r="F2324" s="1537"/>
      <c r="G2324" s="818" t="str">
        <f>IF(B2324="","",E2324/F2324)</f>
        <v/>
      </c>
      <c r="H2324" s="1524"/>
    </row>
    <row r="2325" spans="1:11" ht="15.75" thickBot="1" x14ac:dyDescent="0.3">
      <c r="A2325" s="1527"/>
      <c r="B2325" s="1555"/>
      <c r="C2325" s="1556"/>
      <c r="D2325" s="956"/>
      <c r="E2325" s="1556"/>
      <c r="F2325" s="1557"/>
      <c r="G2325" s="1558"/>
      <c r="H2325" s="1546">
        <f>SUM(G2319:G2325)</f>
        <v>48960</v>
      </c>
    </row>
    <row r="2326" spans="1:11" ht="15.75" thickBot="1" x14ac:dyDescent="0.3">
      <c r="A2326" s="1527"/>
      <c r="B2326" s="1527"/>
      <c r="C2326" s="1527"/>
      <c r="D2326" s="529"/>
      <c r="F2326" s="1528"/>
      <c r="G2326" s="1524"/>
      <c r="H2326" s="1524"/>
    </row>
    <row r="2327" spans="1:11" ht="15.75" thickBot="1" x14ac:dyDescent="0.3">
      <c r="A2327" s="1647" t="s">
        <v>6744</v>
      </c>
      <c r="B2327" s="1352"/>
      <c r="C2327" s="1352"/>
      <c r="D2327" s="1671"/>
      <c r="E2327" s="1672"/>
      <c r="F2327" s="1353"/>
      <c r="G2327" s="1527" t="s">
        <v>5415</v>
      </c>
      <c r="H2327" s="502">
        <f>ROUND(SUM(H2285:H2326),0)</f>
        <v>124117</v>
      </c>
      <c r="J2327" s="1673">
        <f>+B2281</f>
        <v>10.51</v>
      </c>
      <c r="K2327" s="1674">
        <f>+H2327</f>
        <v>124117</v>
      </c>
    </row>
    <row r="2328" spans="1:11" x14ac:dyDescent="0.25">
      <c r="A2328" s="1675"/>
      <c r="B2328" s="1676"/>
      <c r="C2328" s="1676"/>
      <c r="D2328" s="1677"/>
      <c r="E2328" s="1678"/>
      <c r="F2328" s="1679"/>
      <c r="G2328" s="1680"/>
      <c r="H2328" s="1680"/>
    </row>
    <row r="2329" spans="1:11" ht="18.75" x14ac:dyDescent="0.25">
      <c r="A2329" s="1523"/>
      <c r="B2329" s="1655"/>
      <c r="C2329" s="1655"/>
      <c r="D2329" s="950"/>
      <c r="E2329" s="1655"/>
      <c r="F2329" s="1655"/>
      <c r="G2329" s="1655"/>
      <c r="H2329" s="8"/>
    </row>
    <row r="2330" spans="1:11" x14ac:dyDescent="0.25">
      <c r="A2330" s="1523"/>
      <c r="B2330" s="8"/>
      <c r="C2330" s="8"/>
      <c r="D2330" s="529"/>
      <c r="E2330" s="8"/>
      <c r="F2330" s="1523"/>
      <c r="G2330" s="1524"/>
      <c r="H2330" s="8"/>
    </row>
    <row r="2331" spans="1:11" x14ac:dyDescent="0.25">
      <c r="A2331" s="1665" t="s">
        <v>3</v>
      </c>
      <c r="B2331" s="1666">
        <f>+VLOOKUP(C2331,ListaAPUs!$B:$E,4,FALSE)</f>
        <v>10.52</v>
      </c>
      <c r="C2331" s="2441" t="str">
        <f>+ListaAPUs!B252</f>
        <v>Luminaria de 150W sodio 208V con fotocelda y con brazo.</v>
      </c>
      <c r="D2331" s="2441"/>
      <c r="E2331" s="2441"/>
      <c r="F2331" s="1665" t="s">
        <v>867</v>
      </c>
      <c r="G2331" s="1390" t="str">
        <f>+VLOOKUP(C2331,ListaAPUs!$B:$E,2,FALSE)</f>
        <v>un</v>
      </c>
      <c r="H2331" s="1524"/>
    </row>
    <row r="2332" spans="1:11" x14ac:dyDescent="0.25">
      <c r="A2332" s="1528"/>
      <c r="B2332" s="1527"/>
      <c r="C2332" s="1527"/>
      <c r="D2332" s="529"/>
      <c r="E2332" s="1527"/>
      <c r="F2332" s="1528"/>
      <c r="G2332" s="1524"/>
      <c r="H2332" s="1524"/>
    </row>
    <row r="2333" spans="1:11" x14ac:dyDescent="0.25">
      <c r="A2333" s="1528"/>
      <c r="B2333" s="1527"/>
      <c r="C2333" s="1527"/>
      <c r="D2333" s="529"/>
      <c r="E2333" s="1527"/>
      <c r="F2333" s="1528"/>
      <c r="G2333" s="1529"/>
      <c r="H2333" s="1524"/>
    </row>
    <row r="2334" spans="1:11" ht="15.75" thickBot="1" x14ac:dyDescent="0.3">
      <c r="A2334" s="1528"/>
      <c r="B2334" s="1527"/>
      <c r="C2334" s="1527"/>
      <c r="D2334" s="529"/>
      <c r="E2334" s="1527"/>
      <c r="F2334" s="1528"/>
      <c r="G2334" s="1524"/>
      <c r="H2334" s="1524"/>
    </row>
    <row r="2335" spans="1:11" ht="15.75" thickBot="1" x14ac:dyDescent="0.3">
      <c r="A2335" s="1368"/>
      <c r="B2335" s="1369" t="s">
        <v>5403</v>
      </c>
      <c r="C2335" s="1363" t="s">
        <v>867</v>
      </c>
      <c r="D2335" s="1120" t="s">
        <v>6</v>
      </c>
      <c r="E2335" s="1363" t="s">
        <v>9417</v>
      </c>
      <c r="F2335" s="1363" t="s">
        <v>5405</v>
      </c>
      <c r="G2335" s="1370" t="s">
        <v>7179</v>
      </c>
      <c r="H2335" s="1371"/>
      <c r="J2335" s="1637"/>
      <c r="K2335" s="1637"/>
    </row>
    <row r="2336" spans="1:11" ht="25.5" x14ac:dyDescent="0.25">
      <c r="A2336" s="1528"/>
      <c r="B2336" s="1746" t="s">
        <v>9511</v>
      </c>
      <c r="C2336" s="1802" t="s">
        <v>5</v>
      </c>
      <c r="D2336" s="1832">
        <v>1</v>
      </c>
      <c r="E2336" s="1803">
        <v>191250</v>
      </c>
      <c r="F2336" s="1804">
        <v>1</v>
      </c>
      <c r="G2336" s="1805">
        <f>+F2336*E2336*D2336</f>
        <v>191250</v>
      </c>
      <c r="H2336" s="1524"/>
      <c r="J2336" s="1637"/>
      <c r="K2336" s="1637"/>
    </row>
    <row r="2337" spans="1:11" x14ac:dyDescent="0.25">
      <c r="A2337" s="1528"/>
      <c r="B2337" s="1822" t="s">
        <v>9512</v>
      </c>
      <c r="C2337" s="1749" t="s">
        <v>5</v>
      </c>
      <c r="D2337" s="1773">
        <v>1</v>
      </c>
      <c r="E2337" s="1825">
        <v>20450</v>
      </c>
      <c r="F2337" s="1769">
        <v>1</v>
      </c>
      <c r="G2337" s="1786">
        <f>+F2337*E2337*D2337</f>
        <v>20450</v>
      </c>
      <c r="H2337" s="1524"/>
      <c r="J2337" s="1637"/>
      <c r="K2337" s="1637"/>
    </row>
    <row r="2338" spans="1:11" ht="25.5" x14ac:dyDescent="0.25">
      <c r="A2338" s="1528"/>
      <c r="B2338" s="1751" t="s">
        <v>9513</v>
      </c>
      <c r="C2338" s="1749" t="s">
        <v>5</v>
      </c>
      <c r="D2338" s="1773">
        <v>1</v>
      </c>
      <c r="E2338" s="1825">
        <v>66800</v>
      </c>
      <c r="F2338" s="1769">
        <v>1</v>
      </c>
      <c r="G2338" s="1786">
        <f>+F2338*E2338*D2338</f>
        <v>66800</v>
      </c>
      <c r="H2338" s="1524"/>
      <c r="J2338" s="1637"/>
      <c r="K2338" s="1637"/>
    </row>
    <row r="2339" spans="1:11" ht="25.5" x14ac:dyDescent="0.25">
      <c r="A2339" s="1528"/>
      <c r="B2339" s="1751" t="s">
        <v>9514</v>
      </c>
      <c r="C2339" s="1749" t="s">
        <v>5</v>
      </c>
      <c r="D2339" s="1773">
        <v>1</v>
      </c>
      <c r="E2339" s="1825">
        <v>35000</v>
      </c>
      <c r="F2339" s="1769">
        <v>1</v>
      </c>
      <c r="G2339" s="1786">
        <f>+F2339*E2339</f>
        <v>35000</v>
      </c>
      <c r="H2339" s="1524"/>
      <c r="J2339" s="1637"/>
      <c r="K2339" s="1637"/>
    </row>
    <row r="2340" spans="1:11" x14ac:dyDescent="0.25">
      <c r="A2340" s="1528"/>
      <c r="B2340" s="1822" t="s">
        <v>9515</v>
      </c>
      <c r="C2340" s="1749" t="s">
        <v>5</v>
      </c>
      <c r="D2340" s="1773">
        <v>1</v>
      </c>
      <c r="E2340" s="1782">
        <v>12300</v>
      </c>
      <c r="F2340" s="1769">
        <v>1</v>
      </c>
      <c r="G2340" s="1786">
        <f>+F2340*E2340</f>
        <v>12300</v>
      </c>
      <c r="H2340" s="1524"/>
      <c r="J2340" s="1637"/>
      <c r="K2340" s="1637"/>
    </row>
    <row r="2341" spans="1:11" x14ac:dyDescent="0.25">
      <c r="A2341" s="1528"/>
      <c r="B2341" s="1667"/>
      <c r="C2341" s="1537"/>
      <c r="D2341" s="212"/>
      <c r="E2341" s="1571"/>
      <c r="F2341" s="1563"/>
      <c r="G2341" s="814"/>
      <c r="H2341" s="1524"/>
      <c r="J2341" s="1637"/>
      <c r="K2341" s="1637"/>
    </row>
    <row r="2342" spans="1:11" x14ac:dyDescent="0.25">
      <c r="A2342" s="1528"/>
      <c r="B2342" s="1667"/>
      <c r="C2342" s="1537"/>
      <c r="D2342" s="212"/>
      <c r="E2342" s="816"/>
      <c r="F2342" s="1563"/>
      <c r="G2342" s="814"/>
      <c r="H2342" s="1524"/>
      <c r="J2342" s="1637"/>
      <c r="K2342" s="1637"/>
    </row>
    <row r="2343" spans="1:11" x14ac:dyDescent="0.25">
      <c r="A2343" s="1528"/>
      <c r="B2343" s="1667"/>
      <c r="C2343" s="1537"/>
      <c r="D2343" s="212"/>
      <c r="E2343" s="816"/>
      <c r="F2343" s="1563"/>
      <c r="G2343" s="814"/>
      <c r="H2343" s="1524"/>
      <c r="J2343" s="1637"/>
      <c r="K2343" s="1637"/>
    </row>
    <row r="2344" spans="1:11" x14ac:dyDescent="0.25">
      <c r="A2344" s="1528"/>
      <c r="B2344" s="1667"/>
      <c r="C2344" s="1537"/>
      <c r="D2344" s="212"/>
      <c r="E2344" s="816"/>
      <c r="F2344" s="1563"/>
      <c r="G2344" s="814"/>
      <c r="H2344" s="1524"/>
      <c r="J2344" s="1637"/>
      <c r="K2344" s="1637"/>
    </row>
    <row r="2345" spans="1:11" x14ac:dyDescent="0.25">
      <c r="A2345" s="1528"/>
      <c r="B2345" s="1667"/>
      <c r="C2345" s="1537"/>
      <c r="D2345" s="212"/>
      <c r="E2345" s="816"/>
      <c r="F2345" s="1563"/>
      <c r="G2345" s="814"/>
      <c r="H2345" s="1524"/>
      <c r="J2345" s="1637"/>
      <c r="K2345" s="1637"/>
    </row>
    <row r="2346" spans="1:11" x14ac:dyDescent="0.25">
      <c r="A2346" s="1528"/>
      <c r="B2346" s="1667"/>
      <c r="C2346" s="1537"/>
      <c r="D2346" s="212"/>
      <c r="E2346" s="816"/>
      <c r="F2346" s="1563"/>
      <c r="G2346" s="814"/>
      <c r="H2346" s="1524"/>
      <c r="J2346" s="1637"/>
      <c r="K2346" s="1637"/>
    </row>
    <row r="2347" spans="1:11" x14ac:dyDescent="0.25">
      <c r="A2347" s="1528"/>
      <c r="B2347" s="269"/>
      <c r="C2347" s="1537"/>
      <c r="D2347" s="212"/>
      <c r="E2347" s="816"/>
      <c r="F2347" s="1563"/>
      <c r="G2347" s="814"/>
      <c r="H2347" s="1524"/>
      <c r="J2347" s="1637"/>
      <c r="K2347" s="1637"/>
    </row>
    <row r="2348" spans="1:11" x14ac:dyDescent="0.25">
      <c r="A2348" s="1528"/>
      <c r="B2348" s="268"/>
      <c r="C2348" s="1534"/>
      <c r="D2348" s="211"/>
      <c r="E2348" s="1535" t="s">
        <v>7182</v>
      </c>
      <c r="F2348" s="1551"/>
      <c r="G2348" s="1541" t="s">
        <v>7182</v>
      </c>
      <c r="H2348" s="1524"/>
      <c r="J2348" s="1637"/>
      <c r="K2348" s="1637"/>
    </row>
    <row r="2349" spans="1:11" x14ac:dyDescent="0.25">
      <c r="A2349" s="1528"/>
      <c r="B2349" s="1346"/>
      <c r="C2349" s="1534"/>
      <c r="D2349" s="211"/>
      <c r="E2349" s="1535" t="s">
        <v>7182</v>
      </c>
      <c r="F2349" s="1551"/>
      <c r="G2349" s="1541" t="s">
        <v>7182</v>
      </c>
      <c r="H2349" s="1524"/>
      <c r="J2349" s="1637"/>
      <c r="K2349" s="1637"/>
    </row>
    <row r="2350" spans="1:11" ht="15.75" thickBot="1" x14ac:dyDescent="0.3">
      <c r="A2350" s="1528"/>
      <c r="B2350" s="1540"/>
      <c r="C2350" s="1537"/>
      <c r="D2350" s="952"/>
      <c r="E2350" s="1538" t="s">
        <v>7182</v>
      </c>
      <c r="F2350" s="1537"/>
      <c r="G2350" s="1541" t="s">
        <v>7182</v>
      </c>
      <c r="H2350" s="1524"/>
      <c r="J2350" s="1637"/>
      <c r="K2350" s="1637"/>
    </row>
    <row r="2351" spans="1:11" ht="15.75" thickBot="1" x14ac:dyDescent="0.3">
      <c r="A2351" s="1528"/>
      <c r="B2351" s="1555"/>
      <c r="C2351" s="1557"/>
      <c r="D2351" s="956"/>
      <c r="E2351" s="1556" t="s">
        <v>7182</v>
      </c>
      <c r="F2351" s="1557"/>
      <c r="G2351" s="1558" t="s">
        <v>7182</v>
      </c>
      <c r="H2351" s="1546">
        <f>SUM(G2336:G2351)</f>
        <v>325800</v>
      </c>
      <c r="J2351" s="1637"/>
      <c r="K2351" s="1637"/>
    </row>
    <row r="2352" spans="1:11" x14ac:dyDescent="0.25">
      <c r="A2352" s="1528"/>
      <c r="B2352" s="1372"/>
      <c r="C2352" s="1374"/>
      <c r="D2352" s="1373"/>
      <c r="E2352" s="1372" t="s">
        <v>7182</v>
      </c>
      <c r="F2352" s="1374"/>
      <c r="G2352" s="1375" t="s">
        <v>7182</v>
      </c>
      <c r="H2352" s="1550"/>
      <c r="J2352" s="1637"/>
      <c r="K2352" s="1637"/>
    </row>
    <row r="2353" spans="1:11" ht="15.75" thickBot="1" x14ac:dyDescent="0.3">
      <c r="A2353" s="1527"/>
      <c r="B2353" s="188"/>
      <c r="C2353" s="189"/>
      <c r="D2353" s="1668"/>
      <c r="E2353" s="188"/>
      <c r="F2353" s="189"/>
      <c r="G2353" s="1669"/>
      <c r="H2353" s="1550"/>
      <c r="J2353" s="1637"/>
      <c r="K2353" s="1637"/>
    </row>
    <row r="2354" spans="1:11" ht="15.75" thickBot="1" x14ac:dyDescent="0.3">
      <c r="A2354" s="1527"/>
      <c r="B2354" s="1366" t="s">
        <v>9418</v>
      </c>
      <c r="C2354" s="1363" t="s">
        <v>867</v>
      </c>
      <c r="D2354" s="1120" t="s">
        <v>6</v>
      </c>
      <c r="E2354" s="1363" t="s">
        <v>7183</v>
      </c>
      <c r="F2354" s="1363" t="s">
        <v>5405</v>
      </c>
      <c r="G2354" s="1365" t="s">
        <v>7179</v>
      </c>
      <c r="H2354" s="1524"/>
      <c r="J2354" s="1637"/>
      <c r="K2354" s="1637"/>
    </row>
    <row r="2355" spans="1:11" x14ac:dyDescent="0.25">
      <c r="A2355" s="1527"/>
      <c r="B2355" s="1564" t="s">
        <v>5455</v>
      </c>
      <c r="C2355" s="1534" t="s">
        <v>5</v>
      </c>
      <c r="D2355" s="211">
        <v>1</v>
      </c>
      <c r="E2355" s="1535">
        <v>5000</v>
      </c>
      <c r="F2355" s="1534">
        <v>1</v>
      </c>
      <c r="G2355" s="1572">
        <f>+F2355*E2355</f>
        <v>5000</v>
      </c>
      <c r="H2355" s="1524"/>
      <c r="J2355" s="1637"/>
      <c r="K2355" s="1637"/>
    </row>
    <row r="2356" spans="1:11" x14ac:dyDescent="0.25">
      <c r="A2356" s="1527"/>
      <c r="B2356" s="1540"/>
      <c r="C2356" s="1537"/>
      <c r="D2356" s="212"/>
      <c r="E2356" s="1535" t="s">
        <v>7182</v>
      </c>
      <c r="F2356" s="1537"/>
      <c r="G2356" s="1572" t="s">
        <v>7182</v>
      </c>
      <c r="H2356" s="1524"/>
      <c r="J2356" s="1637"/>
      <c r="K2356" s="1637"/>
    </row>
    <row r="2357" spans="1:11" x14ac:dyDescent="0.25">
      <c r="A2357" s="1527"/>
      <c r="B2357" s="1540"/>
      <c r="C2357" s="1537"/>
      <c r="D2357" s="212"/>
      <c r="E2357" s="1535" t="s">
        <v>7182</v>
      </c>
      <c r="F2357" s="1537"/>
      <c r="G2357" s="1572" t="s">
        <v>7182</v>
      </c>
      <c r="H2357" s="1524"/>
      <c r="J2357" s="1637"/>
      <c r="K2357" s="1637"/>
    </row>
    <row r="2358" spans="1:11" ht="15.75" thickBot="1" x14ac:dyDescent="0.3">
      <c r="A2358" s="1527"/>
      <c r="B2358" s="1540"/>
      <c r="C2358" s="1537"/>
      <c r="D2358" s="212"/>
      <c r="E2358" s="1535" t="s">
        <v>7182</v>
      </c>
      <c r="F2358" s="1537"/>
      <c r="G2358" s="1572" t="s">
        <v>7182</v>
      </c>
      <c r="H2358" s="1524"/>
      <c r="J2358" s="1637"/>
      <c r="K2358" s="1637"/>
    </row>
    <row r="2359" spans="1:11" ht="15.75" thickBot="1" x14ac:dyDescent="0.3">
      <c r="A2359" s="1527"/>
      <c r="B2359" s="1555"/>
      <c r="C2359" s="1556"/>
      <c r="D2359" s="956"/>
      <c r="E2359" s="1556" t="s">
        <v>7182</v>
      </c>
      <c r="F2359" s="1557"/>
      <c r="G2359" s="1558" t="s">
        <v>7182</v>
      </c>
      <c r="H2359" s="1546">
        <f>SUM(G2355:G2359)</f>
        <v>5000</v>
      </c>
      <c r="J2359" s="1637"/>
      <c r="K2359" s="1637"/>
    </row>
    <row r="2360" spans="1:11" ht="15.75" thickBot="1" x14ac:dyDescent="0.3">
      <c r="A2360" s="1527"/>
      <c r="B2360" s="1376"/>
      <c r="C2360" s="1353"/>
      <c r="D2360" s="1355"/>
      <c r="E2360" s="1352"/>
      <c r="F2360" s="1377"/>
      <c r="G2360" s="1378"/>
      <c r="H2360" s="1524"/>
      <c r="J2360" s="1637"/>
      <c r="K2360" s="1637"/>
    </row>
    <row r="2361" spans="1:11" ht="15.75" thickBot="1" x14ac:dyDescent="0.3">
      <c r="A2361" s="1527"/>
      <c r="B2361" s="1366" t="s">
        <v>5410</v>
      </c>
      <c r="C2361" s="1363" t="s">
        <v>867</v>
      </c>
      <c r="D2361" s="1120" t="s">
        <v>6</v>
      </c>
      <c r="E2361" s="1363" t="s">
        <v>7183</v>
      </c>
      <c r="F2361" s="1363" t="s">
        <v>5405</v>
      </c>
      <c r="G2361" s="1365" t="s">
        <v>7179</v>
      </c>
      <c r="H2361" s="1524"/>
      <c r="J2361" s="1637"/>
      <c r="K2361" s="1637"/>
    </row>
    <row r="2362" spans="1:11" ht="25.5" x14ac:dyDescent="0.25">
      <c r="A2362" s="1527"/>
      <c r="B2362" s="1564" t="s">
        <v>9421</v>
      </c>
      <c r="C2362" s="1534" t="s">
        <v>9023</v>
      </c>
      <c r="D2362" s="211">
        <v>1</v>
      </c>
      <c r="E2362" s="1535">
        <v>12000</v>
      </c>
      <c r="F2362" s="1534">
        <v>1</v>
      </c>
      <c r="G2362" s="1572">
        <f>+F2362*E2362</f>
        <v>12000</v>
      </c>
      <c r="H2362" s="1524"/>
      <c r="J2362" s="1637"/>
      <c r="K2362" s="1637"/>
    </row>
    <row r="2363" spans="1:11" x14ac:dyDescent="0.25">
      <c r="A2363" s="1527"/>
      <c r="B2363" s="1540"/>
      <c r="C2363" s="1537"/>
      <c r="D2363" s="212"/>
      <c r="E2363" s="1535" t="s">
        <v>7182</v>
      </c>
      <c r="F2363" s="1537"/>
      <c r="G2363" s="1572" t="s">
        <v>7182</v>
      </c>
      <c r="H2363" s="1524"/>
      <c r="J2363" s="1637"/>
      <c r="K2363" s="1637"/>
    </row>
    <row r="2364" spans="1:11" x14ac:dyDescent="0.25">
      <c r="A2364" s="1527"/>
      <c r="B2364" s="1540"/>
      <c r="C2364" s="1537"/>
      <c r="D2364" s="212"/>
      <c r="E2364" s="1535" t="s">
        <v>7182</v>
      </c>
      <c r="F2364" s="1537"/>
      <c r="G2364" s="1572" t="s">
        <v>7182</v>
      </c>
      <c r="H2364" s="1524"/>
      <c r="J2364" s="1637"/>
      <c r="K2364" s="1637"/>
    </row>
    <row r="2365" spans="1:11" ht="15.75" thickBot="1" x14ac:dyDescent="0.3">
      <c r="A2365" s="1527"/>
      <c r="B2365" s="1540"/>
      <c r="C2365" s="1537"/>
      <c r="D2365" s="212"/>
      <c r="E2365" s="1535" t="s">
        <v>7182</v>
      </c>
      <c r="F2365" s="1537"/>
      <c r="G2365" s="1572" t="s">
        <v>7182</v>
      </c>
      <c r="H2365" s="1524"/>
      <c r="J2365" s="1637"/>
      <c r="K2365" s="1637"/>
    </row>
    <row r="2366" spans="1:11" ht="15.75" thickBot="1" x14ac:dyDescent="0.3">
      <c r="A2366" s="1527"/>
      <c r="B2366" s="1555"/>
      <c r="C2366" s="1556"/>
      <c r="D2366" s="956"/>
      <c r="E2366" s="1556" t="s">
        <v>7182</v>
      </c>
      <c r="F2366" s="1557"/>
      <c r="G2366" s="1558" t="s">
        <v>7182</v>
      </c>
      <c r="H2366" s="1546">
        <f>SUM(G2362:G2366)</f>
        <v>12000</v>
      </c>
      <c r="J2366" s="1637"/>
      <c r="K2366" s="1637"/>
    </row>
    <row r="2367" spans="1:11" ht="15.75" thickBot="1" x14ac:dyDescent="0.3">
      <c r="A2367" s="1527"/>
      <c r="B2367" s="1547"/>
      <c r="C2367" s="1547"/>
      <c r="D2367" s="954"/>
      <c r="E2367" s="1547"/>
      <c r="F2367" s="1553"/>
      <c r="G2367" s="1554"/>
      <c r="H2367" s="1550"/>
    </row>
    <row r="2368" spans="1:11" ht="15.75" thickBot="1" x14ac:dyDescent="0.3">
      <c r="A2368" s="1559"/>
      <c r="B2368" s="1369" t="s">
        <v>5412</v>
      </c>
      <c r="C2368" s="1363" t="s">
        <v>5420</v>
      </c>
      <c r="D2368" s="1120" t="s">
        <v>5421</v>
      </c>
      <c r="E2368" s="1363" t="s">
        <v>7187</v>
      </c>
      <c r="F2368" s="1363" t="s">
        <v>5405</v>
      </c>
      <c r="G2368" s="1370" t="s">
        <v>7179</v>
      </c>
      <c r="H2368" s="1371"/>
    </row>
    <row r="2369" spans="1:11" x14ac:dyDescent="0.25">
      <c r="A2369" s="1527"/>
      <c r="B2369" s="1560" t="s">
        <v>9422</v>
      </c>
      <c r="C2369" s="1569">
        <v>170000</v>
      </c>
      <c r="D2369" s="352">
        <f>0.6*C2369</f>
        <v>102000</v>
      </c>
      <c r="E2369" s="1569">
        <f>+D2369+C2369</f>
        <v>272000</v>
      </c>
      <c r="F2369" s="819">
        <v>0.4</v>
      </c>
      <c r="G2369" s="818">
        <f>+F2369*E2369</f>
        <v>108800</v>
      </c>
      <c r="H2369" s="1524"/>
    </row>
    <row r="2370" spans="1:11" x14ac:dyDescent="0.25">
      <c r="A2370" s="1527"/>
      <c r="B2370" s="1560"/>
      <c r="C2370" s="1569"/>
      <c r="D2370" s="1569"/>
      <c r="E2370" s="1569"/>
      <c r="F2370" s="819"/>
      <c r="G2370" s="818"/>
      <c r="H2370" s="1524"/>
    </row>
    <row r="2371" spans="1:11" x14ac:dyDescent="0.25">
      <c r="A2371" s="1527"/>
      <c r="B2371" s="1561"/>
      <c r="C2371" s="1569"/>
      <c r="D2371" s="1569"/>
      <c r="E2371" s="1569"/>
      <c r="F2371" s="817"/>
      <c r="G2371" s="818"/>
      <c r="H2371" s="1524"/>
    </row>
    <row r="2372" spans="1:11" x14ac:dyDescent="0.25">
      <c r="A2372" s="1527"/>
      <c r="B2372" s="1540"/>
      <c r="C2372" s="1569"/>
      <c r="D2372" s="1569"/>
      <c r="E2372" s="1569"/>
      <c r="F2372" s="817"/>
      <c r="G2372" s="818"/>
      <c r="H2372" s="1524"/>
    </row>
    <row r="2373" spans="1:11" x14ac:dyDescent="0.25">
      <c r="A2373" s="1527"/>
      <c r="B2373" s="1540"/>
      <c r="C2373" s="1538" t="s">
        <v>7182</v>
      </c>
      <c r="D2373" s="952" t="s">
        <v>7182</v>
      </c>
      <c r="E2373" s="1538" t="s">
        <v>7182</v>
      </c>
      <c r="F2373" s="817"/>
      <c r="G2373" s="818" t="str">
        <f>IF(B2373="","",E2373/F2373)</f>
        <v/>
      </c>
      <c r="H2373" s="1524"/>
    </row>
    <row r="2374" spans="1:11" ht="15.75" thickBot="1" x14ac:dyDescent="0.3">
      <c r="A2374" s="1527"/>
      <c r="B2374" s="1540"/>
      <c r="C2374" s="1538" t="s">
        <v>7182</v>
      </c>
      <c r="D2374" s="952" t="s">
        <v>7182</v>
      </c>
      <c r="E2374" s="1538" t="s">
        <v>7182</v>
      </c>
      <c r="F2374" s="1537"/>
      <c r="G2374" s="818" t="str">
        <f>IF(B2374="","",E2374/F2374)</f>
        <v/>
      </c>
      <c r="H2374" s="1524"/>
    </row>
    <row r="2375" spans="1:11" ht="15.75" thickBot="1" x14ac:dyDescent="0.3">
      <c r="A2375" s="1527"/>
      <c r="B2375" s="1555"/>
      <c r="C2375" s="1556"/>
      <c r="D2375" s="956"/>
      <c r="E2375" s="1556"/>
      <c r="F2375" s="1557"/>
      <c r="G2375" s="1558"/>
      <c r="H2375" s="1546">
        <f>SUM(G2369:G2375)</f>
        <v>108800</v>
      </c>
    </row>
    <row r="2376" spans="1:11" ht="15.75" thickBot="1" x14ac:dyDescent="0.3">
      <c r="A2376" s="1527"/>
      <c r="B2376" s="1527"/>
      <c r="C2376" s="1527"/>
      <c r="D2376" s="529"/>
      <c r="F2376" s="1528"/>
      <c r="G2376" s="1524"/>
      <c r="H2376" s="1524"/>
    </row>
    <row r="2377" spans="1:11" ht="15.75" thickBot="1" x14ac:dyDescent="0.3">
      <c r="A2377" s="1647" t="s">
        <v>6744</v>
      </c>
      <c r="B2377" s="1352"/>
      <c r="C2377" s="1352"/>
      <c r="D2377" s="1671"/>
      <c r="E2377" s="1672"/>
      <c r="F2377" s="1353"/>
      <c r="G2377" s="1527" t="s">
        <v>5415</v>
      </c>
      <c r="H2377" s="502">
        <f>ROUND(SUM(H2335:H2376),0)</f>
        <v>451600</v>
      </c>
      <c r="J2377" s="1673">
        <f>+B2331</f>
        <v>10.52</v>
      </c>
      <c r="K2377" s="1674">
        <f>+H2377</f>
        <v>451600</v>
      </c>
    </row>
    <row r="2378" spans="1:11" x14ac:dyDescent="0.25">
      <c r="A2378" s="1675"/>
      <c r="B2378" s="1676"/>
      <c r="C2378" s="1676"/>
      <c r="D2378" s="1677"/>
      <c r="E2378" s="1678"/>
      <c r="F2378" s="1679"/>
      <c r="G2378" s="1680"/>
      <c r="H2378" s="1680"/>
    </row>
    <row r="2379" spans="1:11" ht="18.75" x14ac:dyDescent="0.25">
      <c r="A2379" s="1523"/>
      <c r="B2379" s="1655"/>
      <c r="C2379" s="1655"/>
      <c r="D2379" s="950"/>
      <c r="E2379" s="1655"/>
      <c r="F2379" s="1655"/>
      <c r="G2379" s="1655"/>
      <c r="H2379" s="8"/>
    </row>
    <row r="2380" spans="1:11" x14ac:dyDescent="0.25">
      <c r="A2380" s="1523"/>
      <c r="B2380" s="8"/>
      <c r="C2380" s="8"/>
      <c r="D2380" s="529"/>
      <c r="E2380" s="8"/>
      <c r="F2380" s="1523"/>
      <c r="G2380" s="1524"/>
      <c r="H2380" s="8"/>
    </row>
    <row r="2381" spans="1:11" x14ac:dyDescent="0.25">
      <c r="A2381" s="1665" t="s">
        <v>3</v>
      </c>
      <c r="B2381" s="1666">
        <f>+VLOOKUP(C2381,ListaAPUs!$B:$E,4,FALSE)</f>
        <v>10.53</v>
      </c>
      <c r="C2381" s="2441" t="str">
        <f>+ListaAPUs!B253</f>
        <v>Postes de concreto de 10mts. Tipo A.P.</v>
      </c>
      <c r="D2381" s="2441"/>
      <c r="E2381" s="2441"/>
      <c r="F2381" s="1665" t="s">
        <v>867</v>
      </c>
      <c r="G2381" s="1390" t="str">
        <f>+VLOOKUP(C2381,ListaAPUs!$B:$E,2,FALSE)</f>
        <v>un</v>
      </c>
      <c r="H2381" s="1524"/>
    </row>
    <row r="2382" spans="1:11" x14ac:dyDescent="0.25">
      <c r="A2382" s="1528"/>
      <c r="B2382" s="1527"/>
      <c r="C2382" s="1527"/>
      <c r="D2382" s="529"/>
      <c r="E2382" s="1527"/>
      <c r="F2382" s="1528"/>
      <c r="G2382" s="1524"/>
      <c r="H2382" s="1524"/>
    </row>
    <row r="2383" spans="1:11" x14ac:dyDescent="0.25">
      <c r="A2383" s="1528"/>
      <c r="B2383" s="1527"/>
      <c r="C2383" s="1527"/>
      <c r="D2383" s="529"/>
      <c r="E2383" s="1527"/>
      <c r="F2383" s="1528"/>
      <c r="G2383" s="1529"/>
      <c r="H2383" s="1524"/>
      <c r="J2383" s="1637"/>
      <c r="K2383" s="1637"/>
    </row>
    <row r="2384" spans="1:11" ht="15.75" thickBot="1" x14ac:dyDescent="0.3">
      <c r="A2384" s="1528"/>
      <c r="B2384" s="1527"/>
      <c r="C2384" s="1527"/>
      <c r="D2384" s="529"/>
      <c r="E2384" s="1527"/>
      <c r="F2384" s="1528"/>
      <c r="G2384" s="1524"/>
      <c r="H2384" s="1524"/>
      <c r="J2384" s="1637"/>
      <c r="K2384" s="1637"/>
    </row>
    <row r="2385" spans="1:11" ht="15.75" thickBot="1" x14ac:dyDescent="0.3">
      <c r="A2385" s="1368"/>
      <c r="B2385" s="1369" t="s">
        <v>5403</v>
      </c>
      <c r="C2385" s="1363" t="s">
        <v>867</v>
      </c>
      <c r="D2385" s="1120" t="s">
        <v>6</v>
      </c>
      <c r="E2385" s="1363" t="s">
        <v>9417</v>
      </c>
      <c r="F2385" s="1363" t="s">
        <v>5405</v>
      </c>
      <c r="G2385" s="1370" t="s">
        <v>7179</v>
      </c>
      <c r="H2385" s="1371"/>
      <c r="J2385" s="1637"/>
      <c r="K2385" s="1637"/>
    </row>
    <row r="2386" spans="1:11" ht="25.5" x14ac:dyDescent="0.25">
      <c r="A2386" s="1528"/>
      <c r="B2386" s="1533" t="s">
        <v>9516</v>
      </c>
      <c r="C2386" s="1348" t="s">
        <v>5</v>
      </c>
      <c r="D2386" s="1686">
        <v>1</v>
      </c>
      <c r="E2386" s="1349">
        <v>590950</v>
      </c>
      <c r="F2386" s="1350">
        <v>1</v>
      </c>
      <c r="G2386" s="1351">
        <f>+F2386*E2386*D2386</f>
        <v>590950</v>
      </c>
      <c r="H2386" s="1524"/>
      <c r="J2386" s="1637"/>
      <c r="K2386" s="1637"/>
    </row>
    <row r="2387" spans="1:11" x14ac:dyDescent="0.25">
      <c r="A2387" s="1528"/>
      <c r="B2387" s="1539"/>
      <c r="C2387" s="1537"/>
      <c r="D2387" s="212"/>
      <c r="E2387" s="816"/>
      <c r="F2387" s="1563"/>
      <c r="G2387" s="814"/>
      <c r="H2387" s="1524"/>
      <c r="J2387" s="1637"/>
      <c r="K2387" s="1637"/>
    </row>
    <row r="2388" spans="1:11" x14ac:dyDescent="0.25">
      <c r="A2388" s="1528"/>
      <c r="B2388" s="1667"/>
      <c r="C2388" s="1537"/>
      <c r="D2388" s="212"/>
      <c r="E2388" s="816"/>
      <c r="F2388" s="1563"/>
      <c r="G2388" s="814"/>
      <c r="H2388" s="1524"/>
      <c r="J2388" s="1637"/>
      <c r="K2388" s="1637"/>
    </row>
    <row r="2389" spans="1:11" x14ac:dyDescent="0.25">
      <c r="A2389" s="1528"/>
      <c r="B2389" s="1667"/>
      <c r="C2389" s="1537"/>
      <c r="D2389" s="212"/>
      <c r="E2389" s="816"/>
      <c r="F2389" s="1563"/>
      <c r="G2389" s="814"/>
      <c r="H2389" s="1524"/>
      <c r="J2389" s="1637"/>
      <c r="K2389" s="1637"/>
    </row>
    <row r="2390" spans="1:11" x14ac:dyDescent="0.25">
      <c r="A2390" s="1528"/>
      <c r="B2390" s="1667"/>
      <c r="C2390" s="1537"/>
      <c r="D2390" s="212"/>
      <c r="E2390" s="816"/>
      <c r="F2390" s="1563"/>
      <c r="G2390" s="814"/>
      <c r="H2390" s="1524"/>
      <c r="J2390" s="1637"/>
      <c r="K2390" s="1637"/>
    </row>
    <row r="2391" spans="1:11" x14ac:dyDescent="0.25">
      <c r="A2391" s="1528"/>
      <c r="B2391" s="1667"/>
      <c r="C2391" s="1537"/>
      <c r="D2391" s="212"/>
      <c r="E2391" s="816"/>
      <c r="F2391" s="1563"/>
      <c r="G2391" s="814"/>
      <c r="H2391" s="1524"/>
      <c r="J2391" s="1637"/>
      <c r="K2391" s="1637"/>
    </row>
    <row r="2392" spans="1:11" x14ac:dyDescent="0.25">
      <c r="A2392" s="1528"/>
      <c r="B2392" s="1667"/>
      <c r="C2392" s="1537"/>
      <c r="D2392" s="212"/>
      <c r="E2392" s="816"/>
      <c r="F2392" s="1563"/>
      <c r="G2392" s="814"/>
      <c r="H2392" s="1524"/>
      <c r="J2392" s="1637"/>
      <c r="K2392" s="1637"/>
    </row>
    <row r="2393" spans="1:11" x14ac:dyDescent="0.25">
      <c r="A2393" s="1528"/>
      <c r="B2393" s="1667"/>
      <c r="C2393" s="1537"/>
      <c r="D2393" s="212"/>
      <c r="E2393" s="816"/>
      <c r="F2393" s="1563"/>
      <c r="G2393" s="814"/>
      <c r="H2393" s="1524"/>
      <c r="J2393" s="1637"/>
      <c r="K2393" s="1637"/>
    </row>
    <row r="2394" spans="1:11" x14ac:dyDescent="0.25">
      <c r="A2394" s="1528"/>
      <c r="B2394" s="1667"/>
      <c r="C2394" s="1537"/>
      <c r="D2394" s="212"/>
      <c r="E2394" s="816"/>
      <c r="F2394" s="1563"/>
      <c r="G2394" s="814"/>
      <c r="H2394" s="1524"/>
      <c r="J2394" s="1637"/>
      <c r="K2394" s="1637"/>
    </row>
    <row r="2395" spans="1:11" x14ac:dyDescent="0.25">
      <c r="A2395" s="1528"/>
      <c r="B2395" s="1667"/>
      <c r="C2395" s="1537"/>
      <c r="D2395" s="212"/>
      <c r="E2395" s="816"/>
      <c r="F2395" s="1563"/>
      <c r="G2395" s="814"/>
      <c r="H2395" s="1524"/>
      <c r="J2395" s="1637"/>
      <c r="K2395" s="1637"/>
    </row>
    <row r="2396" spans="1:11" x14ac:dyDescent="0.25">
      <c r="A2396" s="1528"/>
      <c r="B2396" s="1667"/>
      <c r="C2396" s="1537"/>
      <c r="D2396" s="212"/>
      <c r="E2396" s="816"/>
      <c r="F2396" s="1563"/>
      <c r="G2396" s="814"/>
      <c r="H2396" s="1524"/>
      <c r="J2396" s="1637"/>
      <c r="K2396" s="1637"/>
    </row>
    <row r="2397" spans="1:11" x14ac:dyDescent="0.25">
      <c r="A2397" s="1528"/>
      <c r="B2397" s="269"/>
      <c r="C2397" s="1537"/>
      <c r="D2397" s="212"/>
      <c r="E2397" s="816"/>
      <c r="F2397" s="1563"/>
      <c r="G2397" s="814"/>
      <c r="H2397" s="1524"/>
      <c r="J2397" s="1637"/>
      <c r="K2397" s="1637"/>
    </row>
    <row r="2398" spans="1:11" x14ac:dyDescent="0.25">
      <c r="A2398" s="1528"/>
      <c r="B2398" s="268"/>
      <c r="C2398" s="1534"/>
      <c r="D2398" s="211"/>
      <c r="E2398" s="1535" t="s">
        <v>7182</v>
      </c>
      <c r="F2398" s="1551"/>
      <c r="G2398" s="1541" t="s">
        <v>7182</v>
      </c>
      <c r="H2398" s="1524"/>
      <c r="J2398" s="1637"/>
      <c r="K2398" s="1637"/>
    </row>
    <row r="2399" spans="1:11" x14ac:dyDescent="0.25">
      <c r="A2399" s="1528"/>
      <c r="B2399" s="1346"/>
      <c r="C2399" s="1534"/>
      <c r="D2399" s="211"/>
      <c r="E2399" s="1535" t="s">
        <v>7182</v>
      </c>
      <c r="F2399" s="1551"/>
      <c r="G2399" s="1541" t="s">
        <v>7182</v>
      </c>
      <c r="H2399" s="1524"/>
      <c r="J2399" s="1637"/>
      <c r="K2399" s="1637"/>
    </row>
    <row r="2400" spans="1:11" ht="15.75" thickBot="1" x14ac:dyDescent="0.3">
      <c r="A2400" s="1528"/>
      <c r="B2400" s="1540"/>
      <c r="C2400" s="1537"/>
      <c r="D2400" s="952"/>
      <c r="E2400" s="1538" t="s">
        <v>7182</v>
      </c>
      <c r="F2400" s="1537"/>
      <c r="G2400" s="1541" t="s">
        <v>7182</v>
      </c>
      <c r="H2400" s="1524"/>
      <c r="J2400" s="1637"/>
      <c r="K2400" s="1637"/>
    </row>
    <row r="2401" spans="1:11" ht="15.75" thickBot="1" x14ac:dyDescent="0.3">
      <c r="A2401" s="1528"/>
      <c r="B2401" s="1555"/>
      <c r="C2401" s="1557"/>
      <c r="D2401" s="956"/>
      <c r="E2401" s="1556" t="s">
        <v>7182</v>
      </c>
      <c r="F2401" s="1557"/>
      <c r="G2401" s="1558" t="s">
        <v>7182</v>
      </c>
      <c r="H2401" s="1546">
        <f>SUM(G2386:G2401)</f>
        <v>590950</v>
      </c>
      <c r="J2401" s="1637"/>
      <c r="K2401" s="1637"/>
    </row>
    <row r="2402" spans="1:11" x14ac:dyDescent="0.25">
      <c r="A2402" s="1528"/>
      <c r="B2402" s="1372"/>
      <c r="C2402" s="1374"/>
      <c r="D2402" s="1373"/>
      <c r="E2402" s="1372" t="s">
        <v>7182</v>
      </c>
      <c r="F2402" s="1374"/>
      <c r="G2402" s="1375" t="s">
        <v>7182</v>
      </c>
      <c r="H2402" s="1550"/>
      <c r="J2402" s="1637"/>
      <c r="K2402" s="1637"/>
    </row>
    <row r="2403" spans="1:11" ht="15.75" thickBot="1" x14ac:dyDescent="0.3">
      <c r="A2403" s="1527"/>
      <c r="B2403" s="188"/>
      <c r="C2403" s="189"/>
      <c r="D2403" s="1668"/>
      <c r="E2403" s="188"/>
      <c r="F2403" s="189"/>
      <c r="G2403" s="1669"/>
      <c r="H2403" s="1550"/>
      <c r="J2403" s="1637"/>
      <c r="K2403" s="1637"/>
    </row>
    <row r="2404" spans="1:11" ht="15.75" thickBot="1" x14ac:dyDescent="0.3">
      <c r="A2404" s="1527"/>
      <c r="B2404" s="1366" t="s">
        <v>9418</v>
      </c>
      <c r="C2404" s="1363" t="s">
        <v>867</v>
      </c>
      <c r="D2404" s="1120" t="s">
        <v>6</v>
      </c>
      <c r="E2404" s="1363" t="s">
        <v>7183</v>
      </c>
      <c r="F2404" s="1363" t="s">
        <v>5405</v>
      </c>
      <c r="G2404" s="1365" t="s">
        <v>7179</v>
      </c>
      <c r="H2404" s="1524"/>
      <c r="J2404" s="1637"/>
      <c r="K2404" s="1637"/>
    </row>
    <row r="2405" spans="1:11" x14ac:dyDescent="0.25">
      <c r="A2405" s="1527"/>
      <c r="B2405" s="1564" t="s">
        <v>5455</v>
      </c>
      <c r="C2405" s="1534" t="s">
        <v>5</v>
      </c>
      <c r="D2405" s="211">
        <v>1</v>
      </c>
      <c r="E2405" s="1535">
        <v>25000</v>
      </c>
      <c r="F2405" s="1534">
        <v>1</v>
      </c>
      <c r="G2405" s="1572">
        <f>+F2405*E2405</f>
        <v>25000</v>
      </c>
      <c r="H2405" s="1524"/>
      <c r="J2405" s="1637"/>
      <c r="K2405" s="1637"/>
    </row>
    <row r="2406" spans="1:11" x14ac:dyDescent="0.25">
      <c r="A2406" s="1527"/>
      <c r="B2406" s="1540"/>
      <c r="C2406" s="1537"/>
      <c r="D2406" s="212"/>
      <c r="E2406" s="1535" t="s">
        <v>7182</v>
      </c>
      <c r="F2406" s="1537"/>
      <c r="G2406" s="1572" t="s">
        <v>7182</v>
      </c>
      <c r="H2406" s="1524"/>
      <c r="J2406" s="1637"/>
      <c r="K2406" s="1637"/>
    </row>
    <row r="2407" spans="1:11" x14ac:dyDescent="0.25">
      <c r="A2407" s="1527"/>
      <c r="B2407" s="1540"/>
      <c r="C2407" s="1537"/>
      <c r="D2407" s="212"/>
      <c r="E2407" s="1535" t="s">
        <v>7182</v>
      </c>
      <c r="F2407" s="1537"/>
      <c r="G2407" s="1572" t="s">
        <v>7182</v>
      </c>
      <c r="H2407" s="1524"/>
      <c r="J2407" s="1637"/>
      <c r="K2407" s="1637"/>
    </row>
    <row r="2408" spans="1:11" ht="15.75" thickBot="1" x14ac:dyDescent="0.3">
      <c r="A2408" s="1527"/>
      <c r="B2408" s="1540"/>
      <c r="C2408" s="1537"/>
      <c r="D2408" s="212"/>
      <c r="E2408" s="1535" t="s">
        <v>7182</v>
      </c>
      <c r="F2408" s="1537"/>
      <c r="G2408" s="1572" t="s">
        <v>7182</v>
      </c>
      <c r="H2408" s="1524"/>
      <c r="J2408" s="1637"/>
      <c r="K2408" s="1637"/>
    </row>
    <row r="2409" spans="1:11" ht="15.75" thickBot="1" x14ac:dyDescent="0.3">
      <c r="A2409" s="1527"/>
      <c r="B2409" s="1555"/>
      <c r="C2409" s="1556"/>
      <c r="D2409" s="956"/>
      <c r="E2409" s="1556" t="s">
        <v>7182</v>
      </c>
      <c r="F2409" s="1557"/>
      <c r="G2409" s="1558" t="s">
        <v>7182</v>
      </c>
      <c r="H2409" s="1546">
        <f>SUM(G2405:G2409)</f>
        <v>25000</v>
      </c>
      <c r="J2409" s="1637"/>
      <c r="K2409" s="1637"/>
    </row>
    <row r="2410" spans="1:11" ht="15.75" thickBot="1" x14ac:dyDescent="0.3">
      <c r="A2410" s="1527"/>
      <c r="B2410" s="1376"/>
      <c r="C2410" s="1353"/>
      <c r="D2410" s="1355"/>
      <c r="E2410" s="1352"/>
      <c r="F2410" s="1377"/>
      <c r="G2410" s="1378"/>
      <c r="H2410" s="1524"/>
      <c r="J2410" s="1637"/>
      <c r="K2410" s="1637"/>
    </row>
    <row r="2411" spans="1:11" ht="15.75" thickBot="1" x14ac:dyDescent="0.3">
      <c r="A2411" s="1527"/>
      <c r="B2411" s="1366" t="s">
        <v>5410</v>
      </c>
      <c r="C2411" s="1363" t="s">
        <v>867</v>
      </c>
      <c r="D2411" s="1120" t="s">
        <v>6</v>
      </c>
      <c r="E2411" s="1363" t="s">
        <v>7183</v>
      </c>
      <c r="F2411" s="1363" t="s">
        <v>5405</v>
      </c>
      <c r="G2411" s="1365" t="s">
        <v>7179</v>
      </c>
      <c r="H2411" s="1524"/>
      <c r="J2411" s="1637"/>
      <c r="K2411" s="1637"/>
    </row>
    <row r="2412" spans="1:11" ht="25.5" x14ac:dyDescent="0.25">
      <c r="A2412" s="1527"/>
      <c r="B2412" s="1770" t="s">
        <v>9421</v>
      </c>
      <c r="C2412" s="1747" t="s">
        <v>9023</v>
      </c>
      <c r="D2412" s="1772">
        <v>1</v>
      </c>
      <c r="E2412" s="1748">
        <v>240000</v>
      </c>
      <c r="F2412" s="1777">
        <v>0.1</v>
      </c>
      <c r="G2412" s="1783">
        <f>+F2412*E2412</f>
        <v>24000</v>
      </c>
      <c r="H2412" s="1524"/>
      <c r="J2412" s="1637"/>
      <c r="K2412" s="1637"/>
    </row>
    <row r="2413" spans="1:11" x14ac:dyDescent="0.25">
      <c r="A2413" s="1527"/>
      <c r="B2413" s="1752" t="s">
        <v>9517</v>
      </c>
      <c r="C2413" s="1749" t="s">
        <v>9023</v>
      </c>
      <c r="D2413" s="1773">
        <v>1</v>
      </c>
      <c r="E2413" s="1748">
        <v>120000</v>
      </c>
      <c r="F2413" s="1776">
        <v>0.1</v>
      </c>
      <c r="G2413" s="1783">
        <f>+F2413*E2413*D2413</f>
        <v>12000</v>
      </c>
      <c r="H2413" s="1524"/>
      <c r="J2413" s="1637"/>
      <c r="K2413" s="1637"/>
    </row>
    <row r="2414" spans="1:11" x14ac:dyDescent="0.25">
      <c r="A2414" s="1527"/>
      <c r="B2414" s="1540"/>
      <c r="C2414" s="1537"/>
      <c r="D2414" s="212"/>
      <c r="E2414" s="1535" t="s">
        <v>7182</v>
      </c>
      <c r="F2414" s="1537"/>
      <c r="G2414" s="1572" t="s">
        <v>7182</v>
      </c>
      <c r="H2414" s="1524"/>
      <c r="J2414" s="1637"/>
      <c r="K2414" s="1637"/>
    </row>
    <row r="2415" spans="1:11" ht="15.75" thickBot="1" x14ac:dyDescent="0.3">
      <c r="A2415" s="1527"/>
      <c r="B2415" s="1540"/>
      <c r="C2415" s="1537"/>
      <c r="D2415" s="212"/>
      <c r="E2415" s="1535" t="s">
        <v>7182</v>
      </c>
      <c r="F2415" s="1537"/>
      <c r="G2415" s="1572" t="s">
        <v>7182</v>
      </c>
      <c r="H2415" s="1524"/>
    </row>
    <row r="2416" spans="1:11" ht="15.75" thickBot="1" x14ac:dyDescent="0.3">
      <c r="A2416" s="1527"/>
      <c r="B2416" s="1555"/>
      <c r="C2416" s="1556"/>
      <c r="D2416" s="956"/>
      <c r="E2416" s="1556" t="s">
        <v>7182</v>
      </c>
      <c r="F2416" s="1557"/>
      <c r="G2416" s="1558" t="s">
        <v>7182</v>
      </c>
      <c r="H2416" s="1546">
        <f>SUM(G2412:G2416)</f>
        <v>36000</v>
      </c>
    </row>
    <row r="2417" spans="1:11" ht="15.75" thickBot="1" x14ac:dyDescent="0.3">
      <c r="A2417" s="1527"/>
      <c r="B2417" s="1547"/>
      <c r="C2417" s="1547"/>
      <c r="D2417" s="954"/>
      <c r="E2417" s="1547"/>
      <c r="F2417" s="1553"/>
      <c r="G2417" s="1554"/>
      <c r="H2417" s="1550"/>
    </row>
    <row r="2418" spans="1:11" ht="15.75" thickBot="1" x14ac:dyDescent="0.3">
      <c r="A2418" s="1559"/>
      <c r="B2418" s="1369" t="s">
        <v>5412</v>
      </c>
      <c r="C2418" s="1363" t="s">
        <v>5420</v>
      </c>
      <c r="D2418" s="1120" t="s">
        <v>5421</v>
      </c>
      <c r="E2418" s="1363" t="s">
        <v>7187</v>
      </c>
      <c r="F2418" s="1363" t="s">
        <v>5405</v>
      </c>
      <c r="G2418" s="1370" t="s">
        <v>7179</v>
      </c>
      <c r="H2418" s="1371"/>
    </row>
    <row r="2419" spans="1:11" x14ac:dyDescent="0.25">
      <c r="A2419" s="1527"/>
      <c r="B2419" s="1767" t="s">
        <v>9422</v>
      </c>
      <c r="C2419" s="1778">
        <v>170000</v>
      </c>
      <c r="D2419" s="1779">
        <f>0.6*C2419</f>
        <v>102000</v>
      </c>
      <c r="E2419" s="1778">
        <f>+D2419+C2419</f>
        <v>272000</v>
      </c>
      <c r="F2419" s="1790">
        <v>0.5</v>
      </c>
      <c r="G2419" s="1789">
        <f>+F2419*E2419</f>
        <v>136000</v>
      </c>
      <c r="H2419" s="1524"/>
    </row>
    <row r="2420" spans="1:11" x14ac:dyDescent="0.25">
      <c r="A2420" s="1527"/>
      <c r="B2420" s="1767"/>
      <c r="C2420" s="1778"/>
      <c r="D2420" s="1778"/>
      <c r="E2420" s="1778"/>
      <c r="F2420" s="1790"/>
      <c r="G2420" s="1789"/>
      <c r="H2420" s="1524"/>
    </row>
    <row r="2421" spans="1:11" x14ac:dyDescent="0.25">
      <c r="A2421" s="1527"/>
      <c r="B2421" s="1561"/>
      <c r="C2421" s="1569"/>
      <c r="D2421" s="1569"/>
      <c r="E2421" s="1569"/>
      <c r="F2421" s="817"/>
      <c r="G2421" s="818"/>
      <c r="H2421" s="1524"/>
    </row>
    <row r="2422" spans="1:11" x14ac:dyDescent="0.25">
      <c r="A2422" s="1527"/>
      <c r="B2422" s="1540"/>
      <c r="C2422" s="1569"/>
      <c r="D2422" s="1569"/>
      <c r="E2422" s="1569"/>
      <c r="F2422" s="817"/>
      <c r="G2422" s="818"/>
      <c r="H2422" s="1524"/>
    </row>
    <row r="2423" spans="1:11" x14ac:dyDescent="0.25">
      <c r="A2423" s="1527"/>
      <c r="B2423" s="1540"/>
      <c r="C2423" s="1538" t="s">
        <v>7182</v>
      </c>
      <c r="D2423" s="952" t="s">
        <v>7182</v>
      </c>
      <c r="E2423" s="1538" t="s">
        <v>7182</v>
      </c>
      <c r="F2423" s="817"/>
      <c r="G2423" s="818" t="str">
        <f>IF(B2423="","",E2423/F2423)</f>
        <v/>
      </c>
      <c r="H2423" s="1524"/>
    </row>
    <row r="2424" spans="1:11" ht="15.75" thickBot="1" x14ac:dyDescent="0.3">
      <c r="A2424" s="1527"/>
      <c r="B2424" s="1540"/>
      <c r="C2424" s="1538" t="s">
        <v>7182</v>
      </c>
      <c r="D2424" s="952" t="s">
        <v>7182</v>
      </c>
      <c r="E2424" s="1538" t="s">
        <v>7182</v>
      </c>
      <c r="F2424" s="1537"/>
      <c r="G2424" s="818" t="str">
        <f>IF(B2424="","",E2424/F2424)</f>
        <v/>
      </c>
      <c r="H2424" s="1524"/>
    </row>
    <row r="2425" spans="1:11" ht="15.75" thickBot="1" x14ac:dyDescent="0.3">
      <c r="A2425" s="1527"/>
      <c r="B2425" s="1555"/>
      <c r="C2425" s="1556"/>
      <c r="D2425" s="956"/>
      <c r="E2425" s="1556"/>
      <c r="F2425" s="1557"/>
      <c r="G2425" s="1558"/>
      <c r="H2425" s="1546">
        <f>SUM(G2419:G2425)</f>
        <v>136000</v>
      </c>
    </row>
    <row r="2426" spans="1:11" ht="15.75" thickBot="1" x14ac:dyDescent="0.3">
      <c r="A2426" s="1527"/>
      <c r="B2426" s="1527"/>
      <c r="C2426" s="1527"/>
      <c r="D2426" s="529"/>
      <c r="F2426" s="1528"/>
      <c r="G2426" s="1524"/>
      <c r="H2426" s="1524"/>
    </row>
    <row r="2427" spans="1:11" ht="15.75" thickBot="1" x14ac:dyDescent="0.3">
      <c r="A2427" s="1647" t="s">
        <v>6744</v>
      </c>
      <c r="B2427" s="1352"/>
      <c r="C2427" s="1352"/>
      <c r="D2427" s="1671"/>
      <c r="E2427" s="1672"/>
      <c r="F2427" s="1353"/>
      <c r="G2427" s="1527" t="s">
        <v>5415</v>
      </c>
      <c r="H2427" s="502">
        <f>ROUND(SUM(H2385:H2426),0)</f>
        <v>787950</v>
      </c>
      <c r="J2427" s="1673">
        <f>+B2381</f>
        <v>10.53</v>
      </c>
      <c r="K2427" s="1674">
        <f>+H2427</f>
        <v>787950</v>
      </c>
    </row>
    <row r="2428" spans="1:11" x14ac:dyDescent="0.25">
      <c r="A2428" s="1675"/>
      <c r="B2428" s="1676"/>
      <c r="C2428" s="1676"/>
      <c r="D2428" s="1677"/>
      <c r="E2428" s="1678"/>
      <c r="F2428" s="1679"/>
      <c r="G2428" s="1680"/>
      <c r="H2428" s="1680"/>
    </row>
    <row r="2429" spans="1:11" ht="18.75" x14ac:dyDescent="0.25">
      <c r="A2429" s="1523"/>
      <c r="B2429" s="1655"/>
      <c r="C2429" s="1655"/>
      <c r="D2429" s="950"/>
      <c r="E2429" s="1655"/>
      <c r="F2429" s="1655"/>
      <c r="G2429" s="1655"/>
      <c r="H2429" s="8"/>
    </row>
    <row r="2430" spans="1:11" x14ac:dyDescent="0.25">
      <c r="A2430" s="1523"/>
      <c r="B2430" s="8"/>
      <c r="C2430" s="8"/>
      <c r="D2430" s="529"/>
      <c r="E2430" s="8"/>
      <c r="F2430" s="1523"/>
      <c r="G2430" s="1524"/>
      <c r="H2430" s="8"/>
    </row>
    <row r="2431" spans="1:11" x14ac:dyDescent="0.25">
      <c r="A2431" s="1665" t="s">
        <v>3</v>
      </c>
      <c r="B2431" s="1666">
        <f>+VLOOKUP(C2431,ListaAPUs!$B:$E,4,FALSE)</f>
        <v>10.54</v>
      </c>
      <c r="C2431" s="2441" t="str">
        <f>+ListaAPUs!B254</f>
        <v>Empalmes premoldeado de baja tension 91B1</v>
      </c>
      <c r="D2431" s="2441"/>
      <c r="E2431" s="2441"/>
      <c r="F2431" s="1665" t="s">
        <v>867</v>
      </c>
      <c r="G2431" s="1390" t="str">
        <f>+VLOOKUP(C2431,ListaAPUs!$B:$E,2,FALSE)</f>
        <v>JGO</v>
      </c>
      <c r="H2431" s="1524"/>
    </row>
    <row r="2432" spans="1:11" x14ac:dyDescent="0.25">
      <c r="A2432" s="1528"/>
      <c r="B2432" s="1527"/>
      <c r="C2432" s="1527"/>
      <c r="D2432" s="529"/>
      <c r="E2432" s="1527"/>
      <c r="F2432" s="1528"/>
      <c r="G2432" s="1524"/>
      <c r="H2432" s="1524"/>
      <c r="J2432" s="1637"/>
      <c r="K2432" s="1637"/>
    </row>
    <row r="2433" spans="1:11" x14ac:dyDescent="0.25">
      <c r="A2433" s="1528"/>
      <c r="B2433" s="1527"/>
      <c r="C2433" s="1527"/>
      <c r="D2433" s="529"/>
      <c r="E2433" s="1527"/>
      <c r="F2433" s="1528"/>
      <c r="G2433" s="1529"/>
      <c r="H2433" s="1524"/>
      <c r="J2433" s="1637"/>
      <c r="K2433" s="1637"/>
    </row>
    <row r="2434" spans="1:11" ht="15.75" thickBot="1" x14ac:dyDescent="0.3">
      <c r="A2434" s="1528"/>
      <c r="B2434" s="1527"/>
      <c r="C2434" s="1527"/>
      <c r="D2434" s="529"/>
      <c r="E2434" s="1527"/>
      <c r="F2434" s="1528"/>
      <c r="G2434" s="1524"/>
      <c r="H2434" s="1524"/>
      <c r="J2434" s="1637"/>
      <c r="K2434" s="1637"/>
    </row>
    <row r="2435" spans="1:11" ht="15.75" thickBot="1" x14ac:dyDescent="0.3">
      <c r="A2435" s="1368"/>
      <c r="B2435" s="1369" t="s">
        <v>5403</v>
      </c>
      <c r="C2435" s="1363" t="s">
        <v>867</v>
      </c>
      <c r="D2435" s="1120" t="s">
        <v>6</v>
      </c>
      <c r="E2435" s="1363" t="s">
        <v>9417</v>
      </c>
      <c r="F2435" s="1363" t="s">
        <v>5405</v>
      </c>
      <c r="G2435" s="1370" t="s">
        <v>7179</v>
      </c>
      <c r="H2435" s="1371"/>
      <c r="J2435" s="1637"/>
      <c r="K2435" s="1637"/>
    </row>
    <row r="2436" spans="1:11" ht="25.5" x14ac:dyDescent="0.25">
      <c r="A2436" s="1528"/>
      <c r="B2436" s="1746" t="s">
        <v>9518</v>
      </c>
      <c r="C2436" s="1802" t="s">
        <v>9621</v>
      </c>
      <c r="D2436" s="1832">
        <v>1</v>
      </c>
      <c r="E2436" s="1803">
        <v>185671</v>
      </c>
      <c r="F2436" s="1804">
        <v>1</v>
      </c>
      <c r="G2436" s="1805">
        <f>+F2436*E2436*D2436</f>
        <v>185671</v>
      </c>
      <c r="H2436" s="1524"/>
      <c r="J2436" s="1637"/>
      <c r="K2436" s="1637"/>
    </row>
    <row r="2437" spans="1:11" x14ac:dyDescent="0.25">
      <c r="A2437" s="1528"/>
      <c r="B2437" s="1539"/>
      <c r="C2437" s="1537"/>
      <c r="D2437" s="212"/>
      <c r="E2437" s="816"/>
      <c r="F2437" s="1563"/>
      <c r="G2437" s="814"/>
      <c r="H2437" s="1524"/>
      <c r="J2437" s="1637"/>
      <c r="K2437" s="1637"/>
    </row>
    <row r="2438" spans="1:11" x14ac:dyDescent="0.25">
      <c r="A2438" s="1528"/>
      <c r="B2438" s="1667"/>
      <c r="C2438" s="1537"/>
      <c r="D2438" s="212"/>
      <c r="E2438" s="816"/>
      <c r="F2438" s="1563"/>
      <c r="G2438" s="814"/>
      <c r="H2438" s="1524"/>
      <c r="J2438" s="1637"/>
      <c r="K2438" s="1637"/>
    </row>
    <row r="2439" spans="1:11" x14ac:dyDescent="0.25">
      <c r="A2439" s="1528"/>
      <c r="B2439" s="1667"/>
      <c r="C2439" s="1537"/>
      <c r="D2439" s="212"/>
      <c r="E2439" s="816"/>
      <c r="F2439" s="1563"/>
      <c r="G2439" s="814"/>
      <c r="H2439" s="1524"/>
      <c r="J2439" s="1637"/>
      <c r="K2439" s="1637"/>
    </row>
    <row r="2440" spans="1:11" x14ac:dyDescent="0.25">
      <c r="A2440" s="1528"/>
      <c r="B2440" s="1667"/>
      <c r="C2440" s="1537"/>
      <c r="D2440" s="212"/>
      <c r="E2440" s="816"/>
      <c r="F2440" s="1563"/>
      <c r="G2440" s="814"/>
      <c r="H2440" s="1524"/>
      <c r="J2440" s="1637"/>
      <c r="K2440" s="1637"/>
    </row>
    <row r="2441" spans="1:11" x14ac:dyDescent="0.25">
      <c r="A2441" s="1528"/>
      <c r="B2441" s="1667"/>
      <c r="C2441" s="1537"/>
      <c r="D2441" s="212"/>
      <c r="E2441" s="816"/>
      <c r="F2441" s="1563"/>
      <c r="G2441" s="814"/>
      <c r="H2441" s="1524"/>
      <c r="J2441" s="1637"/>
      <c r="K2441" s="1637"/>
    </row>
    <row r="2442" spans="1:11" x14ac:dyDescent="0.25">
      <c r="A2442" s="1528"/>
      <c r="B2442" s="1667"/>
      <c r="C2442" s="1537"/>
      <c r="D2442" s="212"/>
      <c r="E2442" s="816"/>
      <c r="F2442" s="1563"/>
      <c r="G2442" s="814"/>
      <c r="H2442" s="1524"/>
      <c r="J2442" s="1637"/>
      <c r="K2442" s="1637"/>
    </row>
    <row r="2443" spans="1:11" x14ac:dyDescent="0.25">
      <c r="A2443" s="1528"/>
      <c r="B2443" s="1667"/>
      <c r="C2443" s="1537"/>
      <c r="D2443" s="212"/>
      <c r="E2443" s="816"/>
      <c r="F2443" s="1563"/>
      <c r="G2443" s="814"/>
      <c r="H2443" s="1524"/>
      <c r="J2443" s="1637"/>
      <c r="K2443" s="1637"/>
    </row>
    <row r="2444" spans="1:11" x14ac:dyDescent="0.25">
      <c r="A2444" s="1528"/>
      <c r="B2444" s="1667"/>
      <c r="C2444" s="1537"/>
      <c r="D2444" s="212"/>
      <c r="E2444" s="816"/>
      <c r="F2444" s="1563"/>
      <c r="G2444" s="814"/>
      <c r="H2444" s="1524"/>
      <c r="J2444" s="1637"/>
      <c r="K2444" s="1637"/>
    </row>
    <row r="2445" spans="1:11" x14ac:dyDescent="0.25">
      <c r="A2445" s="1528"/>
      <c r="B2445" s="1667"/>
      <c r="C2445" s="1537"/>
      <c r="D2445" s="212"/>
      <c r="E2445" s="816"/>
      <c r="F2445" s="1563"/>
      <c r="G2445" s="814"/>
      <c r="H2445" s="1524"/>
      <c r="J2445" s="1637"/>
      <c r="K2445" s="1637"/>
    </row>
    <row r="2446" spans="1:11" x14ac:dyDescent="0.25">
      <c r="A2446" s="1528"/>
      <c r="B2446" s="1667"/>
      <c r="C2446" s="1537"/>
      <c r="D2446" s="212"/>
      <c r="E2446" s="816"/>
      <c r="F2446" s="1563"/>
      <c r="G2446" s="814"/>
      <c r="H2446" s="1524"/>
      <c r="J2446" s="1637"/>
      <c r="K2446" s="1637"/>
    </row>
    <row r="2447" spans="1:11" x14ac:dyDescent="0.25">
      <c r="A2447" s="1528"/>
      <c r="B2447" s="269"/>
      <c r="C2447" s="1537"/>
      <c r="D2447" s="212"/>
      <c r="E2447" s="816"/>
      <c r="F2447" s="1563"/>
      <c r="G2447" s="814"/>
      <c r="H2447" s="1524"/>
      <c r="J2447" s="1637"/>
      <c r="K2447" s="1637"/>
    </row>
    <row r="2448" spans="1:11" x14ac:dyDescent="0.25">
      <c r="A2448" s="1528"/>
      <c r="B2448" s="268"/>
      <c r="C2448" s="1534"/>
      <c r="D2448" s="211"/>
      <c r="E2448" s="1535" t="s">
        <v>7182</v>
      </c>
      <c r="F2448" s="1551"/>
      <c r="G2448" s="1541" t="s">
        <v>7182</v>
      </c>
      <c r="H2448" s="1524"/>
      <c r="J2448" s="1637"/>
      <c r="K2448" s="1637"/>
    </row>
    <row r="2449" spans="1:11" x14ac:dyDescent="0.25">
      <c r="A2449" s="1528"/>
      <c r="B2449" s="1346"/>
      <c r="C2449" s="1534"/>
      <c r="D2449" s="211"/>
      <c r="E2449" s="1535" t="s">
        <v>7182</v>
      </c>
      <c r="F2449" s="1551"/>
      <c r="G2449" s="1541" t="s">
        <v>7182</v>
      </c>
      <c r="H2449" s="1524"/>
      <c r="J2449" s="1637"/>
      <c r="K2449" s="1637"/>
    </row>
    <row r="2450" spans="1:11" ht="15.75" thickBot="1" x14ac:dyDescent="0.3">
      <c r="A2450" s="1528"/>
      <c r="B2450" s="1540"/>
      <c r="C2450" s="1537"/>
      <c r="D2450" s="952"/>
      <c r="E2450" s="1538" t="s">
        <v>7182</v>
      </c>
      <c r="F2450" s="1537"/>
      <c r="G2450" s="1541" t="s">
        <v>7182</v>
      </c>
      <c r="H2450" s="1524"/>
      <c r="J2450" s="1637"/>
      <c r="K2450" s="1637"/>
    </row>
    <row r="2451" spans="1:11" ht="15.75" thickBot="1" x14ac:dyDescent="0.3">
      <c r="A2451" s="1528"/>
      <c r="B2451" s="1555"/>
      <c r="C2451" s="1557"/>
      <c r="D2451" s="956"/>
      <c r="E2451" s="1556" t="s">
        <v>7182</v>
      </c>
      <c r="F2451" s="1557"/>
      <c r="G2451" s="1558" t="s">
        <v>7182</v>
      </c>
      <c r="H2451" s="1546">
        <f>SUM(G2436:G2451)</f>
        <v>185671</v>
      </c>
      <c r="J2451" s="1637"/>
      <c r="K2451" s="1637"/>
    </row>
    <row r="2452" spans="1:11" x14ac:dyDescent="0.25">
      <c r="A2452" s="1528"/>
      <c r="B2452" s="1372"/>
      <c r="C2452" s="1374"/>
      <c r="D2452" s="1373"/>
      <c r="E2452" s="1372" t="s">
        <v>7182</v>
      </c>
      <c r="F2452" s="1374"/>
      <c r="G2452" s="1375" t="s">
        <v>7182</v>
      </c>
      <c r="H2452" s="1550"/>
      <c r="J2452" s="1637"/>
      <c r="K2452" s="1637"/>
    </row>
    <row r="2453" spans="1:11" ht="15.75" thickBot="1" x14ac:dyDescent="0.3">
      <c r="A2453" s="1527"/>
      <c r="B2453" s="188"/>
      <c r="C2453" s="189"/>
      <c r="D2453" s="1668"/>
      <c r="E2453" s="188"/>
      <c r="F2453" s="189"/>
      <c r="G2453" s="1669"/>
      <c r="H2453" s="1550"/>
      <c r="J2453" s="1637"/>
      <c r="K2453" s="1637"/>
    </row>
    <row r="2454" spans="1:11" ht="15.75" thickBot="1" x14ac:dyDescent="0.3">
      <c r="A2454" s="1527"/>
      <c r="B2454" s="1366" t="s">
        <v>9418</v>
      </c>
      <c r="C2454" s="1363" t="s">
        <v>867</v>
      </c>
      <c r="D2454" s="1120" t="s">
        <v>6</v>
      </c>
      <c r="E2454" s="1363" t="s">
        <v>7183</v>
      </c>
      <c r="F2454" s="1363" t="s">
        <v>5405</v>
      </c>
      <c r="G2454" s="1365" t="s">
        <v>7179</v>
      </c>
      <c r="H2454" s="1524"/>
      <c r="J2454" s="1637"/>
      <c r="K2454" s="1637"/>
    </row>
    <row r="2455" spans="1:11" x14ac:dyDescent="0.25">
      <c r="A2455" s="1527"/>
      <c r="B2455" s="1564" t="s">
        <v>5455</v>
      </c>
      <c r="C2455" s="1534" t="s">
        <v>5</v>
      </c>
      <c r="D2455" s="211">
        <v>1</v>
      </c>
      <c r="E2455" s="1535">
        <v>15000</v>
      </c>
      <c r="F2455" s="297">
        <v>0.1</v>
      </c>
      <c r="G2455" s="1572">
        <f>+F2455*E2455</f>
        <v>1500</v>
      </c>
      <c r="H2455" s="1524"/>
      <c r="J2455" s="1637"/>
      <c r="K2455" s="1637"/>
    </row>
    <row r="2456" spans="1:11" x14ac:dyDescent="0.25">
      <c r="A2456" s="1527"/>
      <c r="B2456" s="1540"/>
      <c r="C2456" s="1537"/>
      <c r="D2456" s="212"/>
      <c r="E2456" s="1535" t="s">
        <v>7182</v>
      </c>
      <c r="F2456" s="1537"/>
      <c r="G2456" s="1572" t="s">
        <v>7182</v>
      </c>
      <c r="H2456" s="1524"/>
      <c r="J2456" s="1637"/>
      <c r="K2456" s="1637"/>
    </row>
    <row r="2457" spans="1:11" x14ac:dyDescent="0.25">
      <c r="A2457" s="1527"/>
      <c r="B2457" s="1540"/>
      <c r="C2457" s="1537"/>
      <c r="D2457" s="212"/>
      <c r="E2457" s="1535" t="s">
        <v>7182</v>
      </c>
      <c r="F2457" s="1537"/>
      <c r="G2457" s="1572" t="s">
        <v>7182</v>
      </c>
      <c r="H2457" s="1524"/>
      <c r="J2457" s="1637"/>
      <c r="K2457" s="1637"/>
    </row>
    <row r="2458" spans="1:11" ht="15.75" thickBot="1" x14ac:dyDescent="0.3">
      <c r="A2458" s="1527"/>
      <c r="B2458" s="1540"/>
      <c r="C2458" s="1537"/>
      <c r="D2458" s="212"/>
      <c r="E2458" s="1535" t="s">
        <v>7182</v>
      </c>
      <c r="F2458" s="1537"/>
      <c r="G2458" s="1572" t="s">
        <v>7182</v>
      </c>
      <c r="H2458" s="1524"/>
      <c r="J2458" s="1637"/>
      <c r="K2458" s="1637"/>
    </row>
    <row r="2459" spans="1:11" ht="15.75" thickBot="1" x14ac:dyDescent="0.3">
      <c r="A2459" s="1527"/>
      <c r="B2459" s="1555"/>
      <c r="C2459" s="1556"/>
      <c r="D2459" s="956"/>
      <c r="E2459" s="1556" t="s">
        <v>7182</v>
      </c>
      <c r="F2459" s="1557"/>
      <c r="G2459" s="1558" t="s">
        <v>7182</v>
      </c>
      <c r="H2459" s="1546">
        <f>SUM(G2455:G2459)</f>
        <v>1500</v>
      </c>
      <c r="J2459" s="1637"/>
      <c r="K2459" s="1637"/>
    </row>
    <row r="2460" spans="1:11" ht="15.75" thickBot="1" x14ac:dyDescent="0.3">
      <c r="A2460" s="1527"/>
      <c r="B2460" s="1376"/>
      <c r="C2460" s="1353"/>
      <c r="D2460" s="1355"/>
      <c r="E2460" s="1352"/>
      <c r="F2460" s="1377"/>
      <c r="G2460" s="1378"/>
      <c r="H2460" s="1524"/>
      <c r="J2460" s="1637"/>
      <c r="K2460" s="1637"/>
    </row>
    <row r="2461" spans="1:11" ht="15.75" thickBot="1" x14ac:dyDescent="0.3">
      <c r="A2461" s="1527"/>
      <c r="B2461" s="1366" t="s">
        <v>5410</v>
      </c>
      <c r="C2461" s="1363" t="s">
        <v>867</v>
      </c>
      <c r="D2461" s="1120" t="s">
        <v>6</v>
      </c>
      <c r="E2461" s="1363" t="s">
        <v>7183</v>
      </c>
      <c r="F2461" s="1363" t="s">
        <v>5405</v>
      </c>
      <c r="G2461" s="1365" t="s">
        <v>7179</v>
      </c>
      <c r="H2461" s="1524"/>
      <c r="J2461" s="1637"/>
      <c r="K2461" s="1637"/>
    </row>
    <row r="2462" spans="1:11" ht="25.5" x14ac:dyDescent="0.25">
      <c r="A2462" s="1527"/>
      <c r="B2462" s="1564" t="s">
        <v>9421</v>
      </c>
      <c r="C2462" s="1534" t="s">
        <v>9023</v>
      </c>
      <c r="D2462" s="211">
        <v>1</v>
      </c>
      <c r="E2462" s="1535">
        <v>4000</v>
      </c>
      <c r="F2462" s="297">
        <v>1</v>
      </c>
      <c r="G2462" s="1572">
        <f>+F2462*E2462</f>
        <v>4000</v>
      </c>
      <c r="H2462" s="1524"/>
      <c r="J2462" s="1637"/>
      <c r="K2462" s="1637"/>
    </row>
    <row r="2463" spans="1:11" x14ac:dyDescent="0.25">
      <c r="A2463" s="1527"/>
      <c r="B2463" s="1540"/>
      <c r="C2463" s="1537"/>
      <c r="D2463" s="212"/>
      <c r="E2463" s="1535" t="s">
        <v>7182</v>
      </c>
      <c r="F2463" s="1537"/>
      <c r="G2463" s="1572" t="s">
        <v>7182</v>
      </c>
      <c r="H2463" s="1524"/>
    </row>
    <row r="2464" spans="1:11" x14ac:dyDescent="0.25">
      <c r="A2464" s="1527"/>
      <c r="B2464" s="1540"/>
      <c r="C2464" s="1537"/>
      <c r="D2464" s="212"/>
      <c r="E2464" s="1535" t="s">
        <v>7182</v>
      </c>
      <c r="F2464" s="1537"/>
      <c r="G2464" s="1572" t="s">
        <v>7182</v>
      </c>
      <c r="H2464" s="1524"/>
    </row>
    <row r="2465" spans="1:11" ht="15.75" thickBot="1" x14ac:dyDescent="0.3">
      <c r="A2465" s="1527"/>
      <c r="B2465" s="1540"/>
      <c r="C2465" s="1537"/>
      <c r="D2465" s="212"/>
      <c r="E2465" s="1535" t="s">
        <v>7182</v>
      </c>
      <c r="F2465" s="1537"/>
      <c r="G2465" s="1572" t="s">
        <v>7182</v>
      </c>
      <c r="H2465" s="1524"/>
    </row>
    <row r="2466" spans="1:11" ht="15.75" thickBot="1" x14ac:dyDescent="0.3">
      <c r="A2466" s="1527"/>
      <c r="B2466" s="1555"/>
      <c r="C2466" s="1556"/>
      <c r="D2466" s="956"/>
      <c r="E2466" s="1556" t="s">
        <v>7182</v>
      </c>
      <c r="F2466" s="1557"/>
      <c r="G2466" s="1558" t="s">
        <v>7182</v>
      </c>
      <c r="H2466" s="1546">
        <f>SUM(G2462:G2466)</f>
        <v>4000</v>
      </c>
    </row>
    <row r="2467" spans="1:11" ht="15.75" thickBot="1" x14ac:dyDescent="0.3">
      <c r="A2467" s="1527"/>
      <c r="B2467" s="1547"/>
      <c r="C2467" s="1547"/>
      <c r="D2467" s="954"/>
      <c r="E2467" s="1547"/>
      <c r="F2467" s="1553"/>
      <c r="G2467" s="1554"/>
      <c r="H2467" s="1550"/>
    </row>
    <row r="2468" spans="1:11" ht="15.75" thickBot="1" x14ac:dyDescent="0.3">
      <c r="A2468" s="1559"/>
      <c r="B2468" s="1369" t="s">
        <v>5412</v>
      </c>
      <c r="C2468" s="1363" t="s">
        <v>5420</v>
      </c>
      <c r="D2468" s="1120" t="s">
        <v>5421</v>
      </c>
      <c r="E2468" s="1363" t="s">
        <v>7187</v>
      </c>
      <c r="F2468" s="1363" t="s">
        <v>5405</v>
      </c>
      <c r="G2468" s="1370" t="s">
        <v>7179</v>
      </c>
      <c r="H2468" s="1371"/>
    </row>
    <row r="2469" spans="1:11" x14ac:dyDescent="0.25">
      <c r="A2469" s="1527"/>
      <c r="B2469" s="1560" t="s">
        <v>9422</v>
      </c>
      <c r="C2469" s="1569">
        <v>170000</v>
      </c>
      <c r="D2469" s="352">
        <f>0.6*C2469</f>
        <v>102000</v>
      </c>
      <c r="E2469" s="1569">
        <f>+D2469+C2469</f>
        <v>272000</v>
      </c>
      <c r="F2469" s="819">
        <v>0.1</v>
      </c>
      <c r="G2469" s="818">
        <f>+F2469*E2469</f>
        <v>27200</v>
      </c>
      <c r="H2469" s="1524"/>
    </row>
    <row r="2470" spans="1:11" x14ac:dyDescent="0.25">
      <c r="A2470" s="1527"/>
      <c r="B2470" s="1560"/>
      <c r="C2470" s="1569"/>
      <c r="D2470" s="1569"/>
      <c r="E2470" s="1569"/>
      <c r="F2470" s="819"/>
      <c r="G2470" s="818"/>
      <c r="H2470" s="1524"/>
    </row>
    <row r="2471" spans="1:11" x14ac:dyDescent="0.25">
      <c r="A2471" s="1527"/>
      <c r="B2471" s="1561"/>
      <c r="C2471" s="1569"/>
      <c r="D2471" s="1569"/>
      <c r="E2471" s="1569"/>
      <c r="F2471" s="817"/>
      <c r="G2471" s="818"/>
      <c r="H2471" s="1524"/>
    </row>
    <row r="2472" spans="1:11" x14ac:dyDescent="0.25">
      <c r="A2472" s="1527"/>
      <c r="B2472" s="1540"/>
      <c r="C2472" s="1569"/>
      <c r="D2472" s="1569"/>
      <c r="E2472" s="1569"/>
      <c r="F2472" s="817"/>
      <c r="G2472" s="818"/>
      <c r="H2472" s="1524"/>
    </row>
    <row r="2473" spans="1:11" x14ac:dyDescent="0.25">
      <c r="A2473" s="1527"/>
      <c r="B2473" s="1540"/>
      <c r="C2473" s="1538" t="s">
        <v>7182</v>
      </c>
      <c r="D2473" s="952" t="s">
        <v>7182</v>
      </c>
      <c r="E2473" s="1538" t="s">
        <v>7182</v>
      </c>
      <c r="F2473" s="817"/>
      <c r="G2473" s="818" t="str">
        <f>IF(B2473="","",E2473/F2473)</f>
        <v/>
      </c>
      <c r="H2473" s="1524"/>
    </row>
    <row r="2474" spans="1:11" ht="15.75" thickBot="1" x14ac:dyDescent="0.3">
      <c r="A2474" s="1527"/>
      <c r="B2474" s="1540"/>
      <c r="C2474" s="1538" t="s">
        <v>7182</v>
      </c>
      <c r="D2474" s="952" t="s">
        <v>7182</v>
      </c>
      <c r="E2474" s="1538" t="s">
        <v>7182</v>
      </c>
      <c r="F2474" s="1537"/>
      <c r="G2474" s="818" t="str">
        <f>IF(B2474="","",E2474/F2474)</f>
        <v/>
      </c>
      <c r="H2474" s="1524"/>
    </row>
    <row r="2475" spans="1:11" ht="15.75" thickBot="1" x14ac:dyDescent="0.3">
      <c r="A2475" s="1527"/>
      <c r="B2475" s="1555"/>
      <c r="C2475" s="1556"/>
      <c r="D2475" s="956"/>
      <c r="E2475" s="1556"/>
      <c r="F2475" s="1557"/>
      <c r="G2475" s="1558"/>
      <c r="H2475" s="1546">
        <f>SUM(G2469:G2475)</f>
        <v>27200</v>
      </c>
    </row>
    <row r="2476" spans="1:11" ht="15.75" thickBot="1" x14ac:dyDescent="0.3">
      <c r="A2476" s="1527"/>
      <c r="B2476" s="1527"/>
      <c r="C2476" s="1527"/>
      <c r="D2476" s="529"/>
      <c r="F2476" s="1528"/>
      <c r="G2476" s="1524"/>
      <c r="H2476" s="1524"/>
    </row>
    <row r="2477" spans="1:11" ht="15.75" thickBot="1" x14ac:dyDescent="0.3">
      <c r="A2477" s="1647" t="s">
        <v>6744</v>
      </c>
      <c r="B2477" s="1352"/>
      <c r="C2477" s="1352"/>
      <c r="D2477" s="1671"/>
      <c r="E2477" s="1672"/>
      <c r="F2477" s="1353"/>
      <c r="G2477" s="1527" t="s">
        <v>5415</v>
      </c>
      <c r="H2477" s="502">
        <f>ROUND(SUM(H2435:H2476),0)</f>
        <v>218371</v>
      </c>
      <c r="J2477" s="1673">
        <f>+B2431</f>
        <v>10.54</v>
      </c>
      <c r="K2477" s="1674">
        <f>+H2477</f>
        <v>218371</v>
      </c>
    </row>
    <row r="2478" spans="1:11" x14ac:dyDescent="0.25">
      <c r="A2478" s="1675"/>
      <c r="B2478" s="1676"/>
      <c r="C2478" s="1676"/>
      <c r="D2478" s="1677"/>
      <c r="E2478" s="1678"/>
      <c r="F2478" s="1679"/>
      <c r="G2478" s="1680"/>
      <c r="H2478" s="1680"/>
    </row>
    <row r="2479" spans="1:11" ht="18.75" x14ac:dyDescent="0.25">
      <c r="A2479" s="1523"/>
      <c r="B2479" s="1655"/>
      <c r="C2479" s="1655"/>
      <c r="D2479" s="950"/>
      <c r="E2479" s="1655"/>
      <c r="F2479" s="1655"/>
      <c r="G2479" s="1655"/>
      <c r="H2479" s="8"/>
      <c r="J2479" s="1637"/>
      <c r="K2479" s="1637"/>
    </row>
    <row r="2480" spans="1:11" x14ac:dyDescent="0.25">
      <c r="A2480" s="1523"/>
      <c r="B2480" s="8"/>
      <c r="C2480" s="8"/>
      <c r="D2480" s="529"/>
      <c r="E2480" s="8"/>
      <c r="F2480" s="1523"/>
      <c r="G2480" s="1524"/>
      <c r="H2480" s="8"/>
      <c r="J2480" s="1637"/>
      <c r="K2480" s="1637"/>
    </row>
    <row r="2481" spans="1:11" x14ac:dyDescent="0.25">
      <c r="A2481" s="1665" t="s">
        <v>3</v>
      </c>
      <c r="B2481" s="1666">
        <f>+VLOOKUP(C2481,ListaAPUs!$B:$E,4,FALSE)</f>
        <v>10.55</v>
      </c>
      <c r="C2481" s="2441" t="str">
        <f>+ListaAPUs!B255</f>
        <v>Acometida alumbrado exterior cable 2*6 + 8T AWG THHN</v>
      </c>
      <c r="D2481" s="2441"/>
      <c r="E2481" s="2441"/>
      <c r="F2481" s="1665" t="s">
        <v>867</v>
      </c>
      <c r="G2481" s="1390" t="str">
        <f>+VLOOKUP(C2481,ListaAPUs!$B:$E,2,FALSE)</f>
        <v>m</v>
      </c>
      <c r="H2481" s="1524"/>
    </row>
    <row r="2482" spans="1:11" x14ac:dyDescent="0.25">
      <c r="A2482" s="1528"/>
      <c r="B2482" s="1527"/>
      <c r="C2482" s="1527"/>
      <c r="D2482" s="529"/>
      <c r="E2482" s="1527"/>
      <c r="F2482" s="1528"/>
      <c r="G2482" s="1524"/>
      <c r="H2482" s="1524"/>
      <c r="J2482" s="1637"/>
      <c r="K2482" s="1637"/>
    </row>
    <row r="2483" spans="1:11" x14ac:dyDescent="0.25">
      <c r="A2483" s="1528"/>
      <c r="B2483" s="1527"/>
      <c r="C2483" s="1527"/>
      <c r="D2483" s="529"/>
      <c r="E2483" s="1527"/>
      <c r="F2483" s="1528"/>
      <c r="G2483" s="1529"/>
      <c r="H2483" s="1524"/>
      <c r="J2483" s="1637"/>
      <c r="K2483" s="1637"/>
    </row>
    <row r="2484" spans="1:11" ht="15.75" thickBot="1" x14ac:dyDescent="0.3">
      <c r="A2484" s="1528"/>
      <c r="B2484" s="1527"/>
      <c r="C2484" s="1527"/>
      <c r="D2484" s="529"/>
      <c r="E2484" s="1527"/>
      <c r="F2484" s="1528"/>
      <c r="G2484" s="1524"/>
      <c r="H2484" s="1524"/>
      <c r="J2484" s="1637"/>
      <c r="K2484" s="1637"/>
    </row>
    <row r="2485" spans="1:11" ht="15.75" thickBot="1" x14ac:dyDescent="0.3">
      <c r="A2485" s="1368"/>
      <c r="B2485" s="1369" t="s">
        <v>5403</v>
      </c>
      <c r="C2485" s="1363" t="s">
        <v>867</v>
      </c>
      <c r="D2485" s="1120" t="s">
        <v>6</v>
      </c>
      <c r="E2485" s="1363" t="s">
        <v>9417</v>
      </c>
      <c r="F2485" s="1363" t="s">
        <v>5405</v>
      </c>
      <c r="G2485" s="1370" t="s">
        <v>7179</v>
      </c>
      <c r="H2485" s="1371"/>
      <c r="J2485" s="1637"/>
      <c r="K2485" s="1637"/>
    </row>
    <row r="2486" spans="1:11" x14ac:dyDescent="0.25">
      <c r="A2486" s="1528"/>
      <c r="B2486" s="1746" t="s">
        <v>9493</v>
      </c>
      <c r="C2486" s="1802" t="s">
        <v>5432</v>
      </c>
      <c r="D2486" s="1794">
        <v>2</v>
      </c>
      <c r="E2486" s="1803">
        <v>1789</v>
      </c>
      <c r="F2486" s="1804">
        <v>1</v>
      </c>
      <c r="G2486" s="1805">
        <f>+F2486*E2486*D2486</f>
        <v>3578</v>
      </c>
      <c r="H2486" s="1524"/>
      <c r="J2486" s="1637"/>
      <c r="K2486" s="1637"/>
    </row>
    <row r="2487" spans="1:11" x14ac:dyDescent="0.25">
      <c r="A2487" s="1528"/>
      <c r="B2487" s="1751" t="s">
        <v>9622</v>
      </c>
      <c r="C2487" s="1749" t="s">
        <v>5432</v>
      </c>
      <c r="D2487" s="1773">
        <v>1</v>
      </c>
      <c r="E2487" s="1825">
        <v>1231</v>
      </c>
      <c r="F2487" s="1769">
        <v>1</v>
      </c>
      <c r="G2487" s="1786">
        <f>+F2487*E2487*D2487</f>
        <v>1231</v>
      </c>
      <c r="H2487" s="1524"/>
      <c r="J2487" s="1637"/>
      <c r="K2487" s="1637"/>
    </row>
    <row r="2488" spans="1:11" x14ac:dyDescent="0.25">
      <c r="A2488" s="1528"/>
      <c r="B2488" s="1822"/>
      <c r="C2488" s="1749"/>
      <c r="D2488" s="1773"/>
      <c r="E2488" s="1787"/>
      <c r="F2488" s="1769"/>
      <c r="G2488" s="1786"/>
      <c r="H2488" s="1524"/>
      <c r="J2488" s="1637"/>
      <c r="K2488" s="1637"/>
    </row>
    <row r="2489" spans="1:11" x14ac:dyDescent="0.25">
      <c r="A2489" s="1528"/>
      <c r="B2489" s="1822"/>
      <c r="C2489" s="1749"/>
      <c r="D2489" s="1773"/>
      <c r="E2489" s="1787"/>
      <c r="F2489" s="1769"/>
      <c r="G2489" s="1786"/>
      <c r="H2489" s="1524"/>
      <c r="J2489" s="1637"/>
      <c r="K2489" s="1637"/>
    </row>
    <row r="2490" spans="1:11" x14ac:dyDescent="0.25">
      <c r="A2490" s="1528"/>
      <c r="B2490" s="1822"/>
      <c r="C2490" s="1749"/>
      <c r="D2490" s="1773"/>
      <c r="E2490" s="1787"/>
      <c r="F2490" s="1769"/>
      <c r="G2490" s="1786"/>
      <c r="H2490" s="1524"/>
      <c r="J2490" s="1637"/>
      <c r="K2490" s="1637"/>
    </row>
    <row r="2491" spans="1:11" x14ac:dyDescent="0.25">
      <c r="A2491" s="1528"/>
      <c r="B2491" s="1822"/>
      <c r="C2491" s="1749"/>
      <c r="D2491" s="1773"/>
      <c r="E2491" s="1787"/>
      <c r="F2491" s="1769"/>
      <c r="G2491" s="1786"/>
      <c r="H2491" s="1524"/>
      <c r="J2491" s="1637"/>
      <c r="K2491" s="1637"/>
    </row>
    <row r="2492" spans="1:11" x14ac:dyDescent="0.25">
      <c r="A2492" s="1528"/>
      <c r="B2492" s="1822"/>
      <c r="C2492" s="1749"/>
      <c r="D2492" s="1773"/>
      <c r="E2492" s="1787"/>
      <c r="F2492" s="1769"/>
      <c r="G2492" s="1786"/>
      <c r="H2492" s="1524"/>
      <c r="J2492" s="1637"/>
      <c r="K2492" s="1637"/>
    </row>
    <row r="2493" spans="1:11" x14ac:dyDescent="0.25">
      <c r="A2493" s="1528"/>
      <c r="B2493" s="1822"/>
      <c r="C2493" s="1749"/>
      <c r="D2493" s="1773"/>
      <c r="E2493" s="1787"/>
      <c r="F2493" s="1769"/>
      <c r="G2493" s="1786"/>
      <c r="H2493" s="1524"/>
      <c r="J2493" s="1637"/>
      <c r="K2493" s="1637"/>
    </row>
    <row r="2494" spans="1:11" x14ac:dyDescent="0.25">
      <c r="A2494" s="1528"/>
      <c r="B2494" s="1822"/>
      <c r="C2494" s="1749"/>
      <c r="D2494" s="1773"/>
      <c r="E2494" s="1787"/>
      <c r="F2494" s="1769"/>
      <c r="G2494" s="1786"/>
      <c r="H2494" s="1524"/>
      <c r="J2494" s="1637"/>
      <c r="K2494" s="1637"/>
    </row>
    <row r="2495" spans="1:11" x14ac:dyDescent="0.25">
      <c r="A2495" s="1528"/>
      <c r="B2495" s="1775"/>
      <c r="C2495" s="1749"/>
      <c r="D2495" s="1773"/>
      <c r="E2495" s="1787"/>
      <c r="F2495" s="1769"/>
      <c r="G2495" s="1786"/>
      <c r="H2495" s="1524"/>
      <c r="J2495" s="1637"/>
      <c r="K2495" s="1637"/>
    </row>
    <row r="2496" spans="1:11" x14ac:dyDescent="0.25">
      <c r="A2496" s="1528"/>
      <c r="B2496" s="1774"/>
      <c r="C2496" s="1747"/>
      <c r="D2496" s="1772"/>
      <c r="E2496" s="1748" t="s">
        <v>7182</v>
      </c>
      <c r="F2496" s="1758"/>
      <c r="G2496" s="1753" t="s">
        <v>7182</v>
      </c>
      <c r="H2496" s="1524"/>
      <c r="J2496" s="1637"/>
      <c r="K2496" s="1637"/>
    </row>
    <row r="2497" spans="1:11" x14ac:dyDescent="0.25">
      <c r="A2497" s="1528"/>
      <c r="B2497" s="1801"/>
      <c r="C2497" s="1747"/>
      <c r="D2497" s="1772"/>
      <c r="E2497" s="1748" t="s">
        <v>7182</v>
      </c>
      <c r="F2497" s="1758"/>
      <c r="G2497" s="1753" t="s">
        <v>7182</v>
      </c>
      <c r="H2497" s="1524"/>
      <c r="J2497" s="1637"/>
      <c r="K2497" s="1637"/>
    </row>
    <row r="2498" spans="1:11" x14ac:dyDescent="0.25">
      <c r="A2498" s="1528"/>
      <c r="B2498" s="268"/>
      <c r="C2498" s="1534"/>
      <c r="D2498" s="211"/>
      <c r="E2498" s="1535" t="s">
        <v>7182</v>
      </c>
      <c r="F2498" s="1551"/>
      <c r="G2498" s="1541" t="s">
        <v>7182</v>
      </c>
      <c r="H2498" s="1524"/>
      <c r="J2498" s="1637"/>
      <c r="K2498" s="1637"/>
    </row>
    <row r="2499" spans="1:11" x14ac:dyDescent="0.25">
      <c r="A2499" s="1528"/>
      <c r="B2499" s="1346"/>
      <c r="C2499" s="1534"/>
      <c r="D2499" s="211"/>
      <c r="E2499" s="1535" t="s">
        <v>7182</v>
      </c>
      <c r="F2499" s="1551"/>
      <c r="G2499" s="1541" t="s">
        <v>7182</v>
      </c>
      <c r="H2499" s="1524"/>
      <c r="J2499" s="1637"/>
      <c r="K2499" s="1637"/>
    </row>
    <row r="2500" spans="1:11" ht="15.75" thickBot="1" x14ac:dyDescent="0.3">
      <c r="A2500" s="1528"/>
      <c r="B2500" s="1540"/>
      <c r="C2500" s="1537"/>
      <c r="D2500" s="952"/>
      <c r="E2500" s="1538" t="s">
        <v>7182</v>
      </c>
      <c r="F2500" s="1537"/>
      <c r="G2500" s="1541" t="s">
        <v>7182</v>
      </c>
      <c r="H2500" s="1524"/>
      <c r="J2500" s="1637"/>
      <c r="K2500" s="1637"/>
    </row>
    <row r="2501" spans="1:11" ht="15.75" thickBot="1" x14ac:dyDescent="0.3">
      <c r="A2501" s="1528"/>
      <c r="B2501" s="1555"/>
      <c r="C2501" s="1557"/>
      <c r="D2501" s="956"/>
      <c r="E2501" s="1556" t="s">
        <v>7182</v>
      </c>
      <c r="F2501" s="1557"/>
      <c r="G2501" s="1558" t="s">
        <v>7182</v>
      </c>
      <c r="H2501" s="1546">
        <f>SUM(G2486:G2501)</f>
        <v>4809</v>
      </c>
      <c r="J2501" s="1637"/>
      <c r="K2501" s="1637"/>
    </row>
    <row r="2502" spans="1:11" x14ac:dyDescent="0.25">
      <c r="A2502" s="1528"/>
      <c r="B2502" s="1372"/>
      <c r="C2502" s="1374"/>
      <c r="D2502" s="1373"/>
      <c r="E2502" s="1372" t="s">
        <v>7182</v>
      </c>
      <c r="F2502" s="1374"/>
      <c r="G2502" s="1375" t="s">
        <v>7182</v>
      </c>
      <c r="H2502" s="1550"/>
      <c r="J2502" s="1637"/>
      <c r="K2502" s="1637"/>
    </row>
    <row r="2503" spans="1:11" ht="15.75" thickBot="1" x14ac:dyDescent="0.3">
      <c r="A2503" s="1527"/>
      <c r="B2503" s="188"/>
      <c r="C2503" s="189"/>
      <c r="D2503" s="1668"/>
      <c r="E2503" s="188"/>
      <c r="F2503" s="189"/>
      <c r="G2503" s="1669"/>
      <c r="H2503" s="1550"/>
      <c r="J2503" s="1637"/>
      <c r="K2503" s="1637"/>
    </row>
    <row r="2504" spans="1:11" ht="15.75" thickBot="1" x14ac:dyDescent="0.3">
      <c r="A2504" s="1527"/>
      <c r="B2504" s="1366" t="s">
        <v>9418</v>
      </c>
      <c r="C2504" s="1363" t="s">
        <v>867</v>
      </c>
      <c r="D2504" s="1120" t="s">
        <v>6</v>
      </c>
      <c r="E2504" s="1363" t="s">
        <v>7183</v>
      </c>
      <c r="F2504" s="1363" t="s">
        <v>5405</v>
      </c>
      <c r="G2504" s="1365" t="s">
        <v>7179</v>
      </c>
      <c r="H2504" s="1524"/>
      <c r="J2504" s="1637"/>
      <c r="K2504" s="1637"/>
    </row>
    <row r="2505" spans="1:11" x14ac:dyDescent="0.25">
      <c r="A2505" s="1527"/>
      <c r="B2505" s="1564" t="s">
        <v>5455</v>
      </c>
      <c r="C2505" s="1534" t="s">
        <v>5</v>
      </c>
      <c r="D2505" s="211">
        <v>1</v>
      </c>
      <c r="E2505" s="1535">
        <v>500</v>
      </c>
      <c r="F2505" s="1534">
        <v>1</v>
      </c>
      <c r="G2505" s="1572">
        <f>+F2505*E2505</f>
        <v>500</v>
      </c>
      <c r="H2505" s="1524"/>
      <c r="J2505" s="1637"/>
      <c r="K2505" s="1637"/>
    </row>
    <row r="2506" spans="1:11" x14ac:dyDescent="0.25">
      <c r="A2506" s="1527"/>
      <c r="B2506" s="1540"/>
      <c r="C2506" s="1537"/>
      <c r="D2506" s="212"/>
      <c r="E2506" s="1535" t="s">
        <v>7182</v>
      </c>
      <c r="F2506" s="1537"/>
      <c r="G2506" s="1572" t="s">
        <v>7182</v>
      </c>
      <c r="H2506" s="1524"/>
      <c r="J2506" s="1637"/>
      <c r="K2506" s="1637"/>
    </row>
    <row r="2507" spans="1:11" x14ac:dyDescent="0.25">
      <c r="A2507" s="1527"/>
      <c r="B2507" s="1540"/>
      <c r="C2507" s="1537"/>
      <c r="D2507" s="212"/>
      <c r="E2507" s="1535" t="s">
        <v>7182</v>
      </c>
      <c r="F2507" s="1537"/>
      <c r="G2507" s="1572" t="s">
        <v>7182</v>
      </c>
      <c r="H2507" s="1524"/>
      <c r="J2507" s="1637"/>
      <c r="K2507" s="1637"/>
    </row>
    <row r="2508" spans="1:11" ht="15.75" thickBot="1" x14ac:dyDescent="0.3">
      <c r="A2508" s="1527"/>
      <c r="B2508" s="1540"/>
      <c r="C2508" s="1537"/>
      <c r="D2508" s="212"/>
      <c r="E2508" s="1535" t="s">
        <v>7182</v>
      </c>
      <c r="F2508" s="1537"/>
      <c r="G2508" s="1572" t="s">
        <v>7182</v>
      </c>
      <c r="H2508" s="1524"/>
      <c r="J2508" s="1637"/>
      <c r="K2508" s="1637"/>
    </row>
    <row r="2509" spans="1:11" ht="15.75" thickBot="1" x14ac:dyDescent="0.3">
      <c r="A2509" s="1527"/>
      <c r="B2509" s="1555"/>
      <c r="C2509" s="1556"/>
      <c r="D2509" s="956"/>
      <c r="E2509" s="1556" t="s">
        <v>7182</v>
      </c>
      <c r="F2509" s="1557"/>
      <c r="G2509" s="1558" t="s">
        <v>7182</v>
      </c>
      <c r="H2509" s="1546">
        <f>SUM(G2505:G2509)</f>
        <v>500</v>
      </c>
      <c r="J2509" s="1637"/>
      <c r="K2509" s="1637"/>
    </row>
    <row r="2510" spans="1:11" ht="15.75" thickBot="1" x14ac:dyDescent="0.3">
      <c r="A2510" s="1527"/>
      <c r="B2510" s="1376"/>
      <c r="C2510" s="1353"/>
      <c r="D2510" s="1355"/>
      <c r="E2510" s="1352"/>
      <c r="F2510" s="1377"/>
      <c r="G2510" s="1378"/>
      <c r="H2510" s="1524"/>
      <c r="J2510" s="1637"/>
      <c r="K2510" s="1637"/>
    </row>
    <row r="2511" spans="1:11" ht="15.75" thickBot="1" x14ac:dyDescent="0.3">
      <c r="A2511" s="1527"/>
      <c r="B2511" s="1366" t="s">
        <v>5410</v>
      </c>
      <c r="C2511" s="1363" t="s">
        <v>867</v>
      </c>
      <c r="D2511" s="1120" t="s">
        <v>6</v>
      </c>
      <c r="E2511" s="1363" t="s">
        <v>7183</v>
      </c>
      <c r="F2511" s="1363" t="s">
        <v>5405</v>
      </c>
      <c r="G2511" s="1365" t="s">
        <v>7179</v>
      </c>
      <c r="H2511" s="1524"/>
      <c r="J2511" s="1637"/>
      <c r="K2511" s="1637"/>
    </row>
    <row r="2512" spans="1:11" ht="25.5" x14ac:dyDescent="0.25">
      <c r="A2512" s="1527"/>
      <c r="B2512" s="1564" t="s">
        <v>9421</v>
      </c>
      <c r="C2512" s="1534" t="s">
        <v>9023</v>
      </c>
      <c r="D2512" s="211">
        <v>1</v>
      </c>
      <c r="E2512" s="1535">
        <v>2500</v>
      </c>
      <c r="F2512" s="1777">
        <v>0.1</v>
      </c>
      <c r="G2512" s="1572">
        <f>+F2512*E2512</f>
        <v>250</v>
      </c>
      <c r="H2512" s="1524"/>
      <c r="J2512" s="1637"/>
      <c r="K2512" s="1637"/>
    </row>
    <row r="2513" spans="1:11" x14ac:dyDescent="0.25">
      <c r="A2513" s="1527"/>
      <c r="B2513" s="1540"/>
      <c r="C2513" s="1537"/>
      <c r="D2513" s="212"/>
      <c r="E2513" s="1535" t="s">
        <v>7182</v>
      </c>
      <c r="F2513" s="1537"/>
      <c r="G2513" s="1572" t="s">
        <v>7182</v>
      </c>
      <c r="H2513" s="1524"/>
      <c r="J2513" s="1637"/>
      <c r="K2513" s="1637"/>
    </row>
    <row r="2514" spans="1:11" x14ac:dyDescent="0.25">
      <c r="A2514" s="1527"/>
      <c r="B2514" s="1540"/>
      <c r="C2514" s="1537"/>
      <c r="D2514" s="212"/>
      <c r="E2514" s="1535" t="s">
        <v>7182</v>
      </c>
      <c r="F2514" s="1537"/>
      <c r="G2514" s="1572" t="s">
        <v>7182</v>
      </c>
      <c r="H2514" s="1524"/>
      <c r="J2514" s="1637"/>
      <c r="K2514" s="1637"/>
    </row>
    <row r="2515" spans="1:11" ht="15.75" thickBot="1" x14ac:dyDescent="0.3">
      <c r="A2515" s="1527"/>
      <c r="B2515" s="1540"/>
      <c r="C2515" s="1537"/>
      <c r="D2515" s="212"/>
      <c r="E2515" s="1535" t="s">
        <v>7182</v>
      </c>
      <c r="F2515" s="1537"/>
      <c r="G2515" s="1572" t="s">
        <v>7182</v>
      </c>
      <c r="H2515" s="1524"/>
      <c r="J2515" s="1637"/>
      <c r="K2515" s="1637"/>
    </row>
    <row r="2516" spans="1:11" ht="15.75" thickBot="1" x14ac:dyDescent="0.3">
      <c r="A2516" s="1527"/>
      <c r="B2516" s="1555"/>
      <c r="C2516" s="1556"/>
      <c r="D2516" s="956"/>
      <c r="E2516" s="1556" t="s">
        <v>7182</v>
      </c>
      <c r="F2516" s="1557"/>
      <c r="G2516" s="1558" t="s">
        <v>7182</v>
      </c>
      <c r="H2516" s="1546">
        <f>SUM(G2512:G2516)</f>
        <v>250</v>
      </c>
      <c r="J2516" s="1637"/>
      <c r="K2516" s="1637"/>
    </row>
    <row r="2517" spans="1:11" ht="15.75" thickBot="1" x14ac:dyDescent="0.3">
      <c r="A2517" s="1527"/>
      <c r="B2517" s="1547"/>
      <c r="C2517" s="1547"/>
      <c r="D2517" s="954"/>
      <c r="E2517" s="1547"/>
      <c r="F2517" s="1553"/>
      <c r="G2517" s="1554"/>
      <c r="H2517" s="1550"/>
      <c r="J2517" s="1637"/>
      <c r="K2517" s="1637"/>
    </row>
    <row r="2518" spans="1:11" ht="15.75" thickBot="1" x14ac:dyDescent="0.3">
      <c r="A2518" s="1559"/>
      <c r="B2518" s="1369" t="s">
        <v>5412</v>
      </c>
      <c r="C2518" s="1363" t="s">
        <v>5420</v>
      </c>
      <c r="D2518" s="1120" t="s">
        <v>5421</v>
      </c>
      <c r="E2518" s="1363" t="s">
        <v>7187</v>
      </c>
      <c r="F2518" s="1363" t="s">
        <v>5405</v>
      </c>
      <c r="G2518" s="1370" t="s">
        <v>7179</v>
      </c>
      <c r="H2518" s="1371"/>
      <c r="J2518" s="1637"/>
      <c r="K2518" s="1637"/>
    </row>
    <row r="2519" spans="1:11" x14ac:dyDescent="0.25">
      <c r="A2519" s="1527"/>
      <c r="B2519" s="1767" t="s">
        <v>9422</v>
      </c>
      <c r="C2519" s="1778">
        <v>170000</v>
      </c>
      <c r="D2519" s="1779">
        <f>0.6*C2519</f>
        <v>102000</v>
      </c>
      <c r="E2519" s="1778">
        <f>+D2519+C2519</f>
        <v>272000</v>
      </c>
      <c r="F2519" s="1790">
        <v>0.01</v>
      </c>
      <c r="G2519" s="1789">
        <f>+F2519*E2519</f>
        <v>2720</v>
      </c>
      <c r="H2519" s="1524"/>
      <c r="J2519" s="1637"/>
      <c r="K2519" s="1637"/>
    </row>
    <row r="2520" spans="1:11" x14ac:dyDescent="0.25">
      <c r="A2520" s="1527"/>
      <c r="B2520" s="1767"/>
      <c r="C2520" s="1778"/>
      <c r="D2520" s="1778"/>
      <c r="E2520" s="1778"/>
      <c r="F2520" s="1790"/>
      <c r="G2520" s="1789"/>
      <c r="H2520" s="1524"/>
      <c r="J2520" s="1637"/>
      <c r="K2520" s="1637"/>
    </row>
    <row r="2521" spans="1:11" x14ac:dyDescent="0.25">
      <c r="A2521" s="1527"/>
      <c r="B2521" s="1561"/>
      <c r="C2521" s="1569"/>
      <c r="D2521" s="1569"/>
      <c r="E2521" s="1569"/>
      <c r="F2521" s="817"/>
      <c r="G2521" s="818"/>
      <c r="H2521" s="1524"/>
      <c r="J2521" s="1637"/>
      <c r="K2521" s="1637"/>
    </row>
    <row r="2522" spans="1:11" x14ac:dyDescent="0.25">
      <c r="A2522" s="1527"/>
      <c r="B2522" s="1540"/>
      <c r="C2522" s="1569"/>
      <c r="D2522" s="1569"/>
      <c r="E2522" s="1569"/>
      <c r="F2522" s="817"/>
      <c r="G2522" s="818"/>
      <c r="H2522" s="1524"/>
      <c r="J2522" s="1637"/>
      <c r="K2522" s="1637"/>
    </row>
    <row r="2523" spans="1:11" x14ac:dyDescent="0.25">
      <c r="A2523" s="1527"/>
      <c r="B2523" s="1540"/>
      <c r="C2523" s="1538" t="s">
        <v>7182</v>
      </c>
      <c r="D2523" s="952" t="s">
        <v>7182</v>
      </c>
      <c r="E2523" s="1538" t="s">
        <v>7182</v>
      </c>
      <c r="F2523" s="817"/>
      <c r="G2523" s="818" t="str">
        <f>IF(B2523="","",E2523/F2523)</f>
        <v/>
      </c>
      <c r="H2523" s="1524"/>
      <c r="J2523" s="1637"/>
      <c r="K2523" s="1637"/>
    </row>
    <row r="2524" spans="1:11" ht="15.75" thickBot="1" x14ac:dyDescent="0.3">
      <c r="A2524" s="1527"/>
      <c r="B2524" s="1540"/>
      <c r="C2524" s="1538" t="s">
        <v>7182</v>
      </c>
      <c r="D2524" s="952" t="s">
        <v>7182</v>
      </c>
      <c r="E2524" s="1538" t="s">
        <v>7182</v>
      </c>
      <c r="F2524" s="1537"/>
      <c r="G2524" s="818" t="str">
        <f>IF(B2524="","",E2524/F2524)</f>
        <v/>
      </c>
      <c r="H2524" s="1524"/>
      <c r="J2524" s="1637"/>
      <c r="K2524" s="1637"/>
    </row>
    <row r="2525" spans="1:11" ht="15.75" thickBot="1" x14ac:dyDescent="0.3">
      <c r="A2525" s="1527"/>
      <c r="B2525" s="1555"/>
      <c r="C2525" s="1556"/>
      <c r="D2525" s="956"/>
      <c r="E2525" s="1556"/>
      <c r="F2525" s="1557"/>
      <c r="G2525" s="1558"/>
      <c r="H2525" s="1546">
        <f>SUM(G2519:G2525)</f>
        <v>2720</v>
      </c>
      <c r="J2525" s="1637"/>
      <c r="K2525" s="1637"/>
    </row>
    <row r="2526" spans="1:11" ht="15.75" thickBot="1" x14ac:dyDescent="0.3">
      <c r="A2526" s="1527"/>
      <c r="B2526" s="1527"/>
      <c r="C2526" s="1527"/>
      <c r="D2526" s="529"/>
      <c r="F2526" s="1528"/>
      <c r="G2526" s="1524"/>
      <c r="H2526" s="1524"/>
      <c r="J2526" s="1637"/>
      <c r="K2526" s="1637"/>
    </row>
    <row r="2527" spans="1:11" ht="15.75" thickBot="1" x14ac:dyDescent="0.3">
      <c r="A2527" s="1647" t="s">
        <v>6744</v>
      </c>
      <c r="B2527" s="1352"/>
      <c r="C2527" s="1352"/>
      <c r="D2527" s="1671"/>
      <c r="E2527" s="1672"/>
      <c r="F2527" s="1353"/>
      <c r="G2527" s="1527" t="s">
        <v>5415</v>
      </c>
      <c r="H2527" s="502">
        <f>ROUND(SUM(H2485:H2526),0)</f>
        <v>8279</v>
      </c>
      <c r="J2527" s="1673">
        <f>+B2481</f>
        <v>10.55</v>
      </c>
      <c r="K2527" s="1674">
        <f>+H2527</f>
        <v>8279</v>
      </c>
    </row>
    <row r="2528" spans="1:11" x14ac:dyDescent="0.25">
      <c r="A2528" s="1675"/>
      <c r="B2528" s="1676"/>
      <c r="C2528" s="1676"/>
      <c r="D2528" s="1677"/>
      <c r="E2528" s="1678"/>
      <c r="F2528" s="1679"/>
      <c r="G2528" s="1680"/>
      <c r="H2528" s="1680"/>
    </row>
    <row r="2529" spans="1:11" ht="18.75" x14ac:dyDescent="0.25">
      <c r="A2529" s="1523"/>
      <c r="B2529" s="1655"/>
      <c r="C2529" s="1655"/>
      <c r="D2529" s="950"/>
      <c r="E2529" s="1655"/>
      <c r="F2529" s="1655"/>
      <c r="G2529" s="1655"/>
      <c r="H2529" s="8"/>
    </row>
    <row r="2530" spans="1:11" x14ac:dyDescent="0.25">
      <c r="A2530" s="1523"/>
      <c r="B2530" s="8"/>
      <c r="C2530" s="8"/>
      <c r="D2530" s="529"/>
      <c r="E2530" s="8"/>
      <c r="F2530" s="1523"/>
      <c r="G2530" s="1524"/>
      <c r="H2530" s="8"/>
    </row>
    <row r="2531" spans="1:11" x14ac:dyDescent="0.25">
      <c r="A2531" s="1665" t="s">
        <v>3</v>
      </c>
      <c r="B2531" s="1666">
        <f>+VLOOKUP(C2531,ListaAPUs!$B:$E,4,FALSE)</f>
        <v>10.56</v>
      </c>
      <c r="C2531" s="2441" t="str">
        <f>+ListaAPUs!B256</f>
        <v>Acometida desde empalme caja cs274 a luminaria en poste  cable 2*12 + 12T AWG THHN</v>
      </c>
      <c r="D2531" s="2441"/>
      <c r="E2531" s="2441"/>
      <c r="F2531" s="1665" t="s">
        <v>867</v>
      </c>
      <c r="G2531" s="1390" t="str">
        <f>+VLOOKUP(C2531,ListaAPUs!$B:$E,2,FALSE)</f>
        <v>m</v>
      </c>
      <c r="H2531" s="1524"/>
    </row>
    <row r="2532" spans="1:11" x14ac:dyDescent="0.25">
      <c r="A2532" s="1528"/>
      <c r="B2532" s="1527"/>
      <c r="C2532" s="1527"/>
      <c r="D2532" s="529"/>
      <c r="E2532" s="1527"/>
      <c r="F2532" s="1528"/>
      <c r="G2532" s="1524"/>
      <c r="H2532" s="1524"/>
    </row>
    <row r="2533" spans="1:11" x14ac:dyDescent="0.25">
      <c r="A2533" s="1528"/>
      <c r="B2533" s="1527"/>
      <c r="C2533" s="1527"/>
      <c r="D2533" s="529"/>
      <c r="E2533" s="1527"/>
      <c r="F2533" s="1528"/>
      <c r="G2533" s="1529"/>
      <c r="H2533" s="1524"/>
    </row>
    <row r="2534" spans="1:11" ht="15.75" thickBot="1" x14ac:dyDescent="0.3">
      <c r="A2534" s="1528"/>
      <c r="B2534" s="1527"/>
      <c r="C2534" s="1527"/>
      <c r="D2534" s="529"/>
      <c r="E2534" s="1527"/>
      <c r="F2534" s="1528"/>
      <c r="G2534" s="1524"/>
      <c r="H2534" s="1524"/>
    </row>
    <row r="2535" spans="1:11" ht="15.75" thickBot="1" x14ac:dyDescent="0.3">
      <c r="A2535" s="1368"/>
      <c r="B2535" s="1369" t="s">
        <v>5403</v>
      </c>
      <c r="C2535" s="1363" t="s">
        <v>867</v>
      </c>
      <c r="D2535" s="1120" t="s">
        <v>6</v>
      </c>
      <c r="E2535" s="1363" t="s">
        <v>9417</v>
      </c>
      <c r="F2535" s="1363" t="s">
        <v>5405</v>
      </c>
      <c r="G2535" s="1370" t="s">
        <v>7179</v>
      </c>
      <c r="H2535" s="1371"/>
    </row>
    <row r="2536" spans="1:11" ht="38.25" x14ac:dyDescent="0.25">
      <c r="A2536" s="1528"/>
      <c r="B2536" s="1746" t="s">
        <v>8229</v>
      </c>
      <c r="C2536" s="1802" t="s">
        <v>5432</v>
      </c>
      <c r="D2536" s="1794">
        <v>3</v>
      </c>
      <c r="E2536" s="1803">
        <v>1200</v>
      </c>
      <c r="F2536" s="1804">
        <v>1.05</v>
      </c>
      <c r="G2536" s="1805">
        <f>+F2536*E2536*D2536</f>
        <v>3780</v>
      </c>
      <c r="H2536" s="1524"/>
    </row>
    <row r="2537" spans="1:11" x14ac:dyDescent="0.25">
      <c r="A2537" s="1528"/>
      <c r="B2537" s="1539"/>
      <c r="C2537" s="1537"/>
      <c r="D2537" s="212"/>
      <c r="E2537" s="1681"/>
      <c r="F2537" s="1563"/>
      <c r="G2537" s="814"/>
      <c r="H2537" s="1524"/>
    </row>
    <row r="2538" spans="1:11" x14ac:dyDescent="0.25">
      <c r="A2538" s="1528"/>
      <c r="B2538" s="1667"/>
      <c r="C2538" s="1537"/>
      <c r="D2538" s="212"/>
      <c r="E2538" s="816"/>
      <c r="F2538" s="1563"/>
      <c r="G2538" s="814"/>
      <c r="H2538" s="1524"/>
    </row>
    <row r="2539" spans="1:11" x14ac:dyDescent="0.25">
      <c r="A2539" s="1528"/>
      <c r="B2539" s="1667"/>
      <c r="C2539" s="1537"/>
      <c r="D2539" s="212"/>
      <c r="E2539" s="816"/>
      <c r="F2539" s="1563"/>
      <c r="G2539" s="814"/>
      <c r="H2539" s="1524"/>
    </row>
    <row r="2540" spans="1:11" x14ac:dyDescent="0.25">
      <c r="A2540" s="1528"/>
      <c r="B2540" s="1667"/>
      <c r="C2540" s="1537"/>
      <c r="D2540" s="212"/>
      <c r="E2540" s="816"/>
      <c r="F2540" s="1563"/>
      <c r="G2540" s="814"/>
      <c r="H2540" s="1524"/>
    </row>
    <row r="2541" spans="1:11" x14ac:dyDescent="0.25">
      <c r="A2541" s="1528"/>
      <c r="B2541" s="1667"/>
      <c r="C2541" s="1537"/>
      <c r="D2541" s="212"/>
      <c r="E2541" s="816"/>
      <c r="F2541" s="1563"/>
      <c r="G2541" s="814"/>
      <c r="H2541" s="1524"/>
    </row>
    <row r="2542" spans="1:11" x14ac:dyDescent="0.25">
      <c r="A2542" s="1528"/>
      <c r="B2542" s="1667"/>
      <c r="C2542" s="1537"/>
      <c r="D2542" s="212"/>
      <c r="E2542" s="816"/>
      <c r="F2542" s="1563"/>
      <c r="G2542" s="814"/>
      <c r="H2542" s="1524"/>
    </row>
    <row r="2543" spans="1:11" x14ac:dyDescent="0.25">
      <c r="A2543" s="1528"/>
      <c r="B2543" s="1667"/>
      <c r="C2543" s="1537"/>
      <c r="D2543" s="212"/>
      <c r="E2543" s="816"/>
      <c r="F2543" s="1563"/>
      <c r="G2543" s="814"/>
      <c r="H2543" s="1524"/>
      <c r="J2543" s="1637"/>
      <c r="K2543" s="1637"/>
    </row>
    <row r="2544" spans="1:11" x14ac:dyDescent="0.25">
      <c r="A2544" s="1528"/>
      <c r="B2544" s="1667"/>
      <c r="C2544" s="1537"/>
      <c r="D2544" s="212"/>
      <c r="E2544" s="816"/>
      <c r="F2544" s="1563"/>
      <c r="G2544" s="814"/>
      <c r="H2544" s="1524"/>
      <c r="J2544" s="1637"/>
      <c r="K2544" s="1637"/>
    </row>
    <row r="2545" spans="1:11" x14ac:dyDescent="0.25">
      <c r="A2545" s="1528"/>
      <c r="B2545" s="1667"/>
      <c r="C2545" s="1537"/>
      <c r="D2545" s="212"/>
      <c r="E2545" s="816"/>
      <c r="F2545" s="1563"/>
      <c r="G2545" s="814"/>
      <c r="H2545" s="1524"/>
      <c r="J2545" s="1637"/>
      <c r="K2545" s="1637"/>
    </row>
    <row r="2546" spans="1:11" x14ac:dyDescent="0.25">
      <c r="A2546" s="1528"/>
      <c r="B2546" s="1667"/>
      <c r="C2546" s="1537"/>
      <c r="D2546" s="212"/>
      <c r="E2546" s="816"/>
      <c r="F2546" s="1563"/>
      <c r="G2546" s="814"/>
      <c r="H2546" s="1524"/>
      <c r="J2546" s="1637"/>
      <c r="K2546" s="1637"/>
    </row>
    <row r="2547" spans="1:11" x14ac:dyDescent="0.25">
      <c r="A2547" s="1528"/>
      <c r="B2547" s="269"/>
      <c r="C2547" s="1537"/>
      <c r="D2547" s="212"/>
      <c r="E2547" s="816"/>
      <c r="F2547" s="1563"/>
      <c r="G2547" s="814"/>
      <c r="H2547" s="1524"/>
      <c r="J2547" s="1637"/>
      <c r="K2547" s="1637"/>
    </row>
    <row r="2548" spans="1:11" x14ac:dyDescent="0.25">
      <c r="A2548" s="1528"/>
      <c r="B2548" s="268"/>
      <c r="C2548" s="1534"/>
      <c r="D2548" s="211"/>
      <c r="E2548" s="1535" t="s">
        <v>7182</v>
      </c>
      <c r="F2548" s="1551"/>
      <c r="G2548" s="1541" t="s">
        <v>7182</v>
      </c>
      <c r="H2548" s="1524"/>
      <c r="J2548" s="1637"/>
      <c r="K2548" s="1637"/>
    </row>
    <row r="2549" spans="1:11" x14ac:dyDescent="0.25">
      <c r="A2549" s="1528"/>
      <c r="B2549" s="1346"/>
      <c r="C2549" s="1534"/>
      <c r="D2549" s="211"/>
      <c r="E2549" s="1535" t="s">
        <v>7182</v>
      </c>
      <c r="F2549" s="1551"/>
      <c r="G2549" s="1541" t="s">
        <v>7182</v>
      </c>
      <c r="H2549" s="1524"/>
      <c r="J2549" s="1637"/>
      <c r="K2549" s="1637"/>
    </row>
    <row r="2550" spans="1:11" ht="15.75" thickBot="1" x14ac:dyDescent="0.3">
      <c r="A2550" s="1528"/>
      <c r="B2550" s="1540"/>
      <c r="C2550" s="1537"/>
      <c r="D2550" s="952"/>
      <c r="E2550" s="1538" t="s">
        <v>7182</v>
      </c>
      <c r="F2550" s="1537"/>
      <c r="G2550" s="1541" t="s">
        <v>7182</v>
      </c>
      <c r="H2550" s="1524"/>
      <c r="J2550" s="1637"/>
      <c r="K2550" s="1637"/>
    </row>
    <row r="2551" spans="1:11" ht="15.75" thickBot="1" x14ac:dyDescent="0.3">
      <c r="A2551" s="1528"/>
      <c r="B2551" s="1555"/>
      <c r="C2551" s="1557"/>
      <c r="D2551" s="956"/>
      <c r="E2551" s="1556" t="s">
        <v>7182</v>
      </c>
      <c r="F2551" s="1557"/>
      <c r="G2551" s="1558" t="s">
        <v>7182</v>
      </c>
      <c r="H2551" s="1546">
        <f>SUM(G2536:G2551)</f>
        <v>3780</v>
      </c>
      <c r="J2551" s="1637"/>
      <c r="K2551" s="1637"/>
    </row>
    <row r="2552" spans="1:11" x14ac:dyDescent="0.25">
      <c r="A2552" s="1528"/>
      <c r="B2552" s="1372"/>
      <c r="C2552" s="1374"/>
      <c r="D2552" s="1373"/>
      <c r="E2552" s="1372" t="s">
        <v>7182</v>
      </c>
      <c r="F2552" s="1374"/>
      <c r="G2552" s="1375" t="s">
        <v>7182</v>
      </c>
      <c r="H2552" s="1550"/>
      <c r="J2552" s="1637"/>
      <c r="K2552" s="1637"/>
    </row>
    <row r="2553" spans="1:11" ht="15.75" thickBot="1" x14ac:dyDescent="0.3">
      <c r="A2553" s="1527"/>
      <c r="B2553" s="188"/>
      <c r="C2553" s="189"/>
      <c r="D2553" s="1668"/>
      <c r="E2553" s="188"/>
      <c r="F2553" s="189"/>
      <c r="G2553" s="1669"/>
      <c r="H2553" s="1550"/>
      <c r="J2553" s="1637"/>
      <c r="K2553" s="1637"/>
    </row>
    <row r="2554" spans="1:11" ht="15.75" thickBot="1" x14ac:dyDescent="0.3">
      <c r="A2554" s="1527"/>
      <c r="B2554" s="1366" t="s">
        <v>9418</v>
      </c>
      <c r="C2554" s="1363" t="s">
        <v>867</v>
      </c>
      <c r="D2554" s="1120" t="s">
        <v>6</v>
      </c>
      <c r="E2554" s="1363" t="s">
        <v>7183</v>
      </c>
      <c r="F2554" s="1363" t="s">
        <v>5405</v>
      </c>
      <c r="G2554" s="1365" t="s">
        <v>7179</v>
      </c>
      <c r="H2554" s="1524"/>
      <c r="J2554" s="1637"/>
      <c r="K2554" s="1637"/>
    </row>
    <row r="2555" spans="1:11" x14ac:dyDescent="0.25">
      <c r="A2555" s="1527"/>
      <c r="B2555" s="1564" t="s">
        <v>5455</v>
      </c>
      <c r="C2555" s="1534" t="s">
        <v>5</v>
      </c>
      <c r="D2555" s="211">
        <v>1</v>
      </c>
      <c r="E2555" s="1535">
        <v>100</v>
      </c>
      <c r="F2555" s="1534">
        <v>1</v>
      </c>
      <c r="G2555" s="1572">
        <f>+F2555*E2555</f>
        <v>100</v>
      </c>
      <c r="H2555" s="1524"/>
      <c r="J2555" s="1637"/>
      <c r="K2555" s="1637"/>
    </row>
    <row r="2556" spans="1:11" x14ac:dyDescent="0.25">
      <c r="A2556" s="1527"/>
      <c r="B2556" s="1540"/>
      <c r="C2556" s="1537"/>
      <c r="D2556" s="212"/>
      <c r="E2556" s="1535" t="s">
        <v>7182</v>
      </c>
      <c r="F2556" s="1537"/>
      <c r="G2556" s="1572" t="s">
        <v>7182</v>
      </c>
      <c r="H2556" s="1524"/>
      <c r="J2556" s="1637"/>
      <c r="K2556" s="1637"/>
    </row>
    <row r="2557" spans="1:11" x14ac:dyDescent="0.25">
      <c r="A2557" s="1527"/>
      <c r="B2557" s="1540"/>
      <c r="C2557" s="1537"/>
      <c r="D2557" s="212"/>
      <c r="E2557" s="1535" t="s">
        <v>7182</v>
      </c>
      <c r="F2557" s="1537"/>
      <c r="G2557" s="1572" t="s">
        <v>7182</v>
      </c>
      <c r="H2557" s="1524"/>
      <c r="J2557" s="1637"/>
      <c r="K2557" s="1637"/>
    </row>
    <row r="2558" spans="1:11" ht="15.75" thickBot="1" x14ac:dyDescent="0.3">
      <c r="A2558" s="1527"/>
      <c r="B2558" s="1540"/>
      <c r="C2558" s="1537"/>
      <c r="D2558" s="212"/>
      <c r="E2558" s="1535" t="s">
        <v>7182</v>
      </c>
      <c r="F2558" s="1537"/>
      <c r="G2558" s="1572" t="s">
        <v>7182</v>
      </c>
      <c r="H2558" s="1524"/>
      <c r="J2558" s="1637"/>
      <c r="K2558" s="1637"/>
    </row>
    <row r="2559" spans="1:11" ht="15.75" thickBot="1" x14ac:dyDescent="0.3">
      <c r="A2559" s="1527"/>
      <c r="B2559" s="1555"/>
      <c r="C2559" s="1556"/>
      <c r="D2559" s="956"/>
      <c r="E2559" s="1556" t="s">
        <v>7182</v>
      </c>
      <c r="F2559" s="1557"/>
      <c r="G2559" s="1558" t="s">
        <v>7182</v>
      </c>
      <c r="H2559" s="1546">
        <f>SUM(G2555:G2559)</f>
        <v>100</v>
      </c>
      <c r="J2559" s="1637"/>
      <c r="K2559" s="1637"/>
    </row>
    <row r="2560" spans="1:11" ht="15.75" thickBot="1" x14ac:dyDescent="0.3">
      <c r="A2560" s="1527"/>
      <c r="B2560" s="1376"/>
      <c r="C2560" s="1353"/>
      <c r="D2560" s="1355"/>
      <c r="E2560" s="1352"/>
      <c r="F2560" s="1377"/>
      <c r="G2560" s="1378"/>
      <c r="H2560" s="1524"/>
      <c r="J2560" s="1637"/>
      <c r="K2560" s="1637"/>
    </row>
    <row r="2561" spans="1:11" ht="15.75" thickBot="1" x14ac:dyDescent="0.3">
      <c r="A2561" s="1527"/>
      <c r="B2561" s="1366" t="s">
        <v>5410</v>
      </c>
      <c r="C2561" s="1363" t="s">
        <v>867</v>
      </c>
      <c r="D2561" s="1120" t="s">
        <v>6</v>
      </c>
      <c r="E2561" s="1363" t="s">
        <v>7183</v>
      </c>
      <c r="F2561" s="1363" t="s">
        <v>5405</v>
      </c>
      <c r="G2561" s="1365" t="s">
        <v>7179</v>
      </c>
      <c r="H2561" s="1524"/>
      <c r="J2561" s="1637"/>
      <c r="K2561" s="1637"/>
    </row>
    <row r="2562" spans="1:11" ht="25.5" x14ac:dyDescent="0.25">
      <c r="A2562" s="1527"/>
      <c r="B2562" s="1564" t="s">
        <v>9421</v>
      </c>
      <c r="C2562" s="1534" t="s">
        <v>9023</v>
      </c>
      <c r="D2562" s="211">
        <v>1</v>
      </c>
      <c r="E2562" s="1535">
        <v>500</v>
      </c>
      <c r="F2562" s="1534">
        <v>1</v>
      </c>
      <c r="G2562" s="1572">
        <f>+F2562*E2562</f>
        <v>500</v>
      </c>
      <c r="H2562" s="1524"/>
      <c r="J2562" s="1637"/>
      <c r="K2562" s="1637"/>
    </row>
    <row r="2563" spans="1:11" x14ac:dyDescent="0.25">
      <c r="A2563" s="1527"/>
      <c r="B2563" s="1540"/>
      <c r="C2563" s="1537"/>
      <c r="D2563" s="212"/>
      <c r="E2563" s="1535" t="s">
        <v>7182</v>
      </c>
      <c r="F2563" s="1537"/>
      <c r="G2563" s="1572" t="s">
        <v>7182</v>
      </c>
      <c r="H2563" s="1524"/>
      <c r="J2563" s="1637"/>
      <c r="K2563" s="1637"/>
    </row>
    <row r="2564" spans="1:11" x14ac:dyDescent="0.25">
      <c r="A2564" s="1527"/>
      <c r="B2564" s="1540"/>
      <c r="C2564" s="1537"/>
      <c r="D2564" s="212"/>
      <c r="E2564" s="1535" t="s">
        <v>7182</v>
      </c>
      <c r="F2564" s="1537"/>
      <c r="G2564" s="1572" t="s">
        <v>7182</v>
      </c>
      <c r="H2564" s="1524"/>
      <c r="J2564" s="1637"/>
      <c r="K2564" s="1637"/>
    </row>
    <row r="2565" spans="1:11" ht="15.75" thickBot="1" x14ac:dyDescent="0.3">
      <c r="A2565" s="1527"/>
      <c r="B2565" s="1540"/>
      <c r="C2565" s="1537"/>
      <c r="D2565" s="212"/>
      <c r="E2565" s="1535" t="s">
        <v>7182</v>
      </c>
      <c r="F2565" s="1537"/>
      <c r="G2565" s="1572" t="s">
        <v>7182</v>
      </c>
      <c r="H2565" s="1524"/>
      <c r="J2565" s="1637"/>
      <c r="K2565" s="1637"/>
    </row>
    <row r="2566" spans="1:11" ht="15.75" thickBot="1" x14ac:dyDescent="0.3">
      <c r="A2566" s="1527"/>
      <c r="B2566" s="1555"/>
      <c r="C2566" s="1556"/>
      <c r="D2566" s="956"/>
      <c r="E2566" s="1556" t="s">
        <v>7182</v>
      </c>
      <c r="F2566" s="1557"/>
      <c r="G2566" s="1558" t="s">
        <v>7182</v>
      </c>
      <c r="H2566" s="1546">
        <f>SUM(G2562:G2566)</f>
        <v>500</v>
      </c>
      <c r="J2566" s="1637"/>
      <c r="K2566" s="1637"/>
    </row>
    <row r="2567" spans="1:11" ht="15.75" thickBot="1" x14ac:dyDescent="0.3">
      <c r="A2567" s="1527"/>
      <c r="B2567" s="1547"/>
      <c r="C2567" s="1547"/>
      <c r="D2567" s="954"/>
      <c r="E2567" s="1547"/>
      <c r="F2567" s="1553"/>
      <c r="G2567" s="1554"/>
      <c r="H2567" s="1550"/>
      <c r="J2567" s="1637"/>
      <c r="K2567" s="1637"/>
    </row>
    <row r="2568" spans="1:11" ht="15.75" thickBot="1" x14ac:dyDescent="0.3">
      <c r="A2568" s="1559"/>
      <c r="B2568" s="1369" t="s">
        <v>5412</v>
      </c>
      <c r="C2568" s="1363" t="s">
        <v>5420</v>
      </c>
      <c r="D2568" s="1120" t="s">
        <v>5421</v>
      </c>
      <c r="E2568" s="1363" t="s">
        <v>7187</v>
      </c>
      <c r="F2568" s="1363" t="s">
        <v>5405</v>
      </c>
      <c r="G2568" s="1370" t="s">
        <v>7179</v>
      </c>
      <c r="H2568" s="1371"/>
      <c r="J2568" s="1637"/>
      <c r="K2568" s="1637"/>
    </row>
    <row r="2569" spans="1:11" x14ac:dyDescent="0.25">
      <c r="A2569" s="1527"/>
      <c r="B2569" s="1767" t="s">
        <v>9422</v>
      </c>
      <c r="C2569" s="1778">
        <v>170000</v>
      </c>
      <c r="D2569" s="1779">
        <f>0.6*C2569</f>
        <v>102000</v>
      </c>
      <c r="E2569" s="1778">
        <f>+D2569+C2569</f>
        <v>272000</v>
      </c>
      <c r="F2569" s="1790">
        <v>0.01</v>
      </c>
      <c r="G2569" s="1789">
        <f>+F2569*E2569</f>
        <v>2720</v>
      </c>
      <c r="H2569" s="1524"/>
      <c r="J2569" s="1637"/>
      <c r="K2569" s="1637"/>
    </row>
    <row r="2570" spans="1:11" x14ac:dyDescent="0.25">
      <c r="A2570" s="1527"/>
      <c r="B2570" s="1767"/>
      <c r="C2570" s="1778"/>
      <c r="D2570" s="1778"/>
      <c r="E2570" s="1778"/>
      <c r="F2570" s="1790"/>
      <c r="G2570" s="1789"/>
      <c r="H2570" s="1524"/>
      <c r="J2570" s="1637"/>
      <c r="K2570" s="1637"/>
    </row>
    <row r="2571" spans="1:11" x14ac:dyDescent="0.25">
      <c r="A2571" s="1527"/>
      <c r="B2571" s="1561"/>
      <c r="C2571" s="1569"/>
      <c r="D2571" s="1569"/>
      <c r="E2571" s="1569"/>
      <c r="F2571" s="817"/>
      <c r="G2571" s="818"/>
      <c r="H2571" s="1524"/>
      <c r="J2571" s="1637"/>
      <c r="K2571" s="1637"/>
    </row>
    <row r="2572" spans="1:11" x14ac:dyDescent="0.25">
      <c r="A2572" s="1527"/>
      <c r="B2572" s="1540"/>
      <c r="C2572" s="1569"/>
      <c r="D2572" s="1569"/>
      <c r="E2572" s="1569"/>
      <c r="F2572" s="817"/>
      <c r="G2572" s="818"/>
      <c r="H2572" s="1524"/>
      <c r="J2572" s="1637"/>
      <c r="K2572" s="1637"/>
    </row>
    <row r="2573" spans="1:11" x14ac:dyDescent="0.25">
      <c r="A2573" s="1527"/>
      <c r="B2573" s="1540"/>
      <c r="C2573" s="1538" t="s">
        <v>7182</v>
      </c>
      <c r="D2573" s="952" t="s">
        <v>7182</v>
      </c>
      <c r="E2573" s="1538" t="s">
        <v>7182</v>
      </c>
      <c r="F2573" s="817"/>
      <c r="G2573" s="818" t="str">
        <f>IF(B2573="","",E2573/F2573)</f>
        <v/>
      </c>
      <c r="H2573" s="1524"/>
      <c r="J2573" s="1637"/>
      <c r="K2573" s="1637"/>
    </row>
    <row r="2574" spans="1:11" ht="15.75" thickBot="1" x14ac:dyDescent="0.3">
      <c r="A2574" s="1527"/>
      <c r="B2574" s="1540"/>
      <c r="C2574" s="1538" t="s">
        <v>7182</v>
      </c>
      <c r="D2574" s="952" t="s">
        <v>7182</v>
      </c>
      <c r="E2574" s="1538" t="s">
        <v>7182</v>
      </c>
      <c r="F2574" s="1537"/>
      <c r="G2574" s="818" t="str">
        <f>IF(B2574="","",E2574/F2574)</f>
        <v/>
      </c>
      <c r="H2574" s="1524"/>
      <c r="J2574" s="1637"/>
      <c r="K2574" s="1637"/>
    </row>
    <row r="2575" spans="1:11" ht="15.75" thickBot="1" x14ac:dyDescent="0.3">
      <c r="A2575" s="1527"/>
      <c r="B2575" s="1555"/>
      <c r="C2575" s="1556"/>
      <c r="D2575" s="956"/>
      <c r="E2575" s="1556"/>
      <c r="F2575" s="1557"/>
      <c r="G2575" s="1558"/>
      <c r="H2575" s="1546">
        <f>SUM(G2569:G2575)</f>
        <v>2720</v>
      </c>
    </row>
    <row r="2576" spans="1:11" ht="15.75" thickBot="1" x14ac:dyDescent="0.3">
      <c r="A2576" s="1527"/>
      <c r="B2576" s="1527"/>
      <c r="C2576" s="1527"/>
      <c r="D2576" s="529"/>
      <c r="F2576" s="1528"/>
      <c r="G2576" s="1524"/>
      <c r="H2576" s="1524"/>
    </row>
    <row r="2577" spans="1:11" ht="15.75" thickBot="1" x14ac:dyDescent="0.3">
      <c r="A2577" s="1647" t="s">
        <v>6744</v>
      </c>
      <c r="B2577" s="1352"/>
      <c r="C2577" s="1352"/>
      <c r="D2577" s="1671"/>
      <c r="E2577" s="1672"/>
      <c r="F2577" s="1353"/>
      <c r="G2577" s="1527" t="s">
        <v>5415</v>
      </c>
      <c r="H2577" s="502">
        <f>ROUND(SUM(H2535:H2576),0)</f>
        <v>7100</v>
      </c>
      <c r="J2577" s="1673">
        <f>+B2531</f>
        <v>10.56</v>
      </c>
      <c r="K2577" s="1674">
        <f>+H2577</f>
        <v>7100</v>
      </c>
    </row>
    <row r="2578" spans="1:11" x14ac:dyDescent="0.25">
      <c r="A2578" s="1675"/>
      <c r="B2578" s="1676"/>
      <c r="C2578" s="1676"/>
      <c r="D2578" s="1677"/>
      <c r="E2578" s="1678"/>
      <c r="F2578" s="1679"/>
      <c r="G2578" s="1680"/>
      <c r="H2578" s="1680"/>
    </row>
    <row r="2579" spans="1:11" ht="18.75" x14ac:dyDescent="0.25">
      <c r="A2579" s="1523"/>
      <c r="B2579" s="1655"/>
      <c r="C2579" s="1655"/>
      <c r="D2579" s="950"/>
      <c r="E2579" s="1655"/>
      <c r="F2579" s="1655"/>
      <c r="G2579" s="1655"/>
      <c r="H2579" s="8"/>
    </row>
    <row r="2580" spans="1:11" x14ac:dyDescent="0.25">
      <c r="A2580" s="1523"/>
      <c r="B2580" s="8"/>
      <c r="C2580" s="8"/>
      <c r="D2580" s="529"/>
      <c r="E2580" s="8"/>
      <c r="F2580" s="1523"/>
      <c r="G2580" s="1524"/>
      <c r="H2580" s="8"/>
    </row>
    <row r="2581" spans="1:11" x14ac:dyDescent="0.25">
      <c r="A2581" s="1665" t="s">
        <v>3</v>
      </c>
      <c r="B2581" s="1666">
        <f>+VLOOKUP(C2581,ListaAPUs!$B:$E,4,FALSE)</f>
        <v>10.57</v>
      </c>
      <c r="C2581" s="2441" t="str">
        <f>+ListaAPUs!B257</f>
        <v>Lampara fluorescente 2X32W .Incluye lámpara, iterruptor, tubería y cableado.</v>
      </c>
      <c r="D2581" s="2441"/>
      <c r="E2581" s="2441"/>
      <c r="F2581" s="1665" t="s">
        <v>867</v>
      </c>
      <c r="G2581" s="1390" t="str">
        <f>+VLOOKUP(C2581,ListaAPUs!$B:$E,2,FALSE)</f>
        <v>un</v>
      </c>
      <c r="H2581" s="1524"/>
    </row>
    <row r="2582" spans="1:11" x14ac:dyDescent="0.25">
      <c r="A2582" s="1528"/>
      <c r="B2582" s="1527"/>
      <c r="C2582" s="1527"/>
      <c r="D2582" s="529"/>
      <c r="E2582" s="1527"/>
      <c r="F2582" s="1528"/>
      <c r="G2582" s="1524"/>
      <c r="H2582" s="1524"/>
    </row>
    <row r="2583" spans="1:11" x14ac:dyDescent="0.25">
      <c r="A2583" s="1528"/>
      <c r="B2583" s="1527"/>
      <c r="C2583" s="1527"/>
      <c r="D2583" s="529"/>
      <c r="E2583" s="1527"/>
      <c r="F2583" s="1528"/>
      <c r="G2583" s="1529"/>
      <c r="H2583" s="1524"/>
    </row>
    <row r="2584" spans="1:11" ht="15.75" thickBot="1" x14ac:dyDescent="0.3">
      <c r="A2584" s="1528"/>
      <c r="B2584" s="1527"/>
      <c r="C2584" s="1527"/>
      <c r="D2584" s="529"/>
      <c r="E2584" s="1527"/>
      <c r="F2584" s="1528"/>
      <c r="G2584" s="1524"/>
      <c r="H2584" s="1524"/>
    </row>
    <row r="2585" spans="1:11" ht="15.75" thickBot="1" x14ac:dyDescent="0.3">
      <c r="A2585" s="1368"/>
      <c r="B2585" s="1369" t="s">
        <v>5403</v>
      </c>
      <c r="C2585" s="1363" t="s">
        <v>867</v>
      </c>
      <c r="D2585" s="1120" t="s">
        <v>6</v>
      </c>
      <c r="E2585" s="1363" t="s">
        <v>9417</v>
      </c>
      <c r="F2585" s="1363" t="s">
        <v>5405</v>
      </c>
      <c r="G2585" s="1370" t="s">
        <v>7179</v>
      </c>
      <c r="H2585" s="1371"/>
    </row>
    <row r="2586" spans="1:11" ht="38.25" x14ac:dyDescent="0.25">
      <c r="A2586" s="1528"/>
      <c r="B2586" s="1746" t="s">
        <v>9519</v>
      </c>
      <c r="C2586" s="1802" t="s">
        <v>9468</v>
      </c>
      <c r="D2586" s="1794">
        <v>1</v>
      </c>
      <c r="E2586" s="1803">
        <v>110000</v>
      </c>
      <c r="F2586" s="1804">
        <v>1</v>
      </c>
      <c r="G2586" s="1805">
        <f>+F2586*E2586*D2586</f>
        <v>110000</v>
      </c>
      <c r="H2586" s="1524"/>
    </row>
    <row r="2587" spans="1:11" x14ac:dyDescent="0.25">
      <c r="A2587" s="1528"/>
      <c r="B2587" s="1822" t="s">
        <v>9623</v>
      </c>
      <c r="C2587" s="1749" t="s">
        <v>5402</v>
      </c>
      <c r="D2587" s="1769">
        <v>1.5</v>
      </c>
      <c r="E2587" s="1825">
        <v>2300</v>
      </c>
      <c r="F2587" s="1769">
        <v>1</v>
      </c>
      <c r="G2587" s="1786">
        <f t="shared" ref="G2587:G2589" si="17">+F2587*E2587*D2587</f>
        <v>3450</v>
      </c>
      <c r="H2587" s="1524"/>
    </row>
    <row r="2588" spans="1:11" x14ac:dyDescent="0.25">
      <c r="A2588" s="1528"/>
      <c r="B2588" s="1751" t="s">
        <v>9520</v>
      </c>
      <c r="C2588" s="1749" t="s">
        <v>9468</v>
      </c>
      <c r="D2588" s="1769">
        <v>1</v>
      </c>
      <c r="E2588" s="1782">
        <v>4500</v>
      </c>
      <c r="F2588" s="1769">
        <v>1</v>
      </c>
      <c r="G2588" s="1786">
        <f t="shared" si="17"/>
        <v>4500</v>
      </c>
      <c r="H2588" s="1524"/>
    </row>
    <row r="2589" spans="1:11" x14ac:dyDescent="0.25">
      <c r="A2589" s="1528"/>
      <c r="B2589" s="1822" t="s">
        <v>9521</v>
      </c>
      <c r="C2589" s="1749" t="s">
        <v>9468</v>
      </c>
      <c r="D2589" s="1773">
        <v>1</v>
      </c>
      <c r="E2589" s="1782">
        <v>1200</v>
      </c>
      <c r="F2589" s="1769">
        <v>1</v>
      </c>
      <c r="G2589" s="1786">
        <f t="shared" si="17"/>
        <v>1200</v>
      </c>
      <c r="H2589" s="1524"/>
    </row>
    <row r="2590" spans="1:11" x14ac:dyDescent="0.25">
      <c r="A2590" s="1528"/>
      <c r="B2590" s="1822"/>
      <c r="C2590" s="1749"/>
      <c r="D2590" s="1773"/>
      <c r="E2590" s="1787"/>
      <c r="F2590" s="1769"/>
      <c r="G2590" s="1786"/>
      <c r="H2590" s="1524"/>
    </row>
    <row r="2591" spans="1:11" x14ac:dyDescent="0.25">
      <c r="A2591" s="1528"/>
      <c r="B2591" s="1667"/>
      <c r="C2591" s="1537"/>
      <c r="D2591" s="212"/>
      <c r="E2591" s="816"/>
      <c r="F2591" s="1563"/>
      <c r="G2591" s="814"/>
      <c r="H2591" s="1524"/>
      <c r="J2591" s="1637"/>
      <c r="K2591" s="1637"/>
    </row>
    <row r="2592" spans="1:11" x14ac:dyDescent="0.25">
      <c r="A2592" s="1528"/>
      <c r="B2592" s="1667"/>
      <c r="C2592" s="1537"/>
      <c r="D2592" s="212"/>
      <c r="E2592" s="816"/>
      <c r="F2592" s="1563"/>
      <c r="G2592" s="814"/>
      <c r="H2592" s="1524"/>
      <c r="J2592" s="1637"/>
      <c r="K2592" s="1637"/>
    </row>
    <row r="2593" spans="1:11" x14ac:dyDescent="0.25">
      <c r="A2593" s="1528"/>
      <c r="B2593" s="1667"/>
      <c r="C2593" s="1537"/>
      <c r="D2593" s="212"/>
      <c r="E2593" s="816"/>
      <c r="F2593" s="1563"/>
      <c r="G2593" s="814"/>
      <c r="H2593" s="1524"/>
      <c r="J2593" s="1637"/>
      <c r="K2593" s="1637"/>
    </row>
    <row r="2594" spans="1:11" x14ac:dyDescent="0.25">
      <c r="A2594" s="1528"/>
      <c r="B2594" s="1667"/>
      <c r="C2594" s="1537"/>
      <c r="D2594" s="212"/>
      <c r="E2594" s="816"/>
      <c r="F2594" s="1563"/>
      <c r="G2594" s="814"/>
      <c r="H2594" s="1524"/>
      <c r="J2594" s="1637"/>
      <c r="K2594" s="1637"/>
    </row>
    <row r="2595" spans="1:11" x14ac:dyDescent="0.25">
      <c r="A2595" s="1528"/>
      <c r="B2595" s="1667"/>
      <c r="C2595" s="1537"/>
      <c r="D2595" s="212"/>
      <c r="E2595" s="816"/>
      <c r="F2595" s="1563"/>
      <c r="G2595" s="814"/>
      <c r="H2595" s="1524"/>
      <c r="J2595" s="1637"/>
      <c r="K2595" s="1637"/>
    </row>
    <row r="2596" spans="1:11" x14ac:dyDescent="0.25">
      <c r="A2596" s="1528"/>
      <c r="B2596" s="1667"/>
      <c r="C2596" s="1537"/>
      <c r="D2596" s="212"/>
      <c r="E2596" s="816"/>
      <c r="F2596" s="1563"/>
      <c r="G2596" s="814"/>
      <c r="H2596" s="1524"/>
      <c r="J2596" s="1637"/>
      <c r="K2596" s="1637"/>
    </row>
    <row r="2597" spans="1:11" x14ac:dyDescent="0.25">
      <c r="A2597" s="1528"/>
      <c r="B2597" s="269"/>
      <c r="C2597" s="1537"/>
      <c r="D2597" s="212"/>
      <c r="E2597" s="816"/>
      <c r="F2597" s="1563"/>
      <c r="G2597" s="814"/>
      <c r="H2597" s="1524"/>
      <c r="J2597" s="1637"/>
      <c r="K2597" s="1637"/>
    </row>
    <row r="2598" spans="1:11" x14ac:dyDescent="0.25">
      <c r="A2598" s="1528"/>
      <c r="B2598" s="268"/>
      <c r="C2598" s="1534"/>
      <c r="D2598" s="211"/>
      <c r="E2598" s="1535" t="s">
        <v>7182</v>
      </c>
      <c r="F2598" s="1551"/>
      <c r="G2598" s="1541" t="s">
        <v>7182</v>
      </c>
      <c r="H2598" s="1524"/>
      <c r="J2598" s="1637"/>
      <c r="K2598" s="1637"/>
    </row>
    <row r="2599" spans="1:11" x14ac:dyDescent="0.25">
      <c r="A2599" s="1528"/>
      <c r="B2599" s="1346"/>
      <c r="C2599" s="1534"/>
      <c r="D2599" s="211"/>
      <c r="E2599" s="1535" t="s">
        <v>7182</v>
      </c>
      <c r="F2599" s="1551"/>
      <c r="G2599" s="1541" t="s">
        <v>7182</v>
      </c>
      <c r="H2599" s="1524"/>
      <c r="J2599" s="1637"/>
      <c r="K2599" s="1637"/>
    </row>
    <row r="2600" spans="1:11" ht="15.75" thickBot="1" x14ac:dyDescent="0.3">
      <c r="A2600" s="1528"/>
      <c r="B2600" s="1540"/>
      <c r="C2600" s="1537"/>
      <c r="D2600" s="952"/>
      <c r="E2600" s="1538" t="s">
        <v>7182</v>
      </c>
      <c r="F2600" s="1537"/>
      <c r="G2600" s="1541" t="s">
        <v>7182</v>
      </c>
      <c r="H2600" s="1524"/>
      <c r="J2600" s="1637"/>
      <c r="K2600" s="1637"/>
    </row>
    <row r="2601" spans="1:11" ht="15.75" thickBot="1" x14ac:dyDescent="0.3">
      <c r="A2601" s="1528"/>
      <c r="B2601" s="1555"/>
      <c r="C2601" s="1557"/>
      <c r="D2601" s="956"/>
      <c r="E2601" s="1556" t="s">
        <v>7182</v>
      </c>
      <c r="F2601" s="1557"/>
      <c r="G2601" s="1558" t="s">
        <v>7182</v>
      </c>
      <c r="H2601" s="1546">
        <f>SUM(G2586:G2601)</f>
        <v>119150</v>
      </c>
      <c r="J2601" s="1637"/>
      <c r="K2601" s="1637"/>
    </row>
    <row r="2602" spans="1:11" x14ac:dyDescent="0.25">
      <c r="A2602" s="1528"/>
      <c r="B2602" s="1372"/>
      <c r="C2602" s="1374"/>
      <c r="D2602" s="1373"/>
      <c r="E2602" s="1372" t="s">
        <v>7182</v>
      </c>
      <c r="F2602" s="1374"/>
      <c r="G2602" s="1375" t="s">
        <v>7182</v>
      </c>
      <c r="H2602" s="1550"/>
      <c r="J2602" s="1637"/>
      <c r="K2602" s="1637"/>
    </row>
    <row r="2603" spans="1:11" ht="15.75" thickBot="1" x14ac:dyDescent="0.3">
      <c r="A2603" s="1527"/>
      <c r="B2603" s="188"/>
      <c r="C2603" s="189"/>
      <c r="D2603" s="1668"/>
      <c r="E2603" s="188"/>
      <c r="F2603" s="189"/>
      <c r="G2603" s="1669"/>
      <c r="H2603" s="1550"/>
      <c r="J2603" s="1637"/>
      <c r="K2603" s="1637"/>
    </row>
    <row r="2604" spans="1:11" ht="15.75" thickBot="1" x14ac:dyDescent="0.3">
      <c r="A2604" s="1527"/>
      <c r="B2604" s="1366" t="s">
        <v>9418</v>
      </c>
      <c r="C2604" s="1363" t="s">
        <v>867</v>
      </c>
      <c r="D2604" s="1120" t="s">
        <v>6</v>
      </c>
      <c r="E2604" s="1363" t="s">
        <v>7183</v>
      </c>
      <c r="F2604" s="1363" t="s">
        <v>5405</v>
      </c>
      <c r="G2604" s="1365" t="s">
        <v>7179</v>
      </c>
      <c r="H2604" s="1524"/>
      <c r="J2604" s="1637"/>
      <c r="K2604" s="1637"/>
    </row>
    <row r="2605" spans="1:11" x14ac:dyDescent="0.25">
      <c r="A2605" s="1527"/>
      <c r="B2605" s="1564" t="s">
        <v>5455</v>
      </c>
      <c r="C2605" s="1534" t="s">
        <v>5</v>
      </c>
      <c r="D2605" s="211">
        <v>1</v>
      </c>
      <c r="E2605" s="1535">
        <v>1000</v>
      </c>
      <c r="F2605" s="1534">
        <v>1</v>
      </c>
      <c r="G2605" s="1572">
        <f>+F2605*E2605</f>
        <v>1000</v>
      </c>
      <c r="H2605" s="1524"/>
      <c r="J2605" s="1637"/>
      <c r="K2605" s="1637"/>
    </row>
    <row r="2606" spans="1:11" x14ac:dyDescent="0.25">
      <c r="A2606" s="1527"/>
      <c r="B2606" s="1540"/>
      <c r="C2606" s="1537"/>
      <c r="D2606" s="212"/>
      <c r="E2606" s="1535" t="s">
        <v>7182</v>
      </c>
      <c r="F2606" s="1537"/>
      <c r="G2606" s="1572" t="s">
        <v>7182</v>
      </c>
      <c r="H2606" s="1524"/>
      <c r="J2606" s="1637"/>
      <c r="K2606" s="1637"/>
    </row>
    <row r="2607" spans="1:11" x14ac:dyDescent="0.25">
      <c r="A2607" s="1527"/>
      <c r="B2607" s="1540"/>
      <c r="C2607" s="1537"/>
      <c r="D2607" s="212"/>
      <c r="E2607" s="1535" t="s">
        <v>7182</v>
      </c>
      <c r="F2607" s="1537"/>
      <c r="G2607" s="1572" t="s">
        <v>7182</v>
      </c>
      <c r="H2607" s="1524"/>
      <c r="J2607" s="1637"/>
      <c r="K2607" s="1637"/>
    </row>
    <row r="2608" spans="1:11" ht="15.75" thickBot="1" x14ac:dyDescent="0.3">
      <c r="A2608" s="1527"/>
      <c r="B2608" s="1540"/>
      <c r="C2608" s="1537"/>
      <c r="D2608" s="212"/>
      <c r="E2608" s="1535" t="s">
        <v>7182</v>
      </c>
      <c r="F2608" s="1537"/>
      <c r="G2608" s="1572" t="s">
        <v>7182</v>
      </c>
      <c r="H2608" s="1524"/>
      <c r="J2608" s="1637"/>
      <c r="K2608" s="1637"/>
    </row>
    <row r="2609" spans="1:11" ht="15.75" thickBot="1" x14ac:dyDescent="0.3">
      <c r="A2609" s="1527"/>
      <c r="B2609" s="1555"/>
      <c r="C2609" s="1556"/>
      <c r="D2609" s="956"/>
      <c r="E2609" s="1556" t="s">
        <v>7182</v>
      </c>
      <c r="F2609" s="1557"/>
      <c r="G2609" s="1558" t="s">
        <v>7182</v>
      </c>
      <c r="H2609" s="1546">
        <f>SUM(G2605:G2609)</f>
        <v>1000</v>
      </c>
      <c r="J2609" s="1637"/>
      <c r="K2609" s="1637"/>
    </row>
    <row r="2610" spans="1:11" ht="15.75" thickBot="1" x14ac:dyDescent="0.3">
      <c r="A2610" s="1527"/>
      <c r="B2610" s="1376"/>
      <c r="C2610" s="1353"/>
      <c r="D2610" s="1355"/>
      <c r="E2610" s="1352"/>
      <c r="F2610" s="1377"/>
      <c r="G2610" s="1378"/>
      <c r="H2610" s="1524"/>
      <c r="J2610" s="1637"/>
      <c r="K2610" s="1637"/>
    </row>
    <row r="2611" spans="1:11" ht="15.75" thickBot="1" x14ac:dyDescent="0.3">
      <c r="A2611" s="1527"/>
      <c r="B2611" s="1366" t="s">
        <v>5410</v>
      </c>
      <c r="C2611" s="1363" t="s">
        <v>867</v>
      </c>
      <c r="D2611" s="1120" t="s">
        <v>6</v>
      </c>
      <c r="E2611" s="1363" t="s">
        <v>7183</v>
      </c>
      <c r="F2611" s="1363" t="s">
        <v>5405</v>
      </c>
      <c r="G2611" s="1365" t="s">
        <v>7179</v>
      </c>
      <c r="H2611" s="1524"/>
      <c r="J2611" s="1637"/>
      <c r="K2611" s="1637"/>
    </row>
    <row r="2612" spans="1:11" ht="25.5" x14ac:dyDescent="0.25">
      <c r="A2612" s="1527"/>
      <c r="B2612" s="1770" t="s">
        <v>9421</v>
      </c>
      <c r="C2612" s="1747" t="s">
        <v>9023</v>
      </c>
      <c r="D2612" s="1772">
        <v>1</v>
      </c>
      <c r="E2612" s="1748">
        <v>5000</v>
      </c>
      <c r="F2612" s="1777">
        <v>0.05</v>
      </c>
      <c r="G2612" s="1783">
        <f>+F2612*E2612</f>
        <v>250</v>
      </c>
      <c r="H2612" s="1524"/>
      <c r="J2612" s="1637"/>
      <c r="K2612" s="1637"/>
    </row>
    <row r="2613" spans="1:11" x14ac:dyDescent="0.25">
      <c r="A2613" s="1527"/>
      <c r="B2613" s="1540"/>
      <c r="C2613" s="1537"/>
      <c r="D2613" s="212"/>
      <c r="E2613" s="1535" t="s">
        <v>7182</v>
      </c>
      <c r="F2613" s="1537"/>
      <c r="G2613" s="1572" t="s">
        <v>7182</v>
      </c>
      <c r="H2613" s="1524"/>
      <c r="J2613" s="1637"/>
      <c r="K2613" s="1637"/>
    </row>
    <row r="2614" spans="1:11" x14ac:dyDescent="0.25">
      <c r="A2614" s="1527"/>
      <c r="B2614" s="1540"/>
      <c r="C2614" s="1537"/>
      <c r="D2614" s="212"/>
      <c r="E2614" s="1535" t="s">
        <v>7182</v>
      </c>
      <c r="F2614" s="1537"/>
      <c r="G2614" s="1572" t="s">
        <v>7182</v>
      </c>
      <c r="H2614" s="1524"/>
      <c r="J2614" s="1637"/>
      <c r="K2614" s="1637"/>
    </row>
    <row r="2615" spans="1:11" ht="15.75" thickBot="1" x14ac:dyDescent="0.3">
      <c r="A2615" s="1527"/>
      <c r="B2615" s="1540"/>
      <c r="C2615" s="1537"/>
      <c r="D2615" s="212"/>
      <c r="E2615" s="1535" t="s">
        <v>7182</v>
      </c>
      <c r="F2615" s="1537"/>
      <c r="G2615" s="1572" t="s">
        <v>7182</v>
      </c>
      <c r="H2615" s="1524"/>
      <c r="J2615" s="1637"/>
      <c r="K2615" s="1637"/>
    </row>
    <row r="2616" spans="1:11" ht="15.75" thickBot="1" x14ac:dyDescent="0.3">
      <c r="A2616" s="1527"/>
      <c r="B2616" s="1555"/>
      <c r="C2616" s="1556"/>
      <c r="D2616" s="956"/>
      <c r="E2616" s="1556" t="s">
        <v>7182</v>
      </c>
      <c r="F2616" s="1557"/>
      <c r="G2616" s="1558" t="s">
        <v>7182</v>
      </c>
      <c r="H2616" s="1546">
        <f>SUM(G2612:G2616)</f>
        <v>250</v>
      </c>
      <c r="J2616" s="1637"/>
      <c r="K2616" s="1637"/>
    </row>
    <row r="2617" spans="1:11" ht="15.75" thickBot="1" x14ac:dyDescent="0.3">
      <c r="A2617" s="1527"/>
      <c r="B2617" s="1547"/>
      <c r="C2617" s="1547"/>
      <c r="D2617" s="954"/>
      <c r="E2617" s="1547"/>
      <c r="F2617" s="1553"/>
      <c r="G2617" s="1554"/>
      <c r="H2617" s="1550"/>
      <c r="J2617" s="1637"/>
      <c r="K2617" s="1637"/>
    </row>
    <row r="2618" spans="1:11" ht="15.75" thickBot="1" x14ac:dyDescent="0.3">
      <c r="A2618" s="1559"/>
      <c r="B2618" s="1369" t="s">
        <v>5412</v>
      </c>
      <c r="C2618" s="1363" t="s">
        <v>5420</v>
      </c>
      <c r="D2618" s="1120" t="s">
        <v>5421</v>
      </c>
      <c r="E2618" s="1363" t="s">
        <v>7187</v>
      </c>
      <c r="F2618" s="1363" t="s">
        <v>5405</v>
      </c>
      <c r="G2618" s="1370" t="s">
        <v>7179</v>
      </c>
      <c r="H2618" s="1371"/>
      <c r="J2618" s="1637"/>
      <c r="K2618" s="1637"/>
    </row>
    <row r="2619" spans="1:11" x14ac:dyDescent="0.25">
      <c r="A2619" s="1527"/>
      <c r="B2619" s="1767" t="s">
        <v>9422</v>
      </c>
      <c r="C2619" s="1778">
        <v>170000</v>
      </c>
      <c r="D2619" s="1779">
        <f>0.6*C2619</f>
        <v>102000</v>
      </c>
      <c r="E2619" s="1778">
        <f>+D2619+C2619</f>
        <v>272000</v>
      </c>
      <c r="F2619" s="1790">
        <v>0.01</v>
      </c>
      <c r="G2619" s="1789">
        <f>+F2619*E2619</f>
        <v>2720</v>
      </c>
      <c r="H2619" s="1524"/>
      <c r="J2619" s="1637"/>
      <c r="K2619" s="1637"/>
    </row>
    <row r="2620" spans="1:11" x14ac:dyDescent="0.25">
      <c r="A2620" s="1527"/>
      <c r="B2620" s="1560"/>
      <c r="C2620" s="1569"/>
      <c r="D2620" s="1569"/>
      <c r="E2620" s="1569"/>
      <c r="F2620" s="819"/>
      <c r="G2620" s="818"/>
      <c r="H2620" s="1524"/>
      <c r="J2620" s="1637"/>
      <c r="K2620" s="1637"/>
    </row>
    <row r="2621" spans="1:11" x14ac:dyDescent="0.25">
      <c r="A2621" s="1527"/>
      <c r="B2621" s="1561"/>
      <c r="C2621" s="1569"/>
      <c r="D2621" s="1569"/>
      <c r="E2621" s="1569"/>
      <c r="F2621" s="817"/>
      <c r="G2621" s="818"/>
      <c r="H2621" s="1524"/>
      <c r="J2621" s="1637"/>
      <c r="K2621" s="1637"/>
    </row>
    <row r="2622" spans="1:11" x14ac:dyDescent="0.25">
      <c r="A2622" s="1527"/>
      <c r="B2622" s="1540"/>
      <c r="C2622" s="1569"/>
      <c r="D2622" s="1569"/>
      <c r="E2622" s="1569"/>
      <c r="F2622" s="817"/>
      <c r="G2622" s="818"/>
      <c r="H2622" s="1524"/>
      <c r="J2622" s="1637"/>
      <c r="K2622" s="1637"/>
    </row>
    <row r="2623" spans="1:11" x14ac:dyDescent="0.25">
      <c r="A2623" s="1527"/>
      <c r="B2623" s="1540"/>
      <c r="C2623" s="1538" t="s">
        <v>7182</v>
      </c>
      <c r="D2623" s="952" t="s">
        <v>7182</v>
      </c>
      <c r="E2623" s="1538" t="s">
        <v>7182</v>
      </c>
      <c r="F2623" s="817"/>
      <c r="G2623" s="818" t="str">
        <f>IF(B2623="","",E2623/F2623)</f>
        <v/>
      </c>
      <c r="H2623" s="1524"/>
    </row>
    <row r="2624" spans="1:11" ht="15.75" thickBot="1" x14ac:dyDescent="0.3">
      <c r="A2624" s="1527"/>
      <c r="B2624" s="1540"/>
      <c r="C2624" s="1538" t="s">
        <v>7182</v>
      </c>
      <c r="D2624" s="952" t="s">
        <v>7182</v>
      </c>
      <c r="E2624" s="1538" t="s">
        <v>7182</v>
      </c>
      <c r="F2624" s="1537"/>
      <c r="G2624" s="818" t="str">
        <f>IF(B2624="","",E2624/F2624)</f>
        <v/>
      </c>
      <c r="H2624" s="1524"/>
    </row>
    <row r="2625" spans="1:11" ht="15.75" thickBot="1" x14ac:dyDescent="0.3">
      <c r="A2625" s="1527"/>
      <c r="B2625" s="1555"/>
      <c r="C2625" s="1556"/>
      <c r="D2625" s="956"/>
      <c r="E2625" s="1556"/>
      <c r="F2625" s="1557"/>
      <c r="G2625" s="1558"/>
      <c r="H2625" s="1546">
        <f>SUM(G2619:G2625)</f>
        <v>2720</v>
      </c>
    </row>
    <row r="2626" spans="1:11" ht="15.75" thickBot="1" x14ac:dyDescent="0.3">
      <c r="A2626" s="1527"/>
      <c r="B2626" s="1527"/>
      <c r="C2626" s="1527"/>
      <c r="D2626" s="529"/>
      <c r="F2626" s="1528"/>
      <c r="G2626" s="1524"/>
      <c r="H2626" s="1524"/>
    </row>
    <row r="2627" spans="1:11" ht="15.75" thickBot="1" x14ac:dyDescent="0.3">
      <c r="A2627" s="1647" t="s">
        <v>6744</v>
      </c>
      <c r="B2627" s="1352"/>
      <c r="C2627" s="1352"/>
      <c r="D2627" s="1671"/>
      <c r="E2627" s="1672"/>
      <c r="F2627" s="1353"/>
      <c r="G2627" s="1527" t="s">
        <v>5415</v>
      </c>
      <c r="H2627" s="502">
        <f>ROUND(SUM(H2585:H2626),0)</f>
        <v>123120</v>
      </c>
      <c r="J2627" s="1673">
        <f>+B2581</f>
        <v>10.57</v>
      </c>
      <c r="K2627" s="1674">
        <f>+H2627</f>
        <v>123120</v>
      </c>
    </row>
    <row r="2628" spans="1:11" x14ac:dyDescent="0.25">
      <c r="A2628" s="1675"/>
      <c r="B2628" s="1676"/>
      <c r="C2628" s="1676"/>
      <c r="D2628" s="1677"/>
      <c r="E2628" s="1678"/>
      <c r="F2628" s="1679"/>
      <c r="G2628" s="1680"/>
      <c r="H2628" s="1680"/>
    </row>
    <row r="2629" spans="1:11" ht="18.75" x14ac:dyDescent="0.25">
      <c r="A2629" s="1523"/>
      <c r="B2629" s="1655"/>
      <c r="C2629" s="1655"/>
      <c r="D2629" s="950"/>
      <c r="E2629" s="1655"/>
      <c r="F2629" s="1655"/>
      <c r="G2629" s="1655"/>
      <c r="H2629" s="8"/>
    </row>
    <row r="2630" spans="1:11" x14ac:dyDescent="0.25">
      <c r="A2630" s="1523"/>
      <c r="B2630" s="8"/>
      <c r="C2630" s="8"/>
      <c r="D2630" s="529"/>
      <c r="E2630" s="8"/>
      <c r="F2630" s="1523"/>
      <c r="G2630" s="1524"/>
      <c r="H2630" s="8"/>
    </row>
    <row r="2631" spans="1:11" ht="24.75" customHeight="1" x14ac:dyDescent="0.25">
      <c r="A2631" s="1665" t="s">
        <v>3</v>
      </c>
      <c r="B2631" s="1666">
        <f>+VLOOKUP(C2631,ListaAPUs!$B:$E,4,FALSE)</f>
        <v>10.58</v>
      </c>
      <c r="C2631" s="2441" t="str">
        <f>+ListaAPUs!B258</f>
        <v>Lampara tipo aplique incandescente 100 w.Incluye lámpara, interruptor, tubería y cableado.</v>
      </c>
      <c r="D2631" s="2441"/>
      <c r="E2631" s="2441"/>
      <c r="F2631" s="1665" t="s">
        <v>867</v>
      </c>
      <c r="G2631" s="1390" t="str">
        <f>+VLOOKUP(C2631,ListaAPUs!$B:$E,2,FALSE)</f>
        <v>un</v>
      </c>
      <c r="H2631" s="1524"/>
    </row>
    <row r="2632" spans="1:11" x14ac:dyDescent="0.25">
      <c r="A2632" s="1528"/>
      <c r="B2632" s="1527"/>
      <c r="C2632" s="1527"/>
      <c r="D2632" s="529"/>
      <c r="E2632" s="1527"/>
      <c r="F2632" s="1528"/>
      <c r="G2632" s="1524"/>
      <c r="H2632" s="1524"/>
    </row>
    <row r="2633" spans="1:11" x14ac:dyDescent="0.25">
      <c r="A2633" s="1528"/>
      <c r="B2633" s="1527"/>
      <c r="C2633" s="1527"/>
      <c r="D2633" s="529"/>
      <c r="E2633" s="1527"/>
      <c r="F2633" s="1528"/>
      <c r="G2633" s="1529"/>
      <c r="H2633" s="1524"/>
    </row>
    <row r="2634" spans="1:11" ht="15.75" thickBot="1" x14ac:dyDescent="0.3">
      <c r="A2634" s="1528"/>
      <c r="B2634" s="1527"/>
      <c r="C2634" s="1527"/>
      <c r="D2634" s="529"/>
      <c r="E2634" s="1527"/>
      <c r="F2634" s="1528"/>
      <c r="G2634" s="1524"/>
      <c r="H2634" s="1524"/>
    </row>
    <row r="2635" spans="1:11" ht="15.75" thickBot="1" x14ac:dyDescent="0.3">
      <c r="A2635" s="1368"/>
      <c r="B2635" s="1369" t="s">
        <v>5403</v>
      </c>
      <c r="C2635" s="1363" t="s">
        <v>867</v>
      </c>
      <c r="D2635" s="1120" t="s">
        <v>6</v>
      </c>
      <c r="E2635" s="1363" t="s">
        <v>9417</v>
      </c>
      <c r="F2635" s="1363" t="s">
        <v>5405</v>
      </c>
      <c r="G2635" s="1370" t="s">
        <v>7179</v>
      </c>
      <c r="H2635" s="1371"/>
    </row>
    <row r="2636" spans="1:11" ht="25.5" x14ac:dyDescent="0.25">
      <c r="A2636" s="1528"/>
      <c r="B2636" s="1533" t="s">
        <v>9522</v>
      </c>
      <c r="C2636" s="1348" t="s">
        <v>5432</v>
      </c>
      <c r="D2636" s="967">
        <v>1</v>
      </c>
      <c r="E2636" s="1349">
        <v>90000</v>
      </c>
      <c r="F2636" s="1350">
        <v>1</v>
      </c>
      <c r="G2636" s="1351">
        <f>+F2636*E2636*D2636</f>
        <v>90000</v>
      </c>
      <c r="H2636" s="1524"/>
    </row>
    <row r="2637" spans="1:11" x14ac:dyDescent="0.25">
      <c r="A2637" s="1528"/>
      <c r="B2637" s="1539" t="s">
        <v>9523</v>
      </c>
      <c r="C2637" s="1537" t="s">
        <v>5</v>
      </c>
      <c r="D2637" s="212">
        <v>1</v>
      </c>
      <c r="E2637" s="1681">
        <v>12000</v>
      </c>
      <c r="F2637" s="1563">
        <v>1</v>
      </c>
      <c r="G2637" s="814">
        <f>+F2637*E2637*D2637</f>
        <v>12000</v>
      </c>
      <c r="H2637" s="1524"/>
    </row>
    <row r="2638" spans="1:11" x14ac:dyDescent="0.25">
      <c r="A2638" s="1528"/>
      <c r="B2638" s="1667"/>
      <c r="C2638" s="1537"/>
      <c r="D2638" s="212"/>
      <c r="E2638" s="816"/>
      <c r="F2638" s="1563"/>
      <c r="G2638" s="814"/>
      <c r="H2638" s="1524"/>
    </row>
    <row r="2639" spans="1:11" x14ac:dyDescent="0.25">
      <c r="A2639" s="1528"/>
      <c r="B2639" s="1667"/>
      <c r="C2639" s="1537"/>
      <c r="D2639" s="212"/>
      <c r="E2639" s="816"/>
      <c r="F2639" s="1563"/>
      <c r="G2639" s="814"/>
      <c r="H2639" s="1524"/>
      <c r="J2639" s="1637"/>
      <c r="K2639" s="1637"/>
    </row>
    <row r="2640" spans="1:11" x14ac:dyDescent="0.25">
      <c r="A2640" s="1528"/>
      <c r="B2640" s="1667"/>
      <c r="C2640" s="1537"/>
      <c r="D2640" s="212"/>
      <c r="E2640" s="816"/>
      <c r="F2640" s="1563"/>
      <c r="G2640" s="814"/>
      <c r="H2640" s="1524"/>
      <c r="J2640" s="1637"/>
      <c r="K2640" s="1637"/>
    </row>
    <row r="2641" spans="1:11" x14ac:dyDescent="0.25">
      <c r="A2641" s="1528"/>
      <c r="B2641" s="1667"/>
      <c r="C2641" s="1537"/>
      <c r="D2641" s="212"/>
      <c r="E2641" s="816"/>
      <c r="F2641" s="1563"/>
      <c r="G2641" s="814"/>
      <c r="H2641" s="1524"/>
      <c r="J2641" s="1637"/>
      <c r="K2641" s="1637"/>
    </row>
    <row r="2642" spans="1:11" x14ac:dyDescent="0.25">
      <c r="A2642" s="1528"/>
      <c r="B2642" s="1667"/>
      <c r="C2642" s="1537"/>
      <c r="D2642" s="212"/>
      <c r="E2642" s="816"/>
      <c r="F2642" s="1563"/>
      <c r="G2642" s="814"/>
      <c r="H2642" s="1524"/>
      <c r="J2642" s="1637"/>
      <c r="K2642" s="1637"/>
    </row>
    <row r="2643" spans="1:11" x14ac:dyDescent="0.25">
      <c r="A2643" s="1528"/>
      <c r="B2643" s="1667"/>
      <c r="C2643" s="1537"/>
      <c r="D2643" s="212"/>
      <c r="E2643" s="816"/>
      <c r="F2643" s="1563"/>
      <c r="G2643" s="814"/>
      <c r="H2643" s="1524"/>
      <c r="J2643" s="1637"/>
      <c r="K2643" s="1637"/>
    </row>
    <row r="2644" spans="1:11" x14ac:dyDescent="0.25">
      <c r="A2644" s="1528"/>
      <c r="B2644" s="1667"/>
      <c r="C2644" s="1537"/>
      <c r="D2644" s="212"/>
      <c r="E2644" s="816"/>
      <c r="F2644" s="1563"/>
      <c r="G2644" s="814"/>
      <c r="H2644" s="1524"/>
      <c r="J2644" s="1637"/>
      <c r="K2644" s="1637"/>
    </row>
    <row r="2645" spans="1:11" x14ac:dyDescent="0.25">
      <c r="A2645" s="1528"/>
      <c r="B2645" s="1667"/>
      <c r="C2645" s="1537"/>
      <c r="D2645" s="212"/>
      <c r="E2645" s="816"/>
      <c r="F2645" s="1563"/>
      <c r="G2645" s="814"/>
      <c r="H2645" s="1524"/>
      <c r="J2645" s="1637"/>
      <c r="K2645" s="1637"/>
    </row>
    <row r="2646" spans="1:11" x14ac:dyDescent="0.25">
      <c r="A2646" s="1528"/>
      <c r="B2646" s="1667"/>
      <c r="C2646" s="1537"/>
      <c r="D2646" s="212"/>
      <c r="E2646" s="816"/>
      <c r="F2646" s="1563"/>
      <c r="G2646" s="814"/>
      <c r="H2646" s="1524"/>
      <c r="J2646" s="1637"/>
      <c r="K2646" s="1637"/>
    </row>
    <row r="2647" spans="1:11" x14ac:dyDescent="0.25">
      <c r="A2647" s="1528"/>
      <c r="B2647" s="269"/>
      <c r="C2647" s="1537"/>
      <c r="D2647" s="212"/>
      <c r="E2647" s="816"/>
      <c r="F2647" s="1563"/>
      <c r="G2647" s="814"/>
      <c r="H2647" s="1524"/>
      <c r="J2647" s="1637"/>
      <c r="K2647" s="1637"/>
    </row>
    <row r="2648" spans="1:11" x14ac:dyDescent="0.25">
      <c r="A2648" s="1528"/>
      <c r="B2648" s="268"/>
      <c r="C2648" s="1534"/>
      <c r="D2648" s="211"/>
      <c r="E2648" s="1535" t="s">
        <v>7182</v>
      </c>
      <c r="F2648" s="1551"/>
      <c r="G2648" s="1541" t="s">
        <v>7182</v>
      </c>
      <c r="H2648" s="1524"/>
      <c r="J2648" s="1637"/>
      <c r="K2648" s="1637"/>
    </row>
    <row r="2649" spans="1:11" x14ac:dyDescent="0.25">
      <c r="A2649" s="1528"/>
      <c r="B2649" s="1346"/>
      <c r="C2649" s="1534"/>
      <c r="D2649" s="211"/>
      <c r="E2649" s="1535" t="s">
        <v>7182</v>
      </c>
      <c r="F2649" s="1551"/>
      <c r="G2649" s="1541" t="s">
        <v>7182</v>
      </c>
      <c r="H2649" s="1524"/>
      <c r="J2649" s="1637"/>
      <c r="K2649" s="1637"/>
    </row>
    <row r="2650" spans="1:11" ht="15.75" thickBot="1" x14ac:dyDescent="0.3">
      <c r="A2650" s="1528"/>
      <c r="B2650" s="1540"/>
      <c r="C2650" s="1537"/>
      <c r="D2650" s="952"/>
      <c r="E2650" s="1538" t="s">
        <v>7182</v>
      </c>
      <c r="F2650" s="1537"/>
      <c r="G2650" s="1541" t="s">
        <v>7182</v>
      </c>
      <c r="H2650" s="1524"/>
      <c r="J2650" s="1637"/>
      <c r="K2650" s="1637"/>
    </row>
    <row r="2651" spans="1:11" ht="15.75" thickBot="1" x14ac:dyDescent="0.3">
      <c r="A2651" s="1528"/>
      <c r="B2651" s="1555"/>
      <c r="C2651" s="1557"/>
      <c r="D2651" s="956"/>
      <c r="E2651" s="1556" t="s">
        <v>7182</v>
      </c>
      <c r="F2651" s="1557"/>
      <c r="G2651" s="1558" t="s">
        <v>7182</v>
      </c>
      <c r="H2651" s="1546">
        <f>SUM(G2636:G2651)</f>
        <v>102000</v>
      </c>
      <c r="J2651" s="1637"/>
      <c r="K2651" s="1637"/>
    </row>
    <row r="2652" spans="1:11" x14ac:dyDescent="0.25">
      <c r="A2652" s="1528"/>
      <c r="B2652" s="1372"/>
      <c r="C2652" s="1374"/>
      <c r="D2652" s="1373"/>
      <c r="E2652" s="1372" t="s">
        <v>7182</v>
      </c>
      <c r="F2652" s="1374"/>
      <c r="G2652" s="1375" t="s">
        <v>7182</v>
      </c>
      <c r="H2652" s="1550"/>
      <c r="J2652" s="1637"/>
      <c r="K2652" s="1637"/>
    </row>
    <row r="2653" spans="1:11" ht="15.75" thickBot="1" x14ac:dyDescent="0.3">
      <c r="A2653" s="1527"/>
      <c r="B2653" s="188"/>
      <c r="C2653" s="189"/>
      <c r="D2653" s="1668"/>
      <c r="E2653" s="188"/>
      <c r="F2653" s="189"/>
      <c r="G2653" s="1669"/>
      <c r="H2653" s="1550"/>
      <c r="J2653" s="1637"/>
      <c r="K2653" s="1637"/>
    </row>
    <row r="2654" spans="1:11" ht="15.75" thickBot="1" x14ac:dyDescent="0.3">
      <c r="A2654" s="1527"/>
      <c r="B2654" s="1366" t="s">
        <v>9418</v>
      </c>
      <c r="C2654" s="1363" t="s">
        <v>867</v>
      </c>
      <c r="D2654" s="1120" t="s">
        <v>6</v>
      </c>
      <c r="E2654" s="1363" t="s">
        <v>7183</v>
      </c>
      <c r="F2654" s="1363" t="s">
        <v>5405</v>
      </c>
      <c r="G2654" s="1365" t="s">
        <v>7179</v>
      </c>
      <c r="H2654" s="1524"/>
      <c r="J2654" s="1637"/>
      <c r="K2654" s="1637"/>
    </row>
    <row r="2655" spans="1:11" x14ac:dyDescent="0.25">
      <c r="A2655" s="1527"/>
      <c r="B2655" s="1564" t="s">
        <v>5455</v>
      </c>
      <c r="C2655" s="1534" t="s">
        <v>5</v>
      </c>
      <c r="D2655" s="211">
        <v>1</v>
      </c>
      <c r="E2655" s="1535">
        <v>1000</v>
      </c>
      <c r="F2655" s="1534">
        <v>1</v>
      </c>
      <c r="G2655" s="1572">
        <f>+F2655*E2655</f>
        <v>1000</v>
      </c>
      <c r="H2655" s="1524"/>
      <c r="J2655" s="1637"/>
      <c r="K2655" s="1637"/>
    </row>
    <row r="2656" spans="1:11" x14ac:dyDescent="0.25">
      <c r="A2656" s="1527"/>
      <c r="B2656" s="1540"/>
      <c r="C2656" s="1537"/>
      <c r="D2656" s="212"/>
      <c r="E2656" s="1535" t="s">
        <v>7182</v>
      </c>
      <c r="F2656" s="1537"/>
      <c r="G2656" s="1572" t="s">
        <v>7182</v>
      </c>
      <c r="H2656" s="1524"/>
      <c r="J2656" s="1637"/>
      <c r="K2656" s="1637"/>
    </row>
    <row r="2657" spans="1:11" x14ac:dyDescent="0.25">
      <c r="A2657" s="1527"/>
      <c r="B2657" s="1540"/>
      <c r="C2657" s="1537"/>
      <c r="D2657" s="212"/>
      <c r="E2657" s="1535" t="s">
        <v>7182</v>
      </c>
      <c r="F2657" s="1537"/>
      <c r="G2657" s="1572" t="s">
        <v>7182</v>
      </c>
      <c r="H2657" s="1524"/>
      <c r="J2657" s="1637"/>
      <c r="K2657" s="1637"/>
    </row>
    <row r="2658" spans="1:11" ht="15.75" thickBot="1" x14ac:dyDescent="0.3">
      <c r="A2658" s="1527"/>
      <c r="B2658" s="1540"/>
      <c r="C2658" s="1537"/>
      <c r="D2658" s="212"/>
      <c r="E2658" s="1535" t="s">
        <v>7182</v>
      </c>
      <c r="F2658" s="1537"/>
      <c r="G2658" s="1572" t="s">
        <v>7182</v>
      </c>
      <c r="H2658" s="1524"/>
      <c r="J2658" s="1637"/>
      <c r="K2658" s="1637"/>
    </row>
    <row r="2659" spans="1:11" ht="15.75" thickBot="1" x14ac:dyDescent="0.3">
      <c r="A2659" s="1527"/>
      <c r="B2659" s="1555"/>
      <c r="C2659" s="1556"/>
      <c r="D2659" s="956"/>
      <c r="E2659" s="1556" t="s">
        <v>7182</v>
      </c>
      <c r="F2659" s="1557"/>
      <c r="G2659" s="1558" t="s">
        <v>7182</v>
      </c>
      <c r="H2659" s="1546">
        <f>SUM(G2655:G2659)</f>
        <v>1000</v>
      </c>
      <c r="J2659" s="1637"/>
      <c r="K2659" s="1637"/>
    </row>
    <row r="2660" spans="1:11" ht="15.75" thickBot="1" x14ac:dyDescent="0.3">
      <c r="A2660" s="1527"/>
      <c r="B2660" s="1376"/>
      <c r="C2660" s="1353"/>
      <c r="D2660" s="1355"/>
      <c r="E2660" s="1352"/>
      <c r="F2660" s="1377"/>
      <c r="G2660" s="1378"/>
      <c r="H2660" s="1524"/>
      <c r="J2660" s="1637"/>
      <c r="K2660" s="1637"/>
    </row>
    <row r="2661" spans="1:11" ht="15.75" thickBot="1" x14ac:dyDescent="0.3">
      <c r="A2661" s="1527"/>
      <c r="B2661" s="1366" t="s">
        <v>5410</v>
      </c>
      <c r="C2661" s="1363" t="s">
        <v>867</v>
      </c>
      <c r="D2661" s="1120" t="s">
        <v>6</v>
      </c>
      <c r="E2661" s="1363" t="s">
        <v>7183</v>
      </c>
      <c r="F2661" s="1363" t="s">
        <v>5405</v>
      </c>
      <c r="G2661" s="1365" t="s">
        <v>7179</v>
      </c>
      <c r="H2661" s="1524"/>
      <c r="J2661" s="1637"/>
      <c r="K2661" s="1637"/>
    </row>
    <row r="2662" spans="1:11" ht="25.5" x14ac:dyDescent="0.25">
      <c r="A2662" s="1527"/>
      <c r="B2662" s="1770" t="s">
        <v>9421</v>
      </c>
      <c r="C2662" s="1747" t="s">
        <v>9023</v>
      </c>
      <c r="D2662" s="1772">
        <v>1</v>
      </c>
      <c r="E2662" s="1748">
        <v>5000</v>
      </c>
      <c r="F2662" s="1777">
        <v>0.1</v>
      </c>
      <c r="G2662" s="1783">
        <f>+F2662*E2662</f>
        <v>500</v>
      </c>
      <c r="H2662" s="1524"/>
      <c r="J2662" s="1637"/>
      <c r="K2662" s="1637"/>
    </row>
    <row r="2663" spans="1:11" x14ac:dyDescent="0.25">
      <c r="A2663" s="1527"/>
      <c r="B2663" s="1540"/>
      <c r="C2663" s="1537"/>
      <c r="D2663" s="212"/>
      <c r="E2663" s="1535" t="s">
        <v>7182</v>
      </c>
      <c r="F2663" s="1537"/>
      <c r="G2663" s="1572" t="s">
        <v>7182</v>
      </c>
      <c r="H2663" s="1524"/>
      <c r="J2663" s="1637"/>
      <c r="K2663" s="1637"/>
    </row>
    <row r="2664" spans="1:11" x14ac:dyDescent="0.25">
      <c r="A2664" s="1527"/>
      <c r="B2664" s="1540"/>
      <c r="C2664" s="1537"/>
      <c r="D2664" s="212"/>
      <c r="E2664" s="1535" t="s">
        <v>7182</v>
      </c>
      <c r="F2664" s="1537"/>
      <c r="G2664" s="1572" t="s">
        <v>7182</v>
      </c>
      <c r="H2664" s="1524"/>
      <c r="J2664" s="1637"/>
      <c r="K2664" s="1637"/>
    </row>
    <row r="2665" spans="1:11" ht="15.75" thickBot="1" x14ac:dyDescent="0.3">
      <c r="A2665" s="1527"/>
      <c r="B2665" s="1540"/>
      <c r="C2665" s="1537"/>
      <c r="D2665" s="212"/>
      <c r="E2665" s="1535" t="s">
        <v>7182</v>
      </c>
      <c r="F2665" s="1537"/>
      <c r="G2665" s="1572" t="s">
        <v>7182</v>
      </c>
      <c r="H2665" s="1524"/>
      <c r="J2665" s="1637"/>
      <c r="K2665" s="1637"/>
    </row>
    <row r="2666" spans="1:11" ht="15.75" thickBot="1" x14ac:dyDescent="0.3">
      <c r="A2666" s="1527"/>
      <c r="B2666" s="1555"/>
      <c r="C2666" s="1556"/>
      <c r="D2666" s="956"/>
      <c r="E2666" s="1556" t="s">
        <v>7182</v>
      </c>
      <c r="F2666" s="1557"/>
      <c r="G2666" s="1558" t="s">
        <v>7182</v>
      </c>
      <c r="H2666" s="1546">
        <f>SUM(G2662:G2666)</f>
        <v>500</v>
      </c>
      <c r="J2666" s="1637"/>
      <c r="K2666" s="1637"/>
    </row>
    <row r="2667" spans="1:11" ht="15.75" thickBot="1" x14ac:dyDescent="0.3">
      <c r="A2667" s="1527"/>
      <c r="B2667" s="1547"/>
      <c r="C2667" s="1547"/>
      <c r="D2667" s="954"/>
      <c r="E2667" s="1547"/>
      <c r="F2667" s="1553"/>
      <c r="G2667" s="1554"/>
      <c r="H2667" s="1550"/>
      <c r="J2667" s="1637"/>
      <c r="K2667" s="1637"/>
    </row>
    <row r="2668" spans="1:11" ht="15.75" thickBot="1" x14ac:dyDescent="0.3">
      <c r="A2668" s="1559"/>
      <c r="B2668" s="1369" t="s">
        <v>5412</v>
      </c>
      <c r="C2668" s="1363" t="s">
        <v>5420</v>
      </c>
      <c r="D2668" s="1120" t="s">
        <v>5421</v>
      </c>
      <c r="E2668" s="1363" t="s">
        <v>7187</v>
      </c>
      <c r="F2668" s="1363" t="s">
        <v>5405</v>
      </c>
      <c r="G2668" s="1370" t="s">
        <v>7179</v>
      </c>
      <c r="H2668" s="1371"/>
      <c r="J2668" s="1637"/>
      <c r="K2668" s="1637"/>
    </row>
    <row r="2669" spans="1:11" x14ac:dyDescent="0.25">
      <c r="A2669" s="1527"/>
      <c r="B2669" s="1767" t="s">
        <v>9422</v>
      </c>
      <c r="C2669" s="1778">
        <v>170000</v>
      </c>
      <c r="D2669" s="1779">
        <f>0.6*C2669</f>
        <v>102000</v>
      </c>
      <c r="E2669" s="1778">
        <f>+D2669+C2669</f>
        <v>272000</v>
      </c>
      <c r="F2669" s="1790">
        <v>0.01</v>
      </c>
      <c r="G2669" s="1789">
        <f>+F2669*E2669</f>
        <v>2720</v>
      </c>
      <c r="H2669" s="1524"/>
      <c r="J2669" s="1637"/>
      <c r="K2669" s="1637"/>
    </row>
    <row r="2670" spans="1:11" x14ac:dyDescent="0.25">
      <c r="A2670" s="1527"/>
      <c r="B2670" s="1560"/>
      <c r="C2670" s="1569"/>
      <c r="D2670" s="1569"/>
      <c r="E2670" s="1569"/>
      <c r="F2670" s="819"/>
      <c r="G2670" s="818"/>
      <c r="H2670" s="1524"/>
      <c r="J2670" s="1637"/>
      <c r="K2670" s="1637"/>
    </row>
    <row r="2671" spans="1:11" x14ac:dyDescent="0.25">
      <c r="A2671" s="1527"/>
      <c r="B2671" s="1561"/>
      <c r="C2671" s="1569"/>
      <c r="D2671" s="1569"/>
      <c r="E2671" s="1569"/>
      <c r="F2671" s="817"/>
      <c r="G2671" s="818"/>
      <c r="H2671" s="1524"/>
    </row>
    <row r="2672" spans="1:11" x14ac:dyDescent="0.25">
      <c r="A2672" s="1527"/>
      <c r="B2672" s="1540"/>
      <c r="C2672" s="1569"/>
      <c r="D2672" s="1569"/>
      <c r="E2672" s="1569"/>
      <c r="F2672" s="817"/>
      <c r="G2672" s="818"/>
      <c r="H2672" s="1524"/>
    </row>
    <row r="2673" spans="1:11" x14ac:dyDescent="0.25">
      <c r="A2673" s="1527"/>
      <c r="B2673" s="1540"/>
      <c r="C2673" s="1538" t="s">
        <v>7182</v>
      </c>
      <c r="D2673" s="952" t="s">
        <v>7182</v>
      </c>
      <c r="E2673" s="1538" t="s">
        <v>7182</v>
      </c>
      <c r="F2673" s="817"/>
      <c r="G2673" s="818" t="str">
        <f>IF(B2673="","",E2673/F2673)</f>
        <v/>
      </c>
      <c r="H2673" s="1524"/>
    </row>
    <row r="2674" spans="1:11" ht="15.75" thickBot="1" x14ac:dyDescent="0.3">
      <c r="A2674" s="1527"/>
      <c r="B2674" s="1540"/>
      <c r="C2674" s="1538" t="s">
        <v>7182</v>
      </c>
      <c r="D2674" s="952" t="s">
        <v>7182</v>
      </c>
      <c r="E2674" s="1538" t="s">
        <v>7182</v>
      </c>
      <c r="F2674" s="1537"/>
      <c r="G2674" s="818" t="str">
        <f>IF(B2674="","",E2674/F2674)</f>
        <v/>
      </c>
      <c r="H2674" s="1524"/>
    </row>
    <row r="2675" spans="1:11" ht="15.75" thickBot="1" x14ac:dyDescent="0.3">
      <c r="A2675" s="1527"/>
      <c r="B2675" s="1555"/>
      <c r="C2675" s="1556"/>
      <c r="D2675" s="956"/>
      <c r="E2675" s="1556"/>
      <c r="F2675" s="1557"/>
      <c r="G2675" s="1558"/>
      <c r="H2675" s="1546">
        <f>SUM(G2669:G2675)</f>
        <v>2720</v>
      </c>
    </row>
    <row r="2676" spans="1:11" ht="15.75" thickBot="1" x14ac:dyDescent="0.3">
      <c r="A2676" s="1527"/>
      <c r="B2676" s="1527"/>
      <c r="C2676" s="1527"/>
      <c r="D2676" s="529"/>
      <c r="F2676" s="1528"/>
      <c r="G2676" s="1524"/>
      <c r="H2676" s="1524"/>
    </row>
    <row r="2677" spans="1:11" ht="15.75" thickBot="1" x14ac:dyDescent="0.3">
      <c r="A2677" s="1647" t="s">
        <v>6744</v>
      </c>
      <c r="B2677" s="1352"/>
      <c r="C2677" s="1352"/>
      <c r="D2677" s="1671"/>
      <c r="E2677" s="1672"/>
      <c r="F2677" s="1353"/>
      <c r="G2677" s="1527" t="s">
        <v>5415</v>
      </c>
      <c r="H2677" s="502">
        <f>ROUND(SUM(H2635:H2676),0)</f>
        <v>106220</v>
      </c>
      <c r="J2677" s="1673">
        <f>+B2631</f>
        <v>10.58</v>
      </c>
      <c r="K2677" s="1674">
        <f>+H2677</f>
        <v>106220</v>
      </c>
    </row>
    <row r="2678" spans="1:11" x14ac:dyDescent="0.25">
      <c r="A2678" s="1675"/>
      <c r="B2678" s="1676"/>
      <c r="C2678" s="1676"/>
      <c r="D2678" s="1677"/>
      <c r="E2678" s="1678"/>
      <c r="F2678" s="1679"/>
      <c r="G2678" s="1680"/>
      <c r="H2678" s="1680"/>
    </row>
    <row r="2679" spans="1:11" ht="18.75" x14ac:dyDescent="0.25">
      <c r="A2679" s="1523"/>
      <c r="B2679" s="1655"/>
      <c r="C2679" s="1655"/>
      <c r="D2679" s="950"/>
      <c r="E2679" s="1655"/>
      <c r="F2679" s="1655"/>
      <c r="G2679" s="1655"/>
      <c r="H2679" s="8"/>
    </row>
    <row r="2680" spans="1:11" x14ac:dyDescent="0.25">
      <c r="A2680" s="1523"/>
      <c r="B2680" s="8"/>
      <c r="C2680" s="8"/>
      <c r="D2680" s="529"/>
      <c r="E2680" s="8"/>
      <c r="F2680" s="1523"/>
      <c r="G2680" s="1524"/>
      <c r="H2680" s="8"/>
    </row>
    <row r="2681" spans="1:11" ht="30" customHeight="1" x14ac:dyDescent="0.25">
      <c r="A2681" s="1665" t="s">
        <v>3</v>
      </c>
      <c r="B2681" s="1666">
        <f>+VLOOKUP(C2681,ListaAPUs!$B:$E,4,FALSE)</f>
        <v>10.59</v>
      </c>
      <c r="C2681" s="2441" t="str">
        <f>+ListaAPUs!B259</f>
        <v xml:space="preserve">Lampara metal halide 150W tipo Industrial. De sobre poner en muro. Incluye lámpara, tubería y cableado. </v>
      </c>
      <c r="D2681" s="2441"/>
      <c r="E2681" s="2441"/>
      <c r="F2681" s="1665" t="s">
        <v>867</v>
      </c>
      <c r="G2681" s="1390" t="str">
        <f>+VLOOKUP(C2681,ListaAPUs!$B:$E,2,FALSE)</f>
        <v>un</v>
      </c>
      <c r="H2681" s="1524"/>
    </row>
    <row r="2682" spans="1:11" x14ac:dyDescent="0.25">
      <c r="A2682" s="1528"/>
      <c r="B2682" s="1527"/>
      <c r="C2682" s="1527"/>
      <c r="D2682" s="529"/>
      <c r="E2682" s="1527"/>
      <c r="F2682" s="1528"/>
      <c r="G2682" s="1524"/>
      <c r="H2682" s="1524"/>
    </row>
    <row r="2683" spans="1:11" x14ac:dyDescent="0.25">
      <c r="A2683" s="1528"/>
      <c r="B2683" s="1527"/>
      <c r="C2683" s="1527"/>
      <c r="D2683" s="529"/>
      <c r="E2683" s="1527"/>
      <c r="F2683" s="1528"/>
      <c r="G2683" s="1529"/>
      <c r="H2683" s="1524"/>
    </row>
    <row r="2684" spans="1:11" ht="15.75" thickBot="1" x14ac:dyDescent="0.3">
      <c r="A2684" s="1528"/>
      <c r="B2684" s="1527"/>
      <c r="C2684" s="1527"/>
      <c r="D2684" s="529"/>
      <c r="E2684" s="1527"/>
      <c r="F2684" s="1528"/>
      <c r="G2684" s="1524"/>
      <c r="H2684" s="1524"/>
    </row>
    <row r="2685" spans="1:11" ht="15.75" thickBot="1" x14ac:dyDescent="0.3">
      <c r="A2685" s="1368"/>
      <c r="B2685" s="1369" t="s">
        <v>9524</v>
      </c>
      <c r="C2685" s="1363" t="s">
        <v>867</v>
      </c>
      <c r="D2685" s="1120" t="s">
        <v>6</v>
      </c>
      <c r="E2685" s="1363" t="s">
        <v>9417</v>
      </c>
      <c r="F2685" s="1363" t="s">
        <v>5405</v>
      </c>
      <c r="G2685" s="1370" t="s">
        <v>7179</v>
      </c>
      <c r="H2685" s="1371"/>
    </row>
    <row r="2686" spans="1:11" ht="25.5" x14ac:dyDescent="0.25">
      <c r="A2686" s="1528"/>
      <c r="B2686" s="1533" t="s">
        <v>9525</v>
      </c>
      <c r="C2686" s="1537" t="s">
        <v>5424</v>
      </c>
      <c r="D2686" s="967">
        <v>1</v>
      </c>
      <c r="E2686" s="1349">
        <v>194913</v>
      </c>
      <c r="F2686" s="1350"/>
      <c r="G2686" s="1351">
        <v>194913</v>
      </c>
      <c r="H2686" s="1524"/>
    </row>
    <row r="2687" spans="1:11" x14ac:dyDescent="0.25">
      <c r="A2687" s="1528"/>
      <c r="B2687" s="1539" t="s">
        <v>9526</v>
      </c>
      <c r="C2687" s="1537" t="s">
        <v>5424</v>
      </c>
      <c r="D2687" s="212">
        <v>0.33</v>
      </c>
      <c r="E2687" s="816">
        <v>11626</v>
      </c>
      <c r="F2687" s="1563"/>
      <c r="G2687" s="814">
        <v>3836.5800000000004</v>
      </c>
      <c r="H2687" s="1524"/>
      <c r="J2687" s="1637"/>
      <c r="K2687" s="1637"/>
    </row>
    <row r="2688" spans="1:11" x14ac:dyDescent="0.25">
      <c r="A2688" s="1528"/>
      <c r="B2688" s="1667" t="s">
        <v>9527</v>
      </c>
      <c r="C2688" s="1537" t="s">
        <v>5734</v>
      </c>
      <c r="D2688" s="212">
        <v>3</v>
      </c>
      <c r="E2688" s="816">
        <v>3120</v>
      </c>
      <c r="F2688" s="1563"/>
      <c r="G2688" s="814">
        <v>9360</v>
      </c>
      <c r="H2688" s="1524"/>
      <c r="J2688" s="1637"/>
      <c r="K2688" s="1637"/>
    </row>
    <row r="2689" spans="1:11" x14ac:dyDescent="0.25">
      <c r="A2689" s="1528"/>
      <c r="B2689" s="1667" t="s">
        <v>9528</v>
      </c>
      <c r="C2689" s="1537" t="s">
        <v>5424</v>
      </c>
      <c r="D2689" s="212">
        <v>0.25</v>
      </c>
      <c r="E2689" s="816">
        <v>2400</v>
      </c>
      <c r="F2689" s="1563"/>
      <c r="G2689" s="814">
        <v>600</v>
      </c>
      <c r="H2689" s="1524"/>
      <c r="J2689" s="1637"/>
      <c r="K2689" s="1637"/>
    </row>
    <row r="2690" spans="1:11" x14ac:dyDescent="0.25">
      <c r="A2690" s="1528"/>
      <c r="B2690" s="1667" t="s">
        <v>9529</v>
      </c>
      <c r="C2690" s="1537" t="s">
        <v>5424</v>
      </c>
      <c r="D2690" s="212">
        <v>0.5</v>
      </c>
      <c r="E2690" s="816">
        <v>1140</v>
      </c>
      <c r="F2690" s="1563"/>
      <c r="G2690" s="814">
        <v>570</v>
      </c>
      <c r="H2690" s="1524"/>
      <c r="J2690" s="1637"/>
      <c r="K2690" s="1637"/>
    </row>
    <row r="2691" spans="1:11" x14ac:dyDescent="0.25">
      <c r="A2691" s="1528"/>
      <c r="B2691" s="1667"/>
      <c r="C2691" s="1537"/>
      <c r="D2691" s="212"/>
      <c r="E2691" s="816"/>
      <c r="F2691" s="1563"/>
      <c r="G2691" s="814"/>
      <c r="H2691" s="1524"/>
      <c r="J2691" s="1637"/>
      <c r="K2691" s="1637"/>
    </row>
    <row r="2692" spans="1:11" x14ac:dyDescent="0.25">
      <c r="A2692" s="1528"/>
      <c r="B2692" s="1667"/>
      <c r="C2692" s="1537"/>
      <c r="D2692" s="212"/>
      <c r="E2692" s="816"/>
      <c r="F2692" s="1563"/>
      <c r="G2692" s="814"/>
      <c r="H2692" s="1524"/>
      <c r="J2692" s="1637"/>
      <c r="K2692" s="1637"/>
    </row>
    <row r="2693" spans="1:11" x14ac:dyDescent="0.25">
      <c r="A2693" s="1528"/>
      <c r="B2693" s="1667"/>
      <c r="C2693" s="1537"/>
      <c r="D2693" s="212"/>
      <c r="E2693" s="816"/>
      <c r="F2693" s="1563"/>
      <c r="G2693" s="814"/>
      <c r="H2693" s="1524"/>
      <c r="J2693" s="1637"/>
      <c r="K2693" s="1637"/>
    </row>
    <row r="2694" spans="1:11" x14ac:dyDescent="0.25">
      <c r="A2694" s="1528"/>
      <c r="B2694" s="1667"/>
      <c r="C2694" s="1537"/>
      <c r="D2694" s="212"/>
      <c r="E2694" s="816"/>
      <c r="F2694" s="1563"/>
      <c r="G2694" s="814"/>
      <c r="H2694" s="1524"/>
      <c r="J2694" s="1637"/>
      <c r="K2694" s="1637"/>
    </row>
    <row r="2695" spans="1:11" x14ac:dyDescent="0.25">
      <c r="A2695" s="1528"/>
      <c r="B2695" s="1667"/>
      <c r="C2695" s="1537"/>
      <c r="D2695" s="212"/>
      <c r="E2695" s="816"/>
      <c r="F2695" s="1563"/>
      <c r="G2695" s="814"/>
      <c r="H2695" s="1524"/>
      <c r="J2695" s="1637"/>
      <c r="K2695" s="1637"/>
    </row>
    <row r="2696" spans="1:11" x14ac:dyDescent="0.25">
      <c r="A2696" s="1528"/>
      <c r="B2696" s="1667"/>
      <c r="C2696" s="1537"/>
      <c r="D2696" s="212"/>
      <c r="E2696" s="816"/>
      <c r="F2696" s="1563"/>
      <c r="G2696" s="814"/>
      <c r="H2696" s="1524"/>
      <c r="J2696" s="1637"/>
      <c r="K2696" s="1637"/>
    </row>
    <row r="2697" spans="1:11" x14ac:dyDescent="0.25">
      <c r="A2697" s="1528"/>
      <c r="B2697" s="269"/>
      <c r="C2697" s="1537"/>
      <c r="D2697" s="212"/>
      <c r="E2697" s="816"/>
      <c r="F2697" s="1563"/>
      <c r="G2697" s="814"/>
      <c r="H2697" s="1524"/>
      <c r="J2697" s="1637"/>
      <c r="K2697" s="1637"/>
    </row>
    <row r="2698" spans="1:11" x14ac:dyDescent="0.25">
      <c r="A2698" s="1528"/>
      <c r="B2698" s="268"/>
      <c r="C2698" s="1534"/>
      <c r="D2698" s="211"/>
      <c r="E2698" s="1535" t="s">
        <v>7182</v>
      </c>
      <c r="F2698" s="1551"/>
      <c r="G2698" s="1541" t="s">
        <v>7182</v>
      </c>
      <c r="H2698" s="1524"/>
      <c r="J2698" s="1637"/>
      <c r="K2698" s="1637"/>
    </row>
    <row r="2699" spans="1:11" x14ac:dyDescent="0.25">
      <c r="A2699" s="1528"/>
      <c r="B2699" s="1346"/>
      <c r="C2699" s="1534"/>
      <c r="D2699" s="211"/>
      <c r="E2699" s="1535" t="s">
        <v>7182</v>
      </c>
      <c r="F2699" s="1551"/>
      <c r="G2699" s="1541" t="s">
        <v>7182</v>
      </c>
      <c r="H2699" s="1524"/>
      <c r="J2699" s="1637"/>
      <c r="K2699" s="1637"/>
    </row>
    <row r="2700" spans="1:11" ht="15.75" thickBot="1" x14ac:dyDescent="0.3">
      <c r="A2700" s="1528"/>
      <c r="B2700" s="1540"/>
      <c r="C2700" s="1537"/>
      <c r="D2700" s="952"/>
      <c r="E2700" s="1538" t="s">
        <v>7182</v>
      </c>
      <c r="F2700" s="1537"/>
      <c r="G2700" s="1541" t="s">
        <v>7182</v>
      </c>
      <c r="H2700" s="1524"/>
      <c r="J2700" s="1637"/>
      <c r="K2700" s="1637"/>
    </row>
    <row r="2701" spans="1:11" ht="15.75" thickBot="1" x14ac:dyDescent="0.3">
      <c r="A2701" s="1528"/>
      <c r="B2701" s="1555"/>
      <c r="C2701" s="1557"/>
      <c r="D2701" s="956"/>
      <c r="E2701" s="1556" t="s">
        <v>7182</v>
      </c>
      <c r="F2701" s="1557"/>
      <c r="G2701" s="1558" t="s">
        <v>7182</v>
      </c>
      <c r="H2701" s="1546">
        <f>SUM(G2686:G2701)</f>
        <v>209279.58</v>
      </c>
      <c r="J2701" s="1637"/>
      <c r="K2701" s="1637"/>
    </row>
    <row r="2702" spans="1:11" x14ac:dyDescent="0.25">
      <c r="A2702" s="1528"/>
      <c r="B2702" s="1372"/>
      <c r="C2702" s="1374"/>
      <c r="D2702" s="1373"/>
      <c r="E2702" s="1372" t="s">
        <v>7182</v>
      </c>
      <c r="F2702" s="1374"/>
      <c r="G2702" s="1375" t="s">
        <v>7182</v>
      </c>
      <c r="H2702" s="1550"/>
      <c r="J2702" s="1637"/>
      <c r="K2702" s="1637"/>
    </row>
    <row r="2703" spans="1:11" ht="15.75" thickBot="1" x14ac:dyDescent="0.3">
      <c r="A2703" s="1527"/>
      <c r="B2703" s="188"/>
      <c r="C2703" s="189"/>
      <c r="D2703" s="1668"/>
      <c r="E2703" s="188"/>
      <c r="F2703" s="189"/>
      <c r="G2703" s="1669"/>
      <c r="H2703" s="1550"/>
      <c r="J2703" s="1637"/>
      <c r="K2703" s="1637"/>
    </row>
    <row r="2704" spans="1:11" ht="15.75" thickBot="1" x14ac:dyDescent="0.3">
      <c r="A2704" s="1527"/>
      <c r="B2704" s="1366" t="s">
        <v>9418</v>
      </c>
      <c r="C2704" s="1363" t="s">
        <v>867</v>
      </c>
      <c r="D2704" s="1120" t="s">
        <v>6</v>
      </c>
      <c r="E2704" s="1363" t="s">
        <v>7183</v>
      </c>
      <c r="F2704" s="1363" t="s">
        <v>5405</v>
      </c>
      <c r="G2704" s="1365" t="s">
        <v>7179</v>
      </c>
      <c r="H2704" s="1524"/>
      <c r="J2704" s="1637"/>
      <c r="K2704" s="1637"/>
    </row>
    <row r="2705" spans="1:11" x14ac:dyDescent="0.25">
      <c r="A2705" s="1527"/>
      <c r="B2705" s="1834" t="s">
        <v>5440</v>
      </c>
      <c r="C2705" s="1821" t="s">
        <v>5</v>
      </c>
      <c r="D2705" s="1835">
        <v>1</v>
      </c>
      <c r="E2705" s="1795">
        <v>1488</v>
      </c>
      <c r="F2705" s="1853">
        <v>2</v>
      </c>
      <c r="G2705" s="1833">
        <f>D2705*E2705*F2705</f>
        <v>2976</v>
      </c>
      <c r="H2705" s="1524"/>
      <c r="J2705" s="1637"/>
      <c r="K2705" s="1637"/>
    </row>
    <row r="2706" spans="1:11" x14ac:dyDescent="0.25">
      <c r="A2706" s="1527"/>
      <c r="B2706" s="1834"/>
      <c r="C2706" s="1821"/>
      <c r="D2706" s="1785"/>
      <c r="E2706" s="1795" t="s">
        <v>7182</v>
      </c>
      <c r="F2706" s="1821"/>
      <c r="G2706" s="1833" t="s">
        <v>7182</v>
      </c>
      <c r="H2706" s="1524"/>
      <c r="J2706" s="1637"/>
      <c r="K2706" s="1637"/>
    </row>
    <row r="2707" spans="1:11" x14ac:dyDescent="0.25">
      <c r="A2707" s="1527"/>
      <c r="B2707" s="1688"/>
      <c r="C2707" s="1380"/>
      <c r="D2707" s="1689"/>
      <c r="E2707" s="975"/>
      <c r="F2707" s="1380"/>
      <c r="G2707" s="1687"/>
      <c r="H2707" s="1524"/>
      <c r="J2707" s="1637"/>
      <c r="K2707" s="1637"/>
    </row>
    <row r="2708" spans="1:11" ht="15.75" thickBot="1" x14ac:dyDescent="0.3">
      <c r="A2708" s="1527"/>
      <c r="B2708" s="1688"/>
      <c r="C2708" s="1380"/>
      <c r="D2708" s="688"/>
      <c r="E2708" s="975" t="s">
        <v>7182</v>
      </c>
      <c r="F2708" s="1380"/>
      <c r="G2708" s="1687" t="s">
        <v>7182</v>
      </c>
      <c r="H2708" s="1524"/>
      <c r="J2708" s="1637"/>
      <c r="K2708" s="1637"/>
    </row>
    <row r="2709" spans="1:11" ht="15.75" thickBot="1" x14ac:dyDescent="0.3">
      <c r="A2709" s="1527"/>
      <c r="B2709" s="1555"/>
      <c r="C2709" s="1556"/>
      <c r="D2709" s="956"/>
      <c r="E2709" s="1556" t="s">
        <v>7182</v>
      </c>
      <c r="F2709" s="1557"/>
      <c r="G2709" s="1558" t="s">
        <v>7182</v>
      </c>
      <c r="H2709" s="1546">
        <f>SUM(G2705:G2709)</f>
        <v>2976</v>
      </c>
      <c r="J2709" s="1637"/>
      <c r="K2709" s="1637"/>
    </row>
    <row r="2710" spans="1:11" ht="15.75" thickBot="1" x14ac:dyDescent="0.3">
      <c r="A2710" s="1527"/>
      <c r="B2710" s="1376"/>
      <c r="C2710" s="1353"/>
      <c r="D2710" s="1355"/>
      <c r="E2710" s="1352"/>
      <c r="F2710" s="1377"/>
      <c r="G2710" s="1378"/>
      <c r="H2710" s="1524"/>
      <c r="J2710" s="1637"/>
      <c r="K2710" s="1637"/>
    </row>
    <row r="2711" spans="1:11" ht="15.75" thickBot="1" x14ac:dyDescent="0.3">
      <c r="A2711" s="1527"/>
      <c r="B2711" s="1366" t="s">
        <v>5410</v>
      </c>
      <c r="C2711" s="1363" t="s">
        <v>867</v>
      </c>
      <c r="D2711" s="1120" t="s">
        <v>6</v>
      </c>
      <c r="E2711" s="1363" t="s">
        <v>7183</v>
      </c>
      <c r="F2711" s="1363" t="s">
        <v>5405</v>
      </c>
      <c r="G2711" s="1365" t="s">
        <v>7179</v>
      </c>
      <c r="H2711" s="1524"/>
      <c r="J2711" s="1637"/>
      <c r="K2711" s="1637"/>
    </row>
    <row r="2712" spans="1:11" x14ac:dyDescent="0.25">
      <c r="A2712" s="1527"/>
      <c r="B2712" s="1564"/>
      <c r="C2712" s="1534"/>
      <c r="D2712" s="211"/>
      <c r="E2712" s="1535"/>
      <c r="F2712" s="1534"/>
      <c r="G2712" s="1572"/>
      <c r="H2712" s="1524"/>
      <c r="J2712" s="1637"/>
      <c r="K2712" s="1637"/>
    </row>
    <row r="2713" spans="1:11" x14ac:dyDescent="0.25">
      <c r="A2713" s="1527"/>
      <c r="B2713" s="1540"/>
      <c r="C2713" s="1537"/>
      <c r="D2713" s="212"/>
      <c r="E2713" s="1535" t="s">
        <v>7182</v>
      </c>
      <c r="F2713" s="1537"/>
      <c r="G2713" s="1572" t="s">
        <v>7182</v>
      </c>
      <c r="H2713" s="1524"/>
      <c r="J2713" s="1637"/>
      <c r="K2713" s="1637"/>
    </row>
    <row r="2714" spans="1:11" x14ac:dyDescent="0.25">
      <c r="A2714" s="1527"/>
      <c r="B2714" s="1540"/>
      <c r="C2714" s="1537"/>
      <c r="D2714" s="212"/>
      <c r="E2714" s="1535" t="s">
        <v>7182</v>
      </c>
      <c r="F2714" s="1537"/>
      <c r="G2714" s="1572" t="s">
        <v>7182</v>
      </c>
      <c r="H2714" s="1524"/>
      <c r="J2714" s="1637"/>
      <c r="K2714" s="1637"/>
    </row>
    <row r="2715" spans="1:11" ht="15.75" thickBot="1" x14ac:dyDescent="0.3">
      <c r="A2715" s="1527"/>
      <c r="B2715" s="1540"/>
      <c r="C2715" s="1537"/>
      <c r="D2715" s="212"/>
      <c r="E2715" s="1535" t="s">
        <v>7182</v>
      </c>
      <c r="F2715" s="1537"/>
      <c r="G2715" s="1572" t="s">
        <v>7182</v>
      </c>
      <c r="H2715" s="1524"/>
      <c r="J2715" s="1637"/>
      <c r="K2715" s="1637"/>
    </row>
    <row r="2716" spans="1:11" ht="15.75" thickBot="1" x14ac:dyDescent="0.3">
      <c r="A2716" s="1527"/>
      <c r="B2716" s="1555"/>
      <c r="C2716" s="1556"/>
      <c r="D2716" s="956"/>
      <c r="E2716" s="1556" t="s">
        <v>7182</v>
      </c>
      <c r="F2716" s="1557"/>
      <c r="G2716" s="1558" t="s">
        <v>7182</v>
      </c>
      <c r="H2716" s="1546">
        <f>SUM(G2712:G2716)</f>
        <v>0</v>
      </c>
      <c r="J2716" s="1637"/>
      <c r="K2716" s="1637"/>
    </row>
    <row r="2717" spans="1:11" ht="15.75" thickBot="1" x14ac:dyDescent="0.3">
      <c r="A2717" s="1527"/>
      <c r="B2717" s="1547"/>
      <c r="C2717" s="1547"/>
      <c r="D2717" s="954"/>
      <c r="E2717" s="1547"/>
      <c r="F2717" s="1553"/>
      <c r="G2717" s="1554"/>
      <c r="H2717" s="1550"/>
      <c r="J2717" s="1637"/>
      <c r="K2717" s="1637"/>
    </row>
    <row r="2718" spans="1:11" ht="15.75" thickBot="1" x14ac:dyDescent="0.3">
      <c r="A2718" s="1559"/>
      <c r="B2718" s="1369" t="s">
        <v>5412</v>
      </c>
      <c r="C2718" s="1363" t="s">
        <v>5420</v>
      </c>
      <c r="D2718" s="1120" t="s">
        <v>5421</v>
      </c>
      <c r="E2718" s="1363" t="s">
        <v>7187</v>
      </c>
      <c r="F2718" s="1363" t="s">
        <v>5405</v>
      </c>
      <c r="G2718" s="1370" t="s">
        <v>7179</v>
      </c>
      <c r="H2718" s="1371"/>
      <c r="J2718" s="1637"/>
      <c r="K2718" s="1637"/>
    </row>
    <row r="2719" spans="1:11" x14ac:dyDescent="0.25">
      <c r="A2719" s="1527"/>
      <c r="B2719" s="1836" t="s">
        <v>9451</v>
      </c>
      <c r="C2719" s="1837">
        <v>170000</v>
      </c>
      <c r="D2719" s="1837">
        <v>102000</v>
      </c>
      <c r="E2719" s="1837">
        <f>C2719+D2719</f>
        <v>272000</v>
      </c>
      <c r="F2719" s="1800">
        <v>0.1</v>
      </c>
      <c r="G2719" s="1796">
        <f>E2719*F2719</f>
        <v>27200</v>
      </c>
      <c r="H2719" s="1524"/>
    </row>
    <row r="2720" spans="1:11" x14ac:dyDescent="0.25">
      <c r="A2720" s="1527"/>
      <c r="B2720" s="1560"/>
      <c r="C2720" s="1569"/>
      <c r="D2720" s="1569"/>
      <c r="E2720" s="1569"/>
      <c r="F2720" s="819"/>
      <c r="G2720" s="818"/>
      <c r="H2720" s="1524"/>
    </row>
    <row r="2721" spans="1:11" x14ac:dyDescent="0.25">
      <c r="A2721" s="1527"/>
      <c r="B2721" s="1561"/>
      <c r="C2721" s="1569"/>
      <c r="D2721" s="1569"/>
      <c r="E2721" s="1569"/>
      <c r="F2721" s="817"/>
      <c r="G2721" s="818"/>
      <c r="H2721" s="1524"/>
    </row>
    <row r="2722" spans="1:11" x14ac:dyDescent="0.25">
      <c r="A2722" s="1527"/>
      <c r="B2722" s="1540"/>
      <c r="C2722" s="1569"/>
      <c r="D2722" s="1569"/>
      <c r="E2722" s="1569"/>
      <c r="F2722" s="817"/>
      <c r="G2722" s="818"/>
      <c r="H2722" s="1524"/>
    </row>
    <row r="2723" spans="1:11" x14ac:dyDescent="0.25">
      <c r="A2723" s="1527"/>
      <c r="B2723" s="1540"/>
      <c r="C2723" s="1538" t="s">
        <v>7182</v>
      </c>
      <c r="D2723" s="952" t="s">
        <v>7182</v>
      </c>
      <c r="E2723" s="1538" t="s">
        <v>7182</v>
      </c>
      <c r="F2723" s="817"/>
      <c r="G2723" s="818" t="str">
        <f>IF(B2723="","",E2723/F2723)</f>
        <v/>
      </c>
      <c r="H2723" s="1524"/>
    </row>
    <row r="2724" spans="1:11" ht="15.75" thickBot="1" x14ac:dyDescent="0.3">
      <c r="A2724" s="1527"/>
      <c r="B2724" s="1540"/>
      <c r="C2724" s="1538" t="s">
        <v>7182</v>
      </c>
      <c r="D2724" s="952" t="s">
        <v>7182</v>
      </c>
      <c r="E2724" s="1538" t="s">
        <v>7182</v>
      </c>
      <c r="F2724" s="1537"/>
      <c r="G2724" s="818" t="str">
        <f>IF(B2724="","",E2724/F2724)</f>
        <v/>
      </c>
      <c r="H2724" s="1524"/>
    </row>
    <row r="2725" spans="1:11" ht="15.75" thickBot="1" x14ac:dyDescent="0.3">
      <c r="A2725" s="1527"/>
      <c r="B2725" s="1555"/>
      <c r="C2725" s="1556"/>
      <c r="D2725" s="956"/>
      <c r="E2725" s="1556"/>
      <c r="F2725" s="1557"/>
      <c r="G2725" s="1558"/>
      <c r="H2725" s="1546">
        <f>SUM(G2719:G2725)</f>
        <v>27200</v>
      </c>
    </row>
    <row r="2726" spans="1:11" ht="15.75" thickBot="1" x14ac:dyDescent="0.3">
      <c r="A2726" s="1527"/>
      <c r="B2726" s="1527"/>
      <c r="C2726" s="1527"/>
      <c r="D2726" s="529"/>
      <c r="F2726" s="1528"/>
      <c r="G2726" s="1524"/>
      <c r="H2726" s="1524"/>
    </row>
    <row r="2727" spans="1:11" ht="15.75" thickBot="1" x14ac:dyDescent="0.3">
      <c r="A2727" s="1647" t="s">
        <v>6744</v>
      </c>
      <c r="B2727" s="1352"/>
      <c r="C2727" s="1352"/>
      <c r="D2727" s="1671"/>
      <c r="E2727" s="1672"/>
      <c r="F2727" s="1353"/>
      <c r="G2727" s="1527" t="s">
        <v>5415</v>
      </c>
      <c r="H2727" s="502">
        <f>ROUND(SUM(H2685:H2726),0)</f>
        <v>239456</v>
      </c>
      <c r="J2727" s="1673">
        <f>+B2681</f>
        <v>10.59</v>
      </c>
      <c r="K2727" s="1674">
        <f>+H2727</f>
        <v>239456</v>
      </c>
    </row>
    <row r="2728" spans="1:11" x14ac:dyDescent="0.25">
      <c r="A2728" s="1675"/>
      <c r="B2728" s="1676"/>
      <c r="C2728" s="1676"/>
      <c r="D2728" s="1677"/>
      <c r="E2728" s="1678"/>
      <c r="F2728" s="1679"/>
      <c r="G2728" s="1680"/>
      <c r="H2728" s="1680"/>
    </row>
    <row r="2729" spans="1:11" ht="18.75" x14ac:dyDescent="0.25">
      <c r="A2729" s="1523"/>
      <c r="B2729" s="1655"/>
      <c r="C2729" s="1655"/>
      <c r="D2729" s="950"/>
      <c r="E2729" s="1655"/>
      <c r="F2729" s="1655"/>
      <c r="G2729" s="1655"/>
      <c r="H2729" s="8"/>
    </row>
    <row r="2730" spans="1:11" x14ac:dyDescent="0.25">
      <c r="A2730" s="1523"/>
      <c r="B2730" s="8"/>
      <c r="C2730" s="8"/>
      <c r="D2730" s="529"/>
      <c r="E2730" s="8"/>
      <c r="F2730" s="1523"/>
      <c r="G2730" s="1524"/>
      <c r="H2730" s="8"/>
    </row>
    <row r="2731" spans="1:11" ht="30.75" customHeight="1" x14ac:dyDescent="0.25">
      <c r="A2731" s="1665" t="s">
        <v>3</v>
      </c>
      <c r="B2731" s="1666">
        <f>+VLOOKUP(C2731,ListaAPUs!$B:$E,4,FALSE)</f>
        <v>10.6</v>
      </c>
      <c r="C2731" s="2441" t="str">
        <f>+ListaAPUs!B260</f>
        <v>Toma monofasica con polo a tierra. Incluye tomacorriente, tubería,cableado y accesorios de montaje.</v>
      </c>
      <c r="D2731" s="2441"/>
      <c r="E2731" s="2441"/>
      <c r="F2731" s="1665" t="s">
        <v>867</v>
      </c>
      <c r="G2731" s="1390" t="str">
        <f>+VLOOKUP(C2731,ListaAPUs!$B:$E,2,FALSE)</f>
        <v>un</v>
      </c>
      <c r="H2731" s="1524"/>
    </row>
    <row r="2732" spans="1:11" x14ac:dyDescent="0.25">
      <c r="A2732" s="1528"/>
      <c r="B2732" s="1527"/>
      <c r="C2732" s="1527"/>
      <c r="D2732" s="529"/>
      <c r="E2732" s="1527"/>
      <c r="F2732" s="1528"/>
      <c r="G2732" s="1524"/>
      <c r="H2732" s="1524"/>
    </row>
    <row r="2733" spans="1:11" x14ac:dyDescent="0.25">
      <c r="A2733" s="1528"/>
      <c r="B2733" s="1527"/>
      <c r="C2733" s="1527"/>
      <c r="D2733" s="529"/>
      <c r="E2733" s="1527"/>
      <c r="F2733" s="1528"/>
      <c r="G2733" s="1529"/>
      <c r="H2733" s="1524"/>
    </row>
    <row r="2734" spans="1:11" ht="15.75" thickBot="1" x14ac:dyDescent="0.3">
      <c r="A2734" s="1528"/>
      <c r="B2734" s="1527"/>
      <c r="C2734" s="1527"/>
      <c r="D2734" s="529"/>
      <c r="E2734" s="1527"/>
      <c r="F2734" s="1528"/>
      <c r="G2734" s="1524"/>
      <c r="H2734" s="1524"/>
    </row>
    <row r="2735" spans="1:11" ht="15.75" thickBot="1" x14ac:dyDescent="0.3">
      <c r="A2735" s="1368"/>
      <c r="B2735" s="1369" t="s">
        <v>9524</v>
      </c>
      <c r="C2735" s="1363" t="s">
        <v>867</v>
      </c>
      <c r="D2735" s="1120" t="s">
        <v>6</v>
      </c>
      <c r="E2735" s="1363" t="s">
        <v>9417</v>
      </c>
      <c r="F2735" s="1363" t="s">
        <v>5405</v>
      </c>
      <c r="G2735" s="1370" t="s">
        <v>7179</v>
      </c>
      <c r="H2735" s="1371"/>
      <c r="J2735" s="1637"/>
      <c r="K2735" s="1637"/>
    </row>
    <row r="2736" spans="1:11" ht="38.25" x14ac:dyDescent="0.25">
      <c r="A2736" s="1528"/>
      <c r="B2736" s="1667" t="s">
        <v>9530</v>
      </c>
      <c r="C2736" s="1380" t="s">
        <v>5424</v>
      </c>
      <c r="D2736" s="688">
        <v>1</v>
      </c>
      <c r="E2736" s="975">
        <v>5500</v>
      </c>
      <c r="F2736" s="1692"/>
      <c r="G2736" s="1687">
        <f t="shared" ref="G2736:G2741" si="18">D2736*E2736</f>
        <v>5500</v>
      </c>
      <c r="H2736" s="1524"/>
      <c r="J2736" s="1637"/>
      <c r="K2736" s="1637"/>
    </row>
    <row r="2737" spans="1:11" x14ac:dyDescent="0.25">
      <c r="A2737" s="1528"/>
      <c r="B2737" s="1667" t="s">
        <v>9526</v>
      </c>
      <c r="C2737" s="1380" t="s">
        <v>5424</v>
      </c>
      <c r="D2737" s="688">
        <v>0.33</v>
      </c>
      <c r="E2737" s="975">
        <v>11626</v>
      </c>
      <c r="F2737" s="1692"/>
      <c r="G2737" s="1687">
        <f t="shared" si="18"/>
        <v>3836.5800000000004</v>
      </c>
      <c r="H2737" s="1524"/>
      <c r="J2737" s="1637"/>
      <c r="K2737" s="1637"/>
    </row>
    <row r="2738" spans="1:11" x14ac:dyDescent="0.25">
      <c r="A2738" s="1528"/>
      <c r="B2738" s="269" t="s">
        <v>9527</v>
      </c>
      <c r="C2738" s="1380" t="s">
        <v>5734</v>
      </c>
      <c r="D2738" s="688">
        <v>3</v>
      </c>
      <c r="E2738" s="975">
        <v>3120</v>
      </c>
      <c r="F2738" s="1692"/>
      <c r="G2738" s="1687">
        <f t="shared" si="18"/>
        <v>9360</v>
      </c>
      <c r="H2738" s="1524"/>
      <c r="J2738" s="1637"/>
      <c r="K2738" s="1637"/>
    </row>
    <row r="2739" spans="1:11" x14ac:dyDescent="0.25">
      <c r="A2739" s="1528"/>
      <c r="B2739" s="268" t="s">
        <v>9531</v>
      </c>
      <c r="C2739" s="1380" t="s">
        <v>5424</v>
      </c>
      <c r="D2739" s="693">
        <v>1</v>
      </c>
      <c r="E2739" s="975">
        <v>1260</v>
      </c>
      <c r="F2739" s="991"/>
      <c r="G2739" s="1687">
        <f t="shared" si="18"/>
        <v>1260</v>
      </c>
      <c r="H2739" s="1524"/>
      <c r="J2739" s="1637"/>
      <c r="K2739" s="1637"/>
    </row>
    <row r="2740" spans="1:11" ht="38.25" x14ac:dyDescent="0.25">
      <c r="A2740" s="1528"/>
      <c r="B2740" s="1346" t="s">
        <v>9532</v>
      </c>
      <c r="C2740" s="1380" t="s">
        <v>5424</v>
      </c>
      <c r="D2740" s="693">
        <v>1</v>
      </c>
      <c r="E2740" s="975">
        <v>2200</v>
      </c>
      <c r="F2740" s="991"/>
      <c r="G2740" s="1687">
        <f t="shared" si="18"/>
        <v>2200</v>
      </c>
      <c r="H2740" s="1524"/>
      <c r="J2740" s="1637"/>
      <c r="K2740" s="1637"/>
    </row>
    <row r="2741" spans="1:11" x14ac:dyDescent="0.25">
      <c r="A2741" s="1528"/>
      <c r="B2741" s="1688" t="s">
        <v>9533</v>
      </c>
      <c r="C2741" s="1380" t="s">
        <v>5424</v>
      </c>
      <c r="D2741" s="693">
        <v>1</v>
      </c>
      <c r="E2741" s="980">
        <v>1790</v>
      </c>
      <c r="F2741" s="1380"/>
      <c r="G2741" s="1687">
        <f t="shared" si="18"/>
        <v>1790</v>
      </c>
      <c r="H2741" s="1524"/>
      <c r="J2741" s="1637"/>
      <c r="K2741" s="1637"/>
    </row>
    <row r="2742" spans="1:11" x14ac:dyDescent="0.25">
      <c r="A2742" s="1528"/>
      <c r="B2742" s="1667"/>
      <c r="C2742" s="1537"/>
      <c r="D2742" s="212"/>
      <c r="E2742" s="816"/>
      <c r="F2742" s="1563"/>
      <c r="G2742" s="814"/>
      <c r="H2742" s="1524"/>
      <c r="J2742" s="1637"/>
      <c r="K2742" s="1637"/>
    </row>
    <row r="2743" spans="1:11" x14ac:dyDescent="0.25">
      <c r="A2743" s="1528"/>
      <c r="B2743" s="1667"/>
      <c r="C2743" s="1537"/>
      <c r="D2743" s="212"/>
      <c r="E2743" s="816"/>
      <c r="F2743" s="1563"/>
      <c r="G2743" s="814"/>
      <c r="H2743" s="1524"/>
      <c r="J2743" s="1637"/>
      <c r="K2743" s="1637"/>
    </row>
    <row r="2744" spans="1:11" x14ac:dyDescent="0.25">
      <c r="A2744" s="1528"/>
      <c r="B2744" s="1667"/>
      <c r="C2744" s="1537"/>
      <c r="D2744" s="212"/>
      <c r="E2744" s="816"/>
      <c r="F2744" s="1563"/>
      <c r="G2744" s="814"/>
      <c r="H2744" s="1524"/>
      <c r="J2744" s="1637"/>
      <c r="K2744" s="1637"/>
    </row>
    <row r="2745" spans="1:11" x14ac:dyDescent="0.25">
      <c r="A2745" s="1528"/>
      <c r="B2745" s="1667"/>
      <c r="C2745" s="1537"/>
      <c r="D2745" s="212"/>
      <c r="E2745" s="816"/>
      <c r="F2745" s="1563"/>
      <c r="G2745" s="814"/>
      <c r="H2745" s="1524"/>
      <c r="J2745" s="1637"/>
      <c r="K2745" s="1637"/>
    </row>
    <row r="2746" spans="1:11" x14ac:dyDescent="0.25">
      <c r="A2746" s="1528"/>
      <c r="B2746" s="1667"/>
      <c r="C2746" s="1537"/>
      <c r="D2746" s="212"/>
      <c r="E2746" s="816"/>
      <c r="F2746" s="1563"/>
      <c r="G2746" s="814"/>
      <c r="H2746" s="1524"/>
      <c r="J2746" s="1637"/>
      <c r="K2746" s="1637"/>
    </row>
    <row r="2747" spans="1:11" x14ac:dyDescent="0.25">
      <c r="A2747" s="1528"/>
      <c r="B2747" s="269"/>
      <c r="C2747" s="1537"/>
      <c r="D2747" s="212"/>
      <c r="E2747" s="816"/>
      <c r="F2747" s="1563"/>
      <c r="G2747" s="814"/>
      <c r="H2747" s="1524"/>
      <c r="J2747" s="1637"/>
      <c r="K2747" s="1637"/>
    </row>
    <row r="2748" spans="1:11" x14ac:dyDescent="0.25">
      <c r="A2748" s="1528"/>
      <c r="B2748" s="268"/>
      <c r="C2748" s="1534"/>
      <c r="D2748" s="211"/>
      <c r="E2748" s="1535" t="s">
        <v>7182</v>
      </c>
      <c r="F2748" s="1551"/>
      <c r="G2748" s="1541" t="s">
        <v>7182</v>
      </c>
      <c r="H2748" s="1524"/>
      <c r="J2748" s="1637"/>
      <c r="K2748" s="1637"/>
    </row>
    <row r="2749" spans="1:11" x14ac:dyDescent="0.25">
      <c r="A2749" s="1528"/>
      <c r="B2749" s="1346"/>
      <c r="C2749" s="1534"/>
      <c r="D2749" s="211"/>
      <c r="E2749" s="1535" t="s">
        <v>7182</v>
      </c>
      <c r="F2749" s="1551"/>
      <c r="G2749" s="1541" t="s">
        <v>7182</v>
      </c>
      <c r="H2749" s="1524"/>
      <c r="J2749" s="1637"/>
      <c r="K2749" s="1637"/>
    </row>
    <row r="2750" spans="1:11" ht="15.75" thickBot="1" x14ac:dyDescent="0.3">
      <c r="A2750" s="1528"/>
      <c r="B2750" s="1540"/>
      <c r="C2750" s="1537"/>
      <c r="D2750" s="952"/>
      <c r="E2750" s="1538" t="s">
        <v>7182</v>
      </c>
      <c r="F2750" s="1537"/>
      <c r="G2750" s="1541" t="s">
        <v>7182</v>
      </c>
      <c r="H2750" s="1524"/>
      <c r="J2750" s="1637"/>
      <c r="K2750" s="1637"/>
    </row>
    <row r="2751" spans="1:11" ht="15.75" thickBot="1" x14ac:dyDescent="0.3">
      <c r="A2751" s="1528"/>
      <c r="B2751" s="1555"/>
      <c r="C2751" s="1557"/>
      <c r="D2751" s="956"/>
      <c r="E2751" s="1556" t="s">
        <v>7182</v>
      </c>
      <c r="F2751" s="1557"/>
      <c r="G2751" s="1558" t="s">
        <v>7182</v>
      </c>
      <c r="H2751" s="1546">
        <f>SUM(G2736:G2751)</f>
        <v>23946.58</v>
      </c>
      <c r="J2751" s="1637"/>
      <c r="K2751" s="1637"/>
    </row>
    <row r="2752" spans="1:11" x14ac:dyDescent="0.25">
      <c r="A2752" s="1528"/>
      <c r="B2752" s="1372"/>
      <c r="C2752" s="1374"/>
      <c r="D2752" s="1373"/>
      <c r="E2752" s="1372" t="s">
        <v>7182</v>
      </c>
      <c r="F2752" s="1374"/>
      <c r="G2752" s="1375" t="s">
        <v>7182</v>
      </c>
      <c r="H2752" s="1550"/>
      <c r="J2752" s="1637"/>
      <c r="K2752" s="1637"/>
    </row>
    <row r="2753" spans="1:11" ht="15.75" thickBot="1" x14ac:dyDescent="0.3">
      <c r="A2753" s="1527"/>
      <c r="B2753" s="188"/>
      <c r="C2753" s="189"/>
      <c r="D2753" s="1668"/>
      <c r="E2753" s="188"/>
      <c r="F2753" s="189"/>
      <c r="G2753" s="1669"/>
      <c r="H2753" s="1550"/>
      <c r="J2753" s="1637"/>
      <c r="K2753" s="1637"/>
    </row>
    <row r="2754" spans="1:11" ht="15.75" thickBot="1" x14ac:dyDescent="0.3">
      <c r="A2754" s="1527"/>
      <c r="B2754" s="1366" t="s">
        <v>9418</v>
      </c>
      <c r="C2754" s="1363" t="s">
        <v>867</v>
      </c>
      <c r="D2754" s="1120" t="s">
        <v>6</v>
      </c>
      <c r="E2754" s="1363" t="s">
        <v>7183</v>
      </c>
      <c r="F2754" s="1363" t="s">
        <v>5405</v>
      </c>
      <c r="G2754" s="1365" t="s">
        <v>7179</v>
      </c>
      <c r="H2754" s="1524"/>
      <c r="J2754" s="1637"/>
      <c r="K2754" s="1637"/>
    </row>
    <row r="2755" spans="1:11" x14ac:dyDescent="0.25">
      <c r="A2755" s="1527"/>
      <c r="B2755" s="1834" t="s">
        <v>5440</v>
      </c>
      <c r="C2755" s="1821" t="s">
        <v>5</v>
      </c>
      <c r="D2755" s="1835">
        <v>1</v>
      </c>
      <c r="E2755" s="1795">
        <v>1488</v>
      </c>
      <c r="F2755" s="1853">
        <v>2</v>
      </c>
      <c r="G2755" s="1833">
        <f>D2755*E2755*F2755</f>
        <v>2976</v>
      </c>
      <c r="H2755" s="1693"/>
      <c r="J2755" s="1637"/>
      <c r="K2755" s="1637"/>
    </row>
    <row r="2756" spans="1:11" x14ac:dyDescent="0.25">
      <c r="A2756" s="1527"/>
      <c r="B2756" s="1797"/>
      <c r="C2756" s="1821"/>
      <c r="D2756" s="1785"/>
      <c r="E2756" s="1795"/>
      <c r="F2756" s="1821"/>
      <c r="G2756" s="1833"/>
      <c r="H2756" s="1693"/>
      <c r="J2756" s="1637"/>
      <c r="K2756" s="1637"/>
    </row>
    <row r="2757" spans="1:11" x14ac:dyDescent="0.25">
      <c r="A2757" s="1527"/>
      <c r="B2757" s="1834"/>
      <c r="C2757" s="1821"/>
      <c r="D2757" s="1835"/>
      <c r="E2757" s="1795"/>
      <c r="F2757" s="1821"/>
      <c r="G2757" s="1833"/>
      <c r="H2757" s="1693"/>
      <c r="J2757" s="1637"/>
      <c r="K2757" s="1637"/>
    </row>
    <row r="2758" spans="1:11" ht="15.75" thickBot="1" x14ac:dyDescent="0.3">
      <c r="A2758" s="1527"/>
      <c r="B2758" s="1834"/>
      <c r="C2758" s="1821"/>
      <c r="D2758" s="1785"/>
      <c r="E2758" s="1795" t="s">
        <v>7182</v>
      </c>
      <c r="F2758" s="1821"/>
      <c r="G2758" s="1833" t="s">
        <v>7182</v>
      </c>
      <c r="H2758" s="1693"/>
      <c r="J2758" s="1637"/>
      <c r="K2758" s="1637"/>
    </row>
    <row r="2759" spans="1:11" ht="15.75" thickBot="1" x14ac:dyDescent="0.3">
      <c r="A2759" s="1527"/>
      <c r="B2759" s="1694"/>
      <c r="C2759" s="1590"/>
      <c r="D2759" s="1695"/>
      <c r="E2759" s="1590" t="s">
        <v>7182</v>
      </c>
      <c r="F2759" s="1696"/>
      <c r="G2759" s="1697" t="s">
        <v>7182</v>
      </c>
      <c r="H2759" s="992">
        <f>SUM(G2755:G2759)</f>
        <v>2976</v>
      </c>
      <c r="J2759" s="1637"/>
      <c r="K2759" s="1637"/>
    </row>
    <row r="2760" spans="1:11" ht="15.75" thickBot="1" x14ac:dyDescent="0.3">
      <c r="A2760" s="1527"/>
      <c r="B2760" s="1698"/>
      <c r="C2760" s="1699"/>
      <c r="D2760" s="1700"/>
      <c r="E2760" s="1701"/>
      <c r="F2760" s="1702"/>
      <c r="G2760" s="1703"/>
      <c r="H2760" s="1693"/>
      <c r="J2760" s="1637"/>
      <c r="K2760" s="1637"/>
    </row>
    <row r="2761" spans="1:11" ht="15.75" thickBot="1" x14ac:dyDescent="0.3">
      <c r="A2761" s="1527"/>
      <c r="B2761" s="1704" t="s">
        <v>5410</v>
      </c>
      <c r="C2761" s="1705" t="s">
        <v>867</v>
      </c>
      <c r="D2761" s="1706" t="s">
        <v>6</v>
      </c>
      <c r="E2761" s="1705" t="s">
        <v>7183</v>
      </c>
      <c r="F2761" s="1705" t="s">
        <v>5405</v>
      </c>
      <c r="G2761" s="1707" t="s">
        <v>7179</v>
      </c>
      <c r="H2761" s="1693"/>
      <c r="J2761" s="1637"/>
      <c r="K2761" s="1637"/>
    </row>
    <row r="2762" spans="1:11" x14ac:dyDescent="0.25">
      <c r="A2762" s="1527"/>
      <c r="B2762" s="990"/>
      <c r="C2762" s="989"/>
      <c r="D2762" s="693"/>
      <c r="E2762" s="975"/>
      <c r="F2762" s="989"/>
      <c r="G2762" s="1687"/>
      <c r="H2762" s="1693"/>
      <c r="J2762" s="1637"/>
      <c r="K2762" s="1637"/>
    </row>
    <row r="2763" spans="1:11" x14ac:dyDescent="0.25">
      <c r="A2763" s="1527"/>
      <c r="B2763" s="1688"/>
      <c r="C2763" s="1380"/>
      <c r="D2763" s="688"/>
      <c r="E2763" s="975" t="s">
        <v>7182</v>
      </c>
      <c r="F2763" s="1380"/>
      <c r="G2763" s="1687" t="s">
        <v>7182</v>
      </c>
      <c r="H2763" s="1693"/>
      <c r="J2763" s="1637"/>
      <c r="K2763" s="1637"/>
    </row>
    <row r="2764" spans="1:11" x14ac:dyDescent="0.25">
      <c r="A2764" s="1527"/>
      <c r="B2764" s="1688"/>
      <c r="C2764" s="1380"/>
      <c r="D2764" s="688"/>
      <c r="E2764" s="975" t="s">
        <v>7182</v>
      </c>
      <c r="F2764" s="1380"/>
      <c r="G2764" s="1687" t="s">
        <v>7182</v>
      </c>
      <c r="H2764" s="1693"/>
      <c r="J2764" s="1637"/>
      <c r="K2764" s="1637"/>
    </row>
    <row r="2765" spans="1:11" ht="15.75" thickBot="1" x14ac:dyDescent="0.3">
      <c r="A2765" s="1527"/>
      <c r="B2765" s="1688"/>
      <c r="C2765" s="1380"/>
      <c r="D2765" s="688"/>
      <c r="E2765" s="975" t="s">
        <v>7182</v>
      </c>
      <c r="F2765" s="1380"/>
      <c r="G2765" s="1687" t="s">
        <v>7182</v>
      </c>
      <c r="H2765" s="1693"/>
      <c r="J2765" s="1637"/>
      <c r="K2765" s="1637"/>
    </row>
    <row r="2766" spans="1:11" ht="15.75" thickBot="1" x14ac:dyDescent="0.3">
      <c r="A2766" s="1527"/>
      <c r="B2766" s="1694"/>
      <c r="C2766" s="1590"/>
      <c r="D2766" s="1695"/>
      <c r="E2766" s="1590" t="s">
        <v>7182</v>
      </c>
      <c r="F2766" s="1696"/>
      <c r="G2766" s="1697" t="s">
        <v>7182</v>
      </c>
      <c r="H2766" s="992">
        <f>SUM(G2762:G2766)</f>
        <v>0</v>
      </c>
      <c r="J2766" s="1637"/>
      <c r="K2766" s="1637"/>
    </row>
    <row r="2767" spans="1:11" ht="15.75" thickBot="1" x14ac:dyDescent="0.3">
      <c r="A2767" s="1527"/>
      <c r="B2767" s="1708"/>
      <c r="C2767" s="1708"/>
      <c r="D2767" s="1709"/>
      <c r="E2767" s="1708"/>
      <c r="F2767" s="1710"/>
      <c r="G2767" s="1711"/>
      <c r="H2767" s="1712"/>
    </row>
    <row r="2768" spans="1:11" ht="15.75" thickBot="1" x14ac:dyDescent="0.3">
      <c r="A2768" s="1559"/>
      <c r="B2768" s="1713" t="s">
        <v>5412</v>
      </c>
      <c r="C2768" s="1705" t="s">
        <v>5420</v>
      </c>
      <c r="D2768" s="1706" t="s">
        <v>5421</v>
      </c>
      <c r="E2768" s="1705" t="s">
        <v>7187</v>
      </c>
      <c r="F2768" s="1705" t="s">
        <v>5405</v>
      </c>
      <c r="G2768" s="1714" t="s">
        <v>7179</v>
      </c>
      <c r="H2768" s="1715"/>
    </row>
    <row r="2769" spans="1:11" x14ac:dyDescent="0.25">
      <c r="A2769" s="1527"/>
      <c r="B2769" s="1690" t="s">
        <v>9451</v>
      </c>
      <c r="C2769" s="1691">
        <v>170000</v>
      </c>
      <c r="D2769" s="1691">
        <v>102000</v>
      </c>
      <c r="E2769" s="1691">
        <f>C2769+D2769</f>
        <v>272000</v>
      </c>
      <c r="F2769" s="1197">
        <v>0.01</v>
      </c>
      <c r="G2769" s="979">
        <f>E2769*F2769</f>
        <v>2720</v>
      </c>
      <c r="H2769" s="1693"/>
    </row>
    <row r="2770" spans="1:11" x14ac:dyDescent="0.25">
      <c r="A2770" s="1527"/>
      <c r="B2770" s="1690"/>
      <c r="C2770" s="1691"/>
      <c r="D2770" s="1691"/>
      <c r="E2770" s="1691"/>
      <c r="F2770" s="1195"/>
      <c r="G2770" s="979"/>
      <c r="H2770" s="1693"/>
    </row>
    <row r="2771" spans="1:11" x14ac:dyDescent="0.25">
      <c r="A2771" s="1527"/>
      <c r="B2771" s="1561"/>
      <c r="C2771" s="1569"/>
      <c r="D2771" s="1569"/>
      <c r="E2771" s="1569"/>
      <c r="F2771" s="817"/>
      <c r="G2771" s="818"/>
      <c r="H2771" s="1524"/>
    </row>
    <row r="2772" spans="1:11" x14ac:dyDescent="0.25">
      <c r="A2772" s="1527"/>
      <c r="B2772" s="1540"/>
      <c r="C2772" s="1569"/>
      <c r="D2772" s="1569"/>
      <c r="E2772" s="1569"/>
      <c r="F2772" s="817"/>
      <c r="G2772" s="818"/>
      <c r="H2772" s="1524"/>
    </row>
    <row r="2773" spans="1:11" x14ac:dyDescent="0.25">
      <c r="A2773" s="1527"/>
      <c r="B2773" s="1540"/>
      <c r="C2773" s="1538" t="s">
        <v>7182</v>
      </c>
      <c r="D2773" s="952" t="s">
        <v>7182</v>
      </c>
      <c r="E2773" s="1538" t="s">
        <v>7182</v>
      </c>
      <c r="F2773" s="817"/>
      <c r="G2773" s="818" t="str">
        <f>IF(B2773="","",E2773/F2773)</f>
        <v/>
      </c>
      <c r="H2773" s="1524"/>
    </row>
    <row r="2774" spans="1:11" ht="15.75" thickBot="1" x14ac:dyDescent="0.3">
      <c r="A2774" s="1527"/>
      <c r="B2774" s="1540"/>
      <c r="C2774" s="1538" t="s">
        <v>7182</v>
      </c>
      <c r="D2774" s="952" t="s">
        <v>7182</v>
      </c>
      <c r="E2774" s="1538" t="s">
        <v>7182</v>
      </c>
      <c r="F2774" s="1537"/>
      <c r="G2774" s="818" t="str">
        <f>IF(B2774="","",E2774/F2774)</f>
        <v/>
      </c>
      <c r="H2774" s="1524"/>
    </row>
    <row r="2775" spans="1:11" ht="15.75" thickBot="1" x14ac:dyDescent="0.3">
      <c r="A2775" s="1527"/>
      <c r="B2775" s="1555"/>
      <c r="C2775" s="1556"/>
      <c r="D2775" s="956"/>
      <c r="E2775" s="1556"/>
      <c r="F2775" s="1557"/>
      <c r="G2775" s="1558"/>
      <c r="H2775" s="1546">
        <f>SUM(G2769:G2775)</f>
        <v>2720</v>
      </c>
    </row>
    <row r="2776" spans="1:11" ht="15.75" thickBot="1" x14ac:dyDescent="0.3">
      <c r="A2776" s="1527"/>
      <c r="B2776" s="1527"/>
      <c r="C2776" s="1527"/>
      <c r="D2776" s="529"/>
      <c r="F2776" s="1528"/>
      <c r="G2776" s="1524"/>
      <c r="H2776" s="1524"/>
    </row>
    <row r="2777" spans="1:11" ht="15.75" thickBot="1" x14ac:dyDescent="0.3">
      <c r="A2777" s="1647" t="s">
        <v>6744</v>
      </c>
      <c r="B2777" s="1352"/>
      <c r="C2777" s="1352"/>
      <c r="D2777" s="1671"/>
      <c r="E2777" s="1672"/>
      <c r="F2777" s="1353"/>
      <c r="G2777" s="1527" t="s">
        <v>5415</v>
      </c>
      <c r="H2777" s="502">
        <f>ROUND(SUM(H2735:H2776),0)</f>
        <v>29643</v>
      </c>
      <c r="J2777" s="1673">
        <f>+B2731</f>
        <v>10.6</v>
      </c>
      <c r="K2777" s="1674">
        <f>+H2777</f>
        <v>29643</v>
      </c>
    </row>
    <row r="2778" spans="1:11" x14ac:dyDescent="0.25">
      <c r="A2778" s="1675"/>
      <c r="B2778" s="1676"/>
      <c r="C2778" s="1676"/>
      <c r="D2778" s="1677"/>
      <c r="E2778" s="1678"/>
      <c r="F2778" s="1679"/>
      <c r="G2778" s="1680"/>
      <c r="H2778" s="1680"/>
    </row>
    <row r="2779" spans="1:11" ht="18.75" x14ac:dyDescent="0.25">
      <c r="A2779" s="1523"/>
      <c r="B2779" s="1655"/>
      <c r="C2779" s="1655"/>
      <c r="D2779" s="950"/>
      <c r="E2779" s="1655"/>
      <c r="F2779" s="1655"/>
      <c r="G2779" s="1655"/>
      <c r="H2779" s="8"/>
    </row>
    <row r="2780" spans="1:11" x14ac:dyDescent="0.25">
      <c r="A2780" s="1523"/>
      <c r="B2780" s="8"/>
      <c r="C2780" s="8"/>
      <c r="D2780" s="529"/>
      <c r="E2780" s="8"/>
      <c r="F2780" s="1523"/>
      <c r="G2780" s="1524"/>
      <c r="H2780" s="8"/>
    </row>
    <row r="2781" spans="1:11" x14ac:dyDescent="0.25">
      <c r="A2781" s="1665" t="s">
        <v>3</v>
      </c>
      <c r="B2781" s="1666">
        <f>+VLOOKUP(C2781,ListaAPUs!$B:$E,4,FALSE)</f>
        <v>10.61</v>
      </c>
      <c r="C2781" s="2441" t="str">
        <f>+ListaAPUs!B261</f>
        <v>Toma bifasica. Incluye tomacorriente, tubería,cableado y accesorios de montaje.</v>
      </c>
      <c r="D2781" s="2441"/>
      <c r="E2781" s="2441"/>
      <c r="F2781" s="1665" t="s">
        <v>867</v>
      </c>
      <c r="G2781" s="1390" t="str">
        <f>+VLOOKUP(C2781,ListaAPUs!$B:$E,2,FALSE)</f>
        <v>un</v>
      </c>
      <c r="H2781" s="1524"/>
    </row>
    <row r="2782" spans="1:11" x14ac:dyDescent="0.25">
      <c r="A2782" s="1528"/>
      <c r="B2782" s="1527"/>
      <c r="C2782" s="1527"/>
      <c r="D2782" s="529"/>
      <c r="E2782" s="1527"/>
      <c r="F2782" s="1528"/>
      <c r="G2782" s="1524"/>
      <c r="H2782" s="1524"/>
    </row>
    <row r="2783" spans="1:11" x14ac:dyDescent="0.25">
      <c r="A2783" s="1528"/>
      <c r="B2783" s="1527"/>
      <c r="C2783" s="1527"/>
      <c r="D2783" s="529"/>
      <c r="E2783" s="1527"/>
      <c r="F2783" s="1528"/>
      <c r="G2783" s="1529"/>
      <c r="H2783" s="1524"/>
      <c r="J2783" s="1637"/>
      <c r="K2783" s="1637"/>
    </row>
    <row r="2784" spans="1:11" ht="15.75" thickBot="1" x14ac:dyDescent="0.3">
      <c r="A2784" s="1528"/>
      <c r="B2784" s="1527"/>
      <c r="C2784" s="1527"/>
      <c r="D2784" s="529"/>
      <c r="E2784" s="1527"/>
      <c r="F2784" s="1528"/>
      <c r="G2784" s="1524"/>
      <c r="H2784" s="1524"/>
      <c r="J2784" s="1637"/>
      <c r="K2784" s="1637"/>
    </row>
    <row r="2785" spans="1:11" ht="15.75" thickBot="1" x14ac:dyDescent="0.3">
      <c r="A2785" s="1368"/>
      <c r="B2785" s="1369" t="s">
        <v>9534</v>
      </c>
      <c r="C2785" s="1363" t="s">
        <v>867</v>
      </c>
      <c r="D2785" s="1120" t="s">
        <v>6</v>
      </c>
      <c r="E2785" s="1363" t="s">
        <v>9417</v>
      </c>
      <c r="F2785" s="1363" t="s">
        <v>5405</v>
      </c>
      <c r="G2785" s="1370" t="s">
        <v>7179</v>
      </c>
      <c r="H2785" s="1371"/>
      <c r="J2785" s="1637"/>
      <c r="K2785" s="1637"/>
    </row>
    <row r="2786" spans="1:11" ht="38.25" x14ac:dyDescent="0.25">
      <c r="A2786" s="1528"/>
      <c r="B2786" s="1667" t="s">
        <v>9530</v>
      </c>
      <c r="C2786" s="1537" t="s">
        <v>5424</v>
      </c>
      <c r="D2786" s="212">
        <v>1</v>
      </c>
      <c r="E2786" s="1535">
        <v>45300</v>
      </c>
      <c r="F2786" s="1563"/>
      <c r="G2786" s="1572">
        <f t="shared" ref="G2786:G2791" si="19">D2786*E2786</f>
        <v>45300</v>
      </c>
      <c r="H2786" s="1524"/>
      <c r="J2786" s="1637"/>
      <c r="K2786" s="1637"/>
    </row>
    <row r="2787" spans="1:11" x14ac:dyDescent="0.25">
      <c r="A2787" s="1528"/>
      <c r="B2787" s="1667" t="s">
        <v>9526</v>
      </c>
      <c r="C2787" s="1537" t="s">
        <v>5424</v>
      </c>
      <c r="D2787" s="212">
        <v>0.33</v>
      </c>
      <c r="E2787" s="1535">
        <v>11626</v>
      </c>
      <c r="F2787" s="1563"/>
      <c r="G2787" s="1572">
        <f t="shared" si="19"/>
        <v>3836.5800000000004</v>
      </c>
      <c r="H2787" s="1524"/>
      <c r="J2787" s="1637"/>
      <c r="K2787" s="1637"/>
    </row>
    <row r="2788" spans="1:11" x14ac:dyDescent="0.25">
      <c r="A2788" s="1528"/>
      <c r="B2788" s="269" t="s">
        <v>9527</v>
      </c>
      <c r="C2788" s="1537" t="s">
        <v>5734</v>
      </c>
      <c r="D2788" s="212">
        <v>3</v>
      </c>
      <c r="E2788" s="1535">
        <v>3120</v>
      </c>
      <c r="F2788" s="1563"/>
      <c r="G2788" s="1572">
        <f t="shared" si="19"/>
        <v>9360</v>
      </c>
      <c r="H2788" s="1524"/>
      <c r="J2788" s="1637"/>
      <c r="K2788" s="1637"/>
    </row>
    <row r="2789" spans="1:11" x14ac:dyDescent="0.25">
      <c r="A2789" s="1528"/>
      <c r="B2789" s="268" t="s">
        <v>9531</v>
      </c>
      <c r="C2789" s="1537" t="s">
        <v>5424</v>
      </c>
      <c r="D2789" s="211">
        <v>1</v>
      </c>
      <c r="E2789" s="1535">
        <v>1260</v>
      </c>
      <c r="F2789" s="1551"/>
      <c r="G2789" s="1572">
        <f t="shared" si="19"/>
        <v>1260</v>
      </c>
      <c r="H2789" s="1524"/>
      <c r="J2789" s="1637"/>
      <c r="K2789" s="1637"/>
    </row>
    <row r="2790" spans="1:11" ht="38.25" x14ac:dyDescent="0.25">
      <c r="A2790" s="1528"/>
      <c r="B2790" s="1346" t="s">
        <v>9532</v>
      </c>
      <c r="C2790" s="1537" t="s">
        <v>5424</v>
      </c>
      <c r="D2790" s="211">
        <v>1</v>
      </c>
      <c r="E2790" s="1535">
        <v>2200</v>
      </c>
      <c r="F2790" s="1551"/>
      <c r="G2790" s="1572">
        <f t="shared" si="19"/>
        <v>2200</v>
      </c>
      <c r="H2790" s="1524"/>
      <c r="J2790" s="1637"/>
      <c r="K2790" s="1637"/>
    </row>
    <row r="2791" spans="1:11" x14ac:dyDescent="0.25">
      <c r="A2791" s="1528"/>
      <c r="B2791" s="1540" t="s">
        <v>9535</v>
      </c>
      <c r="C2791" s="1537" t="s">
        <v>5424</v>
      </c>
      <c r="D2791" s="211">
        <v>1</v>
      </c>
      <c r="E2791" s="1538">
        <v>12250</v>
      </c>
      <c r="F2791" s="1537"/>
      <c r="G2791" s="1572">
        <f t="shared" si="19"/>
        <v>12250</v>
      </c>
      <c r="H2791" s="1524"/>
      <c r="J2791" s="1637"/>
      <c r="K2791" s="1637"/>
    </row>
    <row r="2792" spans="1:11" x14ac:dyDescent="0.25">
      <c r="A2792" s="1528"/>
      <c r="B2792" s="1667"/>
      <c r="C2792" s="1537"/>
      <c r="D2792" s="212"/>
      <c r="E2792" s="816"/>
      <c r="F2792" s="1563"/>
      <c r="G2792" s="814"/>
      <c r="H2792" s="1524"/>
      <c r="J2792" s="1637"/>
      <c r="K2792" s="1637"/>
    </row>
    <row r="2793" spans="1:11" x14ac:dyDescent="0.25">
      <c r="A2793" s="1528"/>
      <c r="B2793" s="1667"/>
      <c r="C2793" s="1537"/>
      <c r="D2793" s="212"/>
      <c r="E2793" s="816"/>
      <c r="F2793" s="1563"/>
      <c r="G2793" s="814"/>
      <c r="H2793" s="1524"/>
      <c r="J2793" s="1637"/>
      <c r="K2793" s="1637"/>
    </row>
    <row r="2794" spans="1:11" x14ac:dyDescent="0.25">
      <c r="A2794" s="1528"/>
      <c r="B2794" s="1667"/>
      <c r="C2794" s="1537"/>
      <c r="D2794" s="212"/>
      <c r="E2794" s="816"/>
      <c r="F2794" s="1563"/>
      <c r="G2794" s="814"/>
      <c r="H2794" s="1524"/>
      <c r="J2794" s="1637"/>
      <c r="K2794" s="1637"/>
    </row>
    <row r="2795" spans="1:11" x14ac:dyDescent="0.25">
      <c r="A2795" s="1528"/>
      <c r="B2795" s="1667"/>
      <c r="C2795" s="1537"/>
      <c r="D2795" s="212"/>
      <c r="E2795" s="816"/>
      <c r="F2795" s="1563"/>
      <c r="G2795" s="814"/>
      <c r="H2795" s="1524"/>
      <c r="J2795" s="1637"/>
      <c r="K2795" s="1637"/>
    </row>
    <row r="2796" spans="1:11" x14ac:dyDescent="0.25">
      <c r="A2796" s="1528"/>
      <c r="B2796" s="1667"/>
      <c r="C2796" s="1537"/>
      <c r="D2796" s="212"/>
      <c r="E2796" s="816"/>
      <c r="F2796" s="1563"/>
      <c r="G2796" s="814"/>
      <c r="H2796" s="1524"/>
      <c r="J2796" s="1637"/>
      <c r="K2796" s="1637"/>
    </row>
    <row r="2797" spans="1:11" x14ac:dyDescent="0.25">
      <c r="A2797" s="1528"/>
      <c r="B2797" s="269"/>
      <c r="C2797" s="1537"/>
      <c r="D2797" s="212"/>
      <c r="E2797" s="816"/>
      <c r="F2797" s="1563"/>
      <c r="G2797" s="814"/>
      <c r="H2797" s="1524"/>
      <c r="J2797" s="1637"/>
      <c r="K2797" s="1637"/>
    </row>
    <row r="2798" spans="1:11" x14ac:dyDescent="0.25">
      <c r="A2798" s="1528"/>
      <c r="B2798" s="268"/>
      <c r="C2798" s="1534"/>
      <c r="D2798" s="211"/>
      <c r="E2798" s="1535" t="s">
        <v>7182</v>
      </c>
      <c r="F2798" s="1551"/>
      <c r="G2798" s="1541" t="s">
        <v>7182</v>
      </c>
      <c r="H2798" s="1524"/>
      <c r="J2798" s="1637"/>
      <c r="K2798" s="1637"/>
    </row>
    <row r="2799" spans="1:11" x14ac:dyDescent="0.25">
      <c r="A2799" s="1528"/>
      <c r="B2799" s="1346"/>
      <c r="C2799" s="1534"/>
      <c r="D2799" s="211"/>
      <c r="E2799" s="1535" t="s">
        <v>7182</v>
      </c>
      <c r="F2799" s="1551"/>
      <c r="G2799" s="1541" t="s">
        <v>7182</v>
      </c>
      <c r="H2799" s="1524"/>
      <c r="J2799" s="1637"/>
      <c r="K2799" s="1637"/>
    </row>
    <row r="2800" spans="1:11" ht="15.75" thickBot="1" x14ac:dyDescent="0.3">
      <c r="A2800" s="1528"/>
      <c r="B2800" s="1540"/>
      <c r="C2800" s="1537"/>
      <c r="D2800" s="952"/>
      <c r="E2800" s="1538" t="s">
        <v>7182</v>
      </c>
      <c r="F2800" s="1537"/>
      <c r="G2800" s="1541" t="s">
        <v>7182</v>
      </c>
      <c r="H2800" s="1524"/>
      <c r="J2800" s="1637"/>
      <c r="K2800" s="1637"/>
    </row>
    <row r="2801" spans="1:11" ht="15.75" thickBot="1" x14ac:dyDescent="0.3">
      <c r="A2801" s="1528"/>
      <c r="B2801" s="1555"/>
      <c r="C2801" s="1557"/>
      <c r="D2801" s="956"/>
      <c r="E2801" s="1556" t="s">
        <v>7182</v>
      </c>
      <c r="F2801" s="1557"/>
      <c r="G2801" s="1558" t="s">
        <v>7182</v>
      </c>
      <c r="H2801" s="1546">
        <f>SUM(G2786:G2801)</f>
        <v>74206.58</v>
      </c>
      <c r="J2801" s="1637"/>
      <c r="K2801" s="1637"/>
    </row>
    <row r="2802" spans="1:11" x14ac:dyDescent="0.25">
      <c r="A2802" s="1528"/>
      <c r="B2802" s="1372"/>
      <c r="C2802" s="1374"/>
      <c r="D2802" s="1373"/>
      <c r="E2802" s="1372" t="s">
        <v>7182</v>
      </c>
      <c r="F2802" s="1374"/>
      <c r="G2802" s="1375" t="s">
        <v>7182</v>
      </c>
      <c r="H2802" s="1550"/>
      <c r="J2802" s="1637"/>
      <c r="K2802" s="1637"/>
    </row>
    <row r="2803" spans="1:11" ht="15.75" thickBot="1" x14ac:dyDescent="0.3">
      <c r="A2803" s="1527"/>
      <c r="B2803" s="188"/>
      <c r="C2803" s="189"/>
      <c r="D2803" s="1668"/>
      <c r="E2803" s="188"/>
      <c r="F2803" s="189"/>
      <c r="G2803" s="1669"/>
      <c r="H2803" s="1550"/>
      <c r="J2803" s="1637"/>
      <c r="K2803" s="1637"/>
    </row>
    <row r="2804" spans="1:11" ht="15.75" thickBot="1" x14ac:dyDescent="0.3">
      <c r="A2804" s="1527"/>
      <c r="B2804" s="1366" t="s">
        <v>9418</v>
      </c>
      <c r="C2804" s="1363" t="s">
        <v>867</v>
      </c>
      <c r="D2804" s="1120" t="s">
        <v>6</v>
      </c>
      <c r="E2804" s="1363" t="s">
        <v>7183</v>
      </c>
      <c r="F2804" s="1363" t="s">
        <v>5405</v>
      </c>
      <c r="G2804" s="1365" t="s">
        <v>7179</v>
      </c>
      <c r="H2804" s="1524"/>
      <c r="J2804" s="1637"/>
      <c r="K2804" s="1637"/>
    </row>
    <row r="2805" spans="1:11" x14ac:dyDescent="0.25">
      <c r="A2805" s="1527"/>
      <c r="B2805" s="1752" t="s">
        <v>5440</v>
      </c>
      <c r="C2805" s="1749" t="s">
        <v>5</v>
      </c>
      <c r="D2805" s="1771">
        <v>6</v>
      </c>
      <c r="E2805" s="1748">
        <v>1488</v>
      </c>
      <c r="F2805" s="1776">
        <v>2</v>
      </c>
      <c r="G2805" s="1783">
        <f>D2805*E2805*F2805</f>
        <v>17856</v>
      </c>
      <c r="H2805" s="1524"/>
      <c r="J2805" s="1637"/>
      <c r="K2805" s="1637"/>
    </row>
    <row r="2806" spans="1:11" x14ac:dyDescent="0.25">
      <c r="A2806" s="1527"/>
      <c r="B2806" s="1774"/>
      <c r="C2806" s="1749"/>
      <c r="D2806" s="1772"/>
      <c r="E2806" s="1748"/>
      <c r="F2806" s="1758"/>
      <c r="G2806" s="1783"/>
      <c r="H2806" s="1524"/>
      <c r="J2806" s="1637"/>
      <c r="K2806" s="1637"/>
    </row>
    <row r="2807" spans="1:11" x14ac:dyDescent="0.25">
      <c r="A2807" s="1527"/>
      <c r="B2807" s="1540"/>
      <c r="C2807" s="1537"/>
      <c r="D2807" s="1567"/>
      <c r="E2807" s="1535"/>
      <c r="F2807" s="1537"/>
      <c r="G2807" s="1572"/>
      <c r="H2807" s="1524"/>
      <c r="J2807" s="1637"/>
      <c r="K2807" s="1637"/>
    </row>
    <row r="2808" spans="1:11" x14ac:dyDescent="0.25">
      <c r="A2808" s="1527"/>
      <c r="B2808" s="268"/>
      <c r="C2808" s="1537"/>
      <c r="D2808" s="211"/>
      <c r="E2808" s="1535"/>
      <c r="F2808" s="1551"/>
      <c r="G2808" s="1572"/>
      <c r="H2808" s="1524"/>
      <c r="J2808" s="1637"/>
      <c r="K2808" s="1637"/>
    </row>
    <row r="2809" spans="1:11" x14ac:dyDescent="0.25">
      <c r="A2809" s="1527"/>
      <c r="B2809" s="1346"/>
      <c r="C2809" s="1537"/>
      <c r="D2809" s="211"/>
      <c r="E2809" s="1535"/>
      <c r="F2809" s="1551"/>
      <c r="G2809" s="1572"/>
      <c r="H2809" s="1524"/>
      <c r="J2809" s="1637"/>
      <c r="K2809" s="1637"/>
    </row>
    <row r="2810" spans="1:11" x14ac:dyDescent="0.25">
      <c r="A2810" s="1527"/>
      <c r="B2810" s="1540"/>
      <c r="C2810" s="1537"/>
      <c r="D2810" s="211"/>
      <c r="E2810" s="1538"/>
      <c r="F2810" s="1537"/>
      <c r="G2810" s="1572"/>
      <c r="H2810" s="1524"/>
      <c r="J2810" s="1637"/>
      <c r="K2810" s="1637"/>
    </row>
    <row r="2811" spans="1:11" x14ac:dyDescent="0.25">
      <c r="A2811" s="1527"/>
      <c r="B2811" s="1540"/>
      <c r="C2811" s="1537"/>
      <c r="D2811" s="212"/>
      <c r="E2811" s="1535" t="s">
        <v>7182</v>
      </c>
      <c r="F2811" s="1537"/>
      <c r="G2811" s="1572" t="s">
        <v>7182</v>
      </c>
      <c r="H2811" s="1524"/>
      <c r="J2811" s="1637"/>
      <c r="K2811" s="1637"/>
    </row>
    <row r="2812" spans="1:11" ht="15.75" thickBot="1" x14ac:dyDescent="0.3">
      <c r="A2812" s="1527"/>
      <c r="B2812" s="1540"/>
      <c r="C2812" s="1537"/>
      <c r="D2812" s="212"/>
      <c r="E2812" s="1535" t="s">
        <v>7182</v>
      </c>
      <c r="F2812" s="1537"/>
      <c r="G2812" s="1572" t="s">
        <v>7182</v>
      </c>
      <c r="H2812" s="1524"/>
      <c r="J2812" s="1637"/>
      <c r="K2812" s="1637"/>
    </row>
    <row r="2813" spans="1:11" ht="15.75" thickBot="1" x14ac:dyDescent="0.3">
      <c r="A2813" s="1527"/>
      <c r="B2813" s="1555"/>
      <c r="C2813" s="1556"/>
      <c r="D2813" s="956"/>
      <c r="E2813" s="1556" t="s">
        <v>7182</v>
      </c>
      <c r="F2813" s="1557"/>
      <c r="G2813" s="1558" t="s">
        <v>7182</v>
      </c>
      <c r="H2813" s="1546">
        <f>SUM(G2805:G2813)</f>
        <v>17856</v>
      </c>
      <c r="J2813" s="1637"/>
      <c r="K2813" s="1637"/>
    </row>
    <row r="2814" spans="1:11" ht="15.75" thickBot="1" x14ac:dyDescent="0.3">
      <c r="A2814" s="1527"/>
      <c r="B2814" s="1376"/>
      <c r="C2814" s="1353"/>
      <c r="D2814" s="1355"/>
      <c r="E2814" s="1352"/>
      <c r="F2814" s="1377"/>
      <c r="G2814" s="1378"/>
      <c r="H2814" s="1524"/>
      <c r="J2814" s="1637"/>
      <c r="K2814" s="1637"/>
    </row>
    <row r="2815" spans="1:11" ht="15.75" thickBot="1" x14ac:dyDescent="0.3">
      <c r="A2815" s="1527"/>
      <c r="B2815" s="1366" t="s">
        <v>5410</v>
      </c>
      <c r="C2815" s="1363" t="s">
        <v>867</v>
      </c>
      <c r="D2815" s="1120" t="s">
        <v>6</v>
      </c>
      <c r="E2815" s="1363" t="s">
        <v>7183</v>
      </c>
      <c r="F2815" s="1363" t="s">
        <v>5405</v>
      </c>
      <c r="G2815" s="1365" t="s">
        <v>7179</v>
      </c>
      <c r="H2815" s="1524"/>
      <c r="J2815" s="1637"/>
      <c r="K2815" s="1637"/>
    </row>
    <row r="2816" spans="1:11" x14ac:dyDescent="0.25">
      <c r="A2816" s="1527"/>
      <c r="B2816" s="1564"/>
      <c r="C2816" s="1534"/>
      <c r="D2816" s="211"/>
      <c r="E2816" s="1535"/>
      <c r="F2816" s="1534"/>
      <c r="G2816" s="1572"/>
      <c r="H2816" s="1524"/>
      <c r="J2816" s="1637"/>
      <c r="K2816" s="1637"/>
    </row>
    <row r="2817" spans="1:11" x14ac:dyDescent="0.25">
      <c r="A2817" s="1527"/>
      <c r="B2817" s="1562"/>
      <c r="C2817" s="1537"/>
      <c r="D2817" s="212"/>
      <c r="E2817" s="1535"/>
      <c r="F2817" s="1537"/>
      <c r="G2817" s="1572"/>
      <c r="H2817" s="1524"/>
      <c r="J2817" s="1637"/>
      <c r="K2817" s="1637"/>
    </row>
    <row r="2818" spans="1:11" x14ac:dyDescent="0.25">
      <c r="A2818" s="1527"/>
      <c r="B2818" s="1540"/>
      <c r="C2818" s="1537"/>
      <c r="D2818" s="1567"/>
      <c r="E2818" s="1535"/>
      <c r="F2818" s="1537"/>
      <c r="G2818" s="1572"/>
      <c r="H2818" s="1524"/>
      <c r="J2818" s="1637"/>
      <c r="K2818" s="1637"/>
    </row>
    <row r="2819" spans="1:11" ht="15.75" thickBot="1" x14ac:dyDescent="0.3">
      <c r="A2819" s="1527"/>
      <c r="B2819" s="1540"/>
      <c r="C2819" s="1537"/>
      <c r="D2819" s="212"/>
      <c r="E2819" s="1535" t="s">
        <v>7182</v>
      </c>
      <c r="F2819" s="1537"/>
      <c r="G2819" s="1572" t="s">
        <v>7182</v>
      </c>
      <c r="H2819" s="1524"/>
      <c r="J2819" s="1637"/>
      <c r="K2819" s="1637"/>
    </row>
    <row r="2820" spans="1:11" ht="15.75" thickBot="1" x14ac:dyDescent="0.3">
      <c r="A2820" s="1527"/>
      <c r="B2820" s="1555"/>
      <c r="C2820" s="1556"/>
      <c r="D2820" s="956"/>
      <c r="E2820" s="1556" t="s">
        <v>7182</v>
      </c>
      <c r="F2820" s="1557"/>
      <c r="G2820" s="1558" t="s">
        <v>7182</v>
      </c>
      <c r="H2820" s="1546">
        <f>SUM(G2816:G2820)</f>
        <v>0</v>
      </c>
      <c r="J2820" s="1637"/>
      <c r="K2820" s="1637"/>
    </row>
    <row r="2821" spans="1:11" ht="15.75" thickBot="1" x14ac:dyDescent="0.3">
      <c r="A2821" s="1527"/>
      <c r="B2821" s="1547"/>
      <c r="C2821" s="1547"/>
      <c r="D2821" s="954"/>
      <c r="E2821" s="1547"/>
      <c r="F2821" s="1553"/>
      <c r="G2821" s="1554"/>
      <c r="H2821" s="1550"/>
      <c r="J2821" s="1637"/>
      <c r="K2821" s="1637"/>
    </row>
    <row r="2822" spans="1:11" ht="15.75" thickBot="1" x14ac:dyDescent="0.3">
      <c r="A2822" s="1559"/>
      <c r="B2822" s="1369" t="s">
        <v>5412</v>
      </c>
      <c r="C2822" s="1363" t="s">
        <v>5420</v>
      </c>
      <c r="D2822" s="1120" t="s">
        <v>5421</v>
      </c>
      <c r="E2822" s="1363" t="s">
        <v>7187</v>
      </c>
      <c r="F2822" s="1363" t="s">
        <v>5405</v>
      </c>
      <c r="G2822" s="1370" t="s">
        <v>7179</v>
      </c>
      <c r="H2822" s="1371"/>
      <c r="J2822" s="1637"/>
      <c r="K2822" s="1637"/>
    </row>
    <row r="2823" spans="1:11" x14ac:dyDescent="0.25">
      <c r="A2823" s="1527"/>
      <c r="B2823" s="1560" t="s">
        <v>9451</v>
      </c>
      <c r="C2823" s="1569">
        <v>170000</v>
      </c>
      <c r="D2823" s="1569">
        <v>102000</v>
      </c>
      <c r="E2823" s="1569">
        <f>C2823+D2823</f>
        <v>272000</v>
      </c>
      <c r="F2823" s="790">
        <v>0.01</v>
      </c>
      <c r="G2823" s="818">
        <f>E2823*F2823</f>
        <v>2720</v>
      </c>
      <c r="H2823" s="1524"/>
      <c r="J2823" s="1637"/>
      <c r="K2823" s="1637"/>
    </row>
    <row r="2824" spans="1:11" x14ac:dyDescent="0.25">
      <c r="A2824" s="1527"/>
      <c r="B2824" s="1560"/>
      <c r="C2824" s="1569"/>
      <c r="D2824" s="1569"/>
      <c r="E2824" s="1569"/>
      <c r="F2824" s="819"/>
      <c r="G2824" s="818"/>
      <c r="H2824" s="1524"/>
      <c r="J2824" s="1637"/>
      <c r="K2824" s="1637"/>
    </row>
    <row r="2825" spans="1:11" x14ac:dyDescent="0.25">
      <c r="A2825" s="1527"/>
      <c r="B2825" s="1561"/>
      <c r="C2825" s="1569"/>
      <c r="D2825" s="1569"/>
      <c r="E2825" s="1569"/>
      <c r="F2825" s="817"/>
      <c r="G2825" s="818"/>
      <c r="H2825" s="1524"/>
      <c r="J2825" s="1637"/>
      <c r="K2825" s="1637"/>
    </row>
    <row r="2826" spans="1:11" x14ac:dyDescent="0.25">
      <c r="A2826" s="1527"/>
      <c r="B2826" s="1540"/>
      <c r="C2826" s="1569"/>
      <c r="D2826" s="1569"/>
      <c r="E2826" s="1569"/>
      <c r="F2826" s="817"/>
      <c r="G2826" s="818"/>
      <c r="H2826" s="1524"/>
      <c r="J2826" s="1637"/>
      <c r="K2826" s="1637"/>
    </row>
    <row r="2827" spans="1:11" x14ac:dyDescent="0.25">
      <c r="A2827" s="1527"/>
      <c r="B2827" s="1540"/>
      <c r="C2827" s="1538" t="s">
        <v>7182</v>
      </c>
      <c r="D2827" s="952" t="s">
        <v>7182</v>
      </c>
      <c r="E2827" s="1538" t="s">
        <v>7182</v>
      </c>
      <c r="F2827" s="817"/>
      <c r="G2827" s="818" t="str">
        <f>IF(B2827="","",E2827/F2827)</f>
        <v/>
      </c>
      <c r="H2827" s="1524"/>
      <c r="J2827" s="1637"/>
      <c r="K2827" s="1637"/>
    </row>
    <row r="2828" spans="1:11" ht="15.75" thickBot="1" x14ac:dyDescent="0.3">
      <c r="A2828" s="1527"/>
      <c r="B2828" s="1540"/>
      <c r="C2828" s="1538" t="s">
        <v>7182</v>
      </c>
      <c r="D2828" s="952" t="s">
        <v>7182</v>
      </c>
      <c r="E2828" s="1538" t="s">
        <v>7182</v>
      </c>
      <c r="F2828" s="1537"/>
      <c r="G2828" s="818" t="str">
        <f>IF(B2828="","",E2828/F2828)</f>
        <v/>
      </c>
      <c r="H2828" s="1524"/>
      <c r="J2828" s="1637"/>
      <c r="K2828" s="1637"/>
    </row>
    <row r="2829" spans="1:11" ht="15.75" thickBot="1" x14ac:dyDescent="0.3">
      <c r="A2829" s="1527"/>
      <c r="B2829" s="1555"/>
      <c r="C2829" s="1556"/>
      <c r="D2829" s="956"/>
      <c r="E2829" s="1556"/>
      <c r="F2829" s="1557"/>
      <c r="G2829" s="1558"/>
      <c r="H2829" s="1546">
        <f>SUM(G2823:G2829)</f>
        <v>2720</v>
      </c>
      <c r="J2829" s="1637"/>
      <c r="K2829" s="1637"/>
    </row>
    <row r="2830" spans="1:11" ht="15.75" thickBot="1" x14ac:dyDescent="0.3">
      <c r="A2830" s="1527"/>
      <c r="B2830" s="1527"/>
      <c r="C2830" s="1527"/>
      <c r="D2830" s="529"/>
      <c r="F2830" s="1528"/>
      <c r="G2830" s="1524"/>
      <c r="H2830" s="1524"/>
      <c r="J2830" s="1637"/>
      <c r="K2830" s="1637"/>
    </row>
    <row r="2831" spans="1:11" ht="15.75" thickBot="1" x14ac:dyDescent="0.3">
      <c r="A2831" s="1647" t="s">
        <v>6744</v>
      </c>
      <c r="B2831" s="1352"/>
      <c r="C2831" s="1352"/>
      <c r="D2831" s="1671"/>
      <c r="E2831" s="1672"/>
      <c r="F2831" s="1353"/>
      <c r="G2831" s="1527" t="s">
        <v>5415</v>
      </c>
      <c r="H2831" s="502">
        <f>ROUND(SUM(H2785:H2830),0)</f>
        <v>94783</v>
      </c>
      <c r="J2831" s="1673">
        <f>+B2781</f>
        <v>10.61</v>
      </c>
      <c r="K2831" s="1674">
        <f>+H2831</f>
        <v>94783</v>
      </c>
    </row>
    <row r="2832" spans="1:11" x14ac:dyDescent="0.25">
      <c r="A2832" s="1675"/>
      <c r="B2832" s="1676"/>
      <c r="C2832" s="1676"/>
      <c r="D2832" s="1677"/>
      <c r="E2832" s="1678"/>
      <c r="F2832" s="1679"/>
      <c r="G2832" s="1680"/>
      <c r="H2832" s="1680"/>
    </row>
    <row r="2833" spans="1:11" ht="18.75" x14ac:dyDescent="0.25">
      <c r="A2833" s="1523"/>
      <c r="B2833" s="1655"/>
      <c r="C2833" s="1655"/>
      <c r="D2833" s="950"/>
      <c r="E2833" s="1655"/>
      <c r="F2833" s="1655"/>
      <c r="G2833" s="1655"/>
      <c r="H2833" s="8"/>
    </row>
    <row r="2834" spans="1:11" x14ac:dyDescent="0.25">
      <c r="A2834" s="1523"/>
      <c r="B2834" s="8"/>
      <c r="C2834" s="8"/>
      <c r="D2834" s="529"/>
      <c r="E2834" s="8"/>
      <c r="F2834" s="1523"/>
      <c r="G2834" s="1524"/>
      <c r="H2834" s="8"/>
    </row>
    <row r="2835" spans="1:11" x14ac:dyDescent="0.25">
      <c r="A2835" s="1665" t="s">
        <v>3</v>
      </c>
      <c r="B2835" s="1666">
        <f>+VLOOKUP(C2835,ListaAPUs!$B:$E,4,FALSE)</f>
        <v>10.62</v>
      </c>
      <c r="C2835" s="2441" t="str">
        <f>+ListaAPUs!B262</f>
        <v>Toma trifásica. Incluye tomacorriente, tubería,cableado y accesorios de montaje.</v>
      </c>
      <c r="D2835" s="2441"/>
      <c r="E2835" s="2441"/>
      <c r="F2835" s="1665" t="s">
        <v>867</v>
      </c>
      <c r="G2835" s="1390" t="str">
        <f>+VLOOKUP(C2835,ListaAPUs!$B:$E,2,FALSE)</f>
        <v>un</v>
      </c>
      <c r="H2835" s="1524"/>
    </row>
    <row r="2836" spans="1:11" x14ac:dyDescent="0.25">
      <c r="A2836" s="1528"/>
      <c r="B2836" s="1527"/>
      <c r="C2836" s="1527"/>
      <c r="D2836" s="529"/>
      <c r="E2836" s="1527"/>
      <c r="F2836" s="1528"/>
      <c r="G2836" s="1524"/>
      <c r="H2836" s="1524"/>
    </row>
    <row r="2837" spans="1:11" x14ac:dyDescent="0.25">
      <c r="A2837" s="1528"/>
      <c r="B2837" s="1527"/>
      <c r="C2837" s="1527"/>
      <c r="D2837" s="529"/>
      <c r="E2837" s="1527"/>
      <c r="F2837" s="1528"/>
      <c r="G2837" s="1529"/>
      <c r="H2837" s="1524"/>
    </row>
    <row r="2838" spans="1:11" ht="15.75" thickBot="1" x14ac:dyDescent="0.3">
      <c r="A2838" s="1528"/>
      <c r="B2838" s="1527"/>
      <c r="C2838" s="1527"/>
      <c r="D2838" s="529"/>
      <c r="E2838" s="1527"/>
      <c r="F2838" s="1528"/>
      <c r="G2838" s="1524"/>
      <c r="H2838" s="1524"/>
    </row>
    <row r="2839" spans="1:11" ht="15.75" thickBot="1" x14ac:dyDescent="0.3">
      <c r="A2839" s="1368"/>
      <c r="B2839" s="1369" t="s">
        <v>5403</v>
      </c>
      <c r="C2839" s="1363" t="s">
        <v>867</v>
      </c>
      <c r="D2839" s="1120" t="s">
        <v>6</v>
      </c>
      <c r="E2839" s="1363" t="s">
        <v>9417</v>
      </c>
      <c r="F2839" s="1363" t="s">
        <v>5405</v>
      </c>
      <c r="G2839" s="1370" t="s">
        <v>7179</v>
      </c>
      <c r="H2839" s="1371"/>
    </row>
    <row r="2840" spans="1:11" ht="38.25" x14ac:dyDescent="0.25">
      <c r="A2840" s="1528"/>
      <c r="B2840" s="1667" t="s">
        <v>9530</v>
      </c>
      <c r="C2840" s="1537" t="s">
        <v>5424</v>
      </c>
      <c r="D2840" s="212">
        <v>1</v>
      </c>
      <c r="E2840" s="1535">
        <v>47600</v>
      </c>
      <c r="F2840" s="1563"/>
      <c r="G2840" s="1572">
        <f t="shared" ref="G2840:G2845" si="20">D2840*E2840</f>
        <v>47600</v>
      </c>
      <c r="H2840" s="1524"/>
    </row>
    <row r="2841" spans="1:11" x14ac:dyDescent="0.25">
      <c r="A2841" s="1528"/>
      <c r="B2841" s="1667" t="s">
        <v>9526</v>
      </c>
      <c r="C2841" s="1537" t="s">
        <v>5424</v>
      </c>
      <c r="D2841" s="212">
        <v>0.33</v>
      </c>
      <c r="E2841" s="1535">
        <v>11626</v>
      </c>
      <c r="F2841" s="1563"/>
      <c r="G2841" s="1572">
        <f t="shared" si="20"/>
        <v>3836.5800000000004</v>
      </c>
      <c r="H2841" s="1524"/>
    </row>
    <row r="2842" spans="1:11" x14ac:dyDescent="0.25">
      <c r="A2842" s="1528"/>
      <c r="B2842" s="269" t="s">
        <v>9527</v>
      </c>
      <c r="C2842" s="1537" t="s">
        <v>5734</v>
      </c>
      <c r="D2842" s="212">
        <v>3</v>
      </c>
      <c r="E2842" s="1535">
        <v>3120</v>
      </c>
      <c r="F2842" s="1563"/>
      <c r="G2842" s="1572">
        <f t="shared" si="20"/>
        <v>9360</v>
      </c>
      <c r="H2842" s="1524"/>
    </row>
    <row r="2843" spans="1:11" x14ac:dyDescent="0.25">
      <c r="A2843" s="1528"/>
      <c r="B2843" s="268" t="s">
        <v>9531</v>
      </c>
      <c r="C2843" s="1537" t="s">
        <v>5424</v>
      </c>
      <c r="D2843" s="211">
        <v>1</v>
      </c>
      <c r="E2843" s="1535">
        <v>1260</v>
      </c>
      <c r="F2843" s="1551"/>
      <c r="G2843" s="1572">
        <f t="shared" si="20"/>
        <v>1260</v>
      </c>
      <c r="H2843" s="1524"/>
    </row>
    <row r="2844" spans="1:11" ht="38.25" x14ac:dyDescent="0.25">
      <c r="A2844" s="1528"/>
      <c r="B2844" s="1346" t="s">
        <v>9532</v>
      </c>
      <c r="C2844" s="1537" t="s">
        <v>5424</v>
      </c>
      <c r="D2844" s="211">
        <v>1</v>
      </c>
      <c r="E2844" s="1535">
        <v>2200</v>
      </c>
      <c r="F2844" s="1551"/>
      <c r="G2844" s="1572">
        <f t="shared" si="20"/>
        <v>2200</v>
      </c>
      <c r="H2844" s="1524"/>
    </row>
    <row r="2845" spans="1:11" x14ac:dyDescent="0.25">
      <c r="A2845" s="1528"/>
      <c r="B2845" s="1540" t="s">
        <v>9535</v>
      </c>
      <c r="C2845" s="1537" t="s">
        <v>5424</v>
      </c>
      <c r="D2845" s="211">
        <v>1</v>
      </c>
      <c r="E2845" s="1538">
        <v>12250</v>
      </c>
      <c r="F2845" s="1537"/>
      <c r="G2845" s="1572">
        <f t="shared" si="20"/>
        <v>12250</v>
      </c>
      <c r="H2845" s="1524"/>
    </row>
    <row r="2846" spans="1:11" x14ac:dyDescent="0.25">
      <c r="A2846" s="1528"/>
      <c r="B2846" s="1667"/>
      <c r="C2846" s="1537"/>
      <c r="D2846" s="212"/>
      <c r="E2846" s="816"/>
      <c r="F2846" s="1563"/>
      <c r="G2846" s="814"/>
      <c r="H2846" s="1524"/>
    </row>
    <row r="2847" spans="1:11" x14ac:dyDescent="0.25">
      <c r="A2847" s="1528"/>
      <c r="B2847" s="1667"/>
      <c r="C2847" s="1537"/>
      <c r="D2847" s="212"/>
      <c r="E2847" s="816"/>
      <c r="F2847" s="1563"/>
      <c r="G2847" s="814"/>
      <c r="H2847" s="1524"/>
      <c r="J2847" s="1637"/>
      <c r="K2847" s="1637"/>
    </row>
    <row r="2848" spans="1:11" x14ac:dyDescent="0.25">
      <c r="A2848" s="1528"/>
      <c r="B2848" s="1667"/>
      <c r="C2848" s="1537"/>
      <c r="D2848" s="212"/>
      <c r="E2848" s="816"/>
      <c r="F2848" s="1563"/>
      <c r="G2848" s="814"/>
      <c r="H2848" s="1524"/>
      <c r="J2848" s="1637"/>
      <c r="K2848" s="1637"/>
    </row>
    <row r="2849" spans="1:11" x14ac:dyDescent="0.25">
      <c r="A2849" s="1528"/>
      <c r="B2849" s="1667"/>
      <c r="C2849" s="1537"/>
      <c r="D2849" s="212"/>
      <c r="E2849" s="816"/>
      <c r="F2849" s="1563"/>
      <c r="G2849" s="814"/>
      <c r="H2849" s="1524"/>
      <c r="J2849" s="1637"/>
      <c r="K2849" s="1637"/>
    </row>
    <row r="2850" spans="1:11" x14ac:dyDescent="0.25">
      <c r="A2850" s="1528"/>
      <c r="B2850" s="1667"/>
      <c r="C2850" s="1537"/>
      <c r="D2850" s="212"/>
      <c r="E2850" s="816"/>
      <c r="F2850" s="1563"/>
      <c r="G2850" s="814"/>
      <c r="H2850" s="1524"/>
      <c r="J2850" s="1637"/>
      <c r="K2850" s="1637"/>
    </row>
    <row r="2851" spans="1:11" x14ac:dyDescent="0.25">
      <c r="A2851" s="1528"/>
      <c r="B2851" s="269"/>
      <c r="C2851" s="1537"/>
      <c r="D2851" s="212"/>
      <c r="E2851" s="816"/>
      <c r="F2851" s="1563"/>
      <c r="G2851" s="814"/>
      <c r="H2851" s="1524"/>
      <c r="J2851" s="1637"/>
      <c r="K2851" s="1637"/>
    </row>
    <row r="2852" spans="1:11" x14ac:dyDescent="0.25">
      <c r="A2852" s="1528"/>
      <c r="B2852" s="268"/>
      <c r="C2852" s="1534"/>
      <c r="D2852" s="211"/>
      <c r="E2852" s="1535" t="s">
        <v>7182</v>
      </c>
      <c r="F2852" s="1551"/>
      <c r="G2852" s="1541" t="s">
        <v>7182</v>
      </c>
      <c r="H2852" s="1524"/>
      <c r="J2852" s="1637"/>
      <c r="K2852" s="1637"/>
    </row>
    <row r="2853" spans="1:11" x14ac:dyDescent="0.25">
      <c r="A2853" s="1528"/>
      <c r="B2853" s="1346"/>
      <c r="C2853" s="1534"/>
      <c r="D2853" s="211"/>
      <c r="E2853" s="1535" t="s">
        <v>7182</v>
      </c>
      <c r="F2853" s="1551"/>
      <c r="G2853" s="1541" t="s">
        <v>7182</v>
      </c>
      <c r="H2853" s="1524"/>
      <c r="J2853" s="1637"/>
      <c r="K2853" s="1637"/>
    </row>
    <row r="2854" spans="1:11" ht="15.75" thickBot="1" x14ac:dyDescent="0.3">
      <c r="A2854" s="1528"/>
      <c r="B2854" s="1540"/>
      <c r="C2854" s="1537"/>
      <c r="D2854" s="952"/>
      <c r="E2854" s="1538" t="s">
        <v>7182</v>
      </c>
      <c r="F2854" s="1537"/>
      <c r="G2854" s="1541" t="s">
        <v>7182</v>
      </c>
      <c r="H2854" s="1524"/>
      <c r="J2854" s="1637"/>
      <c r="K2854" s="1637"/>
    </row>
    <row r="2855" spans="1:11" ht="15.75" thickBot="1" x14ac:dyDescent="0.3">
      <c r="A2855" s="1528"/>
      <c r="B2855" s="1555"/>
      <c r="C2855" s="1557"/>
      <c r="D2855" s="956"/>
      <c r="E2855" s="1556" t="s">
        <v>7182</v>
      </c>
      <c r="F2855" s="1557"/>
      <c r="G2855" s="1558" t="s">
        <v>7182</v>
      </c>
      <c r="H2855" s="1546">
        <f>SUM(G2840:G2855)</f>
        <v>76506.58</v>
      </c>
      <c r="J2855" s="1637"/>
      <c r="K2855" s="1637"/>
    </row>
    <row r="2856" spans="1:11" x14ac:dyDescent="0.25">
      <c r="A2856" s="1528"/>
      <c r="B2856" s="1372"/>
      <c r="C2856" s="1374"/>
      <c r="D2856" s="1373"/>
      <c r="E2856" s="1372" t="s">
        <v>7182</v>
      </c>
      <c r="F2856" s="1374"/>
      <c r="G2856" s="1375" t="s">
        <v>7182</v>
      </c>
      <c r="H2856" s="1550"/>
      <c r="J2856" s="1637"/>
      <c r="K2856" s="1637"/>
    </row>
    <row r="2857" spans="1:11" ht="15.75" thickBot="1" x14ac:dyDescent="0.3">
      <c r="A2857" s="1527"/>
      <c r="B2857" s="188"/>
      <c r="C2857" s="189"/>
      <c r="D2857" s="1668"/>
      <c r="E2857" s="188"/>
      <c r="F2857" s="189"/>
      <c r="G2857" s="1669"/>
      <c r="H2857" s="1550"/>
      <c r="J2857" s="1637"/>
      <c r="K2857" s="1637"/>
    </row>
    <row r="2858" spans="1:11" ht="15.75" thickBot="1" x14ac:dyDescent="0.3">
      <c r="A2858" s="1527"/>
      <c r="B2858" s="1366" t="s">
        <v>9418</v>
      </c>
      <c r="C2858" s="1363" t="s">
        <v>867</v>
      </c>
      <c r="D2858" s="1120" t="s">
        <v>6</v>
      </c>
      <c r="E2858" s="1363" t="s">
        <v>7183</v>
      </c>
      <c r="F2858" s="1363" t="s">
        <v>5405</v>
      </c>
      <c r="G2858" s="1365" t="s">
        <v>7179</v>
      </c>
      <c r="H2858" s="1524"/>
      <c r="J2858" s="1637"/>
      <c r="K2858" s="1637"/>
    </row>
    <row r="2859" spans="1:11" x14ac:dyDescent="0.25">
      <c r="A2859" s="1527"/>
      <c r="B2859" s="1752" t="s">
        <v>5440</v>
      </c>
      <c r="C2859" s="1749" t="s">
        <v>5</v>
      </c>
      <c r="D2859" s="1771">
        <v>1</v>
      </c>
      <c r="E2859" s="1748">
        <v>1488</v>
      </c>
      <c r="F2859" s="1776">
        <v>2</v>
      </c>
      <c r="G2859" s="1783">
        <f t="shared" ref="G2859" si="21">D2859*E2859</f>
        <v>1488</v>
      </c>
      <c r="H2859" s="1524"/>
      <c r="J2859" s="1637"/>
      <c r="K2859" s="1637"/>
    </row>
    <row r="2860" spans="1:11" x14ac:dyDescent="0.25">
      <c r="A2860" s="1527"/>
      <c r="B2860" s="1562"/>
      <c r="C2860" s="1537"/>
      <c r="D2860" s="212"/>
      <c r="E2860" s="1535"/>
      <c r="F2860" s="1537"/>
      <c r="G2860" s="1572"/>
      <c r="H2860" s="1524"/>
      <c r="J2860" s="1637"/>
      <c r="K2860" s="1637"/>
    </row>
    <row r="2861" spans="1:11" x14ac:dyDescent="0.25">
      <c r="A2861" s="1527"/>
      <c r="B2861" s="1540"/>
      <c r="C2861" s="1537"/>
      <c r="D2861" s="1567"/>
      <c r="E2861" s="1535"/>
      <c r="F2861" s="1537"/>
      <c r="G2861" s="1572"/>
      <c r="H2861" s="1524"/>
      <c r="J2861" s="1637"/>
      <c r="K2861" s="1637"/>
    </row>
    <row r="2862" spans="1:11" ht="15.75" thickBot="1" x14ac:dyDescent="0.3">
      <c r="A2862" s="1527"/>
      <c r="B2862" s="1540"/>
      <c r="C2862" s="1537"/>
      <c r="D2862" s="212"/>
      <c r="E2862" s="1535" t="s">
        <v>7182</v>
      </c>
      <c r="F2862" s="1537"/>
      <c r="G2862" s="1572" t="s">
        <v>7182</v>
      </c>
      <c r="H2862" s="1524"/>
      <c r="J2862" s="1637"/>
      <c r="K2862" s="1637"/>
    </row>
    <row r="2863" spans="1:11" ht="15.75" thickBot="1" x14ac:dyDescent="0.3">
      <c r="A2863" s="1527"/>
      <c r="B2863" s="1555"/>
      <c r="C2863" s="1556"/>
      <c r="D2863" s="956"/>
      <c r="E2863" s="1556" t="s">
        <v>7182</v>
      </c>
      <c r="F2863" s="1557"/>
      <c r="G2863" s="1558" t="s">
        <v>7182</v>
      </c>
      <c r="H2863" s="1546">
        <f>SUM(G2859:G2863)</f>
        <v>1488</v>
      </c>
      <c r="J2863" s="1637"/>
      <c r="K2863" s="1637"/>
    </row>
    <row r="2864" spans="1:11" ht="15.75" thickBot="1" x14ac:dyDescent="0.3">
      <c r="A2864" s="1527"/>
      <c r="B2864" s="1376"/>
      <c r="C2864" s="1353"/>
      <c r="D2864" s="1355"/>
      <c r="E2864" s="1352"/>
      <c r="F2864" s="1377"/>
      <c r="G2864" s="1378"/>
      <c r="H2864" s="1524"/>
      <c r="J2864" s="1637"/>
      <c r="K2864" s="1637"/>
    </row>
    <row r="2865" spans="1:11" ht="15.75" thickBot="1" x14ac:dyDescent="0.3">
      <c r="A2865" s="1527"/>
      <c r="B2865" s="1366" t="s">
        <v>5410</v>
      </c>
      <c r="C2865" s="1363" t="s">
        <v>867</v>
      </c>
      <c r="D2865" s="1120" t="s">
        <v>6</v>
      </c>
      <c r="E2865" s="1363" t="s">
        <v>7183</v>
      </c>
      <c r="F2865" s="1363" t="s">
        <v>5405</v>
      </c>
      <c r="G2865" s="1365" t="s">
        <v>7179</v>
      </c>
      <c r="H2865" s="1524"/>
      <c r="J2865" s="1637"/>
      <c r="K2865" s="1637"/>
    </row>
    <row r="2866" spans="1:11" x14ac:dyDescent="0.25">
      <c r="A2866" s="1527"/>
      <c r="B2866" s="1564"/>
      <c r="C2866" s="1534"/>
      <c r="D2866" s="211"/>
      <c r="E2866" s="1535" t="s">
        <v>7182</v>
      </c>
      <c r="F2866" s="1534"/>
      <c r="G2866" s="1572" t="s">
        <v>7182</v>
      </c>
      <c r="H2866" s="1524"/>
      <c r="J2866" s="1637"/>
      <c r="K2866" s="1637"/>
    </row>
    <row r="2867" spans="1:11" x14ac:dyDescent="0.25">
      <c r="A2867" s="1527"/>
      <c r="B2867" s="1540"/>
      <c r="C2867" s="1537"/>
      <c r="D2867" s="212"/>
      <c r="E2867" s="1535" t="s">
        <v>7182</v>
      </c>
      <c r="F2867" s="1537"/>
      <c r="G2867" s="1572" t="s">
        <v>7182</v>
      </c>
      <c r="H2867" s="1524"/>
      <c r="J2867" s="1637"/>
      <c r="K2867" s="1637"/>
    </row>
    <row r="2868" spans="1:11" x14ac:dyDescent="0.25">
      <c r="A2868" s="1527"/>
      <c r="B2868" s="1540"/>
      <c r="C2868" s="1537"/>
      <c r="D2868" s="212"/>
      <c r="E2868" s="1535" t="s">
        <v>7182</v>
      </c>
      <c r="F2868" s="1537"/>
      <c r="G2868" s="1572" t="s">
        <v>7182</v>
      </c>
      <c r="H2868" s="1524"/>
      <c r="J2868" s="1637"/>
      <c r="K2868" s="1637"/>
    </row>
    <row r="2869" spans="1:11" ht="15.75" thickBot="1" x14ac:dyDescent="0.3">
      <c r="A2869" s="1527"/>
      <c r="B2869" s="1540"/>
      <c r="C2869" s="1537"/>
      <c r="D2869" s="212"/>
      <c r="E2869" s="1535" t="s">
        <v>7182</v>
      </c>
      <c r="F2869" s="1537"/>
      <c r="G2869" s="1572" t="s">
        <v>7182</v>
      </c>
      <c r="H2869" s="1524"/>
      <c r="J2869" s="1637"/>
      <c r="K2869" s="1637"/>
    </row>
    <row r="2870" spans="1:11" ht="15.75" thickBot="1" x14ac:dyDescent="0.3">
      <c r="A2870" s="1527"/>
      <c r="B2870" s="1555"/>
      <c r="C2870" s="1556"/>
      <c r="D2870" s="956"/>
      <c r="E2870" s="1556" t="s">
        <v>7182</v>
      </c>
      <c r="F2870" s="1557"/>
      <c r="G2870" s="1558" t="s">
        <v>7182</v>
      </c>
      <c r="H2870" s="1546">
        <f>SUM(G2866:G2870)</f>
        <v>0</v>
      </c>
      <c r="J2870" s="1637"/>
      <c r="K2870" s="1637"/>
    </row>
    <row r="2871" spans="1:11" ht="15.75" thickBot="1" x14ac:dyDescent="0.3">
      <c r="A2871" s="1527"/>
      <c r="B2871" s="1547"/>
      <c r="C2871" s="1547"/>
      <c r="D2871" s="954"/>
      <c r="E2871" s="1547"/>
      <c r="F2871" s="1553"/>
      <c r="G2871" s="1554"/>
      <c r="H2871" s="1550"/>
      <c r="J2871" s="1637"/>
      <c r="K2871" s="1637"/>
    </row>
    <row r="2872" spans="1:11" ht="15.75" thickBot="1" x14ac:dyDescent="0.3">
      <c r="A2872" s="1559"/>
      <c r="B2872" s="1369" t="s">
        <v>5412</v>
      </c>
      <c r="C2872" s="1363" t="s">
        <v>5420</v>
      </c>
      <c r="D2872" s="1120" t="s">
        <v>5421</v>
      </c>
      <c r="E2872" s="1363" t="s">
        <v>7187</v>
      </c>
      <c r="F2872" s="1363" t="s">
        <v>5405</v>
      </c>
      <c r="G2872" s="1370" t="s">
        <v>7179</v>
      </c>
      <c r="H2872" s="1371"/>
      <c r="J2872" s="1637"/>
      <c r="K2872" s="1637"/>
    </row>
    <row r="2873" spans="1:11" x14ac:dyDescent="0.25">
      <c r="A2873" s="1527"/>
      <c r="B2873" s="1560" t="s">
        <v>9451</v>
      </c>
      <c r="C2873" s="1569">
        <v>170000</v>
      </c>
      <c r="D2873" s="1569">
        <v>102000</v>
      </c>
      <c r="E2873" s="1569">
        <f>C2873+D2873</f>
        <v>272000</v>
      </c>
      <c r="F2873" s="790">
        <v>0.01</v>
      </c>
      <c r="G2873" s="818">
        <f>E2873*F2873</f>
        <v>2720</v>
      </c>
      <c r="H2873" s="1524"/>
      <c r="J2873" s="1637"/>
      <c r="K2873" s="1637"/>
    </row>
    <row r="2874" spans="1:11" x14ac:dyDescent="0.25">
      <c r="A2874" s="1527"/>
      <c r="B2874" s="1560"/>
      <c r="C2874" s="1569"/>
      <c r="D2874" s="1569"/>
      <c r="E2874" s="1569"/>
      <c r="F2874" s="819"/>
      <c r="G2874" s="818"/>
      <c r="H2874" s="1524"/>
      <c r="J2874" s="1637"/>
      <c r="K2874" s="1637"/>
    </row>
    <row r="2875" spans="1:11" x14ac:dyDescent="0.25">
      <c r="A2875" s="1527"/>
      <c r="B2875" s="1561"/>
      <c r="C2875" s="1569"/>
      <c r="D2875" s="1569"/>
      <c r="E2875" s="1569"/>
      <c r="F2875" s="817"/>
      <c r="G2875" s="818"/>
      <c r="H2875" s="1524"/>
      <c r="J2875" s="1637"/>
      <c r="K2875" s="1637"/>
    </row>
    <row r="2876" spans="1:11" x14ac:dyDescent="0.25">
      <c r="A2876" s="1527"/>
      <c r="B2876" s="1540"/>
      <c r="C2876" s="1569"/>
      <c r="D2876" s="1569"/>
      <c r="E2876" s="1569"/>
      <c r="F2876" s="817"/>
      <c r="G2876" s="818"/>
      <c r="H2876" s="1524"/>
      <c r="J2876" s="1637"/>
      <c r="K2876" s="1637"/>
    </row>
    <row r="2877" spans="1:11" x14ac:dyDescent="0.25">
      <c r="A2877" s="1527"/>
      <c r="B2877" s="1540"/>
      <c r="C2877" s="1538" t="s">
        <v>7182</v>
      </c>
      <c r="D2877" s="952" t="s">
        <v>7182</v>
      </c>
      <c r="E2877" s="1538" t="s">
        <v>7182</v>
      </c>
      <c r="F2877" s="817"/>
      <c r="G2877" s="818" t="str">
        <f>IF(B2877="","",E2877/F2877)</f>
        <v/>
      </c>
      <c r="H2877" s="1524"/>
      <c r="J2877" s="1637"/>
      <c r="K2877" s="1637"/>
    </row>
    <row r="2878" spans="1:11" ht="15.75" thickBot="1" x14ac:dyDescent="0.3">
      <c r="A2878" s="1527"/>
      <c r="B2878" s="1540"/>
      <c r="C2878" s="1538" t="s">
        <v>7182</v>
      </c>
      <c r="D2878" s="952" t="s">
        <v>7182</v>
      </c>
      <c r="E2878" s="1538" t="s">
        <v>7182</v>
      </c>
      <c r="F2878" s="1537"/>
      <c r="G2878" s="818" t="str">
        <f>IF(B2878="","",E2878/F2878)</f>
        <v/>
      </c>
      <c r="H2878" s="1524"/>
      <c r="J2878" s="1637"/>
      <c r="K2878" s="1637"/>
    </row>
    <row r="2879" spans="1:11" ht="15.75" thickBot="1" x14ac:dyDescent="0.3">
      <c r="A2879" s="1527"/>
      <c r="B2879" s="1555"/>
      <c r="C2879" s="1556"/>
      <c r="D2879" s="956"/>
      <c r="E2879" s="1556"/>
      <c r="F2879" s="1557"/>
      <c r="G2879" s="1558"/>
      <c r="H2879" s="1546">
        <f>SUM(G2873:G2879)</f>
        <v>2720</v>
      </c>
    </row>
    <row r="2880" spans="1:11" ht="15.75" thickBot="1" x14ac:dyDescent="0.3">
      <c r="A2880" s="1527"/>
      <c r="B2880" s="1527"/>
      <c r="C2880" s="1527"/>
      <c r="D2880" s="529"/>
      <c r="F2880" s="1528"/>
      <c r="G2880" s="1524"/>
      <c r="H2880" s="1524"/>
    </row>
    <row r="2881" spans="1:11" ht="15.75" thickBot="1" x14ac:dyDescent="0.3">
      <c r="A2881" s="1647" t="s">
        <v>6744</v>
      </c>
      <c r="B2881" s="1352"/>
      <c r="C2881" s="1352"/>
      <c r="D2881" s="1671"/>
      <c r="E2881" s="1672"/>
      <c r="F2881" s="1353"/>
      <c r="G2881" s="1527" t="s">
        <v>5415</v>
      </c>
      <c r="H2881" s="502">
        <f>ROUND(SUM(H2839:H2880),0)</f>
        <v>80715</v>
      </c>
      <c r="J2881" s="1673">
        <f>+B2835</f>
        <v>10.62</v>
      </c>
      <c r="K2881" s="1674">
        <f>+H2881</f>
        <v>80715</v>
      </c>
    </row>
    <row r="2882" spans="1:11" x14ac:dyDescent="0.25">
      <c r="A2882" s="1675"/>
      <c r="B2882" s="1676"/>
      <c r="C2882" s="1676"/>
      <c r="D2882" s="1677"/>
      <c r="E2882" s="1678"/>
      <c r="F2882" s="1679"/>
      <c r="G2882" s="1680"/>
      <c r="H2882" s="1680"/>
    </row>
    <row r="2883" spans="1:11" ht="18.75" x14ac:dyDescent="0.25">
      <c r="A2883" s="1523"/>
      <c r="B2883" s="1655"/>
      <c r="C2883" s="1655"/>
      <c r="D2883" s="950"/>
      <c r="E2883" s="1655"/>
      <c r="F2883" s="1655"/>
      <c r="G2883" s="1655"/>
      <c r="H2883" s="8"/>
    </row>
    <row r="2884" spans="1:11" x14ac:dyDescent="0.25">
      <c r="A2884" s="1523"/>
      <c r="B2884" s="8"/>
      <c r="C2884" s="8"/>
      <c r="D2884" s="529"/>
      <c r="E2884" s="8"/>
      <c r="F2884" s="1523"/>
      <c r="G2884" s="1524"/>
      <c r="H2884" s="8"/>
    </row>
    <row r="2885" spans="1:11" x14ac:dyDescent="0.25">
      <c r="A2885" s="1665" t="s">
        <v>3</v>
      </c>
      <c r="B2885" s="1666">
        <f>+VLOOKUP(C2885,ListaAPUs!$B:$E,4,FALSE)</f>
        <v>10.63</v>
      </c>
      <c r="C2885" s="2441" t="str">
        <f>+ListaAPUs!B263</f>
        <v>DUCTERIA METALICA A LA VISTA EN FLEXICONDUIT DE 1/2"</v>
      </c>
      <c r="D2885" s="2441"/>
      <c r="E2885" s="2441"/>
      <c r="F2885" s="1665" t="s">
        <v>867</v>
      </c>
      <c r="G2885" s="1390" t="str">
        <f>+VLOOKUP(C2885,ListaAPUs!$B:$E,2,FALSE)</f>
        <v>m</v>
      </c>
      <c r="H2885" s="1524"/>
    </row>
    <row r="2886" spans="1:11" x14ac:dyDescent="0.25">
      <c r="A2886" s="1528"/>
      <c r="B2886" s="1527"/>
      <c r="C2886" s="1527"/>
      <c r="D2886" s="529"/>
      <c r="E2886" s="1527"/>
      <c r="F2886" s="1528"/>
      <c r="G2886" s="1524"/>
      <c r="H2886" s="1524"/>
    </row>
    <row r="2887" spans="1:11" x14ac:dyDescent="0.25">
      <c r="A2887" s="1528"/>
      <c r="B2887" s="1527"/>
      <c r="C2887" s="1527"/>
      <c r="D2887" s="529"/>
      <c r="E2887" s="1527"/>
      <c r="F2887" s="1528"/>
      <c r="G2887" s="1529"/>
      <c r="H2887" s="1524"/>
    </row>
    <row r="2888" spans="1:11" ht="15.75" thickBot="1" x14ac:dyDescent="0.3">
      <c r="A2888" s="1528"/>
      <c r="B2888" s="1527"/>
      <c r="C2888" s="1527"/>
      <c r="D2888" s="529"/>
      <c r="E2888" s="1527"/>
      <c r="F2888" s="1528"/>
      <c r="G2888" s="1524"/>
      <c r="H2888" s="1524"/>
    </row>
    <row r="2889" spans="1:11" ht="15.75" thickBot="1" x14ac:dyDescent="0.3">
      <c r="A2889" s="1368"/>
      <c r="B2889" s="1369" t="s">
        <v>5403</v>
      </c>
      <c r="C2889" s="1363" t="s">
        <v>867</v>
      </c>
      <c r="D2889" s="1120" t="s">
        <v>6</v>
      </c>
      <c r="E2889" s="1363" t="s">
        <v>9417</v>
      </c>
      <c r="F2889" s="1363" t="s">
        <v>5405</v>
      </c>
      <c r="G2889" s="1370" t="s">
        <v>7179</v>
      </c>
      <c r="H2889" s="1371"/>
    </row>
    <row r="2890" spans="1:11" ht="25.5" x14ac:dyDescent="0.25">
      <c r="A2890" s="1528"/>
      <c r="B2890" s="1822" t="s">
        <v>9536</v>
      </c>
      <c r="C2890" s="1749" t="s">
        <v>5424</v>
      </c>
      <c r="D2890" s="1773">
        <v>0.2</v>
      </c>
      <c r="E2890" s="1748">
        <v>3000</v>
      </c>
      <c r="F2890" s="1769"/>
      <c r="G2890" s="1783">
        <f t="shared" ref="G2890:G2892" si="22">D2890*E2890</f>
        <v>600</v>
      </c>
      <c r="H2890" s="1524"/>
    </row>
    <row r="2891" spans="1:11" x14ac:dyDescent="0.25">
      <c r="A2891" s="1528"/>
      <c r="B2891" s="1822" t="s">
        <v>9537</v>
      </c>
      <c r="C2891" s="1749" t="s">
        <v>5424</v>
      </c>
      <c r="D2891" s="1773">
        <v>0.2</v>
      </c>
      <c r="E2891" s="1748">
        <v>7300</v>
      </c>
      <c r="F2891" s="1769"/>
      <c r="G2891" s="1783">
        <f t="shared" si="22"/>
        <v>1460</v>
      </c>
      <c r="H2891" s="1524"/>
    </row>
    <row r="2892" spans="1:11" x14ac:dyDescent="0.25">
      <c r="A2892" s="1528"/>
      <c r="B2892" s="1775" t="s">
        <v>9538</v>
      </c>
      <c r="C2892" s="1749" t="s">
        <v>5432</v>
      </c>
      <c r="D2892" s="1773">
        <v>1</v>
      </c>
      <c r="E2892" s="1748">
        <v>16500</v>
      </c>
      <c r="F2892" s="1769"/>
      <c r="G2892" s="1783">
        <f t="shared" si="22"/>
        <v>16500</v>
      </c>
      <c r="H2892" s="1524"/>
    </row>
    <row r="2893" spans="1:11" x14ac:dyDescent="0.25">
      <c r="A2893" s="1528"/>
      <c r="B2893" s="1667"/>
      <c r="C2893" s="1537"/>
      <c r="D2893" s="1563"/>
      <c r="E2893" s="1681"/>
      <c r="F2893" s="1563"/>
      <c r="G2893" s="814"/>
      <c r="H2893" s="1524"/>
    </row>
    <row r="2894" spans="1:11" x14ac:dyDescent="0.25">
      <c r="A2894" s="1528"/>
      <c r="B2894" s="1667"/>
      <c r="C2894" s="1537"/>
      <c r="D2894" s="212"/>
      <c r="E2894" s="1571"/>
      <c r="F2894" s="1563"/>
      <c r="G2894" s="814"/>
      <c r="H2894" s="1524"/>
    </row>
    <row r="2895" spans="1:11" x14ac:dyDescent="0.25">
      <c r="A2895" s="1528"/>
      <c r="B2895" s="1667"/>
      <c r="C2895" s="1537"/>
      <c r="D2895" s="212"/>
      <c r="E2895" s="1571"/>
      <c r="F2895" s="1563"/>
      <c r="G2895" s="814"/>
      <c r="H2895" s="1524"/>
      <c r="J2895" s="1637"/>
      <c r="K2895" s="1637"/>
    </row>
    <row r="2896" spans="1:11" x14ac:dyDescent="0.25">
      <c r="A2896" s="1528"/>
      <c r="B2896" s="1667"/>
      <c r="C2896" s="1537"/>
      <c r="D2896" s="212"/>
      <c r="E2896" s="1571"/>
      <c r="F2896" s="1563"/>
      <c r="G2896" s="814"/>
      <c r="H2896" s="1524"/>
      <c r="J2896" s="1637"/>
      <c r="K2896" s="1637"/>
    </row>
    <row r="2897" spans="1:11" x14ac:dyDescent="0.25">
      <c r="A2897" s="1528"/>
      <c r="B2897" s="1667"/>
      <c r="C2897" s="1537"/>
      <c r="D2897" s="212"/>
      <c r="E2897" s="816"/>
      <c r="F2897" s="1563"/>
      <c r="G2897" s="814"/>
      <c r="H2897" s="1524"/>
      <c r="J2897" s="1637"/>
      <c r="K2897" s="1637"/>
    </row>
    <row r="2898" spans="1:11" x14ac:dyDescent="0.25">
      <c r="A2898" s="1528"/>
      <c r="B2898" s="1667"/>
      <c r="C2898" s="1537"/>
      <c r="D2898" s="212"/>
      <c r="E2898" s="816"/>
      <c r="F2898" s="1563"/>
      <c r="G2898" s="814"/>
      <c r="H2898" s="1524"/>
      <c r="J2898" s="1637"/>
      <c r="K2898" s="1637"/>
    </row>
    <row r="2899" spans="1:11" x14ac:dyDescent="0.25">
      <c r="A2899" s="1528"/>
      <c r="B2899" s="1667"/>
      <c r="C2899" s="1537"/>
      <c r="D2899" s="212"/>
      <c r="E2899" s="816"/>
      <c r="F2899" s="1563"/>
      <c r="G2899" s="814"/>
      <c r="H2899" s="1524"/>
      <c r="J2899" s="1637"/>
      <c r="K2899" s="1637"/>
    </row>
    <row r="2900" spans="1:11" x14ac:dyDescent="0.25">
      <c r="A2900" s="1528"/>
      <c r="B2900" s="1667"/>
      <c r="C2900" s="1537"/>
      <c r="D2900" s="212"/>
      <c r="E2900" s="816"/>
      <c r="F2900" s="1563"/>
      <c r="G2900" s="814"/>
      <c r="H2900" s="1524"/>
      <c r="J2900" s="1637"/>
      <c r="K2900" s="1637"/>
    </row>
    <row r="2901" spans="1:11" x14ac:dyDescent="0.25">
      <c r="A2901" s="1528"/>
      <c r="B2901" s="269"/>
      <c r="C2901" s="1537"/>
      <c r="D2901" s="212"/>
      <c r="E2901" s="816"/>
      <c r="F2901" s="1563"/>
      <c r="G2901" s="814"/>
      <c r="H2901" s="1524"/>
      <c r="J2901" s="1637"/>
      <c r="K2901" s="1637"/>
    </row>
    <row r="2902" spans="1:11" x14ac:dyDescent="0.25">
      <c r="A2902" s="1528"/>
      <c r="B2902" s="268"/>
      <c r="C2902" s="1534"/>
      <c r="D2902" s="211"/>
      <c r="E2902" s="1535" t="s">
        <v>7182</v>
      </c>
      <c r="F2902" s="1551"/>
      <c r="G2902" s="1541" t="s">
        <v>7182</v>
      </c>
      <c r="H2902" s="1524"/>
      <c r="J2902" s="1637"/>
      <c r="K2902" s="1637"/>
    </row>
    <row r="2903" spans="1:11" x14ac:dyDescent="0.25">
      <c r="A2903" s="1528"/>
      <c r="B2903" s="1346"/>
      <c r="C2903" s="1534"/>
      <c r="D2903" s="211"/>
      <c r="E2903" s="1535" t="s">
        <v>7182</v>
      </c>
      <c r="F2903" s="1551"/>
      <c r="G2903" s="1541" t="s">
        <v>7182</v>
      </c>
      <c r="H2903" s="1524"/>
      <c r="J2903" s="1637"/>
      <c r="K2903" s="1637"/>
    </row>
    <row r="2904" spans="1:11" ht="15.75" thickBot="1" x14ac:dyDescent="0.3">
      <c r="A2904" s="1528"/>
      <c r="B2904" s="1540"/>
      <c r="C2904" s="1537"/>
      <c r="D2904" s="952"/>
      <c r="E2904" s="1538" t="s">
        <v>7182</v>
      </c>
      <c r="F2904" s="1537"/>
      <c r="G2904" s="1541" t="s">
        <v>7182</v>
      </c>
      <c r="H2904" s="1524"/>
      <c r="J2904" s="1637"/>
      <c r="K2904" s="1637"/>
    </row>
    <row r="2905" spans="1:11" ht="15.75" thickBot="1" x14ac:dyDescent="0.3">
      <c r="A2905" s="1528"/>
      <c r="B2905" s="1555"/>
      <c r="C2905" s="1557"/>
      <c r="D2905" s="956"/>
      <c r="E2905" s="1556" t="s">
        <v>7182</v>
      </c>
      <c r="F2905" s="1557"/>
      <c r="G2905" s="1558" t="s">
        <v>7182</v>
      </c>
      <c r="H2905" s="1546">
        <f>SUM(G2890:G2905)</f>
        <v>18560</v>
      </c>
      <c r="J2905" s="1637"/>
      <c r="K2905" s="1637"/>
    </row>
    <row r="2906" spans="1:11" x14ac:dyDescent="0.25">
      <c r="A2906" s="1528"/>
      <c r="B2906" s="1372"/>
      <c r="C2906" s="1374"/>
      <c r="D2906" s="1373"/>
      <c r="E2906" s="1372" t="s">
        <v>7182</v>
      </c>
      <c r="F2906" s="1374"/>
      <c r="G2906" s="1375" t="s">
        <v>7182</v>
      </c>
      <c r="H2906" s="1550"/>
      <c r="J2906" s="1637"/>
      <c r="K2906" s="1637"/>
    </row>
    <row r="2907" spans="1:11" ht="15.75" thickBot="1" x14ac:dyDescent="0.3">
      <c r="A2907" s="1527"/>
      <c r="B2907" s="188"/>
      <c r="C2907" s="189"/>
      <c r="D2907" s="1668"/>
      <c r="E2907" s="188"/>
      <c r="F2907" s="189"/>
      <c r="G2907" s="1669"/>
      <c r="H2907" s="1550"/>
      <c r="J2907" s="1637"/>
      <c r="K2907" s="1637"/>
    </row>
    <row r="2908" spans="1:11" ht="15.75" thickBot="1" x14ac:dyDescent="0.3">
      <c r="A2908" s="1527"/>
      <c r="B2908" s="1366" t="s">
        <v>9418</v>
      </c>
      <c r="C2908" s="1363" t="s">
        <v>867</v>
      </c>
      <c r="D2908" s="1120" t="s">
        <v>6</v>
      </c>
      <c r="E2908" s="1363" t="s">
        <v>7183</v>
      </c>
      <c r="F2908" s="1363" t="s">
        <v>5405</v>
      </c>
      <c r="G2908" s="1365" t="s">
        <v>7179</v>
      </c>
      <c r="H2908" s="1524"/>
      <c r="J2908" s="1637"/>
      <c r="K2908" s="1637"/>
    </row>
    <row r="2909" spans="1:11" x14ac:dyDescent="0.25">
      <c r="A2909" s="1527"/>
      <c r="B2909" s="1752" t="s">
        <v>5440</v>
      </c>
      <c r="C2909" s="1749" t="s">
        <v>5</v>
      </c>
      <c r="D2909" s="1771">
        <v>1</v>
      </c>
      <c r="E2909" s="1748">
        <v>1488</v>
      </c>
      <c r="F2909" s="1776">
        <v>2</v>
      </c>
      <c r="G2909" s="1783">
        <f>D2909*E2909*F2909</f>
        <v>2976</v>
      </c>
      <c r="H2909" s="1524"/>
      <c r="J2909" s="1637"/>
      <c r="K2909" s="1637"/>
    </row>
    <row r="2910" spans="1:11" x14ac:dyDescent="0.25">
      <c r="A2910" s="1527"/>
      <c r="B2910" s="1752"/>
      <c r="C2910" s="1749"/>
      <c r="D2910" s="1773"/>
      <c r="E2910" s="1748" t="s">
        <v>7182</v>
      </c>
      <c r="F2910" s="1749"/>
      <c r="G2910" s="1783" t="s">
        <v>7182</v>
      </c>
      <c r="H2910" s="1524"/>
      <c r="J2910" s="1637"/>
      <c r="K2910" s="1637"/>
    </row>
    <row r="2911" spans="1:11" ht="15.75" thickBot="1" x14ac:dyDescent="0.3">
      <c r="A2911" s="1527"/>
      <c r="B2911" s="1761"/>
      <c r="C2911" s="1762"/>
      <c r="D2911" s="1793"/>
      <c r="E2911" s="1762" t="s">
        <v>7182</v>
      </c>
      <c r="F2911" s="1763"/>
      <c r="G2911" s="1764" t="s">
        <v>7182</v>
      </c>
      <c r="H2911" s="1524"/>
      <c r="J2911" s="1637"/>
      <c r="K2911" s="1637"/>
    </row>
    <row r="2912" spans="1:11" ht="15.75" thickBot="1" x14ac:dyDescent="0.3">
      <c r="A2912" s="1527"/>
      <c r="B2912" s="1540"/>
      <c r="C2912" s="1537"/>
      <c r="D2912" s="212"/>
      <c r="E2912" s="1535" t="s">
        <v>7182</v>
      </c>
      <c r="F2912" s="1537"/>
      <c r="G2912" s="1572" t="s">
        <v>7182</v>
      </c>
      <c r="H2912" s="1524"/>
      <c r="J2912" s="1637"/>
      <c r="K2912" s="1637"/>
    </row>
    <row r="2913" spans="1:11" ht="15.75" thickBot="1" x14ac:dyDescent="0.3">
      <c r="A2913" s="1527"/>
      <c r="B2913" s="1555"/>
      <c r="C2913" s="1556"/>
      <c r="D2913" s="956"/>
      <c r="E2913" s="1556" t="s">
        <v>7182</v>
      </c>
      <c r="F2913" s="1557"/>
      <c r="G2913" s="1558" t="s">
        <v>7182</v>
      </c>
      <c r="H2913" s="1546">
        <f>SUM(G2909:G2913)</f>
        <v>2976</v>
      </c>
      <c r="J2913" s="1637"/>
      <c r="K2913" s="1637"/>
    </row>
    <row r="2914" spans="1:11" ht="15.75" thickBot="1" x14ac:dyDescent="0.3">
      <c r="A2914" s="1527"/>
      <c r="B2914" s="1376"/>
      <c r="C2914" s="1353"/>
      <c r="D2914" s="1355"/>
      <c r="E2914" s="1352"/>
      <c r="F2914" s="1377"/>
      <c r="G2914" s="1378"/>
      <c r="H2914" s="1524"/>
      <c r="J2914" s="1637"/>
      <c r="K2914" s="1637"/>
    </row>
    <row r="2915" spans="1:11" ht="15.75" thickBot="1" x14ac:dyDescent="0.3">
      <c r="A2915" s="1527"/>
      <c r="B2915" s="1366" t="s">
        <v>5410</v>
      </c>
      <c r="C2915" s="1363" t="s">
        <v>867</v>
      </c>
      <c r="D2915" s="1120" t="s">
        <v>6</v>
      </c>
      <c r="E2915" s="1363" t="s">
        <v>7183</v>
      </c>
      <c r="F2915" s="1363" t="s">
        <v>5405</v>
      </c>
      <c r="G2915" s="1365" t="s">
        <v>7179</v>
      </c>
      <c r="H2915" s="1524"/>
      <c r="J2915" s="1637"/>
      <c r="K2915" s="1637"/>
    </row>
    <row r="2916" spans="1:11" x14ac:dyDescent="0.25">
      <c r="A2916" s="1527"/>
      <c r="B2916" s="1564"/>
      <c r="C2916" s="1534"/>
      <c r="D2916" s="211"/>
      <c r="E2916" s="1535"/>
      <c r="F2916" s="1534"/>
      <c r="G2916" s="1572"/>
      <c r="H2916" s="1524"/>
      <c r="J2916" s="1637"/>
      <c r="K2916" s="1637"/>
    </row>
    <row r="2917" spans="1:11" x14ac:dyDescent="0.25">
      <c r="A2917" s="1527"/>
      <c r="B2917" s="1540"/>
      <c r="C2917" s="1537"/>
      <c r="D2917" s="212"/>
      <c r="E2917" s="1535" t="s">
        <v>7182</v>
      </c>
      <c r="F2917" s="1537"/>
      <c r="G2917" s="1572" t="s">
        <v>7182</v>
      </c>
      <c r="H2917" s="1524"/>
      <c r="J2917" s="1637"/>
      <c r="K2917" s="1637"/>
    </row>
    <row r="2918" spans="1:11" x14ac:dyDescent="0.25">
      <c r="A2918" s="1527"/>
      <c r="B2918" s="1540"/>
      <c r="C2918" s="1537"/>
      <c r="D2918" s="212"/>
      <c r="E2918" s="1535" t="s">
        <v>7182</v>
      </c>
      <c r="F2918" s="1537"/>
      <c r="G2918" s="1572" t="s">
        <v>7182</v>
      </c>
      <c r="H2918" s="1524"/>
      <c r="J2918" s="1637"/>
      <c r="K2918" s="1637"/>
    </row>
    <row r="2919" spans="1:11" ht="15.75" thickBot="1" x14ac:dyDescent="0.3">
      <c r="A2919" s="1527"/>
      <c r="B2919" s="1540"/>
      <c r="C2919" s="1537"/>
      <c r="D2919" s="212"/>
      <c r="E2919" s="1535" t="s">
        <v>7182</v>
      </c>
      <c r="F2919" s="1537"/>
      <c r="G2919" s="1572" t="s">
        <v>7182</v>
      </c>
      <c r="H2919" s="1524"/>
      <c r="J2919" s="1637"/>
      <c r="K2919" s="1637"/>
    </row>
    <row r="2920" spans="1:11" ht="15.75" thickBot="1" x14ac:dyDescent="0.3">
      <c r="A2920" s="1527"/>
      <c r="B2920" s="1555"/>
      <c r="C2920" s="1556"/>
      <c r="D2920" s="956"/>
      <c r="E2920" s="1556" t="s">
        <v>7182</v>
      </c>
      <c r="F2920" s="1557"/>
      <c r="G2920" s="1558" t="s">
        <v>7182</v>
      </c>
      <c r="H2920" s="1546">
        <f>SUM(G2916:G2920)</f>
        <v>0</v>
      </c>
      <c r="J2920" s="1637"/>
      <c r="K2920" s="1637"/>
    </row>
    <row r="2921" spans="1:11" ht="15.75" thickBot="1" x14ac:dyDescent="0.3">
      <c r="A2921" s="1527"/>
      <c r="B2921" s="1547"/>
      <c r="C2921" s="1547"/>
      <c r="D2921" s="954"/>
      <c r="E2921" s="1547"/>
      <c r="F2921" s="1553"/>
      <c r="G2921" s="1554"/>
      <c r="H2921" s="1550"/>
      <c r="J2921" s="1637"/>
      <c r="K2921" s="1637"/>
    </row>
    <row r="2922" spans="1:11" ht="15.75" thickBot="1" x14ac:dyDescent="0.3">
      <c r="A2922" s="1559"/>
      <c r="B2922" s="1369" t="s">
        <v>5412</v>
      </c>
      <c r="C2922" s="1363" t="s">
        <v>5420</v>
      </c>
      <c r="D2922" s="1120" t="s">
        <v>5421</v>
      </c>
      <c r="E2922" s="1363" t="s">
        <v>7187</v>
      </c>
      <c r="F2922" s="1363" t="s">
        <v>5405</v>
      </c>
      <c r="G2922" s="1370" t="s">
        <v>7179</v>
      </c>
      <c r="H2922" s="1371"/>
      <c r="J2922" s="1637"/>
      <c r="K2922" s="1637"/>
    </row>
    <row r="2923" spans="1:11" x14ac:dyDescent="0.25">
      <c r="A2923" s="1527"/>
      <c r="B2923" s="1560" t="s">
        <v>9451</v>
      </c>
      <c r="C2923" s="1569">
        <v>170000</v>
      </c>
      <c r="D2923" s="1569">
        <v>102000</v>
      </c>
      <c r="E2923" s="1569">
        <f>C2923+D2923</f>
        <v>272000</v>
      </c>
      <c r="F2923" s="790">
        <v>0.01</v>
      </c>
      <c r="G2923" s="818">
        <f>E2923*F2923</f>
        <v>2720</v>
      </c>
      <c r="H2923" s="1524"/>
      <c r="J2923" s="1637"/>
      <c r="K2923" s="1637"/>
    </row>
    <row r="2924" spans="1:11" x14ac:dyDescent="0.25">
      <c r="A2924" s="1527"/>
      <c r="B2924" s="1560"/>
      <c r="C2924" s="1569"/>
      <c r="D2924" s="1569"/>
      <c r="E2924" s="1569"/>
      <c r="F2924" s="819"/>
      <c r="G2924" s="818"/>
      <c r="H2924" s="1524"/>
      <c r="J2924" s="1637"/>
      <c r="K2924" s="1637"/>
    </row>
    <row r="2925" spans="1:11" x14ac:dyDescent="0.25">
      <c r="A2925" s="1527"/>
      <c r="B2925" s="1561"/>
      <c r="C2925" s="1569"/>
      <c r="D2925" s="1569"/>
      <c r="E2925" s="1569"/>
      <c r="F2925" s="817"/>
      <c r="G2925" s="818"/>
      <c r="H2925" s="1524"/>
      <c r="J2925" s="1637"/>
      <c r="K2925" s="1637"/>
    </row>
    <row r="2926" spans="1:11" x14ac:dyDescent="0.25">
      <c r="A2926" s="1527"/>
      <c r="B2926" s="1540"/>
      <c r="C2926" s="1569"/>
      <c r="D2926" s="1569"/>
      <c r="E2926" s="1569"/>
      <c r="F2926" s="817"/>
      <c r="G2926" s="818"/>
      <c r="H2926" s="1524"/>
      <c r="J2926" s="1637"/>
      <c r="K2926" s="1637"/>
    </row>
    <row r="2927" spans="1:11" x14ac:dyDescent="0.25">
      <c r="A2927" s="1527"/>
      <c r="B2927" s="1540"/>
      <c r="C2927" s="1538" t="s">
        <v>7182</v>
      </c>
      <c r="D2927" s="952" t="s">
        <v>7182</v>
      </c>
      <c r="E2927" s="1538" t="s">
        <v>7182</v>
      </c>
      <c r="F2927" s="817"/>
      <c r="G2927" s="818" t="str">
        <f>IF(B2927="","",E2927/F2927)</f>
        <v/>
      </c>
      <c r="H2927" s="1524"/>
    </row>
    <row r="2928" spans="1:11" ht="15.75" thickBot="1" x14ac:dyDescent="0.3">
      <c r="A2928" s="1527"/>
      <c r="B2928" s="1540"/>
      <c r="C2928" s="1538" t="s">
        <v>7182</v>
      </c>
      <c r="D2928" s="952" t="s">
        <v>7182</v>
      </c>
      <c r="E2928" s="1538" t="s">
        <v>7182</v>
      </c>
      <c r="F2928" s="1537"/>
      <c r="G2928" s="818" t="str">
        <f>IF(B2928="","",E2928/F2928)</f>
        <v/>
      </c>
      <c r="H2928" s="1524"/>
    </row>
    <row r="2929" spans="1:11" ht="15.75" thickBot="1" x14ac:dyDescent="0.3">
      <c r="A2929" s="1527"/>
      <c r="B2929" s="1555"/>
      <c r="C2929" s="1556"/>
      <c r="D2929" s="956"/>
      <c r="E2929" s="1556"/>
      <c r="F2929" s="1557"/>
      <c r="G2929" s="1558"/>
      <c r="H2929" s="1546">
        <f>SUM(G2923:G2929)</f>
        <v>2720</v>
      </c>
    </row>
    <row r="2930" spans="1:11" ht="15.75" thickBot="1" x14ac:dyDescent="0.3">
      <c r="A2930" s="1527"/>
      <c r="B2930" s="1527"/>
      <c r="C2930" s="1527"/>
      <c r="D2930" s="529"/>
      <c r="F2930" s="1528"/>
      <c r="G2930" s="1524"/>
      <c r="H2930" s="1524"/>
    </row>
    <row r="2931" spans="1:11" ht="15.75" thickBot="1" x14ac:dyDescent="0.3">
      <c r="A2931" s="1647" t="s">
        <v>6744</v>
      </c>
      <c r="B2931" s="1352"/>
      <c r="C2931" s="1352"/>
      <c r="D2931" s="1671"/>
      <c r="E2931" s="1672"/>
      <c r="F2931" s="1353"/>
      <c r="G2931" s="1527" t="s">
        <v>5415</v>
      </c>
      <c r="H2931" s="502">
        <f>ROUND(SUM(H2889:H2930),0)</f>
        <v>24256</v>
      </c>
      <c r="J2931" s="1673">
        <f>+B2885</f>
        <v>10.63</v>
      </c>
      <c r="K2931" s="1674">
        <f>+H2931</f>
        <v>24256</v>
      </c>
    </row>
    <row r="2932" spans="1:11" x14ac:dyDescent="0.25">
      <c r="A2932" s="1675"/>
      <c r="B2932" s="1676"/>
      <c r="C2932" s="1676"/>
      <c r="D2932" s="1677"/>
      <c r="E2932" s="1678"/>
      <c r="F2932" s="1679"/>
      <c r="G2932" s="1680"/>
      <c r="H2932" s="1680"/>
    </row>
    <row r="2933" spans="1:11" ht="18.75" x14ac:dyDescent="0.25">
      <c r="A2933" s="1523"/>
      <c r="B2933" s="1655"/>
      <c r="C2933" s="1655"/>
      <c r="D2933" s="950"/>
      <c r="E2933" s="1655"/>
      <c r="F2933" s="1655"/>
      <c r="G2933" s="1655"/>
      <c r="H2933" s="8"/>
    </row>
    <row r="2934" spans="1:11" x14ac:dyDescent="0.25">
      <c r="A2934" s="1523"/>
      <c r="B2934" s="8"/>
      <c r="C2934" s="8"/>
      <c r="D2934" s="529"/>
      <c r="E2934" s="8"/>
      <c r="F2934" s="1523"/>
      <c r="G2934" s="1524"/>
      <c r="H2934" s="8"/>
    </row>
    <row r="2935" spans="1:11" x14ac:dyDescent="0.25">
      <c r="A2935" s="1665" t="s">
        <v>3</v>
      </c>
      <c r="B2935" s="1666">
        <f>+VLOOKUP(C2935,ListaAPUs!$B:$E,4,FALSE)</f>
        <v>10.64</v>
      </c>
      <c r="C2935" s="2441" t="str">
        <f>+ListaAPUs!B264</f>
        <v>ducteria en tubo metalico conduit de 1/2"</v>
      </c>
      <c r="D2935" s="2441"/>
      <c r="E2935" s="2441"/>
      <c r="F2935" s="1665" t="s">
        <v>867</v>
      </c>
      <c r="G2935" s="1390" t="str">
        <f>+VLOOKUP(C2935,ListaAPUs!$B:$E,2,FALSE)</f>
        <v>m</v>
      </c>
      <c r="H2935" s="1524"/>
    </row>
    <row r="2936" spans="1:11" x14ac:dyDescent="0.25">
      <c r="A2936" s="1528"/>
      <c r="B2936" s="1527"/>
      <c r="C2936" s="1527"/>
      <c r="D2936" s="529"/>
      <c r="E2936" s="1527"/>
      <c r="F2936" s="1528"/>
      <c r="G2936" s="1524"/>
      <c r="H2936" s="1524"/>
    </row>
    <row r="2937" spans="1:11" x14ac:dyDescent="0.25">
      <c r="A2937" s="1528"/>
      <c r="B2937" s="1527"/>
      <c r="C2937" s="1527"/>
      <c r="D2937" s="529"/>
      <c r="E2937" s="1527"/>
      <c r="F2937" s="1528"/>
      <c r="G2937" s="1529"/>
      <c r="H2937" s="1524"/>
    </row>
    <row r="2938" spans="1:11" ht="15.75" thickBot="1" x14ac:dyDescent="0.3">
      <c r="A2938" s="1528"/>
      <c r="B2938" s="1527"/>
      <c r="C2938" s="1527"/>
      <c r="D2938" s="529"/>
      <c r="E2938" s="1527"/>
      <c r="F2938" s="1528"/>
      <c r="G2938" s="1524"/>
      <c r="H2938" s="1524"/>
    </row>
    <row r="2939" spans="1:11" ht="15.75" thickBot="1" x14ac:dyDescent="0.3">
      <c r="A2939" s="1368"/>
      <c r="B2939" s="1369" t="s">
        <v>5403</v>
      </c>
      <c r="C2939" s="1363" t="s">
        <v>867</v>
      </c>
      <c r="D2939" s="1120" t="s">
        <v>6</v>
      </c>
      <c r="E2939" s="1363" t="s">
        <v>9417</v>
      </c>
      <c r="F2939" s="1363" t="s">
        <v>5405</v>
      </c>
      <c r="G2939" s="1370" t="s">
        <v>7179</v>
      </c>
      <c r="H2939" s="1371"/>
    </row>
    <row r="2940" spans="1:11" x14ac:dyDescent="0.25">
      <c r="A2940" s="1528"/>
      <c r="B2940" s="1667" t="s">
        <v>9539</v>
      </c>
      <c r="C2940" s="1537" t="s">
        <v>5424</v>
      </c>
      <c r="D2940" s="212">
        <v>0.33</v>
      </c>
      <c r="E2940" s="1535">
        <v>9120</v>
      </c>
      <c r="F2940" s="1563"/>
      <c r="G2940" s="1572">
        <f t="shared" ref="G2940:G2943" si="23">D2940*E2940</f>
        <v>3009.6000000000004</v>
      </c>
      <c r="H2940" s="1524"/>
    </row>
    <row r="2941" spans="1:11" x14ac:dyDescent="0.25">
      <c r="A2941" s="1528"/>
      <c r="B2941" s="1667" t="s">
        <v>9540</v>
      </c>
      <c r="C2941" s="1537" t="s">
        <v>5424</v>
      </c>
      <c r="D2941" s="212">
        <v>0.5</v>
      </c>
      <c r="E2941" s="1535">
        <v>1620</v>
      </c>
      <c r="F2941" s="1563"/>
      <c r="G2941" s="1572">
        <f t="shared" si="23"/>
        <v>810</v>
      </c>
      <c r="H2941" s="1524"/>
    </row>
    <row r="2942" spans="1:11" x14ac:dyDescent="0.25">
      <c r="A2942" s="1528"/>
      <c r="B2942" s="269" t="s">
        <v>9541</v>
      </c>
      <c r="C2942" s="1537" t="s">
        <v>5424</v>
      </c>
      <c r="D2942" s="212">
        <v>0.5</v>
      </c>
      <c r="E2942" s="1535">
        <v>780</v>
      </c>
      <c r="F2942" s="1563"/>
      <c r="G2942" s="1572">
        <f t="shared" si="23"/>
        <v>390</v>
      </c>
      <c r="H2942" s="1524"/>
    </row>
    <row r="2943" spans="1:11" x14ac:dyDescent="0.25">
      <c r="A2943" s="1528"/>
      <c r="B2943" s="1667" t="s">
        <v>9542</v>
      </c>
      <c r="C2943" s="1537" t="s">
        <v>5424</v>
      </c>
      <c r="D2943" s="212">
        <v>1</v>
      </c>
      <c r="E2943" s="1535">
        <v>4080</v>
      </c>
      <c r="F2943" s="1551"/>
      <c r="G2943" s="1572">
        <f t="shared" si="23"/>
        <v>4080</v>
      </c>
      <c r="H2943" s="1524"/>
      <c r="J2943" s="1637"/>
      <c r="K2943" s="1637"/>
    </row>
    <row r="2944" spans="1:11" x14ac:dyDescent="0.25">
      <c r="A2944" s="1528"/>
      <c r="B2944" s="1667"/>
      <c r="C2944" s="1537"/>
      <c r="D2944" s="212"/>
      <c r="E2944" s="816"/>
      <c r="F2944" s="1563"/>
      <c r="G2944" s="814"/>
      <c r="H2944" s="1524"/>
      <c r="J2944" s="1637"/>
      <c r="K2944" s="1637"/>
    </row>
    <row r="2945" spans="1:11" x14ac:dyDescent="0.25">
      <c r="A2945" s="1528"/>
      <c r="B2945" s="1667"/>
      <c r="C2945" s="1537"/>
      <c r="D2945" s="212"/>
      <c r="E2945" s="816"/>
      <c r="F2945" s="1563"/>
      <c r="G2945" s="814"/>
      <c r="H2945" s="1524"/>
      <c r="J2945" s="1637"/>
      <c r="K2945" s="1637"/>
    </row>
    <row r="2946" spans="1:11" x14ac:dyDescent="0.25">
      <c r="A2946" s="1528"/>
      <c r="B2946" s="1667"/>
      <c r="C2946" s="1537"/>
      <c r="D2946" s="212"/>
      <c r="E2946" s="816"/>
      <c r="F2946" s="1563"/>
      <c r="G2946" s="814"/>
      <c r="H2946" s="1524"/>
      <c r="J2946" s="1637"/>
      <c r="K2946" s="1637"/>
    </row>
    <row r="2947" spans="1:11" x14ac:dyDescent="0.25">
      <c r="A2947" s="1528"/>
      <c r="B2947" s="1667"/>
      <c r="C2947" s="1537"/>
      <c r="D2947" s="212"/>
      <c r="E2947" s="816"/>
      <c r="F2947" s="1563"/>
      <c r="G2947" s="814"/>
      <c r="H2947" s="1524"/>
      <c r="J2947" s="1637"/>
      <c r="K2947" s="1637"/>
    </row>
    <row r="2948" spans="1:11" x14ac:dyDescent="0.25">
      <c r="A2948" s="1528"/>
      <c r="B2948" s="1667"/>
      <c r="C2948" s="1537"/>
      <c r="D2948" s="212"/>
      <c r="E2948" s="816"/>
      <c r="F2948" s="1563"/>
      <c r="G2948" s="814"/>
      <c r="H2948" s="1524"/>
      <c r="J2948" s="1637"/>
      <c r="K2948" s="1637"/>
    </row>
    <row r="2949" spans="1:11" x14ac:dyDescent="0.25">
      <c r="A2949" s="1528"/>
      <c r="B2949" s="1667"/>
      <c r="C2949" s="1537"/>
      <c r="D2949" s="212"/>
      <c r="E2949" s="816"/>
      <c r="F2949" s="1563"/>
      <c r="G2949" s="814"/>
      <c r="H2949" s="1524"/>
      <c r="J2949" s="1637"/>
      <c r="K2949" s="1637"/>
    </row>
    <row r="2950" spans="1:11" x14ac:dyDescent="0.25">
      <c r="A2950" s="1528"/>
      <c r="B2950" s="1667"/>
      <c r="C2950" s="1537"/>
      <c r="D2950" s="212"/>
      <c r="E2950" s="816"/>
      <c r="F2950" s="1563"/>
      <c r="G2950" s="814"/>
      <c r="H2950" s="1524"/>
      <c r="J2950" s="1637"/>
      <c r="K2950" s="1637"/>
    </row>
    <row r="2951" spans="1:11" x14ac:dyDescent="0.25">
      <c r="A2951" s="1528"/>
      <c r="B2951" s="269"/>
      <c r="C2951" s="1537"/>
      <c r="D2951" s="212"/>
      <c r="E2951" s="816"/>
      <c r="F2951" s="1563"/>
      <c r="G2951" s="814"/>
      <c r="H2951" s="1524"/>
      <c r="J2951" s="1637"/>
      <c r="K2951" s="1637"/>
    </row>
    <row r="2952" spans="1:11" x14ac:dyDescent="0.25">
      <c r="A2952" s="1528"/>
      <c r="B2952" s="268"/>
      <c r="C2952" s="1534"/>
      <c r="D2952" s="211"/>
      <c r="E2952" s="1535" t="s">
        <v>7182</v>
      </c>
      <c r="F2952" s="1551"/>
      <c r="G2952" s="1541" t="s">
        <v>7182</v>
      </c>
      <c r="H2952" s="1524"/>
      <c r="J2952" s="1637"/>
      <c r="K2952" s="1637"/>
    </row>
    <row r="2953" spans="1:11" x14ac:dyDescent="0.25">
      <c r="A2953" s="1528"/>
      <c r="B2953" s="1346"/>
      <c r="C2953" s="1534"/>
      <c r="D2953" s="211"/>
      <c r="E2953" s="1535" t="s">
        <v>7182</v>
      </c>
      <c r="F2953" s="1551"/>
      <c r="G2953" s="1541" t="s">
        <v>7182</v>
      </c>
      <c r="H2953" s="1524"/>
      <c r="J2953" s="1637"/>
      <c r="K2953" s="1637"/>
    </row>
    <row r="2954" spans="1:11" ht="15.75" thickBot="1" x14ac:dyDescent="0.3">
      <c r="A2954" s="1528"/>
      <c r="B2954" s="1540"/>
      <c r="C2954" s="1537"/>
      <c r="D2954" s="952"/>
      <c r="E2954" s="1538" t="s">
        <v>7182</v>
      </c>
      <c r="F2954" s="1537"/>
      <c r="G2954" s="1541" t="s">
        <v>7182</v>
      </c>
      <c r="H2954" s="1524"/>
      <c r="J2954" s="1637"/>
      <c r="K2954" s="1637"/>
    </row>
    <row r="2955" spans="1:11" ht="15.75" thickBot="1" x14ac:dyDescent="0.3">
      <c r="A2955" s="1528"/>
      <c r="B2955" s="1555"/>
      <c r="C2955" s="1557"/>
      <c r="D2955" s="956"/>
      <c r="E2955" s="1556" t="s">
        <v>7182</v>
      </c>
      <c r="F2955" s="1557"/>
      <c r="G2955" s="1558" t="s">
        <v>7182</v>
      </c>
      <c r="H2955" s="1546">
        <f>SUM(G2940:G2955)</f>
        <v>8289.6</v>
      </c>
      <c r="J2955" s="1637"/>
      <c r="K2955" s="1637"/>
    </row>
    <row r="2956" spans="1:11" x14ac:dyDescent="0.25">
      <c r="A2956" s="1528"/>
      <c r="B2956" s="1372"/>
      <c r="C2956" s="1374"/>
      <c r="D2956" s="1373"/>
      <c r="E2956" s="1372" t="s">
        <v>7182</v>
      </c>
      <c r="F2956" s="1374"/>
      <c r="G2956" s="1375" t="s">
        <v>7182</v>
      </c>
      <c r="H2956" s="1550"/>
      <c r="J2956" s="1637"/>
      <c r="K2956" s="1637"/>
    </row>
    <row r="2957" spans="1:11" ht="15.75" thickBot="1" x14ac:dyDescent="0.3">
      <c r="A2957" s="1527"/>
      <c r="B2957" s="188"/>
      <c r="C2957" s="189"/>
      <c r="D2957" s="1668"/>
      <c r="E2957" s="188"/>
      <c r="F2957" s="189"/>
      <c r="G2957" s="1669"/>
      <c r="H2957" s="1550"/>
      <c r="J2957" s="1637"/>
      <c r="K2957" s="1637"/>
    </row>
    <row r="2958" spans="1:11" ht="15.75" thickBot="1" x14ac:dyDescent="0.3">
      <c r="A2958" s="1527"/>
      <c r="B2958" s="1366" t="s">
        <v>9418</v>
      </c>
      <c r="C2958" s="1363" t="s">
        <v>867</v>
      </c>
      <c r="D2958" s="1120" t="s">
        <v>6</v>
      </c>
      <c r="E2958" s="1363" t="s">
        <v>7183</v>
      </c>
      <c r="F2958" s="1363" t="s">
        <v>5405</v>
      </c>
      <c r="G2958" s="1365" t="s">
        <v>7179</v>
      </c>
      <c r="H2958" s="1524"/>
      <c r="J2958" s="1637"/>
      <c r="K2958" s="1637"/>
    </row>
    <row r="2959" spans="1:11" x14ac:dyDescent="0.25">
      <c r="A2959" s="1527"/>
      <c r="B2959" s="1564"/>
      <c r="C2959" s="1534"/>
      <c r="D2959" s="211"/>
      <c r="E2959" s="1535" t="s">
        <v>7182</v>
      </c>
      <c r="F2959" s="1534"/>
      <c r="G2959" s="1572" t="s">
        <v>7182</v>
      </c>
      <c r="H2959" s="1524"/>
      <c r="J2959" s="1637"/>
      <c r="K2959" s="1637"/>
    </row>
    <row r="2960" spans="1:11" x14ac:dyDescent="0.25">
      <c r="A2960" s="1527"/>
      <c r="B2960" s="1540"/>
      <c r="C2960" s="1537"/>
      <c r="D2960" s="212"/>
      <c r="E2960" s="1535" t="s">
        <v>7182</v>
      </c>
      <c r="F2960" s="1537"/>
      <c r="G2960" s="1572" t="s">
        <v>7182</v>
      </c>
      <c r="H2960" s="1524"/>
      <c r="J2960" s="1637"/>
      <c r="K2960" s="1637"/>
    </row>
    <row r="2961" spans="1:11" x14ac:dyDescent="0.25">
      <c r="A2961" s="1527"/>
      <c r="B2961" s="1540"/>
      <c r="C2961" s="1537"/>
      <c r="D2961" s="212"/>
      <c r="E2961" s="1535" t="s">
        <v>7182</v>
      </c>
      <c r="F2961" s="1537"/>
      <c r="G2961" s="1572" t="s">
        <v>7182</v>
      </c>
      <c r="H2961" s="1524"/>
      <c r="J2961" s="1637"/>
      <c r="K2961" s="1637"/>
    </row>
    <row r="2962" spans="1:11" ht="15.75" thickBot="1" x14ac:dyDescent="0.3">
      <c r="A2962" s="1527"/>
      <c r="B2962" s="1540"/>
      <c r="C2962" s="1537"/>
      <c r="D2962" s="212"/>
      <c r="E2962" s="1535" t="s">
        <v>7182</v>
      </c>
      <c r="F2962" s="1537"/>
      <c r="G2962" s="1572" t="s">
        <v>7182</v>
      </c>
      <c r="H2962" s="1524"/>
      <c r="J2962" s="1637"/>
      <c r="K2962" s="1637"/>
    </row>
    <row r="2963" spans="1:11" ht="15.75" thickBot="1" x14ac:dyDescent="0.3">
      <c r="A2963" s="1527"/>
      <c r="B2963" s="1555"/>
      <c r="C2963" s="1556"/>
      <c r="D2963" s="956"/>
      <c r="E2963" s="1556" t="s">
        <v>7182</v>
      </c>
      <c r="F2963" s="1557"/>
      <c r="G2963" s="1558" t="s">
        <v>7182</v>
      </c>
      <c r="H2963" s="1546">
        <f>SUM(G2959:G2963)</f>
        <v>0</v>
      </c>
      <c r="J2963" s="1637"/>
      <c r="K2963" s="1637"/>
    </row>
    <row r="2964" spans="1:11" ht="15.75" thickBot="1" x14ac:dyDescent="0.3">
      <c r="A2964" s="1527"/>
      <c r="B2964" s="1376"/>
      <c r="C2964" s="1353"/>
      <c r="D2964" s="1355"/>
      <c r="E2964" s="1352"/>
      <c r="F2964" s="1377"/>
      <c r="G2964" s="1378"/>
      <c r="H2964" s="1524"/>
      <c r="J2964" s="1637"/>
      <c r="K2964" s="1637"/>
    </row>
    <row r="2965" spans="1:11" ht="15.75" thickBot="1" x14ac:dyDescent="0.3">
      <c r="A2965" s="1527"/>
      <c r="B2965" s="1366" t="s">
        <v>5410</v>
      </c>
      <c r="C2965" s="1363" t="s">
        <v>867</v>
      </c>
      <c r="D2965" s="1120" t="s">
        <v>6</v>
      </c>
      <c r="E2965" s="1363" t="s">
        <v>7183</v>
      </c>
      <c r="F2965" s="1363" t="s">
        <v>5405</v>
      </c>
      <c r="G2965" s="1365" t="s">
        <v>7179</v>
      </c>
      <c r="H2965" s="1524"/>
      <c r="J2965" s="1637"/>
      <c r="K2965" s="1637"/>
    </row>
    <row r="2966" spans="1:11" x14ac:dyDescent="0.25">
      <c r="A2966" s="1527"/>
      <c r="B2966" s="1752" t="s">
        <v>5440</v>
      </c>
      <c r="C2966" s="1749" t="s">
        <v>5</v>
      </c>
      <c r="D2966" s="1771">
        <v>1</v>
      </c>
      <c r="E2966" s="1748">
        <v>1488</v>
      </c>
      <c r="F2966" s="1776">
        <v>1</v>
      </c>
      <c r="G2966" s="1783">
        <f>D2966*E2966</f>
        <v>1488</v>
      </c>
      <c r="H2966" s="1524"/>
      <c r="J2966" s="1637"/>
      <c r="K2966" s="1637"/>
    </row>
    <row r="2967" spans="1:11" x14ac:dyDescent="0.25">
      <c r="A2967" s="1527"/>
      <c r="B2967" s="1562"/>
      <c r="C2967" s="1537"/>
      <c r="D2967" s="212"/>
      <c r="E2967" s="1535"/>
      <c r="F2967" s="1537"/>
      <c r="G2967" s="1572"/>
      <c r="H2967" s="1524"/>
      <c r="J2967" s="1637"/>
      <c r="K2967" s="1637"/>
    </row>
    <row r="2968" spans="1:11" x14ac:dyDescent="0.25">
      <c r="A2968" s="1527"/>
      <c r="B2968" s="1540"/>
      <c r="C2968" s="1537"/>
      <c r="D2968" s="1567"/>
      <c r="E2968" s="1535"/>
      <c r="F2968" s="1537"/>
      <c r="G2968" s="1572"/>
      <c r="H2968" s="1524"/>
      <c r="J2968" s="1637"/>
      <c r="K2968" s="1637"/>
    </row>
    <row r="2969" spans="1:11" ht="15.75" thickBot="1" x14ac:dyDescent="0.3">
      <c r="A2969" s="1527"/>
      <c r="B2969" s="1540"/>
      <c r="C2969" s="1537"/>
      <c r="D2969" s="212"/>
      <c r="E2969" s="1535" t="s">
        <v>7182</v>
      </c>
      <c r="F2969" s="1537"/>
      <c r="G2969" s="1572" t="s">
        <v>7182</v>
      </c>
      <c r="H2969" s="1524"/>
      <c r="J2969" s="1637"/>
      <c r="K2969" s="1637"/>
    </row>
    <row r="2970" spans="1:11" ht="15.75" thickBot="1" x14ac:dyDescent="0.3">
      <c r="A2970" s="1527"/>
      <c r="B2970" s="1555"/>
      <c r="C2970" s="1556"/>
      <c r="D2970" s="956"/>
      <c r="E2970" s="1556" t="s">
        <v>7182</v>
      </c>
      <c r="F2970" s="1557"/>
      <c r="G2970" s="1558" t="s">
        <v>7182</v>
      </c>
      <c r="H2970" s="1546">
        <f>SUM(G2966:G2970)</f>
        <v>1488</v>
      </c>
      <c r="J2970" s="1637"/>
      <c r="K2970" s="1637"/>
    </row>
    <row r="2971" spans="1:11" ht="15.75" thickBot="1" x14ac:dyDescent="0.3">
      <c r="A2971" s="1527"/>
      <c r="B2971" s="1547"/>
      <c r="C2971" s="1547"/>
      <c r="D2971" s="954"/>
      <c r="E2971" s="1547"/>
      <c r="F2971" s="1553"/>
      <c r="G2971" s="1554"/>
      <c r="H2971" s="1550"/>
      <c r="J2971" s="1637"/>
      <c r="K2971" s="1637"/>
    </row>
    <row r="2972" spans="1:11" ht="15.75" thickBot="1" x14ac:dyDescent="0.3">
      <c r="A2972" s="1559"/>
      <c r="B2972" s="1369" t="s">
        <v>5412</v>
      </c>
      <c r="C2972" s="1363" t="s">
        <v>5420</v>
      </c>
      <c r="D2972" s="1120" t="s">
        <v>5421</v>
      </c>
      <c r="E2972" s="1363" t="s">
        <v>7187</v>
      </c>
      <c r="F2972" s="1363" t="s">
        <v>5405</v>
      </c>
      <c r="G2972" s="1370" t="s">
        <v>7179</v>
      </c>
      <c r="H2972" s="1371"/>
      <c r="J2972" s="1637"/>
      <c r="K2972" s="1637"/>
    </row>
    <row r="2973" spans="1:11" x14ac:dyDescent="0.25">
      <c r="A2973" s="1527"/>
      <c r="B2973" s="1560" t="s">
        <v>9451</v>
      </c>
      <c r="C2973" s="1569">
        <v>170000</v>
      </c>
      <c r="D2973" s="1569">
        <v>102000</v>
      </c>
      <c r="E2973" s="1569">
        <f>C2973+D2973</f>
        <v>272000</v>
      </c>
      <c r="F2973" s="790">
        <v>0.01</v>
      </c>
      <c r="G2973" s="818">
        <f>E2973*F2973</f>
        <v>2720</v>
      </c>
      <c r="H2973" s="1524"/>
      <c r="J2973" s="1637"/>
      <c r="K2973" s="1637"/>
    </row>
    <row r="2974" spans="1:11" x14ac:dyDescent="0.25">
      <c r="A2974" s="1527"/>
      <c r="B2974" s="1560"/>
      <c r="C2974" s="1569"/>
      <c r="D2974" s="1569"/>
      <c r="E2974" s="1569"/>
      <c r="F2974" s="819"/>
      <c r="G2974" s="818"/>
      <c r="H2974" s="1524"/>
      <c r="J2974" s="1637"/>
      <c r="K2974" s="1637"/>
    </row>
    <row r="2975" spans="1:11" x14ac:dyDescent="0.25">
      <c r="A2975" s="1527"/>
      <c r="B2975" s="1561"/>
      <c r="C2975" s="1569"/>
      <c r="D2975" s="1569"/>
      <c r="E2975" s="1569"/>
      <c r="F2975" s="817"/>
      <c r="G2975" s="818"/>
      <c r="H2975" s="1524"/>
    </row>
    <row r="2976" spans="1:11" x14ac:dyDescent="0.25">
      <c r="A2976" s="1527"/>
      <c r="B2976" s="1540"/>
      <c r="C2976" s="1569"/>
      <c r="D2976" s="1569"/>
      <c r="E2976" s="1569"/>
      <c r="F2976" s="817"/>
      <c r="G2976" s="818"/>
      <c r="H2976" s="1524"/>
    </row>
    <row r="2977" spans="1:11" x14ac:dyDescent="0.25">
      <c r="A2977" s="1527"/>
      <c r="B2977" s="1540"/>
      <c r="C2977" s="1538" t="s">
        <v>7182</v>
      </c>
      <c r="D2977" s="952" t="s">
        <v>7182</v>
      </c>
      <c r="E2977" s="1538" t="s">
        <v>7182</v>
      </c>
      <c r="F2977" s="817"/>
      <c r="G2977" s="818" t="str">
        <f>IF(B2977="","",E2977/F2977)</f>
        <v/>
      </c>
      <c r="H2977" s="1524"/>
    </row>
    <row r="2978" spans="1:11" ht="15.75" thickBot="1" x14ac:dyDescent="0.3">
      <c r="A2978" s="1527"/>
      <c r="B2978" s="1540"/>
      <c r="C2978" s="1538" t="s">
        <v>7182</v>
      </c>
      <c r="D2978" s="952" t="s">
        <v>7182</v>
      </c>
      <c r="E2978" s="1538" t="s">
        <v>7182</v>
      </c>
      <c r="F2978" s="1537"/>
      <c r="G2978" s="818" t="str">
        <f>IF(B2978="","",E2978/F2978)</f>
        <v/>
      </c>
      <c r="H2978" s="1524"/>
    </row>
    <row r="2979" spans="1:11" ht="15.75" thickBot="1" x14ac:dyDescent="0.3">
      <c r="A2979" s="1527"/>
      <c r="B2979" s="1555"/>
      <c r="C2979" s="1556"/>
      <c r="D2979" s="956"/>
      <c r="E2979" s="1556"/>
      <c r="F2979" s="1557"/>
      <c r="G2979" s="1558"/>
      <c r="H2979" s="1546">
        <f>SUM(G2973:G2979)</f>
        <v>2720</v>
      </c>
    </row>
    <row r="2980" spans="1:11" ht="15.75" thickBot="1" x14ac:dyDescent="0.3">
      <c r="A2980" s="1527"/>
      <c r="B2980" s="1527"/>
      <c r="C2980" s="1527"/>
      <c r="D2980" s="529"/>
      <c r="F2980" s="1528"/>
      <c r="G2980" s="1524"/>
      <c r="H2980" s="1524"/>
    </row>
    <row r="2981" spans="1:11" ht="15.75" thickBot="1" x14ac:dyDescent="0.3">
      <c r="A2981" s="1647" t="s">
        <v>6744</v>
      </c>
      <c r="B2981" s="1352"/>
      <c r="C2981" s="1352"/>
      <c r="D2981" s="1671"/>
      <c r="E2981" s="1672"/>
      <c r="F2981" s="1353"/>
      <c r="G2981" s="1527" t="s">
        <v>5415</v>
      </c>
      <c r="H2981" s="502">
        <f>ROUND(SUM(H2939:H2980),0)</f>
        <v>12498</v>
      </c>
      <c r="J2981" s="1673">
        <f>+B2935</f>
        <v>10.64</v>
      </c>
      <c r="K2981" s="1674">
        <f>+H2981</f>
        <v>12498</v>
      </c>
    </row>
    <row r="2982" spans="1:11" x14ac:dyDescent="0.25">
      <c r="A2982" s="1675"/>
      <c r="B2982" s="1676"/>
      <c r="C2982" s="1676"/>
      <c r="D2982" s="1677"/>
      <c r="E2982" s="1678"/>
      <c r="F2982" s="1679"/>
      <c r="G2982" s="1680"/>
      <c r="H2982" s="1680"/>
    </row>
    <row r="2983" spans="1:11" ht="18.75" x14ac:dyDescent="0.25">
      <c r="A2983" s="1523"/>
      <c r="B2983" s="1655"/>
      <c r="C2983" s="1655"/>
      <c r="D2983" s="950"/>
      <c r="E2983" s="1655"/>
      <c r="F2983" s="1655"/>
      <c r="G2983" s="1655"/>
      <c r="H2983" s="8"/>
    </row>
    <row r="2984" spans="1:11" x14ac:dyDescent="0.25">
      <c r="A2984" s="1523"/>
      <c r="B2984" s="8"/>
      <c r="C2984" s="8"/>
      <c r="D2984" s="529"/>
      <c r="E2984" s="8"/>
      <c r="F2984" s="1523"/>
      <c r="G2984" s="1524"/>
      <c r="H2984" s="8"/>
    </row>
    <row r="2985" spans="1:11" x14ac:dyDescent="0.25">
      <c r="A2985" s="1665" t="s">
        <v>3</v>
      </c>
      <c r="B2985" s="1666">
        <f>+VLOOKUP(C2985,ListaAPUs!$B:$E,4,FALSE)</f>
        <v>10.65</v>
      </c>
      <c r="C2985" s="2441" t="str">
        <f>+ListaAPUs!B265</f>
        <v>Varillas 5/8"x2,44 mts.</v>
      </c>
      <c r="D2985" s="2441"/>
      <c r="E2985" s="2441"/>
      <c r="F2985" s="1665" t="s">
        <v>867</v>
      </c>
      <c r="G2985" s="1390" t="str">
        <f>+VLOOKUP(C2985,ListaAPUs!$B:$E,2,FALSE)</f>
        <v>un</v>
      </c>
      <c r="H2985" s="1524"/>
    </row>
    <row r="2986" spans="1:11" x14ac:dyDescent="0.25">
      <c r="A2986" s="1528"/>
      <c r="B2986" s="1527"/>
      <c r="C2986" s="1527"/>
      <c r="D2986" s="529"/>
      <c r="E2986" s="1527"/>
      <c r="F2986" s="1528"/>
      <c r="G2986" s="1524"/>
      <c r="H2986" s="1524"/>
    </row>
    <row r="2987" spans="1:11" x14ac:dyDescent="0.25">
      <c r="A2987" s="1528"/>
      <c r="B2987" s="1527"/>
      <c r="C2987" s="1527"/>
      <c r="D2987" s="529"/>
      <c r="E2987" s="1527"/>
      <c r="F2987" s="1528"/>
      <c r="G2987" s="1529"/>
      <c r="H2987" s="1524"/>
    </row>
    <row r="2988" spans="1:11" ht="15.75" thickBot="1" x14ac:dyDescent="0.3">
      <c r="A2988" s="1528"/>
      <c r="B2988" s="1527"/>
      <c r="C2988" s="1527"/>
      <c r="D2988" s="529"/>
      <c r="E2988" s="1527"/>
      <c r="F2988" s="1528"/>
      <c r="G2988" s="1524"/>
      <c r="H2988" s="1524"/>
    </row>
    <row r="2989" spans="1:11" ht="15.75" thickBot="1" x14ac:dyDescent="0.3">
      <c r="A2989" s="1368"/>
      <c r="B2989" s="1369" t="s">
        <v>5403</v>
      </c>
      <c r="C2989" s="1363" t="s">
        <v>867</v>
      </c>
      <c r="D2989" s="1120" t="s">
        <v>6</v>
      </c>
      <c r="E2989" s="1363" t="s">
        <v>9417</v>
      </c>
      <c r="F2989" s="1363" t="s">
        <v>5405</v>
      </c>
      <c r="G2989" s="1370" t="s">
        <v>7179</v>
      </c>
      <c r="H2989" s="1371"/>
    </row>
    <row r="2990" spans="1:11" x14ac:dyDescent="0.25">
      <c r="A2990" s="1528"/>
      <c r="B2990" s="1533" t="s">
        <v>9543</v>
      </c>
      <c r="C2990" s="1348" t="s">
        <v>5</v>
      </c>
      <c r="D2990" s="967">
        <v>1</v>
      </c>
      <c r="E2990" s="1349">
        <v>115800</v>
      </c>
      <c r="F2990" s="1350">
        <v>1</v>
      </c>
      <c r="G2990" s="1351">
        <f>+F2990*E2990*D2990</f>
        <v>115800</v>
      </c>
      <c r="H2990" s="1524"/>
    </row>
    <row r="2991" spans="1:11" ht="25.5" x14ac:dyDescent="0.25">
      <c r="A2991" s="1528"/>
      <c r="B2991" s="1539" t="s">
        <v>9544</v>
      </c>
      <c r="C2991" s="1537" t="s">
        <v>5</v>
      </c>
      <c r="D2991" s="212">
        <v>1</v>
      </c>
      <c r="E2991" s="1681">
        <v>3000</v>
      </c>
      <c r="F2991" s="1563">
        <v>1</v>
      </c>
      <c r="G2991" s="814">
        <f>+F2991*E2991*D2991</f>
        <v>3000</v>
      </c>
      <c r="H2991" s="1524"/>
      <c r="J2991" s="1637"/>
      <c r="K2991" s="1637"/>
    </row>
    <row r="2992" spans="1:11" x14ac:dyDescent="0.25">
      <c r="A2992" s="1528"/>
      <c r="B2992" s="1667"/>
      <c r="C2992" s="1537"/>
      <c r="D2992" s="212"/>
      <c r="E2992" s="816"/>
      <c r="F2992" s="1563"/>
      <c r="G2992" s="814"/>
      <c r="H2992" s="1524"/>
      <c r="J2992" s="1637"/>
      <c r="K2992" s="1637"/>
    </row>
    <row r="2993" spans="1:11" x14ac:dyDescent="0.25">
      <c r="A2993" s="1528"/>
      <c r="B2993" s="1667"/>
      <c r="C2993" s="1537"/>
      <c r="D2993" s="212"/>
      <c r="E2993" s="816"/>
      <c r="F2993" s="1563"/>
      <c r="G2993" s="814"/>
      <c r="H2993" s="1524"/>
      <c r="J2993" s="1637"/>
      <c r="K2993" s="1637"/>
    </row>
    <row r="2994" spans="1:11" x14ac:dyDescent="0.25">
      <c r="A2994" s="1528"/>
      <c r="B2994" s="1667"/>
      <c r="C2994" s="1537"/>
      <c r="D2994" s="212"/>
      <c r="E2994" s="816"/>
      <c r="F2994" s="1563"/>
      <c r="G2994" s="814"/>
      <c r="H2994" s="1524"/>
      <c r="J2994" s="1637"/>
      <c r="K2994" s="1637"/>
    </row>
    <row r="2995" spans="1:11" x14ac:dyDescent="0.25">
      <c r="A2995" s="1528"/>
      <c r="B2995" s="1667"/>
      <c r="C2995" s="1537"/>
      <c r="D2995" s="212"/>
      <c r="E2995" s="816"/>
      <c r="F2995" s="1563"/>
      <c r="G2995" s="814"/>
      <c r="H2995" s="1524"/>
      <c r="J2995" s="1637"/>
      <c r="K2995" s="1637"/>
    </row>
    <row r="2996" spans="1:11" x14ac:dyDescent="0.25">
      <c r="A2996" s="1528"/>
      <c r="B2996" s="1667"/>
      <c r="C2996" s="1537"/>
      <c r="D2996" s="212"/>
      <c r="E2996" s="816"/>
      <c r="F2996" s="1563"/>
      <c r="G2996" s="814"/>
      <c r="H2996" s="1524"/>
      <c r="J2996" s="1637"/>
      <c r="K2996" s="1637"/>
    </row>
    <row r="2997" spans="1:11" x14ac:dyDescent="0.25">
      <c r="A2997" s="1528"/>
      <c r="B2997" s="1667"/>
      <c r="C2997" s="1537"/>
      <c r="D2997" s="212"/>
      <c r="E2997" s="816"/>
      <c r="F2997" s="1563"/>
      <c r="G2997" s="814"/>
      <c r="H2997" s="1524"/>
      <c r="J2997" s="1637"/>
      <c r="K2997" s="1637"/>
    </row>
    <row r="2998" spans="1:11" x14ac:dyDescent="0.25">
      <c r="A2998" s="1528"/>
      <c r="B2998" s="1667"/>
      <c r="C2998" s="1537"/>
      <c r="D2998" s="212"/>
      <c r="E2998" s="816"/>
      <c r="F2998" s="1563"/>
      <c r="G2998" s="814"/>
      <c r="H2998" s="1524"/>
      <c r="J2998" s="1637"/>
      <c r="K2998" s="1637"/>
    </row>
    <row r="2999" spans="1:11" x14ac:dyDescent="0.25">
      <c r="A2999" s="1528"/>
      <c r="B2999" s="1667"/>
      <c r="C2999" s="1537"/>
      <c r="D2999" s="212"/>
      <c r="E2999" s="816"/>
      <c r="F2999" s="1563"/>
      <c r="G2999" s="814"/>
      <c r="H2999" s="1524"/>
      <c r="J2999" s="1637"/>
      <c r="K2999" s="1637"/>
    </row>
    <row r="3000" spans="1:11" x14ac:dyDescent="0.25">
      <c r="A3000" s="1528"/>
      <c r="B3000" s="1667"/>
      <c r="C3000" s="1537"/>
      <c r="D3000" s="212"/>
      <c r="E3000" s="816"/>
      <c r="F3000" s="1563"/>
      <c r="G3000" s="814"/>
      <c r="H3000" s="1524"/>
      <c r="J3000" s="1637"/>
      <c r="K3000" s="1637"/>
    </row>
    <row r="3001" spans="1:11" x14ac:dyDescent="0.25">
      <c r="A3001" s="1528"/>
      <c r="B3001" s="269"/>
      <c r="C3001" s="1537"/>
      <c r="D3001" s="212"/>
      <c r="E3001" s="816"/>
      <c r="F3001" s="1563"/>
      <c r="G3001" s="814"/>
      <c r="H3001" s="1524"/>
      <c r="J3001" s="1637"/>
      <c r="K3001" s="1637"/>
    </row>
    <row r="3002" spans="1:11" x14ac:dyDescent="0.25">
      <c r="A3002" s="1528"/>
      <c r="B3002" s="268"/>
      <c r="C3002" s="1534"/>
      <c r="D3002" s="211"/>
      <c r="E3002" s="1535" t="s">
        <v>7182</v>
      </c>
      <c r="F3002" s="1551"/>
      <c r="G3002" s="1541" t="s">
        <v>7182</v>
      </c>
      <c r="H3002" s="1524"/>
      <c r="J3002" s="1637"/>
      <c r="K3002" s="1637"/>
    </row>
    <row r="3003" spans="1:11" x14ac:dyDescent="0.25">
      <c r="A3003" s="1528"/>
      <c r="B3003" s="1346"/>
      <c r="C3003" s="1534"/>
      <c r="D3003" s="211"/>
      <c r="E3003" s="1535" t="s">
        <v>7182</v>
      </c>
      <c r="F3003" s="1551"/>
      <c r="G3003" s="1541" t="s">
        <v>7182</v>
      </c>
      <c r="H3003" s="1524"/>
      <c r="J3003" s="1637"/>
      <c r="K3003" s="1637"/>
    </row>
    <row r="3004" spans="1:11" ht="15.75" thickBot="1" x14ac:dyDescent="0.3">
      <c r="A3004" s="1528"/>
      <c r="B3004" s="1540"/>
      <c r="C3004" s="1537"/>
      <c r="D3004" s="952"/>
      <c r="E3004" s="1538" t="s">
        <v>7182</v>
      </c>
      <c r="F3004" s="1537"/>
      <c r="G3004" s="1541" t="s">
        <v>7182</v>
      </c>
      <c r="H3004" s="1524"/>
      <c r="J3004" s="1637"/>
      <c r="K3004" s="1637"/>
    </row>
    <row r="3005" spans="1:11" ht="15.75" thickBot="1" x14ac:dyDescent="0.3">
      <c r="A3005" s="1528"/>
      <c r="B3005" s="1555"/>
      <c r="C3005" s="1557"/>
      <c r="D3005" s="956"/>
      <c r="E3005" s="1556" t="s">
        <v>7182</v>
      </c>
      <c r="F3005" s="1557"/>
      <c r="G3005" s="1558" t="s">
        <v>7182</v>
      </c>
      <c r="H3005" s="1546">
        <f>SUM(G2990:G3005)</f>
        <v>118800</v>
      </c>
      <c r="J3005" s="1637"/>
      <c r="K3005" s="1637"/>
    </row>
    <row r="3006" spans="1:11" x14ac:dyDescent="0.25">
      <c r="A3006" s="1528"/>
      <c r="B3006" s="1372"/>
      <c r="C3006" s="1374"/>
      <c r="D3006" s="1373"/>
      <c r="E3006" s="1372" t="s">
        <v>7182</v>
      </c>
      <c r="F3006" s="1374"/>
      <c r="G3006" s="1375" t="s">
        <v>7182</v>
      </c>
      <c r="H3006" s="1550"/>
      <c r="J3006" s="1637"/>
      <c r="K3006" s="1637"/>
    </row>
    <row r="3007" spans="1:11" ht="15.75" thickBot="1" x14ac:dyDescent="0.3">
      <c r="A3007" s="1527"/>
      <c r="B3007" s="188"/>
      <c r="C3007" s="189"/>
      <c r="D3007" s="1668"/>
      <c r="E3007" s="188"/>
      <c r="F3007" s="189"/>
      <c r="G3007" s="1669"/>
      <c r="H3007" s="1550"/>
      <c r="J3007" s="1637"/>
      <c r="K3007" s="1637"/>
    </row>
    <row r="3008" spans="1:11" ht="15.75" thickBot="1" x14ac:dyDescent="0.3">
      <c r="A3008" s="1527"/>
      <c r="B3008" s="1366" t="s">
        <v>9418</v>
      </c>
      <c r="C3008" s="1363" t="s">
        <v>867</v>
      </c>
      <c r="D3008" s="1120" t="s">
        <v>6</v>
      </c>
      <c r="E3008" s="1363" t="s">
        <v>7183</v>
      </c>
      <c r="F3008" s="1363" t="s">
        <v>5405</v>
      </c>
      <c r="G3008" s="1365" t="s">
        <v>7179</v>
      </c>
      <c r="H3008" s="1524"/>
      <c r="J3008" s="1637"/>
      <c r="K3008" s="1637"/>
    </row>
    <row r="3009" spans="1:11" x14ac:dyDescent="0.25">
      <c r="A3009" s="1527"/>
      <c r="B3009" s="1564" t="s">
        <v>5455</v>
      </c>
      <c r="C3009" s="1534" t="s">
        <v>5</v>
      </c>
      <c r="D3009" s="211">
        <v>1</v>
      </c>
      <c r="E3009" s="1535">
        <v>500</v>
      </c>
      <c r="F3009" s="297">
        <v>1</v>
      </c>
      <c r="G3009" s="1572">
        <f>+F3009*E3009</f>
        <v>500</v>
      </c>
      <c r="H3009" s="1524"/>
      <c r="J3009" s="1637"/>
      <c r="K3009" s="1637"/>
    </row>
    <row r="3010" spans="1:11" x14ac:dyDescent="0.25">
      <c r="A3010" s="1527"/>
      <c r="B3010" s="1540"/>
      <c r="C3010" s="1537"/>
      <c r="D3010" s="212"/>
      <c r="E3010" s="1535" t="s">
        <v>7182</v>
      </c>
      <c r="F3010" s="1537"/>
      <c r="G3010" s="1572" t="s">
        <v>7182</v>
      </c>
      <c r="H3010" s="1524"/>
      <c r="J3010" s="1637"/>
      <c r="K3010" s="1637"/>
    </row>
    <row r="3011" spans="1:11" x14ac:dyDescent="0.25">
      <c r="A3011" s="1527"/>
      <c r="B3011" s="1540"/>
      <c r="C3011" s="1537"/>
      <c r="D3011" s="212"/>
      <c r="E3011" s="1535" t="s">
        <v>7182</v>
      </c>
      <c r="F3011" s="1537"/>
      <c r="G3011" s="1572" t="s">
        <v>7182</v>
      </c>
      <c r="H3011" s="1524"/>
      <c r="J3011" s="1637"/>
      <c r="K3011" s="1637"/>
    </row>
    <row r="3012" spans="1:11" ht="15.75" thickBot="1" x14ac:dyDescent="0.3">
      <c r="A3012" s="1527"/>
      <c r="B3012" s="1540"/>
      <c r="C3012" s="1537"/>
      <c r="D3012" s="212"/>
      <c r="E3012" s="1535" t="s">
        <v>7182</v>
      </c>
      <c r="F3012" s="1537"/>
      <c r="G3012" s="1572" t="s">
        <v>7182</v>
      </c>
      <c r="H3012" s="1524"/>
      <c r="J3012" s="1637"/>
      <c r="K3012" s="1637"/>
    </row>
    <row r="3013" spans="1:11" ht="15.75" thickBot="1" x14ac:dyDescent="0.3">
      <c r="A3013" s="1527"/>
      <c r="B3013" s="1555"/>
      <c r="C3013" s="1556"/>
      <c r="D3013" s="956"/>
      <c r="E3013" s="1556" t="s">
        <v>7182</v>
      </c>
      <c r="F3013" s="1557"/>
      <c r="G3013" s="1558" t="s">
        <v>7182</v>
      </c>
      <c r="H3013" s="1546">
        <f>SUM(G3009:G3013)</f>
        <v>500</v>
      </c>
      <c r="J3013" s="1637"/>
      <c r="K3013" s="1637"/>
    </row>
    <row r="3014" spans="1:11" ht="15.75" thickBot="1" x14ac:dyDescent="0.3">
      <c r="A3014" s="1527"/>
      <c r="B3014" s="1376"/>
      <c r="C3014" s="1353"/>
      <c r="D3014" s="1355"/>
      <c r="E3014" s="1352"/>
      <c r="F3014" s="1377"/>
      <c r="G3014" s="1378"/>
      <c r="H3014" s="1524"/>
      <c r="J3014" s="1637"/>
      <c r="K3014" s="1637"/>
    </row>
    <row r="3015" spans="1:11" ht="15.75" thickBot="1" x14ac:dyDescent="0.3">
      <c r="A3015" s="1527"/>
      <c r="B3015" s="1366" t="s">
        <v>5410</v>
      </c>
      <c r="C3015" s="1363" t="s">
        <v>867</v>
      </c>
      <c r="D3015" s="1120" t="s">
        <v>6</v>
      </c>
      <c r="E3015" s="1363" t="s">
        <v>7183</v>
      </c>
      <c r="F3015" s="1363" t="s">
        <v>5405</v>
      </c>
      <c r="G3015" s="1365" t="s">
        <v>7179</v>
      </c>
      <c r="H3015" s="1524"/>
      <c r="J3015" s="1637"/>
      <c r="K3015" s="1637"/>
    </row>
    <row r="3016" spans="1:11" ht="25.5" x14ac:dyDescent="0.25">
      <c r="A3016" s="1527"/>
      <c r="B3016" s="1564" t="s">
        <v>9421</v>
      </c>
      <c r="C3016" s="1534" t="s">
        <v>9023</v>
      </c>
      <c r="D3016" s="211">
        <v>1</v>
      </c>
      <c r="E3016" s="1535">
        <v>4000</v>
      </c>
      <c r="F3016" s="297">
        <v>0.1</v>
      </c>
      <c r="G3016" s="1572">
        <f>+F3016*E3016</f>
        <v>400</v>
      </c>
      <c r="H3016" s="1524"/>
      <c r="J3016" s="1637"/>
      <c r="K3016" s="1637"/>
    </row>
    <row r="3017" spans="1:11" x14ac:dyDescent="0.25">
      <c r="A3017" s="1527"/>
      <c r="B3017" s="1540"/>
      <c r="C3017" s="1537"/>
      <c r="D3017" s="212"/>
      <c r="E3017" s="1535" t="s">
        <v>7182</v>
      </c>
      <c r="F3017" s="1537"/>
      <c r="G3017" s="1572" t="s">
        <v>7182</v>
      </c>
      <c r="H3017" s="1524"/>
      <c r="J3017" s="1637"/>
      <c r="K3017" s="1637"/>
    </row>
    <row r="3018" spans="1:11" x14ac:dyDescent="0.25">
      <c r="A3018" s="1527"/>
      <c r="B3018" s="1540"/>
      <c r="C3018" s="1537"/>
      <c r="D3018" s="212"/>
      <c r="E3018" s="1535" t="s">
        <v>7182</v>
      </c>
      <c r="F3018" s="1537"/>
      <c r="G3018" s="1572" t="s">
        <v>7182</v>
      </c>
      <c r="H3018" s="1524"/>
      <c r="J3018" s="1637"/>
      <c r="K3018" s="1637"/>
    </row>
    <row r="3019" spans="1:11" ht="15.75" thickBot="1" x14ac:dyDescent="0.3">
      <c r="A3019" s="1527"/>
      <c r="B3019" s="1540"/>
      <c r="C3019" s="1537"/>
      <c r="D3019" s="212"/>
      <c r="E3019" s="1535" t="s">
        <v>7182</v>
      </c>
      <c r="F3019" s="1537"/>
      <c r="G3019" s="1572" t="s">
        <v>7182</v>
      </c>
      <c r="H3019" s="1524"/>
      <c r="J3019" s="1637"/>
      <c r="K3019" s="1637"/>
    </row>
    <row r="3020" spans="1:11" ht="15.75" thickBot="1" x14ac:dyDescent="0.3">
      <c r="A3020" s="1527"/>
      <c r="B3020" s="1555"/>
      <c r="C3020" s="1556"/>
      <c r="D3020" s="956"/>
      <c r="E3020" s="1556" t="s">
        <v>7182</v>
      </c>
      <c r="F3020" s="1557"/>
      <c r="G3020" s="1558" t="s">
        <v>7182</v>
      </c>
      <c r="H3020" s="1546">
        <f>SUM(G3016:G3020)</f>
        <v>400</v>
      </c>
      <c r="J3020" s="1637"/>
      <c r="K3020" s="1637"/>
    </row>
    <row r="3021" spans="1:11" ht="15.75" thickBot="1" x14ac:dyDescent="0.3">
      <c r="A3021" s="1527"/>
      <c r="B3021" s="1547"/>
      <c r="C3021" s="1547"/>
      <c r="D3021" s="954"/>
      <c r="E3021" s="1547"/>
      <c r="F3021" s="1553"/>
      <c r="G3021" s="1554"/>
      <c r="H3021" s="1550"/>
      <c r="J3021" s="1637"/>
      <c r="K3021" s="1637"/>
    </row>
    <row r="3022" spans="1:11" ht="15.75" thickBot="1" x14ac:dyDescent="0.3">
      <c r="A3022" s="1559"/>
      <c r="B3022" s="1369" t="s">
        <v>5412</v>
      </c>
      <c r="C3022" s="1363" t="s">
        <v>5420</v>
      </c>
      <c r="D3022" s="1120" t="s">
        <v>5421</v>
      </c>
      <c r="E3022" s="1363" t="s">
        <v>7187</v>
      </c>
      <c r="F3022" s="1363" t="s">
        <v>5405</v>
      </c>
      <c r="G3022" s="1370" t="s">
        <v>7179</v>
      </c>
      <c r="H3022" s="1371"/>
      <c r="J3022" s="1637"/>
      <c r="K3022" s="1637"/>
    </row>
    <row r="3023" spans="1:11" x14ac:dyDescent="0.25">
      <c r="A3023" s="1527"/>
      <c r="B3023" s="1767" t="s">
        <v>9422</v>
      </c>
      <c r="C3023" s="1778">
        <v>170000</v>
      </c>
      <c r="D3023" s="1779">
        <f>0.6*C3023</f>
        <v>102000</v>
      </c>
      <c r="E3023" s="1778">
        <f>+D3023+C3023</f>
        <v>272000</v>
      </c>
      <c r="F3023" s="1790">
        <v>0.1</v>
      </c>
      <c r="G3023" s="1789">
        <f>+F3023*E3023</f>
        <v>27200</v>
      </c>
      <c r="H3023" s="1524"/>
    </row>
    <row r="3024" spans="1:11" x14ac:dyDescent="0.25">
      <c r="A3024" s="1527"/>
      <c r="B3024" s="1560"/>
      <c r="C3024" s="1569"/>
      <c r="D3024" s="1569"/>
      <c r="E3024" s="1569"/>
      <c r="F3024" s="819"/>
      <c r="G3024" s="818"/>
      <c r="H3024" s="1524"/>
    </row>
    <row r="3025" spans="1:11" x14ac:dyDescent="0.25">
      <c r="A3025" s="1527"/>
      <c r="B3025" s="1561"/>
      <c r="C3025" s="1569"/>
      <c r="D3025" s="1569"/>
      <c r="E3025" s="1569"/>
      <c r="F3025" s="817"/>
      <c r="G3025" s="818"/>
      <c r="H3025" s="1524"/>
    </row>
    <row r="3026" spans="1:11" x14ac:dyDescent="0.25">
      <c r="A3026" s="1527"/>
      <c r="B3026" s="1540"/>
      <c r="C3026" s="1569"/>
      <c r="D3026" s="1569"/>
      <c r="E3026" s="1569"/>
      <c r="F3026" s="817"/>
      <c r="G3026" s="818"/>
      <c r="H3026" s="1524"/>
    </row>
    <row r="3027" spans="1:11" x14ac:dyDescent="0.25">
      <c r="A3027" s="1527"/>
      <c r="B3027" s="1540"/>
      <c r="C3027" s="1538" t="s">
        <v>7182</v>
      </c>
      <c r="D3027" s="952" t="s">
        <v>7182</v>
      </c>
      <c r="E3027" s="1538" t="s">
        <v>7182</v>
      </c>
      <c r="F3027" s="817"/>
      <c r="G3027" s="818" t="str">
        <f>IF(B3027="","",E3027/F3027)</f>
        <v/>
      </c>
      <c r="H3027" s="1524"/>
    </row>
    <row r="3028" spans="1:11" ht="15.75" thickBot="1" x14ac:dyDescent="0.3">
      <c r="A3028" s="1527"/>
      <c r="B3028" s="1540"/>
      <c r="C3028" s="1538" t="s">
        <v>7182</v>
      </c>
      <c r="D3028" s="952" t="s">
        <v>7182</v>
      </c>
      <c r="E3028" s="1538" t="s">
        <v>7182</v>
      </c>
      <c r="F3028" s="1537"/>
      <c r="G3028" s="818" t="str">
        <f>IF(B3028="","",E3028/F3028)</f>
        <v/>
      </c>
      <c r="H3028" s="1524"/>
    </row>
    <row r="3029" spans="1:11" ht="15.75" thickBot="1" x14ac:dyDescent="0.3">
      <c r="A3029" s="1527"/>
      <c r="B3029" s="1555"/>
      <c r="C3029" s="1556"/>
      <c r="D3029" s="956"/>
      <c r="E3029" s="1556"/>
      <c r="F3029" s="1557"/>
      <c r="G3029" s="1558"/>
      <c r="H3029" s="1546">
        <f>SUM(G3023:G3029)</f>
        <v>27200</v>
      </c>
    </row>
    <row r="3030" spans="1:11" ht="15.75" thickBot="1" x14ac:dyDescent="0.3">
      <c r="A3030" s="1527"/>
      <c r="B3030" s="1527"/>
      <c r="C3030" s="1527"/>
      <c r="D3030" s="529"/>
      <c r="F3030" s="1528"/>
      <c r="G3030" s="1524"/>
      <c r="H3030" s="1524"/>
    </row>
    <row r="3031" spans="1:11" ht="15.75" thickBot="1" x14ac:dyDescent="0.3">
      <c r="A3031" s="1647" t="s">
        <v>6744</v>
      </c>
      <c r="B3031" s="1352"/>
      <c r="C3031" s="1352"/>
      <c r="D3031" s="1671"/>
      <c r="E3031" s="1672"/>
      <c r="F3031" s="1353"/>
      <c r="G3031" s="1527" t="s">
        <v>5415</v>
      </c>
      <c r="H3031" s="502">
        <f>ROUND(SUM(H2989:H3030),0)</f>
        <v>146900</v>
      </c>
      <c r="J3031" s="1673">
        <f>+B2985</f>
        <v>10.65</v>
      </c>
      <c r="K3031" s="1674">
        <f>+H3031</f>
        <v>146900</v>
      </c>
    </row>
    <row r="3032" spans="1:11" x14ac:dyDescent="0.25">
      <c r="A3032" s="1675"/>
      <c r="B3032" s="1676"/>
      <c r="C3032" s="1676"/>
      <c r="D3032" s="1677"/>
      <c r="E3032" s="1678"/>
      <c r="F3032" s="1679"/>
      <c r="G3032" s="1680"/>
      <c r="H3032" s="1680"/>
    </row>
    <row r="3033" spans="1:11" ht="18.75" x14ac:dyDescent="0.25">
      <c r="A3033" s="1523"/>
      <c r="B3033" s="1655"/>
      <c r="C3033" s="1655"/>
      <c r="D3033" s="950"/>
      <c r="E3033" s="1655"/>
      <c r="F3033" s="1655"/>
      <c r="G3033" s="1655"/>
      <c r="H3033" s="8"/>
    </row>
    <row r="3034" spans="1:11" x14ac:dyDescent="0.25">
      <c r="A3034" s="1523"/>
      <c r="B3034" s="8"/>
      <c r="C3034" s="8"/>
      <c r="D3034" s="529"/>
      <c r="E3034" s="8"/>
      <c r="F3034" s="1523"/>
      <c r="G3034" s="1524"/>
      <c r="H3034" s="8"/>
    </row>
    <row r="3035" spans="1:11" x14ac:dyDescent="0.25">
      <c r="A3035" s="1665" t="s">
        <v>3</v>
      </c>
      <c r="B3035" s="1666">
        <f>+VLOOKUP(C3035,ListaAPUs!$B:$E,4,FALSE)</f>
        <v>10.66</v>
      </c>
      <c r="C3035" s="2441" t="str">
        <f>+ListaAPUs!B266</f>
        <v>Cable 2/0 CU desnudo</v>
      </c>
      <c r="D3035" s="2441"/>
      <c r="E3035" s="2441"/>
      <c r="F3035" s="1665" t="s">
        <v>867</v>
      </c>
      <c r="G3035" s="1390" t="str">
        <f>+VLOOKUP(C3035,ListaAPUs!$B:$E,2,FALSE)</f>
        <v>un</v>
      </c>
      <c r="H3035" s="1524"/>
    </row>
    <row r="3036" spans="1:11" x14ac:dyDescent="0.25">
      <c r="A3036" s="1528"/>
      <c r="B3036" s="1527"/>
      <c r="C3036" s="1527"/>
      <c r="D3036" s="529"/>
      <c r="E3036" s="1527"/>
      <c r="F3036" s="1528"/>
      <c r="G3036" s="1524"/>
      <c r="H3036" s="1524"/>
    </row>
    <row r="3037" spans="1:11" x14ac:dyDescent="0.25">
      <c r="A3037" s="1528"/>
      <c r="B3037" s="1527"/>
      <c r="C3037" s="1527"/>
      <c r="D3037" s="529"/>
      <c r="E3037" s="1527"/>
      <c r="F3037" s="1528"/>
      <c r="G3037" s="1529"/>
      <c r="H3037" s="1524"/>
    </row>
    <row r="3038" spans="1:11" ht="15.75" thickBot="1" x14ac:dyDescent="0.3">
      <c r="A3038" s="1528"/>
      <c r="B3038" s="1527"/>
      <c r="C3038" s="1527"/>
      <c r="D3038" s="529"/>
      <c r="E3038" s="1527"/>
      <c r="F3038" s="1528"/>
      <c r="G3038" s="1524"/>
      <c r="H3038" s="1524"/>
    </row>
    <row r="3039" spans="1:11" ht="15.75" thickBot="1" x14ac:dyDescent="0.3">
      <c r="A3039" s="1368"/>
      <c r="B3039" s="1369" t="s">
        <v>5403</v>
      </c>
      <c r="C3039" s="1363" t="s">
        <v>867</v>
      </c>
      <c r="D3039" s="1120" t="s">
        <v>6</v>
      </c>
      <c r="E3039" s="1363" t="s">
        <v>9417</v>
      </c>
      <c r="F3039" s="1363" t="s">
        <v>5405</v>
      </c>
      <c r="G3039" s="1370" t="s">
        <v>7179</v>
      </c>
      <c r="H3039" s="1371"/>
      <c r="J3039" s="1637"/>
      <c r="K3039" s="1637"/>
    </row>
    <row r="3040" spans="1:11" x14ac:dyDescent="0.25">
      <c r="A3040" s="1528"/>
      <c r="B3040" s="1746" t="s">
        <v>9545</v>
      </c>
      <c r="C3040" s="1802" t="s">
        <v>5432</v>
      </c>
      <c r="D3040" s="1794">
        <v>1</v>
      </c>
      <c r="E3040" s="1803">
        <v>18900</v>
      </c>
      <c r="F3040" s="1804">
        <v>1</v>
      </c>
      <c r="G3040" s="1805">
        <f>+F3040*E3040*D3040</f>
        <v>18900</v>
      </c>
      <c r="H3040" s="1524"/>
      <c r="J3040" s="1637"/>
      <c r="K3040" s="1637"/>
    </row>
    <row r="3041" spans="1:11" x14ac:dyDescent="0.25">
      <c r="A3041" s="1528"/>
      <c r="B3041" s="1822"/>
      <c r="C3041" s="1749"/>
      <c r="D3041" s="1773"/>
      <c r="E3041" s="1787"/>
      <c r="F3041" s="1769"/>
      <c r="G3041" s="1786"/>
      <c r="H3041" s="1524"/>
      <c r="J3041" s="1637"/>
      <c r="K3041" s="1637"/>
    </row>
    <row r="3042" spans="1:11" x14ac:dyDescent="0.25">
      <c r="A3042" s="1528"/>
      <c r="B3042" s="1822"/>
      <c r="C3042" s="1749"/>
      <c r="D3042" s="1773"/>
      <c r="E3042" s="1787"/>
      <c r="F3042" s="1769"/>
      <c r="G3042" s="1786"/>
      <c r="H3042" s="1524"/>
      <c r="J3042" s="1637"/>
      <c r="K3042" s="1637"/>
    </row>
    <row r="3043" spans="1:11" x14ac:dyDescent="0.25">
      <c r="A3043" s="1528"/>
      <c r="B3043" s="1539"/>
      <c r="C3043" s="1537"/>
      <c r="D3043" s="1563"/>
      <c r="E3043" s="1571"/>
      <c r="F3043" s="1563"/>
      <c r="G3043" s="814"/>
      <c r="H3043" s="1524"/>
      <c r="J3043" s="1637"/>
      <c r="K3043" s="1637"/>
    </row>
    <row r="3044" spans="1:11" x14ac:dyDescent="0.25">
      <c r="A3044" s="1528"/>
      <c r="B3044" s="1667"/>
      <c r="C3044" s="1537"/>
      <c r="D3044" s="212"/>
      <c r="E3044" s="816"/>
      <c r="F3044" s="1563"/>
      <c r="G3044" s="814"/>
      <c r="H3044" s="1524"/>
      <c r="J3044" s="1637"/>
      <c r="K3044" s="1637"/>
    </row>
    <row r="3045" spans="1:11" x14ac:dyDescent="0.25">
      <c r="A3045" s="1528"/>
      <c r="B3045" s="1667"/>
      <c r="C3045" s="1537"/>
      <c r="D3045" s="212"/>
      <c r="E3045" s="816"/>
      <c r="F3045" s="1563"/>
      <c r="G3045" s="814"/>
      <c r="H3045" s="1524"/>
      <c r="J3045" s="1637"/>
      <c r="K3045" s="1637"/>
    </row>
    <row r="3046" spans="1:11" x14ac:dyDescent="0.25">
      <c r="A3046" s="1528"/>
      <c r="B3046" s="1667"/>
      <c r="C3046" s="1537"/>
      <c r="D3046" s="212"/>
      <c r="E3046" s="816"/>
      <c r="F3046" s="1563"/>
      <c r="G3046" s="814"/>
      <c r="H3046" s="1524"/>
      <c r="J3046" s="1637"/>
      <c r="K3046" s="1637"/>
    </row>
    <row r="3047" spans="1:11" x14ac:dyDescent="0.25">
      <c r="A3047" s="1528"/>
      <c r="B3047" s="1667"/>
      <c r="C3047" s="1537"/>
      <c r="D3047" s="212"/>
      <c r="E3047" s="816"/>
      <c r="F3047" s="1563"/>
      <c r="G3047" s="814"/>
      <c r="H3047" s="1524"/>
      <c r="J3047" s="1637"/>
      <c r="K3047" s="1637"/>
    </row>
    <row r="3048" spans="1:11" x14ac:dyDescent="0.25">
      <c r="A3048" s="1528"/>
      <c r="B3048" s="1667"/>
      <c r="C3048" s="1537"/>
      <c r="D3048" s="212"/>
      <c r="E3048" s="816"/>
      <c r="F3048" s="1563"/>
      <c r="G3048" s="814"/>
      <c r="H3048" s="1524"/>
      <c r="J3048" s="1637"/>
      <c r="K3048" s="1637"/>
    </row>
    <row r="3049" spans="1:11" x14ac:dyDescent="0.25">
      <c r="A3049" s="1528"/>
      <c r="B3049" s="1667"/>
      <c r="C3049" s="1537"/>
      <c r="D3049" s="212"/>
      <c r="E3049" s="816"/>
      <c r="F3049" s="1563"/>
      <c r="G3049" s="814"/>
      <c r="H3049" s="1524"/>
      <c r="J3049" s="1637"/>
      <c r="K3049" s="1637"/>
    </row>
    <row r="3050" spans="1:11" x14ac:dyDescent="0.25">
      <c r="A3050" s="1528"/>
      <c r="B3050" s="1667"/>
      <c r="C3050" s="1537"/>
      <c r="D3050" s="212"/>
      <c r="E3050" s="816"/>
      <c r="F3050" s="1563"/>
      <c r="G3050" s="814"/>
      <c r="H3050" s="1524"/>
      <c r="J3050" s="1637"/>
      <c r="K3050" s="1637"/>
    </row>
    <row r="3051" spans="1:11" x14ac:dyDescent="0.25">
      <c r="A3051" s="1528"/>
      <c r="B3051" s="269"/>
      <c r="C3051" s="1537"/>
      <c r="D3051" s="212"/>
      <c r="E3051" s="816"/>
      <c r="F3051" s="1563"/>
      <c r="G3051" s="814"/>
      <c r="H3051" s="1524"/>
      <c r="J3051" s="1637"/>
      <c r="K3051" s="1637"/>
    </row>
    <row r="3052" spans="1:11" x14ac:dyDescent="0.25">
      <c r="A3052" s="1528"/>
      <c r="B3052" s="268"/>
      <c r="C3052" s="1534"/>
      <c r="D3052" s="211"/>
      <c r="E3052" s="1535" t="s">
        <v>7182</v>
      </c>
      <c r="F3052" s="1551"/>
      <c r="G3052" s="1541" t="s">
        <v>7182</v>
      </c>
      <c r="H3052" s="1524"/>
      <c r="J3052" s="1637"/>
      <c r="K3052" s="1637"/>
    </row>
    <row r="3053" spans="1:11" x14ac:dyDescent="0.25">
      <c r="A3053" s="1528"/>
      <c r="B3053" s="1346"/>
      <c r="C3053" s="1534"/>
      <c r="D3053" s="211"/>
      <c r="E3053" s="1535" t="s">
        <v>7182</v>
      </c>
      <c r="F3053" s="1551"/>
      <c r="G3053" s="1541" t="s">
        <v>7182</v>
      </c>
      <c r="H3053" s="1524"/>
      <c r="J3053" s="1637"/>
      <c r="K3053" s="1637"/>
    </row>
    <row r="3054" spans="1:11" ht="15.75" thickBot="1" x14ac:dyDescent="0.3">
      <c r="A3054" s="1528"/>
      <c r="B3054" s="1540"/>
      <c r="C3054" s="1537"/>
      <c r="D3054" s="952"/>
      <c r="E3054" s="1538" t="s">
        <v>7182</v>
      </c>
      <c r="F3054" s="1537"/>
      <c r="G3054" s="1541" t="s">
        <v>7182</v>
      </c>
      <c r="H3054" s="1524"/>
      <c r="J3054" s="1637"/>
      <c r="K3054" s="1637"/>
    </row>
    <row r="3055" spans="1:11" ht="15.75" thickBot="1" x14ac:dyDescent="0.3">
      <c r="A3055" s="1528"/>
      <c r="B3055" s="1555"/>
      <c r="C3055" s="1557"/>
      <c r="D3055" s="956"/>
      <c r="E3055" s="1556" t="s">
        <v>7182</v>
      </c>
      <c r="F3055" s="1557"/>
      <c r="G3055" s="1558" t="s">
        <v>7182</v>
      </c>
      <c r="H3055" s="1546">
        <f>SUM(G3040:G3055)</f>
        <v>18900</v>
      </c>
      <c r="J3055" s="1637"/>
      <c r="K3055" s="1637"/>
    </row>
    <row r="3056" spans="1:11" x14ac:dyDescent="0.25">
      <c r="A3056" s="1528"/>
      <c r="B3056" s="1372"/>
      <c r="C3056" s="1374"/>
      <c r="D3056" s="1373"/>
      <c r="E3056" s="1372" t="s">
        <v>7182</v>
      </c>
      <c r="F3056" s="1374"/>
      <c r="G3056" s="1375" t="s">
        <v>7182</v>
      </c>
      <c r="H3056" s="1550"/>
      <c r="J3056" s="1637"/>
      <c r="K3056" s="1637"/>
    </row>
    <row r="3057" spans="1:11" ht="15.75" thickBot="1" x14ac:dyDescent="0.3">
      <c r="A3057" s="1527"/>
      <c r="B3057" s="188"/>
      <c r="C3057" s="189"/>
      <c r="D3057" s="1668"/>
      <c r="E3057" s="188"/>
      <c r="F3057" s="189"/>
      <c r="G3057" s="1669"/>
      <c r="H3057" s="1550"/>
      <c r="J3057" s="1637"/>
      <c r="K3057" s="1637"/>
    </row>
    <row r="3058" spans="1:11" ht="15.75" thickBot="1" x14ac:dyDescent="0.3">
      <c r="A3058" s="1527"/>
      <c r="B3058" s="1366" t="s">
        <v>9418</v>
      </c>
      <c r="C3058" s="1363" t="s">
        <v>867</v>
      </c>
      <c r="D3058" s="1120" t="s">
        <v>6</v>
      </c>
      <c r="E3058" s="1363" t="s">
        <v>7183</v>
      </c>
      <c r="F3058" s="1363" t="s">
        <v>5405</v>
      </c>
      <c r="G3058" s="1365" t="s">
        <v>7179</v>
      </c>
      <c r="H3058" s="1524"/>
      <c r="J3058" s="1637"/>
      <c r="K3058" s="1637"/>
    </row>
    <row r="3059" spans="1:11" x14ac:dyDescent="0.25">
      <c r="A3059" s="1527"/>
      <c r="B3059" s="1564" t="s">
        <v>5455</v>
      </c>
      <c r="C3059" s="1534" t="s">
        <v>5</v>
      </c>
      <c r="D3059" s="211">
        <v>1</v>
      </c>
      <c r="E3059" s="1535">
        <v>500</v>
      </c>
      <c r="F3059" s="297">
        <v>1</v>
      </c>
      <c r="G3059" s="1572">
        <f>+F3059*E3059</f>
        <v>500</v>
      </c>
      <c r="H3059" s="1524"/>
      <c r="J3059" s="1637"/>
      <c r="K3059" s="1637"/>
    </row>
    <row r="3060" spans="1:11" x14ac:dyDescent="0.25">
      <c r="A3060" s="1527"/>
      <c r="B3060" s="1540"/>
      <c r="C3060" s="1537"/>
      <c r="D3060" s="212"/>
      <c r="E3060" s="1535" t="s">
        <v>7182</v>
      </c>
      <c r="F3060" s="1537"/>
      <c r="G3060" s="1572" t="s">
        <v>7182</v>
      </c>
      <c r="H3060" s="1524"/>
      <c r="J3060" s="1637"/>
      <c r="K3060" s="1637"/>
    </row>
    <row r="3061" spans="1:11" x14ac:dyDescent="0.25">
      <c r="A3061" s="1527"/>
      <c r="B3061" s="1540"/>
      <c r="C3061" s="1537"/>
      <c r="D3061" s="212"/>
      <c r="E3061" s="1535" t="s">
        <v>7182</v>
      </c>
      <c r="F3061" s="1537"/>
      <c r="G3061" s="1572" t="s">
        <v>7182</v>
      </c>
      <c r="H3061" s="1524"/>
      <c r="J3061" s="1637"/>
      <c r="K3061" s="1637"/>
    </row>
    <row r="3062" spans="1:11" ht="15.75" thickBot="1" x14ac:dyDescent="0.3">
      <c r="A3062" s="1527"/>
      <c r="B3062" s="1540"/>
      <c r="C3062" s="1537"/>
      <c r="D3062" s="212"/>
      <c r="E3062" s="1535" t="s">
        <v>7182</v>
      </c>
      <c r="F3062" s="1537"/>
      <c r="G3062" s="1572" t="s">
        <v>7182</v>
      </c>
      <c r="H3062" s="1524"/>
      <c r="J3062" s="1637"/>
      <c r="K3062" s="1637"/>
    </row>
    <row r="3063" spans="1:11" ht="15.75" thickBot="1" x14ac:dyDescent="0.3">
      <c r="A3063" s="1527"/>
      <c r="B3063" s="1555"/>
      <c r="C3063" s="1556"/>
      <c r="D3063" s="956"/>
      <c r="E3063" s="1556" t="s">
        <v>7182</v>
      </c>
      <c r="F3063" s="1557"/>
      <c r="G3063" s="1558" t="s">
        <v>7182</v>
      </c>
      <c r="H3063" s="1546">
        <f>SUM(G3059:G3063)</f>
        <v>500</v>
      </c>
      <c r="J3063" s="1637"/>
      <c r="K3063" s="1637"/>
    </row>
    <row r="3064" spans="1:11" ht="15.75" thickBot="1" x14ac:dyDescent="0.3">
      <c r="A3064" s="1527"/>
      <c r="B3064" s="1376"/>
      <c r="C3064" s="1353"/>
      <c r="D3064" s="1355"/>
      <c r="E3064" s="1352"/>
      <c r="F3064" s="1377"/>
      <c r="G3064" s="1378"/>
      <c r="H3064" s="1524"/>
      <c r="J3064" s="1637"/>
      <c r="K3064" s="1637"/>
    </row>
    <row r="3065" spans="1:11" ht="15.75" thickBot="1" x14ac:dyDescent="0.3">
      <c r="A3065" s="1527"/>
      <c r="B3065" s="1366" t="s">
        <v>5410</v>
      </c>
      <c r="C3065" s="1363" t="s">
        <v>867</v>
      </c>
      <c r="D3065" s="1120" t="s">
        <v>6</v>
      </c>
      <c r="E3065" s="1363" t="s">
        <v>7183</v>
      </c>
      <c r="F3065" s="1363" t="s">
        <v>5405</v>
      </c>
      <c r="G3065" s="1365" t="s">
        <v>7179</v>
      </c>
      <c r="H3065" s="1524"/>
      <c r="J3065" s="1637"/>
      <c r="K3065" s="1637"/>
    </row>
    <row r="3066" spans="1:11" ht="25.5" x14ac:dyDescent="0.25">
      <c r="A3066" s="1527"/>
      <c r="B3066" s="1564" t="s">
        <v>9421</v>
      </c>
      <c r="C3066" s="1534" t="s">
        <v>9023</v>
      </c>
      <c r="D3066" s="211">
        <v>1</v>
      </c>
      <c r="E3066" s="1535">
        <v>1500</v>
      </c>
      <c r="F3066" s="297">
        <v>0.1</v>
      </c>
      <c r="G3066" s="1572">
        <f>+F3066*E3066</f>
        <v>150</v>
      </c>
      <c r="H3066" s="1524"/>
      <c r="J3066" s="1637"/>
      <c r="K3066" s="1637"/>
    </row>
    <row r="3067" spans="1:11" x14ac:dyDescent="0.25">
      <c r="A3067" s="1527"/>
      <c r="B3067" s="1540"/>
      <c r="C3067" s="1537"/>
      <c r="D3067" s="212"/>
      <c r="E3067" s="1535" t="s">
        <v>7182</v>
      </c>
      <c r="F3067" s="1537"/>
      <c r="G3067" s="1572" t="s">
        <v>7182</v>
      </c>
      <c r="H3067" s="1524"/>
      <c r="J3067" s="1637"/>
      <c r="K3067" s="1637"/>
    </row>
    <row r="3068" spans="1:11" x14ac:dyDescent="0.25">
      <c r="A3068" s="1527"/>
      <c r="B3068" s="1540"/>
      <c r="C3068" s="1537"/>
      <c r="D3068" s="212"/>
      <c r="E3068" s="1535" t="s">
        <v>7182</v>
      </c>
      <c r="F3068" s="1537"/>
      <c r="G3068" s="1572" t="s">
        <v>7182</v>
      </c>
      <c r="H3068" s="1524"/>
      <c r="J3068" s="1637"/>
      <c r="K3068" s="1637"/>
    </row>
    <row r="3069" spans="1:11" ht="15.75" thickBot="1" x14ac:dyDescent="0.3">
      <c r="A3069" s="1527"/>
      <c r="B3069" s="1540"/>
      <c r="C3069" s="1537"/>
      <c r="D3069" s="212"/>
      <c r="E3069" s="1535" t="s">
        <v>7182</v>
      </c>
      <c r="F3069" s="1537"/>
      <c r="G3069" s="1572" t="s">
        <v>7182</v>
      </c>
      <c r="H3069" s="1524"/>
      <c r="J3069" s="1637"/>
      <c r="K3069" s="1637"/>
    </row>
    <row r="3070" spans="1:11" ht="15.75" thickBot="1" x14ac:dyDescent="0.3">
      <c r="A3070" s="1527"/>
      <c r="B3070" s="1555"/>
      <c r="C3070" s="1556"/>
      <c r="D3070" s="956"/>
      <c r="E3070" s="1556" t="s">
        <v>7182</v>
      </c>
      <c r="F3070" s="1557"/>
      <c r="G3070" s="1558" t="s">
        <v>7182</v>
      </c>
      <c r="H3070" s="1546">
        <f>SUM(G3066:G3070)</f>
        <v>150</v>
      </c>
      <c r="J3070" s="1637"/>
      <c r="K3070" s="1637"/>
    </row>
    <row r="3071" spans="1:11" ht="15.75" thickBot="1" x14ac:dyDescent="0.3">
      <c r="A3071" s="1527"/>
      <c r="B3071" s="1547"/>
      <c r="C3071" s="1547"/>
      <c r="D3071" s="954"/>
      <c r="E3071" s="1547"/>
      <c r="F3071" s="1553"/>
      <c r="G3071" s="1554"/>
      <c r="H3071" s="1550"/>
    </row>
    <row r="3072" spans="1:11" ht="15.75" thickBot="1" x14ac:dyDescent="0.3">
      <c r="A3072" s="1559"/>
      <c r="B3072" s="1369" t="s">
        <v>5412</v>
      </c>
      <c r="C3072" s="1363" t="s">
        <v>5420</v>
      </c>
      <c r="D3072" s="1120" t="s">
        <v>5421</v>
      </c>
      <c r="E3072" s="1363" t="s">
        <v>7187</v>
      </c>
      <c r="F3072" s="1363" t="s">
        <v>5405</v>
      </c>
      <c r="G3072" s="1370" t="s">
        <v>7179</v>
      </c>
      <c r="H3072" s="1371"/>
    </row>
    <row r="3073" spans="1:11" x14ac:dyDescent="0.25">
      <c r="A3073" s="1527"/>
      <c r="B3073" s="1560" t="s">
        <v>9422</v>
      </c>
      <c r="C3073" s="1569">
        <v>170000</v>
      </c>
      <c r="D3073" s="352">
        <f>0.6*C3073</f>
        <v>102000</v>
      </c>
      <c r="E3073" s="1569">
        <f>+D3073+C3073</f>
        <v>272000</v>
      </c>
      <c r="F3073" s="819">
        <v>0.02</v>
      </c>
      <c r="G3073" s="818">
        <f>+F3073*E3073</f>
        <v>5440</v>
      </c>
      <c r="H3073" s="1524"/>
    </row>
    <row r="3074" spans="1:11" x14ac:dyDescent="0.25">
      <c r="A3074" s="1527"/>
      <c r="B3074" s="1560"/>
      <c r="C3074" s="1569"/>
      <c r="D3074" s="1569"/>
      <c r="E3074" s="1569"/>
      <c r="F3074" s="819"/>
      <c r="G3074" s="818"/>
      <c r="H3074" s="1524"/>
    </row>
    <row r="3075" spans="1:11" x14ac:dyDescent="0.25">
      <c r="A3075" s="1527"/>
      <c r="B3075" s="1561"/>
      <c r="C3075" s="1569"/>
      <c r="D3075" s="1569"/>
      <c r="E3075" s="1569"/>
      <c r="F3075" s="817"/>
      <c r="G3075" s="818"/>
      <c r="H3075" s="1524"/>
    </row>
    <row r="3076" spans="1:11" x14ac:dyDescent="0.25">
      <c r="A3076" s="1527"/>
      <c r="B3076" s="1540"/>
      <c r="C3076" s="1569"/>
      <c r="D3076" s="1569"/>
      <c r="E3076" s="1569"/>
      <c r="F3076" s="817"/>
      <c r="G3076" s="818"/>
      <c r="H3076" s="1524"/>
    </row>
    <row r="3077" spans="1:11" x14ac:dyDescent="0.25">
      <c r="A3077" s="1527"/>
      <c r="B3077" s="1540"/>
      <c r="C3077" s="1538" t="s">
        <v>7182</v>
      </c>
      <c r="D3077" s="952" t="s">
        <v>7182</v>
      </c>
      <c r="E3077" s="1538" t="s">
        <v>7182</v>
      </c>
      <c r="F3077" s="817"/>
      <c r="G3077" s="818" t="str">
        <f>IF(B3077="","",E3077/F3077)</f>
        <v/>
      </c>
      <c r="H3077" s="1524"/>
    </row>
    <row r="3078" spans="1:11" ht="15.75" thickBot="1" x14ac:dyDescent="0.3">
      <c r="A3078" s="1527"/>
      <c r="B3078" s="1540"/>
      <c r="C3078" s="1538" t="s">
        <v>7182</v>
      </c>
      <c r="D3078" s="952" t="s">
        <v>7182</v>
      </c>
      <c r="E3078" s="1538" t="s">
        <v>7182</v>
      </c>
      <c r="F3078" s="1537"/>
      <c r="G3078" s="818" t="str">
        <f>IF(B3078="","",E3078/F3078)</f>
        <v/>
      </c>
      <c r="H3078" s="1524"/>
    </row>
    <row r="3079" spans="1:11" ht="15.75" thickBot="1" x14ac:dyDescent="0.3">
      <c r="A3079" s="1527"/>
      <c r="B3079" s="1555"/>
      <c r="C3079" s="1556"/>
      <c r="D3079" s="956"/>
      <c r="E3079" s="1556"/>
      <c r="F3079" s="1557"/>
      <c r="G3079" s="1558"/>
      <c r="H3079" s="1546">
        <f>SUM(G3073:G3079)</f>
        <v>5440</v>
      </c>
    </row>
    <row r="3080" spans="1:11" ht="15.75" thickBot="1" x14ac:dyDescent="0.3">
      <c r="A3080" s="1527"/>
      <c r="B3080" s="1527"/>
      <c r="C3080" s="1527"/>
      <c r="D3080" s="529"/>
      <c r="F3080" s="1528"/>
      <c r="G3080" s="1524"/>
      <c r="H3080" s="1524"/>
    </row>
    <row r="3081" spans="1:11" ht="15.75" thickBot="1" x14ac:dyDescent="0.3">
      <c r="A3081" s="1647" t="s">
        <v>6744</v>
      </c>
      <c r="B3081" s="1352"/>
      <c r="C3081" s="1352"/>
      <c r="D3081" s="1671"/>
      <c r="E3081" s="1672"/>
      <c r="F3081" s="1353"/>
      <c r="G3081" s="1527" t="s">
        <v>5415</v>
      </c>
      <c r="H3081" s="502">
        <f>ROUND(SUM(H3039:H3080),0)</f>
        <v>24990</v>
      </c>
      <c r="J3081" s="1673">
        <f>+B3035</f>
        <v>10.66</v>
      </c>
      <c r="K3081" s="1674">
        <f>+H3081</f>
        <v>24990</v>
      </c>
    </row>
    <row r="3082" spans="1:11" x14ac:dyDescent="0.25">
      <c r="A3082" s="1675"/>
      <c r="B3082" s="1676"/>
      <c r="C3082" s="1676"/>
      <c r="D3082" s="1677"/>
      <c r="E3082" s="1678"/>
      <c r="F3082" s="1679"/>
      <c r="G3082" s="1680"/>
      <c r="H3082" s="1680"/>
    </row>
    <row r="3083" spans="1:11" ht="18.75" x14ac:dyDescent="0.25">
      <c r="A3083" s="1523"/>
      <c r="B3083" s="1655"/>
      <c r="C3083" s="1655"/>
      <c r="D3083" s="950"/>
      <c r="E3083" s="1655"/>
      <c r="F3083" s="1655"/>
      <c r="G3083" s="1655"/>
      <c r="H3083" s="8"/>
    </row>
    <row r="3084" spans="1:11" x14ac:dyDescent="0.25">
      <c r="A3084" s="1523"/>
      <c r="B3084" s="8"/>
      <c r="C3084" s="8"/>
      <c r="D3084" s="529"/>
      <c r="E3084" s="8"/>
      <c r="F3084" s="1523"/>
      <c r="G3084" s="1524"/>
      <c r="H3084" s="8"/>
    </row>
    <row r="3085" spans="1:11" x14ac:dyDescent="0.25">
      <c r="A3085" s="1665" t="s">
        <v>3</v>
      </c>
      <c r="B3085" s="1666">
        <f>+VLOOKUP(C3085,ListaAPUs!$B:$E,4,FALSE)</f>
        <v>10.67</v>
      </c>
      <c r="C3085" s="2441" t="str">
        <f>+ListaAPUs!B267</f>
        <v>Soldadura exotermica 115 Grs.</v>
      </c>
      <c r="D3085" s="2441"/>
      <c r="E3085" s="2441"/>
      <c r="F3085" s="1665" t="s">
        <v>867</v>
      </c>
      <c r="G3085" s="1390" t="str">
        <f>+VLOOKUP(C3085,ListaAPUs!$B:$E,2,FALSE)</f>
        <v>un</v>
      </c>
      <c r="H3085" s="1524"/>
    </row>
    <row r="3086" spans="1:11" x14ac:dyDescent="0.25">
      <c r="A3086" s="1528"/>
      <c r="B3086" s="1527"/>
      <c r="C3086" s="1527"/>
      <c r="D3086" s="529"/>
      <c r="E3086" s="1527"/>
      <c r="F3086" s="1528"/>
      <c r="G3086" s="1524"/>
      <c r="H3086" s="1524"/>
    </row>
    <row r="3087" spans="1:11" x14ac:dyDescent="0.25">
      <c r="A3087" s="1528"/>
      <c r="B3087" s="1527"/>
      <c r="C3087" s="1527"/>
      <c r="D3087" s="529"/>
      <c r="E3087" s="1527"/>
      <c r="F3087" s="1528"/>
      <c r="G3087" s="1529"/>
      <c r="H3087" s="1524"/>
      <c r="J3087" s="1637"/>
      <c r="K3087" s="1637"/>
    </row>
    <row r="3088" spans="1:11" ht="15.75" thickBot="1" x14ac:dyDescent="0.3">
      <c r="A3088" s="1528"/>
      <c r="B3088" s="1527"/>
      <c r="C3088" s="1527"/>
      <c r="D3088" s="529"/>
      <c r="E3088" s="1527"/>
      <c r="F3088" s="1528"/>
      <c r="G3088" s="1524"/>
      <c r="H3088" s="1524"/>
      <c r="J3088" s="1637"/>
      <c r="K3088" s="1637"/>
    </row>
    <row r="3089" spans="1:11" ht="15.75" thickBot="1" x14ac:dyDescent="0.3">
      <c r="A3089" s="1368"/>
      <c r="B3089" s="1369" t="s">
        <v>5403</v>
      </c>
      <c r="C3089" s="1363" t="s">
        <v>867</v>
      </c>
      <c r="D3089" s="1120" t="s">
        <v>6</v>
      </c>
      <c r="E3089" s="1363" t="s">
        <v>9417</v>
      </c>
      <c r="F3089" s="1363" t="s">
        <v>5405</v>
      </c>
      <c r="G3089" s="1370" t="s">
        <v>7179</v>
      </c>
      <c r="H3089" s="1371"/>
      <c r="J3089" s="1637"/>
      <c r="K3089" s="1637"/>
    </row>
    <row r="3090" spans="1:11" ht="25.5" x14ac:dyDescent="0.25">
      <c r="A3090" s="1528"/>
      <c r="B3090" s="1533" t="s">
        <v>9547</v>
      </c>
      <c r="C3090" s="1348" t="s">
        <v>5432</v>
      </c>
      <c r="D3090" s="967">
        <v>1</v>
      </c>
      <c r="E3090" s="1349">
        <f>14000*1.19</f>
        <v>16660</v>
      </c>
      <c r="F3090" s="1350">
        <v>1</v>
      </c>
      <c r="G3090" s="1351">
        <f>+F3090*E3090*D3090</f>
        <v>16660</v>
      </c>
      <c r="H3090" s="1524"/>
      <c r="J3090" s="1637"/>
      <c r="K3090" s="1637"/>
    </row>
    <row r="3091" spans="1:11" x14ac:dyDescent="0.25">
      <c r="A3091" s="1528"/>
      <c r="B3091" s="1539" t="s">
        <v>9548</v>
      </c>
      <c r="C3091" s="1537" t="s">
        <v>5</v>
      </c>
      <c r="D3091" s="212">
        <v>0.05</v>
      </c>
      <c r="E3091" s="1681">
        <v>23000</v>
      </c>
      <c r="F3091" s="1563">
        <v>1</v>
      </c>
      <c r="G3091" s="814">
        <f>+F3091*E3091*D3091</f>
        <v>1150</v>
      </c>
      <c r="H3091" s="1524"/>
      <c r="J3091" s="1637"/>
      <c r="K3091" s="1637"/>
    </row>
    <row r="3092" spans="1:11" x14ac:dyDescent="0.25">
      <c r="A3092" s="1528"/>
      <c r="B3092" s="1667"/>
      <c r="C3092" s="1537"/>
      <c r="D3092" s="212"/>
      <c r="E3092" s="816"/>
      <c r="F3092" s="1563"/>
      <c r="G3092" s="814"/>
      <c r="H3092" s="1524"/>
      <c r="J3092" s="1637"/>
      <c r="K3092" s="1637"/>
    </row>
    <row r="3093" spans="1:11" x14ac:dyDescent="0.25">
      <c r="A3093" s="1528"/>
      <c r="B3093" s="1667"/>
      <c r="C3093" s="1537"/>
      <c r="D3093" s="212"/>
      <c r="E3093" s="816"/>
      <c r="F3093" s="1563"/>
      <c r="G3093" s="814"/>
      <c r="H3093" s="1524"/>
      <c r="J3093" s="1637"/>
      <c r="K3093" s="1637"/>
    </row>
    <row r="3094" spans="1:11" x14ac:dyDescent="0.25">
      <c r="A3094" s="1528"/>
      <c r="B3094" s="1667"/>
      <c r="C3094" s="1537"/>
      <c r="D3094" s="212"/>
      <c r="E3094" s="816"/>
      <c r="F3094" s="1563"/>
      <c r="G3094" s="814"/>
      <c r="H3094" s="1524"/>
      <c r="J3094" s="1637"/>
      <c r="K3094" s="1637"/>
    </row>
    <row r="3095" spans="1:11" x14ac:dyDescent="0.25">
      <c r="A3095" s="1528"/>
      <c r="B3095" s="1667"/>
      <c r="C3095" s="1537"/>
      <c r="D3095" s="212"/>
      <c r="E3095" s="816"/>
      <c r="F3095" s="1563"/>
      <c r="G3095" s="814"/>
      <c r="H3095" s="1524"/>
      <c r="J3095" s="1637"/>
      <c r="K3095" s="1637"/>
    </row>
    <row r="3096" spans="1:11" x14ac:dyDescent="0.25">
      <c r="A3096" s="1528"/>
      <c r="B3096" s="1667"/>
      <c r="C3096" s="1537"/>
      <c r="D3096" s="212"/>
      <c r="E3096" s="816"/>
      <c r="F3096" s="1563"/>
      <c r="G3096" s="814"/>
      <c r="H3096" s="1524"/>
      <c r="J3096" s="1637"/>
      <c r="K3096" s="1637"/>
    </row>
    <row r="3097" spans="1:11" x14ac:dyDescent="0.25">
      <c r="A3097" s="1528"/>
      <c r="B3097" s="1667"/>
      <c r="C3097" s="1537"/>
      <c r="D3097" s="212"/>
      <c r="E3097" s="816"/>
      <c r="F3097" s="1563"/>
      <c r="G3097" s="814"/>
      <c r="H3097" s="1524"/>
      <c r="J3097" s="1637"/>
      <c r="K3097" s="1637"/>
    </row>
    <row r="3098" spans="1:11" x14ac:dyDescent="0.25">
      <c r="A3098" s="1528"/>
      <c r="B3098" s="1667"/>
      <c r="C3098" s="1537"/>
      <c r="D3098" s="212"/>
      <c r="E3098" s="816"/>
      <c r="F3098" s="1563"/>
      <c r="G3098" s="814"/>
      <c r="H3098" s="1524"/>
      <c r="J3098" s="1637"/>
      <c r="K3098" s="1637"/>
    </row>
    <row r="3099" spans="1:11" x14ac:dyDescent="0.25">
      <c r="A3099" s="1528"/>
      <c r="B3099" s="1667"/>
      <c r="C3099" s="1537"/>
      <c r="D3099" s="212"/>
      <c r="E3099" s="816"/>
      <c r="F3099" s="1563"/>
      <c r="G3099" s="814"/>
      <c r="H3099" s="1524"/>
      <c r="J3099" s="1637"/>
      <c r="K3099" s="1637"/>
    </row>
    <row r="3100" spans="1:11" x14ac:dyDescent="0.25">
      <c r="A3100" s="1528"/>
      <c r="B3100" s="1667"/>
      <c r="C3100" s="1537"/>
      <c r="D3100" s="212"/>
      <c r="E3100" s="816"/>
      <c r="F3100" s="1563"/>
      <c r="G3100" s="814"/>
      <c r="H3100" s="1524"/>
      <c r="J3100" s="1637"/>
      <c r="K3100" s="1637"/>
    </row>
    <row r="3101" spans="1:11" x14ac:dyDescent="0.25">
      <c r="A3101" s="1528"/>
      <c r="B3101" s="269"/>
      <c r="C3101" s="1537"/>
      <c r="D3101" s="212"/>
      <c r="E3101" s="816"/>
      <c r="F3101" s="1563"/>
      <c r="G3101" s="814"/>
      <c r="H3101" s="1524"/>
      <c r="J3101" s="1637"/>
      <c r="K3101" s="1637"/>
    </row>
    <row r="3102" spans="1:11" x14ac:dyDescent="0.25">
      <c r="A3102" s="1528"/>
      <c r="B3102" s="268"/>
      <c r="C3102" s="1534"/>
      <c r="D3102" s="211"/>
      <c r="E3102" s="1535" t="s">
        <v>7182</v>
      </c>
      <c r="F3102" s="1551"/>
      <c r="G3102" s="1541" t="s">
        <v>7182</v>
      </c>
      <c r="H3102" s="1524"/>
      <c r="J3102" s="1637"/>
      <c r="K3102" s="1637"/>
    </row>
    <row r="3103" spans="1:11" x14ac:dyDescent="0.25">
      <c r="A3103" s="1528"/>
      <c r="B3103" s="1346"/>
      <c r="C3103" s="1534"/>
      <c r="D3103" s="211"/>
      <c r="E3103" s="1535" t="s">
        <v>7182</v>
      </c>
      <c r="F3103" s="1551"/>
      <c r="G3103" s="1541" t="s">
        <v>7182</v>
      </c>
      <c r="H3103" s="1524"/>
      <c r="J3103" s="1637"/>
      <c r="K3103" s="1637"/>
    </row>
    <row r="3104" spans="1:11" ht="15.75" thickBot="1" x14ac:dyDescent="0.3">
      <c r="A3104" s="1528"/>
      <c r="B3104" s="1540"/>
      <c r="C3104" s="1537"/>
      <c r="D3104" s="952"/>
      <c r="E3104" s="1538" t="s">
        <v>7182</v>
      </c>
      <c r="F3104" s="1537"/>
      <c r="G3104" s="1541" t="s">
        <v>7182</v>
      </c>
      <c r="H3104" s="1524"/>
      <c r="J3104" s="1637"/>
      <c r="K3104" s="1637"/>
    </row>
    <row r="3105" spans="1:11" ht="15.75" thickBot="1" x14ac:dyDescent="0.3">
      <c r="A3105" s="1528"/>
      <c r="B3105" s="1555"/>
      <c r="C3105" s="1557"/>
      <c r="D3105" s="956"/>
      <c r="E3105" s="1556" t="s">
        <v>7182</v>
      </c>
      <c r="F3105" s="1557"/>
      <c r="G3105" s="1558" t="s">
        <v>7182</v>
      </c>
      <c r="H3105" s="1546">
        <f>SUM(G3090:G3105)</f>
        <v>17810</v>
      </c>
      <c r="J3105" s="1637"/>
      <c r="K3105" s="1637"/>
    </row>
    <row r="3106" spans="1:11" x14ac:dyDescent="0.25">
      <c r="A3106" s="1528"/>
      <c r="B3106" s="1372"/>
      <c r="C3106" s="1374"/>
      <c r="D3106" s="1373"/>
      <c r="E3106" s="1372" t="s">
        <v>7182</v>
      </c>
      <c r="F3106" s="1374"/>
      <c r="G3106" s="1375" t="s">
        <v>7182</v>
      </c>
      <c r="H3106" s="1550"/>
      <c r="J3106" s="1637"/>
      <c r="K3106" s="1637"/>
    </row>
    <row r="3107" spans="1:11" ht="15.75" thickBot="1" x14ac:dyDescent="0.3">
      <c r="A3107" s="1527"/>
      <c r="B3107" s="188"/>
      <c r="C3107" s="189"/>
      <c r="D3107" s="1668"/>
      <c r="E3107" s="188"/>
      <c r="F3107" s="189"/>
      <c r="G3107" s="1669"/>
      <c r="H3107" s="1550"/>
      <c r="J3107" s="1637"/>
      <c r="K3107" s="1637"/>
    </row>
    <row r="3108" spans="1:11" ht="15.75" thickBot="1" x14ac:dyDescent="0.3">
      <c r="A3108" s="1527"/>
      <c r="B3108" s="1366" t="s">
        <v>9418</v>
      </c>
      <c r="C3108" s="1363" t="s">
        <v>867</v>
      </c>
      <c r="D3108" s="1120" t="s">
        <v>6</v>
      </c>
      <c r="E3108" s="1363" t="s">
        <v>7183</v>
      </c>
      <c r="F3108" s="1363" t="s">
        <v>5405</v>
      </c>
      <c r="G3108" s="1365" t="s">
        <v>7179</v>
      </c>
      <c r="H3108" s="1524"/>
      <c r="J3108" s="1637"/>
      <c r="K3108" s="1637"/>
    </row>
    <row r="3109" spans="1:11" ht="25.5" x14ac:dyDescent="0.25">
      <c r="A3109" s="1527"/>
      <c r="B3109" s="1770" t="s">
        <v>9549</v>
      </c>
      <c r="C3109" s="1747" t="s">
        <v>5</v>
      </c>
      <c r="D3109" s="1772">
        <v>1</v>
      </c>
      <c r="E3109" s="1748">
        <v>25000</v>
      </c>
      <c r="F3109" s="1777">
        <v>0.05</v>
      </c>
      <c r="G3109" s="1783">
        <f>+F3109*E3109</f>
        <v>1250</v>
      </c>
      <c r="H3109" s="1524"/>
      <c r="J3109" s="1637"/>
      <c r="K3109" s="1637"/>
    </row>
    <row r="3110" spans="1:11" x14ac:dyDescent="0.25">
      <c r="A3110" s="1527"/>
      <c r="B3110" s="1752"/>
      <c r="C3110" s="1749"/>
      <c r="D3110" s="1773"/>
      <c r="E3110" s="1748" t="s">
        <v>7182</v>
      </c>
      <c r="F3110" s="1749"/>
      <c r="G3110" s="1783" t="s">
        <v>7182</v>
      </c>
      <c r="H3110" s="1524"/>
      <c r="J3110" s="1637"/>
      <c r="K3110" s="1637"/>
    </row>
    <row r="3111" spans="1:11" x14ac:dyDescent="0.25">
      <c r="A3111" s="1527"/>
      <c r="B3111" s="1540"/>
      <c r="C3111" s="1537"/>
      <c r="D3111" s="212"/>
      <c r="E3111" s="1535" t="s">
        <v>7182</v>
      </c>
      <c r="F3111" s="1537"/>
      <c r="G3111" s="1572" t="s">
        <v>7182</v>
      </c>
      <c r="H3111" s="1524"/>
      <c r="J3111" s="1637"/>
      <c r="K3111" s="1637"/>
    </row>
    <row r="3112" spans="1:11" ht="15.75" thickBot="1" x14ac:dyDescent="0.3">
      <c r="A3112" s="1527"/>
      <c r="B3112" s="1540"/>
      <c r="C3112" s="1537"/>
      <c r="D3112" s="212"/>
      <c r="E3112" s="1535" t="s">
        <v>7182</v>
      </c>
      <c r="F3112" s="1537"/>
      <c r="G3112" s="1572" t="s">
        <v>7182</v>
      </c>
      <c r="H3112" s="1524"/>
      <c r="J3112" s="1637"/>
      <c r="K3112" s="1637"/>
    </row>
    <row r="3113" spans="1:11" ht="15.75" thickBot="1" x14ac:dyDescent="0.3">
      <c r="A3113" s="1527"/>
      <c r="B3113" s="1555"/>
      <c r="C3113" s="1556"/>
      <c r="D3113" s="956"/>
      <c r="E3113" s="1556" t="s">
        <v>7182</v>
      </c>
      <c r="F3113" s="1557"/>
      <c r="G3113" s="1558" t="s">
        <v>7182</v>
      </c>
      <c r="H3113" s="1546">
        <f>SUM(G3109:G3113)</f>
        <v>1250</v>
      </c>
      <c r="J3113" s="1637"/>
      <c r="K3113" s="1637"/>
    </row>
    <row r="3114" spans="1:11" ht="15.75" thickBot="1" x14ac:dyDescent="0.3">
      <c r="A3114" s="1527"/>
      <c r="B3114" s="1376"/>
      <c r="C3114" s="1353"/>
      <c r="D3114" s="1355"/>
      <c r="E3114" s="1352"/>
      <c r="F3114" s="1377"/>
      <c r="G3114" s="1378"/>
      <c r="H3114" s="1524"/>
      <c r="J3114" s="1637"/>
      <c r="K3114" s="1637"/>
    </row>
    <row r="3115" spans="1:11" ht="15.75" thickBot="1" x14ac:dyDescent="0.3">
      <c r="A3115" s="1527"/>
      <c r="B3115" s="1366" t="s">
        <v>5410</v>
      </c>
      <c r="C3115" s="1363" t="s">
        <v>867</v>
      </c>
      <c r="D3115" s="1120" t="s">
        <v>6</v>
      </c>
      <c r="E3115" s="1363" t="s">
        <v>7183</v>
      </c>
      <c r="F3115" s="1363" t="s">
        <v>5405</v>
      </c>
      <c r="G3115" s="1365" t="s">
        <v>7179</v>
      </c>
      <c r="H3115" s="1524"/>
      <c r="J3115" s="1637"/>
      <c r="K3115" s="1637"/>
    </row>
    <row r="3116" spans="1:11" ht="25.5" x14ac:dyDescent="0.25">
      <c r="A3116" s="1527"/>
      <c r="B3116" s="1770" t="s">
        <v>9421</v>
      </c>
      <c r="C3116" s="1747" t="s">
        <v>9023</v>
      </c>
      <c r="D3116" s="1772">
        <v>1</v>
      </c>
      <c r="E3116" s="1748">
        <v>5000</v>
      </c>
      <c r="F3116" s="1777">
        <v>0.1</v>
      </c>
      <c r="G3116" s="1783">
        <f>+F3116*E3116</f>
        <v>500</v>
      </c>
      <c r="H3116" s="1524"/>
      <c r="J3116" s="1637"/>
      <c r="K3116" s="1637"/>
    </row>
    <row r="3117" spans="1:11" x14ac:dyDescent="0.25">
      <c r="A3117" s="1527"/>
      <c r="B3117" s="1540"/>
      <c r="C3117" s="1537"/>
      <c r="D3117" s="212"/>
      <c r="E3117" s="1535" t="s">
        <v>7182</v>
      </c>
      <c r="F3117" s="1537"/>
      <c r="G3117" s="1572" t="s">
        <v>7182</v>
      </c>
      <c r="H3117" s="1524"/>
      <c r="J3117" s="1637"/>
      <c r="K3117" s="1637"/>
    </row>
    <row r="3118" spans="1:11" x14ac:dyDescent="0.25">
      <c r="A3118" s="1527"/>
      <c r="B3118" s="1540"/>
      <c r="C3118" s="1537"/>
      <c r="D3118" s="212"/>
      <c r="E3118" s="1535" t="s">
        <v>7182</v>
      </c>
      <c r="F3118" s="1537"/>
      <c r="G3118" s="1572" t="s">
        <v>7182</v>
      </c>
      <c r="H3118" s="1524"/>
      <c r="J3118" s="1637"/>
      <c r="K3118" s="1637"/>
    </row>
    <row r="3119" spans="1:11" ht="15.75" thickBot="1" x14ac:dyDescent="0.3">
      <c r="A3119" s="1527"/>
      <c r="B3119" s="1540"/>
      <c r="C3119" s="1537"/>
      <c r="D3119" s="212"/>
      <c r="E3119" s="1535" t="s">
        <v>7182</v>
      </c>
      <c r="F3119" s="1537"/>
      <c r="G3119" s="1572" t="s">
        <v>7182</v>
      </c>
      <c r="H3119" s="1524"/>
    </row>
    <row r="3120" spans="1:11" ht="15.75" thickBot="1" x14ac:dyDescent="0.3">
      <c r="A3120" s="1527"/>
      <c r="B3120" s="1555"/>
      <c r="C3120" s="1556"/>
      <c r="D3120" s="956"/>
      <c r="E3120" s="1556" t="s">
        <v>7182</v>
      </c>
      <c r="F3120" s="1557"/>
      <c r="G3120" s="1558" t="s">
        <v>7182</v>
      </c>
      <c r="H3120" s="1546">
        <f>SUM(G3116:G3120)</f>
        <v>500</v>
      </c>
    </row>
    <row r="3121" spans="1:11" ht="15.75" thickBot="1" x14ac:dyDescent="0.3">
      <c r="A3121" s="1527"/>
      <c r="B3121" s="1547"/>
      <c r="C3121" s="1547"/>
      <c r="D3121" s="954"/>
      <c r="E3121" s="1547"/>
      <c r="F3121" s="1553"/>
      <c r="G3121" s="1554"/>
      <c r="H3121" s="1550"/>
    </row>
    <row r="3122" spans="1:11" ht="15.75" thickBot="1" x14ac:dyDescent="0.3">
      <c r="A3122" s="1559"/>
      <c r="B3122" s="1369" t="s">
        <v>5412</v>
      </c>
      <c r="C3122" s="1363" t="s">
        <v>5420</v>
      </c>
      <c r="D3122" s="1120" t="s">
        <v>5421</v>
      </c>
      <c r="E3122" s="1363" t="s">
        <v>7187</v>
      </c>
      <c r="F3122" s="1363" t="s">
        <v>5405</v>
      </c>
      <c r="G3122" s="1370" t="s">
        <v>7179</v>
      </c>
      <c r="H3122" s="1371"/>
    </row>
    <row r="3123" spans="1:11" x14ac:dyDescent="0.25">
      <c r="A3123" s="1527"/>
      <c r="B3123" s="1767" t="s">
        <v>9422</v>
      </c>
      <c r="C3123" s="1778">
        <v>170000</v>
      </c>
      <c r="D3123" s="1779">
        <f>0.6*C3123</f>
        <v>102000</v>
      </c>
      <c r="E3123" s="1778">
        <f>+D3123+C3123</f>
        <v>272000</v>
      </c>
      <c r="F3123" s="1790">
        <v>0.05</v>
      </c>
      <c r="G3123" s="1789">
        <f>+F3123*E3123</f>
        <v>13600</v>
      </c>
      <c r="H3123" s="1524"/>
    </row>
    <row r="3124" spans="1:11" x14ac:dyDescent="0.25">
      <c r="A3124" s="1527"/>
      <c r="B3124" s="1767"/>
      <c r="C3124" s="1778"/>
      <c r="D3124" s="1778"/>
      <c r="E3124" s="1778"/>
      <c r="F3124" s="1790"/>
      <c r="G3124" s="1789"/>
      <c r="H3124" s="1524"/>
    </row>
    <row r="3125" spans="1:11" x14ac:dyDescent="0.25">
      <c r="A3125" s="1527"/>
      <c r="B3125" s="1561"/>
      <c r="C3125" s="1569"/>
      <c r="D3125" s="1569"/>
      <c r="E3125" s="1569"/>
      <c r="F3125" s="817"/>
      <c r="G3125" s="818"/>
      <c r="H3125" s="1524"/>
    </row>
    <row r="3126" spans="1:11" x14ac:dyDescent="0.25">
      <c r="A3126" s="1527"/>
      <c r="B3126" s="1540"/>
      <c r="C3126" s="1569"/>
      <c r="D3126" s="1569"/>
      <c r="E3126" s="1569"/>
      <c r="F3126" s="817"/>
      <c r="G3126" s="818"/>
      <c r="H3126" s="1524"/>
    </row>
    <row r="3127" spans="1:11" x14ac:dyDescent="0.25">
      <c r="A3127" s="1527"/>
      <c r="B3127" s="1540"/>
      <c r="C3127" s="1538" t="s">
        <v>7182</v>
      </c>
      <c r="D3127" s="952" t="s">
        <v>7182</v>
      </c>
      <c r="E3127" s="1538" t="s">
        <v>7182</v>
      </c>
      <c r="F3127" s="817"/>
      <c r="G3127" s="818" t="str">
        <f>IF(B3127="","",E3127/F3127)</f>
        <v/>
      </c>
      <c r="H3127" s="1524"/>
    </row>
    <row r="3128" spans="1:11" ht="15.75" thickBot="1" x14ac:dyDescent="0.3">
      <c r="A3128" s="1527"/>
      <c r="B3128" s="1540"/>
      <c r="C3128" s="1538" t="s">
        <v>7182</v>
      </c>
      <c r="D3128" s="952" t="s">
        <v>7182</v>
      </c>
      <c r="E3128" s="1538" t="s">
        <v>7182</v>
      </c>
      <c r="F3128" s="1537"/>
      <c r="G3128" s="818" t="str">
        <f>IF(B3128="","",E3128/F3128)</f>
        <v/>
      </c>
      <c r="H3128" s="1524"/>
    </row>
    <row r="3129" spans="1:11" ht="15.75" thickBot="1" x14ac:dyDescent="0.3">
      <c r="A3129" s="1527"/>
      <c r="B3129" s="1555"/>
      <c r="C3129" s="1556"/>
      <c r="D3129" s="956"/>
      <c r="E3129" s="1556"/>
      <c r="F3129" s="1557"/>
      <c r="G3129" s="1558"/>
      <c r="H3129" s="1546">
        <f>SUM(G3123:G3129)</f>
        <v>13600</v>
      </c>
    </row>
    <row r="3130" spans="1:11" ht="15.75" thickBot="1" x14ac:dyDescent="0.3">
      <c r="A3130" s="1527"/>
      <c r="B3130" s="1527"/>
      <c r="C3130" s="1527"/>
      <c r="D3130" s="529"/>
      <c r="F3130" s="1528"/>
      <c r="G3130" s="1524"/>
      <c r="H3130" s="1524"/>
    </row>
    <row r="3131" spans="1:11" ht="15.75" thickBot="1" x14ac:dyDescent="0.3">
      <c r="A3131" s="1647" t="s">
        <v>6744</v>
      </c>
      <c r="B3131" s="1352"/>
      <c r="C3131" s="1352"/>
      <c r="D3131" s="1671"/>
      <c r="E3131" s="1672"/>
      <c r="F3131" s="1353"/>
      <c r="G3131" s="1527" t="s">
        <v>5415</v>
      </c>
      <c r="H3131" s="502">
        <f>ROUND(SUM(H3089:H3130),0)</f>
        <v>33160</v>
      </c>
      <c r="J3131" s="1673">
        <f>+B3085</f>
        <v>10.67</v>
      </c>
      <c r="K3131" s="1674">
        <f>+H3131</f>
        <v>33160</v>
      </c>
    </row>
    <row r="3132" spans="1:11" x14ac:dyDescent="0.25">
      <c r="A3132" s="1675"/>
      <c r="B3132" s="1676"/>
      <c r="C3132" s="1676"/>
      <c r="D3132" s="1677"/>
      <c r="E3132" s="1678"/>
      <c r="F3132" s="1679"/>
      <c r="G3132" s="1680"/>
      <c r="H3132" s="1680"/>
    </row>
    <row r="3133" spans="1:11" ht="18.75" x14ac:dyDescent="0.25">
      <c r="A3133" s="1523"/>
      <c r="B3133" s="1655"/>
      <c r="C3133" s="1655"/>
      <c r="D3133" s="950"/>
      <c r="E3133" s="1655"/>
      <c r="F3133" s="1655"/>
      <c r="G3133" s="1655"/>
      <c r="H3133" s="8"/>
    </row>
    <row r="3134" spans="1:11" x14ac:dyDescent="0.25">
      <c r="A3134" s="1523"/>
      <c r="B3134" s="8"/>
      <c r="C3134" s="8"/>
      <c r="D3134" s="529"/>
      <c r="E3134" s="8"/>
      <c r="F3134" s="1523"/>
      <c r="G3134" s="1524"/>
      <c r="H3134" s="8"/>
    </row>
    <row r="3135" spans="1:11" x14ac:dyDescent="0.25">
      <c r="A3135" s="1665" t="s">
        <v>3</v>
      </c>
      <c r="B3135" s="1666">
        <f>+VLOOKUP(C3135,ListaAPUs!$B:$E,4,FALSE)</f>
        <v>10.68</v>
      </c>
      <c r="C3135" s="2441" t="str">
        <f>+ListaAPUs!B268</f>
        <v>Tratamiento quimico de suelo.</v>
      </c>
      <c r="D3135" s="2441"/>
      <c r="E3135" s="2441"/>
      <c r="F3135" s="1665" t="s">
        <v>867</v>
      </c>
      <c r="G3135" s="1390" t="str">
        <f>+VLOOKUP(C3135,ListaAPUs!$B:$E,2,FALSE)</f>
        <v>un</v>
      </c>
      <c r="H3135" s="1524"/>
    </row>
    <row r="3136" spans="1:11" x14ac:dyDescent="0.25">
      <c r="A3136" s="1528"/>
      <c r="B3136" s="1527"/>
      <c r="C3136" s="1527"/>
      <c r="D3136" s="529"/>
      <c r="E3136" s="1527"/>
      <c r="F3136" s="1528"/>
      <c r="G3136" s="1524"/>
      <c r="H3136" s="1524"/>
      <c r="J3136" s="1637"/>
      <c r="K3136" s="1637"/>
    </row>
    <row r="3137" spans="1:11" x14ac:dyDescent="0.25">
      <c r="A3137" s="1528"/>
      <c r="B3137" s="1527"/>
      <c r="C3137" s="1527"/>
      <c r="D3137" s="529"/>
      <c r="E3137" s="1527"/>
      <c r="F3137" s="1528"/>
      <c r="G3137" s="1529"/>
      <c r="H3137" s="1524"/>
      <c r="J3137" s="1637"/>
      <c r="K3137" s="1637"/>
    </row>
    <row r="3138" spans="1:11" ht="15.75" thickBot="1" x14ac:dyDescent="0.3">
      <c r="A3138" s="1528"/>
      <c r="B3138" s="1527"/>
      <c r="C3138" s="1527"/>
      <c r="D3138" s="529"/>
      <c r="E3138" s="1527"/>
      <c r="F3138" s="1528"/>
      <c r="G3138" s="1524"/>
      <c r="H3138" s="1524"/>
      <c r="J3138" s="1637"/>
      <c r="K3138" s="1637"/>
    </row>
    <row r="3139" spans="1:11" ht="15.75" thickBot="1" x14ac:dyDescent="0.3">
      <c r="A3139" s="1368"/>
      <c r="B3139" s="1369" t="s">
        <v>5403</v>
      </c>
      <c r="C3139" s="1363" t="s">
        <v>867</v>
      </c>
      <c r="D3139" s="1120" t="s">
        <v>6</v>
      </c>
      <c r="E3139" s="1363" t="s">
        <v>9417</v>
      </c>
      <c r="F3139" s="1363" t="s">
        <v>5405</v>
      </c>
      <c r="G3139" s="1370" t="s">
        <v>7179</v>
      </c>
      <c r="H3139" s="1371"/>
      <c r="J3139" s="1637"/>
      <c r="K3139" s="1637"/>
    </row>
    <row r="3140" spans="1:11" x14ac:dyDescent="0.25">
      <c r="A3140" s="1528"/>
      <c r="B3140" s="1746" t="s">
        <v>9550</v>
      </c>
      <c r="C3140" s="1802" t="s">
        <v>5</v>
      </c>
      <c r="D3140" s="1794">
        <v>1</v>
      </c>
      <c r="E3140" s="1803">
        <v>72550</v>
      </c>
      <c r="F3140" s="1804">
        <v>1</v>
      </c>
      <c r="G3140" s="1805">
        <f>+F3140*E3140*D3140</f>
        <v>72550</v>
      </c>
      <c r="H3140" s="1524"/>
      <c r="J3140" s="1637"/>
      <c r="K3140" s="1637"/>
    </row>
    <row r="3141" spans="1:11" x14ac:dyDescent="0.25">
      <c r="A3141" s="1528"/>
      <c r="B3141" s="1751" t="s">
        <v>9551</v>
      </c>
      <c r="C3141" s="1749" t="s">
        <v>14</v>
      </c>
      <c r="D3141" s="1773">
        <v>2.5</v>
      </c>
      <c r="E3141" s="1825">
        <v>12000</v>
      </c>
      <c r="F3141" s="1769">
        <v>1</v>
      </c>
      <c r="G3141" s="1786">
        <f>+F3141*D3141*E3141</f>
        <v>30000</v>
      </c>
      <c r="H3141" s="1524"/>
      <c r="J3141" s="1637"/>
      <c r="K3141" s="1637"/>
    </row>
    <row r="3142" spans="1:11" x14ac:dyDescent="0.25">
      <c r="A3142" s="1528"/>
      <c r="B3142" s="1822"/>
      <c r="C3142" s="1749"/>
      <c r="D3142" s="1773"/>
      <c r="E3142" s="1787"/>
      <c r="F3142" s="1769"/>
      <c r="G3142" s="1786"/>
      <c r="H3142" s="1524"/>
      <c r="J3142" s="1637"/>
      <c r="K3142" s="1637"/>
    </row>
    <row r="3143" spans="1:11" x14ac:dyDescent="0.25">
      <c r="A3143" s="1528"/>
      <c r="B3143" s="1822"/>
      <c r="C3143" s="1749"/>
      <c r="D3143" s="1773"/>
      <c r="E3143" s="1787"/>
      <c r="F3143" s="1769"/>
      <c r="G3143" s="1786"/>
      <c r="H3143" s="1524"/>
      <c r="J3143" s="1637"/>
      <c r="K3143" s="1637"/>
    </row>
    <row r="3144" spans="1:11" x14ac:dyDescent="0.25">
      <c r="A3144" s="1528"/>
      <c r="B3144" s="1822"/>
      <c r="C3144" s="1749"/>
      <c r="D3144" s="1773"/>
      <c r="E3144" s="1787"/>
      <c r="F3144" s="1769"/>
      <c r="G3144" s="1786"/>
      <c r="H3144" s="1524"/>
      <c r="J3144" s="1637"/>
      <c r="K3144" s="1637"/>
    </row>
    <row r="3145" spans="1:11" x14ac:dyDescent="0.25">
      <c r="A3145" s="1528"/>
      <c r="B3145" s="1822"/>
      <c r="C3145" s="1749"/>
      <c r="D3145" s="1773"/>
      <c r="E3145" s="1787"/>
      <c r="F3145" s="1769"/>
      <c r="G3145" s="1786"/>
      <c r="H3145" s="1524"/>
      <c r="J3145" s="1637"/>
      <c r="K3145" s="1637"/>
    </row>
    <row r="3146" spans="1:11" x14ac:dyDescent="0.25">
      <c r="A3146" s="1528"/>
      <c r="B3146" s="1822"/>
      <c r="C3146" s="1749"/>
      <c r="D3146" s="1773"/>
      <c r="E3146" s="1787"/>
      <c r="F3146" s="1769"/>
      <c r="G3146" s="1786"/>
      <c r="H3146" s="1524"/>
      <c r="J3146" s="1637"/>
      <c r="K3146" s="1637"/>
    </row>
    <row r="3147" spans="1:11" x14ac:dyDescent="0.25">
      <c r="A3147" s="1528"/>
      <c r="B3147" s="1667"/>
      <c r="C3147" s="1537"/>
      <c r="D3147" s="212"/>
      <c r="E3147" s="816"/>
      <c r="F3147" s="1563"/>
      <c r="G3147" s="814"/>
      <c r="H3147" s="1524"/>
      <c r="J3147" s="1637"/>
      <c r="K3147" s="1637"/>
    </row>
    <row r="3148" spans="1:11" x14ac:dyDescent="0.25">
      <c r="A3148" s="1528"/>
      <c r="B3148" s="1667"/>
      <c r="C3148" s="1537"/>
      <c r="D3148" s="212"/>
      <c r="E3148" s="816"/>
      <c r="F3148" s="1563"/>
      <c r="G3148" s="814"/>
      <c r="H3148" s="1524"/>
      <c r="J3148" s="1637"/>
      <c r="K3148" s="1637"/>
    </row>
    <row r="3149" spans="1:11" x14ac:dyDescent="0.25">
      <c r="A3149" s="1528"/>
      <c r="B3149" s="1667"/>
      <c r="C3149" s="1537"/>
      <c r="D3149" s="212"/>
      <c r="E3149" s="816"/>
      <c r="F3149" s="1563"/>
      <c r="G3149" s="814"/>
      <c r="H3149" s="1524"/>
      <c r="J3149" s="1637"/>
      <c r="K3149" s="1637"/>
    </row>
    <row r="3150" spans="1:11" x14ac:dyDescent="0.25">
      <c r="A3150" s="1528"/>
      <c r="B3150" s="1667"/>
      <c r="C3150" s="1537"/>
      <c r="D3150" s="212"/>
      <c r="E3150" s="816"/>
      <c r="F3150" s="1563"/>
      <c r="G3150" s="814"/>
      <c r="H3150" s="1524"/>
      <c r="J3150" s="1637"/>
      <c r="K3150" s="1637"/>
    </row>
    <row r="3151" spans="1:11" x14ac:dyDescent="0.25">
      <c r="A3151" s="1528"/>
      <c r="B3151" s="269"/>
      <c r="C3151" s="1537"/>
      <c r="D3151" s="212"/>
      <c r="E3151" s="816"/>
      <c r="F3151" s="1563"/>
      <c r="G3151" s="814"/>
      <c r="H3151" s="1524"/>
      <c r="J3151" s="1637"/>
      <c r="K3151" s="1637"/>
    </row>
    <row r="3152" spans="1:11" x14ac:dyDescent="0.25">
      <c r="A3152" s="1528"/>
      <c r="B3152" s="268"/>
      <c r="C3152" s="1534"/>
      <c r="D3152" s="211"/>
      <c r="E3152" s="1535" t="s">
        <v>7182</v>
      </c>
      <c r="F3152" s="1551"/>
      <c r="G3152" s="1541" t="s">
        <v>7182</v>
      </c>
      <c r="H3152" s="1524"/>
      <c r="J3152" s="1637"/>
      <c r="K3152" s="1637"/>
    </row>
    <row r="3153" spans="1:11" x14ac:dyDescent="0.25">
      <c r="A3153" s="1528"/>
      <c r="B3153" s="1346"/>
      <c r="C3153" s="1534"/>
      <c r="D3153" s="211"/>
      <c r="E3153" s="1535" t="s">
        <v>7182</v>
      </c>
      <c r="F3153" s="1551"/>
      <c r="G3153" s="1541" t="s">
        <v>7182</v>
      </c>
      <c r="H3153" s="1524"/>
      <c r="J3153" s="1637"/>
      <c r="K3153" s="1637"/>
    </row>
    <row r="3154" spans="1:11" ht="15.75" thickBot="1" x14ac:dyDescent="0.3">
      <c r="A3154" s="1528"/>
      <c r="B3154" s="1540"/>
      <c r="C3154" s="1537"/>
      <c r="D3154" s="952"/>
      <c r="E3154" s="1538" t="s">
        <v>7182</v>
      </c>
      <c r="F3154" s="1537"/>
      <c r="G3154" s="1541" t="s">
        <v>7182</v>
      </c>
      <c r="H3154" s="1524"/>
      <c r="J3154" s="1637"/>
      <c r="K3154" s="1637"/>
    </row>
    <row r="3155" spans="1:11" ht="15.75" thickBot="1" x14ac:dyDescent="0.3">
      <c r="A3155" s="1528"/>
      <c r="B3155" s="1555"/>
      <c r="C3155" s="1557"/>
      <c r="D3155" s="956"/>
      <c r="E3155" s="1556" t="s">
        <v>7182</v>
      </c>
      <c r="F3155" s="1557"/>
      <c r="G3155" s="1558" t="s">
        <v>7182</v>
      </c>
      <c r="H3155" s="1546">
        <f>SUM(G3140:G3155)</f>
        <v>102550</v>
      </c>
      <c r="J3155" s="1637"/>
      <c r="K3155" s="1637"/>
    </row>
    <row r="3156" spans="1:11" x14ac:dyDescent="0.25">
      <c r="A3156" s="1528"/>
      <c r="B3156" s="1372"/>
      <c r="C3156" s="1374"/>
      <c r="D3156" s="1373"/>
      <c r="E3156" s="1372" t="s">
        <v>7182</v>
      </c>
      <c r="F3156" s="1374"/>
      <c r="G3156" s="1375" t="s">
        <v>7182</v>
      </c>
      <c r="H3156" s="1550"/>
      <c r="J3156" s="1637"/>
      <c r="K3156" s="1637"/>
    </row>
    <row r="3157" spans="1:11" ht="15.75" thickBot="1" x14ac:dyDescent="0.3">
      <c r="A3157" s="1527"/>
      <c r="B3157" s="188"/>
      <c r="C3157" s="189"/>
      <c r="D3157" s="1668"/>
      <c r="E3157" s="188"/>
      <c r="F3157" s="189"/>
      <c r="G3157" s="1669"/>
      <c r="H3157" s="1550"/>
      <c r="J3157" s="1637"/>
      <c r="K3157" s="1637"/>
    </row>
    <row r="3158" spans="1:11" ht="15.75" thickBot="1" x14ac:dyDescent="0.3">
      <c r="A3158" s="1527"/>
      <c r="B3158" s="1366" t="s">
        <v>9418</v>
      </c>
      <c r="C3158" s="1363" t="s">
        <v>867</v>
      </c>
      <c r="D3158" s="1120" t="s">
        <v>6</v>
      </c>
      <c r="E3158" s="1363" t="s">
        <v>7183</v>
      </c>
      <c r="F3158" s="1363" t="s">
        <v>5405</v>
      </c>
      <c r="G3158" s="1365" t="s">
        <v>7179</v>
      </c>
      <c r="H3158" s="1524"/>
      <c r="J3158" s="1637"/>
      <c r="K3158" s="1637"/>
    </row>
    <row r="3159" spans="1:11" x14ac:dyDescent="0.25">
      <c r="A3159" s="1527"/>
      <c r="B3159" s="1770" t="s">
        <v>5455</v>
      </c>
      <c r="C3159" s="1747" t="s">
        <v>5</v>
      </c>
      <c r="D3159" s="1772">
        <v>1</v>
      </c>
      <c r="E3159" s="1748">
        <v>8000</v>
      </c>
      <c r="F3159" s="1777">
        <v>0.2</v>
      </c>
      <c r="G3159" s="1783">
        <f>+F3159*E3159</f>
        <v>1600</v>
      </c>
      <c r="H3159" s="1524"/>
      <c r="J3159" s="1637"/>
      <c r="K3159" s="1637"/>
    </row>
    <row r="3160" spans="1:11" x14ac:dyDescent="0.25">
      <c r="A3160" s="1527"/>
      <c r="B3160" s="1540"/>
      <c r="C3160" s="1537"/>
      <c r="D3160" s="212"/>
      <c r="E3160" s="1535" t="s">
        <v>7182</v>
      </c>
      <c r="F3160" s="1537"/>
      <c r="G3160" s="1572" t="s">
        <v>7182</v>
      </c>
      <c r="H3160" s="1524"/>
      <c r="J3160" s="1637"/>
      <c r="K3160" s="1637"/>
    </row>
    <row r="3161" spans="1:11" x14ac:dyDescent="0.25">
      <c r="A3161" s="1527"/>
      <c r="B3161" s="1540"/>
      <c r="C3161" s="1537"/>
      <c r="D3161" s="212"/>
      <c r="E3161" s="1535" t="s">
        <v>7182</v>
      </c>
      <c r="F3161" s="1537"/>
      <c r="G3161" s="1572" t="s">
        <v>7182</v>
      </c>
      <c r="H3161" s="1524"/>
      <c r="J3161" s="1637"/>
      <c r="K3161" s="1637"/>
    </row>
    <row r="3162" spans="1:11" ht="15.75" thickBot="1" x14ac:dyDescent="0.3">
      <c r="A3162" s="1527"/>
      <c r="B3162" s="1540"/>
      <c r="C3162" s="1537"/>
      <c r="D3162" s="212"/>
      <c r="E3162" s="1535" t="s">
        <v>7182</v>
      </c>
      <c r="F3162" s="1537"/>
      <c r="G3162" s="1572" t="s">
        <v>7182</v>
      </c>
      <c r="H3162" s="1524"/>
      <c r="J3162" s="1637"/>
      <c r="K3162" s="1637"/>
    </row>
    <row r="3163" spans="1:11" ht="15.75" thickBot="1" x14ac:dyDescent="0.3">
      <c r="A3163" s="1527"/>
      <c r="B3163" s="1555"/>
      <c r="C3163" s="1556"/>
      <c r="D3163" s="956"/>
      <c r="E3163" s="1556" t="s">
        <v>7182</v>
      </c>
      <c r="F3163" s="1557"/>
      <c r="G3163" s="1558" t="s">
        <v>7182</v>
      </c>
      <c r="H3163" s="1546">
        <f>SUM(G3159:G3163)</f>
        <v>1600</v>
      </c>
      <c r="J3163" s="1637"/>
      <c r="K3163" s="1637"/>
    </row>
    <row r="3164" spans="1:11" ht="15.75" thickBot="1" x14ac:dyDescent="0.3">
      <c r="A3164" s="1527"/>
      <c r="B3164" s="1376"/>
      <c r="C3164" s="1353"/>
      <c r="D3164" s="1355"/>
      <c r="E3164" s="1352"/>
      <c r="F3164" s="1377"/>
      <c r="G3164" s="1378"/>
      <c r="H3164" s="1524"/>
      <c r="J3164" s="1637"/>
      <c r="K3164" s="1637"/>
    </row>
    <row r="3165" spans="1:11" ht="15.75" thickBot="1" x14ac:dyDescent="0.3">
      <c r="A3165" s="1527"/>
      <c r="B3165" s="1366" t="s">
        <v>5410</v>
      </c>
      <c r="C3165" s="1363" t="s">
        <v>867</v>
      </c>
      <c r="D3165" s="1120" t="s">
        <v>6</v>
      </c>
      <c r="E3165" s="1363" t="s">
        <v>7183</v>
      </c>
      <c r="F3165" s="1363" t="s">
        <v>5405</v>
      </c>
      <c r="G3165" s="1365" t="s">
        <v>7179</v>
      </c>
      <c r="H3165" s="1524"/>
      <c r="J3165" s="1637"/>
      <c r="K3165" s="1637"/>
    </row>
    <row r="3166" spans="1:11" ht="25.5" x14ac:dyDescent="0.25">
      <c r="A3166" s="1527"/>
      <c r="B3166" s="1770" t="s">
        <v>9421</v>
      </c>
      <c r="C3166" s="1747" t="s">
        <v>9023</v>
      </c>
      <c r="D3166" s="1772">
        <v>1</v>
      </c>
      <c r="E3166" s="1748">
        <v>8000</v>
      </c>
      <c r="F3166" s="1777">
        <v>0.5</v>
      </c>
      <c r="G3166" s="1783">
        <f>+F3166*E3166</f>
        <v>4000</v>
      </c>
      <c r="H3166" s="1524"/>
      <c r="J3166" s="1637"/>
      <c r="K3166" s="1637"/>
    </row>
    <row r="3167" spans="1:11" x14ac:dyDescent="0.25">
      <c r="A3167" s="1527"/>
      <c r="B3167" s="1752"/>
      <c r="C3167" s="1749"/>
      <c r="D3167" s="1773"/>
      <c r="E3167" s="1748" t="s">
        <v>7182</v>
      </c>
      <c r="F3167" s="1749"/>
      <c r="G3167" s="1783" t="s">
        <v>7182</v>
      </c>
      <c r="H3167" s="1524"/>
    </row>
    <row r="3168" spans="1:11" x14ac:dyDescent="0.25">
      <c r="A3168" s="1527"/>
      <c r="B3168" s="1752"/>
      <c r="C3168" s="1749"/>
      <c r="D3168" s="1773"/>
      <c r="E3168" s="1748" t="s">
        <v>7182</v>
      </c>
      <c r="F3168" s="1749"/>
      <c r="G3168" s="1783" t="s">
        <v>7182</v>
      </c>
      <c r="H3168" s="1524"/>
    </row>
    <row r="3169" spans="1:11" ht="15.75" thickBot="1" x14ac:dyDescent="0.3">
      <c r="A3169" s="1527"/>
      <c r="B3169" s="1540"/>
      <c r="C3169" s="1537"/>
      <c r="D3169" s="212"/>
      <c r="E3169" s="1535" t="s">
        <v>7182</v>
      </c>
      <c r="F3169" s="1537"/>
      <c r="G3169" s="1572" t="s">
        <v>7182</v>
      </c>
      <c r="H3169" s="1524"/>
    </row>
    <row r="3170" spans="1:11" ht="15.75" thickBot="1" x14ac:dyDescent="0.3">
      <c r="A3170" s="1527"/>
      <c r="B3170" s="1555"/>
      <c r="C3170" s="1556"/>
      <c r="D3170" s="956"/>
      <c r="E3170" s="1556" t="s">
        <v>7182</v>
      </c>
      <c r="F3170" s="1557"/>
      <c r="G3170" s="1558" t="s">
        <v>7182</v>
      </c>
      <c r="H3170" s="1546">
        <f>SUM(G3166:G3170)</f>
        <v>4000</v>
      </c>
    </row>
    <row r="3171" spans="1:11" ht="15.75" thickBot="1" x14ac:dyDescent="0.3">
      <c r="A3171" s="1527"/>
      <c r="B3171" s="1547"/>
      <c r="C3171" s="1547"/>
      <c r="D3171" s="954"/>
      <c r="E3171" s="1547"/>
      <c r="F3171" s="1553"/>
      <c r="G3171" s="1554"/>
      <c r="H3171" s="1550"/>
    </row>
    <row r="3172" spans="1:11" ht="15.75" thickBot="1" x14ac:dyDescent="0.3">
      <c r="A3172" s="1559"/>
      <c r="B3172" s="1369" t="s">
        <v>5412</v>
      </c>
      <c r="C3172" s="1363" t="s">
        <v>5420</v>
      </c>
      <c r="D3172" s="1120" t="s">
        <v>5421</v>
      </c>
      <c r="E3172" s="1363" t="s">
        <v>7187</v>
      </c>
      <c r="F3172" s="1363" t="s">
        <v>5405</v>
      </c>
      <c r="G3172" s="1370" t="s">
        <v>7179</v>
      </c>
      <c r="H3172" s="1371"/>
    </row>
    <row r="3173" spans="1:11" x14ac:dyDescent="0.25">
      <c r="A3173" s="1527"/>
      <c r="B3173" s="1767" t="s">
        <v>9422</v>
      </c>
      <c r="C3173" s="1778">
        <v>170000</v>
      </c>
      <c r="D3173" s="1779">
        <f>0.6*C3173</f>
        <v>102000</v>
      </c>
      <c r="E3173" s="1778">
        <f>+D3173+C3173</f>
        <v>272000</v>
      </c>
      <c r="F3173" s="1790">
        <v>0.1</v>
      </c>
      <c r="G3173" s="1789">
        <f>+F3173*E3173</f>
        <v>27200</v>
      </c>
      <c r="H3173" s="1524"/>
    </row>
    <row r="3174" spans="1:11" x14ac:dyDescent="0.25">
      <c r="A3174" s="1527"/>
      <c r="B3174" s="1767"/>
      <c r="C3174" s="1778"/>
      <c r="D3174" s="1778"/>
      <c r="E3174" s="1778"/>
      <c r="F3174" s="1790"/>
      <c r="G3174" s="1789"/>
      <c r="H3174" s="1524"/>
    </row>
    <row r="3175" spans="1:11" x14ac:dyDescent="0.25">
      <c r="A3175" s="1527"/>
      <c r="B3175" s="1768"/>
      <c r="C3175" s="1778"/>
      <c r="D3175" s="1778"/>
      <c r="E3175" s="1778"/>
      <c r="F3175" s="1788"/>
      <c r="G3175" s="1789"/>
      <c r="H3175" s="1524"/>
    </row>
    <row r="3176" spans="1:11" x14ac:dyDescent="0.25">
      <c r="A3176" s="1527"/>
      <c r="B3176" s="1540"/>
      <c r="C3176" s="1569"/>
      <c r="D3176" s="1569"/>
      <c r="E3176" s="1569"/>
      <c r="F3176" s="817"/>
      <c r="G3176" s="818"/>
      <c r="H3176" s="1524"/>
    </row>
    <row r="3177" spans="1:11" x14ac:dyDescent="0.25">
      <c r="A3177" s="1527"/>
      <c r="B3177" s="1540"/>
      <c r="C3177" s="1538" t="s">
        <v>7182</v>
      </c>
      <c r="D3177" s="952" t="s">
        <v>7182</v>
      </c>
      <c r="E3177" s="1538" t="s">
        <v>7182</v>
      </c>
      <c r="F3177" s="817"/>
      <c r="G3177" s="818" t="str">
        <f>IF(B3177="","",E3177/F3177)</f>
        <v/>
      </c>
      <c r="H3177" s="1524"/>
    </row>
    <row r="3178" spans="1:11" ht="15.75" thickBot="1" x14ac:dyDescent="0.3">
      <c r="A3178" s="1527"/>
      <c r="B3178" s="1540"/>
      <c r="C3178" s="1538" t="s">
        <v>7182</v>
      </c>
      <c r="D3178" s="952" t="s">
        <v>7182</v>
      </c>
      <c r="E3178" s="1538" t="s">
        <v>7182</v>
      </c>
      <c r="F3178" s="1537"/>
      <c r="G3178" s="818" t="str">
        <f>IF(B3178="","",E3178/F3178)</f>
        <v/>
      </c>
      <c r="H3178" s="1524"/>
    </row>
    <row r="3179" spans="1:11" ht="15.75" thickBot="1" x14ac:dyDescent="0.3">
      <c r="A3179" s="1527"/>
      <c r="B3179" s="1555"/>
      <c r="C3179" s="1556"/>
      <c r="D3179" s="956"/>
      <c r="E3179" s="1556"/>
      <c r="F3179" s="1557"/>
      <c r="G3179" s="1558"/>
      <c r="H3179" s="1546">
        <f>SUM(G3173:G3179)</f>
        <v>27200</v>
      </c>
    </row>
    <row r="3180" spans="1:11" ht="15.75" thickBot="1" x14ac:dyDescent="0.3">
      <c r="A3180" s="1527"/>
      <c r="B3180" s="1527"/>
      <c r="C3180" s="1527"/>
      <c r="D3180" s="529"/>
      <c r="F3180" s="1528"/>
      <c r="G3180" s="1524"/>
      <c r="H3180" s="1524"/>
    </row>
    <row r="3181" spans="1:11" ht="15.75" thickBot="1" x14ac:dyDescent="0.3">
      <c r="A3181" s="1647" t="s">
        <v>6744</v>
      </c>
      <c r="B3181" s="1352"/>
      <c r="C3181" s="1352"/>
      <c r="D3181" s="1671"/>
      <c r="E3181" s="1672"/>
      <c r="F3181" s="1353"/>
      <c r="G3181" s="1527" t="s">
        <v>5415</v>
      </c>
      <c r="H3181" s="502">
        <f>ROUND(SUM(H3139:H3180),0)</f>
        <v>135350</v>
      </c>
      <c r="J3181" s="1673">
        <f>+B3135</f>
        <v>10.68</v>
      </c>
      <c r="K3181" s="1674">
        <f>+H3181</f>
        <v>135350</v>
      </c>
    </row>
    <row r="3182" spans="1:11" x14ac:dyDescent="0.25">
      <c r="A3182" s="1675"/>
      <c r="B3182" s="1676"/>
      <c r="C3182" s="1676"/>
      <c r="D3182" s="1677"/>
      <c r="E3182" s="1678"/>
      <c r="F3182" s="1679"/>
      <c r="G3182" s="1680"/>
      <c r="H3182" s="1680"/>
    </row>
    <row r="3183" spans="1:11" ht="18.75" x14ac:dyDescent="0.25">
      <c r="A3183" s="1523"/>
      <c r="B3183" s="1655"/>
      <c r="C3183" s="1655"/>
      <c r="D3183" s="950"/>
      <c r="E3183" s="1655"/>
      <c r="F3183" s="1655"/>
      <c r="G3183" s="1655"/>
      <c r="H3183" s="8"/>
      <c r="J3183" s="1637"/>
      <c r="K3183" s="1637"/>
    </row>
    <row r="3184" spans="1:11" x14ac:dyDescent="0.25">
      <c r="A3184" s="1523"/>
      <c r="B3184" s="8"/>
      <c r="C3184" s="8"/>
      <c r="D3184" s="529"/>
      <c r="E3184" s="8"/>
      <c r="F3184" s="1523"/>
      <c r="G3184" s="1524"/>
      <c r="H3184" s="8"/>
      <c r="J3184" s="1637"/>
      <c r="K3184" s="1637"/>
    </row>
    <row r="3185" spans="1:11" x14ac:dyDescent="0.25">
      <c r="A3185" s="1665" t="s">
        <v>3</v>
      </c>
      <c r="B3185" s="1666">
        <f>+VLOOKUP(C3185,ListaAPUs!$B:$E,4,FALSE)</f>
        <v>10.69</v>
      </c>
      <c r="C3185" s="2441" t="str">
        <f>+ListaAPUs!B269</f>
        <v>Pozo de Inspección</v>
      </c>
      <c r="D3185" s="2441"/>
      <c r="E3185" s="2441"/>
      <c r="F3185" s="1665" t="s">
        <v>867</v>
      </c>
      <c r="G3185" s="1390" t="str">
        <f>+VLOOKUP(C3185,ListaAPUs!$B:$E,2,FALSE)</f>
        <v>un</v>
      </c>
      <c r="H3185" s="1524"/>
    </row>
    <row r="3186" spans="1:11" x14ac:dyDescent="0.25">
      <c r="A3186" s="1528"/>
      <c r="B3186" s="1527"/>
      <c r="C3186" s="1527"/>
      <c r="D3186" s="529"/>
      <c r="E3186" s="1527"/>
      <c r="F3186" s="1528"/>
      <c r="G3186" s="1524"/>
      <c r="H3186" s="1524"/>
      <c r="J3186" s="1637"/>
      <c r="K3186" s="1637"/>
    </row>
    <row r="3187" spans="1:11" x14ac:dyDescent="0.25">
      <c r="A3187" s="1528"/>
      <c r="B3187" s="1527"/>
      <c r="C3187" s="1527"/>
      <c r="D3187" s="529"/>
      <c r="E3187" s="1527"/>
      <c r="F3187" s="1528"/>
      <c r="G3187" s="1529"/>
      <c r="H3187" s="1524"/>
      <c r="J3187" s="1637"/>
      <c r="K3187" s="1637"/>
    </row>
    <row r="3188" spans="1:11" ht="15.75" thickBot="1" x14ac:dyDescent="0.3">
      <c r="A3188" s="1528"/>
      <c r="B3188" s="1527"/>
      <c r="C3188" s="1527"/>
      <c r="D3188" s="529"/>
      <c r="E3188" s="1527"/>
      <c r="F3188" s="1528"/>
      <c r="G3188" s="1524"/>
      <c r="H3188" s="1524"/>
      <c r="J3188" s="1637"/>
      <c r="K3188" s="1637"/>
    </row>
    <row r="3189" spans="1:11" ht="15.75" thickBot="1" x14ac:dyDescent="0.3">
      <c r="A3189" s="1368"/>
      <c r="B3189" s="1369" t="s">
        <v>5403</v>
      </c>
      <c r="C3189" s="1363" t="s">
        <v>867</v>
      </c>
      <c r="D3189" s="1120" t="s">
        <v>6</v>
      </c>
      <c r="E3189" s="1363" t="s">
        <v>9417</v>
      </c>
      <c r="F3189" s="1363" t="s">
        <v>5405</v>
      </c>
      <c r="G3189" s="1370" t="s">
        <v>7179</v>
      </c>
      <c r="H3189" s="1371"/>
      <c r="J3189" s="1637"/>
      <c r="K3189" s="1637"/>
    </row>
    <row r="3190" spans="1:11" ht="25.5" x14ac:dyDescent="0.25">
      <c r="A3190" s="1528"/>
      <c r="B3190" s="1746" t="s">
        <v>9552</v>
      </c>
      <c r="C3190" s="1802" t="s">
        <v>5</v>
      </c>
      <c r="D3190" s="1794">
        <v>1</v>
      </c>
      <c r="E3190" s="1803">
        <v>80000</v>
      </c>
      <c r="F3190" s="1804">
        <v>1</v>
      </c>
      <c r="G3190" s="1805">
        <f>+F3190*E3190*D3190</f>
        <v>80000</v>
      </c>
      <c r="H3190" s="1524"/>
      <c r="J3190" s="1637"/>
      <c r="K3190" s="1637"/>
    </row>
    <row r="3191" spans="1:11" x14ac:dyDescent="0.25">
      <c r="A3191" s="1528"/>
      <c r="B3191" s="1751" t="s">
        <v>9553</v>
      </c>
      <c r="C3191" s="1749" t="s">
        <v>5</v>
      </c>
      <c r="D3191" s="1773">
        <v>1</v>
      </c>
      <c r="E3191" s="1825">
        <v>25000</v>
      </c>
      <c r="F3191" s="1769">
        <v>1</v>
      </c>
      <c r="G3191" s="1786">
        <f>+F3191*D3191*E3191</f>
        <v>25000</v>
      </c>
      <c r="H3191" s="1524"/>
      <c r="J3191" s="1637"/>
      <c r="K3191" s="1637"/>
    </row>
    <row r="3192" spans="1:11" x14ac:dyDescent="0.25">
      <c r="A3192" s="1528"/>
      <c r="B3192" s="1822"/>
      <c r="C3192" s="1749"/>
      <c r="D3192" s="1773"/>
      <c r="E3192" s="1787"/>
      <c r="F3192" s="1769"/>
      <c r="G3192" s="1786"/>
      <c r="H3192" s="1524"/>
      <c r="J3192" s="1637"/>
      <c r="K3192" s="1637"/>
    </row>
    <row r="3193" spans="1:11" x14ac:dyDescent="0.25">
      <c r="A3193" s="1528"/>
      <c r="B3193" s="1822"/>
      <c r="C3193" s="1749"/>
      <c r="D3193" s="1773"/>
      <c r="E3193" s="1787"/>
      <c r="F3193" s="1769"/>
      <c r="G3193" s="1786"/>
      <c r="H3193" s="1524"/>
      <c r="J3193" s="1637"/>
      <c r="K3193" s="1637"/>
    </row>
    <row r="3194" spans="1:11" x14ac:dyDescent="0.25">
      <c r="A3194" s="1528"/>
      <c r="B3194" s="1822"/>
      <c r="C3194" s="1749"/>
      <c r="D3194" s="1773"/>
      <c r="E3194" s="1787"/>
      <c r="F3194" s="1769"/>
      <c r="G3194" s="1786"/>
      <c r="H3194" s="1524"/>
      <c r="J3194" s="1637"/>
      <c r="K3194" s="1637"/>
    </row>
    <row r="3195" spans="1:11" x14ac:dyDescent="0.25">
      <c r="A3195" s="1528"/>
      <c r="B3195" s="1822"/>
      <c r="C3195" s="1749"/>
      <c r="D3195" s="1773"/>
      <c r="E3195" s="1787"/>
      <c r="F3195" s="1769"/>
      <c r="G3195" s="1786"/>
      <c r="H3195" s="1524"/>
      <c r="J3195" s="1637"/>
      <c r="K3195" s="1637"/>
    </row>
    <row r="3196" spans="1:11" x14ac:dyDescent="0.25">
      <c r="A3196" s="1528"/>
      <c r="B3196" s="1822"/>
      <c r="C3196" s="1749"/>
      <c r="D3196" s="1773"/>
      <c r="E3196" s="1787"/>
      <c r="F3196" s="1769"/>
      <c r="G3196" s="1786"/>
      <c r="H3196" s="1524"/>
      <c r="J3196" s="1637"/>
      <c r="K3196" s="1637"/>
    </row>
    <row r="3197" spans="1:11" x14ac:dyDescent="0.25">
      <c r="A3197" s="1528"/>
      <c r="B3197" s="1822"/>
      <c r="C3197" s="1749"/>
      <c r="D3197" s="1773"/>
      <c r="E3197" s="1787"/>
      <c r="F3197" s="1769"/>
      <c r="G3197" s="1786"/>
      <c r="H3197" s="1524"/>
      <c r="J3197" s="1637"/>
      <c r="K3197" s="1637"/>
    </row>
    <row r="3198" spans="1:11" x14ac:dyDescent="0.25">
      <c r="A3198" s="1528"/>
      <c r="B3198" s="1667"/>
      <c r="C3198" s="1537"/>
      <c r="D3198" s="212"/>
      <c r="E3198" s="816"/>
      <c r="F3198" s="1563"/>
      <c r="G3198" s="814"/>
      <c r="H3198" s="1524"/>
      <c r="J3198" s="1637"/>
      <c r="K3198" s="1637"/>
    </row>
    <row r="3199" spans="1:11" x14ac:dyDescent="0.25">
      <c r="A3199" s="1528"/>
      <c r="B3199" s="1667"/>
      <c r="C3199" s="1537"/>
      <c r="D3199" s="212"/>
      <c r="E3199" s="816"/>
      <c r="F3199" s="1563"/>
      <c r="G3199" s="814"/>
      <c r="H3199" s="1524"/>
      <c r="J3199" s="1637"/>
      <c r="K3199" s="1637"/>
    </row>
    <row r="3200" spans="1:11" x14ac:dyDescent="0.25">
      <c r="A3200" s="1528"/>
      <c r="B3200" s="1667"/>
      <c r="C3200" s="1537"/>
      <c r="D3200" s="212"/>
      <c r="E3200" s="816"/>
      <c r="F3200" s="1563"/>
      <c r="G3200" s="814"/>
      <c r="H3200" s="1524"/>
      <c r="J3200" s="1637"/>
      <c r="K3200" s="1637"/>
    </row>
    <row r="3201" spans="1:11" x14ac:dyDescent="0.25">
      <c r="A3201" s="1528"/>
      <c r="B3201" s="269"/>
      <c r="C3201" s="1537"/>
      <c r="D3201" s="212"/>
      <c r="E3201" s="816"/>
      <c r="F3201" s="1563"/>
      <c r="G3201" s="814"/>
      <c r="H3201" s="1524"/>
      <c r="J3201" s="1637"/>
      <c r="K3201" s="1637"/>
    </row>
    <row r="3202" spans="1:11" x14ac:dyDescent="0.25">
      <c r="A3202" s="1528"/>
      <c r="B3202" s="268"/>
      <c r="C3202" s="1534"/>
      <c r="D3202" s="211"/>
      <c r="E3202" s="1535" t="s">
        <v>7182</v>
      </c>
      <c r="F3202" s="1551"/>
      <c r="G3202" s="1541" t="s">
        <v>7182</v>
      </c>
      <c r="H3202" s="1524"/>
      <c r="J3202" s="1637"/>
      <c r="K3202" s="1637"/>
    </row>
    <row r="3203" spans="1:11" x14ac:dyDescent="0.25">
      <c r="A3203" s="1528"/>
      <c r="B3203" s="1346"/>
      <c r="C3203" s="1534"/>
      <c r="D3203" s="211"/>
      <c r="E3203" s="1535" t="s">
        <v>7182</v>
      </c>
      <c r="F3203" s="1551"/>
      <c r="G3203" s="1541" t="s">
        <v>7182</v>
      </c>
      <c r="H3203" s="1524"/>
      <c r="J3203" s="1637"/>
      <c r="K3203" s="1637"/>
    </row>
    <row r="3204" spans="1:11" ht="15.75" thickBot="1" x14ac:dyDescent="0.3">
      <c r="A3204" s="1528"/>
      <c r="B3204" s="1540"/>
      <c r="C3204" s="1537"/>
      <c r="D3204" s="952"/>
      <c r="E3204" s="1538" t="s">
        <v>7182</v>
      </c>
      <c r="F3204" s="1537"/>
      <c r="G3204" s="1541" t="s">
        <v>7182</v>
      </c>
      <c r="H3204" s="1524"/>
      <c r="J3204" s="1637"/>
      <c r="K3204" s="1637"/>
    </row>
    <row r="3205" spans="1:11" ht="15.75" thickBot="1" x14ac:dyDescent="0.3">
      <c r="A3205" s="1528"/>
      <c r="B3205" s="1555"/>
      <c r="C3205" s="1557"/>
      <c r="D3205" s="956"/>
      <c r="E3205" s="1556" t="s">
        <v>7182</v>
      </c>
      <c r="F3205" s="1557"/>
      <c r="G3205" s="1558" t="s">
        <v>7182</v>
      </c>
      <c r="H3205" s="1546">
        <f>SUM(G3190:G3205)</f>
        <v>105000</v>
      </c>
      <c r="J3205" s="1637"/>
      <c r="K3205" s="1637"/>
    </row>
    <row r="3206" spans="1:11" x14ac:dyDescent="0.25">
      <c r="A3206" s="1528"/>
      <c r="B3206" s="1372"/>
      <c r="C3206" s="1374"/>
      <c r="D3206" s="1373"/>
      <c r="E3206" s="1372" t="s">
        <v>7182</v>
      </c>
      <c r="F3206" s="1374"/>
      <c r="G3206" s="1375" t="s">
        <v>7182</v>
      </c>
      <c r="H3206" s="1550"/>
      <c r="J3206" s="1637"/>
      <c r="K3206" s="1637"/>
    </row>
    <row r="3207" spans="1:11" ht="15.75" thickBot="1" x14ac:dyDescent="0.3">
      <c r="A3207" s="1527"/>
      <c r="B3207" s="188"/>
      <c r="C3207" s="189"/>
      <c r="D3207" s="1668"/>
      <c r="E3207" s="188"/>
      <c r="F3207" s="189"/>
      <c r="G3207" s="1669"/>
      <c r="H3207" s="1550"/>
      <c r="J3207" s="1637"/>
      <c r="K3207" s="1637"/>
    </row>
    <row r="3208" spans="1:11" ht="15.75" thickBot="1" x14ac:dyDescent="0.3">
      <c r="A3208" s="1527"/>
      <c r="B3208" s="1366" t="s">
        <v>9418</v>
      </c>
      <c r="C3208" s="1363" t="s">
        <v>867</v>
      </c>
      <c r="D3208" s="1120" t="s">
        <v>6</v>
      </c>
      <c r="E3208" s="1363" t="s">
        <v>7183</v>
      </c>
      <c r="F3208" s="1363" t="s">
        <v>5405</v>
      </c>
      <c r="G3208" s="1365" t="s">
        <v>7179</v>
      </c>
      <c r="H3208" s="1524"/>
      <c r="J3208" s="1637"/>
      <c r="K3208" s="1637"/>
    </row>
    <row r="3209" spans="1:11" x14ac:dyDescent="0.25">
      <c r="A3209" s="1527"/>
      <c r="B3209" s="1770" t="s">
        <v>5455</v>
      </c>
      <c r="C3209" s="1747" t="s">
        <v>5</v>
      </c>
      <c r="D3209" s="1772">
        <v>1</v>
      </c>
      <c r="E3209" s="1748">
        <v>5000</v>
      </c>
      <c r="F3209" s="1777">
        <v>0.5</v>
      </c>
      <c r="G3209" s="1783">
        <f>+F3209*E3209</f>
        <v>2500</v>
      </c>
      <c r="H3209" s="1524"/>
      <c r="J3209" s="1637"/>
      <c r="K3209" s="1637"/>
    </row>
    <row r="3210" spans="1:11" x14ac:dyDescent="0.25">
      <c r="A3210" s="1527"/>
      <c r="B3210" s="1752"/>
      <c r="C3210" s="1749"/>
      <c r="D3210" s="1773"/>
      <c r="E3210" s="1748" t="s">
        <v>7182</v>
      </c>
      <c r="F3210" s="1749"/>
      <c r="G3210" s="1783" t="s">
        <v>7182</v>
      </c>
      <c r="H3210" s="1524"/>
      <c r="J3210" s="1637"/>
      <c r="K3210" s="1637"/>
    </row>
    <row r="3211" spans="1:11" x14ac:dyDescent="0.25">
      <c r="A3211" s="1527"/>
      <c r="B3211" s="1540"/>
      <c r="C3211" s="1537"/>
      <c r="D3211" s="212"/>
      <c r="E3211" s="1535" t="s">
        <v>7182</v>
      </c>
      <c r="F3211" s="1537"/>
      <c r="G3211" s="1572" t="s">
        <v>7182</v>
      </c>
      <c r="H3211" s="1524"/>
      <c r="J3211" s="1637"/>
      <c r="K3211" s="1637"/>
    </row>
    <row r="3212" spans="1:11" ht="15.75" thickBot="1" x14ac:dyDescent="0.3">
      <c r="A3212" s="1527"/>
      <c r="B3212" s="1540"/>
      <c r="C3212" s="1537"/>
      <c r="D3212" s="212"/>
      <c r="E3212" s="1535" t="s">
        <v>7182</v>
      </c>
      <c r="F3212" s="1537"/>
      <c r="G3212" s="1572" t="s">
        <v>7182</v>
      </c>
      <c r="H3212" s="1524"/>
      <c r="J3212" s="1637"/>
      <c r="K3212" s="1637"/>
    </row>
    <row r="3213" spans="1:11" ht="15.75" thickBot="1" x14ac:dyDescent="0.3">
      <c r="A3213" s="1527"/>
      <c r="B3213" s="1555"/>
      <c r="C3213" s="1556"/>
      <c r="D3213" s="956"/>
      <c r="E3213" s="1556" t="s">
        <v>7182</v>
      </c>
      <c r="F3213" s="1557"/>
      <c r="G3213" s="1558" t="s">
        <v>7182</v>
      </c>
      <c r="H3213" s="1546">
        <f>SUM(G3209:G3213)</f>
        <v>2500</v>
      </c>
      <c r="J3213" s="1637"/>
      <c r="K3213" s="1637"/>
    </row>
    <row r="3214" spans="1:11" ht="15.75" thickBot="1" x14ac:dyDescent="0.3">
      <c r="A3214" s="1527"/>
      <c r="B3214" s="1376"/>
      <c r="C3214" s="1353"/>
      <c r="D3214" s="1355"/>
      <c r="E3214" s="1352"/>
      <c r="F3214" s="1377"/>
      <c r="G3214" s="1378"/>
      <c r="H3214" s="1524"/>
      <c r="J3214" s="1637"/>
      <c r="K3214" s="1637"/>
    </row>
    <row r="3215" spans="1:11" ht="15.75" thickBot="1" x14ac:dyDescent="0.3">
      <c r="A3215" s="1527"/>
      <c r="B3215" s="1366" t="s">
        <v>5410</v>
      </c>
      <c r="C3215" s="1363" t="s">
        <v>867</v>
      </c>
      <c r="D3215" s="1120" t="s">
        <v>6</v>
      </c>
      <c r="E3215" s="1363" t="s">
        <v>7183</v>
      </c>
      <c r="F3215" s="1363" t="s">
        <v>5405</v>
      </c>
      <c r="G3215" s="1365" t="s">
        <v>7179</v>
      </c>
      <c r="H3215" s="1524"/>
      <c r="J3215" s="1637"/>
      <c r="K3215" s="1637"/>
    </row>
    <row r="3216" spans="1:11" ht="25.5" x14ac:dyDescent="0.25">
      <c r="A3216" s="1527"/>
      <c r="B3216" s="1770" t="s">
        <v>9421</v>
      </c>
      <c r="C3216" s="1747" t="s">
        <v>9023</v>
      </c>
      <c r="D3216" s="1772">
        <v>1</v>
      </c>
      <c r="E3216" s="1748">
        <v>12000</v>
      </c>
      <c r="F3216" s="1777">
        <v>0.2</v>
      </c>
      <c r="G3216" s="1783">
        <f>+F3216*E3216</f>
        <v>2400</v>
      </c>
      <c r="H3216" s="1524"/>
      <c r="J3216" s="1637"/>
      <c r="K3216" s="1637"/>
    </row>
    <row r="3217" spans="1:11" x14ac:dyDescent="0.25">
      <c r="A3217" s="1527"/>
      <c r="B3217" s="1752"/>
      <c r="C3217" s="1749"/>
      <c r="D3217" s="1773"/>
      <c r="E3217" s="1748" t="s">
        <v>7182</v>
      </c>
      <c r="F3217" s="1749"/>
      <c r="G3217" s="1783" t="s">
        <v>7182</v>
      </c>
      <c r="H3217" s="1524"/>
      <c r="J3217" s="1637"/>
      <c r="K3217" s="1637"/>
    </row>
    <row r="3218" spans="1:11" x14ac:dyDescent="0.25">
      <c r="A3218" s="1527"/>
      <c r="B3218" s="1540"/>
      <c r="C3218" s="1537"/>
      <c r="D3218" s="212"/>
      <c r="E3218" s="1535" t="s">
        <v>7182</v>
      </c>
      <c r="F3218" s="1537"/>
      <c r="G3218" s="1572" t="s">
        <v>7182</v>
      </c>
      <c r="H3218" s="1524"/>
      <c r="J3218" s="1637"/>
      <c r="K3218" s="1637"/>
    </row>
    <row r="3219" spans="1:11" ht="15.75" thickBot="1" x14ac:dyDescent="0.3">
      <c r="A3219" s="1527"/>
      <c r="B3219" s="1540"/>
      <c r="C3219" s="1537"/>
      <c r="D3219" s="212"/>
      <c r="E3219" s="1535" t="s">
        <v>7182</v>
      </c>
      <c r="F3219" s="1537"/>
      <c r="G3219" s="1572" t="s">
        <v>7182</v>
      </c>
      <c r="H3219" s="1524"/>
      <c r="J3219" s="1637"/>
      <c r="K3219" s="1637"/>
    </row>
    <row r="3220" spans="1:11" ht="15.75" thickBot="1" x14ac:dyDescent="0.3">
      <c r="A3220" s="1527"/>
      <c r="B3220" s="1555"/>
      <c r="C3220" s="1556"/>
      <c r="D3220" s="956"/>
      <c r="E3220" s="1556" t="s">
        <v>7182</v>
      </c>
      <c r="F3220" s="1557"/>
      <c r="G3220" s="1558" t="s">
        <v>7182</v>
      </c>
      <c r="H3220" s="1546">
        <f>SUM(G3216:G3220)</f>
        <v>2400</v>
      </c>
      <c r="J3220" s="1637"/>
      <c r="K3220" s="1637"/>
    </row>
    <row r="3221" spans="1:11" ht="15.75" thickBot="1" x14ac:dyDescent="0.3">
      <c r="A3221" s="1527"/>
      <c r="B3221" s="1547"/>
      <c r="C3221" s="1547"/>
      <c r="D3221" s="954"/>
      <c r="E3221" s="1547"/>
      <c r="F3221" s="1553"/>
      <c r="G3221" s="1554"/>
      <c r="H3221" s="1550"/>
      <c r="J3221" s="1637"/>
      <c r="K3221" s="1637"/>
    </row>
    <row r="3222" spans="1:11" ht="15.75" thickBot="1" x14ac:dyDescent="0.3">
      <c r="A3222" s="1559"/>
      <c r="B3222" s="1369" t="s">
        <v>5412</v>
      </c>
      <c r="C3222" s="1363" t="s">
        <v>5420</v>
      </c>
      <c r="D3222" s="1120" t="s">
        <v>5421</v>
      </c>
      <c r="E3222" s="1363" t="s">
        <v>7187</v>
      </c>
      <c r="F3222" s="1363" t="s">
        <v>5405</v>
      </c>
      <c r="G3222" s="1370" t="s">
        <v>7179</v>
      </c>
      <c r="H3222" s="1371"/>
      <c r="J3222" s="1637"/>
      <c r="K3222" s="1637"/>
    </row>
    <row r="3223" spans="1:11" x14ac:dyDescent="0.25">
      <c r="A3223" s="1527"/>
      <c r="B3223" s="1767" t="s">
        <v>9422</v>
      </c>
      <c r="C3223" s="1778">
        <v>170000</v>
      </c>
      <c r="D3223" s="1779">
        <f>0.6*C3223</f>
        <v>102000</v>
      </c>
      <c r="E3223" s="1778">
        <f>+D3223+C3223</f>
        <v>272000</v>
      </c>
      <c r="F3223" s="1790">
        <v>0.1</v>
      </c>
      <c r="G3223" s="1789">
        <f>+F3223*E3223</f>
        <v>27200</v>
      </c>
      <c r="H3223" s="1524"/>
      <c r="J3223" s="1637"/>
      <c r="K3223" s="1637"/>
    </row>
    <row r="3224" spans="1:11" x14ac:dyDescent="0.25">
      <c r="A3224" s="1527"/>
      <c r="B3224" s="1767"/>
      <c r="C3224" s="1778"/>
      <c r="D3224" s="1778"/>
      <c r="E3224" s="1778"/>
      <c r="F3224" s="1790"/>
      <c r="G3224" s="1789"/>
      <c r="H3224" s="1524"/>
      <c r="J3224" s="1637"/>
      <c r="K3224" s="1637"/>
    </row>
    <row r="3225" spans="1:11" x14ac:dyDescent="0.25">
      <c r="A3225" s="1527"/>
      <c r="B3225" s="1561"/>
      <c r="C3225" s="1569"/>
      <c r="D3225" s="1569"/>
      <c r="E3225" s="1569"/>
      <c r="F3225" s="817"/>
      <c r="G3225" s="818"/>
      <c r="H3225" s="1524"/>
      <c r="J3225" s="1637"/>
      <c r="K3225" s="1637"/>
    </row>
    <row r="3226" spans="1:11" x14ac:dyDescent="0.25">
      <c r="A3226" s="1527"/>
      <c r="B3226" s="1540"/>
      <c r="C3226" s="1569"/>
      <c r="D3226" s="1569"/>
      <c r="E3226" s="1569"/>
      <c r="F3226" s="817"/>
      <c r="G3226" s="818"/>
      <c r="H3226" s="1524"/>
      <c r="J3226" s="1637"/>
      <c r="K3226" s="1637"/>
    </row>
    <row r="3227" spans="1:11" x14ac:dyDescent="0.25">
      <c r="A3227" s="1527"/>
      <c r="B3227" s="1540"/>
      <c r="C3227" s="1538" t="s">
        <v>7182</v>
      </c>
      <c r="D3227" s="952" t="s">
        <v>7182</v>
      </c>
      <c r="E3227" s="1538" t="s">
        <v>7182</v>
      </c>
      <c r="F3227" s="817"/>
      <c r="G3227" s="818" t="str">
        <f>IF(B3227="","",E3227/F3227)</f>
        <v/>
      </c>
      <c r="H3227" s="1524"/>
      <c r="J3227" s="1637"/>
      <c r="K3227" s="1637"/>
    </row>
    <row r="3228" spans="1:11" ht="15.75" thickBot="1" x14ac:dyDescent="0.3">
      <c r="A3228" s="1527"/>
      <c r="B3228" s="1540"/>
      <c r="C3228" s="1538" t="s">
        <v>7182</v>
      </c>
      <c r="D3228" s="952" t="s">
        <v>7182</v>
      </c>
      <c r="E3228" s="1538" t="s">
        <v>7182</v>
      </c>
      <c r="F3228" s="1537"/>
      <c r="G3228" s="818" t="str">
        <f>IF(B3228="","",E3228/F3228)</f>
        <v/>
      </c>
      <c r="H3228" s="1524"/>
      <c r="J3228" s="1637"/>
      <c r="K3228" s="1637"/>
    </row>
    <row r="3229" spans="1:11" ht="15.75" thickBot="1" x14ac:dyDescent="0.3">
      <c r="A3229" s="1527"/>
      <c r="B3229" s="1555"/>
      <c r="C3229" s="1556"/>
      <c r="D3229" s="956"/>
      <c r="E3229" s="1556"/>
      <c r="F3229" s="1557"/>
      <c r="G3229" s="1558"/>
      <c r="H3229" s="1546">
        <f>SUM(G3223:G3229)</f>
        <v>27200</v>
      </c>
      <c r="J3229" s="1637"/>
      <c r="K3229" s="1637"/>
    </row>
    <row r="3230" spans="1:11" ht="15.75" thickBot="1" x14ac:dyDescent="0.3">
      <c r="A3230" s="1527"/>
      <c r="B3230" s="1527"/>
      <c r="C3230" s="1527"/>
      <c r="D3230" s="529"/>
      <c r="F3230" s="1528"/>
      <c r="G3230" s="1524"/>
      <c r="H3230" s="1524"/>
      <c r="J3230" s="1637"/>
      <c r="K3230" s="1637"/>
    </row>
    <row r="3231" spans="1:11" ht="15.75" thickBot="1" x14ac:dyDescent="0.3">
      <c r="A3231" s="1647" t="s">
        <v>6744</v>
      </c>
      <c r="B3231" s="1352"/>
      <c r="C3231" s="1352"/>
      <c r="D3231" s="1671"/>
      <c r="E3231" s="1672"/>
      <c r="F3231" s="1353"/>
      <c r="G3231" s="1527" t="s">
        <v>5415</v>
      </c>
      <c r="H3231" s="502">
        <f>ROUND(SUM(H3189:H3230),0)</f>
        <v>137100</v>
      </c>
      <c r="J3231" s="1673">
        <f>+B3185</f>
        <v>10.69</v>
      </c>
      <c r="K3231" s="1674">
        <f>+H3231</f>
        <v>137100</v>
      </c>
    </row>
    <row r="3232" spans="1:11" x14ac:dyDescent="0.25">
      <c r="A3232" s="1675"/>
      <c r="B3232" s="1676"/>
      <c r="C3232" s="1676"/>
      <c r="D3232" s="1677"/>
      <c r="E3232" s="1678"/>
      <c r="F3232" s="1679"/>
      <c r="G3232" s="1680"/>
      <c r="H3232" s="1680"/>
    </row>
    <row r="3233" spans="1:11" ht="18.75" x14ac:dyDescent="0.25">
      <c r="A3233" s="1523"/>
      <c r="B3233" s="1655"/>
      <c r="C3233" s="1655"/>
      <c r="D3233" s="950"/>
      <c r="E3233" s="1655"/>
      <c r="F3233" s="1655"/>
      <c r="G3233" s="1655"/>
      <c r="H3233" s="8"/>
    </row>
    <row r="3234" spans="1:11" x14ac:dyDescent="0.25">
      <c r="A3234" s="1523"/>
      <c r="B3234" s="8"/>
      <c r="C3234" s="8"/>
      <c r="D3234" s="529"/>
      <c r="E3234" s="8"/>
      <c r="F3234" s="1523"/>
      <c r="G3234" s="1524"/>
      <c r="H3234" s="8"/>
    </row>
    <row r="3235" spans="1:11" x14ac:dyDescent="0.25">
      <c r="A3235" s="1665" t="s">
        <v>3</v>
      </c>
      <c r="B3235" s="1666">
        <f>+VLOOKUP(C3235,ListaAPUs!$B:$E,4,FALSE)</f>
        <v>10.7</v>
      </c>
      <c r="C3235" s="2441" t="str">
        <f>+ListaAPUs!B270</f>
        <v>Barrajes  de toma a tierra</v>
      </c>
      <c r="D3235" s="2441"/>
      <c r="E3235" s="2441"/>
      <c r="F3235" s="1665" t="s">
        <v>867</v>
      </c>
      <c r="G3235" s="1390" t="str">
        <f>+VLOOKUP(C3235,ListaAPUs!$B:$E,2,FALSE)</f>
        <v>un</v>
      </c>
      <c r="H3235" s="1524"/>
    </row>
    <row r="3236" spans="1:11" x14ac:dyDescent="0.25">
      <c r="A3236" s="1528"/>
      <c r="B3236" s="1527"/>
      <c r="C3236" s="1527"/>
      <c r="D3236" s="529"/>
      <c r="E3236" s="1527"/>
      <c r="F3236" s="1528"/>
      <c r="G3236" s="1524"/>
      <c r="H3236" s="1524"/>
    </row>
    <row r="3237" spans="1:11" x14ac:dyDescent="0.25">
      <c r="A3237" s="1528"/>
      <c r="B3237" s="1527"/>
      <c r="C3237" s="1527"/>
      <c r="D3237" s="529"/>
      <c r="E3237" s="1527"/>
      <c r="F3237" s="1528"/>
      <c r="G3237" s="1529"/>
      <c r="H3237" s="1524"/>
    </row>
    <row r="3238" spans="1:11" ht="15.75" thickBot="1" x14ac:dyDescent="0.3">
      <c r="A3238" s="1528"/>
      <c r="B3238" s="1527"/>
      <c r="C3238" s="1527"/>
      <c r="D3238" s="529"/>
      <c r="E3238" s="1527"/>
      <c r="F3238" s="1528"/>
      <c r="G3238" s="1524"/>
      <c r="H3238" s="1524"/>
    </row>
    <row r="3239" spans="1:11" ht="15.75" thickBot="1" x14ac:dyDescent="0.3">
      <c r="A3239" s="1368"/>
      <c r="B3239" s="1369" t="s">
        <v>5403</v>
      </c>
      <c r="C3239" s="1363" t="s">
        <v>867</v>
      </c>
      <c r="D3239" s="1120" t="s">
        <v>6</v>
      </c>
      <c r="E3239" s="1363" t="s">
        <v>9417</v>
      </c>
      <c r="F3239" s="1363" t="s">
        <v>5405</v>
      </c>
      <c r="G3239" s="1370" t="s">
        <v>7179</v>
      </c>
      <c r="H3239" s="1371"/>
    </row>
    <row r="3240" spans="1:11" x14ac:dyDescent="0.25">
      <c r="A3240" s="1528"/>
      <c r="B3240" s="1746" t="s">
        <v>9554</v>
      </c>
      <c r="C3240" s="1802" t="s">
        <v>5</v>
      </c>
      <c r="D3240" s="1794">
        <v>1</v>
      </c>
      <c r="E3240" s="1803">
        <v>90000</v>
      </c>
      <c r="F3240" s="1804">
        <v>1</v>
      </c>
      <c r="G3240" s="1805">
        <f>+F3240*E3240*D3240</f>
        <v>90000</v>
      </c>
      <c r="H3240" s="1524"/>
    </row>
    <row r="3241" spans="1:11" x14ac:dyDescent="0.25">
      <c r="A3241" s="1528"/>
      <c r="B3241" s="1751" t="s">
        <v>9555</v>
      </c>
      <c r="C3241" s="1749" t="s">
        <v>5</v>
      </c>
      <c r="D3241" s="1773">
        <v>1</v>
      </c>
      <c r="E3241" s="1825">
        <v>12000</v>
      </c>
      <c r="F3241" s="1769">
        <v>1</v>
      </c>
      <c r="G3241" s="1786">
        <f>+F3241*D3241*E3241</f>
        <v>12000</v>
      </c>
      <c r="H3241" s="1524"/>
    </row>
    <row r="3242" spans="1:11" x14ac:dyDescent="0.25">
      <c r="A3242" s="1528"/>
      <c r="B3242" s="1822"/>
      <c r="C3242" s="1749"/>
      <c r="D3242" s="1773"/>
      <c r="E3242" s="1787"/>
      <c r="F3242" s="1769"/>
      <c r="G3242" s="1786"/>
      <c r="H3242" s="1524"/>
    </row>
    <row r="3243" spans="1:11" x14ac:dyDescent="0.25">
      <c r="A3243" s="1528"/>
      <c r="B3243" s="1822"/>
      <c r="C3243" s="1749"/>
      <c r="D3243" s="1773"/>
      <c r="E3243" s="1787"/>
      <c r="F3243" s="1769"/>
      <c r="G3243" s="1786"/>
      <c r="H3243" s="1524"/>
    </row>
    <row r="3244" spans="1:11" x14ac:dyDescent="0.25">
      <c r="A3244" s="1528"/>
      <c r="B3244" s="1822"/>
      <c r="C3244" s="1749"/>
      <c r="D3244" s="1773"/>
      <c r="E3244" s="1787"/>
      <c r="F3244" s="1769"/>
      <c r="G3244" s="1786"/>
      <c r="H3244" s="1524"/>
    </row>
    <row r="3245" spans="1:11" x14ac:dyDescent="0.25">
      <c r="A3245" s="1528"/>
      <c r="B3245" s="1822"/>
      <c r="C3245" s="1749"/>
      <c r="D3245" s="1773"/>
      <c r="E3245" s="1787"/>
      <c r="F3245" s="1769"/>
      <c r="G3245" s="1786"/>
      <c r="H3245" s="1524"/>
    </row>
    <row r="3246" spans="1:11" x14ac:dyDescent="0.25">
      <c r="A3246" s="1528"/>
      <c r="B3246" s="1822"/>
      <c r="C3246" s="1749"/>
      <c r="D3246" s="1773"/>
      <c r="E3246" s="1787"/>
      <c r="F3246" s="1769"/>
      <c r="G3246" s="1786"/>
      <c r="H3246" s="1524"/>
    </row>
    <row r="3247" spans="1:11" x14ac:dyDescent="0.25">
      <c r="A3247" s="1528"/>
      <c r="B3247" s="1667"/>
      <c r="C3247" s="1537"/>
      <c r="D3247" s="212"/>
      <c r="E3247" s="816"/>
      <c r="F3247" s="1563"/>
      <c r="G3247" s="814"/>
      <c r="H3247" s="1524"/>
      <c r="J3247" s="1637"/>
      <c r="K3247" s="1637"/>
    </row>
    <row r="3248" spans="1:11" x14ac:dyDescent="0.25">
      <c r="A3248" s="1528"/>
      <c r="B3248" s="1667"/>
      <c r="C3248" s="1537"/>
      <c r="D3248" s="212"/>
      <c r="E3248" s="816"/>
      <c r="F3248" s="1563"/>
      <c r="G3248" s="814"/>
      <c r="H3248" s="1524"/>
      <c r="J3248" s="1637"/>
      <c r="K3248" s="1637"/>
    </row>
    <row r="3249" spans="1:11" x14ac:dyDescent="0.25">
      <c r="A3249" s="1528"/>
      <c r="B3249" s="1667"/>
      <c r="C3249" s="1537"/>
      <c r="D3249" s="212"/>
      <c r="E3249" s="816"/>
      <c r="F3249" s="1563"/>
      <c r="G3249" s="814"/>
      <c r="H3249" s="1524"/>
      <c r="J3249" s="1637"/>
      <c r="K3249" s="1637"/>
    </row>
    <row r="3250" spans="1:11" x14ac:dyDescent="0.25">
      <c r="A3250" s="1528"/>
      <c r="B3250" s="1667"/>
      <c r="C3250" s="1537"/>
      <c r="D3250" s="212"/>
      <c r="E3250" s="816"/>
      <c r="F3250" s="1563"/>
      <c r="G3250" s="814"/>
      <c r="H3250" s="1524"/>
      <c r="J3250" s="1637"/>
      <c r="K3250" s="1637"/>
    </row>
    <row r="3251" spans="1:11" x14ac:dyDescent="0.25">
      <c r="A3251" s="1528"/>
      <c r="B3251" s="269"/>
      <c r="C3251" s="1537"/>
      <c r="D3251" s="212"/>
      <c r="E3251" s="816"/>
      <c r="F3251" s="1563"/>
      <c r="G3251" s="814"/>
      <c r="H3251" s="1524"/>
      <c r="J3251" s="1637"/>
      <c r="K3251" s="1637"/>
    </row>
    <row r="3252" spans="1:11" x14ac:dyDescent="0.25">
      <c r="A3252" s="1528"/>
      <c r="B3252" s="268"/>
      <c r="C3252" s="1534"/>
      <c r="D3252" s="211"/>
      <c r="E3252" s="1535" t="s">
        <v>7182</v>
      </c>
      <c r="F3252" s="1551"/>
      <c r="G3252" s="1541" t="s">
        <v>7182</v>
      </c>
      <c r="H3252" s="1524"/>
      <c r="J3252" s="1637"/>
      <c r="K3252" s="1637"/>
    </row>
    <row r="3253" spans="1:11" x14ac:dyDescent="0.25">
      <c r="A3253" s="1528"/>
      <c r="B3253" s="1346"/>
      <c r="C3253" s="1534"/>
      <c r="D3253" s="211"/>
      <c r="E3253" s="1535" t="s">
        <v>7182</v>
      </c>
      <c r="F3253" s="1551"/>
      <c r="G3253" s="1541" t="s">
        <v>7182</v>
      </c>
      <c r="H3253" s="1524"/>
      <c r="J3253" s="1637"/>
      <c r="K3253" s="1637"/>
    </row>
    <row r="3254" spans="1:11" ht="15.75" thickBot="1" x14ac:dyDescent="0.3">
      <c r="A3254" s="1528"/>
      <c r="B3254" s="1540"/>
      <c r="C3254" s="1537"/>
      <c r="D3254" s="952"/>
      <c r="E3254" s="1538" t="s">
        <v>7182</v>
      </c>
      <c r="F3254" s="1537"/>
      <c r="G3254" s="1541" t="s">
        <v>7182</v>
      </c>
      <c r="H3254" s="1524"/>
      <c r="J3254" s="1637"/>
      <c r="K3254" s="1637"/>
    </row>
    <row r="3255" spans="1:11" ht="15.75" thickBot="1" x14ac:dyDescent="0.3">
      <c r="A3255" s="1528"/>
      <c r="B3255" s="1555"/>
      <c r="C3255" s="1557"/>
      <c r="D3255" s="956"/>
      <c r="E3255" s="1556" t="s">
        <v>7182</v>
      </c>
      <c r="F3255" s="1557"/>
      <c r="G3255" s="1558" t="s">
        <v>7182</v>
      </c>
      <c r="H3255" s="1546">
        <f>SUM(G3240:G3255)</f>
        <v>102000</v>
      </c>
      <c r="J3255" s="1637"/>
      <c r="K3255" s="1637"/>
    </row>
    <row r="3256" spans="1:11" x14ac:dyDescent="0.25">
      <c r="A3256" s="1528"/>
      <c r="B3256" s="1372"/>
      <c r="C3256" s="1374"/>
      <c r="D3256" s="1373"/>
      <c r="E3256" s="1372" t="s">
        <v>7182</v>
      </c>
      <c r="F3256" s="1374"/>
      <c r="G3256" s="1375" t="s">
        <v>7182</v>
      </c>
      <c r="H3256" s="1550"/>
      <c r="J3256" s="1637"/>
      <c r="K3256" s="1637"/>
    </row>
    <row r="3257" spans="1:11" ht="15.75" thickBot="1" x14ac:dyDescent="0.3">
      <c r="A3257" s="1527"/>
      <c r="B3257" s="188"/>
      <c r="C3257" s="189"/>
      <c r="D3257" s="1668"/>
      <c r="E3257" s="188"/>
      <c r="F3257" s="189"/>
      <c r="G3257" s="1669"/>
      <c r="H3257" s="1550"/>
      <c r="J3257" s="1637"/>
      <c r="K3257" s="1637"/>
    </row>
    <row r="3258" spans="1:11" ht="15.75" thickBot="1" x14ac:dyDescent="0.3">
      <c r="A3258" s="1527"/>
      <c r="B3258" s="1366" t="s">
        <v>9418</v>
      </c>
      <c r="C3258" s="1363" t="s">
        <v>867</v>
      </c>
      <c r="D3258" s="1120" t="s">
        <v>6</v>
      </c>
      <c r="E3258" s="1363" t="s">
        <v>7183</v>
      </c>
      <c r="F3258" s="1363" t="s">
        <v>5405</v>
      </c>
      <c r="G3258" s="1365" t="s">
        <v>7179</v>
      </c>
      <c r="H3258" s="1524"/>
      <c r="J3258" s="1637"/>
      <c r="K3258" s="1637"/>
    </row>
    <row r="3259" spans="1:11" x14ac:dyDescent="0.25">
      <c r="A3259" s="1527"/>
      <c r="B3259" s="1770" t="s">
        <v>5455</v>
      </c>
      <c r="C3259" s="1747" t="s">
        <v>5</v>
      </c>
      <c r="D3259" s="1772">
        <v>1</v>
      </c>
      <c r="E3259" s="1748">
        <v>5000</v>
      </c>
      <c r="F3259" s="1777">
        <v>0.16</v>
      </c>
      <c r="G3259" s="1783">
        <f>+F3259*E3259</f>
        <v>800</v>
      </c>
      <c r="H3259" s="1524"/>
      <c r="J3259" s="1637"/>
      <c r="K3259" s="1637"/>
    </row>
    <row r="3260" spans="1:11" x14ac:dyDescent="0.25">
      <c r="A3260" s="1527"/>
      <c r="B3260" s="1752"/>
      <c r="C3260" s="1749"/>
      <c r="D3260" s="1773"/>
      <c r="E3260" s="1748" t="s">
        <v>7182</v>
      </c>
      <c r="F3260" s="1749"/>
      <c r="G3260" s="1783" t="s">
        <v>7182</v>
      </c>
      <c r="H3260" s="1524"/>
      <c r="J3260" s="1637"/>
      <c r="K3260" s="1637"/>
    </row>
    <row r="3261" spans="1:11" x14ac:dyDescent="0.25">
      <c r="A3261" s="1527"/>
      <c r="B3261" s="1752"/>
      <c r="C3261" s="1749"/>
      <c r="D3261" s="1773"/>
      <c r="E3261" s="1748" t="s">
        <v>7182</v>
      </c>
      <c r="F3261" s="1749"/>
      <c r="G3261" s="1783" t="s">
        <v>7182</v>
      </c>
      <c r="H3261" s="1524"/>
      <c r="J3261" s="1637"/>
      <c r="K3261" s="1637"/>
    </row>
    <row r="3262" spans="1:11" ht="15.75" thickBot="1" x14ac:dyDescent="0.3">
      <c r="A3262" s="1527"/>
      <c r="B3262" s="1540"/>
      <c r="C3262" s="1537"/>
      <c r="D3262" s="212"/>
      <c r="E3262" s="1535" t="s">
        <v>7182</v>
      </c>
      <c r="F3262" s="1537"/>
      <c r="G3262" s="1572" t="s">
        <v>7182</v>
      </c>
      <c r="H3262" s="1524"/>
      <c r="J3262" s="1637"/>
      <c r="K3262" s="1637"/>
    </row>
    <row r="3263" spans="1:11" ht="15.75" thickBot="1" x14ac:dyDescent="0.3">
      <c r="A3263" s="1527"/>
      <c r="B3263" s="1555"/>
      <c r="C3263" s="1556"/>
      <c r="D3263" s="956"/>
      <c r="E3263" s="1556" t="s">
        <v>7182</v>
      </c>
      <c r="F3263" s="1557"/>
      <c r="G3263" s="1558" t="s">
        <v>7182</v>
      </c>
      <c r="H3263" s="1546">
        <f>SUM(G3259:G3263)</f>
        <v>800</v>
      </c>
      <c r="J3263" s="1637"/>
      <c r="K3263" s="1637"/>
    </row>
    <row r="3264" spans="1:11" ht="15.75" thickBot="1" x14ac:dyDescent="0.3">
      <c r="A3264" s="1527"/>
      <c r="B3264" s="1376"/>
      <c r="C3264" s="1353"/>
      <c r="D3264" s="1355"/>
      <c r="E3264" s="1352"/>
      <c r="F3264" s="1377"/>
      <c r="G3264" s="1378"/>
      <c r="H3264" s="1524"/>
      <c r="J3264" s="1637"/>
      <c r="K3264" s="1637"/>
    </row>
    <row r="3265" spans="1:11" ht="15.75" thickBot="1" x14ac:dyDescent="0.3">
      <c r="A3265" s="1527"/>
      <c r="B3265" s="1366" t="s">
        <v>5410</v>
      </c>
      <c r="C3265" s="1363" t="s">
        <v>867</v>
      </c>
      <c r="D3265" s="1120" t="s">
        <v>6</v>
      </c>
      <c r="E3265" s="1363" t="s">
        <v>7183</v>
      </c>
      <c r="F3265" s="1363" t="s">
        <v>5405</v>
      </c>
      <c r="G3265" s="1365" t="s">
        <v>7179</v>
      </c>
      <c r="H3265" s="1524"/>
      <c r="J3265" s="1637"/>
      <c r="K3265" s="1637"/>
    </row>
    <row r="3266" spans="1:11" ht="25.5" x14ac:dyDescent="0.25">
      <c r="A3266" s="1527"/>
      <c r="B3266" s="1770" t="s">
        <v>9421</v>
      </c>
      <c r="C3266" s="1747" t="s">
        <v>9023</v>
      </c>
      <c r="D3266" s="1772">
        <v>1</v>
      </c>
      <c r="E3266" s="1748">
        <v>7000</v>
      </c>
      <c r="F3266" s="1777">
        <v>0.16</v>
      </c>
      <c r="G3266" s="1783">
        <f>+F3266*E3266</f>
        <v>1120</v>
      </c>
      <c r="H3266" s="1524"/>
      <c r="J3266" s="1637"/>
      <c r="K3266" s="1637"/>
    </row>
    <row r="3267" spans="1:11" x14ac:dyDescent="0.25">
      <c r="A3267" s="1527"/>
      <c r="B3267" s="1752"/>
      <c r="C3267" s="1749"/>
      <c r="D3267" s="1773"/>
      <c r="E3267" s="1748" t="s">
        <v>7182</v>
      </c>
      <c r="F3267" s="1749"/>
      <c r="G3267" s="1783" t="s">
        <v>7182</v>
      </c>
      <c r="H3267" s="1524"/>
      <c r="J3267" s="1637"/>
      <c r="K3267" s="1637"/>
    </row>
    <row r="3268" spans="1:11" x14ac:dyDescent="0.25">
      <c r="A3268" s="1527"/>
      <c r="B3268" s="1752"/>
      <c r="C3268" s="1749"/>
      <c r="D3268" s="1773"/>
      <c r="E3268" s="1748" t="s">
        <v>7182</v>
      </c>
      <c r="F3268" s="1749"/>
      <c r="G3268" s="1783" t="s">
        <v>7182</v>
      </c>
      <c r="H3268" s="1524"/>
      <c r="J3268" s="1637"/>
      <c r="K3268" s="1637"/>
    </row>
    <row r="3269" spans="1:11" ht="15.75" thickBot="1" x14ac:dyDescent="0.3">
      <c r="A3269" s="1527"/>
      <c r="B3269" s="1540"/>
      <c r="C3269" s="1537"/>
      <c r="D3269" s="212"/>
      <c r="E3269" s="1535" t="s">
        <v>7182</v>
      </c>
      <c r="F3269" s="1537"/>
      <c r="G3269" s="1572" t="s">
        <v>7182</v>
      </c>
      <c r="H3269" s="1524"/>
      <c r="J3269" s="1637"/>
      <c r="K3269" s="1637"/>
    </row>
    <row r="3270" spans="1:11" ht="15.75" thickBot="1" x14ac:dyDescent="0.3">
      <c r="A3270" s="1527"/>
      <c r="B3270" s="1555"/>
      <c r="C3270" s="1556"/>
      <c r="D3270" s="956"/>
      <c r="E3270" s="1556" t="s">
        <v>7182</v>
      </c>
      <c r="F3270" s="1557"/>
      <c r="G3270" s="1558" t="s">
        <v>7182</v>
      </c>
      <c r="H3270" s="1546">
        <f>SUM(G3266:G3270)</f>
        <v>1120</v>
      </c>
      <c r="J3270" s="1637"/>
      <c r="K3270" s="1637"/>
    </row>
    <row r="3271" spans="1:11" ht="15.75" thickBot="1" x14ac:dyDescent="0.3">
      <c r="A3271" s="1527"/>
      <c r="B3271" s="1547"/>
      <c r="C3271" s="1547"/>
      <c r="D3271" s="954"/>
      <c r="E3271" s="1547"/>
      <c r="F3271" s="1553"/>
      <c r="G3271" s="1554"/>
      <c r="H3271" s="1550"/>
      <c r="J3271" s="1637"/>
      <c r="K3271" s="1637"/>
    </row>
    <row r="3272" spans="1:11" ht="15.75" thickBot="1" x14ac:dyDescent="0.3">
      <c r="A3272" s="1559"/>
      <c r="B3272" s="1369" t="s">
        <v>5412</v>
      </c>
      <c r="C3272" s="1363" t="s">
        <v>5420</v>
      </c>
      <c r="D3272" s="1120" t="s">
        <v>5421</v>
      </c>
      <c r="E3272" s="1363" t="s">
        <v>7187</v>
      </c>
      <c r="F3272" s="1363" t="s">
        <v>5405</v>
      </c>
      <c r="G3272" s="1370" t="s">
        <v>7179</v>
      </c>
      <c r="H3272" s="1371"/>
      <c r="J3272" s="1637"/>
      <c r="K3272" s="1637"/>
    </row>
    <row r="3273" spans="1:11" x14ac:dyDescent="0.25">
      <c r="A3273" s="1527"/>
      <c r="B3273" s="1767" t="s">
        <v>9422</v>
      </c>
      <c r="C3273" s="1778">
        <v>170000</v>
      </c>
      <c r="D3273" s="1779">
        <f>0.6*C3273</f>
        <v>102000</v>
      </c>
      <c r="E3273" s="1778">
        <f>+D3273+C3273</f>
        <v>272000</v>
      </c>
      <c r="F3273" s="1790">
        <v>0.05</v>
      </c>
      <c r="G3273" s="818">
        <f>+F3273*E3273</f>
        <v>13600</v>
      </c>
      <c r="H3273" s="1524"/>
      <c r="J3273" s="1637"/>
      <c r="K3273" s="1637"/>
    </row>
    <row r="3274" spans="1:11" x14ac:dyDescent="0.25">
      <c r="A3274" s="1527"/>
      <c r="B3274" s="1767"/>
      <c r="C3274" s="1778"/>
      <c r="D3274" s="1778"/>
      <c r="E3274" s="1778"/>
      <c r="F3274" s="1790"/>
      <c r="G3274" s="818"/>
      <c r="H3274" s="1524"/>
      <c r="J3274" s="1637"/>
      <c r="K3274" s="1637"/>
    </row>
    <row r="3275" spans="1:11" x14ac:dyDescent="0.25">
      <c r="A3275" s="1527"/>
      <c r="B3275" s="1768"/>
      <c r="C3275" s="1778"/>
      <c r="D3275" s="1778"/>
      <c r="E3275" s="1778"/>
      <c r="F3275" s="1788"/>
      <c r="G3275" s="818"/>
      <c r="H3275" s="1524"/>
      <c r="J3275" s="1637"/>
      <c r="K3275" s="1637"/>
    </row>
    <row r="3276" spans="1:11" x14ac:dyDescent="0.25">
      <c r="A3276" s="1527"/>
      <c r="B3276" s="1540"/>
      <c r="C3276" s="1569"/>
      <c r="D3276" s="1569"/>
      <c r="E3276" s="1569"/>
      <c r="F3276" s="817"/>
      <c r="G3276" s="818"/>
      <c r="H3276" s="1524"/>
      <c r="J3276" s="1637"/>
      <c r="K3276" s="1637"/>
    </row>
    <row r="3277" spans="1:11" x14ac:dyDescent="0.25">
      <c r="A3277" s="1527"/>
      <c r="B3277" s="1540"/>
      <c r="C3277" s="1538" t="s">
        <v>7182</v>
      </c>
      <c r="D3277" s="952" t="s">
        <v>7182</v>
      </c>
      <c r="E3277" s="1538" t="s">
        <v>7182</v>
      </c>
      <c r="F3277" s="817"/>
      <c r="G3277" s="818" t="str">
        <f>IF(B3277="","",E3277/F3277)</f>
        <v/>
      </c>
      <c r="H3277" s="1524"/>
      <c r="J3277" s="1637"/>
      <c r="K3277" s="1637"/>
    </row>
    <row r="3278" spans="1:11" ht="15.75" thickBot="1" x14ac:dyDescent="0.3">
      <c r="A3278" s="1527"/>
      <c r="B3278" s="1540"/>
      <c r="C3278" s="1538" t="s">
        <v>7182</v>
      </c>
      <c r="D3278" s="952" t="s">
        <v>7182</v>
      </c>
      <c r="E3278" s="1538" t="s">
        <v>7182</v>
      </c>
      <c r="F3278" s="1537"/>
      <c r="G3278" s="818" t="str">
        <f>IF(B3278="","",E3278/F3278)</f>
        <v/>
      </c>
      <c r="H3278" s="1524"/>
      <c r="J3278" s="1637"/>
      <c r="K3278" s="1637"/>
    </row>
    <row r="3279" spans="1:11" ht="15.75" thickBot="1" x14ac:dyDescent="0.3">
      <c r="A3279" s="1527"/>
      <c r="B3279" s="1555"/>
      <c r="C3279" s="1556"/>
      <c r="D3279" s="956"/>
      <c r="E3279" s="1556"/>
      <c r="F3279" s="1557"/>
      <c r="G3279" s="1558"/>
      <c r="H3279" s="1546">
        <f>SUM(G3273:G3279)</f>
        <v>13600</v>
      </c>
    </row>
    <row r="3280" spans="1:11" ht="15.75" thickBot="1" x14ac:dyDescent="0.3">
      <c r="A3280" s="1527"/>
      <c r="B3280" s="1527"/>
      <c r="C3280" s="1527"/>
      <c r="D3280" s="529"/>
      <c r="F3280" s="1528"/>
      <c r="G3280" s="1524"/>
      <c r="H3280" s="1524"/>
    </row>
    <row r="3281" spans="1:11" ht="15.75" thickBot="1" x14ac:dyDescent="0.3">
      <c r="A3281" s="1647" t="s">
        <v>6744</v>
      </c>
      <c r="B3281" s="1352"/>
      <c r="C3281" s="1352"/>
      <c r="D3281" s="1671"/>
      <c r="E3281" s="1672"/>
      <c r="F3281" s="1353"/>
      <c r="G3281" s="1527" t="s">
        <v>5415</v>
      </c>
      <c r="H3281" s="502">
        <f>ROUND(SUM(H3239:H3280),0)</f>
        <v>117520</v>
      </c>
      <c r="J3281" s="1673">
        <f>+B3235</f>
        <v>10.7</v>
      </c>
      <c r="K3281" s="1674">
        <f>+H3281</f>
        <v>117520</v>
      </c>
    </row>
    <row r="3282" spans="1:11" x14ac:dyDescent="0.25">
      <c r="A3282" s="1675"/>
      <c r="B3282" s="1676"/>
      <c r="C3282" s="1676"/>
      <c r="D3282" s="1677"/>
      <c r="E3282" s="1678"/>
      <c r="F3282" s="1679"/>
      <c r="G3282" s="1680"/>
      <c r="H3282" s="1680"/>
    </row>
    <row r="3283" spans="1:11" ht="18.75" x14ac:dyDescent="0.25">
      <c r="A3283" s="1523"/>
      <c r="B3283" s="1655"/>
      <c r="C3283" s="1655"/>
      <c r="D3283" s="950"/>
      <c r="E3283" s="1655"/>
      <c r="F3283" s="1655"/>
      <c r="G3283" s="1655"/>
      <c r="H3283" s="8"/>
    </row>
    <row r="3284" spans="1:11" x14ac:dyDescent="0.25">
      <c r="A3284" s="1523"/>
      <c r="B3284" s="8"/>
      <c r="C3284" s="8"/>
      <c r="D3284" s="529"/>
      <c r="E3284" s="8"/>
      <c r="F3284" s="1523"/>
      <c r="G3284" s="1524"/>
      <c r="H3284" s="8"/>
    </row>
    <row r="3285" spans="1:11" ht="165" customHeight="1" x14ac:dyDescent="0.25">
      <c r="A3285" s="1665" t="s">
        <v>3</v>
      </c>
      <c r="B3285" s="1666">
        <v>10.71</v>
      </c>
      <c r="C3285" s="2441" t="str">
        <f>+ListaAPUs!B271</f>
        <v>PLC, MODEMS, ACCESORIOS Y MANTENIMIENTO TABLERO DE CONTROL: Incluye suministro y montaje de un (1) tablero para PLC con accesorios y cableado para manejar señales así: 16 Al, 82 DI y 16 DO, un (1) switch ethernet 4 puertos, un (1) software de programación del PLC, un (1) CPU incluye fuente de alimentación y puntos de comunicaciones, una (1) tarjeta 4 AIN, 4-20 ma, cinco (5) módulo de 16 digitales de entrada DI, 120 v.a.c., un (1) módulo de 16 digitales de salida, 110 v.a.c., 0,5A, un (1) módulo de comunicaciones depuerto ETHERNET, veinte (20) metros de cable electrónico de 4x2x24 Nivel 5 para Ethernet, cuatro (4) protector de transientes allimentación 120 Vac., dos (2) protector de transientes para señales análogas, 4 a 20 mA. No se incluye en señales de reserva, un (1) protector de transitorios secundarios en extremo de comunicaciones RS 232, un (1) computador tipo industrial, incluye monitor, teclado y mouse, una (1) impresora de matriz de punto, un (1) software de supervisión, 500 Tag, incluye licencia.</v>
      </c>
      <c r="D3285" s="2441"/>
      <c r="E3285" s="2441"/>
      <c r="F3285" s="1665" t="s">
        <v>867</v>
      </c>
      <c r="G3285" s="1390" t="s">
        <v>5460</v>
      </c>
      <c r="H3285" s="1524"/>
    </row>
    <row r="3286" spans="1:11" x14ac:dyDescent="0.25">
      <c r="A3286" s="1528"/>
      <c r="B3286" s="1527"/>
      <c r="C3286" s="1527"/>
      <c r="D3286" s="529"/>
      <c r="E3286" s="1527"/>
      <c r="F3286" s="1528"/>
      <c r="G3286" s="1524"/>
      <c r="H3286" s="1524"/>
    </row>
    <row r="3287" spans="1:11" x14ac:dyDescent="0.25">
      <c r="A3287" s="1528"/>
      <c r="B3287" s="1527"/>
      <c r="C3287" s="1527"/>
      <c r="D3287" s="529"/>
      <c r="E3287" s="1527"/>
      <c r="F3287" s="1528"/>
      <c r="G3287" s="1529"/>
      <c r="H3287" s="1524"/>
    </row>
    <row r="3288" spans="1:11" ht="15.75" thickBot="1" x14ac:dyDescent="0.3">
      <c r="A3288" s="1528"/>
      <c r="B3288" s="1527"/>
      <c r="C3288" s="1527"/>
      <c r="D3288" s="529"/>
      <c r="E3288" s="1527"/>
      <c r="F3288" s="1528"/>
      <c r="G3288" s="1524"/>
      <c r="H3288" s="1524"/>
    </row>
    <row r="3289" spans="1:11" ht="15.75" thickBot="1" x14ac:dyDescent="0.3">
      <c r="A3289" s="1368"/>
      <c r="B3289" s="1369" t="s">
        <v>5403</v>
      </c>
      <c r="C3289" s="1363" t="s">
        <v>867</v>
      </c>
      <c r="D3289" s="1120" t="s">
        <v>6</v>
      </c>
      <c r="E3289" s="1363" t="s">
        <v>9417</v>
      </c>
      <c r="F3289" s="1363" t="s">
        <v>5405</v>
      </c>
      <c r="G3289" s="1370" t="s">
        <v>7179</v>
      </c>
      <c r="H3289" s="1371"/>
    </row>
    <row r="3290" spans="1:11" ht="38.25" x14ac:dyDescent="0.25">
      <c r="A3290" s="1528"/>
      <c r="B3290" s="1746" t="s">
        <v>9556</v>
      </c>
      <c r="C3290" s="1802" t="s">
        <v>5</v>
      </c>
      <c r="D3290" s="1794">
        <v>1</v>
      </c>
      <c r="E3290" s="1803">
        <v>2500000</v>
      </c>
      <c r="F3290" s="1804">
        <v>1</v>
      </c>
      <c r="G3290" s="1805">
        <f>+F3290*E3290*D3290</f>
        <v>2500000</v>
      </c>
      <c r="H3290" s="1524"/>
    </row>
    <row r="3291" spans="1:11" ht="102" x14ac:dyDescent="0.25">
      <c r="A3291" s="1528"/>
      <c r="B3291" s="1751" t="s">
        <v>9557</v>
      </c>
      <c r="C3291" s="1749" t="s">
        <v>5</v>
      </c>
      <c r="D3291" s="1773">
        <v>3</v>
      </c>
      <c r="E3291" s="1825">
        <f>1978288*1.19</f>
        <v>2354162.7199999997</v>
      </c>
      <c r="F3291" s="1769">
        <v>1</v>
      </c>
      <c r="G3291" s="1786">
        <f>+F3291*D3291*E3291</f>
        <v>7062488.1599999992</v>
      </c>
      <c r="H3291" s="1524"/>
    </row>
    <row r="3292" spans="1:11" ht="38.25" x14ac:dyDescent="0.25">
      <c r="A3292" s="1528"/>
      <c r="B3292" s="1822" t="s">
        <v>9558</v>
      </c>
      <c r="C3292" s="1749" t="s">
        <v>5</v>
      </c>
      <c r="D3292" s="1773">
        <v>3</v>
      </c>
      <c r="E3292" s="1825">
        <f>167038*1.19</f>
        <v>198775.22</v>
      </c>
      <c r="F3292" s="1769">
        <v>1</v>
      </c>
      <c r="G3292" s="1786">
        <f>+F3292*D3292*E3292</f>
        <v>596325.66</v>
      </c>
      <c r="H3292" s="1524"/>
    </row>
    <row r="3293" spans="1:11" ht="51" x14ac:dyDescent="0.25">
      <c r="A3293" s="1528"/>
      <c r="B3293" s="1751" t="s">
        <v>9559</v>
      </c>
      <c r="C3293" s="1749" t="s">
        <v>5</v>
      </c>
      <c r="D3293" s="1773">
        <f>3+3</f>
        <v>6</v>
      </c>
      <c r="E3293" s="1782">
        <f>403920*1.19</f>
        <v>480664.8</v>
      </c>
      <c r="F3293" s="1769">
        <v>1</v>
      </c>
      <c r="G3293" s="1786">
        <f>+F3293*D3293*E3293</f>
        <v>2883988.8</v>
      </c>
      <c r="H3293" s="1524"/>
    </row>
    <row r="3294" spans="1:11" ht="89.25" x14ac:dyDescent="0.25">
      <c r="A3294" s="1528"/>
      <c r="B3294" s="1822" t="s">
        <v>9560</v>
      </c>
      <c r="C3294" s="1749" t="s">
        <v>5</v>
      </c>
      <c r="D3294" s="1773">
        <v>3</v>
      </c>
      <c r="E3294" s="1782">
        <f>1049125*1.19</f>
        <v>1248458.75</v>
      </c>
      <c r="F3294" s="1769">
        <v>1</v>
      </c>
      <c r="G3294" s="1786">
        <f>+F3294*D3294*E3294</f>
        <v>3745376.25</v>
      </c>
      <c r="H3294" s="1524"/>
    </row>
    <row r="3295" spans="1:11" ht="76.5" x14ac:dyDescent="0.25">
      <c r="A3295" s="1528"/>
      <c r="B3295" s="1822" t="s">
        <v>9561</v>
      </c>
      <c r="C3295" s="1749" t="s">
        <v>5</v>
      </c>
      <c r="D3295" s="1773">
        <f>3*3+1</f>
        <v>10</v>
      </c>
      <c r="E3295" s="1782">
        <f>123506*1.19</f>
        <v>146972.13999999998</v>
      </c>
      <c r="F3295" s="1769">
        <v>1</v>
      </c>
      <c r="G3295" s="1786">
        <f t="shared" ref="G3295:G3313" si="24">+F3295*E3295*D3295</f>
        <v>1469721.4</v>
      </c>
      <c r="H3295" s="1524"/>
      <c r="J3295" s="1637"/>
      <c r="K3295" s="1637"/>
    </row>
    <row r="3296" spans="1:11" ht="63.75" x14ac:dyDescent="0.25">
      <c r="A3296" s="1528"/>
      <c r="B3296" s="1822" t="s">
        <v>9562</v>
      </c>
      <c r="C3296" s="1749" t="s">
        <v>5</v>
      </c>
      <c r="D3296" s="1773">
        <v>3</v>
      </c>
      <c r="E3296" s="1782">
        <f>711813*1.19</f>
        <v>847057.47</v>
      </c>
      <c r="F3296" s="1769">
        <v>1</v>
      </c>
      <c r="G3296" s="1786">
        <f t="shared" si="24"/>
        <v>2541172.41</v>
      </c>
      <c r="H3296" s="1524"/>
      <c r="J3296" s="1637"/>
      <c r="K3296" s="1637"/>
    </row>
    <row r="3297" spans="1:11" ht="140.25" x14ac:dyDescent="0.25">
      <c r="A3297" s="1528"/>
      <c r="B3297" s="1822" t="s">
        <v>9563</v>
      </c>
      <c r="C3297" s="1749" t="s">
        <v>5</v>
      </c>
      <c r="D3297" s="1773">
        <v>3</v>
      </c>
      <c r="E3297" s="1782">
        <f>2022563*1.19</f>
        <v>2406849.9699999997</v>
      </c>
      <c r="F3297" s="1769">
        <v>1</v>
      </c>
      <c r="G3297" s="1786">
        <f t="shared" si="24"/>
        <v>7220549.9099999992</v>
      </c>
      <c r="H3297" s="1524"/>
      <c r="J3297" s="1637"/>
      <c r="K3297" s="1637"/>
    </row>
    <row r="3298" spans="1:11" x14ac:dyDescent="0.25">
      <c r="A3298" s="1528"/>
      <c r="B3298" s="1822" t="s">
        <v>9564</v>
      </c>
      <c r="C3298" s="1749" t="s">
        <v>5</v>
      </c>
      <c r="D3298" s="1773">
        <v>3</v>
      </c>
      <c r="E3298" s="1782">
        <v>100000</v>
      </c>
      <c r="F3298" s="1769">
        <v>1</v>
      </c>
      <c r="G3298" s="1786">
        <f t="shared" si="24"/>
        <v>300000</v>
      </c>
      <c r="H3298" s="1524"/>
      <c r="J3298" s="1637"/>
      <c r="K3298" s="1637"/>
    </row>
    <row r="3299" spans="1:11" x14ac:dyDescent="0.25">
      <c r="A3299" s="1528"/>
      <c r="B3299" s="1822" t="s">
        <v>9565</v>
      </c>
      <c r="C3299" s="1749" t="s">
        <v>5</v>
      </c>
      <c r="D3299" s="1773">
        <f>3*3</f>
        <v>9</v>
      </c>
      <c r="E3299" s="1782">
        <v>80000</v>
      </c>
      <c r="F3299" s="1769">
        <v>1</v>
      </c>
      <c r="G3299" s="1786">
        <f t="shared" si="24"/>
        <v>720000</v>
      </c>
      <c r="H3299" s="1524"/>
      <c r="J3299" s="1637"/>
      <c r="K3299" s="1637"/>
    </row>
    <row r="3300" spans="1:11" x14ac:dyDescent="0.25">
      <c r="A3300" s="1528"/>
      <c r="B3300" s="1822" t="s">
        <v>9566</v>
      </c>
      <c r="C3300" s="1749" t="s">
        <v>5</v>
      </c>
      <c r="D3300" s="1773">
        <v>54</v>
      </c>
      <c r="E3300" s="1782">
        <v>17500</v>
      </c>
      <c r="F3300" s="1769">
        <v>1</v>
      </c>
      <c r="G3300" s="1786">
        <f t="shared" si="24"/>
        <v>945000</v>
      </c>
      <c r="H3300" s="1524"/>
      <c r="J3300" s="1637"/>
      <c r="K3300" s="1637"/>
    </row>
    <row r="3301" spans="1:11" x14ac:dyDescent="0.25">
      <c r="A3301" s="1528"/>
      <c r="B3301" s="1822" t="s">
        <v>9567</v>
      </c>
      <c r="C3301" s="1749" t="s">
        <v>5</v>
      </c>
      <c r="D3301" s="1773">
        <v>12</v>
      </c>
      <c r="E3301" s="1782">
        <v>12000</v>
      </c>
      <c r="F3301" s="1769">
        <v>1</v>
      </c>
      <c r="G3301" s="1786">
        <f t="shared" si="24"/>
        <v>144000</v>
      </c>
      <c r="H3301" s="1524"/>
      <c r="J3301" s="1637"/>
      <c r="K3301" s="1637"/>
    </row>
    <row r="3302" spans="1:11" x14ac:dyDescent="0.25">
      <c r="A3302" s="1528"/>
      <c r="B3302" s="1822" t="s">
        <v>9568</v>
      </c>
      <c r="C3302" s="1749" t="s">
        <v>5</v>
      </c>
      <c r="D3302" s="1773">
        <v>1</v>
      </c>
      <c r="E3302" s="1782">
        <v>120000</v>
      </c>
      <c r="F3302" s="1769">
        <v>1</v>
      </c>
      <c r="G3302" s="1786">
        <f t="shared" si="24"/>
        <v>120000</v>
      </c>
      <c r="H3302" s="1524"/>
      <c r="J3302" s="1637"/>
      <c r="K3302" s="1637"/>
    </row>
    <row r="3303" spans="1:11" x14ac:dyDescent="0.25">
      <c r="A3303" s="1528"/>
      <c r="B3303" s="1822" t="s">
        <v>9569</v>
      </c>
      <c r="C3303" s="1749" t="s">
        <v>5</v>
      </c>
      <c r="D3303" s="1773">
        <v>1</v>
      </c>
      <c r="E3303" s="1782">
        <f>3447268*1.19</f>
        <v>4102248.92</v>
      </c>
      <c r="F3303" s="1769">
        <v>1</v>
      </c>
      <c r="G3303" s="1786">
        <f t="shared" si="24"/>
        <v>4102248.92</v>
      </c>
      <c r="H3303" s="1524"/>
      <c r="J3303" s="1637"/>
      <c r="K3303" s="1637"/>
    </row>
    <row r="3304" spans="1:11" x14ac:dyDescent="0.25">
      <c r="A3304" s="1528"/>
      <c r="B3304" s="1775" t="s">
        <v>9570</v>
      </c>
      <c r="C3304" s="1749" t="s">
        <v>5</v>
      </c>
      <c r="D3304" s="1773">
        <v>1</v>
      </c>
      <c r="E3304" s="1782">
        <v>150000</v>
      </c>
      <c r="F3304" s="1769">
        <v>1</v>
      </c>
      <c r="G3304" s="1786">
        <f t="shared" si="24"/>
        <v>150000</v>
      </c>
      <c r="H3304" s="1524"/>
      <c r="J3304" s="1637"/>
      <c r="K3304" s="1637"/>
    </row>
    <row r="3305" spans="1:11" x14ac:dyDescent="0.25">
      <c r="A3305" s="1528"/>
      <c r="B3305" s="1775" t="s">
        <v>9571</v>
      </c>
      <c r="C3305" s="1747" t="s">
        <v>5</v>
      </c>
      <c r="D3305" s="1772">
        <v>1</v>
      </c>
      <c r="E3305" s="1782">
        <v>120000</v>
      </c>
      <c r="F3305" s="1758">
        <v>1</v>
      </c>
      <c r="G3305" s="1786">
        <f t="shared" si="24"/>
        <v>120000</v>
      </c>
      <c r="H3305" s="1524"/>
      <c r="J3305" s="1637"/>
      <c r="K3305" s="1637"/>
    </row>
    <row r="3306" spans="1:11" x14ac:dyDescent="0.25">
      <c r="A3306" s="1528"/>
      <c r="B3306" s="1775" t="s">
        <v>9572</v>
      </c>
      <c r="C3306" s="1747" t="s">
        <v>5</v>
      </c>
      <c r="D3306" s="1772">
        <v>1</v>
      </c>
      <c r="E3306" s="1782">
        <v>1500000</v>
      </c>
      <c r="F3306" s="1758">
        <v>1</v>
      </c>
      <c r="G3306" s="1786">
        <f t="shared" si="24"/>
        <v>1500000</v>
      </c>
      <c r="H3306" s="1524"/>
      <c r="J3306" s="1637"/>
      <c r="K3306" s="1637"/>
    </row>
    <row r="3307" spans="1:11" x14ac:dyDescent="0.25">
      <c r="A3307" s="1528"/>
      <c r="B3307" s="1774" t="s">
        <v>9573</v>
      </c>
      <c r="C3307" s="1747" t="s">
        <v>5</v>
      </c>
      <c r="D3307" s="1772">
        <v>1</v>
      </c>
      <c r="E3307" s="1780">
        <v>2500000</v>
      </c>
      <c r="F3307" s="1758">
        <v>1</v>
      </c>
      <c r="G3307" s="1753">
        <f t="shared" si="24"/>
        <v>2500000</v>
      </c>
      <c r="H3307" s="1524"/>
      <c r="J3307" s="1637"/>
      <c r="K3307" s="1637"/>
    </row>
    <row r="3308" spans="1:11" x14ac:dyDescent="0.25">
      <c r="A3308" s="1528"/>
      <c r="B3308" s="1801" t="s">
        <v>9574</v>
      </c>
      <c r="C3308" s="1747" t="s">
        <v>5</v>
      </c>
      <c r="D3308" s="1772">
        <v>1</v>
      </c>
      <c r="E3308" s="1780">
        <v>780000</v>
      </c>
      <c r="F3308" s="1758">
        <v>1</v>
      </c>
      <c r="G3308" s="1753">
        <f t="shared" si="24"/>
        <v>780000</v>
      </c>
      <c r="H3308" s="1524"/>
      <c r="J3308" s="1637"/>
      <c r="K3308" s="1637"/>
    </row>
    <row r="3309" spans="1:11" x14ac:dyDescent="0.25">
      <c r="A3309" s="1528"/>
      <c r="B3309" s="1828" t="s">
        <v>9575</v>
      </c>
      <c r="C3309" s="1747" t="s">
        <v>5</v>
      </c>
      <c r="D3309" s="1772">
        <v>1</v>
      </c>
      <c r="E3309" s="1780">
        <v>1200000</v>
      </c>
      <c r="F3309" s="1758">
        <v>1</v>
      </c>
      <c r="G3309" s="1753">
        <f t="shared" si="24"/>
        <v>1200000</v>
      </c>
      <c r="H3309" s="1524"/>
      <c r="J3309" s="1637"/>
      <c r="K3309" s="1637"/>
    </row>
    <row r="3310" spans="1:11" x14ac:dyDescent="0.25">
      <c r="A3310" s="1528"/>
      <c r="B3310" s="1752" t="s">
        <v>9576</v>
      </c>
      <c r="C3310" s="1749" t="s">
        <v>5</v>
      </c>
      <c r="D3310" s="1773">
        <v>1</v>
      </c>
      <c r="E3310" s="1781">
        <v>980000</v>
      </c>
      <c r="F3310" s="1758">
        <v>1</v>
      </c>
      <c r="G3310" s="1753">
        <f t="shared" si="24"/>
        <v>980000</v>
      </c>
      <c r="H3310" s="1524"/>
      <c r="J3310" s="1637"/>
      <c r="K3310" s="1637"/>
    </row>
    <row r="3311" spans="1:11" x14ac:dyDescent="0.25">
      <c r="A3311" s="1528"/>
      <c r="B3311" s="1754" t="s">
        <v>9577</v>
      </c>
      <c r="C3311" s="1755" t="s">
        <v>5</v>
      </c>
      <c r="D3311" s="1829">
        <v>1</v>
      </c>
      <c r="E3311" s="1784">
        <v>4500000</v>
      </c>
      <c r="F3311" s="1838">
        <v>1</v>
      </c>
      <c r="G3311" s="1756">
        <f t="shared" si="24"/>
        <v>4500000</v>
      </c>
      <c r="H3311" s="1524"/>
      <c r="J3311" s="1637"/>
      <c r="K3311" s="1637"/>
    </row>
    <row r="3312" spans="1:11" x14ac:dyDescent="0.25">
      <c r="A3312" s="1528"/>
      <c r="B3312" s="1754" t="s">
        <v>9578</v>
      </c>
      <c r="C3312" s="1755" t="s">
        <v>5</v>
      </c>
      <c r="D3312" s="1829">
        <v>1</v>
      </c>
      <c r="E3312" s="1784">
        <v>1270000</v>
      </c>
      <c r="F3312" s="1838">
        <v>1</v>
      </c>
      <c r="G3312" s="1756">
        <f t="shared" si="24"/>
        <v>1270000</v>
      </c>
      <c r="H3312" s="1524"/>
      <c r="J3312" s="1637"/>
      <c r="K3312" s="1637"/>
    </row>
    <row r="3313" spans="1:11" x14ac:dyDescent="0.25">
      <c r="A3313" s="1528"/>
      <c r="B3313" s="1754" t="s">
        <v>9579</v>
      </c>
      <c r="C3313" s="1755" t="s">
        <v>5</v>
      </c>
      <c r="D3313" s="1829">
        <f>32*3+16*3+16*3+8*3</f>
        <v>216</v>
      </c>
      <c r="E3313" s="1784">
        <v>16000</v>
      </c>
      <c r="F3313" s="1838">
        <v>1</v>
      </c>
      <c r="G3313" s="1756">
        <f t="shared" si="24"/>
        <v>3456000</v>
      </c>
      <c r="H3313" s="1524"/>
      <c r="J3313" s="1637"/>
      <c r="K3313" s="1637"/>
    </row>
    <row r="3314" spans="1:11" ht="15.75" thickBot="1" x14ac:dyDescent="0.3">
      <c r="A3314" s="1528"/>
      <c r="B3314" s="1752"/>
      <c r="C3314" s="1749"/>
      <c r="D3314" s="1791"/>
      <c r="E3314" s="1750" t="s">
        <v>7182</v>
      </c>
      <c r="F3314" s="1749"/>
      <c r="G3314" s="1753" t="s">
        <v>7182</v>
      </c>
      <c r="H3314" s="1524"/>
      <c r="J3314" s="1637"/>
      <c r="K3314" s="1637"/>
    </row>
    <row r="3315" spans="1:11" ht="15.75" thickBot="1" x14ac:dyDescent="0.3">
      <c r="A3315" s="1528"/>
      <c r="B3315" s="1761"/>
      <c r="C3315" s="1763"/>
      <c r="D3315" s="1793"/>
      <c r="E3315" s="1762" t="s">
        <v>7182</v>
      </c>
      <c r="F3315" s="1763"/>
      <c r="G3315" s="1764" t="s">
        <v>7182</v>
      </c>
      <c r="H3315" s="1546">
        <f>SUM(G3290:G3315)</f>
        <v>50806871.509999998</v>
      </c>
      <c r="J3315" s="1637"/>
      <c r="K3315" s="1637"/>
    </row>
    <row r="3316" spans="1:11" x14ac:dyDescent="0.25">
      <c r="A3316" s="1528"/>
      <c r="B3316" s="1372"/>
      <c r="C3316" s="1374"/>
      <c r="D3316" s="1373"/>
      <c r="E3316" s="1372" t="s">
        <v>7182</v>
      </c>
      <c r="F3316" s="1374"/>
      <c r="G3316" s="1375" t="s">
        <v>7182</v>
      </c>
      <c r="H3316" s="1550"/>
      <c r="J3316" s="1637"/>
      <c r="K3316" s="1637"/>
    </row>
    <row r="3317" spans="1:11" ht="15.75" thickBot="1" x14ac:dyDescent="0.3">
      <c r="A3317" s="1527"/>
      <c r="B3317" s="188"/>
      <c r="C3317" s="189"/>
      <c r="D3317" s="1668"/>
      <c r="E3317" s="188"/>
      <c r="F3317" s="189"/>
      <c r="G3317" s="1669"/>
      <c r="H3317" s="1550"/>
      <c r="J3317" s="1637"/>
      <c r="K3317" s="1637"/>
    </row>
    <row r="3318" spans="1:11" ht="15.75" thickBot="1" x14ac:dyDescent="0.3">
      <c r="A3318" s="1527"/>
      <c r="B3318" s="1366" t="s">
        <v>9418</v>
      </c>
      <c r="C3318" s="1363" t="s">
        <v>867</v>
      </c>
      <c r="D3318" s="1120" t="s">
        <v>6</v>
      </c>
      <c r="E3318" s="1363" t="s">
        <v>7183</v>
      </c>
      <c r="F3318" s="1363" t="s">
        <v>5405</v>
      </c>
      <c r="G3318" s="1365" t="s">
        <v>7179</v>
      </c>
      <c r="H3318" s="1524"/>
      <c r="J3318" s="1637"/>
      <c r="K3318" s="1637"/>
    </row>
    <row r="3319" spans="1:11" x14ac:dyDescent="0.25">
      <c r="A3319" s="1527"/>
      <c r="B3319" s="1770" t="s">
        <v>5455</v>
      </c>
      <c r="C3319" s="1747" t="s">
        <v>5</v>
      </c>
      <c r="D3319" s="1772">
        <v>1</v>
      </c>
      <c r="E3319" s="1748">
        <v>1200000</v>
      </c>
      <c r="F3319" s="1777">
        <v>0.8</v>
      </c>
      <c r="G3319" s="1783">
        <f>+F3319*E3319</f>
        <v>960000</v>
      </c>
      <c r="H3319" s="1524"/>
      <c r="J3319" s="1637"/>
      <c r="K3319" s="1637"/>
    </row>
    <row r="3320" spans="1:11" x14ac:dyDescent="0.25">
      <c r="A3320" s="1527"/>
      <c r="B3320" s="1752"/>
      <c r="C3320" s="1749"/>
      <c r="D3320" s="1773"/>
      <c r="E3320" s="1748" t="s">
        <v>7182</v>
      </c>
      <c r="F3320" s="1749"/>
      <c r="G3320" s="1783" t="s">
        <v>7182</v>
      </c>
      <c r="H3320" s="1524"/>
      <c r="J3320" s="1637"/>
      <c r="K3320" s="1637"/>
    </row>
    <row r="3321" spans="1:11" x14ac:dyDescent="0.25">
      <c r="A3321" s="1527"/>
      <c r="B3321" s="1540"/>
      <c r="C3321" s="1537"/>
      <c r="D3321" s="212"/>
      <c r="E3321" s="1535" t="s">
        <v>7182</v>
      </c>
      <c r="F3321" s="1537"/>
      <c r="G3321" s="1572" t="s">
        <v>7182</v>
      </c>
      <c r="H3321" s="1524"/>
      <c r="J3321" s="1637"/>
      <c r="K3321" s="1637"/>
    </row>
    <row r="3322" spans="1:11" ht="15.75" thickBot="1" x14ac:dyDescent="0.3">
      <c r="A3322" s="1527"/>
      <c r="B3322" s="1540"/>
      <c r="C3322" s="1537"/>
      <c r="D3322" s="212"/>
      <c r="E3322" s="1535" t="s">
        <v>7182</v>
      </c>
      <c r="F3322" s="1537"/>
      <c r="G3322" s="1572" t="s">
        <v>7182</v>
      </c>
      <c r="H3322" s="1524"/>
      <c r="J3322" s="1637"/>
      <c r="K3322" s="1637"/>
    </row>
    <row r="3323" spans="1:11" ht="15.75" thickBot="1" x14ac:dyDescent="0.3">
      <c r="A3323" s="1527"/>
      <c r="B3323" s="1555"/>
      <c r="C3323" s="1556"/>
      <c r="D3323" s="956"/>
      <c r="E3323" s="1556" t="s">
        <v>7182</v>
      </c>
      <c r="F3323" s="1557"/>
      <c r="G3323" s="1558" t="s">
        <v>7182</v>
      </c>
      <c r="H3323" s="1546">
        <f>SUM(G3319:G3323)</f>
        <v>960000</v>
      </c>
      <c r="J3323" s="1637"/>
      <c r="K3323" s="1637"/>
    </row>
    <row r="3324" spans="1:11" ht="15.75" thickBot="1" x14ac:dyDescent="0.3">
      <c r="A3324" s="1527"/>
      <c r="B3324" s="1376"/>
      <c r="C3324" s="1353"/>
      <c r="D3324" s="1355"/>
      <c r="E3324" s="1352"/>
      <c r="F3324" s="1377"/>
      <c r="G3324" s="1378"/>
      <c r="H3324" s="1524"/>
      <c r="J3324" s="1637"/>
      <c r="K3324" s="1637"/>
    </row>
    <row r="3325" spans="1:11" ht="15.75" thickBot="1" x14ac:dyDescent="0.3">
      <c r="A3325" s="1527"/>
      <c r="B3325" s="1366" t="s">
        <v>5410</v>
      </c>
      <c r="C3325" s="1363" t="s">
        <v>867</v>
      </c>
      <c r="D3325" s="1120" t="s">
        <v>6</v>
      </c>
      <c r="E3325" s="1363" t="s">
        <v>7183</v>
      </c>
      <c r="F3325" s="1363" t="s">
        <v>5405</v>
      </c>
      <c r="G3325" s="1365" t="s">
        <v>7179</v>
      </c>
      <c r="H3325" s="1524"/>
      <c r="J3325" s="1637"/>
      <c r="K3325" s="1637"/>
    </row>
    <row r="3326" spans="1:11" ht="25.5" x14ac:dyDescent="0.25">
      <c r="A3326" s="1527"/>
      <c r="B3326" s="1770" t="s">
        <v>9421</v>
      </c>
      <c r="C3326" s="1747" t="s">
        <v>9023</v>
      </c>
      <c r="D3326" s="1772">
        <v>1</v>
      </c>
      <c r="E3326" s="1748">
        <v>400000</v>
      </c>
      <c r="F3326" s="1777">
        <v>1</v>
      </c>
      <c r="G3326" s="1783">
        <f>+F3326*E3326</f>
        <v>400000</v>
      </c>
      <c r="H3326" s="1524"/>
      <c r="J3326" s="1637"/>
      <c r="K3326" s="1637"/>
    </row>
    <row r="3327" spans="1:11" x14ac:dyDescent="0.25">
      <c r="A3327" s="1527"/>
      <c r="B3327" s="1752"/>
      <c r="C3327" s="1749"/>
      <c r="D3327" s="1773"/>
      <c r="E3327" s="1748" t="s">
        <v>7182</v>
      </c>
      <c r="F3327" s="1749"/>
      <c r="G3327" s="1783" t="s">
        <v>7182</v>
      </c>
      <c r="H3327" s="1524"/>
    </row>
    <row r="3328" spans="1:11" x14ac:dyDescent="0.25">
      <c r="A3328" s="1527"/>
      <c r="B3328" s="1540"/>
      <c r="C3328" s="1537"/>
      <c r="D3328" s="212"/>
      <c r="E3328" s="1535" t="s">
        <v>7182</v>
      </c>
      <c r="F3328" s="1537"/>
      <c r="G3328" s="1572" t="s">
        <v>7182</v>
      </c>
      <c r="H3328" s="1524"/>
    </row>
    <row r="3329" spans="1:11" ht="15.75" thickBot="1" x14ac:dyDescent="0.3">
      <c r="A3329" s="1527"/>
      <c r="B3329" s="1540"/>
      <c r="C3329" s="1537"/>
      <c r="D3329" s="212"/>
      <c r="E3329" s="1535" t="s">
        <v>7182</v>
      </c>
      <c r="F3329" s="1537"/>
      <c r="G3329" s="1572" t="s">
        <v>7182</v>
      </c>
      <c r="H3329" s="1524"/>
    </row>
    <row r="3330" spans="1:11" ht="15.75" thickBot="1" x14ac:dyDescent="0.3">
      <c r="A3330" s="1527"/>
      <c r="B3330" s="1555"/>
      <c r="C3330" s="1556"/>
      <c r="D3330" s="956"/>
      <c r="E3330" s="1556" t="s">
        <v>7182</v>
      </c>
      <c r="F3330" s="1557"/>
      <c r="G3330" s="1558" t="s">
        <v>7182</v>
      </c>
      <c r="H3330" s="1546">
        <f>SUM(G3326:G3330)</f>
        <v>400000</v>
      </c>
    </row>
    <row r="3331" spans="1:11" ht="15.75" thickBot="1" x14ac:dyDescent="0.3">
      <c r="A3331" s="1527"/>
      <c r="B3331" s="1547"/>
      <c r="C3331" s="1547"/>
      <c r="D3331" s="954"/>
      <c r="E3331" s="1547"/>
      <c r="F3331" s="1553"/>
      <c r="G3331" s="1554"/>
      <c r="H3331" s="1550"/>
    </row>
    <row r="3332" spans="1:11" ht="15.75" thickBot="1" x14ac:dyDescent="0.3">
      <c r="A3332" s="1559"/>
      <c r="B3332" s="1369" t="s">
        <v>5412</v>
      </c>
      <c r="C3332" s="1363" t="s">
        <v>5420</v>
      </c>
      <c r="D3332" s="1120" t="s">
        <v>5421</v>
      </c>
      <c r="E3332" s="1363" t="s">
        <v>7187</v>
      </c>
      <c r="F3332" s="1363" t="s">
        <v>5405</v>
      </c>
      <c r="G3332" s="1370" t="s">
        <v>7179</v>
      </c>
      <c r="H3332" s="1371"/>
    </row>
    <row r="3333" spans="1:11" x14ac:dyDescent="0.25">
      <c r="A3333" s="1527"/>
      <c r="B3333" s="1767" t="s">
        <v>9422</v>
      </c>
      <c r="C3333" s="1778">
        <v>170000</v>
      </c>
      <c r="D3333" s="1779">
        <f>0.6*C3333</f>
        <v>102000</v>
      </c>
      <c r="E3333" s="1778">
        <f>+D3333+C3333</f>
        <v>272000</v>
      </c>
      <c r="F3333" s="1790">
        <v>20</v>
      </c>
      <c r="G3333" s="1789">
        <f>+F3333*E3333</f>
        <v>5440000</v>
      </c>
      <c r="H3333" s="1524"/>
    </row>
    <row r="3334" spans="1:11" ht="51" x14ac:dyDescent="0.25">
      <c r="A3334" s="1527"/>
      <c r="B3334" s="1839" t="s">
        <v>9600</v>
      </c>
      <c r="C3334" s="1778">
        <v>200000</v>
      </c>
      <c r="D3334" s="1778">
        <f>+C3334*0.8</f>
        <v>160000</v>
      </c>
      <c r="E3334" s="1778">
        <f>+D3334+C3334</f>
        <v>360000</v>
      </c>
      <c r="F3334" s="1790">
        <v>25</v>
      </c>
      <c r="G3334" s="1789">
        <f>+F3334*E3334</f>
        <v>9000000</v>
      </c>
      <c r="H3334" s="1524"/>
    </row>
    <row r="3335" spans="1:11" x14ac:dyDescent="0.25">
      <c r="A3335" s="1527"/>
      <c r="B3335" s="1561"/>
      <c r="C3335" s="1569"/>
      <c r="D3335" s="1569"/>
      <c r="E3335" s="1569"/>
      <c r="F3335" s="817"/>
      <c r="G3335" s="818"/>
      <c r="H3335" s="1524"/>
    </row>
    <row r="3336" spans="1:11" x14ac:dyDescent="0.25">
      <c r="A3336" s="1527"/>
      <c r="B3336" s="1540"/>
      <c r="C3336" s="1569"/>
      <c r="D3336" s="1569"/>
      <c r="E3336" s="1569"/>
      <c r="F3336" s="817"/>
      <c r="G3336" s="818"/>
      <c r="H3336" s="1524"/>
    </row>
    <row r="3337" spans="1:11" x14ac:dyDescent="0.25">
      <c r="A3337" s="1527"/>
      <c r="B3337" s="1540"/>
      <c r="C3337" s="1538" t="s">
        <v>7182</v>
      </c>
      <c r="D3337" s="952" t="s">
        <v>7182</v>
      </c>
      <c r="E3337" s="1538" t="s">
        <v>7182</v>
      </c>
      <c r="F3337" s="817"/>
      <c r="G3337" s="818" t="str">
        <f>IF(B3337="","",E3337/F3337)</f>
        <v/>
      </c>
      <c r="H3337" s="1524"/>
    </row>
    <row r="3338" spans="1:11" ht="15.75" thickBot="1" x14ac:dyDescent="0.3">
      <c r="A3338" s="1527"/>
      <c r="B3338" s="1540"/>
      <c r="C3338" s="1538" t="s">
        <v>7182</v>
      </c>
      <c r="D3338" s="952" t="s">
        <v>7182</v>
      </c>
      <c r="E3338" s="1538" t="s">
        <v>7182</v>
      </c>
      <c r="F3338" s="1537"/>
      <c r="G3338" s="818" t="str">
        <f>IF(B3338="","",E3338/F3338)</f>
        <v/>
      </c>
      <c r="H3338" s="1524"/>
    </row>
    <row r="3339" spans="1:11" ht="15.75" thickBot="1" x14ac:dyDescent="0.3">
      <c r="A3339" s="1527"/>
      <c r="B3339" s="1555"/>
      <c r="C3339" s="1556"/>
      <c r="D3339" s="956"/>
      <c r="E3339" s="1556"/>
      <c r="F3339" s="1557"/>
      <c r="G3339" s="1558"/>
      <c r="H3339" s="1546">
        <f>SUM(G3333:G3339)</f>
        <v>14440000</v>
      </c>
    </row>
    <row r="3340" spans="1:11" ht="15.75" thickBot="1" x14ac:dyDescent="0.3">
      <c r="A3340" s="1527"/>
      <c r="B3340" s="1527"/>
      <c r="C3340" s="1527"/>
      <c r="D3340" s="529"/>
      <c r="F3340" s="1528"/>
      <c r="G3340" s="1524"/>
      <c r="H3340" s="1524"/>
    </row>
    <row r="3341" spans="1:11" ht="15.75" thickBot="1" x14ac:dyDescent="0.3">
      <c r="A3341" s="1647" t="s">
        <v>6744</v>
      </c>
      <c r="B3341" s="1352"/>
      <c r="C3341" s="1352"/>
      <c r="D3341" s="1671"/>
      <c r="E3341" s="1672"/>
      <c r="F3341" s="1353"/>
      <c r="G3341" s="1527" t="s">
        <v>5415</v>
      </c>
      <c r="H3341" s="502">
        <f>ROUND(SUM(H3289:H3340),0)</f>
        <v>66606872</v>
      </c>
      <c r="J3341" s="1673"/>
      <c r="K3341" s="1674"/>
    </row>
    <row r="3342" spans="1:11" x14ac:dyDescent="0.25">
      <c r="A3342" s="1675"/>
      <c r="B3342" s="1676"/>
      <c r="C3342" s="1676"/>
      <c r="D3342" s="1677"/>
      <c r="E3342" s="1678"/>
      <c r="F3342" s="1679"/>
      <c r="G3342" s="1680"/>
      <c r="H3342" s="1680"/>
    </row>
    <row r="3343" spans="1:11" ht="18.75" x14ac:dyDescent="0.25">
      <c r="A3343" s="1523"/>
      <c r="B3343" s="1655"/>
      <c r="C3343" s="1655"/>
      <c r="D3343" s="950"/>
      <c r="E3343" s="1655"/>
      <c r="F3343" s="1655"/>
      <c r="G3343" s="1655"/>
      <c r="H3343" s="8"/>
      <c r="J3343" s="1637"/>
      <c r="K3343" s="1637"/>
    </row>
    <row r="3344" spans="1:11" x14ac:dyDescent="0.25">
      <c r="A3344" s="1523"/>
      <c r="B3344" s="8"/>
      <c r="C3344" s="8"/>
      <c r="D3344" s="529"/>
      <c r="E3344" s="8"/>
      <c r="F3344" s="1523"/>
      <c r="G3344" s="1524"/>
      <c r="H3344" s="8"/>
      <c r="J3344" s="1637"/>
      <c r="K3344" s="1637"/>
    </row>
    <row r="3345" spans="1:11" ht="20.25" customHeight="1" x14ac:dyDescent="0.25">
      <c r="A3345" s="1665" t="s">
        <v>3</v>
      </c>
      <c r="B3345" s="1666">
        <f>+VLOOKUP(C3345,ListaAPUs!$B:$E,4,FALSE)</f>
        <v>10.72</v>
      </c>
      <c r="C3345" s="2441" t="str">
        <f>+ListaAPUs!B272</f>
        <v>Cable de control 3 * 16 blindado, incluye marquillado, terminales, suministro y montaje.</v>
      </c>
      <c r="D3345" s="2441"/>
      <c r="E3345" s="2441"/>
      <c r="F3345" s="1665" t="s">
        <v>867</v>
      </c>
      <c r="G3345" s="1390" t="str">
        <f>+VLOOKUP(C3345,ListaAPUs!$B:$E,2,FALSE)</f>
        <v>m</v>
      </c>
      <c r="H3345" s="1524"/>
    </row>
    <row r="3346" spans="1:11" x14ac:dyDescent="0.25">
      <c r="A3346" s="1528"/>
      <c r="B3346" s="1527"/>
      <c r="C3346" s="1527"/>
      <c r="D3346" s="529"/>
      <c r="E3346" s="1527"/>
      <c r="F3346" s="1528"/>
      <c r="G3346" s="1524"/>
      <c r="H3346" s="1524"/>
      <c r="J3346" s="1637"/>
      <c r="K3346" s="1637"/>
    </row>
    <row r="3347" spans="1:11" x14ac:dyDescent="0.25">
      <c r="A3347" s="1528"/>
      <c r="B3347" s="1527"/>
      <c r="C3347" s="1527"/>
      <c r="D3347" s="529"/>
      <c r="E3347" s="1527"/>
      <c r="F3347" s="1528"/>
      <c r="G3347" s="1529"/>
      <c r="H3347" s="1524"/>
      <c r="J3347" s="1637"/>
      <c r="K3347" s="1637"/>
    </row>
    <row r="3348" spans="1:11" ht="15.75" thickBot="1" x14ac:dyDescent="0.3">
      <c r="A3348" s="1528"/>
      <c r="B3348" s="1527"/>
      <c r="C3348" s="1527"/>
      <c r="D3348" s="529"/>
      <c r="E3348" s="1527"/>
      <c r="F3348" s="1528"/>
      <c r="G3348" s="1524"/>
      <c r="H3348" s="1524"/>
      <c r="J3348" s="1637"/>
      <c r="K3348" s="1637"/>
    </row>
    <row r="3349" spans="1:11" ht="15.75" thickBot="1" x14ac:dyDescent="0.3">
      <c r="A3349" s="1368"/>
      <c r="B3349" s="1369" t="s">
        <v>5403</v>
      </c>
      <c r="C3349" s="1363" t="s">
        <v>867</v>
      </c>
      <c r="D3349" s="1120" t="s">
        <v>6</v>
      </c>
      <c r="E3349" s="1363" t="s">
        <v>9417</v>
      </c>
      <c r="F3349" s="1363" t="s">
        <v>5405</v>
      </c>
      <c r="G3349" s="1370" t="s">
        <v>7179</v>
      </c>
      <c r="H3349" s="1371"/>
      <c r="J3349" s="1637"/>
      <c r="K3349" s="1637"/>
    </row>
    <row r="3350" spans="1:11" ht="25.5" x14ac:dyDescent="0.25">
      <c r="A3350" s="1528"/>
      <c r="B3350" s="1746" t="s">
        <v>9580</v>
      </c>
      <c r="C3350" s="1802" t="s">
        <v>5432</v>
      </c>
      <c r="D3350" s="1794">
        <v>1</v>
      </c>
      <c r="E3350" s="1803">
        <v>3300</v>
      </c>
      <c r="F3350" s="1804">
        <v>1.05</v>
      </c>
      <c r="G3350" s="1805">
        <f>+F3350*E3350*D3350</f>
        <v>3465</v>
      </c>
      <c r="H3350" s="1524"/>
      <c r="J3350" s="1637"/>
      <c r="K3350" s="1637"/>
    </row>
    <row r="3351" spans="1:11" x14ac:dyDescent="0.25">
      <c r="A3351" s="1528"/>
      <c r="B3351" s="1751" t="s">
        <v>9546</v>
      </c>
      <c r="C3351" s="1749" t="s">
        <v>5</v>
      </c>
      <c r="D3351" s="1773">
        <v>1</v>
      </c>
      <c r="E3351" s="1825">
        <v>1500</v>
      </c>
      <c r="F3351" s="1769">
        <v>1</v>
      </c>
      <c r="G3351" s="1786">
        <f>+F3351*E3351*D3351</f>
        <v>1500</v>
      </c>
      <c r="H3351" s="1524"/>
      <c r="J3351" s="1637"/>
      <c r="K3351" s="1637"/>
    </row>
    <row r="3352" spans="1:11" x14ac:dyDescent="0.25">
      <c r="A3352" s="1528"/>
      <c r="B3352" s="1822" t="s">
        <v>9581</v>
      </c>
      <c r="C3352" s="1749" t="s">
        <v>5</v>
      </c>
      <c r="D3352" s="1769">
        <v>0.5</v>
      </c>
      <c r="E3352" s="1825">
        <v>200</v>
      </c>
      <c r="F3352" s="1769">
        <v>1</v>
      </c>
      <c r="G3352" s="1786">
        <f>+F3352*E3352*D3352</f>
        <v>100</v>
      </c>
      <c r="H3352" s="1524"/>
      <c r="J3352" s="1637"/>
      <c r="K3352" s="1637"/>
    </row>
    <row r="3353" spans="1:11" x14ac:dyDescent="0.25">
      <c r="A3353" s="1528"/>
      <c r="B3353" s="1822"/>
      <c r="C3353" s="1749"/>
      <c r="D3353" s="1773"/>
      <c r="E3353" s="1787"/>
      <c r="F3353" s="1769"/>
      <c r="G3353" s="1786"/>
      <c r="H3353" s="1524"/>
      <c r="J3353" s="1637"/>
      <c r="K3353" s="1637"/>
    </row>
    <row r="3354" spans="1:11" x14ac:dyDescent="0.25">
      <c r="A3354" s="1528"/>
      <c r="B3354" s="1822"/>
      <c r="C3354" s="1749"/>
      <c r="D3354" s="1773"/>
      <c r="E3354" s="1787"/>
      <c r="F3354" s="1769"/>
      <c r="G3354" s="1786"/>
      <c r="H3354" s="1524"/>
      <c r="J3354" s="1637"/>
      <c r="K3354" s="1637"/>
    </row>
    <row r="3355" spans="1:11" x14ac:dyDescent="0.25">
      <c r="A3355" s="1528"/>
      <c r="B3355" s="1822"/>
      <c r="C3355" s="1749"/>
      <c r="D3355" s="1773"/>
      <c r="E3355" s="1787"/>
      <c r="F3355" s="1769"/>
      <c r="G3355" s="1786"/>
      <c r="H3355" s="1524"/>
      <c r="J3355" s="1637"/>
      <c r="K3355" s="1637"/>
    </row>
    <row r="3356" spans="1:11" x14ac:dyDescent="0.25">
      <c r="A3356" s="1528"/>
      <c r="B3356" s="1667"/>
      <c r="C3356" s="1537"/>
      <c r="D3356" s="212"/>
      <c r="E3356" s="816"/>
      <c r="F3356" s="1563"/>
      <c r="G3356" s="814"/>
      <c r="H3356" s="1524"/>
      <c r="J3356" s="1637"/>
      <c r="K3356" s="1637"/>
    </row>
    <row r="3357" spans="1:11" x14ac:dyDescent="0.25">
      <c r="A3357" s="1528"/>
      <c r="B3357" s="1667"/>
      <c r="C3357" s="1537"/>
      <c r="D3357" s="212"/>
      <c r="E3357" s="816"/>
      <c r="F3357" s="1563"/>
      <c r="G3357" s="814"/>
      <c r="H3357" s="1524"/>
      <c r="J3357" s="1637"/>
      <c r="K3357" s="1637"/>
    </row>
    <row r="3358" spans="1:11" x14ac:dyDescent="0.25">
      <c r="A3358" s="1528"/>
      <c r="B3358" s="1667"/>
      <c r="C3358" s="1537"/>
      <c r="D3358" s="212"/>
      <c r="E3358" s="816"/>
      <c r="F3358" s="1563"/>
      <c r="G3358" s="814"/>
      <c r="H3358" s="1524"/>
      <c r="J3358" s="1637"/>
      <c r="K3358" s="1637"/>
    </row>
    <row r="3359" spans="1:11" x14ac:dyDescent="0.25">
      <c r="A3359" s="1528"/>
      <c r="B3359" s="1667"/>
      <c r="C3359" s="1537"/>
      <c r="D3359" s="212"/>
      <c r="E3359" s="816"/>
      <c r="F3359" s="1563"/>
      <c r="G3359" s="814"/>
      <c r="H3359" s="1524"/>
      <c r="J3359" s="1637"/>
      <c r="K3359" s="1637"/>
    </row>
    <row r="3360" spans="1:11" x14ac:dyDescent="0.25">
      <c r="A3360" s="1528"/>
      <c r="B3360" s="1667"/>
      <c r="C3360" s="1537"/>
      <c r="D3360" s="212"/>
      <c r="E3360" s="816"/>
      <c r="F3360" s="1563"/>
      <c r="G3360" s="814"/>
      <c r="H3360" s="1524"/>
      <c r="J3360" s="1637"/>
      <c r="K3360" s="1637"/>
    </row>
    <row r="3361" spans="1:11" x14ac:dyDescent="0.25">
      <c r="A3361" s="1528"/>
      <c r="B3361" s="269"/>
      <c r="C3361" s="1537"/>
      <c r="D3361" s="212"/>
      <c r="E3361" s="816"/>
      <c r="F3361" s="1563"/>
      <c r="G3361" s="814"/>
      <c r="H3361" s="1524"/>
      <c r="J3361" s="1637"/>
      <c r="K3361" s="1637"/>
    </row>
    <row r="3362" spans="1:11" x14ac:dyDescent="0.25">
      <c r="A3362" s="1528"/>
      <c r="B3362" s="268"/>
      <c r="C3362" s="1534"/>
      <c r="D3362" s="211"/>
      <c r="E3362" s="1535" t="s">
        <v>7182</v>
      </c>
      <c r="F3362" s="1551"/>
      <c r="G3362" s="1541" t="s">
        <v>7182</v>
      </c>
      <c r="H3362" s="1524"/>
      <c r="J3362" s="1637"/>
      <c r="K3362" s="1637"/>
    </row>
    <row r="3363" spans="1:11" x14ac:dyDescent="0.25">
      <c r="A3363" s="1528"/>
      <c r="B3363" s="1346"/>
      <c r="C3363" s="1534"/>
      <c r="D3363" s="211"/>
      <c r="E3363" s="1535" t="s">
        <v>7182</v>
      </c>
      <c r="F3363" s="1551"/>
      <c r="G3363" s="1541" t="s">
        <v>7182</v>
      </c>
      <c r="H3363" s="1524"/>
      <c r="J3363" s="1637"/>
      <c r="K3363" s="1637"/>
    </row>
    <row r="3364" spans="1:11" ht="15.75" thickBot="1" x14ac:dyDescent="0.3">
      <c r="A3364" s="1528"/>
      <c r="B3364" s="1540"/>
      <c r="C3364" s="1537"/>
      <c r="D3364" s="952"/>
      <c r="E3364" s="1538" t="s">
        <v>7182</v>
      </c>
      <c r="F3364" s="1537"/>
      <c r="G3364" s="1541" t="s">
        <v>7182</v>
      </c>
      <c r="H3364" s="1524"/>
      <c r="J3364" s="1637"/>
      <c r="K3364" s="1637"/>
    </row>
    <row r="3365" spans="1:11" ht="15.75" thickBot="1" x14ac:dyDescent="0.3">
      <c r="A3365" s="1528"/>
      <c r="B3365" s="1555"/>
      <c r="C3365" s="1557"/>
      <c r="D3365" s="956"/>
      <c r="E3365" s="1556" t="s">
        <v>7182</v>
      </c>
      <c r="F3365" s="1557"/>
      <c r="G3365" s="1558" t="s">
        <v>7182</v>
      </c>
      <c r="H3365" s="1546">
        <f>SUM(G3350:G3365)</f>
        <v>5065</v>
      </c>
      <c r="J3365" s="1637"/>
      <c r="K3365" s="1637"/>
    </row>
    <row r="3366" spans="1:11" x14ac:dyDescent="0.25">
      <c r="A3366" s="1528"/>
      <c r="B3366" s="1372"/>
      <c r="C3366" s="1374"/>
      <c r="D3366" s="1373"/>
      <c r="E3366" s="1372" t="s">
        <v>7182</v>
      </c>
      <c r="F3366" s="1374"/>
      <c r="G3366" s="1375" t="s">
        <v>7182</v>
      </c>
      <c r="H3366" s="1550"/>
      <c r="J3366" s="1637"/>
      <c r="K3366" s="1637"/>
    </row>
    <row r="3367" spans="1:11" ht="15.75" thickBot="1" x14ac:dyDescent="0.3">
      <c r="A3367" s="1527"/>
      <c r="B3367" s="188"/>
      <c r="C3367" s="189"/>
      <c r="D3367" s="1668"/>
      <c r="E3367" s="188"/>
      <c r="F3367" s="189"/>
      <c r="G3367" s="1669"/>
      <c r="H3367" s="1550"/>
      <c r="J3367" s="1637"/>
      <c r="K3367" s="1637"/>
    </row>
    <row r="3368" spans="1:11" ht="15.75" thickBot="1" x14ac:dyDescent="0.3">
      <c r="A3368" s="1527"/>
      <c r="B3368" s="1366" t="s">
        <v>9418</v>
      </c>
      <c r="C3368" s="1363" t="s">
        <v>867</v>
      </c>
      <c r="D3368" s="1120" t="s">
        <v>6</v>
      </c>
      <c r="E3368" s="1363" t="s">
        <v>7183</v>
      </c>
      <c r="F3368" s="1363" t="s">
        <v>5405</v>
      </c>
      <c r="G3368" s="1365" t="s">
        <v>7179</v>
      </c>
      <c r="H3368" s="1524"/>
      <c r="J3368" s="1637"/>
      <c r="K3368" s="1637"/>
    </row>
    <row r="3369" spans="1:11" x14ac:dyDescent="0.25">
      <c r="A3369" s="1527"/>
      <c r="B3369" s="1770" t="s">
        <v>5455</v>
      </c>
      <c r="C3369" s="1747" t="s">
        <v>5</v>
      </c>
      <c r="D3369" s="1772">
        <v>1</v>
      </c>
      <c r="E3369" s="1748">
        <v>500</v>
      </c>
      <c r="F3369" s="1777">
        <v>0.1</v>
      </c>
      <c r="G3369" s="1783">
        <f>+F3369*E3369</f>
        <v>50</v>
      </c>
      <c r="H3369" s="1524"/>
      <c r="J3369" s="1637"/>
      <c r="K3369" s="1637"/>
    </row>
    <row r="3370" spans="1:11" x14ac:dyDescent="0.25">
      <c r="A3370" s="1527"/>
      <c r="B3370" s="1752"/>
      <c r="C3370" s="1749"/>
      <c r="D3370" s="1773"/>
      <c r="E3370" s="1748" t="s">
        <v>7182</v>
      </c>
      <c r="F3370" s="1749"/>
      <c r="G3370" s="1783" t="s">
        <v>7182</v>
      </c>
      <c r="H3370" s="1524"/>
      <c r="J3370" s="1637"/>
      <c r="K3370" s="1637"/>
    </row>
    <row r="3371" spans="1:11" x14ac:dyDescent="0.25">
      <c r="A3371" s="1527"/>
      <c r="B3371" s="1752"/>
      <c r="C3371" s="1749"/>
      <c r="D3371" s="1773"/>
      <c r="E3371" s="1748" t="s">
        <v>7182</v>
      </c>
      <c r="F3371" s="1749"/>
      <c r="G3371" s="1783" t="s">
        <v>7182</v>
      </c>
      <c r="H3371" s="1524"/>
      <c r="J3371" s="1637"/>
      <c r="K3371" s="1637"/>
    </row>
    <row r="3372" spans="1:11" ht="15.75" thickBot="1" x14ac:dyDescent="0.3">
      <c r="A3372" s="1527"/>
      <c r="B3372" s="1752"/>
      <c r="C3372" s="1749"/>
      <c r="D3372" s="1773"/>
      <c r="E3372" s="1748" t="s">
        <v>7182</v>
      </c>
      <c r="F3372" s="1749"/>
      <c r="G3372" s="1783" t="s">
        <v>7182</v>
      </c>
      <c r="H3372" s="1524"/>
      <c r="J3372" s="1637"/>
      <c r="K3372" s="1637"/>
    </row>
    <row r="3373" spans="1:11" ht="15.75" thickBot="1" x14ac:dyDescent="0.3">
      <c r="A3373" s="1527"/>
      <c r="B3373" s="1555"/>
      <c r="C3373" s="1556"/>
      <c r="D3373" s="956"/>
      <c r="E3373" s="1556" t="s">
        <v>7182</v>
      </c>
      <c r="F3373" s="1557"/>
      <c r="G3373" s="1558" t="s">
        <v>7182</v>
      </c>
      <c r="H3373" s="1546">
        <f>SUM(G3369:G3373)</f>
        <v>50</v>
      </c>
      <c r="J3373" s="1637"/>
      <c r="K3373" s="1637"/>
    </row>
    <row r="3374" spans="1:11" ht="15.75" thickBot="1" x14ac:dyDescent="0.3">
      <c r="A3374" s="1527"/>
      <c r="B3374" s="1376"/>
      <c r="C3374" s="1353"/>
      <c r="D3374" s="1355"/>
      <c r="E3374" s="1352"/>
      <c r="F3374" s="1377"/>
      <c r="G3374" s="1378"/>
      <c r="H3374" s="1524"/>
      <c r="J3374" s="1637"/>
      <c r="K3374" s="1637"/>
    </row>
    <row r="3375" spans="1:11" ht="15.75" thickBot="1" x14ac:dyDescent="0.3">
      <c r="A3375" s="1527"/>
      <c r="B3375" s="1366" t="s">
        <v>5410</v>
      </c>
      <c r="C3375" s="1363" t="s">
        <v>867</v>
      </c>
      <c r="D3375" s="1120" t="s">
        <v>6</v>
      </c>
      <c r="E3375" s="1363" t="s">
        <v>7183</v>
      </c>
      <c r="F3375" s="1363" t="s">
        <v>5405</v>
      </c>
      <c r="G3375" s="1365" t="s">
        <v>7179</v>
      </c>
      <c r="H3375" s="1524"/>
      <c r="J3375" s="1637"/>
      <c r="K3375" s="1637"/>
    </row>
    <row r="3376" spans="1:11" ht="25.5" x14ac:dyDescent="0.25">
      <c r="A3376" s="1527"/>
      <c r="B3376" s="1770" t="s">
        <v>9421</v>
      </c>
      <c r="C3376" s="1747" t="s">
        <v>9023</v>
      </c>
      <c r="D3376" s="1772">
        <v>1</v>
      </c>
      <c r="E3376" s="1748">
        <v>1000</v>
      </c>
      <c r="F3376" s="1777">
        <v>0.05</v>
      </c>
      <c r="G3376" s="1783">
        <f>+F3376*E3376</f>
        <v>50</v>
      </c>
      <c r="H3376" s="1524"/>
      <c r="J3376" s="1637"/>
      <c r="K3376" s="1637"/>
    </row>
    <row r="3377" spans="1:11" x14ac:dyDescent="0.25">
      <c r="A3377" s="1527"/>
      <c r="B3377" s="1752"/>
      <c r="C3377" s="1749"/>
      <c r="D3377" s="1773"/>
      <c r="E3377" s="1748" t="s">
        <v>7182</v>
      </c>
      <c r="F3377" s="1749"/>
      <c r="G3377" s="1783" t="s">
        <v>7182</v>
      </c>
      <c r="H3377" s="1524"/>
      <c r="J3377" s="1637"/>
      <c r="K3377" s="1637"/>
    </row>
    <row r="3378" spans="1:11" x14ac:dyDescent="0.25">
      <c r="A3378" s="1527"/>
      <c r="B3378" s="1752"/>
      <c r="C3378" s="1749"/>
      <c r="D3378" s="1773"/>
      <c r="E3378" s="1748" t="s">
        <v>7182</v>
      </c>
      <c r="F3378" s="1749"/>
      <c r="G3378" s="1783" t="s">
        <v>7182</v>
      </c>
      <c r="H3378" s="1524"/>
      <c r="J3378" s="1637"/>
      <c r="K3378" s="1637"/>
    </row>
    <row r="3379" spans="1:11" ht="15.75" thickBot="1" x14ac:dyDescent="0.3">
      <c r="A3379" s="1527"/>
      <c r="B3379" s="1752"/>
      <c r="C3379" s="1749"/>
      <c r="D3379" s="1773"/>
      <c r="E3379" s="1748" t="s">
        <v>7182</v>
      </c>
      <c r="F3379" s="1749"/>
      <c r="G3379" s="1783" t="s">
        <v>7182</v>
      </c>
      <c r="H3379" s="1524"/>
      <c r="J3379" s="1637"/>
      <c r="K3379" s="1637"/>
    </row>
    <row r="3380" spans="1:11" ht="15.75" thickBot="1" x14ac:dyDescent="0.3">
      <c r="A3380" s="1527"/>
      <c r="B3380" s="1555"/>
      <c r="C3380" s="1556"/>
      <c r="D3380" s="956"/>
      <c r="E3380" s="1556" t="s">
        <v>7182</v>
      </c>
      <c r="F3380" s="1557"/>
      <c r="G3380" s="1558" t="s">
        <v>7182</v>
      </c>
      <c r="H3380" s="1546">
        <f>SUM(G3376:G3380)</f>
        <v>50</v>
      </c>
      <c r="J3380" s="1637"/>
      <c r="K3380" s="1637"/>
    </row>
    <row r="3381" spans="1:11" ht="15.75" thickBot="1" x14ac:dyDescent="0.3">
      <c r="A3381" s="1527"/>
      <c r="B3381" s="1547"/>
      <c r="C3381" s="1547"/>
      <c r="D3381" s="954"/>
      <c r="E3381" s="1547"/>
      <c r="F3381" s="1553"/>
      <c r="G3381" s="1554"/>
      <c r="H3381" s="1550"/>
      <c r="J3381" s="1637"/>
      <c r="K3381" s="1637"/>
    </row>
    <row r="3382" spans="1:11" ht="15.75" thickBot="1" x14ac:dyDescent="0.3">
      <c r="A3382" s="1559"/>
      <c r="B3382" s="1369" t="s">
        <v>5412</v>
      </c>
      <c r="C3382" s="1363" t="s">
        <v>5420</v>
      </c>
      <c r="D3382" s="1120" t="s">
        <v>5421</v>
      </c>
      <c r="E3382" s="1363" t="s">
        <v>7187</v>
      </c>
      <c r="F3382" s="1363" t="s">
        <v>5405</v>
      </c>
      <c r="G3382" s="1370" t="s">
        <v>7179</v>
      </c>
      <c r="H3382" s="1371"/>
      <c r="J3382" s="1637"/>
      <c r="K3382" s="1637"/>
    </row>
    <row r="3383" spans="1:11" x14ac:dyDescent="0.25">
      <c r="A3383" s="1527"/>
      <c r="B3383" s="1767" t="s">
        <v>9422</v>
      </c>
      <c r="C3383" s="1778">
        <v>170000</v>
      </c>
      <c r="D3383" s="1779">
        <f>0.6*C3383</f>
        <v>102000</v>
      </c>
      <c r="E3383" s="1778">
        <f>+D3383+C3383</f>
        <v>272000</v>
      </c>
      <c r="F3383" s="1790">
        <v>0.01</v>
      </c>
      <c r="G3383" s="1789">
        <f>+F3383*E3383</f>
        <v>2720</v>
      </c>
      <c r="H3383" s="1524"/>
      <c r="J3383" s="1637"/>
      <c r="K3383" s="1637"/>
    </row>
    <row r="3384" spans="1:11" x14ac:dyDescent="0.25">
      <c r="A3384" s="1527"/>
      <c r="B3384" s="1767"/>
      <c r="C3384" s="1778"/>
      <c r="D3384" s="1778"/>
      <c r="E3384" s="1778"/>
      <c r="F3384" s="1790"/>
      <c r="G3384" s="1789"/>
      <c r="H3384" s="1524"/>
      <c r="J3384" s="1637"/>
      <c r="K3384" s="1637"/>
    </row>
    <row r="3385" spans="1:11" x14ac:dyDescent="0.25">
      <c r="A3385" s="1527"/>
      <c r="B3385" s="1768"/>
      <c r="C3385" s="1778"/>
      <c r="D3385" s="1778"/>
      <c r="E3385" s="1778"/>
      <c r="F3385" s="1788"/>
      <c r="G3385" s="1789"/>
      <c r="H3385" s="1524"/>
      <c r="J3385" s="1637"/>
      <c r="K3385" s="1637"/>
    </row>
    <row r="3386" spans="1:11" x14ac:dyDescent="0.25">
      <c r="A3386" s="1527"/>
      <c r="B3386" s="1752"/>
      <c r="C3386" s="1778"/>
      <c r="D3386" s="1778"/>
      <c r="E3386" s="1778"/>
      <c r="F3386" s="1788"/>
      <c r="G3386" s="1789"/>
      <c r="H3386" s="1524"/>
      <c r="J3386" s="1637"/>
      <c r="K3386" s="1637"/>
    </row>
    <row r="3387" spans="1:11" x14ac:dyDescent="0.25">
      <c r="A3387" s="1527"/>
      <c r="B3387" s="1752"/>
      <c r="C3387" s="1750" t="s">
        <v>7182</v>
      </c>
      <c r="D3387" s="1791" t="s">
        <v>7182</v>
      </c>
      <c r="E3387" s="1750" t="s">
        <v>7182</v>
      </c>
      <c r="F3387" s="1788"/>
      <c r="G3387" s="1789" t="str">
        <f>IF(B3387="","",E3387/F3387)</f>
        <v/>
      </c>
      <c r="H3387" s="1524"/>
      <c r="J3387" s="1637"/>
      <c r="K3387" s="1637"/>
    </row>
    <row r="3388" spans="1:11" ht="15.75" thickBot="1" x14ac:dyDescent="0.3">
      <c r="A3388" s="1527"/>
      <c r="B3388" s="1540"/>
      <c r="C3388" s="1538" t="s">
        <v>7182</v>
      </c>
      <c r="D3388" s="952" t="s">
        <v>7182</v>
      </c>
      <c r="E3388" s="1538" t="s">
        <v>7182</v>
      </c>
      <c r="F3388" s="1537"/>
      <c r="G3388" s="818" t="str">
        <f>IF(B3388="","",E3388/F3388)</f>
        <v/>
      </c>
      <c r="H3388" s="1524"/>
      <c r="J3388" s="1637"/>
      <c r="K3388" s="1637"/>
    </row>
    <row r="3389" spans="1:11" ht="15.75" thickBot="1" x14ac:dyDescent="0.3">
      <c r="A3389" s="1527"/>
      <c r="B3389" s="1555"/>
      <c r="C3389" s="1556"/>
      <c r="D3389" s="956"/>
      <c r="E3389" s="1556"/>
      <c r="F3389" s="1557"/>
      <c r="G3389" s="1558"/>
      <c r="H3389" s="1546">
        <f>SUM(G3383:G3389)</f>
        <v>2720</v>
      </c>
      <c r="J3389" s="1637"/>
      <c r="K3389" s="1637"/>
    </row>
    <row r="3390" spans="1:11" ht="15.75" thickBot="1" x14ac:dyDescent="0.3">
      <c r="A3390" s="1527"/>
      <c r="B3390" s="1527"/>
      <c r="C3390" s="1527"/>
      <c r="D3390" s="529"/>
      <c r="F3390" s="1528"/>
      <c r="G3390" s="1524"/>
      <c r="H3390" s="1524"/>
      <c r="J3390" s="1637"/>
      <c r="K3390" s="1637"/>
    </row>
    <row r="3391" spans="1:11" ht="15.75" thickBot="1" x14ac:dyDescent="0.3">
      <c r="A3391" s="1647" t="s">
        <v>6744</v>
      </c>
      <c r="B3391" s="1352"/>
      <c r="C3391" s="1352"/>
      <c r="D3391" s="1671"/>
      <c r="E3391" s="1672"/>
      <c r="F3391" s="1353"/>
      <c r="G3391" s="1527" t="s">
        <v>5415</v>
      </c>
      <c r="H3391" s="502">
        <f>ROUND(SUM(H3349:H3390),0)</f>
        <v>7885</v>
      </c>
      <c r="J3391" s="1673">
        <f>+B3345</f>
        <v>10.72</v>
      </c>
      <c r="K3391" s="1674">
        <f>+H3391</f>
        <v>7885</v>
      </c>
    </row>
    <row r="3392" spans="1:11" x14ac:dyDescent="0.25">
      <c r="A3392" s="1675"/>
      <c r="B3392" s="1676"/>
      <c r="C3392" s="1676"/>
      <c r="D3392" s="1677"/>
      <c r="E3392" s="1678"/>
      <c r="F3392" s="1679"/>
      <c r="G3392" s="1680"/>
      <c r="H3392" s="1680"/>
    </row>
    <row r="3393" spans="1:11" ht="18.75" x14ac:dyDescent="0.25">
      <c r="A3393" s="1523"/>
      <c r="B3393" s="1655"/>
      <c r="C3393" s="1655"/>
      <c r="D3393" s="950"/>
      <c r="E3393" s="1655"/>
      <c r="F3393" s="1655"/>
      <c r="G3393" s="1655"/>
      <c r="H3393" s="8"/>
    </row>
    <row r="3394" spans="1:11" x14ac:dyDescent="0.25">
      <c r="A3394" s="1523"/>
      <c r="B3394" s="8"/>
      <c r="C3394" s="8"/>
      <c r="D3394" s="529"/>
      <c r="E3394" s="8"/>
      <c r="F3394" s="1523"/>
      <c r="G3394" s="1524"/>
      <c r="H3394" s="8"/>
    </row>
    <row r="3395" spans="1:11" ht="20.25" customHeight="1" x14ac:dyDescent="0.25">
      <c r="A3395" s="1665" t="s">
        <v>3</v>
      </c>
      <c r="B3395" s="1666">
        <f>+VLOOKUP(C3395,ListaAPUs!$B:$E,4,FALSE)</f>
        <v>10.73</v>
      </c>
      <c r="C3395" s="2441" t="str">
        <f>+ListaAPUs!B273</f>
        <v>Cable de control 8 * 16 encauchetado, incluye marquillado, terminales, suministro y montaje.</v>
      </c>
      <c r="D3395" s="2441"/>
      <c r="E3395" s="2441"/>
      <c r="F3395" s="1665" t="s">
        <v>867</v>
      </c>
      <c r="G3395" s="1390" t="str">
        <f>+VLOOKUP(C3395,ListaAPUs!$B:$E,2,FALSE)</f>
        <v>m</v>
      </c>
      <c r="H3395" s="1524"/>
    </row>
    <row r="3396" spans="1:11" x14ac:dyDescent="0.25">
      <c r="A3396" s="1528"/>
      <c r="B3396" s="1527"/>
      <c r="C3396" s="1527"/>
      <c r="D3396" s="529"/>
      <c r="E3396" s="1527"/>
      <c r="F3396" s="1528"/>
      <c r="G3396" s="1524"/>
      <c r="H3396" s="1524"/>
    </row>
    <row r="3397" spans="1:11" x14ac:dyDescent="0.25">
      <c r="A3397" s="1528"/>
      <c r="B3397" s="1527"/>
      <c r="C3397" s="1527"/>
      <c r="D3397" s="529"/>
      <c r="E3397" s="1527"/>
      <c r="F3397" s="1528"/>
      <c r="G3397" s="1529"/>
      <c r="H3397" s="1524"/>
    </row>
    <row r="3398" spans="1:11" ht="15.75" thickBot="1" x14ac:dyDescent="0.3">
      <c r="A3398" s="1528"/>
      <c r="B3398" s="1527"/>
      <c r="C3398" s="1527"/>
      <c r="D3398" s="529"/>
      <c r="E3398" s="1527"/>
      <c r="F3398" s="1528"/>
      <c r="G3398" s="1524"/>
      <c r="H3398" s="1524"/>
    </row>
    <row r="3399" spans="1:11" ht="15.75" thickBot="1" x14ac:dyDescent="0.3">
      <c r="A3399" s="1368"/>
      <c r="B3399" s="1369" t="s">
        <v>5403</v>
      </c>
      <c r="C3399" s="1363" t="s">
        <v>867</v>
      </c>
      <c r="D3399" s="1120" t="s">
        <v>6</v>
      </c>
      <c r="E3399" s="1363" t="s">
        <v>9417</v>
      </c>
      <c r="F3399" s="1363" t="s">
        <v>5405</v>
      </c>
      <c r="G3399" s="1370" t="s">
        <v>7179</v>
      </c>
      <c r="H3399" s="1371"/>
    </row>
    <row r="3400" spans="1:11" ht="25.5" x14ac:dyDescent="0.25">
      <c r="A3400" s="1528"/>
      <c r="B3400" s="1746" t="s">
        <v>9582</v>
      </c>
      <c r="C3400" s="1802" t="s">
        <v>5432</v>
      </c>
      <c r="D3400" s="1794">
        <v>1</v>
      </c>
      <c r="E3400" s="1803">
        <v>7640</v>
      </c>
      <c r="F3400" s="1804">
        <v>1.05</v>
      </c>
      <c r="G3400" s="1805">
        <f>+F3400*E3400*D3400</f>
        <v>8022</v>
      </c>
      <c r="H3400" s="1524"/>
    </row>
    <row r="3401" spans="1:11" x14ac:dyDescent="0.25">
      <c r="A3401" s="1528"/>
      <c r="B3401" s="1751" t="s">
        <v>9546</v>
      </c>
      <c r="C3401" s="1749" t="s">
        <v>5</v>
      </c>
      <c r="D3401" s="1773">
        <v>1</v>
      </c>
      <c r="E3401" s="1825">
        <v>1500</v>
      </c>
      <c r="F3401" s="1769">
        <v>1</v>
      </c>
      <c r="G3401" s="1786">
        <f>+F3401*E3401*D3401</f>
        <v>1500</v>
      </c>
      <c r="H3401" s="1524"/>
    </row>
    <row r="3402" spans="1:11" x14ac:dyDescent="0.25">
      <c r="A3402" s="1528"/>
      <c r="B3402" s="1822" t="s">
        <v>9581</v>
      </c>
      <c r="C3402" s="1749" t="s">
        <v>5</v>
      </c>
      <c r="D3402" s="1769">
        <v>0.5</v>
      </c>
      <c r="E3402" s="1825">
        <v>200</v>
      </c>
      <c r="F3402" s="1769">
        <v>1</v>
      </c>
      <c r="G3402" s="1786">
        <f>+F3402*E3402*D3402</f>
        <v>100</v>
      </c>
      <c r="H3402" s="1524"/>
    </row>
    <row r="3403" spans="1:11" x14ac:dyDescent="0.25">
      <c r="A3403" s="1528"/>
      <c r="B3403" s="1822"/>
      <c r="C3403" s="1749"/>
      <c r="D3403" s="1773"/>
      <c r="E3403" s="1787"/>
      <c r="F3403" s="1769"/>
      <c r="G3403" s="1786"/>
      <c r="H3403" s="1524"/>
    </row>
    <row r="3404" spans="1:11" x14ac:dyDescent="0.25">
      <c r="A3404" s="1528"/>
      <c r="B3404" s="1822"/>
      <c r="C3404" s="1749"/>
      <c r="D3404" s="1773"/>
      <c r="E3404" s="1787"/>
      <c r="F3404" s="1769"/>
      <c r="G3404" s="1786"/>
      <c r="H3404" s="1524"/>
    </row>
    <row r="3405" spans="1:11" x14ac:dyDescent="0.25">
      <c r="A3405" s="1528"/>
      <c r="B3405" s="1822"/>
      <c r="C3405" s="1749"/>
      <c r="D3405" s="1773"/>
      <c r="E3405" s="1787"/>
      <c r="F3405" s="1769"/>
      <c r="G3405" s="1786"/>
      <c r="H3405" s="1524"/>
    </row>
    <row r="3406" spans="1:11" x14ac:dyDescent="0.25">
      <c r="A3406" s="1528"/>
      <c r="B3406" s="1822"/>
      <c r="C3406" s="1749"/>
      <c r="D3406" s="1773"/>
      <c r="E3406" s="1787"/>
      <c r="F3406" s="1769"/>
      <c r="G3406" s="1786"/>
      <c r="H3406" s="1524"/>
    </row>
    <row r="3407" spans="1:11" x14ac:dyDescent="0.25">
      <c r="A3407" s="1528"/>
      <c r="B3407" s="1667"/>
      <c r="C3407" s="1537"/>
      <c r="D3407" s="212"/>
      <c r="E3407" s="816"/>
      <c r="F3407" s="1563"/>
      <c r="G3407" s="814"/>
      <c r="H3407" s="1524"/>
      <c r="J3407" s="1637"/>
      <c r="K3407" s="1637"/>
    </row>
    <row r="3408" spans="1:11" x14ac:dyDescent="0.25">
      <c r="A3408" s="1528"/>
      <c r="B3408" s="1667"/>
      <c r="C3408" s="1537"/>
      <c r="D3408" s="212"/>
      <c r="E3408" s="816"/>
      <c r="F3408" s="1563"/>
      <c r="G3408" s="814"/>
      <c r="H3408" s="1524"/>
      <c r="J3408" s="1637"/>
      <c r="K3408" s="1637"/>
    </row>
    <row r="3409" spans="1:11" x14ac:dyDescent="0.25">
      <c r="A3409" s="1528"/>
      <c r="B3409" s="1667"/>
      <c r="C3409" s="1537"/>
      <c r="D3409" s="212"/>
      <c r="E3409" s="816"/>
      <c r="F3409" s="1563"/>
      <c r="G3409" s="814"/>
      <c r="H3409" s="1524"/>
      <c r="J3409" s="1637"/>
      <c r="K3409" s="1637"/>
    </row>
    <row r="3410" spans="1:11" x14ac:dyDescent="0.25">
      <c r="A3410" s="1528"/>
      <c r="B3410" s="1667"/>
      <c r="C3410" s="1537"/>
      <c r="D3410" s="212"/>
      <c r="E3410" s="816"/>
      <c r="F3410" s="1563"/>
      <c r="G3410" s="814"/>
      <c r="H3410" s="1524"/>
      <c r="J3410" s="1637"/>
      <c r="K3410" s="1637"/>
    </row>
    <row r="3411" spans="1:11" x14ac:dyDescent="0.25">
      <c r="A3411" s="1528"/>
      <c r="B3411" s="269"/>
      <c r="C3411" s="1537"/>
      <c r="D3411" s="212"/>
      <c r="E3411" s="816"/>
      <c r="F3411" s="1563"/>
      <c r="G3411" s="814"/>
      <c r="H3411" s="1524"/>
      <c r="J3411" s="1637"/>
      <c r="K3411" s="1637"/>
    </row>
    <row r="3412" spans="1:11" x14ac:dyDescent="0.25">
      <c r="A3412" s="1528"/>
      <c r="B3412" s="268"/>
      <c r="C3412" s="1534"/>
      <c r="D3412" s="211"/>
      <c r="E3412" s="1535" t="s">
        <v>7182</v>
      </c>
      <c r="F3412" s="1551"/>
      <c r="G3412" s="1541" t="s">
        <v>7182</v>
      </c>
      <c r="H3412" s="1524"/>
      <c r="J3412" s="1637"/>
      <c r="K3412" s="1637"/>
    </row>
    <row r="3413" spans="1:11" x14ac:dyDescent="0.25">
      <c r="A3413" s="1528"/>
      <c r="B3413" s="1346"/>
      <c r="C3413" s="1534"/>
      <c r="D3413" s="211"/>
      <c r="E3413" s="1535" t="s">
        <v>7182</v>
      </c>
      <c r="F3413" s="1551"/>
      <c r="G3413" s="1541" t="s">
        <v>7182</v>
      </c>
      <c r="H3413" s="1524"/>
      <c r="J3413" s="1637"/>
      <c r="K3413" s="1637"/>
    </row>
    <row r="3414" spans="1:11" ht="15.75" thickBot="1" x14ac:dyDescent="0.3">
      <c r="A3414" s="1528"/>
      <c r="B3414" s="1540"/>
      <c r="C3414" s="1537"/>
      <c r="D3414" s="952"/>
      <c r="E3414" s="1538" t="s">
        <v>7182</v>
      </c>
      <c r="F3414" s="1537"/>
      <c r="G3414" s="1541" t="s">
        <v>7182</v>
      </c>
      <c r="H3414" s="1524"/>
      <c r="J3414" s="1637"/>
      <c r="K3414" s="1637"/>
    </row>
    <row r="3415" spans="1:11" ht="15.75" thickBot="1" x14ac:dyDescent="0.3">
      <c r="A3415" s="1528"/>
      <c r="B3415" s="1555"/>
      <c r="C3415" s="1557"/>
      <c r="D3415" s="956"/>
      <c r="E3415" s="1556" t="s">
        <v>7182</v>
      </c>
      <c r="F3415" s="1557"/>
      <c r="G3415" s="1558" t="s">
        <v>7182</v>
      </c>
      <c r="H3415" s="1546">
        <f>SUM(G3400:G3415)</f>
        <v>9622</v>
      </c>
      <c r="J3415" s="1637"/>
      <c r="K3415" s="1637"/>
    </row>
    <row r="3416" spans="1:11" x14ac:dyDescent="0.25">
      <c r="A3416" s="1528"/>
      <c r="B3416" s="1372"/>
      <c r="C3416" s="1374"/>
      <c r="D3416" s="1373"/>
      <c r="E3416" s="1372" t="s">
        <v>7182</v>
      </c>
      <c r="F3416" s="1374"/>
      <c r="G3416" s="1375" t="s">
        <v>7182</v>
      </c>
      <c r="H3416" s="1550"/>
      <c r="J3416" s="1637"/>
      <c r="K3416" s="1637"/>
    </row>
    <row r="3417" spans="1:11" ht="15.75" thickBot="1" x14ac:dyDescent="0.3">
      <c r="A3417" s="1527"/>
      <c r="B3417" s="188"/>
      <c r="C3417" s="189"/>
      <c r="D3417" s="1668"/>
      <c r="E3417" s="188"/>
      <c r="F3417" s="189"/>
      <c r="G3417" s="1669"/>
      <c r="H3417" s="1550"/>
      <c r="J3417" s="1637"/>
      <c r="K3417" s="1637"/>
    </row>
    <row r="3418" spans="1:11" ht="15.75" thickBot="1" x14ac:dyDescent="0.3">
      <c r="A3418" s="1527"/>
      <c r="B3418" s="1366" t="s">
        <v>9418</v>
      </c>
      <c r="C3418" s="1363" t="s">
        <v>867</v>
      </c>
      <c r="D3418" s="1120" t="s">
        <v>6</v>
      </c>
      <c r="E3418" s="1363" t="s">
        <v>7183</v>
      </c>
      <c r="F3418" s="1363" t="s">
        <v>5405</v>
      </c>
      <c r="G3418" s="1365" t="s">
        <v>7179</v>
      </c>
      <c r="H3418" s="1524"/>
      <c r="J3418" s="1637"/>
      <c r="K3418" s="1637"/>
    </row>
    <row r="3419" spans="1:11" x14ac:dyDescent="0.25">
      <c r="A3419" s="1527"/>
      <c r="B3419" s="1564" t="s">
        <v>5455</v>
      </c>
      <c r="C3419" s="1534" t="s">
        <v>5</v>
      </c>
      <c r="D3419" s="211">
        <v>1</v>
      </c>
      <c r="E3419" s="1535">
        <v>500</v>
      </c>
      <c r="F3419" s="297">
        <v>0.1</v>
      </c>
      <c r="G3419" s="1572">
        <f>+F3419*E3419</f>
        <v>50</v>
      </c>
      <c r="H3419" s="1524"/>
      <c r="J3419" s="1637"/>
      <c r="K3419" s="1637"/>
    </row>
    <row r="3420" spans="1:11" x14ac:dyDescent="0.25">
      <c r="A3420" s="1527"/>
      <c r="B3420" s="1540"/>
      <c r="C3420" s="1537"/>
      <c r="D3420" s="212"/>
      <c r="E3420" s="1535" t="s">
        <v>7182</v>
      </c>
      <c r="F3420" s="1537"/>
      <c r="G3420" s="1572" t="s">
        <v>7182</v>
      </c>
      <c r="H3420" s="1524"/>
      <c r="J3420" s="1637"/>
      <c r="K3420" s="1637"/>
    </row>
    <row r="3421" spans="1:11" x14ac:dyDescent="0.25">
      <c r="A3421" s="1527"/>
      <c r="B3421" s="1540"/>
      <c r="C3421" s="1537"/>
      <c r="D3421" s="212"/>
      <c r="E3421" s="1535" t="s">
        <v>7182</v>
      </c>
      <c r="F3421" s="1537"/>
      <c r="G3421" s="1572" t="s">
        <v>7182</v>
      </c>
      <c r="H3421" s="1524"/>
      <c r="J3421" s="1637"/>
      <c r="K3421" s="1637"/>
    </row>
    <row r="3422" spans="1:11" ht="15.75" thickBot="1" x14ac:dyDescent="0.3">
      <c r="A3422" s="1527"/>
      <c r="B3422" s="1540"/>
      <c r="C3422" s="1537"/>
      <c r="D3422" s="212"/>
      <c r="E3422" s="1535" t="s">
        <v>7182</v>
      </c>
      <c r="F3422" s="1537"/>
      <c r="G3422" s="1572" t="s">
        <v>7182</v>
      </c>
      <c r="H3422" s="1524"/>
      <c r="J3422" s="1637"/>
      <c r="K3422" s="1637"/>
    </row>
    <row r="3423" spans="1:11" ht="15.75" thickBot="1" x14ac:dyDescent="0.3">
      <c r="A3423" s="1527"/>
      <c r="B3423" s="1555"/>
      <c r="C3423" s="1556"/>
      <c r="D3423" s="956"/>
      <c r="E3423" s="1556" t="s">
        <v>7182</v>
      </c>
      <c r="F3423" s="1557"/>
      <c r="G3423" s="1558" t="s">
        <v>7182</v>
      </c>
      <c r="H3423" s="1546">
        <f>SUM(G3419:G3423)</f>
        <v>50</v>
      </c>
      <c r="J3423" s="1637"/>
      <c r="K3423" s="1637"/>
    </row>
    <row r="3424" spans="1:11" ht="15.75" thickBot="1" x14ac:dyDescent="0.3">
      <c r="A3424" s="1527"/>
      <c r="B3424" s="1376"/>
      <c r="C3424" s="1353"/>
      <c r="D3424" s="1355"/>
      <c r="E3424" s="1352"/>
      <c r="F3424" s="1377"/>
      <c r="G3424" s="1378"/>
      <c r="H3424" s="1524"/>
      <c r="J3424" s="1637"/>
      <c r="K3424" s="1637"/>
    </row>
    <row r="3425" spans="1:11" ht="15.75" thickBot="1" x14ac:dyDescent="0.3">
      <c r="A3425" s="1527"/>
      <c r="B3425" s="1366" t="s">
        <v>5410</v>
      </c>
      <c r="C3425" s="1363" t="s">
        <v>867</v>
      </c>
      <c r="D3425" s="1120" t="s">
        <v>6</v>
      </c>
      <c r="E3425" s="1363" t="s">
        <v>7183</v>
      </c>
      <c r="F3425" s="1363" t="s">
        <v>5405</v>
      </c>
      <c r="G3425" s="1365" t="s">
        <v>7179</v>
      </c>
      <c r="H3425" s="1524"/>
      <c r="J3425" s="1637"/>
      <c r="K3425" s="1637"/>
    </row>
    <row r="3426" spans="1:11" ht="25.5" x14ac:dyDescent="0.25">
      <c r="A3426" s="1527"/>
      <c r="B3426" s="1564" t="s">
        <v>9421</v>
      </c>
      <c r="C3426" s="1534" t="s">
        <v>9023</v>
      </c>
      <c r="D3426" s="211">
        <v>1</v>
      </c>
      <c r="E3426" s="1535">
        <v>1000</v>
      </c>
      <c r="F3426" s="297">
        <v>0.05</v>
      </c>
      <c r="G3426" s="1572">
        <f>+F3426*E3426</f>
        <v>50</v>
      </c>
      <c r="H3426" s="1524"/>
      <c r="J3426" s="1637"/>
      <c r="K3426" s="1637"/>
    </row>
    <row r="3427" spans="1:11" x14ac:dyDescent="0.25">
      <c r="A3427" s="1527"/>
      <c r="B3427" s="1540"/>
      <c r="C3427" s="1537"/>
      <c r="D3427" s="212"/>
      <c r="E3427" s="1535" t="s">
        <v>7182</v>
      </c>
      <c r="F3427" s="1537"/>
      <c r="G3427" s="1572" t="s">
        <v>7182</v>
      </c>
      <c r="H3427" s="1524"/>
      <c r="J3427" s="1637"/>
      <c r="K3427" s="1637"/>
    </row>
    <row r="3428" spans="1:11" x14ac:dyDescent="0.25">
      <c r="A3428" s="1527"/>
      <c r="B3428" s="1540"/>
      <c r="C3428" s="1537"/>
      <c r="D3428" s="212"/>
      <c r="E3428" s="1535" t="s">
        <v>7182</v>
      </c>
      <c r="F3428" s="1537"/>
      <c r="G3428" s="1572" t="s">
        <v>7182</v>
      </c>
      <c r="H3428" s="1524"/>
      <c r="J3428" s="1637"/>
      <c r="K3428" s="1637"/>
    </row>
    <row r="3429" spans="1:11" ht="15.75" thickBot="1" x14ac:dyDescent="0.3">
      <c r="A3429" s="1527"/>
      <c r="B3429" s="1540"/>
      <c r="C3429" s="1537"/>
      <c r="D3429" s="212"/>
      <c r="E3429" s="1535" t="s">
        <v>7182</v>
      </c>
      <c r="F3429" s="1537"/>
      <c r="G3429" s="1572" t="s">
        <v>7182</v>
      </c>
      <c r="H3429" s="1524"/>
      <c r="J3429" s="1637"/>
      <c r="K3429" s="1637"/>
    </row>
    <row r="3430" spans="1:11" ht="15.75" thickBot="1" x14ac:dyDescent="0.3">
      <c r="A3430" s="1527"/>
      <c r="B3430" s="1555"/>
      <c r="C3430" s="1556"/>
      <c r="D3430" s="956"/>
      <c r="E3430" s="1556" t="s">
        <v>7182</v>
      </c>
      <c r="F3430" s="1557"/>
      <c r="G3430" s="1558" t="s">
        <v>7182</v>
      </c>
      <c r="H3430" s="1546">
        <f>SUM(G3426:G3430)</f>
        <v>50</v>
      </c>
      <c r="J3430" s="1637"/>
      <c r="K3430" s="1637"/>
    </row>
    <row r="3431" spans="1:11" ht="15.75" thickBot="1" x14ac:dyDescent="0.3">
      <c r="A3431" s="1527"/>
      <c r="B3431" s="1547"/>
      <c r="C3431" s="1547"/>
      <c r="D3431" s="954"/>
      <c r="E3431" s="1547"/>
      <c r="F3431" s="1553"/>
      <c r="G3431" s="1554"/>
      <c r="H3431" s="1550"/>
      <c r="J3431" s="1637"/>
      <c r="K3431" s="1637"/>
    </row>
    <row r="3432" spans="1:11" ht="15.75" thickBot="1" x14ac:dyDescent="0.3">
      <c r="A3432" s="1559"/>
      <c r="B3432" s="1369" t="s">
        <v>5412</v>
      </c>
      <c r="C3432" s="1363" t="s">
        <v>5420</v>
      </c>
      <c r="D3432" s="1120" t="s">
        <v>5421</v>
      </c>
      <c r="E3432" s="1363" t="s">
        <v>7187</v>
      </c>
      <c r="F3432" s="1363" t="s">
        <v>5405</v>
      </c>
      <c r="G3432" s="1370" t="s">
        <v>7179</v>
      </c>
      <c r="H3432" s="1371"/>
      <c r="J3432" s="1637"/>
      <c r="K3432" s="1637"/>
    </row>
    <row r="3433" spans="1:11" x14ac:dyDescent="0.25">
      <c r="A3433" s="1527"/>
      <c r="B3433" s="1767" t="s">
        <v>9422</v>
      </c>
      <c r="C3433" s="1778">
        <v>170000</v>
      </c>
      <c r="D3433" s="1779">
        <f>0.6*C3433</f>
        <v>102000</v>
      </c>
      <c r="E3433" s="1778">
        <f>+D3433+C3433</f>
        <v>272000</v>
      </c>
      <c r="F3433" s="1790">
        <v>0.01</v>
      </c>
      <c r="G3433" s="1789">
        <f>+F3433*E3433</f>
        <v>2720</v>
      </c>
      <c r="H3433" s="1524"/>
      <c r="J3433" s="1637"/>
      <c r="K3433" s="1637"/>
    </row>
    <row r="3434" spans="1:11" x14ac:dyDescent="0.25">
      <c r="A3434" s="1527"/>
      <c r="B3434" s="1767"/>
      <c r="C3434" s="1778"/>
      <c r="D3434" s="1778"/>
      <c r="E3434" s="1778"/>
      <c r="F3434" s="1790"/>
      <c r="G3434" s="1789"/>
      <c r="H3434" s="1524"/>
      <c r="J3434" s="1637"/>
      <c r="K3434" s="1637"/>
    </row>
    <row r="3435" spans="1:11" x14ac:dyDescent="0.25">
      <c r="A3435" s="1527"/>
      <c r="B3435" s="1561"/>
      <c r="C3435" s="1569"/>
      <c r="D3435" s="1569"/>
      <c r="E3435" s="1569"/>
      <c r="F3435" s="817"/>
      <c r="G3435" s="818"/>
      <c r="H3435" s="1524"/>
      <c r="J3435" s="1637"/>
      <c r="K3435" s="1637"/>
    </row>
    <row r="3436" spans="1:11" x14ac:dyDescent="0.25">
      <c r="A3436" s="1527"/>
      <c r="B3436" s="1540"/>
      <c r="C3436" s="1569"/>
      <c r="D3436" s="1569"/>
      <c r="E3436" s="1569"/>
      <c r="F3436" s="817"/>
      <c r="G3436" s="818"/>
      <c r="H3436" s="1524"/>
      <c r="J3436" s="1637"/>
      <c r="K3436" s="1637"/>
    </row>
    <row r="3437" spans="1:11" x14ac:dyDescent="0.25">
      <c r="A3437" s="1527"/>
      <c r="B3437" s="1540"/>
      <c r="C3437" s="1538" t="s">
        <v>7182</v>
      </c>
      <c r="D3437" s="952" t="s">
        <v>7182</v>
      </c>
      <c r="E3437" s="1538" t="s">
        <v>7182</v>
      </c>
      <c r="F3437" s="817"/>
      <c r="G3437" s="818" t="str">
        <f>IF(B3437="","",E3437/F3437)</f>
        <v/>
      </c>
      <c r="H3437" s="1524"/>
      <c r="J3437" s="1637"/>
      <c r="K3437" s="1637"/>
    </row>
    <row r="3438" spans="1:11" ht="15.75" thickBot="1" x14ac:dyDescent="0.3">
      <c r="A3438" s="1527"/>
      <c r="B3438" s="1540"/>
      <c r="C3438" s="1538" t="s">
        <v>7182</v>
      </c>
      <c r="D3438" s="952" t="s">
        <v>7182</v>
      </c>
      <c r="E3438" s="1538" t="s">
        <v>7182</v>
      </c>
      <c r="F3438" s="1537"/>
      <c r="G3438" s="818" t="str">
        <f>IF(B3438="","",E3438/F3438)</f>
        <v/>
      </c>
      <c r="H3438" s="1524"/>
      <c r="J3438" s="1637"/>
      <c r="K3438" s="1637"/>
    </row>
    <row r="3439" spans="1:11" ht="15.75" thickBot="1" x14ac:dyDescent="0.3">
      <c r="A3439" s="1527"/>
      <c r="B3439" s="1555"/>
      <c r="C3439" s="1556"/>
      <c r="D3439" s="956"/>
      <c r="E3439" s="1556"/>
      <c r="F3439" s="1557"/>
      <c r="G3439" s="1558"/>
      <c r="H3439" s="1546">
        <f>SUM(G3433:G3439)</f>
        <v>2720</v>
      </c>
    </row>
    <row r="3440" spans="1:11" ht="15.75" thickBot="1" x14ac:dyDescent="0.3">
      <c r="A3440" s="1527"/>
      <c r="B3440" s="1527"/>
      <c r="C3440" s="1527"/>
      <c r="D3440" s="529"/>
      <c r="F3440" s="1528"/>
      <c r="G3440" s="1524"/>
      <c r="H3440" s="1524"/>
    </row>
    <row r="3441" spans="1:11" ht="15.75" thickBot="1" x14ac:dyDescent="0.3">
      <c r="A3441" s="1647" t="s">
        <v>6744</v>
      </c>
      <c r="B3441" s="1352"/>
      <c r="C3441" s="1352"/>
      <c r="D3441" s="1671"/>
      <c r="E3441" s="1672"/>
      <c r="F3441" s="1353"/>
      <c r="G3441" s="1527" t="s">
        <v>5415</v>
      </c>
      <c r="H3441" s="502">
        <f>ROUND(SUM(H3399:H3440),0)</f>
        <v>12442</v>
      </c>
      <c r="J3441" s="1673">
        <f>+B3395</f>
        <v>10.73</v>
      </c>
      <c r="K3441" s="1674">
        <f>+H3441</f>
        <v>12442</v>
      </c>
    </row>
    <row r="3442" spans="1:11" x14ac:dyDescent="0.25">
      <c r="A3442" s="1675"/>
      <c r="B3442" s="1676"/>
      <c r="C3442" s="1676"/>
      <c r="D3442" s="1677"/>
      <c r="E3442" s="1678"/>
      <c r="F3442" s="1679"/>
      <c r="G3442" s="1680"/>
      <c r="H3442" s="1680"/>
    </row>
    <row r="3443" spans="1:11" ht="18.75" x14ac:dyDescent="0.25">
      <c r="A3443" s="1523"/>
      <c r="B3443" s="1655"/>
      <c r="C3443" s="1655"/>
      <c r="D3443" s="950"/>
      <c r="E3443" s="1655"/>
      <c r="F3443" s="1655"/>
      <c r="G3443" s="1655"/>
      <c r="H3443" s="8"/>
    </row>
    <row r="3444" spans="1:11" x14ac:dyDescent="0.25">
      <c r="A3444" s="1523"/>
      <c r="B3444" s="8"/>
      <c r="C3444" s="8"/>
      <c r="D3444" s="529"/>
      <c r="E3444" s="8"/>
      <c r="F3444" s="1523"/>
      <c r="G3444" s="1524"/>
      <c r="H3444" s="8"/>
    </row>
    <row r="3445" spans="1:11" ht="20.25" customHeight="1" x14ac:dyDescent="0.25">
      <c r="A3445" s="1665" t="s">
        <v>3</v>
      </c>
      <c r="B3445" s="1666">
        <f>+VLOOKUP(C3445,ListaAPUs!$B:$E,4,FALSE)</f>
        <v>10.74</v>
      </c>
      <c r="C3445" s="2441" t="str">
        <f>+ListaAPUs!B274</f>
        <v>Cable de fuerza 3*14 encauchetado , incluye  marquillado y terminales</v>
      </c>
      <c r="D3445" s="2441"/>
      <c r="E3445" s="2441"/>
      <c r="F3445" s="1665" t="s">
        <v>867</v>
      </c>
      <c r="G3445" s="1390" t="str">
        <f>+VLOOKUP(C3445,ListaAPUs!$B:$E,2,FALSE)</f>
        <v>m</v>
      </c>
      <c r="H3445" s="1524"/>
    </row>
    <row r="3446" spans="1:11" x14ac:dyDescent="0.25">
      <c r="A3446" s="1528"/>
      <c r="B3446" s="1527"/>
      <c r="C3446" s="1527"/>
      <c r="D3446" s="529"/>
      <c r="E3446" s="1527"/>
      <c r="F3446" s="1528"/>
      <c r="G3446" s="1524"/>
      <c r="H3446" s="1524"/>
    </row>
    <row r="3447" spans="1:11" x14ac:dyDescent="0.25">
      <c r="A3447" s="1528"/>
      <c r="B3447" s="1527"/>
      <c r="C3447" s="1527"/>
      <c r="D3447" s="529"/>
      <c r="E3447" s="1527"/>
      <c r="F3447" s="1528"/>
      <c r="G3447" s="1529"/>
      <c r="H3447" s="1524"/>
    </row>
    <row r="3448" spans="1:11" ht="15.75" thickBot="1" x14ac:dyDescent="0.3">
      <c r="A3448" s="1528"/>
      <c r="B3448" s="1527"/>
      <c r="C3448" s="1527"/>
      <c r="D3448" s="529"/>
      <c r="E3448" s="1527"/>
      <c r="F3448" s="1528"/>
      <c r="G3448" s="1524"/>
      <c r="H3448" s="1524"/>
    </row>
    <row r="3449" spans="1:11" ht="15.75" thickBot="1" x14ac:dyDescent="0.3">
      <c r="A3449" s="1368"/>
      <c r="B3449" s="1369" t="s">
        <v>5403</v>
      </c>
      <c r="C3449" s="1363" t="s">
        <v>867</v>
      </c>
      <c r="D3449" s="1120" t="s">
        <v>6</v>
      </c>
      <c r="E3449" s="1363" t="s">
        <v>9417</v>
      </c>
      <c r="F3449" s="1363" t="s">
        <v>5405</v>
      </c>
      <c r="G3449" s="1370" t="s">
        <v>7179</v>
      </c>
      <c r="H3449" s="1371"/>
    </row>
    <row r="3450" spans="1:11" ht="25.5" x14ac:dyDescent="0.25">
      <c r="A3450" s="1528"/>
      <c r="B3450" s="1746" t="s">
        <v>9583</v>
      </c>
      <c r="C3450" s="1802" t="s">
        <v>5432</v>
      </c>
      <c r="D3450" s="1794">
        <v>1</v>
      </c>
      <c r="E3450" s="1803">
        <v>3150</v>
      </c>
      <c r="F3450" s="1804">
        <v>1.05</v>
      </c>
      <c r="G3450" s="1805">
        <f>+F3450*E3450*D3450</f>
        <v>3307.5</v>
      </c>
      <c r="H3450" s="1524"/>
    </row>
    <row r="3451" spans="1:11" x14ac:dyDescent="0.25">
      <c r="A3451" s="1528"/>
      <c r="B3451" s="1751" t="s">
        <v>9546</v>
      </c>
      <c r="C3451" s="1749" t="s">
        <v>5</v>
      </c>
      <c r="D3451" s="1773">
        <v>1</v>
      </c>
      <c r="E3451" s="1825">
        <v>1500</v>
      </c>
      <c r="F3451" s="1769">
        <v>1</v>
      </c>
      <c r="G3451" s="1786">
        <f>+F3451*E3451*D3451</f>
        <v>1500</v>
      </c>
      <c r="H3451" s="1524"/>
    </row>
    <row r="3452" spans="1:11" x14ac:dyDescent="0.25">
      <c r="A3452" s="1528"/>
      <c r="B3452" s="1822" t="s">
        <v>9581</v>
      </c>
      <c r="C3452" s="1749" t="s">
        <v>5</v>
      </c>
      <c r="D3452" s="1769">
        <v>0.5</v>
      </c>
      <c r="E3452" s="1825">
        <v>200</v>
      </c>
      <c r="F3452" s="1769">
        <v>1</v>
      </c>
      <c r="G3452" s="1786">
        <f>+F3452*E3452*D3452</f>
        <v>100</v>
      </c>
      <c r="H3452" s="1524"/>
    </row>
    <row r="3453" spans="1:11" x14ac:dyDescent="0.25">
      <c r="A3453" s="1528"/>
      <c r="B3453" s="1667"/>
      <c r="C3453" s="1537"/>
      <c r="D3453" s="212"/>
      <c r="E3453" s="816"/>
      <c r="F3453" s="1563"/>
      <c r="G3453" s="814"/>
      <c r="H3453" s="1524"/>
    </row>
    <row r="3454" spans="1:11" x14ac:dyDescent="0.25">
      <c r="A3454" s="1528"/>
      <c r="B3454" s="1667"/>
      <c r="C3454" s="1537"/>
      <c r="D3454" s="212"/>
      <c r="E3454" s="816"/>
      <c r="F3454" s="1563"/>
      <c r="G3454" s="814"/>
      <c r="H3454" s="1524"/>
    </row>
    <row r="3455" spans="1:11" x14ac:dyDescent="0.25">
      <c r="A3455" s="1528"/>
      <c r="B3455" s="1667"/>
      <c r="C3455" s="1537"/>
      <c r="D3455" s="212"/>
      <c r="E3455" s="816"/>
      <c r="F3455" s="1563"/>
      <c r="G3455" s="814"/>
      <c r="H3455" s="1524"/>
      <c r="J3455" s="1637"/>
      <c r="K3455" s="1637"/>
    </row>
    <row r="3456" spans="1:11" x14ac:dyDescent="0.25">
      <c r="A3456" s="1528"/>
      <c r="B3456" s="1667"/>
      <c r="C3456" s="1537"/>
      <c r="D3456" s="212"/>
      <c r="E3456" s="816"/>
      <c r="F3456" s="1563"/>
      <c r="G3456" s="814"/>
      <c r="H3456" s="1524"/>
      <c r="J3456" s="1637"/>
      <c r="K3456" s="1637"/>
    </row>
    <row r="3457" spans="1:11" x14ac:dyDescent="0.25">
      <c r="A3457" s="1528"/>
      <c r="B3457" s="1667"/>
      <c r="C3457" s="1537"/>
      <c r="D3457" s="212"/>
      <c r="E3457" s="816"/>
      <c r="F3457" s="1563"/>
      <c r="G3457" s="814"/>
      <c r="H3457" s="1524"/>
      <c r="J3457" s="1637"/>
      <c r="K3457" s="1637"/>
    </row>
    <row r="3458" spans="1:11" x14ac:dyDescent="0.25">
      <c r="A3458" s="1528"/>
      <c r="B3458" s="1667"/>
      <c r="C3458" s="1537"/>
      <c r="D3458" s="212"/>
      <c r="E3458" s="816"/>
      <c r="F3458" s="1563"/>
      <c r="G3458" s="814"/>
      <c r="H3458" s="1524"/>
      <c r="J3458" s="1637"/>
      <c r="K3458" s="1637"/>
    </row>
    <row r="3459" spans="1:11" x14ac:dyDescent="0.25">
      <c r="A3459" s="1528"/>
      <c r="B3459" s="1667"/>
      <c r="C3459" s="1537"/>
      <c r="D3459" s="212"/>
      <c r="E3459" s="816"/>
      <c r="F3459" s="1563"/>
      <c r="G3459" s="814"/>
      <c r="H3459" s="1524"/>
      <c r="J3459" s="1637"/>
      <c r="K3459" s="1637"/>
    </row>
    <row r="3460" spans="1:11" x14ac:dyDescent="0.25">
      <c r="A3460" s="1528"/>
      <c r="B3460" s="1667"/>
      <c r="C3460" s="1537"/>
      <c r="D3460" s="212"/>
      <c r="E3460" s="816"/>
      <c r="F3460" s="1563"/>
      <c r="G3460" s="814"/>
      <c r="H3460" s="1524"/>
      <c r="J3460" s="1637"/>
      <c r="K3460" s="1637"/>
    </row>
    <row r="3461" spans="1:11" x14ac:dyDescent="0.25">
      <c r="A3461" s="1528"/>
      <c r="B3461" s="269"/>
      <c r="C3461" s="1537"/>
      <c r="D3461" s="212"/>
      <c r="E3461" s="816"/>
      <c r="F3461" s="1563"/>
      <c r="G3461" s="814"/>
      <c r="H3461" s="1524"/>
      <c r="J3461" s="1637"/>
      <c r="K3461" s="1637"/>
    </row>
    <row r="3462" spans="1:11" x14ac:dyDescent="0.25">
      <c r="A3462" s="1528"/>
      <c r="B3462" s="268"/>
      <c r="C3462" s="1534"/>
      <c r="D3462" s="211"/>
      <c r="E3462" s="1535" t="s">
        <v>7182</v>
      </c>
      <c r="F3462" s="1551"/>
      <c r="G3462" s="1541" t="s">
        <v>7182</v>
      </c>
      <c r="H3462" s="1524"/>
      <c r="J3462" s="1637"/>
      <c r="K3462" s="1637"/>
    </row>
    <row r="3463" spans="1:11" x14ac:dyDescent="0.25">
      <c r="A3463" s="1528"/>
      <c r="B3463" s="1346"/>
      <c r="C3463" s="1534"/>
      <c r="D3463" s="211"/>
      <c r="E3463" s="1535" t="s">
        <v>7182</v>
      </c>
      <c r="F3463" s="1551"/>
      <c r="G3463" s="1541" t="s">
        <v>7182</v>
      </c>
      <c r="H3463" s="1524"/>
      <c r="J3463" s="1637"/>
      <c r="K3463" s="1637"/>
    </row>
    <row r="3464" spans="1:11" ht="15.75" thickBot="1" x14ac:dyDescent="0.3">
      <c r="A3464" s="1528"/>
      <c r="B3464" s="1540"/>
      <c r="C3464" s="1537"/>
      <c r="D3464" s="952"/>
      <c r="E3464" s="1538" t="s">
        <v>7182</v>
      </c>
      <c r="F3464" s="1537"/>
      <c r="G3464" s="1541" t="s">
        <v>7182</v>
      </c>
      <c r="H3464" s="1524"/>
      <c r="J3464" s="1637"/>
      <c r="K3464" s="1637"/>
    </row>
    <row r="3465" spans="1:11" ht="15.75" thickBot="1" x14ac:dyDescent="0.3">
      <c r="A3465" s="1528"/>
      <c r="B3465" s="1555"/>
      <c r="C3465" s="1557"/>
      <c r="D3465" s="956"/>
      <c r="E3465" s="1556" t="s">
        <v>7182</v>
      </c>
      <c r="F3465" s="1557"/>
      <c r="G3465" s="1558" t="s">
        <v>7182</v>
      </c>
      <c r="H3465" s="1546">
        <f>SUM(G3450:G3465)</f>
        <v>4907.5</v>
      </c>
      <c r="J3465" s="1637"/>
      <c r="K3465" s="1637"/>
    </row>
    <row r="3466" spans="1:11" x14ac:dyDescent="0.25">
      <c r="A3466" s="1528"/>
      <c r="B3466" s="1372"/>
      <c r="C3466" s="1374"/>
      <c r="D3466" s="1373"/>
      <c r="E3466" s="1372" t="s">
        <v>7182</v>
      </c>
      <c r="F3466" s="1374"/>
      <c r="G3466" s="1375" t="s">
        <v>7182</v>
      </c>
      <c r="H3466" s="1550"/>
      <c r="J3466" s="1637"/>
      <c r="K3466" s="1637"/>
    </row>
    <row r="3467" spans="1:11" ht="15.75" thickBot="1" x14ac:dyDescent="0.3">
      <c r="A3467" s="1527"/>
      <c r="B3467" s="188"/>
      <c r="C3467" s="189"/>
      <c r="D3467" s="1668"/>
      <c r="E3467" s="188"/>
      <c r="F3467" s="189"/>
      <c r="G3467" s="1669"/>
      <c r="H3467" s="1550"/>
      <c r="J3467" s="1637"/>
      <c r="K3467" s="1637"/>
    </row>
    <row r="3468" spans="1:11" ht="15.75" thickBot="1" x14ac:dyDescent="0.3">
      <c r="A3468" s="1527"/>
      <c r="B3468" s="1366" t="s">
        <v>9418</v>
      </c>
      <c r="C3468" s="1363" t="s">
        <v>867</v>
      </c>
      <c r="D3468" s="1120" t="s">
        <v>6</v>
      </c>
      <c r="E3468" s="1363" t="s">
        <v>7183</v>
      </c>
      <c r="F3468" s="1363" t="s">
        <v>5405</v>
      </c>
      <c r="G3468" s="1365" t="s">
        <v>7179</v>
      </c>
      <c r="H3468" s="1524"/>
      <c r="J3468" s="1637"/>
      <c r="K3468" s="1637"/>
    </row>
    <row r="3469" spans="1:11" x14ac:dyDescent="0.25">
      <c r="A3469" s="1527"/>
      <c r="B3469" s="1770" t="s">
        <v>5455</v>
      </c>
      <c r="C3469" s="1747" t="s">
        <v>5</v>
      </c>
      <c r="D3469" s="1772">
        <v>1</v>
      </c>
      <c r="E3469" s="1748">
        <v>500</v>
      </c>
      <c r="F3469" s="1777">
        <v>0.1</v>
      </c>
      <c r="G3469" s="1783">
        <f>+F3469*E3469</f>
        <v>50</v>
      </c>
      <c r="H3469" s="1524"/>
      <c r="J3469" s="1637"/>
      <c r="K3469" s="1637"/>
    </row>
    <row r="3470" spans="1:11" x14ac:dyDescent="0.25">
      <c r="A3470" s="1527"/>
      <c r="B3470" s="1540"/>
      <c r="C3470" s="1537"/>
      <c r="D3470" s="212"/>
      <c r="E3470" s="1535" t="s">
        <v>7182</v>
      </c>
      <c r="F3470" s="1537"/>
      <c r="G3470" s="1572" t="s">
        <v>7182</v>
      </c>
      <c r="H3470" s="1524"/>
      <c r="J3470" s="1637"/>
      <c r="K3470" s="1637"/>
    </row>
    <row r="3471" spans="1:11" x14ac:dyDescent="0.25">
      <c r="A3471" s="1527"/>
      <c r="B3471" s="1540"/>
      <c r="C3471" s="1537"/>
      <c r="D3471" s="212"/>
      <c r="E3471" s="1535" t="s">
        <v>7182</v>
      </c>
      <c r="F3471" s="1537"/>
      <c r="G3471" s="1572" t="s">
        <v>7182</v>
      </c>
      <c r="H3471" s="1524"/>
      <c r="J3471" s="1637"/>
      <c r="K3471" s="1637"/>
    </row>
    <row r="3472" spans="1:11" ht="15.75" thickBot="1" x14ac:dyDescent="0.3">
      <c r="A3472" s="1527"/>
      <c r="B3472" s="1540"/>
      <c r="C3472" s="1537"/>
      <c r="D3472" s="212"/>
      <c r="E3472" s="1535" t="s">
        <v>7182</v>
      </c>
      <c r="F3472" s="1537"/>
      <c r="G3472" s="1572" t="s">
        <v>7182</v>
      </c>
      <c r="H3472" s="1524"/>
      <c r="J3472" s="1637"/>
      <c r="K3472" s="1637"/>
    </row>
    <row r="3473" spans="1:11" ht="15.75" thickBot="1" x14ac:dyDescent="0.3">
      <c r="A3473" s="1527"/>
      <c r="B3473" s="1555"/>
      <c r="C3473" s="1556"/>
      <c r="D3473" s="956"/>
      <c r="E3473" s="1556" t="s">
        <v>7182</v>
      </c>
      <c r="F3473" s="1557"/>
      <c r="G3473" s="1558" t="s">
        <v>7182</v>
      </c>
      <c r="H3473" s="1546">
        <f>SUM(G3469:G3473)</f>
        <v>50</v>
      </c>
      <c r="J3473" s="1637"/>
      <c r="K3473" s="1637"/>
    </row>
    <row r="3474" spans="1:11" ht="15.75" thickBot="1" x14ac:dyDescent="0.3">
      <c r="A3474" s="1527"/>
      <c r="B3474" s="1376"/>
      <c r="C3474" s="1353"/>
      <c r="D3474" s="1355"/>
      <c r="E3474" s="1352"/>
      <c r="F3474" s="1377"/>
      <c r="G3474" s="1378"/>
      <c r="H3474" s="1524"/>
      <c r="J3474" s="1637"/>
      <c r="K3474" s="1637"/>
    </row>
    <row r="3475" spans="1:11" ht="15.75" thickBot="1" x14ac:dyDescent="0.3">
      <c r="A3475" s="1527"/>
      <c r="B3475" s="1366" t="s">
        <v>5410</v>
      </c>
      <c r="C3475" s="1363" t="s">
        <v>867</v>
      </c>
      <c r="D3475" s="1120" t="s">
        <v>6</v>
      </c>
      <c r="E3475" s="1363" t="s">
        <v>7183</v>
      </c>
      <c r="F3475" s="1363" t="s">
        <v>5405</v>
      </c>
      <c r="G3475" s="1365" t="s">
        <v>7179</v>
      </c>
      <c r="H3475" s="1524"/>
      <c r="J3475" s="1637"/>
      <c r="K3475" s="1637"/>
    </row>
    <row r="3476" spans="1:11" ht="25.5" x14ac:dyDescent="0.25">
      <c r="A3476" s="1527"/>
      <c r="B3476" s="1564" t="s">
        <v>9421</v>
      </c>
      <c r="C3476" s="1534" t="s">
        <v>9023</v>
      </c>
      <c r="D3476" s="211">
        <v>1</v>
      </c>
      <c r="E3476" s="1535">
        <v>1000</v>
      </c>
      <c r="F3476" s="297">
        <v>0.1</v>
      </c>
      <c r="G3476" s="1572">
        <f>+F3476*E3476</f>
        <v>100</v>
      </c>
      <c r="H3476" s="1524"/>
      <c r="J3476" s="1637"/>
      <c r="K3476" s="1637"/>
    </row>
    <row r="3477" spans="1:11" x14ac:dyDescent="0.25">
      <c r="A3477" s="1527"/>
      <c r="B3477" s="1540"/>
      <c r="C3477" s="1537"/>
      <c r="D3477" s="212"/>
      <c r="E3477" s="1535" t="s">
        <v>7182</v>
      </c>
      <c r="F3477" s="1537"/>
      <c r="G3477" s="1572" t="s">
        <v>7182</v>
      </c>
      <c r="H3477" s="1524"/>
      <c r="J3477" s="1637"/>
      <c r="K3477" s="1637"/>
    </row>
    <row r="3478" spans="1:11" x14ac:dyDescent="0.25">
      <c r="A3478" s="1527"/>
      <c r="B3478" s="1540"/>
      <c r="C3478" s="1537"/>
      <c r="D3478" s="212"/>
      <c r="E3478" s="1535" t="s">
        <v>7182</v>
      </c>
      <c r="F3478" s="1537"/>
      <c r="G3478" s="1572" t="s">
        <v>7182</v>
      </c>
      <c r="H3478" s="1524"/>
      <c r="J3478" s="1637"/>
      <c r="K3478" s="1637"/>
    </row>
    <row r="3479" spans="1:11" ht="15.75" thickBot="1" x14ac:dyDescent="0.3">
      <c r="A3479" s="1527"/>
      <c r="B3479" s="1540"/>
      <c r="C3479" s="1537"/>
      <c r="D3479" s="212"/>
      <c r="E3479" s="1535" t="s">
        <v>7182</v>
      </c>
      <c r="F3479" s="1537"/>
      <c r="G3479" s="1572" t="s">
        <v>7182</v>
      </c>
      <c r="H3479" s="1524"/>
      <c r="J3479" s="1637"/>
      <c r="K3479" s="1637"/>
    </row>
    <row r="3480" spans="1:11" ht="15.75" thickBot="1" x14ac:dyDescent="0.3">
      <c r="A3480" s="1527"/>
      <c r="B3480" s="1555"/>
      <c r="C3480" s="1556"/>
      <c r="D3480" s="956"/>
      <c r="E3480" s="1556" t="s">
        <v>7182</v>
      </c>
      <c r="F3480" s="1557"/>
      <c r="G3480" s="1558" t="s">
        <v>7182</v>
      </c>
      <c r="H3480" s="1546">
        <f>SUM(G3476:G3480)</f>
        <v>100</v>
      </c>
      <c r="J3480" s="1637"/>
      <c r="K3480" s="1637"/>
    </row>
    <row r="3481" spans="1:11" ht="15.75" thickBot="1" x14ac:dyDescent="0.3">
      <c r="A3481" s="1527"/>
      <c r="B3481" s="1547"/>
      <c r="C3481" s="1547"/>
      <c r="D3481" s="954"/>
      <c r="E3481" s="1547"/>
      <c r="F3481" s="1553"/>
      <c r="G3481" s="1554"/>
      <c r="H3481" s="1550"/>
      <c r="J3481" s="1637"/>
      <c r="K3481" s="1637"/>
    </row>
    <row r="3482" spans="1:11" ht="15.75" thickBot="1" x14ac:dyDescent="0.3">
      <c r="A3482" s="1559"/>
      <c r="B3482" s="1369" t="s">
        <v>5412</v>
      </c>
      <c r="C3482" s="1363" t="s">
        <v>5420</v>
      </c>
      <c r="D3482" s="1120" t="s">
        <v>5421</v>
      </c>
      <c r="E3482" s="1363" t="s">
        <v>7187</v>
      </c>
      <c r="F3482" s="1363" t="s">
        <v>5405</v>
      </c>
      <c r="G3482" s="1370" t="s">
        <v>7179</v>
      </c>
      <c r="H3482" s="1371"/>
      <c r="J3482" s="1637"/>
      <c r="K3482" s="1637"/>
    </row>
    <row r="3483" spans="1:11" x14ac:dyDescent="0.25">
      <c r="A3483" s="1527"/>
      <c r="B3483" s="1767" t="s">
        <v>9422</v>
      </c>
      <c r="C3483" s="1778">
        <v>170000</v>
      </c>
      <c r="D3483" s="1779">
        <f>0.6*C3483</f>
        <v>102000</v>
      </c>
      <c r="E3483" s="1778">
        <f>+D3483+C3483</f>
        <v>272000</v>
      </c>
      <c r="F3483" s="1790">
        <v>0.01</v>
      </c>
      <c r="G3483" s="1789">
        <f>+F3483*E3483</f>
        <v>2720</v>
      </c>
      <c r="H3483" s="1524"/>
      <c r="J3483" s="1637"/>
      <c r="K3483" s="1637"/>
    </row>
    <row r="3484" spans="1:11" x14ac:dyDescent="0.25">
      <c r="A3484" s="1527"/>
      <c r="B3484" s="1767"/>
      <c r="C3484" s="1778"/>
      <c r="D3484" s="1778"/>
      <c r="E3484" s="1778"/>
      <c r="F3484" s="1790"/>
      <c r="G3484" s="1789"/>
      <c r="H3484" s="1524"/>
      <c r="J3484" s="1637"/>
      <c r="K3484" s="1637"/>
    </row>
    <row r="3485" spans="1:11" x14ac:dyDescent="0.25">
      <c r="A3485" s="1527"/>
      <c r="B3485" s="1561"/>
      <c r="C3485" s="1569"/>
      <c r="D3485" s="1569"/>
      <c r="E3485" s="1569"/>
      <c r="F3485" s="817"/>
      <c r="G3485" s="818"/>
      <c r="H3485" s="1524"/>
      <c r="J3485" s="1637"/>
      <c r="K3485" s="1637"/>
    </row>
    <row r="3486" spans="1:11" x14ac:dyDescent="0.25">
      <c r="A3486" s="1527"/>
      <c r="B3486" s="1540"/>
      <c r="C3486" s="1569"/>
      <c r="D3486" s="1569"/>
      <c r="E3486" s="1569"/>
      <c r="F3486" s="817"/>
      <c r="G3486" s="818"/>
      <c r="H3486" s="1524"/>
      <c r="J3486" s="1637"/>
      <c r="K3486" s="1637"/>
    </row>
    <row r="3487" spans="1:11" x14ac:dyDescent="0.25">
      <c r="A3487" s="1527"/>
      <c r="B3487" s="1540"/>
      <c r="C3487" s="1538" t="s">
        <v>7182</v>
      </c>
      <c r="D3487" s="952" t="s">
        <v>7182</v>
      </c>
      <c r="E3487" s="1538" t="s">
        <v>7182</v>
      </c>
      <c r="F3487" s="817"/>
      <c r="G3487" s="818" t="str">
        <f>IF(B3487="","",E3487/F3487)</f>
        <v/>
      </c>
      <c r="H3487" s="1524"/>
    </row>
    <row r="3488" spans="1:11" ht="15.75" thickBot="1" x14ac:dyDescent="0.3">
      <c r="A3488" s="1527"/>
      <c r="B3488" s="1540"/>
      <c r="C3488" s="1538" t="s">
        <v>7182</v>
      </c>
      <c r="D3488" s="952" t="s">
        <v>7182</v>
      </c>
      <c r="E3488" s="1538" t="s">
        <v>7182</v>
      </c>
      <c r="F3488" s="1537"/>
      <c r="G3488" s="818" t="str">
        <f>IF(B3488="","",E3488/F3488)</f>
        <v/>
      </c>
      <c r="H3488" s="1524"/>
    </row>
    <row r="3489" spans="1:11" ht="15.75" thickBot="1" x14ac:dyDescent="0.3">
      <c r="A3489" s="1527"/>
      <c r="B3489" s="1555"/>
      <c r="C3489" s="1556"/>
      <c r="D3489" s="956"/>
      <c r="E3489" s="1556"/>
      <c r="F3489" s="1557"/>
      <c r="G3489" s="1558"/>
      <c r="H3489" s="1546">
        <f>SUM(G3483:G3489)</f>
        <v>2720</v>
      </c>
    </row>
    <row r="3490" spans="1:11" ht="15.75" thickBot="1" x14ac:dyDescent="0.3">
      <c r="A3490" s="1527"/>
      <c r="B3490" s="1527"/>
      <c r="C3490" s="1527"/>
      <c r="D3490" s="529"/>
      <c r="F3490" s="1528"/>
      <c r="G3490" s="1524"/>
      <c r="H3490" s="1524"/>
    </row>
    <row r="3491" spans="1:11" ht="15.75" thickBot="1" x14ac:dyDescent="0.3">
      <c r="A3491" s="1647" t="s">
        <v>6744</v>
      </c>
      <c r="B3491" s="1352"/>
      <c r="C3491" s="1352"/>
      <c r="D3491" s="1671"/>
      <c r="E3491" s="1672"/>
      <c r="F3491" s="1353"/>
      <c r="G3491" s="1527" t="s">
        <v>5415</v>
      </c>
      <c r="H3491" s="502">
        <f>ROUND(SUM(H3449:H3490),0)</f>
        <v>7778</v>
      </c>
      <c r="J3491" s="1673">
        <f>+B3445</f>
        <v>10.74</v>
      </c>
      <c r="K3491" s="1674">
        <f>+H3491</f>
        <v>7778</v>
      </c>
    </row>
    <row r="3492" spans="1:11" x14ac:dyDescent="0.25">
      <c r="A3492" s="1675"/>
      <c r="B3492" s="1676"/>
      <c r="C3492" s="1676"/>
      <c r="D3492" s="1677"/>
      <c r="E3492" s="1678"/>
      <c r="F3492" s="1679"/>
      <c r="G3492" s="1680"/>
      <c r="H3492" s="1680"/>
    </row>
    <row r="3493" spans="1:11" ht="18.75" x14ac:dyDescent="0.25">
      <c r="A3493" s="1523"/>
      <c r="B3493" s="1655"/>
      <c r="C3493" s="1655"/>
      <c r="D3493" s="950"/>
      <c r="E3493" s="1655"/>
      <c r="F3493" s="1655"/>
      <c r="G3493" s="1655"/>
      <c r="H3493" s="8"/>
    </row>
    <row r="3494" spans="1:11" x14ac:dyDescent="0.25">
      <c r="A3494" s="1523"/>
      <c r="B3494" s="8"/>
      <c r="C3494" s="8"/>
      <c r="D3494" s="529"/>
      <c r="E3494" s="8"/>
      <c r="F3494" s="1523"/>
      <c r="G3494" s="1524"/>
      <c r="H3494" s="8"/>
    </row>
    <row r="3495" spans="1:11" ht="20.25" customHeight="1" x14ac:dyDescent="0.25">
      <c r="A3495" s="1665" t="s">
        <v>3</v>
      </c>
      <c r="B3495" s="1666">
        <f>+VLOOKUP(C3495,ListaAPUs!$B:$E,4,FALSE)</f>
        <v>10.75</v>
      </c>
      <c r="C3495" s="2441" t="str">
        <f>+ListaAPUs!B275</f>
        <v>Cajas en fundicion de aluminio tipo NEMA-4 de 15x15 Cm.</v>
      </c>
      <c r="D3495" s="2441"/>
      <c r="E3495" s="2441"/>
      <c r="F3495" s="1665" t="s">
        <v>867</v>
      </c>
      <c r="G3495" s="1390" t="str">
        <f>+VLOOKUP(C3495,ListaAPUs!$B:$E,2,FALSE)</f>
        <v>un</v>
      </c>
      <c r="H3495" s="1524"/>
    </row>
    <row r="3496" spans="1:11" x14ac:dyDescent="0.25">
      <c r="A3496" s="1528"/>
      <c r="B3496" s="1527"/>
      <c r="C3496" s="1527"/>
      <c r="D3496" s="529"/>
      <c r="E3496" s="1527"/>
      <c r="F3496" s="1528"/>
      <c r="G3496" s="1524"/>
      <c r="H3496" s="1524"/>
    </row>
    <row r="3497" spans="1:11" x14ac:dyDescent="0.25">
      <c r="A3497" s="1528"/>
      <c r="B3497" s="1527"/>
      <c r="C3497" s="1527"/>
      <c r="D3497" s="529"/>
      <c r="E3497" s="1527"/>
      <c r="F3497" s="1528"/>
      <c r="G3497" s="1529"/>
      <c r="H3497" s="1524"/>
    </row>
    <row r="3498" spans="1:11" ht="15.75" thickBot="1" x14ac:dyDescent="0.3">
      <c r="A3498" s="1528"/>
      <c r="B3498" s="1527"/>
      <c r="C3498" s="1527"/>
      <c r="D3498" s="529"/>
      <c r="E3498" s="1527"/>
      <c r="F3498" s="1528"/>
      <c r="G3498" s="1524"/>
      <c r="H3498" s="1524"/>
    </row>
    <row r="3499" spans="1:11" ht="15.75" thickBot="1" x14ac:dyDescent="0.3">
      <c r="A3499" s="1368"/>
      <c r="B3499" s="1369" t="s">
        <v>5403</v>
      </c>
      <c r="C3499" s="1363" t="s">
        <v>867</v>
      </c>
      <c r="D3499" s="1120" t="s">
        <v>6</v>
      </c>
      <c r="E3499" s="1363" t="s">
        <v>9417</v>
      </c>
      <c r="F3499" s="1363" t="s">
        <v>5405</v>
      </c>
      <c r="G3499" s="1370" t="s">
        <v>7179</v>
      </c>
      <c r="H3499" s="1371"/>
    </row>
    <row r="3500" spans="1:11" ht="25.5" x14ac:dyDescent="0.25">
      <c r="A3500" s="1528"/>
      <c r="B3500" s="1746" t="s">
        <v>8250</v>
      </c>
      <c r="C3500" s="1802" t="s">
        <v>9468</v>
      </c>
      <c r="D3500" s="1794">
        <v>1</v>
      </c>
      <c r="E3500" s="1803">
        <v>3150</v>
      </c>
      <c r="F3500" s="1804">
        <v>1</v>
      </c>
      <c r="G3500" s="1805">
        <f>+F3500*E3500*D3500</f>
        <v>3150</v>
      </c>
      <c r="H3500" s="1524"/>
    </row>
    <row r="3501" spans="1:11" x14ac:dyDescent="0.25">
      <c r="A3501" s="1528"/>
      <c r="B3501" s="1822" t="s">
        <v>9584</v>
      </c>
      <c r="C3501" s="1749" t="s">
        <v>5</v>
      </c>
      <c r="D3501" s="1769">
        <v>1</v>
      </c>
      <c r="E3501" s="1825">
        <v>2500</v>
      </c>
      <c r="F3501" s="1769">
        <v>1</v>
      </c>
      <c r="G3501" s="1786">
        <f>+F3501*E3501*D3501</f>
        <v>2500</v>
      </c>
      <c r="H3501" s="1524"/>
    </row>
    <row r="3502" spans="1:11" x14ac:dyDescent="0.25">
      <c r="A3502" s="1528"/>
      <c r="B3502" s="1822"/>
      <c r="C3502" s="1749"/>
      <c r="D3502" s="1773"/>
      <c r="E3502" s="1787"/>
      <c r="F3502" s="1769"/>
      <c r="G3502" s="1786"/>
      <c r="H3502" s="1524"/>
    </row>
    <row r="3503" spans="1:11" x14ac:dyDescent="0.25">
      <c r="A3503" s="1528"/>
      <c r="B3503" s="1822"/>
      <c r="C3503" s="1749"/>
      <c r="D3503" s="1773"/>
      <c r="E3503" s="1787"/>
      <c r="F3503" s="1769"/>
      <c r="G3503" s="1786"/>
      <c r="H3503" s="1524"/>
      <c r="J3503" s="1637"/>
      <c r="K3503" s="1637"/>
    </row>
    <row r="3504" spans="1:11" x14ac:dyDescent="0.25">
      <c r="A3504" s="1528"/>
      <c r="B3504" s="1667"/>
      <c r="C3504" s="1537"/>
      <c r="D3504" s="212"/>
      <c r="E3504" s="816"/>
      <c r="F3504" s="1563"/>
      <c r="G3504" s="814"/>
      <c r="H3504" s="1524"/>
      <c r="J3504" s="1637"/>
      <c r="K3504" s="1637"/>
    </row>
    <row r="3505" spans="1:11" x14ac:dyDescent="0.25">
      <c r="A3505" s="1528"/>
      <c r="B3505" s="1667"/>
      <c r="C3505" s="1537"/>
      <c r="D3505" s="212"/>
      <c r="E3505" s="816"/>
      <c r="F3505" s="1563"/>
      <c r="G3505" s="814"/>
      <c r="H3505" s="1524"/>
      <c r="J3505" s="1637"/>
      <c r="K3505" s="1637"/>
    </row>
    <row r="3506" spans="1:11" x14ac:dyDescent="0.25">
      <c r="A3506" s="1528"/>
      <c r="B3506" s="1667"/>
      <c r="C3506" s="1537"/>
      <c r="D3506" s="212"/>
      <c r="E3506" s="816"/>
      <c r="F3506" s="1563"/>
      <c r="G3506" s="814"/>
      <c r="H3506" s="1524"/>
      <c r="J3506" s="1637"/>
      <c r="K3506" s="1637"/>
    </row>
    <row r="3507" spans="1:11" x14ac:dyDescent="0.25">
      <c r="A3507" s="1528"/>
      <c r="B3507" s="1667"/>
      <c r="C3507" s="1537"/>
      <c r="D3507" s="212"/>
      <c r="E3507" s="816"/>
      <c r="F3507" s="1563"/>
      <c r="G3507" s="814"/>
      <c r="H3507" s="1524"/>
      <c r="J3507" s="1637"/>
      <c r="K3507" s="1637"/>
    </row>
    <row r="3508" spans="1:11" x14ac:dyDescent="0.25">
      <c r="A3508" s="1528"/>
      <c r="B3508" s="1667"/>
      <c r="C3508" s="1537"/>
      <c r="D3508" s="212"/>
      <c r="E3508" s="816"/>
      <c r="F3508" s="1563"/>
      <c r="G3508" s="814"/>
      <c r="H3508" s="1524"/>
      <c r="J3508" s="1637"/>
      <c r="K3508" s="1637"/>
    </row>
    <row r="3509" spans="1:11" x14ac:dyDescent="0.25">
      <c r="A3509" s="1528"/>
      <c r="B3509" s="1667"/>
      <c r="C3509" s="1537"/>
      <c r="D3509" s="212"/>
      <c r="E3509" s="816"/>
      <c r="F3509" s="1563"/>
      <c r="G3509" s="814"/>
      <c r="H3509" s="1524"/>
      <c r="J3509" s="1637"/>
      <c r="K3509" s="1637"/>
    </row>
    <row r="3510" spans="1:11" x14ac:dyDescent="0.25">
      <c r="A3510" s="1528"/>
      <c r="B3510" s="1667"/>
      <c r="C3510" s="1537"/>
      <c r="D3510" s="212"/>
      <c r="E3510" s="816"/>
      <c r="F3510" s="1563"/>
      <c r="G3510" s="814"/>
      <c r="H3510" s="1524"/>
      <c r="J3510" s="1637"/>
      <c r="K3510" s="1637"/>
    </row>
    <row r="3511" spans="1:11" x14ac:dyDescent="0.25">
      <c r="A3511" s="1528"/>
      <c r="B3511" s="269"/>
      <c r="C3511" s="1537"/>
      <c r="D3511" s="212"/>
      <c r="E3511" s="816"/>
      <c r="F3511" s="1563"/>
      <c r="G3511" s="814"/>
      <c r="H3511" s="1524"/>
      <c r="J3511" s="1637"/>
      <c r="K3511" s="1637"/>
    </row>
    <row r="3512" spans="1:11" x14ac:dyDescent="0.25">
      <c r="A3512" s="1528"/>
      <c r="B3512" s="268"/>
      <c r="C3512" s="1534"/>
      <c r="D3512" s="211"/>
      <c r="E3512" s="1535" t="s">
        <v>7182</v>
      </c>
      <c r="F3512" s="1551"/>
      <c r="G3512" s="1541" t="s">
        <v>7182</v>
      </c>
      <c r="H3512" s="1524"/>
      <c r="J3512" s="1637"/>
      <c r="K3512" s="1637"/>
    </row>
    <row r="3513" spans="1:11" x14ac:dyDescent="0.25">
      <c r="A3513" s="1528"/>
      <c r="B3513" s="1346"/>
      <c r="C3513" s="1534"/>
      <c r="D3513" s="211"/>
      <c r="E3513" s="1535" t="s">
        <v>7182</v>
      </c>
      <c r="F3513" s="1551"/>
      <c r="G3513" s="1541" t="s">
        <v>7182</v>
      </c>
      <c r="H3513" s="1524"/>
      <c r="J3513" s="1637"/>
      <c r="K3513" s="1637"/>
    </row>
    <row r="3514" spans="1:11" ht="15.75" thickBot="1" x14ac:dyDescent="0.3">
      <c r="A3514" s="1528"/>
      <c r="B3514" s="1540"/>
      <c r="C3514" s="1537"/>
      <c r="D3514" s="952"/>
      <c r="E3514" s="1538" t="s">
        <v>7182</v>
      </c>
      <c r="F3514" s="1537"/>
      <c r="G3514" s="1541" t="s">
        <v>7182</v>
      </c>
      <c r="H3514" s="1524"/>
      <c r="J3514" s="1637"/>
      <c r="K3514" s="1637"/>
    </row>
    <row r="3515" spans="1:11" ht="15.75" thickBot="1" x14ac:dyDescent="0.3">
      <c r="A3515" s="1528"/>
      <c r="B3515" s="1555"/>
      <c r="C3515" s="1557"/>
      <c r="D3515" s="956"/>
      <c r="E3515" s="1556" t="s">
        <v>7182</v>
      </c>
      <c r="F3515" s="1557"/>
      <c r="G3515" s="1558" t="s">
        <v>7182</v>
      </c>
      <c r="H3515" s="1546">
        <f>SUM(G3500:G3515)</f>
        <v>5650</v>
      </c>
      <c r="J3515" s="1637"/>
      <c r="K3515" s="1637"/>
    </row>
    <row r="3516" spans="1:11" x14ac:dyDescent="0.25">
      <c r="A3516" s="1528"/>
      <c r="B3516" s="1372"/>
      <c r="C3516" s="1374"/>
      <c r="D3516" s="1373"/>
      <c r="E3516" s="1372" t="s">
        <v>7182</v>
      </c>
      <c r="F3516" s="1374"/>
      <c r="G3516" s="1375" t="s">
        <v>7182</v>
      </c>
      <c r="H3516" s="1550"/>
      <c r="J3516" s="1637"/>
      <c r="K3516" s="1637"/>
    </row>
    <row r="3517" spans="1:11" ht="15.75" thickBot="1" x14ac:dyDescent="0.3">
      <c r="A3517" s="1527"/>
      <c r="B3517" s="188"/>
      <c r="C3517" s="189"/>
      <c r="D3517" s="1668"/>
      <c r="E3517" s="188"/>
      <c r="F3517" s="189"/>
      <c r="G3517" s="1669"/>
      <c r="H3517" s="1550"/>
      <c r="J3517" s="1637"/>
      <c r="K3517" s="1637"/>
    </row>
    <row r="3518" spans="1:11" ht="15.75" thickBot="1" x14ac:dyDescent="0.3">
      <c r="A3518" s="1527"/>
      <c r="B3518" s="1366" t="s">
        <v>9418</v>
      </c>
      <c r="C3518" s="1363" t="s">
        <v>867</v>
      </c>
      <c r="D3518" s="1120" t="s">
        <v>6</v>
      </c>
      <c r="E3518" s="1363" t="s">
        <v>7183</v>
      </c>
      <c r="F3518" s="1363" t="s">
        <v>5405</v>
      </c>
      <c r="G3518" s="1365" t="s">
        <v>7179</v>
      </c>
      <c r="H3518" s="1524"/>
      <c r="J3518" s="1637"/>
      <c r="K3518" s="1637"/>
    </row>
    <row r="3519" spans="1:11" x14ac:dyDescent="0.25">
      <c r="A3519" s="1527"/>
      <c r="B3519" s="1564" t="s">
        <v>5455</v>
      </c>
      <c r="C3519" s="1534" t="s">
        <v>5</v>
      </c>
      <c r="D3519" s="211">
        <v>1</v>
      </c>
      <c r="E3519" s="1535">
        <v>500</v>
      </c>
      <c r="F3519" s="297">
        <v>1</v>
      </c>
      <c r="G3519" s="1572">
        <f>+F3519*E3519</f>
        <v>500</v>
      </c>
      <c r="H3519" s="1524"/>
      <c r="J3519" s="1637"/>
      <c r="K3519" s="1637"/>
    </row>
    <row r="3520" spans="1:11" x14ac:dyDescent="0.25">
      <c r="A3520" s="1527"/>
      <c r="B3520" s="1540"/>
      <c r="C3520" s="1537"/>
      <c r="D3520" s="212"/>
      <c r="E3520" s="1535" t="s">
        <v>7182</v>
      </c>
      <c r="F3520" s="1537"/>
      <c r="G3520" s="1572" t="s">
        <v>7182</v>
      </c>
      <c r="H3520" s="1524"/>
      <c r="J3520" s="1637"/>
      <c r="K3520" s="1637"/>
    </row>
    <row r="3521" spans="1:11" x14ac:dyDescent="0.25">
      <c r="A3521" s="1527"/>
      <c r="B3521" s="1540"/>
      <c r="C3521" s="1537"/>
      <c r="D3521" s="212"/>
      <c r="E3521" s="1535" t="s">
        <v>7182</v>
      </c>
      <c r="F3521" s="1537"/>
      <c r="G3521" s="1572" t="s">
        <v>7182</v>
      </c>
      <c r="H3521" s="1524"/>
      <c r="J3521" s="1637"/>
      <c r="K3521" s="1637"/>
    </row>
    <row r="3522" spans="1:11" ht="15.75" thickBot="1" x14ac:dyDescent="0.3">
      <c r="A3522" s="1527"/>
      <c r="B3522" s="1540"/>
      <c r="C3522" s="1537"/>
      <c r="D3522" s="212"/>
      <c r="E3522" s="1535" t="s">
        <v>7182</v>
      </c>
      <c r="F3522" s="1537"/>
      <c r="G3522" s="1572" t="s">
        <v>7182</v>
      </c>
      <c r="H3522" s="1524"/>
      <c r="J3522" s="1637"/>
      <c r="K3522" s="1637"/>
    </row>
    <row r="3523" spans="1:11" ht="15.75" thickBot="1" x14ac:dyDescent="0.3">
      <c r="A3523" s="1527"/>
      <c r="B3523" s="1555"/>
      <c r="C3523" s="1556"/>
      <c r="D3523" s="956"/>
      <c r="E3523" s="1556" t="s">
        <v>7182</v>
      </c>
      <c r="F3523" s="1557"/>
      <c r="G3523" s="1558" t="s">
        <v>7182</v>
      </c>
      <c r="H3523" s="1546">
        <f>SUM(G3519:G3523)</f>
        <v>500</v>
      </c>
      <c r="J3523" s="1637"/>
      <c r="K3523" s="1637"/>
    </row>
    <row r="3524" spans="1:11" ht="15.75" thickBot="1" x14ac:dyDescent="0.3">
      <c r="A3524" s="1527"/>
      <c r="B3524" s="1376"/>
      <c r="C3524" s="1353"/>
      <c r="D3524" s="1355"/>
      <c r="E3524" s="1352"/>
      <c r="F3524" s="1377"/>
      <c r="G3524" s="1378"/>
      <c r="H3524" s="1524"/>
      <c r="J3524" s="1637"/>
      <c r="K3524" s="1637"/>
    </row>
    <row r="3525" spans="1:11" ht="15.75" thickBot="1" x14ac:dyDescent="0.3">
      <c r="A3525" s="1527"/>
      <c r="B3525" s="1366" t="s">
        <v>5410</v>
      </c>
      <c r="C3525" s="1363" t="s">
        <v>867</v>
      </c>
      <c r="D3525" s="1120" t="s">
        <v>6</v>
      </c>
      <c r="E3525" s="1363" t="s">
        <v>7183</v>
      </c>
      <c r="F3525" s="1363" t="s">
        <v>5405</v>
      </c>
      <c r="G3525" s="1365" t="s">
        <v>7179</v>
      </c>
      <c r="H3525" s="1524"/>
      <c r="J3525" s="1637"/>
      <c r="K3525" s="1637"/>
    </row>
    <row r="3526" spans="1:11" ht="25.5" x14ac:dyDescent="0.25">
      <c r="A3526" s="1527"/>
      <c r="B3526" s="1564" t="s">
        <v>9421</v>
      </c>
      <c r="C3526" s="1534" t="s">
        <v>9023</v>
      </c>
      <c r="D3526" s="211">
        <v>1</v>
      </c>
      <c r="E3526" s="1535">
        <v>1000</v>
      </c>
      <c r="F3526" s="297">
        <v>0.1</v>
      </c>
      <c r="G3526" s="1572">
        <f>+F3526*E3526</f>
        <v>100</v>
      </c>
      <c r="H3526" s="1524"/>
      <c r="J3526" s="1637"/>
      <c r="K3526" s="1637"/>
    </row>
    <row r="3527" spans="1:11" x14ac:dyDescent="0.25">
      <c r="A3527" s="1527"/>
      <c r="B3527" s="1540"/>
      <c r="C3527" s="1537"/>
      <c r="D3527" s="212"/>
      <c r="E3527" s="1535" t="s">
        <v>7182</v>
      </c>
      <c r="F3527" s="1537"/>
      <c r="G3527" s="1572" t="s">
        <v>7182</v>
      </c>
      <c r="H3527" s="1524"/>
      <c r="J3527" s="1637"/>
      <c r="K3527" s="1637"/>
    </row>
    <row r="3528" spans="1:11" x14ac:dyDescent="0.25">
      <c r="A3528" s="1527"/>
      <c r="B3528" s="1540"/>
      <c r="C3528" s="1537"/>
      <c r="D3528" s="212"/>
      <c r="E3528" s="1535" t="s">
        <v>7182</v>
      </c>
      <c r="F3528" s="1537"/>
      <c r="G3528" s="1572" t="s">
        <v>7182</v>
      </c>
      <c r="H3528" s="1524"/>
      <c r="J3528" s="1637"/>
      <c r="K3528" s="1637"/>
    </row>
    <row r="3529" spans="1:11" ht="15.75" thickBot="1" x14ac:dyDescent="0.3">
      <c r="A3529" s="1527"/>
      <c r="B3529" s="1540"/>
      <c r="C3529" s="1537"/>
      <c r="D3529" s="212"/>
      <c r="E3529" s="1535" t="s">
        <v>7182</v>
      </c>
      <c r="F3529" s="1537"/>
      <c r="G3529" s="1572" t="s">
        <v>7182</v>
      </c>
      <c r="H3529" s="1524"/>
      <c r="J3529" s="1637"/>
      <c r="K3529" s="1637"/>
    </row>
    <row r="3530" spans="1:11" ht="15.75" thickBot="1" x14ac:dyDescent="0.3">
      <c r="A3530" s="1527"/>
      <c r="B3530" s="1555"/>
      <c r="C3530" s="1556"/>
      <c r="D3530" s="956"/>
      <c r="E3530" s="1556" t="s">
        <v>7182</v>
      </c>
      <c r="F3530" s="1557"/>
      <c r="G3530" s="1558" t="s">
        <v>7182</v>
      </c>
      <c r="H3530" s="1546">
        <f>SUM(G3526:G3530)</f>
        <v>100</v>
      </c>
      <c r="J3530" s="1637"/>
      <c r="K3530" s="1637"/>
    </row>
    <row r="3531" spans="1:11" ht="15.75" thickBot="1" x14ac:dyDescent="0.3">
      <c r="A3531" s="1527"/>
      <c r="B3531" s="1547"/>
      <c r="C3531" s="1547"/>
      <c r="D3531" s="954"/>
      <c r="E3531" s="1547"/>
      <c r="F3531" s="1553"/>
      <c r="G3531" s="1554"/>
      <c r="H3531" s="1550"/>
      <c r="J3531" s="1637"/>
      <c r="K3531" s="1637"/>
    </row>
    <row r="3532" spans="1:11" ht="15.75" thickBot="1" x14ac:dyDescent="0.3">
      <c r="A3532" s="1559"/>
      <c r="B3532" s="1369" t="s">
        <v>5412</v>
      </c>
      <c r="C3532" s="1363" t="s">
        <v>5420</v>
      </c>
      <c r="D3532" s="1120" t="s">
        <v>5421</v>
      </c>
      <c r="E3532" s="1363" t="s">
        <v>7187</v>
      </c>
      <c r="F3532" s="1363" t="s">
        <v>5405</v>
      </c>
      <c r="G3532" s="1370" t="s">
        <v>7179</v>
      </c>
      <c r="H3532" s="1371"/>
      <c r="J3532" s="1637"/>
      <c r="K3532" s="1637"/>
    </row>
    <row r="3533" spans="1:11" x14ac:dyDescent="0.25">
      <c r="A3533" s="1527"/>
      <c r="B3533" s="1560" t="s">
        <v>9422</v>
      </c>
      <c r="C3533" s="1569">
        <v>170000</v>
      </c>
      <c r="D3533" s="352">
        <f>0.6*C3533</f>
        <v>102000</v>
      </c>
      <c r="E3533" s="1569">
        <f>+D3533+C3533</f>
        <v>272000</v>
      </c>
      <c r="F3533" s="819">
        <v>1.4999999999999999E-2</v>
      </c>
      <c r="G3533" s="818">
        <f>+F3533*E3533</f>
        <v>4080</v>
      </c>
      <c r="H3533" s="1524"/>
      <c r="J3533" s="1637"/>
      <c r="K3533" s="1637"/>
    </row>
    <row r="3534" spans="1:11" x14ac:dyDescent="0.25">
      <c r="A3534" s="1527"/>
      <c r="B3534" s="1560"/>
      <c r="C3534" s="1569"/>
      <c r="D3534" s="1569"/>
      <c r="E3534" s="1569"/>
      <c r="F3534" s="819"/>
      <c r="G3534" s="818"/>
      <c r="H3534" s="1524"/>
      <c r="J3534" s="1637"/>
      <c r="K3534" s="1637"/>
    </row>
    <row r="3535" spans="1:11" x14ac:dyDescent="0.25">
      <c r="A3535" s="1527"/>
      <c r="B3535" s="1561"/>
      <c r="C3535" s="1569"/>
      <c r="D3535" s="1569"/>
      <c r="E3535" s="1569"/>
      <c r="F3535" s="817"/>
      <c r="G3535" s="818"/>
      <c r="H3535" s="1524"/>
    </row>
    <row r="3536" spans="1:11" x14ac:dyDescent="0.25">
      <c r="A3536" s="1527"/>
      <c r="B3536" s="1540"/>
      <c r="C3536" s="1569"/>
      <c r="D3536" s="1569"/>
      <c r="E3536" s="1569"/>
      <c r="F3536" s="817"/>
      <c r="G3536" s="818"/>
      <c r="H3536" s="1524"/>
    </row>
    <row r="3537" spans="1:11" x14ac:dyDescent="0.25">
      <c r="A3537" s="1527"/>
      <c r="B3537" s="1540"/>
      <c r="C3537" s="1538" t="s">
        <v>7182</v>
      </c>
      <c r="D3537" s="952" t="s">
        <v>7182</v>
      </c>
      <c r="E3537" s="1538" t="s">
        <v>7182</v>
      </c>
      <c r="F3537" s="817"/>
      <c r="G3537" s="818" t="str">
        <f>IF(B3537="","",E3537/F3537)</f>
        <v/>
      </c>
      <c r="H3537" s="1524"/>
    </row>
    <row r="3538" spans="1:11" ht="15.75" thickBot="1" x14ac:dyDescent="0.3">
      <c r="A3538" s="1527"/>
      <c r="B3538" s="1540"/>
      <c r="C3538" s="1538" t="s">
        <v>7182</v>
      </c>
      <c r="D3538" s="952" t="s">
        <v>7182</v>
      </c>
      <c r="E3538" s="1538" t="s">
        <v>7182</v>
      </c>
      <c r="F3538" s="1537"/>
      <c r="G3538" s="818" t="str">
        <f>IF(B3538="","",E3538/F3538)</f>
        <v/>
      </c>
      <c r="H3538" s="1524"/>
    </row>
    <row r="3539" spans="1:11" ht="15.75" thickBot="1" x14ac:dyDescent="0.3">
      <c r="A3539" s="1527"/>
      <c r="B3539" s="1555"/>
      <c r="C3539" s="1556"/>
      <c r="D3539" s="956"/>
      <c r="E3539" s="1556"/>
      <c r="F3539" s="1557"/>
      <c r="G3539" s="1558"/>
      <c r="H3539" s="1546">
        <f>SUM(G3533:G3539)</f>
        <v>4080</v>
      </c>
    </row>
    <row r="3540" spans="1:11" ht="15.75" thickBot="1" x14ac:dyDescent="0.3">
      <c r="A3540" s="1527"/>
      <c r="B3540" s="1527"/>
      <c r="C3540" s="1527"/>
      <c r="D3540" s="529"/>
      <c r="F3540" s="1528"/>
      <c r="G3540" s="1524"/>
      <c r="H3540" s="1524"/>
    </row>
    <row r="3541" spans="1:11" ht="15.75" thickBot="1" x14ac:dyDescent="0.3">
      <c r="A3541" s="1647" t="s">
        <v>6744</v>
      </c>
      <c r="B3541" s="1352"/>
      <c r="C3541" s="1352"/>
      <c r="D3541" s="1671"/>
      <c r="E3541" s="1672"/>
      <c r="F3541" s="1353"/>
      <c r="G3541" s="1527" t="s">
        <v>5415</v>
      </c>
      <c r="H3541" s="502">
        <f>ROUND(SUM(H3499:H3540),0)</f>
        <v>10330</v>
      </c>
      <c r="J3541" s="1673">
        <f>+B3495</f>
        <v>10.75</v>
      </c>
      <c r="K3541" s="1674">
        <f>+H3541</f>
        <v>10330</v>
      </c>
    </row>
    <row r="3542" spans="1:11" x14ac:dyDescent="0.25">
      <c r="A3542" s="1675"/>
      <c r="B3542" s="1676"/>
      <c r="C3542" s="1676"/>
      <c r="D3542" s="1677"/>
      <c r="E3542" s="1678"/>
      <c r="F3542" s="1679"/>
      <c r="G3542" s="1680"/>
      <c r="H3542" s="1680"/>
    </row>
    <row r="3543" spans="1:11" ht="18.75" x14ac:dyDescent="0.25">
      <c r="A3543" s="1523"/>
      <c r="B3543" s="1655"/>
      <c r="C3543" s="1655"/>
      <c r="D3543" s="950"/>
      <c r="E3543" s="1655"/>
      <c r="F3543" s="1655"/>
      <c r="G3543" s="1655"/>
      <c r="H3543" s="8"/>
    </row>
    <row r="3544" spans="1:11" x14ac:dyDescent="0.25">
      <c r="A3544" s="1523"/>
      <c r="B3544" s="8"/>
      <c r="C3544" s="8"/>
      <c r="D3544" s="529"/>
      <c r="E3544" s="8"/>
      <c r="F3544" s="1523"/>
      <c r="G3544" s="1524"/>
      <c r="H3544" s="8"/>
    </row>
    <row r="3545" spans="1:11" ht="20.25" customHeight="1" x14ac:dyDescent="0.25">
      <c r="A3545" s="1665" t="s">
        <v>3</v>
      </c>
      <c r="B3545" s="1666">
        <f>+VLOOKUP(C3545,ListaAPUs!$B:$E,4,FALSE)</f>
        <v>10.76</v>
      </c>
      <c r="C3545" s="2441" t="str">
        <f>+ListaAPUs!B276</f>
        <v>Tubo conduit galv. 3/4" con accesorios de instalacion</v>
      </c>
      <c r="D3545" s="2441"/>
      <c r="E3545" s="2441"/>
      <c r="F3545" s="1665" t="s">
        <v>867</v>
      </c>
      <c r="G3545" s="1390" t="str">
        <f>+VLOOKUP(C3545,ListaAPUs!$B:$E,2,FALSE)</f>
        <v>m</v>
      </c>
      <c r="H3545" s="1524"/>
    </row>
    <row r="3546" spans="1:11" x14ac:dyDescent="0.25">
      <c r="A3546" s="1528"/>
      <c r="B3546" s="1527"/>
      <c r="C3546" s="1527"/>
      <c r="D3546" s="529"/>
      <c r="E3546" s="1527"/>
      <c r="F3546" s="1528"/>
      <c r="G3546" s="1524"/>
      <c r="H3546" s="1524"/>
    </row>
    <row r="3547" spans="1:11" x14ac:dyDescent="0.25">
      <c r="A3547" s="1528"/>
      <c r="B3547" s="1527"/>
      <c r="C3547" s="1527"/>
      <c r="D3547" s="529"/>
      <c r="E3547" s="1527"/>
      <c r="F3547" s="1528"/>
      <c r="G3547" s="1529"/>
      <c r="H3547" s="1524"/>
    </row>
    <row r="3548" spans="1:11" ht="15.75" thickBot="1" x14ac:dyDescent="0.3">
      <c r="A3548" s="1528"/>
      <c r="B3548" s="1527"/>
      <c r="C3548" s="1527"/>
      <c r="D3548" s="529"/>
      <c r="E3548" s="1527"/>
      <c r="F3548" s="1528"/>
      <c r="G3548" s="1524"/>
      <c r="H3548" s="1524"/>
    </row>
    <row r="3549" spans="1:11" ht="15.75" thickBot="1" x14ac:dyDescent="0.3">
      <c r="A3549" s="1368"/>
      <c r="B3549" s="1369" t="s">
        <v>5403</v>
      </c>
      <c r="C3549" s="1363" t="s">
        <v>867</v>
      </c>
      <c r="D3549" s="1120" t="s">
        <v>6</v>
      </c>
      <c r="E3549" s="1363" t="s">
        <v>9417</v>
      </c>
      <c r="F3549" s="1363" t="s">
        <v>5405</v>
      </c>
      <c r="G3549" s="1370" t="s">
        <v>7179</v>
      </c>
      <c r="H3549" s="1371"/>
    </row>
    <row r="3550" spans="1:11" x14ac:dyDescent="0.25">
      <c r="A3550" s="1528"/>
      <c r="B3550" s="1746" t="s">
        <v>9585</v>
      </c>
      <c r="C3550" s="1802" t="s">
        <v>5432</v>
      </c>
      <c r="D3550" s="1794">
        <v>0.33</v>
      </c>
      <c r="E3550" s="1803">
        <v>7900</v>
      </c>
      <c r="F3550" s="1804">
        <v>1</v>
      </c>
      <c r="G3550" s="1805">
        <f>+F3550*E3550*D3550</f>
        <v>2607</v>
      </c>
      <c r="H3550" s="1524"/>
    </row>
    <row r="3551" spans="1:11" x14ac:dyDescent="0.25">
      <c r="A3551" s="1528"/>
      <c r="B3551" s="1751" t="s">
        <v>9586</v>
      </c>
      <c r="C3551" s="1749" t="s">
        <v>5</v>
      </c>
      <c r="D3551" s="1773">
        <v>0.2</v>
      </c>
      <c r="E3551" s="1825">
        <v>4700</v>
      </c>
      <c r="F3551" s="1769">
        <v>1</v>
      </c>
      <c r="G3551" s="1786">
        <f>+F3551*E3551*D3551</f>
        <v>940</v>
      </c>
      <c r="H3551" s="1524"/>
      <c r="J3551" s="1637"/>
      <c r="K3551" s="1637"/>
    </row>
    <row r="3552" spans="1:11" x14ac:dyDescent="0.25">
      <c r="A3552" s="1528"/>
      <c r="B3552" s="1822" t="s">
        <v>9587</v>
      </c>
      <c r="C3552" s="1749" t="s">
        <v>5</v>
      </c>
      <c r="D3552" s="1769">
        <v>0.2</v>
      </c>
      <c r="E3552" s="1825">
        <v>1000</v>
      </c>
      <c r="F3552" s="1769">
        <v>1</v>
      </c>
      <c r="G3552" s="1786">
        <f>+F3552*E3552*D3552</f>
        <v>200</v>
      </c>
      <c r="H3552" s="1524"/>
      <c r="J3552" s="1637"/>
      <c r="K3552" s="1637"/>
    </row>
    <row r="3553" spans="1:11" x14ac:dyDescent="0.25">
      <c r="A3553" s="1528"/>
      <c r="B3553" s="1822"/>
      <c r="C3553" s="1749"/>
      <c r="D3553" s="1773"/>
      <c r="E3553" s="1787"/>
      <c r="F3553" s="1769"/>
      <c r="G3553" s="1786"/>
      <c r="H3553" s="1524"/>
      <c r="J3553" s="1637"/>
      <c r="K3553" s="1637"/>
    </row>
    <row r="3554" spans="1:11" x14ac:dyDescent="0.25">
      <c r="A3554" s="1528"/>
      <c r="B3554" s="1822"/>
      <c r="C3554" s="1749"/>
      <c r="D3554" s="1773"/>
      <c r="E3554" s="1787"/>
      <c r="F3554" s="1769"/>
      <c r="G3554" s="1786"/>
      <c r="H3554" s="1524"/>
      <c r="J3554" s="1637"/>
      <c r="K3554" s="1637"/>
    </row>
    <row r="3555" spans="1:11" x14ac:dyDescent="0.25">
      <c r="A3555" s="1528"/>
      <c r="B3555" s="1822"/>
      <c r="C3555" s="1749"/>
      <c r="D3555" s="1773"/>
      <c r="E3555" s="1787"/>
      <c r="F3555" s="1769"/>
      <c r="G3555" s="1786"/>
      <c r="H3555" s="1524"/>
      <c r="J3555" s="1637"/>
      <c r="K3555" s="1637"/>
    </row>
    <row r="3556" spans="1:11" x14ac:dyDescent="0.25">
      <c r="A3556" s="1528"/>
      <c r="B3556" s="1822"/>
      <c r="C3556" s="1749"/>
      <c r="D3556" s="1773"/>
      <c r="E3556" s="1787"/>
      <c r="F3556" s="1769"/>
      <c r="G3556" s="1786"/>
      <c r="H3556" s="1524"/>
      <c r="J3556" s="1637"/>
      <c r="K3556" s="1637"/>
    </row>
    <row r="3557" spans="1:11" x14ac:dyDescent="0.25">
      <c r="A3557" s="1528"/>
      <c r="B3557" s="1822"/>
      <c r="C3557" s="1749"/>
      <c r="D3557" s="1773"/>
      <c r="E3557" s="1787"/>
      <c r="F3557" s="1769"/>
      <c r="G3557" s="1786"/>
      <c r="H3557" s="1524"/>
      <c r="J3557" s="1637"/>
      <c r="K3557" s="1637"/>
    </row>
    <row r="3558" spans="1:11" x14ac:dyDescent="0.25">
      <c r="A3558" s="1528"/>
      <c r="B3558" s="1667"/>
      <c r="C3558" s="1537"/>
      <c r="D3558" s="212"/>
      <c r="E3558" s="816"/>
      <c r="F3558" s="1563"/>
      <c r="G3558" s="814"/>
      <c r="H3558" s="1524"/>
      <c r="J3558" s="1637"/>
      <c r="K3558" s="1637"/>
    </row>
    <row r="3559" spans="1:11" x14ac:dyDescent="0.25">
      <c r="A3559" s="1528"/>
      <c r="B3559" s="1667"/>
      <c r="C3559" s="1537"/>
      <c r="D3559" s="212"/>
      <c r="E3559" s="816"/>
      <c r="F3559" s="1563"/>
      <c r="G3559" s="814"/>
      <c r="H3559" s="1524"/>
      <c r="J3559" s="1637"/>
      <c r="K3559" s="1637"/>
    </row>
    <row r="3560" spans="1:11" x14ac:dyDescent="0.25">
      <c r="A3560" s="1528"/>
      <c r="B3560" s="1667"/>
      <c r="C3560" s="1537"/>
      <c r="D3560" s="212"/>
      <c r="E3560" s="816"/>
      <c r="F3560" s="1563"/>
      <c r="G3560" s="814"/>
      <c r="H3560" s="1524"/>
      <c r="J3560" s="1637"/>
      <c r="K3560" s="1637"/>
    </row>
    <row r="3561" spans="1:11" x14ac:dyDescent="0.25">
      <c r="A3561" s="1528"/>
      <c r="B3561" s="269"/>
      <c r="C3561" s="1537"/>
      <c r="D3561" s="212"/>
      <c r="E3561" s="816"/>
      <c r="F3561" s="1563"/>
      <c r="G3561" s="814"/>
      <c r="H3561" s="1524"/>
      <c r="J3561" s="1637"/>
      <c r="K3561" s="1637"/>
    </row>
    <row r="3562" spans="1:11" x14ac:dyDescent="0.25">
      <c r="A3562" s="1528"/>
      <c r="B3562" s="268"/>
      <c r="C3562" s="1534"/>
      <c r="D3562" s="211"/>
      <c r="E3562" s="1535" t="s">
        <v>7182</v>
      </c>
      <c r="F3562" s="1551"/>
      <c r="G3562" s="1541" t="s">
        <v>7182</v>
      </c>
      <c r="H3562" s="1524"/>
      <c r="J3562" s="1637"/>
      <c r="K3562" s="1637"/>
    </row>
    <row r="3563" spans="1:11" x14ac:dyDescent="0.25">
      <c r="A3563" s="1528"/>
      <c r="B3563" s="1346"/>
      <c r="C3563" s="1534"/>
      <c r="D3563" s="211"/>
      <c r="E3563" s="1535" t="s">
        <v>7182</v>
      </c>
      <c r="F3563" s="1551"/>
      <c r="G3563" s="1541" t="s">
        <v>7182</v>
      </c>
      <c r="H3563" s="1524"/>
      <c r="J3563" s="1637"/>
      <c r="K3563" s="1637"/>
    </row>
    <row r="3564" spans="1:11" ht="15.75" thickBot="1" x14ac:dyDescent="0.3">
      <c r="A3564" s="1528"/>
      <c r="B3564" s="1540"/>
      <c r="C3564" s="1537"/>
      <c r="D3564" s="952"/>
      <c r="E3564" s="1538" t="s">
        <v>7182</v>
      </c>
      <c r="F3564" s="1537"/>
      <c r="G3564" s="1541" t="s">
        <v>7182</v>
      </c>
      <c r="H3564" s="1524"/>
      <c r="J3564" s="1637"/>
      <c r="K3564" s="1637"/>
    </row>
    <row r="3565" spans="1:11" ht="15.75" thickBot="1" x14ac:dyDescent="0.3">
      <c r="A3565" s="1528"/>
      <c r="B3565" s="1555"/>
      <c r="C3565" s="1557"/>
      <c r="D3565" s="956"/>
      <c r="E3565" s="1556" t="s">
        <v>7182</v>
      </c>
      <c r="F3565" s="1557"/>
      <c r="G3565" s="1558" t="s">
        <v>7182</v>
      </c>
      <c r="H3565" s="1546">
        <f>SUM(G3550:G3565)</f>
        <v>3747</v>
      </c>
      <c r="J3565" s="1637"/>
      <c r="K3565" s="1637"/>
    </row>
    <row r="3566" spans="1:11" x14ac:dyDescent="0.25">
      <c r="A3566" s="1528"/>
      <c r="B3566" s="1372"/>
      <c r="C3566" s="1374"/>
      <c r="D3566" s="1373"/>
      <c r="E3566" s="1372" t="s">
        <v>7182</v>
      </c>
      <c r="F3566" s="1374"/>
      <c r="G3566" s="1375" t="s">
        <v>7182</v>
      </c>
      <c r="H3566" s="1550"/>
      <c r="J3566" s="1637"/>
      <c r="K3566" s="1637"/>
    </row>
    <row r="3567" spans="1:11" ht="15.75" thickBot="1" x14ac:dyDescent="0.3">
      <c r="A3567" s="1527"/>
      <c r="B3567" s="188"/>
      <c r="C3567" s="189"/>
      <c r="D3567" s="1668"/>
      <c r="E3567" s="188"/>
      <c r="F3567" s="189"/>
      <c r="G3567" s="1669"/>
      <c r="H3567" s="1550"/>
      <c r="J3567" s="1637"/>
      <c r="K3567" s="1637"/>
    </row>
    <row r="3568" spans="1:11" ht="15.75" thickBot="1" x14ac:dyDescent="0.3">
      <c r="A3568" s="1527"/>
      <c r="B3568" s="1366" t="s">
        <v>9418</v>
      </c>
      <c r="C3568" s="1363" t="s">
        <v>867</v>
      </c>
      <c r="D3568" s="1120" t="s">
        <v>6</v>
      </c>
      <c r="E3568" s="1363" t="s">
        <v>7183</v>
      </c>
      <c r="F3568" s="1363" t="s">
        <v>5405</v>
      </c>
      <c r="G3568" s="1365" t="s">
        <v>7179</v>
      </c>
      <c r="H3568" s="1524"/>
      <c r="J3568" s="1637"/>
      <c r="K3568" s="1637"/>
    </row>
    <row r="3569" spans="1:11" x14ac:dyDescent="0.25">
      <c r="A3569" s="1527"/>
      <c r="B3569" s="1564" t="s">
        <v>5455</v>
      </c>
      <c r="C3569" s="1534" t="s">
        <v>5</v>
      </c>
      <c r="D3569" s="211">
        <v>1</v>
      </c>
      <c r="E3569" s="1535">
        <v>1000</v>
      </c>
      <c r="F3569" s="297">
        <v>0.1</v>
      </c>
      <c r="G3569" s="1572">
        <f>+F3569*E3569</f>
        <v>100</v>
      </c>
      <c r="H3569" s="1524"/>
      <c r="J3569" s="1637"/>
      <c r="K3569" s="1637"/>
    </row>
    <row r="3570" spans="1:11" x14ac:dyDescent="0.25">
      <c r="A3570" s="1527"/>
      <c r="B3570" s="1540"/>
      <c r="C3570" s="1537"/>
      <c r="D3570" s="212"/>
      <c r="E3570" s="1535" t="s">
        <v>7182</v>
      </c>
      <c r="F3570" s="1537"/>
      <c r="G3570" s="1572" t="s">
        <v>7182</v>
      </c>
      <c r="H3570" s="1524"/>
      <c r="J3570" s="1637"/>
      <c r="K3570" s="1637"/>
    </row>
    <row r="3571" spans="1:11" x14ac:dyDescent="0.25">
      <c r="A3571" s="1527"/>
      <c r="B3571" s="1540"/>
      <c r="C3571" s="1537"/>
      <c r="D3571" s="212"/>
      <c r="E3571" s="1535" t="s">
        <v>7182</v>
      </c>
      <c r="F3571" s="1537"/>
      <c r="G3571" s="1572" t="s">
        <v>7182</v>
      </c>
      <c r="H3571" s="1524"/>
      <c r="J3571" s="1637"/>
      <c r="K3571" s="1637"/>
    </row>
    <row r="3572" spans="1:11" ht="15.75" thickBot="1" x14ac:dyDescent="0.3">
      <c r="A3572" s="1527"/>
      <c r="B3572" s="1540"/>
      <c r="C3572" s="1537"/>
      <c r="D3572" s="212"/>
      <c r="E3572" s="1535" t="s">
        <v>7182</v>
      </c>
      <c r="F3572" s="1537"/>
      <c r="G3572" s="1572" t="s">
        <v>7182</v>
      </c>
      <c r="H3572" s="1524"/>
      <c r="J3572" s="1637"/>
      <c r="K3572" s="1637"/>
    </row>
    <row r="3573" spans="1:11" ht="15.75" thickBot="1" x14ac:dyDescent="0.3">
      <c r="A3573" s="1527"/>
      <c r="B3573" s="1555"/>
      <c r="C3573" s="1556"/>
      <c r="D3573" s="956"/>
      <c r="E3573" s="1556" t="s">
        <v>7182</v>
      </c>
      <c r="F3573" s="1557"/>
      <c r="G3573" s="1558" t="s">
        <v>7182</v>
      </c>
      <c r="H3573" s="1546">
        <f>SUM(G3569:G3573)</f>
        <v>100</v>
      </c>
      <c r="J3573" s="1637"/>
      <c r="K3573" s="1637"/>
    </row>
    <row r="3574" spans="1:11" ht="15.75" thickBot="1" x14ac:dyDescent="0.3">
      <c r="A3574" s="1527"/>
      <c r="B3574" s="1376"/>
      <c r="C3574" s="1353"/>
      <c r="D3574" s="1355"/>
      <c r="E3574" s="1352"/>
      <c r="F3574" s="1377"/>
      <c r="G3574" s="1378"/>
      <c r="H3574" s="1524"/>
      <c r="J3574" s="1637"/>
      <c r="K3574" s="1637"/>
    </row>
    <row r="3575" spans="1:11" ht="15.75" thickBot="1" x14ac:dyDescent="0.3">
      <c r="A3575" s="1527"/>
      <c r="B3575" s="1366" t="s">
        <v>5410</v>
      </c>
      <c r="C3575" s="1363" t="s">
        <v>867</v>
      </c>
      <c r="D3575" s="1120" t="s">
        <v>6</v>
      </c>
      <c r="E3575" s="1363" t="s">
        <v>7183</v>
      </c>
      <c r="F3575" s="1363" t="s">
        <v>5405</v>
      </c>
      <c r="G3575" s="1365" t="s">
        <v>7179</v>
      </c>
      <c r="H3575" s="1524"/>
      <c r="J3575" s="1637"/>
      <c r="K3575" s="1637"/>
    </row>
    <row r="3576" spans="1:11" ht="25.5" x14ac:dyDescent="0.25">
      <c r="A3576" s="1527"/>
      <c r="B3576" s="1564" t="s">
        <v>9421</v>
      </c>
      <c r="C3576" s="1534" t="s">
        <v>9023</v>
      </c>
      <c r="D3576" s="211">
        <v>1</v>
      </c>
      <c r="E3576" s="1535">
        <v>2500</v>
      </c>
      <c r="F3576" s="297">
        <v>0.05</v>
      </c>
      <c r="G3576" s="1572">
        <f>+F3576*E3576</f>
        <v>125</v>
      </c>
      <c r="H3576" s="1524"/>
      <c r="J3576" s="1637"/>
      <c r="K3576" s="1637"/>
    </row>
    <row r="3577" spans="1:11" x14ac:dyDescent="0.25">
      <c r="A3577" s="1527"/>
      <c r="B3577" s="1540"/>
      <c r="C3577" s="1537"/>
      <c r="D3577" s="212"/>
      <c r="E3577" s="1535" t="s">
        <v>7182</v>
      </c>
      <c r="F3577" s="1537"/>
      <c r="G3577" s="1572" t="s">
        <v>7182</v>
      </c>
      <c r="H3577" s="1524"/>
      <c r="J3577" s="1637"/>
      <c r="K3577" s="1637"/>
    </row>
    <row r="3578" spans="1:11" x14ac:dyDescent="0.25">
      <c r="A3578" s="1527"/>
      <c r="B3578" s="1540"/>
      <c r="C3578" s="1537"/>
      <c r="D3578" s="212"/>
      <c r="E3578" s="1535" t="s">
        <v>7182</v>
      </c>
      <c r="F3578" s="1537"/>
      <c r="G3578" s="1572" t="s">
        <v>7182</v>
      </c>
      <c r="H3578" s="1524"/>
      <c r="J3578" s="1637"/>
      <c r="K3578" s="1637"/>
    </row>
    <row r="3579" spans="1:11" ht="15.75" thickBot="1" x14ac:dyDescent="0.3">
      <c r="A3579" s="1527"/>
      <c r="B3579" s="1540"/>
      <c r="C3579" s="1537"/>
      <c r="D3579" s="212"/>
      <c r="E3579" s="1535" t="s">
        <v>7182</v>
      </c>
      <c r="F3579" s="1537"/>
      <c r="G3579" s="1572" t="s">
        <v>7182</v>
      </c>
      <c r="H3579" s="1524"/>
      <c r="J3579" s="1637"/>
      <c r="K3579" s="1637"/>
    </row>
    <row r="3580" spans="1:11" ht="15.75" thickBot="1" x14ac:dyDescent="0.3">
      <c r="A3580" s="1527"/>
      <c r="B3580" s="1555"/>
      <c r="C3580" s="1556"/>
      <c r="D3580" s="956"/>
      <c r="E3580" s="1556" t="s">
        <v>7182</v>
      </c>
      <c r="F3580" s="1557"/>
      <c r="G3580" s="1558" t="s">
        <v>7182</v>
      </c>
      <c r="H3580" s="1546">
        <f>SUM(G3576:G3580)</f>
        <v>125</v>
      </c>
      <c r="J3580" s="1637"/>
      <c r="K3580" s="1637"/>
    </row>
    <row r="3581" spans="1:11" ht="15.75" thickBot="1" x14ac:dyDescent="0.3">
      <c r="A3581" s="1527"/>
      <c r="B3581" s="1547"/>
      <c r="C3581" s="1547"/>
      <c r="D3581" s="954"/>
      <c r="E3581" s="1547"/>
      <c r="F3581" s="1553"/>
      <c r="G3581" s="1554"/>
      <c r="H3581" s="1550"/>
      <c r="J3581" s="1637"/>
      <c r="K3581" s="1637"/>
    </row>
    <row r="3582" spans="1:11" ht="15.75" thickBot="1" x14ac:dyDescent="0.3">
      <c r="A3582" s="1559"/>
      <c r="B3582" s="1369" t="s">
        <v>5412</v>
      </c>
      <c r="C3582" s="1363" t="s">
        <v>5420</v>
      </c>
      <c r="D3582" s="1120" t="s">
        <v>5421</v>
      </c>
      <c r="E3582" s="1363" t="s">
        <v>7187</v>
      </c>
      <c r="F3582" s="1363" t="s">
        <v>5405</v>
      </c>
      <c r="G3582" s="1370" t="s">
        <v>7179</v>
      </c>
      <c r="H3582" s="1371"/>
      <c r="J3582" s="1637"/>
      <c r="K3582" s="1637"/>
    </row>
    <row r="3583" spans="1:11" x14ac:dyDescent="0.25">
      <c r="A3583" s="1527"/>
      <c r="B3583" s="1560" t="s">
        <v>9422</v>
      </c>
      <c r="C3583" s="1569">
        <v>170000</v>
      </c>
      <c r="D3583" s="352">
        <f>0.6*C3583</f>
        <v>102000</v>
      </c>
      <c r="E3583" s="1569">
        <f>+D3583+C3583</f>
        <v>272000</v>
      </c>
      <c r="F3583" s="819">
        <v>0.04</v>
      </c>
      <c r="G3583" s="818">
        <f>+F3583*E3583</f>
        <v>10880</v>
      </c>
      <c r="H3583" s="1524"/>
    </row>
    <row r="3584" spans="1:11" x14ac:dyDescent="0.25">
      <c r="A3584" s="1527"/>
      <c r="B3584" s="1560"/>
      <c r="C3584" s="1569"/>
      <c r="D3584" s="1569"/>
      <c r="E3584" s="1569"/>
      <c r="F3584" s="819"/>
      <c r="G3584" s="818"/>
      <c r="H3584" s="1524"/>
    </row>
    <row r="3585" spans="1:11" x14ac:dyDescent="0.25">
      <c r="A3585" s="1527"/>
      <c r="B3585" s="1561"/>
      <c r="C3585" s="1569"/>
      <c r="D3585" s="1569"/>
      <c r="E3585" s="1569"/>
      <c r="F3585" s="817"/>
      <c r="G3585" s="818"/>
      <c r="H3585" s="1524"/>
    </row>
    <row r="3586" spans="1:11" x14ac:dyDescent="0.25">
      <c r="A3586" s="1527"/>
      <c r="B3586" s="1540"/>
      <c r="C3586" s="1569"/>
      <c r="D3586" s="1569"/>
      <c r="E3586" s="1569"/>
      <c r="F3586" s="817"/>
      <c r="G3586" s="818"/>
      <c r="H3586" s="1524"/>
    </row>
    <row r="3587" spans="1:11" x14ac:dyDescent="0.25">
      <c r="A3587" s="1527"/>
      <c r="B3587" s="1540"/>
      <c r="C3587" s="1538" t="s">
        <v>7182</v>
      </c>
      <c r="D3587" s="952" t="s">
        <v>7182</v>
      </c>
      <c r="E3587" s="1538" t="s">
        <v>7182</v>
      </c>
      <c r="F3587" s="817"/>
      <c r="G3587" s="818" t="str">
        <f>IF(B3587="","",E3587/F3587)</f>
        <v/>
      </c>
      <c r="H3587" s="1524"/>
    </row>
    <row r="3588" spans="1:11" ht="15.75" thickBot="1" x14ac:dyDescent="0.3">
      <c r="A3588" s="1527"/>
      <c r="B3588" s="1540"/>
      <c r="C3588" s="1538" t="s">
        <v>7182</v>
      </c>
      <c r="D3588" s="952" t="s">
        <v>7182</v>
      </c>
      <c r="E3588" s="1538" t="s">
        <v>7182</v>
      </c>
      <c r="F3588" s="1537"/>
      <c r="G3588" s="818" t="str">
        <f>IF(B3588="","",E3588/F3588)</f>
        <v/>
      </c>
      <c r="H3588" s="1524"/>
    </row>
    <row r="3589" spans="1:11" ht="15.75" thickBot="1" x14ac:dyDescent="0.3">
      <c r="A3589" s="1527"/>
      <c r="B3589" s="1555"/>
      <c r="C3589" s="1556"/>
      <c r="D3589" s="956"/>
      <c r="E3589" s="1556"/>
      <c r="F3589" s="1557"/>
      <c r="G3589" s="1558"/>
      <c r="H3589" s="1546">
        <f>SUM(G3583:G3589)</f>
        <v>10880</v>
      </c>
    </row>
    <row r="3590" spans="1:11" ht="15.75" thickBot="1" x14ac:dyDescent="0.3">
      <c r="A3590" s="1527"/>
      <c r="B3590" s="1527"/>
      <c r="C3590" s="1527"/>
      <c r="D3590" s="529"/>
      <c r="F3590" s="1528"/>
      <c r="G3590" s="1524"/>
      <c r="H3590" s="1524"/>
    </row>
    <row r="3591" spans="1:11" ht="15.75" thickBot="1" x14ac:dyDescent="0.3">
      <c r="A3591" s="1647" t="s">
        <v>6744</v>
      </c>
      <c r="B3591" s="1352"/>
      <c r="C3591" s="1352"/>
      <c r="D3591" s="1671"/>
      <c r="E3591" s="1672"/>
      <c r="F3591" s="1353"/>
      <c r="G3591" s="1527" t="s">
        <v>5415</v>
      </c>
      <c r="H3591" s="502">
        <f>ROUND(SUM(H3549:H3590),0)</f>
        <v>14852</v>
      </c>
      <c r="J3591" s="1673">
        <f>+B3545</f>
        <v>10.76</v>
      </c>
      <c r="K3591" s="1674">
        <f>+H3591</f>
        <v>14852</v>
      </c>
    </row>
    <row r="3592" spans="1:11" x14ac:dyDescent="0.25">
      <c r="A3592" s="1675"/>
      <c r="B3592" s="1676"/>
      <c r="C3592" s="1676"/>
      <c r="D3592" s="1677"/>
      <c r="E3592" s="1678"/>
      <c r="F3592" s="1679"/>
      <c r="G3592" s="1680"/>
      <c r="H3592" s="1680"/>
    </row>
    <row r="3593" spans="1:11" ht="18.75" x14ac:dyDescent="0.25">
      <c r="A3593" s="1523"/>
      <c r="B3593" s="1655"/>
      <c r="C3593" s="1655"/>
      <c r="D3593" s="950"/>
      <c r="E3593" s="1655"/>
      <c r="F3593" s="1655"/>
      <c r="G3593" s="1655"/>
      <c r="H3593" s="8"/>
    </row>
    <row r="3594" spans="1:11" x14ac:dyDescent="0.25">
      <c r="A3594" s="1523"/>
      <c r="B3594" s="8"/>
      <c r="C3594" s="8"/>
      <c r="D3594" s="529"/>
      <c r="E3594" s="8"/>
      <c r="F3594" s="1523"/>
      <c r="G3594" s="1524"/>
      <c r="H3594" s="8"/>
    </row>
    <row r="3595" spans="1:11" ht="20.25" customHeight="1" x14ac:dyDescent="0.25">
      <c r="A3595" s="1665" t="s">
        <v>3</v>
      </c>
      <c r="B3595" s="1666">
        <f>+VLOOKUP(C3595,ListaAPUs!$B:$E,4,FALSE)</f>
        <v>10.77</v>
      </c>
      <c r="C3595" s="2441" t="str">
        <f>+ListaAPUs!B277</f>
        <v>Flexiconduit de 3/4"</v>
      </c>
      <c r="D3595" s="2441"/>
      <c r="E3595" s="2441"/>
      <c r="F3595" s="1665" t="s">
        <v>867</v>
      </c>
      <c r="G3595" s="1390" t="str">
        <f>+VLOOKUP(C3595,ListaAPUs!$B:$E,2,FALSE)</f>
        <v>m</v>
      </c>
      <c r="H3595" s="1524"/>
    </row>
    <row r="3596" spans="1:11" x14ac:dyDescent="0.25">
      <c r="A3596" s="1528"/>
      <c r="B3596" s="1527"/>
      <c r="C3596" s="1527"/>
      <c r="D3596" s="529"/>
      <c r="E3596" s="1527"/>
      <c r="F3596" s="1528"/>
      <c r="G3596" s="1524"/>
      <c r="H3596" s="1524"/>
    </row>
    <row r="3597" spans="1:11" x14ac:dyDescent="0.25">
      <c r="A3597" s="1528"/>
      <c r="B3597" s="1527"/>
      <c r="C3597" s="1527"/>
      <c r="D3597" s="529"/>
      <c r="E3597" s="1527"/>
      <c r="F3597" s="1528"/>
      <c r="G3597" s="1529"/>
      <c r="H3597" s="1524"/>
    </row>
    <row r="3598" spans="1:11" ht="15.75" thickBot="1" x14ac:dyDescent="0.3">
      <c r="A3598" s="1528"/>
      <c r="B3598" s="1527"/>
      <c r="C3598" s="1527"/>
      <c r="D3598" s="529"/>
      <c r="E3598" s="1527"/>
      <c r="F3598" s="1528"/>
      <c r="G3598" s="1524"/>
      <c r="H3598" s="1524"/>
    </row>
    <row r="3599" spans="1:11" ht="15.75" thickBot="1" x14ac:dyDescent="0.3">
      <c r="A3599" s="1368"/>
      <c r="B3599" s="1369" t="s">
        <v>5403</v>
      </c>
      <c r="C3599" s="1363" t="s">
        <v>867</v>
      </c>
      <c r="D3599" s="1120" t="s">
        <v>6</v>
      </c>
      <c r="E3599" s="1363" t="s">
        <v>9417</v>
      </c>
      <c r="F3599" s="1363" t="s">
        <v>5405</v>
      </c>
      <c r="G3599" s="1370" t="s">
        <v>7179</v>
      </c>
      <c r="H3599" s="1371"/>
      <c r="J3599" s="1637"/>
      <c r="K3599" s="1637"/>
    </row>
    <row r="3600" spans="1:11" x14ac:dyDescent="0.25">
      <c r="A3600" s="1528"/>
      <c r="B3600" s="1746" t="s">
        <v>9588</v>
      </c>
      <c r="C3600" s="1802" t="s">
        <v>5432</v>
      </c>
      <c r="D3600" s="1794">
        <v>1</v>
      </c>
      <c r="E3600" s="1803">
        <v>3150</v>
      </c>
      <c r="F3600" s="1804">
        <v>1</v>
      </c>
      <c r="G3600" s="1805">
        <f>+F3600*E3600*D3600</f>
        <v>3150</v>
      </c>
      <c r="H3600" s="1524"/>
      <c r="J3600" s="1637"/>
      <c r="K3600" s="1637"/>
    </row>
    <row r="3601" spans="1:11" x14ac:dyDescent="0.25">
      <c r="A3601" s="1528"/>
      <c r="B3601" s="1751" t="s">
        <v>9589</v>
      </c>
      <c r="C3601" s="1749" t="s">
        <v>5</v>
      </c>
      <c r="D3601" s="1773">
        <v>1</v>
      </c>
      <c r="E3601" s="1825">
        <v>1500</v>
      </c>
      <c r="F3601" s="1769">
        <v>1</v>
      </c>
      <c r="G3601" s="1786">
        <f>+F3601*E3601*D3601</f>
        <v>1500</v>
      </c>
      <c r="H3601" s="1524"/>
      <c r="J3601" s="1637"/>
      <c r="K3601" s="1637"/>
    </row>
    <row r="3602" spans="1:11" x14ac:dyDescent="0.25">
      <c r="A3602" s="1528"/>
      <c r="B3602" s="1822"/>
      <c r="C3602" s="1749"/>
      <c r="D3602" s="1773"/>
      <c r="E3602" s="1787"/>
      <c r="F3602" s="1769"/>
      <c r="G3602" s="1786"/>
      <c r="H3602" s="1524"/>
      <c r="J3602" s="1637"/>
      <c r="K3602" s="1637"/>
    </row>
    <row r="3603" spans="1:11" x14ac:dyDescent="0.25">
      <c r="A3603" s="1528"/>
      <c r="B3603" s="1822"/>
      <c r="C3603" s="1749"/>
      <c r="D3603" s="1773"/>
      <c r="E3603" s="1787"/>
      <c r="F3603" s="1769"/>
      <c r="G3603" s="1786"/>
      <c r="H3603" s="1524"/>
      <c r="J3603" s="1637"/>
      <c r="K3603" s="1637"/>
    </row>
    <row r="3604" spans="1:11" x14ac:dyDescent="0.25">
      <c r="A3604" s="1528"/>
      <c r="B3604" s="1822"/>
      <c r="C3604" s="1749"/>
      <c r="D3604" s="1773"/>
      <c r="E3604" s="1787"/>
      <c r="F3604" s="1769"/>
      <c r="G3604" s="1786"/>
      <c r="H3604" s="1524"/>
      <c r="J3604" s="1637"/>
      <c r="K3604" s="1637"/>
    </row>
    <row r="3605" spans="1:11" x14ac:dyDescent="0.25">
      <c r="A3605" s="1528"/>
      <c r="B3605" s="1822"/>
      <c r="C3605" s="1749"/>
      <c r="D3605" s="1773"/>
      <c r="E3605" s="1787"/>
      <c r="F3605" s="1769"/>
      <c r="G3605" s="1786"/>
      <c r="H3605" s="1524"/>
      <c r="J3605" s="1637"/>
      <c r="K3605" s="1637"/>
    </row>
    <row r="3606" spans="1:11" x14ac:dyDescent="0.25">
      <c r="A3606" s="1528"/>
      <c r="B3606" s="1667"/>
      <c r="C3606" s="1537"/>
      <c r="D3606" s="212"/>
      <c r="E3606" s="816"/>
      <c r="F3606" s="1563"/>
      <c r="G3606" s="814"/>
      <c r="H3606" s="1524"/>
      <c r="J3606" s="1637"/>
      <c r="K3606" s="1637"/>
    </row>
    <row r="3607" spans="1:11" x14ac:dyDescent="0.25">
      <c r="A3607" s="1528"/>
      <c r="B3607" s="1667"/>
      <c r="C3607" s="1537"/>
      <c r="D3607" s="212"/>
      <c r="E3607" s="816"/>
      <c r="F3607" s="1563"/>
      <c r="G3607" s="814"/>
      <c r="H3607" s="1524"/>
      <c r="J3607" s="1637"/>
      <c r="K3607" s="1637"/>
    </row>
    <row r="3608" spans="1:11" x14ac:dyDescent="0.25">
      <c r="A3608" s="1528"/>
      <c r="B3608" s="1667"/>
      <c r="C3608" s="1537"/>
      <c r="D3608" s="212"/>
      <c r="E3608" s="816"/>
      <c r="F3608" s="1563"/>
      <c r="G3608" s="814"/>
      <c r="H3608" s="1524"/>
      <c r="J3608" s="1637"/>
      <c r="K3608" s="1637"/>
    </row>
    <row r="3609" spans="1:11" x14ac:dyDescent="0.25">
      <c r="A3609" s="1528"/>
      <c r="B3609" s="1667"/>
      <c r="C3609" s="1537"/>
      <c r="D3609" s="212"/>
      <c r="E3609" s="816"/>
      <c r="F3609" s="1563"/>
      <c r="G3609" s="814"/>
      <c r="H3609" s="1524"/>
      <c r="J3609" s="1637"/>
      <c r="K3609" s="1637"/>
    </row>
    <row r="3610" spans="1:11" x14ac:dyDescent="0.25">
      <c r="A3610" s="1528"/>
      <c r="B3610" s="1667"/>
      <c r="C3610" s="1537"/>
      <c r="D3610" s="212"/>
      <c r="E3610" s="816"/>
      <c r="F3610" s="1563"/>
      <c r="G3610" s="814"/>
      <c r="H3610" s="1524"/>
      <c r="J3610" s="1637"/>
      <c r="K3610" s="1637"/>
    </row>
    <row r="3611" spans="1:11" x14ac:dyDescent="0.25">
      <c r="A3611" s="1528"/>
      <c r="B3611" s="269"/>
      <c r="C3611" s="1537"/>
      <c r="D3611" s="212"/>
      <c r="E3611" s="816"/>
      <c r="F3611" s="1563"/>
      <c r="G3611" s="814"/>
      <c r="H3611" s="1524"/>
      <c r="J3611" s="1637"/>
      <c r="K3611" s="1637"/>
    </row>
    <row r="3612" spans="1:11" x14ac:dyDescent="0.25">
      <c r="A3612" s="1528"/>
      <c r="B3612" s="268"/>
      <c r="C3612" s="1534"/>
      <c r="D3612" s="211"/>
      <c r="E3612" s="1535" t="s">
        <v>7182</v>
      </c>
      <c r="F3612" s="1551"/>
      <c r="G3612" s="1541" t="s">
        <v>7182</v>
      </c>
      <c r="H3612" s="1524"/>
      <c r="J3612" s="1637"/>
      <c r="K3612" s="1637"/>
    </row>
    <row r="3613" spans="1:11" x14ac:dyDescent="0.25">
      <c r="A3613" s="1528"/>
      <c r="B3613" s="1346"/>
      <c r="C3613" s="1534"/>
      <c r="D3613" s="211"/>
      <c r="E3613" s="1535" t="s">
        <v>7182</v>
      </c>
      <c r="F3613" s="1551"/>
      <c r="G3613" s="1541" t="s">
        <v>7182</v>
      </c>
      <c r="H3613" s="1524"/>
      <c r="J3613" s="1637"/>
      <c r="K3613" s="1637"/>
    </row>
    <row r="3614" spans="1:11" ht="15.75" thickBot="1" x14ac:dyDescent="0.3">
      <c r="A3614" s="1528"/>
      <c r="B3614" s="1540"/>
      <c r="C3614" s="1537"/>
      <c r="D3614" s="952"/>
      <c r="E3614" s="1538" t="s">
        <v>7182</v>
      </c>
      <c r="F3614" s="1537"/>
      <c r="G3614" s="1541" t="s">
        <v>7182</v>
      </c>
      <c r="H3614" s="1524"/>
      <c r="J3614" s="1637"/>
      <c r="K3614" s="1637"/>
    </row>
    <row r="3615" spans="1:11" ht="15.75" thickBot="1" x14ac:dyDescent="0.3">
      <c r="A3615" s="1528"/>
      <c r="B3615" s="1555"/>
      <c r="C3615" s="1557"/>
      <c r="D3615" s="956"/>
      <c r="E3615" s="1556" t="s">
        <v>7182</v>
      </c>
      <c r="F3615" s="1557"/>
      <c r="G3615" s="1558" t="s">
        <v>7182</v>
      </c>
      <c r="H3615" s="1546">
        <f>SUM(G3600:G3615)</f>
        <v>4650</v>
      </c>
      <c r="J3615" s="1637"/>
      <c r="K3615" s="1637"/>
    </row>
    <row r="3616" spans="1:11" x14ac:dyDescent="0.25">
      <c r="A3616" s="1528"/>
      <c r="B3616" s="1372"/>
      <c r="C3616" s="1374"/>
      <c r="D3616" s="1373"/>
      <c r="E3616" s="1372" t="s">
        <v>7182</v>
      </c>
      <c r="F3616" s="1374"/>
      <c r="G3616" s="1375" t="s">
        <v>7182</v>
      </c>
      <c r="H3616" s="1550"/>
      <c r="J3616" s="1637"/>
      <c r="K3616" s="1637"/>
    </row>
    <row r="3617" spans="1:11" ht="15.75" thickBot="1" x14ac:dyDescent="0.3">
      <c r="A3617" s="1527"/>
      <c r="B3617" s="188"/>
      <c r="C3617" s="189"/>
      <c r="D3617" s="1668"/>
      <c r="E3617" s="188"/>
      <c r="F3617" s="189"/>
      <c r="G3617" s="1669"/>
      <c r="H3617" s="1550"/>
      <c r="J3617" s="1637"/>
      <c r="K3617" s="1637"/>
    </row>
    <row r="3618" spans="1:11" ht="15.75" thickBot="1" x14ac:dyDescent="0.3">
      <c r="A3618" s="1527"/>
      <c r="B3618" s="1366" t="s">
        <v>9418</v>
      </c>
      <c r="C3618" s="1363" t="s">
        <v>867</v>
      </c>
      <c r="D3618" s="1120" t="s">
        <v>6</v>
      </c>
      <c r="E3618" s="1363" t="s">
        <v>7183</v>
      </c>
      <c r="F3618" s="1363" t="s">
        <v>5405</v>
      </c>
      <c r="G3618" s="1365" t="s">
        <v>7179</v>
      </c>
      <c r="H3618" s="1524"/>
      <c r="J3618" s="1637"/>
      <c r="K3618" s="1637"/>
    </row>
    <row r="3619" spans="1:11" x14ac:dyDescent="0.25">
      <c r="A3619" s="1527"/>
      <c r="B3619" s="1770" t="s">
        <v>5455</v>
      </c>
      <c r="C3619" s="1747" t="s">
        <v>5</v>
      </c>
      <c r="D3619" s="1772">
        <v>1</v>
      </c>
      <c r="E3619" s="1748">
        <v>1000</v>
      </c>
      <c r="F3619" s="1777">
        <v>0.2</v>
      </c>
      <c r="G3619" s="1783">
        <f>+F3619*E3619</f>
        <v>200</v>
      </c>
      <c r="H3619" s="1524"/>
      <c r="J3619" s="1637"/>
      <c r="K3619" s="1637"/>
    </row>
    <row r="3620" spans="1:11" x14ac:dyDescent="0.25">
      <c r="A3620" s="1527"/>
      <c r="B3620" s="1752"/>
      <c r="C3620" s="1749"/>
      <c r="D3620" s="1773"/>
      <c r="E3620" s="1748" t="s">
        <v>7182</v>
      </c>
      <c r="F3620" s="1749"/>
      <c r="G3620" s="1783" t="s">
        <v>7182</v>
      </c>
      <c r="H3620" s="1524"/>
      <c r="J3620" s="1637"/>
      <c r="K3620" s="1637"/>
    </row>
    <row r="3621" spans="1:11" x14ac:dyDescent="0.25">
      <c r="A3621" s="1527"/>
      <c r="B3621" s="1540"/>
      <c r="C3621" s="1537"/>
      <c r="D3621" s="212"/>
      <c r="E3621" s="1535" t="s">
        <v>7182</v>
      </c>
      <c r="F3621" s="1537"/>
      <c r="G3621" s="1572" t="s">
        <v>7182</v>
      </c>
      <c r="H3621" s="1524"/>
      <c r="J3621" s="1637"/>
      <c r="K3621" s="1637"/>
    </row>
    <row r="3622" spans="1:11" ht="15.75" thickBot="1" x14ac:dyDescent="0.3">
      <c r="A3622" s="1527"/>
      <c r="B3622" s="1540"/>
      <c r="C3622" s="1537"/>
      <c r="D3622" s="212"/>
      <c r="E3622" s="1535" t="s">
        <v>7182</v>
      </c>
      <c r="F3622" s="1537"/>
      <c r="G3622" s="1572" t="s">
        <v>7182</v>
      </c>
      <c r="H3622" s="1524"/>
      <c r="J3622" s="1637"/>
      <c r="K3622" s="1637"/>
    </row>
    <row r="3623" spans="1:11" ht="15.75" thickBot="1" x14ac:dyDescent="0.3">
      <c r="A3623" s="1527"/>
      <c r="B3623" s="1555"/>
      <c r="C3623" s="1556"/>
      <c r="D3623" s="956"/>
      <c r="E3623" s="1556" t="s">
        <v>7182</v>
      </c>
      <c r="F3623" s="1557"/>
      <c r="G3623" s="1558" t="s">
        <v>7182</v>
      </c>
      <c r="H3623" s="1546">
        <f>SUM(G3619:G3623)</f>
        <v>200</v>
      </c>
      <c r="J3623" s="1637"/>
      <c r="K3623" s="1637"/>
    </row>
    <row r="3624" spans="1:11" ht="15.75" thickBot="1" x14ac:dyDescent="0.3">
      <c r="A3624" s="1527"/>
      <c r="B3624" s="1376"/>
      <c r="C3624" s="1353"/>
      <c r="D3624" s="1355"/>
      <c r="E3624" s="1352"/>
      <c r="F3624" s="1377"/>
      <c r="G3624" s="1378"/>
      <c r="H3624" s="1524"/>
      <c r="J3624" s="1637"/>
      <c r="K3624" s="1637"/>
    </row>
    <row r="3625" spans="1:11" ht="15.75" thickBot="1" x14ac:dyDescent="0.3">
      <c r="A3625" s="1527"/>
      <c r="B3625" s="1366" t="s">
        <v>5410</v>
      </c>
      <c r="C3625" s="1363" t="s">
        <v>867</v>
      </c>
      <c r="D3625" s="1120" t="s">
        <v>6</v>
      </c>
      <c r="E3625" s="1363" t="s">
        <v>7183</v>
      </c>
      <c r="F3625" s="1363" t="s">
        <v>5405</v>
      </c>
      <c r="G3625" s="1365" t="s">
        <v>7179</v>
      </c>
      <c r="H3625" s="1524"/>
      <c r="J3625" s="1637"/>
      <c r="K3625" s="1637"/>
    </row>
    <row r="3626" spans="1:11" ht="25.5" x14ac:dyDescent="0.25">
      <c r="A3626" s="1527"/>
      <c r="B3626" s="1770" t="s">
        <v>9421</v>
      </c>
      <c r="C3626" s="1747" t="s">
        <v>9023</v>
      </c>
      <c r="D3626" s="1772">
        <v>1</v>
      </c>
      <c r="E3626" s="1748">
        <v>2000</v>
      </c>
      <c r="F3626" s="1777">
        <v>0.05</v>
      </c>
      <c r="G3626" s="1783">
        <f>+F3626*E3626</f>
        <v>100</v>
      </c>
      <c r="H3626" s="1524"/>
      <c r="J3626" s="1637"/>
      <c r="K3626" s="1637"/>
    </row>
    <row r="3627" spans="1:11" x14ac:dyDescent="0.25">
      <c r="A3627" s="1527"/>
      <c r="B3627" s="1752"/>
      <c r="C3627" s="1749"/>
      <c r="D3627" s="1773"/>
      <c r="E3627" s="1748" t="s">
        <v>7182</v>
      </c>
      <c r="F3627" s="1749"/>
      <c r="G3627" s="1783" t="s">
        <v>7182</v>
      </c>
      <c r="H3627" s="1524"/>
      <c r="J3627" s="1637"/>
      <c r="K3627" s="1637"/>
    </row>
    <row r="3628" spans="1:11" x14ac:dyDescent="0.25">
      <c r="A3628" s="1527"/>
      <c r="B3628" s="1752"/>
      <c r="C3628" s="1749"/>
      <c r="D3628" s="1773"/>
      <c r="E3628" s="1748" t="s">
        <v>7182</v>
      </c>
      <c r="F3628" s="1749"/>
      <c r="G3628" s="1783" t="s">
        <v>7182</v>
      </c>
      <c r="H3628" s="1524"/>
      <c r="J3628" s="1637"/>
      <c r="K3628" s="1637"/>
    </row>
    <row r="3629" spans="1:11" ht="15.75" thickBot="1" x14ac:dyDescent="0.3">
      <c r="A3629" s="1527"/>
      <c r="B3629" s="1752"/>
      <c r="C3629" s="1749"/>
      <c r="D3629" s="1773"/>
      <c r="E3629" s="1748" t="s">
        <v>7182</v>
      </c>
      <c r="F3629" s="1749"/>
      <c r="G3629" s="1783" t="s">
        <v>7182</v>
      </c>
      <c r="H3629" s="1524"/>
      <c r="J3629" s="1637"/>
      <c r="K3629" s="1637"/>
    </row>
    <row r="3630" spans="1:11" ht="15.75" thickBot="1" x14ac:dyDescent="0.3">
      <c r="A3630" s="1527"/>
      <c r="B3630" s="1761"/>
      <c r="C3630" s="1762"/>
      <c r="D3630" s="1793"/>
      <c r="E3630" s="1762" t="s">
        <v>7182</v>
      </c>
      <c r="F3630" s="1763"/>
      <c r="G3630" s="1764" t="s">
        <v>7182</v>
      </c>
      <c r="H3630" s="1546">
        <f>SUM(G3626:G3630)</f>
        <v>100</v>
      </c>
      <c r="J3630" s="1637"/>
      <c r="K3630" s="1637"/>
    </row>
    <row r="3631" spans="1:11" ht="15.75" thickBot="1" x14ac:dyDescent="0.3">
      <c r="A3631" s="1527"/>
      <c r="B3631" s="1547"/>
      <c r="C3631" s="1547"/>
      <c r="D3631" s="954"/>
      <c r="E3631" s="1547"/>
      <c r="F3631" s="1553"/>
      <c r="G3631" s="1554"/>
      <c r="H3631" s="1550"/>
    </row>
    <row r="3632" spans="1:11" ht="15.75" thickBot="1" x14ac:dyDescent="0.3">
      <c r="A3632" s="1559"/>
      <c r="B3632" s="1369" t="s">
        <v>5412</v>
      </c>
      <c r="C3632" s="1363" t="s">
        <v>5420</v>
      </c>
      <c r="D3632" s="1120" t="s">
        <v>5421</v>
      </c>
      <c r="E3632" s="1363" t="s">
        <v>7187</v>
      </c>
      <c r="F3632" s="1363" t="s">
        <v>5405</v>
      </c>
      <c r="G3632" s="1370" t="s">
        <v>7179</v>
      </c>
      <c r="H3632" s="1371"/>
    </row>
    <row r="3633" spans="1:11" x14ac:dyDescent="0.25">
      <c r="A3633" s="1527"/>
      <c r="B3633" s="1767" t="s">
        <v>9422</v>
      </c>
      <c r="C3633" s="1778">
        <v>170000</v>
      </c>
      <c r="D3633" s="1779">
        <f>0.6*C3633</f>
        <v>102000</v>
      </c>
      <c r="E3633" s="1778">
        <f>+D3633+C3633</f>
        <v>272000</v>
      </c>
      <c r="F3633" s="1790">
        <v>0.01</v>
      </c>
      <c r="G3633" s="1789">
        <f>+F3633*E3633</f>
        <v>2720</v>
      </c>
      <c r="H3633" s="1524"/>
    </row>
    <row r="3634" spans="1:11" x14ac:dyDescent="0.25">
      <c r="A3634" s="1527"/>
      <c r="B3634" s="1767"/>
      <c r="C3634" s="1778"/>
      <c r="D3634" s="1779"/>
      <c r="E3634" s="1778"/>
      <c r="F3634" s="1790"/>
      <c r="G3634" s="1789"/>
      <c r="H3634" s="1524"/>
    </row>
    <row r="3635" spans="1:11" x14ac:dyDescent="0.25">
      <c r="A3635" s="1527"/>
      <c r="B3635" s="1561"/>
      <c r="C3635" s="1569"/>
      <c r="D3635" s="1569"/>
      <c r="E3635" s="1569"/>
      <c r="F3635" s="817"/>
      <c r="G3635" s="818"/>
      <c r="H3635" s="1524"/>
    </row>
    <row r="3636" spans="1:11" x14ac:dyDescent="0.25">
      <c r="A3636" s="1527"/>
      <c r="B3636" s="1540"/>
      <c r="C3636" s="1569"/>
      <c r="D3636" s="1569"/>
      <c r="E3636" s="1569"/>
      <c r="F3636" s="817"/>
      <c r="G3636" s="818"/>
      <c r="H3636" s="1524"/>
    </row>
    <row r="3637" spans="1:11" x14ac:dyDescent="0.25">
      <c r="A3637" s="1527"/>
      <c r="B3637" s="1540"/>
      <c r="C3637" s="1538" t="s">
        <v>7182</v>
      </c>
      <c r="D3637" s="952" t="s">
        <v>7182</v>
      </c>
      <c r="E3637" s="1538" t="s">
        <v>7182</v>
      </c>
      <c r="F3637" s="817"/>
      <c r="G3637" s="818" t="str">
        <f>IF(B3637="","",E3637/F3637)</f>
        <v/>
      </c>
      <c r="H3637" s="1524"/>
    </row>
    <row r="3638" spans="1:11" ht="15.75" thickBot="1" x14ac:dyDescent="0.3">
      <c r="A3638" s="1527"/>
      <c r="B3638" s="1540"/>
      <c r="C3638" s="1538" t="s">
        <v>7182</v>
      </c>
      <c r="D3638" s="952" t="s">
        <v>7182</v>
      </c>
      <c r="E3638" s="1538" t="s">
        <v>7182</v>
      </c>
      <c r="F3638" s="1537"/>
      <c r="G3638" s="818" t="str">
        <f>IF(B3638="","",E3638/F3638)</f>
        <v/>
      </c>
      <c r="H3638" s="1524"/>
    </row>
    <row r="3639" spans="1:11" ht="15.75" thickBot="1" x14ac:dyDescent="0.3">
      <c r="A3639" s="1527"/>
      <c r="B3639" s="1555"/>
      <c r="C3639" s="1556"/>
      <c r="D3639" s="956"/>
      <c r="E3639" s="1556"/>
      <c r="F3639" s="1557"/>
      <c r="G3639" s="1558"/>
      <c r="H3639" s="1546">
        <f>SUM(G3633:G3639)</f>
        <v>2720</v>
      </c>
    </row>
    <row r="3640" spans="1:11" ht="15.75" thickBot="1" x14ac:dyDescent="0.3">
      <c r="A3640" s="1527"/>
      <c r="B3640" s="1527"/>
      <c r="C3640" s="1527"/>
      <c r="D3640" s="529"/>
      <c r="F3640" s="1528"/>
      <c r="G3640" s="1524"/>
      <c r="H3640" s="1524"/>
    </row>
    <row r="3641" spans="1:11" ht="15.75" thickBot="1" x14ac:dyDescent="0.3">
      <c r="A3641" s="1647" t="s">
        <v>6744</v>
      </c>
      <c r="B3641" s="1352"/>
      <c r="C3641" s="1352"/>
      <c r="D3641" s="1671"/>
      <c r="E3641" s="1672"/>
      <c r="F3641" s="1353"/>
      <c r="G3641" s="1527" t="s">
        <v>5415</v>
      </c>
      <c r="H3641" s="502">
        <f>ROUND(SUM(H3599:H3640),0)</f>
        <v>7670</v>
      </c>
      <c r="J3641" s="1673">
        <f>+B3595</f>
        <v>10.77</v>
      </c>
      <c r="K3641" s="1674">
        <f>+H3641</f>
        <v>7670</v>
      </c>
    </row>
    <row r="3642" spans="1:11" x14ac:dyDescent="0.25">
      <c r="A3642" s="1675"/>
      <c r="B3642" s="1676"/>
      <c r="C3642" s="1676"/>
      <c r="D3642" s="1677"/>
      <c r="E3642" s="1678"/>
      <c r="F3642" s="1679"/>
      <c r="G3642" s="1680"/>
      <c r="H3642" s="1680"/>
    </row>
    <row r="3643" spans="1:11" ht="18.75" x14ac:dyDescent="0.25">
      <c r="A3643" s="1523"/>
      <c r="B3643" s="1655"/>
      <c r="C3643" s="1655"/>
      <c r="D3643" s="950"/>
      <c r="E3643" s="1655"/>
      <c r="F3643" s="1655"/>
      <c r="G3643" s="1655"/>
      <c r="H3643" s="8"/>
    </row>
    <row r="3644" spans="1:11" x14ac:dyDescent="0.25">
      <c r="A3644" s="1523"/>
      <c r="B3644" s="8"/>
      <c r="C3644" s="8"/>
      <c r="D3644" s="529"/>
      <c r="E3644" s="8"/>
      <c r="F3644" s="1523"/>
      <c r="G3644" s="1524"/>
      <c r="H3644" s="8"/>
    </row>
    <row r="3645" spans="1:11" ht="20.25" customHeight="1" x14ac:dyDescent="0.25">
      <c r="A3645" s="1665" t="s">
        <v>3</v>
      </c>
      <c r="B3645" s="1666">
        <f>+VLOOKUP(C3645,ListaAPUs!$B:$E,4,FALSE)</f>
        <v>10.78</v>
      </c>
      <c r="C3645" s="2441" t="str">
        <f>+ListaAPUs!B278</f>
        <v>Transmisor de nivel tipo sonda Hidrostática</v>
      </c>
      <c r="D3645" s="2441"/>
      <c r="E3645" s="2441"/>
      <c r="F3645" s="1665" t="s">
        <v>867</v>
      </c>
      <c r="G3645" s="1390" t="str">
        <f>+VLOOKUP(C3645,ListaAPUs!$B:$E,2,FALSE)</f>
        <v>un</v>
      </c>
      <c r="H3645" s="1524"/>
    </row>
    <row r="3646" spans="1:11" x14ac:dyDescent="0.25">
      <c r="A3646" s="1528"/>
      <c r="B3646" s="1527"/>
      <c r="C3646" s="1527"/>
      <c r="D3646" s="529"/>
      <c r="E3646" s="1527"/>
      <c r="F3646" s="1528"/>
      <c r="G3646" s="1524"/>
      <c r="H3646" s="1524"/>
    </row>
    <row r="3647" spans="1:11" x14ac:dyDescent="0.25">
      <c r="A3647" s="1528"/>
      <c r="B3647" s="1527"/>
      <c r="C3647" s="1527"/>
      <c r="D3647" s="529"/>
      <c r="E3647" s="1527"/>
      <c r="F3647" s="1528"/>
      <c r="G3647" s="1529"/>
      <c r="H3647" s="1524"/>
      <c r="J3647" s="1637"/>
      <c r="K3647" s="1637"/>
    </row>
    <row r="3648" spans="1:11" ht="15.75" thickBot="1" x14ac:dyDescent="0.3">
      <c r="A3648" s="1528"/>
      <c r="B3648" s="1527"/>
      <c r="C3648" s="1527"/>
      <c r="D3648" s="529"/>
      <c r="E3648" s="1527"/>
      <c r="F3648" s="1528"/>
      <c r="G3648" s="1524"/>
      <c r="H3648" s="1524"/>
      <c r="J3648" s="1637"/>
      <c r="K3648" s="1637"/>
    </row>
    <row r="3649" spans="1:11" ht="15.75" thickBot="1" x14ac:dyDescent="0.3">
      <c r="A3649" s="1368"/>
      <c r="B3649" s="1369" t="s">
        <v>5403</v>
      </c>
      <c r="C3649" s="1363" t="s">
        <v>867</v>
      </c>
      <c r="D3649" s="1120" t="s">
        <v>6</v>
      </c>
      <c r="E3649" s="1363" t="s">
        <v>9417</v>
      </c>
      <c r="F3649" s="1363" t="s">
        <v>5405</v>
      </c>
      <c r="G3649" s="1370" t="s">
        <v>7179</v>
      </c>
      <c r="H3649" s="1371"/>
      <c r="J3649" s="1637"/>
      <c r="K3649" s="1637"/>
    </row>
    <row r="3650" spans="1:11" ht="25.5" x14ac:dyDescent="0.25">
      <c r="A3650" s="1528"/>
      <c r="B3650" s="1533" t="s">
        <v>8253</v>
      </c>
      <c r="C3650" s="1348" t="s">
        <v>5</v>
      </c>
      <c r="D3650" s="967">
        <v>1</v>
      </c>
      <c r="E3650" s="1349">
        <f>6190800*1.19</f>
        <v>7367052</v>
      </c>
      <c r="F3650" s="1350">
        <v>1</v>
      </c>
      <c r="G3650" s="1351">
        <f>+F3650*E3650*D3650</f>
        <v>7367052</v>
      </c>
      <c r="H3650" s="1524"/>
      <c r="J3650" s="1637"/>
      <c r="K3650" s="1637"/>
    </row>
    <row r="3651" spans="1:11" ht="25.5" x14ac:dyDescent="0.25">
      <c r="A3651" s="1528"/>
      <c r="B3651" s="1539" t="s">
        <v>9590</v>
      </c>
      <c r="C3651" s="1537" t="s">
        <v>5</v>
      </c>
      <c r="D3651" s="212">
        <v>1</v>
      </c>
      <c r="E3651" s="1681">
        <v>120000</v>
      </c>
      <c r="F3651" s="1563">
        <v>1</v>
      </c>
      <c r="G3651" s="814">
        <f>+F3651*E3651*D3651</f>
        <v>120000</v>
      </c>
      <c r="H3651" s="1524"/>
      <c r="J3651" s="1637"/>
      <c r="K3651" s="1637"/>
    </row>
    <row r="3652" spans="1:11" x14ac:dyDescent="0.25">
      <c r="A3652" s="1528"/>
      <c r="B3652" s="1667" t="s">
        <v>9584</v>
      </c>
      <c r="C3652" s="1537" t="s">
        <v>5</v>
      </c>
      <c r="D3652" s="1563">
        <v>1</v>
      </c>
      <c r="E3652" s="1681">
        <v>12000</v>
      </c>
      <c r="F3652" s="1563">
        <v>1</v>
      </c>
      <c r="G3652" s="814">
        <f>+F3652*E3652*D3652</f>
        <v>12000</v>
      </c>
      <c r="H3652" s="1524"/>
      <c r="J3652" s="1637"/>
      <c r="K3652" s="1637"/>
    </row>
    <row r="3653" spans="1:11" x14ac:dyDescent="0.25">
      <c r="A3653" s="1528"/>
      <c r="B3653" s="1667"/>
      <c r="C3653" s="1537"/>
      <c r="D3653" s="212"/>
      <c r="E3653" s="816"/>
      <c r="F3653" s="1563"/>
      <c r="G3653" s="814"/>
      <c r="H3653" s="1524"/>
      <c r="J3653" s="1637"/>
      <c r="K3653" s="1637"/>
    </row>
    <row r="3654" spans="1:11" x14ac:dyDescent="0.25">
      <c r="A3654" s="1528"/>
      <c r="B3654" s="1667"/>
      <c r="C3654" s="1537"/>
      <c r="D3654" s="212"/>
      <c r="E3654" s="816"/>
      <c r="F3654" s="1563"/>
      <c r="G3654" s="814"/>
      <c r="H3654" s="1524"/>
      <c r="J3654" s="1637"/>
      <c r="K3654" s="1637"/>
    </row>
    <row r="3655" spans="1:11" x14ac:dyDescent="0.25">
      <c r="A3655" s="1528"/>
      <c r="B3655" s="1667"/>
      <c r="C3655" s="1537"/>
      <c r="D3655" s="212"/>
      <c r="E3655" s="816"/>
      <c r="F3655" s="1563"/>
      <c r="G3655" s="814"/>
      <c r="H3655" s="1524"/>
      <c r="J3655" s="1637"/>
      <c r="K3655" s="1637"/>
    </row>
    <row r="3656" spans="1:11" x14ac:dyDescent="0.25">
      <c r="A3656" s="1528"/>
      <c r="B3656" s="1667"/>
      <c r="C3656" s="1537"/>
      <c r="D3656" s="212"/>
      <c r="E3656" s="816"/>
      <c r="F3656" s="1563"/>
      <c r="G3656" s="814"/>
      <c r="H3656" s="1524"/>
      <c r="J3656" s="1637"/>
      <c r="K3656" s="1637"/>
    </row>
    <row r="3657" spans="1:11" x14ac:dyDescent="0.25">
      <c r="A3657" s="1528"/>
      <c r="B3657" s="1667"/>
      <c r="C3657" s="1537"/>
      <c r="D3657" s="212"/>
      <c r="E3657" s="816"/>
      <c r="F3657" s="1563"/>
      <c r="G3657" s="814"/>
      <c r="H3657" s="1524"/>
      <c r="J3657" s="1637"/>
      <c r="K3657" s="1637"/>
    </row>
    <row r="3658" spans="1:11" x14ac:dyDescent="0.25">
      <c r="A3658" s="1528"/>
      <c r="B3658" s="1667"/>
      <c r="C3658" s="1537"/>
      <c r="D3658" s="212"/>
      <c r="E3658" s="816"/>
      <c r="F3658" s="1563"/>
      <c r="G3658" s="814"/>
      <c r="H3658" s="1524"/>
      <c r="J3658" s="1637"/>
      <c r="K3658" s="1637"/>
    </row>
    <row r="3659" spans="1:11" x14ac:dyDescent="0.25">
      <c r="A3659" s="1528"/>
      <c r="B3659" s="1667"/>
      <c r="C3659" s="1537"/>
      <c r="D3659" s="212"/>
      <c r="E3659" s="816"/>
      <c r="F3659" s="1563"/>
      <c r="G3659" s="814"/>
      <c r="H3659" s="1524"/>
      <c r="J3659" s="1637"/>
      <c r="K3659" s="1637"/>
    </row>
    <row r="3660" spans="1:11" x14ac:dyDescent="0.25">
      <c r="A3660" s="1528"/>
      <c r="B3660" s="1667"/>
      <c r="C3660" s="1537"/>
      <c r="D3660" s="212"/>
      <c r="E3660" s="816"/>
      <c r="F3660" s="1563"/>
      <c r="G3660" s="814"/>
      <c r="H3660" s="1524"/>
      <c r="J3660" s="1637"/>
      <c r="K3660" s="1637"/>
    </row>
    <row r="3661" spans="1:11" x14ac:dyDescent="0.25">
      <c r="A3661" s="1528"/>
      <c r="B3661" s="269"/>
      <c r="C3661" s="1537"/>
      <c r="D3661" s="212"/>
      <c r="E3661" s="816"/>
      <c r="F3661" s="1563"/>
      <c r="G3661" s="814"/>
      <c r="H3661" s="1524"/>
      <c r="J3661" s="1637"/>
      <c r="K3661" s="1637"/>
    </row>
    <row r="3662" spans="1:11" x14ac:dyDescent="0.25">
      <c r="A3662" s="1528"/>
      <c r="B3662" s="268"/>
      <c r="C3662" s="1534"/>
      <c r="D3662" s="211"/>
      <c r="E3662" s="1535" t="s">
        <v>7182</v>
      </c>
      <c r="F3662" s="1551"/>
      <c r="G3662" s="1541" t="s">
        <v>7182</v>
      </c>
      <c r="H3662" s="1524"/>
      <c r="J3662" s="1637"/>
      <c r="K3662" s="1637"/>
    </row>
    <row r="3663" spans="1:11" x14ac:dyDescent="0.25">
      <c r="A3663" s="1528"/>
      <c r="B3663" s="1346"/>
      <c r="C3663" s="1534"/>
      <c r="D3663" s="211"/>
      <c r="E3663" s="1535" t="s">
        <v>7182</v>
      </c>
      <c r="F3663" s="1551"/>
      <c r="G3663" s="1541" t="s">
        <v>7182</v>
      </c>
      <c r="H3663" s="1524"/>
      <c r="J3663" s="1637"/>
      <c r="K3663" s="1637"/>
    </row>
    <row r="3664" spans="1:11" ht="15.75" thickBot="1" x14ac:dyDescent="0.3">
      <c r="A3664" s="1528"/>
      <c r="B3664" s="1540"/>
      <c r="C3664" s="1537"/>
      <c r="D3664" s="952"/>
      <c r="E3664" s="1538" t="s">
        <v>7182</v>
      </c>
      <c r="F3664" s="1537"/>
      <c r="G3664" s="1541" t="s">
        <v>7182</v>
      </c>
      <c r="H3664" s="1524"/>
      <c r="J3664" s="1637"/>
      <c r="K3664" s="1637"/>
    </row>
    <row r="3665" spans="1:11" ht="15.75" thickBot="1" x14ac:dyDescent="0.3">
      <c r="A3665" s="1528"/>
      <c r="B3665" s="1555"/>
      <c r="C3665" s="1557"/>
      <c r="D3665" s="956"/>
      <c r="E3665" s="1556" t="s">
        <v>7182</v>
      </c>
      <c r="F3665" s="1557"/>
      <c r="G3665" s="1558" t="s">
        <v>7182</v>
      </c>
      <c r="H3665" s="1546">
        <f>SUM(G3650:G3665)</f>
        <v>7499052</v>
      </c>
      <c r="J3665" s="1637"/>
      <c r="K3665" s="1637"/>
    </row>
    <row r="3666" spans="1:11" x14ac:dyDescent="0.25">
      <c r="A3666" s="1528"/>
      <c r="B3666" s="1372"/>
      <c r="C3666" s="1374"/>
      <c r="D3666" s="1373"/>
      <c r="E3666" s="1372" t="s">
        <v>7182</v>
      </c>
      <c r="F3666" s="1374"/>
      <c r="G3666" s="1375" t="s">
        <v>7182</v>
      </c>
      <c r="H3666" s="1550"/>
      <c r="J3666" s="1637"/>
      <c r="K3666" s="1637"/>
    </row>
    <row r="3667" spans="1:11" ht="15.75" thickBot="1" x14ac:dyDescent="0.3">
      <c r="A3667" s="1527"/>
      <c r="B3667" s="188"/>
      <c r="C3667" s="189"/>
      <c r="D3667" s="1668"/>
      <c r="E3667" s="188"/>
      <c r="F3667" s="189"/>
      <c r="G3667" s="1669"/>
      <c r="H3667" s="1550"/>
      <c r="J3667" s="1637"/>
      <c r="K3667" s="1637"/>
    </row>
    <row r="3668" spans="1:11" ht="15.75" thickBot="1" x14ac:dyDescent="0.3">
      <c r="A3668" s="1527"/>
      <c r="B3668" s="1366" t="s">
        <v>9418</v>
      </c>
      <c r="C3668" s="1363" t="s">
        <v>867</v>
      </c>
      <c r="D3668" s="1120" t="s">
        <v>6</v>
      </c>
      <c r="E3668" s="1363" t="s">
        <v>7183</v>
      </c>
      <c r="F3668" s="1363" t="s">
        <v>5405</v>
      </c>
      <c r="G3668" s="1365" t="s">
        <v>7179</v>
      </c>
      <c r="H3668" s="1524"/>
      <c r="J3668" s="1637"/>
      <c r="K3668" s="1637"/>
    </row>
    <row r="3669" spans="1:11" x14ac:dyDescent="0.25">
      <c r="A3669" s="1527"/>
      <c r="B3669" s="1564" t="s">
        <v>5455</v>
      </c>
      <c r="C3669" s="1534" t="s">
        <v>5</v>
      </c>
      <c r="D3669" s="211">
        <v>1</v>
      </c>
      <c r="E3669" s="1535">
        <v>20000</v>
      </c>
      <c r="F3669" s="297">
        <v>1</v>
      </c>
      <c r="G3669" s="1572">
        <f>+F3669*E3669</f>
        <v>20000</v>
      </c>
      <c r="H3669" s="1524"/>
      <c r="J3669" s="1637"/>
      <c r="K3669" s="1637"/>
    </row>
    <row r="3670" spans="1:11" x14ac:dyDescent="0.25">
      <c r="A3670" s="1527"/>
      <c r="B3670" s="1540"/>
      <c r="C3670" s="1537"/>
      <c r="D3670" s="212"/>
      <c r="E3670" s="1535" t="s">
        <v>7182</v>
      </c>
      <c r="F3670" s="1537"/>
      <c r="G3670" s="1572" t="s">
        <v>7182</v>
      </c>
      <c r="H3670" s="1524"/>
      <c r="J3670" s="1637"/>
      <c r="K3670" s="1637"/>
    </row>
    <row r="3671" spans="1:11" x14ac:dyDescent="0.25">
      <c r="A3671" s="1527"/>
      <c r="B3671" s="1540"/>
      <c r="C3671" s="1537"/>
      <c r="D3671" s="212"/>
      <c r="E3671" s="1535" t="s">
        <v>7182</v>
      </c>
      <c r="F3671" s="1537"/>
      <c r="G3671" s="1572" t="s">
        <v>7182</v>
      </c>
      <c r="H3671" s="1524"/>
      <c r="J3671" s="1637"/>
      <c r="K3671" s="1637"/>
    </row>
    <row r="3672" spans="1:11" ht="15.75" thickBot="1" x14ac:dyDescent="0.3">
      <c r="A3672" s="1527"/>
      <c r="B3672" s="1540"/>
      <c r="C3672" s="1537"/>
      <c r="D3672" s="212"/>
      <c r="E3672" s="1535" t="s">
        <v>7182</v>
      </c>
      <c r="F3672" s="1537"/>
      <c r="G3672" s="1572" t="s">
        <v>7182</v>
      </c>
      <c r="H3672" s="1524"/>
      <c r="J3672" s="1637"/>
      <c r="K3672" s="1637"/>
    </row>
    <row r="3673" spans="1:11" ht="15.75" thickBot="1" x14ac:dyDescent="0.3">
      <c r="A3673" s="1527"/>
      <c r="B3673" s="1555"/>
      <c r="C3673" s="1556"/>
      <c r="D3673" s="956"/>
      <c r="E3673" s="1556" t="s">
        <v>7182</v>
      </c>
      <c r="F3673" s="1557"/>
      <c r="G3673" s="1558" t="s">
        <v>7182</v>
      </c>
      <c r="H3673" s="1546">
        <f>SUM(G3669:G3673)</f>
        <v>20000</v>
      </c>
      <c r="J3673" s="1637"/>
      <c r="K3673" s="1637"/>
    </row>
    <row r="3674" spans="1:11" ht="15.75" thickBot="1" x14ac:dyDescent="0.3">
      <c r="A3674" s="1527"/>
      <c r="B3674" s="1376"/>
      <c r="C3674" s="1353"/>
      <c r="D3674" s="1355"/>
      <c r="E3674" s="1352"/>
      <c r="F3674" s="1377"/>
      <c r="G3674" s="1378"/>
      <c r="H3674" s="1524"/>
      <c r="J3674" s="1637"/>
      <c r="K3674" s="1637"/>
    </row>
    <row r="3675" spans="1:11" ht="15.75" thickBot="1" x14ac:dyDescent="0.3">
      <c r="A3675" s="1527"/>
      <c r="B3675" s="1366" t="s">
        <v>5410</v>
      </c>
      <c r="C3675" s="1363" t="s">
        <v>867</v>
      </c>
      <c r="D3675" s="1120" t="s">
        <v>6</v>
      </c>
      <c r="E3675" s="1363" t="s">
        <v>7183</v>
      </c>
      <c r="F3675" s="1363" t="s">
        <v>5405</v>
      </c>
      <c r="G3675" s="1365" t="s">
        <v>7179</v>
      </c>
      <c r="H3675" s="1524"/>
      <c r="J3675" s="1637"/>
      <c r="K3675" s="1637"/>
    </row>
    <row r="3676" spans="1:11" ht="25.5" x14ac:dyDescent="0.25">
      <c r="A3676" s="1527"/>
      <c r="B3676" s="1564" t="s">
        <v>9421</v>
      </c>
      <c r="C3676" s="1534" t="s">
        <v>9023</v>
      </c>
      <c r="D3676" s="211">
        <v>1</v>
      </c>
      <c r="E3676" s="1535">
        <v>50000</v>
      </c>
      <c r="F3676" s="297">
        <v>1</v>
      </c>
      <c r="G3676" s="1572">
        <f>+F3676*E3676</f>
        <v>50000</v>
      </c>
      <c r="H3676" s="1524"/>
      <c r="J3676" s="1637"/>
      <c r="K3676" s="1637"/>
    </row>
    <row r="3677" spans="1:11" x14ac:dyDescent="0.25">
      <c r="A3677" s="1527"/>
      <c r="B3677" s="1540"/>
      <c r="C3677" s="1537"/>
      <c r="D3677" s="212"/>
      <c r="E3677" s="1535" t="s">
        <v>7182</v>
      </c>
      <c r="F3677" s="1537"/>
      <c r="G3677" s="1572" t="s">
        <v>7182</v>
      </c>
      <c r="H3677" s="1524"/>
      <c r="J3677" s="1637"/>
      <c r="K3677" s="1637"/>
    </row>
    <row r="3678" spans="1:11" x14ac:dyDescent="0.25">
      <c r="A3678" s="1527"/>
      <c r="B3678" s="1540"/>
      <c r="C3678" s="1537"/>
      <c r="D3678" s="212"/>
      <c r="E3678" s="1535" t="s">
        <v>7182</v>
      </c>
      <c r="F3678" s="1537"/>
      <c r="G3678" s="1572" t="s">
        <v>7182</v>
      </c>
      <c r="H3678" s="1524"/>
      <c r="J3678" s="1637"/>
      <c r="K3678" s="1637"/>
    </row>
    <row r="3679" spans="1:11" ht="15.75" thickBot="1" x14ac:dyDescent="0.3">
      <c r="A3679" s="1527"/>
      <c r="B3679" s="1540"/>
      <c r="C3679" s="1537"/>
      <c r="D3679" s="212"/>
      <c r="E3679" s="1535" t="s">
        <v>7182</v>
      </c>
      <c r="F3679" s="1537"/>
      <c r="G3679" s="1572" t="s">
        <v>7182</v>
      </c>
      <c r="H3679" s="1524"/>
    </row>
    <row r="3680" spans="1:11" ht="15.75" thickBot="1" x14ac:dyDescent="0.3">
      <c r="A3680" s="1527"/>
      <c r="B3680" s="1555"/>
      <c r="C3680" s="1556"/>
      <c r="D3680" s="956"/>
      <c r="E3680" s="1556" t="s">
        <v>7182</v>
      </c>
      <c r="F3680" s="1557"/>
      <c r="G3680" s="1558" t="s">
        <v>7182</v>
      </c>
      <c r="H3680" s="1546">
        <f>SUM(G3676:G3680)</f>
        <v>50000</v>
      </c>
    </row>
    <row r="3681" spans="1:11" ht="15.75" thickBot="1" x14ac:dyDescent="0.3">
      <c r="A3681" s="1527"/>
      <c r="B3681" s="1547"/>
      <c r="C3681" s="1547"/>
      <c r="D3681" s="954"/>
      <c r="E3681" s="1547"/>
      <c r="F3681" s="1553"/>
      <c r="G3681" s="1554"/>
      <c r="H3681" s="1550"/>
    </row>
    <row r="3682" spans="1:11" ht="15.75" thickBot="1" x14ac:dyDescent="0.3">
      <c r="A3682" s="1559"/>
      <c r="B3682" s="1369" t="s">
        <v>5412</v>
      </c>
      <c r="C3682" s="1363" t="s">
        <v>5420</v>
      </c>
      <c r="D3682" s="1120" t="s">
        <v>5421</v>
      </c>
      <c r="E3682" s="1363" t="s">
        <v>7187</v>
      </c>
      <c r="F3682" s="1363" t="s">
        <v>5405</v>
      </c>
      <c r="G3682" s="1370" t="s">
        <v>7179</v>
      </c>
      <c r="H3682" s="1371"/>
    </row>
    <row r="3683" spans="1:11" x14ac:dyDescent="0.25">
      <c r="A3683" s="1527"/>
      <c r="B3683" s="1560" t="s">
        <v>9422</v>
      </c>
      <c r="C3683" s="1569">
        <v>170000</v>
      </c>
      <c r="D3683" s="352">
        <f>0.6*C3683</f>
        <v>102000</v>
      </c>
      <c r="E3683" s="1569">
        <f>+D3683+C3683</f>
        <v>272000</v>
      </c>
      <c r="F3683" s="819">
        <v>1.5</v>
      </c>
      <c r="G3683" s="818">
        <f>+F3683*E3683</f>
        <v>408000</v>
      </c>
      <c r="H3683" s="1524"/>
    </row>
    <row r="3684" spans="1:11" x14ac:dyDescent="0.25">
      <c r="A3684" s="1527"/>
      <c r="B3684" s="1560" t="s">
        <v>9591</v>
      </c>
      <c r="C3684" s="1569">
        <v>1200000</v>
      </c>
      <c r="D3684" s="1569">
        <f>+C3684*0.8</f>
        <v>960000</v>
      </c>
      <c r="E3684" s="1569">
        <f>+D3684+C3684</f>
        <v>2160000</v>
      </c>
      <c r="F3684" s="819">
        <v>0.2</v>
      </c>
      <c r="G3684" s="818">
        <f>+F3684*E3684</f>
        <v>432000</v>
      </c>
      <c r="H3684" s="1524"/>
    </row>
    <row r="3685" spans="1:11" x14ac:dyDescent="0.25">
      <c r="A3685" s="1527"/>
      <c r="B3685" s="1561"/>
      <c r="C3685" s="1569"/>
      <c r="D3685" s="1569"/>
      <c r="E3685" s="1569"/>
      <c r="F3685" s="817"/>
      <c r="G3685" s="818"/>
      <c r="H3685" s="1524"/>
    </row>
    <row r="3686" spans="1:11" x14ac:dyDescent="0.25">
      <c r="A3686" s="1527"/>
      <c r="B3686" s="1540"/>
      <c r="C3686" s="1569"/>
      <c r="D3686" s="1569"/>
      <c r="E3686" s="1569"/>
      <c r="F3686" s="817"/>
      <c r="G3686" s="818"/>
      <c r="H3686" s="1524"/>
    </row>
    <row r="3687" spans="1:11" x14ac:dyDescent="0.25">
      <c r="A3687" s="1527"/>
      <c r="B3687" s="1540"/>
      <c r="C3687" s="1538" t="s">
        <v>7182</v>
      </c>
      <c r="D3687" s="952" t="s">
        <v>7182</v>
      </c>
      <c r="E3687" s="1538" t="s">
        <v>7182</v>
      </c>
      <c r="F3687" s="817"/>
      <c r="G3687" s="818" t="str">
        <f>IF(B3687="","",E3687/F3687)</f>
        <v/>
      </c>
      <c r="H3687" s="1524"/>
    </row>
    <row r="3688" spans="1:11" ht="15.75" thickBot="1" x14ac:dyDescent="0.3">
      <c r="A3688" s="1527"/>
      <c r="B3688" s="1540"/>
      <c r="C3688" s="1538" t="s">
        <v>7182</v>
      </c>
      <c r="D3688" s="952" t="s">
        <v>7182</v>
      </c>
      <c r="E3688" s="1538" t="s">
        <v>7182</v>
      </c>
      <c r="F3688" s="1537"/>
      <c r="G3688" s="818" t="str">
        <f>IF(B3688="","",E3688/F3688)</f>
        <v/>
      </c>
      <c r="H3688" s="1524"/>
    </row>
    <row r="3689" spans="1:11" ht="15.75" thickBot="1" x14ac:dyDescent="0.3">
      <c r="A3689" s="1527"/>
      <c r="B3689" s="1555"/>
      <c r="C3689" s="1556"/>
      <c r="D3689" s="956"/>
      <c r="E3689" s="1556"/>
      <c r="F3689" s="1557"/>
      <c r="G3689" s="1558"/>
      <c r="H3689" s="1546">
        <f>SUM(G3683:G3689)</f>
        <v>840000</v>
      </c>
    </row>
    <row r="3690" spans="1:11" ht="15.75" thickBot="1" x14ac:dyDescent="0.3">
      <c r="A3690" s="1527"/>
      <c r="B3690" s="1527"/>
      <c r="C3690" s="1527"/>
      <c r="D3690" s="529"/>
      <c r="F3690" s="1528"/>
      <c r="G3690" s="1524"/>
      <c r="H3690" s="1524"/>
    </row>
    <row r="3691" spans="1:11" ht="15.75" thickBot="1" x14ac:dyDescent="0.3">
      <c r="A3691" s="1647" t="s">
        <v>6744</v>
      </c>
      <c r="B3691" s="1352"/>
      <c r="C3691" s="1352"/>
      <c r="D3691" s="1671"/>
      <c r="E3691" s="1672"/>
      <c r="F3691" s="1353"/>
      <c r="G3691" s="1527" t="s">
        <v>5415</v>
      </c>
      <c r="H3691" s="502">
        <f>ROUND(SUM(H3649:H3690),0)</f>
        <v>8409052</v>
      </c>
      <c r="J3691" s="1673">
        <f>+B3645</f>
        <v>10.78</v>
      </c>
      <c r="K3691" s="1674">
        <f>+H3691</f>
        <v>8409052</v>
      </c>
    </row>
    <row r="3692" spans="1:11" x14ac:dyDescent="0.25">
      <c r="A3692" s="1675"/>
      <c r="B3692" s="1676"/>
      <c r="C3692" s="1676"/>
      <c r="D3692" s="1677"/>
      <c r="E3692" s="1678"/>
      <c r="F3692" s="1679"/>
      <c r="G3692" s="1680"/>
      <c r="H3692" s="1680"/>
    </row>
    <row r="3693" spans="1:11" ht="18.75" x14ac:dyDescent="0.25">
      <c r="A3693" s="1523"/>
      <c r="B3693" s="1655"/>
      <c r="C3693" s="1655"/>
      <c r="D3693" s="950"/>
      <c r="E3693" s="1655"/>
      <c r="F3693" s="1655"/>
      <c r="G3693" s="1655"/>
      <c r="H3693" s="8"/>
    </row>
    <row r="3694" spans="1:11" x14ac:dyDescent="0.25">
      <c r="A3694" s="1523"/>
      <c r="B3694" s="8"/>
      <c r="C3694" s="8"/>
      <c r="D3694" s="529"/>
      <c r="E3694" s="8"/>
      <c r="F3694" s="1523"/>
      <c r="G3694" s="1524"/>
      <c r="H3694" s="8"/>
    </row>
    <row r="3695" spans="1:11" ht="20.25" customHeight="1" x14ac:dyDescent="0.25">
      <c r="A3695" s="1665" t="s">
        <v>3</v>
      </c>
      <c r="B3695" s="1666">
        <f>+VLOOKUP(C3695,ListaAPUs!$B:$E,4,FALSE)</f>
        <v>10.79</v>
      </c>
      <c r="C3695" s="2441" t="str">
        <f>+ListaAPUs!B279</f>
        <v>Interruptor de nivel tipo pera</v>
      </c>
      <c r="D3695" s="2441"/>
      <c r="E3695" s="2441"/>
      <c r="F3695" s="1665" t="s">
        <v>867</v>
      </c>
      <c r="G3695" s="1390" t="str">
        <f>+VLOOKUP(C3695,ListaAPUs!$B:$E,2,FALSE)</f>
        <v>un</v>
      </c>
      <c r="H3695" s="1524"/>
    </row>
    <row r="3696" spans="1:11" x14ac:dyDescent="0.25">
      <c r="A3696" s="1528"/>
      <c r="B3696" s="1527"/>
      <c r="C3696" s="1527"/>
      <c r="D3696" s="529"/>
      <c r="E3696" s="1527"/>
      <c r="F3696" s="1528"/>
      <c r="G3696" s="1524"/>
      <c r="H3696" s="1524"/>
      <c r="J3696" s="1637"/>
      <c r="K3696" s="1637"/>
    </row>
    <row r="3697" spans="1:11" x14ac:dyDescent="0.25">
      <c r="A3697" s="1528"/>
      <c r="B3697" s="1527"/>
      <c r="C3697" s="1527"/>
      <c r="D3697" s="529"/>
      <c r="E3697" s="1527"/>
      <c r="F3697" s="1528"/>
      <c r="G3697" s="1529"/>
      <c r="H3697" s="1524"/>
      <c r="J3697" s="1637"/>
      <c r="K3697" s="1637"/>
    </row>
    <row r="3698" spans="1:11" ht="15.75" thickBot="1" x14ac:dyDescent="0.3">
      <c r="A3698" s="1528"/>
      <c r="B3698" s="1527"/>
      <c r="C3698" s="1527"/>
      <c r="D3698" s="529"/>
      <c r="E3698" s="1527"/>
      <c r="F3698" s="1528"/>
      <c r="G3698" s="1524"/>
      <c r="H3698" s="1524"/>
      <c r="J3698" s="1637"/>
      <c r="K3698" s="1637"/>
    </row>
    <row r="3699" spans="1:11" ht="15.75" thickBot="1" x14ac:dyDescent="0.3">
      <c r="A3699" s="1368"/>
      <c r="B3699" s="1369" t="s">
        <v>5403</v>
      </c>
      <c r="C3699" s="1363" t="s">
        <v>867</v>
      </c>
      <c r="D3699" s="1120" t="s">
        <v>6</v>
      </c>
      <c r="E3699" s="1363" t="s">
        <v>9417</v>
      </c>
      <c r="F3699" s="1363" t="s">
        <v>5405</v>
      </c>
      <c r="G3699" s="1370" t="s">
        <v>7179</v>
      </c>
      <c r="H3699" s="1371"/>
      <c r="J3699" s="1637"/>
      <c r="K3699" s="1637"/>
    </row>
    <row r="3700" spans="1:11" x14ac:dyDescent="0.25">
      <c r="A3700" s="1528"/>
      <c r="B3700" s="1533" t="s">
        <v>9592</v>
      </c>
      <c r="C3700" s="1348" t="s">
        <v>5</v>
      </c>
      <c r="D3700" s="967">
        <v>1</v>
      </c>
      <c r="E3700" s="1349">
        <v>150000</v>
      </c>
      <c r="F3700" s="1350">
        <v>1</v>
      </c>
      <c r="G3700" s="1351">
        <f>+F3700*E3700*D3700</f>
        <v>150000</v>
      </c>
      <c r="H3700" s="1524"/>
      <c r="J3700" s="1637"/>
      <c r="K3700" s="1637"/>
    </row>
    <row r="3701" spans="1:11" x14ac:dyDescent="0.25">
      <c r="A3701" s="1528"/>
      <c r="B3701" s="1539" t="s">
        <v>9546</v>
      </c>
      <c r="C3701" s="1537" t="s">
        <v>5</v>
      </c>
      <c r="D3701" s="212">
        <v>1</v>
      </c>
      <c r="E3701" s="1681">
        <v>1500</v>
      </c>
      <c r="F3701" s="1563">
        <v>1</v>
      </c>
      <c r="G3701" s="814">
        <f>+F3701*E3701*D3701</f>
        <v>1500</v>
      </c>
      <c r="H3701" s="1524"/>
      <c r="J3701" s="1637"/>
      <c r="K3701" s="1637"/>
    </row>
    <row r="3702" spans="1:11" x14ac:dyDescent="0.25">
      <c r="A3702" s="1528"/>
      <c r="B3702" s="1667" t="s">
        <v>9581</v>
      </c>
      <c r="C3702" s="1537" t="s">
        <v>5</v>
      </c>
      <c r="D3702" s="1563">
        <v>1</v>
      </c>
      <c r="E3702" s="1681">
        <v>2500</v>
      </c>
      <c r="F3702" s="1563">
        <v>1</v>
      </c>
      <c r="G3702" s="814">
        <f>+F3702*E3702*D3702</f>
        <v>2500</v>
      </c>
      <c r="H3702" s="1524"/>
      <c r="J3702" s="1637"/>
      <c r="K3702" s="1637"/>
    </row>
    <row r="3703" spans="1:11" x14ac:dyDescent="0.25">
      <c r="A3703" s="1528"/>
      <c r="B3703" s="1667"/>
      <c r="C3703" s="1537"/>
      <c r="D3703" s="212"/>
      <c r="E3703" s="816"/>
      <c r="F3703" s="1563"/>
      <c r="G3703" s="814"/>
      <c r="H3703" s="1524"/>
      <c r="J3703" s="1637"/>
      <c r="K3703" s="1637"/>
    </row>
    <row r="3704" spans="1:11" x14ac:dyDescent="0.25">
      <c r="A3704" s="1528"/>
      <c r="B3704" s="1667"/>
      <c r="C3704" s="1537"/>
      <c r="D3704" s="212"/>
      <c r="E3704" s="816"/>
      <c r="F3704" s="1563"/>
      <c r="G3704" s="814"/>
      <c r="H3704" s="1524"/>
      <c r="J3704" s="1637"/>
      <c r="K3704" s="1637"/>
    </row>
    <row r="3705" spans="1:11" x14ac:dyDescent="0.25">
      <c r="A3705" s="1528"/>
      <c r="B3705" s="1667"/>
      <c r="C3705" s="1537"/>
      <c r="D3705" s="212"/>
      <c r="E3705" s="816"/>
      <c r="F3705" s="1563"/>
      <c r="G3705" s="814"/>
      <c r="H3705" s="1524"/>
      <c r="J3705" s="1637"/>
      <c r="K3705" s="1637"/>
    </row>
    <row r="3706" spans="1:11" x14ac:dyDescent="0.25">
      <c r="A3706" s="1528"/>
      <c r="B3706" s="1667"/>
      <c r="C3706" s="1537"/>
      <c r="D3706" s="212"/>
      <c r="E3706" s="816"/>
      <c r="F3706" s="1563"/>
      <c r="G3706" s="814"/>
      <c r="H3706" s="1524"/>
      <c r="J3706" s="1637"/>
      <c r="K3706" s="1637"/>
    </row>
    <row r="3707" spans="1:11" x14ac:dyDescent="0.25">
      <c r="A3707" s="1528"/>
      <c r="B3707" s="1667"/>
      <c r="C3707" s="1537"/>
      <c r="D3707" s="212"/>
      <c r="E3707" s="816"/>
      <c r="F3707" s="1563"/>
      <c r="G3707" s="814"/>
      <c r="H3707" s="1524"/>
      <c r="J3707" s="1637"/>
      <c r="K3707" s="1637"/>
    </row>
    <row r="3708" spans="1:11" x14ac:dyDescent="0.25">
      <c r="A3708" s="1528"/>
      <c r="B3708" s="1667"/>
      <c r="C3708" s="1537"/>
      <c r="D3708" s="212"/>
      <c r="E3708" s="816"/>
      <c r="F3708" s="1563"/>
      <c r="G3708" s="814"/>
      <c r="H3708" s="1524"/>
      <c r="J3708" s="1637"/>
      <c r="K3708" s="1637"/>
    </row>
    <row r="3709" spans="1:11" x14ac:dyDescent="0.25">
      <c r="A3709" s="1528"/>
      <c r="B3709" s="1667"/>
      <c r="C3709" s="1537"/>
      <c r="D3709" s="212"/>
      <c r="E3709" s="816"/>
      <c r="F3709" s="1563"/>
      <c r="G3709" s="814"/>
      <c r="H3709" s="1524"/>
      <c r="J3709" s="1637"/>
      <c r="K3709" s="1637"/>
    </row>
    <row r="3710" spans="1:11" x14ac:dyDescent="0.25">
      <c r="A3710" s="1528"/>
      <c r="B3710" s="1667"/>
      <c r="C3710" s="1537"/>
      <c r="D3710" s="212"/>
      <c r="E3710" s="816"/>
      <c r="F3710" s="1563"/>
      <c r="G3710" s="814"/>
      <c r="H3710" s="1524"/>
      <c r="J3710" s="1637"/>
      <c r="K3710" s="1637"/>
    </row>
    <row r="3711" spans="1:11" x14ac:dyDescent="0.25">
      <c r="A3711" s="1528"/>
      <c r="B3711" s="269"/>
      <c r="C3711" s="1537"/>
      <c r="D3711" s="212"/>
      <c r="E3711" s="816"/>
      <c r="F3711" s="1563"/>
      <c r="G3711" s="814"/>
      <c r="H3711" s="1524"/>
      <c r="J3711" s="1637"/>
      <c r="K3711" s="1637"/>
    </row>
    <row r="3712" spans="1:11" x14ac:dyDescent="0.25">
      <c r="A3712" s="1528"/>
      <c r="B3712" s="268"/>
      <c r="C3712" s="1534"/>
      <c r="D3712" s="211"/>
      <c r="E3712" s="1535" t="s">
        <v>7182</v>
      </c>
      <c r="F3712" s="1551"/>
      <c r="G3712" s="1541" t="s">
        <v>7182</v>
      </c>
      <c r="H3712" s="1524"/>
      <c r="J3712" s="1637"/>
      <c r="K3712" s="1637"/>
    </row>
    <row r="3713" spans="1:11" x14ac:dyDescent="0.25">
      <c r="A3713" s="1528"/>
      <c r="B3713" s="1346"/>
      <c r="C3713" s="1534"/>
      <c r="D3713" s="211"/>
      <c r="E3713" s="1535" t="s">
        <v>7182</v>
      </c>
      <c r="F3713" s="1551"/>
      <c r="G3713" s="1541" t="s">
        <v>7182</v>
      </c>
      <c r="H3713" s="1524"/>
      <c r="J3713" s="1637"/>
      <c r="K3713" s="1637"/>
    </row>
    <row r="3714" spans="1:11" ht="15.75" thickBot="1" x14ac:dyDescent="0.3">
      <c r="A3714" s="1528"/>
      <c r="B3714" s="1540"/>
      <c r="C3714" s="1537"/>
      <c r="D3714" s="952"/>
      <c r="E3714" s="1538" t="s">
        <v>7182</v>
      </c>
      <c r="F3714" s="1537"/>
      <c r="G3714" s="1541" t="s">
        <v>7182</v>
      </c>
      <c r="H3714" s="1524"/>
      <c r="J3714" s="1637"/>
      <c r="K3714" s="1637"/>
    </row>
    <row r="3715" spans="1:11" ht="15.75" thickBot="1" x14ac:dyDescent="0.3">
      <c r="A3715" s="1528"/>
      <c r="B3715" s="1555"/>
      <c r="C3715" s="1557"/>
      <c r="D3715" s="956"/>
      <c r="E3715" s="1556" t="s">
        <v>7182</v>
      </c>
      <c r="F3715" s="1557"/>
      <c r="G3715" s="1558" t="s">
        <v>7182</v>
      </c>
      <c r="H3715" s="1546">
        <f>SUM(G3700:G3715)</f>
        <v>154000</v>
      </c>
      <c r="J3715" s="1637"/>
      <c r="K3715" s="1637"/>
    </row>
    <row r="3716" spans="1:11" x14ac:dyDescent="0.25">
      <c r="A3716" s="1528"/>
      <c r="B3716" s="1372"/>
      <c r="C3716" s="1374"/>
      <c r="D3716" s="1373"/>
      <c r="E3716" s="1372" t="s">
        <v>7182</v>
      </c>
      <c r="F3716" s="1374"/>
      <c r="G3716" s="1375" t="s">
        <v>7182</v>
      </c>
      <c r="H3716" s="1550"/>
      <c r="J3716" s="1637"/>
      <c r="K3716" s="1637"/>
    </row>
    <row r="3717" spans="1:11" ht="15.75" thickBot="1" x14ac:dyDescent="0.3">
      <c r="A3717" s="1527"/>
      <c r="B3717" s="188"/>
      <c r="C3717" s="189"/>
      <c r="D3717" s="1668"/>
      <c r="E3717" s="188"/>
      <c r="F3717" s="189"/>
      <c r="G3717" s="1669"/>
      <c r="H3717" s="1550"/>
      <c r="J3717" s="1637"/>
      <c r="K3717" s="1637"/>
    </row>
    <row r="3718" spans="1:11" ht="15.75" thickBot="1" x14ac:dyDescent="0.3">
      <c r="A3718" s="1527"/>
      <c r="B3718" s="1366" t="s">
        <v>9418</v>
      </c>
      <c r="C3718" s="1363" t="s">
        <v>867</v>
      </c>
      <c r="D3718" s="1120" t="s">
        <v>6</v>
      </c>
      <c r="E3718" s="1363" t="s">
        <v>7183</v>
      </c>
      <c r="F3718" s="1363" t="s">
        <v>5405</v>
      </c>
      <c r="G3718" s="1365" t="s">
        <v>7179</v>
      </c>
      <c r="H3718" s="1524"/>
      <c r="J3718" s="1637"/>
      <c r="K3718" s="1637"/>
    </row>
    <row r="3719" spans="1:11" x14ac:dyDescent="0.25">
      <c r="A3719" s="1527"/>
      <c r="B3719" s="1564" t="s">
        <v>5455</v>
      </c>
      <c r="C3719" s="1534" t="s">
        <v>5</v>
      </c>
      <c r="D3719" s="211">
        <v>1</v>
      </c>
      <c r="E3719" s="1535">
        <v>5000</v>
      </c>
      <c r="F3719" s="297">
        <v>0.1</v>
      </c>
      <c r="G3719" s="1572">
        <f>+F3719*E3719</f>
        <v>500</v>
      </c>
      <c r="H3719" s="1524"/>
      <c r="J3719" s="1637"/>
      <c r="K3719" s="1637"/>
    </row>
    <row r="3720" spans="1:11" x14ac:dyDescent="0.25">
      <c r="A3720" s="1527"/>
      <c r="B3720" s="1540"/>
      <c r="C3720" s="1537"/>
      <c r="D3720" s="212"/>
      <c r="E3720" s="1535" t="s">
        <v>7182</v>
      </c>
      <c r="F3720" s="1537"/>
      <c r="G3720" s="1572" t="s">
        <v>7182</v>
      </c>
      <c r="H3720" s="1524"/>
      <c r="J3720" s="1637"/>
      <c r="K3720" s="1637"/>
    </row>
    <row r="3721" spans="1:11" x14ac:dyDescent="0.25">
      <c r="A3721" s="1527"/>
      <c r="B3721" s="1540"/>
      <c r="C3721" s="1537"/>
      <c r="D3721" s="212"/>
      <c r="E3721" s="1535" t="s">
        <v>7182</v>
      </c>
      <c r="F3721" s="1537"/>
      <c r="G3721" s="1572" t="s">
        <v>7182</v>
      </c>
      <c r="H3721" s="1524"/>
      <c r="J3721" s="1637"/>
      <c r="K3721" s="1637"/>
    </row>
    <row r="3722" spans="1:11" ht="15.75" thickBot="1" x14ac:dyDescent="0.3">
      <c r="A3722" s="1527"/>
      <c r="B3722" s="1540"/>
      <c r="C3722" s="1537"/>
      <c r="D3722" s="212"/>
      <c r="E3722" s="1535" t="s">
        <v>7182</v>
      </c>
      <c r="F3722" s="1537"/>
      <c r="G3722" s="1572" t="s">
        <v>7182</v>
      </c>
      <c r="H3722" s="1524"/>
      <c r="J3722" s="1637"/>
      <c r="K3722" s="1637"/>
    </row>
    <row r="3723" spans="1:11" ht="15.75" thickBot="1" x14ac:dyDescent="0.3">
      <c r="A3723" s="1527"/>
      <c r="B3723" s="1555"/>
      <c r="C3723" s="1556"/>
      <c r="D3723" s="956"/>
      <c r="E3723" s="1556" t="s">
        <v>7182</v>
      </c>
      <c r="F3723" s="1557"/>
      <c r="G3723" s="1558" t="s">
        <v>7182</v>
      </c>
      <c r="H3723" s="1546">
        <f>SUM(G3719:G3723)</f>
        <v>500</v>
      </c>
      <c r="J3723" s="1637"/>
      <c r="K3723" s="1637"/>
    </row>
    <row r="3724" spans="1:11" ht="15.75" thickBot="1" x14ac:dyDescent="0.3">
      <c r="A3724" s="1527"/>
      <c r="B3724" s="1376"/>
      <c r="C3724" s="1353"/>
      <c r="D3724" s="1355"/>
      <c r="E3724" s="1352"/>
      <c r="F3724" s="1377"/>
      <c r="G3724" s="1378"/>
      <c r="H3724" s="1524"/>
      <c r="J3724" s="1637"/>
      <c r="K3724" s="1637"/>
    </row>
    <row r="3725" spans="1:11" ht="15.75" thickBot="1" x14ac:dyDescent="0.3">
      <c r="A3725" s="1527"/>
      <c r="B3725" s="1366" t="s">
        <v>5410</v>
      </c>
      <c r="C3725" s="1363" t="s">
        <v>867</v>
      </c>
      <c r="D3725" s="1120" t="s">
        <v>6</v>
      </c>
      <c r="E3725" s="1363" t="s">
        <v>7183</v>
      </c>
      <c r="F3725" s="1363" t="s">
        <v>5405</v>
      </c>
      <c r="G3725" s="1365" t="s">
        <v>7179</v>
      </c>
      <c r="H3725" s="1524"/>
      <c r="J3725" s="1637"/>
      <c r="K3725" s="1637"/>
    </row>
    <row r="3726" spans="1:11" ht="25.5" x14ac:dyDescent="0.25">
      <c r="A3726" s="1527"/>
      <c r="B3726" s="1564" t="s">
        <v>9421</v>
      </c>
      <c r="C3726" s="1534" t="s">
        <v>9023</v>
      </c>
      <c r="D3726" s="211">
        <v>1</v>
      </c>
      <c r="E3726" s="1535">
        <v>10000</v>
      </c>
      <c r="F3726" s="297">
        <v>0.5</v>
      </c>
      <c r="G3726" s="1572">
        <f>+F3726*E3726</f>
        <v>5000</v>
      </c>
      <c r="H3726" s="1524"/>
      <c r="J3726" s="1637"/>
      <c r="K3726" s="1637"/>
    </row>
    <row r="3727" spans="1:11" x14ac:dyDescent="0.25">
      <c r="A3727" s="1527"/>
      <c r="B3727" s="1540"/>
      <c r="C3727" s="1537"/>
      <c r="D3727" s="212"/>
      <c r="E3727" s="1535" t="s">
        <v>7182</v>
      </c>
      <c r="F3727" s="1537"/>
      <c r="G3727" s="1572" t="s">
        <v>7182</v>
      </c>
      <c r="H3727" s="1524"/>
    </row>
    <row r="3728" spans="1:11" x14ac:dyDescent="0.25">
      <c r="A3728" s="1527"/>
      <c r="B3728" s="1540"/>
      <c r="C3728" s="1537"/>
      <c r="D3728" s="212"/>
      <c r="E3728" s="1535" t="s">
        <v>7182</v>
      </c>
      <c r="F3728" s="1537"/>
      <c r="G3728" s="1572" t="s">
        <v>7182</v>
      </c>
      <c r="H3728" s="1524"/>
    </row>
    <row r="3729" spans="1:11" ht="15.75" thickBot="1" x14ac:dyDescent="0.3">
      <c r="A3729" s="1527"/>
      <c r="B3729" s="1540"/>
      <c r="C3729" s="1537"/>
      <c r="D3729" s="212"/>
      <c r="E3729" s="1535" t="s">
        <v>7182</v>
      </c>
      <c r="F3729" s="1537"/>
      <c r="G3729" s="1572" t="s">
        <v>7182</v>
      </c>
      <c r="H3729" s="1524"/>
    </row>
    <row r="3730" spans="1:11" ht="15.75" thickBot="1" x14ac:dyDescent="0.3">
      <c r="A3730" s="1527"/>
      <c r="B3730" s="1555"/>
      <c r="C3730" s="1556"/>
      <c r="D3730" s="956"/>
      <c r="E3730" s="1556" t="s">
        <v>7182</v>
      </c>
      <c r="F3730" s="1557"/>
      <c r="G3730" s="1558" t="s">
        <v>7182</v>
      </c>
      <c r="H3730" s="1546">
        <f>SUM(G3726:G3730)</f>
        <v>5000</v>
      </c>
    </row>
    <row r="3731" spans="1:11" ht="15.75" thickBot="1" x14ac:dyDescent="0.3">
      <c r="A3731" s="1527"/>
      <c r="B3731" s="1547"/>
      <c r="C3731" s="1547"/>
      <c r="D3731" s="954"/>
      <c r="E3731" s="1547"/>
      <c r="F3731" s="1553"/>
      <c r="G3731" s="1554"/>
      <c r="H3731" s="1550"/>
    </row>
    <row r="3732" spans="1:11" ht="15.75" thickBot="1" x14ac:dyDescent="0.3">
      <c r="A3732" s="1559"/>
      <c r="B3732" s="1369" t="s">
        <v>5412</v>
      </c>
      <c r="C3732" s="1363" t="s">
        <v>5420</v>
      </c>
      <c r="D3732" s="1120" t="s">
        <v>5421</v>
      </c>
      <c r="E3732" s="1363" t="s">
        <v>7187</v>
      </c>
      <c r="F3732" s="1363" t="s">
        <v>5405</v>
      </c>
      <c r="G3732" s="1370" t="s">
        <v>7179</v>
      </c>
      <c r="H3732" s="1371"/>
    </row>
    <row r="3733" spans="1:11" x14ac:dyDescent="0.25">
      <c r="A3733" s="1527"/>
      <c r="B3733" s="1560" t="s">
        <v>9422</v>
      </c>
      <c r="C3733" s="1569">
        <v>170000</v>
      </c>
      <c r="D3733" s="352">
        <f>0.6*C3733</f>
        <v>102000</v>
      </c>
      <c r="E3733" s="1569">
        <f>+D3733+C3733</f>
        <v>272000</v>
      </c>
      <c r="F3733" s="819">
        <v>0.15</v>
      </c>
      <c r="G3733" s="818">
        <f>+F3733*E3733</f>
        <v>40800</v>
      </c>
      <c r="H3733" s="1524"/>
    </row>
    <row r="3734" spans="1:11" x14ac:dyDescent="0.25">
      <c r="A3734" s="1527"/>
      <c r="B3734" s="1560"/>
      <c r="C3734" s="1569"/>
      <c r="D3734" s="1569"/>
      <c r="E3734" s="1569"/>
      <c r="F3734" s="819"/>
      <c r="G3734" s="818"/>
      <c r="H3734" s="1524"/>
    </row>
    <row r="3735" spans="1:11" x14ac:dyDescent="0.25">
      <c r="A3735" s="1527"/>
      <c r="B3735" s="1561"/>
      <c r="C3735" s="1569"/>
      <c r="D3735" s="1569"/>
      <c r="E3735" s="1569"/>
      <c r="F3735" s="817"/>
      <c r="G3735" s="818"/>
      <c r="H3735" s="1524"/>
    </row>
    <row r="3736" spans="1:11" x14ac:dyDescent="0.25">
      <c r="A3736" s="1527"/>
      <c r="B3736" s="1540"/>
      <c r="C3736" s="1569"/>
      <c r="D3736" s="1569"/>
      <c r="E3736" s="1569"/>
      <c r="F3736" s="817"/>
      <c r="G3736" s="818"/>
      <c r="H3736" s="1524"/>
    </row>
    <row r="3737" spans="1:11" x14ac:dyDescent="0.25">
      <c r="A3737" s="1527"/>
      <c r="B3737" s="1540"/>
      <c r="C3737" s="1538" t="s">
        <v>7182</v>
      </c>
      <c r="D3737" s="952" t="s">
        <v>7182</v>
      </c>
      <c r="E3737" s="1538" t="s">
        <v>7182</v>
      </c>
      <c r="F3737" s="817"/>
      <c r="G3737" s="818" t="str">
        <f>IF(B3737="","",E3737/F3737)</f>
        <v/>
      </c>
      <c r="H3737" s="1524"/>
    </row>
    <row r="3738" spans="1:11" ht="15.75" thickBot="1" x14ac:dyDescent="0.3">
      <c r="A3738" s="1527"/>
      <c r="B3738" s="1540"/>
      <c r="C3738" s="1538" t="s">
        <v>7182</v>
      </c>
      <c r="D3738" s="952" t="s">
        <v>7182</v>
      </c>
      <c r="E3738" s="1538" t="s">
        <v>7182</v>
      </c>
      <c r="F3738" s="1537"/>
      <c r="G3738" s="818" t="str">
        <f>IF(B3738="","",E3738/F3738)</f>
        <v/>
      </c>
      <c r="H3738" s="1524"/>
    </row>
    <row r="3739" spans="1:11" ht="15.75" thickBot="1" x14ac:dyDescent="0.3">
      <c r="A3739" s="1527"/>
      <c r="B3739" s="1555"/>
      <c r="C3739" s="1556"/>
      <c r="D3739" s="956"/>
      <c r="E3739" s="1556"/>
      <c r="F3739" s="1557"/>
      <c r="G3739" s="1558"/>
      <c r="H3739" s="1546">
        <f>SUM(G3733:G3739)</f>
        <v>40800</v>
      </c>
    </row>
    <row r="3740" spans="1:11" ht="15.75" thickBot="1" x14ac:dyDescent="0.3">
      <c r="A3740" s="1527"/>
      <c r="B3740" s="1527"/>
      <c r="C3740" s="1527"/>
      <c r="D3740" s="529"/>
      <c r="F3740" s="1528"/>
      <c r="G3740" s="1524"/>
      <c r="H3740" s="1524"/>
    </row>
    <row r="3741" spans="1:11" ht="15.75" thickBot="1" x14ac:dyDescent="0.3">
      <c r="A3741" s="1647" t="s">
        <v>6744</v>
      </c>
      <c r="B3741" s="1352"/>
      <c r="C3741" s="1352"/>
      <c r="D3741" s="1671"/>
      <c r="E3741" s="1672"/>
      <c r="F3741" s="1353"/>
      <c r="G3741" s="1527" t="s">
        <v>5415</v>
      </c>
      <c r="H3741" s="502">
        <f>ROUND(SUM(H3699:H3740),0)</f>
        <v>200300</v>
      </c>
      <c r="J3741" s="1673">
        <f>+B3695</f>
        <v>10.79</v>
      </c>
      <c r="K3741" s="1674">
        <f>+H3741</f>
        <v>200300</v>
      </c>
    </row>
    <row r="3742" spans="1:11" x14ac:dyDescent="0.25">
      <c r="A3742" s="1675"/>
      <c r="B3742" s="1676"/>
      <c r="C3742" s="1676"/>
      <c r="D3742" s="1677"/>
      <c r="E3742" s="1678"/>
      <c r="F3742" s="1679"/>
      <c r="G3742" s="1680"/>
      <c r="H3742" s="1680"/>
    </row>
    <row r="3743" spans="1:11" ht="18.75" x14ac:dyDescent="0.25">
      <c r="A3743" s="1523"/>
      <c r="B3743" s="1655"/>
      <c r="C3743" s="1655"/>
      <c r="D3743" s="950"/>
      <c r="E3743" s="1655"/>
      <c r="F3743" s="1655"/>
      <c r="G3743" s="1655"/>
      <c r="H3743" s="8"/>
      <c r="J3743" s="1637"/>
      <c r="K3743" s="1637"/>
    </row>
    <row r="3744" spans="1:11" x14ac:dyDescent="0.25">
      <c r="A3744" s="1523"/>
      <c r="B3744" s="8"/>
      <c r="C3744" s="8"/>
      <c r="D3744" s="529"/>
      <c r="E3744" s="8"/>
      <c r="F3744" s="1523"/>
      <c r="G3744" s="1524"/>
      <c r="H3744" s="8"/>
      <c r="J3744" s="1637"/>
      <c r="K3744" s="1637"/>
    </row>
    <row r="3745" spans="1:11" ht="20.25" customHeight="1" x14ac:dyDescent="0.25">
      <c r="A3745" s="1665" t="s">
        <v>3</v>
      </c>
      <c r="B3745" s="1666">
        <f>+VLOOKUP(C3745,ListaAPUs!$B:$E,4,FALSE)</f>
        <v>10.8</v>
      </c>
      <c r="C3745" s="2441" t="str">
        <f>+ListaAPUs!B280</f>
        <v>PLANTA DE EMERGENCIA , capacidad 750 kva a nivel madrid, cundinamarca., 2300 V, 3 fases, 60 hz.</v>
      </c>
      <c r="D3745" s="2441"/>
      <c r="E3745" s="2441"/>
      <c r="F3745" s="1665" t="s">
        <v>867</v>
      </c>
      <c r="G3745" s="1390" t="str">
        <f>+VLOOKUP(C3745,ListaAPUs!$B:$E,2,FALSE)</f>
        <v>glb</v>
      </c>
      <c r="H3745" s="1524"/>
    </row>
    <row r="3746" spans="1:11" x14ac:dyDescent="0.25">
      <c r="A3746" s="1528"/>
      <c r="B3746" s="1527"/>
      <c r="C3746" s="1527"/>
      <c r="D3746" s="529"/>
      <c r="E3746" s="1527"/>
      <c r="F3746" s="1528"/>
      <c r="G3746" s="1524"/>
      <c r="H3746" s="1524"/>
      <c r="J3746" s="1637"/>
      <c r="K3746" s="1637"/>
    </row>
    <row r="3747" spans="1:11" x14ac:dyDescent="0.25">
      <c r="A3747" s="1528"/>
      <c r="B3747" s="1527"/>
      <c r="C3747" s="1527"/>
      <c r="D3747" s="529"/>
      <c r="E3747" s="1527"/>
      <c r="F3747" s="1528"/>
      <c r="G3747" s="1529"/>
      <c r="H3747" s="1524"/>
      <c r="J3747" s="1637"/>
      <c r="K3747" s="1637"/>
    </row>
    <row r="3748" spans="1:11" ht="15.75" thickBot="1" x14ac:dyDescent="0.3">
      <c r="A3748" s="1528"/>
      <c r="B3748" s="1527"/>
      <c r="C3748" s="1527"/>
      <c r="D3748" s="529"/>
      <c r="E3748" s="1527"/>
      <c r="F3748" s="1528"/>
      <c r="G3748" s="1524"/>
      <c r="H3748" s="1524"/>
      <c r="J3748" s="1637"/>
      <c r="K3748" s="1637"/>
    </row>
    <row r="3749" spans="1:11" ht="15.75" thickBot="1" x14ac:dyDescent="0.3">
      <c r="A3749" s="1368"/>
      <c r="B3749" s="1369" t="s">
        <v>5403</v>
      </c>
      <c r="C3749" s="1363" t="s">
        <v>867</v>
      </c>
      <c r="D3749" s="1120" t="s">
        <v>6</v>
      </c>
      <c r="E3749" s="1363" t="s">
        <v>9417</v>
      </c>
      <c r="F3749" s="1363" t="s">
        <v>5405</v>
      </c>
      <c r="G3749" s="1370" t="s">
        <v>7179</v>
      </c>
      <c r="H3749" s="1371"/>
      <c r="J3749" s="1637"/>
      <c r="K3749" s="1637"/>
    </row>
    <row r="3750" spans="1:11" ht="38.25" x14ac:dyDescent="0.25">
      <c r="A3750" s="1528"/>
      <c r="B3750" s="1751" t="s">
        <v>9624</v>
      </c>
      <c r="C3750" s="1749" t="s">
        <v>5</v>
      </c>
      <c r="D3750" s="1773">
        <v>1</v>
      </c>
      <c r="E3750" s="1827">
        <v>67000000</v>
      </c>
      <c r="F3750" s="1769">
        <v>0.1</v>
      </c>
      <c r="G3750" s="1786">
        <f t="shared" ref="G3750:G3765" si="25">+F3750*E3750*D3750</f>
        <v>6700000</v>
      </c>
      <c r="H3750" s="1524"/>
      <c r="J3750" s="1637"/>
      <c r="K3750" s="1637"/>
    </row>
    <row r="3751" spans="1:11" s="1742" customFormat="1" ht="38.25" x14ac:dyDescent="0.25">
      <c r="A3751" s="1745"/>
      <c r="B3751" s="1822" t="s">
        <v>9625</v>
      </c>
      <c r="C3751" s="1749" t="s">
        <v>5</v>
      </c>
      <c r="D3751" s="1773">
        <v>2</v>
      </c>
      <c r="E3751" s="1827">
        <v>8000000</v>
      </c>
      <c r="F3751" s="1769">
        <v>0.2</v>
      </c>
      <c r="G3751" s="1786">
        <f t="shared" si="25"/>
        <v>3200000</v>
      </c>
      <c r="H3751" s="1743"/>
    </row>
    <row r="3752" spans="1:11" s="1742" customFormat="1" ht="38.25" x14ac:dyDescent="0.25">
      <c r="A3752" s="1745"/>
      <c r="B3752" s="1822" t="s">
        <v>9626</v>
      </c>
      <c r="C3752" s="1749" t="s">
        <v>5</v>
      </c>
      <c r="D3752" s="1773">
        <v>12</v>
      </c>
      <c r="E3752" s="1827">
        <v>6000000</v>
      </c>
      <c r="F3752" s="1769">
        <v>0.2</v>
      </c>
      <c r="G3752" s="1786">
        <f t="shared" si="25"/>
        <v>14400000</v>
      </c>
      <c r="H3752" s="1743"/>
    </row>
    <row r="3753" spans="1:11" s="1742" customFormat="1" ht="25.5" x14ac:dyDescent="0.25">
      <c r="A3753" s="1745"/>
      <c r="B3753" s="1822" t="s">
        <v>9627</v>
      </c>
      <c r="C3753" s="1749" t="s">
        <v>5</v>
      </c>
      <c r="D3753" s="1773">
        <v>12</v>
      </c>
      <c r="E3753" s="1827">
        <v>2500000</v>
      </c>
      <c r="F3753" s="1769">
        <v>0.2</v>
      </c>
      <c r="G3753" s="1786">
        <f t="shared" si="25"/>
        <v>6000000</v>
      </c>
      <c r="H3753" s="1743"/>
    </row>
    <row r="3754" spans="1:11" s="1742" customFormat="1" ht="38.25" x14ac:dyDescent="0.25">
      <c r="A3754" s="1745"/>
      <c r="B3754" s="1822" t="s">
        <v>9628</v>
      </c>
      <c r="C3754" s="1749" t="s">
        <v>5</v>
      </c>
      <c r="D3754" s="1773">
        <v>12</v>
      </c>
      <c r="E3754" s="1827">
        <v>550000</v>
      </c>
      <c r="F3754" s="1769">
        <v>0.2</v>
      </c>
      <c r="G3754" s="1786">
        <f t="shared" si="25"/>
        <v>1320000</v>
      </c>
      <c r="H3754" s="1743"/>
    </row>
    <row r="3755" spans="1:11" s="1742" customFormat="1" x14ac:dyDescent="0.25">
      <c r="A3755" s="1745"/>
      <c r="B3755" s="1822" t="s">
        <v>9629</v>
      </c>
      <c r="C3755" s="1749" t="s">
        <v>8238</v>
      </c>
      <c r="D3755" s="1773">
        <v>12</v>
      </c>
      <c r="E3755" s="1827">
        <v>370000</v>
      </c>
      <c r="F3755" s="1769">
        <v>1</v>
      </c>
      <c r="G3755" s="1786">
        <f t="shared" si="25"/>
        <v>4440000</v>
      </c>
      <c r="H3755" s="1743"/>
    </row>
    <row r="3756" spans="1:11" s="1742" customFormat="1" ht="25.5" x14ac:dyDescent="0.25">
      <c r="A3756" s="1745"/>
      <c r="B3756" s="1822" t="s">
        <v>9630</v>
      </c>
      <c r="C3756" s="1749" t="s">
        <v>5</v>
      </c>
      <c r="D3756" s="1773">
        <v>2</v>
      </c>
      <c r="E3756" s="1827">
        <v>1190000</v>
      </c>
      <c r="F3756" s="1769">
        <v>1</v>
      </c>
      <c r="G3756" s="1786">
        <f t="shared" si="25"/>
        <v>2380000</v>
      </c>
      <c r="H3756" s="1743"/>
    </row>
    <row r="3757" spans="1:11" s="1742" customFormat="1" x14ac:dyDescent="0.25">
      <c r="A3757" s="1745"/>
      <c r="B3757" s="1822" t="s">
        <v>9631</v>
      </c>
      <c r="C3757" s="1749" t="s">
        <v>5</v>
      </c>
      <c r="D3757" s="1773">
        <v>2</v>
      </c>
      <c r="E3757" s="1827">
        <v>75000</v>
      </c>
      <c r="F3757" s="1769">
        <v>1</v>
      </c>
      <c r="G3757" s="1786">
        <f t="shared" si="25"/>
        <v>150000</v>
      </c>
      <c r="H3757" s="1743"/>
    </row>
    <row r="3758" spans="1:11" s="1742" customFormat="1" x14ac:dyDescent="0.25">
      <c r="A3758" s="1745"/>
      <c r="B3758" s="1822" t="s">
        <v>9632</v>
      </c>
      <c r="C3758" s="1749" t="s">
        <v>5</v>
      </c>
      <c r="D3758" s="1773">
        <v>2</v>
      </c>
      <c r="E3758" s="1827">
        <v>65000</v>
      </c>
      <c r="F3758" s="1769">
        <v>1</v>
      </c>
      <c r="G3758" s="1786">
        <f t="shared" si="25"/>
        <v>130000</v>
      </c>
      <c r="H3758" s="1743"/>
    </row>
    <row r="3759" spans="1:11" s="1742" customFormat="1" x14ac:dyDescent="0.25">
      <c r="A3759" s="1745"/>
      <c r="B3759" s="1822" t="s">
        <v>9633</v>
      </c>
      <c r="C3759" s="1749" t="s">
        <v>5</v>
      </c>
      <c r="D3759" s="1773">
        <v>1</v>
      </c>
      <c r="E3759" s="1827">
        <v>3500000</v>
      </c>
      <c r="F3759" s="1769">
        <v>0.2</v>
      </c>
      <c r="G3759" s="1786">
        <f t="shared" si="25"/>
        <v>700000</v>
      </c>
      <c r="H3759" s="1743"/>
    </row>
    <row r="3760" spans="1:11" s="1742" customFormat="1" x14ac:dyDescent="0.25">
      <c r="A3760" s="1745"/>
      <c r="B3760" s="1822" t="s">
        <v>9634</v>
      </c>
      <c r="C3760" s="1749" t="s">
        <v>8238</v>
      </c>
      <c r="D3760" s="1773">
        <v>1</v>
      </c>
      <c r="E3760" s="1827">
        <v>750000</v>
      </c>
      <c r="F3760" s="1769">
        <v>1</v>
      </c>
      <c r="G3760" s="1786">
        <f t="shared" si="25"/>
        <v>750000</v>
      </c>
      <c r="H3760" s="1743"/>
    </row>
    <row r="3761" spans="1:11" s="1742" customFormat="1" x14ac:dyDescent="0.25">
      <c r="A3761" s="1745"/>
      <c r="B3761" s="1822" t="s">
        <v>9635</v>
      </c>
      <c r="C3761" s="1749" t="s">
        <v>5</v>
      </c>
      <c r="D3761" s="1773">
        <v>2</v>
      </c>
      <c r="E3761" s="1827">
        <v>6920000</v>
      </c>
      <c r="F3761" s="1769">
        <v>0.2</v>
      </c>
      <c r="G3761" s="1786">
        <f t="shared" si="25"/>
        <v>2768000</v>
      </c>
      <c r="H3761" s="1743"/>
    </row>
    <row r="3762" spans="1:11" s="1742" customFormat="1" ht="38.25" x14ac:dyDescent="0.25">
      <c r="A3762" s="1745"/>
      <c r="B3762" s="1822" t="s">
        <v>9636</v>
      </c>
      <c r="C3762" s="1749" t="s">
        <v>8238</v>
      </c>
      <c r="D3762" s="1773">
        <v>12</v>
      </c>
      <c r="E3762" s="1827">
        <v>480000</v>
      </c>
      <c r="F3762" s="1769">
        <v>1</v>
      </c>
      <c r="G3762" s="1786">
        <f t="shared" si="25"/>
        <v>5760000</v>
      </c>
      <c r="H3762" s="1743"/>
    </row>
    <row r="3763" spans="1:11" s="1742" customFormat="1" ht="25.5" x14ac:dyDescent="0.25">
      <c r="A3763" s="1745"/>
      <c r="B3763" s="1822" t="s">
        <v>9637</v>
      </c>
      <c r="C3763" s="1749" t="s">
        <v>5</v>
      </c>
      <c r="D3763" s="1773">
        <v>1</v>
      </c>
      <c r="E3763" s="1827">
        <v>510000</v>
      </c>
      <c r="F3763" s="1769">
        <v>0.2</v>
      </c>
      <c r="G3763" s="1786">
        <f t="shared" si="25"/>
        <v>102000</v>
      </c>
      <c r="H3763" s="1743"/>
    </row>
    <row r="3764" spans="1:11" s="1742" customFormat="1" x14ac:dyDescent="0.25">
      <c r="A3764" s="1745"/>
      <c r="B3764" s="1822" t="s">
        <v>9638</v>
      </c>
      <c r="C3764" s="1749" t="s">
        <v>5</v>
      </c>
      <c r="D3764" s="1773">
        <v>1</v>
      </c>
      <c r="E3764" s="1827">
        <v>950000</v>
      </c>
      <c r="F3764" s="1769">
        <v>0.2</v>
      </c>
      <c r="G3764" s="1786">
        <f t="shared" si="25"/>
        <v>190000</v>
      </c>
      <c r="H3764" s="1743"/>
    </row>
    <row r="3765" spans="1:11" s="1742" customFormat="1" ht="25.5" x14ac:dyDescent="0.25">
      <c r="A3765" s="1745"/>
      <c r="B3765" s="1822" t="s">
        <v>9639</v>
      </c>
      <c r="C3765" s="1749" t="s">
        <v>5</v>
      </c>
      <c r="D3765" s="1773">
        <v>1</v>
      </c>
      <c r="E3765" s="1827">
        <v>1200000</v>
      </c>
      <c r="F3765" s="1769">
        <v>0.2</v>
      </c>
      <c r="G3765" s="1786">
        <f t="shared" si="25"/>
        <v>240000</v>
      </c>
      <c r="H3765" s="1743"/>
    </row>
    <row r="3766" spans="1:11" s="1742" customFormat="1" x14ac:dyDescent="0.25">
      <c r="A3766" s="1745"/>
      <c r="B3766" s="1822" t="s">
        <v>9640</v>
      </c>
      <c r="C3766" s="1749" t="s">
        <v>5</v>
      </c>
      <c r="D3766" s="1773">
        <v>1</v>
      </c>
      <c r="E3766" s="1827">
        <v>1750000</v>
      </c>
      <c r="F3766" s="1769">
        <v>1</v>
      </c>
      <c r="G3766" s="1786">
        <f>+F3766*E3766*D3766</f>
        <v>1750000</v>
      </c>
      <c r="H3766" s="1743"/>
    </row>
    <row r="3767" spans="1:11" s="1742" customFormat="1" x14ac:dyDescent="0.25">
      <c r="A3767" s="1745"/>
      <c r="B3767" s="1822" t="s">
        <v>9641</v>
      </c>
      <c r="C3767" s="1749" t="s">
        <v>5</v>
      </c>
      <c r="D3767" s="1773">
        <v>1</v>
      </c>
      <c r="E3767" s="1827">
        <v>930000</v>
      </c>
      <c r="F3767" s="1769">
        <v>1</v>
      </c>
      <c r="G3767" s="1786">
        <f>+F3767*E3767*D3767</f>
        <v>930000</v>
      </c>
      <c r="H3767" s="1743"/>
    </row>
    <row r="3768" spans="1:11" s="1742" customFormat="1" ht="25.5" x14ac:dyDescent="0.25">
      <c r="A3768" s="1745"/>
      <c r="B3768" s="1822" t="s">
        <v>9642</v>
      </c>
      <c r="C3768" s="1749" t="s">
        <v>5</v>
      </c>
      <c r="D3768" s="1773">
        <v>1</v>
      </c>
      <c r="E3768" s="1827">
        <v>73000000</v>
      </c>
      <c r="F3768" s="1769">
        <v>1</v>
      </c>
      <c r="G3768" s="1786">
        <f>+F3768*E3768*D3768</f>
        <v>73000000</v>
      </c>
      <c r="H3768" s="1743"/>
    </row>
    <row r="3769" spans="1:11" s="1742" customFormat="1" x14ac:dyDescent="0.25">
      <c r="A3769" s="1745"/>
      <c r="B3769" s="1822" t="s">
        <v>9643</v>
      </c>
      <c r="C3769" s="1749" t="s">
        <v>5</v>
      </c>
      <c r="D3769" s="1773">
        <v>1</v>
      </c>
      <c r="E3769" s="1827">
        <v>650000</v>
      </c>
      <c r="F3769" s="1769">
        <v>1</v>
      </c>
      <c r="G3769" s="1786">
        <f t="shared" ref="G3769:G3773" si="26">+F3769*E3769*D3769</f>
        <v>650000</v>
      </c>
      <c r="H3769" s="1743"/>
    </row>
    <row r="3770" spans="1:11" s="1742" customFormat="1" x14ac:dyDescent="0.25">
      <c r="A3770" s="1745"/>
      <c r="B3770" s="1822" t="s">
        <v>9644</v>
      </c>
      <c r="C3770" s="1749" t="s">
        <v>5</v>
      </c>
      <c r="D3770" s="1773">
        <v>1</v>
      </c>
      <c r="E3770" s="1827">
        <v>840000</v>
      </c>
      <c r="F3770" s="1769">
        <v>1</v>
      </c>
      <c r="G3770" s="1786">
        <f t="shared" si="26"/>
        <v>840000</v>
      </c>
      <c r="H3770" s="1743"/>
    </row>
    <row r="3771" spans="1:11" s="1742" customFormat="1" x14ac:dyDescent="0.25">
      <c r="A3771" s="1745"/>
      <c r="B3771" s="1775" t="s">
        <v>9645</v>
      </c>
      <c r="C3771" s="1749" t="s">
        <v>9023</v>
      </c>
      <c r="D3771" s="1773">
        <v>1</v>
      </c>
      <c r="E3771" s="1827">
        <v>350000</v>
      </c>
      <c r="F3771" s="1769">
        <v>1</v>
      </c>
      <c r="G3771" s="1786">
        <f t="shared" si="26"/>
        <v>350000</v>
      </c>
      <c r="H3771" s="1743"/>
    </row>
    <row r="3772" spans="1:11" s="1742" customFormat="1" ht="25.5" x14ac:dyDescent="0.25">
      <c r="A3772" s="1745"/>
      <c r="B3772" s="1774" t="s">
        <v>9646</v>
      </c>
      <c r="C3772" s="1747" t="s">
        <v>6050</v>
      </c>
      <c r="D3772" s="1772">
        <v>1</v>
      </c>
      <c r="E3772" s="1827">
        <v>480000</v>
      </c>
      <c r="F3772" s="1769">
        <v>1</v>
      </c>
      <c r="G3772" s="1786">
        <f t="shared" si="26"/>
        <v>480000</v>
      </c>
      <c r="H3772" s="1743"/>
    </row>
    <row r="3773" spans="1:11" s="1742" customFormat="1" ht="38.25" x14ac:dyDescent="0.25">
      <c r="A3773" s="1745"/>
      <c r="B3773" s="1774" t="s">
        <v>9647</v>
      </c>
      <c r="C3773" s="1747" t="s">
        <v>6050</v>
      </c>
      <c r="D3773" s="1772">
        <v>1</v>
      </c>
      <c r="E3773" s="1827">
        <v>780000</v>
      </c>
      <c r="F3773" s="1769">
        <v>1</v>
      </c>
      <c r="G3773" s="1786">
        <f t="shared" si="26"/>
        <v>780000</v>
      </c>
      <c r="H3773" s="1743"/>
    </row>
    <row r="3774" spans="1:11" ht="15.75" thickBot="1" x14ac:dyDescent="0.3">
      <c r="A3774" s="1528"/>
      <c r="B3774" s="1667"/>
      <c r="C3774" s="1537"/>
      <c r="D3774" s="212"/>
      <c r="E3774" s="816"/>
      <c r="F3774" s="1563"/>
      <c r="G3774" s="814"/>
      <c r="H3774" s="1524"/>
      <c r="J3774" s="1637"/>
      <c r="K3774" s="1637"/>
    </row>
    <row r="3775" spans="1:11" ht="15.75" thickBot="1" x14ac:dyDescent="0.3">
      <c r="A3775" s="1528"/>
      <c r="B3775" s="1555"/>
      <c r="C3775" s="1557"/>
      <c r="D3775" s="956"/>
      <c r="E3775" s="1556" t="s">
        <v>7182</v>
      </c>
      <c r="F3775" s="1557"/>
      <c r="G3775" s="1558" t="s">
        <v>7182</v>
      </c>
      <c r="H3775" s="1546">
        <f>SUM(G3750:G3775)</f>
        <v>128010000</v>
      </c>
      <c r="J3775" s="1637"/>
      <c r="K3775" s="1637"/>
    </row>
    <row r="3776" spans="1:11" x14ac:dyDescent="0.25">
      <c r="A3776" s="1528"/>
      <c r="B3776" s="1372"/>
      <c r="C3776" s="1374"/>
      <c r="D3776" s="1373"/>
      <c r="E3776" s="1372" t="s">
        <v>7182</v>
      </c>
      <c r="F3776" s="1374"/>
      <c r="G3776" s="1375" t="s">
        <v>7182</v>
      </c>
      <c r="H3776" s="1550"/>
      <c r="J3776" s="1637"/>
      <c r="K3776" s="1637"/>
    </row>
    <row r="3777" spans="1:11" ht="15.75" thickBot="1" x14ac:dyDescent="0.3">
      <c r="A3777" s="1527"/>
      <c r="B3777" s="188"/>
      <c r="C3777" s="189"/>
      <c r="D3777" s="1668"/>
      <c r="E3777" s="188"/>
      <c r="F3777" s="189"/>
      <c r="G3777" s="1669"/>
      <c r="H3777" s="1550"/>
      <c r="J3777" s="1637"/>
      <c r="K3777" s="1637"/>
    </row>
    <row r="3778" spans="1:11" ht="15.75" thickBot="1" x14ac:dyDescent="0.3">
      <c r="A3778" s="1527"/>
      <c r="B3778" s="1366" t="s">
        <v>9418</v>
      </c>
      <c r="C3778" s="1363" t="s">
        <v>867</v>
      </c>
      <c r="D3778" s="1120" t="s">
        <v>6</v>
      </c>
      <c r="E3778" s="1363" t="s">
        <v>7183</v>
      </c>
      <c r="F3778" s="1363" t="s">
        <v>5405</v>
      </c>
      <c r="G3778" s="1365" t="s">
        <v>7179</v>
      </c>
      <c r="H3778" s="1524"/>
      <c r="J3778" s="1637"/>
      <c r="K3778" s="1637"/>
    </row>
    <row r="3779" spans="1:11" x14ac:dyDescent="0.25">
      <c r="A3779" s="1527"/>
      <c r="B3779" s="1770" t="s">
        <v>5455</v>
      </c>
      <c r="C3779" s="1747" t="s">
        <v>5</v>
      </c>
      <c r="D3779" s="1772">
        <v>1</v>
      </c>
      <c r="E3779" s="1748">
        <v>100000</v>
      </c>
      <c r="F3779" s="1777">
        <v>1</v>
      </c>
      <c r="G3779" s="1783">
        <f>+F3779*E3779</f>
        <v>100000</v>
      </c>
      <c r="H3779" s="1524"/>
      <c r="J3779" s="1637"/>
      <c r="K3779" s="1637"/>
    </row>
    <row r="3780" spans="1:11" x14ac:dyDescent="0.25">
      <c r="A3780" s="1527"/>
      <c r="B3780" s="1752" t="s">
        <v>9648</v>
      </c>
      <c r="C3780" s="1747" t="s">
        <v>5</v>
      </c>
      <c r="D3780" s="1772">
        <v>1</v>
      </c>
      <c r="E3780" s="1748">
        <v>30000</v>
      </c>
      <c r="F3780" s="1777">
        <v>1</v>
      </c>
      <c r="G3780" s="1783">
        <f t="shared" ref="G3780:G3782" si="27">+F3780*E3780</f>
        <v>30000</v>
      </c>
      <c r="H3780" s="1524"/>
      <c r="J3780" s="1637"/>
      <c r="K3780" s="1637"/>
    </row>
    <row r="3781" spans="1:11" x14ac:dyDescent="0.25">
      <c r="A3781" s="1527"/>
      <c r="B3781" s="1752" t="s">
        <v>9649</v>
      </c>
      <c r="C3781" s="1747" t="s">
        <v>5</v>
      </c>
      <c r="D3781" s="1772">
        <v>1</v>
      </c>
      <c r="E3781" s="1748">
        <v>50000</v>
      </c>
      <c r="F3781" s="1777">
        <v>1</v>
      </c>
      <c r="G3781" s="1783">
        <f t="shared" si="27"/>
        <v>50000</v>
      </c>
      <c r="H3781" s="1524"/>
      <c r="J3781" s="1637"/>
      <c r="K3781" s="1637"/>
    </row>
    <row r="3782" spans="1:11" ht="15.75" thickBot="1" x14ac:dyDescent="0.3">
      <c r="A3782" s="1527"/>
      <c r="B3782" s="1752" t="s">
        <v>9650</v>
      </c>
      <c r="C3782" s="1749" t="s">
        <v>5</v>
      </c>
      <c r="D3782" s="1773">
        <v>1</v>
      </c>
      <c r="E3782" s="1748">
        <v>75000</v>
      </c>
      <c r="F3782" s="1777">
        <v>1</v>
      </c>
      <c r="G3782" s="1783">
        <f t="shared" si="27"/>
        <v>75000</v>
      </c>
      <c r="H3782" s="1524"/>
      <c r="J3782" s="1637"/>
      <c r="K3782" s="1637"/>
    </row>
    <row r="3783" spans="1:11" ht="15.75" thickBot="1" x14ac:dyDescent="0.3">
      <c r="A3783" s="1527"/>
      <c r="B3783" s="1555"/>
      <c r="C3783" s="1556"/>
      <c r="D3783" s="956"/>
      <c r="E3783" s="1556" t="s">
        <v>7182</v>
      </c>
      <c r="F3783" s="1557"/>
      <c r="G3783" s="1558" t="s">
        <v>7182</v>
      </c>
      <c r="H3783" s="1546">
        <f>SUM(G3779:G3783)</f>
        <v>255000</v>
      </c>
      <c r="J3783" s="1637"/>
      <c r="K3783" s="1637"/>
    </row>
    <row r="3784" spans="1:11" ht="15.75" thickBot="1" x14ac:dyDescent="0.3">
      <c r="A3784" s="1527"/>
      <c r="B3784" s="1376"/>
      <c r="C3784" s="1353"/>
      <c r="D3784" s="1355"/>
      <c r="E3784" s="1352"/>
      <c r="F3784" s="1377"/>
      <c r="G3784" s="1378"/>
      <c r="H3784" s="1524"/>
      <c r="J3784" s="1637"/>
      <c r="K3784" s="1637"/>
    </row>
    <row r="3785" spans="1:11" ht="15.75" thickBot="1" x14ac:dyDescent="0.3">
      <c r="A3785" s="1527"/>
      <c r="B3785" s="1366" t="s">
        <v>5410</v>
      </c>
      <c r="C3785" s="1363" t="s">
        <v>867</v>
      </c>
      <c r="D3785" s="1120" t="s">
        <v>6</v>
      </c>
      <c r="E3785" s="1363" t="s">
        <v>7183</v>
      </c>
      <c r="F3785" s="1363" t="s">
        <v>5405</v>
      </c>
      <c r="G3785" s="1365" t="s">
        <v>7179</v>
      </c>
      <c r="H3785" s="1524"/>
      <c r="J3785" s="1637"/>
      <c r="K3785" s="1637"/>
    </row>
    <row r="3786" spans="1:11" ht="25.5" x14ac:dyDescent="0.25">
      <c r="A3786" s="1527"/>
      <c r="B3786" s="1770" t="s">
        <v>9651</v>
      </c>
      <c r="C3786" s="1747" t="s">
        <v>9023</v>
      </c>
      <c r="D3786" s="1772">
        <v>2</v>
      </c>
      <c r="E3786" s="1748">
        <v>400000</v>
      </c>
      <c r="F3786" s="1777">
        <v>1</v>
      </c>
      <c r="G3786" s="1783">
        <f>+F3786*E3786*D3786</f>
        <v>800000</v>
      </c>
      <c r="H3786" s="1524"/>
      <c r="J3786" s="1637"/>
      <c r="K3786" s="1637"/>
    </row>
    <row r="3787" spans="1:11" x14ac:dyDescent="0.25">
      <c r="A3787" s="1527"/>
      <c r="B3787" s="1752" t="s">
        <v>9613</v>
      </c>
      <c r="C3787" s="1749" t="s">
        <v>9023</v>
      </c>
      <c r="D3787" s="1773">
        <v>2</v>
      </c>
      <c r="E3787" s="1748">
        <v>500000</v>
      </c>
      <c r="F3787" s="1777">
        <v>1</v>
      </c>
      <c r="G3787" s="1783">
        <f>+F3787*E3787*D3787</f>
        <v>1000000</v>
      </c>
      <c r="H3787" s="1524"/>
      <c r="J3787" s="1637"/>
      <c r="K3787" s="1637"/>
    </row>
    <row r="3788" spans="1:11" x14ac:dyDescent="0.25">
      <c r="A3788" s="1527"/>
      <c r="B3788" s="1752"/>
      <c r="C3788" s="1749"/>
      <c r="D3788" s="1773"/>
      <c r="E3788" s="1748" t="s">
        <v>7182</v>
      </c>
      <c r="F3788" s="1749"/>
      <c r="G3788" s="1783" t="s">
        <v>7182</v>
      </c>
      <c r="H3788" s="1524"/>
      <c r="J3788" s="1637"/>
      <c r="K3788" s="1637"/>
    </row>
    <row r="3789" spans="1:11" ht="15.75" thickBot="1" x14ac:dyDescent="0.3">
      <c r="A3789" s="1527"/>
      <c r="B3789" s="1540"/>
      <c r="C3789" s="1537"/>
      <c r="D3789" s="212"/>
      <c r="E3789" s="1535" t="s">
        <v>7182</v>
      </c>
      <c r="F3789" s="1537"/>
      <c r="G3789" s="1572" t="s">
        <v>7182</v>
      </c>
      <c r="H3789" s="1524"/>
      <c r="J3789" s="1637"/>
      <c r="K3789" s="1637"/>
    </row>
    <row r="3790" spans="1:11" ht="15.75" thickBot="1" x14ac:dyDescent="0.3">
      <c r="A3790" s="1527"/>
      <c r="B3790" s="1555"/>
      <c r="C3790" s="1556"/>
      <c r="D3790" s="956"/>
      <c r="E3790" s="1556" t="s">
        <v>7182</v>
      </c>
      <c r="F3790" s="1557"/>
      <c r="G3790" s="1558" t="s">
        <v>7182</v>
      </c>
      <c r="H3790" s="1546">
        <f>SUM(G3786:G3790)</f>
        <v>1800000</v>
      </c>
      <c r="J3790" s="1637"/>
      <c r="K3790" s="1637"/>
    </row>
    <row r="3791" spans="1:11" ht="15.75" thickBot="1" x14ac:dyDescent="0.3">
      <c r="A3791" s="1527"/>
      <c r="B3791" s="1547"/>
      <c r="C3791" s="1547"/>
      <c r="D3791" s="954"/>
      <c r="E3791" s="1547"/>
      <c r="F3791" s="1553"/>
      <c r="G3791" s="1554"/>
      <c r="H3791" s="1550"/>
      <c r="J3791" s="1637"/>
      <c r="K3791" s="1637"/>
    </row>
    <row r="3792" spans="1:11" ht="15.75" thickBot="1" x14ac:dyDescent="0.3">
      <c r="A3792" s="1559"/>
      <c r="B3792" s="1369" t="s">
        <v>5412</v>
      </c>
      <c r="C3792" s="1363" t="s">
        <v>5420</v>
      </c>
      <c r="D3792" s="1120" t="s">
        <v>5421</v>
      </c>
      <c r="E3792" s="1363" t="s">
        <v>7187</v>
      </c>
      <c r="F3792" s="1363" t="s">
        <v>5405</v>
      </c>
      <c r="G3792" s="1370" t="s">
        <v>7179</v>
      </c>
      <c r="H3792" s="1371"/>
      <c r="J3792" s="1637"/>
      <c r="K3792" s="1637"/>
    </row>
    <row r="3793" spans="1:11" x14ac:dyDescent="0.25">
      <c r="A3793" s="1527"/>
      <c r="B3793" s="1767" t="s">
        <v>9652</v>
      </c>
      <c r="C3793" s="1778">
        <v>240000</v>
      </c>
      <c r="D3793" s="1779">
        <f>0.6*C3793</f>
        <v>144000</v>
      </c>
      <c r="E3793" s="1778">
        <f>+D3793+C3793</f>
        <v>384000</v>
      </c>
      <c r="F3793" s="1790">
        <v>30</v>
      </c>
      <c r="G3793" s="1789">
        <f>+F3793*E3793</f>
        <v>11520000</v>
      </c>
      <c r="H3793" s="1524"/>
      <c r="J3793" s="1637"/>
      <c r="K3793" s="1637"/>
    </row>
    <row r="3794" spans="1:11" x14ac:dyDescent="0.25">
      <c r="A3794" s="1527"/>
      <c r="B3794" s="1767"/>
      <c r="C3794" s="1778"/>
      <c r="D3794" s="1778"/>
      <c r="E3794" s="1778"/>
      <c r="F3794" s="1790"/>
      <c r="G3794" s="1789"/>
      <c r="H3794" s="1524"/>
      <c r="J3794" s="1637"/>
      <c r="K3794" s="1637"/>
    </row>
    <row r="3795" spans="1:11" x14ac:dyDescent="0.25">
      <c r="A3795" s="1527"/>
      <c r="B3795" s="1768"/>
      <c r="C3795" s="1778"/>
      <c r="D3795" s="1778"/>
      <c r="E3795" s="1778"/>
      <c r="F3795" s="1788"/>
      <c r="G3795" s="1789"/>
      <c r="H3795" s="1524"/>
      <c r="J3795" s="1637"/>
      <c r="K3795" s="1637"/>
    </row>
    <row r="3796" spans="1:11" x14ac:dyDescent="0.25">
      <c r="A3796" s="1527"/>
      <c r="B3796" s="1752"/>
      <c r="C3796" s="1778"/>
      <c r="D3796" s="1778"/>
      <c r="E3796" s="1778"/>
      <c r="F3796" s="1788"/>
      <c r="G3796" s="1789"/>
      <c r="H3796" s="1524"/>
      <c r="J3796" s="1637"/>
      <c r="K3796" s="1637"/>
    </row>
    <row r="3797" spans="1:11" x14ac:dyDescent="0.25">
      <c r="A3797" s="1527"/>
      <c r="B3797" s="1540"/>
      <c r="C3797" s="1538" t="s">
        <v>7182</v>
      </c>
      <c r="D3797" s="952" t="s">
        <v>7182</v>
      </c>
      <c r="E3797" s="1538" t="s">
        <v>7182</v>
      </c>
      <c r="F3797" s="817"/>
      <c r="G3797" s="818" t="str">
        <f>IF(B3797="","",E3797/F3797)</f>
        <v/>
      </c>
      <c r="H3797" s="1524"/>
      <c r="J3797" s="1637"/>
      <c r="K3797" s="1637"/>
    </row>
    <row r="3798" spans="1:11" ht="15.75" thickBot="1" x14ac:dyDescent="0.3">
      <c r="A3798" s="1527"/>
      <c r="B3798" s="1540"/>
      <c r="C3798" s="1538" t="s">
        <v>7182</v>
      </c>
      <c r="D3798" s="952" t="s">
        <v>7182</v>
      </c>
      <c r="E3798" s="1538" t="s">
        <v>7182</v>
      </c>
      <c r="F3798" s="1537"/>
      <c r="G3798" s="818" t="str">
        <f>IF(B3798="","",E3798/F3798)</f>
        <v/>
      </c>
      <c r="H3798" s="1524"/>
      <c r="J3798" s="1637"/>
      <c r="K3798" s="1637"/>
    </row>
    <row r="3799" spans="1:11" ht="15.75" thickBot="1" x14ac:dyDescent="0.3">
      <c r="A3799" s="1527"/>
      <c r="B3799" s="1555"/>
      <c r="C3799" s="1556"/>
      <c r="D3799" s="956"/>
      <c r="E3799" s="1556"/>
      <c r="F3799" s="1557"/>
      <c r="G3799" s="1558"/>
      <c r="H3799" s="1546">
        <f>SUM(G3793:G3799)</f>
        <v>11520000</v>
      </c>
      <c r="J3799" s="1637"/>
      <c r="K3799" s="1637"/>
    </row>
    <row r="3800" spans="1:11" ht="15.75" thickBot="1" x14ac:dyDescent="0.3">
      <c r="A3800" s="1527"/>
      <c r="B3800" s="1527"/>
      <c r="C3800" s="1527"/>
      <c r="D3800" s="529"/>
      <c r="F3800" s="1528"/>
      <c r="G3800" s="1524"/>
      <c r="H3800" s="1524"/>
      <c r="J3800" s="1637"/>
      <c r="K3800" s="1637"/>
    </row>
    <row r="3801" spans="1:11" ht="15.75" thickBot="1" x14ac:dyDescent="0.3">
      <c r="A3801" s="1647" t="s">
        <v>6744</v>
      </c>
      <c r="B3801" s="1352"/>
      <c r="C3801" s="1352"/>
      <c r="D3801" s="1671"/>
      <c r="E3801" s="1672"/>
      <c r="F3801" s="1353"/>
      <c r="G3801" s="1527" t="s">
        <v>5415</v>
      </c>
      <c r="H3801" s="502">
        <f>ROUND(SUM(H3749:H3800),0)</f>
        <v>141585000</v>
      </c>
      <c r="J3801" s="1673">
        <f>+B3745</f>
        <v>10.8</v>
      </c>
      <c r="K3801" s="1674">
        <f>+H3801</f>
        <v>141585000</v>
      </c>
    </row>
    <row r="3802" spans="1:11" x14ac:dyDescent="0.25">
      <c r="A3802" s="1675"/>
      <c r="B3802" s="1676"/>
      <c r="C3802" s="1676"/>
      <c r="D3802" s="1677"/>
      <c r="E3802" s="1678"/>
      <c r="F3802" s="1679"/>
      <c r="G3802" s="1680"/>
      <c r="H3802" s="1680"/>
    </row>
    <row r="3803" spans="1:11" ht="18.75" x14ac:dyDescent="0.25">
      <c r="A3803" s="1523"/>
      <c r="B3803" s="1655"/>
      <c r="C3803" s="1655"/>
      <c r="D3803" s="950"/>
      <c r="E3803" s="1655"/>
      <c r="F3803" s="1655"/>
      <c r="G3803" s="1655"/>
      <c r="H3803" s="8"/>
    </row>
    <row r="3804" spans="1:11" x14ac:dyDescent="0.25">
      <c r="A3804" s="1523"/>
      <c r="B3804" s="8"/>
      <c r="C3804" s="8"/>
      <c r="D3804" s="529"/>
      <c r="E3804" s="8"/>
      <c r="F3804" s="1523"/>
      <c r="G3804" s="1524"/>
      <c r="H3804" s="8"/>
    </row>
    <row r="3805" spans="1:11" ht="34.5" customHeight="1" x14ac:dyDescent="0.25">
      <c r="A3805" s="1665" t="s">
        <v>3</v>
      </c>
      <c r="B3805" s="1666">
        <f>+VLOOKUP(C3805,ListaAPUs!$B:$E,4,FALSE)</f>
        <v>10.210000000000001</v>
      </c>
      <c r="C3805" s="2441" t="str">
        <f>+ListaAPUs!B221</f>
        <v>Acometida parcial de Modulo No 6 a Modulo 16, Transferencia Automatica a Planta de Emergencia en 5(3X500+1X250+1X2/0T)</v>
      </c>
      <c r="D3805" s="2441"/>
      <c r="E3805" s="2441"/>
      <c r="F3805" s="1665" t="s">
        <v>867</v>
      </c>
      <c r="G3805" s="1390" t="str">
        <f>+VLOOKUP(C3805,ListaAPUs!$B:$E,2,FALSE)</f>
        <v>m</v>
      </c>
      <c r="H3805" s="1524"/>
    </row>
    <row r="3806" spans="1:11" x14ac:dyDescent="0.25">
      <c r="A3806" s="1528"/>
      <c r="B3806" s="1527"/>
      <c r="C3806" s="1527"/>
      <c r="D3806" s="529"/>
      <c r="E3806" s="1527"/>
      <c r="F3806" s="1528"/>
      <c r="G3806" s="1524"/>
      <c r="H3806" s="1524"/>
    </row>
    <row r="3807" spans="1:11" x14ac:dyDescent="0.25">
      <c r="A3807" s="1528"/>
      <c r="B3807" s="1527"/>
      <c r="C3807" s="1527"/>
      <c r="D3807" s="529"/>
      <c r="E3807" s="1527"/>
      <c r="F3807" s="1528"/>
      <c r="G3807" s="1529"/>
      <c r="H3807" s="1524"/>
    </row>
    <row r="3808" spans="1:11" ht="15.75" thickBot="1" x14ac:dyDescent="0.3">
      <c r="A3808" s="1528"/>
      <c r="B3808" s="1527"/>
      <c r="C3808" s="1527"/>
      <c r="D3808" s="529"/>
      <c r="E3808" s="1527"/>
      <c r="F3808" s="1528"/>
      <c r="G3808" s="1524"/>
      <c r="H3808" s="1524"/>
    </row>
    <row r="3809" spans="1:11" ht="15.75" thickBot="1" x14ac:dyDescent="0.3">
      <c r="A3809" s="1368"/>
      <c r="B3809" s="1369" t="s">
        <v>5403</v>
      </c>
      <c r="C3809" s="1363" t="s">
        <v>867</v>
      </c>
      <c r="D3809" s="1120" t="s">
        <v>6</v>
      </c>
      <c r="E3809" s="1363" t="s">
        <v>9417</v>
      </c>
      <c r="F3809" s="1363" t="s">
        <v>5405</v>
      </c>
      <c r="G3809" s="1370" t="s">
        <v>7179</v>
      </c>
      <c r="H3809" s="1371"/>
    </row>
    <row r="3810" spans="1:11" x14ac:dyDescent="0.25">
      <c r="A3810" s="1528"/>
      <c r="B3810" s="1533" t="s">
        <v>9473</v>
      </c>
      <c r="C3810" s="1348" t="s">
        <v>5432</v>
      </c>
      <c r="D3810" s="967">
        <f>5*3*1.1</f>
        <v>16.5</v>
      </c>
      <c r="E3810" s="1349">
        <v>79100</v>
      </c>
      <c r="F3810" s="1350">
        <v>1</v>
      </c>
      <c r="G3810" s="1351">
        <f>+F3810*E3810*D3810</f>
        <v>1305150</v>
      </c>
      <c r="H3810" s="1524"/>
    </row>
    <row r="3811" spans="1:11" x14ac:dyDescent="0.25">
      <c r="A3811" s="1528"/>
      <c r="B3811" s="1539" t="s">
        <v>9478</v>
      </c>
      <c r="C3811" s="1537" t="s">
        <v>5432</v>
      </c>
      <c r="D3811" s="212">
        <v>1.1000000000000001</v>
      </c>
      <c r="E3811" s="1681">
        <v>36100</v>
      </c>
      <c r="F3811" s="1563">
        <v>1</v>
      </c>
      <c r="G3811" s="814">
        <f>+F3811*E3811*D3811</f>
        <v>39710</v>
      </c>
      <c r="H3811" s="1524"/>
    </row>
    <row r="3812" spans="1:11" x14ac:dyDescent="0.25">
      <c r="A3812" s="1528"/>
      <c r="B3812" s="1667" t="s">
        <v>9475</v>
      </c>
      <c r="C3812" s="1537" t="s">
        <v>5432</v>
      </c>
      <c r="D3812" s="212">
        <v>1.1000000000000001</v>
      </c>
      <c r="E3812" s="1681">
        <v>20300</v>
      </c>
      <c r="F3812" s="1563">
        <v>1</v>
      </c>
      <c r="G3812" s="814">
        <f>+F3812*E3812</f>
        <v>20300</v>
      </c>
      <c r="H3812" s="1524"/>
    </row>
    <row r="3813" spans="1:11" x14ac:dyDescent="0.25">
      <c r="A3813" s="1528"/>
      <c r="B3813" s="1539" t="s">
        <v>9476</v>
      </c>
      <c r="C3813" s="1537" t="s">
        <v>5</v>
      </c>
      <c r="D3813" s="212">
        <f>12/6</f>
        <v>2</v>
      </c>
      <c r="E3813" s="1681">
        <v>8000</v>
      </c>
      <c r="F3813" s="1563">
        <v>1</v>
      </c>
      <c r="G3813" s="814">
        <f>+F3813*E3813*D3813</f>
        <v>16000</v>
      </c>
      <c r="H3813" s="1524"/>
    </row>
    <row r="3814" spans="1:11" x14ac:dyDescent="0.25">
      <c r="A3814" s="1528"/>
      <c r="B3814" s="1667" t="s">
        <v>9477</v>
      </c>
      <c r="C3814" s="1537" t="s">
        <v>5</v>
      </c>
      <c r="D3814" s="1563">
        <f>2/6</f>
        <v>0.33333333333333331</v>
      </c>
      <c r="E3814" s="1681">
        <v>4000</v>
      </c>
      <c r="F3814" s="1563">
        <v>1</v>
      </c>
      <c r="G3814" s="814">
        <f>+F3814*E3814*D3814</f>
        <v>1333.3333333333333</v>
      </c>
      <c r="H3814" s="1524"/>
    </row>
    <row r="3815" spans="1:11" x14ac:dyDescent="0.25">
      <c r="A3815" s="1528"/>
      <c r="B3815" s="1539" t="s">
        <v>9479</v>
      </c>
      <c r="C3815" s="1537" t="s">
        <v>5</v>
      </c>
      <c r="D3815" s="1563">
        <f>2/6</f>
        <v>0.33333333333333331</v>
      </c>
      <c r="E3815" s="1571">
        <v>6000</v>
      </c>
      <c r="F3815" s="1563">
        <v>1</v>
      </c>
      <c r="G3815" s="814">
        <f>+F3815*E3815*D3815</f>
        <v>2000</v>
      </c>
      <c r="H3815" s="1524"/>
      <c r="J3815" s="1637"/>
      <c r="K3815" s="1637"/>
    </row>
    <row r="3816" spans="1:11" ht="25.5" x14ac:dyDescent="0.25">
      <c r="A3816" s="1528"/>
      <c r="B3816" s="1667" t="s">
        <v>9480</v>
      </c>
      <c r="C3816" s="1537" t="s">
        <v>9023</v>
      </c>
      <c r="D3816" s="212">
        <v>1</v>
      </c>
      <c r="E3816" s="1571">
        <v>5000</v>
      </c>
      <c r="F3816" s="1563">
        <v>1</v>
      </c>
      <c r="G3816" s="814">
        <f>+F3816*E3816</f>
        <v>5000</v>
      </c>
      <c r="H3816" s="1524"/>
      <c r="J3816" s="1637"/>
      <c r="K3816" s="1637"/>
    </row>
    <row r="3817" spans="1:11" x14ac:dyDescent="0.25">
      <c r="A3817" s="1528"/>
      <c r="B3817" s="1667" t="s">
        <v>9481</v>
      </c>
      <c r="C3817" s="1537" t="s">
        <v>9023</v>
      </c>
      <c r="D3817" s="212">
        <v>1</v>
      </c>
      <c r="E3817" s="1571">
        <f>2500*20</f>
        <v>50000</v>
      </c>
      <c r="F3817" s="1563">
        <v>1</v>
      </c>
      <c r="G3817" s="814">
        <f>+F3817*E3817</f>
        <v>50000</v>
      </c>
      <c r="H3817" s="1524"/>
      <c r="J3817" s="1637"/>
      <c r="K3817" s="1637"/>
    </row>
    <row r="3818" spans="1:11" x14ac:dyDescent="0.25">
      <c r="A3818" s="1528"/>
      <c r="B3818" s="1667" t="s">
        <v>9482</v>
      </c>
      <c r="C3818" s="1537" t="s">
        <v>5</v>
      </c>
      <c r="D3818" s="212">
        <f>(16+2)*2/20</f>
        <v>1.8</v>
      </c>
      <c r="E3818" s="1571">
        <v>1500</v>
      </c>
      <c r="F3818" s="1563">
        <v>1</v>
      </c>
      <c r="G3818" s="814">
        <f>+F3818*E3818*D3818</f>
        <v>2700</v>
      </c>
      <c r="H3818" s="1524"/>
      <c r="J3818" s="1637"/>
      <c r="K3818" s="1637"/>
    </row>
    <row r="3819" spans="1:11" x14ac:dyDescent="0.25">
      <c r="A3819" s="1528"/>
      <c r="B3819" s="1667"/>
      <c r="C3819" s="1537"/>
      <c r="D3819" s="212"/>
      <c r="E3819" s="816"/>
      <c r="F3819" s="1563"/>
      <c r="G3819" s="814"/>
      <c r="H3819" s="1524"/>
      <c r="J3819" s="1637"/>
      <c r="K3819" s="1637"/>
    </row>
    <row r="3820" spans="1:11" x14ac:dyDescent="0.25">
      <c r="A3820" s="1528"/>
      <c r="B3820" s="1667"/>
      <c r="C3820" s="1537"/>
      <c r="D3820" s="212"/>
      <c r="E3820" s="816"/>
      <c r="F3820" s="1563"/>
      <c r="G3820" s="814"/>
      <c r="H3820" s="1524"/>
      <c r="J3820" s="1637"/>
      <c r="K3820" s="1637"/>
    </row>
    <row r="3821" spans="1:11" x14ac:dyDescent="0.25">
      <c r="A3821" s="1528"/>
      <c r="B3821" s="269"/>
      <c r="C3821" s="1537"/>
      <c r="D3821" s="212"/>
      <c r="E3821" s="816"/>
      <c r="F3821" s="1563"/>
      <c r="G3821" s="814"/>
      <c r="H3821" s="1524"/>
      <c r="J3821" s="1637"/>
      <c r="K3821" s="1637"/>
    </row>
    <row r="3822" spans="1:11" x14ac:dyDescent="0.25">
      <c r="A3822" s="1528"/>
      <c r="B3822" s="268"/>
      <c r="C3822" s="1534"/>
      <c r="D3822" s="211"/>
      <c r="E3822" s="1535" t="s">
        <v>7182</v>
      </c>
      <c r="F3822" s="1551"/>
      <c r="G3822" s="1541" t="s">
        <v>7182</v>
      </c>
      <c r="H3822" s="1524"/>
      <c r="J3822" s="1637"/>
      <c r="K3822" s="1637"/>
    </row>
    <row r="3823" spans="1:11" x14ac:dyDescent="0.25">
      <c r="A3823" s="1528"/>
      <c r="B3823" s="1346"/>
      <c r="C3823" s="1534"/>
      <c r="D3823" s="211"/>
      <c r="E3823" s="1535" t="s">
        <v>7182</v>
      </c>
      <c r="F3823" s="1551"/>
      <c r="G3823" s="1541" t="s">
        <v>7182</v>
      </c>
      <c r="H3823" s="1524"/>
      <c r="J3823" s="1637"/>
      <c r="K3823" s="1637"/>
    </row>
    <row r="3824" spans="1:11" ht="15.75" thickBot="1" x14ac:dyDescent="0.3">
      <c r="A3824" s="1528"/>
      <c r="B3824" s="1540"/>
      <c r="C3824" s="1537"/>
      <c r="D3824" s="952"/>
      <c r="E3824" s="1538" t="s">
        <v>7182</v>
      </c>
      <c r="F3824" s="1537"/>
      <c r="G3824" s="1541" t="s">
        <v>7182</v>
      </c>
      <c r="H3824" s="1524"/>
      <c r="J3824" s="1637"/>
      <c r="K3824" s="1637"/>
    </row>
    <row r="3825" spans="1:11" ht="15.75" thickBot="1" x14ac:dyDescent="0.3">
      <c r="A3825" s="1528"/>
      <c r="B3825" s="1555"/>
      <c r="C3825" s="1557"/>
      <c r="D3825" s="956"/>
      <c r="E3825" s="1556" t="s">
        <v>7182</v>
      </c>
      <c r="F3825" s="1557"/>
      <c r="G3825" s="1558" t="s">
        <v>7182</v>
      </c>
      <c r="H3825" s="1546">
        <f>SUM(G3810:G3825)</f>
        <v>1442193.3333333333</v>
      </c>
      <c r="J3825" s="1637"/>
      <c r="K3825" s="1637"/>
    </row>
    <row r="3826" spans="1:11" x14ac:dyDescent="0.25">
      <c r="A3826" s="1528"/>
      <c r="B3826" s="1372"/>
      <c r="C3826" s="1374"/>
      <c r="D3826" s="1373"/>
      <c r="E3826" s="1372" t="s">
        <v>7182</v>
      </c>
      <c r="F3826" s="1374"/>
      <c r="G3826" s="1375" t="s">
        <v>7182</v>
      </c>
      <c r="H3826" s="1550"/>
      <c r="J3826" s="1637"/>
      <c r="K3826" s="1637"/>
    </row>
    <row r="3827" spans="1:11" ht="15.75" thickBot="1" x14ac:dyDescent="0.3">
      <c r="A3827" s="1527"/>
      <c r="B3827" s="188"/>
      <c r="C3827" s="189"/>
      <c r="D3827" s="1668"/>
      <c r="E3827" s="188"/>
      <c r="F3827" s="189"/>
      <c r="G3827" s="1669"/>
      <c r="H3827" s="1550"/>
      <c r="J3827" s="1637"/>
      <c r="K3827" s="1637"/>
    </row>
    <row r="3828" spans="1:11" ht="15.75" thickBot="1" x14ac:dyDescent="0.3">
      <c r="A3828" s="1527"/>
      <c r="B3828" s="1366" t="s">
        <v>9418</v>
      </c>
      <c r="C3828" s="1363" t="s">
        <v>867</v>
      </c>
      <c r="D3828" s="1120" t="s">
        <v>6</v>
      </c>
      <c r="E3828" s="1363" t="s">
        <v>7183</v>
      </c>
      <c r="F3828" s="1363" t="s">
        <v>5405</v>
      </c>
      <c r="G3828" s="1365" t="s">
        <v>7179</v>
      </c>
      <c r="H3828" s="1524"/>
      <c r="J3828" s="1637"/>
      <c r="K3828" s="1637"/>
    </row>
    <row r="3829" spans="1:11" x14ac:dyDescent="0.25">
      <c r="A3829" s="1527"/>
      <c r="B3829" s="1564" t="s">
        <v>5455</v>
      </c>
      <c r="C3829" s="1534" t="s">
        <v>5</v>
      </c>
      <c r="D3829" s="211">
        <v>1</v>
      </c>
      <c r="E3829" s="1535">
        <v>10000</v>
      </c>
      <c r="F3829" s="297">
        <v>1</v>
      </c>
      <c r="G3829" s="1572">
        <f>+F3829*E3829</f>
        <v>10000</v>
      </c>
      <c r="H3829" s="1524"/>
      <c r="J3829" s="1637"/>
      <c r="K3829" s="1637"/>
    </row>
    <row r="3830" spans="1:11" x14ac:dyDescent="0.25">
      <c r="A3830" s="1527"/>
      <c r="B3830" s="1540"/>
      <c r="C3830" s="1537"/>
      <c r="D3830" s="212"/>
      <c r="E3830" s="1535" t="s">
        <v>7182</v>
      </c>
      <c r="F3830" s="1537"/>
      <c r="G3830" s="1572" t="s">
        <v>7182</v>
      </c>
      <c r="H3830" s="1524"/>
      <c r="J3830" s="1637"/>
      <c r="K3830" s="1637"/>
    </row>
    <row r="3831" spans="1:11" x14ac:dyDescent="0.25">
      <c r="A3831" s="1527"/>
      <c r="B3831" s="1540"/>
      <c r="C3831" s="1537"/>
      <c r="D3831" s="212"/>
      <c r="E3831" s="1535" t="s">
        <v>7182</v>
      </c>
      <c r="F3831" s="1537"/>
      <c r="G3831" s="1572" t="s">
        <v>7182</v>
      </c>
      <c r="H3831" s="1524"/>
      <c r="J3831" s="1637"/>
      <c r="K3831" s="1637"/>
    </row>
    <row r="3832" spans="1:11" ht="15.75" thickBot="1" x14ac:dyDescent="0.3">
      <c r="A3832" s="1527"/>
      <c r="B3832" s="1540"/>
      <c r="C3832" s="1537"/>
      <c r="D3832" s="212"/>
      <c r="E3832" s="1535" t="s">
        <v>7182</v>
      </c>
      <c r="F3832" s="1537"/>
      <c r="G3832" s="1572" t="s">
        <v>7182</v>
      </c>
      <c r="H3832" s="1524"/>
      <c r="J3832" s="1637"/>
      <c r="K3832" s="1637"/>
    </row>
    <row r="3833" spans="1:11" ht="15.75" thickBot="1" x14ac:dyDescent="0.3">
      <c r="A3833" s="1527"/>
      <c r="B3833" s="1555"/>
      <c r="C3833" s="1556"/>
      <c r="D3833" s="956"/>
      <c r="E3833" s="1556" t="s">
        <v>7182</v>
      </c>
      <c r="F3833" s="1557"/>
      <c r="G3833" s="1558" t="s">
        <v>7182</v>
      </c>
      <c r="H3833" s="1546">
        <f>SUM(G3829:G3833)</f>
        <v>10000</v>
      </c>
      <c r="J3833" s="1637"/>
      <c r="K3833" s="1637"/>
    </row>
    <row r="3834" spans="1:11" ht="15.75" thickBot="1" x14ac:dyDescent="0.3">
      <c r="A3834" s="1527"/>
      <c r="B3834" s="1376"/>
      <c r="C3834" s="1353"/>
      <c r="D3834" s="1355"/>
      <c r="E3834" s="1352"/>
      <c r="F3834" s="1377"/>
      <c r="G3834" s="1378"/>
      <c r="H3834" s="1524"/>
      <c r="J3834" s="1637"/>
      <c r="K3834" s="1637"/>
    </row>
    <row r="3835" spans="1:11" ht="15.75" thickBot="1" x14ac:dyDescent="0.3">
      <c r="A3835" s="1527"/>
      <c r="B3835" s="1366" t="s">
        <v>5410</v>
      </c>
      <c r="C3835" s="1363" t="s">
        <v>867</v>
      </c>
      <c r="D3835" s="1120" t="s">
        <v>6</v>
      </c>
      <c r="E3835" s="1363" t="s">
        <v>7183</v>
      </c>
      <c r="F3835" s="1363" t="s">
        <v>5405</v>
      </c>
      <c r="G3835" s="1365" t="s">
        <v>7179</v>
      </c>
      <c r="H3835" s="1524"/>
      <c r="J3835" s="1637"/>
      <c r="K3835" s="1637"/>
    </row>
    <row r="3836" spans="1:11" ht="25.5" x14ac:dyDescent="0.25">
      <c r="A3836" s="1527"/>
      <c r="B3836" s="1564" t="s">
        <v>9421</v>
      </c>
      <c r="C3836" s="1534" t="s">
        <v>9023</v>
      </c>
      <c r="D3836" s="211">
        <v>1</v>
      </c>
      <c r="E3836" s="1535">
        <v>10000</v>
      </c>
      <c r="F3836" s="297">
        <v>1</v>
      </c>
      <c r="G3836" s="1572">
        <f>+F3836*E3836</f>
        <v>10000</v>
      </c>
      <c r="H3836" s="1524"/>
      <c r="J3836" s="1637"/>
      <c r="K3836" s="1637"/>
    </row>
    <row r="3837" spans="1:11" x14ac:dyDescent="0.25">
      <c r="A3837" s="1527"/>
      <c r="B3837" s="1540"/>
      <c r="C3837" s="1537"/>
      <c r="D3837" s="212"/>
      <c r="E3837" s="1535" t="s">
        <v>7182</v>
      </c>
      <c r="F3837" s="1537"/>
      <c r="G3837" s="1572" t="s">
        <v>7182</v>
      </c>
      <c r="H3837" s="1524"/>
      <c r="J3837" s="1637"/>
      <c r="K3837" s="1637"/>
    </row>
    <row r="3838" spans="1:11" x14ac:dyDescent="0.25">
      <c r="A3838" s="1527"/>
      <c r="B3838" s="1540"/>
      <c r="C3838" s="1537"/>
      <c r="D3838" s="212"/>
      <c r="E3838" s="1535" t="s">
        <v>7182</v>
      </c>
      <c r="F3838" s="1537"/>
      <c r="G3838" s="1572" t="s">
        <v>7182</v>
      </c>
      <c r="H3838" s="1524"/>
      <c r="J3838" s="1637"/>
      <c r="K3838" s="1637"/>
    </row>
    <row r="3839" spans="1:11" ht="15.75" thickBot="1" x14ac:dyDescent="0.3">
      <c r="A3839" s="1527"/>
      <c r="B3839" s="1540"/>
      <c r="C3839" s="1537"/>
      <c r="D3839" s="212"/>
      <c r="E3839" s="1535" t="s">
        <v>7182</v>
      </c>
      <c r="F3839" s="1537"/>
      <c r="G3839" s="1572" t="s">
        <v>7182</v>
      </c>
      <c r="H3839" s="1524"/>
      <c r="J3839" s="1637"/>
      <c r="K3839" s="1637"/>
    </row>
    <row r="3840" spans="1:11" ht="15.75" thickBot="1" x14ac:dyDescent="0.3">
      <c r="A3840" s="1527"/>
      <c r="B3840" s="1555"/>
      <c r="C3840" s="1556"/>
      <c r="D3840" s="956"/>
      <c r="E3840" s="1556" t="s">
        <v>7182</v>
      </c>
      <c r="F3840" s="1557"/>
      <c r="G3840" s="1558" t="s">
        <v>7182</v>
      </c>
      <c r="H3840" s="1546">
        <f>SUM(G3836:G3840)</f>
        <v>10000</v>
      </c>
      <c r="J3840" s="1637"/>
      <c r="K3840" s="1637"/>
    </row>
    <row r="3841" spans="1:11" ht="15.75" thickBot="1" x14ac:dyDescent="0.3">
      <c r="A3841" s="1527"/>
      <c r="B3841" s="1547"/>
      <c r="C3841" s="1547"/>
      <c r="D3841" s="954"/>
      <c r="E3841" s="1547"/>
      <c r="F3841" s="1553"/>
      <c r="G3841" s="1554"/>
      <c r="H3841" s="1550"/>
      <c r="J3841" s="1637"/>
      <c r="K3841" s="1637"/>
    </row>
    <row r="3842" spans="1:11" ht="15.75" thickBot="1" x14ac:dyDescent="0.3">
      <c r="A3842" s="1559"/>
      <c r="B3842" s="1369" t="s">
        <v>5412</v>
      </c>
      <c r="C3842" s="1363" t="s">
        <v>5420</v>
      </c>
      <c r="D3842" s="1120" t="s">
        <v>5421</v>
      </c>
      <c r="E3842" s="1363" t="s">
        <v>7187</v>
      </c>
      <c r="F3842" s="1363" t="s">
        <v>5405</v>
      </c>
      <c r="G3842" s="1370" t="s">
        <v>7179</v>
      </c>
      <c r="H3842" s="1371"/>
      <c r="J3842" s="1637"/>
      <c r="K3842" s="1637"/>
    </row>
    <row r="3843" spans="1:11" x14ac:dyDescent="0.25">
      <c r="A3843" s="1527"/>
      <c r="B3843" s="1560" t="s">
        <v>9422</v>
      </c>
      <c r="C3843" s="1569">
        <v>170000</v>
      </c>
      <c r="D3843" s="352">
        <f>0.6*C3843</f>
        <v>102000</v>
      </c>
      <c r="E3843" s="1569">
        <f>+D3843+C3843</f>
        <v>272000</v>
      </c>
      <c r="F3843" s="819">
        <v>1.2</v>
      </c>
      <c r="G3843" s="818">
        <f>+F3843*E3843</f>
        <v>326400</v>
      </c>
      <c r="H3843" s="1524"/>
      <c r="J3843" s="1637"/>
      <c r="K3843" s="1637"/>
    </row>
    <row r="3844" spans="1:11" x14ac:dyDescent="0.25">
      <c r="A3844" s="1527"/>
      <c r="B3844" s="1560"/>
      <c r="C3844" s="1569"/>
      <c r="D3844" s="1569"/>
      <c r="E3844" s="1569"/>
      <c r="F3844" s="819"/>
      <c r="G3844" s="818"/>
      <c r="H3844" s="1524"/>
      <c r="J3844" s="1637"/>
      <c r="K3844" s="1637"/>
    </row>
    <row r="3845" spans="1:11" x14ac:dyDescent="0.25">
      <c r="A3845" s="1527"/>
      <c r="B3845" s="1561"/>
      <c r="C3845" s="1569"/>
      <c r="D3845" s="1569"/>
      <c r="E3845" s="1569"/>
      <c r="F3845" s="817"/>
      <c r="G3845" s="818"/>
      <c r="H3845" s="1524"/>
      <c r="J3845" s="1637"/>
      <c r="K3845" s="1637"/>
    </row>
    <row r="3846" spans="1:11" x14ac:dyDescent="0.25">
      <c r="A3846" s="1527"/>
      <c r="B3846" s="1540"/>
      <c r="C3846" s="1569"/>
      <c r="D3846" s="1569"/>
      <c r="E3846" s="1569"/>
      <c r="F3846" s="817"/>
      <c r="G3846" s="818"/>
      <c r="H3846" s="1524"/>
      <c r="J3846" s="1637"/>
      <c r="K3846" s="1637"/>
    </row>
    <row r="3847" spans="1:11" x14ac:dyDescent="0.25">
      <c r="A3847" s="1527"/>
      <c r="B3847" s="1540"/>
      <c r="C3847" s="1538" t="s">
        <v>7182</v>
      </c>
      <c r="D3847" s="952" t="s">
        <v>7182</v>
      </c>
      <c r="E3847" s="1538" t="s">
        <v>7182</v>
      </c>
      <c r="F3847" s="817"/>
      <c r="G3847" s="818" t="str">
        <f>IF(B3847="","",E3847/F3847)</f>
        <v/>
      </c>
      <c r="H3847" s="1524"/>
    </row>
    <row r="3848" spans="1:11" ht="15.75" thickBot="1" x14ac:dyDescent="0.3">
      <c r="A3848" s="1527"/>
      <c r="B3848" s="1540"/>
      <c r="C3848" s="1538" t="s">
        <v>7182</v>
      </c>
      <c r="D3848" s="952" t="s">
        <v>7182</v>
      </c>
      <c r="E3848" s="1538" t="s">
        <v>7182</v>
      </c>
      <c r="F3848" s="1537"/>
      <c r="G3848" s="818" t="str">
        <f>IF(B3848="","",E3848/F3848)</f>
        <v/>
      </c>
      <c r="H3848" s="1524"/>
    </row>
    <row r="3849" spans="1:11" ht="15.75" thickBot="1" x14ac:dyDescent="0.3">
      <c r="A3849" s="1527"/>
      <c r="B3849" s="1555"/>
      <c r="C3849" s="1556"/>
      <c r="D3849" s="956"/>
      <c r="E3849" s="1556"/>
      <c r="F3849" s="1557"/>
      <c r="G3849" s="1558"/>
      <c r="H3849" s="1546">
        <f>SUM(G3843:G3849)</f>
        <v>326400</v>
      </c>
    </row>
    <row r="3850" spans="1:11" ht="15.75" thickBot="1" x14ac:dyDescent="0.3">
      <c r="A3850" s="1527"/>
      <c r="B3850" s="1527"/>
      <c r="C3850" s="1527"/>
      <c r="D3850" s="529"/>
      <c r="F3850" s="1528"/>
      <c r="G3850" s="1524"/>
      <c r="H3850" s="1524"/>
    </row>
    <row r="3851" spans="1:11" ht="15.75" thickBot="1" x14ac:dyDescent="0.3">
      <c r="A3851" s="1647" t="s">
        <v>6744</v>
      </c>
      <c r="B3851" s="1352"/>
      <c r="C3851" s="1352"/>
      <c r="D3851" s="1671"/>
      <c r="E3851" s="1672"/>
      <c r="F3851" s="1353"/>
      <c r="G3851" s="1527" t="s">
        <v>5415</v>
      </c>
      <c r="H3851" s="502">
        <f>ROUND(SUM(H3809:H3850),0)</f>
        <v>1788593</v>
      </c>
      <c r="J3851" s="1673">
        <f>+B3805</f>
        <v>10.210000000000001</v>
      </c>
      <c r="K3851" s="1674">
        <f>+H3851</f>
        <v>1788593</v>
      </c>
    </row>
    <row r="3852" spans="1:11" x14ac:dyDescent="0.25">
      <c r="A3852" s="1675"/>
      <c r="B3852" s="1676"/>
      <c r="C3852" s="1676"/>
      <c r="D3852" s="1677"/>
      <c r="E3852" s="1678"/>
      <c r="F3852" s="1679"/>
      <c r="G3852" s="1680"/>
      <c r="H3852" s="1680"/>
    </row>
    <row r="3853" spans="1:11" ht="18.75" x14ac:dyDescent="0.25">
      <c r="A3853" s="1523"/>
      <c r="B3853" s="1655"/>
      <c r="C3853" s="1655"/>
      <c r="D3853" s="950"/>
      <c r="E3853" s="1655"/>
      <c r="F3853" s="1655"/>
      <c r="G3853" s="1655"/>
      <c r="H3853" s="8"/>
    </row>
    <row r="3854" spans="1:11" x14ac:dyDescent="0.25">
      <c r="A3854" s="1523"/>
      <c r="B3854" s="8"/>
      <c r="C3854" s="8"/>
      <c r="D3854" s="529"/>
      <c r="E3854" s="8"/>
      <c r="F3854" s="1523"/>
      <c r="G3854" s="1524"/>
      <c r="H3854" s="8"/>
    </row>
    <row r="3855" spans="1:11" ht="27.75" customHeight="1" x14ac:dyDescent="0.25">
      <c r="A3855" s="1665" t="s">
        <v>3</v>
      </c>
      <c r="B3855" s="1666">
        <f>+VLOOKUP(C3855,ListaAPUs!$B:$E,4,FALSE)</f>
        <v>10.220000000000001</v>
      </c>
      <c r="C3855" s="2441" t="str">
        <f>+ListaAPUs!B222</f>
        <v>Acometida parcial de Modulo No 7 a Modulo 17 en 3X(3X500+1X250+1X2/0T)</v>
      </c>
      <c r="D3855" s="2441"/>
      <c r="E3855" s="2441"/>
      <c r="F3855" s="1665" t="s">
        <v>867</v>
      </c>
      <c r="G3855" s="1390" t="str">
        <f>+VLOOKUP(C3855,ListaAPUs!$B:$E,2,FALSE)</f>
        <v>m</v>
      </c>
      <c r="H3855" s="1524"/>
    </row>
    <row r="3856" spans="1:11" x14ac:dyDescent="0.25">
      <c r="A3856" s="1528"/>
      <c r="B3856" s="1527"/>
      <c r="C3856" s="1527"/>
      <c r="D3856" s="529"/>
      <c r="E3856" s="1527"/>
      <c r="F3856" s="1528"/>
      <c r="G3856" s="1524"/>
      <c r="H3856" s="1524"/>
    </row>
    <row r="3857" spans="1:11" x14ac:dyDescent="0.25">
      <c r="A3857" s="1528"/>
      <c r="B3857" s="1527"/>
      <c r="C3857" s="1527"/>
      <c r="D3857" s="529"/>
      <c r="E3857" s="1527"/>
      <c r="F3857" s="1528"/>
      <c r="G3857" s="1529"/>
      <c r="H3857" s="1524"/>
    </row>
    <row r="3858" spans="1:11" ht="15.75" thickBot="1" x14ac:dyDescent="0.3">
      <c r="A3858" s="1528"/>
      <c r="B3858" s="1527"/>
      <c r="C3858" s="1527"/>
      <c r="D3858" s="529"/>
      <c r="E3858" s="1527"/>
      <c r="F3858" s="1528"/>
      <c r="G3858" s="1524"/>
      <c r="H3858" s="1524"/>
    </row>
    <row r="3859" spans="1:11" ht="15.75" thickBot="1" x14ac:dyDescent="0.3">
      <c r="A3859" s="1368"/>
      <c r="B3859" s="1369" t="s">
        <v>5403</v>
      </c>
      <c r="C3859" s="1363" t="s">
        <v>867</v>
      </c>
      <c r="D3859" s="1120" t="s">
        <v>6</v>
      </c>
      <c r="E3859" s="1363" t="s">
        <v>9417</v>
      </c>
      <c r="F3859" s="1363" t="s">
        <v>5405</v>
      </c>
      <c r="G3859" s="1370" t="s">
        <v>7179</v>
      </c>
      <c r="H3859" s="1371"/>
    </row>
    <row r="3860" spans="1:11" x14ac:dyDescent="0.25">
      <c r="A3860" s="1528"/>
      <c r="B3860" s="1533" t="s">
        <v>9473</v>
      </c>
      <c r="C3860" s="1348" t="s">
        <v>5432</v>
      </c>
      <c r="D3860" s="967">
        <f>9*1.1</f>
        <v>9.9</v>
      </c>
      <c r="E3860" s="1349">
        <v>79100</v>
      </c>
      <c r="F3860" s="1350">
        <v>1</v>
      </c>
      <c r="G3860" s="1351">
        <f>+F3860*E3860*D3860</f>
        <v>783090</v>
      </c>
      <c r="H3860" s="1524"/>
    </row>
    <row r="3861" spans="1:11" x14ac:dyDescent="0.25">
      <c r="A3861" s="1528"/>
      <c r="B3861" s="1539" t="s">
        <v>9478</v>
      </c>
      <c r="C3861" s="1537" t="s">
        <v>5432</v>
      </c>
      <c r="D3861" s="212">
        <v>1.1000000000000001</v>
      </c>
      <c r="E3861" s="1681">
        <v>36100</v>
      </c>
      <c r="F3861" s="1563">
        <v>1</v>
      </c>
      <c r="G3861" s="814">
        <f>+F3861*E3861*D3861</f>
        <v>39710</v>
      </c>
      <c r="H3861" s="1524"/>
    </row>
    <row r="3862" spans="1:11" x14ac:dyDescent="0.25">
      <c r="A3862" s="1528"/>
      <c r="B3862" s="1667" t="s">
        <v>9475</v>
      </c>
      <c r="C3862" s="1537" t="s">
        <v>5432</v>
      </c>
      <c r="D3862" s="212">
        <v>1.1000000000000001</v>
      </c>
      <c r="E3862" s="1681">
        <v>20300</v>
      </c>
      <c r="F3862" s="1563">
        <v>1</v>
      </c>
      <c r="G3862" s="814">
        <f>+F3862*E3862</f>
        <v>20300</v>
      </c>
      <c r="H3862" s="1524"/>
    </row>
    <row r="3863" spans="1:11" x14ac:dyDescent="0.25">
      <c r="A3863" s="1528"/>
      <c r="B3863" s="1539" t="s">
        <v>9476</v>
      </c>
      <c r="C3863" s="1537" t="s">
        <v>5</v>
      </c>
      <c r="D3863" s="212">
        <f>12/6</f>
        <v>2</v>
      </c>
      <c r="E3863" s="1681">
        <v>8000</v>
      </c>
      <c r="F3863" s="1563">
        <v>1</v>
      </c>
      <c r="G3863" s="814">
        <f>+F3863*E3863*D3863</f>
        <v>16000</v>
      </c>
      <c r="H3863" s="1524"/>
      <c r="J3863" s="1637"/>
      <c r="K3863" s="1637"/>
    </row>
    <row r="3864" spans="1:11" x14ac:dyDescent="0.25">
      <c r="A3864" s="1528"/>
      <c r="B3864" s="1667" t="s">
        <v>9477</v>
      </c>
      <c r="C3864" s="1537" t="s">
        <v>5</v>
      </c>
      <c r="D3864" s="1563">
        <f>2/6</f>
        <v>0.33333333333333331</v>
      </c>
      <c r="E3864" s="1681">
        <v>4000</v>
      </c>
      <c r="F3864" s="1563">
        <v>1</v>
      </c>
      <c r="G3864" s="814">
        <f>+F3864*E3864*D3864</f>
        <v>1333.3333333333333</v>
      </c>
      <c r="H3864" s="1524"/>
      <c r="J3864" s="1637"/>
      <c r="K3864" s="1637"/>
    </row>
    <row r="3865" spans="1:11" x14ac:dyDescent="0.25">
      <c r="A3865" s="1528"/>
      <c r="B3865" s="1539" t="s">
        <v>9479</v>
      </c>
      <c r="C3865" s="1537" t="s">
        <v>5</v>
      </c>
      <c r="D3865" s="1563">
        <f>2/6</f>
        <v>0.33333333333333331</v>
      </c>
      <c r="E3865" s="1571">
        <v>6000</v>
      </c>
      <c r="F3865" s="1563">
        <v>1</v>
      </c>
      <c r="G3865" s="814">
        <f>+F3865*E3865*D3865</f>
        <v>2000</v>
      </c>
      <c r="H3865" s="1524"/>
      <c r="J3865" s="1637"/>
      <c r="K3865" s="1637"/>
    </row>
    <row r="3866" spans="1:11" ht="25.5" x14ac:dyDescent="0.25">
      <c r="A3866" s="1528"/>
      <c r="B3866" s="1667" t="s">
        <v>9480</v>
      </c>
      <c r="C3866" s="1537" t="s">
        <v>9023</v>
      </c>
      <c r="D3866" s="212">
        <v>1</v>
      </c>
      <c r="E3866" s="1571">
        <v>5000</v>
      </c>
      <c r="F3866" s="1563">
        <v>1</v>
      </c>
      <c r="G3866" s="814">
        <f>+F3866*E3866</f>
        <v>5000</v>
      </c>
      <c r="H3866" s="1524"/>
      <c r="J3866" s="1637"/>
      <c r="K3866" s="1637"/>
    </row>
    <row r="3867" spans="1:11" x14ac:dyDescent="0.25">
      <c r="A3867" s="1528"/>
      <c r="B3867" s="1667" t="s">
        <v>9481</v>
      </c>
      <c r="C3867" s="1537" t="s">
        <v>9023</v>
      </c>
      <c r="D3867" s="212">
        <v>1</v>
      </c>
      <c r="E3867" s="1571">
        <f>2500*20</f>
        <v>50000</v>
      </c>
      <c r="F3867" s="1563">
        <v>1</v>
      </c>
      <c r="G3867" s="814">
        <f>+F3867*E3867</f>
        <v>50000</v>
      </c>
      <c r="H3867" s="1524"/>
      <c r="J3867" s="1637"/>
      <c r="K3867" s="1637"/>
    </row>
    <row r="3868" spans="1:11" x14ac:dyDescent="0.25">
      <c r="A3868" s="1528"/>
      <c r="B3868" s="1667" t="s">
        <v>9482</v>
      </c>
      <c r="C3868" s="1537" t="s">
        <v>5</v>
      </c>
      <c r="D3868" s="212">
        <f>(9+2)*2/20</f>
        <v>1.1000000000000001</v>
      </c>
      <c r="E3868" s="1571">
        <v>1500</v>
      </c>
      <c r="F3868" s="1563">
        <v>1</v>
      </c>
      <c r="G3868" s="814">
        <f>+F3868*E3868*D3868</f>
        <v>1650.0000000000002</v>
      </c>
      <c r="H3868" s="1524"/>
      <c r="J3868" s="1637"/>
      <c r="K3868" s="1637"/>
    </row>
    <row r="3869" spans="1:11" x14ac:dyDescent="0.25">
      <c r="A3869" s="1528"/>
      <c r="B3869" s="1667"/>
      <c r="C3869" s="1537"/>
      <c r="D3869" s="212"/>
      <c r="E3869" s="816"/>
      <c r="F3869" s="1563"/>
      <c r="G3869" s="814"/>
      <c r="H3869" s="1524"/>
      <c r="J3869" s="1637"/>
      <c r="K3869" s="1637"/>
    </row>
    <row r="3870" spans="1:11" x14ac:dyDescent="0.25">
      <c r="A3870" s="1528"/>
      <c r="B3870" s="1667"/>
      <c r="C3870" s="1537"/>
      <c r="D3870" s="212"/>
      <c r="E3870" s="816"/>
      <c r="F3870" s="1563"/>
      <c r="G3870" s="814"/>
      <c r="H3870" s="1524"/>
      <c r="J3870" s="1637"/>
      <c r="K3870" s="1637"/>
    </row>
    <row r="3871" spans="1:11" x14ac:dyDescent="0.25">
      <c r="A3871" s="1528"/>
      <c r="B3871" s="269"/>
      <c r="C3871" s="1537"/>
      <c r="D3871" s="212"/>
      <c r="E3871" s="816"/>
      <c r="F3871" s="1563"/>
      <c r="G3871" s="814"/>
      <c r="H3871" s="1524"/>
      <c r="J3871" s="1637"/>
      <c r="K3871" s="1637"/>
    </row>
    <row r="3872" spans="1:11" x14ac:dyDescent="0.25">
      <c r="A3872" s="1528"/>
      <c r="B3872" s="268"/>
      <c r="C3872" s="1534"/>
      <c r="D3872" s="211"/>
      <c r="E3872" s="1535" t="s">
        <v>7182</v>
      </c>
      <c r="F3872" s="1551"/>
      <c r="G3872" s="1541" t="s">
        <v>7182</v>
      </c>
      <c r="H3872" s="1524"/>
      <c r="J3872" s="1637"/>
      <c r="K3872" s="1637"/>
    </row>
    <row r="3873" spans="1:11" x14ac:dyDescent="0.25">
      <c r="A3873" s="1528"/>
      <c r="B3873" s="1346"/>
      <c r="C3873" s="1534"/>
      <c r="D3873" s="211"/>
      <c r="E3873" s="1535" t="s">
        <v>7182</v>
      </c>
      <c r="F3873" s="1551"/>
      <c r="G3873" s="1541" t="s">
        <v>7182</v>
      </c>
      <c r="H3873" s="1524"/>
      <c r="J3873" s="1637"/>
      <c r="K3873" s="1637"/>
    </row>
    <row r="3874" spans="1:11" ht="15.75" thickBot="1" x14ac:dyDescent="0.3">
      <c r="A3874" s="1528"/>
      <c r="B3874" s="1540"/>
      <c r="C3874" s="1537"/>
      <c r="D3874" s="952"/>
      <c r="E3874" s="1538" t="s">
        <v>7182</v>
      </c>
      <c r="F3874" s="1537"/>
      <c r="G3874" s="1541" t="s">
        <v>7182</v>
      </c>
      <c r="H3874" s="1524"/>
      <c r="J3874" s="1637"/>
      <c r="K3874" s="1637"/>
    </row>
    <row r="3875" spans="1:11" ht="15.75" thickBot="1" x14ac:dyDescent="0.3">
      <c r="A3875" s="1528"/>
      <c r="B3875" s="1555"/>
      <c r="C3875" s="1557"/>
      <c r="D3875" s="956"/>
      <c r="E3875" s="1556" t="s">
        <v>7182</v>
      </c>
      <c r="F3875" s="1557"/>
      <c r="G3875" s="1558" t="s">
        <v>7182</v>
      </c>
      <c r="H3875" s="1546">
        <f>SUM(G3860:G3875)</f>
        <v>919083.33333333337</v>
      </c>
      <c r="J3875" s="1637"/>
      <c r="K3875" s="1637"/>
    </row>
    <row r="3876" spans="1:11" x14ac:dyDescent="0.25">
      <c r="A3876" s="1528"/>
      <c r="B3876" s="1372"/>
      <c r="C3876" s="1374"/>
      <c r="D3876" s="1373"/>
      <c r="E3876" s="1372" t="s">
        <v>7182</v>
      </c>
      <c r="F3876" s="1374"/>
      <c r="G3876" s="1375" t="s">
        <v>7182</v>
      </c>
      <c r="H3876" s="1550"/>
      <c r="J3876" s="1637"/>
      <c r="K3876" s="1637"/>
    </row>
    <row r="3877" spans="1:11" ht="15.75" thickBot="1" x14ac:dyDescent="0.3">
      <c r="A3877" s="1527"/>
      <c r="B3877" s="188"/>
      <c r="C3877" s="189"/>
      <c r="D3877" s="1668"/>
      <c r="E3877" s="188"/>
      <c r="F3877" s="189"/>
      <c r="G3877" s="1669"/>
      <c r="H3877" s="1550"/>
      <c r="J3877" s="1637"/>
      <c r="K3877" s="1637"/>
    </row>
    <row r="3878" spans="1:11" ht="15.75" thickBot="1" x14ac:dyDescent="0.3">
      <c r="A3878" s="1527"/>
      <c r="B3878" s="1366" t="s">
        <v>9418</v>
      </c>
      <c r="C3878" s="1363" t="s">
        <v>867</v>
      </c>
      <c r="D3878" s="1120" t="s">
        <v>6</v>
      </c>
      <c r="E3878" s="1363" t="s">
        <v>7183</v>
      </c>
      <c r="F3878" s="1363" t="s">
        <v>5405</v>
      </c>
      <c r="G3878" s="1365" t="s">
        <v>7179</v>
      </c>
      <c r="H3878" s="1524"/>
      <c r="J3878" s="1637"/>
      <c r="K3878" s="1637"/>
    </row>
    <row r="3879" spans="1:11" x14ac:dyDescent="0.25">
      <c r="A3879" s="1527"/>
      <c r="B3879" s="1564" t="s">
        <v>5455</v>
      </c>
      <c r="C3879" s="1534" t="s">
        <v>5</v>
      </c>
      <c r="D3879" s="211">
        <v>1</v>
      </c>
      <c r="E3879" s="1535">
        <v>10000</v>
      </c>
      <c r="F3879" s="1534">
        <v>1</v>
      </c>
      <c r="G3879" s="1572">
        <f>+F3879*E3879</f>
        <v>10000</v>
      </c>
      <c r="H3879" s="1524"/>
      <c r="J3879" s="1637"/>
      <c r="K3879" s="1637"/>
    </row>
    <row r="3880" spans="1:11" x14ac:dyDescent="0.25">
      <c r="A3880" s="1527"/>
      <c r="B3880" s="1540"/>
      <c r="C3880" s="1537"/>
      <c r="D3880" s="212"/>
      <c r="E3880" s="1535" t="s">
        <v>7182</v>
      </c>
      <c r="F3880" s="1537"/>
      <c r="G3880" s="1572" t="s">
        <v>7182</v>
      </c>
      <c r="H3880" s="1524"/>
      <c r="J3880" s="1637"/>
      <c r="K3880" s="1637"/>
    </row>
    <row r="3881" spans="1:11" x14ac:dyDescent="0.25">
      <c r="A3881" s="1527"/>
      <c r="B3881" s="1540"/>
      <c r="C3881" s="1537"/>
      <c r="D3881" s="212"/>
      <c r="E3881" s="1535" t="s">
        <v>7182</v>
      </c>
      <c r="F3881" s="1537"/>
      <c r="G3881" s="1572" t="s">
        <v>7182</v>
      </c>
      <c r="H3881" s="1524"/>
      <c r="J3881" s="1637"/>
      <c r="K3881" s="1637"/>
    </row>
    <row r="3882" spans="1:11" ht="15.75" thickBot="1" x14ac:dyDescent="0.3">
      <c r="A3882" s="1527"/>
      <c r="B3882" s="1540"/>
      <c r="C3882" s="1537"/>
      <c r="D3882" s="212"/>
      <c r="E3882" s="1535" t="s">
        <v>7182</v>
      </c>
      <c r="F3882" s="1537"/>
      <c r="G3882" s="1572" t="s">
        <v>7182</v>
      </c>
      <c r="H3882" s="1524"/>
      <c r="J3882" s="1637"/>
      <c r="K3882" s="1637"/>
    </row>
    <row r="3883" spans="1:11" ht="15.75" thickBot="1" x14ac:dyDescent="0.3">
      <c r="A3883" s="1527"/>
      <c r="B3883" s="1555"/>
      <c r="C3883" s="1556"/>
      <c r="D3883" s="956"/>
      <c r="E3883" s="1556" t="s">
        <v>7182</v>
      </c>
      <c r="F3883" s="1557"/>
      <c r="G3883" s="1558" t="s">
        <v>7182</v>
      </c>
      <c r="H3883" s="1546">
        <f>SUM(G3879:G3883)</f>
        <v>10000</v>
      </c>
      <c r="J3883" s="1637"/>
      <c r="K3883" s="1637"/>
    </row>
    <row r="3884" spans="1:11" ht="15.75" thickBot="1" x14ac:dyDescent="0.3">
      <c r="A3884" s="1527"/>
      <c r="B3884" s="1376"/>
      <c r="C3884" s="1353"/>
      <c r="D3884" s="1355"/>
      <c r="E3884" s="1352"/>
      <c r="F3884" s="1377"/>
      <c r="G3884" s="1378"/>
      <c r="H3884" s="1524"/>
      <c r="J3884" s="1637"/>
      <c r="K3884" s="1637"/>
    </row>
    <row r="3885" spans="1:11" ht="15.75" thickBot="1" x14ac:dyDescent="0.3">
      <c r="A3885" s="1527"/>
      <c r="B3885" s="1366" t="s">
        <v>5410</v>
      </c>
      <c r="C3885" s="1363" t="s">
        <v>867</v>
      </c>
      <c r="D3885" s="1120" t="s">
        <v>6</v>
      </c>
      <c r="E3885" s="1363" t="s">
        <v>7183</v>
      </c>
      <c r="F3885" s="1363" t="s">
        <v>5405</v>
      </c>
      <c r="G3885" s="1365" t="s">
        <v>7179</v>
      </c>
      <c r="H3885" s="1524"/>
      <c r="J3885" s="1637"/>
      <c r="K3885" s="1637"/>
    </row>
    <row r="3886" spans="1:11" ht="25.5" x14ac:dyDescent="0.25">
      <c r="A3886" s="1527"/>
      <c r="B3886" s="1564" t="s">
        <v>9421</v>
      </c>
      <c r="C3886" s="1534" t="s">
        <v>9023</v>
      </c>
      <c r="D3886" s="211">
        <v>1</v>
      </c>
      <c r="E3886" s="1535">
        <v>10000</v>
      </c>
      <c r="F3886" s="1534">
        <v>1</v>
      </c>
      <c r="G3886" s="1572">
        <f>+F3886*E3886</f>
        <v>10000</v>
      </c>
      <c r="H3886" s="1524"/>
      <c r="J3886" s="1637"/>
      <c r="K3886" s="1637"/>
    </row>
    <row r="3887" spans="1:11" x14ac:dyDescent="0.25">
      <c r="A3887" s="1527"/>
      <c r="B3887" s="1540"/>
      <c r="C3887" s="1537"/>
      <c r="D3887" s="212"/>
      <c r="E3887" s="1535" t="s">
        <v>7182</v>
      </c>
      <c r="F3887" s="1537"/>
      <c r="G3887" s="1572" t="s">
        <v>7182</v>
      </c>
      <c r="H3887" s="1524"/>
      <c r="J3887" s="1637"/>
      <c r="K3887" s="1637"/>
    </row>
    <row r="3888" spans="1:11" x14ac:dyDescent="0.25">
      <c r="A3888" s="1527"/>
      <c r="B3888" s="1540"/>
      <c r="C3888" s="1537"/>
      <c r="D3888" s="212"/>
      <c r="E3888" s="1535" t="s">
        <v>7182</v>
      </c>
      <c r="F3888" s="1537"/>
      <c r="G3888" s="1572" t="s">
        <v>7182</v>
      </c>
      <c r="H3888" s="1524"/>
      <c r="J3888" s="1637"/>
      <c r="K3888" s="1637"/>
    </row>
    <row r="3889" spans="1:11" ht="15.75" thickBot="1" x14ac:dyDescent="0.3">
      <c r="A3889" s="1527"/>
      <c r="B3889" s="1540"/>
      <c r="C3889" s="1537"/>
      <c r="D3889" s="212"/>
      <c r="E3889" s="1535" t="s">
        <v>7182</v>
      </c>
      <c r="F3889" s="1537"/>
      <c r="G3889" s="1572" t="s">
        <v>7182</v>
      </c>
      <c r="H3889" s="1524"/>
      <c r="J3889" s="1637"/>
      <c r="K3889" s="1637"/>
    </row>
    <row r="3890" spans="1:11" ht="15.75" thickBot="1" x14ac:dyDescent="0.3">
      <c r="A3890" s="1527"/>
      <c r="B3890" s="1555"/>
      <c r="C3890" s="1556"/>
      <c r="D3890" s="956"/>
      <c r="E3890" s="1556" t="s">
        <v>7182</v>
      </c>
      <c r="F3890" s="1557"/>
      <c r="G3890" s="1558" t="s">
        <v>7182</v>
      </c>
      <c r="H3890" s="1546">
        <f>SUM(G3886:G3890)</f>
        <v>10000</v>
      </c>
      <c r="J3890" s="1637"/>
      <c r="K3890" s="1637"/>
    </row>
    <row r="3891" spans="1:11" ht="15.75" thickBot="1" x14ac:dyDescent="0.3">
      <c r="A3891" s="1527"/>
      <c r="B3891" s="1547"/>
      <c r="C3891" s="1547"/>
      <c r="D3891" s="954"/>
      <c r="E3891" s="1547"/>
      <c r="F3891" s="1553"/>
      <c r="G3891" s="1554"/>
      <c r="H3891" s="1550"/>
      <c r="J3891" s="1637"/>
      <c r="K3891" s="1637"/>
    </row>
    <row r="3892" spans="1:11" ht="15.75" thickBot="1" x14ac:dyDescent="0.3">
      <c r="A3892" s="1559"/>
      <c r="B3892" s="1369" t="s">
        <v>5412</v>
      </c>
      <c r="C3892" s="1363" t="s">
        <v>5420</v>
      </c>
      <c r="D3892" s="1120" t="s">
        <v>5421</v>
      </c>
      <c r="E3892" s="1363" t="s">
        <v>7187</v>
      </c>
      <c r="F3892" s="1363" t="s">
        <v>5405</v>
      </c>
      <c r="G3892" s="1370" t="s">
        <v>7179</v>
      </c>
      <c r="H3892" s="1371"/>
      <c r="J3892" s="1637"/>
      <c r="K3892" s="1637"/>
    </row>
    <row r="3893" spans="1:11" x14ac:dyDescent="0.25">
      <c r="A3893" s="1527"/>
      <c r="B3893" s="1560" t="s">
        <v>9422</v>
      </c>
      <c r="C3893" s="1569">
        <v>170000</v>
      </c>
      <c r="D3893" s="352">
        <f>0.6*C3893</f>
        <v>102000</v>
      </c>
      <c r="E3893" s="1569">
        <f>+D3893+C3893</f>
        <v>272000</v>
      </c>
      <c r="F3893" s="819">
        <v>1</v>
      </c>
      <c r="G3893" s="818">
        <f>+F3893*E3893</f>
        <v>272000</v>
      </c>
      <c r="H3893" s="1524"/>
      <c r="J3893" s="1637"/>
      <c r="K3893" s="1637"/>
    </row>
    <row r="3894" spans="1:11" x14ac:dyDescent="0.25">
      <c r="A3894" s="1527"/>
      <c r="B3894" s="1560"/>
      <c r="C3894" s="1569"/>
      <c r="D3894" s="1569"/>
      <c r="E3894" s="1569"/>
      <c r="F3894" s="819"/>
      <c r="G3894" s="818"/>
      <c r="H3894" s="1524"/>
      <c r="J3894" s="1637"/>
      <c r="K3894" s="1637"/>
    </row>
    <row r="3895" spans="1:11" x14ac:dyDescent="0.25">
      <c r="A3895" s="1527"/>
      <c r="B3895" s="1561"/>
      <c r="C3895" s="1569"/>
      <c r="D3895" s="1569"/>
      <c r="E3895" s="1569"/>
      <c r="F3895" s="817"/>
      <c r="G3895" s="818"/>
      <c r="H3895" s="1524"/>
    </row>
    <row r="3896" spans="1:11" x14ac:dyDescent="0.25">
      <c r="A3896" s="1527"/>
      <c r="B3896" s="1540"/>
      <c r="C3896" s="1569"/>
      <c r="D3896" s="1569"/>
      <c r="E3896" s="1569"/>
      <c r="F3896" s="817"/>
      <c r="G3896" s="818"/>
      <c r="H3896" s="1524"/>
    </row>
    <row r="3897" spans="1:11" x14ac:dyDescent="0.25">
      <c r="A3897" s="1527"/>
      <c r="B3897" s="1540"/>
      <c r="C3897" s="1538" t="s">
        <v>7182</v>
      </c>
      <c r="D3897" s="952" t="s">
        <v>7182</v>
      </c>
      <c r="E3897" s="1538" t="s">
        <v>7182</v>
      </c>
      <c r="F3897" s="817"/>
      <c r="G3897" s="818" t="str">
        <f>IF(B3897="","",E3897/F3897)</f>
        <v/>
      </c>
      <c r="H3897" s="1524"/>
    </row>
    <row r="3898" spans="1:11" ht="15.75" thickBot="1" x14ac:dyDescent="0.3">
      <c r="A3898" s="1527"/>
      <c r="B3898" s="1540"/>
      <c r="C3898" s="1538" t="s">
        <v>7182</v>
      </c>
      <c r="D3898" s="952" t="s">
        <v>7182</v>
      </c>
      <c r="E3898" s="1538" t="s">
        <v>7182</v>
      </c>
      <c r="F3898" s="1537"/>
      <c r="G3898" s="818" t="str">
        <f>IF(B3898="","",E3898/F3898)</f>
        <v/>
      </c>
      <c r="H3898" s="1524"/>
    </row>
    <row r="3899" spans="1:11" ht="15.75" thickBot="1" x14ac:dyDescent="0.3">
      <c r="A3899" s="1527"/>
      <c r="B3899" s="1555"/>
      <c r="C3899" s="1556"/>
      <c r="D3899" s="956"/>
      <c r="E3899" s="1556"/>
      <c r="F3899" s="1557"/>
      <c r="G3899" s="1558"/>
      <c r="H3899" s="1546">
        <f>SUM(G3893:G3899)</f>
        <v>272000</v>
      </c>
    </row>
    <row r="3900" spans="1:11" ht="15.75" thickBot="1" x14ac:dyDescent="0.3">
      <c r="A3900" s="1527"/>
      <c r="B3900" s="1527"/>
      <c r="C3900" s="1527"/>
      <c r="D3900" s="529"/>
      <c r="F3900" s="1528"/>
      <c r="G3900" s="1524"/>
      <c r="H3900" s="1524"/>
    </row>
    <row r="3901" spans="1:11" ht="15.75" thickBot="1" x14ac:dyDescent="0.3">
      <c r="A3901" s="1647" t="s">
        <v>6744</v>
      </c>
      <c r="B3901" s="1352"/>
      <c r="C3901" s="1352"/>
      <c r="D3901" s="1671"/>
      <c r="E3901" s="1672"/>
      <c r="F3901" s="1353"/>
      <c r="G3901" s="1527" t="s">
        <v>5415</v>
      </c>
      <c r="H3901" s="502">
        <f>ROUND(SUM(H3859:H3900),0)</f>
        <v>1211083</v>
      </c>
      <c r="J3901" s="1673">
        <f>+B3855</f>
        <v>10.220000000000001</v>
      </c>
      <c r="K3901" s="1674">
        <f>+H3901</f>
        <v>1211083</v>
      </c>
    </row>
    <row r="3902" spans="1:11" x14ac:dyDescent="0.25">
      <c r="A3902" s="1675"/>
      <c r="B3902" s="1676"/>
      <c r="C3902" s="1676"/>
      <c r="D3902" s="1677"/>
      <c r="E3902" s="1678"/>
      <c r="F3902" s="1679"/>
      <c r="G3902" s="1680"/>
      <c r="H3902" s="1680"/>
    </row>
    <row r="3903" spans="1:11" ht="18.75" x14ac:dyDescent="0.25">
      <c r="A3903" s="1523"/>
      <c r="B3903" s="1655"/>
      <c r="C3903" s="1655"/>
      <c r="D3903" s="950"/>
      <c r="E3903" s="1655"/>
      <c r="F3903" s="1655"/>
      <c r="G3903" s="1655"/>
      <c r="H3903" s="8"/>
    </row>
    <row r="3904" spans="1:11" x14ac:dyDescent="0.25">
      <c r="A3904" s="1523"/>
      <c r="B3904" s="8"/>
      <c r="C3904" s="8"/>
      <c r="D3904" s="529"/>
      <c r="E3904" s="8"/>
      <c r="F3904" s="1523"/>
      <c r="G3904" s="1524"/>
      <c r="H3904" s="8"/>
    </row>
    <row r="3905" spans="1:11" ht="27.75" customHeight="1" x14ac:dyDescent="0.25">
      <c r="A3905" s="1665" t="s">
        <v>3</v>
      </c>
      <c r="B3905" s="1666">
        <f>+VLOOKUP(C3905,ListaAPUs!$B:$E,4,FALSE)</f>
        <v>10.23</v>
      </c>
      <c r="C3905" s="2441" t="str">
        <f>+ListaAPUs!B223</f>
        <v>Acometida parcial de  Generador a Modulo 10 en 3X(3X500+1X250+1X2/0T)</v>
      </c>
      <c r="D3905" s="2441"/>
      <c r="E3905" s="2441"/>
      <c r="F3905" s="1665" t="s">
        <v>867</v>
      </c>
      <c r="G3905" s="1390" t="str">
        <f>+VLOOKUP(C3905,ListaAPUs!$B:$E,2,FALSE)</f>
        <v>m</v>
      </c>
      <c r="H3905" s="1524"/>
    </row>
    <row r="3906" spans="1:11" x14ac:dyDescent="0.25">
      <c r="A3906" s="1528"/>
      <c r="B3906" s="1527"/>
      <c r="C3906" s="1527"/>
      <c r="D3906" s="529"/>
      <c r="E3906" s="1527"/>
      <c r="F3906" s="1528"/>
      <c r="G3906" s="1524"/>
      <c r="H3906" s="1524"/>
    </row>
    <row r="3907" spans="1:11" x14ac:dyDescent="0.25">
      <c r="A3907" s="1528"/>
      <c r="B3907" s="1527"/>
      <c r="C3907" s="1527"/>
      <c r="D3907" s="529"/>
      <c r="E3907" s="1527"/>
      <c r="F3907" s="1528"/>
      <c r="G3907" s="1529"/>
      <c r="H3907" s="1524"/>
    </row>
    <row r="3908" spans="1:11" ht="15.75" thickBot="1" x14ac:dyDescent="0.3">
      <c r="A3908" s="1528"/>
      <c r="B3908" s="1527"/>
      <c r="C3908" s="1527"/>
      <c r="D3908" s="529"/>
      <c r="E3908" s="1527"/>
      <c r="F3908" s="1528"/>
      <c r="G3908" s="1524"/>
      <c r="H3908" s="1524"/>
    </row>
    <row r="3909" spans="1:11" ht="15.75" thickBot="1" x14ac:dyDescent="0.3">
      <c r="A3909" s="1368"/>
      <c r="B3909" s="1369" t="s">
        <v>5403</v>
      </c>
      <c r="C3909" s="1363" t="s">
        <v>867</v>
      </c>
      <c r="D3909" s="1120" t="s">
        <v>6</v>
      </c>
      <c r="E3909" s="1363" t="s">
        <v>9417</v>
      </c>
      <c r="F3909" s="1363" t="s">
        <v>5405</v>
      </c>
      <c r="G3909" s="1370" t="s">
        <v>7179</v>
      </c>
      <c r="H3909" s="1371"/>
    </row>
    <row r="3910" spans="1:11" x14ac:dyDescent="0.25">
      <c r="A3910" s="1528"/>
      <c r="B3910" s="1533" t="s">
        <v>9473</v>
      </c>
      <c r="C3910" s="1348" t="s">
        <v>5432</v>
      </c>
      <c r="D3910" s="967">
        <f>9*1.1</f>
        <v>9.9</v>
      </c>
      <c r="E3910" s="1349">
        <v>79100</v>
      </c>
      <c r="F3910" s="1350">
        <v>1</v>
      </c>
      <c r="G3910" s="1351">
        <f>+F3910*E3910*D3910</f>
        <v>783090</v>
      </c>
      <c r="H3910" s="1524"/>
    </row>
    <row r="3911" spans="1:11" x14ac:dyDescent="0.25">
      <c r="A3911" s="1528"/>
      <c r="B3911" s="1539" t="s">
        <v>9478</v>
      </c>
      <c r="C3911" s="1537" t="s">
        <v>5432</v>
      </c>
      <c r="D3911" s="212">
        <v>1.1000000000000001</v>
      </c>
      <c r="E3911" s="1681">
        <v>36100</v>
      </c>
      <c r="F3911" s="1563">
        <v>1</v>
      </c>
      <c r="G3911" s="814">
        <f>+F3911*E3911*D3911</f>
        <v>39710</v>
      </c>
      <c r="H3911" s="1524"/>
      <c r="J3911" s="1637"/>
      <c r="K3911" s="1637"/>
    </row>
    <row r="3912" spans="1:11" x14ac:dyDescent="0.25">
      <c r="A3912" s="1528"/>
      <c r="B3912" s="1667" t="s">
        <v>9475</v>
      </c>
      <c r="C3912" s="1537" t="s">
        <v>5432</v>
      </c>
      <c r="D3912" s="212">
        <v>1.1000000000000001</v>
      </c>
      <c r="E3912" s="1681">
        <v>20300</v>
      </c>
      <c r="F3912" s="1563">
        <v>1</v>
      </c>
      <c r="G3912" s="814">
        <f>+F3912*E3912</f>
        <v>20300</v>
      </c>
      <c r="H3912" s="1524"/>
      <c r="J3912" s="1637"/>
      <c r="K3912" s="1637"/>
    </row>
    <row r="3913" spans="1:11" x14ac:dyDescent="0.25">
      <c r="A3913" s="1528"/>
      <c r="B3913" s="1539" t="s">
        <v>9476</v>
      </c>
      <c r="C3913" s="1537" t="s">
        <v>5</v>
      </c>
      <c r="D3913" s="212">
        <f>12/6</f>
        <v>2</v>
      </c>
      <c r="E3913" s="1681">
        <v>8000</v>
      </c>
      <c r="F3913" s="1563">
        <v>1</v>
      </c>
      <c r="G3913" s="814">
        <f>+F3913*E3913*D3913</f>
        <v>16000</v>
      </c>
      <c r="H3913" s="1524"/>
      <c r="J3913" s="1637"/>
      <c r="K3913" s="1637"/>
    </row>
    <row r="3914" spans="1:11" x14ac:dyDescent="0.25">
      <c r="A3914" s="1528"/>
      <c r="B3914" s="1667" t="s">
        <v>9477</v>
      </c>
      <c r="C3914" s="1537" t="s">
        <v>5</v>
      </c>
      <c r="D3914" s="1563">
        <f>2/6</f>
        <v>0.33333333333333331</v>
      </c>
      <c r="E3914" s="1681">
        <v>4000</v>
      </c>
      <c r="F3914" s="1563">
        <v>1</v>
      </c>
      <c r="G3914" s="814">
        <f>+F3914*E3914*D3914</f>
        <v>1333.3333333333333</v>
      </c>
      <c r="H3914" s="1524"/>
      <c r="J3914" s="1637"/>
      <c r="K3914" s="1637"/>
    </row>
    <row r="3915" spans="1:11" x14ac:dyDescent="0.25">
      <c r="A3915" s="1528"/>
      <c r="B3915" s="1539" t="s">
        <v>9479</v>
      </c>
      <c r="C3915" s="1537" t="s">
        <v>5</v>
      </c>
      <c r="D3915" s="1563">
        <f>2/6</f>
        <v>0.33333333333333331</v>
      </c>
      <c r="E3915" s="1571">
        <v>6000</v>
      </c>
      <c r="F3915" s="1563">
        <v>1</v>
      </c>
      <c r="G3915" s="814">
        <f>+F3915*E3915*D3915</f>
        <v>2000</v>
      </c>
      <c r="H3915" s="1524"/>
      <c r="J3915" s="1637"/>
      <c r="K3915" s="1637"/>
    </row>
    <row r="3916" spans="1:11" ht="25.5" x14ac:dyDescent="0.25">
      <c r="A3916" s="1528"/>
      <c r="B3916" s="1667" t="s">
        <v>9480</v>
      </c>
      <c r="C3916" s="1537" t="s">
        <v>9023</v>
      </c>
      <c r="D3916" s="212">
        <v>1</v>
      </c>
      <c r="E3916" s="1571">
        <v>5000</v>
      </c>
      <c r="F3916" s="1563">
        <v>1</v>
      </c>
      <c r="G3916" s="814">
        <f>+F3916*E3916</f>
        <v>5000</v>
      </c>
      <c r="H3916" s="1524"/>
      <c r="J3916" s="1637"/>
      <c r="K3916" s="1637"/>
    </row>
    <row r="3917" spans="1:11" x14ac:dyDescent="0.25">
      <c r="A3917" s="1528"/>
      <c r="B3917" s="1667" t="s">
        <v>9481</v>
      </c>
      <c r="C3917" s="1537" t="s">
        <v>9023</v>
      </c>
      <c r="D3917" s="212">
        <v>1</v>
      </c>
      <c r="E3917" s="1571">
        <f>2500*20</f>
        <v>50000</v>
      </c>
      <c r="F3917" s="1563">
        <v>1</v>
      </c>
      <c r="G3917" s="814">
        <f>+F3917*E3917</f>
        <v>50000</v>
      </c>
      <c r="H3917" s="1524"/>
      <c r="J3917" s="1637"/>
      <c r="K3917" s="1637"/>
    </row>
    <row r="3918" spans="1:11" x14ac:dyDescent="0.25">
      <c r="A3918" s="1528"/>
      <c r="B3918" s="1667" t="s">
        <v>9482</v>
      </c>
      <c r="C3918" s="1537" t="s">
        <v>5</v>
      </c>
      <c r="D3918" s="212">
        <f>(9+2)*2/20</f>
        <v>1.1000000000000001</v>
      </c>
      <c r="E3918" s="1571">
        <v>1500</v>
      </c>
      <c r="F3918" s="1563">
        <v>1</v>
      </c>
      <c r="G3918" s="814">
        <f>+F3918*E3918*D3918</f>
        <v>1650.0000000000002</v>
      </c>
      <c r="H3918" s="1524"/>
      <c r="J3918" s="1637"/>
      <c r="K3918" s="1637"/>
    </row>
    <row r="3919" spans="1:11" x14ac:dyDescent="0.25">
      <c r="A3919" s="1528"/>
      <c r="B3919" s="1667"/>
      <c r="C3919" s="1537"/>
      <c r="D3919" s="212"/>
      <c r="E3919" s="816"/>
      <c r="F3919" s="1563"/>
      <c r="G3919" s="814"/>
      <c r="H3919" s="1524"/>
      <c r="J3919" s="1637"/>
      <c r="K3919" s="1637"/>
    </row>
    <row r="3920" spans="1:11" x14ac:dyDescent="0.25">
      <c r="A3920" s="1528"/>
      <c r="B3920" s="1667"/>
      <c r="C3920" s="1537"/>
      <c r="D3920" s="212"/>
      <c r="E3920" s="816"/>
      <c r="F3920" s="1563"/>
      <c r="G3920" s="814"/>
      <c r="H3920" s="1524"/>
      <c r="J3920" s="1637"/>
      <c r="K3920" s="1637"/>
    </row>
    <row r="3921" spans="1:11" x14ac:dyDescent="0.25">
      <c r="A3921" s="1528"/>
      <c r="B3921" s="269"/>
      <c r="C3921" s="1537"/>
      <c r="D3921" s="212"/>
      <c r="E3921" s="816"/>
      <c r="F3921" s="1563"/>
      <c r="G3921" s="814"/>
      <c r="H3921" s="1524"/>
      <c r="J3921" s="1637"/>
      <c r="K3921" s="1637"/>
    </row>
    <row r="3922" spans="1:11" x14ac:dyDescent="0.25">
      <c r="A3922" s="1528"/>
      <c r="B3922" s="268"/>
      <c r="C3922" s="1534"/>
      <c r="D3922" s="211"/>
      <c r="E3922" s="1535" t="s">
        <v>7182</v>
      </c>
      <c r="F3922" s="1551"/>
      <c r="G3922" s="1541" t="s">
        <v>7182</v>
      </c>
      <c r="H3922" s="1524"/>
      <c r="J3922" s="1637"/>
      <c r="K3922" s="1637"/>
    </row>
    <row r="3923" spans="1:11" x14ac:dyDescent="0.25">
      <c r="A3923" s="1528"/>
      <c r="B3923" s="1346"/>
      <c r="C3923" s="1534"/>
      <c r="D3923" s="211"/>
      <c r="E3923" s="1535" t="s">
        <v>7182</v>
      </c>
      <c r="F3923" s="1551"/>
      <c r="G3923" s="1541" t="s">
        <v>7182</v>
      </c>
      <c r="H3923" s="1524"/>
      <c r="J3923" s="1637"/>
      <c r="K3923" s="1637"/>
    </row>
    <row r="3924" spans="1:11" ht="15.75" thickBot="1" x14ac:dyDescent="0.3">
      <c r="A3924" s="1528"/>
      <c r="B3924" s="1540"/>
      <c r="C3924" s="1537"/>
      <c r="D3924" s="952"/>
      <c r="E3924" s="1538" t="s">
        <v>7182</v>
      </c>
      <c r="F3924" s="1537"/>
      <c r="G3924" s="1541" t="s">
        <v>7182</v>
      </c>
      <c r="H3924" s="1524"/>
      <c r="J3924" s="1637"/>
      <c r="K3924" s="1637"/>
    </row>
    <row r="3925" spans="1:11" ht="15.75" thickBot="1" x14ac:dyDescent="0.3">
      <c r="A3925" s="1528"/>
      <c r="B3925" s="1555"/>
      <c r="C3925" s="1557"/>
      <c r="D3925" s="956"/>
      <c r="E3925" s="1556" t="s">
        <v>7182</v>
      </c>
      <c r="F3925" s="1557"/>
      <c r="G3925" s="1558" t="s">
        <v>7182</v>
      </c>
      <c r="H3925" s="1546">
        <f>SUM(G3910:G3925)</f>
        <v>919083.33333333337</v>
      </c>
      <c r="J3925" s="1637"/>
      <c r="K3925" s="1637"/>
    </row>
    <row r="3926" spans="1:11" x14ac:dyDescent="0.25">
      <c r="A3926" s="1528"/>
      <c r="B3926" s="1372"/>
      <c r="C3926" s="1374"/>
      <c r="D3926" s="1373"/>
      <c r="E3926" s="1372" t="s">
        <v>7182</v>
      </c>
      <c r="F3926" s="1374"/>
      <c r="G3926" s="1375" t="s">
        <v>7182</v>
      </c>
      <c r="H3926" s="1550"/>
      <c r="J3926" s="1637"/>
      <c r="K3926" s="1637"/>
    </row>
    <row r="3927" spans="1:11" ht="15.75" thickBot="1" x14ac:dyDescent="0.3">
      <c r="A3927" s="1527"/>
      <c r="B3927" s="188"/>
      <c r="C3927" s="189"/>
      <c r="D3927" s="1668"/>
      <c r="E3927" s="188"/>
      <c r="F3927" s="189"/>
      <c r="G3927" s="1669"/>
      <c r="H3927" s="1550"/>
      <c r="J3927" s="1637"/>
      <c r="K3927" s="1637"/>
    </row>
    <row r="3928" spans="1:11" ht="15.75" thickBot="1" x14ac:dyDescent="0.3">
      <c r="A3928" s="1527"/>
      <c r="B3928" s="1366" t="s">
        <v>9418</v>
      </c>
      <c r="C3928" s="1363" t="s">
        <v>867</v>
      </c>
      <c r="D3928" s="1120" t="s">
        <v>6</v>
      </c>
      <c r="E3928" s="1363" t="s">
        <v>7183</v>
      </c>
      <c r="F3928" s="1363" t="s">
        <v>5405</v>
      </c>
      <c r="G3928" s="1365" t="s">
        <v>7179</v>
      </c>
      <c r="H3928" s="1524"/>
      <c r="J3928" s="1637"/>
      <c r="K3928" s="1637"/>
    </row>
    <row r="3929" spans="1:11" x14ac:dyDescent="0.25">
      <c r="A3929" s="1527"/>
      <c r="B3929" s="1564" t="s">
        <v>5455</v>
      </c>
      <c r="C3929" s="1534" t="s">
        <v>5</v>
      </c>
      <c r="D3929" s="211">
        <v>1</v>
      </c>
      <c r="E3929" s="1535">
        <v>10000</v>
      </c>
      <c r="F3929" s="1534">
        <v>1</v>
      </c>
      <c r="G3929" s="1572">
        <f>+F3929*E3929</f>
        <v>10000</v>
      </c>
      <c r="H3929" s="1524"/>
      <c r="J3929" s="1637"/>
      <c r="K3929" s="1637"/>
    </row>
    <row r="3930" spans="1:11" x14ac:dyDescent="0.25">
      <c r="A3930" s="1527"/>
      <c r="B3930" s="1540"/>
      <c r="C3930" s="1537"/>
      <c r="D3930" s="212"/>
      <c r="E3930" s="1535" t="s">
        <v>7182</v>
      </c>
      <c r="F3930" s="1537"/>
      <c r="G3930" s="1572" t="s">
        <v>7182</v>
      </c>
      <c r="H3930" s="1524"/>
      <c r="J3930" s="1637"/>
      <c r="K3930" s="1637"/>
    </row>
    <row r="3931" spans="1:11" x14ac:dyDescent="0.25">
      <c r="A3931" s="1527"/>
      <c r="B3931" s="1540"/>
      <c r="C3931" s="1537"/>
      <c r="D3931" s="212"/>
      <c r="E3931" s="1535" t="s">
        <v>7182</v>
      </c>
      <c r="F3931" s="1537"/>
      <c r="G3931" s="1572" t="s">
        <v>7182</v>
      </c>
      <c r="H3931" s="1524"/>
      <c r="J3931" s="1637"/>
      <c r="K3931" s="1637"/>
    </row>
    <row r="3932" spans="1:11" ht="15.75" thickBot="1" x14ac:dyDescent="0.3">
      <c r="A3932" s="1527"/>
      <c r="B3932" s="1540"/>
      <c r="C3932" s="1537"/>
      <c r="D3932" s="212"/>
      <c r="E3932" s="1535" t="s">
        <v>7182</v>
      </c>
      <c r="F3932" s="1537"/>
      <c r="G3932" s="1572" t="s">
        <v>7182</v>
      </c>
      <c r="H3932" s="1524"/>
      <c r="J3932" s="1637"/>
      <c r="K3932" s="1637"/>
    </row>
    <row r="3933" spans="1:11" ht="15.75" thickBot="1" x14ac:dyDescent="0.3">
      <c r="A3933" s="1527"/>
      <c r="B3933" s="1555"/>
      <c r="C3933" s="1556"/>
      <c r="D3933" s="956"/>
      <c r="E3933" s="1556" t="s">
        <v>7182</v>
      </c>
      <c r="F3933" s="1557"/>
      <c r="G3933" s="1558" t="s">
        <v>7182</v>
      </c>
      <c r="H3933" s="1546">
        <f>SUM(G3929:G3933)</f>
        <v>10000</v>
      </c>
      <c r="J3933" s="1637"/>
      <c r="K3933" s="1637"/>
    </row>
    <row r="3934" spans="1:11" ht="15.75" thickBot="1" x14ac:dyDescent="0.3">
      <c r="A3934" s="1527"/>
      <c r="B3934" s="1376"/>
      <c r="C3934" s="1353"/>
      <c r="D3934" s="1355"/>
      <c r="E3934" s="1352"/>
      <c r="F3934" s="1377"/>
      <c r="G3934" s="1378"/>
      <c r="H3934" s="1524"/>
      <c r="J3934" s="1637"/>
      <c r="K3934" s="1637"/>
    </row>
    <row r="3935" spans="1:11" ht="15.75" thickBot="1" x14ac:dyDescent="0.3">
      <c r="A3935" s="1527"/>
      <c r="B3935" s="1366" t="s">
        <v>5410</v>
      </c>
      <c r="C3935" s="1363" t="s">
        <v>867</v>
      </c>
      <c r="D3935" s="1120" t="s">
        <v>6</v>
      </c>
      <c r="E3935" s="1363" t="s">
        <v>7183</v>
      </c>
      <c r="F3935" s="1363" t="s">
        <v>5405</v>
      </c>
      <c r="G3935" s="1365" t="s">
        <v>7179</v>
      </c>
      <c r="H3935" s="1524"/>
      <c r="J3935" s="1637"/>
      <c r="K3935" s="1637"/>
    </row>
    <row r="3936" spans="1:11" ht="25.5" x14ac:dyDescent="0.25">
      <c r="A3936" s="1527"/>
      <c r="B3936" s="1564" t="s">
        <v>9421</v>
      </c>
      <c r="C3936" s="1534" t="s">
        <v>9023</v>
      </c>
      <c r="D3936" s="211">
        <v>1</v>
      </c>
      <c r="E3936" s="1535">
        <v>10000</v>
      </c>
      <c r="F3936" s="1534">
        <v>1</v>
      </c>
      <c r="G3936" s="1572">
        <f>+F3936*E3936</f>
        <v>10000</v>
      </c>
      <c r="H3936" s="1524"/>
      <c r="J3936" s="1637"/>
      <c r="K3936" s="1637"/>
    </row>
    <row r="3937" spans="1:11" x14ac:dyDescent="0.25">
      <c r="A3937" s="1527"/>
      <c r="B3937" s="1540"/>
      <c r="C3937" s="1537"/>
      <c r="D3937" s="212"/>
      <c r="E3937" s="1535" t="s">
        <v>7182</v>
      </c>
      <c r="F3937" s="1537"/>
      <c r="G3937" s="1572" t="s">
        <v>7182</v>
      </c>
      <c r="H3937" s="1524"/>
      <c r="J3937" s="1637"/>
      <c r="K3937" s="1637"/>
    </row>
    <row r="3938" spans="1:11" x14ac:dyDescent="0.25">
      <c r="A3938" s="1527"/>
      <c r="B3938" s="1540"/>
      <c r="C3938" s="1537"/>
      <c r="D3938" s="212"/>
      <c r="E3938" s="1535" t="s">
        <v>7182</v>
      </c>
      <c r="F3938" s="1537"/>
      <c r="G3938" s="1572" t="s">
        <v>7182</v>
      </c>
      <c r="H3938" s="1524"/>
      <c r="J3938" s="1637"/>
      <c r="K3938" s="1637"/>
    </row>
    <row r="3939" spans="1:11" ht="15.75" thickBot="1" x14ac:dyDescent="0.3">
      <c r="A3939" s="1527"/>
      <c r="B3939" s="1540"/>
      <c r="C3939" s="1537"/>
      <c r="D3939" s="212"/>
      <c r="E3939" s="1535" t="s">
        <v>7182</v>
      </c>
      <c r="F3939" s="1537"/>
      <c r="G3939" s="1572" t="s">
        <v>7182</v>
      </c>
      <c r="H3939" s="1524"/>
      <c r="J3939" s="1637"/>
      <c r="K3939" s="1637"/>
    </row>
    <row r="3940" spans="1:11" ht="15.75" thickBot="1" x14ac:dyDescent="0.3">
      <c r="A3940" s="1527"/>
      <c r="B3940" s="1555"/>
      <c r="C3940" s="1556"/>
      <c r="D3940" s="956"/>
      <c r="E3940" s="1556" t="s">
        <v>7182</v>
      </c>
      <c r="F3940" s="1557"/>
      <c r="G3940" s="1558" t="s">
        <v>7182</v>
      </c>
      <c r="H3940" s="1546">
        <f>SUM(G3936:G3940)</f>
        <v>10000</v>
      </c>
      <c r="J3940" s="1637"/>
      <c r="K3940" s="1637"/>
    </row>
    <row r="3941" spans="1:11" ht="15.75" thickBot="1" x14ac:dyDescent="0.3">
      <c r="A3941" s="1527"/>
      <c r="B3941" s="1547"/>
      <c r="C3941" s="1547"/>
      <c r="D3941" s="954"/>
      <c r="E3941" s="1547"/>
      <c r="F3941" s="1553"/>
      <c r="G3941" s="1554"/>
      <c r="H3941" s="1550"/>
      <c r="J3941" s="1637"/>
      <c r="K3941" s="1637"/>
    </row>
    <row r="3942" spans="1:11" ht="15.75" thickBot="1" x14ac:dyDescent="0.3">
      <c r="A3942" s="1559"/>
      <c r="B3942" s="1369" t="s">
        <v>5412</v>
      </c>
      <c r="C3942" s="1363" t="s">
        <v>5420</v>
      </c>
      <c r="D3942" s="1120" t="s">
        <v>5421</v>
      </c>
      <c r="E3942" s="1363" t="s">
        <v>7187</v>
      </c>
      <c r="F3942" s="1363" t="s">
        <v>5405</v>
      </c>
      <c r="G3942" s="1370" t="s">
        <v>7179</v>
      </c>
      <c r="H3942" s="1371"/>
      <c r="J3942" s="1637"/>
      <c r="K3942" s="1637"/>
    </row>
    <row r="3943" spans="1:11" x14ac:dyDescent="0.25">
      <c r="A3943" s="1527"/>
      <c r="B3943" s="1560" t="s">
        <v>9422</v>
      </c>
      <c r="C3943" s="1569">
        <v>170000</v>
      </c>
      <c r="D3943" s="352">
        <f>0.6*C3943</f>
        <v>102000</v>
      </c>
      <c r="E3943" s="1569">
        <f>+D3943+C3943</f>
        <v>272000</v>
      </c>
      <c r="F3943" s="819">
        <v>1</v>
      </c>
      <c r="G3943" s="818">
        <f>+F3943*E3943</f>
        <v>272000</v>
      </c>
      <c r="H3943" s="1524"/>
    </row>
    <row r="3944" spans="1:11" x14ac:dyDescent="0.25">
      <c r="A3944" s="1527"/>
      <c r="B3944" s="1560"/>
      <c r="C3944" s="1569"/>
      <c r="D3944" s="1569"/>
      <c r="E3944" s="1569"/>
      <c r="F3944" s="819"/>
      <c r="G3944" s="818"/>
      <c r="H3944" s="1524"/>
    </row>
    <row r="3945" spans="1:11" x14ac:dyDescent="0.25">
      <c r="A3945" s="1527"/>
      <c r="B3945" s="1561"/>
      <c r="C3945" s="1569"/>
      <c r="D3945" s="1569"/>
      <c r="E3945" s="1569"/>
      <c r="F3945" s="817"/>
      <c r="G3945" s="818"/>
      <c r="H3945" s="1524"/>
    </row>
    <row r="3946" spans="1:11" x14ac:dyDescent="0.25">
      <c r="A3946" s="1527"/>
      <c r="B3946" s="1540"/>
      <c r="C3946" s="1569"/>
      <c r="D3946" s="1569"/>
      <c r="E3946" s="1569"/>
      <c r="F3946" s="817"/>
      <c r="G3946" s="818"/>
      <c r="H3946" s="1524"/>
    </row>
    <row r="3947" spans="1:11" x14ac:dyDescent="0.25">
      <c r="A3947" s="1527"/>
      <c r="B3947" s="1540"/>
      <c r="C3947" s="1538" t="s">
        <v>7182</v>
      </c>
      <c r="D3947" s="952" t="s">
        <v>7182</v>
      </c>
      <c r="E3947" s="1538" t="s">
        <v>7182</v>
      </c>
      <c r="F3947" s="817"/>
      <c r="G3947" s="818" t="str">
        <f>IF(B3947="","",E3947/F3947)</f>
        <v/>
      </c>
      <c r="H3947" s="1524"/>
    </row>
    <row r="3948" spans="1:11" ht="15.75" thickBot="1" x14ac:dyDescent="0.3">
      <c r="A3948" s="1527"/>
      <c r="B3948" s="1540"/>
      <c r="C3948" s="1538" t="s">
        <v>7182</v>
      </c>
      <c r="D3948" s="952" t="s">
        <v>7182</v>
      </c>
      <c r="E3948" s="1538" t="s">
        <v>7182</v>
      </c>
      <c r="F3948" s="1537"/>
      <c r="G3948" s="818" t="str">
        <f>IF(B3948="","",E3948/F3948)</f>
        <v/>
      </c>
      <c r="H3948" s="1524"/>
    </row>
    <row r="3949" spans="1:11" ht="15.75" thickBot="1" x14ac:dyDescent="0.3">
      <c r="A3949" s="1527"/>
      <c r="B3949" s="1555"/>
      <c r="C3949" s="1556"/>
      <c r="D3949" s="956"/>
      <c r="E3949" s="1556"/>
      <c r="F3949" s="1557"/>
      <c r="G3949" s="1558"/>
      <c r="H3949" s="1546">
        <f>SUM(G3943:G3949)</f>
        <v>272000</v>
      </c>
    </row>
    <row r="3950" spans="1:11" ht="15.75" thickBot="1" x14ac:dyDescent="0.3">
      <c r="A3950" s="1527"/>
      <c r="B3950" s="1527"/>
      <c r="C3950" s="1527"/>
      <c r="D3950" s="529"/>
      <c r="F3950" s="1528"/>
      <c r="G3950" s="1524"/>
      <c r="H3950" s="1524"/>
    </row>
    <row r="3951" spans="1:11" ht="15.75" thickBot="1" x14ac:dyDescent="0.3">
      <c r="A3951" s="1647" t="s">
        <v>6744</v>
      </c>
      <c r="B3951" s="1352"/>
      <c r="C3951" s="1352"/>
      <c r="D3951" s="1671"/>
      <c r="E3951" s="1672"/>
      <c r="F3951" s="1353"/>
      <c r="G3951" s="1527" t="s">
        <v>5415</v>
      </c>
      <c r="H3951" s="502">
        <f>ROUND(SUM(H3909:H3950),0)</f>
        <v>1211083</v>
      </c>
      <c r="J3951" s="1673">
        <f>+B3905</f>
        <v>10.23</v>
      </c>
      <c r="K3951" s="1674">
        <f>+H3951</f>
        <v>1211083</v>
      </c>
    </row>
    <row r="3952" spans="1:11" x14ac:dyDescent="0.25">
      <c r="A3952" s="1675"/>
      <c r="B3952" s="1676"/>
      <c r="C3952" s="1676"/>
      <c r="D3952" s="1677"/>
      <c r="E3952" s="1678"/>
      <c r="F3952" s="1679"/>
      <c r="G3952" s="1680"/>
      <c r="H3952" s="1680"/>
    </row>
    <row r="3953" spans="1:11" ht="18.75" x14ac:dyDescent="0.25">
      <c r="A3953" s="1523"/>
      <c r="B3953" s="1655"/>
      <c r="C3953" s="1655"/>
      <c r="D3953" s="950"/>
      <c r="E3953" s="1655"/>
      <c r="F3953" s="1655"/>
      <c r="G3953" s="1655"/>
      <c r="H3953" s="8"/>
    </row>
    <row r="3954" spans="1:11" x14ac:dyDescent="0.25">
      <c r="A3954" s="1523"/>
      <c r="B3954" s="8"/>
      <c r="C3954" s="8"/>
      <c r="D3954" s="529"/>
      <c r="E3954" s="8"/>
      <c r="F3954" s="1523"/>
      <c r="G3954" s="1524"/>
      <c r="H3954" s="8"/>
    </row>
    <row r="3955" spans="1:11" ht="27.75" customHeight="1" x14ac:dyDescent="0.25">
      <c r="A3955" s="1665" t="s">
        <v>3</v>
      </c>
      <c r="B3955" s="1666">
        <f>+VLOOKUP(C3955,ListaAPUs!$B:$E,4,FALSE)</f>
        <v>10.24</v>
      </c>
      <c r="C3955" s="2441" t="str">
        <f>+ListaAPUs!B224</f>
        <v>Acometida parcial de  Generador a Modulo 8 en 3X(3X500+1X250+1X2/0T)</v>
      </c>
      <c r="D3955" s="2441"/>
      <c r="E3955" s="2441"/>
      <c r="F3955" s="1665" t="s">
        <v>867</v>
      </c>
      <c r="G3955" s="1390" t="str">
        <f>+VLOOKUP(C3955,ListaAPUs!$B:$E,2,FALSE)</f>
        <v>m</v>
      </c>
      <c r="H3955" s="1524"/>
    </row>
    <row r="3956" spans="1:11" x14ac:dyDescent="0.25">
      <c r="A3956" s="1528"/>
      <c r="B3956" s="1527"/>
      <c r="C3956" s="1527"/>
      <c r="D3956" s="529"/>
      <c r="E3956" s="1527"/>
      <c r="F3956" s="1528"/>
      <c r="G3956" s="1524"/>
      <c r="H3956" s="1524"/>
    </row>
    <row r="3957" spans="1:11" x14ac:dyDescent="0.25">
      <c r="A3957" s="1528"/>
      <c r="B3957" s="1527"/>
      <c r="C3957" s="1527"/>
      <c r="D3957" s="529"/>
      <c r="E3957" s="1527"/>
      <c r="F3957" s="1528"/>
      <c r="G3957" s="1529"/>
      <c r="H3957" s="1524"/>
    </row>
    <row r="3958" spans="1:11" ht="15.75" thickBot="1" x14ac:dyDescent="0.3">
      <c r="A3958" s="1528"/>
      <c r="B3958" s="1527"/>
      <c r="C3958" s="1527"/>
      <c r="D3958" s="529"/>
      <c r="E3958" s="1527"/>
      <c r="F3958" s="1528"/>
      <c r="G3958" s="1524"/>
      <c r="H3958" s="1524"/>
    </row>
    <row r="3959" spans="1:11" ht="15.75" thickBot="1" x14ac:dyDescent="0.3">
      <c r="A3959" s="1368"/>
      <c r="B3959" s="1369" t="s">
        <v>5403</v>
      </c>
      <c r="C3959" s="1363" t="s">
        <v>867</v>
      </c>
      <c r="D3959" s="1120" t="s">
        <v>6</v>
      </c>
      <c r="E3959" s="1363" t="s">
        <v>9417</v>
      </c>
      <c r="F3959" s="1363" t="s">
        <v>5405</v>
      </c>
      <c r="G3959" s="1370" t="s">
        <v>7179</v>
      </c>
      <c r="H3959" s="1371"/>
      <c r="J3959" s="1637"/>
      <c r="K3959" s="1637"/>
    </row>
    <row r="3960" spans="1:11" x14ac:dyDescent="0.25">
      <c r="A3960" s="1528"/>
      <c r="B3960" s="1533" t="s">
        <v>9473</v>
      </c>
      <c r="C3960" s="1348" t="s">
        <v>5432</v>
      </c>
      <c r="D3960" s="967">
        <f>9*1.1</f>
        <v>9.9</v>
      </c>
      <c r="E3960" s="1349">
        <v>79100</v>
      </c>
      <c r="F3960" s="1350">
        <v>1</v>
      </c>
      <c r="G3960" s="1351">
        <f>+F3960*E3960*D3960</f>
        <v>783090</v>
      </c>
      <c r="H3960" s="1524"/>
      <c r="J3960" s="1637"/>
      <c r="K3960" s="1637"/>
    </row>
    <row r="3961" spans="1:11" x14ac:dyDescent="0.25">
      <c r="A3961" s="1528"/>
      <c r="B3961" s="1539" t="s">
        <v>9478</v>
      </c>
      <c r="C3961" s="1537" t="s">
        <v>5432</v>
      </c>
      <c r="D3961" s="212">
        <v>1.1000000000000001</v>
      </c>
      <c r="E3961" s="1681">
        <v>36100</v>
      </c>
      <c r="F3961" s="1563">
        <v>1</v>
      </c>
      <c r="G3961" s="814">
        <f>+F3961*E3961*D3961</f>
        <v>39710</v>
      </c>
      <c r="H3961" s="1524"/>
      <c r="J3961" s="1637"/>
      <c r="K3961" s="1637"/>
    </row>
    <row r="3962" spans="1:11" x14ac:dyDescent="0.25">
      <c r="A3962" s="1528"/>
      <c r="B3962" s="1667" t="s">
        <v>9475</v>
      </c>
      <c r="C3962" s="1537" t="s">
        <v>5432</v>
      </c>
      <c r="D3962" s="212">
        <v>1.1000000000000001</v>
      </c>
      <c r="E3962" s="1681">
        <v>20300</v>
      </c>
      <c r="F3962" s="1563">
        <v>1</v>
      </c>
      <c r="G3962" s="814">
        <f>+F3962*E3962</f>
        <v>20300</v>
      </c>
      <c r="H3962" s="1524"/>
      <c r="J3962" s="1637"/>
      <c r="K3962" s="1637"/>
    </row>
    <row r="3963" spans="1:11" x14ac:dyDescent="0.25">
      <c r="A3963" s="1528"/>
      <c r="B3963" s="1539" t="s">
        <v>9476</v>
      </c>
      <c r="C3963" s="1537" t="s">
        <v>5</v>
      </c>
      <c r="D3963" s="212">
        <f>12/6</f>
        <v>2</v>
      </c>
      <c r="E3963" s="1681">
        <v>8000</v>
      </c>
      <c r="F3963" s="1563">
        <v>1</v>
      </c>
      <c r="G3963" s="814">
        <f>+F3963*E3963*D3963</f>
        <v>16000</v>
      </c>
      <c r="H3963" s="1524"/>
      <c r="J3963" s="1637"/>
      <c r="K3963" s="1637"/>
    </row>
    <row r="3964" spans="1:11" x14ac:dyDescent="0.25">
      <c r="A3964" s="1528"/>
      <c r="B3964" s="1667" t="s">
        <v>9477</v>
      </c>
      <c r="C3964" s="1537" t="s">
        <v>5</v>
      </c>
      <c r="D3964" s="1563">
        <f>2/6</f>
        <v>0.33333333333333331</v>
      </c>
      <c r="E3964" s="1681">
        <v>4000</v>
      </c>
      <c r="F3964" s="1563">
        <v>1</v>
      </c>
      <c r="G3964" s="814">
        <f>+F3964*E3964*D3964</f>
        <v>1333.3333333333333</v>
      </c>
      <c r="H3964" s="1524"/>
      <c r="J3964" s="1637"/>
      <c r="K3964" s="1637"/>
    </row>
    <row r="3965" spans="1:11" x14ac:dyDescent="0.25">
      <c r="A3965" s="1528"/>
      <c r="B3965" s="1539" t="s">
        <v>9479</v>
      </c>
      <c r="C3965" s="1537" t="s">
        <v>5</v>
      </c>
      <c r="D3965" s="1563">
        <f>2/6</f>
        <v>0.33333333333333331</v>
      </c>
      <c r="E3965" s="1571">
        <v>6000</v>
      </c>
      <c r="F3965" s="1563">
        <v>1</v>
      </c>
      <c r="G3965" s="814">
        <f>+F3965*E3965*D3965</f>
        <v>2000</v>
      </c>
      <c r="H3965" s="1524"/>
      <c r="J3965" s="1637"/>
      <c r="K3965" s="1637"/>
    </row>
    <row r="3966" spans="1:11" ht="25.5" x14ac:dyDescent="0.25">
      <c r="A3966" s="1528"/>
      <c r="B3966" s="1667" t="s">
        <v>9480</v>
      </c>
      <c r="C3966" s="1537" t="s">
        <v>9023</v>
      </c>
      <c r="D3966" s="212">
        <v>1</v>
      </c>
      <c r="E3966" s="1571">
        <v>5000</v>
      </c>
      <c r="F3966" s="1563">
        <v>1</v>
      </c>
      <c r="G3966" s="814">
        <f>+F3966*E3966</f>
        <v>5000</v>
      </c>
      <c r="H3966" s="1524"/>
      <c r="J3966" s="1637"/>
      <c r="K3966" s="1637"/>
    </row>
    <row r="3967" spans="1:11" x14ac:dyDescent="0.25">
      <c r="A3967" s="1528"/>
      <c r="B3967" s="1667" t="s">
        <v>9481</v>
      </c>
      <c r="C3967" s="1537" t="s">
        <v>9023</v>
      </c>
      <c r="D3967" s="212">
        <v>1</v>
      </c>
      <c r="E3967" s="1571">
        <f>2500*20</f>
        <v>50000</v>
      </c>
      <c r="F3967" s="1563">
        <v>1</v>
      </c>
      <c r="G3967" s="814">
        <f>+F3967*E3967</f>
        <v>50000</v>
      </c>
      <c r="H3967" s="1524"/>
      <c r="J3967" s="1637"/>
      <c r="K3967" s="1637"/>
    </row>
    <row r="3968" spans="1:11" x14ac:dyDescent="0.25">
      <c r="A3968" s="1528"/>
      <c r="B3968" s="1667" t="s">
        <v>9482</v>
      </c>
      <c r="C3968" s="1537" t="s">
        <v>5</v>
      </c>
      <c r="D3968" s="212">
        <f>(9+2)*2/20</f>
        <v>1.1000000000000001</v>
      </c>
      <c r="E3968" s="1571">
        <v>1500</v>
      </c>
      <c r="F3968" s="1563">
        <v>1</v>
      </c>
      <c r="G3968" s="814">
        <f>+F3968*E3968*D3968</f>
        <v>1650.0000000000002</v>
      </c>
      <c r="H3968" s="1524"/>
      <c r="J3968" s="1637"/>
      <c r="K3968" s="1637"/>
    </row>
    <row r="3969" spans="1:11" x14ac:dyDescent="0.25">
      <c r="A3969" s="1528"/>
      <c r="B3969" s="1667"/>
      <c r="C3969" s="1537"/>
      <c r="D3969" s="212"/>
      <c r="E3969" s="816"/>
      <c r="F3969" s="1563"/>
      <c r="G3969" s="814"/>
      <c r="H3969" s="1524"/>
      <c r="J3969" s="1637"/>
      <c r="K3969" s="1637"/>
    </row>
    <row r="3970" spans="1:11" x14ac:dyDescent="0.25">
      <c r="A3970" s="1528"/>
      <c r="B3970" s="1667"/>
      <c r="C3970" s="1537"/>
      <c r="D3970" s="212"/>
      <c r="E3970" s="816"/>
      <c r="F3970" s="1563"/>
      <c r="G3970" s="814"/>
      <c r="H3970" s="1524"/>
      <c r="J3970" s="1637"/>
      <c r="K3970" s="1637"/>
    </row>
    <row r="3971" spans="1:11" x14ac:dyDescent="0.25">
      <c r="A3971" s="1528"/>
      <c r="B3971" s="269"/>
      <c r="C3971" s="1537"/>
      <c r="D3971" s="212"/>
      <c r="E3971" s="816"/>
      <c r="F3971" s="1563"/>
      <c r="G3971" s="814"/>
      <c r="H3971" s="1524"/>
      <c r="J3971" s="1637"/>
      <c r="K3971" s="1637"/>
    </row>
    <row r="3972" spans="1:11" x14ac:dyDescent="0.25">
      <c r="A3972" s="1528"/>
      <c r="B3972" s="268"/>
      <c r="C3972" s="1534"/>
      <c r="D3972" s="211"/>
      <c r="E3972" s="1535" t="s">
        <v>7182</v>
      </c>
      <c r="F3972" s="1551"/>
      <c r="G3972" s="1541" t="s">
        <v>7182</v>
      </c>
      <c r="H3972" s="1524"/>
      <c r="J3972" s="1637"/>
      <c r="K3972" s="1637"/>
    </row>
    <row r="3973" spans="1:11" x14ac:dyDescent="0.25">
      <c r="A3973" s="1528"/>
      <c r="B3973" s="1346"/>
      <c r="C3973" s="1534"/>
      <c r="D3973" s="211"/>
      <c r="E3973" s="1535" t="s">
        <v>7182</v>
      </c>
      <c r="F3973" s="1551"/>
      <c r="G3973" s="1541" t="s">
        <v>7182</v>
      </c>
      <c r="H3973" s="1524"/>
      <c r="J3973" s="1637"/>
      <c r="K3973" s="1637"/>
    </row>
    <row r="3974" spans="1:11" ht="15.75" thickBot="1" x14ac:dyDescent="0.3">
      <c r="A3974" s="1528"/>
      <c r="B3974" s="1540"/>
      <c r="C3974" s="1537"/>
      <c r="D3974" s="952"/>
      <c r="E3974" s="1538" t="s">
        <v>7182</v>
      </c>
      <c r="F3974" s="1537"/>
      <c r="G3974" s="1541" t="s">
        <v>7182</v>
      </c>
      <c r="H3974" s="1524"/>
      <c r="J3974" s="1637"/>
      <c r="K3974" s="1637"/>
    </row>
    <row r="3975" spans="1:11" ht="15.75" thickBot="1" x14ac:dyDescent="0.3">
      <c r="A3975" s="1528"/>
      <c r="B3975" s="1555"/>
      <c r="C3975" s="1557"/>
      <c r="D3975" s="956"/>
      <c r="E3975" s="1556" t="s">
        <v>7182</v>
      </c>
      <c r="F3975" s="1557"/>
      <c r="G3975" s="1558" t="s">
        <v>7182</v>
      </c>
      <c r="H3975" s="1546">
        <f>SUM(G3960:G3975)</f>
        <v>919083.33333333337</v>
      </c>
      <c r="J3975" s="1637"/>
      <c r="K3975" s="1637"/>
    </row>
    <row r="3976" spans="1:11" x14ac:dyDescent="0.25">
      <c r="A3976" s="1528"/>
      <c r="B3976" s="1372"/>
      <c r="C3976" s="1374"/>
      <c r="D3976" s="1373"/>
      <c r="E3976" s="1372" t="s">
        <v>7182</v>
      </c>
      <c r="F3976" s="1374"/>
      <c r="G3976" s="1375" t="s">
        <v>7182</v>
      </c>
      <c r="H3976" s="1550"/>
      <c r="J3976" s="1637"/>
      <c r="K3976" s="1637"/>
    </row>
    <row r="3977" spans="1:11" ht="15.75" thickBot="1" x14ac:dyDescent="0.3">
      <c r="A3977" s="1527"/>
      <c r="B3977" s="188"/>
      <c r="C3977" s="189"/>
      <c r="D3977" s="1668"/>
      <c r="E3977" s="188"/>
      <c r="F3977" s="189"/>
      <c r="G3977" s="1669"/>
      <c r="H3977" s="1550"/>
      <c r="J3977" s="1637"/>
      <c r="K3977" s="1637"/>
    </row>
    <row r="3978" spans="1:11" ht="15.75" thickBot="1" x14ac:dyDescent="0.3">
      <c r="A3978" s="1527"/>
      <c r="B3978" s="1366" t="s">
        <v>9418</v>
      </c>
      <c r="C3978" s="1363" t="s">
        <v>867</v>
      </c>
      <c r="D3978" s="1120" t="s">
        <v>6</v>
      </c>
      <c r="E3978" s="1363" t="s">
        <v>7183</v>
      </c>
      <c r="F3978" s="1363" t="s">
        <v>5405</v>
      </c>
      <c r="G3978" s="1365" t="s">
        <v>7179</v>
      </c>
      <c r="H3978" s="1524"/>
      <c r="J3978" s="1637"/>
      <c r="K3978" s="1637"/>
    </row>
    <row r="3979" spans="1:11" x14ac:dyDescent="0.25">
      <c r="A3979" s="1527"/>
      <c r="B3979" s="1564" t="s">
        <v>5455</v>
      </c>
      <c r="C3979" s="1534" t="s">
        <v>5</v>
      </c>
      <c r="D3979" s="211">
        <v>1</v>
      </c>
      <c r="E3979" s="1535">
        <v>10000</v>
      </c>
      <c r="F3979" s="1534">
        <v>1</v>
      </c>
      <c r="G3979" s="1572">
        <f>+F3979*E3979</f>
        <v>10000</v>
      </c>
      <c r="H3979" s="1524"/>
      <c r="J3979" s="1637"/>
      <c r="K3979" s="1637"/>
    </row>
    <row r="3980" spans="1:11" x14ac:dyDescent="0.25">
      <c r="A3980" s="1527"/>
      <c r="B3980" s="1540"/>
      <c r="C3980" s="1537"/>
      <c r="D3980" s="212"/>
      <c r="E3980" s="1535" t="s">
        <v>7182</v>
      </c>
      <c r="F3980" s="1537"/>
      <c r="G3980" s="1572" t="s">
        <v>7182</v>
      </c>
      <c r="H3980" s="1524"/>
      <c r="J3980" s="1637"/>
      <c r="K3980" s="1637"/>
    </row>
    <row r="3981" spans="1:11" x14ac:dyDescent="0.25">
      <c r="A3981" s="1527"/>
      <c r="B3981" s="1540"/>
      <c r="C3981" s="1537"/>
      <c r="D3981" s="212"/>
      <c r="E3981" s="1535" t="s">
        <v>7182</v>
      </c>
      <c r="F3981" s="1537"/>
      <c r="G3981" s="1572" t="s">
        <v>7182</v>
      </c>
      <c r="H3981" s="1524"/>
      <c r="J3981" s="1637"/>
      <c r="K3981" s="1637"/>
    </row>
    <row r="3982" spans="1:11" ht="15.75" thickBot="1" x14ac:dyDescent="0.3">
      <c r="A3982" s="1527"/>
      <c r="B3982" s="1540"/>
      <c r="C3982" s="1537"/>
      <c r="D3982" s="212"/>
      <c r="E3982" s="1535" t="s">
        <v>7182</v>
      </c>
      <c r="F3982" s="1537"/>
      <c r="G3982" s="1572" t="s">
        <v>7182</v>
      </c>
      <c r="H3982" s="1524"/>
      <c r="J3982" s="1637"/>
      <c r="K3982" s="1637"/>
    </row>
    <row r="3983" spans="1:11" ht="15.75" thickBot="1" x14ac:dyDescent="0.3">
      <c r="A3983" s="1527"/>
      <c r="B3983" s="1555"/>
      <c r="C3983" s="1556"/>
      <c r="D3983" s="956"/>
      <c r="E3983" s="1556" t="s">
        <v>7182</v>
      </c>
      <c r="F3983" s="1557"/>
      <c r="G3983" s="1558" t="s">
        <v>7182</v>
      </c>
      <c r="H3983" s="1546">
        <f>SUM(G3979:G3983)</f>
        <v>10000</v>
      </c>
      <c r="J3983" s="1637"/>
      <c r="K3983" s="1637"/>
    </row>
    <row r="3984" spans="1:11" ht="15.75" thickBot="1" x14ac:dyDescent="0.3">
      <c r="A3984" s="1527"/>
      <c r="B3984" s="1376"/>
      <c r="C3984" s="1353"/>
      <c r="D3984" s="1355"/>
      <c r="E3984" s="1352"/>
      <c r="F3984" s="1377"/>
      <c r="G3984" s="1378"/>
      <c r="H3984" s="1524"/>
      <c r="J3984" s="1637"/>
      <c r="K3984" s="1637"/>
    </row>
    <row r="3985" spans="1:11" ht="15.75" thickBot="1" x14ac:dyDescent="0.3">
      <c r="A3985" s="1527"/>
      <c r="B3985" s="1366" t="s">
        <v>5410</v>
      </c>
      <c r="C3985" s="1363" t="s">
        <v>867</v>
      </c>
      <c r="D3985" s="1120" t="s">
        <v>6</v>
      </c>
      <c r="E3985" s="1363" t="s">
        <v>7183</v>
      </c>
      <c r="F3985" s="1363" t="s">
        <v>5405</v>
      </c>
      <c r="G3985" s="1365" t="s">
        <v>7179</v>
      </c>
      <c r="H3985" s="1524"/>
      <c r="J3985" s="1637"/>
      <c r="K3985" s="1637"/>
    </row>
    <row r="3986" spans="1:11" ht="25.5" x14ac:dyDescent="0.25">
      <c r="A3986" s="1527"/>
      <c r="B3986" s="1564" t="s">
        <v>9421</v>
      </c>
      <c r="C3986" s="1534" t="s">
        <v>9023</v>
      </c>
      <c r="D3986" s="211">
        <v>1</v>
      </c>
      <c r="E3986" s="1535">
        <v>10000</v>
      </c>
      <c r="F3986" s="1534">
        <v>1</v>
      </c>
      <c r="G3986" s="1572">
        <f>+F3986*E3986</f>
        <v>10000</v>
      </c>
      <c r="H3986" s="1524"/>
      <c r="J3986" s="1637"/>
      <c r="K3986" s="1637"/>
    </row>
    <row r="3987" spans="1:11" x14ac:dyDescent="0.25">
      <c r="A3987" s="1527"/>
      <c r="B3987" s="1540"/>
      <c r="C3987" s="1537"/>
      <c r="D3987" s="212"/>
      <c r="E3987" s="1535" t="s">
        <v>7182</v>
      </c>
      <c r="F3987" s="1537"/>
      <c r="G3987" s="1572" t="s">
        <v>7182</v>
      </c>
      <c r="H3987" s="1524"/>
      <c r="J3987" s="1637"/>
      <c r="K3987" s="1637"/>
    </row>
    <row r="3988" spans="1:11" x14ac:dyDescent="0.25">
      <c r="A3988" s="1527"/>
      <c r="B3988" s="1540"/>
      <c r="C3988" s="1537"/>
      <c r="D3988" s="212"/>
      <c r="E3988" s="1535" t="s">
        <v>7182</v>
      </c>
      <c r="F3988" s="1537"/>
      <c r="G3988" s="1572" t="s">
        <v>7182</v>
      </c>
      <c r="H3988" s="1524"/>
      <c r="J3988" s="1637"/>
      <c r="K3988" s="1637"/>
    </row>
    <row r="3989" spans="1:11" ht="15.75" thickBot="1" x14ac:dyDescent="0.3">
      <c r="A3989" s="1527"/>
      <c r="B3989" s="1540"/>
      <c r="C3989" s="1537"/>
      <c r="D3989" s="212"/>
      <c r="E3989" s="1535" t="s">
        <v>7182</v>
      </c>
      <c r="F3989" s="1537"/>
      <c r="G3989" s="1572" t="s">
        <v>7182</v>
      </c>
      <c r="H3989" s="1524"/>
      <c r="J3989" s="1637"/>
      <c r="K3989" s="1637"/>
    </row>
    <row r="3990" spans="1:11" ht="15.75" thickBot="1" x14ac:dyDescent="0.3">
      <c r="A3990" s="1527"/>
      <c r="B3990" s="1555"/>
      <c r="C3990" s="1556"/>
      <c r="D3990" s="956"/>
      <c r="E3990" s="1556" t="s">
        <v>7182</v>
      </c>
      <c r="F3990" s="1557"/>
      <c r="G3990" s="1558" t="s">
        <v>7182</v>
      </c>
      <c r="H3990" s="1546">
        <f>SUM(G3986:G3990)</f>
        <v>10000</v>
      </c>
      <c r="J3990" s="1637"/>
      <c r="K3990" s="1637"/>
    </row>
    <row r="3991" spans="1:11" ht="15.75" thickBot="1" x14ac:dyDescent="0.3">
      <c r="A3991" s="1527"/>
      <c r="B3991" s="1547"/>
      <c r="C3991" s="1547"/>
      <c r="D3991" s="954"/>
      <c r="E3991" s="1547"/>
      <c r="F3991" s="1553"/>
      <c r="G3991" s="1554"/>
      <c r="H3991" s="1550"/>
    </row>
    <row r="3992" spans="1:11" ht="15.75" thickBot="1" x14ac:dyDescent="0.3">
      <c r="A3992" s="1559"/>
      <c r="B3992" s="1369" t="s">
        <v>5412</v>
      </c>
      <c r="C3992" s="1363" t="s">
        <v>5420</v>
      </c>
      <c r="D3992" s="1120" t="s">
        <v>5421</v>
      </c>
      <c r="E3992" s="1363" t="s">
        <v>7187</v>
      </c>
      <c r="F3992" s="1363" t="s">
        <v>5405</v>
      </c>
      <c r="G3992" s="1370" t="s">
        <v>7179</v>
      </c>
      <c r="H3992" s="1371"/>
    </row>
    <row r="3993" spans="1:11" x14ac:dyDescent="0.25">
      <c r="A3993" s="1527"/>
      <c r="B3993" s="1560" t="s">
        <v>9422</v>
      </c>
      <c r="C3993" s="1569">
        <v>170000</v>
      </c>
      <c r="D3993" s="352">
        <f>0.6*C3993</f>
        <v>102000</v>
      </c>
      <c r="E3993" s="1569">
        <f>+D3993+C3993</f>
        <v>272000</v>
      </c>
      <c r="F3993" s="819">
        <v>1</v>
      </c>
      <c r="G3993" s="818">
        <f>+F3993*E3993</f>
        <v>272000</v>
      </c>
      <c r="H3993" s="1524"/>
    </row>
    <row r="3994" spans="1:11" x14ac:dyDescent="0.25">
      <c r="A3994" s="1527"/>
      <c r="B3994" s="1560"/>
      <c r="C3994" s="1569"/>
      <c r="D3994" s="1569"/>
      <c r="E3994" s="1569"/>
      <c r="F3994" s="819"/>
      <c r="G3994" s="818"/>
      <c r="H3994" s="1524"/>
    </row>
    <row r="3995" spans="1:11" x14ac:dyDescent="0.25">
      <c r="A3995" s="1527"/>
      <c r="B3995" s="1561"/>
      <c r="C3995" s="1569"/>
      <c r="D3995" s="1569"/>
      <c r="E3995" s="1569"/>
      <c r="F3995" s="817"/>
      <c r="G3995" s="818"/>
      <c r="H3995" s="1524"/>
    </row>
    <row r="3996" spans="1:11" x14ac:dyDescent="0.25">
      <c r="A3996" s="1527"/>
      <c r="B3996" s="1540"/>
      <c r="C3996" s="1569"/>
      <c r="D3996" s="1569"/>
      <c r="E3996" s="1569"/>
      <c r="F3996" s="817"/>
      <c r="G3996" s="818"/>
      <c r="H3996" s="1524"/>
    </row>
    <row r="3997" spans="1:11" x14ac:dyDescent="0.25">
      <c r="A3997" s="1527"/>
      <c r="B3997" s="1540"/>
      <c r="C3997" s="1538" t="s">
        <v>7182</v>
      </c>
      <c r="D3997" s="952" t="s">
        <v>7182</v>
      </c>
      <c r="E3997" s="1538" t="s">
        <v>7182</v>
      </c>
      <c r="F3997" s="817"/>
      <c r="G3997" s="818" t="str">
        <f>IF(B3997="","",E3997/F3997)</f>
        <v/>
      </c>
      <c r="H3997" s="1524"/>
    </row>
    <row r="3998" spans="1:11" ht="15.75" thickBot="1" x14ac:dyDescent="0.3">
      <c r="A3998" s="1527"/>
      <c r="B3998" s="1540"/>
      <c r="C3998" s="1538" t="s">
        <v>7182</v>
      </c>
      <c r="D3998" s="952" t="s">
        <v>7182</v>
      </c>
      <c r="E3998" s="1538" t="s">
        <v>7182</v>
      </c>
      <c r="F3998" s="1537"/>
      <c r="G3998" s="818" t="str">
        <f>IF(B3998="","",E3998/F3998)</f>
        <v/>
      </c>
      <c r="H3998" s="1524"/>
    </row>
    <row r="3999" spans="1:11" ht="15.75" thickBot="1" x14ac:dyDescent="0.3">
      <c r="A3999" s="1527"/>
      <c r="B3999" s="1555"/>
      <c r="C3999" s="1556"/>
      <c r="D3999" s="956"/>
      <c r="E3999" s="1556"/>
      <c r="F3999" s="1557"/>
      <c r="G3999" s="1558"/>
      <c r="H3999" s="1546">
        <f>SUM(G3993:G3999)</f>
        <v>272000</v>
      </c>
    </row>
    <row r="4000" spans="1:11" ht="15.75" thickBot="1" x14ac:dyDescent="0.3">
      <c r="A4000" s="1527"/>
      <c r="B4000" s="1527"/>
      <c r="C4000" s="1527"/>
      <c r="D4000" s="529"/>
      <c r="F4000" s="1528"/>
      <c r="G4000" s="1524"/>
      <c r="H4000" s="1524"/>
    </row>
    <row r="4001" spans="1:11" ht="15.75" thickBot="1" x14ac:dyDescent="0.3">
      <c r="A4001" s="1647" t="s">
        <v>6744</v>
      </c>
      <c r="B4001" s="1352"/>
      <c r="C4001" s="1352"/>
      <c r="D4001" s="1671"/>
      <c r="E4001" s="1672"/>
      <c r="F4001" s="1353"/>
      <c r="G4001" s="1527" t="s">
        <v>5415</v>
      </c>
      <c r="H4001" s="502">
        <f>ROUND(SUM(H3959:H4000),0)</f>
        <v>1211083</v>
      </c>
      <c r="J4001" s="1673">
        <f>+B3955</f>
        <v>10.24</v>
      </c>
      <c r="K4001" s="1674">
        <f>+H4001</f>
        <v>1211083</v>
      </c>
    </row>
    <row r="4002" spans="1:11" x14ac:dyDescent="0.25">
      <c r="A4002" s="1675"/>
      <c r="B4002" s="1676"/>
      <c r="C4002" s="1676"/>
      <c r="D4002" s="1677"/>
      <c r="E4002" s="1678"/>
      <c r="F4002" s="1679"/>
      <c r="G4002" s="1680"/>
      <c r="H4002" s="1680"/>
    </row>
  </sheetData>
  <mergeCells count="79">
    <mergeCell ref="C531:E531"/>
    <mergeCell ref="C4:E4"/>
    <mergeCell ref="C54:E54"/>
    <mergeCell ref="C104:E104"/>
    <mergeCell ref="C154:E154"/>
    <mergeCell ref="C204:E204"/>
    <mergeCell ref="C254:E254"/>
    <mergeCell ref="C304:E304"/>
    <mergeCell ref="C359:E359"/>
    <mergeCell ref="C418:E418"/>
    <mergeCell ref="C481:E481"/>
    <mergeCell ref="C1131:E1131"/>
    <mergeCell ref="C581:E581"/>
    <mergeCell ref="C631:E631"/>
    <mergeCell ref="C681:E681"/>
    <mergeCell ref="C731:E731"/>
    <mergeCell ref="C781:E781"/>
    <mergeCell ref="C831:E831"/>
    <mergeCell ref="C881:E881"/>
    <mergeCell ref="C931:E931"/>
    <mergeCell ref="C981:E981"/>
    <mergeCell ref="C1031:E1031"/>
    <mergeCell ref="C1081:E1081"/>
    <mergeCell ref="C1731:E1731"/>
    <mergeCell ref="C1181:E1181"/>
    <mergeCell ref="C1231:E1231"/>
    <mergeCell ref="C1281:E1281"/>
    <mergeCell ref="C1331:E1331"/>
    <mergeCell ref="C1381:E1381"/>
    <mergeCell ref="C1431:E1431"/>
    <mergeCell ref="C1481:E1481"/>
    <mergeCell ref="C1531:E1531"/>
    <mergeCell ref="C1581:E1581"/>
    <mergeCell ref="C1631:E1631"/>
    <mergeCell ref="C1681:E1681"/>
    <mergeCell ref="C2331:E2331"/>
    <mergeCell ref="C1781:E1781"/>
    <mergeCell ref="C1831:E1831"/>
    <mergeCell ref="C1881:E1881"/>
    <mergeCell ref="C1931:E1931"/>
    <mergeCell ref="C1981:E1981"/>
    <mergeCell ref="C2031:E2031"/>
    <mergeCell ref="C2081:E2081"/>
    <mergeCell ref="C2131:E2131"/>
    <mergeCell ref="C2181:E2181"/>
    <mergeCell ref="C2231:E2231"/>
    <mergeCell ref="C2281:E2281"/>
    <mergeCell ref="C2935:E2935"/>
    <mergeCell ref="C2381:E2381"/>
    <mergeCell ref="C2431:E2431"/>
    <mergeCell ref="C2481:E2481"/>
    <mergeCell ref="C2531:E2531"/>
    <mergeCell ref="C2581:E2581"/>
    <mergeCell ref="C2631:E2631"/>
    <mergeCell ref="C2681:E2681"/>
    <mergeCell ref="C2731:E2731"/>
    <mergeCell ref="C2781:E2781"/>
    <mergeCell ref="C2835:E2835"/>
    <mergeCell ref="C2885:E2885"/>
    <mergeCell ref="C3545:E3545"/>
    <mergeCell ref="C2985:E2985"/>
    <mergeCell ref="C3035:E3035"/>
    <mergeCell ref="C3085:E3085"/>
    <mergeCell ref="C3135:E3135"/>
    <mergeCell ref="C3185:E3185"/>
    <mergeCell ref="C3235:E3235"/>
    <mergeCell ref="C3285:E3285"/>
    <mergeCell ref="C3345:E3345"/>
    <mergeCell ref="C3395:E3395"/>
    <mergeCell ref="C3445:E3445"/>
    <mergeCell ref="C3495:E3495"/>
    <mergeCell ref="C3855:E3855"/>
    <mergeCell ref="C3905:E3905"/>
    <mergeCell ref="C3955:E3955"/>
    <mergeCell ref="C3595:E3595"/>
    <mergeCell ref="C3645:E3645"/>
    <mergeCell ref="C3695:E3695"/>
    <mergeCell ref="C3745:E3745"/>
    <mergeCell ref="C3805:E3805"/>
  </mergeCells>
  <pageMargins left="0.70866141732283472" right="0.70866141732283472" top="0.74803149606299213" bottom="0.74803149606299213" header="0.31496062992125984" footer="0.31496062992125984"/>
  <pageSetup scale="62" fitToHeight="0" orientation="portrait" r:id="rId1"/>
  <rowBreaks count="80" manualBreakCount="80">
    <brk id="1" max="7" man="1"/>
    <brk id="51" max="7" man="1"/>
    <brk id="101" max="7" man="1"/>
    <brk id="151" max="7" man="1"/>
    <brk id="201" max="7" man="1"/>
    <brk id="251" max="7" man="1"/>
    <brk id="301" max="7" man="1"/>
    <brk id="356" max="7" man="1"/>
    <brk id="415" max="7" man="1"/>
    <brk id="478" max="7" man="1"/>
    <brk id="528" max="7" man="1"/>
    <brk id="578" max="7" man="1"/>
    <brk id="628" max="7" man="1"/>
    <brk id="678" max="7" man="1"/>
    <brk id="728" max="7" man="1"/>
    <brk id="778" max="7" man="1"/>
    <brk id="828" max="7" man="1"/>
    <brk id="878" max="7" man="1"/>
    <brk id="928" max="7" man="1"/>
    <brk id="978" max="7" man="1"/>
    <brk id="1028" max="7" man="1"/>
    <brk id="1078" max="7" man="1"/>
    <brk id="1128" max="7" man="1"/>
    <brk id="1178" max="7" man="1"/>
    <brk id="1228" max="7" man="1"/>
    <brk id="1278" max="7" man="1"/>
    <brk id="1328" max="7" man="1"/>
    <brk id="1378" max="7" man="1"/>
    <brk id="1428" max="7" man="1"/>
    <brk id="1478" max="7" man="1"/>
    <brk id="1528" max="7" man="1"/>
    <brk id="1578" max="7" man="1"/>
    <brk id="1628" max="7" man="1"/>
    <brk id="1678" max="7" man="1"/>
    <brk id="1728" max="7" man="1"/>
    <brk id="1778" max="7" man="1"/>
    <brk id="1828" max="7" man="1"/>
    <brk id="1878" max="7" man="1"/>
    <brk id="1928" max="7" man="1"/>
    <brk id="1978" max="7" man="1"/>
    <brk id="2028" max="7" man="1"/>
    <brk id="2078" max="7" man="1"/>
    <brk id="2128" max="7" man="1"/>
    <brk id="2178" max="7" man="1"/>
    <brk id="2228" max="7" man="1"/>
    <brk id="2278" max="7" man="1"/>
    <brk id="2328" max="7" man="1"/>
    <brk id="2378" max="7" man="1"/>
    <brk id="2428" max="7" man="1"/>
    <brk id="2478" max="7" man="1"/>
    <brk id="2528" max="7" man="1"/>
    <brk id="2578" max="7" man="1"/>
    <brk id="2628" max="7" man="1"/>
    <brk id="2678" max="7" man="1"/>
    <brk id="2728" max="7" man="1"/>
    <brk id="2778" max="7" man="1"/>
    <brk id="2832" max="7" man="1"/>
    <brk id="2882" max="7" man="1"/>
    <brk id="2932" max="7" man="1"/>
    <brk id="2982" max="7" man="1"/>
    <brk id="3032" max="7" man="1"/>
    <brk id="3082" max="7" man="1"/>
    <brk id="3132" max="7" man="1"/>
    <brk id="3182" max="7" man="1"/>
    <brk id="3232" max="7" man="1"/>
    <brk id="3282" max="7" man="1"/>
    <brk id="3316" max="7" man="1"/>
    <brk id="3342" max="7" man="1"/>
    <brk id="3392" max="7" man="1"/>
    <brk id="3442" max="7" man="1"/>
    <brk id="3492" max="7" man="1"/>
    <brk id="3542" max="7" man="1"/>
    <brk id="3592" max="7" man="1"/>
    <brk id="3642" max="7" man="1"/>
    <brk id="3692" max="7" man="1"/>
    <brk id="3742" max="7" man="1"/>
    <brk id="3802" max="7" man="1"/>
    <brk id="3852" max="7" man="1"/>
    <brk id="3902" max="7" man="1"/>
    <brk id="3952" max="7"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7183"/>
  <sheetViews>
    <sheetView view="pageBreakPreview" topLeftCell="A838" zoomScale="55" zoomScaleNormal="100" zoomScaleSheetLayoutView="55" workbookViewId="0">
      <selection activeCell="B210" sqref="B210"/>
    </sheetView>
  </sheetViews>
  <sheetFormatPr baseColWidth="10" defaultRowHeight="15" x14ac:dyDescent="0.25"/>
  <cols>
    <col min="1" max="1" width="5.85546875" bestFit="1" customWidth="1"/>
    <col min="2" max="2" width="28.42578125" customWidth="1"/>
    <col min="3" max="3" width="11.5703125" bestFit="1" customWidth="1"/>
    <col min="4" max="4" width="39.42578125" bestFit="1" customWidth="1"/>
    <col min="5" max="5" width="19" customWidth="1"/>
    <col min="6" max="6" width="13.140625" bestFit="1" customWidth="1"/>
    <col min="7" max="7" width="16.7109375" customWidth="1"/>
    <col min="8" max="8" width="17" customWidth="1"/>
    <col min="9" max="9" width="14.140625" customWidth="1"/>
    <col min="10" max="10" width="25.85546875" bestFit="1" customWidth="1"/>
    <col min="13" max="13" width="15.42578125" bestFit="1" customWidth="1"/>
    <col min="14" max="14" width="16.7109375" bestFit="1" customWidth="1"/>
  </cols>
  <sheetData>
    <row r="1" spans="1:8" ht="18.75" x14ac:dyDescent="0.25">
      <c r="A1" s="1424"/>
      <c r="B1" s="1058"/>
      <c r="C1" s="1425"/>
      <c r="D1" s="1425" t="s">
        <v>5400</v>
      </c>
      <c r="E1" s="1425"/>
      <c r="F1" s="1425"/>
      <c r="G1" s="1425"/>
      <c r="H1" s="8"/>
    </row>
    <row r="2" spans="1:8" ht="18.75" x14ac:dyDescent="0.25">
      <c r="A2" s="133"/>
      <c r="B2" s="1425"/>
      <c r="C2" s="1425"/>
      <c r="D2" s="950"/>
      <c r="E2" s="1425"/>
      <c r="F2" s="1425"/>
      <c r="G2" s="1425"/>
      <c r="H2" s="8"/>
    </row>
    <row r="3" spans="1:8" x14ac:dyDescent="0.25">
      <c r="A3" s="133"/>
      <c r="B3" s="8"/>
      <c r="C3" s="8"/>
      <c r="D3" s="529"/>
      <c r="E3" s="8"/>
      <c r="F3" s="133"/>
      <c r="G3" s="134"/>
      <c r="H3" s="8"/>
    </row>
    <row r="4" spans="1:8" x14ac:dyDescent="0.25">
      <c r="A4" s="1424" t="s">
        <v>3</v>
      </c>
      <c r="B4" s="1390">
        <f>+VLOOKUP(C4,ListaAPUs!$B:$E,4,FALSE)</f>
        <v>1.1000000000000001</v>
      </c>
      <c r="C4" s="2450" t="str">
        <f>+ListaAPUs!B8</f>
        <v>LOCALIZACIÓN Y REPLANTEO DE REDES</v>
      </c>
      <c r="D4" s="2450"/>
      <c r="E4" s="2450"/>
      <c r="F4" s="1424" t="s">
        <v>867</v>
      </c>
      <c r="G4" s="139" t="str">
        <f>+ListaAPUs!C8</f>
        <v>m</v>
      </c>
      <c r="H4" s="134"/>
    </row>
    <row r="5" spans="1:8" x14ac:dyDescent="0.25">
      <c r="A5" s="141"/>
      <c r="B5" s="140"/>
      <c r="C5" s="140"/>
      <c r="D5" s="529"/>
      <c r="E5" s="140"/>
      <c r="F5" s="141"/>
      <c r="G5" s="134"/>
      <c r="H5" s="134"/>
    </row>
    <row r="6" spans="1:8" x14ac:dyDescent="0.25">
      <c r="A6" s="141"/>
      <c r="B6" s="140"/>
      <c r="C6" s="140"/>
      <c r="D6" s="529"/>
      <c r="E6" s="140"/>
      <c r="F6" s="141"/>
      <c r="G6" s="142"/>
      <c r="H6" s="134"/>
    </row>
    <row r="7" spans="1:8" ht="15.75" thickBot="1" x14ac:dyDescent="0.3">
      <c r="A7" s="141"/>
      <c r="B7" s="140"/>
      <c r="C7" s="140"/>
      <c r="D7" s="529"/>
      <c r="E7" s="140"/>
      <c r="F7" s="141"/>
      <c r="G7" s="134"/>
      <c r="H7" s="134"/>
    </row>
    <row r="8" spans="1:8" ht="15.75" thickBot="1" x14ac:dyDescent="0.3">
      <c r="A8" s="1368"/>
      <c r="B8" s="1369" t="s">
        <v>5403</v>
      </c>
      <c r="C8" s="1363" t="s">
        <v>867</v>
      </c>
      <c r="D8" s="1120" t="s">
        <v>6</v>
      </c>
      <c r="E8" s="1363" t="s">
        <v>7178</v>
      </c>
      <c r="F8" s="1363" t="s">
        <v>5405</v>
      </c>
      <c r="G8" s="1370" t="s">
        <v>7179</v>
      </c>
      <c r="H8" s="1371"/>
    </row>
    <row r="9" spans="1:8" ht="33" customHeight="1" x14ac:dyDescent="0.25">
      <c r="A9" s="141"/>
      <c r="B9" s="146" t="s">
        <v>5455</v>
      </c>
      <c r="C9" s="1348" t="s">
        <v>7042</v>
      </c>
      <c r="D9" s="967">
        <v>1</v>
      </c>
      <c r="E9" s="1349">
        <v>1452</v>
      </c>
      <c r="F9" s="1350">
        <v>0.1</v>
      </c>
      <c r="G9" s="1351">
        <v>145</v>
      </c>
      <c r="H9" s="134"/>
    </row>
    <row r="10" spans="1:8" ht="42" customHeight="1" x14ac:dyDescent="0.25">
      <c r="A10" s="141"/>
      <c r="B10" s="154" t="s">
        <v>7180</v>
      </c>
      <c r="C10" s="151" t="s">
        <v>5424</v>
      </c>
      <c r="D10" s="212">
        <v>1</v>
      </c>
      <c r="E10" s="816">
        <f>+Insumos!C258</f>
        <v>78750</v>
      </c>
      <c r="F10" s="197">
        <f>1/F42</f>
        <v>3.3333333333333335E-3</v>
      </c>
      <c r="G10" s="814">
        <v>300</v>
      </c>
      <c r="H10" s="134"/>
    </row>
    <row r="11" spans="1:8" x14ac:dyDescent="0.25">
      <c r="A11" s="141"/>
      <c r="B11" s="269" t="s">
        <v>7181</v>
      </c>
      <c r="C11" s="151" t="s">
        <v>5424</v>
      </c>
      <c r="D11" s="212">
        <v>1</v>
      </c>
      <c r="E11" s="816">
        <f>+Insumos!C259</f>
        <v>105</v>
      </c>
      <c r="F11" s="197">
        <v>5.0000000000000001E-3</v>
      </c>
      <c r="G11" s="814">
        <v>1</v>
      </c>
      <c r="H11" s="134"/>
    </row>
    <row r="12" spans="1:8" x14ac:dyDescent="0.25">
      <c r="A12" s="141"/>
      <c r="B12" s="268"/>
      <c r="C12" s="147"/>
      <c r="D12" s="211"/>
      <c r="E12" s="148" t="s">
        <v>7182</v>
      </c>
      <c r="F12" s="167"/>
      <c r="G12" s="156" t="s">
        <v>7182</v>
      </c>
      <c r="H12" s="134"/>
    </row>
    <row r="13" spans="1:8" x14ac:dyDescent="0.25">
      <c r="A13" s="141"/>
      <c r="B13" s="1346"/>
      <c r="C13" s="147"/>
      <c r="D13" s="211"/>
      <c r="E13" s="148" t="s">
        <v>7182</v>
      </c>
      <c r="F13" s="167"/>
      <c r="G13" s="156" t="s">
        <v>7182</v>
      </c>
      <c r="H13" s="134"/>
    </row>
    <row r="14" spans="1:8" ht="15.75" thickBot="1" x14ac:dyDescent="0.3">
      <c r="A14" s="141"/>
      <c r="B14" s="155"/>
      <c r="C14" s="151"/>
      <c r="D14" s="952"/>
      <c r="E14" s="152" t="s">
        <v>7182</v>
      </c>
      <c r="F14" s="151"/>
      <c r="G14" s="156" t="s">
        <v>7182</v>
      </c>
      <c r="H14" s="134"/>
    </row>
    <row r="15" spans="1:8" ht="15.75" thickBot="1" x14ac:dyDescent="0.3">
      <c r="A15" s="141"/>
      <c r="B15" s="179"/>
      <c r="C15" s="181"/>
      <c r="D15" s="956"/>
      <c r="E15" s="180" t="s">
        <v>7182</v>
      </c>
      <c r="F15" s="181"/>
      <c r="G15" s="182" t="s">
        <v>7182</v>
      </c>
      <c r="H15" s="161">
        <f>SUM(G9:G15)</f>
        <v>446</v>
      </c>
    </row>
    <row r="16" spans="1:8" x14ac:dyDescent="0.25">
      <c r="A16" s="141"/>
      <c r="B16" s="1352"/>
      <c r="C16" s="1353"/>
      <c r="D16" s="1347"/>
      <c r="E16" s="1352" t="s">
        <v>7182</v>
      </c>
      <c r="F16" s="1353"/>
      <c r="G16" s="165" t="s">
        <v>7182</v>
      </c>
      <c r="H16" s="165"/>
    </row>
    <row r="17" spans="1:8" ht="15.75" thickBot="1" x14ac:dyDescent="0.3">
      <c r="A17" s="141"/>
      <c r="B17" s="1354"/>
      <c r="C17" s="1353"/>
      <c r="D17" s="1355"/>
      <c r="E17" s="1352"/>
      <c r="F17" s="1356"/>
      <c r="G17" s="1357"/>
      <c r="H17" s="134"/>
    </row>
    <row r="18" spans="1:8" ht="15.75" thickBot="1" x14ac:dyDescent="0.3">
      <c r="A18" s="141"/>
      <c r="B18" s="1366" t="s">
        <v>5408</v>
      </c>
      <c r="C18" s="1363" t="s">
        <v>867</v>
      </c>
      <c r="D18" s="1120" t="s">
        <v>6</v>
      </c>
      <c r="E18" s="1363" t="s">
        <v>7183</v>
      </c>
      <c r="F18" s="1364" t="s">
        <v>7040</v>
      </c>
      <c r="G18" s="1365" t="s">
        <v>7179</v>
      </c>
      <c r="H18" s="1367"/>
    </row>
    <row r="19" spans="1:8" x14ac:dyDescent="0.25">
      <c r="A19" s="140"/>
      <c r="B19" s="201" t="s">
        <v>7184</v>
      </c>
      <c r="C19" s="147" t="s">
        <v>5424</v>
      </c>
      <c r="D19" s="211">
        <v>0.02</v>
      </c>
      <c r="E19" s="148">
        <f>+Insumos!C260</f>
        <v>3500</v>
      </c>
      <c r="F19" s="169">
        <v>1.1000000000000001</v>
      </c>
      <c r="G19" s="354">
        <v>92</v>
      </c>
      <c r="H19" s="134"/>
    </row>
    <row r="20" spans="1:8" x14ac:dyDescent="0.25">
      <c r="A20" s="140"/>
      <c r="B20" s="196" t="s">
        <v>7185</v>
      </c>
      <c r="C20" s="151" t="s">
        <v>5424</v>
      </c>
      <c r="D20" s="212">
        <v>0.01</v>
      </c>
      <c r="E20" s="148">
        <f>+Insumos!C261</f>
        <v>52500</v>
      </c>
      <c r="F20" s="169">
        <v>1.02</v>
      </c>
      <c r="G20" s="354">
        <v>510</v>
      </c>
      <c r="H20" s="134"/>
    </row>
    <row r="21" spans="1:8" x14ac:dyDescent="0.25">
      <c r="A21" s="140"/>
      <c r="B21" s="155"/>
      <c r="C21" s="151"/>
      <c r="D21" s="212"/>
      <c r="E21" s="148" t="s">
        <v>7182</v>
      </c>
      <c r="F21" s="169"/>
      <c r="G21" s="367" t="s">
        <v>7182</v>
      </c>
      <c r="H21" s="134"/>
    </row>
    <row r="22" spans="1:8" x14ac:dyDescent="0.25">
      <c r="A22" s="140"/>
      <c r="B22" s="155"/>
      <c r="C22" s="151"/>
      <c r="D22" s="212"/>
      <c r="E22" s="148" t="s">
        <v>7182</v>
      </c>
      <c r="F22" s="169"/>
      <c r="G22" s="367" t="s">
        <v>7182</v>
      </c>
      <c r="H22" s="134"/>
    </row>
    <row r="23" spans="1:8" x14ac:dyDescent="0.25">
      <c r="A23" s="140"/>
      <c r="B23" s="155"/>
      <c r="C23" s="151"/>
      <c r="D23" s="212"/>
      <c r="E23" s="148" t="s">
        <v>7182</v>
      </c>
      <c r="F23" s="169"/>
      <c r="G23" s="367" t="s">
        <v>7182</v>
      </c>
      <c r="H23" s="134"/>
    </row>
    <row r="24" spans="1:8" x14ac:dyDescent="0.25">
      <c r="A24" s="141"/>
      <c r="B24" s="1346"/>
      <c r="C24" s="147"/>
      <c r="D24" s="211"/>
      <c r="E24" s="148" t="s">
        <v>7182</v>
      </c>
      <c r="F24" s="167"/>
      <c r="G24" s="367" t="s">
        <v>7182</v>
      </c>
      <c r="H24" s="134"/>
    </row>
    <row r="25" spans="1:8" x14ac:dyDescent="0.25">
      <c r="A25" s="140"/>
      <c r="B25" s="155"/>
      <c r="C25" s="151"/>
      <c r="D25" s="212"/>
      <c r="E25" s="148" t="s">
        <v>7182</v>
      </c>
      <c r="F25" s="151"/>
      <c r="G25" s="367" t="s">
        <v>7182</v>
      </c>
      <c r="H25" s="134"/>
    </row>
    <row r="26" spans="1:8" x14ac:dyDescent="0.25">
      <c r="A26" s="140"/>
      <c r="B26" s="155"/>
      <c r="C26" s="151"/>
      <c r="D26" s="212"/>
      <c r="E26" s="148" t="s">
        <v>7182</v>
      </c>
      <c r="F26" s="151"/>
      <c r="G26" s="367" t="s">
        <v>7182</v>
      </c>
      <c r="H26" s="134"/>
    </row>
    <row r="27" spans="1:8" x14ac:dyDescent="0.25">
      <c r="A27" s="140"/>
      <c r="B27" s="155"/>
      <c r="C27" s="151"/>
      <c r="D27" s="212"/>
      <c r="E27" s="148" t="s">
        <v>7182</v>
      </c>
      <c r="F27" s="151"/>
      <c r="G27" s="367" t="s">
        <v>7182</v>
      </c>
      <c r="H27" s="134"/>
    </row>
    <row r="28" spans="1:8" x14ac:dyDescent="0.25">
      <c r="A28" s="140"/>
      <c r="B28" s="155"/>
      <c r="C28" s="152"/>
      <c r="D28" s="952"/>
      <c r="E28" s="152" t="s">
        <v>8004</v>
      </c>
      <c r="F28" s="151"/>
      <c r="G28" s="156" t="s">
        <v>7182</v>
      </c>
      <c r="H28" s="134"/>
    </row>
    <row r="29" spans="1:8" ht="15.75" thickBot="1" x14ac:dyDescent="0.3">
      <c r="A29" s="140"/>
      <c r="B29" s="155"/>
      <c r="C29" s="152"/>
      <c r="D29" s="952"/>
      <c r="E29" s="152" t="s">
        <v>7182</v>
      </c>
      <c r="F29" s="151"/>
      <c r="G29" s="156" t="s">
        <v>7182</v>
      </c>
      <c r="H29" s="134"/>
    </row>
    <row r="30" spans="1:8" ht="15.75" thickBot="1" x14ac:dyDescent="0.3">
      <c r="A30" s="140"/>
      <c r="B30" s="1358"/>
      <c r="C30" s="1359"/>
      <c r="D30" s="1360"/>
      <c r="E30" s="1359" t="s">
        <v>7182</v>
      </c>
      <c r="F30" s="1361"/>
      <c r="G30" s="1362" t="s">
        <v>7182</v>
      </c>
      <c r="H30" s="161">
        <f>SUM(G19:G30)</f>
        <v>602</v>
      </c>
    </row>
    <row r="31" spans="1:8" x14ac:dyDescent="0.25">
      <c r="A31" s="140"/>
      <c r="B31" s="1372"/>
      <c r="C31" s="1372"/>
      <c r="D31" s="1373"/>
      <c r="E31" s="1372" t="s">
        <v>7182</v>
      </c>
      <c r="F31" s="1374"/>
      <c r="G31" s="1375" t="s">
        <v>7182</v>
      </c>
      <c r="H31" s="165"/>
    </row>
    <row r="32" spans="1:8" x14ac:dyDescent="0.25">
      <c r="A32" s="140"/>
      <c r="B32" s="1353"/>
      <c r="C32" s="1353"/>
      <c r="D32" s="1355"/>
      <c r="E32" s="1353" t="s">
        <v>7182</v>
      </c>
      <c r="F32" s="1353"/>
      <c r="G32" s="1357" t="s">
        <v>7182</v>
      </c>
      <c r="H32" s="134"/>
    </row>
    <row r="33" spans="1:9" ht="15.75" thickBot="1" x14ac:dyDescent="0.3">
      <c r="A33" s="140"/>
      <c r="B33" s="1376"/>
      <c r="C33" s="1353"/>
      <c r="D33" s="1355"/>
      <c r="E33" s="1352"/>
      <c r="F33" s="1377"/>
      <c r="G33" s="1378"/>
      <c r="H33" s="134"/>
    </row>
    <row r="34" spans="1:9" ht="15.75" thickBot="1" x14ac:dyDescent="0.3">
      <c r="A34" s="140"/>
      <c r="B34" s="1366" t="s">
        <v>5410</v>
      </c>
      <c r="C34" s="1363" t="s">
        <v>867</v>
      </c>
      <c r="D34" s="1120" t="s">
        <v>6</v>
      </c>
      <c r="E34" s="1363" t="s">
        <v>7183</v>
      </c>
      <c r="F34" s="1363" t="s">
        <v>5411</v>
      </c>
      <c r="G34" s="1365" t="s">
        <v>7179</v>
      </c>
      <c r="H34" s="134"/>
    </row>
    <row r="35" spans="1:9" x14ac:dyDescent="0.25">
      <c r="A35" s="140"/>
      <c r="B35" s="201"/>
      <c r="C35" s="147"/>
      <c r="D35" s="211"/>
      <c r="E35" s="148" t="s">
        <v>7182</v>
      </c>
      <c r="F35" s="147"/>
      <c r="G35" s="367" t="s">
        <v>7182</v>
      </c>
      <c r="H35" s="134"/>
    </row>
    <row r="36" spans="1:9" x14ac:dyDescent="0.25">
      <c r="A36" s="140"/>
      <c r="B36" s="155"/>
      <c r="C36" s="151"/>
      <c r="D36" s="212"/>
      <c r="E36" s="148" t="s">
        <v>7182</v>
      </c>
      <c r="F36" s="151"/>
      <c r="G36" s="367" t="s">
        <v>7182</v>
      </c>
      <c r="H36" s="134"/>
    </row>
    <row r="37" spans="1:9" x14ac:dyDescent="0.25">
      <c r="A37" s="140"/>
      <c r="B37" s="155"/>
      <c r="C37" s="151"/>
      <c r="D37" s="212"/>
      <c r="E37" s="148" t="s">
        <v>7182</v>
      </c>
      <c r="F37" s="151"/>
      <c r="G37" s="367" t="s">
        <v>7182</v>
      </c>
      <c r="H37" s="134"/>
    </row>
    <row r="38" spans="1:9" ht="15.75" thickBot="1" x14ac:dyDescent="0.3">
      <c r="A38" s="140"/>
      <c r="B38" s="155"/>
      <c r="C38" s="151"/>
      <c r="D38" s="212"/>
      <c r="E38" s="148" t="s">
        <v>7182</v>
      </c>
      <c r="F38" s="151"/>
      <c r="G38" s="367" t="s">
        <v>7182</v>
      </c>
      <c r="H38" s="134"/>
    </row>
    <row r="39" spans="1:9" ht="15.75" thickBot="1" x14ac:dyDescent="0.3">
      <c r="A39" s="140"/>
      <c r="B39" s="179"/>
      <c r="C39" s="180"/>
      <c r="D39" s="956"/>
      <c r="E39" s="180" t="s">
        <v>7182</v>
      </c>
      <c r="F39" s="181"/>
      <c r="G39" s="182" t="s">
        <v>7182</v>
      </c>
      <c r="H39" s="161" t="s">
        <v>7186</v>
      </c>
    </row>
    <row r="40" spans="1:9" ht="15.75" thickBot="1" x14ac:dyDescent="0.3">
      <c r="A40" s="140"/>
      <c r="B40" s="162"/>
      <c r="C40" s="162"/>
      <c r="D40" s="954"/>
      <c r="E40" s="162"/>
      <c r="F40" s="173"/>
      <c r="G40" s="174"/>
      <c r="H40" s="165"/>
    </row>
    <row r="41" spans="1:9" ht="15.75" thickBot="1" x14ac:dyDescent="0.3">
      <c r="A41" s="183"/>
      <c r="B41" s="1369" t="s">
        <v>5412</v>
      </c>
      <c r="C41" s="1363" t="s">
        <v>5420</v>
      </c>
      <c r="D41" s="1120" t="s">
        <v>5421</v>
      </c>
      <c r="E41" s="1363" t="s">
        <v>7187</v>
      </c>
      <c r="F41" s="1363" t="s">
        <v>5405</v>
      </c>
      <c r="G41" s="1370" t="s">
        <v>7179</v>
      </c>
      <c r="H41" s="1371"/>
    </row>
    <row r="42" spans="1:9" x14ac:dyDescent="0.25">
      <c r="A42" s="140"/>
      <c r="B42" s="194" t="s">
        <v>7188</v>
      </c>
      <c r="C42" s="345">
        <f>+VLOOKUP($B42,'Mano de obra'!$A$5:$D$26,2,FALSE)</f>
        <v>86068.5</v>
      </c>
      <c r="D42" s="345">
        <f>+VLOOKUP($B42,'Mano de obra'!$A$5:$D$26,3,FALSE)</f>
        <v>41993</v>
      </c>
      <c r="E42" s="345">
        <f>+VLOOKUP($B42,'Mano de obra'!$A$5:$D$26,4,FALSE)</f>
        <v>128061.5</v>
      </c>
      <c r="F42" s="819">
        <v>300</v>
      </c>
      <c r="G42" s="818">
        <f t="shared" ref="G42:G47" si="0">IF(B42="","",E42/F42)</f>
        <v>426.87166666666667</v>
      </c>
      <c r="H42" s="134"/>
    </row>
    <row r="43" spans="1:9" x14ac:dyDescent="0.25">
      <c r="A43" s="140"/>
      <c r="B43" s="194" t="s">
        <v>7189</v>
      </c>
      <c r="C43" s="345">
        <f>+VLOOKUP($B43,'Mano de obra'!$A$5:$D$26,2,FALSE)</f>
        <v>34473</v>
      </c>
      <c r="D43" s="345">
        <f>+VLOOKUP($B43,'Mano de obra'!$A$5:$D$26,3,FALSE)</f>
        <v>21394</v>
      </c>
      <c r="E43" s="345">
        <f>+VLOOKUP($B43,'Mano de obra'!$A$5:$D$26,4,FALSE)</f>
        <v>55867</v>
      </c>
      <c r="F43" s="819">
        <f>+F42</f>
        <v>300</v>
      </c>
      <c r="G43" s="818">
        <f t="shared" si="0"/>
        <v>186.22333333333333</v>
      </c>
      <c r="H43" s="134"/>
    </row>
    <row r="44" spans="1:9" x14ac:dyDescent="0.25">
      <c r="A44" s="140"/>
      <c r="B44" s="195" t="s">
        <v>7190</v>
      </c>
      <c r="C44" s="345">
        <f>+VLOOKUP($B44,'Mano de obra'!$A$5:$D$26,2,FALSE)</f>
        <v>24591</v>
      </c>
      <c r="D44" s="345">
        <f>+VLOOKUP($B44,'Mano de obra'!$A$5:$D$26,3,FALSE)</f>
        <v>15261</v>
      </c>
      <c r="E44" s="345">
        <f>+VLOOKUP($B44,'Mano de obra'!$A$5:$D$26,4,FALSE)</f>
        <v>39852</v>
      </c>
      <c r="F44" s="817">
        <f>+F43</f>
        <v>300</v>
      </c>
      <c r="G44" s="818">
        <f t="shared" si="0"/>
        <v>132.84</v>
      </c>
      <c r="H44" s="134"/>
    </row>
    <row r="45" spans="1:9" x14ac:dyDescent="0.25">
      <c r="A45" s="140"/>
      <c r="B45" s="155" t="s">
        <v>7191</v>
      </c>
      <c r="C45" s="345">
        <f>+VLOOKUP($B45,'Mano de obra'!$A$5:$D$26,2,FALSE)</f>
        <v>22000</v>
      </c>
      <c r="D45" s="345">
        <f>+VLOOKUP($B45,'Mano de obra'!$A$5:$D$26,3,FALSE)</f>
        <v>13653</v>
      </c>
      <c r="E45" s="345">
        <f>+VLOOKUP($B45,'Mano de obra'!$A$5:$D$26,4,FALSE)</f>
        <v>35653</v>
      </c>
      <c r="F45" s="817">
        <f>+F42</f>
        <v>300</v>
      </c>
      <c r="G45" s="818">
        <f t="shared" si="0"/>
        <v>118.84333333333333</v>
      </c>
      <c r="H45" s="134"/>
    </row>
    <row r="46" spans="1:9" x14ac:dyDescent="0.25">
      <c r="A46" s="140"/>
      <c r="B46" s="155"/>
      <c r="C46" s="152" t="s">
        <v>7182</v>
      </c>
      <c r="D46" s="952" t="s">
        <v>7182</v>
      </c>
      <c r="E46" s="152" t="s">
        <v>7182</v>
      </c>
      <c r="F46" s="817"/>
      <c r="G46" s="818" t="str">
        <f t="shared" si="0"/>
        <v/>
      </c>
      <c r="H46" s="134"/>
      <c r="I46" t="s">
        <v>9045</v>
      </c>
    </row>
    <row r="47" spans="1:9" ht="15.75" thickBot="1" x14ac:dyDescent="0.3">
      <c r="A47" s="140"/>
      <c r="B47" s="155"/>
      <c r="C47" s="152" t="s">
        <v>7182</v>
      </c>
      <c r="D47" s="952" t="s">
        <v>7182</v>
      </c>
      <c r="E47" s="152" t="s">
        <v>7182</v>
      </c>
      <c r="F47" s="151"/>
      <c r="G47" s="818" t="str">
        <f t="shared" si="0"/>
        <v/>
      </c>
      <c r="H47" s="134"/>
    </row>
    <row r="48" spans="1:9" ht="15.75" thickBot="1" x14ac:dyDescent="0.3">
      <c r="A48" s="140"/>
      <c r="B48" s="179"/>
      <c r="C48" s="180"/>
      <c r="D48" s="956"/>
      <c r="E48" s="180"/>
      <c r="F48" s="181"/>
      <c r="G48" s="182"/>
      <c r="H48" s="161">
        <f>SUM(G42:G48)</f>
        <v>864.77833333333342</v>
      </c>
    </row>
    <row r="49" spans="1:8" ht="15.75" thickBot="1" x14ac:dyDescent="0.3">
      <c r="A49" s="140"/>
      <c r="B49" s="140"/>
      <c r="C49" s="140"/>
      <c r="D49" s="529"/>
      <c r="E49" s="140" t="s">
        <v>5415</v>
      </c>
      <c r="F49" s="141"/>
      <c r="G49" s="134"/>
      <c r="H49" s="134"/>
    </row>
    <row r="50" spans="1:8" ht="15.75" thickBot="1" x14ac:dyDescent="0.3">
      <c r="A50" s="133" t="s">
        <v>6744</v>
      </c>
      <c r="B50" s="140"/>
      <c r="C50" s="140"/>
      <c r="D50" s="529"/>
      <c r="E50" s="183"/>
      <c r="F50" s="141"/>
      <c r="G50" s="134"/>
      <c r="H50" s="502">
        <f>ROUND(SUM(H8:H49),0)</f>
        <v>1913</v>
      </c>
    </row>
    <row r="51" spans="1:8" s="1058" customFormat="1" x14ac:dyDescent="0.25">
      <c r="A51" s="133"/>
      <c r="B51" s="140"/>
      <c r="C51" s="140"/>
      <c r="D51" s="529"/>
      <c r="E51" s="183"/>
      <c r="F51" s="141"/>
      <c r="G51" s="134"/>
      <c r="H51" s="165"/>
    </row>
    <row r="52" spans="1:8" x14ac:dyDescent="0.25">
      <c r="A52" s="133"/>
      <c r="B52" s="8"/>
      <c r="C52" s="8"/>
      <c r="D52" s="529"/>
      <c r="E52" s="8"/>
      <c r="F52" s="133"/>
      <c r="G52" s="134"/>
      <c r="H52" s="8"/>
    </row>
    <row r="53" spans="1:8" s="1058" customFormat="1" x14ac:dyDescent="0.25">
      <c r="A53" s="133"/>
      <c r="B53" s="8"/>
      <c r="C53" s="8"/>
      <c r="D53" s="529"/>
      <c r="E53" s="8"/>
      <c r="F53" s="133"/>
      <c r="G53" s="134"/>
      <c r="H53" s="8"/>
    </row>
    <row r="54" spans="1:8" x14ac:dyDescent="0.25">
      <c r="A54" s="1424" t="s">
        <v>3</v>
      </c>
      <c r="B54" s="1390">
        <f>+VLOOKUP(C54,ListaAPUs!$B:$E,4,FALSE)</f>
        <v>1.2</v>
      </c>
      <c r="C54" s="2450" t="str">
        <f>+ListaAPUs!B9</f>
        <v>LOCALIZACIÓN Y REPLANTEO DE ESTRUCTURAS</v>
      </c>
      <c r="D54" s="2450"/>
      <c r="E54" s="2450"/>
      <c r="F54" s="1424" t="s">
        <v>867</v>
      </c>
      <c r="G54" s="1526" t="str">
        <f>+ListaAPUs!C9</f>
        <v>m2</v>
      </c>
      <c r="H54" s="134"/>
    </row>
    <row r="55" spans="1:8" x14ac:dyDescent="0.25">
      <c r="A55" s="141"/>
      <c r="B55" s="140"/>
      <c r="C55" s="140"/>
      <c r="D55" s="529"/>
      <c r="E55" s="140"/>
      <c r="F55" s="141"/>
      <c r="G55" s="134"/>
      <c r="H55" s="134"/>
    </row>
    <row r="56" spans="1:8" ht="15.75" thickBot="1" x14ac:dyDescent="0.3">
      <c r="A56" s="141"/>
      <c r="B56" s="140"/>
      <c r="C56" s="140"/>
      <c r="D56" s="529"/>
      <c r="E56" s="140"/>
      <c r="F56" s="141"/>
      <c r="G56" s="142"/>
      <c r="H56" s="134"/>
    </row>
    <row r="57" spans="1:8" ht="15.75" thickBot="1" x14ac:dyDescent="0.3">
      <c r="A57" s="1368"/>
      <c r="B57" s="1369" t="s">
        <v>5403</v>
      </c>
      <c r="C57" s="1363" t="s">
        <v>867</v>
      </c>
      <c r="D57" s="1120" t="s">
        <v>6</v>
      </c>
      <c r="E57" s="1363" t="s">
        <v>7178</v>
      </c>
      <c r="F57" s="1363" t="s">
        <v>5405</v>
      </c>
      <c r="G57" s="1370" t="s">
        <v>7179</v>
      </c>
      <c r="H57" s="1371"/>
    </row>
    <row r="58" spans="1:8" x14ac:dyDescent="0.25">
      <c r="A58" s="141"/>
      <c r="B58" s="146" t="s">
        <v>5455</v>
      </c>
      <c r="C58" s="147" t="s">
        <v>7042</v>
      </c>
      <c r="D58" s="211">
        <v>1</v>
      </c>
      <c r="E58" s="148">
        <f>+H99</f>
        <v>1834.5984090909092</v>
      </c>
      <c r="F58" s="167">
        <v>0.1</v>
      </c>
      <c r="G58" s="814">
        <f>+E58*F58</f>
        <v>183.45984090909093</v>
      </c>
      <c r="H58" s="134"/>
    </row>
    <row r="59" spans="1:8" x14ac:dyDescent="0.25">
      <c r="A59" s="141"/>
      <c r="B59" s="154" t="s">
        <v>7180</v>
      </c>
      <c r="C59" s="147" t="s">
        <v>5424</v>
      </c>
      <c r="D59" s="211">
        <v>1</v>
      </c>
      <c r="E59" s="148">
        <f>+VLOOKUP(B59,Insumos!$A$2:$C$331,3,FALSE)</f>
        <v>78750</v>
      </c>
      <c r="F59" s="167">
        <v>0.01</v>
      </c>
      <c r="G59" s="814">
        <f>+F59*E59</f>
        <v>787.5</v>
      </c>
      <c r="H59" s="134"/>
    </row>
    <row r="60" spans="1:8" x14ac:dyDescent="0.25">
      <c r="A60" s="141"/>
      <c r="B60" s="154" t="s">
        <v>7181</v>
      </c>
      <c r="C60" s="151" t="s">
        <v>5424</v>
      </c>
      <c r="D60" s="212">
        <v>1</v>
      </c>
      <c r="E60" s="148">
        <f>+VLOOKUP(B60,Insumos!$A$2:$C$331,3,FALSE)</f>
        <v>105</v>
      </c>
      <c r="F60" s="197">
        <v>1.11E-2</v>
      </c>
      <c r="G60" s="814">
        <f>+F60*E60</f>
        <v>1.1655</v>
      </c>
      <c r="H60" s="134"/>
    </row>
    <row r="61" spans="1:8" x14ac:dyDescent="0.25">
      <c r="A61" s="141"/>
      <c r="B61" s="150"/>
      <c r="C61" s="151"/>
      <c r="D61" s="212"/>
      <c r="E61" s="816" t="s">
        <v>7182</v>
      </c>
      <c r="F61" s="197"/>
      <c r="G61" s="814" t="s">
        <v>7182</v>
      </c>
      <c r="H61" s="134"/>
    </row>
    <row r="62" spans="1:8" x14ac:dyDescent="0.25">
      <c r="A62" s="141"/>
      <c r="B62" s="155"/>
      <c r="C62" s="151"/>
      <c r="D62" s="952"/>
      <c r="E62" s="152" t="s">
        <v>7182</v>
      </c>
      <c r="F62" s="151"/>
      <c r="G62" s="156" t="s">
        <v>7182</v>
      </c>
      <c r="H62" s="134"/>
    </row>
    <row r="63" spans="1:8" x14ac:dyDescent="0.25">
      <c r="A63" s="141"/>
      <c r="B63" s="155"/>
      <c r="C63" s="151"/>
      <c r="D63" s="952"/>
      <c r="E63" s="152" t="s">
        <v>7182</v>
      </c>
      <c r="F63" s="151"/>
      <c r="G63" s="156" t="s">
        <v>7182</v>
      </c>
      <c r="H63" s="134"/>
    </row>
    <row r="64" spans="1:8" ht="15.75" thickBot="1" x14ac:dyDescent="0.3">
      <c r="A64" s="141"/>
      <c r="B64" s="155"/>
      <c r="C64" s="151"/>
      <c r="D64" s="952"/>
      <c r="E64" s="152" t="s">
        <v>7182</v>
      </c>
      <c r="F64" s="151"/>
      <c r="G64" s="156" t="s">
        <v>7182</v>
      </c>
      <c r="H64" s="134"/>
    </row>
    <row r="65" spans="1:8" ht="15.75" thickBot="1" x14ac:dyDescent="0.3">
      <c r="A65" s="141"/>
      <c r="B65" s="179"/>
      <c r="C65" s="181"/>
      <c r="D65" s="956"/>
      <c r="E65" s="180" t="s">
        <v>7182</v>
      </c>
      <c r="F65" s="181"/>
      <c r="G65" s="182" t="s">
        <v>7182</v>
      </c>
      <c r="H65" s="161">
        <f>SUM(G58:G65)</f>
        <v>972.12534090909082</v>
      </c>
    </row>
    <row r="66" spans="1:8" ht="15.75" thickBot="1" x14ac:dyDescent="0.3">
      <c r="A66" s="141"/>
      <c r="B66" s="1354"/>
      <c r="C66" s="1379"/>
      <c r="D66" s="211"/>
      <c r="E66" s="148"/>
      <c r="F66" s="167"/>
      <c r="G66" s="190"/>
      <c r="H66" s="165"/>
    </row>
    <row r="67" spans="1:8" ht="15.75" thickBot="1" x14ac:dyDescent="0.3">
      <c r="A67" s="183"/>
      <c r="B67" s="1381" t="s">
        <v>5408</v>
      </c>
      <c r="C67" s="1382" t="s">
        <v>867</v>
      </c>
      <c r="D67" s="1120" t="s">
        <v>6</v>
      </c>
      <c r="E67" s="1363" t="s">
        <v>7183</v>
      </c>
      <c r="F67" s="1363" t="s">
        <v>7040</v>
      </c>
      <c r="G67" s="1370" t="s">
        <v>7179</v>
      </c>
      <c r="H67" s="1371"/>
    </row>
    <row r="68" spans="1:8" ht="30.75" customHeight="1" x14ac:dyDescent="0.25">
      <c r="A68" s="140"/>
      <c r="B68" s="201" t="s">
        <v>7184</v>
      </c>
      <c r="C68" s="147" t="s">
        <v>5424</v>
      </c>
      <c r="D68" s="211">
        <v>2.5000000000000001E-2</v>
      </c>
      <c r="E68" s="148">
        <f>+VLOOKUP(B68,Insumos!$A$2:$C$331,3,FALSE)</f>
        <v>3500</v>
      </c>
      <c r="F68" s="169">
        <v>1.056</v>
      </c>
      <c r="G68" s="815">
        <f>E68*(D68*F68)</f>
        <v>92.4</v>
      </c>
      <c r="H68" s="134"/>
    </row>
    <row r="69" spans="1:8" x14ac:dyDescent="0.25">
      <c r="A69" s="140"/>
      <c r="B69" s="196"/>
      <c r="C69" s="151"/>
      <c r="D69" s="212"/>
      <c r="E69" s="148" t="s">
        <v>7182</v>
      </c>
      <c r="F69" s="169"/>
      <c r="G69" s="354" t="s">
        <v>7182</v>
      </c>
      <c r="H69" s="134"/>
    </row>
    <row r="70" spans="1:8" x14ac:dyDescent="0.25">
      <c r="A70" s="140"/>
      <c r="B70" s="196"/>
      <c r="C70" s="151"/>
      <c r="D70" s="212"/>
      <c r="E70" s="148" t="s">
        <v>7182</v>
      </c>
      <c r="F70" s="169"/>
      <c r="G70" s="815" t="s">
        <v>7182</v>
      </c>
      <c r="H70" s="134"/>
    </row>
    <row r="71" spans="1:8" x14ac:dyDescent="0.25">
      <c r="A71" s="140"/>
      <c r="B71" s="155"/>
      <c r="C71" s="151"/>
      <c r="D71" s="212"/>
      <c r="E71" s="148" t="s">
        <v>7182</v>
      </c>
      <c r="F71" s="151"/>
      <c r="G71" s="367" t="s">
        <v>7182</v>
      </c>
      <c r="H71" s="134"/>
    </row>
    <row r="72" spans="1:8" x14ac:dyDescent="0.25">
      <c r="A72" s="140"/>
      <c r="B72" s="155"/>
      <c r="C72" s="151"/>
      <c r="D72" s="212"/>
      <c r="E72" s="148" t="s">
        <v>7182</v>
      </c>
      <c r="F72" s="151"/>
      <c r="G72" s="367" t="s">
        <v>7182</v>
      </c>
      <c r="H72" s="134"/>
    </row>
    <row r="73" spans="1:8" x14ac:dyDescent="0.25">
      <c r="A73" s="140"/>
      <c r="B73" s="155"/>
      <c r="C73" s="1380"/>
      <c r="D73" s="688"/>
      <c r="E73" s="975" t="s">
        <v>7182</v>
      </c>
      <c r="F73" s="1380"/>
      <c r="G73" s="367" t="s">
        <v>7182</v>
      </c>
      <c r="H73" s="134"/>
    </row>
    <row r="74" spans="1:8" x14ac:dyDescent="0.25">
      <c r="A74" s="140"/>
      <c r="B74" s="155"/>
      <c r="C74" s="1380"/>
      <c r="D74" s="688"/>
      <c r="E74" s="975" t="s">
        <v>7182</v>
      </c>
      <c r="F74" s="1380"/>
      <c r="G74" s="367" t="s">
        <v>7182</v>
      </c>
      <c r="H74" s="134"/>
    </row>
    <row r="75" spans="1:8" x14ac:dyDescent="0.25">
      <c r="A75" s="140"/>
      <c r="B75" s="155"/>
      <c r="C75" s="1380"/>
      <c r="D75" s="688"/>
      <c r="E75" s="975" t="s">
        <v>7182</v>
      </c>
      <c r="F75" s="1380"/>
      <c r="G75" s="367" t="s">
        <v>7182</v>
      </c>
      <c r="H75" s="134"/>
    </row>
    <row r="76" spans="1:8" x14ac:dyDescent="0.25">
      <c r="A76" s="140"/>
      <c r="B76" s="155"/>
      <c r="C76" s="1380"/>
      <c r="D76" s="688"/>
      <c r="E76" s="975" t="s">
        <v>7182</v>
      </c>
      <c r="F76" s="1380"/>
      <c r="G76" s="367" t="s">
        <v>7182</v>
      </c>
      <c r="H76" s="134"/>
    </row>
    <row r="77" spans="1:8" x14ac:dyDescent="0.25">
      <c r="A77" s="140"/>
      <c r="B77" s="155"/>
      <c r="C77" s="1380"/>
      <c r="D77" s="688"/>
      <c r="E77" s="975" t="s">
        <v>7182</v>
      </c>
      <c r="F77" s="1380"/>
      <c r="G77" s="367" t="s">
        <v>7182</v>
      </c>
      <c r="H77" s="134"/>
    </row>
    <row r="78" spans="1:8" x14ac:dyDescent="0.25">
      <c r="A78" s="140"/>
      <c r="B78" s="155"/>
      <c r="C78" s="1380"/>
      <c r="D78" s="688"/>
      <c r="E78" s="975" t="s">
        <v>7182</v>
      </c>
      <c r="F78" s="1380"/>
      <c r="G78" s="156" t="s">
        <v>7182</v>
      </c>
      <c r="H78" s="134"/>
    </row>
    <row r="79" spans="1:8" ht="15.75" thickBot="1" x14ac:dyDescent="0.3">
      <c r="A79" s="140"/>
      <c r="B79" s="155"/>
      <c r="C79" s="152"/>
      <c r="D79" s="952"/>
      <c r="E79" s="152" t="s">
        <v>7182</v>
      </c>
      <c r="F79" s="151"/>
      <c r="G79" s="156" t="s">
        <v>7182</v>
      </c>
      <c r="H79" s="134"/>
    </row>
    <row r="80" spans="1:8" ht="15.75" thickBot="1" x14ac:dyDescent="0.3">
      <c r="A80" s="140"/>
      <c r="B80" s="157"/>
      <c r="C80" s="159"/>
      <c r="D80" s="953"/>
      <c r="E80" s="159" t="s">
        <v>7182</v>
      </c>
      <c r="F80" s="158"/>
      <c r="G80" s="160" t="s">
        <v>7182</v>
      </c>
      <c r="H80" s="161">
        <f>SUM(G68:G80)</f>
        <v>92.4</v>
      </c>
    </row>
    <row r="81" spans="1:8" ht="15.75" thickBot="1" x14ac:dyDescent="0.3">
      <c r="A81" s="140"/>
      <c r="B81" s="162"/>
      <c r="C81" s="162"/>
      <c r="D81" s="954"/>
      <c r="E81" s="162" t="s">
        <v>7182</v>
      </c>
      <c r="F81" s="163"/>
      <c r="G81" s="164" t="s">
        <v>7182</v>
      </c>
      <c r="H81" s="165"/>
    </row>
    <row r="82" spans="1:8" ht="15.75" thickBot="1" x14ac:dyDescent="0.3">
      <c r="A82" s="183"/>
      <c r="B82" s="1369" t="s">
        <v>5410</v>
      </c>
      <c r="C82" s="1363" t="s">
        <v>867</v>
      </c>
      <c r="D82" s="1120" t="s">
        <v>6</v>
      </c>
      <c r="E82" s="1363" t="s">
        <v>7183</v>
      </c>
      <c r="F82" s="1363" t="s">
        <v>5411</v>
      </c>
      <c r="G82" s="1370" t="s">
        <v>7179</v>
      </c>
      <c r="H82" s="1371"/>
    </row>
    <row r="83" spans="1:8" x14ac:dyDescent="0.25">
      <c r="A83" s="140"/>
      <c r="B83" s="201"/>
      <c r="C83" s="147"/>
      <c r="D83" s="211"/>
      <c r="E83" s="148"/>
      <c r="F83" s="169"/>
      <c r="G83" s="367"/>
      <c r="H83" s="134"/>
    </row>
    <row r="84" spans="1:8" x14ac:dyDescent="0.25">
      <c r="A84" s="140"/>
      <c r="B84" s="196"/>
      <c r="C84" s="151"/>
      <c r="D84" s="211"/>
      <c r="E84" s="148" t="s">
        <v>7182</v>
      </c>
      <c r="F84" s="147"/>
      <c r="G84" s="367" t="s">
        <v>7182</v>
      </c>
      <c r="H84" s="134"/>
    </row>
    <row r="85" spans="1:8" x14ac:dyDescent="0.25">
      <c r="A85" s="140"/>
      <c r="B85" s="196"/>
      <c r="C85" s="151"/>
      <c r="D85" s="212"/>
      <c r="E85" s="148" t="s">
        <v>7182</v>
      </c>
      <c r="F85" s="151"/>
      <c r="G85" s="367" t="s">
        <v>7182</v>
      </c>
      <c r="H85" s="134"/>
    </row>
    <row r="86" spans="1:8" x14ac:dyDescent="0.25">
      <c r="A86" s="140"/>
      <c r="B86" s="155"/>
      <c r="C86" s="151"/>
      <c r="D86" s="212"/>
      <c r="E86" s="148" t="s">
        <v>7182</v>
      </c>
      <c r="F86" s="151"/>
      <c r="G86" s="367" t="s">
        <v>7182</v>
      </c>
      <c r="H86" s="134"/>
    </row>
    <row r="87" spans="1:8" x14ac:dyDescent="0.25">
      <c r="A87" s="140"/>
      <c r="B87" s="155"/>
      <c r="C87" s="151"/>
      <c r="D87" s="212"/>
      <c r="E87" s="148" t="s">
        <v>7182</v>
      </c>
      <c r="F87" s="151"/>
      <c r="G87" s="367" t="s">
        <v>7182</v>
      </c>
      <c r="H87" s="134"/>
    </row>
    <row r="88" spans="1:8" ht="15.75" thickBot="1" x14ac:dyDescent="0.3">
      <c r="A88" s="140"/>
      <c r="B88" s="155"/>
      <c r="C88" s="151"/>
      <c r="D88" s="212"/>
      <c r="E88" s="148" t="s">
        <v>7182</v>
      </c>
      <c r="F88" s="151"/>
      <c r="G88" s="367" t="s">
        <v>7182</v>
      </c>
      <c r="H88" s="134"/>
    </row>
    <row r="89" spans="1:8" ht="15.75" thickBot="1" x14ac:dyDescent="0.3">
      <c r="A89" s="140"/>
      <c r="B89" s="179"/>
      <c r="C89" s="180"/>
      <c r="D89" s="956"/>
      <c r="E89" s="180"/>
      <c r="F89" s="181"/>
      <c r="G89" s="182"/>
      <c r="H89" s="161">
        <f>SUM(G84:G89)</f>
        <v>0</v>
      </c>
    </row>
    <row r="90" spans="1:8" ht="15.75" thickBot="1" x14ac:dyDescent="0.3">
      <c r="A90" s="140"/>
      <c r="B90" s="1058"/>
      <c r="C90" s="1058"/>
      <c r="D90" s="957"/>
      <c r="E90" s="1058"/>
      <c r="F90" s="1058"/>
      <c r="G90" s="1058"/>
      <c r="H90" s="165"/>
    </row>
    <row r="91" spans="1:8" ht="15.75" thickBot="1" x14ac:dyDescent="0.3">
      <c r="A91" s="183"/>
      <c r="B91" s="1369" t="s">
        <v>5412</v>
      </c>
      <c r="C91" s="1363" t="s">
        <v>5420</v>
      </c>
      <c r="D91" s="1120" t="s">
        <v>5421</v>
      </c>
      <c r="E91" s="1363" t="s">
        <v>7187</v>
      </c>
      <c r="F91" s="1363" t="s">
        <v>5405</v>
      </c>
      <c r="G91" s="1370" t="s">
        <v>7179</v>
      </c>
      <c r="H91" s="1383"/>
    </row>
    <row r="92" spans="1:8" x14ac:dyDescent="0.25">
      <c r="A92" s="140"/>
      <c r="B92" s="194" t="s">
        <v>7188</v>
      </c>
      <c r="C92" s="345">
        <f>+VLOOKUP($B92,'Mano de obra'!$A$5:$D$26,2,FALSE)</f>
        <v>86068.5</v>
      </c>
      <c r="D92" s="345">
        <f>+VLOOKUP($B92,'Mano de obra'!$A$5:$D$26,3,FALSE)</f>
        <v>41993</v>
      </c>
      <c r="E92" s="345">
        <f>+VLOOKUP($B92,'Mano de obra'!$A$5:$D$26,4,FALSE)</f>
        <v>128061.5</v>
      </c>
      <c r="F92" s="819">
        <v>200</v>
      </c>
      <c r="G92" s="818">
        <f>E92/F92</f>
        <v>640.3075</v>
      </c>
      <c r="H92" s="134"/>
    </row>
    <row r="93" spans="1:8" x14ac:dyDescent="0.25">
      <c r="A93" s="140"/>
      <c r="B93" s="194" t="s">
        <v>7189</v>
      </c>
      <c r="C93" s="345">
        <f>+VLOOKUP($B93,'Mano de obra'!$A$5:$D$26,2,FALSE)</f>
        <v>34473</v>
      </c>
      <c r="D93" s="345">
        <f>+VLOOKUP($B93,'Mano de obra'!$A$5:$D$26,3,FALSE)</f>
        <v>21394</v>
      </c>
      <c r="E93" s="345">
        <f>+VLOOKUP($B93,'Mano de obra'!$A$5:$D$26,4,FALSE)</f>
        <v>55867</v>
      </c>
      <c r="F93" s="819">
        <v>110</v>
      </c>
      <c r="G93" s="818">
        <f>E93/F93</f>
        <v>507.88181818181818</v>
      </c>
      <c r="H93" s="134"/>
    </row>
    <row r="94" spans="1:8" x14ac:dyDescent="0.25">
      <c r="A94" s="140"/>
      <c r="B94" s="194" t="s">
        <v>7190</v>
      </c>
      <c r="C94" s="345">
        <f>+VLOOKUP($B94,'Mano de obra'!$A$5:$D$26,2,FALSE)</f>
        <v>24591</v>
      </c>
      <c r="D94" s="345">
        <f>+VLOOKUP($B94,'Mano de obra'!$A$5:$D$26,3,FALSE)</f>
        <v>15261</v>
      </c>
      <c r="E94" s="345">
        <f>+VLOOKUP($B94,'Mano de obra'!$A$5:$D$26,4,FALSE)</f>
        <v>39852</v>
      </c>
      <c r="F94" s="819">
        <v>110</v>
      </c>
      <c r="G94" s="818">
        <f>E94/F94</f>
        <v>362.29090909090911</v>
      </c>
      <c r="H94" s="134"/>
    </row>
    <row r="95" spans="1:8" x14ac:dyDescent="0.25">
      <c r="A95" s="140"/>
      <c r="B95" s="195" t="s">
        <v>7191</v>
      </c>
      <c r="C95" s="345">
        <f>+VLOOKUP($B95,'Mano de obra'!$A$5:$D$26,2,FALSE)</f>
        <v>22000</v>
      </c>
      <c r="D95" s="345">
        <f>+VLOOKUP($B95,'Mano de obra'!$A$5:$D$26,3,FALSE)</f>
        <v>13653</v>
      </c>
      <c r="E95" s="345">
        <f>+VLOOKUP($B95,'Mano de obra'!$A$5:$D$26,4,FALSE)</f>
        <v>35653</v>
      </c>
      <c r="F95" s="817">
        <v>110</v>
      </c>
      <c r="G95" s="818">
        <f>E95/F95</f>
        <v>324.11818181818182</v>
      </c>
      <c r="H95" s="134"/>
    </row>
    <row r="96" spans="1:8" x14ac:dyDescent="0.25">
      <c r="A96" s="140"/>
      <c r="B96" s="155"/>
      <c r="C96" s="345" t="s">
        <v>7182</v>
      </c>
      <c r="D96" s="955" t="s">
        <v>7182</v>
      </c>
      <c r="E96" s="353" t="s">
        <v>7182</v>
      </c>
      <c r="F96" s="817"/>
      <c r="G96" s="818" t="s">
        <v>7182</v>
      </c>
      <c r="H96" s="134"/>
    </row>
    <row r="97" spans="1:10" x14ac:dyDescent="0.25">
      <c r="A97" s="140"/>
      <c r="B97" s="155"/>
      <c r="C97" s="152" t="s">
        <v>7182</v>
      </c>
      <c r="D97" s="952" t="s">
        <v>7182</v>
      </c>
      <c r="E97" s="152" t="s">
        <v>7182</v>
      </c>
      <c r="F97" s="817"/>
      <c r="G97" s="818" t="s">
        <v>7182</v>
      </c>
      <c r="H97" s="134"/>
    </row>
    <row r="98" spans="1:10" ht="15.75" thickBot="1" x14ac:dyDescent="0.3">
      <c r="A98" s="140"/>
      <c r="B98" s="155"/>
      <c r="C98" s="152"/>
      <c r="D98" s="952"/>
      <c r="E98" s="152"/>
      <c r="F98" s="151"/>
      <c r="G98" s="818"/>
      <c r="H98" s="134"/>
    </row>
    <row r="99" spans="1:10" ht="15.75" thickBot="1" x14ac:dyDescent="0.3">
      <c r="A99" s="140"/>
      <c r="B99" s="179"/>
      <c r="C99" s="180"/>
      <c r="D99" s="956"/>
      <c r="E99" s="180"/>
      <c r="F99" s="181"/>
      <c r="G99" s="182"/>
      <c r="H99" s="161">
        <f>SUM(G92:G99)</f>
        <v>1834.5984090909092</v>
      </c>
    </row>
    <row r="100" spans="1:10" ht="15.75" thickBot="1" x14ac:dyDescent="0.3">
      <c r="A100" s="140"/>
      <c r="B100" s="140"/>
      <c r="C100" s="140"/>
      <c r="D100" s="529"/>
      <c r="E100" s="140"/>
      <c r="F100" s="141"/>
      <c r="G100" s="134"/>
      <c r="H100" s="134"/>
    </row>
    <row r="101" spans="1:10" ht="15.75" thickBot="1" x14ac:dyDescent="0.3">
      <c r="A101" s="133" t="s">
        <v>6744</v>
      </c>
      <c r="B101" s="140"/>
      <c r="C101" s="140"/>
      <c r="D101" s="529"/>
      <c r="E101" s="183" t="s">
        <v>5415</v>
      </c>
      <c r="F101" s="141"/>
      <c r="G101" s="134"/>
      <c r="H101" s="161">
        <f>ROUND(SUM(H58:H99),0)</f>
        <v>2899</v>
      </c>
    </row>
    <row r="102" spans="1:10" x14ac:dyDescent="0.25">
      <c r="A102" s="8"/>
      <c r="B102" s="8"/>
      <c r="C102" s="8"/>
      <c r="D102" s="529"/>
      <c r="E102" s="8"/>
      <c r="F102" s="133"/>
      <c r="G102" s="8"/>
      <c r="H102" s="8"/>
    </row>
    <row r="103" spans="1:10" x14ac:dyDescent="0.25">
      <c r="A103" s="133"/>
      <c r="B103" s="8"/>
      <c r="C103" s="8"/>
      <c r="D103" s="529"/>
      <c r="E103" s="8"/>
      <c r="F103" s="133"/>
      <c r="G103" s="134"/>
      <c r="H103" s="8"/>
    </row>
    <row r="104" spans="1:10" s="1058" customFormat="1" x14ac:dyDescent="0.25">
      <c r="A104" s="747"/>
      <c r="B104" s="746"/>
      <c r="C104" s="746"/>
      <c r="D104" s="430"/>
      <c r="E104" s="746"/>
      <c r="F104" s="746"/>
      <c r="G104" s="746"/>
      <c r="H104" s="746"/>
      <c r="J104" s="826"/>
    </row>
    <row r="105" spans="1:10" s="1058" customFormat="1" x14ac:dyDescent="0.25">
      <c r="A105" s="673" t="s">
        <v>3</v>
      </c>
      <c r="B105" s="1390">
        <f>+VLOOKUP(C105,ListaAPUs!$B:$E,4,FALSE)</f>
        <v>1.3</v>
      </c>
      <c r="C105" s="2453" t="str">
        <f>+ListaAPUs!B10</f>
        <v>CINTAS PLÁSTICAS REFLECTIVAS. INCLUYE POSTES TUBULARES</v>
      </c>
      <c r="D105" s="2453"/>
      <c r="E105" s="2453"/>
      <c r="F105" s="673" t="s">
        <v>867</v>
      </c>
      <c r="G105" s="673" t="s">
        <v>5734</v>
      </c>
      <c r="H105" s="1190"/>
      <c r="J105" s="826"/>
    </row>
    <row r="106" spans="1:10" s="1058" customFormat="1" x14ac:dyDescent="0.25">
      <c r="A106" s="747"/>
      <c r="B106" s="746"/>
      <c r="C106" s="746"/>
      <c r="D106" s="430"/>
      <c r="E106" s="746"/>
      <c r="F106" s="746"/>
      <c r="G106" s="746"/>
      <c r="H106" s="746"/>
      <c r="J106" s="826"/>
    </row>
    <row r="107" spans="1:10" s="1058" customFormat="1" x14ac:dyDescent="0.25">
      <c r="A107" s="747"/>
      <c r="B107" s="746"/>
      <c r="C107" s="746"/>
      <c r="D107" s="430"/>
      <c r="E107" s="746"/>
      <c r="F107" s="746"/>
      <c r="G107" s="746"/>
      <c r="H107" s="746"/>
      <c r="J107" s="826"/>
    </row>
    <row r="108" spans="1:10" s="1058" customFormat="1" ht="15.75" thickBot="1" x14ac:dyDescent="0.3">
      <c r="A108" s="747"/>
      <c r="B108" s="746"/>
      <c r="C108" s="746"/>
      <c r="D108" s="430"/>
      <c r="E108" s="746"/>
      <c r="F108" s="746"/>
      <c r="G108" s="746"/>
      <c r="H108" s="746"/>
      <c r="J108" s="826"/>
    </row>
    <row r="109" spans="1:10" s="1058" customFormat="1" ht="15.75" thickBot="1" x14ac:dyDescent="0.3">
      <c r="A109" s="747"/>
      <c r="B109" s="1114" t="s">
        <v>5403</v>
      </c>
      <c r="C109" s="1117" t="s">
        <v>867</v>
      </c>
      <c r="D109" s="1120" t="s">
        <v>6</v>
      </c>
      <c r="E109" s="1117" t="s">
        <v>5404</v>
      </c>
      <c r="F109" s="1117" t="s">
        <v>5405</v>
      </c>
      <c r="G109" s="1113" t="s">
        <v>868</v>
      </c>
      <c r="H109" s="746"/>
      <c r="J109" s="826"/>
    </row>
    <row r="110" spans="1:10" s="1058" customFormat="1" x14ac:dyDescent="0.25">
      <c r="A110" s="747"/>
      <c r="B110" s="1127" t="s">
        <v>8269</v>
      </c>
      <c r="C110" s="1129" t="s">
        <v>7042</v>
      </c>
      <c r="D110" s="967">
        <v>1</v>
      </c>
      <c r="E110" s="1178">
        <f>H148</f>
        <v>79.703999999999994</v>
      </c>
      <c r="F110" s="1129">
        <v>0.05</v>
      </c>
      <c r="G110" s="1130">
        <f>D110*E110*F110</f>
        <v>3.9851999999999999</v>
      </c>
      <c r="H110" s="746"/>
      <c r="J110" s="826"/>
    </row>
    <row r="111" spans="1:10" s="1058" customFormat="1" x14ac:dyDescent="0.25">
      <c r="A111" s="747"/>
      <c r="B111" s="739"/>
      <c r="C111" s="1123" t="s">
        <v>7044</v>
      </c>
      <c r="D111" s="387"/>
      <c r="E111" s="1123" t="s">
        <v>7044</v>
      </c>
      <c r="F111" s="741"/>
      <c r="G111" s="1125" t="s">
        <v>7044</v>
      </c>
      <c r="H111" s="746"/>
      <c r="J111" s="826"/>
    </row>
    <row r="112" spans="1:10" s="1058" customFormat="1" x14ac:dyDescent="0.25">
      <c r="A112" s="747"/>
      <c r="B112" s="739"/>
      <c r="C112" s="1123" t="s">
        <v>7044</v>
      </c>
      <c r="D112" s="383"/>
      <c r="E112" s="1123" t="s">
        <v>7044</v>
      </c>
      <c r="F112" s="1123"/>
      <c r="G112" s="1124" t="s">
        <v>7044</v>
      </c>
      <c r="H112" s="746"/>
      <c r="J112" s="826"/>
    </row>
    <row r="113" spans="1:10" s="1058" customFormat="1" x14ac:dyDescent="0.25">
      <c r="A113" s="747"/>
      <c r="B113" s="1115"/>
      <c r="C113" s="741" t="s">
        <v>7044</v>
      </c>
      <c r="D113" s="1121"/>
      <c r="E113" s="1118" t="s">
        <v>7044</v>
      </c>
      <c r="F113" s="1118"/>
      <c r="G113" s="1125" t="s">
        <v>7044</v>
      </c>
      <c r="H113" s="746"/>
      <c r="J113" s="826"/>
    </row>
    <row r="114" spans="1:10" s="1058" customFormat="1" x14ac:dyDescent="0.25">
      <c r="A114" s="747"/>
      <c r="B114" s="739"/>
      <c r="C114" s="1118" t="s">
        <v>7044</v>
      </c>
      <c r="D114" s="414"/>
      <c r="E114" s="741" t="s">
        <v>7044</v>
      </c>
      <c r="F114" s="742"/>
      <c r="G114" s="1125" t="s">
        <v>7044</v>
      </c>
      <c r="H114" s="746"/>
      <c r="J114" s="826"/>
    </row>
    <row r="115" spans="1:10" s="1058" customFormat="1" x14ac:dyDescent="0.25">
      <c r="A115" s="747"/>
      <c r="B115" s="739"/>
      <c r="C115" s="741" t="s">
        <v>7044</v>
      </c>
      <c r="D115" s="387"/>
      <c r="E115" s="741" t="s">
        <v>7044</v>
      </c>
      <c r="F115" s="741"/>
      <c r="G115" s="1126" t="s">
        <v>7044</v>
      </c>
      <c r="H115" s="746"/>
      <c r="J115" s="826"/>
    </row>
    <row r="116" spans="1:10" s="1058" customFormat="1" ht="15.75" thickBot="1" x14ac:dyDescent="0.3">
      <c r="A116" s="747"/>
      <c r="B116" s="739"/>
      <c r="C116" s="1118" t="s">
        <v>7044</v>
      </c>
      <c r="D116" s="383"/>
      <c r="E116" s="741" t="s">
        <v>7044</v>
      </c>
      <c r="F116" s="741"/>
      <c r="G116" s="1126" t="s">
        <v>7044</v>
      </c>
      <c r="H116" s="746"/>
      <c r="J116" s="826"/>
    </row>
    <row r="117" spans="1:10" s="1058" customFormat="1" ht="15.75" thickBot="1" x14ac:dyDescent="0.3">
      <c r="A117" s="747"/>
      <c r="B117" s="1116"/>
      <c r="C117" s="745" t="s">
        <v>7044</v>
      </c>
      <c r="D117" s="1122"/>
      <c r="E117" s="1119" t="s">
        <v>7044</v>
      </c>
      <c r="F117" s="1119"/>
      <c r="G117" s="1112" t="s">
        <v>7044</v>
      </c>
      <c r="H117" s="1135">
        <f>SUM(G110:G117)</f>
        <v>3.9851999999999999</v>
      </c>
      <c r="J117" s="826"/>
    </row>
    <row r="118" spans="1:10" s="1058" customFormat="1" ht="15.75" thickBot="1" x14ac:dyDescent="0.3">
      <c r="A118" s="747"/>
      <c r="B118" s="746"/>
      <c r="C118" s="746"/>
      <c r="D118" s="430"/>
      <c r="E118" s="746"/>
      <c r="F118" s="746"/>
      <c r="G118" s="746"/>
      <c r="H118" s="746"/>
      <c r="J118" s="826"/>
    </row>
    <row r="119" spans="1:10" s="1058" customFormat="1" ht="15.75" thickBot="1" x14ac:dyDescent="0.3">
      <c r="A119" s="747"/>
      <c r="B119" s="1114" t="s">
        <v>5408</v>
      </c>
      <c r="C119" s="1117" t="s">
        <v>867</v>
      </c>
      <c r="D119" s="1120" t="s">
        <v>6</v>
      </c>
      <c r="E119" s="1117" t="s">
        <v>870</v>
      </c>
      <c r="F119" s="1117" t="s">
        <v>7040</v>
      </c>
      <c r="G119" s="1113" t="s">
        <v>868</v>
      </c>
      <c r="H119" s="746"/>
      <c r="J119" s="826"/>
    </row>
    <row r="120" spans="1:10" s="1058" customFormat="1" x14ac:dyDescent="0.25">
      <c r="A120" s="747"/>
      <c r="B120" s="1127" t="s">
        <v>8505</v>
      </c>
      <c r="C120" s="1129" t="s">
        <v>5424</v>
      </c>
      <c r="D120" s="967">
        <v>0.05</v>
      </c>
      <c r="E120" s="1182">
        <f>+VLOOKUP(B120,Insumos!$A$2:$C$331,3,FALSE)</f>
        <v>33600</v>
      </c>
      <c r="F120" s="1129">
        <v>1</v>
      </c>
      <c r="G120" s="1131">
        <f>D120*E120*F120</f>
        <v>1680</v>
      </c>
      <c r="H120" s="746"/>
      <c r="J120" s="826"/>
    </row>
    <row r="121" spans="1:10" s="1058" customFormat="1" x14ac:dyDescent="0.25">
      <c r="A121" s="747"/>
      <c r="B121" s="739" t="s">
        <v>8506</v>
      </c>
      <c r="C121" s="226" t="s">
        <v>5443</v>
      </c>
      <c r="D121" s="212">
        <v>1.2E-2</v>
      </c>
      <c r="E121" s="901">
        <f>+VLOOKUP(B121,Insumos!$A$2:$C$331,3,FALSE)</f>
        <v>36750</v>
      </c>
      <c r="F121" s="226">
        <v>1.05</v>
      </c>
      <c r="G121" s="1132">
        <f>D121*E121*F121</f>
        <v>463.05</v>
      </c>
      <c r="H121" s="746"/>
      <c r="J121" s="826"/>
    </row>
    <row r="122" spans="1:10" s="1058" customFormat="1" x14ac:dyDescent="0.25">
      <c r="A122" s="747"/>
      <c r="B122" s="739" t="s">
        <v>5444</v>
      </c>
      <c r="C122" s="741"/>
      <c r="D122" s="387"/>
      <c r="E122" s="741"/>
      <c r="F122" s="741"/>
      <c r="G122" s="1126"/>
      <c r="H122" s="746"/>
      <c r="J122" s="826"/>
    </row>
    <row r="123" spans="1:10" s="1058" customFormat="1" x14ac:dyDescent="0.25">
      <c r="A123" s="747"/>
      <c r="B123" s="739"/>
      <c r="C123" s="741" t="s">
        <v>7044</v>
      </c>
      <c r="D123" s="387"/>
      <c r="E123" s="741" t="s">
        <v>7044</v>
      </c>
      <c r="F123" s="741"/>
      <c r="G123" s="1126" t="s">
        <v>7044</v>
      </c>
      <c r="H123" s="746"/>
      <c r="J123" s="826"/>
    </row>
    <row r="124" spans="1:10" s="1058" customFormat="1" x14ac:dyDescent="0.25">
      <c r="A124" s="747"/>
      <c r="B124" s="739"/>
      <c r="C124" s="741" t="s">
        <v>7044</v>
      </c>
      <c r="D124" s="387"/>
      <c r="E124" s="741" t="s">
        <v>7044</v>
      </c>
      <c r="F124" s="741"/>
      <c r="G124" s="1126" t="s">
        <v>7044</v>
      </c>
      <c r="H124" s="746"/>
      <c r="J124" s="826"/>
    </row>
    <row r="125" spans="1:10" s="1058" customFormat="1" x14ac:dyDescent="0.25">
      <c r="A125" s="747"/>
      <c r="B125" s="739"/>
      <c r="C125" s="741" t="s">
        <v>7044</v>
      </c>
      <c r="D125" s="387"/>
      <c r="E125" s="741" t="s">
        <v>7044</v>
      </c>
      <c r="F125" s="741"/>
      <c r="G125" s="1126" t="s">
        <v>7044</v>
      </c>
      <c r="H125" s="746"/>
      <c r="J125" s="826"/>
    </row>
    <row r="126" spans="1:10" s="1058" customFormat="1" x14ac:dyDescent="0.25">
      <c r="A126" s="747"/>
      <c r="B126" s="739"/>
      <c r="C126" s="741" t="s">
        <v>7044</v>
      </c>
      <c r="D126" s="387"/>
      <c r="E126" s="741" t="s">
        <v>7044</v>
      </c>
      <c r="F126" s="741"/>
      <c r="G126" s="1126" t="s">
        <v>7044</v>
      </c>
      <c r="H126" s="746"/>
      <c r="J126" s="826"/>
    </row>
    <row r="127" spans="1:10" s="1058" customFormat="1" x14ac:dyDescent="0.25">
      <c r="A127" s="747"/>
      <c r="B127" s="739"/>
      <c r="C127" s="741" t="s">
        <v>7044</v>
      </c>
      <c r="D127" s="387"/>
      <c r="E127" s="741" t="s">
        <v>7044</v>
      </c>
      <c r="F127" s="741"/>
      <c r="G127" s="1126" t="s">
        <v>7044</v>
      </c>
      <c r="H127" s="746"/>
      <c r="J127" s="826"/>
    </row>
    <row r="128" spans="1:10" s="1058" customFormat="1" x14ac:dyDescent="0.25">
      <c r="A128" s="747"/>
      <c r="B128" s="739"/>
      <c r="C128" s="741" t="s">
        <v>7044</v>
      </c>
      <c r="D128" s="387"/>
      <c r="E128" s="741" t="s">
        <v>7044</v>
      </c>
      <c r="F128" s="741"/>
      <c r="G128" s="1126" t="s">
        <v>7044</v>
      </c>
      <c r="H128" s="746"/>
      <c r="J128" s="826"/>
    </row>
    <row r="129" spans="1:10" s="1058" customFormat="1" x14ac:dyDescent="0.25">
      <c r="A129" s="747"/>
      <c r="B129" s="1133"/>
      <c r="C129" s="1123" t="s">
        <v>7044</v>
      </c>
      <c r="D129" s="383"/>
      <c r="E129" s="1123" t="s">
        <v>7044</v>
      </c>
      <c r="F129" s="1123"/>
      <c r="G129" s="1124" t="s">
        <v>7044</v>
      </c>
      <c r="H129" s="746"/>
      <c r="J129" s="826"/>
    </row>
    <row r="130" spans="1:10" s="1058" customFormat="1" x14ac:dyDescent="0.25">
      <c r="A130" s="747"/>
      <c r="B130" s="739"/>
      <c r="C130" s="741" t="s">
        <v>7044</v>
      </c>
      <c r="D130" s="387"/>
      <c r="E130" s="741" t="s">
        <v>7044</v>
      </c>
      <c r="F130" s="741"/>
      <c r="G130" s="1126" t="s">
        <v>7044</v>
      </c>
      <c r="H130" s="746"/>
      <c r="J130" s="826"/>
    </row>
    <row r="131" spans="1:10" s="1058" customFormat="1" x14ac:dyDescent="0.25">
      <c r="A131" s="747"/>
      <c r="B131" s="739"/>
      <c r="C131" s="741" t="s">
        <v>7044</v>
      </c>
      <c r="D131" s="387"/>
      <c r="E131" s="741" t="s">
        <v>7044</v>
      </c>
      <c r="F131" s="741"/>
      <c r="G131" s="1126" t="s">
        <v>7044</v>
      </c>
      <c r="H131" s="746"/>
      <c r="J131" s="826"/>
    </row>
    <row r="132" spans="1:10" s="1058" customFormat="1" ht="15.75" thickBot="1" x14ac:dyDescent="0.3">
      <c r="A132" s="747"/>
      <c r="B132" s="739"/>
      <c r="C132" s="741" t="s">
        <v>7044</v>
      </c>
      <c r="D132" s="387"/>
      <c r="E132" s="741" t="s">
        <v>7044</v>
      </c>
      <c r="F132" s="741"/>
      <c r="G132" s="1126" t="s">
        <v>7044</v>
      </c>
      <c r="H132" s="746"/>
      <c r="J132" s="826"/>
    </row>
    <row r="133" spans="1:10" s="1058" customFormat="1" ht="15.75" thickBot="1" x14ac:dyDescent="0.3">
      <c r="A133" s="747"/>
      <c r="B133" s="744"/>
      <c r="C133" s="745" t="s">
        <v>7044</v>
      </c>
      <c r="D133" s="428"/>
      <c r="E133" s="745" t="s">
        <v>7044</v>
      </c>
      <c r="F133" s="745"/>
      <c r="G133" s="1128" t="s">
        <v>7044</v>
      </c>
      <c r="H133" s="1134">
        <f>SUM(G120:G133)</f>
        <v>2143.0500000000002</v>
      </c>
      <c r="J133" s="826"/>
    </row>
    <row r="134" spans="1:10" s="1058" customFormat="1" ht="15.75" thickBot="1" x14ac:dyDescent="0.3">
      <c r="A134" s="747"/>
      <c r="B134" s="746"/>
      <c r="C134" s="746"/>
      <c r="D134" s="430"/>
      <c r="E134" s="746"/>
      <c r="F134" s="746"/>
      <c r="G134" s="746"/>
      <c r="H134" s="746"/>
      <c r="J134" s="826"/>
    </row>
    <row r="135" spans="1:10" s="1058" customFormat="1" ht="15.75" thickBot="1" x14ac:dyDescent="0.3">
      <c r="A135" s="747"/>
      <c r="B135" s="1114" t="s">
        <v>5410</v>
      </c>
      <c r="C135" s="1117" t="s">
        <v>867</v>
      </c>
      <c r="D135" s="1120" t="s">
        <v>6</v>
      </c>
      <c r="E135" s="1117" t="s">
        <v>870</v>
      </c>
      <c r="F135" s="1117" t="s">
        <v>5411</v>
      </c>
      <c r="G135" s="1113" t="s">
        <v>868</v>
      </c>
      <c r="H135" s="746"/>
      <c r="J135" s="826"/>
    </row>
    <row r="136" spans="1:10" s="1058" customFormat="1" x14ac:dyDescent="0.25">
      <c r="A136" s="747"/>
      <c r="B136" s="1115"/>
      <c r="C136" s="1118" t="s">
        <v>7044</v>
      </c>
      <c r="D136" s="1121"/>
      <c r="E136" s="1118" t="s">
        <v>7044</v>
      </c>
      <c r="F136" s="1118"/>
      <c r="G136" s="1111" t="s">
        <v>7044</v>
      </c>
      <c r="H136" s="746"/>
      <c r="J136" s="826"/>
    </row>
    <row r="137" spans="1:10" s="1058" customFormat="1" x14ac:dyDescent="0.25">
      <c r="A137" s="747"/>
      <c r="B137" s="1115"/>
      <c r="C137" s="1118" t="s">
        <v>7044</v>
      </c>
      <c r="D137" s="1121"/>
      <c r="E137" s="1118" t="s">
        <v>7044</v>
      </c>
      <c r="F137" s="1118"/>
      <c r="G137" s="1111" t="s">
        <v>7044</v>
      </c>
      <c r="H137" s="746"/>
      <c r="J137" s="826"/>
    </row>
    <row r="138" spans="1:10" s="1058" customFormat="1" x14ac:dyDescent="0.25">
      <c r="A138" s="747"/>
      <c r="B138" s="1115"/>
      <c r="C138" s="1118" t="s">
        <v>7044</v>
      </c>
      <c r="D138" s="1121"/>
      <c r="E138" s="1118" t="s">
        <v>7044</v>
      </c>
      <c r="F138" s="1118"/>
      <c r="G138" s="1111" t="s">
        <v>7044</v>
      </c>
      <c r="H138" s="746"/>
      <c r="J138" s="826"/>
    </row>
    <row r="139" spans="1:10" s="1058" customFormat="1" ht="15.75" thickBot="1" x14ac:dyDescent="0.3">
      <c r="A139" s="747"/>
      <c r="B139" s="1115"/>
      <c r="C139" s="1118" t="s">
        <v>7044</v>
      </c>
      <c r="D139" s="1121"/>
      <c r="E139" s="1118" t="s">
        <v>7044</v>
      </c>
      <c r="F139" s="1118"/>
      <c r="G139" s="1111" t="s">
        <v>7044</v>
      </c>
      <c r="H139" s="746"/>
      <c r="J139" s="826"/>
    </row>
    <row r="140" spans="1:10" s="1058" customFormat="1" ht="15.75" thickBot="1" x14ac:dyDescent="0.3">
      <c r="A140" s="747"/>
      <c r="B140" s="1116"/>
      <c r="C140" s="1119" t="s">
        <v>7044</v>
      </c>
      <c r="D140" s="1122"/>
      <c r="E140" s="1119" t="s">
        <v>7044</v>
      </c>
      <c r="F140" s="1119"/>
      <c r="G140" s="1112" t="s">
        <v>7044</v>
      </c>
      <c r="H140" s="1134">
        <v>0</v>
      </c>
      <c r="J140" s="826"/>
    </row>
    <row r="141" spans="1:10" s="1058" customFormat="1" ht="15.75" thickBot="1" x14ac:dyDescent="0.3">
      <c r="A141" s="747"/>
      <c r="B141" s="746"/>
      <c r="C141" s="746"/>
      <c r="D141" s="430"/>
      <c r="E141" s="746"/>
      <c r="F141" s="746"/>
      <c r="G141" s="746"/>
      <c r="H141" s="746"/>
      <c r="J141" s="826"/>
    </row>
    <row r="142" spans="1:10" s="1058" customFormat="1" ht="15.75" thickBot="1" x14ac:dyDescent="0.3">
      <c r="A142" s="747"/>
      <c r="B142" s="1114" t="s">
        <v>5412</v>
      </c>
      <c r="C142" s="1117" t="s">
        <v>5420</v>
      </c>
      <c r="D142" s="1120" t="s">
        <v>5421</v>
      </c>
      <c r="E142" s="1117" t="s">
        <v>5413</v>
      </c>
      <c r="F142" s="1117" t="s">
        <v>5405</v>
      </c>
      <c r="G142" s="1113" t="s">
        <v>868</v>
      </c>
      <c r="H142" s="746"/>
      <c r="J142" s="826"/>
    </row>
    <row r="143" spans="1:10" s="1058" customFormat="1" ht="15.75" thickBot="1" x14ac:dyDescent="0.3">
      <c r="A143" s="747"/>
      <c r="B143" s="385" t="s">
        <v>5635</v>
      </c>
      <c r="C143" s="1134">
        <f>+VLOOKUP(B143,'Mano de obra'!$A$5:$D$26,2,FALSE)</f>
        <v>24591</v>
      </c>
      <c r="D143" s="1134">
        <f>+VLOOKUP(B143,'Mano de obra'!$A$5:$D$26,3,FALSE)</f>
        <v>15261</v>
      </c>
      <c r="E143" s="1134">
        <f>+VLOOKUP(B143,'Mano de obra'!$A$5:$D$26,4,FALSE)</f>
        <v>39852</v>
      </c>
      <c r="F143" s="1134">
        <v>500</v>
      </c>
      <c r="G143" s="1134">
        <f>IF(B143="","",E143/F143)</f>
        <v>79.703999999999994</v>
      </c>
      <c r="H143" s="746"/>
      <c r="J143" s="826"/>
    </row>
    <row r="144" spans="1:10" s="1058" customFormat="1" x14ac:dyDescent="0.25">
      <c r="A144" s="747"/>
      <c r="B144" s="1115"/>
      <c r="C144" s="1118" t="s">
        <v>7044</v>
      </c>
      <c r="D144" s="1121" t="s">
        <v>7044</v>
      </c>
      <c r="E144" s="1118" t="s">
        <v>7044</v>
      </c>
      <c r="F144" s="1118"/>
      <c r="G144" s="1111" t="s">
        <v>7044</v>
      </c>
      <c r="H144" s="746"/>
      <c r="J144" s="826"/>
    </row>
    <row r="145" spans="1:10" s="1058" customFormat="1" x14ac:dyDescent="0.25">
      <c r="A145" s="747"/>
      <c r="B145" s="1115"/>
      <c r="C145" s="1118" t="s">
        <v>7044</v>
      </c>
      <c r="D145" s="1121" t="s">
        <v>7044</v>
      </c>
      <c r="E145" s="1118" t="s">
        <v>7044</v>
      </c>
      <c r="F145" s="1118"/>
      <c r="G145" s="1111" t="s">
        <v>7044</v>
      </c>
      <c r="H145" s="746"/>
      <c r="J145" s="826"/>
    </row>
    <row r="146" spans="1:10" s="1058" customFormat="1" x14ac:dyDescent="0.25">
      <c r="A146" s="747"/>
      <c r="B146" s="1115"/>
      <c r="C146" s="1118" t="s">
        <v>7044</v>
      </c>
      <c r="D146" s="1121" t="s">
        <v>7044</v>
      </c>
      <c r="E146" s="1118" t="s">
        <v>7044</v>
      </c>
      <c r="F146" s="1118"/>
      <c r="G146" s="1111" t="s">
        <v>7044</v>
      </c>
      <c r="H146" s="746"/>
      <c r="J146" s="826"/>
    </row>
    <row r="147" spans="1:10" s="1058" customFormat="1" ht="15.75" thickBot="1" x14ac:dyDescent="0.3">
      <c r="A147" s="747"/>
      <c r="B147" s="1115"/>
      <c r="C147" s="1118" t="s">
        <v>7044</v>
      </c>
      <c r="D147" s="1121" t="s">
        <v>7044</v>
      </c>
      <c r="E147" s="1118" t="s">
        <v>7044</v>
      </c>
      <c r="F147" s="1118"/>
      <c r="G147" s="1111" t="s">
        <v>7044</v>
      </c>
      <c r="H147" s="746"/>
      <c r="J147" s="826"/>
    </row>
    <row r="148" spans="1:10" s="1058" customFormat="1" ht="15.75" thickBot="1" x14ac:dyDescent="0.3">
      <c r="A148" s="747"/>
      <c r="B148" s="1116"/>
      <c r="C148" s="1119" t="s">
        <v>7044</v>
      </c>
      <c r="D148" s="1122" t="s">
        <v>7044</v>
      </c>
      <c r="E148" s="1119" t="s">
        <v>7044</v>
      </c>
      <c r="F148" s="1119"/>
      <c r="G148" s="1112" t="s">
        <v>7044</v>
      </c>
      <c r="H148" s="1134">
        <v>79.703999999999994</v>
      </c>
      <c r="J148" s="826"/>
    </row>
    <row r="149" spans="1:10" s="1058" customFormat="1" ht="15.75" thickBot="1" x14ac:dyDescent="0.3">
      <c r="A149" s="747"/>
      <c r="B149" s="746"/>
      <c r="C149" s="746"/>
      <c r="D149" s="430"/>
      <c r="E149" s="746"/>
      <c r="F149" s="746"/>
      <c r="G149" s="746"/>
      <c r="H149" s="746"/>
      <c r="J149" s="826"/>
    </row>
    <row r="150" spans="1:10" s="1058" customFormat="1" ht="15.75" thickBot="1" x14ac:dyDescent="0.3">
      <c r="A150" s="747"/>
      <c r="B150" s="746"/>
      <c r="C150" s="746"/>
      <c r="D150" s="430"/>
      <c r="E150" s="747" t="s">
        <v>5415</v>
      </c>
      <c r="F150" s="746"/>
      <c r="G150" s="746"/>
      <c r="H150" s="1594">
        <f>ROUND(H117+H133+H140+H148,0)</f>
        <v>2227</v>
      </c>
      <c r="I150" s="1058" t="s">
        <v>9046</v>
      </c>
      <c r="J150" s="826" t="s">
        <v>9047</v>
      </c>
    </row>
    <row r="151" spans="1:10" s="1058" customFormat="1" x14ac:dyDescent="0.25">
      <c r="A151" s="747"/>
      <c r="B151" s="746"/>
      <c r="C151" s="746"/>
      <c r="D151" s="430"/>
      <c r="E151" s="746"/>
      <c r="F151" s="746"/>
      <c r="G151" s="746"/>
      <c r="H151" s="746"/>
      <c r="J151" s="826"/>
    </row>
    <row r="152" spans="1:10" x14ac:dyDescent="0.25">
      <c r="A152" s="133"/>
      <c r="B152" s="8"/>
      <c r="C152" s="8"/>
      <c r="D152" s="529"/>
      <c r="E152" s="8"/>
      <c r="F152" s="133"/>
      <c r="G152" s="134"/>
      <c r="H152" s="8"/>
    </row>
    <row r="153" spans="1:10" x14ac:dyDescent="0.25">
      <c r="A153" s="1058"/>
      <c r="B153" s="1058"/>
      <c r="C153" s="1058"/>
      <c r="D153" s="957"/>
      <c r="E153" s="1058"/>
      <c r="F153" s="1058"/>
      <c r="G153" s="1058"/>
      <c r="H153" s="1058"/>
    </row>
    <row r="154" spans="1:10" ht="35.25" customHeight="1" x14ac:dyDescent="0.25">
      <c r="A154" s="1424" t="s">
        <v>3</v>
      </c>
      <c r="B154" s="1390" t="str">
        <f>+VLOOKUP(C154,ListaAPUs!$B:$E,4,FALSE)</f>
        <v>2.1.1</v>
      </c>
      <c r="C154" s="2450" t="str">
        <f>+ListaAPUs!B14</f>
        <v>EXCAVACIONES A MANO EN TIERRA EN SECO DE 0 A 2 M DE PROFUNDIDAD</v>
      </c>
      <c r="D154" s="2450"/>
      <c r="E154" s="2450"/>
      <c r="F154" s="1424" t="s">
        <v>867</v>
      </c>
      <c r="G154" s="139" t="s">
        <v>5454</v>
      </c>
      <c r="H154" s="134"/>
    </row>
    <row r="155" spans="1:10" x14ac:dyDescent="0.25">
      <c r="A155" s="141"/>
      <c r="B155" s="140"/>
      <c r="C155" s="140"/>
      <c r="D155" s="529"/>
      <c r="E155" s="140"/>
      <c r="F155" s="141"/>
      <c r="G155" s="134"/>
      <c r="H155" s="134"/>
    </row>
    <row r="156" spans="1:10" x14ac:dyDescent="0.25">
      <c r="A156" s="141"/>
      <c r="B156" s="140"/>
      <c r="C156" s="140"/>
      <c r="D156" s="529"/>
      <c r="E156" s="140"/>
      <c r="F156" s="141"/>
      <c r="G156" s="142"/>
      <c r="H156" s="134"/>
    </row>
    <row r="157" spans="1:10" ht="15.75" thickBot="1" x14ac:dyDescent="0.3">
      <c r="A157" s="141"/>
      <c r="B157" s="140"/>
      <c r="C157" s="140"/>
      <c r="D157" s="529"/>
      <c r="E157" s="140"/>
      <c r="F157" s="141"/>
      <c r="G157" s="134"/>
      <c r="H157" s="134"/>
    </row>
    <row r="158" spans="1:10" ht="15.75" thickBot="1" x14ac:dyDescent="0.3">
      <c r="A158" s="1368"/>
      <c r="B158" s="1369" t="s">
        <v>5403</v>
      </c>
      <c r="C158" s="1363" t="s">
        <v>867</v>
      </c>
      <c r="D158" s="1120" t="s">
        <v>6</v>
      </c>
      <c r="E158" s="1363" t="s">
        <v>5404</v>
      </c>
      <c r="F158" s="1363" t="s">
        <v>5405</v>
      </c>
      <c r="G158" s="1370" t="s">
        <v>868</v>
      </c>
      <c r="H158" s="1371"/>
    </row>
    <row r="159" spans="1:10" x14ac:dyDescent="0.25">
      <c r="A159" s="141"/>
      <c r="B159" s="146" t="s">
        <v>5440</v>
      </c>
      <c r="C159" s="147" t="s">
        <v>5406</v>
      </c>
      <c r="D159" s="211"/>
      <c r="E159" s="148">
        <f>+H198</f>
        <v>23114.18</v>
      </c>
      <c r="F159" s="167">
        <v>0.05</v>
      </c>
      <c r="G159" s="360">
        <f>+E159*F159</f>
        <v>1155.7090000000001</v>
      </c>
      <c r="H159" s="134"/>
    </row>
    <row r="160" spans="1:10" x14ac:dyDescent="0.25">
      <c r="A160" s="141"/>
      <c r="B160" s="150"/>
      <c r="C160" s="151"/>
      <c r="D160" s="212"/>
      <c r="E160" s="366"/>
      <c r="F160" s="151"/>
      <c r="G160" s="360"/>
      <c r="H160" s="134"/>
    </row>
    <row r="161" spans="1:8" x14ac:dyDescent="0.25">
      <c r="A161" s="141"/>
      <c r="B161" s="154"/>
      <c r="C161" s="151"/>
      <c r="D161" s="212"/>
      <c r="E161" s="366"/>
      <c r="F161" s="151"/>
      <c r="G161" s="360"/>
      <c r="H161" s="134"/>
    </row>
    <row r="162" spans="1:8" x14ac:dyDescent="0.25">
      <c r="A162" s="141"/>
      <c r="B162" s="155"/>
      <c r="C162" s="151"/>
      <c r="D162" s="952"/>
      <c r="E162" s="152"/>
      <c r="F162" s="151"/>
      <c r="G162" s="156"/>
      <c r="H162" s="134"/>
    </row>
    <row r="163" spans="1:8" x14ac:dyDescent="0.25">
      <c r="A163" s="141"/>
      <c r="B163" s="155"/>
      <c r="C163" s="151"/>
      <c r="D163" s="952"/>
      <c r="E163" s="152"/>
      <c r="F163" s="151"/>
      <c r="G163" s="156"/>
      <c r="H163" s="134"/>
    </row>
    <row r="164" spans="1:8" ht="15.75" thickBot="1" x14ac:dyDescent="0.3">
      <c r="A164" s="141"/>
      <c r="B164" s="155"/>
      <c r="C164" s="151"/>
      <c r="D164" s="952"/>
      <c r="E164" s="152"/>
      <c r="F164" s="151"/>
      <c r="G164" s="156"/>
      <c r="H164" s="134"/>
    </row>
    <row r="165" spans="1:8" ht="15.75" thickBot="1" x14ac:dyDescent="0.3">
      <c r="A165" s="141"/>
      <c r="B165" s="157"/>
      <c r="C165" s="158"/>
      <c r="D165" s="953"/>
      <c r="E165" s="159"/>
      <c r="F165" s="158"/>
      <c r="G165" s="160"/>
      <c r="H165" s="161">
        <f>+SUM(G159:G165)</f>
        <v>1155.7090000000001</v>
      </c>
    </row>
    <row r="166" spans="1:8" ht="15.75" thickBot="1" x14ac:dyDescent="0.3">
      <c r="A166" s="141"/>
      <c r="B166" s="162"/>
      <c r="C166" s="163"/>
      <c r="D166" s="954"/>
      <c r="E166" s="162"/>
      <c r="F166" s="163"/>
      <c r="G166" s="164"/>
      <c r="H166" s="165"/>
    </row>
    <row r="167" spans="1:8" ht="15.75" thickBot="1" x14ac:dyDescent="0.3">
      <c r="A167" s="183"/>
      <c r="B167" s="1369" t="s">
        <v>5408</v>
      </c>
      <c r="C167" s="1363" t="s">
        <v>867</v>
      </c>
      <c r="D167" s="1120" t="s">
        <v>6</v>
      </c>
      <c r="E167" s="1363" t="s">
        <v>870</v>
      </c>
      <c r="F167" s="1363" t="s">
        <v>5409</v>
      </c>
      <c r="G167" s="1370" t="s">
        <v>868</v>
      </c>
      <c r="H167" s="1371"/>
    </row>
    <row r="168" spans="1:8" x14ac:dyDescent="0.25">
      <c r="A168" s="140"/>
      <c r="B168" s="201"/>
      <c r="C168" s="147"/>
      <c r="D168" s="211"/>
      <c r="E168" s="148"/>
      <c r="F168" s="169"/>
      <c r="G168" s="367">
        <f>+D168*E168*(1+F168)</f>
        <v>0</v>
      </c>
      <c r="H168" s="134"/>
    </row>
    <row r="169" spans="1:8" x14ac:dyDescent="0.25">
      <c r="A169" s="140"/>
      <c r="B169" s="196"/>
      <c r="C169" s="151"/>
      <c r="D169" s="212"/>
      <c r="E169" s="148"/>
      <c r="F169" s="169"/>
      <c r="G169" s="354"/>
      <c r="H169" s="134"/>
    </row>
    <row r="170" spans="1:8" x14ac:dyDescent="0.25">
      <c r="A170" s="140"/>
      <c r="B170" s="196"/>
      <c r="C170" s="151"/>
      <c r="D170" s="212"/>
      <c r="E170" s="148"/>
      <c r="F170" s="169"/>
      <c r="G170" s="367"/>
      <c r="H170" s="134"/>
    </row>
    <row r="171" spans="1:8" x14ac:dyDescent="0.25">
      <c r="A171" s="140"/>
      <c r="B171" s="155"/>
      <c r="C171" s="151"/>
      <c r="D171" s="212"/>
      <c r="E171" s="148"/>
      <c r="F171" s="151"/>
      <c r="G171" s="367"/>
      <c r="H171" s="134"/>
    </row>
    <row r="172" spans="1:8" x14ac:dyDescent="0.25">
      <c r="A172" s="140"/>
      <c r="B172" s="155"/>
      <c r="C172" s="151"/>
      <c r="D172" s="212"/>
      <c r="E172" s="148"/>
      <c r="F172" s="151"/>
      <c r="G172" s="367"/>
      <c r="H172" s="134"/>
    </row>
    <row r="173" spans="1:8" x14ac:dyDescent="0.25">
      <c r="A173" s="140"/>
      <c r="B173" s="155"/>
      <c r="C173" s="151"/>
      <c r="D173" s="212"/>
      <c r="E173" s="148"/>
      <c r="F173" s="151"/>
      <c r="G173" s="367"/>
      <c r="H173" s="134"/>
    </row>
    <row r="174" spans="1:8" x14ac:dyDescent="0.25">
      <c r="A174" s="140"/>
      <c r="B174" s="155"/>
      <c r="C174" s="151"/>
      <c r="D174" s="212"/>
      <c r="E174" s="148"/>
      <c r="F174" s="151"/>
      <c r="G174" s="367"/>
      <c r="H174" s="134"/>
    </row>
    <row r="175" spans="1:8" x14ac:dyDescent="0.25">
      <c r="A175" s="140"/>
      <c r="B175" s="155"/>
      <c r="C175" s="151"/>
      <c r="D175" s="212"/>
      <c r="E175" s="148"/>
      <c r="F175" s="151"/>
      <c r="G175" s="367"/>
      <c r="H175" s="134"/>
    </row>
    <row r="176" spans="1:8" x14ac:dyDescent="0.25">
      <c r="A176" s="140"/>
      <c r="B176" s="155"/>
      <c r="C176" s="151"/>
      <c r="D176" s="212"/>
      <c r="E176" s="148"/>
      <c r="F176" s="151"/>
      <c r="G176" s="367"/>
      <c r="H176" s="134"/>
    </row>
    <row r="177" spans="1:8" x14ac:dyDescent="0.25">
      <c r="A177" s="140"/>
      <c r="B177" s="155"/>
      <c r="C177" s="151"/>
      <c r="D177" s="212"/>
      <c r="E177" s="148"/>
      <c r="F177" s="151"/>
      <c r="G177" s="367"/>
      <c r="H177" s="134"/>
    </row>
    <row r="178" spans="1:8" x14ac:dyDescent="0.25">
      <c r="A178" s="140"/>
      <c r="B178" s="155"/>
      <c r="C178" s="152"/>
      <c r="D178" s="952"/>
      <c r="E178" s="152"/>
      <c r="F178" s="151"/>
      <c r="G178" s="156"/>
      <c r="H178" s="134"/>
    </row>
    <row r="179" spans="1:8" ht="15.75" thickBot="1" x14ac:dyDescent="0.3">
      <c r="A179" s="140"/>
      <c r="B179" s="155"/>
      <c r="C179" s="152"/>
      <c r="D179" s="952"/>
      <c r="E179" s="152"/>
      <c r="F179" s="151"/>
      <c r="G179" s="156"/>
      <c r="H179" s="134"/>
    </row>
    <row r="180" spans="1:8" ht="15.75" thickBot="1" x14ac:dyDescent="0.3">
      <c r="A180" s="140"/>
      <c r="B180" s="157"/>
      <c r="C180" s="159"/>
      <c r="D180" s="953"/>
      <c r="E180" s="159"/>
      <c r="F180" s="158"/>
      <c r="G180" s="160"/>
      <c r="H180" s="161">
        <f>+SUM(G168:G180)</f>
        <v>0</v>
      </c>
    </row>
    <row r="181" spans="1:8" ht="15.75" thickBot="1" x14ac:dyDescent="0.3">
      <c r="A181" s="140"/>
      <c r="B181" s="162"/>
      <c r="C181" s="162"/>
      <c r="D181" s="954"/>
      <c r="E181" s="162"/>
      <c r="F181" s="163"/>
      <c r="G181" s="164"/>
      <c r="H181" s="165"/>
    </row>
    <row r="182" spans="1:8" ht="15.75" thickBot="1" x14ac:dyDescent="0.3">
      <c r="A182" s="183"/>
      <c r="B182" s="1369" t="s">
        <v>5410</v>
      </c>
      <c r="C182" s="1363" t="s">
        <v>867</v>
      </c>
      <c r="D182" s="1120" t="s">
        <v>6</v>
      </c>
      <c r="E182" s="1363" t="s">
        <v>870</v>
      </c>
      <c r="F182" s="1363" t="s">
        <v>5411</v>
      </c>
      <c r="G182" s="1370" t="s">
        <v>868</v>
      </c>
      <c r="H182" s="1371"/>
    </row>
    <row r="183" spans="1:8" x14ac:dyDescent="0.25">
      <c r="A183" s="140"/>
      <c r="B183" s="201"/>
      <c r="C183" s="147"/>
      <c r="D183" s="211"/>
      <c r="E183" s="148"/>
      <c r="F183" s="169"/>
      <c r="G183" s="367">
        <f>+D183*E183*(1+F183)</f>
        <v>0</v>
      </c>
      <c r="H183" s="134"/>
    </row>
    <row r="184" spans="1:8" x14ac:dyDescent="0.25">
      <c r="A184" s="140"/>
      <c r="B184" s="196"/>
      <c r="C184" s="151"/>
      <c r="D184" s="212"/>
      <c r="E184" s="148"/>
      <c r="F184" s="147"/>
      <c r="G184" s="367"/>
      <c r="H184" s="134"/>
    </row>
    <row r="185" spans="1:8" x14ac:dyDescent="0.25">
      <c r="A185" s="140"/>
      <c r="B185" s="196"/>
      <c r="C185" s="151"/>
      <c r="D185" s="212"/>
      <c r="E185" s="148"/>
      <c r="F185" s="151"/>
      <c r="G185" s="367"/>
      <c r="H185" s="134"/>
    </row>
    <row r="186" spans="1:8" x14ac:dyDescent="0.25">
      <c r="A186" s="140"/>
      <c r="B186" s="155"/>
      <c r="C186" s="151"/>
      <c r="D186" s="212"/>
      <c r="E186" s="148"/>
      <c r="F186" s="151"/>
      <c r="G186" s="367"/>
      <c r="H186" s="134"/>
    </row>
    <row r="187" spans="1:8" x14ac:dyDescent="0.25">
      <c r="A187" s="140"/>
      <c r="B187" s="155"/>
      <c r="C187" s="151"/>
      <c r="D187" s="212"/>
      <c r="E187" s="148"/>
      <c r="F187" s="151"/>
      <c r="G187" s="367"/>
      <c r="H187" s="134"/>
    </row>
    <row r="188" spans="1:8" ht="15.75" thickBot="1" x14ac:dyDescent="0.3">
      <c r="A188" s="140"/>
      <c r="B188" s="155"/>
      <c r="C188" s="151"/>
      <c r="D188" s="212"/>
      <c r="E188" s="148"/>
      <c r="F188" s="151"/>
      <c r="G188" s="367"/>
      <c r="H188" s="134"/>
    </row>
    <row r="189" spans="1:8" ht="15.75" thickBot="1" x14ac:dyDescent="0.3">
      <c r="A189" s="140"/>
      <c r="B189" s="157"/>
      <c r="C189" s="159"/>
      <c r="D189" s="953"/>
      <c r="E189" s="159"/>
      <c r="F189" s="158"/>
      <c r="G189" s="160"/>
      <c r="H189" s="161">
        <f>+SUM(G183:G189)</f>
        <v>0</v>
      </c>
    </row>
    <row r="190" spans="1:8" ht="15.75" thickBot="1" x14ac:dyDescent="0.3">
      <c r="A190" s="140"/>
      <c r="B190" s="162"/>
      <c r="C190" s="162"/>
      <c r="D190" s="954"/>
      <c r="E190" s="162"/>
      <c r="F190" s="173"/>
      <c r="G190" s="174"/>
      <c r="H190" s="165"/>
    </row>
    <row r="191" spans="1:8" ht="15.75" thickBot="1" x14ac:dyDescent="0.3">
      <c r="A191" s="183"/>
      <c r="B191" s="1369" t="s">
        <v>5412</v>
      </c>
      <c r="C191" s="1363" t="s">
        <v>5420</v>
      </c>
      <c r="D191" s="1120" t="s">
        <v>5421</v>
      </c>
      <c r="E191" s="1363" t="s">
        <v>5413</v>
      </c>
      <c r="F191" s="1363" t="s">
        <v>5405</v>
      </c>
      <c r="G191" s="1370" t="s">
        <v>868</v>
      </c>
      <c r="H191" s="1371"/>
    </row>
    <row r="192" spans="1:8" x14ac:dyDescent="0.25">
      <c r="A192" s="140"/>
      <c r="B192" s="194"/>
      <c r="C192" s="345"/>
      <c r="D192" s="345"/>
      <c r="E192" s="345"/>
      <c r="F192" s="202"/>
      <c r="G192" s="351"/>
      <c r="H192" s="134"/>
    </row>
    <row r="193" spans="1:9" x14ac:dyDescent="0.25">
      <c r="A193" s="140"/>
      <c r="B193" s="194" t="s">
        <v>5949</v>
      </c>
      <c r="C193" s="345">
        <f>+VLOOKUP($B193,'Mano de obra'!$A$5:$D$26,2,FALSE)</f>
        <v>44263.8</v>
      </c>
      <c r="D193" s="345">
        <f>+VLOOKUP($B193,'Mano de obra'!$A$5:$D$26,3,FALSE)</f>
        <v>27470</v>
      </c>
      <c r="E193" s="345">
        <f>+VLOOKUP($B193,'Mano de obra'!$A$5:$D$26,4,FALSE)</f>
        <v>71733.8</v>
      </c>
      <c r="F193" s="204">
        <v>10</v>
      </c>
      <c r="G193" s="351">
        <f>+E193/F193</f>
        <v>7173.38</v>
      </c>
      <c r="H193" s="134"/>
    </row>
    <row r="194" spans="1:9" x14ac:dyDescent="0.25">
      <c r="A194" s="140"/>
      <c r="B194" s="195" t="s">
        <v>5635</v>
      </c>
      <c r="C194" s="345">
        <f>+VLOOKUP($B194,'Mano de obra'!$A$5:$D$26,2,FALSE)</f>
        <v>24591</v>
      </c>
      <c r="D194" s="345">
        <f>+VLOOKUP($B194,'Mano de obra'!$A$5:$D$26,3,FALSE)</f>
        <v>15261</v>
      </c>
      <c r="E194" s="345">
        <f>+VLOOKUP($B194,'Mano de obra'!$A$5:$D$26,4,FALSE)</f>
        <v>39852</v>
      </c>
      <c r="F194" s="207">
        <v>2.5</v>
      </c>
      <c r="G194" s="351">
        <f>+E194/F194</f>
        <v>15940.8</v>
      </c>
      <c r="H194" s="134"/>
    </row>
    <row r="195" spans="1:9" x14ac:dyDescent="0.25">
      <c r="A195" s="140"/>
      <c r="B195" s="155"/>
      <c r="C195" s="345"/>
      <c r="D195" s="952"/>
      <c r="E195" s="152"/>
      <c r="F195" s="151"/>
      <c r="G195" s="351"/>
      <c r="H195" s="134"/>
    </row>
    <row r="196" spans="1:9" x14ac:dyDescent="0.25">
      <c r="A196" s="140"/>
      <c r="B196" s="155"/>
      <c r="C196" s="152"/>
      <c r="D196" s="952"/>
      <c r="E196" s="152"/>
      <c r="F196" s="151"/>
      <c r="G196" s="156"/>
      <c r="H196" s="134"/>
    </row>
    <row r="197" spans="1:9" ht="15.75" thickBot="1" x14ac:dyDescent="0.3">
      <c r="A197" s="140"/>
      <c r="B197" s="155"/>
      <c r="C197" s="152"/>
      <c r="D197" s="952"/>
      <c r="E197" s="152"/>
      <c r="F197" s="151"/>
      <c r="G197" s="156"/>
      <c r="H197" s="134"/>
    </row>
    <row r="198" spans="1:9" ht="15.75" thickBot="1" x14ac:dyDescent="0.3">
      <c r="A198" s="140"/>
      <c r="B198" s="179"/>
      <c r="C198" s="180"/>
      <c r="D198" s="956"/>
      <c r="E198" s="180"/>
      <c r="F198" s="181"/>
      <c r="G198" s="182"/>
      <c r="H198" s="161">
        <f>+SUM(G192:G198)</f>
        <v>23114.18</v>
      </c>
    </row>
    <row r="199" spans="1:9" ht="15.75" thickBot="1" x14ac:dyDescent="0.3">
      <c r="A199" s="140"/>
      <c r="B199" s="140"/>
      <c r="C199" s="140"/>
      <c r="D199" s="529"/>
      <c r="E199" s="140"/>
      <c r="F199" s="141"/>
      <c r="G199" s="134"/>
      <c r="H199" s="134"/>
    </row>
    <row r="200" spans="1:9" ht="15.75" thickBot="1" x14ac:dyDescent="0.3">
      <c r="A200" s="133" t="s">
        <v>6744</v>
      </c>
      <c r="B200" s="140"/>
      <c r="C200" s="140"/>
      <c r="D200" s="529"/>
      <c r="E200" s="183" t="s">
        <v>5415</v>
      </c>
      <c r="F200" s="141"/>
      <c r="G200" s="134"/>
      <c r="H200" s="502">
        <f>ROUND(+H165+H180+H189+H198,0)</f>
        <v>24270</v>
      </c>
      <c r="I200" t="s">
        <v>9048</v>
      </c>
    </row>
    <row r="201" spans="1:9" x14ac:dyDescent="0.25">
      <c r="A201" s="1058"/>
      <c r="B201" s="1058"/>
      <c r="C201" s="1058"/>
      <c r="D201" s="957"/>
      <c r="E201" s="1058"/>
      <c r="F201" s="1058"/>
      <c r="G201" s="1058"/>
      <c r="H201" s="1058"/>
    </row>
    <row r="202" spans="1:9" ht="27" customHeight="1" x14ac:dyDescent="0.25">
      <c r="A202" s="1424" t="s">
        <v>3</v>
      </c>
      <c r="B202" s="1390" t="str">
        <f>+VLOOKUP(C202,ListaAPUs!$B:$E,4,FALSE)</f>
        <v>2.1.2</v>
      </c>
      <c r="C202" s="2450" t="str">
        <f>+ListaAPUs!B15</f>
        <v>EXCAVACIÓN A MAQUINA A CUALQUIER PROFUNDIDAD EN ROCA</v>
      </c>
      <c r="D202" s="2450"/>
      <c r="E202" s="2450"/>
      <c r="F202" s="1424" t="s">
        <v>867</v>
      </c>
      <c r="G202" s="139" t="s">
        <v>5454</v>
      </c>
      <c r="H202" s="134"/>
    </row>
    <row r="203" spans="1:9" x14ac:dyDescent="0.25">
      <c r="A203" s="141"/>
      <c r="B203" s="140"/>
      <c r="C203" s="140"/>
      <c r="D203" s="529"/>
      <c r="E203" s="140"/>
      <c r="F203" s="141"/>
      <c r="G203" s="134"/>
      <c r="H203" s="134"/>
    </row>
    <row r="204" spans="1:9" x14ac:dyDescent="0.25">
      <c r="A204" s="141"/>
      <c r="B204" s="140"/>
      <c r="C204" s="140"/>
      <c r="D204" s="529"/>
      <c r="E204" s="140"/>
      <c r="F204" s="141"/>
      <c r="G204" s="142"/>
      <c r="H204" s="134"/>
    </row>
    <row r="205" spans="1:9" ht="15.75" thickBot="1" x14ac:dyDescent="0.3">
      <c r="A205" s="141"/>
      <c r="B205" s="140"/>
      <c r="C205" s="140"/>
      <c r="D205" s="529"/>
      <c r="E205" s="140"/>
      <c r="F205" s="141"/>
      <c r="G205" s="134"/>
      <c r="H205" s="134"/>
    </row>
    <row r="206" spans="1:9" ht="15.75" thickBot="1" x14ac:dyDescent="0.3">
      <c r="A206" s="1368"/>
      <c r="B206" s="1369" t="s">
        <v>5403</v>
      </c>
      <c r="C206" s="1363" t="s">
        <v>867</v>
      </c>
      <c r="D206" s="1120" t="s">
        <v>6</v>
      </c>
      <c r="E206" s="1363" t="s">
        <v>5404</v>
      </c>
      <c r="F206" s="1363" t="s">
        <v>5405</v>
      </c>
      <c r="G206" s="1370" t="s">
        <v>868</v>
      </c>
      <c r="H206" s="1371"/>
    </row>
    <row r="207" spans="1:9" x14ac:dyDescent="0.25">
      <c r="A207" s="141"/>
      <c r="B207" s="146" t="s">
        <v>5440</v>
      </c>
      <c r="C207" s="147" t="s">
        <v>5406</v>
      </c>
      <c r="D207" s="211"/>
      <c r="E207" s="148">
        <f>+H246</f>
        <v>5889.2533333333331</v>
      </c>
      <c r="F207" s="167">
        <v>0.2</v>
      </c>
      <c r="G207" s="360">
        <f>+E207*F207</f>
        <v>1177.8506666666667</v>
      </c>
      <c r="H207" s="134"/>
    </row>
    <row r="208" spans="1:9" x14ac:dyDescent="0.25">
      <c r="A208" s="141"/>
      <c r="B208" s="299" t="s">
        <v>5696</v>
      </c>
      <c r="C208" s="151" t="s">
        <v>5424</v>
      </c>
      <c r="D208" s="212">
        <v>1</v>
      </c>
      <c r="E208" s="148">
        <f>+VLOOKUP(B208,Insumos!$A$2:$C$331,3,FALSE)</f>
        <v>202536</v>
      </c>
      <c r="F208" s="197">
        <v>6</v>
      </c>
      <c r="G208" s="360">
        <f>+E208/F208</f>
        <v>33756</v>
      </c>
      <c r="H208" s="134"/>
    </row>
    <row r="209" spans="1:9" x14ac:dyDescent="0.25">
      <c r="A209" s="141"/>
      <c r="B209" s="154" t="s">
        <v>9052</v>
      </c>
      <c r="C209" s="151" t="s">
        <v>5424</v>
      </c>
      <c r="D209" s="212">
        <v>1</v>
      </c>
      <c r="E209" s="148">
        <f>+VLOOKUP(B209,Insumos!$A$2:$C$331,3,FALSE)</f>
        <v>73080</v>
      </c>
      <c r="F209" s="197">
        <v>6</v>
      </c>
      <c r="G209" s="360">
        <f>+E209/F209</f>
        <v>12180</v>
      </c>
      <c r="H209" s="134"/>
    </row>
    <row r="210" spans="1:9" x14ac:dyDescent="0.25">
      <c r="A210" s="141"/>
      <c r="B210" s="155"/>
      <c r="C210" s="151"/>
      <c r="D210" s="952"/>
      <c r="E210" s="152"/>
      <c r="F210" s="151"/>
      <c r="G210" s="156"/>
      <c r="H210" s="134"/>
    </row>
    <row r="211" spans="1:9" x14ac:dyDescent="0.25">
      <c r="A211" s="141"/>
      <c r="B211" s="155"/>
      <c r="C211" s="151"/>
      <c r="D211" s="952"/>
      <c r="E211" s="152"/>
      <c r="F211" s="151"/>
      <c r="G211" s="156"/>
      <c r="H211" s="134"/>
    </row>
    <row r="212" spans="1:9" ht="15.75" thickBot="1" x14ac:dyDescent="0.3">
      <c r="A212" s="141"/>
      <c r="B212" s="155"/>
      <c r="C212" s="151"/>
      <c r="D212" s="952"/>
      <c r="E212" s="152"/>
      <c r="F212" s="151"/>
      <c r="G212" s="156"/>
      <c r="H212" s="134"/>
    </row>
    <row r="213" spans="1:9" ht="15.75" thickBot="1" x14ac:dyDescent="0.3">
      <c r="A213" s="141"/>
      <c r="B213" s="157"/>
      <c r="C213" s="158"/>
      <c r="D213" s="953"/>
      <c r="E213" s="159"/>
      <c r="F213" s="158"/>
      <c r="G213" s="160"/>
      <c r="H213" s="502">
        <f>+SUM(G207:G213)</f>
        <v>47113.850666666665</v>
      </c>
      <c r="I213" t="s">
        <v>9049</v>
      </c>
    </row>
    <row r="214" spans="1:9" ht="15.75" thickBot="1" x14ac:dyDescent="0.3">
      <c r="A214" s="141"/>
      <c r="B214" s="162"/>
      <c r="C214" s="163"/>
      <c r="D214" s="954"/>
      <c r="E214" s="162"/>
      <c r="F214" s="163"/>
      <c r="G214" s="164"/>
      <c r="H214" s="165"/>
    </row>
    <row r="215" spans="1:9" ht="15.75" thickBot="1" x14ac:dyDescent="0.3">
      <c r="A215" s="183"/>
      <c r="B215" s="1369" t="s">
        <v>5408</v>
      </c>
      <c r="C215" s="1363" t="s">
        <v>867</v>
      </c>
      <c r="D215" s="1120" t="s">
        <v>6</v>
      </c>
      <c r="E215" s="1363" t="s">
        <v>870</v>
      </c>
      <c r="F215" s="1363" t="s">
        <v>5409</v>
      </c>
      <c r="G215" s="1370" t="s">
        <v>868</v>
      </c>
      <c r="H215" s="1371"/>
    </row>
    <row r="216" spans="1:9" x14ac:dyDescent="0.25">
      <c r="A216" s="140"/>
      <c r="B216" s="166"/>
      <c r="C216" s="147"/>
      <c r="D216" s="211"/>
      <c r="E216" s="148"/>
      <c r="F216" s="169"/>
      <c r="G216" s="367"/>
      <c r="H216" s="134"/>
    </row>
    <row r="217" spans="1:9" x14ac:dyDescent="0.25">
      <c r="A217" s="140"/>
      <c r="B217" s="196"/>
      <c r="C217" s="151"/>
      <c r="D217" s="212"/>
      <c r="E217" s="148"/>
      <c r="F217" s="169"/>
      <c r="G217" s="367"/>
      <c r="H217" s="134"/>
    </row>
    <row r="218" spans="1:9" x14ac:dyDescent="0.25">
      <c r="A218" s="140"/>
      <c r="B218" s="196"/>
      <c r="C218" s="151"/>
      <c r="D218" s="212"/>
      <c r="E218" s="148"/>
      <c r="F218" s="169"/>
      <c r="G218" s="367"/>
      <c r="H218" s="134"/>
    </row>
    <row r="219" spans="1:9" x14ac:dyDescent="0.25">
      <c r="A219" s="140"/>
      <c r="B219" s="155"/>
      <c r="C219" s="151"/>
      <c r="D219" s="212"/>
      <c r="E219" s="148"/>
      <c r="F219" s="151"/>
      <c r="G219" s="367"/>
      <c r="H219" s="134"/>
    </row>
    <row r="220" spans="1:9" x14ac:dyDescent="0.25">
      <c r="A220" s="140"/>
      <c r="B220" s="155"/>
      <c r="C220" s="151"/>
      <c r="D220" s="212"/>
      <c r="E220" s="148"/>
      <c r="F220" s="151"/>
      <c r="G220" s="367"/>
      <c r="H220" s="134"/>
    </row>
    <row r="221" spans="1:9" x14ac:dyDescent="0.25">
      <c r="A221" s="140"/>
      <c r="B221" s="155"/>
      <c r="C221" s="151"/>
      <c r="D221" s="212"/>
      <c r="E221" s="148"/>
      <c r="F221" s="151"/>
      <c r="G221" s="367"/>
      <c r="H221" s="134"/>
    </row>
    <row r="222" spans="1:9" x14ac:dyDescent="0.25">
      <c r="A222" s="140"/>
      <c r="B222" s="155"/>
      <c r="C222" s="151"/>
      <c r="D222" s="212"/>
      <c r="E222" s="148"/>
      <c r="F222" s="151"/>
      <c r="G222" s="367"/>
      <c r="H222" s="134"/>
    </row>
    <row r="223" spans="1:9" x14ac:dyDescent="0.25">
      <c r="A223" s="140"/>
      <c r="B223" s="155"/>
      <c r="C223" s="151"/>
      <c r="D223" s="212"/>
      <c r="E223" s="148"/>
      <c r="F223" s="151"/>
      <c r="G223" s="367"/>
      <c r="H223" s="134"/>
    </row>
    <row r="224" spans="1:9" x14ac:dyDescent="0.25">
      <c r="A224" s="140"/>
      <c r="B224" s="155"/>
      <c r="C224" s="151"/>
      <c r="D224" s="212"/>
      <c r="E224" s="148"/>
      <c r="F224" s="151"/>
      <c r="G224" s="367"/>
      <c r="H224" s="134"/>
    </row>
    <row r="225" spans="1:8" x14ac:dyDescent="0.25">
      <c r="A225" s="140"/>
      <c r="B225" s="155"/>
      <c r="C225" s="151"/>
      <c r="D225" s="212"/>
      <c r="E225" s="148"/>
      <c r="F225" s="151"/>
      <c r="G225" s="367"/>
      <c r="H225" s="134"/>
    </row>
    <row r="226" spans="1:8" x14ac:dyDescent="0.25">
      <c r="A226" s="140"/>
      <c r="B226" s="155"/>
      <c r="C226" s="152"/>
      <c r="D226" s="952"/>
      <c r="E226" s="152"/>
      <c r="F226" s="151"/>
      <c r="G226" s="156"/>
      <c r="H226" s="134"/>
    </row>
    <row r="227" spans="1:8" ht="15.75" thickBot="1" x14ac:dyDescent="0.3">
      <c r="A227" s="140"/>
      <c r="B227" s="155"/>
      <c r="C227" s="152"/>
      <c r="D227" s="952"/>
      <c r="E227" s="152"/>
      <c r="F227" s="151"/>
      <c r="G227" s="156"/>
      <c r="H227" s="134"/>
    </row>
    <row r="228" spans="1:8" ht="15.75" thickBot="1" x14ac:dyDescent="0.3">
      <c r="A228" s="140"/>
      <c r="B228" s="157"/>
      <c r="C228" s="159"/>
      <c r="D228" s="953"/>
      <c r="E228" s="159"/>
      <c r="F228" s="158"/>
      <c r="G228" s="160"/>
      <c r="H228" s="161">
        <f>+SUM(G216:G228)</f>
        <v>0</v>
      </c>
    </row>
    <row r="229" spans="1:8" ht="15.75" thickBot="1" x14ac:dyDescent="0.3">
      <c r="A229" s="140"/>
      <c r="B229" s="162"/>
      <c r="C229" s="162"/>
      <c r="D229" s="954"/>
      <c r="E229" s="162"/>
      <c r="F229" s="163"/>
      <c r="G229" s="164"/>
      <c r="H229" s="165"/>
    </row>
    <row r="230" spans="1:8" ht="15.75" thickBot="1" x14ac:dyDescent="0.3">
      <c r="A230" s="183"/>
      <c r="B230" s="1369" t="s">
        <v>5410</v>
      </c>
      <c r="C230" s="1363" t="s">
        <v>867</v>
      </c>
      <c r="D230" s="1120" t="s">
        <v>6</v>
      </c>
      <c r="E230" s="1363" t="s">
        <v>870</v>
      </c>
      <c r="F230" s="1363" t="s">
        <v>5411</v>
      </c>
      <c r="G230" s="1370" t="s">
        <v>868</v>
      </c>
      <c r="H230" s="1371"/>
    </row>
    <row r="231" spans="1:8" x14ac:dyDescent="0.25">
      <c r="A231" s="140"/>
      <c r="B231" s="201"/>
      <c r="C231" s="147"/>
      <c r="D231" s="211"/>
      <c r="E231" s="148"/>
      <c r="F231" s="169"/>
      <c r="G231" s="367"/>
      <c r="H231" s="134"/>
    </row>
    <row r="232" spans="1:8" x14ac:dyDescent="0.25">
      <c r="A232" s="140"/>
      <c r="B232" s="196"/>
      <c r="C232" s="151"/>
      <c r="D232" s="212"/>
      <c r="E232" s="148"/>
      <c r="F232" s="147"/>
      <c r="G232" s="367"/>
      <c r="H232" s="134"/>
    </row>
    <row r="233" spans="1:8" x14ac:dyDescent="0.25">
      <c r="A233" s="140"/>
      <c r="B233" s="196"/>
      <c r="C233" s="151"/>
      <c r="D233" s="212"/>
      <c r="E233" s="148"/>
      <c r="F233" s="151"/>
      <c r="G233" s="367"/>
      <c r="H233" s="134"/>
    </row>
    <row r="234" spans="1:8" x14ac:dyDescent="0.25">
      <c r="A234" s="140"/>
      <c r="B234" s="155"/>
      <c r="C234" s="151"/>
      <c r="D234" s="212"/>
      <c r="E234" s="148"/>
      <c r="F234" s="151"/>
      <c r="G234" s="367"/>
      <c r="H234" s="134"/>
    </row>
    <row r="235" spans="1:8" x14ac:dyDescent="0.25">
      <c r="A235" s="140"/>
      <c r="B235" s="155"/>
      <c r="C235" s="151"/>
      <c r="D235" s="212"/>
      <c r="E235" s="148"/>
      <c r="F235" s="151"/>
      <c r="G235" s="367"/>
      <c r="H235" s="134"/>
    </row>
    <row r="236" spans="1:8" ht="15.75" thickBot="1" x14ac:dyDescent="0.3">
      <c r="A236" s="140"/>
      <c r="B236" s="155"/>
      <c r="C236" s="151"/>
      <c r="D236" s="212"/>
      <c r="E236" s="148"/>
      <c r="F236" s="151"/>
      <c r="G236" s="367"/>
      <c r="H236" s="134"/>
    </row>
    <row r="237" spans="1:8" ht="15.75" thickBot="1" x14ac:dyDescent="0.3">
      <c r="A237" s="140"/>
      <c r="B237" s="157"/>
      <c r="C237" s="159"/>
      <c r="D237" s="953"/>
      <c r="E237" s="159"/>
      <c r="F237" s="158"/>
      <c r="G237" s="160"/>
      <c r="H237" s="161">
        <f>+SUM(G231:G237)</f>
        <v>0</v>
      </c>
    </row>
    <row r="238" spans="1:8" ht="15.75" thickBot="1" x14ac:dyDescent="0.3">
      <c r="A238" s="140"/>
      <c r="B238" s="162"/>
      <c r="C238" s="162"/>
      <c r="D238" s="954"/>
      <c r="E238" s="162"/>
      <c r="F238" s="173"/>
      <c r="G238" s="174"/>
      <c r="H238" s="165"/>
    </row>
    <row r="239" spans="1:8" ht="15.75" thickBot="1" x14ac:dyDescent="0.3">
      <c r="A239" s="183"/>
      <c r="B239" s="1369" t="s">
        <v>5412</v>
      </c>
      <c r="C239" s="1363" t="s">
        <v>5420</v>
      </c>
      <c r="D239" s="1120" t="s">
        <v>5421</v>
      </c>
      <c r="E239" s="1363" t="s">
        <v>5413</v>
      </c>
      <c r="F239" s="1363" t="s">
        <v>5405</v>
      </c>
      <c r="G239" s="1370" t="s">
        <v>868</v>
      </c>
      <c r="H239" s="1371"/>
    </row>
    <row r="240" spans="1:8" x14ac:dyDescent="0.25">
      <c r="A240" s="140"/>
      <c r="B240" s="194"/>
      <c r="C240" s="345"/>
      <c r="D240" s="345"/>
      <c r="E240" s="345"/>
      <c r="F240" s="202"/>
      <c r="G240" s="351"/>
      <c r="H240" s="134"/>
    </row>
    <row r="241" spans="1:8" x14ac:dyDescent="0.25">
      <c r="A241" s="140"/>
      <c r="B241" s="194" t="s">
        <v>5949</v>
      </c>
      <c r="C241" s="345">
        <f>+VLOOKUP($B241,'Mano de obra'!$A$5:$D$26,2,FALSE)</f>
        <v>44263.8</v>
      </c>
      <c r="D241" s="345">
        <f>+VLOOKUP($B241,'Mano de obra'!$A$5:$D$26,3,FALSE)</f>
        <v>27470</v>
      </c>
      <c r="E241" s="345">
        <f>+VLOOKUP($B241,'Mano de obra'!$A$5:$D$26,4,FALSE)</f>
        <v>71733.8</v>
      </c>
      <c r="F241" s="204">
        <v>15</v>
      </c>
      <c r="G241" s="351">
        <f>+E241/F241</f>
        <v>4782.2533333333331</v>
      </c>
      <c r="H241" s="134"/>
    </row>
    <row r="242" spans="1:8" x14ac:dyDescent="0.25">
      <c r="A242" s="140"/>
      <c r="B242" s="195" t="s">
        <v>5635</v>
      </c>
      <c r="C242" s="345">
        <f>+VLOOKUP($B242,'Mano de obra'!$A$5:$D$26,2,FALSE)</f>
        <v>24591</v>
      </c>
      <c r="D242" s="345">
        <f>+VLOOKUP($B242,'Mano de obra'!$A$5:$D$26,3,FALSE)</f>
        <v>15261</v>
      </c>
      <c r="E242" s="345">
        <f>+VLOOKUP($B242,'Mano de obra'!$A$5:$D$26,4,FALSE)</f>
        <v>39852</v>
      </c>
      <c r="F242" s="205">
        <v>36</v>
      </c>
      <c r="G242" s="351">
        <f>+E242/F242</f>
        <v>1107</v>
      </c>
      <c r="H242" s="134"/>
    </row>
    <row r="243" spans="1:8" x14ac:dyDescent="0.25">
      <c r="A243" s="140"/>
      <c r="B243" s="155"/>
      <c r="C243" s="345"/>
      <c r="D243" s="345"/>
      <c r="E243" s="345"/>
      <c r="F243" s="205"/>
      <c r="G243" s="351"/>
      <c r="H243" s="134"/>
    </row>
    <row r="244" spans="1:8" x14ac:dyDescent="0.25">
      <c r="A244" s="140"/>
      <c r="B244" s="155"/>
      <c r="C244" s="345"/>
      <c r="D244" s="345"/>
      <c r="E244" s="345"/>
      <c r="F244" s="205"/>
      <c r="G244" s="344"/>
      <c r="H244" s="134"/>
    </row>
    <row r="245" spans="1:8" ht="15.75" thickBot="1" x14ac:dyDescent="0.3">
      <c r="A245" s="140"/>
      <c r="B245" s="155"/>
      <c r="C245" s="152"/>
      <c r="D245" s="952"/>
      <c r="E245" s="152"/>
      <c r="F245" s="151"/>
      <c r="G245" s="156"/>
      <c r="H245" s="134"/>
    </row>
    <row r="246" spans="1:8" ht="15.75" thickBot="1" x14ac:dyDescent="0.3">
      <c r="A246" s="140"/>
      <c r="B246" s="179"/>
      <c r="C246" s="180"/>
      <c r="D246" s="956"/>
      <c r="E246" s="180"/>
      <c r="F246" s="181"/>
      <c r="G246" s="182"/>
      <c r="H246" s="161">
        <f>+SUM(G240:G246)</f>
        <v>5889.2533333333331</v>
      </c>
    </row>
    <row r="247" spans="1:8" ht="15.75" thickBot="1" x14ac:dyDescent="0.3">
      <c r="A247" s="140"/>
      <c r="B247" s="140"/>
      <c r="C247" s="140"/>
      <c r="D247" s="529"/>
      <c r="E247" s="140"/>
      <c r="F247" s="141"/>
      <c r="G247" s="134"/>
      <c r="H247" s="134"/>
    </row>
    <row r="248" spans="1:8" ht="15.75" thickBot="1" x14ac:dyDescent="0.3">
      <c r="A248" s="133" t="s">
        <v>6744</v>
      </c>
      <c r="B248" s="140"/>
      <c r="C248" s="140"/>
      <c r="D248" s="529"/>
      <c r="E248" s="183" t="s">
        <v>5415</v>
      </c>
      <c r="F248" s="141"/>
      <c r="G248" s="134"/>
      <c r="H248" s="161">
        <f>ROUND(+H213+H228+H237+H246,0)</f>
        <v>53003</v>
      </c>
    </row>
    <row r="249" spans="1:8" x14ac:dyDescent="0.25">
      <c r="A249" s="1058"/>
      <c r="B249" s="1058"/>
      <c r="C249" s="1058"/>
      <c r="D249" s="957"/>
      <c r="E249" s="1058"/>
      <c r="F249" s="1058"/>
      <c r="G249" s="1058"/>
      <c r="H249" s="1058"/>
    </row>
    <row r="250" spans="1:8" s="1522" customFormat="1" x14ac:dyDescent="0.25">
      <c r="D250" s="957"/>
    </row>
    <row r="251" spans="1:8" s="1522" customFormat="1" ht="27" customHeight="1" x14ac:dyDescent="0.25">
      <c r="A251" s="1593" t="s">
        <v>3</v>
      </c>
      <c r="B251" s="1390" t="str">
        <f>+VLOOKUP(C251,ListaAPUs!$B:$E,4,FALSE)</f>
        <v>2.1.3</v>
      </c>
      <c r="C251" s="2450" t="str">
        <f>+ListaAPUs!B16</f>
        <v xml:space="preserve">EXCAVACIÓN A MAQUINA A CUALQUIER PROFUNDIDAD </v>
      </c>
      <c r="D251" s="2450"/>
      <c r="E251" s="2450"/>
      <c r="F251" s="1593" t="s">
        <v>867</v>
      </c>
      <c r="G251" s="1526" t="s">
        <v>5454</v>
      </c>
      <c r="H251" s="1524"/>
    </row>
    <row r="252" spans="1:8" s="1522" customFormat="1" x14ac:dyDescent="0.25">
      <c r="A252" s="1528"/>
      <c r="B252" s="1527"/>
      <c r="C252" s="1527"/>
      <c r="D252" s="529"/>
      <c r="E252" s="1527"/>
      <c r="F252" s="1528"/>
      <c r="G252" s="1524"/>
      <c r="H252" s="1524"/>
    </row>
    <row r="253" spans="1:8" s="1522" customFormat="1" x14ac:dyDescent="0.25">
      <c r="A253" s="1528"/>
      <c r="B253" s="1527"/>
      <c r="C253" s="1527"/>
      <c r="D253" s="529"/>
      <c r="E253" s="1527"/>
      <c r="F253" s="1528"/>
      <c r="G253" s="1529"/>
      <c r="H253" s="1524"/>
    </row>
    <row r="254" spans="1:8" s="1522" customFormat="1" ht="15.75" thickBot="1" x14ac:dyDescent="0.3">
      <c r="A254" s="1528"/>
      <c r="B254" s="1527"/>
      <c r="C254" s="1527"/>
      <c r="D254" s="529"/>
      <c r="E254" s="1527"/>
      <c r="F254" s="1528"/>
      <c r="G254" s="1524"/>
      <c r="H254" s="1524"/>
    </row>
    <row r="255" spans="1:8" s="1522" customFormat="1" ht="15.75" thickBot="1" x14ac:dyDescent="0.3">
      <c r="A255" s="1368"/>
      <c r="B255" s="1369" t="s">
        <v>5403</v>
      </c>
      <c r="C255" s="1363" t="s">
        <v>867</v>
      </c>
      <c r="D255" s="1120" t="s">
        <v>6</v>
      </c>
      <c r="E255" s="1363" t="s">
        <v>5404</v>
      </c>
      <c r="F255" s="1363" t="s">
        <v>5405</v>
      </c>
      <c r="G255" s="1370" t="s">
        <v>868</v>
      </c>
      <c r="H255" s="1371"/>
    </row>
    <row r="256" spans="1:8" s="1522" customFormat="1" x14ac:dyDescent="0.25">
      <c r="A256" s="1528"/>
      <c r="B256" s="1533" t="s">
        <v>5440</v>
      </c>
      <c r="C256" s="1534" t="s">
        <v>5406</v>
      </c>
      <c r="D256" s="211"/>
      <c r="E256" s="1535">
        <f>+H295</f>
        <v>278.96450000000004</v>
      </c>
      <c r="F256" s="1551">
        <v>0.2</v>
      </c>
      <c r="G256" s="1570">
        <f>+E256*F256</f>
        <v>55.79290000000001</v>
      </c>
      <c r="H256" s="1524"/>
    </row>
    <row r="257" spans="1:9" s="1522" customFormat="1" x14ac:dyDescent="0.25">
      <c r="A257" s="1528"/>
      <c r="B257" s="299" t="s">
        <v>5696</v>
      </c>
      <c r="C257" s="1537" t="s">
        <v>5424</v>
      </c>
      <c r="D257" s="212">
        <v>1</v>
      </c>
      <c r="E257" s="1535">
        <f>+VLOOKUP(B257,Insumos!$A$2:$C$331,3,FALSE)</f>
        <v>202536</v>
      </c>
      <c r="F257" s="1563">
        <v>30</v>
      </c>
      <c r="G257" s="1570">
        <f>+E257/F257</f>
        <v>6751.2</v>
      </c>
      <c r="H257" s="1524"/>
    </row>
    <row r="258" spans="1:9" s="1522" customFormat="1" x14ac:dyDescent="0.25">
      <c r="A258" s="1528"/>
      <c r="B258" s="1539"/>
      <c r="C258" s="1537"/>
      <c r="D258" s="212"/>
      <c r="E258" s="1535"/>
      <c r="F258" s="1563"/>
      <c r="G258" s="1570"/>
      <c r="H258" s="1524"/>
    </row>
    <row r="259" spans="1:9" s="1522" customFormat="1" x14ac:dyDescent="0.25">
      <c r="A259" s="1528"/>
      <c r="B259" s="1540"/>
      <c r="C259" s="1537"/>
      <c r="D259" s="952"/>
      <c r="E259" s="1538"/>
      <c r="F259" s="1537"/>
      <c r="G259" s="1541"/>
      <c r="H259" s="1524"/>
    </row>
    <row r="260" spans="1:9" s="1522" customFormat="1" x14ac:dyDescent="0.25">
      <c r="A260" s="1528"/>
      <c r="B260" s="1540"/>
      <c r="C260" s="1537"/>
      <c r="D260" s="952"/>
      <c r="E260" s="1538"/>
      <c r="F260" s="1537"/>
      <c r="G260" s="1541"/>
      <c r="H260" s="1524"/>
    </row>
    <row r="261" spans="1:9" s="1522" customFormat="1" ht="15.75" thickBot="1" x14ac:dyDescent="0.3">
      <c r="A261" s="1528"/>
      <c r="B261" s="1540"/>
      <c r="C261" s="1537"/>
      <c r="D261" s="952"/>
      <c r="E261" s="1538"/>
      <c r="F261" s="1537"/>
      <c r="G261" s="1541"/>
      <c r="H261" s="1524"/>
    </row>
    <row r="262" spans="1:9" s="1522" customFormat="1" ht="15.75" thickBot="1" x14ac:dyDescent="0.3">
      <c r="A262" s="1528"/>
      <c r="B262" s="1542"/>
      <c r="C262" s="1543"/>
      <c r="D262" s="953"/>
      <c r="E262" s="1544"/>
      <c r="F262" s="1543"/>
      <c r="G262" s="1545"/>
      <c r="H262" s="502">
        <f>+SUM(G256:G262)</f>
        <v>6806.9929000000002</v>
      </c>
      <c r="I262" s="1522" t="s">
        <v>9049</v>
      </c>
    </row>
    <row r="263" spans="1:9" s="1522" customFormat="1" ht="15.75" thickBot="1" x14ac:dyDescent="0.3">
      <c r="A263" s="1528"/>
      <c r="B263" s="1547"/>
      <c r="C263" s="1548"/>
      <c r="D263" s="954"/>
      <c r="E263" s="1547"/>
      <c r="F263" s="1548"/>
      <c r="G263" s="1549"/>
      <c r="H263" s="1550"/>
    </row>
    <row r="264" spans="1:9" s="1522" customFormat="1" ht="15.75" thickBot="1" x14ac:dyDescent="0.3">
      <c r="A264" s="1559"/>
      <c r="B264" s="1369" t="s">
        <v>5408</v>
      </c>
      <c r="C264" s="1363" t="s">
        <v>867</v>
      </c>
      <c r="D264" s="1120" t="s">
        <v>6</v>
      </c>
      <c r="E264" s="1363" t="s">
        <v>870</v>
      </c>
      <c r="F264" s="1363" t="s">
        <v>5409</v>
      </c>
      <c r="G264" s="1370" t="s">
        <v>868</v>
      </c>
      <c r="H264" s="1371"/>
    </row>
    <row r="265" spans="1:9" s="1522" customFormat="1" x14ac:dyDescent="0.25">
      <c r="A265" s="1527"/>
      <c r="B265" s="166"/>
      <c r="C265" s="1534"/>
      <c r="D265" s="211"/>
      <c r="E265" s="1535"/>
      <c r="F265" s="1552"/>
      <c r="G265" s="1572"/>
      <c r="H265" s="1524"/>
    </row>
    <row r="266" spans="1:9" s="1522" customFormat="1" x14ac:dyDescent="0.25">
      <c r="A266" s="1527"/>
      <c r="B266" s="1562"/>
      <c r="C266" s="1537"/>
      <c r="D266" s="212"/>
      <c r="E266" s="1535"/>
      <c r="F266" s="1552"/>
      <c r="G266" s="1572"/>
      <c r="H266" s="1524"/>
    </row>
    <row r="267" spans="1:9" s="1522" customFormat="1" x14ac:dyDescent="0.25">
      <c r="A267" s="1527"/>
      <c r="B267" s="1562"/>
      <c r="C267" s="1537"/>
      <c r="D267" s="212"/>
      <c r="E267" s="1535"/>
      <c r="F267" s="1552"/>
      <c r="G267" s="1572"/>
      <c r="H267" s="1524"/>
    </row>
    <row r="268" spans="1:9" s="1522" customFormat="1" x14ac:dyDescent="0.25">
      <c r="A268" s="1527"/>
      <c r="B268" s="1540"/>
      <c r="C268" s="1537"/>
      <c r="D268" s="212"/>
      <c r="E268" s="1535"/>
      <c r="F268" s="1537"/>
      <c r="G268" s="1572"/>
      <c r="H268" s="1524"/>
    </row>
    <row r="269" spans="1:9" s="1522" customFormat="1" x14ac:dyDescent="0.25">
      <c r="A269" s="1527"/>
      <c r="B269" s="1540"/>
      <c r="C269" s="1537"/>
      <c r="D269" s="212"/>
      <c r="E269" s="1535"/>
      <c r="F269" s="1537"/>
      <c r="G269" s="1572"/>
      <c r="H269" s="1524"/>
    </row>
    <row r="270" spans="1:9" s="1522" customFormat="1" x14ac:dyDescent="0.25">
      <c r="A270" s="1527"/>
      <c r="B270" s="1540"/>
      <c r="C270" s="1537"/>
      <c r="D270" s="212"/>
      <c r="E270" s="1535"/>
      <c r="F270" s="1537"/>
      <c r="G270" s="1572"/>
      <c r="H270" s="1524"/>
    </row>
    <row r="271" spans="1:9" s="1522" customFormat="1" x14ac:dyDescent="0.25">
      <c r="A271" s="1527"/>
      <c r="B271" s="1540"/>
      <c r="C271" s="1537"/>
      <c r="D271" s="212"/>
      <c r="E271" s="1535"/>
      <c r="F271" s="1537"/>
      <c r="G271" s="1572"/>
      <c r="H271" s="1524"/>
    </row>
    <row r="272" spans="1:9" s="1522" customFormat="1" x14ac:dyDescent="0.25">
      <c r="A272" s="1527"/>
      <c r="B272" s="1540"/>
      <c r="C272" s="1537"/>
      <c r="D272" s="212"/>
      <c r="E272" s="1535"/>
      <c r="F272" s="1537"/>
      <c r="G272" s="1572"/>
      <c r="H272" s="1524"/>
    </row>
    <row r="273" spans="1:8" s="1522" customFormat="1" x14ac:dyDescent="0.25">
      <c r="A273" s="1527"/>
      <c r="B273" s="1540"/>
      <c r="C273" s="1537"/>
      <c r="D273" s="212"/>
      <c r="E273" s="1535"/>
      <c r="F273" s="1537"/>
      <c r="G273" s="1572"/>
      <c r="H273" s="1524"/>
    </row>
    <row r="274" spans="1:8" s="1522" customFormat="1" x14ac:dyDescent="0.25">
      <c r="A274" s="1527"/>
      <c r="B274" s="1540"/>
      <c r="C274" s="1537"/>
      <c r="D274" s="212"/>
      <c r="E274" s="1535"/>
      <c r="F274" s="1537"/>
      <c r="G274" s="1572"/>
      <c r="H274" s="1524"/>
    </row>
    <row r="275" spans="1:8" s="1522" customFormat="1" x14ac:dyDescent="0.25">
      <c r="A275" s="1527"/>
      <c r="B275" s="1540"/>
      <c r="C275" s="1538"/>
      <c r="D275" s="952"/>
      <c r="E275" s="1538"/>
      <c r="F275" s="1537"/>
      <c r="G275" s="1541"/>
      <c r="H275" s="1524"/>
    </row>
    <row r="276" spans="1:8" s="1522" customFormat="1" ht="15.75" thickBot="1" x14ac:dyDescent="0.3">
      <c r="A276" s="1527"/>
      <c r="B276" s="1540"/>
      <c r="C276" s="1538"/>
      <c r="D276" s="952"/>
      <c r="E276" s="1538"/>
      <c r="F276" s="1537"/>
      <c r="G276" s="1541"/>
      <c r="H276" s="1524"/>
    </row>
    <row r="277" spans="1:8" s="1522" customFormat="1" ht="15.75" thickBot="1" x14ac:dyDescent="0.3">
      <c r="A277" s="1527"/>
      <c r="B277" s="1542"/>
      <c r="C277" s="1544"/>
      <c r="D277" s="953"/>
      <c r="E277" s="1544"/>
      <c r="F277" s="1543"/>
      <c r="G277" s="1545"/>
      <c r="H277" s="1546">
        <f>+SUM(G265:G277)</f>
        <v>0</v>
      </c>
    </row>
    <row r="278" spans="1:8" s="1522" customFormat="1" ht="15.75" thickBot="1" x14ac:dyDescent="0.3">
      <c r="A278" s="1527"/>
      <c r="B278" s="1547"/>
      <c r="C278" s="1547"/>
      <c r="D278" s="954"/>
      <c r="E278" s="1547"/>
      <c r="F278" s="1548"/>
      <c r="G278" s="1549"/>
      <c r="H278" s="1550"/>
    </row>
    <row r="279" spans="1:8" s="1522" customFormat="1" ht="15.75" thickBot="1" x14ac:dyDescent="0.3">
      <c r="A279" s="1559"/>
      <c r="B279" s="1369" t="s">
        <v>5410</v>
      </c>
      <c r="C279" s="1363" t="s">
        <v>867</v>
      </c>
      <c r="D279" s="1120" t="s">
        <v>6</v>
      </c>
      <c r="E279" s="1363" t="s">
        <v>870</v>
      </c>
      <c r="F279" s="1363" t="s">
        <v>5411</v>
      </c>
      <c r="G279" s="1370" t="s">
        <v>868</v>
      </c>
      <c r="H279" s="1371"/>
    </row>
    <row r="280" spans="1:8" s="1522" customFormat="1" x14ac:dyDescent="0.25">
      <c r="A280" s="1527"/>
      <c r="B280" s="1564"/>
      <c r="C280" s="1534"/>
      <c r="D280" s="211"/>
      <c r="E280" s="1535"/>
      <c r="F280" s="1552"/>
      <c r="G280" s="1572"/>
      <c r="H280" s="1524"/>
    </row>
    <row r="281" spans="1:8" s="1522" customFormat="1" x14ac:dyDescent="0.25">
      <c r="A281" s="1527"/>
      <c r="B281" s="1562"/>
      <c r="C281" s="1537"/>
      <c r="D281" s="212"/>
      <c r="E281" s="1535"/>
      <c r="F281" s="1534"/>
      <c r="G281" s="1572"/>
      <c r="H281" s="1524"/>
    </row>
    <row r="282" spans="1:8" s="1522" customFormat="1" x14ac:dyDescent="0.25">
      <c r="A282" s="1527"/>
      <c r="B282" s="1562"/>
      <c r="C282" s="1537"/>
      <c r="D282" s="212"/>
      <c r="E282" s="1535"/>
      <c r="F282" s="1537"/>
      <c r="G282" s="1572"/>
      <c r="H282" s="1524"/>
    </row>
    <row r="283" spans="1:8" s="1522" customFormat="1" x14ac:dyDescent="0.25">
      <c r="A283" s="1527"/>
      <c r="B283" s="1540"/>
      <c r="C283" s="1537"/>
      <c r="D283" s="212"/>
      <c r="E283" s="1535"/>
      <c r="F283" s="1537"/>
      <c r="G283" s="1572"/>
      <c r="H283" s="1524"/>
    </row>
    <row r="284" spans="1:8" s="1522" customFormat="1" x14ac:dyDescent="0.25">
      <c r="A284" s="1527"/>
      <c r="B284" s="1540"/>
      <c r="C284" s="1537"/>
      <c r="D284" s="212"/>
      <c r="E284" s="1535"/>
      <c r="F284" s="1537"/>
      <c r="G284" s="1572"/>
      <c r="H284" s="1524"/>
    </row>
    <row r="285" spans="1:8" s="1522" customFormat="1" ht="15.75" thickBot="1" x14ac:dyDescent="0.3">
      <c r="A285" s="1527"/>
      <c r="B285" s="1540"/>
      <c r="C285" s="1537"/>
      <c r="D285" s="212"/>
      <c r="E285" s="1535"/>
      <c r="F285" s="1537"/>
      <c r="G285" s="1572"/>
      <c r="H285" s="1524"/>
    </row>
    <row r="286" spans="1:8" s="1522" customFormat="1" ht="15.75" thickBot="1" x14ac:dyDescent="0.3">
      <c r="A286" s="1527"/>
      <c r="B286" s="1542"/>
      <c r="C286" s="1544"/>
      <c r="D286" s="953"/>
      <c r="E286" s="1544"/>
      <c r="F286" s="1543"/>
      <c r="G286" s="1545"/>
      <c r="H286" s="1546">
        <f>+SUM(G280:G286)</f>
        <v>0</v>
      </c>
    </row>
    <row r="287" spans="1:8" s="1522" customFormat="1" ht="15.75" thickBot="1" x14ac:dyDescent="0.3">
      <c r="A287" s="1527"/>
      <c r="B287" s="1547"/>
      <c r="C287" s="1547"/>
      <c r="D287" s="954"/>
      <c r="E287" s="1547"/>
      <c r="F287" s="1553"/>
      <c r="G287" s="1554"/>
      <c r="H287" s="1550"/>
    </row>
    <row r="288" spans="1:8" s="1522" customFormat="1" ht="15.75" thickBot="1" x14ac:dyDescent="0.3">
      <c r="A288" s="1559"/>
      <c r="B288" s="1369" t="s">
        <v>5412</v>
      </c>
      <c r="C288" s="1363" t="s">
        <v>5420</v>
      </c>
      <c r="D288" s="1120" t="s">
        <v>5421</v>
      </c>
      <c r="E288" s="1363" t="s">
        <v>5413</v>
      </c>
      <c r="F288" s="1363" t="s">
        <v>5405</v>
      </c>
      <c r="G288" s="1370" t="s">
        <v>868</v>
      </c>
      <c r="H288" s="1371"/>
    </row>
    <row r="289" spans="1:8" s="1522" customFormat="1" x14ac:dyDescent="0.25">
      <c r="A289" s="1527"/>
      <c r="B289" s="1560"/>
      <c r="C289" s="1569"/>
      <c r="D289" s="1569"/>
      <c r="E289" s="1569"/>
      <c r="F289" s="1565"/>
      <c r="G289" s="351"/>
      <c r="H289" s="1524"/>
    </row>
    <row r="290" spans="1:8" s="1522" customFormat="1" x14ac:dyDescent="0.25">
      <c r="A290" s="1527"/>
      <c r="B290" s="1560" t="s">
        <v>5949</v>
      </c>
      <c r="C290" s="1569">
        <f>+VLOOKUP($B290,'Mano de obra'!$A$5:$D$26,2,FALSE)</f>
        <v>44263.8</v>
      </c>
      <c r="D290" s="1569">
        <f>+VLOOKUP($B290,'Mano de obra'!$A$5:$D$26,3,FALSE)</f>
        <v>27470</v>
      </c>
      <c r="E290" s="1569">
        <f>+VLOOKUP($B290,'Mano de obra'!$A$5:$D$26,4,FALSE)</f>
        <v>71733.8</v>
      </c>
      <c r="F290" s="1566">
        <f>50*8</f>
        <v>400</v>
      </c>
      <c r="G290" s="351">
        <f>+E290/F290</f>
        <v>179.33450000000002</v>
      </c>
      <c r="H290" s="1524"/>
    </row>
    <row r="291" spans="1:8" s="1522" customFormat="1" x14ac:dyDescent="0.25">
      <c r="A291" s="1527"/>
      <c r="B291" s="1561" t="s">
        <v>5635</v>
      </c>
      <c r="C291" s="1569">
        <f>+VLOOKUP($B291,'Mano de obra'!$A$5:$D$26,2,FALSE)</f>
        <v>24591</v>
      </c>
      <c r="D291" s="1569">
        <f>+VLOOKUP($B291,'Mano de obra'!$A$5:$D$26,3,FALSE)</f>
        <v>15261</v>
      </c>
      <c r="E291" s="1569">
        <f>+VLOOKUP($B291,'Mano de obra'!$A$5:$D$26,4,FALSE)</f>
        <v>39852</v>
      </c>
      <c r="F291" s="1567">
        <f>+F290</f>
        <v>400</v>
      </c>
      <c r="G291" s="351">
        <f>+E291/F291</f>
        <v>99.63</v>
      </c>
      <c r="H291" s="1524"/>
    </row>
    <row r="292" spans="1:8" s="1522" customFormat="1" x14ac:dyDescent="0.25">
      <c r="A292" s="1527"/>
      <c r="B292" s="1540"/>
      <c r="C292" s="1569"/>
      <c r="D292" s="1569"/>
      <c r="E292" s="1569"/>
      <c r="F292" s="1567"/>
      <c r="G292" s="351"/>
      <c r="H292" s="1524"/>
    </row>
    <row r="293" spans="1:8" s="1522" customFormat="1" x14ac:dyDescent="0.25">
      <c r="A293" s="1527"/>
      <c r="B293" s="1540"/>
      <c r="C293" s="1569"/>
      <c r="D293" s="1569"/>
      <c r="E293" s="1569"/>
      <c r="F293" s="1567"/>
      <c r="G293" s="344"/>
      <c r="H293" s="1524"/>
    </row>
    <row r="294" spans="1:8" s="1522" customFormat="1" ht="15.75" thickBot="1" x14ac:dyDescent="0.3">
      <c r="A294" s="1527"/>
      <c r="B294" s="1540"/>
      <c r="C294" s="1538"/>
      <c r="D294" s="952"/>
      <c r="E294" s="1538"/>
      <c r="F294" s="1537"/>
      <c r="G294" s="1541"/>
      <c r="H294" s="1524"/>
    </row>
    <row r="295" spans="1:8" s="1522" customFormat="1" ht="15.75" thickBot="1" x14ac:dyDescent="0.3">
      <c r="A295" s="1527"/>
      <c r="B295" s="1555"/>
      <c r="C295" s="1556"/>
      <c r="D295" s="956"/>
      <c r="E295" s="1556"/>
      <c r="F295" s="1557"/>
      <c r="G295" s="1558"/>
      <c r="H295" s="1546">
        <f>+SUM(G289:G295)</f>
        <v>278.96450000000004</v>
      </c>
    </row>
    <row r="296" spans="1:8" s="1522" customFormat="1" ht="15.75" thickBot="1" x14ac:dyDescent="0.3">
      <c r="A296" s="1527"/>
      <c r="B296" s="1527"/>
      <c r="C296" s="1527"/>
      <c r="D296" s="529"/>
      <c r="E296" s="1527"/>
      <c r="F296" s="1528"/>
      <c r="G296" s="1524"/>
      <c r="H296" s="1524"/>
    </row>
    <row r="297" spans="1:8" s="1522" customFormat="1" ht="15.75" thickBot="1" x14ac:dyDescent="0.3">
      <c r="A297" s="1523" t="s">
        <v>6744</v>
      </c>
      <c r="B297" s="1527"/>
      <c r="C297" s="1527"/>
      <c r="D297" s="529"/>
      <c r="E297" s="1559" t="s">
        <v>5415</v>
      </c>
      <c r="F297" s="1528"/>
      <c r="G297" s="1524"/>
      <c r="H297" s="1546">
        <f>ROUND(+H262+H277+H286+H295,0)</f>
        <v>7086</v>
      </c>
    </row>
    <row r="298" spans="1:8" s="1522" customFormat="1" x14ac:dyDescent="0.25">
      <c r="D298" s="957"/>
    </row>
    <row r="299" spans="1:8" x14ac:dyDescent="0.25">
      <c r="A299" s="1058"/>
      <c r="B299" s="1058"/>
      <c r="C299" s="1058"/>
      <c r="D299" s="957"/>
      <c r="E299" s="1058"/>
      <c r="F299" s="1058"/>
      <c r="G299" s="1058"/>
      <c r="H299" s="1058"/>
    </row>
    <row r="300" spans="1:8" x14ac:dyDescent="0.25">
      <c r="A300" s="1058"/>
      <c r="B300" s="1058"/>
      <c r="C300" s="1058"/>
      <c r="D300" s="957"/>
      <c r="E300" s="1058"/>
      <c r="F300" s="1058"/>
      <c r="G300" s="1058"/>
      <c r="H300" s="1058"/>
    </row>
    <row r="301" spans="1:8" x14ac:dyDescent="0.25">
      <c r="A301" s="1424" t="s">
        <v>3</v>
      </c>
      <c r="B301" s="1390" t="str">
        <f>+VLOOKUP(C301,ListaAPUs!$B:$E,4,FALSE)</f>
        <v>2.2.1</v>
      </c>
      <c r="C301" s="2450" t="str">
        <f>+ListaAPUs!B19</f>
        <v>Relleno con Arena</v>
      </c>
      <c r="D301" s="2450"/>
      <c r="E301" s="2450"/>
      <c r="F301" s="1424" t="s">
        <v>867</v>
      </c>
      <c r="G301" s="139" t="s">
        <v>5454</v>
      </c>
      <c r="H301" s="134"/>
    </row>
    <row r="302" spans="1:8" x14ac:dyDescent="0.25">
      <c r="A302" s="141"/>
      <c r="B302" s="140"/>
      <c r="C302" s="140"/>
      <c r="D302" s="529"/>
      <c r="E302" s="140"/>
      <c r="F302" s="141"/>
      <c r="G302" s="134"/>
      <c r="H302" s="134"/>
    </row>
    <row r="303" spans="1:8" x14ac:dyDescent="0.25">
      <c r="A303" s="141"/>
      <c r="B303" s="140"/>
      <c r="C303" s="140"/>
      <c r="D303" s="529"/>
      <c r="E303" s="140"/>
      <c r="F303" s="141"/>
      <c r="G303" s="142"/>
      <c r="H303" s="134"/>
    </row>
    <row r="304" spans="1:8" ht="15.75" thickBot="1" x14ac:dyDescent="0.3">
      <c r="A304" s="141"/>
      <c r="B304" s="140"/>
      <c r="C304" s="140"/>
      <c r="D304" s="529"/>
      <c r="E304" s="140"/>
      <c r="F304" s="141"/>
      <c r="G304" s="134"/>
      <c r="H304" s="134"/>
    </row>
    <row r="305" spans="1:8" ht="15.75" thickBot="1" x14ac:dyDescent="0.3">
      <c r="A305" s="1368"/>
      <c r="B305" s="1369" t="s">
        <v>5403</v>
      </c>
      <c r="C305" s="1363" t="s">
        <v>867</v>
      </c>
      <c r="D305" s="1120" t="s">
        <v>6</v>
      </c>
      <c r="E305" s="1363" t="s">
        <v>5404</v>
      </c>
      <c r="F305" s="1363" t="s">
        <v>5405</v>
      </c>
      <c r="G305" s="1370" t="s">
        <v>868</v>
      </c>
      <c r="H305" s="1371"/>
    </row>
    <row r="306" spans="1:8" x14ac:dyDescent="0.25">
      <c r="A306" s="141"/>
      <c r="B306" s="146" t="s">
        <v>5440</v>
      </c>
      <c r="C306" s="147" t="s">
        <v>5406</v>
      </c>
      <c r="D306" s="211"/>
      <c r="E306" s="148">
        <f>+H345</f>
        <v>4694.0933333333332</v>
      </c>
      <c r="F306" s="167">
        <v>0.1</v>
      </c>
      <c r="G306" s="360">
        <f>+E306*F306</f>
        <v>469.40933333333334</v>
      </c>
      <c r="H306" s="134"/>
    </row>
    <row r="307" spans="1:8" x14ac:dyDescent="0.25">
      <c r="A307" s="141"/>
      <c r="B307" s="150" t="s">
        <v>5736</v>
      </c>
      <c r="C307" s="151" t="s">
        <v>5481</v>
      </c>
      <c r="D307" s="212">
        <v>1</v>
      </c>
      <c r="E307" s="148">
        <f>+VLOOKUP(B307,Insumos!$A$2:$C$331,3,FALSE)</f>
        <v>42000</v>
      </c>
      <c r="F307" s="205">
        <v>40</v>
      </c>
      <c r="G307" s="360">
        <f>+E307/F307</f>
        <v>1050</v>
      </c>
      <c r="H307" s="134"/>
    </row>
    <row r="308" spans="1:8" x14ac:dyDescent="0.25">
      <c r="A308" s="141"/>
      <c r="B308" s="154"/>
      <c r="C308" s="151"/>
      <c r="D308" s="212"/>
      <c r="E308" s="366"/>
      <c r="F308" s="151"/>
      <c r="G308" s="360"/>
      <c r="H308" s="134"/>
    </row>
    <row r="309" spans="1:8" x14ac:dyDescent="0.25">
      <c r="A309" s="141"/>
      <c r="B309" s="155"/>
      <c r="C309" s="151"/>
      <c r="D309" s="952"/>
      <c r="E309" s="152"/>
      <c r="F309" s="151"/>
      <c r="G309" s="156"/>
      <c r="H309" s="134"/>
    </row>
    <row r="310" spans="1:8" x14ac:dyDescent="0.25">
      <c r="A310" s="141"/>
      <c r="B310" s="155"/>
      <c r="C310" s="151"/>
      <c r="D310" s="952"/>
      <c r="E310" s="152"/>
      <c r="F310" s="151"/>
      <c r="G310" s="156"/>
      <c r="H310" s="134"/>
    </row>
    <row r="311" spans="1:8" ht="15.75" thickBot="1" x14ac:dyDescent="0.3">
      <c r="A311" s="141"/>
      <c r="B311" s="155"/>
      <c r="C311" s="151"/>
      <c r="D311" s="952"/>
      <c r="E311" s="152"/>
      <c r="F311" s="151"/>
      <c r="G311" s="156"/>
      <c r="H311" s="134"/>
    </row>
    <row r="312" spans="1:8" ht="15.75" thickBot="1" x14ac:dyDescent="0.3">
      <c r="A312" s="141"/>
      <c r="B312" s="157"/>
      <c r="C312" s="158"/>
      <c r="D312" s="953"/>
      <c r="E312" s="159"/>
      <c r="F312" s="158"/>
      <c r="G312" s="160"/>
      <c r="H312" s="161">
        <f>+SUM(G306:G312)</f>
        <v>1519.4093333333333</v>
      </c>
    </row>
    <row r="313" spans="1:8" ht="15.75" thickBot="1" x14ac:dyDescent="0.3">
      <c r="A313" s="141"/>
      <c r="B313" s="162"/>
      <c r="C313" s="163"/>
      <c r="D313" s="954"/>
      <c r="E313" s="162"/>
      <c r="F313" s="163"/>
      <c r="G313" s="164"/>
      <c r="H313" s="165"/>
    </row>
    <row r="314" spans="1:8" ht="15.75" thickBot="1" x14ac:dyDescent="0.3">
      <c r="A314" s="183"/>
      <c r="B314" s="1369" t="s">
        <v>5408</v>
      </c>
      <c r="C314" s="1363" t="s">
        <v>867</v>
      </c>
      <c r="D314" s="1120" t="s">
        <v>6</v>
      </c>
      <c r="E314" s="1363" t="s">
        <v>870</v>
      </c>
      <c r="F314" s="1363" t="s">
        <v>5409</v>
      </c>
      <c r="G314" s="1370" t="s">
        <v>868</v>
      </c>
      <c r="H314" s="1371"/>
    </row>
    <row r="315" spans="1:8" x14ac:dyDescent="0.25">
      <c r="A315" s="140"/>
      <c r="B315" s="201" t="s">
        <v>6014</v>
      </c>
      <c r="C315" s="147" t="s">
        <v>5430</v>
      </c>
      <c r="D315" s="211">
        <v>1</v>
      </c>
      <c r="E315" s="148">
        <f>+VLOOKUP(B315,Insumos!$A$2:$C$331,3,FALSE)</f>
        <v>42030.197</v>
      </c>
      <c r="F315" s="169">
        <v>0.3</v>
      </c>
      <c r="G315" s="367">
        <f>+D315*E315*(1+F315)</f>
        <v>54639.256099999999</v>
      </c>
      <c r="H315" s="134"/>
    </row>
    <row r="316" spans="1:8" x14ac:dyDescent="0.25">
      <c r="A316" s="140"/>
      <c r="B316" s="196"/>
      <c r="C316" s="151"/>
      <c r="D316" s="212"/>
      <c r="E316" s="366"/>
      <c r="F316" s="169"/>
      <c r="G316" s="367"/>
      <c r="H316" s="134"/>
    </row>
    <row r="317" spans="1:8" x14ac:dyDescent="0.25">
      <c r="A317" s="140"/>
      <c r="B317" s="196"/>
      <c r="C317" s="151"/>
      <c r="D317" s="212"/>
      <c r="E317" s="366"/>
      <c r="F317" s="169"/>
      <c r="G317" s="367"/>
      <c r="H317" s="134"/>
    </row>
    <row r="318" spans="1:8" x14ac:dyDescent="0.25">
      <c r="A318" s="140"/>
      <c r="B318" s="155"/>
      <c r="C318" s="151"/>
      <c r="D318" s="212"/>
      <c r="E318" s="148"/>
      <c r="F318" s="151"/>
      <c r="G318" s="367"/>
      <c r="H318" s="134"/>
    </row>
    <row r="319" spans="1:8" x14ac:dyDescent="0.25">
      <c r="A319" s="140"/>
      <c r="B319" s="155"/>
      <c r="C319" s="151"/>
      <c r="D319" s="212"/>
      <c r="E319" s="148"/>
      <c r="F319" s="151"/>
      <c r="G319" s="367"/>
      <c r="H319" s="134"/>
    </row>
    <row r="320" spans="1:8" x14ac:dyDescent="0.25">
      <c r="A320" s="140"/>
      <c r="B320" s="155"/>
      <c r="C320" s="151"/>
      <c r="D320" s="212"/>
      <c r="E320" s="148"/>
      <c r="F320" s="151"/>
      <c r="G320" s="367"/>
      <c r="H320" s="134"/>
    </row>
    <row r="321" spans="1:8" x14ac:dyDescent="0.25">
      <c r="A321" s="140"/>
      <c r="B321" s="155"/>
      <c r="C321" s="151"/>
      <c r="D321" s="212"/>
      <c r="E321" s="148"/>
      <c r="F321" s="151"/>
      <c r="G321" s="367"/>
      <c r="H321" s="134"/>
    </row>
    <row r="322" spans="1:8" x14ac:dyDescent="0.25">
      <c r="A322" s="140"/>
      <c r="B322" s="155"/>
      <c r="C322" s="151"/>
      <c r="D322" s="212"/>
      <c r="E322" s="148"/>
      <c r="F322" s="151"/>
      <c r="G322" s="367"/>
      <c r="H322" s="134"/>
    </row>
    <row r="323" spans="1:8" x14ac:dyDescent="0.25">
      <c r="A323" s="140"/>
      <c r="B323" s="155"/>
      <c r="C323" s="151"/>
      <c r="D323" s="212"/>
      <c r="E323" s="148"/>
      <c r="F323" s="151"/>
      <c r="G323" s="367"/>
      <c r="H323" s="134"/>
    </row>
    <row r="324" spans="1:8" x14ac:dyDescent="0.25">
      <c r="A324" s="140"/>
      <c r="B324" s="155"/>
      <c r="C324" s="151"/>
      <c r="D324" s="212"/>
      <c r="E324" s="148"/>
      <c r="F324" s="151"/>
      <c r="G324" s="367"/>
      <c r="H324" s="134"/>
    </row>
    <row r="325" spans="1:8" x14ac:dyDescent="0.25">
      <c r="A325" s="140"/>
      <c r="B325" s="155"/>
      <c r="C325" s="152"/>
      <c r="D325" s="952"/>
      <c r="E325" s="152"/>
      <c r="F325" s="151"/>
      <c r="G325" s="156"/>
      <c r="H325" s="134"/>
    </row>
    <row r="326" spans="1:8" ht="15.75" thickBot="1" x14ac:dyDescent="0.3">
      <c r="A326" s="140"/>
      <c r="B326" s="155"/>
      <c r="C326" s="152"/>
      <c r="D326" s="952"/>
      <c r="E326" s="152"/>
      <c r="F326" s="151"/>
      <c r="G326" s="156"/>
      <c r="H326" s="134"/>
    </row>
    <row r="327" spans="1:8" ht="15.75" thickBot="1" x14ac:dyDescent="0.3">
      <c r="A327" s="140"/>
      <c r="B327" s="157"/>
      <c r="C327" s="159"/>
      <c r="D327" s="953"/>
      <c r="E327" s="159"/>
      <c r="F327" s="158"/>
      <c r="G327" s="160"/>
      <c r="H327" s="161">
        <f>+SUM(G315:G327)</f>
        <v>54639.256099999999</v>
      </c>
    </row>
    <row r="328" spans="1:8" ht="15.75" thickBot="1" x14ac:dyDescent="0.3">
      <c r="A328" s="140"/>
      <c r="B328" s="162"/>
      <c r="C328" s="162"/>
      <c r="D328" s="954"/>
      <c r="E328" s="162"/>
      <c r="F328" s="163"/>
      <c r="G328" s="164"/>
      <c r="H328" s="165"/>
    </row>
    <row r="329" spans="1:8" ht="15.75" thickBot="1" x14ac:dyDescent="0.3">
      <c r="A329" s="183"/>
      <c r="B329" s="1369" t="s">
        <v>5410</v>
      </c>
      <c r="C329" s="1363" t="s">
        <v>867</v>
      </c>
      <c r="D329" s="1120" t="s">
        <v>6</v>
      </c>
      <c r="E329" s="1363" t="s">
        <v>870</v>
      </c>
      <c r="F329" s="1363" t="s">
        <v>5411</v>
      </c>
      <c r="G329" s="1370" t="s">
        <v>868</v>
      </c>
      <c r="H329" s="1371"/>
    </row>
    <row r="330" spans="1:8" x14ac:dyDescent="0.25">
      <c r="A330" s="140"/>
      <c r="B330" s="201"/>
      <c r="C330" s="147"/>
      <c r="D330" s="211"/>
      <c r="E330" s="366"/>
      <c r="F330" s="169"/>
      <c r="G330" s="367"/>
      <c r="H330" s="134"/>
    </row>
    <row r="331" spans="1:8" x14ac:dyDescent="0.25">
      <c r="A331" s="140"/>
      <c r="B331" s="196"/>
      <c r="C331" s="151"/>
      <c r="D331" s="212"/>
      <c r="E331" s="366"/>
      <c r="F331" s="147"/>
      <c r="G331" s="367"/>
      <c r="H331" s="134"/>
    </row>
    <row r="332" spans="1:8" x14ac:dyDescent="0.25">
      <c r="A332" s="140"/>
      <c r="B332" s="196"/>
      <c r="C332" s="151"/>
      <c r="D332" s="212"/>
      <c r="E332" s="148"/>
      <c r="F332" s="151"/>
      <c r="G332" s="367"/>
      <c r="H332" s="134"/>
    </row>
    <row r="333" spans="1:8" x14ac:dyDescent="0.25">
      <c r="A333" s="140"/>
      <c r="B333" s="155"/>
      <c r="C333" s="151"/>
      <c r="D333" s="212"/>
      <c r="E333" s="148"/>
      <c r="F333" s="151"/>
      <c r="G333" s="367"/>
      <c r="H333" s="134"/>
    </row>
    <row r="334" spans="1:8" x14ac:dyDescent="0.25">
      <c r="A334" s="140"/>
      <c r="B334" s="155"/>
      <c r="C334" s="151"/>
      <c r="D334" s="212"/>
      <c r="E334" s="148"/>
      <c r="F334" s="151"/>
      <c r="G334" s="367"/>
      <c r="H334" s="134"/>
    </row>
    <row r="335" spans="1:8" ht="15.75" thickBot="1" x14ac:dyDescent="0.3">
      <c r="A335" s="140"/>
      <c r="B335" s="155"/>
      <c r="C335" s="151"/>
      <c r="D335" s="212"/>
      <c r="E335" s="148"/>
      <c r="F335" s="151"/>
      <c r="G335" s="367"/>
      <c r="H335" s="134"/>
    </row>
    <row r="336" spans="1:8" ht="15.75" thickBot="1" x14ac:dyDescent="0.3">
      <c r="A336" s="140"/>
      <c r="B336" s="157"/>
      <c r="C336" s="159"/>
      <c r="D336" s="953"/>
      <c r="E336" s="159"/>
      <c r="F336" s="158"/>
      <c r="G336" s="160"/>
      <c r="H336" s="161">
        <f>+SUM(G330:G336)</f>
        <v>0</v>
      </c>
    </row>
    <row r="337" spans="1:8" ht="15.75" thickBot="1" x14ac:dyDescent="0.3">
      <c r="A337" s="140"/>
      <c r="B337" s="162"/>
      <c r="C337" s="162"/>
      <c r="D337" s="954"/>
      <c r="E337" s="162"/>
      <c r="F337" s="173"/>
      <c r="G337" s="174"/>
      <c r="H337" s="165"/>
    </row>
    <row r="338" spans="1:8" ht="15.75" thickBot="1" x14ac:dyDescent="0.3">
      <c r="A338" s="183"/>
      <c r="B338" s="1369" t="s">
        <v>5412</v>
      </c>
      <c r="C338" s="1363" t="s">
        <v>5420</v>
      </c>
      <c r="D338" s="1120" t="s">
        <v>5421</v>
      </c>
      <c r="E338" s="1363" t="s">
        <v>5413</v>
      </c>
      <c r="F338" s="1363" t="s">
        <v>5405</v>
      </c>
      <c r="G338" s="1370" t="s">
        <v>868</v>
      </c>
      <c r="H338" s="1371"/>
    </row>
    <row r="339" spans="1:8" x14ac:dyDescent="0.25">
      <c r="A339" s="140"/>
      <c r="B339" s="194" t="s">
        <v>5650</v>
      </c>
      <c r="C339" s="345">
        <f>+VLOOKUP($B339,'Mano de obra'!$A$5:$D$26,2,FALSE)</f>
        <v>57454</v>
      </c>
      <c r="D339" s="345">
        <f>+VLOOKUP($B339,'Mano de obra'!$A$5:$D$26,3,FALSE)</f>
        <v>35656</v>
      </c>
      <c r="E339" s="345">
        <f>+VLOOKUP($B339,'Mano de obra'!$A$5:$D$26,4,FALSE)</f>
        <v>93110</v>
      </c>
      <c r="F339" s="202">
        <v>300</v>
      </c>
      <c r="G339" s="351">
        <f>+E339/F339</f>
        <v>310.36666666666667</v>
      </c>
      <c r="H339" s="134"/>
    </row>
    <row r="340" spans="1:8" x14ac:dyDescent="0.25">
      <c r="A340" s="140"/>
      <c r="B340" s="194" t="s">
        <v>5949</v>
      </c>
      <c r="C340" s="345">
        <f>+VLOOKUP($B340,'Mano de obra'!$A$5:$D$26,2,FALSE)</f>
        <v>44263.8</v>
      </c>
      <c r="D340" s="345">
        <f>+VLOOKUP($B340,'Mano de obra'!$A$5:$D$26,3,FALSE)</f>
        <v>27470</v>
      </c>
      <c r="E340" s="345">
        <f>+VLOOKUP($B340,'Mano de obra'!$A$5:$D$26,4,FALSE)</f>
        <v>71733.8</v>
      </c>
      <c r="F340" s="204">
        <v>30</v>
      </c>
      <c r="G340" s="351">
        <f>+E340/F340</f>
        <v>2391.1266666666666</v>
      </c>
      <c r="H340" s="134"/>
    </row>
    <row r="341" spans="1:8" x14ac:dyDescent="0.25">
      <c r="A341" s="140"/>
      <c r="B341" s="195" t="s">
        <v>5635</v>
      </c>
      <c r="C341" s="345">
        <f>+VLOOKUP($B341,'Mano de obra'!$A$5:$D$26,2,FALSE)</f>
        <v>24591</v>
      </c>
      <c r="D341" s="345">
        <f>+VLOOKUP($B341,'Mano de obra'!$A$5:$D$26,3,FALSE)</f>
        <v>15261</v>
      </c>
      <c r="E341" s="345">
        <f>+VLOOKUP($B341,'Mano de obra'!$A$5:$D$26,4,FALSE)</f>
        <v>39852</v>
      </c>
      <c r="F341" s="205">
        <v>20</v>
      </c>
      <c r="G341" s="351">
        <f>+E341/F341</f>
        <v>1992.6</v>
      </c>
      <c r="H341" s="134"/>
    </row>
    <row r="342" spans="1:8" x14ac:dyDescent="0.25">
      <c r="A342" s="140"/>
      <c r="B342" s="155"/>
      <c r="C342" s="152"/>
      <c r="D342" s="952"/>
      <c r="E342" s="152"/>
      <c r="F342" s="151"/>
      <c r="G342" s="156"/>
      <c r="H342" s="134"/>
    </row>
    <row r="343" spans="1:8" x14ac:dyDescent="0.25">
      <c r="A343" s="140"/>
      <c r="B343" s="155"/>
      <c r="C343" s="152"/>
      <c r="D343" s="952"/>
      <c r="E343" s="152"/>
      <c r="F343" s="151"/>
      <c r="G343" s="156"/>
      <c r="H343" s="134"/>
    </row>
    <row r="344" spans="1:8" ht="15.75" thickBot="1" x14ac:dyDescent="0.3">
      <c r="A344" s="140"/>
      <c r="B344" s="155"/>
      <c r="C344" s="152"/>
      <c r="D344" s="952"/>
      <c r="E344" s="152"/>
      <c r="F344" s="151"/>
      <c r="G344" s="156"/>
      <c r="H344" s="134"/>
    </row>
    <row r="345" spans="1:8" ht="15.75" thickBot="1" x14ac:dyDescent="0.3">
      <c r="A345" s="140"/>
      <c r="B345" s="179"/>
      <c r="C345" s="180"/>
      <c r="D345" s="956"/>
      <c r="E345" s="180"/>
      <c r="F345" s="181"/>
      <c r="G345" s="182"/>
      <c r="H345" s="161">
        <f>+SUM(G339:G345)</f>
        <v>4694.0933333333332</v>
      </c>
    </row>
    <row r="346" spans="1:8" ht="15.75" thickBot="1" x14ac:dyDescent="0.3">
      <c r="A346" s="140"/>
      <c r="B346" s="140"/>
      <c r="C346" s="140"/>
      <c r="D346" s="529"/>
      <c r="E346" s="140"/>
      <c r="F346" s="141"/>
      <c r="G346" s="134"/>
      <c r="H346" s="134"/>
    </row>
    <row r="347" spans="1:8" ht="15.75" thickBot="1" x14ac:dyDescent="0.3">
      <c r="A347" s="133" t="s">
        <v>6744</v>
      </c>
      <c r="B347" s="140"/>
      <c r="C347" s="140"/>
      <c r="D347" s="529"/>
      <c r="E347" s="183" t="s">
        <v>5415</v>
      </c>
      <c r="F347" s="141"/>
      <c r="G347" s="134"/>
      <c r="H347" s="992">
        <f>ROUND(+H312+H327+H336+H345,0)</f>
        <v>60853</v>
      </c>
    </row>
    <row r="348" spans="1:8" x14ac:dyDescent="0.25">
      <c r="A348" s="1058"/>
      <c r="B348" s="1058"/>
      <c r="C348" s="1058"/>
      <c r="D348" s="957"/>
      <c r="E348" s="1058"/>
      <c r="F348" s="1058"/>
      <c r="G348" s="1058"/>
      <c r="H348" s="1058"/>
    </row>
    <row r="349" spans="1:8" x14ac:dyDescent="0.25">
      <c r="A349" s="1058"/>
      <c r="B349" s="1058"/>
      <c r="C349" s="1058"/>
      <c r="D349" s="957"/>
      <c r="E349" s="1058"/>
      <c r="F349" s="1058"/>
      <c r="G349" s="1058"/>
      <c r="H349" s="1058"/>
    </row>
    <row r="350" spans="1:8" x14ac:dyDescent="0.25">
      <c r="A350" s="1058"/>
      <c r="B350" s="1058"/>
      <c r="C350" s="1058"/>
      <c r="D350" s="957"/>
      <c r="E350" s="1058"/>
      <c r="F350" s="1058"/>
      <c r="G350" s="1058"/>
      <c r="H350" s="1058"/>
    </row>
    <row r="351" spans="1:8" ht="35.25" customHeight="1" x14ac:dyDescent="0.25">
      <c r="A351" s="1424" t="s">
        <v>3</v>
      </c>
      <c r="B351" s="1390" t="str">
        <f>+VLOOKUP(C351,ListaAPUs!$B:$E,4,FALSE)</f>
        <v>2.2.2</v>
      </c>
      <c r="C351" s="2450" t="str">
        <f>+ListaAPUs!B20</f>
        <v>RELLENO CON MATERIAL SELECCIONADO PROCEDENTE DE LA EXCAVACIÓN</v>
      </c>
      <c r="D351" s="2450"/>
      <c r="E351" s="2450"/>
      <c r="F351" s="1424" t="s">
        <v>867</v>
      </c>
      <c r="G351" s="139" t="s">
        <v>5454</v>
      </c>
      <c r="H351" s="134"/>
    </row>
    <row r="352" spans="1:8" x14ac:dyDescent="0.25">
      <c r="A352" s="141"/>
      <c r="B352" s="140"/>
      <c r="C352" s="140"/>
      <c r="D352" s="529"/>
      <c r="E352" s="140"/>
      <c r="F352" s="141"/>
      <c r="G352" s="134"/>
      <c r="H352" s="134"/>
    </row>
    <row r="353" spans="1:8" x14ac:dyDescent="0.25">
      <c r="A353" s="141"/>
      <c r="B353" s="140"/>
      <c r="C353" s="140"/>
      <c r="D353" s="529"/>
      <c r="E353" s="140"/>
      <c r="F353" s="141"/>
      <c r="G353" s="142"/>
      <c r="H353" s="134"/>
    </row>
    <row r="354" spans="1:8" ht="15.75" thickBot="1" x14ac:dyDescent="0.3">
      <c r="A354" s="141"/>
      <c r="B354" s="140"/>
      <c r="C354" s="140"/>
      <c r="D354" s="529"/>
      <c r="E354" s="140"/>
      <c r="F354" s="141"/>
      <c r="G354" s="134"/>
      <c r="H354" s="134"/>
    </row>
    <row r="355" spans="1:8" ht="15.75" thickBot="1" x14ac:dyDescent="0.3">
      <c r="A355" s="1368"/>
      <c r="B355" s="1369" t="s">
        <v>5403</v>
      </c>
      <c r="C355" s="1363" t="s">
        <v>867</v>
      </c>
      <c r="D355" s="1120" t="s">
        <v>6</v>
      </c>
      <c r="E355" s="1363" t="s">
        <v>5404</v>
      </c>
      <c r="F355" s="1363" t="s">
        <v>5405</v>
      </c>
      <c r="G355" s="1370" t="s">
        <v>868</v>
      </c>
      <c r="H355" s="1371"/>
    </row>
    <row r="356" spans="1:8" x14ac:dyDescent="0.25">
      <c r="A356" s="141"/>
      <c r="B356" s="146" t="s">
        <v>5440</v>
      </c>
      <c r="C356" s="147" t="s">
        <v>5406</v>
      </c>
      <c r="D356" s="211"/>
      <c r="E356" s="148">
        <f>+H395</f>
        <v>5016.7038095238095</v>
      </c>
      <c r="F356" s="167">
        <v>0.1</v>
      </c>
      <c r="G356" s="360">
        <f>+E356*F356</f>
        <v>501.67038095238098</v>
      </c>
      <c r="H356" s="134"/>
    </row>
    <row r="357" spans="1:8" x14ac:dyDescent="0.25">
      <c r="A357" s="141"/>
      <c r="B357" s="150" t="s">
        <v>8008</v>
      </c>
      <c r="C357" s="151" t="s">
        <v>5407</v>
      </c>
      <c r="D357" s="212"/>
      <c r="E357" s="148">
        <f>+VLOOKUP(B357,Insumos!$A$2:$C$331,3,FALSE)</f>
        <v>10126.799999999999</v>
      </c>
      <c r="F357" s="205">
        <v>20</v>
      </c>
      <c r="G357" s="360">
        <f>+E357/F357</f>
        <v>506.34</v>
      </c>
      <c r="H357" s="134"/>
    </row>
    <row r="358" spans="1:8" x14ac:dyDescent="0.25">
      <c r="A358" s="141"/>
      <c r="B358" s="150" t="s">
        <v>5736</v>
      </c>
      <c r="C358" s="151" t="s">
        <v>5481</v>
      </c>
      <c r="D358" s="212">
        <v>1</v>
      </c>
      <c r="E358" s="148">
        <f>+VLOOKUP(B358,Insumos!$A$2:$C$331,3,FALSE)</f>
        <v>42000</v>
      </c>
      <c r="F358" s="205">
        <v>60</v>
      </c>
      <c r="G358" s="360">
        <f>+E358/F358</f>
        <v>700</v>
      </c>
      <c r="H358" s="134"/>
    </row>
    <row r="359" spans="1:8" x14ac:dyDescent="0.25">
      <c r="A359" s="141"/>
      <c r="B359" s="155"/>
      <c r="C359" s="151"/>
      <c r="D359" s="952"/>
      <c r="E359" s="152"/>
      <c r="F359" s="151"/>
      <c r="G359" s="156"/>
      <c r="H359" s="134"/>
    </row>
    <row r="360" spans="1:8" x14ac:dyDescent="0.25">
      <c r="A360" s="141"/>
      <c r="B360" s="155"/>
      <c r="C360" s="151"/>
      <c r="D360" s="952"/>
      <c r="E360" s="152"/>
      <c r="F360" s="151"/>
      <c r="G360" s="156"/>
      <c r="H360" s="134"/>
    </row>
    <row r="361" spans="1:8" ht="15.75" thickBot="1" x14ac:dyDescent="0.3">
      <c r="A361" s="141"/>
      <c r="B361" s="155"/>
      <c r="C361" s="151"/>
      <c r="D361" s="952"/>
      <c r="E361" s="152"/>
      <c r="F361" s="151"/>
      <c r="G361" s="156"/>
      <c r="H361" s="134"/>
    </row>
    <row r="362" spans="1:8" ht="15.75" thickBot="1" x14ac:dyDescent="0.3">
      <c r="A362" s="141"/>
      <c r="B362" s="157"/>
      <c r="C362" s="158"/>
      <c r="D362" s="953"/>
      <c r="E362" s="159"/>
      <c r="F362" s="158"/>
      <c r="G362" s="160"/>
      <c r="H362" s="161">
        <f>+SUM(G356:G362)</f>
        <v>1708.010380952381</v>
      </c>
    </row>
    <row r="363" spans="1:8" ht="15.75" thickBot="1" x14ac:dyDescent="0.3">
      <c r="A363" s="141"/>
      <c r="B363" s="162"/>
      <c r="C363" s="163"/>
      <c r="D363" s="954"/>
      <c r="E363" s="162"/>
      <c r="F363" s="163"/>
      <c r="G363" s="164"/>
      <c r="H363" s="165"/>
    </row>
    <row r="364" spans="1:8" ht="15.75" thickBot="1" x14ac:dyDescent="0.3">
      <c r="A364" s="183"/>
      <c r="B364" s="1369" t="s">
        <v>5408</v>
      </c>
      <c r="C364" s="1363" t="s">
        <v>867</v>
      </c>
      <c r="D364" s="1120" t="s">
        <v>6</v>
      </c>
      <c r="E364" s="1363" t="s">
        <v>870</v>
      </c>
      <c r="F364" s="1363" t="s">
        <v>5409</v>
      </c>
      <c r="G364" s="1370" t="s">
        <v>868</v>
      </c>
      <c r="H364" s="1371"/>
    </row>
    <row r="365" spans="1:8" x14ac:dyDescent="0.25">
      <c r="A365" s="140"/>
      <c r="B365" s="201" t="s">
        <v>5698</v>
      </c>
      <c r="C365" s="147" t="s">
        <v>5464</v>
      </c>
      <c r="D365" s="211">
        <v>1</v>
      </c>
      <c r="E365" s="148">
        <f>+VLOOKUP(B365,Insumos!$A$2:$C$331,3,FALSE)</f>
        <v>2532.1500799999999</v>
      </c>
      <c r="F365" s="169">
        <v>0.3</v>
      </c>
      <c r="G365" s="367">
        <f>+D365*E365*(1+F365)</f>
        <v>3291.7951039999998</v>
      </c>
      <c r="H365" s="134"/>
    </row>
    <row r="366" spans="1:8" x14ac:dyDescent="0.25">
      <c r="A366" s="140"/>
      <c r="B366" s="196"/>
      <c r="C366" s="151"/>
      <c r="D366" s="212"/>
      <c r="E366" s="366"/>
      <c r="F366" s="169"/>
      <c r="G366" s="367"/>
      <c r="H366" s="134"/>
    </row>
    <row r="367" spans="1:8" x14ac:dyDescent="0.25">
      <c r="A367" s="140"/>
      <c r="B367" s="196"/>
      <c r="C367" s="151"/>
      <c r="D367" s="212"/>
      <c r="E367" s="366"/>
      <c r="F367" s="169"/>
      <c r="G367" s="367"/>
      <c r="H367" s="134"/>
    </row>
    <row r="368" spans="1:8" x14ac:dyDescent="0.25">
      <c r="A368" s="140"/>
      <c r="B368" s="155"/>
      <c r="C368" s="151"/>
      <c r="D368" s="212"/>
      <c r="E368" s="148"/>
      <c r="F368" s="151"/>
      <c r="G368" s="367"/>
      <c r="H368" s="134"/>
    </row>
    <row r="369" spans="1:8" x14ac:dyDescent="0.25">
      <c r="A369" s="140"/>
      <c r="B369" s="155"/>
      <c r="C369" s="151"/>
      <c r="D369" s="212"/>
      <c r="E369" s="148"/>
      <c r="F369" s="151"/>
      <c r="G369" s="367"/>
      <c r="H369" s="134"/>
    </row>
    <row r="370" spans="1:8" x14ac:dyDescent="0.25">
      <c r="A370" s="140"/>
      <c r="B370" s="155"/>
      <c r="C370" s="151"/>
      <c r="D370" s="212"/>
      <c r="E370" s="148"/>
      <c r="F370" s="151"/>
      <c r="G370" s="367"/>
      <c r="H370" s="134"/>
    </row>
    <row r="371" spans="1:8" x14ac:dyDescent="0.25">
      <c r="A371" s="140"/>
      <c r="B371" s="155"/>
      <c r="C371" s="151"/>
      <c r="D371" s="212"/>
      <c r="E371" s="148"/>
      <c r="F371" s="151"/>
      <c r="G371" s="367"/>
      <c r="H371" s="134"/>
    </row>
    <row r="372" spans="1:8" x14ac:dyDescent="0.25">
      <c r="A372" s="140"/>
      <c r="B372" s="155"/>
      <c r="C372" s="151"/>
      <c r="D372" s="212"/>
      <c r="E372" s="148"/>
      <c r="F372" s="151"/>
      <c r="G372" s="367"/>
      <c r="H372" s="134"/>
    </row>
    <row r="373" spans="1:8" x14ac:dyDescent="0.25">
      <c r="A373" s="140"/>
      <c r="B373" s="155"/>
      <c r="C373" s="151"/>
      <c r="D373" s="212"/>
      <c r="E373" s="148"/>
      <c r="F373" s="151"/>
      <c r="G373" s="367"/>
      <c r="H373" s="134"/>
    </row>
    <row r="374" spans="1:8" x14ac:dyDescent="0.25">
      <c r="A374" s="140"/>
      <c r="B374" s="155"/>
      <c r="C374" s="151"/>
      <c r="D374" s="212"/>
      <c r="E374" s="148"/>
      <c r="F374" s="151"/>
      <c r="G374" s="367"/>
      <c r="H374" s="134"/>
    </row>
    <row r="375" spans="1:8" x14ac:dyDescent="0.25">
      <c r="A375" s="140"/>
      <c r="B375" s="155"/>
      <c r="C375" s="152"/>
      <c r="D375" s="952"/>
      <c r="E375" s="152"/>
      <c r="F375" s="151"/>
      <c r="G375" s="156"/>
      <c r="H375" s="134"/>
    </row>
    <row r="376" spans="1:8" ht="15.75" thickBot="1" x14ac:dyDescent="0.3">
      <c r="A376" s="140"/>
      <c r="B376" s="155"/>
      <c r="C376" s="152"/>
      <c r="D376" s="952"/>
      <c r="E376" s="152"/>
      <c r="F376" s="151"/>
      <c r="G376" s="156"/>
      <c r="H376" s="134"/>
    </row>
    <row r="377" spans="1:8" ht="15.75" thickBot="1" x14ac:dyDescent="0.3">
      <c r="A377" s="140"/>
      <c r="B377" s="157"/>
      <c r="C377" s="159"/>
      <c r="D377" s="953"/>
      <c r="E377" s="159"/>
      <c r="F377" s="158"/>
      <c r="G377" s="160"/>
      <c r="H377" s="161">
        <f>+SUM(G365:G377)</f>
        <v>3291.7951039999998</v>
      </c>
    </row>
    <row r="378" spans="1:8" ht="15.75" thickBot="1" x14ac:dyDescent="0.3">
      <c r="A378" s="140"/>
      <c r="B378" s="162"/>
      <c r="C378" s="162"/>
      <c r="D378" s="954"/>
      <c r="E378" s="162"/>
      <c r="F378" s="163"/>
      <c r="G378" s="164"/>
      <c r="H378" s="165"/>
    </row>
    <row r="379" spans="1:8" ht="15.75" thickBot="1" x14ac:dyDescent="0.3">
      <c r="A379" s="183"/>
      <c r="B379" s="1369" t="s">
        <v>5410</v>
      </c>
      <c r="C379" s="1363" t="s">
        <v>867</v>
      </c>
      <c r="D379" s="1120" t="s">
        <v>6</v>
      </c>
      <c r="E379" s="1363" t="s">
        <v>870</v>
      </c>
      <c r="F379" s="1363" t="s">
        <v>5411</v>
      </c>
      <c r="G379" s="1370" t="s">
        <v>868</v>
      </c>
      <c r="H379" s="1371"/>
    </row>
    <row r="380" spans="1:8" x14ac:dyDescent="0.25">
      <c r="A380" s="140"/>
      <c r="B380" s="201"/>
      <c r="C380" s="147"/>
      <c r="D380" s="211"/>
      <c r="E380" s="366"/>
      <c r="F380" s="169"/>
      <c r="G380" s="367"/>
      <c r="H380" s="134"/>
    </row>
    <row r="381" spans="1:8" x14ac:dyDescent="0.25">
      <c r="A381" s="140"/>
      <c r="B381" s="196"/>
      <c r="C381" s="151"/>
      <c r="D381" s="212"/>
      <c r="E381" s="366"/>
      <c r="F381" s="147"/>
      <c r="G381" s="367"/>
      <c r="H381" s="134"/>
    </row>
    <row r="382" spans="1:8" x14ac:dyDescent="0.25">
      <c r="A382" s="140"/>
      <c r="B382" s="196"/>
      <c r="C382" s="151"/>
      <c r="D382" s="212"/>
      <c r="E382" s="148"/>
      <c r="F382" s="151"/>
      <c r="G382" s="367"/>
      <c r="H382" s="134"/>
    </row>
    <row r="383" spans="1:8" x14ac:dyDescent="0.25">
      <c r="A383" s="140"/>
      <c r="B383" s="155"/>
      <c r="C383" s="151"/>
      <c r="D383" s="212"/>
      <c r="E383" s="148"/>
      <c r="F383" s="151"/>
      <c r="G383" s="367"/>
      <c r="H383" s="134"/>
    </row>
    <row r="384" spans="1:8" x14ac:dyDescent="0.25">
      <c r="A384" s="140"/>
      <c r="B384" s="155"/>
      <c r="C384" s="151"/>
      <c r="D384" s="212"/>
      <c r="E384" s="148"/>
      <c r="F384" s="151"/>
      <c r="G384" s="367"/>
      <c r="H384" s="134"/>
    </row>
    <row r="385" spans="1:8" ht="15.75" thickBot="1" x14ac:dyDescent="0.3">
      <c r="A385" s="140"/>
      <c r="B385" s="155"/>
      <c r="C385" s="151"/>
      <c r="D385" s="212"/>
      <c r="E385" s="148"/>
      <c r="F385" s="151"/>
      <c r="G385" s="367"/>
      <c r="H385" s="134"/>
    </row>
    <row r="386" spans="1:8" ht="15.75" thickBot="1" x14ac:dyDescent="0.3">
      <c r="A386" s="140"/>
      <c r="B386" s="157"/>
      <c r="C386" s="159"/>
      <c r="D386" s="953"/>
      <c r="E386" s="159"/>
      <c r="F386" s="158"/>
      <c r="G386" s="160"/>
      <c r="H386" s="161">
        <f>+SUM(G380:G386)</f>
        <v>0</v>
      </c>
    </row>
    <row r="387" spans="1:8" ht="15.75" thickBot="1" x14ac:dyDescent="0.3">
      <c r="A387" s="140"/>
      <c r="B387" s="162"/>
      <c r="C387" s="162"/>
      <c r="D387" s="954"/>
      <c r="E387" s="162"/>
      <c r="F387" s="173"/>
      <c r="G387" s="174"/>
      <c r="H387" s="165"/>
    </row>
    <row r="388" spans="1:8" ht="15.75" thickBot="1" x14ac:dyDescent="0.3">
      <c r="A388" s="183"/>
      <c r="B388" s="1369" t="s">
        <v>5412</v>
      </c>
      <c r="C388" s="1363" t="s">
        <v>5420</v>
      </c>
      <c r="D388" s="1120" t="s">
        <v>5421</v>
      </c>
      <c r="E388" s="1363" t="s">
        <v>5413</v>
      </c>
      <c r="F388" s="1363" t="s">
        <v>5405</v>
      </c>
      <c r="G388" s="1370" t="s">
        <v>868</v>
      </c>
      <c r="H388" s="1371"/>
    </row>
    <row r="389" spans="1:8" x14ac:dyDescent="0.25">
      <c r="A389" s="140"/>
      <c r="B389" s="194" t="s">
        <v>5650</v>
      </c>
      <c r="C389" s="345">
        <f>+VLOOKUP($B389,'Mano de obra'!$A$5:$D$26,2,FALSE)</f>
        <v>57454</v>
      </c>
      <c r="D389" s="345">
        <f>+VLOOKUP($B389,'Mano de obra'!$A$5:$D$26,3,FALSE)</f>
        <v>35656</v>
      </c>
      <c r="E389" s="345">
        <f>+VLOOKUP($B389,'Mano de obra'!$A$5:$D$26,4,FALSE)</f>
        <v>93110</v>
      </c>
      <c r="F389" s="202">
        <v>300</v>
      </c>
      <c r="G389" s="351">
        <f>+E389/F389</f>
        <v>310.36666666666667</v>
      </c>
      <c r="H389" s="134"/>
    </row>
    <row r="390" spans="1:8" x14ac:dyDescent="0.25">
      <c r="A390" s="140"/>
      <c r="B390" s="194" t="s">
        <v>5949</v>
      </c>
      <c r="C390" s="345">
        <f>+VLOOKUP($B390,'Mano de obra'!$A$5:$D$26,2,FALSE)</f>
        <v>44263.8</v>
      </c>
      <c r="D390" s="345">
        <f>+VLOOKUP($B390,'Mano de obra'!$A$5:$D$26,3,FALSE)</f>
        <v>27470</v>
      </c>
      <c r="E390" s="345">
        <f>+VLOOKUP($B390,'Mano de obra'!$A$5:$D$26,4,FALSE)</f>
        <v>71733.8</v>
      </c>
      <c r="F390" s="204">
        <v>35</v>
      </c>
      <c r="G390" s="351">
        <f>+E390/F390</f>
        <v>2049.537142857143</v>
      </c>
      <c r="H390" s="134"/>
    </row>
    <row r="391" spans="1:8" x14ac:dyDescent="0.25">
      <c r="A391" s="140"/>
      <c r="B391" s="195" t="s">
        <v>5635</v>
      </c>
      <c r="C391" s="345">
        <f>+VLOOKUP($B391,'Mano de obra'!$A$5:$D$26,2,FALSE)</f>
        <v>24591</v>
      </c>
      <c r="D391" s="345">
        <f>+VLOOKUP($B391,'Mano de obra'!$A$5:$D$26,3,FALSE)</f>
        <v>15261</v>
      </c>
      <c r="E391" s="345">
        <f>+VLOOKUP($B391,'Mano de obra'!$A$5:$D$26,4,FALSE)</f>
        <v>39852</v>
      </c>
      <c r="F391" s="205">
        <v>15</v>
      </c>
      <c r="G391" s="351">
        <f>+E391/F391</f>
        <v>2656.8</v>
      </c>
      <c r="H391" s="134"/>
    </row>
    <row r="392" spans="1:8" x14ac:dyDescent="0.25">
      <c r="A392" s="140"/>
      <c r="B392" s="155"/>
      <c r="C392" s="345"/>
      <c r="D392" s="952"/>
      <c r="E392" s="152"/>
      <c r="F392" s="151"/>
      <c r="G392" s="156"/>
      <c r="H392" s="134"/>
    </row>
    <row r="393" spans="1:8" x14ac:dyDescent="0.25">
      <c r="A393" s="140"/>
      <c r="B393" s="155"/>
      <c r="C393" s="152"/>
      <c r="D393" s="952"/>
      <c r="E393" s="152"/>
      <c r="F393" s="151"/>
      <c r="G393" s="156"/>
      <c r="H393" s="134"/>
    </row>
    <row r="394" spans="1:8" ht="15.75" thickBot="1" x14ac:dyDescent="0.3">
      <c r="A394" s="140"/>
      <c r="B394" s="155"/>
      <c r="C394" s="152"/>
      <c r="D394" s="952"/>
      <c r="E394" s="152"/>
      <c r="F394" s="151"/>
      <c r="G394" s="156"/>
      <c r="H394" s="134"/>
    </row>
    <row r="395" spans="1:8" ht="15.75" thickBot="1" x14ac:dyDescent="0.3">
      <c r="A395" s="140"/>
      <c r="B395" s="179"/>
      <c r="C395" s="180"/>
      <c r="D395" s="956"/>
      <c r="E395" s="180"/>
      <c r="F395" s="181"/>
      <c r="G395" s="182"/>
      <c r="H395" s="161">
        <f>+SUM(G389:G395)</f>
        <v>5016.7038095238095</v>
      </c>
    </row>
    <row r="396" spans="1:8" ht="15.75" thickBot="1" x14ac:dyDescent="0.3">
      <c r="A396" s="140"/>
      <c r="B396" s="140"/>
      <c r="C396" s="140"/>
      <c r="D396" s="529"/>
      <c r="E396" s="140"/>
      <c r="F396" s="141"/>
      <c r="G396" s="134"/>
      <c r="H396" s="134"/>
    </row>
    <row r="397" spans="1:8" ht="15.75" thickBot="1" x14ac:dyDescent="0.3">
      <c r="A397" s="133" t="s">
        <v>6744</v>
      </c>
      <c r="B397" s="140"/>
      <c r="C397" s="140"/>
      <c r="D397" s="529"/>
      <c r="E397" s="183" t="s">
        <v>5415</v>
      </c>
      <c r="F397" s="141"/>
      <c r="G397" s="134"/>
      <c r="H397" s="161">
        <f>ROUND(+H362+H377+H386+H395,0)</f>
        <v>10017</v>
      </c>
    </row>
    <row r="398" spans="1:8" x14ac:dyDescent="0.25">
      <c r="A398" s="1058"/>
      <c r="B398" s="1058"/>
      <c r="C398" s="1058"/>
      <c r="D398" s="957"/>
      <c r="E398" s="1058"/>
      <c r="F398" s="1058"/>
      <c r="G398" s="1058"/>
      <c r="H398" s="1058"/>
    </row>
    <row r="399" spans="1:8" x14ac:dyDescent="0.25">
      <c r="A399" s="1058"/>
      <c r="B399" s="1058"/>
      <c r="C399" s="1058"/>
      <c r="D399" s="957"/>
      <c r="E399" s="1058"/>
      <c r="F399" s="1058"/>
      <c r="G399" s="1058"/>
      <c r="H399" s="1058"/>
    </row>
    <row r="400" spans="1:8" x14ac:dyDescent="0.25">
      <c r="A400" s="1058"/>
      <c r="B400" s="1058"/>
      <c r="C400" s="1058"/>
      <c r="D400" s="957"/>
      <c r="E400" s="1058"/>
      <c r="F400" s="1058"/>
      <c r="G400" s="1058"/>
      <c r="H400" s="1058"/>
    </row>
    <row r="401" spans="1:8" x14ac:dyDescent="0.25">
      <c r="A401" s="1424" t="s">
        <v>3</v>
      </c>
      <c r="B401" s="1390" t="str">
        <f>+VLOOKUP(C401,ListaAPUs!$B:$E,4,FALSE)</f>
        <v>2.2.3</v>
      </c>
      <c r="C401" s="2450" t="str">
        <f>+ListaAPUs!B21</f>
        <v>B-200 RECEBO SELECCIONADO</v>
      </c>
      <c r="D401" s="2450"/>
      <c r="E401" s="2450"/>
      <c r="F401" s="1424" t="s">
        <v>867</v>
      </c>
      <c r="G401" s="139" t="s">
        <v>5454</v>
      </c>
      <c r="H401" s="134"/>
    </row>
    <row r="402" spans="1:8" x14ac:dyDescent="0.25">
      <c r="A402" s="141"/>
      <c r="B402" s="140"/>
      <c r="C402" s="140"/>
      <c r="D402" s="529"/>
      <c r="E402" s="140"/>
      <c r="F402" s="141"/>
      <c r="G402" s="134"/>
      <c r="H402" s="134"/>
    </row>
    <row r="403" spans="1:8" x14ac:dyDescent="0.25">
      <c r="A403" s="141"/>
      <c r="B403" s="140"/>
      <c r="C403" s="140"/>
      <c r="D403" s="529"/>
      <c r="E403" s="140"/>
      <c r="F403" s="141"/>
      <c r="G403" s="142"/>
      <c r="H403" s="134"/>
    </row>
    <row r="404" spans="1:8" ht="15.75" thickBot="1" x14ac:dyDescent="0.3">
      <c r="A404" s="141"/>
      <c r="B404" s="140"/>
      <c r="C404" s="140"/>
      <c r="D404" s="529"/>
      <c r="E404" s="140"/>
      <c r="F404" s="141"/>
      <c r="G404" s="134"/>
      <c r="H404" s="134"/>
    </row>
    <row r="405" spans="1:8" ht="15.75" thickBot="1" x14ac:dyDescent="0.3">
      <c r="A405" s="1368"/>
      <c r="B405" s="1369" t="s">
        <v>5403</v>
      </c>
      <c r="C405" s="1363" t="s">
        <v>867</v>
      </c>
      <c r="D405" s="1120" t="s">
        <v>6</v>
      </c>
      <c r="E405" s="1363" t="s">
        <v>5404</v>
      </c>
      <c r="F405" s="1363" t="s">
        <v>5405</v>
      </c>
      <c r="G405" s="1370" t="s">
        <v>868</v>
      </c>
      <c r="H405" s="1371"/>
    </row>
    <row r="406" spans="1:8" x14ac:dyDescent="0.25">
      <c r="A406" s="141"/>
      <c r="B406" s="146" t="s">
        <v>5440</v>
      </c>
      <c r="C406" s="147" t="s">
        <v>5406</v>
      </c>
      <c r="D406" s="211"/>
      <c r="E406" s="148">
        <f>+H445</f>
        <v>10344.146666666667</v>
      </c>
      <c r="F406" s="167">
        <v>0.1</v>
      </c>
      <c r="G406" s="360">
        <f>+E406*F406</f>
        <v>1034.4146666666668</v>
      </c>
      <c r="H406" s="134"/>
    </row>
    <row r="407" spans="1:8" x14ac:dyDescent="0.25">
      <c r="A407" s="141"/>
      <c r="B407" s="150" t="s">
        <v>8008</v>
      </c>
      <c r="C407" s="151" t="s">
        <v>5407</v>
      </c>
      <c r="D407" s="212"/>
      <c r="E407" s="148">
        <f>+VLOOKUP(B407,Insumos!$A$2:$C$331,3,FALSE)</f>
        <v>10126.799999999999</v>
      </c>
      <c r="F407" s="205">
        <v>20</v>
      </c>
      <c r="G407" s="360">
        <f>+E407/F407</f>
        <v>506.34</v>
      </c>
      <c r="H407" s="134"/>
    </row>
    <row r="408" spans="1:8" x14ac:dyDescent="0.25">
      <c r="A408" s="141"/>
      <c r="B408" s="150" t="s">
        <v>5736</v>
      </c>
      <c r="C408" s="151" t="s">
        <v>5481</v>
      </c>
      <c r="D408" s="212">
        <v>1</v>
      </c>
      <c r="E408" s="148">
        <f>+VLOOKUP(B408,Insumos!$A$2:$C$331,3,FALSE)</f>
        <v>42000</v>
      </c>
      <c r="F408" s="205">
        <v>40</v>
      </c>
      <c r="G408" s="360">
        <f>+E408/F408</f>
        <v>1050</v>
      </c>
      <c r="H408" s="134"/>
    </row>
    <row r="409" spans="1:8" x14ac:dyDescent="0.25">
      <c r="A409" s="141"/>
      <c r="B409" s="155"/>
      <c r="C409" s="151"/>
      <c r="D409" s="952"/>
      <c r="E409" s="152"/>
      <c r="F409" s="151"/>
      <c r="G409" s="156"/>
      <c r="H409" s="134"/>
    </row>
    <row r="410" spans="1:8" x14ac:dyDescent="0.25">
      <c r="A410" s="141"/>
      <c r="B410" s="155"/>
      <c r="C410" s="151"/>
      <c r="D410" s="952"/>
      <c r="E410" s="152"/>
      <c r="F410" s="151"/>
      <c r="G410" s="156"/>
      <c r="H410" s="134"/>
    </row>
    <row r="411" spans="1:8" ht="15.75" thickBot="1" x14ac:dyDescent="0.3">
      <c r="A411" s="141"/>
      <c r="B411" s="155"/>
      <c r="C411" s="151"/>
      <c r="D411" s="952"/>
      <c r="E411" s="152"/>
      <c r="F411" s="151"/>
      <c r="G411" s="156"/>
      <c r="H411" s="134"/>
    </row>
    <row r="412" spans="1:8" ht="15.75" thickBot="1" x14ac:dyDescent="0.3">
      <c r="A412" s="141"/>
      <c r="B412" s="157"/>
      <c r="C412" s="158"/>
      <c r="D412" s="953"/>
      <c r="E412" s="159"/>
      <c r="F412" s="158"/>
      <c r="G412" s="160"/>
      <c r="H412" s="161">
        <f>+SUM(G406:G412)</f>
        <v>2590.7546666666667</v>
      </c>
    </row>
    <row r="413" spans="1:8" ht="15.75" thickBot="1" x14ac:dyDescent="0.3">
      <c r="A413" s="141"/>
      <c r="B413" s="162"/>
      <c r="C413" s="163"/>
      <c r="D413" s="954"/>
      <c r="E413" s="162"/>
      <c r="F413" s="163"/>
      <c r="G413" s="164"/>
      <c r="H413" s="165"/>
    </row>
    <row r="414" spans="1:8" ht="15.75" thickBot="1" x14ac:dyDescent="0.3">
      <c r="A414" s="183"/>
      <c r="B414" s="1369" t="s">
        <v>5408</v>
      </c>
      <c r="C414" s="1363" t="s">
        <v>867</v>
      </c>
      <c r="D414" s="1120" t="s">
        <v>6</v>
      </c>
      <c r="E414" s="1363" t="s">
        <v>870</v>
      </c>
      <c r="F414" s="1363" t="s">
        <v>5409</v>
      </c>
      <c r="G414" s="1370" t="s">
        <v>868</v>
      </c>
      <c r="H414" s="1371"/>
    </row>
    <row r="415" spans="1:8" x14ac:dyDescent="0.25">
      <c r="A415" s="140"/>
      <c r="B415" s="302" t="s">
        <v>8990</v>
      </c>
      <c r="C415" s="147" t="s">
        <v>5464</v>
      </c>
      <c r="D415" s="211">
        <v>1</v>
      </c>
      <c r="E415" s="148">
        <f>+VLOOKUP(B415,Insumos!$A$2:$C$331,3,FALSE)</f>
        <v>30198.3</v>
      </c>
      <c r="F415" s="169">
        <v>0.3</v>
      </c>
      <c r="G415" s="367">
        <f>+D415*E415*(1+F415)</f>
        <v>39257.79</v>
      </c>
      <c r="H415" s="134"/>
    </row>
    <row r="416" spans="1:8" x14ac:dyDescent="0.25">
      <c r="A416" s="140"/>
      <c r="B416" s="196" t="s">
        <v>6855</v>
      </c>
      <c r="C416" s="151" t="s">
        <v>5488</v>
      </c>
      <c r="D416" s="212">
        <v>1.35</v>
      </c>
      <c r="E416" s="1535">
        <f>+VLOOKUP(B416,Insumos!$A$2:$C$331,3,FALSE)</f>
        <v>30</v>
      </c>
      <c r="F416" s="169">
        <v>0</v>
      </c>
      <c r="G416" s="1572">
        <f>+D416*E416*(1+F416)</f>
        <v>40.5</v>
      </c>
      <c r="H416" s="134"/>
    </row>
    <row r="417" spans="1:8" x14ac:dyDescent="0.25">
      <c r="A417" s="140"/>
      <c r="B417" s="196"/>
      <c r="C417" s="151"/>
      <c r="D417" s="212"/>
      <c r="E417" s="366"/>
      <c r="F417" s="169"/>
      <c r="G417" s="367"/>
      <c r="H417" s="134"/>
    </row>
    <row r="418" spans="1:8" x14ac:dyDescent="0.25">
      <c r="A418" s="140"/>
      <c r="B418" s="155" t="s">
        <v>9030</v>
      </c>
      <c r="C418" s="151"/>
      <c r="D418" s="212"/>
      <c r="E418" s="148"/>
      <c r="F418" s="151"/>
      <c r="G418" s="367"/>
      <c r="H418" s="134"/>
    </row>
    <row r="419" spans="1:8" x14ac:dyDescent="0.25">
      <c r="A419" s="140"/>
      <c r="B419" s="155"/>
      <c r="C419" s="151"/>
      <c r="D419" s="212"/>
      <c r="E419" s="148"/>
      <c r="F419" s="151"/>
      <c r="G419" s="367"/>
      <c r="H419" s="134"/>
    </row>
    <row r="420" spans="1:8" x14ac:dyDescent="0.25">
      <c r="A420" s="140"/>
      <c r="B420" s="155"/>
      <c r="C420" s="151"/>
      <c r="D420" s="212"/>
      <c r="E420" s="148"/>
      <c r="F420" s="151"/>
      <c r="G420" s="367"/>
      <c r="H420" s="134"/>
    </row>
    <row r="421" spans="1:8" x14ac:dyDescent="0.25">
      <c r="A421" s="140"/>
      <c r="B421" s="155"/>
      <c r="C421" s="151"/>
      <c r="D421" s="212"/>
      <c r="E421" s="148"/>
      <c r="F421" s="151"/>
      <c r="G421" s="367"/>
      <c r="H421" s="134"/>
    </row>
    <row r="422" spans="1:8" x14ac:dyDescent="0.25">
      <c r="A422" s="140"/>
      <c r="B422" s="155"/>
      <c r="C422" s="151"/>
      <c r="D422" s="212"/>
      <c r="E422" s="148"/>
      <c r="F422" s="151"/>
      <c r="G422" s="367"/>
      <c r="H422" s="134"/>
    </row>
    <row r="423" spans="1:8" x14ac:dyDescent="0.25">
      <c r="A423" s="140"/>
      <c r="B423" s="155"/>
      <c r="C423" s="151"/>
      <c r="D423" s="212"/>
      <c r="E423" s="148"/>
      <c r="F423" s="151"/>
      <c r="G423" s="367"/>
      <c r="H423" s="134"/>
    </row>
    <row r="424" spans="1:8" x14ac:dyDescent="0.25">
      <c r="A424" s="140"/>
      <c r="B424" s="155"/>
      <c r="C424" s="151"/>
      <c r="D424" s="212"/>
      <c r="E424" s="148"/>
      <c r="F424" s="151"/>
      <c r="G424" s="367"/>
      <c r="H424" s="134"/>
    </row>
    <row r="425" spans="1:8" x14ac:dyDescent="0.25">
      <c r="A425" s="140"/>
      <c r="B425" s="155"/>
      <c r="C425" s="152"/>
      <c r="D425" s="952"/>
      <c r="E425" s="152"/>
      <c r="F425" s="151"/>
      <c r="G425" s="156"/>
      <c r="H425" s="134"/>
    </row>
    <row r="426" spans="1:8" ht="15.75" thickBot="1" x14ac:dyDescent="0.3">
      <c r="A426" s="140"/>
      <c r="B426" s="155"/>
      <c r="C426" s="152"/>
      <c r="D426" s="952"/>
      <c r="E426" s="152"/>
      <c r="F426" s="151"/>
      <c r="G426" s="156"/>
      <c r="H426" s="134"/>
    </row>
    <row r="427" spans="1:8" ht="15.75" thickBot="1" x14ac:dyDescent="0.3">
      <c r="A427" s="140"/>
      <c r="B427" s="157"/>
      <c r="C427" s="159"/>
      <c r="D427" s="953"/>
      <c r="E427" s="159"/>
      <c r="F427" s="158"/>
      <c r="G427" s="160"/>
      <c r="H427" s="161">
        <f>+SUM(G415:G427)</f>
        <v>39298.29</v>
      </c>
    </row>
    <row r="428" spans="1:8" ht="15.75" thickBot="1" x14ac:dyDescent="0.3">
      <c r="A428" s="140"/>
      <c r="B428" s="162"/>
      <c r="C428" s="162"/>
      <c r="D428" s="954"/>
      <c r="E428" s="162"/>
      <c r="F428" s="163"/>
      <c r="G428" s="164"/>
      <c r="H428" s="165"/>
    </row>
    <row r="429" spans="1:8" ht="15.75" thickBot="1" x14ac:dyDescent="0.3">
      <c r="A429" s="183"/>
      <c r="B429" s="1369" t="s">
        <v>5410</v>
      </c>
      <c r="C429" s="1363" t="s">
        <v>867</v>
      </c>
      <c r="D429" s="1120" t="s">
        <v>6</v>
      </c>
      <c r="E429" s="1363" t="s">
        <v>870</v>
      </c>
      <c r="F429" s="1363" t="s">
        <v>5411</v>
      </c>
      <c r="G429" s="1370" t="s">
        <v>868</v>
      </c>
      <c r="H429" s="1371"/>
    </row>
    <row r="430" spans="1:8" x14ac:dyDescent="0.25">
      <c r="A430" s="140"/>
      <c r="B430" s="201"/>
      <c r="C430" s="147"/>
      <c r="D430" s="211"/>
      <c r="E430" s="366"/>
      <c r="F430" s="167"/>
      <c r="G430" s="367"/>
      <c r="H430" s="134"/>
    </row>
    <row r="431" spans="1:8" x14ac:dyDescent="0.25">
      <c r="A431" s="140"/>
      <c r="B431" s="196"/>
      <c r="C431" s="151"/>
      <c r="D431" s="212"/>
      <c r="E431" s="366"/>
      <c r="F431" s="147"/>
      <c r="G431" s="367"/>
      <c r="H431" s="134"/>
    </row>
    <row r="432" spans="1:8" x14ac:dyDescent="0.25">
      <c r="A432" s="140"/>
      <c r="B432" s="196"/>
      <c r="C432" s="151"/>
      <c r="D432" s="212"/>
      <c r="E432" s="148"/>
      <c r="F432" s="151"/>
      <c r="G432" s="367"/>
      <c r="H432" s="134"/>
    </row>
    <row r="433" spans="1:8" x14ac:dyDescent="0.25">
      <c r="A433" s="140"/>
      <c r="B433" s="155"/>
      <c r="C433" s="151"/>
      <c r="D433" s="212"/>
      <c r="E433" s="148"/>
      <c r="F433" s="151"/>
      <c r="G433" s="367"/>
      <c r="H433" s="134"/>
    </row>
    <row r="434" spans="1:8" x14ac:dyDescent="0.25">
      <c r="A434" s="140"/>
      <c r="B434" s="155"/>
      <c r="C434" s="151"/>
      <c r="D434" s="212"/>
      <c r="E434" s="148"/>
      <c r="F434" s="151"/>
      <c r="G434" s="367"/>
      <c r="H434" s="134"/>
    </row>
    <row r="435" spans="1:8" ht="15.75" thickBot="1" x14ac:dyDescent="0.3">
      <c r="A435" s="140"/>
      <c r="B435" s="155"/>
      <c r="C435" s="151"/>
      <c r="D435" s="212"/>
      <c r="E435" s="148"/>
      <c r="F435" s="151"/>
      <c r="G435" s="367"/>
      <c r="H435" s="134"/>
    </row>
    <row r="436" spans="1:8" ht="15.75" thickBot="1" x14ac:dyDescent="0.3">
      <c r="A436" s="140"/>
      <c r="B436" s="157"/>
      <c r="C436" s="159"/>
      <c r="D436" s="953"/>
      <c r="E436" s="159"/>
      <c r="F436" s="158"/>
      <c r="G436" s="160"/>
      <c r="H436" s="161">
        <f>+SUM(G430:G436)</f>
        <v>0</v>
      </c>
    </row>
    <row r="437" spans="1:8" ht="15.75" thickBot="1" x14ac:dyDescent="0.3">
      <c r="A437" s="140"/>
      <c r="B437" s="162"/>
      <c r="C437" s="162"/>
      <c r="D437" s="954"/>
      <c r="E437" s="162"/>
      <c r="F437" s="173"/>
      <c r="G437" s="174"/>
      <c r="H437" s="165"/>
    </row>
    <row r="438" spans="1:8" ht="15.75" thickBot="1" x14ac:dyDescent="0.3">
      <c r="A438" s="183"/>
      <c r="B438" s="1369" t="s">
        <v>5412</v>
      </c>
      <c r="C438" s="1363" t="s">
        <v>5420</v>
      </c>
      <c r="D438" s="1120" t="s">
        <v>5421</v>
      </c>
      <c r="E438" s="1363" t="s">
        <v>5413</v>
      </c>
      <c r="F438" s="1363" t="s">
        <v>5405</v>
      </c>
      <c r="G438" s="1370" t="s">
        <v>868</v>
      </c>
      <c r="H438" s="1371"/>
    </row>
    <row r="439" spans="1:8" x14ac:dyDescent="0.25">
      <c r="A439" s="140"/>
      <c r="B439" s="194" t="s">
        <v>5650</v>
      </c>
      <c r="C439" s="345">
        <f>+VLOOKUP($B439,'Mano de obra'!$A$5:$D$26,2,FALSE)</f>
        <v>57454</v>
      </c>
      <c r="D439" s="345">
        <f>+VLOOKUP($B439,'Mano de obra'!$A$5:$D$26,3,FALSE)</f>
        <v>35656</v>
      </c>
      <c r="E439" s="345">
        <f>+VLOOKUP($B439,'Mano de obra'!$A$5:$D$26,4,FALSE)</f>
        <v>93110</v>
      </c>
      <c r="F439" s="202">
        <f>250*1.5</f>
        <v>375</v>
      </c>
      <c r="G439" s="351">
        <f>+E439/F439</f>
        <v>248.29333333333332</v>
      </c>
      <c r="H439" s="134"/>
    </row>
    <row r="440" spans="1:8" x14ac:dyDescent="0.25">
      <c r="A440" s="140"/>
      <c r="B440" s="194" t="s">
        <v>5949</v>
      </c>
      <c r="C440" s="345">
        <f>+VLOOKUP($B440,'Mano de obra'!$A$5:$D$26,2,FALSE)</f>
        <v>44263.8</v>
      </c>
      <c r="D440" s="345">
        <f>+VLOOKUP($B440,'Mano de obra'!$A$5:$D$26,3,FALSE)</f>
        <v>27470</v>
      </c>
      <c r="E440" s="345">
        <f>+VLOOKUP($B440,'Mano de obra'!$A$5:$D$26,4,FALSE)</f>
        <v>71733.8</v>
      </c>
      <c r="F440" s="204">
        <f>10*1.5</f>
        <v>15</v>
      </c>
      <c r="G440" s="351">
        <f>+E440/F440</f>
        <v>4782.2533333333331</v>
      </c>
      <c r="H440" s="134"/>
    </row>
    <row r="441" spans="1:8" x14ac:dyDescent="0.25">
      <c r="A441" s="140"/>
      <c r="B441" s="195" t="s">
        <v>5635</v>
      </c>
      <c r="C441" s="345">
        <f>+VLOOKUP($B441,'Mano de obra'!$A$5:$D$26,2,FALSE)</f>
        <v>24591</v>
      </c>
      <c r="D441" s="345">
        <f>+VLOOKUP($B441,'Mano de obra'!$A$5:$D$26,3,FALSE)</f>
        <v>15261</v>
      </c>
      <c r="E441" s="345">
        <f>+VLOOKUP($B441,'Mano de obra'!$A$5:$D$26,4,FALSE)</f>
        <v>39852</v>
      </c>
      <c r="F441" s="205">
        <f>5*1.5</f>
        <v>7.5</v>
      </c>
      <c r="G441" s="351">
        <f>+E441/F441</f>
        <v>5313.6</v>
      </c>
      <c r="H441" s="134"/>
    </row>
    <row r="442" spans="1:8" x14ac:dyDescent="0.25">
      <c r="A442" s="140"/>
      <c r="B442" s="155"/>
      <c r="C442" s="345"/>
      <c r="D442" s="952"/>
      <c r="E442" s="152"/>
      <c r="F442" s="151"/>
      <c r="G442" s="156"/>
      <c r="H442" s="134"/>
    </row>
    <row r="443" spans="1:8" x14ac:dyDescent="0.25">
      <c r="A443" s="140"/>
      <c r="B443" s="155"/>
      <c r="C443" s="152"/>
      <c r="D443" s="952"/>
      <c r="E443" s="152"/>
      <c r="F443" s="151"/>
      <c r="G443" s="156"/>
      <c r="H443" s="134"/>
    </row>
    <row r="444" spans="1:8" ht="15.75" thickBot="1" x14ac:dyDescent="0.3">
      <c r="A444" s="140"/>
      <c r="B444" s="155"/>
      <c r="C444" s="152"/>
      <c r="D444" s="952"/>
      <c r="E444" s="152"/>
      <c r="F444" s="151"/>
      <c r="G444" s="156"/>
      <c r="H444" s="134"/>
    </row>
    <row r="445" spans="1:8" ht="15.75" thickBot="1" x14ac:dyDescent="0.3">
      <c r="A445" s="140"/>
      <c r="B445" s="179"/>
      <c r="C445" s="180"/>
      <c r="D445" s="956"/>
      <c r="E445" s="180"/>
      <c r="F445" s="181"/>
      <c r="G445" s="182"/>
      <c r="H445" s="161">
        <f>+SUM(G439:G445)</f>
        <v>10344.146666666667</v>
      </c>
    </row>
    <row r="446" spans="1:8" ht="15.75" thickBot="1" x14ac:dyDescent="0.3">
      <c r="A446" s="140"/>
      <c r="B446" s="140"/>
      <c r="C446" s="140"/>
      <c r="D446" s="529"/>
      <c r="E446" s="140"/>
      <c r="F446" s="141"/>
      <c r="G446" s="134"/>
      <c r="H446" s="134"/>
    </row>
    <row r="447" spans="1:8" ht="15.75" thickBot="1" x14ac:dyDescent="0.3">
      <c r="A447" s="133" t="s">
        <v>6744</v>
      </c>
      <c r="B447" s="140"/>
      <c r="C447" s="140"/>
      <c r="D447" s="529"/>
      <c r="E447" s="183" t="s">
        <v>5415</v>
      </c>
      <c r="F447" s="141"/>
      <c r="G447" s="134"/>
      <c r="H447" s="161">
        <f>ROUND(+H412+H427+H436+H445,0)</f>
        <v>52233</v>
      </c>
    </row>
    <row r="448" spans="1:8" x14ac:dyDescent="0.25">
      <c r="A448" s="1058"/>
      <c r="B448" s="1058"/>
      <c r="C448" s="1058"/>
      <c r="D448" s="957"/>
      <c r="E448" s="1058"/>
      <c r="F448" s="1058"/>
      <c r="G448" s="1058"/>
      <c r="H448" s="1058"/>
    </row>
    <row r="449" spans="1:9" x14ac:dyDescent="0.25">
      <c r="A449" s="1058"/>
      <c r="B449" s="1058"/>
      <c r="C449" s="1058"/>
      <c r="D449" s="957"/>
      <c r="E449" s="1058"/>
      <c r="F449" s="1058"/>
      <c r="G449" s="1058"/>
      <c r="H449" s="1058"/>
    </row>
    <row r="450" spans="1:9" x14ac:dyDescent="0.25">
      <c r="A450" s="1058"/>
      <c r="B450" s="1058"/>
      <c r="C450" s="1058"/>
      <c r="D450" s="957"/>
      <c r="E450" s="1058"/>
      <c r="F450" s="1058"/>
      <c r="G450" s="1058"/>
      <c r="H450" s="1058"/>
    </row>
    <row r="451" spans="1:9" x14ac:dyDescent="0.25">
      <c r="A451" s="673" t="s">
        <v>5482</v>
      </c>
      <c r="B451" s="1390" t="str">
        <f>+VLOOKUP(C451,ListaAPUs!$B:$E,4,FALSE)</f>
        <v>2.3.1</v>
      </c>
      <c r="C451" s="2450" t="str">
        <f>+ListaAPUs!B25</f>
        <v>Cargue, transporte y descargue de tubería</v>
      </c>
      <c r="D451" s="2450"/>
      <c r="E451" s="2450"/>
      <c r="F451" s="673" t="s">
        <v>867</v>
      </c>
      <c r="G451" s="342" t="s">
        <v>7941</v>
      </c>
      <c r="H451" s="341"/>
    </row>
    <row r="452" spans="1:9" x14ac:dyDescent="0.25">
      <c r="A452" s="133"/>
      <c r="B452" s="8"/>
      <c r="C452" s="223"/>
      <c r="D452" s="958"/>
      <c r="E452" s="223"/>
      <c r="F452" s="133"/>
      <c r="G452" s="341"/>
      <c r="H452" s="341"/>
    </row>
    <row r="453" spans="1:9" x14ac:dyDescent="0.25">
      <c r="A453" s="133"/>
      <c r="B453" s="8"/>
      <c r="C453" s="8"/>
      <c r="D453" s="529"/>
      <c r="E453" s="8"/>
      <c r="F453" s="8"/>
      <c r="G453" s="8"/>
      <c r="H453" s="341"/>
    </row>
    <row r="454" spans="1:9" ht="15.75" thickBot="1" x14ac:dyDescent="0.3">
      <c r="A454" s="133"/>
      <c r="B454" s="8"/>
      <c r="C454" s="8"/>
      <c r="D454" s="529"/>
      <c r="E454" s="8"/>
      <c r="F454" s="133"/>
      <c r="G454" s="341"/>
      <c r="H454" s="341"/>
    </row>
    <row r="455" spans="1:9" ht="15.75" thickBot="1" x14ac:dyDescent="0.3">
      <c r="A455" s="1384"/>
      <c r="B455" s="1114" t="s">
        <v>5403</v>
      </c>
      <c r="C455" s="1117" t="s">
        <v>867</v>
      </c>
      <c r="D455" s="1120" t="s">
        <v>6</v>
      </c>
      <c r="E455" s="1117" t="s">
        <v>5439</v>
      </c>
      <c r="F455" s="1117" t="s">
        <v>5405</v>
      </c>
      <c r="G455" s="1385" t="s">
        <v>868</v>
      </c>
      <c r="H455" s="1386"/>
    </row>
    <row r="456" spans="1:9" x14ac:dyDescent="0.25">
      <c r="A456" s="133"/>
      <c r="B456" s="295" t="s">
        <v>8009</v>
      </c>
      <c r="C456" s="226" t="s">
        <v>5402</v>
      </c>
      <c r="D456" s="212">
        <v>1</v>
      </c>
      <c r="E456" s="148">
        <f>+VLOOKUP(B456,Insumos!$A$2:$C$331,3,FALSE)</f>
        <v>189911.25599999999</v>
      </c>
      <c r="F456" s="864">
        <v>150000</v>
      </c>
      <c r="G456" s="862">
        <f>+E456/F456</f>
        <v>1.26607504</v>
      </c>
      <c r="H456" s="341"/>
    </row>
    <row r="457" spans="1:9" x14ac:dyDescent="0.25">
      <c r="A457" s="133"/>
      <c r="B457" s="195" t="s">
        <v>5696</v>
      </c>
      <c r="C457" s="226" t="s">
        <v>7203</v>
      </c>
      <c r="D457" s="212">
        <v>1</v>
      </c>
      <c r="E457" s="148">
        <f>+VLOOKUP(B457,Insumos!$A$2:$C$331,3,FALSE)</f>
        <v>202536</v>
      </c>
      <c r="F457" s="207">
        <v>150</v>
      </c>
      <c r="G457" s="862">
        <f>+E457/F457</f>
        <v>1350.24</v>
      </c>
      <c r="H457" s="341"/>
    </row>
    <row r="458" spans="1:9" x14ac:dyDescent="0.25">
      <c r="A458" s="133"/>
      <c r="B458" s="195"/>
      <c r="C458" s="226"/>
      <c r="D458" s="212"/>
      <c r="E458" s="345"/>
      <c r="F458" s="226"/>
      <c r="G458" s="344"/>
      <c r="H458" s="341"/>
    </row>
    <row r="459" spans="1:9" x14ac:dyDescent="0.25">
      <c r="A459" s="133"/>
      <c r="B459" s="195"/>
      <c r="C459" s="226"/>
      <c r="D459" s="212"/>
      <c r="E459" s="346"/>
      <c r="F459" s="226"/>
      <c r="G459" s="375"/>
      <c r="H459" s="341"/>
    </row>
    <row r="460" spans="1:9" x14ac:dyDescent="0.25">
      <c r="A460" s="133"/>
      <c r="B460" s="195"/>
      <c r="C460" s="226"/>
      <c r="D460" s="952"/>
      <c r="E460" s="232"/>
      <c r="F460" s="226"/>
      <c r="G460" s="344"/>
      <c r="H460" s="341"/>
    </row>
    <row r="461" spans="1:9" ht="15.75" thickBot="1" x14ac:dyDescent="0.3">
      <c r="A461" s="133"/>
      <c r="B461" s="195"/>
      <c r="C461" s="226"/>
      <c r="D461" s="952"/>
      <c r="E461" s="232"/>
      <c r="F461" s="226"/>
      <c r="G461" s="344"/>
      <c r="H461" s="341"/>
    </row>
    <row r="462" spans="1:9" ht="15.75" thickBot="1" x14ac:dyDescent="0.3">
      <c r="A462" s="133"/>
      <c r="B462" s="233"/>
      <c r="C462" s="234"/>
      <c r="D462" s="953"/>
      <c r="E462" s="234"/>
      <c r="F462" s="235"/>
      <c r="G462" s="347"/>
      <c r="H462" s="348">
        <f>+SUM(G456:G462)</f>
        <v>1351.50607504</v>
      </c>
      <c r="I462">
        <v>2233.4396682926827</v>
      </c>
    </row>
    <row r="463" spans="1:9" ht="15.75" thickBot="1" x14ac:dyDescent="0.3">
      <c r="A463" s="133"/>
      <c r="B463" s="238"/>
      <c r="C463" s="238"/>
      <c r="D463" s="954"/>
      <c r="E463" s="238"/>
      <c r="F463" s="239"/>
      <c r="G463" s="349"/>
      <c r="H463" s="350"/>
    </row>
    <row r="464" spans="1:9" ht="15.75" thickBot="1" x14ac:dyDescent="0.3">
      <c r="A464" s="1384"/>
      <c r="B464" s="1114" t="s">
        <v>5408</v>
      </c>
      <c r="C464" s="1117" t="s">
        <v>867</v>
      </c>
      <c r="D464" s="1120" t="s">
        <v>6</v>
      </c>
      <c r="E464" s="1117" t="s">
        <v>870</v>
      </c>
      <c r="F464" s="1117" t="s">
        <v>5409</v>
      </c>
      <c r="G464" s="1385" t="s">
        <v>868</v>
      </c>
      <c r="H464" s="1386"/>
    </row>
    <row r="465" spans="1:8" x14ac:dyDescent="0.25">
      <c r="A465" s="133"/>
      <c r="B465" s="295"/>
      <c r="C465" s="202"/>
      <c r="D465" s="212"/>
      <c r="E465" s="332"/>
      <c r="F465" s="169"/>
      <c r="G465" s="373"/>
      <c r="H465" s="341"/>
    </row>
    <row r="466" spans="1:8" x14ac:dyDescent="0.25">
      <c r="A466" s="133"/>
      <c r="B466" s="450"/>
      <c r="C466" s="202"/>
      <c r="D466" s="211"/>
      <c r="E466" s="228"/>
      <c r="F466" s="169"/>
      <c r="G466" s="178"/>
      <c r="H466" s="341"/>
    </row>
    <row r="467" spans="1:8" x14ac:dyDescent="0.25">
      <c r="A467" s="133"/>
      <c r="B467" s="260"/>
      <c r="C467" s="202"/>
      <c r="D467" s="212"/>
      <c r="E467" s="376"/>
      <c r="F467" s="169"/>
      <c r="G467" s="377"/>
      <c r="H467" s="341"/>
    </row>
    <row r="468" spans="1:8" x14ac:dyDescent="0.25">
      <c r="A468" s="133"/>
      <c r="B468" s="260"/>
      <c r="C468" s="226"/>
      <c r="D468" s="212"/>
      <c r="E468" s="346"/>
      <c r="F468" s="169"/>
      <c r="G468" s="377"/>
      <c r="H468" s="341"/>
    </row>
    <row r="469" spans="1:8" x14ac:dyDescent="0.25">
      <c r="A469" s="133"/>
      <c r="B469" s="195"/>
      <c r="C469" s="226"/>
      <c r="D469" s="212"/>
      <c r="E469" s="346"/>
      <c r="F469" s="169"/>
      <c r="G469" s="351"/>
      <c r="H469" s="341"/>
    </row>
    <row r="470" spans="1:8" x14ac:dyDescent="0.25">
      <c r="A470" s="133"/>
      <c r="B470" s="194"/>
      <c r="C470" s="202"/>
      <c r="D470" s="211"/>
      <c r="E470" s="346"/>
      <c r="F470" s="169"/>
      <c r="G470" s="351"/>
      <c r="H470" s="607"/>
    </row>
    <row r="471" spans="1:8" x14ac:dyDescent="0.25">
      <c r="A471" s="133"/>
      <c r="B471" s="195"/>
      <c r="C471" s="226"/>
      <c r="D471" s="212"/>
      <c r="E471" s="606"/>
      <c r="F471" s="169"/>
      <c r="G471" s="351"/>
      <c r="H471" s="341"/>
    </row>
    <row r="472" spans="1:8" x14ac:dyDescent="0.25">
      <c r="A472" s="133"/>
      <c r="B472" s="195"/>
      <c r="C472" s="226"/>
      <c r="D472" s="212"/>
      <c r="E472" s="346"/>
      <c r="F472" s="169"/>
      <c r="G472" s="351"/>
      <c r="H472" s="341"/>
    </row>
    <row r="473" spans="1:8" x14ac:dyDescent="0.25">
      <c r="A473" s="133"/>
      <c r="B473" s="195"/>
      <c r="C473" s="232"/>
      <c r="D473" s="952"/>
      <c r="E473" s="232"/>
      <c r="F473" s="226"/>
      <c r="G473" s="344"/>
      <c r="H473" s="341"/>
    </row>
    <row r="474" spans="1:8" x14ac:dyDescent="0.25">
      <c r="A474" s="133"/>
      <c r="B474" s="195"/>
      <c r="C474" s="232"/>
      <c r="D474" s="952"/>
      <c r="E474" s="232"/>
      <c r="F474" s="226"/>
      <c r="G474" s="344"/>
      <c r="H474" s="341"/>
    </row>
    <row r="475" spans="1:8" x14ac:dyDescent="0.25">
      <c r="A475" s="133"/>
      <c r="B475" s="195"/>
      <c r="C475" s="232"/>
      <c r="D475" s="952"/>
      <c r="E475" s="232"/>
      <c r="F475" s="226"/>
      <c r="G475" s="344"/>
      <c r="H475" s="341"/>
    </row>
    <row r="476" spans="1:8" ht="15.75" thickBot="1" x14ac:dyDescent="0.3">
      <c r="A476" s="133"/>
      <c r="B476" s="195"/>
      <c r="C476" s="232"/>
      <c r="D476" s="952"/>
      <c r="E476" s="232"/>
      <c r="F476" s="226"/>
      <c r="G476" s="344"/>
      <c r="H476" s="341"/>
    </row>
    <row r="477" spans="1:8" ht="15.75" thickBot="1" x14ac:dyDescent="0.3">
      <c r="A477" s="133"/>
      <c r="B477" s="233"/>
      <c r="C477" s="234"/>
      <c r="D477" s="953"/>
      <c r="E477" s="234"/>
      <c r="F477" s="235"/>
      <c r="G477" s="347"/>
      <c r="H477" s="358">
        <f>+SUM(G465:G477)</f>
        <v>0</v>
      </c>
    </row>
    <row r="478" spans="1:8" ht="15.75" thickBot="1" x14ac:dyDescent="0.3">
      <c r="A478" s="133"/>
      <c r="B478" s="238"/>
      <c r="C478" s="238"/>
      <c r="D478" s="954"/>
      <c r="E478" s="238"/>
      <c r="F478" s="239"/>
      <c r="G478" s="349"/>
      <c r="H478" s="350"/>
    </row>
    <row r="479" spans="1:8" ht="15.75" thickBot="1" x14ac:dyDescent="0.3">
      <c r="A479" s="1384"/>
      <c r="B479" s="1114" t="s">
        <v>5410</v>
      </c>
      <c r="C479" s="1117" t="s">
        <v>867</v>
      </c>
      <c r="D479" s="1120" t="s">
        <v>6</v>
      </c>
      <c r="E479" s="1117" t="s">
        <v>870</v>
      </c>
      <c r="F479" s="1117" t="s">
        <v>5411</v>
      </c>
      <c r="G479" s="1385" t="s">
        <v>868</v>
      </c>
      <c r="H479" s="1386"/>
    </row>
    <row r="480" spans="1:8" x14ac:dyDescent="0.25">
      <c r="A480" s="133"/>
      <c r="B480" s="245" t="s">
        <v>8010</v>
      </c>
      <c r="C480" s="283" t="s">
        <v>7940</v>
      </c>
      <c r="D480" s="959">
        <v>1</v>
      </c>
      <c r="E480" s="148">
        <f>+VLOOKUP(B480,Insumos!$A$2:$C$331,3,FALSE)</f>
        <v>1100</v>
      </c>
      <c r="F480" s="283">
        <v>1</v>
      </c>
      <c r="G480" s="863">
        <f>+D480*E480*F480</f>
        <v>1100</v>
      </c>
      <c r="H480" s="872"/>
    </row>
    <row r="481" spans="1:8" x14ac:dyDescent="0.25">
      <c r="A481" s="133"/>
      <c r="B481" s="247"/>
      <c r="C481" s="286"/>
      <c r="D481" s="960"/>
      <c r="E481" s="380"/>
      <c r="F481" s="286"/>
      <c r="G481" s="351"/>
      <c r="H481" s="341"/>
    </row>
    <row r="482" spans="1:8" x14ac:dyDescent="0.25">
      <c r="A482" s="133"/>
      <c r="B482" s="247"/>
      <c r="C482" s="286"/>
      <c r="D482" s="960"/>
      <c r="E482" s="288"/>
      <c r="F482" s="286"/>
      <c r="G482" s="344"/>
      <c r="H482" s="341"/>
    </row>
    <row r="483" spans="1:8" x14ac:dyDescent="0.25">
      <c r="A483" s="133"/>
      <c r="B483" s="194"/>
      <c r="C483" s="248"/>
      <c r="D483" s="961"/>
      <c r="E483" s="248"/>
      <c r="F483" s="202"/>
      <c r="G483" s="344"/>
      <c r="H483" s="341"/>
    </row>
    <row r="484" spans="1:8" ht="15.75" thickBot="1" x14ac:dyDescent="0.3">
      <c r="A484" s="133"/>
      <c r="B484" s="195"/>
      <c r="C484" s="232"/>
      <c r="D484" s="952"/>
      <c r="E484" s="232"/>
      <c r="F484" s="226"/>
      <c r="G484" s="344"/>
      <c r="H484" s="341"/>
    </row>
    <row r="485" spans="1:8" ht="15.75" thickBot="1" x14ac:dyDescent="0.3">
      <c r="A485" s="133"/>
      <c r="B485" s="233"/>
      <c r="C485" s="234"/>
      <c r="D485" s="953"/>
      <c r="E485" s="234"/>
      <c r="F485" s="235"/>
      <c r="G485" s="347"/>
      <c r="H485" s="348">
        <f>+SUM(G480:G485)</f>
        <v>1100</v>
      </c>
    </row>
    <row r="486" spans="1:8" ht="15.75" thickBot="1" x14ac:dyDescent="0.3">
      <c r="A486" s="133"/>
      <c r="B486" s="238"/>
      <c r="C486" s="238"/>
      <c r="D486" s="954"/>
      <c r="E486" s="238"/>
      <c r="F486" s="249"/>
      <c r="G486" s="356"/>
      <c r="H486" s="350"/>
    </row>
    <row r="487" spans="1:8" ht="15.75" thickBot="1" x14ac:dyDescent="0.3">
      <c r="A487" s="1384"/>
      <c r="B487" s="1114" t="s">
        <v>5412</v>
      </c>
      <c r="C487" s="1117" t="s">
        <v>5420</v>
      </c>
      <c r="D487" s="1120" t="s">
        <v>5421</v>
      </c>
      <c r="E487" s="1117" t="s">
        <v>5413</v>
      </c>
      <c r="F487" s="1117" t="s">
        <v>5405</v>
      </c>
      <c r="G487" s="1385" t="s">
        <v>868</v>
      </c>
      <c r="H487" s="1386"/>
    </row>
    <row r="488" spans="1:8" x14ac:dyDescent="0.25">
      <c r="A488" s="133"/>
      <c r="B488" s="385" t="s">
        <v>5949</v>
      </c>
      <c r="C488" s="345">
        <f>+VLOOKUP($B488,'Mano de obra'!$A$5:$D$26,2,FALSE)</f>
        <v>44263.8</v>
      </c>
      <c r="D488" s="345">
        <f>+VLOOKUP($B488,'Mano de obra'!$A$5:$D$26,3,FALSE)</f>
        <v>27470</v>
      </c>
      <c r="E488" s="345">
        <f>+VLOOKUP($B488,'Mano de obra'!$A$5:$D$26,4,FALSE)</f>
        <v>71733.8</v>
      </c>
      <c r="F488" s="202">
        <v>2</v>
      </c>
      <c r="G488" s="862">
        <f>+E488*F488/615</f>
        <v>233.28065040650407</v>
      </c>
      <c r="H488" s="341"/>
    </row>
    <row r="489" spans="1:8" x14ac:dyDescent="0.25">
      <c r="A489" s="133"/>
      <c r="B489" s="385" t="s">
        <v>5635</v>
      </c>
      <c r="C489" s="345">
        <f>+VLOOKUP($B489,'Mano de obra'!$A$5:$D$26,2,FALSE)</f>
        <v>24591</v>
      </c>
      <c r="D489" s="345">
        <f>+VLOOKUP($B489,'Mano de obra'!$A$5:$D$26,3,FALSE)</f>
        <v>15261</v>
      </c>
      <c r="E489" s="345">
        <f>+VLOOKUP($B489,'Mano de obra'!$A$5:$D$26,4,FALSE)</f>
        <v>39852</v>
      </c>
      <c r="F489" s="226">
        <v>3.5</v>
      </c>
      <c r="G489" s="862">
        <f>+E489*F489/615</f>
        <v>226.8</v>
      </c>
      <c r="H489" s="341"/>
    </row>
    <row r="490" spans="1:8" x14ac:dyDescent="0.25">
      <c r="A490" s="133"/>
      <c r="B490" s="385"/>
      <c r="C490" s="345"/>
      <c r="D490" s="955"/>
      <c r="E490" s="345"/>
      <c r="F490" s="226"/>
      <c r="G490" s="351"/>
      <c r="H490" s="341"/>
    </row>
    <row r="491" spans="1:8" x14ac:dyDescent="0.25">
      <c r="A491" s="133"/>
      <c r="B491" s="195"/>
      <c r="C491" s="346"/>
      <c r="D491" s="955"/>
      <c r="E491" s="345"/>
      <c r="F491" s="226"/>
      <c r="G491" s="351"/>
      <c r="H491" s="341"/>
    </row>
    <row r="492" spans="1:8" x14ac:dyDescent="0.25">
      <c r="A492" s="133"/>
      <c r="B492" s="195"/>
      <c r="C492" s="232"/>
      <c r="D492" s="952"/>
      <c r="E492" s="232"/>
      <c r="F492" s="226"/>
      <c r="G492" s="344"/>
      <c r="H492" s="341"/>
    </row>
    <row r="493" spans="1:8" ht="15.75" thickBot="1" x14ac:dyDescent="0.3">
      <c r="A493" s="133"/>
      <c r="B493" s="195"/>
      <c r="C493" s="232"/>
      <c r="D493" s="952"/>
      <c r="E493" s="232"/>
      <c r="F493" s="226"/>
      <c r="G493" s="344"/>
      <c r="H493" s="341"/>
    </row>
    <row r="494" spans="1:8" ht="15.75" thickBot="1" x14ac:dyDescent="0.3">
      <c r="A494" s="133"/>
      <c r="B494" s="251"/>
      <c r="C494" s="252"/>
      <c r="D494" s="956"/>
      <c r="E494" s="252"/>
      <c r="F494" s="253"/>
      <c r="G494" s="357"/>
      <c r="H494" s="358">
        <f>+SUM(G488:G494)</f>
        <v>460.08065040650411</v>
      </c>
    </row>
    <row r="495" spans="1:8" ht="15.75" thickBot="1" x14ac:dyDescent="0.3">
      <c r="A495" s="133"/>
      <c r="B495" s="8"/>
      <c r="C495" s="8"/>
      <c r="D495" s="529"/>
      <c r="E495" s="8"/>
      <c r="F495" s="133"/>
      <c r="G495" s="341"/>
      <c r="H495" s="341"/>
    </row>
    <row r="496" spans="1:8" ht="15.75" thickBot="1" x14ac:dyDescent="0.3">
      <c r="A496" s="133" t="s">
        <v>6744</v>
      </c>
      <c r="B496" s="8"/>
      <c r="C496" s="8"/>
      <c r="D496" s="529"/>
      <c r="E496" s="223" t="s">
        <v>5415</v>
      </c>
      <c r="F496" s="133"/>
      <c r="G496" s="341"/>
      <c r="H496" s="502">
        <f>ROUND(+H462+H477+H485+H494,0)</f>
        <v>2912</v>
      </c>
    </row>
    <row r="497" spans="1:8" x14ac:dyDescent="0.25">
      <c r="A497" s="1058"/>
      <c r="B497" s="1058"/>
      <c r="C497" s="1058"/>
      <c r="D497" s="957"/>
      <c r="E497" s="1058"/>
      <c r="F497" s="1058"/>
      <c r="G497" s="1058"/>
      <c r="H497" s="1058"/>
    </row>
    <row r="498" spans="1:8" s="1058" customFormat="1" x14ac:dyDescent="0.25">
      <c r="D498" s="957"/>
    </row>
    <row r="499" spans="1:8" x14ac:dyDescent="0.25">
      <c r="A499" s="1058"/>
      <c r="B499" s="1058"/>
      <c r="C499" s="1058"/>
      <c r="D499" s="957"/>
      <c r="E499" s="1058"/>
      <c r="F499" s="1058"/>
      <c r="G499" s="1058"/>
      <c r="H499" s="1058"/>
    </row>
    <row r="500" spans="1:8" x14ac:dyDescent="0.25">
      <c r="A500" s="673" t="s">
        <v>5482</v>
      </c>
      <c r="B500" s="1390" t="str">
        <f>+VLOOKUP(C500,ListaAPUs!$B:$E,4,FALSE)</f>
        <v>2.3.2</v>
      </c>
      <c r="C500" s="2450" t="str">
        <f>+ListaAPUs!B26</f>
        <v>Cargue, transporte y descargue de accesorios (22km)</v>
      </c>
      <c r="D500" s="2450"/>
      <c r="E500" s="2450"/>
      <c r="F500" s="673" t="s">
        <v>867</v>
      </c>
      <c r="G500" s="342" t="s">
        <v>6414</v>
      </c>
      <c r="H500" s="341"/>
    </row>
    <row r="501" spans="1:8" x14ac:dyDescent="0.25">
      <c r="A501" s="133"/>
      <c r="B501" s="8"/>
      <c r="C501" s="223"/>
      <c r="D501" s="958"/>
      <c r="E501" s="223"/>
      <c r="F501" s="133"/>
      <c r="G501" s="341"/>
      <c r="H501" s="341"/>
    </row>
    <row r="502" spans="1:8" x14ac:dyDescent="0.25">
      <c r="A502" s="133"/>
      <c r="B502" s="8"/>
      <c r="C502" s="8"/>
      <c r="D502" s="529"/>
      <c r="E502" s="8"/>
      <c r="F502" s="8"/>
      <c r="G502" s="8"/>
      <c r="H502" s="341"/>
    </row>
    <row r="503" spans="1:8" ht="15.75" thickBot="1" x14ac:dyDescent="0.3">
      <c r="A503" s="133"/>
      <c r="B503" s="8"/>
      <c r="C503" s="8"/>
      <c r="D503" s="529"/>
      <c r="E503" s="8"/>
      <c r="F503" s="133"/>
      <c r="G503" s="341"/>
      <c r="H503" s="341"/>
    </row>
    <row r="504" spans="1:8" ht="15.75" thickBot="1" x14ac:dyDescent="0.3">
      <c r="A504" s="1384"/>
      <c r="B504" s="1114" t="s">
        <v>5403</v>
      </c>
      <c r="C504" s="1117" t="s">
        <v>867</v>
      </c>
      <c r="D504" s="1120" t="s">
        <v>6</v>
      </c>
      <c r="E504" s="1117" t="s">
        <v>5439</v>
      </c>
      <c r="F504" s="1117" t="s">
        <v>5405</v>
      </c>
      <c r="G504" s="1385" t="s">
        <v>868</v>
      </c>
      <c r="H504" s="1386"/>
    </row>
    <row r="505" spans="1:8" x14ac:dyDescent="0.25">
      <c r="A505" s="133"/>
      <c r="B505" s="146" t="s">
        <v>5934</v>
      </c>
      <c r="C505" s="226" t="s">
        <v>5402</v>
      </c>
      <c r="D505" s="212">
        <v>1</v>
      </c>
      <c r="E505" s="372">
        <f>+H543</f>
        <v>1607.489</v>
      </c>
      <c r="F505" s="226">
        <v>0.1</v>
      </c>
      <c r="G505" s="373">
        <f>+E505*F505</f>
        <v>160.74890000000002</v>
      </c>
      <c r="H505" s="341"/>
    </row>
    <row r="506" spans="1:8" x14ac:dyDescent="0.25">
      <c r="A506" s="133"/>
      <c r="B506" s="195" t="s">
        <v>5696</v>
      </c>
      <c r="C506" s="226" t="s">
        <v>5424</v>
      </c>
      <c r="D506" s="212">
        <v>1</v>
      </c>
      <c r="E506" s="148">
        <f>+VLOOKUP(B506,Insumos!$A$2:$C$331,3,FALSE)</f>
        <v>202536</v>
      </c>
      <c r="F506" s="226">
        <v>3.0000000000000001E-3</v>
      </c>
      <c r="G506" s="344">
        <f>+E506*F506</f>
        <v>607.60800000000006</v>
      </c>
      <c r="H506" s="341"/>
    </row>
    <row r="507" spans="1:8" x14ac:dyDescent="0.25">
      <c r="A507" s="133"/>
      <c r="B507" s="195"/>
      <c r="C507" s="226"/>
      <c r="D507" s="212"/>
      <c r="E507" s="345"/>
      <c r="F507" s="226"/>
      <c r="G507" s="344"/>
      <c r="H507" s="341"/>
    </row>
    <row r="508" spans="1:8" x14ac:dyDescent="0.25">
      <c r="A508" s="133"/>
      <c r="B508" s="195"/>
      <c r="C508" s="226"/>
      <c r="D508" s="212"/>
      <c r="E508" s="346"/>
      <c r="F508" s="226"/>
      <c r="G508" s="375"/>
      <c r="H508" s="341"/>
    </row>
    <row r="509" spans="1:8" x14ac:dyDescent="0.25">
      <c r="A509" s="133"/>
      <c r="B509" s="195"/>
      <c r="C509" s="226"/>
      <c r="D509" s="952"/>
      <c r="E509" s="232"/>
      <c r="F509" s="226"/>
      <c r="G509" s="344"/>
      <c r="H509" s="341"/>
    </row>
    <row r="510" spans="1:8" ht="15.75" thickBot="1" x14ac:dyDescent="0.3">
      <c r="A510" s="133"/>
      <c r="B510" s="195"/>
      <c r="C510" s="226"/>
      <c r="D510" s="952"/>
      <c r="E510" s="232"/>
      <c r="F510" s="226"/>
      <c r="G510" s="344"/>
      <c r="H510" s="341"/>
    </row>
    <row r="511" spans="1:8" ht="15.75" thickBot="1" x14ac:dyDescent="0.3">
      <c r="A511" s="133"/>
      <c r="B511" s="233"/>
      <c r="C511" s="234"/>
      <c r="D511" s="953"/>
      <c r="E511" s="234"/>
      <c r="F511" s="235"/>
      <c r="G511" s="347"/>
      <c r="H511" s="348">
        <f>+SUM(G505:G511)</f>
        <v>768.35690000000011</v>
      </c>
    </row>
    <row r="512" spans="1:8" ht="15.75" thickBot="1" x14ac:dyDescent="0.3">
      <c r="A512" s="133"/>
      <c r="B512" s="238"/>
      <c r="C512" s="238"/>
      <c r="D512" s="954"/>
      <c r="E512" s="238"/>
      <c r="F512" s="239"/>
      <c r="G512" s="349"/>
      <c r="H512" s="350"/>
    </row>
    <row r="513" spans="1:8" ht="15.75" thickBot="1" x14ac:dyDescent="0.3">
      <c r="A513" s="1384"/>
      <c r="B513" s="1114" t="s">
        <v>5408</v>
      </c>
      <c r="C513" s="1117" t="s">
        <v>867</v>
      </c>
      <c r="D513" s="1120" t="s">
        <v>6</v>
      </c>
      <c r="E513" s="1117" t="s">
        <v>870</v>
      </c>
      <c r="F513" s="1117" t="s">
        <v>5409</v>
      </c>
      <c r="G513" s="1385" t="s">
        <v>868</v>
      </c>
      <c r="H513" s="1386"/>
    </row>
    <row r="514" spans="1:8" x14ac:dyDescent="0.25">
      <c r="A514" s="133"/>
      <c r="B514" s="295" t="s">
        <v>8009</v>
      </c>
      <c r="C514" s="202" t="s">
        <v>5475</v>
      </c>
      <c r="D514" s="688">
        <v>1</v>
      </c>
      <c r="E514" s="975">
        <f>+VLOOKUP(B514,Insumos!$A$2:$C$331,3,FALSE)</f>
        <v>189911.25599999999</v>
      </c>
      <c r="F514" s="698"/>
      <c r="G514" s="344">
        <f>+E514*F514</f>
        <v>0</v>
      </c>
      <c r="H514" s="341"/>
    </row>
    <row r="515" spans="1:8" x14ac:dyDescent="0.25">
      <c r="A515" s="133"/>
      <c r="B515" s="450"/>
      <c r="C515" s="202"/>
      <c r="D515" s="211"/>
      <c r="E515" s="228"/>
      <c r="F515" s="169"/>
      <c r="G515" s="178"/>
      <c r="H515" s="341"/>
    </row>
    <row r="516" spans="1:8" x14ac:dyDescent="0.25">
      <c r="A516" s="133"/>
      <c r="B516" s="260"/>
      <c r="C516" s="202"/>
      <c r="D516" s="212"/>
      <c r="E516" s="376"/>
      <c r="F516" s="169"/>
      <c r="G516" s="377"/>
      <c r="H516" s="341"/>
    </row>
    <row r="517" spans="1:8" x14ac:dyDescent="0.25">
      <c r="A517" s="133"/>
      <c r="B517" s="260"/>
      <c r="C517" s="226"/>
      <c r="D517" s="212"/>
      <c r="E517" s="346"/>
      <c r="F517" s="169"/>
      <c r="G517" s="377"/>
      <c r="H517" s="341"/>
    </row>
    <row r="518" spans="1:8" x14ac:dyDescent="0.25">
      <c r="A518" s="133"/>
      <c r="B518" s="195"/>
      <c r="C518" s="226"/>
      <c r="D518" s="212"/>
      <c r="E518" s="346"/>
      <c r="F518" s="169"/>
      <c r="G518" s="351"/>
      <c r="H518" s="341"/>
    </row>
    <row r="519" spans="1:8" x14ac:dyDescent="0.25">
      <c r="A519" s="133"/>
      <c r="B519" s="194"/>
      <c r="C519" s="202"/>
      <c r="D519" s="211"/>
      <c r="E519" s="346"/>
      <c r="F519" s="169"/>
      <c r="G519" s="351"/>
      <c r="H519" s="341"/>
    </row>
    <row r="520" spans="1:8" x14ac:dyDescent="0.25">
      <c r="A520" s="133"/>
      <c r="B520" s="195"/>
      <c r="C520" s="226"/>
      <c r="D520" s="212"/>
      <c r="E520" s="346"/>
      <c r="F520" s="169"/>
      <c r="G520" s="351"/>
      <c r="H520" s="341"/>
    </row>
    <row r="521" spans="1:8" x14ac:dyDescent="0.25">
      <c r="A521" s="133"/>
      <c r="B521" s="195"/>
      <c r="C521" s="226"/>
      <c r="D521" s="212"/>
      <c r="E521" s="346"/>
      <c r="F521" s="169"/>
      <c r="G521" s="351"/>
      <c r="H521" s="341"/>
    </row>
    <row r="522" spans="1:8" x14ac:dyDescent="0.25">
      <c r="A522" s="133"/>
      <c r="B522" s="195"/>
      <c r="C522" s="232"/>
      <c r="D522" s="952"/>
      <c r="E522" s="232"/>
      <c r="F522" s="226"/>
      <c r="G522" s="344"/>
      <c r="H522" s="341"/>
    </row>
    <row r="523" spans="1:8" x14ac:dyDescent="0.25">
      <c r="A523" s="133"/>
      <c r="B523" s="195"/>
      <c r="C523" s="232"/>
      <c r="D523" s="952"/>
      <c r="E523" s="232"/>
      <c r="F523" s="226"/>
      <c r="G523" s="344"/>
      <c r="H523" s="341"/>
    </row>
    <row r="524" spans="1:8" x14ac:dyDescent="0.25">
      <c r="A524" s="133"/>
      <c r="B524" s="195"/>
      <c r="C524" s="232"/>
      <c r="D524" s="952"/>
      <c r="E524" s="232"/>
      <c r="F524" s="226"/>
      <c r="G524" s="344"/>
      <c r="H524" s="341"/>
    </row>
    <row r="525" spans="1:8" ht="15.75" thickBot="1" x14ac:dyDescent="0.3">
      <c r="A525" s="133"/>
      <c r="B525" s="195"/>
      <c r="C525" s="232"/>
      <c r="D525" s="952"/>
      <c r="E525" s="232"/>
      <c r="F525" s="226"/>
      <c r="G525" s="344"/>
      <c r="H525" s="341"/>
    </row>
    <row r="526" spans="1:8" ht="15.75" thickBot="1" x14ac:dyDescent="0.3">
      <c r="A526" s="133"/>
      <c r="B526" s="233"/>
      <c r="C526" s="234"/>
      <c r="D526" s="953"/>
      <c r="E526" s="234"/>
      <c r="F526" s="235"/>
      <c r="G526" s="347"/>
      <c r="H526" s="358">
        <f>+SUM(G514:G526)</f>
        <v>0</v>
      </c>
    </row>
    <row r="527" spans="1:8" ht="15.75" thickBot="1" x14ac:dyDescent="0.3">
      <c r="A527" s="133"/>
      <c r="B527" s="238"/>
      <c r="C527" s="238"/>
      <c r="D527" s="954"/>
      <c r="E527" s="238"/>
      <c r="F527" s="239"/>
      <c r="G527" s="349"/>
      <c r="H527" s="350"/>
    </row>
    <row r="528" spans="1:8" ht="15.75" thickBot="1" x14ac:dyDescent="0.3">
      <c r="A528" s="1384"/>
      <c r="B528" s="1114" t="s">
        <v>5410</v>
      </c>
      <c r="C528" s="1117" t="s">
        <v>867</v>
      </c>
      <c r="D528" s="1120" t="s">
        <v>6</v>
      </c>
      <c r="E528" s="1117" t="s">
        <v>870</v>
      </c>
      <c r="F528" s="1117" t="s">
        <v>5411</v>
      </c>
      <c r="G528" s="1385" t="s">
        <v>868</v>
      </c>
      <c r="H528" s="1386"/>
    </row>
    <row r="529" spans="1:8" x14ac:dyDescent="0.25">
      <c r="A529" s="133"/>
      <c r="B529" s="245" t="s">
        <v>8010</v>
      </c>
      <c r="C529" s="283" t="s">
        <v>5424</v>
      </c>
      <c r="D529" s="959">
        <v>1</v>
      </c>
      <c r="E529" s="148">
        <f>+VLOOKUP(B529,Insumos!$A$2:$C$331,3,FALSE)/6</f>
        <v>183.33333333333334</v>
      </c>
      <c r="F529" s="283">
        <v>1</v>
      </c>
      <c r="G529" s="354">
        <f>+D529*E529*F529</f>
        <v>183.33333333333334</v>
      </c>
      <c r="H529" s="355"/>
    </row>
    <row r="530" spans="1:8" x14ac:dyDescent="0.25">
      <c r="A530" s="133"/>
      <c r="B530" s="247"/>
      <c r="C530" s="286"/>
      <c r="D530" s="960"/>
      <c r="E530" s="380"/>
      <c r="F530" s="286"/>
      <c r="G530" s="351"/>
      <c r="H530" s="341"/>
    </row>
    <row r="531" spans="1:8" x14ac:dyDescent="0.25">
      <c r="A531" s="133"/>
      <c r="B531" s="247"/>
      <c r="C531" s="286"/>
      <c r="D531" s="960"/>
      <c r="E531" s="288"/>
      <c r="F531" s="286"/>
      <c r="G531" s="344"/>
      <c r="H531" s="341"/>
    </row>
    <row r="532" spans="1:8" x14ac:dyDescent="0.25">
      <c r="A532" s="133"/>
      <c r="B532" s="194"/>
      <c r="C532" s="248"/>
      <c r="D532" s="961"/>
      <c r="E532" s="248"/>
      <c r="F532" s="202"/>
      <c r="G532" s="344"/>
      <c r="H532" s="341"/>
    </row>
    <row r="533" spans="1:8" ht="15.75" thickBot="1" x14ac:dyDescent="0.3">
      <c r="A533" s="133"/>
      <c r="B533" s="195"/>
      <c r="C533" s="232"/>
      <c r="D533" s="952"/>
      <c r="E533" s="232"/>
      <c r="F533" s="226"/>
      <c r="G533" s="344"/>
      <c r="H533" s="341"/>
    </row>
    <row r="534" spans="1:8" ht="15.75" thickBot="1" x14ac:dyDescent="0.3">
      <c r="A534" s="133"/>
      <c r="B534" s="233"/>
      <c r="C534" s="234"/>
      <c r="D534" s="953"/>
      <c r="E534" s="234"/>
      <c r="F534" s="235"/>
      <c r="G534" s="347"/>
      <c r="H534" s="348">
        <f>+SUM(G529:G534)</f>
        <v>183.33333333333334</v>
      </c>
    </row>
    <row r="535" spans="1:8" ht="15.75" thickBot="1" x14ac:dyDescent="0.3">
      <c r="A535" s="133"/>
      <c r="B535" s="238"/>
      <c r="C535" s="238"/>
      <c r="D535" s="954"/>
      <c r="E535" s="238"/>
      <c r="F535" s="249"/>
      <c r="G535" s="356"/>
      <c r="H535" s="350"/>
    </row>
    <row r="536" spans="1:8" ht="15.75" thickBot="1" x14ac:dyDescent="0.3">
      <c r="A536" s="1384"/>
      <c r="B536" s="1114" t="s">
        <v>5412</v>
      </c>
      <c r="C536" s="1117" t="s">
        <v>5420</v>
      </c>
      <c r="D536" s="1120" t="s">
        <v>5421</v>
      </c>
      <c r="E536" s="1117" t="s">
        <v>5413</v>
      </c>
      <c r="F536" s="1117" t="s">
        <v>5405</v>
      </c>
      <c r="G536" s="1385" t="s">
        <v>868</v>
      </c>
      <c r="H536" s="1386"/>
    </row>
    <row r="537" spans="1:8" x14ac:dyDescent="0.25">
      <c r="A537" s="133"/>
      <c r="B537" s="381" t="s">
        <v>5948</v>
      </c>
      <c r="C537" s="345">
        <f>+VLOOKUP($B537,'Mano de obra'!$A$5:$D$26,2,FALSE)</f>
        <v>57455</v>
      </c>
      <c r="D537" s="345">
        <f>+VLOOKUP($B537,'Mano de obra'!$A$5:$D$26,3,FALSE)</f>
        <v>35656</v>
      </c>
      <c r="E537" s="345">
        <f>+VLOOKUP($B537,'Mano de obra'!$A$5:$D$26,4,FALSE)</f>
        <v>93111</v>
      </c>
      <c r="F537" s="204">
        <v>1000</v>
      </c>
      <c r="G537" s="351">
        <f>+E537/F537</f>
        <v>93.111000000000004</v>
      </c>
      <c r="H537" s="341"/>
    </row>
    <row r="538" spans="1:8" x14ac:dyDescent="0.25">
      <c r="A538" s="133"/>
      <c r="B538" s="385" t="s">
        <v>5949</v>
      </c>
      <c r="C538" s="345">
        <f>+VLOOKUP($B538,'Mano de obra'!$A$5:$D$26,2,FALSE)</f>
        <v>44263.8</v>
      </c>
      <c r="D538" s="345">
        <f>+VLOOKUP($B538,'Mano de obra'!$A$5:$D$26,3,FALSE)</f>
        <v>27470</v>
      </c>
      <c r="E538" s="345">
        <f>+VLOOKUP($B538,'Mano de obra'!$A$5:$D$26,4,FALSE)</f>
        <v>71733.8</v>
      </c>
      <c r="F538" s="202">
        <v>100</v>
      </c>
      <c r="G538" s="351">
        <f>+E538/F538</f>
        <v>717.33800000000008</v>
      </c>
      <c r="H538" s="341"/>
    </row>
    <row r="539" spans="1:8" x14ac:dyDescent="0.25">
      <c r="A539" s="133"/>
      <c r="B539" s="385" t="s">
        <v>5635</v>
      </c>
      <c r="C539" s="345">
        <f>+VLOOKUP($B539,'Mano de obra'!$A$5:$D$26,2,FALSE)</f>
        <v>24591</v>
      </c>
      <c r="D539" s="345">
        <f>+VLOOKUP($B539,'Mano de obra'!$A$5:$D$26,3,FALSE)</f>
        <v>15261</v>
      </c>
      <c r="E539" s="345">
        <f>+VLOOKUP($B539,'Mano de obra'!$A$5:$D$26,4,FALSE)</f>
        <v>39852</v>
      </c>
      <c r="F539" s="226">
        <v>50</v>
      </c>
      <c r="G539" s="351">
        <f>+E539/F539</f>
        <v>797.04</v>
      </c>
      <c r="H539" s="341"/>
    </row>
    <row r="540" spans="1:8" x14ac:dyDescent="0.25">
      <c r="A540" s="133"/>
      <c r="B540" s="195"/>
      <c r="C540" s="346"/>
      <c r="D540" s="955"/>
      <c r="E540" s="345"/>
      <c r="F540" s="226"/>
      <c r="G540" s="351"/>
      <c r="H540" s="341"/>
    </row>
    <row r="541" spans="1:8" x14ac:dyDescent="0.25">
      <c r="A541" s="133"/>
      <c r="B541" s="195"/>
      <c r="C541" s="232"/>
      <c r="D541" s="952"/>
      <c r="E541" s="232"/>
      <c r="F541" s="226"/>
      <c r="G541" s="344"/>
      <c r="H541" s="341"/>
    </row>
    <row r="542" spans="1:8" ht="15.75" thickBot="1" x14ac:dyDescent="0.3">
      <c r="A542" s="133"/>
      <c r="B542" s="195"/>
      <c r="C542" s="232"/>
      <c r="D542" s="952"/>
      <c r="E542" s="232"/>
      <c r="F542" s="226"/>
      <c r="G542" s="344"/>
      <c r="H542" s="341"/>
    </row>
    <row r="543" spans="1:8" ht="15.75" thickBot="1" x14ac:dyDescent="0.3">
      <c r="A543" s="133"/>
      <c r="B543" s="251"/>
      <c r="C543" s="252"/>
      <c r="D543" s="956"/>
      <c r="E543" s="252"/>
      <c r="F543" s="253"/>
      <c r="G543" s="357"/>
      <c r="H543" s="358">
        <f>+SUM(G537:G543)</f>
        <v>1607.489</v>
      </c>
    </row>
    <row r="544" spans="1:8" ht="15.75" thickBot="1" x14ac:dyDescent="0.3">
      <c r="A544" s="133"/>
      <c r="B544" s="8"/>
      <c r="C544" s="8"/>
      <c r="D544" s="529"/>
      <c r="E544" s="8"/>
      <c r="F544" s="133"/>
      <c r="G544" s="341"/>
      <c r="H544" s="341"/>
    </row>
    <row r="545" spans="1:8" ht="15.75" thickBot="1" x14ac:dyDescent="0.3">
      <c r="A545" s="133" t="s">
        <v>6744</v>
      </c>
      <c r="B545" s="8"/>
      <c r="C545" s="8"/>
      <c r="D545" s="529"/>
      <c r="E545" s="223" t="s">
        <v>5415</v>
      </c>
      <c r="F545" s="133"/>
      <c r="G545" s="341"/>
      <c r="H545" s="983">
        <f>ROUND(+H543+H534+H526+H511,0)</f>
        <v>2559</v>
      </c>
    </row>
    <row r="546" spans="1:8" x14ac:dyDescent="0.25">
      <c r="A546" s="133"/>
      <c r="B546" s="8"/>
      <c r="C546" s="8"/>
      <c r="D546" s="529"/>
      <c r="E546" s="223"/>
      <c r="F546" s="133"/>
      <c r="G546" s="341"/>
      <c r="H546" s="676"/>
    </row>
    <row r="547" spans="1:8" x14ac:dyDescent="0.25">
      <c r="A547" s="1058"/>
      <c r="B547" s="1058"/>
      <c r="C547" s="1058"/>
      <c r="D547" s="957"/>
      <c r="E547" s="1058"/>
      <c r="F547" s="1058"/>
      <c r="G547" s="1058"/>
      <c r="H547" s="1058"/>
    </row>
    <row r="548" spans="1:8" x14ac:dyDescent="0.25">
      <c r="A548" s="1058"/>
      <c r="B548" s="1058"/>
      <c r="C548" s="1058"/>
      <c r="D548" s="957"/>
      <c r="E548" s="1058"/>
      <c r="F548" s="1058"/>
      <c r="G548" s="1058"/>
      <c r="H548" s="1058"/>
    </row>
    <row r="549" spans="1:8" x14ac:dyDescent="0.25">
      <c r="A549" s="1424" t="s">
        <v>3</v>
      </c>
      <c r="B549" s="1390" t="str">
        <f>+VLOOKUP(C549,ListaAPUs!$B:$E,4,FALSE)</f>
        <v>2.3.3</v>
      </c>
      <c r="C549" s="2450" t="str">
        <f>+ListaAPUs!B27</f>
        <v>CARGUE , RETIRO Y DISPOSICION DE SOBRANTES</v>
      </c>
      <c r="D549" s="2450"/>
      <c r="E549" s="2450"/>
      <c r="F549" s="1424" t="s">
        <v>867</v>
      </c>
      <c r="G549" s="139" t="s">
        <v>5454</v>
      </c>
      <c r="H549" s="134"/>
    </row>
    <row r="550" spans="1:8" x14ac:dyDescent="0.25">
      <c r="A550" s="141"/>
      <c r="B550" s="140"/>
      <c r="C550" s="140"/>
      <c r="D550" s="529"/>
      <c r="E550" s="140"/>
      <c r="F550" s="141"/>
      <c r="G550" s="134"/>
      <c r="H550" s="134"/>
    </row>
    <row r="551" spans="1:8" x14ac:dyDescent="0.25">
      <c r="A551" s="141"/>
      <c r="B551" s="140"/>
      <c r="C551" s="140"/>
      <c r="D551" s="529"/>
      <c r="E551" s="140"/>
      <c r="F551" s="141"/>
      <c r="G551" s="142"/>
      <c r="H551" s="134"/>
    </row>
    <row r="552" spans="1:8" ht="15.75" thickBot="1" x14ac:dyDescent="0.3">
      <c r="A552" s="141"/>
      <c r="B552" s="140"/>
      <c r="C552" s="140"/>
      <c r="D552" s="529"/>
      <c r="E552" s="140"/>
      <c r="F552" s="141"/>
      <c r="G552" s="134"/>
      <c r="H552" s="134"/>
    </row>
    <row r="553" spans="1:8" ht="15.75" thickBot="1" x14ac:dyDescent="0.3">
      <c r="A553" s="1368"/>
      <c r="B553" s="1369" t="s">
        <v>5403</v>
      </c>
      <c r="C553" s="1363" t="s">
        <v>867</v>
      </c>
      <c r="D553" s="1120" t="s">
        <v>6</v>
      </c>
      <c r="E553" s="1363" t="s">
        <v>5404</v>
      </c>
      <c r="F553" s="1363" t="s">
        <v>5405</v>
      </c>
      <c r="G553" s="1370" t="s">
        <v>868</v>
      </c>
      <c r="H553" s="1371"/>
    </row>
    <row r="554" spans="1:8" x14ac:dyDescent="0.25">
      <c r="A554" s="141"/>
      <c r="B554" s="146" t="s">
        <v>5440</v>
      </c>
      <c r="C554" s="147" t="s">
        <v>5406</v>
      </c>
      <c r="D554" s="211"/>
      <c r="E554" s="148">
        <f>+$H$598</f>
        <v>0</v>
      </c>
      <c r="F554" s="167">
        <v>0.1</v>
      </c>
      <c r="G554" s="360">
        <f>+E554*F554</f>
        <v>0</v>
      </c>
      <c r="H554" s="134"/>
    </row>
    <row r="555" spans="1:8" x14ac:dyDescent="0.25">
      <c r="A555" s="141"/>
      <c r="B555" s="150" t="s">
        <v>5736</v>
      </c>
      <c r="C555" s="151" t="s">
        <v>5481</v>
      </c>
      <c r="D555" s="212">
        <v>1</v>
      </c>
      <c r="E555" s="148">
        <f>+VLOOKUP(B555,Insumos!$A$2:$C$331,3,FALSE)</f>
        <v>42000</v>
      </c>
      <c r="F555" s="205">
        <v>28</v>
      </c>
      <c r="G555" s="360">
        <f>+E555/F555</f>
        <v>1500</v>
      </c>
      <c r="H555" s="134"/>
    </row>
    <row r="556" spans="1:8" x14ac:dyDescent="0.25">
      <c r="A556" s="141"/>
      <c r="B556" s="154"/>
      <c r="C556" s="151"/>
      <c r="D556" s="212"/>
      <c r="E556" s="366"/>
      <c r="F556" s="151"/>
      <c r="G556" s="360"/>
      <c r="H556" s="134"/>
    </row>
    <row r="557" spans="1:8" x14ac:dyDescent="0.25">
      <c r="A557" s="141"/>
      <c r="B557" s="155"/>
      <c r="C557" s="151"/>
      <c r="D557" s="952"/>
      <c r="E557" s="152"/>
      <c r="F557" s="151"/>
      <c r="G557" s="156"/>
      <c r="H557" s="134"/>
    </row>
    <row r="558" spans="1:8" x14ac:dyDescent="0.25">
      <c r="A558" s="141"/>
      <c r="B558" s="155"/>
      <c r="C558" s="151"/>
      <c r="D558" s="952"/>
      <c r="E558" s="152"/>
      <c r="F558" s="151"/>
      <c r="G558" s="156"/>
      <c r="H558" s="134"/>
    </row>
    <row r="559" spans="1:8" ht="15.75" thickBot="1" x14ac:dyDescent="0.3">
      <c r="A559" s="141"/>
      <c r="B559" s="155"/>
      <c r="C559" s="151"/>
      <c r="D559" s="952"/>
      <c r="E559" s="152"/>
      <c r="F559" s="151"/>
      <c r="G559" s="156"/>
      <c r="H559" s="134"/>
    </row>
    <row r="560" spans="1:8" ht="15.75" thickBot="1" x14ac:dyDescent="0.3">
      <c r="A560" s="141"/>
      <c r="B560" s="157"/>
      <c r="C560" s="158"/>
      <c r="D560" s="953"/>
      <c r="E560" s="159"/>
      <c r="F560" s="158"/>
      <c r="G560" s="160"/>
      <c r="H560" s="161">
        <f>+SUM(G554:G560)</f>
        <v>1500</v>
      </c>
    </row>
    <row r="561" spans="1:8" ht="15.75" thickBot="1" x14ac:dyDescent="0.3">
      <c r="A561" s="141"/>
      <c r="B561" s="162"/>
      <c r="C561" s="163"/>
      <c r="D561" s="954"/>
      <c r="E561" s="162"/>
      <c r="F561" s="163"/>
      <c r="G561" s="164"/>
      <c r="H561" s="165"/>
    </row>
    <row r="562" spans="1:8" ht="15.75" thickBot="1" x14ac:dyDescent="0.3">
      <c r="A562" s="183"/>
      <c r="B562" s="1369" t="s">
        <v>5408</v>
      </c>
      <c r="C562" s="1363" t="s">
        <v>867</v>
      </c>
      <c r="D562" s="1120" t="s">
        <v>6</v>
      </c>
      <c r="E562" s="1363" t="s">
        <v>870</v>
      </c>
      <c r="F562" s="1363" t="s">
        <v>5409</v>
      </c>
      <c r="G562" s="1370" t="s">
        <v>868</v>
      </c>
      <c r="H562" s="1371"/>
    </row>
    <row r="563" spans="1:8" x14ac:dyDescent="0.25">
      <c r="A563" s="140"/>
      <c r="B563" s="201"/>
      <c r="C563" s="147"/>
      <c r="D563" s="211"/>
      <c r="E563" s="366"/>
      <c r="F563" s="169"/>
      <c r="G563" s="367">
        <f>+D563*E563*(1+F563)</f>
        <v>0</v>
      </c>
      <c r="H563" s="134"/>
    </row>
    <row r="564" spans="1:8" x14ac:dyDescent="0.25">
      <c r="A564" s="140"/>
      <c r="B564" s="196"/>
      <c r="C564" s="151"/>
      <c r="D564" s="212"/>
      <c r="E564" s="366"/>
      <c r="F564" s="169"/>
      <c r="G564" s="367"/>
      <c r="H564" s="134"/>
    </row>
    <row r="565" spans="1:8" x14ac:dyDescent="0.25">
      <c r="A565" s="140"/>
      <c r="B565" s="196"/>
      <c r="C565" s="151"/>
      <c r="D565" s="212"/>
      <c r="E565" s="366"/>
      <c r="F565" s="169"/>
      <c r="G565" s="367"/>
      <c r="H565" s="134"/>
    </row>
    <row r="566" spans="1:8" x14ac:dyDescent="0.25">
      <c r="A566" s="140"/>
      <c r="B566" s="155"/>
      <c r="C566" s="151"/>
      <c r="D566" s="212"/>
      <c r="E566" s="148"/>
      <c r="F566" s="151"/>
      <c r="G566" s="367"/>
      <c r="H566" s="134"/>
    </row>
    <row r="567" spans="1:8" x14ac:dyDescent="0.25">
      <c r="A567" s="140"/>
      <c r="B567" s="155"/>
      <c r="C567" s="151"/>
      <c r="D567" s="212"/>
      <c r="E567" s="148"/>
      <c r="F567" s="151"/>
      <c r="G567" s="367"/>
      <c r="H567" s="134"/>
    </row>
    <row r="568" spans="1:8" x14ac:dyDescent="0.25">
      <c r="A568" s="140"/>
      <c r="B568" s="155"/>
      <c r="C568" s="151"/>
      <c r="D568" s="212"/>
      <c r="E568" s="148"/>
      <c r="F568" s="151"/>
      <c r="G568" s="367"/>
      <c r="H568" s="134"/>
    </row>
    <row r="569" spans="1:8" x14ac:dyDescent="0.25">
      <c r="A569" s="140"/>
      <c r="B569" s="155"/>
      <c r="C569" s="151"/>
      <c r="D569" s="212"/>
      <c r="E569" s="148"/>
      <c r="F569" s="151"/>
      <c r="G569" s="367"/>
      <c r="H569" s="134"/>
    </row>
    <row r="570" spans="1:8" x14ac:dyDescent="0.25">
      <c r="A570" s="140"/>
      <c r="B570" s="155"/>
      <c r="C570" s="151"/>
      <c r="D570" s="212"/>
      <c r="E570" s="148"/>
      <c r="F570" s="151"/>
      <c r="G570" s="367"/>
      <c r="H570" s="134"/>
    </row>
    <row r="571" spans="1:8" x14ac:dyDescent="0.25">
      <c r="A571" s="140"/>
      <c r="B571" s="155"/>
      <c r="C571" s="151"/>
      <c r="D571" s="212"/>
      <c r="E571" s="148"/>
      <c r="F571" s="151"/>
      <c r="G571" s="367"/>
      <c r="H571" s="134"/>
    </row>
    <row r="572" spans="1:8" x14ac:dyDescent="0.25">
      <c r="A572" s="140"/>
      <c r="B572" s="155"/>
      <c r="C572" s="151"/>
      <c r="D572" s="212"/>
      <c r="E572" s="148"/>
      <c r="F572" s="151"/>
      <c r="G572" s="367"/>
      <c r="H572" s="134"/>
    </row>
    <row r="573" spans="1:8" x14ac:dyDescent="0.25">
      <c r="A573" s="140"/>
      <c r="B573" s="155"/>
      <c r="C573" s="152"/>
      <c r="D573" s="952"/>
      <c r="E573" s="152"/>
      <c r="F573" s="151"/>
      <c r="G573" s="156"/>
      <c r="H573" s="134"/>
    </row>
    <row r="574" spans="1:8" ht="15.75" thickBot="1" x14ac:dyDescent="0.3">
      <c r="A574" s="140"/>
      <c r="B574" s="155"/>
      <c r="C574" s="152"/>
      <c r="D574" s="952"/>
      <c r="E574" s="152"/>
      <c r="F574" s="151"/>
      <c r="G574" s="156"/>
      <c r="H574" s="134"/>
    </row>
    <row r="575" spans="1:8" ht="15.75" thickBot="1" x14ac:dyDescent="0.3">
      <c r="A575" s="140"/>
      <c r="B575" s="157"/>
      <c r="C575" s="159"/>
      <c r="D575" s="953"/>
      <c r="E575" s="159"/>
      <c r="F575" s="158"/>
      <c r="G575" s="160"/>
      <c r="H575" s="161">
        <f>+SUM(G563:G575)</f>
        <v>0</v>
      </c>
    </row>
    <row r="576" spans="1:8" ht="15.75" thickBot="1" x14ac:dyDescent="0.3">
      <c r="A576" s="140"/>
      <c r="B576" s="162"/>
      <c r="C576" s="162"/>
      <c r="D576" s="954"/>
      <c r="E576" s="162"/>
      <c r="F576" s="163"/>
      <c r="G576" s="164"/>
      <c r="H576" s="165"/>
    </row>
    <row r="577" spans="1:8" ht="15.75" thickBot="1" x14ac:dyDescent="0.3">
      <c r="A577" s="183"/>
      <c r="B577" s="1369" t="s">
        <v>5410</v>
      </c>
      <c r="C577" s="1363" t="s">
        <v>867</v>
      </c>
      <c r="D577" s="1120" t="s">
        <v>6</v>
      </c>
      <c r="E577" s="1363" t="s">
        <v>870</v>
      </c>
      <c r="F577" s="1363" t="s">
        <v>5411</v>
      </c>
      <c r="G577" s="1370" t="s">
        <v>868</v>
      </c>
      <c r="H577" s="1371"/>
    </row>
    <row r="578" spans="1:8" ht="30.75" customHeight="1" x14ac:dyDescent="0.25">
      <c r="A578" s="140"/>
      <c r="B578" s="990" t="s">
        <v>9012</v>
      </c>
      <c r="C578" s="989" t="s">
        <v>5430</v>
      </c>
      <c r="D578" s="693">
        <v>1.3</v>
      </c>
      <c r="E578" s="975">
        <f>+VLOOKUP(B578,Insumos!$A$2:$C$331,3,FALSE)</f>
        <v>956.42</v>
      </c>
      <c r="F578" s="991">
        <v>22</v>
      </c>
      <c r="G578" s="367">
        <f>+D578*E578*(F578)</f>
        <v>27353.612000000001</v>
      </c>
      <c r="H578" s="134"/>
    </row>
    <row r="579" spans="1:8" x14ac:dyDescent="0.25">
      <c r="A579" s="140"/>
      <c r="B579" s="988" t="s">
        <v>7981</v>
      </c>
      <c r="C579" s="989" t="s">
        <v>5430</v>
      </c>
      <c r="D579" s="688">
        <v>1</v>
      </c>
      <c r="E579" s="975">
        <f>+VLOOKUP(B579,Insumos!$A$2:$C$331,3,FALSE)</f>
        <v>5626</v>
      </c>
      <c r="F579" s="989"/>
      <c r="G579" s="367">
        <f>+D579*E579</f>
        <v>5626</v>
      </c>
      <c r="H579" s="134"/>
    </row>
    <row r="580" spans="1:8" x14ac:dyDescent="0.25">
      <c r="A580" s="140"/>
      <c r="B580" s="196"/>
      <c r="C580" s="151"/>
      <c r="D580" s="212"/>
      <c r="E580" s="148"/>
      <c r="F580" s="151"/>
      <c r="G580" s="367"/>
      <c r="H580" s="134"/>
    </row>
    <row r="581" spans="1:8" x14ac:dyDescent="0.25">
      <c r="A581" s="140"/>
      <c r="B581" s="155"/>
      <c r="C581" s="151"/>
      <c r="D581" s="212"/>
      <c r="E581" s="148"/>
      <c r="F581" s="151"/>
      <c r="G581" s="367"/>
      <c r="H581" s="134"/>
    </row>
    <row r="582" spans="1:8" x14ac:dyDescent="0.25">
      <c r="A582" s="140"/>
      <c r="B582" s="155"/>
      <c r="C582" s="151"/>
      <c r="D582" s="212"/>
      <c r="E582" s="148"/>
      <c r="F582" s="151"/>
      <c r="G582" s="367"/>
      <c r="H582" s="134"/>
    </row>
    <row r="583" spans="1:8" ht="15.75" thickBot="1" x14ac:dyDescent="0.3">
      <c r="A583" s="140"/>
      <c r="B583" s="155"/>
      <c r="C583" s="151"/>
      <c r="D583" s="212"/>
      <c r="E583" s="148"/>
      <c r="F583" s="151"/>
      <c r="G583" s="367"/>
      <c r="H583" s="134"/>
    </row>
    <row r="584" spans="1:8" ht="15.75" thickBot="1" x14ac:dyDescent="0.3">
      <c r="A584" s="140"/>
      <c r="B584" s="157"/>
      <c r="C584" s="159"/>
      <c r="D584" s="953"/>
      <c r="E584" s="159"/>
      <c r="F584" s="158"/>
      <c r="G584" s="160"/>
      <c r="H584" s="161">
        <f>+SUM(G578:G584)</f>
        <v>32979.612000000001</v>
      </c>
    </row>
    <row r="585" spans="1:8" ht="15.75" thickBot="1" x14ac:dyDescent="0.3">
      <c r="A585" s="140"/>
      <c r="B585" s="162"/>
      <c r="C585" s="162"/>
      <c r="D585" s="954"/>
      <c r="E585" s="162"/>
      <c r="F585" s="173"/>
      <c r="G585" s="174"/>
      <c r="H585" s="165"/>
    </row>
    <row r="586" spans="1:8" ht="15.75" thickBot="1" x14ac:dyDescent="0.3">
      <c r="A586" s="183"/>
      <c r="B586" s="1369" t="s">
        <v>5412</v>
      </c>
      <c r="C586" s="1363" t="s">
        <v>5420</v>
      </c>
      <c r="D586" s="1120" t="s">
        <v>5421</v>
      </c>
      <c r="E586" s="1363" t="s">
        <v>5413</v>
      </c>
      <c r="F586" s="1363" t="s">
        <v>5405</v>
      </c>
      <c r="G586" s="1370" t="s">
        <v>868</v>
      </c>
      <c r="H586" s="1371"/>
    </row>
    <row r="587" spans="1:8" x14ac:dyDescent="0.25">
      <c r="A587" s="140"/>
      <c r="B587" s="194" t="s">
        <v>5650</v>
      </c>
      <c r="C587" s="345">
        <f>+VLOOKUP($B587,'Mano de obra'!$A$5:$D$26,2,FALSE)</f>
        <v>57454</v>
      </c>
      <c r="D587" s="345">
        <f>+VLOOKUP($B587,'Mano de obra'!$A$5:$D$26,3,FALSE)</f>
        <v>35656</v>
      </c>
      <c r="E587" s="345">
        <f>+VLOOKUP($B587,'Mano de obra'!$A$5:$D$26,4,FALSE)</f>
        <v>93110</v>
      </c>
      <c r="F587" s="202">
        <v>1000</v>
      </c>
      <c r="G587" s="351">
        <f>+E587/F587</f>
        <v>93.11</v>
      </c>
      <c r="H587" s="134"/>
    </row>
    <row r="588" spans="1:8" x14ac:dyDescent="0.25">
      <c r="A588" s="140"/>
      <c r="B588" s="194" t="s">
        <v>5949</v>
      </c>
      <c r="C588" s="345">
        <f>+VLOOKUP($B588,'Mano de obra'!$A$5:$D$26,2,FALSE)</f>
        <v>44263.8</v>
      </c>
      <c r="D588" s="345">
        <f>+VLOOKUP($B588,'Mano de obra'!$A$5:$D$26,3,FALSE)</f>
        <v>27470</v>
      </c>
      <c r="E588" s="345">
        <f>+VLOOKUP($B588,'Mano de obra'!$A$5:$D$26,4,FALSE)</f>
        <v>71733.8</v>
      </c>
      <c r="F588" s="204">
        <v>700</v>
      </c>
      <c r="G588" s="351">
        <f>+E588/F588</f>
        <v>102.47685714285714</v>
      </c>
      <c r="H588" s="134"/>
    </row>
    <row r="589" spans="1:8" x14ac:dyDescent="0.25">
      <c r="A589" s="140"/>
      <c r="B589" s="195" t="s">
        <v>5635</v>
      </c>
      <c r="C589" s="345">
        <f>+VLOOKUP($B589,'Mano de obra'!$A$5:$D$26,2,FALSE)</f>
        <v>24591</v>
      </c>
      <c r="D589" s="345">
        <f>+VLOOKUP($B589,'Mano de obra'!$A$5:$D$26,3,FALSE)</f>
        <v>15261</v>
      </c>
      <c r="E589" s="345">
        <f>+VLOOKUP($B589,'Mano de obra'!$A$5:$D$26,4,FALSE)</f>
        <v>39852</v>
      </c>
      <c r="F589" s="205">
        <f>+F555*6</f>
        <v>168</v>
      </c>
      <c r="G589" s="351">
        <f>+E589/F589</f>
        <v>237.21428571428572</v>
      </c>
      <c r="H589" s="134"/>
    </row>
    <row r="590" spans="1:8" x14ac:dyDescent="0.25">
      <c r="A590" s="140"/>
      <c r="B590" s="155"/>
      <c r="C590" s="152"/>
      <c r="D590" s="952"/>
      <c r="E590" s="152"/>
      <c r="F590" s="151"/>
      <c r="G590" s="156"/>
      <c r="H590" s="134"/>
    </row>
    <row r="591" spans="1:8" x14ac:dyDescent="0.25">
      <c r="A591" s="140"/>
      <c r="B591" s="155"/>
      <c r="C591" s="152"/>
      <c r="D591" s="952"/>
      <c r="E591" s="152"/>
      <c r="F591" s="151"/>
      <c r="G591" s="156"/>
      <c r="H591" s="134"/>
    </row>
    <row r="592" spans="1:8" ht="15.75" thickBot="1" x14ac:dyDescent="0.3">
      <c r="A592" s="140"/>
      <c r="B592" s="155"/>
      <c r="C592" s="152"/>
      <c r="D592" s="952"/>
      <c r="E592" s="152"/>
      <c r="F592" s="151"/>
      <c r="G592" s="156"/>
      <c r="H592" s="134"/>
    </row>
    <row r="593" spans="1:12" ht="15.75" thickBot="1" x14ac:dyDescent="0.3">
      <c r="A593" s="140"/>
      <c r="B593" s="179"/>
      <c r="C593" s="180"/>
      <c r="D593" s="956"/>
      <c r="E593" s="180"/>
      <c r="F593" s="181"/>
      <c r="G593" s="182"/>
      <c r="H593" s="161">
        <f>+SUM(G587:G593)</f>
        <v>432.80114285714285</v>
      </c>
    </row>
    <row r="594" spans="1:12" ht="15.75" thickBot="1" x14ac:dyDescent="0.3">
      <c r="A594" s="140"/>
      <c r="B594" s="140"/>
      <c r="C594" s="140"/>
      <c r="D594" s="529"/>
      <c r="E594" s="140"/>
      <c r="F594" s="141"/>
      <c r="G594" s="134"/>
      <c r="H594" s="134"/>
    </row>
    <row r="595" spans="1:12" ht="15.75" thickBot="1" x14ac:dyDescent="0.3">
      <c r="A595" s="133" t="s">
        <v>6744</v>
      </c>
      <c r="B595" s="140"/>
      <c r="C595" s="140"/>
      <c r="D595" s="529"/>
      <c r="E595" s="183" t="s">
        <v>5415</v>
      </c>
      <c r="F595" s="141"/>
      <c r="G595" s="134"/>
      <c r="H595" s="992">
        <f>ROUND(+H560+H575+H584+H593,0)</f>
        <v>34912</v>
      </c>
      <c r="J595" s="811"/>
      <c r="L595" s="1595"/>
    </row>
    <row r="596" spans="1:12" x14ac:dyDescent="0.25">
      <c r="A596" s="1058"/>
      <c r="B596" s="1058"/>
      <c r="C596" s="1058"/>
      <c r="D596" s="957"/>
      <c r="E596" s="1058"/>
      <c r="F596" s="1058"/>
      <c r="G596" s="1058"/>
      <c r="H596" s="1058"/>
    </row>
    <row r="597" spans="1:12" x14ac:dyDescent="0.25">
      <c r="A597" s="1058"/>
      <c r="B597" s="1058"/>
      <c r="C597" s="1058"/>
      <c r="D597" s="957"/>
      <c r="E597" s="1058"/>
      <c r="F597" s="1058"/>
      <c r="G597" s="1058"/>
      <c r="H597" s="1058"/>
    </row>
    <row r="598" spans="1:12" x14ac:dyDescent="0.25">
      <c r="A598" s="673" t="s">
        <v>5482</v>
      </c>
      <c r="B598" s="1390" t="str">
        <f>+VLOOKUP(C598,ListaAPUs!$B:$E,4,FALSE)</f>
        <v>2.4.1</v>
      </c>
      <c r="C598" s="2452" t="str">
        <f>+ListaAPUs!B30</f>
        <v>Desmonte, limpieza y transporte de elementos ERPs</v>
      </c>
      <c r="D598" s="2447"/>
      <c r="E598" s="2447"/>
      <c r="F598" s="673" t="s">
        <v>867</v>
      </c>
      <c r="G598" s="342" t="s">
        <v>5424</v>
      </c>
      <c r="H598" s="341"/>
    </row>
    <row r="599" spans="1:12" x14ac:dyDescent="0.25">
      <c r="A599" s="133"/>
      <c r="B599" s="8"/>
      <c r="C599" s="223"/>
      <c r="D599" s="958"/>
      <c r="E599" s="223"/>
      <c r="F599" s="133"/>
      <c r="G599" s="341"/>
      <c r="H599" s="341"/>
    </row>
    <row r="600" spans="1:12" x14ac:dyDescent="0.25">
      <c r="A600" s="133"/>
      <c r="B600" s="8"/>
      <c r="C600" s="8"/>
      <c r="D600" s="529"/>
      <c r="E600" s="8"/>
      <c r="F600" s="8"/>
      <c r="G600" s="8"/>
      <c r="H600" s="341"/>
    </row>
    <row r="601" spans="1:12" ht="15.75" thickBot="1" x14ac:dyDescent="0.3">
      <c r="A601" s="133"/>
      <c r="B601" s="8"/>
      <c r="C601" s="8"/>
      <c r="D601" s="529"/>
      <c r="E601" s="8"/>
      <c r="F601" s="133"/>
      <c r="G601" s="341"/>
      <c r="H601" s="341"/>
    </row>
    <row r="602" spans="1:12" ht="15.75" thickBot="1" x14ac:dyDescent="0.3">
      <c r="A602" s="1384"/>
      <c r="B602" s="1114" t="s">
        <v>5403</v>
      </c>
      <c r="C602" s="1117" t="s">
        <v>867</v>
      </c>
      <c r="D602" s="1120" t="s">
        <v>6</v>
      </c>
      <c r="E602" s="1117" t="s">
        <v>5439</v>
      </c>
      <c r="F602" s="1117" t="s">
        <v>5405</v>
      </c>
      <c r="G602" s="1385" t="s">
        <v>868</v>
      </c>
      <c r="H602" s="1386"/>
    </row>
    <row r="603" spans="1:12" x14ac:dyDescent="0.25">
      <c r="A603" s="133"/>
      <c r="B603" s="146" t="s">
        <v>5934</v>
      </c>
      <c r="C603" s="226" t="s">
        <v>5402</v>
      </c>
      <c r="D603" s="212">
        <v>0.7</v>
      </c>
      <c r="E603" s="372">
        <f>+H641</f>
        <v>186311.22500000001</v>
      </c>
      <c r="F603" s="226">
        <v>0.1</v>
      </c>
      <c r="G603" s="373">
        <f>+E603*F603*D603</f>
        <v>13041.785750000001</v>
      </c>
      <c r="H603" s="341"/>
    </row>
    <row r="604" spans="1:12" x14ac:dyDescent="0.25">
      <c r="A604" s="133"/>
      <c r="B604" s="195" t="s">
        <v>5696</v>
      </c>
      <c r="C604" s="226" t="s">
        <v>5424</v>
      </c>
      <c r="D604" s="212">
        <v>0.3</v>
      </c>
      <c r="E604" s="148">
        <f>+VLOOKUP(B604,Insumos!$A$2:$C$331,3,FALSE)</f>
        <v>202536</v>
      </c>
      <c r="F604" s="226">
        <f>8*0.83</f>
        <v>6.64</v>
      </c>
      <c r="G604" s="344">
        <f>+E604*F604</f>
        <v>1344839.04</v>
      </c>
      <c r="H604" s="341"/>
    </row>
    <row r="605" spans="1:12" x14ac:dyDescent="0.25">
      <c r="A605" s="133"/>
      <c r="B605" s="195"/>
      <c r="C605" s="226"/>
      <c r="D605" s="212"/>
      <c r="E605" s="345"/>
      <c r="F605" s="226"/>
      <c r="G605" s="344"/>
      <c r="H605" s="341"/>
    </row>
    <row r="606" spans="1:12" x14ac:dyDescent="0.25">
      <c r="A606" s="133"/>
      <c r="B606" s="195"/>
      <c r="C606" s="226"/>
      <c r="D606" s="212"/>
      <c r="E606" s="346"/>
      <c r="F606" s="226"/>
      <c r="G606" s="375"/>
      <c r="H606" s="341"/>
    </row>
    <row r="607" spans="1:12" x14ac:dyDescent="0.25">
      <c r="A607" s="133"/>
      <c r="B607" s="195"/>
      <c r="C607" s="226"/>
      <c r="D607" s="952"/>
      <c r="E607" s="232"/>
      <c r="F607" s="226"/>
      <c r="G607" s="344"/>
      <c r="H607" s="341"/>
    </row>
    <row r="608" spans="1:12" ht="15.75" thickBot="1" x14ac:dyDescent="0.3">
      <c r="A608" s="133"/>
      <c r="B608" s="195"/>
      <c r="C608" s="226"/>
      <c r="D608" s="952"/>
      <c r="E608" s="232"/>
      <c r="F608" s="226"/>
      <c r="G608" s="344"/>
      <c r="H608" s="341"/>
    </row>
    <row r="609" spans="1:8" ht="15.75" thickBot="1" x14ac:dyDescent="0.3">
      <c r="A609" s="133"/>
      <c r="B609" s="233"/>
      <c r="C609" s="234"/>
      <c r="D609" s="953"/>
      <c r="E609" s="234"/>
      <c r="F609" s="235"/>
      <c r="G609" s="347"/>
      <c r="H609" s="348">
        <f>+SUM(G603:G609)</f>
        <v>1357880.8257500001</v>
      </c>
    </row>
    <row r="610" spans="1:8" ht="15.75" thickBot="1" x14ac:dyDescent="0.3">
      <c r="A610" s="133"/>
      <c r="B610" s="238"/>
      <c r="C610" s="238"/>
      <c r="D610" s="954"/>
      <c r="E610" s="238"/>
      <c r="F610" s="239"/>
      <c r="G610" s="349"/>
      <c r="H610" s="350"/>
    </row>
    <row r="611" spans="1:8" ht="15.75" thickBot="1" x14ac:dyDescent="0.3">
      <c r="A611" s="1384"/>
      <c r="B611" s="1114" t="s">
        <v>5408</v>
      </c>
      <c r="C611" s="1117" t="s">
        <v>867</v>
      </c>
      <c r="D611" s="1120" t="s">
        <v>6</v>
      </c>
      <c r="E611" s="1117" t="s">
        <v>870</v>
      </c>
      <c r="F611" s="1117" t="s">
        <v>5409</v>
      </c>
      <c r="G611" s="1385" t="s">
        <v>868</v>
      </c>
      <c r="H611" s="1386"/>
    </row>
    <row r="612" spans="1:8" x14ac:dyDescent="0.25">
      <c r="A612" s="133"/>
      <c r="B612" s="295" t="s">
        <v>5553</v>
      </c>
      <c r="C612" s="202" t="s">
        <v>5488</v>
      </c>
      <c r="D612" s="212">
        <v>333</v>
      </c>
      <c r="E612" s="148">
        <f>+VLOOKUP(B612,Insumos!$A$2:$C$331,3,FALSE)</f>
        <v>30</v>
      </c>
      <c r="F612" s="169">
        <v>0.05</v>
      </c>
      <c r="G612" s="178">
        <f>+D612*E612*(1+F612)</f>
        <v>10489.5</v>
      </c>
      <c r="H612" s="341"/>
    </row>
    <row r="613" spans="1:8" x14ac:dyDescent="0.25">
      <c r="A613" s="133"/>
      <c r="B613" s="450" t="s">
        <v>6392</v>
      </c>
      <c r="C613" s="202" t="s">
        <v>5475</v>
      </c>
      <c r="D613" s="211"/>
      <c r="E613" s="228"/>
      <c r="F613" s="169"/>
      <c r="G613" s="178">
        <f>7048+J641</f>
        <v>7048</v>
      </c>
      <c r="H613" s="341"/>
    </row>
    <row r="614" spans="1:8" x14ac:dyDescent="0.25">
      <c r="A614" s="133"/>
      <c r="B614" s="260"/>
      <c r="C614" s="202"/>
      <c r="D614" s="212"/>
      <c r="E614" s="376"/>
      <c r="F614" s="169"/>
      <c r="G614" s="377"/>
      <c r="H614" s="341"/>
    </row>
    <row r="615" spans="1:8" x14ac:dyDescent="0.25">
      <c r="A615" s="133"/>
      <c r="B615" s="260"/>
      <c r="C615" s="226"/>
      <c r="D615" s="212"/>
      <c r="E615" s="346"/>
      <c r="F615" s="169"/>
      <c r="G615" s="377"/>
      <c r="H615" s="341"/>
    </row>
    <row r="616" spans="1:8" x14ac:dyDescent="0.25">
      <c r="A616" s="133"/>
      <c r="B616" s="195"/>
      <c r="C616" s="226"/>
      <c r="D616" s="212"/>
      <c r="E616" s="346"/>
      <c r="F616" s="169"/>
      <c r="G616" s="351"/>
      <c r="H616" s="341"/>
    </row>
    <row r="617" spans="1:8" x14ac:dyDescent="0.25">
      <c r="A617" s="133"/>
      <c r="B617" s="194"/>
      <c r="C617" s="202"/>
      <c r="D617" s="211"/>
      <c r="E617" s="346"/>
      <c r="F617" s="169"/>
      <c r="G617" s="351"/>
      <c r="H617" s="341"/>
    </row>
    <row r="618" spans="1:8" x14ac:dyDescent="0.25">
      <c r="A618" s="133"/>
      <c r="B618" s="195"/>
      <c r="C618" s="226"/>
      <c r="D618" s="212"/>
      <c r="E618" s="346"/>
      <c r="F618" s="169"/>
      <c r="G618" s="351"/>
      <c r="H618" s="341"/>
    </row>
    <row r="619" spans="1:8" x14ac:dyDescent="0.25">
      <c r="A619" s="133"/>
      <c r="B619" s="195"/>
      <c r="C619" s="226"/>
      <c r="D619" s="212"/>
      <c r="E619" s="346"/>
      <c r="F619" s="169"/>
      <c r="G619" s="351"/>
      <c r="H619" s="341"/>
    </row>
    <row r="620" spans="1:8" x14ac:dyDescent="0.25">
      <c r="A620" s="133"/>
      <c r="B620" s="195"/>
      <c r="C620" s="232"/>
      <c r="D620" s="952"/>
      <c r="E620" s="232"/>
      <c r="F620" s="226"/>
      <c r="G620" s="344"/>
      <c r="H620" s="341"/>
    </row>
    <row r="621" spans="1:8" x14ac:dyDescent="0.25">
      <c r="A621" s="133"/>
      <c r="B621" s="195"/>
      <c r="C621" s="232"/>
      <c r="D621" s="952"/>
      <c r="E621" s="232"/>
      <c r="F621" s="226"/>
      <c r="G621" s="344"/>
      <c r="H621" s="341"/>
    </row>
    <row r="622" spans="1:8" x14ac:dyDescent="0.25">
      <c r="A622" s="133"/>
      <c r="B622" s="195"/>
      <c r="C622" s="232"/>
      <c r="D622" s="952"/>
      <c r="E622" s="232"/>
      <c r="F622" s="226"/>
      <c r="G622" s="344"/>
      <c r="H622" s="341"/>
    </row>
    <row r="623" spans="1:8" ht="15.75" thickBot="1" x14ac:dyDescent="0.3">
      <c r="A623" s="133"/>
      <c r="B623" s="195"/>
      <c r="C623" s="232"/>
      <c r="D623" s="952"/>
      <c r="E623" s="232"/>
      <c r="F623" s="226"/>
      <c r="G623" s="344"/>
      <c r="H623" s="341"/>
    </row>
    <row r="624" spans="1:8" ht="15.75" thickBot="1" x14ac:dyDescent="0.3">
      <c r="A624" s="133"/>
      <c r="B624" s="233"/>
      <c r="C624" s="234"/>
      <c r="D624" s="953"/>
      <c r="E624" s="234"/>
      <c r="F624" s="235"/>
      <c r="G624" s="347"/>
      <c r="H624" s="358">
        <f>+SUM(G612:G624)</f>
        <v>17537.5</v>
      </c>
    </row>
    <row r="625" spans="1:8" ht="15.75" thickBot="1" x14ac:dyDescent="0.3">
      <c r="A625" s="133"/>
      <c r="B625" s="238"/>
      <c r="C625" s="238"/>
      <c r="D625" s="954"/>
      <c r="E625" s="238"/>
      <c r="F625" s="239"/>
      <c r="G625" s="349"/>
      <c r="H625" s="350"/>
    </row>
    <row r="626" spans="1:8" ht="15.75" thickBot="1" x14ac:dyDescent="0.3">
      <c r="A626" s="1384"/>
      <c r="B626" s="1114" t="s">
        <v>5410</v>
      </c>
      <c r="C626" s="1117" t="s">
        <v>867</v>
      </c>
      <c r="D626" s="1120" t="s">
        <v>6</v>
      </c>
      <c r="E626" s="1117" t="s">
        <v>870</v>
      </c>
      <c r="F626" s="1117" t="s">
        <v>5411</v>
      </c>
      <c r="G626" s="1385" t="s">
        <v>868</v>
      </c>
      <c r="H626" s="1386"/>
    </row>
    <row r="627" spans="1:8" x14ac:dyDescent="0.25">
      <c r="A627" s="133"/>
      <c r="B627" s="245" t="s">
        <v>8010</v>
      </c>
      <c r="C627" s="283" t="s">
        <v>5424</v>
      </c>
      <c r="D627" s="959">
        <v>0.84</v>
      </c>
      <c r="E627" s="148">
        <f>+VLOOKUP(B627,Insumos!$A$2:$C$331,3,FALSE)</f>
        <v>1100</v>
      </c>
      <c r="F627" s="283">
        <v>1</v>
      </c>
      <c r="G627" s="354">
        <f>+D627*E627*F627</f>
        <v>924</v>
      </c>
      <c r="H627" s="355"/>
    </row>
    <row r="628" spans="1:8" x14ac:dyDescent="0.25">
      <c r="A628" s="133"/>
      <c r="B628" s="988" t="s">
        <v>7981</v>
      </c>
      <c r="C628" s="989" t="s">
        <v>5430</v>
      </c>
      <c r="D628" s="688">
        <v>1</v>
      </c>
      <c r="E628" s="975">
        <f>+VLOOKUP(B628,Insumos!$A$2:$C$331,3,FALSE)</f>
        <v>5626</v>
      </c>
      <c r="F628" s="147"/>
      <c r="G628" s="367">
        <f>+D628*E628</f>
        <v>5626</v>
      </c>
      <c r="H628" s="341"/>
    </row>
    <row r="629" spans="1:8" x14ac:dyDescent="0.25">
      <c r="A629" s="133"/>
      <c r="B629" s="196"/>
      <c r="C629" s="151"/>
      <c r="D629" s="212"/>
      <c r="E629" s="148"/>
      <c r="F629" s="151"/>
      <c r="G629" s="367"/>
      <c r="H629" s="341"/>
    </row>
    <row r="630" spans="1:8" x14ac:dyDescent="0.25">
      <c r="A630" s="133"/>
      <c r="B630" s="194"/>
      <c r="C630" s="248"/>
      <c r="D630" s="961"/>
      <c r="E630" s="248"/>
      <c r="F630" s="202"/>
      <c r="G630" s="344"/>
      <c r="H630" s="341"/>
    </row>
    <row r="631" spans="1:8" ht="15.75" thickBot="1" x14ac:dyDescent="0.3">
      <c r="A631" s="133"/>
      <c r="B631" s="195"/>
      <c r="C631" s="232"/>
      <c r="D631" s="952"/>
      <c r="E631" s="232"/>
      <c r="F631" s="226"/>
      <c r="G631" s="344"/>
      <c r="H631" s="341"/>
    </row>
    <row r="632" spans="1:8" ht="15.75" thickBot="1" x14ac:dyDescent="0.3">
      <c r="A632" s="133"/>
      <c r="B632" s="233"/>
      <c r="C632" s="234"/>
      <c r="D632" s="953"/>
      <c r="E632" s="234"/>
      <c r="F632" s="235"/>
      <c r="G632" s="347"/>
      <c r="H632" s="348">
        <f>+SUM(G627:G632)</f>
        <v>6550</v>
      </c>
    </row>
    <row r="633" spans="1:8" ht="15.75" thickBot="1" x14ac:dyDescent="0.3">
      <c r="A633" s="133"/>
      <c r="B633" s="238"/>
      <c r="C633" s="238"/>
      <c r="D633" s="954"/>
      <c r="E633" s="238"/>
      <c r="F633" s="249"/>
      <c r="G633" s="356"/>
      <c r="H633" s="350"/>
    </row>
    <row r="634" spans="1:8" ht="15.75" thickBot="1" x14ac:dyDescent="0.3">
      <c r="A634" s="1384"/>
      <c r="B634" s="1114" t="s">
        <v>5412</v>
      </c>
      <c r="C634" s="1117" t="s">
        <v>5420</v>
      </c>
      <c r="D634" s="1120" t="s">
        <v>5421</v>
      </c>
      <c r="E634" s="1117" t="s">
        <v>5413</v>
      </c>
      <c r="F634" s="1117" t="s">
        <v>5405</v>
      </c>
      <c r="G634" s="1385" t="s">
        <v>868</v>
      </c>
      <c r="H634" s="1386"/>
    </row>
    <row r="635" spans="1:8" x14ac:dyDescent="0.25">
      <c r="A635" s="133"/>
      <c r="B635" s="381" t="s">
        <v>5948</v>
      </c>
      <c r="C635" s="345">
        <f>+VLOOKUP($B635,'Mano de obra'!$A$5:$D$26,2,FALSE)</f>
        <v>57455</v>
      </c>
      <c r="D635" s="345">
        <f>+VLOOKUP($B635,'Mano de obra'!$A$5:$D$26,3,FALSE)</f>
        <v>35656</v>
      </c>
      <c r="E635" s="345">
        <f>+VLOOKUP($B635,'Mano de obra'!$A$5:$D$26,4,FALSE)</f>
        <v>93111</v>
      </c>
      <c r="F635" s="204">
        <v>100</v>
      </c>
      <c r="G635" s="351">
        <f>+E635/F635*2.5</f>
        <v>2327.7750000000001</v>
      </c>
      <c r="H635" s="341"/>
    </row>
    <row r="636" spans="1:8" x14ac:dyDescent="0.25">
      <c r="A636" s="133"/>
      <c r="B636" s="385" t="s">
        <v>5949</v>
      </c>
      <c r="C636" s="345">
        <f>+VLOOKUP($B636,'Mano de obra'!$A$5:$D$26,2,FALSE)</f>
        <v>44263.8</v>
      </c>
      <c r="D636" s="345">
        <f>+VLOOKUP($B636,'Mano de obra'!$A$5:$D$26,3,FALSE)</f>
        <v>27470</v>
      </c>
      <c r="E636" s="345">
        <f>+VLOOKUP($B636,'Mano de obra'!$A$5:$D$26,4,FALSE)</f>
        <v>71733.8</v>
      </c>
      <c r="F636" s="202">
        <v>10</v>
      </c>
      <c r="G636" s="351">
        <f>+E636/F636*2.5</f>
        <v>17933.45</v>
      </c>
      <c r="H636" s="341"/>
    </row>
    <row r="637" spans="1:8" x14ac:dyDescent="0.25">
      <c r="A637" s="133"/>
      <c r="B637" s="385" t="s">
        <v>5635</v>
      </c>
      <c r="C637" s="345">
        <f>+VLOOKUP($B637,'Mano de obra'!$A$5:$D$26,2,FALSE)</f>
        <v>24591</v>
      </c>
      <c r="D637" s="345">
        <f>+VLOOKUP($B637,'Mano de obra'!$A$5:$D$26,3,FALSE)</f>
        <v>15261</v>
      </c>
      <c r="E637" s="345">
        <f>+VLOOKUP($B637,'Mano de obra'!$A$5:$D$26,4,FALSE)</f>
        <v>39852</v>
      </c>
      <c r="F637" s="226">
        <v>0.6</v>
      </c>
      <c r="G637" s="351">
        <f>+E637/F637*2.5</f>
        <v>166050</v>
      </c>
      <c r="H637" s="341"/>
    </row>
    <row r="638" spans="1:8" x14ac:dyDescent="0.25">
      <c r="A638" s="133"/>
      <c r="B638" s="195"/>
      <c r="C638" s="346"/>
      <c r="D638" s="955"/>
      <c r="E638" s="345"/>
      <c r="F638" s="226"/>
      <c r="G638" s="351"/>
      <c r="H638" s="341"/>
    </row>
    <row r="639" spans="1:8" x14ac:dyDescent="0.25">
      <c r="A639" s="133"/>
      <c r="B639" s="195"/>
      <c r="C639" s="232"/>
      <c r="D639" s="952"/>
      <c r="E639" s="232"/>
      <c r="F639" s="226"/>
      <c r="G639" s="344"/>
      <c r="H639" s="341"/>
    </row>
    <row r="640" spans="1:8" ht="15.75" thickBot="1" x14ac:dyDescent="0.3">
      <c r="A640" s="133"/>
      <c r="B640" s="195"/>
      <c r="C640" s="232"/>
      <c r="D640" s="952"/>
      <c r="E640" s="232"/>
      <c r="F640" s="226"/>
      <c r="G640" s="344"/>
      <c r="H640" s="341"/>
    </row>
    <row r="641" spans="1:8" ht="15.75" thickBot="1" x14ac:dyDescent="0.3">
      <c r="A641" s="133"/>
      <c r="B641" s="251"/>
      <c r="C641" s="252"/>
      <c r="D641" s="956"/>
      <c r="E641" s="252"/>
      <c r="F641" s="253"/>
      <c r="G641" s="357"/>
      <c r="H641" s="358">
        <f>+SUM(G635:G641)</f>
        <v>186311.22500000001</v>
      </c>
    </row>
    <row r="642" spans="1:8" ht="15.75" thickBot="1" x14ac:dyDescent="0.3">
      <c r="A642" s="133"/>
      <c r="B642" s="8"/>
      <c r="C642" s="8"/>
      <c r="D642" s="529"/>
      <c r="E642" s="8"/>
      <c r="F642" s="133"/>
      <c r="G642" s="341"/>
      <c r="H642" s="341"/>
    </row>
    <row r="643" spans="1:8" ht="15.75" thickBot="1" x14ac:dyDescent="0.3">
      <c r="A643" s="133" t="s">
        <v>6744</v>
      </c>
      <c r="B643" s="8"/>
      <c r="C643" s="8"/>
      <c r="D643" s="529"/>
      <c r="E643" s="223" t="s">
        <v>5415</v>
      </c>
      <c r="F643" s="133"/>
      <c r="G643" s="341"/>
      <c r="H643" s="358">
        <f>ROUND(+H641+H632+H624+H609,0)</f>
        <v>1568280</v>
      </c>
    </row>
    <row r="644" spans="1:8" x14ac:dyDescent="0.25">
      <c r="A644" s="1058"/>
      <c r="B644" s="1058"/>
      <c r="C644" s="1058"/>
      <c r="D644" s="957"/>
      <c r="E644" s="1058"/>
      <c r="F644" s="1058"/>
      <c r="G644" s="1058"/>
      <c r="H644" s="1058"/>
    </row>
    <row r="645" spans="1:8" x14ac:dyDescent="0.25">
      <c r="A645" s="1058"/>
      <c r="B645" s="1058"/>
      <c r="C645" s="1058"/>
      <c r="D645" s="957"/>
      <c r="E645" s="1058"/>
      <c r="F645" s="1058"/>
      <c r="G645" s="1058"/>
      <c r="H645" s="675"/>
    </row>
    <row r="646" spans="1:8" x14ac:dyDescent="0.25">
      <c r="A646" s="1058"/>
      <c r="B646" s="1058"/>
      <c r="C646" s="1058"/>
      <c r="D646" s="957"/>
      <c r="E646" s="1058"/>
      <c r="F646" s="1058"/>
      <c r="G646" s="1058"/>
      <c r="H646" s="1058"/>
    </row>
    <row r="647" spans="1:8" x14ac:dyDescent="0.25">
      <c r="A647" s="1424" t="s">
        <v>3</v>
      </c>
      <c r="B647" s="1390" t="str">
        <f>+VLOOKUP(C647,ListaAPUs!$B:$E,4,FALSE)</f>
        <v>2.5.1</v>
      </c>
      <c r="C647" s="2450" t="str">
        <f>+ListaAPUs!B33</f>
        <v>Retiro,limpieza e inspección tubería HD 200 MM</v>
      </c>
      <c r="D647" s="2450"/>
      <c r="E647" s="2450"/>
      <c r="F647" s="1424" t="s">
        <v>867</v>
      </c>
      <c r="G647" s="139" t="s">
        <v>5402</v>
      </c>
      <c r="H647" s="134"/>
    </row>
    <row r="648" spans="1:8" x14ac:dyDescent="0.25">
      <c r="A648" s="141"/>
      <c r="B648" s="140"/>
      <c r="C648" s="140"/>
      <c r="D648" s="529"/>
      <c r="E648" s="140"/>
      <c r="F648" s="141"/>
      <c r="G648" s="134"/>
      <c r="H648" s="134"/>
    </row>
    <row r="649" spans="1:8" x14ac:dyDescent="0.25">
      <c r="A649" s="141"/>
      <c r="B649" s="140"/>
      <c r="C649" s="140"/>
      <c r="D649" s="529"/>
      <c r="E649" s="140"/>
      <c r="F649" s="141"/>
      <c r="G649" s="142"/>
      <c r="H649" s="134"/>
    </row>
    <row r="650" spans="1:8" ht="15.75" thickBot="1" x14ac:dyDescent="0.3">
      <c r="A650" s="141"/>
      <c r="B650" s="140"/>
      <c r="C650" s="140"/>
      <c r="D650" s="529"/>
      <c r="E650" s="140"/>
      <c r="F650" s="141"/>
      <c r="G650" s="134"/>
      <c r="H650" s="134"/>
    </row>
    <row r="651" spans="1:8" ht="15.75" thickBot="1" x14ac:dyDescent="0.3">
      <c r="A651" s="1368"/>
      <c r="B651" s="1369" t="s">
        <v>5403</v>
      </c>
      <c r="C651" s="1363" t="s">
        <v>867</v>
      </c>
      <c r="D651" s="1120" t="s">
        <v>6</v>
      </c>
      <c r="E651" s="1363" t="s">
        <v>5404</v>
      </c>
      <c r="F651" s="1363" t="s">
        <v>5405</v>
      </c>
      <c r="G651" s="1370" t="s">
        <v>868</v>
      </c>
      <c r="H651" s="1371"/>
    </row>
    <row r="652" spans="1:8" x14ac:dyDescent="0.25">
      <c r="A652" s="141"/>
      <c r="B652" s="146" t="s">
        <v>5440</v>
      </c>
      <c r="C652" s="147" t="s">
        <v>5406</v>
      </c>
      <c r="D652" s="211"/>
      <c r="E652" s="148">
        <f>+H691</f>
        <v>14746.48</v>
      </c>
      <c r="F652" s="167">
        <v>0.2</v>
      </c>
      <c r="G652" s="360">
        <f>+E652*F652</f>
        <v>2949.2960000000003</v>
      </c>
      <c r="H652" s="134"/>
    </row>
    <row r="653" spans="1:8" ht="23.25" customHeight="1" x14ac:dyDescent="0.25">
      <c r="A653" s="141"/>
      <c r="B653" s="1539" t="s">
        <v>6869</v>
      </c>
      <c r="C653" s="151" t="s">
        <v>5666</v>
      </c>
      <c r="D653" s="212">
        <v>1</v>
      </c>
      <c r="E653" s="975">
        <f>+VLOOKUP(B653,Insumos!$A$2:$C$331,3,FALSE)</f>
        <v>202536</v>
      </c>
      <c r="F653" s="205">
        <v>30</v>
      </c>
      <c r="G653" s="360">
        <f>+D653*E653/F653</f>
        <v>6751.2</v>
      </c>
      <c r="H653" s="134"/>
    </row>
    <row r="654" spans="1:8" x14ac:dyDescent="0.25">
      <c r="A654" s="141"/>
      <c r="B654" s="154" t="s">
        <v>9031</v>
      </c>
      <c r="C654" s="151"/>
      <c r="D654" s="212"/>
      <c r="E654" s="366"/>
      <c r="F654" s="205"/>
      <c r="G654" s="360">
        <v>500</v>
      </c>
      <c r="H654" s="134"/>
    </row>
    <row r="655" spans="1:8" x14ac:dyDescent="0.25">
      <c r="A655" s="141"/>
      <c r="B655" s="154"/>
      <c r="C655" s="151"/>
      <c r="D655" s="212"/>
      <c r="E655" s="366"/>
      <c r="F655" s="205"/>
      <c r="G655" s="360"/>
      <c r="H655" s="134"/>
    </row>
    <row r="656" spans="1:8" x14ac:dyDescent="0.25">
      <c r="A656" s="141"/>
      <c r="B656" s="155"/>
      <c r="C656" s="151"/>
      <c r="D656" s="952"/>
      <c r="E656" s="152"/>
      <c r="F656" s="151"/>
      <c r="G656" s="156"/>
      <c r="H656" s="134"/>
    </row>
    <row r="657" spans="1:8" ht="15.75" thickBot="1" x14ac:dyDescent="0.3">
      <c r="A657" s="141"/>
      <c r="B657" s="155"/>
      <c r="C657" s="151"/>
      <c r="D657" s="952"/>
      <c r="E657" s="152"/>
      <c r="F657" s="151"/>
      <c r="G657" s="156"/>
      <c r="H657" s="134"/>
    </row>
    <row r="658" spans="1:8" ht="15.75" thickBot="1" x14ac:dyDescent="0.3">
      <c r="A658" s="141"/>
      <c r="B658" s="157"/>
      <c r="C658" s="158"/>
      <c r="D658" s="953"/>
      <c r="E658" s="159"/>
      <c r="F658" s="158"/>
      <c r="G658" s="160"/>
      <c r="H658" s="161">
        <f>+SUM(G652:G658)</f>
        <v>10200.495999999999</v>
      </c>
    </row>
    <row r="659" spans="1:8" ht="15.75" thickBot="1" x14ac:dyDescent="0.3">
      <c r="A659" s="141"/>
      <c r="B659" s="162"/>
      <c r="C659" s="163"/>
      <c r="D659" s="954"/>
      <c r="E659" s="162"/>
      <c r="F659" s="163"/>
      <c r="G659" s="164"/>
      <c r="H659" s="165"/>
    </row>
    <row r="660" spans="1:8" ht="15.75" thickBot="1" x14ac:dyDescent="0.3">
      <c r="A660" s="183"/>
      <c r="B660" s="1369" t="s">
        <v>5408</v>
      </c>
      <c r="C660" s="1363" t="s">
        <v>867</v>
      </c>
      <c r="D660" s="1120" t="s">
        <v>6</v>
      </c>
      <c r="E660" s="1363" t="s">
        <v>870</v>
      </c>
      <c r="F660" s="1363" t="s">
        <v>5409</v>
      </c>
      <c r="G660" s="1370" t="s">
        <v>868</v>
      </c>
      <c r="H660" s="1371"/>
    </row>
    <row r="661" spans="1:8" x14ac:dyDescent="0.25">
      <c r="A661" s="140"/>
      <c r="B661" s="295" t="s">
        <v>5553</v>
      </c>
      <c r="C661" s="202" t="s">
        <v>5488</v>
      </c>
      <c r="D661" s="212">
        <v>10</v>
      </c>
      <c r="E661" s="975">
        <f>+VLOOKUP(B661,Insumos!$A$2:$C$331,3,FALSE)</f>
        <v>30</v>
      </c>
      <c r="F661" s="169">
        <v>0.05</v>
      </c>
      <c r="G661" s="178">
        <f>+D661*E661*(1+F661)</f>
        <v>315</v>
      </c>
      <c r="H661" s="134"/>
    </row>
    <row r="662" spans="1:8" x14ac:dyDescent="0.25">
      <c r="A662" s="140"/>
      <c r="B662" s="450" t="s">
        <v>6392</v>
      </c>
      <c r="C662" s="202" t="s">
        <v>5475</v>
      </c>
      <c r="D662" s="211"/>
      <c r="E662" s="228"/>
      <c r="F662" s="169"/>
      <c r="G662" s="178">
        <v>150</v>
      </c>
      <c r="H662" s="134"/>
    </row>
    <row r="663" spans="1:8" x14ac:dyDescent="0.25">
      <c r="A663" s="140"/>
      <c r="B663" s="196"/>
      <c r="C663" s="151"/>
      <c r="D663" s="212"/>
      <c r="E663" s="148"/>
      <c r="F663" s="169"/>
      <c r="G663" s="367"/>
      <c r="H663" s="134"/>
    </row>
    <row r="664" spans="1:8" x14ac:dyDescent="0.25">
      <c r="A664" s="140"/>
      <c r="B664" s="155"/>
      <c r="C664" s="151"/>
      <c r="D664" s="212"/>
      <c r="E664" s="148"/>
      <c r="F664" s="151"/>
      <c r="G664" s="367"/>
      <c r="H664" s="134"/>
    </row>
    <row r="665" spans="1:8" x14ac:dyDescent="0.25">
      <c r="A665" s="140"/>
      <c r="B665" s="155"/>
      <c r="C665" s="151"/>
      <c r="D665" s="212"/>
      <c r="E665" s="148"/>
      <c r="F665" s="151"/>
      <c r="G665" s="367"/>
      <c r="H665" s="134"/>
    </row>
    <row r="666" spans="1:8" x14ac:dyDescent="0.25">
      <c r="A666" s="140"/>
      <c r="B666" s="155"/>
      <c r="C666" s="151"/>
      <c r="D666" s="212"/>
      <c r="E666" s="148"/>
      <c r="F666" s="151"/>
      <c r="G666" s="367"/>
      <c r="H666" s="134"/>
    </row>
    <row r="667" spans="1:8" x14ac:dyDescent="0.25">
      <c r="A667" s="140"/>
      <c r="B667" s="155"/>
      <c r="C667" s="151"/>
      <c r="D667" s="212"/>
      <c r="E667" s="148"/>
      <c r="F667" s="151"/>
      <c r="G667" s="367"/>
      <c r="H667" s="134"/>
    </row>
    <row r="668" spans="1:8" x14ac:dyDescent="0.25">
      <c r="A668" s="140"/>
      <c r="B668" s="155"/>
      <c r="C668" s="151"/>
      <c r="D668" s="212"/>
      <c r="E668" s="148"/>
      <c r="F668" s="151"/>
      <c r="G668" s="367"/>
      <c r="H668" s="134"/>
    </row>
    <row r="669" spans="1:8" x14ac:dyDescent="0.25">
      <c r="A669" s="140"/>
      <c r="B669" s="155"/>
      <c r="C669" s="151"/>
      <c r="D669" s="212"/>
      <c r="E669" s="148"/>
      <c r="F669" s="151"/>
      <c r="G669" s="367"/>
      <c r="H669" s="134"/>
    </row>
    <row r="670" spans="1:8" x14ac:dyDescent="0.25">
      <c r="A670" s="140"/>
      <c r="B670" s="155"/>
      <c r="C670" s="151"/>
      <c r="D670" s="212"/>
      <c r="E670" s="148"/>
      <c r="F670" s="151"/>
      <c r="G670" s="367"/>
      <c r="H670" s="134"/>
    </row>
    <row r="671" spans="1:8" x14ac:dyDescent="0.25">
      <c r="A671" s="140"/>
      <c r="B671" s="155"/>
      <c r="C671" s="152"/>
      <c r="D671" s="952"/>
      <c r="E671" s="152"/>
      <c r="F671" s="151"/>
      <c r="G671" s="156"/>
      <c r="H671" s="134"/>
    </row>
    <row r="672" spans="1:8" ht="15.75" thickBot="1" x14ac:dyDescent="0.3">
      <c r="A672" s="140"/>
      <c r="B672" s="155"/>
      <c r="C672" s="152"/>
      <c r="D672" s="952"/>
      <c r="E672" s="152"/>
      <c r="F672" s="151"/>
      <c r="G672" s="156"/>
      <c r="H672" s="134"/>
    </row>
    <row r="673" spans="1:8" ht="15.75" thickBot="1" x14ac:dyDescent="0.3">
      <c r="A673" s="140"/>
      <c r="B673" s="157"/>
      <c r="C673" s="159"/>
      <c r="D673" s="953"/>
      <c r="E673" s="159"/>
      <c r="F673" s="158"/>
      <c r="G673" s="160"/>
      <c r="H673" s="161">
        <f>+SUM(G661:G673)</f>
        <v>465</v>
      </c>
    </row>
    <row r="674" spans="1:8" ht="15.75" thickBot="1" x14ac:dyDescent="0.3">
      <c r="A674" s="140"/>
      <c r="B674" s="162"/>
      <c r="C674" s="162"/>
      <c r="D674" s="954"/>
      <c r="E674" s="162"/>
      <c r="F674" s="163"/>
      <c r="G674" s="164"/>
      <c r="H674" s="165"/>
    </row>
    <row r="675" spans="1:8" ht="15.75" thickBot="1" x14ac:dyDescent="0.3">
      <c r="A675" s="183"/>
      <c r="B675" s="1369" t="s">
        <v>5410</v>
      </c>
      <c r="C675" s="1363" t="s">
        <v>867</v>
      </c>
      <c r="D675" s="1120" t="s">
        <v>6</v>
      </c>
      <c r="E675" s="1363" t="s">
        <v>870</v>
      </c>
      <c r="F675" s="1363" t="s">
        <v>5411</v>
      </c>
      <c r="G675" s="1370" t="s">
        <v>868</v>
      </c>
      <c r="H675" s="1371"/>
    </row>
    <row r="676" spans="1:8" x14ac:dyDescent="0.25">
      <c r="A676" s="140"/>
      <c r="B676" s="201"/>
      <c r="C676" s="147"/>
      <c r="D676" s="211"/>
      <c r="E676" s="148"/>
      <c r="F676" s="169"/>
      <c r="G676" s="367">
        <f>+D676*E676*(1+F676)</f>
        <v>0</v>
      </c>
      <c r="H676" s="134"/>
    </row>
    <row r="677" spans="1:8" x14ac:dyDescent="0.25">
      <c r="A677" s="140"/>
      <c r="B677" s="196"/>
      <c r="C677" s="151"/>
      <c r="D677" s="212"/>
      <c r="E677" s="148"/>
      <c r="F677" s="147"/>
      <c r="G677" s="367"/>
      <c r="H677" s="134"/>
    </row>
    <row r="678" spans="1:8" x14ac:dyDescent="0.25">
      <c r="A678" s="140"/>
      <c r="B678" s="196"/>
      <c r="C678" s="151"/>
      <c r="D678" s="212"/>
      <c r="E678" s="148"/>
      <c r="F678" s="151"/>
      <c r="G678" s="367"/>
      <c r="H678" s="134"/>
    </row>
    <row r="679" spans="1:8" x14ac:dyDescent="0.25">
      <c r="A679" s="140"/>
      <c r="B679" s="155"/>
      <c r="C679" s="151"/>
      <c r="D679" s="212"/>
      <c r="E679" s="148"/>
      <c r="F679" s="151"/>
      <c r="G679" s="367"/>
      <c r="H679" s="134"/>
    </row>
    <row r="680" spans="1:8" x14ac:dyDescent="0.25">
      <c r="A680" s="140"/>
      <c r="B680" s="155"/>
      <c r="C680" s="151"/>
      <c r="D680" s="212"/>
      <c r="E680" s="148"/>
      <c r="F680" s="151"/>
      <c r="G680" s="367"/>
      <c r="H680" s="134"/>
    </row>
    <row r="681" spans="1:8" ht="15.75" thickBot="1" x14ac:dyDescent="0.3">
      <c r="A681" s="140"/>
      <c r="B681" s="155"/>
      <c r="C681" s="151"/>
      <c r="D681" s="212"/>
      <c r="E681" s="148"/>
      <c r="F681" s="151"/>
      <c r="G681" s="367"/>
      <c r="H681" s="134"/>
    </row>
    <row r="682" spans="1:8" ht="15.75" thickBot="1" x14ac:dyDescent="0.3">
      <c r="A682" s="140"/>
      <c r="B682" s="157"/>
      <c r="C682" s="159"/>
      <c r="D682" s="953"/>
      <c r="E682" s="159"/>
      <c r="F682" s="158"/>
      <c r="G682" s="160"/>
      <c r="H682" s="161">
        <f>+SUM(G676:G682)</f>
        <v>0</v>
      </c>
    </row>
    <row r="683" spans="1:8" ht="15.75" thickBot="1" x14ac:dyDescent="0.3">
      <c r="A683" s="140"/>
      <c r="B683" s="162"/>
      <c r="C683" s="162"/>
      <c r="D683" s="954"/>
      <c r="E683" s="162"/>
      <c r="F683" s="173"/>
      <c r="G683" s="174"/>
      <c r="H683" s="165"/>
    </row>
    <row r="684" spans="1:8" ht="15.75" thickBot="1" x14ac:dyDescent="0.3">
      <c r="A684" s="183"/>
      <c r="B684" s="1369" t="s">
        <v>5412</v>
      </c>
      <c r="C684" s="1363" t="s">
        <v>5420</v>
      </c>
      <c r="D684" s="1120" t="s">
        <v>5421</v>
      </c>
      <c r="E684" s="1363" t="s">
        <v>5413</v>
      </c>
      <c r="F684" s="1363" t="s">
        <v>5405</v>
      </c>
      <c r="G684" s="1370" t="s">
        <v>868</v>
      </c>
      <c r="H684" s="1371"/>
    </row>
    <row r="685" spans="1:8" x14ac:dyDescent="0.25">
      <c r="A685" s="140"/>
      <c r="B685" s="194" t="s">
        <v>5650</v>
      </c>
      <c r="C685" s="345">
        <f>+VLOOKUP($B685,'Mano de obra'!$A$5:$D$26,2,FALSE)</f>
        <v>57454</v>
      </c>
      <c r="D685" s="345">
        <f>+VLOOKUP($B685,'Mano de obra'!$A$5:$D$26,3,FALSE)</f>
        <v>35656</v>
      </c>
      <c r="E685" s="345">
        <f>+VLOOKUP($B685,'Mano de obra'!$A$5:$D$26,4,FALSE)</f>
        <v>93110</v>
      </c>
      <c r="F685" s="202">
        <v>100</v>
      </c>
      <c r="G685" s="351">
        <f>+E685/F685</f>
        <v>931.1</v>
      </c>
      <c r="H685" s="134"/>
    </row>
    <row r="686" spans="1:8" x14ac:dyDescent="0.25">
      <c r="A686" s="140"/>
      <c r="B686" s="194" t="s">
        <v>5949</v>
      </c>
      <c r="C686" s="345">
        <f>+VLOOKUP($B686,'Mano de obra'!$A$5:$D$26,2,FALSE)</f>
        <v>44263.8</v>
      </c>
      <c r="D686" s="345">
        <f>+VLOOKUP($B686,'Mano de obra'!$A$5:$D$26,3,FALSE)</f>
        <v>27470</v>
      </c>
      <c r="E686" s="345">
        <f>+VLOOKUP($B686,'Mano de obra'!$A$5:$D$26,4,FALSE)</f>
        <v>71733.8</v>
      </c>
      <c r="F686" s="204">
        <v>10</v>
      </c>
      <c r="G686" s="351">
        <f>+E686/F686</f>
        <v>7173.38</v>
      </c>
      <c r="H686" s="134"/>
    </row>
    <row r="687" spans="1:8" x14ac:dyDescent="0.25">
      <c r="A687" s="140"/>
      <c r="B687" s="195" t="s">
        <v>5635</v>
      </c>
      <c r="C687" s="345">
        <f>+VLOOKUP($B687,'Mano de obra'!$A$5:$D$26,2,FALSE)</f>
        <v>24591</v>
      </c>
      <c r="D687" s="345">
        <f>+VLOOKUP($B687,'Mano de obra'!$A$5:$D$26,3,FALSE)</f>
        <v>15261</v>
      </c>
      <c r="E687" s="345">
        <f>+VLOOKUP($B687,'Mano de obra'!$A$5:$D$26,4,FALSE)</f>
        <v>39852</v>
      </c>
      <c r="F687" s="205">
        <v>6</v>
      </c>
      <c r="G687" s="351">
        <f>+E687/F687</f>
        <v>6642</v>
      </c>
      <c r="H687" s="134"/>
    </row>
    <row r="688" spans="1:8" x14ac:dyDescent="0.25">
      <c r="A688" s="140"/>
      <c r="B688" s="155"/>
      <c r="C688" s="345"/>
      <c r="D688" s="955"/>
      <c r="E688" s="353"/>
      <c r="F688" s="205"/>
      <c r="G688" s="351"/>
      <c r="H688" s="134"/>
    </row>
    <row r="689" spans="1:9" x14ac:dyDescent="0.25">
      <c r="A689" s="140"/>
      <c r="B689" s="155"/>
      <c r="C689" s="345"/>
      <c r="D689" s="955"/>
      <c r="E689" s="353"/>
      <c r="F689" s="205"/>
      <c r="G689" s="351"/>
      <c r="H689" s="134"/>
    </row>
    <row r="690" spans="1:9" ht="15.75" thickBot="1" x14ac:dyDescent="0.3">
      <c r="A690" s="140"/>
      <c r="B690" s="155"/>
      <c r="C690" s="152"/>
      <c r="D690" s="952"/>
      <c r="E690" s="152"/>
      <c r="F690" s="151"/>
      <c r="G690" s="156"/>
      <c r="H690" s="134"/>
    </row>
    <row r="691" spans="1:9" ht="15.75" thickBot="1" x14ac:dyDescent="0.3">
      <c r="A691" s="140"/>
      <c r="B691" s="179"/>
      <c r="C691" s="180"/>
      <c r="D691" s="956"/>
      <c r="E691" s="180"/>
      <c r="F691" s="181"/>
      <c r="G691" s="182"/>
      <c r="H691" s="161">
        <f>+SUM(G685:G691)</f>
        <v>14746.48</v>
      </c>
    </row>
    <row r="692" spans="1:9" ht="15.75" thickBot="1" x14ac:dyDescent="0.3">
      <c r="A692" s="140"/>
      <c r="B692" s="140"/>
      <c r="C692" s="140"/>
      <c r="D692" s="529"/>
      <c r="E692" s="140"/>
      <c r="F692" s="141"/>
      <c r="G692" s="134"/>
      <c r="H692" s="134"/>
    </row>
    <row r="693" spans="1:9" ht="15.75" thickBot="1" x14ac:dyDescent="0.3">
      <c r="A693" s="133" t="s">
        <v>6744</v>
      </c>
      <c r="B693" s="140"/>
      <c r="C693" s="140"/>
      <c r="D693" s="529"/>
      <c r="E693" s="183" t="s">
        <v>5415</v>
      </c>
      <c r="F693" s="141"/>
      <c r="G693" s="134"/>
      <c r="H693" s="992">
        <f>ROUND(+H658+H673+H682+H691,0)</f>
        <v>25412</v>
      </c>
    </row>
    <row r="694" spans="1:9" x14ac:dyDescent="0.25">
      <c r="A694" s="1058"/>
      <c r="B694" s="1058"/>
      <c r="C694" s="1058"/>
      <c r="D694" s="957"/>
      <c r="E694" s="1058"/>
      <c r="F694" s="1058"/>
      <c r="G694" s="1058"/>
      <c r="H694" s="1058"/>
    </row>
    <row r="695" spans="1:9" x14ac:dyDescent="0.25">
      <c r="A695" s="1058"/>
      <c r="B695" s="1058"/>
      <c r="C695" s="1058"/>
      <c r="D695" s="957"/>
      <c r="E695" s="1058"/>
      <c r="F695" s="1058"/>
      <c r="G695" s="1058"/>
      <c r="H695" s="1058"/>
    </row>
    <row r="696" spans="1:9" x14ac:dyDescent="0.25">
      <c r="A696" s="1424" t="s">
        <v>3</v>
      </c>
      <c r="B696" s="1390" t="str">
        <f>+VLOOKUP(C696,ListaAPUs!$B:$E,4,FALSE)</f>
        <v>2.5.2</v>
      </c>
      <c r="C696" s="2450" t="str">
        <f>+ListaAPUs!B34</f>
        <v>Retiro,limpieza e inspección tubería HD 250 MM</v>
      </c>
      <c r="D696" s="2450"/>
      <c r="E696" s="2450"/>
      <c r="F696" s="1424" t="s">
        <v>867</v>
      </c>
      <c r="G696" s="139" t="s">
        <v>5402</v>
      </c>
      <c r="H696" s="134"/>
    </row>
    <row r="697" spans="1:9" x14ac:dyDescent="0.25">
      <c r="A697" s="141"/>
      <c r="B697" s="140"/>
      <c r="C697" s="140"/>
      <c r="D697" s="529"/>
      <c r="E697" s="140"/>
      <c r="F697" s="141"/>
      <c r="G697" s="134"/>
      <c r="H697" s="134"/>
    </row>
    <row r="698" spans="1:9" x14ac:dyDescent="0.25">
      <c r="A698" s="141"/>
      <c r="B698" s="140"/>
      <c r="C698" s="140"/>
      <c r="D698" s="529"/>
      <c r="E698" s="140"/>
      <c r="F698" s="141"/>
      <c r="G698" s="142"/>
      <c r="H698" s="134"/>
    </row>
    <row r="699" spans="1:9" ht="15.75" thickBot="1" x14ac:dyDescent="0.3">
      <c r="A699" s="141"/>
      <c r="B699" s="140"/>
      <c r="C699" s="140"/>
      <c r="D699" s="529"/>
      <c r="E699" s="140"/>
      <c r="F699" s="141"/>
      <c r="G699" s="134"/>
      <c r="H699" s="134"/>
    </row>
    <row r="700" spans="1:9" ht="15.75" thickBot="1" x14ac:dyDescent="0.3">
      <c r="A700" s="1368"/>
      <c r="B700" s="1369" t="s">
        <v>5403</v>
      </c>
      <c r="C700" s="1363" t="s">
        <v>867</v>
      </c>
      <c r="D700" s="1120" t="s">
        <v>6</v>
      </c>
      <c r="E700" s="1363" t="s">
        <v>5404</v>
      </c>
      <c r="F700" s="1363" t="s">
        <v>5405</v>
      </c>
      <c r="G700" s="1370" t="s">
        <v>868</v>
      </c>
      <c r="H700" s="1371"/>
    </row>
    <row r="701" spans="1:9" x14ac:dyDescent="0.25">
      <c r="A701" s="141"/>
      <c r="B701" s="146" t="s">
        <v>5440</v>
      </c>
      <c r="C701" s="147" t="s">
        <v>5406</v>
      </c>
      <c r="D701" s="211"/>
      <c r="E701" s="148">
        <f>+H740</f>
        <v>16074.880000000001</v>
      </c>
      <c r="F701" s="508">
        <v>0.2</v>
      </c>
      <c r="G701" s="360">
        <f>+E701*F701</f>
        <v>3214.9760000000006</v>
      </c>
      <c r="H701" s="134"/>
      <c r="I701" t="s">
        <v>9050</v>
      </c>
    </row>
    <row r="702" spans="1:9" ht="23.25" customHeight="1" x14ac:dyDescent="0.25">
      <c r="A702" s="141"/>
      <c r="B702" s="1539" t="s">
        <v>6869</v>
      </c>
      <c r="C702" s="151" t="s">
        <v>5666</v>
      </c>
      <c r="D702" s="212">
        <v>1</v>
      </c>
      <c r="E702" s="975">
        <f>+VLOOKUP(B702,Insumos!$A$2:$C$331,3,FALSE)</f>
        <v>202536</v>
      </c>
      <c r="F702" s="205">
        <v>27</v>
      </c>
      <c r="G702" s="360">
        <f>+D702*E702/F702</f>
        <v>7501.333333333333</v>
      </c>
      <c r="H702" s="134"/>
    </row>
    <row r="703" spans="1:9" x14ac:dyDescent="0.25">
      <c r="A703" s="141"/>
      <c r="B703" s="1539" t="s">
        <v>9031</v>
      </c>
      <c r="C703" s="151"/>
      <c r="D703" s="212"/>
      <c r="E703" s="366"/>
      <c r="F703" s="205"/>
      <c r="G703" s="360">
        <v>500</v>
      </c>
      <c r="H703" s="134"/>
    </row>
    <row r="704" spans="1:9" x14ac:dyDescent="0.25">
      <c r="A704" s="141"/>
      <c r="B704" s="154"/>
      <c r="C704" s="151"/>
      <c r="D704" s="212"/>
      <c r="E704" s="366"/>
      <c r="F704" s="205"/>
      <c r="G704" s="360"/>
      <c r="H704" s="134"/>
    </row>
    <row r="705" spans="1:8" x14ac:dyDescent="0.25">
      <c r="A705" s="141"/>
      <c r="B705" s="155"/>
      <c r="C705" s="151"/>
      <c r="D705" s="952"/>
      <c r="E705" s="152"/>
      <c r="F705" s="151"/>
      <c r="G705" s="156"/>
      <c r="H705" s="134"/>
    </row>
    <row r="706" spans="1:8" ht="15.75" thickBot="1" x14ac:dyDescent="0.3">
      <c r="A706" s="141"/>
      <c r="B706" s="155"/>
      <c r="C706" s="151"/>
      <c r="D706" s="952"/>
      <c r="E706" s="152"/>
      <c r="F706" s="151"/>
      <c r="G706" s="156"/>
      <c r="H706" s="134"/>
    </row>
    <row r="707" spans="1:8" ht="15.75" thickBot="1" x14ac:dyDescent="0.3">
      <c r="A707" s="141"/>
      <c r="B707" s="157"/>
      <c r="C707" s="158"/>
      <c r="D707" s="953"/>
      <c r="E707" s="159"/>
      <c r="F707" s="158"/>
      <c r="G707" s="160"/>
      <c r="H707" s="161">
        <f>+SUM(G701:G707)</f>
        <v>11216.309333333335</v>
      </c>
    </row>
    <row r="708" spans="1:8" ht="15.75" thickBot="1" x14ac:dyDescent="0.3">
      <c r="A708" s="141"/>
      <c r="B708" s="162"/>
      <c r="C708" s="163"/>
      <c r="D708" s="954"/>
      <c r="E708" s="162"/>
      <c r="F708" s="163"/>
      <c r="G708" s="164"/>
      <c r="H708" s="165"/>
    </row>
    <row r="709" spans="1:8" ht="15.75" thickBot="1" x14ac:dyDescent="0.3">
      <c r="A709" s="183"/>
      <c r="B709" s="1369" t="s">
        <v>5408</v>
      </c>
      <c r="C709" s="1363" t="s">
        <v>867</v>
      </c>
      <c r="D709" s="1120" t="s">
        <v>6</v>
      </c>
      <c r="E709" s="1363" t="s">
        <v>870</v>
      </c>
      <c r="F709" s="1363" t="s">
        <v>5409</v>
      </c>
      <c r="G709" s="1370" t="s">
        <v>868</v>
      </c>
      <c r="H709" s="1371"/>
    </row>
    <row r="710" spans="1:8" x14ac:dyDescent="0.25">
      <c r="A710" s="140"/>
      <c r="B710" s="295" t="s">
        <v>5553</v>
      </c>
      <c r="C710" s="202" t="s">
        <v>5488</v>
      </c>
      <c r="D710" s="212">
        <v>10</v>
      </c>
      <c r="E710" s="975">
        <f>+VLOOKUP(B710,Insumos!$A$2:$C$331,3,FALSE)</f>
        <v>30</v>
      </c>
      <c r="F710" s="169">
        <v>0.05</v>
      </c>
      <c r="G710" s="178">
        <f>+D710*E710*(1+F710)</f>
        <v>315</v>
      </c>
      <c r="H710" s="134"/>
    </row>
    <row r="711" spans="1:8" x14ac:dyDescent="0.25">
      <c r="A711" s="140"/>
      <c r="B711" s="450" t="s">
        <v>6392</v>
      </c>
      <c r="C711" s="202" t="s">
        <v>5475</v>
      </c>
      <c r="D711" s="211"/>
      <c r="E711" s="228"/>
      <c r="F711" s="169"/>
      <c r="G711" s="178">
        <v>150</v>
      </c>
      <c r="H711" s="134"/>
    </row>
    <row r="712" spans="1:8" x14ac:dyDescent="0.25">
      <c r="A712" s="140"/>
      <c r="B712" s="196"/>
      <c r="C712" s="151"/>
      <c r="D712" s="212"/>
      <c r="E712" s="148"/>
      <c r="F712" s="169"/>
      <c r="G712" s="367"/>
      <c r="H712" s="134"/>
    </row>
    <row r="713" spans="1:8" x14ac:dyDescent="0.25">
      <c r="A713" s="140"/>
      <c r="B713" s="155"/>
      <c r="C713" s="151"/>
      <c r="D713" s="212"/>
      <c r="E713" s="148"/>
      <c r="F713" s="151"/>
      <c r="G713" s="367"/>
      <c r="H713" s="134"/>
    </row>
    <row r="714" spans="1:8" x14ac:dyDescent="0.25">
      <c r="A714" s="140"/>
      <c r="B714" s="155"/>
      <c r="C714" s="151"/>
      <c r="D714" s="212"/>
      <c r="E714" s="148"/>
      <c r="F714" s="151"/>
      <c r="G714" s="367"/>
      <c r="H714" s="134"/>
    </row>
    <row r="715" spans="1:8" x14ac:dyDescent="0.25">
      <c r="A715" s="140"/>
      <c r="B715" s="155"/>
      <c r="C715" s="151"/>
      <c r="D715" s="212"/>
      <c r="E715" s="148"/>
      <c r="F715" s="151"/>
      <c r="G715" s="367"/>
      <c r="H715" s="134"/>
    </row>
    <row r="716" spans="1:8" x14ac:dyDescent="0.25">
      <c r="A716" s="140"/>
      <c r="B716" s="155"/>
      <c r="C716" s="151"/>
      <c r="D716" s="212"/>
      <c r="E716" s="148"/>
      <c r="F716" s="151"/>
      <c r="G716" s="367"/>
      <c r="H716" s="134"/>
    </row>
    <row r="717" spans="1:8" x14ac:dyDescent="0.25">
      <c r="A717" s="140"/>
      <c r="B717" s="155"/>
      <c r="C717" s="151"/>
      <c r="D717" s="212"/>
      <c r="E717" s="148"/>
      <c r="F717" s="151"/>
      <c r="G717" s="367"/>
      <c r="H717" s="134"/>
    </row>
    <row r="718" spans="1:8" x14ac:dyDescent="0.25">
      <c r="A718" s="140"/>
      <c r="B718" s="155"/>
      <c r="C718" s="151"/>
      <c r="D718" s="212"/>
      <c r="E718" s="148"/>
      <c r="F718" s="151"/>
      <c r="G718" s="367"/>
      <c r="H718" s="134"/>
    </row>
    <row r="719" spans="1:8" x14ac:dyDescent="0.25">
      <c r="A719" s="140"/>
      <c r="B719" s="155"/>
      <c r="C719" s="151"/>
      <c r="D719" s="212"/>
      <c r="E719" s="148"/>
      <c r="F719" s="151"/>
      <c r="G719" s="367"/>
      <c r="H719" s="134"/>
    </row>
    <row r="720" spans="1:8" x14ac:dyDescent="0.25">
      <c r="A720" s="140"/>
      <c r="B720" s="155"/>
      <c r="C720" s="152"/>
      <c r="D720" s="952"/>
      <c r="E720" s="152"/>
      <c r="F720" s="151"/>
      <c r="G720" s="156"/>
      <c r="H720" s="134"/>
    </row>
    <row r="721" spans="1:8" ht="15.75" thickBot="1" x14ac:dyDescent="0.3">
      <c r="A721" s="140"/>
      <c r="B721" s="155"/>
      <c r="C721" s="152"/>
      <c r="D721" s="952"/>
      <c r="E721" s="152"/>
      <c r="F721" s="151"/>
      <c r="G721" s="156"/>
      <c r="H721" s="134"/>
    </row>
    <row r="722" spans="1:8" ht="15.75" thickBot="1" x14ac:dyDescent="0.3">
      <c r="A722" s="140"/>
      <c r="B722" s="157"/>
      <c r="C722" s="159"/>
      <c r="D722" s="953"/>
      <c r="E722" s="159"/>
      <c r="F722" s="158"/>
      <c r="G722" s="160"/>
      <c r="H722" s="161">
        <f>+SUM(G710:G722)</f>
        <v>465</v>
      </c>
    </row>
    <row r="723" spans="1:8" ht="15.75" thickBot="1" x14ac:dyDescent="0.3">
      <c r="A723" s="140"/>
      <c r="B723" s="162"/>
      <c r="C723" s="162"/>
      <c r="D723" s="954"/>
      <c r="E723" s="162"/>
      <c r="F723" s="163"/>
      <c r="G723" s="164"/>
      <c r="H723" s="165"/>
    </row>
    <row r="724" spans="1:8" ht="15.75" thickBot="1" x14ac:dyDescent="0.3">
      <c r="A724" s="183"/>
      <c r="B724" s="1369" t="s">
        <v>5410</v>
      </c>
      <c r="C724" s="1363" t="s">
        <v>867</v>
      </c>
      <c r="D724" s="1120" t="s">
        <v>6</v>
      </c>
      <c r="E724" s="1363" t="s">
        <v>870</v>
      </c>
      <c r="F724" s="1363" t="s">
        <v>5411</v>
      </c>
      <c r="G724" s="1370" t="s">
        <v>868</v>
      </c>
      <c r="H724" s="1371"/>
    </row>
    <row r="725" spans="1:8" x14ac:dyDescent="0.25">
      <c r="A725" s="140"/>
      <c r="B725" s="201"/>
      <c r="C725" s="147"/>
      <c r="D725" s="211"/>
      <c r="E725" s="148"/>
      <c r="F725" s="169"/>
      <c r="G725" s="367">
        <f>+D725*E725*(1+F725)</f>
        <v>0</v>
      </c>
      <c r="H725" s="134"/>
    </row>
    <row r="726" spans="1:8" x14ac:dyDescent="0.25">
      <c r="A726" s="140"/>
      <c r="B726" s="196"/>
      <c r="C726" s="151"/>
      <c r="D726" s="212"/>
      <c r="E726" s="148"/>
      <c r="F726" s="147"/>
      <c r="G726" s="367"/>
      <c r="H726" s="134"/>
    </row>
    <row r="727" spans="1:8" x14ac:dyDescent="0.25">
      <c r="A727" s="140"/>
      <c r="B727" s="196"/>
      <c r="C727" s="151"/>
      <c r="D727" s="212"/>
      <c r="E727" s="148"/>
      <c r="F727" s="151"/>
      <c r="G727" s="367"/>
      <c r="H727" s="134"/>
    </row>
    <row r="728" spans="1:8" x14ac:dyDescent="0.25">
      <c r="A728" s="140"/>
      <c r="B728" s="155"/>
      <c r="C728" s="151"/>
      <c r="D728" s="212"/>
      <c r="E728" s="148"/>
      <c r="F728" s="151"/>
      <c r="G728" s="367"/>
      <c r="H728" s="134"/>
    </row>
    <row r="729" spans="1:8" x14ac:dyDescent="0.25">
      <c r="A729" s="140"/>
      <c r="B729" s="155"/>
      <c r="C729" s="151"/>
      <c r="D729" s="212"/>
      <c r="E729" s="148"/>
      <c r="F729" s="151"/>
      <c r="G729" s="367"/>
      <c r="H729" s="134"/>
    </row>
    <row r="730" spans="1:8" ht="15.75" thickBot="1" x14ac:dyDescent="0.3">
      <c r="A730" s="140"/>
      <c r="B730" s="155"/>
      <c r="C730" s="151"/>
      <c r="D730" s="212"/>
      <c r="E730" s="148"/>
      <c r="F730" s="151"/>
      <c r="G730" s="367"/>
      <c r="H730" s="134"/>
    </row>
    <row r="731" spans="1:8" ht="15.75" thickBot="1" x14ac:dyDescent="0.3">
      <c r="A731" s="140"/>
      <c r="B731" s="157"/>
      <c r="C731" s="159"/>
      <c r="D731" s="953"/>
      <c r="E731" s="159"/>
      <c r="F731" s="158"/>
      <c r="G731" s="160"/>
      <c r="H731" s="161">
        <f>+SUM(G725:G731)</f>
        <v>0</v>
      </c>
    </row>
    <row r="732" spans="1:8" ht="15.75" thickBot="1" x14ac:dyDescent="0.3">
      <c r="A732" s="140"/>
      <c r="B732" s="162"/>
      <c r="C732" s="162"/>
      <c r="D732" s="954"/>
      <c r="E732" s="162"/>
      <c r="F732" s="173"/>
      <c r="G732" s="174"/>
      <c r="H732" s="165"/>
    </row>
    <row r="733" spans="1:8" ht="15.75" thickBot="1" x14ac:dyDescent="0.3">
      <c r="A733" s="183"/>
      <c r="B733" s="1369" t="s">
        <v>5412</v>
      </c>
      <c r="C733" s="1363" t="s">
        <v>5420</v>
      </c>
      <c r="D733" s="1120" t="s">
        <v>5421</v>
      </c>
      <c r="E733" s="1363" t="s">
        <v>5413</v>
      </c>
      <c r="F733" s="1363" t="s">
        <v>5405</v>
      </c>
      <c r="G733" s="1370" t="s">
        <v>868</v>
      </c>
      <c r="H733" s="1371"/>
    </row>
    <row r="734" spans="1:8" x14ac:dyDescent="0.25">
      <c r="A734" s="140"/>
      <c r="B734" s="194" t="s">
        <v>5650</v>
      </c>
      <c r="C734" s="345">
        <f>+VLOOKUP($B734,'Mano de obra'!$A$5:$D$26,2,FALSE)</f>
        <v>57454</v>
      </c>
      <c r="D734" s="345">
        <f>+VLOOKUP($B734,'Mano de obra'!$A$5:$D$26,3,FALSE)</f>
        <v>35656</v>
      </c>
      <c r="E734" s="345">
        <f>+VLOOKUP($B734,'Mano de obra'!$A$5:$D$26,4,FALSE)</f>
        <v>93110</v>
      </c>
      <c r="F734" s="202">
        <v>100</v>
      </c>
      <c r="G734" s="351">
        <f>+E734/F734</f>
        <v>931.1</v>
      </c>
      <c r="H734" s="134"/>
    </row>
    <row r="735" spans="1:8" x14ac:dyDescent="0.25">
      <c r="A735" s="140"/>
      <c r="B735" s="194" t="s">
        <v>5949</v>
      </c>
      <c r="C735" s="345">
        <f>+VLOOKUP($B735,'Mano de obra'!$A$5:$D$26,2,FALSE)</f>
        <v>44263.8</v>
      </c>
      <c r="D735" s="345">
        <f>+VLOOKUP($B735,'Mano de obra'!$A$5:$D$26,3,FALSE)</f>
        <v>27470</v>
      </c>
      <c r="E735" s="345">
        <f>+VLOOKUP($B735,'Mano de obra'!$A$5:$D$26,4,FALSE)</f>
        <v>71733.8</v>
      </c>
      <c r="F735" s="204">
        <v>10</v>
      </c>
      <c r="G735" s="351">
        <f>+E735/F735</f>
        <v>7173.38</v>
      </c>
      <c r="H735" s="134"/>
    </row>
    <row r="736" spans="1:8" x14ac:dyDescent="0.25">
      <c r="A736" s="140"/>
      <c r="B736" s="195" t="s">
        <v>5635</v>
      </c>
      <c r="C736" s="345">
        <f>+VLOOKUP($B736,'Mano de obra'!$A$5:$D$26,2,FALSE)</f>
        <v>24591</v>
      </c>
      <c r="D736" s="345">
        <f>+VLOOKUP($B736,'Mano de obra'!$A$5:$D$26,3,FALSE)</f>
        <v>15261</v>
      </c>
      <c r="E736" s="345">
        <f>+VLOOKUP($B736,'Mano de obra'!$A$5:$D$26,4,FALSE)</f>
        <v>39852</v>
      </c>
      <c r="F736" s="205">
        <v>5</v>
      </c>
      <c r="G736" s="351">
        <f>+E736/F736</f>
        <v>7970.4</v>
      </c>
      <c r="H736" s="134"/>
    </row>
    <row r="737" spans="1:8" x14ac:dyDescent="0.25">
      <c r="A737" s="140"/>
      <c r="B737" s="155"/>
      <c r="C737" s="345"/>
      <c r="D737" s="955"/>
      <c r="E737" s="353"/>
      <c r="F737" s="205"/>
      <c r="G737" s="351"/>
      <c r="H737" s="134"/>
    </row>
    <row r="738" spans="1:8" x14ac:dyDescent="0.25">
      <c r="A738" s="140"/>
      <c r="B738" s="155"/>
      <c r="C738" s="345"/>
      <c r="D738" s="955"/>
      <c r="E738" s="353"/>
      <c r="F738" s="205"/>
      <c r="G738" s="351"/>
      <c r="H738" s="134"/>
    </row>
    <row r="739" spans="1:8" ht="15.75" thickBot="1" x14ac:dyDescent="0.3">
      <c r="A739" s="140"/>
      <c r="B739" s="155"/>
      <c r="C739" s="152"/>
      <c r="D739" s="952"/>
      <c r="E739" s="152"/>
      <c r="F739" s="151"/>
      <c r="G739" s="156"/>
      <c r="H739" s="134"/>
    </row>
    <row r="740" spans="1:8" ht="15.75" thickBot="1" x14ac:dyDescent="0.3">
      <c r="A740" s="140"/>
      <c r="B740" s="179"/>
      <c r="C740" s="180"/>
      <c r="D740" s="956"/>
      <c r="E740" s="180"/>
      <c r="F740" s="181"/>
      <c r="G740" s="182"/>
      <c r="H740" s="161">
        <f>+SUM(G734:G740)</f>
        <v>16074.880000000001</v>
      </c>
    </row>
    <row r="741" spans="1:8" ht="15.75" thickBot="1" x14ac:dyDescent="0.3">
      <c r="A741" s="140"/>
      <c r="B741" s="140"/>
      <c r="C741" s="140"/>
      <c r="D741" s="529"/>
      <c r="E741" s="140"/>
      <c r="F741" s="141"/>
      <c r="G741" s="134"/>
      <c r="H741" s="134"/>
    </row>
    <row r="742" spans="1:8" ht="15.75" thickBot="1" x14ac:dyDescent="0.3">
      <c r="A742" s="133" t="s">
        <v>6744</v>
      </c>
      <c r="B742" s="140"/>
      <c r="C742" s="140"/>
      <c r="D742" s="529"/>
      <c r="E742" s="183" t="s">
        <v>5415</v>
      </c>
      <c r="F742" s="141"/>
      <c r="G742" s="134"/>
      <c r="H742" s="992">
        <f>ROUND(+H707+H722+H731+H740,0)</f>
        <v>27756</v>
      </c>
    </row>
    <row r="743" spans="1:8" x14ac:dyDescent="0.25">
      <c r="A743" s="1058"/>
      <c r="B743" s="1058"/>
      <c r="C743" s="1058"/>
      <c r="D743" s="957"/>
      <c r="E743" s="1058"/>
      <c r="F743" s="1058"/>
      <c r="G743" s="1058"/>
      <c r="H743" s="1058"/>
    </row>
    <row r="744" spans="1:8" x14ac:dyDescent="0.25">
      <c r="A744" s="1058"/>
      <c r="B744" s="1058"/>
      <c r="C744" s="1058"/>
      <c r="D744" s="957"/>
      <c r="E744" s="1058"/>
      <c r="F744" s="1058"/>
      <c r="G744" s="1058"/>
      <c r="H744" s="1058"/>
    </row>
    <row r="745" spans="1:8" x14ac:dyDescent="0.25">
      <c r="A745" s="1424" t="s">
        <v>3</v>
      </c>
      <c r="B745" s="1390" t="str">
        <f>+VLOOKUP(C745,ListaAPUs!$B:$E,4,FALSE)</f>
        <v>2.5.3</v>
      </c>
      <c r="C745" s="2450" t="str">
        <f>+ListaAPUs!B35</f>
        <v>Retiro,limpieza e inspección tubería HD 350 MM</v>
      </c>
      <c r="D745" s="2450"/>
      <c r="E745" s="2450"/>
      <c r="F745" s="1424" t="s">
        <v>867</v>
      </c>
      <c r="G745" s="139" t="s">
        <v>5402</v>
      </c>
      <c r="H745" s="134"/>
    </row>
    <row r="746" spans="1:8" x14ac:dyDescent="0.25">
      <c r="A746" s="141"/>
      <c r="B746" s="140"/>
      <c r="C746" s="140"/>
      <c r="D746" s="529"/>
      <c r="E746" s="140"/>
      <c r="F746" s="141"/>
      <c r="G746" s="134"/>
      <c r="H746" s="134"/>
    </row>
    <row r="747" spans="1:8" x14ac:dyDescent="0.25">
      <c r="A747" s="141"/>
      <c r="B747" s="140"/>
      <c r="C747" s="140"/>
      <c r="D747" s="529"/>
      <c r="E747" s="140"/>
      <c r="F747" s="141"/>
      <c r="G747" s="142"/>
      <c r="H747" s="134"/>
    </row>
    <row r="748" spans="1:8" ht="15.75" thickBot="1" x14ac:dyDescent="0.3">
      <c r="A748" s="141"/>
      <c r="B748" s="140"/>
      <c r="C748" s="140"/>
      <c r="D748" s="529"/>
      <c r="E748" s="140"/>
      <c r="F748" s="141"/>
      <c r="G748" s="134"/>
      <c r="H748" s="134"/>
    </row>
    <row r="749" spans="1:8" ht="15.75" thickBot="1" x14ac:dyDescent="0.3">
      <c r="A749" s="1368"/>
      <c r="B749" s="1369" t="s">
        <v>5403</v>
      </c>
      <c r="C749" s="1363" t="s">
        <v>867</v>
      </c>
      <c r="D749" s="1120" t="s">
        <v>6</v>
      </c>
      <c r="E749" s="1363" t="s">
        <v>5404</v>
      </c>
      <c r="F749" s="1363" t="s">
        <v>5405</v>
      </c>
      <c r="G749" s="1370" t="s">
        <v>868</v>
      </c>
      <c r="H749" s="1371"/>
    </row>
    <row r="750" spans="1:8" x14ac:dyDescent="0.25">
      <c r="A750" s="141"/>
      <c r="B750" s="146" t="s">
        <v>5440</v>
      </c>
      <c r="C750" s="147" t="s">
        <v>5406</v>
      </c>
      <c r="D750" s="211"/>
      <c r="E750" s="148">
        <f>+$H$789</f>
        <v>21388.48</v>
      </c>
      <c r="F750" s="167">
        <v>0.2</v>
      </c>
      <c r="G750" s="360">
        <f>+E750*F750</f>
        <v>4277.6959999999999</v>
      </c>
      <c r="H750" s="134"/>
    </row>
    <row r="751" spans="1:8" x14ac:dyDescent="0.25">
      <c r="A751" s="141"/>
      <c r="B751" s="1539" t="s">
        <v>6869</v>
      </c>
      <c r="C751" s="151" t="s">
        <v>5666</v>
      </c>
      <c r="D751" s="212">
        <v>1</v>
      </c>
      <c r="E751" s="975">
        <f>+VLOOKUP(B751,Insumos!$A$2:$C$331,3,FALSE)</f>
        <v>202536</v>
      </c>
      <c r="F751" s="205">
        <v>24</v>
      </c>
      <c r="G751" s="360">
        <f>+D751*E751/F751</f>
        <v>8439</v>
      </c>
      <c r="H751" s="134"/>
    </row>
    <row r="752" spans="1:8" x14ac:dyDescent="0.25">
      <c r="A752" s="141"/>
      <c r="B752" s="1539" t="s">
        <v>9031</v>
      </c>
      <c r="C752" s="151"/>
      <c r="D752" s="212"/>
      <c r="E752" s="366"/>
      <c r="F752" s="205"/>
      <c r="G752" s="360">
        <v>500</v>
      </c>
      <c r="H752" s="134"/>
    </row>
    <row r="753" spans="1:8" x14ac:dyDescent="0.25">
      <c r="A753" s="141"/>
      <c r="B753" s="154"/>
      <c r="C753" s="151"/>
      <c r="D753" s="212"/>
      <c r="E753" s="366"/>
      <c r="F753" s="205"/>
      <c r="G753" s="360"/>
      <c r="H753" s="134"/>
    </row>
    <row r="754" spans="1:8" x14ac:dyDescent="0.25">
      <c r="A754" s="141"/>
      <c r="B754" s="155"/>
      <c r="C754" s="151"/>
      <c r="D754" s="952"/>
      <c r="E754" s="152"/>
      <c r="F754" s="151"/>
      <c r="G754" s="156"/>
      <c r="H754" s="134"/>
    </row>
    <row r="755" spans="1:8" ht="15.75" thickBot="1" x14ac:dyDescent="0.3">
      <c r="A755" s="141"/>
      <c r="B755" s="155"/>
      <c r="C755" s="151"/>
      <c r="D755" s="952"/>
      <c r="E755" s="152"/>
      <c r="F755" s="151"/>
      <c r="G755" s="156"/>
      <c r="H755" s="134"/>
    </row>
    <row r="756" spans="1:8" ht="15.75" thickBot="1" x14ac:dyDescent="0.3">
      <c r="A756" s="141"/>
      <c r="B756" s="157"/>
      <c r="C756" s="158"/>
      <c r="D756" s="953"/>
      <c r="E756" s="159"/>
      <c r="F756" s="158"/>
      <c r="G756" s="160"/>
      <c r="H756" s="161">
        <f>+SUM(G750:G756)</f>
        <v>13216.696</v>
      </c>
    </row>
    <row r="757" spans="1:8" ht="15.75" thickBot="1" x14ac:dyDescent="0.3">
      <c r="A757" s="141"/>
      <c r="B757" s="162"/>
      <c r="C757" s="163"/>
      <c r="D757" s="954"/>
      <c r="E757" s="162"/>
      <c r="F757" s="163"/>
      <c r="G757" s="164"/>
      <c r="H757" s="165"/>
    </row>
    <row r="758" spans="1:8" ht="15.75" thickBot="1" x14ac:dyDescent="0.3">
      <c r="A758" s="183"/>
      <c r="B758" s="1369" t="s">
        <v>5408</v>
      </c>
      <c r="C758" s="1363" t="s">
        <v>867</v>
      </c>
      <c r="D758" s="1120" t="s">
        <v>6</v>
      </c>
      <c r="E758" s="1363" t="s">
        <v>870</v>
      </c>
      <c r="F758" s="1363" t="s">
        <v>5409</v>
      </c>
      <c r="G758" s="1370" t="s">
        <v>868</v>
      </c>
      <c r="H758" s="1371"/>
    </row>
    <row r="759" spans="1:8" x14ac:dyDescent="0.25">
      <c r="A759" s="140"/>
      <c r="B759" s="295" t="s">
        <v>5553</v>
      </c>
      <c r="C759" s="202" t="s">
        <v>5488</v>
      </c>
      <c r="D759" s="212">
        <v>10</v>
      </c>
      <c r="E759" s="975">
        <f>+VLOOKUP(B759,Insumos!$A$2:$C$331,3,FALSE)</f>
        <v>30</v>
      </c>
      <c r="F759" s="169">
        <v>0.05</v>
      </c>
      <c r="G759" s="178">
        <f>+D759*E759*(1+F759)</f>
        <v>315</v>
      </c>
      <c r="H759" s="134"/>
    </row>
    <row r="760" spans="1:8" x14ac:dyDescent="0.25">
      <c r="A760" s="140"/>
      <c r="B760" s="450" t="s">
        <v>6392</v>
      </c>
      <c r="C760" s="202" t="s">
        <v>5475</v>
      </c>
      <c r="D760" s="211"/>
      <c r="E760" s="228"/>
      <c r="F760" s="169"/>
      <c r="G760" s="178">
        <v>150</v>
      </c>
      <c r="H760" s="134"/>
    </row>
    <row r="761" spans="1:8" x14ac:dyDescent="0.25">
      <c r="A761" s="140"/>
      <c r="B761" s="196"/>
      <c r="C761" s="151"/>
      <c r="D761" s="212"/>
      <c r="E761" s="148"/>
      <c r="F761" s="169"/>
      <c r="G761" s="367"/>
      <c r="H761" s="134"/>
    </row>
    <row r="762" spans="1:8" x14ac:dyDescent="0.25">
      <c r="A762" s="140"/>
      <c r="B762" s="155"/>
      <c r="C762" s="151"/>
      <c r="D762" s="212"/>
      <c r="E762" s="148"/>
      <c r="F762" s="151"/>
      <c r="G762" s="367"/>
      <c r="H762" s="134"/>
    </row>
    <row r="763" spans="1:8" x14ac:dyDescent="0.25">
      <c r="A763" s="140"/>
      <c r="B763" s="155"/>
      <c r="C763" s="151"/>
      <c r="D763" s="212"/>
      <c r="E763" s="148"/>
      <c r="F763" s="151"/>
      <c r="G763" s="367"/>
      <c r="H763" s="134"/>
    </row>
    <row r="764" spans="1:8" x14ac:dyDescent="0.25">
      <c r="A764" s="140"/>
      <c r="B764" s="155"/>
      <c r="C764" s="151"/>
      <c r="D764" s="212"/>
      <c r="E764" s="148"/>
      <c r="F764" s="151"/>
      <c r="G764" s="367"/>
      <c r="H764" s="134"/>
    </row>
    <row r="765" spans="1:8" x14ac:dyDescent="0.25">
      <c r="A765" s="140"/>
      <c r="B765" s="155"/>
      <c r="C765" s="151"/>
      <c r="D765" s="212"/>
      <c r="E765" s="148"/>
      <c r="F765" s="151"/>
      <c r="G765" s="367"/>
      <c r="H765" s="134"/>
    </row>
    <row r="766" spans="1:8" x14ac:dyDescent="0.25">
      <c r="A766" s="140"/>
      <c r="B766" s="155"/>
      <c r="C766" s="151"/>
      <c r="D766" s="212"/>
      <c r="E766" s="148"/>
      <c r="F766" s="151"/>
      <c r="G766" s="367"/>
      <c r="H766" s="134"/>
    </row>
    <row r="767" spans="1:8" x14ac:dyDescent="0.25">
      <c r="A767" s="140"/>
      <c r="B767" s="155"/>
      <c r="C767" s="151"/>
      <c r="D767" s="212"/>
      <c r="E767" s="148"/>
      <c r="F767" s="151"/>
      <c r="G767" s="367"/>
      <c r="H767" s="134"/>
    </row>
    <row r="768" spans="1:8" x14ac:dyDescent="0.25">
      <c r="A768" s="140"/>
      <c r="B768" s="155"/>
      <c r="C768" s="151"/>
      <c r="D768" s="212"/>
      <c r="E768" s="148"/>
      <c r="F768" s="151"/>
      <c r="G768" s="367"/>
      <c r="H768" s="134"/>
    </row>
    <row r="769" spans="1:8" x14ac:dyDescent="0.25">
      <c r="A769" s="140"/>
      <c r="B769" s="155"/>
      <c r="C769" s="152"/>
      <c r="D769" s="952"/>
      <c r="E769" s="152"/>
      <c r="F769" s="151"/>
      <c r="G769" s="156"/>
      <c r="H769" s="134"/>
    </row>
    <row r="770" spans="1:8" ht="15.75" thickBot="1" x14ac:dyDescent="0.3">
      <c r="A770" s="140"/>
      <c r="B770" s="155"/>
      <c r="C770" s="152"/>
      <c r="D770" s="952"/>
      <c r="E770" s="152"/>
      <c r="F770" s="151"/>
      <c r="G770" s="156"/>
      <c r="H770" s="134"/>
    </row>
    <row r="771" spans="1:8" ht="15.75" thickBot="1" x14ac:dyDescent="0.3">
      <c r="A771" s="140"/>
      <c r="B771" s="157"/>
      <c r="C771" s="159"/>
      <c r="D771" s="953"/>
      <c r="E771" s="159"/>
      <c r="F771" s="158"/>
      <c r="G771" s="160"/>
      <c r="H771" s="161">
        <f>+SUM(G759:G771)</f>
        <v>465</v>
      </c>
    </row>
    <row r="772" spans="1:8" ht="15.75" thickBot="1" x14ac:dyDescent="0.3">
      <c r="A772" s="140"/>
      <c r="B772" s="162"/>
      <c r="C772" s="162"/>
      <c r="D772" s="954"/>
      <c r="E772" s="162"/>
      <c r="F772" s="163"/>
      <c r="G772" s="164"/>
      <c r="H772" s="165"/>
    </row>
    <row r="773" spans="1:8" ht="15.75" thickBot="1" x14ac:dyDescent="0.3">
      <c r="A773" s="183"/>
      <c r="B773" s="1369" t="s">
        <v>5410</v>
      </c>
      <c r="C773" s="1363" t="s">
        <v>867</v>
      </c>
      <c r="D773" s="1120" t="s">
        <v>6</v>
      </c>
      <c r="E773" s="1363" t="s">
        <v>870</v>
      </c>
      <c r="F773" s="1363" t="s">
        <v>5411</v>
      </c>
      <c r="G773" s="1370" t="s">
        <v>868</v>
      </c>
      <c r="H773" s="1371"/>
    </row>
    <row r="774" spans="1:8" x14ac:dyDescent="0.25">
      <c r="A774" s="140"/>
      <c r="B774" s="201"/>
      <c r="C774" s="147"/>
      <c r="D774" s="211"/>
      <c r="E774" s="148"/>
      <c r="F774" s="169"/>
      <c r="G774" s="367">
        <f>+D774*E774*(1+F774)</f>
        <v>0</v>
      </c>
      <c r="H774" s="134"/>
    </row>
    <row r="775" spans="1:8" x14ac:dyDescent="0.25">
      <c r="A775" s="140"/>
      <c r="B775" s="196"/>
      <c r="C775" s="151"/>
      <c r="D775" s="212"/>
      <c r="E775" s="148"/>
      <c r="F775" s="147"/>
      <c r="G775" s="367"/>
      <c r="H775" s="134"/>
    </row>
    <row r="776" spans="1:8" x14ac:dyDescent="0.25">
      <c r="A776" s="140"/>
      <c r="B776" s="196"/>
      <c r="C776" s="151"/>
      <c r="D776" s="212"/>
      <c r="E776" s="148"/>
      <c r="F776" s="151"/>
      <c r="G776" s="367"/>
      <c r="H776" s="134"/>
    </row>
    <row r="777" spans="1:8" x14ac:dyDescent="0.25">
      <c r="A777" s="140"/>
      <c r="B777" s="155"/>
      <c r="C777" s="151"/>
      <c r="D777" s="212"/>
      <c r="E777" s="148"/>
      <c r="F777" s="151"/>
      <c r="G777" s="367"/>
      <c r="H777" s="134"/>
    </row>
    <row r="778" spans="1:8" x14ac:dyDescent="0.25">
      <c r="A778" s="140"/>
      <c r="B778" s="155"/>
      <c r="C778" s="151"/>
      <c r="D778" s="212"/>
      <c r="E778" s="148"/>
      <c r="F778" s="151"/>
      <c r="G778" s="367"/>
      <c r="H778" s="134"/>
    </row>
    <row r="779" spans="1:8" ht="15.75" thickBot="1" x14ac:dyDescent="0.3">
      <c r="A779" s="140"/>
      <c r="B779" s="155"/>
      <c r="C779" s="151"/>
      <c r="D779" s="212"/>
      <c r="E779" s="148"/>
      <c r="F779" s="151"/>
      <c r="G779" s="367"/>
      <c r="H779" s="134"/>
    </row>
    <row r="780" spans="1:8" ht="15.75" thickBot="1" x14ac:dyDescent="0.3">
      <c r="A780" s="140"/>
      <c r="B780" s="157"/>
      <c r="C780" s="159"/>
      <c r="D780" s="953"/>
      <c r="E780" s="159"/>
      <c r="F780" s="158"/>
      <c r="G780" s="160"/>
      <c r="H780" s="161">
        <f>+SUM(G774:G780)</f>
        <v>0</v>
      </c>
    </row>
    <row r="781" spans="1:8" ht="15.75" thickBot="1" x14ac:dyDescent="0.3">
      <c r="A781" s="140"/>
      <c r="B781" s="162"/>
      <c r="C781" s="162"/>
      <c r="D781" s="954"/>
      <c r="E781" s="162"/>
      <c r="F781" s="173"/>
      <c r="G781" s="174"/>
      <c r="H781" s="165"/>
    </row>
    <row r="782" spans="1:8" ht="15.75" thickBot="1" x14ac:dyDescent="0.3">
      <c r="A782" s="183"/>
      <c r="B782" s="1369" t="s">
        <v>5412</v>
      </c>
      <c r="C782" s="1363" t="s">
        <v>5420</v>
      </c>
      <c r="D782" s="1120" t="s">
        <v>5421</v>
      </c>
      <c r="E782" s="1363" t="s">
        <v>5413</v>
      </c>
      <c r="F782" s="1363" t="s">
        <v>5405</v>
      </c>
      <c r="G782" s="1370" t="s">
        <v>868</v>
      </c>
      <c r="H782" s="1371"/>
    </row>
    <row r="783" spans="1:8" x14ac:dyDescent="0.25">
      <c r="A783" s="140"/>
      <c r="B783" s="194" t="s">
        <v>5650</v>
      </c>
      <c r="C783" s="345">
        <f>+VLOOKUP($B783,'Mano de obra'!$A$5:$D$26,2,FALSE)</f>
        <v>57454</v>
      </c>
      <c r="D783" s="345">
        <f>+VLOOKUP($B783,'Mano de obra'!$A$5:$D$26,3,FALSE)</f>
        <v>35656</v>
      </c>
      <c r="E783" s="345">
        <f>+VLOOKUP($B783,'Mano de obra'!$A$5:$D$26,4,FALSE)</f>
        <v>93110</v>
      </c>
      <c r="F783" s="202">
        <v>100</v>
      </c>
      <c r="G783" s="351">
        <f>+E783/F783</f>
        <v>931.1</v>
      </c>
      <c r="H783" s="134"/>
    </row>
    <row r="784" spans="1:8" x14ac:dyDescent="0.25">
      <c r="A784" s="140"/>
      <c r="B784" s="194" t="s">
        <v>5949</v>
      </c>
      <c r="C784" s="345">
        <f>+VLOOKUP($B784,'Mano de obra'!$A$5:$D$26,2,FALSE)</f>
        <v>44263.8</v>
      </c>
      <c r="D784" s="345">
        <f>+VLOOKUP($B784,'Mano de obra'!$A$5:$D$26,3,FALSE)</f>
        <v>27470</v>
      </c>
      <c r="E784" s="345">
        <f>+VLOOKUP($B784,'Mano de obra'!$A$5:$D$26,4,FALSE)</f>
        <v>71733.8</v>
      </c>
      <c r="F784" s="204">
        <v>10</v>
      </c>
      <c r="G784" s="351">
        <f>+E784/F784</f>
        <v>7173.38</v>
      </c>
      <c r="H784" s="134"/>
    </row>
    <row r="785" spans="1:8" x14ac:dyDescent="0.25">
      <c r="A785" s="140"/>
      <c r="B785" s="195" t="s">
        <v>5635</v>
      </c>
      <c r="C785" s="345">
        <f>+VLOOKUP($B785,'Mano de obra'!$A$5:$D$26,2,FALSE)</f>
        <v>24591</v>
      </c>
      <c r="D785" s="345">
        <f>+VLOOKUP($B785,'Mano de obra'!$A$5:$D$26,3,FALSE)</f>
        <v>15261</v>
      </c>
      <c r="E785" s="345">
        <f>+VLOOKUP($B785,'Mano de obra'!$A$5:$D$26,4,FALSE)</f>
        <v>39852</v>
      </c>
      <c r="F785" s="205">
        <v>3</v>
      </c>
      <c r="G785" s="351">
        <f>+E785/F785</f>
        <v>13284</v>
      </c>
      <c r="H785" s="134"/>
    </row>
    <row r="786" spans="1:8" x14ac:dyDescent="0.25">
      <c r="A786" s="140"/>
      <c r="B786" s="155"/>
      <c r="C786" s="345"/>
      <c r="D786" s="955"/>
      <c r="E786" s="353"/>
      <c r="F786" s="205"/>
      <c r="G786" s="351"/>
      <c r="H786" s="134"/>
    </row>
    <row r="787" spans="1:8" x14ac:dyDescent="0.25">
      <c r="A787" s="140"/>
      <c r="B787" s="155"/>
      <c r="C787" s="345"/>
      <c r="D787" s="955"/>
      <c r="E787" s="353"/>
      <c r="F787" s="205"/>
      <c r="G787" s="351"/>
      <c r="H787" s="134"/>
    </row>
    <row r="788" spans="1:8" ht="15.75" thickBot="1" x14ac:dyDescent="0.3">
      <c r="A788" s="140"/>
      <c r="B788" s="155"/>
      <c r="C788" s="152"/>
      <c r="D788" s="952"/>
      <c r="E788" s="152"/>
      <c r="F788" s="151"/>
      <c r="G788" s="156"/>
      <c r="H788" s="134"/>
    </row>
    <row r="789" spans="1:8" ht="15.75" thickBot="1" x14ac:dyDescent="0.3">
      <c r="A789" s="140"/>
      <c r="B789" s="179"/>
      <c r="C789" s="180"/>
      <c r="D789" s="956"/>
      <c r="E789" s="180"/>
      <c r="F789" s="181"/>
      <c r="G789" s="182"/>
      <c r="H789" s="161">
        <f>+SUM(G783:G789)</f>
        <v>21388.48</v>
      </c>
    </row>
    <row r="790" spans="1:8" ht="15.75" thickBot="1" x14ac:dyDescent="0.3">
      <c r="A790" s="140"/>
      <c r="B790" s="140"/>
      <c r="C790" s="140"/>
      <c r="D790" s="529"/>
      <c r="E790" s="140"/>
      <c r="F790" s="141"/>
      <c r="G790" s="134"/>
      <c r="H790" s="134"/>
    </row>
    <row r="791" spans="1:8" ht="15.75" thickBot="1" x14ac:dyDescent="0.3">
      <c r="A791" s="133" t="s">
        <v>6744</v>
      </c>
      <c r="B791" s="140"/>
      <c r="C791" s="140"/>
      <c r="D791" s="529"/>
      <c r="E791" s="183" t="s">
        <v>5415</v>
      </c>
      <c r="F791" s="141"/>
      <c r="G791" s="134"/>
      <c r="H791" s="992">
        <f>ROUND(+H756+H771+H780+H789,0)</f>
        <v>35070</v>
      </c>
    </row>
    <row r="792" spans="1:8" x14ac:dyDescent="0.25">
      <c r="A792" s="1058"/>
      <c r="B792" s="1058"/>
      <c r="C792" s="1058"/>
      <c r="D792" s="957"/>
      <c r="E792" s="1058"/>
      <c r="F792" s="1058"/>
      <c r="G792" s="1058"/>
      <c r="H792" s="1058"/>
    </row>
    <row r="793" spans="1:8" x14ac:dyDescent="0.25">
      <c r="A793" s="1058"/>
      <c r="B793" s="1058"/>
      <c r="C793" s="1058"/>
      <c r="D793" s="957"/>
      <c r="E793" s="1058"/>
      <c r="F793" s="1058"/>
      <c r="G793" s="1058"/>
      <c r="H793" s="1058"/>
    </row>
    <row r="794" spans="1:8" x14ac:dyDescent="0.25">
      <c r="A794" s="1058"/>
      <c r="B794" s="1058"/>
      <c r="C794" s="1058"/>
      <c r="D794" s="957"/>
      <c r="E794" s="1058"/>
      <c r="F794" s="1058"/>
      <c r="G794" s="1058"/>
      <c r="H794" s="1058"/>
    </row>
    <row r="795" spans="1:8" x14ac:dyDescent="0.25">
      <c r="A795" s="1058"/>
      <c r="B795" s="1058"/>
      <c r="C795" s="1058"/>
      <c r="D795" s="957"/>
      <c r="E795" s="1058"/>
      <c r="F795" s="1058"/>
      <c r="G795" s="1058"/>
      <c r="H795" s="1058"/>
    </row>
    <row r="796" spans="1:8" x14ac:dyDescent="0.25">
      <c r="A796" s="1424" t="s">
        <v>3</v>
      </c>
      <c r="B796" s="1390" t="str">
        <f>+VLOOKUP(C796,ListaAPUs!$B:$E,4,FALSE)</f>
        <v>2.5.4</v>
      </c>
      <c r="C796" s="2450" t="str">
        <f>+ListaAPUs!B36</f>
        <v>Retiro,limpieza e inspección tubería HD 400 MM</v>
      </c>
      <c r="D796" s="2450"/>
      <c r="E796" s="2450"/>
      <c r="F796" s="1424" t="s">
        <v>867</v>
      </c>
      <c r="G796" s="139" t="s">
        <v>5402</v>
      </c>
      <c r="H796" s="134"/>
    </row>
    <row r="797" spans="1:8" x14ac:dyDescent="0.25">
      <c r="A797" s="141"/>
      <c r="B797" s="140"/>
      <c r="C797" s="140"/>
      <c r="D797" s="529"/>
      <c r="E797" s="140"/>
      <c r="F797" s="141"/>
      <c r="G797" s="134"/>
      <c r="H797" s="134"/>
    </row>
    <row r="798" spans="1:8" x14ac:dyDescent="0.25">
      <c r="A798" s="141"/>
      <c r="B798" s="140"/>
      <c r="C798" s="140"/>
      <c r="D798" s="529"/>
      <c r="E798" s="140"/>
      <c r="F798" s="141"/>
      <c r="G798" s="142"/>
      <c r="H798" s="134"/>
    </row>
    <row r="799" spans="1:8" ht="15.75" thickBot="1" x14ac:dyDescent="0.3">
      <c r="A799" s="141"/>
      <c r="B799" s="140"/>
      <c r="C799" s="140"/>
      <c r="D799" s="529"/>
      <c r="E799" s="140"/>
      <c r="F799" s="141"/>
      <c r="G799" s="134"/>
      <c r="H799" s="134"/>
    </row>
    <row r="800" spans="1:8" ht="15.75" thickBot="1" x14ac:dyDescent="0.3">
      <c r="A800" s="1368"/>
      <c r="B800" s="1369" t="s">
        <v>5403</v>
      </c>
      <c r="C800" s="1363" t="s">
        <v>867</v>
      </c>
      <c r="D800" s="1120" t="s">
        <v>6</v>
      </c>
      <c r="E800" s="1363" t="s">
        <v>5404</v>
      </c>
      <c r="F800" s="1363" t="s">
        <v>5405</v>
      </c>
      <c r="G800" s="1370" t="s">
        <v>868</v>
      </c>
      <c r="H800" s="1371"/>
    </row>
    <row r="801" spans="1:8" x14ac:dyDescent="0.25">
      <c r="A801" s="141"/>
      <c r="B801" s="146" t="s">
        <v>5440</v>
      </c>
      <c r="C801" s="147" t="s">
        <v>5406</v>
      </c>
      <c r="D801" s="211"/>
      <c r="E801" s="148">
        <f>+H840</f>
        <v>24045.279999999999</v>
      </c>
      <c r="F801" s="167">
        <v>0.2</v>
      </c>
      <c r="G801" s="360">
        <f>+E801*F801</f>
        <v>4809.0559999999996</v>
      </c>
      <c r="H801" s="134"/>
    </row>
    <row r="802" spans="1:8" x14ac:dyDescent="0.25">
      <c r="A802" s="141"/>
      <c r="B802" s="1539" t="s">
        <v>6869</v>
      </c>
      <c r="C802" s="151" t="s">
        <v>5666</v>
      </c>
      <c r="D802" s="212">
        <v>1</v>
      </c>
      <c r="E802" s="975">
        <f>+VLOOKUP(B802,Insumos!$A$2:$C$331,3,FALSE)</f>
        <v>202536</v>
      </c>
      <c r="F802" s="205">
        <v>20</v>
      </c>
      <c r="G802" s="360">
        <f>+D802*E802/F802</f>
        <v>10126.799999999999</v>
      </c>
      <c r="H802" s="134"/>
    </row>
    <row r="803" spans="1:8" x14ac:dyDescent="0.25">
      <c r="A803" s="141"/>
      <c r="B803" s="1539" t="s">
        <v>9031</v>
      </c>
      <c r="C803" s="151"/>
      <c r="D803" s="212"/>
      <c r="E803" s="366"/>
      <c r="F803" s="205"/>
      <c r="G803" s="360">
        <v>500</v>
      </c>
      <c r="H803" s="134"/>
    </row>
    <row r="804" spans="1:8" x14ac:dyDescent="0.25">
      <c r="A804" s="141"/>
      <c r="B804" s="154"/>
      <c r="C804" s="151"/>
      <c r="D804" s="212"/>
      <c r="E804" s="366"/>
      <c r="F804" s="205"/>
      <c r="G804" s="360"/>
      <c r="H804" s="134"/>
    </row>
    <row r="805" spans="1:8" x14ac:dyDescent="0.25">
      <c r="A805" s="141"/>
      <c r="B805" s="155"/>
      <c r="C805" s="151"/>
      <c r="D805" s="952"/>
      <c r="E805" s="152"/>
      <c r="F805" s="151"/>
      <c r="G805" s="156"/>
      <c r="H805" s="134"/>
    </row>
    <row r="806" spans="1:8" ht="15.75" thickBot="1" x14ac:dyDescent="0.3">
      <c r="A806" s="141"/>
      <c r="B806" s="155"/>
      <c r="C806" s="151"/>
      <c r="D806" s="952"/>
      <c r="E806" s="152"/>
      <c r="F806" s="151"/>
      <c r="G806" s="156"/>
      <c r="H806" s="134"/>
    </row>
    <row r="807" spans="1:8" ht="15.75" thickBot="1" x14ac:dyDescent="0.3">
      <c r="A807" s="141"/>
      <c r="B807" s="157"/>
      <c r="C807" s="158"/>
      <c r="D807" s="953"/>
      <c r="E807" s="159"/>
      <c r="F807" s="158"/>
      <c r="G807" s="160"/>
      <c r="H807" s="161">
        <f>+SUM(G801:G807)</f>
        <v>15435.856</v>
      </c>
    </row>
    <row r="808" spans="1:8" ht="15.75" thickBot="1" x14ac:dyDescent="0.3">
      <c r="A808" s="141"/>
      <c r="B808" s="162"/>
      <c r="C808" s="163"/>
      <c r="D808" s="954"/>
      <c r="E808" s="162"/>
      <c r="F808" s="163"/>
      <c r="G808" s="164"/>
      <c r="H808" s="165"/>
    </row>
    <row r="809" spans="1:8" ht="15.75" thickBot="1" x14ac:dyDescent="0.3">
      <c r="A809" s="183"/>
      <c r="B809" s="1369" t="s">
        <v>5408</v>
      </c>
      <c r="C809" s="1363" t="s">
        <v>867</v>
      </c>
      <c r="D809" s="1120" t="s">
        <v>6</v>
      </c>
      <c r="E809" s="1363" t="s">
        <v>870</v>
      </c>
      <c r="F809" s="1363" t="s">
        <v>5409</v>
      </c>
      <c r="G809" s="1370" t="s">
        <v>868</v>
      </c>
      <c r="H809" s="1371"/>
    </row>
    <row r="810" spans="1:8" x14ac:dyDescent="0.25">
      <c r="A810" s="140"/>
      <c r="B810" s="295" t="s">
        <v>5553</v>
      </c>
      <c r="C810" s="202" t="s">
        <v>5488</v>
      </c>
      <c r="D810" s="212">
        <v>10</v>
      </c>
      <c r="E810" s="975">
        <f>+VLOOKUP(B810,Insumos!$A$2:$C$331,3,FALSE)</f>
        <v>30</v>
      </c>
      <c r="F810" s="169">
        <v>0.05</v>
      </c>
      <c r="G810" s="178">
        <f>+D810*E810*(1+F810)</f>
        <v>315</v>
      </c>
      <c r="H810" s="134"/>
    </row>
    <row r="811" spans="1:8" x14ac:dyDescent="0.25">
      <c r="A811" s="140"/>
      <c r="B811" s="450" t="s">
        <v>6392</v>
      </c>
      <c r="C811" s="202" t="s">
        <v>5475</v>
      </c>
      <c r="D811" s="211"/>
      <c r="E811" s="228"/>
      <c r="F811" s="169"/>
      <c r="G811" s="178">
        <v>150</v>
      </c>
      <c r="H811" s="134"/>
    </row>
    <row r="812" spans="1:8" x14ac:dyDescent="0.25">
      <c r="A812" s="140"/>
      <c r="B812" s="196"/>
      <c r="C812" s="151"/>
      <c r="D812" s="212"/>
      <c r="E812" s="148"/>
      <c r="F812" s="169"/>
      <c r="G812" s="367"/>
      <c r="H812" s="134"/>
    </row>
    <row r="813" spans="1:8" x14ac:dyDescent="0.25">
      <c r="A813" s="140"/>
      <c r="B813" s="155"/>
      <c r="C813" s="151"/>
      <c r="D813" s="212"/>
      <c r="E813" s="148"/>
      <c r="F813" s="151"/>
      <c r="G813" s="367"/>
      <c r="H813" s="134"/>
    </row>
    <row r="814" spans="1:8" x14ac:dyDescent="0.25">
      <c r="A814" s="140"/>
      <c r="B814" s="155"/>
      <c r="C814" s="151"/>
      <c r="D814" s="212"/>
      <c r="E814" s="148"/>
      <c r="F814" s="151"/>
      <c r="G814" s="367"/>
      <c r="H814" s="134"/>
    </row>
    <row r="815" spans="1:8" x14ac:dyDescent="0.25">
      <c r="A815" s="140"/>
      <c r="B815" s="155"/>
      <c r="C815" s="151"/>
      <c r="D815" s="212"/>
      <c r="E815" s="148"/>
      <c r="F815" s="151"/>
      <c r="G815" s="367"/>
      <c r="H815" s="134"/>
    </row>
    <row r="816" spans="1:8" x14ac:dyDescent="0.25">
      <c r="A816" s="140"/>
      <c r="B816" s="155"/>
      <c r="C816" s="151"/>
      <c r="D816" s="212"/>
      <c r="E816" s="148"/>
      <c r="F816" s="151"/>
      <c r="G816" s="367"/>
      <c r="H816" s="134"/>
    </row>
    <row r="817" spans="1:8" x14ac:dyDescent="0.25">
      <c r="A817" s="140"/>
      <c r="B817" s="155"/>
      <c r="C817" s="151"/>
      <c r="D817" s="212"/>
      <c r="E817" s="148"/>
      <c r="F817" s="151"/>
      <c r="G817" s="367"/>
      <c r="H817" s="134"/>
    </row>
    <row r="818" spans="1:8" x14ac:dyDescent="0.25">
      <c r="A818" s="140"/>
      <c r="B818" s="155"/>
      <c r="C818" s="151"/>
      <c r="D818" s="212"/>
      <c r="E818" s="148"/>
      <c r="F818" s="151"/>
      <c r="G818" s="367"/>
      <c r="H818" s="134"/>
    </row>
    <row r="819" spans="1:8" x14ac:dyDescent="0.25">
      <c r="A819" s="140"/>
      <c r="B819" s="155"/>
      <c r="C819" s="151"/>
      <c r="D819" s="212"/>
      <c r="E819" s="148"/>
      <c r="F819" s="151"/>
      <c r="G819" s="367"/>
      <c r="H819" s="134"/>
    </row>
    <row r="820" spans="1:8" x14ac:dyDescent="0.25">
      <c r="A820" s="140"/>
      <c r="B820" s="155"/>
      <c r="C820" s="152"/>
      <c r="D820" s="952"/>
      <c r="E820" s="152"/>
      <c r="F820" s="151"/>
      <c r="G820" s="156"/>
      <c r="H820" s="134"/>
    </row>
    <row r="821" spans="1:8" ht="15.75" thickBot="1" x14ac:dyDescent="0.3">
      <c r="A821" s="140"/>
      <c r="B821" s="155"/>
      <c r="C821" s="152"/>
      <c r="D821" s="952"/>
      <c r="E821" s="152"/>
      <c r="F821" s="151"/>
      <c r="G821" s="156"/>
      <c r="H821" s="134"/>
    </row>
    <row r="822" spans="1:8" ht="15.75" thickBot="1" x14ac:dyDescent="0.3">
      <c r="A822" s="140"/>
      <c r="B822" s="157"/>
      <c r="C822" s="159"/>
      <c r="D822" s="953"/>
      <c r="E822" s="159"/>
      <c r="F822" s="158"/>
      <c r="G822" s="160"/>
      <c r="H822" s="161">
        <f>+SUM(G810:G822)</f>
        <v>465</v>
      </c>
    </row>
    <row r="823" spans="1:8" ht="15.75" thickBot="1" x14ac:dyDescent="0.3">
      <c r="A823" s="140"/>
      <c r="B823" s="162"/>
      <c r="C823" s="162"/>
      <c r="D823" s="954"/>
      <c r="E823" s="162"/>
      <c r="F823" s="163"/>
      <c r="G823" s="164"/>
      <c r="H823" s="165"/>
    </row>
    <row r="824" spans="1:8" ht="15.75" thickBot="1" x14ac:dyDescent="0.3">
      <c r="A824" s="183"/>
      <c r="B824" s="1369" t="s">
        <v>5410</v>
      </c>
      <c r="C824" s="1363" t="s">
        <v>867</v>
      </c>
      <c r="D824" s="1120" t="s">
        <v>6</v>
      </c>
      <c r="E824" s="1363" t="s">
        <v>870</v>
      </c>
      <c r="F824" s="1363" t="s">
        <v>5411</v>
      </c>
      <c r="G824" s="1370" t="s">
        <v>868</v>
      </c>
      <c r="H824" s="1371"/>
    </row>
    <row r="825" spans="1:8" x14ac:dyDescent="0.25">
      <c r="A825" s="140"/>
      <c r="B825" s="201"/>
      <c r="C825" s="147"/>
      <c r="D825" s="211"/>
      <c r="E825" s="148"/>
      <c r="F825" s="169"/>
      <c r="G825" s="367">
        <f>+D825*E825*(1+F825)</f>
        <v>0</v>
      </c>
      <c r="H825" s="134"/>
    </row>
    <row r="826" spans="1:8" x14ac:dyDescent="0.25">
      <c r="A826" s="140"/>
      <c r="B826" s="196"/>
      <c r="C826" s="151"/>
      <c r="D826" s="212"/>
      <c r="E826" s="148"/>
      <c r="F826" s="147"/>
      <c r="G826" s="367"/>
      <c r="H826" s="134"/>
    </row>
    <row r="827" spans="1:8" x14ac:dyDescent="0.25">
      <c r="A827" s="140"/>
      <c r="B827" s="196"/>
      <c r="C827" s="151"/>
      <c r="D827" s="212"/>
      <c r="E827" s="148"/>
      <c r="F827" s="151"/>
      <c r="G827" s="367"/>
      <c r="H827" s="134"/>
    </row>
    <row r="828" spans="1:8" x14ac:dyDescent="0.25">
      <c r="A828" s="140"/>
      <c r="B828" s="155"/>
      <c r="C828" s="151"/>
      <c r="D828" s="212"/>
      <c r="E828" s="148"/>
      <c r="F828" s="151"/>
      <c r="G828" s="367"/>
      <c r="H828" s="134"/>
    </row>
    <row r="829" spans="1:8" x14ac:dyDescent="0.25">
      <c r="A829" s="140"/>
      <c r="B829" s="155"/>
      <c r="C829" s="151"/>
      <c r="D829" s="212"/>
      <c r="E829" s="148"/>
      <c r="F829" s="151"/>
      <c r="G829" s="367"/>
      <c r="H829" s="134"/>
    </row>
    <row r="830" spans="1:8" ht="15.75" thickBot="1" x14ac:dyDescent="0.3">
      <c r="A830" s="140"/>
      <c r="B830" s="155"/>
      <c r="C830" s="151"/>
      <c r="D830" s="212"/>
      <c r="E830" s="148"/>
      <c r="F830" s="151"/>
      <c r="G830" s="367"/>
      <c r="H830" s="134"/>
    </row>
    <row r="831" spans="1:8" ht="15.75" thickBot="1" x14ac:dyDescent="0.3">
      <c r="A831" s="140"/>
      <c r="B831" s="157"/>
      <c r="C831" s="159"/>
      <c r="D831" s="953"/>
      <c r="E831" s="159"/>
      <c r="F831" s="158"/>
      <c r="G831" s="160"/>
      <c r="H831" s="161">
        <f>+SUM(G825:G831)</f>
        <v>0</v>
      </c>
    </row>
    <row r="832" spans="1:8" ht="15.75" thickBot="1" x14ac:dyDescent="0.3">
      <c r="A832" s="140"/>
      <c r="B832" s="162"/>
      <c r="C832" s="162"/>
      <c r="D832" s="954"/>
      <c r="E832" s="162"/>
      <c r="F832" s="173"/>
      <c r="G832" s="174"/>
      <c r="H832" s="165"/>
    </row>
    <row r="833" spans="1:8" ht="15.75" thickBot="1" x14ac:dyDescent="0.3">
      <c r="A833" s="183"/>
      <c r="B833" s="1369" t="s">
        <v>5412</v>
      </c>
      <c r="C833" s="1363" t="s">
        <v>5420</v>
      </c>
      <c r="D833" s="1120" t="s">
        <v>5421</v>
      </c>
      <c r="E833" s="1363" t="s">
        <v>5413</v>
      </c>
      <c r="F833" s="1363" t="s">
        <v>5405</v>
      </c>
      <c r="G833" s="1370" t="s">
        <v>868</v>
      </c>
      <c r="H833" s="1371"/>
    </row>
    <row r="834" spans="1:8" x14ac:dyDescent="0.25">
      <c r="A834" s="140"/>
      <c r="B834" s="194" t="s">
        <v>5650</v>
      </c>
      <c r="C834" s="345">
        <f>+VLOOKUP($B834,'Mano de obra'!$A$5:$D$26,2,FALSE)</f>
        <v>57454</v>
      </c>
      <c r="D834" s="345">
        <f>+VLOOKUP($B834,'Mano de obra'!$A$5:$D$26,3,FALSE)</f>
        <v>35656</v>
      </c>
      <c r="E834" s="345">
        <f>+VLOOKUP($B834,'Mano de obra'!$A$5:$D$26,4,FALSE)</f>
        <v>93110</v>
      </c>
      <c r="F834" s="202">
        <v>100</v>
      </c>
      <c r="G834" s="351">
        <f>+E834/F834</f>
        <v>931.1</v>
      </c>
      <c r="H834" s="134"/>
    </row>
    <row r="835" spans="1:8" x14ac:dyDescent="0.25">
      <c r="A835" s="140"/>
      <c r="B835" s="194" t="s">
        <v>5949</v>
      </c>
      <c r="C835" s="345">
        <f>+VLOOKUP($B835,'Mano de obra'!$A$5:$D$26,2,FALSE)</f>
        <v>44263.8</v>
      </c>
      <c r="D835" s="345">
        <f>+VLOOKUP($B835,'Mano de obra'!$A$5:$D$26,3,FALSE)</f>
        <v>27470</v>
      </c>
      <c r="E835" s="345">
        <f>+VLOOKUP($B835,'Mano de obra'!$A$5:$D$26,4,FALSE)</f>
        <v>71733.8</v>
      </c>
      <c r="F835" s="204">
        <v>10</v>
      </c>
      <c r="G835" s="351">
        <f>+E835/F835</f>
        <v>7173.38</v>
      </c>
      <c r="H835" s="134"/>
    </row>
    <row r="836" spans="1:8" x14ac:dyDescent="0.25">
      <c r="A836" s="140"/>
      <c r="B836" s="195" t="s">
        <v>5635</v>
      </c>
      <c r="C836" s="345">
        <f>+VLOOKUP($B836,'Mano de obra'!$A$5:$D$26,2,FALSE)</f>
        <v>24591</v>
      </c>
      <c r="D836" s="345">
        <f>+VLOOKUP($B836,'Mano de obra'!$A$5:$D$26,3,FALSE)</f>
        <v>15261</v>
      </c>
      <c r="E836" s="345">
        <f>+VLOOKUP($B836,'Mano de obra'!$A$5:$D$26,4,FALSE)</f>
        <v>39852</v>
      </c>
      <c r="F836" s="205">
        <v>2.5</v>
      </c>
      <c r="G836" s="351">
        <f>+E836/F836</f>
        <v>15940.8</v>
      </c>
      <c r="H836" s="134"/>
    </row>
    <row r="837" spans="1:8" x14ac:dyDescent="0.25">
      <c r="A837" s="140"/>
      <c r="B837" s="155"/>
      <c r="C837" s="345"/>
      <c r="D837" s="955"/>
      <c r="E837" s="353"/>
      <c r="F837" s="205"/>
      <c r="G837" s="351"/>
      <c r="H837" s="134"/>
    </row>
    <row r="838" spans="1:8" x14ac:dyDescent="0.25">
      <c r="A838" s="140"/>
      <c r="B838" s="155"/>
      <c r="C838" s="345"/>
      <c r="D838" s="955"/>
      <c r="E838" s="353"/>
      <c r="F838" s="205"/>
      <c r="G838" s="351"/>
      <c r="H838" s="134"/>
    </row>
    <row r="839" spans="1:8" ht="15.75" thickBot="1" x14ac:dyDescent="0.3">
      <c r="A839" s="140"/>
      <c r="B839" s="155"/>
      <c r="C839" s="152"/>
      <c r="D839" s="952"/>
      <c r="E839" s="152"/>
      <c r="F839" s="151"/>
      <c r="G839" s="156"/>
      <c r="H839" s="134"/>
    </row>
    <row r="840" spans="1:8" ht="15.75" thickBot="1" x14ac:dyDescent="0.3">
      <c r="A840" s="140"/>
      <c r="B840" s="179"/>
      <c r="C840" s="180"/>
      <c r="D840" s="956"/>
      <c r="E840" s="180"/>
      <c r="F840" s="181"/>
      <c r="G840" s="182"/>
      <c r="H840" s="161">
        <f>+SUM(G834:G840)</f>
        <v>24045.279999999999</v>
      </c>
    </row>
    <row r="841" spans="1:8" ht="15.75" thickBot="1" x14ac:dyDescent="0.3">
      <c r="A841" s="140"/>
      <c r="B841" s="140"/>
      <c r="C841" s="140"/>
      <c r="D841" s="529"/>
      <c r="E841" s="140"/>
      <c r="F841" s="141"/>
      <c r="G841" s="134"/>
      <c r="H841" s="134"/>
    </row>
    <row r="842" spans="1:8" ht="15.75" thickBot="1" x14ac:dyDescent="0.3">
      <c r="A842" s="133" t="s">
        <v>6744</v>
      </c>
      <c r="B842" s="140"/>
      <c r="C842" s="140"/>
      <c r="D842" s="529"/>
      <c r="E842" s="183" t="s">
        <v>5415</v>
      </c>
      <c r="F842" s="141"/>
      <c r="G842" s="134"/>
      <c r="H842" s="992">
        <f>ROUND(+H807+H822+H831+H840,0)</f>
        <v>39946</v>
      </c>
    </row>
    <row r="843" spans="1:8" x14ac:dyDescent="0.25">
      <c r="A843" s="1058"/>
      <c r="B843" s="1058"/>
      <c r="C843" s="1058"/>
      <c r="D843" s="957"/>
      <c r="E843" s="1058"/>
      <c r="F843" s="1058"/>
      <c r="G843" s="1058"/>
      <c r="H843" s="1058"/>
    </row>
    <row r="844" spans="1:8" x14ac:dyDescent="0.25">
      <c r="A844" s="1058"/>
      <c r="B844" s="1058"/>
      <c r="C844" s="1058"/>
      <c r="D844" s="957"/>
      <c r="E844" s="1058"/>
      <c r="F844" s="1058"/>
      <c r="G844" s="1058"/>
      <c r="H844" s="1058"/>
    </row>
    <row r="845" spans="1:8" x14ac:dyDescent="0.25">
      <c r="A845" s="1058"/>
      <c r="B845" s="1058"/>
      <c r="C845" s="1058"/>
      <c r="D845" s="957"/>
      <c r="E845" s="1058"/>
      <c r="F845" s="1058"/>
      <c r="G845" s="1058"/>
      <c r="H845" s="1058"/>
    </row>
    <row r="846" spans="1:8" x14ac:dyDescent="0.25">
      <c r="A846" s="1424" t="s">
        <v>3</v>
      </c>
      <c r="B846" s="1390" t="str">
        <f>+VLOOKUP(C846,ListaAPUs!$B:$E,4,FALSE)</f>
        <v>2.5.5</v>
      </c>
      <c r="C846" s="2450" t="str">
        <f>+ListaAPUs!B37</f>
        <v>Retiro,limpieza e inspección accesorios HD</v>
      </c>
      <c r="D846" s="2450"/>
      <c r="E846" s="2450"/>
      <c r="F846" s="1424" t="s">
        <v>867</v>
      </c>
      <c r="G846" s="139" t="s">
        <v>37</v>
      </c>
      <c r="H846" s="134"/>
    </row>
    <row r="847" spans="1:8" x14ac:dyDescent="0.25">
      <c r="A847" s="141"/>
      <c r="B847" s="140"/>
      <c r="C847" s="140"/>
      <c r="D847" s="529"/>
      <c r="E847" s="140"/>
      <c r="F847" s="141"/>
      <c r="G847" s="134"/>
      <c r="H847" s="134"/>
    </row>
    <row r="848" spans="1:8" x14ac:dyDescent="0.25">
      <c r="A848" s="141"/>
      <c r="B848" s="140"/>
      <c r="C848" s="140"/>
      <c r="D848" s="529"/>
      <c r="E848" s="140"/>
      <c r="F848" s="141"/>
      <c r="G848" s="142"/>
      <c r="H848" s="134"/>
    </row>
    <row r="849" spans="1:8" ht="15.75" thickBot="1" x14ac:dyDescent="0.3">
      <c r="A849" s="141"/>
      <c r="B849" s="140"/>
      <c r="C849" s="140"/>
      <c r="D849" s="529"/>
      <c r="E849" s="140"/>
      <c r="F849" s="141"/>
      <c r="G849" s="134"/>
      <c r="H849" s="134"/>
    </row>
    <row r="850" spans="1:8" ht="15.75" thickBot="1" x14ac:dyDescent="0.3">
      <c r="A850" s="1368"/>
      <c r="B850" s="1369" t="s">
        <v>5403</v>
      </c>
      <c r="C850" s="1363" t="s">
        <v>867</v>
      </c>
      <c r="D850" s="1120" t="s">
        <v>6</v>
      </c>
      <c r="E850" s="1363" t="s">
        <v>5404</v>
      </c>
      <c r="F850" s="1363" t="s">
        <v>5405</v>
      </c>
      <c r="G850" s="1370" t="s">
        <v>868</v>
      </c>
      <c r="H850" s="1371"/>
    </row>
    <row r="851" spans="1:8" x14ac:dyDescent="0.25">
      <c r="A851" s="141"/>
      <c r="B851" s="146" t="s">
        <v>5440</v>
      </c>
      <c r="C851" s="147" t="s">
        <v>5406</v>
      </c>
      <c r="D851" s="211"/>
      <c r="E851" s="148">
        <f>+H890</f>
        <v>21388.48</v>
      </c>
      <c r="F851" s="167">
        <v>0.2</v>
      </c>
      <c r="G851" s="360">
        <f>+E851*F851</f>
        <v>4277.6959999999999</v>
      </c>
      <c r="H851" s="134"/>
    </row>
    <row r="852" spans="1:8" x14ac:dyDescent="0.25">
      <c r="A852" s="141"/>
      <c r="B852" s="1539" t="s">
        <v>6869</v>
      </c>
      <c r="C852" s="151" t="s">
        <v>5666</v>
      </c>
      <c r="D852" s="212">
        <v>1</v>
      </c>
      <c r="E852" s="975">
        <f>+VLOOKUP(B852,Insumos!$A$2:$C$331,3,FALSE)</f>
        <v>202536</v>
      </c>
      <c r="F852" s="205">
        <v>5</v>
      </c>
      <c r="G852" s="360">
        <f>+D852*E852/F852</f>
        <v>40507.199999999997</v>
      </c>
      <c r="H852" s="134"/>
    </row>
    <row r="853" spans="1:8" x14ac:dyDescent="0.25">
      <c r="A853" s="141"/>
      <c r="B853" s="1539" t="s">
        <v>9031</v>
      </c>
      <c r="C853" s="151"/>
      <c r="D853" s="212"/>
      <c r="E853" s="366"/>
      <c r="F853" s="205"/>
      <c r="G853" s="360">
        <v>2500</v>
      </c>
      <c r="H853" s="134"/>
    </row>
    <row r="854" spans="1:8" x14ac:dyDescent="0.25">
      <c r="A854" s="141"/>
      <c r="B854" s="154"/>
      <c r="C854" s="151"/>
      <c r="D854" s="212"/>
      <c r="E854" s="366"/>
      <c r="F854" s="205"/>
      <c r="G854" s="360"/>
      <c r="H854" s="134"/>
    </row>
    <row r="855" spans="1:8" x14ac:dyDescent="0.25">
      <c r="A855" s="141"/>
      <c r="B855" s="155"/>
      <c r="C855" s="151"/>
      <c r="D855" s="952"/>
      <c r="E855" s="152"/>
      <c r="F855" s="151"/>
      <c r="G855" s="156"/>
      <c r="H855" s="134"/>
    </row>
    <row r="856" spans="1:8" ht="15.75" thickBot="1" x14ac:dyDescent="0.3">
      <c r="A856" s="141"/>
      <c r="B856" s="155"/>
      <c r="C856" s="151"/>
      <c r="D856" s="952"/>
      <c r="E856" s="152"/>
      <c r="F856" s="151"/>
      <c r="G856" s="156"/>
      <c r="H856" s="134"/>
    </row>
    <row r="857" spans="1:8" ht="15.75" thickBot="1" x14ac:dyDescent="0.3">
      <c r="A857" s="141"/>
      <c r="B857" s="157"/>
      <c r="C857" s="158"/>
      <c r="D857" s="953"/>
      <c r="E857" s="159"/>
      <c r="F857" s="158"/>
      <c r="G857" s="160"/>
      <c r="H857" s="161">
        <f>+SUM(G851:G857)</f>
        <v>47284.895999999993</v>
      </c>
    </row>
    <row r="858" spans="1:8" ht="15.75" thickBot="1" x14ac:dyDescent="0.3">
      <c r="A858" s="141"/>
      <c r="B858" s="162"/>
      <c r="C858" s="163"/>
      <c r="D858" s="954"/>
      <c r="E858" s="162"/>
      <c r="F858" s="163"/>
      <c r="G858" s="164"/>
      <c r="H858" s="165"/>
    </row>
    <row r="859" spans="1:8" ht="15.75" thickBot="1" x14ac:dyDescent="0.3">
      <c r="A859" s="183"/>
      <c r="B859" s="1369" t="s">
        <v>5408</v>
      </c>
      <c r="C859" s="1363" t="s">
        <v>867</v>
      </c>
      <c r="D859" s="1120" t="s">
        <v>6</v>
      </c>
      <c r="E859" s="1363" t="s">
        <v>870</v>
      </c>
      <c r="F859" s="1363" t="s">
        <v>5409</v>
      </c>
      <c r="G859" s="1370" t="s">
        <v>868</v>
      </c>
      <c r="H859" s="1371"/>
    </row>
    <row r="860" spans="1:8" x14ac:dyDescent="0.25">
      <c r="A860" s="140"/>
      <c r="B860" s="295" t="s">
        <v>5553</v>
      </c>
      <c r="C860" s="202" t="s">
        <v>5488</v>
      </c>
      <c r="D860" s="212">
        <v>20</v>
      </c>
      <c r="E860" s="975">
        <f>+VLOOKUP(B860,Insumos!$A$2:$C$331,3,FALSE)</f>
        <v>30</v>
      </c>
      <c r="F860" s="169">
        <v>0.05</v>
      </c>
      <c r="G860" s="178">
        <f>+D860*E860*(1+F860)</f>
        <v>630</v>
      </c>
      <c r="H860" s="134"/>
    </row>
    <row r="861" spans="1:8" x14ac:dyDescent="0.25">
      <c r="A861" s="140"/>
      <c r="B861" s="450" t="s">
        <v>6392</v>
      </c>
      <c r="C861" s="202" t="s">
        <v>5475</v>
      </c>
      <c r="D861" s="211"/>
      <c r="E861" s="228"/>
      <c r="F861" s="169"/>
      <c r="G861" s="178">
        <v>300</v>
      </c>
      <c r="H861" s="134"/>
    </row>
    <row r="862" spans="1:8" x14ac:dyDescent="0.25">
      <c r="A862" s="140"/>
      <c r="B862" s="196"/>
      <c r="C862" s="151"/>
      <c r="D862" s="212"/>
      <c r="E862" s="148"/>
      <c r="F862" s="169"/>
      <c r="G862" s="367"/>
      <c r="H862" s="134"/>
    </row>
    <row r="863" spans="1:8" x14ac:dyDescent="0.25">
      <c r="A863" s="140"/>
      <c r="B863" s="155"/>
      <c r="C863" s="151"/>
      <c r="D863" s="212"/>
      <c r="E863" s="148"/>
      <c r="F863" s="151"/>
      <c r="G863" s="367"/>
      <c r="H863" s="134"/>
    </row>
    <row r="864" spans="1:8" x14ac:dyDescent="0.25">
      <c r="A864" s="140"/>
      <c r="B864" s="155"/>
      <c r="C864" s="151"/>
      <c r="D864" s="212"/>
      <c r="E864" s="148"/>
      <c r="F864" s="151"/>
      <c r="G864" s="367"/>
      <c r="H864" s="134"/>
    </row>
    <row r="865" spans="1:8" x14ac:dyDescent="0.25">
      <c r="A865" s="140"/>
      <c r="B865" s="155"/>
      <c r="C865" s="151"/>
      <c r="D865" s="212"/>
      <c r="E865" s="148"/>
      <c r="F865" s="151"/>
      <c r="G865" s="367"/>
      <c r="H865" s="134"/>
    </row>
    <row r="866" spans="1:8" x14ac:dyDescent="0.25">
      <c r="A866" s="140"/>
      <c r="B866" s="155"/>
      <c r="C866" s="151"/>
      <c r="D866" s="212"/>
      <c r="E866" s="148"/>
      <c r="F866" s="151"/>
      <c r="G866" s="367"/>
      <c r="H866" s="134"/>
    </row>
    <row r="867" spans="1:8" x14ac:dyDescent="0.25">
      <c r="A867" s="140"/>
      <c r="B867" s="155"/>
      <c r="C867" s="151"/>
      <c r="D867" s="212"/>
      <c r="E867" s="148"/>
      <c r="F867" s="151"/>
      <c r="G867" s="367"/>
      <c r="H867" s="134"/>
    </row>
    <row r="868" spans="1:8" x14ac:dyDescent="0.25">
      <c r="A868" s="140"/>
      <c r="B868" s="155"/>
      <c r="C868" s="151"/>
      <c r="D868" s="212"/>
      <c r="E868" s="148"/>
      <c r="F868" s="151"/>
      <c r="G868" s="367"/>
      <c r="H868" s="134"/>
    </row>
    <row r="869" spans="1:8" x14ac:dyDescent="0.25">
      <c r="A869" s="140"/>
      <c r="B869" s="155"/>
      <c r="C869" s="151"/>
      <c r="D869" s="212"/>
      <c r="E869" s="148"/>
      <c r="F869" s="151"/>
      <c r="G869" s="367"/>
      <c r="H869" s="134"/>
    </row>
    <row r="870" spans="1:8" x14ac:dyDescent="0.25">
      <c r="A870" s="140"/>
      <c r="B870" s="155"/>
      <c r="C870" s="152"/>
      <c r="D870" s="952"/>
      <c r="E870" s="152"/>
      <c r="F870" s="151"/>
      <c r="G870" s="156"/>
      <c r="H870" s="134"/>
    </row>
    <row r="871" spans="1:8" ht="15.75" thickBot="1" x14ac:dyDescent="0.3">
      <c r="A871" s="140"/>
      <c r="B871" s="155"/>
      <c r="C871" s="152"/>
      <c r="D871" s="952"/>
      <c r="E871" s="152"/>
      <c r="F871" s="151"/>
      <c r="G871" s="156"/>
      <c r="H871" s="134"/>
    </row>
    <row r="872" spans="1:8" ht="15.75" thickBot="1" x14ac:dyDescent="0.3">
      <c r="A872" s="140"/>
      <c r="B872" s="157"/>
      <c r="C872" s="159"/>
      <c r="D872" s="953"/>
      <c r="E872" s="159"/>
      <c r="F872" s="158"/>
      <c r="G872" s="160"/>
      <c r="H872" s="161">
        <f>+SUM(G860:G872)</f>
        <v>930</v>
      </c>
    </row>
    <row r="873" spans="1:8" ht="15.75" thickBot="1" x14ac:dyDescent="0.3">
      <c r="A873" s="140"/>
      <c r="B873" s="162"/>
      <c r="C873" s="162"/>
      <c r="D873" s="954"/>
      <c r="E873" s="162"/>
      <c r="F873" s="163"/>
      <c r="G873" s="164"/>
      <c r="H873" s="165"/>
    </row>
    <row r="874" spans="1:8" ht="15.75" thickBot="1" x14ac:dyDescent="0.3">
      <c r="A874" s="183"/>
      <c r="B874" s="1369" t="s">
        <v>5410</v>
      </c>
      <c r="C874" s="1363" t="s">
        <v>867</v>
      </c>
      <c r="D874" s="1120" t="s">
        <v>6</v>
      </c>
      <c r="E874" s="1363" t="s">
        <v>870</v>
      </c>
      <c r="F874" s="1363" t="s">
        <v>5411</v>
      </c>
      <c r="G874" s="1370" t="s">
        <v>868</v>
      </c>
      <c r="H874" s="1371"/>
    </row>
    <row r="875" spans="1:8" x14ac:dyDescent="0.25">
      <c r="A875" s="140"/>
      <c r="B875" s="201"/>
      <c r="C875" s="147"/>
      <c r="D875" s="211"/>
      <c r="E875" s="148"/>
      <c r="F875" s="169"/>
      <c r="G875" s="367">
        <f>+D875*E875*(1+F875)</f>
        <v>0</v>
      </c>
      <c r="H875" s="134"/>
    </row>
    <row r="876" spans="1:8" x14ac:dyDescent="0.25">
      <c r="A876" s="140"/>
      <c r="B876" s="196"/>
      <c r="C876" s="151"/>
      <c r="D876" s="212"/>
      <c r="E876" s="148"/>
      <c r="F876" s="147"/>
      <c r="G876" s="367"/>
      <c r="H876" s="134"/>
    </row>
    <row r="877" spans="1:8" x14ac:dyDescent="0.25">
      <c r="A877" s="140"/>
      <c r="B877" s="196"/>
      <c r="C877" s="151"/>
      <c r="D877" s="212"/>
      <c r="E877" s="148"/>
      <c r="F877" s="151"/>
      <c r="G877" s="367"/>
      <c r="H877" s="134"/>
    </row>
    <row r="878" spans="1:8" x14ac:dyDescent="0.25">
      <c r="A878" s="140"/>
      <c r="B878" s="155"/>
      <c r="C878" s="151"/>
      <c r="D878" s="212"/>
      <c r="E878" s="148"/>
      <c r="F878" s="151"/>
      <c r="G878" s="367"/>
      <c r="H878" s="134"/>
    </row>
    <row r="879" spans="1:8" x14ac:dyDescent="0.25">
      <c r="A879" s="140"/>
      <c r="B879" s="155"/>
      <c r="C879" s="151"/>
      <c r="D879" s="212"/>
      <c r="E879" s="148"/>
      <c r="F879" s="151"/>
      <c r="G879" s="367"/>
      <c r="H879" s="134"/>
    </row>
    <row r="880" spans="1:8" ht="15.75" thickBot="1" x14ac:dyDescent="0.3">
      <c r="A880" s="140"/>
      <c r="B880" s="155"/>
      <c r="C880" s="151"/>
      <c r="D880" s="212"/>
      <c r="E880" s="148"/>
      <c r="F880" s="151"/>
      <c r="G880" s="367"/>
      <c r="H880" s="134"/>
    </row>
    <row r="881" spans="1:8" ht="15.75" thickBot="1" x14ac:dyDescent="0.3">
      <c r="A881" s="140"/>
      <c r="B881" s="157"/>
      <c r="C881" s="159"/>
      <c r="D881" s="953"/>
      <c r="E881" s="159"/>
      <c r="F881" s="158"/>
      <c r="G881" s="160"/>
      <c r="H881" s="161">
        <f>+SUM(G875:G881)</f>
        <v>0</v>
      </c>
    </row>
    <row r="882" spans="1:8" ht="15.75" thickBot="1" x14ac:dyDescent="0.3">
      <c r="A882" s="140"/>
      <c r="B882" s="162"/>
      <c r="C882" s="162"/>
      <c r="D882" s="954"/>
      <c r="E882" s="162"/>
      <c r="F882" s="173"/>
      <c r="G882" s="174"/>
      <c r="H882" s="165"/>
    </row>
    <row r="883" spans="1:8" ht="15.75" thickBot="1" x14ac:dyDescent="0.3">
      <c r="A883" s="183"/>
      <c r="B883" s="1369" t="s">
        <v>5412</v>
      </c>
      <c r="C883" s="1363" t="s">
        <v>5420</v>
      </c>
      <c r="D883" s="1120" t="s">
        <v>5421</v>
      </c>
      <c r="E883" s="1363" t="s">
        <v>5413</v>
      </c>
      <c r="F883" s="1363" t="s">
        <v>5405</v>
      </c>
      <c r="G883" s="1370" t="s">
        <v>868</v>
      </c>
      <c r="H883" s="1371"/>
    </row>
    <row r="884" spans="1:8" x14ac:dyDescent="0.25">
      <c r="A884" s="140"/>
      <c r="B884" s="194" t="s">
        <v>5650</v>
      </c>
      <c r="C884" s="345">
        <f>+VLOOKUP($B884,'Mano de obra'!$A$5:$D$26,2,FALSE)</f>
        <v>57454</v>
      </c>
      <c r="D884" s="345">
        <f>+VLOOKUP($B884,'Mano de obra'!$A$5:$D$26,3,FALSE)</f>
        <v>35656</v>
      </c>
      <c r="E884" s="345">
        <f>+VLOOKUP($B884,'Mano de obra'!$A$5:$D$26,4,FALSE)</f>
        <v>93110</v>
      </c>
      <c r="F884" s="202">
        <v>100</v>
      </c>
      <c r="G884" s="351">
        <f>+E884/F884</f>
        <v>931.1</v>
      </c>
      <c r="H884" s="134"/>
    </row>
    <row r="885" spans="1:8" x14ac:dyDescent="0.25">
      <c r="A885" s="140"/>
      <c r="B885" s="194" t="s">
        <v>5949</v>
      </c>
      <c r="C885" s="345">
        <f>+VLOOKUP($B885,'Mano de obra'!$A$5:$D$26,2,FALSE)</f>
        <v>44263.8</v>
      </c>
      <c r="D885" s="345">
        <f>+VLOOKUP($B885,'Mano de obra'!$A$5:$D$26,3,FALSE)</f>
        <v>27470</v>
      </c>
      <c r="E885" s="345">
        <f>+VLOOKUP($B885,'Mano de obra'!$A$5:$D$26,4,FALSE)</f>
        <v>71733.8</v>
      </c>
      <c r="F885" s="204">
        <v>10</v>
      </c>
      <c r="G885" s="351">
        <f>+E885/F885</f>
        <v>7173.38</v>
      </c>
      <c r="H885" s="134"/>
    </row>
    <row r="886" spans="1:8" x14ac:dyDescent="0.25">
      <c r="A886" s="140"/>
      <c r="B886" s="195" t="s">
        <v>5635</v>
      </c>
      <c r="C886" s="345">
        <f>+VLOOKUP($B886,'Mano de obra'!$A$5:$D$26,2,FALSE)</f>
        <v>24591</v>
      </c>
      <c r="D886" s="345">
        <f>+VLOOKUP($B886,'Mano de obra'!$A$5:$D$26,3,FALSE)</f>
        <v>15261</v>
      </c>
      <c r="E886" s="345">
        <f>+VLOOKUP($B886,'Mano de obra'!$A$5:$D$26,4,FALSE)</f>
        <v>39852</v>
      </c>
      <c r="F886" s="205">
        <v>3</v>
      </c>
      <c r="G886" s="351">
        <f>+E886/F886</f>
        <v>13284</v>
      </c>
      <c r="H886" s="134"/>
    </row>
    <row r="887" spans="1:8" x14ac:dyDescent="0.25">
      <c r="A887" s="140"/>
      <c r="B887" s="155"/>
      <c r="C887" s="345"/>
      <c r="D887" s="955"/>
      <c r="E887" s="353"/>
      <c r="F887" s="205"/>
      <c r="G887" s="351"/>
      <c r="H887" s="134"/>
    </row>
    <row r="888" spans="1:8" x14ac:dyDescent="0.25">
      <c r="A888" s="140"/>
      <c r="B888" s="155"/>
      <c r="C888" s="345"/>
      <c r="D888" s="955"/>
      <c r="E888" s="353"/>
      <c r="F888" s="205"/>
      <c r="G888" s="351"/>
      <c r="H888" s="134"/>
    </row>
    <row r="889" spans="1:8" ht="15.75" thickBot="1" x14ac:dyDescent="0.3">
      <c r="A889" s="140"/>
      <c r="B889" s="155"/>
      <c r="C889" s="152"/>
      <c r="D889" s="952"/>
      <c r="E889" s="152"/>
      <c r="F889" s="151"/>
      <c r="G889" s="156"/>
      <c r="H889" s="134"/>
    </row>
    <row r="890" spans="1:8" ht="15.75" thickBot="1" x14ac:dyDescent="0.3">
      <c r="A890" s="140"/>
      <c r="B890" s="179"/>
      <c r="C890" s="180"/>
      <c r="D890" s="956"/>
      <c r="E890" s="180"/>
      <c r="F890" s="181"/>
      <c r="G890" s="182"/>
      <c r="H890" s="161">
        <f>+SUM(G884:G890)</f>
        <v>21388.48</v>
      </c>
    </row>
    <row r="891" spans="1:8" ht="15.75" thickBot="1" x14ac:dyDescent="0.3">
      <c r="A891" s="140"/>
      <c r="B891" s="140"/>
      <c r="C891" s="140"/>
      <c r="D891" s="529"/>
      <c r="E891" s="140"/>
      <c r="F891" s="141"/>
      <c r="G891" s="134"/>
      <c r="H891" s="134"/>
    </row>
    <row r="892" spans="1:8" ht="15.75" thickBot="1" x14ac:dyDescent="0.3">
      <c r="A892" s="133" t="s">
        <v>6744</v>
      </c>
      <c r="B892" s="140"/>
      <c r="C892" s="140"/>
      <c r="D892" s="529"/>
      <c r="E892" s="183" t="s">
        <v>5415</v>
      </c>
      <c r="F892" s="141"/>
      <c r="G892" s="134"/>
      <c r="H892" s="992">
        <f>ROUND(+H857+H872+H881+H890,0)</f>
        <v>69603</v>
      </c>
    </row>
    <row r="893" spans="1:8" x14ac:dyDescent="0.25">
      <c r="A893" s="1058"/>
      <c r="B893" s="1058"/>
      <c r="C893" s="1058"/>
      <c r="D893" s="957"/>
      <c r="E893" s="1058"/>
      <c r="F893" s="1058"/>
      <c r="G893" s="1058"/>
      <c r="H893" s="1058"/>
    </row>
    <row r="894" spans="1:8" x14ac:dyDescent="0.25">
      <c r="A894" s="1058"/>
      <c r="B894" s="1058"/>
      <c r="C894" s="1058"/>
      <c r="D894" s="957"/>
      <c r="E894" s="1058"/>
      <c r="F894" s="1058"/>
      <c r="G894" s="1058"/>
      <c r="H894" s="1058"/>
    </row>
    <row r="895" spans="1:8" x14ac:dyDescent="0.25">
      <c r="A895" s="1058"/>
      <c r="B895" s="1058"/>
      <c r="C895" s="1058"/>
      <c r="D895" s="957"/>
      <c r="E895" s="1058"/>
      <c r="F895" s="1058"/>
      <c r="G895" s="1058"/>
      <c r="H895" s="1058"/>
    </row>
    <row r="896" spans="1:8" x14ac:dyDescent="0.25">
      <c r="A896" s="673" t="s">
        <v>5482</v>
      </c>
      <c r="B896" s="1390" t="str">
        <f>+VLOOKUP(C896,ListaAPUs!$B:$E,4,FALSE)</f>
        <v>2.6.1</v>
      </c>
      <c r="C896" s="2452" t="str">
        <f>+ListaAPUs!B40</f>
        <v>CORTES EN TUBERIA HD DE 250 MM</v>
      </c>
      <c r="D896" s="2447"/>
      <c r="E896" s="2447"/>
      <c r="F896" s="673" t="s">
        <v>867</v>
      </c>
      <c r="G896" s="342" t="s">
        <v>37</v>
      </c>
      <c r="H896" s="341"/>
    </row>
    <row r="897" spans="1:8" x14ac:dyDescent="0.25">
      <c r="A897" s="133"/>
      <c r="B897" s="8"/>
      <c r="C897" s="223"/>
      <c r="D897" s="958"/>
      <c r="E897" s="223"/>
      <c r="F897" s="133"/>
      <c r="G897" s="341"/>
      <c r="H897" s="341"/>
    </row>
    <row r="898" spans="1:8" x14ac:dyDescent="0.25">
      <c r="A898" s="133"/>
      <c r="B898" s="8"/>
      <c r="C898" s="8"/>
      <c r="D898" s="529"/>
      <c r="E898" s="8"/>
      <c r="F898" s="8"/>
      <c r="G898" s="8"/>
      <c r="H898" s="341"/>
    </row>
    <row r="899" spans="1:8" ht="15.75" thickBot="1" x14ac:dyDescent="0.3">
      <c r="A899" s="133"/>
      <c r="B899" s="8"/>
      <c r="C899" s="8"/>
      <c r="D899" s="529"/>
      <c r="E899" s="8"/>
      <c r="F899" s="133"/>
      <c r="G899" s="341"/>
      <c r="H899" s="341"/>
    </row>
    <row r="900" spans="1:8" ht="15.75" thickBot="1" x14ac:dyDescent="0.3">
      <c r="A900" s="1384"/>
      <c r="B900" s="1114" t="s">
        <v>5403</v>
      </c>
      <c r="C900" s="1117" t="s">
        <v>867</v>
      </c>
      <c r="D900" s="1120" t="s">
        <v>6</v>
      </c>
      <c r="E900" s="1117" t="s">
        <v>5439</v>
      </c>
      <c r="F900" s="1117" t="s">
        <v>5405</v>
      </c>
      <c r="G900" s="1385" t="s">
        <v>868</v>
      </c>
      <c r="H900" s="1386"/>
    </row>
    <row r="901" spans="1:8" x14ac:dyDescent="0.25">
      <c r="A901" s="133"/>
      <c r="B901" s="146" t="s">
        <v>5934</v>
      </c>
      <c r="C901" s="226"/>
      <c r="D901" s="212"/>
      <c r="E901" s="372">
        <f>+H939</f>
        <v>18254.112500000003</v>
      </c>
      <c r="F901" s="226">
        <v>0.1</v>
      </c>
      <c r="G901" s="344">
        <f>+E901*F901</f>
        <v>1825.4112500000003</v>
      </c>
      <c r="H901" s="341"/>
    </row>
    <row r="902" spans="1:8" x14ac:dyDescent="0.25">
      <c r="A902" s="133"/>
      <c r="B902" s="195" t="s">
        <v>6327</v>
      </c>
      <c r="C902" s="226" t="s">
        <v>5407</v>
      </c>
      <c r="D902" s="212">
        <v>1</v>
      </c>
      <c r="E902" s="975">
        <f>+VLOOKUP(B902,Insumos!$A$2:$C$331,3,FALSE)</f>
        <v>6330.3751999999995</v>
      </c>
      <c r="F902" s="226">
        <v>1</v>
      </c>
      <c r="G902" s="344">
        <f>+D902*E902/F902</f>
        <v>6330.3751999999995</v>
      </c>
      <c r="H902" s="341"/>
    </row>
    <row r="903" spans="1:8" x14ac:dyDescent="0.25">
      <c r="A903" s="133"/>
      <c r="B903" s="195"/>
      <c r="C903" s="226"/>
      <c r="D903" s="212"/>
      <c r="E903" s="345"/>
      <c r="F903" s="226"/>
      <c r="G903" s="344"/>
      <c r="H903" s="341"/>
    </row>
    <row r="904" spans="1:8" x14ac:dyDescent="0.25">
      <c r="A904" s="133"/>
      <c r="B904" s="195"/>
      <c r="C904" s="226"/>
      <c r="D904" s="212"/>
      <c r="E904" s="346"/>
      <c r="F904" s="226"/>
      <c r="G904" s="375"/>
      <c r="H904" s="341"/>
    </row>
    <row r="905" spans="1:8" x14ac:dyDescent="0.25">
      <c r="A905" s="133"/>
      <c r="B905" s="195"/>
      <c r="C905" s="226"/>
      <c r="D905" s="952"/>
      <c r="E905" s="232"/>
      <c r="F905" s="226"/>
      <c r="G905" s="344"/>
      <c r="H905" s="341"/>
    </row>
    <row r="906" spans="1:8" ht="15.75" thickBot="1" x14ac:dyDescent="0.3">
      <c r="A906" s="133"/>
      <c r="B906" s="195"/>
      <c r="C906" s="226"/>
      <c r="D906" s="952"/>
      <c r="E906" s="232"/>
      <c r="F906" s="226"/>
      <c r="G906" s="344"/>
      <c r="H906" s="341"/>
    </row>
    <row r="907" spans="1:8" ht="15.75" thickBot="1" x14ac:dyDescent="0.3">
      <c r="A907" s="133"/>
      <c r="B907" s="233"/>
      <c r="C907" s="234"/>
      <c r="D907" s="953"/>
      <c r="E907" s="234"/>
      <c r="F907" s="235"/>
      <c r="G907" s="347"/>
      <c r="H907" s="348">
        <f>+SUM(G901:G907)</f>
        <v>8155.7864499999996</v>
      </c>
    </row>
    <row r="908" spans="1:8" ht="15.75" thickBot="1" x14ac:dyDescent="0.3">
      <c r="A908" s="133"/>
      <c r="B908" s="238"/>
      <c r="C908" s="238"/>
      <c r="D908" s="954"/>
      <c r="E908" s="238"/>
      <c r="F908" s="239"/>
      <c r="G908" s="349"/>
      <c r="H908" s="350"/>
    </row>
    <row r="909" spans="1:8" ht="15.75" thickBot="1" x14ac:dyDescent="0.3">
      <c r="A909" s="1384"/>
      <c r="B909" s="1114" t="s">
        <v>5408</v>
      </c>
      <c r="C909" s="1117" t="s">
        <v>867</v>
      </c>
      <c r="D909" s="1120" t="s">
        <v>6</v>
      </c>
      <c r="E909" s="1117" t="s">
        <v>870</v>
      </c>
      <c r="F909" s="1117" t="s">
        <v>5409</v>
      </c>
      <c r="G909" s="1385" t="s">
        <v>868</v>
      </c>
      <c r="H909" s="1386"/>
    </row>
    <row r="910" spans="1:8" x14ac:dyDescent="0.25">
      <c r="A910" s="133"/>
      <c r="B910" s="258" t="s">
        <v>8012</v>
      </c>
      <c r="C910" s="202" t="s">
        <v>5424</v>
      </c>
      <c r="D910" s="212">
        <f>+(2*PI()*0.25/2)/400*2</f>
        <v>3.9269908169872417E-3</v>
      </c>
      <c r="E910" s="975">
        <f>+VLOOKUP(B910,Insumos!$A$2:$C$331,3,FALSE)</f>
        <v>1615900</v>
      </c>
      <c r="F910" s="169">
        <v>0</v>
      </c>
      <c r="G910" s="351">
        <f>+E910*D910*(1+F910)</f>
        <v>6345.6244611696839</v>
      </c>
      <c r="H910" s="341"/>
    </row>
    <row r="911" spans="1:8" x14ac:dyDescent="0.25">
      <c r="A911" s="133"/>
      <c r="B911" s="260"/>
      <c r="C911" s="202"/>
      <c r="D911" s="211"/>
      <c r="E911" s="378"/>
      <c r="F911" s="169"/>
      <c r="G911" s="377">
        <f>+E911*D911*(1+F911)</f>
        <v>0</v>
      </c>
      <c r="H911" s="341"/>
    </row>
    <row r="912" spans="1:8" x14ac:dyDescent="0.25">
      <c r="A912" s="133"/>
      <c r="B912" s="260"/>
      <c r="C912" s="202"/>
      <c r="D912" s="212"/>
      <c r="E912" s="376"/>
      <c r="F912" s="169"/>
      <c r="G912" s="377">
        <f>+E912*D912*(1+F912)</f>
        <v>0</v>
      </c>
      <c r="H912" s="341"/>
    </row>
    <row r="913" spans="1:14" x14ac:dyDescent="0.25">
      <c r="A913" s="133"/>
      <c r="B913" s="260"/>
      <c r="C913" s="226"/>
      <c r="D913" s="212"/>
      <c r="E913" s="346"/>
      <c r="F913" s="169"/>
      <c r="G913" s="377">
        <f>+E913*D913*(1+F913)</f>
        <v>0</v>
      </c>
      <c r="H913" s="341"/>
    </row>
    <row r="914" spans="1:14" x14ac:dyDescent="0.25">
      <c r="A914" s="133"/>
      <c r="B914" s="195"/>
      <c r="C914" s="226"/>
      <c r="D914" s="212"/>
      <c r="E914" s="346"/>
      <c r="F914" s="169"/>
      <c r="G914" s="351"/>
      <c r="H914" s="341"/>
    </row>
    <row r="915" spans="1:14" x14ac:dyDescent="0.25">
      <c r="A915" s="133"/>
      <c r="B915" s="194"/>
      <c r="C915" s="202"/>
      <c r="D915" s="211"/>
      <c r="E915" s="346"/>
      <c r="F915" s="169"/>
      <c r="G915" s="351"/>
      <c r="H915" s="341"/>
      <c r="N915" s="1596"/>
    </row>
    <row r="916" spans="1:14" x14ac:dyDescent="0.25">
      <c r="A916" s="133"/>
      <c r="B916" s="195"/>
      <c r="C916" s="226"/>
      <c r="D916" s="212"/>
      <c r="E916" s="346"/>
      <c r="F916" s="169"/>
      <c r="G916" s="351"/>
      <c r="H916" s="341"/>
    </row>
    <row r="917" spans="1:14" x14ac:dyDescent="0.25">
      <c r="A917" s="133"/>
      <c r="B917" s="195"/>
      <c r="C917" s="226"/>
      <c r="D917" s="212"/>
      <c r="E917" s="346"/>
      <c r="F917" s="169"/>
      <c r="G917" s="351"/>
      <c r="H917" s="341"/>
    </row>
    <row r="918" spans="1:14" x14ac:dyDescent="0.25">
      <c r="A918" s="133"/>
      <c r="B918" s="195"/>
      <c r="C918" s="232"/>
      <c r="D918" s="952"/>
      <c r="E918" s="232"/>
      <c r="F918" s="226"/>
      <c r="G918" s="344"/>
      <c r="H918" s="341"/>
    </row>
    <row r="919" spans="1:14" x14ac:dyDescent="0.25">
      <c r="A919" s="133"/>
      <c r="B919" s="195"/>
      <c r="C919" s="232"/>
      <c r="D919" s="952"/>
      <c r="E919" s="232"/>
      <c r="F919" s="226"/>
      <c r="G919" s="344"/>
      <c r="H919" s="341"/>
    </row>
    <row r="920" spans="1:14" x14ac:dyDescent="0.25">
      <c r="A920" s="133"/>
      <c r="B920" s="195"/>
      <c r="C920" s="232"/>
      <c r="D920" s="952"/>
      <c r="E920" s="232"/>
      <c r="F920" s="226"/>
      <c r="G920" s="344"/>
      <c r="H920" s="341"/>
    </row>
    <row r="921" spans="1:14" ht="15.75" thickBot="1" x14ac:dyDescent="0.3">
      <c r="A921" s="133"/>
      <c r="B921" s="195"/>
      <c r="C921" s="232"/>
      <c r="D921" s="952"/>
      <c r="E921" s="232"/>
      <c r="F921" s="226"/>
      <c r="G921" s="344"/>
      <c r="H921" s="341"/>
    </row>
    <row r="922" spans="1:14" ht="15.75" thickBot="1" x14ac:dyDescent="0.3">
      <c r="A922" s="133"/>
      <c r="B922" s="233"/>
      <c r="C922" s="234"/>
      <c r="D922" s="953"/>
      <c r="E922" s="234"/>
      <c r="F922" s="235"/>
      <c r="G922" s="347"/>
      <c r="H922" s="348">
        <f>+SUM(G910:G922)</f>
        <v>6345.6244611696839</v>
      </c>
    </row>
    <row r="923" spans="1:14" ht="15.75" thickBot="1" x14ac:dyDescent="0.3">
      <c r="A923" s="133"/>
      <c r="B923" s="238"/>
      <c r="C923" s="238"/>
      <c r="D923" s="954"/>
      <c r="E923" s="238"/>
      <c r="F923" s="239"/>
      <c r="G923" s="349"/>
      <c r="H923" s="350"/>
    </row>
    <row r="924" spans="1:14" ht="15.75" thickBot="1" x14ac:dyDescent="0.3">
      <c r="A924" s="1384"/>
      <c r="B924" s="1114" t="s">
        <v>5410</v>
      </c>
      <c r="C924" s="1117" t="s">
        <v>867</v>
      </c>
      <c r="D924" s="1120" t="s">
        <v>6</v>
      </c>
      <c r="E924" s="1117" t="s">
        <v>870</v>
      </c>
      <c r="F924" s="1117" t="s">
        <v>5411</v>
      </c>
      <c r="G924" s="1385" t="s">
        <v>868</v>
      </c>
      <c r="H924" s="1386"/>
    </row>
    <row r="925" spans="1:14" x14ac:dyDescent="0.25">
      <c r="A925" s="133"/>
      <c r="B925" s="245"/>
      <c r="C925" s="283"/>
      <c r="D925" s="959"/>
      <c r="E925" s="379"/>
      <c r="F925" s="283"/>
      <c r="G925" s="354"/>
      <c r="H925" s="355"/>
    </row>
    <row r="926" spans="1:14" x14ac:dyDescent="0.25">
      <c r="A926" s="133"/>
      <c r="B926" s="247"/>
      <c r="C926" s="286"/>
      <c r="D926" s="960"/>
      <c r="E926" s="380"/>
      <c r="F926" s="286"/>
      <c r="G926" s="351"/>
      <c r="H926" s="341"/>
    </row>
    <row r="927" spans="1:14" x14ac:dyDescent="0.25">
      <c r="A927" s="133"/>
      <c r="B927" s="247"/>
      <c r="C927" s="286"/>
      <c r="D927" s="960"/>
      <c r="E927" s="288"/>
      <c r="F927" s="286"/>
      <c r="G927" s="344"/>
      <c r="H927" s="341"/>
    </row>
    <row r="928" spans="1:14" x14ac:dyDescent="0.25">
      <c r="A928" s="133"/>
      <c r="B928" s="194"/>
      <c r="C928" s="248"/>
      <c r="D928" s="961"/>
      <c r="E928" s="248"/>
      <c r="F928" s="202"/>
      <c r="G928" s="344"/>
      <c r="H928" s="341"/>
    </row>
    <row r="929" spans="1:8" ht="15.75" thickBot="1" x14ac:dyDescent="0.3">
      <c r="A929" s="133"/>
      <c r="B929" s="195"/>
      <c r="C929" s="232"/>
      <c r="D929" s="952"/>
      <c r="E929" s="232"/>
      <c r="F929" s="226"/>
      <c r="G929" s="344"/>
      <c r="H929" s="341"/>
    </row>
    <row r="930" spans="1:8" ht="15.75" thickBot="1" x14ac:dyDescent="0.3">
      <c r="A930" s="133"/>
      <c r="B930" s="233"/>
      <c r="C930" s="234"/>
      <c r="D930" s="953"/>
      <c r="E930" s="234"/>
      <c r="F930" s="235"/>
      <c r="G930" s="347"/>
      <c r="H930" s="348">
        <f>+SUM(G925:G930)</f>
        <v>0</v>
      </c>
    </row>
    <row r="931" spans="1:8" ht="15.75" thickBot="1" x14ac:dyDescent="0.3">
      <c r="A931" s="133"/>
      <c r="B931" s="238"/>
      <c r="C931" s="238"/>
      <c r="D931" s="954"/>
      <c r="E931" s="238"/>
      <c r="F931" s="249"/>
      <c r="G931" s="356"/>
      <c r="H931" s="350"/>
    </row>
    <row r="932" spans="1:8" ht="15.75" thickBot="1" x14ac:dyDescent="0.3">
      <c r="A932" s="1384"/>
      <c r="B932" s="1114" t="s">
        <v>5412</v>
      </c>
      <c r="C932" s="1117" t="s">
        <v>5420</v>
      </c>
      <c r="D932" s="1120" t="s">
        <v>5421</v>
      </c>
      <c r="E932" s="1117" t="s">
        <v>5413</v>
      </c>
      <c r="F932" s="1117" t="s">
        <v>5405</v>
      </c>
      <c r="G932" s="1385" t="s">
        <v>868</v>
      </c>
      <c r="H932" s="1386"/>
    </row>
    <row r="933" spans="1:8" x14ac:dyDescent="0.25">
      <c r="A933" s="133"/>
      <c r="B933" s="381" t="s">
        <v>5948</v>
      </c>
      <c r="C933" s="345">
        <f>+VLOOKUP($B933,'Mano de obra'!$A$5:$D$26,2,FALSE)</f>
        <v>57455</v>
      </c>
      <c r="D933" s="345">
        <f>+VLOOKUP($B933,'Mano de obra'!$A$5:$D$26,3,FALSE)</f>
        <v>35656</v>
      </c>
      <c r="E933" s="345">
        <f>+VLOOKUP($B933,'Mano de obra'!$A$5:$D$26,4,FALSE)</f>
        <v>93111</v>
      </c>
      <c r="F933" s="204">
        <v>80</v>
      </c>
      <c r="G933" s="351">
        <f>+E933/F933</f>
        <v>1163.8875</v>
      </c>
      <c r="H933" s="341"/>
    </row>
    <row r="934" spans="1:8" x14ac:dyDescent="0.25">
      <c r="A934" s="133"/>
      <c r="B934" s="385" t="s">
        <v>5949</v>
      </c>
      <c r="C934" s="345">
        <f>+VLOOKUP($B934,'Mano de obra'!$A$5:$D$26,2,FALSE)</f>
        <v>44263.8</v>
      </c>
      <c r="D934" s="345">
        <f>+VLOOKUP($B934,'Mano de obra'!$A$5:$D$26,3,FALSE)</f>
        <v>27470</v>
      </c>
      <c r="E934" s="345">
        <f>+VLOOKUP($B934,'Mano de obra'!$A$5:$D$26,4,FALSE)</f>
        <v>71733.8</v>
      </c>
      <c r="F934" s="202">
        <v>8</v>
      </c>
      <c r="G934" s="351">
        <f>+E934/F934+3142</f>
        <v>12108.725</v>
      </c>
      <c r="H934" s="341"/>
    </row>
    <row r="935" spans="1:8" x14ac:dyDescent="0.25">
      <c r="A935" s="133"/>
      <c r="B935" s="385" t="s">
        <v>5635</v>
      </c>
      <c r="C935" s="345">
        <f>+VLOOKUP($B935,'Mano de obra'!$A$5:$D$26,2,FALSE)</f>
        <v>24591</v>
      </c>
      <c r="D935" s="345">
        <f>+VLOOKUP($B935,'Mano de obra'!$A$5:$D$26,3,FALSE)</f>
        <v>15261</v>
      </c>
      <c r="E935" s="345">
        <f>+VLOOKUP($B935,'Mano de obra'!$A$5:$D$26,4,FALSE)</f>
        <v>39852</v>
      </c>
      <c r="F935" s="226">
        <v>8</v>
      </c>
      <c r="G935" s="351">
        <f>+E935/F935</f>
        <v>4981.5</v>
      </c>
      <c r="H935" s="341"/>
    </row>
    <row r="936" spans="1:8" x14ac:dyDescent="0.25">
      <c r="A936" s="133"/>
      <c r="B936" s="195"/>
      <c r="C936" s="346"/>
      <c r="D936" s="955"/>
      <c r="E936" s="345"/>
      <c r="F936" s="226"/>
      <c r="G936" s="351"/>
      <c r="H936" s="341"/>
    </row>
    <row r="937" spans="1:8" x14ac:dyDescent="0.25">
      <c r="A937" s="133"/>
      <c r="B937" s="195"/>
      <c r="C937" s="232"/>
      <c r="D937" s="952"/>
      <c r="E937" s="232"/>
      <c r="F937" s="226"/>
      <c r="G937" s="344"/>
      <c r="H937" s="341"/>
    </row>
    <row r="938" spans="1:8" ht="15.75" thickBot="1" x14ac:dyDescent="0.3">
      <c r="A938" s="133"/>
      <c r="B938" s="195"/>
      <c r="C938" s="232"/>
      <c r="D938" s="952"/>
      <c r="E938" s="232"/>
      <c r="F938" s="226"/>
      <c r="G938" s="344"/>
      <c r="H938" s="341"/>
    </row>
    <row r="939" spans="1:8" ht="15.75" thickBot="1" x14ac:dyDescent="0.3">
      <c r="A939" s="133"/>
      <c r="B939" s="251"/>
      <c r="C939" s="252"/>
      <c r="D939" s="956"/>
      <c r="E939" s="252"/>
      <c r="F939" s="253"/>
      <c r="G939" s="357"/>
      <c r="H939" s="348">
        <f>+SUM(G933:G939)</f>
        <v>18254.112500000003</v>
      </c>
    </row>
    <row r="940" spans="1:8" ht="15.75" thickBot="1" x14ac:dyDescent="0.3">
      <c r="A940" s="133"/>
      <c r="B940" s="8"/>
      <c r="C940" s="8"/>
      <c r="D940" s="529"/>
      <c r="E940" s="8"/>
      <c r="F940" s="133"/>
      <c r="G940" s="341"/>
      <c r="H940" s="341"/>
    </row>
    <row r="941" spans="1:8" ht="15.75" thickBot="1" x14ac:dyDescent="0.3">
      <c r="A941" s="133" t="s">
        <v>6744</v>
      </c>
      <c r="B941" s="140"/>
      <c r="C941" s="140"/>
      <c r="D941" s="529"/>
      <c r="E941" s="183" t="s">
        <v>5415</v>
      </c>
      <c r="F941" s="133"/>
      <c r="G941" s="341"/>
      <c r="H941" s="993">
        <f>ROUND(+H939+H930+H922+H907,0)</f>
        <v>32756</v>
      </c>
    </row>
    <row r="942" spans="1:8" x14ac:dyDescent="0.25">
      <c r="A942" s="1058"/>
      <c r="B942" s="1058"/>
      <c r="C942" s="1058"/>
      <c r="D942" s="957"/>
      <c r="E942" s="1058"/>
      <c r="F942" s="1058"/>
      <c r="G942" s="1058"/>
      <c r="H942" s="1058"/>
    </row>
    <row r="943" spans="1:8" x14ac:dyDescent="0.25">
      <c r="A943" s="1058"/>
      <c r="B943" s="1058"/>
      <c r="C943" s="1058"/>
      <c r="D943" s="957"/>
      <c r="E943" s="1058"/>
      <c r="F943" s="1058"/>
      <c r="G943" s="1058"/>
      <c r="H943" s="635"/>
    </row>
    <row r="944" spans="1:8" x14ac:dyDescent="0.25">
      <c r="A944" s="1058"/>
      <c r="B944" s="1058"/>
      <c r="C944" s="1058"/>
      <c r="D944" s="957"/>
      <c r="E944" s="1058"/>
      <c r="F944" s="1058"/>
      <c r="G944" s="1058"/>
      <c r="H944" s="1058"/>
    </row>
    <row r="945" spans="1:8" x14ac:dyDescent="0.25">
      <c r="A945" s="673" t="s">
        <v>5482</v>
      </c>
      <c r="B945" s="1390" t="str">
        <f>+VLOOKUP(C945,ListaAPUs!$B:$E,4,FALSE)</f>
        <v>2.6.2</v>
      </c>
      <c r="C945" s="2452" t="str">
        <f>+ListaAPUs!B41</f>
        <v>CORTES EN TUBERIA HD DE 350 MM</v>
      </c>
      <c r="D945" s="2447"/>
      <c r="E945" s="2447"/>
      <c r="F945" s="673" t="s">
        <v>867</v>
      </c>
      <c r="G945" s="342" t="s">
        <v>37</v>
      </c>
      <c r="H945" s="341"/>
    </row>
    <row r="946" spans="1:8" x14ac:dyDescent="0.25">
      <c r="A946" s="133"/>
      <c r="B946" s="8"/>
      <c r="C946" s="223"/>
      <c r="D946" s="958"/>
      <c r="E946" s="223"/>
      <c r="F946" s="133"/>
      <c r="G946" s="341"/>
      <c r="H946" s="341"/>
    </row>
    <row r="947" spans="1:8" x14ac:dyDescent="0.25">
      <c r="A947" s="133"/>
      <c r="B947" s="8"/>
      <c r="C947" s="8"/>
      <c r="D947" s="529"/>
      <c r="E947" s="8"/>
      <c r="F947" s="8"/>
      <c r="G947" s="8"/>
      <c r="H947" s="341"/>
    </row>
    <row r="948" spans="1:8" ht="15.75" thickBot="1" x14ac:dyDescent="0.3">
      <c r="A948" s="133"/>
      <c r="B948" s="8"/>
      <c r="C948" s="8"/>
      <c r="D948" s="529"/>
      <c r="E948" s="8"/>
      <c r="F948" s="133"/>
      <c r="G948" s="341"/>
      <c r="H948" s="341"/>
    </row>
    <row r="949" spans="1:8" ht="15.75" thickBot="1" x14ac:dyDescent="0.3">
      <c r="A949" s="1384"/>
      <c r="B949" s="1114" t="s">
        <v>5403</v>
      </c>
      <c r="C949" s="1117" t="s">
        <v>867</v>
      </c>
      <c r="D949" s="1120" t="s">
        <v>6</v>
      </c>
      <c r="E949" s="1117" t="s">
        <v>5439</v>
      </c>
      <c r="F949" s="1117" t="s">
        <v>5405</v>
      </c>
      <c r="G949" s="1385" t="s">
        <v>868</v>
      </c>
      <c r="H949" s="1386"/>
    </row>
    <row r="950" spans="1:8" x14ac:dyDescent="0.25">
      <c r="A950" s="133"/>
      <c r="B950" s="146" t="s">
        <v>5934</v>
      </c>
      <c r="C950" s="226"/>
      <c r="D950" s="212"/>
      <c r="E950" s="372">
        <f>+H988</f>
        <v>17270.985714285714</v>
      </c>
      <c r="F950" s="226">
        <v>0.1</v>
      </c>
      <c r="G950" s="344">
        <f>+E950*F950</f>
        <v>1727.0985714285716</v>
      </c>
      <c r="H950" s="341"/>
    </row>
    <row r="951" spans="1:8" x14ac:dyDescent="0.25">
      <c r="A951" s="133"/>
      <c r="B951" s="195" t="s">
        <v>6327</v>
      </c>
      <c r="C951" s="226" t="s">
        <v>5481</v>
      </c>
      <c r="D951" s="212">
        <v>1</v>
      </c>
      <c r="E951" s="975">
        <f>+VLOOKUP(B951,Insumos!$A$2:$C$331,3,FALSE)</f>
        <v>6330.3751999999995</v>
      </c>
      <c r="F951" s="226">
        <v>1.3</v>
      </c>
      <c r="G951" s="344">
        <f>+D951*E951*F951</f>
        <v>8229.48776</v>
      </c>
      <c r="H951" s="341"/>
    </row>
    <row r="952" spans="1:8" x14ac:dyDescent="0.25">
      <c r="A952" s="133"/>
      <c r="B952" s="195"/>
      <c r="C952" s="226"/>
      <c r="D952" s="212"/>
      <c r="E952" s="345"/>
      <c r="F952" s="226"/>
      <c r="G952" s="344"/>
      <c r="H952" s="341"/>
    </row>
    <row r="953" spans="1:8" x14ac:dyDescent="0.25">
      <c r="A953" s="133"/>
      <c r="B953" s="195"/>
      <c r="C953" s="226"/>
      <c r="D953" s="212"/>
      <c r="E953" s="346"/>
      <c r="F953" s="226"/>
      <c r="G953" s="375"/>
      <c r="H953" s="341"/>
    </row>
    <row r="954" spans="1:8" x14ac:dyDescent="0.25">
      <c r="A954" s="133"/>
      <c r="B954" s="195"/>
      <c r="C954" s="226"/>
      <c r="D954" s="952"/>
      <c r="E954" s="232"/>
      <c r="F954" s="226"/>
      <c r="G954" s="344"/>
      <c r="H954" s="341"/>
    </row>
    <row r="955" spans="1:8" ht="15.75" thickBot="1" x14ac:dyDescent="0.3">
      <c r="A955" s="133"/>
      <c r="B955" s="195"/>
      <c r="C955" s="226"/>
      <c r="D955" s="952"/>
      <c r="E955" s="232"/>
      <c r="F955" s="226"/>
      <c r="G955" s="344"/>
      <c r="H955" s="341"/>
    </row>
    <row r="956" spans="1:8" ht="15.75" thickBot="1" x14ac:dyDescent="0.3">
      <c r="A956" s="133"/>
      <c r="B956" s="233"/>
      <c r="C956" s="234"/>
      <c r="D956" s="953"/>
      <c r="E956" s="234"/>
      <c r="F956" s="235"/>
      <c r="G956" s="347"/>
      <c r="H956" s="348">
        <f>+SUM(G950:G956)</f>
        <v>9956.5863314285707</v>
      </c>
    </row>
    <row r="957" spans="1:8" ht="15.75" thickBot="1" x14ac:dyDescent="0.3">
      <c r="A957" s="133"/>
      <c r="B957" s="238"/>
      <c r="C957" s="238"/>
      <c r="D957" s="954"/>
      <c r="E957" s="238"/>
      <c r="F957" s="239"/>
      <c r="G957" s="349"/>
      <c r="H957" s="350"/>
    </row>
    <row r="958" spans="1:8" ht="15.75" thickBot="1" x14ac:dyDescent="0.3">
      <c r="A958" s="1384"/>
      <c r="B958" s="1114" t="s">
        <v>5408</v>
      </c>
      <c r="C958" s="1117" t="s">
        <v>867</v>
      </c>
      <c r="D958" s="1120" t="s">
        <v>6</v>
      </c>
      <c r="E958" s="1117" t="s">
        <v>870</v>
      </c>
      <c r="F958" s="1117" t="s">
        <v>5409</v>
      </c>
      <c r="G958" s="1385" t="s">
        <v>868</v>
      </c>
      <c r="H958" s="1386"/>
    </row>
    <row r="959" spans="1:8" x14ac:dyDescent="0.25">
      <c r="A959" s="133"/>
      <c r="B959" s="258" t="s">
        <v>8012</v>
      </c>
      <c r="C959" s="202" t="s">
        <v>5424</v>
      </c>
      <c r="D959" s="212">
        <f>+(2*PI()*0.35/2)/400*2</f>
        <v>5.4977871437821377E-3</v>
      </c>
      <c r="E959" s="975">
        <f>+VLOOKUP(B959,Insumos!$A$2:$C$331,3,FALSE)</f>
        <v>1615900</v>
      </c>
      <c r="F959" s="169">
        <v>0</v>
      </c>
      <c r="G959" s="351">
        <f>+E959*D959*(1+F959)</f>
        <v>8883.8742456375567</v>
      </c>
      <c r="H959" s="341"/>
    </row>
    <row r="960" spans="1:8" x14ac:dyDescent="0.25">
      <c r="A960" s="133"/>
      <c r="B960" s="260"/>
      <c r="C960" s="202"/>
      <c r="D960" s="211"/>
      <c r="E960" s="378"/>
      <c r="F960" s="169"/>
      <c r="G960" s="377">
        <f>+E960*D960*(1+F960)</f>
        <v>0</v>
      </c>
      <c r="H960" s="341"/>
    </row>
    <row r="961" spans="1:8" x14ac:dyDescent="0.25">
      <c r="A961" s="133"/>
      <c r="B961" s="260"/>
      <c r="C961" s="202"/>
      <c r="D961" s="212"/>
      <c r="E961" s="376"/>
      <c r="F961" s="169"/>
      <c r="G961" s="377">
        <f>+E961*D961*(1+F961)</f>
        <v>0</v>
      </c>
      <c r="H961" s="341"/>
    </row>
    <row r="962" spans="1:8" x14ac:dyDescent="0.25">
      <c r="A962" s="133"/>
      <c r="B962" s="260"/>
      <c r="C962" s="226"/>
      <c r="D962" s="212"/>
      <c r="E962" s="346"/>
      <c r="F962" s="169"/>
      <c r="G962" s="377">
        <f>+E962*D962*(1+F962)</f>
        <v>0</v>
      </c>
      <c r="H962" s="341"/>
    </row>
    <row r="963" spans="1:8" x14ac:dyDescent="0.25">
      <c r="A963" s="133"/>
      <c r="B963" s="195"/>
      <c r="C963" s="226"/>
      <c r="D963" s="212"/>
      <c r="E963" s="346"/>
      <c r="F963" s="169"/>
      <c r="G963" s="351"/>
      <c r="H963" s="341"/>
    </row>
    <row r="964" spans="1:8" x14ac:dyDescent="0.25">
      <c r="A964" s="133"/>
      <c r="B964" s="194"/>
      <c r="C964" s="202"/>
      <c r="D964" s="211"/>
      <c r="E964" s="346"/>
      <c r="F964" s="169"/>
      <c r="G964" s="351"/>
      <c r="H964" s="341"/>
    </row>
    <row r="965" spans="1:8" x14ac:dyDescent="0.25">
      <c r="A965" s="133"/>
      <c r="B965" s="195"/>
      <c r="C965" s="226"/>
      <c r="D965" s="212"/>
      <c r="E965" s="346"/>
      <c r="F965" s="169"/>
      <c r="G965" s="351"/>
      <c r="H965" s="341"/>
    </row>
    <row r="966" spans="1:8" x14ac:dyDescent="0.25">
      <c r="A966" s="133"/>
      <c r="B966" s="195"/>
      <c r="C966" s="226"/>
      <c r="D966" s="212"/>
      <c r="E966" s="346"/>
      <c r="F966" s="169"/>
      <c r="G966" s="351"/>
      <c r="H966" s="341"/>
    </row>
    <row r="967" spans="1:8" x14ac:dyDescent="0.25">
      <c r="A967" s="133"/>
      <c r="B967" s="195"/>
      <c r="C967" s="232"/>
      <c r="D967" s="952"/>
      <c r="E967" s="232"/>
      <c r="F967" s="226"/>
      <c r="G967" s="344"/>
      <c r="H967" s="341"/>
    </row>
    <row r="968" spans="1:8" x14ac:dyDescent="0.25">
      <c r="A968" s="133"/>
      <c r="B968" s="195"/>
      <c r="C968" s="232"/>
      <c r="D968" s="952"/>
      <c r="E968" s="232"/>
      <c r="F968" s="226"/>
      <c r="G968" s="344"/>
      <c r="H968" s="341"/>
    </row>
    <row r="969" spans="1:8" x14ac:dyDescent="0.25">
      <c r="A969" s="133"/>
      <c r="B969" s="195"/>
      <c r="C969" s="232"/>
      <c r="D969" s="952"/>
      <c r="E969" s="232"/>
      <c r="F969" s="226"/>
      <c r="G969" s="344"/>
      <c r="H969" s="341"/>
    </row>
    <row r="970" spans="1:8" ht="15.75" thickBot="1" x14ac:dyDescent="0.3">
      <c r="A970" s="133"/>
      <c r="B970" s="195"/>
      <c r="C970" s="232"/>
      <c r="D970" s="952"/>
      <c r="E970" s="232"/>
      <c r="F970" s="226"/>
      <c r="G970" s="344"/>
      <c r="H970" s="341"/>
    </row>
    <row r="971" spans="1:8" ht="15.75" thickBot="1" x14ac:dyDescent="0.3">
      <c r="A971" s="133"/>
      <c r="B971" s="233"/>
      <c r="C971" s="234"/>
      <c r="D971" s="953"/>
      <c r="E971" s="234"/>
      <c r="F971" s="235"/>
      <c r="G971" s="347"/>
      <c r="H971" s="348">
        <f>+SUM(G959:G971)</f>
        <v>8883.8742456375567</v>
      </c>
    </row>
    <row r="972" spans="1:8" ht="15.75" thickBot="1" x14ac:dyDescent="0.3">
      <c r="A972" s="133"/>
      <c r="B972" s="238"/>
      <c r="C972" s="238"/>
      <c r="D972" s="954"/>
      <c r="E972" s="238"/>
      <c r="F972" s="239"/>
      <c r="G972" s="349"/>
      <c r="H972" s="350"/>
    </row>
    <row r="973" spans="1:8" ht="15.75" thickBot="1" x14ac:dyDescent="0.3">
      <c r="A973" s="1384"/>
      <c r="B973" s="1114" t="s">
        <v>5410</v>
      </c>
      <c r="C973" s="1117" t="s">
        <v>867</v>
      </c>
      <c r="D973" s="1120" t="s">
        <v>6</v>
      </c>
      <c r="E973" s="1117" t="s">
        <v>870</v>
      </c>
      <c r="F973" s="1117" t="s">
        <v>5411</v>
      </c>
      <c r="G973" s="1385" t="s">
        <v>868</v>
      </c>
      <c r="H973" s="1386"/>
    </row>
    <row r="974" spans="1:8" x14ac:dyDescent="0.25">
      <c r="A974" s="133"/>
      <c r="B974" s="245"/>
      <c r="C974" s="283"/>
      <c r="D974" s="959"/>
      <c r="E974" s="379"/>
      <c r="F974" s="283"/>
      <c r="G974" s="354"/>
      <c r="H974" s="355"/>
    </row>
    <row r="975" spans="1:8" x14ac:dyDescent="0.25">
      <c r="A975" s="133"/>
      <c r="B975" s="247"/>
      <c r="C975" s="286"/>
      <c r="D975" s="960"/>
      <c r="E975" s="380"/>
      <c r="F975" s="286"/>
      <c r="G975" s="351"/>
      <c r="H975" s="341"/>
    </row>
    <row r="976" spans="1:8" x14ac:dyDescent="0.25">
      <c r="A976" s="133"/>
      <c r="B976" s="247"/>
      <c r="C976" s="286"/>
      <c r="D976" s="960"/>
      <c r="E976" s="288"/>
      <c r="F976" s="286"/>
      <c r="G976" s="344"/>
      <c r="H976" s="341"/>
    </row>
    <row r="977" spans="1:8" x14ac:dyDescent="0.25">
      <c r="A977" s="133"/>
      <c r="B977" s="194"/>
      <c r="C977" s="248"/>
      <c r="D977" s="961"/>
      <c r="E977" s="248"/>
      <c r="F977" s="202"/>
      <c r="G977" s="344"/>
      <c r="H977" s="341"/>
    </row>
    <row r="978" spans="1:8" ht="15.75" thickBot="1" x14ac:dyDescent="0.3">
      <c r="A978" s="133"/>
      <c r="B978" s="195"/>
      <c r="C978" s="232"/>
      <c r="D978" s="952"/>
      <c r="E978" s="232"/>
      <c r="F978" s="226"/>
      <c r="G978" s="344"/>
      <c r="H978" s="341"/>
    </row>
    <row r="979" spans="1:8" ht="15.75" thickBot="1" x14ac:dyDescent="0.3">
      <c r="A979" s="133"/>
      <c r="B979" s="233"/>
      <c r="C979" s="234"/>
      <c r="D979" s="953"/>
      <c r="E979" s="234"/>
      <c r="F979" s="235"/>
      <c r="G979" s="347"/>
      <c r="H979" s="348">
        <f>+SUM(G974:G979)</f>
        <v>0</v>
      </c>
    </row>
    <row r="980" spans="1:8" ht="15.75" thickBot="1" x14ac:dyDescent="0.3">
      <c r="A980" s="133"/>
      <c r="B980" s="238"/>
      <c r="C980" s="238"/>
      <c r="D980" s="954"/>
      <c r="E980" s="238"/>
      <c r="F980" s="249"/>
      <c r="G980" s="356"/>
      <c r="H980" s="350"/>
    </row>
    <row r="981" spans="1:8" ht="15.75" thickBot="1" x14ac:dyDescent="0.3">
      <c r="A981" s="1384"/>
      <c r="B981" s="1114" t="s">
        <v>5412</v>
      </c>
      <c r="C981" s="1117" t="s">
        <v>5420</v>
      </c>
      <c r="D981" s="1120" t="s">
        <v>5421</v>
      </c>
      <c r="E981" s="1117" t="s">
        <v>5413</v>
      </c>
      <c r="F981" s="1117" t="s">
        <v>5405</v>
      </c>
      <c r="G981" s="1385" t="s">
        <v>868</v>
      </c>
      <c r="H981" s="1386"/>
    </row>
    <row r="982" spans="1:8" x14ac:dyDescent="0.25">
      <c r="A982" s="133"/>
      <c r="B982" s="381" t="s">
        <v>5948</v>
      </c>
      <c r="C982" s="345">
        <f>+VLOOKUP($B982,'Mano de obra'!$A$5:$D$26,2,FALSE)</f>
        <v>57455</v>
      </c>
      <c r="D982" s="345">
        <f>+VLOOKUP($B982,'Mano de obra'!$A$5:$D$26,3,FALSE)</f>
        <v>35656</v>
      </c>
      <c r="E982" s="345">
        <f>+VLOOKUP($B982,'Mano de obra'!$A$5:$D$26,4,FALSE)</f>
        <v>93111</v>
      </c>
      <c r="F982" s="204">
        <v>70</v>
      </c>
      <c r="G982" s="351">
        <f>+E982/F982</f>
        <v>1330.1571428571428</v>
      </c>
      <c r="H982" s="341"/>
    </row>
    <row r="983" spans="1:8" x14ac:dyDescent="0.25">
      <c r="A983" s="133"/>
      <c r="B983" s="385" t="s">
        <v>5949</v>
      </c>
      <c r="C983" s="345">
        <f>+VLOOKUP($B983,'Mano de obra'!$A$5:$D$26,2,FALSE)</f>
        <v>44263.8</v>
      </c>
      <c r="D983" s="345">
        <f>+VLOOKUP($B983,'Mano de obra'!$A$5:$D$26,3,FALSE)</f>
        <v>27470</v>
      </c>
      <c r="E983" s="345">
        <f>+VLOOKUP($B983,'Mano de obra'!$A$5:$D$26,4,FALSE)</f>
        <v>71733.8</v>
      </c>
      <c r="F983" s="202">
        <v>7</v>
      </c>
      <c r="G983" s="351">
        <f>+E983/F983</f>
        <v>10247.685714285715</v>
      </c>
      <c r="H983" s="341"/>
    </row>
    <row r="984" spans="1:8" x14ac:dyDescent="0.25">
      <c r="A984" s="133"/>
      <c r="B984" s="385" t="s">
        <v>5635</v>
      </c>
      <c r="C984" s="345">
        <f>+VLOOKUP($B984,'Mano de obra'!$A$5:$D$26,2,FALSE)</f>
        <v>24591</v>
      </c>
      <c r="D984" s="345">
        <f>+VLOOKUP($B984,'Mano de obra'!$A$5:$D$26,3,FALSE)</f>
        <v>15261</v>
      </c>
      <c r="E984" s="345">
        <f>+VLOOKUP($B984,'Mano de obra'!$A$5:$D$26,4,FALSE)</f>
        <v>39852</v>
      </c>
      <c r="F984" s="226">
        <v>7</v>
      </c>
      <c r="G984" s="351">
        <f>+E984/F984</f>
        <v>5693.1428571428569</v>
      </c>
      <c r="H984" s="341"/>
    </row>
    <row r="985" spans="1:8" x14ac:dyDescent="0.25">
      <c r="A985" s="133"/>
      <c r="B985" s="195"/>
      <c r="C985" s="346"/>
      <c r="D985" s="955"/>
      <c r="E985" s="345"/>
      <c r="F985" s="226"/>
      <c r="G985" s="351"/>
      <c r="H985" s="341"/>
    </row>
    <row r="986" spans="1:8" x14ac:dyDescent="0.25">
      <c r="A986" s="133"/>
      <c r="B986" s="195"/>
      <c r="C986" s="232"/>
      <c r="D986" s="952"/>
      <c r="E986" s="232"/>
      <c r="F986" s="226"/>
      <c r="G986" s="344"/>
      <c r="H986" s="341"/>
    </row>
    <row r="987" spans="1:8" ht="15.75" thickBot="1" x14ac:dyDescent="0.3">
      <c r="A987" s="133"/>
      <c r="B987" s="195"/>
      <c r="C987" s="232"/>
      <c r="D987" s="952"/>
      <c r="E987" s="232"/>
      <c r="F987" s="226"/>
      <c r="G987" s="344"/>
      <c r="H987" s="341"/>
    </row>
    <row r="988" spans="1:8" ht="15.75" thickBot="1" x14ac:dyDescent="0.3">
      <c r="A988" s="133"/>
      <c r="B988" s="251"/>
      <c r="C988" s="252"/>
      <c r="D988" s="956"/>
      <c r="E988" s="252"/>
      <c r="F988" s="253"/>
      <c r="G988" s="357"/>
      <c r="H988" s="348">
        <f>+SUM(G982:G988)</f>
        <v>17270.985714285714</v>
      </c>
    </row>
    <row r="989" spans="1:8" ht="15.75" thickBot="1" x14ac:dyDescent="0.3">
      <c r="A989" s="133"/>
      <c r="B989" s="8"/>
      <c r="C989" s="8"/>
      <c r="D989" s="529"/>
      <c r="E989" s="8"/>
      <c r="F989" s="133"/>
      <c r="G989" s="341"/>
      <c r="H989" s="341"/>
    </row>
    <row r="990" spans="1:8" ht="15.75" thickBot="1" x14ac:dyDescent="0.3">
      <c r="A990" s="133" t="s">
        <v>6744</v>
      </c>
      <c r="B990" s="8"/>
      <c r="C990" s="8"/>
      <c r="D990" s="529"/>
      <c r="E990" s="223" t="s">
        <v>5415</v>
      </c>
      <c r="F990" s="133"/>
      <c r="G990" s="341"/>
      <c r="H990" s="994">
        <f>ROUND(+H988+H979+H971+H956,0)</f>
        <v>36111</v>
      </c>
    </row>
    <row r="991" spans="1:8" x14ac:dyDescent="0.25">
      <c r="A991" s="1058"/>
      <c r="B991" s="1058"/>
      <c r="C991" s="1058"/>
      <c r="D991" s="957"/>
      <c r="E991" s="1058"/>
      <c r="F991" s="1058"/>
      <c r="G991" s="1058"/>
      <c r="H991" s="1058"/>
    </row>
    <row r="992" spans="1:8" s="1058" customFormat="1" x14ac:dyDescent="0.25">
      <c r="D992" s="957"/>
      <c r="H992" s="635"/>
    </row>
    <row r="993" spans="1:8" s="1058" customFormat="1" x14ac:dyDescent="0.25">
      <c r="D993" s="957"/>
    </row>
    <row r="994" spans="1:8" s="1058" customFormat="1" x14ac:dyDescent="0.25">
      <c r="A994" s="673" t="s">
        <v>5482</v>
      </c>
      <c r="B994" s="1390" t="str">
        <f>+VLOOKUP(C994,ListaAPUs!$B:$E,4,FALSE)</f>
        <v>2.6.3</v>
      </c>
      <c r="C994" s="2452" t="str">
        <f>+ListaAPUs!B42</f>
        <v>CORTES EN TUBERIA HD DE 400 MM</v>
      </c>
      <c r="D994" s="2447"/>
      <c r="E994" s="2447"/>
      <c r="F994" s="673" t="s">
        <v>867</v>
      </c>
      <c r="G994" s="342" t="s">
        <v>37</v>
      </c>
      <c r="H994" s="341"/>
    </row>
    <row r="995" spans="1:8" s="1058" customFormat="1" x14ac:dyDescent="0.25">
      <c r="A995" s="133"/>
      <c r="B995" s="8"/>
      <c r="C995" s="223"/>
      <c r="D995" s="958"/>
      <c r="E995" s="223"/>
      <c r="F995" s="133"/>
      <c r="G995" s="341"/>
      <c r="H995" s="341"/>
    </row>
    <row r="996" spans="1:8" s="1058" customFormat="1" x14ac:dyDescent="0.25">
      <c r="A996" s="133"/>
      <c r="B996" s="8"/>
      <c r="C996" s="8"/>
      <c r="D996" s="529"/>
      <c r="E996" s="8"/>
      <c r="F996" s="8"/>
      <c r="G996" s="8"/>
      <c r="H996" s="341"/>
    </row>
    <row r="997" spans="1:8" s="1058" customFormat="1" ht="15.75" thickBot="1" x14ac:dyDescent="0.3">
      <c r="A997" s="133"/>
      <c r="B997" s="8"/>
      <c r="C997" s="8"/>
      <c r="D997" s="529"/>
      <c r="E997" s="8"/>
      <c r="F997" s="133"/>
      <c r="G997" s="341"/>
      <c r="H997" s="341"/>
    </row>
    <row r="998" spans="1:8" s="1058" customFormat="1" ht="15.75" thickBot="1" x14ac:dyDescent="0.3">
      <c r="A998" s="1384"/>
      <c r="B998" s="1114" t="s">
        <v>5403</v>
      </c>
      <c r="C998" s="1117" t="s">
        <v>867</v>
      </c>
      <c r="D998" s="1120" t="s">
        <v>6</v>
      </c>
      <c r="E998" s="1117" t="s">
        <v>5439</v>
      </c>
      <c r="F998" s="1117" t="s">
        <v>5405</v>
      </c>
      <c r="G998" s="1385" t="s">
        <v>868</v>
      </c>
      <c r="H998" s="1386"/>
    </row>
    <row r="999" spans="1:8" s="1058" customFormat="1" x14ac:dyDescent="0.25">
      <c r="A999" s="133"/>
      <c r="B999" s="146" t="s">
        <v>5934</v>
      </c>
      <c r="C999" s="226"/>
      <c r="D999" s="212"/>
      <c r="E999" s="372">
        <f>+H1037</f>
        <v>20149.483333333334</v>
      </c>
      <c r="F999" s="226">
        <v>0.1</v>
      </c>
      <c r="G999" s="344">
        <f>+E999*F999</f>
        <v>2014.9483333333335</v>
      </c>
      <c r="H999" s="341"/>
    </row>
    <row r="1000" spans="1:8" s="1058" customFormat="1" x14ac:dyDescent="0.25">
      <c r="A1000" s="133"/>
      <c r="B1000" s="195" t="s">
        <v>6327</v>
      </c>
      <c r="C1000" s="226" t="s">
        <v>5481</v>
      </c>
      <c r="D1000" s="212">
        <v>1</v>
      </c>
      <c r="E1000" s="975">
        <f>+VLOOKUP(B1000,Insumos!$A$2:$C$331,3,FALSE)</f>
        <v>6330.3751999999995</v>
      </c>
      <c r="F1000" s="226">
        <v>1.3</v>
      </c>
      <c r="G1000" s="344">
        <f>+D1000*E1000*F1000</f>
        <v>8229.48776</v>
      </c>
      <c r="H1000" s="341"/>
    </row>
    <row r="1001" spans="1:8" s="1058" customFormat="1" x14ac:dyDescent="0.25">
      <c r="A1001" s="133"/>
      <c r="B1001" s="195"/>
      <c r="C1001" s="226"/>
      <c r="D1001" s="212"/>
      <c r="E1001" s="345"/>
      <c r="F1001" s="226"/>
      <c r="G1001" s="344"/>
      <c r="H1001" s="341"/>
    </row>
    <row r="1002" spans="1:8" s="1058" customFormat="1" x14ac:dyDescent="0.25">
      <c r="A1002" s="133"/>
      <c r="B1002" s="195"/>
      <c r="C1002" s="226"/>
      <c r="D1002" s="212"/>
      <c r="E1002" s="346"/>
      <c r="F1002" s="226"/>
      <c r="G1002" s="375"/>
      <c r="H1002" s="341"/>
    </row>
    <row r="1003" spans="1:8" s="1058" customFormat="1" x14ac:dyDescent="0.25">
      <c r="A1003" s="133"/>
      <c r="B1003" s="195"/>
      <c r="C1003" s="226"/>
      <c r="D1003" s="952"/>
      <c r="E1003" s="232"/>
      <c r="F1003" s="226"/>
      <c r="G1003" s="344"/>
      <c r="H1003" s="341"/>
    </row>
    <row r="1004" spans="1:8" s="1058" customFormat="1" ht="15.75" thickBot="1" x14ac:dyDescent="0.3">
      <c r="A1004" s="133"/>
      <c r="B1004" s="195"/>
      <c r="C1004" s="226"/>
      <c r="D1004" s="952"/>
      <c r="E1004" s="232"/>
      <c r="F1004" s="226"/>
      <c r="G1004" s="344"/>
      <c r="H1004" s="341"/>
    </row>
    <row r="1005" spans="1:8" s="1058" customFormat="1" ht="15.75" thickBot="1" x14ac:dyDescent="0.3">
      <c r="A1005" s="133"/>
      <c r="B1005" s="233"/>
      <c r="C1005" s="234"/>
      <c r="D1005" s="953"/>
      <c r="E1005" s="234"/>
      <c r="F1005" s="235"/>
      <c r="G1005" s="347"/>
      <c r="H1005" s="348">
        <f>+SUM(G999:G1005)</f>
        <v>10244.436093333334</v>
      </c>
    </row>
    <row r="1006" spans="1:8" s="1058" customFormat="1" ht="15.75" thickBot="1" x14ac:dyDescent="0.3">
      <c r="A1006" s="133"/>
      <c r="B1006" s="238"/>
      <c r="C1006" s="238"/>
      <c r="D1006" s="954"/>
      <c r="E1006" s="238"/>
      <c r="F1006" s="239"/>
      <c r="G1006" s="349"/>
      <c r="H1006" s="350"/>
    </row>
    <row r="1007" spans="1:8" s="1058" customFormat="1" ht="15.75" thickBot="1" x14ac:dyDescent="0.3">
      <c r="A1007" s="1384"/>
      <c r="B1007" s="1114" t="s">
        <v>5408</v>
      </c>
      <c r="C1007" s="1117" t="s">
        <v>867</v>
      </c>
      <c r="D1007" s="1120" t="s">
        <v>6</v>
      </c>
      <c r="E1007" s="1117" t="s">
        <v>870</v>
      </c>
      <c r="F1007" s="1117" t="s">
        <v>5409</v>
      </c>
      <c r="G1007" s="1385" t="s">
        <v>868</v>
      </c>
      <c r="H1007" s="1386"/>
    </row>
    <row r="1008" spans="1:8" s="1058" customFormat="1" x14ac:dyDescent="0.25">
      <c r="A1008" s="133"/>
      <c r="B1008" s="258" t="s">
        <v>8012</v>
      </c>
      <c r="C1008" s="202" t="s">
        <v>5424</v>
      </c>
      <c r="D1008" s="212">
        <f>+(2*PI()*0.4/2)/400*2</f>
        <v>6.2831853071795866E-3</v>
      </c>
      <c r="E1008" s="975">
        <f>+VLOOKUP(B1008,Insumos!$A$2:$C$331,3,FALSE)</f>
        <v>1615900</v>
      </c>
      <c r="F1008" s="169">
        <v>0</v>
      </c>
      <c r="G1008" s="351">
        <f>+E1008*D1008*(1+F1008)</f>
        <v>10152.999137871495</v>
      </c>
      <c r="H1008" s="341"/>
    </row>
    <row r="1009" spans="1:8" s="1058" customFormat="1" x14ac:dyDescent="0.25">
      <c r="A1009" s="133"/>
      <c r="B1009" s="260"/>
      <c r="C1009" s="202"/>
      <c r="D1009" s="211"/>
      <c r="E1009" s="378"/>
      <c r="F1009" s="169"/>
      <c r="G1009" s="377"/>
      <c r="H1009" s="341"/>
    </row>
    <row r="1010" spans="1:8" s="1058" customFormat="1" x14ac:dyDescent="0.25">
      <c r="A1010" s="133"/>
      <c r="B1010" s="260"/>
      <c r="C1010" s="202"/>
      <c r="D1010" s="212"/>
      <c r="E1010" s="376"/>
      <c r="F1010" s="169"/>
      <c r="G1010" s="377"/>
      <c r="H1010" s="341"/>
    </row>
    <row r="1011" spans="1:8" s="1058" customFormat="1" x14ac:dyDescent="0.25">
      <c r="A1011" s="133"/>
      <c r="B1011" s="260"/>
      <c r="C1011" s="226"/>
      <c r="D1011" s="212"/>
      <c r="E1011" s="346"/>
      <c r="F1011" s="169"/>
      <c r="G1011" s="377"/>
      <c r="H1011" s="341"/>
    </row>
    <row r="1012" spans="1:8" s="1058" customFormat="1" x14ac:dyDescent="0.25">
      <c r="A1012" s="133"/>
      <c r="B1012" s="195"/>
      <c r="C1012" s="226"/>
      <c r="D1012" s="212"/>
      <c r="E1012" s="346"/>
      <c r="F1012" s="169"/>
      <c r="G1012" s="351"/>
      <c r="H1012" s="341"/>
    </row>
    <row r="1013" spans="1:8" s="1058" customFormat="1" x14ac:dyDescent="0.25">
      <c r="A1013" s="133"/>
      <c r="B1013" s="194"/>
      <c r="C1013" s="202"/>
      <c r="D1013" s="211"/>
      <c r="E1013" s="346"/>
      <c r="F1013" s="169"/>
      <c r="G1013" s="351"/>
      <c r="H1013" s="341"/>
    </row>
    <row r="1014" spans="1:8" s="1058" customFormat="1" x14ac:dyDescent="0.25">
      <c r="A1014" s="133"/>
      <c r="B1014" s="195"/>
      <c r="C1014" s="226"/>
      <c r="D1014" s="212"/>
      <c r="E1014" s="346"/>
      <c r="F1014" s="169"/>
      <c r="G1014" s="351"/>
      <c r="H1014" s="341"/>
    </row>
    <row r="1015" spans="1:8" s="1058" customFormat="1" x14ac:dyDescent="0.25">
      <c r="A1015" s="133"/>
      <c r="B1015" s="195"/>
      <c r="C1015" s="226"/>
      <c r="D1015" s="212"/>
      <c r="E1015" s="346"/>
      <c r="F1015" s="169"/>
      <c r="G1015" s="351"/>
      <c r="H1015" s="341"/>
    </row>
    <row r="1016" spans="1:8" s="1058" customFormat="1" x14ac:dyDescent="0.25">
      <c r="A1016" s="133"/>
      <c r="B1016" s="195"/>
      <c r="C1016" s="232"/>
      <c r="D1016" s="952"/>
      <c r="E1016" s="232"/>
      <c r="F1016" s="226"/>
      <c r="G1016" s="344"/>
      <c r="H1016" s="341"/>
    </row>
    <row r="1017" spans="1:8" s="1058" customFormat="1" x14ac:dyDescent="0.25">
      <c r="A1017" s="133"/>
      <c r="B1017" s="195"/>
      <c r="C1017" s="232"/>
      <c r="D1017" s="952"/>
      <c r="E1017" s="232"/>
      <c r="F1017" s="226"/>
      <c r="G1017" s="344"/>
      <c r="H1017" s="341"/>
    </row>
    <row r="1018" spans="1:8" s="1058" customFormat="1" x14ac:dyDescent="0.25">
      <c r="A1018" s="133"/>
      <c r="B1018" s="195"/>
      <c r="C1018" s="232"/>
      <c r="D1018" s="952"/>
      <c r="E1018" s="232"/>
      <c r="F1018" s="226"/>
      <c r="G1018" s="344"/>
      <c r="H1018" s="341"/>
    </row>
    <row r="1019" spans="1:8" s="1058" customFormat="1" ht="15.75" thickBot="1" x14ac:dyDescent="0.3">
      <c r="A1019" s="133"/>
      <c r="B1019" s="195"/>
      <c r="C1019" s="232"/>
      <c r="D1019" s="952"/>
      <c r="E1019" s="232"/>
      <c r="F1019" s="226"/>
      <c r="G1019" s="344"/>
      <c r="H1019" s="341"/>
    </row>
    <row r="1020" spans="1:8" s="1058" customFormat="1" ht="15.75" thickBot="1" x14ac:dyDescent="0.3">
      <c r="A1020" s="133"/>
      <c r="B1020" s="233"/>
      <c r="C1020" s="234"/>
      <c r="D1020" s="953"/>
      <c r="E1020" s="234"/>
      <c r="F1020" s="235"/>
      <c r="G1020" s="347"/>
      <c r="H1020" s="348">
        <f>+SUM(G1008:G1020)</f>
        <v>10152.999137871495</v>
      </c>
    </row>
    <row r="1021" spans="1:8" s="1058" customFormat="1" ht="15.75" thickBot="1" x14ac:dyDescent="0.3">
      <c r="A1021" s="133"/>
      <c r="B1021" s="238"/>
      <c r="C1021" s="238"/>
      <c r="D1021" s="954"/>
      <c r="E1021" s="238"/>
      <c r="F1021" s="239"/>
      <c r="G1021" s="349"/>
      <c r="H1021" s="350"/>
    </row>
    <row r="1022" spans="1:8" s="1058" customFormat="1" ht="15.75" thickBot="1" x14ac:dyDescent="0.3">
      <c r="A1022" s="1384"/>
      <c r="B1022" s="1114" t="s">
        <v>5410</v>
      </c>
      <c r="C1022" s="1117" t="s">
        <v>867</v>
      </c>
      <c r="D1022" s="1120" t="s">
        <v>6</v>
      </c>
      <c r="E1022" s="1117" t="s">
        <v>870</v>
      </c>
      <c r="F1022" s="1117" t="s">
        <v>5411</v>
      </c>
      <c r="G1022" s="1385" t="s">
        <v>868</v>
      </c>
      <c r="H1022" s="1386"/>
    </row>
    <row r="1023" spans="1:8" s="1058" customFormat="1" x14ac:dyDescent="0.25">
      <c r="A1023" s="133"/>
      <c r="B1023" s="245"/>
      <c r="C1023" s="283"/>
      <c r="D1023" s="959"/>
      <c r="E1023" s="379"/>
      <c r="F1023" s="283"/>
      <c r="G1023" s="354"/>
      <c r="H1023" s="355"/>
    </row>
    <row r="1024" spans="1:8" s="1058" customFormat="1" x14ac:dyDescent="0.25">
      <c r="A1024" s="133"/>
      <c r="B1024" s="247"/>
      <c r="C1024" s="286"/>
      <c r="D1024" s="960"/>
      <c r="E1024" s="380"/>
      <c r="F1024" s="286"/>
      <c r="G1024" s="351"/>
      <c r="H1024" s="341"/>
    </row>
    <row r="1025" spans="1:8" s="1058" customFormat="1" x14ac:dyDescent="0.25">
      <c r="A1025" s="133"/>
      <c r="B1025" s="247"/>
      <c r="C1025" s="286"/>
      <c r="D1025" s="960"/>
      <c r="E1025" s="288"/>
      <c r="F1025" s="286"/>
      <c r="G1025" s="344"/>
      <c r="H1025" s="341"/>
    </row>
    <row r="1026" spans="1:8" s="1058" customFormat="1" x14ac:dyDescent="0.25">
      <c r="A1026" s="133"/>
      <c r="B1026" s="194"/>
      <c r="C1026" s="248"/>
      <c r="D1026" s="961"/>
      <c r="E1026" s="248"/>
      <c r="F1026" s="202"/>
      <c r="G1026" s="344"/>
      <c r="H1026" s="341"/>
    </row>
    <row r="1027" spans="1:8" s="1058" customFormat="1" ht="15.75" thickBot="1" x14ac:dyDescent="0.3">
      <c r="A1027" s="133"/>
      <c r="B1027" s="195"/>
      <c r="C1027" s="232"/>
      <c r="D1027" s="952"/>
      <c r="E1027" s="232"/>
      <c r="F1027" s="226"/>
      <c r="G1027" s="344"/>
      <c r="H1027" s="341"/>
    </row>
    <row r="1028" spans="1:8" s="1058" customFormat="1" ht="15.75" thickBot="1" x14ac:dyDescent="0.3">
      <c r="A1028" s="133"/>
      <c r="B1028" s="233"/>
      <c r="C1028" s="234"/>
      <c r="D1028" s="953"/>
      <c r="E1028" s="234"/>
      <c r="F1028" s="235"/>
      <c r="G1028" s="347"/>
      <c r="H1028" s="348">
        <f>+SUM(G1023:G1028)</f>
        <v>0</v>
      </c>
    </row>
    <row r="1029" spans="1:8" s="1058" customFormat="1" ht="15.75" thickBot="1" x14ac:dyDescent="0.3">
      <c r="A1029" s="133"/>
      <c r="B1029" s="238"/>
      <c r="C1029" s="238"/>
      <c r="D1029" s="954"/>
      <c r="E1029" s="238"/>
      <c r="F1029" s="249"/>
      <c r="G1029" s="356"/>
      <c r="H1029" s="350"/>
    </row>
    <row r="1030" spans="1:8" s="1058" customFormat="1" ht="15.75" thickBot="1" x14ac:dyDescent="0.3">
      <c r="A1030" s="1384"/>
      <c r="B1030" s="1114" t="s">
        <v>5412</v>
      </c>
      <c r="C1030" s="1117" t="s">
        <v>5420</v>
      </c>
      <c r="D1030" s="1120" t="s">
        <v>5421</v>
      </c>
      <c r="E1030" s="1117" t="s">
        <v>5413</v>
      </c>
      <c r="F1030" s="1117" t="s">
        <v>5405</v>
      </c>
      <c r="G1030" s="1385" t="s">
        <v>868</v>
      </c>
      <c r="H1030" s="1386"/>
    </row>
    <row r="1031" spans="1:8" s="1058" customFormat="1" x14ac:dyDescent="0.25">
      <c r="A1031" s="133"/>
      <c r="B1031" s="381" t="s">
        <v>5948</v>
      </c>
      <c r="C1031" s="345">
        <f>+VLOOKUP($B1031,'Mano de obra'!$A$5:$D$26,2,FALSE)</f>
        <v>57455</v>
      </c>
      <c r="D1031" s="345">
        <f>+VLOOKUP($B1031,'Mano de obra'!$A$5:$D$26,3,FALSE)</f>
        <v>35656</v>
      </c>
      <c r="E1031" s="345">
        <f>+VLOOKUP($B1031,'Mano de obra'!$A$5:$D$26,4,FALSE)</f>
        <v>93111</v>
      </c>
      <c r="F1031" s="204">
        <v>60</v>
      </c>
      <c r="G1031" s="351">
        <f>+E1031/F1031</f>
        <v>1551.85</v>
      </c>
      <c r="H1031" s="341"/>
    </row>
    <row r="1032" spans="1:8" s="1058" customFormat="1" x14ac:dyDescent="0.25">
      <c r="A1032" s="133"/>
      <c r="B1032" s="385" t="s">
        <v>5949</v>
      </c>
      <c r="C1032" s="345">
        <f>+VLOOKUP($B1032,'Mano de obra'!$A$5:$D$26,2,FALSE)</f>
        <v>44263.8</v>
      </c>
      <c r="D1032" s="345">
        <f>+VLOOKUP($B1032,'Mano de obra'!$A$5:$D$26,3,FALSE)</f>
        <v>27470</v>
      </c>
      <c r="E1032" s="345">
        <f>+VLOOKUP($B1032,'Mano de obra'!$A$5:$D$26,4,FALSE)</f>
        <v>71733.8</v>
      </c>
      <c r="F1032" s="202">
        <v>6</v>
      </c>
      <c r="G1032" s="351">
        <f>+E1032/F1032</f>
        <v>11955.633333333333</v>
      </c>
      <c r="H1032" s="341"/>
    </row>
    <row r="1033" spans="1:8" s="1058" customFormat="1" x14ac:dyDescent="0.25">
      <c r="A1033" s="133"/>
      <c r="B1033" s="385" t="s">
        <v>5635</v>
      </c>
      <c r="C1033" s="345">
        <f>+VLOOKUP($B1033,'Mano de obra'!$A$5:$D$26,2,FALSE)</f>
        <v>24591</v>
      </c>
      <c r="D1033" s="345">
        <f>+VLOOKUP($B1033,'Mano de obra'!$A$5:$D$26,3,FALSE)</f>
        <v>15261</v>
      </c>
      <c r="E1033" s="345">
        <f>+VLOOKUP($B1033,'Mano de obra'!$A$5:$D$26,4,FALSE)</f>
        <v>39852</v>
      </c>
      <c r="F1033" s="226">
        <v>6</v>
      </c>
      <c r="G1033" s="351">
        <f>+E1033/F1033</f>
        <v>6642</v>
      </c>
      <c r="H1033" s="341"/>
    </row>
    <row r="1034" spans="1:8" s="1058" customFormat="1" x14ac:dyDescent="0.25">
      <c r="A1034" s="133"/>
      <c r="B1034" s="195"/>
      <c r="C1034" s="346"/>
      <c r="D1034" s="955"/>
      <c r="E1034" s="345"/>
      <c r="F1034" s="226"/>
      <c r="G1034" s="351"/>
      <c r="H1034" s="341"/>
    </row>
    <row r="1035" spans="1:8" s="1058" customFormat="1" x14ac:dyDescent="0.25">
      <c r="A1035" s="133"/>
      <c r="B1035" s="195"/>
      <c r="C1035" s="232"/>
      <c r="D1035" s="952"/>
      <c r="E1035" s="232"/>
      <c r="F1035" s="226"/>
      <c r="G1035" s="344"/>
      <c r="H1035" s="341"/>
    </row>
    <row r="1036" spans="1:8" s="1058" customFormat="1" ht="15.75" thickBot="1" x14ac:dyDescent="0.3">
      <c r="A1036" s="133"/>
      <c r="B1036" s="195"/>
      <c r="C1036" s="232"/>
      <c r="D1036" s="952"/>
      <c r="E1036" s="232"/>
      <c r="F1036" s="226"/>
      <c r="G1036" s="344"/>
      <c r="H1036" s="341"/>
    </row>
    <row r="1037" spans="1:8" s="1058" customFormat="1" ht="15.75" thickBot="1" x14ac:dyDescent="0.3">
      <c r="A1037" s="133"/>
      <c r="B1037" s="251"/>
      <c r="C1037" s="252"/>
      <c r="D1037" s="956"/>
      <c r="E1037" s="252"/>
      <c r="F1037" s="253"/>
      <c r="G1037" s="357"/>
      <c r="H1037" s="348">
        <f>+SUM(G1031:G1037)</f>
        <v>20149.483333333334</v>
      </c>
    </row>
    <row r="1038" spans="1:8" s="1058" customFormat="1" ht="15.75" thickBot="1" x14ac:dyDescent="0.3">
      <c r="A1038" s="133"/>
      <c r="B1038" s="8"/>
      <c r="C1038" s="8"/>
      <c r="D1038" s="529"/>
      <c r="E1038" s="8"/>
      <c r="F1038" s="133"/>
      <c r="G1038" s="341"/>
      <c r="H1038" s="341"/>
    </row>
    <row r="1039" spans="1:8" s="1058" customFormat="1" ht="15.75" thickBot="1" x14ac:dyDescent="0.3">
      <c r="A1039" s="133" t="s">
        <v>6744</v>
      </c>
      <c r="B1039" s="8"/>
      <c r="C1039" s="8"/>
      <c r="D1039" s="529"/>
      <c r="E1039" s="223" t="s">
        <v>5415</v>
      </c>
      <c r="F1039" s="133"/>
      <c r="G1039" s="341"/>
      <c r="H1039" s="994">
        <f>ROUND(+H1037+H1028+H1020+H1005,0)</f>
        <v>40547</v>
      </c>
    </row>
    <row r="1040" spans="1:8" s="1058" customFormat="1" x14ac:dyDescent="0.25">
      <c r="D1040" s="957"/>
    </row>
    <row r="1041" spans="1:8" s="1058" customFormat="1" x14ac:dyDescent="0.25">
      <c r="D1041" s="957"/>
      <c r="H1041" s="635"/>
    </row>
    <row r="1042" spans="1:8" s="1058" customFormat="1" x14ac:dyDescent="0.25">
      <c r="D1042" s="957"/>
    </row>
    <row r="1043" spans="1:8" s="1058" customFormat="1" x14ac:dyDescent="0.25">
      <c r="A1043" s="673" t="s">
        <v>5482</v>
      </c>
      <c r="B1043" s="1390" t="str">
        <f>+VLOOKUP(C1043,ListaAPUs!$B:$E,4,FALSE)</f>
        <v>2.6.4</v>
      </c>
      <c r="C1043" s="2452" t="str">
        <f>+ListaAPUs!B43</f>
        <v>CORTES EN TUBERIA HD DE 500 MM</v>
      </c>
      <c r="D1043" s="2447"/>
      <c r="E1043" s="2447"/>
      <c r="F1043" s="673" t="s">
        <v>867</v>
      </c>
      <c r="G1043" s="342" t="s">
        <v>37</v>
      </c>
      <c r="H1043" s="341"/>
    </row>
    <row r="1044" spans="1:8" s="1058" customFormat="1" x14ac:dyDescent="0.25">
      <c r="A1044" s="133"/>
      <c r="B1044" s="8"/>
      <c r="C1044" s="223"/>
      <c r="D1044" s="958"/>
      <c r="E1044" s="223"/>
      <c r="F1044" s="133"/>
      <c r="G1044" s="341"/>
      <c r="H1044" s="341"/>
    </row>
    <row r="1045" spans="1:8" s="1058" customFormat="1" x14ac:dyDescent="0.25">
      <c r="A1045" s="133"/>
      <c r="B1045" s="8"/>
      <c r="C1045" s="8"/>
      <c r="D1045" s="529"/>
      <c r="E1045" s="8"/>
      <c r="F1045" s="8"/>
      <c r="G1045" s="8"/>
      <c r="H1045" s="341"/>
    </row>
    <row r="1046" spans="1:8" s="1058" customFormat="1" ht="15.75" thickBot="1" x14ac:dyDescent="0.3">
      <c r="A1046" s="133"/>
      <c r="B1046" s="8"/>
      <c r="C1046" s="8"/>
      <c r="D1046" s="529"/>
      <c r="E1046" s="8"/>
      <c r="F1046" s="133"/>
      <c r="G1046" s="341"/>
      <c r="H1046" s="341"/>
    </row>
    <row r="1047" spans="1:8" s="1058" customFormat="1" ht="15.75" thickBot="1" x14ac:dyDescent="0.3">
      <c r="A1047" s="1384"/>
      <c r="B1047" s="1114" t="s">
        <v>5403</v>
      </c>
      <c r="C1047" s="1117" t="s">
        <v>867</v>
      </c>
      <c r="D1047" s="1120" t="s">
        <v>6</v>
      </c>
      <c r="E1047" s="1117" t="s">
        <v>5439</v>
      </c>
      <c r="F1047" s="1117" t="s">
        <v>5405</v>
      </c>
      <c r="G1047" s="1385" t="s">
        <v>868</v>
      </c>
      <c r="H1047" s="1386"/>
    </row>
    <row r="1048" spans="1:8" s="1058" customFormat="1" x14ac:dyDescent="0.25">
      <c r="A1048" s="133"/>
      <c r="B1048" s="146" t="s">
        <v>5934</v>
      </c>
      <c r="C1048" s="226"/>
      <c r="D1048" s="212"/>
      <c r="E1048" s="372">
        <f>+H1086</f>
        <v>20149.483333333334</v>
      </c>
      <c r="F1048" s="226">
        <v>0.1</v>
      </c>
      <c r="G1048" s="344">
        <f>+E1048*F1048</f>
        <v>2014.9483333333335</v>
      </c>
      <c r="H1048" s="341"/>
    </row>
    <row r="1049" spans="1:8" s="1058" customFormat="1" x14ac:dyDescent="0.25">
      <c r="A1049" s="133"/>
      <c r="B1049" s="195" t="s">
        <v>6327</v>
      </c>
      <c r="C1049" s="226" t="s">
        <v>5481</v>
      </c>
      <c r="D1049" s="212">
        <v>1</v>
      </c>
      <c r="E1049" s="975">
        <f>+VLOOKUP(B1049,Insumos!$A$2:$C$331,3,FALSE)</f>
        <v>6330.3751999999995</v>
      </c>
      <c r="F1049" s="226">
        <v>1.3</v>
      </c>
      <c r="G1049" s="344">
        <f>+D1049*E1049*F1049</f>
        <v>8229.48776</v>
      </c>
      <c r="H1049" s="341"/>
    </row>
    <row r="1050" spans="1:8" s="1058" customFormat="1" x14ac:dyDescent="0.25">
      <c r="A1050" s="133"/>
      <c r="B1050" s="195"/>
      <c r="C1050" s="226"/>
      <c r="D1050" s="212"/>
      <c r="E1050" s="345"/>
      <c r="F1050" s="226"/>
      <c r="G1050" s="344"/>
      <c r="H1050" s="341"/>
    </row>
    <row r="1051" spans="1:8" s="1058" customFormat="1" x14ac:dyDescent="0.25">
      <c r="A1051" s="133"/>
      <c r="B1051" s="195"/>
      <c r="C1051" s="226"/>
      <c r="D1051" s="212"/>
      <c r="E1051" s="346"/>
      <c r="F1051" s="226"/>
      <c r="G1051" s="375"/>
      <c r="H1051" s="341"/>
    </row>
    <row r="1052" spans="1:8" s="1058" customFormat="1" x14ac:dyDescent="0.25">
      <c r="A1052" s="133"/>
      <c r="B1052" s="195"/>
      <c r="C1052" s="226"/>
      <c r="D1052" s="952"/>
      <c r="E1052" s="232"/>
      <c r="F1052" s="226"/>
      <c r="G1052" s="344"/>
      <c r="H1052" s="341"/>
    </row>
    <row r="1053" spans="1:8" s="1058" customFormat="1" ht="15.75" thickBot="1" x14ac:dyDescent="0.3">
      <c r="A1053" s="133"/>
      <c r="B1053" s="195"/>
      <c r="C1053" s="226"/>
      <c r="D1053" s="952"/>
      <c r="E1053" s="232"/>
      <c r="F1053" s="226"/>
      <c r="G1053" s="344"/>
      <c r="H1053" s="341"/>
    </row>
    <row r="1054" spans="1:8" s="1058" customFormat="1" ht="15.75" thickBot="1" x14ac:dyDescent="0.3">
      <c r="A1054" s="133"/>
      <c r="B1054" s="233"/>
      <c r="C1054" s="234"/>
      <c r="D1054" s="953"/>
      <c r="E1054" s="234"/>
      <c r="F1054" s="235"/>
      <c r="G1054" s="347"/>
      <c r="H1054" s="348">
        <f>+SUM(G1048:G1054)</f>
        <v>10244.436093333334</v>
      </c>
    </row>
    <row r="1055" spans="1:8" s="1058" customFormat="1" ht="15.75" thickBot="1" x14ac:dyDescent="0.3">
      <c r="A1055" s="133"/>
      <c r="B1055" s="238"/>
      <c r="C1055" s="238"/>
      <c r="D1055" s="954"/>
      <c r="E1055" s="238"/>
      <c r="F1055" s="239"/>
      <c r="G1055" s="349"/>
      <c r="H1055" s="350"/>
    </row>
    <row r="1056" spans="1:8" s="1058" customFormat="1" ht="15.75" thickBot="1" x14ac:dyDescent="0.3">
      <c r="A1056" s="1384"/>
      <c r="B1056" s="1114" t="s">
        <v>5408</v>
      </c>
      <c r="C1056" s="1117" t="s">
        <v>867</v>
      </c>
      <c r="D1056" s="1120" t="s">
        <v>6</v>
      </c>
      <c r="E1056" s="1117" t="s">
        <v>870</v>
      </c>
      <c r="F1056" s="1117" t="s">
        <v>5409</v>
      </c>
      <c r="G1056" s="1385" t="s">
        <v>868</v>
      </c>
      <c r="H1056" s="1386"/>
    </row>
    <row r="1057" spans="1:8" s="1058" customFormat="1" x14ac:dyDescent="0.25">
      <c r="A1057" s="133"/>
      <c r="B1057" s="258" t="s">
        <v>8012</v>
      </c>
      <c r="C1057" s="202" t="s">
        <v>5424</v>
      </c>
      <c r="D1057" s="212">
        <f>+(2*PI()*0.5/2)/400*2</f>
        <v>7.8539816339744835E-3</v>
      </c>
      <c r="E1057" s="975">
        <f>+VLOOKUP(B1057,Insumos!$A$2:$C$331,3,FALSE)</f>
        <v>1615900</v>
      </c>
      <c r="F1057" s="169">
        <v>0</v>
      </c>
      <c r="G1057" s="351">
        <f>+E1057*D1057*(1+F1057)</f>
        <v>12691.248922339368</v>
      </c>
      <c r="H1057" s="341"/>
    </row>
    <row r="1058" spans="1:8" s="1058" customFormat="1" x14ac:dyDescent="0.25">
      <c r="A1058" s="133"/>
      <c r="B1058" s="260"/>
      <c r="C1058" s="202"/>
      <c r="D1058" s="211"/>
      <c r="E1058" s="378"/>
      <c r="F1058" s="169"/>
      <c r="G1058" s="377">
        <f>+E1058*D1058*(1+F1058)</f>
        <v>0</v>
      </c>
      <c r="H1058" s="341"/>
    </row>
    <row r="1059" spans="1:8" s="1058" customFormat="1" x14ac:dyDescent="0.25">
      <c r="A1059" s="133"/>
      <c r="B1059" s="260"/>
      <c r="C1059" s="202"/>
      <c r="D1059" s="212"/>
      <c r="E1059" s="376"/>
      <c r="F1059" s="169"/>
      <c r="G1059" s="377">
        <f>+E1059*D1059*(1+F1059)</f>
        <v>0</v>
      </c>
      <c r="H1059" s="341"/>
    </row>
    <row r="1060" spans="1:8" s="1058" customFormat="1" x14ac:dyDescent="0.25">
      <c r="A1060" s="133"/>
      <c r="B1060" s="260"/>
      <c r="C1060" s="226"/>
      <c r="D1060" s="212"/>
      <c r="E1060" s="346"/>
      <c r="F1060" s="169"/>
      <c r="G1060" s="377">
        <f>+E1060*D1060*(1+F1060)</f>
        <v>0</v>
      </c>
      <c r="H1060" s="341"/>
    </row>
    <row r="1061" spans="1:8" s="1058" customFormat="1" x14ac:dyDescent="0.25">
      <c r="A1061" s="133"/>
      <c r="B1061" s="195"/>
      <c r="C1061" s="226"/>
      <c r="D1061" s="212"/>
      <c r="E1061" s="346"/>
      <c r="F1061" s="169"/>
      <c r="G1061" s="351"/>
      <c r="H1061" s="341"/>
    </row>
    <row r="1062" spans="1:8" s="1058" customFormat="1" x14ac:dyDescent="0.25">
      <c r="A1062" s="133"/>
      <c r="B1062" s="194"/>
      <c r="C1062" s="202"/>
      <c r="D1062" s="211"/>
      <c r="E1062" s="346"/>
      <c r="F1062" s="169"/>
      <c r="G1062" s="351"/>
      <c r="H1062" s="341"/>
    </row>
    <row r="1063" spans="1:8" s="1058" customFormat="1" x14ac:dyDescent="0.25">
      <c r="A1063" s="133"/>
      <c r="B1063" s="195"/>
      <c r="C1063" s="226"/>
      <c r="D1063" s="212"/>
      <c r="E1063" s="346"/>
      <c r="F1063" s="169"/>
      <c r="G1063" s="351"/>
      <c r="H1063" s="341"/>
    </row>
    <row r="1064" spans="1:8" s="1058" customFormat="1" x14ac:dyDescent="0.25">
      <c r="A1064" s="133"/>
      <c r="B1064" s="195"/>
      <c r="C1064" s="226"/>
      <c r="D1064" s="212"/>
      <c r="E1064" s="346"/>
      <c r="F1064" s="169"/>
      <c r="G1064" s="351"/>
      <c r="H1064" s="341"/>
    </row>
    <row r="1065" spans="1:8" s="1058" customFormat="1" x14ac:dyDescent="0.25">
      <c r="A1065" s="133"/>
      <c r="B1065" s="195"/>
      <c r="C1065" s="232"/>
      <c r="D1065" s="952"/>
      <c r="E1065" s="232"/>
      <c r="F1065" s="226"/>
      <c r="G1065" s="344"/>
      <c r="H1065" s="341"/>
    </row>
    <row r="1066" spans="1:8" s="1058" customFormat="1" x14ac:dyDescent="0.25">
      <c r="A1066" s="133"/>
      <c r="B1066" s="195"/>
      <c r="C1066" s="232"/>
      <c r="D1066" s="952"/>
      <c r="E1066" s="232"/>
      <c r="F1066" s="226"/>
      <c r="G1066" s="344"/>
      <c r="H1066" s="341"/>
    </row>
    <row r="1067" spans="1:8" s="1058" customFormat="1" x14ac:dyDescent="0.25">
      <c r="A1067" s="133"/>
      <c r="B1067" s="195"/>
      <c r="C1067" s="232"/>
      <c r="D1067" s="952"/>
      <c r="E1067" s="232"/>
      <c r="F1067" s="226"/>
      <c r="G1067" s="344"/>
      <c r="H1067" s="341"/>
    </row>
    <row r="1068" spans="1:8" s="1058" customFormat="1" ht="15.75" thickBot="1" x14ac:dyDescent="0.3">
      <c r="A1068" s="133"/>
      <c r="B1068" s="195"/>
      <c r="C1068" s="232"/>
      <c r="D1068" s="952"/>
      <c r="E1068" s="232"/>
      <c r="F1068" s="226"/>
      <c r="G1068" s="344"/>
      <c r="H1068" s="341"/>
    </row>
    <row r="1069" spans="1:8" s="1058" customFormat="1" ht="15.75" thickBot="1" x14ac:dyDescent="0.3">
      <c r="A1069" s="133"/>
      <c r="B1069" s="233"/>
      <c r="C1069" s="234"/>
      <c r="D1069" s="953"/>
      <c r="E1069" s="234"/>
      <c r="F1069" s="235"/>
      <c r="G1069" s="347"/>
      <c r="H1069" s="348">
        <f>+SUM(G1057:G1069)</f>
        <v>12691.248922339368</v>
      </c>
    </row>
    <row r="1070" spans="1:8" s="1058" customFormat="1" ht="15.75" thickBot="1" x14ac:dyDescent="0.3">
      <c r="A1070" s="133"/>
      <c r="B1070" s="238"/>
      <c r="C1070" s="238"/>
      <c r="D1070" s="954"/>
      <c r="E1070" s="238"/>
      <c r="F1070" s="239"/>
      <c r="G1070" s="349"/>
      <c r="H1070" s="350"/>
    </row>
    <row r="1071" spans="1:8" s="1058" customFormat="1" ht="15.75" thickBot="1" x14ac:dyDescent="0.3">
      <c r="A1071" s="1384"/>
      <c r="B1071" s="1114" t="s">
        <v>5410</v>
      </c>
      <c r="C1071" s="1117" t="s">
        <v>867</v>
      </c>
      <c r="D1071" s="1120" t="s">
        <v>6</v>
      </c>
      <c r="E1071" s="1117" t="s">
        <v>870</v>
      </c>
      <c r="F1071" s="1117" t="s">
        <v>5411</v>
      </c>
      <c r="G1071" s="1385" t="s">
        <v>868</v>
      </c>
      <c r="H1071" s="1386"/>
    </row>
    <row r="1072" spans="1:8" s="1058" customFormat="1" x14ac:dyDescent="0.25">
      <c r="A1072" s="133"/>
      <c r="B1072" s="245"/>
      <c r="C1072" s="283"/>
      <c r="D1072" s="959"/>
      <c r="E1072" s="379"/>
      <c r="F1072" s="283"/>
      <c r="G1072" s="354"/>
      <c r="H1072" s="355"/>
    </row>
    <row r="1073" spans="1:10" s="1058" customFormat="1" x14ac:dyDescent="0.25">
      <c r="A1073" s="133"/>
      <c r="B1073" s="247"/>
      <c r="C1073" s="286"/>
      <c r="D1073" s="960"/>
      <c r="E1073" s="380"/>
      <c r="F1073" s="286"/>
      <c r="G1073" s="351"/>
      <c r="H1073" s="341"/>
    </row>
    <row r="1074" spans="1:10" s="1058" customFormat="1" x14ac:dyDescent="0.25">
      <c r="A1074" s="133"/>
      <c r="B1074" s="247"/>
      <c r="C1074" s="286"/>
      <c r="D1074" s="960"/>
      <c r="E1074" s="288"/>
      <c r="F1074" s="286"/>
      <c r="G1074" s="344"/>
      <c r="H1074" s="341"/>
    </row>
    <row r="1075" spans="1:10" s="1058" customFormat="1" x14ac:dyDescent="0.25">
      <c r="A1075" s="133"/>
      <c r="B1075" s="194"/>
      <c r="C1075" s="248"/>
      <c r="D1075" s="961"/>
      <c r="E1075" s="248"/>
      <c r="F1075" s="202"/>
      <c r="G1075" s="344"/>
      <c r="H1075" s="341"/>
    </row>
    <row r="1076" spans="1:10" s="1058" customFormat="1" ht="15.75" thickBot="1" x14ac:dyDescent="0.3">
      <c r="A1076" s="133"/>
      <c r="B1076" s="195"/>
      <c r="C1076" s="232"/>
      <c r="D1076" s="952"/>
      <c r="E1076" s="232"/>
      <c r="F1076" s="226"/>
      <c r="G1076" s="344"/>
      <c r="H1076" s="341"/>
    </row>
    <row r="1077" spans="1:10" s="1058" customFormat="1" ht="15.75" thickBot="1" x14ac:dyDescent="0.3">
      <c r="A1077" s="133"/>
      <c r="B1077" s="233"/>
      <c r="C1077" s="234"/>
      <c r="D1077" s="953"/>
      <c r="E1077" s="234"/>
      <c r="F1077" s="235"/>
      <c r="G1077" s="347"/>
      <c r="H1077" s="348">
        <f>+SUM(G1072:G1077)</f>
        <v>0</v>
      </c>
    </row>
    <row r="1078" spans="1:10" s="1058" customFormat="1" ht="15.75" thickBot="1" x14ac:dyDescent="0.3">
      <c r="A1078" s="133"/>
      <c r="B1078" s="238"/>
      <c r="C1078" s="238"/>
      <c r="D1078" s="954"/>
      <c r="E1078" s="238"/>
      <c r="F1078" s="249"/>
      <c r="G1078" s="356"/>
      <c r="H1078" s="350"/>
    </row>
    <row r="1079" spans="1:10" s="1058" customFormat="1" ht="15.75" thickBot="1" x14ac:dyDescent="0.3">
      <c r="A1079" s="1384"/>
      <c r="B1079" s="1114" t="s">
        <v>5412</v>
      </c>
      <c r="C1079" s="1117" t="s">
        <v>5420</v>
      </c>
      <c r="D1079" s="1120" t="s">
        <v>5421</v>
      </c>
      <c r="E1079" s="1117" t="s">
        <v>5413</v>
      </c>
      <c r="F1079" s="1117" t="s">
        <v>5405</v>
      </c>
      <c r="G1079" s="1385" t="s">
        <v>868</v>
      </c>
      <c r="H1079" s="1386"/>
    </row>
    <row r="1080" spans="1:10" s="1058" customFormat="1" x14ac:dyDescent="0.25">
      <c r="A1080" s="133"/>
      <c r="B1080" s="381" t="s">
        <v>5948</v>
      </c>
      <c r="C1080" s="345">
        <f>+VLOOKUP($B1080,'Mano de obra'!$A$5:$D$26,2,FALSE)</f>
        <v>57455</v>
      </c>
      <c r="D1080" s="345">
        <f>+VLOOKUP($B1080,'Mano de obra'!$A$5:$D$26,3,FALSE)</f>
        <v>35656</v>
      </c>
      <c r="E1080" s="345">
        <f>+VLOOKUP($B1080,'Mano de obra'!$A$5:$D$26,4,FALSE)</f>
        <v>93111</v>
      </c>
      <c r="F1080" s="204">
        <v>60</v>
      </c>
      <c r="G1080" s="351">
        <f>+E1080/F1080</f>
        <v>1551.85</v>
      </c>
      <c r="H1080" s="341"/>
    </row>
    <row r="1081" spans="1:10" s="1058" customFormat="1" x14ac:dyDescent="0.25">
      <c r="A1081" s="133"/>
      <c r="B1081" s="385" t="s">
        <v>5949</v>
      </c>
      <c r="C1081" s="345">
        <f>+VLOOKUP($B1081,'Mano de obra'!$A$5:$D$26,2,FALSE)</f>
        <v>44263.8</v>
      </c>
      <c r="D1081" s="345">
        <f>+VLOOKUP($B1081,'Mano de obra'!$A$5:$D$26,3,FALSE)</f>
        <v>27470</v>
      </c>
      <c r="E1081" s="345">
        <f>+VLOOKUP($B1081,'Mano de obra'!$A$5:$D$26,4,FALSE)</f>
        <v>71733.8</v>
      </c>
      <c r="F1081" s="202">
        <v>6</v>
      </c>
      <c r="G1081" s="351">
        <f>+E1081/F1081</f>
        <v>11955.633333333333</v>
      </c>
      <c r="H1081" s="341"/>
    </row>
    <row r="1082" spans="1:10" s="1058" customFormat="1" x14ac:dyDescent="0.25">
      <c r="A1082" s="133"/>
      <c r="B1082" s="385" t="s">
        <v>5635</v>
      </c>
      <c r="C1082" s="345">
        <f>+VLOOKUP($B1082,'Mano de obra'!$A$5:$D$26,2,FALSE)</f>
        <v>24591</v>
      </c>
      <c r="D1082" s="345">
        <f>+VLOOKUP($B1082,'Mano de obra'!$A$5:$D$26,3,FALSE)</f>
        <v>15261</v>
      </c>
      <c r="E1082" s="345">
        <f>+VLOOKUP($B1082,'Mano de obra'!$A$5:$D$26,4,FALSE)</f>
        <v>39852</v>
      </c>
      <c r="F1082" s="226">
        <v>6</v>
      </c>
      <c r="G1082" s="351">
        <f>+E1082/F1082</f>
        <v>6642</v>
      </c>
      <c r="H1082" s="341"/>
    </row>
    <row r="1083" spans="1:10" s="1058" customFormat="1" x14ac:dyDescent="0.25">
      <c r="A1083" s="133"/>
      <c r="B1083" s="195"/>
      <c r="C1083" s="346"/>
      <c r="D1083" s="955"/>
      <c r="E1083" s="345"/>
      <c r="F1083" s="226"/>
      <c r="G1083" s="351"/>
      <c r="H1083" s="341"/>
    </row>
    <row r="1084" spans="1:10" s="1058" customFormat="1" x14ac:dyDescent="0.25">
      <c r="A1084" s="133"/>
      <c r="B1084" s="195"/>
      <c r="C1084" s="232"/>
      <c r="D1084" s="952"/>
      <c r="E1084" s="232"/>
      <c r="F1084" s="226"/>
      <c r="G1084" s="344"/>
      <c r="H1084" s="341"/>
    </row>
    <row r="1085" spans="1:10" s="1058" customFormat="1" ht="15.75" thickBot="1" x14ac:dyDescent="0.3">
      <c r="A1085" s="133"/>
      <c r="B1085" s="195"/>
      <c r="C1085" s="232"/>
      <c r="D1085" s="952"/>
      <c r="E1085" s="232"/>
      <c r="F1085" s="226"/>
      <c r="G1085" s="344"/>
      <c r="H1085" s="341"/>
    </row>
    <row r="1086" spans="1:10" s="1058" customFormat="1" ht="15.75" thickBot="1" x14ac:dyDescent="0.3">
      <c r="A1086" s="133"/>
      <c r="B1086" s="251"/>
      <c r="C1086" s="252"/>
      <c r="D1086" s="956"/>
      <c r="E1086" s="252"/>
      <c r="F1086" s="253"/>
      <c r="G1086" s="357"/>
      <c r="H1086" s="348">
        <f>+SUM(G1080:G1086)</f>
        <v>20149.483333333334</v>
      </c>
      <c r="J1086" s="1058">
        <v>3000</v>
      </c>
    </row>
    <row r="1087" spans="1:10" s="1058" customFormat="1" ht="15.75" thickBot="1" x14ac:dyDescent="0.3">
      <c r="A1087" s="133"/>
      <c r="B1087" s="8"/>
      <c r="C1087" s="8"/>
      <c r="D1087" s="529"/>
      <c r="E1087" s="8"/>
      <c r="F1087" s="133"/>
      <c r="G1087" s="341"/>
      <c r="H1087" s="341"/>
    </row>
    <row r="1088" spans="1:10" s="1058" customFormat="1" ht="15.75" thickBot="1" x14ac:dyDescent="0.3">
      <c r="A1088" s="133" t="s">
        <v>6744</v>
      </c>
      <c r="B1088" s="8"/>
      <c r="C1088" s="8"/>
      <c r="D1088" s="529"/>
      <c r="E1088" s="223" t="s">
        <v>5415</v>
      </c>
      <c r="F1088" s="133"/>
      <c r="G1088" s="341"/>
      <c r="H1088" s="994">
        <f>ROUND(+H1086+H1077+H1069+H1054,0)</f>
        <v>43085</v>
      </c>
    </row>
    <row r="1089" spans="1:8" s="1058" customFormat="1" x14ac:dyDescent="0.25">
      <c r="D1089" s="957"/>
    </row>
    <row r="1090" spans="1:8" x14ac:dyDescent="0.25">
      <c r="A1090" s="1058"/>
      <c r="B1090" s="1058"/>
      <c r="C1090" s="1058"/>
      <c r="D1090" s="957"/>
      <c r="E1090" s="1058"/>
      <c r="F1090" s="1058"/>
      <c r="G1090" s="1058"/>
      <c r="H1090" s="1058"/>
    </row>
    <row r="1091" spans="1:8" x14ac:dyDescent="0.25">
      <c r="A1091" s="1058"/>
      <c r="B1091" s="1058"/>
      <c r="C1091" s="1058"/>
      <c r="D1091" s="957"/>
      <c r="E1091" s="1058"/>
      <c r="F1091" s="1058"/>
      <c r="G1091" s="1058"/>
      <c r="H1091" s="1058"/>
    </row>
    <row r="1092" spans="1:8" x14ac:dyDescent="0.25">
      <c r="A1092" s="1424" t="s">
        <v>3</v>
      </c>
      <c r="B1092" s="1390" t="str">
        <f>+VLOOKUP(C1092,ListaAPUs!$B:$E,4,FALSE)</f>
        <v>2.7.1</v>
      </c>
      <c r="C1092" s="2450" t="str">
        <f>+ListaAPUs!B46</f>
        <v>DEMOLICIÓN DE PAVIMENTO FLEXIBLE</v>
      </c>
      <c r="D1092" s="2450"/>
      <c r="E1092" s="2450"/>
      <c r="F1092" s="1424" t="s">
        <v>867</v>
      </c>
      <c r="G1092" s="139" t="s">
        <v>6858</v>
      </c>
      <c r="H1092" s="134"/>
    </row>
    <row r="1093" spans="1:8" x14ac:dyDescent="0.25">
      <c r="A1093" s="141"/>
      <c r="B1093" s="140"/>
      <c r="C1093" s="140"/>
      <c r="D1093" s="529"/>
      <c r="E1093" s="140"/>
      <c r="F1093" s="141"/>
      <c r="G1093" s="134"/>
      <c r="H1093" s="134"/>
    </row>
    <row r="1094" spans="1:8" x14ac:dyDescent="0.25">
      <c r="A1094" s="141"/>
      <c r="B1094" s="140"/>
      <c r="C1094" s="140"/>
      <c r="D1094" s="529"/>
      <c r="E1094" s="140"/>
      <c r="F1094" s="141"/>
      <c r="G1094" s="142"/>
      <c r="H1094" s="134"/>
    </row>
    <row r="1095" spans="1:8" ht="15.75" thickBot="1" x14ac:dyDescent="0.3">
      <c r="A1095" s="141"/>
      <c r="B1095" s="140"/>
      <c r="C1095" s="140"/>
      <c r="D1095" s="529"/>
      <c r="E1095" s="140"/>
      <c r="F1095" s="141"/>
      <c r="G1095" s="134"/>
      <c r="H1095" s="134"/>
    </row>
    <row r="1096" spans="1:8" ht="15.75" thickBot="1" x14ac:dyDescent="0.3">
      <c r="A1096" s="1368"/>
      <c r="B1096" s="1369" t="s">
        <v>5403</v>
      </c>
      <c r="C1096" s="1363" t="s">
        <v>867</v>
      </c>
      <c r="D1096" s="1120" t="s">
        <v>6</v>
      </c>
      <c r="E1096" s="1363" t="s">
        <v>5439</v>
      </c>
      <c r="F1096" s="1363" t="s">
        <v>5405</v>
      </c>
      <c r="G1096" s="1370" t="s">
        <v>868</v>
      </c>
      <c r="H1096" s="1371"/>
    </row>
    <row r="1097" spans="1:8" x14ac:dyDescent="0.25">
      <c r="A1097" s="141"/>
      <c r="B1097" s="146" t="s">
        <v>5455</v>
      </c>
      <c r="C1097" s="147" t="s">
        <v>7042</v>
      </c>
      <c r="D1097" s="211">
        <v>1</v>
      </c>
      <c r="E1097" s="148">
        <f>+H1136</f>
        <v>75718.899999999994</v>
      </c>
      <c r="F1097" s="167">
        <v>0.1</v>
      </c>
      <c r="G1097" s="360">
        <f>+E1097*F1097</f>
        <v>7571.8899999999994</v>
      </c>
      <c r="H1097" s="134"/>
    </row>
    <row r="1098" spans="1:8" x14ac:dyDescent="0.25">
      <c r="A1098" s="141"/>
      <c r="B1098" s="154" t="s">
        <v>6862</v>
      </c>
      <c r="C1098" s="151" t="s">
        <v>7203</v>
      </c>
      <c r="D1098" s="212">
        <v>1</v>
      </c>
      <c r="E1098" s="975">
        <f>+VLOOKUP(B1098,Insumos!$A$2:$C$331,3,FALSE)</f>
        <v>73138</v>
      </c>
      <c r="F1098" s="205">
        <v>0.5</v>
      </c>
      <c r="G1098" s="360">
        <f>+E1098*F1098</f>
        <v>36569</v>
      </c>
      <c r="H1098" s="134"/>
    </row>
    <row r="1099" spans="1:8" x14ac:dyDescent="0.25">
      <c r="A1099" s="141"/>
      <c r="B1099" s="154" t="s">
        <v>7202</v>
      </c>
      <c r="C1099" s="151" t="s">
        <v>7203</v>
      </c>
      <c r="D1099" s="212">
        <v>1</v>
      </c>
      <c r="E1099" s="975">
        <f>+VLOOKUP(B1099,Insumos!$A$2:$C$331,3,FALSE)</f>
        <v>65000</v>
      </c>
      <c r="F1099" s="205">
        <v>1.4E-2</v>
      </c>
      <c r="G1099" s="360">
        <f>+E1099*F1099</f>
        <v>910</v>
      </c>
      <c r="H1099" s="134"/>
    </row>
    <row r="1100" spans="1:8" x14ac:dyDescent="0.25">
      <c r="A1100" s="141"/>
      <c r="B1100" s="155"/>
      <c r="C1100" s="151"/>
      <c r="D1100" s="952"/>
      <c r="E1100" s="152"/>
      <c r="F1100" s="151"/>
      <c r="G1100" s="156"/>
      <c r="H1100" s="134"/>
    </row>
    <row r="1101" spans="1:8" x14ac:dyDescent="0.25">
      <c r="A1101" s="141"/>
      <c r="B1101" s="155"/>
      <c r="C1101" s="151"/>
      <c r="D1101" s="952"/>
      <c r="E1101" s="152"/>
      <c r="F1101" s="151"/>
      <c r="G1101" s="156"/>
      <c r="H1101" s="134"/>
    </row>
    <row r="1102" spans="1:8" ht="15.75" thickBot="1" x14ac:dyDescent="0.3">
      <c r="A1102" s="141"/>
      <c r="B1102" s="155"/>
      <c r="C1102" s="151"/>
      <c r="D1102" s="952"/>
      <c r="E1102" s="152"/>
      <c r="F1102" s="151"/>
      <c r="G1102" s="156"/>
      <c r="H1102" s="134"/>
    </row>
    <row r="1103" spans="1:8" ht="15.75" thickBot="1" x14ac:dyDescent="0.3">
      <c r="A1103" s="141"/>
      <c r="B1103" s="157"/>
      <c r="C1103" s="158"/>
      <c r="D1103" s="953"/>
      <c r="E1103" s="159"/>
      <c r="F1103" s="158"/>
      <c r="G1103" s="160"/>
      <c r="H1103" s="161">
        <f>+SUM(G1097:G1103)</f>
        <v>45050.89</v>
      </c>
    </row>
    <row r="1104" spans="1:8" ht="15.75" thickBot="1" x14ac:dyDescent="0.3">
      <c r="A1104" s="141"/>
      <c r="B1104" s="162"/>
      <c r="C1104" s="163"/>
      <c r="D1104" s="954"/>
      <c r="E1104" s="162"/>
      <c r="F1104" s="163"/>
      <c r="G1104" s="164"/>
      <c r="H1104" s="165"/>
    </row>
    <row r="1105" spans="1:8" ht="15.75" thickBot="1" x14ac:dyDescent="0.3">
      <c r="A1105" s="183"/>
      <c r="B1105" s="1369" t="s">
        <v>5408</v>
      </c>
      <c r="C1105" s="1363" t="s">
        <v>867</v>
      </c>
      <c r="D1105" s="1120" t="s">
        <v>6</v>
      </c>
      <c r="E1105" s="1363" t="s">
        <v>870</v>
      </c>
      <c r="F1105" s="1363" t="s">
        <v>5409</v>
      </c>
      <c r="G1105" s="1370" t="s">
        <v>868</v>
      </c>
      <c r="H1105" s="1371"/>
    </row>
    <row r="1106" spans="1:8" x14ac:dyDescent="0.25">
      <c r="A1106" s="140"/>
      <c r="B1106" s="201" t="s">
        <v>5679</v>
      </c>
      <c r="C1106" s="147" t="s">
        <v>37</v>
      </c>
      <c r="D1106" s="211">
        <v>1.25E-3</v>
      </c>
      <c r="E1106" s="975">
        <f>+VLOOKUP(B1106,Insumos!$A$2:$C$331,3,FALSE)</f>
        <v>1582593.8</v>
      </c>
      <c r="F1106" s="169">
        <v>0.05</v>
      </c>
      <c r="G1106" s="367">
        <f>+D1106*E1106*(1+F1106)</f>
        <v>2077.1543624999999</v>
      </c>
      <c r="H1106" s="134"/>
    </row>
    <row r="1107" spans="1:8" x14ac:dyDescent="0.25">
      <c r="A1107" s="140"/>
      <c r="B1107" s="196"/>
      <c r="C1107" s="151"/>
      <c r="D1107" s="212"/>
      <c r="E1107" s="148"/>
      <c r="F1107" s="169"/>
      <c r="G1107" s="354"/>
      <c r="H1107" s="134"/>
    </row>
    <row r="1108" spans="1:8" x14ac:dyDescent="0.25">
      <c r="A1108" s="140"/>
      <c r="B1108" s="196"/>
      <c r="C1108" s="151"/>
      <c r="D1108" s="212"/>
      <c r="E1108" s="148"/>
      <c r="F1108" s="169"/>
      <c r="G1108" s="367"/>
      <c r="H1108" s="134"/>
    </row>
    <row r="1109" spans="1:8" x14ac:dyDescent="0.25">
      <c r="A1109" s="140"/>
      <c r="B1109" s="155"/>
      <c r="C1109" s="151"/>
      <c r="D1109" s="212"/>
      <c r="E1109" s="148"/>
      <c r="F1109" s="151"/>
      <c r="G1109" s="367"/>
      <c r="H1109" s="134"/>
    </row>
    <row r="1110" spans="1:8" x14ac:dyDescent="0.25">
      <c r="A1110" s="140"/>
      <c r="B1110" s="155"/>
      <c r="C1110" s="151"/>
      <c r="D1110" s="212"/>
      <c r="E1110" s="148"/>
      <c r="F1110" s="151"/>
      <c r="G1110" s="367"/>
      <c r="H1110" s="134"/>
    </row>
    <row r="1111" spans="1:8" x14ac:dyDescent="0.25">
      <c r="A1111" s="140"/>
      <c r="B1111" s="155"/>
      <c r="C1111" s="151"/>
      <c r="D1111" s="212"/>
      <c r="E1111" s="148"/>
      <c r="F1111" s="151"/>
      <c r="G1111" s="367"/>
      <c r="H1111" s="134"/>
    </row>
    <row r="1112" spans="1:8" x14ac:dyDescent="0.25">
      <c r="A1112" s="140"/>
      <c r="B1112" s="155"/>
      <c r="C1112" s="151"/>
      <c r="D1112" s="212"/>
      <c r="E1112" s="148"/>
      <c r="F1112" s="151"/>
      <c r="G1112" s="367"/>
      <c r="H1112" s="134"/>
    </row>
    <row r="1113" spans="1:8" x14ac:dyDescent="0.25">
      <c r="A1113" s="140"/>
      <c r="B1113" s="155"/>
      <c r="C1113" s="151"/>
      <c r="D1113" s="212"/>
      <c r="E1113" s="148"/>
      <c r="F1113" s="151"/>
      <c r="G1113" s="367"/>
      <c r="H1113" s="134"/>
    </row>
    <row r="1114" spans="1:8" x14ac:dyDescent="0.25">
      <c r="A1114" s="140"/>
      <c r="B1114" s="155"/>
      <c r="C1114" s="151"/>
      <c r="D1114" s="212"/>
      <c r="E1114" s="148"/>
      <c r="F1114" s="151"/>
      <c r="G1114" s="367"/>
      <c r="H1114" s="134"/>
    </row>
    <row r="1115" spans="1:8" x14ac:dyDescent="0.25">
      <c r="A1115" s="140"/>
      <c r="B1115" s="155"/>
      <c r="C1115" s="151"/>
      <c r="D1115" s="212"/>
      <c r="E1115" s="148"/>
      <c r="F1115" s="151"/>
      <c r="G1115" s="367"/>
      <c r="H1115" s="134"/>
    </row>
    <row r="1116" spans="1:8" x14ac:dyDescent="0.25">
      <c r="A1116" s="140"/>
      <c r="B1116" s="155"/>
      <c r="C1116" s="152"/>
      <c r="D1116" s="952"/>
      <c r="E1116" s="152"/>
      <c r="F1116" s="151"/>
      <c r="G1116" s="156"/>
      <c r="H1116" s="134"/>
    </row>
    <row r="1117" spans="1:8" ht="15.75" thickBot="1" x14ac:dyDescent="0.3">
      <c r="A1117" s="140"/>
      <c r="B1117" s="155"/>
      <c r="C1117" s="152"/>
      <c r="D1117" s="952"/>
      <c r="E1117" s="152"/>
      <c r="F1117" s="151"/>
      <c r="G1117" s="156"/>
      <c r="H1117" s="134"/>
    </row>
    <row r="1118" spans="1:8" ht="15.75" thickBot="1" x14ac:dyDescent="0.3">
      <c r="A1118" s="140"/>
      <c r="B1118" s="157"/>
      <c r="C1118" s="159"/>
      <c r="D1118" s="953"/>
      <c r="E1118" s="159"/>
      <c r="F1118" s="158"/>
      <c r="G1118" s="160"/>
      <c r="H1118" s="161">
        <f>+SUM(G1106:G1118)</f>
        <v>2077.1543624999999</v>
      </c>
    </row>
    <row r="1119" spans="1:8" ht="15.75" thickBot="1" x14ac:dyDescent="0.3">
      <c r="A1119" s="140"/>
      <c r="B1119" s="162"/>
      <c r="C1119" s="162"/>
      <c r="D1119" s="954"/>
      <c r="E1119" s="162"/>
      <c r="F1119" s="163"/>
      <c r="G1119" s="164"/>
      <c r="H1119" s="165"/>
    </row>
    <row r="1120" spans="1:8" ht="15.75" thickBot="1" x14ac:dyDescent="0.3">
      <c r="A1120" s="183"/>
      <c r="B1120" s="1369" t="s">
        <v>5410</v>
      </c>
      <c r="C1120" s="1363" t="s">
        <v>867</v>
      </c>
      <c r="D1120" s="1120" t="s">
        <v>6</v>
      </c>
      <c r="E1120" s="1363" t="s">
        <v>870</v>
      </c>
      <c r="F1120" s="1363" t="s">
        <v>5411</v>
      </c>
      <c r="G1120" s="1370" t="s">
        <v>868</v>
      </c>
      <c r="H1120" s="1371"/>
    </row>
    <row r="1121" spans="1:8" x14ac:dyDescent="0.25">
      <c r="A1121" s="140"/>
      <c r="B1121" s="201"/>
      <c r="C1121" s="147"/>
      <c r="D1121" s="211"/>
      <c r="E1121" s="148"/>
      <c r="F1121" s="169"/>
      <c r="G1121" s="367">
        <f>+D1121*E1121*(1+F1121)</f>
        <v>0</v>
      </c>
      <c r="H1121" s="134"/>
    </row>
    <row r="1122" spans="1:8" x14ac:dyDescent="0.25">
      <c r="A1122" s="140"/>
      <c r="B1122" s="196"/>
      <c r="C1122" s="151"/>
      <c r="D1122" s="212"/>
      <c r="E1122" s="148"/>
      <c r="F1122" s="147"/>
      <c r="G1122" s="367"/>
      <c r="H1122" s="134"/>
    </row>
    <row r="1123" spans="1:8" x14ac:dyDescent="0.25">
      <c r="A1123" s="140"/>
      <c r="B1123" s="196"/>
      <c r="C1123" s="151"/>
      <c r="D1123" s="212"/>
      <c r="E1123" s="148"/>
      <c r="F1123" s="151"/>
      <c r="G1123" s="367"/>
      <c r="H1123" s="134"/>
    </row>
    <row r="1124" spans="1:8" x14ac:dyDescent="0.25">
      <c r="A1124" s="140"/>
      <c r="B1124" s="155"/>
      <c r="C1124" s="151"/>
      <c r="D1124" s="212"/>
      <c r="E1124" s="148"/>
      <c r="F1124" s="151"/>
      <c r="G1124" s="367"/>
      <c r="H1124" s="134"/>
    </row>
    <row r="1125" spans="1:8" x14ac:dyDescent="0.25">
      <c r="A1125" s="140"/>
      <c r="B1125" s="155"/>
      <c r="C1125" s="151"/>
      <c r="D1125" s="212"/>
      <c r="E1125" s="148"/>
      <c r="F1125" s="151"/>
      <c r="G1125" s="367"/>
      <c r="H1125" s="134"/>
    </row>
    <row r="1126" spans="1:8" ht="15.75" thickBot="1" x14ac:dyDescent="0.3">
      <c r="A1126" s="140"/>
      <c r="B1126" s="155"/>
      <c r="C1126" s="151"/>
      <c r="D1126" s="212"/>
      <c r="E1126" s="148"/>
      <c r="F1126" s="151"/>
      <c r="G1126" s="367"/>
      <c r="H1126" s="134"/>
    </row>
    <row r="1127" spans="1:8" ht="15.75" thickBot="1" x14ac:dyDescent="0.3">
      <c r="A1127" s="140"/>
      <c r="B1127" s="157"/>
      <c r="C1127" s="159"/>
      <c r="D1127" s="953"/>
      <c r="E1127" s="159"/>
      <c r="F1127" s="158"/>
      <c r="G1127" s="160"/>
      <c r="H1127" s="161">
        <f>+SUM(G1121:G1127)</f>
        <v>0</v>
      </c>
    </row>
    <row r="1128" spans="1:8" ht="15.75" thickBot="1" x14ac:dyDescent="0.3">
      <c r="A1128" s="140"/>
      <c r="B1128" s="162"/>
      <c r="C1128" s="162"/>
      <c r="D1128" s="954"/>
      <c r="E1128" s="162"/>
      <c r="F1128" s="173"/>
      <c r="G1128" s="174"/>
      <c r="H1128" s="165"/>
    </row>
    <row r="1129" spans="1:8" ht="15.75" thickBot="1" x14ac:dyDescent="0.3">
      <c r="A1129" s="183"/>
      <c r="B1129" s="1369" t="s">
        <v>5412</v>
      </c>
      <c r="C1129" s="1363" t="s">
        <v>5420</v>
      </c>
      <c r="D1129" s="1120" t="s">
        <v>5421</v>
      </c>
      <c r="E1129" s="1363" t="s">
        <v>5413</v>
      </c>
      <c r="F1129" s="1363" t="s">
        <v>5405</v>
      </c>
      <c r="G1129" s="1370" t="s">
        <v>868</v>
      </c>
      <c r="H1129" s="1371"/>
    </row>
    <row r="1130" spans="1:8" x14ac:dyDescent="0.25">
      <c r="A1130" s="140"/>
      <c r="B1130" s="194"/>
      <c r="C1130" s="345"/>
      <c r="D1130" s="345"/>
      <c r="E1130" s="345"/>
      <c r="F1130" s="202"/>
      <c r="G1130" s="351"/>
      <c r="H1130" s="134"/>
    </row>
    <row r="1131" spans="1:8" x14ac:dyDescent="0.25">
      <c r="A1131" s="140"/>
      <c r="B1131" s="194" t="s">
        <v>5949</v>
      </c>
      <c r="C1131" s="345">
        <f>+VLOOKUP($B1131,'Mano de obra'!$A$5:$D$26,2,FALSE)</f>
        <v>44263.8</v>
      </c>
      <c r="D1131" s="345">
        <f>+VLOOKUP($B1131,'Mano de obra'!$A$5:$D$26,3,FALSE)</f>
        <v>27470</v>
      </c>
      <c r="E1131" s="345">
        <f>+VLOOKUP($B1131,'Mano de obra'!$A$5:$D$26,4,FALSE)</f>
        <v>71733.8</v>
      </c>
      <c r="F1131" s="204">
        <v>2</v>
      </c>
      <c r="G1131" s="351">
        <f>+E1131/F1131</f>
        <v>35866.9</v>
      </c>
      <c r="H1131" s="134"/>
    </row>
    <row r="1132" spans="1:8" x14ac:dyDescent="0.25">
      <c r="A1132" s="140"/>
      <c r="B1132" s="195" t="s">
        <v>5635</v>
      </c>
      <c r="C1132" s="345">
        <f>+VLOOKUP($B1132,'Mano de obra'!$A$5:$D$26,2,FALSE)</f>
        <v>24591</v>
      </c>
      <c r="D1132" s="345">
        <f>+VLOOKUP($B1132,'Mano de obra'!$A$5:$D$26,3,FALSE)</f>
        <v>15261</v>
      </c>
      <c r="E1132" s="345">
        <f>+VLOOKUP($B1132,'Mano de obra'!$A$5:$D$26,4,FALSE)</f>
        <v>39852</v>
      </c>
      <c r="F1132" s="205">
        <v>2</v>
      </c>
      <c r="G1132" s="351">
        <f>+E1132/F1132</f>
        <v>19926</v>
      </c>
      <c r="H1132" s="134"/>
    </row>
    <row r="1133" spans="1:8" x14ac:dyDescent="0.25">
      <c r="A1133" s="140"/>
      <c r="B1133" s="155" t="s">
        <v>5680</v>
      </c>
      <c r="C1133" s="345">
        <f>+VLOOKUP($B1133,'Mano de obra'!$A$5:$D$26,2,FALSE)</f>
        <v>24591</v>
      </c>
      <c r="D1133" s="345">
        <f>+VLOOKUP($B1133,'Mano de obra'!$A$5:$D$26,3,FALSE)</f>
        <v>15261</v>
      </c>
      <c r="E1133" s="345">
        <f>+VLOOKUP($B1133,'Mano de obra'!$A$5:$D$26,4,FALSE)</f>
        <v>39852</v>
      </c>
      <c r="F1133" s="205">
        <v>2</v>
      </c>
      <c r="G1133" s="351">
        <f>+E1133/F1133</f>
        <v>19926</v>
      </c>
      <c r="H1133" s="134"/>
    </row>
    <row r="1134" spans="1:8" x14ac:dyDescent="0.25">
      <c r="A1134" s="140"/>
      <c r="B1134" s="155"/>
      <c r="C1134" s="345"/>
      <c r="D1134" s="345"/>
      <c r="E1134" s="345"/>
      <c r="F1134" s="205"/>
      <c r="G1134" s="351"/>
      <c r="H1134" s="134"/>
    </row>
    <row r="1135" spans="1:8" ht="15.75" thickBot="1" x14ac:dyDescent="0.3">
      <c r="A1135" s="140"/>
      <c r="B1135" s="155"/>
      <c r="C1135" s="152"/>
      <c r="D1135" s="952"/>
      <c r="E1135" s="152"/>
      <c r="F1135" s="151"/>
      <c r="G1135" s="156"/>
      <c r="H1135" s="134"/>
    </row>
    <row r="1136" spans="1:8" ht="15.75" thickBot="1" x14ac:dyDescent="0.3">
      <c r="A1136" s="140"/>
      <c r="B1136" s="179"/>
      <c r="C1136" s="180"/>
      <c r="D1136" s="956"/>
      <c r="E1136" s="180"/>
      <c r="F1136" s="181"/>
      <c r="G1136" s="182"/>
      <c r="H1136" s="161">
        <f>+SUM(G1130:G1136)</f>
        <v>75718.899999999994</v>
      </c>
    </row>
    <row r="1137" spans="1:8" ht="15.75" thickBot="1" x14ac:dyDescent="0.3">
      <c r="A1137" s="140"/>
      <c r="B1137" s="140"/>
      <c r="C1137" s="140"/>
      <c r="D1137" s="529"/>
      <c r="E1137" s="140"/>
      <c r="F1137" s="141"/>
      <c r="G1137" s="134"/>
      <c r="H1137" s="134"/>
    </row>
    <row r="1138" spans="1:8" ht="15.75" thickBot="1" x14ac:dyDescent="0.3">
      <c r="A1138" s="133" t="s">
        <v>6744</v>
      </c>
      <c r="B1138" s="140"/>
      <c r="C1138" s="140"/>
      <c r="D1138" s="529"/>
      <c r="E1138" s="183" t="s">
        <v>5415</v>
      </c>
      <c r="F1138" s="141"/>
      <c r="G1138" s="134"/>
      <c r="H1138" s="982">
        <f>ROUND(+H1103+H1118+H1127+H1136,0)</f>
        <v>122847</v>
      </c>
    </row>
    <row r="1139" spans="1:8" x14ac:dyDescent="0.25">
      <c r="A1139" s="1058"/>
      <c r="B1139" s="1058"/>
      <c r="C1139" s="1058"/>
      <c r="D1139" s="957"/>
      <c r="E1139" s="1058"/>
      <c r="F1139" s="1058"/>
      <c r="G1139" s="1058"/>
      <c r="H1139" s="1058"/>
    </row>
    <row r="1140" spans="1:8" x14ac:dyDescent="0.25">
      <c r="A1140" s="1058"/>
      <c r="B1140" s="1058"/>
      <c r="C1140" s="1058"/>
      <c r="D1140" s="957"/>
      <c r="E1140" s="1058"/>
      <c r="F1140" s="1058"/>
      <c r="G1140" s="1058"/>
      <c r="H1140" s="1058"/>
    </row>
    <row r="1141" spans="1:8" x14ac:dyDescent="0.25">
      <c r="A1141" s="1058"/>
      <c r="B1141" s="1058"/>
      <c r="C1141" s="1058"/>
      <c r="D1141" s="957"/>
      <c r="E1141" s="1058"/>
      <c r="F1141" s="1058"/>
      <c r="G1141" s="1058"/>
      <c r="H1141" s="1058"/>
    </row>
    <row r="1142" spans="1:8" x14ac:dyDescent="0.25">
      <c r="A1142" s="1424" t="s">
        <v>3</v>
      </c>
      <c r="B1142" s="1390" t="str">
        <f>+VLOOKUP(C1142,ListaAPUs!$B:$E,4,FALSE)</f>
        <v>2.7.2</v>
      </c>
      <c r="C1142" s="2450" t="str">
        <f>+ListaAPUs!B47</f>
        <v>Demolición de Pavimento Rígido</v>
      </c>
      <c r="D1142" s="2450"/>
      <c r="E1142" s="2450"/>
      <c r="F1142" s="1424" t="s">
        <v>867</v>
      </c>
      <c r="G1142" s="139" t="s">
        <v>5454</v>
      </c>
      <c r="H1142" s="134"/>
    </row>
    <row r="1143" spans="1:8" x14ac:dyDescent="0.25">
      <c r="A1143" s="141"/>
      <c r="B1143" s="140"/>
      <c r="C1143" s="140"/>
      <c r="D1143" s="529"/>
      <c r="E1143" s="140"/>
      <c r="F1143" s="141"/>
      <c r="G1143" s="134"/>
      <c r="H1143" s="134"/>
    </row>
    <row r="1144" spans="1:8" x14ac:dyDescent="0.25">
      <c r="A1144" s="141"/>
      <c r="B1144" s="140"/>
      <c r="C1144" s="140"/>
      <c r="D1144" s="529"/>
      <c r="E1144" s="140"/>
      <c r="F1144" s="141"/>
      <c r="G1144" s="142"/>
      <c r="H1144" s="134"/>
    </row>
    <row r="1145" spans="1:8" ht="15.75" thickBot="1" x14ac:dyDescent="0.3">
      <c r="A1145" s="141"/>
      <c r="B1145" s="140"/>
      <c r="C1145" s="140"/>
      <c r="D1145" s="529"/>
      <c r="E1145" s="140"/>
      <c r="F1145" s="141"/>
      <c r="G1145" s="134"/>
      <c r="H1145" s="134"/>
    </row>
    <row r="1146" spans="1:8" ht="15.75" thickBot="1" x14ac:dyDescent="0.3">
      <c r="A1146" s="1368"/>
      <c r="B1146" s="1369" t="s">
        <v>5403</v>
      </c>
      <c r="C1146" s="1363" t="s">
        <v>867</v>
      </c>
      <c r="D1146" s="1120" t="s">
        <v>6</v>
      </c>
      <c r="E1146" s="1363" t="s">
        <v>5439</v>
      </c>
      <c r="F1146" s="1363" t="s">
        <v>5405</v>
      </c>
      <c r="G1146" s="1370" t="s">
        <v>868</v>
      </c>
      <c r="H1146" s="1371"/>
    </row>
    <row r="1147" spans="1:8" x14ac:dyDescent="0.25">
      <c r="A1147" s="141"/>
      <c r="B1147" s="146" t="s">
        <v>5440</v>
      </c>
      <c r="C1147" s="147" t="s">
        <v>5406</v>
      </c>
      <c r="D1147" s="211"/>
      <c r="E1147" s="148">
        <f>+H1186</f>
        <v>54198.76</v>
      </c>
      <c r="F1147" s="167">
        <v>0.1</v>
      </c>
      <c r="G1147" s="360">
        <f>+E1147*F1147</f>
        <v>5419.8760000000002</v>
      </c>
      <c r="H1147" s="134"/>
    </row>
    <row r="1148" spans="1:8" x14ac:dyDescent="0.25">
      <c r="A1148" s="141"/>
      <c r="B1148" s="154" t="s">
        <v>9052</v>
      </c>
      <c r="C1148" s="151" t="s">
        <v>5407</v>
      </c>
      <c r="D1148" s="212"/>
      <c r="E1148" s="975">
        <f>+VLOOKUP(B1148,Insumos!$A$2:$C$331,3,FALSE)</f>
        <v>73080</v>
      </c>
      <c r="F1148" s="205">
        <v>1</v>
      </c>
      <c r="G1148" s="360">
        <f>+E1148/F1148</f>
        <v>73080</v>
      </c>
      <c r="H1148" s="134"/>
    </row>
    <row r="1149" spans="1:8" x14ac:dyDescent="0.25">
      <c r="A1149" s="141"/>
      <c r="B1149" s="154" t="s">
        <v>8013</v>
      </c>
      <c r="C1149" s="151" t="s">
        <v>5407</v>
      </c>
      <c r="D1149" s="212">
        <v>1</v>
      </c>
      <c r="E1149" s="975">
        <f>+VLOOKUP(B1149,Insumos!$A$2:$C$331,3,FALSE)</f>
        <v>65000</v>
      </c>
      <c r="F1149" s="205">
        <v>16</v>
      </c>
      <c r="G1149" s="360">
        <f>+E1149/F1149</f>
        <v>4062.5</v>
      </c>
      <c r="H1149" s="134"/>
    </row>
    <row r="1150" spans="1:8" x14ac:dyDescent="0.25">
      <c r="A1150" s="141"/>
      <c r="B1150" s="155"/>
      <c r="C1150" s="151"/>
      <c r="D1150" s="952"/>
      <c r="E1150" s="152"/>
      <c r="F1150" s="151"/>
      <c r="G1150" s="156"/>
      <c r="H1150" s="134"/>
    </row>
    <row r="1151" spans="1:8" x14ac:dyDescent="0.25">
      <c r="A1151" s="141"/>
      <c r="B1151" s="155"/>
      <c r="C1151" s="151"/>
      <c r="D1151" s="952"/>
      <c r="E1151" s="152"/>
      <c r="F1151" s="151"/>
      <c r="G1151" s="156"/>
      <c r="H1151" s="134"/>
    </row>
    <row r="1152" spans="1:8" ht="15.75" thickBot="1" x14ac:dyDescent="0.3">
      <c r="A1152" s="141"/>
      <c r="B1152" s="155"/>
      <c r="C1152" s="151"/>
      <c r="D1152" s="952"/>
      <c r="E1152" s="152"/>
      <c r="F1152" s="151"/>
      <c r="G1152" s="156"/>
      <c r="H1152" s="134"/>
    </row>
    <row r="1153" spans="1:8" ht="15.75" thickBot="1" x14ac:dyDescent="0.3">
      <c r="A1153" s="141"/>
      <c r="B1153" s="157"/>
      <c r="C1153" s="158"/>
      <c r="D1153" s="953"/>
      <c r="E1153" s="159"/>
      <c r="F1153" s="158"/>
      <c r="G1153" s="160"/>
      <c r="H1153" s="161">
        <f>+SUM(G1147:G1153)</f>
        <v>82562.376000000004</v>
      </c>
    </row>
    <row r="1154" spans="1:8" ht="15.75" thickBot="1" x14ac:dyDescent="0.3">
      <c r="A1154" s="141"/>
      <c r="B1154" s="162"/>
      <c r="C1154" s="163"/>
      <c r="D1154" s="954"/>
      <c r="E1154" s="162"/>
      <c r="F1154" s="163"/>
      <c r="G1154" s="164"/>
      <c r="H1154" s="165"/>
    </row>
    <row r="1155" spans="1:8" ht="15.75" thickBot="1" x14ac:dyDescent="0.3">
      <c r="A1155" s="183"/>
      <c r="B1155" s="1369" t="s">
        <v>5408</v>
      </c>
      <c r="C1155" s="1363" t="s">
        <v>867</v>
      </c>
      <c r="D1155" s="1120" t="s">
        <v>6</v>
      </c>
      <c r="E1155" s="1363" t="s">
        <v>870</v>
      </c>
      <c r="F1155" s="1363" t="s">
        <v>5409</v>
      </c>
      <c r="G1155" s="1370" t="s">
        <v>868</v>
      </c>
      <c r="H1155" s="1371"/>
    </row>
    <row r="1156" spans="1:8" x14ac:dyDescent="0.25">
      <c r="A1156" s="140"/>
      <c r="B1156" s="201" t="s">
        <v>5679</v>
      </c>
      <c r="C1156" s="147" t="s">
        <v>37</v>
      </c>
      <c r="D1156" s="211">
        <v>1.25E-3</v>
      </c>
      <c r="E1156" s="975">
        <f>+VLOOKUP(B1156,Insumos!$A$2:$C$331,3,FALSE)</f>
        <v>1582593.8</v>
      </c>
      <c r="F1156" s="169">
        <v>0.05</v>
      </c>
      <c r="G1156" s="367">
        <f>+D1156*E1156*(1+F1156)</f>
        <v>2077.1543624999999</v>
      </c>
      <c r="H1156" s="134"/>
    </row>
    <row r="1157" spans="1:8" x14ac:dyDescent="0.25">
      <c r="A1157" s="140"/>
      <c r="B1157" s="196"/>
      <c r="C1157" s="151"/>
      <c r="D1157" s="212"/>
      <c r="E1157" s="148"/>
      <c r="F1157" s="169"/>
      <c r="G1157" s="354"/>
      <c r="H1157" s="134"/>
    </row>
    <row r="1158" spans="1:8" x14ac:dyDescent="0.25">
      <c r="A1158" s="140"/>
      <c r="B1158" s="196"/>
      <c r="C1158" s="151"/>
      <c r="D1158" s="212"/>
      <c r="E1158" s="148"/>
      <c r="F1158" s="169"/>
      <c r="G1158" s="367"/>
      <c r="H1158" s="134"/>
    </row>
    <row r="1159" spans="1:8" x14ac:dyDescent="0.25">
      <c r="A1159" s="140"/>
      <c r="B1159" s="155"/>
      <c r="C1159" s="151"/>
      <c r="D1159" s="212"/>
      <c r="E1159" s="148"/>
      <c r="F1159" s="151"/>
      <c r="G1159" s="367"/>
      <c r="H1159" s="134"/>
    </row>
    <row r="1160" spans="1:8" x14ac:dyDescent="0.25">
      <c r="A1160" s="140"/>
      <c r="B1160" s="155"/>
      <c r="C1160" s="151"/>
      <c r="D1160" s="212"/>
      <c r="E1160" s="148"/>
      <c r="F1160" s="151"/>
      <c r="G1160" s="367"/>
      <c r="H1160" s="134"/>
    </row>
    <row r="1161" spans="1:8" x14ac:dyDescent="0.25">
      <c r="A1161" s="140"/>
      <c r="B1161" s="155"/>
      <c r="C1161" s="151"/>
      <c r="D1161" s="212"/>
      <c r="E1161" s="148"/>
      <c r="F1161" s="151"/>
      <c r="G1161" s="367"/>
      <c r="H1161" s="134"/>
    </row>
    <row r="1162" spans="1:8" x14ac:dyDescent="0.25">
      <c r="A1162" s="140"/>
      <c r="B1162" s="155"/>
      <c r="C1162" s="151"/>
      <c r="D1162" s="212"/>
      <c r="E1162" s="148"/>
      <c r="F1162" s="151"/>
      <c r="G1162" s="367"/>
      <c r="H1162" s="134"/>
    </row>
    <row r="1163" spans="1:8" x14ac:dyDescent="0.25">
      <c r="A1163" s="140"/>
      <c r="B1163" s="155"/>
      <c r="C1163" s="151"/>
      <c r="D1163" s="212"/>
      <c r="E1163" s="148"/>
      <c r="F1163" s="151"/>
      <c r="G1163" s="367"/>
      <c r="H1163" s="134"/>
    </row>
    <row r="1164" spans="1:8" x14ac:dyDescent="0.25">
      <c r="A1164" s="140"/>
      <c r="B1164" s="155"/>
      <c r="C1164" s="151"/>
      <c r="D1164" s="212"/>
      <c r="E1164" s="148"/>
      <c r="F1164" s="151"/>
      <c r="G1164" s="367"/>
      <c r="H1164" s="134"/>
    </row>
    <row r="1165" spans="1:8" x14ac:dyDescent="0.25">
      <c r="A1165" s="140"/>
      <c r="B1165" s="155"/>
      <c r="C1165" s="151"/>
      <c r="D1165" s="212"/>
      <c r="E1165" s="148"/>
      <c r="F1165" s="151"/>
      <c r="G1165" s="367"/>
      <c r="H1165" s="134"/>
    </row>
    <row r="1166" spans="1:8" x14ac:dyDescent="0.25">
      <c r="A1166" s="140"/>
      <c r="B1166" s="155"/>
      <c r="C1166" s="152"/>
      <c r="D1166" s="952"/>
      <c r="E1166" s="152"/>
      <c r="F1166" s="151"/>
      <c r="G1166" s="156"/>
      <c r="H1166" s="134"/>
    </row>
    <row r="1167" spans="1:8" ht="15.75" thickBot="1" x14ac:dyDescent="0.3">
      <c r="A1167" s="140"/>
      <c r="B1167" s="155"/>
      <c r="C1167" s="152"/>
      <c r="D1167" s="952"/>
      <c r="E1167" s="152"/>
      <c r="F1167" s="151"/>
      <c r="G1167" s="156"/>
      <c r="H1167" s="134"/>
    </row>
    <row r="1168" spans="1:8" ht="15.75" thickBot="1" x14ac:dyDescent="0.3">
      <c r="A1168" s="140"/>
      <c r="B1168" s="157"/>
      <c r="C1168" s="159"/>
      <c r="D1168" s="953"/>
      <c r="E1168" s="159"/>
      <c r="F1168" s="158"/>
      <c r="G1168" s="160"/>
      <c r="H1168" s="161">
        <f>+SUM(G1156:G1168)</f>
        <v>2077.1543624999999</v>
      </c>
    </row>
    <row r="1169" spans="1:8" ht="15.75" thickBot="1" x14ac:dyDescent="0.3">
      <c r="A1169" s="140"/>
      <c r="B1169" s="162"/>
      <c r="C1169" s="162"/>
      <c r="D1169" s="954"/>
      <c r="E1169" s="162"/>
      <c r="F1169" s="163"/>
      <c r="G1169" s="164"/>
      <c r="H1169" s="165"/>
    </row>
    <row r="1170" spans="1:8" ht="15.75" thickBot="1" x14ac:dyDescent="0.3">
      <c r="A1170" s="183"/>
      <c r="B1170" s="1369" t="s">
        <v>5410</v>
      </c>
      <c r="C1170" s="1363" t="s">
        <v>867</v>
      </c>
      <c r="D1170" s="1120" t="s">
        <v>6</v>
      </c>
      <c r="E1170" s="1363" t="s">
        <v>870</v>
      </c>
      <c r="F1170" s="1363" t="s">
        <v>5411</v>
      </c>
      <c r="G1170" s="1370" t="s">
        <v>868</v>
      </c>
      <c r="H1170" s="1371"/>
    </row>
    <row r="1171" spans="1:8" x14ac:dyDescent="0.25">
      <c r="A1171" s="140"/>
      <c r="B1171" s="201"/>
      <c r="C1171" s="147"/>
      <c r="D1171" s="211"/>
      <c r="E1171" s="148"/>
      <c r="F1171" s="169"/>
      <c r="G1171" s="367">
        <f>+D1171*E1171*(1+F1171)</f>
        <v>0</v>
      </c>
      <c r="H1171" s="134"/>
    </row>
    <row r="1172" spans="1:8" x14ac:dyDescent="0.25">
      <c r="A1172" s="140"/>
      <c r="B1172" s="196"/>
      <c r="C1172" s="151"/>
      <c r="D1172" s="212"/>
      <c r="E1172" s="148"/>
      <c r="F1172" s="147"/>
      <c r="G1172" s="367"/>
      <c r="H1172" s="134"/>
    </row>
    <row r="1173" spans="1:8" x14ac:dyDescent="0.25">
      <c r="A1173" s="140"/>
      <c r="B1173" s="196"/>
      <c r="C1173" s="151"/>
      <c r="D1173" s="212"/>
      <c r="E1173" s="148"/>
      <c r="F1173" s="151"/>
      <c r="G1173" s="367"/>
      <c r="H1173" s="134"/>
    </row>
    <row r="1174" spans="1:8" x14ac:dyDescent="0.25">
      <c r="A1174" s="140"/>
      <c r="B1174" s="155"/>
      <c r="C1174" s="151"/>
      <c r="D1174" s="212"/>
      <c r="E1174" s="148"/>
      <c r="F1174" s="151"/>
      <c r="G1174" s="367"/>
      <c r="H1174" s="134"/>
    </row>
    <row r="1175" spans="1:8" x14ac:dyDescent="0.25">
      <c r="A1175" s="140"/>
      <c r="B1175" s="155"/>
      <c r="C1175" s="151"/>
      <c r="D1175" s="212"/>
      <c r="E1175" s="148"/>
      <c r="F1175" s="151"/>
      <c r="G1175" s="367"/>
      <c r="H1175" s="134"/>
    </row>
    <row r="1176" spans="1:8" ht="15.75" thickBot="1" x14ac:dyDescent="0.3">
      <c r="A1176" s="140"/>
      <c r="B1176" s="155"/>
      <c r="C1176" s="151"/>
      <c r="D1176" s="212"/>
      <c r="E1176" s="148"/>
      <c r="F1176" s="151"/>
      <c r="G1176" s="367"/>
      <c r="H1176" s="134"/>
    </row>
    <row r="1177" spans="1:8" ht="15.75" thickBot="1" x14ac:dyDescent="0.3">
      <c r="A1177" s="140"/>
      <c r="B1177" s="157"/>
      <c r="C1177" s="159"/>
      <c r="D1177" s="953"/>
      <c r="E1177" s="159"/>
      <c r="F1177" s="158"/>
      <c r="G1177" s="160"/>
      <c r="H1177" s="161">
        <f>+SUM(G1171:G1177)</f>
        <v>0</v>
      </c>
    </row>
    <row r="1178" spans="1:8" ht="15.75" thickBot="1" x14ac:dyDescent="0.3">
      <c r="A1178" s="140"/>
      <c r="B1178" s="162"/>
      <c r="C1178" s="162"/>
      <c r="D1178" s="954"/>
      <c r="E1178" s="162"/>
      <c r="F1178" s="173"/>
      <c r="G1178" s="174"/>
      <c r="H1178" s="165"/>
    </row>
    <row r="1179" spans="1:8" ht="15.75" thickBot="1" x14ac:dyDescent="0.3">
      <c r="A1179" s="183"/>
      <c r="B1179" s="1369" t="s">
        <v>5412</v>
      </c>
      <c r="C1179" s="1363" t="s">
        <v>5420</v>
      </c>
      <c r="D1179" s="1120" t="s">
        <v>5421</v>
      </c>
      <c r="E1179" s="1363" t="s">
        <v>5413</v>
      </c>
      <c r="F1179" s="1363" t="s">
        <v>5405</v>
      </c>
      <c r="G1179" s="1370" t="s">
        <v>868</v>
      </c>
      <c r="H1179" s="1371"/>
    </row>
    <row r="1180" spans="1:8" x14ac:dyDescent="0.25">
      <c r="A1180" s="140"/>
      <c r="B1180" s="194"/>
      <c r="C1180" s="345"/>
      <c r="D1180" s="345"/>
      <c r="E1180" s="345"/>
      <c r="F1180" s="202"/>
      <c r="G1180" s="351"/>
      <c r="H1180" s="134"/>
    </row>
    <row r="1181" spans="1:8" x14ac:dyDescent="0.25">
      <c r="A1181" s="140"/>
      <c r="B1181" s="194" t="s">
        <v>5949</v>
      </c>
      <c r="C1181" s="345">
        <f>+VLOOKUP($B1181,'Mano de obra'!$A$5:$D$26,2,FALSE)</f>
        <v>44263.8</v>
      </c>
      <c r="D1181" s="345">
        <f>+VLOOKUP($B1181,'Mano de obra'!$A$5:$D$26,3,FALSE)</f>
        <v>27470</v>
      </c>
      <c r="E1181" s="345">
        <f>+VLOOKUP($B1181,'Mano de obra'!$A$5:$D$26,4,FALSE)</f>
        <v>71733.8</v>
      </c>
      <c r="F1181" s="204">
        <v>5</v>
      </c>
      <c r="G1181" s="351">
        <f>+E1181/F1181</f>
        <v>14346.76</v>
      </c>
      <c r="H1181" s="134"/>
    </row>
    <row r="1182" spans="1:8" x14ac:dyDescent="0.25">
      <c r="A1182" s="140"/>
      <c r="B1182" s="195" t="s">
        <v>5635</v>
      </c>
      <c r="C1182" s="345">
        <f>+VLOOKUP($B1182,'Mano de obra'!$A$5:$D$26,2,FALSE)</f>
        <v>24591</v>
      </c>
      <c r="D1182" s="345">
        <f>+VLOOKUP($B1182,'Mano de obra'!$A$5:$D$26,3,FALSE)</f>
        <v>15261</v>
      </c>
      <c r="E1182" s="345">
        <f>+VLOOKUP($B1182,'Mano de obra'!$A$5:$D$26,4,FALSE)</f>
        <v>39852</v>
      </c>
      <c r="F1182" s="205">
        <v>2</v>
      </c>
      <c r="G1182" s="351">
        <f>+E1182/F1182</f>
        <v>19926</v>
      </c>
      <c r="H1182" s="134"/>
    </row>
    <row r="1183" spans="1:8" x14ac:dyDescent="0.25">
      <c r="A1183" s="140"/>
      <c r="B1183" s="155" t="s">
        <v>5680</v>
      </c>
      <c r="C1183" s="345">
        <f>+VLOOKUP($B1183,'Mano de obra'!$A$5:$D$26,2,FALSE)</f>
        <v>24591</v>
      </c>
      <c r="D1183" s="345">
        <f>+VLOOKUP($B1183,'Mano de obra'!$A$5:$D$26,3,FALSE)</f>
        <v>15261</v>
      </c>
      <c r="E1183" s="345">
        <f>+VLOOKUP($B1183,'Mano de obra'!$A$5:$D$26,4,FALSE)</f>
        <v>39852</v>
      </c>
      <c r="F1183" s="205">
        <v>2</v>
      </c>
      <c r="G1183" s="351">
        <f>+E1183/F1183</f>
        <v>19926</v>
      </c>
      <c r="H1183" s="134"/>
    </row>
    <row r="1184" spans="1:8" x14ac:dyDescent="0.25">
      <c r="A1184" s="140"/>
      <c r="B1184" s="155"/>
      <c r="C1184" s="345"/>
      <c r="D1184" s="345"/>
      <c r="E1184" s="345"/>
      <c r="F1184" s="205"/>
      <c r="G1184" s="351"/>
      <c r="H1184" s="134"/>
    </row>
    <row r="1185" spans="1:8" ht="15.75" thickBot="1" x14ac:dyDescent="0.3">
      <c r="A1185" s="140"/>
      <c r="B1185" s="155"/>
      <c r="C1185" s="152"/>
      <c r="D1185" s="952"/>
      <c r="E1185" s="152"/>
      <c r="F1185" s="151"/>
      <c r="G1185" s="156"/>
      <c r="H1185" s="134"/>
    </row>
    <row r="1186" spans="1:8" ht="15.75" thickBot="1" x14ac:dyDescent="0.3">
      <c r="A1186" s="140"/>
      <c r="B1186" s="179"/>
      <c r="C1186" s="180"/>
      <c r="D1186" s="956"/>
      <c r="E1186" s="180"/>
      <c r="F1186" s="181"/>
      <c r="G1186" s="182"/>
      <c r="H1186" s="161">
        <f>+SUM(G1180:G1186)</f>
        <v>54198.76</v>
      </c>
    </row>
    <row r="1187" spans="1:8" ht="15.75" thickBot="1" x14ac:dyDescent="0.3">
      <c r="A1187" s="140"/>
      <c r="B1187" s="140"/>
      <c r="C1187" s="140"/>
      <c r="D1187" s="529"/>
      <c r="E1187" s="140"/>
      <c r="F1187" s="141"/>
      <c r="G1187" s="134"/>
      <c r="H1187" s="134"/>
    </row>
    <row r="1188" spans="1:8" ht="15.75" thickBot="1" x14ac:dyDescent="0.3">
      <c r="A1188" s="133" t="s">
        <v>6744</v>
      </c>
      <c r="B1188" s="140"/>
      <c r="C1188" s="140"/>
      <c r="D1188" s="529"/>
      <c r="E1188" s="183" t="s">
        <v>5415</v>
      </c>
      <c r="F1188" s="141"/>
      <c r="G1188" s="134"/>
      <c r="H1188" s="992">
        <f>ROUND(+H1153+H1168+H1177+H1186,0)</f>
        <v>138838</v>
      </c>
    </row>
    <row r="1189" spans="1:8" x14ac:dyDescent="0.25">
      <c r="A1189" s="1058"/>
      <c r="B1189" s="1058"/>
      <c r="C1189" s="1058"/>
      <c r="D1189" s="957"/>
      <c r="E1189" s="1058"/>
      <c r="F1189" s="1058"/>
      <c r="G1189" s="1058"/>
      <c r="H1189" s="1058"/>
    </row>
    <row r="1190" spans="1:8" x14ac:dyDescent="0.25">
      <c r="A1190" s="1058"/>
      <c r="B1190" s="1058"/>
      <c r="C1190" s="1058"/>
      <c r="D1190" s="957"/>
      <c r="E1190" s="1058"/>
      <c r="F1190" s="1058"/>
      <c r="G1190" s="1058"/>
      <c r="H1190" s="1058"/>
    </row>
    <row r="1191" spans="1:8" x14ac:dyDescent="0.25">
      <c r="A1191" s="1424" t="s">
        <v>3</v>
      </c>
      <c r="B1191" s="1390" t="str">
        <f>+VLOOKUP(C1191,ListaAPUs!$B:$E,4,FALSE)</f>
        <v>2.7.3</v>
      </c>
      <c r="C1191" s="2450" t="str">
        <f>+ListaAPUs!B48</f>
        <v>Demolición de Estructuras en Concreto reforzado</v>
      </c>
      <c r="D1191" s="2450"/>
      <c r="E1191" s="2450"/>
      <c r="F1191" s="1424" t="s">
        <v>867</v>
      </c>
      <c r="G1191" s="139" t="s">
        <v>5454</v>
      </c>
      <c r="H1191" s="134"/>
    </row>
    <row r="1192" spans="1:8" x14ac:dyDescent="0.25">
      <c r="A1192" s="141"/>
      <c r="B1192" s="140"/>
      <c r="C1192" s="140"/>
      <c r="D1192" s="529"/>
      <c r="E1192" s="140"/>
      <c r="F1192" s="141"/>
      <c r="G1192" s="134"/>
      <c r="H1192" s="134"/>
    </row>
    <row r="1193" spans="1:8" x14ac:dyDescent="0.25">
      <c r="A1193" s="141"/>
      <c r="B1193" s="140"/>
      <c r="C1193" s="140"/>
      <c r="D1193" s="529"/>
      <c r="E1193" s="140"/>
      <c r="F1193" s="141"/>
      <c r="G1193" s="142"/>
      <c r="H1193" s="134"/>
    </row>
    <row r="1194" spans="1:8" ht="15.75" thickBot="1" x14ac:dyDescent="0.3">
      <c r="A1194" s="141"/>
      <c r="B1194" s="140"/>
      <c r="C1194" s="140"/>
      <c r="D1194" s="529"/>
      <c r="E1194" s="140"/>
      <c r="F1194" s="141"/>
      <c r="G1194" s="134"/>
      <c r="H1194" s="134"/>
    </row>
    <row r="1195" spans="1:8" ht="15.75" thickBot="1" x14ac:dyDescent="0.3">
      <c r="A1195" s="1368"/>
      <c r="B1195" s="1369" t="s">
        <v>5403</v>
      </c>
      <c r="C1195" s="1363" t="s">
        <v>867</v>
      </c>
      <c r="D1195" s="1120" t="s">
        <v>6</v>
      </c>
      <c r="E1195" s="1363" t="s">
        <v>5404</v>
      </c>
      <c r="F1195" s="1363" t="s">
        <v>5405</v>
      </c>
      <c r="G1195" s="1370" t="s">
        <v>868</v>
      </c>
      <c r="H1195" s="1371"/>
    </row>
    <row r="1196" spans="1:8" x14ac:dyDescent="0.25">
      <c r="A1196" s="141"/>
      <c r="B1196" s="146" t="s">
        <v>5440</v>
      </c>
      <c r="C1196" s="147" t="s">
        <v>5406</v>
      </c>
      <c r="D1196" s="211"/>
      <c r="E1196" s="148">
        <f>+H1235</f>
        <v>34272.76</v>
      </c>
      <c r="F1196" s="167">
        <v>0.1</v>
      </c>
      <c r="G1196" s="360">
        <f>+E1196*F1196</f>
        <v>3427.2760000000003</v>
      </c>
      <c r="H1196" s="134"/>
    </row>
    <row r="1197" spans="1:8" x14ac:dyDescent="0.25">
      <c r="A1197" s="141"/>
      <c r="B1197" s="154" t="s">
        <v>9052</v>
      </c>
      <c r="C1197" s="151" t="s">
        <v>5407</v>
      </c>
      <c r="D1197" s="212"/>
      <c r="E1197" s="975">
        <f>+VLOOKUP(B1197,Insumos!$A$2:$C$331,3,FALSE)</f>
        <v>73080</v>
      </c>
      <c r="F1197" s="197">
        <v>1</v>
      </c>
      <c r="G1197" s="360">
        <f>+E1197*F1197</f>
        <v>73080</v>
      </c>
      <c r="H1197" s="134"/>
    </row>
    <row r="1198" spans="1:8" x14ac:dyDescent="0.25">
      <c r="A1198" s="141"/>
      <c r="B1198" s="150"/>
      <c r="C1198" s="151"/>
      <c r="D1198" s="212"/>
      <c r="E1198" s="366"/>
      <c r="F1198" s="197"/>
      <c r="G1198" s="360"/>
      <c r="H1198" s="134"/>
    </row>
    <row r="1199" spans="1:8" x14ac:dyDescent="0.25">
      <c r="A1199" s="141"/>
      <c r="B1199" s="155"/>
      <c r="C1199" s="151"/>
      <c r="D1199" s="952"/>
      <c r="E1199" s="152"/>
      <c r="F1199" s="151"/>
      <c r="G1199" s="156"/>
      <c r="H1199" s="134"/>
    </row>
    <row r="1200" spans="1:8" x14ac:dyDescent="0.25">
      <c r="A1200" s="141"/>
      <c r="B1200" s="155"/>
      <c r="C1200" s="151"/>
      <c r="D1200" s="952"/>
      <c r="E1200" s="152"/>
      <c r="F1200" s="151"/>
      <c r="G1200" s="156"/>
      <c r="H1200" s="134"/>
    </row>
    <row r="1201" spans="1:8" ht="15.75" thickBot="1" x14ac:dyDescent="0.3">
      <c r="A1201" s="141"/>
      <c r="B1201" s="155"/>
      <c r="C1201" s="151"/>
      <c r="D1201" s="952"/>
      <c r="E1201" s="152"/>
      <c r="F1201" s="151"/>
      <c r="G1201" s="156"/>
      <c r="H1201" s="134"/>
    </row>
    <row r="1202" spans="1:8" ht="15.75" thickBot="1" x14ac:dyDescent="0.3">
      <c r="A1202" s="141"/>
      <c r="B1202" s="157"/>
      <c r="C1202" s="158"/>
      <c r="D1202" s="953"/>
      <c r="E1202" s="159"/>
      <c r="F1202" s="158"/>
      <c r="G1202" s="160"/>
      <c r="H1202" s="161">
        <f>+SUM(G1196:G1202)</f>
        <v>76507.275999999998</v>
      </c>
    </row>
    <row r="1203" spans="1:8" ht="15.75" thickBot="1" x14ac:dyDescent="0.3">
      <c r="A1203" s="141"/>
      <c r="B1203" s="162"/>
      <c r="C1203" s="163"/>
      <c r="D1203" s="954"/>
      <c r="E1203" s="162"/>
      <c r="F1203" s="163"/>
      <c r="G1203" s="164"/>
      <c r="H1203" s="165"/>
    </row>
    <row r="1204" spans="1:8" ht="15.75" thickBot="1" x14ac:dyDescent="0.3">
      <c r="A1204" s="183"/>
      <c r="B1204" s="1369" t="s">
        <v>5408</v>
      </c>
      <c r="C1204" s="1363" t="s">
        <v>867</v>
      </c>
      <c r="D1204" s="1120" t="s">
        <v>6</v>
      </c>
      <c r="E1204" s="1363" t="s">
        <v>870</v>
      </c>
      <c r="F1204" s="1363" t="s">
        <v>5409</v>
      </c>
      <c r="G1204" s="1370" t="s">
        <v>868</v>
      </c>
      <c r="H1204" s="1371"/>
    </row>
    <row r="1205" spans="1:8" x14ac:dyDescent="0.25">
      <c r="A1205" s="140"/>
      <c r="B1205" s="201"/>
      <c r="C1205" s="147"/>
      <c r="D1205" s="211"/>
      <c r="E1205" s="148"/>
      <c r="F1205" s="169"/>
      <c r="G1205" s="367"/>
      <c r="H1205" s="134"/>
    </row>
    <row r="1206" spans="1:8" x14ac:dyDescent="0.25">
      <c r="A1206" s="140"/>
      <c r="B1206" s="196"/>
      <c r="C1206" s="151"/>
      <c r="D1206" s="212"/>
      <c r="E1206" s="148"/>
      <c r="F1206" s="169"/>
      <c r="G1206" s="354"/>
      <c r="H1206" s="134"/>
    </row>
    <row r="1207" spans="1:8" x14ac:dyDescent="0.25">
      <c r="A1207" s="140"/>
      <c r="B1207" s="196"/>
      <c r="C1207" s="151"/>
      <c r="D1207" s="212"/>
      <c r="E1207" s="148"/>
      <c r="F1207" s="169"/>
      <c r="G1207" s="367"/>
      <c r="H1207" s="134"/>
    </row>
    <row r="1208" spans="1:8" x14ac:dyDescent="0.25">
      <c r="A1208" s="140"/>
      <c r="B1208" s="155"/>
      <c r="C1208" s="151"/>
      <c r="D1208" s="212"/>
      <c r="E1208" s="148"/>
      <c r="F1208" s="151"/>
      <c r="G1208" s="367"/>
      <c r="H1208" s="134"/>
    </row>
    <row r="1209" spans="1:8" x14ac:dyDescent="0.25">
      <c r="A1209" s="140"/>
      <c r="B1209" s="155"/>
      <c r="C1209" s="151"/>
      <c r="D1209" s="212"/>
      <c r="E1209" s="148"/>
      <c r="F1209" s="151"/>
      <c r="G1209" s="367"/>
      <c r="H1209" s="134"/>
    </row>
    <row r="1210" spans="1:8" x14ac:dyDescent="0.25">
      <c r="A1210" s="140"/>
      <c r="B1210" s="155"/>
      <c r="C1210" s="151"/>
      <c r="D1210" s="212"/>
      <c r="E1210" s="148"/>
      <c r="F1210" s="151"/>
      <c r="G1210" s="367"/>
      <c r="H1210" s="134"/>
    </row>
    <row r="1211" spans="1:8" x14ac:dyDescent="0.25">
      <c r="A1211" s="140"/>
      <c r="B1211" s="155"/>
      <c r="C1211" s="151"/>
      <c r="D1211" s="212"/>
      <c r="E1211" s="148"/>
      <c r="F1211" s="151"/>
      <c r="G1211" s="367"/>
      <c r="H1211" s="134"/>
    </row>
    <row r="1212" spans="1:8" x14ac:dyDescent="0.25">
      <c r="A1212" s="140"/>
      <c r="B1212" s="155"/>
      <c r="C1212" s="151"/>
      <c r="D1212" s="212"/>
      <c r="E1212" s="148"/>
      <c r="F1212" s="151"/>
      <c r="G1212" s="367"/>
      <c r="H1212" s="134"/>
    </row>
    <row r="1213" spans="1:8" x14ac:dyDescent="0.25">
      <c r="A1213" s="140"/>
      <c r="B1213" s="155"/>
      <c r="C1213" s="151"/>
      <c r="D1213" s="212"/>
      <c r="E1213" s="148"/>
      <c r="F1213" s="151"/>
      <c r="G1213" s="367"/>
      <c r="H1213" s="134"/>
    </row>
    <row r="1214" spans="1:8" x14ac:dyDescent="0.25">
      <c r="A1214" s="140"/>
      <c r="B1214" s="155"/>
      <c r="C1214" s="151"/>
      <c r="D1214" s="212"/>
      <c r="E1214" s="148"/>
      <c r="F1214" s="151"/>
      <c r="G1214" s="367"/>
      <c r="H1214" s="134"/>
    </row>
    <row r="1215" spans="1:8" x14ac:dyDescent="0.25">
      <c r="A1215" s="140"/>
      <c r="B1215" s="155"/>
      <c r="C1215" s="152"/>
      <c r="D1215" s="952"/>
      <c r="E1215" s="152"/>
      <c r="F1215" s="151"/>
      <c r="G1215" s="156"/>
      <c r="H1215" s="134"/>
    </row>
    <row r="1216" spans="1:8" ht="15.75" thickBot="1" x14ac:dyDescent="0.3">
      <c r="A1216" s="140"/>
      <c r="B1216" s="155"/>
      <c r="C1216" s="152"/>
      <c r="D1216" s="952"/>
      <c r="E1216" s="152"/>
      <c r="F1216" s="151"/>
      <c r="G1216" s="156"/>
      <c r="H1216" s="134"/>
    </row>
    <row r="1217" spans="1:8" ht="15.75" thickBot="1" x14ac:dyDescent="0.3">
      <c r="A1217" s="140"/>
      <c r="B1217" s="157"/>
      <c r="C1217" s="159"/>
      <c r="D1217" s="953"/>
      <c r="E1217" s="159"/>
      <c r="F1217" s="158"/>
      <c r="G1217" s="160"/>
      <c r="H1217" s="161">
        <v>0</v>
      </c>
    </row>
    <row r="1218" spans="1:8" ht="15.75" thickBot="1" x14ac:dyDescent="0.3">
      <c r="A1218" s="140"/>
      <c r="B1218" s="162"/>
      <c r="C1218" s="162"/>
      <c r="D1218" s="954"/>
      <c r="E1218" s="162"/>
      <c r="F1218" s="163"/>
      <c r="G1218" s="164"/>
      <c r="H1218" s="165"/>
    </row>
    <row r="1219" spans="1:8" ht="15.75" thickBot="1" x14ac:dyDescent="0.3">
      <c r="A1219" s="183"/>
      <c r="B1219" s="1369" t="s">
        <v>5410</v>
      </c>
      <c r="C1219" s="1363" t="s">
        <v>867</v>
      </c>
      <c r="D1219" s="1120" t="s">
        <v>6</v>
      </c>
      <c r="E1219" s="1363" t="s">
        <v>870</v>
      </c>
      <c r="F1219" s="1363" t="s">
        <v>5411</v>
      </c>
      <c r="G1219" s="1370" t="s">
        <v>868</v>
      </c>
      <c r="H1219" s="1371"/>
    </row>
    <row r="1220" spans="1:8" x14ac:dyDescent="0.25">
      <c r="A1220" s="140"/>
      <c r="B1220" s="201"/>
      <c r="C1220" s="147"/>
      <c r="D1220" s="211"/>
      <c r="E1220" s="148"/>
      <c r="F1220" s="169"/>
      <c r="G1220" s="367">
        <v>0</v>
      </c>
      <c r="H1220" s="134"/>
    </row>
    <row r="1221" spans="1:8" x14ac:dyDescent="0.25">
      <c r="A1221" s="140"/>
      <c r="B1221" s="196"/>
      <c r="C1221" s="151"/>
      <c r="D1221" s="212"/>
      <c r="E1221" s="148"/>
      <c r="F1221" s="147"/>
      <c r="G1221" s="367"/>
      <c r="H1221" s="134"/>
    </row>
    <row r="1222" spans="1:8" x14ac:dyDescent="0.25">
      <c r="A1222" s="140"/>
      <c r="B1222" s="196"/>
      <c r="C1222" s="151"/>
      <c r="D1222" s="212"/>
      <c r="E1222" s="148"/>
      <c r="F1222" s="151"/>
      <c r="G1222" s="367"/>
      <c r="H1222" s="134"/>
    </row>
    <row r="1223" spans="1:8" x14ac:dyDescent="0.25">
      <c r="A1223" s="140"/>
      <c r="B1223" s="155"/>
      <c r="C1223" s="151"/>
      <c r="D1223" s="212"/>
      <c r="E1223" s="148"/>
      <c r="F1223" s="151"/>
      <c r="G1223" s="367"/>
      <c r="H1223" s="134"/>
    </row>
    <row r="1224" spans="1:8" x14ac:dyDescent="0.25">
      <c r="A1224" s="140"/>
      <c r="B1224" s="155"/>
      <c r="C1224" s="151"/>
      <c r="D1224" s="212"/>
      <c r="E1224" s="148"/>
      <c r="F1224" s="151"/>
      <c r="G1224" s="367"/>
      <c r="H1224" s="134"/>
    </row>
    <row r="1225" spans="1:8" ht="15.75" thickBot="1" x14ac:dyDescent="0.3">
      <c r="A1225" s="140"/>
      <c r="B1225" s="155"/>
      <c r="C1225" s="151"/>
      <c r="D1225" s="212"/>
      <c r="E1225" s="148"/>
      <c r="F1225" s="151"/>
      <c r="G1225" s="367"/>
      <c r="H1225" s="134"/>
    </row>
    <row r="1226" spans="1:8" ht="15.75" thickBot="1" x14ac:dyDescent="0.3">
      <c r="A1226" s="140"/>
      <c r="B1226" s="157"/>
      <c r="C1226" s="159"/>
      <c r="D1226" s="953"/>
      <c r="E1226" s="159"/>
      <c r="F1226" s="158"/>
      <c r="G1226" s="160"/>
      <c r="H1226" s="161">
        <v>0</v>
      </c>
    </row>
    <row r="1227" spans="1:8" ht="15.75" thickBot="1" x14ac:dyDescent="0.3">
      <c r="A1227" s="140"/>
      <c r="B1227" s="162"/>
      <c r="C1227" s="162"/>
      <c r="D1227" s="954"/>
      <c r="E1227" s="162"/>
      <c r="F1227" s="173"/>
      <c r="G1227" s="174"/>
      <c r="H1227" s="165"/>
    </row>
    <row r="1228" spans="1:8" ht="15.75" thickBot="1" x14ac:dyDescent="0.3">
      <c r="A1228" s="183"/>
      <c r="B1228" s="1369" t="s">
        <v>5412</v>
      </c>
      <c r="C1228" s="1363" t="s">
        <v>5420</v>
      </c>
      <c r="D1228" s="1120" t="s">
        <v>5421</v>
      </c>
      <c r="E1228" s="1363" t="s">
        <v>5413</v>
      </c>
      <c r="F1228" s="1363" t="s">
        <v>5405</v>
      </c>
      <c r="G1228" s="1370" t="s">
        <v>868</v>
      </c>
      <c r="H1228" s="1371"/>
    </row>
    <row r="1229" spans="1:8" x14ac:dyDescent="0.25">
      <c r="A1229" s="140"/>
      <c r="B1229" s="194"/>
      <c r="C1229" s="345"/>
      <c r="D1229" s="345"/>
      <c r="E1229" s="345"/>
      <c r="F1229" s="202"/>
      <c r="G1229" s="351"/>
      <c r="H1229" s="134"/>
    </row>
    <row r="1230" spans="1:8" x14ac:dyDescent="0.25">
      <c r="A1230" s="140"/>
      <c r="B1230" s="194" t="s">
        <v>5949</v>
      </c>
      <c r="C1230" s="345">
        <f>+VLOOKUP($B1230,'Mano de obra'!$A$5:$D$26,2,FALSE)</f>
        <v>44263.8</v>
      </c>
      <c r="D1230" s="345">
        <f>+VLOOKUP($B1230,'Mano de obra'!$A$5:$D$26,3,FALSE)</f>
        <v>27470</v>
      </c>
      <c r="E1230" s="345">
        <f>+VLOOKUP($B1230,'Mano de obra'!$A$5:$D$26,4,FALSE)</f>
        <v>71733.8</v>
      </c>
      <c r="F1230" s="204">
        <v>5</v>
      </c>
      <c r="G1230" s="351">
        <f>+E1230/F1230</f>
        <v>14346.76</v>
      </c>
      <c r="H1230" s="134"/>
    </row>
    <row r="1231" spans="1:8" x14ac:dyDescent="0.25">
      <c r="A1231" s="140"/>
      <c r="B1231" s="195" t="s">
        <v>5635</v>
      </c>
      <c r="C1231" s="345">
        <f>+VLOOKUP($B1231,'Mano de obra'!$A$5:$D$26,2,FALSE)</f>
        <v>24591</v>
      </c>
      <c r="D1231" s="345">
        <f>+VLOOKUP($B1231,'Mano de obra'!$A$5:$D$26,3,FALSE)</f>
        <v>15261</v>
      </c>
      <c r="E1231" s="345">
        <f>+VLOOKUP($B1231,'Mano de obra'!$A$5:$D$26,4,FALSE)</f>
        <v>39852</v>
      </c>
      <c r="F1231" s="205">
        <v>2</v>
      </c>
      <c r="G1231" s="351">
        <f>+E1231/F1231</f>
        <v>19926</v>
      </c>
      <c r="H1231" s="134"/>
    </row>
    <row r="1232" spans="1:8" x14ac:dyDescent="0.25">
      <c r="A1232" s="140"/>
      <c r="B1232" s="155"/>
      <c r="C1232" s="345"/>
      <c r="D1232" s="345"/>
      <c r="E1232" s="345"/>
      <c r="F1232" s="205"/>
      <c r="G1232" s="351"/>
      <c r="H1232" s="134"/>
    </row>
    <row r="1233" spans="1:8" x14ac:dyDescent="0.25">
      <c r="A1233" s="140"/>
      <c r="B1233" s="155"/>
      <c r="C1233" s="152"/>
      <c r="D1233" s="952"/>
      <c r="E1233" s="152"/>
      <c r="F1233" s="151"/>
      <c r="G1233" s="156"/>
      <c r="H1233" s="134"/>
    </row>
    <row r="1234" spans="1:8" ht="15.75" thickBot="1" x14ac:dyDescent="0.3">
      <c r="A1234" s="140"/>
      <c r="B1234" s="155"/>
      <c r="C1234" s="152"/>
      <c r="D1234" s="952"/>
      <c r="E1234" s="152"/>
      <c r="F1234" s="151"/>
      <c r="G1234" s="156"/>
      <c r="H1234" s="134"/>
    </row>
    <row r="1235" spans="1:8" ht="15.75" thickBot="1" x14ac:dyDescent="0.3">
      <c r="A1235" s="140"/>
      <c r="B1235" s="179"/>
      <c r="C1235" s="180"/>
      <c r="D1235" s="956"/>
      <c r="E1235" s="180"/>
      <c r="F1235" s="181"/>
      <c r="G1235" s="182"/>
      <c r="H1235" s="161">
        <f>+SUM(G1229:G1235)</f>
        <v>34272.76</v>
      </c>
    </row>
    <row r="1236" spans="1:8" ht="15.75" thickBot="1" x14ac:dyDescent="0.3">
      <c r="A1236" s="140"/>
      <c r="B1236" s="140"/>
      <c r="C1236" s="140"/>
      <c r="D1236" s="529"/>
      <c r="E1236" s="140"/>
      <c r="F1236" s="141"/>
      <c r="G1236" s="134"/>
      <c r="H1236" s="134"/>
    </row>
    <row r="1237" spans="1:8" ht="15.75" thickBot="1" x14ac:dyDescent="0.3">
      <c r="A1237" s="133" t="s">
        <v>6744</v>
      </c>
      <c r="B1237" s="140"/>
      <c r="C1237" s="140"/>
      <c r="D1237" s="529"/>
      <c r="E1237" s="183" t="s">
        <v>5415</v>
      </c>
      <c r="F1237" s="141"/>
      <c r="G1237" s="134"/>
      <c r="H1237" s="161">
        <f>+ROUND(SUM(H1235,H1226,H1217,H1202),0)</f>
        <v>110780</v>
      </c>
    </row>
    <row r="1238" spans="1:8" x14ac:dyDescent="0.25">
      <c r="A1238" s="8"/>
      <c r="B1238" s="8"/>
      <c r="C1238" s="8"/>
      <c r="D1238" s="529"/>
      <c r="E1238" s="8"/>
      <c r="F1238" s="133"/>
      <c r="G1238" s="8"/>
      <c r="H1238" s="8"/>
    </row>
    <row r="1239" spans="1:8" x14ac:dyDescent="0.25">
      <c r="A1239" s="1058"/>
      <c r="B1239" s="1058"/>
      <c r="C1239" s="1058"/>
      <c r="D1239" s="957"/>
      <c r="E1239" s="1058"/>
      <c r="F1239" s="1058"/>
      <c r="G1239" s="1058"/>
      <c r="H1239" s="1058"/>
    </row>
    <row r="1240" spans="1:8" x14ac:dyDescent="0.25">
      <c r="A1240" s="1058"/>
      <c r="B1240" s="1058"/>
      <c r="C1240" s="1058"/>
      <c r="D1240" s="957"/>
      <c r="E1240" s="1058"/>
      <c r="F1240" s="1058"/>
      <c r="G1240" s="1058"/>
      <c r="H1240" s="1058"/>
    </row>
    <row r="1241" spans="1:8" ht="38.25" customHeight="1" x14ac:dyDescent="0.25">
      <c r="A1241" s="673" t="s">
        <v>5482</v>
      </c>
      <c r="B1241" s="1390" t="str">
        <f>+VLOOKUP(C1241,ListaAPUs!$B:$E,4,FALSE)</f>
        <v>3.1.1</v>
      </c>
      <c r="C1241" s="2449" t="str">
        <f>+ListaAPUs!B54</f>
        <v>CONCRETO SIMPLE RESIST. 14.0 Mpa (140Kg/cm2, ) PRODUCCION Y VACIADO</v>
      </c>
      <c r="D1241" s="2449"/>
      <c r="E1241" s="2449"/>
      <c r="F1241" s="673" t="s">
        <v>867</v>
      </c>
      <c r="G1241" s="342" t="s">
        <v>5454</v>
      </c>
      <c r="H1241" s="341"/>
    </row>
    <row r="1242" spans="1:8" x14ac:dyDescent="0.25">
      <c r="A1242" s="133"/>
      <c r="B1242" s="8"/>
      <c r="C1242" s="223"/>
      <c r="D1242" s="958"/>
      <c r="E1242" s="223"/>
      <c r="F1242" s="133"/>
      <c r="G1242" s="341"/>
      <c r="H1242" s="341"/>
    </row>
    <row r="1243" spans="1:8" x14ac:dyDescent="0.25">
      <c r="A1243" s="133"/>
      <c r="B1243" s="8"/>
      <c r="C1243" s="8"/>
      <c r="D1243" s="529"/>
      <c r="E1243" s="8"/>
      <c r="F1243" s="8"/>
      <c r="G1243" s="8"/>
      <c r="H1243" s="341"/>
    </row>
    <row r="1244" spans="1:8" ht="15.75" thickBot="1" x14ac:dyDescent="0.3">
      <c r="A1244" s="133"/>
      <c r="B1244" s="8"/>
      <c r="C1244" s="8"/>
      <c r="D1244" s="529"/>
      <c r="E1244" s="8"/>
      <c r="F1244" s="133"/>
      <c r="G1244" s="341"/>
      <c r="H1244" s="341"/>
    </row>
    <row r="1245" spans="1:8" ht="15.75" thickBot="1" x14ac:dyDescent="0.3">
      <c r="A1245" s="1384"/>
      <c r="B1245" s="1114" t="s">
        <v>5403</v>
      </c>
      <c r="C1245" s="1117" t="s">
        <v>867</v>
      </c>
      <c r="D1245" s="1120" t="s">
        <v>6</v>
      </c>
      <c r="E1245" s="1117" t="s">
        <v>5439</v>
      </c>
      <c r="F1245" s="1117" t="s">
        <v>5405</v>
      </c>
      <c r="G1245" s="1385" t="s">
        <v>868</v>
      </c>
      <c r="H1245" s="1386"/>
    </row>
    <row r="1246" spans="1:8" x14ac:dyDescent="0.25">
      <c r="A1246" s="133"/>
      <c r="B1246" s="195" t="s">
        <v>5440</v>
      </c>
      <c r="C1246" s="1534" t="s">
        <v>5406</v>
      </c>
      <c r="D1246" s="212">
        <v>1</v>
      </c>
      <c r="E1246" s="228">
        <f>+H1284</f>
        <v>100970.90000000001</v>
      </c>
      <c r="F1246" s="226">
        <v>0.05</v>
      </c>
      <c r="G1246" s="344">
        <f>+E1246*F1246</f>
        <v>5048.545000000001</v>
      </c>
      <c r="H1246" s="341"/>
    </row>
    <row r="1247" spans="1:8" x14ac:dyDescent="0.25">
      <c r="A1247" s="133"/>
      <c r="B1247" s="195" t="s">
        <v>5548</v>
      </c>
      <c r="C1247" s="1537" t="s">
        <v>5407</v>
      </c>
      <c r="D1247" s="212">
        <v>1</v>
      </c>
      <c r="E1247" s="975">
        <f>+VLOOKUP(B1247,Insumos!$A$2:$C$331,3,FALSE)</f>
        <v>9001.6</v>
      </c>
      <c r="F1247" s="226">
        <v>0.6</v>
      </c>
      <c r="G1247" s="344">
        <f>+E1247*F1247</f>
        <v>5400.96</v>
      </c>
      <c r="H1247" s="341"/>
    </row>
    <row r="1248" spans="1:8" x14ac:dyDescent="0.25">
      <c r="A1248" s="133"/>
      <c r="B1248" s="195"/>
      <c r="C1248" s="226"/>
      <c r="D1248" s="212"/>
      <c r="E1248" s="345"/>
      <c r="F1248" s="226"/>
      <c r="G1248" s="344"/>
      <c r="H1248" s="341"/>
    </row>
    <row r="1249" spans="1:8" x14ac:dyDescent="0.25">
      <c r="A1249" s="133"/>
      <c r="B1249" s="195"/>
      <c r="C1249" s="226"/>
      <c r="D1249" s="212"/>
      <c r="E1249" s="346"/>
      <c r="F1249" s="226"/>
      <c r="G1249" s="344"/>
      <c r="H1249" s="341"/>
    </row>
    <row r="1250" spans="1:8" x14ac:dyDescent="0.25">
      <c r="A1250" s="133"/>
      <c r="B1250" s="195"/>
      <c r="C1250" s="226"/>
      <c r="D1250" s="952"/>
      <c r="E1250" s="232"/>
      <c r="F1250" s="226"/>
      <c r="G1250" s="344"/>
      <c r="H1250" s="341"/>
    </row>
    <row r="1251" spans="1:8" ht="15.75" thickBot="1" x14ac:dyDescent="0.3">
      <c r="A1251" s="133"/>
      <c r="B1251" s="195"/>
      <c r="C1251" s="226"/>
      <c r="D1251" s="952"/>
      <c r="E1251" s="232"/>
      <c r="F1251" s="226"/>
      <c r="G1251" s="344"/>
      <c r="H1251" s="341"/>
    </row>
    <row r="1252" spans="1:8" ht="15.75" thickBot="1" x14ac:dyDescent="0.3">
      <c r="A1252" s="133"/>
      <c r="B1252" s="233"/>
      <c r="C1252" s="234"/>
      <c r="D1252" s="953"/>
      <c r="E1252" s="234"/>
      <c r="F1252" s="235"/>
      <c r="G1252" s="347"/>
      <c r="H1252" s="348">
        <f>+SUM(G1246:G1252)</f>
        <v>10449.505000000001</v>
      </c>
    </row>
    <row r="1253" spans="1:8" ht="15.75" thickBot="1" x14ac:dyDescent="0.3">
      <c r="A1253" s="133"/>
      <c r="B1253" s="238"/>
      <c r="C1253" s="238"/>
      <c r="D1253" s="954"/>
      <c r="E1253" s="238"/>
      <c r="F1253" s="239"/>
      <c r="G1253" s="349"/>
      <c r="H1253" s="350"/>
    </row>
    <row r="1254" spans="1:8" ht="15.75" thickBot="1" x14ac:dyDescent="0.3">
      <c r="A1254" s="1384"/>
      <c r="B1254" s="1114" t="s">
        <v>5408</v>
      </c>
      <c r="C1254" s="1117" t="s">
        <v>867</v>
      </c>
      <c r="D1254" s="1120" t="s">
        <v>6</v>
      </c>
      <c r="E1254" s="1117" t="s">
        <v>870</v>
      </c>
      <c r="F1254" s="1117" t="s">
        <v>5409</v>
      </c>
      <c r="G1254" s="1385" t="s">
        <v>868</v>
      </c>
      <c r="H1254" s="1386"/>
    </row>
    <row r="1255" spans="1:8" x14ac:dyDescent="0.25">
      <c r="A1255" s="133"/>
      <c r="B1255" s="242" t="s">
        <v>5549</v>
      </c>
      <c r="C1255" s="202" t="s">
        <v>5550</v>
      </c>
      <c r="D1255" s="212">
        <v>260</v>
      </c>
      <c r="E1255" s="975">
        <f>+VLOOKUP(B1255,Insumos!$A$2:$C$331,3,FALSE)</f>
        <v>470</v>
      </c>
      <c r="F1255" s="169">
        <v>0.05</v>
      </c>
      <c r="G1255" s="351">
        <f>+D1255*E1255*(1+F1255)</f>
        <v>128310</v>
      </c>
      <c r="H1255" s="341"/>
    </row>
    <row r="1256" spans="1:8" x14ac:dyDescent="0.25">
      <c r="A1256" s="133"/>
      <c r="B1256" s="243" t="s">
        <v>5551</v>
      </c>
      <c r="C1256" s="202" t="s">
        <v>5542</v>
      </c>
      <c r="D1256" s="211">
        <v>0.625</v>
      </c>
      <c r="E1256" s="975">
        <f>+VLOOKUP(B1256,Insumos!$A$2:$C$331,3,FALSE)</f>
        <v>99611</v>
      </c>
      <c r="F1256" s="169">
        <v>0.05</v>
      </c>
      <c r="G1256" s="351">
        <f>+D1256*E1256*(1+F1256)</f>
        <v>65369.71875</v>
      </c>
      <c r="H1256" s="341"/>
    </row>
    <row r="1257" spans="1:8" x14ac:dyDescent="0.25">
      <c r="A1257" s="133"/>
      <c r="B1257" s="243" t="s">
        <v>5552</v>
      </c>
      <c r="C1257" s="226" t="s">
        <v>5542</v>
      </c>
      <c r="D1257" s="212">
        <v>0.83499999999999996</v>
      </c>
      <c r="E1257" s="975">
        <f>+VLOOKUP(B1257,Insumos!$A$2:$C$331,3,FALSE)</f>
        <v>99527.7</v>
      </c>
      <c r="F1257" s="169">
        <v>0.05</v>
      </c>
      <c r="G1257" s="351">
        <f>+D1257*E1257*(1+F1257)</f>
        <v>87260.910975000006</v>
      </c>
      <c r="H1257" s="341"/>
    </row>
    <row r="1258" spans="1:8" x14ac:dyDescent="0.25">
      <c r="A1258" s="133"/>
      <c r="B1258" s="194" t="s">
        <v>5553</v>
      </c>
      <c r="C1258" s="226" t="s">
        <v>5488</v>
      </c>
      <c r="D1258" s="212">
        <f>260*175/350</f>
        <v>130</v>
      </c>
      <c r="E1258" s="975">
        <f>+VLOOKUP(B1258,Insumos!$A$2:$C$331,3,FALSE)</f>
        <v>30</v>
      </c>
      <c r="F1258" s="169">
        <v>0</v>
      </c>
      <c r="G1258" s="351">
        <f>+D1258*E1258*(1+F1258)</f>
        <v>3900</v>
      </c>
      <c r="H1258" s="341"/>
    </row>
    <row r="1259" spans="1:8" x14ac:dyDescent="0.25">
      <c r="A1259" s="133"/>
      <c r="B1259" s="195"/>
      <c r="C1259" s="226"/>
      <c r="D1259" s="212"/>
      <c r="E1259" s="345"/>
      <c r="F1259" s="169"/>
      <c r="G1259" s="351"/>
      <c r="H1259" s="341"/>
    </row>
    <row r="1260" spans="1:8" x14ac:dyDescent="0.25">
      <c r="A1260" s="133"/>
      <c r="B1260" s="194"/>
      <c r="C1260" s="202"/>
      <c r="D1260" s="211"/>
      <c r="E1260" s="345"/>
      <c r="F1260" s="169"/>
      <c r="G1260" s="351"/>
      <c r="H1260" s="341"/>
    </row>
    <row r="1261" spans="1:8" x14ac:dyDescent="0.25">
      <c r="A1261" s="133"/>
      <c r="B1261" s="195"/>
      <c r="C1261" s="226"/>
      <c r="D1261" s="212"/>
      <c r="E1261" s="345"/>
      <c r="F1261" s="169"/>
      <c r="G1261" s="351"/>
      <c r="H1261" s="341"/>
    </row>
    <row r="1262" spans="1:8" x14ac:dyDescent="0.25">
      <c r="A1262" s="133"/>
      <c r="B1262" s="195"/>
      <c r="C1262" s="226"/>
      <c r="D1262" s="212"/>
      <c r="E1262" s="345"/>
      <c r="F1262" s="169"/>
      <c r="G1262" s="351"/>
      <c r="H1262" s="341"/>
    </row>
    <row r="1263" spans="1:8" x14ac:dyDescent="0.25">
      <c r="A1263" s="133"/>
      <c r="B1263" s="195"/>
      <c r="C1263" s="232"/>
      <c r="D1263" s="952"/>
      <c r="E1263" s="232"/>
      <c r="F1263" s="226"/>
      <c r="G1263" s="344"/>
      <c r="H1263" s="341"/>
    </row>
    <row r="1264" spans="1:8" x14ac:dyDescent="0.25">
      <c r="A1264" s="133"/>
      <c r="B1264" s="195"/>
      <c r="C1264" s="232"/>
      <c r="D1264" s="952"/>
      <c r="E1264" s="232"/>
      <c r="F1264" s="226"/>
      <c r="G1264" s="344"/>
      <c r="H1264" s="341"/>
    </row>
    <row r="1265" spans="1:8" x14ac:dyDescent="0.25">
      <c r="A1265" s="133"/>
      <c r="B1265" s="195"/>
      <c r="C1265" s="232"/>
      <c r="D1265" s="952"/>
      <c r="E1265" s="232"/>
      <c r="F1265" s="226"/>
      <c r="G1265" s="344"/>
      <c r="H1265" s="341"/>
    </row>
    <row r="1266" spans="1:8" ht="15.75" thickBot="1" x14ac:dyDescent="0.3">
      <c r="A1266" s="133"/>
      <c r="B1266" s="195"/>
      <c r="C1266" s="232"/>
      <c r="D1266" s="952"/>
      <c r="E1266" s="232"/>
      <c r="F1266" s="226"/>
      <c r="G1266" s="344"/>
      <c r="H1266" s="341"/>
    </row>
    <row r="1267" spans="1:8" ht="15.75" thickBot="1" x14ac:dyDescent="0.3">
      <c r="A1267" s="133"/>
      <c r="B1267" s="233"/>
      <c r="C1267" s="234"/>
      <c r="D1267" s="953"/>
      <c r="E1267" s="234"/>
      <c r="F1267" s="235"/>
      <c r="G1267" s="347"/>
      <c r="H1267" s="348">
        <f>+SUM(G1255:G1267)</f>
        <v>284840.62972500001</v>
      </c>
    </row>
    <row r="1268" spans="1:8" ht="15.75" thickBot="1" x14ac:dyDescent="0.3">
      <c r="A1268" s="133"/>
      <c r="B1268" s="238"/>
      <c r="C1268" s="238"/>
      <c r="D1268" s="954"/>
      <c r="E1268" s="238"/>
      <c r="F1268" s="239"/>
      <c r="G1268" s="349"/>
      <c r="H1268" s="350"/>
    </row>
    <row r="1269" spans="1:8" ht="15.75" thickBot="1" x14ac:dyDescent="0.3">
      <c r="A1269" s="1384"/>
      <c r="B1269" s="1114" t="s">
        <v>5410</v>
      </c>
      <c r="C1269" s="1117" t="s">
        <v>867</v>
      </c>
      <c r="D1269" s="1120" t="s">
        <v>6</v>
      </c>
      <c r="E1269" s="1117" t="s">
        <v>870</v>
      </c>
      <c r="F1269" s="1117" t="s">
        <v>5411</v>
      </c>
      <c r="G1269" s="1385" t="s">
        <v>868</v>
      </c>
      <c r="H1269" s="1386"/>
    </row>
    <row r="1270" spans="1:8" x14ac:dyDescent="0.25">
      <c r="A1270" s="133"/>
      <c r="B1270" s="245"/>
      <c r="C1270" s="202"/>
      <c r="D1270" s="211"/>
      <c r="E1270" s="353"/>
      <c r="F1270" s="202"/>
      <c r="G1270" s="354"/>
      <c r="H1270" s="355"/>
    </row>
    <row r="1271" spans="1:8" x14ac:dyDescent="0.25">
      <c r="A1271" s="133"/>
      <c r="B1271" s="247"/>
      <c r="C1271" s="248"/>
      <c r="D1271" s="961"/>
      <c r="E1271" s="248"/>
      <c r="F1271" s="202"/>
      <c r="G1271" s="351"/>
      <c r="H1271" s="341"/>
    </row>
    <row r="1272" spans="1:8" x14ac:dyDescent="0.25">
      <c r="A1272" s="133"/>
      <c r="B1272" s="247"/>
      <c r="C1272" s="232"/>
      <c r="D1272" s="952"/>
      <c r="E1272" s="232"/>
      <c r="F1272" s="226"/>
      <c r="G1272" s="344"/>
      <c r="H1272" s="341"/>
    </row>
    <row r="1273" spans="1:8" x14ac:dyDescent="0.25">
      <c r="A1273" s="133"/>
      <c r="B1273" s="194"/>
      <c r="C1273" s="232"/>
      <c r="D1273" s="952"/>
      <c r="E1273" s="232"/>
      <c r="F1273" s="226"/>
      <c r="G1273" s="344"/>
      <c r="H1273" s="341"/>
    </row>
    <row r="1274" spans="1:8" ht="15.75" thickBot="1" x14ac:dyDescent="0.3">
      <c r="A1274" s="133"/>
      <c r="B1274" s="195"/>
      <c r="C1274" s="232"/>
      <c r="D1274" s="952"/>
      <c r="E1274" s="232"/>
      <c r="F1274" s="226"/>
      <c r="G1274" s="344"/>
      <c r="H1274" s="341"/>
    </row>
    <row r="1275" spans="1:8" ht="15.75" thickBot="1" x14ac:dyDescent="0.3">
      <c r="A1275" s="133"/>
      <c r="B1275" s="233"/>
      <c r="C1275" s="234"/>
      <c r="D1275" s="953"/>
      <c r="E1275" s="234"/>
      <c r="F1275" s="235"/>
      <c r="G1275" s="347"/>
      <c r="H1275" s="348">
        <f>+SUM(G1270:G1275)</f>
        <v>0</v>
      </c>
    </row>
    <row r="1276" spans="1:8" ht="15.75" thickBot="1" x14ac:dyDescent="0.3">
      <c r="A1276" s="133"/>
      <c r="B1276" s="238"/>
      <c r="C1276" s="238"/>
      <c r="D1276" s="954"/>
      <c r="E1276" s="238"/>
      <c r="F1276" s="249"/>
      <c r="G1276" s="356"/>
      <c r="H1276" s="350"/>
    </row>
    <row r="1277" spans="1:8" ht="15.75" thickBot="1" x14ac:dyDescent="0.3">
      <c r="A1277" s="1384"/>
      <c r="B1277" s="1114" t="s">
        <v>5412</v>
      </c>
      <c r="C1277" s="1117" t="s">
        <v>5420</v>
      </c>
      <c r="D1277" s="1120" t="s">
        <v>5421</v>
      </c>
      <c r="E1277" s="1117" t="s">
        <v>5413</v>
      </c>
      <c r="F1277" s="1117" t="s">
        <v>5405</v>
      </c>
      <c r="G1277" s="1385" t="s">
        <v>868</v>
      </c>
      <c r="H1277" s="1386"/>
    </row>
    <row r="1278" spans="1:8" x14ac:dyDescent="0.25">
      <c r="A1278" s="133"/>
      <c r="B1278" s="194" t="s">
        <v>5948</v>
      </c>
      <c r="C1278" s="345">
        <f>+VLOOKUP($B1278,'Mano de obra'!$A$5:$D$26,2,FALSE)</f>
        <v>57455</v>
      </c>
      <c r="D1278" s="345">
        <f>+VLOOKUP($B1278,'Mano de obra'!$A$5:$D$26,3,FALSE)</f>
        <v>35656</v>
      </c>
      <c r="E1278" s="345">
        <f>+VLOOKUP($B1278,'Mano de obra'!$A$5:$D$26,4,FALSE)</f>
        <v>93111</v>
      </c>
      <c r="F1278" s="209">
        <v>10</v>
      </c>
      <c r="G1278" s="351">
        <f>+E1278/F1278</f>
        <v>9311.1</v>
      </c>
      <c r="H1278" s="341"/>
    </row>
    <row r="1279" spans="1:8" x14ac:dyDescent="0.25">
      <c r="A1279" s="133"/>
      <c r="B1279" s="194" t="s">
        <v>5949</v>
      </c>
      <c r="C1279" s="345">
        <f>+VLOOKUP($B1279,'Mano de obra'!$A$5:$D$26,2,FALSE)</f>
        <v>44263.8</v>
      </c>
      <c r="D1279" s="345">
        <f>+VLOOKUP($B1279,'Mano de obra'!$A$5:$D$26,3,FALSE)</f>
        <v>27470</v>
      </c>
      <c r="E1279" s="345">
        <f>+VLOOKUP($B1279,'Mano de obra'!$A$5:$D$26,4,FALSE)</f>
        <v>71733.8</v>
      </c>
      <c r="F1279" s="202">
        <v>1</v>
      </c>
      <c r="G1279" s="351">
        <f>+E1279/F1279</f>
        <v>71733.8</v>
      </c>
      <c r="H1279" s="341"/>
    </row>
    <row r="1280" spans="1:8" x14ac:dyDescent="0.25">
      <c r="A1280" s="133"/>
      <c r="B1280" s="195" t="s">
        <v>5635</v>
      </c>
      <c r="C1280" s="345">
        <f>+VLOOKUP($B1280,'Mano de obra'!$A$5:$D$26,2,FALSE)</f>
        <v>24591</v>
      </c>
      <c r="D1280" s="345">
        <f>+VLOOKUP($B1280,'Mano de obra'!$A$5:$D$26,3,FALSE)</f>
        <v>15261</v>
      </c>
      <c r="E1280" s="345">
        <f>+VLOOKUP($B1280,'Mano de obra'!$A$5:$D$26,4,FALSE)</f>
        <v>39852</v>
      </c>
      <c r="F1280" s="226">
        <v>2</v>
      </c>
      <c r="G1280" s="351">
        <f>+E1280/F1280</f>
        <v>19926</v>
      </c>
      <c r="H1280" s="341"/>
    </row>
    <row r="1281" spans="1:8" x14ac:dyDescent="0.25">
      <c r="A1281" s="133"/>
      <c r="B1281" s="195"/>
      <c r="C1281" s="346"/>
      <c r="D1281" s="955"/>
      <c r="E1281" s="345"/>
      <c r="F1281" s="226"/>
      <c r="G1281" s="351"/>
      <c r="H1281" s="341"/>
    </row>
    <row r="1282" spans="1:8" x14ac:dyDescent="0.25">
      <c r="A1282" s="133"/>
      <c r="B1282" s="195"/>
      <c r="C1282" s="232"/>
      <c r="D1282" s="952"/>
      <c r="E1282" s="232"/>
      <c r="F1282" s="226"/>
      <c r="G1282" s="344"/>
      <c r="H1282" s="341"/>
    </row>
    <row r="1283" spans="1:8" ht="15.75" thickBot="1" x14ac:dyDescent="0.3">
      <c r="A1283" s="133"/>
      <c r="B1283" s="195"/>
      <c r="C1283" s="232"/>
      <c r="D1283" s="952"/>
      <c r="E1283" s="232"/>
      <c r="F1283" s="226"/>
      <c r="G1283" s="344"/>
      <c r="H1283" s="341"/>
    </row>
    <row r="1284" spans="1:8" ht="15.75" thickBot="1" x14ac:dyDescent="0.3">
      <c r="A1284" s="133"/>
      <c r="B1284" s="251"/>
      <c r="C1284" s="252"/>
      <c r="D1284" s="956"/>
      <c r="E1284" s="252"/>
      <c r="F1284" s="253"/>
      <c r="G1284" s="357"/>
      <c r="H1284" s="348">
        <f>+SUM(G1278:G1284)</f>
        <v>100970.90000000001</v>
      </c>
    </row>
    <row r="1285" spans="1:8" ht="15.75" thickBot="1" x14ac:dyDescent="0.3">
      <c r="A1285" s="133"/>
      <c r="B1285" s="8"/>
      <c r="C1285" s="8"/>
      <c r="D1285" s="529"/>
      <c r="E1285" s="8"/>
      <c r="F1285" s="133"/>
      <c r="G1285" s="341"/>
      <c r="H1285" s="341"/>
    </row>
    <row r="1286" spans="1:8" ht="15.75" thickBot="1" x14ac:dyDescent="0.3">
      <c r="A1286" s="133" t="s">
        <v>6744</v>
      </c>
      <c r="B1286" s="140"/>
      <c r="C1286" s="140"/>
      <c r="D1286" s="529"/>
      <c r="E1286" s="183" t="s">
        <v>5415</v>
      </c>
      <c r="F1286" s="133"/>
      <c r="G1286" s="341"/>
      <c r="H1286" s="348">
        <f>+ROUND(H1284+H1275+H1267+H1252,0)</f>
        <v>396261</v>
      </c>
    </row>
    <row r="1287" spans="1:8" x14ac:dyDescent="0.25">
      <c r="A1287" s="1058"/>
      <c r="B1287" s="1058"/>
      <c r="C1287" s="1058"/>
      <c r="D1287" s="957"/>
      <c r="E1287" s="1058"/>
      <c r="F1287" s="1058"/>
      <c r="G1287" s="1058"/>
      <c r="H1287" s="1058"/>
    </row>
    <row r="1288" spans="1:8" x14ac:dyDescent="0.25">
      <c r="A1288" s="1058"/>
      <c r="B1288" s="1058"/>
      <c r="C1288" s="1058"/>
      <c r="D1288" s="957"/>
      <c r="E1288" s="1058"/>
      <c r="F1288" s="1058"/>
      <c r="G1288" s="1058"/>
      <c r="H1288" s="1058"/>
    </row>
    <row r="1289" spans="1:8" x14ac:dyDescent="0.25">
      <c r="A1289" s="1058"/>
      <c r="B1289" s="1058"/>
      <c r="C1289" s="1058"/>
      <c r="D1289" s="957"/>
      <c r="E1289" s="1058"/>
      <c r="F1289" s="1058"/>
      <c r="G1289" s="1058"/>
      <c r="H1289" s="1058"/>
    </row>
    <row r="1290" spans="1:8" ht="24.75" customHeight="1" x14ac:dyDescent="0.25">
      <c r="A1290" s="673" t="s">
        <v>5482</v>
      </c>
      <c r="B1290" s="1390" t="str">
        <f>+VLOOKUP(C1290,ListaAPUs!$B:$E,4,FALSE)</f>
        <v>3.1.2</v>
      </c>
      <c r="C1290" s="2449" t="str">
        <f>+ListaAPUs!B55</f>
        <v>CONCRETO ESTRUCTURAL RESIST. 28.0 Mpa (280Kg/cm2) IMPERMEABILIZADO PARA PLACA DE PISO EN CONCRETO</v>
      </c>
      <c r="D1290" s="2449"/>
      <c r="E1290" s="2449"/>
      <c r="F1290" s="673" t="s">
        <v>867</v>
      </c>
      <c r="G1290" s="342" t="s">
        <v>5454</v>
      </c>
      <c r="H1290" s="341"/>
    </row>
    <row r="1291" spans="1:8" x14ac:dyDescent="0.25">
      <c r="A1291" s="133"/>
      <c r="B1291" s="8"/>
      <c r="C1291" s="223"/>
      <c r="D1291" s="958"/>
      <c r="E1291" s="223"/>
      <c r="F1291" s="133"/>
      <c r="G1291" s="341"/>
      <c r="H1291" s="341"/>
    </row>
    <row r="1292" spans="1:8" x14ac:dyDescent="0.25">
      <c r="A1292" s="133"/>
      <c r="B1292" s="8"/>
      <c r="C1292" s="8"/>
      <c r="D1292" s="529"/>
      <c r="E1292" s="8"/>
      <c r="F1292" s="8"/>
      <c r="G1292" s="8"/>
      <c r="H1292" s="341"/>
    </row>
    <row r="1293" spans="1:8" ht="15.75" thickBot="1" x14ac:dyDescent="0.3">
      <c r="A1293" s="133"/>
      <c r="B1293" s="8"/>
      <c r="C1293" s="8"/>
      <c r="D1293" s="529"/>
      <c r="E1293" s="8"/>
      <c r="F1293" s="133"/>
      <c r="G1293" s="341"/>
      <c r="H1293" s="341"/>
    </row>
    <row r="1294" spans="1:8" ht="15.75" thickBot="1" x14ac:dyDescent="0.3">
      <c r="A1294" s="133"/>
      <c r="B1294" s="224" t="s">
        <v>5403</v>
      </c>
      <c r="C1294" s="193" t="s">
        <v>867</v>
      </c>
      <c r="D1294" s="951" t="s">
        <v>6</v>
      </c>
      <c r="E1294" s="193" t="s">
        <v>5439</v>
      </c>
      <c r="F1294" s="193" t="s">
        <v>5405</v>
      </c>
      <c r="G1294" s="343" t="s">
        <v>868</v>
      </c>
      <c r="H1294" s="341"/>
    </row>
    <row r="1295" spans="1:8" x14ac:dyDescent="0.25">
      <c r="A1295" s="133"/>
      <c r="B1295" s="195" t="s">
        <v>5440</v>
      </c>
      <c r="C1295" s="226" t="s">
        <v>5542</v>
      </c>
      <c r="D1295" s="212">
        <v>1</v>
      </c>
      <c r="E1295" s="228">
        <f>+H1333</f>
        <v>176950.05</v>
      </c>
      <c r="F1295" s="226">
        <v>0.05</v>
      </c>
      <c r="G1295" s="344">
        <f>+F1295*E1295</f>
        <v>8847.5025000000005</v>
      </c>
      <c r="H1295" s="341"/>
    </row>
    <row r="1296" spans="1:8" x14ac:dyDescent="0.25">
      <c r="A1296" s="133"/>
      <c r="B1296" s="195" t="s">
        <v>5548</v>
      </c>
      <c r="C1296" s="226" t="s">
        <v>5542</v>
      </c>
      <c r="D1296" s="212">
        <v>1</v>
      </c>
      <c r="E1296" s="975">
        <f>+VLOOKUP(B1296,Insumos!$A$2:$C$331,3,FALSE)</f>
        <v>9001.6</v>
      </c>
      <c r="F1296" s="226">
        <v>0.67</v>
      </c>
      <c r="G1296" s="344">
        <f>+F1296*E1296</f>
        <v>6031.072000000001</v>
      </c>
      <c r="H1296" s="341"/>
    </row>
    <row r="1297" spans="1:8" x14ac:dyDescent="0.25">
      <c r="A1297" s="133"/>
      <c r="B1297" s="195" t="s">
        <v>5554</v>
      </c>
      <c r="C1297" s="226" t="s">
        <v>5542</v>
      </c>
      <c r="D1297" s="212">
        <v>1</v>
      </c>
      <c r="E1297" s="975">
        <f>+VLOOKUP(B1297,Insumos!$A$2:$C$331,3,FALSE)</f>
        <v>4500.8</v>
      </c>
      <c r="F1297" s="226">
        <v>2</v>
      </c>
      <c r="G1297" s="344">
        <f>+E1297/F1297</f>
        <v>2250.4</v>
      </c>
      <c r="H1297" s="341"/>
    </row>
    <row r="1298" spans="1:8" x14ac:dyDescent="0.25">
      <c r="A1298" s="133"/>
      <c r="B1298" s="195"/>
      <c r="C1298" s="226"/>
      <c r="D1298" s="212"/>
      <c r="E1298" s="346"/>
      <c r="F1298" s="226"/>
      <c r="G1298" s="344"/>
      <c r="H1298" s="341"/>
    </row>
    <row r="1299" spans="1:8" x14ac:dyDescent="0.25">
      <c r="A1299" s="133"/>
      <c r="B1299" s="195"/>
      <c r="C1299" s="226"/>
      <c r="D1299" s="952"/>
      <c r="E1299" s="232"/>
      <c r="F1299" s="226"/>
      <c r="G1299" s="344"/>
      <c r="H1299" s="341"/>
    </row>
    <row r="1300" spans="1:8" ht="15.75" thickBot="1" x14ac:dyDescent="0.3">
      <c r="A1300" s="133"/>
      <c r="B1300" s="195"/>
      <c r="C1300" s="226"/>
      <c r="D1300" s="952"/>
      <c r="E1300" s="232"/>
      <c r="F1300" s="226"/>
      <c r="G1300" s="344"/>
      <c r="H1300" s="341"/>
    </row>
    <row r="1301" spans="1:8" ht="15.75" thickBot="1" x14ac:dyDescent="0.3">
      <c r="A1301" s="133"/>
      <c r="B1301" s="233"/>
      <c r="C1301" s="234"/>
      <c r="D1301" s="953"/>
      <c r="E1301" s="234"/>
      <c r="F1301" s="235"/>
      <c r="G1301" s="347"/>
      <c r="H1301" s="348">
        <f>+SUM(G1295:G1301)</f>
        <v>17128.974500000004</v>
      </c>
    </row>
    <row r="1302" spans="1:8" ht="15.75" thickBot="1" x14ac:dyDescent="0.3">
      <c r="A1302" s="133"/>
      <c r="B1302" s="238"/>
      <c r="C1302" s="238"/>
      <c r="D1302" s="954"/>
      <c r="E1302" s="238"/>
      <c r="F1302" s="239"/>
      <c r="G1302" s="349"/>
      <c r="H1302" s="350"/>
    </row>
    <row r="1303" spans="1:8" ht="15.75" thickBot="1" x14ac:dyDescent="0.3">
      <c r="A1303" s="133"/>
      <c r="B1303" s="224" t="s">
        <v>5408</v>
      </c>
      <c r="C1303" s="193" t="s">
        <v>867</v>
      </c>
      <c r="D1303" s="951" t="s">
        <v>6</v>
      </c>
      <c r="E1303" s="193" t="s">
        <v>870</v>
      </c>
      <c r="F1303" s="193" t="s">
        <v>5409</v>
      </c>
      <c r="G1303" s="343" t="s">
        <v>868</v>
      </c>
      <c r="H1303" s="341"/>
    </row>
    <row r="1304" spans="1:8" x14ac:dyDescent="0.25">
      <c r="A1304" s="133"/>
      <c r="B1304" s="242" t="s">
        <v>5549</v>
      </c>
      <c r="C1304" s="202" t="s">
        <v>5431</v>
      </c>
      <c r="D1304" s="212">
        <v>450</v>
      </c>
      <c r="E1304" s="975">
        <f>+VLOOKUP(B1304,Insumos!$A$2:$C$331,3,FALSE)</f>
        <v>470</v>
      </c>
      <c r="F1304" s="169">
        <v>1.05</v>
      </c>
      <c r="G1304" s="351">
        <f>+(D1304*F1304)*E1304</f>
        <v>222075</v>
      </c>
      <c r="H1304" s="341"/>
    </row>
    <row r="1305" spans="1:8" x14ac:dyDescent="0.25">
      <c r="A1305" s="133"/>
      <c r="B1305" s="243" t="s">
        <v>5551</v>
      </c>
      <c r="C1305" s="202" t="s">
        <v>5542</v>
      </c>
      <c r="D1305" s="211">
        <v>0.48</v>
      </c>
      <c r="E1305" s="975">
        <f>+VLOOKUP(B1305,Insumos!$A$2:$C$331,3,FALSE)</f>
        <v>99611</v>
      </c>
      <c r="F1305" s="169">
        <v>1.05</v>
      </c>
      <c r="G1305" s="351">
        <f>+(D1305*F1305)*E1305</f>
        <v>50203.944000000003</v>
      </c>
      <c r="H1305" s="341"/>
    </row>
    <row r="1306" spans="1:8" x14ac:dyDescent="0.25">
      <c r="A1306" s="133"/>
      <c r="B1306" s="243" t="s">
        <v>5552</v>
      </c>
      <c r="C1306" s="226" t="s">
        <v>5542</v>
      </c>
      <c r="D1306" s="212">
        <v>0.72</v>
      </c>
      <c r="E1306" s="975">
        <f>+VLOOKUP(B1306,Insumos!$A$2:$C$331,3,FALSE)</f>
        <v>99527.7</v>
      </c>
      <c r="F1306" s="169">
        <v>1.05</v>
      </c>
      <c r="G1306" s="351">
        <f>+(D1306*F1306)*E1306</f>
        <v>75242.941200000001</v>
      </c>
      <c r="H1306" s="341"/>
    </row>
    <row r="1307" spans="1:8" x14ac:dyDescent="0.25">
      <c r="A1307" s="133"/>
      <c r="B1307" s="194" t="s">
        <v>5553</v>
      </c>
      <c r="C1307" s="226" t="s">
        <v>7046</v>
      </c>
      <c r="D1307" s="212">
        <v>240</v>
      </c>
      <c r="E1307" s="975">
        <f>+VLOOKUP(B1307,Insumos!$A$2:$C$331,3,FALSE)</f>
        <v>30</v>
      </c>
      <c r="F1307" s="169">
        <v>1.05</v>
      </c>
      <c r="G1307" s="351">
        <f>+(D1307*F1307)*E1307</f>
        <v>7560</v>
      </c>
      <c r="H1307" s="341"/>
    </row>
    <row r="1308" spans="1:8" x14ac:dyDescent="0.25">
      <c r="A1308" s="133"/>
      <c r="B1308" s="195" t="s">
        <v>6865</v>
      </c>
      <c r="C1308" s="226" t="s">
        <v>5556</v>
      </c>
      <c r="D1308" s="212">
        <v>0.5</v>
      </c>
      <c r="E1308" s="1479">
        <f>+VLOOKUP(B1308,Insumos!$A$2:$C$331,3,FALSE)</f>
        <v>58999.096863999999</v>
      </c>
      <c r="F1308" s="169">
        <v>1.05</v>
      </c>
      <c r="G1308" s="351">
        <f>+(D1308*F1308)*E1308</f>
        <v>30974.5258536</v>
      </c>
      <c r="H1308" s="341"/>
    </row>
    <row r="1309" spans="1:8" x14ac:dyDescent="0.25">
      <c r="A1309" s="133"/>
      <c r="B1309" s="194" t="s">
        <v>5560</v>
      </c>
      <c r="C1309" s="202" t="s">
        <v>5734</v>
      </c>
      <c r="D1309" s="211"/>
      <c r="E1309" s="975">
        <f>+VLOOKUP(B1309,Insumos!$A$2:$C$331,3,FALSE)</f>
        <v>5626</v>
      </c>
      <c r="F1309" s="169"/>
      <c r="G1309" s="351">
        <f>+E1309</f>
        <v>5626</v>
      </c>
      <c r="H1309" s="341"/>
    </row>
    <row r="1310" spans="1:8" ht="24.75" customHeight="1" x14ac:dyDescent="0.25">
      <c r="A1310" s="133"/>
      <c r="B1310" s="1579" t="s">
        <v>6910</v>
      </c>
      <c r="C1310" s="226" t="s">
        <v>591</v>
      </c>
      <c r="D1310" s="212">
        <f>+D1304*0.005</f>
        <v>2.25</v>
      </c>
      <c r="E1310" s="975">
        <f>+VLOOKUP(B1310,Insumos!$A$2:$C$331,3,FALSE)</f>
        <v>12019</v>
      </c>
      <c r="F1310" s="1552">
        <v>0.02</v>
      </c>
      <c r="G1310" s="351">
        <f>+D1310*(1+F1310)*E1310</f>
        <v>27583.605</v>
      </c>
      <c r="H1310" s="341"/>
    </row>
    <row r="1311" spans="1:8" x14ac:dyDescent="0.25">
      <c r="A1311" s="133"/>
      <c r="B1311" s="195"/>
      <c r="C1311" s="226"/>
      <c r="D1311" s="212"/>
      <c r="E1311" s="345"/>
      <c r="F1311" s="169"/>
      <c r="G1311" s="351"/>
      <c r="H1311" s="341"/>
    </row>
    <row r="1312" spans="1:8" x14ac:dyDescent="0.25">
      <c r="A1312" s="133"/>
      <c r="B1312" s="195"/>
      <c r="C1312" s="232"/>
      <c r="D1312" s="952"/>
      <c r="E1312" s="232"/>
      <c r="F1312" s="226"/>
      <c r="G1312" s="344"/>
      <c r="H1312" s="341"/>
    </row>
    <row r="1313" spans="1:8" x14ac:dyDescent="0.25">
      <c r="A1313" s="133"/>
      <c r="B1313" s="195"/>
      <c r="C1313" s="232"/>
      <c r="D1313" s="952"/>
      <c r="E1313" s="232"/>
      <c r="F1313" s="226"/>
      <c r="G1313" s="344"/>
      <c r="H1313" s="341"/>
    </row>
    <row r="1314" spans="1:8" x14ac:dyDescent="0.25">
      <c r="A1314" s="133"/>
      <c r="B1314" s="195"/>
      <c r="C1314" s="232"/>
      <c r="D1314" s="952"/>
      <c r="E1314" s="232"/>
      <c r="F1314" s="226"/>
      <c r="G1314" s="344"/>
      <c r="H1314" s="341"/>
    </row>
    <row r="1315" spans="1:8" ht="15.75" thickBot="1" x14ac:dyDescent="0.3">
      <c r="A1315" s="133"/>
      <c r="B1315" s="195"/>
      <c r="C1315" s="232"/>
      <c r="D1315" s="952"/>
      <c r="E1315" s="232"/>
      <c r="F1315" s="226"/>
      <c r="G1315" s="344"/>
      <c r="H1315" s="341"/>
    </row>
    <row r="1316" spans="1:8" ht="15.75" thickBot="1" x14ac:dyDescent="0.3">
      <c r="A1316" s="133"/>
      <c r="B1316" s="233"/>
      <c r="C1316" s="234"/>
      <c r="D1316" s="953"/>
      <c r="E1316" s="234"/>
      <c r="F1316" s="235"/>
      <c r="G1316" s="347"/>
      <c r="H1316" s="348">
        <f>+SUM(G1304:G1316)</f>
        <v>419266.0160536</v>
      </c>
    </row>
    <row r="1317" spans="1:8" ht="15.75" thickBot="1" x14ac:dyDescent="0.3">
      <c r="A1317" s="133"/>
      <c r="B1317" s="238"/>
      <c r="C1317" s="238"/>
      <c r="D1317" s="954"/>
      <c r="E1317" s="238"/>
      <c r="F1317" s="239"/>
      <c r="G1317" s="349"/>
      <c r="H1317" s="350"/>
    </row>
    <row r="1318" spans="1:8" ht="15.75" thickBot="1" x14ac:dyDescent="0.3">
      <c r="A1318" s="133"/>
      <c r="B1318" s="224" t="s">
        <v>5410</v>
      </c>
      <c r="C1318" s="193" t="s">
        <v>867</v>
      </c>
      <c r="D1318" s="951" t="s">
        <v>6</v>
      </c>
      <c r="E1318" s="193" t="s">
        <v>870</v>
      </c>
      <c r="F1318" s="193" t="s">
        <v>5411</v>
      </c>
      <c r="G1318" s="343" t="s">
        <v>868</v>
      </c>
      <c r="H1318" s="341"/>
    </row>
    <row r="1319" spans="1:8" x14ac:dyDescent="0.25">
      <c r="A1319" s="133"/>
      <c r="B1319" s="245"/>
      <c r="C1319" s="202"/>
      <c r="D1319" s="211"/>
      <c r="E1319" s="228"/>
      <c r="F1319" s="202"/>
      <c r="G1319" s="354"/>
      <c r="H1319" s="355"/>
    </row>
    <row r="1320" spans="1:8" x14ac:dyDescent="0.25">
      <c r="A1320" s="133"/>
      <c r="B1320" s="247"/>
      <c r="C1320" s="248"/>
      <c r="D1320" s="961"/>
      <c r="E1320" s="228"/>
      <c r="F1320" s="202"/>
      <c r="G1320" s="351"/>
      <c r="H1320" s="341"/>
    </row>
    <row r="1321" spans="1:8" x14ac:dyDescent="0.25">
      <c r="A1321" s="133"/>
      <c r="B1321" s="247"/>
      <c r="C1321" s="232"/>
      <c r="D1321" s="952"/>
      <c r="E1321" s="232"/>
      <c r="F1321" s="226"/>
      <c r="G1321" s="344"/>
      <c r="H1321" s="341"/>
    </row>
    <row r="1322" spans="1:8" x14ac:dyDescent="0.25">
      <c r="A1322" s="133"/>
      <c r="B1322" s="194"/>
      <c r="C1322" s="232"/>
      <c r="D1322" s="952"/>
      <c r="E1322" s="232"/>
      <c r="F1322" s="226"/>
      <c r="G1322" s="344"/>
      <c r="H1322" s="341"/>
    </row>
    <row r="1323" spans="1:8" ht="15.75" thickBot="1" x14ac:dyDescent="0.3">
      <c r="A1323" s="133"/>
      <c r="B1323" s="195"/>
      <c r="C1323" s="232"/>
      <c r="D1323" s="952"/>
      <c r="E1323" s="232"/>
      <c r="F1323" s="226"/>
      <c r="G1323" s="344"/>
      <c r="H1323" s="341"/>
    </row>
    <row r="1324" spans="1:8" ht="15.75" thickBot="1" x14ac:dyDescent="0.3">
      <c r="A1324" s="133"/>
      <c r="B1324" s="233"/>
      <c r="C1324" s="234"/>
      <c r="D1324" s="953"/>
      <c r="E1324" s="234"/>
      <c r="F1324" s="235"/>
      <c r="G1324" s="347"/>
      <c r="H1324" s="348">
        <f>+SUM(G1319:G1324)</f>
        <v>0</v>
      </c>
    </row>
    <row r="1325" spans="1:8" ht="15.75" thickBot="1" x14ac:dyDescent="0.3">
      <c r="A1325" s="133"/>
      <c r="B1325" s="238"/>
      <c r="C1325" s="238"/>
      <c r="D1325" s="954"/>
      <c r="E1325" s="238"/>
      <c r="F1325" s="249"/>
      <c r="G1325" s="356"/>
      <c r="H1325" s="350"/>
    </row>
    <row r="1326" spans="1:8" ht="15.75" thickBot="1" x14ac:dyDescent="0.3">
      <c r="A1326" s="133"/>
      <c r="B1326" s="224" t="s">
        <v>5412</v>
      </c>
      <c r="C1326" s="193" t="s">
        <v>5420</v>
      </c>
      <c r="D1326" s="951" t="s">
        <v>5421</v>
      </c>
      <c r="E1326" s="193" t="s">
        <v>5413</v>
      </c>
      <c r="F1326" s="193" t="s">
        <v>5405</v>
      </c>
      <c r="G1326" s="343" t="s">
        <v>868</v>
      </c>
      <c r="H1326" s="341"/>
    </row>
    <row r="1327" spans="1:8" x14ac:dyDescent="0.25">
      <c r="A1327" s="133"/>
      <c r="B1327" s="194" t="s">
        <v>5948</v>
      </c>
      <c r="C1327" s="345">
        <f>+VLOOKUP($B1327,'Mano de obra'!$A$5:$D$26,2,FALSE)</f>
        <v>57455</v>
      </c>
      <c r="D1327" s="345">
        <f>+VLOOKUP($B1327,'Mano de obra'!$A$5:$D$26,3,FALSE)</f>
        <v>35656</v>
      </c>
      <c r="E1327" s="345">
        <f>+VLOOKUP($B1327,'Mano de obra'!$A$5:$D$26,4,FALSE)</f>
        <v>93111</v>
      </c>
      <c r="F1327" s="209">
        <f>2*1.2</f>
        <v>2.4</v>
      </c>
      <c r="G1327" s="351">
        <f>+E1327/F1327</f>
        <v>38796.25</v>
      </c>
      <c r="H1327" s="341"/>
    </row>
    <row r="1328" spans="1:8" x14ac:dyDescent="0.25">
      <c r="A1328" s="133"/>
      <c r="B1328" s="194" t="s">
        <v>5949</v>
      </c>
      <c r="C1328" s="345">
        <f>+VLOOKUP($B1328,'Mano de obra'!$A$5:$D$26,2,FALSE)</f>
        <v>44263.8</v>
      </c>
      <c r="D1328" s="345">
        <f>+VLOOKUP($B1328,'Mano de obra'!$A$5:$D$26,3,FALSE)</f>
        <v>27470</v>
      </c>
      <c r="E1328" s="345">
        <f>+VLOOKUP($B1328,'Mano de obra'!$A$5:$D$26,4,FALSE)</f>
        <v>71733.8</v>
      </c>
      <c r="F1328" s="202">
        <v>1</v>
      </c>
      <c r="G1328" s="351">
        <f>+E1328/F1328</f>
        <v>71733.8</v>
      </c>
      <c r="H1328" s="341"/>
    </row>
    <row r="1329" spans="1:9" x14ac:dyDescent="0.25">
      <c r="A1329" s="133"/>
      <c r="B1329" s="195" t="s">
        <v>5635</v>
      </c>
      <c r="C1329" s="345">
        <f>+VLOOKUP($B1329,'Mano de obra'!$A$5:$D$26,2,FALSE)</f>
        <v>24591</v>
      </c>
      <c r="D1329" s="345">
        <f>+VLOOKUP($B1329,'Mano de obra'!$A$5:$D$26,3,FALSE)</f>
        <v>15261</v>
      </c>
      <c r="E1329" s="345">
        <f>+VLOOKUP($B1329,'Mano de obra'!$A$5:$D$26,4,FALSE)</f>
        <v>39852</v>
      </c>
      <c r="F1329" s="226">
        <f>0.5*1.2</f>
        <v>0.6</v>
      </c>
      <c r="G1329" s="351">
        <f>+E1329/F1329</f>
        <v>66420</v>
      </c>
      <c r="H1329" s="341"/>
    </row>
    <row r="1330" spans="1:9" x14ac:dyDescent="0.25">
      <c r="A1330" s="133"/>
      <c r="B1330" s="195"/>
      <c r="C1330" s="346"/>
      <c r="D1330" s="955"/>
      <c r="E1330" s="345"/>
      <c r="F1330" s="226"/>
      <c r="G1330" s="351"/>
      <c r="H1330" s="341"/>
    </row>
    <row r="1331" spans="1:9" x14ac:dyDescent="0.25">
      <c r="A1331" s="133"/>
      <c r="B1331" s="195"/>
      <c r="C1331" s="232"/>
      <c r="D1331" s="952"/>
      <c r="E1331" s="232"/>
      <c r="F1331" s="226"/>
      <c r="G1331" s="344"/>
      <c r="H1331" s="341"/>
    </row>
    <row r="1332" spans="1:9" ht="15.75" thickBot="1" x14ac:dyDescent="0.3">
      <c r="A1332" s="133"/>
      <c r="B1332" s="195"/>
      <c r="C1332" s="232"/>
      <c r="D1332" s="952"/>
      <c r="E1332" s="232"/>
      <c r="F1332" s="226"/>
      <c r="G1332" s="344"/>
      <c r="H1332" s="341"/>
    </row>
    <row r="1333" spans="1:9" ht="15.75" thickBot="1" x14ac:dyDescent="0.3">
      <c r="A1333" s="133"/>
      <c r="B1333" s="251"/>
      <c r="C1333" s="252"/>
      <c r="D1333" s="956"/>
      <c r="E1333" s="252"/>
      <c r="F1333" s="253"/>
      <c r="G1333" s="357"/>
      <c r="H1333" s="348">
        <f>+SUM(G1327:G1333)</f>
        <v>176950.05</v>
      </c>
    </row>
    <row r="1334" spans="1:9" ht="15.75" thickBot="1" x14ac:dyDescent="0.3">
      <c r="A1334" s="133"/>
      <c r="B1334" s="8"/>
      <c r="C1334" s="8"/>
      <c r="D1334" s="529"/>
      <c r="E1334" s="8"/>
      <c r="F1334" s="133"/>
      <c r="G1334" s="341"/>
      <c r="H1334" s="341"/>
    </row>
    <row r="1335" spans="1:9" ht="15.75" thickBot="1" x14ac:dyDescent="0.3">
      <c r="A1335" s="133" t="s">
        <v>6744</v>
      </c>
      <c r="B1335" s="140"/>
      <c r="C1335" s="140"/>
      <c r="D1335" s="529"/>
      <c r="E1335" s="183" t="s">
        <v>5415</v>
      </c>
      <c r="F1335" s="133"/>
      <c r="G1335" s="341"/>
      <c r="H1335" s="348">
        <f>+H1333+H1324+H1316+H1301</f>
        <v>613345.04055360006</v>
      </c>
      <c r="I1335" s="1478">
        <v>823594.96360000002</v>
      </c>
    </row>
    <row r="1336" spans="1:9" x14ac:dyDescent="0.25">
      <c r="A1336" s="1058"/>
      <c r="B1336" s="1058"/>
      <c r="C1336" s="1058"/>
      <c r="D1336" s="957"/>
      <c r="E1336" s="1058"/>
      <c r="F1336" s="1058"/>
      <c r="G1336" s="1058"/>
      <c r="H1336" s="1058"/>
    </row>
    <row r="1337" spans="1:9" x14ac:dyDescent="0.25">
      <c r="A1337" s="1058"/>
      <c r="B1337" s="1058"/>
      <c r="C1337" s="1058"/>
      <c r="D1337" s="957"/>
      <c r="E1337" s="1058"/>
      <c r="F1337" s="1058"/>
      <c r="G1337" s="1058"/>
      <c r="H1337" s="1058"/>
    </row>
    <row r="1338" spans="1:9" ht="35.25" customHeight="1" x14ac:dyDescent="0.25">
      <c r="A1338" s="673" t="s">
        <v>5482</v>
      </c>
      <c r="B1338" s="1390" t="str">
        <f>+VLOOKUP(C1338,ListaAPUs!$B:$E,4,FALSE)</f>
        <v>3.1.3</v>
      </c>
      <c r="C1338" s="2449" t="str">
        <f>+ListaAPUs!B56</f>
        <v>CONCRETO ESTRUCTURAL RESIST. 28.0 MPA (280KG/CM2) IMPERMEABILIZADO PARA MUROS Y LOSA SUPERIOR</v>
      </c>
      <c r="D1338" s="2449"/>
      <c r="E1338" s="2449"/>
      <c r="F1338" s="673" t="s">
        <v>867</v>
      </c>
      <c r="G1338" s="342" t="s">
        <v>5454</v>
      </c>
      <c r="H1338" s="341"/>
    </row>
    <row r="1339" spans="1:9" x14ac:dyDescent="0.25">
      <c r="A1339" s="133"/>
      <c r="B1339" s="8"/>
      <c r="C1339" s="223"/>
      <c r="D1339" s="958"/>
      <c r="E1339" s="223"/>
      <c r="F1339" s="133"/>
      <c r="G1339" s="341"/>
      <c r="H1339" s="341"/>
    </row>
    <row r="1340" spans="1:9" x14ac:dyDescent="0.25">
      <c r="A1340" s="133"/>
      <c r="B1340" s="8"/>
      <c r="C1340" s="8"/>
      <c r="D1340" s="529"/>
      <c r="E1340" s="8"/>
      <c r="F1340" s="8"/>
      <c r="G1340" s="8"/>
      <c r="H1340" s="341"/>
    </row>
    <row r="1341" spans="1:9" ht="15.75" thickBot="1" x14ac:dyDescent="0.3">
      <c r="A1341" s="133"/>
      <c r="B1341" s="8"/>
      <c r="C1341" s="8"/>
      <c r="D1341" s="529"/>
      <c r="E1341" s="8"/>
      <c r="F1341" s="133"/>
      <c r="G1341" s="341"/>
      <c r="H1341" s="341"/>
    </row>
    <row r="1342" spans="1:9" ht="15.75" thickBot="1" x14ac:dyDescent="0.3">
      <c r="A1342" s="133"/>
      <c r="B1342" s="224" t="s">
        <v>5403</v>
      </c>
      <c r="C1342" s="193" t="s">
        <v>867</v>
      </c>
      <c r="D1342" s="951" t="s">
        <v>6</v>
      </c>
      <c r="E1342" s="193" t="s">
        <v>5439</v>
      </c>
      <c r="F1342" s="193" t="s">
        <v>5405</v>
      </c>
      <c r="G1342" s="343" t="s">
        <v>868</v>
      </c>
      <c r="H1342" s="341"/>
    </row>
    <row r="1343" spans="1:9" x14ac:dyDescent="0.25">
      <c r="A1343" s="133"/>
      <c r="B1343" s="195" t="s">
        <v>5455</v>
      </c>
      <c r="C1343" s="226" t="s">
        <v>7042</v>
      </c>
      <c r="D1343" s="212">
        <v>1</v>
      </c>
      <c r="E1343" s="228">
        <f>+H1381</f>
        <v>276580.05</v>
      </c>
      <c r="F1343" s="226">
        <v>0.05</v>
      </c>
      <c r="G1343" s="344">
        <f>+E1343*F1343</f>
        <v>13829.002500000001</v>
      </c>
      <c r="H1343" s="341"/>
    </row>
    <row r="1344" spans="1:9" x14ac:dyDescent="0.25">
      <c r="A1344" s="133"/>
      <c r="B1344" s="195" t="s">
        <v>6868</v>
      </c>
      <c r="C1344" s="226" t="s">
        <v>5542</v>
      </c>
      <c r="D1344" s="212">
        <v>1</v>
      </c>
      <c r="E1344" s="975">
        <f>+VLOOKUP(B1344,Insumos!$A$2:$C$331,3,FALSE)</f>
        <v>9001.6</v>
      </c>
      <c r="F1344" s="226">
        <v>0.67</v>
      </c>
      <c r="G1344" s="344">
        <f>+E1344*F1344</f>
        <v>6031.072000000001</v>
      </c>
      <c r="H1344" s="341"/>
    </row>
    <row r="1345" spans="1:8" x14ac:dyDescent="0.25">
      <c r="A1345" s="133"/>
      <c r="B1345" s="195" t="s">
        <v>6872</v>
      </c>
      <c r="C1345" s="226" t="s">
        <v>5542</v>
      </c>
      <c r="D1345" s="212">
        <v>1</v>
      </c>
      <c r="E1345" s="975">
        <f>+VLOOKUP(B1345,Insumos!$A$2:$C$331,3,FALSE)</f>
        <v>4500.8</v>
      </c>
      <c r="F1345" s="226">
        <v>2</v>
      </c>
      <c r="G1345" s="344">
        <f>+E1345/F1345</f>
        <v>2250.4</v>
      </c>
      <c r="H1345" s="341"/>
    </row>
    <row r="1346" spans="1:8" x14ac:dyDescent="0.25">
      <c r="A1346" s="133"/>
      <c r="B1346" s="195"/>
      <c r="C1346" s="226"/>
      <c r="D1346" s="212"/>
      <c r="E1346" s="346"/>
      <c r="F1346" s="226"/>
      <c r="G1346" s="344"/>
      <c r="H1346" s="341"/>
    </row>
    <row r="1347" spans="1:8" x14ac:dyDescent="0.25">
      <c r="A1347" s="133"/>
      <c r="B1347" s="195"/>
      <c r="C1347" s="226"/>
      <c r="D1347" s="952"/>
      <c r="E1347" s="232"/>
      <c r="F1347" s="226"/>
      <c r="G1347" s="344"/>
      <c r="H1347" s="341"/>
    </row>
    <row r="1348" spans="1:8" ht="15.75" thickBot="1" x14ac:dyDescent="0.3">
      <c r="A1348" s="133"/>
      <c r="B1348" s="195"/>
      <c r="C1348" s="226"/>
      <c r="D1348" s="952"/>
      <c r="E1348" s="232"/>
      <c r="F1348" s="226"/>
      <c r="G1348" s="344"/>
      <c r="H1348" s="341"/>
    </row>
    <row r="1349" spans="1:8" ht="15.75" thickBot="1" x14ac:dyDescent="0.3">
      <c r="A1349" s="133"/>
      <c r="B1349" s="233"/>
      <c r="C1349" s="234"/>
      <c r="D1349" s="953"/>
      <c r="E1349" s="234"/>
      <c r="F1349" s="235"/>
      <c r="G1349" s="347"/>
      <c r="H1349" s="348">
        <f>+SUM(G1343:G1349)</f>
        <v>22110.474500000004</v>
      </c>
    </row>
    <row r="1350" spans="1:8" ht="15.75" thickBot="1" x14ac:dyDescent="0.3">
      <c r="A1350" s="133"/>
      <c r="B1350" s="238"/>
      <c r="C1350" s="238"/>
      <c r="D1350" s="954"/>
      <c r="E1350" s="238"/>
      <c r="F1350" s="239"/>
      <c r="G1350" s="349"/>
      <c r="H1350" s="350"/>
    </row>
    <row r="1351" spans="1:8" ht="15.75" thickBot="1" x14ac:dyDescent="0.3">
      <c r="A1351" s="133"/>
      <c r="B1351" s="224" t="s">
        <v>5408</v>
      </c>
      <c r="C1351" s="193" t="s">
        <v>867</v>
      </c>
      <c r="D1351" s="951" t="s">
        <v>6</v>
      </c>
      <c r="E1351" s="193" t="s">
        <v>870</v>
      </c>
      <c r="F1351" s="193" t="s">
        <v>5409</v>
      </c>
      <c r="G1351" s="343" t="s">
        <v>868</v>
      </c>
      <c r="H1351" s="341"/>
    </row>
    <row r="1352" spans="1:8" x14ac:dyDescent="0.25">
      <c r="A1352" s="133"/>
      <c r="B1352" s="242" t="s">
        <v>6836</v>
      </c>
      <c r="C1352" s="202" t="s">
        <v>5431</v>
      </c>
      <c r="D1352" s="212">
        <v>450</v>
      </c>
      <c r="E1352" s="975">
        <f>+VLOOKUP(B1352,Insumos!$A$2:$C$331,3,FALSE)</f>
        <v>470</v>
      </c>
      <c r="F1352" s="169">
        <v>1.05</v>
      </c>
      <c r="G1352" s="351">
        <f>+(D1352*F1352)*E1352</f>
        <v>222075</v>
      </c>
      <c r="H1352" s="341"/>
    </row>
    <row r="1353" spans="1:8" x14ac:dyDescent="0.25">
      <c r="A1353" s="133"/>
      <c r="B1353" s="243" t="s">
        <v>6859</v>
      </c>
      <c r="C1353" s="202" t="s">
        <v>5542</v>
      </c>
      <c r="D1353" s="211">
        <v>0.48</v>
      </c>
      <c r="E1353" s="975">
        <f>+VLOOKUP(B1353,Insumos!$A$2:$C$331,3,FALSE)</f>
        <v>99611</v>
      </c>
      <c r="F1353" s="169">
        <v>1.05</v>
      </c>
      <c r="G1353" s="351">
        <f>+(D1353*F1353)*E1353</f>
        <v>50203.944000000003</v>
      </c>
      <c r="H1353" s="341"/>
    </row>
    <row r="1354" spans="1:8" x14ac:dyDescent="0.25">
      <c r="A1354" s="133"/>
      <c r="B1354" s="243" t="s">
        <v>6867</v>
      </c>
      <c r="C1354" s="226" t="s">
        <v>5542</v>
      </c>
      <c r="D1354" s="212">
        <v>0.72</v>
      </c>
      <c r="E1354" s="975">
        <f>+VLOOKUP(B1354,Insumos!$A$2:$C$331,3,FALSE)</f>
        <v>99527.7</v>
      </c>
      <c r="F1354" s="169">
        <v>1.05</v>
      </c>
      <c r="G1354" s="351">
        <f>+(D1354*F1354)*E1354</f>
        <v>75242.941200000001</v>
      </c>
      <c r="H1354" s="341"/>
    </row>
    <row r="1355" spans="1:8" x14ac:dyDescent="0.25">
      <c r="A1355" s="133"/>
      <c r="B1355" s="194" t="s">
        <v>6855</v>
      </c>
      <c r="C1355" s="226" t="s">
        <v>7046</v>
      </c>
      <c r="D1355" s="212">
        <v>240</v>
      </c>
      <c r="E1355" s="975">
        <f>+VLOOKUP(B1355,Insumos!$A$2:$C$331,3,FALSE)</f>
        <v>30</v>
      </c>
      <c r="F1355" s="169">
        <v>1.05</v>
      </c>
      <c r="G1355" s="351">
        <f>+(D1355*F1355)*E1355</f>
        <v>7560</v>
      </c>
      <c r="H1355" s="341"/>
    </row>
    <row r="1356" spans="1:8" x14ac:dyDescent="0.25">
      <c r="A1356" s="133"/>
      <c r="B1356" s="195" t="s">
        <v>6865</v>
      </c>
      <c r="C1356" s="226" t="s">
        <v>5556</v>
      </c>
      <c r="D1356" s="212">
        <v>1.5</v>
      </c>
      <c r="E1356" s="1479">
        <f>+VLOOKUP(B1356,Insumos!$A$2:$C$331,3,FALSE)</f>
        <v>58999.096863999999</v>
      </c>
      <c r="F1356" s="169">
        <v>1.05</v>
      </c>
      <c r="G1356" s="351">
        <f>+(D1356*F1356)*E1356</f>
        <v>92923.577560800011</v>
      </c>
      <c r="H1356" s="341"/>
    </row>
    <row r="1357" spans="1:8" x14ac:dyDescent="0.25">
      <c r="A1357" s="133"/>
      <c r="B1357" s="194" t="s">
        <v>6878</v>
      </c>
      <c r="C1357" s="202" t="s">
        <v>5734</v>
      </c>
      <c r="D1357" s="211"/>
      <c r="E1357" s="975">
        <f>+VLOOKUP(B1357,Insumos!$A$2:$C$331,3,FALSE)</f>
        <v>5626</v>
      </c>
      <c r="F1357" s="169"/>
      <c r="G1357" s="351">
        <f>+E1357</f>
        <v>5626</v>
      </c>
      <c r="H1357" s="341"/>
    </row>
    <row r="1358" spans="1:8" ht="21" customHeight="1" x14ac:dyDescent="0.25">
      <c r="A1358" s="133"/>
      <c r="B1358" s="1579" t="s">
        <v>5928</v>
      </c>
      <c r="C1358" s="226" t="s">
        <v>5556</v>
      </c>
      <c r="D1358" s="212">
        <v>0.4</v>
      </c>
      <c r="E1358" s="975">
        <f>+VLOOKUP(B1358,Insumos!$A$2:$C$331,3,FALSE)</f>
        <v>31651.876</v>
      </c>
      <c r="F1358" s="169">
        <v>0.1</v>
      </c>
      <c r="G1358" s="351">
        <f>+D1358*(1+F1358)*E1358</f>
        <v>13926.825440000002</v>
      </c>
      <c r="H1358" s="341"/>
    </row>
    <row r="1359" spans="1:8" s="1522" customFormat="1" ht="27.75" customHeight="1" x14ac:dyDescent="0.25">
      <c r="A1359" s="1523"/>
      <c r="B1359" s="1579" t="s">
        <v>6910</v>
      </c>
      <c r="C1359" s="226" t="s">
        <v>591</v>
      </c>
      <c r="D1359" s="212">
        <f>+D1352*0.005</f>
        <v>2.25</v>
      </c>
      <c r="E1359" s="975">
        <f>+VLOOKUP(B1359,Insumos!$A$2:$C$331,3,FALSE)</f>
        <v>12019</v>
      </c>
      <c r="F1359" s="1552">
        <v>0.01</v>
      </c>
      <c r="G1359" s="351">
        <f>+D1359*(1+F1359)*E1359</f>
        <v>27313.177499999998</v>
      </c>
      <c r="H1359" s="341"/>
    </row>
    <row r="1360" spans="1:8" x14ac:dyDescent="0.25">
      <c r="A1360" s="133"/>
      <c r="B1360" s="195" t="s">
        <v>8991</v>
      </c>
      <c r="C1360" s="232"/>
      <c r="D1360" s="952"/>
      <c r="E1360" s="232"/>
      <c r="F1360" s="226"/>
      <c r="G1360" s="344"/>
      <c r="H1360" s="341"/>
    </row>
    <row r="1361" spans="1:8" x14ac:dyDescent="0.25">
      <c r="A1361" s="133"/>
      <c r="B1361" s="195"/>
      <c r="C1361" s="232"/>
      <c r="D1361" s="952"/>
      <c r="E1361" s="232"/>
      <c r="F1361" s="226"/>
      <c r="G1361" s="344"/>
      <c r="H1361" s="341"/>
    </row>
    <row r="1362" spans="1:8" x14ac:dyDescent="0.25">
      <c r="A1362" s="133"/>
      <c r="B1362" s="195"/>
      <c r="C1362" s="232"/>
      <c r="D1362" s="952"/>
      <c r="E1362" s="232"/>
      <c r="F1362" s="226"/>
      <c r="G1362" s="344"/>
      <c r="H1362" s="341"/>
    </row>
    <row r="1363" spans="1:8" ht="15.75" thickBot="1" x14ac:dyDescent="0.3">
      <c r="A1363" s="133"/>
      <c r="B1363" s="195"/>
      <c r="C1363" s="232"/>
      <c r="D1363" s="952"/>
      <c r="E1363" s="232"/>
      <c r="F1363" s="226"/>
      <c r="G1363" s="344"/>
      <c r="H1363" s="341"/>
    </row>
    <row r="1364" spans="1:8" ht="15.75" thickBot="1" x14ac:dyDescent="0.3">
      <c r="A1364" s="133"/>
      <c r="B1364" s="233"/>
      <c r="C1364" s="234"/>
      <c r="D1364" s="953"/>
      <c r="E1364" s="234"/>
      <c r="F1364" s="235"/>
      <c r="G1364" s="347"/>
      <c r="H1364" s="348">
        <f>+SUM(G1352:G1364)</f>
        <v>494871.46570080001</v>
      </c>
    </row>
    <row r="1365" spans="1:8" ht="15.75" thickBot="1" x14ac:dyDescent="0.3">
      <c r="A1365" s="133"/>
      <c r="B1365" s="238"/>
      <c r="C1365" s="238"/>
      <c r="D1365" s="954"/>
      <c r="E1365" s="238"/>
      <c r="F1365" s="239"/>
      <c r="G1365" s="349"/>
      <c r="H1365" s="350"/>
    </row>
    <row r="1366" spans="1:8" ht="15.75" thickBot="1" x14ac:dyDescent="0.3">
      <c r="A1366" s="133"/>
      <c r="B1366" s="224" t="s">
        <v>5410</v>
      </c>
      <c r="C1366" s="193" t="s">
        <v>867</v>
      </c>
      <c r="D1366" s="951" t="s">
        <v>6</v>
      </c>
      <c r="E1366" s="193" t="s">
        <v>870</v>
      </c>
      <c r="F1366" s="193" t="s">
        <v>5411</v>
      </c>
      <c r="G1366" s="343" t="s">
        <v>868</v>
      </c>
      <c r="H1366" s="341"/>
    </row>
    <row r="1367" spans="1:8" x14ac:dyDescent="0.25">
      <c r="A1367" s="133"/>
      <c r="B1367" s="245"/>
      <c r="C1367" s="202"/>
      <c r="D1367" s="211"/>
      <c r="E1367" s="228"/>
      <c r="F1367" s="202"/>
      <c r="G1367" s="354"/>
      <c r="H1367" s="355"/>
    </row>
    <row r="1368" spans="1:8" x14ac:dyDescent="0.25">
      <c r="A1368" s="133"/>
      <c r="B1368" s="247"/>
      <c r="C1368" s="248"/>
      <c r="D1368" s="961"/>
      <c r="E1368" s="228"/>
      <c r="F1368" s="202"/>
      <c r="G1368" s="351"/>
      <c r="H1368" s="341"/>
    </row>
    <row r="1369" spans="1:8" x14ac:dyDescent="0.25">
      <c r="A1369" s="133"/>
      <c r="B1369" s="247"/>
      <c r="C1369" s="232"/>
      <c r="D1369" s="952"/>
      <c r="E1369" s="232"/>
      <c r="F1369" s="226"/>
      <c r="G1369" s="344"/>
      <c r="H1369" s="341"/>
    </row>
    <row r="1370" spans="1:8" x14ac:dyDescent="0.25">
      <c r="A1370" s="133"/>
      <c r="B1370" s="194"/>
      <c r="C1370" s="232"/>
      <c r="D1370" s="952"/>
      <c r="E1370" s="232"/>
      <c r="F1370" s="226"/>
      <c r="G1370" s="344"/>
      <c r="H1370" s="341"/>
    </row>
    <row r="1371" spans="1:8" ht="15.75" thickBot="1" x14ac:dyDescent="0.3">
      <c r="A1371" s="133"/>
      <c r="B1371" s="195"/>
      <c r="C1371" s="232"/>
      <c r="D1371" s="952"/>
      <c r="E1371" s="232"/>
      <c r="F1371" s="226"/>
      <c r="G1371" s="344"/>
      <c r="H1371" s="341"/>
    </row>
    <row r="1372" spans="1:8" ht="15.75" thickBot="1" x14ac:dyDescent="0.3">
      <c r="A1372" s="133"/>
      <c r="B1372" s="233"/>
      <c r="C1372" s="234"/>
      <c r="D1372" s="953"/>
      <c r="E1372" s="234"/>
      <c r="F1372" s="235"/>
      <c r="G1372" s="347"/>
      <c r="H1372" s="348">
        <f>+SUM(G1367:G1372)</f>
        <v>0</v>
      </c>
    </row>
    <row r="1373" spans="1:8" ht="15.75" thickBot="1" x14ac:dyDescent="0.3">
      <c r="A1373" s="133"/>
      <c r="B1373" s="238"/>
      <c r="C1373" s="238"/>
      <c r="D1373" s="954"/>
      <c r="E1373" s="238"/>
      <c r="F1373" s="249"/>
      <c r="G1373" s="356"/>
      <c r="H1373" s="350"/>
    </row>
    <row r="1374" spans="1:8" ht="15.75" thickBot="1" x14ac:dyDescent="0.3">
      <c r="A1374" s="133"/>
      <c r="B1374" s="224" t="s">
        <v>5412</v>
      </c>
      <c r="C1374" s="193" t="s">
        <v>5420</v>
      </c>
      <c r="D1374" s="951" t="s">
        <v>5421</v>
      </c>
      <c r="E1374" s="193" t="s">
        <v>5413</v>
      </c>
      <c r="F1374" s="193" t="s">
        <v>5405</v>
      </c>
      <c r="G1374" s="343" t="s">
        <v>868</v>
      </c>
      <c r="H1374" s="341"/>
    </row>
    <row r="1375" spans="1:8" x14ac:dyDescent="0.25">
      <c r="A1375" s="133"/>
      <c r="B1375" s="194" t="s">
        <v>7196</v>
      </c>
      <c r="C1375" s="345">
        <f>+VLOOKUP($B1375,'Mano de obra'!$A$5:$D$26,2,FALSE)</f>
        <v>57455</v>
      </c>
      <c r="D1375" s="345">
        <f>+VLOOKUP($B1375,'Mano de obra'!$A$5:$D$26,3,FALSE)</f>
        <v>35656</v>
      </c>
      <c r="E1375" s="345">
        <f>+VLOOKUP($B1375,'Mano de obra'!$A$5:$D$26,4,FALSE)</f>
        <v>93111</v>
      </c>
      <c r="F1375" s="209">
        <f>2*1.2</f>
        <v>2.4</v>
      </c>
      <c r="G1375" s="351">
        <f>+E1375/F1375</f>
        <v>38796.25</v>
      </c>
      <c r="H1375" s="341"/>
    </row>
    <row r="1376" spans="1:8" x14ac:dyDescent="0.25">
      <c r="A1376" s="133"/>
      <c r="B1376" s="194" t="s">
        <v>6524</v>
      </c>
      <c r="C1376" s="345">
        <f>+VLOOKUP($B1376,'Mano de obra'!$A$5:$D$26,2,FALSE)</f>
        <v>44263.8</v>
      </c>
      <c r="D1376" s="345">
        <f>+VLOOKUP($B1376,'Mano de obra'!$A$5:$D$26,3,FALSE)</f>
        <v>27470</v>
      </c>
      <c r="E1376" s="345">
        <f>+VLOOKUP($B1376,'Mano de obra'!$A$5:$D$26,4,FALSE)</f>
        <v>71733.8</v>
      </c>
      <c r="F1376" s="202">
        <v>1</v>
      </c>
      <c r="G1376" s="351">
        <f>+E1376/F1376</f>
        <v>71733.8</v>
      </c>
      <c r="H1376" s="341"/>
    </row>
    <row r="1377" spans="1:8" x14ac:dyDescent="0.25">
      <c r="A1377" s="133"/>
      <c r="B1377" s="195" t="s">
        <v>6525</v>
      </c>
      <c r="C1377" s="345">
        <f>+VLOOKUP($B1377,'Mano de obra'!$A$5:$D$26,2,FALSE)</f>
        <v>24591</v>
      </c>
      <c r="D1377" s="345">
        <f>+VLOOKUP($B1377,'Mano de obra'!$A$5:$D$26,3,FALSE)</f>
        <v>15261</v>
      </c>
      <c r="E1377" s="345">
        <f>+VLOOKUP($B1377,'Mano de obra'!$A$5:$D$26,4,FALSE)</f>
        <v>39852</v>
      </c>
      <c r="F1377" s="226">
        <f>0.2*1.2</f>
        <v>0.24</v>
      </c>
      <c r="G1377" s="351">
        <f>+E1377/F1377</f>
        <v>166050</v>
      </c>
      <c r="H1377" s="341"/>
    </row>
    <row r="1378" spans="1:8" x14ac:dyDescent="0.25">
      <c r="A1378" s="133"/>
      <c r="B1378" s="195"/>
      <c r="C1378" s="346"/>
      <c r="D1378" s="955"/>
      <c r="E1378" s="345"/>
      <c r="F1378" s="226"/>
      <c r="G1378" s="351"/>
      <c r="H1378" s="341"/>
    </row>
    <row r="1379" spans="1:8" x14ac:dyDescent="0.25">
      <c r="A1379" s="133"/>
      <c r="B1379" s="195"/>
      <c r="C1379" s="232"/>
      <c r="D1379" s="952"/>
      <c r="E1379" s="232"/>
      <c r="F1379" s="226"/>
      <c r="G1379" s="344"/>
      <c r="H1379" s="341"/>
    </row>
    <row r="1380" spans="1:8" ht="15.75" thickBot="1" x14ac:dyDescent="0.3">
      <c r="A1380" s="133"/>
      <c r="B1380" s="195"/>
      <c r="C1380" s="232"/>
      <c r="D1380" s="952"/>
      <c r="E1380" s="232"/>
      <c r="F1380" s="226"/>
      <c r="G1380" s="344"/>
      <c r="H1380" s="341"/>
    </row>
    <row r="1381" spans="1:8" ht="15.75" thickBot="1" x14ac:dyDescent="0.3">
      <c r="A1381" s="133"/>
      <c r="B1381" s="251"/>
      <c r="C1381" s="252"/>
      <c r="D1381" s="956"/>
      <c r="E1381" s="252"/>
      <c r="F1381" s="253"/>
      <c r="G1381" s="357"/>
      <c r="H1381" s="348">
        <f>+SUM(G1375:G1381)</f>
        <v>276580.05</v>
      </c>
    </row>
    <row r="1382" spans="1:8" ht="15.75" thickBot="1" x14ac:dyDescent="0.3">
      <c r="A1382" s="133"/>
      <c r="B1382" s="8"/>
      <c r="C1382" s="8"/>
      <c r="D1382" s="529"/>
      <c r="E1382" s="8"/>
      <c r="F1382" s="133"/>
      <c r="G1382" s="341"/>
      <c r="H1382" s="341"/>
    </row>
    <row r="1383" spans="1:8" ht="15.75" thickBot="1" x14ac:dyDescent="0.3">
      <c r="A1383" s="133" t="s">
        <v>6744</v>
      </c>
      <c r="B1383" s="8"/>
      <c r="C1383" s="8"/>
      <c r="D1383" s="529"/>
      <c r="E1383" s="223" t="s">
        <v>5415</v>
      </c>
      <c r="F1383" s="133"/>
      <c r="G1383" s="200"/>
      <c r="H1383" s="348">
        <f>+H1381+H1372+H1364+H1349</f>
        <v>793561.99020080001</v>
      </c>
    </row>
    <row r="1384" spans="1:8" x14ac:dyDescent="0.25">
      <c r="A1384" s="1058"/>
      <c r="B1384" s="1058"/>
      <c r="C1384" s="1058"/>
      <c r="D1384" s="957"/>
      <c r="E1384" s="1058"/>
      <c r="F1384" s="1058"/>
      <c r="G1384" s="1058"/>
      <c r="H1384" s="1058"/>
    </row>
    <row r="1385" spans="1:8" x14ac:dyDescent="0.25">
      <c r="A1385" s="1058"/>
      <c r="B1385" s="1058"/>
      <c r="C1385" s="1058"/>
      <c r="D1385" s="957"/>
      <c r="E1385" s="1058"/>
      <c r="F1385" s="1058"/>
      <c r="G1385" s="1058"/>
      <c r="H1385" s="1058"/>
    </row>
    <row r="1386" spans="1:8" x14ac:dyDescent="0.25">
      <c r="A1386" s="1058"/>
      <c r="B1386" s="1058"/>
      <c r="C1386" s="1058"/>
      <c r="D1386" s="957"/>
      <c r="E1386" s="1058"/>
      <c r="F1386" s="1058"/>
      <c r="G1386" s="1058"/>
      <c r="H1386" s="1058"/>
    </row>
    <row r="1387" spans="1:8" ht="30" customHeight="1" x14ac:dyDescent="0.25">
      <c r="A1387" s="673" t="s">
        <v>5482</v>
      </c>
      <c r="B1387" s="1390" t="str">
        <f>+VLOOKUP(C1387,ListaAPUs!$B:$E,4,FALSE)</f>
        <v>3.1.4</v>
      </c>
      <c r="C1387" s="2449" t="str">
        <f>+ListaAPUs!B57</f>
        <v>CONCRETO ESTRUCTURAL RESIST. 28.0 MPA (280KG/CM2) IMPERMEABILIZADO PARA TAPAS</v>
      </c>
      <c r="D1387" s="2449"/>
      <c r="E1387" s="2449"/>
      <c r="F1387" s="673" t="s">
        <v>867</v>
      </c>
      <c r="G1387" s="342" t="s">
        <v>5454</v>
      </c>
      <c r="H1387" s="341"/>
    </row>
    <row r="1388" spans="1:8" x14ac:dyDescent="0.25">
      <c r="A1388" s="133"/>
      <c r="B1388" s="8"/>
      <c r="C1388" s="223"/>
      <c r="D1388" s="958"/>
      <c r="E1388" s="223"/>
      <c r="F1388" s="133"/>
      <c r="G1388" s="341"/>
      <c r="H1388" s="341"/>
    </row>
    <row r="1389" spans="1:8" x14ac:dyDescent="0.25">
      <c r="A1389" s="133"/>
      <c r="B1389" s="8"/>
      <c r="C1389" s="8"/>
      <c r="D1389" s="529"/>
      <c r="E1389" s="8"/>
      <c r="F1389" s="8"/>
      <c r="G1389" s="8"/>
      <c r="H1389" s="341"/>
    </row>
    <row r="1390" spans="1:8" ht="15.75" thickBot="1" x14ac:dyDescent="0.3">
      <c r="A1390" s="133"/>
      <c r="B1390" s="8"/>
      <c r="C1390" s="8"/>
      <c r="D1390" s="529"/>
      <c r="E1390" s="8"/>
      <c r="F1390" s="133"/>
      <c r="G1390" s="341"/>
      <c r="H1390" s="341"/>
    </row>
    <row r="1391" spans="1:8" ht="15.75" thickBot="1" x14ac:dyDescent="0.3">
      <c r="A1391" s="133"/>
      <c r="B1391" s="224" t="s">
        <v>5403</v>
      </c>
      <c r="C1391" s="193" t="s">
        <v>867</v>
      </c>
      <c r="D1391" s="951" t="s">
        <v>6</v>
      </c>
      <c r="E1391" s="193" t="s">
        <v>5439</v>
      </c>
      <c r="F1391" s="193" t="s">
        <v>5405</v>
      </c>
      <c r="G1391" s="343" t="s">
        <v>868</v>
      </c>
      <c r="H1391" s="341"/>
    </row>
    <row r="1392" spans="1:8" x14ac:dyDescent="0.25">
      <c r="A1392" s="133"/>
      <c r="B1392" s="195" t="s">
        <v>5455</v>
      </c>
      <c r="C1392" s="226" t="s">
        <v>7042</v>
      </c>
      <c r="D1392" s="212">
        <v>1</v>
      </c>
      <c r="E1392" s="228">
        <f>+H1430</f>
        <v>171215.50595238095</v>
      </c>
      <c r="F1392" s="226">
        <v>0.05</v>
      </c>
      <c r="G1392" s="344">
        <f>+E1392*F1392</f>
        <v>8560.7752976190477</v>
      </c>
      <c r="H1392" s="341"/>
    </row>
    <row r="1393" spans="1:8" x14ac:dyDescent="0.25">
      <c r="A1393" s="133"/>
      <c r="B1393" s="195" t="s">
        <v>6868</v>
      </c>
      <c r="C1393" s="226" t="s">
        <v>5542</v>
      </c>
      <c r="D1393" s="212">
        <v>1</v>
      </c>
      <c r="E1393" s="975">
        <f>+VLOOKUP(B1393,Insumos!$A$2:$C$331,3,FALSE)</f>
        <v>9001.6</v>
      </c>
      <c r="F1393" s="226">
        <v>0.67</v>
      </c>
      <c r="G1393" s="344">
        <f>+E1393*F1393</f>
        <v>6031.072000000001</v>
      </c>
      <c r="H1393" s="341"/>
    </row>
    <row r="1394" spans="1:8" x14ac:dyDescent="0.25">
      <c r="A1394" s="133"/>
      <c r="B1394" s="195" t="s">
        <v>6872</v>
      </c>
      <c r="C1394" s="226" t="s">
        <v>5542</v>
      </c>
      <c r="D1394" s="212">
        <v>1</v>
      </c>
      <c r="E1394" s="975">
        <f>+VLOOKUP(B1394,Insumos!$A$2:$C$331,3,FALSE)</f>
        <v>4500.8</v>
      </c>
      <c r="F1394" s="226">
        <v>2</v>
      </c>
      <c r="G1394" s="344">
        <f>+E1394/F1394</f>
        <v>2250.4</v>
      </c>
      <c r="H1394" s="341"/>
    </row>
    <row r="1395" spans="1:8" x14ac:dyDescent="0.25">
      <c r="A1395" s="133"/>
      <c r="B1395" s="195"/>
      <c r="C1395" s="226"/>
      <c r="D1395" s="212"/>
      <c r="E1395" s="346"/>
      <c r="F1395" s="226"/>
      <c r="G1395" s="344"/>
      <c r="H1395" s="341"/>
    </row>
    <row r="1396" spans="1:8" x14ac:dyDescent="0.25">
      <c r="A1396" s="133"/>
      <c r="B1396" s="195"/>
      <c r="C1396" s="226"/>
      <c r="D1396" s="952"/>
      <c r="E1396" s="232"/>
      <c r="F1396" s="226"/>
      <c r="G1396" s="344"/>
      <c r="H1396" s="341"/>
    </row>
    <row r="1397" spans="1:8" ht="15.75" thickBot="1" x14ac:dyDescent="0.3">
      <c r="A1397" s="133"/>
      <c r="B1397" s="195"/>
      <c r="C1397" s="226"/>
      <c r="D1397" s="952"/>
      <c r="E1397" s="232"/>
      <c r="F1397" s="226"/>
      <c r="G1397" s="344"/>
      <c r="H1397" s="341"/>
    </row>
    <row r="1398" spans="1:8" ht="15.75" thickBot="1" x14ac:dyDescent="0.3">
      <c r="A1398" s="133"/>
      <c r="B1398" s="233"/>
      <c r="C1398" s="234"/>
      <c r="D1398" s="953"/>
      <c r="E1398" s="234"/>
      <c r="F1398" s="235"/>
      <c r="G1398" s="347"/>
      <c r="H1398" s="348">
        <f>+SUM(G1392:G1398)</f>
        <v>16842.247297619051</v>
      </c>
    </row>
    <row r="1399" spans="1:8" ht="15.75" thickBot="1" x14ac:dyDescent="0.3">
      <c r="A1399" s="133"/>
      <c r="B1399" s="238"/>
      <c r="C1399" s="238"/>
      <c r="D1399" s="954"/>
      <c r="E1399" s="238"/>
      <c r="F1399" s="239"/>
      <c r="G1399" s="349"/>
      <c r="H1399" s="350"/>
    </row>
    <row r="1400" spans="1:8" ht="15.75" thickBot="1" x14ac:dyDescent="0.3">
      <c r="A1400" s="133"/>
      <c r="B1400" s="224" t="s">
        <v>5408</v>
      </c>
      <c r="C1400" s="193" t="s">
        <v>867</v>
      </c>
      <c r="D1400" s="951" t="s">
        <v>6</v>
      </c>
      <c r="E1400" s="193" t="s">
        <v>870</v>
      </c>
      <c r="F1400" s="193" t="s">
        <v>5409</v>
      </c>
      <c r="G1400" s="343" t="s">
        <v>868</v>
      </c>
      <c r="H1400" s="341"/>
    </row>
    <row r="1401" spans="1:8" x14ac:dyDescent="0.25">
      <c r="A1401" s="133"/>
      <c r="B1401" s="242" t="s">
        <v>6836</v>
      </c>
      <c r="C1401" s="202" t="s">
        <v>5431</v>
      </c>
      <c r="D1401" s="212">
        <v>450</v>
      </c>
      <c r="E1401" s="975">
        <f>+VLOOKUP(B1401,Insumos!$A$2:$C$331,3,FALSE)</f>
        <v>470</v>
      </c>
      <c r="F1401" s="169">
        <v>1.05</v>
      </c>
      <c r="G1401" s="351">
        <f>+E1401*D1401*F1401</f>
        <v>222075</v>
      </c>
      <c r="H1401" s="341"/>
    </row>
    <row r="1402" spans="1:8" x14ac:dyDescent="0.25">
      <c r="A1402" s="133"/>
      <c r="B1402" s="243" t="s">
        <v>6859</v>
      </c>
      <c r="C1402" s="202" t="s">
        <v>5542</v>
      </c>
      <c r="D1402" s="211">
        <v>0.48</v>
      </c>
      <c r="E1402" s="975">
        <f>+VLOOKUP(B1402,Insumos!$A$2:$C$331,3,FALSE)</f>
        <v>99611</v>
      </c>
      <c r="F1402" s="169">
        <v>1.05</v>
      </c>
      <c r="G1402" s="351">
        <f t="shared" ref="G1402:G1407" si="1">+E1402*D1402*F1402</f>
        <v>50203.944000000003</v>
      </c>
      <c r="H1402" s="341"/>
    </row>
    <row r="1403" spans="1:8" x14ac:dyDescent="0.25">
      <c r="A1403" s="133"/>
      <c r="B1403" s="243" t="s">
        <v>6867</v>
      </c>
      <c r="C1403" s="226" t="s">
        <v>5542</v>
      </c>
      <c r="D1403" s="212">
        <v>0.72</v>
      </c>
      <c r="E1403" s="975">
        <f>+VLOOKUP(B1403,Insumos!$A$2:$C$331,3,FALSE)</f>
        <v>99527.7</v>
      </c>
      <c r="F1403" s="169">
        <v>1.05</v>
      </c>
      <c r="G1403" s="351">
        <f t="shared" si="1"/>
        <v>75242.941199999987</v>
      </c>
      <c r="H1403" s="341"/>
    </row>
    <row r="1404" spans="1:8" x14ac:dyDescent="0.25">
      <c r="A1404" s="133"/>
      <c r="B1404" s="194" t="s">
        <v>6855</v>
      </c>
      <c r="C1404" s="226" t="s">
        <v>7046</v>
      </c>
      <c r="D1404" s="212">
        <v>240</v>
      </c>
      <c r="E1404" s="975">
        <f>+VLOOKUP(B1404,Insumos!$A$2:$C$331,3,FALSE)</f>
        <v>30</v>
      </c>
      <c r="F1404" s="169">
        <v>1.05</v>
      </c>
      <c r="G1404" s="351">
        <f t="shared" si="1"/>
        <v>7560</v>
      </c>
      <c r="H1404" s="341"/>
    </row>
    <row r="1405" spans="1:8" x14ac:dyDescent="0.25">
      <c r="A1405" s="133"/>
      <c r="B1405" s="195" t="s">
        <v>6865</v>
      </c>
      <c r="C1405" s="226" t="s">
        <v>5556</v>
      </c>
      <c r="D1405" s="212">
        <v>0.5</v>
      </c>
      <c r="E1405" s="975">
        <f>+VLOOKUP(B1405,Insumos!$A$2:$C$331,3,FALSE)</f>
        <v>58999.096863999999</v>
      </c>
      <c r="F1405" s="169">
        <v>1.05</v>
      </c>
      <c r="G1405" s="351">
        <f t="shared" si="1"/>
        <v>30974.5258536</v>
      </c>
      <c r="H1405" s="341"/>
    </row>
    <row r="1406" spans="1:8" x14ac:dyDescent="0.25">
      <c r="A1406" s="133"/>
      <c r="B1406" s="194" t="s">
        <v>6878</v>
      </c>
      <c r="C1406" s="202" t="s">
        <v>5734</v>
      </c>
      <c r="D1406" s="211"/>
      <c r="E1406" s="975">
        <f>+VLOOKUP(B1406,Insumos!$A$2:$C$331,3,FALSE)</f>
        <v>5626</v>
      </c>
      <c r="F1406" s="169"/>
      <c r="G1406" s="351">
        <f>+E1406</f>
        <v>5626</v>
      </c>
      <c r="H1406" s="341"/>
    </row>
    <row r="1407" spans="1:8" x14ac:dyDescent="0.25">
      <c r="A1407" s="133"/>
      <c r="B1407" s="195" t="s">
        <v>5928</v>
      </c>
      <c r="C1407" s="226" t="s">
        <v>5556</v>
      </c>
      <c r="D1407" s="212">
        <v>0.4</v>
      </c>
      <c r="E1407" s="975">
        <f>+VLOOKUP(B1407,Insumos!$A$2:$C$331,3,FALSE)</f>
        <v>31651.876</v>
      </c>
      <c r="F1407" s="169">
        <v>0.1</v>
      </c>
      <c r="G1407" s="351">
        <f t="shared" si="1"/>
        <v>1266.0750400000002</v>
      </c>
      <c r="H1407" s="341"/>
    </row>
    <row r="1408" spans="1:8" x14ac:dyDescent="0.25">
      <c r="A1408" s="133"/>
      <c r="B1408" s="195" t="s">
        <v>7961</v>
      </c>
      <c r="C1408" s="226" t="s">
        <v>5431</v>
      </c>
      <c r="D1408" s="212">
        <f>2.25*1.17</f>
        <v>2.6324999999999998</v>
      </c>
      <c r="E1408" s="975">
        <f>+VLOOKUP(B1408,Insumos!$A$2:$C$331,3,FALSE)</f>
        <v>3682.7795999999998</v>
      </c>
      <c r="F1408" s="169"/>
      <c r="G1408" s="351">
        <f>+E1408</f>
        <v>3682.7795999999998</v>
      </c>
      <c r="H1408" s="341"/>
    </row>
    <row r="1409" spans="1:8" ht="24.75" customHeight="1" x14ac:dyDescent="0.25">
      <c r="A1409" s="133"/>
      <c r="B1409" s="1579" t="s">
        <v>6910</v>
      </c>
      <c r="C1409" s="226" t="s">
        <v>591</v>
      </c>
      <c r="D1409" s="212">
        <f>+D1401*0.005</f>
        <v>2.25</v>
      </c>
      <c r="E1409" s="975">
        <f>+VLOOKUP(B1409,Insumos!$A$2:$C$331,3,FALSE)</f>
        <v>12019</v>
      </c>
      <c r="F1409" s="1552">
        <v>0.01</v>
      </c>
      <c r="G1409" s="351">
        <f>+D1409*(1+F1409)*E1409</f>
        <v>27313.177499999998</v>
      </c>
      <c r="H1409" s="341"/>
    </row>
    <row r="1410" spans="1:8" x14ac:dyDescent="0.25">
      <c r="A1410" s="133"/>
      <c r="B1410" s="195"/>
      <c r="C1410" s="232"/>
      <c r="D1410" s="952"/>
      <c r="E1410" s="232"/>
      <c r="F1410" s="226"/>
      <c r="G1410" s="344"/>
      <c r="H1410" s="341"/>
    </row>
    <row r="1411" spans="1:8" x14ac:dyDescent="0.25">
      <c r="A1411" s="133"/>
      <c r="B1411" s="195"/>
      <c r="C1411" s="232"/>
      <c r="D1411" s="952"/>
      <c r="E1411" s="232"/>
      <c r="F1411" s="226"/>
      <c r="G1411" s="344"/>
      <c r="H1411" s="341"/>
    </row>
    <row r="1412" spans="1:8" ht="15.75" thickBot="1" x14ac:dyDescent="0.3">
      <c r="A1412" s="133"/>
      <c r="B1412" s="195"/>
      <c r="C1412" s="232"/>
      <c r="D1412" s="952"/>
      <c r="E1412" s="232"/>
      <c r="F1412" s="226"/>
      <c r="G1412" s="344"/>
      <c r="H1412" s="341"/>
    </row>
    <row r="1413" spans="1:8" ht="15.75" thickBot="1" x14ac:dyDescent="0.3">
      <c r="A1413" s="133"/>
      <c r="B1413" s="233"/>
      <c r="C1413" s="234"/>
      <c r="D1413" s="953"/>
      <c r="E1413" s="234"/>
      <c r="F1413" s="235"/>
      <c r="G1413" s="347"/>
      <c r="H1413" s="348">
        <f>+SUM(G1401:G1413)</f>
        <v>423944.44319360005</v>
      </c>
    </row>
    <row r="1414" spans="1:8" ht="15.75" thickBot="1" x14ac:dyDescent="0.3">
      <c r="A1414" s="133"/>
      <c r="B1414" s="238"/>
      <c r="C1414" s="238"/>
      <c r="D1414" s="954"/>
      <c r="E1414" s="238"/>
      <c r="F1414" s="239"/>
      <c r="G1414" s="349"/>
      <c r="H1414" s="350"/>
    </row>
    <row r="1415" spans="1:8" ht="15.75" thickBot="1" x14ac:dyDescent="0.3">
      <c r="A1415" s="133"/>
      <c r="B1415" s="224" t="s">
        <v>5410</v>
      </c>
      <c r="C1415" s="193" t="s">
        <v>867</v>
      </c>
      <c r="D1415" s="951" t="s">
        <v>6</v>
      </c>
      <c r="E1415" s="193" t="s">
        <v>870</v>
      </c>
      <c r="F1415" s="193" t="s">
        <v>5411</v>
      </c>
      <c r="G1415" s="343" t="s">
        <v>868</v>
      </c>
      <c r="H1415" s="341"/>
    </row>
    <row r="1416" spans="1:8" x14ac:dyDescent="0.25">
      <c r="A1416" s="133"/>
      <c r="B1416" s="245"/>
      <c r="C1416" s="202"/>
      <c r="D1416" s="211"/>
      <c r="E1416" s="228"/>
      <c r="F1416" s="202"/>
      <c r="G1416" s="354"/>
      <c r="H1416" s="355"/>
    </row>
    <row r="1417" spans="1:8" x14ac:dyDescent="0.25">
      <c r="A1417" s="133"/>
      <c r="B1417" s="247"/>
      <c r="C1417" s="248"/>
      <c r="D1417" s="961"/>
      <c r="E1417" s="228"/>
      <c r="F1417" s="202"/>
      <c r="G1417" s="351"/>
      <c r="H1417" s="341"/>
    </row>
    <row r="1418" spans="1:8" x14ac:dyDescent="0.25">
      <c r="A1418" s="133"/>
      <c r="B1418" s="247"/>
      <c r="C1418" s="232"/>
      <c r="D1418" s="952"/>
      <c r="E1418" s="232"/>
      <c r="F1418" s="226"/>
      <c r="G1418" s="344"/>
      <c r="H1418" s="341"/>
    </row>
    <row r="1419" spans="1:8" x14ac:dyDescent="0.25">
      <c r="A1419" s="133"/>
      <c r="B1419" s="194"/>
      <c r="C1419" s="232"/>
      <c r="D1419" s="952"/>
      <c r="E1419" s="232"/>
      <c r="F1419" s="226"/>
      <c r="G1419" s="344"/>
      <c r="H1419" s="341"/>
    </row>
    <row r="1420" spans="1:8" ht="15.75" thickBot="1" x14ac:dyDescent="0.3">
      <c r="A1420" s="133"/>
      <c r="B1420" s="195"/>
      <c r="C1420" s="232"/>
      <c r="D1420" s="952"/>
      <c r="E1420" s="232"/>
      <c r="F1420" s="226"/>
      <c r="G1420" s="344"/>
      <c r="H1420" s="341"/>
    </row>
    <row r="1421" spans="1:8" ht="15.75" thickBot="1" x14ac:dyDescent="0.3">
      <c r="A1421" s="133"/>
      <c r="B1421" s="233"/>
      <c r="C1421" s="234"/>
      <c r="D1421" s="953"/>
      <c r="E1421" s="234"/>
      <c r="F1421" s="235"/>
      <c r="G1421" s="347"/>
      <c r="H1421" s="348">
        <f>+SUM(G1416:G1421)</f>
        <v>0</v>
      </c>
    </row>
    <row r="1422" spans="1:8" ht="15.75" thickBot="1" x14ac:dyDescent="0.3">
      <c r="A1422" s="133"/>
      <c r="B1422" s="238"/>
      <c r="C1422" s="238"/>
      <c r="D1422" s="954"/>
      <c r="E1422" s="238"/>
      <c r="F1422" s="249"/>
      <c r="G1422" s="356"/>
      <c r="H1422" s="350"/>
    </row>
    <row r="1423" spans="1:8" ht="15.75" thickBot="1" x14ac:dyDescent="0.3">
      <c r="A1423" s="133"/>
      <c r="B1423" s="224" t="s">
        <v>5412</v>
      </c>
      <c r="C1423" s="193" t="s">
        <v>5420</v>
      </c>
      <c r="D1423" s="951" t="s">
        <v>5421</v>
      </c>
      <c r="E1423" s="193" t="s">
        <v>5413</v>
      </c>
      <c r="F1423" s="193" t="s">
        <v>5405</v>
      </c>
      <c r="G1423" s="343" t="s">
        <v>868</v>
      </c>
      <c r="H1423" s="341"/>
    </row>
    <row r="1424" spans="1:8" x14ac:dyDescent="0.25">
      <c r="A1424" s="133"/>
      <c r="B1424" s="194" t="s">
        <v>7196</v>
      </c>
      <c r="C1424" s="345">
        <f>+VLOOKUP($B1424,'Mano de obra'!$A$5:$D$26,2,FALSE)</f>
        <v>57455</v>
      </c>
      <c r="D1424" s="345">
        <f>+VLOOKUP($B1424,'Mano de obra'!$A$5:$D$26,3,FALSE)</f>
        <v>35656</v>
      </c>
      <c r="E1424" s="345">
        <f>+VLOOKUP($B1424,'Mano de obra'!$A$5:$D$26,4,FALSE)</f>
        <v>93111</v>
      </c>
      <c r="F1424" s="209">
        <f>4*1.2</f>
        <v>4.8</v>
      </c>
      <c r="G1424" s="351">
        <f>+E1424/F1424</f>
        <v>19398.125</v>
      </c>
      <c r="H1424" s="341"/>
    </row>
    <row r="1425" spans="1:8" x14ac:dyDescent="0.25">
      <c r="A1425" s="133"/>
      <c r="B1425" s="194" t="s">
        <v>6524</v>
      </c>
      <c r="C1425" s="345">
        <f>+VLOOKUP($B1425,'Mano de obra'!$A$5:$D$26,2,FALSE)</f>
        <v>44263.8</v>
      </c>
      <c r="D1425" s="345">
        <f>+VLOOKUP($B1425,'Mano de obra'!$A$5:$D$26,3,FALSE)</f>
        <v>27470</v>
      </c>
      <c r="E1425" s="345">
        <f>+VLOOKUP($B1425,'Mano de obra'!$A$5:$D$26,4,FALSE)</f>
        <v>71733.8</v>
      </c>
      <c r="F1425" s="202">
        <f>0.7*1.2</f>
        <v>0.84</v>
      </c>
      <c r="G1425" s="351">
        <f>+E1425/F1425</f>
        <v>85397.380952380961</v>
      </c>
      <c r="H1425" s="341"/>
    </row>
    <row r="1426" spans="1:8" x14ac:dyDescent="0.25">
      <c r="A1426" s="133"/>
      <c r="B1426" s="195" t="s">
        <v>6525</v>
      </c>
      <c r="C1426" s="345">
        <f>+VLOOKUP($B1426,'Mano de obra'!$A$5:$D$26,2,FALSE)</f>
        <v>24591</v>
      </c>
      <c r="D1426" s="345">
        <f>+VLOOKUP($B1426,'Mano de obra'!$A$5:$D$26,3,FALSE)</f>
        <v>15261</v>
      </c>
      <c r="E1426" s="345">
        <f>+VLOOKUP($B1426,'Mano de obra'!$A$5:$D$26,4,FALSE)</f>
        <v>39852</v>
      </c>
      <c r="F1426" s="226">
        <f>0.5*1.2</f>
        <v>0.6</v>
      </c>
      <c r="G1426" s="351">
        <f>+E1426/F1426</f>
        <v>66420</v>
      </c>
      <c r="H1426" s="341"/>
    </row>
    <row r="1427" spans="1:8" x14ac:dyDescent="0.25">
      <c r="A1427" s="133"/>
      <c r="B1427" s="195"/>
      <c r="C1427" s="346"/>
      <c r="D1427" s="955"/>
      <c r="E1427" s="345"/>
      <c r="F1427" s="226"/>
      <c r="G1427" s="351"/>
      <c r="H1427" s="341"/>
    </row>
    <row r="1428" spans="1:8" x14ac:dyDescent="0.25">
      <c r="A1428" s="133"/>
      <c r="B1428" s="195"/>
      <c r="C1428" s="232"/>
      <c r="D1428" s="952"/>
      <c r="E1428" s="232"/>
      <c r="F1428" s="226"/>
      <c r="G1428" s="344"/>
      <c r="H1428" s="341"/>
    </row>
    <row r="1429" spans="1:8" ht="15.75" thickBot="1" x14ac:dyDescent="0.3">
      <c r="A1429" s="133"/>
      <c r="B1429" s="195"/>
      <c r="C1429" s="232"/>
      <c r="D1429" s="952"/>
      <c r="E1429" s="232"/>
      <c r="F1429" s="226"/>
      <c r="G1429" s="344"/>
      <c r="H1429" s="341"/>
    </row>
    <row r="1430" spans="1:8" ht="15.75" thickBot="1" x14ac:dyDescent="0.3">
      <c r="A1430" s="133"/>
      <c r="B1430" s="251"/>
      <c r="C1430" s="252"/>
      <c r="D1430" s="956"/>
      <c r="E1430" s="252"/>
      <c r="F1430" s="253"/>
      <c r="G1430" s="357"/>
      <c r="H1430" s="348">
        <f>+SUM(G1424:G1430)</f>
        <v>171215.50595238095</v>
      </c>
    </row>
    <row r="1431" spans="1:8" ht="15.75" thickBot="1" x14ac:dyDescent="0.3">
      <c r="A1431" s="133"/>
      <c r="B1431" s="8"/>
      <c r="C1431" s="8"/>
      <c r="D1431" s="529"/>
      <c r="E1431" s="8"/>
      <c r="F1431" s="133"/>
      <c r="G1431" s="341"/>
      <c r="H1431" s="341"/>
    </row>
    <row r="1432" spans="1:8" ht="15.75" thickBot="1" x14ac:dyDescent="0.3">
      <c r="A1432" s="133" t="s">
        <v>6744</v>
      </c>
      <c r="B1432" s="8"/>
      <c r="C1432" s="8"/>
      <c r="D1432" s="529"/>
      <c r="E1432" s="223" t="s">
        <v>5415</v>
      </c>
      <c r="F1432" s="133"/>
      <c r="G1432" s="200"/>
      <c r="H1432" s="993">
        <f>+H1430+H1421+H1413+H1398</f>
        <v>612002.1964436</v>
      </c>
    </row>
    <row r="1433" spans="1:8" x14ac:dyDescent="0.25">
      <c r="A1433" s="1058"/>
      <c r="B1433" s="1058"/>
      <c r="C1433" s="1058"/>
      <c r="D1433" s="957"/>
      <c r="E1433" s="1058"/>
      <c r="F1433" s="1058"/>
      <c r="G1433" s="1058"/>
      <c r="H1433" s="1058"/>
    </row>
    <row r="1434" spans="1:8" x14ac:dyDescent="0.25">
      <c r="A1434" s="1058"/>
      <c r="B1434" s="1058"/>
      <c r="C1434" s="1058"/>
      <c r="D1434" s="957"/>
      <c r="E1434" s="1058"/>
      <c r="F1434" s="1058"/>
      <c r="G1434" s="1058"/>
      <c r="H1434" s="1058"/>
    </row>
    <row r="1435" spans="1:8" ht="22.5" customHeight="1" x14ac:dyDescent="0.25">
      <c r="A1435" s="673" t="s">
        <v>5482</v>
      </c>
      <c r="B1435" s="1390" t="str">
        <f>+VLOOKUP(C1435,ListaAPUs!$B:$E,4,FALSE)</f>
        <v>3.1.5</v>
      </c>
      <c r="C1435" s="2449" t="str">
        <f>+ListaAPUs!B58</f>
        <v>CONCRETO SIMPLE RESIST. 21.0 Mpa (210Kg/cm2) PARA ANCLAJES</v>
      </c>
      <c r="D1435" s="2449"/>
      <c r="E1435" s="2449"/>
      <c r="F1435" s="673" t="s">
        <v>867</v>
      </c>
      <c r="G1435" s="342" t="s">
        <v>5454</v>
      </c>
      <c r="H1435" s="341"/>
    </row>
    <row r="1436" spans="1:8" x14ac:dyDescent="0.25">
      <c r="A1436" s="133"/>
      <c r="B1436" s="8"/>
      <c r="C1436" s="223"/>
      <c r="D1436" s="958"/>
      <c r="E1436" s="223"/>
      <c r="F1436" s="133"/>
      <c r="G1436" s="341"/>
      <c r="H1436" s="341"/>
    </row>
    <row r="1437" spans="1:8" x14ac:dyDescent="0.25">
      <c r="A1437" s="133"/>
      <c r="B1437" s="8"/>
      <c r="C1437" s="8"/>
      <c r="D1437" s="529"/>
      <c r="E1437" s="8"/>
      <c r="F1437" s="8"/>
      <c r="G1437" s="8"/>
      <c r="H1437" s="341"/>
    </row>
    <row r="1438" spans="1:8" ht="15.75" thickBot="1" x14ac:dyDescent="0.3">
      <c r="A1438" s="133"/>
      <c r="B1438" s="8"/>
      <c r="C1438" s="8"/>
      <c r="D1438" s="529"/>
      <c r="E1438" s="8"/>
      <c r="F1438" s="133"/>
      <c r="G1438" s="341"/>
      <c r="H1438" s="341"/>
    </row>
    <row r="1439" spans="1:8" ht="15.75" thickBot="1" x14ac:dyDescent="0.3">
      <c r="A1439" s="133"/>
      <c r="B1439" s="224" t="s">
        <v>5403</v>
      </c>
      <c r="C1439" s="193" t="s">
        <v>867</v>
      </c>
      <c r="D1439" s="951" t="s">
        <v>6</v>
      </c>
      <c r="E1439" s="193" t="s">
        <v>5439</v>
      </c>
      <c r="F1439" s="193" t="s">
        <v>5405</v>
      </c>
      <c r="G1439" s="343" t="s">
        <v>868</v>
      </c>
      <c r="H1439" s="341"/>
    </row>
    <row r="1440" spans="1:8" x14ac:dyDescent="0.25">
      <c r="A1440" s="133"/>
      <c r="B1440" s="195" t="s">
        <v>5440</v>
      </c>
      <c r="C1440" s="226" t="s">
        <v>5542</v>
      </c>
      <c r="D1440" s="212">
        <v>1</v>
      </c>
      <c r="E1440" s="228">
        <f>+H1478</f>
        <v>100747.41666666667</v>
      </c>
      <c r="F1440" s="226">
        <v>0.1</v>
      </c>
      <c r="G1440" s="344">
        <f>+E1440*F1440</f>
        <v>10074.741666666669</v>
      </c>
      <c r="H1440" s="341"/>
    </row>
    <row r="1441" spans="1:8" x14ac:dyDescent="0.25">
      <c r="A1441" s="133"/>
      <c r="B1441" s="195" t="s">
        <v>5548</v>
      </c>
      <c r="C1441" s="226" t="s">
        <v>5542</v>
      </c>
      <c r="D1441" s="212">
        <v>1</v>
      </c>
      <c r="E1441" s="975">
        <f>+VLOOKUP(B1441,Insumos!$A$2:$C$331,3,FALSE)</f>
        <v>9001.6</v>
      </c>
      <c r="F1441" s="226">
        <v>2</v>
      </c>
      <c r="G1441" s="344">
        <f>+D1441*E1441/F1441</f>
        <v>4500.8</v>
      </c>
      <c r="H1441" s="341"/>
    </row>
    <row r="1442" spans="1:8" x14ac:dyDescent="0.25">
      <c r="A1442" s="133"/>
      <c r="B1442" s="195" t="s">
        <v>5554</v>
      </c>
      <c r="C1442" s="226" t="s">
        <v>5542</v>
      </c>
      <c r="D1442" s="212">
        <v>1</v>
      </c>
      <c r="E1442" s="975">
        <f>+VLOOKUP(B1442,Insumos!$A$2:$C$331,3,FALSE)</f>
        <v>4500.8</v>
      </c>
      <c r="F1442" s="226">
        <v>2</v>
      </c>
      <c r="G1442" s="344">
        <f>+D1442*E1442/F1442</f>
        <v>2250.4</v>
      </c>
      <c r="H1442" s="341"/>
    </row>
    <row r="1443" spans="1:8" x14ac:dyDescent="0.25">
      <c r="A1443" s="133"/>
      <c r="B1443" s="195"/>
      <c r="C1443" s="226"/>
      <c r="D1443" s="212"/>
      <c r="E1443" s="346"/>
      <c r="F1443" s="226"/>
      <c r="G1443" s="344"/>
      <c r="H1443" s="341"/>
    </row>
    <row r="1444" spans="1:8" x14ac:dyDescent="0.25">
      <c r="A1444" s="133"/>
      <c r="B1444" s="195"/>
      <c r="C1444" s="226"/>
      <c r="D1444" s="952"/>
      <c r="E1444" s="232"/>
      <c r="F1444" s="226"/>
      <c r="G1444" s="344"/>
      <c r="H1444" s="341"/>
    </row>
    <row r="1445" spans="1:8" ht="15.75" thickBot="1" x14ac:dyDescent="0.3">
      <c r="A1445" s="133"/>
      <c r="B1445" s="195"/>
      <c r="C1445" s="226"/>
      <c r="D1445" s="952"/>
      <c r="E1445" s="232"/>
      <c r="F1445" s="226"/>
      <c r="G1445" s="344"/>
      <c r="H1445" s="341"/>
    </row>
    <row r="1446" spans="1:8" ht="15.75" thickBot="1" x14ac:dyDescent="0.3">
      <c r="A1446" s="133"/>
      <c r="B1446" s="233"/>
      <c r="C1446" s="234"/>
      <c r="D1446" s="953"/>
      <c r="E1446" s="234"/>
      <c r="F1446" s="235"/>
      <c r="G1446" s="347"/>
      <c r="H1446" s="348">
        <f>+SUM(G1440:G1446)</f>
        <v>16825.941666666669</v>
      </c>
    </row>
    <row r="1447" spans="1:8" ht="15.75" thickBot="1" x14ac:dyDescent="0.3">
      <c r="A1447" s="133"/>
      <c r="B1447" s="238"/>
      <c r="C1447" s="238"/>
      <c r="D1447" s="954"/>
      <c r="E1447" s="238"/>
      <c r="F1447" s="239"/>
      <c r="G1447" s="349"/>
      <c r="H1447" s="350"/>
    </row>
    <row r="1448" spans="1:8" ht="15.75" thickBot="1" x14ac:dyDescent="0.3">
      <c r="A1448" s="133"/>
      <c r="B1448" s="224" t="s">
        <v>5408</v>
      </c>
      <c r="C1448" s="193" t="s">
        <v>867</v>
      </c>
      <c r="D1448" s="951" t="s">
        <v>6</v>
      </c>
      <c r="E1448" s="193" t="s">
        <v>870</v>
      </c>
      <c r="F1448" s="193" t="s">
        <v>5409</v>
      </c>
      <c r="G1448" s="343" t="s">
        <v>868</v>
      </c>
      <c r="H1448" s="341"/>
    </row>
    <row r="1449" spans="1:8" x14ac:dyDescent="0.25">
      <c r="A1449" s="133"/>
      <c r="B1449" s="242" t="s">
        <v>5549</v>
      </c>
      <c r="C1449" s="202" t="s">
        <v>5550</v>
      </c>
      <c r="D1449" s="212">
        <v>350</v>
      </c>
      <c r="E1449" s="975">
        <f>+VLOOKUP(B1449,Insumos!$A$2:$C$331,3,FALSE)</f>
        <v>470</v>
      </c>
      <c r="F1449" s="169">
        <v>0.05</v>
      </c>
      <c r="G1449" s="351">
        <f>+D1449*E1449*(1+F1449)</f>
        <v>172725</v>
      </c>
      <c r="H1449" s="341"/>
    </row>
    <row r="1450" spans="1:8" x14ac:dyDescent="0.25">
      <c r="A1450" s="133"/>
      <c r="B1450" s="243" t="s">
        <v>5551</v>
      </c>
      <c r="C1450" s="202" t="s">
        <v>5542</v>
      </c>
      <c r="D1450" s="211">
        <v>0.55500000000000005</v>
      </c>
      <c r="E1450" s="975">
        <f>+VLOOKUP(B1450,Insumos!$A$2:$C$331,3,FALSE)</f>
        <v>99611</v>
      </c>
      <c r="F1450" s="169">
        <v>0.05</v>
      </c>
      <c r="G1450" s="351">
        <f>+D1450*E1450*(1+F1450)</f>
        <v>58048.310250000002</v>
      </c>
      <c r="H1450" s="341"/>
    </row>
    <row r="1451" spans="1:8" x14ac:dyDescent="0.25">
      <c r="A1451" s="133"/>
      <c r="B1451" s="243" t="s">
        <v>5552</v>
      </c>
      <c r="C1451" s="226" t="s">
        <v>5542</v>
      </c>
      <c r="D1451" s="212">
        <v>0.83499999999999996</v>
      </c>
      <c r="E1451" s="975">
        <f>+VLOOKUP(B1451,Insumos!$A$2:$C$331,3,FALSE)</f>
        <v>99527.7</v>
      </c>
      <c r="F1451" s="169">
        <v>0.05</v>
      </c>
      <c r="G1451" s="351">
        <f>+D1451*E1451*(1+F1451)</f>
        <v>87260.910975000006</v>
      </c>
      <c r="H1451" s="341"/>
    </row>
    <row r="1452" spans="1:8" x14ac:dyDescent="0.25">
      <c r="A1452" s="133"/>
      <c r="B1452" s="194" t="s">
        <v>5553</v>
      </c>
      <c r="C1452" s="226" t="s">
        <v>5488</v>
      </c>
      <c r="D1452" s="212">
        <v>180</v>
      </c>
      <c r="E1452" s="975">
        <f>+VLOOKUP(B1452,Insumos!$A$2:$C$331,3,FALSE)</f>
        <v>30</v>
      </c>
      <c r="F1452" s="169">
        <v>0.05</v>
      </c>
      <c r="G1452" s="351">
        <f>+D1452*E1452*(1+F1452)</f>
        <v>5670</v>
      </c>
      <c r="H1452" s="341"/>
    </row>
    <row r="1453" spans="1:8" x14ac:dyDescent="0.25">
      <c r="A1453" s="133"/>
      <c r="B1453" s="195" t="s">
        <v>5555</v>
      </c>
      <c r="C1453" s="226" t="s">
        <v>5556</v>
      </c>
      <c r="D1453" s="212">
        <v>0.5</v>
      </c>
      <c r="E1453" s="975">
        <f>+VLOOKUP(B1453,Insumos!$A$2:$C$331,3,FALSE)</f>
        <v>58999.096863999999</v>
      </c>
      <c r="F1453" s="169">
        <v>0.05</v>
      </c>
      <c r="G1453" s="351">
        <f>+D1453*E1453*(1+F1453)</f>
        <v>30974.5258536</v>
      </c>
      <c r="H1453" s="341"/>
    </row>
    <row r="1454" spans="1:8" x14ac:dyDescent="0.25">
      <c r="A1454" s="133"/>
      <c r="B1454" s="194"/>
      <c r="C1454" s="202"/>
      <c r="D1454" s="211"/>
      <c r="E1454" s="345"/>
      <c r="F1454" s="169"/>
      <c r="G1454" s="351"/>
      <c r="H1454" s="341"/>
    </row>
    <row r="1455" spans="1:8" x14ac:dyDescent="0.25">
      <c r="A1455" s="133"/>
      <c r="B1455" s="195"/>
      <c r="C1455" s="226"/>
      <c r="D1455" s="212"/>
      <c r="E1455" s="345"/>
      <c r="F1455" s="169"/>
      <c r="G1455" s="351"/>
      <c r="H1455" s="341"/>
    </row>
    <row r="1456" spans="1:8" x14ac:dyDescent="0.25">
      <c r="A1456" s="133"/>
      <c r="B1456" s="195"/>
      <c r="C1456" s="226"/>
      <c r="D1456" s="212"/>
      <c r="E1456" s="345"/>
      <c r="F1456" s="169"/>
      <c r="G1456" s="351"/>
      <c r="H1456" s="341"/>
    </row>
    <row r="1457" spans="1:8" x14ac:dyDescent="0.25">
      <c r="A1457" s="133"/>
      <c r="B1457" s="195"/>
      <c r="C1457" s="232"/>
      <c r="D1457" s="952"/>
      <c r="E1457" s="232"/>
      <c r="F1457" s="226"/>
      <c r="G1457" s="344"/>
      <c r="H1457" s="341"/>
    </row>
    <row r="1458" spans="1:8" x14ac:dyDescent="0.25">
      <c r="A1458" s="133"/>
      <c r="B1458" s="195"/>
      <c r="C1458" s="232"/>
      <c r="D1458" s="952"/>
      <c r="E1458" s="232"/>
      <c r="F1458" s="226"/>
      <c r="G1458" s="344"/>
      <c r="H1458" s="341"/>
    </row>
    <row r="1459" spans="1:8" x14ac:dyDescent="0.25">
      <c r="A1459" s="133"/>
      <c r="B1459" s="195"/>
      <c r="C1459" s="232"/>
      <c r="D1459" s="952"/>
      <c r="E1459" s="232"/>
      <c r="F1459" s="226"/>
      <c r="G1459" s="344"/>
      <c r="H1459" s="341"/>
    </row>
    <row r="1460" spans="1:8" ht="15.75" thickBot="1" x14ac:dyDescent="0.3">
      <c r="A1460" s="133"/>
      <c r="B1460" s="195"/>
      <c r="C1460" s="232"/>
      <c r="D1460" s="952"/>
      <c r="E1460" s="232"/>
      <c r="F1460" s="226"/>
      <c r="G1460" s="344"/>
      <c r="H1460" s="341"/>
    </row>
    <row r="1461" spans="1:8" ht="15.75" thickBot="1" x14ac:dyDescent="0.3">
      <c r="A1461" s="133"/>
      <c r="B1461" s="233"/>
      <c r="C1461" s="234"/>
      <c r="D1461" s="953"/>
      <c r="E1461" s="234"/>
      <c r="F1461" s="235"/>
      <c r="G1461" s="347"/>
      <c r="H1461" s="348">
        <f>+SUM(G1449:G1461)</f>
        <v>354678.74707859999</v>
      </c>
    </row>
    <row r="1462" spans="1:8" ht="15.75" thickBot="1" x14ac:dyDescent="0.3">
      <c r="A1462" s="133"/>
      <c r="B1462" s="238"/>
      <c r="C1462" s="238"/>
      <c r="D1462" s="954"/>
      <c r="E1462" s="238"/>
      <c r="F1462" s="239"/>
      <c r="G1462" s="349"/>
      <c r="H1462" s="350"/>
    </row>
    <row r="1463" spans="1:8" ht="15.75" thickBot="1" x14ac:dyDescent="0.3">
      <c r="A1463" s="133"/>
      <c r="B1463" s="224" t="s">
        <v>5410</v>
      </c>
      <c r="C1463" s="193" t="s">
        <v>867</v>
      </c>
      <c r="D1463" s="951" t="s">
        <v>6</v>
      </c>
      <c r="E1463" s="193" t="s">
        <v>870</v>
      </c>
      <c r="F1463" s="193" t="s">
        <v>5411</v>
      </c>
      <c r="G1463" s="343" t="s">
        <v>868</v>
      </c>
      <c r="H1463" s="341"/>
    </row>
    <row r="1464" spans="1:8" x14ac:dyDescent="0.25">
      <c r="A1464" s="133"/>
      <c r="B1464" s="245"/>
      <c r="C1464" s="202"/>
      <c r="D1464" s="211"/>
      <c r="E1464" s="353"/>
      <c r="F1464" s="202"/>
      <c r="G1464" s="354"/>
      <c r="H1464" s="355"/>
    </row>
    <row r="1465" spans="1:8" x14ac:dyDescent="0.25">
      <c r="A1465" s="133"/>
      <c r="B1465" s="247"/>
      <c r="C1465" s="248"/>
      <c r="D1465" s="961"/>
      <c r="E1465" s="248"/>
      <c r="F1465" s="202"/>
      <c r="G1465" s="351"/>
      <c r="H1465" s="341"/>
    </row>
    <row r="1466" spans="1:8" x14ac:dyDescent="0.25">
      <c r="A1466" s="133"/>
      <c r="B1466" s="247"/>
      <c r="C1466" s="232"/>
      <c r="D1466" s="952"/>
      <c r="E1466" s="232"/>
      <c r="F1466" s="226"/>
      <c r="G1466" s="344"/>
      <c r="H1466" s="341"/>
    </row>
    <row r="1467" spans="1:8" x14ac:dyDescent="0.25">
      <c r="A1467" s="133"/>
      <c r="B1467" s="194"/>
      <c r="C1467" s="232"/>
      <c r="D1467" s="952"/>
      <c r="E1467" s="232"/>
      <c r="F1467" s="226"/>
      <c r="G1467" s="344"/>
      <c r="H1467" s="341"/>
    </row>
    <row r="1468" spans="1:8" ht="15.75" thickBot="1" x14ac:dyDescent="0.3">
      <c r="A1468" s="133"/>
      <c r="B1468" s="195"/>
      <c r="C1468" s="232"/>
      <c r="D1468" s="952"/>
      <c r="E1468" s="232"/>
      <c r="F1468" s="226"/>
      <c r="G1468" s="344"/>
      <c r="H1468" s="341"/>
    </row>
    <row r="1469" spans="1:8" ht="15.75" thickBot="1" x14ac:dyDescent="0.3">
      <c r="A1469" s="133"/>
      <c r="B1469" s="233"/>
      <c r="C1469" s="234"/>
      <c r="D1469" s="953"/>
      <c r="E1469" s="234"/>
      <c r="F1469" s="235"/>
      <c r="G1469" s="347"/>
      <c r="H1469" s="348">
        <f>+SUM(G1464:G1469)</f>
        <v>0</v>
      </c>
    </row>
    <row r="1470" spans="1:8" ht="15.75" thickBot="1" x14ac:dyDescent="0.3">
      <c r="A1470" s="133"/>
      <c r="B1470" s="238"/>
      <c r="C1470" s="238"/>
      <c r="D1470" s="954"/>
      <c r="E1470" s="238"/>
      <c r="F1470" s="249"/>
      <c r="G1470" s="356"/>
      <c r="H1470" s="350"/>
    </row>
    <row r="1471" spans="1:8" ht="15.75" thickBot="1" x14ac:dyDescent="0.3">
      <c r="A1471" s="133"/>
      <c r="B1471" s="224" t="s">
        <v>5412</v>
      </c>
      <c r="C1471" s="193" t="s">
        <v>5420</v>
      </c>
      <c r="D1471" s="951" t="s">
        <v>5421</v>
      </c>
      <c r="E1471" s="193" t="s">
        <v>5413</v>
      </c>
      <c r="F1471" s="193" t="s">
        <v>5405</v>
      </c>
      <c r="G1471" s="343" t="s">
        <v>868</v>
      </c>
      <c r="H1471" s="341"/>
    </row>
    <row r="1472" spans="1:8" x14ac:dyDescent="0.25">
      <c r="A1472" s="133"/>
      <c r="B1472" s="194" t="s">
        <v>5948</v>
      </c>
      <c r="C1472" s="345">
        <f>+VLOOKUP($B1472,'Mano de obra'!$A$5:$D$26,2,FALSE)</f>
        <v>57455</v>
      </c>
      <c r="D1472" s="345">
        <f>+VLOOKUP($B1472,'Mano de obra'!$A$5:$D$26,3,FALSE)</f>
        <v>35656</v>
      </c>
      <c r="E1472" s="345">
        <f>+VLOOKUP($B1472,'Mano de obra'!$A$5:$D$26,4,FALSE)</f>
        <v>93111</v>
      </c>
      <c r="F1472" s="204">
        <f>10*1.2</f>
        <v>12</v>
      </c>
      <c r="G1472" s="351">
        <f>+E1472/F1472</f>
        <v>7759.25</v>
      </c>
      <c r="H1472" s="341"/>
    </row>
    <row r="1473" spans="1:8" x14ac:dyDescent="0.25">
      <c r="A1473" s="133"/>
      <c r="B1473" s="194" t="s">
        <v>5949</v>
      </c>
      <c r="C1473" s="345">
        <f>+VLOOKUP($B1473,'Mano de obra'!$A$5:$D$26,2,FALSE)</f>
        <v>44263.8</v>
      </c>
      <c r="D1473" s="345">
        <f>+VLOOKUP($B1473,'Mano de obra'!$A$5:$D$26,3,FALSE)</f>
        <v>27470</v>
      </c>
      <c r="E1473" s="345">
        <f>+VLOOKUP($B1473,'Mano de obra'!$A$5:$D$26,4,FALSE)</f>
        <v>71733.8</v>
      </c>
      <c r="F1473" s="167">
        <f>1*1.2</f>
        <v>1.2</v>
      </c>
      <c r="G1473" s="351">
        <f>+E1473/F1473</f>
        <v>59778.166666666672</v>
      </c>
      <c r="H1473" s="341"/>
    </row>
    <row r="1474" spans="1:8" x14ac:dyDescent="0.25">
      <c r="A1474" s="133"/>
      <c r="B1474" s="195" t="s">
        <v>5635</v>
      </c>
      <c r="C1474" s="345">
        <f>+VLOOKUP($B1474,'Mano de obra'!$A$5:$D$26,2,FALSE)</f>
        <v>24591</v>
      </c>
      <c r="D1474" s="345">
        <f>+VLOOKUP($B1474,'Mano de obra'!$A$5:$D$26,3,FALSE)</f>
        <v>15261</v>
      </c>
      <c r="E1474" s="345">
        <f>+VLOOKUP($B1474,'Mano de obra'!$A$5:$D$26,4,FALSE)</f>
        <v>39852</v>
      </c>
      <c r="F1474" s="197">
        <f>1*1.2</f>
        <v>1.2</v>
      </c>
      <c r="G1474" s="351">
        <f>+E1474/F1474</f>
        <v>33210</v>
      </c>
      <c r="H1474" s="341"/>
    </row>
    <row r="1475" spans="1:8" x14ac:dyDescent="0.25">
      <c r="A1475" s="133"/>
      <c r="B1475" s="195"/>
      <c r="C1475" s="346"/>
      <c r="D1475" s="955"/>
      <c r="E1475" s="345"/>
      <c r="F1475" s="226"/>
      <c r="G1475" s="351"/>
      <c r="H1475" s="341"/>
    </row>
    <row r="1476" spans="1:8" x14ac:dyDescent="0.25">
      <c r="A1476" s="133"/>
      <c r="B1476" s="195"/>
      <c r="C1476" s="232"/>
      <c r="D1476" s="952"/>
      <c r="E1476" s="232"/>
      <c r="F1476" s="226"/>
      <c r="G1476" s="344"/>
      <c r="H1476" s="341"/>
    </row>
    <row r="1477" spans="1:8" ht="15.75" thickBot="1" x14ac:dyDescent="0.3">
      <c r="A1477" s="133"/>
      <c r="B1477" s="195"/>
      <c r="C1477" s="232"/>
      <c r="D1477" s="952"/>
      <c r="E1477" s="232"/>
      <c r="F1477" s="226"/>
      <c r="G1477" s="344"/>
      <c r="H1477" s="341"/>
    </row>
    <row r="1478" spans="1:8" ht="15.75" thickBot="1" x14ac:dyDescent="0.3">
      <c r="A1478" s="133"/>
      <c r="B1478" s="251"/>
      <c r="C1478" s="252"/>
      <c r="D1478" s="956"/>
      <c r="E1478" s="252"/>
      <c r="F1478" s="253"/>
      <c r="G1478" s="357"/>
      <c r="H1478" s="348">
        <f>+SUM(G1472:G1478)</f>
        <v>100747.41666666667</v>
      </c>
    </row>
    <row r="1479" spans="1:8" ht="15.75" thickBot="1" x14ac:dyDescent="0.3">
      <c r="A1479" s="133"/>
      <c r="B1479" s="8"/>
      <c r="C1479" s="8"/>
      <c r="D1479" s="529"/>
      <c r="E1479" s="8"/>
      <c r="F1479" s="133"/>
      <c r="G1479" s="341"/>
      <c r="H1479" s="341"/>
    </row>
    <row r="1480" spans="1:8" ht="15.75" thickBot="1" x14ac:dyDescent="0.3">
      <c r="A1480" s="133" t="s">
        <v>6744</v>
      </c>
      <c r="B1480" s="140"/>
      <c r="C1480" s="140"/>
      <c r="D1480" s="529"/>
      <c r="E1480" s="183" t="s">
        <v>5415</v>
      </c>
      <c r="F1480" s="133"/>
      <c r="G1480" s="341"/>
      <c r="H1480" s="348">
        <f>+H1478+H1469+H1461+H1446</f>
        <v>472252.10541193333</v>
      </c>
    </row>
    <row r="1481" spans="1:8" x14ac:dyDescent="0.25">
      <c r="A1481" s="1058"/>
      <c r="B1481" s="1058"/>
      <c r="C1481" s="1058"/>
      <c r="D1481" s="957"/>
      <c r="E1481" s="1058"/>
      <c r="F1481" s="1058"/>
      <c r="G1481" s="1058"/>
      <c r="H1481" s="1058"/>
    </row>
    <row r="1482" spans="1:8" x14ac:dyDescent="0.25">
      <c r="A1482" s="1058"/>
      <c r="B1482" s="1058"/>
      <c r="C1482" s="1058"/>
      <c r="D1482" s="957"/>
      <c r="E1482" s="1058"/>
      <c r="F1482" s="1058"/>
      <c r="G1482" s="1058"/>
      <c r="H1482" s="1058"/>
    </row>
    <row r="1483" spans="1:8" x14ac:dyDescent="0.25">
      <c r="A1483" s="1058"/>
      <c r="B1483" s="1058"/>
      <c r="C1483" s="1058"/>
      <c r="D1483" s="957"/>
      <c r="E1483" s="1058"/>
      <c r="F1483" s="1058"/>
      <c r="G1483" s="1058"/>
      <c r="H1483" s="1058"/>
    </row>
    <row r="1484" spans="1:8" ht="24.75" customHeight="1" x14ac:dyDescent="0.25">
      <c r="A1484" s="1424" t="s">
        <v>5482</v>
      </c>
      <c r="B1484" s="1390" t="str">
        <f>+VLOOKUP(C1484,ListaAPUs!$B:$E,4,FALSE)</f>
        <v>3.3.1</v>
      </c>
      <c r="C1484" s="2445" t="str">
        <f>+ListaAPUs!B64</f>
        <v>IMPERMEABILIZACIÓN ESTRUCTURAS EXISTENTES EN CONCRETO</v>
      </c>
      <c r="D1484" s="2445"/>
      <c r="E1484" s="2445"/>
      <c r="F1484" s="673" t="s">
        <v>867</v>
      </c>
      <c r="G1484" s="222" t="s">
        <v>6686</v>
      </c>
      <c r="H1484" s="134"/>
    </row>
    <row r="1485" spans="1:8" x14ac:dyDescent="0.25">
      <c r="A1485" s="133"/>
      <c r="B1485" s="8"/>
      <c r="C1485" s="223"/>
      <c r="D1485" s="958"/>
      <c r="E1485" s="223"/>
      <c r="F1485" s="133"/>
      <c r="G1485" s="341"/>
      <c r="H1485" s="341"/>
    </row>
    <row r="1486" spans="1:8" x14ac:dyDescent="0.25">
      <c r="A1486" s="133"/>
      <c r="B1486" s="8"/>
      <c r="C1486" s="8"/>
      <c r="D1486" s="529"/>
      <c r="E1486" s="8"/>
      <c r="F1486" s="8"/>
      <c r="G1486" s="8"/>
      <c r="H1486" s="341"/>
    </row>
    <row r="1487" spans="1:8" ht="15.75" thickBot="1" x14ac:dyDescent="0.3">
      <c r="A1487" s="133"/>
      <c r="B1487" s="8"/>
      <c r="C1487" s="8"/>
      <c r="D1487" s="529"/>
      <c r="E1487" s="8"/>
      <c r="F1487" s="133"/>
      <c r="G1487" s="341"/>
      <c r="H1487" s="341"/>
    </row>
    <row r="1488" spans="1:8" ht="15.75" thickBot="1" x14ac:dyDescent="0.3">
      <c r="A1488" s="133"/>
      <c r="B1488" s="224" t="s">
        <v>5403</v>
      </c>
      <c r="C1488" s="193" t="s">
        <v>867</v>
      </c>
      <c r="D1488" s="951" t="s">
        <v>6</v>
      </c>
      <c r="E1488" s="193" t="s">
        <v>5439</v>
      </c>
      <c r="F1488" s="193" t="s">
        <v>5405</v>
      </c>
      <c r="G1488" s="343" t="s">
        <v>868</v>
      </c>
      <c r="H1488" s="341"/>
    </row>
    <row r="1489" spans="1:8" x14ac:dyDescent="0.25">
      <c r="A1489" s="133"/>
      <c r="B1489" s="195"/>
      <c r="C1489" s="226"/>
      <c r="D1489" s="212"/>
      <c r="E1489" s="228"/>
      <c r="F1489" s="226"/>
      <c r="G1489" s="344"/>
      <c r="H1489" s="341"/>
    </row>
    <row r="1490" spans="1:8" x14ac:dyDescent="0.25">
      <c r="A1490" s="133"/>
      <c r="B1490" s="195"/>
      <c r="C1490" s="226"/>
      <c r="D1490" s="212"/>
      <c r="E1490" s="228"/>
      <c r="F1490" s="226"/>
      <c r="G1490" s="344"/>
      <c r="H1490" s="341"/>
    </row>
    <row r="1491" spans="1:8" x14ac:dyDescent="0.25">
      <c r="A1491" s="133"/>
      <c r="B1491" s="195"/>
      <c r="C1491" s="226"/>
      <c r="D1491" s="212"/>
      <c r="E1491" s="345"/>
      <c r="F1491" s="226"/>
      <c r="G1491" s="344"/>
      <c r="H1491" s="341"/>
    </row>
    <row r="1492" spans="1:8" x14ac:dyDescent="0.25">
      <c r="A1492" s="133"/>
      <c r="B1492" s="195"/>
      <c r="C1492" s="226"/>
      <c r="D1492" s="212"/>
      <c r="E1492" s="346"/>
      <c r="F1492" s="226"/>
      <c r="G1492" s="344"/>
      <c r="H1492" s="341"/>
    </row>
    <row r="1493" spans="1:8" x14ac:dyDescent="0.25">
      <c r="A1493" s="133"/>
      <c r="B1493" s="195"/>
      <c r="C1493" s="226"/>
      <c r="D1493" s="952"/>
      <c r="E1493" s="232"/>
      <c r="F1493" s="226"/>
      <c r="G1493" s="344"/>
      <c r="H1493" s="341"/>
    </row>
    <row r="1494" spans="1:8" ht="15.75" thickBot="1" x14ac:dyDescent="0.3">
      <c r="A1494" s="133"/>
      <c r="B1494" s="195"/>
      <c r="C1494" s="226"/>
      <c r="D1494" s="952"/>
      <c r="E1494" s="232"/>
      <c r="F1494" s="226"/>
      <c r="G1494" s="344"/>
      <c r="H1494" s="341"/>
    </row>
    <row r="1495" spans="1:8" ht="15.75" thickBot="1" x14ac:dyDescent="0.3">
      <c r="A1495" s="133"/>
      <c r="B1495" s="233"/>
      <c r="C1495" s="234"/>
      <c r="D1495" s="953"/>
      <c r="E1495" s="234"/>
      <c r="F1495" s="235"/>
      <c r="G1495" s="347"/>
      <c r="H1495" s="348"/>
    </row>
    <row r="1496" spans="1:8" ht="15.75" thickBot="1" x14ac:dyDescent="0.3">
      <c r="A1496" s="133"/>
      <c r="B1496" s="238"/>
      <c r="C1496" s="238"/>
      <c r="D1496" s="954"/>
      <c r="E1496" s="238"/>
      <c r="F1496" s="239"/>
      <c r="G1496" s="349"/>
      <c r="H1496" s="350"/>
    </row>
    <row r="1497" spans="1:8" ht="15.75" thickBot="1" x14ac:dyDescent="0.3">
      <c r="A1497" s="133"/>
      <c r="B1497" s="224" t="s">
        <v>5408</v>
      </c>
      <c r="C1497" s="193" t="s">
        <v>867</v>
      </c>
      <c r="D1497" s="951" t="s">
        <v>6</v>
      </c>
      <c r="E1497" s="193" t="s">
        <v>870</v>
      </c>
      <c r="F1497" s="193" t="s">
        <v>5409</v>
      </c>
      <c r="G1497" s="343" t="s">
        <v>868</v>
      </c>
      <c r="H1497" s="341"/>
    </row>
    <row r="1498" spans="1:8" x14ac:dyDescent="0.25">
      <c r="A1498" s="133"/>
      <c r="B1498" s="245" t="s">
        <v>7962</v>
      </c>
      <c r="C1498" s="202" t="s">
        <v>5431</v>
      </c>
      <c r="D1498" s="212">
        <v>1.05</v>
      </c>
      <c r="E1498" s="975">
        <f>+VLOOKUP(B1498,Insumos!$A$2:$C$331,3,FALSE)</f>
        <v>10100</v>
      </c>
      <c r="F1498" s="169"/>
      <c r="G1498" s="351">
        <v>8343.3000000000011</v>
      </c>
      <c r="H1498" s="341"/>
    </row>
    <row r="1499" spans="1:8" x14ac:dyDescent="0.25">
      <c r="A1499" s="133"/>
      <c r="B1499" s="247"/>
      <c r="C1499" s="202"/>
      <c r="D1499" s="211"/>
      <c r="E1499" s="228"/>
      <c r="F1499" s="169"/>
      <c r="G1499" s="351"/>
      <c r="H1499" s="341"/>
    </row>
    <row r="1500" spans="1:8" x14ac:dyDescent="0.25">
      <c r="A1500" s="133"/>
      <c r="B1500" s="247"/>
      <c r="C1500" s="226"/>
      <c r="D1500" s="212"/>
      <c r="E1500" s="332"/>
      <c r="F1500" s="169"/>
      <c r="G1500" s="351"/>
      <c r="H1500" s="341"/>
    </row>
    <row r="1501" spans="1:8" x14ac:dyDescent="0.25">
      <c r="A1501" s="133"/>
      <c r="B1501" s="194"/>
      <c r="C1501" s="226"/>
      <c r="D1501" s="212"/>
      <c r="E1501" s="345"/>
      <c r="F1501" s="169"/>
      <c r="G1501" s="351"/>
      <c r="H1501" s="341"/>
    </row>
    <row r="1502" spans="1:8" x14ac:dyDescent="0.25">
      <c r="A1502" s="133"/>
      <c r="B1502" s="195"/>
      <c r="C1502" s="226"/>
      <c r="D1502" s="212"/>
      <c r="E1502" s="345"/>
      <c r="F1502" s="169"/>
      <c r="G1502" s="351"/>
      <c r="H1502" s="341"/>
    </row>
    <row r="1503" spans="1:8" x14ac:dyDescent="0.25">
      <c r="A1503" s="133"/>
      <c r="B1503" s="194"/>
      <c r="C1503" s="202"/>
      <c r="D1503" s="211"/>
      <c r="E1503" s="345"/>
      <c r="F1503" s="169"/>
      <c r="G1503" s="351"/>
      <c r="H1503" s="341"/>
    </row>
    <row r="1504" spans="1:8" x14ac:dyDescent="0.25">
      <c r="A1504" s="133"/>
      <c r="B1504" s="195"/>
      <c r="C1504" s="226"/>
      <c r="D1504" s="212"/>
      <c r="E1504" s="345"/>
      <c r="F1504" s="169"/>
      <c r="G1504" s="351"/>
      <c r="H1504" s="341"/>
    </row>
    <row r="1505" spans="1:8" x14ac:dyDescent="0.25">
      <c r="A1505" s="133"/>
      <c r="B1505" s="195"/>
      <c r="C1505" s="226"/>
      <c r="D1505" s="212"/>
      <c r="E1505" s="345"/>
      <c r="F1505" s="169"/>
      <c r="G1505" s="351"/>
      <c r="H1505" s="341"/>
    </row>
    <row r="1506" spans="1:8" x14ac:dyDescent="0.25">
      <c r="A1506" s="133"/>
      <c r="B1506" s="195"/>
      <c r="C1506" s="232"/>
      <c r="D1506" s="952"/>
      <c r="E1506" s="232"/>
      <c r="F1506" s="226"/>
      <c r="G1506" s="344"/>
      <c r="H1506" s="341"/>
    </row>
    <row r="1507" spans="1:8" x14ac:dyDescent="0.25">
      <c r="A1507" s="133"/>
      <c r="B1507" s="195"/>
      <c r="C1507" s="232"/>
      <c r="D1507" s="952"/>
      <c r="E1507" s="232"/>
      <c r="F1507" s="226"/>
      <c r="G1507" s="344"/>
      <c r="H1507" s="341"/>
    </row>
    <row r="1508" spans="1:8" x14ac:dyDescent="0.25">
      <c r="A1508" s="133"/>
      <c r="B1508" s="195"/>
      <c r="C1508" s="232"/>
      <c r="D1508" s="952"/>
      <c r="E1508" s="232"/>
      <c r="F1508" s="226"/>
      <c r="G1508" s="344"/>
      <c r="H1508" s="341"/>
    </row>
    <row r="1509" spans="1:8" ht="15.75" thickBot="1" x14ac:dyDescent="0.3">
      <c r="A1509" s="133"/>
      <c r="B1509" s="195"/>
      <c r="C1509" s="232"/>
      <c r="D1509" s="952"/>
      <c r="E1509" s="232"/>
      <c r="F1509" s="226"/>
      <c r="G1509" s="344"/>
      <c r="H1509" s="341"/>
    </row>
    <row r="1510" spans="1:8" ht="15.75" thickBot="1" x14ac:dyDescent="0.3">
      <c r="A1510" s="133"/>
      <c r="B1510" s="233"/>
      <c r="C1510" s="234"/>
      <c r="D1510" s="953"/>
      <c r="E1510" s="234"/>
      <c r="F1510" s="235"/>
      <c r="G1510" s="347"/>
      <c r="H1510" s="358">
        <f>+SUM(G1498)</f>
        <v>8343.3000000000011</v>
      </c>
    </row>
    <row r="1511" spans="1:8" ht="15.75" thickBot="1" x14ac:dyDescent="0.3">
      <c r="A1511" s="133"/>
      <c r="B1511" s="238"/>
      <c r="C1511" s="238"/>
      <c r="D1511" s="954"/>
      <c r="E1511" s="238"/>
      <c r="F1511" s="239"/>
      <c r="G1511" s="349"/>
      <c r="H1511" s="350"/>
    </row>
    <row r="1512" spans="1:8" ht="15.75" thickBot="1" x14ac:dyDescent="0.3">
      <c r="A1512" s="133"/>
      <c r="B1512" s="224" t="s">
        <v>5410</v>
      </c>
      <c r="C1512" s="193" t="s">
        <v>867</v>
      </c>
      <c r="D1512" s="951" t="s">
        <v>6</v>
      </c>
      <c r="E1512" s="193" t="s">
        <v>870</v>
      </c>
      <c r="F1512" s="193" t="s">
        <v>5411</v>
      </c>
      <c r="G1512" s="343" t="s">
        <v>868</v>
      </c>
      <c r="H1512" s="341"/>
    </row>
    <row r="1513" spans="1:8" x14ac:dyDescent="0.25">
      <c r="A1513" s="133"/>
      <c r="B1513" s="245"/>
      <c r="C1513" s="202"/>
      <c r="D1513" s="211"/>
      <c r="E1513" s="353"/>
      <c r="F1513" s="202"/>
      <c r="G1513" s="354"/>
      <c r="H1513" s="355"/>
    </row>
    <row r="1514" spans="1:8" x14ac:dyDescent="0.25">
      <c r="A1514" s="133"/>
      <c r="B1514" s="247"/>
      <c r="C1514" s="248"/>
      <c r="D1514" s="961"/>
      <c r="E1514" s="248"/>
      <c r="F1514" s="202"/>
      <c r="G1514" s="351"/>
      <c r="H1514" s="341"/>
    </row>
    <row r="1515" spans="1:8" x14ac:dyDescent="0.25">
      <c r="A1515" s="133"/>
      <c r="B1515" s="247"/>
      <c r="C1515" s="232"/>
      <c r="D1515" s="952"/>
      <c r="E1515" s="232"/>
      <c r="F1515" s="226"/>
      <c r="G1515" s="344"/>
      <c r="H1515" s="341"/>
    </row>
    <row r="1516" spans="1:8" x14ac:dyDescent="0.25">
      <c r="A1516" s="133"/>
      <c r="B1516" s="194"/>
      <c r="C1516" s="232"/>
      <c r="D1516" s="952"/>
      <c r="E1516" s="232"/>
      <c r="F1516" s="226"/>
      <c r="G1516" s="344"/>
      <c r="H1516" s="341"/>
    </row>
    <row r="1517" spans="1:8" ht="15.75" thickBot="1" x14ac:dyDescent="0.3">
      <c r="A1517" s="133"/>
      <c r="B1517" s="195"/>
      <c r="C1517" s="232"/>
      <c r="D1517" s="952"/>
      <c r="E1517" s="232"/>
      <c r="F1517" s="226"/>
      <c r="G1517" s="344"/>
      <c r="H1517" s="341"/>
    </row>
    <row r="1518" spans="1:8" ht="15.75" thickBot="1" x14ac:dyDescent="0.3">
      <c r="A1518" s="133"/>
      <c r="B1518" s="233"/>
      <c r="C1518" s="234"/>
      <c r="D1518" s="953"/>
      <c r="E1518" s="234"/>
      <c r="F1518" s="235"/>
      <c r="G1518" s="347"/>
      <c r="H1518" s="348">
        <v>0</v>
      </c>
    </row>
    <row r="1519" spans="1:8" ht="15.75" thickBot="1" x14ac:dyDescent="0.3">
      <c r="A1519" s="133"/>
      <c r="B1519" s="238"/>
      <c r="C1519" s="238"/>
      <c r="D1519" s="954"/>
      <c r="E1519" s="238"/>
      <c r="F1519" s="249"/>
      <c r="G1519" s="356"/>
      <c r="H1519" s="350"/>
    </row>
    <row r="1520" spans="1:8" ht="15.75" thickBot="1" x14ac:dyDescent="0.3">
      <c r="A1520" s="133"/>
      <c r="B1520" s="224" t="s">
        <v>5412</v>
      </c>
      <c r="C1520" s="193" t="s">
        <v>5420</v>
      </c>
      <c r="D1520" s="951" t="s">
        <v>5421</v>
      </c>
      <c r="E1520" s="193" t="s">
        <v>5413</v>
      </c>
      <c r="F1520" s="193" t="s">
        <v>5405</v>
      </c>
      <c r="G1520" s="343" t="s">
        <v>868</v>
      </c>
      <c r="H1520" s="341"/>
    </row>
    <row r="1521" spans="1:10" x14ac:dyDescent="0.25">
      <c r="A1521" s="133"/>
      <c r="B1521" s="194"/>
      <c r="C1521" s="345"/>
      <c r="D1521" s="955"/>
      <c r="E1521" s="353"/>
      <c r="F1521" s="209"/>
      <c r="G1521" s="351"/>
      <c r="H1521" s="341"/>
    </row>
    <row r="1522" spans="1:10" x14ac:dyDescent="0.25">
      <c r="A1522" s="133"/>
      <c r="B1522" s="1560" t="s">
        <v>5949</v>
      </c>
      <c r="C1522" s="1569">
        <f>+VLOOKUP($B1522,'Mano de obra'!$A$5:$D$26,2,FALSE)</f>
        <v>44263.8</v>
      </c>
      <c r="D1522" s="1569">
        <f>+VLOOKUP($B1522,'Mano de obra'!$A$5:$D$26,3,FALSE)</f>
        <v>27470</v>
      </c>
      <c r="E1522" s="1569">
        <f>+VLOOKUP($B1522,'Mano de obra'!$A$5:$D$26,4,FALSE)</f>
        <v>71733.8</v>
      </c>
      <c r="F1522" s="1551">
        <v>20</v>
      </c>
      <c r="G1522" s="351">
        <f>+E1522/F1522</f>
        <v>3586.69</v>
      </c>
      <c r="H1522" s="341"/>
    </row>
    <row r="1523" spans="1:10" x14ac:dyDescent="0.25">
      <c r="A1523" s="133"/>
      <c r="B1523" s="1561" t="s">
        <v>5635</v>
      </c>
      <c r="C1523" s="1569">
        <f>+VLOOKUP($B1523,'Mano de obra'!$A$5:$D$26,2,FALSE)</f>
        <v>24591</v>
      </c>
      <c r="D1523" s="1569">
        <f>+VLOOKUP($B1523,'Mano de obra'!$A$5:$D$26,3,FALSE)</f>
        <v>15261</v>
      </c>
      <c r="E1523" s="1569">
        <f>+VLOOKUP($B1523,'Mano de obra'!$A$5:$D$26,4,FALSE)</f>
        <v>39852</v>
      </c>
      <c r="F1523" s="1563">
        <v>20</v>
      </c>
      <c r="G1523" s="351">
        <f>+E1523/F1523</f>
        <v>1992.6</v>
      </c>
      <c r="H1523" s="341"/>
    </row>
    <row r="1524" spans="1:10" x14ac:dyDescent="0.25">
      <c r="A1524" s="133"/>
      <c r="B1524" s="195"/>
      <c r="C1524" s="346"/>
      <c r="D1524" s="955"/>
      <c r="E1524" s="345"/>
      <c r="F1524" s="226"/>
      <c r="G1524" s="351"/>
      <c r="H1524" s="341"/>
    </row>
    <row r="1525" spans="1:10" x14ac:dyDescent="0.25">
      <c r="A1525" s="133"/>
      <c r="B1525" s="195"/>
      <c r="C1525" s="232"/>
      <c r="D1525" s="952"/>
      <c r="E1525" s="232"/>
      <c r="F1525" s="226"/>
      <c r="G1525" s="344"/>
      <c r="H1525" s="341"/>
    </row>
    <row r="1526" spans="1:10" ht="15.75" thickBot="1" x14ac:dyDescent="0.3">
      <c r="A1526" s="133"/>
      <c r="B1526" s="195"/>
      <c r="C1526" s="232"/>
      <c r="D1526" s="952"/>
      <c r="E1526" s="232"/>
      <c r="F1526" s="226"/>
      <c r="G1526" s="344"/>
      <c r="H1526" s="341"/>
    </row>
    <row r="1527" spans="1:10" ht="15.75" thickBot="1" x14ac:dyDescent="0.3">
      <c r="A1527" s="133"/>
      <c r="B1527" s="251"/>
      <c r="C1527" s="252"/>
      <c r="D1527" s="956"/>
      <c r="E1527" s="252"/>
      <c r="F1527" s="253"/>
      <c r="G1527" s="357"/>
      <c r="H1527" s="348">
        <f>+SUM(G1521:G1527)</f>
        <v>5579.29</v>
      </c>
    </row>
    <row r="1528" spans="1:10" ht="15.75" thickBot="1" x14ac:dyDescent="0.3">
      <c r="A1528" s="133"/>
      <c r="B1528" s="8"/>
      <c r="C1528" s="8"/>
      <c r="D1528" s="529"/>
      <c r="E1528" s="8"/>
      <c r="F1528" s="133"/>
      <c r="G1528" s="341"/>
      <c r="H1528" s="341"/>
    </row>
    <row r="1529" spans="1:10" ht="15.75" thickBot="1" x14ac:dyDescent="0.3">
      <c r="A1529" s="133" t="s">
        <v>6744</v>
      </c>
      <c r="B1529" s="8"/>
      <c r="C1529" s="8"/>
      <c r="D1529" s="529"/>
      <c r="E1529" s="223" t="s">
        <v>5415</v>
      </c>
      <c r="F1529" s="133"/>
      <c r="G1529" s="341"/>
      <c r="H1529" s="358">
        <f>ROUND(SUM(H1495:H1527),0)</f>
        <v>13923</v>
      </c>
    </row>
    <row r="1530" spans="1:10" x14ac:dyDescent="0.25">
      <c r="A1530" s="1058"/>
      <c r="B1530" s="1058"/>
      <c r="C1530" s="1058"/>
      <c r="D1530" s="957"/>
      <c r="E1530" s="1058"/>
      <c r="F1530" s="1058"/>
      <c r="G1530" s="1058"/>
      <c r="H1530" s="1058"/>
    </row>
    <row r="1531" spans="1:10" s="1058" customFormat="1" x14ac:dyDescent="0.25">
      <c r="A1531" s="749"/>
      <c r="B1531" s="748"/>
      <c r="C1531" s="748"/>
      <c r="D1531" s="748"/>
      <c r="E1531" s="748"/>
      <c r="F1531" s="749"/>
      <c r="G1531" s="748"/>
      <c r="H1531" s="748"/>
      <c r="J1531" s="826"/>
    </row>
    <row r="1532" spans="1:10" s="889" customFormat="1" ht="27.75" customHeight="1" x14ac:dyDescent="0.25">
      <c r="A1532" s="750" t="s">
        <v>3</v>
      </c>
      <c r="B1532" s="1390" t="str">
        <f>+VLOOKUP(C1532,ListaAPUs!$B:$E,4,FALSE)</f>
        <v>3.1.6</v>
      </c>
      <c r="C1532" s="2445" t="str">
        <f>+ListaAPUs!B59</f>
        <v>CONCRETO SIMPLE RESIST 17,5 MPA (175 KG/CM2)</v>
      </c>
      <c r="D1532" s="2445"/>
      <c r="E1532" s="2445"/>
      <c r="F1532" s="750" t="s">
        <v>867</v>
      </c>
      <c r="G1532" s="750" t="s">
        <v>5542</v>
      </c>
      <c r="H1532" s="788"/>
      <c r="J1532" s="826"/>
    </row>
    <row r="1533" spans="1:10" s="1058" customFormat="1" x14ac:dyDescent="0.25">
      <c r="A1533" s="749"/>
      <c r="B1533" s="748"/>
      <c r="C1533" s="748"/>
      <c r="D1533" s="748"/>
      <c r="E1533" s="748"/>
      <c r="F1533" s="749"/>
      <c r="G1533" s="748"/>
      <c r="H1533" s="748"/>
      <c r="J1533" s="826"/>
    </row>
    <row r="1534" spans="1:10" s="1058" customFormat="1" x14ac:dyDescent="0.25">
      <c r="A1534" s="749"/>
      <c r="B1534" s="748"/>
      <c r="C1534" s="748"/>
      <c r="D1534" s="748"/>
      <c r="E1534" s="748"/>
      <c r="F1534" s="749"/>
      <c r="G1534" s="751"/>
      <c r="H1534" s="748"/>
      <c r="J1534" s="826"/>
    </row>
    <row r="1535" spans="1:10" s="1058" customFormat="1" ht="15.75" thickBot="1" x14ac:dyDescent="0.3">
      <c r="A1535" s="749"/>
      <c r="B1535" s="748"/>
      <c r="C1535" s="748"/>
      <c r="D1535" s="748"/>
      <c r="E1535" s="748"/>
      <c r="F1535" s="749"/>
      <c r="G1535" s="748"/>
      <c r="H1535" s="748"/>
      <c r="J1535" s="826"/>
    </row>
    <row r="1536" spans="1:10" s="889" customFormat="1" ht="15.75" thickBot="1" x14ac:dyDescent="0.3">
      <c r="A1536" s="751"/>
      <c r="B1536" s="1184" t="s">
        <v>5403</v>
      </c>
      <c r="C1536" s="1185" t="s">
        <v>867</v>
      </c>
      <c r="D1536" s="1185" t="s">
        <v>6</v>
      </c>
      <c r="E1536" s="1186" t="s">
        <v>5404</v>
      </c>
      <c r="F1536" s="1185" t="s">
        <v>5405</v>
      </c>
      <c r="G1536" s="1187" t="s">
        <v>868</v>
      </c>
      <c r="H1536" s="1189"/>
      <c r="J1536" s="826"/>
    </row>
    <row r="1537" spans="1:10" s="1058" customFormat="1" x14ac:dyDescent="0.25">
      <c r="A1537" s="749"/>
      <c r="B1537" s="757" t="s">
        <v>8269</v>
      </c>
      <c r="C1537" s="819" t="s">
        <v>7042</v>
      </c>
      <c r="D1537" s="1183">
        <v>1</v>
      </c>
      <c r="E1537" s="758">
        <f>H1575</f>
        <v>120896.90000000001</v>
      </c>
      <c r="F1537" s="759">
        <v>0.05</v>
      </c>
      <c r="G1537" s="818">
        <f>D1537*E1537*F1537</f>
        <v>6044.8450000000012</v>
      </c>
      <c r="H1537" s="756"/>
      <c r="J1537" s="826"/>
    </row>
    <row r="1538" spans="1:10" s="1058" customFormat="1" x14ac:dyDescent="0.25">
      <c r="A1538" s="749"/>
      <c r="B1538" s="760" t="s">
        <v>5548</v>
      </c>
      <c r="C1538" s="817" t="s">
        <v>7043</v>
      </c>
      <c r="D1538" s="817">
        <v>1</v>
      </c>
      <c r="E1538" s="761">
        <f>+VLOOKUP(B1538,Insumos!$A$2:$C$331,3,FALSE)</f>
        <v>9001.6</v>
      </c>
      <c r="F1538" s="1198">
        <v>2</v>
      </c>
      <c r="G1538" s="818">
        <f>D1538*E1538*F1538</f>
        <v>18003.2</v>
      </c>
      <c r="H1538" s="756"/>
      <c r="J1538" s="826"/>
    </row>
    <row r="1539" spans="1:10" s="1058" customFormat="1" x14ac:dyDescent="0.25">
      <c r="A1539" s="749"/>
      <c r="B1539" s="763"/>
      <c r="C1539" s="817" t="s">
        <v>7044</v>
      </c>
      <c r="D1539" s="817"/>
      <c r="E1539" s="761" t="s">
        <v>7044</v>
      </c>
      <c r="F1539" s="817"/>
      <c r="G1539" s="818" t="s">
        <v>7044</v>
      </c>
      <c r="H1539" s="756"/>
      <c r="J1539" s="826"/>
    </row>
    <row r="1540" spans="1:10" s="1058" customFormat="1" x14ac:dyDescent="0.25">
      <c r="A1540" s="749"/>
      <c r="B1540" s="764"/>
      <c r="C1540" s="817" t="s">
        <v>7044</v>
      </c>
      <c r="D1540" s="765"/>
      <c r="E1540" s="766" t="s">
        <v>7044</v>
      </c>
      <c r="F1540" s="817"/>
      <c r="G1540" s="818" t="s">
        <v>7044</v>
      </c>
      <c r="H1540" s="756"/>
      <c r="J1540" s="826"/>
    </row>
    <row r="1541" spans="1:10" s="1058" customFormat="1" x14ac:dyDescent="0.25">
      <c r="A1541" s="749"/>
      <c r="B1541" s="764"/>
      <c r="C1541" s="817" t="s">
        <v>7044</v>
      </c>
      <c r="D1541" s="765"/>
      <c r="E1541" s="766" t="s">
        <v>7044</v>
      </c>
      <c r="F1541" s="817"/>
      <c r="G1541" s="818" t="s">
        <v>7044</v>
      </c>
      <c r="H1541" s="756"/>
      <c r="J1541" s="826"/>
    </row>
    <row r="1542" spans="1:10" s="1058" customFormat="1" x14ac:dyDescent="0.25">
      <c r="A1542" s="749"/>
      <c r="B1542" s="764"/>
      <c r="C1542" s="817" t="s">
        <v>7044</v>
      </c>
      <c r="D1542" s="765"/>
      <c r="E1542" s="766" t="s">
        <v>7044</v>
      </c>
      <c r="F1542" s="817"/>
      <c r="G1542" s="818" t="s">
        <v>7044</v>
      </c>
      <c r="H1542" s="756"/>
      <c r="J1542" s="826"/>
    </row>
    <row r="1543" spans="1:10" s="1058" customFormat="1" ht="15.75" thickBot="1" x14ac:dyDescent="0.3">
      <c r="A1543" s="749"/>
      <c r="B1543" s="764"/>
      <c r="C1543" s="817" t="s">
        <v>7044</v>
      </c>
      <c r="D1543" s="765"/>
      <c r="E1543" s="766" t="s">
        <v>7044</v>
      </c>
      <c r="F1543" s="817"/>
      <c r="G1543" s="818" t="s">
        <v>7044</v>
      </c>
      <c r="H1543" s="756"/>
      <c r="J1543" s="826"/>
    </row>
    <row r="1544" spans="1:10" s="1058" customFormat="1" ht="15.75" thickBot="1" x14ac:dyDescent="0.3">
      <c r="A1544" s="749"/>
      <c r="B1544" s="767"/>
      <c r="C1544" s="768" t="s">
        <v>7044</v>
      </c>
      <c r="D1544" s="769"/>
      <c r="E1544" s="770" t="s">
        <v>7044</v>
      </c>
      <c r="F1544" s="768"/>
      <c r="G1544" s="818" t="s">
        <v>7044</v>
      </c>
      <c r="H1544" s="771">
        <f>SUM(G1537:G1544)</f>
        <v>24048.045000000002</v>
      </c>
      <c r="J1544" s="826"/>
    </row>
    <row r="1545" spans="1:10" s="1058" customFormat="1" ht="15.75" thickBot="1" x14ac:dyDescent="0.3">
      <c r="A1545" s="749"/>
      <c r="B1545" s="772"/>
      <c r="C1545" s="773"/>
      <c r="D1545" s="772"/>
      <c r="E1545" s="774"/>
      <c r="F1545" s="773"/>
      <c r="G1545" s="775"/>
      <c r="H1545" s="776"/>
      <c r="J1545" s="826"/>
    </row>
    <row r="1546" spans="1:10" s="889" customFormat="1" ht="15.75" thickBot="1" x14ac:dyDescent="0.3">
      <c r="A1546" s="788"/>
      <c r="B1546" s="1184" t="s">
        <v>5408</v>
      </c>
      <c r="C1546" s="1185" t="s">
        <v>867</v>
      </c>
      <c r="D1546" s="1185" t="s">
        <v>6</v>
      </c>
      <c r="E1546" s="1186" t="s">
        <v>870</v>
      </c>
      <c r="F1546" s="1185" t="s">
        <v>7040</v>
      </c>
      <c r="G1546" s="1187" t="s">
        <v>868</v>
      </c>
      <c r="H1546" s="1189"/>
      <c r="J1546" s="826"/>
    </row>
    <row r="1547" spans="1:10" s="1058" customFormat="1" x14ac:dyDescent="0.25">
      <c r="A1547" s="748"/>
      <c r="B1547" s="777" t="s">
        <v>5549</v>
      </c>
      <c r="C1547" s="819" t="s">
        <v>5431</v>
      </c>
      <c r="D1547" s="819">
        <v>300</v>
      </c>
      <c r="E1547" s="758">
        <f>+VLOOKUP(B1547,Insumos!$A$2:$C$331,3,FALSE)</f>
        <v>470</v>
      </c>
      <c r="F1547" s="1195">
        <v>1.05</v>
      </c>
      <c r="G1547" s="818">
        <f>D1547*E1547*F1547</f>
        <v>148050</v>
      </c>
      <c r="H1547" s="756"/>
      <c r="J1547" s="826"/>
    </row>
    <row r="1548" spans="1:10" s="1058" customFormat="1" x14ac:dyDescent="0.25">
      <c r="A1548" s="748"/>
      <c r="B1548" s="778" t="s">
        <v>8507</v>
      </c>
      <c r="C1548" s="817" t="s">
        <v>5542</v>
      </c>
      <c r="D1548" s="892">
        <v>0.48</v>
      </c>
      <c r="E1548" s="758">
        <f>+VLOOKUP(B1548,Insumos!$A$2:$C$331,3,FALSE)</f>
        <v>99611</v>
      </c>
      <c r="F1548" s="1195">
        <v>1.05</v>
      </c>
      <c r="G1548" s="818">
        <f>D1548*E1548*F1548</f>
        <v>50203.944000000003</v>
      </c>
      <c r="H1548" s="756"/>
      <c r="J1548" s="826"/>
    </row>
    <row r="1549" spans="1:10" s="1058" customFormat="1" x14ac:dyDescent="0.25">
      <c r="A1549" s="748"/>
      <c r="B1549" s="778" t="s">
        <v>5552</v>
      </c>
      <c r="C1549" s="817" t="s">
        <v>5542</v>
      </c>
      <c r="D1549" s="892">
        <v>0.95</v>
      </c>
      <c r="E1549" s="758">
        <f>+VLOOKUP(B1549,Insumos!$A$2:$C$331,3,FALSE)</f>
        <v>99527.7</v>
      </c>
      <c r="F1549" s="1195">
        <v>1.05</v>
      </c>
      <c r="G1549" s="818">
        <f>D1549*E1549*F1549</f>
        <v>99278.880749999997</v>
      </c>
      <c r="H1549" s="756"/>
      <c r="J1549" s="826"/>
    </row>
    <row r="1550" spans="1:10" s="1058" customFormat="1" x14ac:dyDescent="0.25">
      <c r="A1550" s="748"/>
      <c r="B1550" s="764" t="s">
        <v>5553</v>
      </c>
      <c r="C1550" s="817" t="s">
        <v>7046</v>
      </c>
      <c r="D1550" s="817">
        <v>170</v>
      </c>
      <c r="E1550" s="758">
        <f>+VLOOKUP(B1550,Insumos!$A$2:$C$331,3,FALSE)</f>
        <v>30</v>
      </c>
      <c r="F1550" s="1198">
        <v>1.05</v>
      </c>
      <c r="G1550" s="818">
        <f>D1550*E1550*F1550</f>
        <v>5355</v>
      </c>
      <c r="H1550" s="756"/>
      <c r="J1550" s="826"/>
    </row>
    <row r="1551" spans="1:10" s="1058" customFormat="1" x14ac:dyDescent="0.25">
      <c r="A1551" s="748"/>
      <c r="B1551" s="764"/>
      <c r="C1551" s="817" t="s">
        <v>7044</v>
      </c>
      <c r="D1551" s="817"/>
      <c r="E1551" s="758" t="s">
        <v>7044</v>
      </c>
      <c r="F1551" s="1198"/>
      <c r="G1551" s="818" t="s">
        <v>7044</v>
      </c>
      <c r="H1551" s="756"/>
      <c r="J1551" s="826"/>
    </row>
    <row r="1552" spans="1:10" s="1058" customFormat="1" x14ac:dyDescent="0.25">
      <c r="A1552" s="748"/>
      <c r="B1552" s="764"/>
      <c r="C1552" s="817" t="s">
        <v>7044</v>
      </c>
      <c r="D1552" s="817"/>
      <c r="E1552" s="758" t="s">
        <v>7044</v>
      </c>
      <c r="F1552" s="1198"/>
      <c r="G1552" s="818" t="s">
        <v>7044</v>
      </c>
      <c r="H1552" s="756"/>
      <c r="J1552" s="826"/>
    </row>
    <row r="1553" spans="1:10" s="1058" customFormat="1" x14ac:dyDescent="0.25">
      <c r="A1553" s="748"/>
      <c r="B1553" s="764"/>
      <c r="C1553" s="817" t="s">
        <v>7044</v>
      </c>
      <c r="D1553" s="817"/>
      <c r="E1553" s="758" t="s">
        <v>7044</v>
      </c>
      <c r="F1553" s="817"/>
      <c r="G1553" s="818" t="s">
        <v>7044</v>
      </c>
      <c r="H1553" s="756"/>
      <c r="J1553" s="826"/>
    </row>
    <row r="1554" spans="1:10" s="1058" customFormat="1" x14ac:dyDescent="0.25">
      <c r="A1554" s="748"/>
      <c r="B1554" s="764"/>
      <c r="C1554" s="817" t="s">
        <v>7044</v>
      </c>
      <c r="D1554" s="817"/>
      <c r="E1554" s="758" t="s">
        <v>7044</v>
      </c>
      <c r="F1554" s="817"/>
      <c r="G1554" s="818" t="s">
        <v>7044</v>
      </c>
      <c r="H1554" s="756"/>
      <c r="J1554" s="826"/>
    </row>
    <row r="1555" spans="1:10" s="1058" customFormat="1" x14ac:dyDescent="0.25">
      <c r="A1555" s="748"/>
      <c r="B1555" s="764"/>
      <c r="C1555" s="817" t="s">
        <v>7044</v>
      </c>
      <c r="D1555" s="817"/>
      <c r="E1555" s="758" t="s">
        <v>7044</v>
      </c>
      <c r="F1555" s="817"/>
      <c r="G1555" s="818" t="s">
        <v>7044</v>
      </c>
      <c r="H1555" s="756"/>
      <c r="J1555" s="826"/>
    </row>
    <row r="1556" spans="1:10" s="1058" customFormat="1" x14ac:dyDescent="0.25">
      <c r="A1556" s="748"/>
      <c r="B1556" s="764"/>
      <c r="C1556" s="817" t="s">
        <v>7044</v>
      </c>
      <c r="D1556" s="817"/>
      <c r="E1556" s="758" t="s">
        <v>7044</v>
      </c>
      <c r="F1556" s="817"/>
      <c r="G1556" s="818" t="s">
        <v>7044</v>
      </c>
      <c r="H1556" s="756"/>
      <c r="J1556" s="826"/>
    </row>
    <row r="1557" spans="1:10" s="1058" customFormat="1" x14ac:dyDescent="0.25">
      <c r="A1557" s="748"/>
      <c r="B1557" s="764"/>
      <c r="C1557" s="817" t="s">
        <v>7044</v>
      </c>
      <c r="D1557" s="817"/>
      <c r="E1557" s="758" t="s">
        <v>7044</v>
      </c>
      <c r="F1557" s="817"/>
      <c r="G1557" s="818" t="s">
        <v>7044</v>
      </c>
      <c r="H1557" s="756"/>
      <c r="J1557" s="826"/>
    </row>
    <row r="1558" spans="1:10" s="1058" customFormat="1" x14ac:dyDescent="0.25">
      <c r="A1558" s="748"/>
      <c r="B1558" s="764"/>
      <c r="C1558" s="765" t="s">
        <v>7044</v>
      </c>
      <c r="D1558" s="765"/>
      <c r="E1558" s="766" t="s">
        <v>7044</v>
      </c>
      <c r="F1558" s="817"/>
      <c r="G1558" s="818" t="s">
        <v>7044</v>
      </c>
      <c r="H1558" s="756"/>
      <c r="J1558" s="826"/>
    </row>
    <row r="1559" spans="1:10" s="1058" customFormat="1" ht="15.75" thickBot="1" x14ac:dyDescent="0.3">
      <c r="A1559" s="748"/>
      <c r="B1559" s="764"/>
      <c r="C1559" s="765" t="s">
        <v>7044</v>
      </c>
      <c r="D1559" s="765"/>
      <c r="E1559" s="766" t="s">
        <v>7044</v>
      </c>
      <c r="F1559" s="817"/>
      <c r="G1559" s="818" t="s">
        <v>7044</v>
      </c>
      <c r="H1559" s="756"/>
      <c r="J1559" s="826"/>
    </row>
    <row r="1560" spans="1:10" s="1058" customFormat="1" ht="15.75" thickBot="1" x14ac:dyDescent="0.3">
      <c r="A1560" s="748"/>
      <c r="B1560" s="767"/>
      <c r="C1560" s="769" t="s">
        <v>7044</v>
      </c>
      <c r="D1560" s="769"/>
      <c r="E1560" s="770" t="s">
        <v>7044</v>
      </c>
      <c r="F1560" s="768"/>
      <c r="G1560" s="818" t="s">
        <v>7044</v>
      </c>
      <c r="H1560" s="771">
        <f>SUM(G1547:G1560)</f>
        <v>302887.82475000003</v>
      </c>
      <c r="J1560" s="826"/>
    </row>
    <row r="1561" spans="1:10" s="1058" customFormat="1" ht="15.75" thickBot="1" x14ac:dyDescent="0.3">
      <c r="A1561" s="748"/>
      <c r="B1561" s="772"/>
      <c r="C1561" s="772"/>
      <c r="D1561" s="772"/>
      <c r="E1561" s="774"/>
      <c r="F1561" s="773"/>
      <c r="G1561" s="775"/>
      <c r="H1561" s="776"/>
      <c r="J1561" s="826"/>
    </row>
    <row r="1562" spans="1:10" s="889" customFormat="1" ht="15.75" thickBot="1" x14ac:dyDescent="0.3">
      <c r="A1562" s="788"/>
      <c r="B1562" s="1184" t="s">
        <v>5410</v>
      </c>
      <c r="C1562" s="1185" t="s">
        <v>867</v>
      </c>
      <c r="D1562" s="1185" t="s">
        <v>6</v>
      </c>
      <c r="E1562" s="1186" t="s">
        <v>870</v>
      </c>
      <c r="F1562" s="1185" t="s">
        <v>5411</v>
      </c>
      <c r="G1562" s="1187" t="s">
        <v>868</v>
      </c>
      <c r="H1562" s="1189"/>
      <c r="J1562" s="826"/>
    </row>
    <row r="1563" spans="1:10" s="1058" customFormat="1" x14ac:dyDescent="0.25">
      <c r="A1563" s="748"/>
      <c r="B1563" s="777"/>
      <c r="C1563" s="819" t="s">
        <v>7044</v>
      </c>
      <c r="D1563" s="819"/>
      <c r="E1563" s="758" t="s">
        <v>7044</v>
      </c>
      <c r="F1563" s="819"/>
      <c r="G1563" s="818" t="s">
        <v>7044</v>
      </c>
      <c r="H1563" s="756"/>
      <c r="J1563" s="826"/>
    </row>
    <row r="1564" spans="1:10" s="1058" customFormat="1" x14ac:dyDescent="0.25">
      <c r="A1564" s="748"/>
      <c r="B1564" s="778"/>
      <c r="C1564" s="817" t="s">
        <v>7044</v>
      </c>
      <c r="D1564" s="817"/>
      <c r="E1564" s="761" t="s">
        <v>7044</v>
      </c>
      <c r="F1564" s="817"/>
      <c r="G1564" s="818" t="s">
        <v>7044</v>
      </c>
      <c r="H1564" s="756"/>
      <c r="J1564" s="826"/>
    </row>
    <row r="1565" spans="1:10" s="1058" customFormat="1" x14ac:dyDescent="0.25">
      <c r="A1565" s="748"/>
      <c r="B1565" s="778"/>
      <c r="C1565" s="817" t="s">
        <v>7044</v>
      </c>
      <c r="D1565" s="817"/>
      <c r="E1565" s="758" t="s">
        <v>7044</v>
      </c>
      <c r="F1565" s="817"/>
      <c r="G1565" s="818" t="s">
        <v>7044</v>
      </c>
      <c r="H1565" s="756"/>
      <c r="J1565" s="826"/>
    </row>
    <row r="1566" spans="1:10" s="1058" customFormat="1" ht="15.75" thickBot="1" x14ac:dyDescent="0.3">
      <c r="A1566" s="748"/>
      <c r="B1566" s="764"/>
      <c r="C1566" s="817" t="s">
        <v>7044</v>
      </c>
      <c r="D1566" s="817"/>
      <c r="E1566" s="758" t="s">
        <v>7044</v>
      </c>
      <c r="F1566" s="817"/>
      <c r="G1566" s="818" t="s">
        <v>7044</v>
      </c>
      <c r="H1566" s="756"/>
      <c r="J1566" s="826"/>
    </row>
    <row r="1567" spans="1:10" s="1058" customFormat="1" ht="15.75" thickBot="1" x14ac:dyDescent="0.3">
      <c r="A1567" s="748"/>
      <c r="B1567" s="767"/>
      <c r="C1567" s="769" t="s">
        <v>7044</v>
      </c>
      <c r="D1567" s="769"/>
      <c r="E1567" s="770" t="s">
        <v>7044</v>
      </c>
      <c r="F1567" s="768"/>
      <c r="G1567" s="818" t="s">
        <v>7044</v>
      </c>
      <c r="H1567" s="771">
        <f>SUM(G1563:G1567)</f>
        <v>0</v>
      </c>
      <c r="J1567" s="826"/>
    </row>
    <row r="1568" spans="1:10" s="1058" customFormat="1" ht="15.75" thickBot="1" x14ac:dyDescent="0.3">
      <c r="A1568" s="748"/>
      <c r="B1568" s="772"/>
      <c r="C1568" s="772"/>
      <c r="D1568" s="772"/>
      <c r="E1568" s="774"/>
      <c r="F1568" s="779"/>
      <c r="G1568" s="780"/>
      <c r="H1568" s="776"/>
      <c r="J1568" s="826"/>
    </row>
    <row r="1569" spans="1:10" s="889" customFormat="1" ht="15.75" thickBot="1" x14ac:dyDescent="0.3">
      <c r="A1569" s="788"/>
      <c r="B1569" s="1184" t="s">
        <v>5412</v>
      </c>
      <c r="C1569" s="1185" t="s">
        <v>5420</v>
      </c>
      <c r="D1569" s="1185" t="s">
        <v>5421</v>
      </c>
      <c r="E1569" s="1186" t="s">
        <v>5413</v>
      </c>
      <c r="F1569" s="1185" t="s">
        <v>5405</v>
      </c>
      <c r="G1569" s="1187" t="s">
        <v>868</v>
      </c>
      <c r="H1569" s="1189"/>
      <c r="J1569" s="826"/>
    </row>
    <row r="1570" spans="1:10" s="1058" customFormat="1" x14ac:dyDescent="0.25">
      <c r="A1570" s="748"/>
      <c r="B1570" s="781" t="s">
        <v>5948</v>
      </c>
      <c r="C1570" s="782">
        <f>+VLOOKUP(B1570,'Mano de obra'!$A$5:$D$26,2,FALSE)</f>
        <v>57455</v>
      </c>
      <c r="D1570" s="782">
        <f>+VLOOKUP(B1570,'Mano de obra'!$A$5:$D$26,3,FALSE)</f>
        <v>35656</v>
      </c>
      <c r="E1570" s="761">
        <f>+VLOOKUP(B1570,'Mano de obra'!$A$5:$D$26,4,FALSE)</f>
        <v>93111</v>
      </c>
      <c r="F1570" s="819">
        <v>10</v>
      </c>
      <c r="G1570" s="818">
        <f>IF(B1570="","",E1570/F1570)</f>
        <v>9311.1</v>
      </c>
      <c r="H1570" s="756"/>
      <c r="J1570" s="826"/>
    </row>
    <row r="1571" spans="1:10" s="1058" customFormat="1" x14ac:dyDescent="0.25">
      <c r="A1571" s="748"/>
      <c r="B1571" s="781" t="s">
        <v>5949</v>
      </c>
      <c r="C1571" s="782">
        <f>+VLOOKUP(B1571,'Mano de obra'!$A$5:$D$26,2,FALSE)</f>
        <v>44263.8</v>
      </c>
      <c r="D1571" s="782">
        <f>+VLOOKUP(B1571,'Mano de obra'!$A$5:$D$26,3,FALSE)</f>
        <v>27470</v>
      </c>
      <c r="E1571" s="761">
        <f>+VLOOKUP(B1571,'Mano de obra'!$A$5:$D$26,4,FALSE)</f>
        <v>71733.8</v>
      </c>
      <c r="F1571" s="790">
        <v>1</v>
      </c>
      <c r="G1571" s="818">
        <f>IF(B1571="","",E1571/F1571)</f>
        <v>71733.8</v>
      </c>
      <c r="H1571" s="756"/>
      <c r="J1571" s="826"/>
    </row>
    <row r="1572" spans="1:10" s="1058" customFormat="1" x14ac:dyDescent="0.25">
      <c r="A1572" s="748"/>
      <c r="B1572" s="764" t="s">
        <v>5635</v>
      </c>
      <c r="C1572" s="782">
        <f>+VLOOKUP(B1572,'Mano de obra'!$A$5:$D$26,2,FALSE)</f>
        <v>24591</v>
      </c>
      <c r="D1572" s="782">
        <f>+VLOOKUP(B1572,'Mano de obra'!$A$5:$D$26,3,FALSE)</f>
        <v>15261</v>
      </c>
      <c r="E1572" s="761">
        <f>+VLOOKUP(B1572,'Mano de obra'!$A$5:$D$26,4,FALSE)</f>
        <v>39852</v>
      </c>
      <c r="F1572" s="892">
        <v>1</v>
      </c>
      <c r="G1572" s="818">
        <f>IF(B1572="","",E1572/F1572)</f>
        <v>39852</v>
      </c>
      <c r="H1572" s="756"/>
      <c r="J1572" s="826"/>
    </row>
    <row r="1573" spans="1:10" s="1058" customFormat="1" x14ac:dyDescent="0.25">
      <c r="A1573" s="748"/>
      <c r="B1573" s="764"/>
      <c r="C1573" s="782" t="s">
        <v>7044</v>
      </c>
      <c r="D1573" s="766" t="s">
        <v>7044</v>
      </c>
      <c r="E1573" s="766" t="s">
        <v>7044</v>
      </c>
      <c r="F1573" s="817"/>
      <c r="G1573" s="783" t="s">
        <v>7044</v>
      </c>
      <c r="H1573" s="756"/>
      <c r="J1573" s="826"/>
    </row>
    <row r="1574" spans="1:10" s="1058" customFormat="1" ht="15.75" thickBot="1" x14ac:dyDescent="0.3">
      <c r="A1574" s="748"/>
      <c r="B1574" s="764"/>
      <c r="C1574" s="766" t="s">
        <v>7044</v>
      </c>
      <c r="D1574" s="766" t="s">
        <v>7044</v>
      </c>
      <c r="E1574" s="766" t="s">
        <v>7044</v>
      </c>
      <c r="F1574" s="817"/>
      <c r="G1574" s="783" t="s">
        <v>7044</v>
      </c>
      <c r="H1574" s="756"/>
      <c r="J1574" s="826"/>
    </row>
    <row r="1575" spans="1:10" s="1058" customFormat="1" ht="15.75" thickBot="1" x14ac:dyDescent="0.3">
      <c r="A1575" s="748"/>
      <c r="B1575" s="784"/>
      <c r="C1575" s="785" t="s">
        <v>7044</v>
      </c>
      <c r="D1575" s="785" t="s">
        <v>7044</v>
      </c>
      <c r="E1575" s="785" t="s">
        <v>7044</v>
      </c>
      <c r="F1575" s="786"/>
      <c r="G1575" s="787" t="s">
        <v>7044</v>
      </c>
      <c r="H1575" s="771">
        <f>SUM(G1570:G1575)</f>
        <v>120896.90000000001</v>
      </c>
      <c r="J1575" s="826"/>
    </row>
    <row r="1576" spans="1:10" s="1058" customFormat="1" ht="15.75" thickBot="1" x14ac:dyDescent="0.3">
      <c r="A1576" s="748"/>
      <c r="B1576" s="748"/>
      <c r="C1576" s="748"/>
      <c r="D1576" s="748"/>
      <c r="E1576" s="748"/>
      <c r="F1576" s="749"/>
      <c r="G1576" s="748"/>
      <c r="H1576" s="748"/>
      <c r="J1576" s="826"/>
    </row>
    <row r="1577" spans="1:10" s="1058" customFormat="1" ht="15.75" thickBot="1" x14ac:dyDescent="0.3">
      <c r="A1577" s="748"/>
      <c r="B1577" s="748"/>
      <c r="C1577" s="748"/>
      <c r="D1577" s="748"/>
      <c r="E1577" s="788" t="s">
        <v>5415</v>
      </c>
      <c r="F1577" s="749"/>
      <c r="G1577" s="748"/>
      <c r="H1577" s="789">
        <f>ROUND(H1544+H1560+H1567+H1575,0)</f>
        <v>447833</v>
      </c>
      <c r="J1577" s="826"/>
    </row>
    <row r="1578" spans="1:10" s="1058" customFormat="1" x14ac:dyDescent="0.25">
      <c r="A1578" s="748"/>
      <c r="B1578" s="748"/>
      <c r="C1578" s="748"/>
      <c r="D1578" s="748"/>
      <c r="E1578" s="748"/>
      <c r="F1578" s="749"/>
      <c r="G1578" s="748"/>
      <c r="H1578" s="748"/>
      <c r="J1578" s="826"/>
    </row>
    <row r="1579" spans="1:10" s="1058" customFormat="1" x14ac:dyDescent="0.25">
      <c r="A1579" s="749"/>
      <c r="B1579" s="748"/>
      <c r="C1579" s="748"/>
      <c r="D1579" s="748"/>
      <c r="E1579" s="748"/>
      <c r="F1579" s="749"/>
      <c r="G1579" s="748"/>
      <c r="H1579" s="748"/>
      <c r="J1579" s="826"/>
    </row>
    <row r="1580" spans="1:10" s="889" customFormat="1" ht="37.5" customHeight="1" x14ac:dyDescent="0.25">
      <c r="A1580" s="750" t="s">
        <v>3</v>
      </c>
      <c r="B1580" s="1390" t="str">
        <f>+VLOOKUP(C1580,ListaAPUs!$B:$E,4,FALSE)</f>
        <v>3.1.7</v>
      </c>
      <c r="C1580" s="2445" t="str">
        <f>+ListaAPUs!B60</f>
        <v xml:space="preserve">CONCRETO ESTRUCTURAL RESIST. 21,0 MPA (210 KG/CM2) COLUMNAS Y ZAPATAS. INCLUYE FORMALETA </v>
      </c>
      <c r="D1580" s="2445"/>
      <c r="E1580" s="2445"/>
      <c r="F1580" s="750" t="s">
        <v>867</v>
      </c>
      <c r="G1580" s="750" t="s">
        <v>5542</v>
      </c>
      <c r="H1580" s="788"/>
      <c r="J1580" s="826"/>
    </row>
    <row r="1581" spans="1:10" s="1058" customFormat="1" x14ac:dyDescent="0.25">
      <c r="A1581" s="749"/>
      <c r="B1581" s="748"/>
      <c r="C1581" s="748"/>
      <c r="D1581" s="748"/>
      <c r="E1581" s="748"/>
      <c r="F1581" s="749"/>
      <c r="G1581" s="748"/>
      <c r="H1581" s="748"/>
      <c r="J1581" s="826"/>
    </row>
    <row r="1582" spans="1:10" s="1058" customFormat="1" x14ac:dyDescent="0.25">
      <c r="A1582" s="749"/>
      <c r="B1582" s="748"/>
      <c r="C1582" s="748"/>
      <c r="D1582" s="748"/>
      <c r="E1582" s="748"/>
      <c r="F1582" s="749"/>
      <c r="G1582" s="751"/>
      <c r="H1582" s="748"/>
      <c r="J1582" s="826"/>
    </row>
    <row r="1583" spans="1:10" s="1058" customFormat="1" ht="15.75" thickBot="1" x14ac:dyDescent="0.3">
      <c r="A1583" s="749"/>
      <c r="B1583" s="748"/>
      <c r="C1583" s="748"/>
      <c r="D1583" s="748"/>
      <c r="E1583" s="748"/>
      <c r="F1583" s="749"/>
      <c r="G1583" s="748"/>
      <c r="H1583" s="748"/>
      <c r="J1583" s="826"/>
    </row>
    <row r="1584" spans="1:10" s="889" customFormat="1" ht="15.75" thickBot="1" x14ac:dyDescent="0.3">
      <c r="A1584" s="751"/>
      <c r="B1584" s="1184" t="s">
        <v>5403</v>
      </c>
      <c r="C1584" s="1185" t="s">
        <v>867</v>
      </c>
      <c r="D1584" s="1185" t="s">
        <v>6</v>
      </c>
      <c r="E1584" s="1186" t="s">
        <v>5404</v>
      </c>
      <c r="F1584" s="1185" t="s">
        <v>5405</v>
      </c>
      <c r="G1584" s="1187" t="s">
        <v>868</v>
      </c>
      <c r="H1584" s="1189"/>
      <c r="J1584" s="826"/>
    </row>
    <row r="1585" spans="1:10" s="1058" customFormat="1" x14ac:dyDescent="0.25">
      <c r="A1585" s="749"/>
      <c r="B1585" s="757" t="s">
        <v>8269</v>
      </c>
      <c r="C1585" s="819" t="s">
        <v>7042</v>
      </c>
      <c r="D1585" s="1183">
        <v>1</v>
      </c>
      <c r="E1585" s="758">
        <f>H1623</f>
        <v>187519.05714285717</v>
      </c>
      <c r="F1585" s="1197">
        <v>0.05</v>
      </c>
      <c r="G1585" s="818">
        <f>D1585*E1585*F1585</f>
        <v>9375.9528571428582</v>
      </c>
      <c r="H1585" s="756"/>
      <c r="J1585" s="826"/>
    </row>
    <row r="1586" spans="1:10" s="1058" customFormat="1" x14ac:dyDescent="0.25">
      <c r="A1586" s="749"/>
      <c r="B1586" s="760" t="str">
        <f>PROPER(Insumos!$A$101)</f>
        <v>Mezcladora</v>
      </c>
      <c r="C1586" s="817" t="s">
        <v>8273</v>
      </c>
      <c r="D1586" s="817">
        <v>1</v>
      </c>
      <c r="E1586" s="761">
        <f>+VLOOKUP(B1586,Insumos!$A$2:$C$331,3,FALSE)</f>
        <v>9001.6</v>
      </c>
      <c r="F1586" s="1198">
        <v>2</v>
      </c>
      <c r="G1586" s="818">
        <f>D1586*E1586*F1586</f>
        <v>18003.2</v>
      </c>
      <c r="H1586" s="756"/>
      <c r="J1586" s="826"/>
    </row>
    <row r="1587" spans="1:10" s="1058" customFormat="1" x14ac:dyDescent="0.25">
      <c r="A1587" s="749"/>
      <c r="B1587" s="763" t="str">
        <f>PROPER(Insumos!$A$246)</f>
        <v>Vibrador</v>
      </c>
      <c r="C1587" s="817" t="s">
        <v>5542</v>
      </c>
      <c r="D1587" s="817">
        <v>1</v>
      </c>
      <c r="E1587" s="761">
        <f>+VLOOKUP(B1587,Insumos!$A$2:$C$331,3,FALSE)</f>
        <v>4500.8</v>
      </c>
      <c r="F1587" s="817">
        <v>0.5</v>
      </c>
      <c r="G1587" s="818">
        <f>D1587*E1587*F1587</f>
        <v>2250.4</v>
      </c>
      <c r="H1587" s="756"/>
      <c r="J1587" s="826"/>
    </row>
    <row r="1588" spans="1:10" s="1058" customFormat="1" x14ac:dyDescent="0.25">
      <c r="A1588" s="749"/>
      <c r="B1588" s="764"/>
      <c r="C1588" s="817" t="s">
        <v>7044</v>
      </c>
      <c r="D1588" s="765"/>
      <c r="E1588" s="766" t="s">
        <v>7044</v>
      </c>
      <c r="F1588" s="817"/>
      <c r="G1588" s="818" t="s">
        <v>7044</v>
      </c>
      <c r="H1588" s="756"/>
      <c r="J1588" s="826"/>
    </row>
    <row r="1589" spans="1:10" s="1058" customFormat="1" x14ac:dyDescent="0.25">
      <c r="A1589" s="749"/>
      <c r="B1589" s="764"/>
      <c r="C1589" s="817" t="s">
        <v>7044</v>
      </c>
      <c r="D1589" s="765"/>
      <c r="E1589" s="766" t="s">
        <v>7044</v>
      </c>
      <c r="F1589" s="817"/>
      <c r="G1589" s="818" t="s">
        <v>7044</v>
      </c>
      <c r="H1589" s="756"/>
      <c r="J1589" s="826"/>
    </row>
    <row r="1590" spans="1:10" s="1058" customFormat="1" x14ac:dyDescent="0.25">
      <c r="A1590" s="749"/>
      <c r="B1590" s="764"/>
      <c r="C1590" s="817" t="s">
        <v>7044</v>
      </c>
      <c r="D1590" s="765"/>
      <c r="E1590" s="766" t="s">
        <v>7044</v>
      </c>
      <c r="F1590" s="817"/>
      <c r="G1590" s="818" t="s">
        <v>7044</v>
      </c>
      <c r="H1590" s="756"/>
      <c r="J1590" s="826"/>
    </row>
    <row r="1591" spans="1:10" s="1058" customFormat="1" ht="15.75" thickBot="1" x14ac:dyDescent="0.3">
      <c r="A1591" s="749"/>
      <c r="B1591" s="764"/>
      <c r="C1591" s="817" t="s">
        <v>7044</v>
      </c>
      <c r="D1591" s="765"/>
      <c r="E1591" s="766" t="s">
        <v>7044</v>
      </c>
      <c r="F1591" s="817"/>
      <c r="G1591" s="818" t="s">
        <v>7044</v>
      </c>
      <c r="H1591" s="756"/>
      <c r="J1591" s="826"/>
    </row>
    <row r="1592" spans="1:10" s="1058" customFormat="1" ht="15.75" thickBot="1" x14ac:dyDescent="0.3">
      <c r="A1592" s="749"/>
      <c r="B1592" s="767"/>
      <c r="C1592" s="768" t="s">
        <v>7044</v>
      </c>
      <c r="D1592" s="769"/>
      <c r="E1592" s="770" t="s">
        <v>7044</v>
      </c>
      <c r="F1592" s="768"/>
      <c r="G1592" s="818" t="s">
        <v>7044</v>
      </c>
      <c r="H1592" s="771">
        <f>SUM(G1585:G1592)</f>
        <v>29629.552857142859</v>
      </c>
      <c r="J1592" s="826"/>
    </row>
    <row r="1593" spans="1:10" s="1058" customFormat="1" ht="15.75" thickBot="1" x14ac:dyDescent="0.3">
      <c r="A1593" s="749"/>
      <c r="B1593" s="772"/>
      <c r="C1593" s="773"/>
      <c r="D1593" s="772"/>
      <c r="E1593" s="774"/>
      <c r="F1593" s="773"/>
      <c r="G1593" s="775"/>
      <c r="H1593" s="776"/>
      <c r="J1593" s="826"/>
    </row>
    <row r="1594" spans="1:10" s="889" customFormat="1" ht="15.75" thickBot="1" x14ac:dyDescent="0.3">
      <c r="A1594" s="788"/>
      <c r="B1594" s="1184" t="s">
        <v>5408</v>
      </c>
      <c r="C1594" s="1185" t="s">
        <v>867</v>
      </c>
      <c r="D1594" s="1185" t="s">
        <v>6</v>
      </c>
      <c r="E1594" s="1186" t="s">
        <v>870</v>
      </c>
      <c r="F1594" s="1185" t="s">
        <v>7040</v>
      </c>
      <c r="G1594" s="1187" t="s">
        <v>868</v>
      </c>
      <c r="H1594" s="1189"/>
      <c r="J1594" s="826"/>
    </row>
    <row r="1595" spans="1:10" s="1058" customFormat="1" x14ac:dyDescent="0.25">
      <c r="A1595" s="748"/>
      <c r="B1595" s="777" t="str">
        <f>PROPER(Insumos!$A$26)</f>
        <v>Cemento</v>
      </c>
      <c r="C1595" s="819" t="s">
        <v>5431</v>
      </c>
      <c r="D1595" s="819">
        <v>350</v>
      </c>
      <c r="E1595" s="758">
        <f>+VLOOKUP(B1595,Insumos!$A$2:$C$331,3,FALSE)</f>
        <v>470</v>
      </c>
      <c r="F1595" s="1195">
        <v>1.05</v>
      </c>
      <c r="G1595" s="818">
        <f>D1595*E1595*F1595</f>
        <v>172725</v>
      </c>
      <c r="H1595" s="756"/>
      <c r="J1595" s="826"/>
    </row>
    <row r="1596" spans="1:10" s="1058" customFormat="1" x14ac:dyDescent="0.25">
      <c r="A1596" s="748"/>
      <c r="B1596" s="778" t="str">
        <f>PROPER(Insumos!$A$16)</f>
        <v>Arena Lavada</v>
      </c>
      <c r="C1596" s="817" t="s">
        <v>5542</v>
      </c>
      <c r="D1596" s="892">
        <v>0.55500000000000005</v>
      </c>
      <c r="E1596" s="758">
        <f>+VLOOKUP(B1596,Insumos!$A$2:$C$331,3,FALSE)</f>
        <v>99611</v>
      </c>
      <c r="F1596" s="1195">
        <v>1.05</v>
      </c>
      <c r="G1596" s="818">
        <f>D1596*E1596*F1596</f>
        <v>58048.310250000002</v>
      </c>
      <c r="H1596" s="756"/>
      <c r="J1596" s="826"/>
    </row>
    <row r="1597" spans="1:10" s="1058" customFormat="1" x14ac:dyDescent="0.25">
      <c r="A1597" s="748"/>
      <c r="B1597" s="778" t="str">
        <f>PROPER(Insumos!$A$71)</f>
        <v>Grava</v>
      </c>
      <c r="C1597" s="817" t="s">
        <v>5542</v>
      </c>
      <c r="D1597" s="892">
        <v>0.83499999999999996</v>
      </c>
      <c r="E1597" s="758">
        <f>+VLOOKUP(B1597,Insumos!$A$2:$C$331,3,FALSE)</f>
        <v>99527.7</v>
      </c>
      <c r="F1597" s="1195">
        <v>1.05</v>
      </c>
      <c r="G1597" s="818">
        <f>D1597*E1597*F1597</f>
        <v>87260.910975000006</v>
      </c>
      <c r="H1597" s="756"/>
      <c r="J1597" s="826"/>
    </row>
    <row r="1598" spans="1:10" s="1058" customFormat="1" x14ac:dyDescent="0.25">
      <c r="A1598" s="748"/>
      <c r="B1598" s="764" t="str">
        <f>PROPER(Insumos!$A$10)</f>
        <v>Agua</v>
      </c>
      <c r="C1598" s="817" t="s">
        <v>7046</v>
      </c>
      <c r="D1598" s="817">
        <v>180</v>
      </c>
      <c r="E1598" s="758">
        <f>+VLOOKUP(B1598,Insumos!$A$2:$C$331,3,FALSE)</f>
        <v>30</v>
      </c>
      <c r="F1598" s="1198">
        <v>1.05</v>
      </c>
      <c r="G1598" s="818">
        <f>D1598*E1598*F1598</f>
        <v>5670</v>
      </c>
      <c r="H1598" s="756"/>
      <c r="J1598" s="826"/>
    </row>
    <row r="1599" spans="1:10" s="1058" customFormat="1" x14ac:dyDescent="0.25">
      <c r="A1599" s="748"/>
      <c r="B1599" s="764" t="str">
        <f>PROPER(Insumos!$A$69)</f>
        <v xml:space="preserve">Formaleta De Madera </v>
      </c>
      <c r="C1599" s="817" t="s">
        <v>5556</v>
      </c>
      <c r="D1599" s="817">
        <v>1</v>
      </c>
      <c r="E1599" s="758">
        <f>+VLOOKUP(B1599,Insumos!$A$2:$C$331,3,FALSE)</f>
        <v>58999.096863999999</v>
      </c>
      <c r="F1599" s="1198">
        <v>1.05</v>
      </c>
      <c r="G1599" s="818">
        <f>D1599*E1599*F1599</f>
        <v>61949.0517072</v>
      </c>
      <c r="H1599" s="756"/>
      <c r="J1599" s="826"/>
    </row>
    <row r="1600" spans="1:10" s="1058" customFormat="1" x14ac:dyDescent="0.25">
      <c r="A1600" s="748"/>
      <c r="B1600" s="764" t="str">
        <f>PROPER(Insumos!$A$54)</f>
        <v>Curado</v>
      </c>
      <c r="C1600" s="817" t="s">
        <v>5734</v>
      </c>
      <c r="D1600" s="817"/>
      <c r="E1600" s="758">
        <f>+VLOOKUP(B1600,Insumos!$A$2:$C$331,3,FALSE)</f>
        <v>5626</v>
      </c>
      <c r="F1600" s="817"/>
      <c r="G1600" s="818">
        <f>E1600</f>
        <v>5626</v>
      </c>
      <c r="H1600" s="756"/>
      <c r="J1600" s="826"/>
    </row>
    <row r="1601" spans="1:10" s="1058" customFormat="1" x14ac:dyDescent="0.25">
      <c r="A1601" s="748"/>
      <c r="B1601" s="764"/>
      <c r="C1601" s="817" t="s">
        <v>7044</v>
      </c>
      <c r="D1601" s="817"/>
      <c r="E1601" s="758" t="s">
        <v>7044</v>
      </c>
      <c r="F1601" s="817"/>
      <c r="G1601" s="818" t="s">
        <v>7044</v>
      </c>
      <c r="H1601" s="756"/>
      <c r="J1601" s="826"/>
    </row>
    <row r="1602" spans="1:10" s="1058" customFormat="1" x14ac:dyDescent="0.25">
      <c r="A1602" s="748"/>
      <c r="B1602" s="764"/>
      <c r="C1602" s="817" t="s">
        <v>7044</v>
      </c>
      <c r="D1602" s="817"/>
      <c r="E1602" s="758" t="s">
        <v>7044</v>
      </c>
      <c r="F1602" s="817"/>
      <c r="G1602" s="818" t="s">
        <v>7044</v>
      </c>
      <c r="H1602" s="756"/>
      <c r="J1602" s="826"/>
    </row>
    <row r="1603" spans="1:10" s="1058" customFormat="1" x14ac:dyDescent="0.25">
      <c r="A1603" s="748"/>
      <c r="B1603" s="764"/>
      <c r="C1603" s="817" t="s">
        <v>7044</v>
      </c>
      <c r="D1603" s="817"/>
      <c r="E1603" s="758" t="s">
        <v>7044</v>
      </c>
      <c r="F1603" s="817"/>
      <c r="G1603" s="818" t="s">
        <v>7044</v>
      </c>
      <c r="H1603" s="756"/>
      <c r="J1603" s="826"/>
    </row>
    <row r="1604" spans="1:10" s="1058" customFormat="1" x14ac:dyDescent="0.25">
      <c r="A1604" s="748"/>
      <c r="B1604" s="764"/>
      <c r="C1604" s="817" t="s">
        <v>7044</v>
      </c>
      <c r="D1604" s="817"/>
      <c r="E1604" s="758" t="s">
        <v>7044</v>
      </c>
      <c r="F1604" s="817"/>
      <c r="G1604" s="818" t="s">
        <v>7044</v>
      </c>
      <c r="H1604" s="756"/>
      <c r="J1604" s="826"/>
    </row>
    <row r="1605" spans="1:10" s="1058" customFormat="1" x14ac:dyDescent="0.25">
      <c r="A1605" s="748"/>
      <c r="B1605" s="764"/>
      <c r="C1605" s="817" t="s">
        <v>7044</v>
      </c>
      <c r="D1605" s="817"/>
      <c r="E1605" s="758" t="s">
        <v>7044</v>
      </c>
      <c r="F1605" s="817"/>
      <c r="G1605" s="818" t="s">
        <v>7044</v>
      </c>
      <c r="H1605" s="756"/>
      <c r="J1605" s="826"/>
    </row>
    <row r="1606" spans="1:10" s="1058" customFormat="1" x14ac:dyDescent="0.25">
      <c r="A1606" s="748"/>
      <c r="B1606" s="764"/>
      <c r="C1606" s="765" t="s">
        <v>7044</v>
      </c>
      <c r="D1606" s="765"/>
      <c r="E1606" s="766" t="s">
        <v>7044</v>
      </c>
      <c r="F1606" s="817"/>
      <c r="G1606" s="818" t="s">
        <v>7044</v>
      </c>
      <c r="H1606" s="756"/>
      <c r="J1606" s="826"/>
    </row>
    <row r="1607" spans="1:10" s="1058" customFormat="1" ht="15.75" thickBot="1" x14ac:dyDescent="0.3">
      <c r="A1607" s="748"/>
      <c r="B1607" s="764"/>
      <c r="C1607" s="765" t="s">
        <v>7044</v>
      </c>
      <c r="D1607" s="765"/>
      <c r="E1607" s="766" t="s">
        <v>7044</v>
      </c>
      <c r="F1607" s="817"/>
      <c r="G1607" s="818" t="s">
        <v>7044</v>
      </c>
      <c r="H1607" s="756"/>
      <c r="J1607" s="826"/>
    </row>
    <row r="1608" spans="1:10" s="1058" customFormat="1" ht="15.75" thickBot="1" x14ac:dyDescent="0.3">
      <c r="A1608" s="748"/>
      <c r="B1608" s="767"/>
      <c r="C1608" s="769" t="s">
        <v>7044</v>
      </c>
      <c r="D1608" s="769"/>
      <c r="E1608" s="770" t="s">
        <v>7044</v>
      </c>
      <c r="F1608" s="768"/>
      <c r="G1608" s="818" t="s">
        <v>7044</v>
      </c>
      <c r="H1608" s="771">
        <f>SUM(G1595:G1608)</f>
        <v>391279.27293219999</v>
      </c>
      <c r="J1608" s="826"/>
    </row>
    <row r="1609" spans="1:10" s="1058" customFormat="1" ht="15.75" thickBot="1" x14ac:dyDescent="0.3">
      <c r="A1609" s="748"/>
      <c r="B1609" s="772"/>
      <c r="C1609" s="772"/>
      <c r="D1609" s="772"/>
      <c r="E1609" s="774"/>
      <c r="F1609" s="773"/>
      <c r="G1609" s="775"/>
      <c r="H1609" s="776"/>
      <c r="J1609" s="826"/>
    </row>
    <row r="1610" spans="1:10" s="889" customFormat="1" ht="15.75" thickBot="1" x14ac:dyDescent="0.3">
      <c r="A1610" s="788"/>
      <c r="B1610" s="1184" t="s">
        <v>5410</v>
      </c>
      <c r="C1610" s="1185" t="s">
        <v>867</v>
      </c>
      <c r="D1610" s="1185" t="s">
        <v>6</v>
      </c>
      <c r="E1610" s="1186" t="s">
        <v>870</v>
      </c>
      <c r="F1610" s="1185" t="s">
        <v>5411</v>
      </c>
      <c r="G1610" s="1187" t="s">
        <v>868</v>
      </c>
      <c r="H1610" s="1189"/>
      <c r="J1610" s="826"/>
    </row>
    <row r="1611" spans="1:10" s="1058" customFormat="1" x14ac:dyDescent="0.25">
      <c r="A1611" s="748"/>
      <c r="B1611" s="777"/>
      <c r="C1611" s="819" t="s">
        <v>7044</v>
      </c>
      <c r="D1611" s="819"/>
      <c r="E1611" s="758" t="s">
        <v>7044</v>
      </c>
      <c r="F1611" s="819"/>
      <c r="G1611" s="818" t="s">
        <v>7044</v>
      </c>
      <c r="H1611" s="756"/>
      <c r="J1611" s="826"/>
    </row>
    <row r="1612" spans="1:10" s="1058" customFormat="1" x14ac:dyDescent="0.25">
      <c r="A1612" s="748"/>
      <c r="B1612" s="778"/>
      <c r="C1612" s="817" t="s">
        <v>7044</v>
      </c>
      <c r="D1612" s="817"/>
      <c r="E1612" s="761" t="s">
        <v>7044</v>
      </c>
      <c r="F1612" s="817"/>
      <c r="G1612" s="818" t="s">
        <v>7044</v>
      </c>
      <c r="H1612" s="756"/>
      <c r="J1612" s="826"/>
    </row>
    <row r="1613" spans="1:10" s="1058" customFormat="1" x14ac:dyDescent="0.25">
      <c r="A1613" s="748"/>
      <c r="B1613" s="778"/>
      <c r="C1613" s="817" t="s">
        <v>7044</v>
      </c>
      <c r="D1613" s="817"/>
      <c r="E1613" s="758" t="s">
        <v>7044</v>
      </c>
      <c r="F1613" s="817"/>
      <c r="G1613" s="818" t="s">
        <v>7044</v>
      </c>
      <c r="H1613" s="756"/>
      <c r="J1613" s="826"/>
    </row>
    <row r="1614" spans="1:10" s="1058" customFormat="1" ht="15.75" thickBot="1" x14ac:dyDescent="0.3">
      <c r="A1614" s="748"/>
      <c r="B1614" s="764"/>
      <c r="C1614" s="817" t="s">
        <v>7044</v>
      </c>
      <c r="D1614" s="817"/>
      <c r="E1614" s="758" t="s">
        <v>7044</v>
      </c>
      <c r="F1614" s="817"/>
      <c r="G1614" s="818" t="s">
        <v>7044</v>
      </c>
      <c r="H1614" s="756"/>
      <c r="J1614" s="826"/>
    </row>
    <row r="1615" spans="1:10" s="1058" customFormat="1" ht="15.75" thickBot="1" x14ac:dyDescent="0.3">
      <c r="A1615" s="748"/>
      <c r="B1615" s="767"/>
      <c r="C1615" s="769" t="s">
        <v>7044</v>
      </c>
      <c r="D1615" s="769"/>
      <c r="E1615" s="770" t="s">
        <v>7044</v>
      </c>
      <c r="F1615" s="768"/>
      <c r="G1615" s="818" t="s">
        <v>7044</v>
      </c>
      <c r="H1615" s="771">
        <f>SUM(G1611:G1615)</f>
        <v>0</v>
      </c>
      <c r="J1615" s="826"/>
    </row>
    <row r="1616" spans="1:10" s="1058" customFormat="1" ht="15.75" thickBot="1" x14ac:dyDescent="0.3">
      <c r="A1616" s="748"/>
      <c r="B1616" s="772"/>
      <c r="C1616" s="772"/>
      <c r="D1616" s="772"/>
      <c r="E1616" s="774"/>
      <c r="F1616" s="779"/>
      <c r="G1616" s="780"/>
      <c r="H1616" s="776"/>
      <c r="J1616" s="826"/>
    </row>
    <row r="1617" spans="1:10" s="889" customFormat="1" ht="15.75" thickBot="1" x14ac:dyDescent="0.3">
      <c r="A1617" s="788"/>
      <c r="B1617" s="1184" t="s">
        <v>5412</v>
      </c>
      <c r="C1617" s="1185" t="s">
        <v>5420</v>
      </c>
      <c r="D1617" s="1185" t="s">
        <v>5421</v>
      </c>
      <c r="E1617" s="1186" t="s">
        <v>5413</v>
      </c>
      <c r="F1617" s="1185" t="s">
        <v>5405</v>
      </c>
      <c r="G1617" s="1187" t="s">
        <v>868</v>
      </c>
      <c r="H1617" s="1189"/>
      <c r="J1617" s="826"/>
    </row>
    <row r="1618" spans="1:10" s="1058" customFormat="1" x14ac:dyDescent="0.25">
      <c r="A1618" s="748"/>
      <c r="B1618" s="781" t="s">
        <v>5948</v>
      </c>
      <c r="C1618" s="782">
        <f>+VLOOKUP(B1618,'Mano de obra'!$A$5:$D$26,2,FALSE)</f>
        <v>57455</v>
      </c>
      <c r="D1618" s="782">
        <f>+VLOOKUP(B1618,'Mano de obra'!$A$5:$D$26,3,FALSE)</f>
        <v>35656</v>
      </c>
      <c r="E1618" s="761">
        <f>+VLOOKUP(B1618,'Mano de obra'!$A$5:$D$26,4,FALSE)</f>
        <v>93111</v>
      </c>
      <c r="F1618" s="819">
        <v>5</v>
      </c>
      <c r="G1618" s="818">
        <f>IF(B1618="","",E1618/F1618)</f>
        <v>18622.2</v>
      </c>
      <c r="H1618" s="756"/>
      <c r="J1618" s="826"/>
    </row>
    <row r="1619" spans="1:10" s="1058" customFormat="1" x14ac:dyDescent="0.25">
      <c r="A1619" s="748"/>
      <c r="B1619" s="781" t="s">
        <v>5949</v>
      </c>
      <c r="C1619" s="782">
        <f>+VLOOKUP(B1619,'Mano de obra'!$A$5:$D$26,2,FALSE)</f>
        <v>44263.8</v>
      </c>
      <c r="D1619" s="782">
        <f>+VLOOKUP(B1619,'Mano de obra'!$A$5:$D$26,3,FALSE)</f>
        <v>27470</v>
      </c>
      <c r="E1619" s="761">
        <f>+VLOOKUP(B1619,'Mano de obra'!$A$5:$D$26,4,FALSE)</f>
        <v>71733.8</v>
      </c>
      <c r="F1619" s="790">
        <v>0.7</v>
      </c>
      <c r="G1619" s="818">
        <f>IF(B1619="","",E1619/F1619)</f>
        <v>102476.85714285716</v>
      </c>
      <c r="H1619" s="756"/>
      <c r="J1619" s="826"/>
    </row>
    <row r="1620" spans="1:10" s="1058" customFormat="1" x14ac:dyDescent="0.25">
      <c r="A1620" s="748"/>
      <c r="B1620" s="764" t="s">
        <v>5635</v>
      </c>
      <c r="C1620" s="782">
        <f>+VLOOKUP(B1620,'Mano de obra'!$A$5:$D$26,2,FALSE)</f>
        <v>24591</v>
      </c>
      <c r="D1620" s="782">
        <f>+VLOOKUP(B1620,'Mano de obra'!$A$5:$D$26,3,FALSE)</f>
        <v>15261</v>
      </c>
      <c r="E1620" s="761">
        <f>+VLOOKUP(B1620,'Mano de obra'!$A$5:$D$26,4,FALSE)</f>
        <v>39852</v>
      </c>
      <c r="F1620" s="892">
        <v>0.6</v>
      </c>
      <c r="G1620" s="818">
        <f>IF(B1620="","",E1620/F1620)</f>
        <v>66420</v>
      </c>
      <c r="H1620" s="756"/>
      <c r="J1620" s="826"/>
    </row>
    <row r="1621" spans="1:10" s="1058" customFormat="1" x14ac:dyDescent="0.25">
      <c r="A1621" s="748"/>
      <c r="B1621" s="764"/>
      <c r="C1621" s="782" t="s">
        <v>7044</v>
      </c>
      <c r="D1621" s="766" t="s">
        <v>7044</v>
      </c>
      <c r="E1621" s="766" t="s">
        <v>7044</v>
      </c>
      <c r="F1621" s="817"/>
      <c r="G1621" s="783" t="s">
        <v>7044</v>
      </c>
      <c r="H1621" s="756"/>
      <c r="J1621" s="826"/>
    </row>
    <row r="1622" spans="1:10" s="1058" customFormat="1" ht="15.75" thickBot="1" x14ac:dyDescent="0.3">
      <c r="A1622" s="748"/>
      <c r="B1622" s="764"/>
      <c r="C1622" s="766" t="s">
        <v>7044</v>
      </c>
      <c r="D1622" s="766" t="s">
        <v>7044</v>
      </c>
      <c r="E1622" s="766" t="s">
        <v>7044</v>
      </c>
      <c r="F1622" s="817"/>
      <c r="G1622" s="783" t="s">
        <v>7044</v>
      </c>
      <c r="H1622" s="756"/>
      <c r="J1622" s="826"/>
    </row>
    <row r="1623" spans="1:10" s="1058" customFormat="1" ht="15.75" thickBot="1" x14ac:dyDescent="0.3">
      <c r="A1623" s="748"/>
      <c r="B1623" s="784"/>
      <c r="C1623" s="785" t="s">
        <v>7044</v>
      </c>
      <c r="D1623" s="785" t="s">
        <v>7044</v>
      </c>
      <c r="E1623" s="785" t="s">
        <v>7044</v>
      </c>
      <c r="F1623" s="786"/>
      <c r="G1623" s="787" t="s">
        <v>7044</v>
      </c>
      <c r="H1623" s="771">
        <f>SUM(G1618:G1623)</f>
        <v>187519.05714285717</v>
      </c>
      <c r="J1623" s="826"/>
    </row>
    <row r="1624" spans="1:10" s="1058" customFormat="1" ht="15.75" thickBot="1" x14ac:dyDescent="0.3">
      <c r="A1624" s="748"/>
      <c r="B1624" s="748"/>
      <c r="C1624" s="748"/>
      <c r="D1624" s="748"/>
      <c r="E1624" s="748"/>
      <c r="F1624" s="749"/>
      <c r="G1624" s="748"/>
      <c r="H1624" s="748"/>
      <c r="J1624" s="826"/>
    </row>
    <row r="1625" spans="1:10" s="1058" customFormat="1" ht="15.75" thickBot="1" x14ac:dyDescent="0.3">
      <c r="A1625" s="748"/>
      <c r="B1625" s="748"/>
      <c r="C1625" s="748"/>
      <c r="D1625" s="748"/>
      <c r="E1625" s="788" t="s">
        <v>5415</v>
      </c>
      <c r="F1625" s="749"/>
      <c r="G1625" s="748"/>
      <c r="H1625" s="789">
        <f>ROUND(H1592+H1608+H1615+H1623,0)</f>
        <v>608428</v>
      </c>
      <c r="J1625" s="826"/>
    </row>
    <row r="1626" spans="1:10" s="1058" customFormat="1" x14ac:dyDescent="0.25">
      <c r="A1626" s="748"/>
      <c r="B1626" s="748"/>
      <c r="C1626" s="748"/>
      <c r="D1626" s="748"/>
      <c r="E1626" s="748"/>
      <c r="F1626" s="749"/>
      <c r="G1626" s="748"/>
      <c r="H1626" s="748"/>
      <c r="J1626" s="826"/>
    </row>
    <row r="1627" spans="1:10" s="1058" customFormat="1" x14ac:dyDescent="0.25">
      <c r="A1627" s="749"/>
      <c r="B1627" s="748"/>
      <c r="C1627" s="748"/>
      <c r="D1627" s="748"/>
      <c r="E1627" s="748"/>
      <c r="F1627" s="749"/>
      <c r="G1627" s="748"/>
      <c r="H1627" s="748"/>
      <c r="J1627" s="826"/>
    </row>
    <row r="1628" spans="1:10" s="889" customFormat="1" ht="30" customHeight="1" x14ac:dyDescent="0.25">
      <c r="A1628" s="750" t="s">
        <v>3</v>
      </c>
      <c r="B1628" s="1390" t="str">
        <f>+VLOOKUP(C1628,ListaAPUs!$B:$E,4,FALSE)</f>
        <v>3.1.8</v>
      </c>
      <c r="C1628" s="2445" t="str">
        <f>+ListaAPUs!B61</f>
        <v>CONCRETO ESTRUCTURAL RESIST. 21,0 MPA (210 KG/CM2) PLACA FONDO INCLUYE FORMALETA)</v>
      </c>
      <c r="D1628" s="2445"/>
      <c r="E1628" s="2445"/>
      <c r="F1628" s="750" t="s">
        <v>867</v>
      </c>
      <c r="G1628" s="750" t="s">
        <v>5542</v>
      </c>
      <c r="H1628" s="788"/>
      <c r="J1628" s="826"/>
    </row>
    <row r="1629" spans="1:10" s="1058" customFormat="1" x14ac:dyDescent="0.25">
      <c r="A1629" s="749"/>
      <c r="B1629" s="748"/>
      <c r="C1629" s="748"/>
      <c r="D1629" s="748"/>
      <c r="E1629" s="748"/>
      <c r="F1629" s="749"/>
      <c r="G1629" s="748"/>
      <c r="H1629" s="748"/>
      <c r="J1629" s="826"/>
    </row>
    <row r="1630" spans="1:10" s="1058" customFormat="1" x14ac:dyDescent="0.25">
      <c r="A1630" s="749"/>
      <c r="B1630" s="748"/>
      <c r="C1630" s="748"/>
      <c r="D1630" s="748"/>
      <c r="E1630" s="748"/>
      <c r="F1630" s="749"/>
      <c r="G1630" s="751"/>
      <c r="H1630" s="748"/>
      <c r="J1630" s="826"/>
    </row>
    <row r="1631" spans="1:10" s="1058" customFormat="1" ht="15.75" thickBot="1" x14ac:dyDescent="0.3">
      <c r="A1631" s="749"/>
      <c r="B1631" s="748"/>
      <c r="C1631" s="748"/>
      <c r="D1631" s="748"/>
      <c r="E1631" s="748"/>
      <c r="F1631" s="749"/>
      <c r="G1631" s="748"/>
      <c r="H1631" s="748"/>
      <c r="J1631" s="826"/>
    </row>
    <row r="1632" spans="1:10" s="889" customFormat="1" ht="15.75" thickBot="1" x14ac:dyDescent="0.3">
      <c r="A1632" s="751"/>
      <c r="B1632" s="1184" t="s">
        <v>5403</v>
      </c>
      <c r="C1632" s="1185" t="s">
        <v>867</v>
      </c>
      <c r="D1632" s="1185" t="s">
        <v>6</v>
      </c>
      <c r="E1632" s="1186" t="s">
        <v>5404</v>
      </c>
      <c r="F1632" s="1185" t="s">
        <v>5405</v>
      </c>
      <c r="G1632" s="1187" t="s">
        <v>868</v>
      </c>
      <c r="H1632" s="1189"/>
      <c r="J1632" s="826"/>
    </row>
    <row r="1633" spans="1:10" s="1058" customFormat="1" x14ac:dyDescent="0.25">
      <c r="A1633" s="749"/>
      <c r="B1633" s="757" t="s">
        <v>8269</v>
      </c>
      <c r="C1633" s="819" t="s">
        <v>7042</v>
      </c>
      <c r="D1633" s="1183">
        <v>1</v>
      </c>
      <c r="E1633" s="758">
        <f>H1671</f>
        <v>130208</v>
      </c>
      <c r="F1633" s="1197">
        <v>0.05</v>
      </c>
      <c r="G1633" s="818">
        <f>D1633*E1633*F1633</f>
        <v>6510.4000000000005</v>
      </c>
      <c r="H1633" s="756"/>
      <c r="J1633" s="826"/>
    </row>
    <row r="1634" spans="1:10" s="1058" customFormat="1" x14ac:dyDescent="0.25">
      <c r="A1634" s="749"/>
      <c r="B1634" s="760" t="str">
        <f>PROPER(Insumos!$A$101)</f>
        <v>Mezcladora</v>
      </c>
      <c r="C1634" s="817" t="s">
        <v>8273</v>
      </c>
      <c r="D1634" s="817">
        <v>1</v>
      </c>
      <c r="E1634" s="761">
        <f>+VLOOKUP(B1634,Insumos!$A$2:$C$331,3,FALSE)</f>
        <v>9001.6</v>
      </c>
      <c r="F1634" s="1198">
        <v>2</v>
      </c>
      <c r="G1634" s="818">
        <f>D1634*E1634*F1634</f>
        <v>18003.2</v>
      </c>
      <c r="H1634" s="756"/>
      <c r="J1634" s="826"/>
    </row>
    <row r="1635" spans="1:10" s="1058" customFormat="1" x14ac:dyDescent="0.25">
      <c r="A1635" s="749"/>
      <c r="B1635" s="763" t="str">
        <f>PROPER(Insumos!$A$246)</f>
        <v>Vibrador</v>
      </c>
      <c r="C1635" s="817" t="s">
        <v>5542</v>
      </c>
      <c r="D1635" s="817">
        <v>1</v>
      </c>
      <c r="E1635" s="761">
        <f>+VLOOKUP(B1635,Insumos!$A$2:$C$331,3,FALSE)</f>
        <v>4500.8</v>
      </c>
      <c r="F1635" s="817">
        <v>0.5</v>
      </c>
      <c r="G1635" s="818">
        <f>D1635*E1635*F1635</f>
        <v>2250.4</v>
      </c>
      <c r="H1635" s="756"/>
      <c r="J1635" s="826"/>
    </row>
    <row r="1636" spans="1:10" s="1058" customFormat="1" x14ac:dyDescent="0.25">
      <c r="A1636" s="749"/>
      <c r="B1636" s="764"/>
      <c r="C1636" s="817" t="s">
        <v>7044</v>
      </c>
      <c r="D1636" s="765"/>
      <c r="E1636" s="766" t="s">
        <v>7044</v>
      </c>
      <c r="F1636" s="817"/>
      <c r="G1636" s="818" t="s">
        <v>7044</v>
      </c>
      <c r="H1636" s="756"/>
      <c r="J1636" s="826"/>
    </row>
    <row r="1637" spans="1:10" s="1058" customFormat="1" x14ac:dyDescent="0.25">
      <c r="A1637" s="749"/>
      <c r="B1637" s="764"/>
      <c r="C1637" s="817" t="s">
        <v>7044</v>
      </c>
      <c r="D1637" s="765"/>
      <c r="E1637" s="766" t="s">
        <v>7044</v>
      </c>
      <c r="F1637" s="817"/>
      <c r="G1637" s="818" t="s">
        <v>7044</v>
      </c>
      <c r="H1637" s="756"/>
      <c r="J1637" s="826"/>
    </row>
    <row r="1638" spans="1:10" s="1058" customFormat="1" x14ac:dyDescent="0.25">
      <c r="A1638" s="749"/>
      <c r="B1638" s="764"/>
      <c r="C1638" s="817" t="s">
        <v>7044</v>
      </c>
      <c r="D1638" s="765"/>
      <c r="E1638" s="766" t="s">
        <v>7044</v>
      </c>
      <c r="F1638" s="817"/>
      <c r="G1638" s="818" t="s">
        <v>7044</v>
      </c>
      <c r="H1638" s="756"/>
      <c r="J1638" s="826"/>
    </row>
    <row r="1639" spans="1:10" s="1058" customFormat="1" ht="15.75" thickBot="1" x14ac:dyDescent="0.3">
      <c r="A1639" s="749"/>
      <c r="B1639" s="764"/>
      <c r="C1639" s="817" t="s">
        <v>7044</v>
      </c>
      <c r="D1639" s="765"/>
      <c r="E1639" s="766" t="s">
        <v>7044</v>
      </c>
      <c r="F1639" s="817"/>
      <c r="G1639" s="818" t="s">
        <v>7044</v>
      </c>
      <c r="H1639" s="756"/>
      <c r="J1639" s="826"/>
    </row>
    <row r="1640" spans="1:10" s="1058" customFormat="1" ht="15.75" thickBot="1" x14ac:dyDescent="0.3">
      <c r="A1640" s="749"/>
      <c r="B1640" s="767"/>
      <c r="C1640" s="768" t="s">
        <v>7044</v>
      </c>
      <c r="D1640" s="769"/>
      <c r="E1640" s="770" t="s">
        <v>7044</v>
      </c>
      <c r="F1640" s="768"/>
      <c r="G1640" s="818" t="s">
        <v>7044</v>
      </c>
      <c r="H1640" s="771">
        <f>SUM(G1633:G1640)</f>
        <v>26764.000000000004</v>
      </c>
      <c r="J1640" s="826"/>
    </row>
    <row r="1641" spans="1:10" s="1058" customFormat="1" ht="15.75" thickBot="1" x14ac:dyDescent="0.3">
      <c r="A1641" s="749"/>
      <c r="B1641" s="772"/>
      <c r="C1641" s="773"/>
      <c r="D1641" s="772"/>
      <c r="E1641" s="774"/>
      <c r="F1641" s="773"/>
      <c r="G1641" s="775"/>
      <c r="H1641" s="776"/>
      <c r="J1641" s="826"/>
    </row>
    <row r="1642" spans="1:10" s="889" customFormat="1" ht="15.75" thickBot="1" x14ac:dyDescent="0.3">
      <c r="A1642" s="788"/>
      <c r="B1642" s="1184" t="s">
        <v>5408</v>
      </c>
      <c r="C1642" s="1185" t="s">
        <v>867</v>
      </c>
      <c r="D1642" s="1185" t="s">
        <v>6</v>
      </c>
      <c r="E1642" s="1186" t="s">
        <v>870</v>
      </c>
      <c r="F1642" s="1185" t="s">
        <v>7040</v>
      </c>
      <c r="G1642" s="1187" t="s">
        <v>868</v>
      </c>
      <c r="H1642" s="1189"/>
      <c r="J1642" s="826"/>
    </row>
    <row r="1643" spans="1:10" s="1058" customFormat="1" x14ac:dyDescent="0.25">
      <c r="A1643" s="748"/>
      <c r="B1643" s="777" t="str">
        <f>PROPER(Insumos!$A$26)</f>
        <v>Cemento</v>
      </c>
      <c r="C1643" s="819" t="s">
        <v>5431</v>
      </c>
      <c r="D1643" s="819">
        <v>350</v>
      </c>
      <c r="E1643" s="758">
        <f>+VLOOKUP(B1643,Insumos!$A$2:$C$331,3,FALSE)</f>
        <v>470</v>
      </c>
      <c r="F1643" s="1195">
        <v>1.05</v>
      </c>
      <c r="G1643" s="818">
        <f>D1643*E1643*F1643</f>
        <v>172725</v>
      </c>
      <c r="H1643" s="756"/>
      <c r="J1643" s="826"/>
    </row>
    <row r="1644" spans="1:10" s="1058" customFormat="1" x14ac:dyDescent="0.25">
      <c r="A1644" s="748"/>
      <c r="B1644" s="778" t="str">
        <f>PROPER(Insumos!$A$16)</f>
        <v>Arena Lavada</v>
      </c>
      <c r="C1644" s="817" t="s">
        <v>5542</v>
      </c>
      <c r="D1644" s="892">
        <v>0.55500000000000005</v>
      </c>
      <c r="E1644" s="758">
        <f>+VLOOKUP(B1644,Insumos!$A$2:$C$331,3,FALSE)</f>
        <v>99611</v>
      </c>
      <c r="F1644" s="1195">
        <v>1.05</v>
      </c>
      <c r="G1644" s="818">
        <f>D1644*E1644*F1644</f>
        <v>58048.310250000002</v>
      </c>
      <c r="H1644" s="756"/>
      <c r="J1644" s="826"/>
    </row>
    <row r="1645" spans="1:10" s="1058" customFormat="1" x14ac:dyDescent="0.25">
      <c r="A1645" s="748"/>
      <c r="B1645" s="778" t="str">
        <f>PROPER(Insumos!$A$71)</f>
        <v>Grava</v>
      </c>
      <c r="C1645" s="817" t="s">
        <v>5542</v>
      </c>
      <c r="D1645" s="892">
        <v>0.83499999999999996</v>
      </c>
      <c r="E1645" s="758">
        <f>+VLOOKUP(B1645,Insumos!$A$2:$C$331,3,FALSE)</f>
        <v>99527.7</v>
      </c>
      <c r="F1645" s="1195">
        <v>1.05</v>
      </c>
      <c r="G1645" s="818">
        <f>D1645*E1645*F1645</f>
        <v>87260.910975000006</v>
      </c>
      <c r="H1645" s="756"/>
      <c r="J1645" s="826"/>
    </row>
    <row r="1646" spans="1:10" s="1058" customFormat="1" x14ac:dyDescent="0.25">
      <c r="A1646" s="748"/>
      <c r="B1646" s="764" t="str">
        <f>PROPER(Insumos!$A$10)</f>
        <v>Agua</v>
      </c>
      <c r="C1646" s="817" t="s">
        <v>7046</v>
      </c>
      <c r="D1646" s="817">
        <v>180</v>
      </c>
      <c r="E1646" s="758">
        <f>+VLOOKUP(B1646,Insumos!$A$2:$C$331,3,FALSE)</f>
        <v>30</v>
      </c>
      <c r="F1646" s="1198">
        <v>1.05</v>
      </c>
      <c r="G1646" s="818">
        <f>D1646*E1646*F1646</f>
        <v>5670</v>
      </c>
      <c r="H1646" s="756"/>
      <c r="J1646" s="826"/>
    </row>
    <row r="1647" spans="1:10" s="1058" customFormat="1" x14ac:dyDescent="0.25">
      <c r="A1647" s="748"/>
      <c r="B1647" s="764" t="str">
        <f>PROPER(Insumos!$A$69)</f>
        <v xml:space="preserve">Formaleta De Madera </v>
      </c>
      <c r="C1647" s="817" t="s">
        <v>5556</v>
      </c>
      <c r="D1647" s="892">
        <v>0.5</v>
      </c>
      <c r="E1647" s="758">
        <f>+VLOOKUP(B1647,Insumos!$A$2:$C$331,3,FALSE)</f>
        <v>58999.096863999999</v>
      </c>
      <c r="F1647" s="1198">
        <v>1.05</v>
      </c>
      <c r="G1647" s="818">
        <f>D1647*E1647*F1647</f>
        <v>30974.5258536</v>
      </c>
      <c r="H1647" s="756"/>
      <c r="J1647" s="826"/>
    </row>
    <row r="1648" spans="1:10" s="1058" customFormat="1" x14ac:dyDescent="0.25">
      <c r="A1648" s="748"/>
      <c r="B1648" s="764" t="str">
        <f>PROPER(Insumos!$A$54)</f>
        <v>Curado</v>
      </c>
      <c r="C1648" s="817" t="s">
        <v>5734</v>
      </c>
      <c r="D1648" s="817"/>
      <c r="E1648" s="758">
        <f>+VLOOKUP(B1648,Insumos!$A$2:$C$331,3,FALSE)</f>
        <v>5626</v>
      </c>
      <c r="F1648" s="817"/>
      <c r="G1648" s="818">
        <f>E1648</f>
        <v>5626</v>
      </c>
      <c r="H1648" s="756"/>
      <c r="J1648" s="826"/>
    </row>
    <row r="1649" spans="1:10" s="1058" customFormat="1" x14ac:dyDescent="0.25">
      <c r="A1649" s="748"/>
      <c r="B1649" s="764"/>
      <c r="C1649" s="817" t="s">
        <v>7044</v>
      </c>
      <c r="D1649" s="817"/>
      <c r="E1649" s="758" t="s">
        <v>7044</v>
      </c>
      <c r="F1649" s="817"/>
      <c r="G1649" s="818" t="s">
        <v>7044</v>
      </c>
      <c r="H1649" s="756"/>
      <c r="J1649" s="826"/>
    </row>
    <row r="1650" spans="1:10" s="1058" customFormat="1" x14ac:dyDescent="0.25">
      <c r="A1650" s="748"/>
      <c r="B1650" s="764"/>
      <c r="C1650" s="817" t="s">
        <v>7044</v>
      </c>
      <c r="D1650" s="817"/>
      <c r="E1650" s="758" t="s">
        <v>7044</v>
      </c>
      <c r="F1650" s="817"/>
      <c r="G1650" s="818" t="s">
        <v>7044</v>
      </c>
      <c r="H1650" s="756"/>
      <c r="J1650" s="826"/>
    </row>
    <row r="1651" spans="1:10" s="1058" customFormat="1" x14ac:dyDescent="0.25">
      <c r="A1651" s="748"/>
      <c r="B1651" s="764"/>
      <c r="C1651" s="817" t="s">
        <v>7044</v>
      </c>
      <c r="D1651" s="817"/>
      <c r="E1651" s="758" t="s">
        <v>7044</v>
      </c>
      <c r="F1651" s="817"/>
      <c r="G1651" s="818" t="s">
        <v>7044</v>
      </c>
      <c r="H1651" s="756"/>
      <c r="J1651" s="826"/>
    </row>
    <row r="1652" spans="1:10" s="1058" customFormat="1" x14ac:dyDescent="0.25">
      <c r="A1652" s="748"/>
      <c r="B1652" s="764"/>
      <c r="C1652" s="817" t="s">
        <v>7044</v>
      </c>
      <c r="D1652" s="817"/>
      <c r="E1652" s="758" t="s">
        <v>7044</v>
      </c>
      <c r="F1652" s="817"/>
      <c r="G1652" s="818" t="s">
        <v>7044</v>
      </c>
      <c r="H1652" s="756"/>
      <c r="J1652" s="826"/>
    </row>
    <row r="1653" spans="1:10" s="1058" customFormat="1" x14ac:dyDescent="0.25">
      <c r="A1653" s="748"/>
      <c r="B1653" s="764"/>
      <c r="C1653" s="817" t="s">
        <v>7044</v>
      </c>
      <c r="D1653" s="817"/>
      <c r="E1653" s="758" t="s">
        <v>7044</v>
      </c>
      <c r="F1653" s="817"/>
      <c r="G1653" s="818" t="s">
        <v>7044</v>
      </c>
      <c r="H1653" s="756"/>
      <c r="J1653" s="826"/>
    </row>
    <row r="1654" spans="1:10" s="1058" customFormat="1" x14ac:dyDescent="0.25">
      <c r="A1654" s="748"/>
      <c r="B1654" s="764"/>
      <c r="C1654" s="765" t="s">
        <v>7044</v>
      </c>
      <c r="D1654" s="765"/>
      <c r="E1654" s="766" t="s">
        <v>7044</v>
      </c>
      <c r="F1654" s="817"/>
      <c r="G1654" s="818" t="s">
        <v>7044</v>
      </c>
      <c r="H1654" s="756"/>
      <c r="J1654" s="826"/>
    </row>
    <row r="1655" spans="1:10" s="1058" customFormat="1" ht="15.75" thickBot="1" x14ac:dyDescent="0.3">
      <c r="A1655" s="748"/>
      <c r="B1655" s="764"/>
      <c r="C1655" s="765" t="s">
        <v>7044</v>
      </c>
      <c r="D1655" s="765"/>
      <c r="E1655" s="766" t="s">
        <v>7044</v>
      </c>
      <c r="F1655" s="817"/>
      <c r="G1655" s="818" t="s">
        <v>7044</v>
      </c>
      <c r="H1655" s="756"/>
      <c r="J1655" s="826"/>
    </row>
    <row r="1656" spans="1:10" s="1058" customFormat="1" ht="15.75" thickBot="1" x14ac:dyDescent="0.3">
      <c r="A1656" s="748"/>
      <c r="B1656" s="767"/>
      <c r="C1656" s="769" t="s">
        <v>7044</v>
      </c>
      <c r="D1656" s="769"/>
      <c r="E1656" s="770" t="s">
        <v>7044</v>
      </c>
      <c r="F1656" s="768"/>
      <c r="G1656" s="818" t="s">
        <v>7044</v>
      </c>
      <c r="H1656" s="771">
        <f>SUM(G1643:G1656)</f>
        <v>360304.74707859999</v>
      </c>
      <c r="J1656" s="826"/>
    </row>
    <row r="1657" spans="1:10" s="1058" customFormat="1" ht="15.75" thickBot="1" x14ac:dyDescent="0.3">
      <c r="A1657" s="748"/>
      <c r="B1657" s="772"/>
      <c r="C1657" s="772"/>
      <c r="D1657" s="772"/>
      <c r="E1657" s="774"/>
      <c r="F1657" s="773"/>
      <c r="G1657" s="775"/>
      <c r="H1657" s="776"/>
      <c r="J1657" s="826"/>
    </row>
    <row r="1658" spans="1:10" s="889" customFormat="1" ht="15.75" thickBot="1" x14ac:dyDescent="0.3">
      <c r="A1658" s="788"/>
      <c r="B1658" s="1184" t="s">
        <v>5410</v>
      </c>
      <c r="C1658" s="1185" t="s">
        <v>867</v>
      </c>
      <c r="D1658" s="1185" t="s">
        <v>6</v>
      </c>
      <c r="E1658" s="1186" t="s">
        <v>870</v>
      </c>
      <c r="F1658" s="1185" t="s">
        <v>5411</v>
      </c>
      <c r="G1658" s="1187" t="s">
        <v>868</v>
      </c>
      <c r="H1658" s="1189"/>
      <c r="J1658" s="826"/>
    </row>
    <row r="1659" spans="1:10" s="1058" customFormat="1" x14ac:dyDescent="0.25">
      <c r="A1659" s="748"/>
      <c r="B1659" s="777"/>
      <c r="C1659" s="819" t="s">
        <v>7044</v>
      </c>
      <c r="D1659" s="819"/>
      <c r="E1659" s="758" t="s">
        <v>7044</v>
      </c>
      <c r="F1659" s="819"/>
      <c r="G1659" s="818" t="s">
        <v>7044</v>
      </c>
      <c r="H1659" s="756"/>
      <c r="J1659" s="826"/>
    </row>
    <row r="1660" spans="1:10" s="1058" customFormat="1" x14ac:dyDescent="0.25">
      <c r="A1660" s="748"/>
      <c r="B1660" s="778"/>
      <c r="C1660" s="817" t="s">
        <v>7044</v>
      </c>
      <c r="D1660" s="817"/>
      <c r="E1660" s="761" t="s">
        <v>7044</v>
      </c>
      <c r="F1660" s="817"/>
      <c r="G1660" s="818" t="s">
        <v>7044</v>
      </c>
      <c r="H1660" s="756"/>
      <c r="J1660" s="826"/>
    </row>
    <row r="1661" spans="1:10" s="1058" customFormat="1" x14ac:dyDescent="0.25">
      <c r="A1661" s="748"/>
      <c r="B1661" s="778"/>
      <c r="C1661" s="817" t="s">
        <v>7044</v>
      </c>
      <c r="D1661" s="817"/>
      <c r="E1661" s="758" t="s">
        <v>7044</v>
      </c>
      <c r="F1661" s="817"/>
      <c r="G1661" s="818" t="s">
        <v>7044</v>
      </c>
      <c r="H1661" s="756"/>
      <c r="J1661" s="826"/>
    </row>
    <row r="1662" spans="1:10" s="1058" customFormat="1" ht="15.75" thickBot="1" x14ac:dyDescent="0.3">
      <c r="A1662" s="748"/>
      <c r="B1662" s="764"/>
      <c r="C1662" s="817" t="s">
        <v>7044</v>
      </c>
      <c r="D1662" s="817"/>
      <c r="E1662" s="758" t="s">
        <v>7044</v>
      </c>
      <c r="F1662" s="817"/>
      <c r="G1662" s="818" t="s">
        <v>7044</v>
      </c>
      <c r="H1662" s="756"/>
      <c r="J1662" s="826"/>
    </row>
    <row r="1663" spans="1:10" s="1058" customFormat="1" ht="15.75" thickBot="1" x14ac:dyDescent="0.3">
      <c r="A1663" s="748"/>
      <c r="B1663" s="767"/>
      <c r="C1663" s="769" t="s">
        <v>7044</v>
      </c>
      <c r="D1663" s="769"/>
      <c r="E1663" s="770" t="s">
        <v>7044</v>
      </c>
      <c r="F1663" s="768"/>
      <c r="G1663" s="818" t="s">
        <v>7044</v>
      </c>
      <c r="H1663" s="771">
        <f>SUM(G1659:G1663)</f>
        <v>0</v>
      </c>
      <c r="J1663" s="826"/>
    </row>
    <row r="1664" spans="1:10" s="1058" customFormat="1" ht="15.75" thickBot="1" x14ac:dyDescent="0.3">
      <c r="A1664" s="748"/>
      <c r="B1664" s="772"/>
      <c r="C1664" s="772"/>
      <c r="D1664" s="772"/>
      <c r="E1664" s="774"/>
      <c r="F1664" s="779"/>
      <c r="G1664" s="780"/>
      <c r="H1664" s="776"/>
      <c r="J1664" s="826"/>
    </row>
    <row r="1665" spans="1:10" s="889" customFormat="1" ht="15.75" thickBot="1" x14ac:dyDescent="0.3">
      <c r="A1665" s="788"/>
      <c r="B1665" s="1184" t="s">
        <v>5412</v>
      </c>
      <c r="C1665" s="1185" t="s">
        <v>5420</v>
      </c>
      <c r="D1665" s="1185" t="s">
        <v>5421</v>
      </c>
      <c r="E1665" s="1186" t="s">
        <v>5413</v>
      </c>
      <c r="F1665" s="1185" t="s">
        <v>5405</v>
      </c>
      <c r="G1665" s="1187" t="s">
        <v>868</v>
      </c>
      <c r="H1665" s="1189"/>
      <c r="J1665" s="826"/>
    </row>
    <row r="1666" spans="1:10" s="1058" customFormat="1" x14ac:dyDescent="0.25">
      <c r="A1666" s="748"/>
      <c r="B1666" s="781" t="s">
        <v>5948</v>
      </c>
      <c r="C1666" s="782">
        <f>+VLOOKUP(B1666,'Mano de obra'!$A$5:$D$26,2,FALSE)</f>
        <v>57455</v>
      </c>
      <c r="D1666" s="782">
        <f>+VLOOKUP(B1666,'Mano de obra'!$A$5:$D$26,3,FALSE)</f>
        <v>35656</v>
      </c>
      <c r="E1666" s="761">
        <f>+VLOOKUP(B1666,'Mano de obra'!$A$5:$D$26,4,FALSE)</f>
        <v>93111</v>
      </c>
      <c r="F1666" s="819">
        <v>5</v>
      </c>
      <c r="G1666" s="818">
        <f>IF(B1666="","",E1666/F1666)</f>
        <v>18622.2</v>
      </c>
      <c r="H1666" s="756"/>
      <c r="J1666" s="826"/>
    </row>
    <row r="1667" spans="1:10" s="1058" customFormat="1" x14ac:dyDescent="0.25">
      <c r="A1667" s="748"/>
      <c r="B1667" s="781" t="s">
        <v>5949</v>
      </c>
      <c r="C1667" s="782">
        <f>+VLOOKUP(B1667,'Mano de obra'!$A$5:$D$26,2,FALSE)</f>
        <v>44263.8</v>
      </c>
      <c r="D1667" s="782">
        <f>+VLOOKUP(B1667,'Mano de obra'!$A$5:$D$26,3,FALSE)</f>
        <v>27470</v>
      </c>
      <c r="E1667" s="761">
        <f>+VLOOKUP(B1667,'Mano de obra'!$A$5:$D$26,4,FALSE)</f>
        <v>71733.8</v>
      </c>
      <c r="F1667" s="790">
        <v>1</v>
      </c>
      <c r="G1667" s="818">
        <f>IF(B1667="","",E1667/F1667)</f>
        <v>71733.8</v>
      </c>
      <c r="H1667" s="756"/>
      <c r="J1667" s="826"/>
    </row>
    <row r="1668" spans="1:10" s="1058" customFormat="1" x14ac:dyDescent="0.25">
      <c r="A1668" s="748"/>
      <c r="B1668" s="764" t="s">
        <v>5635</v>
      </c>
      <c r="C1668" s="782">
        <f>+VLOOKUP(B1668,'Mano de obra'!$A$5:$D$26,2,FALSE)</f>
        <v>24591</v>
      </c>
      <c r="D1668" s="782">
        <f>+VLOOKUP(B1668,'Mano de obra'!$A$5:$D$26,3,FALSE)</f>
        <v>15261</v>
      </c>
      <c r="E1668" s="761">
        <f>+VLOOKUP(B1668,'Mano de obra'!$A$5:$D$26,4,FALSE)</f>
        <v>39852</v>
      </c>
      <c r="F1668" s="892">
        <v>1</v>
      </c>
      <c r="G1668" s="818">
        <f>IF(B1668="","",E1668/F1668)</f>
        <v>39852</v>
      </c>
      <c r="H1668" s="756"/>
      <c r="J1668" s="826"/>
    </row>
    <row r="1669" spans="1:10" s="1058" customFormat="1" x14ac:dyDescent="0.25">
      <c r="A1669" s="748"/>
      <c r="B1669" s="764"/>
      <c r="C1669" s="782" t="s">
        <v>7044</v>
      </c>
      <c r="D1669" s="766" t="s">
        <v>7044</v>
      </c>
      <c r="E1669" s="766" t="s">
        <v>7044</v>
      </c>
      <c r="F1669" s="817"/>
      <c r="G1669" s="783" t="s">
        <v>7044</v>
      </c>
      <c r="H1669" s="756"/>
      <c r="J1669" s="826"/>
    </row>
    <row r="1670" spans="1:10" s="1058" customFormat="1" ht="15.75" thickBot="1" x14ac:dyDescent="0.3">
      <c r="A1670" s="748"/>
      <c r="B1670" s="764"/>
      <c r="C1670" s="766" t="s">
        <v>7044</v>
      </c>
      <c r="D1670" s="766" t="s">
        <v>7044</v>
      </c>
      <c r="E1670" s="766" t="s">
        <v>7044</v>
      </c>
      <c r="F1670" s="817"/>
      <c r="G1670" s="783" t="s">
        <v>7044</v>
      </c>
      <c r="H1670" s="756"/>
      <c r="J1670" s="826"/>
    </row>
    <row r="1671" spans="1:10" s="1058" customFormat="1" ht="15.75" thickBot="1" x14ac:dyDescent="0.3">
      <c r="A1671" s="748"/>
      <c r="B1671" s="784"/>
      <c r="C1671" s="785" t="s">
        <v>7044</v>
      </c>
      <c r="D1671" s="785" t="s">
        <v>7044</v>
      </c>
      <c r="E1671" s="785" t="s">
        <v>7044</v>
      </c>
      <c r="F1671" s="786"/>
      <c r="G1671" s="787" t="s">
        <v>7044</v>
      </c>
      <c r="H1671" s="771">
        <f>SUM(G1666:G1671)</f>
        <v>130208</v>
      </c>
      <c r="J1671" s="826"/>
    </row>
    <row r="1672" spans="1:10" s="1058" customFormat="1" ht="15.75" thickBot="1" x14ac:dyDescent="0.3">
      <c r="A1672" s="748"/>
      <c r="B1672" s="748"/>
      <c r="C1672" s="748"/>
      <c r="D1672" s="748"/>
      <c r="E1672" s="748"/>
      <c r="F1672" s="749"/>
      <c r="G1672" s="748"/>
      <c r="H1672" s="748"/>
      <c r="J1672" s="826"/>
    </row>
    <row r="1673" spans="1:10" s="1058" customFormat="1" ht="15.75" thickBot="1" x14ac:dyDescent="0.3">
      <c r="A1673" s="748"/>
      <c r="B1673" s="748"/>
      <c r="C1673" s="748"/>
      <c r="D1673" s="748"/>
      <c r="E1673" s="788" t="s">
        <v>5415</v>
      </c>
      <c r="F1673" s="749"/>
      <c r="G1673" s="748"/>
      <c r="H1673" s="789">
        <f>ROUND(H1640+H1656+H1663+H1671,0)</f>
        <v>517277</v>
      </c>
      <c r="J1673" s="826"/>
    </row>
    <row r="1674" spans="1:10" s="1058" customFormat="1" x14ac:dyDescent="0.25">
      <c r="A1674" s="748"/>
      <c r="B1674" s="748"/>
      <c r="C1674" s="748"/>
      <c r="D1674" s="748"/>
      <c r="E1674" s="748"/>
      <c r="F1674" s="749"/>
      <c r="G1674" s="748"/>
      <c r="H1674" s="748"/>
      <c r="J1674" s="826"/>
    </row>
    <row r="1675" spans="1:10" s="1058" customFormat="1" x14ac:dyDescent="0.25">
      <c r="A1675" s="749"/>
      <c r="B1675" s="748"/>
      <c r="C1675" s="748"/>
      <c r="D1675" s="748"/>
      <c r="E1675" s="748"/>
      <c r="F1675" s="749"/>
      <c r="G1675" s="748"/>
      <c r="H1675" s="748"/>
      <c r="J1675" s="826"/>
    </row>
    <row r="1676" spans="1:10" s="889" customFormat="1" ht="51" customHeight="1" x14ac:dyDescent="0.25">
      <c r="A1676" s="750" t="s">
        <v>3</v>
      </c>
      <c r="B1676" s="1390" t="str">
        <f>+VLOOKUP(C1676,ListaAPUs!$B:$E,4,FALSE)</f>
        <v>3.1.9</v>
      </c>
      <c r="C1676" s="2445" t="str">
        <f>+ListaAPUs!B62</f>
        <v>CONCRETO ESTRUCTURAL RESIST. 24,5 MPA (245 KG/CM2) MUROS Y VIGAS. INCLUYE FORMALETA</v>
      </c>
      <c r="D1676" s="2445"/>
      <c r="E1676" s="2445"/>
      <c r="F1676" s="750" t="s">
        <v>867</v>
      </c>
      <c r="G1676" s="750" t="s">
        <v>5542</v>
      </c>
      <c r="H1676" s="788"/>
      <c r="J1676" s="826"/>
    </row>
    <row r="1677" spans="1:10" s="1058" customFormat="1" x14ac:dyDescent="0.25">
      <c r="A1677" s="749"/>
      <c r="B1677" s="748"/>
      <c r="C1677" s="748"/>
      <c r="D1677" s="748"/>
      <c r="E1677" s="748"/>
      <c r="F1677" s="749"/>
      <c r="G1677" s="748"/>
      <c r="H1677" s="748"/>
      <c r="J1677" s="826"/>
    </row>
    <row r="1678" spans="1:10" s="1058" customFormat="1" x14ac:dyDescent="0.25">
      <c r="A1678" s="749"/>
      <c r="B1678" s="748"/>
      <c r="C1678" s="748"/>
      <c r="D1678" s="748"/>
      <c r="E1678" s="748"/>
      <c r="F1678" s="749"/>
      <c r="G1678" s="751"/>
      <c r="H1678" s="748"/>
      <c r="J1678" s="826"/>
    </row>
    <row r="1679" spans="1:10" s="1058" customFormat="1" ht="15.75" thickBot="1" x14ac:dyDescent="0.3">
      <c r="A1679" s="749"/>
      <c r="B1679" s="748"/>
      <c r="C1679" s="748"/>
      <c r="D1679" s="748"/>
      <c r="E1679" s="748"/>
      <c r="F1679" s="749"/>
      <c r="G1679" s="748"/>
      <c r="H1679" s="748"/>
      <c r="J1679" s="826"/>
    </row>
    <row r="1680" spans="1:10" s="889" customFormat="1" ht="15.75" thickBot="1" x14ac:dyDescent="0.3">
      <c r="A1680" s="751"/>
      <c r="B1680" s="1184" t="s">
        <v>5403</v>
      </c>
      <c r="C1680" s="1185" t="s">
        <v>867</v>
      </c>
      <c r="D1680" s="1185" t="s">
        <v>6</v>
      </c>
      <c r="E1680" s="1186" t="s">
        <v>5404</v>
      </c>
      <c r="F1680" s="1185" t="s">
        <v>5405</v>
      </c>
      <c r="G1680" s="1187" t="s">
        <v>868</v>
      </c>
      <c r="H1680" s="1189"/>
      <c r="J1680" s="826"/>
    </row>
    <row r="1681" spans="1:10" s="1058" customFormat="1" x14ac:dyDescent="0.25">
      <c r="A1681" s="749"/>
      <c r="B1681" s="757" t="s">
        <v>8269</v>
      </c>
      <c r="C1681" s="819" t="s">
        <v>7042</v>
      </c>
      <c r="D1681" s="1183">
        <v>1</v>
      </c>
      <c r="E1681" s="758">
        <f>H1719</f>
        <v>187519.05714285717</v>
      </c>
      <c r="F1681" s="790">
        <v>0.1</v>
      </c>
      <c r="G1681" s="818">
        <f>D1681*E1681*F1681</f>
        <v>18751.905714285716</v>
      </c>
      <c r="H1681" s="756"/>
      <c r="J1681" s="826"/>
    </row>
    <row r="1682" spans="1:10" s="1058" customFormat="1" x14ac:dyDescent="0.25">
      <c r="A1682" s="749"/>
      <c r="B1682" s="760" t="str">
        <f>PROPER(Insumos!$A$101)</f>
        <v>Mezcladora</v>
      </c>
      <c r="C1682" s="817" t="s">
        <v>8273</v>
      </c>
      <c r="D1682" s="817">
        <v>1</v>
      </c>
      <c r="E1682" s="761">
        <f>+VLOOKUP(B1682,Insumos!$A$2:$C$331,3,FALSE)</f>
        <v>9001.6</v>
      </c>
      <c r="F1682" s="817">
        <v>2</v>
      </c>
      <c r="G1682" s="818">
        <f>D1682*E1682*F1682</f>
        <v>18003.2</v>
      </c>
      <c r="H1682" s="756"/>
      <c r="J1682" s="826"/>
    </row>
    <row r="1683" spans="1:10" s="1058" customFormat="1" x14ac:dyDescent="0.25">
      <c r="A1683" s="749"/>
      <c r="B1683" s="763" t="str">
        <f>PROPER(Insumos!$A$246)</f>
        <v>Vibrador</v>
      </c>
      <c r="C1683" s="817" t="s">
        <v>5542</v>
      </c>
      <c r="D1683" s="817">
        <v>1</v>
      </c>
      <c r="E1683" s="761">
        <f>+VLOOKUP(B1683,Insumos!$A$2:$C$331,3,FALSE)</f>
        <v>4500.8</v>
      </c>
      <c r="F1683" s="892">
        <v>1</v>
      </c>
      <c r="G1683" s="818">
        <f>D1683*E1683*F1683</f>
        <v>4500.8</v>
      </c>
      <c r="H1683" s="756"/>
      <c r="J1683" s="826"/>
    </row>
    <row r="1684" spans="1:10" s="1058" customFormat="1" x14ac:dyDescent="0.25">
      <c r="A1684" s="749"/>
      <c r="B1684" s="764"/>
      <c r="C1684" s="817" t="s">
        <v>7044</v>
      </c>
      <c r="D1684" s="765"/>
      <c r="E1684" s="766" t="s">
        <v>7044</v>
      </c>
      <c r="F1684" s="817"/>
      <c r="G1684" s="818" t="s">
        <v>7044</v>
      </c>
      <c r="H1684" s="756"/>
      <c r="J1684" s="826"/>
    </row>
    <row r="1685" spans="1:10" s="1058" customFormat="1" x14ac:dyDescent="0.25">
      <c r="A1685" s="749"/>
      <c r="B1685" s="764"/>
      <c r="C1685" s="817" t="s">
        <v>7044</v>
      </c>
      <c r="D1685" s="765"/>
      <c r="E1685" s="766" t="s">
        <v>7044</v>
      </c>
      <c r="F1685" s="817"/>
      <c r="G1685" s="818" t="s">
        <v>7044</v>
      </c>
      <c r="H1685" s="756"/>
      <c r="J1685" s="826"/>
    </row>
    <row r="1686" spans="1:10" s="1058" customFormat="1" x14ac:dyDescent="0.25">
      <c r="A1686" s="749"/>
      <c r="B1686" s="764"/>
      <c r="C1686" s="817" t="s">
        <v>7044</v>
      </c>
      <c r="D1686" s="765"/>
      <c r="E1686" s="766" t="s">
        <v>7044</v>
      </c>
      <c r="F1686" s="817"/>
      <c r="G1686" s="818" t="s">
        <v>7044</v>
      </c>
      <c r="H1686" s="756"/>
      <c r="J1686" s="826"/>
    </row>
    <row r="1687" spans="1:10" s="1058" customFormat="1" ht="15.75" thickBot="1" x14ac:dyDescent="0.3">
      <c r="A1687" s="749"/>
      <c r="B1687" s="764"/>
      <c r="C1687" s="817" t="s">
        <v>7044</v>
      </c>
      <c r="D1687" s="765"/>
      <c r="E1687" s="766" t="s">
        <v>7044</v>
      </c>
      <c r="F1687" s="817"/>
      <c r="G1687" s="818" t="s">
        <v>7044</v>
      </c>
      <c r="H1687" s="756"/>
      <c r="J1687" s="826"/>
    </row>
    <row r="1688" spans="1:10" s="1058" customFormat="1" ht="15.75" thickBot="1" x14ac:dyDescent="0.3">
      <c r="A1688" s="749"/>
      <c r="B1688" s="767"/>
      <c r="C1688" s="768" t="s">
        <v>7044</v>
      </c>
      <c r="D1688" s="769"/>
      <c r="E1688" s="770" t="s">
        <v>7044</v>
      </c>
      <c r="F1688" s="768"/>
      <c r="G1688" s="818" t="s">
        <v>7044</v>
      </c>
      <c r="H1688" s="771">
        <f>SUM(G1681:G1687)</f>
        <v>41255.90571428572</v>
      </c>
      <c r="J1688" s="826"/>
    </row>
    <row r="1689" spans="1:10" s="1058" customFormat="1" ht="15.75" thickBot="1" x14ac:dyDescent="0.3">
      <c r="A1689" s="749"/>
      <c r="B1689" s="772"/>
      <c r="C1689" s="773"/>
      <c r="D1689" s="772"/>
      <c r="E1689" s="774"/>
      <c r="F1689" s="773"/>
      <c r="G1689" s="775"/>
      <c r="H1689" s="776"/>
      <c r="J1689" s="826"/>
    </row>
    <row r="1690" spans="1:10" s="889" customFormat="1" ht="15.75" thickBot="1" x14ac:dyDescent="0.3">
      <c r="A1690" s="788"/>
      <c r="B1690" s="1184" t="s">
        <v>5408</v>
      </c>
      <c r="C1690" s="1185" t="s">
        <v>867</v>
      </c>
      <c r="D1690" s="1185" t="s">
        <v>6</v>
      </c>
      <c r="E1690" s="1186" t="s">
        <v>870</v>
      </c>
      <c r="F1690" s="1185" t="s">
        <v>7040</v>
      </c>
      <c r="G1690" s="1187" t="s">
        <v>868</v>
      </c>
      <c r="H1690" s="1189"/>
      <c r="J1690" s="826"/>
    </row>
    <row r="1691" spans="1:10" s="1058" customFormat="1" x14ac:dyDescent="0.25">
      <c r="A1691" s="748"/>
      <c r="B1691" s="777" t="str">
        <f>PROPER(Insumos!$A$26)</f>
        <v>Cemento</v>
      </c>
      <c r="C1691" s="819" t="s">
        <v>5431</v>
      </c>
      <c r="D1691" s="819">
        <v>420</v>
      </c>
      <c r="E1691" s="758">
        <f>+VLOOKUP(B1691,Insumos!$A$2:$C$331,3,FALSE)</f>
        <v>470</v>
      </c>
      <c r="F1691" s="819">
        <v>1.1000000000000001</v>
      </c>
      <c r="G1691" s="818">
        <f>D1691*E1691*F1691</f>
        <v>217140.00000000003</v>
      </c>
      <c r="H1691" s="756"/>
      <c r="J1691" s="826"/>
    </row>
    <row r="1692" spans="1:10" s="1058" customFormat="1" x14ac:dyDescent="0.25">
      <c r="A1692" s="748"/>
      <c r="B1692" s="778" t="str">
        <f>PROPER(Insumos!$A$16)</f>
        <v>Arena Lavada</v>
      </c>
      <c r="C1692" s="817" t="s">
        <v>5542</v>
      </c>
      <c r="D1692" s="892">
        <v>0.67</v>
      </c>
      <c r="E1692" s="758">
        <f>+VLOOKUP(B1692,Insumos!$A$2:$C$331,3,FALSE)</f>
        <v>99611</v>
      </c>
      <c r="F1692" s="819">
        <v>1.1000000000000001</v>
      </c>
      <c r="G1692" s="818">
        <f>D1692*E1692*F1692</f>
        <v>73413.307000000015</v>
      </c>
      <c r="H1692" s="756"/>
      <c r="J1692" s="826"/>
    </row>
    <row r="1693" spans="1:10" s="1058" customFormat="1" x14ac:dyDescent="0.25">
      <c r="A1693" s="748"/>
      <c r="B1693" s="778" t="str">
        <f>PROPER(Insumos!$A$71)</f>
        <v>Grava</v>
      </c>
      <c r="C1693" s="817" t="s">
        <v>5542</v>
      </c>
      <c r="D1693" s="892">
        <v>0.67</v>
      </c>
      <c r="E1693" s="758">
        <f>+VLOOKUP(B1693,Insumos!$A$2:$C$331,3,FALSE)</f>
        <v>99527.7</v>
      </c>
      <c r="F1693" s="819">
        <v>1.1000000000000001</v>
      </c>
      <c r="G1693" s="818">
        <f>D1693*E1693*F1693</f>
        <v>73351.914900000018</v>
      </c>
      <c r="H1693" s="756"/>
      <c r="J1693" s="826"/>
    </row>
    <row r="1694" spans="1:10" s="1058" customFormat="1" x14ac:dyDescent="0.25">
      <c r="A1694" s="748"/>
      <c r="B1694" s="764" t="str">
        <f>PROPER(Insumos!$A$10)</f>
        <v>Agua</v>
      </c>
      <c r="C1694" s="817" t="s">
        <v>7046</v>
      </c>
      <c r="D1694" s="817">
        <v>200</v>
      </c>
      <c r="E1694" s="758">
        <f>+VLOOKUP(B1694,Insumos!$A$2:$C$331,3,FALSE)</f>
        <v>30</v>
      </c>
      <c r="F1694" s="817">
        <v>1.1000000000000001</v>
      </c>
      <c r="G1694" s="818">
        <f>D1694*E1694*F1694</f>
        <v>6600.0000000000009</v>
      </c>
      <c r="H1694" s="756"/>
      <c r="J1694" s="826"/>
    </row>
    <row r="1695" spans="1:10" s="1058" customFormat="1" x14ac:dyDescent="0.25">
      <c r="A1695" s="748"/>
      <c r="B1695" s="764" t="str">
        <f>PROPER(Insumos!$A$69)</f>
        <v xml:space="preserve">Formaleta De Madera </v>
      </c>
      <c r="C1695" s="817" t="s">
        <v>5556</v>
      </c>
      <c r="D1695" s="817">
        <v>3</v>
      </c>
      <c r="E1695" s="758">
        <f>+VLOOKUP(B1695,Insumos!$A$2:$C$331,3,FALSE)</f>
        <v>58999.096863999999</v>
      </c>
      <c r="F1695" s="817">
        <v>1.1000000000000001</v>
      </c>
      <c r="G1695" s="818">
        <f>D1695*E1695*F1695</f>
        <v>194697.01965120001</v>
      </c>
      <c r="H1695" s="756"/>
      <c r="J1695" s="826"/>
    </row>
    <row r="1696" spans="1:10" s="1058" customFormat="1" x14ac:dyDescent="0.25">
      <c r="A1696" s="748"/>
      <c r="B1696" s="764" t="str">
        <f>PROPER(Insumos!$A$54)</f>
        <v>Curado</v>
      </c>
      <c r="C1696" s="817" t="s">
        <v>5734</v>
      </c>
      <c r="D1696" s="817"/>
      <c r="E1696" s="758">
        <f>+VLOOKUP(B1696,Insumos!$A$2:$C$331,3,FALSE)</f>
        <v>5626</v>
      </c>
      <c r="F1696" s="817"/>
      <c r="G1696" s="818">
        <f>E1696</f>
        <v>5626</v>
      </c>
      <c r="H1696" s="756"/>
      <c r="J1696" s="826"/>
    </row>
    <row r="1697" spans="1:10" s="1058" customFormat="1" x14ac:dyDescent="0.25">
      <c r="A1697" s="748"/>
      <c r="B1697" s="764"/>
      <c r="C1697" s="817" t="s">
        <v>7044</v>
      </c>
      <c r="D1697" s="817"/>
      <c r="E1697" s="758" t="s">
        <v>7044</v>
      </c>
      <c r="F1697" s="817"/>
      <c r="G1697" s="818" t="s">
        <v>7044</v>
      </c>
      <c r="H1697" s="756"/>
      <c r="J1697" s="826"/>
    </row>
    <row r="1698" spans="1:10" s="1058" customFormat="1" x14ac:dyDescent="0.25">
      <c r="A1698" s="748"/>
      <c r="B1698" s="764"/>
      <c r="C1698" s="817" t="s">
        <v>7044</v>
      </c>
      <c r="D1698" s="817"/>
      <c r="E1698" s="758" t="s">
        <v>7044</v>
      </c>
      <c r="F1698" s="817"/>
      <c r="G1698" s="818" t="s">
        <v>7044</v>
      </c>
      <c r="H1698" s="756"/>
      <c r="J1698" s="826"/>
    </row>
    <row r="1699" spans="1:10" s="1058" customFormat="1" x14ac:dyDescent="0.25">
      <c r="A1699" s="748"/>
      <c r="B1699" s="764"/>
      <c r="C1699" s="817" t="s">
        <v>7044</v>
      </c>
      <c r="D1699" s="817"/>
      <c r="E1699" s="758" t="s">
        <v>7044</v>
      </c>
      <c r="F1699" s="817"/>
      <c r="G1699" s="818" t="s">
        <v>7044</v>
      </c>
      <c r="H1699" s="756"/>
      <c r="J1699" s="826"/>
    </row>
    <row r="1700" spans="1:10" s="1058" customFormat="1" x14ac:dyDescent="0.25">
      <c r="A1700" s="748"/>
      <c r="B1700" s="764"/>
      <c r="C1700" s="817" t="s">
        <v>7044</v>
      </c>
      <c r="D1700" s="817"/>
      <c r="E1700" s="758" t="s">
        <v>7044</v>
      </c>
      <c r="F1700" s="817"/>
      <c r="G1700" s="818" t="s">
        <v>7044</v>
      </c>
      <c r="H1700" s="756"/>
      <c r="J1700" s="826"/>
    </row>
    <row r="1701" spans="1:10" s="1058" customFormat="1" x14ac:dyDescent="0.25">
      <c r="A1701" s="748"/>
      <c r="B1701" s="764"/>
      <c r="C1701" s="817" t="s">
        <v>7044</v>
      </c>
      <c r="D1701" s="817"/>
      <c r="E1701" s="758" t="s">
        <v>7044</v>
      </c>
      <c r="F1701" s="817"/>
      <c r="G1701" s="818" t="s">
        <v>7044</v>
      </c>
      <c r="H1701" s="756"/>
      <c r="J1701" s="826"/>
    </row>
    <row r="1702" spans="1:10" s="1058" customFormat="1" x14ac:dyDescent="0.25">
      <c r="A1702" s="748"/>
      <c r="B1702" s="764"/>
      <c r="C1702" s="765" t="s">
        <v>7044</v>
      </c>
      <c r="D1702" s="765"/>
      <c r="E1702" s="766" t="s">
        <v>7044</v>
      </c>
      <c r="F1702" s="817"/>
      <c r="G1702" s="818" t="s">
        <v>7044</v>
      </c>
      <c r="H1702" s="756"/>
      <c r="J1702" s="826"/>
    </row>
    <row r="1703" spans="1:10" s="1058" customFormat="1" ht="15.75" thickBot="1" x14ac:dyDescent="0.3">
      <c r="A1703" s="748"/>
      <c r="B1703" s="764"/>
      <c r="C1703" s="765" t="s">
        <v>7044</v>
      </c>
      <c r="D1703" s="765"/>
      <c r="E1703" s="766" t="s">
        <v>7044</v>
      </c>
      <c r="F1703" s="817"/>
      <c r="G1703" s="818" t="s">
        <v>7044</v>
      </c>
      <c r="H1703" s="756"/>
      <c r="J1703" s="826"/>
    </row>
    <row r="1704" spans="1:10" s="1058" customFormat="1" ht="15.75" thickBot="1" x14ac:dyDescent="0.3">
      <c r="A1704" s="748"/>
      <c r="B1704" s="767"/>
      <c r="C1704" s="769" t="s">
        <v>7044</v>
      </c>
      <c r="D1704" s="769"/>
      <c r="E1704" s="770" t="s">
        <v>7044</v>
      </c>
      <c r="F1704" s="768"/>
      <c r="G1704" s="818" t="s">
        <v>7044</v>
      </c>
      <c r="H1704" s="771">
        <f>SUM(G1691:G1704)</f>
        <v>570828.24155120004</v>
      </c>
      <c r="J1704" s="826"/>
    </row>
    <row r="1705" spans="1:10" s="1058" customFormat="1" ht="15.75" thickBot="1" x14ac:dyDescent="0.3">
      <c r="A1705" s="748"/>
      <c r="B1705" s="772"/>
      <c r="C1705" s="772"/>
      <c r="D1705" s="772"/>
      <c r="E1705" s="774"/>
      <c r="F1705" s="773"/>
      <c r="G1705" s="775"/>
      <c r="H1705" s="776"/>
      <c r="J1705" s="826"/>
    </row>
    <row r="1706" spans="1:10" s="889" customFormat="1" ht="15.75" thickBot="1" x14ac:dyDescent="0.3">
      <c r="A1706" s="788"/>
      <c r="B1706" s="1184" t="s">
        <v>5410</v>
      </c>
      <c r="C1706" s="1185" t="s">
        <v>867</v>
      </c>
      <c r="D1706" s="1185" t="s">
        <v>6</v>
      </c>
      <c r="E1706" s="1186" t="s">
        <v>870</v>
      </c>
      <c r="F1706" s="1185" t="s">
        <v>5411</v>
      </c>
      <c r="G1706" s="1187" t="s">
        <v>868</v>
      </c>
      <c r="H1706" s="1189"/>
      <c r="J1706" s="826"/>
    </row>
    <row r="1707" spans="1:10" s="1058" customFormat="1" x14ac:dyDescent="0.25">
      <c r="A1707" s="748"/>
      <c r="B1707" s="777"/>
      <c r="C1707" s="819" t="s">
        <v>7044</v>
      </c>
      <c r="D1707" s="819"/>
      <c r="E1707" s="758" t="s">
        <v>7044</v>
      </c>
      <c r="F1707" s="819"/>
      <c r="G1707" s="818" t="s">
        <v>7044</v>
      </c>
      <c r="H1707" s="756"/>
      <c r="J1707" s="826"/>
    </row>
    <row r="1708" spans="1:10" s="1058" customFormat="1" x14ac:dyDescent="0.25">
      <c r="A1708" s="748"/>
      <c r="B1708" s="778"/>
      <c r="C1708" s="817" t="s">
        <v>7044</v>
      </c>
      <c r="D1708" s="817"/>
      <c r="E1708" s="761" t="s">
        <v>7044</v>
      </c>
      <c r="F1708" s="817"/>
      <c r="G1708" s="818" t="s">
        <v>7044</v>
      </c>
      <c r="H1708" s="756"/>
      <c r="J1708" s="826"/>
    </row>
    <row r="1709" spans="1:10" s="1058" customFormat="1" x14ac:dyDescent="0.25">
      <c r="A1709" s="748"/>
      <c r="B1709" s="778"/>
      <c r="C1709" s="817" t="s">
        <v>7044</v>
      </c>
      <c r="D1709" s="817"/>
      <c r="E1709" s="758" t="s">
        <v>7044</v>
      </c>
      <c r="F1709" s="817"/>
      <c r="G1709" s="818" t="s">
        <v>7044</v>
      </c>
      <c r="H1709" s="756"/>
      <c r="J1709" s="826"/>
    </row>
    <row r="1710" spans="1:10" s="1058" customFormat="1" ht="15.75" thickBot="1" x14ac:dyDescent="0.3">
      <c r="A1710" s="748"/>
      <c r="B1710" s="764"/>
      <c r="C1710" s="817" t="s">
        <v>7044</v>
      </c>
      <c r="D1710" s="817"/>
      <c r="E1710" s="758" t="s">
        <v>7044</v>
      </c>
      <c r="F1710" s="817"/>
      <c r="G1710" s="818" t="s">
        <v>7044</v>
      </c>
      <c r="H1710" s="756"/>
      <c r="J1710" s="826"/>
    </row>
    <row r="1711" spans="1:10" s="1058" customFormat="1" ht="15.75" thickBot="1" x14ac:dyDescent="0.3">
      <c r="A1711" s="748"/>
      <c r="B1711" s="767"/>
      <c r="C1711" s="769" t="s">
        <v>7044</v>
      </c>
      <c r="D1711" s="769"/>
      <c r="E1711" s="770" t="s">
        <v>7044</v>
      </c>
      <c r="F1711" s="768"/>
      <c r="G1711" s="818" t="s">
        <v>7044</v>
      </c>
      <c r="H1711" s="771">
        <f>SUM(G1707:G1711)</f>
        <v>0</v>
      </c>
      <c r="J1711" s="826"/>
    </row>
    <row r="1712" spans="1:10" s="1058" customFormat="1" ht="15.75" thickBot="1" x14ac:dyDescent="0.3">
      <c r="A1712" s="748"/>
      <c r="B1712" s="772"/>
      <c r="C1712" s="772"/>
      <c r="D1712" s="772"/>
      <c r="E1712" s="774"/>
      <c r="F1712" s="779"/>
      <c r="G1712" s="780"/>
      <c r="H1712" s="776"/>
      <c r="J1712" s="826"/>
    </row>
    <row r="1713" spans="1:10" s="889" customFormat="1" ht="15.75" thickBot="1" x14ac:dyDescent="0.3">
      <c r="A1713" s="788"/>
      <c r="B1713" s="1184" t="s">
        <v>5412</v>
      </c>
      <c r="C1713" s="1185" t="s">
        <v>5420</v>
      </c>
      <c r="D1713" s="1185" t="s">
        <v>5421</v>
      </c>
      <c r="E1713" s="1186" t="s">
        <v>5413</v>
      </c>
      <c r="F1713" s="1185" t="s">
        <v>5405</v>
      </c>
      <c r="G1713" s="1187" t="s">
        <v>868</v>
      </c>
      <c r="H1713" s="1189"/>
      <c r="J1713" s="826"/>
    </row>
    <row r="1714" spans="1:10" s="1058" customFormat="1" x14ac:dyDescent="0.25">
      <c r="A1714" s="748"/>
      <c r="B1714" s="781" t="s">
        <v>5948</v>
      </c>
      <c r="C1714" s="782">
        <f>+VLOOKUP(B1714,'Mano de obra'!$A$5:$D$26,2,FALSE)</f>
        <v>57455</v>
      </c>
      <c r="D1714" s="782">
        <f>+VLOOKUP(B1714,'Mano de obra'!$A$5:$D$26,3,FALSE)</f>
        <v>35656</v>
      </c>
      <c r="E1714" s="761">
        <f>+VLOOKUP(B1714,'Mano de obra'!$A$5:$D$26,4,FALSE)</f>
        <v>93111</v>
      </c>
      <c r="F1714" s="819">
        <v>5</v>
      </c>
      <c r="G1714" s="818">
        <f>IF(B1714="","",E1714/F1714)</f>
        <v>18622.2</v>
      </c>
      <c r="H1714" s="756"/>
      <c r="J1714" s="826"/>
    </row>
    <row r="1715" spans="1:10" s="1058" customFormat="1" x14ac:dyDescent="0.25">
      <c r="A1715" s="748"/>
      <c r="B1715" s="781" t="s">
        <v>5949</v>
      </c>
      <c r="C1715" s="782">
        <f>+VLOOKUP(B1715,'Mano de obra'!$A$5:$D$26,2,FALSE)</f>
        <v>44263.8</v>
      </c>
      <c r="D1715" s="782">
        <f>+VLOOKUP(B1715,'Mano de obra'!$A$5:$D$26,3,FALSE)</f>
        <v>27470</v>
      </c>
      <c r="E1715" s="761">
        <f>+VLOOKUP(B1715,'Mano de obra'!$A$5:$D$26,4,FALSE)</f>
        <v>71733.8</v>
      </c>
      <c r="F1715" s="790">
        <v>0.7</v>
      </c>
      <c r="G1715" s="818">
        <f>IF(B1715="","",E1715/F1715)</f>
        <v>102476.85714285716</v>
      </c>
      <c r="H1715" s="756"/>
      <c r="J1715" s="826"/>
    </row>
    <row r="1716" spans="1:10" s="1058" customFormat="1" x14ac:dyDescent="0.25">
      <c r="A1716" s="748"/>
      <c r="B1716" s="764" t="s">
        <v>5635</v>
      </c>
      <c r="C1716" s="782">
        <f>+VLOOKUP(B1716,'Mano de obra'!$A$5:$D$26,2,FALSE)</f>
        <v>24591</v>
      </c>
      <c r="D1716" s="782">
        <f>+VLOOKUP(B1716,'Mano de obra'!$A$5:$D$26,3,FALSE)</f>
        <v>15261</v>
      </c>
      <c r="E1716" s="761">
        <f>+VLOOKUP(B1716,'Mano de obra'!$A$5:$D$26,4,FALSE)</f>
        <v>39852</v>
      </c>
      <c r="F1716" s="892">
        <v>0.6</v>
      </c>
      <c r="G1716" s="818">
        <f>IF(B1716="","",E1716/F1716)</f>
        <v>66420</v>
      </c>
      <c r="H1716" s="756"/>
      <c r="J1716" s="826"/>
    </row>
    <row r="1717" spans="1:10" s="1058" customFormat="1" x14ac:dyDescent="0.25">
      <c r="A1717" s="748"/>
      <c r="B1717" s="764"/>
      <c r="C1717" s="782" t="s">
        <v>7044</v>
      </c>
      <c r="D1717" s="766" t="s">
        <v>7044</v>
      </c>
      <c r="E1717" s="766" t="s">
        <v>7044</v>
      </c>
      <c r="F1717" s="817"/>
      <c r="G1717" s="783" t="s">
        <v>7044</v>
      </c>
      <c r="H1717" s="756"/>
      <c r="J1717" s="826"/>
    </row>
    <row r="1718" spans="1:10" s="1058" customFormat="1" ht="15.75" thickBot="1" x14ac:dyDescent="0.3">
      <c r="A1718" s="748"/>
      <c r="B1718" s="764"/>
      <c r="C1718" s="766" t="s">
        <v>7044</v>
      </c>
      <c r="D1718" s="766" t="s">
        <v>7044</v>
      </c>
      <c r="E1718" s="766" t="s">
        <v>7044</v>
      </c>
      <c r="F1718" s="817"/>
      <c r="G1718" s="783" t="s">
        <v>7044</v>
      </c>
      <c r="H1718" s="756"/>
      <c r="J1718" s="826"/>
    </row>
    <row r="1719" spans="1:10" s="1058" customFormat="1" ht="15.75" thickBot="1" x14ac:dyDescent="0.3">
      <c r="A1719" s="748"/>
      <c r="B1719" s="784"/>
      <c r="C1719" s="785" t="s">
        <v>7044</v>
      </c>
      <c r="D1719" s="785" t="s">
        <v>7044</v>
      </c>
      <c r="E1719" s="785" t="s">
        <v>7044</v>
      </c>
      <c r="F1719" s="786"/>
      <c r="G1719" s="787" t="s">
        <v>7044</v>
      </c>
      <c r="H1719" s="771">
        <f>SUM(G1714:G1719)</f>
        <v>187519.05714285717</v>
      </c>
      <c r="J1719" s="826"/>
    </row>
    <row r="1720" spans="1:10" s="1058" customFormat="1" ht="15.75" thickBot="1" x14ac:dyDescent="0.3">
      <c r="A1720" s="748"/>
      <c r="B1720" s="748"/>
      <c r="C1720" s="748"/>
      <c r="D1720" s="748"/>
      <c r="E1720" s="748"/>
      <c r="F1720" s="749"/>
      <c r="G1720" s="748"/>
      <c r="H1720" s="748"/>
      <c r="J1720" s="826"/>
    </row>
    <row r="1721" spans="1:10" s="1058" customFormat="1" ht="15.75" thickBot="1" x14ac:dyDescent="0.3">
      <c r="A1721" s="748"/>
      <c r="B1721" s="748"/>
      <c r="C1721" s="748"/>
      <c r="D1721" s="748"/>
      <c r="E1721" s="788" t="s">
        <v>5415</v>
      </c>
      <c r="F1721" s="749"/>
      <c r="G1721" s="748"/>
      <c r="H1721" s="789">
        <f>ROUND(H1688+H1704+H1711+H1719,0)</f>
        <v>799603</v>
      </c>
      <c r="J1721" s="826"/>
    </row>
    <row r="1722" spans="1:10" s="1058" customFormat="1" x14ac:dyDescent="0.25">
      <c r="D1722" s="957"/>
      <c r="J1722" s="826"/>
    </row>
    <row r="1723" spans="1:10" x14ac:dyDescent="0.25">
      <c r="A1723" s="1058"/>
      <c r="B1723" s="1058"/>
      <c r="C1723" s="1058"/>
      <c r="D1723" s="957"/>
      <c r="E1723" s="1058"/>
      <c r="F1723" s="1058"/>
      <c r="G1723" s="1058"/>
      <c r="H1723" s="1058"/>
    </row>
    <row r="1724" spans="1:10" x14ac:dyDescent="0.25">
      <c r="A1724" s="673" t="s">
        <v>5482</v>
      </c>
      <c r="B1724" s="1390" t="str">
        <f>+VLOOKUP(C1724,ListaAPUs!$B:$E,4,FALSE)</f>
        <v>3.4.1</v>
      </c>
      <c r="C1724" s="2449" t="str">
        <f>+ListaAPUs!B67</f>
        <v>ACERO DE REFUERZO DE 60000 PSI</v>
      </c>
      <c r="D1724" s="2449"/>
      <c r="E1724" s="2449"/>
      <c r="F1724" s="673" t="s">
        <v>867</v>
      </c>
      <c r="G1724" s="342" t="s">
        <v>5431</v>
      </c>
      <c r="H1724" s="341"/>
    </row>
    <row r="1725" spans="1:10" x14ac:dyDescent="0.25">
      <c r="A1725" s="133"/>
      <c r="B1725" s="8"/>
      <c r="C1725" s="223"/>
      <c r="D1725" s="958"/>
      <c r="E1725" s="223"/>
      <c r="F1725" s="133"/>
      <c r="G1725" s="341"/>
      <c r="H1725" s="341"/>
    </row>
    <row r="1726" spans="1:10" x14ac:dyDescent="0.25">
      <c r="A1726" s="133"/>
      <c r="B1726" s="8"/>
      <c r="C1726" s="8"/>
      <c r="D1726" s="529"/>
      <c r="E1726" s="8"/>
      <c r="F1726" s="8"/>
      <c r="G1726" s="8"/>
      <c r="H1726" s="341"/>
    </row>
    <row r="1727" spans="1:10" ht="15.75" thickBot="1" x14ac:dyDescent="0.3">
      <c r="A1727" s="133"/>
      <c r="B1727" s="8"/>
      <c r="C1727" s="8"/>
      <c r="D1727" s="529"/>
      <c r="E1727" s="8"/>
      <c r="F1727" s="133"/>
      <c r="G1727" s="341"/>
      <c r="H1727" s="341"/>
    </row>
    <row r="1728" spans="1:10" ht="15.75" thickBot="1" x14ac:dyDescent="0.3">
      <c r="A1728" s="133"/>
      <c r="B1728" s="224" t="s">
        <v>5403</v>
      </c>
      <c r="C1728" s="193" t="s">
        <v>867</v>
      </c>
      <c r="D1728" s="951" t="s">
        <v>6</v>
      </c>
      <c r="E1728" s="193" t="s">
        <v>5439</v>
      </c>
      <c r="F1728" s="193" t="s">
        <v>5405</v>
      </c>
      <c r="G1728" s="343" t="s">
        <v>868</v>
      </c>
      <c r="H1728" s="341"/>
    </row>
    <row r="1729" spans="1:8" x14ac:dyDescent="0.25">
      <c r="A1729" s="133"/>
      <c r="B1729" s="195" t="s">
        <v>5440</v>
      </c>
      <c r="C1729" s="226" t="s">
        <v>5402</v>
      </c>
      <c r="D1729" s="212">
        <v>1</v>
      </c>
      <c r="E1729" s="228">
        <f>+H1767</f>
        <v>446.34320000000002</v>
      </c>
      <c r="F1729" s="226">
        <v>0.1</v>
      </c>
      <c r="G1729" s="344">
        <f>+E1729*F1729</f>
        <v>44.634320000000002</v>
      </c>
      <c r="H1729" s="341"/>
    </row>
    <row r="1730" spans="1:8" x14ac:dyDescent="0.25">
      <c r="A1730" s="133"/>
      <c r="B1730" s="195"/>
      <c r="C1730" s="226"/>
      <c r="D1730" s="212"/>
      <c r="E1730" s="228"/>
      <c r="F1730" s="226"/>
      <c r="G1730" s="344"/>
      <c r="H1730" s="341"/>
    </row>
    <row r="1731" spans="1:8" x14ac:dyDescent="0.25">
      <c r="A1731" s="133"/>
      <c r="B1731" s="195"/>
      <c r="C1731" s="226"/>
      <c r="D1731" s="212"/>
      <c r="E1731" s="345"/>
      <c r="F1731" s="226"/>
      <c r="G1731" s="344"/>
      <c r="H1731" s="341"/>
    </row>
    <row r="1732" spans="1:8" x14ac:dyDescent="0.25">
      <c r="A1732" s="133"/>
      <c r="B1732" s="195"/>
      <c r="C1732" s="226"/>
      <c r="D1732" s="212"/>
      <c r="E1732" s="346"/>
      <c r="F1732" s="226"/>
      <c r="G1732" s="344"/>
      <c r="H1732" s="341"/>
    </row>
    <row r="1733" spans="1:8" x14ac:dyDescent="0.25">
      <c r="A1733" s="133"/>
      <c r="B1733" s="195"/>
      <c r="C1733" s="226"/>
      <c r="D1733" s="952"/>
      <c r="E1733" s="232"/>
      <c r="F1733" s="226"/>
      <c r="G1733" s="344"/>
      <c r="H1733" s="341"/>
    </row>
    <row r="1734" spans="1:8" ht="15.75" thickBot="1" x14ac:dyDescent="0.3">
      <c r="A1734" s="133"/>
      <c r="B1734" s="195"/>
      <c r="C1734" s="226"/>
      <c r="D1734" s="952"/>
      <c r="E1734" s="232"/>
      <c r="F1734" s="226"/>
      <c r="G1734" s="344"/>
      <c r="H1734" s="341"/>
    </row>
    <row r="1735" spans="1:8" ht="15.75" thickBot="1" x14ac:dyDescent="0.3">
      <c r="A1735" s="133"/>
      <c r="B1735" s="233"/>
      <c r="C1735" s="234"/>
      <c r="D1735" s="953"/>
      <c r="E1735" s="234"/>
      <c r="F1735" s="235"/>
      <c r="G1735" s="347"/>
      <c r="H1735" s="348">
        <f>+SUM(G1729:G1735)</f>
        <v>44.634320000000002</v>
      </c>
    </row>
    <row r="1736" spans="1:8" ht="15.75" thickBot="1" x14ac:dyDescent="0.3">
      <c r="A1736" s="133"/>
      <c r="B1736" s="238"/>
      <c r="C1736" s="238"/>
      <c r="D1736" s="954"/>
      <c r="E1736" s="238"/>
      <c r="F1736" s="239"/>
      <c r="G1736" s="349"/>
      <c r="H1736" s="350"/>
    </row>
    <row r="1737" spans="1:8" ht="15.75" thickBot="1" x14ac:dyDescent="0.3">
      <c r="A1737" s="133"/>
      <c r="B1737" s="224" t="s">
        <v>5408</v>
      </c>
      <c r="C1737" s="193" t="s">
        <v>867</v>
      </c>
      <c r="D1737" s="951" t="s">
        <v>6</v>
      </c>
      <c r="E1737" s="193" t="s">
        <v>870</v>
      </c>
      <c r="F1737" s="193" t="s">
        <v>5409</v>
      </c>
      <c r="G1737" s="343" t="s">
        <v>868</v>
      </c>
      <c r="H1737" s="341"/>
    </row>
    <row r="1738" spans="1:8" x14ac:dyDescent="0.25">
      <c r="A1738" s="133"/>
      <c r="B1738" s="245" t="s">
        <v>6039</v>
      </c>
      <c r="C1738" s="202" t="s">
        <v>5431</v>
      </c>
      <c r="D1738" s="212">
        <v>1</v>
      </c>
      <c r="E1738" s="975">
        <f>+VLOOKUP(B1738,Insumos!$A$2:$C$331,3,FALSE)</f>
        <v>3034.5</v>
      </c>
      <c r="F1738" s="169">
        <v>0.05</v>
      </c>
      <c r="G1738" s="351">
        <f>+D1738*E1738*(1+F1738)</f>
        <v>3186.2249999999999</v>
      </c>
      <c r="H1738" s="341"/>
    </row>
    <row r="1739" spans="1:8" x14ac:dyDescent="0.25">
      <c r="A1739" s="133"/>
      <c r="B1739" s="247" t="s">
        <v>7010</v>
      </c>
      <c r="C1739" s="202" t="s">
        <v>5431</v>
      </c>
      <c r="D1739" s="211">
        <v>0.03</v>
      </c>
      <c r="E1739" s="975">
        <f>+VLOOKUP(B1739,Insumos!$A$2:$C$331,3,FALSE)</f>
        <v>4076.25</v>
      </c>
      <c r="F1739" s="169">
        <v>0.05</v>
      </c>
      <c r="G1739" s="351">
        <f>+D1739*E1739*(1+F1739)</f>
        <v>128.40187499999999</v>
      </c>
      <c r="H1739" s="341"/>
    </row>
    <row r="1740" spans="1:8" x14ac:dyDescent="0.25">
      <c r="A1740" s="133"/>
      <c r="B1740" s="247"/>
      <c r="C1740" s="202"/>
      <c r="D1740" s="212"/>
      <c r="E1740" s="228"/>
      <c r="F1740" s="169"/>
      <c r="G1740" s="351"/>
      <c r="H1740" s="341"/>
    </row>
    <row r="1741" spans="1:8" x14ac:dyDescent="0.25">
      <c r="A1741" s="133"/>
      <c r="B1741" s="194"/>
      <c r="C1741" s="226"/>
      <c r="D1741" s="212"/>
      <c r="E1741" s="345"/>
      <c r="F1741" s="169"/>
      <c r="G1741" s="351"/>
      <c r="H1741" s="341"/>
    </row>
    <row r="1742" spans="1:8" x14ac:dyDescent="0.25">
      <c r="A1742" s="133"/>
      <c r="B1742" s="195"/>
      <c r="C1742" s="226"/>
      <c r="D1742" s="212"/>
      <c r="E1742" s="345"/>
      <c r="F1742" s="169"/>
      <c r="G1742" s="351"/>
      <c r="H1742" s="341"/>
    </row>
    <row r="1743" spans="1:8" x14ac:dyDescent="0.25">
      <c r="A1743" s="133"/>
      <c r="B1743" s="194"/>
      <c r="C1743" s="202"/>
      <c r="D1743" s="211"/>
      <c r="E1743" s="345"/>
      <c r="F1743" s="169"/>
      <c r="G1743" s="351"/>
      <c r="H1743" s="341"/>
    </row>
    <row r="1744" spans="1:8" x14ac:dyDescent="0.25">
      <c r="A1744" s="133"/>
      <c r="B1744" s="195"/>
      <c r="C1744" s="226"/>
      <c r="D1744" s="212"/>
      <c r="E1744" s="345"/>
      <c r="F1744" s="169"/>
      <c r="G1744" s="351"/>
      <c r="H1744" s="341"/>
    </row>
    <row r="1745" spans="1:8" x14ac:dyDescent="0.25">
      <c r="A1745" s="133"/>
      <c r="B1745" s="195"/>
      <c r="C1745" s="226"/>
      <c r="D1745" s="212"/>
      <c r="E1745" s="345"/>
      <c r="F1745" s="169"/>
      <c r="G1745" s="351"/>
      <c r="H1745" s="341"/>
    </row>
    <row r="1746" spans="1:8" x14ac:dyDescent="0.25">
      <c r="A1746" s="133"/>
      <c r="B1746" s="195"/>
      <c r="C1746" s="232"/>
      <c r="D1746" s="952"/>
      <c r="E1746" s="232"/>
      <c r="F1746" s="226"/>
      <c r="G1746" s="344"/>
      <c r="H1746" s="341"/>
    </row>
    <row r="1747" spans="1:8" x14ac:dyDescent="0.25">
      <c r="A1747" s="133"/>
      <c r="B1747" s="195"/>
      <c r="C1747" s="232"/>
      <c r="D1747" s="952"/>
      <c r="E1747" s="232"/>
      <c r="F1747" s="226"/>
      <c r="G1747" s="344"/>
      <c r="H1747" s="341"/>
    </row>
    <row r="1748" spans="1:8" x14ac:dyDescent="0.25">
      <c r="A1748" s="133"/>
      <c r="B1748" s="195"/>
      <c r="C1748" s="232"/>
      <c r="D1748" s="952"/>
      <c r="E1748" s="232"/>
      <c r="F1748" s="226"/>
      <c r="G1748" s="344"/>
      <c r="H1748" s="341"/>
    </row>
    <row r="1749" spans="1:8" ht="15.75" thickBot="1" x14ac:dyDescent="0.3">
      <c r="A1749" s="133"/>
      <c r="B1749" s="195"/>
      <c r="C1749" s="232"/>
      <c r="D1749" s="952"/>
      <c r="E1749" s="232"/>
      <c r="F1749" s="226"/>
      <c r="G1749" s="344"/>
      <c r="H1749" s="341"/>
    </row>
    <row r="1750" spans="1:8" ht="15.75" thickBot="1" x14ac:dyDescent="0.3">
      <c r="A1750" s="133"/>
      <c r="B1750" s="233"/>
      <c r="C1750" s="234"/>
      <c r="D1750" s="953"/>
      <c r="E1750" s="234"/>
      <c r="F1750" s="235"/>
      <c r="G1750" s="347"/>
      <c r="H1750" s="358">
        <f>+SUM(G1738:G1750)</f>
        <v>3314.6268749999999</v>
      </c>
    </row>
    <row r="1751" spans="1:8" ht="15.75" thickBot="1" x14ac:dyDescent="0.3">
      <c r="A1751" s="133"/>
      <c r="B1751" s="238"/>
      <c r="C1751" s="238"/>
      <c r="D1751" s="954"/>
      <c r="E1751" s="238"/>
      <c r="F1751" s="239"/>
      <c r="G1751" s="349"/>
      <c r="H1751" s="350"/>
    </row>
    <row r="1752" spans="1:8" ht="15.75" thickBot="1" x14ac:dyDescent="0.3">
      <c r="A1752" s="133"/>
      <c r="B1752" s="224" t="s">
        <v>5410</v>
      </c>
      <c r="C1752" s="193" t="s">
        <v>867</v>
      </c>
      <c r="D1752" s="951" t="s">
        <v>6</v>
      </c>
      <c r="E1752" s="193" t="s">
        <v>870</v>
      </c>
      <c r="F1752" s="193" t="s">
        <v>5411</v>
      </c>
      <c r="G1752" s="343" t="s">
        <v>868</v>
      </c>
      <c r="H1752" s="341"/>
    </row>
    <row r="1753" spans="1:8" x14ac:dyDescent="0.25">
      <c r="A1753" s="133"/>
      <c r="B1753" s="275" t="s">
        <v>5410</v>
      </c>
      <c r="C1753" s="276"/>
      <c r="D1753" s="962">
        <v>1</v>
      </c>
      <c r="E1753" s="228">
        <v>1</v>
      </c>
      <c r="F1753" s="276">
        <v>35</v>
      </c>
      <c r="G1753" s="354">
        <f>+F1753*E1753</f>
        <v>35</v>
      </c>
      <c r="H1753" s="355"/>
    </row>
    <row r="1754" spans="1:8" x14ac:dyDescent="0.25">
      <c r="A1754" s="133"/>
      <c r="B1754" s="278"/>
      <c r="C1754" s="279"/>
      <c r="D1754" s="963"/>
      <c r="E1754" s="228"/>
      <c r="F1754" s="279"/>
      <c r="G1754" s="351"/>
      <c r="H1754" s="341"/>
    </row>
    <row r="1755" spans="1:8" x14ac:dyDescent="0.25">
      <c r="A1755" s="133"/>
      <c r="B1755" s="278"/>
      <c r="C1755" s="279"/>
      <c r="D1755" s="963"/>
      <c r="E1755" s="232"/>
      <c r="F1755" s="279"/>
      <c r="G1755" s="344"/>
      <c r="H1755" s="341"/>
    </row>
    <row r="1756" spans="1:8" x14ac:dyDescent="0.25">
      <c r="A1756" s="133"/>
      <c r="B1756" s="194"/>
      <c r="C1756" s="248"/>
      <c r="D1756" s="961"/>
      <c r="E1756" s="232"/>
      <c r="F1756" s="202"/>
      <c r="G1756" s="344"/>
      <c r="H1756" s="341"/>
    </row>
    <row r="1757" spans="1:8" ht="15.75" thickBot="1" x14ac:dyDescent="0.3">
      <c r="A1757" s="133"/>
      <c r="B1757" s="195"/>
      <c r="C1757" s="232"/>
      <c r="D1757" s="952"/>
      <c r="E1757" s="232"/>
      <c r="F1757" s="226"/>
      <c r="G1757" s="344"/>
      <c r="H1757" s="341"/>
    </row>
    <row r="1758" spans="1:8" ht="15.75" thickBot="1" x14ac:dyDescent="0.3">
      <c r="A1758" s="133"/>
      <c r="B1758" s="233"/>
      <c r="C1758" s="234"/>
      <c r="D1758" s="953"/>
      <c r="E1758" s="234"/>
      <c r="F1758" s="235"/>
      <c r="G1758" s="347"/>
      <c r="H1758" s="348">
        <f>+SUM(G1753:G1758)</f>
        <v>35</v>
      </c>
    </row>
    <row r="1759" spans="1:8" ht="15.75" thickBot="1" x14ac:dyDescent="0.3">
      <c r="A1759" s="133"/>
      <c r="B1759" s="238"/>
      <c r="C1759" s="238"/>
      <c r="D1759" s="954"/>
      <c r="E1759" s="238"/>
      <c r="F1759" s="249"/>
      <c r="G1759" s="356"/>
      <c r="H1759" s="350"/>
    </row>
    <row r="1760" spans="1:8" ht="15.75" thickBot="1" x14ac:dyDescent="0.3">
      <c r="A1760" s="133"/>
      <c r="B1760" s="224" t="s">
        <v>5412</v>
      </c>
      <c r="C1760" s="193" t="s">
        <v>5420</v>
      </c>
      <c r="D1760" s="951" t="s">
        <v>5421</v>
      </c>
      <c r="E1760" s="193" t="s">
        <v>5413</v>
      </c>
      <c r="F1760" s="193" t="s">
        <v>5405</v>
      </c>
      <c r="G1760" s="343" t="s">
        <v>868</v>
      </c>
      <c r="H1760" s="341"/>
    </row>
    <row r="1761" spans="1:10" x14ac:dyDescent="0.25">
      <c r="A1761" s="133"/>
      <c r="B1761" s="194"/>
      <c r="C1761" s="345"/>
      <c r="D1761" s="345"/>
      <c r="E1761" s="345"/>
      <c r="F1761" s="204"/>
      <c r="G1761" s="351"/>
      <c r="H1761" s="341"/>
    </row>
    <row r="1762" spans="1:10" x14ac:dyDescent="0.25">
      <c r="A1762" s="133"/>
      <c r="B1762" s="194" t="s">
        <v>5949</v>
      </c>
      <c r="C1762" s="345">
        <f>+VLOOKUP($B1762,'Mano de obra'!$A$5:$D$26,2,FALSE)</f>
        <v>44263.8</v>
      </c>
      <c r="D1762" s="345">
        <f>+VLOOKUP($B1762,'Mano de obra'!$A$5:$D$26,3,FALSE)</f>
        <v>27470</v>
      </c>
      <c r="E1762" s="345">
        <f>+VLOOKUP($B1762,'Mano de obra'!$A$5:$D$26,4,FALSE)</f>
        <v>71733.8</v>
      </c>
      <c r="F1762" s="202">
        <v>250</v>
      </c>
      <c r="G1762" s="351">
        <f>+E1762/F1762</f>
        <v>286.93520000000001</v>
      </c>
      <c r="H1762" s="341"/>
    </row>
    <row r="1763" spans="1:10" x14ac:dyDescent="0.25">
      <c r="A1763" s="133"/>
      <c r="B1763" s="195" t="s">
        <v>5635</v>
      </c>
      <c r="C1763" s="345">
        <f>+VLOOKUP($B1763,'Mano de obra'!$A$5:$D$26,2,FALSE)</f>
        <v>24591</v>
      </c>
      <c r="D1763" s="345">
        <f>+VLOOKUP($B1763,'Mano de obra'!$A$5:$D$26,3,FALSE)</f>
        <v>15261</v>
      </c>
      <c r="E1763" s="345">
        <f>+VLOOKUP($B1763,'Mano de obra'!$A$5:$D$26,4,FALSE)</f>
        <v>39852</v>
      </c>
      <c r="F1763" s="226">
        <f>+F1762</f>
        <v>250</v>
      </c>
      <c r="G1763" s="351">
        <f>+E1763/F1763</f>
        <v>159.40799999999999</v>
      </c>
      <c r="H1763" s="341"/>
    </row>
    <row r="1764" spans="1:10" x14ac:dyDescent="0.25">
      <c r="A1764" s="133"/>
      <c r="B1764" s="195"/>
      <c r="C1764" s="346"/>
      <c r="D1764" s="955"/>
      <c r="E1764" s="345"/>
      <c r="F1764" s="226"/>
      <c r="G1764" s="351"/>
      <c r="H1764" s="341"/>
    </row>
    <row r="1765" spans="1:10" x14ac:dyDescent="0.25">
      <c r="A1765" s="133"/>
      <c r="B1765" s="195"/>
      <c r="C1765" s="232"/>
      <c r="D1765" s="952"/>
      <c r="E1765" s="232"/>
      <c r="F1765" s="226"/>
      <c r="G1765" s="344"/>
      <c r="H1765" s="341"/>
    </row>
    <row r="1766" spans="1:10" ht="15.75" thickBot="1" x14ac:dyDescent="0.3">
      <c r="A1766" s="133"/>
      <c r="B1766" s="195"/>
      <c r="C1766" s="232"/>
      <c r="D1766" s="952"/>
      <c r="E1766" s="232"/>
      <c r="F1766" s="226"/>
      <c r="G1766" s="344"/>
      <c r="H1766" s="341"/>
    </row>
    <row r="1767" spans="1:10" ht="15.75" thickBot="1" x14ac:dyDescent="0.3">
      <c r="A1767" s="133"/>
      <c r="B1767" s="251"/>
      <c r="C1767" s="252"/>
      <c r="D1767" s="956"/>
      <c r="E1767" s="252"/>
      <c r="F1767" s="253"/>
      <c r="G1767" s="357"/>
      <c r="H1767" s="358">
        <f>+SUM(G1761:G1767)</f>
        <v>446.34320000000002</v>
      </c>
    </row>
    <row r="1768" spans="1:10" ht="15.75" thickBot="1" x14ac:dyDescent="0.3">
      <c r="A1768" s="133"/>
      <c r="B1768" s="8"/>
      <c r="C1768" s="8"/>
      <c r="D1768" s="529"/>
      <c r="E1768" s="8"/>
      <c r="F1768" s="133"/>
      <c r="G1768" s="341"/>
      <c r="H1768" s="341"/>
    </row>
    <row r="1769" spans="1:10" ht="15.75" thickBot="1" x14ac:dyDescent="0.3">
      <c r="A1769" s="133" t="s">
        <v>6744</v>
      </c>
      <c r="B1769" s="140"/>
      <c r="C1769" s="140"/>
      <c r="D1769" s="529"/>
      <c r="E1769" s="183" t="s">
        <v>5415</v>
      </c>
      <c r="F1769" s="133"/>
      <c r="G1769" s="341"/>
      <c r="H1769" s="1597">
        <f>ROUND(+H1767+H1758+H1750+H1735,0)</f>
        <v>3841</v>
      </c>
    </row>
    <row r="1770" spans="1:10" x14ac:dyDescent="0.25">
      <c r="A1770" s="133"/>
      <c r="B1770" s="8"/>
      <c r="C1770" s="8"/>
      <c r="D1770" s="529"/>
      <c r="E1770" s="223"/>
      <c r="F1770" s="133"/>
      <c r="G1770" s="341"/>
      <c r="H1770" s="436"/>
    </row>
    <row r="1771" spans="1:10" s="1058" customFormat="1" x14ac:dyDescent="0.25">
      <c r="A1771" s="1136"/>
      <c r="B1771" s="1137"/>
      <c r="C1771" s="1137"/>
      <c r="D1771" s="1137"/>
      <c r="E1771" s="1137"/>
      <c r="F1771" s="1136"/>
      <c r="G1771" s="1137"/>
      <c r="H1771" s="1137"/>
      <c r="J1771" s="826"/>
    </row>
    <row r="1772" spans="1:10" s="889" customFormat="1" x14ac:dyDescent="0.25">
      <c r="A1772" s="750" t="s">
        <v>3</v>
      </c>
      <c r="B1772" s="1390" t="str">
        <f>+VLOOKUP(C1772,ListaAPUs!$B:$E,4,FALSE)</f>
        <v>3.4.2</v>
      </c>
      <c r="C1772" s="2449" t="str">
        <f>+ListaAPUs!B68</f>
        <v>ACERO ESTRUCTURAL  (Incluye suministro e instalacion)</v>
      </c>
      <c r="D1772" s="2449"/>
      <c r="E1772" s="2449"/>
      <c r="F1772" s="750" t="s">
        <v>867</v>
      </c>
      <c r="G1772" s="750" t="s">
        <v>5431</v>
      </c>
      <c r="H1772" s="1172"/>
      <c r="J1772" s="826"/>
    </row>
    <row r="1773" spans="1:10" s="1058" customFormat="1" x14ac:dyDescent="0.25">
      <c r="A1773" s="1136"/>
      <c r="B1773" s="1137"/>
      <c r="C1773" s="1137"/>
      <c r="D1773" s="1137"/>
      <c r="E1773" s="1137"/>
      <c r="F1773" s="1136"/>
      <c r="G1773" s="1137"/>
      <c r="H1773" s="1137"/>
      <c r="J1773" s="826"/>
    </row>
    <row r="1774" spans="1:10" s="1058" customFormat="1" x14ac:dyDescent="0.25">
      <c r="A1774" s="1136"/>
      <c r="B1774" s="1137"/>
      <c r="C1774" s="1137"/>
      <c r="D1774" s="1137"/>
      <c r="E1774" s="1137"/>
      <c r="F1774" s="1136"/>
      <c r="G1774" s="1138"/>
      <c r="H1774" s="1137"/>
      <c r="J1774" s="826"/>
    </row>
    <row r="1775" spans="1:10" s="1058" customFormat="1" ht="15.75" thickBot="1" x14ac:dyDescent="0.3">
      <c r="A1775" s="1136"/>
      <c r="B1775" s="1137"/>
      <c r="C1775" s="1137"/>
      <c r="D1775" s="1137"/>
      <c r="E1775" s="1137"/>
      <c r="F1775" s="1136"/>
      <c r="G1775" s="1137"/>
      <c r="H1775" s="1137"/>
      <c r="J1775" s="826"/>
    </row>
    <row r="1776" spans="1:10" s="889" customFormat="1" ht="15.75" thickBot="1" x14ac:dyDescent="0.3">
      <c r="A1776" s="1138"/>
      <c r="B1776" s="1174" t="s">
        <v>5403</v>
      </c>
      <c r="C1776" s="1175" t="s">
        <v>867</v>
      </c>
      <c r="D1776" s="1175" t="s">
        <v>6</v>
      </c>
      <c r="E1776" s="1176" t="s">
        <v>5404</v>
      </c>
      <c r="F1776" s="1175" t="s">
        <v>5405</v>
      </c>
      <c r="G1776" s="1177" t="s">
        <v>868</v>
      </c>
      <c r="H1776" s="1188"/>
      <c r="J1776" s="826"/>
    </row>
    <row r="1777" spans="1:10" s="1058" customFormat="1" x14ac:dyDescent="0.25">
      <c r="A1777" s="1136"/>
      <c r="B1777" s="1140" t="s">
        <v>8269</v>
      </c>
      <c r="C1777" s="1141" t="s">
        <v>7042</v>
      </c>
      <c r="D1777" s="1142">
        <v>1</v>
      </c>
      <c r="E1777" s="1143">
        <f>H1815</f>
        <v>1144.1511111111113</v>
      </c>
      <c r="F1777" s="1179">
        <v>0.2</v>
      </c>
      <c r="G1777" s="1144">
        <f>D1777*E1777*F1777</f>
        <v>228.83022222222226</v>
      </c>
      <c r="H1777" s="1139"/>
      <c r="J1777" s="826"/>
    </row>
    <row r="1778" spans="1:10" s="1058" customFormat="1" x14ac:dyDescent="0.25">
      <c r="A1778" s="1136"/>
      <c r="B1778" s="1145"/>
      <c r="C1778" s="1146" t="s">
        <v>7044</v>
      </c>
      <c r="D1778" s="1146"/>
      <c r="E1778" s="1147" t="s">
        <v>7044</v>
      </c>
      <c r="F1778" s="1146"/>
      <c r="G1778" s="1144" t="s">
        <v>7044</v>
      </c>
      <c r="H1778" s="1139"/>
      <c r="J1778" s="826"/>
    </row>
    <row r="1779" spans="1:10" s="1058" customFormat="1" x14ac:dyDescent="0.25">
      <c r="A1779" s="1136"/>
      <c r="B1779" s="1148"/>
      <c r="C1779" s="1146" t="s">
        <v>7044</v>
      </c>
      <c r="D1779" s="1146"/>
      <c r="E1779" s="1147" t="s">
        <v>7044</v>
      </c>
      <c r="F1779" s="1146"/>
      <c r="G1779" s="1144" t="s">
        <v>7044</v>
      </c>
      <c r="H1779" s="1139"/>
      <c r="J1779" s="826"/>
    </row>
    <row r="1780" spans="1:10" s="1058" customFormat="1" x14ac:dyDescent="0.25">
      <c r="A1780" s="1136"/>
      <c r="B1780" s="1149"/>
      <c r="C1780" s="1146" t="s">
        <v>7044</v>
      </c>
      <c r="D1780" s="1150"/>
      <c r="E1780" s="1151" t="s">
        <v>7044</v>
      </c>
      <c r="F1780" s="1146"/>
      <c r="G1780" s="1144" t="s">
        <v>7044</v>
      </c>
      <c r="H1780" s="1139"/>
      <c r="J1780" s="826"/>
    </row>
    <row r="1781" spans="1:10" s="1058" customFormat="1" x14ac:dyDescent="0.25">
      <c r="A1781" s="1136"/>
      <c r="B1781" s="1149"/>
      <c r="C1781" s="1146" t="s">
        <v>7044</v>
      </c>
      <c r="D1781" s="1150"/>
      <c r="E1781" s="1151" t="s">
        <v>7044</v>
      </c>
      <c r="F1781" s="1146"/>
      <c r="G1781" s="1144" t="s">
        <v>7044</v>
      </c>
      <c r="H1781" s="1139"/>
      <c r="J1781" s="826"/>
    </row>
    <row r="1782" spans="1:10" s="1058" customFormat="1" x14ac:dyDescent="0.25">
      <c r="A1782" s="1136"/>
      <c r="B1782" s="1149"/>
      <c r="C1782" s="1146" t="s">
        <v>7044</v>
      </c>
      <c r="D1782" s="1150"/>
      <c r="E1782" s="1151" t="s">
        <v>7044</v>
      </c>
      <c r="F1782" s="1146"/>
      <c r="G1782" s="1144" t="s">
        <v>7044</v>
      </c>
      <c r="H1782" s="1139"/>
      <c r="J1782" s="826"/>
    </row>
    <row r="1783" spans="1:10" s="1058" customFormat="1" ht="15.75" thickBot="1" x14ac:dyDescent="0.3">
      <c r="A1783" s="1136"/>
      <c r="B1783" s="1149"/>
      <c r="C1783" s="1146" t="s">
        <v>7044</v>
      </c>
      <c r="D1783" s="1150"/>
      <c r="E1783" s="1151" t="s">
        <v>7044</v>
      </c>
      <c r="F1783" s="1146"/>
      <c r="G1783" s="1144" t="s">
        <v>7044</v>
      </c>
      <c r="H1783" s="1139"/>
      <c r="J1783" s="826"/>
    </row>
    <row r="1784" spans="1:10" s="1058" customFormat="1" ht="15.75" thickBot="1" x14ac:dyDescent="0.3">
      <c r="A1784" s="1136"/>
      <c r="B1784" s="1152"/>
      <c r="C1784" s="1153" t="s">
        <v>7044</v>
      </c>
      <c r="D1784" s="1154"/>
      <c r="E1784" s="1155" t="s">
        <v>7044</v>
      </c>
      <c r="F1784" s="1153"/>
      <c r="G1784" s="1144" t="s">
        <v>7044</v>
      </c>
      <c r="H1784" s="1156">
        <f>SUM(G1777:G1784)</f>
        <v>228.83022222222226</v>
      </c>
      <c r="J1784" s="826"/>
    </row>
    <row r="1785" spans="1:10" s="1058" customFormat="1" ht="15.75" thickBot="1" x14ac:dyDescent="0.3">
      <c r="A1785" s="1136"/>
      <c r="B1785" s="1157"/>
      <c r="C1785" s="1158"/>
      <c r="D1785" s="1157"/>
      <c r="E1785" s="1159"/>
      <c r="F1785" s="1158"/>
      <c r="G1785" s="1160"/>
      <c r="H1785" s="1161"/>
      <c r="J1785" s="826"/>
    </row>
    <row r="1786" spans="1:10" s="889" customFormat="1" ht="15.75" thickBot="1" x14ac:dyDescent="0.3">
      <c r="A1786" s="1172"/>
      <c r="B1786" s="1174" t="s">
        <v>5408</v>
      </c>
      <c r="C1786" s="1175" t="s">
        <v>867</v>
      </c>
      <c r="D1786" s="1175" t="s">
        <v>6</v>
      </c>
      <c r="E1786" s="1176" t="s">
        <v>870</v>
      </c>
      <c r="F1786" s="1175" t="s">
        <v>7040</v>
      </c>
      <c r="G1786" s="1177" t="s">
        <v>868</v>
      </c>
      <c r="H1786" s="1188"/>
      <c r="J1786" s="826"/>
    </row>
    <row r="1787" spans="1:10" s="1058" customFormat="1" ht="45" x14ac:dyDescent="0.25">
      <c r="A1787" s="1137"/>
      <c r="B1787" s="1224" t="str">
        <f>PROPER(Insumos!$A$303)</f>
        <v>Acero Estructural Incluye Pintura Y Elementos De Fijación</v>
      </c>
      <c r="C1787" s="1141" t="s">
        <v>5431</v>
      </c>
      <c r="D1787" s="1141">
        <v>1</v>
      </c>
      <c r="E1787" s="1143">
        <f>+VLOOKUP(B1787,Insumos!$A$2:$C$331,3,FALSE)</f>
        <v>6800</v>
      </c>
      <c r="F1787" s="1141">
        <v>1.05</v>
      </c>
      <c r="G1787" s="1144">
        <f>D1787*E1787*F1787</f>
        <v>7140</v>
      </c>
      <c r="H1787" s="1139"/>
      <c r="J1787" s="826"/>
    </row>
    <row r="1788" spans="1:10" s="1058" customFormat="1" x14ac:dyDescent="0.25">
      <c r="A1788" s="1137"/>
      <c r="B1788" s="1163"/>
      <c r="C1788" s="1146" t="s">
        <v>7044</v>
      </c>
      <c r="D1788" s="1146"/>
      <c r="E1788" s="1147" t="s">
        <v>7044</v>
      </c>
      <c r="F1788" s="1141"/>
      <c r="G1788" s="1144" t="s">
        <v>7044</v>
      </c>
      <c r="H1788" s="1139"/>
      <c r="J1788" s="826"/>
    </row>
    <row r="1789" spans="1:10" s="1058" customFormat="1" x14ac:dyDescent="0.25">
      <c r="A1789" s="1137"/>
      <c r="B1789" s="1163"/>
      <c r="C1789" s="1146" t="s">
        <v>7044</v>
      </c>
      <c r="D1789" s="1146"/>
      <c r="E1789" s="1147" t="s">
        <v>7044</v>
      </c>
      <c r="F1789" s="1141"/>
      <c r="G1789" s="1144" t="s">
        <v>7044</v>
      </c>
      <c r="H1789" s="1139"/>
      <c r="J1789" s="826"/>
    </row>
    <row r="1790" spans="1:10" s="1058" customFormat="1" x14ac:dyDescent="0.25">
      <c r="A1790" s="1137"/>
      <c r="B1790" s="1149"/>
      <c r="C1790" s="1146" t="s">
        <v>7044</v>
      </c>
      <c r="D1790" s="1146"/>
      <c r="E1790" s="1143" t="s">
        <v>7044</v>
      </c>
      <c r="F1790" s="1146"/>
      <c r="G1790" s="1144" t="s">
        <v>7044</v>
      </c>
      <c r="H1790" s="1139"/>
      <c r="J1790" s="826"/>
    </row>
    <row r="1791" spans="1:10" s="1058" customFormat="1" x14ac:dyDescent="0.25">
      <c r="A1791" s="1137"/>
      <c r="B1791" s="1149"/>
      <c r="C1791" s="1146" t="s">
        <v>7044</v>
      </c>
      <c r="D1791" s="1146"/>
      <c r="E1791" s="1143" t="s">
        <v>7044</v>
      </c>
      <c r="F1791" s="1146"/>
      <c r="G1791" s="1144" t="s">
        <v>7044</v>
      </c>
      <c r="H1791" s="1139"/>
      <c r="J1791" s="826"/>
    </row>
    <row r="1792" spans="1:10" s="1058" customFormat="1" x14ac:dyDescent="0.25">
      <c r="A1792" s="1137"/>
      <c r="B1792" s="1149"/>
      <c r="C1792" s="1146" t="s">
        <v>7044</v>
      </c>
      <c r="D1792" s="1146"/>
      <c r="E1792" s="1143" t="s">
        <v>7044</v>
      </c>
      <c r="F1792" s="1146"/>
      <c r="G1792" s="1144" t="s">
        <v>7044</v>
      </c>
      <c r="H1792" s="1139"/>
      <c r="J1792" s="826"/>
    </row>
    <row r="1793" spans="1:10" s="1058" customFormat="1" x14ac:dyDescent="0.25">
      <c r="A1793" s="1137"/>
      <c r="B1793" s="1149"/>
      <c r="C1793" s="1146" t="s">
        <v>7044</v>
      </c>
      <c r="D1793" s="1146"/>
      <c r="E1793" s="1143" t="s">
        <v>7044</v>
      </c>
      <c r="F1793" s="1146"/>
      <c r="G1793" s="1144" t="s">
        <v>7044</v>
      </c>
      <c r="H1793" s="1139"/>
      <c r="J1793" s="826"/>
    </row>
    <row r="1794" spans="1:10" s="1058" customFormat="1" x14ac:dyDescent="0.25">
      <c r="A1794" s="1137"/>
      <c r="B1794" s="1149"/>
      <c r="C1794" s="1146" t="s">
        <v>7044</v>
      </c>
      <c r="D1794" s="1146"/>
      <c r="E1794" s="1143" t="s">
        <v>7044</v>
      </c>
      <c r="F1794" s="1146"/>
      <c r="G1794" s="1144" t="s">
        <v>7044</v>
      </c>
      <c r="H1794" s="1139"/>
      <c r="J1794" s="826"/>
    </row>
    <row r="1795" spans="1:10" s="1058" customFormat="1" x14ac:dyDescent="0.25">
      <c r="A1795" s="1137"/>
      <c r="B1795" s="1149"/>
      <c r="C1795" s="1146" t="s">
        <v>7044</v>
      </c>
      <c r="D1795" s="1146"/>
      <c r="E1795" s="1143" t="s">
        <v>7044</v>
      </c>
      <c r="F1795" s="1146"/>
      <c r="G1795" s="1144" t="s">
        <v>7044</v>
      </c>
      <c r="H1795" s="1139"/>
      <c r="J1795" s="826"/>
    </row>
    <row r="1796" spans="1:10" s="1058" customFormat="1" x14ac:dyDescent="0.25">
      <c r="A1796" s="1137"/>
      <c r="B1796" s="1149"/>
      <c r="C1796" s="1146" t="s">
        <v>7044</v>
      </c>
      <c r="D1796" s="1146"/>
      <c r="E1796" s="1143" t="s">
        <v>7044</v>
      </c>
      <c r="F1796" s="1146"/>
      <c r="G1796" s="1144" t="s">
        <v>7044</v>
      </c>
      <c r="H1796" s="1139"/>
      <c r="J1796" s="826"/>
    </row>
    <row r="1797" spans="1:10" s="1058" customFormat="1" x14ac:dyDescent="0.25">
      <c r="A1797" s="1137"/>
      <c r="B1797" s="1149"/>
      <c r="C1797" s="1146" t="s">
        <v>7044</v>
      </c>
      <c r="D1797" s="1146"/>
      <c r="E1797" s="1143" t="s">
        <v>7044</v>
      </c>
      <c r="F1797" s="1146"/>
      <c r="G1797" s="1144" t="s">
        <v>7044</v>
      </c>
      <c r="H1797" s="1139"/>
      <c r="J1797" s="826"/>
    </row>
    <row r="1798" spans="1:10" s="1058" customFormat="1" x14ac:dyDescent="0.25">
      <c r="A1798" s="1137"/>
      <c r="B1798" s="1149"/>
      <c r="C1798" s="1150" t="s">
        <v>7044</v>
      </c>
      <c r="D1798" s="1150"/>
      <c r="E1798" s="1151" t="s">
        <v>7044</v>
      </c>
      <c r="F1798" s="1146"/>
      <c r="G1798" s="1144" t="s">
        <v>7044</v>
      </c>
      <c r="H1798" s="1139"/>
      <c r="J1798" s="826"/>
    </row>
    <row r="1799" spans="1:10" s="1058" customFormat="1" ht="15.75" thickBot="1" x14ac:dyDescent="0.3">
      <c r="A1799" s="1137"/>
      <c r="B1799" s="1149"/>
      <c r="C1799" s="1150" t="s">
        <v>7044</v>
      </c>
      <c r="D1799" s="1150"/>
      <c r="E1799" s="1151" t="s">
        <v>7044</v>
      </c>
      <c r="F1799" s="1146"/>
      <c r="G1799" s="1144" t="s">
        <v>7044</v>
      </c>
      <c r="H1799" s="1139"/>
      <c r="J1799" s="826"/>
    </row>
    <row r="1800" spans="1:10" s="1058" customFormat="1" ht="15.75" thickBot="1" x14ac:dyDescent="0.3">
      <c r="A1800" s="1137"/>
      <c r="B1800" s="1152"/>
      <c r="C1800" s="1154" t="s">
        <v>7044</v>
      </c>
      <c r="D1800" s="1154"/>
      <c r="E1800" s="1155" t="s">
        <v>7044</v>
      </c>
      <c r="F1800" s="1153"/>
      <c r="G1800" s="1144" t="s">
        <v>7044</v>
      </c>
      <c r="H1800" s="1156">
        <f>SUM(G1787:G1800)</f>
        <v>7140</v>
      </c>
      <c r="J1800" s="826"/>
    </row>
    <row r="1801" spans="1:10" s="1058" customFormat="1" ht="15.75" thickBot="1" x14ac:dyDescent="0.3">
      <c r="A1801" s="1137"/>
      <c r="B1801" s="1157"/>
      <c r="C1801" s="1157"/>
      <c r="D1801" s="1157"/>
      <c r="E1801" s="1159"/>
      <c r="F1801" s="1158"/>
      <c r="G1801" s="1160"/>
      <c r="H1801" s="1161"/>
      <c r="J1801" s="826"/>
    </row>
    <row r="1802" spans="1:10" s="889" customFormat="1" ht="15.75" thickBot="1" x14ac:dyDescent="0.3">
      <c r="A1802" s="1172"/>
      <c r="B1802" s="1174" t="s">
        <v>5410</v>
      </c>
      <c r="C1802" s="1175" t="s">
        <v>867</v>
      </c>
      <c r="D1802" s="1175" t="s">
        <v>6</v>
      </c>
      <c r="E1802" s="1176" t="s">
        <v>870</v>
      </c>
      <c r="F1802" s="1175" t="s">
        <v>5411</v>
      </c>
      <c r="G1802" s="1177" t="s">
        <v>868</v>
      </c>
      <c r="H1802" s="1188"/>
      <c r="J1802" s="826"/>
    </row>
    <row r="1803" spans="1:10" s="1058" customFormat="1" x14ac:dyDescent="0.25">
      <c r="A1803" s="1137"/>
      <c r="B1803" s="1162" t="s">
        <v>8274</v>
      </c>
      <c r="C1803" s="1141" t="s">
        <v>5431</v>
      </c>
      <c r="D1803" s="1141">
        <v>1</v>
      </c>
      <c r="E1803" s="1143">
        <v>500</v>
      </c>
      <c r="F1803" s="1141"/>
      <c r="G1803" s="1144">
        <v>500</v>
      </c>
      <c r="H1803" s="1139"/>
      <c r="J1803" s="826"/>
    </row>
    <row r="1804" spans="1:10" s="1058" customFormat="1" x14ac:dyDescent="0.25">
      <c r="A1804" s="1137"/>
      <c r="B1804" s="1163"/>
      <c r="C1804" s="1146" t="s">
        <v>7044</v>
      </c>
      <c r="D1804" s="1146"/>
      <c r="E1804" s="1147" t="s">
        <v>7044</v>
      </c>
      <c r="F1804" s="1146"/>
      <c r="G1804" s="1144" t="s">
        <v>7044</v>
      </c>
      <c r="H1804" s="1139"/>
      <c r="J1804" s="826"/>
    </row>
    <row r="1805" spans="1:10" s="1058" customFormat="1" x14ac:dyDescent="0.25">
      <c r="A1805" s="1137"/>
      <c r="B1805" s="1163"/>
      <c r="C1805" s="1146" t="s">
        <v>7044</v>
      </c>
      <c r="D1805" s="1146"/>
      <c r="E1805" s="1143" t="s">
        <v>7044</v>
      </c>
      <c r="F1805" s="1146"/>
      <c r="G1805" s="1144" t="s">
        <v>7044</v>
      </c>
      <c r="H1805" s="1139"/>
      <c r="J1805" s="826"/>
    </row>
    <row r="1806" spans="1:10" s="1058" customFormat="1" ht="15.75" thickBot="1" x14ac:dyDescent="0.3">
      <c r="A1806" s="1137"/>
      <c r="B1806" s="1149"/>
      <c r="C1806" s="1146" t="s">
        <v>7044</v>
      </c>
      <c r="D1806" s="1146"/>
      <c r="E1806" s="1143" t="s">
        <v>7044</v>
      </c>
      <c r="F1806" s="1146"/>
      <c r="G1806" s="1144" t="s">
        <v>7044</v>
      </c>
      <c r="H1806" s="1139"/>
      <c r="J1806" s="826"/>
    </row>
    <row r="1807" spans="1:10" s="1058" customFormat="1" ht="15.75" thickBot="1" x14ac:dyDescent="0.3">
      <c r="A1807" s="1137"/>
      <c r="B1807" s="1152"/>
      <c r="C1807" s="1154" t="s">
        <v>7044</v>
      </c>
      <c r="D1807" s="1154"/>
      <c r="E1807" s="1155" t="s">
        <v>7044</v>
      </c>
      <c r="F1807" s="1153"/>
      <c r="G1807" s="1144" t="s">
        <v>7044</v>
      </c>
      <c r="H1807" s="1156">
        <f>SUM(G1803:G1807)</f>
        <v>500</v>
      </c>
      <c r="J1807" s="826"/>
    </row>
    <row r="1808" spans="1:10" s="1058" customFormat="1" ht="15.75" thickBot="1" x14ac:dyDescent="0.3">
      <c r="A1808" s="1137"/>
      <c r="B1808" s="1157"/>
      <c r="C1808" s="1157"/>
      <c r="D1808" s="1157"/>
      <c r="E1808" s="1159"/>
      <c r="F1808" s="1164"/>
      <c r="G1808" s="1165"/>
      <c r="H1808" s="1161"/>
      <c r="J1808" s="826"/>
    </row>
    <row r="1809" spans="1:10" s="889" customFormat="1" ht="15.75" thickBot="1" x14ac:dyDescent="0.3">
      <c r="A1809" s="1172"/>
      <c r="B1809" s="1174" t="s">
        <v>5412</v>
      </c>
      <c r="C1809" s="1175" t="s">
        <v>5420</v>
      </c>
      <c r="D1809" s="1175" t="s">
        <v>5421</v>
      </c>
      <c r="E1809" s="1176" t="s">
        <v>5413</v>
      </c>
      <c r="F1809" s="1175" t="s">
        <v>5405</v>
      </c>
      <c r="G1809" s="1177" t="s">
        <v>868</v>
      </c>
      <c r="H1809" s="1188"/>
      <c r="J1809" s="826"/>
    </row>
    <row r="1810" spans="1:10" s="1058" customFormat="1" x14ac:dyDescent="0.25">
      <c r="A1810" s="1137"/>
      <c r="B1810" s="781" t="s">
        <v>5948</v>
      </c>
      <c r="C1810" s="782">
        <f>+VLOOKUP(B1810,'Mano de obra'!$A$5:$D$26,2,FALSE)</f>
        <v>57455</v>
      </c>
      <c r="D1810" s="782">
        <f>+VLOOKUP(B1810,'Mano de obra'!$A$5:$D$26,3,FALSE)</f>
        <v>35656</v>
      </c>
      <c r="E1810" s="761">
        <f>+VLOOKUP(B1810,'Mano de obra'!$A$5:$D$26,4,FALSE)</f>
        <v>93111</v>
      </c>
      <c r="F1810" s="1141">
        <v>1500</v>
      </c>
      <c r="G1810" s="1144">
        <f>IF(B1810="","",E1810/F1810)</f>
        <v>62.073999999999998</v>
      </c>
      <c r="H1810" s="1139"/>
      <c r="J1810" s="826"/>
    </row>
    <row r="1811" spans="1:10" s="1058" customFormat="1" x14ac:dyDescent="0.25">
      <c r="A1811" s="1137"/>
      <c r="B1811" s="781" t="s">
        <v>5949</v>
      </c>
      <c r="C1811" s="782">
        <f>+VLOOKUP(B1811,'Mano de obra'!$A$5:$D$26,2,FALSE)</f>
        <v>44263.8</v>
      </c>
      <c r="D1811" s="782">
        <f>+VLOOKUP(B1811,'Mano de obra'!$A$5:$D$26,3,FALSE)</f>
        <v>27470</v>
      </c>
      <c r="E1811" s="761">
        <f>+VLOOKUP(B1811,'Mano de obra'!$A$5:$D$26,4,FALSE)</f>
        <v>71733.8</v>
      </c>
      <c r="F1811" s="1141">
        <v>300</v>
      </c>
      <c r="G1811" s="1144">
        <f>IF(B1811="","",E1811/F1811)</f>
        <v>239.11266666666668</v>
      </c>
      <c r="H1811" s="1139"/>
      <c r="J1811" s="826"/>
    </row>
    <row r="1812" spans="1:10" s="1058" customFormat="1" x14ac:dyDescent="0.25">
      <c r="A1812" s="1137"/>
      <c r="B1812" s="764" t="s">
        <v>5635</v>
      </c>
      <c r="C1812" s="782">
        <f>+VLOOKUP(B1812,'Mano de obra'!$A$5:$D$26,2,FALSE)</f>
        <v>24591</v>
      </c>
      <c r="D1812" s="782">
        <f>+VLOOKUP(B1812,'Mano de obra'!$A$5:$D$26,3,FALSE)</f>
        <v>15261</v>
      </c>
      <c r="E1812" s="761">
        <f>+VLOOKUP(B1812,'Mano de obra'!$A$5:$D$26,4,FALSE)</f>
        <v>39852</v>
      </c>
      <c r="F1812" s="1146">
        <v>100</v>
      </c>
      <c r="G1812" s="1144">
        <f>IF(B1812="","",E1812/F1812)</f>
        <v>398.52</v>
      </c>
      <c r="H1812" s="1139"/>
      <c r="J1812" s="826"/>
    </row>
    <row r="1813" spans="1:10" s="1058" customFormat="1" x14ac:dyDescent="0.25">
      <c r="A1813" s="1137"/>
      <c r="B1813" s="1149" t="s">
        <v>8277</v>
      </c>
      <c r="C1813" s="1166">
        <v>200000</v>
      </c>
      <c r="D1813" s="1151">
        <v>97580</v>
      </c>
      <c r="E1813" s="1151">
        <v>200000</v>
      </c>
      <c r="F1813" s="1146">
        <v>450</v>
      </c>
      <c r="G1813" s="1144">
        <f>IF(B1813="","",E1813/F1813)</f>
        <v>444.44444444444446</v>
      </c>
      <c r="H1813" s="1139"/>
      <c r="J1813" s="826"/>
    </row>
    <row r="1814" spans="1:10" s="1058" customFormat="1" ht="15.75" thickBot="1" x14ac:dyDescent="0.3">
      <c r="A1814" s="1137"/>
      <c r="B1814" s="1149"/>
      <c r="C1814" s="1151" t="s">
        <v>7044</v>
      </c>
      <c r="D1814" s="1151" t="s">
        <v>7044</v>
      </c>
      <c r="E1814" s="1151" t="s">
        <v>7044</v>
      </c>
      <c r="F1814" s="1146"/>
      <c r="G1814" s="1167" t="s">
        <v>7044</v>
      </c>
      <c r="H1814" s="1139"/>
      <c r="J1814" s="826"/>
    </row>
    <row r="1815" spans="1:10" s="1058" customFormat="1" ht="15.75" thickBot="1" x14ac:dyDescent="0.3">
      <c r="A1815" s="1137"/>
      <c r="B1815" s="1168"/>
      <c r="C1815" s="1169" t="s">
        <v>7044</v>
      </c>
      <c r="D1815" s="1169" t="s">
        <v>7044</v>
      </c>
      <c r="E1815" s="1169" t="s">
        <v>7044</v>
      </c>
      <c r="F1815" s="1170"/>
      <c r="G1815" s="1171" t="s">
        <v>7044</v>
      </c>
      <c r="H1815" s="1156">
        <f>SUM(G1810:G1815)</f>
        <v>1144.1511111111113</v>
      </c>
      <c r="J1815" s="826"/>
    </row>
    <row r="1816" spans="1:10" s="1058" customFormat="1" ht="15.75" thickBot="1" x14ac:dyDescent="0.3">
      <c r="A1816" s="1137"/>
      <c r="B1816" s="1137"/>
      <c r="C1816" s="1137"/>
      <c r="D1816" s="1137"/>
      <c r="E1816" s="1137"/>
      <c r="F1816" s="1136"/>
      <c r="G1816" s="1137"/>
      <c r="H1816" s="1137"/>
      <c r="J1816" s="826"/>
    </row>
    <row r="1817" spans="1:10" s="1058" customFormat="1" ht="15.75" thickBot="1" x14ac:dyDescent="0.3">
      <c r="A1817" s="1137"/>
      <c r="B1817" s="1137"/>
      <c r="C1817" s="1137"/>
      <c r="D1817" s="1137"/>
      <c r="E1817" s="1172" t="s">
        <v>5415</v>
      </c>
      <c r="F1817" s="1136"/>
      <c r="G1817" s="1137"/>
      <c r="H1817" s="1173">
        <f>ROUND(H1784+H1800+H1807+H1815,0)</f>
        <v>9013</v>
      </c>
      <c r="J1817" s="826"/>
    </row>
    <row r="1818" spans="1:10" s="1058" customFormat="1" x14ac:dyDescent="0.25">
      <c r="A1818" s="1137"/>
      <c r="B1818" s="1137"/>
      <c r="C1818" s="1137"/>
      <c r="D1818" s="1137"/>
      <c r="E1818" s="1137"/>
      <c r="F1818" s="1136"/>
      <c r="G1818" s="1137"/>
      <c r="H1818" s="1137"/>
      <c r="J1818" s="826"/>
    </row>
    <row r="1819" spans="1:10" s="1058" customFormat="1" x14ac:dyDescent="0.25">
      <c r="A1819" s="749"/>
      <c r="B1819" s="748"/>
      <c r="C1819" s="748"/>
      <c r="D1819" s="748"/>
      <c r="E1819" s="748"/>
      <c r="F1819" s="749"/>
      <c r="G1819" s="748"/>
      <c r="H1819" s="748"/>
      <c r="J1819" s="826"/>
    </row>
    <row r="1820" spans="1:10" s="1058" customFormat="1" x14ac:dyDescent="0.25">
      <c r="A1820" s="749"/>
      <c r="B1820" s="748"/>
      <c r="C1820" s="748"/>
      <c r="D1820" s="748"/>
      <c r="E1820" s="748"/>
      <c r="F1820" s="749"/>
      <c r="G1820" s="748"/>
      <c r="H1820" s="748"/>
      <c r="J1820" s="826"/>
    </row>
    <row r="1821" spans="1:10" s="889" customFormat="1" x14ac:dyDescent="0.25">
      <c r="A1821" s="750" t="s">
        <v>3</v>
      </c>
      <c r="B1821" s="1390" t="str">
        <f>+VLOOKUP(C1821,ListaAPUs!$B:$E,4,FALSE)</f>
        <v>3.2.1</v>
      </c>
      <c r="C1821" s="2449" t="str">
        <f>+ListaAPUs!B63</f>
        <v>CINTA PVC V-22</v>
      </c>
      <c r="D1821" s="2449"/>
      <c r="E1821" s="2449"/>
      <c r="F1821" s="750" t="s">
        <v>867</v>
      </c>
      <c r="G1821" s="750" t="s">
        <v>5734</v>
      </c>
      <c r="H1821" s="788"/>
      <c r="J1821" s="826"/>
    </row>
    <row r="1822" spans="1:10" s="1058" customFormat="1" x14ac:dyDescent="0.25">
      <c r="A1822" s="749"/>
      <c r="B1822" s="748"/>
      <c r="C1822" s="748"/>
      <c r="D1822" s="748"/>
      <c r="E1822" s="748"/>
      <c r="F1822" s="749"/>
      <c r="G1822" s="748"/>
      <c r="H1822" s="748"/>
      <c r="J1822" s="826"/>
    </row>
    <row r="1823" spans="1:10" s="1058" customFormat="1" x14ac:dyDescent="0.25">
      <c r="A1823" s="749"/>
      <c r="B1823" s="748"/>
      <c r="C1823" s="748"/>
      <c r="D1823" s="748"/>
      <c r="E1823" s="748"/>
      <c r="F1823" s="749"/>
      <c r="G1823" s="751"/>
      <c r="H1823" s="748"/>
      <c r="J1823" s="826"/>
    </row>
    <row r="1824" spans="1:10" s="1058" customFormat="1" ht="15.75" thickBot="1" x14ac:dyDescent="0.3">
      <c r="A1824" s="749"/>
      <c r="B1824" s="748"/>
      <c r="C1824" s="748"/>
      <c r="D1824" s="748"/>
      <c r="E1824" s="748"/>
      <c r="F1824" s="749"/>
      <c r="G1824" s="748"/>
      <c r="H1824" s="748"/>
      <c r="J1824" s="826"/>
    </row>
    <row r="1825" spans="1:10" s="889" customFormat="1" ht="15.75" thickBot="1" x14ac:dyDescent="0.3">
      <c r="A1825" s="751"/>
      <c r="B1825" s="1184" t="s">
        <v>5403</v>
      </c>
      <c r="C1825" s="1185" t="s">
        <v>867</v>
      </c>
      <c r="D1825" s="1185" t="s">
        <v>6</v>
      </c>
      <c r="E1825" s="1186" t="s">
        <v>5404</v>
      </c>
      <c r="F1825" s="1185" t="s">
        <v>5405</v>
      </c>
      <c r="G1825" s="1187" t="s">
        <v>868</v>
      </c>
      <c r="H1825" s="1189"/>
      <c r="J1825" s="826"/>
    </row>
    <row r="1826" spans="1:10" s="1058" customFormat="1" x14ac:dyDescent="0.25">
      <c r="A1826" s="749"/>
      <c r="B1826" s="757"/>
      <c r="C1826" s="819" t="s">
        <v>7044</v>
      </c>
      <c r="D1826" s="819"/>
      <c r="E1826" s="758" t="s">
        <v>7044</v>
      </c>
      <c r="F1826" s="819"/>
      <c r="G1826" s="818" t="s">
        <v>7044</v>
      </c>
      <c r="H1826" s="756"/>
      <c r="J1826" s="826"/>
    </row>
    <row r="1827" spans="1:10" s="1058" customFormat="1" x14ac:dyDescent="0.25">
      <c r="A1827" s="749"/>
      <c r="B1827" s="760"/>
      <c r="C1827" s="817" t="s">
        <v>7044</v>
      </c>
      <c r="D1827" s="817"/>
      <c r="E1827" s="761" t="s">
        <v>7044</v>
      </c>
      <c r="F1827" s="817"/>
      <c r="G1827" s="818" t="s">
        <v>7044</v>
      </c>
      <c r="H1827" s="756"/>
      <c r="J1827" s="826"/>
    </row>
    <row r="1828" spans="1:10" s="1058" customFormat="1" x14ac:dyDescent="0.25">
      <c r="A1828" s="749"/>
      <c r="B1828" s="763"/>
      <c r="C1828" s="817" t="s">
        <v>7044</v>
      </c>
      <c r="D1828" s="817"/>
      <c r="E1828" s="761" t="s">
        <v>7044</v>
      </c>
      <c r="F1828" s="817"/>
      <c r="G1828" s="818" t="s">
        <v>7044</v>
      </c>
      <c r="H1828" s="756"/>
      <c r="J1828" s="826"/>
    </row>
    <row r="1829" spans="1:10" s="1058" customFormat="1" x14ac:dyDescent="0.25">
      <c r="A1829" s="749"/>
      <c r="B1829" s="764"/>
      <c r="C1829" s="817" t="s">
        <v>7044</v>
      </c>
      <c r="D1829" s="765"/>
      <c r="E1829" s="766" t="s">
        <v>7044</v>
      </c>
      <c r="F1829" s="817"/>
      <c r="G1829" s="818" t="s">
        <v>7044</v>
      </c>
      <c r="H1829" s="756"/>
      <c r="J1829" s="826"/>
    </row>
    <row r="1830" spans="1:10" s="1058" customFormat="1" x14ac:dyDescent="0.25">
      <c r="A1830" s="749"/>
      <c r="B1830" s="764"/>
      <c r="C1830" s="817" t="s">
        <v>7044</v>
      </c>
      <c r="D1830" s="765"/>
      <c r="E1830" s="766" t="s">
        <v>7044</v>
      </c>
      <c r="F1830" s="817"/>
      <c r="G1830" s="818" t="s">
        <v>7044</v>
      </c>
      <c r="H1830" s="756"/>
      <c r="J1830" s="826"/>
    </row>
    <row r="1831" spans="1:10" s="1058" customFormat="1" x14ac:dyDescent="0.25">
      <c r="A1831" s="749"/>
      <c r="B1831" s="764"/>
      <c r="C1831" s="817" t="s">
        <v>7044</v>
      </c>
      <c r="D1831" s="765"/>
      <c r="E1831" s="766" t="s">
        <v>7044</v>
      </c>
      <c r="F1831" s="817"/>
      <c r="G1831" s="818" t="s">
        <v>7044</v>
      </c>
      <c r="H1831" s="756"/>
      <c r="J1831" s="826"/>
    </row>
    <row r="1832" spans="1:10" s="1058" customFormat="1" ht="15.75" thickBot="1" x14ac:dyDescent="0.3">
      <c r="A1832" s="749"/>
      <c r="B1832" s="764"/>
      <c r="C1832" s="817" t="s">
        <v>7044</v>
      </c>
      <c r="D1832" s="765"/>
      <c r="E1832" s="766" t="s">
        <v>7044</v>
      </c>
      <c r="F1832" s="817"/>
      <c r="G1832" s="818" t="s">
        <v>7044</v>
      </c>
      <c r="H1832" s="756"/>
      <c r="J1832" s="826"/>
    </row>
    <row r="1833" spans="1:10" s="1058" customFormat="1" ht="15.75" thickBot="1" x14ac:dyDescent="0.3">
      <c r="A1833" s="749"/>
      <c r="B1833" s="767"/>
      <c r="C1833" s="768" t="s">
        <v>7044</v>
      </c>
      <c r="D1833" s="769"/>
      <c r="E1833" s="770" t="s">
        <v>7044</v>
      </c>
      <c r="F1833" s="768"/>
      <c r="G1833" s="818" t="s">
        <v>7044</v>
      </c>
      <c r="H1833" s="771">
        <f>SUM(G1826:G1833)</f>
        <v>0</v>
      </c>
      <c r="J1833" s="826"/>
    </row>
    <row r="1834" spans="1:10" s="1058" customFormat="1" ht="15.75" thickBot="1" x14ac:dyDescent="0.3">
      <c r="A1834" s="749"/>
      <c r="B1834" s="772"/>
      <c r="C1834" s="773"/>
      <c r="D1834" s="772"/>
      <c r="E1834" s="774"/>
      <c r="F1834" s="773"/>
      <c r="G1834" s="775"/>
      <c r="H1834" s="776"/>
      <c r="J1834" s="826"/>
    </row>
    <row r="1835" spans="1:10" s="889" customFormat="1" ht="15.75" thickBot="1" x14ac:dyDescent="0.3">
      <c r="A1835" s="788"/>
      <c r="B1835" s="1184" t="s">
        <v>5408</v>
      </c>
      <c r="C1835" s="1185" t="s">
        <v>867</v>
      </c>
      <c r="D1835" s="1185" t="s">
        <v>6</v>
      </c>
      <c r="E1835" s="1186" t="s">
        <v>870</v>
      </c>
      <c r="F1835" s="1185" t="s">
        <v>7040</v>
      </c>
      <c r="G1835" s="1187" t="s">
        <v>868</v>
      </c>
      <c r="H1835" s="1189"/>
      <c r="J1835" s="826"/>
    </row>
    <row r="1836" spans="1:10" s="1058" customFormat="1" x14ac:dyDescent="0.25">
      <c r="A1836" s="748"/>
      <c r="B1836" s="777" t="str">
        <f>PROPER(Insumos!$A$304)</f>
        <v>Cinta Pvc V-22</v>
      </c>
      <c r="C1836" s="819" t="s">
        <v>5734</v>
      </c>
      <c r="D1836" s="819">
        <v>1</v>
      </c>
      <c r="E1836" s="758">
        <f>+VLOOKUP(B1836,Insumos!$A$2:$C$331,3,FALSE)</f>
        <v>30170</v>
      </c>
      <c r="F1836" s="819">
        <v>1.05</v>
      </c>
      <c r="G1836" s="818">
        <f>D1836*E1836*F1836</f>
        <v>31678.5</v>
      </c>
      <c r="H1836" s="756"/>
      <c r="J1836" s="826"/>
    </row>
    <row r="1837" spans="1:10" s="1058" customFormat="1" x14ac:dyDescent="0.25">
      <c r="A1837" s="748"/>
      <c r="B1837" s="778"/>
      <c r="C1837" s="817" t="s">
        <v>7044</v>
      </c>
      <c r="D1837" s="817"/>
      <c r="E1837" s="761" t="s">
        <v>7044</v>
      </c>
      <c r="F1837" s="819"/>
      <c r="G1837" s="818" t="s">
        <v>7044</v>
      </c>
      <c r="H1837" s="756"/>
      <c r="J1837" s="826"/>
    </row>
    <row r="1838" spans="1:10" s="1058" customFormat="1" x14ac:dyDescent="0.25">
      <c r="A1838" s="748"/>
      <c r="B1838" s="778"/>
      <c r="C1838" s="817" t="s">
        <v>7044</v>
      </c>
      <c r="D1838" s="817"/>
      <c r="E1838" s="761" t="s">
        <v>7044</v>
      </c>
      <c r="F1838" s="819"/>
      <c r="G1838" s="818" t="s">
        <v>7044</v>
      </c>
      <c r="H1838" s="756"/>
      <c r="J1838" s="826"/>
    </row>
    <row r="1839" spans="1:10" s="1058" customFormat="1" x14ac:dyDescent="0.25">
      <c r="A1839" s="748"/>
      <c r="B1839" s="764"/>
      <c r="C1839" s="817" t="s">
        <v>7044</v>
      </c>
      <c r="D1839" s="817"/>
      <c r="E1839" s="758" t="s">
        <v>7044</v>
      </c>
      <c r="F1839" s="817"/>
      <c r="G1839" s="818" t="s">
        <v>7044</v>
      </c>
      <c r="H1839" s="756"/>
      <c r="J1839" s="826"/>
    </row>
    <row r="1840" spans="1:10" s="1058" customFormat="1" x14ac:dyDescent="0.25">
      <c r="A1840" s="748"/>
      <c r="B1840" s="764"/>
      <c r="C1840" s="817" t="s">
        <v>7044</v>
      </c>
      <c r="D1840" s="817"/>
      <c r="E1840" s="758" t="s">
        <v>7044</v>
      </c>
      <c r="F1840" s="817"/>
      <c r="G1840" s="818" t="s">
        <v>7044</v>
      </c>
      <c r="H1840" s="756"/>
      <c r="J1840" s="826"/>
    </row>
    <row r="1841" spans="1:10" s="1058" customFormat="1" x14ac:dyDescent="0.25">
      <c r="A1841" s="748"/>
      <c r="B1841" s="764"/>
      <c r="C1841" s="817" t="s">
        <v>7044</v>
      </c>
      <c r="D1841" s="817"/>
      <c r="E1841" s="758" t="s">
        <v>7044</v>
      </c>
      <c r="F1841" s="817"/>
      <c r="G1841" s="818" t="s">
        <v>7044</v>
      </c>
      <c r="H1841" s="756"/>
      <c r="J1841" s="826"/>
    </row>
    <row r="1842" spans="1:10" s="1058" customFormat="1" x14ac:dyDescent="0.25">
      <c r="A1842" s="748"/>
      <c r="B1842" s="764"/>
      <c r="C1842" s="817" t="s">
        <v>7044</v>
      </c>
      <c r="D1842" s="817"/>
      <c r="E1842" s="758" t="s">
        <v>7044</v>
      </c>
      <c r="F1842" s="817"/>
      <c r="G1842" s="818" t="s">
        <v>7044</v>
      </c>
      <c r="H1842" s="756"/>
      <c r="J1842" s="826"/>
    </row>
    <row r="1843" spans="1:10" s="1058" customFormat="1" x14ac:dyDescent="0.25">
      <c r="A1843" s="748"/>
      <c r="B1843" s="764"/>
      <c r="C1843" s="817" t="s">
        <v>7044</v>
      </c>
      <c r="D1843" s="817"/>
      <c r="E1843" s="758" t="s">
        <v>7044</v>
      </c>
      <c r="F1843" s="817"/>
      <c r="G1843" s="818" t="s">
        <v>7044</v>
      </c>
      <c r="H1843" s="756"/>
      <c r="J1843" s="826"/>
    </row>
    <row r="1844" spans="1:10" s="1058" customFormat="1" x14ac:dyDescent="0.25">
      <c r="A1844" s="748"/>
      <c r="B1844" s="764"/>
      <c r="C1844" s="817" t="s">
        <v>7044</v>
      </c>
      <c r="D1844" s="817"/>
      <c r="E1844" s="758" t="s">
        <v>7044</v>
      </c>
      <c r="F1844" s="817"/>
      <c r="G1844" s="818" t="s">
        <v>7044</v>
      </c>
      <c r="H1844" s="756"/>
      <c r="J1844" s="826"/>
    </row>
    <row r="1845" spans="1:10" s="1058" customFormat="1" x14ac:dyDescent="0.25">
      <c r="A1845" s="748"/>
      <c r="B1845" s="764"/>
      <c r="C1845" s="817" t="s">
        <v>7044</v>
      </c>
      <c r="D1845" s="817"/>
      <c r="E1845" s="758" t="s">
        <v>7044</v>
      </c>
      <c r="F1845" s="817"/>
      <c r="G1845" s="818" t="s">
        <v>7044</v>
      </c>
      <c r="H1845" s="756"/>
      <c r="J1845" s="826"/>
    </row>
    <row r="1846" spans="1:10" s="1058" customFormat="1" x14ac:dyDescent="0.25">
      <c r="A1846" s="748"/>
      <c r="B1846" s="764"/>
      <c r="C1846" s="817" t="s">
        <v>7044</v>
      </c>
      <c r="D1846" s="817"/>
      <c r="E1846" s="758" t="s">
        <v>7044</v>
      </c>
      <c r="F1846" s="817"/>
      <c r="G1846" s="818" t="s">
        <v>7044</v>
      </c>
      <c r="H1846" s="756"/>
      <c r="J1846" s="826"/>
    </row>
    <row r="1847" spans="1:10" s="1058" customFormat="1" x14ac:dyDescent="0.25">
      <c r="A1847" s="748"/>
      <c r="B1847" s="764"/>
      <c r="C1847" s="765" t="s">
        <v>7044</v>
      </c>
      <c r="D1847" s="765"/>
      <c r="E1847" s="766" t="s">
        <v>7044</v>
      </c>
      <c r="F1847" s="817"/>
      <c r="G1847" s="818" t="s">
        <v>7044</v>
      </c>
      <c r="H1847" s="756"/>
      <c r="J1847" s="826"/>
    </row>
    <row r="1848" spans="1:10" s="1058" customFormat="1" ht="15.75" thickBot="1" x14ac:dyDescent="0.3">
      <c r="A1848" s="748"/>
      <c r="B1848" s="764"/>
      <c r="C1848" s="765" t="s">
        <v>7044</v>
      </c>
      <c r="D1848" s="765"/>
      <c r="E1848" s="766" t="s">
        <v>7044</v>
      </c>
      <c r="F1848" s="817"/>
      <c r="G1848" s="818" t="s">
        <v>7044</v>
      </c>
      <c r="H1848" s="756"/>
      <c r="J1848" s="826"/>
    </row>
    <row r="1849" spans="1:10" s="1058" customFormat="1" ht="15.75" thickBot="1" x14ac:dyDescent="0.3">
      <c r="A1849" s="748"/>
      <c r="B1849" s="767"/>
      <c r="C1849" s="769" t="s">
        <v>7044</v>
      </c>
      <c r="D1849" s="769"/>
      <c r="E1849" s="770" t="s">
        <v>7044</v>
      </c>
      <c r="F1849" s="768"/>
      <c r="G1849" s="818" t="s">
        <v>7044</v>
      </c>
      <c r="H1849" s="771">
        <f>SUM(G1836:G1849)</f>
        <v>31678.5</v>
      </c>
      <c r="J1849" s="826"/>
    </row>
    <row r="1850" spans="1:10" s="1058" customFormat="1" ht="15.75" thickBot="1" x14ac:dyDescent="0.3">
      <c r="A1850" s="748"/>
      <c r="B1850" s="772"/>
      <c r="C1850" s="772"/>
      <c r="D1850" s="772"/>
      <c r="E1850" s="774"/>
      <c r="F1850" s="773"/>
      <c r="G1850" s="775"/>
      <c r="H1850" s="776"/>
      <c r="J1850" s="826"/>
    </row>
    <row r="1851" spans="1:10" s="889" customFormat="1" ht="15.75" thickBot="1" x14ac:dyDescent="0.3">
      <c r="A1851" s="788"/>
      <c r="B1851" s="1184" t="s">
        <v>5410</v>
      </c>
      <c r="C1851" s="1185" t="s">
        <v>867</v>
      </c>
      <c r="D1851" s="1185" t="s">
        <v>6</v>
      </c>
      <c r="E1851" s="1186" t="s">
        <v>870</v>
      </c>
      <c r="F1851" s="1185" t="s">
        <v>5411</v>
      </c>
      <c r="G1851" s="1187" t="s">
        <v>868</v>
      </c>
      <c r="H1851" s="1189"/>
      <c r="J1851" s="826"/>
    </row>
    <row r="1852" spans="1:10" s="1058" customFormat="1" x14ac:dyDescent="0.25">
      <c r="A1852" s="748"/>
      <c r="B1852" s="777"/>
      <c r="C1852" s="819" t="s">
        <v>7044</v>
      </c>
      <c r="D1852" s="819"/>
      <c r="E1852" s="758" t="s">
        <v>7044</v>
      </c>
      <c r="F1852" s="819"/>
      <c r="G1852" s="818" t="s">
        <v>7044</v>
      </c>
      <c r="H1852" s="756"/>
      <c r="J1852" s="826"/>
    </row>
    <row r="1853" spans="1:10" s="1058" customFormat="1" x14ac:dyDescent="0.25">
      <c r="A1853" s="748"/>
      <c r="B1853" s="778"/>
      <c r="C1853" s="817" t="s">
        <v>7044</v>
      </c>
      <c r="D1853" s="817"/>
      <c r="E1853" s="761" t="s">
        <v>7044</v>
      </c>
      <c r="F1853" s="817"/>
      <c r="G1853" s="818" t="s">
        <v>7044</v>
      </c>
      <c r="H1853" s="756"/>
      <c r="J1853" s="826"/>
    </row>
    <row r="1854" spans="1:10" s="1058" customFormat="1" x14ac:dyDescent="0.25">
      <c r="A1854" s="748"/>
      <c r="B1854" s="778"/>
      <c r="C1854" s="817" t="s">
        <v>7044</v>
      </c>
      <c r="D1854" s="817"/>
      <c r="E1854" s="758" t="s">
        <v>7044</v>
      </c>
      <c r="F1854" s="817"/>
      <c r="G1854" s="818" t="s">
        <v>7044</v>
      </c>
      <c r="H1854" s="756"/>
      <c r="J1854" s="826"/>
    </row>
    <row r="1855" spans="1:10" s="1058" customFormat="1" ht="15.75" thickBot="1" x14ac:dyDescent="0.3">
      <c r="A1855" s="748"/>
      <c r="B1855" s="764"/>
      <c r="C1855" s="817" t="s">
        <v>7044</v>
      </c>
      <c r="D1855" s="817"/>
      <c r="E1855" s="758" t="s">
        <v>7044</v>
      </c>
      <c r="F1855" s="817"/>
      <c r="G1855" s="818" t="s">
        <v>7044</v>
      </c>
      <c r="H1855" s="756"/>
      <c r="J1855" s="826"/>
    </row>
    <row r="1856" spans="1:10" s="1058" customFormat="1" ht="15.75" thickBot="1" x14ac:dyDescent="0.3">
      <c r="A1856" s="748"/>
      <c r="B1856" s="767"/>
      <c r="C1856" s="769" t="s">
        <v>7044</v>
      </c>
      <c r="D1856" s="769"/>
      <c r="E1856" s="770" t="s">
        <v>7044</v>
      </c>
      <c r="F1856" s="768"/>
      <c r="G1856" s="818" t="s">
        <v>7044</v>
      </c>
      <c r="H1856" s="771">
        <f>SUM(G1852:G1856)</f>
        <v>0</v>
      </c>
      <c r="J1856" s="826"/>
    </row>
    <row r="1857" spans="1:10" s="1058" customFormat="1" ht="15.75" thickBot="1" x14ac:dyDescent="0.3">
      <c r="A1857" s="748"/>
      <c r="B1857" s="772"/>
      <c r="C1857" s="772"/>
      <c r="D1857" s="772"/>
      <c r="E1857" s="774"/>
      <c r="F1857" s="779"/>
      <c r="G1857" s="780"/>
      <c r="H1857" s="776"/>
      <c r="J1857" s="826"/>
    </row>
    <row r="1858" spans="1:10" s="889" customFormat="1" ht="15.75" thickBot="1" x14ac:dyDescent="0.3">
      <c r="A1858" s="788"/>
      <c r="B1858" s="1184" t="s">
        <v>5412</v>
      </c>
      <c r="C1858" s="1185" t="s">
        <v>5420</v>
      </c>
      <c r="D1858" s="1185" t="s">
        <v>5421</v>
      </c>
      <c r="E1858" s="1186" t="s">
        <v>5413</v>
      </c>
      <c r="F1858" s="1185" t="s">
        <v>5405</v>
      </c>
      <c r="G1858" s="1187" t="s">
        <v>868</v>
      </c>
      <c r="H1858" s="1189"/>
      <c r="J1858" s="826"/>
    </row>
    <row r="1859" spans="1:10" s="1058" customFormat="1" x14ac:dyDescent="0.25">
      <c r="A1859" s="748"/>
      <c r="B1859" s="781" t="s">
        <v>5948</v>
      </c>
      <c r="C1859" s="782">
        <f>+VLOOKUP(B1859,'Mano de obra'!$A$5:$D$26,2,FALSE)</f>
        <v>57455</v>
      </c>
      <c r="D1859" s="782">
        <f>+VLOOKUP(B1859,'Mano de obra'!$A$5:$D$26,3,FALSE)</f>
        <v>35656</v>
      </c>
      <c r="E1859" s="761">
        <f>+VLOOKUP(B1859,'Mano de obra'!$A$5:$D$26,4,FALSE)</f>
        <v>93111</v>
      </c>
      <c r="F1859" s="819">
        <v>250</v>
      </c>
      <c r="G1859" s="818">
        <f>IF(B1859="","",E1859/F1859)</f>
        <v>372.44400000000002</v>
      </c>
      <c r="H1859" s="756"/>
      <c r="J1859" s="826"/>
    </row>
    <row r="1860" spans="1:10" s="1058" customFormat="1" x14ac:dyDescent="0.25">
      <c r="A1860" s="748"/>
      <c r="B1860" s="781" t="s">
        <v>5949</v>
      </c>
      <c r="C1860" s="782">
        <f>+VLOOKUP(B1860,'Mano de obra'!$A$5:$D$26,2,FALSE)</f>
        <v>44263.8</v>
      </c>
      <c r="D1860" s="782">
        <f>+VLOOKUP(B1860,'Mano de obra'!$A$5:$D$26,3,FALSE)</f>
        <v>27470</v>
      </c>
      <c r="E1860" s="761">
        <f>+VLOOKUP(B1860,'Mano de obra'!$A$5:$D$26,4,FALSE)</f>
        <v>71733.8</v>
      </c>
      <c r="F1860" s="819">
        <v>15</v>
      </c>
      <c r="G1860" s="818">
        <f>IF(B1860="","",E1860/F1860)</f>
        <v>4782.2533333333331</v>
      </c>
      <c r="H1860" s="756"/>
      <c r="J1860" s="826"/>
    </row>
    <row r="1861" spans="1:10" s="1058" customFormat="1" x14ac:dyDescent="0.25">
      <c r="A1861" s="748"/>
      <c r="B1861" s="764" t="s">
        <v>5635</v>
      </c>
      <c r="C1861" s="782">
        <f>+VLOOKUP(B1861,'Mano de obra'!$A$5:$D$26,2,FALSE)</f>
        <v>24591</v>
      </c>
      <c r="D1861" s="782">
        <f>+VLOOKUP(B1861,'Mano de obra'!$A$5:$D$26,3,FALSE)</f>
        <v>15261</v>
      </c>
      <c r="E1861" s="761">
        <f>+VLOOKUP(B1861,'Mano de obra'!$A$5:$D$26,4,FALSE)</f>
        <v>39852</v>
      </c>
      <c r="F1861" s="817">
        <v>15</v>
      </c>
      <c r="G1861" s="818">
        <f>IF(B1861="","",E1861/F1861)</f>
        <v>2656.8</v>
      </c>
      <c r="H1861" s="756"/>
      <c r="J1861" s="826"/>
    </row>
    <row r="1862" spans="1:10" s="1058" customFormat="1" x14ac:dyDescent="0.25">
      <c r="A1862" s="748"/>
      <c r="B1862" s="764"/>
      <c r="C1862" s="782" t="s">
        <v>7044</v>
      </c>
      <c r="D1862" s="766" t="s">
        <v>7044</v>
      </c>
      <c r="E1862" s="766" t="s">
        <v>7044</v>
      </c>
      <c r="F1862" s="817"/>
      <c r="G1862" s="783" t="s">
        <v>7044</v>
      </c>
      <c r="H1862" s="756"/>
      <c r="J1862" s="826"/>
    </row>
    <row r="1863" spans="1:10" s="1058" customFormat="1" ht="15.75" thickBot="1" x14ac:dyDescent="0.3">
      <c r="A1863" s="748"/>
      <c r="B1863" s="764"/>
      <c r="C1863" s="766" t="s">
        <v>7044</v>
      </c>
      <c r="D1863" s="766" t="s">
        <v>7044</v>
      </c>
      <c r="E1863" s="766" t="s">
        <v>7044</v>
      </c>
      <c r="F1863" s="817"/>
      <c r="G1863" s="783" t="s">
        <v>7044</v>
      </c>
      <c r="H1863" s="756"/>
      <c r="J1863" s="826"/>
    </row>
    <row r="1864" spans="1:10" s="1058" customFormat="1" ht="15.75" thickBot="1" x14ac:dyDescent="0.3">
      <c r="A1864" s="748"/>
      <c r="B1864" s="784"/>
      <c r="C1864" s="785" t="s">
        <v>7044</v>
      </c>
      <c r="D1864" s="785" t="s">
        <v>7044</v>
      </c>
      <c r="E1864" s="785" t="s">
        <v>7044</v>
      </c>
      <c r="F1864" s="786"/>
      <c r="G1864" s="787" t="s">
        <v>7044</v>
      </c>
      <c r="H1864" s="771">
        <f>SUM(G1859:G1864)</f>
        <v>7811.4973333333337</v>
      </c>
      <c r="J1864" s="826"/>
    </row>
    <row r="1865" spans="1:10" s="1058" customFormat="1" ht="15.75" thickBot="1" x14ac:dyDescent="0.3">
      <c r="A1865" s="748"/>
      <c r="B1865" s="748"/>
      <c r="C1865" s="748"/>
      <c r="D1865" s="748"/>
      <c r="E1865" s="748"/>
      <c r="F1865" s="749"/>
      <c r="G1865" s="748"/>
      <c r="H1865" s="748"/>
      <c r="J1865" s="826"/>
    </row>
    <row r="1866" spans="1:10" s="1058" customFormat="1" ht="15.75" thickBot="1" x14ac:dyDescent="0.3">
      <c r="A1866" s="748"/>
      <c r="B1866" s="748"/>
      <c r="C1866" s="748"/>
      <c r="D1866" s="748"/>
      <c r="E1866" s="788" t="s">
        <v>5415</v>
      </c>
      <c r="F1866" s="749"/>
      <c r="G1866" s="748"/>
      <c r="H1866" s="789">
        <f>ROUND(H1833+H1849+H1856+H1864,0)</f>
        <v>39490</v>
      </c>
      <c r="J1866" s="826"/>
    </row>
    <row r="1867" spans="1:10" s="1058" customFormat="1" x14ac:dyDescent="0.25">
      <c r="A1867" s="748"/>
      <c r="B1867" s="748"/>
      <c r="C1867" s="748"/>
      <c r="D1867" s="748"/>
      <c r="E1867" s="748"/>
      <c r="F1867" s="749"/>
      <c r="G1867" s="748"/>
      <c r="H1867" s="748"/>
      <c r="J1867" s="826"/>
    </row>
    <row r="1868" spans="1:10" x14ac:dyDescent="0.25">
      <c r="A1868" s="748"/>
      <c r="B1868" s="748"/>
      <c r="C1868" s="748"/>
      <c r="D1868" s="748"/>
      <c r="E1868" s="748"/>
      <c r="F1868" s="749"/>
      <c r="G1868" s="748"/>
      <c r="H1868" s="748"/>
    </row>
    <row r="1869" spans="1:10" x14ac:dyDescent="0.25">
      <c r="A1869" s="750" t="s">
        <v>3</v>
      </c>
      <c r="B1869" s="1390" t="str">
        <f>+VLOOKUP(C1869,ListaAPUs!$B:$E,4,FALSE)</f>
        <v>4.1.1</v>
      </c>
      <c r="C1869" s="2449" t="str">
        <f>+ListaAPUs!B71</f>
        <v>INSTALACIÓN ACCESORIOS PVC D=50MM A 100 MM</v>
      </c>
      <c r="D1869" s="2449"/>
      <c r="E1869" s="2449"/>
      <c r="F1869" s="750" t="s">
        <v>867</v>
      </c>
      <c r="G1869" s="750" t="s">
        <v>5424</v>
      </c>
      <c r="H1869" s="748"/>
    </row>
    <row r="1870" spans="1:10" x14ac:dyDescent="0.25">
      <c r="A1870" s="749"/>
      <c r="B1870" s="748"/>
      <c r="C1870" s="748"/>
      <c r="D1870" s="748"/>
      <c r="E1870" s="748"/>
      <c r="F1870" s="749"/>
      <c r="G1870" s="748"/>
      <c r="H1870" s="748"/>
    </row>
    <row r="1871" spans="1:10" x14ac:dyDescent="0.25">
      <c r="A1871" s="749"/>
      <c r="B1871" s="748"/>
      <c r="C1871" s="748"/>
      <c r="D1871" s="748"/>
      <c r="E1871" s="748"/>
      <c r="F1871" s="749"/>
      <c r="G1871" s="751"/>
      <c r="H1871" s="748"/>
    </row>
    <row r="1872" spans="1:10" ht="15.75" thickBot="1" x14ac:dyDescent="0.3">
      <c r="A1872" s="749"/>
      <c r="B1872" s="748"/>
      <c r="C1872" s="748"/>
      <c r="D1872" s="748"/>
      <c r="E1872" s="748"/>
      <c r="F1872" s="749"/>
      <c r="G1872" s="748"/>
      <c r="H1872" s="748"/>
    </row>
    <row r="1873" spans="1:8" ht="15.75" thickBot="1" x14ac:dyDescent="0.3">
      <c r="A1873" s="749"/>
      <c r="B1873" s="752" t="s">
        <v>5403</v>
      </c>
      <c r="C1873" s="753" t="s">
        <v>867</v>
      </c>
      <c r="D1873" s="753" t="s">
        <v>6</v>
      </c>
      <c r="E1873" s="754" t="s">
        <v>5404</v>
      </c>
      <c r="F1873" s="753" t="s">
        <v>5405</v>
      </c>
      <c r="G1873" s="755" t="s">
        <v>868</v>
      </c>
      <c r="H1873" s="756"/>
    </row>
    <row r="1874" spans="1:8" x14ac:dyDescent="0.25">
      <c r="A1874" s="749"/>
      <c r="B1874" s="757" t="s">
        <v>5455</v>
      </c>
      <c r="C1874" s="819" t="s">
        <v>7042</v>
      </c>
      <c r="D1874" s="819">
        <v>1</v>
      </c>
      <c r="E1874" s="758">
        <f>+H1912</f>
        <v>6283.4620000000004</v>
      </c>
      <c r="F1874" s="790">
        <v>0.1</v>
      </c>
      <c r="G1874" s="818">
        <f>+E1874*F1874</f>
        <v>628.34620000000007</v>
      </c>
      <c r="H1874" s="756"/>
    </row>
    <row r="1875" spans="1:8" x14ac:dyDescent="0.25">
      <c r="A1875" s="749"/>
      <c r="B1875" s="760"/>
      <c r="C1875" s="817" t="s">
        <v>7044</v>
      </c>
      <c r="D1875" s="817"/>
      <c r="E1875" s="761" t="s">
        <v>7044</v>
      </c>
      <c r="F1875" s="817"/>
      <c r="G1875" s="818" t="s">
        <v>7044</v>
      </c>
      <c r="H1875" s="756"/>
    </row>
    <row r="1876" spans="1:8" x14ac:dyDescent="0.25">
      <c r="A1876" s="749"/>
      <c r="B1876" s="763"/>
      <c r="C1876" s="817" t="s">
        <v>7044</v>
      </c>
      <c r="D1876" s="817"/>
      <c r="E1876" s="761" t="s">
        <v>7044</v>
      </c>
      <c r="F1876" s="817"/>
      <c r="G1876" s="818" t="s">
        <v>7044</v>
      </c>
      <c r="H1876" s="756"/>
    </row>
    <row r="1877" spans="1:8" x14ac:dyDescent="0.25">
      <c r="A1877" s="749"/>
      <c r="B1877" s="764"/>
      <c r="C1877" s="817" t="s">
        <v>7044</v>
      </c>
      <c r="D1877" s="765"/>
      <c r="E1877" s="766" t="s">
        <v>7044</v>
      </c>
      <c r="F1877" s="817"/>
      <c r="G1877" s="818" t="s">
        <v>7044</v>
      </c>
      <c r="H1877" s="756"/>
    </row>
    <row r="1878" spans="1:8" x14ac:dyDescent="0.25">
      <c r="A1878" s="749"/>
      <c r="B1878" s="764"/>
      <c r="C1878" s="817" t="s">
        <v>7044</v>
      </c>
      <c r="D1878" s="765"/>
      <c r="E1878" s="766" t="s">
        <v>7044</v>
      </c>
      <c r="F1878" s="817"/>
      <c r="G1878" s="818" t="s">
        <v>7044</v>
      </c>
      <c r="H1878" s="756"/>
    </row>
    <row r="1879" spans="1:8" x14ac:dyDescent="0.25">
      <c r="A1879" s="749"/>
      <c r="B1879" s="764"/>
      <c r="C1879" s="817" t="s">
        <v>7044</v>
      </c>
      <c r="D1879" s="765"/>
      <c r="E1879" s="766" t="s">
        <v>7044</v>
      </c>
      <c r="F1879" s="817"/>
      <c r="G1879" s="818" t="s">
        <v>7044</v>
      </c>
      <c r="H1879" s="756"/>
    </row>
    <row r="1880" spans="1:8" ht="15.75" thickBot="1" x14ac:dyDescent="0.3">
      <c r="A1880" s="749"/>
      <c r="B1880" s="764"/>
      <c r="C1880" s="817" t="s">
        <v>7044</v>
      </c>
      <c r="D1880" s="765"/>
      <c r="E1880" s="766" t="s">
        <v>7044</v>
      </c>
      <c r="F1880" s="817"/>
      <c r="G1880" s="818" t="s">
        <v>7044</v>
      </c>
      <c r="H1880" s="756"/>
    </row>
    <row r="1881" spans="1:8" ht="15.75" thickBot="1" x14ac:dyDescent="0.3">
      <c r="A1881" s="749"/>
      <c r="B1881" s="767"/>
      <c r="C1881" s="768" t="s">
        <v>7044</v>
      </c>
      <c r="D1881" s="769"/>
      <c r="E1881" s="770" t="s">
        <v>7044</v>
      </c>
      <c r="F1881" s="768"/>
      <c r="G1881" s="818" t="s">
        <v>7044</v>
      </c>
      <c r="H1881" s="771">
        <f>+G1874</f>
        <v>628.34620000000007</v>
      </c>
    </row>
    <row r="1882" spans="1:8" ht="15.75" thickBot="1" x14ac:dyDescent="0.3">
      <c r="A1882" s="749"/>
      <c r="B1882" s="772"/>
      <c r="C1882" s="773"/>
      <c r="D1882" s="772"/>
      <c r="E1882" s="774"/>
      <c r="F1882" s="773"/>
      <c r="G1882" s="775"/>
      <c r="H1882" s="776"/>
    </row>
    <row r="1883" spans="1:8" ht="15.75" thickBot="1" x14ac:dyDescent="0.3">
      <c r="A1883" s="748"/>
      <c r="B1883" s="752" t="s">
        <v>5408</v>
      </c>
      <c r="C1883" s="753" t="s">
        <v>867</v>
      </c>
      <c r="D1883" s="753" t="s">
        <v>6</v>
      </c>
      <c r="E1883" s="754" t="s">
        <v>870</v>
      </c>
      <c r="F1883" s="753" t="s">
        <v>7040</v>
      </c>
      <c r="G1883" s="755" t="s">
        <v>868</v>
      </c>
      <c r="H1883" s="756"/>
    </row>
    <row r="1884" spans="1:8" ht="25.5" x14ac:dyDescent="0.25">
      <c r="A1884" s="748"/>
      <c r="B1884" s="777" t="s">
        <v>7041</v>
      </c>
      <c r="C1884" s="819" t="s">
        <v>5486</v>
      </c>
      <c r="D1884" s="819">
        <v>6.2500000000000003E-3</v>
      </c>
      <c r="E1884" s="975">
        <f>+VLOOKUP(B1884,Insumos!$A$2:$C$331,3,FALSE)</f>
        <v>14775.6</v>
      </c>
      <c r="F1884" s="819">
        <v>1.05</v>
      </c>
      <c r="G1884" s="818">
        <f>+D1884*F1884*E1884</f>
        <v>96.964875000000006</v>
      </c>
      <c r="H1884" s="756"/>
    </row>
    <row r="1885" spans="1:8" x14ac:dyDescent="0.25">
      <c r="A1885" s="748"/>
      <c r="B1885" s="778"/>
      <c r="C1885" s="817" t="s">
        <v>7044</v>
      </c>
      <c r="D1885" s="817"/>
      <c r="E1885" s="761" t="s">
        <v>7044</v>
      </c>
      <c r="F1885" s="819"/>
      <c r="G1885" s="818" t="s">
        <v>7044</v>
      </c>
      <c r="H1885" s="756"/>
    </row>
    <row r="1886" spans="1:8" x14ac:dyDescent="0.25">
      <c r="A1886" s="748"/>
      <c r="B1886" s="778"/>
      <c r="C1886" s="817" t="s">
        <v>7044</v>
      </c>
      <c r="D1886" s="817"/>
      <c r="E1886" s="761" t="s">
        <v>7044</v>
      </c>
      <c r="F1886" s="819"/>
      <c r="G1886" s="818" t="s">
        <v>7044</v>
      </c>
      <c r="H1886" s="756"/>
    </row>
    <row r="1887" spans="1:8" x14ac:dyDescent="0.25">
      <c r="A1887" s="748"/>
      <c r="B1887" s="764"/>
      <c r="C1887" s="817" t="s">
        <v>7044</v>
      </c>
      <c r="D1887" s="817"/>
      <c r="E1887" s="758" t="s">
        <v>7044</v>
      </c>
      <c r="F1887" s="817"/>
      <c r="G1887" s="818" t="s">
        <v>7044</v>
      </c>
      <c r="H1887" s="756"/>
    </row>
    <row r="1888" spans="1:8" x14ac:dyDescent="0.25">
      <c r="A1888" s="748"/>
      <c r="B1888" s="764"/>
      <c r="C1888" s="817" t="s">
        <v>7044</v>
      </c>
      <c r="D1888" s="817"/>
      <c r="E1888" s="758" t="s">
        <v>7044</v>
      </c>
      <c r="F1888" s="817"/>
      <c r="G1888" s="818" t="s">
        <v>7044</v>
      </c>
      <c r="H1888" s="756"/>
    </row>
    <row r="1889" spans="1:8" x14ac:dyDescent="0.25">
      <c r="A1889" s="748"/>
      <c r="B1889" s="764"/>
      <c r="C1889" s="817" t="s">
        <v>7044</v>
      </c>
      <c r="D1889" s="817"/>
      <c r="E1889" s="758" t="s">
        <v>7044</v>
      </c>
      <c r="F1889" s="817"/>
      <c r="G1889" s="818" t="s">
        <v>7044</v>
      </c>
      <c r="H1889" s="756"/>
    </row>
    <row r="1890" spans="1:8" x14ac:dyDescent="0.25">
      <c r="A1890" s="748"/>
      <c r="B1890" s="764"/>
      <c r="C1890" s="817" t="s">
        <v>7044</v>
      </c>
      <c r="D1890" s="817"/>
      <c r="E1890" s="758" t="s">
        <v>7044</v>
      </c>
      <c r="F1890" s="817"/>
      <c r="G1890" s="818" t="s">
        <v>7044</v>
      </c>
      <c r="H1890" s="756"/>
    </row>
    <row r="1891" spans="1:8" x14ac:dyDescent="0.25">
      <c r="A1891" s="748"/>
      <c r="B1891" s="764"/>
      <c r="C1891" s="817" t="s">
        <v>7044</v>
      </c>
      <c r="D1891" s="817"/>
      <c r="E1891" s="758" t="s">
        <v>7044</v>
      </c>
      <c r="F1891" s="817"/>
      <c r="G1891" s="818" t="s">
        <v>7044</v>
      </c>
      <c r="H1891" s="756"/>
    </row>
    <row r="1892" spans="1:8" x14ac:dyDescent="0.25">
      <c r="A1892" s="748"/>
      <c r="B1892" s="764"/>
      <c r="C1892" s="817" t="s">
        <v>7044</v>
      </c>
      <c r="D1892" s="817"/>
      <c r="E1892" s="758" t="s">
        <v>7044</v>
      </c>
      <c r="F1892" s="817"/>
      <c r="G1892" s="818" t="s">
        <v>7044</v>
      </c>
      <c r="H1892" s="756"/>
    </row>
    <row r="1893" spans="1:8" x14ac:dyDescent="0.25">
      <c r="A1893" s="748"/>
      <c r="B1893" s="764"/>
      <c r="C1893" s="817" t="s">
        <v>7044</v>
      </c>
      <c r="D1893" s="817"/>
      <c r="E1893" s="758" t="s">
        <v>7044</v>
      </c>
      <c r="F1893" s="817"/>
      <c r="G1893" s="818" t="s">
        <v>7044</v>
      </c>
      <c r="H1893" s="756"/>
    </row>
    <row r="1894" spans="1:8" x14ac:dyDescent="0.25">
      <c r="A1894" s="748"/>
      <c r="B1894" s="764"/>
      <c r="C1894" s="817" t="s">
        <v>7044</v>
      </c>
      <c r="D1894" s="817"/>
      <c r="E1894" s="758" t="s">
        <v>7044</v>
      </c>
      <c r="F1894" s="817"/>
      <c r="G1894" s="818" t="s">
        <v>7044</v>
      </c>
      <c r="H1894" s="756"/>
    </row>
    <row r="1895" spans="1:8" x14ac:dyDescent="0.25">
      <c r="A1895" s="748"/>
      <c r="B1895" s="764"/>
      <c r="C1895" s="765" t="s">
        <v>7044</v>
      </c>
      <c r="D1895" s="765"/>
      <c r="E1895" s="766" t="s">
        <v>7044</v>
      </c>
      <c r="F1895" s="817"/>
      <c r="G1895" s="818" t="s">
        <v>7044</v>
      </c>
      <c r="H1895" s="756"/>
    </row>
    <row r="1896" spans="1:8" ht="15.75" thickBot="1" x14ac:dyDescent="0.3">
      <c r="A1896" s="748"/>
      <c r="B1896" s="764"/>
      <c r="C1896" s="765" t="s">
        <v>7044</v>
      </c>
      <c r="D1896" s="765"/>
      <c r="E1896" s="766" t="s">
        <v>7044</v>
      </c>
      <c r="F1896" s="817"/>
      <c r="G1896" s="818" t="s">
        <v>7044</v>
      </c>
      <c r="H1896" s="756"/>
    </row>
    <row r="1897" spans="1:8" ht="15.75" thickBot="1" x14ac:dyDescent="0.3">
      <c r="A1897" s="748"/>
      <c r="B1897" s="767"/>
      <c r="C1897" s="769" t="s">
        <v>7044</v>
      </c>
      <c r="D1897" s="769"/>
      <c r="E1897" s="770" t="s">
        <v>7044</v>
      </c>
      <c r="F1897" s="768"/>
      <c r="G1897" s="818" t="s">
        <v>7044</v>
      </c>
      <c r="H1897" s="771">
        <f>+SUM(G1884:G1897)</f>
        <v>96.964875000000006</v>
      </c>
    </row>
    <row r="1898" spans="1:8" ht="15.75" thickBot="1" x14ac:dyDescent="0.3">
      <c r="A1898" s="748"/>
      <c r="B1898" s="772"/>
      <c r="C1898" s="772"/>
      <c r="D1898" s="772"/>
      <c r="E1898" s="774"/>
      <c r="F1898" s="773"/>
      <c r="G1898" s="775"/>
      <c r="H1898" s="776"/>
    </row>
    <row r="1899" spans="1:8" ht="15.75" thickBot="1" x14ac:dyDescent="0.3">
      <c r="A1899" s="748"/>
      <c r="B1899" s="752" t="s">
        <v>5410</v>
      </c>
      <c r="C1899" s="753" t="s">
        <v>867</v>
      </c>
      <c r="D1899" s="753" t="s">
        <v>6</v>
      </c>
      <c r="E1899" s="754" t="s">
        <v>870</v>
      </c>
      <c r="F1899" s="753" t="s">
        <v>5411</v>
      </c>
      <c r="G1899" s="755" t="s">
        <v>868</v>
      </c>
      <c r="H1899" s="756"/>
    </row>
    <row r="1900" spans="1:8" x14ac:dyDescent="0.25">
      <c r="A1900" s="748"/>
      <c r="B1900" s="777"/>
      <c r="C1900" s="819" t="s">
        <v>7044</v>
      </c>
      <c r="D1900" s="819"/>
      <c r="E1900" s="758" t="s">
        <v>7044</v>
      </c>
      <c r="F1900" s="819"/>
      <c r="G1900" s="818" t="s">
        <v>7044</v>
      </c>
      <c r="H1900" s="756"/>
    </row>
    <row r="1901" spans="1:8" x14ac:dyDescent="0.25">
      <c r="A1901" s="748"/>
      <c r="B1901" s="778"/>
      <c r="C1901" s="817" t="s">
        <v>7044</v>
      </c>
      <c r="D1901" s="817"/>
      <c r="E1901" s="761" t="s">
        <v>7044</v>
      </c>
      <c r="F1901" s="817"/>
      <c r="G1901" s="818" t="s">
        <v>7044</v>
      </c>
      <c r="H1901" s="756"/>
    </row>
    <row r="1902" spans="1:8" x14ac:dyDescent="0.25">
      <c r="A1902" s="748"/>
      <c r="B1902" s="778"/>
      <c r="C1902" s="817" t="s">
        <v>7044</v>
      </c>
      <c r="D1902" s="817"/>
      <c r="E1902" s="758" t="s">
        <v>7044</v>
      </c>
      <c r="F1902" s="817"/>
      <c r="G1902" s="818" t="s">
        <v>7044</v>
      </c>
      <c r="H1902" s="756"/>
    </row>
    <row r="1903" spans="1:8" ht="15.75" thickBot="1" x14ac:dyDescent="0.3">
      <c r="A1903" s="748"/>
      <c r="B1903" s="764"/>
      <c r="C1903" s="817" t="s">
        <v>7044</v>
      </c>
      <c r="D1903" s="817"/>
      <c r="E1903" s="758" t="s">
        <v>7044</v>
      </c>
      <c r="F1903" s="817"/>
      <c r="G1903" s="818" t="s">
        <v>7044</v>
      </c>
      <c r="H1903" s="756"/>
    </row>
    <row r="1904" spans="1:8" ht="15.75" thickBot="1" x14ac:dyDescent="0.3">
      <c r="A1904" s="748"/>
      <c r="B1904" s="767"/>
      <c r="C1904" s="769" t="s">
        <v>7044</v>
      </c>
      <c r="D1904" s="769"/>
      <c r="E1904" s="770" t="s">
        <v>7044</v>
      </c>
      <c r="F1904" s="768"/>
      <c r="G1904" s="818" t="s">
        <v>7044</v>
      </c>
      <c r="H1904" s="771">
        <v>0</v>
      </c>
    </row>
    <row r="1905" spans="1:10" ht="15.75" thickBot="1" x14ac:dyDescent="0.3">
      <c r="A1905" s="748"/>
      <c r="B1905" s="772"/>
      <c r="C1905" s="772"/>
      <c r="D1905" s="772"/>
      <c r="E1905" s="774"/>
      <c r="F1905" s="779"/>
      <c r="G1905" s="780"/>
      <c r="H1905" s="776"/>
    </row>
    <row r="1906" spans="1:10" ht="15.75" thickBot="1" x14ac:dyDescent="0.3">
      <c r="A1906" s="748"/>
      <c r="B1906" s="752" t="s">
        <v>5412</v>
      </c>
      <c r="C1906" s="753" t="s">
        <v>5420</v>
      </c>
      <c r="D1906" s="753" t="s">
        <v>5421</v>
      </c>
      <c r="E1906" s="754" t="s">
        <v>5413</v>
      </c>
      <c r="F1906" s="753" t="s">
        <v>5405</v>
      </c>
      <c r="G1906" s="755" t="s">
        <v>868</v>
      </c>
      <c r="H1906" s="756"/>
    </row>
    <row r="1907" spans="1:10" x14ac:dyDescent="0.25">
      <c r="A1907" s="748"/>
      <c r="B1907" s="781" t="s">
        <v>6523</v>
      </c>
      <c r="C1907" s="345">
        <f>+VLOOKUP($B1907,'Mano de obra'!$A$5:$D$26,2,FALSE)</f>
        <v>57454</v>
      </c>
      <c r="D1907" s="345">
        <f>+VLOOKUP($B1907,'Mano de obra'!$A$5:$D$26,3,FALSE)</f>
        <v>35656</v>
      </c>
      <c r="E1907" s="345">
        <f>+VLOOKUP($B1907,'Mano de obra'!$A$5:$D$26,4,FALSE)</f>
        <v>93110</v>
      </c>
      <c r="F1907" s="819">
        <v>1000</v>
      </c>
      <c r="G1907" s="818">
        <f>+E1907/F1907</f>
        <v>93.11</v>
      </c>
      <c r="H1907" s="756"/>
    </row>
    <row r="1908" spans="1:10" x14ac:dyDescent="0.25">
      <c r="A1908" s="748"/>
      <c r="B1908" s="781" t="s">
        <v>6524</v>
      </c>
      <c r="C1908" s="345">
        <f>+VLOOKUP($B1908,'Mano de obra'!$A$5:$D$26,2,FALSE)</f>
        <v>44263.8</v>
      </c>
      <c r="D1908" s="345">
        <f>+VLOOKUP($B1908,'Mano de obra'!$A$5:$D$26,3,FALSE)</f>
        <v>27470</v>
      </c>
      <c r="E1908" s="345">
        <f>+VLOOKUP($B1908,'Mano de obra'!$A$5:$D$26,4,FALSE)</f>
        <v>71733.8</v>
      </c>
      <c r="F1908" s="819">
        <v>25</v>
      </c>
      <c r="G1908" s="818">
        <f>+E1908/F1908</f>
        <v>2869.3520000000003</v>
      </c>
      <c r="H1908" s="756"/>
    </row>
    <row r="1909" spans="1:10" x14ac:dyDescent="0.25">
      <c r="A1909" s="748"/>
      <c r="B1909" s="764" t="s">
        <v>6525</v>
      </c>
      <c r="C1909" s="345">
        <f>+VLOOKUP($B1909,'Mano de obra'!$A$5:$D$26,2,FALSE)</f>
        <v>24591</v>
      </c>
      <c r="D1909" s="345">
        <f>+VLOOKUP($B1909,'Mano de obra'!$A$5:$D$26,3,FALSE)</f>
        <v>15261</v>
      </c>
      <c r="E1909" s="345">
        <f>+VLOOKUP($B1909,'Mano de obra'!$A$5:$D$26,4,FALSE)</f>
        <v>39852</v>
      </c>
      <c r="F1909" s="817">
        <v>12</v>
      </c>
      <c r="G1909" s="818">
        <f>+E1909/F1909</f>
        <v>3321</v>
      </c>
      <c r="H1909" s="756"/>
    </row>
    <row r="1910" spans="1:10" x14ac:dyDescent="0.25">
      <c r="A1910" s="748"/>
      <c r="B1910" s="764"/>
      <c r="C1910" s="782" t="s">
        <v>7044</v>
      </c>
      <c r="D1910" s="765" t="s">
        <v>7044</v>
      </c>
      <c r="E1910" s="766" t="s">
        <v>7044</v>
      </c>
      <c r="F1910" s="817"/>
      <c r="G1910" s="783" t="s">
        <v>7044</v>
      </c>
      <c r="H1910" s="756"/>
    </row>
    <row r="1911" spans="1:10" ht="15.75" thickBot="1" x14ac:dyDescent="0.3">
      <c r="A1911" s="748"/>
      <c r="B1911" s="764"/>
      <c r="C1911" s="766" t="s">
        <v>7044</v>
      </c>
      <c r="D1911" s="765" t="s">
        <v>7044</v>
      </c>
      <c r="E1911" s="766" t="s">
        <v>7044</v>
      </c>
      <c r="F1911" s="817"/>
      <c r="G1911" s="783" t="s">
        <v>7044</v>
      </c>
      <c r="H1911" s="756"/>
    </row>
    <row r="1912" spans="1:10" ht="15.75" thickBot="1" x14ac:dyDescent="0.3">
      <c r="A1912" s="748"/>
      <c r="B1912" s="784"/>
      <c r="C1912" s="785" t="s">
        <v>7044</v>
      </c>
      <c r="D1912" s="964" t="s">
        <v>7044</v>
      </c>
      <c r="E1912" s="785" t="s">
        <v>7044</v>
      </c>
      <c r="F1912" s="786"/>
      <c r="G1912" s="787" t="s">
        <v>7044</v>
      </c>
      <c r="H1912" s="771">
        <f>+SUM(G1907:G1912)</f>
        <v>6283.4620000000004</v>
      </c>
    </row>
    <row r="1913" spans="1:10" ht="15.75" thickBot="1" x14ac:dyDescent="0.3">
      <c r="A1913" s="748"/>
      <c r="B1913" s="748"/>
      <c r="C1913" s="748"/>
      <c r="D1913" s="748"/>
      <c r="E1913" s="748"/>
      <c r="F1913" s="749"/>
      <c r="G1913" s="748"/>
      <c r="H1913" s="748"/>
    </row>
    <row r="1914" spans="1:10" ht="15.75" thickBot="1" x14ac:dyDescent="0.3">
      <c r="A1914" s="133" t="s">
        <v>6744</v>
      </c>
      <c r="B1914" s="748"/>
      <c r="C1914" s="748"/>
      <c r="D1914" s="748"/>
      <c r="E1914" s="788" t="s">
        <v>5415</v>
      </c>
      <c r="F1914" s="749"/>
      <c r="G1914" s="748"/>
      <c r="H1914" s="789">
        <f>+SUM(H1912+H1904+H1897+H1881)</f>
        <v>7008.7730750000001</v>
      </c>
    </row>
    <row r="1915" spans="1:10" x14ac:dyDescent="0.25">
      <c r="A1915" s="748"/>
      <c r="B1915" s="748"/>
      <c r="C1915" s="748"/>
      <c r="D1915" s="748"/>
      <c r="E1915" s="748"/>
      <c r="F1915" s="749"/>
      <c r="G1915" s="748"/>
      <c r="H1915" s="748"/>
    </row>
    <row r="1916" spans="1:10" s="1058" customFormat="1" x14ac:dyDescent="0.25">
      <c r="A1916" s="749"/>
      <c r="B1916" s="748"/>
      <c r="C1916" s="748"/>
      <c r="D1916" s="748"/>
      <c r="E1916" s="748"/>
      <c r="F1916" s="749"/>
      <c r="G1916" s="748"/>
      <c r="H1916" s="748"/>
      <c r="J1916" s="826"/>
    </row>
    <row r="1917" spans="1:10" s="1058" customFormat="1" x14ac:dyDescent="0.25">
      <c r="A1917" s="750" t="s">
        <v>3</v>
      </c>
      <c r="B1917" s="1390" t="str">
        <f>+VLOOKUP(C1917,ListaAPUs!$B:$E,4,FALSE)</f>
        <v>4.1.2</v>
      </c>
      <c r="C1917" s="2449" t="str">
        <f>+ListaAPUs!B72</f>
        <v>INSTALACIÓN ACCESORIOS PVC D=150 MM A 200 MM</v>
      </c>
      <c r="D1917" s="2449" t="str">
        <f>+ListaAPUs!B72</f>
        <v>INSTALACIÓN ACCESORIOS PVC D=150 MM A 200 MM</v>
      </c>
      <c r="E1917" s="2449"/>
      <c r="F1917" s="750" t="s">
        <v>867</v>
      </c>
      <c r="G1917" s="750" t="s">
        <v>5424</v>
      </c>
      <c r="H1917" s="748"/>
      <c r="J1917" s="826"/>
    </row>
    <row r="1918" spans="1:10" s="1058" customFormat="1" x14ac:dyDescent="0.25">
      <c r="A1918" s="749"/>
      <c r="B1918" s="748"/>
      <c r="C1918" s="748"/>
      <c r="D1918" s="748"/>
      <c r="E1918" s="748"/>
      <c r="F1918" s="749"/>
      <c r="G1918" s="748"/>
      <c r="H1918" s="748"/>
      <c r="J1918" s="826"/>
    </row>
    <row r="1919" spans="1:10" s="1058" customFormat="1" x14ac:dyDescent="0.25">
      <c r="A1919" s="749"/>
      <c r="B1919" s="748"/>
      <c r="C1919" s="748"/>
      <c r="D1919" s="748"/>
      <c r="E1919" s="748"/>
      <c r="F1919" s="749"/>
      <c r="G1919" s="751"/>
      <c r="H1919" s="748"/>
      <c r="J1919" s="826"/>
    </row>
    <row r="1920" spans="1:10" s="1058" customFormat="1" ht="15.75" thickBot="1" x14ac:dyDescent="0.3">
      <c r="A1920" s="749"/>
      <c r="B1920" s="748"/>
      <c r="C1920" s="748"/>
      <c r="D1920" s="748"/>
      <c r="E1920" s="748"/>
      <c r="F1920" s="749"/>
      <c r="G1920" s="748"/>
      <c r="H1920" s="748"/>
      <c r="J1920" s="826"/>
    </row>
    <row r="1921" spans="1:10" s="1058" customFormat="1" ht="15.75" thickBot="1" x14ac:dyDescent="0.3">
      <c r="A1921" s="749"/>
      <c r="B1921" s="752" t="s">
        <v>5403</v>
      </c>
      <c r="C1921" s="753" t="s">
        <v>867</v>
      </c>
      <c r="D1921" s="753" t="s">
        <v>6</v>
      </c>
      <c r="E1921" s="754" t="s">
        <v>5404</v>
      </c>
      <c r="F1921" s="753" t="s">
        <v>5405</v>
      </c>
      <c r="G1921" s="755" t="s">
        <v>868</v>
      </c>
      <c r="H1921" s="756"/>
      <c r="J1921" s="826"/>
    </row>
    <row r="1922" spans="1:10" s="1058" customFormat="1" x14ac:dyDescent="0.25">
      <c r="A1922" s="749"/>
      <c r="B1922" s="757" t="s">
        <v>5455</v>
      </c>
      <c r="C1922" s="819" t="s">
        <v>7042</v>
      </c>
      <c r="D1922" s="819">
        <v>1</v>
      </c>
      <c r="E1922" s="758">
        <f>+H1960</f>
        <v>9557.9724999999999</v>
      </c>
      <c r="F1922" s="790">
        <v>0.1</v>
      </c>
      <c r="G1922" s="818">
        <f>+F1922*E1922</f>
        <v>955.79725000000008</v>
      </c>
      <c r="H1922" s="756"/>
      <c r="J1922" s="826"/>
    </row>
    <row r="1923" spans="1:10" s="1058" customFormat="1" x14ac:dyDescent="0.25">
      <c r="A1923" s="749"/>
      <c r="B1923" s="760"/>
      <c r="C1923" s="817" t="s">
        <v>7044</v>
      </c>
      <c r="D1923" s="817"/>
      <c r="E1923" s="761" t="s">
        <v>7044</v>
      </c>
      <c r="F1923" s="817"/>
      <c r="G1923" s="818" t="s">
        <v>7044</v>
      </c>
      <c r="H1923" s="756"/>
      <c r="J1923" s="826"/>
    </row>
    <row r="1924" spans="1:10" s="1058" customFormat="1" x14ac:dyDescent="0.25">
      <c r="A1924" s="749"/>
      <c r="B1924" s="763"/>
      <c r="C1924" s="817" t="s">
        <v>7044</v>
      </c>
      <c r="D1924" s="817"/>
      <c r="E1924" s="761" t="s">
        <v>7044</v>
      </c>
      <c r="F1924" s="817"/>
      <c r="G1924" s="818" t="s">
        <v>7044</v>
      </c>
      <c r="H1924" s="756"/>
      <c r="J1924" s="826"/>
    </row>
    <row r="1925" spans="1:10" s="1058" customFormat="1" x14ac:dyDescent="0.25">
      <c r="A1925" s="749"/>
      <c r="B1925" s="764"/>
      <c r="C1925" s="817" t="s">
        <v>7044</v>
      </c>
      <c r="D1925" s="765"/>
      <c r="E1925" s="766" t="s">
        <v>7044</v>
      </c>
      <c r="F1925" s="817"/>
      <c r="G1925" s="818" t="s">
        <v>7044</v>
      </c>
      <c r="H1925" s="756"/>
      <c r="J1925" s="826"/>
    </row>
    <row r="1926" spans="1:10" s="1058" customFormat="1" x14ac:dyDescent="0.25">
      <c r="A1926" s="749"/>
      <c r="B1926" s="764"/>
      <c r="C1926" s="817" t="s">
        <v>7044</v>
      </c>
      <c r="D1926" s="765"/>
      <c r="E1926" s="766" t="s">
        <v>7044</v>
      </c>
      <c r="F1926" s="817"/>
      <c r="G1926" s="818" t="s">
        <v>7044</v>
      </c>
      <c r="H1926" s="756"/>
      <c r="J1926" s="826"/>
    </row>
    <row r="1927" spans="1:10" s="1058" customFormat="1" x14ac:dyDescent="0.25">
      <c r="A1927" s="749"/>
      <c r="B1927" s="764"/>
      <c r="C1927" s="817" t="s">
        <v>7044</v>
      </c>
      <c r="D1927" s="765"/>
      <c r="E1927" s="766" t="s">
        <v>7044</v>
      </c>
      <c r="F1927" s="817"/>
      <c r="G1927" s="818" t="s">
        <v>7044</v>
      </c>
      <c r="H1927" s="756"/>
      <c r="J1927" s="826"/>
    </row>
    <row r="1928" spans="1:10" s="1058" customFormat="1" ht="15.75" thickBot="1" x14ac:dyDescent="0.3">
      <c r="A1928" s="749"/>
      <c r="B1928" s="764"/>
      <c r="C1928" s="817" t="s">
        <v>7044</v>
      </c>
      <c r="D1928" s="765"/>
      <c r="E1928" s="766" t="s">
        <v>7044</v>
      </c>
      <c r="F1928" s="817"/>
      <c r="G1928" s="818" t="s">
        <v>7044</v>
      </c>
      <c r="H1928" s="756"/>
      <c r="J1928" s="826"/>
    </row>
    <row r="1929" spans="1:10" s="1058" customFormat="1" ht="15.75" thickBot="1" x14ac:dyDescent="0.3">
      <c r="A1929" s="749"/>
      <c r="B1929" s="767"/>
      <c r="C1929" s="768" t="s">
        <v>7044</v>
      </c>
      <c r="D1929" s="769"/>
      <c r="E1929" s="770" t="s">
        <v>7044</v>
      </c>
      <c r="F1929" s="768"/>
      <c r="G1929" s="818" t="s">
        <v>7044</v>
      </c>
      <c r="H1929" s="771">
        <f>+SUM(G1922:G1929)</f>
        <v>955.79725000000008</v>
      </c>
      <c r="J1929" s="826"/>
    </row>
    <row r="1930" spans="1:10" s="1058" customFormat="1" ht="15.75" thickBot="1" x14ac:dyDescent="0.3">
      <c r="A1930" s="749"/>
      <c r="B1930" s="772"/>
      <c r="C1930" s="773"/>
      <c r="D1930" s="772"/>
      <c r="E1930" s="774"/>
      <c r="F1930" s="773"/>
      <c r="G1930" s="775"/>
      <c r="H1930" s="776"/>
      <c r="J1930" s="826"/>
    </row>
    <row r="1931" spans="1:10" s="1058" customFormat="1" ht="15.75" thickBot="1" x14ac:dyDescent="0.3">
      <c r="A1931" s="748"/>
      <c r="B1931" s="752" t="s">
        <v>5408</v>
      </c>
      <c r="C1931" s="753" t="s">
        <v>867</v>
      </c>
      <c r="D1931" s="753" t="s">
        <v>6</v>
      </c>
      <c r="E1931" s="754" t="s">
        <v>870</v>
      </c>
      <c r="F1931" s="753" t="s">
        <v>7040</v>
      </c>
      <c r="G1931" s="755" t="s">
        <v>868</v>
      </c>
      <c r="H1931" s="756"/>
      <c r="J1931" s="826"/>
    </row>
    <row r="1932" spans="1:10" s="1058" customFormat="1" ht="25.5" x14ac:dyDescent="0.25">
      <c r="A1932" s="748"/>
      <c r="B1932" s="777" t="s">
        <v>7041</v>
      </c>
      <c r="C1932" s="819" t="s">
        <v>5486</v>
      </c>
      <c r="D1932" s="819">
        <v>2.5000000000000001E-2</v>
      </c>
      <c r="E1932" s="975">
        <f>+VLOOKUP(B1932,Insumos!$A$2:$C$331,3,FALSE)</f>
        <v>14775.6</v>
      </c>
      <c r="F1932" s="819">
        <v>1.05</v>
      </c>
      <c r="G1932" s="818">
        <f>+D1932*E1932*F1932</f>
        <v>387.85950000000008</v>
      </c>
      <c r="H1932" s="756"/>
      <c r="J1932" s="826"/>
    </row>
    <row r="1933" spans="1:10" s="1058" customFormat="1" x14ac:dyDescent="0.25">
      <c r="A1933" s="748"/>
      <c r="B1933" s="778"/>
      <c r="C1933" s="817" t="s">
        <v>7044</v>
      </c>
      <c r="D1933" s="817"/>
      <c r="E1933" s="761" t="s">
        <v>7044</v>
      </c>
      <c r="F1933" s="819"/>
      <c r="G1933" s="818" t="s">
        <v>7044</v>
      </c>
      <c r="H1933" s="756"/>
      <c r="J1933" s="826"/>
    </row>
    <row r="1934" spans="1:10" s="1058" customFormat="1" x14ac:dyDescent="0.25">
      <c r="A1934" s="748"/>
      <c r="B1934" s="778"/>
      <c r="C1934" s="817" t="s">
        <v>7044</v>
      </c>
      <c r="D1934" s="817"/>
      <c r="E1934" s="761" t="s">
        <v>7044</v>
      </c>
      <c r="F1934" s="819"/>
      <c r="G1934" s="818" t="s">
        <v>7044</v>
      </c>
      <c r="H1934" s="756"/>
      <c r="J1934" s="826"/>
    </row>
    <row r="1935" spans="1:10" s="1058" customFormat="1" x14ac:dyDescent="0.25">
      <c r="A1935" s="748"/>
      <c r="B1935" s="764"/>
      <c r="C1935" s="817" t="s">
        <v>7044</v>
      </c>
      <c r="D1935" s="817"/>
      <c r="E1935" s="758" t="s">
        <v>7044</v>
      </c>
      <c r="F1935" s="817"/>
      <c r="G1935" s="818" t="s">
        <v>7044</v>
      </c>
      <c r="H1935" s="756"/>
      <c r="J1935" s="826"/>
    </row>
    <row r="1936" spans="1:10" s="1058" customFormat="1" x14ac:dyDescent="0.25">
      <c r="A1936" s="748"/>
      <c r="B1936" s="764"/>
      <c r="C1936" s="817" t="s">
        <v>7044</v>
      </c>
      <c r="D1936" s="817"/>
      <c r="E1936" s="758" t="s">
        <v>7044</v>
      </c>
      <c r="F1936" s="817"/>
      <c r="G1936" s="818" t="s">
        <v>7044</v>
      </c>
      <c r="H1936" s="756"/>
      <c r="J1936" s="826"/>
    </row>
    <row r="1937" spans="1:10" s="1058" customFormat="1" x14ac:dyDescent="0.25">
      <c r="A1937" s="748"/>
      <c r="B1937" s="764"/>
      <c r="C1937" s="817" t="s">
        <v>7044</v>
      </c>
      <c r="D1937" s="817"/>
      <c r="E1937" s="758" t="s">
        <v>7044</v>
      </c>
      <c r="F1937" s="817"/>
      <c r="G1937" s="818" t="s">
        <v>7044</v>
      </c>
      <c r="H1937" s="756"/>
      <c r="J1937" s="826"/>
    </row>
    <row r="1938" spans="1:10" s="1058" customFormat="1" x14ac:dyDescent="0.25">
      <c r="A1938" s="748"/>
      <c r="B1938" s="764"/>
      <c r="C1938" s="817" t="s">
        <v>7044</v>
      </c>
      <c r="D1938" s="817"/>
      <c r="E1938" s="758" t="s">
        <v>7044</v>
      </c>
      <c r="F1938" s="817"/>
      <c r="G1938" s="818" t="s">
        <v>7044</v>
      </c>
      <c r="H1938" s="756"/>
      <c r="J1938" s="826"/>
    </row>
    <row r="1939" spans="1:10" s="1058" customFormat="1" x14ac:dyDescent="0.25">
      <c r="A1939" s="748"/>
      <c r="B1939" s="764"/>
      <c r="C1939" s="817" t="s">
        <v>7044</v>
      </c>
      <c r="D1939" s="817"/>
      <c r="E1939" s="758" t="s">
        <v>7044</v>
      </c>
      <c r="F1939" s="817"/>
      <c r="G1939" s="818" t="s">
        <v>7044</v>
      </c>
      <c r="H1939" s="756"/>
      <c r="J1939" s="826"/>
    </row>
    <row r="1940" spans="1:10" s="1058" customFormat="1" x14ac:dyDescent="0.25">
      <c r="A1940" s="748"/>
      <c r="B1940" s="764"/>
      <c r="C1940" s="817" t="s">
        <v>7044</v>
      </c>
      <c r="D1940" s="817"/>
      <c r="E1940" s="758" t="s">
        <v>7044</v>
      </c>
      <c r="F1940" s="817"/>
      <c r="G1940" s="818" t="s">
        <v>7044</v>
      </c>
      <c r="H1940" s="756"/>
      <c r="J1940" s="826"/>
    </row>
    <row r="1941" spans="1:10" s="1058" customFormat="1" x14ac:dyDescent="0.25">
      <c r="A1941" s="748"/>
      <c r="B1941" s="764"/>
      <c r="C1941" s="817" t="s">
        <v>7044</v>
      </c>
      <c r="D1941" s="817"/>
      <c r="E1941" s="758" t="s">
        <v>7044</v>
      </c>
      <c r="F1941" s="817"/>
      <c r="G1941" s="818" t="s">
        <v>7044</v>
      </c>
      <c r="H1941" s="756"/>
      <c r="J1941" s="826"/>
    </row>
    <row r="1942" spans="1:10" s="1058" customFormat="1" x14ac:dyDescent="0.25">
      <c r="A1942" s="748"/>
      <c r="B1942" s="764"/>
      <c r="C1942" s="817" t="s">
        <v>7044</v>
      </c>
      <c r="D1942" s="817"/>
      <c r="E1942" s="758" t="s">
        <v>7044</v>
      </c>
      <c r="F1942" s="817"/>
      <c r="G1942" s="818" t="s">
        <v>7044</v>
      </c>
      <c r="H1942" s="756"/>
      <c r="J1942" s="826"/>
    </row>
    <row r="1943" spans="1:10" s="1058" customFormat="1" x14ac:dyDescent="0.25">
      <c r="A1943" s="748"/>
      <c r="B1943" s="764"/>
      <c r="C1943" s="765" t="s">
        <v>7044</v>
      </c>
      <c r="D1943" s="765"/>
      <c r="E1943" s="766" t="s">
        <v>7044</v>
      </c>
      <c r="F1943" s="817"/>
      <c r="G1943" s="818" t="s">
        <v>7044</v>
      </c>
      <c r="H1943" s="756"/>
      <c r="J1943" s="826"/>
    </row>
    <row r="1944" spans="1:10" s="1058" customFormat="1" ht="15.75" thickBot="1" x14ac:dyDescent="0.3">
      <c r="A1944" s="748"/>
      <c r="B1944" s="764"/>
      <c r="C1944" s="765" t="s">
        <v>7044</v>
      </c>
      <c r="D1944" s="765"/>
      <c r="E1944" s="766" t="s">
        <v>7044</v>
      </c>
      <c r="F1944" s="817"/>
      <c r="G1944" s="818" t="s">
        <v>7044</v>
      </c>
      <c r="H1944" s="756"/>
      <c r="J1944" s="826"/>
    </row>
    <row r="1945" spans="1:10" s="1058" customFormat="1" ht="15.75" thickBot="1" x14ac:dyDescent="0.3">
      <c r="A1945" s="748"/>
      <c r="B1945" s="767"/>
      <c r="C1945" s="769" t="s">
        <v>7044</v>
      </c>
      <c r="D1945" s="769"/>
      <c r="E1945" s="770" t="s">
        <v>7044</v>
      </c>
      <c r="F1945" s="768"/>
      <c r="G1945" s="818" t="s">
        <v>7044</v>
      </c>
      <c r="H1945" s="771">
        <f>+SUM(G1932:G1945)</f>
        <v>387.85950000000008</v>
      </c>
      <c r="J1945" s="826"/>
    </row>
    <row r="1946" spans="1:10" s="1058" customFormat="1" ht="15.75" thickBot="1" x14ac:dyDescent="0.3">
      <c r="A1946" s="748"/>
      <c r="B1946" s="772"/>
      <c r="C1946" s="772"/>
      <c r="D1946" s="772"/>
      <c r="E1946" s="774"/>
      <c r="F1946" s="773"/>
      <c r="G1946" s="775"/>
      <c r="H1946" s="776"/>
      <c r="J1946" s="826"/>
    </row>
    <row r="1947" spans="1:10" s="1058" customFormat="1" ht="15.75" thickBot="1" x14ac:dyDescent="0.3">
      <c r="A1947" s="748"/>
      <c r="B1947" s="752" t="s">
        <v>5410</v>
      </c>
      <c r="C1947" s="753" t="s">
        <v>867</v>
      </c>
      <c r="D1947" s="753" t="s">
        <v>6</v>
      </c>
      <c r="E1947" s="754" t="s">
        <v>870</v>
      </c>
      <c r="F1947" s="753" t="s">
        <v>5411</v>
      </c>
      <c r="G1947" s="755" t="s">
        <v>868</v>
      </c>
      <c r="H1947" s="756"/>
      <c r="J1947" s="826"/>
    </row>
    <row r="1948" spans="1:10" s="1058" customFormat="1" x14ac:dyDescent="0.25">
      <c r="A1948" s="748"/>
      <c r="B1948" s="777"/>
      <c r="C1948" s="819" t="s">
        <v>7044</v>
      </c>
      <c r="D1948" s="819"/>
      <c r="E1948" s="758" t="s">
        <v>7044</v>
      </c>
      <c r="F1948" s="819"/>
      <c r="G1948" s="818" t="s">
        <v>7044</v>
      </c>
      <c r="H1948" s="756"/>
      <c r="J1948" s="826"/>
    </row>
    <row r="1949" spans="1:10" s="1058" customFormat="1" x14ac:dyDescent="0.25">
      <c r="A1949" s="748"/>
      <c r="B1949" s="778"/>
      <c r="C1949" s="817" t="s">
        <v>7044</v>
      </c>
      <c r="D1949" s="817"/>
      <c r="E1949" s="761" t="s">
        <v>7044</v>
      </c>
      <c r="F1949" s="817"/>
      <c r="G1949" s="818" t="s">
        <v>7044</v>
      </c>
      <c r="H1949" s="756"/>
      <c r="J1949" s="826"/>
    </row>
    <row r="1950" spans="1:10" s="1058" customFormat="1" x14ac:dyDescent="0.25">
      <c r="A1950" s="748"/>
      <c r="B1950" s="778"/>
      <c r="C1950" s="817" t="s">
        <v>7044</v>
      </c>
      <c r="D1950" s="817"/>
      <c r="E1950" s="758" t="s">
        <v>7044</v>
      </c>
      <c r="F1950" s="817"/>
      <c r="G1950" s="818" t="s">
        <v>7044</v>
      </c>
      <c r="H1950" s="756"/>
      <c r="J1950" s="826"/>
    </row>
    <row r="1951" spans="1:10" s="1058" customFormat="1" ht="15.75" thickBot="1" x14ac:dyDescent="0.3">
      <c r="A1951" s="748"/>
      <c r="B1951" s="764"/>
      <c r="C1951" s="817" t="s">
        <v>7044</v>
      </c>
      <c r="D1951" s="817"/>
      <c r="E1951" s="758" t="s">
        <v>7044</v>
      </c>
      <c r="F1951" s="817"/>
      <c r="G1951" s="818" t="s">
        <v>7044</v>
      </c>
      <c r="H1951" s="756"/>
      <c r="J1951" s="826"/>
    </row>
    <row r="1952" spans="1:10" s="1058" customFormat="1" ht="15.75" thickBot="1" x14ac:dyDescent="0.3">
      <c r="A1952" s="748"/>
      <c r="B1952" s="767"/>
      <c r="C1952" s="769" t="s">
        <v>7044</v>
      </c>
      <c r="D1952" s="769"/>
      <c r="E1952" s="770" t="s">
        <v>7044</v>
      </c>
      <c r="F1952" s="768"/>
      <c r="G1952" s="818" t="s">
        <v>7044</v>
      </c>
      <c r="H1952" s="771">
        <v>0</v>
      </c>
      <c r="J1952" s="826"/>
    </row>
    <row r="1953" spans="1:10" s="1058" customFormat="1" ht="15.75" thickBot="1" x14ac:dyDescent="0.3">
      <c r="A1953" s="748"/>
      <c r="B1953" s="772"/>
      <c r="C1953" s="772"/>
      <c r="D1953" s="772"/>
      <c r="E1953" s="774"/>
      <c r="F1953" s="779"/>
      <c r="G1953" s="780"/>
      <c r="H1953" s="776"/>
      <c r="J1953" s="826"/>
    </row>
    <row r="1954" spans="1:10" s="1058" customFormat="1" ht="15.75" thickBot="1" x14ac:dyDescent="0.3">
      <c r="A1954" s="748"/>
      <c r="B1954" s="752" t="s">
        <v>5412</v>
      </c>
      <c r="C1954" s="753" t="s">
        <v>5420</v>
      </c>
      <c r="D1954" s="753" t="s">
        <v>5421</v>
      </c>
      <c r="E1954" s="754" t="s">
        <v>5413</v>
      </c>
      <c r="F1954" s="753" t="s">
        <v>5405</v>
      </c>
      <c r="G1954" s="755" t="s">
        <v>868</v>
      </c>
      <c r="H1954" s="756"/>
      <c r="J1954" s="826"/>
    </row>
    <row r="1955" spans="1:10" s="1058" customFormat="1" x14ac:dyDescent="0.25">
      <c r="A1955" s="748"/>
      <c r="B1955" s="781" t="s">
        <v>6523</v>
      </c>
      <c r="C1955" s="345">
        <f>+VLOOKUP($B1955,'Mano de obra'!$A$5:$D$26,2,FALSE)</f>
        <v>57454</v>
      </c>
      <c r="D1955" s="345">
        <f>+VLOOKUP($B1955,'Mano de obra'!$A$5:$D$26,3,FALSE)</f>
        <v>35656</v>
      </c>
      <c r="E1955" s="345">
        <f>+VLOOKUP($B1955,'Mano de obra'!$A$5:$D$26,4,FALSE)</f>
        <v>93110</v>
      </c>
      <c r="F1955" s="819">
        <v>1000</v>
      </c>
      <c r="G1955" s="818">
        <f>+E1955/F1955</f>
        <v>93.11</v>
      </c>
      <c r="H1955" s="756"/>
      <c r="J1955" s="826"/>
    </row>
    <row r="1956" spans="1:10" s="1058" customFormat="1" x14ac:dyDescent="0.25">
      <c r="A1956" s="748"/>
      <c r="B1956" s="781" t="s">
        <v>6524</v>
      </c>
      <c r="C1956" s="345">
        <f>+VLOOKUP($B1956,'Mano de obra'!$A$5:$D$26,2,FALSE)</f>
        <v>44263.8</v>
      </c>
      <c r="D1956" s="345">
        <f>+VLOOKUP($B1956,'Mano de obra'!$A$5:$D$26,3,FALSE)</f>
        <v>27470</v>
      </c>
      <c r="E1956" s="345">
        <f>+VLOOKUP($B1956,'Mano de obra'!$A$5:$D$26,4,FALSE)</f>
        <v>71733.8</v>
      </c>
      <c r="F1956" s="819">
        <v>16</v>
      </c>
      <c r="G1956" s="818">
        <f>+E1956/F1956</f>
        <v>4483.3625000000002</v>
      </c>
      <c r="H1956" s="756"/>
      <c r="J1956" s="826"/>
    </row>
    <row r="1957" spans="1:10" s="1058" customFormat="1" x14ac:dyDescent="0.25">
      <c r="A1957" s="748"/>
      <c r="B1957" s="764" t="s">
        <v>6525</v>
      </c>
      <c r="C1957" s="345">
        <f>+VLOOKUP($B1957,'Mano de obra'!$A$5:$D$26,2,FALSE)</f>
        <v>24591</v>
      </c>
      <c r="D1957" s="345">
        <f>+VLOOKUP($B1957,'Mano de obra'!$A$5:$D$26,3,FALSE)</f>
        <v>15261</v>
      </c>
      <c r="E1957" s="345">
        <f>+VLOOKUP($B1957,'Mano de obra'!$A$5:$D$26,4,FALSE)</f>
        <v>39852</v>
      </c>
      <c r="F1957" s="817">
        <v>8</v>
      </c>
      <c r="G1957" s="818">
        <f>+E1957/F1957</f>
        <v>4981.5</v>
      </c>
      <c r="H1957" s="756"/>
      <c r="J1957" s="826"/>
    </row>
    <row r="1958" spans="1:10" s="1058" customFormat="1" x14ac:dyDescent="0.25">
      <c r="A1958" s="748"/>
      <c r="B1958" s="764"/>
      <c r="C1958" s="782" t="s">
        <v>7044</v>
      </c>
      <c r="D1958" s="765" t="s">
        <v>7044</v>
      </c>
      <c r="E1958" s="766" t="s">
        <v>7044</v>
      </c>
      <c r="F1958" s="817"/>
      <c r="G1958" s="783" t="s">
        <v>7044</v>
      </c>
      <c r="H1958" s="756"/>
      <c r="J1958" s="826"/>
    </row>
    <row r="1959" spans="1:10" s="1058" customFormat="1" ht="15.75" thickBot="1" x14ac:dyDescent="0.3">
      <c r="A1959" s="748"/>
      <c r="B1959" s="764"/>
      <c r="C1959" s="766" t="s">
        <v>7044</v>
      </c>
      <c r="D1959" s="765" t="s">
        <v>7044</v>
      </c>
      <c r="E1959" s="766" t="s">
        <v>7044</v>
      </c>
      <c r="F1959" s="817"/>
      <c r="G1959" s="783" t="s">
        <v>7044</v>
      </c>
      <c r="H1959" s="756"/>
      <c r="J1959" s="826"/>
    </row>
    <row r="1960" spans="1:10" s="1058" customFormat="1" ht="15.75" thickBot="1" x14ac:dyDescent="0.3">
      <c r="A1960" s="748"/>
      <c r="B1960" s="784"/>
      <c r="C1960" s="785" t="s">
        <v>7044</v>
      </c>
      <c r="D1960" s="964" t="s">
        <v>7044</v>
      </c>
      <c r="E1960" s="785" t="s">
        <v>7044</v>
      </c>
      <c r="F1960" s="786"/>
      <c r="G1960" s="787" t="s">
        <v>7044</v>
      </c>
      <c r="H1960" s="771">
        <f>+SUM(G1955:G1960)</f>
        <v>9557.9724999999999</v>
      </c>
      <c r="J1960" s="826"/>
    </row>
    <row r="1961" spans="1:10" s="1058" customFormat="1" ht="15.75" thickBot="1" x14ac:dyDescent="0.3">
      <c r="A1961" s="748"/>
      <c r="B1961" s="748"/>
      <c r="C1961" s="748"/>
      <c r="D1961" s="748"/>
      <c r="E1961" s="748"/>
      <c r="F1961" s="749"/>
      <c r="G1961" s="748"/>
      <c r="H1961" s="748"/>
      <c r="J1961" s="826"/>
    </row>
    <row r="1962" spans="1:10" s="1058" customFormat="1" ht="15.75" thickBot="1" x14ac:dyDescent="0.3">
      <c r="A1962" s="133" t="s">
        <v>6744</v>
      </c>
      <c r="B1962" s="748"/>
      <c r="C1962" s="748"/>
      <c r="D1962" s="748"/>
      <c r="E1962" s="788" t="s">
        <v>5415</v>
      </c>
      <c r="F1962" s="749"/>
      <c r="G1962" s="748"/>
      <c r="H1962" s="789">
        <f>+H1960+H1952+H1945+H1929</f>
        <v>10901.62925</v>
      </c>
      <c r="J1962" s="826"/>
    </row>
    <row r="1963" spans="1:10" s="1058" customFormat="1" x14ac:dyDescent="0.25">
      <c r="A1963" s="748"/>
      <c r="B1963" s="748"/>
      <c r="C1963" s="748"/>
      <c r="D1963" s="748"/>
      <c r="E1963" s="748"/>
      <c r="F1963" s="749"/>
      <c r="G1963" s="748"/>
      <c r="H1963" s="748"/>
      <c r="J1963" s="826"/>
    </row>
    <row r="1964" spans="1:10" s="1058" customFormat="1" x14ac:dyDescent="0.25">
      <c r="D1964" s="957"/>
      <c r="J1964" s="826">
        <f t="shared" ref="J1964:J2027" si="2">+B1964</f>
        <v>0</v>
      </c>
    </row>
    <row r="1965" spans="1:10" s="1058" customFormat="1" ht="24" customHeight="1" x14ac:dyDescent="0.25">
      <c r="A1965" s="673" t="s">
        <v>5482</v>
      </c>
      <c r="B1965" s="1390" t="str">
        <f>+VLOOKUP(C1965,ListaAPUs!$B:$E,4,FALSE)</f>
        <v>4.2.1</v>
      </c>
      <c r="C1965" s="2449" t="str">
        <f>+ListaAPUs!B75</f>
        <v>INSTALACIÓN ACCESORIOS EN HIERRO DUCTIL 100MM</v>
      </c>
      <c r="D1965" s="2449"/>
      <c r="E1965" s="2449"/>
      <c r="F1965" s="673" t="s">
        <v>867</v>
      </c>
      <c r="G1965" s="222" t="s">
        <v>5424</v>
      </c>
      <c r="H1965" s="200"/>
      <c r="J1965" s="826" t="str">
        <f t="shared" si="2"/>
        <v>4.2.1</v>
      </c>
    </row>
    <row r="1966" spans="1:10" s="1058" customFormat="1" x14ac:dyDescent="0.25">
      <c r="A1966" s="133"/>
      <c r="B1966" s="8"/>
      <c r="C1966" s="223"/>
      <c r="D1966" s="958"/>
      <c r="E1966" s="223"/>
      <c r="F1966" s="133"/>
      <c r="G1966" s="200"/>
      <c r="H1966" s="200"/>
      <c r="J1966" s="826">
        <f t="shared" si="2"/>
        <v>0</v>
      </c>
    </row>
    <row r="1967" spans="1:10" s="1058" customFormat="1" x14ac:dyDescent="0.25">
      <c r="A1967" s="133"/>
      <c r="B1967" s="8"/>
      <c r="C1967" s="8"/>
      <c r="D1967" s="529"/>
      <c r="E1967" s="8"/>
      <c r="F1967" s="8"/>
      <c r="G1967" s="8"/>
      <c r="H1967" s="200"/>
      <c r="J1967" s="826">
        <f t="shared" si="2"/>
        <v>0</v>
      </c>
    </row>
    <row r="1968" spans="1:10" s="1058" customFormat="1" ht="15.75" thickBot="1" x14ac:dyDescent="0.3">
      <c r="A1968" s="133"/>
      <c r="B1968" s="8"/>
      <c r="C1968" s="8"/>
      <c r="D1968" s="529"/>
      <c r="E1968" s="8"/>
      <c r="F1968" s="133"/>
      <c r="G1968" s="200"/>
      <c r="H1968" s="200"/>
      <c r="J1968" s="826">
        <f t="shared" si="2"/>
        <v>0</v>
      </c>
    </row>
    <row r="1969" spans="1:10" s="1058" customFormat="1" ht="15.75" thickBot="1" x14ac:dyDescent="0.3">
      <c r="A1969" s="133"/>
      <c r="B1969" s="224" t="s">
        <v>5403</v>
      </c>
      <c r="C1969" s="193" t="s">
        <v>867</v>
      </c>
      <c r="D1969" s="951" t="s">
        <v>6</v>
      </c>
      <c r="E1969" s="193" t="s">
        <v>5439</v>
      </c>
      <c r="F1969" s="193" t="s">
        <v>5405</v>
      </c>
      <c r="G1969" s="225" t="s">
        <v>868</v>
      </c>
      <c r="H1969" s="200"/>
      <c r="J1969" s="826" t="str">
        <f t="shared" si="2"/>
        <v>EQUIPO</v>
      </c>
    </row>
    <row r="1970" spans="1:10" s="1058" customFormat="1" ht="24.75" customHeight="1" x14ac:dyDescent="0.25">
      <c r="A1970" s="133"/>
      <c r="B1970" s="195" t="s">
        <v>5440</v>
      </c>
      <c r="C1970" s="226" t="s">
        <v>5402</v>
      </c>
      <c r="D1970" s="212">
        <v>1</v>
      </c>
      <c r="E1970" s="228">
        <f>+H2008</f>
        <v>17006</v>
      </c>
      <c r="F1970" s="226">
        <v>0.1</v>
      </c>
      <c r="G1970" s="229">
        <f>+E1970*F1970</f>
        <v>1700.6000000000001</v>
      </c>
      <c r="H1970" s="200"/>
      <c r="J1970" s="826" t="str">
        <f t="shared" si="2"/>
        <v>Herramienta menor</v>
      </c>
    </row>
    <row r="1971" spans="1:10" s="1058" customFormat="1" x14ac:dyDescent="0.25">
      <c r="A1971" s="133"/>
      <c r="B1971" s="195"/>
      <c r="C1971" s="226"/>
      <c r="D1971" s="212"/>
      <c r="E1971" s="228"/>
      <c r="F1971" s="226"/>
      <c r="G1971" s="229"/>
      <c r="H1971" s="200"/>
      <c r="J1971" s="826">
        <f t="shared" si="2"/>
        <v>0</v>
      </c>
    </row>
    <row r="1972" spans="1:10" s="1058" customFormat="1" x14ac:dyDescent="0.25">
      <c r="A1972" s="133"/>
      <c r="B1972" s="195"/>
      <c r="C1972" s="226"/>
      <c r="D1972" s="212"/>
      <c r="E1972" s="228"/>
      <c r="F1972" s="226"/>
      <c r="G1972" s="229"/>
      <c r="H1972" s="200"/>
      <c r="J1972" s="826">
        <f t="shared" si="2"/>
        <v>0</v>
      </c>
    </row>
    <row r="1973" spans="1:10" s="1058" customFormat="1" x14ac:dyDescent="0.25">
      <c r="A1973" s="133"/>
      <c r="B1973" s="195"/>
      <c r="C1973" s="226"/>
      <c r="D1973" s="212"/>
      <c r="E1973" s="171"/>
      <c r="F1973" s="226"/>
      <c r="G1973" s="231"/>
      <c r="H1973" s="200"/>
      <c r="J1973" s="826">
        <f t="shared" si="2"/>
        <v>0</v>
      </c>
    </row>
    <row r="1974" spans="1:10" s="1058" customFormat="1" x14ac:dyDescent="0.25">
      <c r="A1974" s="133"/>
      <c r="B1974" s="195"/>
      <c r="C1974" s="226"/>
      <c r="D1974" s="952"/>
      <c r="E1974" s="232"/>
      <c r="F1974" s="226"/>
      <c r="G1974" s="229"/>
      <c r="H1974" s="200"/>
      <c r="J1974" s="826">
        <f t="shared" si="2"/>
        <v>0</v>
      </c>
    </row>
    <row r="1975" spans="1:10" s="1058" customFormat="1" ht="15.75" thickBot="1" x14ac:dyDescent="0.3">
      <c r="A1975" s="133"/>
      <c r="B1975" s="195"/>
      <c r="C1975" s="226"/>
      <c r="D1975" s="952"/>
      <c r="E1975" s="232"/>
      <c r="F1975" s="226"/>
      <c r="G1975" s="229"/>
      <c r="H1975" s="200"/>
      <c r="J1975" s="826">
        <f t="shared" si="2"/>
        <v>0</v>
      </c>
    </row>
    <row r="1976" spans="1:10" s="1058" customFormat="1" ht="15.75" thickBot="1" x14ac:dyDescent="0.3">
      <c r="A1976" s="133"/>
      <c r="B1976" s="233"/>
      <c r="C1976" s="234"/>
      <c r="D1976" s="953"/>
      <c r="E1976" s="234"/>
      <c r="F1976" s="235"/>
      <c r="G1976" s="236"/>
      <c r="H1976" s="237">
        <f>+SUM(G1970:G1976)</f>
        <v>1700.6000000000001</v>
      </c>
      <c r="J1976" s="826">
        <f t="shared" si="2"/>
        <v>0</v>
      </c>
    </row>
    <row r="1977" spans="1:10" s="1058" customFormat="1" ht="15.75" thickBot="1" x14ac:dyDescent="0.3">
      <c r="A1977" s="133"/>
      <c r="B1977" s="238"/>
      <c r="C1977" s="238"/>
      <c r="D1977" s="954"/>
      <c r="E1977" s="238"/>
      <c r="F1977" s="239"/>
      <c r="G1977" s="240"/>
      <c r="H1977" s="241"/>
      <c r="J1977" s="826">
        <f t="shared" si="2"/>
        <v>0</v>
      </c>
    </row>
    <row r="1978" spans="1:10" s="1058" customFormat="1" ht="15.75" thickBot="1" x14ac:dyDescent="0.3">
      <c r="A1978" s="133"/>
      <c r="B1978" s="224" t="s">
        <v>5408</v>
      </c>
      <c r="C1978" s="193" t="s">
        <v>867</v>
      </c>
      <c r="D1978" s="951" t="s">
        <v>6</v>
      </c>
      <c r="E1978" s="193" t="s">
        <v>870</v>
      </c>
      <c r="F1978" s="193" t="s">
        <v>5409</v>
      </c>
      <c r="G1978" s="225" t="s">
        <v>868</v>
      </c>
      <c r="H1978" s="200"/>
      <c r="J1978" s="826" t="str">
        <f t="shared" si="2"/>
        <v>MATERIALES</v>
      </c>
    </row>
    <row r="1979" spans="1:10" s="1058" customFormat="1" x14ac:dyDescent="0.25">
      <c r="A1979" s="133"/>
      <c r="B1979" s="295"/>
      <c r="C1979" s="202"/>
      <c r="D1979" s="212"/>
      <c r="E1979" s="228"/>
      <c r="F1979" s="169"/>
      <c r="G1979" s="178"/>
      <c r="H1979" s="200"/>
      <c r="J1979" s="826">
        <f t="shared" si="2"/>
        <v>0</v>
      </c>
    </row>
    <row r="1980" spans="1:10" s="1058" customFormat="1" x14ac:dyDescent="0.25">
      <c r="A1980" s="133"/>
      <c r="B1980" s="450"/>
      <c r="C1980" s="202"/>
      <c r="D1980" s="211"/>
      <c r="E1980" s="228"/>
      <c r="F1980" s="169"/>
      <c r="G1980" s="178"/>
      <c r="H1980" s="200"/>
      <c r="J1980" s="826">
        <f t="shared" si="2"/>
        <v>0</v>
      </c>
    </row>
    <row r="1981" spans="1:10" s="1058" customFormat="1" x14ac:dyDescent="0.25">
      <c r="A1981" s="133"/>
      <c r="B1981" s="247"/>
      <c r="C1981" s="226"/>
      <c r="D1981" s="212"/>
      <c r="E1981" s="228"/>
      <c r="F1981" s="169"/>
      <c r="G1981" s="178"/>
      <c r="H1981" s="200"/>
      <c r="J1981" s="826">
        <f t="shared" si="2"/>
        <v>0</v>
      </c>
    </row>
    <row r="1982" spans="1:10" s="1058" customFormat="1" x14ac:dyDescent="0.25">
      <c r="A1982" s="133"/>
      <c r="B1982" s="194"/>
      <c r="C1982" s="226"/>
      <c r="D1982" s="212"/>
      <c r="E1982" s="228"/>
      <c r="F1982" s="169"/>
      <c r="G1982" s="178"/>
      <c r="H1982" s="200"/>
      <c r="J1982" s="826">
        <f t="shared" si="2"/>
        <v>0</v>
      </c>
    </row>
    <row r="1983" spans="1:10" s="1058" customFormat="1" x14ac:dyDescent="0.25">
      <c r="A1983" s="133"/>
      <c r="B1983" s="195"/>
      <c r="C1983" s="226"/>
      <c r="D1983" s="212"/>
      <c r="E1983" s="176"/>
      <c r="F1983" s="169"/>
      <c r="G1983" s="178"/>
      <c r="H1983" s="200"/>
      <c r="J1983" s="826">
        <f t="shared" si="2"/>
        <v>0</v>
      </c>
    </row>
    <row r="1984" spans="1:10" s="1058" customFormat="1" x14ac:dyDescent="0.25">
      <c r="A1984" s="133"/>
      <c r="B1984" s="194"/>
      <c r="C1984" s="202"/>
      <c r="D1984" s="211"/>
      <c r="E1984" s="176"/>
      <c r="F1984" s="169"/>
      <c r="G1984" s="178"/>
      <c r="H1984" s="200"/>
      <c r="J1984" s="826">
        <f t="shared" si="2"/>
        <v>0</v>
      </c>
    </row>
    <row r="1985" spans="1:10" s="1058" customFormat="1" x14ac:dyDescent="0.25">
      <c r="A1985" s="133"/>
      <c r="B1985" s="195"/>
      <c r="C1985" s="226"/>
      <c r="D1985" s="212"/>
      <c r="E1985" s="176"/>
      <c r="F1985" s="169"/>
      <c r="G1985" s="178"/>
      <c r="H1985" s="200"/>
      <c r="J1985" s="826">
        <f t="shared" si="2"/>
        <v>0</v>
      </c>
    </row>
    <row r="1986" spans="1:10" s="1058" customFormat="1" x14ac:dyDescent="0.25">
      <c r="A1986" s="133"/>
      <c r="B1986" s="195"/>
      <c r="C1986" s="226"/>
      <c r="D1986" s="212"/>
      <c r="E1986" s="176"/>
      <c r="F1986" s="169"/>
      <c r="G1986" s="178"/>
      <c r="H1986" s="200"/>
      <c r="J1986" s="826">
        <f t="shared" si="2"/>
        <v>0</v>
      </c>
    </row>
    <row r="1987" spans="1:10" s="1058" customFormat="1" x14ac:dyDescent="0.25">
      <c r="A1987" s="133"/>
      <c r="B1987" s="195"/>
      <c r="C1987" s="232"/>
      <c r="D1987" s="952"/>
      <c r="E1987" s="232"/>
      <c r="F1987" s="226"/>
      <c r="G1987" s="229"/>
      <c r="H1987" s="200"/>
      <c r="J1987" s="826">
        <f t="shared" si="2"/>
        <v>0</v>
      </c>
    </row>
    <row r="1988" spans="1:10" s="1058" customFormat="1" x14ac:dyDescent="0.25">
      <c r="A1988" s="133"/>
      <c r="B1988" s="195"/>
      <c r="C1988" s="232"/>
      <c r="D1988" s="952"/>
      <c r="E1988" s="232"/>
      <c r="F1988" s="226"/>
      <c r="G1988" s="229"/>
      <c r="H1988" s="200"/>
      <c r="J1988" s="826">
        <f t="shared" si="2"/>
        <v>0</v>
      </c>
    </row>
    <row r="1989" spans="1:10" s="1058" customFormat="1" x14ac:dyDescent="0.25">
      <c r="A1989" s="133"/>
      <c r="B1989" s="195"/>
      <c r="C1989" s="232"/>
      <c r="D1989" s="952"/>
      <c r="E1989" s="232"/>
      <c r="F1989" s="226"/>
      <c r="G1989" s="229"/>
      <c r="H1989" s="200"/>
      <c r="J1989" s="826">
        <f t="shared" si="2"/>
        <v>0</v>
      </c>
    </row>
    <row r="1990" spans="1:10" s="1058" customFormat="1" ht="15.75" thickBot="1" x14ac:dyDescent="0.3">
      <c r="A1990" s="133"/>
      <c r="B1990" s="195"/>
      <c r="C1990" s="232"/>
      <c r="D1990" s="952"/>
      <c r="E1990" s="232"/>
      <c r="F1990" s="226"/>
      <c r="G1990" s="229"/>
      <c r="H1990" s="200"/>
      <c r="J1990" s="826">
        <f t="shared" si="2"/>
        <v>0</v>
      </c>
    </row>
    <row r="1991" spans="1:10" s="1058" customFormat="1" ht="15.75" thickBot="1" x14ac:dyDescent="0.3">
      <c r="A1991" s="133"/>
      <c r="B1991" s="233"/>
      <c r="C1991" s="234"/>
      <c r="D1991" s="953"/>
      <c r="E1991" s="234"/>
      <c r="F1991" s="235"/>
      <c r="G1991" s="236"/>
      <c r="H1991" s="256">
        <f>+SUM(G1979:G1991)</f>
        <v>0</v>
      </c>
      <c r="J1991" s="826">
        <f t="shared" si="2"/>
        <v>0</v>
      </c>
    </row>
    <row r="1992" spans="1:10" s="1058" customFormat="1" ht="15.75" thickBot="1" x14ac:dyDescent="0.3">
      <c r="A1992" s="133"/>
      <c r="B1992" s="238"/>
      <c r="C1992" s="238"/>
      <c r="D1992" s="954"/>
      <c r="E1992" s="238"/>
      <c r="F1992" s="239"/>
      <c r="G1992" s="240"/>
      <c r="H1992" s="241"/>
      <c r="J1992" s="826">
        <f t="shared" si="2"/>
        <v>0</v>
      </c>
    </row>
    <row r="1993" spans="1:10" s="1058" customFormat="1" ht="15.75" thickBot="1" x14ac:dyDescent="0.3">
      <c r="A1993" s="133"/>
      <c r="B1993" s="224" t="s">
        <v>5410</v>
      </c>
      <c r="C1993" s="193" t="s">
        <v>867</v>
      </c>
      <c r="D1993" s="951" t="s">
        <v>6</v>
      </c>
      <c r="E1993" s="193" t="s">
        <v>870</v>
      </c>
      <c r="F1993" s="193" t="s">
        <v>5411</v>
      </c>
      <c r="G1993" s="225" t="s">
        <v>868</v>
      </c>
      <c r="H1993" s="200"/>
      <c r="J1993" s="826" t="str">
        <f t="shared" si="2"/>
        <v>TRANSPORTE MATERIAL</v>
      </c>
    </row>
    <row r="1994" spans="1:10" s="1058" customFormat="1" x14ac:dyDescent="0.25">
      <c r="A1994" s="133"/>
      <c r="B1994" s="245"/>
      <c r="C1994" s="202"/>
      <c r="D1994" s="211"/>
      <c r="E1994" s="175"/>
      <c r="F1994" s="202"/>
      <c r="G1994" s="203"/>
      <c r="H1994" s="246"/>
      <c r="J1994" s="826">
        <f t="shared" si="2"/>
        <v>0</v>
      </c>
    </row>
    <row r="1995" spans="1:10" s="1058" customFormat="1" x14ac:dyDescent="0.25">
      <c r="A1995" s="133"/>
      <c r="B1995" s="247"/>
      <c r="C1995" s="248"/>
      <c r="D1995" s="961"/>
      <c r="E1995" s="248"/>
      <c r="F1995" s="202"/>
      <c r="G1995" s="178"/>
      <c r="H1995" s="200"/>
      <c r="J1995" s="826">
        <f t="shared" si="2"/>
        <v>0</v>
      </c>
    </row>
    <row r="1996" spans="1:10" s="1058" customFormat="1" x14ac:dyDescent="0.25">
      <c r="A1996" s="133"/>
      <c r="B1996" s="247"/>
      <c r="C1996" s="232"/>
      <c r="D1996" s="952"/>
      <c r="E1996" s="232"/>
      <c r="F1996" s="226"/>
      <c r="G1996" s="229"/>
      <c r="H1996" s="200"/>
      <c r="J1996" s="826">
        <f t="shared" si="2"/>
        <v>0</v>
      </c>
    </row>
    <row r="1997" spans="1:10" s="1058" customFormat="1" x14ac:dyDescent="0.25">
      <c r="A1997" s="133"/>
      <c r="B1997" s="194"/>
      <c r="C1997" s="232"/>
      <c r="D1997" s="952"/>
      <c r="E1997" s="232"/>
      <c r="F1997" s="226"/>
      <c r="G1997" s="229"/>
      <c r="H1997" s="200"/>
      <c r="J1997" s="826">
        <f t="shared" si="2"/>
        <v>0</v>
      </c>
    </row>
    <row r="1998" spans="1:10" s="1058" customFormat="1" ht="15.75" thickBot="1" x14ac:dyDescent="0.3">
      <c r="A1998" s="133"/>
      <c r="B1998" s="195"/>
      <c r="C1998" s="232"/>
      <c r="D1998" s="952"/>
      <c r="E1998" s="232"/>
      <c r="F1998" s="226"/>
      <c r="G1998" s="229"/>
      <c r="H1998" s="200"/>
      <c r="J1998" s="826">
        <f t="shared" si="2"/>
        <v>0</v>
      </c>
    </row>
    <row r="1999" spans="1:10" s="1058" customFormat="1" ht="15.75" thickBot="1" x14ac:dyDescent="0.3">
      <c r="A1999" s="133"/>
      <c r="B1999" s="233"/>
      <c r="C1999" s="234"/>
      <c r="D1999" s="953"/>
      <c r="E1999" s="234"/>
      <c r="F1999" s="235"/>
      <c r="G1999" s="236"/>
      <c r="H1999" s="237">
        <f>+SUM(G1994:G1999)</f>
        <v>0</v>
      </c>
      <c r="J1999" s="826">
        <f t="shared" si="2"/>
        <v>0</v>
      </c>
    </row>
    <row r="2000" spans="1:10" s="1058" customFormat="1" ht="15.75" thickBot="1" x14ac:dyDescent="0.3">
      <c r="A2000" s="133"/>
      <c r="B2000" s="238"/>
      <c r="C2000" s="238"/>
      <c r="D2000" s="954"/>
      <c r="E2000" s="238"/>
      <c r="F2000" s="249"/>
      <c r="G2000" s="250"/>
      <c r="H2000" s="241"/>
      <c r="J2000" s="826">
        <f t="shared" si="2"/>
        <v>0</v>
      </c>
    </row>
    <row r="2001" spans="1:10" s="1058" customFormat="1" ht="15.75" thickBot="1" x14ac:dyDescent="0.3">
      <c r="A2001" s="133"/>
      <c r="B2001" s="224" t="s">
        <v>5412</v>
      </c>
      <c r="C2001" s="193" t="s">
        <v>5420</v>
      </c>
      <c r="D2001" s="951" t="s">
        <v>5421</v>
      </c>
      <c r="E2001" s="193" t="s">
        <v>5413</v>
      </c>
      <c r="F2001" s="193" t="s">
        <v>5405</v>
      </c>
      <c r="G2001" s="225" t="s">
        <v>868</v>
      </c>
      <c r="H2001" s="200"/>
      <c r="J2001" s="826" t="str">
        <f t="shared" si="2"/>
        <v>MANO DE OBRA</v>
      </c>
    </row>
    <row r="2002" spans="1:10" s="1058" customFormat="1" x14ac:dyDescent="0.25">
      <c r="A2002" s="133"/>
      <c r="B2002" s="194" t="s">
        <v>5948</v>
      </c>
      <c r="C2002" s="345">
        <f>+VLOOKUP($B2002,'Mano de obra'!$A$5:$D$26,2,FALSE)</f>
        <v>57455</v>
      </c>
      <c r="D2002" s="345">
        <f>+VLOOKUP($B2002,'Mano de obra'!$A$5:$D$26,3,FALSE)</f>
        <v>35656</v>
      </c>
      <c r="E2002" s="345">
        <f>+VLOOKUP($B2002,'Mano de obra'!$A$5:$D$26,4,FALSE)</f>
        <v>93111</v>
      </c>
      <c r="F2002" s="204">
        <v>50</v>
      </c>
      <c r="G2002" s="178">
        <f>+E2002/F2002</f>
        <v>1862.22</v>
      </c>
      <c r="H2002" s="200"/>
      <c r="J2002" s="826" t="str">
        <f t="shared" si="2"/>
        <v>Maestro</v>
      </c>
    </row>
    <row r="2003" spans="1:10" s="1058" customFormat="1" x14ac:dyDescent="0.25">
      <c r="A2003" s="133"/>
      <c r="B2003" s="194" t="s">
        <v>5949</v>
      </c>
      <c r="C2003" s="345">
        <f>+VLOOKUP($B2003,'Mano de obra'!$A$5:$D$26,2,FALSE)</f>
        <v>44263.8</v>
      </c>
      <c r="D2003" s="345">
        <f>+VLOOKUP($B2003,'Mano de obra'!$A$5:$D$26,3,FALSE)</f>
        <v>27470</v>
      </c>
      <c r="E2003" s="345">
        <f>+VLOOKUP($B2003,'Mano de obra'!$A$5:$D$26,4,FALSE)</f>
        <v>71733.8</v>
      </c>
      <c r="F2003" s="202">
        <v>10</v>
      </c>
      <c r="G2003" s="178">
        <f>+E2003/F2003</f>
        <v>7173.38</v>
      </c>
      <c r="H2003" s="200"/>
      <c r="J2003" s="826" t="str">
        <f t="shared" si="2"/>
        <v>Oficial</v>
      </c>
    </row>
    <row r="2004" spans="1:10" s="1058" customFormat="1" x14ac:dyDescent="0.25">
      <c r="A2004" s="133"/>
      <c r="B2004" s="195" t="s">
        <v>5635</v>
      </c>
      <c r="C2004" s="345">
        <f>+VLOOKUP($B2004,'Mano de obra'!$A$5:$D$26,2,FALSE)</f>
        <v>24591</v>
      </c>
      <c r="D2004" s="345">
        <f>+VLOOKUP($B2004,'Mano de obra'!$A$5:$D$26,3,FALSE)</f>
        <v>15261</v>
      </c>
      <c r="E2004" s="345">
        <f>+VLOOKUP($B2004,'Mano de obra'!$A$5:$D$26,4,FALSE)</f>
        <v>39852</v>
      </c>
      <c r="F2004" s="226">
        <v>5</v>
      </c>
      <c r="G2004" s="178">
        <f>+E2004/F2004</f>
        <v>7970.4</v>
      </c>
      <c r="H2004" s="200"/>
      <c r="J2004" s="826" t="str">
        <f t="shared" si="2"/>
        <v>Ayudante</v>
      </c>
    </row>
    <row r="2005" spans="1:10" s="1058" customFormat="1" x14ac:dyDescent="0.25">
      <c r="A2005" s="133"/>
      <c r="B2005" s="195"/>
      <c r="C2005" s="171"/>
      <c r="D2005" s="965"/>
      <c r="E2005" s="228"/>
      <c r="F2005" s="226"/>
      <c r="G2005" s="178"/>
      <c r="H2005" s="200"/>
      <c r="J2005" s="826">
        <f t="shared" si="2"/>
        <v>0</v>
      </c>
    </row>
    <row r="2006" spans="1:10" s="1058" customFormat="1" x14ac:dyDescent="0.25">
      <c r="A2006" s="133"/>
      <c r="B2006" s="195"/>
      <c r="C2006" s="232"/>
      <c r="D2006" s="952"/>
      <c r="E2006" s="232"/>
      <c r="F2006" s="226"/>
      <c r="G2006" s="229"/>
      <c r="H2006" s="200"/>
      <c r="J2006" s="826">
        <f t="shared" si="2"/>
        <v>0</v>
      </c>
    </row>
    <row r="2007" spans="1:10" s="1058" customFormat="1" ht="15.75" thickBot="1" x14ac:dyDescent="0.3">
      <c r="A2007" s="133"/>
      <c r="B2007" s="195"/>
      <c r="C2007" s="232"/>
      <c r="D2007" s="952"/>
      <c r="E2007" s="232"/>
      <c r="F2007" s="226"/>
      <c r="G2007" s="229"/>
      <c r="H2007" s="200"/>
      <c r="J2007" s="826">
        <f t="shared" si="2"/>
        <v>0</v>
      </c>
    </row>
    <row r="2008" spans="1:10" s="1058" customFormat="1" ht="15.75" thickBot="1" x14ac:dyDescent="0.3">
      <c r="A2008" s="133"/>
      <c r="B2008" s="251"/>
      <c r="C2008" s="252"/>
      <c r="D2008" s="956"/>
      <c r="E2008" s="252"/>
      <c r="F2008" s="253"/>
      <c r="G2008" s="254"/>
      <c r="H2008" s="256">
        <f>+SUM(G2002:G2008)</f>
        <v>17006</v>
      </c>
      <c r="J2008" s="826">
        <f t="shared" si="2"/>
        <v>0</v>
      </c>
    </row>
    <row r="2009" spans="1:10" s="1058" customFormat="1" ht="15.75" thickBot="1" x14ac:dyDescent="0.3">
      <c r="A2009" s="133"/>
      <c r="B2009" s="8"/>
      <c r="C2009" s="8"/>
      <c r="D2009" s="529"/>
      <c r="E2009" s="8"/>
      <c r="F2009" s="133"/>
      <c r="G2009" s="200"/>
      <c r="H2009" s="200"/>
      <c r="J2009" s="826">
        <f t="shared" si="2"/>
        <v>0</v>
      </c>
    </row>
    <row r="2010" spans="1:10" s="1058" customFormat="1" ht="15.75" thickBot="1" x14ac:dyDescent="0.3">
      <c r="A2010" s="133" t="s">
        <v>6744</v>
      </c>
      <c r="B2010" s="8"/>
      <c r="C2010" s="8"/>
      <c r="D2010" s="529"/>
      <c r="E2010" s="223" t="s">
        <v>5415</v>
      </c>
      <c r="F2010" s="223"/>
      <c r="G2010" s="200"/>
      <c r="H2010" s="256">
        <f>ROUND(+H2008+H1999+H1991+H1976,0)</f>
        <v>18707</v>
      </c>
      <c r="J2010" s="826">
        <f t="shared" si="2"/>
        <v>0</v>
      </c>
    </row>
    <row r="2011" spans="1:10" s="1058" customFormat="1" x14ac:dyDescent="0.25">
      <c r="D2011" s="957"/>
      <c r="J2011" s="826">
        <f t="shared" si="2"/>
        <v>0</v>
      </c>
    </row>
    <row r="2012" spans="1:10" s="1058" customFormat="1" x14ac:dyDescent="0.25">
      <c r="A2012" s="889"/>
      <c r="D2012" s="957"/>
      <c r="J2012" s="826">
        <f t="shared" si="2"/>
        <v>0</v>
      </c>
    </row>
    <row r="2013" spans="1:10" s="1058" customFormat="1" ht="27" customHeight="1" x14ac:dyDescent="0.25">
      <c r="A2013" s="673" t="s">
        <v>5482</v>
      </c>
      <c r="B2013" s="1390" t="str">
        <f>+VLOOKUP(C2013,ListaAPUs!$B:$E,4,FALSE)</f>
        <v>4.2.2</v>
      </c>
      <c r="C2013" s="2449" t="str">
        <f>+ListaAPUs!B76</f>
        <v>INSTALACIÓN ACCESORIOS EN HIERRO DÚCTIL 150MM</v>
      </c>
      <c r="D2013" s="2449"/>
      <c r="E2013" s="2449"/>
      <c r="F2013" s="673" t="s">
        <v>867</v>
      </c>
      <c r="G2013" s="342" t="s">
        <v>5424</v>
      </c>
      <c r="H2013" s="341"/>
      <c r="J2013" s="826" t="str">
        <f t="shared" si="2"/>
        <v>4.2.2</v>
      </c>
    </row>
    <row r="2014" spans="1:10" s="1058" customFormat="1" x14ac:dyDescent="0.25">
      <c r="A2014" s="895"/>
      <c r="B2014" s="896"/>
      <c r="C2014" s="897"/>
      <c r="D2014" s="968"/>
      <c r="E2014" s="897"/>
      <c r="F2014" s="976"/>
      <c r="G2014" s="895"/>
      <c r="H2014" s="904"/>
      <c r="J2014" s="826">
        <f t="shared" si="2"/>
        <v>0</v>
      </c>
    </row>
    <row r="2015" spans="1:10" s="1058" customFormat="1" x14ac:dyDescent="0.25">
      <c r="A2015" s="895"/>
      <c r="B2015" s="896"/>
      <c r="C2015" s="896"/>
      <c r="D2015" s="969"/>
      <c r="E2015" s="896"/>
      <c r="F2015" s="976"/>
      <c r="G2015" s="896"/>
      <c r="H2015" s="896"/>
      <c r="J2015" s="826">
        <f t="shared" si="2"/>
        <v>0</v>
      </c>
    </row>
    <row r="2016" spans="1:10" s="1058" customFormat="1" ht="15.75" thickBot="1" x14ac:dyDescent="0.3">
      <c r="A2016" s="895"/>
      <c r="B2016" s="896"/>
      <c r="C2016" s="896"/>
      <c r="D2016" s="969"/>
      <c r="E2016" s="896"/>
      <c r="F2016" s="976"/>
      <c r="G2016" s="895"/>
      <c r="H2016" s="904"/>
      <c r="J2016" s="826">
        <f t="shared" si="2"/>
        <v>0</v>
      </c>
    </row>
    <row r="2017" spans="1:10" s="1058" customFormat="1" ht="15.75" thickBot="1" x14ac:dyDescent="0.3">
      <c r="A2017" s="895"/>
      <c r="B2017" s="899" t="s">
        <v>5403</v>
      </c>
      <c r="C2017" s="900" t="s">
        <v>867</v>
      </c>
      <c r="D2017" s="970" t="s">
        <v>6</v>
      </c>
      <c r="E2017" s="977" t="s">
        <v>5404</v>
      </c>
      <c r="F2017" s="900" t="s">
        <v>5405</v>
      </c>
      <c r="G2017" s="978" t="s">
        <v>868</v>
      </c>
      <c r="H2017" s="904"/>
      <c r="J2017" s="826" t="str">
        <f t="shared" si="2"/>
        <v>EQUIPO</v>
      </c>
    </row>
    <row r="2018" spans="1:10" s="1058" customFormat="1" x14ac:dyDescent="0.25">
      <c r="A2018" s="895"/>
      <c r="B2018" s="444" t="s">
        <v>5455</v>
      </c>
      <c r="C2018" s="445" t="s">
        <v>7042</v>
      </c>
      <c r="D2018" s="688">
        <v>1</v>
      </c>
      <c r="E2018" s="975">
        <f>+H2056</f>
        <v>17005.98</v>
      </c>
      <c r="F2018" s="445">
        <v>0.1</v>
      </c>
      <c r="G2018" s="979">
        <f>+E2018*F2018</f>
        <v>1700.598</v>
      </c>
      <c r="H2018" s="904"/>
      <c r="J2018" s="826" t="str">
        <f t="shared" si="2"/>
        <v>HERRAMIENTA MENOR</v>
      </c>
    </row>
    <row r="2019" spans="1:10" s="1058" customFormat="1" x14ac:dyDescent="0.25">
      <c r="A2019" s="133"/>
      <c r="B2019" s="195"/>
      <c r="C2019" s="226"/>
      <c r="D2019" s="212"/>
      <c r="E2019" s="148"/>
      <c r="F2019" s="226"/>
      <c r="G2019" s="373"/>
      <c r="H2019" s="341"/>
      <c r="J2019" s="826">
        <f t="shared" si="2"/>
        <v>0</v>
      </c>
    </row>
    <row r="2020" spans="1:10" s="1058" customFormat="1" x14ac:dyDescent="0.25">
      <c r="A2020" s="133"/>
      <c r="B2020" s="195"/>
      <c r="C2020" s="226"/>
      <c r="D2020" s="212"/>
      <c r="E2020" s="148"/>
      <c r="F2020" s="226"/>
      <c r="G2020" s="344"/>
      <c r="H2020" s="341"/>
      <c r="J2020" s="826">
        <f t="shared" si="2"/>
        <v>0</v>
      </c>
    </row>
    <row r="2021" spans="1:10" s="1058" customFormat="1" x14ac:dyDescent="0.25">
      <c r="A2021" s="133"/>
      <c r="B2021" s="195"/>
      <c r="C2021" s="226"/>
      <c r="D2021" s="212"/>
      <c r="E2021" s="152"/>
      <c r="F2021" s="226"/>
      <c r="G2021" s="375"/>
      <c r="H2021" s="341"/>
      <c r="J2021" s="826">
        <f t="shared" si="2"/>
        <v>0</v>
      </c>
    </row>
    <row r="2022" spans="1:10" s="1058" customFormat="1" x14ac:dyDescent="0.25">
      <c r="A2022" s="133"/>
      <c r="B2022" s="195"/>
      <c r="C2022" s="226"/>
      <c r="D2022" s="952"/>
      <c r="E2022" s="152"/>
      <c r="F2022" s="226"/>
      <c r="G2022" s="344"/>
      <c r="H2022" s="341"/>
      <c r="J2022" s="826">
        <f t="shared" si="2"/>
        <v>0</v>
      </c>
    </row>
    <row r="2023" spans="1:10" s="1058" customFormat="1" ht="15.75" thickBot="1" x14ac:dyDescent="0.3">
      <c r="A2023" s="133"/>
      <c r="B2023" s="195"/>
      <c r="C2023" s="226"/>
      <c r="D2023" s="952"/>
      <c r="E2023" s="152"/>
      <c r="F2023" s="226"/>
      <c r="G2023" s="344"/>
      <c r="H2023" s="341"/>
      <c r="J2023" s="826">
        <f t="shared" si="2"/>
        <v>0</v>
      </c>
    </row>
    <row r="2024" spans="1:10" s="1058" customFormat="1" ht="15.75" thickBot="1" x14ac:dyDescent="0.3">
      <c r="A2024" s="133"/>
      <c r="B2024" s="233"/>
      <c r="C2024" s="234"/>
      <c r="D2024" s="953"/>
      <c r="E2024" s="159"/>
      <c r="F2024" s="235"/>
      <c r="G2024" s="347"/>
      <c r="H2024" s="348">
        <f>SUM(G2018:G2024)</f>
        <v>1700.598</v>
      </c>
      <c r="J2024" s="826">
        <f t="shared" si="2"/>
        <v>0</v>
      </c>
    </row>
    <row r="2025" spans="1:10" s="1058" customFormat="1" ht="15.75" thickBot="1" x14ac:dyDescent="0.3">
      <c r="A2025" s="133"/>
      <c r="B2025" s="238"/>
      <c r="C2025" s="238"/>
      <c r="D2025" s="954"/>
      <c r="E2025" s="162"/>
      <c r="F2025" s="239"/>
      <c r="G2025" s="349"/>
      <c r="H2025" s="350"/>
      <c r="J2025" s="826">
        <f t="shared" si="2"/>
        <v>0</v>
      </c>
    </row>
    <row r="2026" spans="1:10" s="1058" customFormat="1" ht="15.75" thickBot="1" x14ac:dyDescent="0.3">
      <c r="A2026" s="133"/>
      <c r="B2026" s="224" t="s">
        <v>5408</v>
      </c>
      <c r="C2026" s="193" t="s">
        <v>867</v>
      </c>
      <c r="D2026" s="951" t="s">
        <v>6</v>
      </c>
      <c r="E2026" s="144" t="s">
        <v>870</v>
      </c>
      <c r="F2026" s="193" t="s">
        <v>5409</v>
      </c>
      <c r="G2026" s="343" t="s">
        <v>868</v>
      </c>
      <c r="H2026" s="341"/>
      <c r="J2026" s="826" t="str">
        <f t="shared" si="2"/>
        <v>MATERIALES</v>
      </c>
    </row>
    <row r="2027" spans="1:10" s="1058" customFormat="1" x14ac:dyDescent="0.25">
      <c r="A2027" s="133"/>
      <c r="B2027" s="289"/>
      <c r="C2027" s="202"/>
      <c r="D2027" s="212"/>
      <c r="E2027" s="366"/>
      <c r="F2027" s="169"/>
      <c r="G2027" s="377"/>
      <c r="H2027" s="341"/>
      <c r="J2027" s="826">
        <f t="shared" si="2"/>
        <v>0</v>
      </c>
    </row>
    <row r="2028" spans="1:10" s="1058" customFormat="1" x14ac:dyDescent="0.25">
      <c r="A2028" s="133"/>
      <c r="B2028" s="247"/>
      <c r="C2028" s="202"/>
      <c r="D2028" s="211"/>
      <c r="E2028" s="366"/>
      <c r="F2028" s="169"/>
      <c r="G2028" s="377"/>
      <c r="H2028" s="341"/>
      <c r="J2028" s="826">
        <f t="shared" ref="J2028:J2090" si="3">+B2028</f>
        <v>0</v>
      </c>
    </row>
    <row r="2029" spans="1:10" s="1058" customFormat="1" x14ac:dyDescent="0.25">
      <c r="A2029" s="133"/>
      <c r="B2029" s="247"/>
      <c r="C2029" s="202"/>
      <c r="D2029" s="212"/>
      <c r="E2029" s="366"/>
      <c r="F2029" s="169"/>
      <c r="G2029" s="377"/>
      <c r="H2029" s="341"/>
      <c r="J2029" s="826">
        <f t="shared" si="3"/>
        <v>0</v>
      </c>
    </row>
    <row r="2030" spans="1:10" s="1058" customFormat="1" x14ac:dyDescent="0.25">
      <c r="A2030" s="133"/>
      <c r="B2030" s="194"/>
      <c r="C2030" s="226"/>
      <c r="D2030" s="212"/>
      <c r="E2030" s="366"/>
      <c r="F2030" s="169"/>
      <c r="G2030" s="377"/>
      <c r="H2030" s="341"/>
      <c r="J2030" s="826">
        <f t="shared" si="3"/>
        <v>0</v>
      </c>
    </row>
    <row r="2031" spans="1:10" s="1058" customFormat="1" x14ac:dyDescent="0.25">
      <c r="A2031" s="133"/>
      <c r="B2031" s="195"/>
      <c r="C2031" s="226"/>
      <c r="D2031" s="212"/>
      <c r="E2031" s="152"/>
      <c r="F2031" s="169"/>
      <c r="G2031" s="351"/>
      <c r="H2031" s="341"/>
      <c r="J2031" s="826">
        <f t="shared" si="3"/>
        <v>0</v>
      </c>
    </row>
    <row r="2032" spans="1:10" s="1058" customFormat="1" x14ac:dyDescent="0.25">
      <c r="A2032" s="133"/>
      <c r="B2032" s="194"/>
      <c r="C2032" s="202"/>
      <c r="D2032" s="211"/>
      <c r="E2032" s="366"/>
      <c r="F2032" s="169"/>
      <c r="G2032" s="351"/>
      <c r="H2032" s="341"/>
      <c r="J2032" s="826">
        <f t="shared" si="3"/>
        <v>0</v>
      </c>
    </row>
    <row r="2033" spans="1:10" s="1058" customFormat="1" x14ac:dyDescent="0.25">
      <c r="A2033" s="133"/>
      <c r="B2033" s="194"/>
      <c r="C2033" s="226"/>
      <c r="D2033" s="211"/>
      <c r="E2033" s="366"/>
      <c r="F2033" s="169"/>
      <c r="G2033" s="351"/>
      <c r="H2033" s="341"/>
      <c r="J2033" s="826">
        <f t="shared" si="3"/>
        <v>0</v>
      </c>
    </row>
    <row r="2034" spans="1:10" s="1058" customFormat="1" x14ac:dyDescent="0.25">
      <c r="A2034" s="133"/>
      <c r="B2034" s="194"/>
      <c r="C2034" s="226"/>
      <c r="D2034" s="211"/>
      <c r="E2034" s="366"/>
      <c r="F2034" s="169"/>
      <c r="G2034" s="351"/>
      <c r="H2034" s="341"/>
      <c r="J2034" s="826">
        <f t="shared" si="3"/>
        <v>0</v>
      </c>
    </row>
    <row r="2035" spans="1:10" s="1058" customFormat="1" x14ac:dyDescent="0.25">
      <c r="A2035" s="133"/>
      <c r="B2035" s="195"/>
      <c r="C2035" s="226"/>
      <c r="D2035" s="211"/>
      <c r="E2035" s="152"/>
      <c r="F2035" s="226"/>
      <c r="G2035" s="351"/>
      <c r="H2035" s="341"/>
      <c r="J2035" s="826">
        <f t="shared" si="3"/>
        <v>0</v>
      </c>
    </row>
    <row r="2036" spans="1:10" s="1058" customFormat="1" x14ac:dyDescent="0.25">
      <c r="A2036" s="133"/>
      <c r="B2036" s="195"/>
      <c r="C2036" s="226"/>
      <c r="D2036" s="211"/>
      <c r="E2036" s="152"/>
      <c r="F2036" s="169"/>
      <c r="G2036" s="351"/>
      <c r="H2036" s="341"/>
      <c r="J2036" s="826">
        <f t="shared" si="3"/>
        <v>0</v>
      </c>
    </row>
    <row r="2037" spans="1:10" s="1058" customFormat="1" x14ac:dyDescent="0.25">
      <c r="A2037" s="133"/>
      <c r="B2037" s="195"/>
      <c r="C2037" s="232"/>
      <c r="D2037" s="952"/>
      <c r="E2037" s="152"/>
      <c r="F2037" s="226"/>
      <c r="G2037" s="344"/>
      <c r="H2037" s="341"/>
      <c r="J2037" s="826">
        <f t="shared" si="3"/>
        <v>0</v>
      </c>
    </row>
    <row r="2038" spans="1:10" s="1058" customFormat="1" ht="15.75" thickBot="1" x14ac:dyDescent="0.3">
      <c r="A2038" s="133"/>
      <c r="B2038" s="195"/>
      <c r="C2038" s="232"/>
      <c r="D2038" s="952"/>
      <c r="E2038" s="152"/>
      <c r="F2038" s="226"/>
      <c r="G2038" s="344"/>
      <c r="H2038" s="341"/>
      <c r="J2038" s="826">
        <f t="shared" si="3"/>
        <v>0</v>
      </c>
    </row>
    <row r="2039" spans="1:10" s="1058" customFormat="1" ht="15.75" thickBot="1" x14ac:dyDescent="0.3">
      <c r="A2039" s="133"/>
      <c r="B2039" s="233"/>
      <c r="C2039" s="234"/>
      <c r="D2039" s="953"/>
      <c r="E2039" s="159"/>
      <c r="F2039" s="235"/>
      <c r="G2039" s="347"/>
      <c r="H2039" s="358">
        <f>SUM(G2027:G2039)</f>
        <v>0</v>
      </c>
      <c r="J2039" s="826">
        <f t="shared" si="3"/>
        <v>0</v>
      </c>
    </row>
    <row r="2040" spans="1:10" s="1058" customFormat="1" ht="15.75" thickBot="1" x14ac:dyDescent="0.3">
      <c r="A2040" s="133"/>
      <c r="B2040" s="238"/>
      <c r="C2040" s="238"/>
      <c r="D2040" s="954"/>
      <c r="E2040" s="162"/>
      <c r="F2040" s="239"/>
      <c r="G2040" s="349"/>
      <c r="H2040" s="350"/>
      <c r="J2040" s="826">
        <f t="shared" si="3"/>
        <v>0</v>
      </c>
    </row>
    <row r="2041" spans="1:10" s="1058" customFormat="1" ht="15.75" thickBot="1" x14ac:dyDescent="0.3">
      <c r="A2041" s="133"/>
      <c r="B2041" s="224" t="s">
        <v>5410</v>
      </c>
      <c r="C2041" s="193" t="s">
        <v>867</v>
      </c>
      <c r="D2041" s="951" t="s">
        <v>6</v>
      </c>
      <c r="E2041" s="193" t="s">
        <v>870</v>
      </c>
      <c r="F2041" s="193" t="s">
        <v>5411</v>
      </c>
      <c r="G2041" s="343" t="s">
        <v>868</v>
      </c>
      <c r="H2041" s="341"/>
      <c r="J2041" s="826" t="str">
        <f t="shared" si="3"/>
        <v>TRANSPORTE MATERIAL</v>
      </c>
    </row>
    <row r="2042" spans="1:10" s="1058" customFormat="1" x14ac:dyDescent="0.25">
      <c r="A2042" s="133"/>
      <c r="B2042" s="245"/>
      <c r="C2042" s="283"/>
      <c r="D2042" s="959"/>
      <c r="E2042" s="379"/>
      <c r="F2042" s="283"/>
      <c r="G2042" s="354"/>
      <c r="H2042" s="355"/>
      <c r="J2042" s="826">
        <f t="shared" si="3"/>
        <v>0</v>
      </c>
    </row>
    <row r="2043" spans="1:10" s="1058" customFormat="1" x14ac:dyDescent="0.25">
      <c r="A2043" s="133"/>
      <c r="B2043" s="247"/>
      <c r="C2043" s="286"/>
      <c r="D2043" s="960"/>
      <c r="E2043" s="380"/>
      <c r="F2043" s="286"/>
      <c r="G2043" s="351"/>
      <c r="H2043" s="341"/>
      <c r="J2043" s="826">
        <f t="shared" si="3"/>
        <v>0</v>
      </c>
    </row>
    <row r="2044" spans="1:10" s="1058" customFormat="1" x14ac:dyDescent="0.25">
      <c r="A2044" s="133"/>
      <c r="B2044" s="247"/>
      <c r="C2044" s="286"/>
      <c r="D2044" s="960"/>
      <c r="E2044" s="288"/>
      <c r="F2044" s="286"/>
      <c r="G2044" s="344"/>
      <c r="H2044" s="341"/>
      <c r="J2044" s="826">
        <f t="shared" si="3"/>
        <v>0</v>
      </c>
    </row>
    <row r="2045" spans="1:10" s="1058" customFormat="1" x14ac:dyDescent="0.25">
      <c r="A2045" s="133"/>
      <c r="B2045" s="194"/>
      <c r="C2045" s="248"/>
      <c r="D2045" s="961"/>
      <c r="E2045" s="248"/>
      <c r="F2045" s="202"/>
      <c r="G2045" s="344"/>
      <c r="H2045" s="341"/>
      <c r="J2045" s="826">
        <f t="shared" si="3"/>
        <v>0</v>
      </c>
    </row>
    <row r="2046" spans="1:10" s="1058" customFormat="1" ht="15.75" thickBot="1" x14ac:dyDescent="0.3">
      <c r="A2046" s="133"/>
      <c r="B2046" s="195"/>
      <c r="C2046" s="232"/>
      <c r="D2046" s="952"/>
      <c r="E2046" s="232"/>
      <c r="F2046" s="226"/>
      <c r="G2046" s="344"/>
      <c r="H2046" s="341"/>
      <c r="J2046" s="826">
        <f t="shared" si="3"/>
        <v>0</v>
      </c>
    </row>
    <row r="2047" spans="1:10" s="1058" customFormat="1" ht="15.75" thickBot="1" x14ac:dyDescent="0.3">
      <c r="A2047" s="133"/>
      <c r="B2047" s="233"/>
      <c r="C2047" s="234"/>
      <c r="D2047" s="953"/>
      <c r="E2047" s="234"/>
      <c r="F2047" s="235"/>
      <c r="G2047" s="347"/>
      <c r="H2047" s="348">
        <f>+SUM(G2042:G2047)</f>
        <v>0</v>
      </c>
      <c r="J2047" s="826">
        <f t="shared" si="3"/>
        <v>0</v>
      </c>
    </row>
    <row r="2048" spans="1:10" s="1058" customFormat="1" ht="15.75" thickBot="1" x14ac:dyDescent="0.3">
      <c r="A2048" s="133"/>
      <c r="B2048" s="238"/>
      <c r="C2048" s="238"/>
      <c r="D2048" s="954"/>
      <c r="E2048" s="238"/>
      <c r="F2048" s="249"/>
      <c r="G2048" s="356"/>
      <c r="H2048" s="350"/>
      <c r="J2048" s="826">
        <f t="shared" si="3"/>
        <v>0</v>
      </c>
    </row>
    <row r="2049" spans="1:10" s="1058" customFormat="1" ht="15.75" thickBot="1" x14ac:dyDescent="0.3">
      <c r="A2049" s="133"/>
      <c r="B2049" s="224" t="s">
        <v>5412</v>
      </c>
      <c r="C2049" s="193" t="s">
        <v>5420</v>
      </c>
      <c r="D2049" s="951" t="s">
        <v>5421</v>
      </c>
      <c r="E2049" s="193" t="s">
        <v>5413</v>
      </c>
      <c r="F2049" s="193" t="s">
        <v>5405</v>
      </c>
      <c r="G2049" s="343" t="s">
        <v>868</v>
      </c>
      <c r="H2049" s="341"/>
      <c r="J2049" s="826" t="str">
        <f t="shared" si="3"/>
        <v>MANO DE OBRA</v>
      </c>
    </row>
    <row r="2050" spans="1:10" s="1058" customFormat="1" x14ac:dyDescent="0.25">
      <c r="A2050" s="133"/>
      <c r="B2050" s="194" t="s">
        <v>6523</v>
      </c>
      <c r="C2050" s="345">
        <f>+VLOOKUP($B2050,'Mano de obra'!$A$5:$D$26,2,FALSE)</f>
        <v>57454</v>
      </c>
      <c r="D2050" s="345">
        <f>+VLOOKUP($B2050,'Mano de obra'!$A$5:$D$26,3,FALSE)</f>
        <v>35656</v>
      </c>
      <c r="E2050" s="345">
        <f>+VLOOKUP($B2050,'Mano de obra'!$A$5:$D$26,4,FALSE)</f>
        <v>93110</v>
      </c>
      <c r="F2050" s="1566">
        <v>50</v>
      </c>
      <c r="G2050" s="818">
        <f>IF(B2050="","",E2050/F2050)</f>
        <v>1862.2</v>
      </c>
      <c r="H2050" s="200"/>
      <c r="J2050" s="826" t="str">
        <f t="shared" si="3"/>
        <v>OFICIAL ESPECIALIZADO</v>
      </c>
    </row>
    <row r="2051" spans="1:10" s="1058" customFormat="1" x14ac:dyDescent="0.25">
      <c r="A2051" s="133"/>
      <c r="B2051" s="194" t="s">
        <v>6524</v>
      </c>
      <c r="C2051" s="345">
        <f>+VLOOKUP($B2051,'Mano de obra'!$A$5:$D$26,2,FALSE)</f>
        <v>44263.8</v>
      </c>
      <c r="D2051" s="345">
        <f>+VLOOKUP($B2051,'Mano de obra'!$A$5:$D$26,3,FALSE)</f>
        <v>27470</v>
      </c>
      <c r="E2051" s="345">
        <f>+VLOOKUP($B2051,'Mano de obra'!$A$5:$D$26,4,FALSE)</f>
        <v>71733.8</v>
      </c>
      <c r="F2051" s="1565">
        <v>10</v>
      </c>
      <c r="G2051" s="818">
        <f>IF(B2051="","",E2051/F2051)</f>
        <v>7173.38</v>
      </c>
      <c r="H2051" s="200"/>
      <c r="J2051" s="826" t="str">
        <f t="shared" si="3"/>
        <v>OFICIAL</v>
      </c>
    </row>
    <row r="2052" spans="1:10" s="1058" customFormat="1" x14ac:dyDescent="0.25">
      <c r="A2052" s="133"/>
      <c r="B2052" s="195" t="s">
        <v>6525</v>
      </c>
      <c r="C2052" s="345">
        <f>+VLOOKUP($B2052,'Mano de obra'!$A$5:$D$26,2,FALSE)</f>
        <v>24591</v>
      </c>
      <c r="D2052" s="345">
        <f>+VLOOKUP($B2052,'Mano de obra'!$A$5:$D$26,3,FALSE)</f>
        <v>15261</v>
      </c>
      <c r="E2052" s="345">
        <f>+VLOOKUP($B2052,'Mano de obra'!$A$5:$D$26,4,FALSE)</f>
        <v>39852</v>
      </c>
      <c r="F2052" s="226">
        <v>5</v>
      </c>
      <c r="G2052" s="818">
        <f>IF(B2052="","",E2052/F2052)</f>
        <v>7970.4</v>
      </c>
      <c r="H2052" s="200"/>
      <c r="J2052" s="826" t="str">
        <f t="shared" si="3"/>
        <v>AYUDANTE</v>
      </c>
    </row>
    <row r="2053" spans="1:10" s="1058" customFormat="1" x14ac:dyDescent="0.25">
      <c r="A2053" s="133"/>
      <c r="B2053" s="764"/>
      <c r="C2053" s="782"/>
      <c r="D2053" s="765"/>
      <c r="E2053" s="766"/>
      <c r="F2053" s="817"/>
      <c r="G2053" s="783"/>
      <c r="H2053" s="200"/>
      <c r="J2053" s="826">
        <f t="shared" si="3"/>
        <v>0</v>
      </c>
    </row>
    <row r="2054" spans="1:10" s="1058" customFormat="1" x14ac:dyDescent="0.25">
      <c r="A2054" s="133"/>
      <c r="B2054" s="195"/>
      <c r="C2054" s="232"/>
      <c r="D2054" s="952"/>
      <c r="E2054" s="232"/>
      <c r="F2054" s="226"/>
      <c r="G2054" s="229"/>
      <c r="H2054" s="200"/>
      <c r="J2054" s="826">
        <f t="shared" si="3"/>
        <v>0</v>
      </c>
    </row>
    <row r="2055" spans="1:10" s="1058" customFormat="1" ht="15.75" thickBot="1" x14ac:dyDescent="0.3">
      <c r="A2055" s="133"/>
      <c r="B2055" s="195"/>
      <c r="C2055" s="232"/>
      <c r="D2055" s="952"/>
      <c r="E2055" s="232"/>
      <c r="F2055" s="226"/>
      <c r="G2055" s="229"/>
      <c r="H2055" s="200"/>
      <c r="J2055" s="826">
        <f t="shared" si="3"/>
        <v>0</v>
      </c>
    </row>
    <row r="2056" spans="1:10" s="1058" customFormat="1" ht="15.75" thickBot="1" x14ac:dyDescent="0.3">
      <c r="A2056" s="133"/>
      <c r="B2056" s="251"/>
      <c r="C2056" s="252"/>
      <c r="D2056" s="956"/>
      <c r="E2056" s="252"/>
      <c r="F2056" s="253"/>
      <c r="G2056" s="254"/>
      <c r="H2056" s="256">
        <f>+SUM(G2050:G2056)</f>
        <v>17005.98</v>
      </c>
      <c r="J2056" s="826">
        <f t="shared" si="3"/>
        <v>0</v>
      </c>
    </row>
    <row r="2057" spans="1:10" s="1058" customFormat="1" ht="15.75" thickBot="1" x14ac:dyDescent="0.3">
      <c r="A2057" s="133"/>
      <c r="B2057" s="8"/>
      <c r="C2057" s="8"/>
      <c r="D2057" s="529"/>
      <c r="E2057" s="140"/>
      <c r="F2057" s="133"/>
      <c r="G2057" s="341"/>
      <c r="H2057" s="341"/>
      <c r="J2057" s="826">
        <f t="shared" si="3"/>
        <v>0</v>
      </c>
    </row>
    <row r="2058" spans="1:10" s="1058" customFormat="1" ht="15.75" thickBot="1" x14ac:dyDescent="0.3">
      <c r="A2058" s="133" t="s">
        <v>6744</v>
      </c>
      <c r="B2058" s="8"/>
      <c r="C2058" s="8"/>
      <c r="D2058" s="529"/>
      <c r="E2058" s="183" t="s">
        <v>5415</v>
      </c>
      <c r="F2058" s="133"/>
      <c r="G2058" s="341"/>
      <c r="H2058" s="358">
        <f>ROUND(+H2056+H2047+H2039+H2024,0)</f>
        <v>18707</v>
      </c>
      <c r="J2058" s="826">
        <f t="shared" si="3"/>
        <v>0</v>
      </c>
    </row>
    <row r="2059" spans="1:10" s="1058" customFormat="1" x14ac:dyDescent="0.25">
      <c r="D2059" s="957"/>
      <c r="H2059" s="675"/>
      <c r="J2059" s="826">
        <f t="shared" si="3"/>
        <v>0</v>
      </c>
    </row>
    <row r="2060" spans="1:10" s="1058" customFormat="1" x14ac:dyDescent="0.25">
      <c r="A2060" s="889"/>
      <c r="D2060" s="957"/>
      <c r="J2060" s="826">
        <f t="shared" si="3"/>
        <v>0</v>
      </c>
    </row>
    <row r="2061" spans="1:10" s="1058" customFormat="1" x14ac:dyDescent="0.25">
      <c r="B2061" s="627"/>
      <c r="C2061" s="627"/>
      <c r="D2061" s="971"/>
      <c r="E2061" s="627"/>
      <c r="F2061" s="627"/>
      <c r="G2061" s="627"/>
      <c r="H2061" s="627"/>
      <c r="J2061" s="826">
        <f t="shared" si="3"/>
        <v>0</v>
      </c>
    </row>
    <row r="2062" spans="1:10" s="1058" customFormat="1" x14ac:dyDescent="0.25">
      <c r="A2062" s="673" t="s">
        <v>5482</v>
      </c>
      <c r="B2062" s="1390" t="str">
        <f>+VLOOKUP(C2062,ListaAPUs!$B:$E,4,FALSE)</f>
        <v>4.2.3</v>
      </c>
      <c r="C2062" s="2449" t="str">
        <f>+ListaAPUs!B77</f>
        <v>INSTALACIÓN ACCESORIOS EN HIERRO DÚCTIL 200MM</v>
      </c>
      <c r="D2062" s="2449"/>
      <c r="E2062" s="2449"/>
      <c r="F2062" s="673" t="s">
        <v>867</v>
      </c>
      <c r="G2062" s="222" t="s">
        <v>5424</v>
      </c>
      <c r="H2062" s="200"/>
      <c r="J2062" s="826" t="str">
        <f t="shared" si="3"/>
        <v>4.2.3</v>
      </c>
    </row>
    <row r="2063" spans="1:10" s="1058" customFormat="1" x14ac:dyDescent="0.25">
      <c r="A2063" s="133"/>
      <c r="B2063" s="8"/>
      <c r="C2063" s="223"/>
      <c r="D2063" s="958"/>
      <c r="E2063" s="223"/>
      <c r="F2063" s="133"/>
      <c r="G2063" s="200"/>
      <c r="H2063" s="200"/>
      <c r="J2063" s="826">
        <f t="shared" si="3"/>
        <v>0</v>
      </c>
    </row>
    <row r="2064" spans="1:10" s="1058" customFormat="1" x14ac:dyDescent="0.25">
      <c r="A2064" s="133"/>
      <c r="B2064" s="8"/>
      <c r="C2064" s="8"/>
      <c r="D2064" s="529"/>
      <c r="E2064" s="8"/>
      <c r="F2064" s="8"/>
      <c r="G2064" s="8"/>
      <c r="H2064" s="200"/>
      <c r="J2064" s="826">
        <f t="shared" si="3"/>
        <v>0</v>
      </c>
    </row>
    <row r="2065" spans="1:10" s="1058" customFormat="1" ht="15.75" thickBot="1" x14ac:dyDescent="0.3">
      <c r="A2065" s="133"/>
      <c r="B2065" s="8"/>
      <c r="C2065" s="8"/>
      <c r="D2065" s="529"/>
      <c r="E2065" s="8"/>
      <c r="F2065" s="133"/>
      <c r="G2065" s="200"/>
      <c r="H2065" s="200"/>
      <c r="J2065" s="826">
        <f t="shared" si="3"/>
        <v>0</v>
      </c>
    </row>
    <row r="2066" spans="1:10" s="1058" customFormat="1" ht="15.75" thickBot="1" x14ac:dyDescent="0.3">
      <c r="A2066" s="133"/>
      <c r="B2066" s="224" t="s">
        <v>5403</v>
      </c>
      <c r="C2066" s="193" t="s">
        <v>867</v>
      </c>
      <c r="D2066" s="951" t="s">
        <v>6</v>
      </c>
      <c r="E2066" s="193" t="s">
        <v>5439</v>
      </c>
      <c r="F2066" s="193" t="s">
        <v>5405</v>
      </c>
      <c r="G2066" s="225" t="s">
        <v>868</v>
      </c>
      <c r="H2066" s="200"/>
      <c r="J2066" s="826" t="str">
        <f t="shared" si="3"/>
        <v>EQUIPO</v>
      </c>
    </row>
    <row r="2067" spans="1:10" s="1058" customFormat="1" x14ac:dyDescent="0.25">
      <c r="A2067" s="133"/>
      <c r="B2067" s="195" t="s">
        <v>5440</v>
      </c>
      <c r="C2067" s="226" t="s">
        <v>5402</v>
      </c>
      <c r="D2067" s="212">
        <v>1</v>
      </c>
      <c r="E2067" s="228">
        <f>+H2105</f>
        <v>24319.858333333334</v>
      </c>
      <c r="F2067" s="197">
        <v>0.1</v>
      </c>
      <c r="G2067" s="229">
        <f>+E2067*F2067</f>
        <v>2431.9858333333336</v>
      </c>
      <c r="H2067" s="200"/>
      <c r="J2067" s="826" t="str">
        <f t="shared" si="3"/>
        <v>Herramienta menor</v>
      </c>
    </row>
    <row r="2068" spans="1:10" s="1058" customFormat="1" x14ac:dyDescent="0.25">
      <c r="A2068" s="133"/>
      <c r="B2068" s="195"/>
      <c r="C2068" s="226"/>
      <c r="D2068" s="212"/>
      <c r="E2068" s="228"/>
      <c r="F2068" s="226"/>
      <c r="G2068" s="229"/>
      <c r="H2068" s="200"/>
      <c r="J2068" s="826">
        <f t="shared" si="3"/>
        <v>0</v>
      </c>
    </row>
    <row r="2069" spans="1:10" s="1058" customFormat="1" x14ac:dyDescent="0.25">
      <c r="A2069" s="133"/>
      <c r="B2069" s="195"/>
      <c r="C2069" s="226"/>
      <c r="D2069" s="212"/>
      <c r="E2069" s="228"/>
      <c r="F2069" s="226"/>
      <c r="G2069" s="229"/>
      <c r="H2069" s="200"/>
      <c r="J2069" s="826">
        <f t="shared" si="3"/>
        <v>0</v>
      </c>
    </row>
    <row r="2070" spans="1:10" s="1058" customFormat="1" x14ac:dyDescent="0.25">
      <c r="A2070" s="133"/>
      <c r="B2070" s="195"/>
      <c r="C2070" s="226"/>
      <c r="D2070" s="212"/>
      <c r="E2070" s="171"/>
      <c r="F2070" s="226"/>
      <c r="G2070" s="231"/>
      <c r="H2070" s="200"/>
      <c r="J2070" s="826">
        <f t="shared" si="3"/>
        <v>0</v>
      </c>
    </row>
    <row r="2071" spans="1:10" s="1058" customFormat="1" x14ac:dyDescent="0.25">
      <c r="A2071" s="133"/>
      <c r="B2071" s="195"/>
      <c r="C2071" s="226"/>
      <c r="D2071" s="952"/>
      <c r="E2071" s="232"/>
      <c r="F2071" s="226"/>
      <c r="G2071" s="229"/>
      <c r="H2071" s="200"/>
      <c r="J2071" s="826">
        <f t="shared" si="3"/>
        <v>0</v>
      </c>
    </row>
    <row r="2072" spans="1:10" s="1058" customFormat="1" ht="15.75" thickBot="1" x14ac:dyDescent="0.3">
      <c r="A2072" s="133"/>
      <c r="B2072" s="195"/>
      <c r="C2072" s="226"/>
      <c r="D2072" s="952"/>
      <c r="E2072" s="232"/>
      <c r="F2072" s="226"/>
      <c r="G2072" s="229"/>
      <c r="H2072" s="200"/>
      <c r="J2072" s="826">
        <f t="shared" si="3"/>
        <v>0</v>
      </c>
    </row>
    <row r="2073" spans="1:10" s="1058" customFormat="1" ht="15.75" thickBot="1" x14ac:dyDescent="0.3">
      <c r="A2073" s="133"/>
      <c r="B2073" s="233"/>
      <c r="C2073" s="234"/>
      <c r="D2073" s="953"/>
      <c r="E2073" s="234"/>
      <c r="F2073" s="235"/>
      <c r="G2073" s="236"/>
      <c r="H2073" s="237">
        <f>+SUM(G2067:G2073)</f>
        <v>2431.9858333333336</v>
      </c>
      <c r="J2073" s="826">
        <f t="shared" si="3"/>
        <v>0</v>
      </c>
    </row>
    <row r="2074" spans="1:10" s="1058" customFormat="1" ht="15.75" thickBot="1" x14ac:dyDescent="0.3">
      <c r="A2074" s="133"/>
      <c r="B2074" s="238"/>
      <c r="C2074" s="238"/>
      <c r="D2074" s="954"/>
      <c r="E2074" s="238"/>
      <c r="F2074" s="239"/>
      <c r="G2074" s="240"/>
      <c r="H2074" s="241"/>
      <c r="J2074" s="826">
        <f t="shared" si="3"/>
        <v>0</v>
      </c>
    </row>
    <row r="2075" spans="1:10" s="1058" customFormat="1" ht="15.75" thickBot="1" x14ac:dyDescent="0.3">
      <c r="A2075" s="133"/>
      <c r="B2075" s="224" t="s">
        <v>5408</v>
      </c>
      <c r="C2075" s="193" t="s">
        <v>867</v>
      </c>
      <c r="D2075" s="951" t="s">
        <v>6</v>
      </c>
      <c r="E2075" s="193" t="s">
        <v>870</v>
      </c>
      <c r="F2075" s="193" t="s">
        <v>5409</v>
      </c>
      <c r="G2075" s="225" t="s">
        <v>868</v>
      </c>
      <c r="H2075" s="200"/>
      <c r="J2075" s="826" t="str">
        <f t="shared" si="3"/>
        <v>MATERIALES</v>
      </c>
    </row>
    <row r="2076" spans="1:10" s="1058" customFormat="1" x14ac:dyDescent="0.25">
      <c r="A2076" s="133"/>
      <c r="B2076" s="295"/>
      <c r="C2076" s="202"/>
      <c r="D2076" s="212"/>
      <c r="E2076" s="228"/>
      <c r="F2076" s="169"/>
      <c r="G2076" s="178"/>
      <c r="H2076" s="200"/>
      <c r="J2076" s="826">
        <f t="shared" si="3"/>
        <v>0</v>
      </c>
    </row>
    <row r="2077" spans="1:10" s="1058" customFormat="1" x14ac:dyDescent="0.25">
      <c r="A2077" s="133"/>
      <c r="B2077" s="450"/>
      <c r="C2077" s="202"/>
      <c r="D2077" s="211"/>
      <c r="E2077" s="228"/>
      <c r="F2077" s="169"/>
      <c r="G2077" s="178"/>
      <c r="H2077" s="200"/>
      <c r="J2077" s="826">
        <f t="shared" si="3"/>
        <v>0</v>
      </c>
    </row>
    <row r="2078" spans="1:10" s="1058" customFormat="1" x14ac:dyDescent="0.25">
      <c r="A2078" s="133"/>
      <c r="B2078" s="247"/>
      <c r="C2078" s="226"/>
      <c r="D2078" s="212"/>
      <c r="E2078" s="228"/>
      <c r="F2078" s="169"/>
      <c r="G2078" s="178"/>
      <c r="H2078" s="200"/>
      <c r="J2078" s="826">
        <f t="shared" si="3"/>
        <v>0</v>
      </c>
    </row>
    <row r="2079" spans="1:10" s="1058" customFormat="1" x14ac:dyDescent="0.25">
      <c r="A2079" s="133"/>
      <c r="B2079" s="194"/>
      <c r="C2079" s="226"/>
      <c r="D2079" s="212"/>
      <c r="E2079" s="228"/>
      <c r="F2079" s="169"/>
      <c r="G2079" s="178"/>
      <c r="H2079" s="200"/>
      <c r="J2079" s="826">
        <f t="shared" si="3"/>
        <v>0</v>
      </c>
    </row>
    <row r="2080" spans="1:10" s="1058" customFormat="1" x14ac:dyDescent="0.25">
      <c r="A2080" s="133"/>
      <c r="B2080" s="195"/>
      <c r="C2080" s="226"/>
      <c r="D2080" s="212"/>
      <c r="E2080" s="176"/>
      <c r="F2080" s="169"/>
      <c r="G2080" s="178"/>
      <c r="H2080" s="200"/>
      <c r="J2080" s="826">
        <f t="shared" si="3"/>
        <v>0</v>
      </c>
    </row>
    <row r="2081" spans="1:10" s="1058" customFormat="1" x14ac:dyDescent="0.25">
      <c r="A2081" s="133"/>
      <c r="B2081" s="194"/>
      <c r="C2081" s="202"/>
      <c r="D2081" s="211"/>
      <c r="E2081" s="176"/>
      <c r="F2081" s="169"/>
      <c r="G2081" s="178"/>
      <c r="H2081" s="200"/>
      <c r="J2081" s="826">
        <f t="shared" si="3"/>
        <v>0</v>
      </c>
    </row>
    <row r="2082" spans="1:10" s="1058" customFormat="1" x14ac:dyDescent="0.25">
      <c r="A2082" s="133"/>
      <c r="B2082" s="195"/>
      <c r="C2082" s="226"/>
      <c r="D2082" s="212"/>
      <c r="E2082" s="176"/>
      <c r="F2082" s="169"/>
      <c r="G2082" s="178"/>
      <c r="H2082" s="200"/>
      <c r="J2082" s="826">
        <f t="shared" si="3"/>
        <v>0</v>
      </c>
    </row>
    <row r="2083" spans="1:10" s="1058" customFormat="1" x14ac:dyDescent="0.25">
      <c r="A2083" s="133"/>
      <c r="B2083" s="195"/>
      <c r="C2083" s="226"/>
      <c r="D2083" s="212"/>
      <c r="E2083" s="176"/>
      <c r="F2083" s="169"/>
      <c r="G2083" s="178"/>
      <c r="H2083" s="200"/>
      <c r="J2083" s="826">
        <f t="shared" si="3"/>
        <v>0</v>
      </c>
    </row>
    <row r="2084" spans="1:10" s="1058" customFormat="1" x14ac:dyDescent="0.25">
      <c r="A2084" s="133"/>
      <c r="B2084" s="195"/>
      <c r="C2084" s="232"/>
      <c r="D2084" s="952"/>
      <c r="E2084" s="232"/>
      <c r="F2084" s="226"/>
      <c r="G2084" s="229"/>
      <c r="H2084" s="200"/>
      <c r="J2084" s="826">
        <f t="shared" si="3"/>
        <v>0</v>
      </c>
    </row>
    <row r="2085" spans="1:10" s="1058" customFormat="1" x14ac:dyDescent="0.25">
      <c r="A2085" s="133"/>
      <c r="B2085" s="195"/>
      <c r="C2085" s="232"/>
      <c r="D2085" s="952"/>
      <c r="E2085" s="232"/>
      <c r="F2085" s="226"/>
      <c r="G2085" s="229"/>
      <c r="H2085" s="200"/>
      <c r="J2085" s="826">
        <f t="shared" si="3"/>
        <v>0</v>
      </c>
    </row>
    <row r="2086" spans="1:10" s="1058" customFormat="1" x14ac:dyDescent="0.25">
      <c r="A2086" s="133"/>
      <c r="B2086" s="195"/>
      <c r="C2086" s="232"/>
      <c r="D2086" s="952"/>
      <c r="E2086" s="232"/>
      <c r="F2086" s="226"/>
      <c r="G2086" s="229"/>
      <c r="H2086" s="200"/>
      <c r="J2086" s="826">
        <f t="shared" si="3"/>
        <v>0</v>
      </c>
    </row>
    <row r="2087" spans="1:10" s="1058" customFormat="1" ht="15.75" thickBot="1" x14ac:dyDescent="0.3">
      <c r="A2087" s="133"/>
      <c r="B2087" s="195"/>
      <c r="C2087" s="232"/>
      <c r="D2087" s="952"/>
      <c r="E2087" s="232"/>
      <c r="F2087" s="226"/>
      <c r="G2087" s="229"/>
      <c r="H2087" s="200"/>
      <c r="J2087" s="826">
        <f t="shared" si="3"/>
        <v>0</v>
      </c>
    </row>
    <row r="2088" spans="1:10" s="1058" customFormat="1" ht="15.75" thickBot="1" x14ac:dyDescent="0.3">
      <c r="A2088" s="133"/>
      <c r="B2088" s="233"/>
      <c r="C2088" s="234"/>
      <c r="D2088" s="953"/>
      <c r="E2088" s="234"/>
      <c r="F2088" s="235"/>
      <c r="G2088" s="236"/>
      <c r="H2088" s="256">
        <f>+SUM(G2076:G2088)</f>
        <v>0</v>
      </c>
      <c r="J2088" s="826">
        <f t="shared" si="3"/>
        <v>0</v>
      </c>
    </row>
    <row r="2089" spans="1:10" s="1058" customFormat="1" ht="15.75" thickBot="1" x14ac:dyDescent="0.3">
      <c r="A2089" s="133"/>
      <c r="B2089" s="238"/>
      <c r="C2089" s="238"/>
      <c r="D2089" s="954"/>
      <c r="E2089" s="238"/>
      <c r="F2089" s="239"/>
      <c r="G2089" s="240"/>
      <c r="H2089" s="241"/>
      <c r="J2089" s="826">
        <f t="shared" si="3"/>
        <v>0</v>
      </c>
    </row>
    <row r="2090" spans="1:10" s="1058" customFormat="1" ht="15.75" thickBot="1" x14ac:dyDescent="0.3">
      <c r="A2090" s="133"/>
      <c r="B2090" s="224" t="s">
        <v>5410</v>
      </c>
      <c r="C2090" s="193" t="s">
        <v>867</v>
      </c>
      <c r="D2090" s="951" t="s">
        <v>6</v>
      </c>
      <c r="E2090" s="193" t="s">
        <v>870</v>
      </c>
      <c r="F2090" s="193" t="s">
        <v>5411</v>
      </c>
      <c r="G2090" s="225" t="s">
        <v>868</v>
      </c>
      <c r="H2090" s="200"/>
      <c r="J2090" s="826" t="str">
        <f t="shared" si="3"/>
        <v>TRANSPORTE MATERIAL</v>
      </c>
    </row>
    <row r="2091" spans="1:10" s="1058" customFormat="1" x14ac:dyDescent="0.25">
      <c r="A2091" s="133"/>
      <c r="B2091" s="245"/>
      <c r="C2091" s="202"/>
      <c r="D2091" s="211"/>
      <c r="E2091" s="175"/>
      <c r="F2091" s="202"/>
      <c r="G2091" s="203"/>
      <c r="H2091" s="246"/>
      <c r="J2091" s="826">
        <f t="shared" ref="J2091:J2154" si="4">+B2091</f>
        <v>0</v>
      </c>
    </row>
    <row r="2092" spans="1:10" s="1058" customFormat="1" x14ac:dyDescent="0.25">
      <c r="A2092" s="133"/>
      <c r="B2092" s="247"/>
      <c r="C2092" s="248"/>
      <c r="D2092" s="961"/>
      <c r="E2092" s="248"/>
      <c r="F2092" s="202"/>
      <c r="G2092" s="178"/>
      <c r="H2092" s="200"/>
      <c r="J2092" s="826">
        <f t="shared" si="4"/>
        <v>0</v>
      </c>
    </row>
    <row r="2093" spans="1:10" s="1058" customFormat="1" x14ac:dyDescent="0.25">
      <c r="A2093" s="133"/>
      <c r="B2093" s="247"/>
      <c r="C2093" s="232"/>
      <c r="D2093" s="952"/>
      <c r="E2093" s="232"/>
      <c r="F2093" s="226"/>
      <c r="G2093" s="229"/>
      <c r="H2093" s="200"/>
      <c r="J2093" s="826">
        <f t="shared" si="4"/>
        <v>0</v>
      </c>
    </row>
    <row r="2094" spans="1:10" s="1058" customFormat="1" x14ac:dyDescent="0.25">
      <c r="A2094" s="133"/>
      <c r="B2094" s="194"/>
      <c r="C2094" s="232"/>
      <c r="D2094" s="952"/>
      <c r="E2094" s="232"/>
      <c r="F2094" s="226"/>
      <c r="G2094" s="229"/>
      <c r="H2094" s="200"/>
      <c r="J2094" s="826">
        <f t="shared" si="4"/>
        <v>0</v>
      </c>
    </row>
    <row r="2095" spans="1:10" s="1058" customFormat="1" ht="15.75" thickBot="1" x14ac:dyDescent="0.3">
      <c r="A2095" s="133"/>
      <c r="B2095" s="195"/>
      <c r="C2095" s="232"/>
      <c r="D2095" s="952"/>
      <c r="E2095" s="232"/>
      <c r="F2095" s="226"/>
      <c r="G2095" s="229"/>
      <c r="H2095" s="200"/>
      <c r="J2095" s="826">
        <f t="shared" si="4"/>
        <v>0</v>
      </c>
    </row>
    <row r="2096" spans="1:10" s="1058" customFormat="1" ht="15.75" thickBot="1" x14ac:dyDescent="0.3">
      <c r="A2096" s="133"/>
      <c r="B2096" s="233"/>
      <c r="C2096" s="234"/>
      <c r="D2096" s="953"/>
      <c r="E2096" s="234"/>
      <c r="F2096" s="235"/>
      <c r="G2096" s="236"/>
      <c r="H2096" s="237">
        <f>+SUM(G2091:G2096)</f>
        <v>0</v>
      </c>
      <c r="J2096" s="826">
        <f t="shared" si="4"/>
        <v>0</v>
      </c>
    </row>
    <row r="2097" spans="1:10" s="1058" customFormat="1" ht="15.75" thickBot="1" x14ac:dyDescent="0.3">
      <c r="A2097" s="133"/>
      <c r="B2097" s="238"/>
      <c r="C2097" s="238"/>
      <c r="D2097" s="954"/>
      <c r="E2097" s="238"/>
      <c r="F2097" s="249"/>
      <c r="G2097" s="250"/>
      <c r="H2097" s="241"/>
      <c r="J2097" s="826">
        <f t="shared" si="4"/>
        <v>0</v>
      </c>
    </row>
    <row r="2098" spans="1:10" s="1058" customFormat="1" ht="15.75" thickBot="1" x14ac:dyDescent="0.3">
      <c r="A2098" s="133"/>
      <c r="B2098" s="224" t="s">
        <v>5412</v>
      </c>
      <c r="C2098" s="193" t="s">
        <v>5420</v>
      </c>
      <c r="D2098" s="951" t="s">
        <v>5421</v>
      </c>
      <c r="E2098" s="193" t="s">
        <v>5413</v>
      </c>
      <c r="F2098" s="193" t="s">
        <v>5405</v>
      </c>
      <c r="G2098" s="225" t="s">
        <v>868</v>
      </c>
      <c r="H2098" s="200"/>
      <c r="J2098" s="826" t="str">
        <f t="shared" si="4"/>
        <v>MANO DE OBRA</v>
      </c>
    </row>
    <row r="2099" spans="1:10" s="1058" customFormat="1" x14ac:dyDescent="0.25">
      <c r="A2099" s="133"/>
      <c r="B2099" s="194" t="s">
        <v>5948</v>
      </c>
      <c r="C2099" s="345">
        <f>+VLOOKUP($B2099,'Mano de obra'!$A$5:$D$26,2,FALSE)</f>
        <v>57455</v>
      </c>
      <c r="D2099" s="345">
        <f>+VLOOKUP($B2099,'Mano de obra'!$A$5:$D$26,3,FALSE)</f>
        <v>35656</v>
      </c>
      <c r="E2099" s="345">
        <f>+VLOOKUP($B2099,'Mano de obra'!$A$5:$D$26,4,FALSE)</f>
        <v>93111</v>
      </c>
      <c r="F2099" s="1566">
        <v>45</v>
      </c>
      <c r="G2099" s="178">
        <f>+E2099/F2099</f>
        <v>2069.1333333333332</v>
      </c>
      <c r="H2099" s="200"/>
      <c r="J2099" s="826" t="str">
        <f t="shared" si="4"/>
        <v>Maestro</v>
      </c>
    </row>
    <row r="2100" spans="1:10" s="1058" customFormat="1" x14ac:dyDescent="0.25">
      <c r="A2100" s="133"/>
      <c r="B2100" s="194" t="s">
        <v>5949</v>
      </c>
      <c r="C2100" s="345">
        <f>+VLOOKUP($B2100,'Mano de obra'!$A$5:$D$26,2,FALSE)</f>
        <v>44263.8</v>
      </c>
      <c r="D2100" s="345">
        <f>+VLOOKUP($B2100,'Mano de obra'!$A$5:$D$26,3,FALSE)</f>
        <v>27470</v>
      </c>
      <c r="E2100" s="345">
        <f>+VLOOKUP($B2100,'Mano de obra'!$A$5:$D$26,4,FALSE)</f>
        <v>71733.8</v>
      </c>
      <c r="F2100" s="1565">
        <v>8</v>
      </c>
      <c r="G2100" s="178">
        <f>+E2100/F2100</f>
        <v>8966.7250000000004</v>
      </c>
      <c r="H2100" s="200"/>
      <c r="J2100" s="826" t="str">
        <f t="shared" si="4"/>
        <v>Oficial</v>
      </c>
    </row>
    <row r="2101" spans="1:10" s="1058" customFormat="1" x14ac:dyDescent="0.25">
      <c r="A2101" s="133"/>
      <c r="B2101" s="195" t="s">
        <v>5635</v>
      </c>
      <c r="C2101" s="345">
        <f>+VLOOKUP($B2101,'Mano de obra'!$A$5:$D$26,2,FALSE)</f>
        <v>24591</v>
      </c>
      <c r="D2101" s="345">
        <f>+VLOOKUP($B2101,'Mano de obra'!$A$5:$D$26,3,FALSE)</f>
        <v>15261</v>
      </c>
      <c r="E2101" s="345">
        <f>+VLOOKUP($B2101,'Mano de obra'!$A$5:$D$26,4,FALSE)</f>
        <v>39852</v>
      </c>
      <c r="F2101" s="226">
        <v>3</v>
      </c>
      <c r="G2101" s="178">
        <f>+E2101/F2101</f>
        <v>13284</v>
      </c>
      <c r="H2101" s="200"/>
      <c r="J2101" s="826" t="str">
        <f t="shared" si="4"/>
        <v>Ayudante</v>
      </c>
    </row>
    <row r="2102" spans="1:10" s="1058" customFormat="1" x14ac:dyDescent="0.25">
      <c r="A2102" s="133"/>
      <c r="B2102" s="195"/>
      <c r="C2102" s="171"/>
      <c r="D2102" s="965"/>
      <c r="E2102" s="228"/>
      <c r="F2102" s="226"/>
      <c r="G2102" s="178"/>
      <c r="H2102" s="200"/>
      <c r="J2102" s="826">
        <f t="shared" si="4"/>
        <v>0</v>
      </c>
    </row>
    <row r="2103" spans="1:10" s="1058" customFormat="1" x14ac:dyDescent="0.25">
      <c r="A2103" s="133"/>
      <c r="B2103" s="195"/>
      <c r="C2103" s="232"/>
      <c r="D2103" s="952"/>
      <c r="E2103" s="232"/>
      <c r="F2103" s="226"/>
      <c r="G2103" s="229"/>
      <c r="H2103" s="200"/>
      <c r="J2103" s="826">
        <f t="shared" si="4"/>
        <v>0</v>
      </c>
    </row>
    <row r="2104" spans="1:10" s="1058" customFormat="1" ht="15.75" thickBot="1" x14ac:dyDescent="0.3">
      <c r="A2104" s="133"/>
      <c r="B2104" s="195"/>
      <c r="C2104" s="232"/>
      <c r="D2104" s="952"/>
      <c r="E2104" s="232"/>
      <c r="F2104" s="226"/>
      <c r="G2104" s="229"/>
      <c r="H2104" s="200"/>
      <c r="J2104" s="826">
        <f t="shared" si="4"/>
        <v>0</v>
      </c>
    </row>
    <row r="2105" spans="1:10" s="1058" customFormat="1" ht="15.75" thickBot="1" x14ac:dyDescent="0.3">
      <c r="A2105" s="133"/>
      <c r="B2105" s="251"/>
      <c r="C2105" s="252"/>
      <c r="D2105" s="956"/>
      <c r="E2105" s="252"/>
      <c r="F2105" s="253"/>
      <c r="G2105" s="254"/>
      <c r="H2105" s="256">
        <f>+SUM(G2099:G2105)</f>
        <v>24319.858333333334</v>
      </c>
      <c r="J2105" s="826">
        <f t="shared" si="4"/>
        <v>0</v>
      </c>
    </row>
    <row r="2106" spans="1:10" s="1058" customFormat="1" ht="15.75" thickBot="1" x14ac:dyDescent="0.3">
      <c r="A2106" s="133"/>
      <c r="B2106" s="8"/>
      <c r="C2106" s="8"/>
      <c r="D2106" s="529"/>
      <c r="E2106" s="8"/>
      <c r="F2106" s="133"/>
      <c r="G2106" s="200"/>
      <c r="H2106" s="200"/>
      <c r="J2106" s="826">
        <f t="shared" si="4"/>
        <v>0</v>
      </c>
    </row>
    <row r="2107" spans="1:10" s="1058" customFormat="1" ht="15.75" thickBot="1" x14ac:dyDescent="0.3">
      <c r="A2107" s="133" t="s">
        <v>6744</v>
      </c>
      <c r="B2107" s="8"/>
      <c r="C2107" s="8"/>
      <c r="D2107" s="529"/>
      <c r="E2107" s="223" t="s">
        <v>5415</v>
      </c>
      <c r="F2107" s="223"/>
      <c r="G2107" s="200"/>
      <c r="H2107" s="902">
        <f>ROUND(+H2105+H2096+H2088+H2073,0)</f>
        <v>26752</v>
      </c>
      <c r="J2107" s="826">
        <f t="shared" si="4"/>
        <v>0</v>
      </c>
    </row>
    <row r="2108" spans="1:10" s="1058" customFormat="1" x14ac:dyDescent="0.25">
      <c r="D2108" s="957"/>
      <c r="H2108" s="627"/>
      <c r="J2108" s="826">
        <f t="shared" si="4"/>
        <v>0</v>
      </c>
    </row>
    <row r="2109" spans="1:10" s="1058" customFormat="1" x14ac:dyDescent="0.25">
      <c r="D2109" s="957"/>
      <c r="H2109" s="627"/>
      <c r="J2109" s="826">
        <f t="shared" si="4"/>
        <v>0</v>
      </c>
    </row>
    <row r="2110" spans="1:10" s="1058" customFormat="1" x14ac:dyDescent="0.25">
      <c r="A2110" s="673" t="s">
        <v>5482</v>
      </c>
      <c r="B2110" s="1390" t="str">
        <f>+VLOOKUP(C2110,ListaAPUs!$B:$E,4,FALSE)</f>
        <v>4.2.4</v>
      </c>
      <c r="C2110" s="2449" t="str">
        <f>+ListaAPUs!B78</f>
        <v>INSTALACIÓN ACCESORIOS EN HIERRO DÚCTIL 250MM</v>
      </c>
      <c r="D2110" s="2449"/>
      <c r="E2110" s="2449"/>
      <c r="F2110" s="673" t="s">
        <v>867</v>
      </c>
      <c r="G2110" s="222" t="s">
        <v>5424</v>
      </c>
      <c r="H2110" s="898"/>
      <c r="J2110" s="826" t="str">
        <f t="shared" si="4"/>
        <v>4.2.4</v>
      </c>
    </row>
    <row r="2111" spans="1:10" s="1058" customFormat="1" x14ac:dyDescent="0.25">
      <c r="A2111" s="133"/>
      <c r="B2111" s="8"/>
      <c r="C2111" s="223"/>
      <c r="D2111" s="958"/>
      <c r="E2111" s="223"/>
      <c r="F2111" s="133"/>
      <c r="G2111" s="200"/>
      <c r="H2111" s="898"/>
      <c r="J2111" s="826">
        <f t="shared" si="4"/>
        <v>0</v>
      </c>
    </row>
    <row r="2112" spans="1:10" s="1058" customFormat="1" x14ac:dyDescent="0.25">
      <c r="A2112" s="133"/>
      <c r="B2112" s="8"/>
      <c r="C2112" s="8"/>
      <c r="D2112" s="529"/>
      <c r="E2112" s="8"/>
      <c r="F2112" s="8"/>
      <c r="G2112" s="8"/>
      <c r="H2112" s="898"/>
      <c r="J2112" s="826">
        <f t="shared" si="4"/>
        <v>0</v>
      </c>
    </row>
    <row r="2113" spans="1:13" s="1058" customFormat="1" ht="15.75" thickBot="1" x14ac:dyDescent="0.3">
      <c r="A2113" s="133"/>
      <c r="B2113" s="8"/>
      <c r="C2113" s="8"/>
      <c r="D2113" s="529"/>
      <c r="E2113" s="8"/>
      <c r="F2113" s="133"/>
      <c r="G2113" s="200"/>
      <c r="H2113" s="898"/>
      <c r="J2113" s="826">
        <f t="shared" si="4"/>
        <v>0</v>
      </c>
    </row>
    <row r="2114" spans="1:13" s="1058" customFormat="1" ht="33" customHeight="1" thickBot="1" x14ac:dyDescent="0.3">
      <c r="A2114" s="133"/>
      <c r="B2114" s="224" t="s">
        <v>5403</v>
      </c>
      <c r="C2114" s="193" t="s">
        <v>867</v>
      </c>
      <c r="D2114" s="951" t="s">
        <v>6</v>
      </c>
      <c r="E2114" s="193" t="s">
        <v>5439</v>
      </c>
      <c r="F2114" s="193" t="s">
        <v>5405</v>
      </c>
      <c r="G2114" s="225" t="s">
        <v>868</v>
      </c>
      <c r="H2114" s="898"/>
      <c r="J2114" s="826" t="str">
        <f t="shared" si="4"/>
        <v>EQUIPO</v>
      </c>
    </row>
    <row r="2115" spans="1:13" s="1058" customFormat="1" x14ac:dyDescent="0.25">
      <c r="A2115" s="133"/>
      <c r="B2115" s="195" t="s">
        <v>5440</v>
      </c>
      <c r="C2115" s="226" t="s">
        <v>5402</v>
      </c>
      <c r="D2115" s="212">
        <v>1</v>
      </c>
      <c r="E2115" s="228">
        <f>+H2153</f>
        <v>24319.858333333334</v>
      </c>
      <c r="F2115" s="226">
        <v>0.1</v>
      </c>
      <c r="G2115" s="229">
        <f>+E2115*F2115</f>
        <v>2431.9858333333336</v>
      </c>
      <c r="H2115" s="898"/>
      <c r="J2115" s="826" t="str">
        <f t="shared" si="4"/>
        <v>Herramienta menor</v>
      </c>
    </row>
    <row r="2116" spans="1:13" s="1058" customFormat="1" x14ac:dyDescent="0.25">
      <c r="A2116" s="133"/>
      <c r="B2116" s="195"/>
      <c r="C2116" s="226"/>
      <c r="D2116" s="212"/>
      <c r="E2116" s="176"/>
      <c r="F2116" s="226"/>
      <c r="G2116" s="229"/>
      <c r="H2116" s="898"/>
      <c r="J2116" s="826">
        <f t="shared" si="4"/>
        <v>0</v>
      </c>
    </row>
    <row r="2117" spans="1:13" s="1058" customFormat="1" x14ac:dyDescent="0.25">
      <c r="A2117" s="133"/>
      <c r="B2117" s="195"/>
      <c r="C2117" s="226"/>
      <c r="D2117" s="212"/>
      <c r="E2117" s="228"/>
      <c r="F2117" s="226"/>
      <c r="G2117" s="229"/>
      <c r="H2117" s="898"/>
      <c r="J2117" s="826">
        <f t="shared" si="4"/>
        <v>0</v>
      </c>
    </row>
    <row r="2118" spans="1:13" s="1058" customFormat="1" x14ac:dyDescent="0.25">
      <c r="A2118" s="133"/>
      <c r="B2118" s="195"/>
      <c r="C2118" s="226"/>
      <c r="D2118" s="212"/>
      <c r="E2118" s="171"/>
      <c r="F2118" s="226"/>
      <c r="G2118" s="231"/>
      <c r="H2118" s="898"/>
      <c r="J2118" s="826">
        <f t="shared" si="4"/>
        <v>0</v>
      </c>
    </row>
    <row r="2119" spans="1:13" s="1058" customFormat="1" x14ac:dyDescent="0.25">
      <c r="A2119" s="133"/>
      <c r="B2119" s="195"/>
      <c r="C2119" s="226"/>
      <c r="D2119" s="952"/>
      <c r="E2119" s="232"/>
      <c r="F2119" s="226"/>
      <c r="G2119" s="229"/>
      <c r="H2119" s="898"/>
      <c r="J2119" s="826">
        <f t="shared" si="4"/>
        <v>0</v>
      </c>
    </row>
    <row r="2120" spans="1:13" s="1058" customFormat="1" ht="15.75" thickBot="1" x14ac:dyDescent="0.3">
      <c r="A2120" s="133"/>
      <c r="B2120" s="195"/>
      <c r="C2120" s="226"/>
      <c r="D2120" s="952"/>
      <c r="E2120" s="232"/>
      <c r="F2120" s="226"/>
      <c r="G2120" s="229"/>
      <c r="H2120" s="898"/>
      <c r="J2120" s="826">
        <f t="shared" si="4"/>
        <v>0</v>
      </c>
    </row>
    <row r="2121" spans="1:13" s="1058" customFormat="1" ht="15.75" thickBot="1" x14ac:dyDescent="0.3">
      <c r="A2121" s="133"/>
      <c r="B2121" s="233"/>
      <c r="C2121" s="234"/>
      <c r="D2121" s="953"/>
      <c r="E2121" s="234"/>
      <c r="F2121" s="235"/>
      <c r="G2121" s="236"/>
      <c r="H2121" s="831">
        <f>+SUM(G2115:G2121)</f>
        <v>2431.9858333333336</v>
      </c>
      <c r="J2121" s="826">
        <f t="shared" si="4"/>
        <v>0</v>
      </c>
    </row>
    <row r="2122" spans="1:13" s="1058" customFormat="1" ht="15.75" thickBot="1" x14ac:dyDescent="0.3">
      <c r="A2122" s="133"/>
      <c r="B2122" s="238"/>
      <c r="C2122" s="238"/>
      <c r="D2122" s="954"/>
      <c r="E2122" s="238"/>
      <c r="F2122" s="239"/>
      <c r="G2122" s="240"/>
      <c r="H2122" s="337"/>
      <c r="J2122" s="826">
        <f t="shared" si="4"/>
        <v>0</v>
      </c>
    </row>
    <row r="2123" spans="1:13" s="1058" customFormat="1" ht="15.75" thickBot="1" x14ac:dyDescent="0.3">
      <c r="A2123" s="133"/>
      <c r="B2123" s="224" t="s">
        <v>5408</v>
      </c>
      <c r="C2123" s="193" t="s">
        <v>867</v>
      </c>
      <c r="D2123" s="951" t="s">
        <v>6</v>
      </c>
      <c r="E2123" s="193" t="s">
        <v>870</v>
      </c>
      <c r="F2123" s="193" t="s">
        <v>5409</v>
      </c>
      <c r="G2123" s="225" t="s">
        <v>868</v>
      </c>
      <c r="H2123" s="898"/>
      <c r="J2123" s="826" t="str">
        <f t="shared" si="4"/>
        <v>MATERIALES</v>
      </c>
    </row>
    <row r="2124" spans="1:13" s="1058" customFormat="1" x14ac:dyDescent="0.25">
      <c r="A2124" s="133"/>
      <c r="B2124" s="295"/>
      <c r="C2124" s="202"/>
      <c r="D2124" s="212"/>
      <c r="E2124" s="228"/>
      <c r="F2124" s="169"/>
      <c r="G2124" s="178"/>
      <c r="H2124" s="898"/>
      <c r="J2124" s="826">
        <f t="shared" si="4"/>
        <v>0</v>
      </c>
      <c r="K2124" s="1058">
        <v>1279</v>
      </c>
      <c r="L2124" s="1058">
        <v>2000</v>
      </c>
      <c r="M2124" s="1058">
        <f>30*4*2</f>
        <v>240</v>
      </c>
    </row>
    <row r="2125" spans="1:13" s="1058" customFormat="1" x14ac:dyDescent="0.25">
      <c r="A2125" s="133"/>
      <c r="B2125" s="450"/>
      <c r="C2125" s="202"/>
      <c r="D2125" s="211"/>
      <c r="E2125" s="228"/>
      <c r="F2125" s="169"/>
      <c r="G2125" s="178"/>
      <c r="H2125" s="898"/>
      <c r="J2125" s="826">
        <f t="shared" si="4"/>
        <v>0</v>
      </c>
      <c r="K2125" s="1058">
        <f>+K2124-222*3</f>
        <v>613</v>
      </c>
      <c r="M2125" s="1058">
        <f>222*2</f>
        <v>444</v>
      </c>
    </row>
    <row r="2126" spans="1:13" s="1058" customFormat="1" x14ac:dyDescent="0.25">
      <c r="A2126" s="133"/>
      <c r="B2126" s="247"/>
      <c r="C2126" s="226"/>
      <c r="D2126" s="212"/>
      <c r="E2126" s="228"/>
      <c r="F2126" s="169"/>
      <c r="G2126" s="178"/>
      <c r="H2126" s="898"/>
      <c r="J2126" s="826">
        <f t="shared" si="4"/>
        <v>0</v>
      </c>
      <c r="K2126" s="1058">
        <f>+K2125-200</f>
        <v>413</v>
      </c>
      <c r="M2126" s="1058">
        <f>10*5*3*2</f>
        <v>300</v>
      </c>
    </row>
    <row r="2127" spans="1:13" s="1058" customFormat="1" x14ac:dyDescent="0.25">
      <c r="A2127" s="133"/>
      <c r="B2127" s="194"/>
      <c r="C2127" s="226"/>
      <c r="D2127" s="212"/>
      <c r="E2127" s="228"/>
      <c r="F2127" s="169"/>
      <c r="G2127" s="178"/>
      <c r="H2127" s="898"/>
      <c r="J2127" s="826">
        <f t="shared" si="4"/>
        <v>0</v>
      </c>
    </row>
    <row r="2128" spans="1:13" s="1058" customFormat="1" x14ac:dyDescent="0.25">
      <c r="A2128" s="133"/>
      <c r="B2128" s="195"/>
      <c r="C2128" s="226"/>
      <c r="D2128" s="212"/>
      <c r="E2128" s="176"/>
      <c r="F2128" s="169"/>
      <c r="G2128" s="178"/>
      <c r="H2128" s="898"/>
      <c r="J2128" s="826">
        <f t="shared" si="4"/>
        <v>0</v>
      </c>
    </row>
    <row r="2129" spans="1:10" s="1058" customFormat="1" x14ac:dyDescent="0.25">
      <c r="A2129" s="133"/>
      <c r="B2129" s="194"/>
      <c r="C2129" s="202"/>
      <c r="D2129" s="211"/>
      <c r="E2129" s="176"/>
      <c r="F2129" s="169"/>
      <c r="G2129" s="178"/>
      <c r="H2129" s="898"/>
      <c r="J2129" s="826">
        <f t="shared" si="4"/>
        <v>0</v>
      </c>
    </row>
    <row r="2130" spans="1:10" s="1058" customFormat="1" x14ac:dyDescent="0.25">
      <c r="A2130" s="133"/>
      <c r="B2130" s="195"/>
      <c r="C2130" s="226"/>
      <c r="D2130" s="212"/>
      <c r="E2130" s="176"/>
      <c r="F2130" s="169"/>
      <c r="G2130" s="178"/>
      <c r="H2130" s="898"/>
      <c r="J2130" s="826">
        <f t="shared" si="4"/>
        <v>0</v>
      </c>
    </row>
    <row r="2131" spans="1:10" s="1058" customFormat="1" x14ac:dyDescent="0.25">
      <c r="A2131" s="133"/>
      <c r="B2131" s="195"/>
      <c r="C2131" s="226"/>
      <c r="D2131" s="212"/>
      <c r="E2131" s="176"/>
      <c r="F2131" s="169"/>
      <c r="G2131" s="178"/>
      <c r="H2131" s="898"/>
      <c r="J2131" s="826">
        <f t="shared" si="4"/>
        <v>0</v>
      </c>
    </row>
    <row r="2132" spans="1:10" s="1058" customFormat="1" x14ac:dyDescent="0.25">
      <c r="A2132" s="133"/>
      <c r="B2132" s="195"/>
      <c r="C2132" s="232"/>
      <c r="D2132" s="952"/>
      <c r="E2132" s="232"/>
      <c r="F2132" s="226"/>
      <c r="G2132" s="229"/>
      <c r="H2132" s="898"/>
      <c r="J2132" s="826">
        <f t="shared" si="4"/>
        <v>0</v>
      </c>
    </row>
    <row r="2133" spans="1:10" s="1058" customFormat="1" x14ac:dyDescent="0.25">
      <c r="A2133" s="133"/>
      <c r="B2133" s="195"/>
      <c r="C2133" s="232"/>
      <c r="D2133" s="952"/>
      <c r="E2133" s="232"/>
      <c r="F2133" s="226"/>
      <c r="G2133" s="229"/>
      <c r="H2133" s="898"/>
      <c r="J2133" s="826">
        <f t="shared" si="4"/>
        <v>0</v>
      </c>
    </row>
    <row r="2134" spans="1:10" s="1058" customFormat="1" x14ac:dyDescent="0.25">
      <c r="A2134" s="133"/>
      <c r="B2134" s="195"/>
      <c r="C2134" s="232"/>
      <c r="D2134" s="952"/>
      <c r="E2134" s="232"/>
      <c r="F2134" s="226"/>
      <c r="G2134" s="229"/>
      <c r="H2134" s="898"/>
      <c r="J2134" s="826">
        <f t="shared" si="4"/>
        <v>0</v>
      </c>
    </row>
    <row r="2135" spans="1:10" s="1058" customFormat="1" ht="15.75" thickBot="1" x14ac:dyDescent="0.3">
      <c r="A2135" s="133"/>
      <c r="B2135" s="195"/>
      <c r="C2135" s="232"/>
      <c r="D2135" s="952"/>
      <c r="E2135" s="232"/>
      <c r="F2135" s="226"/>
      <c r="G2135" s="229"/>
      <c r="H2135" s="898"/>
      <c r="J2135" s="826">
        <f t="shared" si="4"/>
        <v>0</v>
      </c>
    </row>
    <row r="2136" spans="1:10" s="1058" customFormat="1" ht="15.75" thickBot="1" x14ac:dyDescent="0.3">
      <c r="A2136" s="133"/>
      <c r="B2136" s="233"/>
      <c r="C2136" s="234"/>
      <c r="D2136" s="953"/>
      <c r="E2136" s="234"/>
      <c r="F2136" s="235"/>
      <c r="G2136" s="236"/>
      <c r="H2136" s="902">
        <f>+SUM(G2124:G2136)</f>
        <v>0</v>
      </c>
      <c r="J2136" s="826">
        <f t="shared" si="4"/>
        <v>0</v>
      </c>
    </row>
    <row r="2137" spans="1:10" s="1058" customFormat="1" ht="15.75" thickBot="1" x14ac:dyDescent="0.3">
      <c r="A2137" s="133"/>
      <c r="B2137" s="238"/>
      <c r="C2137" s="238"/>
      <c r="D2137" s="954"/>
      <c r="E2137" s="238"/>
      <c r="F2137" s="239"/>
      <c r="G2137" s="240"/>
      <c r="H2137" s="337"/>
      <c r="J2137" s="826">
        <f t="shared" si="4"/>
        <v>0</v>
      </c>
    </row>
    <row r="2138" spans="1:10" s="1058" customFormat="1" ht="15.75" thickBot="1" x14ac:dyDescent="0.3">
      <c r="A2138" s="133"/>
      <c r="B2138" s="224" t="s">
        <v>5410</v>
      </c>
      <c r="C2138" s="193" t="s">
        <v>867</v>
      </c>
      <c r="D2138" s="951" t="s">
        <v>6</v>
      </c>
      <c r="E2138" s="193" t="s">
        <v>870</v>
      </c>
      <c r="F2138" s="193" t="s">
        <v>5411</v>
      </c>
      <c r="G2138" s="225" t="s">
        <v>868</v>
      </c>
      <c r="H2138" s="898"/>
      <c r="J2138" s="826" t="str">
        <f t="shared" si="4"/>
        <v>TRANSPORTE MATERIAL</v>
      </c>
    </row>
    <row r="2139" spans="1:10" s="1058" customFormat="1" x14ac:dyDescent="0.25">
      <c r="A2139" s="133"/>
      <c r="B2139" s="245"/>
      <c r="C2139" s="202"/>
      <c r="D2139" s="211"/>
      <c r="E2139" s="175"/>
      <c r="F2139" s="202"/>
      <c r="G2139" s="203"/>
      <c r="H2139" s="903"/>
      <c r="J2139" s="826">
        <f t="shared" si="4"/>
        <v>0</v>
      </c>
    </row>
    <row r="2140" spans="1:10" s="1058" customFormat="1" x14ac:dyDescent="0.25">
      <c r="A2140" s="133"/>
      <c r="B2140" s="247"/>
      <c r="C2140" s="248"/>
      <c r="D2140" s="961"/>
      <c r="E2140" s="248"/>
      <c r="F2140" s="202"/>
      <c r="G2140" s="178"/>
      <c r="H2140" s="898"/>
      <c r="J2140" s="826">
        <f t="shared" si="4"/>
        <v>0</v>
      </c>
    </row>
    <row r="2141" spans="1:10" s="1058" customFormat="1" x14ac:dyDescent="0.25">
      <c r="A2141" s="133"/>
      <c r="B2141" s="247"/>
      <c r="C2141" s="232"/>
      <c r="D2141" s="952"/>
      <c r="E2141" s="232"/>
      <c r="F2141" s="226"/>
      <c r="G2141" s="229"/>
      <c r="H2141" s="898"/>
      <c r="J2141" s="826">
        <f t="shared" si="4"/>
        <v>0</v>
      </c>
    </row>
    <row r="2142" spans="1:10" s="1058" customFormat="1" x14ac:dyDescent="0.25">
      <c r="A2142" s="133"/>
      <c r="B2142" s="194"/>
      <c r="C2142" s="232"/>
      <c r="D2142" s="952"/>
      <c r="E2142" s="232"/>
      <c r="F2142" s="226"/>
      <c r="G2142" s="229"/>
      <c r="H2142" s="898"/>
      <c r="J2142" s="826">
        <f t="shared" si="4"/>
        <v>0</v>
      </c>
    </row>
    <row r="2143" spans="1:10" s="1058" customFormat="1" ht="15.75" thickBot="1" x14ac:dyDescent="0.3">
      <c r="A2143" s="133"/>
      <c r="B2143" s="195"/>
      <c r="C2143" s="232"/>
      <c r="D2143" s="952"/>
      <c r="E2143" s="232"/>
      <c r="F2143" s="226"/>
      <c r="G2143" s="229"/>
      <c r="H2143" s="898"/>
      <c r="J2143" s="826">
        <f t="shared" si="4"/>
        <v>0</v>
      </c>
    </row>
    <row r="2144" spans="1:10" s="1058" customFormat="1" ht="15.75" thickBot="1" x14ac:dyDescent="0.3">
      <c r="A2144" s="133"/>
      <c r="B2144" s="233"/>
      <c r="C2144" s="234"/>
      <c r="D2144" s="953"/>
      <c r="E2144" s="234"/>
      <c r="F2144" s="235"/>
      <c r="G2144" s="236"/>
      <c r="H2144" s="831">
        <f>+SUM(G2139:G2144)</f>
        <v>0</v>
      </c>
      <c r="J2144" s="826">
        <f t="shared" si="4"/>
        <v>0</v>
      </c>
    </row>
    <row r="2145" spans="1:10" s="1058" customFormat="1" ht="15.75" thickBot="1" x14ac:dyDescent="0.3">
      <c r="A2145" s="133"/>
      <c r="B2145" s="238"/>
      <c r="C2145" s="238"/>
      <c r="D2145" s="954"/>
      <c r="E2145" s="238"/>
      <c r="F2145" s="249"/>
      <c r="G2145" s="250"/>
      <c r="H2145" s="337"/>
      <c r="J2145" s="826">
        <f t="shared" si="4"/>
        <v>0</v>
      </c>
    </row>
    <row r="2146" spans="1:10" s="1058" customFormat="1" ht="15.75" thickBot="1" x14ac:dyDescent="0.3">
      <c r="A2146" s="133"/>
      <c r="B2146" s="224" t="s">
        <v>5412</v>
      </c>
      <c r="C2146" s="193" t="s">
        <v>5420</v>
      </c>
      <c r="D2146" s="951" t="s">
        <v>5421</v>
      </c>
      <c r="E2146" s="193" t="s">
        <v>5413</v>
      </c>
      <c r="F2146" s="193" t="s">
        <v>5405</v>
      </c>
      <c r="G2146" s="225" t="s">
        <v>868</v>
      </c>
      <c r="H2146" s="898"/>
      <c r="J2146" s="826" t="str">
        <f t="shared" si="4"/>
        <v>MANO DE OBRA</v>
      </c>
    </row>
    <row r="2147" spans="1:10" s="1058" customFormat="1" x14ac:dyDescent="0.25">
      <c r="A2147" s="133"/>
      <c r="B2147" s="194" t="s">
        <v>5948</v>
      </c>
      <c r="C2147" s="345">
        <f>+VLOOKUP($B2147,'Mano de obra'!$A$5:$D$26,2,FALSE)</f>
        <v>57455</v>
      </c>
      <c r="D2147" s="345">
        <f>+VLOOKUP($B2147,'Mano de obra'!$A$5:$D$26,3,FALSE)</f>
        <v>35656</v>
      </c>
      <c r="E2147" s="345">
        <f>+VLOOKUP($B2147,'Mano de obra'!$A$5:$D$26,4,FALSE)</f>
        <v>93111</v>
      </c>
      <c r="F2147" s="1566">
        <v>45</v>
      </c>
      <c r="G2147" s="178">
        <f>+E2147/F2147</f>
        <v>2069.1333333333332</v>
      </c>
      <c r="H2147" s="898"/>
      <c r="J2147" s="826" t="str">
        <f t="shared" si="4"/>
        <v>Maestro</v>
      </c>
    </row>
    <row r="2148" spans="1:10" s="1058" customFormat="1" x14ac:dyDescent="0.25">
      <c r="A2148" s="133"/>
      <c r="B2148" s="194" t="s">
        <v>5949</v>
      </c>
      <c r="C2148" s="345">
        <f>+VLOOKUP($B2148,'Mano de obra'!$A$5:$D$26,2,FALSE)</f>
        <v>44263.8</v>
      </c>
      <c r="D2148" s="345">
        <f>+VLOOKUP($B2148,'Mano de obra'!$A$5:$D$26,3,FALSE)</f>
        <v>27470</v>
      </c>
      <c r="E2148" s="345">
        <f>+VLOOKUP($B2148,'Mano de obra'!$A$5:$D$26,4,FALSE)</f>
        <v>71733.8</v>
      </c>
      <c r="F2148" s="1565">
        <v>8</v>
      </c>
      <c r="G2148" s="178">
        <f>+E2148/F2148</f>
        <v>8966.7250000000004</v>
      </c>
      <c r="H2148" s="898"/>
      <c r="J2148" s="826" t="str">
        <f t="shared" si="4"/>
        <v>Oficial</v>
      </c>
    </row>
    <row r="2149" spans="1:10" s="1058" customFormat="1" x14ac:dyDescent="0.25">
      <c r="A2149" s="133"/>
      <c r="B2149" s="195" t="s">
        <v>5635</v>
      </c>
      <c r="C2149" s="345">
        <f>+VLOOKUP($B2149,'Mano de obra'!$A$5:$D$26,2,FALSE)</f>
        <v>24591</v>
      </c>
      <c r="D2149" s="345">
        <f>+VLOOKUP($B2149,'Mano de obra'!$A$5:$D$26,3,FALSE)</f>
        <v>15261</v>
      </c>
      <c r="E2149" s="345">
        <f>+VLOOKUP($B2149,'Mano de obra'!$A$5:$D$26,4,FALSE)</f>
        <v>39852</v>
      </c>
      <c r="F2149" s="226">
        <v>3</v>
      </c>
      <c r="G2149" s="178">
        <f>+E2149/F2149</f>
        <v>13284</v>
      </c>
      <c r="H2149" s="898"/>
      <c r="J2149" s="826" t="str">
        <f t="shared" si="4"/>
        <v>Ayudante</v>
      </c>
    </row>
    <row r="2150" spans="1:10" s="1058" customFormat="1" x14ac:dyDescent="0.25">
      <c r="A2150" s="133"/>
      <c r="B2150" s="195"/>
      <c r="C2150" s="171"/>
      <c r="D2150" s="965"/>
      <c r="E2150" s="228"/>
      <c r="F2150" s="226"/>
      <c r="G2150" s="178"/>
      <c r="H2150" s="898"/>
      <c r="J2150" s="826">
        <f t="shared" si="4"/>
        <v>0</v>
      </c>
    </row>
    <row r="2151" spans="1:10" s="1058" customFormat="1" x14ac:dyDescent="0.25">
      <c r="A2151" s="133"/>
      <c r="B2151" s="195"/>
      <c r="C2151" s="232"/>
      <c r="D2151" s="952"/>
      <c r="E2151" s="232"/>
      <c r="F2151" s="226"/>
      <c r="G2151" s="229"/>
      <c r="H2151" s="898"/>
      <c r="J2151" s="826">
        <f t="shared" si="4"/>
        <v>0</v>
      </c>
    </row>
    <row r="2152" spans="1:10" s="1058" customFormat="1" ht="15.75" thickBot="1" x14ac:dyDescent="0.3">
      <c r="A2152" s="133"/>
      <c r="B2152" s="195"/>
      <c r="C2152" s="232"/>
      <c r="D2152" s="952"/>
      <c r="E2152" s="232"/>
      <c r="F2152" s="226"/>
      <c r="G2152" s="229"/>
      <c r="H2152" s="898"/>
      <c r="J2152" s="826">
        <f t="shared" si="4"/>
        <v>0</v>
      </c>
    </row>
    <row r="2153" spans="1:10" s="1058" customFormat="1" ht="15.75" thickBot="1" x14ac:dyDescent="0.3">
      <c r="A2153" s="133"/>
      <c r="B2153" s="251"/>
      <c r="C2153" s="252"/>
      <c r="D2153" s="956"/>
      <c r="E2153" s="252"/>
      <c r="F2153" s="253"/>
      <c r="G2153" s="254"/>
      <c r="H2153" s="902">
        <f>+SUM(G2147:G2153)</f>
        <v>24319.858333333334</v>
      </c>
      <c r="J2153" s="826">
        <f t="shared" si="4"/>
        <v>0</v>
      </c>
    </row>
    <row r="2154" spans="1:10" s="1058" customFormat="1" ht="15.75" thickBot="1" x14ac:dyDescent="0.3">
      <c r="A2154" s="133"/>
      <c r="B2154" s="8"/>
      <c r="C2154" s="8"/>
      <c r="D2154" s="529"/>
      <c r="E2154" s="8"/>
      <c r="F2154" s="133"/>
      <c r="G2154" s="200"/>
      <c r="H2154" s="898"/>
      <c r="J2154" s="826">
        <f t="shared" si="4"/>
        <v>0</v>
      </c>
    </row>
    <row r="2155" spans="1:10" s="1058" customFormat="1" ht="15.75" thickBot="1" x14ac:dyDescent="0.3">
      <c r="A2155" s="133" t="s">
        <v>6744</v>
      </c>
      <c r="B2155" s="8"/>
      <c r="C2155" s="8"/>
      <c r="D2155" s="529"/>
      <c r="E2155" s="223" t="s">
        <v>5415</v>
      </c>
      <c r="F2155" s="223"/>
      <c r="G2155" s="200"/>
      <c r="H2155" s="902">
        <f>ROUND(+H2153+H2144+H2136+H2121,0)</f>
        <v>26752</v>
      </c>
      <c r="J2155" s="826">
        <f t="shared" ref="J2155:J2215" si="5">+B2155</f>
        <v>0</v>
      </c>
    </row>
    <row r="2156" spans="1:10" s="1058" customFormat="1" x14ac:dyDescent="0.25">
      <c r="D2156" s="957"/>
      <c r="J2156" s="826">
        <f t="shared" si="5"/>
        <v>0</v>
      </c>
    </row>
    <row r="2157" spans="1:10" s="1058" customFormat="1" x14ac:dyDescent="0.25">
      <c r="D2157" s="957"/>
      <c r="J2157" s="826">
        <f t="shared" si="5"/>
        <v>0</v>
      </c>
    </row>
    <row r="2158" spans="1:10" s="1058" customFormat="1" ht="25.5" customHeight="1" x14ac:dyDescent="0.25">
      <c r="A2158" s="673" t="s">
        <v>5482</v>
      </c>
      <c r="B2158" s="1390" t="str">
        <f>+VLOOKUP(C2158,ListaAPUs!$B:$E,4,FALSE)</f>
        <v>4.2.5</v>
      </c>
      <c r="C2158" s="2449" t="str">
        <f>+ListaAPUs!B79</f>
        <v>INSTALACIÓN ACCESORIOS EN HIERRO DÚCTIL 300MM</v>
      </c>
      <c r="D2158" s="2449"/>
      <c r="E2158" s="2449"/>
      <c r="F2158" s="673" t="s">
        <v>867</v>
      </c>
      <c r="G2158" s="222" t="s">
        <v>5424</v>
      </c>
      <c r="H2158" s="200"/>
      <c r="J2158" s="826" t="str">
        <f t="shared" si="5"/>
        <v>4.2.5</v>
      </c>
    </row>
    <row r="2159" spans="1:10" s="1058" customFormat="1" x14ac:dyDescent="0.25">
      <c r="A2159" s="133"/>
      <c r="B2159" s="8"/>
      <c r="C2159" s="223"/>
      <c r="D2159" s="958"/>
      <c r="E2159" s="223"/>
      <c r="F2159" s="133"/>
      <c r="G2159" s="200"/>
      <c r="H2159" s="200"/>
      <c r="J2159" s="826">
        <f t="shared" si="5"/>
        <v>0</v>
      </c>
    </row>
    <row r="2160" spans="1:10" s="1058" customFormat="1" x14ac:dyDescent="0.25">
      <c r="A2160" s="133"/>
      <c r="B2160" s="8"/>
      <c r="C2160" s="8"/>
      <c r="D2160" s="529"/>
      <c r="E2160" s="8"/>
      <c r="F2160" s="8"/>
      <c r="G2160" s="8"/>
      <c r="H2160" s="200"/>
      <c r="J2160" s="826">
        <f t="shared" si="5"/>
        <v>0</v>
      </c>
    </row>
    <row r="2161" spans="1:10" s="1058" customFormat="1" ht="15.75" thickBot="1" x14ac:dyDescent="0.3">
      <c r="A2161" s="133"/>
      <c r="B2161" s="8"/>
      <c r="C2161" s="8"/>
      <c r="D2161" s="529"/>
      <c r="E2161" s="8"/>
      <c r="F2161" s="133"/>
      <c r="G2161" s="200"/>
      <c r="H2161" s="200"/>
      <c r="J2161" s="826">
        <f t="shared" si="5"/>
        <v>0</v>
      </c>
    </row>
    <row r="2162" spans="1:10" s="1058" customFormat="1" ht="15.75" thickBot="1" x14ac:dyDescent="0.3">
      <c r="A2162" s="133"/>
      <c r="B2162" s="224" t="s">
        <v>5403</v>
      </c>
      <c r="C2162" s="193" t="s">
        <v>867</v>
      </c>
      <c r="D2162" s="951" t="s">
        <v>6</v>
      </c>
      <c r="E2162" s="193" t="s">
        <v>5439</v>
      </c>
      <c r="F2162" s="193" t="s">
        <v>5405</v>
      </c>
      <c r="G2162" s="225" t="s">
        <v>868</v>
      </c>
      <c r="H2162" s="200"/>
      <c r="J2162" s="826" t="str">
        <f t="shared" si="5"/>
        <v>EQUIPO</v>
      </c>
    </row>
    <row r="2163" spans="1:10" s="1058" customFormat="1" ht="27.75" customHeight="1" x14ac:dyDescent="0.25">
      <c r="A2163" s="133"/>
      <c r="B2163" s="195" t="s">
        <v>5455</v>
      </c>
      <c r="C2163" s="226" t="s">
        <v>7042</v>
      </c>
      <c r="D2163" s="212">
        <v>1</v>
      </c>
      <c r="E2163" s="228">
        <f>+H2201</f>
        <v>24319.836111111112</v>
      </c>
      <c r="F2163" s="226">
        <v>0.1</v>
      </c>
      <c r="G2163" s="818">
        <f>+E2163*F2163</f>
        <v>2431.9836111111113</v>
      </c>
      <c r="H2163" s="200"/>
      <c r="J2163" s="826" t="str">
        <f t="shared" si="5"/>
        <v>HERRAMIENTA MENOR</v>
      </c>
    </row>
    <row r="2164" spans="1:10" s="1058" customFormat="1" x14ac:dyDescent="0.25">
      <c r="A2164" s="133"/>
      <c r="B2164" s="195" t="s">
        <v>6869</v>
      </c>
      <c r="C2164" s="226" t="s">
        <v>7203</v>
      </c>
      <c r="D2164" s="212">
        <v>1</v>
      </c>
      <c r="E2164" s="975">
        <f>+VLOOKUP(B2164,Insumos!$A$2:$C$331,3,FALSE)</f>
        <v>202536</v>
      </c>
      <c r="F2164" s="226">
        <v>0.05</v>
      </c>
      <c r="G2164" s="818">
        <f>+E2164*F2164</f>
        <v>10126.800000000001</v>
      </c>
      <c r="H2164" s="200"/>
      <c r="J2164" s="826" t="str">
        <f t="shared" si="5"/>
        <v>RETROEXCAVADORA</v>
      </c>
    </row>
    <row r="2165" spans="1:10" s="1058" customFormat="1" x14ac:dyDescent="0.25">
      <c r="A2165" s="133"/>
      <c r="B2165" s="195"/>
      <c r="C2165" s="226"/>
      <c r="D2165" s="212"/>
      <c r="E2165" s="228"/>
      <c r="F2165" s="226"/>
      <c r="G2165" s="229"/>
      <c r="H2165" s="200"/>
      <c r="J2165" s="826">
        <f t="shared" si="5"/>
        <v>0</v>
      </c>
    </row>
    <row r="2166" spans="1:10" s="1058" customFormat="1" x14ac:dyDescent="0.25">
      <c r="A2166" s="133"/>
      <c r="B2166" s="195"/>
      <c r="C2166" s="226"/>
      <c r="D2166" s="212"/>
      <c r="E2166" s="171"/>
      <c r="F2166" s="226"/>
      <c r="G2166" s="231"/>
      <c r="H2166" s="200"/>
      <c r="J2166" s="826">
        <f t="shared" si="5"/>
        <v>0</v>
      </c>
    </row>
    <row r="2167" spans="1:10" s="1058" customFormat="1" x14ac:dyDescent="0.25">
      <c r="A2167" s="133"/>
      <c r="B2167" s="195"/>
      <c r="C2167" s="226"/>
      <c r="D2167" s="952"/>
      <c r="E2167" s="232"/>
      <c r="F2167" s="226"/>
      <c r="G2167" s="229"/>
      <c r="H2167" s="200"/>
      <c r="J2167" s="826">
        <f t="shared" si="5"/>
        <v>0</v>
      </c>
    </row>
    <row r="2168" spans="1:10" s="1058" customFormat="1" ht="15.75" thickBot="1" x14ac:dyDescent="0.3">
      <c r="A2168" s="133"/>
      <c r="B2168" s="195"/>
      <c r="C2168" s="226"/>
      <c r="D2168" s="952"/>
      <c r="E2168" s="232"/>
      <c r="F2168" s="226"/>
      <c r="G2168" s="229"/>
      <c r="H2168" s="200"/>
      <c r="J2168" s="826">
        <f t="shared" si="5"/>
        <v>0</v>
      </c>
    </row>
    <row r="2169" spans="1:10" s="1058" customFormat="1" ht="15.75" thickBot="1" x14ac:dyDescent="0.3">
      <c r="A2169" s="133"/>
      <c r="B2169" s="233"/>
      <c r="C2169" s="234"/>
      <c r="D2169" s="953"/>
      <c r="E2169" s="234"/>
      <c r="F2169" s="235"/>
      <c r="G2169" s="236"/>
      <c r="H2169" s="237">
        <f>+SUM(G2163:G2169)</f>
        <v>12558.783611111112</v>
      </c>
      <c r="J2169" s="826">
        <f t="shared" si="5"/>
        <v>0</v>
      </c>
    </row>
    <row r="2170" spans="1:10" s="1058" customFormat="1" ht="15.75" thickBot="1" x14ac:dyDescent="0.3">
      <c r="A2170" s="133"/>
      <c r="B2170" s="238"/>
      <c r="C2170" s="238"/>
      <c r="D2170" s="954"/>
      <c r="E2170" s="238"/>
      <c r="F2170" s="239"/>
      <c r="G2170" s="240"/>
      <c r="H2170" s="241"/>
      <c r="J2170" s="826">
        <f t="shared" si="5"/>
        <v>0</v>
      </c>
    </row>
    <row r="2171" spans="1:10" s="1058" customFormat="1" ht="15.75" thickBot="1" x14ac:dyDescent="0.3">
      <c r="A2171" s="133"/>
      <c r="B2171" s="224" t="s">
        <v>5408</v>
      </c>
      <c r="C2171" s="193" t="s">
        <v>867</v>
      </c>
      <c r="D2171" s="951" t="s">
        <v>6</v>
      </c>
      <c r="E2171" s="193" t="s">
        <v>870</v>
      </c>
      <c r="F2171" s="193" t="s">
        <v>5409</v>
      </c>
      <c r="G2171" s="225" t="s">
        <v>868</v>
      </c>
      <c r="H2171" s="200"/>
      <c r="J2171" s="826" t="str">
        <f t="shared" si="5"/>
        <v>MATERIALES</v>
      </c>
    </row>
    <row r="2172" spans="1:10" s="1058" customFormat="1" x14ac:dyDescent="0.25">
      <c r="A2172" s="133"/>
      <c r="B2172" s="295"/>
      <c r="C2172" s="202"/>
      <c r="D2172" s="212"/>
      <c r="E2172" s="228"/>
      <c r="F2172" s="169"/>
      <c r="G2172" s="178"/>
      <c r="H2172" s="200"/>
      <c r="J2172" s="826">
        <f t="shared" si="5"/>
        <v>0</v>
      </c>
    </row>
    <row r="2173" spans="1:10" s="1058" customFormat="1" x14ac:dyDescent="0.25">
      <c r="A2173" s="133"/>
      <c r="B2173" s="450"/>
      <c r="C2173" s="202"/>
      <c r="D2173" s="211"/>
      <c r="E2173" s="228"/>
      <c r="F2173" s="169"/>
      <c r="G2173" s="178"/>
      <c r="H2173" s="200"/>
      <c r="J2173" s="826">
        <f t="shared" si="5"/>
        <v>0</v>
      </c>
    </row>
    <row r="2174" spans="1:10" s="1058" customFormat="1" x14ac:dyDescent="0.25">
      <c r="A2174" s="133"/>
      <c r="B2174" s="247"/>
      <c r="C2174" s="226"/>
      <c r="D2174" s="212"/>
      <c r="E2174" s="228"/>
      <c r="F2174" s="169"/>
      <c r="G2174" s="178"/>
      <c r="H2174" s="200"/>
      <c r="J2174" s="826">
        <f t="shared" si="5"/>
        <v>0</v>
      </c>
    </row>
    <row r="2175" spans="1:10" s="1058" customFormat="1" x14ac:dyDescent="0.25">
      <c r="A2175" s="133"/>
      <c r="B2175" s="194"/>
      <c r="C2175" s="226"/>
      <c r="D2175" s="212"/>
      <c r="E2175" s="228"/>
      <c r="F2175" s="169"/>
      <c r="G2175" s="178"/>
      <c r="H2175" s="200"/>
      <c r="J2175" s="826">
        <f t="shared" si="5"/>
        <v>0</v>
      </c>
    </row>
    <row r="2176" spans="1:10" s="1058" customFormat="1" x14ac:dyDescent="0.25">
      <c r="A2176" s="133"/>
      <c r="B2176" s="195"/>
      <c r="C2176" s="226"/>
      <c r="D2176" s="212"/>
      <c r="E2176" s="176"/>
      <c r="F2176" s="169"/>
      <c r="G2176" s="178"/>
      <c r="H2176" s="200"/>
      <c r="J2176" s="826">
        <f t="shared" si="5"/>
        <v>0</v>
      </c>
    </row>
    <row r="2177" spans="1:10" s="1058" customFormat="1" x14ac:dyDescent="0.25">
      <c r="A2177" s="133"/>
      <c r="B2177" s="194"/>
      <c r="C2177" s="202"/>
      <c r="D2177" s="211"/>
      <c r="E2177" s="176"/>
      <c r="F2177" s="169"/>
      <c r="G2177" s="178"/>
      <c r="H2177" s="200"/>
      <c r="J2177" s="826">
        <f t="shared" si="5"/>
        <v>0</v>
      </c>
    </row>
    <row r="2178" spans="1:10" s="1058" customFormat="1" x14ac:dyDescent="0.25">
      <c r="A2178" s="133"/>
      <c r="B2178" s="195"/>
      <c r="C2178" s="226"/>
      <c r="D2178" s="212"/>
      <c r="E2178" s="176"/>
      <c r="F2178" s="169"/>
      <c r="G2178" s="178"/>
      <c r="H2178" s="200"/>
      <c r="J2178" s="826">
        <f t="shared" si="5"/>
        <v>0</v>
      </c>
    </row>
    <row r="2179" spans="1:10" s="1058" customFormat="1" x14ac:dyDescent="0.25">
      <c r="A2179" s="133"/>
      <c r="B2179" s="195"/>
      <c r="C2179" s="226"/>
      <c r="D2179" s="212"/>
      <c r="E2179" s="176"/>
      <c r="F2179" s="169"/>
      <c r="G2179" s="178"/>
      <c r="H2179" s="200"/>
      <c r="J2179" s="826">
        <f t="shared" si="5"/>
        <v>0</v>
      </c>
    </row>
    <row r="2180" spans="1:10" s="1058" customFormat="1" x14ac:dyDescent="0.25">
      <c r="A2180" s="133"/>
      <c r="B2180" s="195"/>
      <c r="C2180" s="232"/>
      <c r="D2180" s="952"/>
      <c r="E2180" s="232"/>
      <c r="F2180" s="226"/>
      <c r="G2180" s="229"/>
      <c r="H2180" s="200"/>
      <c r="J2180" s="826">
        <f t="shared" si="5"/>
        <v>0</v>
      </c>
    </row>
    <row r="2181" spans="1:10" s="1058" customFormat="1" x14ac:dyDescent="0.25">
      <c r="A2181" s="133"/>
      <c r="B2181" s="195"/>
      <c r="C2181" s="232"/>
      <c r="D2181" s="952"/>
      <c r="E2181" s="232"/>
      <c r="F2181" s="226"/>
      <c r="G2181" s="229"/>
      <c r="H2181" s="200"/>
      <c r="J2181" s="826">
        <f t="shared" si="5"/>
        <v>0</v>
      </c>
    </row>
    <row r="2182" spans="1:10" s="1058" customFormat="1" x14ac:dyDescent="0.25">
      <c r="A2182" s="133"/>
      <c r="B2182" s="195"/>
      <c r="C2182" s="232"/>
      <c r="D2182" s="952"/>
      <c r="E2182" s="232"/>
      <c r="F2182" s="226"/>
      <c r="G2182" s="229"/>
      <c r="H2182" s="200"/>
      <c r="J2182" s="826">
        <f t="shared" si="5"/>
        <v>0</v>
      </c>
    </row>
    <row r="2183" spans="1:10" s="1058" customFormat="1" ht="15.75" thickBot="1" x14ac:dyDescent="0.3">
      <c r="A2183" s="133"/>
      <c r="B2183" s="195"/>
      <c r="C2183" s="232"/>
      <c r="D2183" s="952"/>
      <c r="E2183" s="232"/>
      <c r="F2183" s="226"/>
      <c r="G2183" s="229"/>
      <c r="H2183" s="200"/>
      <c r="J2183" s="826">
        <f t="shared" si="5"/>
        <v>0</v>
      </c>
    </row>
    <row r="2184" spans="1:10" s="1058" customFormat="1" ht="15.75" thickBot="1" x14ac:dyDescent="0.3">
      <c r="A2184" s="133"/>
      <c r="B2184" s="233"/>
      <c r="C2184" s="234"/>
      <c r="D2184" s="953"/>
      <c r="E2184" s="234"/>
      <c r="F2184" s="235"/>
      <c r="G2184" s="236"/>
      <c r="H2184" s="256">
        <f>+SUM(G2172:G2184)</f>
        <v>0</v>
      </c>
      <c r="J2184" s="826">
        <f t="shared" si="5"/>
        <v>0</v>
      </c>
    </row>
    <row r="2185" spans="1:10" s="1058" customFormat="1" ht="15.75" thickBot="1" x14ac:dyDescent="0.3">
      <c r="A2185" s="133"/>
      <c r="B2185" s="238"/>
      <c r="C2185" s="238"/>
      <c r="D2185" s="954"/>
      <c r="E2185" s="238"/>
      <c r="F2185" s="239"/>
      <c r="G2185" s="240"/>
      <c r="H2185" s="241"/>
      <c r="J2185" s="826">
        <f t="shared" si="5"/>
        <v>0</v>
      </c>
    </row>
    <row r="2186" spans="1:10" s="1058" customFormat="1" ht="15.75" thickBot="1" x14ac:dyDescent="0.3">
      <c r="A2186" s="133"/>
      <c r="B2186" s="224" t="s">
        <v>5410</v>
      </c>
      <c r="C2186" s="193" t="s">
        <v>867</v>
      </c>
      <c r="D2186" s="951" t="s">
        <v>6</v>
      </c>
      <c r="E2186" s="193" t="s">
        <v>870</v>
      </c>
      <c r="F2186" s="193" t="s">
        <v>5411</v>
      </c>
      <c r="G2186" s="225" t="s">
        <v>868</v>
      </c>
      <c r="H2186" s="200"/>
      <c r="J2186" s="826" t="str">
        <f t="shared" si="5"/>
        <v>TRANSPORTE MATERIAL</v>
      </c>
    </row>
    <row r="2187" spans="1:10" s="1058" customFormat="1" x14ac:dyDescent="0.25">
      <c r="A2187" s="133"/>
      <c r="B2187" s="245"/>
      <c r="C2187" s="202"/>
      <c r="D2187" s="211"/>
      <c r="E2187" s="175"/>
      <c r="F2187" s="202"/>
      <c r="G2187" s="203"/>
      <c r="H2187" s="246"/>
      <c r="J2187" s="826">
        <f t="shared" si="5"/>
        <v>0</v>
      </c>
    </row>
    <row r="2188" spans="1:10" s="1058" customFormat="1" x14ac:dyDescent="0.25">
      <c r="A2188" s="133"/>
      <c r="B2188" s="247"/>
      <c r="C2188" s="248"/>
      <c r="D2188" s="961"/>
      <c r="E2188" s="248"/>
      <c r="F2188" s="202"/>
      <c r="G2188" s="178"/>
      <c r="H2188" s="200"/>
      <c r="J2188" s="826">
        <f t="shared" si="5"/>
        <v>0</v>
      </c>
    </row>
    <row r="2189" spans="1:10" s="1058" customFormat="1" x14ac:dyDescent="0.25">
      <c r="A2189" s="133"/>
      <c r="B2189" s="247"/>
      <c r="C2189" s="232"/>
      <c r="D2189" s="952"/>
      <c r="E2189" s="232"/>
      <c r="F2189" s="226"/>
      <c r="G2189" s="229"/>
      <c r="H2189" s="200"/>
      <c r="J2189" s="826">
        <f t="shared" si="5"/>
        <v>0</v>
      </c>
    </row>
    <row r="2190" spans="1:10" s="1058" customFormat="1" x14ac:dyDescent="0.25">
      <c r="A2190" s="133"/>
      <c r="B2190" s="194"/>
      <c r="C2190" s="232"/>
      <c r="D2190" s="952"/>
      <c r="E2190" s="232"/>
      <c r="F2190" s="226"/>
      <c r="G2190" s="229"/>
      <c r="H2190" s="200"/>
      <c r="J2190" s="826">
        <f t="shared" si="5"/>
        <v>0</v>
      </c>
    </row>
    <row r="2191" spans="1:10" s="1058" customFormat="1" ht="15.75" thickBot="1" x14ac:dyDescent="0.3">
      <c r="A2191" s="133"/>
      <c r="B2191" s="195"/>
      <c r="C2191" s="232"/>
      <c r="D2191" s="952"/>
      <c r="E2191" s="232"/>
      <c r="F2191" s="226"/>
      <c r="G2191" s="229"/>
      <c r="H2191" s="200"/>
      <c r="J2191" s="826">
        <f t="shared" si="5"/>
        <v>0</v>
      </c>
    </row>
    <row r="2192" spans="1:10" s="1058" customFormat="1" ht="15.75" thickBot="1" x14ac:dyDescent="0.3">
      <c r="A2192" s="133"/>
      <c r="B2192" s="233"/>
      <c r="C2192" s="234"/>
      <c r="D2192" s="953"/>
      <c r="E2192" s="234"/>
      <c r="F2192" s="235"/>
      <c r="G2192" s="236"/>
      <c r="H2192" s="237">
        <f>+SUM(G2187:G2192)</f>
        <v>0</v>
      </c>
      <c r="J2192" s="826">
        <f t="shared" si="5"/>
        <v>0</v>
      </c>
    </row>
    <row r="2193" spans="1:10" s="1058" customFormat="1" ht="15.75" thickBot="1" x14ac:dyDescent="0.3">
      <c r="A2193" s="133"/>
      <c r="B2193" s="238"/>
      <c r="C2193" s="238"/>
      <c r="D2193" s="954"/>
      <c r="E2193" s="238"/>
      <c r="F2193" s="249"/>
      <c r="G2193" s="250"/>
      <c r="H2193" s="241"/>
      <c r="J2193" s="826">
        <f t="shared" si="5"/>
        <v>0</v>
      </c>
    </row>
    <row r="2194" spans="1:10" s="1058" customFormat="1" ht="15.75" thickBot="1" x14ac:dyDescent="0.3">
      <c r="A2194" s="133"/>
      <c r="B2194" s="224" t="s">
        <v>5412</v>
      </c>
      <c r="C2194" s="193" t="s">
        <v>5420</v>
      </c>
      <c r="D2194" s="951" t="s">
        <v>5421</v>
      </c>
      <c r="E2194" s="193" t="s">
        <v>5413</v>
      </c>
      <c r="F2194" s="193" t="s">
        <v>5405</v>
      </c>
      <c r="G2194" s="225" t="s">
        <v>868</v>
      </c>
      <c r="H2194" s="200"/>
      <c r="J2194" s="826" t="str">
        <f t="shared" si="5"/>
        <v>MANO DE OBRA</v>
      </c>
    </row>
    <row r="2195" spans="1:10" s="1058" customFormat="1" x14ac:dyDescent="0.25">
      <c r="A2195" s="133"/>
      <c r="B2195" s="194" t="s">
        <v>6523</v>
      </c>
      <c r="C2195" s="345">
        <f>+VLOOKUP($B2195,'Mano de obra'!$A$5:$D$26,2,FALSE)</f>
        <v>57454</v>
      </c>
      <c r="D2195" s="345">
        <f>+VLOOKUP($B2195,'Mano de obra'!$A$5:$D$26,3,FALSE)</f>
        <v>35656</v>
      </c>
      <c r="E2195" s="345">
        <f>+VLOOKUP($B2195,'Mano de obra'!$A$5:$D$26,4,FALSE)</f>
        <v>93110</v>
      </c>
      <c r="F2195" s="1566">
        <v>45</v>
      </c>
      <c r="G2195" s="818">
        <f>+E2195/F2195</f>
        <v>2069.1111111111113</v>
      </c>
      <c r="H2195" s="200"/>
      <c r="J2195" s="826" t="str">
        <f t="shared" si="5"/>
        <v>OFICIAL ESPECIALIZADO</v>
      </c>
    </row>
    <row r="2196" spans="1:10" s="1058" customFormat="1" x14ac:dyDescent="0.25">
      <c r="A2196" s="133"/>
      <c r="B2196" s="194" t="s">
        <v>6524</v>
      </c>
      <c r="C2196" s="345">
        <f>+VLOOKUP($B2196,'Mano de obra'!$A$5:$D$26,2,FALSE)</f>
        <v>44263.8</v>
      </c>
      <c r="D2196" s="345">
        <f>+VLOOKUP($B2196,'Mano de obra'!$A$5:$D$26,3,FALSE)</f>
        <v>27470</v>
      </c>
      <c r="E2196" s="345">
        <f>+VLOOKUP($B2196,'Mano de obra'!$A$5:$D$26,4,FALSE)</f>
        <v>71733.8</v>
      </c>
      <c r="F2196" s="1565">
        <v>8</v>
      </c>
      <c r="G2196" s="818">
        <f>+E2196/F2196</f>
        <v>8966.7250000000004</v>
      </c>
      <c r="H2196" s="200"/>
      <c r="J2196" s="826" t="str">
        <f t="shared" si="5"/>
        <v>OFICIAL</v>
      </c>
    </row>
    <row r="2197" spans="1:10" s="1058" customFormat="1" x14ac:dyDescent="0.25">
      <c r="A2197" s="133"/>
      <c r="B2197" s="195" t="s">
        <v>6525</v>
      </c>
      <c r="C2197" s="345">
        <f>+VLOOKUP($B2197,'Mano de obra'!$A$5:$D$26,2,FALSE)</f>
        <v>24591</v>
      </c>
      <c r="D2197" s="345">
        <f>+VLOOKUP($B2197,'Mano de obra'!$A$5:$D$26,3,FALSE)</f>
        <v>15261</v>
      </c>
      <c r="E2197" s="345">
        <f>+VLOOKUP($B2197,'Mano de obra'!$A$5:$D$26,4,FALSE)</f>
        <v>39852</v>
      </c>
      <c r="F2197" s="226">
        <v>3</v>
      </c>
      <c r="G2197" s="818">
        <f>+E2197/F2197</f>
        <v>13284</v>
      </c>
      <c r="H2197" s="200"/>
      <c r="J2197" s="826" t="str">
        <f t="shared" si="5"/>
        <v>AYUDANTE</v>
      </c>
    </row>
    <row r="2198" spans="1:10" s="1058" customFormat="1" x14ac:dyDescent="0.25">
      <c r="A2198" s="133"/>
      <c r="B2198" s="195"/>
      <c r="C2198" s="171"/>
      <c r="D2198" s="965"/>
      <c r="E2198" s="228"/>
      <c r="F2198" s="226"/>
      <c r="G2198" s="178"/>
      <c r="H2198" s="200"/>
      <c r="J2198" s="826">
        <f t="shared" si="5"/>
        <v>0</v>
      </c>
    </row>
    <row r="2199" spans="1:10" s="1058" customFormat="1" x14ac:dyDescent="0.25">
      <c r="A2199" s="133"/>
      <c r="B2199" s="195"/>
      <c r="C2199" s="232"/>
      <c r="D2199" s="952"/>
      <c r="E2199" s="232"/>
      <c r="F2199" s="226"/>
      <c r="G2199" s="229"/>
      <c r="H2199" s="200"/>
      <c r="J2199" s="826">
        <f t="shared" si="5"/>
        <v>0</v>
      </c>
    </row>
    <row r="2200" spans="1:10" s="1058" customFormat="1" ht="15.75" thickBot="1" x14ac:dyDescent="0.3">
      <c r="A2200" s="133"/>
      <c r="B2200" s="195"/>
      <c r="C2200" s="232"/>
      <c r="D2200" s="952"/>
      <c r="E2200" s="232"/>
      <c r="F2200" s="226"/>
      <c r="G2200" s="229"/>
      <c r="H2200" s="200"/>
      <c r="J2200" s="826">
        <f t="shared" si="5"/>
        <v>0</v>
      </c>
    </row>
    <row r="2201" spans="1:10" s="1058" customFormat="1" ht="15.75" thickBot="1" x14ac:dyDescent="0.3">
      <c r="A2201" s="133"/>
      <c r="B2201" s="251"/>
      <c r="C2201" s="252"/>
      <c r="D2201" s="956"/>
      <c r="E2201" s="252"/>
      <c r="F2201" s="253"/>
      <c r="G2201" s="254"/>
      <c r="H2201" s="256">
        <f>+SUM(G2195:G2201)</f>
        <v>24319.836111111112</v>
      </c>
      <c r="J2201" s="826">
        <f t="shared" si="5"/>
        <v>0</v>
      </c>
    </row>
    <row r="2202" spans="1:10" s="1058" customFormat="1" ht="15.75" thickBot="1" x14ac:dyDescent="0.3">
      <c r="A2202" s="133"/>
      <c r="B2202" s="8"/>
      <c r="C2202" s="8"/>
      <c r="D2202" s="529"/>
      <c r="E2202" s="8"/>
      <c r="F2202" s="133"/>
      <c r="G2202" s="200"/>
      <c r="H2202" s="200"/>
      <c r="J2202" s="826">
        <f t="shared" si="5"/>
        <v>0</v>
      </c>
    </row>
    <row r="2203" spans="1:10" s="1058" customFormat="1" ht="15.75" thickBot="1" x14ac:dyDescent="0.3">
      <c r="A2203" s="133" t="s">
        <v>6744</v>
      </c>
      <c r="B2203" s="8"/>
      <c r="C2203" s="8"/>
      <c r="D2203" s="529"/>
      <c r="E2203" s="223" t="s">
        <v>5415</v>
      </c>
      <c r="F2203" s="223"/>
      <c r="G2203" s="200"/>
      <c r="H2203" s="256">
        <f>ROUND(+H2201+H2192+H2184+H2169,0)</f>
        <v>36879</v>
      </c>
      <c r="J2203" s="826">
        <f t="shared" si="5"/>
        <v>0</v>
      </c>
    </row>
    <row r="2204" spans="1:10" s="1058" customFormat="1" x14ac:dyDescent="0.25">
      <c r="D2204" s="957"/>
      <c r="J2204" s="826">
        <f t="shared" si="5"/>
        <v>0</v>
      </c>
    </row>
    <row r="2205" spans="1:10" s="1058" customFormat="1" x14ac:dyDescent="0.25">
      <c r="D2205" s="957"/>
      <c r="J2205" s="826">
        <f t="shared" si="5"/>
        <v>0</v>
      </c>
    </row>
    <row r="2206" spans="1:10" s="1058" customFormat="1" x14ac:dyDescent="0.25">
      <c r="A2206" s="673" t="s">
        <v>5482</v>
      </c>
      <c r="B2206" s="1390" t="str">
        <f>+VLOOKUP(C2206,ListaAPUs!$B:$E,4,FALSE)</f>
        <v>4.2.6</v>
      </c>
      <c r="C2206" s="2449" t="str">
        <f>+ListaAPUs!B80</f>
        <v>INSTALACIÓN ACCESORIOS EN HIERRO DÚCTIL 350MM</v>
      </c>
      <c r="D2206" s="2449"/>
      <c r="E2206" s="2449"/>
      <c r="F2206" s="673" t="s">
        <v>867</v>
      </c>
      <c r="G2206" s="222" t="s">
        <v>5424</v>
      </c>
      <c r="H2206" s="200"/>
      <c r="J2206" s="826" t="str">
        <f t="shared" si="5"/>
        <v>4.2.6</v>
      </c>
    </row>
    <row r="2207" spans="1:10" s="1058" customFormat="1" x14ac:dyDescent="0.25">
      <c r="A2207" s="133"/>
      <c r="B2207" s="8"/>
      <c r="C2207" s="223"/>
      <c r="D2207" s="958"/>
      <c r="E2207" s="223"/>
      <c r="F2207" s="133"/>
      <c r="G2207" s="200"/>
      <c r="H2207" s="200"/>
      <c r="J2207" s="826">
        <f t="shared" si="5"/>
        <v>0</v>
      </c>
    </row>
    <row r="2208" spans="1:10" s="1058" customFormat="1" x14ac:dyDescent="0.25">
      <c r="A2208" s="133"/>
      <c r="B2208" s="8"/>
      <c r="C2208" s="8"/>
      <c r="D2208" s="529"/>
      <c r="E2208" s="8"/>
      <c r="F2208" s="8"/>
      <c r="G2208" s="8"/>
      <c r="H2208" s="200"/>
      <c r="J2208" s="826">
        <f t="shared" si="5"/>
        <v>0</v>
      </c>
    </row>
    <row r="2209" spans="1:10" s="1058" customFormat="1" ht="15.75" thickBot="1" x14ac:dyDescent="0.3">
      <c r="A2209" s="133"/>
      <c r="B2209" s="8"/>
      <c r="C2209" s="8"/>
      <c r="D2209" s="529"/>
      <c r="E2209" s="8"/>
      <c r="F2209" s="133"/>
      <c r="G2209" s="200"/>
      <c r="H2209" s="200"/>
      <c r="J2209" s="826">
        <f t="shared" si="5"/>
        <v>0</v>
      </c>
    </row>
    <row r="2210" spans="1:10" s="1058" customFormat="1" ht="15.75" thickBot="1" x14ac:dyDescent="0.3">
      <c r="A2210" s="133"/>
      <c r="B2210" s="224" t="s">
        <v>5403</v>
      </c>
      <c r="C2210" s="193" t="s">
        <v>867</v>
      </c>
      <c r="D2210" s="951" t="s">
        <v>6</v>
      </c>
      <c r="E2210" s="193" t="s">
        <v>5439</v>
      </c>
      <c r="F2210" s="193" t="s">
        <v>5405</v>
      </c>
      <c r="G2210" s="225" t="s">
        <v>868</v>
      </c>
      <c r="H2210" s="200"/>
      <c r="J2210" s="826" t="str">
        <f t="shared" si="5"/>
        <v>EQUIPO</v>
      </c>
    </row>
    <row r="2211" spans="1:10" s="1058" customFormat="1" x14ac:dyDescent="0.25">
      <c r="A2211" s="133"/>
      <c r="B2211" s="195" t="s">
        <v>5455</v>
      </c>
      <c r="C2211" s="226" t="s">
        <v>7042</v>
      </c>
      <c r="D2211" s="212">
        <v>1</v>
      </c>
      <c r="E2211" s="228">
        <f>+H2249</f>
        <v>25859.435714285715</v>
      </c>
      <c r="F2211" s="226">
        <v>0.1</v>
      </c>
      <c r="G2211" s="818">
        <f>+E2211*F2211</f>
        <v>2585.9435714285719</v>
      </c>
      <c r="H2211" s="200"/>
      <c r="J2211" s="826" t="str">
        <f t="shared" si="5"/>
        <v>HERRAMIENTA MENOR</v>
      </c>
    </row>
    <row r="2212" spans="1:10" s="1058" customFormat="1" x14ac:dyDescent="0.25">
      <c r="A2212" s="133"/>
      <c r="B2212" s="195" t="s">
        <v>6869</v>
      </c>
      <c r="C2212" s="226" t="s">
        <v>7203</v>
      </c>
      <c r="D2212" s="212">
        <v>1</v>
      </c>
      <c r="E2212" s="975">
        <f>+VLOOKUP(B2212,Insumos!$A$2:$C$331,3,FALSE)</f>
        <v>202536</v>
      </c>
      <c r="F2212" s="197">
        <v>0.05</v>
      </c>
      <c r="G2212" s="818">
        <f>+E2212*F2212</f>
        <v>10126.800000000001</v>
      </c>
      <c r="H2212" s="200"/>
      <c r="J2212" s="826" t="str">
        <f t="shared" si="5"/>
        <v>RETROEXCAVADORA</v>
      </c>
    </row>
    <row r="2213" spans="1:10" s="1058" customFormat="1" x14ac:dyDescent="0.25">
      <c r="A2213" s="133"/>
      <c r="B2213" s="195"/>
      <c r="C2213" s="226" t="s">
        <v>7044</v>
      </c>
      <c r="D2213" s="212"/>
      <c r="E2213" s="228" t="s">
        <v>7044</v>
      </c>
      <c r="F2213" s="226"/>
      <c r="G2213" s="229"/>
      <c r="H2213" s="200"/>
      <c r="J2213" s="826">
        <f t="shared" si="5"/>
        <v>0</v>
      </c>
    </row>
    <row r="2214" spans="1:10" s="1058" customFormat="1" x14ac:dyDescent="0.25">
      <c r="A2214" s="133"/>
      <c r="B2214" s="195"/>
      <c r="C2214" s="226"/>
      <c r="D2214" s="212"/>
      <c r="E2214" s="171"/>
      <c r="F2214" s="226"/>
      <c r="G2214" s="231"/>
      <c r="H2214" s="200"/>
      <c r="J2214" s="826">
        <f t="shared" si="5"/>
        <v>0</v>
      </c>
    </row>
    <row r="2215" spans="1:10" s="1058" customFormat="1" x14ac:dyDescent="0.25">
      <c r="A2215" s="133"/>
      <c r="B2215" s="195"/>
      <c r="C2215" s="226"/>
      <c r="D2215" s="952"/>
      <c r="E2215" s="232"/>
      <c r="F2215" s="226"/>
      <c r="G2215" s="229"/>
      <c r="H2215" s="200"/>
      <c r="J2215" s="826">
        <f t="shared" si="5"/>
        <v>0</v>
      </c>
    </row>
    <row r="2216" spans="1:10" s="1058" customFormat="1" ht="15.75" thickBot="1" x14ac:dyDescent="0.3">
      <c r="A2216" s="133"/>
      <c r="B2216" s="195"/>
      <c r="C2216" s="226"/>
      <c r="D2216" s="952"/>
      <c r="E2216" s="232"/>
      <c r="F2216" s="226"/>
      <c r="G2216" s="229"/>
      <c r="H2216" s="200"/>
      <c r="J2216" s="826">
        <f t="shared" ref="J2216:J2253" si="6">+B2216</f>
        <v>0</v>
      </c>
    </row>
    <row r="2217" spans="1:10" s="1058" customFormat="1" ht="15.75" thickBot="1" x14ac:dyDescent="0.3">
      <c r="A2217" s="133"/>
      <c r="B2217" s="233"/>
      <c r="C2217" s="234"/>
      <c r="D2217" s="953"/>
      <c r="E2217" s="234"/>
      <c r="F2217" s="235"/>
      <c r="G2217" s="236"/>
      <c r="H2217" s="237">
        <f>+SUM(G2211:G2217)</f>
        <v>12712.743571428573</v>
      </c>
      <c r="J2217" s="826">
        <f t="shared" si="6"/>
        <v>0</v>
      </c>
    </row>
    <row r="2218" spans="1:10" s="1058" customFormat="1" ht="15.75" thickBot="1" x14ac:dyDescent="0.3">
      <c r="A2218" s="133"/>
      <c r="B2218" s="238"/>
      <c r="C2218" s="238"/>
      <c r="D2218" s="954"/>
      <c r="E2218" s="238"/>
      <c r="F2218" s="239"/>
      <c r="G2218" s="240"/>
      <c r="H2218" s="241"/>
      <c r="J2218" s="826">
        <f t="shared" si="6"/>
        <v>0</v>
      </c>
    </row>
    <row r="2219" spans="1:10" s="1058" customFormat="1" ht="15.75" thickBot="1" x14ac:dyDescent="0.3">
      <c r="A2219" s="133"/>
      <c r="B2219" s="224" t="s">
        <v>5408</v>
      </c>
      <c r="C2219" s="193" t="s">
        <v>867</v>
      </c>
      <c r="D2219" s="951" t="s">
        <v>6</v>
      </c>
      <c r="E2219" s="193" t="s">
        <v>870</v>
      </c>
      <c r="F2219" s="193" t="s">
        <v>5409</v>
      </c>
      <c r="G2219" s="225" t="s">
        <v>868</v>
      </c>
      <c r="H2219" s="200"/>
      <c r="J2219" s="826" t="str">
        <f t="shared" si="6"/>
        <v>MATERIALES</v>
      </c>
    </row>
    <row r="2220" spans="1:10" s="1058" customFormat="1" x14ac:dyDescent="0.25">
      <c r="A2220" s="133"/>
      <c r="B2220" s="295"/>
      <c r="C2220" s="202"/>
      <c r="D2220" s="212"/>
      <c r="E2220" s="228"/>
      <c r="F2220" s="169"/>
      <c r="G2220" s="178"/>
      <c r="H2220" s="200"/>
      <c r="J2220" s="826">
        <f t="shared" si="6"/>
        <v>0</v>
      </c>
    </row>
    <row r="2221" spans="1:10" s="1058" customFormat="1" x14ac:dyDescent="0.25">
      <c r="A2221" s="133"/>
      <c r="B2221" s="450"/>
      <c r="C2221" s="202"/>
      <c r="D2221" s="211"/>
      <c r="E2221" s="228"/>
      <c r="F2221" s="169"/>
      <c r="G2221" s="178"/>
      <c r="H2221" s="200"/>
      <c r="J2221" s="826">
        <f t="shared" si="6"/>
        <v>0</v>
      </c>
    </row>
    <row r="2222" spans="1:10" s="1058" customFormat="1" x14ac:dyDescent="0.25">
      <c r="A2222" s="133"/>
      <c r="B2222" s="247"/>
      <c r="C2222" s="226"/>
      <c r="D2222" s="212"/>
      <c r="E2222" s="228"/>
      <c r="F2222" s="169"/>
      <c r="G2222" s="178"/>
      <c r="H2222" s="200"/>
      <c r="J2222" s="826">
        <f t="shared" si="6"/>
        <v>0</v>
      </c>
    </row>
    <row r="2223" spans="1:10" s="1058" customFormat="1" x14ac:dyDescent="0.25">
      <c r="A2223" s="133"/>
      <c r="B2223" s="194"/>
      <c r="C2223" s="226"/>
      <c r="D2223" s="212"/>
      <c r="E2223" s="228"/>
      <c r="F2223" s="169"/>
      <c r="G2223" s="178"/>
      <c r="H2223" s="200"/>
      <c r="J2223" s="826">
        <f t="shared" si="6"/>
        <v>0</v>
      </c>
    </row>
    <row r="2224" spans="1:10" s="1058" customFormat="1" x14ac:dyDescent="0.25">
      <c r="A2224" s="133"/>
      <c r="B2224" s="195"/>
      <c r="C2224" s="226"/>
      <c r="D2224" s="212"/>
      <c r="E2224" s="176"/>
      <c r="F2224" s="169"/>
      <c r="G2224" s="178"/>
      <c r="H2224" s="200"/>
      <c r="J2224" s="826">
        <f t="shared" si="6"/>
        <v>0</v>
      </c>
    </row>
    <row r="2225" spans="1:10" s="1058" customFormat="1" x14ac:dyDescent="0.25">
      <c r="A2225" s="133"/>
      <c r="B2225" s="194"/>
      <c r="C2225" s="202"/>
      <c r="D2225" s="211"/>
      <c r="E2225" s="176"/>
      <c r="F2225" s="169"/>
      <c r="G2225" s="178"/>
      <c r="H2225" s="200"/>
      <c r="J2225" s="826">
        <f t="shared" si="6"/>
        <v>0</v>
      </c>
    </row>
    <row r="2226" spans="1:10" s="1058" customFormat="1" x14ac:dyDescent="0.25">
      <c r="A2226" s="133"/>
      <c r="B2226" s="195"/>
      <c r="C2226" s="226"/>
      <c r="D2226" s="212"/>
      <c r="E2226" s="176"/>
      <c r="F2226" s="169"/>
      <c r="G2226" s="178"/>
      <c r="H2226" s="200"/>
      <c r="J2226" s="826">
        <f t="shared" si="6"/>
        <v>0</v>
      </c>
    </row>
    <row r="2227" spans="1:10" s="1058" customFormat="1" x14ac:dyDescent="0.25">
      <c r="A2227" s="133"/>
      <c r="B2227" s="195"/>
      <c r="C2227" s="226"/>
      <c r="D2227" s="212"/>
      <c r="E2227" s="176"/>
      <c r="F2227" s="169"/>
      <c r="G2227" s="178"/>
      <c r="H2227" s="200"/>
      <c r="J2227" s="826">
        <f t="shared" si="6"/>
        <v>0</v>
      </c>
    </row>
    <row r="2228" spans="1:10" s="1058" customFormat="1" x14ac:dyDescent="0.25">
      <c r="A2228" s="133"/>
      <c r="B2228" s="195"/>
      <c r="C2228" s="232"/>
      <c r="D2228" s="952"/>
      <c r="E2228" s="232"/>
      <c r="F2228" s="226"/>
      <c r="G2228" s="229"/>
      <c r="H2228" s="200"/>
      <c r="J2228" s="826">
        <f t="shared" si="6"/>
        <v>0</v>
      </c>
    </row>
    <row r="2229" spans="1:10" s="1058" customFormat="1" x14ac:dyDescent="0.25">
      <c r="A2229" s="133"/>
      <c r="B2229" s="195"/>
      <c r="C2229" s="232"/>
      <c r="D2229" s="952"/>
      <c r="E2229" s="232"/>
      <c r="F2229" s="226"/>
      <c r="G2229" s="229"/>
      <c r="H2229" s="200"/>
      <c r="J2229" s="826">
        <f t="shared" si="6"/>
        <v>0</v>
      </c>
    </row>
    <row r="2230" spans="1:10" s="1058" customFormat="1" x14ac:dyDescent="0.25">
      <c r="A2230" s="133"/>
      <c r="B2230" s="195"/>
      <c r="C2230" s="232"/>
      <c r="D2230" s="952"/>
      <c r="E2230" s="232"/>
      <c r="F2230" s="226"/>
      <c r="G2230" s="229"/>
      <c r="H2230" s="200"/>
      <c r="J2230" s="826">
        <f t="shared" si="6"/>
        <v>0</v>
      </c>
    </row>
    <row r="2231" spans="1:10" s="1058" customFormat="1" ht="15.75" thickBot="1" x14ac:dyDescent="0.3">
      <c r="A2231" s="133"/>
      <c r="B2231" s="195"/>
      <c r="C2231" s="232"/>
      <c r="D2231" s="952"/>
      <c r="E2231" s="232"/>
      <c r="F2231" s="226"/>
      <c r="G2231" s="229"/>
      <c r="H2231" s="200"/>
      <c r="J2231" s="826">
        <f t="shared" si="6"/>
        <v>0</v>
      </c>
    </row>
    <row r="2232" spans="1:10" s="1058" customFormat="1" ht="15.75" thickBot="1" x14ac:dyDescent="0.3">
      <c r="A2232" s="133"/>
      <c r="B2232" s="233"/>
      <c r="C2232" s="234"/>
      <c r="D2232" s="953"/>
      <c r="E2232" s="234"/>
      <c r="F2232" s="235"/>
      <c r="G2232" s="236"/>
      <c r="H2232" s="256">
        <f>+SUM(G2220:G2232)</f>
        <v>0</v>
      </c>
      <c r="J2232" s="826">
        <f t="shared" si="6"/>
        <v>0</v>
      </c>
    </row>
    <row r="2233" spans="1:10" s="1058" customFormat="1" ht="15.75" thickBot="1" x14ac:dyDescent="0.3">
      <c r="A2233" s="133"/>
      <c r="B2233" s="238"/>
      <c r="C2233" s="238"/>
      <c r="D2233" s="954"/>
      <c r="E2233" s="238"/>
      <c r="F2233" s="239"/>
      <c r="G2233" s="240"/>
      <c r="H2233" s="241"/>
      <c r="J2233" s="826">
        <f t="shared" si="6"/>
        <v>0</v>
      </c>
    </row>
    <row r="2234" spans="1:10" s="1058" customFormat="1" ht="15.75" thickBot="1" x14ac:dyDescent="0.3">
      <c r="A2234" s="133"/>
      <c r="B2234" s="224" t="s">
        <v>5410</v>
      </c>
      <c r="C2234" s="193" t="s">
        <v>867</v>
      </c>
      <c r="D2234" s="951" t="s">
        <v>6</v>
      </c>
      <c r="E2234" s="193" t="s">
        <v>870</v>
      </c>
      <c r="F2234" s="193" t="s">
        <v>5411</v>
      </c>
      <c r="G2234" s="225" t="s">
        <v>868</v>
      </c>
      <c r="H2234" s="200"/>
      <c r="J2234" s="826" t="str">
        <f t="shared" si="6"/>
        <v>TRANSPORTE MATERIAL</v>
      </c>
    </row>
    <row r="2235" spans="1:10" s="1058" customFormat="1" x14ac:dyDescent="0.25">
      <c r="A2235" s="133"/>
      <c r="B2235" s="245"/>
      <c r="C2235" s="202"/>
      <c r="D2235" s="211"/>
      <c r="E2235" s="175"/>
      <c r="F2235" s="202"/>
      <c r="G2235" s="203"/>
      <c r="H2235" s="246"/>
      <c r="J2235" s="826">
        <f t="shared" si="6"/>
        <v>0</v>
      </c>
    </row>
    <row r="2236" spans="1:10" s="1058" customFormat="1" x14ac:dyDescent="0.25">
      <c r="A2236" s="133"/>
      <c r="B2236" s="247"/>
      <c r="C2236" s="248"/>
      <c r="D2236" s="961"/>
      <c r="E2236" s="248"/>
      <c r="F2236" s="202"/>
      <c r="G2236" s="178"/>
      <c r="H2236" s="200"/>
      <c r="J2236" s="826">
        <f t="shared" si="6"/>
        <v>0</v>
      </c>
    </row>
    <row r="2237" spans="1:10" s="1058" customFormat="1" x14ac:dyDescent="0.25">
      <c r="A2237" s="133"/>
      <c r="B2237" s="247"/>
      <c r="C2237" s="232"/>
      <c r="D2237" s="952"/>
      <c r="E2237" s="232"/>
      <c r="F2237" s="226"/>
      <c r="G2237" s="229"/>
      <c r="H2237" s="200"/>
      <c r="J2237" s="826">
        <f t="shared" si="6"/>
        <v>0</v>
      </c>
    </row>
    <row r="2238" spans="1:10" s="1058" customFormat="1" x14ac:dyDescent="0.25">
      <c r="A2238" s="133"/>
      <c r="B2238" s="194"/>
      <c r="C2238" s="232"/>
      <c r="D2238" s="952"/>
      <c r="E2238" s="232"/>
      <c r="F2238" s="226"/>
      <c r="G2238" s="229"/>
      <c r="H2238" s="200"/>
      <c r="J2238" s="826">
        <f t="shared" si="6"/>
        <v>0</v>
      </c>
    </row>
    <row r="2239" spans="1:10" s="1058" customFormat="1" ht="15.75" thickBot="1" x14ac:dyDescent="0.3">
      <c r="A2239" s="133"/>
      <c r="B2239" s="195"/>
      <c r="C2239" s="232"/>
      <c r="D2239" s="952"/>
      <c r="E2239" s="232"/>
      <c r="F2239" s="226"/>
      <c r="G2239" s="229"/>
      <c r="H2239" s="200"/>
      <c r="J2239" s="826">
        <f t="shared" si="6"/>
        <v>0</v>
      </c>
    </row>
    <row r="2240" spans="1:10" s="1058" customFormat="1" ht="15.75" thickBot="1" x14ac:dyDescent="0.3">
      <c r="A2240" s="133"/>
      <c r="B2240" s="233"/>
      <c r="C2240" s="234"/>
      <c r="D2240" s="953"/>
      <c r="E2240" s="234"/>
      <c r="F2240" s="235"/>
      <c r="G2240" s="236"/>
      <c r="H2240" s="237">
        <f>+SUM(G2235:G2240)</f>
        <v>0</v>
      </c>
      <c r="J2240" s="826">
        <f t="shared" si="6"/>
        <v>0</v>
      </c>
    </row>
    <row r="2241" spans="1:10" s="1058" customFormat="1" ht="15.75" thickBot="1" x14ac:dyDescent="0.3">
      <c r="A2241" s="133"/>
      <c r="B2241" s="238"/>
      <c r="C2241" s="238"/>
      <c r="D2241" s="954"/>
      <c r="E2241" s="238"/>
      <c r="F2241" s="249"/>
      <c r="G2241" s="250"/>
      <c r="H2241" s="241"/>
      <c r="J2241" s="826">
        <f t="shared" si="6"/>
        <v>0</v>
      </c>
    </row>
    <row r="2242" spans="1:10" s="1058" customFormat="1" ht="15.75" thickBot="1" x14ac:dyDescent="0.3">
      <c r="A2242" s="133"/>
      <c r="B2242" s="224" t="s">
        <v>5412</v>
      </c>
      <c r="C2242" s="193" t="s">
        <v>5420</v>
      </c>
      <c r="D2242" s="951" t="s">
        <v>5421</v>
      </c>
      <c r="E2242" s="193" t="s">
        <v>5413</v>
      </c>
      <c r="F2242" s="193" t="s">
        <v>5405</v>
      </c>
      <c r="G2242" s="225" t="s">
        <v>868</v>
      </c>
      <c r="H2242" s="200"/>
      <c r="J2242" s="826" t="str">
        <f t="shared" si="6"/>
        <v>MANO DE OBRA</v>
      </c>
    </row>
    <row r="2243" spans="1:10" s="1058" customFormat="1" x14ac:dyDescent="0.25">
      <c r="A2243" s="133"/>
      <c r="B2243" s="194" t="s">
        <v>6523</v>
      </c>
      <c r="C2243" s="345">
        <f>+VLOOKUP($B2243,'Mano de obra'!$A$5:$D$26,2,FALSE)</f>
        <v>57454</v>
      </c>
      <c r="D2243" s="345">
        <f>+VLOOKUP($B2243,'Mano de obra'!$A$5:$D$26,3,FALSE)</f>
        <v>35656</v>
      </c>
      <c r="E2243" s="345">
        <f>+VLOOKUP($B2243,'Mano de obra'!$A$5:$D$26,4,FALSE)</f>
        <v>93110</v>
      </c>
      <c r="F2243" s="1566">
        <v>40</v>
      </c>
      <c r="G2243" s="818">
        <f>IF(B2243="","",E2243/F2243)</f>
        <v>2327.75</v>
      </c>
      <c r="H2243" s="200"/>
      <c r="J2243" s="826" t="str">
        <f t="shared" si="6"/>
        <v>OFICIAL ESPECIALIZADO</v>
      </c>
    </row>
    <row r="2244" spans="1:10" s="1058" customFormat="1" x14ac:dyDescent="0.25">
      <c r="A2244" s="133"/>
      <c r="B2244" s="194" t="s">
        <v>6524</v>
      </c>
      <c r="C2244" s="345">
        <f>+VLOOKUP($B2244,'Mano de obra'!$A$5:$D$26,2,FALSE)</f>
        <v>44263.8</v>
      </c>
      <c r="D2244" s="345">
        <f>+VLOOKUP($B2244,'Mano de obra'!$A$5:$D$26,3,FALSE)</f>
        <v>27470</v>
      </c>
      <c r="E2244" s="345">
        <f>+VLOOKUP($B2244,'Mano de obra'!$A$5:$D$26,4,FALSE)</f>
        <v>71733.8</v>
      </c>
      <c r="F2244" s="1565">
        <v>7</v>
      </c>
      <c r="G2244" s="818">
        <f>IF(B2244="","",E2244/F2244)</f>
        <v>10247.685714285715</v>
      </c>
      <c r="H2244" s="200"/>
      <c r="J2244" s="826" t="str">
        <f t="shared" si="6"/>
        <v>OFICIAL</v>
      </c>
    </row>
    <row r="2245" spans="1:10" s="1058" customFormat="1" x14ac:dyDescent="0.25">
      <c r="A2245" s="133"/>
      <c r="B2245" s="195" t="s">
        <v>6525</v>
      </c>
      <c r="C2245" s="345">
        <f>+VLOOKUP($B2245,'Mano de obra'!$A$5:$D$26,2,FALSE)</f>
        <v>24591</v>
      </c>
      <c r="D2245" s="345">
        <f>+VLOOKUP($B2245,'Mano de obra'!$A$5:$D$26,3,FALSE)</f>
        <v>15261</v>
      </c>
      <c r="E2245" s="345">
        <f>+VLOOKUP($B2245,'Mano de obra'!$A$5:$D$26,4,FALSE)</f>
        <v>39852</v>
      </c>
      <c r="F2245" s="226">
        <v>3</v>
      </c>
      <c r="G2245" s="818">
        <f>IF(B2245="","",E2245/F2245)</f>
        <v>13284</v>
      </c>
      <c r="H2245" s="200"/>
      <c r="J2245" s="826" t="str">
        <f t="shared" si="6"/>
        <v>AYUDANTE</v>
      </c>
    </row>
    <row r="2246" spans="1:10" s="1058" customFormat="1" x14ac:dyDescent="0.25">
      <c r="A2246" s="133"/>
      <c r="B2246" s="195"/>
      <c r="C2246" s="171"/>
      <c r="D2246" s="965"/>
      <c r="E2246" s="228"/>
      <c r="F2246" s="226"/>
      <c r="G2246" s="178"/>
      <c r="H2246" s="200"/>
      <c r="J2246" s="826">
        <f t="shared" si="6"/>
        <v>0</v>
      </c>
    </row>
    <row r="2247" spans="1:10" s="1058" customFormat="1" x14ac:dyDescent="0.25">
      <c r="A2247" s="133"/>
      <c r="B2247" s="195"/>
      <c r="C2247" s="232"/>
      <c r="D2247" s="952"/>
      <c r="E2247" s="232"/>
      <c r="F2247" s="226"/>
      <c r="G2247" s="229"/>
      <c r="H2247" s="200"/>
      <c r="J2247" s="826">
        <f t="shared" si="6"/>
        <v>0</v>
      </c>
    </row>
    <row r="2248" spans="1:10" s="1058" customFormat="1" ht="15.75" thickBot="1" x14ac:dyDescent="0.3">
      <c r="A2248" s="133"/>
      <c r="B2248" s="195"/>
      <c r="C2248" s="232"/>
      <c r="D2248" s="952"/>
      <c r="E2248" s="232"/>
      <c r="F2248" s="226"/>
      <c r="G2248" s="229"/>
      <c r="H2248" s="200"/>
      <c r="J2248" s="826">
        <f t="shared" si="6"/>
        <v>0</v>
      </c>
    </row>
    <row r="2249" spans="1:10" s="1058" customFormat="1" ht="15.75" thickBot="1" x14ac:dyDescent="0.3">
      <c r="A2249" s="133"/>
      <c r="B2249" s="251"/>
      <c r="C2249" s="252"/>
      <c r="D2249" s="956"/>
      <c r="E2249" s="252"/>
      <c r="F2249" s="253"/>
      <c r="G2249" s="254"/>
      <c r="H2249" s="256">
        <f>+SUM(G2243:G2249)</f>
        <v>25859.435714285715</v>
      </c>
      <c r="J2249" s="826">
        <f t="shared" si="6"/>
        <v>0</v>
      </c>
    </row>
    <row r="2250" spans="1:10" s="1058" customFormat="1" ht="15.75" thickBot="1" x14ac:dyDescent="0.3">
      <c r="A2250" s="133"/>
      <c r="B2250" s="8"/>
      <c r="C2250" s="8"/>
      <c r="D2250" s="529"/>
      <c r="E2250" s="8"/>
      <c r="F2250" s="133"/>
      <c r="G2250" s="200"/>
      <c r="H2250" s="200"/>
      <c r="J2250" s="826">
        <f t="shared" si="6"/>
        <v>0</v>
      </c>
    </row>
    <row r="2251" spans="1:10" s="1058" customFormat="1" ht="15.75" thickBot="1" x14ac:dyDescent="0.3">
      <c r="A2251" s="133" t="s">
        <v>6744</v>
      </c>
      <c r="B2251" s="8"/>
      <c r="C2251" s="8"/>
      <c r="D2251" s="529"/>
      <c r="E2251" s="223" t="s">
        <v>5415</v>
      </c>
      <c r="F2251" s="223"/>
      <c r="G2251" s="200"/>
      <c r="H2251" s="256">
        <f>ROUND(+H2249+H2240+H2232+H2217,0)</f>
        <v>38572</v>
      </c>
      <c r="J2251" s="826">
        <f t="shared" si="6"/>
        <v>0</v>
      </c>
    </row>
    <row r="2252" spans="1:10" s="1058" customFormat="1" x14ac:dyDescent="0.25">
      <c r="D2252" s="957"/>
      <c r="J2252" s="826">
        <f t="shared" si="6"/>
        <v>0</v>
      </c>
    </row>
    <row r="2253" spans="1:10" s="1058" customFormat="1" x14ac:dyDescent="0.25">
      <c r="D2253" s="957"/>
      <c r="J2253" s="826">
        <f t="shared" si="6"/>
        <v>0</v>
      </c>
    </row>
    <row r="2254" spans="1:10" x14ac:dyDescent="0.25">
      <c r="A2254" s="673" t="s">
        <v>5482</v>
      </c>
      <c r="B2254" s="1390" t="str">
        <f>+VLOOKUP(C2254,ListaAPUs!$B:$E,4,FALSE)</f>
        <v>4.2.7</v>
      </c>
      <c r="C2254" s="2449" t="str">
        <f>+ListaAPUs!B81</f>
        <v>INSTALACIÓN ACCESORIOS EN HIERRO DÚCTIL 400MM</v>
      </c>
      <c r="D2254" s="2449"/>
      <c r="E2254" s="2449"/>
      <c r="F2254" s="673" t="s">
        <v>867</v>
      </c>
      <c r="G2254" s="222" t="s">
        <v>5424</v>
      </c>
      <c r="H2254" s="200"/>
    </row>
    <row r="2255" spans="1:10" x14ac:dyDescent="0.25">
      <c r="A2255" s="133"/>
      <c r="B2255" s="8"/>
      <c r="C2255" s="223"/>
      <c r="D2255" s="958"/>
      <c r="E2255" s="223"/>
      <c r="F2255" s="133"/>
      <c r="G2255" s="200"/>
      <c r="H2255" s="200"/>
    </row>
    <row r="2256" spans="1:10" x14ac:dyDescent="0.25">
      <c r="A2256" s="133"/>
      <c r="B2256" s="8"/>
      <c r="C2256" s="8"/>
      <c r="D2256" s="529"/>
      <c r="E2256" s="8"/>
      <c r="F2256" s="8"/>
      <c r="G2256" s="8"/>
      <c r="H2256" s="200"/>
    </row>
    <row r="2257" spans="1:8" ht="15.75" thickBot="1" x14ac:dyDescent="0.3">
      <c r="A2257" s="133"/>
      <c r="B2257" s="8"/>
      <c r="C2257" s="8"/>
      <c r="D2257" s="529"/>
      <c r="E2257" s="8"/>
      <c r="F2257" s="133"/>
      <c r="G2257" s="200"/>
      <c r="H2257" s="200"/>
    </row>
    <row r="2258" spans="1:8" ht="15.75" thickBot="1" x14ac:dyDescent="0.3">
      <c r="A2258" s="133"/>
      <c r="B2258" s="224" t="s">
        <v>5403</v>
      </c>
      <c r="C2258" s="193" t="s">
        <v>867</v>
      </c>
      <c r="D2258" s="951" t="s">
        <v>6</v>
      </c>
      <c r="E2258" s="193" t="s">
        <v>5439</v>
      </c>
      <c r="F2258" s="193" t="s">
        <v>5405</v>
      </c>
      <c r="G2258" s="225" t="s">
        <v>868</v>
      </c>
      <c r="H2258" s="200"/>
    </row>
    <row r="2259" spans="1:8" x14ac:dyDescent="0.25">
      <c r="A2259" s="133"/>
      <c r="B2259" s="195" t="s">
        <v>5455</v>
      </c>
      <c r="C2259" s="226" t="s">
        <v>7042</v>
      </c>
      <c r="D2259" s="212">
        <v>1</v>
      </c>
      <c r="E2259" s="228">
        <f>+H2297</f>
        <v>25859.435714285715</v>
      </c>
      <c r="F2259" s="226">
        <v>0.1</v>
      </c>
      <c r="G2259" s="818">
        <f>+E2259*F2259</f>
        <v>2585.9435714285719</v>
      </c>
      <c r="H2259" s="200"/>
    </row>
    <row r="2260" spans="1:8" x14ac:dyDescent="0.25">
      <c r="A2260" s="133"/>
      <c r="B2260" s="195" t="s">
        <v>6869</v>
      </c>
      <c r="C2260" s="226" t="s">
        <v>7203</v>
      </c>
      <c r="D2260" s="212">
        <v>1</v>
      </c>
      <c r="E2260" s="975">
        <f>+VLOOKUP(B2260,Insumos!$A$2:$C$331,3,FALSE)</f>
        <v>202536</v>
      </c>
      <c r="F2260" s="197">
        <v>0.05</v>
      </c>
      <c r="G2260" s="818">
        <f>+E2260*F2260</f>
        <v>10126.800000000001</v>
      </c>
      <c r="H2260" s="200"/>
    </row>
    <row r="2261" spans="1:8" x14ac:dyDescent="0.25">
      <c r="A2261" s="133"/>
      <c r="B2261" s="195"/>
      <c r="C2261" s="226" t="s">
        <v>7044</v>
      </c>
      <c r="D2261" s="212"/>
      <c r="E2261" s="228" t="s">
        <v>7044</v>
      </c>
      <c r="F2261" s="226"/>
      <c r="G2261" s="229"/>
      <c r="H2261" s="200"/>
    </row>
    <row r="2262" spans="1:8" x14ac:dyDescent="0.25">
      <c r="A2262" s="133"/>
      <c r="B2262" s="195"/>
      <c r="C2262" s="226"/>
      <c r="D2262" s="212"/>
      <c r="E2262" s="171"/>
      <c r="F2262" s="226"/>
      <c r="G2262" s="231"/>
      <c r="H2262" s="200"/>
    </row>
    <row r="2263" spans="1:8" x14ac:dyDescent="0.25">
      <c r="A2263" s="133"/>
      <c r="B2263" s="195"/>
      <c r="C2263" s="226"/>
      <c r="D2263" s="952"/>
      <c r="E2263" s="232"/>
      <c r="F2263" s="226"/>
      <c r="G2263" s="229"/>
      <c r="H2263" s="200"/>
    </row>
    <row r="2264" spans="1:8" ht="15.75" thickBot="1" x14ac:dyDescent="0.3">
      <c r="A2264" s="133"/>
      <c r="B2264" s="195"/>
      <c r="C2264" s="226"/>
      <c r="D2264" s="952"/>
      <c r="E2264" s="232"/>
      <c r="F2264" s="226"/>
      <c r="G2264" s="229"/>
      <c r="H2264" s="200"/>
    </row>
    <row r="2265" spans="1:8" ht="15.75" thickBot="1" x14ac:dyDescent="0.3">
      <c r="A2265" s="133"/>
      <c r="B2265" s="233"/>
      <c r="C2265" s="234"/>
      <c r="D2265" s="953"/>
      <c r="E2265" s="234"/>
      <c r="F2265" s="235"/>
      <c r="G2265" s="236"/>
      <c r="H2265" s="237">
        <f>+SUM(G2259:G2265)</f>
        <v>12712.743571428573</v>
      </c>
    </row>
    <row r="2266" spans="1:8" ht="15.75" thickBot="1" x14ac:dyDescent="0.3">
      <c r="A2266" s="133"/>
      <c r="B2266" s="238"/>
      <c r="C2266" s="238"/>
      <c r="D2266" s="954"/>
      <c r="E2266" s="238"/>
      <c r="F2266" s="239"/>
      <c r="G2266" s="240"/>
      <c r="H2266" s="241"/>
    </row>
    <row r="2267" spans="1:8" ht="15.75" thickBot="1" x14ac:dyDescent="0.3">
      <c r="A2267" s="133"/>
      <c r="B2267" s="224" t="s">
        <v>5408</v>
      </c>
      <c r="C2267" s="193" t="s">
        <v>867</v>
      </c>
      <c r="D2267" s="951" t="s">
        <v>6</v>
      </c>
      <c r="E2267" s="193" t="s">
        <v>870</v>
      </c>
      <c r="F2267" s="193" t="s">
        <v>5409</v>
      </c>
      <c r="G2267" s="225" t="s">
        <v>868</v>
      </c>
      <c r="H2267" s="200"/>
    </row>
    <row r="2268" spans="1:8" x14ac:dyDescent="0.25">
      <c r="A2268" s="133"/>
      <c r="B2268" s="295"/>
      <c r="C2268" s="202"/>
      <c r="D2268" s="212"/>
      <c r="E2268" s="228"/>
      <c r="F2268" s="169"/>
      <c r="G2268" s="178"/>
      <c r="H2268" s="200"/>
    </row>
    <row r="2269" spans="1:8" x14ac:dyDescent="0.25">
      <c r="A2269" s="133"/>
      <c r="B2269" s="450"/>
      <c r="C2269" s="202"/>
      <c r="D2269" s="211"/>
      <c r="E2269" s="228"/>
      <c r="F2269" s="169"/>
      <c r="G2269" s="178"/>
      <c r="H2269" s="200"/>
    </row>
    <row r="2270" spans="1:8" x14ac:dyDescent="0.25">
      <c r="A2270" s="133"/>
      <c r="B2270" s="247"/>
      <c r="C2270" s="226"/>
      <c r="D2270" s="212"/>
      <c r="E2270" s="228"/>
      <c r="F2270" s="169"/>
      <c r="G2270" s="178"/>
      <c r="H2270" s="200"/>
    </row>
    <row r="2271" spans="1:8" x14ac:dyDescent="0.25">
      <c r="A2271" s="133"/>
      <c r="B2271" s="194"/>
      <c r="C2271" s="226"/>
      <c r="D2271" s="212"/>
      <c r="E2271" s="228"/>
      <c r="F2271" s="169"/>
      <c r="G2271" s="178"/>
      <c r="H2271" s="200"/>
    </row>
    <row r="2272" spans="1:8" x14ac:dyDescent="0.25">
      <c r="A2272" s="133"/>
      <c r="B2272" s="195"/>
      <c r="C2272" s="226"/>
      <c r="D2272" s="212"/>
      <c r="E2272" s="176"/>
      <c r="F2272" s="169"/>
      <c r="G2272" s="178"/>
      <c r="H2272" s="200"/>
    </row>
    <row r="2273" spans="1:8" x14ac:dyDescent="0.25">
      <c r="A2273" s="133"/>
      <c r="B2273" s="194"/>
      <c r="C2273" s="202"/>
      <c r="D2273" s="211"/>
      <c r="E2273" s="176"/>
      <c r="F2273" s="169"/>
      <c r="G2273" s="178"/>
      <c r="H2273" s="200"/>
    </row>
    <row r="2274" spans="1:8" x14ac:dyDescent="0.25">
      <c r="A2274" s="133"/>
      <c r="B2274" s="195"/>
      <c r="C2274" s="226"/>
      <c r="D2274" s="212"/>
      <c r="E2274" s="176"/>
      <c r="F2274" s="169"/>
      <c r="G2274" s="178"/>
      <c r="H2274" s="200"/>
    </row>
    <row r="2275" spans="1:8" x14ac:dyDescent="0.25">
      <c r="A2275" s="133"/>
      <c r="B2275" s="195"/>
      <c r="C2275" s="226"/>
      <c r="D2275" s="212"/>
      <c r="E2275" s="176"/>
      <c r="F2275" s="169"/>
      <c r="G2275" s="178"/>
      <c r="H2275" s="200"/>
    </row>
    <row r="2276" spans="1:8" x14ac:dyDescent="0.25">
      <c r="A2276" s="133"/>
      <c r="B2276" s="195"/>
      <c r="C2276" s="232"/>
      <c r="D2276" s="952"/>
      <c r="E2276" s="232"/>
      <c r="F2276" s="226"/>
      <c r="G2276" s="229"/>
      <c r="H2276" s="200"/>
    </row>
    <row r="2277" spans="1:8" x14ac:dyDescent="0.25">
      <c r="A2277" s="133"/>
      <c r="B2277" s="195"/>
      <c r="C2277" s="232"/>
      <c r="D2277" s="952"/>
      <c r="E2277" s="232"/>
      <c r="F2277" s="226"/>
      <c r="G2277" s="229"/>
      <c r="H2277" s="200"/>
    </row>
    <row r="2278" spans="1:8" x14ac:dyDescent="0.25">
      <c r="A2278" s="133"/>
      <c r="B2278" s="195"/>
      <c r="C2278" s="232"/>
      <c r="D2278" s="952"/>
      <c r="E2278" s="232"/>
      <c r="F2278" s="226"/>
      <c r="G2278" s="229"/>
      <c r="H2278" s="200"/>
    </row>
    <row r="2279" spans="1:8" ht="15.75" thickBot="1" x14ac:dyDescent="0.3">
      <c r="A2279" s="133"/>
      <c r="B2279" s="195"/>
      <c r="C2279" s="232"/>
      <c r="D2279" s="952"/>
      <c r="E2279" s="232"/>
      <c r="F2279" s="226"/>
      <c r="G2279" s="229"/>
      <c r="H2279" s="200"/>
    </row>
    <row r="2280" spans="1:8" ht="15.75" thickBot="1" x14ac:dyDescent="0.3">
      <c r="A2280" s="133"/>
      <c r="B2280" s="233"/>
      <c r="C2280" s="234"/>
      <c r="D2280" s="953"/>
      <c r="E2280" s="234"/>
      <c r="F2280" s="235"/>
      <c r="G2280" s="236"/>
      <c r="H2280" s="256">
        <f>+SUM(G2268:G2280)</f>
        <v>0</v>
      </c>
    </row>
    <row r="2281" spans="1:8" ht="15.75" thickBot="1" x14ac:dyDescent="0.3">
      <c r="A2281" s="133"/>
      <c r="B2281" s="238"/>
      <c r="C2281" s="238"/>
      <c r="D2281" s="954"/>
      <c r="E2281" s="238"/>
      <c r="F2281" s="239"/>
      <c r="G2281" s="240"/>
      <c r="H2281" s="241"/>
    </row>
    <row r="2282" spans="1:8" ht="15.75" thickBot="1" x14ac:dyDescent="0.3">
      <c r="A2282" s="133"/>
      <c r="B2282" s="224" t="s">
        <v>5410</v>
      </c>
      <c r="C2282" s="193" t="s">
        <v>867</v>
      </c>
      <c r="D2282" s="951" t="s">
        <v>6</v>
      </c>
      <c r="E2282" s="193" t="s">
        <v>870</v>
      </c>
      <c r="F2282" s="193" t="s">
        <v>5411</v>
      </c>
      <c r="G2282" s="225" t="s">
        <v>868</v>
      </c>
      <c r="H2282" s="200"/>
    </row>
    <row r="2283" spans="1:8" x14ac:dyDescent="0.25">
      <c r="A2283" s="133"/>
      <c r="B2283" s="245"/>
      <c r="C2283" s="202"/>
      <c r="D2283" s="211"/>
      <c r="E2283" s="175"/>
      <c r="F2283" s="202"/>
      <c r="G2283" s="203"/>
      <c r="H2283" s="246"/>
    </row>
    <row r="2284" spans="1:8" x14ac:dyDescent="0.25">
      <c r="A2284" s="133"/>
      <c r="B2284" s="247"/>
      <c r="C2284" s="248"/>
      <c r="D2284" s="961"/>
      <c r="E2284" s="248"/>
      <c r="F2284" s="202"/>
      <c r="G2284" s="178"/>
      <c r="H2284" s="200"/>
    </row>
    <row r="2285" spans="1:8" x14ac:dyDescent="0.25">
      <c r="A2285" s="133"/>
      <c r="B2285" s="247"/>
      <c r="C2285" s="232"/>
      <c r="D2285" s="952"/>
      <c r="E2285" s="232"/>
      <c r="F2285" s="226"/>
      <c r="G2285" s="229"/>
      <c r="H2285" s="200"/>
    </row>
    <row r="2286" spans="1:8" x14ac:dyDescent="0.25">
      <c r="A2286" s="133"/>
      <c r="B2286" s="194"/>
      <c r="C2286" s="232"/>
      <c r="D2286" s="952"/>
      <c r="E2286" s="232"/>
      <c r="F2286" s="226"/>
      <c r="G2286" s="229"/>
      <c r="H2286" s="200"/>
    </row>
    <row r="2287" spans="1:8" ht="15.75" thickBot="1" x14ac:dyDescent="0.3">
      <c r="A2287" s="133"/>
      <c r="B2287" s="195"/>
      <c r="C2287" s="232"/>
      <c r="D2287" s="952"/>
      <c r="E2287" s="232"/>
      <c r="F2287" s="226"/>
      <c r="G2287" s="229"/>
      <c r="H2287" s="200"/>
    </row>
    <row r="2288" spans="1:8" ht="15.75" thickBot="1" x14ac:dyDescent="0.3">
      <c r="A2288" s="133"/>
      <c r="B2288" s="233"/>
      <c r="C2288" s="234"/>
      <c r="D2288" s="953"/>
      <c r="E2288" s="234"/>
      <c r="F2288" s="235"/>
      <c r="G2288" s="236"/>
      <c r="H2288" s="237">
        <f>+SUM(G2283:G2288)</f>
        <v>0</v>
      </c>
    </row>
    <row r="2289" spans="1:8" ht="15.75" thickBot="1" x14ac:dyDescent="0.3">
      <c r="A2289" s="133"/>
      <c r="B2289" s="238"/>
      <c r="C2289" s="238"/>
      <c r="D2289" s="954"/>
      <c r="E2289" s="238"/>
      <c r="F2289" s="249"/>
      <c r="G2289" s="250"/>
      <c r="H2289" s="241"/>
    </row>
    <row r="2290" spans="1:8" ht="15.75" thickBot="1" x14ac:dyDescent="0.3">
      <c r="A2290" s="133"/>
      <c r="B2290" s="224" t="s">
        <v>5412</v>
      </c>
      <c r="C2290" s="193" t="s">
        <v>5420</v>
      </c>
      <c r="D2290" s="951" t="s">
        <v>5421</v>
      </c>
      <c r="E2290" s="193" t="s">
        <v>5413</v>
      </c>
      <c r="F2290" s="193" t="s">
        <v>5405</v>
      </c>
      <c r="G2290" s="225" t="s">
        <v>868</v>
      </c>
      <c r="H2290" s="200"/>
    </row>
    <row r="2291" spans="1:8" x14ac:dyDescent="0.25">
      <c r="A2291" s="133"/>
      <c r="B2291" s="194" t="s">
        <v>6523</v>
      </c>
      <c r="C2291" s="345">
        <f>+VLOOKUP($B2291,'Mano de obra'!$A$5:$D$26,2,FALSE)</f>
        <v>57454</v>
      </c>
      <c r="D2291" s="345">
        <f>+VLOOKUP($B2291,'Mano de obra'!$A$5:$D$26,3,FALSE)</f>
        <v>35656</v>
      </c>
      <c r="E2291" s="345">
        <f>+VLOOKUP($B2291,'Mano de obra'!$A$5:$D$26,4,FALSE)</f>
        <v>93110</v>
      </c>
      <c r="F2291" s="1566">
        <v>40</v>
      </c>
      <c r="G2291" s="818">
        <f>IF(B2291="","",E2291/F2291)</f>
        <v>2327.75</v>
      </c>
      <c r="H2291" s="200"/>
    </row>
    <row r="2292" spans="1:8" x14ac:dyDescent="0.25">
      <c r="A2292" s="133"/>
      <c r="B2292" s="194" t="s">
        <v>6524</v>
      </c>
      <c r="C2292" s="345">
        <f>+VLOOKUP($B2292,'Mano de obra'!$A$5:$D$26,2,FALSE)</f>
        <v>44263.8</v>
      </c>
      <c r="D2292" s="345">
        <f>+VLOOKUP($B2292,'Mano de obra'!$A$5:$D$26,3,FALSE)</f>
        <v>27470</v>
      </c>
      <c r="E2292" s="345">
        <f>+VLOOKUP($B2292,'Mano de obra'!$A$5:$D$26,4,FALSE)</f>
        <v>71733.8</v>
      </c>
      <c r="F2292" s="1565">
        <v>7</v>
      </c>
      <c r="G2292" s="818">
        <f>IF(B2292="","",E2292/F2292)</f>
        <v>10247.685714285715</v>
      </c>
      <c r="H2292" s="200"/>
    </row>
    <row r="2293" spans="1:8" x14ac:dyDescent="0.25">
      <c r="A2293" s="133"/>
      <c r="B2293" s="195" t="s">
        <v>6525</v>
      </c>
      <c r="C2293" s="345">
        <f>+VLOOKUP($B2293,'Mano de obra'!$A$5:$D$26,2,FALSE)</f>
        <v>24591</v>
      </c>
      <c r="D2293" s="345">
        <f>+VLOOKUP($B2293,'Mano de obra'!$A$5:$D$26,3,FALSE)</f>
        <v>15261</v>
      </c>
      <c r="E2293" s="345">
        <f>+VLOOKUP($B2293,'Mano de obra'!$A$5:$D$26,4,FALSE)</f>
        <v>39852</v>
      </c>
      <c r="F2293" s="226">
        <v>3</v>
      </c>
      <c r="G2293" s="818">
        <f>IF(B2293="","",E2293/F2293)</f>
        <v>13284</v>
      </c>
      <c r="H2293" s="200"/>
    </row>
    <row r="2294" spans="1:8" x14ac:dyDescent="0.25">
      <c r="A2294" s="133"/>
      <c r="B2294" s="195"/>
      <c r="C2294" s="171"/>
      <c r="D2294" s="965"/>
      <c r="E2294" s="228"/>
      <c r="F2294" s="226"/>
      <c r="G2294" s="178"/>
      <c r="H2294" s="200"/>
    </row>
    <row r="2295" spans="1:8" x14ac:dyDescent="0.25">
      <c r="A2295" s="133"/>
      <c r="B2295" s="195"/>
      <c r="C2295" s="232"/>
      <c r="D2295" s="952"/>
      <c r="E2295" s="232"/>
      <c r="F2295" s="226"/>
      <c r="G2295" s="229"/>
      <c r="H2295" s="200"/>
    </row>
    <row r="2296" spans="1:8" ht="15.75" thickBot="1" x14ac:dyDescent="0.3">
      <c r="A2296" s="133"/>
      <c r="B2296" s="195"/>
      <c r="C2296" s="232"/>
      <c r="D2296" s="952"/>
      <c r="E2296" s="232"/>
      <c r="F2296" s="226"/>
      <c r="G2296" s="229"/>
      <c r="H2296" s="200"/>
    </row>
    <row r="2297" spans="1:8" ht="15.75" thickBot="1" x14ac:dyDescent="0.3">
      <c r="A2297" s="133"/>
      <c r="B2297" s="251"/>
      <c r="C2297" s="252"/>
      <c r="D2297" s="956"/>
      <c r="E2297" s="252"/>
      <c r="F2297" s="253"/>
      <c r="G2297" s="254"/>
      <c r="H2297" s="256">
        <f>+SUM(G2291:G2297)</f>
        <v>25859.435714285715</v>
      </c>
    </row>
    <row r="2298" spans="1:8" ht="15.75" thickBot="1" x14ac:dyDescent="0.3">
      <c r="A2298" s="133"/>
      <c r="B2298" s="8"/>
      <c r="C2298" s="8"/>
      <c r="D2298" s="529"/>
      <c r="E2298" s="8"/>
      <c r="F2298" s="133"/>
      <c r="G2298" s="200"/>
      <c r="H2298" s="200"/>
    </row>
    <row r="2299" spans="1:8" ht="15.75" thickBot="1" x14ac:dyDescent="0.3">
      <c r="A2299" s="133" t="s">
        <v>6744</v>
      </c>
      <c r="B2299" s="8"/>
      <c r="C2299" s="8"/>
      <c r="D2299" s="529"/>
      <c r="E2299" s="223" t="s">
        <v>5415</v>
      </c>
      <c r="F2299" s="223"/>
      <c r="G2299" s="200"/>
      <c r="H2299" s="256">
        <f>ROUND(+H2297+H2288+H2280+H2265,0)</f>
        <v>38572</v>
      </c>
    </row>
    <row r="2300" spans="1:8" x14ac:dyDescent="0.25">
      <c r="A2300" s="1058"/>
      <c r="B2300" s="1058"/>
      <c r="C2300" s="1058"/>
      <c r="D2300" s="957"/>
      <c r="E2300" s="1058"/>
      <c r="F2300" s="1058"/>
      <c r="G2300" s="1058"/>
      <c r="H2300" s="1058"/>
    </row>
    <row r="2301" spans="1:8" x14ac:dyDescent="0.25">
      <c r="A2301" s="1058"/>
      <c r="B2301" s="1058"/>
      <c r="C2301" s="1058"/>
      <c r="D2301" s="957"/>
      <c r="E2301" s="1058"/>
      <c r="F2301" s="1058"/>
      <c r="G2301" s="1058"/>
      <c r="H2301" s="1058"/>
    </row>
    <row r="2302" spans="1:8" x14ac:dyDescent="0.25">
      <c r="A2302" s="673" t="s">
        <v>5482</v>
      </c>
      <c r="B2302" s="1390" t="str">
        <f>+VLOOKUP(C2302,ListaAPUs!$B:$E,4,FALSE)</f>
        <v>4.2.8</v>
      </c>
      <c r="C2302" s="2449" t="str">
        <f>+ListaAPUs!B82</f>
        <v>INSTALACIÓN ACCESORIOS EN HIERRO DÚCTIL 500MM</v>
      </c>
      <c r="D2302" s="2449"/>
      <c r="E2302" s="2449"/>
      <c r="F2302" s="673" t="s">
        <v>867</v>
      </c>
      <c r="G2302" s="222" t="s">
        <v>5424</v>
      </c>
      <c r="H2302" s="200"/>
    </row>
    <row r="2303" spans="1:8" x14ac:dyDescent="0.25">
      <c r="A2303" s="133"/>
      <c r="B2303" s="8"/>
      <c r="C2303" s="223"/>
      <c r="D2303" s="958"/>
      <c r="E2303" s="223"/>
      <c r="F2303" s="133"/>
      <c r="G2303" s="200"/>
      <c r="H2303" s="200"/>
    </row>
    <row r="2304" spans="1:8" x14ac:dyDescent="0.25">
      <c r="A2304" s="133"/>
      <c r="B2304" s="8"/>
      <c r="C2304" s="8"/>
      <c r="D2304" s="529"/>
      <c r="E2304" s="8"/>
      <c r="F2304" s="8"/>
      <c r="G2304" s="8"/>
      <c r="H2304" s="200"/>
    </row>
    <row r="2305" spans="1:8" ht="15.75" thickBot="1" x14ac:dyDescent="0.3">
      <c r="A2305" s="133"/>
      <c r="B2305" s="8"/>
      <c r="C2305" s="8"/>
      <c r="D2305" s="529"/>
      <c r="E2305" s="8"/>
      <c r="F2305" s="133"/>
      <c r="G2305" s="200"/>
      <c r="H2305" s="200"/>
    </row>
    <row r="2306" spans="1:8" ht="15.75" thickBot="1" x14ac:dyDescent="0.3">
      <c r="A2306" s="133"/>
      <c r="B2306" s="224" t="s">
        <v>5403</v>
      </c>
      <c r="C2306" s="193" t="s">
        <v>867</v>
      </c>
      <c r="D2306" s="951" t="s">
        <v>6</v>
      </c>
      <c r="E2306" s="193" t="s">
        <v>5439</v>
      </c>
      <c r="F2306" s="193" t="s">
        <v>5405</v>
      </c>
      <c r="G2306" s="225" t="s">
        <v>868</v>
      </c>
      <c r="H2306" s="200"/>
    </row>
    <row r="2307" spans="1:8" x14ac:dyDescent="0.25">
      <c r="A2307" s="133"/>
      <c r="B2307" s="195" t="s">
        <v>5455</v>
      </c>
      <c r="C2307" s="226" t="s">
        <v>7042</v>
      </c>
      <c r="D2307" s="212">
        <v>1</v>
      </c>
      <c r="E2307" s="228">
        <f>+H2345</f>
        <v>34941.850000000006</v>
      </c>
      <c r="F2307" s="226">
        <v>0.1</v>
      </c>
      <c r="G2307" s="818">
        <f>+E2307*F2307</f>
        <v>3494.1850000000009</v>
      </c>
      <c r="H2307" s="200"/>
    </row>
    <row r="2308" spans="1:8" x14ac:dyDescent="0.25">
      <c r="A2308" s="133"/>
      <c r="B2308" s="195" t="s">
        <v>6869</v>
      </c>
      <c r="C2308" s="226" t="s">
        <v>7203</v>
      </c>
      <c r="D2308" s="212">
        <v>1</v>
      </c>
      <c r="E2308" s="975">
        <f>+VLOOKUP(B2308,Insumos!$A$2:$C$331,3,FALSE)</f>
        <v>202536</v>
      </c>
      <c r="F2308" s="197">
        <v>0.1</v>
      </c>
      <c r="G2308" s="818">
        <f>+E2308*F2308</f>
        <v>20253.600000000002</v>
      </c>
      <c r="H2308" s="200"/>
    </row>
    <row r="2309" spans="1:8" x14ac:dyDescent="0.25">
      <c r="A2309" s="133"/>
      <c r="B2309" s="195"/>
      <c r="C2309" s="226" t="s">
        <v>7044</v>
      </c>
      <c r="D2309" s="212"/>
      <c r="E2309" s="228" t="s">
        <v>7044</v>
      </c>
      <c r="F2309" s="226"/>
      <c r="G2309" s="229"/>
      <c r="H2309" s="200"/>
    </row>
    <row r="2310" spans="1:8" x14ac:dyDescent="0.25">
      <c r="A2310" s="133"/>
      <c r="B2310" s="195"/>
      <c r="C2310" s="226"/>
      <c r="D2310" s="212"/>
      <c r="E2310" s="171"/>
      <c r="F2310" s="226"/>
      <c r="G2310" s="231"/>
      <c r="H2310" s="200"/>
    </row>
    <row r="2311" spans="1:8" x14ac:dyDescent="0.25">
      <c r="A2311" s="133"/>
      <c r="B2311" s="195"/>
      <c r="C2311" s="226"/>
      <c r="D2311" s="952"/>
      <c r="E2311" s="232"/>
      <c r="F2311" s="226"/>
      <c r="G2311" s="229"/>
      <c r="H2311" s="200"/>
    </row>
    <row r="2312" spans="1:8" ht="15.75" thickBot="1" x14ac:dyDescent="0.3">
      <c r="A2312" s="133"/>
      <c r="B2312" s="195"/>
      <c r="C2312" s="226"/>
      <c r="D2312" s="952"/>
      <c r="E2312" s="232"/>
      <c r="F2312" s="226"/>
      <c r="G2312" s="229"/>
      <c r="H2312" s="200"/>
    </row>
    <row r="2313" spans="1:8" ht="15.75" thickBot="1" x14ac:dyDescent="0.3">
      <c r="A2313" s="133"/>
      <c r="B2313" s="233"/>
      <c r="C2313" s="234"/>
      <c r="D2313" s="953"/>
      <c r="E2313" s="234"/>
      <c r="F2313" s="235"/>
      <c r="G2313" s="236"/>
      <c r="H2313" s="237">
        <f>+SUM(G2307:G2313)</f>
        <v>23747.785000000003</v>
      </c>
    </row>
    <row r="2314" spans="1:8" ht="15.75" thickBot="1" x14ac:dyDescent="0.3">
      <c r="A2314" s="133"/>
      <c r="B2314" s="238"/>
      <c r="C2314" s="238"/>
      <c r="D2314" s="954"/>
      <c r="E2314" s="238"/>
      <c r="F2314" s="239"/>
      <c r="G2314" s="240"/>
      <c r="H2314" s="241"/>
    </row>
    <row r="2315" spans="1:8" ht="15.75" thickBot="1" x14ac:dyDescent="0.3">
      <c r="A2315" s="133"/>
      <c r="B2315" s="224" t="s">
        <v>5408</v>
      </c>
      <c r="C2315" s="193" t="s">
        <v>867</v>
      </c>
      <c r="D2315" s="951" t="s">
        <v>6</v>
      </c>
      <c r="E2315" s="193" t="s">
        <v>870</v>
      </c>
      <c r="F2315" s="193" t="s">
        <v>5409</v>
      </c>
      <c r="G2315" s="225" t="s">
        <v>868</v>
      </c>
      <c r="H2315" s="200"/>
    </row>
    <row r="2316" spans="1:8" x14ac:dyDescent="0.25">
      <c r="A2316" s="133"/>
      <c r="B2316" s="295"/>
      <c r="C2316" s="202"/>
      <c r="D2316" s="212"/>
      <c r="E2316" s="228"/>
      <c r="F2316" s="169"/>
      <c r="G2316" s="178"/>
      <c r="H2316" s="200"/>
    </row>
    <row r="2317" spans="1:8" x14ac:dyDescent="0.25">
      <c r="A2317" s="133"/>
      <c r="B2317" s="450"/>
      <c r="C2317" s="202"/>
      <c r="D2317" s="211"/>
      <c r="E2317" s="228"/>
      <c r="F2317" s="169"/>
      <c r="G2317" s="178"/>
      <c r="H2317" s="200"/>
    </row>
    <row r="2318" spans="1:8" x14ac:dyDescent="0.25">
      <c r="A2318" s="133"/>
      <c r="B2318" s="247"/>
      <c r="C2318" s="226"/>
      <c r="D2318" s="212"/>
      <c r="E2318" s="228"/>
      <c r="F2318" s="169"/>
      <c r="G2318" s="178"/>
      <c r="H2318" s="200"/>
    </row>
    <row r="2319" spans="1:8" x14ac:dyDescent="0.25">
      <c r="A2319" s="133"/>
      <c r="B2319" s="194"/>
      <c r="C2319" s="226"/>
      <c r="D2319" s="212"/>
      <c r="E2319" s="228"/>
      <c r="F2319" s="169"/>
      <c r="G2319" s="178"/>
      <c r="H2319" s="200"/>
    </row>
    <row r="2320" spans="1:8" x14ac:dyDescent="0.25">
      <c r="A2320" s="133"/>
      <c r="B2320" s="195"/>
      <c r="C2320" s="226"/>
      <c r="D2320" s="212"/>
      <c r="E2320" s="176"/>
      <c r="F2320" s="169"/>
      <c r="G2320" s="178"/>
      <c r="H2320" s="200"/>
    </row>
    <row r="2321" spans="1:8" x14ac:dyDescent="0.25">
      <c r="A2321" s="133"/>
      <c r="B2321" s="194"/>
      <c r="C2321" s="202"/>
      <c r="D2321" s="211"/>
      <c r="E2321" s="176"/>
      <c r="F2321" s="169"/>
      <c r="G2321" s="178"/>
      <c r="H2321" s="200"/>
    </row>
    <row r="2322" spans="1:8" x14ac:dyDescent="0.25">
      <c r="A2322" s="133"/>
      <c r="B2322" s="195"/>
      <c r="C2322" s="226"/>
      <c r="D2322" s="212"/>
      <c r="E2322" s="176"/>
      <c r="F2322" s="169"/>
      <c r="G2322" s="178"/>
      <c r="H2322" s="200"/>
    </row>
    <row r="2323" spans="1:8" x14ac:dyDescent="0.25">
      <c r="A2323" s="133"/>
      <c r="B2323" s="195"/>
      <c r="C2323" s="226"/>
      <c r="D2323" s="212"/>
      <c r="E2323" s="176"/>
      <c r="F2323" s="169"/>
      <c r="G2323" s="178"/>
      <c r="H2323" s="200"/>
    </row>
    <row r="2324" spans="1:8" x14ac:dyDescent="0.25">
      <c r="A2324" s="133"/>
      <c r="B2324" s="195"/>
      <c r="C2324" s="232"/>
      <c r="D2324" s="952"/>
      <c r="E2324" s="232"/>
      <c r="F2324" s="226"/>
      <c r="G2324" s="229"/>
      <c r="H2324" s="200"/>
    </row>
    <row r="2325" spans="1:8" x14ac:dyDescent="0.25">
      <c r="A2325" s="133"/>
      <c r="B2325" s="195"/>
      <c r="C2325" s="232"/>
      <c r="D2325" s="952"/>
      <c r="E2325" s="232"/>
      <c r="F2325" s="226"/>
      <c r="G2325" s="229"/>
      <c r="H2325" s="200"/>
    </row>
    <row r="2326" spans="1:8" x14ac:dyDescent="0.25">
      <c r="A2326" s="133"/>
      <c r="B2326" s="195"/>
      <c r="C2326" s="232"/>
      <c r="D2326" s="952"/>
      <c r="E2326" s="232"/>
      <c r="F2326" s="226"/>
      <c r="G2326" s="229"/>
      <c r="H2326" s="200"/>
    </row>
    <row r="2327" spans="1:8" ht="15.75" thickBot="1" x14ac:dyDescent="0.3">
      <c r="A2327" s="133"/>
      <c r="B2327" s="195"/>
      <c r="C2327" s="232"/>
      <c r="D2327" s="952"/>
      <c r="E2327" s="232"/>
      <c r="F2327" s="226"/>
      <c r="G2327" s="229"/>
      <c r="H2327" s="200"/>
    </row>
    <row r="2328" spans="1:8" ht="15.75" thickBot="1" x14ac:dyDescent="0.3">
      <c r="A2328" s="133"/>
      <c r="B2328" s="233"/>
      <c r="C2328" s="234"/>
      <c r="D2328" s="953"/>
      <c r="E2328" s="234"/>
      <c r="F2328" s="235"/>
      <c r="G2328" s="236"/>
      <c r="H2328" s="256">
        <f>+SUM(G2316:G2328)</f>
        <v>0</v>
      </c>
    </row>
    <row r="2329" spans="1:8" ht="15.75" thickBot="1" x14ac:dyDescent="0.3">
      <c r="A2329" s="133"/>
      <c r="B2329" s="238"/>
      <c r="C2329" s="238"/>
      <c r="D2329" s="954"/>
      <c r="E2329" s="238"/>
      <c r="F2329" s="239"/>
      <c r="G2329" s="240"/>
      <c r="H2329" s="241"/>
    </row>
    <row r="2330" spans="1:8" ht="15.75" thickBot="1" x14ac:dyDescent="0.3">
      <c r="A2330" s="133"/>
      <c r="B2330" s="224" t="s">
        <v>5410</v>
      </c>
      <c r="C2330" s="193" t="s">
        <v>867</v>
      </c>
      <c r="D2330" s="951" t="s">
        <v>6</v>
      </c>
      <c r="E2330" s="193" t="s">
        <v>870</v>
      </c>
      <c r="F2330" s="193" t="s">
        <v>5411</v>
      </c>
      <c r="G2330" s="225" t="s">
        <v>868</v>
      </c>
      <c r="H2330" s="200"/>
    </row>
    <row r="2331" spans="1:8" x14ac:dyDescent="0.25">
      <c r="A2331" s="133"/>
      <c r="B2331" s="245"/>
      <c r="C2331" s="202"/>
      <c r="D2331" s="211"/>
      <c r="E2331" s="175"/>
      <c r="F2331" s="202"/>
      <c r="G2331" s="203"/>
      <c r="H2331" s="246"/>
    </row>
    <row r="2332" spans="1:8" x14ac:dyDescent="0.25">
      <c r="A2332" s="133"/>
      <c r="B2332" s="247"/>
      <c r="C2332" s="248"/>
      <c r="D2332" s="961"/>
      <c r="E2332" s="248"/>
      <c r="F2332" s="202"/>
      <c r="G2332" s="178"/>
      <c r="H2332" s="200"/>
    </row>
    <row r="2333" spans="1:8" x14ac:dyDescent="0.25">
      <c r="A2333" s="133"/>
      <c r="B2333" s="247"/>
      <c r="C2333" s="232"/>
      <c r="D2333" s="952"/>
      <c r="E2333" s="232"/>
      <c r="F2333" s="226"/>
      <c r="G2333" s="229"/>
      <c r="H2333" s="200"/>
    </row>
    <row r="2334" spans="1:8" x14ac:dyDescent="0.25">
      <c r="A2334" s="133"/>
      <c r="B2334" s="194"/>
      <c r="C2334" s="232"/>
      <c r="D2334" s="952"/>
      <c r="E2334" s="232"/>
      <c r="F2334" s="226"/>
      <c r="G2334" s="229"/>
      <c r="H2334" s="200"/>
    </row>
    <row r="2335" spans="1:8" ht="15.75" thickBot="1" x14ac:dyDescent="0.3">
      <c r="A2335" s="133"/>
      <c r="B2335" s="195"/>
      <c r="C2335" s="232"/>
      <c r="D2335" s="952"/>
      <c r="E2335" s="232"/>
      <c r="F2335" s="226"/>
      <c r="G2335" s="229"/>
      <c r="H2335" s="200"/>
    </row>
    <row r="2336" spans="1:8" ht="15.75" thickBot="1" x14ac:dyDescent="0.3">
      <c r="A2336" s="133"/>
      <c r="B2336" s="233"/>
      <c r="C2336" s="234"/>
      <c r="D2336" s="953"/>
      <c r="E2336" s="234"/>
      <c r="F2336" s="235"/>
      <c r="G2336" s="236"/>
      <c r="H2336" s="237">
        <f>+SUM(G2331:G2336)</f>
        <v>0</v>
      </c>
    </row>
    <row r="2337" spans="1:8" ht="15.75" thickBot="1" x14ac:dyDescent="0.3">
      <c r="A2337" s="133"/>
      <c r="B2337" s="238"/>
      <c r="C2337" s="238"/>
      <c r="D2337" s="954"/>
      <c r="E2337" s="238"/>
      <c r="F2337" s="249"/>
      <c r="G2337" s="250"/>
      <c r="H2337" s="241"/>
    </row>
    <row r="2338" spans="1:8" ht="15.75" thickBot="1" x14ac:dyDescent="0.3">
      <c r="A2338" s="133"/>
      <c r="B2338" s="224" t="s">
        <v>5412</v>
      </c>
      <c r="C2338" s="193" t="s">
        <v>5420</v>
      </c>
      <c r="D2338" s="951" t="s">
        <v>5421</v>
      </c>
      <c r="E2338" s="193" t="s">
        <v>5413</v>
      </c>
      <c r="F2338" s="193" t="s">
        <v>5405</v>
      </c>
      <c r="G2338" s="225" t="s">
        <v>868</v>
      </c>
      <c r="H2338" s="200"/>
    </row>
    <row r="2339" spans="1:8" x14ac:dyDescent="0.25">
      <c r="A2339" s="133"/>
      <c r="B2339" s="194" t="s">
        <v>6523</v>
      </c>
      <c r="C2339" s="345">
        <f>+VLOOKUP($B2339,'Mano de obra'!$A$5:$D$26,2,FALSE)</f>
        <v>57454</v>
      </c>
      <c r="D2339" s="345">
        <f>+VLOOKUP($B2339,'Mano de obra'!$A$5:$D$26,3,FALSE)</f>
        <v>35656</v>
      </c>
      <c r="E2339" s="345">
        <f>+VLOOKUP($B2339,'Mano de obra'!$A$5:$D$26,4,FALSE)</f>
        <v>93110</v>
      </c>
      <c r="F2339" s="1566">
        <v>25</v>
      </c>
      <c r="G2339" s="818">
        <f>IF(B2339="","",E2339/F2339)</f>
        <v>3724.4</v>
      </c>
      <c r="H2339" s="200"/>
    </row>
    <row r="2340" spans="1:8" x14ac:dyDescent="0.25">
      <c r="A2340" s="133"/>
      <c r="B2340" s="194" t="s">
        <v>6524</v>
      </c>
      <c r="C2340" s="345">
        <f>+VLOOKUP($B2340,'Mano de obra'!$A$5:$D$26,2,FALSE)</f>
        <v>44263.8</v>
      </c>
      <c r="D2340" s="345">
        <f>+VLOOKUP($B2340,'Mano de obra'!$A$5:$D$26,3,FALSE)</f>
        <v>27470</v>
      </c>
      <c r="E2340" s="345">
        <f>+VLOOKUP($B2340,'Mano de obra'!$A$5:$D$26,4,FALSE)</f>
        <v>71733.8</v>
      </c>
      <c r="F2340" s="1565">
        <v>4</v>
      </c>
      <c r="G2340" s="818">
        <f>IF(B2340="","",E2340/F2340)</f>
        <v>17933.45</v>
      </c>
      <c r="H2340" s="200"/>
    </row>
    <row r="2341" spans="1:8" x14ac:dyDescent="0.25">
      <c r="A2341" s="133"/>
      <c r="B2341" s="195" t="s">
        <v>6525</v>
      </c>
      <c r="C2341" s="345">
        <f>+VLOOKUP($B2341,'Mano de obra'!$A$5:$D$26,2,FALSE)</f>
        <v>24591</v>
      </c>
      <c r="D2341" s="345">
        <f>+VLOOKUP($B2341,'Mano de obra'!$A$5:$D$26,3,FALSE)</f>
        <v>15261</v>
      </c>
      <c r="E2341" s="345">
        <f>+VLOOKUP($B2341,'Mano de obra'!$A$5:$D$26,4,FALSE)</f>
        <v>39852</v>
      </c>
      <c r="F2341" s="226">
        <v>3</v>
      </c>
      <c r="G2341" s="818">
        <f>IF(B2341="","",E2341/F2341)</f>
        <v>13284</v>
      </c>
      <c r="H2341" s="200"/>
    </row>
    <row r="2342" spans="1:8" x14ac:dyDescent="0.25">
      <c r="A2342" s="133"/>
      <c r="B2342" s="195"/>
      <c r="C2342" s="171"/>
      <c r="D2342" s="965"/>
      <c r="E2342" s="228"/>
      <c r="F2342" s="226"/>
      <c r="G2342" s="178"/>
      <c r="H2342" s="200"/>
    </row>
    <row r="2343" spans="1:8" x14ac:dyDescent="0.25">
      <c r="A2343" s="133"/>
      <c r="B2343" s="195"/>
      <c r="C2343" s="232"/>
      <c r="D2343" s="952"/>
      <c r="E2343" s="232"/>
      <c r="F2343" s="226"/>
      <c r="G2343" s="229"/>
      <c r="H2343" s="200"/>
    </row>
    <row r="2344" spans="1:8" ht="15.75" thickBot="1" x14ac:dyDescent="0.3">
      <c r="A2344" s="133"/>
      <c r="B2344" s="195"/>
      <c r="C2344" s="232"/>
      <c r="D2344" s="952"/>
      <c r="E2344" s="232"/>
      <c r="F2344" s="226"/>
      <c r="G2344" s="229"/>
      <c r="H2344" s="200"/>
    </row>
    <row r="2345" spans="1:8" ht="15.75" thickBot="1" x14ac:dyDescent="0.3">
      <c r="A2345" s="133"/>
      <c r="B2345" s="251"/>
      <c r="C2345" s="252"/>
      <c r="D2345" s="956"/>
      <c r="E2345" s="252"/>
      <c r="F2345" s="253"/>
      <c r="G2345" s="254"/>
      <c r="H2345" s="256">
        <f>+SUM(G2339:G2345)</f>
        <v>34941.850000000006</v>
      </c>
    </row>
    <row r="2346" spans="1:8" ht="15.75" thickBot="1" x14ac:dyDescent="0.3">
      <c r="A2346" s="133"/>
      <c r="B2346" s="8"/>
      <c r="C2346" s="8"/>
      <c r="D2346" s="529"/>
      <c r="E2346" s="8"/>
      <c r="F2346" s="133"/>
      <c r="G2346" s="200"/>
      <c r="H2346" s="200"/>
    </row>
    <row r="2347" spans="1:8" ht="15.75" thickBot="1" x14ac:dyDescent="0.3">
      <c r="A2347" s="133" t="s">
        <v>6744</v>
      </c>
      <c r="B2347" s="8"/>
      <c r="C2347" s="8"/>
      <c r="D2347" s="529"/>
      <c r="E2347" s="223" t="s">
        <v>5415</v>
      </c>
      <c r="F2347" s="223"/>
      <c r="G2347" s="200"/>
      <c r="H2347" s="256">
        <f>ROUND(+H2345+H2336+H2328+H2313,0)</f>
        <v>58690</v>
      </c>
    </row>
    <row r="2348" spans="1:8" x14ac:dyDescent="0.25">
      <c r="A2348" s="1058"/>
      <c r="B2348" s="1058"/>
      <c r="C2348" s="1058"/>
      <c r="D2348" s="957"/>
      <c r="E2348" s="1058"/>
      <c r="F2348" s="1058"/>
      <c r="G2348" s="1058"/>
      <c r="H2348" s="1058"/>
    </row>
    <row r="2349" spans="1:8" x14ac:dyDescent="0.25">
      <c r="A2349" s="1191"/>
      <c r="B2349" s="1192"/>
      <c r="C2349" s="1192"/>
      <c r="D2349" s="1192"/>
      <c r="E2349" s="1192"/>
      <c r="F2349" s="1191"/>
      <c r="G2349" s="1192"/>
      <c r="H2349" s="1192"/>
    </row>
    <row r="2350" spans="1:8" ht="15" customHeight="1" x14ac:dyDescent="0.25">
      <c r="A2350" s="673" t="s">
        <v>3</v>
      </c>
      <c r="B2350" s="1390" t="str">
        <f>+VLOOKUP(C2350,ListaAPUs!$B:$E,4,FALSE)</f>
        <v>4.2.9</v>
      </c>
      <c r="C2350" s="2449" t="str">
        <f>+ListaAPUs!B83</f>
        <v>INSTALACIÓN NIPLES EN  HD D=25 MM A 150 MM L=0 A 1M</v>
      </c>
      <c r="D2350" s="2449"/>
      <c r="E2350" s="2449"/>
      <c r="F2350" s="673" t="s">
        <v>867</v>
      </c>
      <c r="G2350" s="222" t="s">
        <v>5424</v>
      </c>
      <c r="H2350" s="1192"/>
    </row>
    <row r="2351" spans="1:8" x14ac:dyDescent="0.25">
      <c r="A2351" s="1191"/>
      <c r="B2351" s="1192"/>
      <c r="C2351" s="1192"/>
      <c r="D2351" s="1192"/>
      <c r="E2351" s="1192"/>
      <c r="F2351" s="1191"/>
      <c r="G2351" s="1192"/>
      <c r="H2351" s="1192"/>
    </row>
    <row r="2352" spans="1:8" x14ac:dyDescent="0.25">
      <c r="A2352" s="1191"/>
      <c r="B2352" s="1192"/>
      <c r="C2352" s="1192"/>
      <c r="D2352" s="1192"/>
      <c r="E2352" s="1192"/>
      <c r="F2352" s="1191"/>
      <c r="G2352" s="1193"/>
      <c r="H2352" s="1192"/>
    </row>
    <row r="2353" spans="1:8" ht="15.75" thickBot="1" x14ac:dyDescent="0.3">
      <c r="A2353" s="1191"/>
      <c r="B2353" s="1192"/>
      <c r="C2353" s="1192"/>
      <c r="D2353" s="1192"/>
      <c r="E2353" s="1192"/>
      <c r="F2353" s="1191"/>
      <c r="G2353" s="1192"/>
      <c r="H2353" s="1192"/>
    </row>
    <row r="2354" spans="1:8" ht="15.75" thickBot="1" x14ac:dyDescent="0.3">
      <c r="A2354" s="1191"/>
      <c r="B2354" s="1428" t="s">
        <v>5403</v>
      </c>
      <c r="C2354" s="1429" t="s">
        <v>867</v>
      </c>
      <c r="D2354" s="1429" t="s">
        <v>6</v>
      </c>
      <c r="E2354" s="1430" t="s">
        <v>5404</v>
      </c>
      <c r="F2354" s="1429" t="s">
        <v>5405</v>
      </c>
      <c r="G2354" s="1431" t="s">
        <v>868</v>
      </c>
      <c r="H2354" s="1194"/>
    </row>
    <row r="2355" spans="1:8" x14ac:dyDescent="0.25">
      <c r="A2355" s="1191"/>
      <c r="B2355" s="757" t="s">
        <v>5455</v>
      </c>
      <c r="C2355" s="226" t="s">
        <v>7042</v>
      </c>
      <c r="D2355" s="1196">
        <v>1</v>
      </c>
      <c r="E2355" s="228">
        <f>+H2393</f>
        <v>58896.566666666666</v>
      </c>
      <c r="F2355" s="1197">
        <v>0.2</v>
      </c>
      <c r="G2355" s="979">
        <f t="shared" ref="G2355:G2362" si="7">IF(B2355="","",PRODUCT(D2355:F2355))</f>
        <v>11779.313333333334</v>
      </c>
      <c r="H2355" s="1194"/>
    </row>
    <row r="2356" spans="1:8" x14ac:dyDescent="0.25">
      <c r="A2356" s="1191"/>
      <c r="B2356" s="760"/>
      <c r="C2356" s="1198" t="str">
        <f t="shared" ref="C2356:C2362" si="8">IF(B2356="","",VLOOKUP(B2356,INSUMOS,2,FALSE))</f>
        <v/>
      </c>
      <c r="D2356" s="1198"/>
      <c r="E2356" s="1181" t="str">
        <f t="shared" ref="E2356:E2362" si="9">IF(B2356="","",IF(C2356="%mo",$K$50,VLOOKUP(B2356,INSUMOS,3,FALSE)))</f>
        <v/>
      </c>
      <c r="F2356" s="1198"/>
      <c r="G2356" s="979" t="str">
        <f t="shared" si="7"/>
        <v/>
      </c>
      <c r="H2356" s="1194"/>
    </row>
    <row r="2357" spans="1:8" x14ac:dyDescent="0.25">
      <c r="A2357" s="1191"/>
      <c r="B2357" s="763"/>
      <c r="C2357" s="1198" t="str">
        <f t="shared" si="8"/>
        <v/>
      </c>
      <c r="D2357" s="1198"/>
      <c r="E2357" s="1181" t="str">
        <f t="shared" si="9"/>
        <v/>
      </c>
      <c r="F2357" s="1198"/>
      <c r="G2357" s="979" t="str">
        <f t="shared" si="7"/>
        <v/>
      </c>
      <c r="H2357" s="1194"/>
    </row>
    <row r="2358" spans="1:8" x14ac:dyDescent="0.25">
      <c r="A2358" s="1191"/>
      <c r="B2358" s="1199"/>
      <c r="C2358" s="1198" t="str">
        <f t="shared" si="8"/>
        <v/>
      </c>
      <c r="D2358" s="1200"/>
      <c r="E2358" s="1201" t="str">
        <f t="shared" si="9"/>
        <v/>
      </c>
      <c r="F2358" s="1198"/>
      <c r="G2358" s="979" t="str">
        <f t="shared" si="7"/>
        <v/>
      </c>
      <c r="H2358" s="1194"/>
    </row>
    <row r="2359" spans="1:8" x14ac:dyDescent="0.25">
      <c r="A2359" s="1191"/>
      <c r="B2359" s="1199"/>
      <c r="C2359" s="1198" t="str">
        <f t="shared" si="8"/>
        <v/>
      </c>
      <c r="D2359" s="1200"/>
      <c r="E2359" s="1201" t="str">
        <f t="shared" si="9"/>
        <v/>
      </c>
      <c r="F2359" s="1198"/>
      <c r="G2359" s="979" t="str">
        <f t="shared" si="7"/>
        <v/>
      </c>
      <c r="H2359" s="1194"/>
    </row>
    <row r="2360" spans="1:8" x14ac:dyDescent="0.25">
      <c r="A2360" s="1191"/>
      <c r="B2360" s="1199"/>
      <c r="C2360" s="1198" t="str">
        <f t="shared" si="8"/>
        <v/>
      </c>
      <c r="D2360" s="1200"/>
      <c r="E2360" s="1201" t="str">
        <f t="shared" si="9"/>
        <v/>
      </c>
      <c r="F2360" s="1198"/>
      <c r="G2360" s="979" t="str">
        <f t="shared" si="7"/>
        <v/>
      </c>
      <c r="H2360" s="1194"/>
    </row>
    <row r="2361" spans="1:8" ht="15.75" thickBot="1" x14ac:dyDescent="0.3">
      <c r="A2361" s="1191"/>
      <c r="B2361" s="1199"/>
      <c r="C2361" s="1198" t="str">
        <f t="shared" si="8"/>
        <v/>
      </c>
      <c r="D2361" s="1200"/>
      <c r="E2361" s="1201" t="str">
        <f t="shared" si="9"/>
        <v/>
      </c>
      <c r="F2361" s="1198"/>
      <c r="G2361" s="979" t="str">
        <f t="shared" si="7"/>
        <v/>
      </c>
      <c r="H2361" s="1194"/>
    </row>
    <row r="2362" spans="1:8" ht="15.75" thickBot="1" x14ac:dyDescent="0.3">
      <c r="A2362" s="1191"/>
      <c r="B2362" s="1202"/>
      <c r="C2362" s="1203" t="str">
        <f t="shared" si="8"/>
        <v/>
      </c>
      <c r="D2362" s="1204"/>
      <c r="E2362" s="1205" t="str">
        <f t="shared" si="9"/>
        <v/>
      </c>
      <c r="F2362" s="1203"/>
      <c r="G2362" s="979" t="str">
        <f t="shared" si="7"/>
        <v/>
      </c>
      <c r="H2362" s="1206">
        <f>+SUM(G2355:G2362)</f>
        <v>11779.313333333334</v>
      </c>
    </row>
    <row r="2363" spans="1:8" ht="15.75" thickBot="1" x14ac:dyDescent="0.3">
      <c r="A2363" s="1191"/>
      <c r="B2363" s="1207"/>
      <c r="C2363" s="1208"/>
      <c r="D2363" s="1207"/>
      <c r="E2363" s="1209"/>
      <c r="F2363" s="1208"/>
      <c r="G2363" s="1210"/>
      <c r="H2363" s="1211"/>
    </row>
    <row r="2364" spans="1:8" ht="15.75" thickBot="1" x14ac:dyDescent="0.3">
      <c r="A2364" s="1192"/>
      <c r="B2364" s="1428" t="s">
        <v>5408</v>
      </c>
      <c r="C2364" s="1429" t="s">
        <v>867</v>
      </c>
      <c r="D2364" s="1429" t="s">
        <v>6</v>
      </c>
      <c r="E2364" s="1430" t="s">
        <v>870</v>
      </c>
      <c r="F2364" s="1429" t="s">
        <v>7040</v>
      </c>
      <c r="G2364" s="1431" t="s">
        <v>868</v>
      </c>
      <c r="H2364" s="1194"/>
    </row>
    <row r="2365" spans="1:8" x14ac:dyDescent="0.25">
      <c r="A2365" s="1192"/>
      <c r="B2365" s="1212"/>
      <c r="C2365" s="1195" t="str">
        <f t="shared" ref="C2365:C2378" si="10">IF(B2365="","",VLOOKUP(B2365,INSUMOS,2,FALSE))</f>
        <v/>
      </c>
      <c r="D2365" s="1195"/>
      <c r="E2365" s="1180" t="str">
        <f t="shared" ref="E2365:E2378" si="11">IF(B2365="","",VLOOKUP(B2365,INSUMOS,3,FALSE))</f>
        <v/>
      </c>
      <c r="F2365" s="1195"/>
      <c r="G2365" s="979" t="str">
        <f t="shared" ref="G2365:G2378" si="12">IF(B2365="","",PRODUCT(D2365:F2365))</f>
        <v/>
      </c>
      <c r="H2365" s="1194"/>
    </row>
    <row r="2366" spans="1:8" x14ac:dyDescent="0.25">
      <c r="A2366" s="1192"/>
      <c r="B2366" s="1213"/>
      <c r="C2366" s="1198" t="str">
        <f t="shared" si="10"/>
        <v/>
      </c>
      <c r="D2366" s="1198"/>
      <c r="E2366" s="1181" t="str">
        <f t="shared" si="11"/>
        <v/>
      </c>
      <c r="F2366" s="1195"/>
      <c r="G2366" s="979" t="str">
        <f t="shared" si="12"/>
        <v/>
      </c>
      <c r="H2366" s="1194"/>
    </row>
    <row r="2367" spans="1:8" x14ac:dyDescent="0.25">
      <c r="A2367" s="1192"/>
      <c r="B2367" s="1213"/>
      <c r="C2367" s="1198" t="str">
        <f t="shared" si="10"/>
        <v/>
      </c>
      <c r="D2367" s="1198"/>
      <c r="E2367" s="1181" t="str">
        <f t="shared" si="11"/>
        <v/>
      </c>
      <c r="F2367" s="1195"/>
      <c r="G2367" s="979" t="str">
        <f t="shared" si="12"/>
        <v/>
      </c>
      <c r="H2367" s="1194"/>
    </row>
    <row r="2368" spans="1:8" x14ac:dyDescent="0.25">
      <c r="A2368" s="1192"/>
      <c r="B2368" s="1199"/>
      <c r="C2368" s="1198" t="str">
        <f t="shared" si="10"/>
        <v/>
      </c>
      <c r="D2368" s="1198"/>
      <c r="E2368" s="1180" t="str">
        <f t="shared" si="11"/>
        <v/>
      </c>
      <c r="F2368" s="1198"/>
      <c r="G2368" s="979" t="str">
        <f t="shared" si="12"/>
        <v/>
      </c>
      <c r="H2368" s="1194"/>
    </row>
    <row r="2369" spans="1:8" x14ac:dyDescent="0.25">
      <c r="A2369" s="1192"/>
      <c r="B2369" s="1199"/>
      <c r="C2369" s="1198" t="str">
        <f t="shared" si="10"/>
        <v/>
      </c>
      <c r="D2369" s="1198"/>
      <c r="E2369" s="1180" t="str">
        <f t="shared" si="11"/>
        <v/>
      </c>
      <c r="F2369" s="1198"/>
      <c r="G2369" s="979" t="str">
        <f t="shared" si="12"/>
        <v/>
      </c>
      <c r="H2369" s="1194"/>
    </row>
    <row r="2370" spans="1:8" x14ac:dyDescent="0.25">
      <c r="A2370" s="1192"/>
      <c r="B2370" s="1199"/>
      <c r="C2370" s="1198" t="str">
        <f t="shared" si="10"/>
        <v/>
      </c>
      <c r="D2370" s="1198"/>
      <c r="E2370" s="1180" t="str">
        <f t="shared" si="11"/>
        <v/>
      </c>
      <c r="F2370" s="1198"/>
      <c r="G2370" s="979" t="str">
        <f t="shared" si="12"/>
        <v/>
      </c>
      <c r="H2370" s="1194"/>
    </row>
    <row r="2371" spans="1:8" x14ac:dyDescent="0.25">
      <c r="A2371" s="1192"/>
      <c r="B2371" s="1199"/>
      <c r="C2371" s="1198" t="str">
        <f t="shared" si="10"/>
        <v/>
      </c>
      <c r="D2371" s="1198"/>
      <c r="E2371" s="1180" t="str">
        <f t="shared" si="11"/>
        <v/>
      </c>
      <c r="F2371" s="1198"/>
      <c r="G2371" s="979" t="str">
        <f t="shared" si="12"/>
        <v/>
      </c>
      <c r="H2371" s="1194"/>
    </row>
    <row r="2372" spans="1:8" x14ac:dyDescent="0.25">
      <c r="A2372" s="1192"/>
      <c r="B2372" s="1199"/>
      <c r="C2372" s="1198" t="str">
        <f t="shared" si="10"/>
        <v/>
      </c>
      <c r="D2372" s="1198"/>
      <c r="E2372" s="1180" t="str">
        <f t="shared" si="11"/>
        <v/>
      </c>
      <c r="F2372" s="1198"/>
      <c r="G2372" s="979" t="str">
        <f t="shared" si="12"/>
        <v/>
      </c>
      <c r="H2372" s="1194"/>
    </row>
    <row r="2373" spans="1:8" x14ac:dyDescent="0.25">
      <c r="A2373" s="1192"/>
      <c r="B2373" s="1199"/>
      <c r="C2373" s="1198" t="str">
        <f t="shared" si="10"/>
        <v/>
      </c>
      <c r="D2373" s="1198"/>
      <c r="E2373" s="1180" t="str">
        <f t="shared" si="11"/>
        <v/>
      </c>
      <c r="F2373" s="1198"/>
      <c r="G2373" s="979" t="str">
        <f t="shared" si="12"/>
        <v/>
      </c>
      <c r="H2373" s="1194"/>
    </row>
    <row r="2374" spans="1:8" x14ac:dyDescent="0.25">
      <c r="A2374" s="1192"/>
      <c r="B2374" s="1199"/>
      <c r="C2374" s="1198" t="str">
        <f t="shared" si="10"/>
        <v/>
      </c>
      <c r="D2374" s="1198"/>
      <c r="E2374" s="1180" t="str">
        <f t="shared" si="11"/>
        <v/>
      </c>
      <c r="F2374" s="1198"/>
      <c r="G2374" s="979" t="str">
        <f t="shared" si="12"/>
        <v/>
      </c>
      <c r="H2374" s="1194"/>
    </row>
    <row r="2375" spans="1:8" x14ac:dyDescent="0.25">
      <c r="A2375" s="1192"/>
      <c r="B2375" s="1199"/>
      <c r="C2375" s="1198" t="str">
        <f t="shared" si="10"/>
        <v/>
      </c>
      <c r="D2375" s="1198"/>
      <c r="E2375" s="1180" t="str">
        <f t="shared" si="11"/>
        <v/>
      </c>
      <c r="F2375" s="1198"/>
      <c r="G2375" s="979" t="str">
        <f t="shared" si="12"/>
        <v/>
      </c>
      <c r="H2375" s="1194"/>
    </row>
    <row r="2376" spans="1:8" x14ac:dyDescent="0.25">
      <c r="A2376" s="1192"/>
      <c r="B2376" s="1199"/>
      <c r="C2376" s="1200" t="str">
        <f t="shared" si="10"/>
        <v/>
      </c>
      <c r="D2376" s="1200"/>
      <c r="E2376" s="1201" t="str">
        <f t="shared" si="11"/>
        <v/>
      </c>
      <c r="F2376" s="1198"/>
      <c r="G2376" s="979" t="str">
        <f t="shared" si="12"/>
        <v/>
      </c>
      <c r="H2376" s="1194"/>
    </row>
    <row r="2377" spans="1:8" ht="15.75" thickBot="1" x14ac:dyDescent="0.3">
      <c r="A2377" s="1192"/>
      <c r="B2377" s="1199"/>
      <c r="C2377" s="1200" t="str">
        <f t="shared" si="10"/>
        <v/>
      </c>
      <c r="D2377" s="1200"/>
      <c r="E2377" s="1201" t="str">
        <f t="shared" si="11"/>
        <v/>
      </c>
      <c r="F2377" s="1198"/>
      <c r="G2377" s="979" t="str">
        <f t="shared" si="12"/>
        <v/>
      </c>
      <c r="H2377" s="1194"/>
    </row>
    <row r="2378" spans="1:8" ht="15.75" thickBot="1" x14ac:dyDescent="0.3">
      <c r="A2378" s="1192"/>
      <c r="B2378" s="1202"/>
      <c r="C2378" s="1204" t="str">
        <f t="shared" si="10"/>
        <v/>
      </c>
      <c r="D2378" s="1204"/>
      <c r="E2378" s="1205" t="str">
        <f t="shared" si="11"/>
        <v/>
      </c>
      <c r="F2378" s="1203"/>
      <c r="G2378" s="979" t="str">
        <f t="shared" si="12"/>
        <v/>
      </c>
      <c r="H2378" s="1206">
        <f>+SUM(G2365:G2378)</f>
        <v>0</v>
      </c>
    </row>
    <row r="2379" spans="1:8" ht="15.75" thickBot="1" x14ac:dyDescent="0.3">
      <c r="A2379" s="1192"/>
      <c r="B2379" s="1207"/>
      <c r="C2379" s="1207"/>
      <c r="D2379" s="1207"/>
      <c r="E2379" s="1209"/>
      <c r="F2379" s="1208"/>
      <c r="G2379" s="1210"/>
      <c r="H2379" s="1211"/>
    </row>
    <row r="2380" spans="1:8" ht="15.75" thickBot="1" x14ac:dyDescent="0.3">
      <c r="A2380" s="1192"/>
      <c r="B2380" s="1428" t="s">
        <v>5410</v>
      </c>
      <c r="C2380" s="1429" t="s">
        <v>867</v>
      </c>
      <c r="D2380" s="1429" t="s">
        <v>6</v>
      </c>
      <c r="E2380" s="1430" t="s">
        <v>870</v>
      </c>
      <c r="F2380" s="1429" t="s">
        <v>5411</v>
      </c>
      <c r="G2380" s="1431" t="s">
        <v>868</v>
      </c>
      <c r="H2380" s="1194"/>
    </row>
    <row r="2381" spans="1:8" x14ac:dyDescent="0.25">
      <c r="A2381" s="1192"/>
      <c r="B2381" s="1212"/>
      <c r="C2381" s="1195" t="str">
        <f>IF(B2381="","",VLOOKUP(B2381,INSUMOS,2,FALSE))</f>
        <v/>
      </c>
      <c r="D2381" s="1195"/>
      <c r="E2381" s="1180" t="str">
        <f>IF(B2381="","",VLOOKUP(B2381,INSUMOS,3,FALSE))</f>
        <v/>
      </c>
      <c r="F2381" s="1195"/>
      <c r="G2381" s="979" t="str">
        <f>IF(B2381="","",PRODUCT(D2381:F2381))</f>
        <v/>
      </c>
      <c r="H2381" s="1194"/>
    </row>
    <row r="2382" spans="1:8" x14ac:dyDescent="0.25">
      <c r="A2382" s="1192"/>
      <c r="B2382" s="1213"/>
      <c r="C2382" s="1198" t="str">
        <f>IF(B2382="","",VLOOKUP(B2382,INSUMOS,2,FALSE))</f>
        <v/>
      </c>
      <c r="D2382" s="1198"/>
      <c r="E2382" s="1181" t="str">
        <f>IF(B2382="","",VLOOKUP(B2382,INSUMOS,3,FALSE))</f>
        <v/>
      </c>
      <c r="F2382" s="1198"/>
      <c r="G2382" s="979" t="str">
        <f>IF(B2382="","",PRODUCT(D2382:F2382))</f>
        <v/>
      </c>
      <c r="H2382" s="1194"/>
    </row>
    <row r="2383" spans="1:8" x14ac:dyDescent="0.25">
      <c r="A2383" s="1192"/>
      <c r="B2383" s="1213"/>
      <c r="C2383" s="1198" t="str">
        <f>IF(B2383="","",VLOOKUP(B2383,INSUMOS,2,FALSE))</f>
        <v/>
      </c>
      <c r="D2383" s="1198"/>
      <c r="E2383" s="1180" t="str">
        <f>IF(B2383="","",VLOOKUP(B2383,INSUMOS,3,FALSE))</f>
        <v/>
      </c>
      <c r="F2383" s="1198"/>
      <c r="G2383" s="979" t="str">
        <f>IF(B2383="","",PRODUCT(D2383:F2383))</f>
        <v/>
      </c>
      <c r="H2383" s="1194"/>
    </row>
    <row r="2384" spans="1:8" ht="15.75" thickBot="1" x14ac:dyDescent="0.3">
      <c r="A2384" s="1192"/>
      <c r="B2384" s="1199"/>
      <c r="C2384" s="1198" t="str">
        <f>IF(B2384="","",VLOOKUP(B2384,INSUMOS,2,FALSE))</f>
        <v/>
      </c>
      <c r="D2384" s="1198"/>
      <c r="E2384" s="1180" t="str">
        <f>IF(B2384="","",VLOOKUP(B2384,INSUMOS,3,FALSE))</f>
        <v/>
      </c>
      <c r="F2384" s="1198"/>
      <c r="G2384" s="979" t="str">
        <f>IF(B2384="","",PRODUCT(D2384:F2384))</f>
        <v/>
      </c>
      <c r="H2384" s="1194"/>
    </row>
    <row r="2385" spans="1:8" ht="15.75" thickBot="1" x14ac:dyDescent="0.3">
      <c r="A2385" s="1192"/>
      <c r="B2385" s="1202"/>
      <c r="C2385" s="1204" t="str">
        <f>IF(B2385="","",VLOOKUP(B2385,INSUMOS,2,FALSE))</f>
        <v/>
      </c>
      <c r="D2385" s="1204"/>
      <c r="E2385" s="1205" t="str">
        <f>IF(B2385="","",VLOOKUP(B2385,INSUMOS,3,FALSE))</f>
        <v/>
      </c>
      <c r="F2385" s="1203"/>
      <c r="G2385" s="979" t="str">
        <f>IF(B2385="","",PRODUCT(D2385:F2385))</f>
        <v/>
      </c>
      <c r="H2385" s="1206">
        <f>+SUM(G2381:G2385)</f>
        <v>0</v>
      </c>
    </row>
    <row r="2386" spans="1:8" ht="15.75" thickBot="1" x14ac:dyDescent="0.3">
      <c r="A2386" s="1192"/>
      <c r="B2386" s="1207"/>
      <c r="C2386" s="1207"/>
      <c r="D2386" s="1207"/>
      <c r="E2386" s="1209"/>
      <c r="F2386" s="1214"/>
      <c r="G2386" s="1215"/>
      <c r="H2386" s="1211"/>
    </row>
    <row r="2387" spans="1:8" ht="15.75" thickBot="1" x14ac:dyDescent="0.3">
      <c r="A2387" s="1192"/>
      <c r="B2387" s="1428" t="s">
        <v>5412</v>
      </c>
      <c r="C2387" s="1429" t="s">
        <v>5420</v>
      </c>
      <c r="D2387" s="1429" t="s">
        <v>5421</v>
      </c>
      <c r="E2387" s="1430" t="s">
        <v>5413</v>
      </c>
      <c r="F2387" s="1429" t="s">
        <v>5405</v>
      </c>
      <c r="G2387" s="1431" t="s">
        <v>868</v>
      </c>
      <c r="H2387" s="1194"/>
    </row>
    <row r="2388" spans="1:8" x14ac:dyDescent="0.25">
      <c r="A2388" s="1192"/>
      <c r="B2388" s="194" t="s">
        <v>6523</v>
      </c>
      <c r="C2388" s="345">
        <f>+VLOOKUP($B2388,'Mano de obra'!$A$5:$D$26,2,FALSE)</f>
        <v>57454</v>
      </c>
      <c r="D2388" s="345">
        <f>+VLOOKUP($B2388,'Mano de obra'!$A$5:$D$26,3,FALSE)</f>
        <v>35656</v>
      </c>
      <c r="E2388" s="345">
        <f>+VLOOKUP($B2388,'Mano de obra'!$A$5:$D$26,4,FALSE)</f>
        <v>93110</v>
      </c>
      <c r="F2388" s="1197">
        <v>30</v>
      </c>
      <c r="G2388" s="979">
        <f>IF(B2388="","",E2388/F2388)</f>
        <v>3103.6666666666665</v>
      </c>
      <c r="H2388" s="1194"/>
    </row>
    <row r="2389" spans="1:8" x14ac:dyDescent="0.25">
      <c r="A2389" s="1192"/>
      <c r="B2389" s="194" t="s">
        <v>6524</v>
      </c>
      <c r="C2389" s="345">
        <f>+VLOOKUP($B2389,'Mano de obra'!$A$5:$D$26,2,FALSE)</f>
        <v>44263.8</v>
      </c>
      <c r="D2389" s="345">
        <f>+VLOOKUP($B2389,'Mano de obra'!$A$5:$D$26,3,FALSE)</f>
        <v>27470</v>
      </c>
      <c r="E2389" s="345">
        <f>+VLOOKUP($B2389,'Mano de obra'!$A$5:$D$26,4,FALSE)</f>
        <v>71733.8</v>
      </c>
      <c r="F2389" s="1195">
        <v>2</v>
      </c>
      <c r="G2389" s="979">
        <f>IF(B2389="","",E2389/F2389)</f>
        <v>35866.9</v>
      </c>
      <c r="H2389" s="1194"/>
    </row>
    <row r="2390" spans="1:8" x14ac:dyDescent="0.25">
      <c r="A2390" s="1192"/>
      <c r="B2390" s="195" t="s">
        <v>6525</v>
      </c>
      <c r="C2390" s="345">
        <f>+VLOOKUP($B2390,'Mano de obra'!$A$5:$D$26,2,FALSE)</f>
        <v>24591</v>
      </c>
      <c r="D2390" s="345">
        <f>+VLOOKUP($B2390,'Mano de obra'!$A$5:$D$26,3,FALSE)</f>
        <v>15261</v>
      </c>
      <c r="E2390" s="345">
        <f>+VLOOKUP($B2390,'Mano de obra'!$A$5:$D$26,4,FALSE)</f>
        <v>39852</v>
      </c>
      <c r="F2390" s="1198">
        <v>2</v>
      </c>
      <c r="G2390" s="979">
        <f>IF(B2390="","",E2390/F2390)</f>
        <v>19926</v>
      </c>
      <c r="H2390" s="1194"/>
    </row>
    <row r="2391" spans="1:8" x14ac:dyDescent="0.25">
      <c r="A2391" s="1192"/>
      <c r="B2391" s="1199"/>
      <c r="C2391" s="1216"/>
      <c r="D2391" s="1201"/>
      <c r="E2391" s="1201"/>
      <c r="F2391" s="1198"/>
      <c r="G2391" s="1217"/>
      <c r="H2391" s="1194"/>
    </row>
    <row r="2392" spans="1:8" ht="15.75" thickBot="1" x14ac:dyDescent="0.3">
      <c r="A2392" s="1192"/>
      <c r="B2392" s="1199"/>
      <c r="C2392" s="1201"/>
      <c r="D2392" s="1201"/>
      <c r="E2392" s="1201"/>
      <c r="F2392" s="1198"/>
      <c r="G2392" s="1217"/>
      <c r="H2392" s="1194"/>
    </row>
    <row r="2393" spans="1:8" ht="15.75" thickBot="1" x14ac:dyDescent="0.3">
      <c r="A2393" s="1192"/>
      <c r="B2393" s="1218"/>
      <c r="C2393" s="1219"/>
      <c r="D2393" s="1219"/>
      <c r="E2393" s="1219"/>
      <c r="F2393" s="1220"/>
      <c r="G2393" s="1221"/>
      <c r="H2393" s="1206">
        <f>+SUM(G2388:G2393)</f>
        <v>58896.566666666666</v>
      </c>
    </row>
    <row r="2394" spans="1:8" ht="15.75" thickBot="1" x14ac:dyDescent="0.3">
      <c r="A2394" s="1192"/>
      <c r="B2394" s="1192"/>
      <c r="C2394" s="1192"/>
      <c r="D2394" s="1192"/>
      <c r="E2394" s="1192"/>
      <c r="F2394" s="1191"/>
      <c r="G2394" s="1192"/>
      <c r="H2394" s="1192"/>
    </row>
    <row r="2395" spans="1:8" ht="15.75" thickBot="1" x14ac:dyDescent="0.3">
      <c r="A2395" s="1192"/>
      <c r="B2395" s="1192"/>
      <c r="C2395" s="1192"/>
      <c r="D2395" s="1192"/>
      <c r="E2395" s="1222" t="s">
        <v>5415</v>
      </c>
      <c r="F2395" s="1191"/>
      <c r="G2395" s="1192"/>
      <c r="H2395" s="1223">
        <f>ROUND(+H2362+H2378+H2385+H2393,0)</f>
        <v>70676</v>
      </c>
    </row>
    <row r="2397" spans="1:8" x14ac:dyDescent="0.25">
      <c r="A2397" s="1191"/>
      <c r="B2397" s="1192"/>
      <c r="C2397" s="1192"/>
      <c r="D2397" s="1192"/>
      <c r="E2397" s="1192"/>
      <c r="F2397" s="1191"/>
      <c r="G2397" s="1192"/>
      <c r="H2397" s="1192"/>
    </row>
    <row r="2398" spans="1:8" s="1058" customFormat="1" x14ac:dyDescent="0.25">
      <c r="A2398" s="1191"/>
      <c r="B2398" s="1192"/>
      <c r="C2398" s="1192"/>
      <c r="D2398" s="1192"/>
      <c r="E2398" s="1192"/>
      <c r="F2398" s="1191"/>
      <c r="G2398" s="1192"/>
      <c r="H2398" s="1192"/>
    </row>
    <row r="2399" spans="1:8" x14ac:dyDescent="0.25">
      <c r="A2399" s="673" t="s">
        <v>3</v>
      </c>
      <c r="B2399" s="1390" t="str">
        <f>+VLOOKUP(C2399,ListaAPUs!$B:$E,4,FALSE)</f>
        <v>4.2.10</v>
      </c>
      <c r="C2399" s="2449" t="str">
        <f>+ListaAPUs!B84</f>
        <v>INSTALACIÓN NIPLES EN  HD D=25 MM A 150 MM L=1 A 2M</v>
      </c>
      <c r="D2399" s="2449"/>
      <c r="E2399" s="2449"/>
      <c r="F2399" s="673" t="s">
        <v>867</v>
      </c>
      <c r="G2399" s="222" t="s">
        <v>5424</v>
      </c>
      <c r="H2399" s="1192"/>
    </row>
    <row r="2400" spans="1:8" x14ac:dyDescent="0.25">
      <c r="A2400" s="1191"/>
      <c r="B2400" s="1192"/>
      <c r="C2400" s="1192"/>
      <c r="D2400" s="1192"/>
      <c r="E2400" s="1192"/>
      <c r="F2400" s="1191"/>
      <c r="G2400" s="1192"/>
      <c r="H2400" s="1192"/>
    </row>
    <row r="2401" spans="1:8" x14ac:dyDescent="0.25">
      <c r="A2401" s="1191"/>
      <c r="B2401" s="1192"/>
      <c r="C2401" s="1192"/>
      <c r="D2401" s="1192"/>
      <c r="E2401" s="1192"/>
      <c r="F2401" s="1191"/>
      <c r="G2401" s="1193"/>
      <c r="H2401" s="1192"/>
    </row>
    <row r="2402" spans="1:8" ht="15.75" thickBot="1" x14ac:dyDescent="0.3">
      <c r="A2402" s="1191"/>
      <c r="B2402" s="1192"/>
      <c r="C2402" s="1192"/>
      <c r="D2402" s="1192"/>
      <c r="E2402" s="1192"/>
      <c r="F2402" s="1191"/>
      <c r="G2402" s="1192"/>
      <c r="H2402" s="1192"/>
    </row>
    <row r="2403" spans="1:8" ht="15.75" thickBot="1" x14ac:dyDescent="0.3">
      <c r="A2403" s="1191"/>
      <c r="B2403" s="1428" t="s">
        <v>5403</v>
      </c>
      <c r="C2403" s="1429" t="s">
        <v>867</v>
      </c>
      <c r="D2403" s="1429" t="s">
        <v>6</v>
      </c>
      <c r="E2403" s="1430" t="s">
        <v>5404</v>
      </c>
      <c r="F2403" s="1429" t="s">
        <v>5405</v>
      </c>
      <c r="G2403" s="1431" t="s">
        <v>868</v>
      </c>
      <c r="H2403" s="1194"/>
    </row>
    <row r="2404" spans="1:8" x14ac:dyDescent="0.25">
      <c r="A2404" s="1191"/>
      <c r="B2404" s="757" t="s">
        <v>5455</v>
      </c>
      <c r="C2404" s="226" t="s">
        <v>7042</v>
      </c>
      <c r="D2404" s="1196">
        <v>1</v>
      </c>
      <c r="E2404" s="228">
        <f>+H2442</f>
        <v>60448.4</v>
      </c>
      <c r="F2404" s="1197">
        <v>0.2</v>
      </c>
      <c r="G2404" s="979">
        <f t="shared" ref="G2404:G2411" si="13">IF(B2404="","",PRODUCT(D2404:F2404))</f>
        <v>12089.68</v>
      </c>
      <c r="H2404" s="1194"/>
    </row>
    <row r="2405" spans="1:8" x14ac:dyDescent="0.25">
      <c r="A2405" s="1191"/>
      <c r="B2405" s="760"/>
      <c r="C2405" s="1198" t="str">
        <f t="shared" ref="C2405:C2411" si="14">IF(B2405="","",VLOOKUP(B2405,INSUMOS,2,FALSE))</f>
        <v/>
      </c>
      <c r="D2405" s="1198"/>
      <c r="E2405" s="1181" t="str">
        <f t="shared" ref="E2405:E2411" si="15">IF(B2405="","",IF(C2405="%mo",$K$50,VLOOKUP(B2405,INSUMOS,3,FALSE)))</f>
        <v/>
      </c>
      <c r="F2405" s="1198"/>
      <c r="G2405" s="979" t="str">
        <f t="shared" si="13"/>
        <v/>
      </c>
      <c r="H2405" s="1194"/>
    </row>
    <row r="2406" spans="1:8" x14ac:dyDescent="0.25">
      <c r="A2406" s="1191"/>
      <c r="B2406" s="763"/>
      <c r="C2406" s="1198" t="str">
        <f t="shared" si="14"/>
        <v/>
      </c>
      <c r="D2406" s="1198"/>
      <c r="E2406" s="1181" t="str">
        <f t="shared" si="15"/>
        <v/>
      </c>
      <c r="F2406" s="1198"/>
      <c r="G2406" s="979" t="str">
        <f t="shared" si="13"/>
        <v/>
      </c>
      <c r="H2406" s="1194"/>
    </row>
    <row r="2407" spans="1:8" x14ac:dyDescent="0.25">
      <c r="A2407" s="1191"/>
      <c r="B2407" s="1199"/>
      <c r="C2407" s="1198" t="str">
        <f t="shared" si="14"/>
        <v/>
      </c>
      <c r="D2407" s="1200"/>
      <c r="E2407" s="1201" t="str">
        <f t="shared" si="15"/>
        <v/>
      </c>
      <c r="F2407" s="1198"/>
      <c r="G2407" s="979" t="str">
        <f t="shared" si="13"/>
        <v/>
      </c>
      <c r="H2407" s="1194"/>
    </row>
    <row r="2408" spans="1:8" x14ac:dyDescent="0.25">
      <c r="A2408" s="1191"/>
      <c r="B2408" s="1199"/>
      <c r="C2408" s="1198" t="str">
        <f t="shared" si="14"/>
        <v/>
      </c>
      <c r="D2408" s="1200"/>
      <c r="E2408" s="1201" t="str">
        <f t="shared" si="15"/>
        <v/>
      </c>
      <c r="F2408" s="1198"/>
      <c r="G2408" s="979" t="str">
        <f t="shared" si="13"/>
        <v/>
      </c>
      <c r="H2408" s="1194"/>
    </row>
    <row r="2409" spans="1:8" x14ac:dyDescent="0.25">
      <c r="A2409" s="1191"/>
      <c r="B2409" s="1199"/>
      <c r="C2409" s="1198" t="str">
        <f t="shared" si="14"/>
        <v/>
      </c>
      <c r="D2409" s="1200"/>
      <c r="E2409" s="1201" t="str">
        <f t="shared" si="15"/>
        <v/>
      </c>
      <c r="F2409" s="1198"/>
      <c r="G2409" s="979" t="str">
        <f t="shared" si="13"/>
        <v/>
      </c>
      <c r="H2409" s="1194"/>
    </row>
    <row r="2410" spans="1:8" ht="15.75" thickBot="1" x14ac:dyDescent="0.3">
      <c r="A2410" s="1191"/>
      <c r="B2410" s="1199"/>
      <c r="C2410" s="1198" t="str">
        <f t="shared" si="14"/>
        <v/>
      </c>
      <c r="D2410" s="1200"/>
      <c r="E2410" s="1201" t="str">
        <f t="shared" si="15"/>
        <v/>
      </c>
      <c r="F2410" s="1198"/>
      <c r="G2410" s="979" t="str">
        <f t="shared" si="13"/>
        <v/>
      </c>
      <c r="H2410" s="1194"/>
    </row>
    <row r="2411" spans="1:8" ht="15.75" thickBot="1" x14ac:dyDescent="0.3">
      <c r="A2411" s="1191"/>
      <c r="B2411" s="1202"/>
      <c r="C2411" s="1203" t="str">
        <f t="shared" si="14"/>
        <v/>
      </c>
      <c r="D2411" s="1204"/>
      <c r="E2411" s="1205" t="str">
        <f t="shared" si="15"/>
        <v/>
      </c>
      <c r="F2411" s="1203"/>
      <c r="G2411" s="979" t="str">
        <f t="shared" si="13"/>
        <v/>
      </c>
      <c r="H2411" s="1206">
        <f>+SUM(G2404:G2411)</f>
        <v>12089.68</v>
      </c>
    </row>
    <row r="2412" spans="1:8" ht="15.75" thickBot="1" x14ac:dyDescent="0.3">
      <c r="A2412" s="1191"/>
      <c r="B2412" s="1207"/>
      <c r="C2412" s="1208"/>
      <c r="D2412" s="1207"/>
      <c r="E2412" s="1209"/>
      <c r="F2412" s="1208"/>
      <c r="G2412" s="1210"/>
      <c r="H2412" s="1211"/>
    </row>
    <row r="2413" spans="1:8" ht="15.75" thickBot="1" x14ac:dyDescent="0.3">
      <c r="A2413" s="1192"/>
      <c r="B2413" s="1428" t="s">
        <v>5408</v>
      </c>
      <c r="C2413" s="1429" t="s">
        <v>867</v>
      </c>
      <c r="D2413" s="1429" t="s">
        <v>6</v>
      </c>
      <c r="E2413" s="1430" t="s">
        <v>870</v>
      </c>
      <c r="F2413" s="1429" t="s">
        <v>7040</v>
      </c>
      <c r="G2413" s="1431" t="s">
        <v>868</v>
      </c>
      <c r="H2413" s="1194"/>
    </row>
    <row r="2414" spans="1:8" x14ac:dyDescent="0.25">
      <c r="A2414" s="1192"/>
      <c r="B2414" s="1212"/>
      <c r="C2414" s="1195" t="str">
        <f t="shared" ref="C2414:C2427" si="16">IF(B2414="","",VLOOKUP(B2414,INSUMOS,2,FALSE))</f>
        <v/>
      </c>
      <c r="D2414" s="1195"/>
      <c r="E2414" s="1180" t="str">
        <f t="shared" ref="E2414:E2427" si="17">IF(B2414="","",VLOOKUP(B2414,INSUMOS,3,FALSE))</f>
        <v/>
      </c>
      <c r="F2414" s="1195"/>
      <c r="G2414" s="979" t="str">
        <f t="shared" ref="G2414:G2427" si="18">IF(B2414="","",PRODUCT(D2414:F2414))</f>
        <v/>
      </c>
      <c r="H2414" s="1194"/>
    </row>
    <row r="2415" spans="1:8" x14ac:dyDescent="0.25">
      <c r="A2415" s="1192"/>
      <c r="B2415" s="1213"/>
      <c r="C2415" s="1198" t="str">
        <f t="shared" si="16"/>
        <v/>
      </c>
      <c r="D2415" s="1198"/>
      <c r="E2415" s="1181" t="str">
        <f t="shared" si="17"/>
        <v/>
      </c>
      <c r="F2415" s="1195"/>
      <c r="G2415" s="979" t="str">
        <f t="shared" si="18"/>
        <v/>
      </c>
      <c r="H2415" s="1194"/>
    </row>
    <row r="2416" spans="1:8" x14ac:dyDescent="0.25">
      <c r="A2416" s="1192"/>
      <c r="B2416" s="1213"/>
      <c r="C2416" s="1198" t="str">
        <f t="shared" si="16"/>
        <v/>
      </c>
      <c r="D2416" s="1198"/>
      <c r="E2416" s="1181" t="str">
        <f t="shared" si="17"/>
        <v/>
      </c>
      <c r="F2416" s="1195"/>
      <c r="G2416" s="979" t="str">
        <f t="shared" si="18"/>
        <v/>
      </c>
      <c r="H2416" s="1194"/>
    </row>
    <row r="2417" spans="1:8" x14ac:dyDescent="0.25">
      <c r="A2417" s="1192"/>
      <c r="B2417" s="1199"/>
      <c r="C2417" s="1198" t="str">
        <f t="shared" si="16"/>
        <v/>
      </c>
      <c r="D2417" s="1198"/>
      <c r="E2417" s="1180" t="str">
        <f t="shared" si="17"/>
        <v/>
      </c>
      <c r="F2417" s="1198"/>
      <c r="G2417" s="979" t="str">
        <f t="shared" si="18"/>
        <v/>
      </c>
      <c r="H2417" s="1194"/>
    </row>
    <row r="2418" spans="1:8" x14ac:dyDescent="0.25">
      <c r="A2418" s="1192"/>
      <c r="B2418" s="1199"/>
      <c r="C2418" s="1198" t="str">
        <f t="shared" si="16"/>
        <v/>
      </c>
      <c r="D2418" s="1198"/>
      <c r="E2418" s="1180" t="str">
        <f t="shared" si="17"/>
        <v/>
      </c>
      <c r="F2418" s="1198"/>
      <c r="G2418" s="979" t="str">
        <f t="shared" si="18"/>
        <v/>
      </c>
      <c r="H2418" s="1194"/>
    </row>
    <row r="2419" spans="1:8" x14ac:dyDescent="0.25">
      <c r="A2419" s="1192"/>
      <c r="B2419" s="1199"/>
      <c r="C2419" s="1198" t="str">
        <f t="shared" si="16"/>
        <v/>
      </c>
      <c r="D2419" s="1198"/>
      <c r="E2419" s="1180" t="str">
        <f t="shared" si="17"/>
        <v/>
      </c>
      <c r="F2419" s="1198"/>
      <c r="G2419" s="979" t="str">
        <f t="shared" si="18"/>
        <v/>
      </c>
      <c r="H2419" s="1194"/>
    </row>
    <row r="2420" spans="1:8" x14ac:dyDescent="0.25">
      <c r="A2420" s="1192"/>
      <c r="B2420" s="1199"/>
      <c r="C2420" s="1198" t="str">
        <f t="shared" si="16"/>
        <v/>
      </c>
      <c r="D2420" s="1198"/>
      <c r="E2420" s="1180" t="str">
        <f t="shared" si="17"/>
        <v/>
      </c>
      <c r="F2420" s="1198"/>
      <c r="G2420" s="979" t="str">
        <f t="shared" si="18"/>
        <v/>
      </c>
      <c r="H2420" s="1194"/>
    </row>
    <row r="2421" spans="1:8" x14ac:dyDescent="0.25">
      <c r="A2421" s="1192"/>
      <c r="B2421" s="1199"/>
      <c r="C2421" s="1198" t="str">
        <f t="shared" si="16"/>
        <v/>
      </c>
      <c r="D2421" s="1198"/>
      <c r="E2421" s="1180" t="str">
        <f t="shared" si="17"/>
        <v/>
      </c>
      <c r="F2421" s="1198"/>
      <c r="G2421" s="979" t="str">
        <f t="shared" si="18"/>
        <v/>
      </c>
      <c r="H2421" s="1194"/>
    </row>
    <row r="2422" spans="1:8" x14ac:dyDescent="0.25">
      <c r="A2422" s="1192"/>
      <c r="B2422" s="1199"/>
      <c r="C2422" s="1198" t="str">
        <f t="shared" si="16"/>
        <v/>
      </c>
      <c r="D2422" s="1198"/>
      <c r="E2422" s="1180" t="str">
        <f t="shared" si="17"/>
        <v/>
      </c>
      <c r="F2422" s="1198"/>
      <c r="G2422" s="979" t="str">
        <f t="shared" si="18"/>
        <v/>
      </c>
      <c r="H2422" s="1194"/>
    </row>
    <row r="2423" spans="1:8" x14ac:dyDescent="0.25">
      <c r="A2423" s="1192"/>
      <c r="B2423" s="1199"/>
      <c r="C2423" s="1198" t="str">
        <f t="shared" si="16"/>
        <v/>
      </c>
      <c r="D2423" s="1198"/>
      <c r="E2423" s="1180" t="str">
        <f t="shared" si="17"/>
        <v/>
      </c>
      <c r="F2423" s="1198"/>
      <c r="G2423" s="979" t="str">
        <f t="shared" si="18"/>
        <v/>
      </c>
      <c r="H2423" s="1194"/>
    </row>
    <row r="2424" spans="1:8" x14ac:dyDescent="0.25">
      <c r="A2424" s="1192"/>
      <c r="B2424" s="1199"/>
      <c r="C2424" s="1198" t="str">
        <f t="shared" si="16"/>
        <v/>
      </c>
      <c r="D2424" s="1198"/>
      <c r="E2424" s="1180" t="str">
        <f t="shared" si="17"/>
        <v/>
      </c>
      <c r="F2424" s="1198"/>
      <c r="G2424" s="979" t="str">
        <f t="shared" si="18"/>
        <v/>
      </c>
      <c r="H2424" s="1194"/>
    </row>
    <row r="2425" spans="1:8" x14ac:dyDescent="0.25">
      <c r="A2425" s="1192"/>
      <c r="B2425" s="1199"/>
      <c r="C2425" s="1200" t="str">
        <f t="shared" si="16"/>
        <v/>
      </c>
      <c r="D2425" s="1200"/>
      <c r="E2425" s="1201" t="str">
        <f t="shared" si="17"/>
        <v/>
      </c>
      <c r="F2425" s="1198"/>
      <c r="G2425" s="979" t="str">
        <f t="shared" si="18"/>
        <v/>
      </c>
      <c r="H2425" s="1194"/>
    </row>
    <row r="2426" spans="1:8" ht="15.75" thickBot="1" x14ac:dyDescent="0.3">
      <c r="A2426" s="1192"/>
      <c r="B2426" s="1199"/>
      <c r="C2426" s="1200" t="str">
        <f t="shared" si="16"/>
        <v/>
      </c>
      <c r="D2426" s="1200"/>
      <c r="E2426" s="1201" t="str">
        <f t="shared" si="17"/>
        <v/>
      </c>
      <c r="F2426" s="1198"/>
      <c r="G2426" s="979" t="str">
        <f t="shared" si="18"/>
        <v/>
      </c>
      <c r="H2426" s="1194"/>
    </row>
    <row r="2427" spans="1:8" ht="15.75" thickBot="1" x14ac:dyDescent="0.3">
      <c r="A2427" s="1192"/>
      <c r="B2427" s="1202"/>
      <c r="C2427" s="1204" t="str">
        <f t="shared" si="16"/>
        <v/>
      </c>
      <c r="D2427" s="1204"/>
      <c r="E2427" s="1205" t="str">
        <f t="shared" si="17"/>
        <v/>
      </c>
      <c r="F2427" s="1203"/>
      <c r="G2427" s="979" t="str">
        <f t="shared" si="18"/>
        <v/>
      </c>
      <c r="H2427" s="1206">
        <f>+SUM(G2414:G2427)</f>
        <v>0</v>
      </c>
    </row>
    <row r="2428" spans="1:8" ht="15.75" thickBot="1" x14ac:dyDescent="0.3">
      <c r="A2428" s="1192"/>
      <c r="B2428" s="1207"/>
      <c r="C2428" s="1207"/>
      <c r="D2428" s="1207"/>
      <c r="E2428" s="1209"/>
      <c r="F2428" s="1208"/>
      <c r="G2428" s="1210"/>
      <c r="H2428" s="1211"/>
    </row>
    <row r="2429" spans="1:8" ht="15.75" thickBot="1" x14ac:dyDescent="0.3">
      <c r="A2429" s="1192"/>
      <c r="B2429" s="1428" t="s">
        <v>5410</v>
      </c>
      <c r="C2429" s="1429" t="s">
        <v>867</v>
      </c>
      <c r="D2429" s="1429" t="s">
        <v>6</v>
      </c>
      <c r="E2429" s="1430" t="s">
        <v>870</v>
      </c>
      <c r="F2429" s="1429" t="s">
        <v>5411</v>
      </c>
      <c r="G2429" s="1431" t="s">
        <v>868</v>
      </c>
      <c r="H2429" s="1194"/>
    </row>
    <row r="2430" spans="1:8" x14ac:dyDescent="0.25">
      <c r="A2430" s="1192"/>
      <c r="B2430" s="1212"/>
      <c r="C2430" s="1195" t="str">
        <f>IF(B2430="","",VLOOKUP(B2430,INSUMOS,2,FALSE))</f>
        <v/>
      </c>
      <c r="D2430" s="1195"/>
      <c r="E2430" s="1180" t="str">
        <f>IF(B2430="","",VLOOKUP(B2430,INSUMOS,3,FALSE))</f>
        <v/>
      </c>
      <c r="F2430" s="1195"/>
      <c r="G2430" s="979" t="str">
        <f>IF(B2430="","",PRODUCT(D2430:F2430))</f>
        <v/>
      </c>
      <c r="H2430" s="1194"/>
    </row>
    <row r="2431" spans="1:8" x14ac:dyDescent="0.25">
      <c r="A2431" s="1192"/>
      <c r="B2431" s="1213"/>
      <c r="C2431" s="1198" t="str">
        <f>IF(B2431="","",VLOOKUP(B2431,INSUMOS,2,FALSE))</f>
        <v/>
      </c>
      <c r="D2431" s="1198"/>
      <c r="E2431" s="1181" t="str">
        <f>IF(B2431="","",VLOOKUP(B2431,INSUMOS,3,FALSE))</f>
        <v/>
      </c>
      <c r="F2431" s="1198"/>
      <c r="G2431" s="979" t="str">
        <f>IF(B2431="","",PRODUCT(D2431:F2431))</f>
        <v/>
      </c>
      <c r="H2431" s="1194"/>
    </row>
    <row r="2432" spans="1:8" x14ac:dyDescent="0.25">
      <c r="A2432" s="1192"/>
      <c r="B2432" s="1213"/>
      <c r="C2432" s="1198" t="str">
        <f>IF(B2432="","",VLOOKUP(B2432,INSUMOS,2,FALSE))</f>
        <v/>
      </c>
      <c r="D2432" s="1198"/>
      <c r="E2432" s="1180" t="str">
        <f>IF(B2432="","",VLOOKUP(B2432,INSUMOS,3,FALSE))</f>
        <v/>
      </c>
      <c r="F2432" s="1198"/>
      <c r="G2432" s="979" t="str">
        <f>IF(B2432="","",PRODUCT(D2432:F2432))</f>
        <v/>
      </c>
      <c r="H2432" s="1194"/>
    </row>
    <row r="2433" spans="1:8" ht="15.75" thickBot="1" x14ac:dyDescent="0.3">
      <c r="A2433" s="1192"/>
      <c r="B2433" s="1199"/>
      <c r="C2433" s="1198" t="str">
        <f>IF(B2433="","",VLOOKUP(B2433,INSUMOS,2,FALSE))</f>
        <v/>
      </c>
      <c r="D2433" s="1198"/>
      <c r="E2433" s="1180" t="str">
        <f>IF(B2433="","",VLOOKUP(B2433,INSUMOS,3,FALSE))</f>
        <v/>
      </c>
      <c r="F2433" s="1198"/>
      <c r="G2433" s="979" t="str">
        <f>IF(B2433="","",PRODUCT(D2433:F2433))</f>
        <v/>
      </c>
      <c r="H2433" s="1194"/>
    </row>
    <row r="2434" spans="1:8" ht="15.75" thickBot="1" x14ac:dyDescent="0.3">
      <c r="A2434" s="1192"/>
      <c r="B2434" s="1202"/>
      <c r="C2434" s="1204" t="str">
        <f>IF(B2434="","",VLOOKUP(B2434,INSUMOS,2,FALSE))</f>
        <v/>
      </c>
      <c r="D2434" s="1204"/>
      <c r="E2434" s="1205" t="str">
        <f>IF(B2434="","",VLOOKUP(B2434,INSUMOS,3,FALSE))</f>
        <v/>
      </c>
      <c r="F2434" s="1203"/>
      <c r="G2434" s="979" t="str">
        <f>IF(B2434="","",PRODUCT(D2434:F2434))</f>
        <v/>
      </c>
      <c r="H2434" s="1206">
        <f>+SUM(G2430:G2434)</f>
        <v>0</v>
      </c>
    </row>
    <row r="2435" spans="1:8" ht="15.75" thickBot="1" x14ac:dyDescent="0.3">
      <c r="A2435" s="1192"/>
      <c r="B2435" s="1207"/>
      <c r="C2435" s="1207"/>
      <c r="D2435" s="1207"/>
      <c r="E2435" s="1209"/>
      <c r="F2435" s="1214"/>
      <c r="G2435" s="1215"/>
      <c r="H2435" s="1211"/>
    </row>
    <row r="2436" spans="1:8" ht="15.75" thickBot="1" x14ac:dyDescent="0.3">
      <c r="A2436" s="1192"/>
      <c r="B2436" s="1428" t="s">
        <v>5412</v>
      </c>
      <c r="C2436" s="1429" t="s">
        <v>5420</v>
      </c>
      <c r="D2436" s="1429" t="s">
        <v>5421</v>
      </c>
      <c r="E2436" s="1430" t="s">
        <v>5413</v>
      </c>
      <c r="F2436" s="1429" t="s">
        <v>5405</v>
      </c>
      <c r="G2436" s="1431" t="s">
        <v>868</v>
      </c>
      <c r="H2436" s="1194"/>
    </row>
    <row r="2437" spans="1:8" x14ac:dyDescent="0.25">
      <c r="A2437" s="1192"/>
      <c r="B2437" s="194" t="s">
        <v>6523</v>
      </c>
      <c r="C2437" s="345">
        <f>+VLOOKUP($B2437,'Mano de obra'!$A$5:$D$26,2,FALSE)</f>
        <v>57454</v>
      </c>
      <c r="D2437" s="345">
        <f>+VLOOKUP($B2437,'Mano de obra'!$A$5:$D$26,3,FALSE)</f>
        <v>35656</v>
      </c>
      <c r="E2437" s="345">
        <f>+VLOOKUP($B2437,'Mano de obra'!$A$5:$D$26,4,FALSE)</f>
        <v>93110</v>
      </c>
      <c r="F2437" s="1197">
        <v>20</v>
      </c>
      <c r="G2437" s="979">
        <f>IF(B2437="","",E2437/F2437)</f>
        <v>4655.5</v>
      </c>
      <c r="H2437" s="1194"/>
    </row>
    <row r="2438" spans="1:8" x14ac:dyDescent="0.25">
      <c r="A2438" s="1192"/>
      <c r="B2438" s="194" t="s">
        <v>6524</v>
      </c>
      <c r="C2438" s="345">
        <f>+VLOOKUP($B2438,'Mano de obra'!$A$5:$D$26,2,FALSE)</f>
        <v>44263.8</v>
      </c>
      <c r="D2438" s="345">
        <f>+VLOOKUP($B2438,'Mano de obra'!$A$5:$D$26,3,FALSE)</f>
        <v>27470</v>
      </c>
      <c r="E2438" s="345">
        <f>+VLOOKUP($B2438,'Mano de obra'!$A$5:$D$26,4,FALSE)</f>
        <v>71733.8</v>
      </c>
      <c r="F2438" s="1195">
        <v>2</v>
      </c>
      <c r="G2438" s="979">
        <f>IF(B2438="","",E2438/F2438)</f>
        <v>35866.9</v>
      </c>
      <c r="H2438" s="1194"/>
    </row>
    <row r="2439" spans="1:8" x14ac:dyDescent="0.25">
      <c r="A2439" s="1192"/>
      <c r="B2439" s="195" t="s">
        <v>6525</v>
      </c>
      <c r="C2439" s="345">
        <f>+VLOOKUP($B2439,'Mano de obra'!$A$5:$D$26,2,FALSE)</f>
        <v>24591</v>
      </c>
      <c r="D2439" s="345">
        <f>+VLOOKUP($B2439,'Mano de obra'!$A$5:$D$26,3,FALSE)</f>
        <v>15261</v>
      </c>
      <c r="E2439" s="345">
        <f>+VLOOKUP($B2439,'Mano de obra'!$A$5:$D$26,4,FALSE)</f>
        <v>39852</v>
      </c>
      <c r="F2439" s="1198">
        <v>2</v>
      </c>
      <c r="G2439" s="979">
        <f>IF(B2439="","",E2439/F2439)</f>
        <v>19926</v>
      </c>
      <c r="H2439" s="1194"/>
    </row>
    <row r="2440" spans="1:8" x14ac:dyDescent="0.25">
      <c r="A2440" s="1192"/>
      <c r="B2440" s="1199"/>
      <c r="C2440" s="1216"/>
      <c r="D2440" s="1201"/>
      <c r="E2440" s="1201"/>
      <c r="F2440" s="1198"/>
      <c r="G2440" s="1217"/>
      <c r="H2440" s="1194"/>
    </row>
    <row r="2441" spans="1:8" ht="15.75" thickBot="1" x14ac:dyDescent="0.3">
      <c r="A2441" s="1192"/>
      <c r="B2441" s="1199"/>
      <c r="C2441" s="1201"/>
      <c r="D2441" s="1201"/>
      <c r="E2441" s="1201"/>
      <c r="F2441" s="1198"/>
      <c r="G2441" s="1217"/>
      <c r="H2441" s="1194"/>
    </row>
    <row r="2442" spans="1:8" ht="15.75" thickBot="1" x14ac:dyDescent="0.3">
      <c r="A2442" s="1192"/>
      <c r="B2442" s="1218"/>
      <c r="C2442" s="1219"/>
      <c r="D2442" s="1219"/>
      <c r="E2442" s="1219"/>
      <c r="F2442" s="1220"/>
      <c r="G2442" s="1221"/>
      <c r="H2442" s="1206">
        <f>+SUM(G2437:G2442)</f>
        <v>60448.4</v>
      </c>
    </row>
    <row r="2443" spans="1:8" ht="15.75" thickBot="1" x14ac:dyDescent="0.3">
      <c r="A2443" s="1192"/>
      <c r="B2443" s="1192"/>
      <c r="C2443" s="1192"/>
      <c r="D2443" s="1192"/>
      <c r="E2443" s="1192"/>
      <c r="F2443" s="1191"/>
      <c r="G2443" s="1192"/>
      <c r="H2443" s="1192"/>
    </row>
    <row r="2444" spans="1:8" ht="15.75" thickBot="1" x14ac:dyDescent="0.3">
      <c r="A2444" s="1192"/>
      <c r="B2444" s="1192"/>
      <c r="C2444" s="1192"/>
      <c r="D2444" s="1192"/>
      <c r="E2444" s="1222" t="s">
        <v>5415</v>
      </c>
      <c r="F2444" s="1191"/>
      <c r="G2444" s="1192"/>
      <c r="H2444" s="1223">
        <f>ROUND(+H2411+H2427+H2434+H2442,0)</f>
        <v>72538</v>
      </c>
    </row>
    <row r="2445" spans="1:8" x14ac:dyDescent="0.25">
      <c r="A2445" s="1191"/>
      <c r="B2445" s="1192"/>
      <c r="C2445" s="1192"/>
      <c r="D2445" s="1192"/>
      <c r="E2445" s="1192"/>
      <c r="F2445" s="1191"/>
      <c r="G2445" s="1192"/>
      <c r="H2445" s="1192"/>
    </row>
    <row r="2446" spans="1:8" x14ac:dyDescent="0.25">
      <c r="A2446" s="1191"/>
      <c r="B2446" s="1192"/>
      <c r="C2446" s="1192"/>
      <c r="D2446" s="1192"/>
      <c r="E2446" s="1192"/>
      <c r="F2446" s="1191"/>
      <c r="G2446" s="1192"/>
      <c r="H2446" s="1192"/>
    </row>
    <row r="2447" spans="1:8" x14ac:dyDescent="0.25">
      <c r="A2447" s="673" t="s">
        <v>3</v>
      </c>
      <c r="B2447" s="1390" t="str">
        <f>+VLOOKUP(C2447,ListaAPUs!$B:$E,4,FALSE)</f>
        <v>4.2.11</v>
      </c>
      <c r="C2447" s="2449" t="str">
        <f>+ListaAPUs!B85</f>
        <v>INSTALACIÓN NIPLES EN  HD D=25 MM A 150 MM L=2 A 3M</v>
      </c>
      <c r="D2447" s="2449"/>
      <c r="E2447" s="2449"/>
      <c r="F2447" s="673" t="s">
        <v>867</v>
      </c>
      <c r="G2447" s="222" t="s">
        <v>5424</v>
      </c>
      <c r="H2447" s="1192"/>
    </row>
    <row r="2448" spans="1:8" x14ac:dyDescent="0.25">
      <c r="A2448" s="1191"/>
      <c r="B2448" s="1192"/>
      <c r="C2448" s="1192"/>
      <c r="D2448" s="1192"/>
      <c r="E2448" s="1192"/>
      <c r="F2448" s="1191"/>
      <c r="G2448" s="1192"/>
      <c r="H2448" s="1192"/>
    </row>
    <row r="2449" spans="1:8" x14ac:dyDescent="0.25">
      <c r="A2449" s="1191"/>
      <c r="B2449" s="1192"/>
      <c r="C2449" s="1192"/>
      <c r="D2449" s="1192"/>
      <c r="E2449" s="1192"/>
      <c r="F2449" s="1191"/>
      <c r="G2449" s="1193"/>
      <c r="H2449" s="1192"/>
    </row>
    <row r="2450" spans="1:8" ht="15.75" thickBot="1" x14ac:dyDescent="0.3">
      <c r="A2450" s="1191"/>
      <c r="B2450" s="1192"/>
      <c r="C2450" s="1192"/>
      <c r="D2450" s="1192"/>
      <c r="E2450" s="1192"/>
      <c r="F2450" s="1191"/>
      <c r="G2450" s="1192"/>
      <c r="H2450" s="1192"/>
    </row>
    <row r="2451" spans="1:8" ht="15.75" thickBot="1" x14ac:dyDescent="0.3">
      <c r="A2451" s="1191"/>
      <c r="B2451" s="1428" t="s">
        <v>5403</v>
      </c>
      <c r="C2451" s="1429" t="s">
        <v>867</v>
      </c>
      <c r="D2451" s="1429" t="s">
        <v>6</v>
      </c>
      <c r="E2451" s="1430" t="s">
        <v>5404</v>
      </c>
      <c r="F2451" s="1429" t="s">
        <v>5405</v>
      </c>
      <c r="G2451" s="1431" t="s">
        <v>868</v>
      </c>
      <c r="H2451" s="1194"/>
    </row>
    <row r="2452" spans="1:8" x14ac:dyDescent="0.25">
      <c r="A2452" s="1191"/>
      <c r="B2452" s="1199" t="s">
        <v>5455</v>
      </c>
      <c r="C2452" s="226" t="s">
        <v>7042</v>
      </c>
      <c r="D2452" s="1196">
        <v>1</v>
      </c>
      <c r="E2452" s="228">
        <f>+H2490</f>
        <v>60448.4</v>
      </c>
      <c r="F2452" s="1197">
        <v>0.2</v>
      </c>
      <c r="G2452" s="979">
        <f>IF(B2452="","",PRODUCT(D2452:F2452))</f>
        <v>12089.68</v>
      </c>
      <c r="H2452" s="1194"/>
    </row>
    <row r="2453" spans="1:8" x14ac:dyDescent="0.25">
      <c r="A2453" s="1191"/>
      <c r="B2453" s="1303" t="s">
        <v>6869</v>
      </c>
      <c r="C2453" s="1198"/>
      <c r="D2453" s="1198"/>
      <c r="E2453" s="975">
        <f>+VLOOKUP(B2453,Insumos!$A$2:$C$331,3,FALSE)</f>
        <v>202536</v>
      </c>
      <c r="F2453" s="1198">
        <v>0.04</v>
      </c>
      <c r="G2453" s="979">
        <f>IF(B2453="","",PRODUCT(D2453:F2453))</f>
        <v>8101.4400000000005</v>
      </c>
      <c r="H2453" s="1194"/>
    </row>
    <row r="2454" spans="1:8" x14ac:dyDescent="0.25">
      <c r="A2454" s="1191"/>
      <c r="B2454" s="763"/>
      <c r="C2454" s="1198"/>
      <c r="D2454" s="1198"/>
      <c r="E2454" s="1181"/>
      <c r="F2454" s="1198"/>
      <c r="G2454" s="979"/>
      <c r="H2454" s="1194"/>
    </row>
    <row r="2455" spans="1:8" x14ac:dyDescent="0.25">
      <c r="A2455" s="1191"/>
      <c r="B2455" s="1199"/>
      <c r="C2455" s="1198"/>
      <c r="D2455" s="1200"/>
      <c r="E2455" s="1201"/>
      <c r="F2455" s="1198"/>
      <c r="G2455" s="979"/>
      <c r="H2455" s="1194"/>
    </row>
    <row r="2456" spans="1:8" x14ac:dyDescent="0.25">
      <c r="A2456" s="1191"/>
      <c r="B2456" s="1199"/>
      <c r="C2456" s="1198"/>
      <c r="D2456" s="1200"/>
      <c r="E2456" s="1201"/>
      <c r="F2456" s="1198"/>
      <c r="G2456" s="979"/>
      <c r="H2456" s="1194"/>
    </row>
    <row r="2457" spans="1:8" x14ac:dyDescent="0.25">
      <c r="A2457" s="1191"/>
      <c r="B2457" s="1199"/>
      <c r="C2457" s="1198"/>
      <c r="D2457" s="1200"/>
      <c r="E2457" s="1201"/>
      <c r="F2457" s="1198"/>
      <c r="G2457" s="979"/>
      <c r="H2457" s="1194"/>
    </row>
    <row r="2458" spans="1:8" ht="15.75" thickBot="1" x14ac:dyDescent="0.3">
      <c r="A2458" s="1191"/>
      <c r="B2458" s="1199"/>
      <c r="C2458" s="1198"/>
      <c r="D2458" s="1200"/>
      <c r="E2458" s="1201"/>
      <c r="F2458" s="1198"/>
      <c r="G2458" s="979"/>
      <c r="H2458" s="1194"/>
    </row>
    <row r="2459" spans="1:8" ht="15.75" thickBot="1" x14ac:dyDescent="0.3">
      <c r="A2459" s="1191"/>
      <c r="B2459" s="1202"/>
      <c r="C2459" s="1203"/>
      <c r="D2459" s="1204"/>
      <c r="E2459" s="1205"/>
      <c r="F2459" s="1203"/>
      <c r="G2459" s="979"/>
      <c r="H2459" s="1206">
        <f>+SUM(G2452:G2459)</f>
        <v>20191.120000000003</v>
      </c>
    </row>
    <row r="2460" spans="1:8" ht="15.75" thickBot="1" x14ac:dyDescent="0.3">
      <c r="A2460" s="1191"/>
      <c r="B2460" s="1207"/>
      <c r="C2460" s="1208"/>
      <c r="D2460" s="1207"/>
      <c r="E2460" s="1209"/>
      <c r="F2460" s="1208"/>
      <c r="G2460" s="1210"/>
      <c r="H2460" s="1211"/>
    </row>
    <row r="2461" spans="1:8" ht="15.75" thickBot="1" x14ac:dyDescent="0.3">
      <c r="A2461" s="1192"/>
      <c r="B2461" s="1428" t="s">
        <v>5408</v>
      </c>
      <c r="C2461" s="1429" t="s">
        <v>867</v>
      </c>
      <c r="D2461" s="1429" t="s">
        <v>6</v>
      </c>
      <c r="E2461" s="1430" t="s">
        <v>870</v>
      </c>
      <c r="F2461" s="1429" t="s">
        <v>7040</v>
      </c>
      <c r="G2461" s="1431" t="s">
        <v>868</v>
      </c>
      <c r="H2461" s="1194"/>
    </row>
    <row r="2462" spans="1:8" x14ac:dyDescent="0.25">
      <c r="A2462" s="1192"/>
      <c r="B2462" s="1212"/>
      <c r="C2462" s="1195" t="str">
        <f t="shared" ref="C2462:C2475" si="19">IF(B2462="","",VLOOKUP(B2462,INSUMOS,2,FALSE))</f>
        <v/>
      </c>
      <c r="D2462" s="1195"/>
      <c r="E2462" s="1180"/>
      <c r="F2462" s="1195"/>
      <c r="G2462" s="979"/>
      <c r="H2462" s="1194"/>
    </row>
    <row r="2463" spans="1:8" x14ac:dyDescent="0.25">
      <c r="A2463" s="1192"/>
      <c r="B2463" s="1213"/>
      <c r="C2463" s="1198" t="str">
        <f t="shared" si="19"/>
        <v/>
      </c>
      <c r="D2463" s="1198"/>
      <c r="E2463" s="1181"/>
      <c r="F2463" s="1195"/>
      <c r="G2463" s="979"/>
      <c r="H2463" s="1194"/>
    </row>
    <row r="2464" spans="1:8" x14ac:dyDescent="0.25">
      <c r="A2464" s="1192"/>
      <c r="B2464" s="1213"/>
      <c r="C2464" s="1198" t="str">
        <f t="shared" si="19"/>
        <v/>
      </c>
      <c r="D2464" s="1198"/>
      <c r="E2464" s="1181"/>
      <c r="F2464" s="1195"/>
      <c r="G2464" s="979"/>
      <c r="H2464" s="1194"/>
    </row>
    <row r="2465" spans="1:8" x14ac:dyDescent="0.25">
      <c r="A2465" s="1192"/>
      <c r="B2465" s="1199"/>
      <c r="C2465" s="1198" t="str">
        <f t="shared" si="19"/>
        <v/>
      </c>
      <c r="D2465" s="1198"/>
      <c r="E2465" s="1180"/>
      <c r="F2465" s="1198"/>
      <c r="G2465" s="979"/>
      <c r="H2465" s="1194"/>
    </row>
    <row r="2466" spans="1:8" x14ac:dyDescent="0.25">
      <c r="A2466" s="1192"/>
      <c r="B2466" s="1199"/>
      <c r="C2466" s="1198" t="str">
        <f t="shared" si="19"/>
        <v/>
      </c>
      <c r="D2466" s="1198"/>
      <c r="E2466" s="1180"/>
      <c r="F2466" s="1198"/>
      <c r="G2466" s="979"/>
      <c r="H2466" s="1194"/>
    </row>
    <row r="2467" spans="1:8" x14ac:dyDescent="0.25">
      <c r="A2467" s="1192"/>
      <c r="B2467" s="1199"/>
      <c r="C2467" s="1198" t="str">
        <f t="shared" si="19"/>
        <v/>
      </c>
      <c r="D2467" s="1198"/>
      <c r="E2467" s="1180"/>
      <c r="F2467" s="1198"/>
      <c r="G2467" s="979"/>
      <c r="H2467" s="1194"/>
    </row>
    <row r="2468" spans="1:8" x14ac:dyDescent="0.25">
      <c r="A2468" s="1192"/>
      <c r="B2468" s="1199"/>
      <c r="C2468" s="1198" t="str">
        <f t="shared" si="19"/>
        <v/>
      </c>
      <c r="D2468" s="1198"/>
      <c r="E2468" s="1180"/>
      <c r="F2468" s="1198"/>
      <c r="G2468" s="979"/>
      <c r="H2468" s="1194"/>
    </row>
    <row r="2469" spans="1:8" x14ac:dyDescent="0.25">
      <c r="A2469" s="1192"/>
      <c r="B2469" s="1199"/>
      <c r="C2469" s="1198" t="str">
        <f t="shared" si="19"/>
        <v/>
      </c>
      <c r="D2469" s="1198"/>
      <c r="E2469" s="1180"/>
      <c r="F2469" s="1198"/>
      <c r="G2469" s="979"/>
      <c r="H2469" s="1194"/>
    </row>
    <row r="2470" spans="1:8" x14ac:dyDescent="0.25">
      <c r="A2470" s="1192"/>
      <c r="B2470" s="1199"/>
      <c r="C2470" s="1198" t="str">
        <f t="shared" si="19"/>
        <v/>
      </c>
      <c r="D2470" s="1198"/>
      <c r="E2470" s="1180"/>
      <c r="F2470" s="1198"/>
      <c r="G2470" s="979"/>
      <c r="H2470" s="1194"/>
    </row>
    <row r="2471" spans="1:8" x14ac:dyDescent="0.25">
      <c r="A2471" s="1192"/>
      <c r="B2471" s="1199"/>
      <c r="C2471" s="1198" t="str">
        <f t="shared" si="19"/>
        <v/>
      </c>
      <c r="D2471" s="1198"/>
      <c r="E2471" s="1180"/>
      <c r="F2471" s="1198"/>
      <c r="G2471" s="979"/>
      <c r="H2471" s="1194"/>
    </row>
    <row r="2472" spans="1:8" x14ac:dyDescent="0.25">
      <c r="A2472" s="1192"/>
      <c r="B2472" s="1199"/>
      <c r="C2472" s="1198" t="str">
        <f t="shared" si="19"/>
        <v/>
      </c>
      <c r="D2472" s="1198"/>
      <c r="E2472" s="1180"/>
      <c r="F2472" s="1198"/>
      <c r="G2472" s="979"/>
      <c r="H2472" s="1194"/>
    </row>
    <row r="2473" spans="1:8" x14ac:dyDescent="0.25">
      <c r="A2473" s="1192"/>
      <c r="B2473" s="1199"/>
      <c r="C2473" s="1200" t="str">
        <f t="shared" si="19"/>
        <v/>
      </c>
      <c r="D2473" s="1200"/>
      <c r="E2473" s="1201"/>
      <c r="F2473" s="1198"/>
      <c r="G2473" s="979"/>
      <c r="H2473" s="1194"/>
    </row>
    <row r="2474" spans="1:8" ht="15.75" thickBot="1" x14ac:dyDescent="0.3">
      <c r="A2474" s="1192"/>
      <c r="B2474" s="1199"/>
      <c r="C2474" s="1200" t="str">
        <f t="shared" si="19"/>
        <v/>
      </c>
      <c r="D2474" s="1200"/>
      <c r="E2474" s="1201"/>
      <c r="F2474" s="1198"/>
      <c r="G2474" s="979"/>
      <c r="H2474" s="1194"/>
    </row>
    <row r="2475" spans="1:8" ht="15.75" thickBot="1" x14ac:dyDescent="0.3">
      <c r="A2475" s="1192"/>
      <c r="B2475" s="1202"/>
      <c r="C2475" s="1204" t="str">
        <f t="shared" si="19"/>
        <v/>
      </c>
      <c r="D2475" s="1204"/>
      <c r="E2475" s="1205"/>
      <c r="F2475" s="1203"/>
      <c r="G2475" s="979"/>
      <c r="H2475" s="1206">
        <f>+SUM(G2462:G2475)</f>
        <v>0</v>
      </c>
    </row>
    <row r="2476" spans="1:8" ht="15.75" thickBot="1" x14ac:dyDescent="0.3">
      <c r="A2476" s="1192"/>
      <c r="B2476" s="1207"/>
      <c r="C2476" s="1207"/>
      <c r="D2476" s="1207"/>
      <c r="E2476" s="1209"/>
      <c r="F2476" s="1208"/>
      <c r="G2476" s="1210"/>
      <c r="H2476" s="1211"/>
    </row>
    <row r="2477" spans="1:8" ht="15.75" thickBot="1" x14ac:dyDescent="0.3">
      <c r="A2477" s="1192"/>
      <c r="B2477" s="1428" t="s">
        <v>5410</v>
      </c>
      <c r="C2477" s="1429" t="s">
        <v>867</v>
      </c>
      <c r="D2477" s="1429" t="s">
        <v>6</v>
      </c>
      <c r="E2477" s="1430" t="s">
        <v>870</v>
      </c>
      <c r="F2477" s="1429" t="s">
        <v>5411</v>
      </c>
      <c r="G2477" s="1431" t="s">
        <v>868</v>
      </c>
      <c r="H2477" s="1194"/>
    </row>
    <row r="2478" spans="1:8" x14ac:dyDescent="0.25">
      <c r="A2478" s="1192"/>
      <c r="B2478" s="1212"/>
      <c r="C2478" s="1195"/>
      <c r="D2478" s="1195"/>
      <c r="E2478" s="1180"/>
      <c r="F2478" s="1195"/>
      <c r="G2478" s="979"/>
      <c r="H2478" s="1194"/>
    </row>
    <row r="2479" spans="1:8" x14ac:dyDescent="0.25">
      <c r="A2479" s="1192"/>
      <c r="B2479" s="1213"/>
      <c r="C2479" s="1198"/>
      <c r="D2479" s="1198"/>
      <c r="E2479" s="1181"/>
      <c r="F2479" s="1198"/>
      <c r="G2479" s="979"/>
      <c r="H2479" s="1194"/>
    </row>
    <row r="2480" spans="1:8" x14ac:dyDescent="0.25">
      <c r="A2480" s="1192"/>
      <c r="B2480" s="1213"/>
      <c r="C2480" s="1198"/>
      <c r="D2480" s="1198"/>
      <c r="E2480" s="1180"/>
      <c r="F2480" s="1198"/>
      <c r="G2480" s="979"/>
      <c r="H2480" s="1194"/>
    </row>
    <row r="2481" spans="1:8" ht="15.75" thickBot="1" x14ac:dyDescent="0.3">
      <c r="A2481" s="1192"/>
      <c r="B2481" s="1199"/>
      <c r="C2481" s="1198"/>
      <c r="D2481" s="1198"/>
      <c r="E2481" s="1180"/>
      <c r="F2481" s="1198"/>
      <c r="G2481" s="979"/>
      <c r="H2481" s="1194"/>
    </row>
    <row r="2482" spans="1:8" ht="15.75" thickBot="1" x14ac:dyDescent="0.3">
      <c r="A2482" s="1192"/>
      <c r="B2482" s="1202"/>
      <c r="C2482" s="1204"/>
      <c r="D2482" s="1204"/>
      <c r="E2482" s="1205"/>
      <c r="F2482" s="1203"/>
      <c r="G2482" s="979"/>
      <c r="H2482" s="1206">
        <f>+SUM(G2478:G2482)</f>
        <v>0</v>
      </c>
    </row>
    <row r="2483" spans="1:8" ht="15.75" thickBot="1" x14ac:dyDescent="0.3">
      <c r="A2483" s="1192"/>
      <c r="B2483" s="1207"/>
      <c r="C2483" s="1207"/>
      <c r="D2483" s="1207"/>
      <c r="E2483" s="1209"/>
      <c r="F2483" s="1214"/>
      <c r="G2483" s="1215"/>
      <c r="H2483" s="1211"/>
    </row>
    <row r="2484" spans="1:8" ht="15.75" thickBot="1" x14ac:dyDescent="0.3">
      <c r="A2484" s="1192"/>
      <c r="B2484" s="1428" t="s">
        <v>5412</v>
      </c>
      <c r="C2484" s="1429" t="s">
        <v>5420</v>
      </c>
      <c r="D2484" s="1429" t="s">
        <v>5421</v>
      </c>
      <c r="E2484" s="1430" t="s">
        <v>5413</v>
      </c>
      <c r="F2484" s="1429" t="s">
        <v>5405</v>
      </c>
      <c r="G2484" s="1431" t="s">
        <v>868</v>
      </c>
      <c r="H2484" s="1194"/>
    </row>
    <row r="2485" spans="1:8" x14ac:dyDescent="0.25">
      <c r="A2485" s="1192"/>
      <c r="B2485" s="194" t="s">
        <v>6523</v>
      </c>
      <c r="C2485" s="345">
        <f>+VLOOKUP($B2485,'Mano de obra'!$A$5:$D$26,2,FALSE)</f>
        <v>57454</v>
      </c>
      <c r="D2485" s="345">
        <f>+VLOOKUP($B2485,'Mano de obra'!$A$5:$D$26,3,FALSE)</f>
        <v>35656</v>
      </c>
      <c r="E2485" s="345">
        <f>+VLOOKUP($B2485,'Mano de obra'!$A$5:$D$26,4,FALSE)</f>
        <v>93110</v>
      </c>
      <c r="F2485" s="1197">
        <v>20</v>
      </c>
      <c r="G2485" s="979">
        <f>IF(B2485="","",E2485/F2485)</f>
        <v>4655.5</v>
      </c>
      <c r="H2485" s="1194"/>
    </row>
    <row r="2486" spans="1:8" x14ac:dyDescent="0.25">
      <c r="A2486" s="1192"/>
      <c r="B2486" s="194" t="s">
        <v>6524</v>
      </c>
      <c r="C2486" s="345">
        <f>+VLOOKUP($B2486,'Mano de obra'!$A$5:$D$26,2,FALSE)</f>
        <v>44263.8</v>
      </c>
      <c r="D2486" s="345">
        <f>+VLOOKUP($B2486,'Mano de obra'!$A$5:$D$26,3,FALSE)</f>
        <v>27470</v>
      </c>
      <c r="E2486" s="345">
        <f>+VLOOKUP($B2486,'Mano de obra'!$A$5:$D$26,4,FALSE)</f>
        <v>71733.8</v>
      </c>
      <c r="F2486" s="1195">
        <v>2</v>
      </c>
      <c r="G2486" s="979">
        <f>IF(B2486="","",E2486/F2486)</f>
        <v>35866.9</v>
      </c>
      <c r="H2486" s="1194"/>
    </row>
    <row r="2487" spans="1:8" x14ac:dyDescent="0.25">
      <c r="A2487" s="1192"/>
      <c r="B2487" s="195" t="s">
        <v>6525</v>
      </c>
      <c r="C2487" s="345">
        <f>+VLOOKUP($B2487,'Mano de obra'!$A$5:$D$26,2,FALSE)</f>
        <v>24591</v>
      </c>
      <c r="D2487" s="345">
        <f>+VLOOKUP($B2487,'Mano de obra'!$A$5:$D$26,3,FALSE)</f>
        <v>15261</v>
      </c>
      <c r="E2487" s="345">
        <f>+VLOOKUP($B2487,'Mano de obra'!$A$5:$D$26,4,FALSE)</f>
        <v>39852</v>
      </c>
      <c r="F2487" s="1198">
        <v>2</v>
      </c>
      <c r="G2487" s="979">
        <f>IF(B2487="","",E2487/F2487)</f>
        <v>19926</v>
      </c>
      <c r="H2487" s="1194"/>
    </row>
    <row r="2488" spans="1:8" x14ac:dyDescent="0.25">
      <c r="A2488" s="1192"/>
      <c r="B2488" s="1199"/>
      <c r="C2488" s="1216"/>
      <c r="D2488" s="1201"/>
      <c r="E2488" s="1201"/>
      <c r="F2488" s="1198"/>
      <c r="G2488" s="1217"/>
      <c r="H2488" s="1194"/>
    </row>
    <row r="2489" spans="1:8" ht="15.75" thickBot="1" x14ac:dyDescent="0.3">
      <c r="A2489" s="1192"/>
      <c r="B2489" s="1199"/>
      <c r="C2489" s="1201"/>
      <c r="D2489" s="1201"/>
      <c r="E2489" s="1201"/>
      <c r="F2489" s="1198"/>
      <c r="G2489" s="1217"/>
      <c r="H2489" s="1194"/>
    </row>
    <row r="2490" spans="1:8" ht="15.75" thickBot="1" x14ac:dyDescent="0.3">
      <c r="A2490" s="1192"/>
      <c r="B2490" s="1218"/>
      <c r="C2490" s="1219"/>
      <c r="D2490" s="1219"/>
      <c r="E2490" s="1219"/>
      <c r="F2490" s="1220"/>
      <c r="G2490" s="1221"/>
      <c r="H2490" s="1206">
        <f>+SUM(G2485:G2490)</f>
        <v>60448.4</v>
      </c>
    </row>
    <row r="2491" spans="1:8" ht="15.75" thickBot="1" x14ac:dyDescent="0.3">
      <c r="A2491" s="1192"/>
      <c r="B2491" s="1192"/>
      <c r="C2491" s="1192"/>
      <c r="D2491" s="1192"/>
      <c r="E2491" s="1192"/>
      <c r="F2491" s="1191"/>
      <c r="G2491" s="1192"/>
      <c r="H2491" s="1192"/>
    </row>
    <row r="2492" spans="1:8" ht="15.75" thickBot="1" x14ac:dyDescent="0.3">
      <c r="A2492" s="1192"/>
      <c r="B2492" s="1192"/>
      <c r="C2492" s="1192"/>
      <c r="D2492" s="1192"/>
      <c r="E2492" s="1222" t="s">
        <v>5415</v>
      </c>
      <c r="F2492" s="1191"/>
      <c r="G2492" s="1192"/>
      <c r="H2492" s="1223">
        <f>ROUND(+H2459+H2475+H2482+H2490,0)</f>
        <v>80640</v>
      </c>
    </row>
    <row r="2494" spans="1:8" x14ac:dyDescent="0.25">
      <c r="A2494" s="1191"/>
      <c r="B2494" s="1192"/>
      <c r="C2494" s="1192"/>
      <c r="D2494" s="1192"/>
      <c r="E2494" s="1192"/>
      <c r="F2494" s="1191"/>
      <c r="G2494" s="1192"/>
      <c r="H2494" s="1192"/>
    </row>
    <row r="2495" spans="1:8" x14ac:dyDescent="0.25">
      <c r="A2495" s="673" t="s">
        <v>3</v>
      </c>
      <c r="B2495" s="1390" t="str">
        <f>+VLOOKUP(C2495,ListaAPUs!$B:$E,4,FALSE)</f>
        <v>4.2.12</v>
      </c>
      <c r="C2495" s="2449" t="str">
        <f>+ListaAPUs!B86</f>
        <v>INSTALACIÓN NIPLES EN  HD D=25 MM A 150 MM L=3 A 4M</v>
      </c>
      <c r="D2495" s="2449"/>
      <c r="E2495" s="2449"/>
      <c r="F2495" s="673" t="s">
        <v>867</v>
      </c>
      <c r="G2495" s="222" t="s">
        <v>5424</v>
      </c>
      <c r="H2495" s="1192"/>
    </row>
    <row r="2496" spans="1:8" x14ac:dyDescent="0.25">
      <c r="A2496" s="1191"/>
      <c r="B2496" s="1192"/>
      <c r="C2496" s="1192"/>
      <c r="D2496" s="1192"/>
      <c r="E2496" s="1192"/>
      <c r="F2496" s="1191"/>
      <c r="G2496" s="1192"/>
      <c r="H2496" s="1192"/>
    </row>
    <row r="2497" spans="1:8" x14ac:dyDescent="0.25">
      <c r="A2497" s="1191"/>
      <c r="B2497" s="1192"/>
      <c r="C2497" s="1192"/>
      <c r="D2497" s="1192"/>
      <c r="E2497" s="1192"/>
      <c r="F2497" s="1191"/>
      <c r="G2497" s="1193"/>
      <c r="H2497" s="1192"/>
    </row>
    <row r="2498" spans="1:8" ht="15.75" thickBot="1" x14ac:dyDescent="0.3">
      <c r="A2498" s="1191"/>
      <c r="B2498" s="1192"/>
      <c r="C2498" s="1192"/>
      <c r="D2498" s="1192"/>
      <c r="E2498" s="1192"/>
      <c r="F2498" s="1191"/>
      <c r="G2498" s="1192"/>
      <c r="H2498" s="1192"/>
    </row>
    <row r="2499" spans="1:8" ht="15.75" thickBot="1" x14ac:dyDescent="0.3">
      <c r="A2499" s="1191"/>
      <c r="B2499" s="1428" t="s">
        <v>5403</v>
      </c>
      <c r="C2499" s="1429" t="s">
        <v>867</v>
      </c>
      <c r="D2499" s="1429" t="s">
        <v>6</v>
      </c>
      <c r="E2499" s="1430" t="s">
        <v>5404</v>
      </c>
      <c r="F2499" s="1429" t="s">
        <v>5405</v>
      </c>
      <c r="G2499" s="1431" t="s">
        <v>868</v>
      </c>
      <c r="H2499" s="1194"/>
    </row>
    <row r="2500" spans="1:8" x14ac:dyDescent="0.25">
      <c r="A2500" s="1191"/>
      <c r="B2500" s="1199" t="s">
        <v>5455</v>
      </c>
      <c r="C2500" s="226" t="s">
        <v>7042</v>
      </c>
      <c r="D2500" s="1196">
        <v>1</v>
      </c>
      <c r="E2500" s="228">
        <f>+H2538</f>
        <v>60448.4</v>
      </c>
      <c r="F2500" s="1197">
        <v>0.2</v>
      </c>
      <c r="G2500" s="979">
        <f>IF(B2500="","",PRODUCT(D2500:F2500))</f>
        <v>12089.68</v>
      </c>
      <c r="H2500" s="1194"/>
    </row>
    <row r="2501" spans="1:8" x14ac:dyDescent="0.25">
      <c r="A2501" s="1191"/>
      <c r="B2501" s="1303" t="s">
        <v>6869</v>
      </c>
      <c r="C2501" s="1198"/>
      <c r="D2501" s="1198"/>
      <c r="E2501" s="975">
        <f>+VLOOKUP(B2501,Insumos!$A$2:$C$331,3,FALSE)</f>
        <v>202536</v>
      </c>
      <c r="F2501" s="1198">
        <v>0.05</v>
      </c>
      <c r="G2501" s="979">
        <f>IF(B2501="","",PRODUCT(D2501:F2501))</f>
        <v>10126.800000000001</v>
      </c>
      <c r="H2501" s="1194"/>
    </row>
    <row r="2502" spans="1:8" x14ac:dyDescent="0.25">
      <c r="A2502" s="1191"/>
      <c r="B2502" s="763"/>
      <c r="C2502" s="1198"/>
      <c r="D2502" s="1198"/>
      <c r="E2502" s="1181"/>
      <c r="F2502" s="1198"/>
      <c r="G2502" s="979"/>
      <c r="H2502" s="1194"/>
    </row>
    <row r="2503" spans="1:8" x14ac:dyDescent="0.25">
      <c r="A2503" s="1191"/>
      <c r="B2503" s="1199"/>
      <c r="C2503" s="1198"/>
      <c r="D2503" s="1200"/>
      <c r="E2503" s="1201"/>
      <c r="F2503" s="1198"/>
      <c r="G2503" s="979"/>
      <c r="H2503" s="1194"/>
    </row>
    <row r="2504" spans="1:8" x14ac:dyDescent="0.25">
      <c r="A2504" s="1191"/>
      <c r="B2504" s="1199"/>
      <c r="C2504" s="1198"/>
      <c r="D2504" s="1200"/>
      <c r="E2504" s="1201"/>
      <c r="F2504" s="1198"/>
      <c r="G2504" s="979"/>
      <c r="H2504" s="1194"/>
    </row>
    <row r="2505" spans="1:8" x14ac:dyDescent="0.25">
      <c r="A2505" s="1191"/>
      <c r="B2505" s="1199"/>
      <c r="C2505" s="1198"/>
      <c r="D2505" s="1200"/>
      <c r="E2505" s="1201"/>
      <c r="F2505" s="1198"/>
      <c r="G2505" s="979"/>
      <c r="H2505" s="1194"/>
    </row>
    <row r="2506" spans="1:8" ht="15.75" thickBot="1" x14ac:dyDescent="0.3">
      <c r="A2506" s="1191"/>
      <c r="B2506" s="1199"/>
      <c r="C2506" s="1198"/>
      <c r="D2506" s="1200"/>
      <c r="E2506" s="1201"/>
      <c r="F2506" s="1198"/>
      <c r="G2506" s="979"/>
      <c r="H2506" s="1194"/>
    </row>
    <row r="2507" spans="1:8" ht="15.75" thickBot="1" x14ac:dyDescent="0.3">
      <c r="A2507" s="1191"/>
      <c r="B2507" s="1202"/>
      <c r="C2507" s="1203"/>
      <c r="D2507" s="1204"/>
      <c r="E2507" s="1205"/>
      <c r="F2507" s="1203"/>
      <c r="G2507" s="979"/>
      <c r="H2507" s="1206">
        <f>+SUM(G2500:G2507)</f>
        <v>22216.480000000003</v>
      </c>
    </row>
    <row r="2508" spans="1:8" ht="15.75" thickBot="1" x14ac:dyDescent="0.3">
      <c r="A2508" s="1191"/>
      <c r="B2508" s="1207"/>
      <c r="C2508" s="1208"/>
      <c r="D2508" s="1207"/>
      <c r="E2508" s="1209"/>
      <c r="F2508" s="1208"/>
      <c r="G2508" s="1210"/>
      <c r="H2508" s="1211"/>
    </row>
    <row r="2509" spans="1:8" ht="15.75" thickBot="1" x14ac:dyDescent="0.3">
      <c r="A2509" s="1192"/>
      <c r="B2509" s="1428" t="s">
        <v>5408</v>
      </c>
      <c r="C2509" s="1429" t="s">
        <v>867</v>
      </c>
      <c r="D2509" s="1429" t="s">
        <v>6</v>
      </c>
      <c r="E2509" s="1430" t="s">
        <v>870</v>
      </c>
      <c r="F2509" s="1429" t="s">
        <v>7040</v>
      </c>
      <c r="G2509" s="1431" t="s">
        <v>868</v>
      </c>
      <c r="H2509" s="1194"/>
    </row>
    <row r="2510" spans="1:8" x14ac:dyDescent="0.25">
      <c r="A2510" s="1192"/>
      <c r="B2510" s="1212"/>
      <c r="C2510" s="1195" t="str">
        <f t="shared" ref="C2510:C2523" si="20">IF(B2510="","",VLOOKUP(B2510,INSUMOS,2,FALSE))</f>
        <v/>
      </c>
      <c r="D2510" s="1195"/>
      <c r="E2510" s="1180"/>
      <c r="F2510" s="1195"/>
      <c r="G2510" s="979"/>
      <c r="H2510" s="1194"/>
    </row>
    <row r="2511" spans="1:8" x14ac:dyDescent="0.25">
      <c r="A2511" s="1192"/>
      <c r="B2511" s="1213"/>
      <c r="C2511" s="1198" t="str">
        <f t="shared" si="20"/>
        <v/>
      </c>
      <c r="D2511" s="1198"/>
      <c r="E2511" s="1181"/>
      <c r="F2511" s="1195"/>
      <c r="G2511" s="979"/>
      <c r="H2511" s="1194"/>
    </row>
    <row r="2512" spans="1:8" x14ac:dyDescent="0.25">
      <c r="A2512" s="1192"/>
      <c r="B2512" s="1213"/>
      <c r="C2512" s="1198" t="str">
        <f t="shared" si="20"/>
        <v/>
      </c>
      <c r="D2512" s="1198"/>
      <c r="E2512" s="1181"/>
      <c r="F2512" s="1195"/>
      <c r="G2512" s="979"/>
      <c r="H2512" s="1194"/>
    </row>
    <row r="2513" spans="1:8" x14ac:dyDescent="0.25">
      <c r="A2513" s="1192"/>
      <c r="B2513" s="1199"/>
      <c r="C2513" s="1198" t="str">
        <f t="shared" si="20"/>
        <v/>
      </c>
      <c r="D2513" s="1198"/>
      <c r="E2513" s="1180"/>
      <c r="F2513" s="1198"/>
      <c r="G2513" s="979"/>
      <c r="H2513" s="1194"/>
    </row>
    <row r="2514" spans="1:8" x14ac:dyDescent="0.25">
      <c r="A2514" s="1192"/>
      <c r="B2514" s="1199"/>
      <c r="C2514" s="1198" t="str">
        <f t="shared" si="20"/>
        <v/>
      </c>
      <c r="D2514" s="1198"/>
      <c r="E2514" s="1180"/>
      <c r="F2514" s="1198"/>
      <c r="G2514" s="979"/>
      <c r="H2514" s="1194"/>
    </row>
    <row r="2515" spans="1:8" x14ac:dyDescent="0.25">
      <c r="A2515" s="1192"/>
      <c r="B2515" s="1199"/>
      <c r="C2515" s="1198" t="str">
        <f t="shared" si="20"/>
        <v/>
      </c>
      <c r="D2515" s="1198"/>
      <c r="E2515" s="1180"/>
      <c r="F2515" s="1198"/>
      <c r="G2515" s="979"/>
      <c r="H2515" s="1194"/>
    </row>
    <row r="2516" spans="1:8" x14ac:dyDescent="0.25">
      <c r="A2516" s="1192"/>
      <c r="B2516" s="1199"/>
      <c r="C2516" s="1198" t="str">
        <f t="shared" si="20"/>
        <v/>
      </c>
      <c r="D2516" s="1198"/>
      <c r="E2516" s="1180"/>
      <c r="F2516" s="1198"/>
      <c r="G2516" s="979"/>
      <c r="H2516" s="1194"/>
    </row>
    <row r="2517" spans="1:8" x14ac:dyDescent="0.25">
      <c r="A2517" s="1192"/>
      <c r="B2517" s="1199"/>
      <c r="C2517" s="1198" t="str">
        <f t="shared" si="20"/>
        <v/>
      </c>
      <c r="D2517" s="1198"/>
      <c r="E2517" s="1180"/>
      <c r="F2517" s="1198"/>
      <c r="G2517" s="979"/>
      <c r="H2517" s="1194"/>
    </row>
    <row r="2518" spans="1:8" x14ac:dyDescent="0.25">
      <c r="A2518" s="1192"/>
      <c r="B2518" s="1199"/>
      <c r="C2518" s="1198" t="str">
        <f t="shared" si="20"/>
        <v/>
      </c>
      <c r="D2518" s="1198"/>
      <c r="E2518" s="1180"/>
      <c r="F2518" s="1198"/>
      <c r="G2518" s="979"/>
      <c r="H2518" s="1194"/>
    </row>
    <row r="2519" spans="1:8" x14ac:dyDescent="0.25">
      <c r="A2519" s="1192"/>
      <c r="B2519" s="1199"/>
      <c r="C2519" s="1198" t="str">
        <f t="shared" si="20"/>
        <v/>
      </c>
      <c r="D2519" s="1198"/>
      <c r="E2519" s="1180"/>
      <c r="F2519" s="1198"/>
      <c r="G2519" s="979"/>
      <c r="H2519" s="1194"/>
    </row>
    <row r="2520" spans="1:8" x14ac:dyDescent="0.25">
      <c r="A2520" s="1192"/>
      <c r="B2520" s="1199"/>
      <c r="C2520" s="1198" t="str">
        <f t="shared" si="20"/>
        <v/>
      </c>
      <c r="D2520" s="1198"/>
      <c r="E2520" s="1180"/>
      <c r="F2520" s="1198"/>
      <c r="G2520" s="979"/>
      <c r="H2520" s="1194"/>
    </row>
    <row r="2521" spans="1:8" x14ac:dyDescent="0.25">
      <c r="A2521" s="1192"/>
      <c r="B2521" s="1199"/>
      <c r="C2521" s="1200" t="str">
        <f t="shared" si="20"/>
        <v/>
      </c>
      <c r="D2521" s="1200"/>
      <c r="E2521" s="1201"/>
      <c r="F2521" s="1198"/>
      <c r="G2521" s="979"/>
      <c r="H2521" s="1194"/>
    </row>
    <row r="2522" spans="1:8" ht="15.75" thickBot="1" x14ac:dyDescent="0.3">
      <c r="A2522" s="1192"/>
      <c r="B2522" s="1199"/>
      <c r="C2522" s="1200" t="str">
        <f t="shared" si="20"/>
        <v/>
      </c>
      <c r="D2522" s="1200"/>
      <c r="E2522" s="1201"/>
      <c r="F2522" s="1198"/>
      <c r="G2522" s="979"/>
      <c r="H2522" s="1194"/>
    </row>
    <row r="2523" spans="1:8" ht="15.75" thickBot="1" x14ac:dyDescent="0.3">
      <c r="A2523" s="1192"/>
      <c r="B2523" s="1202"/>
      <c r="C2523" s="1204" t="str">
        <f t="shared" si="20"/>
        <v/>
      </c>
      <c r="D2523" s="1204"/>
      <c r="E2523" s="1205"/>
      <c r="F2523" s="1203"/>
      <c r="G2523" s="979"/>
      <c r="H2523" s="1206">
        <f>+SUM(G2510:G2523)</f>
        <v>0</v>
      </c>
    </row>
    <row r="2524" spans="1:8" ht="15.75" thickBot="1" x14ac:dyDescent="0.3">
      <c r="A2524" s="1192"/>
      <c r="B2524" s="1207"/>
      <c r="C2524" s="1207"/>
      <c r="D2524" s="1207"/>
      <c r="E2524" s="1209"/>
      <c r="F2524" s="1208"/>
      <c r="G2524" s="1210"/>
      <c r="H2524" s="1211"/>
    </row>
    <row r="2525" spans="1:8" ht="15.75" thickBot="1" x14ac:dyDescent="0.3">
      <c r="A2525" s="1192"/>
      <c r="B2525" s="1428" t="s">
        <v>5410</v>
      </c>
      <c r="C2525" s="1429" t="s">
        <v>867</v>
      </c>
      <c r="D2525" s="1429" t="s">
        <v>6</v>
      </c>
      <c r="E2525" s="1430" t="s">
        <v>870</v>
      </c>
      <c r="F2525" s="1429" t="s">
        <v>5411</v>
      </c>
      <c r="G2525" s="1431" t="s">
        <v>868</v>
      </c>
      <c r="H2525" s="1194"/>
    </row>
    <row r="2526" spans="1:8" x14ac:dyDescent="0.25">
      <c r="A2526" s="1192"/>
      <c r="B2526" s="1212"/>
      <c r="C2526" s="1195"/>
      <c r="D2526" s="1195"/>
      <c r="E2526" s="1180"/>
      <c r="F2526" s="1195"/>
      <c r="G2526" s="979"/>
      <c r="H2526" s="1194"/>
    </row>
    <row r="2527" spans="1:8" x14ac:dyDescent="0.25">
      <c r="A2527" s="1192"/>
      <c r="B2527" s="1213"/>
      <c r="C2527" s="1198"/>
      <c r="D2527" s="1198"/>
      <c r="E2527" s="1181"/>
      <c r="F2527" s="1198"/>
      <c r="G2527" s="979"/>
      <c r="H2527" s="1194"/>
    </row>
    <row r="2528" spans="1:8" x14ac:dyDescent="0.25">
      <c r="A2528" s="1192"/>
      <c r="B2528" s="1213"/>
      <c r="C2528" s="1198"/>
      <c r="D2528" s="1198"/>
      <c r="E2528" s="1180"/>
      <c r="F2528" s="1198"/>
      <c r="G2528" s="979"/>
      <c r="H2528" s="1194"/>
    </row>
    <row r="2529" spans="1:8" ht="15.75" thickBot="1" x14ac:dyDescent="0.3">
      <c r="A2529" s="1192"/>
      <c r="B2529" s="1199"/>
      <c r="C2529" s="1198"/>
      <c r="D2529" s="1198"/>
      <c r="E2529" s="1180"/>
      <c r="F2529" s="1198"/>
      <c r="G2529" s="979"/>
      <c r="H2529" s="1194"/>
    </row>
    <row r="2530" spans="1:8" ht="15.75" thickBot="1" x14ac:dyDescent="0.3">
      <c r="A2530" s="1192"/>
      <c r="B2530" s="1202"/>
      <c r="C2530" s="1204"/>
      <c r="D2530" s="1204"/>
      <c r="E2530" s="1205"/>
      <c r="F2530" s="1203"/>
      <c r="G2530" s="979"/>
      <c r="H2530" s="1206">
        <f>+SUM(G2526:G2530)</f>
        <v>0</v>
      </c>
    </row>
    <row r="2531" spans="1:8" ht="15.75" thickBot="1" x14ac:dyDescent="0.3">
      <c r="A2531" s="1192"/>
      <c r="B2531" s="1207"/>
      <c r="C2531" s="1207"/>
      <c r="D2531" s="1207"/>
      <c r="E2531" s="1209"/>
      <c r="F2531" s="1214"/>
      <c r="G2531" s="1215"/>
      <c r="H2531" s="1211"/>
    </row>
    <row r="2532" spans="1:8" ht="15.75" thickBot="1" x14ac:dyDescent="0.3">
      <c r="A2532" s="1192"/>
      <c r="B2532" s="1428" t="s">
        <v>5412</v>
      </c>
      <c r="C2532" s="1429" t="s">
        <v>5420</v>
      </c>
      <c r="D2532" s="1429" t="s">
        <v>5421</v>
      </c>
      <c r="E2532" s="1430" t="s">
        <v>5413</v>
      </c>
      <c r="F2532" s="1429" t="s">
        <v>5405</v>
      </c>
      <c r="G2532" s="1431" t="s">
        <v>868</v>
      </c>
      <c r="H2532" s="1194"/>
    </row>
    <row r="2533" spans="1:8" x14ac:dyDescent="0.25">
      <c r="A2533" s="1192"/>
      <c r="B2533" s="194" t="s">
        <v>6523</v>
      </c>
      <c r="C2533" s="345">
        <f>+VLOOKUP($B2533,'Mano de obra'!$A$5:$D$26,2,FALSE)</f>
        <v>57454</v>
      </c>
      <c r="D2533" s="345">
        <f>+VLOOKUP($B2533,'Mano de obra'!$A$5:$D$26,3,FALSE)</f>
        <v>35656</v>
      </c>
      <c r="E2533" s="345">
        <f>+VLOOKUP($B2533,'Mano de obra'!$A$5:$D$26,4,FALSE)</f>
        <v>93110</v>
      </c>
      <c r="F2533" s="1197">
        <v>20</v>
      </c>
      <c r="G2533" s="979">
        <f>IF(B2533="","",E2533/F2533)</f>
        <v>4655.5</v>
      </c>
      <c r="H2533" s="1194"/>
    </row>
    <row r="2534" spans="1:8" x14ac:dyDescent="0.25">
      <c r="A2534" s="1192"/>
      <c r="B2534" s="194" t="s">
        <v>6524</v>
      </c>
      <c r="C2534" s="345">
        <f>+VLOOKUP($B2534,'Mano de obra'!$A$5:$D$26,2,FALSE)</f>
        <v>44263.8</v>
      </c>
      <c r="D2534" s="345">
        <f>+VLOOKUP($B2534,'Mano de obra'!$A$5:$D$26,3,FALSE)</f>
        <v>27470</v>
      </c>
      <c r="E2534" s="345">
        <f>+VLOOKUP($B2534,'Mano de obra'!$A$5:$D$26,4,FALSE)</f>
        <v>71733.8</v>
      </c>
      <c r="F2534" s="1195">
        <v>2</v>
      </c>
      <c r="G2534" s="979">
        <f>IF(B2534="","",E2534/F2534)</f>
        <v>35866.9</v>
      </c>
      <c r="H2534" s="1194"/>
    </row>
    <row r="2535" spans="1:8" x14ac:dyDescent="0.25">
      <c r="A2535" s="1192"/>
      <c r="B2535" s="195" t="s">
        <v>6525</v>
      </c>
      <c r="C2535" s="345">
        <f>+VLOOKUP($B2535,'Mano de obra'!$A$5:$D$26,2,FALSE)</f>
        <v>24591</v>
      </c>
      <c r="D2535" s="345">
        <f>+VLOOKUP($B2535,'Mano de obra'!$A$5:$D$26,3,FALSE)</f>
        <v>15261</v>
      </c>
      <c r="E2535" s="345">
        <f>+VLOOKUP($B2535,'Mano de obra'!$A$5:$D$26,4,FALSE)</f>
        <v>39852</v>
      </c>
      <c r="F2535" s="1198">
        <v>2</v>
      </c>
      <c r="G2535" s="979">
        <f>IF(B2535="","",E2535/F2535)</f>
        <v>19926</v>
      </c>
      <c r="H2535" s="1194"/>
    </row>
    <row r="2536" spans="1:8" x14ac:dyDescent="0.25">
      <c r="A2536" s="1192"/>
      <c r="B2536" s="1199"/>
      <c r="C2536" s="1216"/>
      <c r="D2536" s="1201"/>
      <c r="E2536" s="1201"/>
      <c r="F2536" s="1198"/>
      <c r="G2536" s="1217"/>
      <c r="H2536" s="1194"/>
    </row>
    <row r="2537" spans="1:8" ht="15.75" thickBot="1" x14ac:dyDescent="0.3">
      <c r="A2537" s="1192"/>
      <c r="B2537" s="1199"/>
      <c r="C2537" s="1201"/>
      <c r="D2537" s="1201"/>
      <c r="E2537" s="1201"/>
      <c r="F2537" s="1198"/>
      <c r="G2537" s="1217"/>
      <c r="H2537" s="1194"/>
    </row>
    <row r="2538" spans="1:8" ht="15.75" thickBot="1" x14ac:dyDescent="0.3">
      <c r="A2538" s="1192"/>
      <c r="B2538" s="1218"/>
      <c r="C2538" s="1219"/>
      <c r="D2538" s="1219"/>
      <c r="E2538" s="1219"/>
      <c r="F2538" s="1220"/>
      <c r="G2538" s="1221"/>
      <c r="H2538" s="1206">
        <f>+SUM(G2533:G2538)</f>
        <v>60448.4</v>
      </c>
    </row>
    <row r="2539" spans="1:8" ht="15.75" thickBot="1" x14ac:dyDescent="0.3">
      <c r="A2539" s="1192"/>
      <c r="B2539" s="1192"/>
      <c r="C2539" s="1192"/>
      <c r="D2539" s="1192"/>
      <c r="E2539" s="1192"/>
      <c r="F2539" s="1191"/>
      <c r="G2539" s="1192"/>
      <c r="H2539" s="1192"/>
    </row>
    <row r="2540" spans="1:8" ht="15.75" thickBot="1" x14ac:dyDescent="0.3">
      <c r="A2540" s="1192"/>
      <c r="B2540" s="1192"/>
      <c r="C2540" s="1192"/>
      <c r="D2540" s="1192"/>
      <c r="E2540" s="1222" t="s">
        <v>5415</v>
      </c>
      <c r="F2540" s="1191"/>
      <c r="G2540" s="1192"/>
      <c r="H2540" s="1223">
        <f>ROUND(+H2507+H2523+H2530+H2538,0)</f>
        <v>82665</v>
      </c>
    </row>
    <row r="2541" spans="1:8" x14ac:dyDescent="0.25">
      <c r="A2541" s="1058"/>
      <c r="B2541" s="1058"/>
      <c r="C2541" s="1058"/>
      <c r="D2541" s="1058"/>
      <c r="E2541" s="1058"/>
      <c r="F2541" s="1058"/>
      <c r="G2541" s="1058"/>
      <c r="H2541" s="1058"/>
    </row>
    <row r="2542" spans="1:8" x14ac:dyDescent="0.25">
      <c r="A2542" s="1191"/>
      <c r="B2542" s="1192"/>
      <c r="C2542" s="1192"/>
      <c r="D2542" s="1192"/>
      <c r="E2542" s="1192"/>
      <c r="F2542" s="1191"/>
      <c r="G2542" s="1192"/>
      <c r="H2542" s="1192"/>
    </row>
    <row r="2543" spans="1:8" x14ac:dyDescent="0.25">
      <c r="A2543" s="673" t="s">
        <v>3</v>
      </c>
      <c r="B2543" s="1390" t="str">
        <f>+VLOOKUP(C2543,ListaAPUs!$B:$E,4,FALSE)</f>
        <v>4.2.13</v>
      </c>
      <c r="C2543" s="2449" t="str">
        <f>+ListaAPUs!B87</f>
        <v>INSTALACIÓN NIPLES EN HD D=200 MM A 350 MM L=0 A 1M</v>
      </c>
      <c r="D2543" s="2449"/>
      <c r="E2543" s="2449"/>
      <c r="F2543" s="673" t="s">
        <v>867</v>
      </c>
      <c r="G2543" s="222" t="s">
        <v>5424</v>
      </c>
      <c r="H2543" s="1192"/>
    </row>
    <row r="2544" spans="1:8" x14ac:dyDescent="0.25">
      <c r="A2544" s="1191"/>
      <c r="B2544" s="1192"/>
      <c r="C2544" s="1192"/>
      <c r="D2544" s="1192"/>
      <c r="E2544" s="1192"/>
      <c r="F2544" s="1191"/>
      <c r="G2544" s="1192"/>
      <c r="H2544" s="1192"/>
    </row>
    <row r="2545" spans="1:8" x14ac:dyDescent="0.25">
      <c r="A2545" s="1191"/>
      <c r="B2545" s="1192"/>
      <c r="C2545" s="1192"/>
      <c r="D2545" s="1192"/>
      <c r="E2545" s="1192"/>
      <c r="F2545" s="1191"/>
      <c r="G2545" s="1193"/>
      <c r="H2545" s="1192"/>
    </row>
    <row r="2546" spans="1:8" ht="15.75" thickBot="1" x14ac:dyDescent="0.3">
      <c r="A2546" s="1191"/>
      <c r="B2546" s="1192"/>
      <c r="C2546" s="1192"/>
      <c r="D2546" s="1192"/>
      <c r="E2546" s="1192"/>
      <c r="F2546" s="1191"/>
      <c r="G2546" s="1192"/>
      <c r="H2546" s="1192"/>
    </row>
    <row r="2547" spans="1:8" ht="15.75" thickBot="1" x14ac:dyDescent="0.3">
      <c r="A2547" s="1191"/>
      <c r="B2547" s="1428" t="s">
        <v>5403</v>
      </c>
      <c r="C2547" s="1429" t="s">
        <v>867</v>
      </c>
      <c r="D2547" s="1429" t="s">
        <v>6</v>
      </c>
      <c r="E2547" s="1430" t="s">
        <v>5404</v>
      </c>
      <c r="F2547" s="1429" t="s">
        <v>5405</v>
      </c>
      <c r="G2547" s="1431" t="s">
        <v>868</v>
      </c>
      <c r="H2547" s="1194"/>
    </row>
    <row r="2548" spans="1:8" x14ac:dyDescent="0.25">
      <c r="A2548" s="1191"/>
      <c r="B2548" s="757" t="s">
        <v>5455</v>
      </c>
      <c r="C2548" s="226" t="s">
        <v>7042</v>
      </c>
      <c r="D2548" s="1196">
        <v>1</v>
      </c>
      <c r="E2548" s="228">
        <f>+H2586</f>
        <v>60448.4</v>
      </c>
      <c r="F2548" s="1197">
        <v>0.2</v>
      </c>
      <c r="G2548" s="979">
        <f t="shared" ref="G2548:G2555" si="21">IF(B2548="","",PRODUCT(D2548:F2548))</f>
        <v>12089.68</v>
      </c>
      <c r="H2548" s="1194"/>
    </row>
    <row r="2549" spans="1:8" x14ac:dyDescent="0.25">
      <c r="A2549" s="1191"/>
      <c r="B2549" s="1303" t="s">
        <v>6869</v>
      </c>
      <c r="C2549" s="1198"/>
      <c r="D2549" s="1198"/>
      <c r="E2549" s="975">
        <f>+VLOOKUP(B2549,Insumos!$A$2:$C$331,3,FALSE)</f>
        <v>202536</v>
      </c>
      <c r="F2549" s="1198">
        <v>3.3000000000000002E-2</v>
      </c>
      <c r="G2549" s="979">
        <f t="shared" si="21"/>
        <v>6683.6880000000001</v>
      </c>
      <c r="H2549" s="1194"/>
    </row>
    <row r="2550" spans="1:8" x14ac:dyDescent="0.25">
      <c r="A2550" s="1191"/>
      <c r="B2550" s="763"/>
      <c r="C2550" s="1198" t="str">
        <f t="shared" ref="C2550:C2555" si="22">IF(B2550="","",VLOOKUP(B2550,INSUMOS,2,FALSE))</f>
        <v/>
      </c>
      <c r="D2550" s="1198"/>
      <c r="E2550" s="1181" t="str">
        <f t="shared" ref="E2550:E2555" si="23">IF(B2550="","",IF(C2550="%mo",$K$50,VLOOKUP(B2550,INSUMOS,3,FALSE)))</f>
        <v/>
      </c>
      <c r="F2550" s="1198"/>
      <c r="G2550" s="979" t="str">
        <f t="shared" si="21"/>
        <v/>
      </c>
      <c r="H2550" s="1194"/>
    </row>
    <row r="2551" spans="1:8" x14ac:dyDescent="0.25">
      <c r="A2551" s="1191"/>
      <c r="B2551" s="1199"/>
      <c r="C2551" s="1198" t="str">
        <f t="shared" si="22"/>
        <v/>
      </c>
      <c r="D2551" s="1200"/>
      <c r="E2551" s="1201" t="str">
        <f t="shared" si="23"/>
        <v/>
      </c>
      <c r="F2551" s="1198"/>
      <c r="G2551" s="979" t="str">
        <f t="shared" si="21"/>
        <v/>
      </c>
      <c r="H2551" s="1194"/>
    </row>
    <row r="2552" spans="1:8" x14ac:dyDescent="0.25">
      <c r="A2552" s="1191"/>
      <c r="B2552" s="1199"/>
      <c r="C2552" s="1198" t="str">
        <f t="shared" si="22"/>
        <v/>
      </c>
      <c r="D2552" s="1200"/>
      <c r="E2552" s="1201" t="str">
        <f t="shared" si="23"/>
        <v/>
      </c>
      <c r="F2552" s="1198"/>
      <c r="G2552" s="979" t="str">
        <f t="shared" si="21"/>
        <v/>
      </c>
      <c r="H2552" s="1194"/>
    </row>
    <row r="2553" spans="1:8" x14ac:dyDescent="0.25">
      <c r="A2553" s="1191"/>
      <c r="B2553" s="1199"/>
      <c r="C2553" s="1198" t="str">
        <f t="shared" si="22"/>
        <v/>
      </c>
      <c r="D2553" s="1200"/>
      <c r="E2553" s="1201" t="str">
        <f t="shared" si="23"/>
        <v/>
      </c>
      <c r="F2553" s="1198"/>
      <c r="G2553" s="979" t="str">
        <f t="shared" si="21"/>
        <v/>
      </c>
      <c r="H2553" s="1194"/>
    </row>
    <row r="2554" spans="1:8" ht="15.75" thickBot="1" x14ac:dyDescent="0.3">
      <c r="A2554" s="1191"/>
      <c r="B2554" s="1199"/>
      <c r="C2554" s="1198" t="str">
        <f t="shared" si="22"/>
        <v/>
      </c>
      <c r="D2554" s="1200"/>
      <c r="E2554" s="1201" t="str">
        <f t="shared" si="23"/>
        <v/>
      </c>
      <c r="F2554" s="1198"/>
      <c r="G2554" s="979" t="str">
        <f t="shared" si="21"/>
        <v/>
      </c>
      <c r="H2554" s="1194"/>
    </row>
    <row r="2555" spans="1:8" ht="15.75" thickBot="1" x14ac:dyDescent="0.3">
      <c r="A2555" s="1191"/>
      <c r="B2555" s="1202"/>
      <c r="C2555" s="1203" t="str">
        <f t="shared" si="22"/>
        <v/>
      </c>
      <c r="D2555" s="1204"/>
      <c r="E2555" s="1205" t="str">
        <f t="shared" si="23"/>
        <v/>
      </c>
      <c r="F2555" s="1203"/>
      <c r="G2555" s="979" t="str">
        <f t="shared" si="21"/>
        <v/>
      </c>
      <c r="H2555" s="1206">
        <f>+SUM(G2548:G2555)</f>
        <v>18773.368000000002</v>
      </c>
    </row>
    <row r="2556" spans="1:8" ht="15.75" thickBot="1" x14ac:dyDescent="0.3">
      <c r="A2556" s="1191"/>
      <c r="B2556" s="1207"/>
      <c r="C2556" s="1208"/>
      <c r="D2556" s="1207"/>
      <c r="E2556" s="1209"/>
      <c r="F2556" s="1208"/>
      <c r="G2556" s="1210"/>
      <c r="H2556" s="1211"/>
    </row>
    <row r="2557" spans="1:8" ht="15.75" thickBot="1" x14ac:dyDescent="0.3">
      <c r="A2557" s="1192"/>
      <c r="B2557" s="1428" t="s">
        <v>5408</v>
      </c>
      <c r="C2557" s="1429" t="s">
        <v>867</v>
      </c>
      <c r="D2557" s="1429" t="s">
        <v>6</v>
      </c>
      <c r="E2557" s="1430" t="s">
        <v>870</v>
      </c>
      <c r="F2557" s="1429" t="s">
        <v>7040</v>
      </c>
      <c r="G2557" s="1431" t="s">
        <v>868</v>
      </c>
      <c r="H2557" s="1194"/>
    </row>
    <row r="2558" spans="1:8" x14ac:dyDescent="0.25">
      <c r="A2558" s="1192"/>
      <c r="B2558" s="1212"/>
      <c r="C2558" s="1195" t="str">
        <f t="shared" ref="C2558:C2571" si="24">IF(B2558="","",VLOOKUP(B2558,INSUMOS,2,FALSE))</f>
        <v/>
      </c>
      <c r="D2558" s="1195"/>
      <c r="E2558" s="1180" t="str">
        <f t="shared" ref="E2558:E2571" si="25">IF(B2558="","",VLOOKUP(B2558,INSUMOS,3,FALSE))</f>
        <v/>
      </c>
      <c r="F2558" s="1195"/>
      <c r="G2558" s="979" t="str">
        <f t="shared" ref="G2558:G2571" si="26">IF(B2558="","",PRODUCT(D2558:F2558))</f>
        <v/>
      </c>
      <c r="H2558" s="1194"/>
    </row>
    <row r="2559" spans="1:8" x14ac:dyDescent="0.25">
      <c r="A2559" s="1192"/>
      <c r="B2559" s="1213"/>
      <c r="C2559" s="1198" t="str">
        <f t="shared" si="24"/>
        <v/>
      </c>
      <c r="D2559" s="1198"/>
      <c r="E2559" s="1181" t="str">
        <f t="shared" si="25"/>
        <v/>
      </c>
      <c r="F2559" s="1195"/>
      <c r="G2559" s="979" t="str">
        <f t="shared" si="26"/>
        <v/>
      </c>
      <c r="H2559" s="1194"/>
    </row>
    <row r="2560" spans="1:8" x14ac:dyDescent="0.25">
      <c r="A2560" s="1192"/>
      <c r="B2560" s="1213"/>
      <c r="C2560" s="1198" t="str">
        <f t="shared" si="24"/>
        <v/>
      </c>
      <c r="D2560" s="1198"/>
      <c r="E2560" s="1181" t="str">
        <f t="shared" si="25"/>
        <v/>
      </c>
      <c r="F2560" s="1195"/>
      <c r="G2560" s="979" t="str">
        <f t="shared" si="26"/>
        <v/>
      </c>
      <c r="H2560" s="1194"/>
    </row>
    <row r="2561" spans="1:8" x14ac:dyDescent="0.25">
      <c r="A2561" s="1192"/>
      <c r="B2561" s="1199"/>
      <c r="C2561" s="1198" t="str">
        <f t="shared" si="24"/>
        <v/>
      </c>
      <c r="D2561" s="1198"/>
      <c r="E2561" s="1180" t="str">
        <f t="shared" si="25"/>
        <v/>
      </c>
      <c r="F2561" s="1198"/>
      <c r="G2561" s="979" t="str">
        <f t="shared" si="26"/>
        <v/>
      </c>
      <c r="H2561" s="1194"/>
    </row>
    <row r="2562" spans="1:8" x14ac:dyDescent="0.25">
      <c r="A2562" s="1192"/>
      <c r="B2562" s="1199"/>
      <c r="C2562" s="1198" t="str">
        <f t="shared" si="24"/>
        <v/>
      </c>
      <c r="D2562" s="1198"/>
      <c r="E2562" s="1180" t="str">
        <f t="shared" si="25"/>
        <v/>
      </c>
      <c r="F2562" s="1198"/>
      <c r="G2562" s="979" t="str">
        <f t="shared" si="26"/>
        <v/>
      </c>
      <c r="H2562" s="1194"/>
    </row>
    <row r="2563" spans="1:8" x14ac:dyDescent="0.25">
      <c r="A2563" s="1192"/>
      <c r="B2563" s="1199"/>
      <c r="C2563" s="1198" t="str">
        <f t="shared" si="24"/>
        <v/>
      </c>
      <c r="D2563" s="1198"/>
      <c r="E2563" s="1180" t="str">
        <f t="shared" si="25"/>
        <v/>
      </c>
      <c r="F2563" s="1198"/>
      <c r="G2563" s="979" t="str">
        <f t="shared" si="26"/>
        <v/>
      </c>
      <c r="H2563" s="1194"/>
    </row>
    <row r="2564" spans="1:8" x14ac:dyDescent="0.25">
      <c r="A2564" s="1192"/>
      <c r="B2564" s="1199"/>
      <c r="C2564" s="1198" t="str">
        <f t="shared" si="24"/>
        <v/>
      </c>
      <c r="D2564" s="1198"/>
      <c r="E2564" s="1180" t="str">
        <f t="shared" si="25"/>
        <v/>
      </c>
      <c r="F2564" s="1198"/>
      <c r="G2564" s="979" t="str">
        <f t="shared" si="26"/>
        <v/>
      </c>
      <c r="H2564" s="1194"/>
    </row>
    <row r="2565" spans="1:8" x14ac:dyDescent="0.25">
      <c r="A2565" s="1192"/>
      <c r="B2565" s="1199"/>
      <c r="C2565" s="1198" t="str">
        <f t="shared" si="24"/>
        <v/>
      </c>
      <c r="D2565" s="1198"/>
      <c r="E2565" s="1180" t="str">
        <f t="shared" si="25"/>
        <v/>
      </c>
      <c r="F2565" s="1198"/>
      <c r="G2565" s="979" t="str">
        <f t="shared" si="26"/>
        <v/>
      </c>
      <c r="H2565" s="1194"/>
    </row>
    <row r="2566" spans="1:8" x14ac:dyDescent="0.25">
      <c r="A2566" s="1192"/>
      <c r="B2566" s="1199"/>
      <c r="C2566" s="1198" t="str">
        <f t="shared" si="24"/>
        <v/>
      </c>
      <c r="D2566" s="1198"/>
      <c r="E2566" s="1180" t="str">
        <f t="shared" si="25"/>
        <v/>
      </c>
      <c r="F2566" s="1198"/>
      <c r="G2566" s="979" t="str">
        <f t="shared" si="26"/>
        <v/>
      </c>
      <c r="H2566" s="1194"/>
    </row>
    <row r="2567" spans="1:8" x14ac:dyDescent="0.25">
      <c r="A2567" s="1192"/>
      <c r="B2567" s="1199"/>
      <c r="C2567" s="1198" t="str">
        <f t="shared" si="24"/>
        <v/>
      </c>
      <c r="D2567" s="1198"/>
      <c r="E2567" s="1180" t="str">
        <f t="shared" si="25"/>
        <v/>
      </c>
      <c r="F2567" s="1198"/>
      <c r="G2567" s="979" t="str">
        <f t="shared" si="26"/>
        <v/>
      </c>
      <c r="H2567" s="1194"/>
    </row>
    <row r="2568" spans="1:8" x14ac:dyDescent="0.25">
      <c r="A2568" s="1192"/>
      <c r="B2568" s="1199"/>
      <c r="C2568" s="1198" t="str">
        <f t="shared" si="24"/>
        <v/>
      </c>
      <c r="D2568" s="1198"/>
      <c r="E2568" s="1180" t="str">
        <f t="shared" si="25"/>
        <v/>
      </c>
      <c r="F2568" s="1198"/>
      <c r="G2568" s="979" t="str">
        <f t="shared" si="26"/>
        <v/>
      </c>
      <c r="H2568" s="1194"/>
    </row>
    <row r="2569" spans="1:8" x14ac:dyDescent="0.25">
      <c r="A2569" s="1192"/>
      <c r="B2569" s="1199"/>
      <c r="C2569" s="1200" t="str">
        <f t="shared" si="24"/>
        <v/>
      </c>
      <c r="D2569" s="1200"/>
      <c r="E2569" s="1201" t="str">
        <f t="shared" si="25"/>
        <v/>
      </c>
      <c r="F2569" s="1198"/>
      <c r="G2569" s="979" t="str">
        <f t="shared" si="26"/>
        <v/>
      </c>
      <c r="H2569" s="1194"/>
    </row>
    <row r="2570" spans="1:8" ht="15.75" thickBot="1" x14ac:dyDescent="0.3">
      <c r="A2570" s="1192"/>
      <c r="B2570" s="1199"/>
      <c r="C2570" s="1200" t="str">
        <f t="shared" si="24"/>
        <v/>
      </c>
      <c r="D2570" s="1200"/>
      <c r="E2570" s="1201" t="str">
        <f t="shared" si="25"/>
        <v/>
      </c>
      <c r="F2570" s="1198"/>
      <c r="G2570" s="979" t="str">
        <f t="shared" si="26"/>
        <v/>
      </c>
      <c r="H2570" s="1194"/>
    </row>
    <row r="2571" spans="1:8" ht="15.75" thickBot="1" x14ac:dyDescent="0.3">
      <c r="A2571" s="1192"/>
      <c r="B2571" s="1202"/>
      <c r="C2571" s="1204" t="str">
        <f t="shared" si="24"/>
        <v/>
      </c>
      <c r="D2571" s="1204"/>
      <c r="E2571" s="1205" t="str">
        <f t="shared" si="25"/>
        <v/>
      </c>
      <c r="F2571" s="1203"/>
      <c r="G2571" s="979" t="str">
        <f t="shared" si="26"/>
        <v/>
      </c>
      <c r="H2571" s="1206">
        <f>+SUM(G2558:G2571)</f>
        <v>0</v>
      </c>
    </row>
    <row r="2572" spans="1:8" ht="15.75" thickBot="1" x14ac:dyDescent="0.3">
      <c r="A2572" s="1192"/>
      <c r="B2572" s="1207"/>
      <c r="C2572" s="1207"/>
      <c r="D2572" s="1207"/>
      <c r="E2572" s="1209"/>
      <c r="F2572" s="1208"/>
      <c r="G2572" s="1210"/>
      <c r="H2572" s="1211"/>
    </row>
    <row r="2573" spans="1:8" ht="15.75" thickBot="1" x14ac:dyDescent="0.3">
      <c r="A2573" s="1192"/>
      <c r="B2573" s="1428" t="s">
        <v>5410</v>
      </c>
      <c r="C2573" s="1429" t="s">
        <v>867</v>
      </c>
      <c r="D2573" s="1429" t="s">
        <v>6</v>
      </c>
      <c r="E2573" s="1430" t="s">
        <v>870</v>
      </c>
      <c r="F2573" s="1429" t="s">
        <v>5411</v>
      </c>
      <c r="G2573" s="1431" t="s">
        <v>868</v>
      </c>
      <c r="H2573" s="1194"/>
    </row>
    <row r="2574" spans="1:8" x14ac:dyDescent="0.25">
      <c r="A2574" s="1192"/>
      <c r="B2574" s="1212"/>
      <c r="C2574" s="1195" t="str">
        <f>IF(B2574="","",VLOOKUP(B2574,INSUMOS,2,FALSE))</f>
        <v/>
      </c>
      <c r="D2574" s="1195"/>
      <c r="E2574" s="1180" t="str">
        <f>IF(B2574="","",VLOOKUP(B2574,INSUMOS,3,FALSE))</f>
        <v/>
      </c>
      <c r="F2574" s="1195"/>
      <c r="G2574" s="979" t="str">
        <f>IF(B2574="","",PRODUCT(D2574:F2574))</f>
        <v/>
      </c>
      <c r="H2574" s="1194"/>
    </row>
    <row r="2575" spans="1:8" x14ac:dyDescent="0.25">
      <c r="A2575" s="1192"/>
      <c r="B2575" s="1213"/>
      <c r="C2575" s="1198" t="str">
        <f>IF(B2575="","",VLOOKUP(B2575,INSUMOS,2,FALSE))</f>
        <v/>
      </c>
      <c r="D2575" s="1198"/>
      <c r="E2575" s="1181" t="str">
        <f>IF(B2575="","",VLOOKUP(B2575,INSUMOS,3,FALSE))</f>
        <v/>
      </c>
      <c r="F2575" s="1198"/>
      <c r="G2575" s="979" t="str">
        <f>IF(B2575="","",PRODUCT(D2575:F2575))</f>
        <v/>
      </c>
      <c r="H2575" s="1194"/>
    </row>
    <row r="2576" spans="1:8" x14ac:dyDescent="0.25">
      <c r="A2576" s="1192"/>
      <c r="B2576" s="1213"/>
      <c r="C2576" s="1198" t="str">
        <f>IF(B2576="","",VLOOKUP(B2576,INSUMOS,2,FALSE))</f>
        <v/>
      </c>
      <c r="D2576" s="1198"/>
      <c r="E2576" s="1180" t="str">
        <f>IF(B2576="","",VLOOKUP(B2576,INSUMOS,3,FALSE))</f>
        <v/>
      </c>
      <c r="F2576" s="1198"/>
      <c r="G2576" s="979" t="str">
        <f>IF(B2576="","",PRODUCT(D2576:F2576))</f>
        <v/>
      </c>
      <c r="H2576" s="1194"/>
    </row>
    <row r="2577" spans="1:8" ht="15.75" thickBot="1" x14ac:dyDescent="0.3">
      <c r="A2577" s="1192"/>
      <c r="B2577" s="1199"/>
      <c r="C2577" s="1198" t="str">
        <f>IF(B2577="","",VLOOKUP(B2577,INSUMOS,2,FALSE))</f>
        <v/>
      </c>
      <c r="D2577" s="1198"/>
      <c r="E2577" s="1180" t="str">
        <f>IF(B2577="","",VLOOKUP(B2577,INSUMOS,3,FALSE))</f>
        <v/>
      </c>
      <c r="F2577" s="1198"/>
      <c r="G2577" s="979" t="str">
        <f>IF(B2577="","",PRODUCT(D2577:F2577))</f>
        <v/>
      </c>
      <c r="H2577" s="1194"/>
    </row>
    <row r="2578" spans="1:8" ht="15.75" thickBot="1" x14ac:dyDescent="0.3">
      <c r="A2578" s="1192"/>
      <c r="B2578" s="1202"/>
      <c r="C2578" s="1204" t="str">
        <f>IF(B2578="","",VLOOKUP(B2578,INSUMOS,2,FALSE))</f>
        <v/>
      </c>
      <c r="D2578" s="1204"/>
      <c r="E2578" s="1205" t="str">
        <f>IF(B2578="","",VLOOKUP(B2578,INSUMOS,3,FALSE))</f>
        <v/>
      </c>
      <c r="F2578" s="1203"/>
      <c r="G2578" s="979" t="str">
        <f>IF(B2578="","",PRODUCT(D2578:F2578))</f>
        <v/>
      </c>
      <c r="H2578" s="1206">
        <f>+SUM(G2574:G2578)</f>
        <v>0</v>
      </c>
    </row>
    <row r="2579" spans="1:8" ht="15.75" thickBot="1" x14ac:dyDescent="0.3">
      <c r="A2579" s="1192"/>
      <c r="B2579" s="1207"/>
      <c r="C2579" s="1207"/>
      <c r="D2579" s="1207"/>
      <c r="E2579" s="1209"/>
      <c r="F2579" s="1214"/>
      <c r="G2579" s="1215"/>
      <c r="H2579" s="1211"/>
    </row>
    <row r="2580" spans="1:8" ht="15.75" thickBot="1" x14ac:dyDescent="0.3">
      <c r="A2580" s="1192"/>
      <c r="B2580" s="1428" t="s">
        <v>5412</v>
      </c>
      <c r="C2580" s="1429" t="s">
        <v>5420</v>
      </c>
      <c r="D2580" s="1429" t="s">
        <v>5421</v>
      </c>
      <c r="E2580" s="1430" t="s">
        <v>5413</v>
      </c>
      <c r="F2580" s="1429" t="s">
        <v>5405</v>
      </c>
      <c r="G2580" s="1431" t="s">
        <v>868</v>
      </c>
      <c r="H2580" s="1194"/>
    </row>
    <row r="2581" spans="1:8" x14ac:dyDescent="0.25">
      <c r="A2581" s="1192"/>
      <c r="B2581" s="194" t="s">
        <v>6523</v>
      </c>
      <c r="C2581" s="345">
        <f>+VLOOKUP($B2581,'Mano de obra'!$A$5:$D$26,2,FALSE)</f>
        <v>57454</v>
      </c>
      <c r="D2581" s="345">
        <f>+VLOOKUP($B2581,'Mano de obra'!$A$5:$D$26,3,FALSE)</f>
        <v>35656</v>
      </c>
      <c r="E2581" s="345">
        <f>+VLOOKUP($B2581,'Mano de obra'!$A$5:$D$26,4,FALSE)</f>
        <v>93110</v>
      </c>
      <c r="F2581" s="1197">
        <v>20</v>
      </c>
      <c r="G2581" s="979">
        <f>IF(B2581="","",E2581/F2581)</f>
        <v>4655.5</v>
      </c>
      <c r="H2581" s="1194"/>
    </row>
    <row r="2582" spans="1:8" x14ac:dyDescent="0.25">
      <c r="A2582" s="1192"/>
      <c r="B2582" s="194" t="s">
        <v>6524</v>
      </c>
      <c r="C2582" s="345">
        <f>+VLOOKUP($B2582,'Mano de obra'!$A$5:$D$26,2,FALSE)</f>
        <v>44263.8</v>
      </c>
      <c r="D2582" s="345">
        <f>+VLOOKUP($B2582,'Mano de obra'!$A$5:$D$26,3,FALSE)</f>
        <v>27470</v>
      </c>
      <c r="E2582" s="345">
        <f>+VLOOKUP($B2582,'Mano de obra'!$A$5:$D$26,4,FALSE)</f>
        <v>71733.8</v>
      </c>
      <c r="F2582" s="1195">
        <v>2</v>
      </c>
      <c r="G2582" s="979">
        <f>IF(B2582="","",E2582/F2582)</f>
        <v>35866.9</v>
      </c>
      <c r="H2582" s="1194"/>
    </row>
    <row r="2583" spans="1:8" x14ac:dyDescent="0.25">
      <c r="A2583" s="1192"/>
      <c r="B2583" s="195" t="s">
        <v>6525</v>
      </c>
      <c r="C2583" s="345">
        <f>+VLOOKUP($B2583,'Mano de obra'!$A$5:$D$26,2,FALSE)</f>
        <v>24591</v>
      </c>
      <c r="D2583" s="345">
        <f>+VLOOKUP($B2583,'Mano de obra'!$A$5:$D$26,3,FALSE)</f>
        <v>15261</v>
      </c>
      <c r="E2583" s="345">
        <f>+VLOOKUP($B2583,'Mano de obra'!$A$5:$D$26,4,FALSE)</f>
        <v>39852</v>
      </c>
      <c r="F2583" s="1198">
        <v>2</v>
      </c>
      <c r="G2583" s="979">
        <f>IF(B2583="","",E2583/F2583)</f>
        <v>19926</v>
      </c>
      <c r="H2583" s="1194"/>
    </row>
    <row r="2584" spans="1:8" x14ac:dyDescent="0.25">
      <c r="A2584" s="1192"/>
      <c r="B2584" s="1199"/>
      <c r="C2584" s="1216"/>
      <c r="D2584" s="1201"/>
      <c r="E2584" s="1201"/>
      <c r="F2584" s="1198"/>
      <c r="G2584" s="1217"/>
      <c r="H2584" s="1194"/>
    </row>
    <row r="2585" spans="1:8" ht="15.75" thickBot="1" x14ac:dyDescent="0.3">
      <c r="A2585" s="1192"/>
      <c r="B2585" s="1199"/>
      <c r="C2585" s="1201"/>
      <c r="D2585" s="1201"/>
      <c r="E2585" s="1201"/>
      <c r="F2585" s="1198"/>
      <c r="G2585" s="1217"/>
      <c r="H2585" s="1194"/>
    </row>
    <row r="2586" spans="1:8" ht="15.75" thickBot="1" x14ac:dyDescent="0.3">
      <c r="A2586" s="1192"/>
      <c r="B2586" s="1218"/>
      <c r="C2586" s="1219"/>
      <c r="D2586" s="1219"/>
      <c r="E2586" s="1219"/>
      <c r="F2586" s="1220"/>
      <c r="G2586" s="1221"/>
      <c r="H2586" s="1206">
        <f>+SUM(G2581:G2586)</f>
        <v>60448.4</v>
      </c>
    </row>
    <row r="2587" spans="1:8" ht="15.75" thickBot="1" x14ac:dyDescent="0.3">
      <c r="A2587" s="1192"/>
      <c r="B2587" s="1192"/>
      <c r="C2587" s="1192"/>
      <c r="D2587" s="1192"/>
      <c r="E2587" s="1192"/>
      <c r="F2587" s="1191"/>
      <c r="G2587" s="1192"/>
      <c r="H2587" s="1192"/>
    </row>
    <row r="2588" spans="1:8" ht="15.75" thickBot="1" x14ac:dyDescent="0.3">
      <c r="A2588" s="1192"/>
      <c r="B2588" s="1192"/>
      <c r="C2588" s="1192"/>
      <c r="D2588" s="1192"/>
      <c r="E2588" s="1222" t="s">
        <v>5415</v>
      </c>
      <c r="F2588" s="1191"/>
      <c r="G2588" s="1192"/>
      <c r="H2588" s="1223">
        <f>ROUND(+H2555+H2571+H2578+H2586,0)</f>
        <v>79222</v>
      </c>
    </row>
    <row r="2589" spans="1:8" x14ac:dyDescent="0.25">
      <c r="A2589" s="1058"/>
      <c r="B2589" s="1058"/>
      <c r="C2589" s="1058"/>
      <c r="D2589" s="1058"/>
      <c r="E2589" s="1058"/>
      <c r="F2589" s="1058"/>
      <c r="G2589" s="1058"/>
      <c r="H2589" s="1058"/>
    </row>
    <row r="2590" spans="1:8" x14ac:dyDescent="0.25">
      <c r="A2590" s="1191"/>
      <c r="B2590" s="1192"/>
      <c r="C2590" s="1192"/>
      <c r="D2590" s="1192"/>
      <c r="E2590" s="1192"/>
      <c r="F2590" s="1191"/>
      <c r="G2590" s="1192"/>
      <c r="H2590" s="1192"/>
    </row>
    <row r="2591" spans="1:8" x14ac:dyDescent="0.25">
      <c r="A2591" s="673" t="s">
        <v>3</v>
      </c>
      <c r="B2591" s="1390" t="str">
        <f>+VLOOKUP(C2591,ListaAPUs!$B:$E,4,FALSE)</f>
        <v>4.2.14</v>
      </c>
      <c r="C2591" s="2449" t="str">
        <f>+ListaAPUs!B88</f>
        <v>INSTALACIÓN NIPLES EN HD D=200 MM A 350 MM L=1 A 2M</v>
      </c>
      <c r="D2591" s="2449"/>
      <c r="E2591" s="2449"/>
      <c r="F2591" s="673" t="s">
        <v>867</v>
      </c>
      <c r="G2591" s="222" t="s">
        <v>5424</v>
      </c>
      <c r="H2591" s="1192"/>
    </row>
    <row r="2592" spans="1:8" x14ac:dyDescent="0.25">
      <c r="A2592" s="1191"/>
      <c r="B2592" s="1192"/>
      <c r="C2592" s="1192"/>
      <c r="D2592" s="1192"/>
      <c r="E2592" s="1192"/>
      <c r="F2592" s="1191"/>
      <c r="G2592" s="1192"/>
      <c r="H2592" s="1192"/>
    </row>
    <row r="2593" spans="1:8" x14ac:dyDescent="0.25">
      <c r="A2593" s="1191"/>
      <c r="B2593" s="1192"/>
      <c r="C2593" s="1192"/>
      <c r="D2593" s="1192"/>
      <c r="E2593" s="1192"/>
      <c r="F2593" s="1191"/>
      <c r="G2593" s="1193"/>
      <c r="H2593" s="1192"/>
    </row>
    <row r="2594" spans="1:8" ht="15.75" thickBot="1" x14ac:dyDescent="0.3">
      <c r="A2594" s="1191"/>
      <c r="B2594" s="1192"/>
      <c r="C2594" s="1192"/>
      <c r="D2594" s="1192"/>
      <c r="E2594" s="1192"/>
      <c r="F2594" s="1191"/>
      <c r="G2594" s="1192"/>
      <c r="H2594" s="1192"/>
    </row>
    <row r="2595" spans="1:8" ht="15.75" thickBot="1" x14ac:dyDescent="0.3">
      <c r="A2595" s="1191"/>
      <c r="B2595" s="1428" t="s">
        <v>5403</v>
      </c>
      <c r="C2595" s="1429" t="s">
        <v>867</v>
      </c>
      <c r="D2595" s="1429" t="s">
        <v>6</v>
      </c>
      <c r="E2595" s="1430" t="s">
        <v>5404</v>
      </c>
      <c r="F2595" s="1429" t="s">
        <v>5405</v>
      </c>
      <c r="G2595" s="1431" t="s">
        <v>868</v>
      </c>
      <c r="H2595" s="1194"/>
    </row>
    <row r="2596" spans="1:8" x14ac:dyDescent="0.25">
      <c r="A2596" s="1191"/>
      <c r="B2596" s="757" t="s">
        <v>5455</v>
      </c>
      <c r="C2596" s="226" t="s">
        <v>7042</v>
      </c>
      <c r="D2596" s="1196">
        <v>1</v>
      </c>
      <c r="E2596" s="228">
        <f>+H2634</f>
        <v>60448.4</v>
      </c>
      <c r="F2596" s="1197">
        <v>0.2</v>
      </c>
      <c r="G2596" s="979">
        <f t="shared" ref="G2596:G2603" si="27">IF(B2596="","",PRODUCT(D2596:F2596))</f>
        <v>12089.68</v>
      </c>
      <c r="H2596" s="1194"/>
    </row>
    <row r="2597" spans="1:8" x14ac:dyDescent="0.25">
      <c r="A2597" s="1191"/>
      <c r="B2597" s="1303" t="s">
        <v>6869</v>
      </c>
      <c r="C2597" s="1198"/>
      <c r="D2597" s="1198"/>
      <c r="E2597" s="975">
        <f>+VLOOKUP(B2597,Insumos!$A$2:$C$331,3,FALSE)</f>
        <v>202536</v>
      </c>
      <c r="F2597" s="1198">
        <v>0.04</v>
      </c>
      <c r="G2597" s="979">
        <f t="shared" si="27"/>
        <v>8101.4400000000005</v>
      </c>
      <c r="H2597" s="1194"/>
    </row>
    <row r="2598" spans="1:8" x14ac:dyDescent="0.25">
      <c r="A2598" s="1191"/>
      <c r="B2598" s="763"/>
      <c r="C2598" s="1198" t="str">
        <f t="shared" ref="C2598:C2603" si="28">IF(B2598="","",VLOOKUP(B2598,INSUMOS,2,FALSE))</f>
        <v/>
      </c>
      <c r="D2598" s="1198"/>
      <c r="E2598" s="1181" t="str">
        <f t="shared" ref="E2598:E2603" si="29">IF(B2598="","",IF(C2598="%mo",$K$50,VLOOKUP(B2598,INSUMOS,3,FALSE)))</f>
        <v/>
      </c>
      <c r="F2598" s="1198"/>
      <c r="G2598" s="979" t="str">
        <f t="shared" si="27"/>
        <v/>
      </c>
      <c r="H2598" s="1194"/>
    </row>
    <row r="2599" spans="1:8" x14ac:dyDescent="0.25">
      <c r="A2599" s="1191"/>
      <c r="B2599" s="1199"/>
      <c r="C2599" s="1198" t="str">
        <f t="shared" si="28"/>
        <v/>
      </c>
      <c r="D2599" s="1200"/>
      <c r="E2599" s="1201" t="str">
        <f t="shared" si="29"/>
        <v/>
      </c>
      <c r="F2599" s="1198"/>
      <c r="G2599" s="979" t="str">
        <f t="shared" si="27"/>
        <v/>
      </c>
      <c r="H2599" s="1194"/>
    </row>
    <row r="2600" spans="1:8" x14ac:dyDescent="0.25">
      <c r="A2600" s="1191"/>
      <c r="B2600" s="1199"/>
      <c r="C2600" s="1198" t="str">
        <f t="shared" si="28"/>
        <v/>
      </c>
      <c r="D2600" s="1200"/>
      <c r="E2600" s="1201" t="str">
        <f t="shared" si="29"/>
        <v/>
      </c>
      <c r="F2600" s="1198"/>
      <c r="G2600" s="979" t="str">
        <f t="shared" si="27"/>
        <v/>
      </c>
      <c r="H2600" s="1194"/>
    </row>
    <row r="2601" spans="1:8" x14ac:dyDescent="0.25">
      <c r="A2601" s="1191"/>
      <c r="B2601" s="1199"/>
      <c r="C2601" s="1198" t="str">
        <f t="shared" si="28"/>
        <v/>
      </c>
      <c r="D2601" s="1200"/>
      <c r="E2601" s="1201" t="str">
        <f t="shared" si="29"/>
        <v/>
      </c>
      <c r="F2601" s="1198"/>
      <c r="G2601" s="979" t="str">
        <f t="shared" si="27"/>
        <v/>
      </c>
      <c r="H2601" s="1194"/>
    </row>
    <row r="2602" spans="1:8" ht="15.75" thickBot="1" x14ac:dyDescent="0.3">
      <c r="A2602" s="1191"/>
      <c r="B2602" s="1199"/>
      <c r="C2602" s="1198" t="str">
        <f t="shared" si="28"/>
        <v/>
      </c>
      <c r="D2602" s="1200"/>
      <c r="E2602" s="1201" t="str">
        <f t="shared" si="29"/>
        <v/>
      </c>
      <c r="F2602" s="1198"/>
      <c r="G2602" s="979" t="str">
        <f t="shared" si="27"/>
        <v/>
      </c>
      <c r="H2602" s="1194"/>
    </row>
    <row r="2603" spans="1:8" ht="15.75" thickBot="1" x14ac:dyDescent="0.3">
      <c r="A2603" s="1191"/>
      <c r="B2603" s="1202"/>
      <c r="C2603" s="1203" t="str">
        <f t="shared" si="28"/>
        <v/>
      </c>
      <c r="D2603" s="1204"/>
      <c r="E2603" s="1205" t="str">
        <f t="shared" si="29"/>
        <v/>
      </c>
      <c r="F2603" s="1203"/>
      <c r="G2603" s="979" t="str">
        <f t="shared" si="27"/>
        <v/>
      </c>
      <c r="H2603" s="1206">
        <f>+SUM(G2596:G2603)</f>
        <v>20191.120000000003</v>
      </c>
    </row>
    <row r="2604" spans="1:8" ht="15.75" thickBot="1" x14ac:dyDescent="0.3">
      <c r="A2604" s="1191"/>
      <c r="B2604" s="1207"/>
      <c r="C2604" s="1208"/>
      <c r="D2604" s="1207"/>
      <c r="E2604" s="1209"/>
      <c r="F2604" s="1208"/>
      <c r="G2604" s="1210"/>
      <c r="H2604" s="1211"/>
    </row>
    <row r="2605" spans="1:8" ht="15.75" thickBot="1" x14ac:dyDescent="0.3">
      <c r="A2605" s="1192"/>
      <c r="B2605" s="1428" t="s">
        <v>5408</v>
      </c>
      <c r="C2605" s="1429" t="s">
        <v>867</v>
      </c>
      <c r="D2605" s="1429" t="s">
        <v>6</v>
      </c>
      <c r="E2605" s="1430" t="s">
        <v>870</v>
      </c>
      <c r="F2605" s="1429" t="s">
        <v>7040</v>
      </c>
      <c r="G2605" s="1431" t="s">
        <v>868</v>
      </c>
      <c r="H2605" s="1194"/>
    </row>
    <row r="2606" spans="1:8" x14ac:dyDescent="0.25">
      <c r="A2606" s="1192"/>
      <c r="B2606" s="1212"/>
      <c r="C2606" s="1195" t="str">
        <f t="shared" ref="C2606:C2619" si="30">IF(B2606="","",VLOOKUP(B2606,INSUMOS,2,FALSE))</f>
        <v/>
      </c>
      <c r="D2606" s="1195"/>
      <c r="E2606" s="1180" t="str">
        <f t="shared" ref="E2606:E2619" si="31">IF(B2606="","",VLOOKUP(B2606,INSUMOS,3,FALSE))</f>
        <v/>
      </c>
      <c r="F2606" s="1195"/>
      <c r="G2606" s="979" t="str">
        <f t="shared" ref="G2606:G2619" si="32">IF(B2606="","",PRODUCT(D2606:F2606))</f>
        <v/>
      </c>
      <c r="H2606" s="1194"/>
    </row>
    <row r="2607" spans="1:8" x14ac:dyDescent="0.25">
      <c r="A2607" s="1192"/>
      <c r="B2607" s="1213"/>
      <c r="C2607" s="1198" t="str">
        <f t="shared" si="30"/>
        <v/>
      </c>
      <c r="D2607" s="1198"/>
      <c r="E2607" s="1181" t="str">
        <f t="shared" si="31"/>
        <v/>
      </c>
      <c r="F2607" s="1195"/>
      <c r="G2607" s="979" t="str">
        <f t="shared" si="32"/>
        <v/>
      </c>
      <c r="H2607" s="1194"/>
    </row>
    <row r="2608" spans="1:8" x14ac:dyDescent="0.25">
      <c r="A2608" s="1192"/>
      <c r="B2608" s="1213"/>
      <c r="C2608" s="1198" t="str">
        <f t="shared" si="30"/>
        <v/>
      </c>
      <c r="D2608" s="1198"/>
      <c r="E2608" s="1181" t="str">
        <f t="shared" si="31"/>
        <v/>
      </c>
      <c r="F2608" s="1195"/>
      <c r="G2608" s="979" t="str">
        <f t="shared" si="32"/>
        <v/>
      </c>
      <c r="H2608" s="1194"/>
    </row>
    <row r="2609" spans="1:8" x14ac:dyDescent="0.25">
      <c r="A2609" s="1192"/>
      <c r="B2609" s="1199"/>
      <c r="C2609" s="1198" t="str">
        <f t="shared" si="30"/>
        <v/>
      </c>
      <c r="D2609" s="1198"/>
      <c r="E2609" s="1180" t="str">
        <f t="shared" si="31"/>
        <v/>
      </c>
      <c r="F2609" s="1198"/>
      <c r="G2609" s="979" t="str">
        <f t="shared" si="32"/>
        <v/>
      </c>
      <c r="H2609" s="1194"/>
    </row>
    <row r="2610" spans="1:8" x14ac:dyDescent="0.25">
      <c r="A2610" s="1192"/>
      <c r="B2610" s="1199"/>
      <c r="C2610" s="1198" t="str">
        <f t="shared" si="30"/>
        <v/>
      </c>
      <c r="D2610" s="1198"/>
      <c r="E2610" s="1180" t="str">
        <f t="shared" si="31"/>
        <v/>
      </c>
      <c r="F2610" s="1198"/>
      <c r="G2610" s="979" t="str">
        <f t="shared" si="32"/>
        <v/>
      </c>
      <c r="H2610" s="1194"/>
    </row>
    <row r="2611" spans="1:8" x14ac:dyDescent="0.25">
      <c r="A2611" s="1192"/>
      <c r="B2611" s="1199"/>
      <c r="C2611" s="1198" t="str">
        <f t="shared" si="30"/>
        <v/>
      </c>
      <c r="D2611" s="1198"/>
      <c r="E2611" s="1180" t="str">
        <f t="shared" si="31"/>
        <v/>
      </c>
      <c r="F2611" s="1198"/>
      <c r="G2611" s="979" t="str">
        <f t="shared" si="32"/>
        <v/>
      </c>
      <c r="H2611" s="1194"/>
    </row>
    <row r="2612" spans="1:8" x14ac:dyDescent="0.25">
      <c r="A2612" s="1192"/>
      <c r="B2612" s="1199"/>
      <c r="C2612" s="1198" t="str">
        <f t="shared" si="30"/>
        <v/>
      </c>
      <c r="D2612" s="1198"/>
      <c r="E2612" s="1180" t="str">
        <f t="shared" si="31"/>
        <v/>
      </c>
      <c r="F2612" s="1198"/>
      <c r="G2612" s="979" t="str">
        <f t="shared" si="32"/>
        <v/>
      </c>
      <c r="H2612" s="1194"/>
    </row>
    <row r="2613" spans="1:8" x14ac:dyDescent="0.25">
      <c r="A2613" s="1192"/>
      <c r="B2613" s="1199"/>
      <c r="C2613" s="1198" t="str">
        <f t="shared" si="30"/>
        <v/>
      </c>
      <c r="D2613" s="1198"/>
      <c r="E2613" s="1180" t="str">
        <f t="shared" si="31"/>
        <v/>
      </c>
      <c r="F2613" s="1198"/>
      <c r="G2613" s="979" t="str">
        <f t="shared" si="32"/>
        <v/>
      </c>
      <c r="H2613" s="1194"/>
    </row>
    <row r="2614" spans="1:8" x14ac:dyDescent="0.25">
      <c r="A2614" s="1192"/>
      <c r="B2614" s="1199"/>
      <c r="C2614" s="1198" t="str">
        <f t="shared" si="30"/>
        <v/>
      </c>
      <c r="D2614" s="1198"/>
      <c r="E2614" s="1180" t="str">
        <f t="shared" si="31"/>
        <v/>
      </c>
      <c r="F2614" s="1198"/>
      <c r="G2614" s="979" t="str">
        <f t="shared" si="32"/>
        <v/>
      </c>
      <c r="H2614" s="1194"/>
    </row>
    <row r="2615" spans="1:8" x14ac:dyDescent="0.25">
      <c r="A2615" s="1192"/>
      <c r="B2615" s="1199"/>
      <c r="C2615" s="1198" t="str">
        <f t="shared" si="30"/>
        <v/>
      </c>
      <c r="D2615" s="1198"/>
      <c r="E2615" s="1180" t="str">
        <f t="shared" si="31"/>
        <v/>
      </c>
      <c r="F2615" s="1198"/>
      <c r="G2615" s="979" t="str">
        <f t="shared" si="32"/>
        <v/>
      </c>
      <c r="H2615" s="1194"/>
    </row>
    <row r="2616" spans="1:8" x14ac:dyDescent="0.25">
      <c r="A2616" s="1192"/>
      <c r="B2616" s="1199"/>
      <c r="C2616" s="1198" t="str">
        <f t="shared" si="30"/>
        <v/>
      </c>
      <c r="D2616" s="1198"/>
      <c r="E2616" s="1180" t="str">
        <f t="shared" si="31"/>
        <v/>
      </c>
      <c r="F2616" s="1198"/>
      <c r="G2616" s="979" t="str">
        <f t="shared" si="32"/>
        <v/>
      </c>
      <c r="H2616" s="1194"/>
    </row>
    <row r="2617" spans="1:8" x14ac:dyDescent="0.25">
      <c r="A2617" s="1192"/>
      <c r="B2617" s="1199"/>
      <c r="C2617" s="1200" t="str">
        <f t="shared" si="30"/>
        <v/>
      </c>
      <c r="D2617" s="1200"/>
      <c r="E2617" s="1201" t="str">
        <f t="shared" si="31"/>
        <v/>
      </c>
      <c r="F2617" s="1198"/>
      <c r="G2617" s="979" t="str">
        <f t="shared" si="32"/>
        <v/>
      </c>
      <c r="H2617" s="1194"/>
    </row>
    <row r="2618" spans="1:8" ht="15.75" thickBot="1" x14ac:dyDescent="0.3">
      <c r="A2618" s="1192"/>
      <c r="B2618" s="1199"/>
      <c r="C2618" s="1200" t="str">
        <f t="shared" si="30"/>
        <v/>
      </c>
      <c r="D2618" s="1200"/>
      <c r="E2618" s="1201" t="str">
        <f t="shared" si="31"/>
        <v/>
      </c>
      <c r="F2618" s="1198"/>
      <c r="G2618" s="979" t="str">
        <f t="shared" si="32"/>
        <v/>
      </c>
      <c r="H2618" s="1194"/>
    </row>
    <row r="2619" spans="1:8" ht="15.75" thickBot="1" x14ac:dyDescent="0.3">
      <c r="A2619" s="1192"/>
      <c r="B2619" s="1202"/>
      <c r="C2619" s="1204" t="str">
        <f t="shared" si="30"/>
        <v/>
      </c>
      <c r="D2619" s="1204"/>
      <c r="E2619" s="1205" t="str">
        <f t="shared" si="31"/>
        <v/>
      </c>
      <c r="F2619" s="1203"/>
      <c r="G2619" s="979" t="str">
        <f t="shared" si="32"/>
        <v/>
      </c>
      <c r="H2619" s="1206">
        <f>+SUM(G2606:G2619)</f>
        <v>0</v>
      </c>
    </row>
    <row r="2620" spans="1:8" ht="15.75" thickBot="1" x14ac:dyDescent="0.3">
      <c r="A2620" s="1192"/>
      <c r="B2620" s="1207"/>
      <c r="C2620" s="1207"/>
      <c r="D2620" s="1207"/>
      <c r="E2620" s="1209"/>
      <c r="F2620" s="1208"/>
      <c r="G2620" s="1210"/>
      <c r="H2620" s="1211"/>
    </row>
    <row r="2621" spans="1:8" ht="15.75" thickBot="1" x14ac:dyDescent="0.3">
      <c r="A2621" s="1192"/>
      <c r="B2621" s="1428" t="s">
        <v>5410</v>
      </c>
      <c r="C2621" s="1429" t="s">
        <v>867</v>
      </c>
      <c r="D2621" s="1429" t="s">
        <v>6</v>
      </c>
      <c r="E2621" s="1430" t="s">
        <v>870</v>
      </c>
      <c r="F2621" s="1429" t="s">
        <v>5411</v>
      </c>
      <c r="G2621" s="1431" t="s">
        <v>868</v>
      </c>
      <c r="H2621" s="1194"/>
    </row>
    <row r="2622" spans="1:8" x14ac:dyDescent="0.25">
      <c r="A2622" s="1192"/>
      <c r="B2622" s="1212"/>
      <c r="C2622" s="1195" t="str">
        <f>IF(B2622="","",VLOOKUP(B2622,INSUMOS,2,FALSE))</f>
        <v/>
      </c>
      <c r="D2622" s="1195"/>
      <c r="E2622" s="1180" t="str">
        <f>IF(B2622="","",VLOOKUP(B2622,INSUMOS,3,FALSE))</f>
        <v/>
      </c>
      <c r="F2622" s="1195"/>
      <c r="G2622" s="979" t="str">
        <f>IF(B2622="","",PRODUCT(D2622:F2622))</f>
        <v/>
      </c>
      <c r="H2622" s="1194"/>
    </row>
    <row r="2623" spans="1:8" x14ac:dyDescent="0.25">
      <c r="A2623" s="1192"/>
      <c r="B2623" s="1213"/>
      <c r="C2623" s="1198" t="str">
        <f>IF(B2623="","",VLOOKUP(B2623,INSUMOS,2,FALSE))</f>
        <v/>
      </c>
      <c r="D2623" s="1198"/>
      <c r="E2623" s="1181" t="str">
        <f>IF(B2623="","",VLOOKUP(B2623,INSUMOS,3,FALSE))</f>
        <v/>
      </c>
      <c r="F2623" s="1198"/>
      <c r="G2623" s="979" t="str">
        <f>IF(B2623="","",PRODUCT(D2623:F2623))</f>
        <v/>
      </c>
      <c r="H2623" s="1194"/>
    </row>
    <row r="2624" spans="1:8" x14ac:dyDescent="0.25">
      <c r="A2624" s="1192"/>
      <c r="B2624" s="1213"/>
      <c r="C2624" s="1198" t="str">
        <f>IF(B2624="","",VLOOKUP(B2624,INSUMOS,2,FALSE))</f>
        <v/>
      </c>
      <c r="D2624" s="1198"/>
      <c r="E2624" s="1180" t="str">
        <f>IF(B2624="","",VLOOKUP(B2624,INSUMOS,3,FALSE))</f>
        <v/>
      </c>
      <c r="F2624" s="1198"/>
      <c r="G2624" s="979" t="str">
        <f>IF(B2624="","",PRODUCT(D2624:F2624))</f>
        <v/>
      </c>
      <c r="H2624" s="1194"/>
    </row>
    <row r="2625" spans="1:8" ht="15.75" thickBot="1" x14ac:dyDescent="0.3">
      <c r="A2625" s="1192"/>
      <c r="B2625" s="1199"/>
      <c r="C2625" s="1198" t="str">
        <f>IF(B2625="","",VLOOKUP(B2625,INSUMOS,2,FALSE))</f>
        <v/>
      </c>
      <c r="D2625" s="1198"/>
      <c r="E2625" s="1180" t="str">
        <f>IF(B2625="","",VLOOKUP(B2625,INSUMOS,3,FALSE))</f>
        <v/>
      </c>
      <c r="F2625" s="1198"/>
      <c r="G2625" s="979" t="str">
        <f>IF(B2625="","",PRODUCT(D2625:F2625))</f>
        <v/>
      </c>
      <c r="H2625" s="1194"/>
    </row>
    <row r="2626" spans="1:8" ht="15.75" thickBot="1" x14ac:dyDescent="0.3">
      <c r="A2626" s="1192"/>
      <c r="B2626" s="1202"/>
      <c r="C2626" s="1204" t="str">
        <f>IF(B2626="","",VLOOKUP(B2626,INSUMOS,2,FALSE))</f>
        <v/>
      </c>
      <c r="D2626" s="1204"/>
      <c r="E2626" s="1205" t="str">
        <f>IF(B2626="","",VLOOKUP(B2626,INSUMOS,3,FALSE))</f>
        <v/>
      </c>
      <c r="F2626" s="1203"/>
      <c r="G2626" s="979" t="str">
        <f>IF(B2626="","",PRODUCT(D2626:F2626))</f>
        <v/>
      </c>
      <c r="H2626" s="1206">
        <f>+SUM(G2622:G2626)</f>
        <v>0</v>
      </c>
    </row>
    <row r="2627" spans="1:8" ht="15.75" thickBot="1" x14ac:dyDescent="0.3">
      <c r="A2627" s="1192"/>
      <c r="B2627" s="1207"/>
      <c r="C2627" s="1207"/>
      <c r="D2627" s="1207"/>
      <c r="E2627" s="1209"/>
      <c r="F2627" s="1214"/>
      <c r="G2627" s="1215"/>
      <c r="H2627" s="1211"/>
    </row>
    <row r="2628" spans="1:8" ht="15.75" thickBot="1" x14ac:dyDescent="0.3">
      <c r="A2628" s="1192"/>
      <c r="B2628" s="1428" t="s">
        <v>5412</v>
      </c>
      <c r="C2628" s="1429" t="s">
        <v>5420</v>
      </c>
      <c r="D2628" s="1429" t="s">
        <v>5421</v>
      </c>
      <c r="E2628" s="1430" t="s">
        <v>5413</v>
      </c>
      <c r="F2628" s="1429" t="s">
        <v>5405</v>
      </c>
      <c r="G2628" s="1431" t="s">
        <v>868</v>
      </c>
      <c r="H2628" s="1194"/>
    </row>
    <row r="2629" spans="1:8" x14ac:dyDescent="0.25">
      <c r="A2629" s="1192"/>
      <c r="B2629" s="194" t="s">
        <v>6523</v>
      </c>
      <c r="C2629" s="345">
        <f>+VLOOKUP($B2629,'Mano de obra'!$A$5:$D$26,2,FALSE)</f>
        <v>57454</v>
      </c>
      <c r="D2629" s="345">
        <f>+VLOOKUP($B2629,'Mano de obra'!$A$5:$D$26,3,FALSE)</f>
        <v>35656</v>
      </c>
      <c r="E2629" s="345">
        <f>+VLOOKUP($B2629,'Mano de obra'!$A$5:$D$26,4,FALSE)</f>
        <v>93110</v>
      </c>
      <c r="F2629" s="1197">
        <v>20</v>
      </c>
      <c r="G2629" s="979">
        <f>IF(B2629="","",E2629/F2629)</f>
        <v>4655.5</v>
      </c>
      <c r="H2629" s="1194"/>
    </row>
    <row r="2630" spans="1:8" x14ac:dyDescent="0.25">
      <c r="A2630" s="1192"/>
      <c r="B2630" s="194" t="s">
        <v>6524</v>
      </c>
      <c r="C2630" s="345">
        <f>+VLOOKUP($B2630,'Mano de obra'!$A$5:$D$26,2,FALSE)</f>
        <v>44263.8</v>
      </c>
      <c r="D2630" s="345">
        <f>+VLOOKUP($B2630,'Mano de obra'!$A$5:$D$26,3,FALSE)</f>
        <v>27470</v>
      </c>
      <c r="E2630" s="345">
        <f>+VLOOKUP($B2630,'Mano de obra'!$A$5:$D$26,4,FALSE)</f>
        <v>71733.8</v>
      </c>
      <c r="F2630" s="1195">
        <v>2</v>
      </c>
      <c r="G2630" s="979">
        <f>IF(B2630="","",E2630/F2630)</f>
        <v>35866.9</v>
      </c>
      <c r="H2630" s="1194"/>
    </row>
    <row r="2631" spans="1:8" x14ac:dyDescent="0.25">
      <c r="A2631" s="1192"/>
      <c r="B2631" s="195" t="s">
        <v>6525</v>
      </c>
      <c r="C2631" s="345">
        <f>+VLOOKUP($B2631,'Mano de obra'!$A$5:$D$26,2,FALSE)</f>
        <v>24591</v>
      </c>
      <c r="D2631" s="345">
        <f>+VLOOKUP($B2631,'Mano de obra'!$A$5:$D$26,3,FALSE)</f>
        <v>15261</v>
      </c>
      <c r="E2631" s="345">
        <f>+VLOOKUP($B2631,'Mano de obra'!$A$5:$D$26,4,FALSE)</f>
        <v>39852</v>
      </c>
      <c r="F2631" s="1198">
        <v>2</v>
      </c>
      <c r="G2631" s="979">
        <f>IF(B2631="","",E2631/F2631)</f>
        <v>19926</v>
      </c>
      <c r="H2631" s="1194"/>
    </row>
    <row r="2632" spans="1:8" x14ac:dyDescent="0.25">
      <c r="A2632" s="1192"/>
      <c r="B2632" s="1199"/>
      <c r="C2632" s="1216"/>
      <c r="D2632" s="1201"/>
      <c r="E2632" s="1201"/>
      <c r="F2632" s="1198"/>
      <c r="G2632" s="1217"/>
      <c r="H2632" s="1194"/>
    </row>
    <row r="2633" spans="1:8" ht="15.75" thickBot="1" x14ac:dyDescent="0.3">
      <c r="A2633" s="1192"/>
      <c r="B2633" s="1199"/>
      <c r="C2633" s="1201"/>
      <c r="D2633" s="1201"/>
      <c r="E2633" s="1201"/>
      <c r="F2633" s="1198"/>
      <c r="G2633" s="1217"/>
      <c r="H2633" s="1194"/>
    </row>
    <row r="2634" spans="1:8" ht="15.75" thickBot="1" x14ac:dyDescent="0.3">
      <c r="A2634" s="1192"/>
      <c r="B2634" s="1218"/>
      <c r="C2634" s="1219"/>
      <c r="D2634" s="1219"/>
      <c r="E2634" s="1219"/>
      <c r="F2634" s="1220"/>
      <c r="G2634" s="1221"/>
      <c r="H2634" s="1206">
        <f>+SUM(G2629:G2634)</f>
        <v>60448.4</v>
      </c>
    </row>
    <row r="2635" spans="1:8" ht="15.75" thickBot="1" x14ac:dyDescent="0.3">
      <c r="A2635" s="1192"/>
      <c r="B2635" s="1192"/>
      <c r="C2635" s="1192"/>
      <c r="D2635" s="1192"/>
      <c r="E2635" s="1192"/>
      <c r="F2635" s="1191"/>
      <c r="G2635" s="1192"/>
      <c r="H2635" s="1192"/>
    </row>
    <row r="2636" spans="1:8" ht="15.75" thickBot="1" x14ac:dyDescent="0.3">
      <c r="A2636" s="1192"/>
      <c r="B2636" s="1192"/>
      <c r="C2636" s="1192"/>
      <c r="D2636" s="1192"/>
      <c r="E2636" s="1222" t="s">
        <v>5415</v>
      </c>
      <c r="F2636" s="1191"/>
      <c r="G2636" s="1192"/>
      <c r="H2636" s="1223">
        <f>ROUND(+H2603+H2619+H2626+H2634,0)</f>
        <v>80640</v>
      </c>
    </row>
    <row r="2637" spans="1:8" x14ac:dyDescent="0.25">
      <c r="A2637" s="1191"/>
      <c r="B2637" s="1192"/>
      <c r="C2637" s="1192"/>
      <c r="D2637" s="1192"/>
      <c r="E2637" s="1192"/>
      <c r="F2637" s="1191"/>
      <c r="G2637" s="1192"/>
      <c r="H2637" s="1192"/>
    </row>
    <row r="2638" spans="1:8" x14ac:dyDescent="0.25">
      <c r="A2638" s="1191"/>
      <c r="B2638" s="1192"/>
      <c r="C2638" s="1192"/>
      <c r="D2638" s="1192"/>
      <c r="E2638" s="1192"/>
      <c r="F2638" s="1191"/>
      <c r="G2638" s="1192"/>
      <c r="H2638" s="1192"/>
    </row>
    <row r="2639" spans="1:8" x14ac:dyDescent="0.25">
      <c r="A2639" s="673" t="s">
        <v>3</v>
      </c>
      <c r="B2639" s="1390" t="str">
        <f>+VLOOKUP(C2639,ListaAPUs!$B:$E,4,FALSE)</f>
        <v>4.2.15</v>
      </c>
      <c r="C2639" s="2449" t="str">
        <f>+ListaAPUs!B89</f>
        <v>INSTALACIÓN NIPLES EN HD D=200 MM A 350 MM L=2 A 3M</v>
      </c>
      <c r="D2639" s="2449"/>
      <c r="E2639" s="2449"/>
      <c r="F2639" s="673" t="s">
        <v>867</v>
      </c>
      <c r="G2639" s="222" t="s">
        <v>5424</v>
      </c>
      <c r="H2639" s="1192"/>
    </row>
    <row r="2640" spans="1:8" x14ac:dyDescent="0.25">
      <c r="A2640" s="1191"/>
      <c r="B2640" s="1192"/>
      <c r="C2640" s="1192"/>
      <c r="D2640" s="1192"/>
      <c r="E2640" s="1192"/>
      <c r="F2640" s="1191"/>
      <c r="G2640" s="1192"/>
      <c r="H2640" s="1192"/>
    </row>
    <row r="2641" spans="1:8" x14ac:dyDescent="0.25">
      <c r="A2641" s="1191"/>
      <c r="B2641" s="1192"/>
      <c r="C2641" s="1192"/>
      <c r="D2641" s="1192"/>
      <c r="E2641" s="1192"/>
      <c r="F2641" s="1191"/>
      <c r="G2641" s="1193"/>
      <c r="H2641" s="1192"/>
    </row>
    <row r="2642" spans="1:8" ht="15.75" thickBot="1" x14ac:dyDescent="0.3">
      <c r="A2642" s="1191"/>
      <c r="B2642" s="1192"/>
      <c r="C2642" s="1192"/>
      <c r="D2642" s="1192"/>
      <c r="E2642" s="1192"/>
      <c r="F2642" s="1191"/>
      <c r="G2642" s="1192"/>
      <c r="H2642" s="1192"/>
    </row>
    <row r="2643" spans="1:8" ht="15.75" thickBot="1" x14ac:dyDescent="0.3">
      <c r="A2643" s="1191"/>
      <c r="B2643" s="1428" t="s">
        <v>5403</v>
      </c>
      <c r="C2643" s="1429" t="s">
        <v>867</v>
      </c>
      <c r="D2643" s="1429" t="s">
        <v>6</v>
      </c>
      <c r="E2643" s="1430" t="s">
        <v>5404</v>
      </c>
      <c r="F2643" s="1429" t="s">
        <v>5405</v>
      </c>
      <c r="G2643" s="1431" t="s">
        <v>868</v>
      </c>
      <c r="H2643" s="1194"/>
    </row>
    <row r="2644" spans="1:8" x14ac:dyDescent="0.25">
      <c r="A2644" s="1191"/>
      <c r="B2644" s="1199" t="s">
        <v>5455</v>
      </c>
      <c r="C2644" s="226" t="s">
        <v>7042</v>
      </c>
      <c r="D2644" s="1196">
        <v>1</v>
      </c>
      <c r="E2644" s="228">
        <f>+H2682</f>
        <v>66647.611111111109</v>
      </c>
      <c r="F2644" s="1197">
        <v>0.2</v>
      </c>
      <c r="G2644" s="979">
        <f>IF(B2644="","",PRODUCT(D2644:F2644))</f>
        <v>13329.522222222222</v>
      </c>
      <c r="H2644" s="1194"/>
    </row>
    <row r="2645" spans="1:8" x14ac:dyDescent="0.25">
      <c r="A2645" s="1191"/>
      <c r="B2645" s="1303" t="s">
        <v>6869</v>
      </c>
      <c r="C2645" s="1198"/>
      <c r="D2645" s="1198"/>
      <c r="E2645" s="975">
        <f>+VLOOKUP(B2645,Insumos!$A$2:$C$331,3,FALSE)</f>
        <v>202536</v>
      </c>
      <c r="F2645" s="1198">
        <v>0.05</v>
      </c>
      <c r="G2645" s="979">
        <f>IF(B2645="","",PRODUCT(D2645:F2645))</f>
        <v>10126.800000000001</v>
      </c>
      <c r="H2645" s="1194"/>
    </row>
    <row r="2646" spans="1:8" x14ac:dyDescent="0.25">
      <c r="A2646" s="1191"/>
      <c r="B2646" s="763"/>
      <c r="C2646" s="1198"/>
      <c r="D2646" s="1198"/>
      <c r="E2646" s="1181"/>
      <c r="F2646" s="1198"/>
      <c r="G2646" s="979"/>
      <c r="H2646" s="1194"/>
    </row>
    <row r="2647" spans="1:8" x14ac:dyDescent="0.25">
      <c r="A2647" s="1191"/>
      <c r="B2647" s="1199"/>
      <c r="C2647" s="1198"/>
      <c r="D2647" s="1200"/>
      <c r="E2647" s="1201"/>
      <c r="F2647" s="1198"/>
      <c r="G2647" s="979"/>
      <c r="H2647" s="1194"/>
    </row>
    <row r="2648" spans="1:8" x14ac:dyDescent="0.25">
      <c r="A2648" s="1191"/>
      <c r="B2648" s="1199"/>
      <c r="C2648" s="1198"/>
      <c r="D2648" s="1200"/>
      <c r="E2648" s="1201"/>
      <c r="F2648" s="1198"/>
      <c r="G2648" s="979"/>
      <c r="H2648" s="1194"/>
    </row>
    <row r="2649" spans="1:8" x14ac:dyDescent="0.25">
      <c r="A2649" s="1191"/>
      <c r="B2649" s="1199"/>
      <c r="C2649" s="1198"/>
      <c r="D2649" s="1200"/>
      <c r="E2649" s="1201"/>
      <c r="F2649" s="1198"/>
      <c r="G2649" s="979"/>
      <c r="H2649" s="1194"/>
    </row>
    <row r="2650" spans="1:8" ht="15.75" thickBot="1" x14ac:dyDescent="0.3">
      <c r="A2650" s="1191"/>
      <c r="B2650" s="1199"/>
      <c r="C2650" s="1198"/>
      <c r="D2650" s="1200"/>
      <c r="E2650" s="1201"/>
      <c r="F2650" s="1198"/>
      <c r="G2650" s="979"/>
      <c r="H2650" s="1194"/>
    </row>
    <row r="2651" spans="1:8" ht="15.75" thickBot="1" x14ac:dyDescent="0.3">
      <c r="A2651" s="1191"/>
      <c r="B2651" s="1202"/>
      <c r="C2651" s="1203"/>
      <c r="D2651" s="1204"/>
      <c r="E2651" s="1205"/>
      <c r="F2651" s="1203"/>
      <c r="G2651" s="979"/>
      <c r="H2651" s="1206">
        <f>+SUM(G2644:G2651)</f>
        <v>23456.322222222225</v>
      </c>
    </row>
    <row r="2652" spans="1:8" ht="15.75" thickBot="1" x14ac:dyDescent="0.3">
      <c r="A2652" s="1191"/>
      <c r="B2652" s="1207"/>
      <c r="C2652" s="1208"/>
      <c r="D2652" s="1207"/>
      <c r="E2652" s="1209"/>
      <c r="F2652" s="1208"/>
      <c r="G2652" s="1210"/>
      <c r="H2652" s="1211"/>
    </row>
    <row r="2653" spans="1:8" ht="15.75" thickBot="1" x14ac:dyDescent="0.3">
      <c r="A2653" s="1192"/>
      <c r="B2653" s="1428" t="s">
        <v>5408</v>
      </c>
      <c r="C2653" s="1429" t="s">
        <v>867</v>
      </c>
      <c r="D2653" s="1429" t="s">
        <v>6</v>
      </c>
      <c r="E2653" s="1430" t="s">
        <v>870</v>
      </c>
      <c r="F2653" s="1429" t="s">
        <v>7040</v>
      </c>
      <c r="G2653" s="1431" t="s">
        <v>868</v>
      </c>
      <c r="H2653" s="1194"/>
    </row>
    <row r="2654" spans="1:8" x14ac:dyDescent="0.25">
      <c r="A2654" s="1192"/>
      <c r="B2654" s="1212"/>
      <c r="C2654" s="1195" t="str">
        <f t="shared" ref="C2654:C2667" si="33">IF(B2654="","",VLOOKUP(B2654,INSUMOS,2,FALSE))</f>
        <v/>
      </c>
      <c r="D2654" s="1195"/>
      <c r="E2654" s="1180"/>
      <c r="F2654" s="1195"/>
      <c r="G2654" s="979"/>
      <c r="H2654" s="1194"/>
    </row>
    <row r="2655" spans="1:8" x14ac:dyDescent="0.25">
      <c r="A2655" s="1192"/>
      <c r="B2655" s="1213"/>
      <c r="C2655" s="1198" t="str">
        <f t="shared" si="33"/>
        <v/>
      </c>
      <c r="D2655" s="1198"/>
      <c r="E2655" s="1181"/>
      <c r="F2655" s="1195"/>
      <c r="G2655" s="979"/>
      <c r="H2655" s="1194"/>
    </row>
    <row r="2656" spans="1:8" x14ac:dyDescent="0.25">
      <c r="A2656" s="1192"/>
      <c r="B2656" s="1213"/>
      <c r="C2656" s="1198" t="str">
        <f t="shared" si="33"/>
        <v/>
      </c>
      <c r="D2656" s="1198"/>
      <c r="E2656" s="1181"/>
      <c r="F2656" s="1195"/>
      <c r="G2656" s="979"/>
      <c r="H2656" s="1194"/>
    </row>
    <row r="2657" spans="1:8" x14ac:dyDescent="0.25">
      <c r="A2657" s="1192"/>
      <c r="B2657" s="1199"/>
      <c r="C2657" s="1198" t="str">
        <f t="shared" si="33"/>
        <v/>
      </c>
      <c r="D2657" s="1198"/>
      <c r="E2657" s="1180"/>
      <c r="F2657" s="1198"/>
      <c r="G2657" s="979"/>
      <c r="H2657" s="1194"/>
    </row>
    <row r="2658" spans="1:8" x14ac:dyDescent="0.25">
      <c r="A2658" s="1192"/>
      <c r="B2658" s="1199"/>
      <c r="C2658" s="1198" t="str">
        <f t="shared" si="33"/>
        <v/>
      </c>
      <c r="D2658" s="1198"/>
      <c r="E2658" s="1180"/>
      <c r="F2658" s="1198"/>
      <c r="G2658" s="979"/>
      <c r="H2658" s="1194"/>
    </row>
    <row r="2659" spans="1:8" x14ac:dyDescent="0.25">
      <c r="A2659" s="1192"/>
      <c r="B2659" s="1199"/>
      <c r="C2659" s="1198" t="str">
        <f t="shared" si="33"/>
        <v/>
      </c>
      <c r="D2659" s="1198"/>
      <c r="E2659" s="1180"/>
      <c r="F2659" s="1198"/>
      <c r="G2659" s="979"/>
      <c r="H2659" s="1194"/>
    </row>
    <row r="2660" spans="1:8" x14ac:dyDescent="0.25">
      <c r="A2660" s="1192"/>
      <c r="B2660" s="1199"/>
      <c r="C2660" s="1198" t="str">
        <f t="shared" si="33"/>
        <v/>
      </c>
      <c r="D2660" s="1198"/>
      <c r="E2660" s="1180"/>
      <c r="F2660" s="1198"/>
      <c r="G2660" s="979"/>
      <c r="H2660" s="1194"/>
    </row>
    <row r="2661" spans="1:8" x14ac:dyDescent="0.25">
      <c r="A2661" s="1192"/>
      <c r="B2661" s="1199"/>
      <c r="C2661" s="1198" t="str">
        <f t="shared" si="33"/>
        <v/>
      </c>
      <c r="D2661" s="1198"/>
      <c r="E2661" s="1180"/>
      <c r="F2661" s="1198"/>
      <c r="G2661" s="979"/>
      <c r="H2661" s="1194"/>
    </row>
    <row r="2662" spans="1:8" x14ac:dyDescent="0.25">
      <c r="A2662" s="1192"/>
      <c r="B2662" s="1199"/>
      <c r="C2662" s="1198" t="str">
        <f t="shared" si="33"/>
        <v/>
      </c>
      <c r="D2662" s="1198"/>
      <c r="E2662" s="1180"/>
      <c r="F2662" s="1198"/>
      <c r="G2662" s="979"/>
      <c r="H2662" s="1194"/>
    </row>
    <row r="2663" spans="1:8" x14ac:dyDescent="0.25">
      <c r="A2663" s="1192"/>
      <c r="B2663" s="1199"/>
      <c r="C2663" s="1198" t="str">
        <f t="shared" si="33"/>
        <v/>
      </c>
      <c r="D2663" s="1198"/>
      <c r="E2663" s="1180"/>
      <c r="F2663" s="1198"/>
      <c r="G2663" s="979"/>
      <c r="H2663" s="1194"/>
    </row>
    <row r="2664" spans="1:8" x14ac:dyDescent="0.25">
      <c r="A2664" s="1192"/>
      <c r="B2664" s="1199"/>
      <c r="C2664" s="1198" t="str">
        <f t="shared" si="33"/>
        <v/>
      </c>
      <c r="D2664" s="1198"/>
      <c r="E2664" s="1180"/>
      <c r="F2664" s="1198"/>
      <c r="G2664" s="979"/>
      <c r="H2664" s="1194"/>
    </row>
    <row r="2665" spans="1:8" x14ac:dyDescent="0.25">
      <c r="A2665" s="1192"/>
      <c r="B2665" s="1199"/>
      <c r="C2665" s="1200" t="str">
        <f t="shared" si="33"/>
        <v/>
      </c>
      <c r="D2665" s="1200"/>
      <c r="E2665" s="1201"/>
      <c r="F2665" s="1198"/>
      <c r="G2665" s="979"/>
      <c r="H2665" s="1194"/>
    </row>
    <row r="2666" spans="1:8" ht="15.75" thickBot="1" x14ac:dyDescent="0.3">
      <c r="A2666" s="1192"/>
      <c r="B2666" s="1199"/>
      <c r="C2666" s="1200" t="str">
        <f t="shared" si="33"/>
        <v/>
      </c>
      <c r="D2666" s="1200"/>
      <c r="E2666" s="1201"/>
      <c r="F2666" s="1198"/>
      <c r="G2666" s="979"/>
      <c r="H2666" s="1194"/>
    </row>
    <row r="2667" spans="1:8" ht="15.75" thickBot="1" x14ac:dyDescent="0.3">
      <c r="A2667" s="1192"/>
      <c r="B2667" s="1202"/>
      <c r="C2667" s="1204" t="str">
        <f t="shared" si="33"/>
        <v/>
      </c>
      <c r="D2667" s="1204"/>
      <c r="E2667" s="1205"/>
      <c r="F2667" s="1203"/>
      <c r="G2667" s="979"/>
      <c r="H2667" s="1206">
        <f>+SUM(G2654:G2667)</f>
        <v>0</v>
      </c>
    </row>
    <row r="2668" spans="1:8" ht="15.75" thickBot="1" x14ac:dyDescent="0.3">
      <c r="A2668" s="1192"/>
      <c r="B2668" s="1207"/>
      <c r="C2668" s="1207"/>
      <c r="D2668" s="1207"/>
      <c r="E2668" s="1209"/>
      <c r="F2668" s="1208"/>
      <c r="G2668" s="1210"/>
      <c r="H2668" s="1211"/>
    </row>
    <row r="2669" spans="1:8" ht="15.75" thickBot="1" x14ac:dyDescent="0.3">
      <c r="A2669" s="1192"/>
      <c r="B2669" s="1428" t="s">
        <v>5410</v>
      </c>
      <c r="C2669" s="1429" t="s">
        <v>867</v>
      </c>
      <c r="D2669" s="1429" t="s">
        <v>6</v>
      </c>
      <c r="E2669" s="1430" t="s">
        <v>870</v>
      </c>
      <c r="F2669" s="1429" t="s">
        <v>5411</v>
      </c>
      <c r="G2669" s="1431" t="s">
        <v>868</v>
      </c>
      <c r="H2669" s="1194"/>
    </row>
    <row r="2670" spans="1:8" x14ac:dyDescent="0.25">
      <c r="A2670" s="1192"/>
      <c r="B2670" s="1212"/>
      <c r="C2670" s="1195"/>
      <c r="D2670" s="1195"/>
      <c r="E2670" s="1180"/>
      <c r="F2670" s="1195"/>
      <c r="G2670" s="979"/>
      <c r="H2670" s="1194"/>
    </row>
    <row r="2671" spans="1:8" x14ac:dyDescent="0.25">
      <c r="A2671" s="1192"/>
      <c r="B2671" s="1213"/>
      <c r="C2671" s="1198"/>
      <c r="D2671" s="1198"/>
      <c r="E2671" s="1181"/>
      <c r="F2671" s="1198"/>
      <c r="G2671" s="979"/>
      <c r="H2671" s="1194"/>
    </row>
    <row r="2672" spans="1:8" x14ac:dyDescent="0.25">
      <c r="A2672" s="1192"/>
      <c r="B2672" s="1213"/>
      <c r="C2672" s="1198"/>
      <c r="D2672" s="1198"/>
      <c r="E2672" s="1180"/>
      <c r="F2672" s="1198"/>
      <c r="G2672" s="979"/>
      <c r="H2672" s="1194"/>
    </row>
    <row r="2673" spans="1:8" ht="15.75" thickBot="1" x14ac:dyDescent="0.3">
      <c r="A2673" s="1192"/>
      <c r="B2673" s="1199"/>
      <c r="C2673" s="1198"/>
      <c r="D2673" s="1198"/>
      <c r="E2673" s="1180"/>
      <c r="F2673" s="1198"/>
      <c r="G2673" s="979"/>
      <c r="H2673" s="1194"/>
    </row>
    <row r="2674" spans="1:8" ht="15.75" thickBot="1" x14ac:dyDescent="0.3">
      <c r="A2674" s="1192"/>
      <c r="B2674" s="1202"/>
      <c r="C2674" s="1204"/>
      <c r="D2674" s="1204"/>
      <c r="E2674" s="1205"/>
      <c r="F2674" s="1203"/>
      <c r="G2674" s="979"/>
      <c r="H2674" s="1206">
        <f>+SUM(G2670:G2674)</f>
        <v>0</v>
      </c>
    </row>
    <row r="2675" spans="1:8" ht="15.75" thickBot="1" x14ac:dyDescent="0.3">
      <c r="A2675" s="1192"/>
      <c r="B2675" s="1207"/>
      <c r="C2675" s="1207"/>
      <c r="D2675" s="1207"/>
      <c r="E2675" s="1209"/>
      <c r="F2675" s="1214"/>
      <c r="G2675" s="1215"/>
      <c r="H2675" s="1211"/>
    </row>
    <row r="2676" spans="1:8" ht="15.75" thickBot="1" x14ac:dyDescent="0.3">
      <c r="A2676" s="1192"/>
      <c r="B2676" s="1428" t="s">
        <v>5412</v>
      </c>
      <c r="C2676" s="1429" t="s">
        <v>5420</v>
      </c>
      <c r="D2676" s="1429" t="s">
        <v>5421</v>
      </c>
      <c r="E2676" s="1430" t="s">
        <v>5413</v>
      </c>
      <c r="F2676" s="1429" t="s">
        <v>5405</v>
      </c>
      <c r="G2676" s="1431" t="s">
        <v>868</v>
      </c>
      <c r="H2676" s="1194"/>
    </row>
    <row r="2677" spans="1:8" x14ac:dyDescent="0.25">
      <c r="A2677" s="1192"/>
      <c r="B2677" s="194" t="s">
        <v>6523</v>
      </c>
      <c r="C2677" s="345">
        <f>+VLOOKUP($B2677,'Mano de obra'!$A$5:$D$26,2,FALSE)</f>
        <v>57454</v>
      </c>
      <c r="D2677" s="345">
        <f>+VLOOKUP($B2677,'Mano de obra'!$A$5:$D$26,3,FALSE)</f>
        <v>35656</v>
      </c>
      <c r="E2677" s="345">
        <f>+VLOOKUP($B2677,'Mano de obra'!$A$5:$D$26,4,FALSE)</f>
        <v>93110</v>
      </c>
      <c r="F2677" s="1197">
        <v>20</v>
      </c>
      <c r="G2677" s="979">
        <f>IF(B2677="","",E2677/F2677)</f>
        <v>4655.5</v>
      </c>
      <c r="H2677" s="1194"/>
    </row>
    <row r="2678" spans="1:8" x14ac:dyDescent="0.25">
      <c r="A2678" s="1192"/>
      <c r="B2678" s="194" t="s">
        <v>6524</v>
      </c>
      <c r="C2678" s="345">
        <f>+VLOOKUP($B2678,'Mano de obra'!$A$5:$D$26,2,FALSE)</f>
        <v>44263.8</v>
      </c>
      <c r="D2678" s="345">
        <f>+VLOOKUP($B2678,'Mano de obra'!$A$5:$D$26,3,FALSE)</f>
        <v>27470</v>
      </c>
      <c r="E2678" s="345">
        <f>+VLOOKUP($B2678,'Mano de obra'!$A$5:$D$26,4,FALSE)</f>
        <v>71733.8</v>
      </c>
      <c r="F2678" s="1195">
        <v>1.8</v>
      </c>
      <c r="G2678" s="979">
        <f>IF(B2678="","",E2678/F2678)</f>
        <v>39852.111111111109</v>
      </c>
      <c r="H2678" s="1194"/>
    </row>
    <row r="2679" spans="1:8" x14ac:dyDescent="0.25">
      <c r="A2679" s="1192"/>
      <c r="B2679" s="195" t="s">
        <v>6525</v>
      </c>
      <c r="C2679" s="345">
        <f>+VLOOKUP($B2679,'Mano de obra'!$A$5:$D$26,2,FALSE)</f>
        <v>24591</v>
      </c>
      <c r="D2679" s="345">
        <f>+VLOOKUP($B2679,'Mano de obra'!$A$5:$D$26,3,FALSE)</f>
        <v>15261</v>
      </c>
      <c r="E2679" s="345">
        <f>+VLOOKUP($B2679,'Mano de obra'!$A$5:$D$26,4,FALSE)</f>
        <v>39852</v>
      </c>
      <c r="F2679" s="1198">
        <v>1.8</v>
      </c>
      <c r="G2679" s="979">
        <f>IF(B2679="","",E2679/F2679)</f>
        <v>22140</v>
      </c>
      <c r="H2679" s="1194"/>
    </row>
    <row r="2680" spans="1:8" x14ac:dyDescent="0.25">
      <c r="A2680" s="1192"/>
      <c r="B2680" s="1199"/>
      <c r="C2680" s="1216"/>
      <c r="D2680" s="1201"/>
      <c r="E2680" s="1201"/>
      <c r="F2680" s="1198"/>
      <c r="G2680" s="1217"/>
      <c r="H2680" s="1194"/>
    </row>
    <row r="2681" spans="1:8" ht="15.75" thickBot="1" x14ac:dyDescent="0.3">
      <c r="A2681" s="1192"/>
      <c r="B2681" s="1199"/>
      <c r="C2681" s="1201"/>
      <c r="D2681" s="1201"/>
      <c r="E2681" s="1201"/>
      <c r="F2681" s="1198"/>
      <c r="G2681" s="1217"/>
      <c r="H2681" s="1194"/>
    </row>
    <row r="2682" spans="1:8" ht="15.75" thickBot="1" x14ac:dyDescent="0.3">
      <c r="A2682" s="1192"/>
      <c r="B2682" s="1218"/>
      <c r="C2682" s="1219"/>
      <c r="D2682" s="1219"/>
      <c r="E2682" s="1219"/>
      <c r="F2682" s="1220"/>
      <c r="G2682" s="1221"/>
      <c r="H2682" s="1206">
        <f>+SUM(G2677:G2682)</f>
        <v>66647.611111111109</v>
      </c>
    </row>
    <row r="2683" spans="1:8" ht="15.75" thickBot="1" x14ac:dyDescent="0.3">
      <c r="A2683" s="1192"/>
      <c r="B2683" s="1192"/>
      <c r="C2683" s="1192"/>
      <c r="D2683" s="1192"/>
      <c r="E2683" s="1192"/>
      <c r="F2683" s="1191"/>
      <c r="G2683" s="1192"/>
      <c r="H2683" s="1192"/>
    </row>
    <row r="2684" spans="1:8" ht="15.75" thickBot="1" x14ac:dyDescent="0.3">
      <c r="A2684" s="1192"/>
      <c r="B2684" s="1192"/>
      <c r="C2684" s="1192"/>
      <c r="D2684" s="1192"/>
      <c r="E2684" s="1222" t="s">
        <v>5415</v>
      </c>
      <c r="F2684" s="1191"/>
      <c r="G2684" s="1192"/>
      <c r="H2684" s="1223">
        <f>ROUND(+H2651+H2667+H2674+H2682,0)</f>
        <v>90104</v>
      </c>
    </row>
    <row r="2685" spans="1:8" x14ac:dyDescent="0.25">
      <c r="A2685" s="1058"/>
      <c r="B2685" s="1058"/>
      <c r="C2685" s="1058"/>
      <c r="D2685" s="1058"/>
      <c r="E2685" s="1058"/>
      <c r="F2685" s="1058"/>
      <c r="G2685" s="1058"/>
      <c r="H2685" s="1058"/>
    </row>
    <row r="2686" spans="1:8" x14ac:dyDescent="0.25">
      <c r="A2686" s="1191"/>
      <c r="B2686" s="1192"/>
      <c r="C2686" s="1192"/>
      <c r="D2686" s="1192"/>
      <c r="E2686" s="1192"/>
      <c r="F2686" s="1191"/>
      <c r="G2686" s="1192"/>
      <c r="H2686" s="1192"/>
    </row>
    <row r="2687" spans="1:8" x14ac:dyDescent="0.25">
      <c r="A2687" s="673" t="s">
        <v>3</v>
      </c>
      <c r="B2687" s="1390" t="str">
        <f>+VLOOKUP(C2687,ListaAPUs!$B:$E,4,FALSE)</f>
        <v>4.2.16</v>
      </c>
      <c r="C2687" s="2449" t="str">
        <f>+ListaAPUs!B90</f>
        <v>INSTALACIÓN NIPLES EN HD D=200 MM A 350 MM L=3 A 4M</v>
      </c>
      <c r="D2687" s="2449"/>
      <c r="E2687" s="2449"/>
      <c r="F2687" s="673" t="s">
        <v>867</v>
      </c>
      <c r="G2687" s="222" t="s">
        <v>5424</v>
      </c>
      <c r="H2687" s="1192"/>
    </row>
    <row r="2688" spans="1:8" x14ac:dyDescent="0.25">
      <c r="A2688" s="1191"/>
      <c r="B2688" s="1192"/>
      <c r="C2688" s="1192"/>
      <c r="D2688" s="1192"/>
      <c r="E2688" s="1192"/>
      <c r="F2688" s="1191"/>
      <c r="G2688" s="1192"/>
      <c r="H2688" s="1192"/>
    </row>
    <row r="2689" spans="1:8" x14ac:dyDescent="0.25">
      <c r="A2689" s="1191"/>
      <c r="B2689" s="1192"/>
      <c r="C2689" s="1192"/>
      <c r="D2689" s="1192"/>
      <c r="E2689" s="1192"/>
      <c r="F2689" s="1191"/>
      <c r="G2689" s="1193"/>
      <c r="H2689" s="1192"/>
    </row>
    <row r="2690" spans="1:8" ht="15.75" thickBot="1" x14ac:dyDescent="0.3">
      <c r="A2690" s="1191"/>
      <c r="B2690" s="1192"/>
      <c r="C2690" s="1192"/>
      <c r="D2690" s="1192"/>
      <c r="E2690" s="1192"/>
      <c r="F2690" s="1191"/>
      <c r="G2690" s="1192"/>
      <c r="H2690" s="1192"/>
    </row>
    <row r="2691" spans="1:8" ht="15.75" thickBot="1" x14ac:dyDescent="0.3">
      <c r="A2691" s="1191"/>
      <c r="B2691" s="1428" t="s">
        <v>5403</v>
      </c>
      <c r="C2691" s="1429" t="s">
        <v>867</v>
      </c>
      <c r="D2691" s="1429" t="s">
        <v>6</v>
      </c>
      <c r="E2691" s="1430" t="s">
        <v>5404</v>
      </c>
      <c r="F2691" s="1429" t="s">
        <v>5405</v>
      </c>
      <c r="G2691" s="1431" t="s">
        <v>868</v>
      </c>
      <c r="H2691" s="1194"/>
    </row>
    <row r="2692" spans="1:8" x14ac:dyDescent="0.25">
      <c r="A2692" s="1191"/>
      <c r="B2692" s="1199" t="s">
        <v>5455</v>
      </c>
      <c r="C2692" s="226" t="s">
        <v>7042</v>
      </c>
      <c r="D2692" s="1196">
        <v>1</v>
      </c>
      <c r="E2692" s="228">
        <f>+H2730</f>
        <v>66647.611111111109</v>
      </c>
      <c r="F2692" s="1197">
        <v>0.2</v>
      </c>
      <c r="G2692" s="979">
        <f>IF(B2692="","",PRODUCT(D2692:F2692))</f>
        <v>13329.522222222222</v>
      </c>
      <c r="H2692" s="1194"/>
    </row>
    <row r="2693" spans="1:8" x14ac:dyDescent="0.25">
      <c r="A2693" s="1191"/>
      <c r="B2693" s="1303" t="s">
        <v>6869</v>
      </c>
      <c r="C2693" s="1198"/>
      <c r="D2693" s="1198"/>
      <c r="E2693" s="975">
        <f>+VLOOKUP(B2693,Insumos!$A$2:$C$331,3,FALSE)</f>
        <v>202536</v>
      </c>
      <c r="F2693" s="1198">
        <v>0.06</v>
      </c>
      <c r="G2693" s="979">
        <f>IF(B2693="","",PRODUCT(D2693:F2693))</f>
        <v>12152.16</v>
      </c>
      <c r="H2693" s="1194"/>
    </row>
    <row r="2694" spans="1:8" x14ac:dyDescent="0.25">
      <c r="A2694" s="1191"/>
      <c r="B2694" s="763"/>
      <c r="C2694" s="1198"/>
      <c r="D2694" s="1198"/>
      <c r="E2694" s="1181"/>
      <c r="F2694" s="1198"/>
      <c r="G2694" s="979"/>
      <c r="H2694" s="1194"/>
    </row>
    <row r="2695" spans="1:8" x14ac:dyDescent="0.25">
      <c r="A2695" s="1191"/>
      <c r="B2695" s="1199"/>
      <c r="C2695" s="1198"/>
      <c r="D2695" s="1200"/>
      <c r="E2695" s="1201"/>
      <c r="F2695" s="1198"/>
      <c r="G2695" s="979"/>
      <c r="H2695" s="1194"/>
    </row>
    <row r="2696" spans="1:8" x14ac:dyDescent="0.25">
      <c r="A2696" s="1191"/>
      <c r="B2696" s="1199"/>
      <c r="C2696" s="1198"/>
      <c r="D2696" s="1200"/>
      <c r="E2696" s="1201"/>
      <c r="F2696" s="1198"/>
      <c r="G2696" s="979"/>
      <c r="H2696" s="1194"/>
    </row>
    <row r="2697" spans="1:8" x14ac:dyDescent="0.25">
      <c r="A2697" s="1191"/>
      <c r="B2697" s="1199"/>
      <c r="C2697" s="1198"/>
      <c r="D2697" s="1200"/>
      <c r="E2697" s="1201"/>
      <c r="F2697" s="1198"/>
      <c r="G2697" s="979"/>
      <c r="H2697" s="1194"/>
    </row>
    <row r="2698" spans="1:8" ht="15.75" thickBot="1" x14ac:dyDescent="0.3">
      <c r="A2698" s="1191"/>
      <c r="B2698" s="1199"/>
      <c r="C2698" s="1198"/>
      <c r="D2698" s="1200"/>
      <c r="E2698" s="1201"/>
      <c r="F2698" s="1198"/>
      <c r="G2698" s="979"/>
      <c r="H2698" s="1194"/>
    </row>
    <row r="2699" spans="1:8" ht="15.75" thickBot="1" x14ac:dyDescent="0.3">
      <c r="A2699" s="1191"/>
      <c r="B2699" s="1202"/>
      <c r="C2699" s="1203"/>
      <c r="D2699" s="1204"/>
      <c r="E2699" s="1205"/>
      <c r="F2699" s="1203"/>
      <c r="G2699" s="979"/>
      <c r="H2699" s="1206">
        <f>+SUM(G2692:G2699)</f>
        <v>25481.682222222222</v>
      </c>
    </row>
    <row r="2700" spans="1:8" ht="15.75" thickBot="1" x14ac:dyDescent="0.3">
      <c r="A2700" s="1191"/>
      <c r="B2700" s="1207"/>
      <c r="C2700" s="1208"/>
      <c r="D2700" s="1207"/>
      <c r="E2700" s="1209"/>
      <c r="F2700" s="1208"/>
      <c r="G2700" s="1210"/>
      <c r="H2700" s="1211"/>
    </row>
    <row r="2701" spans="1:8" ht="15.75" thickBot="1" x14ac:dyDescent="0.3">
      <c r="A2701" s="1192"/>
      <c r="B2701" s="1428" t="s">
        <v>5408</v>
      </c>
      <c r="C2701" s="1429" t="s">
        <v>867</v>
      </c>
      <c r="D2701" s="1429" t="s">
        <v>6</v>
      </c>
      <c r="E2701" s="1430" t="s">
        <v>870</v>
      </c>
      <c r="F2701" s="1429" t="s">
        <v>7040</v>
      </c>
      <c r="G2701" s="1431" t="s">
        <v>868</v>
      </c>
      <c r="H2701" s="1194"/>
    </row>
    <row r="2702" spans="1:8" x14ac:dyDescent="0.25">
      <c r="A2702" s="1192"/>
      <c r="B2702" s="1212"/>
      <c r="C2702" s="1195" t="str">
        <f t="shared" ref="C2702:C2715" si="34">IF(B2702="","",VLOOKUP(B2702,INSUMOS,2,FALSE))</f>
        <v/>
      </c>
      <c r="D2702" s="1195"/>
      <c r="E2702" s="1180"/>
      <c r="F2702" s="1195"/>
      <c r="G2702" s="979"/>
      <c r="H2702" s="1194"/>
    </row>
    <row r="2703" spans="1:8" x14ac:dyDescent="0.25">
      <c r="A2703" s="1192"/>
      <c r="B2703" s="1213"/>
      <c r="C2703" s="1198" t="str">
        <f t="shared" si="34"/>
        <v/>
      </c>
      <c r="D2703" s="1198"/>
      <c r="E2703" s="1181"/>
      <c r="F2703" s="1195"/>
      <c r="G2703" s="979"/>
      <c r="H2703" s="1194"/>
    </row>
    <row r="2704" spans="1:8" x14ac:dyDescent="0.25">
      <c r="A2704" s="1192"/>
      <c r="B2704" s="1213"/>
      <c r="C2704" s="1198" t="str">
        <f t="shared" si="34"/>
        <v/>
      </c>
      <c r="D2704" s="1198"/>
      <c r="E2704" s="1181"/>
      <c r="F2704" s="1195"/>
      <c r="G2704" s="979"/>
      <c r="H2704" s="1194"/>
    </row>
    <row r="2705" spans="1:8" x14ac:dyDescent="0.25">
      <c r="A2705" s="1192"/>
      <c r="B2705" s="1199"/>
      <c r="C2705" s="1198" t="str">
        <f t="shared" si="34"/>
        <v/>
      </c>
      <c r="D2705" s="1198"/>
      <c r="E2705" s="1180"/>
      <c r="F2705" s="1198"/>
      <c r="G2705" s="979"/>
      <c r="H2705" s="1194"/>
    </row>
    <row r="2706" spans="1:8" x14ac:dyDescent="0.25">
      <c r="A2706" s="1192"/>
      <c r="B2706" s="1199"/>
      <c r="C2706" s="1198" t="str">
        <f t="shared" si="34"/>
        <v/>
      </c>
      <c r="D2706" s="1198"/>
      <c r="E2706" s="1180"/>
      <c r="F2706" s="1198"/>
      <c r="G2706" s="979"/>
      <c r="H2706" s="1194"/>
    </row>
    <row r="2707" spans="1:8" x14ac:dyDescent="0.25">
      <c r="A2707" s="1192"/>
      <c r="B2707" s="1199"/>
      <c r="C2707" s="1198" t="str">
        <f t="shared" si="34"/>
        <v/>
      </c>
      <c r="D2707" s="1198"/>
      <c r="E2707" s="1180"/>
      <c r="F2707" s="1198"/>
      <c r="G2707" s="979"/>
      <c r="H2707" s="1194"/>
    </row>
    <row r="2708" spans="1:8" x14ac:dyDescent="0.25">
      <c r="A2708" s="1192"/>
      <c r="B2708" s="1199"/>
      <c r="C2708" s="1198" t="str">
        <f t="shared" si="34"/>
        <v/>
      </c>
      <c r="D2708" s="1198"/>
      <c r="E2708" s="1180"/>
      <c r="F2708" s="1198"/>
      <c r="G2708" s="979"/>
      <c r="H2708" s="1194"/>
    </row>
    <row r="2709" spans="1:8" x14ac:dyDescent="0.25">
      <c r="A2709" s="1192"/>
      <c r="B2709" s="1199"/>
      <c r="C2709" s="1198" t="str">
        <f t="shared" si="34"/>
        <v/>
      </c>
      <c r="D2709" s="1198"/>
      <c r="E2709" s="1180"/>
      <c r="F2709" s="1198"/>
      <c r="G2709" s="979"/>
      <c r="H2709" s="1194"/>
    </row>
    <row r="2710" spans="1:8" x14ac:dyDescent="0.25">
      <c r="A2710" s="1192"/>
      <c r="B2710" s="1199"/>
      <c r="C2710" s="1198" t="str">
        <f t="shared" si="34"/>
        <v/>
      </c>
      <c r="D2710" s="1198"/>
      <c r="E2710" s="1180"/>
      <c r="F2710" s="1198"/>
      <c r="G2710" s="979"/>
      <c r="H2710" s="1194"/>
    </row>
    <row r="2711" spans="1:8" x14ac:dyDescent="0.25">
      <c r="A2711" s="1192"/>
      <c r="B2711" s="1199"/>
      <c r="C2711" s="1198" t="str">
        <f t="shared" si="34"/>
        <v/>
      </c>
      <c r="D2711" s="1198"/>
      <c r="E2711" s="1180"/>
      <c r="F2711" s="1198"/>
      <c r="G2711" s="979"/>
      <c r="H2711" s="1194"/>
    </row>
    <row r="2712" spans="1:8" x14ac:dyDescent="0.25">
      <c r="A2712" s="1192"/>
      <c r="B2712" s="1199"/>
      <c r="C2712" s="1198" t="str">
        <f t="shared" si="34"/>
        <v/>
      </c>
      <c r="D2712" s="1198"/>
      <c r="E2712" s="1180"/>
      <c r="F2712" s="1198"/>
      <c r="G2712" s="979"/>
      <c r="H2712" s="1194"/>
    </row>
    <row r="2713" spans="1:8" x14ac:dyDescent="0.25">
      <c r="A2713" s="1192"/>
      <c r="B2713" s="1199"/>
      <c r="C2713" s="1200" t="str">
        <f t="shared" si="34"/>
        <v/>
      </c>
      <c r="D2713" s="1200"/>
      <c r="E2713" s="1201"/>
      <c r="F2713" s="1198"/>
      <c r="G2713" s="979"/>
      <c r="H2713" s="1194"/>
    </row>
    <row r="2714" spans="1:8" ht="15.75" thickBot="1" x14ac:dyDescent="0.3">
      <c r="A2714" s="1192"/>
      <c r="B2714" s="1199"/>
      <c r="C2714" s="1200" t="str">
        <f t="shared" si="34"/>
        <v/>
      </c>
      <c r="D2714" s="1200"/>
      <c r="E2714" s="1201"/>
      <c r="F2714" s="1198"/>
      <c r="G2714" s="979"/>
      <c r="H2714" s="1194"/>
    </row>
    <row r="2715" spans="1:8" ht="15.75" thickBot="1" x14ac:dyDescent="0.3">
      <c r="A2715" s="1192"/>
      <c r="B2715" s="1202"/>
      <c r="C2715" s="1204" t="str">
        <f t="shared" si="34"/>
        <v/>
      </c>
      <c r="D2715" s="1204"/>
      <c r="E2715" s="1205"/>
      <c r="F2715" s="1203"/>
      <c r="G2715" s="979"/>
      <c r="H2715" s="1206">
        <f>+SUM(G2702:G2715)</f>
        <v>0</v>
      </c>
    </row>
    <row r="2716" spans="1:8" ht="15.75" thickBot="1" x14ac:dyDescent="0.3">
      <c r="A2716" s="1192"/>
      <c r="B2716" s="1207"/>
      <c r="C2716" s="1207"/>
      <c r="D2716" s="1207"/>
      <c r="E2716" s="1209"/>
      <c r="F2716" s="1208"/>
      <c r="G2716" s="1210"/>
      <c r="H2716" s="1211"/>
    </row>
    <row r="2717" spans="1:8" ht="15.75" thickBot="1" x14ac:dyDescent="0.3">
      <c r="A2717" s="1192"/>
      <c r="B2717" s="1428" t="s">
        <v>5410</v>
      </c>
      <c r="C2717" s="1429" t="s">
        <v>867</v>
      </c>
      <c r="D2717" s="1429" t="s">
        <v>6</v>
      </c>
      <c r="E2717" s="1430" t="s">
        <v>870</v>
      </c>
      <c r="F2717" s="1429" t="s">
        <v>5411</v>
      </c>
      <c r="G2717" s="1431" t="s">
        <v>868</v>
      </c>
      <c r="H2717" s="1194"/>
    </row>
    <row r="2718" spans="1:8" x14ac:dyDescent="0.25">
      <c r="A2718" s="1192"/>
      <c r="B2718" s="1212"/>
      <c r="C2718" s="1195"/>
      <c r="D2718" s="1195"/>
      <c r="E2718" s="1180"/>
      <c r="F2718" s="1195"/>
      <c r="G2718" s="979"/>
      <c r="H2718" s="1194"/>
    </row>
    <row r="2719" spans="1:8" x14ac:dyDescent="0.25">
      <c r="A2719" s="1192"/>
      <c r="B2719" s="1213"/>
      <c r="C2719" s="1198"/>
      <c r="D2719" s="1198"/>
      <c r="E2719" s="1181"/>
      <c r="F2719" s="1198"/>
      <c r="G2719" s="979"/>
      <c r="H2719" s="1194"/>
    </row>
    <row r="2720" spans="1:8" x14ac:dyDescent="0.25">
      <c r="A2720" s="1192"/>
      <c r="B2720" s="1213"/>
      <c r="C2720" s="1198"/>
      <c r="D2720" s="1198"/>
      <c r="E2720" s="1180"/>
      <c r="F2720" s="1198"/>
      <c r="G2720" s="979"/>
      <c r="H2720" s="1194"/>
    </row>
    <row r="2721" spans="1:8" ht="15.75" thickBot="1" x14ac:dyDescent="0.3">
      <c r="A2721" s="1192"/>
      <c r="B2721" s="1199"/>
      <c r="C2721" s="1198"/>
      <c r="D2721" s="1198"/>
      <c r="E2721" s="1180"/>
      <c r="F2721" s="1198"/>
      <c r="G2721" s="979"/>
      <c r="H2721" s="1194"/>
    </row>
    <row r="2722" spans="1:8" ht="15.75" thickBot="1" x14ac:dyDescent="0.3">
      <c r="A2722" s="1192"/>
      <c r="B2722" s="1202"/>
      <c r="C2722" s="1204"/>
      <c r="D2722" s="1204"/>
      <c r="E2722" s="1205"/>
      <c r="F2722" s="1203"/>
      <c r="G2722" s="979"/>
      <c r="H2722" s="1206">
        <f>+SUM(G2718:G2722)</f>
        <v>0</v>
      </c>
    </row>
    <row r="2723" spans="1:8" ht="15.75" thickBot="1" x14ac:dyDescent="0.3">
      <c r="A2723" s="1192"/>
      <c r="B2723" s="1207"/>
      <c r="C2723" s="1207"/>
      <c r="D2723" s="1207"/>
      <c r="E2723" s="1209"/>
      <c r="F2723" s="1214"/>
      <c r="G2723" s="1215"/>
      <c r="H2723" s="1211"/>
    </row>
    <row r="2724" spans="1:8" ht="15.75" thickBot="1" x14ac:dyDescent="0.3">
      <c r="A2724" s="1192"/>
      <c r="B2724" s="1428" t="s">
        <v>5412</v>
      </c>
      <c r="C2724" s="1429" t="s">
        <v>5420</v>
      </c>
      <c r="D2724" s="1429" t="s">
        <v>5421</v>
      </c>
      <c r="E2724" s="1430" t="s">
        <v>5413</v>
      </c>
      <c r="F2724" s="1429" t="s">
        <v>5405</v>
      </c>
      <c r="G2724" s="1431" t="s">
        <v>868</v>
      </c>
      <c r="H2724" s="1194"/>
    </row>
    <row r="2725" spans="1:8" x14ac:dyDescent="0.25">
      <c r="A2725" s="1192"/>
      <c r="B2725" s="194" t="s">
        <v>6523</v>
      </c>
      <c r="C2725" s="345">
        <f>+VLOOKUP($B2725,'Mano de obra'!$A$5:$D$26,2,FALSE)</f>
        <v>57454</v>
      </c>
      <c r="D2725" s="345">
        <f>+VLOOKUP($B2725,'Mano de obra'!$A$5:$D$26,3,FALSE)</f>
        <v>35656</v>
      </c>
      <c r="E2725" s="345">
        <f>+VLOOKUP($B2725,'Mano de obra'!$A$5:$D$26,4,FALSE)</f>
        <v>93110</v>
      </c>
      <c r="F2725" s="1197">
        <v>20</v>
      </c>
      <c r="G2725" s="979">
        <f>IF(B2725="","",E2725/F2725)</f>
        <v>4655.5</v>
      </c>
      <c r="H2725" s="1194"/>
    </row>
    <row r="2726" spans="1:8" x14ac:dyDescent="0.25">
      <c r="A2726" s="1192"/>
      <c r="B2726" s="194" t="s">
        <v>6524</v>
      </c>
      <c r="C2726" s="345">
        <f>+VLOOKUP($B2726,'Mano de obra'!$A$5:$D$26,2,FALSE)</f>
        <v>44263.8</v>
      </c>
      <c r="D2726" s="345">
        <f>+VLOOKUP($B2726,'Mano de obra'!$A$5:$D$26,3,FALSE)</f>
        <v>27470</v>
      </c>
      <c r="E2726" s="345">
        <f>+VLOOKUP($B2726,'Mano de obra'!$A$5:$D$26,4,FALSE)</f>
        <v>71733.8</v>
      </c>
      <c r="F2726" s="1195">
        <v>1.8</v>
      </c>
      <c r="G2726" s="979">
        <f>IF(B2726="","",E2726/F2726)</f>
        <v>39852.111111111109</v>
      </c>
      <c r="H2726" s="1194"/>
    </row>
    <row r="2727" spans="1:8" x14ac:dyDescent="0.25">
      <c r="A2727" s="1192"/>
      <c r="B2727" s="195" t="s">
        <v>6525</v>
      </c>
      <c r="C2727" s="345">
        <f>+VLOOKUP($B2727,'Mano de obra'!$A$5:$D$26,2,FALSE)</f>
        <v>24591</v>
      </c>
      <c r="D2727" s="345">
        <f>+VLOOKUP($B2727,'Mano de obra'!$A$5:$D$26,3,FALSE)</f>
        <v>15261</v>
      </c>
      <c r="E2727" s="345">
        <f>+VLOOKUP($B2727,'Mano de obra'!$A$5:$D$26,4,FALSE)</f>
        <v>39852</v>
      </c>
      <c r="F2727" s="1198">
        <v>1.8</v>
      </c>
      <c r="G2727" s="979">
        <f>IF(B2727="","",E2727/F2727)</f>
        <v>22140</v>
      </c>
      <c r="H2727" s="1194"/>
    </row>
    <row r="2728" spans="1:8" x14ac:dyDescent="0.25">
      <c r="A2728" s="1192"/>
      <c r="B2728" s="1199"/>
      <c r="C2728" s="1216"/>
      <c r="D2728" s="1201"/>
      <c r="E2728" s="1201"/>
      <c r="F2728" s="1198"/>
      <c r="G2728" s="1217"/>
      <c r="H2728" s="1194"/>
    </row>
    <row r="2729" spans="1:8" ht="15.75" thickBot="1" x14ac:dyDescent="0.3">
      <c r="A2729" s="1192"/>
      <c r="B2729" s="1199"/>
      <c r="C2729" s="1201"/>
      <c r="D2729" s="1201"/>
      <c r="E2729" s="1201"/>
      <c r="F2729" s="1198"/>
      <c r="G2729" s="1217"/>
      <c r="H2729" s="1194"/>
    </row>
    <row r="2730" spans="1:8" ht="15.75" thickBot="1" x14ac:dyDescent="0.3">
      <c r="A2730" s="1192"/>
      <c r="B2730" s="1218"/>
      <c r="C2730" s="1219"/>
      <c r="D2730" s="1219"/>
      <c r="E2730" s="1219"/>
      <c r="F2730" s="1220"/>
      <c r="G2730" s="1221"/>
      <c r="H2730" s="1206">
        <f>+SUM(G2725:G2730)</f>
        <v>66647.611111111109</v>
      </c>
    </row>
    <row r="2731" spans="1:8" ht="15.75" thickBot="1" x14ac:dyDescent="0.3">
      <c r="A2731" s="1192"/>
      <c r="B2731" s="1192"/>
      <c r="C2731" s="1192"/>
      <c r="D2731" s="1192"/>
      <c r="E2731" s="1192"/>
      <c r="F2731" s="1191"/>
      <c r="G2731" s="1192"/>
      <c r="H2731" s="1192"/>
    </row>
    <row r="2732" spans="1:8" ht="15.75" thickBot="1" x14ac:dyDescent="0.3">
      <c r="A2732" s="1192"/>
      <c r="B2732" s="1192"/>
      <c r="C2732" s="1192"/>
      <c r="D2732" s="1192"/>
      <c r="E2732" s="1222" t="s">
        <v>5415</v>
      </c>
      <c r="F2732" s="1191"/>
      <c r="G2732" s="1192"/>
      <c r="H2732" s="1223">
        <f>ROUND(+H2699+H2715+H2722+H2730,0)</f>
        <v>92129</v>
      </c>
    </row>
    <row r="2733" spans="1:8" x14ac:dyDescent="0.25">
      <c r="A2733" s="1058"/>
      <c r="B2733" s="1058"/>
      <c r="C2733" s="1058"/>
      <c r="D2733" s="1058"/>
      <c r="E2733" s="1058"/>
      <c r="F2733" s="1058"/>
      <c r="G2733" s="1058"/>
      <c r="H2733" s="1058"/>
    </row>
    <row r="2734" spans="1:8" x14ac:dyDescent="0.25">
      <c r="A2734" s="1191"/>
      <c r="B2734" s="1192"/>
      <c r="C2734" s="1192"/>
      <c r="D2734" s="1192"/>
      <c r="E2734" s="1192"/>
      <c r="F2734" s="1191"/>
      <c r="G2734" s="1192"/>
      <c r="H2734" s="1192"/>
    </row>
    <row r="2735" spans="1:8" x14ac:dyDescent="0.25">
      <c r="A2735" s="673" t="s">
        <v>3</v>
      </c>
      <c r="B2735" s="1390" t="str">
        <f>+VLOOKUP(C2735,ListaAPUs!$B:$E,4,FALSE)</f>
        <v>4.2.17</v>
      </c>
      <c r="C2735" s="2449" t="str">
        <f>+ListaAPUs!B91</f>
        <v>INSTALACIÓN NIPLES EN HD D=400 MM A 500 MM L=0 A 1M</v>
      </c>
      <c r="D2735" s="2449"/>
      <c r="E2735" s="2449"/>
      <c r="F2735" s="673" t="s">
        <v>867</v>
      </c>
      <c r="G2735" s="222" t="s">
        <v>5424</v>
      </c>
      <c r="H2735" s="1192"/>
    </row>
    <row r="2736" spans="1:8" x14ac:dyDescent="0.25">
      <c r="A2736" s="1191"/>
      <c r="B2736" s="1192"/>
      <c r="C2736" s="1192"/>
      <c r="D2736" s="1192"/>
      <c r="E2736" s="1192"/>
      <c r="F2736" s="1191"/>
      <c r="G2736" s="1192"/>
      <c r="H2736" s="1192"/>
    </row>
    <row r="2737" spans="1:8" x14ac:dyDescent="0.25">
      <c r="A2737" s="1191"/>
      <c r="B2737" s="1192"/>
      <c r="C2737" s="1192"/>
      <c r="D2737" s="1192"/>
      <c r="E2737" s="1192"/>
      <c r="F2737" s="1191"/>
      <c r="G2737" s="1193"/>
      <c r="H2737" s="1192"/>
    </row>
    <row r="2738" spans="1:8" ht="15.75" thickBot="1" x14ac:dyDescent="0.3">
      <c r="A2738" s="1191"/>
      <c r="B2738" s="1192"/>
      <c r="C2738" s="1192"/>
      <c r="D2738" s="1192"/>
      <c r="E2738" s="1192"/>
      <c r="F2738" s="1191"/>
      <c r="G2738" s="1192"/>
      <c r="H2738" s="1192"/>
    </row>
    <row r="2739" spans="1:8" ht="15.75" thickBot="1" x14ac:dyDescent="0.3">
      <c r="A2739" s="1191"/>
      <c r="B2739" s="1428" t="s">
        <v>5403</v>
      </c>
      <c r="C2739" s="1429" t="s">
        <v>867</v>
      </c>
      <c r="D2739" s="1429" t="s">
        <v>6</v>
      </c>
      <c r="E2739" s="1430" t="s">
        <v>5404</v>
      </c>
      <c r="F2739" s="1429" t="s">
        <v>5405</v>
      </c>
      <c r="G2739" s="1431" t="s">
        <v>868</v>
      </c>
      <c r="H2739" s="1194"/>
    </row>
    <row r="2740" spans="1:8" x14ac:dyDescent="0.25">
      <c r="A2740" s="1191"/>
      <c r="B2740" s="757" t="s">
        <v>5455</v>
      </c>
      <c r="C2740" s="226" t="s">
        <v>7042</v>
      </c>
      <c r="D2740" s="1196">
        <v>1</v>
      </c>
      <c r="E2740" s="228">
        <f>+H2778</f>
        <v>79046.033333333326</v>
      </c>
      <c r="F2740" s="1197">
        <v>0.2</v>
      </c>
      <c r="G2740" s="979">
        <f t="shared" ref="G2740:G2747" si="35">IF(B2740="","",PRODUCT(D2740:F2740))</f>
        <v>15809.206666666665</v>
      </c>
      <c r="H2740" s="1194"/>
    </row>
    <row r="2741" spans="1:8" x14ac:dyDescent="0.25">
      <c r="A2741" s="1191"/>
      <c r="B2741" s="1303" t="s">
        <v>6869</v>
      </c>
      <c r="C2741" s="1198"/>
      <c r="D2741" s="1198"/>
      <c r="E2741" s="975">
        <f>+VLOOKUP(B2741,Insumos!$A$2:$C$331,3,FALSE)</f>
        <v>202536</v>
      </c>
      <c r="F2741" s="1198">
        <v>0.08</v>
      </c>
      <c r="G2741" s="979">
        <f t="shared" si="35"/>
        <v>16202.880000000001</v>
      </c>
      <c r="H2741" s="1194"/>
    </row>
    <row r="2742" spans="1:8" x14ac:dyDescent="0.25">
      <c r="A2742" s="1191"/>
      <c r="B2742" s="763"/>
      <c r="C2742" s="1198" t="str">
        <f t="shared" ref="C2742:C2747" si="36">IF(B2742="","",VLOOKUP(B2742,INSUMOS,2,FALSE))</f>
        <v/>
      </c>
      <c r="D2742" s="1198"/>
      <c r="E2742" s="1181" t="str">
        <f t="shared" ref="E2742:E2747" si="37">IF(B2742="","",IF(C2742="%mo",$K$50,VLOOKUP(B2742,INSUMOS,3,FALSE)))</f>
        <v/>
      </c>
      <c r="F2742" s="1198"/>
      <c r="G2742" s="979" t="str">
        <f t="shared" si="35"/>
        <v/>
      </c>
      <c r="H2742" s="1194"/>
    </row>
    <row r="2743" spans="1:8" x14ac:dyDescent="0.25">
      <c r="A2743" s="1191"/>
      <c r="B2743" s="1199"/>
      <c r="C2743" s="1198" t="str">
        <f t="shared" si="36"/>
        <v/>
      </c>
      <c r="D2743" s="1200"/>
      <c r="E2743" s="1201" t="str">
        <f t="shared" si="37"/>
        <v/>
      </c>
      <c r="F2743" s="1198"/>
      <c r="G2743" s="979" t="str">
        <f t="shared" si="35"/>
        <v/>
      </c>
      <c r="H2743" s="1194"/>
    </row>
    <row r="2744" spans="1:8" x14ac:dyDescent="0.25">
      <c r="A2744" s="1191"/>
      <c r="B2744" s="1199"/>
      <c r="C2744" s="1198" t="str">
        <f t="shared" si="36"/>
        <v/>
      </c>
      <c r="D2744" s="1200"/>
      <c r="E2744" s="1201" t="str">
        <f t="shared" si="37"/>
        <v/>
      </c>
      <c r="F2744" s="1198"/>
      <c r="G2744" s="979" t="str">
        <f t="shared" si="35"/>
        <v/>
      </c>
      <c r="H2744" s="1194"/>
    </row>
    <row r="2745" spans="1:8" x14ac:dyDescent="0.25">
      <c r="A2745" s="1191"/>
      <c r="B2745" s="1199"/>
      <c r="C2745" s="1198" t="str">
        <f t="shared" si="36"/>
        <v/>
      </c>
      <c r="D2745" s="1200"/>
      <c r="E2745" s="1201" t="str">
        <f t="shared" si="37"/>
        <v/>
      </c>
      <c r="F2745" s="1198"/>
      <c r="G2745" s="979" t="str">
        <f t="shared" si="35"/>
        <v/>
      </c>
      <c r="H2745" s="1194"/>
    </row>
    <row r="2746" spans="1:8" ht="15.75" thickBot="1" x14ac:dyDescent="0.3">
      <c r="A2746" s="1191"/>
      <c r="B2746" s="1199"/>
      <c r="C2746" s="1198" t="str">
        <f t="shared" si="36"/>
        <v/>
      </c>
      <c r="D2746" s="1200"/>
      <c r="E2746" s="1201" t="str">
        <f t="shared" si="37"/>
        <v/>
      </c>
      <c r="F2746" s="1198"/>
      <c r="G2746" s="979" t="str">
        <f t="shared" si="35"/>
        <v/>
      </c>
      <c r="H2746" s="1194"/>
    </row>
    <row r="2747" spans="1:8" ht="15.75" thickBot="1" x14ac:dyDescent="0.3">
      <c r="A2747" s="1191"/>
      <c r="B2747" s="1202"/>
      <c r="C2747" s="1203" t="str">
        <f t="shared" si="36"/>
        <v/>
      </c>
      <c r="D2747" s="1204"/>
      <c r="E2747" s="1205" t="str">
        <f t="shared" si="37"/>
        <v/>
      </c>
      <c r="F2747" s="1203"/>
      <c r="G2747" s="979" t="str">
        <f t="shared" si="35"/>
        <v/>
      </c>
      <c r="H2747" s="1206">
        <f>+SUM(G2740:G2747)</f>
        <v>32012.086666666666</v>
      </c>
    </row>
    <row r="2748" spans="1:8" ht="15.75" thickBot="1" x14ac:dyDescent="0.3">
      <c r="A2748" s="1191"/>
      <c r="B2748" s="1207"/>
      <c r="C2748" s="1208"/>
      <c r="D2748" s="1207"/>
      <c r="E2748" s="1209"/>
      <c r="F2748" s="1208"/>
      <c r="G2748" s="1210"/>
      <c r="H2748" s="1211"/>
    </row>
    <row r="2749" spans="1:8" ht="15.75" thickBot="1" x14ac:dyDescent="0.3">
      <c r="A2749" s="1192"/>
      <c r="B2749" s="1428" t="s">
        <v>5408</v>
      </c>
      <c r="C2749" s="1429" t="s">
        <v>867</v>
      </c>
      <c r="D2749" s="1429" t="s">
        <v>6</v>
      </c>
      <c r="E2749" s="1430" t="s">
        <v>870</v>
      </c>
      <c r="F2749" s="1429" t="s">
        <v>7040</v>
      </c>
      <c r="G2749" s="1431" t="s">
        <v>868</v>
      </c>
      <c r="H2749" s="1194"/>
    </row>
    <row r="2750" spans="1:8" x14ac:dyDescent="0.25">
      <c r="A2750" s="1192"/>
      <c r="B2750" s="1212"/>
      <c r="C2750" s="1195" t="str">
        <f t="shared" ref="C2750:C2763" si="38">IF(B2750="","",VLOOKUP(B2750,INSUMOS,2,FALSE))</f>
        <v/>
      </c>
      <c r="D2750" s="1195"/>
      <c r="E2750" s="1180" t="str">
        <f t="shared" ref="E2750:E2763" si="39">IF(B2750="","",VLOOKUP(B2750,INSUMOS,3,FALSE))</f>
        <v/>
      </c>
      <c r="F2750" s="1195"/>
      <c r="G2750" s="979" t="str">
        <f t="shared" ref="G2750:G2763" si="40">IF(B2750="","",PRODUCT(D2750:F2750))</f>
        <v/>
      </c>
      <c r="H2750" s="1194"/>
    </row>
    <row r="2751" spans="1:8" x14ac:dyDescent="0.25">
      <c r="A2751" s="1192"/>
      <c r="B2751" s="1213"/>
      <c r="C2751" s="1198" t="str">
        <f t="shared" si="38"/>
        <v/>
      </c>
      <c r="D2751" s="1198"/>
      <c r="E2751" s="1181" t="str">
        <f t="shared" si="39"/>
        <v/>
      </c>
      <c r="F2751" s="1195"/>
      <c r="G2751" s="979" t="str">
        <f t="shared" si="40"/>
        <v/>
      </c>
      <c r="H2751" s="1194"/>
    </row>
    <row r="2752" spans="1:8" x14ac:dyDescent="0.25">
      <c r="A2752" s="1192"/>
      <c r="B2752" s="1213"/>
      <c r="C2752" s="1198" t="str">
        <f t="shared" si="38"/>
        <v/>
      </c>
      <c r="D2752" s="1198"/>
      <c r="E2752" s="1181" t="str">
        <f t="shared" si="39"/>
        <v/>
      </c>
      <c r="F2752" s="1195"/>
      <c r="G2752" s="979" t="str">
        <f t="shared" si="40"/>
        <v/>
      </c>
      <c r="H2752" s="1194"/>
    </row>
    <row r="2753" spans="1:8" x14ac:dyDescent="0.25">
      <c r="A2753" s="1192"/>
      <c r="B2753" s="1199"/>
      <c r="C2753" s="1198" t="str">
        <f t="shared" si="38"/>
        <v/>
      </c>
      <c r="D2753" s="1198"/>
      <c r="E2753" s="1180" t="str">
        <f t="shared" si="39"/>
        <v/>
      </c>
      <c r="F2753" s="1198"/>
      <c r="G2753" s="979" t="str">
        <f t="shared" si="40"/>
        <v/>
      </c>
      <c r="H2753" s="1194"/>
    </row>
    <row r="2754" spans="1:8" x14ac:dyDescent="0.25">
      <c r="A2754" s="1192"/>
      <c r="B2754" s="1199"/>
      <c r="C2754" s="1198" t="str">
        <f t="shared" si="38"/>
        <v/>
      </c>
      <c r="D2754" s="1198"/>
      <c r="E2754" s="1180" t="str">
        <f t="shared" si="39"/>
        <v/>
      </c>
      <c r="F2754" s="1198"/>
      <c r="G2754" s="979" t="str">
        <f t="shared" si="40"/>
        <v/>
      </c>
      <c r="H2754" s="1194"/>
    </row>
    <row r="2755" spans="1:8" x14ac:dyDescent="0.25">
      <c r="A2755" s="1192"/>
      <c r="B2755" s="1199"/>
      <c r="C2755" s="1198" t="str">
        <f t="shared" si="38"/>
        <v/>
      </c>
      <c r="D2755" s="1198"/>
      <c r="E2755" s="1180" t="str">
        <f t="shared" si="39"/>
        <v/>
      </c>
      <c r="F2755" s="1198"/>
      <c r="G2755" s="979" t="str">
        <f t="shared" si="40"/>
        <v/>
      </c>
      <c r="H2755" s="1194"/>
    </row>
    <row r="2756" spans="1:8" x14ac:dyDescent="0.25">
      <c r="A2756" s="1192"/>
      <c r="B2756" s="1199"/>
      <c r="C2756" s="1198" t="str">
        <f t="shared" si="38"/>
        <v/>
      </c>
      <c r="D2756" s="1198"/>
      <c r="E2756" s="1180" t="str">
        <f t="shared" si="39"/>
        <v/>
      </c>
      <c r="F2756" s="1198"/>
      <c r="G2756" s="979" t="str">
        <f t="shared" si="40"/>
        <v/>
      </c>
      <c r="H2756" s="1194"/>
    </row>
    <row r="2757" spans="1:8" x14ac:dyDescent="0.25">
      <c r="A2757" s="1192"/>
      <c r="B2757" s="1199"/>
      <c r="C2757" s="1198" t="str">
        <f t="shared" si="38"/>
        <v/>
      </c>
      <c r="D2757" s="1198"/>
      <c r="E2757" s="1180" t="str">
        <f t="shared" si="39"/>
        <v/>
      </c>
      <c r="F2757" s="1198"/>
      <c r="G2757" s="979" t="str">
        <f t="shared" si="40"/>
        <v/>
      </c>
      <c r="H2757" s="1194"/>
    </row>
    <row r="2758" spans="1:8" x14ac:dyDescent="0.25">
      <c r="A2758" s="1192"/>
      <c r="B2758" s="1199"/>
      <c r="C2758" s="1198" t="str">
        <f t="shared" si="38"/>
        <v/>
      </c>
      <c r="D2758" s="1198"/>
      <c r="E2758" s="1180" t="str">
        <f t="shared" si="39"/>
        <v/>
      </c>
      <c r="F2758" s="1198"/>
      <c r="G2758" s="979" t="str">
        <f t="shared" si="40"/>
        <v/>
      </c>
      <c r="H2758" s="1194"/>
    </row>
    <row r="2759" spans="1:8" x14ac:dyDescent="0.25">
      <c r="A2759" s="1192"/>
      <c r="B2759" s="1199"/>
      <c r="C2759" s="1198" t="str">
        <f t="shared" si="38"/>
        <v/>
      </c>
      <c r="D2759" s="1198"/>
      <c r="E2759" s="1180" t="str">
        <f t="shared" si="39"/>
        <v/>
      </c>
      <c r="F2759" s="1198"/>
      <c r="G2759" s="979" t="str">
        <f t="shared" si="40"/>
        <v/>
      </c>
      <c r="H2759" s="1194"/>
    </row>
    <row r="2760" spans="1:8" x14ac:dyDescent="0.25">
      <c r="A2760" s="1192"/>
      <c r="B2760" s="1199"/>
      <c r="C2760" s="1198" t="str">
        <f t="shared" si="38"/>
        <v/>
      </c>
      <c r="D2760" s="1198"/>
      <c r="E2760" s="1180" t="str">
        <f t="shared" si="39"/>
        <v/>
      </c>
      <c r="F2760" s="1198"/>
      <c r="G2760" s="979" t="str">
        <f t="shared" si="40"/>
        <v/>
      </c>
      <c r="H2760" s="1194"/>
    </row>
    <row r="2761" spans="1:8" x14ac:dyDescent="0.25">
      <c r="A2761" s="1192"/>
      <c r="B2761" s="1199"/>
      <c r="C2761" s="1200" t="str">
        <f t="shared" si="38"/>
        <v/>
      </c>
      <c r="D2761" s="1200"/>
      <c r="E2761" s="1201" t="str">
        <f t="shared" si="39"/>
        <v/>
      </c>
      <c r="F2761" s="1198"/>
      <c r="G2761" s="979" t="str">
        <f t="shared" si="40"/>
        <v/>
      </c>
      <c r="H2761" s="1194"/>
    </row>
    <row r="2762" spans="1:8" ht="15.75" thickBot="1" x14ac:dyDescent="0.3">
      <c r="A2762" s="1192"/>
      <c r="B2762" s="1199"/>
      <c r="C2762" s="1200" t="str">
        <f t="shared" si="38"/>
        <v/>
      </c>
      <c r="D2762" s="1200"/>
      <c r="E2762" s="1201" t="str">
        <f t="shared" si="39"/>
        <v/>
      </c>
      <c r="F2762" s="1198"/>
      <c r="G2762" s="979" t="str">
        <f t="shared" si="40"/>
        <v/>
      </c>
      <c r="H2762" s="1194"/>
    </row>
    <row r="2763" spans="1:8" ht="15.75" thickBot="1" x14ac:dyDescent="0.3">
      <c r="A2763" s="1192"/>
      <c r="B2763" s="1202"/>
      <c r="C2763" s="1204" t="str">
        <f t="shared" si="38"/>
        <v/>
      </c>
      <c r="D2763" s="1204"/>
      <c r="E2763" s="1205" t="str">
        <f t="shared" si="39"/>
        <v/>
      </c>
      <c r="F2763" s="1203"/>
      <c r="G2763" s="979" t="str">
        <f t="shared" si="40"/>
        <v/>
      </c>
      <c r="H2763" s="1206">
        <f>+SUM(G2750:G2763)</f>
        <v>0</v>
      </c>
    </row>
    <row r="2764" spans="1:8" ht="15.75" thickBot="1" x14ac:dyDescent="0.3">
      <c r="A2764" s="1192"/>
      <c r="B2764" s="1207"/>
      <c r="C2764" s="1207"/>
      <c r="D2764" s="1207"/>
      <c r="E2764" s="1209"/>
      <c r="F2764" s="1208"/>
      <c r="G2764" s="1210"/>
      <c r="H2764" s="1211"/>
    </row>
    <row r="2765" spans="1:8" ht="15.75" thickBot="1" x14ac:dyDescent="0.3">
      <c r="A2765" s="1192"/>
      <c r="B2765" s="1428" t="s">
        <v>5410</v>
      </c>
      <c r="C2765" s="1429" t="s">
        <v>867</v>
      </c>
      <c r="D2765" s="1429" t="s">
        <v>6</v>
      </c>
      <c r="E2765" s="1430" t="s">
        <v>870</v>
      </c>
      <c r="F2765" s="1429" t="s">
        <v>5411</v>
      </c>
      <c r="G2765" s="1431" t="s">
        <v>868</v>
      </c>
      <c r="H2765" s="1194"/>
    </row>
    <row r="2766" spans="1:8" x14ac:dyDescent="0.25">
      <c r="A2766" s="1192"/>
      <c r="B2766" s="1212"/>
      <c r="C2766" s="1195" t="str">
        <f>IF(B2766="","",VLOOKUP(B2766,INSUMOS,2,FALSE))</f>
        <v/>
      </c>
      <c r="D2766" s="1195"/>
      <c r="E2766" s="1180" t="str">
        <f>IF(B2766="","",VLOOKUP(B2766,INSUMOS,3,FALSE))</f>
        <v/>
      </c>
      <c r="F2766" s="1195"/>
      <c r="G2766" s="979" t="str">
        <f>IF(B2766="","",PRODUCT(D2766:F2766))</f>
        <v/>
      </c>
      <c r="H2766" s="1194"/>
    </row>
    <row r="2767" spans="1:8" x14ac:dyDescent="0.25">
      <c r="A2767" s="1192"/>
      <c r="B2767" s="1213"/>
      <c r="C2767" s="1198" t="str">
        <f>IF(B2767="","",VLOOKUP(B2767,INSUMOS,2,FALSE))</f>
        <v/>
      </c>
      <c r="D2767" s="1198"/>
      <c r="E2767" s="1181" t="str">
        <f>IF(B2767="","",VLOOKUP(B2767,INSUMOS,3,FALSE))</f>
        <v/>
      </c>
      <c r="F2767" s="1198"/>
      <c r="G2767" s="979" t="str">
        <f>IF(B2767="","",PRODUCT(D2767:F2767))</f>
        <v/>
      </c>
      <c r="H2767" s="1194"/>
    </row>
    <row r="2768" spans="1:8" x14ac:dyDescent="0.25">
      <c r="A2768" s="1192"/>
      <c r="B2768" s="1213"/>
      <c r="C2768" s="1198" t="str">
        <f>IF(B2768="","",VLOOKUP(B2768,INSUMOS,2,FALSE))</f>
        <v/>
      </c>
      <c r="D2768" s="1198"/>
      <c r="E2768" s="1180" t="str">
        <f>IF(B2768="","",VLOOKUP(B2768,INSUMOS,3,FALSE))</f>
        <v/>
      </c>
      <c r="F2768" s="1198"/>
      <c r="G2768" s="979" t="str">
        <f>IF(B2768="","",PRODUCT(D2768:F2768))</f>
        <v/>
      </c>
      <c r="H2768" s="1194"/>
    </row>
    <row r="2769" spans="1:8" ht="15.75" thickBot="1" x14ac:dyDescent="0.3">
      <c r="A2769" s="1192"/>
      <c r="B2769" s="1199"/>
      <c r="C2769" s="1198" t="str">
        <f>IF(B2769="","",VLOOKUP(B2769,INSUMOS,2,FALSE))</f>
        <v/>
      </c>
      <c r="D2769" s="1198"/>
      <c r="E2769" s="1180" t="str">
        <f>IF(B2769="","",VLOOKUP(B2769,INSUMOS,3,FALSE))</f>
        <v/>
      </c>
      <c r="F2769" s="1198"/>
      <c r="G2769" s="979" t="str">
        <f>IF(B2769="","",PRODUCT(D2769:F2769))</f>
        <v/>
      </c>
      <c r="H2769" s="1194"/>
    </row>
    <row r="2770" spans="1:8" ht="15.75" thickBot="1" x14ac:dyDescent="0.3">
      <c r="A2770" s="1192"/>
      <c r="B2770" s="1202"/>
      <c r="C2770" s="1204" t="str">
        <f>IF(B2770="","",VLOOKUP(B2770,INSUMOS,2,FALSE))</f>
        <v/>
      </c>
      <c r="D2770" s="1204"/>
      <c r="E2770" s="1205" t="str">
        <f>IF(B2770="","",VLOOKUP(B2770,INSUMOS,3,FALSE))</f>
        <v/>
      </c>
      <c r="F2770" s="1203"/>
      <c r="G2770" s="979" t="str">
        <f>IF(B2770="","",PRODUCT(D2770:F2770))</f>
        <v/>
      </c>
      <c r="H2770" s="1206">
        <f>+SUM(G2766:G2770)</f>
        <v>0</v>
      </c>
    </row>
    <row r="2771" spans="1:8" ht="15.75" thickBot="1" x14ac:dyDescent="0.3">
      <c r="A2771" s="1192"/>
      <c r="B2771" s="1207"/>
      <c r="C2771" s="1207"/>
      <c r="D2771" s="1207"/>
      <c r="E2771" s="1209"/>
      <c r="F2771" s="1214"/>
      <c r="G2771" s="1215"/>
      <c r="H2771" s="1211"/>
    </row>
    <row r="2772" spans="1:8" ht="15.75" thickBot="1" x14ac:dyDescent="0.3">
      <c r="A2772" s="1192"/>
      <c r="B2772" s="1428" t="s">
        <v>5412</v>
      </c>
      <c r="C2772" s="1429" t="s">
        <v>5420</v>
      </c>
      <c r="D2772" s="1429" t="s">
        <v>5421</v>
      </c>
      <c r="E2772" s="1430" t="s">
        <v>5413</v>
      </c>
      <c r="F2772" s="1429" t="s">
        <v>5405</v>
      </c>
      <c r="G2772" s="1431" t="s">
        <v>868</v>
      </c>
      <c r="H2772" s="1194"/>
    </row>
    <row r="2773" spans="1:8" x14ac:dyDescent="0.25">
      <c r="A2773" s="1192"/>
      <c r="B2773" s="194" t="s">
        <v>6523</v>
      </c>
      <c r="C2773" s="345">
        <f>+VLOOKUP($B2773,'Mano de obra'!$A$5:$D$26,2,FALSE)</f>
        <v>57454</v>
      </c>
      <c r="D2773" s="345">
        <f>+VLOOKUP($B2773,'Mano de obra'!$A$5:$D$26,3,FALSE)</f>
        <v>35656</v>
      </c>
      <c r="E2773" s="345">
        <f>+VLOOKUP($B2773,'Mano de obra'!$A$5:$D$26,4,FALSE)</f>
        <v>93110</v>
      </c>
      <c r="F2773" s="1197">
        <v>20</v>
      </c>
      <c r="G2773" s="979">
        <f>IF(B2773="","",E2773/F2773)</f>
        <v>4655.5</v>
      </c>
      <c r="H2773" s="1194"/>
    </row>
    <row r="2774" spans="1:8" x14ac:dyDescent="0.25">
      <c r="A2774" s="1192"/>
      <c r="B2774" s="194" t="s">
        <v>6524</v>
      </c>
      <c r="C2774" s="345">
        <f>+VLOOKUP($B2774,'Mano de obra'!$A$5:$D$26,2,FALSE)</f>
        <v>44263.8</v>
      </c>
      <c r="D2774" s="345">
        <f>+VLOOKUP($B2774,'Mano de obra'!$A$5:$D$26,3,FALSE)</f>
        <v>27470</v>
      </c>
      <c r="E2774" s="345">
        <f>+VLOOKUP($B2774,'Mano de obra'!$A$5:$D$26,4,FALSE)</f>
        <v>71733.8</v>
      </c>
      <c r="F2774" s="1195">
        <v>1.5</v>
      </c>
      <c r="G2774" s="979">
        <f>IF(B2774="","",E2774/F2774)</f>
        <v>47822.533333333333</v>
      </c>
      <c r="H2774" s="1194"/>
    </row>
    <row r="2775" spans="1:8" x14ac:dyDescent="0.25">
      <c r="A2775" s="1192"/>
      <c r="B2775" s="195" t="s">
        <v>6525</v>
      </c>
      <c r="C2775" s="345">
        <f>+VLOOKUP($B2775,'Mano de obra'!$A$5:$D$26,2,FALSE)</f>
        <v>24591</v>
      </c>
      <c r="D2775" s="345">
        <f>+VLOOKUP($B2775,'Mano de obra'!$A$5:$D$26,3,FALSE)</f>
        <v>15261</v>
      </c>
      <c r="E2775" s="345">
        <f>+VLOOKUP($B2775,'Mano de obra'!$A$5:$D$26,4,FALSE)</f>
        <v>39852</v>
      </c>
      <c r="F2775" s="1198">
        <v>1.5</v>
      </c>
      <c r="G2775" s="979">
        <f>IF(B2775="","",E2775/F2775)</f>
        <v>26568</v>
      </c>
      <c r="H2775" s="1194"/>
    </row>
    <row r="2776" spans="1:8" x14ac:dyDescent="0.25">
      <c r="A2776" s="1192"/>
      <c r="B2776" s="1199"/>
      <c r="C2776" s="1216"/>
      <c r="D2776" s="1201"/>
      <c r="E2776" s="1201"/>
      <c r="F2776" s="1198"/>
      <c r="G2776" s="1217"/>
      <c r="H2776" s="1194"/>
    </row>
    <row r="2777" spans="1:8" ht="15.75" thickBot="1" x14ac:dyDescent="0.3">
      <c r="A2777" s="1192"/>
      <c r="B2777" s="1199"/>
      <c r="C2777" s="1201"/>
      <c r="D2777" s="1201"/>
      <c r="E2777" s="1201"/>
      <c r="F2777" s="1198"/>
      <c r="G2777" s="1217"/>
      <c r="H2777" s="1194"/>
    </row>
    <row r="2778" spans="1:8" ht="15.75" thickBot="1" x14ac:dyDescent="0.3">
      <c r="A2778" s="1192"/>
      <c r="B2778" s="1218"/>
      <c r="C2778" s="1219"/>
      <c r="D2778" s="1219"/>
      <c r="E2778" s="1219"/>
      <c r="F2778" s="1220"/>
      <c r="G2778" s="1221"/>
      <c r="H2778" s="1206">
        <f>+SUM(G2773:G2778)</f>
        <v>79046.033333333326</v>
      </c>
    </row>
    <row r="2779" spans="1:8" ht="15.75" thickBot="1" x14ac:dyDescent="0.3">
      <c r="A2779" s="1192"/>
      <c r="B2779" s="1192"/>
      <c r="C2779" s="1192"/>
      <c r="D2779" s="1192"/>
      <c r="E2779" s="1192"/>
      <c r="F2779" s="1191"/>
      <c r="G2779" s="1192"/>
      <c r="H2779" s="1192"/>
    </row>
    <row r="2780" spans="1:8" ht="15.75" thickBot="1" x14ac:dyDescent="0.3">
      <c r="A2780" s="1192"/>
      <c r="B2780" s="1192"/>
      <c r="C2780" s="1192"/>
      <c r="D2780" s="1192"/>
      <c r="E2780" s="1222" t="s">
        <v>5415</v>
      </c>
      <c r="F2780" s="1191"/>
      <c r="G2780" s="1192"/>
      <c r="H2780" s="1223">
        <f>ROUND(+H2747+H2763+H2770+H2778,0)</f>
        <v>111058</v>
      </c>
    </row>
    <row r="2781" spans="1:8" x14ac:dyDescent="0.25">
      <c r="A2781" s="1058"/>
      <c r="B2781" s="1058"/>
      <c r="C2781" s="1058"/>
      <c r="D2781" s="1058"/>
      <c r="E2781" s="1058"/>
      <c r="F2781" s="1058"/>
      <c r="G2781" s="1058"/>
      <c r="H2781" s="1058"/>
    </row>
    <row r="2782" spans="1:8" x14ac:dyDescent="0.25">
      <c r="A2782" s="1191"/>
      <c r="B2782" s="1192"/>
      <c r="C2782" s="1192"/>
      <c r="D2782" s="1192"/>
      <c r="E2782" s="1192"/>
      <c r="F2782" s="1191"/>
      <c r="G2782" s="1192"/>
      <c r="H2782" s="1192"/>
    </row>
    <row r="2783" spans="1:8" x14ac:dyDescent="0.25">
      <c r="A2783" s="673" t="s">
        <v>3</v>
      </c>
      <c r="B2783" s="1390" t="str">
        <f>+VLOOKUP(C2783,ListaAPUs!$B:$E,4,FALSE)</f>
        <v>4.2.18</v>
      </c>
      <c r="C2783" s="2449" t="str">
        <f>+ListaAPUs!B92</f>
        <v>INSTALACIÓN NIPLES EN HD D=400 MM A 500 MM L=1 A 2M</v>
      </c>
      <c r="D2783" s="2449"/>
      <c r="E2783" s="2449"/>
      <c r="F2783" s="673" t="s">
        <v>867</v>
      </c>
      <c r="G2783" s="222" t="s">
        <v>5424</v>
      </c>
      <c r="H2783" s="1192"/>
    </row>
    <row r="2784" spans="1:8" x14ac:dyDescent="0.25">
      <c r="A2784" s="1191"/>
      <c r="B2784" s="1192"/>
      <c r="C2784" s="1192"/>
      <c r="D2784" s="1192"/>
      <c r="E2784" s="1192"/>
      <c r="F2784" s="1191"/>
      <c r="G2784" s="1192"/>
      <c r="H2784" s="1192"/>
    </row>
    <row r="2785" spans="1:8" x14ac:dyDescent="0.25">
      <c r="A2785" s="1191"/>
      <c r="B2785" s="1192"/>
      <c r="C2785" s="1192"/>
      <c r="D2785" s="1192"/>
      <c r="E2785" s="1192"/>
      <c r="F2785" s="1191"/>
      <c r="G2785" s="1193"/>
      <c r="H2785" s="1192"/>
    </row>
    <row r="2786" spans="1:8" ht="15.75" thickBot="1" x14ac:dyDescent="0.3">
      <c r="A2786" s="1191"/>
      <c r="B2786" s="1192"/>
      <c r="C2786" s="1192"/>
      <c r="D2786" s="1192"/>
      <c r="E2786" s="1192"/>
      <c r="F2786" s="1191"/>
      <c r="G2786" s="1192"/>
      <c r="H2786" s="1192"/>
    </row>
    <row r="2787" spans="1:8" ht="15.75" thickBot="1" x14ac:dyDescent="0.3">
      <c r="A2787" s="1191"/>
      <c r="B2787" s="1428" t="s">
        <v>5403</v>
      </c>
      <c r="C2787" s="1429" t="s">
        <v>867</v>
      </c>
      <c r="D2787" s="1429" t="s">
        <v>6</v>
      </c>
      <c r="E2787" s="1430" t="s">
        <v>5404</v>
      </c>
      <c r="F2787" s="1429" t="s">
        <v>5405</v>
      </c>
      <c r="G2787" s="1431" t="s">
        <v>868</v>
      </c>
      <c r="H2787" s="1194"/>
    </row>
    <row r="2788" spans="1:8" x14ac:dyDescent="0.25">
      <c r="A2788" s="1191"/>
      <c r="B2788" s="757" t="s">
        <v>5455</v>
      </c>
      <c r="C2788" s="226" t="s">
        <v>7042</v>
      </c>
      <c r="D2788" s="1196">
        <v>1</v>
      </c>
      <c r="E2788" s="228">
        <f>+H2826</f>
        <v>79046.033333333326</v>
      </c>
      <c r="F2788" s="1197">
        <v>0.2</v>
      </c>
      <c r="G2788" s="979">
        <f t="shared" ref="G2788:G2795" si="41">IF(B2788="","",PRODUCT(D2788:F2788))</f>
        <v>15809.206666666665</v>
      </c>
      <c r="H2788" s="1194"/>
    </row>
    <row r="2789" spans="1:8" x14ac:dyDescent="0.25">
      <c r="A2789" s="1191"/>
      <c r="B2789" s="1303" t="s">
        <v>6869</v>
      </c>
      <c r="C2789" s="1198"/>
      <c r="D2789" s="1198"/>
      <c r="E2789" s="975">
        <f>+VLOOKUP(B2789,Insumos!$A$2:$C$331,3,FALSE)</f>
        <v>202536</v>
      </c>
      <c r="F2789" s="1198">
        <f>1/8</f>
        <v>0.125</v>
      </c>
      <c r="G2789" s="979">
        <f t="shared" si="41"/>
        <v>25317</v>
      </c>
      <c r="H2789" s="1194"/>
    </row>
    <row r="2790" spans="1:8" x14ac:dyDescent="0.25">
      <c r="A2790" s="1191"/>
      <c r="B2790" s="763"/>
      <c r="C2790" s="1198" t="str">
        <f t="shared" ref="C2790:C2795" si="42">IF(B2790="","",VLOOKUP(B2790,INSUMOS,2,FALSE))</f>
        <v/>
      </c>
      <c r="D2790" s="1198"/>
      <c r="E2790" s="1181" t="str">
        <f t="shared" ref="E2790:E2795" si="43">IF(B2790="","",IF(C2790="%mo",$K$50,VLOOKUP(B2790,INSUMOS,3,FALSE)))</f>
        <v/>
      </c>
      <c r="F2790" s="1198"/>
      <c r="G2790" s="979" t="str">
        <f t="shared" si="41"/>
        <v/>
      </c>
      <c r="H2790" s="1194"/>
    </row>
    <row r="2791" spans="1:8" x14ac:dyDescent="0.25">
      <c r="A2791" s="1191"/>
      <c r="B2791" s="1199"/>
      <c r="C2791" s="1198" t="str">
        <f t="shared" si="42"/>
        <v/>
      </c>
      <c r="D2791" s="1200"/>
      <c r="E2791" s="1201" t="str">
        <f t="shared" si="43"/>
        <v/>
      </c>
      <c r="F2791" s="1198"/>
      <c r="G2791" s="979" t="str">
        <f t="shared" si="41"/>
        <v/>
      </c>
      <c r="H2791" s="1194"/>
    </row>
    <row r="2792" spans="1:8" x14ac:dyDescent="0.25">
      <c r="A2792" s="1191"/>
      <c r="B2792" s="1199"/>
      <c r="C2792" s="1198" t="str">
        <f t="shared" si="42"/>
        <v/>
      </c>
      <c r="D2792" s="1200"/>
      <c r="E2792" s="1201" t="str">
        <f t="shared" si="43"/>
        <v/>
      </c>
      <c r="F2792" s="1198"/>
      <c r="G2792" s="979" t="str">
        <f t="shared" si="41"/>
        <v/>
      </c>
      <c r="H2792" s="1194"/>
    </row>
    <row r="2793" spans="1:8" x14ac:dyDescent="0.25">
      <c r="A2793" s="1191"/>
      <c r="B2793" s="1199"/>
      <c r="C2793" s="1198" t="str">
        <f t="shared" si="42"/>
        <v/>
      </c>
      <c r="D2793" s="1200"/>
      <c r="E2793" s="1201" t="str">
        <f t="shared" si="43"/>
        <v/>
      </c>
      <c r="F2793" s="1198"/>
      <c r="G2793" s="979" t="str">
        <f t="shared" si="41"/>
        <v/>
      </c>
      <c r="H2793" s="1194"/>
    </row>
    <row r="2794" spans="1:8" ht="15.75" thickBot="1" x14ac:dyDescent="0.3">
      <c r="A2794" s="1191"/>
      <c r="B2794" s="1199"/>
      <c r="C2794" s="1198" t="str">
        <f t="shared" si="42"/>
        <v/>
      </c>
      <c r="D2794" s="1200"/>
      <c r="E2794" s="1201" t="str">
        <f t="shared" si="43"/>
        <v/>
      </c>
      <c r="F2794" s="1198"/>
      <c r="G2794" s="979" t="str">
        <f t="shared" si="41"/>
        <v/>
      </c>
      <c r="H2794" s="1194"/>
    </row>
    <row r="2795" spans="1:8" ht="15.75" thickBot="1" x14ac:dyDescent="0.3">
      <c r="A2795" s="1191"/>
      <c r="B2795" s="1202"/>
      <c r="C2795" s="1203" t="str">
        <f t="shared" si="42"/>
        <v/>
      </c>
      <c r="D2795" s="1204"/>
      <c r="E2795" s="1205" t="str">
        <f t="shared" si="43"/>
        <v/>
      </c>
      <c r="F2795" s="1203"/>
      <c r="G2795" s="979" t="str">
        <f t="shared" si="41"/>
        <v/>
      </c>
      <c r="H2795" s="1206">
        <f>+SUM(G2788:G2795)</f>
        <v>41126.206666666665</v>
      </c>
    </row>
    <row r="2796" spans="1:8" ht="15.75" thickBot="1" x14ac:dyDescent="0.3">
      <c r="A2796" s="1191"/>
      <c r="B2796" s="1207"/>
      <c r="C2796" s="1208"/>
      <c r="D2796" s="1207"/>
      <c r="E2796" s="1209"/>
      <c r="F2796" s="1208"/>
      <c r="G2796" s="1210"/>
      <c r="H2796" s="1211"/>
    </row>
    <row r="2797" spans="1:8" ht="15.75" thickBot="1" x14ac:dyDescent="0.3">
      <c r="A2797" s="1192"/>
      <c r="B2797" s="1428" t="s">
        <v>5408</v>
      </c>
      <c r="C2797" s="1429" t="s">
        <v>867</v>
      </c>
      <c r="D2797" s="1429" t="s">
        <v>6</v>
      </c>
      <c r="E2797" s="1430" t="s">
        <v>870</v>
      </c>
      <c r="F2797" s="1429" t="s">
        <v>7040</v>
      </c>
      <c r="G2797" s="1431" t="s">
        <v>868</v>
      </c>
      <c r="H2797" s="1194"/>
    </row>
    <row r="2798" spans="1:8" x14ac:dyDescent="0.25">
      <c r="A2798" s="1192"/>
      <c r="B2798" s="1212"/>
      <c r="C2798" s="1195" t="str">
        <f t="shared" ref="C2798:C2811" si="44">IF(B2798="","",VLOOKUP(B2798,INSUMOS,2,FALSE))</f>
        <v/>
      </c>
      <c r="D2798" s="1195"/>
      <c r="E2798" s="1180" t="str">
        <f t="shared" ref="E2798:E2811" si="45">IF(B2798="","",VLOOKUP(B2798,INSUMOS,3,FALSE))</f>
        <v/>
      </c>
      <c r="F2798" s="1195"/>
      <c r="G2798" s="979" t="str">
        <f t="shared" ref="G2798:G2811" si="46">IF(B2798="","",PRODUCT(D2798:F2798))</f>
        <v/>
      </c>
      <c r="H2798" s="1194"/>
    </row>
    <row r="2799" spans="1:8" x14ac:dyDescent="0.25">
      <c r="A2799" s="1192"/>
      <c r="B2799" s="1213"/>
      <c r="C2799" s="1198" t="str">
        <f t="shared" si="44"/>
        <v/>
      </c>
      <c r="D2799" s="1198"/>
      <c r="E2799" s="1181" t="str">
        <f t="shared" si="45"/>
        <v/>
      </c>
      <c r="F2799" s="1195"/>
      <c r="G2799" s="979" t="str">
        <f t="shared" si="46"/>
        <v/>
      </c>
      <c r="H2799" s="1194"/>
    </row>
    <row r="2800" spans="1:8" x14ac:dyDescent="0.25">
      <c r="A2800" s="1192"/>
      <c r="B2800" s="1213"/>
      <c r="C2800" s="1198" t="str">
        <f t="shared" si="44"/>
        <v/>
      </c>
      <c r="D2800" s="1198"/>
      <c r="E2800" s="1181" t="str">
        <f t="shared" si="45"/>
        <v/>
      </c>
      <c r="F2800" s="1195"/>
      <c r="G2800" s="979" t="str">
        <f t="shared" si="46"/>
        <v/>
      </c>
      <c r="H2800" s="1194"/>
    </row>
    <row r="2801" spans="1:8" x14ac:dyDescent="0.25">
      <c r="A2801" s="1192"/>
      <c r="B2801" s="1199"/>
      <c r="C2801" s="1198" t="str">
        <f t="shared" si="44"/>
        <v/>
      </c>
      <c r="D2801" s="1198"/>
      <c r="E2801" s="1180" t="str">
        <f t="shared" si="45"/>
        <v/>
      </c>
      <c r="F2801" s="1198"/>
      <c r="G2801" s="979" t="str">
        <f t="shared" si="46"/>
        <v/>
      </c>
      <c r="H2801" s="1194"/>
    </row>
    <row r="2802" spans="1:8" x14ac:dyDescent="0.25">
      <c r="A2802" s="1192"/>
      <c r="B2802" s="1199"/>
      <c r="C2802" s="1198" t="str">
        <f t="shared" si="44"/>
        <v/>
      </c>
      <c r="D2802" s="1198"/>
      <c r="E2802" s="1180" t="str">
        <f t="shared" si="45"/>
        <v/>
      </c>
      <c r="F2802" s="1198"/>
      <c r="G2802" s="979" t="str">
        <f t="shared" si="46"/>
        <v/>
      </c>
      <c r="H2802" s="1194"/>
    </row>
    <row r="2803" spans="1:8" x14ac:dyDescent="0.25">
      <c r="A2803" s="1192"/>
      <c r="B2803" s="1199"/>
      <c r="C2803" s="1198" t="str">
        <f t="shared" si="44"/>
        <v/>
      </c>
      <c r="D2803" s="1198"/>
      <c r="E2803" s="1180" t="str">
        <f t="shared" si="45"/>
        <v/>
      </c>
      <c r="F2803" s="1198"/>
      <c r="G2803" s="979" t="str">
        <f t="shared" si="46"/>
        <v/>
      </c>
      <c r="H2803" s="1194"/>
    </row>
    <row r="2804" spans="1:8" x14ac:dyDescent="0.25">
      <c r="A2804" s="1192"/>
      <c r="B2804" s="1199"/>
      <c r="C2804" s="1198" t="str">
        <f t="shared" si="44"/>
        <v/>
      </c>
      <c r="D2804" s="1198"/>
      <c r="E2804" s="1180" t="str">
        <f t="shared" si="45"/>
        <v/>
      </c>
      <c r="F2804" s="1198"/>
      <c r="G2804" s="979" t="str">
        <f t="shared" si="46"/>
        <v/>
      </c>
      <c r="H2804" s="1194"/>
    </row>
    <row r="2805" spans="1:8" x14ac:dyDescent="0.25">
      <c r="A2805" s="1192"/>
      <c r="B2805" s="1199"/>
      <c r="C2805" s="1198" t="str">
        <f t="shared" si="44"/>
        <v/>
      </c>
      <c r="D2805" s="1198"/>
      <c r="E2805" s="1180" t="str">
        <f t="shared" si="45"/>
        <v/>
      </c>
      <c r="F2805" s="1198"/>
      <c r="G2805" s="979" t="str">
        <f t="shared" si="46"/>
        <v/>
      </c>
      <c r="H2805" s="1194"/>
    </row>
    <row r="2806" spans="1:8" x14ac:dyDescent="0.25">
      <c r="A2806" s="1192"/>
      <c r="B2806" s="1199"/>
      <c r="C2806" s="1198" t="str">
        <f t="shared" si="44"/>
        <v/>
      </c>
      <c r="D2806" s="1198"/>
      <c r="E2806" s="1180" t="str">
        <f t="shared" si="45"/>
        <v/>
      </c>
      <c r="F2806" s="1198"/>
      <c r="G2806" s="979" t="str">
        <f t="shared" si="46"/>
        <v/>
      </c>
      <c r="H2806" s="1194"/>
    </row>
    <row r="2807" spans="1:8" x14ac:dyDescent="0.25">
      <c r="A2807" s="1192"/>
      <c r="B2807" s="1199"/>
      <c r="C2807" s="1198" t="str">
        <f t="shared" si="44"/>
        <v/>
      </c>
      <c r="D2807" s="1198"/>
      <c r="E2807" s="1180" t="str">
        <f t="shared" si="45"/>
        <v/>
      </c>
      <c r="F2807" s="1198"/>
      <c r="G2807" s="979" t="str">
        <f t="shared" si="46"/>
        <v/>
      </c>
      <c r="H2807" s="1194"/>
    </row>
    <row r="2808" spans="1:8" x14ac:dyDescent="0.25">
      <c r="A2808" s="1192"/>
      <c r="B2808" s="1199"/>
      <c r="C2808" s="1198" t="str">
        <f t="shared" si="44"/>
        <v/>
      </c>
      <c r="D2808" s="1198"/>
      <c r="E2808" s="1180" t="str">
        <f t="shared" si="45"/>
        <v/>
      </c>
      <c r="F2808" s="1198"/>
      <c r="G2808" s="979" t="str">
        <f t="shared" si="46"/>
        <v/>
      </c>
      <c r="H2808" s="1194"/>
    </row>
    <row r="2809" spans="1:8" x14ac:dyDescent="0.25">
      <c r="A2809" s="1192"/>
      <c r="B2809" s="1199"/>
      <c r="C2809" s="1200" t="str">
        <f t="shared" si="44"/>
        <v/>
      </c>
      <c r="D2809" s="1200"/>
      <c r="E2809" s="1201" t="str">
        <f t="shared" si="45"/>
        <v/>
      </c>
      <c r="F2809" s="1198"/>
      <c r="G2809" s="979" t="str">
        <f t="shared" si="46"/>
        <v/>
      </c>
      <c r="H2809" s="1194"/>
    </row>
    <row r="2810" spans="1:8" ht="15.75" thickBot="1" x14ac:dyDescent="0.3">
      <c r="A2810" s="1192"/>
      <c r="B2810" s="1199"/>
      <c r="C2810" s="1200" t="str">
        <f t="shared" si="44"/>
        <v/>
      </c>
      <c r="D2810" s="1200"/>
      <c r="E2810" s="1201" t="str">
        <f t="shared" si="45"/>
        <v/>
      </c>
      <c r="F2810" s="1198"/>
      <c r="G2810" s="979" t="str">
        <f t="shared" si="46"/>
        <v/>
      </c>
      <c r="H2810" s="1194"/>
    </row>
    <row r="2811" spans="1:8" ht="15.75" thickBot="1" x14ac:dyDescent="0.3">
      <c r="A2811" s="1192"/>
      <c r="B2811" s="1202"/>
      <c r="C2811" s="1204" t="str">
        <f t="shared" si="44"/>
        <v/>
      </c>
      <c r="D2811" s="1204"/>
      <c r="E2811" s="1205" t="str">
        <f t="shared" si="45"/>
        <v/>
      </c>
      <c r="F2811" s="1203"/>
      <c r="G2811" s="979" t="str">
        <f t="shared" si="46"/>
        <v/>
      </c>
      <c r="H2811" s="1206">
        <f>+SUM(G2798:G2811)</f>
        <v>0</v>
      </c>
    </row>
    <row r="2812" spans="1:8" ht="15.75" thickBot="1" x14ac:dyDescent="0.3">
      <c r="A2812" s="1192"/>
      <c r="B2812" s="1207"/>
      <c r="C2812" s="1207"/>
      <c r="D2812" s="1207"/>
      <c r="E2812" s="1209"/>
      <c r="F2812" s="1208"/>
      <c r="G2812" s="1210"/>
      <c r="H2812" s="1211"/>
    </row>
    <row r="2813" spans="1:8" ht="15.75" thickBot="1" x14ac:dyDescent="0.3">
      <c r="A2813" s="1192"/>
      <c r="B2813" s="1428" t="s">
        <v>5410</v>
      </c>
      <c r="C2813" s="1429" t="s">
        <v>867</v>
      </c>
      <c r="D2813" s="1429" t="s">
        <v>6</v>
      </c>
      <c r="E2813" s="1430" t="s">
        <v>870</v>
      </c>
      <c r="F2813" s="1429" t="s">
        <v>5411</v>
      </c>
      <c r="G2813" s="1431" t="s">
        <v>868</v>
      </c>
      <c r="H2813" s="1194"/>
    </row>
    <row r="2814" spans="1:8" x14ac:dyDescent="0.25">
      <c r="A2814" s="1192"/>
      <c r="B2814" s="1212"/>
      <c r="C2814" s="1195" t="str">
        <f>IF(B2814="","",VLOOKUP(B2814,INSUMOS,2,FALSE))</f>
        <v/>
      </c>
      <c r="D2814" s="1195"/>
      <c r="E2814" s="1180" t="str">
        <f>IF(B2814="","",VLOOKUP(B2814,INSUMOS,3,FALSE))</f>
        <v/>
      </c>
      <c r="F2814" s="1195"/>
      <c r="G2814" s="979" t="str">
        <f>IF(B2814="","",PRODUCT(D2814:F2814))</f>
        <v/>
      </c>
      <c r="H2814" s="1194"/>
    </row>
    <row r="2815" spans="1:8" x14ac:dyDescent="0.25">
      <c r="A2815" s="1192"/>
      <c r="B2815" s="1213"/>
      <c r="C2815" s="1198" t="str">
        <f>IF(B2815="","",VLOOKUP(B2815,INSUMOS,2,FALSE))</f>
        <v/>
      </c>
      <c r="D2815" s="1198"/>
      <c r="E2815" s="1181" t="str">
        <f>IF(B2815="","",VLOOKUP(B2815,INSUMOS,3,FALSE))</f>
        <v/>
      </c>
      <c r="F2815" s="1198"/>
      <c r="G2815" s="979" t="str">
        <f>IF(B2815="","",PRODUCT(D2815:F2815))</f>
        <v/>
      </c>
      <c r="H2815" s="1194"/>
    </row>
    <row r="2816" spans="1:8" x14ac:dyDescent="0.25">
      <c r="A2816" s="1192"/>
      <c r="B2816" s="1213"/>
      <c r="C2816" s="1198" t="str">
        <f>IF(B2816="","",VLOOKUP(B2816,INSUMOS,2,FALSE))</f>
        <v/>
      </c>
      <c r="D2816" s="1198"/>
      <c r="E2816" s="1180" t="str">
        <f>IF(B2816="","",VLOOKUP(B2816,INSUMOS,3,FALSE))</f>
        <v/>
      </c>
      <c r="F2816" s="1198"/>
      <c r="G2816" s="979" t="str">
        <f>IF(B2816="","",PRODUCT(D2816:F2816))</f>
        <v/>
      </c>
      <c r="H2816" s="1194"/>
    </row>
    <row r="2817" spans="1:8" ht="15.75" thickBot="1" x14ac:dyDescent="0.3">
      <c r="A2817" s="1192"/>
      <c r="B2817" s="1199"/>
      <c r="C2817" s="1198" t="str">
        <f>IF(B2817="","",VLOOKUP(B2817,INSUMOS,2,FALSE))</f>
        <v/>
      </c>
      <c r="D2817" s="1198"/>
      <c r="E2817" s="1180" t="str">
        <f>IF(B2817="","",VLOOKUP(B2817,INSUMOS,3,FALSE))</f>
        <v/>
      </c>
      <c r="F2817" s="1198"/>
      <c r="G2817" s="979" t="str">
        <f>IF(B2817="","",PRODUCT(D2817:F2817))</f>
        <v/>
      </c>
      <c r="H2817" s="1194"/>
    </row>
    <row r="2818" spans="1:8" ht="15.75" thickBot="1" x14ac:dyDescent="0.3">
      <c r="A2818" s="1192"/>
      <c r="B2818" s="1202"/>
      <c r="C2818" s="1204" t="str">
        <f>IF(B2818="","",VLOOKUP(B2818,INSUMOS,2,FALSE))</f>
        <v/>
      </c>
      <c r="D2818" s="1204"/>
      <c r="E2818" s="1205" t="str">
        <f>IF(B2818="","",VLOOKUP(B2818,INSUMOS,3,FALSE))</f>
        <v/>
      </c>
      <c r="F2818" s="1203"/>
      <c r="G2818" s="979" t="str">
        <f>IF(B2818="","",PRODUCT(D2818:F2818))</f>
        <v/>
      </c>
      <c r="H2818" s="1206">
        <f>+SUM(G2814:G2818)</f>
        <v>0</v>
      </c>
    </row>
    <row r="2819" spans="1:8" ht="15.75" thickBot="1" x14ac:dyDescent="0.3">
      <c r="A2819" s="1192"/>
      <c r="B2819" s="1207"/>
      <c r="C2819" s="1207"/>
      <c r="D2819" s="1207"/>
      <c r="E2819" s="1209"/>
      <c r="F2819" s="1214"/>
      <c r="G2819" s="1215"/>
      <c r="H2819" s="1211"/>
    </row>
    <row r="2820" spans="1:8" ht="15.75" thickBot="1" x14ac:dyDescent="0.3">
      <c r="A2820" s="1192"/>
      <c r="B2820" s="1428" t="s">
        <v>5412</v>
      </c>
      <c r="C2820" s="1429" t="s">
        <v>5420</v>
      </c>
      <c r="D2820" s="1429" t="s">
        <v>5421</v>
      </c>
      <c r="E2820" s="1430" t="s">
        <v>5413</v>
      </c>
      <c r="F2820" s="1429" t="s">
        <v>5405</v>
      </c>
      <c r="G2820" s="1431" t="s">
        <v>868</v>
      </c>
      <c r="H2820" s="1194"/>
    </row>
    <row r="2821" spans="1:8" x14ac:dyDescent="0.25">
      <c r="A2821" s="1192"/>
      <c r="B2821" s="194" t="s">
        <v>6523</v>
      </c>
      <c r="C2821" s="345">
        <f>+VLOOKUP($B2821,'Mano de obra'!$A$5:$D$26,2,FALSE)</f>
        <v>57454</v>
      </c>
      <c r="D2821" s="345">
        <f>+VLOOKUP($B2821,'Mano de obra'!$A$5:$D$26,3,FALSE)</f>
        <v>35656</v>
      </c>
      <c r="E2821" s="345">
        <f>+VLOOKUP($B2821,'Mano de obra'!$A$5:$D$26,4,FALSE)</f>
        <v>93110</v>
      </c>
      <c r="F2821" s="1197">
        <v>20</v>
      </c>
      <c r="G2821" s="979">
        <f>IF(B2821="","",E2821/F2821)</f>
        <v>4655.5</v>
      </c>
      <c r="H2821" s="1194"/>
    </row>
    <row r="2822" spans="1:8" x14ac:dyDescent="0.25">
      <c r="A2822" s="1192"/>
      <c r="B2822" s="194" t="s">
        <v>6524</v>
      </c>
      <c r="C2822" s="345">
        <f>+VLOOKUP($B2822,'Mano de obra'!$A$5:$D$26,2,FALSE)</f>
        <v>44263.8</v>
      </c>
      <c r="D2822" s="345">
        <f>+VLOOKUP($B2822,'Mano de obra'!$A$5:$D$26,3,FALSE)</f>
        <v>27470</v>
      </c>
      <c r="E2822" s="345">
        <f>+VLOOKUP($B2822,'Mano de obra'!$A$5:$D$26,4,FALSE)</f>
        <v>71733.8</v>
      </c>
      <c r="F2822" s="1195">
        <v>1.5</v>
      </c>
      <c r="G2822" s="979">
        <f>IF(B2822="","",E2822/F2822)</f>
        <v>47822.533333333333</v>
      </c>
      <c r="H2822" s="1194"/>
    </row>
    <row r="2823" spans="1:8" x14ac:dyDescent="0.25">
      <c r="A2823" s="1192"/>
      <c r="B2823" s="195" t="s">
        <v>6525</v>
      </c>
      <c r="C2823" s="345">
        <f>+VLOOKUP($B2823,'Mano de obra'!$A$5:$D$26,2,FALSE)</f>
        <v>24591</v>
      </c>
      <c r="D2823" s="345">
        <f>+VLOOKUP($B2823,'Mano de obra'!$A$5:$D$26,3,FALSE)</f>
        <v>15261</v>
      </c>
      <c r="E2823" s="345">
        <f>+VLOOKUP($B2823,'Mano de obra'!$A$5:$D$26,4,FALSE)</f>
        <v>39852</v>
      </c>
      <c r="F2823" s="1198">
        <v>1.5</v>
      </c>
      <c r="G2823" s="979">
        <f>IF(B2823="","",E2823/F2823)</f>
        <v>26568</v>
      </c>
      <c r="H2823" s="1194"/>
    </row>
    <row r="2824" spans="1:8" x14ac:dyDescent="0.25">
      <c r="A2824" s="1192"/>
      <c r="B2824" s="1199"/>
      <c r="C2824" s="1216"/>
      <c r="D2824" s="1201"/>
      <c r="E2824" s="1201"/>
      <c r="F2824" s="1198"/>
      <c r="G2824" s="1217"/>
      <c r="H2824" s="1194"/>
    </row>
    <row r="2825" spans="1:8" ht="15.75" thickBot="1" x14ac:dyDescent="0.3">
      <c r="A2825" s="1192"/>
      <c r="B2825" s="1199"/>
      <c r="C2825" s="1201"/>
      <c r="D2825" s="1201"/>
      <c r="E2825" s="1201"/>
      <c r="F2825" s="1198"/>
      <c r="G2825" s="1217"/>
      <c r="H2825" s="1194"/>
    </row>
    <row r="2826" spans="1:8" ht="15.75" thickBot="1" x14ac:dyDescent="0.3">
      <c r="A2826" s="1192"/>
      <c r="B2826" s="1218"/>
      <c r="C2826" s="1219"/>
      <c r="D2826" s="1219"/>
      <c r="E2826" s="1219"/>
      <c r="F2826" s="1220"/>
      <c r="G2826" s="1221"/>
      <c r="H2826" s="1206">
        <f>+SUM(G2821:G2826)</f>
        <v>79046.033333333326</v>
      </c>
    </row>
    <row r="2827" spans="1:8" ht="15.75" thickBot="1" x14ac:dyDescent="0.3">
      <c r="A2827" s="1192"/>
      <c r="B2827" s="1192"/>
      <c r="C2827" s="1192"/>
      <c r="D2827" s="1192"/>
      <c r="E2827" s="1192"/>
      <c r="F2827" s="1191"/>
      <c r="G2827" s="1192"/>
      <c r="H2827" s="1192"/>
    </row>
    <row r="2828" spans="1:8" ht="15.75" thickBot="1" x14ac:dyDescent="0.3">
      <c r="A2828" s="1192"/>
      <c r="B2828" s="1192"/>
      <c r="C2828" s="1192"/>
      <c r="D2828" s="1192"/>
      <c r="E2828" s="1222" t="s">
        <v>5415</v>
      </c>
      <c r="F2828" s="1191"/>
      <c r="G2828" s="1192"/>
      <c r="H2828" s="1223">
        <f>ROUND(+H2795+H2811+H2818+H2826,0)</f>
        <v>120172</v>
      </c>
    </row>
    <row r="2829" spans="1:8" x14ac:dyDescent="0.25">
      <c r="A2829" s="1191"/>
      <c r="B2829" s="1192"/>
      <c r="C2829" s="1192"/>
      <c r="D2829" s="1192"/>
      <c r="E2829" s="1192"/>
      <c r="F2829" s="1191"/>
      <c r="G2829" s="1192"/>
      <c r="H2829" s="1192"/>
    </row>
    <row r="2830" spans="1:8" x14ac:dyDescent="0.25">
      <c r="A2830" s="1191"/>
      <c r="B2830" s="1192"/>
      <c r="C2830" s="1192"/>
      <c r="D2830" s="1192"/>
      <c r="E2830" s="1192"/>
      <c r="F2830" s="1191"/>
      <c r="G2830" s="1192"/>
      <c r="H2830" s="1192"/>
    </row>
    <row r="2831" spans="1:8" x14ac:dyDescent="0.25">
      <c r="A2831" s="673" t="s">
        <v>3</v>
      </c>
      <c r="B2831" s="1390" t="str">
        <f>+VLOOKUP(C2831,ListaAPUs!$B:$E,4,FALSE)</f>
        <v>4.2.19</v>
      </c>
      <c r="C2831" s="2449" t="str">
        <f>+ListaAPUs!B93</f>
        <v>INSTALACIÓN NIPLES EN HD D=400 MM A 500 MM L=2 A 3M</v>
      </c>
      <c r="D2831" s="2449"/>
      <c r="E2831" s="2449"/>
      <c r="F2831" s="673" t="s">
        <v>867</v>
      </c>
      <c r="G2831" s="222" t="s">
        <v>5424</v>
      </c>
      <c r="H2831" s="1192"/>
    </row>
    <row r="2832" spans="1:8" x14ac:dyDescent="0.25">
      <c r="A2832" s="1191"/>
      <c r="B2832" s="1192"/>
      <c r="C2832" s="1192"/>
      <c r="D2832" s="1192"/>
      <c r="E2832" s="1192"/>
      <c r="F2832" s="1191"/>
      <c r="G2832" s="1192"/>
      <c r="H2832" s="1192"/>
    </row>
    <row r="2833" spans="1:8" x14ac:dyDescent="0.25">
      <c r="A2833" s="1191"/>
      <c r="B2833" s="1192"/>
      <c r="C2833" s="1192"/>
      <c r="D2833" s="1192"/>
      <c r="E2833" s="1192"/>
      <c r="F2833" s="1191"/>
      <c r="G2833" s="1193"/>
      <c r="H2833" s="1192"/>
    </row>
    <row r="2834" spans="1:8" ht="15.75" thickBot="1" x14ac:dyDescent="0.3">
      <c r="A2834" s="1191"/>
      <c r="B2834" s="1192"/>
      <c r="C2834" s="1192"/>
      <c r="D2834" s="1192"/>
      <c r="E2834" s="1192"/>
      <c r="F2834" s="1191"/>
      <c r="G2834" s="1192"/>
      <c r="H2834" s="1192"/>
    </row>
    <row r="2835" spans="1:8" ht="15.75" thickBot="1" x14ac:dyDescent="0.3">
      <c r="A2835" s="1191"/>
      <c r="B2835" s="1428" t="s">
        <v>5403</v>
      </c>
      <c r="C2835" s="1429" t="s">
        <v>867</v>
      </c>
      <c r="D2835" s="1429" t="s">
        <v>6</v>
      </c>
      <c r="E2835" s="1430" t="s">
        <v>5404</v>
      </c>
      <c r="F2835" s="1429" t="s">
        <v>5405</v>
      </c>
      <c r="G2835" s="1431" t="s">
        <v>868</v>
      </c>
      <c r="H2835" s="1194"/>
    </row>
    <row r="2836" spans="1:8" x14ac:dyDescent="0.25">
      <c r="A2836" s="1191"/>
      <c r="B2836" s="1199" t="s">
        <v>5455</v>
      </c>
      <c r="C2836" s="226" t="s">
        <v>7042</v>
      </c>
      <c r="D2836" s="1196">
        <v>1</v>
      </c>
      <c r="E2836" s="228">
        <f>+H2874</f>
        <v>97643.666666666672</v>
      </c>
      <c r="F2836" s="1197">
        <v>0.2</v>
      </c>
      <c r="G2836" s="979">
        <f>IF(B2836="","",PRODUCT(D2836:F2836))</f>
        <v>19528.733333333334</v>
      </c>
      <c r="H2836" s="1194"/>
    </row>
    <row r="2837" spans="1:8" x14ac:dyDescent="0.25">
      <c r="A2837" s="1191"/>
      <c r="B2837" s="1303" t="s">
        <v>6869</v>
      </c>
      <c r="C2837" s="1198"/>
      <c r="D2837" s="1198"/>
      <c r="E2837" s="975">
        <f>+VLOOKUP(B2837,Insumos!$A$2:$C$331,3,FALSE)</f>
        <v>202536</v>
      </c>
      <c r="F2837" s="1198">
        <v>0.16</v>
      </c>
      <c r="G2837" s="979">
        <f>IF(B2837="","",PRODUCT(D2837:F2837))</f>
        <v>32405.760000000002</v>
      </c>
      <c r="H2837" s="1194"/>
    </row>
    <row r="2838" spans="1:8" x14ac:dyDescent="0.25">
      <c r="A2838" s="1191"/>
      <c r="B2838" s="763"/>
      <c r="C2838" s="1198"/>
      <c r="D2838" s="1198"/>
      <c r="E2838" s="1181"/>
      <c r="F2838" s="1198"/>
      <c r="G2838" s="979"/>
      <c r="H2838" s="1194"/>
    </row>
    <row r="2839" spans="1:8" x14ac:dyDescent="0.25">
      <c r="A2839" s="1191"/>
      <c r="B2839" s="1199"/>
      <c r="C2839" s="1198"/>
      <c r="D2839" s="1200"/>
      <c r="E2839" s="1201"/>
      <c r="F2839" s="1198"/>
      <c r="G2839" s="979"/>
      <c r="H2839" s="1194"/>
    </row>
    <row r="2840" spans="1:8" x14ac:dyDescent="0.25">
      <c r="A2840" s="1191"/>
      <c r="B2840" s="1199"/>
      <c r="C2840" s="1198"/>
      <c r="D2840" s="1200"/>
      <c r="E2840" s="1201"/>
      <c r="F2840" s="1198"/>
      <c r="G2840" s="979"/>
      <c r="H2840" s="1194"/>
    </row>
    <row r="2841" spans="1:8" x14ac:dyDescent="0.25">
      <c r="A2841" s="1191"/>
      <c r="B2841" s="1199"/>
      <c r="C2841" s="1198"/>
      <c r="D2841" s="1200"/>
      <c r="E2841" s="1201"/>
      <c r="F2841" s="1198"/>
      <c r="G2841" s="979"/>
      <c r="H2841" s="1194"/>
    </row>
    <row r="2842" spans="1:8" ht="15.75" thickBot="1" x14ac:dyDescent="0.3">
      <c r="A2842" s="1191"/>
      <c r="B2842" s="1199"/>
      <c r="C2842" s="1198"/>
      <c r="D2842" s="1200"/>
      <c r="E2842" s="1201"/>
      <c r="F2842" s="1198"/>
      <c r="G2842" s="979"/>
      <c r="H2842" s="1194"/>
    </row>
    <row r="2843" spans="1:8" ht="15.75" thickBot="1" x14ac:dyDescent="0.3">
      <c r="A2843" s="1191"/>
      <c r="B2843" s="1202"/>
      <c r="C2843" s="1203"/>
      <c r="D2843" s="1204"/>
      <c r="E2843" s="1205"/>
      <c r="F2843" s="1203"/>
      <c r="G2843" s="979"/>
      <c r="H2843" s="1206">
        <f>+SUM(G2836:G2843)</f>
        <v>51934.493333333332</v>
      </c>
    </row>
    <row r="2844" spans="1:8" ht="15.75" thickBot="1" x14ac:dyDescent="0.3">
      <c r="A2844" s="1191"/>
      <c r="B2844" s="1207"/>
      <c r="C2844" s="1208"/>
      <c r="D2844" s="1207"/>
      <c r="E2844" s="1209"/>
      <c r="F2844" s="1208"/>
      <c r="G2844" s="1210"/>
      <c r="H2844" s="1211"/>
    </row>
    <row r="2845" spans="1:8" ht="15.75" thickBot="1" x14ac:dyDescent="0.3">
      <c r="A2845" s="1192"/>
      <c r="B2845" s="1428" t="s">
        <v>5408</v>
      </c>
      <c r="C2845" s="1429" t="s">
        <v>867</v>
      </c>
      <c r="D2845" s="1429" t="s">
        <v>6</v>
      </c>
      <c r="E2845" s="1430" t="s">
        <v>870</v>
      </c>
      <c r="F2845" s="1429" t="s">
        <v>7040</v>
      </c>
      <c r="G2845" s="1431" t="s">
        <v>868</v>
      </c>
      <c r="H2845" s="1194"/>
    </row>
    <row r="2846" spans="1:8" x14ac:dyDescent="0.25">
      <c r="A2846" s="1192"/>
      <c r="B2846" s="1212"/>
      <c r="C2846" s="1195" t="str">
        <f t="shared" ref="C2846:C2859" si="47">IF(B2846="","",VLOOKUP(B2846,INSUMOS,2,FALSE))</f>
        <v/>
      </c>
      <c r="D2846" s="1195"/>
      <c r="E2846" s="1180"/>
      <c r="F2846" s="1195"/>
      <c r="G2846" s="979"/>
      <c r="H2846" s="1194"/>
    </row>
    <row r="2847" spans="1:8" x14ac:dyDescent="0.25">
      <c r="A2847" s="1192"/>
      <c r="B2847" s="1213"/>
      <c r="C2847" s="1198" t="str">
        <f t="shared" si="47"/>
        <v/>
      </c>
      <c r="D2847" s="1198"/>
      <c r="E2847" s="1181"/>
      <c r="F2847" s="1195"/>
      <c r="G2847" s="979"/>
      <c r="H2847" s="1194"/>
    </row>
    <row r="2848" spans="1:8" x14ac:dyDescent="0.25">
      <c r="A2848" s="1192"/>
      <c r="B2848" s="1213"/>
      <c r="C2848" s="1198" t="str">
        <f t="shared" si="47"/>
        <v/>
      </c>
      <c r="D2848" s="1198"/>
      <c r="E2848" s="1181"/>
      <c r="F2848" s="1195"/>
      <c r="G2848" s="979"/>
      <c r="H2848" s="1194"/>
    </row>
    <row r="2849" spans="1:8" x14ac:dyDescent="0.25">
      <c r="A2849" s="1192"/>
      <c r="B2849" s="1199"/>
      <c r="C2849" s="1198" t="str">
        <f t="shared" si="47"/>
        <v/>
      </c>
      <c r="D2849" s="1198"/>
      <c r="E2849" s="1180"/>
      <c r="F2849" s="1198"/>
      <c r="G2849" s="979"/>
      <c r="H2849" s="1194"/>
    </row>
    <row r="2850" spans="1:8" x14ac:dyDescent="0.25">
      <c r="A2850" s="1192"/>
      <c r="B2850" s="1199"/>
      <c r="C2850" s="1198" t="str">
        <f t="shared" si="47"/>
        <v/>
      </c>
      <c r="D2850" s="1198"/>
      <c r="E2850" s="1180"/>
      <c r="F2850" s="1198"/>
      <c r="G2850" s="979"/>
      <c r="H2850" s="1194"/>
    </row>
    <row r="2851" spans="1:8" x14ac:dyDescent="0.25">
      <c r="A2851" s="1192"/>
      <c r="B2851" s="1199"/>
      <c r="C2851" s="1198" t="str">
        <f t="shared" si="47"/>
        <v/>
      </c>
      <c r="D2851" s="1198"/>
      <c r="E2851" s="1180"/>
      <c r="F2851" s="1198"/>
      <c r="G2851" s="979"/>
      <c r="H2851" s="1194"/>
    </row>
    <row r="2852" spans="1:8" x14ac:dyDescent="0.25">
      <c r="A2852" s="1192"/>
      <c r="B2852" s="1199"/>
      <c r="C2852" s="1198" t="str">
        <f t="shared" si="47"/>
        <v/>
      </c>
      <c r="D2852" s="1198"/>
      <c r="E2852" s="1180"/>
      <c r="F2852" s="1198"/>
      <c r="G2852" s="979"/>
      <c r="H2852" s="1194"/>
    </row>
    <row r="2853" spans="1:8" x14ac:dyDescent="0.25">
      <c r="A2853" s="1192"/>
      <c r="B2853" s="1199"/>
      <c r="C2853" s="1198" t="str">
        <f t="shared" si="47"/>
        <v/>
      </c>
      <c r="D2853" s="1198"/>
      <c r="E2853" s="1180"/>
      <c r="F2853" s="1198"/>
      <c r="G2853" s="979"/>
      <c r="H2853" s="1194"/>
    </row>
    <row r="2854" spans="1:8" x14ac:dyDescent="0.25">
      <c r="A2854" s="1192"/>
      <c r="B2854" s="1199"/>
      <c r="C2854" s="1198" t="str">
        <f t="shared" si="47"/>
        <v/>
      </c>
      <c r="D2854" s="1198"/>
      <c r="E2854" s="1180"/>
      <c r="F2854" s="1198"/>
      <c r="G2854" s="979"/>
      <c r="H2854" s="1194"/>
    </row>
    <row r="2855" spans="1:8" x14ac:dyDescent="0.25">
      <c r="A2855" s="1192"/>
      <c r="B2855" s="1199"/>
      <c r="C2855" s="1198" t="str">
        <f t="shared" si="47"/>
        <v/>
      </c>
      <c r="D2855" s="1198"/>
      <c r="E2855" s="1180"/>
      <c r="F2855" s="1198"/>
      <c r="G2855" s="979"/>
      <c r="H2855" s="1194"/>
    </row>
    <row r="2856" spans="1:8" x14ac:dyDescent="0.25">
      <c r="A2856" s="1192"/>
      <c r="B2856" s="1199"/>
      <c r="C2856" s="1198" t="str">
        <f t="shared" si="47"/>
        <v/>
      </c>
      <c r="D2856" s="1198"/>
      <c r="E2856" s="1180"/>
      <c r="F2856" s="1198"/>
      <c r="G2856" s="979"/>
      <c r="H2856" s="1194"/>
    </row>
    <row r="2857" spans="1:8" x14ac:dyDescent="0.25">
      <c r="A2857" s="1192"/>
      <c r="B2857" s="1199"/>
      <c r="C2857" s="1200" t="str">
        <f t="shared" si="47"/>
        <v/>
      </c>
      <c r="D2857" s="1200"/>
      <c r="E2857" s="1201"/>
      <c r="F2857" s="1198"/>
      <c r="G2857" s="979"/>
      <c r="H2857" s="1194"/>
    </row>
    <row r="2858" spans="1:8" ht="15.75" thickBot="1" x14ac:dyDescent="0.3">
      <c r="A2858" s="1192"/>
      <c r="B2858" s="1199"/>
      <c r="C2858" s="1200" t="str">
        <f t="shared" si="47"/>
        <v/>
      </c>
      <c r="D2858" s="1200"/>
      <c r="E2858" s="1201"/>
      <c r="F2858" s="1198"/>
      <c r="G2858" s="979"/>
      <c r="H2858" s="1194"/>
    </row>
    <row r="2859" spans="1:8" ht="15.75" thickBot="1" x14ac:dyDescent="0.3">
      <c r="A2859" s="1192"/>
      <c r="B2859" s="1202"/>
      <c r="C2859" s="1204" t="str">
        <f t="shared" si="47"/>
        <v/>
      </c>
      <c r="D2859" s="1204"/>
      <c r="E2859" s="1205"/>
      <c r="F2859" s="1203"/>
      <c r="G2859" s="979"/>
      <c r="H2859" s="1206">
        <f>+SUM(G2846:G2859)</f>
        <v>0</v>
      </c>
    </row>
    <row r="2860" spans="1:8" ht="15.75" thickBot="1" x14ac:dyDescent="0.3">
      <c r="A2860" s="1192"/>
      <c r="B2860" s="1207"/>
      <c r="C2860" s="1207"/>
      <c r="D2860" s="1207"/>
      <c r="E2860" s="1209"/>
      <c r="F2860" s="1208"/>
      <c r="G2860" s="1210"/>
      <c r="H2860" s="1211"/>
    </row>
    <row r="2861" spans="1:8" ht="15.75" thickBot="1" x14ac:dyDescent="0.3">
      <c r="A2861" s="1192"/>
      <c r="B2861" s="1428" t="s">
        <v>5410</v>
      </c>
      <c r="C2861" s="1429" t="s">
        <v>867</v>
      </c>
      <c r="D2861" s="1429" t="s">
        <v>6</v>
      </c>
      <c r="E2861" s="1430" t="s">
        <v>870</v>
      </c>
      <c r="F2861" s="1429" t="s">
        <v>5411</v>
      </c>
      <c r="G2861" s="1431" t="s">
        <v>868</v>
      </c>
      <c r="H2861" s="1194"/>
    </row>
    <row r="2862" spans="1:8" x14ac:dyDescent="0.25">
      <c r="A2862" s="1192"/>
      <c r="B2862" s="1212"/>
      <c r="C2862" s="1195"/>
      <c r="D2862" s="1195"/>
      <c r="E2862" s="1180"/>
      <c r="F2862" s="1195"/>
      <c r="G2862" s="979"/>
      <c r="H2862" s="1194"/>
    </row>
    <row r="2863" spans="1:8" x14ac:dyDescent="0.25">
      <c r="A2863" s="1192"/>
      <c r="B2863" s="1213"/>
      <c r="C2863" s="1198"/>
      <c r="D2863" s="1198"/>
      <c r="E2863" s="1181"/>
      <c r="F2863" s="1198"/>
      <c r="G2863" s="979"/>
      <c r="H2863" s="1194"/>
    </row>
    <row r="2864" spans="1:8" x14ac:dyDescent="0.25">
      <c r="A2864" s="1192"/>
      <c r="B2864" s="1213"/>
      <c r="C2864" s="1198"/>
      <c r="D2864" s="1198"/>
      <c r="E2864" s="1180"/>
      <c r="F2864" s="1198"/>
      <c r="G2864" s="979"/>
      <c r="H2864" s="1194"/>
    </row>
    <row r="2865" spans="1:8" ht="15.75" thickBot="1" x14ac:dyDescent="0.3">
      <c r="A2865" s="1192"/>
      <c r="B2865" s="1199"/>
      <c r="C2865" s="1198"/>
      <c r="D2865" s="1198"/>
      <c r="E2865" s="1180"/>
      <c r="F2865" s="1198"/>
      <c r="G2865" s="979"/>
      <c r="H2865" s="1194"/>
    </row>
    <row r="2866" spans="1:8" ht="15.75" thickBot="1" x14ac:dyDescent="0.3">
      <c r="A2866" s="1192"/>
      <c r="B2866" s="1202"/>
      <c r="C2866" s="1204"/>
      <c r="D2866" s="1204"/>
      <c r="E2866" s="1205"/>
      <c r="F2866" s="1203"/>
      <c r="G2866" s="979"/>
      <c r="H2866" s="1206">
        <f>+SUM(G2862:G2866)</f>
        <v>0</v>
      </c>
    </row>
    <row r="2867" spans="1:8" ht="15.75" thickBot="1" x14ac:dyDescent="0.3">
      <c r="A2867" s="1192"/>
      <c r="B2867" s="1207"/>
      <c r="C2867" s="1207"/>
      <c r="D2867" s="1207"/>
      <c r="E2867" s="1209"/>
      <c r="F2867" s="1214"/>
      <c r="G2867" s="1215"/>
      <c r="H2867" s="1211"/>
    </row>
    <row r="2868" spans="1:8" ht="15.75" thickBot="1" x14ac:dyDescent="0.3">
      <c r="A2868" s="1192"/>
      <c r="B2868" s="1428" t="s">
        <v>5412</v>
      </c>
      <c r="C2868" s="1429" t="s">
        <v>5420</v>
      </c>
      <c r="D2868" s="1429" t="s">
        <v>5421</v>
      </c>
      <c r="E2868" s="1430" t="s">
        <v>5413</v>
      </c>
      <c r="F2868" s="1429" t="s">
        <v>5405</v>
      </c>
      <c r="G2868" s="1431" t="s">
        <v>868</v>
      </c>
      <c r="H2868" s="1194"/>
    </row>
    <row r="2869" spans="1:8" x14ac:dyDescent="0.25">
      <c r="A2869" s="1192"/>
      <c r="B2869" s="194" t="s">
        <v>6523</v>
      </c>
      <c r="C2869" s="345">
        <f>+VLOOKUP($B2869,'Mano de obra'!$A$5:$D$26,2,FALSE)</f>
        <v>57454</v>
      </c>
      <c r="D2869" s="345">
        <f>+VLOOKUP($B2869,'Mano de obra'!$A$5:$D$26,3,FALSE)</f>
        <v>35656</v>
      </c>
      <c r="E2869" s="345">
        <f>+VLOOKUP($B2869,'Mano de obra'!$A$5:$D$26,4,FALSE)</f>
        <v>93110</v>
      </c>
      <c r="F2869" s="1197">
        <v>20</v>
      </c>
      <c r="G2869" s="979">
        <f>IF(B2869="","",E2869/F2869)</f>
        <v>4655.5</v>
      </c>
      <c r="H2869" s="1194"/>
    </row>
    <row r="2870" spans="1:8" x14ac:dyDescent="0.25">
      <c r="A2870" s="1192"/>
      <c r="B2870" s="194" t="s">
        <v>6524</v>
      </c>
      <c r="C2870" s="345">
        <f>+VLOOKUP($B2870,'Mano de obra'!$A$5:$D$26,2,FALSE)</f>
        <v>44263.8</v>
      </c>
      <c r="D2870" s="345">
        <f>+VLOOKUP($B2870,'Mano de obra'!$A$5:$D$26,3,FALSE)</f>
        <v>27470</v>
      </c>
      <c r="E2870" s="345">
        <f>+VLOOKUP($B2870,'Mano de obra'!$A$5:$D$26,4,FALSE)</f>
        <v>71733.8</v>
      </c>
      <c r="F2870" s="1195">
        <v>1.2</v>
      </c>
      <c r="G2870" s="979">
        <f>IF(B2870="","",E2870/F2870)</f>
        <v>59778.166666666672</v>
      </c>
      <c r="H2870" s="1194"/>
    </row>
    <row r="2871" spans="1:8" x14ac:dyDescent="0.25">
      <c r="A2871" s="1192"/>
      <c r="B2871" s="195" t="s">
        <v>6525</v>
      </c>
      <c r="C2871" s="345">
        <f>+VLOOKUP($B2871,'Mano de obra'!$A$5:$D$26,2,FALSE)</f>
        <v>24591</v>
      </c>
      <c r="D2871" s="345">
        <f>+VLOOKUP($B2871,'Mano de obra'!$A$5:$D$26,3,FALSE)</f>
        <v>15261</v>
      </c>
      <c r="E2871" s="345">
        <f>+VLOOKUP($B2871,'Mano de obra'!$A$5:$D$26,4,FALSE)</f>
        <v>39852</v>
      </c>
      <c r="F2871" s="1198">
        <v>1.2</v>
      </c>
      <c r="G2871" s="979">
        <f>IF(B2871="","",E2871/F2871)</f>
        <v>33210</v>
      </c>
      <c r="H2871" s="1194"/>
    </row>
    <row r="2872" spans="1:8" x14ac:dyDescent="0.25">
      <c r="A2872" s="1192"/>
      <c r="B2872" s="1199"/>
      <c r="C2872" s="1216"/>
      <c r="D2872" s="1201"/>
      <c r="E2872" s="1201"/>
      <c r="F2872" s="1198"/>
      <c r="G2872" s="1217"/>
      <c r="H2872" s="1194"/>
    </row>
    <row r="2873" spans="1:8" ht="15.75" thickBot="1" x14ac:dyDescent="0.3">
      <c r="A2873" s="1192"/>
      <c r="B2873" s="1199"/>
      <c r="C2873" s="1201"/>
      <c r="D2873" s="1201"/>
      <c r="E2873" s="1201"/>
      <c r="F2873" s="1198"/>
      <c r="G2873" s="1217"/>
      <c r="H2873" s="1194"/>
    </row>
    <row r="2874" spans="1:8" ht="15.75" thickBot="1" x14ac:dyDescent="0.3">
      <c r="A2874" s="1192"/>
      <c r="B2874" s="1218"/>
      <c r="C2874" s="1219"/>
      <c r="D2874" s="1219"/>
      <c r="E2874" s="1219"/>
      <c r="F2874" s="1220"/>
      <c r="G2874" s="1221"/>
      <c r="H2874" s="1206">
        <f>+SUM(G2869:G2874)</f>
        <v>97643.666666666672</v>
      </c>
    </row>
    <row r="2875" spans="1:8" ht="15.75" thickBot="1" x14ac:dyDescent="0.3">
      <c r="A2875" s="1192"/>
      <c r="B2875" s="1192"/>
      <c r="C2875" s="1192"/>
      <c r="D2875" s="1192"/>
      <c r="E2875" s="1192"/>
      <c r="F2875" s="1191"/>
      <c r="G2875" s="1192"/>
      <c r="H2875" s="1192"/>
    </row>
    <row r="2876" spans="1:8" ht="15.75" thickBot="1" x14ac:dyDescent="0.3">
      <c r="A2876" s="1192"/>
      <c r="B2876" s="1192"/>
      <c r="C2876" s="1192"/>
      <c r="D2876" s="1192"/>
      <c r="E2876" s="1222" t="s">
        <v>5415</v>
      </c>
      <c r="F2876" s="1191"/>
      <c r="G2876" s="1192"/>
      <c r="H2876" s="1223">
        <f>ROUND(+H2843+H2859+H2866+H2874,0)</f>
        <v>149578</v>
      </c>
    </row>
    <row r="2877" spans="1:8" x14ac:dyDescent="0.25">
      <c r="A2877" s="1058"/>
      <c r="B2877" s="1058"/>
      <c r="C2877" s="1058"/>
      <c r="D2877" s="1058"/>
      <c r="E2877" s="1058"/>
      <c r="F2877" s="1058"/>
      <c r="G2877" s="1058"/>
      <c r="H2877" s="1058"/>
    </row>
    <row r="2878" spans="1:8" x14ac:dyDescent="0.25">
      <c r="A2878" s="1191"/>
      <c r="B2878" s="1192"/>
      <c r="C2878" s="1192"/>
      <c r="D2878" s="1192"/>
      <c r="E2878" s="1192"/>
      <c r="F2878" s="1191"/>
      <c r="G2878" s="1192"/>
      <c r="H2878" s="1192"/>
    </row>
    <row r="2879" spans="1:8" x14ac:dyDescent="0.25">
      <c r="A2879" s="673" t="s">
        <v>3</v>
      </c>
      <c r="B2879" s="1390" t="str">
        <f>+VLOOKUP(C2879,ListaAPUs!$B:$E,4,FALSE)</f>
        <v>4.2.20</v>
      </c>
      <c r="C2879" s="2449" t="str">
        <f>+ListaAPUs!B94</f>
        <v>INSTALACIÓN NIPLES EN HD D=400 MM A 500 MM L=3 A 4M</v>
      </c>
      <c r="D2879" s="2449"/>
      <c r="E2879" s="2449"/>
      <c r="F2879" s="673" t="s">
        <v>867</v>
      </c>
      <c r="G2879" s="222" t="s">
        <v>5424</v>
      </c>
      <c r="H2879" s="1192"/>
    </row>
    <row r="2880" spans="1:8" x14ac:dyDescent="0.25">
      <c r="A2880" s="1191"/>
      <c r="B2880" s="1192"/>
      <c r="C2880" s="1192"/>
      <c r="D2880" s="1192"/>
      <c r="E2880" s="1192"/>
      <c r="F2880" s="1191"/>
      <c r="G2880" s="1192"/>
      <c r="H2880" s="1192"/>
    </row>
    <row r="2881" spans="1:8" x14ac:dyDescent="0.25">
      <c r="A2881" s="1191"/>
      <c r="B2881" s="1192"/>
      <c r="C2881" s="1192"/>
      <c r="D2881" s="1192"/>
      <c r="E2881" s="1192"/>
      <c r="F2881" s="1191"/>
      <c r="G2881" s="1193"/>
      <c r="H2881" s="1192"/>
    </row>
    <row r="2882" spans="1:8" ht="15.75" thickBot="1" x14ac:dyDescent="0.3">
      <c r="A2882" s="1191"/>
      <c r="B2882" s="1192"/>
      <c r="C2882" s="1192"/>
      <c r="D2882" s="1192"/>
      <c r="E2882" s="1192"/>
      <c r="F2882" s="1191"/>
      <c r="G2882" s="1192"/>
      <c r="H2882" s="1192"/>
    </row>
    <row r="2883" spans="1:8" ht="15.75" thickBot="1" x14ac:dyDescent="0.3">
      <c r="A2883" s="1191"/>
      <c r="B2883" s="1428" t="s">
        <v>5403</v>
      </c>
      <c r="C2883" s="1429" t="s">
        <v>867</v>
      </c>
      <c r="D2883" s="1429" t="s">
        <v>6</v>
      </c>
      <c r="E2883" s="1430" t="s">
        <v>5404</v>
      </c>
      <c r="F2883" s="1429" t="s">
        <v>5405</v>
      </c>
      <c r="G2883" s="1431" t="s">
        <v>868</v>
      </c>
      <c r="H2883" s="1194"/>
    </row>
    <row r="2884" spans="1:8" x14ac:dyDescent="0.25">
      <c r="A2884" s="1191"/>
      <c r="B2884" s="1199" t="s">
        <v>5455</v>
      </c>
      <c r="C2884" s="226" t="s">
        <v>7042</v>
      </c>
      <c r="D2884" s="1196">
        <v>1</v>
      </c>
      <c r="E2884" s="228">
        <f>+H2922</f>
        <v>97643.666666666672</v>
      </c>
      <c r="F2884" s="1197">
        <v>0.2</v>
      </c>
      <c r="G2884" s="979">
        <f>IF(B2884="","",PRODUCT(D2884:F2884))</f>
        <v>19528.733333333334</v>
      </c>
      <c r="H2884" s="1194"/>
    </row>
    <row r="2885" spans="1:8" x14ac:dyDescent="0.25">
      <c r="A2885" s="1191"/>
      <c r="B2885" s="1303" t="s">
        <v>6869</v>
      </c>
      <c r="C2885" s="1198"/>
      <c r="D2885" s="1198"/>
      <c r="E2885" s="975">
        <f>+VLOOKUP(B2885,Insumos!$A$2:$C$331,3,FALSE)</f>
        <v>202536</v>
      </c>
      <c r="F2885" s="1198">
        <v>0.25</v>
      </c>
      <c r="G2885" s="979">
        <f>IF(B2885="","",PRODUCT(D2885:F2885))</f>
        <v>50634</v>
      </c>
      <c r="H2885" s="1194"/>
    </row>
    <row r="2886" spans="1:8" x14ac:dyDescent="0.25">
      <c r="A2886" s="1191"/>
      <c r="B2886" s="763"/>
      <c r="C2886" s="1198"/>
      <c r="D2886" s="1198"/>
      <c r="E2886" s="1181"/>
      <c r="F2886" s="1198"/>
      <c r="G2886" s="979"/>
      <c r="H2886" s="1194"/>
    </row>
    <row r="2887" spans="1:8" x14ac:dyDescent="0.25">
      <c r="A2887" s="1191"/>
      <c r="B2887" s="1199"/>
      <c r="C2887" s="1198"/>
      <c r="D2887" s="1200"/>
      <c r="E2887" s="1201"/>
      <c r="F2887" s="1198"/>
      <c r="G2887" s="979"/>
      <c r="H2887" s="1194"/>
    </row>
    <row r="2888" spans="1:8" x14ac:dyDescent="0.25">
      <c r="A2888" s="1191"/>
      <c r="B2888" s="1199"/>
      <c r="C2888" s="1198"/>
      <c r="D2888" s="1200"/>
      <c r="E2888" s="1201"/>
      <c r="F2888" s="1198"/>
      <c r="G2888" s="979"/>
      <c r="H2888" s="1194"/>
    </row>
    <row r="2889" spans="1:8" x14ac:dyDescent="0.25">
      <c r="A2889" s="1191"/>
      <c r="B2889" s="1199"/>
      <c r="C2889" s="1198"/>
      <c r="D2889" s="1200"/>
      <c r="E2889" s="1201"/>
      <c r="F2889" s="1198"/>
      <c r="G2889" s="979"/>
      <c r="H2889" s="1194"/>
    </row>
    <row r="2890" spans="1:8" ht="15.75" thickBot="1" x14ac:dyDescent="0.3">
      <c r="A2890" s="1191"/>
      <c r="B2890" s="1199"/>
      <c r="C2890" s="1198"/>
      <c r="D2890" s="1200"/>
      <c r="E2890" s="1201"/>
      <c r="F2890" s="1198"/>
      <c r="G2890" s="979"/>
      <c r="H2890" s="1194"/>
    </row>
    <row r="2891" spans="1:8" ht="15.75" thickBot="1" x14ac:dyDescent="0.3">
      <c r="A2891" s="1191"/>
      <c r="B2891" s="1202"/>
      <c r="C2891" s="1203"/>
      <c r="D2891" s="1204"/>
      <c r="E2891" s="1205"/>
      <c r="F2891" s="1203"/>
      <c r="G2891" s="979"/>
      <c r="H2891" s="1206">
        <f>+SUM(G2884:G2891)</f>
        <v>70162.733333333337</v>
      </c>
    </row>
    <row r="2892" spans="1:8" ht="15.75" thickBot="1" x14ac:dyDescent="0.3">
      <c r="A2892" s="1191"/>
      <c r="B2892" s="1207"/>
      <c r="C2892" s="1208"/>
      <c r="D2892" s="1207"/>
      <c r="E2892" s="1209"/>
      <c r="F2892" s="1208"/>
      <c r="G2892" s="1210"/>
      <c r="H2892" s="1211"/>
    </row>
    <row r="2893" spans="1:8" ht="15.75" thickBot="1" x14ac:dyDescent="0.3">
      <c r="A2893" s="1192"/>
      <c r="B2893" s="1428" t="s">
        <v>5408</v>
      </c>
      <c r="C2893" s="1429" t="s">
        <v>867</v>
      </c>
      <c r="D2893" s="1429" t="s">
        <v>6</v>
      </c>
      <c r="E2893" s="1430" t="s">
        <v>870</v>
      </c>
      <c r="F2893" s="1429" t="s">
        <v>7040</v>
      </c>
      <c r="G2893" s="1431" t="s">
        <v>868</v>
      </c>
      <c r="H2893" s="1194"/>
    </row>
    <row r="2894" spans="1:8" x14ac:dyDescent="0.25">
      <c r="A2894" s="1192"/>
      <c r="B2894" s="1212"/>
      <c r="C2894" s="1195" t="str">
        <f t="shared" ref="C2894:C2907" si="48">IF(B2894="","",VLOOKUP(B2894,INSUMOS,2,FALSE))</f>
        <v/>
      </c>
      <c r="D2894" s="1195"/>
      <c r="E2894" s="1180"/>
      <c r="F2894" s="1195"/>
      <c r="G2894" s="979"/>
      <c r="H2894" s="1194"/>
    </row>
    <row r="2895" spans="1:8" x14ac:dyDescent="0.25">
      <c r="A2895" s="1192"/>
      <c r="B2895" s="1213"/>
      <c r="C2895" s="1198" t="str">
        <f t="shared" si="48"/>
        <v/>
      </c>
      <c r="D2895" s="1198"/>
      <c r="E2895" s="1181"/>
      <c r="F2895" s="1195"/>
      <c r="G2895" s="979"/>
      <c r="H2895" s="1194"/>
    </row>
    <row r="2896" spans="1:8" x14ac:dyDescent="0.25">
      <c r="A2896" s="1192"/>
      <c r="B2896" s="1213"/>
      <c r="C2896" s="1198" t="str">
        <f t="shared" si="48"/>
        <v/>
      </c>
      <c r="D2896" s="1198"/>
      <c r="E2896" s="1181"/>
      <c r="F2896" s="1195"/>
      <c r="G2896" s="979"/>
      <c r="H2896" s="1194"/>
    </row>
    <row r="2897" spans="1:8" x14ac:dyDescent="0.25">
      <c r="A2897" s="1192"/>
      <c r="B2897" s="1199"/>
      <c r="C2897" s="1198" t="str">
        <f t="shared" si="48"/>
        <v/>
      </c>
      <c r="D2897" s="1198"/>
      <c r="E2897" s="1180"/>
      <c r="F2897" s="1198"/>
      <c r="G2897" s="979"/>
      <c r="H2897" s="1194"/>
    </row>
    <row r="2898" spans="1:8" x14ac:dyDescent="0.25">
      <c r="A2898" s="1192"/>
      <c r="B2898" s="1199"/>
      <c r="C2898" s="1198" t="str">
        <f t="shared" si="48"/>
        <v/>
      </c>
      <c r="D2898" s="1198"/>
      <c r="E2898" s="1180"/>
      <c r="F2898" s="1198"/>
      <c r="G2898" s="979"/>
      <c r="H2898" s="1194"/>
    </row>
    <row r="2899" spans="1:8" x14ac:dyDescent="0.25">
      <c r="A2899" s="1192"/>
      <c r="B2899" s="1199"/>
      <c r="C2899" s="1198" t="str">
        <f t="shared" si="48"/>
        <v/>
      </c>
      <c r="D2899" s="1198"/>
      <c r="E2899" s="1180"/>
      <c r="F2899" s="1198"/>
      <c r="G2899" s="979"/>
      <c r="H2899" s="1194"/>
    </row>
    <row r="2900" spans="1:8" x14ac:dyDescent="0.25">
      <c r="A2900" s="1192"/>
      <c r="B2900" s="1199"/>
      <c r="C2900" s="1198" t="str">
        <f t="shared" si="48"/>
        <v/>
      </c>
      <c r="D2900" s="1198"/>
      <c r="E2900" s="1180"/>
      <c r="F2900" s="1198"/>
      <c r="G2900" s="979"/>
      <c r="H2900" s="1194"/>
    </row>
    <row r="2901" spans="1:8" x14ac:dyDescent="0.25">
      <c r="A2901" s="1192"/>
      <c r="B2901" s="1199"/>
      <c r="C2901" s="1198" t="str">
        <f t="shared" si="48"/>
        <v/>
      </c>
      <c r="D2901" s="1198"/>
      <c r="E2901" s="1180"/>
      <c r="F2901" s="1198"/>
      <c r="G2901" s="979"/>
      <c r="H2901" s="1194"/>
    </row>
    <row r="2902" spans="1:8" x14ac:dyDescent="0.25">
      <c r="A2902" s="1192"/>
      <c r="B2902" s="1199"/>
      <c r="C2902" s="1198" t="str">
        <f t="shared" si="48"/>
        <v/>
      </c>
      <c r="D2902" s="1198"/>
      <c r="E2902" s="1180"/>
      <c r="F2902" s="1198"/>
      <c r="G2902" s="979"/>
      <c r="H2902" s="1194"/>
    </row>
    <row r="2903" spans="1:8" x14ac:dyDescent="0.25">
      <c r="A2903" s="1192"/>
      <c r="B2903" s="1199"/>
      <c r="C2903" s="1198" t="str">
        <f t="shared" si="48"/>
        <v/>
      </c>
      <c r="D2903" s="1198"/>
      <c r="E2903" s="1180"/>
      <c r="F2903" s="1198"/>
      <c r="G2903" s="979"/>
      <c r="H2903" s="1194"/>
    </row>
    <row r="2904" spans="1:8" x14ac:dyDescent="0.25">
      <c r="A2904" s="1192"/>
      <c r="B2904" s="1199"/>
      <c r="C2904" s="1198" t="str">
        <f t="shared" si="48"/>
        <v/>
      </c>
      <c r="D2904" s="1198"/>
      <c r="E2904" s="1180"/>
      <c r="F2904" s="1198"/>
      <c r="G2904" s="979"/>
      <c r="H2904" s="1194"/>
    </row>
    <row r="2905" spans="1:8" x14ac:dyDescent="0.25">
      <c r="A2905" s="1192"/>
      <c r="B2905" s="1199"/>
      <c r="C2905" s="1200" t="str">
        <f t="shared" si="48"/>
        <v/>
      </c>
      <c r="D2905" s="1200"/>
      <c r="E2905" s="1201"/>
      <c r="F2905" s="1198"/>
      <c r="G2905" s="979"/>
      <c r="H2905" s="1194"/>
    </row>
    <row r="2906" spans="1:8" ht="15.75" thickBot="1" x14ac:dyDescent="0.3">
      <c r="A2906" s="1192"/>
      <c r="B2906" s="1199"/>
      <c r="C2906" s="1200" t="str">
        <f t="shared" si="48"/>
        <v/>
      </c>
      <c r="D2906" s="1200"/>
      <c r="E2906" s="1201"/>
      <c r="F2906" s="1198"/>
      <c r="G2906" s="979"/>
      <c r="H2906" s="1194"/>
    </row>
    <row r="2907" spans="1:8" ht="15.75" thickBot="1" x14ac:dyDescent="0.3">
      <c r="A2907" s="1192"/>
      <c r="B2907" s="1202"/>
      <c r="C2907" s="1204" t="str">
        <f t="shared" si="48"/>
        <v/>
      </c>
      <c r="D2907" s="1204"/>
      <c r="E2907" s="1205"/>
      <c r="F2907" s="1203"/>
      <c r="G2907" s="979"/>
      <c r="H2907" s="1206">
        <f>+SUM(G2894:G2907)</f>
        <v>0</v>
      </c>
    </row>
    <row r="2908" spans="1:8" ht="15.75" thickBot="1" x14ac:dyDescent="0.3">
      <c r="A2908" s="1192"/>
      <c r="B2908" s="1207"/>
      <c r="C2908" s="1207"/>
      <c r="D2908" s="1207"/>
      <c r="E2908" s="1209"/>
      <c r="F2908" s="1208"/>
      <c r="G2908" s="1210"/>
      <c r="H2908" s="1211"/>
    </row>
    <row r="2909" spans="1:8" ht="15.75" thickBot="1" x14ac:dyDescent="0.3">
      <c r="A2909" s="1192"/>
      <c r="B2909" s="1428" t="s">
        <v>5410</v>
      </c>
      <c r="C2909" s="1429" t="s">
        <v>867</v>
      </c>
      <c r="D2909" s="1429" t="s">
        <v>6</v>
      </c>
      <c r="E2909" s="1430" t="s">
        <v>870</v>
      </c>
      <c r="F2909" s="1429" t="s">
        <v>5411</v>
      </c>
      <c r="G2909" s="1431" t="s">
        <v>868</v>
      </c>
      <c r="H2909" s="1194"/>
    </row>
    <row r="2910" spans="1:8" x14ac:dyDescent="0.25">
      <c r="A2910" s="1192"/>
      <c r="B2910" s="1212"/>
      <c r="C2910" s="1195"/>
      <c r="D2910" s="1195"/>
      <c r="E2910" s="1180"/>
      <c r="F2910" s="1195"/>
      <c r="G2910" s="979"/>
      <c r="H2910" s="1194"/>
    </row>
    <row r="2911" spans="1:8" x14ac:dyDescent="0.25">
      <c r="A2911" s="1192"/>
      <c r="B2911" s="1213"/>
      <c r="C2911" s="1198"/>
      <c r="D2911" s="1198"/>
      <c r="E2911" s="1181"/>
      <c r="F2911" s="1198"/>
      <c r="G2911" s="979"/>
      <c r="H2911" s="1194"/>
    </row>
    <row r="2912" spans="1:8" x14ac:dyDescent="0.25">
      <c r="A2912" s="1192"/>
      <c r="B2912" s="1213"/>
      <c r="C2912" s="1198"/>
      <c r="D2912" s="1198"/>
      <c r="E2912" s="1180"/>
      <c r="F2912" s="1198"/>
      <c r="G2912" s="979"/>
      <c r="H2912" s="1194"/>
    </row>
    <row r="2913" spans="1:8" ht="15.75" thickBot="1" x14ac:dyDescent="0.3">
      <c r="A2913" s="1192"/>
      <c r="B2913" s="1199"/>
      <c r="C2913" s="1198"/>
      <c r="D2913" s="1198"/>
      <c r="E2913" s="1180"/>
      <c r="F2913" s="1198"/>
      <c r="G2913" s="979"/>
      <c r="H2913" s="1194"/>
    </row>
    <row r="2914" spans="1:8" ht="15.75" thickBot="1" x14ac:dyDescent="0.3">
      <c r="A2914" s="1192"/>
      <c r="B2914" s="1202"/>
      <c r="C2914" s="1204"/>
      <c r="D2914" s="1204"/>
      <c r="E2914" s="1205"/>
      <c r="F2914" s="1203"/>
      <c r="G2914" s="979"/>
      <c r="H2914" s="1206">
        <f>+SUM(G2910:G2914)</f>
        <v>0</v>
      </c>
    </row>
    <row r="2915" spans="1:8" ht="15.75" thickBot="1" x14ac:dyDescent="0.3">
      <c r="A2915" s="1192"/>
      <c r="B2915" s="1207"/>
      <c r="C2915" s="1207"/>
      <c r="D2915" s="1207"/>
      <c r="E2915" s="1209"/>
      <c r="F2915" s="1214"/>
      <c r="G2915" s="1215"/>
      <c r="H2915" s="1211"/>
    </row>
    <row r="2916" spans="1:8" ht="15.75" thickBot="1" x14ac:dyDescent="0.3">
      <c r="A2916" s="1192"/>
      <c r="B2916" s="1428" t="s">
        <v>5412</v>
      </c>
      <c r="C2916" s="1429" t="s">
        <v>5420</v>
      </c>
      <c r="D2916" s="1429" t="s">
        <v>5421</v>
      </c>
      <c r="E2916" s="1430" t="s">
        <v>5413</v>
      </c>
      <c r="F2916" s="1429" t="s">
        <v>5405</v>
      </c>
      <c r="G2916" s="1431" t="s">
        <v>868</v>
      </c>
      <c r="H2916" s="1194"/>
    </row>
    <row r="2917" spans="1:8" x14ac:dyDescent="0.25">
      <c r="A2917" s="1192"/>
      <c r="B2917" s="194" t="s">
        <v>6523</v>
      </c>
      <c r="C2917" s="345">
        <f>+VLOOKUP($B2917,'Mano de obra'!$A$5:$D$26,2,FALSE)</f>
        <v>57454</v>
      </c>
      <c r="D2917" s="345">
        <f>+VLOOKUP($B2917,'Mano de obra'!$A$5:$D$26,3,FALSE)</f>
        <v>35656</v>
      </c>
      <c r="E2917" s="345">
        <f>+VLOOKUP($B2917,'Mano de obra'!$A$5:$D$26,4,FALSE)</f>
        <v>93110</v>
      </c>
      <c r="F2917" s="1197">
        <v>20</v>
      </c>
      <c r="G2917" s="979">
        <f>IF(B2917="","",E2917/F2917)</f>
        <v>4655.5</v>
      </c>
      <c r="H2917" s="1194"/>
    </row>
    <row r="2918" spans="1:8" x14ac:dyDescent="0.25">
      <c r="A2918" s="1192"/>
      <c r="B2918" s="194" t="s">
        <v>6524</v>
      </c>
      <c r="C2918" s="345">
        <f>+VLOOKUP($B2918,'Mano de obra'!$A$5:$D$26,2,FALSE)</f>
        <v>44263.8</v>
      </c>
      <c r="D2918" s="345">
        <f>+VLOOKUP($B2918,'Mano de obra'!$A$5:$D$26,3,FALSE)</f>
        <v>27470</v>
      </c>
      <c r="E2918" s="345">
        <f>+VLOOKUP($B2918,'Mano de obra'!$A$5:$D$26,4,FALSE)</f>
        <v>71733.8</v>
      </c>
      <c r="F2918" s="1195">
        <v>1.2</v>
      </c>
      <c r="G2918" s="979">
        <f>IF(B2918="","",E2918/F2918)</f>
        <v>59778.166666666672</v>
      </c>
      <c r="H2918" s="1194"/>
    </row>
    <row r="2919" spans="1:8" x14ac:dyDescent="0.25">
      <c r="A2919" s="1192"/>
      <c r="B2919" s="195" t="s">
        <v>6525</v>
      </c>
      <c r="C2919" s="345">
        <f>+VLOOKUP($B2919,'Mano de obra'!$A$5:$D$26,2,FALSE)</f>
        <v>24591</v>
      </c>
      <c r="D2919" s="345">
        <f>+VLOOKUP($B2919,'Mano de obra'!$A$5:$D$26,3,FALSE)</f>
        <v>15261</v>
      </c>
      <c r="E2919" s="345">
        <f>+VLOOKUP($B2919,'Mano de obra'!$A$5:$D$26,4,FALSE)</f>
        <v>39852</v>
      </c>
      <c r="F2919" s="1198">
        <v>1.2</v>
      </c>
      <c r="G2919" s="979">
        <f>IF(B2919="","",E2919/F2919)</f>
        <v>33210</v>
      </c>
      <c r="H2919" s="1194"/>
    </row>
    <row r="2920" spans="1:8" x14ac:dyDescent="0.25">
      <c r="A2920" s="1192"/>
      <c r="B2920" s="1199"/>
      <c r="C2920" s="1216"/>
      <c r="D2920" s="1201"/>
      <c r="E2920" s="1201"/>
      <c r="F2920" s="1198"/>
      <c r="G2920" s="1217"/>
      <c r="H2920" s="1194"/>
    </row>
    <row r="2921" spans="1:8" ht="15.75" thickBot="1" x14ac:dyDescent="0.3">
      <c r="A2921" s="1192"/>
      <c r="B2921" s="1199"/>
      <c r="C2921" s="1201"/>
      <c r="D2921" s="1201"/>
      <c r="E2921" s="1201"/>
      <c r="F2921" s="1198"/>
      <c r="G2921" s="1217"/>
      <c r="H2921" s="1194"/>
    </row>
    <row r="2922" spans="1:8" ht="15.75" thickBot="1" x14ac:dyDescent="0.3">
      <c r="A2922" s="1192"/>
      <c r="B2922" s="1218"/>
      <c r="C2922" s="1219"/>
      <c r="D2922" s="1219"/>
      <c r="E2922" s="1219"/>
      <c r="F2922" s="1220"/>
      <c r="G2922" s="1221"/>
      <c r="H2922" s="1206">
        <f>+SUM(G2917:G2922)</f>
        <v>97643.666666666672</v>
      </c>
    </row>
    <row r="2923" spans="1:8" ht="15.75" thickBot="1" x14ac:dyDescent="0.3">
      <c r="A2923" s="1192"/>
      <c r="B2923" s="1192"/>
      <c r="C2923" s="1192"/>
      <c r="D2923" s="1192"/>
      <c r="E2923" s="1192"/>
      <c r="F2923" s="1191"/>
      <c r="G2923" s="1192"/>
      <c r="H2923" s="1192"/>
    </row>
    <row r="2924" spans="1:8" ht="15.75" thickBot="1" x14ac:dyDescent="0.3">
      <c r="A2924" s="1192"/>
      <c r="B2924" s="1192"/>
      <c r="C2924" s="1192"/>
      <c r="D2924" s="1192"/>
      <c r="E2924" s="1222" t="s">
        <v>5415</v>
      </c>
      <c r="F2924" s="1191"/>
      <c r="G2924" s="1192"/>
      <c r="H2924" s="1223">
        <f>ROUND(+H2891+H2907+H2914+H2922,0)</f>
        <v>167806</v>
      </c>
    </row>
    <row r="2925" spans="1:8" x14ac:dyDescent="0.25">
      <c r="A2925" s="1058"/>
      <c r="B2925" s="1058"/>
      <c r="C2925" s="1058"/>
      <c r="D2925" s="1058"/>
      <c r="E2925" s="1058"/>
      <c r="F2925" s="1058"/>
      <c r="G2925" s="1058"/>
      <c r="H2925" s="1058"/>
    </row>
    <row r="2926" spans="1:8" x14ac:dyDescent="0.25">
      <c r="A2926" s="1191"/>
      <c r="B2926" s="1192"/>
      <c r="C2926" s="1192"/>
      <c r="D2926" s="1192"/>
      <c r="E2926" s="1192"/>
      <c r="F2926" s="1191"/>
      <c r="G2926" s="1192"/>
      <c r="H2926" s="1192"/>
    </row>
    <row r="2927" spans="1:8" x14ac:dyDescent="0.25">
      <c r="A2927" s="673" t="s">
        <v>3</v>
      </c>
      <c r="B2927" s="1390" t="str">
        <f>+VLOOKUP(C2927,ListaAPUs!$B:$E,4,FALSE)</f>
        <v>4.2.21</v>
      </c>
      <c r="C2927" s="2449" t="str">
        <f>+ListaAPUs!B95</f>
        <v>INSTALACIÓN NIPLES PASAMURO EN  HD D=25 MM A 150 MM L=0 A 1M</v>
      </c>
      <c r="D2927" s="2449"/>
      <c r="E2927" s="2449"/>
      <c r="F2927" s="673" t="s">
        <v>867</v>
      </c>
      <c r="G2927" s="222" t="s">
        <v>5424</v>
      </c>
      <c r="H2927" s="1192"/>
    </row>
    <row r="2928" spans="1:8" x14ac:dyDescent="0.25">
      <c r="A2928" s="1191"/>
      <c r="B2928" s="1192"/>
      <c r="C2928" s="1192"/>
      <c r="D2928" s="1192"/>
      <c r="E2928" s="1192"/>
      <c r="F2928" s="1191"/>
      <c r="G2928" s="1192"/>
      <c r="H2928" s="1192"/>
    </row>
    <row r="2929" spans="1:8" x14ac:dyDescent="0.25">
      <c r="A2929" s="1191"/>
      <c r="B2929" s="1192"/>
      <c r="C2929" s="1192"/>
      <c r="D2929" s="1192"/>
      <c r="E2929" s="1192"/>
      <c r="F2929" s="1191"/>
      <c r="G2929" s="1193"/>
      <c r="H2929" s="1192"/>
    </row>
    <row r="2930" spans="1:8" ht="15.75" thickBot="1" x14ac:dyDescent="0.3">
      <c r="A2930" s="1191"/>
      <c r="B2930" s="1192"/>
      <c r="C2930" s="1192"/>
      <c r="D2930" s="1192"/>
      <c r="E2930" s="1192"/>
      <c r="F2930" s="1191"/>
      <c r="G2930" s="1192"/>
      <c r="H2930" s="1192"/>
    </row>
    <row r="2931" spans="1:8" ht="15.75" thickBot="1" x14ac:dyDescent="0.3">
      <c r="A2931" s="1191"/>
      <c r="B2931" s="1428" t="s">
        <v>5403</v>
      </c>
      <c r="C2931" s="1429" t="s">
        <v>867</v>
      </c>
      <c r="D2931" s="1429" t="s">
        <v>6</v>
      </c>
      <c r="E2931" s="1430" t="s">
        <v>5404</v>
      </c>
      <c r="F2931" s="1429" t="s">
        <v>5405</v>
      </c>
      <c r="G2931" s="1431" t="s">
        <v>868</v>
      </c>
      <c r="H2931" s="1194"/>
    </row>
    <row r="2932" spans="1:8" x14ac:dyDescent="0.25">
      <c r="A2932" s="1191"/>
      <c r="B2932" s="757" t="s">
        <v>5455</v>
      </c>
      <c r="C2932" s="226" t="s">
        <v>7042</v>
      </c>
      <c r="D2932" s="1196">
        <v>1</v>
      </c>
      <c r="E2932" s="228">
        <f>+H2970</f>
        <v>65095.777777777774</v>
      </c>
      <c r="F2932" s="1197">
        <v>0.2</v>
      </c>
      <c r="G2932" s="979">
        <f t="shared" ref="G2932:G2939" si="49">IF(B2932="","",PRODUCT(D2932:F2932))</f>
        <v>13019.155555555555</v>
      </c>
      <c r="H2932" s="1194"/>
    </row>
    <row r="2933" spans="1:8" x14ac:dyDescent="0.25">
      <c r="A2933" s="1191"/>
      <c r="B2933" s="760"/>
      <c r="C2933" s="1198" t="str">
        <f t="shared" ref="C2933:C2939" si="50">IF(B2933="","",VLOOKUP(B2933,INSUMOS,2,FALSE))</f>
        <v/>
      </c>
      <c r="D2933" s="1198"/>
      <c r="E2933" s="1181" t="str">
        <f t="shared" ref="E2933:E2939" si="51">IF(B2933="","",IF(C2933="%mo",$K$50,VLOOKUP(B2933,INSUMOS,3,FALSE)))</f>
        <v/>
      </c>
      <c r="F2933" s="1198"/>
      <c r="G2933" s="979" t="str">
        <f t="shared" si="49"/>
        <v/>
      </c>
      <c r="H2933" s="1194"/>
    </row>
    <row r="2934" spans="1:8" x14ac:dyDescent="0.25">
      <c r="A2934" s="1191"/>
      <c r="B2934" s="763"/>
      <c r="C2934" s="1198" t="str">
        <f t="shared" si="50"/>
        <v/>
      </c>
      <c r="D2934" s="1198"/>
      <c r="E2934" s="1181" t="str">
        <f t="shared" si="51"/>
        <v/>
      </c>
      <c r="F2934" s="1198"/>
      <c r="G2934" s="979" t="str">
        <f t="shared" si="49"/>
        <v/>
      </c>
      <c r="H2934" s="1194"/>
    </row>
    <row r="2935" spans="1:8" x14ac:dyDescent="0.25">
      <c r="A2935" s="1191"/>
      <c r="B2935" s="1199"/>
      <c r="C2935" s="1198" t="str">
        <f t="shared" si="50"/>
        <v/>
      </c>
      <c r="D2935" s="1200"/>
      <c r="E2935" s="1201" t="str">
        <f t="shared" si="51"/>
        <v/>
      </c>
      <c r="F2935" s="1198"/>
      <c r="G2935" s="979" t="str">
        <f t="shared" si="49"/>
        <v/>
      </c>
      <c r="H2935" s="1194"/>
    </row>
    <row r="2936" spans="1:8" x14ac:dyDescent="0.25">
      <c r="A2936" s="1191"/>
      <c r="B2936" s="1199"/>
      <c r="C2936" s="1198" t="str">
        <f t="shared" si="50"/>
        <v/>
      </c>
      <c r="D2936" s="1200"/>
      <c r="E2936" s="1201" t="str">
        <f t="shared" si="51"/>
        <v/>
      </c>
      <c r="F2936" s="1198"/>
      <c r="G2936" s="979" t="str">
        <f t="shared" si="49"/>
        <v/>
      </c>
      <c r="H2936" s="1194"/>
    </row>
    <row r="2937" spans="1:8" x14ac:dyDescent="0.25">
      <c r="A2937" s="1191"/>
      <c r="B2937" s="1199"/>
      <c r="C2937" s="1198" t="str">
        <f t="shared" si="50"/>
        <v/>
      </c>
      <c r="D2937" s="1200"/>
      <c r="E2937" s="1201" t="str">
        <f t="shared" si="51"/>
        <v/>
      </c>
      <c r="F2937" s="1198"/>
      <c r="G2937" s="979" t="str">
        <f t="shared" si="49"/>
        <v/>
      </c>
      <c r="H2937" s="1194"/>
    </row>
    <row r="2938" spans="1:8" ht="15.75" thickBot="1" x14ac:dyDescent="0.3">
      <c r="A2938" s="1191"/>
      <c r="B2938" s="1199"/>
      <c r="C2938" s="1198" t="str">
        <f t="shared" si="50"/>
        <v/>
      </c>
      <c r="D2938" s="1200"/>
      <c r="E2938" s="1201" t="str">
        <f t="shared" si="51"/>
        <v/>
      </c>
      <c r="F2938" s="1198"/>
      <c r="G2938" s="979" t="str">
        <f t="shared" si="49"/>
        <v/>
      </c>
      <c r="H2938" s="1194"/>
    </row>
    <row r="2939" spans="1:8" ht="15.75" thickBot="1" x14ac:dyDescent="0.3">
      <c r="A2939" s="1191"/>
      <c r="B2939" s="1202"/>
      <c r="C2939" s="1203" t="str">
        <f t="shared" si="50"/>
        <v/>
      </c>
      <c r="D2939" s="1204"/>
      <c r="E2939" s="1205" t="str">
        <f t="shared" si="51"/>
        <v/>
      </c>
      <c r="F2939" s="1203"/>
      <c r="G2939" s="979" t="str">
        <f t="shared" si="49"/>
        <v/>
      </c>
      <c r="H2939" s="1206">
        <f>+SUM(G2932:G2939)</f>
        <v>13019.155555555555</v>
      </c>
    </row>
    <row r="2940" spans="1:8" ht="15.75" thickBot="1" x14ac:dyDescent="0.3">
      <c r="A2940" s="1191"/>
      <c r="B2940" s="1207"/>
      <c r="C2940" s="1208"/>
      <c r="D2940" s="1207"/>
      <c r="E2940" s="1209"/>
      <c r="F2940" s="1208"/>
      <c r="G2940" s="1210"/>
      <c r="H2940" s="1211"/>
    </row>
    <row r="2941" spans="1:8" ht="15.75" thickBot="1" x14ac:dyDescent="0.3">
      <c r="A2941" s="1192"/>
      <c r="B2941" s="1428" t="s">
        <v>5408</v>
      </c>
      <c r="C2941" s="1429" t="s">
        <v>867</v>
      </c>
      <c r="D2941" s="1429" t="s">
        <v>6</v>
      </c>
      <c r="E2941" s="1430" t="s">
        <v>870</v>
      </c>
      <c r="F2941" s="1429" t="s">
        <v>7040</v>
      </c>
      <c r="G2941" s="1431" t="s">
        <v>868</v>
      </c>
      <c r="H2941" s="1194"/>
    </row>
    <row r="2942" spans="1:8" x14ac:dyDescent="0.25">
      <c r="A2942" s="1192"/>
      <c r="B2942" s="1212"/>
      <c r="C2942" s="1195" t="str">
        <f t="shared" ref="C2942:C2955" si="52">IF(B2942="","",VLOOKUP(B2942,INSUMOS,2,FALSE))</f>
        <v/>
      </c>
      <c r="D2942" s="1195"/>
      <c r="E2942" s="1180" t="str">
        <f t="shared" ref="E2942:E2955" si="53">IF(B2942="","",VLOOKUP(B2942,INSUMOS,3,FALSE))</f>
        <v/>
      </c>
      <c r="F2942" s="1195"/>
      <c r="G2942" s="979" t="str">
        <f t="shared" ref="G2942:G2955" si="54">IF(B2942="","",PRODUCT(D2942:F2942))</f>
        <v/>
      </c>
      <c r="H2942" s="1194"/>
    </row>
    <row r="2943" spans="1:8" x14ac:dyDescent="0.25">
      <c r="A2943" s="1192"/>
      <c r="B2943" s="1213"/>
      <c r="C2943" s="1198" t="str">
        <f t="shared" si="52"/>
        <v/>
      </c>
      <c r="D2943" s="1198"/>
      <c r="E2943" s="1181" t="str">
        <f t="shared" si="53"/>
        <v/>
      </c>
      <c r="F2943" s="1195"/>
      <c r="G2943" s="979" t="str">
        <f t="shared" si="54"/>
        <v/>
      </c>
      <c r="H2943" s="1194"/>
    </row>
    <row r="2944" spans="1:8" x14ac:dyDescent="0.25">
      <c r="A2944" s="1192"/>
      <c r="B2944" s="1213"/>
      <c r="C2944" s="1198" t="str">
        <f t="shared" si="52"/>
        <v/>
      </c>
      <c r="D2944" s="1198"/>
      <c r="E2944" s="1181" t="str">
        <f t="shared" si="53"/>
        <v/>
      </c>
      <c r="F2944" s="1195"/>
      <c r="G2944" s="979" t="str">
        <f t="shared" si="54"/>
        <v/>
      </c>
      <c r="H2944" s="1194"/>
    </row>
    <row r="2945" spans="1:8" x14ac:dyDescent="0.25">
      <c r="A2945" s="1192"/>
      <c r="B2945" s="1199"/>
      <c r="C2945" s="1198" t="str">
        <f t="shared" si="52"/>
        <v/>
      </c>
      <c r="D2945" s="1198"/>
      <c r="E2945" s="1180" t="str">
        <f t="shared" si="53"/>
        <v/>
      </c>
      <c r="F2945" s="1198"/>
      <c r="G2945" s="979" t="str">
        <f t="shared" si="54"/>
        <v/>
      </c>
      <c r="H2945" s="1194"/>
    </row>
    <row r="2946" spans="1:8" x14ac:dyDescent="0.25">
      <c r="A2946" s="1192"/>
      <c r="B2946" s="1199"/>
      <c r="C2946" s="1198" t="str">
        <f t="shared" si="52"/>
        <v/>
      </c>
      <c r="D2946" s="1198"/>
      <c r="E2946" s="1180" t="str">
        <f t="shared" si="53"/>
        <v/>
      </c>
      <c r="F2946" s="1198"/>
      <c r="G2946" s="979" t="str">
        <f t="shared" si="54"/>
        <v/>
      </c>
      <c r="H2946" s="1194"/>
    </row>
    <row r="2947" spans="1:8" x14ac:dyDescent="0.25">
      <c r="A2947" s="1192"/>
      <c r="B2947" s="1199"/>
      <c r="C2947" s="1198" t="str">
        <f t="shared" si="52"/>
        <v/>
      </c>
      <c r="D2947" s="1198"/>
      <c r="E2947" s="1180" t="str">
        <f t="shared" si="53"/>
        <v/>
      </c>
      <c r="F2947" s="1198"/>
      <c r="G2947" s="979" t="str">
        <f t="shared" si="54"/>
        <v/>
      </c>
      <c r="H2947" s="1194"/>
    </row>
    <row r="2948" spans="1:8" x14ac:dyDescent="0.25">
      <c r="A2948" s="1192"/>
      <c r="B2948" s="1199"/>
      <c r="C2948" s="1198" t="str">
        <f t="shared" si="52"/>
        <v/>
      </c>
      <c r="D2948" s="1198"/>
      <c r="E2948" s="1180" t="str">
        <f t="shared" si="53"/>
        <v/>
      </c>
      <c r="F2948" s="1198"/>
      <c r="G2948" s="979" t="str">
        <f t="shared" si="54"/>
        <v/>
      </c>
      <c r="H2948" s="1194"/>
    </row>
    <row r="2949" spans="1:8" x14ac:dyDescent="0.25">
      <c r="A2949" s="1192"/>
      <c r="B2949" s="1199"/>
      <c r="C2949" s="1198" t="str">
        <f t="shared" si="52"/>
        <v/>
      </c>
      <c r="D2949" s="1198"/>
      <c r="E2949" s="1180" t="str">
        <f t="shared" si="53"/>
        <v/>
      </c>
      <c r="F2949" s="1198"/>
      <c r="G2949" s="979" t="str">
        <f t="shared" si="54"/>
        <v/>
      </c>
      <c r="H2949" s="1194"/>
    </row>
    <row r="2950" spans="1:8" x14ac:dyDescent="0.25">
      <c r="A2950" s="1192"/>
      <c r="B2950" s="1199"/>
      <c r="C2950" s="1198" t="str">
        <f t="shared" si="52"/>
        <v/>
      </c>
      <c r="D2950" s="1198"/>
      <c r="E2950" s="1180" t="str">
        <f t="shared" si="53"/>
        <v/>
      </c>
      <c r="F2950" s="1198"/>
      <c r="G2950" s="979" t="str">
        <f t="shared" si="54"/>
        <v/>
      </c>
      <c r="H2950" s="1194"/>
    </row>
    <row r="2951" spans="1:8" x14ac:dyDescent="0.25">
      <c r="A2951" s="1192"/>
      <c r="B2951" s="1199"/>
      <c r="C2951" s="1198" t="str">
        <f t="shared" si="52"/>
        <v/>
      </c>
      <c r="D2951" s="1198"/>
      <c r="E2951" s="1180" t="str">
        <f t="shared" si="53"/>
        <v/>
      </c>
      <c r="F2951" s="1198"/>
      <c r="G2951" s="979" t="str">
        <f t="shared" si="54"/>
        <v/>
      </c>
      <c r="H2951" s="1194"/>
    </row>
    <row r="2952" spans="1:8" x14ac:dyDescent="0.25">
      <c r="A2952" s="1192"/>
      <c r="B2952" s="1199"/>
      <c r="C2952" s="1198" t="str">
        <f t="shared" si="52"/>
        <v/>
      </c>
      <c r="D2952" s="1198"/>
      <c r="E2952" s="1180" t="str">
        <f t="shared" si="53"/>
        <v/>
      </c>
      <c r="F2952" s="1198"/>
      <c r="G2952" s="979" t="str">
        <f t="shared" si="54"/>
        <v/>
      </c>
      <c r="H2952" s="1194"/>
    </row>
    <row r="2953" spans="1:8" x14ac:dyDescent="0.25">
      <c r="A2953" s="1192"/>
      <c r="B2953" s="1199"/>
      <c r="C2953" s="1200" t="str">
        <f t="shared" si="52"/>
        <v/>
      </c>
      <c r="D2953" s="1200"/>
      <c r="E2953" s="1201" t="str">
        <f t="shared" si="53"/>
        <v/>
      </c>
      <c r="F2953" s="1198"/>
      <c r="G2953" s="979" t="str">
        <f t="shared" si="54"/>
        <v/>
      </c>
      <c r="H2953" s="1194"/>
    </row>
    <row r="2954" spans="1:8" ht="15.75" thickBot="1" x14ac:dyDescent="0.3">
      <c r="A2954" s="1192"/>
      <c r="B2954" s="1199"/>
      <c r="C2954" s="1200" t="str">
        <f t="shared" si="52"/>
        <v/>
      </c>
      <c r="D2954" s="1200"/>
      <c r="E2954" s="1201" t="str">
        <f t="shared" si="53"/>
        <v/>
      </c>
      <c r="F2954" s="1198"/>
      <c r="G2954" s="979" t="str">
        <f t="shared" si="54"/>
        <v/>
      </c>
      <c r="H2954" s="1194"/>
    </row>
    <row r="2955" spans="1:8" ht="15.75" thickBot="1" x14ac:dyDescent="0.3">
      <c r="A2955" s="1192"/>
      <c r="B2955" s="1202"/>
      <c r="C2955" s="1204" t="str">
        <f t="shared" si="52"/>
        <v/>
      </c>
      <c r="D2955" s="1204"/>
      <c r="E2955" s="1205" t="str">
        <f t="shared" si="53"/>
        <v/>
      </c>
      <c r="F2955" s="1203"/>
      <c r="G2955" s="979" t="str">
        <f t="shared" si="54"/>
        <v/>
      </c>
      <c r="H2955" s="1206">
        <f>+SUM(G2942:G2955)</f>
        <v>0</v>
      </c>
    </row>
    <row r="2956" spans="1:8" ht="15.75" thickBot="1" x14ac:dyDescent="0.3">
      <c r="A2956" s="1192"/>
      <c r="B2956" s="1207"/>
      <c r="C2956" s="1207"/>
      <c r="D2956" s="1207"/>
      <c r="E2956" s="1209"/>
      <c r="F2956" s="1208"/>
      <c r="G2956" s="1210"/>
      <c r="H2956" s="1211"/>
    </row>
    <row r="2957" spans="1:8" ht="15.75" thickBot="1" x14ac:dyDescent="0.3">
      <c r="A2957" s="1192"/>
      <c r="B2957" s="1428" t="s">
        <v>5410</v>
      </c>
      <c r="C2957" s="1429" t="s">
        <v>867</v>
      </c>
      <c r="D2957" s="1429" t="s">
        <v>6</v>
      </c>
      <c r="E2957" s="1430" t="s">
        <v>870</v>
      </c>
      <c r="F2957" s="1429" t="s">
        <v>5411</v>
      </c>
      <c r="G2957" s="1431" t="s">
        <v>868</v>
      </c>
      <c r="H2957" s="1194"/>
    </row>
    <row r="2958" spans="1:8" x14ac:dyDescent="0.25">
      <c r="A2958" s="1192"/>
      <c r="B2958" s="1212"/>
      <c r="C2958" s="1195" t="str">
        <f>IF(B2958="","",VLOOKUP(B2958,INSUMOS,2,FALSE))</f>
        <v/>
      </c>
      <c r="D2958" s="1195"/>
      <c r="E2958" s="1180" t="str">
        <f>IF(B2958="","",VLOOKUP(B2958,INSUMOS,3,FALSE))</f>
        <v/>
      </c>
      <c r="F2958" s="1195"/>
      <c r="G2958" s="979" t="str">
        <f>IF(B2958="","",PRODUCT(D2958:F2958))</f>
        <v/>
      </c>
      <c r="H2958" s="1194"/>
    </row>
    <row r="2959" spans="1:8" x14ac:dyDescent="0.25">
      <c r="A2959" s="1192"/>
      <c r="B2959" s="1213"/>
      <c r="C2959" s="1198" t="str">
        <f>IF(B2959="","",VLOOKUP(B2959,INSUMOS,2,FALSE))</f>
        <v/>
      </c>
      <c r="D2959" s="1198"/>
      <c r="E2959" s="1181" t="str">
        <f>IF(B2959="","",VLOOKUP(B2959,INSUMOS,3,FALSE))</f>
        <v/>
      </c>
      <c r="F2959" s="1198"/>
      <c r="G2959" s="979" t="str">
        <f>IF(B2959="","",PRODUCT(D2959:F2959))</f>
        <v/>
      </c>
      <c r="H2959" s="1194"/>
    </row>
    <row r="2960" spans="1:8" x14ac:dyDescent="0.25">
      <c r="A2960" s="1192"/>
      <c r="B2960" s="1213"/>
      <c r="C2960" s="1198" t="str">
        <f>IF(B2960="","",VLOOKUP(B2960,INSUMOS,2,FALSE))</f>
        <v/>
      </c>
      <c r="D2960" s="1198"/>
      <c r="E2960" s="1180" t="str">
        <f>IF(B2960="","",VLOOKUP(B2960,INSUMOS,3,FALSE))</f>
        <v/>
      </c>
      <c r="F2960" s="1198"/>
      <c r="G2960" s="979" t="str">
        <f>IF(B2960="","",PRODUCT(D2960:F2960))</f>
        <v/>
      </c>
      <c r="H2960" s="1194"/>
    </row>
    <row r="2961" spans="1:8" ht="15.75" thickBot="1" x14ac:dyDescent="0.3">
      <c r="A2961" s="1192"/>
      <c r="B2961" s="1199"/>
      <c r="C2961" s="1198" t="str">
        <f>IF(B2961="","",VLOOKUP(B2961,INSUMOS,2,FALSE))</f>
        <v/>
      </c>
      <c r="D2961" s="1198"/>
      <c r="E2961" s="1180" t="str">
        <f>IF(B2961="","",VLOOKUP(B2961,INSUMOS,3,FALSE))</f>
        <v/>
      </c>
      <c r="F2961" s="1198"/>
      <c r="G2961" s="979" t="str">
        <f>IF(B2961="","",PRODUCT(D2961:F2961))</f>
        <v/>
      </c>
      <c r="H2961" s="1194"/>
    </row>
    <row r="2962" spans="1:8" ht="15.75" thickBot="1" x14ac:dyDescent="0.3">
      <c r="A2962" s="1192"/>
      <c r="B2962" s="1202"/>
      <c r="C2962" s="1204" t="str">
        <f>IF(B2962="","",VLOOKUP(B2962,INSUMOS,2,FALSE))</f>
        <v/>
      </c>
      <c r="D2962" s="1204"/>
      <c r="E2962" s="1205" t="str">
        <f>IF(B2962="","",VLOOKUP(B2962,INSUMOS,3,FALSE))</f>
        <v/>
      </c>
      <c r="F2962" s="1203"/>
      <c r="G2962" s="979" t="str">
        <f>IF(B2962="","",PRODUCT(D2962:F2962))</f>
        <v/>
      </c>
      <c r="H2962" s="1206">
        <f>+SUM(G2958:G2962)</f>
        <v>0</v>
      </c>
    </row>
    <row r="2963" spans="1:8" ht="15.75" thickBot="1" x14ac:dyDescent="0.3">
      <c r="A2963" s="1192"/>
      <c r="B2963" s="1207"/>
      <c r="C2963" s="1207"/>
      <c r="D2963" s="1207"/>
      <c r="E2963" s="1209"/>
      <c r="F2963" s="1214"/>
      <c r="G2963" s="1215"/>
      <c r="H2963" s="1211"/>
    </row>
    <row r="2964" spans="1:8" ht="15.75" thickBot="1" x14ac:dyDescent="0.3">
      <c r="A2964" s="1192"/>
      <c r="B2964" s="1428" t="s">
        <v>5412</v>
      </c>
      <c r="C2964" s="1429" t="s">
        <v>5420</v>
      </c>
      <c r="D2964" s="1429" t="s">
        <v>5421</v>
      </c>
      <c r="E2964" s="1430" t="s">
        <v>5413</v>
      </c>
      <c r="F2964" s="1429" t="s">
        <v>5405</v>
      </c>
      <c r="G2964" s="1431" t="s">
        <v>868</v>
      </c>
      <c r="H2964" s="1194"/>
    </row>
    <row r="2965" spans="1:8" x14ac:dyDescent="0.25">
      <c r="A2965" s="1192"/>
      <c r="B2965" s="194" t="s">
        <v>6523</v>
      </c>
      <c r="C2965" s="345">
        <f>+VLOOKUP($B2965,'Mano de obra'!$A$5:$D$26,2,FALSE)</f>
        <v>57454</v>
      </c>
      <c r="D2965" s="345">
        <f>+VLOOKUP($B2965,'Mano de obra'!$A$5:$D$26,3,FALSE)</f>
        <v>35656</v>
      </c>
      <c r="E2965" s="345">
        <f>+VLOOKUP($B2965,'Mano de obra'!$A$5:$D$26,4,FALSE)</f>
        <v>93110</v>
      </c>
      <c r="F2965" s="1197">
        <v>30</v>
      </c>
      <c r="G2965" s="979">
        <f>IF(B2965="","",E2965/F2965)</f>
        <v>3103.6666666666665</v>
      </c>
      <c r="H2965" s="1194"/>
    </row>
    <row r="2966" spans="1:8" x14ac:dyDescent="0.25">
      <c r="A2966" s="1192"/>
      <c r="B2966" s="194" t="s">
        <v>6524</v>
      </c>
      <c r="C2966" s="345">
        <f>+VLOOKUP($B2966,'Mano de obra'!$A$5:$D$26,2,FALSE)</f>
        <v>44263.8</v>
      </c>
      <c r="D2966" s="345">
        <f>+VLOOKUP($B2966,'Mano de obra'!$A$5:$D$26,3,FALSE)</f>
        <v>27470</v>
      </c>
      <c r="E2966" s="345">
        <f>+VLOOKUP($B2966,'Mano de obra'!$A$5:$D$26,4,FALSE)</f>
        <v>71733.8</v>
      </c>
      <c r="F2966" s="1195">
        <v>1.8</v>
      </c>
      <c r="G2966" s="979">
        <f>IF(B2966="","",E2966/F2966)</f>
        <v>39852.111111111109</v>
      </c>
      <c r="H2966" s="1194"/>
    </row>
    <row r="2967" spans="1:8" x14ac:dyDescent="0.25">
      <c r="A2967" s="1192"/>
      <c r="B2967" s="195" t="s">
        <v>6525</v>
      </c>
      <c r="C2967" s="345">
        <f>+VLOOKUP($B2967,'Mano de obra'!$A$5:$D$26,2,FALSE)</f>
        <v>24591</v>
      </c>
      <c r="D2967" s="345">
        <f>+VLOOKUP($B2967,'Mano de obra'!$A$5:$D$26,3,FALSE)</f>
        <v>15261</v>
      </c>
      <c r="E2967" s="345">
        <f>+VLOOKUP($B2967,'Mano de obra'!$A$5:$D$26,4,FALSE)</f>
        <v>39852</v>
      </c>
      <c r="F2967" s="1198">
        <v>1.8</v>
      </c>
      <c r="G2967" s="979">
        <f>IF(B2967="","",E2967/F2967)</f>
        <v>22140</v>
      </c>
      <c r="H2967" s="1194"/>
    </row>
    <row r="2968" spans="1:8" x14ac:dyDescent="0.25">
      <c r="A2968" s="1192"/>
      <c r="B2968" s="1199"/>
      <c r="C2968" s="1216"/>
      <c r="D2968" s="1201"/>
      <c r="E2968" s="1201"/>
      <c r="F2968" s="1198"/>
      <c r="G2968" s="1217"/>
      <c r="H2968" s="1194"/>
    </row>
    <row r="2969" spans="1:8" ht="15.75" thickBot="1" x14ac:dyDescent="0.3">
      <c r="A2969" s="1192"/>
      <c r="B2969" s="1199"/>
      <c r="C2969" s="1201"/>
      <c r="D2969" s="1201"/>
      <c r="E2969" s="1201"/>
      <c r="F2969" s="1198"/>
      <c r="G2969" s="1217"/>
      <c r="H2969" s="1194"/>
    </row>
    <row r="2970" spans="1:8" ht="15.75" thickBot="1" x14ac:dyDescent="0.3">
      <c r="A2970" s="1192"/>
      <c r="B2970" s="1218"/>
      <c r="C2970" s="1219"/>
      <c r="D2970" s="1219"/>
      <c r="E2970" s="1219"/>
      <c r="F2970" s="1220"/>
      <c r="G2970" s="1221"/>
      <c r="H2970" s="1206">
        <f>+SUM(G2965:G2970)</f>
        <v>65095.777777777774</v>
      </c>
    </row>
    <row r="2971" spans="1:8" ht="15.75" thickBot="1" x14ac:dyDescent="0.3">
      <c r="A2971" s="1192"/>
      <c r="B2971" s="1192"/>
      <c r="C2971" s="1192"/>
      <c r="D2971" s="1192"/>
      <c r="E2971" s="1192"/>
      <c r="F2971" s="1191"/>
      <c r="G2971" s="1192"/>
      <c r="H2971" s="1192"/>
    </row>
    <row r="2972" spans="1:8" ht="15.75" thickBot="1" x14ac:dyDescent="0.3">
      <c r="A2972" s="1192"/>
      <c r="B2972" s="1192"/>
      <c r="C2972" s="1192"/>
      <c r="D2972" s="1192"/>
      <c r="E2972" s="1222" t="s">
        <v>5415</v>
      </c>
      <c r="F2972" s="1191"/>
      <c r="G2972" s="1192"/>
      <c r="H2972" s="1223">
        <f>ROUND(+H2939+H2955+H2962+H2970,0)</f>
        <v>78115</v>
      </c>
    </row>
    <row r="2973" spans="1:8" x14ac:dyDescent="0.25">
      <c r="A2973" s="1058"/>
      <c r="B2973" s="1058"/>
      <c r="C2973" s="1058"/>
      <c r="D2973" s="1058"/>
      <c r="E2973" s="1058"/>
      <c r="F2973" s="1058"/>
      <c r="G2973" s="1058"/>
      <c r="H2973" s="1058"/>
    </row>
    <row r="2974" spans="1:8" x14ac:dyDescent="0.25">
      <c r="A2974" s="1191"/>
      <c r="B2974" s="1192"/>
      <c r="C2974" s="1192"/>
      <c r="D2974" s="1192"/>
      <c r="E2974" s="1192"/>
      <c r="F2974" s="1191"/>
      <c r="G2974" s="1192"/>
      <c r="H2974" s="1192"/>
    </row>
    <row r="2975" spans="1:8" x14ac:dyDescent="0.25">
      <c r="A2975" s="1191"/>
      <c r="B2975" s="1192"/>
      <c r="C2975" s="1192"/>
      <c r="D2975" s="1192"/>
      <c r="E2975" s="1192"/>
      <c r="F2975" s="1191"/>
      <c r="G2975" s="1192"/>
      <c r="H2975" s="1192"/>
    </row>
    <row r="2976" spans="1:8" x14ac:dyDescent="0.25">
      <c r="A2976" s="673" t="s">
        <v>3</v>
      </c>
      <c r="B2976" s="1390" t="str">
        <f>+VLOOKUP(C2976,ListaAPUs!$B:$E,4,FALSE)</f>
        <v>4.2.22</v>
      </c>
      <c r="C2976" s="2449" t="str">
        <f>+ListaAPUs!B96</f>
        <v>INSTALACIÓN NIPLES PASAMURO EN  HD D=25 MM A 150 MM L=1 A 2M</v>
      </c>
      <c r="D2976" s="2449"/>
      <c r="E2976" s="2449"/>
      <c r="F2976" s="673" t="s">
        <v>867</v>
      </c>
      <c r="G2976" s="222" t="s">
        <v>5424</v>
      </c>
      <c r="H2976" s="1192"/>
    </row>
    <row r="2977" spans="1:8" x14ac:dyDescent="0.25">
      <c r="A2977" s="1191"/>
      <c r="B2977" s="1192"/>
      <c r="C2977" s="1192"/>
      <c r="D2977" s="1192"/>
      <c r="E2977" s="1192"/>
      <c r="F2977" s="1191"/>
      <c r="G2977" s="1192"/>
      <c r="H2977" s="1192"/>
    </row>
    <row r="2978" spans="1:8" x14ac:dyDescent="0.25">
      <c r="A2978" s="1191"/>
      <c r="B2978" s="1192"/>
      <c r="C2978" s="1192"/>
      <c r="D2978" s="1192"/>
      <c r="E2978" s="1192"/>
      <c r="F2978" s="1191"/>
      <c r="G2978" s="1193"/>
      <c r="H2978" s="1192"/>
    </row>
    <row r="2979" spans="1:8" ht="15.75" thickBot="1" x14ac:dyDescent="0.3">
      <c r="A2979" s="1191"/>
      <c r="B2979" s="1192"/>
      <c r="C2979" s="1192"/>
      <c r="D2979" s="1192"/>
      <c r="E2979" s="1192"/>
      <c r="F2979" s="1191"/>
      <c r="G2979" s="1192"/>
      <c r="H2979" s="1192"/>
    </row>
    <row r="2980" spans="1:8" ht="15.75" thickBot="1" x14ac:dyDescent="0.3">
      <c r="A2980" s="1191"/>
      <c r="B2980" s="1428" t="s">
        <v>5403</v>
      </c>
      <c r="C2980" s="1429" t="s">
        <v>867</v>
      </c>
      <c r="D2980" s="1429" t="s">
        <v>6</v>
      </c>
      <c r="E2980" s="1430" t="s">
        <v>5404</v>
      </c>
      <c r="F2980" s="1429" t="s">
        <v>5405</v>
      </c>
      <c r="G2980" s="1431" t="s">
        <v>868</v>
      </c>
      <c r="H2980" s="1194"/>
    </row>
    <row r="2981" spans="1:8" x14ac:dyDescent="0.25">
      <c r="A2981" s="1191"/>
      <c r="B2981" s="757" t="s">
        <v>5455</v>
      </c>
      <c r="C2981" s="226" t="s">
        <v>7042</v>
      </c>
      <c r="D2981" s="1196">
        <v>1</v>
      </c>
      <c r="E2981" s="228">
        <f>+H3019</f>
        <v>66647.611111111109</v>
      </c>
      <c r="F2981" s="1197">
        <v>0.2</v>
      </c>
      <c r="G2981" s="979">
        <f t="shared" ref="G2981:G2988" si="55">IF(B2981="","",PRODUCT(D2981:F2981))</f>
        <v>13329.522222222222</v>
      </c>
      <c r="H2981" s="1194"/>
    </row>
    <row r="2982" spans="1:8" x14ac:dyDescent="0.25">
      <c r="A2982" s="1191"/>
      <c r="B2982" s="760"/>
      <c r="C2982" s="1198" t="str">
        <f t="shared" ref="C2982:C2988" si="56">IF(B2982="","",VLOOKUP(B2982,INSUMOS,2,FALSE))</f>
        <v/>
      </c>
      <c r="D2982" s="1198"/>
      <c r="E2982" s="1181" t="str">
        <f t="shared" ref="E2982:E2988" si="57">IF(B2982="","",IF(C2982="%mo",$K$50,VLOOKUP(B2982,INSUMOS,3,FALSE)))</f>
        <v/>
      </c>
      <c r="F2982" s="1198"/>
      <c r="G2982" s="979" t="str">
        <f t="shared" si="55"/>
        <v/>
      </c>
      <c r="H2982" s="1194"/>
    </row>
    <row r="2983" spans="1:8" x14ac:dyDescent="0.25">
      <c r="A2983" s="1191"/>
      <c r="B2983" s="763"/>
      <c r="C2983" s="1198" t="str">
        <f t="shared" si="56"/>
        <v/>
      </c>
      <c r="D2983" s="1198"/>
      <c r="E2983" s="1181" t="str">
        <f t="shared" si="57"/>
        <v/>
      </c>
      <c r="F2983" s="1198"/>
      <c r="G2983" s="979" t="str">
        <f t="shared" si="55"/>
        <v/>
      </c>
      <c r="H2983" s="1194"/>
    </row>
    <row r="2984" spans="1:8" x14ac:dyDescent="0.25">
      <c r="A2984" s="1191"/>
      <c r="B2984" s="1199"/>
      <c r="C2984" s="1198" t="str">
        <f t="shared" si="56"/>
        <v/>
      </c>
      <c r="D2984" s="1200"/>
      <c r="E2984" s="1201" t="str">
        <f t="shared" si="57"/>
        <v/>
      </c>
      <c r="F2984" s="1198"/>
      <c r="G2984" s="979" t="str">
        <f t="shared" si="55"/>
        <v/>
      </c>
      <c r="H2984" s="1194"/>
    </row>
    <row r="2985" spans="1:8" x14ac:dyDescent="0.25">
      <c r="A2985" s="1191"/>
      <c r="B2985" s="1199"/>
      <c r="C2985" s="1198" t="str">
        <f t="shared" si="56"/>
        <v/>
      </c>
      <c r="D2985" s="1200"/>
      <c r="E2985" s="1201" t="str">
        <f t="shared" si="57"/>
        <v/>
      </c>
      <c r="F2985" s="1198"/>
      <c r="G2985" s="979" t="str">
        <f t="shared" si="55"/>
        <v/>
      </c>
      <c r="H2985" s="1194"/>
    </row>
    <row r="2986" spans="1:8" x14ac:dyDescent="0.25">
      <c r="A2986" s="1191"/>
      <c r="B2986" s="1199"/>
      <c r="C2986" s="1198" t="str">
        <f t="shared" si="56"/>
        <v/>
      </c>
      <c r="D2986" s="1200"/>
      <c r="E2986" s="1201" t="str">
        <f t="shared" si="57"/>
        <v/>
      </c>
      <c r="F2986" s="1198"/>
      <c r="G2986" s="979" t="str">
        <f t="shared" si="55"/>
        <v/>
      </c>
      <c r="H2986" s="1194"/>
    </row>
    <row r="2987" spans="1:8" ht="15.75" thickBot="1" x14ac:dyDescent="0.3">
      <c r="A2987" s="1191"/>
      <c r="B2987" s="1199"/>
      <c r="C2987" s="1198" t="str">
        <f t="shared" si="56"/>
        <v/>
      </c>
      <c r="D2987" s="1200"/>
      <c r="E2987" s="1201" t="str">
        <f t="shared" si="57"/>
        <v/>
      </c>
      <c r="F2987" s="1198"/>
      <c r="G2987" s="979" t="str">
        <f t="shared" si="55"/>
        <v/>
      </c>
      <c r="H2987" s="1194"/>
    </row>
    <row r="2988" spans="1:8" ht="15.75" thickBot="1" x14ac:dyDescent="0.3">
      <c r="A2988" s="1191"/>
      <c r="B2988" s="1202"/>
      <c r="C2988" s="1203" t="str">
        <f t="shared" si="56"/>
        <v/>
      </c>
      <c r="D2988" s="1204"/>
      <c r="E2988" s="1205" t="str">
        <f t="shared" si="57"/>
        <v/>
      </c>
      <c r="F2988" s="1203"/>
      <c r="G2988" s="979" t="str">
        <f t="shared" si="55"/>
        <v/>
      </c>
      <c r="H2988" s="1206">
        <f>+SUM(G2981:G2988)</f>
        <v>13329.522222222222</v>
      </c>
    </row>
    <row r="2989" spans="1:8" ht="15.75" thickBot="1" x14ac:dyDescent="0.3">
      <c r="A2989" s="1191"/>
      <c r="B2989" s="1207"/>
      <c r="C2989" s="1208"/>
      <c r="D2989" s="1207"/>
      <c r="E2989" s="1209"/>
      <c r="F2989" s="1208"/>
      <c r="G2989" s="1210"/>
      <c r="H2989" s="1211"/>
    </row>
    <row r="2990" spans="1:8" ht="15.75" thickBot="1" x14ac:dyDescent="0.3">
      <c r="A2990" s="1192"/>
      <c r="B2990" s="1428" t="s">
        <v>5408</v>
      </c>
      <c r="C2990" s="1429" t="s">
        <v>867</v>
      </c>
      <c r="D2990" s="1429" t="s">
        <v>6</v>
      </c>
      <c r="E2990" s="1430" t="s">
        <v>870</v>
      </c>
      <c r="F2990" s="1429" t="s">
        <v>7040</v>
      </c>
      <c r="G2990" s="1431" t="s">
        <v>868</v>
      </c>
      <c r="H2990" s="1194"/>
    </row>
    <row r="2991" spans="1:8" x14ac:dyDescent="0.25">
      <c r="A2991" s="1192"/>
      <c r="B2991" s="1212"/>
      <c r="C2991" s="1195" t="str">
        <f t="shared" ref="C2991:C3004" si="58">IF(B2991="","",VLOOKUP(B2991,INSUMOS,2,FALSE))</f>
        <v/>
      </c>
      <c r="D2991" s="1195"/>
      <c r="E2991" s="1180" t="str">
        <f t="shared" ref="E2991:E3004" si="59">IF(B2991="","",VLOOKUP(B2991,INSUMOS,3,FALSE))</f>
        <v/>
      </c>
      <c r="F2991" s="1195"/>
      <c r="G2991" s="979" t="str">
        <f t="shared" ref="G2991:G3004" si="60">IF(B2991="","",PRODUCT(D2991:F2991))</f>
        <v/>
      </c>
      <c r="H2991" s="1194"/>
    </row>
    <row r="2992" spans="1:8" x14ac:dyDescent="0.25">
      <c r="A2992" s="1192"/>
      <c r="B2992" s="1213"/>
      <c r="C2992" s="1198" t="str">
        <f t="shared" si="58"/>
        <v/>
      </c>
      <c r="D2992" s="1198"/>
      <c r="E2992" s="1181" t="str">
        <f t="shared" si="59"/>
        <v/>
      </c>
      <c r="F2992" s="1195"/>
      <c r="G2992" s="979" t="str">
        <f t="shared" si="60"/>
        <v/>
      </c>
      <c r="H2992" s="1194"/>
    </row>
    <row r="2993" spans="1:8" x14ac:dyDescent="0.25">
      <c r="A2993" s="1192"/>
      <c r="B2993" s="1213"/>
      <c r="C2993" s="1198" t="str">
        <f t="shared" si="58"/>
        <v/>
      </c>
      <c r="D2993" s="1198"/>
      <c r="E2993" s="1181" t="str">
        <f t="shared" si="59"/>
        <v/>
      </c>
      <c r="F2993" s="1195"/>
      <c r="G2993" s="979" t="str">
        <f t="shared" si="60"/>
        <v/>
      </c>
      <c r="H2993" s="1194"/>
    </row>
    <row r="2994" spans="1:8" x14ac:dyDescent="0.25">
      <c r="A2994" s="1192"/>
      <c r="B2994" s="1199"/>
      <c r="C2994" s="1198" t="str">
        <f t="shared" si="58"/>
        <v/>
      </c>
      <c r="D2994" s="1198"/>
      <c r="E2994" s="1180" t="str">
        <f t="shared" si="59"/>
        <v/>
      </c>
      <c r="F2994" s="1198"/>
      <c r="G2994" s="979" t="str">
        <f t="shared" si="60"/>
        <v/>
      </c>
      <c r="H2994" s="1194"/>
    </row>
    <row r="2995" spans="1:8" x14ac:dyDescent="0.25">
      <c r="A2995" s="1192"/>
      <c r="B2995" s="1199"/>
      <c r="C2995" s="1198" t="str">
        <f t="shared" si="58"/>
        <v/>
      </c>
      <c r="D2995" s="1198"/>
      <c r="E2995" s="1180" t="str">
        <f t="shared" si="59"/>
        <v/>
      </c>
      <c r="F2995" s="1198"/>
      <c r="G2995" s="979" t="str">
        <f t="shared" si="60"/>
        <v/>
      </c>
      <c r="H2995" s="1194"/>
    </row>
    <row r="2996" spans="1:8" x14ac:dyDescent="0.25">
      <c r="A2996" s="1192"/>
      <c r="B2996" s="1199"/>
      <c r="C2996" s="1198" t="str">
        <f t="shared" si="58"/>
        <v/>
      </c>
      <c r="D2996" s="1198"/>
      <c r="E2996" s="1180" t="str">
        <f t="shared" si="59"/>
        <v/>
      </c>
      <c r="F2996" s="1198"/>
      <c r="G2996" s="979" t="str">
        <f t="shared" si="60"/>
        <v/>
      </c>
      <c r="H2996" s="1194"/>
    </row>
    <row r="2997" spans="1:8" x14ac:dyDescent="0.25">
      <c r="A2997" s="1192"/>
      <c r="B2997" s="1199"/>
      <c r="C2997" s="1198" t="str">
        <f t="shared" si="58"/>
        <v/>
      </c>
      <c r="D2997" s="1198"/>
      <c r="E2997" s="1180" t="str">
        <f t="shared" si="59"/>
        <v/>
      </c>
      <c r="F2997" s="1198"/>
      <c r="G2997" s="979" t="str">
        <f t="shared" si="60"/>
        <v/>
      </c>
      <c r="H2997" s="1194"/>
    </row>
    <row r="2998" spans="1:8" x14ac:dyDescent="0.25">
      <c r="A2998" s="1192"/>
      <c r="B2998" s="1199"/>
      <c r="C2998" s="1198" t="str">
        <f t="shared" si="58"/>
        <v/>
      </c>
      <c r="D2998" s="1198"/>
      <c r="E2998" s="1180" t="str">
        <f t="shared" si="59"/>
        <v/>
      </c>
      <c r="F2998" s="1198"/>
      <c r="G2998" s="979" t="str">
        <f t="shared" si="60"/>
        <v/>
      </c>
      <c r="H2998" s="1194"/>
    </row>
    <row r="2999" spans="1:8" x14ac:dyDescent="0.25">
      <c r="A2999" s="1192"/>
      <c r="B2999" s="1199"/>
      <c r="C2999" s="1198" t="str">
        <f t="shared" si="58"/>
        <v/>
      </c>
      <c r="D2999" s="1198"/>
      <c r="E2999" s="1180" t="str">
        <f t="shared" si="59"/>
        <v/>
      </c>
      <c r="F2999" s="1198"/>
      <c r="G2999" s="979" t="str">
        <f t="shared" si="60"/>
        <v/>
      </c>
      <c r="H2999" s="1194"/>
    </row>
    <row r="3000" spans="1:8" x14ac:dyDescent="0.25">
      <c r="A3000" s="1192"/>
      <c r="B3000" s="1199"/>
      <c r="C3000" s="1198" t="str">
        <f t="shared" si="58"/>
        <v/>
      </c>
      <c r="D3000" s="1198"/>
      <c r="E3000" s="1180" t="str">
        <f t="shared" si="59"/>
        <v/>
      </c>
      <c r="F3000" s="1198"/>
      <c r="G3000" s="979" t="str">
        <f t="shared" si="60"/>
        <v/>
      </c>
      <c r="H3000" s="1194"/>
    </row>
    <row r="3001" spans="1:8" x14ac:dyDescent="0.25">
      <c r="A3001" s="1192"/>
      <c r="B3001" s="1199"/>
      <c r="C3001" s="1198" t="str">
        <f t="shared" si="58"/>
        <v/>
      </c>
      <c r="D3001" s="1198"/>
      <c r="E3001" s="1180" t="str">
        <f t="shared" si="59"/>
        <v/>
      </c>
      <c r="F3001" s="1198"/>
      <c r="G3001" s="979" t="str">
        <f t="shared" si="60"/>
        <v/>
      </c>
      <c r="H3001" s="1194"/>
    </row>
    <row r="3002" spans="1:8" x14ac:dyDescent="0.25">
      <c r="A3002" s="1192"/>
      <c r="B3002" s="1199"/>
      <c r="C3002" s="1200" t="str">
        <f t="shared" si="58"/>
        <v/>
      </c>
      <c r="D3002" s="1200"/>
      <c r="E3002" s="1201" t="str">
        <f t="shared" si="59"/>
        <v/>
      </c>
      <c r="F3002" s="1198"/>
      <c r="G3002" s="979" t="str">
        <f t="shared" si="60"/>
        <v/>
      </c>
      <c r="H3002" s="1194"/>
    </row>
    <row r="3003" spans="1:8" ht="15.75" thickBot="1" x14ac:dyDescent="0.3">
      <c r="A3003" s="1192"/>
      <c r="B3003" s="1199"/>
      <c r="C3003" s="1200" t="str">
        <f t="shared" si="58"/>
        <v/>
      </c>
      <c r="D3003" s="1200"/>
      <c r="E3003" s="1201" t="str">
        <f t="shared" si="59"/>
        <v/>
      </c>
      <c r="F3003" s="1198"/>
      <c r="G3003" s="979" t="str">
        <f t="shared" si="60"/>
        <v/>
      </c>
      <c r="H3003" s="1194"/>
    </row>
    <row r="3004" spans="1:8" ht="15.75" thickBot="1" x14ac:dyDescent="0.3">
      <c r="A3004" s="1192"/>
      <c r="B3004" s="1202"/>
      <c r="C3004" s="1204" t="str">
        <f t="shared" si="58"/>
        <v/>
      </c>
      <c r="D3004" s="1204"/>
      <c r="E3004" s="1205" t="str">
        <f t="shared" si="59"/>
        <v/>
      </c>
      <c r="F3004" s="1203"/>
      <c r="G3004" s="979" t="str">
        <f t="shared" si="60"/>
        <v/>
      </c>
      <c r="H3004" s="1206">
        <f>+SUM(G2991:G3004)</f>
        <v>0</v>
      </c>
    </row>
    <row r="3005" spans="1:8" ht="15.75" thickBot="1" x14ac:dyDescent="0.3">
      <c r="A3005" s="1192"/>
      <c r="B3005" s="1207"/>
      <c r="C3005" s="1207"/>
      <c r="D3005" s="1207"/>
      <c r="E3005" s="1209"/>
      <c r="F3005" s="1208"/>
      <c r="G3005" s="1210"/>
      <c r="H3005" s="1211"/>
    </row>
    <row r="3006" spans="1:8" ht="15.75" thickBot="1" x14ac:dyDescent="0.3">
      <c r="A3006" s="1192"/>
      <c r="B3006" s="1428" t="s">
        <v>5410</v>
      </c>
      <c r="C3006" s="1429" t="s">
        <v>867</v>
      </c>
      <c r="D3006" s="1429" t="s">
        <v>6</v>
      </c>
      <c r="E3006" s="1430" t="s">
        <v>870</v>
      </c>
      <c r="F3006" s="1429" t="s">
        <v>5411</v>
      </c>
      <c r="G3006" s="1431" t="s">
        <v>868</v>
      </c>
      <c r="H3006" s="1194"/>
    </row>
    <row r="3007" spans="1:8" x14ac:dyDescent="0.25">
      <c r="A3007" s="1192"/>
      <c r="B3007" s="1212"/>
      <c r="C3007" s="1195" t="str">
        <f>IF(B3007="","",VLOOKUP(B3007,INSUMOS,2,FALSE))</f>
        <v/>
      </c>
      <c r="D3007" s="1195"/>
      <c r="E3007" s="1180" t="str">
        <f>IF(B3007="","",VLOOKUP(B3007,INSUMOS,3,FALSE))</f>
        <v/>
      </c>
      <c r="F3007" s="1195"/>
      <c r="G3007" s="979" t="str">
        <f>IF(B3007="","",PRODUCT(D3007:F3007))</f>
        <v/>
      </c>
      <c r="H3007" s="1194"/>
    </row>
    <row r="3008" spans="1:8" x14ac:dyDescent="0.25">
      <c r="A3008" s="1192"/>
      <c r="B3008" s="1213"/>
      <c r="C3008" s="1198" t="str">
        <f>IF(B3008="","",VLOOKUP(B3008,INSUMOS,2,FALSE))</f>
        <v/>
      </c>
      <c r="D3008" s="1198"/>
      <c r="E3008" s="1181" t="str">
        <f>IF(B3008="","",VLOOKUP(B3008,INSUMOS,3,FALSE))</f>
        <v/>
      </c>
      <c r="F3008" s="1198"/>
      <c r="G3008" s="979" t="str">
        <f>IF(B3008="","",PRODUCT(D3008:F3008))</f>
        <v/>
      </c>
      <c r="H3008" s="1194"/>
    </row>
    <row r="3009" spans="1:8" x14ac:dyDescent="0.25">
      <c r="A3009" s="1192"/>
      <c r="B3009" s="1213"/>
      <c r="C3009" s="1198" t="str">
        <f>IF(B3009="","",VLOOKUP(B3009,INSUMOS,2,FALSE))</f>
        <v/>
      </c>
      <c r="D3009" s="1198"/>
      <c r="E3009" s="1180" t="str">
        <f>IF(B3009="","",VLOOKUP(B3009,INSUMOS,3,FALSE))</f>
        <v/>
      </c>
      <c r="F3009" s="1198"/>
      <c r="G3009" s="979" t="str">
        <f>IF(B3009="","",PRODUCT(D3009:F3009))</f>
        <v/>
      </c>
      <c r="H3009" s="1194"/>
    </row>
    <row r="3010" spans="1:8" ht="15.75" thickBot="1" x14ac:dyDescent="0.3">
      <c r="A3010" s="1192"/>
      <c r="B3010" s="1199"/>
      <c r="C3010" s="1198" t="str">
        <f>IF(B3010="","",VLOOKUP(B3010,INSUMOS,2,FALSE))</f>
        <v/>
      </c>
      <c r="D3010" s="1198"/>
      <c r="E3010" s="1180" t="str">
        <f>IF(B3010="","",VLOOKUP(B3010,INSUMOS,3,FALSE))</f>
        <v/>
      </c>
      <c r="F3010" s="1198"/>
      <c r="G3010" s="979" t="str">
        <f>IF(B3010="","",PRODUCT(D3010:F3010))</f>
        <v/>
      </c>
      <c r="H3010" s="1194"/>
    </row>
    <row r="3011" spans="1:8" ht="15.75" thickBot="1" x14ac:dyDescent="0.3">
      <c r="A3011" s="1192"/>
      <c r="B3011" s="1202"/>
      <c r="C3011" s="1204" t="str">
        <f>IF(B3011="","",VLOOKUP(B3011,INSUMOS,2,FALSE))</f>
        <v/>
      </c>
      <c r="D3011" s="1204"/>
      <c r="E3011" s="1205" t="str">
        <f>IF(B3011="","",VLOOKUP(B3011,INSUMOS,3,FALSE))</f>
        <v/>
      </c>
      <c r="F3011" s="1203"/>
      <c r="G3011" s="979" t="str">
        <f>IF(B3011="","",PRODUCT(D3011:F3011))</f>
        <v/>
      </c>
      <c r="H3011" s="1206">
        <f>+SUM(G3007:G3011)</f>
        <v>0</v>
      </c>
    </row>
    <row r="3012" spans="1:8" ht="15.75" thickBot="1" x14ac:dyDescent="0.3">
      <c r="A3012" s="1192"/>
      <c r="B3012" s="1207"/>
      <c r="C3012" s="1207"/>
      <c r="D3012" s="1207"/>
      <c r="E3012" s="1209"/>
      <c r="F3012" s="1214"/>
      <c r="G3012" s="1215"/>
      <c r="H3012" s="1211"/>
    </row>
    <row r="3013" spans="1:8" ht="15.75" thickBot="1" x14ac:dyDescent="0.3">
      <c r="A3013" s="1192"/>
      <c r="B3013" s="1428" t="s">
        <v>5412</v>
      </c>
      <c r="C3013" s="1429" t="s">
        <v>5420</v>
      </c>
      <c r="D3013" s="1429" t="s">
        <v>5421</v>
      </c>
      <c r="E3013" s="1430" t="s">
        <v>5413</v>
      </c>
      <c r="F3013" s="1429" t="s">
        <v>5405</v>
      </c>
      <c r="G3013" s="1431" t="s">
        <v>868</v>
      </c>
      <c r="H3013" s="1194"/>
    </row>
    <row r="3014" spans="1:8" x14ac:dyDescent="0.25">
      <c r="A3014" s="1192"/>
      <c r="B3014" s="194" t="s">
        <v>6523</v>
      </c>
      <c r="C3014" s="345">
        <f>+VLOOKUP($B3014,'Mano de obra'!$A$5:$D$26,2,FALSE)</f>
        <v>57454</v>
      </c>
      <c r="D3014" s="345">
        <f>+VLOOKUP($B3014,'Mano de obra'!$A$5:$D$26,3,FALSE)</f>
        <v>35656</v>
      </c>
      <c r="E3014" s="345">
        <f>+VLOOKUP($B3014,'Mano de obra'!$A$5:$D$26,4,FALSE)</f>
        <v>93110</v>
      </c>
      <c r="F3014" s="1197">
        <v>20</v>
      </c>
      <c r="G3014" s="979">
        <f>IF(B3014="","",E3014/F3014)</f>
        <v>4655.5</v>
      </c>
      <c r="H3014" s="1194"/>
    </row>
    <row r="3015" spans="1:8" x14ac:dyDescent="0.25">
      <c r="A3015" s="1192"/>
      <c r="B3015" s="194" t="s">
        <v>6524</v>
      </c>
      <c r="C3015" s="345">
        <f>+VLOOKUP($B3015,'Mano de obra'!$A$5:$D$26,2,FALSE)</f>
        <v>44263.8</v>
      </c>
      <c r="D3015" s="345">
        <f>+VLOOKUP($B3015,'Mano de obra'!$A$5:$D$26,3,FALSE)</f>
        <v>27470</v>
      </c>
      <c r="E3015" s="345">
        <f>+VLOOKUP($B3015,'Mano de obra'!$A$5:$D$26,4,FALSE)</f>
        <v>71733.8</v>
      </c>
      <c r="F3015" s="1195">
        <v>1.8</v>
      </c>
      <c r="G3015" s="979">
        <f>IF(B3015="","",E3015/F3015)</f>
        <v>39852.111111111109</v>
      </c>
      <c r="H3015" s="1194"/>
    </row>
    <row r="3016" spans="1:8" x14ac:dyDescent="0.25">
      <c r="A3016" s="1192"/>
      <c r="B3016" s="195" t="s">
        <v>6525</v>
      </c>
      <c r="C3016" s="345">
        <f>+VLOOKUP($B3016,'Mano de obra'!$A$5:$D$26,2,FALSE)</f>
        <v>24591</v>
      </c>
      <c r="D3016" s="345">
        <f>+VLOOKUP($B3016,'Mano de obra'!$A$5:$D$26,3,FALSE)</f>
        <v>15261</v>
      </c>
      <c r="E3016" s="345">
        <f>+VLOOKUP($B3016,'Mano de obra'!$A$5:$D$26,4,FALSE)</f>
        <v>39852</v>
      </c>
      <c r="F3016" s="1198">
        <v>1.8</v>
      </c>
      <c r="G3016" s="979">
        <f>IF(B3016="","",E3016/F3016)</f>
        <v>22140</v>
      </c>
      <c r="H3016" s="1194"/>
    </row>
    <row r="3017" spans="1:8" x14ac:dyDescent="0.25">
      <c r="A3017" s="1192"/>
      <c r="B3017" s="1199"/>
      <c r="C3017" s="1216"/>
      <c r="D3017" s="1201"/>
      <c r="E3017" s="1201"/>
      <c r="F3017" s="1198"/>
      <c r="G3017" s="1217"/>
      <c r="H3017" s="1194"/>
    </row>
    <row r="3018" spans="1:8" ht="15.75" thickBot="1" x14ac:dyDescent="0.3">
      <c r="A3018" s="1192"/>
      <c r="B3018" s="1199"/>
      <c r="C3018" s="1201"/>
      <c r="D3018" s="1201"/>
      <c r="E3018" s="1201"/>
      <c r="F3018" s="1198"/>
      <c r="G3018" s="1217"/>
      <c r="H3018" s="1194"/>
    </row>
    <row r="3019" spans="1:8" ht="15.75" thickBot="1" x14ac:dyDescent="0.3">
      <c r="A3019" s="1192"/>
      <c r="B3019" s="1218"/>
      <c r="C3019" s="1219"/>
      <c r="D3019" s="1219"/>
      <c r="E3019" s="1219"/>
      <c r="F3019" s="1220"/>
      <c r="G3019" s="1221"/>
      <c r="H3019" s="1206">
        <f>+SUM(G3014:G3019)</f>
        <v>66647.611111111109</v>
      </c>
    </row>
    <row r="3020" spans="1:8" ht="15.75" thickBot="1" x14ac:dyDescent="0.3">
      <c r="A3020" s="1192"/>
      <c r="B3020" s="1192"/>
      <c r="C3020" s="1192"/>
      <c r="D3020" s="1192"/>
      <c r="E3020" s="1192"/>
      <c r="F3020" s="1191"/>
      <c r="G3020" s="1192"/>
      <c r="H3020" s="1192"/>
    </row>
    <row r="3021" spans="1:8" ht="15.75" thickBot="1" x14ac:dyDescent="0.3">
      <c r="A3021" s="1192"/>
      <c r="B3021" s="1192"/>
      <c r="C3021" s="1192"/>
      <c r="D3021" s="1192"/>
      <c r="E3021" s="1222" t="s">
        <v>5415</v>
      </c>
      <c r="F3021" s="1191"/>
      <c r="G3021" s="1192"/>
      <c r="H3021" s="1223">
        <f>ROUND(+H2988+H3004+H3011+H3019,0)</f>
        <v>79977</v>
      </c>
    </row>
    <row r="3022" spans="1:8" x14ac:dyDescent="0.25">
      <c r="A3022" s="1191"/>
      <c r="B3022" s="1192"/>
      <c r="C3022" s="1192"/>
      <c r="D3022" s="1192"/>
      <c r="E3022" s="1192"/>
      <c r="F3022" s="1191"/>
      <c r="G3022" s="1192"/>
      <c r="H3022" s="1192"/>
    </row>
    <row r="3023" spans="1:8" x14ac:dyDescent="0.25">
      <c r="A3023" s="1191"/>
      <c r="B3023" s="1192"/>
      <c r="C3023" s="1192"/>
      <c r="D3023" s="1192"/>
      <c r="E3023" s="1192"/>
      <c r="F3023" s="1191"/>
      <c r="G3023" s="1192"/>
      <c r="H3023" s="1192"/>
    </row>
    <row r="3024" spans="1:8" ht="27.75" customHeight="1" x14ac:dyDescent="0.25">
      <c r="A3024" s="673" t="s">
        <v>3</v>
      </c>
      <c r="B3024" s="1390" t="str">
        <f>+VLOOKUP(C3024,ListaAPUs!$B:$E,4,FALSE)</f>
        <v>4.2.23</v>
      </c>
      <c r="C3024" s="2449" t="str">
        <f>+ListaAPUs!B97</f>
        <v>INSTALACIÓN NIPLES PASAMURO EN  HD D=25 MM A 150 MM L=2 A 3M</v>
      </c>
      <c r="D3024" s="2449"/>
      <c r="E3024" s="2449"/>
      <c r="F3024" s="673" t="s">
        <v>867</v>
      </c>
      <c r="G3024" s="222" t="s">
        <v>5424</v>
      </c>
      <c r="H3024" s="1192"/>
    </row>
    <row r="3025" spans="1:8" x14ac:dyDescent="0.25">
      <c r="A3025" s="1191"/>
      <c r="B3025" s="1192"/>
      <c r="C3025" s="1192"/>
      <c r="D3025" s="1192"/>
      <c r="E3025" s="1192"/>
      <c r="F3025" s="1191"/>
      <c r="G3025" s="1192"/>
      <c r="H3025" s="1192"/>
    </row>
    <row r="3026" spans="1:8" x14ac:dyDescent="0.25">
      <c r="A3026" s="1191"/>
      <c r="B3026" s="1192"/>
      <c r="C3026" s="1192"/>
      <c r="D3026" s="1192"/>
      <c r="E3026" s="1192"/>
      <c r="F3026" s="1191"/>
      <c r="G3026" s="1193"/>
      <c r="H3026" s="1192"/>
    </row>
    <row r="3027" spans="1:8" ht="15.75" thickBot="1" x14ac:dyDescent="0.3">
      <c r="A3027" s="1191"/>
      <c r="B3027" s="1192"/>
      <c r="C3027" s="1192"/>
      <c r="D3027" s="1192"/>
      <c r="E3027" s="1192"/>
      <c r="F3027" s="1191"/>
      <c r="G3027" s="1192"/>
      <c r="H3027" s="1192"/>
    </row>
    <row r="3028" spans="1:8" ht="15.75" thickBot="1" x14ac:dyDescent="0.3">
      <c r="A3028" s="1191"/>
      <c r="B3028" s="1428" t="s">
        <v>5403</v>
      </c>
      <c r="C3028" s="1429" t="s">
        <v>867</v>
      </c>
      <c r="D3028" s="1429" t="s">
        <v>6</v>
      </c>
      <c r="E3028" s="1430" t="s">
        <v>5404</v>
      </c>
      <c r="F3028" s="1429" t="s">
        <v>5405</v>
      </c>
      <c r="G3028" s="1431" t="s">
        <v>868</v>
      </c>
      <c r="H3028" s="1194"/>
    </row>
    <row r="3029" spans="1:8" x14ac:dyDescent="0.25">
      <c r="A3029" s="1191"/>
      <c r="B3029" s="1199" t="s">
        <v>5455</v>
      </c>
      <c r="C3029" s="226" t="s">
        <v>7042</v>
      </c>
      <c r="D3029" s="1196">
        <v>1</v>
      </c>
      <c r="E3029" s="228">
        <f>+H3067</f>
        <v>60448.4</v>
      </c>
      <c r="F3029" s="1197">
        <v>0.2</v>
      </c>
      <c r="G3029" s="979">
        <f>IF(B3029="","",PRODUCT(D3029:F3029))</f>
        <v>12089.68</v>
      </c>
      <c r="H3029" s="1194"/>
    </row>
    <row r="3030" spans="1:8" x14ac:dyDescent="0.25">
      <c r="A3030" s="1191"/>
      <c r="B3030" s="1303" t="s">
        <v>6869</v>
      </c>
      <c r="C3030" s="1198"/>
      <c r="D3030" s="1198"/>
      <c r="E3030" s="975">
        <f>+VLOOKUP(B3030,Insumos!$A$2:$C$331,3,FALSE)</f>
        <v>202536</v>
      </c>
      <c r="F3030" s="1198">
        <v>0.04</v>
      </c>
      <c r="G3030" s="979">
        <f>IF(B3030="","",PRODUCT(D3030:F3030))</f>
        <v>8101.4400000000005</v>
      </c>
      <c r="H3030" s="1194"/>
    </row>
    <row r="3031" spans="1:8" x14ac:dyDescent="0.25">
      <c r="A3031" s="1191"/>
      <c r="B3031" s="763"/>
      <c r="C3031" s="1198"/>
      <c r="D3031" s="1198"/>
      <c r="E3031" s="1181"/>
      <c r="F3031" s="1198"/>
      <c r="G3031" s="979"/>
      <c r="H3031" s="1194"/>
    </row>
    <row r="3032" spans="1:8" x14ac:dyDescent="0.25">
      <c r="A3032" s="1191"/>
      <c r="B3032" s="1199"/>
      <c r="C3032" s="1198"/>
      <c r="D3032" s="1200"/>
      <c r="E3032" s="1201"/>
      <c r="F3032" s="1198"/>
      <c r="G3032" s="979"/>
      <c r="H3032" s="1194"/>
    </row>
    <row r="3033" spans="1:8" x14ac:dyDescent="0.25">
      <c r="A3033" s="1191"/>
      <c r="B3033" s="1199"/>
      <c r="C3033" s="1198"/>
      <c r="D3033" s="1200"/>
      <c r="E3033" s="1201"/>
      <c r="F3033" s="1198"/>
      <c r="G3033" s="979"/>
      <c r="H3033" s="1194"/>
    </row>
    <row r="3034" spans="1:8" x14ac:dyDescent="0.25">
      <c r="A3034" s="1191"/>
      <c r="B3034" s="1199"/>
      <c r="C3034" s="1198"/>
      <c r="D3034" s="1200"/>
      <c r="E3034" s="1201"/>
      <c r="F3034" s="1198"/>
      <c r="G3034" s="979"/>
      <c r="H3034" s="1194"/>
    </row>
    <row r="3035" spans="1:8" ht="15.75" thickBot="1" x14ac:dyDescent="0.3">
      <c r="A3035" s="1191"/>
      <c r="B3035" s="1199"/>
      <c r="C3035" s="1198"/>
      <c r="D3035" s="1200"/>
      <c r="E3035" s="1201"/>
      <c r="F3035" s="1198"/>
      <c r="G3035" s="979"/>
      <c r="H3035" s="1194"/>
    </row>
    <row r="3036" spans="1:8" ht="15.75" thickBot="1" x14ac:dyDescent="0.3">
      <c r="A3036" s="1191"/>
      <c r="B3036" s="1202"/>
      <c r="C3036" s="1203"/>
      <c r="D3036" s="1204"/>
      <c r="E3036" s="1205"/>
      <c r="F3036" s="1203"/>
      <c r="G3036" s="979"/>
      <c r="H3036" s="1206">
        <f>+SUM(G3029:G3036)</f>
        <v>20191.120000000003</v>
      </c>
    </row>
    <row r="3037" spans="1:8" ht="15.75" thickBot="1" x14ac:dyDescent="0.3">
      <c r="A3037" s="1191"/>
      <c r="B3037" s="1207"/>
      <c r="C3037" s="1208"/>
      <c r="D3037" s="1207"/>
      <c r="E3037" s="1209"/>
      <c r="F3037" s="1208"/>
      <c r="G3037" s="1210"/>
      <c r="H3037" s="1211"/>
    </row>
    <row r="3038" spans="1:8" ht="15.75" thickBot="1" x14ac:dyDescent="0.3">
      <c r="A3038" s="1192"/>
      <c r="B3038" s="1428" t="s">
        <v>5408</v>
      </c>
      <c r="C3038" s="1429" t="s">
        <v>867</v>
      </c>
      <c r="D3038" s="1429" t="s">
        <v>6</v>
      </c>
      <c r="E3038" s="1430" t="s">
        <v>870</v>
      </c>
      <c r="F3038" s="1429" t="s">
        <v>7040</v>
      </c>
      <c r="G3038" s="1431" t="s">
        <v>868</v>
      </c>
      <c r="H3038" s="1194"/>
    </row>
    <row r="3039" spans="1:8" x14ac:dyDescent="0.25">
      <c r="A3039" s="1192"/>
      <c r="B3039" s="1212"/>
      <c r="C3039" s="1195" t="str">
        <f t="shared" ref="C3039:C3052" si="61">IF(B3039="","",VLOOKUP(B3039,INSUMOS,2,FALSE))</f>
        <v/>
      </c>
      <c r="D3039" s="1195"/>
      <c r="E3039" s="1180"/>
      <c r="F3039" s="1195"/>
      <c r="G3039" s="979"/>
      <c r="H3039" s="1194"/>
    </row>
    <row r="3040" spans="1:8" x14ac:dyDescent="0.25">
      <c r="A3040" s="1192"/>
      <c r="B3040" s="1213"/>
      <c r="C3040" s="1198" t="str">
        <f t="shared" si="61"/>
        <v/>
      </c>
      <c r="D3040" s="1198"/>
      <c r="E3040" s="1181"/>
      <c r="F3040" s="1195"/>
      <c r="G3040" s="979"/>
      <c r="H3040" s="1194"/>
    </row>
    <row r="3041" spans="1:8" x14ac:dyDescent="0.25">
      <c r="A3041" s="1192"/>
      <c r="B3041" s="1213"/>
      <c r="C3041" s="1198" t="str">
        <f t="shared" si="61"/>
        <v/>
      </c>
      <c r="D3041" s="1198"/>
      <c r="E3041" s="1181"/>
      <c r="F3041" s="1195"/>
      <c r="G3041" s="979"/>
      <c r="H3041" s="1194"/>
    </row>
    <row r="3042" spans="1:8" x14ac:dyDescent="0.25">
      <c r="A3042" s="1192"/>
      <c r="B3042" s="1199"/>
      <c r="C3042" s="1198" t="str">
        <f t="shared" si="61"/>
        <v/>
      </c>
      <c r="D3042" s="1198"/>
      <c r="E3042" s="1180"/>
      <c r="F3042" s="1198"/>
      <c r="G3042" s="979"/>
      <c r="H3042" s="1194"/>
    </row>
    <row r="3043" spans="1:8" x14ac:dyDescent="0.25">
      <c r="A3043" s="1192"/>
      <c r="B3043" s="1199"/>
      <c r="C3043" s="1198" t="str">
        <f t="shared" si="61"/>
        <v/>
      </c>
      <c r="D3043" s="1198"/>
      <c r="E3043" s="1180"/>
      <c r="F3043" s="1198"/>
      <c r="G3043" s="979"/>
      <c r="H3043" s="1194"/>
    </row>
    <row r="3044" spans="1:8" x14ac:dyDescent="0.25">
      <c r="A3044" s="1192"/>
      <c r="B3044" s="1199"/>
      <c r="C3044" s="1198" t="str">
        <f t="shared" si="61"/>
        <v/>
      </c>
      <c r="D3044" s="1198"/>
      <c r="E3044" s="1180"/>
      <c r="F3044" s="1198"/>
      <c r="G3044" s="979"/>
      <c r="H3044" s="1194"/>
    </row>
    <row r="3045" spans="1:8" x14ac:dyDescent="0.25">
      <c r="A3045" s="1192"/>
      <c r="B3045" s="1199"/>
      <c r="C3045" s="1198" t="str">
        <f t="shared" si="61"/>
        <v/>
      </c>
      <c r="D3045" s="1198"/>
      <c r="E3045" s="1180"/>
      <c r="F3045" s="1198"/>
      <c r="G3045" s="979"/>
      <c r="H3045" s="1194"/>
    </row>
    <row r="3046" spans="1:8" x14ac:dyDescent="0.25">
      <c r="A3046" s="1192"/>
      <c r="B3046" s="1199"/>
      <c r="C3046" s="1198" t="str">
        <f t="shared" si="61"/>
        <v/>
      </c>
      <c r="D3046" s="1198"/>
      <c r="E3046" s="1180"/>
      <c r="F3046" s="1198"/>
      <c r="G3046" s="979"/>
      <c r="H3046" s="1194"/>
    </row>
    <row r="3047" spans="1:8" x14ac:dyDescent="0.25">
      <c r="A3047" s="1192"/>
      <c r="B3047" s="1199"/>
      <c r="C3047" s="1198" t="str">
        <f t="shared" si="61"/>
        <v/>
      </c>
      <c r="D3047" s="1198"/>
      <c r="E3047" s="1180"/>
      <c r="F3047" s="1198"/>
      <c r="G3047" s="979"/>
      <c r="H3047" s="1194"/>
    </row>
    <row r="3048" spans="1:8" x14ac:dyDescent="0.25">
      <c r="A3048" s="1192"/>
      <c r="B3048" s="1199"/>
      <c r="C3048" s="1198" t="str">
        <f t="shared" si="61"/>
        <v/>
      </c>
      <c r="D3048" s="1198"/>
      <c r="E3048" s="1180"/>
      <c r="F3048" s="1198"/>
      <c r="G3048" s="979"/>
      <c r="H3048" s="1194"/>
    </row>
    <row r="3049" spans="1:8" x14ac:dyDescent="0.25">
      <c r="A3049" s="1192"/>
      <c r="B3049" s="1199"/>
      <c r="C3049" s="1198" t="str">
        <f t="shared" si="61"/>
        <v/>
      </c>
      <c r="D3049" s="1198"/>
      <c r="E3049" s="1180"/>
      <c r="F3049" s="1198"/>
      <c r="G3049" s="979"/>
      <c r="H3049" s="1194"/>
    </row>
    <row r="3050" spans="1:8" x14ac:dyDescent="0.25">
      <c r="A3050" s="1192"/>
      <c r="B3050" s="1199"/>
      <c r="C3050" s="1200" t="str">
        <f t="shared" si="61"/>
        <v/>
      </c>
      <c r="D3050" s="1200"/>
      <c r="E3050" s="1201"/>
      <c r="F3050" s="1198"/>
      <c r="G3050" s="979"/>
      <c r="H3050" s="1194"/>
    </row>
    <row r="3051" spans="1:8" ht="15.75" thickBot="1" x14ac:dyDescent="0.3">
      <c r="A3051" s="1192"/>
      <c r="B3051" s="1199"/>
      <c r="C3051" s="1200" t="str">
        <f t="shared" si="61"/>
        <v/>
      </c>
      <c r="D3051" s="1200"/>
      <c r="E3051" s="1201"/>
      <c r="F3051" s="1198"/>
      <c r="G3051" s="979"/>
      <c r="H3051" s="1194"/>
    </row>
    <row r="3052" spans="1:8" ht="15.75" thickBot="1" x14ac:dyDescent="0.3">
      <c r="A3052" s="1192"/>
      <c r="B3052" s="1202"/>
      <c r="C3052" s="1204" t="str">
        <f t="shared" si="61"/>
        <v/>
      </c>
      <c r="D3052" s="1204"/>
      <c r="E3052" s="1205"/>
      <c r="F3052" s="1203"/>
      <c r="G3052" s="979"/>
      <c r="H3052" s="1206">
        <f>+SUM(G3039:G3052)</f>
        <v>0</v>
      </c>
    </row>
    <row r="3053" spans="1:8" ht="15.75" thickBot="1" x14ac:dyDescent="0.3">
      <c r="A3053" s="1192"/>
      <c r="B3053" s="1207"/>
      <c r="C3053" s="1207"/>
      <c r="D3053" s="1207"/>
      <c r="E3053" s="1209"/>
      <c r="F3053" s="1208"/>
      <c r="G3053" s="1210"/>
      <c r="H3053" s="1211"/>
    </row>
    <row r="3054" spans="1:8" ht="15.75" thickBot="1" x14ac:dyDescent="0.3">
      <c r="A3054" s="1192"/>
      <c r="B3054" s="1428" t="s">
        <v>5410</v>
      </c>
      <c r="C3054" s="1429" t="s">
        <v>867</v>
      </c>
      <c r="D3054" s="1429" t="s">
        <v>6</v>
      </c>
      <c r="E3054" s="1430" t="s">
        <v>870</v>
      </c>
      <c r="F3054" s="1429" t="s">
        <v>5411</v>
      </c>
      <c r="G3054" s="1431" t="s">
        <v>868</v>
      </c>
      <c r="H3054" s="1194"/>
    </row>
    <row r="3055" spans="1:8" x14ac:dyDescent="0.25">
      <c r="A3055" s="1192"/>
      <c r="B3055" s="1212"/>
      <c r="C3055" s="1195"/>
      <c r="D3055" s="1195"/>
      <c r="E3055" s="1180"/>
      <c r="F3055" s="1195"/>
      <c r="G3055" s="979"/>
      <c r="H3055" s="1194"/>
    </row>
    <row r="3056" spans="1:8" x14ac:dyDescent="0.25">
      <c r="A3056" s="1192"/>
      <c r="B3056" s="1213"/>
      <c r="C3056" s="1198"/>
      <c r="D3056" s="1198"/>
      <c r="E3056" s="1181"/>
      <c r="F3056" s="1198"/>
      <c r="G3056" s="979"/>
      <c r="H3056" s="1194"/>
    </row>
    <row r="3057" spans="1:8" x14ac:dyDescent="0.25">
      <c r="A3057" s="1192"/>
      <c r="B3057" s="1213"/>
      <c r="C3057" s="1198"/>
      <c r="D3057" s="1198"/>
      <c r="E3057" s="1180"/>
      <c r="F3057" s="1198"/>
      <c r="G3057" s="979"/>
      <c r="H3057" s="1194"/>
    </row>
    <row r="3058" spans="1:8" ht="15.75" thickBot="1" x14ac:dyDescent="0.3">
      <c r="A3058" s="1192"/>
      <c r="B3058" s="1199"/>
      <c r="C3058" s="1198"/>
      <c r="D3058" s="1198"/>
      <c r="E3058" s="1180"/>
      <c r="F3058" s="1198"/>
      <c r="G3058" s="979"/>
      <c r="H3058" s="1194"/>
    </row>
    <row r="3059" spans="1:8" ht="15.75" thickBot="1" x14ac:dyDescent="0.3">
      <c r="A3059" s="1192"/>
      <c r="B3059" s="1202"/>
      <c r="C3059" s="1204"/>
      <c r="D3059" s="1204"/>
      <c r="E3059" s="1205"/>
      <c r="F3059" s="1203"/>
      <c r="G3059" s="979"/>
      <c r="H3059" s="1206">
        <f>+SUM(G3055:G3059)</f>
        <v>0</v>
      </c>
    </row>
    <row r="3060" spans="1:8" ht="15.75" thickBot="1" x14ac:dyDescent="0.3">
      <c r="A3060" s="1192"/>
      <c r="B3060" s="1207"/>
      <c r="C3060" s="1207"/>
      <c r="D3060" s="1207"/>
      <c r="E3060" s="1209"/>
      <c r="F3060" s="1214"/>
      <c r="G3060" s="1215"/>
      <c r="H3060" s="1211"/>
    </row>
    <row r="3061" spans="1:8" ht="15.75" thickBot="1" x14ac:dyDescent="0.3">
      <c r="A3061" s="1192"/>
      <c r="B3061" s="1428" t="s">
        <v>5412</v>
      </c>
      <c r="C3061" s="1429" t="s">
        <v>5420</v>
      </c>
      <c r="D3061" s="1429" t="s">
        <v>5421</v>
      </c>
      <c r="E3061" s="1430" t="s">
        <v>5413</v>
      </c>
      <c r="F3061" s="1429" t="s">
        <v>5405</v>
      </c>
      <c r="G3061" s="1431" t="s">
        <v>868</v>
      </c>
      <c r="H3061" s="1194"/>
    </row>
    <row r="3062" spans="1:8" x14ac:dyDescent="0.25">
      <c r="A3062" s="1192"/>
      <c r="B3062" s="194" t="s">
        <v>6523</v>
      </c>
      <c r="C3062" s="345">
        <f>+VLOOKUP($B3062,'Mano de obra'!$A$5:$D$26,2,FALSE)</f>
        <v>57454</v>
      </c>
      <c r="D3062" s="345">
        <f>+VLOOKUP($B3062,'Mano de obra'!$A$5:$D$26,3,FALSE)</f>
        <v>35656</v>
      </c>
      <c r="E3062" s="345">
        <f>+VLOOKUP($B3062,'Mano de obra'!$A$5:$D$26,4,FALSE)</f>
        <v>93110</v>
      </c>
      <c r="F3062" s="1197">
        <v>20</v>
      </c>
      <c r="G3062" s="979">
        <f>IF(B3062="","",E3062/F3062)</f>
        <v>4655.5</v>
      </c>
      <c r="H3062" s="1194"/>
    </row>
    <row r="3063" spans="1:8" x14ac:dyDescent="0.25">
      <c r="A3063" s="1192"/>
      <c r="B3063" s="194" t="s">
        <v>6524</v>
      </c>
      <c r="C3063" s="345">
        <f>+VLOOKUP($B3063,'Mano de obra'!$A$5:$D$26,2,FALSE)</f>
        <v>44263.8</v>
      </c>
      <c r="D3063" s="345">
        <f>+VLOOKUP($B3063,'Mano de obra'!$A$5:$D$26,3,FALSE)</f>
        <v>27470</v>
      </c>
      <c r="E3063" s="345">
        <f>+VLOOKUP($B3063,'Mano de obra'!$A$5:$D$26,4,FALSE)</f>
        <v>71733.8</v>
      </c>
      <c r="F3063" s="1195">
        <v>2</v>
      </c>
      <c r="G3063" s="979">
        <f>IF(B3063="","",E3063/F3063)</f>
        <v>35866.9</v>
      </c>
      <c r="H3063" s="1194"/>
    </row>
    <row r="3064" spans="1:8" x14ac:dyDescent="0.25">
      <c r="A3064" s="1192"/>
      <c r="B3064" s="195" t="s">
        <v>6525</v>
      </c>
      <c r="C3064" s="345">
        <f>+VLOOKUP($B3064,'Mano de obra'!$A$5:$D$26,2,FALSE)</f>
        <v>24591</v>
      </c>
      <c r="D3064" s="345">
        <f>+VLOOKUP($B3064,'Mano de obra'!$A$5:$D$26,3,FALSE)</f>
        <v>15261</v>
      </c>
      <c r="E3064" s="345">
        <f>+VLOOKUP($B3064,'Mano de obra'!$A$5:$D$26,4,FALSE)</f>
        <v>39852</v>
      </c>
      <c r="F3064" s="1198">
        <v>2</v>
      </c>
      <c r="G3064" s="979">
        <f>IF(B3064="","",E3064/F3064)</f>
        <v>19926</v>
      </c>
      <c r="H3064" s="1194"/>
    </row>
    <row r="3065" spans="1:8" x14ac:dyDescent="0.25">
      <c r="A3065" s="1192"/>
      <c r="B3065" s="1199"/>
      <c r="C3065" s="1216"/>
      <c r="D3065" s="1201"/>
      <c r="E3065" s="1201"/>
      <c r="F3065" s="1198"/>
      <c r="G3065" s="1217"/>
      <c r="H3065" s="1194"/>
    </row>
    <row r="3066" spans="1:8" ht="15.75" thickBot="1" x14ac:dyDescent="0.3">
      <c r="A3066" s="1192"/>
      <c r="B3066" s="1199"/>
      <c r="C3066" s="1201"/>
      <c r="D3066" s="1201"/>
      <c r="E3066" s="1201"/>
      <c r="F3066" s="1198"/>
      <c r="G3066" s="1217"/>
      <c r="H3066" s="1194"/>
    </row>
    <row r="3067" spans="1:8" ht="15.75" thickBot="1" x14ac:dyDescent="0.3">
      <c r="A3067" s="1192"/>
      <c r="B3067" s="1218"/>
      <c r="C3067" s="1219"/>
      <c r="D3067" s="1219"/>
      <c r="E3067" s="1219"/>
      <c r="F3067" s="1220"/>
      <c r="G3067" s="1221"/>
      <c r="H3067" s="1206">
        <f>+SUM(G3062:G3067)</f>
        <v>60448.4</v>
      </c>
    </row>
    <row r="3068" spans="1:8" ht="15.75" thickBot="1" x14ac:dyDescent="0.3">
      <c r="A3068" s="1192"/>
      <c r="B3068" s="1192"/>
      <c r="C3068" s="1192"/>
      <c r="D3068" s="1192"/>
      <c r="E3068" s="1192"/>
      <c r="F3068" s="1191"/>
      <c r="G3068" s="1192"/>
      <c r="H3068" s="1192"/>
    </row>
    <row r="3069" spans="1:8" ht="15.75" thickBot="1" x14ac:dyDescent="0.3">
      <c r="A3069" s="1192"/>
      <c r="B3069" s="1192"/>
      <c r="C3069" s="1192"/>
      <c r="D3069" s="1192"/>
      <c r="E3069" s="1222" t="s">
        <v>5415</v>
      </c>
      <c r="F3069" s="1191"/>
      <c r="G3069" s="1192"/>
      <c r="H3069" s="1223">
        <f>ROUND(+H3036+H3052+H3059+H3067,0)</f>
        <v>80640</v>
      </c>
    </row>
    <row r="3070" spans="1:8" x14ac:dyDescent="0.25">
      <c r="A3070" s="1058"/>
      <c r="B3070" s="1058"/>
      <c r="C3070" s="1058"/>
      <c r="D3070" s="1058"/>
      <c r="E3070" s="1058"/>
      <c r="F3070" s="1058"/>
      <c r="G3070" s="1058"/>
      <c r="H3070" s="1058"/>
    </row>
    <row r="3071" spans="1:8" x14ac:dyDescent="0.25">
      <c r="A3071" s="1191"/>
      <c r="B3071" s="1192"/>
      <c r="C3071" s="1192"/>
      <c r="D3071" s="1192"/>
      <c r="E3071" s="1192"/>
      <c r="F3071" s="1191"/>
      <c r="G3071" s="1192"/>
      <c r="H3071" s="1192"/>
    </row>
    <row r="3072" spans="1:8" ht="25.5" customHeight="1" x14ac:dyDescent="0.25">
      <c r="A3072" s="673" t="s">
        <v>3</v>
      </c>
      <c r="B3072" s="1390" t="str">
        <f>+VLOOKUP(C3072,ListaAPUs!$B:$E,4,FALSE)</f>
        <v>4.2.24</v>
      </c>
      <c r="C3072" s="2449" t="str">
        <f>+ListaAPUs!B98</f>
        <v>INSTALACIÓN NIPLES PASAMURO EN  HD D=25 MM A 150 MM L=3 A 4M</v>
      </c>
      <c r="D3072" s="2449"/>
      <c r="E3072" s="2449"/>
      <c r="F3072" s="673" t="s">
        <v>867</v>
      </c>
      <c r="G3072" s="222" t="s">
        <v>5424</v>
      </c>
      <c r="H3072" s="1192"/>
    </row>
    <row r="3073" spans="1:8" x14ac:dyDescent="0.25">
      <c r="A3073" s="1191"/>
      <c r="B3073" s="1192"/>
      <c r="C3073" s="1192"/>
      <c r="D3073" s="1192"/>
      <c r="E3073" s="1192"/>
      <c r="F3073" s="1191"/>
      <c r="G3073" s="1192"/>
      <c r="H3073" s="1192"/>
    </row>
    <row r="3074" spans="1:8" x14ac:dyDescent="0.25">
      <c r="A3074" s="1191"/>
      <c r="B3074" s="1192"/>
      <c r="C3074" s="1192"/>
      <c r="D3074" s="1192"/>
      <c r="E3074" s="1192"/>
      <c r="F3074" s="1191"/>
      <c r="G3074" s="1193"/>
      <c r="H3074" s="1192"/>
    </row>
    <row r="3075" spans="1:8" ht="15.75" thickBot="1" x14ac:dyDescent="0.3">
      <c r="A3075" s="1191"/>
      <c r="B3075" s="1192"/>
      <c r="C3075" s="1192"/>
      <c r="D3075" s="1192"/>
      <c r="E3075" s="1192"/>
      <c r="F3075" s="1191"/>
      <c r="G3075" s="1192"/>
      <c r="H3075" s="1192"/>
    </row>
    <row r="3076" spans="1:8" ht="15.75" thickBot="1" x14ac:dyDescent="0.3">
      <c r="A3076" s="1191"/>
      <c r="B3076" s="1428" t="s">
        <v>5403</v>
      </c>
      <c r="C3076" s="1429" t="s">
        <v>867</v>
      </c>
      <c r="D3076" s="1429" t="s">
        <v>6</v>
      </c>
      <c r="E3076" s="1430" t="s">
        <v>5404</v>
      </c>
      <c r="F3076" s="1429" t="s">
        <v>5405</v>
      </c>
      <c r="G3076" s="1431" t="s">
        <v>868</v>
      </c>
      <c r="H3076" s="1194"/>
    </row>
    <row r="3077" spans="1:8" x14ac:dyDescent="0.25">
      <c r="A3077" s="1191"/>
      <c r="B3077" s="1199" t="s">
        <v>5455</v>
      </c>
      <c r="C3077" s="226" t="s">
        <v>7042</v>
      </c>
      <c r="D3077" s="1196">
        <v>1</v>
      </c>
      <c r="E3077" s="228">
        <f>+H3115</f>
        <v>60448.4</v>
      </c>
      <c r="F3077" s="1197">
        <v>0.2</v>
      </c>
      <c r="G3077" s="979">
        <f>IF(B3077="","",PRODUCT(D3077:F3077))</f>
        <v>12089.68</v>
      </c>
      <c r="H3077" s="1194"/>
    </row>
    <row r="3078" spans="1:8" x14ac:dyDescent="0.25">
      <c r="A3078" s="1191"/>
      <c r="B3078" s="1303" t="s">
        <v>6869</v>
      </c>
      <c r="C3078" s="1198"/>
      <c r="D3078" s="1198"/>
      <c r="E3078" s="975">
        <f>+VLOOKUP(B3078,Insumos!$A$2:$C$331,3,FALSE)</f>
        <v>202536</v>
      </c>
      <c r="F3078" s="1198">
        <v>0.05</v>
      </c>
      <c r="G3078" s="979">
        <f>IF(B3078="","",PRODUCT(D3078:F3078))</f>
        <v>10126.800000000001</v>
      </c>
      <c r="H3078" s="1194"/>
    </row>
    <row r="3079" spans="1:8" x14ac:dyDescent="0.25">
      <c r="A3079" s="1191"/>
      <c r="B3079" s="763"/>
      <c r="C3079" s="1198"/>
      <c r="D3079" s="1198"/>
      <c r="E3079" s="1181"/>
      <c r="F3079" s="1198"/>
      <c r="G3079" s="979"/>
      <c r="H3079" s="1194"/>
    </row>
    <row r="3080" spans="1:8" x14ac:dyDescent="0.25">
      <c r="A3080" s="1191"/>
      <c r="B3080" s="1199"/>
      <c r="C3080" s="1198"/>
      <c r="D3080" s="1200"/>
      <c r="E3080" s="1201"/>
      <c r="F3080" s="1198"/>
      <c r="G3080" s="979"/>
      <c r="H3080" s="1194"/>
    </row>
    <row r="3081" spans="1:8" x14ac:dyDescent="0.25">
      <c r="A3081" s="1191"/>
      <c r="B3081" s="1199"/>
      <c r="C3081" s="1198"/>
      <c r="D3081" s="1200"/>
      <c r="E3081" s="1201"/>
      <c r="F3081" s="1198"/>
      <c r="G3081" s="979"/>
      <c r="H3081" s="1194"/>
    </row>
    <row r="3082" spans="1:8" x14ac:dyDescent="0.25">
      <c r="A3082" s="1191"/>
      <c r="B3082" s="1199"/>
      <c r="C3082" s="1198"/>
      <c r="D3082" s="1200"/>
      <c r="E3082" s="1201"/>
      <c r="F3082" s="1198"/>
      <c r="G3082" s="979"/>
      <c r="H3082" s="1194"/>
    </row>
    <row r="3083" spans="1:8" ht="15.75" thickBot="1" x14ac:dyDescent="0.3">
      <c r="A3083" s="1191"/>
      <c r="B3083" s="1199"/>
      <c r="C3083" s="1198"/>
      <c r="D3083" s="1200"/>
      <c r="E3083" s="1201"/>
      <c r="F3083" s="1198"/>
      <c r="G3083" s="979"/>
      <c r="H3083" s="1194"/>
    </row>
    <row r="3084" spans="1:8" ht="15.75" thickBot="1" x14ac:dyDescent="0.3">
      <c r="A3084" s="1191"/>
      <c r="B3084" s="1202"/>
      <c r="C3084" s="1203"/>
      <c r="D3084" s="1204"/>
      <c r="E3084" s="1205"/>
      <c r="F3084" s="1203"/>
      <c r="G3084" s="979"/>
      <c r="H3084" s="1206">
        <f>+SUM(G3077:G3084)</f>
        <v>22216.480000000003</v>
      </c>
    </row>
    <row r="3085" spans="1:8" ht="15.75" thickBot="1" x14ac:dyDescent="0.3">
      <c r="A3085" s="1191"/>
      <c r="B3085" s="1207"/>
      <c r="C3085" s="1208"/>
      <c r="D3085" s="1207"/>
      <c r="E3085" s="1209"/>
      <c r="F3085" s="1208"/>
      <c r="G3085" s="1210"/>
      <c r="H3085" s="1211"/>
    </row>
    <row r="3086" spans="1:8" ht="15.75" thickBot="1" x14ac:dyDescent="0.3">
      <c r="A3086" s="1192"/>
      <c r="B3086" s="1428" t="s">
        <v>5408</v>
      </c>
      <c r="C3086" s="1429" t="s">
        <v>867</v>
      </c>
      <c r="D3086" s="1429" t="s">
        <v>6</v>
      </c>
      <c r="E3086" s="1430" t="s">
        <v>870</v>
      </c>
      <c r="F3086" s="1429" t="s">
        <v>7040</v>
      </c>
      <c r="G3086" s="1431" t="s">
        <v>868</v>
      </c>
      <c r="H3086" s="1194"/>
    </row>
    <row r="3087" spans="1:8" x14ac:dyDescent="0.25">
      <c r="A3087" s="1192"/>
      <c r="B3087" s="1212"/>
      <c r="C3087" s="1195" t="str">
        <f t="shared" ref="C3087:C3100" si="62">IF(B3087="","",VLOOKUP(B3087,INSUMOS,2,FALSE))</f>
        <v/>
      </c>
      <c r="D3087" s="1195"/>
      <c r="E3087" s="1180"/>
      <c r="F3087" s="1195"/>
      <c r="G3087" s="979"/>
      <c r="H3087" s="1194"/>
    </row>
    <row r="3088" spans="1:8" x14ac:dyDescent="0.25">
      <c r="A3088" s="1192"/>
      <c r="B3088" s="1213"/>
      <c r="C3088" s="1198" t="str">
        <f t="shared" si="62"/>
        <v/>
      </c>
      <c r="D3088" s="1198"/>
      <c r="E3088" s="1181"/>
      <c r="F3088" s="1195"/>
      <c r="G3088" s="979"/>
      <c r="H3088" s="1194"/>
    </row>
    <row r="3089" spans="1:8" x14ac:dyDescent="0.25">
      <c r="A3089" s="1192"/>
      <c r="B3089" s="1213"/>
      <c r="C3089" s="1198" t="str">
        <f t="shared" si="62"/>
        <v/>
      </c>
      <c r="D3089" s="1198"/>
      <c r="E3089" s="1181"/>
      <c r="F3089" s="1195"/>
      <c r="G3089" s="979"/>
      <c r="H3089" s="1194"/>
    </row>
    <row r="3090" spans="1:8" x14ac:dyDescent="0.25">
      <c r="A3090" s="1192"/>
      <c r="B3090" s="1199"/>
      <c r="C3090" s="1198" t="str">
        <f t="shared" si="62"/>
        <v/>
      </c>
      <c r="D3090" s="1198"/>
      <c r="E3090" s="1180"/>
      <c r="F3090" s="1198"/>
      <c r="G3090" s="979"/>
      <c r="H3090" s="1194"/>
    </row>
    <row r="3091" spans="1:8" x14ac:dyDescent="0.25">
      <c r="A3091" s="1192"/>
      <c r="B3091" s="1199"/>
      <c r="C3091" s="1198" t="str">
        <f t="shared" si="62"/>
        <v/>
      </c>
      <c r="D3091" s="1198"/>
      <c r="E3091" s="1180"/>
      <c r="F3091" s="1198"/>
      <c r="G3091" s="979"/>
      <c r="H3091" s="1194"/>
    </row>
    <row r="3092" spans="1:8" x14ac:dyDescent="0.25">
      <c r="A3092" s="1192"/>
      <c r="B3092" s="1199"/>
      <c r="C3092" s="1198" t="str">
        <f t="shared" si="62"/>
        <v/>
      </c>
      <c r="D3092" s="1198"/>
      <c r="E3092" s="1180"/>
      <c r="F3092" s="1198"/>
      <c r="G3092" s="979"/>
      <c r="H3092" s="1194"/>
    </row>
    <row r="3093" spans="1:8" x14ac:dyDescent="0.25">
      <c r="A3093" s="1192"/>
      <c r="B3093" s="1199"/>
      <c r="C3093" s="1198" t="str">
        <f t="shared" si="62"/>
        <v/>
      </c>
      <c r="D3093" s="1198"/>
      <c r="E3093" s="1180"/>
      <c r="F3093" s="1198"/>
      <c r="G3093" s="979"/>
      <c r="H3093" s="1194"/>
    </row>
    <row r="3094" spans="1:8" x14ac:dyDescent="0.25">
      <c r="A3094" s="1192"/>
      <c r="B3094" s="1199"/>
      <c r="C3094" s="1198" t="str">
        <f t="shared" si="62"/>
        <v/>
      </c>
      <c r="D3094" s="1198"/>
      <c r="E3094" s="1180"/>
      <c r="F3094" s="1198"/>
      <c r="G3094" s="979"/>
      <c r="H3094" s="1194"/>
    </row>
    <row r="3095" spans="1:8" x14ac:dyDescent="0.25">
      <c r="A3095" s="1192"/>
      <c r="B3095" s="1199"/>
      <c r="C3095" s="1198" t="str">
        <f t="shared" si="62"/>
        <v/>
      </c>
      <c r="D3095" s="1198"/>
      <c r="E3095" s="1180"/>
      <c r="F3095" s="1198"/>
      <c r="G3095" s="979"/>
      <c r="H3095" s="1194"/>
    </row>
    <row r="3096" spans="1:8" x14ac:dyDescent="0.25">
      <c r="A3096" s="1192"/>
      <c r="B3096" s="1199"/>
      <c r="C3096" s="1198" t="str">
        <f t="shared" si="62"/>
        <v/>
      </c>
      <c r="D3096" s="1198"/>
      <c r="E3096" s="1180"/>
      <c r="F3096" s="1198"/>
      <c r="G3096" s="979"/>
      <c r="H3096" s="1194"/>
    </row>
    <row r="3097" spans="1:8" x14ac:dyDescent="0.25">
      <c r="A3097" s="1192"/>
      <c r="B3097" s="1199"/>
      <c r="C3097" s="1198" t="str">
        <f t="shared" si="62"/>
        <v/>
      </c>
      <c r="D3097" s="1198"/>
      <c r="E3097" s="1180"/>
      <c r="F3097" s="1198"/>
      <c r="G3097" s="979"/>
      <c r="H3097" s="1194"/>
    </row>
    <row r="3098" spans="1:8" x14ac:dyDescent="0.25">
      <c r="A3098" s="1192"/>
      <c r="B3098" s="1199"/>
      <c r="C3098" s="1200" t="str">
        <f t="shared" si="62"/>
        <v/>
      </c>
      <c r="D3098" s="1200"/>
      <c r="E3098" s="1201"/>
      <c r="F3098" s="1198"/>
      <c r="G3098" s="979"/>
      <c r="H3098" s="1194"/>
    </row>
    <row r="3099" spans="1:8" ht="15.75" thickBot="1" x14ac:dyDescent="0.3">
      <c r="A3099" s="1192"/>
      <c r="B3099" s="1199"/>
      <c r="C3099" s="1200" t="str">
        <f t="shared" si="62"/>
        <v/>
      </c>
      <c r="D3099" s="1200"/>
      <c r="E3099" s="1201"/>
      <c r="F3099" s="1198"/>
      <c r="G3099" s="979"/>
      <c r="H3099" s="1194"/>
    </row>
    <row r="3100" spans="1:8" ht="15.75" thickBot="1" x14ac:dyDescent="0.3">
      <c r="A3100" s="1192"/>
      <c r="B3100" s="1202"/>
      <c r="C3100" s="1204" t="str">
        <f t="shared" si="62"/>
        <v/>
      </c>
      <c r="D3100" s="1204"/>
      <c r="E3100" s="1205"/>
      <c r="F3100" s="1203"/>
      <c r="G3100" s="979"/>
      <c r="H3100" s="1206">
        <f>+SUM(G3087:G3100)</f>
        <v>0</v>
      </c>
    </row>
    <row r="3101" spans="1:8" ht="15.75" thickBot="1" x14ac:dyDescent="0.3">
      <c r="A3101" s="1192"/>
      <c r="B3101" s="1207"/>
      <c r="C3101" s="1207"/>
      <c r="D3101" s="1207"/>
      <c r="E3101" s="1209"/>
      <c r="F3101" s="1208"/>
      <c r="G3101" s="1210"/>
      <c r="H3101" s="1211"/>
    </row>
    <row r="3102" spans="1:8" ht="15.75" thickBot="1" x14ac:dyDescent="0.3">
      <c r="A3102" s="1192"/>
      <c r="B3102" s="1428" t="s">
        <v>5410</v>
      </c>
      <c r="C3102" s="1429" t="s">
        <v>867</v>
      </c>
      <c r="D3102" s="1429" t="s">
        <v>6</v>
      </c>
      <c r="E3102" s="1430" t="s">
        <v>870</v>
      </c>
      <c r="F3102" s="1429" t="s">
        <v>5411</v>
      </c>
      <c r="G3102" s="1431" t="s">
        <v>868</v>
      </c>
      <c r="H3102" s="1194"/>
    </row>
    <row r="3103" spans="1:8" x14ac:dyDescent="0.25">
      <c r="A3103" s="1192"/>
      <c r="B3103" s="1212"/>
      <c r="C3103" s="1195"/>
      <c r="D3103" s="1195"/>
      <c r="E3103" s="1180"/>
      <c r="F3103" s="1195"/>
      <c r="G3103" s="979"/>
      <c r="H3103" s="1194"/>
    </row>
    <row r="3104" spans="1:8" x14ac:dyDescent="0.25">
      <c r="A3104" s="1192"/>
      <c r="B3104" s="1213"/>
      <c r="C3104" s="1198"/>
      <c r="D3104" s="1198"/>
      <c r="E3104" s="1181"/>
      <c r="F3104" s="1198"/>
      <c r="G3104" s="979"/>
      <c r="H3104" s="1194"/>
    </row>
    <row r="3105" spans="1:8" x14ac:dyDescent="0.25">
      <c r="A3105" s="1192"/>
      <c r="B3105" s="1213"/>
      <c r="C3105" s="1198"/>
      <c r="D3105" s="1198"/>
      <c r="E3105" s="1180"/>
      <c r="F3105" s="1198"/>
      <c r="G3105" s="979"/>
      <c r="H3105" s="1194"/>
    </row>
    <row r="3106" spans="1:8" ht="15.75" thickBot="1" x14ac:dyDescent="0.3">
      <c r="A3106" s="1192"/>
      <c r="B3106" s="1199"/>
      <c r="C3106" s="1198"/>
      <c r="D3106" s="1198"/>
      <c r="E3106" s="1180"/>
      <c r="F3106" s="1198"/>
      <c r="G3106" s="979"/>
      <c r="H3106" s="1194"/>
    </row>
    <row r="3107" spans="1:8" ht="15.75" thickBot="1" x14ac:dyDescent="0.3">
      <c r="A3107" s="1192"/>
      <c r="B3107" s="1202"/>
      <c r="C3107" s="1204"/>
      <c r="D3107" s="1204"/>
      <c r="E3107" s="1205"/>
      <c r="F3107" s="1203"/>
      <c r="G3107" s="979"/>
      <c r="H3107" s="1206">
        <f>+SUM(G3103:G3107)</f>
        <v>0</v>
      </c>
    </row>
    <row r="3108" spans="1:8" ht="15.75" thickBot="1" x14ac:dyDescent="0.3">
      <c r="A3108" s="1192"/>
      <c r="B3108" s="1207"/>
      <c r="C3108" s="1207"/>
      <c r="D3108" s="1207"/>
      <c r="E3108" s="1209"/>
      <c r="F3108" s="1214"/>
      <c r="G3108" s="1215"/>
      <c r="H3108" s="1211"/>
    </row>
    <row r="3109" spans="1:8" ht="15.75" thickBot="1" x14ac:dyDescent="0.3">
      <c r="A3109" s="1192"/>
      <c r="B3109" s="1428" t="s">
        <v>5412</v>
      </c>
      <c r="C3109" s="1429" t="s">
        <v>5420</v>
      </c>
      <c r="D3109" s="1429" t="s">
        <v>5421</v>
      </c>
      <c r="E3109" s="1430" t="s">
        <v>5413</v>
      </c>
      <c r="F3109" s="1429" t="s">
        <v>5405</v>
      </c>
      <c r="G3109" s="1431" t="s">
        <v>868</v>
      </c>
      <c r="H3109" s="1194"/>
    </row>
    <row r="3110" spans="1:8" x14ac:dyDescent="0.25">
      <c r="A3110" s="1192"/>
      <c r="B3110" s="194" t="s">
        <v>6523</v>
      </c>
      <c r="C3110" s="345">
        <f>+VLOOKUP($B3110,'Mano de obra'!$A$5:$D$26,2,FALSE)</f>
        <v>57454</v>
      </c>
      <c r="D3110" s="345">
        <f>+VLOOKUP($B3110,'Mano de obra'!$A$5:$D$26,3,FALSE)</f>
        <v>35656</v>
      </c>
      <c r="E3110" s="345">
        <f>+VLOOKUP($B3110,'Mano de obra'!$A$5:$D$26,4,FALSE)</f>
        <v>93110</v>
      </c>
      <c r="F3110" s="1197">
        <v>20</v>
      </c>
      <c r="G3110" s="979">
        <f>IF(B3110="","",E3110/F3110)</f>
        <v>4655.5</v>
      </c>
      <c r="H3110" s="1194"/>
    </row>
    <row r="3111" spans="1:8" x14ac:dyDescent="0.25">
      <c r="A3111" s="1192"/>
      <c r="B3111" s="194" t="s">
        <v>6524</v>
      </c>
      <c r="C3111" s="345">
        <f>+VLOOKUP($B3111,'Mano de obra'!$A$5:$D$26,2,FALSE)</f>
        <v>44263.8</v>
      </c>
      <c r="D3111" s="345">
        <f>+VLOOKUP($B3111,'Mano de obra'!$A$5:$D$26,3,FALSE)</f>
        <v>27470</v>
      </c>
      <c r="E3111" s="345">
        <f>+VLOOKUP($B3111,'Mano de obra'!$A$5:$D$26,4,FALSE)</f>
        <v>71733.8</v>
      </c>
      <c r="F3111" s="1195">
        <v>2</v>
      </c>
      <c r="G3111" s="979">
        <f>IF(B3111="","",E3111/F3111)</f>
        <v>35866.9</v>
      </c>
      <c r="H3111" s="1194"/>
    </row>
    <row r="3112" spans="1:8" x14ac:dyDescent="0.25">
      <c r="A3112" s="1192"/>
      <c r="B3112" s="195" t="s">
        <v>6525</v>
      </c>
      <c r="C3112" s="345">
        <f>+VLOOKUP($B3112,'Mano de obra'!$A$5:$D$26,2,FALSE)</f>
        <v>24591</v>
      </c>
      <c r="D3112" s="345">
        <f>+VLOOKUP($B3112,'Mano de obra'!$A$5:$D$26,3,FALSE)</f>
        <v>15261</v>
      </c>
      <c r="E3112" s="345">
        <f>+VLOOKUP($B3112,'Mano de obra'!$A$5:$D$26,4,FALSE)</f>
        <v>39852</v>
      </c>
      <c r="F3112" s="1198">
        <v>2</v>
      </c>
      <c r="G3112" s="979">
        <f>IF(B3112="","",E3112/F3112)</f>
        <v>19926</v>
      </c>
      <c r="H3112" s="1194"/>
    </row>
    <row r="3113" spans="1:8" x14ac:dyDescent="0.25">
      <c r="A3113" s="1192"/>
      <c r="B3113" s="1199"/>
      <c r="C3113" s="1216"/>
      <c r="D3113" s="1201"/>
      <c r="E3113" s="1201"/>
      <c r="F3113" s="1198"/>
      <c r="G3113" s="1217"/>
      <c r="H3113" s="1194"/>
    </row>
    <row r="3114" spans="1:8" ht="15.75" thickBot="1" x14ac:dyDescent="0.3">
      <c r="A3114" s="1192"/>
      <c r="B3114" s="1199"/>
      <c r="C3114" s="1201"/>
      <c r="D3114" s="1201"/>
      <c r="E3114" s="1201"/>
      <c r="F3114" s="1198"/>
      <c r="G3114" s="1217"/>
      <c r="H3114" s="1194"/>
    </row>
    <row r="3115" spans="1:8" ht="15.75" thickBot="1" x14ac:dyDescent="0.3">
      <c r="A3115" s="1192"/>
      <c r="B3115" s="1218"/>
      <c r="C3115" s="1219"/>
      <c r="D3115" s="1219"/>
      <c r="E3115" s="1219"/>
      <c r="F3115" s="1220"/>
      <c r="G3115" s="1221"/>
      <c r="H3115" s="1206">
        <f>+SUM(G3110:G3115)</f>
        <v>60448.4</v>
      </c>
    </row>
    <row r="3116" spans="1:8" ht="15.75" thickBot="1" x14ac:dyDescent="0.3">
      <c r="A3116" s="1192"/>
      <c r="B3116" s="1192"/>
      <c r="C3116" s="1192"/>
      <c r="D3116" s="1192"/>
      <c r="E3116" s="1192"/>
      <c r="F3116" s="1191"/>
      <c r="G3116" s="1192"/>
      <c r="H3116" s="1192"/>
    </row>
    <row r="3117" spans="1:8" ht="15.75" thickBot="1" x14ac:dyDescent="0.3">
      <c r="A3117" s="1192"/>
      <c r="B3117" s="1192"/>
      <c r="C3117" s="1192"/>
      <c r="D3117" s="1192"/>
      <c r="E3117" s="1222" t="s">
        <v>5415</v>
      </c>
      <c r="F3117" s="1191"/>
      <c r="G3117" s="1192"/>
      <c r="H3117" s="1223">
        <f>ROUND(+H3084+H3100+H3107+H3115,0)</f>
        <v>82665</v>
      </c>
    </row>
    <row r="3118" spans="1:8" x14ac:dyDescent="0.25">
      <c r="A3118" s="1058"/>
      <c r="B3118" s="1058"/>
      <c r="C3118" s="1058"/>
      <c r="D3118" s="1058"/>
      <c r="E3118" s="1058"/>
      <c r="F3118" s="1058"/>
      <c r="G3118" s="1058"/>
      <c r="H3118" s="1058"/>
    </row>
    <row r="3119" spans="1:8" x14ac:dyDescent="0.25">
      <c r="A3119" s="1191"/>
      <c r="B3119" s="1192"/>
      <c r="C3119" s="1192"/>
      <c r="D3119" s="1192"/>
      <c r="E3119" s="1192"/>
      <c r="F3119" s="1191"/>
      <c r="G3119" s="1192"/>
      <c r="H3119" s="1192"/>
    </row>
    <row r="3120" spans="1:8" ht="35.25" customHeight="1" x14ac:dyDescent="0.25">
      <c r="A3120" s="673" t="s">
        <v>3</v>
      </c>
      <c r="B3120" s="1390" t="str">
        <f>+VLOOKUP(C3120,ListaAPUs!$B:$E,4,FALSE)</f>
        <v>4.2.25</v>
      </c>
      <c r="C3120" s="2449" t="str">
        <f>+ListaAPUs!B99</f>
        <v>INSTALACIÓN NIPLES PASAMURO EN  HD D=200 MM A 350 MM L=0 A 1M</v>
      </c>
      <c r="D3120" s="2449"/>
      <c r="E3120" s="2449"/>
      <c r="F3120" s="673" t="s">
        <v>867</v>
      </c>
      <c r="G3120" s="222" t="s">
        <v>5424</v>
      </c>
      <c r="H3120" s="1192"/>
    </row>
    <row r="3121" spans="1:8" x14ac:dyDescent="0.25">
      <c r="A3121" s="1191"/>
      <c r="B3121" s="1192"/>
      <c r="C3121" s="1192"/>
      <c r="D3121" s="1192"/>
      <c r="E3121" s="1192"/>
      <c r="F3121" s="1191"/>
      <c r="G3121" s="1192"/>
      <c r="H3121" s="1192"/>
    </row>
    <row r="3122" spans="1:8" x14ac:dyDescent="0.25">
      <c r="A3122" s="1191"/>
      <c r="B3122" s="1192"/>
      <c r="C3122" s="1192"/>
      <c r="D3122" s="1192"/>
      <c r="E3122" s="1192"/>
      <c r="F3122" s="1191"/>
      <c r="G3122" s="1193"/>
      <c r="H3122" s="1192"/>
    </row>
    <row r="3123" spans="1:8" ht="15.75" thickBot="1" x14ac:dyDescent="0.3">
      <c r="A3123" s="1191"/>
      <c r="B3123" s="1192"/>
      <c r="C3123" s="1192"/>
      <c r="D3123" s="1192"/>
      <c r="E3123" s="1192"/>
      <c r="F3123" s="1191"/>
      <c r="G3123" s="1192"/>
      <c r="H3123" s="1192"/>
    </row>
    <row r="3124" spans="1:8" ht="15.75" thickBot="1" x14ac:dyDescent="0.3">
      <c r="A3124" s="1191"/>
      <c r="B3124" s="1428" t="s">
        <v>5403</v>
      </c>
      <c r="C3124" s="1429" t="s">
        <v>867</v>
      </c>
      <c r="D3124" s="1429" t="s">
        <v>6</v>
      </c>
      <c r="E3124" s="1430" t="s">
        <v>5404</v>
      </c>
      <c r="F3124" s="1429" t="s">
        <v>5405</v>
      </c>
      <c r="G3124" s="1431" t="s">
        <v>868</v>
      </c>
      <c r="H3124" s="1194"/>
    </row>
    <row r="3125" spans="1:8" x14ac:dyDescent="0.25">
      <c r="A3125" s="1191"/>
      <c r="B3125" s="757" t="s">
        <v>5455</v>
      </c>
      <c r="C3125" s="226" t="s">
        <v>7042</v>
      </c>
      <c r="D3125" s="1196">
        <v>1</v>
      </c>
      <c r="E3125" s="228">
        <f>+H3163</f>
        <v>60448.4</v>
      </c>
      <c r="F3125" s="1197">
        <v>0.2</v>
      </c>
      <c r="G3125" s="979">
        <f t="shared" ref="G3125:G3132" si="63">IF(B3125="","",PRODUCT(D3125:F3125))</f>
        <v>12089.68</v>
      </c>
      <c r="H3125" s="1194"/>
    </row>
    <row r="3126" spans="1:8" x14ac:dyDescent="0.25">
      <c r="A3126" s="1191"/>
      <c r="B3126" s="1303" t="s">
        <v>6869</v>
      </c>
      <c r="C3126" s="1198"/>
      <c r="D3126" s="1198"/>
      <c r="E3126" s="975">
        <f>+VLOOKUP(B3126,Insumos!$A$2:$C$331,3,FALSE)</f>
        <v>202536</v>
      </c>
      <c r="F3126" s="1198">
        <v>3.3000000000000002E-2</v>
      </c>
      <c r="G3126" s="979">
        <f t="shared" si="63"/>
        <v>6683.6880000000001</v>
      </c>
      <c r="H3126" s="1194"/>
    </row>
    <row r="3127" spans="1:8" x14ac:dyDescent="0.25">
      <c r="A3127" s="1191"/>
      <c r="B3127" s="763"/>
      <c r="C3127" s="1198" t="str">
        <f t="shared" ref="C3127:C3132" si="64">IF(B3127="","",VLOOKUP(B3127,INSUMOS,2,FALSE))</f>
        <v/>
      </c>
      <c r="D3127" s="1198"/>
      <c r="E3127" s="1181" t="str">
        <f t="shared" ref="E3127:E3132" si="65">IF(B3127="","",IF(C3127="%mo",$K$50,VLOOKUP(B3127,INSUMOS,3,FALSE)))</f>
        <v/>
      </c>
      <c r="F3127" s="1198"/>
      <c r="G3127" s="979" t="str">
        <f t="shared" si="63"/>
        <v/>
      </c>
      <c r="H3127" s="1194"/>
    </row>
    <row r="3128" spans="1:8" x14ac:dyDescent="0.25">
      <c r="A3128" s="1191"/>
      <c r="B3128" s="1199"/>
      <c r="C3128" s="1198" t="str">
        <f t="shared" si="64"/>
        <v/>
      </c>
      <c r="D3128" s="1200"/>
      <c r="E3128" s="1201" t="str">
        <f t="shared" si="65"/>
        <v/>
      </c>
      <c r="F3128" s="1198"/>
      <c r="G3128" s="979" t="str">
        <f t="shared" si="63"/>
        <v/>
      </c>
      <c r="H3128" s="1194"/>
    </row>
    <row r="3129" spans="1:8" x14ac:dyDescent="0.25">
      <c r="A3129" s="1191"/>
      <c r="B3129" s="1199"/>
      <c r="C3129" s="1198" t="str">
        <f t="shared" si="64"/>
        <v/>
      </c>
      <c r="D3129" s="1200"/>
      <c r="E3129" s="1201" t="str">
        <f t="shared" si="65"/>
        <v/>
      </c>
      <c r="F3129" s="1198"/>
      <c r="G3129" s="979" t="str">
        <f t="shared" si="63"/>
        <v/>
      </c>
      <c r="H3129" s="1194"/>
    </row>
    <row r="3130" spans="1:8" x14ac:dyDescent="0.25">
      <c r="A3130" s="1191"/>
      <c r="B3130" s="1199"/>
      <c r="C3130" s="1198" t="str">
        <f t="shared" si="64"/>
        <v/>
      </c>
      <c r="D3130" s="1200"/>
      <c r="E3130" s="1201" t="str">
        <f t="shared" si="65"/>
        <v/>
      </c>
      <c r="F3130" s="1198"/>
      <c r="G3130" s="979" t="str">
        <f t="shared" si="63"/>
        <v/>
      </c>
      <c r="H3130" s="1194"/>
    </row>
    <row r="3131" spans="1:8" ht="15.75" thickBot="1" x14ac:dyDescent="0.3">
      <c r="A3131" s="1191"/>
      <c r="B3131" s="1199"/>
      <c r="C3131" s="1198" t="str">
        <f t="shared" si="64"/>
        <v/>
      </c>
      <c r="D3131" s="1200"/>
      <c r="E3131" s="1201" t="str">
        <f t="shared" si="65"/>
        <v/>
      </c>
      <c r="F3131" s="1198"/>
      <c r="G3131" s="979" t="str">
        <f t="shared" si="63"/>
        <v/>
      </c>
      <c r="H3131" s="1194"/>
    </row>
    <row r="3132" spans="1:8" ht="15.75" thickBot="1" x14ac:dyDescent="0.3">
      <c r="A3132" s="1191"/>
      <c r="B3132" s="1202"/>
      <c r="C3132" s="1203" t="str">
        <f t="shared" si="64"/>
        <v/>
      </c>
      <c r="D3132" s="1204"/>
      <c r="E3132" s="1205" t="str">
        <f t="shared" si="65"/>
        <v/>
      </c>
      <c r="F3132" s="1203"/>
      <c r="G3132" s="979" t="str">
        <f t="shared" si="63"/>
        <v/>
      </c>
      <c r="H3132" s="1206">
        <f>+SUM(G3125:G3132)</f>
        <v>18773.368000000002</v>
      </c>
    </row>
    <row r="3133" spans="1:8" ht="15.75" thickBot="1" x14ac:dyDescent="0.3">
      <c r="A3133" s="1191"/>
      <c r="B3133" s="1207"/>
      <c r="C3133" s="1208"/>
      <c r="D3133" s="1207"/>
      <c r="E3133" s="1209"/>
      <c r="F3133" s="1208"/>
      <c r="G3133" s="1210"/>
      <c r="H3133" s="1211"/>
    </row>
    <row r="3134" spans="1:8" ht="15.75" thickBot="1" x14ac:dyDescent="0.3">
      <c r="A3134" s="1192"/>
      <c r="B3134" s="1428" t="s">
        <v>5408</v>
      </c>
      <c r="C3134" s="1429" t="s">
        <v>867</v>
      </c>
      <c r="D3134" s="1429" t="s">
        <v>6</v>
      </c>
      <c r="E3134" s="1430" t="s">
        <v>870</v>
      </c>
      <c r="F3134" s="1429" t="s">
        <v>7040</v>
      </c>
      <c r="G3134" s="1431" t="s">
        <v>868</v>
      </c>
      <c r="H3134" s="1194"/>
    </row>
    <row r="3135" spans="1:8" x14ac:dyDescent="0.25">
      <c r="A3135" s="1192"/>
      <c r="B3135" s="1212"/>
      <c r="C3135" s="1195" t="str">
        <f t="shared" ref="C3135:C3148" si="66">IF(B3135="","",VLOOKUP(B3135,INSUMOS,2,FALSE))</f>
        <v/>
      </c>
      <c r="D3135" s="1195"/>
      <c r="E3135" s="1180" t="str">
        <f t="shared" ref="E3135:E3148" si="67">IF(B3135="","",VLOOKUP(B3135,INSUMOS,3,FALSE))</f>
        <v/>
      </c>
      <c r="F3135" s="1195"/>
      <c r="G3135" s="979" t="str">
        <f t="shared" ref="G3135:G3148" si="68">IF(B3135="","",PRODUCT(D3135:F3135))</f>
        <v/>
      </c>
      <c r="H3135" s="1194"/>
    </row>
    <row r="3136" spans="1:8" x14ac:dyDescent="0.25">
      <c r="A3136" s="1192"/>
      <c r="B3136" s="1213"/>
      <c r="C3136" s="1198" t="str">
        <f t="shared" si="66"/>
        <v/>
      </c>
      <c r="D3136" s="1198"/>
      <c r="E3136" s="1181" t="str">
        <f t="shared" si="67"/>
        <v/>
      </c>
      <c r="F3136" s="1195"/>
      <c r="G3136" s="979" t="str">
        <f t="shared" si="68"/>
        <v/>
      </c>
      <c r="H3136" s="1194"/>
    </row>
    <row r="3137" spans="1:8" x14ac:dyDescent="0.25">
      <c r="A3137" s="1192"/>
      <c r="B3137" s="1213"/>
      <c r="C3137" s="1198" t="str">
        <f t="shared" si="66"/>
        <v/>
      </c>
      <c r="D3137" s="1198"/>
      <c r="E3137" s="1181" t="str">
        <f t="shared" si="67"/>
        <v/>
      </c>
      <c r="F3137" s="1195"/>
      <c r="G3137" s="979" t="str">
        <f t="shared" si="68"/>
        <v/>
      </c>
      <c r="H3137" s="1194"/>
    </row>
    <row r="3138" spans="1:8" x14ac:dyDescent="0.25">
      <c r="A3138" s="1192"/>
      <c r="B3138" s="1199"/>
      <c r="C3138" s="1198" t="str">
        <f t="shared" si="66"/>
        <v/>
      </c>
      <c r="D3138" s="1198"/>
      <c r="E3138" s="1180" t="str">
        <f t="shared" si="67"/>
        <v/>
      </c>
      <c r="F3138" s="1198"/>
      <c r="G3138" s="979" t="str">
        <f t="shared" si="68"/>
        <v/>
      </c>
      <c r="H3138" s="1194"/>
    </row>
    <row r="3139" spans="1:8" x14ac:dyDescent="0.25">
      <c r="A3139" s="1192"/>
      <c r="B3139" s="1199"/>
      <c r="C3139" s="1198" t="str">
        <f t="shared" si="66"/>
        <v/>
      </c>
      <c r="D3139" s="1198"/>
      <c r="E3139" s="1180" t="str">
        <f t="shared" si="67"/>
        <v/>
      </c>
      <c r="F3139" s="1198"/>
      <c r="G3139" s="979" t="str">
        <f t="shared" si="68"/>
        <v/>
      </c>
      <c r="H3139" s="1194"/>
    </row>
    <row r="3140" spans="1:8" x14ac:dyDescent="0.25">
      <c r="A3140" s="1192"/>
      <c r="B3140" s="1199"/>
      <c r="C3140" s="1198" t="str">
        <f t="shared" si="66"/>
        <v/>
      </c>
      <c r="D3140" s="1198"/>
      <c r="E3140" s="1180" t="str">
        <f t="shared" si="67"/>
        <v/>
      </c>
      <c r="F3140" s="1198"/>
      <c r="G3140" s="979" t="str">
        <f t="shared" si="68"/>
        <v/>
      </c>
      <c r="H3140" s="1194"/>
    </row>
    <row r="3141" spans="1:8" x14ac:dyDescent="0.25">
      <c r="A3141" s="1192"/>
      <c r="B3141" s="1199"/>
      <c r="C3141" s="1198" t="str">
        <f t="shared" si="66"/>
        <v/>
      </c>
      <c r="D3141" s="1198"/>
      <c r="E3141" s="1180" t="str">
        <f t="shared" si="67"/>
        <v/>
      </c>
      <c r="F3141" s="1198"/>
      <c r="G3141" s="979" t="str">
        <f t="shared" si="68"/>
        <v/>
      </c>
      <c r="H3141" s="1194"/>
    </row>
    <row r="3142" spans="1:8" x14ac:dyDescent="0.25">
      <c r="A3142" s="1192"/>
      <c r="B3142" s="1199"/>
      <c r="C3142" s="1198" t="str">
        <f t="shared" si="66"/>
        <v/>
      </c>
      <c r="D3142" s="1198"/>
      <c r="E3142" s="1180" t="str">
        <f t="shared" si="67"/>
        <v/>
      </c>
      <c r="F3142" s="1198"/>
      <c r="G3142" s="979" t="str">
        <f t="shared" si="68"/>
        <v/>
      </c>
      <c r="H3142" s="1194"/>
    </row>
    <row r="3143" spans="1:8" x14ac:dyDescent="0.25">
      <c r="A3143" s="1192"/>
      <c r="B3143" s="1199"/>
      <c r="C3143" s="1198" t="str">
        <f t="shared" si="66"/>
        <v/>
      </c>
      <c r="D3143" s="1198"/>
      <c r="E3143" s="1180" t="str">
        <f t="shared" si="67"/>
        <v/>
      </c>
      <c r="F3143" s="1198"/>
      <c r="G3143" s="979" t="str">
        <f t="shared" si="68"/>
        <v/>
      </c>
      <c r="H3143" s="1194"/>
    </row>
    <row r="3144" spans="1:8" x14ac:dyDescent="0.25">
      <c r="A3144" s="1192"/>
      <c r="B3144" s="1199"/>
      <c r="C3144" s="1198" t="str">
        <f t="shared" si="66"/>
        <v/>
      </c>
      <c r="D3144" s="1198"/>
      <c r="E3144" s="1180" t="str">
        <f t="shared" si="67"/>
        <v/>
      </c>
      <c r="F3144" s="1198"/>
      <c r="G3144" s="979" t="str">
        <f t="shared" si="68"/>
        <v/>
      </c>
      <c r="H3144" s="1194"/>
    </row>
    <row r="3145" spans="1:8" x14ac:dyDescent="0.25">
      <c r="A3145" s="1192"/>
      <c r="B3145" s="1199"/>
      <c r="C3145" s="1198" t="str">
        <f t="shared" si="66"/>
        <v/>
      </c>
      <c r="D3145" s="1198"/>
      <c r="E3145" s="1180" t="str">
        <f t="shared" si="67"/>
        <v/>
      </c>
      <c r="F3145" s="1198"/>
      <c r="G3145" s="979" t="str">
        <f t="shared" si="68"/>
        <v/>
      </c>
      <c r="H3145" s="1194"/>
    </row>
    <row r="3146" spans="1:8" x14ac:dyDescent="0.25">
      <c r="A3146" s="1192"/>
      <c r="B3146" s="1199"/>
      <c r="C3146" s="1200" t="str">
        <f t="shared" si="66"/>
        <v/>
      </c>
      <c r="D3146" s="1200"/>
      <c r="E3146" s="1201" t="str">
        <f t="shared" si="67"/>
        <v/>
      </c>
      <c r="F3146" s="1198"/>
      <c r="G3146" s="979" t="str">
        <f t="shared" si="68"/>
        <v/>
      </c>
      <c r="H3146" s="1194"/>
    </row>
    <row r="3147" spans="1:8" ht="15.75" thickBot="1" x14ac:dyDescent="0.3">
      <c r="A3147" s="1192"/>
      <c r="B3147" s="1199"/>
      <c r="C3147" s="1200" t="str">
        <f t="shared" si="66"/>
        <v/>
      </c>
      <c r="D3147" s="1200"/>
      <c r="E3147" s="1201" t="str">
        <f t="shared" si="67"/>
        <v/>
      </c>
      <c r="F3147" s="1198"/>
      <c r="G3147" s="979" t="str">
        <f t="shared" si="68"/>
        <v/>
      </c>
      <c r="H3147" s="1194"/>
    </row>
    <row r="3148" spans="1:8" ht="15.75" thickBot="1" x14ac:dyDescent="0.3">
      <c r="A3148" s="1192"/>
      <c r="B3148" s="1202"/>
      <c r="C3148" s="1204" t="str">
        <f t="shared" si="66"/>
        <v/>
      </c>
      <c r="D3148" s="1204"/>
      <c r="E3148" s="1205" t="str">
        <f t="shared" si="67"/>
        <v/>
      </c>
      <c r="F3148" s="1203"/>
      <c r="G3148" s="979" t="str">
        <f t="shared" si="68"/>
        <v/>
      </c>
      <c r="H3148" s="1206">
        <f>+SUM(G3135:G3148)</f>
        <v>0</v>
      </c>
    </row>
    <row r="3149" spans="1:8" ht="15.75" thickBot="1" x14ac:dyDescent="0.3">
      <c r="A3149" s="1192"/>
      <c r="B3149" s="1207"/>
      <c r="C3149" s="1207"/>
      <c r="D3149" s="1207"/>
      <c r="E3149" s="1209"/>
      <c r="F3149" s="1208"/>
      <c r="G3149" s="1210"/>
      <c r="H3149" s="1211"/>
    </row>
    <row r="3150" spans="1:8" ht="15.75" thickBot="1" x14ac:dyDescent="0.3">
      <c r="A3150" s="1192"/>
      <c r="B3150" s="1428" t="s">
        <v>5410</v>
      </c>
      <c r="C3150" s="1429" t="s">
        <v>867</v>
      </c>
      <c r="D3150" s="1429" t="s">
        <v>6</v>
      </c>
      <c r="E3150" s="1430" t="s">
        <v>870</v>
      </c>
      <c r="F3150" s="1429" t="s">
        <v>5411</v>
      </c>
      <c r="G3150" s="1431" t="s">
        <v>868</v>
      </c>
      <c r="H3150" s="1194"/>
    </row>
    <row r="3151" spans="1:8" x14ac:dyDescent="0.25">
      <c r="A3151" s="1192"/>
      <c r="B3151" s="1212"/>
      <c r="C3151" s="1195" t="str">
        <f>IF(B3151="","",VLOOKUP(B3151,INSUMOS,2,FALSE))</f>
        <v/>
      </c>
      <c r="D3151" s="1195"/>
      <c r="E3151" s="1180" t="str">
        <f>IF(B3151="","",VLOOKUP(B3151,INSUMOS,3,FALSE))</f>
        <v/>
      </c>
      <c r="F3151" s="1195"/>
      <c r="G3151" s="979" t="str">
        <f>IF(B3151="","",PRODUCT(D3151:F3151))</f>
        <v/>
      </c>
      <c r="H3151" s="1194"/>
    </row>
    <row r="3152" spans="1:8" x14ac:dyDescent="0.25">
      <c r="A3152" s="1192"/>
      <c r="B3152" s="1213"/>
      <c r="C3152" s="1198" t="str">
        <f>IF(B3152="","",VLOOKUP(B3152,INSUMOS,2,FALSE))</f>
        <v/>
      </c>
      <c r="D3152" s="1198"/>
      <c r="E3152" s="1181" t="str">
        <f>IF(B3152="","",VLOOKUP(B3152,INSUMOS,3,FALSE))</f>
        <v/>
      </c>
      <c r="F3152" s="1198"/>
      <c r="G3152" s="979" t="str">
        <f>IF(B3152="","",PRODUCT(D3152:F3152))</f>
        <v/>
      </c>
      <c r="H3152" s="1194"/>
    </row>
    <row r="3153" spans="1:8" x14ac:dyDescent="0.25">
      <c r="A3153" s="1192"/>
      <c r="B3153" s="1213"/>
      <c r="C3153" s="1198" t="str">
        <f>IF(B3153="","",VLOOKUP(B3153,INSUMOS,2,FALSE))</f>
        <v/>
      </c>
      <c r="D3153" s="1198"/>
      <c r="E3153" s="1180" t="str">
        <f>IF(B3153="","",VLOOKUP(B3153,INSUMOS,3,FALSE))</f>
        <v/>
      </c>
      <c r="F3153" s="1198"/>
      <c r="G3153" s="979" t="str">
        <f>IF(B3153="","",PRODUCT(D3153:F3153))</f>
        <v/>
      </c>
      <c r="H3153" s="1194"/>
    </row>
    <row r="3154" spans="1:8" ht="15.75" thickBot="1" x14ac:dyDescent="0.3">
      <c r="A3154" s="1192"/>
      <c r="B3154" s="1199"/>
      <c r="C3154" s="1198" t="str">
        <f>IF(B3154="","",VLOOKUP(B3154,INSUMOS,2,FALSE))</f>
        <v/>
      </c>
      <c r="D3154" s="1198"/>
      <c r="E3154" s="1180" t="str">
        <f>IF(B3154="","",VLOOKUP(B3154,INSUMOS,3,FALSE))</f>
        <v/>
      </c>
      <c r="F3154" s="1198"/>
      <c r="G3154" s="979" t="str">
        <f>IF(B3154="","",PRODUCT(D3154:F3154))</f>
        <v/>
      </c>
      <c r="H3154" s="1194"/>
    </row>
    <row r="3155" spans="1:8" ht="15.75" thickBot="1" x14ac:dyDescent="0.3">
      <c r="A3155" s="1192"/>
      <c r="B3155" s="1202"/>
      <c r="C3155" s="1204" t="str">
        <f>IF(B3155="","",VLOOKUP(B3155,INSUMOS,2,FALSE))</f>
        <v/>
      </c>
      <c r="D3155" s="1204"/>
      <c r="E3155" s="1205" t="str">
        <f>IF(B3155="","",VLOOKUP(B3155,INSUMOS,3,FALSE))</f>
        <v/>
      </c>
      <c r="F3155" s="1203"/>
      <c r="G3155" s="979" t="str">
        <f>IF(B3155="","",PRODUCT(D3155:F3155))</f>
        <v/>
      </c>
      <c r="H3155" s="1206">
        <f>+SUM(G3151:G3155)</f>
        <v>0</v>
      </c>
    </row>
    <row r="3156" spans="1:8" ht="15.75" thickBot="1" x14ac:dyDescent="0.3">
      <c r="A3156" s="1192"/>
      <c r="B3156" s="1207"/>
      <c r="C3156" s="1207"/>
      <c r="D3156" s="1207"/>
      <c r="E3156" s="1209"/>
      <c r="F3156" s="1214"/>
      <c r="G3156" s="1215"/>
      <c r="H3156" s="1211"/>
    </row>
    <row r="3157" spans="1:8" ht="15.75" thickBot="1" x14ac:dyDescent="0.3">
      <c r="A3157" s="1192"/>
      <c r="B3157" s="1428" t="s">
        <v>5412</v>
      </c>
      <c r="C3157" s="1429" t="s">
        <v>5420</v>
      </c>
      <c r="D3157" s="1429" t="s">
        <v>5421</v>
      </c>
      <c r="E3157" s="1430" t="s">
        <v>5413</v>
      </c>
      <c r="F3157" s="1429" t="s">
        <v>5405</v>
      </c>
      <c r="G3157" s="1431" t="s">
        <v>868</v>
      </c>
      <c r="H3157" s="1194"/>
    </row>
    <row r="3158" spans="1:8" x14ac:dyDescent="0.25">
      <c r="A3158" s="1192"/>
      <c r="B3158" s="194" t="s">
        <v>6523</v>
      </c>
      <c r="C3158" s="345">
        <f>+VLOOKUP($B3158,'Mano de obra'!$A$5:$D$26,2,FALSE)</f>
        <v>57454</v>
      </c>
      <c r="D3158" s="345">
        <f>+VLOOKUP($B3158,'Mano de obra'!$A$5:$D$26,3,FALSE)</f>
        <v>35656</v>
      </c>
      <c r="E3158" s="345">
        <f>+VLOOKUP($B3158,'Mano de obra'!$A$5:$D$26,4,FALSE)</f>
        <v>93110</v>
      </c>
      <c r="F3158" s="1197">
        <v>20</v>
      </c>
      <c r="G3158" s="979">
        <f>IF(B3158="","",E3158/F3158)</f>
        <v>4655.5</v>
      </c>
      <c r="H3158" s="1194"/>
    </row>
    <row r="3159" spans="1:8" x14ac:dyDescent="0.25">
      <c r="A3159" s="1192"/>
      <c r="B3159" s="194" t="s">
        <v>6524</v>
      </c>
      <c r="C3159" s="345">
        <f>+VLOOKUP($B3159,'Mano de obra'!$A$5:$D$26,2,FALSE)</f>
        <v>44263.8</v>
      </c>
      <c r="D3159" s="345">
        <f>+VLOOKUP($B3159,'Mano de obra'!$A$5:$D$26,3,FALSE)</f>
        <v>27470</v>
      </c>
      <c r="E3159" s="345">
        <f>+VLOOKUP($B3159,'Mano de obra'!$A$5:$D$26,4,FALSE)</f>
        <v>71733.8</v>
      </c>
      <c r="F3159" s="1195">
        <v>2</v>
      </c>
      <c r="G3159" s="979">
        <f>IF(B3159="","",E3159/F3159)</f>
        <v>35866.9</v>
      </c>
      <c r="H3159" s="1194"/>
    </row>
    <row r="3160" spans="1:8" x14ac:dyDescent="0.25">
      <c r="A3160" s="1192"/>
      <c r="B3160" s="195" t="s">
        <v>6525</v>
      </c>
      <c r="C3160" s="345">
        <f>+VLOOKUP($B3160,'Mano de obra'!$A$5:$D$26,2,FALSE)</f>
        <v>24591</v>
      </c>
      <c r="D3160" s="345">
        <f>+VLOOKUP($B3160,'Mano de obra'!$A$5:$D$26,3,FALSE)</f>
        <v>15261</v>
      </c>
      <c r="E3160" s="345">
        <f>+VLOOKUP($B3160,'Mano de obra'!$A$5:$D$26,4,FALSE)</f>
        <v>39852</v>
      </c>
      <c r="F3160" s="1198">
        <v>2</v>
      </c>
      <c r="G3160" s="979">
        <f>IF(B3160="","",E3160/F3160)</f>
        <v>19926</v>
      </c>
      <c r="H3160" s="1194"/>
    </row>
    <row r="3161" spans="1:8" x14ac:dyDescent="0.25">
      <c r="A3161" s="1192"/>
      <c r="B3161" s="1199"/>
      <c r="C3161" s="1216"/>
      <c r="D3161" s="1201"/>
      <c r="E3161" s="1201"/>
      <c r="F3161" s="1198"/>
      <c r="G3161" s="1217"/>
      <c r="H3161" s="1194"/>
    </row>
    <row r="3162" spans="1:8" ht="15.75" thickBot="1" x14ac:dyDescent="0.3">
      <c r="A3162" s="1192"/>
      <c r="B3162" s="1199"/>
      <c r="C3162" s="1201"/>
      <c r="D3162" s="1201"/>
      <c r="E3162" s="1201"/>
      <c r="F3162" s="1198"/>
      <c r="G3162" s="1217"/>
      <c r="H3162" s="1194"/>
    </row>
    <row r="3163" spans="1:8" ht="15.75" thickBot="1" x14ac:dyDescent="0.3">
      <c r="A3163" s="1192"/>
      <c r="B3163" s="1218"/>
      <c r="C3163" s="1219"/>
      <c r="D3163" s="1219"/>
      <c r="E3163" s="1219"/>
      <c r="F3163" s="1220"/>
      <c r="G3163" s="1221"/>
      <c r="H3163" s="1206">
        <f>+SUM(G3158:G3163)</f>
        <v>60448.4</v>
      </c>
    </row>
    <row r="3164" spans="1:8" ht="15.75" thickBot="1" x14ac:dyDescent="0.3">
      <c r="A3164" s="1192"/>
      <c r="B3164" s="1192"/>
      <c r="C3164" s="1192"/>
      <c r="D3164" s="1192"/>
      <c r="E3164" s="1192"/>
      <c r="F3164" s="1191"/>
      <c r="G3164" s="1192"/>
      <c r="H3164" s="1192"/>
    </row>
    <row r="3165" spans="1:8" ht="15.75" thickBot="1" x14ac:dyDescent="0.3">
      <c r="A3165" s="1192"/>
      <c r="B3165" s="1192"/>
      <c r="C3165" s="1192"/>
      <c r="D3165" s="1192"/>
      <c r="E3165" s="1222" t="s">
        <v>5415</v>
      </c>
      <c r="F3165" s="1191"/>
      <c r="G3165" s="1192"/>
      <c r="H3165" s="1223">
        <f>ROUND(+H3132+H3148+H3155+H3163,0)</f>
        <v>79222</v>
      </c>
    </row>
    <row r="3166" spans="1:8" x14ac:dyDescent="0.25">
      <c r="A3166" s="1058"/>
      <c r="B3166" s="1058"/>
      <c r="C3166" s="1058"/>
      <c r="D3166" s="1058"/>
      <c r="E3166" s="1058"/>
      <c r="F3166" s="1058"/>
      <c r="G3166" s="1058"/>
      <c r="H3166" s="1058"/>
    </row>
    <row r="3167" spans="1:8" x14ac:dyDescent="0.25">
      <c r="A3167" s="1191"/>
      <c r="B3167" s="1192"/>
      <c r="C3167" s="1192"/>
      <c r="D3167" s="1192"/>
      <c r="E3167" s="1192"/>
      <c r="F3167" s="1191"/>
      <c r="G3167" s="1192"/>
      <c r="H3167" s="1192"/>
    </row>
    <row r="3168" spans="1:8" ht="38.25" customHeight="1" x14ac:dyDescent="0.25">
      <c r="A3168" s="673" t="s">
        <v>3</v>
      </c>
      <c r="B3168" s="1390" t="str">
        <f>+VLOOKUP(C3168,ListaAPUs!$B:$E,4,FALSE)</f>
        <v>4.2.26</v>
      </c>
      <c r="C3168" s="2449" t="str">
        <f>+ListaAPUs!B100</f>
        <v>INSTALACIÓN NIPLES PASAMURO EN  HD D=200 MM A 350 MM L=1 A 2M</v>
      </c>
      <c r="D3168" s="2449"/>
      <c r="E3168" s="2449"/>
      <c r="F3168" s="673" t="s">
        <v>867</v>
      </c>
      <c r="G3168" s="222" t="s">
        <v>5424</v>
      </c>
      <c r="H3168" s="1192"/>
    </row>
    <row r="3169" spans="1:8" x14ac:dyDescent="0.25">
      <c r="A3169" s="1191"/>
      <c r="B3169" s="1192"/>
      <c r="C3169" s="1192"/>
      <c r="D3169" s="1192"/>
      <c r="E3169" s="1192"/>
      <c r="F3169" s="1191"/>
      <c r="G3169" s="1192"/>
      <c r="H3169" s="1192"/>
    </row>
    <row r="3170" spans="1:8" x14ac:dyDescent="0.25">
      <c r="A3170" s="1191"/>
      <c r="B3170" s="1192"/>
      <c r="C3170" s="1192"/>
      <c r="D3170" s="1192"/>
      <c r="E3170" s="1192"/>
      <c r="F3170" s="1191"/>
      <c r="G3170" s="1193"/>
      <c r="H3170" s="1192"/>
    </row>
    <row r="3171" spans="1:8" ht="15.75" thickBot="1" x14ac:dyDescent="0.3">
      <c r="A3171" s="1191"/>
      <c r="B3171" s="1192"/>
      <c r="C3171" s="1192"/>
      <c r="D3171" s="1192"/>
      <c r="E3171" s="1192"/>
      <c r="F3171" s="1191"/>
      <c r="G3171" s="1192"/>
      <c r="H3171" s="1192"/>
    </row>
    <row r="3172" spans="1:8" ht="15.75" thickBot="1" x14ac:dyDescent="0.3">
      <c r="A3172" s="1191"/>
      <c r="B3172" s="1428" t="s">
        <v>5403</v>
      </c>
      <c r="C3172" s="1429" t="s">
        <v>867</v>
      </c>
      <c r="D3172" s="1429" t="s">
        <v>6</v>
      </c>
      <c r="E3172" s="1430" t="s">
        <v>5404</v>
      </c>
      <c r="F3172" s="1429" t="s">
        <v>5405</v>
      </c>
      <c r="G3172" s="1431" t="s">
        <v>868</v>
      </c>
      <c r="H3172" s="1194"/>
    </row>
    <row r="3173" spans="1:8" x14ac:dyDescent="0.25">
      <c r="A3173" s="1191"/>
      <c r="B3173" s="757" t="s">
        <v>5455</v>
      </c>
      <c r="C3173" s="226" t="s">
        <v>7042</v>
      </c>
      <c r="D3173" s="1196">
        <v>1</v>
      </c>
      <c r="E3173" s="228">
        <f>+H3211</f>
        <v>60448.4</v>
      </c>
      <c r="F3173" s="1197">
        <v>0.2</v>
      </c>
      <c r="G3173" s="979">
        <f t="shared" ref="G3173:G3180" si="69">IF(B3173="","",PRODUCT(D3173:F3173))</f>
        <v>12089.68</v>
      </c>
      <c r="H3173" s="1194"/>
    </row>
    <row r="3174" spans="1:8" x14ac:dyDescent="0.25">
      <c r="A3174" s="1191"/>
      <c r="B3174" s="1303" t="s">
        <v>6869</v>
      </c>
      <c r="C3174" s="1198"/>
      <c r="D3174" s="1198"/>
      <c r="E3174" s="975">
        <f>+VLOOKUP(B3174,Insumos!$A$2:$C$331,3,FALSE)</f>
        <v>202536</v>
      </c>
      <c r="F3174" s="1198">
        <v>0.04</v>
      </c>
      <c r="G3174" s="979">
        <f t="shared" si="69"/>
        <v>8101.4400000000005</v>
      </c>
      <c r="H3174" s="1194"/>
    </row>
    <row r="3175" spans="1:8" x14ac:dyDescent="0.25">
      <c r="A3175" s="1191"/>
      <c r="B3175" s="763"/>
      <c r="C3175" s="1198" t="str">
        <f t="shared" ref="C3175:C3180" si="70">IF(B3175="","",VLOOKUP(B3175,INSUMOS,2,FALSE))</f>
        <v/>
      </c>
      <c r="D3175" s="1198"/>
      <c r="E3175" s="1181" t="str">
        <f t="shared" ref="E3175:E3180" si="71">IF(B3175="","",IF(C3175="%mo",$K$50,VLOOKUP(B3175,INSUMOS,3,FALSE)))</f>
        <v/>
      </c>
      <c r="F3175" s="1198"/>
      <c r="G3175" s="979" t="str">
        <f t="shared" si="69"/>
        <v/>
      </c>
      <c r="H3175" s="1194"/>
    </row>
    <row r="3176" spans="1:8" x14ac:dyDescent="0.25">
      <c r="A3176" s="1191"/>
      <c r="B3176" s="1199"/>
      <c r="C3176" s="1198" t="str">
        <f t="shared" si="70"/>
        <v/>
      </c>
      <c r="D3176" s="1200"/>
      <c r="E3176" s="1201" t="str">
        <f t="shared" si="71"/>
        <v/>
      </c>
      <c r="F3176" s="1198"/>
      <c r="G3176" s="979" t="str">
        <f t="shared" si="69"/>
        <v/>
      </c>
      <c r="H3176" s="1194"/>
    </row>
    <row r="3177" spans="1:8" x14ac:dyDescent="0.25">
      <c r="A3177" s="1191"/>
      <c r="B3177" s="1199"/>
      <c r="C3177" s="1198" t="str">
        <f t="shared" si="70"/>
        <v/>
      </c>
      <c r="D3177" s="1200"/>
      <c r="E3177" s="1201" t="str">
        <f t="shared" si="71"/>
        <v/>
      </c>
      <c r="F3177" s="1198"/>
      <c r="G3177" s="979" t="str">
        <f t="shared" si="69"/>
        <v/>
      </c>
      <c r="H3177" s="1194"/>
    </row>
    <row r="3178" spans="1:8" x14ac:dyDescent="0.25">
      <c r="A3178" s="1191"/>
      <c r="B3178" s="1199"/>
      <c r="C3178" s="1198" t="str">
        <f t="shared" si="70"/>
        <v/>
      </c>
      <c r="D3178" s="1200"/>
      <c r="E3178" s="1201" t="str">
        <f t="shared" si="71"/>
        <v/>
      </c>
      <c r="F3178" s="1198"/>
      <c r="G3178" s="979" t="str">
        <f t="shared" si="69"/>
        <v/>
      </c>
      <c r="H3178" s="1194"/>
    </row>
    <row r="3179" spans="1:8" ht="15.75" thickBot="1" x14ac:dyDescent="0.3">
      <c r="A3179" s="1191"/>
      <c r="B3179" s="1199"/>
      <c r="C3179" s="1198" t="str">
        <f t="shared" si="70"/>
        <v/>
      </c>
      <c r="D3179" s="1200"/>
      <c r="E3179" s="1201" t="str">
        <f t="shared" si="71"/>
        <v/>
      </c>
      <c r="F3179" s="1198"/>
      <c r="G3179" s="979" t="str">
        <f t="shared" si="69"/>
        <v/>
      </c>
      <c r="H3179" s="1194"/>
    </row>
    <row r="3180" spans="1:8" ht="15.75" thickBot="1" x14ac:dyDescent="0.3">
      <c r="A3180" s="1191"/>
      <c r="B3180" s="1202"/>
      <c r="C3180" s="1203" t="str">
        <f t="shared" si="70"/>
        <v/>
      </c>
      <c r="D3180" s="1204"/>
      <c r="E3180" s="1205" t="str">
        <f t="shared" si="71"/>
        <v/>
      </c>
      <c r="F3180" s="1203"/>
      <c r="G3180" s="979" t="str">
        <f t="shared" si="69"/>
        <v/>
      </c>
      <c r="H3180" s="1206">
        <f>+SUM(G3173:G3180)</f>
        <v>20191.120000000003</v>
      </c>
    </row>
    <row r="3181" spans="1:8" ht="15.75" thickBot="1" x14ac:dyDescent="0.3">
      <c r="A3181" s="1191"/>
      <c r="B3181" s="1207"/>
      <c r="C3181" s="1208"/>
      <c r="D3181" s="1207"/>
      <c r="E3181" s="1209"/>
      <c r="F3181" s="1208"/>
      <c r="G3181" s="1210"/>
      <c r="H3181" s="1211"/>
    </row>
    <row r="3182" spans="1:8" ht="15.75" thickBot="1" x14ac:dyDescent="0.3">
      <c r="A3182" s="1192"/>
      <c r="B3182" s="1428" t="s">
        <v>5408</v>
      </c>
      <c r="C3182" s="1429" t="s">
        <v>867</v>
      </c>
      <c r="D3182" s="1429" t="s">
        <v>6</v>
      </c>
      <c r="E3182" s="1430" t="s">
        <v>870</v>
      </c>
      <c r="F3182" s="1429" t="s">
        <v>7040</v>
      </c>
      <c r="G3182" s="1431" t="s">
        <v>868</v>
      </c>
      <c r="H3182" s="1194"/>
    </row>
    <row r="3183" spans="1:8" x14ac:dyDescent="0.25">
      <c r="A3183" s="1192"/>
      <c r="B3183" s="1212"/>
      <c r="C3183" s="1195" t="str">
        <f t="shared" ref="C3183:C3196" si="72">IF(B3183="","",VLOOKUP(B3183,INSUMOS,2,FALSE))</f>
        <v/>
      </c>
      <c r="D3183" s="1195"/>
      <c r="E3183" s="1180" t="str">
        <f t="shared" ref="E3183:E3196" si="73">IF(B3183="","",VLOOKUP(B3183,INSUMOS,3,FALSE))</f>
        <v/>
      </c>
      <c r="F3183" s="1195"/>
      <c r="G3183" s="979" t="str">
        <f t="shared" ref="G3183:G3196" si="74">IF(B3183="","",PRODUCT(D3183:F3183))</f>
        <v/>
      </c>
      <c r="H3183" s="1194"/>
    </row>
    <row r="3184" spans="1:8" x14ac:dyDescent="0.25">
      <c r="A3184" s="1192"/>
      <c r="B3184" s="1213"/>
      <c r="C3184" s="1198" t="str">
        <f t="shared" si="72"/>
        <v/>
      </c>
      <c r="D3184" s="1198"/>
      <c r="E3184" s="1181" t="str">
        <f t="shared" si="73"/>
        <v/>
      </c>
      <c r="F3184" s="1195"/>
      <c r="G3184" s="979" t="str">
        <f t="shared" si="74"/>
        <v/>
      </c>
      <c r="H3184" s="1194"/>
    </row>
    <row r="3185" spans="1:8" x14ac:dyDescent="0.25">
      <c r="A3185" s="1192"/>
      <c r="B3185" s="1213"/>
      <c r="C3185" s="1198" t="str">
        <f t="shared" si="72"/>
        <v/>
      </c>
      <c r="D3185" s="1198"/>
      <c r="E3185" s="1181" t="str">
        <f t="shared" si="73"/>
        <v/>
      </c>
      <c r="F3185" s="1195"/>
      <c r="G3185" s="979" t="str">
        <f t="shared" si="74"/>
        <v/>
      </c>
      <c r="H3185" s="1194"/>
    </row>
    <row r="3186" spans="1:8" x14ac:dyDescent="0.25">
      <c r="A3186" s="1192"/>
      <c r="B3186" s="1199"/>
      <c r="C3186" s="1198" t="str">
        <f t="shared" si="72"/>
        <v/>
      </c>
      <c r="D3186" s="1198"/>
      <c r="E3186" s="1180" t="str">
        <f t="shared" si="73"/>
        <v/>
      </c>
      <c r="F3186" s="1198"/>
      <c r="G3186" s="979" t="str">
        <f t="shared" si="74"/>
        <v/>
      </c>
      <c r="H3186" s="1194"/>
    </row>
    <row r="3187" spans="1:8" x14ac:dyDescent="0.25">
      <c r="A3187" s="1192"/>
      <c r="B3187" s="1199"/>
      <c r="C3187" s="1198" t="str">
        <f t="shared" si="72"/>
        <v/>
      </c>
      <c r="D3187" s="1198"/>
      <c r="E3187" s="1180" t="str">
        <f t="shared" si="73"/>
        <v/>
      </c>
      <c r="F3187" s="1198"/>
      <c r="G3187" s="979" t="str">
        <f t="shared" si="74"/>
        <v/>
      </c>
      <c r="H3187" s="1194"/>
    </row>
    <row r="3188" spans="1:8" x14ac:dyDescent="0.25">
      <c r="A3188" s="1192"/>
      <c r="B3188" s="1199"/>
      <c r="C3188" s="1198" t="str">
        <f t="shared" si="72"/>
        <v/>
      </c>
      <c r="D3188" s="1198"/>
      <c r="E3188" s="1180" t="str">
        <f t="shared" si="73"/>
        <v/>
      </c>
      <c r="F3188" s="1198"/>
      <c r="G3188" s="979" t="str">
        <f t="shared" si="74"/>
        <v/>
      </c>
      <c r="H3188" s="1194"/>
    </row>
    <row r="3189" spans="1:8" x14ac:dyDescent="0.25">
      <c r="A3189" s="1192"/>
      <c r="B3189" s="1199"/>
      <c r="C3189" s="1198" t="str">
        <f t="shared" si="72"/>
        <v/>
      </c>
      <c r="D3189" s="1198"/>
      <c r="E3189" s="1180" t="str">
        <f t="shared" si="73"/>
        <v/>
      </c>
      <c r="F3189" s="1198"/>
      <c r="G3189" s="979" t="str">
        <f t="shared" si="74"/>
        <v/>
      </c>
      <c r="H3189" s="1194"/>
    </row>
    <row r="3190" spans="1:8" x14ac:dyDescent="0.25">
      <c r="A3190" s="1192"/>
      <c r="B3190" s="1199"/>
      <c r="C3190" s="1198" t="str">
        <f t="shared" si="72"/>
        <v/>
      </c>
      <c r="D3190" s="1198"/>
      <c r="E3190" s="1180" t="str">
        <f t="shared" si="73"/>
        <v/>
      </c>
      <c r="F3190" s="1198"/>
      <c r="G3190" s="979" t="str">
        <f t="shared" si="74"/>
        <v/>
      </c>
      <c r="H3190" s="1194"/>
    </row>
    <row r="3191" spans="1:8" x14ac:dyDescent="0.25">
      <c r="A3191" s="1192"/>
      <c r="B3191" s="1199"/>
      <c r="C3191" s="1198" t="str">
        <f t="shared" si="72"/>
        <v/>
      </c>
      <c r="D3191" s="1198"/>
      <c r="E3191" s="1180" t="str">
        <f t="shared" si="73"/>
        <v/>
      </c>
      <c r="F3191" s="1198"/>
      <c r="G3191" s="979" t="str">
        <f t="shared" si="74"/>
        <v/>
      </c>
      <c r="H3191" s="1194"/>
    </row>
    <row r="3192" spans="1:8" x14ac:dyDescent="0.25">
      <c r="A3192" s="1192"/>
      <c r="B3192" s="1199"/>
      <c r="C3192" s="1198" t="str">
        <f t="shared" si="72"/>
        <v/>
      </c>
      <c r="D3192" s="1198"/>
      <c r="E3192" s="1180" t="str">
        <f t="shared" si="73"/>
        <v/>
      </c>
      <c r="F3192" s="1198"/>
      <c r="G3192" s="979" t="str">
        <f t="shared" si="74"/>
        <v/>
      </c>
      <c r="H3192" s="1194"/>
    </row>
    <row r="3193" spans="1:8" x14ac:dyDescent="0.25">
      <c r="A3193" s="1192"/>
      <c r="B3193" s="1199"/>
      <c r="C3193" s="1198" t="str">
        <f t="shared" si="72"/>
        <v/>
      </c>
      <c r="D3193" s="1198"/>
      <c r="E3193" s="1180" t="str">
        <f t="shared" si="73"/>
        <v/>
      </c>
      <c r="F3193" s="1198"/>
      <c r="G3193" s="979" t="str">
        <f t="shared" si="74"/>
        <v/>
      </c>
      <c r="H3193" s="1194"/>
    </row>
    <row r="3194" spans="1:8" x14ac:dyDescent="0.25">
      <c r="A3194" s="1192"/>
      <c r="B3194" s="1199"/>
      <c r="C3194" s="1200" t="str">
        <f t="shared" si="72"/>
        <v/>
      </c>
      <c r="D3194" s="1200"/>
      <c r="E3194" s="1201" t="str">
        <f t="shared" si="73"/>
        <v/>
      </c>
      <c r="F3194" s="1198"/>
      <c r="G3194" s="979" t="str">
        <f t="shared" si="74"/>
        <v/>
      </c>
      <c r="H3194" s="1194"/>
    </row>
    <row r="3195" spans="1:8" ht="15.75" thickBot="1" x14ac:dyDescent="0.3">
      <c r="A3195" s="1192"/>
      <c r="B3195" s="1199"/>
      <c r="C3195" s="1200" t="str">
        <f t="shared" si="72"/>
        <v/>
      </c>
      <c r="D3195" s="1200"/>
      <c r="E3195" s="1201" t="str">
        <f t="shared" si="73"/>
        <v/>
      </c>
      <c r="F3195" s="1198"/>
      <c r="G3195" s="979" t="str">
        <f t="shared" si="74"/>
        <v/>
      </c>
      <c r="H3195" s="1194"/>
    </row>
    <row r="3196" spans="1:8" ht="15.75" thickBot="1" x14ac:dyDescent="0.3">
      <c r="A3196" s="1192"/>
      <c r="B3196" s="1202"/>
      <c r="C3196" s="1204" t="str">
        <f t="shared" si="72"/>
        <v/>
      </c>
      <c r="D3196" s="1204"/>
      <c r="E3196" s="1205" t="str">
        <f t="shared" si="73"/>
        <v/>
      </c>
      <c r="F3196" s="1203"/>
      <c r="G3196" s="979" t="str">
        <f t="shared" si="74"/>
        <v/>
      </c>
      <c r="H3196" s="1206">
        <f>+SUM(G3183:G3196)</f>
        <v>0</v>
      </c>
    </row>
    <row r="3197" spans="1:8" ht="15.75" thickBot="1" x14ac:dyDescent="0.3">
      <c r="A3197" s="1192"/>
      <c r="B3197" s="1207"/>
      <c r="C3197" s="1207"/>
      <c r="D3197" s="1207"/>
      <c r="E3197" s="1209"/>
      <c r="F3197" s="1208"/>
      <c r="G3197" s="1210"/>
      <c r="H3197" s="1211"/>
    </row>
    <row r="3198" spans="1:8" ht="15.75" thickBot="1" x14ac:dyDescent="0.3">
      <c r="A3198" s="1192"/>
      <c r="B3198" s="1428" t="s">
        <v>5410</v>
      </c>
      <c r="C3198" s="1429" t="s">
        <v>867</v>
      </c>
      <c r="D3198" s="1429" t="s">
        <v>6</v>
      </c>
      <c r="E3198" s="1430" t="s">
        <v>870</v>
      </c>
      <c r="F3198" s="1429" t="s">
        <v>5411</v>
      </c>
      <c r="G3198" s="1431" t="s">
        <v>868</v>
      </c>
      <c r="H3198" s="1194"/>
    </row>
    <row r="3199" spans="1:8" x14ac:dyDescent="0.25">
      <c r="A3199" s="1192"/>
      <c r="B3199" s="1212"/>
      <c r="C3199" s="1195" t="str">
        <f>IF(B3199="","",VLOOKUP(B3199,INSUMOS,2,FALSE))</f>
        <v/>
      </c>
      <c r="D3199" s="1195"/>
      <c r="E3199" s="1180" t="str">
        <f>IF(B3199="","",VLOOKUP(B3199,INSUMOS,3,FALSE))</f>
        <v/>
      </c>
      <c r="F3199" s="1195"/>
      <c r="G3199" s="979" t="str">
        <f>IF(B3199="","",PRODUCT(D3199:F3199))</f>
        <v/>
      </c>
      <c r="H3199" s="1194"/>
    </row>
    <row r="3200" spans="1:8" x14ac:dyDescent="0.25">
      <c r="A3200" s="1192"/>
      <c r="B3200" s="1213"/>
      <c r="C3200" s="1198" t="str">
        <f>IF(B3200="","",VLOOKUP(B3200,INSUMOS,2,FALSE))</f>
        <v/>
      </c>
      <c r="D3200" s="1198"/>
      <c r="E3200" s="1181" t="str">
        <f>IF(B3200="","",VLOOKUP(B3200,INSUMOS,3,FALSE))</f>
        <v/>
      </c>
      <c r="F3200" s="1198"/>
      <c r="G3200" s="979" t="str">
        <f>IF(B3200="","",PRODUCT(D3200:F3200))</f>
        <v/>
      </c>
      <c r="H3200" s="1194"/>
    </row>
    <row r="3201" spans="1:8" x14ac:dyDescent="0.25">
      <c r="A3201" s="1192"/>
      <c r="B3201" s="1213"/>
      <c r="C3201" s="1198" t="str">
        <f>IF(B3201="","",VLOOKUP(B3201,INSUMOS,2,FALSE))</f>
        <v/>
      </c>
      <c r="D3201" s="1198"/>
      <c r="E3201" s="1180" t="str">
        <f>IF(B3201="","",VLOOKUP(B3201,INSUMOS,3,FALSE))</f>
        <v/>
      </c>
      <c r="F3201" s="1198"/>
      <c r="G3201" s="979" t="str">
        <f>IF(B3201="","",PRODUCT(D3201:F3201))</f>
        <v/>
      </c>
      <c r="H3201" s="1194"/>
    </row>
    <row r="3202" spans="1:8" ht="15.75" thickBot="1" x14ac:dyDescent="0.3">
      <c r="A3202" s="1192"/>
      <c r="B3202" s="1199"/>
      <c r="C3202" s="1198" t="str">
        <f>IF(B3202="","",VLOOKUP(B3202,INSUMOS,2,FALSE))</f>
        <v/>
      </c>
      <c r="D3202" s="1198"/>
      <c r="E3202" s="1180" t="str">
        <f>IF(B3202="","",VLOOKUP(B3202,INSUMOS,3,FALSE))</f>
        <v/>
      </c>
      <c r="F3202" s="1198"/>
      <c r="G3202" s="979" t="str">
        <f>IF(B3202="","",PRODUCT(D3202:F3202))</f>
        <v/>
      </c>
      <c r="H3202" s="1194"/>
    </row>
    <row r="3203" spans="1:8" ht="15.75" thickBot="1" x14ac:dyDescent="0.3">
      <c r="A3203" s="1192"/>
      <c r="B3203" s="1202"/>
      <c r="C3203" s="1204" t="str">
        <f>IF(B3203="","",VLOOKUP(B3203,INSUMOS,2,FALSE))</f>
        <v/>
      </c>
      <c r="D3203" s="1204"/>
      <c r="E3203" s="1205" t="str">
        <f>IF(B3203="","",VLOOKUP(B3203,INSUMOS,3,FALSE))</f>
        <v/>
      </c>
      <c r="F3203" s="1203"/>
      <c r="G3203" s="979" t="str">
        <f>IF(B3203="","",PRODUCT(D3203:F3203))</f>
        <v/>
      </c>
      <c r="H3203" s="1206">
        <f>+SUM(G3199:G3203)</f>
        <v>0</v>
      </c>
    </row>
    <row r="3204" spans="1:8" ht="15.75" thickBot="1" x14ac:dyDescent="0.3">
      <c r="A3204" s="1192"/>
      <c r="B3204" s="1207"/>
      <c r="C3204" s="1207"/>
      <c r="D3204" s="1207"/>
      <c r="E3204" s="1209"/>
      <c r="F3204" s="1214"/>
      <c r="G3204" s="1215"/>
      <c r="H3204" s="1211"/>
    </row>
    <row r="3205" spans="1:8" ht="15.75" thickBot="1" x14ac:dyDescent="0.3">
      <c r="A3205" s="1192"/>
      <c r="B3205" s="1428" t="s">
        <v>5412</v>
      </c>
      <c r="C3205" s="1429" t="s">
        <v>5420</v>
      </c>
      <c r="D3205" s="1429" t="s">
        <v>5421</v>
      </c>
      <c r="E3205" s="1430" t="s">
        <v>5413</v>
      </c>
      <c r="F3205" s="1429" t="s">
        <v>5405</v>
      </c>
      <c r="G3205" s="1431" t="s">
        <v>868</v>
      </c>
      <c r="H3205" s="1194"/>
    </row>
    <row r="3206" spans="1:8" x14ac:dyDescent="0.25">
      <c r="A3206" s="1192"/>
      <c r="B3206" s="194" t="s">
        <v>6523</v>
      </c>
      <c r="C3206" s="345">
        <f>+VLOOKUP($B3206,'Mano de obra'!$A$5:$D$26,2,FALSE)</f>
        <v>57454</v>
      </c>
      <c r="D3206" s="345">
        <f>+VLOOKUP($B3206,'Mano de obra'!$A$5:$D$26,3,FALSE)</f>
        <v>35656</v>
      </c>
      <c r="E3206" s="345">
        <f>+VLOOKUP($B3206,'Mano de obra'!$A$5:$D$26,4,FALSE)</f>
        <v>93110</v>
      </c>
      <c r="F3206" s="1197">
        <v>20</v>
      </c>
      <c r="G3206" s="979">
        <f>IF(B3206="","",E3206/F3206)</f>
        <v>4655.5</v>
      </c>
      <c r="H3206" s="1194"/>
    </row>
    <row r="3207" spans="1:8" x14ac:dyDescent="0.25">
      <c r="A3207" s="1192"/>
      <c r="B3207" s="194" t="s">
        <v>6524</v>
      </c>
      <c r="C3207" s="345">
        <f>+VLOOKUP($B3207,'Mano de obra'!$A$5:$D$26,2,FALSE)</f>
        <v>44263.8</v>
      </c>
      <c r="D3207" s="345">
        <f>+VLOOKUP($B3207,'Mano de obra'!$A$5:$D$26,3,FALSE)</f>
        <v>27470</v>
      </c>
      <c r="E3207" s="345">
        <f>+VLOOKUP($B3207,'Mano de obra'!$A$5:$D$26,4,FALSE)</f>
        <v>71733.8</v>
      </c>
      <c r="F3207" s="1195">
        <v>2</v>
      </c>
      <c r="G3207" s="979">
        <f>IF(B3207="","",E3207/F3207)</f>
        <v>35866.9</v>
      </c>
      <c r="H3207" s="1194"/>
    </row>
    <row r="3208" spans="1:8" x14ac:dyDescent="0.25">
      <c r="A3208" s="1192"/>
      <c r="B3208" s="195" t="s">
        <v>6525</v>
      </c>
      <c r="C3208" s="345">
        <f>+VLOOKUP($B3208,'Mano de obra'!$A$5:$D$26,2,FALSE)</f>
        <v>24591</v>
      </c>
      <c r="D3208" s="345">
        <f>+VLOOKUP($B3208,'Mano de obra'!$A$5:$D$26,3,FALSE)</f>
        <v>15261</v>
      </c>
      <c r="E3208" s="345">
        <f>+VLOOKUP($B3208,'Mano de obra'!$A$5:$D$26,4,FALSE)</f>
        <v>39852</v>
      </c>
      <c r="F3208" s="1198">
        <v>2</v>
      </c>
      <c r="G3208" s="979">
        <f>IF(B3208="","",E3208/F3208)</f>
        <v>19926</v>
      </c>
      <c r="H3208" s="1194"/>
    </row>
    <row r="3209" spans="1:8" x14ac:dyDescent="0.25">
      <c r="A3209" s="1192"/>
      <c r="B3209" s="1199"/>
      <c r="C3209" s="1216"/>
      <c r="D3209" s="1201"/>
      <c r="E3209" s="1201"/>
      <c r="F3209" s="1198"/>
      <c r="G3209" s="1217"/>
      <c r="H3209" s="1194"/>
    </row>
    <row r="3210" spans="1:8" ht="15.75" thickBot="1" x14ac:dyDescent="0.3">
      <c r="A3210" s="1192"/>
      <c r="B3210" s="1199"/>
      <c r="C3210" s="1201"/>
      <c r="D3210" s="1201"/>
      <c r="E3210" s="1201"/>
      <c r="F3210" s="1198"/>
      <c r="G3210" s="1217"/>
      <c r="H3210" s="1194"/>
    </row>
    <row r="3211" spans="1:8" ht="15.75" thickBot="1" x14ac:dyDescent="0.3">
      <c r="A3211" s="1192"/>
      <c r="B3211" s="1218"/>
      <c r="C3211" s="1219"/>
      <c r="D3211" s="1219"/>
      <c r="E3211" s="1219"/>
      <c r="F3211" s="1220"/>
      <c r="G3211" s="1221"/>
      <c r="H3211" s="1206">
        <f>+SUM(G3206:G3211)</f>
        <v>60448.4</v>
      </c>
    </row>
    <row r="3212" spans="1:8" ht="15.75" thickBot="1" x14ac:dyDescent="0.3">
      <c r="A3212" s="1192"/>
      <c r="B3212" s="1192"/>
      <c r="C3212" s="1192"/>
      <c r="D3212" s="1192"/>
      <c r="E3212" s="1192"/>
      <c r="F3212" s="1191"/>
      <c r="G3212" s="1192"/>
      <c r="H3212" s="1192"/>
    </row>
    <row r="3213" spans="1:8" ht="15.75" thickBot="1" x14ac:dyDescent="0.3">
      <c r="A3213" s="1192"/>
      <c r="B3213" s="1192"/>
      <c r="C3213" s="1192"/>
      <c r="D3213" s="1192"/>
      <c r="E3213" s="1222" t="s">
        <v>5415</v>
      </c>
      <c r="F3213" s="1191"/>
      <c r="G3213" s="1192"/>
      <c r="H3213" s="1223">
        <f>ROUND(+H3180+H3196+H3203+H3211,0)</f>
        <v>80640</v>
      </c>
    </row>
    <row r="3214" spans="1:8" x14ac:dyDescent="0.25">
      <c r="A3214" s="1191"/>
      <c r="B3214" s="1192"/>
      <c r="C3214" s="1192"/>
      <c r="D3214" s="1192"/>
      <c r="E3214" s="1192"/>
      <c r="F3214" s="1191"/>
      <c r="G3214" s="1192"/>
      <c r="H3214" s="1192"/>
    </row>
    <row r="3215" spans="1:8" x14ac:dyDescent="0.25">
      <c r="A3215" s="1191"/>
      <c r="B3215" s="1192"/>
      <c r="C3215" s="1192"/>
      <c r="D3215" s="1192"/>
      <c r="E3215" s="1192"/>
      <c r="F3215" s="1191"/>
      <c r="G3215" s="1192"/>
      <c r="H3215" s="1192"/>
    </row>
    <row r="3216" spans="1:8" x14ac:dyDescent="0.25">
      <c r="A3216" s="673" t="s">
        <v>3</v>
      </c>
      <c r="B3216" s="1390" t="str">
        <f>+VLOOKUP(C3216,ListaAPUs!$B:$E,4,FALSE)</f>
        <v>4.2.27</v>
      </c>
      <c r="C3216" s="2449" t="str">
        <f>+ListaAPUs!B101</f>
        <v>INSTALACIÓN NIPLES PASAMURO EN  HD D=200 MM A 350 MM L=2 A 3M</v>
      </c>
      <c r="D3216" s="2449"/>
      <c r="E3216" s="2449"/>
      <c r="F3216" s="673" t="s">
        <v>867</v>
      </c>
      <c r="G3216" s="222" t="s">
        <v>5424</v>
      </c>
      <c r="H3216" s="1192"/>
    </row>
    <row r="3217" spans="1:8" x14ac:dyDescent="0.25">
      <c r="A3217" s="1191"/>
      <c r="B3217" s="1192"/>
      <c r="C3217" s="1192"/>
      <c r="D3217" s="1192"/>
      <c r="E3217" s="1192"/>
      <c r="F3217" s="1191"/>
      <c r="G3217" s="1192"/>
      <c r="H3217" s="1192"/>
    </row>
    <row r="3218" spans="1:8" x14ac:dyDescent="0.25">
      <c r="A3218" s="1191"/>
      <c r="B3218" s="1192"/>
      <c r="C3218" s="1192"/>
      <c r="D3218" s="1192"/>
      <c r="E3218" s="1192"/>
      <c r="F3218" s="1191"/>
      <c r="G3218" s="1193"/>
      <c r="H3218" s="1192"/>
    </row>
    <row r="3219" spans="1:8" ht="15.75" thickBot="1" x14ac:dyDescent="0.3">
      <c r="A3219" s="1191"/>
      <c r="B3219" s="1192"/>
      <c r="C3219" s="1192"/>
      <c r="D3219" s="1192"/>
      <c r="E3219" s="1192"/>
      <c r="F3219" s="1191"/>
      <c r="G3219" s="1192"/>
      <c r="H3219" s="1192"/>
    </row>
    <row r="3220" spans="1:8" ht="15.75" thickBot="1" x14ac:dyDescent="0.3">
      <c r="A3220" s="1191"/>
      <c r="B3220" s="1428" t="s">
        <v>5403</v>
      </c>
      <c r="C3220" s="1429" t="s">
        <v>867</v>
      </c>
      <c r="D3220" s="1429" t="s">
        <v>6</v>
      </c>
      <c r="E3220" s="1430" t="s">
        <v>5404</v>
      </c>
      <c r="F3220" s="1429" t="s">
        <v>5405</v>
      </c>
      <c r="G3220" s="1431" t="s">
        <v>868</v>
      </c>
      <c r="H3220" s="1194"/>
    </row>
    <row r="3221" spans="1:8" x14ac:dyDescent="0.25">
      <c r="A3221" s="1191"/>
      <c r="B3221" s="1199" t="s">
        <v>5455</v>
      </c>
      <c r="C3221" s="226" t="s">
        <v>7042</v>
      </c>
      <c r="D3221" s="1196">
        <v>1</v>
      </c>
      <c r="E3221" s="228">
        <f>+H3259</f>
        <v>79046.033333333326</v>
      </c>
      <c r="F3221" s="1197">
        <v>0.2</v>
      </c>
      <c r="G3221" s="979">
        <f>IF(B3221="","",PRODUCT(D3221:F3221))</f>
        <v>15809.206666666665</v>
      </c>
      <c r="H3221" s="1194"/>
    </row>
    <row r="3222" spans="1:8" x14ac:dyDescent="0.25">
      <c r="A3222" s="1191"/>
      <c r="B3222" s="1303" t="s">
        <v>6869</v>
      </c>
      <c r="C3222" s="1198"/>
      <c r="D3222" s="1198"/>
      <c r="E3222" s="975">
        <f>+VLOOKUP(B3222,Insumos!$A$2:$C$331,3,FALSE)</f>
        <v>202536</v>
      </c>
      <c r="F3222" s="1198">
        <v>0.05</v>
      </c>
      <c r="G3222" s="979">
        <f>IF(B3222="","",PRODUCT(D3222:F3222))</f>
        <v>10126.800000000001</v>
      </c>
      <c r="H3222" s="1194"/>
    </row>
    <row r="3223" spans="1:8" x14ac:dyDescent="0.25">
      <c r="A3223" s="1191"/>
      <c r="B3223" s="763"/>
      <c r="C3223" s="1198"/>
      <c r="D3223" s="1198"/>
      <c r="E3223" s="1181"/>
      <c r="F3223" s="1198"/>
      <c r="G3223" s="979"/>
      <c r="H3223" s="1194"/>
    </row>
    <row r="3224" spans="1:8" x14ac:dyDescent="0.25">
      <c r="A3224" s="1191"/>
      <c r="B3224" s="1199"/>
      <c r="C3224" s="1198"/>
      <c r="D3224" s="1200"/>
      <c r="E3224" s="1201"/>
      <c r="F3224" s="1198"/>
      <c r="G3224" s="979"/>
      <c r="H3224" s="1194"/>
    </row>
    <row r="3225" spans="1:8" x14ac:dyDescent="0.25">
      <c r="A3225" s="1191"/>
      <c r="B3225" s="1199"/>
      <c r="C3225" s="1198"/>
      <c r="D3225" s="1200"/>
      <c r="E3225" s="1201"/>
      <c r="F3225" s="1198"/>
      <c r="G3225" s="979"/>
      <c r="H3225" s="1194"/>
    </row>
    <row r="3226" spans="1:8" x14ac:dyDescent="0.25">
      <c r="A3226" s="1191"/>
      <c r="B3226" s="1199"/>
      <c r="C3226" s="1198"/>
      <c r="D3226" s="1200"/>
      <c r="E3226" s="1201"/>
      <c r="F3226" s="1198"/>
      <c r="G3226" s="979"/>
      <c r="H3226" s="1194"/>
    </row>
    <row r="3227" spans="1:8" ht="15.75" thickBot="1" x14ac:dyDescent="0.3">
      <c r="A3227" s="1191"/>
      <c r="B3227" s="1199"/>
      <c r="C3227" s="1198"/>
      <c r="D3227" s="1200"/>
      <c r="E3227" s="1201"/>
      <c r="F3227" s="1198"/>
      <c r="G3227" s="979"/>
      <c r="H3227" s="1194"/>
    </row>
    <row r="3228" spans="1:8" ht="15.75" thickBot="1" x14ac:dyDescent="0.3">
      <c r="A3228" s="1191"/>
      <c r="B3228" s="1202"/>
      <c r="C3228" s="1203"/>
      <c r="D3228" s="1204"/>
      <c r="E3228" s="1205"/>
      <c r="F3228" s="1203"/>
      <c r="G3228" s="979"/>
      <c r="H3228" s="1206">
        <f>+SUM(G3221:G3228)</f>
        <v>25936.006666666668</v>
      </c>
    </row>
    <row r="3229" spans="1:8" ht="15.75" thickBot="1" x14ac:dyDescent="0.3">
      <c r="A3229" s="1191"/>
      <c r="B3229" s="1207"/>
      <c r="C3229" s="1208"/>
      <c r="D3229" s="1207"/>
      <c r="E3229" s="1209"/>
      <c r="F3229" s="1208"/>
      <c r="G3229" s="1210"/>
      <c r="H3229" s="1211"/>
    </row>
    <row r="3230" spans="1:8" ht="15.75" thickBot="1" x14ac:dyDescent="0.3">
      <c r="A3230" s="1192"/>
      <c r="B3230" s="1428" t="s">
        <v>5408</v>
      </c>
      <c r="C3230" s="1429" t="s">
        <v>867</v>
      </c>
      <c r="D3230" s="1429" t="s">
        <v>6</v>
      </c>
      <c r="E3230" s="1430" t="s">
        <v>870</v>
      </c>
      <c r="F3230" s="1429" t="s">
        <v>7040</v>
      </c>
      <c r="G3230" s="1431" t="s">
        <v>868</v>
      </c>
      <c r="H3230" s="1194"/>
    </row>
    <row r="3231" spans="1:8" x14ac:dyDescent="0.25">
      <c r="A3231" s="1192"/>
      <c r="B3231" s="1212"/>
      <c r="C3231" s="1195" t="str">
        <f t="shared" ref="C3231:C3244" si="75">IF(B3231="","",VLOOKUP(B3231,INSUMOS,2,FALSE))</f>
        <v/>
      </c>
      <c r="D3231" s="1195"/>
      <c r="E3231" s="1180"/>
      <c r="F3231" s="1195"/>
      <c r="G3231" s="979"/>
      <c r="H3231" s="1194"/>
    </row>
    <row r="3232" spans="1:8" x14ac:dyDescent="0.25">
      <c r="A3232" s="1192"/>
      <c r="B3232" s="1213"/>
      <c r="C3232" s="1198" t="str">
        <f t="shared" si="75"/>
        <v/>
      </c>
      <c r="D3232" s="1198"/>
      <c r="E3232" s="1181"/>
      <c r="F3232" s="1195"/>
      <c r="G3232" s="979"/>
      <c r="H3232" s="1194"/>
    </row>
    <row r="3233" spans="1:8" x14ac:dyDescent="0.25">
      <c r="A3233" s="1192"/>
      <c r="B3233" s="1213"/>
      <c r="C3233" s="1198" t="str">
        <f t="shared" si="75"/>
        <v/>
      </c>
      <c r="D3233" s="1198"/>
      <c r="E3233" s="1181"/>
      <c r="F3233" s="1195"/>
      <c r="G3233" s="979"/>
      <c r="H3233" s="1194"/>
    </row>
    <row r="3234" spans="1:8" x14ac:dyDescent="0.25">
      <c r="A3234" s="1192"/>
      <c r="B3234" s="1199"/>
      <c r="C3234" s="1198" t="str">
        <f t="shared" si="75"/>
        <v/>
      </c>
      <c r="D3234" s="1198"/>
      <c r="E3234" s="1180"/>
      <c r="F3234" s="1198"/>
      <c r="G3234" s="979"/>
      <c r="H3234" s="1194"/>
    </row>
    <row r="3235" spans="1:8" x14ac:dyDescent="0.25">
      <c r="A3235" s="1192"/>
      <c r="B3235" s="1199"/>
      <c r="C3235" s="1198" t="str">
        <f t="shared" si="75"/>
        <v/>
      </c>
      <c r="D3235" s="1198"/>
      <c r="E3235" s="1180"/>
      <c r="F3235" s="1198"/>
      <c r="G3235" s="979"/>
      <c r="H3235" s="1194"/>
    </row>
    <row r="3236" spans="1:8" x14ac:dyDescent="0.25">
      <c r="A3236" s="1192"/>
      <c r="B3236" s="1199"/>
      <c r="C3236" s="1198" t="str">
        <f t="shared" si="75"/>
        <v/>
      </c>
      <c r="D3236" s="1198"/>
      <c r="E3236" s="1180"/>
      <c r="F3236" s="1198"/>
      <c r="G3236" s="979"/>
      <c r="H3236" s="1194"/>
    </row>
    <row r="3237" spans="1:8" x14ac:dyDescent="0.25">
      <c r="A3237" s="1192"/>
      <c r="B3237" s="1199"/>
      <c r="C3237" s="1198" t="str">
        <f t="shared" si="75"/>
        <v/>
      </c>
      <c r="D3237" s="1198"/>
      <c r="E3237" s="1180"/>
      <c r="F3237" s="1198"/>
      <c r="G3237" s="979"/>
      <c r="H3237" s="1194"/>
    </row>
    <row r="3238" spans="1:8" x14ac:dyDescent="0.25">
      <c r="A3238" s="1192"/>
      <c r="B3238" s="1199"/>
      <c r="C3238" s="1198" t="str">
        <f t="shared" si="75"/>
        <v/>
      </c>
      <c r="D3238" s="1198"/>
      <c r="E3238" s="1180"/>
      <c r="F3238" s="1198"/>
      <c r="G3238" s="979"/>
      <c r="H3238" s="1194"/>
    </row>
    <row r="3239" spans="1:8" x14ac:dyDescent="0.25">
      <c r="A3239" s="1192"/>
      <c r="B3239" s="1199"/>
      <c r="C3239" s="1198" t="str">
        <f t="shared" si="75"/>
        <v/>
      </c>
      <c r="D3239" s="1198"/>
      <c r="E3239" s="1180"/>
      <c r="F3239" s="1198"/>
      <c r="G3239" s="979"/>
      <c r="H3239" s="1194"/>
    </row>
    <row r="3240" spans="1:8" x14ac:dyDescent="0.25">
      <c r="A3240" s="1192"/>
      <c r="B3240" s="1199"/>
      <c r="C3240" s="1198" t="str">
        <f t="shared" si="75"/>
        <v/>
      </c>
      <c r="D3240" s="1198"/>
      <c r="E3240" s="1180"/>
      <c r="F3240" s="1198"/>
      <c r="G3240" s="979"/>
      <c r="H3240" s="1194"/>
    </row>
    <row r="3241" spans="1:8" x14ac:dyDescent="0.25">
      <c r="A3241" s="1192"/>
      <c r="B3241" s="1199"/>
      <c r="C3241" s="1198" t="str">
        <f t="shared" si="75"/>
        <v/>
      </c>
      <c r="D3241" s="1198"/>
      <c r="E3241" s="1180"/>
      <c r="F3241" s="1198"/>
      <c r="G3241" s="979"/>
      <c r="H3241" s="1194"/>
    </row>
    <row r="3242" spans="1:8" x14ac:dyDescent="0.25">
      <c r="A3242" s="1192"/>
      <c r="B3242" s="1199"/>
      <c r="C3242" s="1200" t="str">
        <f t="shared" si="75"/>
        <v/>
      </c>
      <c r="D3242" s="1200"/>
      <c r="E3242" s="1201"/>
      <c r="F3242" s="1198"/>
      <c r="G3242" s="979"/>
      <c r="H3242" s="1194"/>
    </row>
    <row r="3243" spans="1:8" ht="15.75" thickBot="1" x14ac:dyDescent="0.3">
      <c r="A3243" s="1192"/>
      <c r="B3243" s="1199"/>
      <c r="C3243" s="1200" t="str">
        <f t="shared" si="75"/>
        <v/>
      </c>
      <c r="D3243" s="1200"/>
      <c r="E3243" s="1201"/>
      <c r="F3243" s="1198"/>
      <c r="G3243" s="979"/>
      <c r="H3243" s="1194"/>
    </row>
    <row r="3244" spans="1:8" ht="15.75" thickBot="1" x14ac:dyDescent="0.3">
      <c r="A3244" s="1192"/>
      <c r="B3244" s="1202"/>
      <c r="C3244" s="1204" t="str">
        <f t="shared" si="75"/>
        <v/>
      </c>
      <c r="D3244" s="1204"/>
      <c r="E3244" s="1205"/>
      <c r="F3244" s="1203"/>
      <c r="G3244" s="979"/>
      <c r="H3244" s="1206">
        <f>+SUM(G3231:G3244)</f>
        <v>0</v>
      </c>
    </row>
    <row r="3245" spans="1:8" ht="15.75" thickBot="1" x14ac:dyDescent="0.3">
      <c r="A3245" s="1192"/>
      <c r="B3245" s="1207"/>
      <c r="C3245" s="1207"/>
      <c r="D3245" s="1207"/>
      <c r="E3245" s="1209"/>
      <c r="F3245" s="1208"/>
      <c r="G3245" s="1210"/>
      <c r="H3245" s="1211"/>
    </row>
    <row r="3246" spans="1:8" ht="15.75" thickBot="1" x14ac:dyDescent="0.3">
      <c r="A3246" s="1192"/>
      <c r="B3246" s="1428" t="s">
        <v>5410</v>
      </c>
      <c r="C3246" s="1429" t="s">
        <v>867</v>
      </c>
      <c r="D3246" s="1429" t="s">
        <v>6</v>
      </c>
      <c r="E3246" s="1430" t="s">
        <v>870</v>
      </c>
      <c r="F3246" s="1429" t="s">
        <v>5411</v>
      </c>
      <c r="G3246" s="1431" t="s">
        <v>868</v>
      </c>
      <c r="H3246" s="1194"/>
    </row>
    <row r="3247" spans="1:8" x14ac:dyDescent="0.25">
      <c r="A3247" s="1192"/>
      <c r="B3247" s="1212"/>
      <c r="C3247" s="1195"/>
      <c r="D3247" s="1195"/>
      <c r="E3247" s="1180"/>
      <c r="F3247" s="1195"/>
      <c r="G3247" s="979"/>
      <c r="H3247" s="1194"/>
    </row>
    <row r="3248" spans="1:8" x14ac:dyDescent="0.25">
      <c r="A3248" s="1192"/>
      <c r="B3248" s="1213"/>
      <c r="C3248" s="1198"/>
      <c r="D3248" s="1198"/>
      <c r="E3248" s="1181"/>
      <c r="F3248" s="1198"/>
      <c r="G3248" s="979"/>
      <c r="H3248" s="1194"/>
    </row>
    <row r="3249" spans="1:8" x14ac:dyDescent="0.25">
      <c r="A3249" s="1192"/>
      <c r="B3249" s="1213"/>
      <c r="C3249" s="1198"/>
      <c r="D3249" s="1198"/>
      <c r="E3249" s="1180"/>
      <c r="F3249" s="1198"/>
      <c r="G3249" s="979"/>
      <c r="H3249" s="1194"/>
    </row>
    <row r="3250" spans="1:8" ht="15.75" thickBot="1" x14ac:dyDescent="0.3">
      <c r="A3250" s="1192"/>
      <c r="B3250" s="1199"/>
      <c r="C3250" s="1198"/>
      <c r="D3250" s="1198"/>
      <c r="E3250" s="1180"/>
      <c r="F3250" s="1198"/>
      <c r="G3250" s="979"/>
      <c r="H3250" s="1194"/>
    </row>
    <row r="3251" spans="1:8" ht="15.75" thickBot="1" x14ac:dyDescent="0.3">
      <c r="A3251" s="1192"/>
      <c r="B3251" s="1202"/>
      <c r="C3251" s="1204"/>
      <c r="D3251" s="1204"/>
      <c r="E3251" s="1205"/>
      <c r="F3251" s="1203"/>
      <c r="G3251" s="979"/>
      <c r="H3251" s="1206">
        <f>+SUM(G3247:G3251)</f>
        <v>0</v>
      </c>
    </row>
    <row r="3252" spans="1:8" ht="15.75" thickBot="1" x14ac:dyDescent="0.3">
      <c r="A3252" s="1192"/>
      <c r="B3252" s="1207"/>
      <c r="C3252" s="1207"/>
      <c r="D3252" s="1207"/>
      <c r="E3252" s="1209"/>
      <c r="F3252" s="1214"/>
      <c r="G3252" s="1215"/>
      <c r="H3252" s="1211"/>
    </row>
    <row r="3253" spans="1:8" ht="15.75" thickBot="1" x14ac:dyDescent="0.3">
      <c r="A3253" s="1192"/>
      <c r="B3253" s="1428" t="s">
        <v>5412</v>
      </c>
      <c r="C3253" s="1429" t="s">
        <v>5420</v>
      </c>
      <c r="D3253" s="1429" t="s">
        <v>5421</v>
      </c>
      <c r="E3253" s="1430" t="s">
        <v>5413</v>
      </c>
      <c r="F3253" s="1429" t="s">
        <v>5405</v>
      </c>
      <c r="G3253" s="1431" t="s">
        <v>868</v>
      </c>
      <c r="H3253" s="1194"/>
    </row>
    <row r="3254" spans="1:8" x14ac:dyDescent="0.25">
      <c r="A3254" s="1192"/>
      <c r="B3254" s="194" t="s">
        <v>6523</v>
      </c>
      <c r="C3254" s="345">
        <f>+VLOOKUP($B3254,'Mano de obra'!$A$5:$D$26,2,FALSE)</f>
        <v>57454</v>
      </c>
      <c r="D3254" s="345">
        <f>+VLOOKUP($B3254,'Mano de obra'!$A$5:$D$26,3,FALSE)</f>
        <v>35656</v>
      </c>
      <c r="E3254" s="345">
        <f>+VLOOKUP($B3254,'Mano de obra'!$A$5:$D$26,4,FALSE)</f>
        <v>93110</v>
      </c>
      <c r="F3254" s="1197">
        <v>20</v>
      </c>
      <c r="G3254" s="979">
        <f>IF(B3254="","",E3254/F3254)</f>
        <v>4655.5</v>
      </c>
      <c r="H3254" s="1194"/>
    </row>
    <row r="3255" spans="1:8" x14ac:dyDescent="0.25">
      <c r="A3255" s="1192"/>
      <c r="B3255" s="194" t="s">
        <v>6524</v>
      </c>
      <c r="C3255" s="345">
        <f>+VLOOKUP($B3255,'Mano de obra'!$A$5:$D$26,2,FALSE)</f>
        <v>44263.8</v>
      </c>
      <c r="D3255" s="345">
        <f>+VLOOKUP($B3255,'Mano de obra'!$A$5:$D$26,3,FALSE)</f>
        <v>27470</v>
      </c>
      <c r="E3255" s="345">
        <f>+VLOOKUP($B3255,'Mano de obra'!$A$5:$D$26,4,FALSE)</f>
        <v>71733.8</v>
      </c>
      <c r="F3255" s="1195">
        <v>1.5</v>
      </c>
      <c r="G3255" s="979">
        <f>IF(B3255="","",E3255/F3255)</f>
        <v>47822.533333333333</v>
      </c>
      <c r="H3255" s="1194"/>
    </row>
    <row r="3256" spans="1:8" x14ac:dyDescent="0.25">
      <c r="A3256" s="1192"/>
      <c r="B3256" s="195" t="s">
        <v>6525</v>
      </c>
      <c r="C3256" s="345">
        <f>+VLOOKUP($B3256,'Mano de obra'!$A$5:$D$26,2,FALSE)</f>
        <v>24591</v>
      </c>
      <c r="D3256" s="345">
        <f>+VLOOKUP($B3256,'Mano de obra'!$A$5:$D$26,3,FALSE)</f>
        <v>15261</v>
      </c>
      <c r="E3256" s="345">
        <f>+VLOOKUP($B3256,'Mano de obra'!$A$5:$D$26,4,FALSE)</f>
        <v>39852</v>
      </c>
      <c r="F3256" s="1198">
        <v>1.5</v>
      </c>
      <c r="G3256" s="979">
        <f>IF(B3256="","",E3256/F3256)</f>
        <v>26568</v>
      </c>
      <c r="H3256" s="1194"/>
    </row>
    <row r="3257" spans="1:8" x14ac:dyDescent="0.25">
      <c r="A3257" s="1192"/>
      <c r="B3257" s="1199"/>
      <c r="C3257" s="1216"/>
      <c r="D3257" s="1201"/>
      <c r="E3257" s="1201"/>
      <c r="F3257" s="1198"/>
      <c r="G3257" s="1217"/>
      <c r="H3257" s="1194"/>
    </row>
    <row r="3258" spans="1:8" ht="15.75" thickBot="1" x14ac:dyDescent="0.3">
      <c r="A3258" s="1192"/>
      <c r="B3258" s="1199"/>
      <c r="C3258" s="1201"/>
      <c r="D3258" s="1201"/>
      <c r="E3258" s="1201"/>
      <c r="F3258" s="1198"/>
      <c r="G3258" s="1217"/>
      <c r="H3258" s="1194"/>
    </row>
    <row r="3259" spans="1:8" ht="15.75" thickBot="1" x14ac:dyDescent="0.3">
      <c r="A3259" s="1192"/>
      <c r="B3259" s="1218"/>
      <c r="C3259" s="1219"/>
      <c r="D3259" s="1219"/>
      <c r="E3259" s="1219"/>
      <c r="F3259" s="1220"/>
      <c r="G3259" s="1221"/>
      <c r="H3259" s="1206">
        <f>+SUM(G3254:G3259)</f>
        <v>79046.033333333326</v>
      </c>
    </row>
    <row r="3260" spans="1:8" ht="15.75" thickBot="1" x14ac:dyDescent="0.3">
      <c r="A3260" s="1192"/>
      <c r="B3260" s="1192"/>
      <c r="C3260" s="1192"/>
      <c r="D3260" s="1192"/>
      <c r="E3260" s="1192"/>
      <c r="F3260" s="1191"/>
      <c r="G3260" s="1192"/>
      <c r="H3260" s="1192"/>
    </row>
    <row r="3261" spans="1:8" ht="15.75" thickBot="1" x14ac:dyDescent="0.3">
      <c r="A3261" s="1192"/>
      <c r="B3261" s="1192"/>
      <c r="C3261" s="1192"/>
      <c r="D3261" s="1192"/>
      <c r="E3261" s="1222" t="s">
        <v>5415</v>
      </c>
      <c r="F3261" s="1191"/>
      <c r="G3261" s="1192"/>
      <c r="H3261" s="1223">
        <f>ROUND(+H3228+H3244+H3251+H3259,0)</f>
        <v>104982</v>
      </c>
    </row>
    <row r="3262" spans="1:8" x14ac:dyDescent="0.25">
      <c r="A3262" s="1058"/>
      <c r="B3262" s="1058"/>
      <c r="C3262" s="1058"/>
      <c r="D3262" s="1058"/>
      <c r="E3262" s="1058"/>
      <c r="F3262" s="1058"/>
      <c r="G3262" s="1058"/>
      <c r="H3262" s="1058"/>
    </row>
    <row r="3263" spans="1:8" x14ac:dyDescent="0.25">
      <c r="A3263" s="1191"/>
      <c r="B3263" s="1192"/>
      <c r="C3263" s="1192"/>
      <c r="D3263" s="1192"/>
      <c r="E3263" s="1192"/>
      <c r="F3263" s="1191"/>
      <c r="G3263" s="1192"/>
      <c r="H3263" s="1192"/>
    </row>
    <row r="3264" spans="1:8" x14ac:dyDescent="0.25">
      <c r="A3264" s="673" t="s">
        <v>3</v>
      </c>
      <c r="B3264" s="1390" t="str">
        <f>+VLOOKUP(C3264,ListaAPUs!$B:$E,4,FALSE)</f>
        <v>4.2.28</v>
      </c>
      <c r="C3264" s="2449" t="str">
        <f>+ListaAPUs!B102</f>
        <v>INSTALACIÓN NIPLES PASAMURO EN  HD D=200 MM A 350 MM L=3 A 4M</v>
      </c>
      <c r="D3264" s="2449"/>
      <c r="E3264" s="2449"/>
      <c r="F3264" s="673" t="s">
        <v>867</v>
      </c>
      <c r="G3264" s="222" t="s">
        <v>5424</v>
      </c>
      <c r="H3264" s="1192"/>
    </row>
    <row r="3265" spans="1:8" x14ac:dyDescent="0.25">
      <c r="A3265" s="1191"/>
      <c r="B3265" s="1192"/>
      <c r="C3265" s="1192"/>
      <c r="D3265" s="1192"/>
      <c r="E3265" s="1192"/>
      <c r="F3265" s="1191"/>
      <c r="G3265" s="1192"/>
      <c r="H3265" s="1192"/>
    </row>
    <row r="3266" spans="1:8" x14ac:dyDescent="0.25">
      <c r="A3266" s="1191"/>
      <c r="B3266" s="1192"/>
      <c r="C3266" s="1192"/>
      <c r="D3266" s="1192"/>
      <c r="E3266" s="1192"/>
      <c r="F3266" s="1191"/>
      <c r="G3266" s="1193"/>
      <c r="H3266" s="1192"/>
    </row>
    <row r="3267" spans="1:8" ht="15.75" thickBot="1" x14ac:dyDescent="0.3">
      <c r="A3267" s="1191"/>
      <c r="B3267" s="1192"/>
      <c r="C3267" s="1192"/>
      <c r="D3267" s="1192"/>
      <c r="E3267" s="1192"/>
      <c r="F3267" s="1191"/>
      <c r="G3267" s="1192"/>
      <c r="H3267" s="1192"/>
    </row>
    <row r="3268" spans="1:8" ht="15.75" thickBot="1" x14ac:dyDescent="0.3">
      <c r="A3268" s="1191"/>
      <c r="B3268" s="1428" t="s">
        <v>5403</v>
      </c>
      <c r="C3268" s="1429" t="s">
        <v>867</v>
      </c>
      <c r="D3268" s="1429" t="s">
        <v>6</v>
      </c>
      <c r="E3268" s="1430" t="s">
        <v>5404</v>
      </c>
      <c r="F3268" s="1429" t="s">
        <v>5405</v>
      </c>
      <c r="G3268" s="1431" t="s">
        <v>868</v>
      </c>
      <c r="H3268" s="1194"/>
    </row>
    <row r="3269" spans="1:8" x14ac:dyDescent="0.25">
      <c r="A3269" s="1191"/>
      <c r="B3269" s="1199" t="s">
        <v>5455</v>
      </c>
      <c r="C3269" s="226" t="s">
        <v>7042</v>
      </c>
      <c r="D3269" s="1196">
        <v>1</v>
      </c>
      <c r="E3269" s="228">
        <f>+H3307</f>
        <v>97643.666666666672</v>
      </c>
      <c r="F3269" s="1197">
        <v>0.2</v>
      </c>
      <c r="G3269" s="979">
        <f>IF(B3269="","",PRODUCT(D3269:F3269))</f>
        <v>19528.733333333334</v>
      </c>
      <c r="H3269" s="1194"/>
    </row>
    <row r="3270" spans="1:8" x14ac:dyDescent="0.25">
      <c r="A3270" s="1191"/>
      <c r="B3270" s="1303" t="s">
        <v>6869</v>
      </c>
      <c r="C3270" s="1198"/>
      <c r="D3270" s="1198"/>
      <c r="E3270" s="975">
        <f>+VLOOKUP(B3270,Insumos!$A$2:$C$331,3,FALSE)</f>
        <v>202536</v>
      </c>
      <c r="F3270" s="1198">
        <v>0.06</v>
      </c>
      <c r="G3270" s="979">
        <f>IF(B3270="","",PRODUCT(D3270:F3270))</f>
        <v>12152.16</v>
      </c>
      <c r="H3270" s="1194"/>
    </row>
    <row r="3271" spans="1:8" x14ac:dyDescent="0.25">
      <c r="A3271" s="1191"/>
      <c r="B3271" s="763"/>
      <c r="C3271" s="1198"/>
      <c r="D3271" s="1198"/>
      <c r="E3271" s="1181"/>
      <c r="F3271" s="1198"/>
      <c r="G3271" s="979"/>
      <c r="H3271" s="1194"/>
    </row>
    <row r="3272" spans="1:8" x14ac:dyDescent="0.25">
      <c r="A3272" s="1191"/>
      <c r="B3272" s="1199"/>
      <c r="C3272" s="1198"/>
      <c r="D3272" s="1200"/>
      <c r="E3272" s="1201"/>
      <c r="F3272" s="1198"/>
      <c r="G3272" s="979"/>
      <c r="H3272" s="1194"/>
    </row>
    <row r="3273" spans="1:8" x14ac:dyDescent="0.25">
      <c r="A3273" s="1191"/>
      <c r="B3273" s="1199"/>
      <c r="C3273" s="1198"/>
      <c r="D3273" s="1200"/>
      <c r="E3273" s="1201"/>
      <c r="F3273" s="1198"/>
      <c r="G3273" s="979"/>
      <c r="H3273" s="1194"/>
    </row>
    <row r="3274" spans="1:8" x14ac:dyDescent="0.25">
      <c r="A3274" s="1191"/>
      <c r="B3274" s="1199"/>
      <c r="C3274" s="1198"/>
      <c r="D3274" s="1200"/>
      <c r="E3274" s="1201"/>
      <c r="F3274" s="1198"/>
      <c r="G3274" s="979"/>
      <c r="H3274" s="1194"/>
    </row>
    <row r="3275" spans="1:8" ht="15.75" thickBot="1" x14ac:dyDescent="0.3">
      <c r="A3275" s="1191"/>
      <c r="B3275" s="1199"/>
      <c r="C3275" s="1198"/>
      <c r="D3275" s="1200"/>
      <c r="E3275" s="1201"/>
      <c r="F3275" s="1198"/>
      <c r="G3275" s="979"/>
      <c r="H3275" s="1194"/>
    </row>
    <row r="3276" spans="1:8" ht="15.75" thickBot="1" x14ac:dyDescent="0.3">
      <c r="A3276" s="1191"/>
      <c r="B3276" s="1202"/>
      <c r="C3276" s="1203"/>
      <c r="D3276" s="1204"/>
      <c r="E3276" s="1205"/>
      <c r="F3276" s="1203"/>
      <c r="G3276" s="979"/>
      <c r="H3276" s="1206">
        <f>+SUM(G3269:G3276)</f>
        <v>31680.893333333333</v>
      </c>
    </row>
    <row r="3277" spans="1:8" ht="15.75" thickBot="1" x14ac:dyDescent="0.3">
      <c r="A3277" s="1191"/>
      <c r="B3277" s="1207"/>
      <c r="C3277" s="1208"/>
      <c r="D3277" s="1207"/>
      <c r="E3277" s="1209"/>
      <c r="F3277" s="1208"/>
      <c r="G3277" s="1210"/>
      <c r="H3277" s="1211"/>
    </row>
    <row r="3278" spans="1:8" ht="15.75" thickBot="1" x14ac:dyDescent="0.3">
      <c r="A3278" s="1192"/>
      <c r="B3278" s="1428" t="s">
        <v>5408</v>
      </c>
      <c r="C3278" s="1429" t="s">
        <v>867</v>
      </c>
      <c r="D3278" s="1429" t="s">
        <v>6</v>
      </c>
      <c r="E3278" s="1430" t="s">
        <v>870</v>
      </c>
      <c r="F3278" s="1429" t="s">
        <v>7040</v>
      </c>
      <c r="G3278" s="1431" t="s">
        <v>868</v>
      </c>
      <c r="H3278" s="1194"/>
    </row>
    <row r="3279" spans="1:8" x14ac:dyDescent="0.25">
      <c r="A3279" s="1192"/>
      <c r="B3279" s="1212"/>
      <c r="C3279" s="1195" t="str">
        <f t="shared" ref="C3279:C3292" si="76">IF(B3279="","",VLOOKUP(B3279,INSUMOS,2,FALSE))</f>
        <v/>
      </c>
      <c r="D3279" s="1195"/>
      <c r="E3279" s="1180"/>
      <c r="F3279" s="1195"/>
      <c r="G3279" s="979"/>
      <c r="H3279" s="1194"/>
    </row>
    <row r="3280" spans="1:8" x14ac:dyDescent="0.25">
      <c r="A3280" s="1192"/>
      <c r="B3280" s="1213"/>
      <c r="C3280" s="1198" t="str">
        <f t="shared" si="76"/>
        <v/>
      </c>
      <c r="D3280" s="1198"/>
      <c r="E3280" s="1181"/>
      <c r="F3280" s="1195"/>
      <c r="G3280" s="979"/>
      <c r="H3280" s="1194"/>
    </row>
    <row r="3281" spans="1:8" x14ac:dyDescent="0.25">
      <c r="A3281" s="1192"/>
      <c r="B3281" s="1213"/>
      <c r="C3281" s="1198" t="str">
        <f t="shared" si="76"/>
        <v/>
      </c>
      <c r="D3281" s="1198"/>
      <c r="E3281" s="1181"/>
      <c r="F3281" s="1195"/>
      <c r="G3281" s="979"/>
      <c r="H3281" s="1194"/>
    </row>
    <row r="3282" spans="1:8" x14ac:dyDescent="0.25">
      <c r="A3282" s="1192"/>
      <c r="B3282" s="1199"/>
      <c r="C3282" s="1198" t="str">
        <f t="shared" si="76"/>
        <v/>
      </c>
      <c r="D3282" s="1198"/>
      <c r="E3282" s="1180"/>
      <c r="F3282" s="1198"/>
      <c r="G3282" s="979"/>
      <c r="H3282" s="1194"/>
    </row>
    <row r="3283" spans="1:8" x14ac:dyDescent="0.25">
      <c r="A3283" s="1192"/>
      <c r="B3283" s="1199"/>
      <c r="C3283" s="1198" t="str">
        <f t="shared" si="76"/>
        <v/>
      </c>
      <c r="D3283" s="1198"/>
      <c r="E3283" s="1180"/>
      <c r="F3283" s="1198"/>
      <c r="G3283" s="979"/>
      <c r="H3283" s="1194"/>
    </row>
    <row r="3284" spans="1:8" x14ac:dyDescent="0.25">
      <c r="A3284" s="1192"/>
      <c r="B3284" s="1199"/>
      <c r="C3284" s="1198" t="str">
        <f t="shared" si="76"/>
        <v/>
      </c>
      <c r="D3284" s="1198"/>
      <c r="E3284" s="1180"/>
      <c r="F3284" s="1198"/>
      <c r="G3284" s="979"/>
      <c r="H3284" s="1194"/>
    </row>
    <row r="3285" spans="1:8" x14ac:dyDescent="0.25">
      <c r="A3285" s="1192"/>
      <c r="B3285" s="1199"/>
      <c r="C3285" s="1198" t="str">
        <f t="shared" si="76"/>
        <v/>
      </c>
      <c r="D3285" s="1198"/>
      <c r="E3285" s="1180"/>
      <c r="F3285" s="1198"/>
      <c r="G3285" s="979"/>
      <c r="H3285" s="1194"/>
    </row>
    <row r="3286" spans="1:8" x14ac:dyDescent="0.25">
      <c r="A3286" s="1192"/>
      <c r="B3286" s="1199"/>
      <c r="C3286" s="1198" t="str">
        <f t="shared" si="76"/>
        <v/>
      </c>
      <c r="D3286" s="1198"/>
      <c r="E3286" s="1180"/>
      <c r="F3286" s="1198"/>
      <c r="G3286" s="979"/>
      <c r="H3286" s="1194"/>
    </row>
    <row r="3287" spans="1:8" x14ac:dyDescent="0.25">
      <c r="A3287" s="1192"/>
      <c r="B3287" s="1199"/>
      <c r="C3287" s="1198" t="str">
        <f t="shared" si="76"/>
        <v/>
      </c>
      <c r="D3287" s="1198"/>
      <c r="E3287" s="1180"/>
      <c r="F3287" s="1198"/>
      <c r="G3287" s="979"/>
      <c r="H3287" s="1194"/>
    </row>
    <row r="3288" spans="1:8" x14ac:dyDescent="0.25">
      <c r="A3288" s="1192"/>
      <c r="B3288" s="1199"/>
      <c r="C3288" s="1198" t="str">
        <f t="shared" si="76"/>
        <v/>
      </c>
      <c r="D3288" s="1198"/>
      <c r="E3288" s="1180"/>
      <c r="F3288" s="1198"/>
      <c r="G3288" s="979"/>
      <c r="H3288" s="1194"/>
    </row>
    <row r="3289" spans="1:8" x14ac:dyDescent="0.25">
      <c r="A3289" s="1192"/>
      <c r="B3289" s="1199"/>
      <c r="C3289" s="1198" t="str">
        <f t="shared" si="76"/>
        <v/>
      </c>
      <c r="D3289" s="1198"/>
      <c r="E3289" s="1180"/>
      <c r="F3289" s="1198"/>
      <c r="G3289" s="979"/>
      <c r="H3289" s="1194"/>
    </row>
    <row r="3290" spans="1:8" x14ac:dyDescent="0.25">
      <c r="A3290" s="1192"/>
      <c r="B3290" s="1199"/>
      <c r="C3290" s="1200" t="str">
        <f t="shared" si="76"/>
        <v/>
      </c>
      <c r="D3290" s="1200"/>
      <c r="E3290" s="1201"/>
      <c r="F3290" s="1198"/>
      <c r="G3290" s="979"/>
      <c r="H3290" s="1194"/>
    </row>
    <row r="3291" spans="1:8" ht="15.75" thickBot="1" x14ac:dyDescent="0.3">
      <c r="A3291" s="1192"/>
      <c r="B3291" s="1199"/>
      <c r="C3291" s="1200" t="str">
        <f t="shared" si="76"/>
        <v/>
      </c>
      <c r="D3291" s="1200"/>
      <c r="E3291" s="1201"/>
      <c r="F3291" s="1198"/>
      <c r="G3291" s="979"/>
      <c r="H3291" s="1194"/>
    </row>
    <row r="3292" spans="1:8" ht="15.75" thickBot="1" x14ac:dyDescent="0.3">
      <c r="A3292" s="1192"/>
      <c r="B3292" s="1202"/>
      <c r="C3292" s="1204" t="str">
        <f t="shared" si="76"/>
        <v/>
      </c>
      <c r="D3292" s="1204"/>
      <c r="E3292" s="1205"/>
      <c r="F3292" s="1203"/>
      <c r="G3292" s="979"/>
      <c r="H3292" s="1206">
        <f>+SUM(G3279:G3292)</f>
        <v>0</v>
      </c>
    </row>
    <row r="3293" spans="1:8" ht="15.75" thickBot="1" x14ac:dyDescent="0.3">
      <c r="A3293" s="1192"/>
      <c r="B3293" s="1207"/>
      <c r="C3293" s="1207"/>
      <c r="D3293" s="1207"/>
      <c r="E3293" s="1209"/>
      <c r="F3293" s="1208"/>
      <c r="G3293" s="1210"/>
      <c r="H3293" s="1211"/>
    </row>
    <row r="3294" spans="1:8" ht="15.75" thickBot="1" x14ac:dyDescent="0.3">
      <c r="A3294" s="1192"/>
      <c r="B3294" s="1428" t="s">
        <v>5410</v>
      </c>
      <c r="C3294" s="1429" t="s">
        <v>867</v>
      </c>
      <c r="D3294" s="1429" t="s">
        <v>6</v>
      </c>
      <c r="E3294" s="1430" t="s">
        <v>870</v>
      </c>
      <c r="F3294" s="1429" t="s">
        <v>5411</v>
      </c>
      <c r="G3294" s="1431" t="s">
        <v>868</v>
      </c>
      <c r="H3294" s="1194"/>
    </row>
    <row r="3295" spans="1:8" x14ac:dyDescent="0.25">
      <c r="A3295" s="1192"/>
      <c r="B3295" s="1212"/>
      <c r="C3295" s="1195"/>
      <c r="D3295" s="1195"/>
      <c r="E3295" s="1180"/>
      <c r="F3295" s="1195"/>
      <c r="G3295" s="979"/>
      <c r="H3295" s="1194"/>
    </row>
    <row r="3296" spans="1:8" x14ac:dyDescent="0.25">
      <c r="A3296" s="1192"/>
      <c r="B3296" s="1213"/>
      <c r="C3296" s="1198"/>
      <c r="D3296" s="1198"/>
      <c r="E3296" s="1181"/>
      <c r="F3296" s="1198"/>
      <c r="G3296" s="979"/>
      <c r="H3296" s="1194"/>
    </row>
    <row r="3297" spans="1:8" x14ac:dyDescent="0.25">
      <c r="A3297" s="1192"/>
      <c r="B3297" s="1213"/>
      <c r="C3297" s="1198"/>
      <c r="D3297" s="1198"/>
      <c r="E3297" s="1180"/>
      <c r="F3297" s="1198"/>
      <c r="G3297" s="979"/>
      <c r="H3297" s="1194"/>
    </row>
    <row r="3298" spans="1:8" ht="15.75" thickBot="1" x14ac:dyDescent="0.3">
      <c r="A3298" s="1192"/>
      <c r="B3298" s="1199"/>
      <c r="C3298" s="1198"/>
      <c r="D3298" s="1198"/>
      <c r="E3298" s="1180"/>
      <c r="F3298" s="1198"/>
      <c r="G3298" s="979"/>
      <c r="H3298" s="1194"/>
    </row>
    <row r="3299" spans="1:8" ht="15.75" thickBot="1" x14ac:dyDescent="0.3">
      <c r="A3299" s="1192"/>
      <c r="B3299" s="1202"/>
      <c r="C3299" s="1204"/>
      <c r="D3299" s="1204"/>
      <c r="E3299" s="1205"/>
      <c r="F3299" s="1203"/>
      <c r="G3299" s="979"/>
      <c r="H3299" s="1206">
        <f>+SUM(G3295:G3299)</f>
        <v>0</v>
      </c>
    </row>
    <row r="3300" spans="1:8" ht="15.75" thickBot="1" x14ac:dyDescent="0.3">
      <c r="A3300" s="1192"/>
      <c r="B3300" s="1207"/>
      <c r="C3300" s="1207"/>
      <c r="D3300" s="1207"/>
      <c r="E3300" s="1209"/>
      <c r="F3300" s="1214"/>
      <c r="G3300" s="1215"/>
      <c r="H3300" s="1211"/>
    </row>
    <row r="3301" spans="1:8" ht="15.75" thickBot="1" x14ac:dyDescent="0.3">
      <c r="A3301" s="1192"/>
      <c r="B3301" s="1428" t="s">
        <v>5412</v>
      </c>
      <c r="C3301" s="1429" t="s">
        <v>5420</v>
      </c>
      <c r="D3301" s="1429" t="s">
        <v>5421</v>
      </c>
      <c r="E3301" s="1430" t="s">
        <v>5413</v>
      </c>
      <c r="F3301" s="1429" t="s">
        <v>5405</v>
      </c>
      <c r="G3301" s="1431" t="s">
        <v>868</v>
      </c>
      <c r="H3301" s="1194"/>
    </row>
    <row r="3302" spans="1:8" x14ac:dyDescent="0.25">
      <c r="A3302" s="1192"/>
      <c r="B3302" s="194" t="s">
        <v>6523</v>
      </c>
      <c r="C3302" s="345">
        <f>+VLOOKUP($B3302,'Mano de obra'!$A$5:$D$26,2,FALSE)</f>
        <v>57454</v>
      </c>
      <c r="D3302" s="345">
        <f>+VLOOKUP($B3302,'Mano de obra'!$A$5:$D$26,3,FALSE)</f>
        <v>35656</v>
      </c>
      <c r="E3302" s="345">
        <f>+VLOOKUP($B3302,'Mano de obra'!$A$5:$D$26,4,FALSE)</f>
        <v>93110</v>
      </c>
      <c r="F3302" s="1197">
        <v>20</v>
      </c>
      <c r="G3302" s="979">
        <f>IF(B3302="","",E3302/F3302)</f>
        <v>4655.5</v>
      </c>
      <c r="H3302" s="1194"/>
    </row>
    <row r="3303" spans="1:8" x14ac:dyDescent="0.25">
      <c r="A3303" s="1192"/>
      <c r="B3303" s="194" t="s">
        <v>6524</v>
      </c>
      <c r="C3303" s="345">
        <f>+VLOOKUP($B3303,'Mano de obra'!$A$5:$D$26,2,FALSE)</f>
        <v>44263.8</v>
      </c>
      <c r="D3303" s="345">
        <f>+VLOOKUP($B3303,'Mano de obra'!$A$5:$D$26,3,FALSE)</f>
        <v>27470</v>
      </c>
      <c r="E3303" s="345">
        <f>+VLOOKUP($B3303,'Mano de obra'!$A$5:$D$26,4,FALSE)</f>
        <v>71733.8</v>
      </c>
      <c r="F3303" s="1195">
        <v>1.2</v>
      </c>
      <c r="G3303" s="979">
        <f>IF(B3303="","",E3303/F3303)</f>
        <v>59778.166666666672</v>
      </c>
      <c r="H3303" s="1194"/>
    </row>
    <row r="3304" spans="1:8" x14ac:dyDescent="0.25">
      <c r="A3304" s="1192"/>
      <c r="B3304" s="195" t="s">
        <v>6525</v>
      </c>
      <c r="C3304" s="345">
        <f>+VLOOKUP($B3304,'Mano de obra'!$A$5:$D$26,2,FALSE)</f>
        <v>24591</v>
      </c>
      <c r="D3304" s="345">
        <f>+VLOOKUP($B3304,'Mano de obra'!$A$5:$D$26,3,FALSE)</f>
        <v>15261</v>
      </c>
      <c r="E3304" s="345">
        <f>+VLOOKUP($B3304,'Mano de obra'!$A$5:$D$26,4,FALSE)</f>
        <v>39852</v>
      </c>
      <c r="F3304" s="1198">
        <v>1.2</v>
      </c>
      <c r="G3304" s="979">
        <f>IF(B3304="","",E3304/F3304)</f>
        <v>33210</v>
      </c>
      <c r="H3304" s="1194"/>
    </row>
    <row r="3305" spans="1:8" x14ac:dyDescent="0.25">
      <c r="A3305" s="1192"/>
      <c r="B3305" s="1199"/>
      <c r="C3305" s="1216"/>
      <c r="D3305" s="1201"/>
      <c r="E3305" s="1201"/>
      <c r="F3305" s="1198"/>
      <c r="G3305" s="1217"/>
      <c r="H3305" s="1194"/>
    </row>
    <row r="3306" spans="1:8" ht="15.75" thickBot="1" x14ac:dyDescent="0.3">
      <c r="A3306" s="1192"/>
      <c r="B3306" s="1199"/>
      <c r="C3306" s="1201"/>
      <c r="D3306" s="1201"/>
      <c r="E3306" s="1201"/>
      <c r="F3306" s="1198"/>
      <c r="G3306" s="1217"/>
      <c r="H3306" s="1194"/>
    </row>
    <row r="3307" spans="1:8" ht="15.75" thickBot="1" x14ac:dyDescent="0.3">
      <c r="A3307" s="1192"/>
      <c r="B3307" s="1218"/>
      <c r="C3307" s="1219"/>
      <c r="D3307" s="1219"/>
      <c r="E3307" s="1219"/>
      <c r="F3307" s="1220"/>
      <c r="G3307" s="1221"/>
      <c r="H3307" s="1206">
        <f>+SUM(G3302:G3307)</f>
        <v>97643.666666666672</v>
      </c>
    </row>
    <row r="3308" spans="1:8" ht="15.75" thickBot="1" x14ac:dyDescent="0.3">
      <c r="A3308" s="1192"/>
      <c r="B3308" s="1192"/>
      <c r="C3308" s="1192"/>
      <c r="D3308" s="1192"/>
      <c r="E3308" s="1192"/>
      <c r="F3308" s="1191"/>
      <c r="G3308" s="1192"/>
      <c r="H3308" s="1192"/>
    </row>
    <row r="3309" spans="1:8" ht="15.75" thickBot="1" x14ac:dyDescent="0.3">
      <c r="A3309" s="1192"/>
      <c r="B3309" s="1192"/>
      <c r="C3309" s="1192"/>
      <c r="D3309" s="1192"/>
      <c r="E3309" s="1222" t="s">
        <v>5415</v>
      </c>
      <c r="F3309" s="1191"/>
      <c r="G3309" s="1192"/>
      <c r="H3309" s="1223">
        <f>ROUND(+H3276+H3292+H3299+H3307,0)</f>
        <v>129325</v>
      </c>
    </row>
    <row r="3310" spans="1:8" x14ac:dyDescent="0.25">
      <c r="A3310" s="1058"/>
      <c r="B3310" s="1058"/>
      <c r="C3310" s="1058"/>
      <c r="D3310" s="1058"/>
      <c r="E3310" s="1058"/>
      <c r="F3310" s="1058"/>
      <c r="G3310" s="1058"/>
      <c r="H3310" s="1058"/>
    </row>
    <row r="3311" spans="1:8" x14ac:dyDescent="0.25">
      <c r="A3311" s="1191"/>
      <c r="B3311" s="1192"/>
      <c r="C3311" s="1192"/>
      <c r="D3311" s="1192"/>
      <c r="E3311" s="1192"/>
      <c r="F3311" s="1191"/>
      <c r="G3311" s="1192"/>
      <c r="H3311" s="1192"/>
    </row>
    <row r="3312" spans="1:8" ht="30" customHeight="1" x14ac:dyDescent="0.25">
      <c r="A3312" s="673" t="s">
        <v>3</v>
      </c>
      <c r="B3312" s="1390" t="str">
        <f>+VLOOKUP(C3312,ListaAPUs!$B:$E,4,FALSE)</f>
        <v>4.2.29</v>
      </c>
      <c r="C3312" s="2449" t="str">
        <f>+ListaAPUs!B103</f>
        <v>INSTALACIÓN NIPLES PASAMURO EN  HD D=400 MM A 500 MM L=0 A 1M</v>
      </c>
      <c r="D3312" s="2449"/>
      <c r="E3312" s="2449"/>
      <c r="F3312" s="673" t="s">
        <v>867</v>
      </c>
      <c r="G3312" s="222" t="s">
        <v>5424</v>
      </c>
      <c r="H3312" s="1192"/>
    </row>
    <row r="3313" spans="1:8" x14ac:dyDescent="0.25">
      <c r="A3313" s="1191"/>
      <c r="B3313" s="1192"/>
      <c r="C3313" s="1192"/>
      <c r="D3313" s="1192"/>
      <c r="E3313" s="1192"/>
      <c r="F3313" s="1191"/>
      <c r="G3313" s="1192"/>
      <c r="H3313" s="1192"/>
    </row>
    <row r="3314" spans="1:8" x14ac:dyDescent="0.25">
      <c r="A3314" s="1191"/>
      <c r="B3314" s="1192"/>
      <c r="C3314" s="1192"/>
      <c r="D3314" s="1192"/>
      <c r="E3314" s="1192"/>
      <c r="F3314" s="1191"/>
      <c r="G3314" s="1193"/>
      <c r="H3314" s="1192"/>
    </row>
    <row r="3315" spans="1:8" ht="15.75" thickBot="1" x14ac:dyDescent="0.3">
      <c r="A3315" s="1191"/>
      <c r="B3315" s="1192"/>
      <c r="C3315" s="1192"/>
      <c r="D3315" s="1192"/>
      <c r="E3315" s="1192"/>
      <c r="F3315" s="1191"/>
      <c r="G3315" s="1192"/>
      <c r="H3315" s="1192"/>
    </row>
    <row r="3316" spans="1:8" ht="15.75" thickBot="1" x14ac:dyDescent="0.3">
      <c r="A3316" s="1191"/>
      <c r="B3316" s="1428" t="s">
        <v>5403</v>
      </c>
      <c r="C3316" s="1429" t="s">
        <v>867</v>
      </c>
      <c r="D3316" s="1429" t="s">
        <v>6</v>
      </c>
      <c r="E3316" s="1430" t="s">
        <v>5404</v>
      </c>
      <c r="F3316" s="1429" t="s">
        <v>5405</v>
      </c>
      <c r="G3316" s="1431" t="s">
        <v>868</v>
      </c>
      <c r="H3316" s="1194"/>
    </row>
    <row r="3317" spans="1:8" x14ac:dyDescent="0.25">
      <c r="A3317" s="1191"/>
      <c r="B3317" s="757" t="s">
        <v>5455</v>
      </c>
      <c r="C3317" s="226" t="s">
        <v>7042</v>
      </c>
      <c r="D3317" s="1196">
        <v>1</v>
      </c>
      <c r="E3317" s="228">
        <f>+H3355</f>
        <v>97643.666666666672</v>
      </c>
      <c r="F3317" s="1197">
        <v>0.2</v>
      </c>
      <c r="G3317" s="979">
        <f t="shared" ref="G3317:G3324" si="77">IF(B3317="","",PRODUCT(D3317:F3317))</f>
        <v>19528.733333333334</v>
      </c>
      <c r="H3317" s="1194"/>
    </row>
    <row r="3318" spans="1:8" x14ac:dyDescent="0.25">
      <c r="A3318" s="1191"/>
      <c r="B3318" s="1303" t="s">
        <v>6869</v>
      </c>
      <c r="C3318" s="1198"/>
      <c r="D3318" s="1198"/>
      <c r="E3318" s="975">
        <f>+VLOOKUP(B3318,Insumos!$A$2:$C$331,3,FALSE)</f>
        <v>202536</v>
      </c>
      <c r="F3318" s="1198">
        <v>0.08</v>
      </c>
      <c r="G3318" s="979">
        <f t="shared" si="77"/>
        <v>16202.880000000001</v>
      </c>
      <c r="H3318" s="1194"/>
    </row>
    <row r="3319" spans="1:8" x14ac:dyDescent="0.25">
      <c r="A3319" s="1191"/>
      <c r="B3319" s="763"/>
      <c r="C3319" s="1198" t="str">
        <f t="shared" ref="C3319:C3324" si="78">IF(B3319="","",VLOOKUP(B3319,INSUMOS,2,FALSE))</f>
        <v/>
      </c>
      <c r="D3319" s="1198"/>
      <c r="E3319" s="1181" t="str">
        <f t="shared" ref="E3319:E3324" si="79">IF(B3319="","",IF(C3319="%mo",$K$50,VLOOKUP(B3319,INSUMOS,3,FALSE)))</f>
        <v/>
      </c>
      <c r="F3319" s="1198"/>
      <c r="G3319" s="979" t="str">
        <f t="shared" si="77"/>
        <v/>
      </c>
      <c r="H3319" s="1194"/>
    </row>
    <row r="3320" spans="1:8" x14ac:dyDescent="0.25">
      <c r="A3320" s="1191"/>
      <c r="B3320" s="1199"/>
      <c r="C3320" s="1198" t="str">
        <f t="shared" si="78"/>
        <v/>
      </c>
      <c r="D3320" s="1200"/>
      <c r="E3320" s="1201" t="str">
        <f t="shared" si="79"/>
        <v/>
      </c>
      <c r="F3320" s="1198"/>
      <c r="G3320" s="979" t="str">
        <f t="shared" si="77"/>
        <v/>
      </c>
      <c r="H3320" s="1194"/>
    </row>
    <row r="3321" spans="1:8" x14ac:dyDescent="0.25">
      <c r="A3321" s="1191"/>
      <c r="B3321" s="1199"/>
      <c r="C3321" s="1198" t="str">
        <f t="shared" si="78"/>
        <v/>
      </c>
      <c r="D3321" s="1200"/>
      <c r="E3321" s="1201" t="str">
        <f t="shared" si="79"/>
        <v/>
      </c>
      <c r="F3321" s="1198"/>
      <c r="G3321" s="979" t="str">
        <f t="shared" si="77"/>
        <v/>
      </c>
      <c r="H3321" s="1194"/>
    </row>
    <row r="3322" spans="1:8" x14ac:dyDescent="0.25">
      <c r="A3322" s="1191"/>
      <c r="B3322" s="1199"/>
      <c r="C3322" s="1198" t="str">
        <f t="shared" si="78"/>
        <v/>
      </c>
      <c r="D3322" s="1200"/>
      <c r="E3322" s="1201" t="str">
        <f t="shared" si="79"/>
        <v/>
      </c>
      <c r="F3322" s="1198"/>
      <c r="G3322" s="979" t="str">
        <f t="shared" si="77"/>
        <v/>
      </c>
      <c r="H3322" s="1194"/>
    </row>
    <row r="3323" spans="1:8" ht="15.75" thickBot="1" x14ac:dyDescent="0.3">
      <c r="A3323" s="1191"/>
      <c r="B3323" s="1199"/>
      <c r="C3323" s="1198" t="str">
        <f t="shared" si="78"/>
        <v/>
      </c>
      <c r="D3323" s="1200"/>
      <c r="E3323" s="1201" t="str">
        <f t="shared" si="79"/>
        <v/>
      </c>
      <c r="F3323" s="1198"/>
      <c r="G3323" s="979" t="str">
        <f t="shared" si="77"/>
        <v/>
      </c>
      <c r="H3323" s="1194"/>
    </row>
    <row r="3324" spans="1:8" ht="15.75" thickBot="1" x14ac:dyDescent="0.3">
      <c r="A3324" s="1191"/>
      <c r="B3324" s="1202"/>
      <c r="C3324" s="1203" t="str">
        <f t="shared" si="78"/>
        <v/>
      </c>
      <c r="D3324" s="1204"/>
      <c r="E3324" s="1205" t="str">
        <f t="shared" si="79"/>
        <v/>
      </c>
      <c r="F3324" s="1203"/>
      <c r="G3324" s="979" t="str">
        <f t="shared" si="77"/>
        <v/>
      </c>
      <c r="H3324" s="1206">
        <f>+SUM(G3317:G3324)</f>
        <v>35731.613333333335</v>
      </c>
    </row>
    <row r="3325" spans="1:8" ht="15.75" thickBot="1" x14ac:dyDescent="0.3">
      <c r="A3325" s="1191"/>
      <c r="B3325" s="1207"/>
      <c r="C3325" s="1208"/>
      <c r="D3325" s="1207"/>
      <c r="E3325" s="1209"/>
      <c r="F3325" s="1208"/>
      <c r="G3325" s="1210"/>
      <c r="H3325" s="1211"/>
    </row>
    <row r="3326" spans="1:8" ht="15.75" thickBot="1" x14ac:dyDescent="0.3">
      <c r="A3326" s="1192"/>
      <c r="B3326" s="1428" t="s">
        <v>5408</v>
      </c>
      <c r="C3326" s="1429" t="s">
        <v>867</v>
      </c>
      <c r="D3326" s="1429" t="s">
        <v>6</v>
      </c>
      <c r="E3326" s="1430" t="s">
        <v>870</v>
      </c>
      <c r="F3326" s="1429" t="s">
        <v>7040</v>
      </c>
      <c r="G3326" s="1431" t="s">
        <v>868</v>
      </c>
      <c r="H3326" s="1194"/>
    </row>
    <row r="3327" spans="1:8" x14ac:dyDescent="0.25">
      <c r="A3327" s="1192"/>
      <c r="B3327" s="1212"/>
      <c r="C3327" s="1195" t="str">
        <f t="shared" ref="C3327:C3340" si="80">IF(B3327="","",VLOOKUP(B3327,INSUMOS,2,FALSE))</f>
        <v/>
      </c>
      <c r="D3327" s="1195"/>
      <c r="E3327" s="1180" t="str">
        <f t="shared" ref="E3327:E3340" si="81">IF(B3327="","",VLOOKUP(B3327,INSUMOS,3,FALSE))</f>
        <v/>
      </c>
      <c r="F3327" s="1195"/>
      <c r="G3327" s="979" t="str">
        <f t="shared" ref="G3327:G3340" si="82">IF(B3327="","",PRODUCT(D3327:F3327))</f>
        <v/>
      </c>
      <c r="H3327" s="1194"/>
    </row>
    <row r="3328" spans="1:8" x14ac:dyDescent="0.25">
      <c r="A3328" s="1192"/>
      <c r="B3328" s="1213"/>
      <c r="C3328" s="1198" t="str">
        <f t="shared" si="80"/>
        <v/>
      </c>
      <c r="D3328" s="1198"/>
      <c r="E3328" s="1181" t="str">
        <f t="shared" si="81"/>
        <v/>
      </c>
      <c r="F3328" s="1195"/>
      <c r="G3328" s="979" t="str">
        <f t="shared" si="82"/>
        <v/>
      </c>
      <c r="H3328" s="1194"/>
    </row>
    <row r="3329" spans="1:8" x14ac:dyDescent="0.25">
      <c r="A3329" s="1192"/>
      <c r="B3329" s="1213"/>
      <c r="C3329" s="1198" t="str">
        <f t="shared" si="80"/>
        <v/>
      </c>
      <c r="D3329" s="1198"/>
      <c r="E3329" s="1181" t="str">
        <f t="shared" si="81"/>
        <v/>
      </c>
      <c r="F3329" s="1195"/>
      <c r="G3329" s="979" t="str">
        <f t="shared" si="82"/>
        <v/>
      </c>
      <c r="H3329" s="1194"/>
    </row>
    <row r="3330" spans="1:8" x14ac:dyDescent="0.25">
      <c r="A3330" s="1192"/>
      <c r="B3330" s="1199"/>
      <c r="C3330" s="1198" t="str">
        <f t="shared" si="80"/>
        <v/>
      </c>
      <c r="D3330" s="1198"/>
      <c r="E3330" s="1180" t="str">
        <f t="shared" si="81"/>
        <v/>
      </c>
      <c r="F3330" s="1198"/>
      <c r="G3330" s="979" t="str">
        <f t="shared" si="82"/>
        <v/>
      </c>
      <c r="H3330" s="1194"/>
    </row>
    <row r="3331" spans="1:8" x14ac:dyDescent="0.25">
      <c r="A3331" s="1192"/>
      <c r="B3331" s="1199"/>
      <c r="C3331" s="1198" t="str">
        <f t="shared" si="80"/>
        <v/>
      </c>
      <c r="D3331" s="1198"/>
      <c r="E3331" s="1180" t="str">
        <f t="shared" si="81"/>
        <v/>
      </c>
      <c r="F3331" s="1198"/>
      <c r="G3331" s="979" t="str">
        <f t="shared" si="82"/>
        <v/>
      </c>
      <c r="H3331" s="1194"/>
    </row>
    <row r="3332" spans="1:8" x14ac:dyDescent="0.25">
      <c r="A3332" s="1192"/>
      <c r="B3332" s="1199"/>
      <c r="C3332" s="1198" t="str">
        <f t="shared" si="80"/>
        <v/>
      </c>
      <c r="D3332" s="1198"/>
      <c r="E3332" s="1180" t="str">
        <f t="shared" si="81"/>
        <v/>
      </c>
      <c r="F3332" s="1198"/>
      <c r="G3332" s="979" t="str">
        <f t="shared" si="82"/>
        <v/>
      </c>
      <c r="H3332" s="1194"/>
    </row>
    <row r="3333" spans="1:8" x14ac:dyDescent="0.25">
      <c r="A3333" s="1192"/>
      <c r="B3333" s="1199"/>
      <c r="C3333" s="1198" t="str">
        <f t="shared" si="80"/>
        <v/>
      </c>
      <c r="D3333" s="1198"/>
      <c r="E3333" s="1180" t="str">
        <f t="shared" si="81"/>
        <v/>
      </c>
      <c r="F3333" s="1198"/>
      <c r="G3333" s="979" t="str">
        <f t="shared" si="82"/>
        <v/>
      </c>
      <c r="H3333" s="1194"/>
    </row>
    <row r="3334" spans="1:8" x14ac:dyDescent="0.25">
      <c r="A3334" s="1192"/>
      <c r="B3334" s="1199"/>
      <c r="C3334" s="1198" t="str">
        <f t="shared" si="80"/>
        <v/>
      </c>
      <c r="D3334" s="1198"/>
      <c r="E3334" s="1180" t="str">
        <f t="shared" si="81"/>
        <v/>
      </c>
      <c r="F3334" s="1198"/>
      <c r="G3334" s="979" t="str">
        <f t="shared" si="82"/>
        <v/>
      </c>
      <c r="H3334" s="1194"/>
    </row>
    <row r="3335" spans="1:8" x14ac:dyDescent="0.25">
      <c r="A3335" s="1192"/>
      <c r="B3335" s="1199"/>
      <c r="C3335" s="1198" t="str">
        <f t="shared" si="80"/>
        <v/>
      </c>
      <c r="D3335" s="1198"/>
      <c r="E3335" s="1180" t="str">
        <f t="shared" si="81"/>
        <v/>
      </c>
      <c r="F3335" s="1198"/>
      <c r="G3335" s="979" t="str">
        <f t="shared" si="82"/>
        <v/>
      </c>
      <c r="H3335" s="1194"/>
    </row>
    <row r="3336" spans="1:8" x14ac:dyDescent="0.25">
      <c r="A3336" s="1192"/>
      <c r="B3336" s="1199"/>
      <c r="C3336" s="1198" t="str">
        <f t="shared" si="80"/>
        <v/>
      </c>
      <c r="D3336" s="1198"/>
      <c r="E3336" s="1180" t="str">
        <f t="shared" si="81"/>
        <v/>
      </c>
      <c r="F3336" s="1198"/>
      <c r="G3336" s="979" t="str">
        <f t="shared" si="82"/>
        <v/>
      </c>
      <c r="H3336" s="1194"/>
    </row>
    <row r="3337" spans="1:8" x14ac:dyDescent="0.25">
      <c r="A3337" s="1192"/>
      <c r="B3337" s="1199"/>
      <c r="C3337" s="1198" t="str">
        <f t="shared" si="80"/>
        <v/>
      </c>
      <c r="D3337" s="1198"/>
      <c r="E3337" s="1180" t="str">
        <f t="shared" si="81"/>
        <v/>
      </c>
      <c r="F3337" s="1198"/>
      <c r="G3337" s="979" t="str">
        <f t="shared" si="82"/>
        <v/>
      </c>
      <c r="H3337" s="1194"/>
    </row>
    <row r="3338" spans="1:8" x14ac:dyDescent="0.25">
      <c r="A3338" s="1192"/>
      <c r="B3338" s="1199"/>
      <c r="C3338" s="1200" t="str">
        <f t="shared" si="80"/>
        <v/>
      </c>
      <c r="D3338" s="1200"/>
      <c r="E3338" s="1201" t="str">
        <f t="shared" si="81"/>
        <v/>
      </c>
      <c r="F3338" s="1198"/>
      <c r="G3338" s="979" t="str">
        <f t="shared" si="82"/>
        <v/>
      </c>
      <c r="H3338" s="1194"/>
    </row>
    <row r="3339" spans="1:8" ht="15.75" thickBot="1" x14ac:dyDescent="0.3">
      <c r="A3339" s="1192"/>
      <c r="B3339" s="1199"/>
      <c r="C3339" s="1200" t="str">
        <f t="shared" si="80"/>
        <v/>
      </c>
      <c r="D3339" s="1200"/>
      <c r="E3339" s="1201" t="str">
        <f t="shared" si="81"/>
        <v/>
      </c>
      <c r="F3339" s="1198"/>
      <c r="G3339" s="979" t="str">
        <f t="shared" si="82"/>
        <v/>
      </c>
      <c r="H3339" s="1194"/>
    </row>
    <row r="3340" spans="1:8" ht="15.75" thickBot="1" x14ac:dyDescent="0.3">
      <c r="A3340" s="1192"/>
      <c r="B3340" s="1202"/>
      <c r="C3340" s="1204" t="str">
        <f t="shared" si="80"/>
        <v/>
      </c>
      <c r="D3340" s="1204"/>
      <c r="E3340" s="1205" t="str">
        <f t="shared" si="81"/>
        <v/>
      </c>
      <c r="F3340" s="1203"/>
      <c r="G3340" s="979" t="str">
        <f t="shared" si="82"/>
        <v/>
      </c>
      <c r="H3340" s="1206">
        <f>+SUM(G3327:G3340)</f>
        <v>0</v>
      </c>
    </row>
    <row r="3341" spans="1:8" ht="15.75" thickBot="1" x14ac:dyDescent="0.3">
      <c r="A3341" s="1192"/>
      <c r="B3341" s="1207"/>
      <c r="C3341" s="1207"/>
      <c r="D3341" s="1207"/>
      <c r="E3341" s="1209"/>
      <c r="F3341" s="1208"/>
      <c r="G3341" s="1210"/>
      <c r="H3341" s="1211"/>
    </row>
    <row r="3342" spans="1:8" ht="15.75" thickBot="1" x14ac:dyDescent="0.3">
      <c r="A3342" s="1192"/>
      <c r="B3342" s="1428" t="s">
        <v>5410</v>
      </c>
      <c r="C3342" s="1429" t="s">
        <v>867</v>
      </c>
      <c r="D3342" s="1429" t="s">
        <v>6</v>
      </c>
      <c r="E3342" s="1430" t="s">
        <v>870</v>
      </c>
      <c r="F3342" s="1429" t="s">
        <v>5411</v>
      </c>
      <c r="G3342" s="1431" t="s">
        <v>868</v>
      </c>
      <c r="H3342" s="1194"/>
    </row>
    <row r="3343" spans="1:8" x14ac:dyDescent="0.25">
      <c r="A3343" s="1192"/>
      <c r="B3343" s="1212"/>
      <c r="C3343" s="1195" t="str">
        <f>IF(B3343="","",VLOOKUP(B3343,INSUMOS,2,FALSE))</f>
        <v/>
      </c>
      <c r="D3343" s="1195"/>
      <c r="E3343" s="1180" t="str">
        <f>IF(B3343="","",VLOOKUP(B3343,INSUMOS,3,FALSE))</f>
        <v/>
      </c>
      <c r="F3343" s="1195"/>
      <c r="G3343" s="979" t="str">
        <f>IF(B3343="","",PRODUCT(D3343:F3343))</f>
        <v/>
      </c>
      <c r="H3343" s="1194"/>
    </row>
    <row r="3344" spans="1:8" x14ac:dyDescent="0.25">
      <c r="A3344" s="1192"/>
      <c r="B3344" s="1213"/>
      <c r="C3344" s="1198" t="str">
        <f>IF(B3344="","",VLOOKUP(B3344,INSUMOS,2,FALSE))</f>
        <v/>
      </c>
      <c r="D3344" s="1198"/>
      <c r="E3344" s="1181" t="str">
        <f>IF(B3344="","",VLOOKUP(B3344,INSUMOS,3,FALSE))</f>
        <v/>
      </c>
      <c r="F3344" s="1198"/>
      <c r="G3344" s="979" t="str">
        <f>IF(B3344="","",PRODUCT(D3344:F3344))</f>
        <v/>
      </c>
      <c r="H3344" s="1194"/>
    </row>
    <row r="3345" spans="1:8" x14ac:dyDescent="0.25">
      <c r="A3345" s="1192"/>
      <c r="B3345" s="1213"/>
      <c r="C3345" s="1198" t="str">
        <f>IF(B3345="","",VLOOKUP(B3345,INSUMOS,2,FALSE))</f>
        <v/>
      </c>
      <c r="D3345" s="1198"/>
      <c r="E3345" s="1180" t="str">
        <f>IF(B3345="","",VLOOKUP(B3345,INSUMOS,3,FALSE))</f>
        <v/>
      </c>
      <c r="F3345" s="1198"/>
      <c r="G3345" s="979" t="str">
        <f>IF(B3345="","",PRODUCT(D3345:F3345))</f>
        <v/>
      </c>
      <c r="H3345" s="1194"/>
    </row>
    <row r="3346" spans="1:8" ht="15.75" thickBot="1" x14ac:dyDescent="0.3">
      <c r="A3346" s="1192"/>
      <c r="B3346" s="1199"/>
      <c r="C3346" s="1198" t="str">
        <f>IF(B3346="","",VLOOKUP(B3346,INSUMOS,2,FALSE))</f>
        <v/>
      </c>
      <c r="D3346" s="1198"/>
      <c r="E3346" s="1180" t="str">
        <f>IF(B3346="","",VLOOKUP(B3346,INSUMOS,3,FALSE))</f>
        <v/>
      </c>
      <c r="F3346" s="1198"/>
      <c r="G3346" s="979" t="str">
        <f>IF(B3346="","",PRODUCT(D3346:F3346))</f>
        <v/>
      </c>
      <c r="H3346" s="1194"/>
    </row>
    <row r="3347" spans="1:8" ht="15.75" thickBot="1" x14ac:dyDescent="0.3">
      <c r="A3347" s="1192"/>
      <c r="B3347" s="1202"/>
      <c r="C3347" s="1204" t="str">
        <f>IF(B3347="","",VLOOKUP(B3347,INSUMOS,2,FALSE))</f>
        <v/>
      </c>
      <c r="D3347" s="1204"/>
      <c r="E3347" s="1205" t="str">
        <f>IF(B3347="","",VLOOKUP(B3347,INSUMOS,3,FALSE))</f>
        <v/>
      </c>
      <c r="F3347" s="1203"/>
      <c r="G3347" s="979" t="str">
        <f>IF(B3347="","",PRODUCT(D3347:F3347))</f>
        <v/>
      </c>
      <c r="H3347" s="1206">
        <f>+SUM(G3343:G3347)</f>
        <v>0</v>
      </c>
    </row>
    <row r="3348" spans="1:8" ht="15.75" thickBot="1" x14ac:dyDescent="0.3">
      <c r="A3348" s="1192"/>
      <c r="B3348" s="1207"/>
      <c r="C3348" s="1207"/>
      <c r="D3348" s="1207"/>
      <c r="E3348" s="1209"/>
      <c r="F3348" s="1214"/>
      <c r="G3348" s="1215"/>
      <c r="H3348" s="1211"/>
    </row>
    <row r="3349" spans="1:8" ht="15.75" thickBot="1" x14ac:dyDescent="0.3">
      <c r="A3349" s="1192"/>
      <c r="B3349" s="1428" t="s">
        <v>5412</v>
      </c>
      <c r="C3349" s="1429" t="s">
        <v>5420</v>
      </c>
      <c r="D3349" s="1429" t="s">
        <v>5421</v>
      </c>
      <c r="E3349" s="1430" t="s">
        <v>5413</v>
      </c>
      <c r="F3349" s="1429" t="s">
        <v>5405</v>
      </c>
      <c r="G3349" s="1431" t="s">
        <v>868</v>
      </c>
      <c r="H3349" s="1194"/>
    </row>
    <row r="3350" spans="1:8" x14ac:dyDescent="0.25">
      <c r="A3350" s="1192"/>
      <c r="B3350" s="194" t="s">
        <v>6523</v>
      </c>
      <c r="C3350" s="345">
        <f>+VLOOKUP($B3350,'Mano de obra'!$A$5:$D$26,2,FALSE)</f>
        <v>57454</v>
      </c>
      <c r="D3350" s="345">
        <f>+VLOOKUP($B3350,'Mano de obra'!$A$5:$D$26,3,FALSE)</f>
        <v>35656</v>
      </c>
      <c r="E3350" s="345">
        <f>+VLOOKUP($B3350,'Mano de obra'!$A$5:$D$26,4,FALSE)</f>
        <v>93110</v>
      </c>
      <c r="F3350" s="1197">
        <v>20</v>
      </c>
      <c r="G3350" s="979">
        <f>IF(B3350="","",E3350/F3350)</f>
        <v>4655.5</v>
      </c>
      <c r="H3350" s="1194"/>
    </row>
    <row r="3351" spans="1:8" x14ac:dyDescent="0.25">
      <c r="A3351" s="1192"/>
      <c r="B3351" s="194" t="s">
        <v>6524</v>
      </c>
      <c r="C3351" s="345">
        <f>+VLOOKUP($B3351,'Mano de obra'!$A$5:$D$26,2,FALSE)</f>
        <v>44263.8</v>
      </c>
      <c r="D3351" s="345">
        <f>+VLOOKUP($B3351,'Mano de obra'!$A$5:$D$26,3,FALSE)</f>
        <v>27470</v>
      </c>
      <c r="E3351" s="345">
        <f>+VLOOKUP($B3351,'Mano de obra'!$A$5:$D$26,4,FALSE)</f>
        <v>71733.8</v>
      </c>
      <c r="F3351" s="1195">
        <v>1.2</v>
      </c>
      <c r="G3351" s="979">
        <f>IF(B3351="","",E3351/F3351)</f>
        <v>59778.166666666672</v>
      </c>
      <c r="H3351" s="1194"/>
    </row>
    <row r="3352" spans="1:8" x14ac:dyDescent="0.25">
      <c r="A3352" s="1192"/>
      <c r="B3352" s="195" t="s">
        <v>6525</v>
      </c>
      <c r="C3352" s="345">
        <f>+VLOOKUP($B3352,'Mano de obra'!$A$5:$D$26,2,FALSE)</f>
        <v>24591</v>
      </c>
      <c r="D3352" s="345">
        <f>+VLOOKUP($B3352,'Mano de obra'!$A$5:$D$26,3,FALSE)</f>
        <v>15261</v>
      </c>
      <c r="E3352" s="345">
        <f>+VLOOKUP($B3352,'Mano de obra'!$A$5:$D$26,4,FALSE)</f>
        <v>39852</v>
      </c>
      <c r="F3352" s="1198">
        <v>1.2</v>
      </c>
      <c r="G3352" s="979">
        <f>IF(B3352="","",E3352/F3352)</f>
        <v>33210</v>
      </c>
      <c r="H3352" s="1194"/>
    </row>
    <row r="3353" spans="1:8" x14ac:dyDescent="0.25">
      <c r="A3353" s="1192"/>
      <c r="B3353" s="1199"/>
      <c r="C3353" s="1216"/>
      <c r="D3353" s="1201"/>
      <c r="E3353" s="1201"/>
      <c r="F3353" s="1198"/>
      <c r="G3353" s="1217"/>
      <c r="H3353" s="1194"/>
    </row>
    <row r="3354" spans="1:8" ht="15.75" thickBot="1" x14ac:dyDescent="0.3">
      <c r="A3354" s="1192"/>
      <c r="B3354" s="1199"/>
      <c r="C3354" s="1201"/>
      <c r="D3354" s="1201"/>
      <c r="E3354" s="1201"/>
      <c r="F3354" s="1198"/>
      <c r="G3354" s="1217"/>
      <c r="H3354" s="1194"/>
    </row>
    <row r="3355" spans="1:8" ht="15.75" thickBot="1" x14ac:dyDescent="0.3">
      <c r="A3355" s="1192"/>
      <c r="B3355" s="1218"/>
      <c r="C3355" s="1219"/>
      <c r="D3355" s="1219"/>
      <c r="E3355" s="1219"/>
      <c r="F3355" s="1220"/>
      <c r="G3355" s="1221"/>
      <c r="H3355" s="1206">
        <f>+SUM(G3350:G3355)</f>
        <v>97643.666666666672</v>
      </c>
    </row>
    <row r="3356" spans="1:8" ht="15.75" thickBot="1" x14ac:dyDescent="0.3">
      <c r="A3356" s="1192"/>
      <c r="B3356" s="1192"/>
      <c r="C3356" s="1192"/>
      <c r="D3356" s="1192"/>
      <c r="E3356" s="1192"/>
      <c r="F3356" s="1191"/>
      <c r="G3356" s="1192"/>
      <c r="H3356" s="1192"/>
    </row>
    <row r="3357" spans="1:8" ht="15.75" thickBot="1" x14ac:dyDescent="0.3">
      <c r="A3357" s="1192"/>
      <c r="B3357" s="1192"/>
      <c r="C3357" s="1192"/>
      <c r="D3357" s="1192"/>
      <c r="E3357" s="1222" t="s">
        <v>5415</v>
      </c>
      <c r="F3357" s="1191"/>
      <c r="G3357" s="1192"/>
      <c r="H3357" s="1223">
        <f>ROUND(+H3324+H3340+H3347+H3355,0)</f>
        <v>133375</v>
      </c>
    </row>
    <row r="3358" spans="1:8" x14ac:dyDescent="0.25">
      <c r="A3358" s="1058"/>
      <c r="B3358" s="1058"/>
      <c r="C3358" s="1058"/>
      <c r="D3358" s="1058"/>
      <c r="E3358" s="1058"/>
      <c r="F3358" s="1058"/>
      <c r="G3358" s="1058"/>
      <c r="H3358" s="1058"/>
    </row>
    <row r="3359" spans="1:8" x14ac:dyDescent="0.25">
      <c r="A3359" s="1191"/>
      <c r="B3359" s="1192"/>
      <c r="C3359" s="1192"/>
      <c r="D3359" s="1192"/>
      <c r="E3359" s="1192"/>
      <c r="F3359" s="1191"/>
      <c r="G3359" s="1192"/>
      <c r="H3359" s="1192"/>
    </row>
    <row r="3360" spans="1:8" x14ac:dyDescent="0.25">
      <c r="A3360" s="673" t="s">
        <v>3</v>
      </c>
      <c r="B3360" s="1390" t="str">
        <f>+VLOOKUP(C3360,ListaAPUs!$B:$E,4,FALSE)</f>
        <v>4.2.30</v>
      </c>
      <c r="C3360" s="2449" t="str">
        <f>+ListaAPUs!B104</f>
        <v>INSTALACIÓN NIPLES PASAMURO EN  HD D=400 MM A 500 MM L=1 A 2M</v>
      </c>
      <c r="D3360" s="2449"/>
      <c r="E3360" s="2449"/>
      <c r="F3360" s="673" t="s">
        <v>867</v>
      </c>
      <c r="G3360" s="222" t="s">
        <v>5424</v>
      </c>
      <c r="H3360" s="1192"/>
    </row>
    <row r="3361" spans="1:8" x14ac:dyDescent="0.25">
      <c r="A3361" s="1191"/>
      <c r="B3361" s="1192"/>
      <c r="C3361" s="1192"/>
      <c r="D3361" s="1192"/>
      <c r="E3361" s="1192"/>
      <c r="F3361" s="1191"/>
      <c r="G3361" s="1192"/>
      <c r="H3361" s="1192"/>
    </row>
    <row r="3362" spans="1:8" x14ac:dyDescent="0.25">
      <c r="A3362" s="1191"/>
      <c r="B3362" s="1192"/>
      <c r="C3362" s="1192"/>
      <c r="D3362" s="1192"/>
      <c r="E3362" s="1192"/>
      <c r="F3362" s="1191"/>
      <c r="G3362" s="1193"/>
      <c r="H3362" s="1192"/>
    </row>
    <row r="3363" spans="1:8" ht="15.75" thickBot="1" x14ac:dyDescent="0.3">
      <c r="A3363" s="1191"/>
      <c r="B3363" s="1192"/>
      <c r="C3363" s="1192"/>
      <c r="D3363" s="1192"/>
      <c r="E3363" s="1192"/>
      <c r="F3363" s="1191"/>
      <c r="G3363" s="1192"/>
      <c r="H3363" s="1192"/>
    </row>
    <row r="3364" spans="1:8" ht="15.75" thickBot="1" x14ac:dyDescent="0.3">
      <c r="A3364" s="1191"/>
      <c r="B3364" s="1428" t="s">
        <v>5403</v>
      </c>
      <c r="C3364" s="1429" t="s">
        <v>867</v>
      </c>
      <c r="D3364" s="1429" t="s">
        <v>6</v>
      </c>
      <c r="E3364" s="1430" t="s">
        <v>5404</v>
      </c>
      <c r="F3364" s="1429" t="s">
        <v>5405</v>
      </c>
      <c r="G3364" s="1431" t="s">
        <v>868</v>
      </c>
      <c r="H3364" s="1194"/>
    </row>
    <row r="3365" spans="1:8" x14ac:dyDescent="0.25">
      <c r="A3365" s="1191"/>
      <c r="B3365" s="757" t="s">
        <v>5455</v>
      </c>
      <c r="C3365" s="226" t="s">
        <v>7042</v>
      </c>
      <c r="D3365" s="1196">
        <v>1</v>
      </c>
      <c r="E3365" s="228">
        <f>+H3403</f>
        <v>116241.3</v>
      </c>
      <c r="F3365" s="1197">
        <v>0.2</v>
      </c>
      <c r="G3365" s="979">
        <f t="shared" ref="G3365:G3372" si="83">IF(B3365="","",PRODUCT(D3365:F3365))</f>
        <v>23248.260000000002</v>
      </c>
      <c r="H3365" s="1194"/>
    </row>
    <row r="3366" spans="1:8" x14ac:dyDescent="0.25">
      <c r="A3366" s="1191"/>
      <c r="B3366" s="1303" t="s">
        <v>6869</v>
      </c>
      <c r="C3366" s="1198"/>
      <c r="D3366" s="1198"/>
      <c r="E3366" s="975">
        <f>+VLOOKUP(B3366,Insumos!$A$2:$C$331,3,FALSE)</f>
        <v>202536</v>
      </c>
      <c r="F3366" s="1198">
        <f>1/8</f>
        <v>0.125</v>
      </c>
      <c r="G3366" s="979">
        <f t="shared" si="83"/>
        <v>25317</v>
      </c>
      <c r="H3366" s="1194"/>
    </row>
    <row r="3367" spans="1:8" x14ac:dyDescent="0.25">
      <c r="A3367" s="1191"/>
      <c r="B3367" s="763"/>
      <c r="C3367" s="1198" t="str">
        <f t="shared" ref="C3367:C3372" si="84">IF(B3367="","",VLOOKUP(B3367,INSUMOS,2,FALSE))</f>
        <v/>
      </c>
      <c r="D3367" s="1198"/>
      <c r="E3367" s="1181" t="str">
        <f t="shared" ref="E3367:E3372" si="85">IF(B3367="","",IF(C3367="%mo",$K$50,VLOOKUP(B3367,INSUMOS,3,FALSE)))</f>
        <v/>
      </c>
      <c r="F3367" s="1198"/>
      <c r="G3367" s="979" t="str">
        <f t="shared" si="83"/>
        <v/>
      </c>
      <c r="H3367" s="1194"/>
    </row>
    <row r="3368" spans="1:8" x14ac:dyDescent="0.25">
      <c r="A3368" s="1191"/>
      <c r="B3368" s="1199"/>
      <c r="C3368" s="1198" t="str">
        <f t="shared" si="84"/>
        <v/>
      </c>
      <c r="D3368" s="1200"/>
      <c r="E3368" s="1201" t="str">
        <f t="shared" si="85"/>
        <v/>
      </c>
      <c r="F3368" s="1198"/>
      <c r="G3368" s="979" t="str">
        <f t="shared" si="83"/>
        <v/>
      </c>
      <c r="H3368" s="1194"/>
    </row>
    <row r="3369" spans="1:8" x14ac:dyDescent="0.25">
      <c r="A3369" s="1191"/>
      <c r="B3369" s="1199"/>
      <c r="C3369" s="1198" t="str">
        <f t="shared" si="84"/>
        <v/>
      </c>
      <c r="D3369" s="1200"/>
      <c r="E3369" s="1201" t="str">
        <f t="shared" si="85"/>
        <v/>
      </c>
      <c r="F3369" s="1198"/>
      <c r="G3369" s="979" t="str">
        <f t="shared" si="83"/>
        <v/>
      </c>
      <c r="H3369" s="1194"/>
    </row>
    <row r="3370" spans="1:8" x14ac:dyDescent="0.25">
      <c r="A3370" s="1191"/>
      <c r="B3370" s="1199"/>
      <c r="C3370" s="1198" t="str">
        <f t="shared" si="84"/>
        <v/>
      </c>
      <c r="D3370" s="1200"/>
      <c r="E3370" s="1201" t="str">
        <f t="shared" si="85"/>
        <v/>
      </c>
      <c r="F3370" s="1198"/>
      <c r="G3370" s="979" t="str">
        <f t="shared" si="83"/>
        <v/>
      </c>
      <c r="H3370" s="1194"/>
    </row>
    <row r="3371" spans="1:8" ht="15.75" thickBot="1" x14ac:dyDescent="0.3">
      <c r="A3371" s="1191"/>
      <c r="B3371" s="1199"/>
      <c r="C3371" s="1198" t="str">
        <f t="shared" si="84"/>
        <v/>
      </c>
      <c r="D3371" s="1200"/>
      <c r="E3371" s="1201" t="str">
        <f t="shared" si="85"/>
        <v/>
      </c>
      <c r="F3371" s="1198"/>
      <c r="G3371" s="979" t="str">
        <f t="shared" si="83"/>
        <v/>
      </c>
      <c r="H3371" s="1194"/>
    </row>
    <row r="3372" spans="1:8" ht="15.75" thickBot="1" x14ac:dyDescent="0.3">
      <c r="A3372" s="1191"/>
      <c r="B3372" s="1202"/>
      <c r="C3372" s="1203" t="str">
        <f t="shared" si="84"/>
        <v/>
      </c>
      <c r="D3372" s="1204"/>
      <c r="E3372" s="1205" t="str">
        <f t="shared" si="85"/>
        <v/>
      </c>
      <c r="F3372" s="1203"/>
      <c r="G3372" s="979" t="str">
        <f t="shared" si="83"/>
        <v/>
      </c>
      <c r="H3372" s="1206">
        <f>+SUM(G3365:G3372)</f>
        <v>48565.26</v>
      </c>
    </row>
    <row r="3373" spans="1:8" ht="15.75" thickBot="1" x14ac:dyDescent="0.3">
      <c r="A3373" s="1191"/>
      <c r="B3373" s="1207"/>
      <c r="C3373" s="1208"/>
      <c r="D3373" s="1207"/>
      <c r="E3373" s="1209"/>
      <c r="F3373" s="1208"/>
      <c r="G3373" s="1210"/>
      <c r="H3373" s="1211"/>
    </row>
    <row r="3374" spans="1:8" ht="15.75" thickBot="1" x14ac:dyDescent="0.3">
      <c r="A3374" s="1192"/>
      <c r="B3374" s="1428" t="s">
        <v>5408</v>
      </c>
      <c r="C3374" s="1429" t="s">
        <v>867</v>
      </c>
      <c r="D3374" s="1429" t="s">
        <v>6</v>
      </c>
      <c r="E3374" s="1430" t="s">
        <v>870</v>
      </c>
      <c r="F3374" s="1429" t="s">
        <v>7040</v>
      </c>
      <c r="G3374" s="1431" t="s">
        <v>868</v>
      </c>
      <c r="H3374" s="1194"/>
    </row>
    <row r="3375" spans="1:8" x14ac:dyDescent="0.25">
      <c r="A3375" s="1192"/>
      <c r="B3375" s="1212"/>
      <c r="C3375" s="1195" t="str">
        <f t="shared" ref="C3375:C3388" si="86">IF(B3375="","",VLOOKUP(B3375,INSUMOS,2,FALSE))</f>
        <v/>
      </c>
      <c r="D3375" s="1195"/>
      <c r="E3375" s="1180" t="str">
        <f t="shared" ref="E3375:E3388" si="87">IF(B3375="","",VLOOKUP(B3375,INSUMOS,3,FALSE))</f>
        <v/>
      </c>
      <c r="F3375" s="1195"/>
      <c r="G3375" s="979" t="str">
        <f t="shared" ref="G3375:G3388" si="88">IF(B3375="","",PRODUCT(D3375:F3375))</f>
        <v/>
      </c>
      <c r="H3375" s="1194"/>
    </row>
    <row r="3376" spans="1:8" x14ac:dyDescent="0.25">
      <c r="A3376" s="1192"/>
      <c r="B3376" s="1213"/>
      <c r="C3376" s="1198" t="str">
        <f t="shared" si="86"/>
        <v/>
      </c>
      <c r="D3376" s="1198"/>
      <c r="E3376" s="1181" t="str">
        <f t="shared" si="87"/>
        <v/>
      </c>
      <c r="F3376" s="1195"/>
      <c r="G3376" s="979" t="str">
        <f t="shared" si="88"/>
        <v/>
      </c>
      <c r="H3376" s="1194"/>
    </row>
    <row r="3377" spans="1:8" x14ac:dyDescent="0.25">
      <c r="A3377" s="1192"/>
      <c r="B3377" s="1213"/>
      <c r="C3377" s="1198" t="str">
        <f t="shared" si="86"/>
        <v/>
      </c>
      <c r="D3377" s="1198"/>
      <c r="E3377" s="1181" t="str">
        <f t="shared" si="87"/>
        <v/>
      </c>
      <c r="F3377" s="1195"/>
      <c r="G3377" s="979" t="str">
        <f t="shared" si="88"/>
        <v/>
      </c>
      <c r="H3377" s="1194"/>
    </row>
    <row r="3378" spans="1:8" x14ac:dyDescent="0.25">
      <c r="A3378" s="1192"/>
      <c r="B3378" s="1199"/>
      <c r="C3378" s="1198" t="str">
        <f t="shared" si="86"/>
        <v/>
      </c>
      <c r="D3378" s="1198"/>
      <c r="E3378" s="1180" t="str">
        <f t="shared" si="87"/>
        <v/>
      </c>
      <c r="F3378" s="1198"/>
      <c r="G3378" s="979" t="str">
        <f t="shared" si="88"/>
        <v/>
      </c>
      <c r="H3378" s="1194"/>
    </row>
    <row r="3379" spans="1:8" x14ac:dyDescent="0.25">
      <c r="A3379" s="1192"/>
      <c r="B3379" s="1199"/>
      <c r="C3379" s="1198" t="str">
        <f t="shared" si="86"/>
        <v/>
      </c>
      <c r="D3379" s="1198"/>
      <c r="E3379" s="1180" t="str">
        <f t="shared" si="87"/>
        <v/>
      </c>
      <c r="F3379" s="1198"/>
      <c r="G3379" s="979" t="str">
        <f t="shared" si="88"/>
        <v/>
      </c>
      <c r="H3379" s="1194"/>
    </row>
    <row r="3380" spans="1:8" x14ac:dyDescent="0.25">
      <c r="A3380" s="1192"/>
      <c r="B3380" s="1199"/>
      <c r="C3380" s="1198" t="str">
        <f t="shared" si="86"/>
        <v/>
      </c>
      <c r="D3380" s="1198"/>
      <c r="E3380" s="1180" t="str">
        <f t="shared" si="87"/>
        <v/>
      </c>
      <c r="F3380" s="1198"/>
      <c r="G3380" s="979" t="str">
        <f t="shared" si="88"/>
        <v/>
      </c>
      <c r="H3380" s="1194"/>
    </row>
    <row r="3381" spans="1:8" x14ac:dyDescent="0.25">
      <c r="A3381" s="1192"/>
      <c r="B3381" s="1199"/>
      <c r="C3381" s="1198" t="str">
        <f t="shared" si="86"/>
        <v/>
      </c>
      <c r="D3381" s="1198"/>
      <c r="E3381" s="1180" t="str">
        <f t="shared" si="87"/>
        <v/>
      </c>
      <c r="F3381" s="1198"/>
      <c r="G3381" s="979" t="str">
        <f t="shared" si="88"/>
        <v/>
      </c>
      <c r="H3381" s="1194"/>
    </row>
    <row r="3382" spans="1:8" x14ac:dyDescent="0.25">
      <c r="A3382" s="1192"/>
      <c r="B3382" s="1199"/>
      <c r="C3382" s="1198" t="str">
        <f t="shared" si="86"/>
        <v/>
      </c>
      <c r="D3382" s="1198"/>
      <c r="E3382" s="1180" t="str">
        <f t="shared" si="87"/>
        <v/>
      </c>
      <c r="F3382" s="1198"/>
      <c r="G3382" s="979" t="str">
        <f t="shared" si="88"/>
        <v/>
      </c>
      <c r="H3382" s="1194"/>
    </row>
    <row r="3383" spans="1:8" x14ac:dyDescent="0.25">
      <c r="A3383" s="1192"/>
      <c r="B3383" s="1199"/>
      <c r="C3383" s="1198" t="str">
        <f t="shared" si="86"/>
        <v/>
      </c>
      <c r="D3383" s="1198"/>
      <c r="E3383" s="1180" t="str">
        <f t="shared" si="87"/>
        <v/>
      </c>
      <c r="F3383" s="1198"/>
      <c r="G3383" s="979" t="str">
        <f t="shared" si="88"/>
        <v/>
      </c>
      <c r="H3383" s="1194"/>
    </row>
    <row r="3384" spans="1:8" x14ac:dyDescent="0.25">
      <c r="A3384" s="1192"/>
      <c r="B3384" s="1199"/>
      <c r="C3384" s="1198" t="str">
        <f t="shared" si="86"/>
        <v/>
      </c>
      <c r="D3384" s="1198"/>
      <c r="E3384" s="1180" t="str">
        <f t="shared" si="87"/>
        <v/>
      </c>
      <c r="F3384" s="1198"/>
      <c r="G3384" s="979" t="str">
        <f t="shared" si="88"/>
        <v/>
      </c>
      <c r="H3384" s="1194"/>
    </row>
    <row r="3385" spans="1:8" x14ac:dyDescent="0.25">
      <c r="A3385" s="1192"/>
      <c r="B3385" s="1199"/>
      <c r="C3385" s="1198" t="str">
        <f t="shared" si="86"/>
        <v/>
      </c>
      <c r="D3385" s="1198"/>
      <c r="E3385" s="1180" t="str">
        <f t="shared" si="87"/>
        <v/>
      </c>
      <c r="F3385" s="1198"/>
      <c r="G3385" s="979" t="str">
        <f t="shared" si="88"/>
        <v/>
      </c>
      <c r="H3385" s="1194"/>
    </row>
    <row r="3386" spans="1:8" x14ac:dyDescent="0.25">
      <c r="A3386" s="1192"/>
      <c r="B3386" s="1199"/>
      <c r="C3386" s="1200" t="str">
        <f t="shared" si="86"/>
        <v/>
      </c>
      <c r="D3386" s="1200"/>
      <c r="E3386" s="1201" t="str">
        <f t="shared" si="87"/>
        <v/>
      </c>
      <c r="F3386" s="1198"/>
      <c r="G3386" s="979" t="str">
        <f t="shared" si="88"/>
        <v/>
      </c>
      <c r="H3386" s="1194"/>
    </row>
    <row r="3387" spans="1:8" ht="15.75" thickBot="1" x14ac:dyDescent="0.3">
      <c r="A3387" s="1192"/>
      <c r="B3387" s="1199"/>
      <c r="C3387" s="1200" t="str">
        <f t="shared" si="86"/>
        <v/>
      </c>
      <c r="D3387" s="1200"/>
      <c r="E3387" s="1201" t="str">
        <f t="shared" si="87"/>
        <v/>
      </c>
      <c r="F3387" s="1198"/>
      <c r="G3387" s="979" t="str">
        <f t="shared" si="88"/>
        <v/>
      </c>
      <c r="H3387" s="1194"/>
    </row>
    <row r="3388" spans="1:8" ht="15.75" thickBot="1" x14ac:dyDescent="0.3">
      <c r="A3388" s="1192"/>
      <c r="B3388" s="1202"/>
      <c r="C3388" s="1204" t="str">
        <f t="shared" si="86"/>
        <v/>
      </c>
      <c r="D3388" s="1204"/>
      <c r="E3388" s="1205" t="str">
        <f t="shared" si="87"/>
        <v/>
      </c>
      <c r="F3388" s="1203"/>
      <c r="G3388" s="979" t="str">
        <f t="shared" si="88"/>
        <v/>
      </c>
      <c r="H3388" s="1206">
        <f>+SUM(G3375:G3388)</f>
        <v>0</v>
      </c>
    </row>
    <row r="3389" spans="1:8" ht="15.75" thickBot="1" x14ac:dyDescent="0.3">
      <c r="A3389" s="1192"/>
      <c r="B3389" s="1207"/>
      <c r="C3389" s="1207"/>
      <c r="D3389" s="1207"/>
      <c r="E3389" s="1209"/>
      <c r="F3389" s="1208"/>
      <c r="G3389" s="1210"/>
      <c r="H3389" s="1211"/>
    </row>
    <row r="3390" spans="1:8" ht="15.75" thickBot="1" x14ac:dyDescent="0.3">
      <c r="A3390" s="1192"/>
      <c r="B3390" s="1428" t="s">
        <v>5410</v>
      </c>
      <c r="C3390" s="1429" t="s">
        <v>867</v>
      </c>
      <c r="D3390" s="1429" t="s">
        <v>6</v>
      </c>
      <c r="E3390" s="1430" t="s">
        <v>870</v>
      </c>
      <c r="F3390" s="1429" t="s">
        <v>5411</v>
      </c>
      <c r="G3390" s="1431" t="s">
        <v>868</v>
      </c>
      <c r="H3390" s="1194"/>
    </row>
    <row r="3391" spans="1:8" x14ac:dyDescent="0.25">
      <c r="A3391" s="1192"/>
      <c r="B3391" s="1212"/>
      <c r="C3391" s="1195" t="str">
        <f>IF(B3391="","",VLOOKUP(B3391,INSUMOS,2,FALSE))</f>
        <v/>
      </c>
      <c r="D3391" s="1195"/>
      <c r="E3391" s="1180" t="str">
        <f>IF(B3391="","",VLOOKUP(B3391,INSUMOS,3,FALSE))</f>
        <v/>
      </c>
      <c r="F3391" s="1195"/>
      <c r="G3391" s="979" t="str">
        <f>IF(B3391="","",PRODUCT(D3391:F3391))</f>
        <v/>
      </c>
      <c r="H3391" s="1194"/>
    </row>
    <row r="3392" spans="1:8" x14ac:dyDescent="0.25">
      <c r="A3392" s="1192"/>
      <c r="B3392" s="1213"/>
      <c r="C3392" s="1198" t="str">
        <f>IF(B3392="","",VLOOKUP(B3392,INSUMOS,2,FALSE))</f>
        <v/>
      </c>
      <c r="D3392" s="1198"/>
      <c r="E3392" s="1181" t="str">
        <f>IF(B3392="","",VLOOKUP(B3392,INSUMOS,3,FALSE))</f>
        <v/>
      </c>
      <c r="F3392" s="1198"/>
      <c r="G3392" s="979" t="str">
        <f>IF(B3392="","",PRODUCT(D3392:F3392))</f>
        <v/>
      </c>
      <c r="H3392" s="1194"/>
    </row>
    <row r="3393" spans="1:8" x14ac:dyDescent="0.25">
      <c r="A3393" s="1192"/>
      <c r="B3393" s="1213"/>
      <c r="C3393" s="1198" t="str">
        <f>IF(B3393="","",VLOOKUP(B3393,INSUMOS,2,FALSE))</f>
        <v/>
      </c>
      <c r="D3393" s="1198"/>
      <c r="E3393" s="1180" t="str">
        <f>IF(B3393="","",VLOOKUP(B3393,INSUMOS,3,FALSE))</f>
        <v/>
      </c>
      <c r="F3393" s="1198"/>
      <c r="G3393" s="979" t="str">
        <f>IF(B3393="","",PRODUCT(D3393:F3393))</f>
        <v/>
      </c>
      <c r="H3393" s="1194"/>
    </row>
    <row r="3394" spans="1:8" ht="15.75" thickBot="1" x14ac:dyDescent="0.3">
      <c r="A3394" s="1192"/>
      <c r="B3394" s="1199"/>
      <c r="C3394" s="1198" t="str">
        <f>IF(B3394="","",VLOOKUP(B3394,INSUMOS,2,FALSE))</f>
        <v/>
      </c>
      <c r="D3394" s="1198"/>
      <c r="E3394" s="1180" t="str">
        <f>IF(B3394="","",VLOOKUP(B3394,INSUMOS,3,FALSE))</f>
        <v/>
      </c>
      <c r="F3394" s="1198"/>
      <c r="G3394" s="979" t="str">
        <f>IF(B3394="","",PRODUCT(D3394:F3394))</f>
        <v/>
      </c>
      <c r="H3394" s="1194"/>
    </row>
    <row r="3395" spans="1:8" ht="15.75" thickBot="1" x14ac:dyDescent="0.3">
      <c r="A3395" s="1192"/>
      <c r="B3395" s="1202"/>
      <c r="C3395" s="1204" t="str">
        <f>IF(B3395="","",VLOOKUP(B3395,INSUMOS,2,FALSE))</f>
        <v/>
      </c>
      <c r="D3395" s="1204"/>
      <c r="E3395" s="1205" t="str">
        <f>IF(B3395="","",VLOOKUP(B3395,INSUMOS,3,FALSE))</f>
        <v/>
      </c>
      <c r="F3395" s="1203"/>
      <c r="G3395" s="979" t="str">
        <f>IF(B3395="","",PRODUCT(D3395:F3395))</f>
        <v/>
      </c>
      <c r="H3395" s="1206">
        <f>+SUM(G3391:G3395)</f>
        <v>0</v>
      </c>
    </row>
    <row r="3396" spans="1:8" ht="15.75" thickBot="1" x14ac:dyDescent="0.3">
      <c r="A3396" s="1192"/>
      <c r="B3396" s="1207"/>
      <c r="C3396" s="1207"/>
      <c r="D3396" s="1207"/>
      <c r="E3396" s="1209"/>
      <c r="F3396" s="1214"/>
      <c r="G3396" s="1215"/>
      <c r="H3396" s="1211"/>
    </row>
    <row r="3397" spans="1:8" ht="15.75" thickBot="1" x14ac:dyDescent="0.3">
      <c r="A3397" s="1192"/>
      <c r="B3397" s="1428" t="s">
        <v>5412</v>
      </c>
      <c r="C3397" s="1429" t="s">
        <v>5420</v>
      </c>
      <c r="D3397" s="1429" t="s">
        <v>5421</v>
      </c>
      <c r="E3397" s="1430" t="s">
        <v>5413</v>
      </c>
      <c r="F3397" s="1429" t="s">
        <v>5405</v>
      </c>
      <c r="G3397" s="1431" t="s">
        <v>868</v>
      </c>
      <c r="H3397" s="1194"/>
    </row>
    <row r="3398" spans="1:8" x14ac:dyDescent="0.25">
      <c r="A3398" s="1192"/>
      <c r="B3398" s="194" t="s">
        <v>6523</v>
      </c>
      <c r="C3398" s="345">
        <f>+VLOOKUP($B3398,'Mano de obra'!$A$5:$D$26,2,FALSE)</f>
        <v>57454</v>
      </c>
      <c r="D3398" s="345">
        <f>+VLOOKUP($B3398,'Mano de obra'!$A$5:$D$26,3,FALSE)</f>
        <v>35656</v>
      </c>
      <c r="E3398" s="345">
        <f>+VLOOKUP($B3398,'Mano de obra'!$A$5:$D$26,4,FALSE)</f>
        <v>93110</v>
      </c>
      <c r="F3398" s="1197">
        <v>20</v>
      </c>
      <c r="G3398" s="979">
        <f>IF(B3398="","",E3398/F3398)</f>
        <v>4655.5</v>
      </c>
      <c r="H3398" s="1194"/>
    </row>
    <row r="3399" spans="1:8" x14ac:dyDescent="0.25">
      <c r="A3399" s="1192"/>
      <c r="B3399" s="194" t="s">
        <v>6524</v>
      </c>
      <c r="C3399" s="345">
        <f>+VLOOKUP($B3399,'Mano de obra'!$A$5:$D$26,2,FALSE)</f>
        <v>44263.8</v>
      </c>
      <c r="D3399" s="345">
        <f>+VLOOKUP($B3399,'Mano de obra'!$A$5:$D$26,3,FALSE)</f>
        <v>27470</v>
      </c>
      <c r="E3399" s="345">
        <f>+VLOOKUP($B3399,'Mano de obra'!$A$5:$D$26,4,FALSE)</f>
        <v>71733.8</v>
      </c>
      <c r="F3399" s="1195">
        <v>1</v>
      </c>
      <c r="G3399" s="979">
        <f>IF(B3399="","",E3399/F3399)</f>
        <v>71733.8</v>
      </c>
      <c r="H3399" s="1194"/>
    </row>
    <row r="3400" spans="1:8" x14ac:dyDescent="0.25">
      <c r="A3400" s="1192"/>
      <c r="B3400" s="195" t="s">
        <v>6525</v>
      </c>
      <c r="C3400" s="345">
        <f>+VLOOKUP($B3400,'Mano de obra'!$A$5:$D$26,2,FALSE)</f>
        <v>24591</v>
      </c>
      <c r="D3400" s="345">
        <f>+VLOOKUP($B3400,'Mano de obra'!$A$5:$D$26,3,FALSE)</f>
        <v>15261</v>
      </c>
      <c r="E3400" s="345">
        <f>+VLOOKUP($B3400,'Mano de obra'!$A$5:$D$26,4,FALSE)</f>
        <v>39852</v>
      </c>
      <c r="F3400" s="1198">
        <v>1</v>
      </c>
      <c r="G3400" s="979">
        <f>IF(B3400="","",E3400/F3400)</f>
        <v>39852</v>
      </c>
      <c r="H3400" s="1194"/>
    </row>
    <row r="3401" spans="1:8" x14ac:dyDescent="0.25">
      <c r="A3401" s="1192"/>
      <c r="B3401" s="1199"/>
      <c r="C3401" s="1216"/>
      <c r="D3401" s="1201"/>
      <c r="E3401" s="1201"/>
      <c r="F3401" s="1198"/>
      <c r="G3401" s="1217"/>
      <c r="H3401" s="1194"/>
    </row>
    <row r="3402" spans="1:8" ht="15.75" thickBot="1" x14ac:dyDescent="0.3">
      <c r="A3402" s="1192"/>
      <c r="B3402" s="1199"/>
      <c r="C3402" s="1201"/>
      <c r="D3402" s="1201"/>
      <c r="E3402" s="1201"/>
      <c r="F3402" s="1198"/>
      <c r="G3402" s="1217"/>
      <c r="H3402" s="1194"/>
    </row>
    <row r="3403" spans="1:8" ht="15.75" thickBot="1" x14ac:dyDescent="0.3">
      <c r="A3403" s="1192"/>
      <c r="B3403" s="1218"/>
      <c r="C3403" s="1219"/>
      <c r="D3403" s="1219"/>
      <c r="E3403" s="1219"/>
      <c r="F3403" s="1220"/>
      <c r="G3403" s="1221"/>
      <c r="H3403" s="1206">
        <f>+SUM(G3398:G3403)</f>
        <v>116241.3</v>
      </c>
    </row>
    <row r="3404" spans="1:8" ht="15.75" thickBot="1" x14ac:dyDescent="0.3">
      <c r="A3404" s="1192"/>
      <c r="B3404" s="1192"/>
      <c r="C3404" s="1192"/>
      <c r="D3404" s="1192"/>
      <c r="E3404" s="1192"/>
      <c r="F3404" s="1191"/>
      <c r="G3404" s="1192"/>
      <c r="H3404" s="1192"/>
    </row>
    <row r="3405" spans="1:8" ht="15.75" thickBot="1" x14ac:dyDescent="0.3">
      <c r="A3405" s="1192"/>
      <c r="B3405" s="1192"/>
      <c r="C3405" s="1192"/>
      <c r="D3405" s="1192"/>
      <c r="E3405" s="1222" t="s">
        <v>5415</v>
      </c>
      <c r="F3405" s="1191"/>
      <c r="G3405" s="1192"/>
      <c r="H3405" s="1223">
        <f>ROUND(+H3372+H3388+H3395+H3403,0)</f>
        <v>164807</v>
      </c>
    </row>
    <row r="3406" spans="1:8" x14ac:dyDescent="0.25">
      <c r="A3406" s="1191"/>
      <c r="B3406" s="1192"/>
      <c r="C3406" s="1192"/>
      <c r="D3406" s="1192"/>
      <c r="E3406" s="1192"/>
      <c r="F3406" s="1191"/>
      <c r="G3406" s="1192"/>
      <c r="H3406" s="1192"/>
    </row>
    <row r="3407" spans="1:8" x14ac:dyDescent="0.25">
      <c r="A3407" s="1191"/>
      <c r="B3407" s="1192"/>
      <c r="C3407" s="1192"/>
      <c r="D3407" s="1192"/>
      <c r="E3407" s="1192"/>
      <c r="F3407" s="1191"/>
      <c r="G3407" s="1192"/>
      <c r="H3407" s="1192"/>
    </row>
    <row r="3408" spans="1:8" x14ac:dyDescent="0.25">
      <c r="A3408" s="673" t="s">
        <v>3</v>
      </c>
      <c r="B3408" s="1390" t="str">
        <f>+VLOOKUP(C3408,ListaAPUs!$B:$E,4,FALSE)</f>
        <v>4.2.31</v>
      </c>
      <c r="C3408" s="2449" t="str">
        <f>+ListaAPUs!B105</f>
        <v>INSTALACIÓN NIPLES PASAMURO EN  HD D=400 MM A 500 MM L=2 A 3M</v>
      </c>
      <c r="D3408" s="2449"/>
      <c r="E3408" s="2449"/>
      <c r="F3408" s="673" t="s">
        <v>867</v>
      </c>
      <c r="G3408" s="222" t="s">
        <v>5424</v>
      </c>
      <c r="H3408" s="1192"/>
    </row>
    <row r="3409" spans="1:8" x14ac:dyDescent="0.25">
      <c r="A3409" s="1191"/>
      <c r="B3409" s="1192"/>
      <c r="C3409" s="1192"/>
      <c r="D3409" s="1192"/>
      <c r="E3409" s="1192"/>
      <c r="F3409" s="1191"/>
      <c r="G3409" s="1192"/>
      <c r="H3409" s="1192"/>
    </row>
    <row r="3410" spans="1:8" x14ac:dyDescent="0.25">
      <c r="A3410" s="1191"/>
      <c r="B3410" s="1192"/>
      <c r="C3410" s="1192"/>
      <c r="D3410" s="1192"/>
      <c r="E3410" s="1192"/>
      <c r="F3410" s="1191"/>
      <c r="G3410" s="1193"/>
      <c r="H3410" s="1192"/>
    </row>
    <row r="3411" spans="1:8" ht="15.75" thickBot="1" x14ac:dyDescent="0.3">
      <c r="A3411" s="1191"/>
      <c r="B3411" s="1192"/>
      <c r="C3411" s="1192"/>
      <c r="D3411" s="1192"/>
      <c r="E3411" s="1192"/>
      <c r="F3411" s="1191"/>
      <c r="G3411" s="1192"/>
      <c r="H3411" s="1192"/>
    </row>
    <row r="3412" spans="1:8" ht="15.75" thickBot="1" x14ac:dyDescent="0.3">
      <c r="A3412" s="1191"/>
      <c r="B3412" s="1428" t="s">
        <v>5403</v>
      </c>
      <c r="C3412" s="1429" t="s">
        <v>867</v>
      </c>
      <c r="D3412" s="1429" t="s">
        <v>6</v>
      </c>
      <c r="E3412" s="1430" t="s">
        <v>5404</v>
      </c>
      <c r="F3412" s="1429" t="s">
        <v>5405</v>
      </c>
      <c r="G3412" s="1431" t="s">
        <v>868</v>
      </c>
      <c r="H3412" s="1194"/>
    </row>
    <row r="3413" spans="1:8" x14ac:dyDescent="0.25">
      <c r="A3413" s="1191"/>
      <c r="B3413" s="1199" t="s">
        <v>5455</v>
      </c>
      <c r="C3413" s="226" t="s">
        <v>7042</v>
      </c>
      <c r="D3413" s="1196">
        <v>1</v>
      </c>
      <c r="E3413" s="228">
        <f>+H3451</f>
        <v>116241.3</v>
      </c>
      <c r="F3413" s="1197">
        <v>0.2</v>
      </c>
      <c r="G3413" s="979">
        <f>IF(B3413="","",PRODUCT(D3413:F3413))</f>
        <v>23248.260000000002</v>
      </c>
      <c r="H3413" s="1194"/>
    </row>
    <row r="3414" spans="1:8" x14ac:dyDescent="0.25">
      <c r="A3414" s="1191"/>
      <c r="B3414" s="1303" t="s">
        <v>6869</v>
      </c>
      <c r="C3414" s="1198"/>
      <c r="D3414" s="1198"/>
      <c r="E3414" s="975">
        <f>+VLOOKUP(B3414,Insumos!$A$2:$C$331,3,FALSE)</f>
        <v>202536</v>
      </c>
      <c r="F3414" s="1198">
        <v>0.16</v>
      </c>
      <c r="G3414" s="979">
        <f>IF(B3414="","",PRODUCT(D3414:F3414))</f>
        <v>32405.760000000002</v>
      </c>
      <c r="H3414" s="1194"/>
    </row>
    <row r="3415" spans="1:8" x14ac:dyDescent="0.25">
      <c r="A3415" s="1191"/>
      <c r="B3415" s="763"/>
      <c r="C3415" s="1198"/>
      <c r="D3415" s="1198"/>
      <c r="E3415" s="1181"/>
      <c r="F3415" s="1198"/>
      <c r="G3415" s="979"/>
      <c r="H3415" s="1194"/>
    </row>
    <row r="3416" spans="1:8" x14ac:dyDescent="0.25">
      <c r="A3416" s="1191"/>
      <c r="B3416" s="1199"/>
      <c r="C3416" s="1198"/>
      <c r="D3416" s="1200"/>
      <c r="E3416" s="1201"/>
      <c r="F3416" s="1198"/>
      <c r="G3416" s="979"/>
      <c r="H3416" s="1194"/>
    </row>
    <row r="3417" spans="1:8" x14ac:dyDescent="0.25">
      <c r="A3417" s="1191"/>
      <c r="B3417" s="1199"/>
      <c r="C3417" s="1198"/>
      <c r="D3417" s="1200"/>
      <c r="E3417" s="1201"/>
      <c r="F3417" s="1198"/>
      <c r="G3417" s="979"/>
      <c r="H3417" s="1194"/>
    </row>
    <row r="3418" spans="1:8" x14ac:dyDescent="0.25">
      <c r="A3418" s="1191"/>
      <c r="B3418" s="1199"/>
      <c r="C3418" s="1198"/>
      <c r="D3418" s="1200"/>
      <c r="E3418" s="1201"/>
      <c r="F3418" s="1198"/>
      <c r="G3418" s="979"/>
      <c r="H3418" s="1194"/>
    </row>
    <row r="3419" spans="1:8" ht="15.75" thickBot="1" x14ac:dyDescent="0.3">
      <c r="A3419" s="1191"/>
      <c r="B3419" s="1199"/>
      <c r="C3419" s="1198"/>
      <c r="D3419" s="1200"/>
      <c r="E3419" s="1201"/>
      <c r="F3419" s="1198"/>
      <c r="G3419" s="979"/>
      <c r="H3419" s="1194"/>
    </row>
    <row r="3420" spans="1:8" ht="15.75" thickBot="1" x14ac:dyDescent="0.3">
      <c r="A3420" s="1191"/>
      <c r="B3420" s="1202"/>
      <c r="C3420" s="1203"/>
      <c r="D3420" s="1204"/>
      <c r="E3420" s="1205"/>
      <c r="F3420" s="1203"/>
      <c r="G3420" s="979"/>
      <c r="H3420" s="1206">
        <f>+SUM(G3413:G3420)</f>
        <v>55654.020000000004</v>
      </c>
    </row>
    <row r="3421" spans="1:8" ht="15.75" thickBot="1" x14ac:dyDescent="0.3">
      <c r="A3421" s="1191"/>
      <c r="B3421" s="1207"/>
      <c r="C3421" s="1208"/>
      <c r="D3421" s="1207"/>
      <c r="E3421" s="1209"/>
      <c r="F3421" s="1208"/>
      <c r="G3421" s="1210"/>
      <c r="H3421" s="1211"/>
    </row>
    <row r="3422" spans="1:8" ht="15.75" thickBot="1" x14ac:dyDescent="0.3">
      <c r="A3422" s="1192"/>
      <c r="B3422" s="1428" t="s">
        <v>5408</v>
      </c>
      <c r="C3422" s="1429" t="s">
        <v>867</v>
      </c>
      <c r="D3422" s="1429" t="s">
        <v>6</v>
      </c>
      <c r="E3422" s="1430" t="s">
        <v>870</v>
      </c>
      <c r="F3422" s="1429" t="s">
        <v>7040</v>
      </c>
      <c r="G3422" s="1431" t="s">
        <v>868</v>
      </c>
      <c r="H3422" s="1194"/>
    </row>
    <row r="3423" spans="1:8" x14ac:dyDescent="0.25">
      <c r="A3423" s="1192"/>
      <c r="B3423" s="1212"/>
      <c r="C3423" s="1195" t="str">
        <f t="shared" ref="C3423:C3436" si="89">IF(B3423="","",VLOOKUP(B3423,INSUMOS,2,FALSE))</f>
        <v/>
      </c>
      <c r="D3423" s="1195"/>
      <c r="E3423" s="1180"/>
      <c r="F3423" s="1195"/>
      <c r="G3423" s="979"/>
      <c r="H3423" s="1194"/>
    </row>
    <row r="3424" spans="1:8" x14ac:dyDescent="0.25">
      <c r="A3424" s="1192"/>
      <c r="B3424" s="1213"/>
      <c r="C3424" s="1198" t="str">
        <f t="shared" si="89"/>
        <v/>
      </c>
      <c r="D3424" s="1198"/>
      <c r="E3424" s="1181"/>
      <c r="F3424" s="1195"/>
      <c r="G3424" s="979"/>
      <c r="H3424" s="1194"/>
    </row>
    <row r="3425" spans="1:8" x14ac:dyDescent="0.25">
      <c r="A3425" s="1192"/>
      <c r="B3425" s="1213"/>
      <c r="C3425" s="1198" t="str">
        <f t="shared" si="89"/>
        <v/>
      </c>
      <c r="D3425" s="1198"/>
      <c r="E3425" s="1181"/>
      <c r="F3425" s="1195"/>
      <c r="G3425" s="979"/>
      <c r="H3425" s="1194"/>
    </row>
    <row r="3426" spans="1:8" x14ac:dyDescent="0.25">
      <c r="A3426" s="1192"/>
      <c r="B3426" s="1199"/>
      <c r="C3426" s="1198" t="str">
        <f t="shared" si="89"/>
        <v/>
      </c>
      <c r="D3426" s="1198"/>
      <c r="E3426" s="1180"/>
      <c r="F3426" s="1198"/>
      <c r="G3426" s="979"/>
      <c r="H3426" s="1194"/>
    </row>
    <row r="3427" spans="1:8" x14ac:dyDescent="0.25">
      <c r="A3427" s="1192"/>
      <c r="B3427" s="1199"/>
      <c r="C3427" s="1198" t="str">
        <f t="shared" si="89"/>
        <v/>
      </c>
      <c r="D3427" s="1198"/>
      <c r="E3427" s="1180"/>
      <c r="F3427" s="1198"/>
      <c r="G3427" s="979"/>
      <c r="H3427" s="1194"/>
    </row>
    <row r="3428" spans="1:8" x14ac:dyDescent="0.25">
      <c r="A3428" s="1192"/>
      <c r="B3428" s="1199"/>
      <c r="C3428" s="1198" t="str">
        <f t="shared" si="89"/>
        <v/>
      </c>
      <c r="D3428" s="1198"/>
      <c r="E3428" s="1180"/>
      <c r="F3428" s="1198"/>
      <c r="G3428" s="979"/>
      <c r="H3428" s="1194"/>
    </row>
    <row r="3429" spans="1:8" x14ac:dyDescent="0.25">
      <c r="A3429" s="1192"/>
      <c r="B3429" s="1199"/>
      <c r="C3429" s="1198" t="str">
        <f t="shared" si="89"/>
        <v/>
      </c>
      <c r="D3429" s="1198"/>
      <c r="E3429" s="1180"/>
      <c r="F3429" s="1198"/>
      <c r="G3429" s="979"/>
      <c r="H3429" s="1194"/>
    </row>
    <row r="3430" spans="1:8" x14ac:dyDescent="0.25">
      <c r="A3430" s="1192"/>
      <c r="B3430" s="1199"/>
      <c r="C3430" s="1198" t="str">
        <f t="shared" si="89"/>
        <v/>
      </c>
      <c r="D3430" s="1198"/>
      <c r="E3430" s="1180"/>
      <c r="F3430" s="1198"/>
      <c r="G3430" s="979"/>
      <c r="H3430" s="1194"/>
    </row>
    <row r="3431" spans="1:8" x14ac:dyDescent="0.25">
      <c r="A3431" s="1192"/>
      <c r="B3431" s="1199"/>
      <c r="C3431" s="1198" t="str">
        <f t="shared" si="89"/>
        <v/>
      </c>
      <c r="D3431" s="1198"/>
      <c r="E3431" s="1180"/>
      <c r="F3431" s="1198"/>
      <c r="G3431" s="979"/>
      <c r="H3431" s="1194"/>
    </row>
    <row r="3432" spans="1:8" x14ac:dyDescent="0.25">
      <c r="A3432" s="1192"/>
      <c r="B3432" s="1199"/>
      <c r="C3432" s="1198" t="str">
        <f t="shared" si="89"/>
        <v/>
      </c>
      <c r="D3432" s="1198"/>
      <c r="E3432" s="1180"/>
      <c r="F3432" s="1198"/>
      <c r="G3432" s="979"/>
      <c r="H3432" s="1194"/>
    </row>
    <row r="3433" spans="1:8" x14ac:dyDescent="0.25">
      <c r="A3433" s="1192"/>
      <c r="B3433" s="1199"/>
      <c r="C3433" s="1198" t="str">
        <f t="shared" si="89"/>
        <v/>
      </c>
      <c r="D3433" s="1198"/>
      <c r="E3433" s="1180"/>
      <c r="F3433" s="1198"/>
      <c r="G3433" s="979"/>
      <c r="H3433" s="1194"/>
    </row>
    <row r="3434" spans="1:8" x14ac:dyDescent="0.25">
      <c r="A3434" s="1192"/>
      <c r="B3434" s="1199"/>
      <c r="C3434" s="1200" t="str">
        <f t="shared" si="89"/>
        <v/>
      </c>
      <c r="D3434" s="1200"/>
      <c r="E3434" s="1201"/>
      <c r="F3434" s="1198"/>
      <c r="G3434" s="979"/>
      <c r="H3434" s="1194"/>
    </row>
    <row r="3435" spans="1:8" ht="15.75" thickBot="1" x14ac:dyDescent="0.3">
      <c r="A3435" s="1192"/>
      <c r="B3435" s="1199"/>
      <c r="C3435" s="1200" t="str">
        <f t="shared" si="89"/>
        <v/>
      </c>
      <c r="D3435" s="1200"/>
      <c r="E3435" s="1201"/>
      <c r="F3435" s="1198"/>
      <c r="G3435" s="979"/>
      <c r="H3435" s="1194"/>
    </row>
    <row r="3436" spans="1:8" ht="15.75" thickBot="1" x14ac:dyDescent="0.3">
      <c r="A3436" s="1192"/>
      <c r="B3436" s="1202"/>
      <c r="C3436" s="1204" t="str">
        <f t="shared" si="89"/>
        <v/>
      </c>
      <c r="D3436" s="1204"/>
      <c r="E3436" s="1205"/>
      <c r="F3436" s="1203"/>
      <c r="G3436" s="979"/>
      <c r="H3436" s="1206">
        <f>+SUM(G3423:G3436)</f>
        <v>0</v>
      </c>
    </row>
    <row r="3437" spans="1:8" ht="15.75" thickBot="1" x14ac:dyDescent="0.3">
      <c r="A3437" s="1192"/>
      <c r="B3437" s="1207"/>
      <c r="C3437" s="1207"/>
      <c r="D3437" s="1207"/>
      <c r="E3437" s="1209"/>
      <c r="F3437" s="1208"/>
      <c r="G3437" s="1210"/>
      <c r="H3437" s="1211"/>
    </row>
    <row r="3438" spans="1:8" ht="15.75" thickBot="1" x14ac:dyDescent="0.3">
      <c r="A3438" s="1192"/>
      <c r="B3438" s="1428" t="s">
        <v>5410</v>
      </c>
      <c r="C3438" s="1429" t="s">
        <v>867</v>
      </c>
      <c r="D3438" s="1429" t="s">
        <v>6</v>
      </c>
      <c r="E3438" s="1430" t="s">
        <v>870</v>
      </c>
      <c r="F3438" s="1429" t="s">
        <v>5411</v>
      </c>
      <c r="G3438" s="1431" t="s">
        <v>868</v>
      </c>
      <c r="H3438" s="1194"/>
    </row>
    <row r="3439" spans="1:8" x14ac:dyDescent="0.25">
      <c r="A3439" s="1192"/>
      <c r="B3439" s="1212"/>
      <c r="C3439" s="1195"/>
      <c r="D3439" s="1195"/>
      <c r="E3439" s="1180"/>
      <c r="F3439" s="1195"/>
      <c r="G3439" s="979"/>
      <c r="H3439" s="1194"/>
    </row>
    <row r="3440" spans="1:8" x14ac:dyDescent="0.25">
      <c r="A3440" s="1192"/>
      <c r="B3440" s="1213"/>
      <c r="C3440" s="1198"/>
      <c r="D3440" s="1198"/>
      <c r="E3440" s="1181"/>
      <c r="F3440" s="1198"/>
      <c r="G3440" s="979"/>
      <c r="H3440" s="1194"/>
    </row>
    <row r="3441" spans="1:8" x14ac:dyDescent="0.25">
      <c r="A3441" s="1192"/>
      <c r="B3441" s="1213"/>
      <c r="C3441" s="1198"/>
      <c r="D3441" s="1198"/>
      <c r="E3441" s="1180"/>
      <c r="F3441" s="1198"/>
      <c r="G3441" s="979"/>
      <c r="H3441" s="1194"/>
    </row>
    <row r="3442" spans="1:8" ht="15.75" thickBot="1" x14ac:dyDescent="0.3">
      <c r="A3442" s="1192"/>
      <c r="B3442" s="1199"/>
      <c r="C3442" s="1198"/>
      <c r="D3442" s="1198"/>
      <c r="E3442" s="1180"/>
      <c r="F3442" s="1198"/>
      <c r="G3442" s="979"/>
      <c r="H3442" s="1194"/>
    </row>
    <row r="3443" spans="1:8" ht="15.75" thickBot="1" x14ac:dyDescent="0.3">
      <c r="A3443" s="1192"/>
      <c r="B3443" s="1202"/>
      <c r="C3443" s="1204"/>
      <c r="D3443" s="1204"/>
      <c r="E3443" s="1205"/>
      <c r="F3443" s="1203"/>
      <c r="G3443" s="979"/>
      <c r="H3443" s="1206">
        <f>+SUM(G3439:G3443)</f>
        <v>0</v>
      </c>
    </row>
    <row r="3444" spans="1:8" ht="15.75" thickBot="1" x14ac:dyDescent="0.3">
      <c r="A3444" s="1192"/>
      <c r="B3444" s="1207"/>
      <c r="C3444" s="1207"/>
      <c r="D3444" s="1207"/>
      <c r="E3444" s="1209"/>
      <c r="F3444" s="1214"/>
      <c r="G3444" s="1215"/>
      <c r="H3444" s="1211"/>
    </row>
    <row r="3445" spans="1:8" ht="15.75" thickBot="1" x14ac:dyDescent="0.3">
      <c r="A3445" s="1192"/>
      <c r="B3445" s="1428" t="s">
        <v>5412</v>
      </c>
      <c r="C3445" s="1429" t="s">
        <v>5420</v>
      </c>
      <c r="D3445" s="1429" t="s">
        <v>5421</v>
      </c>
      <c r="E3445" s="1430" t="s">
        <v>5413</v>
      </c>
      <c r="F3445" s="1429" t="s">
        <v>5405</v>
      </c>
      <c r="G3445" s="1431" t="s">
        <v>868</v>
      </c>
      <c r="H3445" s="1194"/>
    </row>
    <row r="3446" spans="1:8" x14ac:dyDescent="0.25">
      <c r="A3446" s="1192"/>
      <c r="B3446" s="194" t="s">
        <v>6523</v>
      </c>
      <c r="C3446" s="345">
        <f>+VLOOKUP($B3446,'Mano de obra'!$A$5:$D$26,2,FALSE)</f>
        <v>57454</v>
      </c>
      <c r="D3446" s="345">
        <f>+VLOOKUP($B3446,'Mano de obra'!$A$5:$D$26,3,FALSE)</f>
        <v>35656</v>
      </c>
      <c r="E3446" s="345">
        <f>+VLOOKUP($B3446,'Mano de obra'!$A$5:$D$26,4,FALSE)</f>
        <v>93110</v>
      </c>
      <c r="F3446" s="1197">
        <v>20</v>
      </c>
      <c r="G3446" s="979">
        <f>IF(B3446="","",E3446/F3446)</f>
        <v>4655.5</v>
      </c>
      <c r="H3446" s="1194"/>
    </row>
    <row r="3447" spans="1:8" x14ac:dyDescent="0.25">
      <c r="A3447" s="1192"/>
      <c r="B3447" s="194" t="s">
        <v>6524</v>
      </c>
      <c r="C3447" s="345">
        <f>+VLOOKUP($B3447,'Mano de obra'!$A$5:$D$26,2,FALSE)</f>
        <v>44263.8</v>
      </c>
      <c r="D3447" s="345">
        <f>+VLOOKUP($B3447,'Mano de obra'!$A$5:$D$26,3,FALSE)</f>
        <v>27470</v>
      </c>
      <c r="E3447" s="345">
        <f>+VLOOKUP($B3447,'Mano de obra'!$A$5:$D$26,4,FALSE)</f>
        <v>71733.8</v>
      </c>
      <c r="F3447" s="1195">
        <v>1</v>
      </c>
      <c r="G3447" s="979">
        <f>IF(B3447="","",E3447/F3447)</f>
        <v>71733.8</v>
      </c>
      <c r="H3447" s="1194"/>
    </row>
    <row r="3448" spans="1:8" x14ac:dyDescent="0.25">
      <c r="A3448" s="1192"/>
      <c r="B3448" s="195" t="s">
        <v>6525</v>
      </c>
      <c r="C3448" s="345">
        <f>+VLOOKUP($B3448,'Mano de obra'!$A$5:$D$26,2,FALSE)</f>
        <v>24591</v>
      </c>
      <c r="D3448" s="345">
        <f>+VLOOKUP($B3448,'Mano de obra'!$A$5:$D$26,3,FALSE)</f>
        <v>15261</v>
      </c>
      <c r="E3448" s="345">
        <f>+VLOOKUP($B3448,'Mano de obra'!$A$5:$D$26,4,FALSE)</f>
        <v>39852</v>
      </c>
      <c r="F3448" s="1198">
        <v>1</v>
      </c>
      <c r="G3448" s="979">
        <f>IF(B3448="","",E3448/F3448)</f>
        <v>39852</v>
      </c>
      <c r="H3448" s="1194"/>
    </row>
    <row r="3449" spans="1:8" x14ac:dyDescent="0.25">
      <c r="A3449" s="1192"/>
      <c r="B3449" s="1199"/>
      <c r="C3449" s="1216"/>
      <c r="D3449" s="1201"/>
      <c r="E3449" s="1201"/>
      <c r="F3449" s="1198"/>
      <c r="G3449" s="1217"/>
      <c r="H3449" s="1194"/>
    </row>
    <row r="3450" spans="1:8" ht="15.75" thickBot="1" x14ac:dyDescent="0.3">
      <c r="A3450" s="1192"/>
      <c r="B3450" s="1199"/>
      <c r="C3450" s="1201"/>
      <c r="D3450" s="1201"/>
      <c r="E3450" s="1201"/>
      <c r="F3450" s="1198"/>
      <c r="G3450" s="1217"/>
      <c r="H3450" s="1194"/>
    </row>
    <row r="3451" spans="1:8" ht="15.75" thickBot="1" x14ac:dyDescent="0.3">
      <c r="A3451" s="1192"/>
      <c r="B3451" s="1218"/>
      <c r="C3451" s="1219"/>
      <c r="D3451" s="1219"/>
      <c r="E3451" s="1219"/>
      <c r="F3451" s="1220"/>
      <c r="G3451" s="1221"/>
      <c r="H3451" s="1206">
        <f>+SUM(G3446:G3451)</f>
        <v>116241.3</v>
      </c>
    </row>
    <row r="3452" spans="1:8" ht="15.75" thickBot="1" x14ac:dyDescent="0.3">
      <c r="A3452" s="1192"/>
      <c r="B3452" s="1192"/>
      <c r="C3452" s="1192"/>
      <c r="D3452" s="1192"/>
      <c r="E3452" s="1192"/>
      <c r="F3452" s="1191"/>
      <c r="G3452" s="1192"/>
      <c r="H3452" s="1192"/>
    </row>
    <row r="3453" spans="1:8" ht="15.75" thickBot="1" x14ac:dyDescent="0.3">
      <c r="A3453" s="1192"/>
      <c r="B3453" s="1192"/>
      <c r="C3453" s="1192"/>
      <c r="D3453" s="1192"/>
      <c r="E3453" s="1222" t="s">
        <v>5415</v>
      </c>
      <c r="F3453" s="1191"/>
      <c r="G3453" s="1192"/>
      <c r="H3453" s="1223">
        <f>ROUND(+H3420+H3436+H3443+H3451,0)</f>
        <v>171895</v>
      </c>
    </row>
    <row r="3454" spans="1:8" x14ac:dyDescent="0.25">
      <c r="A3454" s="1058"/>
      <c r="B3454" s="1058"/>
      <c r="C3454" s="1058"/>
      <c r="D3454" s="1058"/>
      <c r="E3454" s="1058"/>
      <c r="F3454" s="1058"/>
      <c r="G3454" s="1058"/>
      <c r="H3454" s="1058"/>
    </row>
    <row r="3455" spans="1:8" x14ac:dyDescent="0.25">
      <c r="A3455" s="1191"/>
      <c r="B3455" s="1192"/>
      <c r="C3455" s="1192"/>
      <c r="D3455" s="1192"/>
      <c r="E3455" s="1192"/>
      <c r="F3455" s="1191"/>
      <c r="G3455" s="1192"/>
      <c r="H3455" s="1192"/>
    </row>
    <row r="3456" spans="1:8" x14ac:dyDescent="0.25">
      <c r="A3456" s="673" t="s">
        <v>3</v>
      </c>
      <c r="B3456" s="1390" t="str">
        <f>+VLOOKUP(C3456,ListaAPUs!$B:$E,4,FALSE)</f>
        <v>4.2.32</v>
      </c>
      <c r="C3456" s="2449" t="str">
        <f>+ListaAPUs!B106</f>
        <v>INSTALACIÓN NIPLES PASAMURO EN  HD D=400 MM A 500 MM L=3 A 4M</v>
      </c>
      <c r="D3456" s="2449"/>
      <c r="E3456" s="2449"/>
      <c r="F3456" s="673" t="s">
        <v>867</v>
      </c>
      <c r="G3456" s="222" t="s">
        <v>5424</v>
      </c>
      <c r="H3456" s="1192"/>
    </row>
    <row r="3457" spans="1:8" x14ac:dyDescent="0.25">
      <c r="A3457" s="1191"/>
      <c r="B3457" s="1192"/>
      <c r="C3457" s="1192"/>
      <c r="D3457" s="1192"/>
      <c r="E3457" s="1192"/>
      <c r="F3457" s="1191"/>
      <c r="G3457" s="1192"/>
      <c r="H3457" s="1192"/>
    </row>
    <row r="3458" spans="1:8" x14ac:dyDescent="0.25">
      <c r="A3458" s="1191"/>
      <c r="B3458" s="1192"/>
      <c r="C3458" s="1192"/>
      <c r="D3458" s="1192"/>
      <c r="E3458" s="1192"/>
      <c r="F3458" s="1191"/>
      <c r="G3458" s="1193"/>
      <c r="H3458" s="1192"/>
    </row>
    <row r="3459" spans="1:8" ht="15.75" thickBot="1" x14ac:dyDescent="0.3">
      <c r="A3459" s="1191"/>
      <c r="B3459" s="1192"/>
      <c r="C3459" s="1192"/>
      <c r="D3459" s="1192"/>
      <c r="E3459" s="1192"/>
      <c r="F3459" s="1191"/>
      <c r="G3459" s="1192"/>
      <c r="H3459" s="1192"/>
    </row>
    <row r="3460" spans="1:8" ht="15.75" thickBot="1" x14ac:dyDescent="0.3">
      <c r="A3460" s="1191"/>
      <c r="B3460" s="1428" t="s">
        <v>5403</v>
      </c>
      <c r="C3460" s="1429" t="s">
        <v>867</v>
      </c>
      <c r="D3460" s="1429" t="s">
        <v>6</v>
      </c>
      <c r="E3460" s="1430" t="s">
        <v>5404</v>
      </c>
      <c r="F3460" s="1429" t="s">
        <v>5405</v>
      </c>
      <c r="G3460" s="1431" t="s">
        <v>868</v>
      </c>
      <c r="H3460" s="1194"/>
    </row>
    <row r="3461" spans="1:8" x14ac:dyDescent="0.25">
      <c r="A3461" s="1191"/>
      <c r="B3461" s="1199" t="s">
        <v>5455</v>
      </c>
      <c r="C3461" s="226" t="s">
        <v>7042</v>
      </c>
      <c r="D3461" s="1196">
        <v>1</v>
      </c>
      <c r="E3461" s="228">
        <f>+H3499</f>
        <v>144137.75</v>
      </c>
      <c r="F3461" s="1197">
        <v>0.2</v>
      </c>
      <c r="G3461" s="979">
        <f>IF(B3461="","",PRODUCT(D3461:F3461))</f>
        <v>28827.550000000003</v>
      </c>
      <c r="H3461" s="1194"/>
    </row>
    <row r="3462" spans="1:8" x14ac:dyDescent="0.25">
      <c r="A3462" s="1191"/>
      <c r="B3462" s="1303" t="s">
        <v>6869</v>
      </c>
      <c r="C3462" s="1198"/>
      <c r="D3462" s="1198"/>
      <c r="E3462" s="975">
        <f>+VLOOKUP(B3462,Insumos!$A$2:$C$331,3,FALSE)</f>
        <v>202536</v>
      </c>
      <c r="F3462" s="1198">
        <v>0.25</v>
      </c>
      <c r="G3462" s="979">
        <f>IF(B3462="","",PRODUCT(D3462:F3462))</f>
        <v>50634</v>
      </c>
      <c r="H3462" s="1194"/>
    </row>
    <row r="3463" spans="1:8" x14ac:dyDescent="0.25">
      <c r="A3463" s="1191"/>
      <c r="B3463" s="763"/>
      <c r="C3463" s="1198"/>
      <c r="D3463" s="1198"/>
      <c r="E3463" s="1181"/>
      <c r="F3463" s="1198"/>
      <c r="G3463" s="979"/>
      <c r="H3463" s="1194"/>
    </row>
    <row r="3464" spans="1:8" x14ac:dyDescent="0.25">
      <c r="A3464" s="1191"/>
      <c r="B3464" s="1199"/>
      <c r="C3464" s="1198"/>
      <c r="D3464" s="1200"/>
      <c r="E3464" s="1201"/>
      <c r="F3464" s="1198"/>
      <c r="G3464" s="979"/>
      <c r="H3464" s="1194"/>
    </row>
    <row r="3465" spans="1:8" x14ac:dyDescent="0.25">
      <c r="A3465" s="1191"/>
      <c r="B3465" s="1199"/>
      <c r="C3465" s="1198"/>
      <c r="D3465" s="1200"/>
      <c r="E3465" s="1201"/>
      <c r="F3465" s="1198"/>
      <c r="G3465" s="979"/>
      <c r="H3465" s="1194"/>
    </row>
    <row r="3466" spans="1:8" x14ac:dyDescent="0.25">
      <c r="A3466" s="1191"/>
      <c r="B3466" s="1199"/>
      <c r="C3466" s="1198"/>
      <c r="D3466" s="1200"/>
      <c r="E3466" s="1201"/>
      <c r="F3466" s="1198"/>
      <c r="G3466" s="979"/>
      <c r="H3466" s="1194"/>
    </row>
    <row r="3467" spans="1:8" ht="15.75" thickBot="1" x14ac:dyDescent="0.3">
      <c r="A3467" s="1191"/>
      <c r="B3467" s="1199"/>
      <c r="C3467" s="1198"/>
      <c r="D3467" s="1200"/>
      <c r="E3467" s="1201"/>
      <c r="F3467" s="1198"/>
      <c r="G3467" s="979"/>
      <c r="H3467" s="1194"/>
    </row>
    <row r="3468" spans="1:8" ht="15.75" thickBot="1" x14ac:dyDescent="0.3">
      <c r="A3468" s="1191"/>
      <c r="B3468" s="1202"/>
      <c r="C3468" s="1203"/>
      <c r="D3468" s="1204"/>
      <c r="E3468" s="1205"/>
      <c r="F3468" s="1203"/>
      <c r="G3468" s="979"/>
      <c r="H3468" s="1206">
        <f>+SUM(G3461:G3468)</f>
        <v>79461.55</v>
      </c>
    </row>
    <row r="3469" spans="1:8" ht="15.75" thickBot="1" x14ac:dyDescent="0.3">
      <c r="A3469" s="1191"/>
      <c r="B3469" s="1207"/>
      <c r="C3469" s="1208"/>
      <c r="D3469" s="1207"/>
      <c r="E3469" s="1209"/>
      <c r="F3469" s="1208"/>
      <c r="G3469" s="1210"/>
      <c r="H3469" s="1211"/>
    </row>
    <row r="3470" spans="1:8" ht="15.75" thickBot="1" x14ac:dyDescent="0.3">
      <c r="A3470" s="1192"/>
      <c r="B3470" s="1428" t="s">
        <v>5408</v>
      </c>
      <c r="C3470" s="1429" t="s">
        <v>867</v>
      </c>
      <c r="D3470" s="1429" t="s">
        <v>6</v>
      </c>
      <c r="E3470" s="1430" t="s">
        <v>870</v>
      </c>
      <c r="F3470" s="1429" t="s">
        <v>7040</v>
      </c>
      <c r="G3470" s="1431" t="s">
        <v>868</v>
      </c>
      <c r="H3470" s="1194"/>
    </row>
    <row r="3471" spans="1:8" x14ac:dyDescent="0.25">
      <c r="A3471" s="1192"/>
      <c r="B3471" s="1212"/>
      <c r="C3471" s="1195" t="str">
        <f t="shared" ref="C3471:C3484" si="90">IF(B3471="","",VLOOKUP(B3471,INSUMOS,2,FALSE))</f>
        <v/>
      </c>
      <c r="D3471" s="1195"/>
      <c r="E3471" s="1180"/>
      <c r="F3471" s="1195"/>
      <c r="G3471" s="979"/>
      <c r="H3471" s="1194"/>
    </row>
    <row r="3472" spans="1:8" x14ac:dyDescent="0.25">
      <c r="A3472" s="1192"/>
      <c r="B3472" s="1213"/>
      <c r="C3472" s="1198" t="str">
        <f t="shared" si="90"/>
        <v/>
      </c>
      <c r="D3472" s="1198"/>
      <c r="E3472" s="1181"/>
      <c r="F3472" s="1195"/>
      <c r="G3472" s="979"/>
      <c r="H3472" s="1194"/>
    </row>
    <row r="3473" spans="1:8" x14ac:dyDescent="0.25">
      <c r="A3473" s="1192"/>
      <c r="B3473" s="1213"/>
      <c r="C3473" s="1198" t="str">
        <f t="shared" si="90"/>
        <v/>
      </c>
      <c r="D3473" s="1198"/>
      <c r="E3473" s="1181"/>
      <c r="F3473" s="1195"/>
      <c r="G3473" s="979"/>
      <c r="H3473" s="1194"/>
    </row>
    <row r="3474" spans="1:8" x14ac:dyDescent="0.25">
      <c r="A3474" s="1192"/>
      <c r="B3474" s="1199"/>
      <c r="C3474" s="1198" t="str">
        <f t="shared" si="90"/>
        <v/>
      </c>
      <c r="D3474" s="1198"/>
      <c r="E3474" s="1180"/>
      <c r="F3474" s="1198"/>
      <c r="G3474" s="979"/>
      <c r="H3474" s="1194"/>
    </row>
    <row r="3475" spans="1:8" x14ac:dyDescent="0.25">
      <c r="A3475" s="1192"/>
      <c r="B3475" s="1199"/>
      <c r="C3475" s="1198" t="str">
        <f t="shared" si="90"/>
        <v/>
      </c>
      <c r="D3475" s="1198"/>
      <c r="E3475" s="1180"/>
      <c r="F3475" s="1198"/>
      <c r="G3475" s="979"/>
      <c r="H3475" s="1194"/>
    </row>
    <row r="3476" spans="1:8" x14ac:dyDescent="0.25">
      <c r="A3476" s="1192"/>
      <c r="B3476" s="1199"/>
      <c r="C3476" s="1198" t="str">
        <f t="shared" si="90"/>
        <v/>
      </c>
      <c r="D3476" s="1198"/>
      <c r="E3476" s="1180"/>
      <c r="F3476" s="1198"/>
      <c r="G3476" s="979"/>
      <c r="H3476" s="1194"/>
    </row>
    <row r="3477" spans="1:8" x14ac:dyDescent="0.25">
      <c r="A3477" s="1192"/>
      <c r="B3477" s="1199"/>
      <c r="C3477" s="1198" t="str">
        <f t="shared" si="90"/>
        <v/>
      </c>
      <c r="D3477" s="1198"/>
      <c r="E3477" s="1180"/>
      <c r="F3477" s="1198"/>
      <c r="G3477" s="979"/>
      <c r="H3477" s="1194"/>
    </row>
    <row r="3478" spans="1:8" x14ac:dyDescent="0.25">
      <c r="A3478" s="1192"/>
      <c r="B3478" s="1199"/>
      <c r="C3478" s="1198" t="str">
        <f t="shared" si="90"/>
        <v/>
      </c>
      <c r="D3478" s="1198"/>
      <c r="E3478" s="1180"/>
      <c r="F3478" s="1198"/>
      <c r="G3478" s="979"/>
      <c r="H3478" s="1194"/>
    </row>
    <row r="3479" spans="1:8" x14ac:dyDescent="0.25">
      <c r="A3479" s="1192"/>
      <c r="B3479" s="1199"/>
      <c r="C3479" s="1198" t="str">
        <f t="shared" si="90"/>
        <v/>
      </c>
      <c r="D3479" s="1198"/>
      <c r="E3479" s="1180"/>
      <c r="F3479" s="1198"/>
      <c r="G3479" s="979"/>
      <c r="H3479" s="1194"/>
    </row>
    <row r="3480" spans="1:8" x14ac:dyDescent="0.25">
      <c r="A3480" s="1192"/>
      <c r="B3480" s="1199"/>
      <c r="C3480" s="1198" t="str">
        <f t="shared" si="90"/>
        <v/>
      </c>
      <c r="D3480" s="1198"/>
      <c r="E3480" s="1180"/>
      <c r="F3480" s="1198"/>
      <c r="G3480" s="979"/>
      <c r="H3480" s="1194"/>
    </row>
    <row r="3481" spans="1:8" x14ac:dyDescent="0.25">
      <c r="A3481" s="1192"/>
      <c r="B3481" s="1199"/>
      <c r="C3481" s="1198" t="str">
        <f t="shared" si="90"/>
        <v/>
      </c>
      <c r="D3481" s="1198"/>
      <c r="E3481" s="1180"/>
      <c r="F3481" s="1198"/>
      <c r="G3481" s="979"/>
      <c r="H3481" s="1194"/>
    </row>
    <row r="3482" spans="1:8" x14ac:dyDescent="0.25">
      <c r="A3482" s="1192"/>
      <c r="B3482" s="1199"/>
      <c r="C3482" s="1200" t="str">
        <f t="shared" si="90"/>
        <v/>
      </c>
      <c r="D3482" s="1200"/>
      <c r="E3482" s="1201"/>
      <c r="F3482" s="1198"/>
      <c r="G3482" s="979"/>
      <c r="H3482" s="1194"/>
    </row>
    <row r="3483" spans="1:8" ht="15.75" thickBot="1" x14ac:dyDescent="0.3">
      <c r="A3483" s="1192"/>
      <c r="B3483" s="1199"/>
      <c r="C3483" s="1200" t="str">
        <f t="shared" si="90"/>
        <v/>
      </c>
      <c r="D3483" s="1200"/>
      <c r="E3483" s="1201"/>
      <c r="F3483" s="1198"/>
      <c r="G3483" s="979"/>
      <c r="H3483" s="1194"/>
    </row>
    <row r="3484" spans="1:8" ht="15.75" thickBot="1" x14ac:dyDescent="0.3">
      <c r="A3484" s="1192"/>
      <c r="B3484" s="1202"/>
      <c r="C3484" s="1204" t="str">
        <f t="shared" si="90"/>
        <v/>
      </c>
      <c r="D3484" s="1204"/>
      <c r="E3484" s="1205"/>
      <c r="F3484" s="1203"/>
      <c r="G3484" s="979"/>
      <c r="H3484" s="1206">
        <f>+SUM(G3471:G3484)</f>
        <v>0</v>
      </c>
    </row>
    <row r="3485" spans="1:8" ht="15.75" thickBot="1" x14ac:dyDescent="0.3">
      <c r="A3485" s="1192"/>
      <c r="B3485" s="1207"/>
      <c r="C3485" s="1207"/>
      <c r="D3485" s="1207"/>
      <c r="E3485" s="1209"/>
      <c r="F3485" s="1208"/>
      <c r="G3485" s="1210"/>
      <c r="H3485" s="1211"/>
    </row>
    <row r="3486" spans="1:8" ht="15.75" thickBot="1" x14ac:dyDescent="0.3">
      <c r="A3486" s="1192"/>
      <c r="B3486" s="1428" t="s">
        <v>5410</v>
      </c>
      <c r="C3486" s="1429" t="s">
        <v>867</v>
      </c>
      <c r="D3486" s="1429" t="s">
        <v>6</v>
      </c>
      <c r="E3486" s="1430" t="s">
        <v>870</v>
      </c>
      <c r="F3486" s="1429" t="s">
        <v>5411</v>
      </c>
      <c r="G3486" s="1431" t="s">
        <v>868</v>
      </c>
      <c r="H3486" s="1194"/>
    </row>
    <row r="3487" spans="1:8" x14ac:dyDescent="0.25">
      <c r="A3487" s="1192"/>
      <c r="B3487" s="1212"/>
      <c r="C3487" s="1195"/>
      <c r="D3487" s="1195"/>
      <c r="E3487" s="1180"/>
      <c r="F3487" s="1195"/>
      <c r="G3487" s="979"/>
      <c r="H3487" s="1194"/>
    </row>
    <row r="3488" spans="1:8" x14ac:dyDescent="0.25">
      <c r="A3488" s="1192"/>
      <c r="B3488" s="1213"/>
      <c r="C3488" s="1198"/>
      <c r="D3488" s="1198"/>
      <c r="E3488" s="1181"/>
      <c r="F3488" s="1198"/>
      <c r="G3488" s="979"/>
      <c r="H3488" s="1194"/>
    </row>
    <row r="3489" spans="1:8" x14ac:dyDescent="0.25">
      <c r="A3489" s="1192"/>
      <c r="B3489" s="1213"/>
      <c r="C3489" s="1198"/>
      <c r="D3489" s="1198"/>
      <c r="E3489" s="1180"/>
      <c r="F3489" s="1198"/>
      <c r="G3489" s="979"/>
      <c r="H3489" s="1194"/>
    </row>
    <row r="3490" spans="1:8" ht="15.75" thickBot="1" x14ac:dyDescent="0.3">
      <c r="A3490" s="1192"/>
      <c r="B3490" s="1199"/>
      <c r="C3490" s="1198"/>
      <c r="D3490" s="1198"/>
      <c r="E3490" s="1180"/>
      <c r="F3490" s="1198"/>
      <c r="G3490" s="979"/>
      <c r="H3490" s="1194"/>
    </row>
    <row r="3491" spans="1:8" ht="15.75" thickBot="1" x14ac:dyDescent="0.3">
      <c r="A3491" s="1192"/>
      <c r="B3491" s="1202"/>
      <c r="C3491" s="1204"/>
      <c r="D3491" s="1204"/>
      <c r="E3491" s="1205"/>
      <c r="F3491" s="1203"/>
      <c r="G3491" s="979"/>
      <c r="H3491" s="1206">
        <f>+SUM(G3487:G3491)</f>
        <v>0</v>
      </c>
    </row>
    <row r="3492" spans="1:8" ht="15.75" thickBot="1" x14ac:dyDescent="0.3">
      <c r="A3492" s="1192"/>
      <c r="B3492" s="1207"/>
      <c r="C3492" s="1207"/>
      <c r="D3492" s="1207"/>
      <c r="E3492" s="1209"/>
      <c r="F3492" s="1214"/>
      <c r="G3492" s="1215"/>
      <c r="H3492" s="1211"/>
    </row>
    <row r="3493" spans="1:8" ht="15.75" thickBot="1" x14ac:dyDescent="0.3">
      <c r="A3493" s="1192"/>
      <c r="B3493" s="1428" t="s">
        <v>5412</v>
      </c>
      <c r="C3493" s="1429" t="s">
        <v>5420</v>
      </c>
      <c r="D3493" s="1429" t="s">
        <v>5421</v>
      </c>
      <c r="E3493" s="1430" t="s">
        <v>5413</v>
      </c>
      <c r="F3493" s="1429" t="s">
        <v>5405</v>
      </c>
      <c r="G3493" s="1431" t="s">
        <v>868</v>
      </c>
      <c r="H3493" s="1194"/>
    </row>
    <row r="3494" spans="1:8" x14ac:dyDescent="0.25">
      <c r="A3494" s="1192"/>
      <c r="B3494" s="194" t="s">
        <v>6523</v>
      </c>
      <c r="C3494" s="345">
        <f>+VLOOKUP($B3494,'Mano de obra'!$A$5:$D$26,2,FALSE)</f>
        <v>57454</v>
      </c>
      <c r="D3494" s="345">
        <f>+VLOOKUP($B3494,'Mano de obra'!$A$5:$D$26,3,FALSE)</f>
        <v>35656</v>
      </c>
      <c r="E3494" s="345">
        <f>+VLOOKUP($B3494,'Mano de obra'!$A$5:$D$26,4,FALSE)</f>
        <v>93110</v>
      </c>
      <c r="F3494" s="1197">
        <v>20</v>
      </c>
      <c r="G3494" s="979">
        <f>IF(B3494="","",E3494/F3494)</f>
        <v>4655.5</v>
      </c>
      <c r="H3494" s="1194"/>
    </row>
    <row r="3495" spans="1:8" x14ac:dyDescent="0.25">
      <c r="A3495" s="1192"/>
      <c r="B3495" s="194" t="s">
        <v>6524</v>
      </c>
      <c r="C3495" s="345">
        <f>+VLOOKUP($B3495,'Mano de obra'!$A$5:$D$26,2,FALSE)</f>
        <v>44263.8</v>
      </c>
      <c r="D3495" s="345">
        <f>+VLOOKUP($B3495,'Mano de obra'!$A$5:$D$26,3,FALSE)</f>
        <v>27470</v>
      </c>
      <c r="E3495" s="345">
        <f>+VLOOKUP($B3495,'Mano de obra'!$A$5:$D$26,4,FALSE)</f>
        <v>71733.8</v>
      </c>
      <c r="F3495" s="1195">
        <v>0.8</v>
      </c>
      <c r="G3495" s="979">
        <f>IF(B3495="","",E3495/F3495)</f>
        <v>89667.25</v>
      </c>
      <c r="H3495" s="1194"/>
    </row>
    <row r="3496" spans="1:8" x14ac:dyDescent="0.25">
      <c r="A3496" s="1192"/>
      <c r="B3496" s="195" t="s">
        <v>6525</v>
      </c>
      <c r="C3496" s="345">
        <f>+VLOOKUP($B3496,'Mano de obra'!$A$5:$D$26,2,FALSE)</f>
        <v>24591</v>
      </c>
      <c r="D3496" s="345">
        <f>+VLOOKUP($B3496,'Mano de obra'!$A$5:$D$26,3,FALSE)</f>
        <v>15261</v>
      </c>
      <c r="E3496" s="345">
        <f>+VLOOKUP($B3496,'Mano de obra'!$A$5:$D$26,4,FALSE)</f>
        <v>39852</v>
      </c>
      <c r="F3496" s="1198">
        <v>0.8</v>
      </c>
      <c r="G3496" s="979">
        <f>IF(B3496="","",E3496/F3496)</f>
        <v>49815</v>
      </c>
      <c r="H3496" s="1194"/>
    </row>
    <row r="3497" spans="1:8" x14ac:dyDescent="0.25">
      <c r="A3497" s="1192"/>
      <c r="B3497" s="1199"/>
      <c r="C3497" s="1216"/>
      <c r="D3497" s="1201"/>
      <c r="E3497" s="1201"/>
      <c r="F3497" s="1198"/>
      <c r="G3497" s="1217"/>
      <c r="H3497" s="1194"/>
    </row>
    <row r="3498" spans="1:8" ht="15.75" thickBot="1" x14ac:dyDescent="0.3">
      <c r="A3498" s="1192"/>
      <c r="B3498" s="1199"/>
      <c r="C3498" s="1201"/>
      <c r="D3498" s="1201"/>
      <c r="E3498" s="1201"/>
      <c r="F3498" s="1198"/>
      <c r="G3498" s="1217"/>
      <c r="H3498" s="1194"/>
    </row>
    <row r="3499" spans="1:8" ht="15.75" thickBot="1" x14ac:dyDescent="0.3">
      <c r="A3499" s="1192"/>
      <c r="B3499" s="1218"/>
      <c r="C3499" s="1219"/>
      <c r="D3499" s="1219"/>
      <c r="E3499" s="1219"/>
      <c r="F3499" s="1220"/>
      <c r="G3499" s="1221"/>
      <c r="H3499" s="1206">
        <f>+SUM(G3494:G3499)</f>
        <v>144137.75</v>
      </c>
    </row>
    <row r="3500" spans="1:8" ht="15.75" thickBot="1" x14ac:dyDescent="0.3">
      <c r="A3500" s="1192"/>
      <c r="B3500" s="1192"/>
      <c r="C3500" s="1192"/>
      <c r="D3500" s="1192"/>
      <c r="E3500" s="1192"/>
      <c r="F3500" s="1191"/>
      <c r="G3500" s="1192"/>
      <c r="H3500" s="1192"/>
    </row>
    <row r="3501" spans="1:8" ht="15.75" thickBot="1" x14ac:dyDescent="0.3">
      <c r="A3501" s="1192"/>
      <c r="B3501" s="1192"/>
      <c r="C3501" s="1192"/>
      <c r="D3501" s="1192"/>
      <c r="E3501" s="1222" t="s">
        <v>5415</v>
      </c>
      <c r="F3501" s="1191"/>
      <c r="G3501" s="1192"/>
      <c r="H3501" s="1223">
        <f>ROUND(+H3468+H3484+H3491+H3499,0)</f>
        <v>223599</v>
      </c>
    </row>
    <row r="3502" spans="1:8" x14ac:dyDescent="0.25">
      <c r="A3502" s="1058"/>
      <c r="B3502" s="1058"/>
      <c r="C3502" s="1058"/>
      <c r="D3502" s="1058"/>
      <c r="E3502" s="1058"/>
      <c r="F3502" s="1058"/>
      <c r="G3502" s="1058"/>
      <c r="H3502" s="1058"/>
    </row>
    <row r="3503" spans="1:8" x14ac:dyDescent="0.25">
      <c r="A3503" s="749"/>
      <c r="B3503" s="748"/>
      <c r="C3503" s="748"/>
      <c r="D3503" s="748"/>
      <c r="E3503" s="748"/>
      <c r="F3503" s="749"/>
      <c r="G3503" s="748"/>
      <c r="H3503" s="748"/>
    </row>
    <row r="3504" spans="1:8" x14ac:dyDescent="0.25">
      <c r="A3504" s="750" t="s">
        <v>3</v>
      </c>
      <c r="B3504" s="1390" t="str">
        <f>+VLOOKUP(C3504,ListaAPUs!$B:$E,4,FALSE)</f>
        <v>4.3.1</v>
      </c>
      <c r="C3504" s="2449" t="str">
        <f>+ListaAPUs!B112</f>
        <v>INSTALACIÓN TUBERÍA PVC UNIÓN MECÁNICA D=100 MM (INCLUYE PRUEBA HIDROSTATICA)</v>
      </c>
      <c r="D3504" s="2449" t="str">
        <f>+ListaAPUs!B112</f>
        <v>INSTALACIÓN TUBERÍA PVC UNIÓN MECÁNICA D=100 MM (INCLUYE PRUEBA HIDROSTATICA)</v>
      </c>
      <c r="E3504" s="2449"/>
      <c r="F3504" s="750" t="s">
        <v>867</v>
      </c>
      <c r="G3504" s="750" t="s">
        <v>5734</v>
      </c>
      <c r="H3504" s="748"/>
    </row>
    <row r="3505" spans="1:8" x14ac:dyDescent="0.25">
      <c r="A3505" s="749"/>
      <c r="B3505" s="748"/>
      <c r="C3505" s="748"/>
      <c r="D3505" s="748"/>
      <c r="E3505" s="748"/>
      <c r="F3505" s="749"/>
      <c r="G3505" s="748"/>
      <c r="H3505" s="748"/>
    </row>
    <row r="3506" spans="1:8" x14ac:dyDescent="0.25">
      <c r="A3506" s="749"/>
      <c r="B3506" s="748"/>
      <c r="C3506" s="748"/>
      <c r="D3506" s="748"/>
      <c r="E3506" s="748"/>
      <c r="F3506" s="749"/>
      <c r="G3506" s="751"/>
      <c r="H3506" s="748"/>
    </row>
    <row r="3507" spans="1:8" ht="15.75" thickBot="1" x14ac:dyDescent="0.3">
      <c r="A3507" s="749"/>
      <c r="B3507" s="748"/>
      <c r="C3507" s="748"/>
      <c r="D3507" s="748"/>
      <c r="E3507" s="748"/>
      <c r="F3507" s="749"/>
      <c r="G3507" s="748"/>
      <c r="H3507" s="748"/>
    </row>
    <row r="3508" spans="1:8" ht="15.75" thickBot="1" x14ac:dyDescent="0.3">
      <c r="A3508" s="749"/>
      <c r="B3508" s="752" t="s">
        <v>5403</v>
      </c>
      <c r="C3508" s="753" t="s">
        <v>867</v>
      </c>
      <c r="D3508" s="753" t="s">
        <v>6</v>
      </c>
      <c r="E3508" s="754" t="s">
        <v>5404</v>
      </c>
      <c r="F3508" s="753" t="s">
        <v>5405</v>
      </c>
      <c r="G3508" s="755" t="s">
        <v>868</v>
      </c>
      <c r="H3508" s="756"/>
    </row>
    <row r="3509" spans="1:8" x14ac:dyDescent="0.25">
      <c r="A3509" s="749"/>
      <c r="B3509" s="757" t="s">
        <v>5455</v>
      </c>
      <c r="C3509" s="819" t="s">
        <v>7042</v>
      </c>
      <c r="D3509" s="819">
        <v>1</v>
      </c>
      <c r="E3509" s="758">
        <f>+H3547</f>
        <v>3281.2744444444443</v>
      </c>
      <c r="F3509" s="759">
        <v>0.05</v>
      </c>
      <c r="G3509" s="818">
        <f>IF(B3509="","",PRODUCT(D3509:F3509))</f>
        <v>164.06372222222222</v>
      </c>
      <c r="H3509" s="756"/>
    </row>
    <row r="3510" spans="1:8" x14ac:dyDescent="0.25">
      <c r="A3510" s="749"/>
      <c r="B3510" s="760" t="s">
        <v>7039</v>
      </c>
      <c r="C3510" s="817" t="s">
        <v>7043</v>
      </c>
      <c r="D3510" s="817">
        <v>1</v>
      </c>
      <c r="E3510" s="975">
        <f>+VLOOKUP(B3510,Insumos!$A$2:$C$331,3,FALSE)</f>
        <v>52500</v>
      </c>
      <c r="F3510" s="762">
        <v>6.0800000000000003E-3</v>
      </c>
      <c r="G3510" s="818">
        <f>IF(B3510="","",PRODUCT(D3510:F3510))</f>
        <v>319.20000000000005</v>
      </c>
      <c r="H3510" s="756"/>
    </row>
    <row r="3511" spans="1:8" x14ac:dyDescent="0.25">
      <c r="A3511" s="749"/>
      <c r="B3511" s="763"/>
      <c r="C3511" s="817" t="s">
        <v>7044</v>
      </c>
      <c r="D3511" s="1580"/>
      <c r="E3511" s="761" t="s">
        <v>7044</v>
      </c>
      <c r="F3511" s="817"/>
      <c r="G3511" s="818" t="s">
        <v>7044</v>
      </c>
      <c r="H3511" s="756"/>
    </row>
    <row r="3512" spans="1:8" x14ac:dyDescent="0.25">
      <c r="A3512" s="749"/>
      <c r="B3512" s="764"/>
      <c r="C3512" s="817" t="s">
        <v>7044</v>
      </c>
      <c r="D3512" s="765"/>
      <c r="E3512" s="766" t="s">
        <v>7044</v>
      </c>
      <c r="F3512" s="817"/>
      <c r="G3512" s="818" t="s">
        <v>7044</v>
      </c>
      <c r="H3512" s="756"/>
    </row>
    <row r="3513" spans="1:8" x14ac:dyDescent="0.25">
      <c r="A3513" s="749"/>
      <c r="B3513" s="764"/>
      <c r="C3513" s="817" t="s">
        <v>7044</v>
      </c>
      <c r="D3513" s="765"/>
      <c r="E3513" s="766" t="s">
        <v>7044</v>
      </c>
      <c r="F3513" s="817"/>
      <c r="G3513" s="818" t="s">
        <v>7044</v>
      </c>
      <c r="H3513" s="756"/>
    </row>
    <row r="3514" spans="1:8" x14ac:dyDescent="0.25">
      <c r="A3514" s="749"/>
      <c r="B3514" s="764"/>
      <c r="C3514" s="817" t="s">
        <v>7044</v>
      </c>
      <c r="D3514" s="765"/>
      <c r="E3514" s="766" t="s">
        <v>7044</v>
      </c>
      <c r="F3514" s="817"/>
      <c r="G3514" s="818" t="s">
        <v>7044</v>
      </c>
      <c r="H3514" s="756"/>
    </row>
    <row r="3515" spans="1:8" ht="15.75" thickBot="1" x14ac:dyDescent="0.3">
      <c r="A3515" s="749"/>
      <c r="B3515" s="764"/>
      <c r="C3515" s="817" t="s">
        <v>7044</v>
      </c>
      <c r="D3515" s="765"/>
      <c r="E3515" s="766" t="s">
        <v>7044</v>
      </c>
      <c r="F3515" s="817"/>
      <c r="G3515" s="818" t="s">
        <v>7044</v>
      </c>
      <c r="H3515" s="756"/>
    </row>
    <row r="3516" spans="1:8" ht="15.75" thickBot="1" x14ac:dyDescent="0.3">
      <c r="A3516" s="749"/>
      <c r="B3516" s="767"/>
      <c r="C3516" s="768" t="s">
        <v>7044</v>
      </c>
      <c r="D3516" s="769"/>
      <c r="E3516" s="770" t="s">
        <v>7044</v>
      </c>
      <c r="F3516" s="768"/>
      <c r="G3516" s="818" t="s">
        <v>7044</v>
      </c>
      <c r="H3516" s="771">
        <f>+SUM(G3509:G3516)</f>
        <v>483.26372222222227</v>
      </c>
    </row>
    <row r="3517" spans="1:8" ht="15.75" thickBot="1" x14ac:dyDescent="0.3">
      <c r="A3517" s="749"/>
      <c r="B3517" s="772"/>
      <c r="C3517" s="773"/>
      <c r="D3517" s="772"/>
      <c r="E3517" s="774"/>
      <c r="F3517" s="773"/>
      <c r="G3517" s="775"/>
      <c r="H3517" s="776"/>
    </row>
    <row r="3518" spans="1:8" ht="15.75" thickBot="1" x14ac:dyDescent="0.3">
      <c r="A3518" s="748"/>
      <c r="B3518" s="752" t="s">
        <v>5408</v>
      </c>
      <c r="C3518" s="753" t="s">
        <v>867</v>
      </c>
      <c r="D3518" s="753" t="s">
        <v>6</v>
      </c>
      <c r="E3518" s="754" t="s">
        <v>870</v>
      </c>
      <c r="F3518" s="753" t="s">
        <v>7040</v>
      </c>
      <c r="G3518" s="755" t="s">
        <v>868</v>
      </c>
      <c r="H3518" s="756"/>
    </row>
    <row r="3519" spans="1:8" ht="25.5" x14ac:dyDescent="0.25">
      <c r="A3519" s="748"/>
      <c r="B3519" s="777" t="s">
        <v>7041</v>
      </c>
      <c r="C3519" s="819" t="s">
        <v>5486</v>
      </c>
      <c r="D3519" s="819">
        <v>0.01</v>
      </c>
      <c r="E3519" s="758">
        <v>14072</v>
      </c>
      <c r="F3519" s="819"/>
      <c r="G3519" s="818">
        <f>+D3519*E3519</f>
        <v>140.72</v>
      </c>
      <c r="H3519" s="756"/>
    </row>
    <row r="3520" spans="1:8" x14ac:dyDescent="0.25">
      <c r="A3520" s="748"/>
      <c r="B3520" s="778" t="s">
        <v>6939</v>
      </c>
      <c r="C3520" s="817" t="s">
        <v>7045</v>
      </c>
      <c r="D3520" s="817">
        <v>152.01</v>
      </c>
      <c r="E3520" s="975">
        <f>+VLOOKUP(B3520,Insumos!$A$2:$C$331,3,FALSE)</f>
        <v>1</v>
      </c>
      <c r="F3520" s="819"/>
      <c r="G3520" s="818">
        <f>+D3520*E3520</f>
        <v>152.01</v>
      </c>
      <c r="H3520" s="756"/>
    </row>
    <row r="3521" spans="1:8" x14ac:dyDescent="0.25">
      <c r="A3521" s="748"/>
      <c r="B3521" s="778" t="s">
        <v>6855</v>
      </c>
      <c r="C3521" s="817" t="s">
        <v>7046</v>
      </c>
      <c r="D3521" s="817">
        <v>6.08</v>
      </c>
      <c r="E3521" s="975">
        <f>+VLOOKUP(B3521,Insumos!$A$2:$C$331,3,FALSE)</f>
        <v>30</v>
      </c>
      <c r="F3521" s="819"/>
      <c r="G3521" s="818">
        <f>+D3521*E3521</f>
        <v>182.4</v>
      </c>
      <c r="H3521" s="756"/>
    </row>
    <row r="3522" spans="1:8" x14ac:dyDescent="0.25">
      <c r="A3522" s="748"/>
      <c r="B3522" s="764"/>
      <c r="C3522" s="817" t="s">
        <v>7044</v>
      </c>
      <c r="D3522" s="817"/>
      <c r="E3522" s="758" t="s">
        <v>7044</v>
      </c>
      <c r="F3522" s="817"/>
      <c r="G3522" s="818" t="s">
        <v>7044</v>
      </c>
      <c r="H3522" s="756"/>
    </row>
    <row r="3523" spans="1:8" x14ac:dyDescent="0.25">
      <c r="A3523" s="748"/>
      <c r="B3523" s="764"/>
      <c r="C3523" s="817" t="s">
        <v>7044</v>
      </c>
      <c r="D3523" s="817"/>
      <c r="E3523" s="758" t="s">
        <v>7044</v>
      </c>
      <c r="F3523" s="817"/>
      <c r="G3523" s="818" t="s">
        <v>7044</v>
      </c>
      <c r="H3523" s="756"/>
    </row>
    <row r="3524" spans="1:8" x14ac:dyDescent="0.25">
      <c r="A3524" s="748"/>
      <c r="B3524" s="764"/>
      <c r="C3524" s="817" t="s">
        <v>7044</v>
      </c>
      <c r="D3524" s="817"/>
      <c r="E3524" s="758" t="s">
        <v>7044</v>
      </c>
      <c r="F3524" s="817"/>
      <c r="G3524" s="818" t="s">
        <v>7044</v>
      </c>
      <c r="H3524" s="756"/>
    </row>
    <row r="3525" spans="1:8" x14ac:dyDescent="0.25">
      <c r="A3525" s="748"/>
      <c r="B3525" s="764"/>
      <c r="C3525" s="817" t="s">
        <v>7044</v>
      </c>
      <c r="D3525" s="817"/>
      <c r="E3525" s="758" t="s">
        <v>7044</v>
      </c>
      <c r="F3525" s="817"/>
      <c r="G3525" s="818" t="s">
        <v>7044</v>
      </c>
      <c r="H3525" s="756"/>
    </row>
    <row r="3526" spans="1:8" x14ac:dyDescent="0.25">
      <c r="A3526" s="748"/>
      <c r="B3526" s="764"/>
      <c r="C3526" s="817" t="s">
        <v>7044</v>
      </c>
      <c r="D3526" s="817"/>
      <c r="E3526" s="758" t="s">
        <v>7044</v>
      </c>
      <c r="F3526" s="817"/>
      <c r="G3526" s="818" t="s">
        <v>7044</v>
      </c>
      <c r="H3526" s="756"/>
    </row>
    <row r="3527" spans="1:8" x14ac:dyDescent="0.25">
      <c r="A3527" s="748"/>
      <c r="B3527" s="764"/>
      <c r="C3527" s="817" t="s">
        <v>7044</v>
      </c>
      <c r="D3527" s="817"/>
      <c r="E3527" s="758" t="s">
        <v>7044</v>
      </c>
      <c r="F3527" s="817"/>
      <c r="G3527" s="818" t="s">
        <v>7044</v>
      </c>
      <c r="H3527" s="756"/>
    </row>
    <row r="3528" spans="1:8" x14ac:dyDescent="0.25">
      <c r="A3528" s="748"/>
      <c r="B3528" s="764"/>
      <c r="C3528" s="817" t="s">
        <v>7044</v>
      </c>
      <c r="D3528" s="817"/>
      <c r="E3528" s="758" t="s">
        <v>7044</v>
      </c>
      <c r="F3528" s="817"/>
      <c r="G3528" s="818" t="s">
        <v>7044</v>
      </c>
      <c r="H3528" s="756"/>
    </row>
    <row r="3529" spans="1:8" x14ac:dyDescent="0.25">
      <c r="A3529" s="748"/>
      <c r="B3529" s="764"/>
      <c r="C3529" s="817" t="s">
        <v>7044</v>
      </c>
      <c r="D3529" s="817"/>
      <c r="E3529" s="758" t="s">
        <v>7044</v>
      </c>
      <c r="F3529" s="817"/>
      <c r="G3529" s="818" t="s">
        <v>7044</v>
      </c>
      <c r="H3529" s="756"/>
    </row>
    <row r="3530" spans="1:8" x14ac:dyDescent="0.25">
      <c r="A3530" s="748"/>
      <c r="B3530" s="764"/>
      <c r="C3530" s="765" t="s">
        <v>7044</v>
      </c>
      <c r="D3530" s="765"/>
      <c r="E3530" s="766" t="s">
        <v>7044</v>
      </c>
      <c r="F3530" s="817"/>
      <c r="G3530" s="818" t="s">
        <v>7044</v>
      </c>
      <c r="H3530" s="756"/>
    </row>
    <row r="3531" spans="1:8" ht="15.75" thickBot="1" x14ac:dyDescent="0.3">
      <c r="A3531" s="748"/>
      <c r="B3531" s="764"/>
      <c r="C3531" s="765" t="s">
        <v>7044</v>
      </c>
      <c r="D3531" s="765"/>
      <c r="E3531" s="766" t="s">
        <v>7044</v>
      </c>
      <c r="F3531" s="817"/>
      <c r="G3531" s="818" t="s">
        <v>7044</v>
      </c>
      <c r="H3531" s="756"/>
    </row>
    <row r="3532" spans="1:8" ht="15.75" thickBot="1" x14ac:dyDescent="0.3">
      <c r="A3532" s="748"/>
      <c r="B3532" s="767"/>
      <c r="C3532" s="769" t="s">
        <v>7044</v>
      </c>
      <c r="D3532" s="769"/>
      <c r="E3532" s="770" t="s">
        <v>7044</v>
      </c>
      <c r="F3532" s="768"/>
      <c r="G3532" s="818" t="s">
        <v>7044</v>
      </c>
      <c r="H3532" s="771">
        <f>+SUM(G3519:G3532)</f>
        <v>475.13</v>
      </c>
    </row>
    <row r="3533" spans="1:8" ht="15.75" thickBot="1" x14ac:dyDescent="0.3">
      <c r="A3533" s="748"/>
      <c r="B3533" s="772"/>
      <c r="C3533" s="772"/>
      <c r="D3533" s="772"/>
      <c r="E3533" s="774"/>
      <c r="F3533" s="773"/>
      <c r="G3533" s="775"/>
      <c r="H3533" s="776"/>
    </row>
    <row r="3534" spans="1:8" ht="15.75" thickBot="1" x14ac:dyDescent="0.3">
      <c r="A3534" s="748"/>
      <c r="B3534" s="752" t="s">
        <v>5410</v>
      </c>
      <c r="C3534" s="753" t="s">
        <v>867</v>
      </c>
      <c r="D3534" s="753" t="s">
        <v>6</v>
      </c>
      <c r="E3534" s="754" t="s">
        <v>870</v>
      </c>
      <c r="F3534" s="753" t="s">
        <v>5411</v>
      </c>
      <c r="G3534" s="755" t="s">
        <v>868</v>
      </c>
      <c r="H3534" s="756"/>
    </row>
    <row r="3535" spans="1:8" x14ac:dyDescent="0.25">
      <c r="A3535" s="748"/>
      <c r="B3535" s="777"/>
      <c r="C3535" s="819" t="s">
        <v>7044</v>
      </c>
      <c r="D3535" s="819"/>
      <c r="E3535" s="758" t="s">
        <v>7044</v>
      </c>
      <c r="F3535" s="819"/>
      <c r="G3535" s="818" t="s">
        <v>7044</v>
      </c>
      <c r="H3535" s="756"/>
    </row>
    <row r="3536" spans="1:8" x14ac:dyDescent="0.25">
      <c r="A3536" s="748"/>
      <c r="B3536" s="778"/>
      <c r="C3536" s="817" t="s">
        <v>7044</v>
      </c>
      <c r="D3536" s="817"/>
      <c r="E3536" s="761" t="s">
        <v>7044</v>
      </c>
      <c r="F3536" s="817"/>
      <c r="G3536" s="818" t="s">
        <v>7044</v>
      </c>
      <c r="H3536" s="756"/>
    </row>
    <row r="3537" spans="1:8" x14ac:dyDescent="0.25">
      <c r="A3537" s="748"/>
      <c r="B3537" s="778"/>
      <c r="C3537" s="817" t="s">
        <v>7044</v>
      </c>
      <c r="D3537" s="817"/>
      <c r="E3537" s="758" t="s">
        <v>7044</v>
      </c>
      <c r="F3537" s="817"/>
      <c r="G3537" s="818" t="s">
        <v>7044</v>
      </c>
      <c r="H3537" s="756"/>
    </row>
    <row r="3538" spans="1:8" ht="15.75" thickBot="1" x14ac:dyDescent="0.3">
      <c r="A3538" s="748"/>
      <c r="B3538" s="764"/>
      <c r="C3538" s="817" t="s">
        <v>7044</v>
      </c>
      <c r="D3538" s="817"/>
      <c r="E3538" s="758" t="s">
        <v>7044</v>
      </c>
      <c r="F3538" s="817"/>
      <c r="G3538" s="818" t="s">
        <v>7044</v>
      </c>
      <c r="H3538" s="756"/>
    </row>
    <row r="3539" spans="1:8" ht="15.75" thickBot="1" x14ac:dyDescent="0.3">
      <c r="A3539" s="748"/>
      <c r="B3539" s="767"/>
      <c r="C3539" s="769" t="s">
        <v>7044</v>
      </c>
      <c r="D3539" s="769"/>
      <c r="E3539" s="770" t="s">
        <v>7044</v>
      </c>
      <c r="F3539" s="768"/>
      <c r="G3539" s="818" t="s">
        <v>7044</v>
      </c>
      <c r="H3539" s="771">
        <f>+SUM(G3535:G3539)</f>
        <v>0</v>
      </c>
    </row>
    <row r="3540" spans="1:8" ht="15.75" thickBot="1" x14ac:dyDescent="0.3">
      <c r="A3540" s="748"/>
      <c r="B3540" s="772"/>
      <c r="C3540" s="772"/>
      <c r="D3540" s="772"/>
      <c r="E3540" s="774"/>
      <c r="F3540" s="779"/>
      <c r="G3540" s="780"/>
      <c r="H3540" s="776"/>
    </row>
    <row r="3541" spans="1:8" ht="15.75" thickBot="1" x14ac:dyDescent="0.3">
      <c r="A3541" s="748"/>
      <c r="B3541" s="752" t="s">
        <v>5412</v>
      </c>
      <c r="C3541" s="753" t="s">
        <v>5420</v>
      </c>
      <c r="D3541" s="753" t="s">
        <v>5421</v>
      </c>
      <c r="E3541" s="754" t="s">
        <v>5413</v>
      </c>
      <c r="F3541" s="753" t="s">
        <v>5405</v>
      </c>
      <c r="G3541" s="755" t="s">
        <v>868</v>
      </c>
      <c r="H3541" s="756"/>
    </row>
    <row r="3542" spans="1:8" x14ac:dyDescent="0.25">
      <c r="A3542" s="748"/>
      <c r="B3542" s="781" t="s">
        <v>6523</v>
      </c>
      <c r="C3542" s="345">
        <f>+VLOOKUP($B3542,'Mano de obra'!$A$5:$D$26,2,FALSE)</f>
        <v>57454</v>
      </c>
      <c r="D3542" s="345">
        <f>+VLOOKUP($B3542,'Mano de obra'!$A$5:$D$26,3,FALSE)</f>
        <v>35656</v>
      </c>
      <c r="E3542" s="345">
        <f>+VLOOKUP($B3542,'Mano de obra'!$A$5:$D$26,4,FALSE)</f>
        <v>93110</v>
      </c>
      <c r="F3542" s="819">
        <v>1000</v>
      </c>
      <c r="G3542" s="818">
        <f>IF(B3542="","",E3542/F3542)</f>
        <v>93.11</v>
      </c>
      <c r="H3542" s="756"/>
    </row>
    <row r="3543" spans="1:8" x14ac:dyDescent="0.25">
      <c r="A3543" s="748"/>
      <c r="B3543" s="781" t="s">
        <v>6524</v>
      </c>
      <c r="C3543" s="345">
        <f>+VLOOKUP($B3543,'Mano de obra'!$A$5:$D$26,2,FALSE)</f>
        <v>44263.8</v>
      </c>
      <c r="D3543" s="345">
        <f>+VLOOKUP($B3543,'Mano de obra'!$A$5:$D$26,3,FALSE)</f>
        <v>27470</v>
      </c>
      <c r="E3543" s="345">
        <f>+VLOOKUP($B3543,'Mano de obra'!$A$5:$D$26,4,FALSE)</f>
        <v>71733.8</v>
      </c>
      <c r="F3543" s="819">
        <v>45</v>
      </c>
      <c r="G3543" s="818">
        <f>IF(B3543="","",E3543/F3543)</f>
        <v>1594.0844444444444</v>
      </c>
      <c r="H3543" s="756"/>
    </row>
    <row r="3544" spans="1:8" x14ac:dyDescent="0.25">
      <c r="A3544" s="748"/>
      <c r="B3544" s="764" t="s">
        <v>6525</v>
      </c>
      <c r="C3544" s="345">
        <f>+VLOOKUP($B3544,'Mano de obra'!$A$5:$D$26,2,FALSE)</f>
        <v>24591</v>
      </c>
      <c r="D3544" s="345">
        <f>+VLOOKUP($B3544,'Mano de obra'!$A$5:$D$26,3,FALSE)</f>
        <v>15261</v>
      </c>
      <c r="E3544" s="345">
        <f>+VLOOKUP($B3544,'Mano de obra'!$A$5:$D$26,4,FALSE)</f>
        <v>39852</v>
      </c>
      <c r="F3544" s="817">
        <v>25</v>
      </c>
      <c r="G3544" s="818">
        <f>IF(B3544="","",E3544/F3544)</f>
        <v>1594.08</v>
      </c>
      <c r="H3544" s="756"/>
    </row>
    <row r="3545" spans="1:8" x14ac:dyDescent="0.25">
      <c r="A3545" s="748"/>
      <c r="B3545" s="764"/>
      <c r="C3545" s="782" t="s">
        <v>7044</v>
      </c>
      <c r="D3545" s="765" t="s">
        <v>7044</v>
      </c>
      <c r="E3545" s="766" t="s">
        <v>7044</v>
      </c>
      <c r="F3545" s="817"/>
      <c r="G3545" s="783" t="str">
        <f>IF(B3545="","",E3545/F3545)</f>
        <v/>
      </c>
      <c r="H3545" s="756"/>
    </row>
    <row r="3546" spans="1:8" ht="15.75" thickBot="1" x14ac:dyDescent="0.3">
      <c r="A3546" s="748"/>
      <c r="B3546" s="764"/>
      <c r="C3546" s="766" t="s">
        <v>7044</v>
      </c>
      <c r="D3546" s="765" t="s">
        <v>7044</v>
      </c>
      <c r="E3546" s="766" t="s">
        <v>7044</v>
      </c>
      <c r="F3546" s="817"/>
      <c r="G3546" s="783" t="s">
        <v>7044</v>
      </c>
      <c r="H3546" s="756"/>
    </row>
    <row r="3547" spans="1:8" ht="15.75" thickBot="1" x14ac:dyDescent="0.3">
      <c r="A3547" s="748"/>
      <c r="B3547" s="784"/>
      <c r="C3547" s="785" t="s">
        <v>7044</v>
      </c>
      <c r="D3547" s="964" t="s">
        <v>7044</v>
      </c>
      <c r="E3547" s="785" t="s">
        <v>7044</v>
      </c>
      <c r="F3547" s="786"/>
      <c r="G3547" s="787" t="s">
        <v>7044</v>
      </c>
      <c r="H3547" s="771">
        <f>+SUM(G3542:G3547)</f>
        <v>3281.2744444444443</v>
      </c>
    </row>
    <row r="3548" spans="1:8" ht="15.75" thickBot="1" x14ac:dyDescent="0.3">
      <c r="A3548" s="748"/>
      <c r="B3548" s="748"/>
      <c r="C3548" s="748"/>
      <c r="D3548" s="748"/>
      <c r="E3548" s="748"/>
      <c r="F3548" s="749"/>
      <c r="G3548" s="748"/>
      <c r="H3548" s="748"/>
    </row>
    <row r="3549" spans="1:8" ht="15.75" thickBot="1" x14ac:dyDescent="0.3">
      <c r="A3549" s="133" t="s">
        <v>6744</v>
      </c>
      <c r="B3549" s="748"/>
      <c r="C3549" s="748"/>
      <c r="D3549" s="748"/>
      <c r="E3549" s="788" t="s">
        <v>5415</v>
      </c>
      <c r="F3549" s="749"/>
      <c r="G3549" s="748"/>
      <c r="H3549" s="789">
        <f>+ROUND(SUM(H3514:H3547),0)</f>
        <v>4240</v>
      </c>
    </row>
    <row r="3550" spans="1:8" x14ac:dyDescent="0.25">
      <c r="A3550" s="748"/>
      <c r="B3550" s="748"/>
      <c r="C3550" s="748"/>
      <c r="D3550" s="748"/>
      <c r="E3550" s="748"/>
      <c r="F3550" s="749"/>
      <c r="G3550" s="748"/>
      <c r="H3550" s="748"/>
    </row>
    <row r="3551" spans="1:8" x14ac:dyDescent="0.25">
      <c r="A3551" s="749"/>
      <c r="B3551" s="748"/>
      <c r="C3551" s="748"/>
      <c r="D3551" s="748"/>
      <c r="E3551" s="748"/>
      <c r="F3551" s="749"/>
      <c r="G3551" s="748"/>
      <c r="H3551" s="748"/>
    </row>
    <row r="3552" spans="1:8" x14ac:dyDescent="0.25">
      <c r="A3552" s="750" t="s">
        <v>3</v>
      </c>
      <c r="B3552" s="1390" t="str">
        <f>+VLOOKUP(C3552,ListaAPUs!$B:$E,4,FALSE)</f>
        <v>4.3.2</v>
      </c>
      <c r="C3552" s="2449" t="str">
        <f>+ListaAPUs!B113</f>
        <v>INSTALACIÓN TUBERÍA PVC UNIÓN MECÁNICA D=150 MM (INCLUYE PRUEBA HIDROSTATICA)</v>
      </c>
      <c r="D3552" s="2449"/>
      <c r="E3552" s="2449"/>
      <c r="F3552" s="750" t="s">
        <v>867</v>
      </c>
      <c r="G3552" s="750" t="s">
        <v>5734</v>
      </c>
      <c r="H3552" s="748"/>
    </row>
    <row r="3553" spans="1:8" x14ac:dyDescent="0.25">
      <c r="A3553" s="749"/>
      <c r="B3553" s="748"/>
      <c r="C3553" s="748"/>
      <c r="D3553" s="748"/>
      <c r="E3553" s="748"/>
      <c r="F3553" s="749"/>
      <c r="G3553" s="748"/>
      <c r="H3553" s="748"/>
    </row>
    <row r="3554" spans="1:8" x14ac:dyDescent="0.25">
      <c r="A3554" s="749"/>
      <c r="B3554" s="748"/>
      <c r="C3554" s="748"/>
      <c r="D3554" s="748"/>
      <c r="E3554" s="748"/>
      <c r="F3554" s="749"/>
      <c r="G3554" s="751"/>
      <c r="H3554" s="748"/>
    </row>
    <row r="3555" spans="1:8" ht="15.75" thickBot="1" x14ac:dyDescent="0.3">
      <c r="A3555" s="749"/>
      <c r="B3555" s="748"/>
      <c r="C3555" s="748"/>
      <c r="D3555" s="748"/>
      <c r="E3555" s="748"/>
      <c r="F3555" s="749"/>
      <c r="G3555" s="748"/>
      <c r="H3555" s="748"/>
    </row>
    <row r="3556" spans="1:8" ht="15.75" thickBot="1" x14ac:dyDescent="0.3">
      <c r="A3556" s="749"/>
      <c r="B3556" s="752" t="s">
        <v>5403</v>
      </c>
      <c r="C3556" s="753" t="s">
        <v>867</v>
      </c>
      <c r="D3556" s="753" t="s">
        <v>6</v>
      </c>
      <c r="E3556" s="754" t="s">
        <v>5404</v>
      </c>
      <c r="F3556" s="753" t="s">
        <v>5405</v>
      </c>
      <c r="G3556" s="755" t="s">
        <v>868</v>
      </c>
      <c r="H3556" s="756"/>
    </row>
    <row r="3557" spans="1:8" x14ac:dyDescent="0.25">
      <c r="A3557" s="749"/>
      <c r="B3557" s="757" t="s">
        <v>5455</v>
      </c>
      <c r="C3557" s="819" t="s">
        <v>7042</v>
      </c>
      <c r="D3557" s="819">
        <v>1</v>
      </c>
      <c r="E3557" s="758">
        <f>+H3595</f>
        <v>7665</v>
      </c>
      <c r="F3557" s="759">
        <v>0.05</v>
      </c>
      <c r="G3557" s="818">
        <f>+E3557*F3557</f>
        <v>383.25</v>
      </c>
      <c r="H3557" s="756"/>
    </row>
    <row r="3558" spans="1:8" x14ac:dyDescent="0.25">
      <c r="A3558" s="749"/>
      <c r="B3558" s="760" t="s">
        <v>7039</v>
      </c>
      <c r="C3558" s="817" t="s">
        <v>7043</v>
      </c>
      <c r="D3558" s="817">
        <v>1</v>
      </c>
      <c r="E3558" s="975">
        <f>+VLOOKUP(B3558,Insumos!$A$2:$C$331,3,FALSE)</f>
        <v>52500</v>
      </c>
      <c r="F3558" s="762">
        <v>9.5049999999999996E-3</v>
      </c>
      <c r="G3558" s="818">
        <f>+E3558*F3558</f>
        <v>499.01249999999999</v>
      </c>
      <c r="H3558" s="756"/>
    </row>
    <row r="3559" spans="1:8" x14ac:dyDescent="0.25">
      <c r="A3559" s="749"/>
      <c r="B3559" s="763"/>
      <c r="C3559" s="817" t="s">
        <v>7044</v>
      </c>
      <c r="D3559" s="817"/>
      <c r="E3559" s="761" t="s">
        <v>7044</v>
      </c>
      <c r="F3559" s="817"/>
      <c r="G3559" s="818" t="s">
        <v>7044</v>
      </c>
      <c r="H3559" s="756"/>
    </row>
    <row r="3560" spans="1:8" x14ac:dyDescent="0.25">
      <c r="A3560" s="749"/>
      <c r="B3560" s="764"/>
      <c r="C3560" s="817" t="s">
        <v>7044</v>
      </c>
      <c r="D3560" s="765"/>
      <c r="E3560" s="766" t="s">
        <v>7044</v>
      </c>
      <c r="F3560" s="817"/>
      <c r="G3560" s="818" t="s">
        <v>7044</v>
      </c>
      <c r="H3560" s="756"/>
    </row>
    <row r="3561" spans="1:8" x14ac:dyDescent="0.25">
      <c r="A3561" s="749"/>
      <c r="B3561" s="764"/>
      <c r="C3561" s="817" t="s">
        <v>7044</v>
      </c>
      <c r="D3561" s="765"/>
      <c r="E3561" s="766" t="s">
        <v>7044</v>
      </c>
      <c r="F3561" s="817"/>
      <c r="G3561" s="818" t="s">
        <v>7044</v>
      </c>
      <c r="H3561" s="756"/>
    </row>
    <row r="3562" spans="1:8" x14ac:dyDescent="0.25">
      <c r="A3562" s="749"/>
      <c r="B3562" s="764"/>
      <c r="C3562" s="817" t="s">
        <v>7044</v>
      </c>
      <c r="D3562" s="765"/>
      <c r="E3562" s="766" t="s">
        <v>7044</v>
      </c>
      <c r="F3562" s="817"/>
      <c r="G3562" s="818" t="s">
        <v>7044</v>
      </c>
      <c r="H3562" s="756"/>
    </row>
    <row r="3563" spans="1:8" ht="15.75" thickBot="1" x14ac:dyDescent="0.3">
      <c r="A3563" s="749"/>
      <c r="B3563" s="764"/>
      <c r="C3563" s="817" t="s">
        <v>7044</v>
      </c>
      <c r="D3563" s="765"/>
      <c r="E3563" s="766" t="s">
        <v>7044</v>
      </c>
      <c r="F3563" s="817"/>
      <c r="G3563" s="818" t="s">
        <v>7044</v>
      </c>
      <c r="H3563" s="756"/>
    </row>
    <row r="3564" spans="1:8" ht="15.75" thickBot="1" x14ac:dyDescent="0.3">
      <c r="A3564" s="749"/>
      <c r="B3564" s="767"/>
      <c r="C3564" s="768" t="s">
        <v>7044</v>
      </c>
      <c r="D3564" s="769"/>
      <c r="E3564" s="770" t="s">
        <v>7044</v>
      </c>
      <c r="F3564" s="768"/>
      <c r="G3564" s="818" t="s">
        <v>7044</v>
      </c>
      <c r="H3564" s="771">
        <f>+SUM(G3557:G3564)</f>
        <v>882.26250000000005</v>
      </c>
    </row>
    <row r="3565" spans="1:8" ht="15.75" thickBot="1" x14ac:dyDescent="0.3">
      <c r="A3565" s="749"/>
      <c r="B3565" s="772"/>
      <c r="C3565" s="773"/>
      <c r="D3565" s="772"/>
      <c r="E3565" s="774"/>
      <c r="F3565" s="773"/>
      <c r="G3565" s="775"/>
      <c r="H3565" s="776"/>
    </row>
    <row r="3566" spans="1:8" ht="15.75" thickBot="1" x14ac:dyDescent="0.3">
      <c r="A3566" s="748"/>
      <c r="B3566" s="752" t="s">
        <v>5408</v>
      </c>
      <c r="C3566" s="753" t="s">
        <v>867</v>
      </c>
      <c r="D3566" s="753" t="s">
        <v>6</v>
      </c>
      <c r="E3566" s="754" t="s">
        <v>870</v>
      </c>
      <c r="F3566" s="753" t="s">
        <v>7040</v>
      </c>
      <c r="G3566" s="755" t="s">
        <v>868</v>
      </c>
      <c r="H3566" s="756"/>
    </row>
    <row r="3567" spans="1:8" ht="25.5" x14ac:dyDescent="0.25">
      <c r="A3567" s="748"/>
      <c r="B3567" s="777" t="s">
        <v>7041</v>
      </c>
      <c r="C3567" s="819" t="s">
        <v>5486</v>
      </c>
      <c r="D3567" s="819">
        <v>2.2222222222222223E-2</v>
      </c>
      <c r="E3567" s="758">
        <v>14072</v>
      </c>
      <c r="F3567" s="819"/>
      <c r="G3567" s="818">
        <f>+D3567*E3567</f>
        <v>312.71111111111111</v>
      </c>
      <c r="H3567" s="756"/>
    </row>
    <row r="3568" spans="1:8" x14ac:dyDescent="0.25">
      <c r="A3568" s="748"/>
      <c r="B3568" s="778" t="s">
        <v>6939</v>
      </c>
      <c r="C3568" s="817" t="s">
        <v>7045</v>
      </c>
      <c r="D3568" s="817">
        <v>475.03</v>
      </c>
      <c r="E3568" s="975">
        <f>+VLOOKUP(B3568,Insumos!$A$2:$C$331,3,FALSE)</f>
        <v>1</v>
      </c>
      <c r="F3568" s="819"/>
      <c r="G3568" s="818">
        <f>+D3568*E3568</f>
        <v>475.03</v>
      </c>
      <c r="H3568" s="756"/>
    </row>
    <row r="3569" spans="1:8" x14ac:dyDescent="0.25">
      <c r="A3569" s="748"/>
      <c r="B3569" s="778" t="s">
        <v>6855</v>
      </c>
      <c r="C3569" s="817" t="s">
        <v>7046</v>
      </c>
      <c r="D3569" s="817">
        <v>19.010000000000002</v>
      </c>
      <c r="E3569" s="975">
        <f>+VLOOKUP(B3569,Insumos!$A$2:$C$331,3,FALSE)</f>
        <v>30</v>
      </c>
      <c r="F3569" s="819"/>
      <c r="G3569" s="818">
        <f>+D3569*E3569</f>
        <v>570.30000000000007</v>
      </c>
      <c r="H3569" s="756"/>
    </row>
    <row r="3570" spans="1:8" x14ac:dyDescent="0.25">
      <c r="A3570" s="748"/>
      <c r="B3570" s="764"/>
      <c r="C3570" s="817" t="s">
        <v>7044</v>
      </c>
      <c r="D3570" s="817"/>
      <c r="E3570" s="758" t="s">
        <v>7044</v>
      </c>
      <c r="F3570" s="817"/>
      <c r="G3570" s="818" t="s">
        <v>7044</v>
      </c>
      <c r="H3570" s="756"/>
    </row>
    <row r="3571" spans="1:8" x14ac:dyDescent="0.25">
      <c r="A3571" s="748"/>
      <c r="B3571" s="764"/>
      <c r="C3571" s="817" t="s">
        <v>7044</v>
      </c>
      <c r="D3571" s="817"/>
      <c r="E3571" s="758" t="s">
        <v>7044</v>
      </c>
      <c r="F3571" s="817"/>
      <c r="G3571" s="818" t="s">
        <v>7044</v>
      </c>
      <c r="H3571" s="756"/>
    </row>
    <row r="3572" spans="1:8" x14ac:dyDescent="0.25">
      <c r="A3572" s="748"/>
      <c r="B3572" s="764"/>
      <c r="C3572" s="817" t="s">
        <v>7044</v>
      </c>
      <c r="D3572" s="817"/>
      <c r="E3572" s="758" t="s">
        <v>7044</v>
      </c>
      <c r="F3572" s="817"/>
      <c r="G3572" s="818" t="s">
        <v>7044</v>
      </c>
      <c r="H3572" s="756"/>
    </row>
    <row r="3573" spans="1:8" x14ac:dyDescent="0.25">
      <c r="A3573" s="748"/>
      <c r="B3573" s="764"/>
      <c r="C3573" s="817" t="s">
        <v>7044</v>
      </c>
      <c r="D3573" s="817"/>
      <c r="E3573" s="758" t="s">
        <v>7044</v>
      </c>
      <c r="F3573" s="817"/>
      <c r="G3573" s="818" t="s">
        <v>7044</v>
      </c>
      <c r="H3573" s="756"/>
    </row>
    <row r="3574" spans="1:8" x14ac:dyDescent="0.25">
      <c r="A3574" s="748"/>
      <c r="B3574" s="764"/>
      <c r="C3574" s="817" t="s">
        <v>7044</v>
      </c>
      <c r="D3574" s="817"/>
      <c r="E3574" s="758" t="s">
        <v>7044</v>
      </c>
      <c r="F3574" s="817"/>
      <c r="G3574" s="818" t="s">
        <v>7044</v>
      </c>
      <c r="H3574" s="756"/>
    </row>
    <row r="3575" spans="1:8" x14ac:dyDescent="0.25">
      <c r="A3575" s="748"/>
      <c r="B3575" s="764"/>
      <c r="C3575" s="817" t="s">
        <v>7044</v>
      </c>
      <c r="D3575" s="817"/>
      <c r="E3575" s="758" t="s">
        <v>7044</v>
      </c>
      <c r="F3575" s="817"/>
      <c r="G3575" s="818" t="s">
        <v>7044</v>
      </c>
      <c r="H3575" s="756"/>
    </row>
    <row r="3576" spans="1:8" x14ac:dyDescent="0.25">
      <c r="A3576" s="748"/>
      <c r="B3576" s="764"/>
      <c r="C3576" s="817" t="s">
        <v>7044</v>
      </c>
      <c r="D3576" s="817"/>
      <c r="E3576" s="758" t="s">
        <v>7044</v>
      </c>
      <c r="F3576" s="817"/>
      <c r="G3576" s="818" t="s">
        <v>7044</v>
      </c>
      <c r="H3576" s="756"/>
    </row>
    <row r="3577" spans="1:8" x14ac:dyDescent="0.25">
      <c r="A3577" s="748"/>
      <c r="B3577" s="764"/>
      <c r="C3577" s="817" t="s">
        <v>7044</v>
      </c>
      <c r="D3577" s="817"/>
      <c r="E3577" s="758" t="s">
        <v>7044</v>
      </c>
      <c r="F3577" s="817"/>
      <c r="G3577" s="818" t="s">
        <v>7044</v>
      </c>
      <c r="H3577" s="756"/>
    </row>
    <row r="3578" spans="1:8" x14ac:dyDescent="0.25">
      <c r="A3578" s="748"/>
      <c r="B3578" s="764"/>
      <c r="C3578" s="765" t="s">
        <v>7044</v>
      </c>
      <c r="D3578" s="765"/>
      <c r="E3578" s="766" t="s">
        <v>7044</v>
      </c>
      <c r="F3578" s="817"/>
      <c r="G3578" s="818" t="s">
        <v>7044</v>
      </c>
      <c r="H3578" s="756"/>
    </row>
    <row r="3579" spans="1:8" ht="15.75" thickBot="1" x14ac:dyDescent="0.3">
      <c r="A3579" s="748"/>
      <c r="B3579" s="764"/>
      <c r="C3579" s="765" t="s">
        <v>7044</v>
      </c>
      <c r="D3579" s="765"/>
      <c r="E3579" s="766" t="s">
        <v>7044</v>
      </c>
      <c r="F3579" s="817"/>
      <c r="G3579" s="818" t="s">
        <v>7044</v>
      </c>
      <c r="H3579" s="756"/>
    </row>
    <row r="3580" spans="1:8" ht="15.75" thickBot="1" x14ac:dyDescent="0.3">
      <c r="A3580" s="748"/>
      <c r="B3580" s="767"/>
      <c r="C3580" s="769" t="s">
        <v>7044</v>
      </c>
      <c r="D3580" s="769"/>
      <c r="E3580" s="770" t="s">
        <v>7044</v>
      </c>
      <c r="F3580" s="768"/>
      <c r="G3580" s="818" t="s">
        <v>7044</v>
      </c>
      <c r="H3580" s="771">
        <f>+SUM(G3567:G3580)</f>
        <v>1358.0411111111111</v>
      </c>
    </row>
    <row r="3581" spans="1:8" ht="15.75" thickBot="1" x14ac:dyDescent="0.3">
      <c r="A3581" s="748"/>
      <c r="B3581" s="772"/>
      <c r="C3581" s="772"/>
      <c r="D3581" s="772"/>
      <c r="E3581" s="774"/>
      <c r="F3581" s="773"/>
      <c r="G3581" s="775"/>
      <c r="H3581" s="776"/>
    </row>
    <row r="3582" spans="1:8" ht="15.75" thickBot="1" x14ac:dyDescent="0.3">
      <c r="A3582" s="748"/>
      <c r="B3582" s="752" t="s">
        <v>5410</v>
      </c>
      <c r="C3582" s="753" t="s">
        <v>867</v>
      </c>
      <c r="D3582" s="753" t="s">
        <v>6</v>
      </c>
      <c r="E3582" s="754" t="s">
        <v>870</v>
      </c>
      <c r="F3582" s="753" t="s">
        <v>5411</v>
      </c>
      <c r="G3582" s="755" t="s">
        <v>868</v>
      </c>
      <c r="H3582" s="756"/>
    </row>
    <row r="3583" spans="1:8" x14ac:dyDescent="0.25">
      <c r="A3583" s="748"/>
      <c r="B3583" s="777"/>
      <c r="C3583" s="819" t="s">
        <v>7044</v>
      </c>
      <c r="D3583" s="819"/>
      <c r="E3583" s="758" t="s">
        <v>7044</v>
      </c>
      <c r="F3583" s="819"/>
      <c r="G3583" s="818" t="s">
        <v>7044</v>
      </c>
      <c r="H3583" s="756"/>
    </row>
    <row r="3584" spans="1:8" x14ac:dyDescent="0.25">
      <c r="A3584" s="748"/>
      <c r="B3584" s="778"/>
      <c r="C3584" s="817" t="s">
        <v>7044</v>
      </c>
      <c r="D3584" s="817"/>
      <c r="E3584" s="761" t="s">
        <v>7044</v>
      </c>
      <c r="F3584" s="817"/>
      <c r="G3584" s="818" t="s">
        <v>7044</v>
      </c>
      <c r="H3584" s="756"/>
    </row>
    <row r="3585" spans="1:8" x14ac:dyDescent="0.25">
      <c r="A3585" s="748"/>
      <c r="B3585" s="778"/>
      <c r="C3585" s="817" t="s">
        <v>7044</v>
      </c>
      <c r="D3585" s="817"/>
      <c r="E3585" s="758" t="s">
        <v>7044</v>
      </c>
      <c r="F3585" s="817"/>
      <c r="G3585" s="818" t="s">
        <v>7044</v>
      </c>
      <c r="H3585" s="756"/>
    </row>
    <row r="3586" spans="1:8" ht="15.75" thickBot="1" x14ac:dyDescent="0.3">
      <c r="A3586" s="748"/>
      <c r="B3586" s="764"/>
      <c r="C3586" s="817" t="s">
        <v>7044</v>
      </c>
      <c r="D3586" s="817"/>
      <c r="E3586" s="758" t="s">
        <v>7044</v>
      </c>
      <c r="F3586" s="817"/>
      <c r="G3586" s="818" t="s">
        <v>7044</v>
      </c>
      <c r="H3586" s="756"/>
    </row>
    <row r="3587" spans="1:8" ht="15.75" thickBot="1" x14ac:dyDescent="0.3">
      <c r="A3587" s="748"/>
      <c r="B3587" s="767"/>
      <c r="C3587" s="769" t="s">
        <v>7044</v>
      </c>
      <c r="D3587" s="769"/>
      <c r="E3587" s="770" t="s">
        <v>7044</v>
      </c>
      <c r="F3587" s="768"/>
      <c r="G3587" s="818" t="s">
        <v>7044</v>
      </c>
      <c r="H3587" s="771">
        <v>0</v>
      </c>
    </row>
    <row r="3588" spans="1:8" ht="15.75" thickBot="1" x14ac:dyDescent="0.3">
      <c r="A3588" s="748"/>
      <c r="B3588" s="772"/>
      <c r="C3588" s="772"/>
      <c r="D3588" s="772"/>
      <c r="E3588" s="774"/>
      <c r="F3588" s="779"/>
      <c r="G3588" s="780"/>
      <c r="H3588" s="776"/>
    </row>
    <row r="3589" spans="1:8" ht="15.75" thickBot="1" x14ac:dyDescent="0.3">
      <c r="A3589" s="748"/>
      <c r="B3589" s="752" t="s">
        <v>5412</v>
      </c>
      <c r="C3589" s="753" t="s">
        <v>5420</v>
      </c>
      <c r="D3589" s="753" t="s">
        <v>5421</v>
      </c>
      <c r="E3589" s="754" t="s">
        <v>5413</v>
      </c>
      <c r="F3589" s="753" t="s">
        <v>5405</v>
      </c>
      <c r="G3589" s="755" t="s">
        <v>868</v>
      </c>
      <c r="H3589" s="756"/>
    </row>
    <row r="3590" spans="1:8" x14ac:dyDescent="0.25">
      <c r="A3590" s="748"/>
      <c r="B3590" s="781" t="s">
        <v>6523</v>
      </c>
      <c r="C3590" s="345">
        <f>+VLOOKUP($B3590,'Mano de obra'!$A$5:$D$26,2,FALSE)</f>
        <v>57454</v>
      </c>
      <c r="D3590" s="345">
        <f>+VLOOKUP($B3590,'Mano de obra'!$A$5:$D$26,3,FALSE)</f>
        <v>35656</v>
      </c>
      <c r="E3590" s="345">
        <f>+VLOOKUP($B3590,'Mano de obra'!$A$5:$D$26,4,FALSE)</f>
        <v>93110</v>
      </c>
      <c r="F3590" s="819">
        <v>1000</v>
      </c>
      <c r="G3590" s="818">
        <f>+E3590/F3590</f>
        <v>93.11</v>
      </c>
      <c r="H3590" s="756"/>
    </row>
    <row r="3591" spans="1:8" x14ac:dyDescent="0.25">
      <c r="A3591" s="748"/>
      <c r="B3591" s="781" t="s">
        <v>6524</v>
      </c>
      <c r="C3591" s="345">
        <f>+VLOOKUP($B3591,'Mano de obra'!$A$5:$D$26,2,FALSE)</f>
        <v>44263.8</v>
      </c>
      <c r="D3591" s="345">
        <f>+VLOOKUP($B3591,'Mano de obra'!$A$5:$D$26,3,FALSE)</f>
        <v>27470</v>
      </c>
      <c r="E3591" s="345">
        <f>+VLOOKUP($B3591,'Mano de obra'!$A$5:$D$26,4,FALSE)</f>
        <v>71733.8</v>
      </c>
      <c r="F3591" s="819">
        <v>20</v>
      </c>
      <c r="G3591" s="818">
        <f>+E3591/F3591</f>
        <v>3586.69</v>
      </c>
      <c r="H3591" s="756"/>
    </row>
    <row r="3592" spans="1:8" x14ac:dyDescent="0.25">
      <c r="A3592" s="748"/>
      <c r="B3592" s="764" t="s">
        <v>6525</v>
      </c>
      <c r="C3592" s="345">
        <f>+VLOOKUP($B3592,'Mano de obra'!$A$5:$D$26,2,FALSE)</f>
        <v>24591</v>
      </c>
      <c r="D3592" s="345">
        <f>+VLOOKUP($B3592,'Mano de obra'!$A$5:$D$26,3,FALSE)</f>
        <v>15261</v>
      </c>
      <c r="E3592" s="345">
        <f>+VLOOKUP($B3592,'Mano de obra'!$A$5:$D$26,4,FALSE)</f>
        <v>39852</v>
      </c>
      <c r="F3592" s="817">
        <v>10</v>
      </c>
      <c r="G3592" s="818">
        <f>+E3592/F3592</f>
        <v>3985.2</v>
      </c>
      <c r="H3592" s="756"/>
    </row>
    <row r="3593" spans="1:8" x14ac:dyDescent="0.25">
      <c r="A3593" s="748"/>
      <c r="B3593" s="764"/>
      <c r="C3593" s="782" t="s">
        <v>7044</v>
      </c>
      <c r="D3593" s="765" t="s">
        <v>7044</v>
      </c>
      <c r="E3593" s="766" t="s">
        <v>7044</v>
      </c>
      <c r="F3593" s="817"/>
      <c r="G3593" s="783" t="s">
        <v>7044</v>
      </c>
      <c r="H3593" s="756"/>
    </row>
    <row r="3594" spans="1:8" ht="15.75" thickBot="1" x14ac:dyDescent="0.3">
      <c r="A3594" s="748"/>
      <c r="B3594" s="764"/>
      <c r="C3594" s="766" t="s">
        <v>7044</v>
      </c>
      <c r="D3594" s="765" t="s">
        <v>7044</v>
      </c>
      <c r="E3594" s="766" t="s">
        <v>7044</v>
      </c>
      <c r="F3594" s="817"/>
      <c r="G3594" s="783" t="s">
        <v>7044</v>
      </c>
      <c r="H3594" s="756"/>
    </row>
    <row r="3595" spans="1:8" ht="15.75" thickBot="1" x14ac:dyDescent="0.3">
      <c r="A3595" s="748"/>
      <c r="B3595" s="784"/>
      <c r="C3595" s="785" t="s">
        <v>7044</v>
      </c>
      <c r="D3595" s="964" t="s">
        <v>7044</v>
      </c>
      <c r="E3595" s="785" t="s">
        <v>7044</v>
      </c>
      <c r="F3595" s="786"/>
      <c r="G3595" s="787" t="s">
        <v>7044</v>
      </c>
      <c r="H3595" s="771">
        <f>+SUM(G3590:G3595)</f>
        <v>7665</v>
      </c>
    </row>
    <row r="3596" spans="1:8" ht="15.75" thickBot="1" x14ac:dyDescent="0.3">
      <c r="A3596" s="748"/>
      <c r="B3596" s="748"/>
      <c r="C3596" s="748"/>
      <c r="D3596" s="748"/>
      <c r="E3596" s="748"/>
      <c r="F3596" s="749"/>
      <c r="G3596" s="748"/>
      <c r="H3596" s="748"/>
    </row>
    <row r="3597" spans="1:8" ht="15.75" thickBot="1" x14ac:dyDescent="0.3">
      <c r="A3597" s="133" t="s">
        <v>6744</v>
      </c>
      <c r="B3597" s="748"/>
      <c r="C3597" s="748"/>
      <c r="D3597" s="748"/>
      <c r="E3597" s="788" t="s">
        <v>5415</v>
      </c>
      <c r="F3597" s="749"/>
      <c r="G3597" s="748"/>
      <c r="H3597" s="789">
        <f>+H3595+H3587+H3580+H3564</f>
        <v>9905.3036111111123</v>
      </c>
    </row>
    <row r="3598" spans="1:8" x14ac:dyDescent="0.25">
      <c r="A3598" s="748"/>
      <c r="B3598" s="748"/>
      <c r="C3598" s="748"/>
      <c r="D3598" s="748"/>
      <c r="E3598" s="748"/>
      <c r="F3598" s="749"/>
      <c r="G3598" s="748"/>
      <c r="H3598" s="748"/>
    </row>
    <row r="3599" spans="1:8" x14ac:dyDescent="0.25">
      <c r="A3599" s="1058"/>
      <c r="B3599" s="1058"/>
      <c r="C3599" s="1058"/>
      <c r="D3599" s="957"/>
      <c r="E3599" s="1058"/>
      <c r="F3599" s="1058"/>
      <c r="G3599" s="1058"/>
      <c r="H3599" s="1058"/>
    </row>
    <row r="3600" spans="1:8" ht="29.25" customHeight="1" x14ac:dyDescent="0.25">
      <c r="A3600" s="750" t="s">
        <v>5482</v>
      </c>
      <c r="B3600" s="1390" t="str">
        <f>+VLOOKUP(C3600,ListaAPUs!$B:$E,4,FALSE)</f>
        <v>4.4.1</v>
      </c>
      <c r="C3600" s="2449" t="str">
        <f>+ListaAPUs!B116</f>
        <v xml:space="preserve"> INSTALACIÓN TUBERÍA EN HIERRO DÚCTIL 200MM (8")</v>
      </c>
      <c r="D3600" s="2449"/>
      <c r="E3600" s="2449"/>
      <c r="F3600" s="750" t="s">
        <v>867</v>
      </c>
      <c r="G3600" s="750" t="s">
        <v>14</v>
      </c>
      <c r="H3600" s="748"/>
    </row>
    <row r="3601" spans="1:8" x14ac:dyDescent="0.25">
      <c r="A3601" s="133"/>
      <c r="B3601" s="8"/>
      <c r="C3601" s="223"/>
      <c r="D3601" s="958"/>
      <c r="E3601" s="223"/>
      <c r="F3601" s="133"/>
      <c r="G3601" s="341"/>
      <c r="H3601" s="341"/>
    </row>
    <row r="3602" spans="1:8" x14ac:dyDescent="0.25">
      <c r="A3602" s="133"/>
      <c r="B3602" s="8"/>
      <c r="C3602" s="8"/>
      <c r="D3602" s="529"/>
      <c r="E3602" s="8"/>
      <c r="F3602" s="8"/>
      <c r="G3602" s="8"/>
      <c r="H3602" s="341"/>
    </row>
    <row r="3603" spans="1:8" ht="15.75" thickBot="1" x14ac:dyDescent="0.3">
      <c r="A3603" s="133"/>
      <c r="B3603" s="8"/>
      <c r="C3603" s="8"/>
      <c r="D3603" s="529"/>
      <c r="E3603" s="8"/>
      <c r="F3603" s="133"/>
      <c r="G3603" s="341"/>
      <c r="H3603" s="341"/>
    </row>
    <row r="3604" spans="1:8" ht="15.75" thickBot="1" x14ac:dyDescent="0.3">
      <c r="A3604" s="133"/>
      <c r="B3604" s="224" t="s">
        <v>5403</v>
      </c>
      <c r="C3604" s="193" t="s">
        <v>867</v>
      </c>
      <c r="D3604" s="951" t="s">
        <v>6</v>
      </c>
      <c r="E3604" s="193" t="s">
        <v>5439</v>
      </c>
      <c r="F3604" s="193" t="s">
        <v>5405</v>
      </c>
      <c r="G3604" s="343" t="s">
        <v>868</v>
      </c>
      <c r="H3604" s="341"/>
    </row>
    <row r="3605" spans="1:8" x14ac:dyDescent="0.25">
      <c r="A3605" s="133"/>
      <c r="B3605" s="195" t="s">
        <v>5455</v>
      </c>
      <c r="C3605" s="226" t="s">
        <v>7042</v>
      </c>
      <c r="D3605" s="212">
        <v>1</v>
      </c>
      <c r="E3605" s="228">
        <f>+H3643</f>
        <v>7390.4620000000004</v>
      </c>
      <c r="F3605" s="226">
        <v>0.05</v>
      </c>
      <c r="G3605" s="818">
        <f>+E3605*F3605</f>
        <v>369.52310000000006</v>
      </c>
      <c r="H3605" s="341"/>
    </row>
    <row r="3606" spans="1:8" x14ac:dyDescent="0.25">
      <c r="A3606" s="133"/>
      <c r="B3606" s="195" t="s">
        <v>6864</v>
      </c>
      <c r="C3606" s="226" t="s">
        <v>5734</v>
      </c>
      <c r="D3606" s="212">
        <v>1</v>
      </c>
      <c r="E3606" s="975">
        <f>+VLOOKUP(B3606,Insumos!$A$2:$C$331,3,FALSE)</f>
        <v>189911.25599999999</v>
      </c>
      <c r="F3606" s="226">
        <f>0.025/2</f>
        <v>1.2500000000000001E-2</v>
      </c>
      <c r="G3606" s="818">
        <f>+E3606*F3606</f>
        <v>2373.8906999999999</v>
      </c>
      <c r="H3606" s="341"/>
    </row>
    <row r="3607" spans="1:8" x14ac:dyDescent="0.25">
      <c r="A3607" s="133"/>
      <c r="B3607" s="195"/>
      <c r="C3607" s="226"/>
      <c r="D3607" s="212"/>
      <c r="E3607" s="975"/>
      <c r="F3607" s="226"/>
      <c r="G3607" s="818"/>
      <c r="H3607" s="341"/>
    </row>
    <row r="3608" spans="1:8" x14ac:dyDescent="0.25">
      <c r="A3608" s="133"/>
      <c r="B3608" s="195"/>
      <c r="C3608" s="226"/>
      <c r="D3608" s="212"/>
      <c r="E3608" s="346"/>
      <c r="F3608" s="226"/>
      <c r="G3608" s="695"/>
      <c r="H3608" s="341"/>
    </row>
    <row r="3609" spans="1:8" x14ac:dyDescent="0.25">
      <c r="A3609" s="133"/>
      <c r="B3609" s="195"/>
      <c r="C3609" s="226"/>
      <c r="D3609" s="952"/>
      <c r="E3609" s="232"/>
      <c r="F3609" s="226"/>
      <c r="G3609" s="344"/>
      <c r="H3609" s="341"/>
    </row>
    <row r="3610" spans="1:8" ht="15.75" thickBot="1" x14ac:dyDescent="0.3">
      <c r="A3610" s="133"/>
      <c r="B3610" s="195"/>
      <c r="C3610" s="226"/>
      <c r="D3610" s="952"/>
      <c r="E3610" s="232"/>
      <c r="F3610" s="226"/>
      <c r="G3610" s="344"/>
      <c r="H3610" s="341"/>
    </row>
    <row r="3611" spans="1:8" ht="15.75" thickBot="1" x14ac:dyDescent="0.3">
      <c r="A3611" s="133"/>
      <c r="B3611" s="233"/>
      <c r="C3611" s="234"/>
      <c r="D3611" s="953"/>
      <c r="E3611" s="234"/>
      <c r="F3611" s="235"/>
      <c r="G3611" s="347"/>
      <c r="H3611" s="348">
        <f>+SUM(G3605:G3611)</f>
        <v>2743.4137999999998</v>
      </c>
    </row>
    <row r="3612" spans="1:8" ht="15.75" thickBot="1" x14ac:dyDescent="0.3">
      <c r="A3612" s="133"/>
      <c r="B3612" s="238"/>
      <c r="C3612" s="238"/>
      <c r="D3612" s="954"/>
      <c r="E3612" s="238"/>
      <c r="F3612" s="239"/>
      <c r="G3612" s="349"/>
      <c r="H3612" s="350"/>
    </row>
    <row r="3613" spans="1:8" ht="15.75" thickBot="1" x14ac:dyDescent="0.3">
      <c r="A3613" s="133"/>
      <c r="B3613" s="224" t="s">
        <v>5408</v>
      </c>
      <c r="C3613" s="193" t="s">
        <v>867</v>
      </c>
      <c r="D3613" s="951" t="s">
        <v>6</v>
      </c>
      <c r="E3613" s="193" t="s">
        <v>870</v>
      </c>
      <c r="F3613" s="193" t="s">
        <v>5409</v>
      </c>
      <c r="G3613" s="343" t="s">
        <v>868</v>
      </c>
      <c r="H3613" s="341"/>
    </row>
    <row r="3614" spans="1:8" x14ac:dyDescent="0.25">
      <c r="A3614" s="133"/>
      <c r="B3614" s="295"/>
      <c r="C3614" s="202"/>
      <c r="D3614" s="212"/>
      <c r="E3614" s="975"/>
      <c r="F3614" s="169"/>
      <c r="G3614" s="818"/>
      <c r="H3614" s="341"/>
    </row>
    <row r="3615" spans="1:8" x14ac:dyDescent="0.25">
      <c r="A3615" s="133"/>
      <c r="B3615" s="450"/>
      <c r="C3615" s="202"/>
      <c r="D3615" s="211"/>
      <c r="E3615" s="975"/>
      <c r="F3615" s="169"/>
      <c r="G3615" s="818"/>
      <c r="H3615" s="341"/>
    </row>
    <row r="3616" spans="1:8" x14ac:dyDescent="0.25">
      <c r="A3616" s="133"/>
      <c r="B3616" s="247"/>
      <c r="C3616" s="226"/>
      <c r="D3616" s="212"/>
      <c r="E3616" s="228"/>
      <c r="F3616" s="169"/>
      <c r="G3616" s="351"/>
      <c r="H3616" s="341"/>
    </row>
    <row r="3617" spans="1:8" x14ac:dyDescent="0.25">
      <c r="A3617" s="133"/>
      <c r="B3617" s="194"/>
      <c r="C3617" s="226"/>
      <c r="D3617" s="212"/>
      <c r="E3617" s="228"/>
      <c r="F3617" s="169"/>
      <c r="G3617" s="351"/>
      <c r="H3617" s="341"/>
    </row>
    <row r="3618" spans="1:8" x14ac:dyDescent="0.25">
      <c r="A3618" s="133"/>
      <c r="B3618" s="195"/>
      <c r="C3618" s="226"/>
      <c r="D3618" s="212"/>
      <c r="E3618" s="345"/>
      <c r="F3618" s="169"/>
      <c r="G3618" s="351"/>
      <c r="H3618" s="341"/>
    </row>
    <row r="3619" spans="1:8" x14ac:dyDescent="0.25">
      <c r="A3619" s="133"/>
      <c r="B3619" s="194"/>
      <c r="C3619" s="202"/>
      <c r="D3619" s="211"/>
      <c r="E3619" s="345"/>
      <c r="F3619" s="169"/>
      <c r="G3619" s="351"/>
      <c r="H3619" s="341"/>
    </row>
    <row r="3620" spans="1:8" x14ac:dyDescent="0.25">
      <c r="A3620" s="133"/>
      <c r="B3620" s="195"/>
      <c r="C3620" s="226"/>
      <c r="D3620" s="212"/>
      <c r="E3620" s="345"/>
      <c r="F3620" s="169"/>
      <c r="G3620" s="351"/>
      <c r="H3620" s="341"/>
    </row>
    <row r="3621" spans="1:8" x14ac:dyDescent="0.25">
      <c r="A3621" s="133"/>
      <c r="B3621" s="195"/>
      <c r="C3621" s="226"/>
      <c r="D3621" s="212"/>
      <c r="E3621" s="345"/>
      <c r="F3621" s="169"/>
      <c r="G3621" s="351"/>
      <c r="H3621" s="341"/>
    </row>
    <row r="3622" spans="1:8" x14ac:dyDescent="0.25">
      <c r="A3622" s="133"/>
      <c r="B3622" s="195"/>
      <c r="C3622" s="232"/>
      <c r="D3622" s="952"/>
      <c r="E3622" s="232"/>
      <c r="F3622" s="226"/>
      <c r="G3622" s="344"/>
      <c r="H3622" s="341"/>
    </row>
    <row r="3623" spans="1:8" x14ac:dyDescent="0.25">
      <c r="A3623" s="133"/>
      <c r="B3623" s="195"/>
      <c r="C3623" s="232"/>
      <c r="D3623" s="952"/>
      <c r="E3623" s="232"/>
      <c r="F3623" s="226"/>
      <c r="G3623" s="344"/>
      <c r="H3623" s="341"/>
    </row>
    <row r="3624" spans="1:8" x14ac:dyDescent="0.25">
      <c r="A3624" s="133"/>
      <c r="B3624" s="195"/>
      <c r="C3624" s="232"/>
      <c r="D3624" s="952"/>
      <c r="E3624" s="232"/>
      <c r="F3624" s="226"/>
      <c r="G3624" s="344"/>
      <c r="H3624" s="341"/>
    </row>
    <row r="3625" spans="1:8" ht="15.75" thickBot="1" x14ac:dyDescent="0.3">
      <c r="A3625" s="133"/>
      <c r="B3625" s="195"/>
      <c r="C3625" s="232"/>
      <c r="D3625" s="952"/>
      <c r="E3625" s="232"/>
      <c r="F3625" s="226"/>
      <c r="G3625" s="344"/>
      <c r="H3625" s="341"/>
    </row>
    <row r="3626" spans="1:8" ht="15.75" thickBot="1" x14ac:dyDescent="0.3">
      <c r="A3626" s="133"/>
      <c r="B3626" s="233"/>
      <c r="C3626" s="234"/>
      <c r="D3626" s="953"/>
      <c r="E3626" s="234"/>
      <c r="F3626" s="235"/>
      <c r="G3626" s="347"/>
      <c r="H3626" s="358">
        <f>+SUM(G3614:G3626)</f>
        <v>0</v>
      </c>
    </row>
    <row r="3627" spans="1:8" ht="15.75" thickBot="1" x14ac:dyDescent="0.3">
      <c r="A3627" s="133"/>
      <c r="B3627" s="238"/>
      <c r="C3627" s="238"/>
      <c r="D3627" s="954"/>
      <c r="E3627" s="238"/>
      <c r="F3627" s="239"/>
      <c r="G3627" s="349"/>
      <c r="H3627" s="350"/>
    </row>
    <row r="3628" spans="1:8" ht="15.75" thickBot="1" x14ac:dyDescent="0.3">
      <c r="A3628" s="133"/>
      <c r="B3628" s="224" t="s">
        <v>5410</v>
      </c>
      <c r="C3628" s="193" t="s">
        <v>867</v>
      </c>
      <c r="D3628" s="951" t="s">
        <v>6</v>
      </c>
      <c r="E3628" s="193" t="s">
        <v>870</v>
      </c>
      <c r="F3628" s="193" t="s">
        <v>5411</v>
      </c>
      <c r="G3628" s="343" t="s">
        <v>868</v>
      </c>
      <c r="H3628" s="341"/>
    </row>
    <row r="3629" spans="1:8" x14ac:dyDescent="0.25">
      <c r="A3629" s="133"/>
      <c r="B3629" s="245"/>
      <c r="C3629" s="202"/>
      <c r="D3629" s="211"/>
      <c r="E3629" s="353"/>
      <c r="F3629" s="202"/>
      <c r="G3629" s="354"/>
      <c r="H3629" s="355"/>
    </row>
    <row r="3630" spans="1:8" x14ac:dyDescent="0.25">
      <c r="A3630" s="133"/>
      <c r="B3630" s="247"/>
      <c r="C3630" s="248"/>
      <c r="D3630" s="961"/>
      <c r="E3630" s="248"/>
      <c r="F3630" s="202"/>
      <c r="G3630" s="351"/>
      <c r="H3630" s="341"/>
    </row>
    <row r="3631" spans="1:8" x14ac:dyDescent="0.25">
      <c r="A3631" s="133"/>
      <c r="B3631" s="247"/>
      <c r="C3631" s="232"/>
      <c r="D3631" s="952"/>
      <c r="E3631" s="232"/>
      <c r="F3631" s="226"/>
      <c r="G3631" s="344"/>
      <c r="H3631" s="341"/>
    </row>
    <row r="3632" spans="1:8" x14ac:dyDescent="0.25">
      <c r="A3632" s="133"/>
      <c r="B3632" s="194"/>
      <c r="C3632" s="232"/>
      <c r="D3632" s="952"/>
      <c r="E3632" s="232"/>
      <c r="F3632" s="226"/>
      <c r="G3632" s="344"/>
      <c r="H3632" s="341"/>
    </row>
    <row r="3633" spans="1:9" ht="15.75" thickBot="1" x14ac:dyDescent="0.3">
      <c r="A3633" s="133"/>
      <c r="B3633" s="195"/>
      <c r="C3633" s="232"/>
      <c r="D3633" s="952"/>
      <c r="E3633" s="232"/>
      <c r="F3633" s="226"/>
      <c r="G3633" s="344"/>
      <c r="H3633" s="341"/>
    </row>
    <row r="3634" spans="1:9" ht="15.75" thickBot="1" x14ac:dyDescent="0.3">
      <c r="A3634" s="133"/>
      <c r="B3634" s="233"/>
      <c r="C3634" s="234"/>
      <c r="D3634" s="953"/>
      <c r="E3634" s="234"/>
      <c r="F3634" s="235"/>
      <c r="G3634" s="347"/>
      <c r="H3634" s="348">
        <f>+SUM(G3629:G3634)</f>
        <v>0</v>
      </c>
    </row>
    <row r="3635" spans="1:9" ht="15.75" thickBot="1" x14ac:dyDescent="0.3">
      <c r="A3635" s="133"/>
      <c r="B3635" s="238"/>
      <c r="C3635" s="238"/>
      <c r="D3635" s="954"/>
      <c r="E3635" s="238"/>
      <c r="F3635" s="249"/>
      <c r="G3635" s="356"/>
      <c r="H3635" s="350"/>
    </row>
    <row r="3636" spans="1:9" ht="15.75" thickBot="1" x14ac:dyDescent="0.3">
      <c r="A3636" s="133"/>
      <c r="B3636" s="224" t="s">
        <v>5412</v>
      </c>
      <c r="C3636" s="193" t="s">
        <v>5420</v>
      </c>
      <c r="D3636" s="951" t="s">
        <v>5421</v>
      </c>
      <c r="E3636" s="193" t="s">
        <v>5413</v>
      </c>
      <c r="F3636" s="193" t="s">
        <v>5405</v>
      </c>
      <c r="G3636" s="343" t="s">
        <v>868</v>
      </c>
      <c r="H3636" s="341"/>
    </row>
    <row r="3637" spans="1:9" x14ac:dyDescent="0.25">
      <c r="A3637" s="133"/>
      <c r="B3637" s="194" t="s">
        <v>6523</v>
      </c>
      <c r="C3637" s="345">
        <f>+VLOOKUP($B3637,'Mano de obra'!$A$5:$D$26,2,FALSE)</f>
        <v>57454</v>
      </c>
      <c r="D3637" s="345">
        <f>+VLOOKUP($B3637,'Mano de obra'!$A$5:$D$26,3,FALSE)</f>
        <v>35656</v>
      </c>
      <c r="E3637" s="345">
        <f>+VLOOKUP($B3637,'Mano de obra'!$A$5:$D$26,4,FALSE)</f>
        <v>93110</v>
      </c>
      <c r="F3637" s="204">
        <v>1000</v>
      </c>
      <c r="G3637" s="351">
        <f>+E3637/F3637</f>
        <v>93.11</v>
      </c>
      <c r="H3637" s="341"/>
    </row>
    <row r="3638" spans="1:9" x14ac:dyDescent="0.25">
      <c r="A3638" s="133"/>
      <c r="B3638" s="194" t="s">
        <v>6524</v>
      </c>
      <c r="C3638" s="345">
        <f>+VLOOKUP($B3638,'Mano de obra'!$A$5:$D$26,2,FALSE)</f>
        <v>44263.8</v>
      </c>
      <c r="D3638" s="345">
        <f>+VLOOKUP($B3638,'Mano de obra'!$A$5:$D$26,3,FALSE)</f>
        <v>27470</v>
      </c>
      <c r="E3638" s="345">
        <f>+VLOOKUP($B3638,'Mano de obra'!$A$5:$D$26,4,FALSE)</f>
        <v>71733.8</v>
      </c>
      <c r="F3638" s="202">
        <v>25</v>
      </c>
      <c r="G3638" s="351">
        <f>+E3638/F3638</f>
        <v>2869.3520000000003</v>
      </c>
      <c r="H3638" s="341"/>
    </row>
    <row r="3639" spans="1:9" x14ac:dyDescent="0.25">
      <c r="A3639" s="133"/>
      <c r="B3639" s="195" t="s">
        <v>6525</v>
      </c>
      <c r="C3639" s="345">
        <f>+VLOOKUP($B3639,'Mano de obra'!$A$5:$D$26,2,FALSE)*2</f>
        <v>49182</v>
      </c>
      <c r="D3639" s="345">
        <f>+VLOOKUP($B3639,'Mano de obra'!$A$5:$D$26,3,FALSE)*2</f>
        <v>30522</v>
      </c>
      <c r="E3639" s="345">
        <f>+VLOOKUP($B3639,'Mano de obra'!$A$5:$D$26,4,FALSE)*2</f>
        <v>79704</v>
      </c>
      <c r="F3639" s="226">
        <v>18</v>
      </c>
      <c r="G3639" s="351">
        <f>+E3639/F3639</f>
        <v>4428</v>
      </c>
      <c r="H3639" s="341"/>
    </row>
    <row r="3640" spans="1:9" x14ac:dyDescent="0.25">
      <c r="A3640" s="133"/>
      <c r="B3640" s="195"/>
      <c r="C3640" s="346"/>
      <c r="D3640" s="955"/>
      <c r="E3640" s="228"/>
      <c r="F3640" s="226"/>
      <c r="G3640" s="351"/>
      <c r="H3640" s="341"/>
    </row>
    <row r="3641" spans="1:9" x14ac:dyDescent="0.25">
      <c r="A3641" s="133"/>
      <c r="B3641" s="195"/>
      <c r="C3641" s="232"/>
      <c r="D3641" s="952"/>
      <c r="E3641" s="232"/>
      <c r="F3641" s="226"/>
      <c r="G3641" s="344"/>
      <c r="H3641" s="341"/>
    </row>
    <row r="3642" spans="1:9" ht="15.75" thickBot="1" x14ac:dyDescent="0.3">
      <c r="A3642" s="133"/>
      <c r="B3642" s="195"/>
      <c r="C3642" s="232"/>
      <c r="D3642" s="952"/>
      <c r="E3642" s="232"/>
      <c r="F3642" s="226"/>
      <c r="G3642" s="344"/>
      <c r="H3642" s="341"/>
    </row>
    <row r="3643" spans="1:9" ht="15.75" thickBot="1" x14ac:dyDescent="0.3">
      <c r="A3643" s="133"/>
      <c r="B3643" s="251"/>
      <c r="C3643" s="252"/>
      <c r="D3643" s="956"/>
      <c r="E3643" s="252"/>
      <c r="F3643" s="253"/>
      <c r="G3643" s="357"/>
      <c r="H3643" s="358">
        <f>+SUM(G3637:G3643)</f>
        <v>7390.4620000000004</v>
      </c>
    </row>
    <row r="3644" spans="1:9" ht="15.75" thickBot="1" x14ac:dyDescent="0.3">
      <c r="A3644" s="133"/>
      <c r="B3644" s="8"/>
      <c r="C3644" s="8"/>
      <c r="D3644" s="529"/>
      <c r="E3644" s="8"/>
      <c r="F3644" s="133"/>
      <c r="G3644" s="341"/>
      <c r="H3644" s="341"/>
    </row>
    <row r="3645" spans="1:9" ht="15.75" thickBot="1" x14ac:dyDescent="0.3">
      <c r="A3645" s="133" t="s">
        <v>6744</v>
      </c>
      <c r="B3645" s="8"/>
      <c r="C3645" s="8"/>
      <c r="D3645" s="529"/>
      <c r="E3645" s="223" t="s">
        <v>5415</v>
      </c>
      <c r="F3645" s="223"/>
      <c r="G3645" s="341"/>
      <c r="H3645" s="358">
        <f>ROUND(+H3643+H3634+H3626+H3611,0)</f>
        <v>10134</v>
      </c>
      <c r="I3645">
        <v>10183</v>
      </c>
    </row>
    <row r="3646" spans="1:9" x14ac:dyDescent="0.25">
      <c r="A3646" s="1058"/>
      <c r="B3646" s="1058"/>
      <c r="C3646" s="1058"/>
      <c r="D3646" s="957"/>
      <c r="E3646" s="1058"/>
      <c r="F3646" s="1058"/>
      <c r="G3646" s="1058"/>
      <c r="H3646" s="1058"/>
    </row>
    <row r="3647" spans="1:9" x14ac:dyDescent="0.25">
      <c r="A3647" s="1058"/>
      <c r="B3647" s="1058"/>
      <c r="C3647" s="1058"/>
      <c r="D3647" s="957"/>
      <c r="E3647" s="1058"/>
      <c r="F3647" s="1058"/>
      <c r="G3647" s="1058"/>
      <c r="H3647" s="675"/>
    </row>
    <row r="3648" spans="1:9" ht="32.25" customHeight="1" x14ac:dyDescent="0.25">
      <c r="A3648" s="673" t="s">
        <v>5482</v>
      </c>
      <c r="B3648" s="1390" t="str">
        <f>+VLOOKUP(C3648,ListaAPUs!$B:$E,4,FALSE)</f>
        <v>4.4.2</v>
      </c>
      <c r="C3648" s="2449" t="str">
        <f>+ListaAPUs!B117</f>
        <v xml:space="preserve"> INSTALACIÓN TUBERÍA EN HIERRO DÚCTIL 250MM (10")</v>
      </c>
      <c r="D3648" s="2449"/>
      <c r="E3648" s="2449"/>
      <c r="F3648" s="673" t="s">
        <v>867</v>
      </c>
      <c r="G3648" s="222" t="s">
        <v>5402</v>
      </c>
      <c r="H3648" s="200"/>
    </row>
    <row r="3649" spans="1:8" x14ac:dyDescent="0.25">
      <c r="A3649" s="133"/>
      <c r="B3649" s="8"/>
      <c r="C3649" s="223"/>
      <c r="D3649" s="958"/>
      <c r="E3649" s="223"/>
      <c r="F3649" s="133"/>
      <c r="G3649" s="200"/>
      <c r="H3649" s="200"/>
    </row>
    <row r="3650" spans="1:8" x14ac:dyDescent="0.25">
      <c r="A3650" s="133"/>
      <c r="B3650" s="8"/>
      <c r="C3650" s="8"/>
      <c r="D3650" s="529"/>
      <c r="E3650" s="8"/>
      <c r="F3650" s="8"/>
      <c r="G3650" s="8"/>
      <c r="H3650" s="200"/>
    </row>
    <row r="3651" spans="1:8" ht="15.75" thickBot="1" x14ac:dyDescent="0.3">
      <c r="A3651" s="133"/>
      <c r="B3651" s="8"/>
      <c r="C3651" s="8"/>
      <c r="D3651" s="529"/>
      <c r="E3651" s="8"/>
      <c r="F3651" s="133"/>
      <c r="G3651" s="200"/>
      <c r="H3651" s="200"/>
    </row>
    <row r="3652" spans="1:8" ht="15.75" thickBot="1" x14ac:dyDescent="0.3">
      <c r="A3652" s="133"/>
      <c r="B3652" s="224" t="s">
        <v>5403</v>
      </c>
      <c r="C3652" s="193" t="s">
        <v>867</v>
      </c>
      <c r="D3652" s="951" t="s">
        <v>6</v>
      </c>
      <c r="E3652" s="193" t="s">
        <v>5439</v>
      </c>
      <c r="F3652" s="193" t="s">
        <v>5405</v>
      </c>
      <c r="G3652" s="225" t="s">
        <v>868</v>
      </c>
      <c r="H3652" s="200"/>
    </row>
    <row r="3653" spans="1:8" x14ac:dyDescent="0.25">
      <c r="A3653" s="133"/>
      <c r="B3653" s="195" t="s">
        <v>5455</v>
      </c>
      <c r="C3653" s="226" t="s">
        <v>7042</v>
      </c>
      <c r="D3653" s="212">
        <v>1</v>
      </c>
      <c r="E3653" s="228">
        <f>+H3691</f>
        <v>10282.073333333334</v>
      </c>
      <c r="F3653" s="226">
        <v>0.05</v>
      </c>
      <c r="G3653" s="818">
        <f>IF(B3653="","",PRODUCT(D3653:F3653))</f>
        <v>514.10366666666675</v>
      </c>
      <c r="H3653" s="200"/>
    </row>
    <row r="3654" spans="1:8" x14ac:dyDescent="0.25">
      <c r="A3654" s="133"/>
      <c r="B3654" s="195" t="s">
        <v>6864</v>
      </c>
      <c r="C3654" s="226" t="s">
        <v>5734</v>
      </c>
      <c r="D3654" s="212">
        <v>1</v>
      </c>
      <c r="E3654" s="975">
        <f>+VLOOKUP(B3654,Insumos!$A$2:$C$331,3,FALSE)</f>
        <v>189911.25599999999</v>
      </c>
      <c r="F3654" s="226">
        <f>0.03/2</f>
        <v>1.4999999999999999E-2</v>
      </c>
      <c r="G3654" s="818">
        <f>IF(B3654="","",PRODUCT(D3654:F3654))</f>
        <v>2848.6688399999998</v>
      </c>
      <c r="H3654" s="200"/>
    </row>
    <row r="3655" spans="1:8" x14ac:dyDescent="0.25">
      <c r="A3655" s="133"/>
      <c r="B3655" s="195"/>
      <c r="C3655" s="226"/>
      <c r="D3655" s="212"/>
      <c r="E3655" s="975"/>
      <c r="F3655" s="197"/>
      <c r="G3655" s="818"/>
      <c r="H3655" s="200"/>
    </row>
    <row r="3656" spans="1:8" x14ac:dyDescent="0.25">
      <c r="A3656" s="133"/>
      <c r="B3656" s="195"/>
      <c r="C3656" s="226"/>
      <c r="D3656" s="212"/>
      <c r="E3656" s="171"/>
      <c r="F3656" s="226"/>
      <c r="G3656" s="231"/>
      <c r="H3656" s="200"/>
    </row>
    <row r="3657" spans="1:8" x14ac:dyDescent="0.25">
      <c r="A3657" s="133"/>
      <c r="B3657" s="195"/>
      <c r="C3657" s="226"/>
      <c r="D3657" s="952"/>
      <c r="E3657" s="232"/>
      <c r="F3657" s="226"/>
      <c r="G3657" s="229"/>
      <c r="H3657" s="200"/>
    </row>
    <row r="3658" spans="1:8" ht="15.75" thickBot="1" x14ac:dyDescent="0.3">
      <c r="A3658" s="133"/>
      <c r="B3658" s="195"/>
      <c r="C3658" s="226"/>
      <c r="D3658" s="952"/>
      <c r="E3658" s="232"/>
      <c r="F3658" s="226"/>
      <c r="G3658" s="229"/>
      <c r="H3658" s="200"/>
    </row>
    <row r="3659" spans="1:8" ht="15.75" thickBot="1" x14ac:dyDescent="0.3">
      <c r="A3659" s="133"/>
      <c r="B3659" s="233"/>
      <c r="C3659" s="234"/>
      <c r="D3659" s="953"/>
      <c r="E3659" s="234"/>
      <c r="F3659" s="235"/>
      <c r="G3659" s="236"/>
      <c r="H3659" s="237">
        <f>+SUM(G3653:G3659)</f>
        <v>3362.7725066666667</v>
      </c>
    </row>
    <row r="3660" spans="1:8" ht="15.75" thickBot="1" x14ac:dyDescent="0.3">
      <c r="A3660" s="133"/>
      <c r="B3660" s="238"/>
      <c r="C3660" s="238"/>
      <c r="D3660" s="954"/>
      <c r="E3660" s="238"/>
      <c r="F3660" s="239"/>
      <c r="G3660" s="240"/>
      <c r="H3660" s="241"/>
    </row>
    <row r="3661" spans="1:8" ht="15.75" thickBot="1" x14ac:dyDescent="0.3">
      <c r="A3661" s="133"/>
      <c r="B3661" s="224" t="s">
        <v>5408</v>
      </c>
      <c r="C3661" s="193" t="s">
        <v>867</v>
      </c>
      <c r="D3661" s="951" t="s">
        <v>6</v>
      </c>
      <c r="E3661" s="193" t="s">
        <v>870</v>
      </c>
      <c r="F3661" s="193" t="s">
        <v>5409</v>
      </c>
      <c r="G3661" s="225" t="s">
        <v>868</v>
      </c>
      <c r="H3661" s="200"/>
    </row>
    <row r="3662" spans="1:8" x14ac:dyDescent="0.25">
      <c r="A3662" s="133"/>
      <c r="B3662" s="295"/>
      <c r="C3662" s="202"/>
      <c r="D3662" s="212"/>
      <c r="E3662" s="975"/>
      <c r="F3662" s="169"/>
      <c r="G3662" s="818"/>
      <c r="H3662" s="200"/>
    </row>
    <row r="3663" spans="1:8" x14ac:dyDescent="0.25">
      <c r="A3663" s="133"/>
      <c r="B3663" s="450"/>
      <c r="C3663" s="202"/>
      <c r="D3663" s="211"/>
      <c r="E3663" s="975"/>
      <c r="F3663" s="169"/>
      <c r="G3663" s="818"/>
      <c r="H3663" s="200"/>
    </row>
    <row r="3664" spans="1:8" x14ac:dyDescent="0.25">
      <c r="A3664" s="133"/>
      <c r="B3664" s="247"/>
      <c r="C3664" s="226"/>
      <c r="D3664" s="212"/>
      <c r="E3664" s="228"/>
      <c r="F3664" s="169"/>
      <c r="G3664" s="178"/>
      <c r="H3664" s="200"/>
    </row>
    <row r="3665" spans="1:8" x14ac:dyDescent="0.25">
      <c r="A3665" s="133"/>
      <c r="B3665" s="194"/>
      <c r="C3665" s="226"/>
      <c r="D3665" s="212"/>
      <c r="E3665" s="228"/>
      <c r="F3665" s="169"/>
      <c r="G3665" s="178"/>
      <c r="H3665" s="200"/>
    </row>
    <row r="3666" spans="1:8" x14ac:dyDescent="0.25">
      <c r="A3666" s="133"/>
      <c r="B3666" s="195"/>
      <c r="C3666" s="226"/>
      <c r="D3666" s="212"/>
      <c r="E3666" s="176"/>
      <c r="F3666" s="169"/>
      <c r="G3666" s="178"/>
      <c r="H3666" s="200"/>
    </row>
    <row r="3667" spans="1:8" x14ac:dyDescent="0.25">
      <c r="A3667" s="133"/>
      <c r="B3667" s="194"/>
      <c r="C3667" s="202"/>
      <c r="D3667" s="211"/>
      <c r="E3667" s="176"/>
      <c r="F3667" s="169"/>
      <c r="G3667" s="178"/>
      <c r="H3667" s="200"/>
    </row>
    <row r="3668" spans="1:8" x14ac:dyDescent="0.25">
      <c r="A3668" s="133"/>
      <c r="B3668" s="195"/>
      <c r="C3668" s="226"/>
      <c r="D3668" s="212"/>
      <c r="E3668" s="176"/>
      <c r="F3668" s="169"/>
      <c r="G3668" s="178"/>
      <c r="H3668" s="200"/>
    </row>
    <row r="3669" spans="1:8" x14ac:dyDescent="0.25">
      <c r="A3669" s="133"/>
      <c r="B3669" s="195"/>
      <c r="C3669" s="226"/>
      <c r="D3669" s="212"/>
      <c r="E3669" s="176"/>
      <c r="F3669" s="169"/>
      <c r="G3669" s="178"/>
      <c r="H3669" s="200"/>
    </row>
    <row r="3670" spans="1:8" x14ac:dyDescent="0.25">
      <c r="A3670" s="133"/>
      <c r="B3670" s="195"/>
      <c r="C3670" s="232"/>
      <c r="D3670" s="952"/>
      <c r="E3670" s="232"/>
      <c r="F3670" s="226"/>
      <c r="G3670" s="229"/>
      <c r="H3670" s="200"/>
    </row>
    <row r="3671" spans="1:8" x14ac:dyDescent="0.25">
      <c r="A3671" s="133"/>
      <c r="B3671" s="195"/>
      <c r="C3671" s="232"/>
      <c r="D3671" s="952"/>
      <c r="E3671" s="232"/>
      <c r="F3671" s="226"/>
      <c r="G3671" s="229"/>
      <c r="H3671" s="200"/>
    </row>
    <row r="3672" spans="1:8" x14ac:dyDescent="0.25">
      <c r="A3672" s="133"/>
      <c r="B3672" s="195"/>
      <c r="C3672" s="232"/>
      <c r="D3672" s="952"/>
      <c r="E3672" s="232"/>
      <c r="F3672" s="226"/>
      <c r="G3672" s="229"/>
      <c r="H3672" s="200"/>
    </row>
    <row r="3673" spans="1:8" ht="15.75" thickBot="1" x14ac:dyDescent="0.3">
      <c r="A3673" s="133"/>
      <c r="B3673" s="195"/>
      <c r="C3673" s="232"/>
      <c r="D3673" s="952"/>
      <c r="E3673" s="232"/>
      <c r="F3673" s="226"/>
      <c r="G3673" s="229"/>
      <c r="H3673" s="200"/>
    </row>
    <row r="3674" spans="1:8" ht="15.75" thickBot="1" x14ac:dyDescent="0.3">
      <c r="A3674" s="133"/>
      <c r="B3674" s="233"/>
      <c r="C3674" s="234"/>
      <c r="D3674" s="953"/>
      <c r="E3674" s="234"/>
      <c r="F3674" s="235"/>
      <c r="G3674" s="236"/>
      <c r="H3674" s="256">
        <f>+SUM(G3662:G3674)</f>
        <v>0</v>
      </c>
    </row>
    <row r="3675" spans="1:8" ht="15.75" thickBot="1" x14ac:dyDescent="0.3">
      <c r="A3675" s="133"/>
      <c r="B3675" s="238"/>
      <c r="C3675" s="238"/>
      <c r="D3675" s="954"/>
      <c r="E3675" s="238"/>
      <c r="F3675" s="239"/>
      <c r="G3675" s="240"/>
      <c r="H3675" s="241"/>
    </row>
    <row r="3676" spans="1:8" ht="15.75" thickBot="1" x14ac:dyDescent="0.3">
      <c r="A3676" s="133"/>
      <c r="B3676" s="224" t="s">
        <v>5410</v>
      </c>
      <c r="C3676" s="193" t="s">
        <v>867</v>
      </c>
      <c r="D3676" s="951" t="s">
        <v>6</v>
      </c>
      <c r="E3676" s="193" t="s">
        <v>870</v>
      </c>
      <c r="F3676" s="193" t="s">
        <v>5411</v>
      </c>
      <c r="G3676" s="225" t="s">
        <v>868</v>
      </c>
      <c r="H3676" s="200"/>
    </row>
    <row r="3677" spans="1:8" x14ac:dyDescent="0.25">
      <c r="A3677" s="133"/>
      <c r="B3677" s="245"/>
      <c r="C3677" s="202"/>
      <c r="D3677" s="211"/>
      <c r="E3677" s="175"/>
      <c r="F3677" s="202"/>
      <c r="G3677" s="203"/>
      <c r="H3677" s="246"/>
    </row>
    <row r="3678" spans="1:8" x14ac:dyDescent="0.25">
      <c r="A3678" s="133"/>
      <c r="B3678" s="247"/>
      <c r="C3678" s="248"/>
      <c r="D3678" s="961"/>
      <c r="E3678" s="248"/>
      <c r="F3678" s="202"/>
      <c r="G3678" s="178"/>
      <c r="H3678" s="200"/>
    </row>
    <row r="3679" spans="1:8" x14ac:dyDescent="0.25">
      <c r="A3679" s="133"/>
      <c r="B3679" s="247"/>
      <c r="C3679" s="232"/>
      <c r="D3679" s="952"/>
      <c r="E3679" s="232"/>
      <c r="F3679" s="226"/>
      <c r="G3679" s="229"/>
      <c r="H3679" s="200"/>
    </row>
    <row r="3680" spans="1:8" x14ac:dyDescent="0.25">
      <c r="A3680" s="133"/>
      <c r="B3680" s="194"/>
      <c r="C3680" s="232"/>
      <c r="D3680" s="952"/>
      <c r="E3680" s="232"/>
      <c r="F3680" s="226"/>
      <c r="G3680" s="229"/>
      <c r="H3680" s="200"/>
    </row>
    <row r="3681" spans="1:9" ht="15.75" thickBot="1" x14ac:dyDescent="0.3">
      <c r="A3681" s="133"/>
      <c r="B3681" s="195"/>
      <c r="C3681" s="232"/>
      <c r="D3681" s="952"/>
      <c r="E3681" s="232"/>
      <c r="F3681" s="226"/>
      <c r="G3681" s="229"/>
      <c r="H3681" s="200"/>
    </row>
    <row r="3682" spans="1:9" ht="15.75" thickBot="1" x14ac:dyDescent="0.3">
      <c r="A3682" s="133"/>
      <c r="B3682" s="233"/>
      <c r="C3682" s="234"/>
      <c r="D3682" s="953"/>
      <c r="E3682" s="234"/>
      <c r="F3682" s="235"/>
      <c r="G3682" s="236"/>
      <c r="H3682" s="237">
        <f>+SUM(G3677:G3682)</f>
        <v>0</v>
      </c>
    </row>
    <row r="3683" spans="1:9" ht="15.75" thickBot="1" x14ac:dyDescent="0.3">
      <c r="A3683" s="133"/>
      <c r="B3683" s="238"/>
      <c r="C3683" s="238"/>
      <c r="D3683" s="954"/>
      <c r="E3683" s="238"/>
      <c r="F3683" s="249"/>
      <c r="G3683" s="250"/>
      <c r="H3683" s="241"/>
    </row>
    <row r="3684" spans="1:9" ht="15.75" thickBot="1" x14ac:dyDescent="0.3">
      <c r="A3684" s="133"/>
      <c r="B3684" s="224" t="s">
        <v>5412</v>
      </c>
      <c r="C3684" s="193" t="s">
        <v>5420</v>
      </c>
      <c r="D3684" s="951" t="s">
        <v>5421</v>
      </c>
      <c r="E3684" s="193" t="s">
        <v>5413</v>
      </c>
      <c r="F3684" s="193" t="s">
        <v>5405</v>
      </c>
      <c r="G3684" s="225" t="s">
        <v>868</v>
      </c>
      <c r="H3684" s="200"/>
    </row>
    <row r="3685" spans="1:9" x14ac:dyDescent="0.25">
      <c r="A3685" s="133"/>
      <c r="B3685" s="194" t="s">
        <v>6523</v>
      </c>
      <c r="C3685" s="345">
        <f>+VLOOKUP($B3685,'Mano de obra'!$A$5:$D$26,2,FALSE)</f>
        <v>57454</v>
      </c>
      <c r="D3685" s="345">
        <f>+VLOOKUP($B3685,'Mano de obra'!$A$5:$D$26,3,FALSE)</f>
        <v>35656</v>
      </c>
      <c r="E3685" s="345">
        <f>+VLOOKUP($B3685,'Mano de obra'!$A$5:$D$26,4,FALSE)</f>
        <v>93110</v>
      </c>
      <c r="F3685" s="204">
        <v>500</v>
      </c>
      <c r="G3685" s="178">
        <f>+E3685/F3685</f>
        <v>186.22</v>
      </c>
      <c r="H3685" s="200"/>
    </row>
    <row r="3686" spans="1:9" x14ac:dyDescent="0.25">
      <c r="A3686" s="133"/>
      <c r="B3686" s="194" t="s">
        <v>6524</v>
      </c>
      <c r="C3686" s="345">
        <f>+VLOOKUP($B3686,'Mano de obra'!$A$5:$D$26,2,FALSE)</f>
        <v>44263.8</v>
      </c>
      <c r="D3686" s="345">
        <f>+VLOOKUP($B3686,'Mano de obra'!$A$5:$D$26,3,FALSE)</f>
        <v>27470</v>
      </c>
      <c r="E3686" s="345">
        <f>+VLOOKUP($B3686,'Mano de obra'!$A$5:$D$26,4,FALSE)</f>
        <v>71733.8</v>
      </c>
      <c r="F3686" s="202">
        <v>15</v>
      </c>
      <c r="G3686" s="178">
        <f>+E3686/F3686</f>
        <v>4782.2533333333331</v>
      </c>
      <c r="H3686" s="200"/>
    </row>
    <row r="3687" spans="1:9" x14ac:dyDescent="0.25">
      <c r="A3687" s="133"/>
      <c r="B3687" s="195" t="s">
        <v>6525</v>
      </c>
      <c r="C3687" s="345">
        <f>+VLOOKUP($B3687,'Mano de obra'!$A$5:$D$26,2,FALSE)*2</f>
        <v>49182</v>
      </c>
      <c r="D3687" s="345">
        <f>+VLOOKUP($B3687,'Mano de obra'!$A$5:$D$26,3,FALSE)*2</f>
        <v>30522</v>
      </c>
      <c r="E3687" s="345">
        <f>+VLOOKUP($B3687,'Mano de obra'!$A$5:$D$26,4,FALSE)*2</f>
        <v>79704</v>
      </c>
      <c r="F3687" s="226">
        <v>15</v>
      </c>
      <c r="G3687" s="178">
        <f>+E3687/F3687</f>
        <v>5313.6</v>
      </c>
      <c r="H3687" s="200"/>
    </row>
    <row r="3688" spans="1:9" x14ac:dyDescent="0.25">
      <c r="A3688" s="133"/>
      <c r="B3688" s="195"/>
      <c r="C3688" s="171"/>
      <c r="D3688" s="965"/>
      <c r="E3688" s="228"/>
      <c r="F3688" s="226"/>
      <c r="G3688" s="178"/>
      <c r="H3688" s="200"/>
    </row>
    <row r="3689" spans="1:9" x14ac:dyDescent="0.25">
      <c r="A3689" s="133"/>
      <c r="B3689" s="195"/>
      <c r="C3689" s="232"/>
      <c r="D3689" s="952"/>
      <c r="E3689" s="232"/>
      <c r="F3689" s="226"/>
      <c r="G3689" s="229"/>
      <c r="H3689" s="200"/>
    </row>
    <row r="3690" spans="1:9" ht="15.75" thickBot="1" x14ac:dyDescent="0.3">
      <c r="A3690" s="133"/>
      <c r="B3690" s="195"/>
      <c r="C3690" s="232"/>
      <c r="D3690" s="952"/>
      <c r="E3690" s="232"/>
      <c r="F3690" s="226"/>
      <c r="G3690" s="229"/>
      <c r="H3690" s="200"/>
    </row>
    <row r="3691" spans="1:9" ht="15.75" thickBot="1" x14ac:dyDescent="0.3">
      <c r="A3691" s="133"/>
      <c r="B3691" s="251"/>
      <c r="C3691" s="252"/>
      <c r="D3691" s="956"/>
      <c r="E3691" s="252"/>
      <c r="F3691" s="253"/>
      <c r="G3691" s="254"/>
      <c r="H3691" s="256">
        <f>+SUM(G3685:G3691)</f>
        <v>10282.073333333334</v>
      </c>
    </row>
    <row r="3692" spans="1:9" ht="15.75" thickBot="1" x14ac:dyDescent="0.3">
      <c r="A3692" s="133"/>
      <c r="B3692" s="8"/>
      <c r="C3692" s="8"/>
      <c r="D3692" s="529"/>
      <c r="E3692" s="8"/>
      <c r="F3692" s="133"/>
      <c r="G3692" s="200"/>
      <c r="H3692" s="200"/>
    </row>
    <row r="3693" spans="1:9" ht="15.75" thickBot="1" x14ac:dyDescent="0.3">
      <c r="A3693" s="133" t="s">
        <v>6744</v>
      </c>
      <c r="B3693" s="8"/>
      <c r="C3693" s="8"/>
      <c r="D3693" s="529"/>
      <c r="E3693" s="223" t="s">
        <v>5415</v>
      </c>
      <c r="F3693" s="223"/>
      <c r="G3693" s="200"/>
      <c r="H3693" s="256">
        <f>ROUND(+H3691+H3682+H3674+H3659,0)</f>
        <v>13645</v>
      </c>
      <c r="I3693">
        <v>13704</v>
      </c>
    </row>
    <row r="3694" spans="1:9" x14ac:dyDescent="0.25">
      <c r="A3694" s="1058"/>
      <c r="B3694" s="1058"/>
      <c r="C3694" s="1058"/>
      <c r="D3694" s="957"/>
      <c r="E3694" s="1058"/>
      <c r="F3694" s="1058"/>
      <c r="G3694" s="1058"/>
      <c r="H3694" s="1058"/>
    </row>
    <row r="3695" spans="1:9" x14ac:dyDescent="0.25">
      <c r="A3695" s="1058"/>
      <c r="B3695" s="1058"/>
      <c r="C3695" s="1058"/>
      <c r="D3695" s="957"/>
      <c r="E3695" s="1058"/>
      <c r="F3695" s="1058"/>
      <c r="G3695" s="1058"/>
      <c r="H3695" s="1058"/>
    </row>
    <row r="3696" spans="1:9" ht="30.75" customHeight="1" x14ac:dyDescent="0.25">
      <c r="A3696" s="673" t="s">
        <v>5482</v>
      </c>
      <c r="B3696" s="1390" t="str">
        <f>+VLOOKUP(C3696,ListaAPUs!$B:$E,4,FALSE)</f>
        <v>4.4.3</v>
      </c>
      <c r="C3696" s="2449" t="str">
        <f>+ListaAPUs!B118</f>
        <v xml:space="preserve"> INSTALACIÓN TUBERÍA EN HIERRO DÚCTIL 350MM (14")</v>
      </c>
      <c r="D3696" s="2449"/>
      <c r="E3696" s="2449"/>
      <c r="F3696" s="673" t="s">
        <v>867</v>
      </c>
      <c r="G3696" s="222" t="s">
        <v>5402</v>
      </c>
      <c r="H3696" s="898"/>
    </row>
    <row r="3697" spans="1:8" x14ac:dyDescent="0.25">
      <c r="A3697" s="133"/>
      <c r="B3697" s="8"/>
      <c r="C3697" s="223"/>
      <c r="D3697" s="958"/>
      <c r="E3697" s="223"/>
      <c r="F3697" s="133"/>
      <c r="G3697" s="200"/>
      <c r="H3697" s="200"/>
    </row>
    <row r="3698" spans="1:8" x14ac:dyDescent="0.25">
      <c r="A3698" s="133"/>
      <c r="B3698" s="8"/>
      <c r="C3698" s="8"/>
      <c r="D3698" s="529"/>
      <c r="E3698" s="8"/>
      <c r="F3698" s="8"/>
      <c r="G3698" s="8"/>
      <c r="H3698" s="200"/>
    </row>
    <row r="3699" spans="1:8" ht="15.75" thickBot="1" x14ac:dyDescent="0.3">
      <c r="A3699" s="133"/>
      <c r="B3699" s="8"/>
      <c r="C3699" s="8"/>
      <c r="D3699" s="529"/>
      <c r="E3699" s="8"/>
      <c r="F3699" s="133"/>
      <c r="G3699" s="200"/>
      <c r="H3699" s="200"/>
    </row>
    <row r="3700" spans="1:8" ht="15.75" thickBot="1" x14ac:dyDescent="0.3">
      <c r="A3700" s="133"/>
      <c r="B3700" s="224" t="s">
        <v>5403</v>
      </c>
      <c r="C3700" s="193" t="s">
        <v>867</v>
      </c>
      <c r="D3700" s="951" t="s">
        <v>6</v>
      </c>
      <c r="E3700" s="193" t="s">
        <v>5439</v>
      </c>
      <c r="F3700" s="193" t="s">
        <v>5405</v>
      </c>
      <c r="G3700" s="225" t="s">
        <v>868</v>
      </c>
      <c r="H3700" s="200"/>
    </row>
    <row r="3701" spans="1:8" x14ac:dyDescent="0.25">
      <c r="A3701" s="133"/>
      <c r="B3701" s="195" t="s">
        <v>5455</v>
      </c>
      <c r="C3701" s="226" t="s">
        <v>7042</v>
      </c>
      <c r="D3701" s="212">
        <v>1</v>
      </c>
      <c r="E3701" s="228">
        <f>+H3739</f>
        <v>1255.5826666666667</v>
      </c>
      <c r="F3701" s="226">
        <v>0.05</v>
      </c>
      <c r="G3701" s="818">
        <f>IF(B3701="","",PRODUCT(D3701:F3701))</f>
        <v>62.779133333333334</v>
      </c>
      <c r="H3701" s="200"/>
    </row>
    <row r="3702" spans="1:8" x14ac:dyDescent="0.25">
      <c r="A3702" s="133"/>
      <c r="B3702" s="195" t="s">
        <v>6864</v>
      </c>
      <c r="C3702" s="226" t="s">
        <v>5734</v>
      </c>
      <c r="D3702" s="212">
        <v>1</v>
      </c>
      <c r="E3702" s="975">
        <f>+VLOOKUP(B3702,Insumos!$A$2:$C$331,3,FALSE)</f>
        <v>189911.25599999999</v>
      </c>
      <c r="F3702" s="1563">
        <f>0.04/2</f>
        <v>0.02</v>
      </c>
      <c r="G3702" s="818">
        <f>IF(B3702="","",PRODUCT(D3702:F3702))</f>
        <v>3798.2251200000001</v>
      </c>
      <c r="H3702" s="200"/>
    </row>
    <row r="3703" spans="1:8" x14ac:dyDescent="0.25">
      <c r="A3703" s="133"/>
      <c r="B3703" s="195" t="s">
        <v>6869</v>
      </c>
      <c r="C3703" s="226" t="s">
        <v>7203</v>
      </c>
      <c r="D3703" s="212">
        <v>1</v>
      </c>
      <c r="E3703" s="975">
        <f>+VLOOKUP(B3703,Insumos!$A$2:$C$331,3,FALSE)</f>
        <v>202536</v>
      </c>
      <c r="F3703" s="1563">
        <v>8.3333333333333329E-2</v>
      </c>
      <c r="G3703" s="818">
        <f>IF(B3703="","",PRODUCT(D3703:F3703))</f>
        <v>16878</v>
      </c>
      <c r="H3703" s="200"/>
    </row>
    <row r="3704" spans="1:8" x14ac:dyDescent="0.25">
      <c r="A3704" s="133"/>
      <c r="B3704" s="195"/>
      <c r="C3704" s="226"/>
      <c r="D3704" s="212"/>
      <c r="E3704" s="975"/>
      <c r="F3704" s="197"/>
      <c r="G3704" s="818"/>
      <c r="H3704" s="200"/>
    </row>
    <row r="3705" spans="1:8" x14ac:dyDescent="0.25">
      <c r="A3705" s="133"/>
      <c r="B3705" s="195"/>
      <c r="C3705" s="226"/>
      <c r="D3705" s="952"/>
      <c r="E3705" s="232"/>
      <c r="F3705" s="226"/>
      <c r="G3705" s="229"/>
      <c r="H3705" s="200"/>
    </row>
    <row r="3706" spans="1:8" ht="15.75" thickBot="1" x14ac:dyDescent="0.3">
      <c r="A3706" s="133"/>
      <c r="B3706" s="195"/>
      <c r="C3706" s="226"/>
      <c r="D3706" s="952"/>
      <c r="E3706" s="232"/>
      <c r="F3706" s="226"/>
      <c r="G3706" s="229"/>
      <c r="H3706" s="200"/>
    </row>
    <row r="3707" spans="1:8" ht="15.75" thickBot="1" x14ac:dyDescent="0.3">
      <c r="A3707" s="133"/>
      <c r="B3707" s="233"/>
      <c r="C3707" s="234"/>
      <c r="D3707" s="953"/>
      <c r="E3707" s="234"/>
      <c r="F3707" s="235"/>
      <c r="G3707" s="236"/>
      <c r="H3707" s="237">
        <f>+SUM(G3701:G3707)</f>
        <v>20739.004253333333</v>
      </c>
    </row>
    <row r="3708" spans="1:8" ht="15.75" thickBot="1" x14ac:dyDescent="0.3">
      <c r="A3708" s="133"/>
      <c r="B3708" s="238"/>
      <c r="C3708" s="238"/>
      <c r="D3708" s="954"/>
      <c r="E3708" s="238"/>
      <c r="F3708" s="239"/>
      <c r="G3708" s="240"/>
      <c r="H3708" s="241"/>
    </row>
    <row r="3709" spans="1:8" ht="15.75" thickBot="1" x14ac:dyDescent="0.3">
      <c r="A3709" s="133"/>
      <c r="B3709" s="224" t="s">
        <v>5408</v>
      </c>
      <c r="C3709" s="193" t="s">
        <v>867</v>
      </c>
      <c r="D3709" s="951" t="s">
        <v>6</v>
      </c>
      <c r="E3709" s="193" t="s">
        <v>870</v>
      </c>
      <c r="F3709" s="193" t="s">
        <v>5409</v>
      </c>
      <c r="G3709" s="225" t="s">
        <v>868</v>
      </c>
      <c r="H3709" s="200"/>
    </row>
    <row r="3710" spans="1:8" x14ac:dyDescent="0.25">
      <c r="A3710" s="133"/>
      <c r="B3710" s="295"/>
      <c r="C3710" s="202"/>
      <c r="D3710" s="212"/>
      <c r="E3710" s="975"/>
      <c r="F3710" s="169"/>
      <c r="G3710" s="818"/>
      <c r="H3710" s="200"/>
    </row>
    <row r="3711" spans="1:8" x14ac:dyDescent="0.25">
      <c r="A3711" s="133"/>
      <c r="B3711" s="450"/>
      <c r="C3711" s="202"/>
      <c r="D3711" s="211"/>
      <c r="E3711" s="975"/>
      <c r="F3711" s="169"/>
      <c r="G3711" s="818"/>
      <c r="H3711" s="200"/>
    </row>
    <row r="3712" spans="1:8" x14ac:dyDescent="0.25">
      <c r="A3712" s="133"/>
      <c r="B3712" s="247"/>
      <c r="C3712" s="226"/>
      <c r="D3712" s="212"/>
      <c r="E3712" s="228"/>
      <c r="F3712" s="169"/>
      <c r="G3712" s="178"/>
      <c r="H3712" s="200"/>
    </row>
    <row r="3713" spans="1:8" x14ac:dyDescent="0.25">
      <c r="A3713" s="133"/>
      <c r="B3713" s="194"/>
      <c r="C3713" s="226"/>
      <c r="D3713" s="212"/>
      <c r="E3713" s="228"/>
      <c r="F3713" s="169"/>
      <c r="G3713" s="178"/>
      <c r="H3713" s="200"/>
    </row>
    <row r="3714" spans="1:8" x14ac:dyDescent="0.25">
      <c r="A3714" s="133"/>
      <c r="B3714" s="195"/>
      <c r="C3714" s="226"/>
      <c r="D3714" s="212"/>
      <c r="E3714" s="176"/>
      <c r="F3714" s="169"/>
      <c r="G3714" s="178"/>
      <c r="H3714" s="200"/>
    </row>
    <row r="3715" spans="1:8" x14ac:dyDescent="0.25">
      <c r="A3715" s="133"/>
      <c r="B3715" s="194"/>
      <c r="C3715" s="202"/>
      <c r="D3715" s="211"/>
      <c r="E3715" s="176"/>
      <c r="F3715" s="169"/>
      <c r="G3715" s="178"/>
      <c r="H3715" s="200"/>
    </row>
    <row r="3716" spans="1:8" x14ac:dyDescent="0.25">
      <c r="A3716" s="133"/>
      <c r="B3716" s="195"/>
      <c r="C3716" s="226"/>
      <c r="D3716" s="212"/>
      <c r="E3716" s="176"/>
      <c r="F3716" s="169"/>
      <c r="G3716" s="178"/>
      <c r="H3716" s="200"/>
    </row>
    <row r="3717" spans="1:8" x14ac:dyDescent="0.25">
      <c r="A3717" s="133"/>
      <c r="B3717" s="195"/>
      <c r="C3717" s="226"/>
      <c r="D3717" s="212"/>
      <c r="E3717" s="176"/>
      <c r="F3717" s="169"/>
      <c r="G3717" s="178"/>
      <c r="H3717" s="200"/>
    </row>
    <row r="3718" spans="1:8" x14ac:dyDescent="0.25">
      <c r="A3718" s="133"/>
      <c r="B3718" s="195"/>
      <c r="C3718" s="232"/>
      <c r="D3718" s="952"/>
      <c r="E3718" s="232"/>
      <c r="F3718" s="226"/>
      <c r="G3718" s="229"/>
      <c r="H3718" s="200"/>
    </row>
    <row r="3719" spans="1:8" x14ac:dyDescent="0.25">
      <c r="A3719" s="133"/>
      <c r="B3719" s="195"/>
      <c r="C3719" s="232"/>
      <c r="D3719" s="952"/>
      <c r="E3719" s="232"/>
      <c r="F3719" s="226"/>
      <c r="G3719" s="229"/>
      <c r="H3719" s="200"/>
    </row>
    <row r="3720" spans="1:8" x14ac:dyDescent="0.25">
      <c r="A3720" s="133"/>
      <c r="B3720" s="195"/>
      <c r="C3720" s="232"/>
      <c r="D3720" s="952"/>
      <c r="E3720" s="232"/>
      <c r="F3720" s="226"/>
      <c r="G3720" s="229"/>
      <c r="H3720" s="200"/>
    </row>
    <row r="3721" spans="1:8" ht="15.75" thickBot="1" x14ac:dyDescent="0.3">
      <c r="A3721" s="133"/>
      <c r="B3721" s="195"/>
      <c r="C3721" s="232"/>
      <c r="D3721" s="952"/>
      <c r="E3721" s="232"/>
      <c r="F3721" s="226"/>
      <c r="G3721" s="229"/>
      <c r="H3721" s="200"/>
    </row>
    <row r="3722" spans="1:8" ht="15.75" thickBot="1" x14ac:dyDescent="0.3">
      <c r="A3722" s="133"/>
      <c r="B3722" s="233"/>
      <c r="C3722" s="234"/>
      <c r="D3722" s="953"/>
      <c r="E3722" s="234"/>
      <c r="F3722" s="235"/>
      <c r="G3722" s="236"/>
      <c r="H3722" s="256">
        <f>+SUM(G3710:G3722)</f>
        <v>0</v>
      </c>
    </row>
    <row r="3723" spans="1:8" ht="15.75" thickBot="1" x14ac:dyDescent="0.3">
      <c r="A3723" s="133"/>
      <c r="B3723" s="238"/>
      <c r="C3723" s="238"/>
      <c r="D3723" s="954"/>
      <c r="E3723" s="238"/>
      <c r="F3723" s="239"/>
      <c r="G3723" s="240"/>
      <c r="H3723" s="241"/>
    </row>
    <row r="3724" spans="1:8" ht="15.75" thickBot="1" x14ac:dyDescent="0.3">
      <c r="A3724" s="133"/>
      <c r="B3724" s="224" t="s">
        <v>5410</v>
      </c>
      <c r="C3724" s="193" t="s">
        <v>867</v>
      </c>
      <c r="D3724" s="951" t="s">
        <v>6</v>
      </c>
      <c r="E3724" s="193" t="s">
        <v>870</v>
      </c>
      <c r="F3724" s="193" t="s">
        <v>5411</v>
      </c>
      <c r="G3724" s="225" t="s">
        <v>868</v>
      </c>
      <c r="H3724" s="200"/>
    </row>
    <row r="3725" spans="1:8" x14ac:dyDescent="0.25">
      <c r="A3725" s="133"/>
      <c r="B3725" s="245"/>
      <c r="C3725" s="202"/>
      <c r="D3725" s="211"/>
      <c r="E3725" s="175"/>
      <c r="F3725" s="202"/>
      <c r="G3725" s="203"/>
      <c r="H3725" s="246"/>
    </row>
    <row r="3726" spans="1:8" x14ac:dyDescent="0.25">
      <c r="A3726" s="133"/>
      <c r="B3726" s="247"/>
      <c r="C3726" s="248"/>
      <c r="D3726" s="961"/>
      <c r="E3726" s="248"/>
      <c r="F3726" s="202"/>
      <c r="G3726" s="178"/>
      <c r="H3726" s="200"/>
    </row>
    <row r="3727" spans="1:8" x14ac:dyDescent="0.25">
      <c r="A3727" s="133"/>
      <c r="B3727" s="247"/>
      <c r="C3727" s="232"/>
      <c r="D3727" s="952"/>
      <c r="E3727" s="232"/>
      <c r="F3727" s="226"/>
      <c r="G3727" s="229"/>
      <c r="H3727" s="200"/>
    </row>
    <row r="3728" spans="1:8" x14ac:dyDescent="0.25">
      <c r="A3728" s="133"/>
      <c r="B3728" s="194"/>
      <c r="C3728" s="232"/>
      <c r="D3728" s="952"/>
      <c r="E3728" s="232"/>
      <c r="F3728" s="226"/>
      <c r="G3728" s="229"/>
      <c r="H3728" s="200"/>
    </row>
    <row r="3729" spans="1:9" ht="15.75" thickBot="1" x14ac:dyDescent="0.3">
      <c r="A3729" s="133"/>
      <c r="B3729" s="195"/>
      <c r="C3729" s="232"/>
      <c r="D3729" s="952"/>
      <c r="E3729" s="232"/>
      <c r="F3729" s="226"/>
      <c r="G3729" s="229"/>
      <c r="H3729" s="200"/>
    </row>
    <row r="3730" spans="1:9" ht="15.75" thickBot="1" x14ac:dyDescent="0.3">
      <c r="A3730" s="133"/>
      <c r="B3730" s="233"/>
      <c r="C3730" s="234"/>
      <c r="D3730" s="953"/>
      <c r="E3730" s="234"/>
      <c r="F3730" s="235"/>
      <c r="G3730" s="236"/>
      <c r="H3730" s="237">
        <f>+SUM(G3725:G3730)</f>
        <v>0</v>
      </c>
    </row>
    <row r="3731" spans="1:9" ht="15.75" thickBot="1" x14ac:dyDescent="0.3">
      <c r="A3731" s="133"/>
      <c r="B3731" s="238"/>
      <c r="C3731" s="238"/>
      <c r="D3731" s="954"/>
      <c r="E3731" s="238"/>
      <c r="F3731" s="249"/>
      <c r="G3731" s="250"/>
      <c r="H3731" s="241"/>
    </row>
    <row r="3732" spans="1:9" ht="15.75" thickBot="1" x14ac:dyDescent="0.3">
      <c r="A3732" s="133"/>
      <c r="B3732" s="224" t="s">
        <v>5412</v>
      </c>
      <c r="C3732" s="193" t="s">
        <v>5420</v>
      </c>
      <c r="D3732" s="951" t="s">
        <v>5421</v>
      </c>
      <c r="E3732" s="193" t="s">
        <v>5413</v>
      </c>
      <c r="F3732" s="193" t="s">
        <v>5405</v>
      </c>
      <c r="G3732" s="225" t="s">
        <v>868</v>
      </c>
      <c r="H3732" s="200"/>
    </row>
    <row r="3733" spans="1:9" x14ac:dyDescent="0.25">
      <c r="A3733" s="133"/>
      <c r="B3733" s="194" t="s">
        <v>6523</v>
      </c>
      <c r="C3733" s="345">
        <f>+VLOOKUP($B3733,'Mano de obra'!$A$5:$D$26,2,FALSE)</f>
        <v>57454</v>
      </c>
      <c r="D3733" s="345">
        <f>+VLOOKUP($B3733,'Mano de obra'!$A$5:$D$26,3,FALSE)</f>
        <v>35656</v>
      </c>
      <c r="E3733" s="345">
        <f>+VLOOKUP($B3733,'Mano de obra'!$A$5:$D$26,4,FALSE)</f>
        <v>93110</v>
      </c>
      <c r="F3733" s="204">
        <v>500</v>
      </c>
      <c r="G3733" s="178">
        <f>+E3733/F3733</f>
        <v>186.22</v>
      </c>
      <c r="H3733" s="200"/>
    </row>
    <row r="3734" spans="1:9" x14ac:dyDescent="0.25">
      <c r="A3734" s="133"/>
      <c r="B3734" s="194" t="s">
        <v>6524</v>
      </c>
      <c r="C3734" s="345">
        <f>+VLOOKUP($B3734,'Mano de obra'!$A$5:$D$26,2,FALSE)</f>
        <v>44263.8</v>
      </c>
      <c r="D3734" s="345">
        <f>+VLOOKUP($B3734,'Mano de obra'!$A$5:$D$26,3,FALSE)</f>
        <v>27470</v>
      </c>
      <c r="E3734" s="345">
        <f>+VLOOKUP($B3734,'Mano de obra'!$A$5:$D$26,4,FALSE)</f>
        <v>71733.8</v>
      </c>
      <c r="F3734" s="202">
        <v>300</v>
      </c>
      <c r="G3734" s="178">
        <f>+E3734/F3734</f>
        <v>239.11266666666668</v>
      </c>
      <c r="H3734" s="200"/>
    </row>
    <row r="3735" spans="1:9" x14ac:dyDescent="0.25">
      <c r="A3735" s="133"/>
      <c r="B3735" s="1561" t="s">
        <v>6525</v>
      </c>
      <c r="C3735" s="1569">
        <f>+VLOOKUP($B3735,'Mano de obra'!$A$5:$D$26,2,FALSE)*2</f>
        <v>49182</v>
      </c>
      <c r="D3735" s="1569">
        <f>+VLOOKUP($B3735,'Mano de obra'!$A$5:$D$26,3,FALSE)*2</f>
        <v>30522</v>
      </c>
      <c r="E3735" s="1569">
        <f>+VLOOKUP($B3735,'Mano de obra'!$A$5:$D$26,4,FALSE)*2</f>
        <v>79704</v>
      </c>
      <c r="F3735" s="226">
        <f>12*8</f>
        <v>96</v>
      </c>
      <c r="G3735" s="818">
        <f>IF(B3735="","",E3735/F3735)</f>
        <v>830.25</v>
      </c>
      <c r="H3735" s="200"/>
    </row>
    <row r="3736" spans="1:9" x14ac:dyDescent="0.25">
      <c r="A3736" s="133"/>
      <c r="B3736" s="195"/>
      <c r="C3736" s="171"/>
      <c r="D3736" s="965"/>
      <c r="E3736" s="228"/>
      <c r="F3736" s="226"/>
      <c r="G3736" s="178"/>
      <c r="H3736" s="200"/>
    </row>
    <row r="3737" spans="1:9" x14ac:dyDescent="0.25">
      <c r="A3737" s="133"/>
      <c r="B3737" s="195"/>
      <c r="C3737" s="232"/>
      <c r="D3737" s="952"/>
      <c r="E3737" s="232"/>
      <c r="F3737" s="226"/>
      <c r="G3737" s="229"/>
      <c r="H3737" s="200"/>
    </row>
    <row r="3738" spans="1:9" ht="15.75" thickBot="1" x14ac:dyDescent="0.3">
      <c r="A3738" s="133"/>
      <c r="B3738" s="195"/>
      <c r="C3738" s="232"/>
      <c r="D3738" s="952"/>
      <c r="E3738" s="232"/>
      <c r="F3738" s="226"/>
      <c r="G3738" s="229"/>
      <c r="H3738" s="200"/>
    </row>
    <row r="3739" spans="1:9" ht="15.75" thickBot="1" x14ac:dyDescent="0.3">
      <c r="A3739" s="133"/>
      <c r="B3739" s="251"/>
      <c r="C3739" s="252"/>
      <c r="D3739" s="956"/>
      <c r="E3739" s="252"/>
      <c r="F3739" s="253"/>
      <c r="G3739" s="254"/>
      <c r="H3739" s="256">
        <f>+SUM(G3733:G3739)</f>
        <v>1255.5826666666667</v>
      </c>
    </row>
    <row r="3740" spans="1:9" ht="15.75" thickBot="1" x14ac:dyDescent="0.3">
      <c r="A3740" s="133"/>
      <c r="B3740" s="8"/>
      <c r="C3740" s="8"/>
      <c r="D3740" s="529"/>
      <c r="E3740" s="8"/>
      <c r="F3740" s="133"/>
      <c r="G3740" s="200"/>
      <c r="H3740" s="200"/>
    </row>
    <row r="3741" spans="1:9" ht="15.75" thickBot="1" x14ac:dyDescent="0.3">
      <c r="A3741" s="133" t="s">
        <v>6744</v>
      </c>
      <c r="B3741" s="8"/>
      <c r="C3741" s="8"/>
      <c r="D3741" s="529"/>
      <c r="E3741" s="223" t="s">
        <v>5415</v>
      </c>
      <c r="F3741" s="223"/>
      <c r="G3741" s="200"/>
      <c r="H3741" s="256">
        <f>ROUND(+H3739+H3730+H3722+H3707,0)</f>
        <v>21995</v>
      </c>
      <c r="I3741">
        <v>22836</v>
      </c>
    </row>
    <row r="3742" spans="1:9" x14ac:dyDescent="0.25">
      <c r="A3742" s="1058"/>
      <c r="B3742" s="1058"/>
      <c r="C3742" s="1058"/>
      <c r="D3742" s="957"/>
      <c r="E3742" s="1058"/>
      <c r="F3742" s="1058"/>
      <c r="G3742" s="1058"/>
      <c r="H3742" s="1058"/>
    </row>
    <row r="3743" spans="1:9" x14ac:dyDescent="0.25">
      <c r="A3743" s="1058"/>
      <c r="B3743" s="1058"/>
      <c r="C3743" s="1058"/>
      <c r="D3743" s="957"/>
      <c r="E3743" s="1058"/>
      <c r="F3743" s="1058"/>
      <c r="G3743" s="1058"/>
      <c r="H3743" s="1058"/>
    </row>
    <row r="3744" spans="1:9" ht="30" customHeight="1" x14ac:dyDescent="0.25">
      <c r="A3744" s="673" t="s">
        <v>5482</v>
      </c>
      <c r="B3744" s="1390" t="str">
        <f>+VLOOKUP(C3744,ListaAPUs!$B:$E,4,FALSE)</f>
        <v>4.4.4</v>
      </c>
      <c r="C3744" s="2449" t="str">
        <f>+ListaAPUs!B119</f>
        <v xml:space="preserve"> INSTALACIÓN TUBERÍA EN HIERRO DÚCTIL 400MM (16")</v>
      </c>
      <c r="D3744" s="2449"/>
      <c r="E3744" s="2449"/>
      <c r="F3744" s="673" t="s">
        <v>867</v>
      </c>
      <c r="G3744" s="222" t="s">
        <v>5402</v>
      </c>
      <c r="H3744" s="898"/>
    </row>
    <row r="3745" spans="1:8" x14ac:dyDescent="0.25">
      <c r="A3745" s="133"/>
      <c r="B3745" s="8"/>
      <c r="C3745" s="223"/>
      <c r="D3745" s="958"/>
      <c r="E3745" s="223"/>
      <c r="F3745" s="133"/>
      <c r="G3745" s="200"/>
      <c r="H3745" s="200"/>
    </row>
    <row r="3746" spans="1:8" x14ac:dyDescent="0.25">
      <c r="A3746" s="133"/>
      <c r="B3746" s="8"/>
      <c r="C3746" s="8"/>
      <c r="D3746" s="529"/>
      <c r="E3746" s="8"/>
      <c r="F3746" s="8"/>
      <c r="G3746" s="8"/>
      <c r="H3746" s="200"/>
    </row>
    <row r="3747" spans="1:8" ht="15.75" thickBot="1" x14ac:dyDescent="0.3">
      <c r="A3747" s="133"/>
      <c r="B3747" s="8"/>
      <c r="C3747" s="8"/>
      <c r="D3747" s="529"/>
      <c r="E3747" s="8"/>
      <c r="F3747" s="133"/>
      <c r="G3747" s="200"/>
      <c r="H3747" s="200"/>
    </row>
    <row r="3748" spans="1:8" ht="15.75" thickBot="1" x14ac:dyDescent="0.3">
      <c r="A3748" s="133"/>
      <c r="B3748" s="224" t="s">
        <v>5403</v>
      </c>
      <c r="C3748" s="193" t="s">
        <v>867</v>
      </c>
      <c r="D3748" s="951" t="s">
        <v>6</v>
      </c>
      <c r="E3748" s="193" t="s">
        <v>5439</v>
      </c>
      <c r="F3748" s="193" t="s">
        <v>5405</v>
      </c>
      <c r="G3748" s="225" t="s">
        <v>868</v>
      </c>
      <c r="H3748" s="200"/>
    </row>
    <row r="3749" spans="1:8" x14ac:dyDescent="0.25">
      <c r="A3749" s="133"/>
      <c r="B3749" s="195" t="s">
        <v>5455</v>
      </c>
      <c r="C3749" s="226" t="s">
        <v>7042</v>
      </c>
      <c r="D3749" s="212">
        <v>1</v>
      </c>
      <c r="E3749" s="228">
        <f>+H3787</f>
        <v>1421.6326666666666</v>
      </c>
      <c r="F3749" s="226">
        <v>0.05</v>
      </c>
      <c r="G3749" s="818">
        <f>IF(B3749="","",PRODUCT(D3749:F3749))</f>
        <v>71.081633333333329</v>
      </c>
      <c r="H3749" s="200"/>
    </row>
    <row r="3750" spans="1:8" x14ac:dyDescent="0.25">
      <c r="A3750" s="133"/>
      <c r="B3750" s="195" t="s">
        <v>6864</v>
      </c>
      <c r="C3750" s="226" t="s">
        <v>5734</v>
      </c>
      <c r="D3750" s="212">
        <v>1</v>
      </c>
      <c r="E3750" s="975">
        <f>+VLOOKUP(B3750,Insumos!$A$2:$C$331,3,FALSE)</f>
        <v>189911.25599999999</v>
      </c>
      <c r="F3750" s="197">
        <f>0.04/2</f>
        <v>0.02</v>
      </c>
      <c r="G3750" s="818">
        <f>IF(B3750="","",PRODUCT(D3750:F3750))</f>
        <v>3798.2251200000001</v>
      </c>
      <c r="H3750" s="200"/>
    </row>
    <row r="3751" spans="1:8" x14ac:dyDescent="0.25">
      <c r="A3751" s="133"/>
      <c r="B3751" s="195" t="s">
        <v>6869</v>
      </c>
      <c r="C3751" s="226" t="s">
        <v>7203</v>
      </c>
      <c r="D3751" s="212">
        <v>1</v>
      </c>
      <c r="E3751" s="975">
        <f>+VLOOKUP(B3751,Insumos!$A$2:$C$331,3,FALSE)</f>
        <v>202536</v>
      </c>
      <c r="F3751" s="197">
        <v>0.1</v>
      </c>
      <c r="G3751" s="818">
        <f>IF(B3751="","",PRODUCT(D3751:F3751))</f>
        <v>20253.600000000002</v>
      </c>
      <c r="H3751" s="200"/>
    </row>
    <row r="3752" spans="1:8" x14ac:dyDescent="0.25">
      <c r="A3752" s="133"/>
      <c r="B3752" s="195"/>
      <c r="C3752" s="226"/>
      <c r="D3752" s="212"/>
      <c r="E3752" s="975"/>
      <c r="F3752" s="197"/>
      <c r="G3752" s="818"/>
      <c r="H3752" s="200"/>
    </row>
    <row r="3753" spans="1:8" x14ac:dyDescent="0.25">
      <c r="A3753" s="133"/>
      <c r="B3753" s="195"/>
      <c r="C3753" s="226"/>
      <c r="D3753" s="952"/>
      <c r="E3753" s="232"/>
      <c r="F3753" s="226"/>
      <c r="G3753" s="229"/>
      <c r="H3753" s="200"/>
    </row>
    <row r="3754" spans="1:8" ht="15.75" thickBot="1" x14ac:dyDescent="0.3">
      <c r="A3754" s="133"/>
      <c r="B3754" s="195"/>
      <c r="C3754" s="226"/>
      <c r="D3754" s="952"/>
      <c r="E3754" s="232"/>
      <c r="F3754" s="226"/>
      <c r="G3754" s="229"/>
      <c r="H3754" s="200"/>
    </row>
    <row r="3755" spans="1:8" ht="15.75" thickBot="1" x14ac:dyDescent="0.3">
      <c r="A3755" s="133"/>
      <c r="B3755" s="233"/>
      <c r="C3755" s="234"/>
      <c r="D3755" s="953"/>
      <c r="E3755" s="234"/>
      <c r="F3755" s="235"/>
      <c r="G3755" s="236"/>
      <c r="H3755" s="237">
        <f>+SUM(G3749:G3755)</f>
        <v>24122.906753333336</v>
      </c>
    </row>
    <row r="3756" spans="1:8" ht="15.75" thickBot="1" x14ac:dyDescent="0.3">
      <c r="A3756" s="133"/>
      <c r="B3756" s="238"/>
      <c r="C3756" s="238"/>
      <c r="D3756" s="954"/>
      <c r="E3756" s="238"/>
      <c r="F3756" s="239"/>
      <c r="G3756" s="240"/>
      <c r="H3756" s="241"/>
    </row>
    <row r="3757" spans="1:8" ht="15.75" thickBot="1" x14ac:dyDescent="0.3">
      <c r="A3757" s="133"/>
      <c r="B3757" s="224" t="s">
        <v>5408</v>
      </c>
      <c r="C3757" s="193" t="s">
        <v>867</v>
      </c>
      <c r="D3757" s="951" t="s">
        <v>6</v>
      </c>
      <c r="E3757" s="193" t="s">
        <v>870</v>
      </c>
      <c r="F3757" s="193" t="s">
        <v>5409</v>
      </c>
      <c r="G3757" s="225" t="s">
        <v>868</v>
      </c>
      <c r="H3757" s="200"/>
    </row>
    <row r="3758" spans="1:8" x14ac:dyDescent="0.25">
      <c r="A3758" s="133"/>
      <c r="B3758" s="295"/>
      <c r="C3758" s="202"/>
      <c r="D3758" s="212"/>
      <c r="E3758" s="975"/>
      <c r="F3758" s="169"/>
      <c r="G3758" s="818"/>
      <c r="H3758" s="200"/>
    </row>
    <row r="3759" spans="1:8" x14ac:dyDescent="0.25">
      <c r="A3759" s="133"/>
      <c r="B3759" s="450"/>
      <c r="C3759" s="202"/>
      <c r="D3759" s="211"/>
      <c r="E3759" s="975"/>
      <c r="F3759" s="169"/>
      <c r="G3759" s="818"/>
      <c r="H3759" s="200"/>
    </row>
    <row r="3760" spans="1:8" x14ac:dyDescent="0.25">
      <c r="A3760" s="133"/>
      <c r="B3760" s="247"/>
      <c r="C3760" s="226"/>
      <c r="D3760" s="212"/>
      <c r="E3760" s="228"/>
      <c r="F3760" s="169"/>
      <c r="G3760" s="178"/>
      <c r="H3760" s="200"/>
    </row>
    <row r="3761" spans="1:8" x14ac:dyDescent="0.25">
      <c r="A3761" s="133"/>
      <c r="B3761" s="194"/>
      <c r="C3761" s="226"/>
      <c r="D3761" s="212"/>
      <c r="E3761" s="228"/>
      <c r="F3761" s="169"/>
      <c r="G3761" s="178"/>
      <c r="H3761" s="200"/>
    </row>
    <row r="3762" spans="1:8" x14ac:dyDescent="0.25">
      <c r="A3762" s="133"/>
      <c r="B3762" s="195"/>
      <c r="C3762" s="226"/>
      <c r="D3762" s="212"/>
      <c r="E3762" s="176"/>
      <c r="F3762" s="169"/>
      <c r="G3762" s="178"/>
      <c r="H3762" s="200"/>
    </row>
    <row r="3763" spans="1:8" x14ac:dyDescent="0.25">
      <c r="A3763" s="133"/>
      <c r="B3763" s="194"/>
      <c r="C3763" s="202"/>
      <c r="D3763" s="211"/>
      <c r="E3763" s="176"/>
      <c r="F3763" s="169"/>
      <c r="G3763" s="178"/>
      <c r="H3763" s="200"/>
    </row>
    <row r="3764" spans="1:8" x14ac:dyDescent="0.25">
      <c r="A3764" s="133"/>
      <c r="B3764" s="195"/>
      <c r="C3764" s="226"/>
      <c r="D3764" s="212"/>
      <c r="E3764" s="176"/>
      <c r="F3764" s="169"/>
      <c r="G3764" s="178"/>
      <c r="H3764" s="200"/>
    </row>
    <row r="3765" spans="1:8" x14ac:dyDescent="0.25">
      <c r="A3765" s="133"/>
      <c r="B3765" s="195"/>
      <c r="C3765" s="226"/>
      <c r="D3765" s="212"/>
      <c r="E3765" s="176"/>
      <c r="F3765" s="169"/>
      <c r="G3765" s="178"/>
      <c r="H3765" s="200"/>
    </row>
    <row r="3766" spans="1:8" x14ac:dyDescent="0.25">
      <c r="A3766" s="133"/>
      <c r="B3766" s="195"/>
      <c r="C3766" s="232"/>
      <c r="D3766" s="952"/>
      <c r="E3766" s="232"/>
      <c r="F3766" s="226"/>
      <c r="G3766" s="229"/>
      <c r="H3766" s="200"/>
    </row>
    <row r="3767" spans="1:8" x14ac:dyDescent="0.25">
      <c r="A3767" s="133"/>
      <c r="B3767" s="195"/>
      <c r="C3767" s="232"/>
      <c r="D3767" s="952"/>
      <c r="E3767" s="232"/>
      <c r="F3767" s="226"/>
      <c r="G3767" s="229"/>
      <c r="H3767" s="200"/>
    </row>
    <row r="3768" spans="1:8" x14ac:dyDescent="0.25">
      <c r="A3768" s="133"/>
      <c r="B3768" s="195"/>
      <c r="C3768" s="232"/>
      <c r="D3768" s="952"/>
      <c r="E3768" s="232"/>
      <c r="F3768" s="226"/>
      <c r="G3768" s="229"/>
      <c r="H3768" s="200"/>
    </row>
    <row r="3769" spans="1:8" ht="15.75" thickBot="1" x14ac:dyDescent="0.3">
      <c r="A3769" s="133"/>
      <c r="B3769" s="195"/>
      <c r="C3769" s="232"/>
      <c r="D3769" s="952"/>
      <c r="E3769" s="232"/>
      <c r="F3769" s="226"/>
      <c r="G3769" s="229"/>
      <c r="H3769" s="200"/>
    </row>
    <row r="3770" spans="1:8" ht="15.75" thickBot="1" x14ac:dyDescent="0.3">
      <c r="A3770" s="133"/>
      <c r="B3770" s="233"/>
      <c r="C3770" s="234"/>
      <c r="D3770" s="953"/>
      <c r="E3770" s="234"/>
      <c r="F3770" s="235"/>
      <c r="G3770" s="236"/>
      <c r="H3770" s="256">
        <f>+SUM(G3758:G3770)</f>
        <v>0</v>
      </c>
    </row>
    <row r="3771" spans="1:8" ht="15.75" thickBot="1" x14ac:dyDescent="0.3">
      <c r="A3771" s="133"/>
      <c r="B3771" s="238"/>
      <c r="C3771" s="238"/>
      <c r="D3771" s="954"/>
      <c r="E3771" s="238"/>
      <c r="F3771" s="239"/>
      <c r="G3771" s="240"/>
      <c r="H3771" s="241"/>
    </row>
    <row r="3772" spans="1:8" ht="15.75" thickBot="1" x14ac:dyDescent="0.3">
      <c r="A3772" s="133"/>
      <c r="B3772" s="224" t="s">
        <v>5410</v>
      </c>
      <c r="C3772" s="193" t="s">
        <v>867</v>
      </c>
      <c r="D3772" s="951" t="s">
        <v>6</v>
      </c>
      <c r="E3772" s="193" t="s">
        <v>870</v>
      </c>
      <c r="F3772" s="193" t="s">
        <v>5411</v>
      </c>
      <c r="G3772" s="225" t="s">
        <v>868</v>
      </c>
      <c r="H3772" s="200"/>
    </row>
    <row r="3773" spans="1:8" x14ac:dyDescent="0.25">
      <c r="A3773" s="133"/>
      <c r="B3773" s="245"/>
      <c r="C3773" s="202"/>
      <c r="D3773" s="211"/>
      <c r="E3773" s="175"/>
      <c r="F3773" s="202"/>
      <c r="G3773" s="203"/>
      <c r="H3773" s="246"/>
    </row>
    <row r="3774" spans="1:8" x14ac:dyDescent="0.25">
      <c r="A3774" s="133"/>
      <c r="B3774" s="247"/>
      <c r="C3774" s="248"/>
      <c r="D3774" s="961"/>
      <c r="E3774" s="248"/>
      <c r="F3774" s="202"/>
      <c r="G3774" s="178"/>
      <c r="H3774" s="200"/>
    </row>
    <row r="3775" spans="1:8" x14ac:dyDescent="0.25">
      <c r="A3775" s="133"/>
      <c r="B3775" s="247"/>
      <c r="C3775" s="232"/>
      <c r="D3775" s="952"/>
      <c r="E3775" s="232"/>
      <c r="F3775" s="226"/>
      <c r="G3775" s="229"/>
      <c r="H3775" s="200"/>
    </row>
    <row r="3776" spans="1:8" x14ac:dyDescent="0.25">
      <c r="A3776" s="133"/>
      <c r="B3776" s="194"/>
      <c r="C3776" s="232"/>
      <c r="D3776" s="952"/>
      <c r="E3776" s="232"/>
      <c r="F3776" s="226"/>
      <c r="G3776" s="229"/>
      <c r="H3776" s="200"/>
    </row>
    <row r="3777" spans="1:9" ht="15.75" thickBot="1" x14ac:dyDescent="0.3">
      <c r="A3777" s="133"/>
      <c r="B3777" s="195"/>
      <c r="C3777" s="232"/>
      <c r="D3777" s="952"/>
      <c r="E3777" s="232"/>
      <c r="F3777" s="226"/>
      <c r="G3777" s="229"/>
      <c r="H3777" s="200"/>
    </row>
    <row r="3778" spans="1:9" ht="15.75" thickBot="1" x14ac:dyDescent="0.3">
      <c r="A3778" s="133"/>
      <c r="B3778" s="233"/>
      <c r="C3778" s="234"/>
      <c r="D3778" s="953"/>
      <c r="E3778" s="234"/>
      <c r="F3778" s="235"/>
      <c r="G3778" s="236"/>
      <c r="H3778" s="237">
        <f>+SUM(G3773:G3778)</f>
        <v>0</v>
      </c>
    </row>
    <row r="3779" spans="1:9" ht="15.75" thickBot="1" x14ac:dyDescent="0.3">
      <c r="A3779" s="133"/>
      <c r="B3779" s="238"/>
      <c r="C3779" s="238"/>
      <c r="D3779" s="954"/>
      <c r="E3779" s="238"/>
      <c r="F3779" s="249"/>
      <c r="G3779" s="250"/>
      <c r="H3779" s="241"/>
    </row>
    <row r="3780" spans="1:9" ht="15.75" thickBot="1" x14ac:dyDescent="0.3">
      <c r="A3780" s="133"/>
      <c r="B3780" s="224" t="s">
        <v>5412</v>
      </c>
      <c r="C3780" s="193" t="s">
        <v>5420</v>
      </c>
      <c r="D3780" s="951" t="s">
        <v>5421</v>
      </c>
      <c r="E3780" s="193" t="s">
        <v>5413</v>
      </c>
      <c r="F3780" s="193" t="s">
        <v>5405</v>
      </c>
      <c r="G3780" s="225" t="s">
        <v>868</v>
      </c>
      <c r="H3780" s="200"/>
    </row>
    <row r="3781" spans="1:9" x14ac:dyDescent="0.25">
      <c r="A3781" s="133"/>
      <c r="B3781" s="194" t="s">
        <v>6523</v>
      </c>
      <c r="C3781" s="345">
        <f>+VLOOKUP($B3781,'Mano de obra'!$A$5:$D$26,2,FALSE)</f>
        <v>57454</v>
      </c>
      <c r="D3781" s="345">
        <f>+VLOOKUP($B3781,'Mano de obra'!$A$5:$D$26,3,FALSE)</f>
        <v>35656</v>
      </c>
      <c r="E3781" s="345">
        <f>+VLOOKUP($B3781,'Mano de obra'!$A$5:$D$26,4,FALSE)</f>
        <v>93110</v>
      </c>
      <c r="F3781" s="204">
        <v>500</v>
      </c>
      <c r="G3781" s="818">
        <f>IF(B3781="","",E3781/F3781)</f>
        <v>186.22</v>
      </c>
      <c r="H3781" s="200"/>
    </row>
    <row r="3782" spans="1:9" x14ac:dyDescent="0.25">
      <c r="A3782" s="133"/>
      <c r="B3782" s="194" t="s">
        <v>6524</v>
      </c>
      <c r="C3782" s="345">
        <f>+VLOOKUP($B3782,'Mano de obra'!$A$5:$D$26,2,FALSE)</f>
        <v>44263.8</v>
      </c>
      <c r="D3782" s="345">
        <f>+VLOOKUP($B3782,'Mano de obra'!$A$5:$D$26,3,FALSE)</f>
        <v>27470</v>
      </c>
      <c r="E3782" s="345">
        <f>+VLOOKUP($B3782,'Mano de obra'!$A$5:$D$26,4,FALSE)</f>
        <v>71733.8</v>
      </c>
      <c r="F3782" s="202">
        <v>300</v>
      </c>
      <c r="G3782" s="818">
        <f>IF(B3782="","",E3782/F3782)</f>
        <v>239.11266666666668</v>
      </c>
      <c r="H3782" s="200"/>
    </row>
    <row r="3783" spans="1:9" x14ac:dyDescent="0.25">
      <c r="A3783" s="133"/>
      <c r="B3783" s="195" t="s">
        <v>6525</v>
      </c>
      <c r="C3783" s="345">
        <f>+VLOOKUP($B3783,'Mano de obra'!$A$5:$D$26,2,FALSE)*2</f>
        <v>49182</v>
      </c>
      <c r="D3783" s="345">
        <f>+VLOOKUP($B3783,'Mano de obra'!$A$5:$D$26,3,FALSE)*2</f>
        <v>30522</v>
      </c>
      <c r="E3783" s="345">
        <f>+VLOOKUP($B3783,'Mano de obra'!$A$5:$D$26,4,FALSE)*2</f>
        <v>79704</v>
      </c>
      <c r="F3783" s="226">
        <f>10*8</f>
        <v>80</v>
      </c>
      <c r="G3783" s="818">
        <f>IF(B3783="","",E3783/F3783)</f>
        <v>996.3</v>
      </c>
      <c r="H3783" s="200"/>
      <c r="I3783" s="1628"/>
    </row>
    <row r="3784" spans="1:9" x14ac:dyDescent="0.25">
      <c r="A3784" s="133"/>
      <c r="B3784" s="195"/>
      <c r="C3784" s="171"/>
      <c r="D3784" s="965"/>
      <c r="E3784" s="228"/>
      <c r="F3784" s="226"/>
      <c r="G3784" s="178"/>
      <c r="H3784" s="200"/>
    </row>
    <row r="3785" spans="1:9" x14ac:dyDescent="0.25">
      <c r="A3785" s="133"/>
      <c r="B3785" s="195"/>
      <c r="C3785" s="232"/>
      <c r="D3785" s="952"/>
      <c r="E3785" s="232"/>
      <c r="F3785" s="226"/>
      <c r="G3785" s="229"/>
      <c r="H3785" s="200"/>
    </row>
    <row r="3786" spans="1:9" ht="15.75" thickBot="1" x14ac:dyDescent="0.3">
      <c r="A3786" s="133"/>
      <c r="B3786" s="195"/>
      <c r="C3786" s="232"/>
      <c r="D3786" s="952"/>
      <c r="E3786" s="232"/>
      <c r="F3786" s="226"/>
      <c r="G3786" s="229"/>
      <c r="H3786" s="200"/>
    </row>
    <row r="3787" spans="1:9" ht="15.75" thickBot="1" x14ac:dyDescent="0.3">
      <c r="A3787" s="133"/>
      <c r="B3787" s="251"/>
      <c r="C3787" s="252"/>
      <c r="D3787" s="956"/>
      <c r="E3787" s="252"/>
      <c r="F3787" s="253"/>
      <c r="G3787" s="254"/>
      <c r="H3787" s="256">
        <f>+SUM(G3781:G3787)</f>
        <v>1421.6326666666666</v>
      </c>
    </row>
    <row r="3788" spans="1:9" ht="15.75" thickBot="1" x14ac:dyDescent="0.3">
      <c r="A3788" s="133"/>
      <c r="B3788" s="8"/>
      <c r="C3788" s="8"/>
      <c r="D3788" s="529"/>
      <c r="E3788" s="8"/>
      <c r="F3788" s="133"/>
      <c r="G3788" s="200"/>
      <c r="H3788" s="200"/>
    </row>
    <row r="3789" spans="1:9" ht="15.75" thickBot="1" x14ac:dyDescent="0.3">
      <c r="A3789" s="133" t="s">
        <v>6744</v>
      </c>
      <c r="B3789" s="8"/>
      <c r="C3789" s="8"/>
      <c r="D3789" s="529"/>
      <c r="E3789" s="223" t="s">
        <v>5415</v>
      </c>
      <c r="F3789" s="133"/>
      <c r="G3789" s="200"/>
      <c r="H3789" s="256">
        <f>ROUND(+H3787+H3778+H3770+H3755,0)</f>
        <v>25545</v>
      </c>
      <c r="I3789">
        <v>23393</v>
      </c>
    </row>
    <row r="3790" spans="1:9" x14ac:dyDescent="0.25">
      <c r="A3790" s="86"/>
      <c r="B3790" s="86"/>
      <c r="C3790" s="86"/>
      <c r="D3790" s="966"/>
      <c r="E3790" s="86"/>
      <c r="F3790" s="86"/>
      <c r="G3790" s="86"/>
      <c r="H3790" s="86"/>
    </row>
    <row r="3791" spans="1:9" x14ac:dyDescent="0.25">
      <c r="A3791" s="133"/>
      <c r="B3791" s="8"/>
      <c r="C3791" s="8"/>
      <c r="D3791" s="529"/>
      <c r="E3791" s="223"/>
      <c r="F3791" s="133"/>
      <c r="G3791" s="341"/>
      <c r="H3791" s="676"/>
    </row>
    <row r="3792" spans="1:9" x14ac:dyDescent="0.25">
      <c r="A3792" s="673" t="s">
        <v>5482</v>
      </c>
      <c r="B3792" s="1390" t="str">
        <f>+VLOOKUP(C3792,ListaAPUs!$B:$E,4,FALSE)</f>
        <v>4.5.1</v>
      </c>
      <c r="C3792" s="2449" t="str">
        <f>+ListaAPUs!B123</f>
        <v xml:space="preserve">INSTALACIÓN TUBERÍA HD UNION ACERROJADA DN 250 </v>
      </c>
      <c r="D3792" s="2449"/>
      <c r="E3792" s="2449"/>
      <c r="F3792" s="673" t="s">
        <v>867</v>
      </c>
      <c r="G3792" s="222" t="s">
        <v>5402</v>
      </c>
      <c r="H3792" s="200"/>
    </row>
    <row r="3793" spans="1:8" x14ac:dyDescent="0.25">
      <c r="A3793" s="133"/>
      <c r="B3793" s="8"/>
      <c r="C3793" s="223"/>
      <c r="D3793" s="958"/>
      <c r="E3793" s="223"/>
      <c r="F3793" s="133"/>
      <c r="G3793" s="200"/>
      <c r="H3793" s="200"/>
    </row>
    <row r="3794" spans="1:8" x14ac:dyDescent="0.25">
      <c r="A3794" s="133"/>
      <c r="B3794" s="8"/>
      <c r="C3794" s="8"/>
      <c r="D3794" s="529"/>
      <c r="E3794" s="8"/>
      <c r="F3794" s="8"/>
      <c r="G3794" s="8"/>
      <c r="H3794" s="200"/>
    </row>
    <row r="3795" spans="1:8" ht="15.75" thickBot="1" x14ac:dyDescent="0.3">
      <c r="A3795" s="133"/>
      <c r="B3795" s="8"/>
      <c r="C3795" s="8"/>
      <c r="D3795" s="529"/>
      <c r="E3795" s="8"/>
      <c r="F3795" s="133"/>
      <c r="G3795" s="200"/>
      <c r="H3795" s="200"/>
    </row>
    <row r="3796" spans="1:8" ht="15.75" thickBot="1" x14ac:dyDescent="0.3">
      <c r="A3796" s="133"/>
      <c r="B3796" s="224" t="s">
        <v>5403</v>
      </c>
      <c r="C3796" s="193" t="s">
        <v>867</v>
      </c>
      <c r="D3796" s="951" t="s">
        <v>6</v>
      </c>
      <c r="E3796" s="193" t="s">
        <v>5439</v>
      </c>
      <c r="F3796" s="193" t="s">
        <v>5405</v>
      </c>
      <c r="G3796" s="225" t="s">
        <v>868</v>
      </c>
      <c r="H3796" s="200"/>
    </row>
    <row r="3797" spans="1:8" x14ac:dyDescent="0.25">
      <c r="A3797" s="133"/>
      <c r="B3797" s="195" t="s">
        <v>5440</v>
      </c>
      <c r="C3797" s="226" t="s">
        <v>7042</v>
      </c>
      <c r="D3797" s="212">
        <v>1</v>
      </c>
      <c r="E3797" s="227">
        <f>+H3835</f>
        <v>18731.673333333332</v>
      </c>
      <c r="F3797" s="226">
        <v>0.05</v>
      </c>
      <c r="G3797" s="229">
        <f>+E3797*F3797</f>
        <v>936.58366666666666</v>
      </c>
      <c r="H3797" s="200"/>
    </row>
    <row r="3798" spans="1:8" x14ac:dyDescent="0.25">
      <c r="A3798" s="133"/>
      <c r="B3798" s="195" t="s">
        <v>8014</v>
      </c>
      <c r="C3798" s="226" t="s">
        <v>5734</v>
      </c>
      <c r="D3798" s="212">
        <v>1</v>
      </c>
      <c r="E3798" s="975">
        <f>+VLOOKUP(B3798,Insumos!$A$2:$C$331,3,FALSE)</f>
        <v>189911.25599999999</v>
      </c>
      <c r="F3798" s="226">
        <v>0.01</v>
      </c>
      <c r="G3798" s="229">
        <f>+E3798*F3798</f>
        <v>1899.11256</v>
      </c>
      <c r="H3798" s="200"/>
    </row>
    <row r="3799" spans="1:8" x14ac:dyDescent="0.25">
      <c r="A3799" s="133"/>
      <c r="B3799" s="1561" t="s">
        <v>6869</v>
      </c>
      <c r="C3799" s="226" t="s">
        <v>7203</v>
      </c>
      <c r="D3799" s="212">
        <v>1</v>
      </c>
      <c r="E3799" s="975">
        <f>+VLOOKUP(B3799,Insumos!$A$2:$C$331,3,FALSE)</f>
        <v>202536</v>
      </c>
      <c r="F3799" s="226">
        <v>3</v>
      </c>
      <c r="G3799" s="229">
        <f>+E3799/F3799</f>
        <v>67512</v>
      </c>
      <c r="H3799" s="200"/>
    </row>
    <row r="3800" spans="1:8" x14ac:dyDescent="0.25">
      <c r="A3800" s="133"/>
      <c r="B3800" s="195"/>
      <c r="C3800" s="226"/>
      <c r="D3800" s="212"/>
      <c r="E3800" s="171"/>
      <c r="F3800" s="226"/>
      <c r="G3800" s="231"/>
      <c r="H3800" s="200"/>
    </row>
    <row r="3801" spans="1:8" x14ac:dyDescent="0.25">
      <c r="A3801" s="133"/>
      <c r="B3801" s="195"/>
      <c r="C3801" s="226"/>
      <c r="D3801" s="952"/>
      <c r="E3801" s="232"/>
      <c r="F3801" s="226"/>
      <c r="G3801" s="229"/>
      <c r="H3801" s="200"/>
    </row>
    <row r="3802" spans="1:8" ht="15.75" thickBot="1" x14ac:dyDescent="0.3">
      <c r="A3802" s="133"/>
      <c r="B3802" s="195"/>
      <c r="C3802" s="226"/>
      <c r="D3802" s="952"/>
      <c r="E3802" s="232"/>
      <c r="F3802" s="226"/>
      <c r="G3802" s="229"/>
      <c r="H3802" s="200"/>
    </row>
    <row r="3803" spans="1:8" ht="15.75" thickBot="1" x14ac:dyDescent="0.3">
      <c r="A3803" s="133"/>
      <c r="B3803" s="233"/>
      <c r="C3803" s="234"/>
      <c r="D3803" s="953"/>
      <c r="E3803" s="234"/>
      <c r="F3803" s="235"/>
      <c r="G3803" s="236"/>
      <c r="H3803" s="237">
        <f>+SUM(G3797:G3803)</f>
        <v>70347.696226666667</v>
      </c>
    </row>
    <row r="3804" spans="1:8" ht="15.75" thickBot="1" x14ac:dyDescent="0.3">
      <c r="A3804" s="133"/>
      <c r="B3804" s="238"/>
      <c r="C3804" s="238"/>
      <c r="D3804" s="954"/>
      <c r="E3804" s="238"/>
      <c r="F3804" s="239"/>
      <c r="G3804" s="240"/>
      <c r="H3804" s="241"/>
    </row>
    <row r="3805" spans="1:8" ht="15.75" thickBot="1" x14ac:dyDescent="0.3">
      <c r="A3805" s="133"/>
      <c r="B3805" s="224" t="s">
        <v>5408</v>
      </c>
      <c r="C3805" s="193" t="s">
        <v>867</v>
      </c>
      <c r="D3805" s="951" t="s">
        <v>6</v>
      </c>
      <c r="E3805" s="193" t="s">
        <v>870</v>
      </c>
      <c r="F3805" s="193" t="s">
        <v>5409</v>
      </c>
      <c r="G3805" s="225" t="s">
        <v>868</v>
      </c>
      <c r="H3805" s="200"/>
    </row>
    <row r="3806" spans="1:8" x14ac:dyDescent="0.25">
      <c r="A3806" s="133"/>
      <c r="B3806" s="295"/>
      <c r="C3806" s="202"/>
      <c r="D3806" s="212"/>
      <c r="E3806" s="975"/>
      <c r="F3806" s="169"/>
      <c r="G3806" s="178"/>
      <c r="H3806" s="200"/>
    </row>
    <row r="3807" spans="1:8" x14ac:dyDescent="0.25">
      <c r="A3807" s="133"/>
      <c r="B3807" s="450"/>
      <c r="C3807" s="202"/>
      <c r="D3807" s="211"/>
      <c r="E3807" s="975"/>
      <c r="F3807" s="169"/>
      <c r="G3807" s="178"/>
      <c r="H3807" s="200"/>
    </row>
    <row r="3808" spans="1:8" x14ac:dyDescent="0.25">
      <c r="A3808" s="133"/>
      <c r="B3808" s="247"/>
      <c r="C3808" s="226"/>
      <c r="D3808" s="212"/>
      <c r="E3808" s="244"/>
      <c r="F3808" s="169"/>
      <c r="G3808" s="178">
        <f>+D3808*E3808*(1+F3808)</f>
        <v>0</v>
      </c>
      <c r="H3808" s="200"/>
    </row>
    <row r="3809" spans="1:8" x14ac:dyDescent="0.25">
      <c r="A3809" s="133"/>
      <c r="B3809" s="194"/>
      <c r="C3809" s="226"/>
      <c r="D3809" s="212"/>
      <c r="E3809" s="171"/>
      <c r="F3809" s="169"/>
      <c r="G3809" s="178">
        <f>+D3809*E3809*(1+F3809)</f>
        <v>0</v>
      </c>
      <c r="H3809" s="200"/>
    </row>
    <row r="3810" spans="1:8" x14ac:dyDescent="0.25">
      <c r="A3810" s="133"/>
      <c r="B3810" s="195"/>
      <c r="C3810" s="226"/>
      <c r="D3810" s="212"/>
      <c r="E3810" s="171"/>
      <c r="F3810" s="169"/>
      <c r="G3810" s="178"/>
      <c r="H3810" s="200"/>
    </row>
    <row r="3811" spans="1:8" x14ac:dyDescent="0.25">
      <c r="A3811" s="133"/>
      <c r="B3811" s="194"/>
      <c r="C3811" s="202"/>
      <c r="D3811" s="211"/>
      <c r="E3811" s="171"/>
      <c r="F3811" s="169"/>
      <c r="G3811" s="178"/>
      <c r="H3811" s="200"/>
    </row>
    <row r="3812" spans="1:8" x14ac:dyDescent="0.25">
      <c r="A3812" s="133"/>
      <c r="B3812" s="195"/>
      <c r="C3812" s="226"/>
      <c r="D3812" s="212"/>
      <c r="E3812" s="171"/>
      <c r="F3812" s="169"/>
      <c r="G3812" s="178"/>
      <c r="H3812" s="200"/>
    </row>
    <row r="3813" spans="1:8" x14ac:dyDescent="0.25">
      <c r="A3813" s="133"/>
      <c r="B3813" s="195"/>
      <c r="C3813" s="226"/>
      <c r="D3813" s="212"/>
      <c r="E3813" s="171"/>
      <c r="F3813" s="169"/>
      <c r="G3813" s="178"/>
      <c r="H3813" s="200"/>
    </row>
    <row r="3814" spans="1:8" x14ac:dyDescent="0.25">
      <c r="A3814" s="133"/>
      <c r="B3814" s="195"/>
      <c r="C3814" s="232"/>
      <c r="D3814" s="952"/>
      <c r="E3814" s="232"/>
      <c r="F3814" s="226"/>
      <c r="G3814" s="229"/>
      <c r="H3814" s="200"/>
    </row>
    <row r="3815" spans="1:8" x14ac:dyDescent="0.25">
      <c r="A3815" s="133"/>
      <c r="B3815" s="195"/>
      <c r="C3815" s="232"/>
      <c r="D3815" s="952"/>
      <c r="E3815" s="232"/>
      <c r="F3815" s="226"/>
      <c r="G3815" s="229"/>
      <c r="H3815" s="200"/>
    </row>
    <row r="3816" spans="1:8" x14ac:dyDescent="0.25">
      <c r="A3816" s="133"/>
      <c r="B3816" s="195"/>
      <c r="C3816" s="232"/>
      <c r="D3816" s="952"/>
      <c r="E3816" s="232"/>
      <c r="F3816" s="226"/>
      <c r="G3816" s="229"/>
      <c r="H3816" s="200"/>
    </row>
    <row r="3817" spans="1:8" ht="15.75" thickBot="1" x14ac:dyDescent="0.3">
      <c r="A3817" s="133"/>
      <c r="B3817" s="195"/>
      <c r="C3817" s="232"/>
      <c r="D3817" s="952"/>
      <c r="E3817" s="232"/>
      <c r="F3817" s="226"/>
      <c r="G3817" s="229"/>
      <c r="H3817" s="200"/>
    </row>
    <row r="3818" spans="1:8" ht="15.75" thickBot="1" x14ac:dyDescent="0.3">
      <c r="A3818" s="133"/>
      <c r="B3818" s="233"/>
      <c r="C3818" s="234"/>
      <c r="D3818" s="953"/>
      <c r="E3818" s="234"/>
      <c r="F3818" s="235"/>
      <c r="G3818" s="236"/>
      <c r="H3818" s="256">
        <f>+SUM(G3806:G3818)</f>
        <v>0</v>
      </c>
    </row>
    <row r="3819" spans="1:8" ht="15.75" thickBot="1" x14ac:dyDescent="0.3">
      <c r="A3819" s="133"/>
      <c r="B3819" s="238"/>
      <c r="C3819" s="238"/>
      <c r="D3819" s="954"/>
      <c r="E3819" s="238"/>
      <c r="F3819" s="239"/>
      <c r="G3819" s="240"/>
      <c r="H3819" s="241"/>
    </row>
    <row r="3820" spans="1:8" ht="15.75" thickBot="1" x14ac:dyDescent="0.3">
      <c r="A3820" s="133"/>
      <c r="B3820" s="224" t="s">
        <v>5410</v>
      </c>
      <c r="C3820" s="193" t="s">
        <v>867</v>
      </c>
      <c r="D3820" s="951" t="s">
        <v>6</v>
      </c>
      <c r="E3820" s="193" t="s">
        <v>870</v>
      </c>
      <c r="F3820" s="193" t="s">
        <v>5411</v>
      </c>
      <c r="G3820" s="225" t="s">
        <v>868</v>
      </c>
      <c r="H3820" s="200"/>
    </row>
    <row r="3821" spans="1:8" x14ac:dyDescent="0.25">
      <c r="A3821" s="133"/>
      <c r="B3821" s="245"/>
      <c r="C3821" s="202"/>
      <c r="D3821" s="211"/>
      <c r="E3821" s="175"/>
      <c r="F3821" s="202"/>
      <c r="G3821" s="203"/>
      <c r="H3821" s="246"/>
    </row>
    <row r="3822" spans="1:8" x14ac:dyDescent="0.25">
      <c r="A3822" s="133"/>
      <c r="B3822" s="247"/>
      <c r="C3822" s="248"/>
      <c r="D3822" s="961"/>
      <c r="E3822" s="248"/>
      <c r="F3822" s="202"/>
      <c r="G3822" s="178"/>
      <c r="H3822" s="200"/>
    </row>
    <row r="3823" spans="1:8" x14ac:dyDescent="0.25">
      <c r="A3823" s="133"/>
      <c r="B3823" s="247"/>
      <c r="C3823" s="232"/>
      <c r="D3823" s="952"/>
      <c r="E3823" s="232"/>
      <c r="F3823" s="226"/>
      <c r="G3823" s="229"/>
      <c r="H3823" s="200"/>
    </row>
    <row r="3824" spans="1:8" x14ac:dyDescent="0.25">
      <c r="A3824" s="133"/>
      <c r="B3824" s="194"/>
      <c r="C3824" s="232"/>
      <c r="D3824" s="952"/>
      <c r="E3824" s="232"/>
      <c r="F3824" s="226"/>
      <c r="G3824" s="229"/>
      <c r="H3824" s="200"/>
    </row>
    <row r="3825" spans="1:8" ht="15.75" thickBot="1" x14ac:dyDescent="0.3">
      <c r="A3825" s="133"/>
      <c r="B3825" s="195"/>
      <c r="C3825" s="232"/>
      <c r="D3825" s="952"/>
      <c r="E3825" s="232"/>
      <c r="F3825" s="226"/>
      <c r="G3825" s="229"/>
      <c r="H3825" s="200"/>
    </row>
    <row r="3826" spans="1:8" ht="15.75" thickBot="1" x14ac:dyDescent="0.3">
      <c r="A3826" s="133"/>
      <c r="B3826" s="233"/>
      <c r="C3826" s="234"/>
      <c r="D3826" s="953"/>
      <c r="E3826" s="234"/>
      <c r="F3826" s="235"/>
      <c r="G3826" s="236"/>
      <c r="H3826" s="237">
        <f>+SUM(G3821:G3826)</f>
        <v>0</v>
      </c>
    </row>
    <row r="3827" spans="1:8" ht="15.75" thickBot="1" x14ac:dyDescent="0.3">
      <c r="A3827" s="133"/>
      <c r="B3827" s="238"/>
      <c r="C3827" s="238"/>
      <c r="D3827" s="954"/>
      <c r="E3827" s="238"/>
      <c r="F3827" s="249"/>
      <c r="G3827" s="250"/>
      <c r="H3827" s="241"/>
    </row>
    <row r="3828" spans="1:8" ht="15.75" thickBot="1" x14ac:dyDescent="0.3">
      <c r="A3828" s="133"/>
      <c r="B3828" s="224" t="s">
        <v>5412</v>
      </c>
      <c r="C3828" s="193" t="s">
        <v>5420</v>
      </c>
      <c r="D3828" s="951" t="s">
        <v>5421</v>
      </c>
      <c r="E3828" s="193" t="s">
        <v>5413</v>
      </c>
      <c r="F3828" s="193" t="s">
        <v>5405</v>
      </c>
      <c r="G3828" s="225" t="s">
        <v>868</v>
      </c>
      <c r="H3828" s="200"/>
    </row>
    <row r="3829" spans="1:8" x14ac:dyDescent="0.25">
      <c r="A3829" s="133"/>
      <c r="B3829" s="194" t="s">
        <v>5948</v>
      </c>
      <c r="C3829" s="345">
        <f>+VLOOKUP($B3829,'Mano de obra'!$A$5:$D$26,2,FALSE)</f>
        <v>57455</v>
      </c>
      <c r="D3829" s="345">
        <f>+VLOOKUP($B3829,'Mano de obra'!$A$5:$D$26,3,FALSE)</f>
        <v>35656</v>
      </c>
      <c r="E3829" s="345">
        <f>+VLOOKUP($B3829,'Mano de obra'!$A$5:$D$26,4,FALSE)</f>
        <v>93111</v>
      </c>
      <c r="F3829" s="204">
        <v>500</v>
      </c>
      <c r="G3829" s="178">
        <f>+E3829/F3829*5</f>
        <v>931.11</v>
      </c>
      <c r="H3829" s="200"/>
    </row>
    <row r="3830" spans="1:8" x14ac:dyDescent="0.25">
      <c r="A3830" s="133"/>
      <c r="B3830" s="194" t="s">
        <v>5949</v>
      </c>
      <c r="C3830" s="345">
        <f>+VLOOKUP($B3830,'Mano de obra'!$A$5:$D$26,2,FALSE)</f>
        <v>44263.8</v>
      </c>
      <c r="D3830" s="345">
        <f>+VLOOKUP($B3830,'Mano de obra'!$A$5:$D$26,3,FALSE)</f>
        <v>27470</v>
      </c>
      <c r="E3830" s="345">
        <f>+VLOOKUP($B3830,'Mano de obra'!$A$5:$D$26,4,FALSE)</f>
        <v>71733.8</v>
      </c>
      <c r="F3830" s="202">
        <v>300</v>
      </c>
      <c r="G3830" s="178">
        <f>+E3830/F3830*5</f>
        <v>1195.5633333333335</v>
      </c>
      <c r="H3830" s="200"/>
    </row>
    <row r="3831" spans="1:8" x14ac:dyDescent="0.25">
      <c r="A3831" s="133"/>
      <c r="B3831" s="195" t="s">
        <v>5635</v>
      </c>
      <c r="C3831" s="345">
        <f>+VLOOKUP($B3831,'Mano de obra'!$A$5:$D$26,2,FALSE)*2</f>
        <v>49182</v>
      </c>
      <c r="D3831" s="345">
        <f>+VLOOKUP($B3831,'Mano de obra'!$A$5:$D$26,3,FALSE)*2</f>
        <v>30522</v>
      </c>
      <c r="E3831" s="345">
        <f>+VLOOKUP($B3831,'Mano de obra'!$A$5:$D$26,4,FALSE)*2</f>
        <v>79704</v>
      </c>
      <c r="F3831" s="226">
        <f>+F3799*8</f>
        <v>24</v>
      </c>
      <c r="G3831" s="178">
        <f>+E3831/F3831*5</f>
        <v>16605</v>
      </c>
      <c r="H3831" s="200"/>
    </row>
    <row r="3832" spans="1:8" x14ac:dyDescent="0.25">
      <c r="A3832" s="133"/>
      <c r="B3832" s="195"/>
      <c r="C3832" s="171"/>
      <c r="D3832" s="965"/>
      <c r="E3832" s="176"/>
      <c r="F3832" s="226"/>
      <c r="G3832" s="178"/>
      <c r="H3832" s="200"/>
    </row>
    <row r="3833" spans="1:8" x14ac:dyDescent="0.25">
      <c r="A3833" s="133"/>
      <c r="B3833" s="195"/>
      <c r="C3833" s="232"/>
      <c r="D3833" s="952"/>
      <c r="E3833" s="232"/>
      <c r="F3833" s="226"/>
      <c r="G3833" s="229"/>
      <c r="H3833" s="200"/>
    </row>
    <row r="3834" spans="1:8" ht="15.75" thickBot="1" x14ac:dyDescent="0.3">
      <c r="A3834" s="133"/>
      <c r="B3834" s="195"/>
      <c r="C3834" s="232"/>
      <c r="D3834" s="952"/>
      <c r="E3834" s="232"/>
      <c r="F3834" s="226"/>
      <c r="G3834" s="229"/>
      <c r="H3834" s="200"/>
    </row>
    <row r="3835" spans="1:8" ht="15.75" thickBot="1" x14ac:dyDescent="0.3">
      <c r="A3835" s="133"/>
      <c r="B3835" s="251"/>
      <c r="C3835" s="252"/>
      <c r="D3835" s="956"/>
      <c r="E3835" s="252"/>
      <c r="F3835" s="253"/>
      <c r="G3835" s="254"/>
      <c r="H3835" s="256">
        <f>+SUM(G3829:G3835)</f>
        <v>18731.673333333332</v>
      </c>
    </row>
    <row r="3836" spans="1:8" ht="15.75" thickBot="1" x14ac:dyDescent="0.3">
      <c r="A3836" s="133"/>
      <c r="B3836" s="8"/>
      <c r="C3836" s="8"/>
      <c r="D3836" s="529"/>
      <c r="E3836" s="8"/>
      <c r="F3836" s="133"/>
      <c r="G3836" s="200"/>
      <c r="H3836" s="200"/>
    </row>
    <row r="3837" spans="1:8" ht="15.75" thickBot="1" x14ac:dyDescent="0.3">
      <c r="A3837" s="133" t="s">
        <v>6744</v>
      </c>
      <c r="B3837" s="8"/>
      <c r="C3837" s="8"/>
      <c r="D3837" s="529"/>
      <c r="E3837" s="223" t="s">
        <v>5415</v>
      </c>
      <c r="F3837" s="133"/>
      <c r="G3837" s="200"/>
      <c r="H3837" s="256">
        <f>ROUND(+H3835+H3826+H3818+H3803,0)</f>
        <v>89079</v>
      </c>
    </row>
    <row r="3838" spans="1:8" x14ac:dyDescent="0.25">
      <c r="A3838" s="1058"/>
      <c r="B3838" s="1058"/>
      <c r="C3838" s="1058"/>
      <c r="D3838" s="957"/>
      <c r="E3838" s="1058"/>
      <c r="F3838" s="1058"/>
      <c r="G3838" s="1058"/>
      <c r="H3838" s="1058"/>
    </row>
    <row r="3839" spans="1:8" x14ac:dyDescent="0.25">
      <c r="A3839" s="1058"/>
      <c r="B3839" s="1058"/>
      <c r="C3839" s="1058"/>
      <c r="D3839" s="957"/>
      <c r="E3839" s="1058"/>
      <c r="F3839" s="1058"/>
      <c r="G3839" s="1058"/>
      <c r="H3839" s="1058"/>
    </row>
    <row r="3840" spans="1:8" x14ac:dyDescent="0.25">
      <c r="A3840" s="673" t="s">
        <v>5482</v>
      </c>
      <c r="B3840" s="1390" t="str">
        <f>+VLOOKUP(C3840,ListaAPUs!$B:$E,4,FALSE)</f>
        <v>4.5.2</v>
      </c>
      <c r="C3840" s="2444" t="str">
        <f>+ListaAPUs!B124</f>
        <v>INSTALACIÓN TUBERÍA HD UNION ACERROJADA DN 300</v>
      </c>
      <c r="D3840" s="2444"/>
      <c r="E3840" s="2444"/>
      <c r="F3840" s="673" t="s">
        <v>867</v>
      </c>
      <c r="G3840" s="342" t="s">
        <v>14</v>
      </c>
      <c r="H3840" s="341"/>
    </row>
    <row r="3841" spans="1:8" x14ac:dyDescent="0.25">
      <c r="A3841" s="133"/>
      <c r="B3841" s="8"/>
      <c r="C3841" s="223"/>
      <c r="D3841" s="958"/>
      <c r="E3841" s="223"/>
      <c r="F3841" s="133"/>
      <c r="G3841" s="341"/>
      <c r="H3841" s="341"/>
    </row>
    <row r="3842" spans="1:8" x14ac:dyDescent="0.25">
      <c r="A3842" s="133"/>
      <c r="B3842" s="8"/>
      <c r="C3842" s="8"/>
      <c r="D3842" s="529"/>
      <c r="E3842" s="8"/>
      <c r="F3842" s="8"/>
      <c r="G3842" s="8"/>
      <c r="H3842" s="341"/>
    </row>
    <row r="3843" spans="1:8" ht="15.75" thickBot="1" x14ac:dyDescent="0.3">
      <c r="A3843" s="133"/>
      <c r="B3843" s="8"/>
      <c r="C3843" s="8"/>
      <c r="D3843" s="529"/>
      <c r="E3843" s="8"/>
      <c r="F3843" s="133"/>
      <c r="G3843" s="341"/>
      <c r="H3843" s="341"/>
    </row>
    <row r="3844" spans="1:8" ht="15.75" thickBot="1" x14ac:dyDescent="0.3">
      <c r="A3844" s="133"/>
      <c r="B3844" s="224" t="s">
        <v>5403</v>
      </c>
      <c r="C3844" s="193" t="s">
        <v>867</v>
      </c>
      <c r="D3844" s="951" t="s">
        <v>6</v>
      </c>
      <c r="E3844" s="193" t="s">
        <v>5439</v>
      </c>
      <c r="F3844" s="193" t="s">
        <v>5405</v>
      </c>
      <c r="G3844" s="343" t="s">
        <v>868</v>
      </c>
      <c r="H3844" s="341"/>
    </row>
    <row r="3845" spans="1:8" x14ac:dyDescent="0.25">
      <c r="A3845" s="133"/>
      <c r="B3845" s="1561" t="s">
        <v>5440</v>
      </c>
      <c r="C3845" s="226" t="s">
        <v>7042</v>
      </c>
      <c r="D3845" s="212">
        <v>1</v>
      </c>
      <c r="E3845" s="227">
        <f>+H3883</f>
        <v>18731.673333333332</v>
      </c>
      <c r="F3845" s="226">
        <v>0.05</v>
      </c>
      <c r="G3845" s="229">
        <f>+E3845*F3845</f>
        <v>936.58366666666666</v>
      </c>
      <c r="H3845" s="200"/>
    </row>
    <row r="3846" spans="1:8" x14ac:dyDescent="0.25">
      <c r="A3846" s="133"/>
      <c r="B3846" s="1561" t="s">
        <v>8014</v>
      </c>
      <c r="C3846" s="226" t="s">
        <v>5734</v>
      </c>
      <c r="D3846" s="212">
        <v>1</v>
      </c>
      <c r="E3846" s="975">
        <f>+VLOOKUP(B3846,Insumos!$A$2:$C$331,3,FALSE)</f>
        <v>189911.25599999999</v>
      </c>
      <c r="F3846" s="226">
        <v>0.01</v>
      </c>
      <c r="G3846" s="229">
        <f>+E3846*F3846</f>
        <v>1899.11256</v>
      </c>
      <c r="H3846" s="200"/>
    </row>
    <row r="3847" spans="1:8" x14ac:dyDescent="0.25">
      <c r="A3847" s="133"/>
      <c r="B3847" s="1561" t="s">
        <v>6869</v>
      </c>
      <c r="C3847" s="226" t="s">
        <v>7203</v>
      </c>
      <c r="D3847" s="212">
        <v>1</v>
      </c>
      <c r="E3847" s="975">
        <f>+VLOOKUP(B3847,Insumos!$A$2:$C$331,3,FALSE)</f>
        <v>202536</v>
      </c>
      <c r="F3847" s="226">
        <v>3</v>
      </c>
      <c r="G3847" s="229">
        <f>+E3847/F3847</f>
        <v>67512</v>
      </c>
      <c r="H3847" s="200"/>
    </row>
    <row r="3848" spans="1:8" x14ac:dyDescent="0.25">
      <c r="A3848" s="133"/>
      <c r="B3848" s="195"/>
      <c r="C3848" s="226"/>
      <c r="D3848" s="212"/>
      <c r="E3848" s="171"/>
      <c r="F3848" s="226"/>
      <c r="G3848" s="231"/>
      <c r="H3848" s="200"/>
    </row>
    <row r="3849" spans="1:8" x14ac:dyDescent="0.25">
      <c r="A3849" s="133"/>
      <c r="B3849" s="195"/>
      <c r="C3849" s="226"/>
      <c r="D3849" s="952"/>
      <c r="E3849" s="232"/>
      <c r="F3849" s="226"/>
      <c r="G3849" s="229"/>
      <c r="H3849" s="200"/>
    </row>
    <row r="3850" spans="1:8" ht="15.75" thickBot="1" x14ac:dyDescent="0.3">
      <c r="A3850" s="133"/>
      <c r="B3850" s="195"/>
      <c r="C3850" s="226"/>
      <c r="D3850" s="952"/>
      <c r="E3850" s="232"/>
      <c r="F3850" s="226"/>
      <c r="G3850" s="229"/>
      <c r="H3850" s="200"/>
    </row>
    <row r="3851" spans="1:8" ht="15.75" thickBot="1" x14ac:dyDescent="0.3">
      <c r="A3851" s="133"/>
      <c r="B3851" s="233"/>
      <c r="C3851" s="234"/>
      <c r="D3851" s="953"/>
      <c r="E3851" s="234"/>
      <c r="F3851" s="235"/>
      <c r="G3851" s="236"/>
      <c r="H3851" s="237">
        <f>+SUM(G3845:G3851)</f>
        <v>70347.696226666667</v>
      </c>
    </row>
    <row r="3852" spans="1:8" ht="15.75" thickBot="1" x14ac:dyDescent="0.3">
      <c r="A3852" s="133"/>
      <c r="B3852" s="238"/>
      <c r="C3852" s="238"/>
      <c r="D3852" s="954"/>
      <c r="E3852" s="238"/>
      <c r="F3852" s="239"/>
      <c r="G3852" s="349"/>
      <c r="H3852" s="350"/>
    </row>
    <row r="3853" spans="1:8" ht="15.75" thickBot="1" x14ac:dyDescent="0.3">
      <c r="A3853" s="133"/>
      <c r="B3853" s="224" t="s">
        <v>5408</v>
      </c>
      <c r="C3853" s="193" t="s">
        <v>867</v>
      </c>
      <c r="D3853" s="951" t="s">
        <v>6</v>
      </c>
      <c r="E3853" s="193" t="s">
        <v>870</v>
      </c>
      <c r="F3853" s="193" t="s">
        <v>5409</v>
      </c>
      <c r="G3853" s="343" t="s">
        <v>868</v>
      </c>
      <c r="H3853" s="341"/>
    </row>
    <row r="3854" spans="1:8" x14ac:dyDescent="0.25">
      <c r="A3854" s="133"/>
      <c r="B3854" s="195"/>
      <c r="C3854" s="226"/>
      <c r="D3854" s="212"/>
      <c r="E3854" s="975"/>
      <c r="F3854" s="226"/>
      <c r="G3854" s="229"/>
      <c r="H3854" s="341"/>
    </row>
    <row r="3855" spans="1:8" x14ac:dyDescent="0.25">
      <c r="A3855" s="133"/>
      <c r="B3855" s="195"/>
      <c r="C3855" s="226"/>
      <c r="D3855" s="212"/>
      <c r="E3855" s="975"/>
      <c r="F3855" s="226"/>
      <c r="G3855" s="229"/>
      <c r="H3855" s="341"/>
    </row>
    <row r="3856" spans="1:8" x14ac:dyDescent="0.25">
      <c r="A3856" s="133"/>
      <c r="B3856" s="195"/>
      <c r="C3856" s="226"/>
      <c r="D3856" s="212"/>
      <c r="E3856" s="176"/>
      <c r="F3856" s="226"/>
      <c r="G3856" s="229">
        <f>+D3856*E3856*(1+F3856)</f>
        <v>0</v>
      </c>
      <c r="H3856" s="341"/>
    </row>
    <row r="3857" spans="1:8" x14ac:dyDescent="0.25">
      <c r="A3857" s="133"/>
      <c r="B3857" s="194"/>
      <c r="C3857" s="226"/>
      <c r="D3857" s="212"/>
      <c r="E3857" s="171"/>
      <c r="F3857" s="169"/>
      <c r="G3857" s="178">
        <f>+D3857*E3857*(1+F3857)</f>
        <v>0</v>
      </c>
      <c r="H3857" s="341"/>
    </row>
    <row r="3858" spans="1:8" x14ac:dyDescent="0.25">
      <c r="A3858" s="133"/>
      <c r="B3858" s="195"/>
      <c r="C3858" s="226"/>
      <c r="D3858" s="212"/>
      <c r="E3858" s="346"/>
      <c r="F3858" s="169"/>
      <c r="G3858" s="351"/>
      <c r="H3858" s="341"/>
    </row>
    <row r="3859" spans="1:8" x14ac:dyDescent="0.25">
      <c r="A3859" s="133"/>
      <c r="B3859" s="194"/>
      <c r="C3859" s="202"/>
      <c r="D3859" s="211"/>
      <c r="E3859" s="346"/>
      <c r="F3859" s="169"/>
      <c r="G3859" s="351"/>
      <c r="H3859" s="341"/>
    </row>
    <row r="3860" spans="1:8" x14ac:dyDescent="0.25">
      <c r="A3860" s="133"/>
      <c r="B3860" s="195"/>
      <c r="C3860" s="226"/>
      <c r="D3860" s="212"/>
      <c r="E3860" s="346"/>
      <c r="F3860" s="169"/>
      <c r="G3860" s="351"/>
      <c r="H3860" s="341"/>
    </row>
    <row r="3861" spans="1:8" x14ac:dyDescent="0.25">
      <c r="A3861" s="133"/>
      <c r="B3861" s="195"/>
      <c r="C3861" s="226"/>
      <c r="D3861" s="212"/>
      <c r="E3861" s="346"/>
      <c r="F3861" s="169"/>
      <c r="G3861" s="351"/>
      <c r="H3861" s="341"/>
    </row>
    <row r="3862" spans="1:8" x14ac:dyDescent="0.25">
      <c r="A3862" s="133"/>
      <c r="B3862" s="195"/>
      <c r="C3862" s="232"/>
      <c r="D3862" s="952"/>
      <c r="E3862" s="232"/>
      <c r="F3862" s="226"/>
      <c r="G3862" s="344"/>
      <c r="H3862" s="341"/>
    </row>
    <row r="3863" spans="1:8" x14ac:dyDescent="0.25">
      <c r="A3863" s="133"/>
      <c r="B3863" s="195"/>
      <c r="C3863" s="232"/>
      <c r="D3863" s="952"/>
      <c r="E3863" s="232"/>
      <c r="F3863" s="226"/>
      <c r="G3863" s="344"/>
      <c r="H3863" s="341"/>
    </row>
    <row r="3864" spans="1:8" x14ac:dyDescent="0.25">
      <c r="A3864" s="133"/>
      <c r="B3864" s="195"/>
      <c r="C3864" s="232"/>
      <c r="D3864" s="952"/>
      <c r="E3864" s="232"/>
      <c r="F3864" s="226"/>
      <c r="G3864" s="344"/>
      <c r="H3864" s="341"/>
    </row>
    <row r="3865" spans="1:8" ht="15.75" thickBot="1" x14ac:dyDescent="0.3">
      <c r="A3865" s="133"/>
      <c r="B3865" s="195"/>
      <c r="C3865" s="232"/>
      <c r="D3865" s="952"/>
      <c r="E3865" s="232"/>
      <c r="F3865" s="226"/>
      <c r="G3865" s="344"/>
      <c r="H3865" s="341"/>
    </row>
    <row r="3866" spans="1:8" ht="15.75" thickBot="1" x14ac:dyDescent="0.3">
      <c r="A3866" s="133"/>
      <c r="B3866" s="251"/>
      <c r="C3866" s="252"/>
      <c r="D3866" s="956"/>
      <c r="E3866" s="252"/>
      <c r="F3866" s="253"/>
      <c r="G3866" s="357"/>
      <c r="H3866" s="358">
        <f>+SUM(G3854:G3866)</f>
        <v>0</v>
      </c>
    </row>
    <row r="3867" spans="1:8" ht="15.75" thickBot="1" x14ac:dyDescent="0.3">
      <c r="A3867" s="133"/>
      <c r="B3867" s="238"/>
      <c r="C3867" s="238"/>
      <c r="D3867" s="954"/>
      <c r="E3867" s="238"/>
      <c r="F3867" s="239"/>
      <c r="G3867" s="349"/>
      <c r="H3867" s="350"/>
    </row>
    <row r="3868" spans="1:8" ht="15.75" thickBot="1" x14ac:dyDescent="0.3">
      <c r="A3868" s="133"/>
      <c r="B3868" s="224" t="s">
        <v>5410</v>
      </c>
      <c r="C3868" s="193" t="s">
        <v>867</v>
      </c>
      <c r="D3868" s="951" t="s">
        <v>6</v>
      </c>
      <c r="E3868" s="193" t="s">
        <v>870</v>
      </c>
      <c r="F3868" s="193" t="s">
        <v>5411</v>
      </c>
      <c r="G3868" s="343" t="s">
        <v>868</v>
      </c>
      <c r="H3868" s="341"/>
    </row>
    <row r="3869" spans="1:8" x14ac:dyDescent="0.25">
      <c r="A3869" s="133"/>
      <c r="B3869" s="245"/>
      <c r="C3869" s="283"/>
      <c r="D3869" s="959"/>
      <c r="E3869" s="379"/>
      <c r="F3869" s="283"/>
      <c r="G3869" s="354"/>
      <c r="H3869" s="355"/>
    </row>
    <row r="3870" spans="1:8" x14ac:dyDescent="0.25">
      <c r="A3870" s="133"/>
      <c r="B3870" s="247"/>
      <c r="C3870" s="286"/>
      <c r="D3870" s="960"/>
      <c r="E3870" s="380"/>
      <c r="F3870" s="286"/>
      <c r="G3870" s="351"/>
      <c r="H3870" s="341"/>
    </row>
    <row r="3871" spans="1:8" x14ac:dyDescent="0.25">
      <c r="A3871" s="133"/>
      <c r="B3871" s="247"/>
      <c r="C3871" s="286"/>
      <c r="D3871" s="960"/>
      <c r="E3871" s="288"/>
      <c r="F3871" s="286"/>
      <c r="G3871" s="344"/>
      <c r="H3871" s="341"/>
    </row>
    <row r="3872" spans="1:8" x14ac:dyDescent="0.25">
      <c r="A3872" s="133"/>
      <c r="B3872" s="194"/>
      <c r="C3872" s="248"/>
      <c r="D3872" s="961"/>
      <c r="E3872" s="248"/>
      <c r="F3872" s="202"/>
      <c r="G3872" s="344"/>
      <c r="H3872" s="341"/>
    </row>
    <row r="3873" spans="1:9" ht="15.75" thickBot="1" x14ac:dyDescent="0.3">
      <c r="A3873" s="133"/>
      <c r="B3873" s="195"/>
      <c r="C3873" s="232"/>
      <c r="D3873" s="952"/>
      <c r="E3873" s="232"/>
      <c r="F3873" s="226"/>
      <c r="G3873" s="344"/>
      <c r="H3873" s="341"/>
    </row>
    <row r="3874" spans="1:9" ht="15.75" thickBot="1" x14ac:dyDescent="0.3">
      <c r="A3874" s="133"/>
      <c r="B3874" s="233"/>
      <c r="C3874" s="234"/>
      <c r="D3874" s="953"/>
      <c r="E3874" s="234"/>
      <c r="F3874" s="235"/>
      <c r="G3874" s="347"/>
      <c r="H3874" s="348">
        <f>+SUM(G3869:G3874)</f>
        <v>0</v>
      </c>
    </row>
    <row r="3875" spans="1:9" ht="15.75" thickBot="1" x14ac:dyDescent="0.3">
      <c r="A3875" s="133"/>
      <c r="B3875" s="238"/>
      <c r="C3875" s="238"/>
      <c r="D3875" s="954"/>
      <c r="E3875" s="238"/>
      <c r="F3875" s="249"/>
      <c r="G3875" s="356"/>
      <c r="H3875" s="350"/>
    </row>
    <row r="3876" spans="1:9" ht="15.75" thickBot="1" x14ac:dyDescent="0.3">
      <c r="A3876" s="133"/>
      <c r="B3876" s="224" t="s">
        <v>5412</v>
      </c>
      <c r="C3876" s="193" t="s">
        <v>5420</v>
      </c>
      <c r="D3876" s="951" t="s">
        <v>5421</v>
      </c>
      <c r="E3876" s="193" t="s">
        <v>5413</v>
      </c>
      <c r="F3876" s="193" t="s">
        <v>5405</v>
      </c>
      <c r="G3876" s="343" t="s">
        <v>868</v>
      </c>
      <c r="H3876" s="341"/>
    </row>
    <row r="3877" spans="1:9" x14ac:dyDescent="0.25">
      <c r="A3877" s="133"/>
      <c r="B3877" s="194" t="s">
        <v>5948</v>
      </c>
      <c r="C3877" s="345">
        <f>+VLOOKUP($B3877,'Mano de obra'!$A$5:$D$26,2,FALSE)</f>
        <v>57455</v>
      </c>
      <c r="D3877" s="345">
        <f>+VLOOKUP($B3877,'Mano de obra'!$A$5:$D$26,3,FALSE)</f>
        <v>35656</v>
      </c>
      <c r="E3877" s="345">
        <f>+VLOOKUP($B3877,'Mano de obra'!$A$5:$D$26,4,FALSE)</f>
        <v>93111</v>
      </c>
      <c r="F3877" s="1566">
        <v>500</v>
      </c>
      <c r="G3877" s="178">
        <f>+E3877/F3877*5</f>
        <v>931.11</v>
      </c>
      <c r="H3877" s="200"/>
    </row>
    <row r="3878" spans="1:9" x14ac:dyDescent="0.25">
      <c r="A3878" s="133"/>
      <c r="B3878" s="194" t="s">
        <v>5949</v>
      </c>
      <c r="C3878" s="345">
        <f>+VLOOKUP($B3878,'Mano de obra'!$A$5:$D$26,2,FALSE)</f>
        <v>44263.8</v>
      </c>
      <c r="D3878" s="345">
        <f>+VLOOKUP($B3878,'Mano de obra'!$A$5:$D$26,3,FALSE)</f>
        <v>27470</v>
      </c>
      <c r="E3878" s="345">
        <f>+VLOOKUP($B3878,'Mano de obra'!$A$5:$D$26,4,FALSE)</f>
        <v>71733.8</v>
      </c>
      <c r="F3878" s="1565">
        <v>300</v>
      </c>
      <c r="G3878" s="178">
        <f>+E3878/F3878*5</f>
        <v>1195.5633333333335</v>
      </c>
      <c r="H3878" s="200"/>
    </row>
    <row r="3879" spans="1:9" x14ac:dyDescent="0.25">
      <c r="A3879" s="133"/>
      <c r="B3879" s="195" t="s">
        <v>5635</v>
      </c>
      <c r="C3879" s="345">
        <f>+VLOOKUP($B3879,'Mano de obra'!$A$5:$D$26,2,FALSE)*2</f>
        <v>49182</v>
      </c>
      <c r="D3879" s="345">
        <f>+VLOOKUP($B3879,'Mano de obra'!$A$5:$D$26,3,FALSE)*2</f>
        <v>30522</v>
      </c>
      <c r="E3879" s="345">
        <f>+VLOOKUP($B3879,'Mano de obra'!$A$5:$D$26,4,FALSE)*2</f>
        <v>79704</v>
      </c>
      <c r="F3879" s="226">
        <f>+F3847*8</f>
        <v>24</v>
      </c>
      <c r="G3879" s="178">
        <f>+E3879/F3879*5</f>
        <v>16605</v>
      </c>
      <c r="H3879" s="200"/>
    </row>
    <row r="3880" spans="1:9" x14ac:dyDescent="0.25">
      <c r="A3880" s="133"/>
      <c r="B3880" s="195"/>
      <c r="C3880" s="171"/>
      <c r="D3880" s="965"/>
      <c r="E3880" s="176"/>
      <c r="F3880" s="226"/>
      <c r="G3880" s="178"/>
      <c r="H3880" s="200"/>
    </row>
    <row r="3881" spans="1:9" x14ac:dyDescent="0.25">
      <c r="A3881" s="133"/>
      <c r="B3881" s="195"/>
      <c r="C3881" s="232"/>
      <c r="D3881" s="952"/>
      <c r="E3881" s="232"/>
      <c r="F3881" s="226"/>
      <c r="G3881" s="229"/>
      <c r="H3881" s="200"/>
    </row>
    <row r="3882" spans="1:9" ht="15.75" thickBot="1" x14ac:dyDescent="0.3">
      <c r="A3882" s="133"/>
      <c r="B3882" s="195"/>
      <c r="C3882" s="232"/>
      <c r="D3882" s="952"/>
      <c r="E3882" s="232"/>
      <c r="F3882" s="226"/>
      <c r="G3882" s="229"/>
      <c r="H3882" s="200"/>
    </row>
    <row r="3883" spans="1:9" ht="15.75" thickBot="1" x14ac:dyDescent="0.3">
      <c r="A3883" s="133"/>
      <c r="B3883" s="251"/>
      <c r="C3883" s="252"/>
      <c r="D3883" s="956"/>
      <c r="E3883" s="252"/>
      <c r="F3883" s="253"/>
      <c r="G3883" s="254"/>
      <c r="H3883" s="256">
        <f>+SUM(G3877:G3883)</f>
        <v>18731.673333333332</v>
      </c>
    </row>
    <row r="3884" spans="1:9" ht="15.75" thickBot="1" x14ac:dyDescent="0.3">
      <c r="A3884" s="133"/>
      <c r="B3884" s="8"/>
      <c r="C3884" s="8"/>
      <c r="D3884" s="529"/>
      <c r="E3884" s="8"/>
      <c r="F3884" s="133"/>
      <c r="G3884" s="341"/>
      <c r="H3884" s="341"/>
    </row>
    <row r="3885" spans="1:9" ht="15.75" thickBot="1" x14ac:dyDescent="0.3">
      <c r="A3885" s="133" t="s">
        <v>6744</v>
      </c>
      <c r="B3885" s="8"/>
      <c r="C3885" s="8"/>
      <c r="D3885" s="529"/>
      <c r="E3885" s="223" t="s">
        <v>5415</v>
      </c>
      <c r="F3885" s="133"/>
      <c r="G3885" s="341"/>
      <c r="H3885" s="674">
        <f>ROUND(+H3883+H3874+H3866+H3851,0)</f>
        <v>89079</v>
      </c>
      <c r="I3885">
        <v>89767</v>
      </c>
    </row>
    <row r="3886" spans="1:9" x14ac:dyDescent="0.25">
      <c r="A3886" s="1058"/>
      <c r="B3886" s="1058"/>
      <c r="C3886" s="1058"/>
      <c r="D3886" s="957"/>
      <c r="E3886" s="1058"/>
      <c r="F3886" s="1058"/>
      <c r="G3886" s="1058"/>
      <c r="H3886" s="1058"/>
    </row>
    <row r="3887" spans="1:9" x14ac:dyDescent="0.25">
      <c r="A3887" s="133"/>
      <c r="B3887" s="8"/>
      <c r="C3887" s="8"/>
      <c r="D3887" s="529"/>
      <c r="E3887" s="223"/>
      <c r="F3887" s="133"/>
      <c r="G3887" s="341"/>
      <c r="H3887" s="676"/>
    </row>
    <row r="3888" spans="1:9" x14ac:dyDescent="0.25">
      <c r="A3888" s="673" t="s">
        <v>5482</v>
      </c>
      <c r="B3888" s="1390" t="str">
        <f>+VLOOKUP(C3888,ListaAPUs!$B:$E,4,FALSE)</f>
        <v>4.5.3</v>
      </c>
      <c r="C3888" s="2449" t="str">
        <f>+ListaAPUs!B125</f>
        <v>INSTALACIÓN TUBERÍA HD UNION ACERROJADA DN 350</v>
      </c>
      <c r="D3888" s="2449"/>
      <c r="E3888" s="2449"/>
      <c r="F3888" s="673" t="s">
        <v>867</v>
      </c>
      <c r="G3888" s="222" t="s">
        <v>5402</v>
      </c>
      <c r="H3888" s="200"/>
    </row>
    <row r="3889" spans="1:8" x14ac:dyDescent="0.25">
      <c r="A3889" s="133"/>
      <c r="B3889" s="8"/>
      <c r="C3889" s="223"/>
      <c r="D3889" s="958"/>
      <c r="E3889" s="223"/>
      <c r="F3889" s="133"/>
      <c r="G3889" s="200"/>
      <c r="H3889" s="200"/>
    </row>
    <row r="3890" spans="1:8" x14ac:dyDescent="0.25">
      <c r="A3890" s="133"/>
      <c r="B3890" s="8"/>
      <c r="C3890" s="8"/>
      <c r="D3890" s="529"/>
      <c r="E3890" s="8"/>
      <c r="F3890" s="8"/>
      <c r="G3890" s="8"/>
      <c r="H3890" s="200"/>
    </row>
    <row r="3891" spans="1:8" ht="15.75" thickBot="1" x14ac:dyDescent="0.3">
      <c r="A3891" s="133"/>
      <c r="B3891" s="8"/>
      <c r="C3891" s="8"/>
      <c r="D3891" s="529"/>
      <c r="E3891" s="8"/>
      <c r="F3891" s="133"/>
      <c r="G3891" s="200"/>
      <c r="H3891" s="200"/>
    </row>
    <row r="3892" spans="1:8" ht="15.75" thickBot="1" x14ac:dyDescent="0.3">
      <c r="A3892" s="133"/>
      <c r="B3892" s="224" t="s">
        <v>5403</v>
      </c>
      <c r="C3892" s="193" t="s">
        <v>867</v>
      </c>
      <c r="D3892" s="951" t="s">
        <v>6</v>
      </c>
      <c r="E3892" s="193" t="s">
        <v>5439</v>
      </c>
      <c r="F3892" s="193" t="s">
        <v>5405</v>
      </c>
      <c r="G3892" s="225" t="s">
        <v>868</v>
      </c>
      <c r="H3892" s="200"/>
    </row>
    <row r="3893" spans="1:8" x14ac:dyDescent="0.25">
      <c r="A3893" s="133"/>
      <c r="B3893" s="1561" t="s">
        <v>5440</v>
      </c>
      <c r="C3893" s="226" t="s">
        <v>7042</v>
      </c>
      <c r="D3893" s="212">
        <v>1</v>
      </c>
      <c r="E3893" s="227">
        <f>+H3931</f>
        <v>22052.673333333332</v>
      </c>
      <c r="F3893" s="226">
        <v>0.05</v>
      </c>
      <c r="G3893" s="229">
        <f>+E3893*F3893</f>
        <v>1102.6336666666666</v>
      </c>
      <c r="H3893" s="200"/>
    </row>
    <row r="3894" spans="1:8" x14ac:dyDescent="0.25">
      <c r="A3894" s="133"/>
      <c r="B3894" s="1561" t="s">
        <v>8014</v>
      </c>
      <c r="C3894" s="226" t="s">
        <v>5734</v>
      </c>
      <c r="D3894" s="212">
        <v>1</v>
      </c>
      <c r="E3894" s="975">
        <f>+VLOOKUP(B3894,Insumos!$A$2:$C$331,3,FALSE)</f>
        <v>189911.25599999999</v>
      </c>
      <c r="F3894" s="226">
        <v>0.01</v>
      </c>
      <c r="G3894" s="229">
        <f>+E3894*F3894</f>
        <v>1899.11256</v>
      </c>
      <c r="H3894" s="200"/>
    </row>
    <row r="3895" spans="1:8" x14ac:dyDescent="0.25">
      <c r="A3895" s="133"/>
      <c r="B3895" s="1561" t="s">
        <v>6869</v>
      </c>
      <c r="C3895" s="226" t="s">
        <v>7203</v>
      </c>
      <c r="D3895" s="212">
        <v>1</v>
      </c>
      <c r="E3895" s="975">
        <f>+VLOOKUP(B3895,Insumos!$A$2:$C$331,3,FALSE)</f>
        <v>202536</v>
      </c>
      <c r="F3895" s="226">
        <v>2.5</v>
      </c>
      <c r="G3895" s="229">
        <f>+E3895/F3895</f>
        <v>81014.399999999994</v>
      </c>
      <c r="H3895" s="200"/>
    </row>
    <row r="3896" spans="1:8" x14ac:dyDescent="0.25">
      <c r="A3896" s="133"/>
      <c r="B3896" s="195"/>
      <c r="C3896" s="226"/>
      <c r="D3896" s="212"/>
      <c r="E3896" s="171"/>
      <c r="F3896" s="226"/>
      <c r="G3896" s="231"/>
      <c r="H3896" s="200"/>
    </row>
    <row r="3897" spans="1:8" x14ac:dyDescent="0.25">
      <c r="A3897" s="133"/>
      <c r="B3897" s="195"/>
      <c r="C3897" s="226"/>
      <c r="D3897" s="952"/>
      <c r="E3897" s="232"/>
      <c r="F3897" s="226"/>
      <c r="G3897" s="229"/>
      <c r="H3897" s="200"/>
    </row>
    <row r="3898" spans="1:8" ht="15.75" thickBot="1" x14ac:dyDescent="0.3">
      <c r="A3898" s="133"/>
      <c r="B3898" s="195"/>
      <c r="C3898" s="226"/>
      <c r="D3898" s="952"/>
      <c r="E3898" s="232"/>
      <c r="F3898" s="226"/>
      <c r="G3898" s="229"/>
      <c r="H3898" s="200"/>
    </row>
    <row r="3899" spans="1:8" ht="15.75" thickBot="1" x14ac:dyDescent="0.3">
      <c r="A3899" s="133"/>
      <c r="B3899" s="233"/>
      <c r="C3899" s="234"/>
      <c r="D3899" s="953"/>
      <c r="E3899" s="234"/>
      <c r="F3899" s="235"/>
      <c r="G3899" s="236"/>
      <c r="H3899" s="237">
        <f>+SUM(G3893:G3899)</f>
        <v>84016.146226666664</v>
      </c>
    </row>
    <row r="3900" spans="1:8" ht="15.75" thickBot="1" x14ac:dyDescent="0.3">
      <c r="A3900" s="133"/>
      <c r="B3900" s="238"/>
      <c r="C3900" s="238"/>
      <c r="D3900" s="954"/>
      <c r="E3900" s="238"/>
      <c r="F3900" s="239"/>
      <c r="G3900" s="240"/>
      <c r="H3900" s="241"/>
    </row>
    <row r="3901" spans="1:8" ht="15.75" thickBot="1" x14ac:dyDescent="0.3">
      <c r="A3901" s="133"/>
      <c r="B3901" s="224" t="s">
        <v>5408</v>
      </c>
      <c r="C3901" s="193" t="s">
        <v>867</v>
      </c>
      <c r="D3901" s="951" t="s">
        <v>6</v>
      </c>
      <c r="E3901" s="193" t="s">
        <v>870</v>
      </c>
      <c r="F3901" s="193" t="s">
        <v>5409</v>
      </c>
      <c r="G3901" s="225" t="s">
        <v>868</v>
      </c>
      <c r="H3901" s="200"/>
    </row>
    <row r="3902" spans="1:8" x14ac:dyDescent="0.25">
      <c r="A3902" s="133"/>
      <c r="B3902" s="295"/>
      <c r="C3902" s="202"/>
      <c r="D3902" s="212"/>
      <c r="E3902" s="975"/>
      <c r="F3902" s="169"/>
      <c r="G3902" s="178"/>
      <c r="H3902" s="200"/>
    </row>
    <row r="3903" spans="1:8" x14ac:dyDescent="0.25">
      <c r="A3903" s="133"/>
      <c r="B3903" s="450"/>
      <c r="C3903" s="202"/>
      <c r="D3903" s="211"/>
      <c r="E3903" s="975"/>
      <c r="F3903" s="169"/>
      <c r="G3903" s="178"/>
      <c r="H3903" s="200"/>
    </row>
    <row r="3904" spans="1:8" x14ac:dyDescent="0.25">
      <c r="A3904" s="133"/>
      <c r="B3904" s="247"/>
      <c r="C3904" s="226"/>
      <c r="D3904" s="212"/>
      <c r="E3904" s="244"/>
      <c r="F3904" s="169"/>
      <c r="G3904" s="178">
        <f>+D3904*E3904*(1+F3904)</f>
        <v>0</v>
      </c>
      <c r="H3904" s="200"/>
    </row>
    <row r="3905" spans="1:8" x14ac:dyDescent="0.25">
      <c r="A3905" s="133"/>
      <c r="B3905" s="194"/>
      <c r="C3905" s="226"/>
      <c r="D3905" s="212"/>
      <c r="E3905" s="171"/>
      <c r="F3905" s="169"/>
      <c r="G3905" s="178">
        <f>+D3905*E3905*(1+F3905)</f>
        <v>0</v>
      </c>
      <c r="H3905" s="200"/>
    </row>
    <row r="3906" spans="1:8" x14ac:dyDescent="0.25">
      <c r="A3906" s="133"/>
      <c r="B3906" s="195"/>
      <c r="C3906" s="226"/>
      <c r="D3906" s="212"/>
      <c r="E3906" s="171"/>
      <c r="F3906" s="169"/>
      <c r="G3906" s="178"/>
      <c r="H3906" s="200"/>
    </row>
    <row r="3907" spans="1:8" x14ac:dyDescent="0.25">
      <c r="A3907" s="133"/>
      <c r="B3907" s="194"/>
      <c r="C3907" s="202"/>
      <c r="D3907" s="211"/>
      <c r="E3907" s="171"/>
      <c r="F3907" s="169"/>
      <c r="G3907" s="178"/>
      <c r="H3907" s="200"/>
    </row>
    <row r="3908" spans="1:8" x14ac:dyDescent="0.25">
      <c r="A3908" s="133"/>
      <c r="B3908" s="195"/>
      <c r="C3908" s="226"/>
      <c r="D3908" s="212"/>
      <c r="E3908" s="171"/>
      <c r="F3908" s="169"/>
      <c r="G3908" s="178"/>
      <c r="H3908" s="200"/>
    </row>
    <row r="3909" spans="1:8" x14ac:dyDescent="0.25">
      <c r="A3909" s="133"/>
      <c r="B3909" s="195"/>
      <c r="C3909" s="226"/>
      <c r="D3909" s="212"/>
      <c r="E3909" s="171"/>
      <c r="F3909" s="169"/>
      <c r="G3909" s="178"/>
      <c r="H3909" s="200"/>
    </row>
    <row r="3910" spans="1:8" x14ac:dyDescent="0.25">
      <c r="A3910" s="133"/>
      <c r="B3910" s="195"/>
      <c r="C3910" s="232"/>
      <c r="D3910" s="952"/>
      <c r="E3910" s="232"/>
      <c r="F3910" s="226"/>
      <c r="G3910" s="229"/>
      <c r="H3910" s="200"/>
    </row>
    <row r="3911" spans="1:8" x14ac:dyDescent="0.25">
      <c r="A3911" s="133"/>
      <c r="B3911" s="195"/>
      <c r="C3911" s="232"/>
      <c r="D3911" s="952"/>
      <c r="E3911" s="232"/>
      <c r="F3911" s="226"/>
      <c r="G3911" s="229"/>
      <c r="H3911" s="200"/>
    </row>
    <row r="3912" spans="1:8" x14ac:dyDescent="0.25">
      <c r="A3912" s="133"/>
      <c r="B3912" s="195"/>
      <c r="C3912" s="232"/>
      <c r="D3912" s="952"/>
      <c r="E3912" s="232"/>
      <c r="F3912" s="226"/>
      <c r="G3912" s="229"/>
      <c r="H3912" s="200"/>
    </row>
    <row r="3913" spans="1:8" ht="15.75" thickBot="1" x14ac:dyDescent="0.3">
      <c r="A3913" s="133"/>
      <c r="B3913" s="195"/>
      <c r="C3913" s="232"/>
      <c r="D3913" s="952"/>
      <c r="E3913" s="232"/>
      <c r="F3913" s="226"/>
      <c r="G3913" s="229"/>
      <c r="H3913" s="200"/>
    </row>
    <row r="3914" spans="1:8" ht="15.75" thickBot="1" x14ac:dyDescent="0.3">
      <c r="A3914" s="133"/>
      <c r="B3914" s="233"/>
      <c r="C3914" s="234"/>
      <c r="D3914" s="953"/>
      <c r="E3914" s="234"/>
      <c r="F3914" s="235"/>
      <c r="G3914" s="236"/>
      <c r="H3914" s="256">
        <f>+SUM(G3902:G3914)</f>
        <v>0</v>
      </c>
    </row>
    <row r="3915" spans="1:8" ht="15.75" thickBot="1" x14ac:dyDescent="0.3">
      <c r="A3915" s="133"/>
      <c r="B3915" s="238"/>
      <c r="C3915" s="238"/>
      <c r="D3915" s="954"/>
      <c r="E3915" s="238"/>
      <c r="F3915" s="239"/>
      <c r="G3915" s="240"/>
      <c r="H3915" s="241"/>
    </row>
    <row r="3916" spans="1:8" ht="15.75" thickBot="1" x14ac:dyDescent="0.3">
      <c r="A3916" s="133"/>
      <c r="B3916" s="224" t="s">
        <v>5410</v>
      </c>
      <c r="C3916" s="193" t="s">
        <v>867</v>
      </c>
      <c r="D3916" s="951" t="s">
        <v>6</v>
      </c>
      <c r="E3916" s="193" t="s">
        <v>870</v>
      </c>
      <c r="F3916" s="193" t="s">
        <v>5411</v>
      </c>
      <c r="G3916" s="225" t="s">
        <v>868</v>
      </c>
      <c r="H3916" s="200"/>
    </row>
    <row r="3917" spans="1:8" x14ac:dyDescent="0.25">
      <c r="A3917" s="133"/>
      <c r="B3917" s="245"/>
      <c r="C3917" s="202"/>
      <c r="D3917" s="211"/>
      <c r="E3917" s="175"/>
      <c r="F3917" s="202"/>
      <c r="G3917" s="203"/>
      <c r="H3917" s="246"/>
    </row>
    <row r="3918" spans="1:8" x14ac:dyDescent="0.25">
      <c r="A3918" s="133"/>
      <c r="B3918" s="247"/>
      <c r="C3918" s="248"/>
      <c r="D3918" s="961"/>
      <c r="E3918" s="248"/>
      <c r="F3918" s="202"/>
      <c r="G3918" s="178"/>
      <c r="H3918" s="200"/>
    </row>
    <row r="3919" spans="1:8" x14ac:dyDescent="0.25">
      <c r="A3919" s="133"/>
      <c r="B3919" s="247"/>
      <c r="C3919" s="232"/>
      <c r="D3919" s="952"/>
      <c r="E3919" s="232"/>
      <c r="F3919" s="226"/>
      <c r="G3919" s="229"/>
      <c r="H3919" s="200"/>
    </row>
    <row r="3920" spans="1:8" x14ac:dyDescent="0.25">
      <c r="A3920" s="133"/>
      <c r="B3920" s="194"/>
      <c r="C3920" s="232"/>
      <c r="D3920" s="952"/>
      <c r="E3920" s="232"/>
      <c r="F3920" s="226"/>
      <c r="G3920" s="229"/>
      <c r="H3920" s="200"/>
    </row>
    <row r="3921" spans="1:9" ht="15.75" thickBot="1" x14ac:dyDescent="0.3">
      <c r="A3921" s="133"/>
      <c r="B3921" s="195"/>
      <c r="C3921" s="232"/>
      <c r="D3921" s="952"/>
      <c r="E3921" s="232"/>
      <c r="F3921" s="226"/>
      <c r="G3921" s="229"/>
      <c r="H3921" s="200"/>
    </row>
    <row r="3922" spans="1:9" ht="15.75" thickBot="1" x14ac:dyDescent="0.3">
      <c r="A3922" s="133"/>
      <c r="B3922" s="233"/>
      <c r="C3922" s="234"/>
      <c r="D3922" s="953"/>
      <c r="E3922" s="234"/>
      <c r="F3922" s="235"/>
      <c r="G3922" s="236"/>
      <c r="H3922" s="237">
        <f>+SUM(G3917:G3922)</f>
        <v>0</v>
      </c>
    </row>
    <row r="3923" spans="1:9" ht="15.75" thickBot="1" x14ac:dyDescent="0.3">
      <c r="A3923" s="133"/>
      <c r="B3923" s="238"/>
      <c r="C3923" s="238"/>
      <c r="D3923" s="954"/>
      <c r="E3923" s="238"/>
      <c r="F3923" s="249"/>
      <c r="G3923" s="250"/>
      <c r="H3923" s="241"/>
    </row>
    <row r="3924" spans="1:9" ht="15.75" thickBot="1" x14ac:dyDescent="0.3">
      <c r="A3924" s="133"/>
      <c r="B3924" s="224" t="s">
        <v>5412</v>
      </c>
      <c r="C3924" s="193" t="s">
        <v>5420</v>
      </c>
      <c r="D3924" s="951" t="s">
        <v>5421</v>
      </c>
      <c r="E3924" s="193" t="s">
        <v>5413</v>
      </c>
      <c r="F3924" s="193" t="s">
        <v>5405</v>
      </c>
      <c r="G3924" s="225" t="s">
        <v>868</v>
      </c>
      <c r="H3924" s="200"/>
    </row>
    <row r="3925" spans="1:9" x14ac:dyDescent="0.25">
      <c r="A3925" s="133"/>
      <c r="B3925" s="194" t="s">
        <v>5948</v>
      </c>
      <c r="C3925" s="345">
        <f>+VLOOKUP($B3925,'Mano de obra'!$A$5:$D$26,2,FALSE)</f>
        <v>57455</v>
      </c>
      <c r="D3925" s="345">
        <f>+VLOOKUP($B3925,'Mano de obra'!$A$5:$D$26,3,FALSE)</f>
        <v>35656</v>
      </c>
      <c r="E3925" s="345">
        <f>+VLOOKUP($B3925,'Mano de obra'!$A$5:$D$26,4,FALSE)</f>
        <v>93111</v>
      </c>
      <c r="F3925" s="1566">
        <v>500</v>
      </c>
      <c r="G3925" s="178">
        <f>+E3925/F3925*5</f>
        <v>931.11</v>
      </c>
      <c r="H3925" s="200"/>
    </row>
    <row r="3926" spans="1:9" x14ac:dyDescent="0.25">
      <c r="A3926" s="133"/>
      <c r="B3926" s="194" t="s">
        <v>5949</v>
      </c>
      <c r="C3926" s="345">
        <f>+VLOOKUP($B3926,'Mano de obra'!$A$5:$D$26,2,FALSE)</f>
        <v>44263.8</v>
      </c>
      <c r="D3926" s="345">
        <f>+VLOOKUP($B3926,'Mano de obra'!$A$5:$D$26,3,FALSE)</f>
        <v>27470</v>
      </c>
      <c r="E3926" s="345">
        <f>+VLOOKUP($B3926,'Mano de obra'!$A$5:$D$26,4,FALSE)</f>
        <v>71733.8</v>
      </c>
      <c r="F3926" s="1565">
        <v>300</v>
      </c>
      <c r="G3926" s="178">
        <f>+E3926/F3926*5</f>
        <v>1195.5633333333335</v>
      </c>
      <c r="H3926" s="200"/>
    </row>
    <row r="3927" spans="1:9" x14ac:dyDescent="0.25">
      <c r="A3927" s="133"/>
      <c r="B3927" s="195" t="s">
        <v>5635</v>
      </c>
      <c r="C3927" s="345">
        <f>+VLOOKUP($B3927,'Mano de obra'!$A$5:$D$26,2,FALSE)*2</f>
        <v>49182</v>
      </c>
      <c r="D3927" s="345">
        <f>+VLOOKUP($B3927,'Mano de obra'!$A$5:$D$26,3,FALSE)*2</f>
        <v>30522</v>
      </c>
      <c r="E3927" s="345">
        <f>+VLOOKUP($B3927,'Mano de obra'!$A$5:$D$26,4,FALSE)*2</f>
        <v>79704</v>
      </c>
      <c r="F3927" s="226">
        <f>+F3895*8</f>
        <v>20</v>
      </c>
      <c r="G3927" s="178">
        <f>+E3927/F3927*5</f>
        <v>19926</v>
      </c>
      <c r="H3927" s="200"/>
    </row>
    <row r="3928" spans="1:9" x14ac:dyDescent="0.25">
      <c r="A3928" s="133"/>
      <c r="B3928" s="195"/>
      <c r="C3928" s="171"/>
      <c r="D3928" s="965"/>
      <c r="E3928" s="176"/>
      <c r="F3928" s="226"/>
      <c r="G3928" s="178"/>
      <c r="H3928" s="200"/>
    </row>
    <row r="3929" spans="1:9" x14ac:dyDescent="0.25">
      <c r="A3929" s="133"/>
      <c r="B3929" s="195"/>
      <c r="C3929" s="232"/>
      <c r="D3929" s="952"/>
      <c r="E3929" s="232"/>
      <c r="F3929" s="226"/>
      <c r="G3929" s="229"/>
      <c r="H3929" s="200"/>
    </row>
    <row r="3930" spans="1:9" ht="15.75" thickBot="1" x14ac:dyDescent="0.3">
      <c r="A3930" s="133"/>
      <c r="B3930" s="195"/>
      <c r="C3930" s="232"/>
      <c r="D3930" s="952"/>
      <c r="E3930" s="232"/>
      <c r="F3930" s="226"/>
      <c r="G3930" s="229"/>
      <c r="H3930" s="200"/>
    </row>
    <row r="3931" spans="1:9" ht="15.75" thickBot="1" x14ac:dyDescent="0.3">
      <c r="A3931" s="133"/>
      <c r="B3931" s="251"/>
      <c r="C3931" s="252"/>
      <c r="D3931" s="956"/>
      <c r="E3931" s="252"/>
      <c r="F3931" s="253"/>
      <c r="G3931" s="254"/>
      <c r="H3931" s="256">
        <f>+SUM(G3925:G3931)</f>
        <v>22052.673333333332</v>
      </c>
    </row>
    <row r="3932" spans="1:9" ht="15.75" thickBot="1" x14ac:dyDescent="0.3">
      <c r="A3932" s="133"/>
      <c r="B3932" s="8"/>
      <c r="C3932" s="8"/>
      <c r="D3932" s="529"/>
      <c r="E3932" s="8"/>
      <c r="F3932" s="133"/>
      <c r="G3932" s="200"/>
      <c r="H3932" s="200"/>
    </row>
    <row r="3933" spans="1:9" ht="15.75" thickBot="1" x14ac:dyDescent="0.3">
      <c r="A3933" s="133" t="s">
        <v>6744</v>
      </c>
      <c r="B3933" s="8"/>
      <c r="C3933" s="8"/>
      <c r="D3933" s="529"/>
      <c r="E3933" s="223" t="s">
        <v>5415</v>
      </c>
      <c r="F3933" s="133"/>
      <c r="G3933" s="200"/>
      <c r="H3933" s="256">
        <f>ROUND(+H3931+H3922+H3914+H3899,0)</f>
        <v>106069</v>
      </c>
      <c r="I3933">
        <v>99182</v>
      </c>
    </row>
    <row r="3934" spans="1:9" x14ac:dyDescent="0.25">
      <c r="A3934" s="1058"/>
      <c r="B3934" s="1058"/>
      <c r="C3934" s="1058"/>
      <c r="D3934" s="957"/>
      <c r="E3934" s="1058"/>
      <c r="F3934" s="1058"/>
      <c r="G3934" s="1058"/>
      <c r="H3934" s="1058"/>
    </row>
    <row r="3935" spans="1:9" x14ac:dyDescent="0.25">
      <c r="A3935" s="1058"/>
      <c r="B3935" s="1058"/>
      <c r="C3935" s="1058"/>
      <c r="D3935" s="957"/>
      <c r="E3935" s="1058"/>
      <c r="F3935" s="1058"/>
      <c r="G3935" s="1058"/>
      <c r="H3935" s="1058"/>
    </row>
    <row r="3936" spans="1:9" x14ac:dyDescent="0.25">
      <c r="A3936" s="673" t="s">
        <v>5482</v>
      </c>
      <c r="B3936" s="1390" t="str">
        <f>+VLOOKUP(C3936,ListaAPUs!$B:$E,4,FALSE)</f>
        <v>4.5.4</v>
      </c>
      <c r="C3936" s="2444" t="str">
        <f>+ListaAPUs!B126</f>
        <v>INSTALACIÓN TUBERÍA HD UNION ACERROJADA DN 400</v>
      </c>
      <c r="D3936" s="2444"/>
      <c r="E3936" s="2444"/>
      <c r="F3936" s="673" t="s">
        <v>867</v>
      </c>
      <c r="G3936" s="342" t="s">
        <v>14</v>
      </c>
      <c r="H3936" s="341"/>
    </row>
    <row r="3937" spans="1:8" x14ac:dyDescent="0.25">
      <c r="A3937" s="133"/>
      <c r="B3937" s="8"/>
      <c r="C3937" s="223"/>
      <c r="D3937" s="958"/>
      <c r="E3937" s="223"/>
      <c r="F3937" s="133"/>
      <c r="G3937" s="341"/>
      <c r="H3937" s="341"/>
    </row>
    <row r="3938" spans="1:8" x14ac:dyDescent="0.25">
      <c r="A3938" s="133"/>
      <c r="B3938" s="8"/>
      <c r="C3938" s="8"/>
      <c r="D3938" s="529"/>
      <c r="E3938" s="8"/>
      <c r="F3938" s="8"/>
      <c r="G3938" s="8"/>
      <c r="H3938" s="341"/>
    </row>
    <row r="3939" spans="1:8" ht="15.75" thickBot="1" x14ac:dyDescent="0.3">
      <c r="A3939" s="133"/>
      <c r="B3939" s="8"/>
      <c r="C3939" s="8"/>
      <c r="D3939" s="529"/>
      <c r="E3939" s="8"/>
      <c r="F3939" s="133"/>
      <c r="G3939" s="341"/>
      <c r="H3939" s="341"/>
    </row>
    <row r="3940" spans="1:8" ht="15.75" thickBot="1" x14ac:dyDescent="0.3">
      <c r="A3940" s="133"/>
      <c r="B3940" s="224" t="s">
        <v>5403</v>
      </c>
      <c r="C3940" s="193" t="s">
        <v>867</v>
      </c>
      <c r="D3940" s="951" t="s">
        <v>6</v>
      </c>
      <c r="E3940" s="193" t="s">
        <v>5439</v>
      </c>
      <c r="F3940" s="193" t="s">
        <v>5405</v>
      </c>
      <c r="G3940" s="343" t="s">
        <v>868</v>
      </c>
      <c r="H3940" s="341"/>
    </row>
    <row r="3941" spans="1:8" x14ac:dyDescent="0.25">
      <c r="A3941" s="133"/>
      <c r="B3941" s="1561" t="s">
        <v>5440</v>
      </c>
      <c r="C3941" s="226" t="s">
        <v>7042</v>
      </c>
      <c r="D3941" s="212">
        <v>1</v>
      </c>
      <c r="E3941" s="227">
        <f>+H3979</f>
        <v>22882.923333333332</v>
      </c>
      <c r="F3941" s="226">
        <v>0.05</v>
      </c>
      <c r="G3941" s="229">
        <f>+E3941*F3941</f>
        <v>1144.1461666666667</v>
      </c>
      <c r="H3941" s="200"/>
    </row>
    <row r="3942" spans="1:8" x14ac:dyDescent="0.25">
      <c r="A3942" s="133"/>
      <c r="B3942" s="1561" t="s">
        <v>8014</v>
      </c>
      <c r="C3942" s="226" t="s">
        <v>5734</v>
      </c>
      <c r="D3942" s="212">
        <v>1</v>
      </c>
      <c r="E3942" s="975">
        <f>+VLOOKUP(B3942,Insumos!$A$2:$C$331,3,FALSE)</f>
        <v>189911.25599999999</v>
      </c>
      <c r="F3942" s="226">
        <v>0.01</v>
      </c>
      <c r="G3942" s="229">
        <f>+E3942*F3942</f>
        <v>1899.11256</v>
      </c>
      <c r="H3942" s="200"/>
    </row>
    <row r="3943" spans="1:8" x14ac:dyDescent="0.25">
      <c r="A3943" s="133"/>
      <c r="B3943" s="1561" t="s">
        <v>6869</v>
      </c>
      <c r="C3943" s="226" t="s">
        <v>7203</v>
      </c>
      <c r="D3943" s="212">
        <v>1</v>
      </c>
      <c r="E3943" s="975">
        <f>+VLOOKUP(B3943,Insumos!$A$2:$C$331,3,FALSE)</f>
        <v>202536</v>
      </c>
      <c r="F3943" s="226">
        <v>2.4</v>
      </c>
      <c r="G3943" s="229">
        <f>+E3943/F3943</f>
        <v>84390</v>
      </c>
      <c r="H3943" s="200"/>
    </row>
    <row r="3944" spans="1:8" x14ac:dyDescent="0.25">
      <c r="A3944" s="133"/>
      <c r="B3944" s="195"/>
      <c r="C3944" s="226"/>
      <c r="D3944" s="212"/>
      <c r="E3944" s="171"/>
      <c r="F3944" s="226"/>
      <c r="G3944" s="231"/>
      <c r="H3944" s="200"/>
    </row>
    <row r="3945" spans="1:8" x14ac:dyDescent="0.25">
      <c r="A3945" s="133"/>
      <c r="B3945" s="195"/>
      <c r="C3945" s="226"/>
      <c r="D3945" s="952"/>
      <c r="E3945" s="232"/>
      <c r="F3945" s="226"/>
      <c r="G3945" s="229"/>
      <c r="H3945" s="200"/>
    </row>
    <row r="3946" spans="1:8" ht="15.75" thickBot="1" x14ac:dyDescent="0.3">
      <c r="A3946" s="133"/>
      <c r="B3946" s="195"/>
      <c r="C3946" s="226"/>
      <c r="D3946" s="952"/>
      <c r="E3946" s="232"/>
      <c r="F3946" s="226"/>
      <c r="G3946" s="229"/>
      <c r="H3946" s="200"/>
    </row>
    <row r="3947" spans="1:8" ht="15.75" thickBot="1" x14ac:dyDescent="0.3">
      <c r="A3947" s="133"/>
      <c r="B3947" s="233"/>
      <c r="C3947" s="234"/>
      <c r="D3947" s="953"/>
      <c r="E3947" s="234"/>
      <c r="F3947" s="235"/>
      <c r="G3947" s="236"/>
      <c r="H3947" s="237">
        <f>+SUM(G3941:G3947)</f>
        <v>87433.258726666667</v>
      </c>
    </row>
    <row r="3948" spans="1:8" ht="15.75" thickBot="1" x14ac:dyDescent="0.3">
      <c r="A3948" s="133"/>
      <c r="B3948" s="238"/>
      <c r="C3948" s="238"/>
      <c r="D3948" s="954"/>
      <c r="E3948" s="238"/>
      <c r="F3948" s="239"/>
      <c r="G3948" s="349"/>
      <c r="H3948" s="350"/>
    </row>
    <row r="3949" spans="1:8" ht="15.75" thickBot="1" x14ac:dyDescent="0.3">
      <c r="A3949" s="133"/>
      <c r="B3949" s="224" t="s">
        <v>5408</v>
      </c>
      <c r="C3949" s="193" t="s">
        <v>867</v>
      </c>
      <c r="D3949" s="951" t="s">
        <v>6</v>
      </c>
      <c r="E3949" s="193" t="s">
        <v>870</v>
      </c>
      <c r="F3949" s="193" t="s">
        <v>5409</v>
      </c>
      <c r="G3949" s="343" t="s">
        <v>868</v>
      </c>
      <c r="H3949" s="341"/>
    </row>
    <row r="3950" spans="1:8" x14ac:dyDescent="0.25">
      <c r="A3950" s="133"/>
      <c r="B3950" s="195"/>
      <c r="C3950" s="226"/>
      <c r="D3950" s="212"/>
      <c r="E3950" s="975"/>
      <c r="F3950" s="226"/>
      <c r="G3950" s="229"/>
      <c r="H3950" s="341"/>
    </row>
    <row r="3951" spans="1:8" x14ac:dyDescent="0.25">
      <c r="A3951" s="133"/>
      <c r="B3951" s="195"/>
      <c r="C3951" s="226"/>
      <c r="D3951" s="212"/>
      <c r="E3951" s="975"/>
      <c r="F3951" s="226"/>
      <c r="G3951" s="229"/>
      <c r="H3951" s="341"/>
    </row>
    <row r="3952" spans="1:8" x14ac:dyDescent="0.25">
      <c r="A3952" s="133"/>
      <c r="B3952" s="195"/>
      <c r="C3952" s="226"/>
      <c r="D3952" s="212"/>
      <c r="E3952" s="176"/>
      <c r="F3952" s="226"/>
      <c r="G3952" s="229">
        <f>+D3952*E3952*(1+F3952)</f>
        <v>0</v>
      </c>
      <c r="H3952" s="341"/>
    </row>
    <row r="3953" spans="1:8" x14ac:dyDescent="0.25">
      <c r="A3953" s="133"/>
      <c r="B3953" s="194"/>
      <c r="C3953" s="226"/>
      <c r="D3953" s="212"/>
      <c r="E3953" s="171"/>
      <c r="F3953" s="169"/>
      <c r="G3953" s="178">
        <f>+D3953*E3953*(1+F3953)</f>
        <v>0</v>
      </c>
      <c r="H3953" s="341"/>
    </row>
    <row r="3954" spans="1:8" x14ac:dyDescent="0.25">
      <c r="A3954" s="133"/>
      <c r="B3954" s="195"/>
      <c r="C3954" s="226"/>
      <c r="D3954" s="212"/>
      <c r="E3954" s="346"/>
      <c r="F3954" s="169"/>
      <c r="G3954" s="351"/>
      <c r="H3954" s="341"/>
    </row>
    <row r="3955" spans="1:8" x14ac:dyDescent="0.25">
      <c r="A3955" s="133"/>
      <c r="B3955" s="194"/>
      <c r="C3955" s="202"/>
      <c r="D3955" s="211"/>
      <c r="E3955" s="346"/>
      <c r="F3955" s="169"/>
      <c r="G3955" s="351"/>
      <c r="H3955" s="341"/>
    </row>
    <row r="3956" spans="1:8" x14ac:dyDescent="0.25">
      <c r="A3956" s="133"/>
      <c r="B3956" s="195"/>
      <c r="C3956" s="226"/>
      <c r="D3956" s="212"/>
      <c r="E3956" s="346"/>
      <c r="F3956" s="169"/>
      <c r="G3956" s="351"/>
      <c r="H3956" s="341"/>
    </row>
    <row r="3957" spans="1:8" x14ac:dyDescent="0.25">
      <c r="A3957" s="133"/>
      <c r="B3957" s="195"/>
      <c r="C3957" s="226"/>
      <c r="D3957" s="212"/>
      <c r="E3957" s="346"/>
      <c r="F3957" s="169"/>
      <c r="G3957" s="351"/>
      <c r="H3957" s="341"/>
    </row>
    <row r="3958" spans="1:8" x14ac:dyDescent="0.25">
      <c r="A3958" s="133"/>
      <c r="B3958" s="195"/>
      <c r="C3958" s="232"/>
      <c r="D3958" s="952"/>
      <c r="E3958" s="232"/>
      <c r="F3958" s="226"/>
      <c r="G3958" s="344"/>
      <c r="H3958" s="341"/>
    </row>
    <row r="3959" spans="1:8" x14ac:dyDescent="0.25">
      <c r="A3959" s="133"/>
      <c r="B3959" s="195"/>
      <c r="C3959" s="232"/>
      <c r="D3959" s="952"/>
      <c r="E3959" s="232"/>
      <c r="F3959" s="226"/>
      <c r="G3959" s="344"/>
      <c r="H3959" s="341"/>
    </row>
    <row r="3960" spans="1:8" x14ac:dyDescent="0.25">
      <c r="A3960" s="133"/>
      <c r="B3960" s="195"/>
      <c r="C3960" s="232"/>
      <c r="D3960" s="952"/>
      <c r="E3960" s="232"/>
      <c r="F3960" s="226"/>
      <c r="G3960" s="344"/>
      <c r="H3960" s="341"/>
    </row>
    <row r="3961" spans="1:8" ht="15.75" thickBot="1" x14ac:dyDescent="0.3">
      <c r="A3961" s="133"/>
      <c r="B3961" s="195"/>
      <c r="C3961" s="232"/>
      <c r="D3961" s="952"/>
      <c r="E3961" s="232"/>
      <c r="F3961" s="226"/>
      <c r="G3961" s="344"/>
      <c r="H3961" s="341"/>
    </row>
    <row r="3962" spans="1:8" ht="15.75" thickBot="1" x14ac:dyDescent="0.3">
      <c r="A3962" s="133"/>
      <c r="B3962" s="251"/>
      <c r="C3962" s="252"/>
      <c r="D3962" s="956"/>
      <c r="E3962" s="252"/>
      <c r="F3962" s="253"/>
      <c r="G3962" s="357"/>
      <c r="H3962" s="358">
        <f>+SUM(G3950:G3962)</f>
        <v>0</v>
      </c>
    </row>
    <row r="3963" spans="1:8" ht="15.75" thickBot="1" x14ac:dyDescent="0.3">
      <c r="A3963" s="133"/>
      <c r="B3963" s="238"/>
      <c r="C3963" s="238"/>
      <c r="D3963" s="954"/>
      <c r="E3963" s="238"/>
      <c r="F3963" s="239"/>
      <c r="G3963" s="349"/>
      <c r="H3963" s="350"/>
    </row>
    <row r="3964" spans="1:8" ht="15.75" thickBot="1" x14ac:dyDescent="0.3">
      <c r="A3964" s="133"/>
      <c r="B3964" s="224" t="s">
        <v>5410</v>
      </c>
      <c r="C3964" s="193" t="s">
        <v>867</v>
      </c>
      <c r="D3964" s="951" t="s">
        <v>6</v>
      </c>
      <c r="E3964" s="193" t="s">
        <v>870</v>
      </c>
      <c r="F3964" s="193" t="s">
        <v>5411</v>
      </c>
      <c r="G3964" s="343" t="s">
        <v>868</v>
      </c>
      <c r="H3964" s="341"/>
    </row>
    <row r="3965" spans="1:8" x14ac:dyDescent="0.25">
      <c r="A3965" s="133"/>
      <c r="B3965" s="245"/>
      <c r="C3965" s="283"/>
      <c r="D3965" s="959"/>
      <c r="E3965" s="379"/>
      <c r="F3965" s="283"/>
      <c r="G3965" s="354"/>
      <c r="H3965" s="355"/>
    </row>
    <row r="3966" spans="1:8" x14ac:dyDescent="0.25">
      <c r="A3966" s="133"/>
      <c r="B3966" s="247"/>
      <c r="C3966" s="286"/>
      <c r="D3966" s="960"/>
      <c r="E3966" s="380"/>
      <c r="F3966" s="286"/>
      <c r="G3966" s="351"/>
      <c r="H3966" s="341"/>
    </row>
    <row r="3967" spans="1:8" x14ac:dyDescent="0.25">
      <c r="A3967" s="133"/>
      <c r="B3967" s="247"/>
      <c r="C3967" s="286"/>
      <c r="D3967" s="960"/>
      <c r="E3967" s="288"/>
      <c r="F3967" s="286"/>
      <c r="G3967" s="344"/>
      <c r="H3967" s="341"/>
    </row>
    <row r="3968" spans="1:8" x14ac:dyDescent="0.25">
      <c r="A3968" s="133"/>
      <c r="B3968" s="194"/>
      <c r="C3968" s="248"/>
      <c r="D3968" s="961"/>
      <c r="E3968" s="248"/>
      <c r="F3968" s="202"/>
      <c r="G3968" s="344"/>
      <c r="H3968" s="341"/>
    </row>
    <row r="3969" spans="1:9" ht="15.75" thickBot="1" x14ac:dyDescent="0.3">
      <c r="A3969" s="133"/>
      <c r="B3969" s="195"/>
      <c r="C3969" s="232"/>
      <c r="D3969" s="952"/>
      <c r="E3969" s="232"/>
      <c r="F3969" s="226"/>
      <c r="G3969" s="344"/>
      <c r="H3969" s="341"/>
    </row>
    <row r="3970" spans="1:9" ht="15.75" thickBot="1" x14ac:dyDescent="0.3">
      <c r="A3970" s="133"/>
      <c r="B3970" s="233"/>
      <c r="C3970" s="234"/>
      <c r="D3970" s="953"/>
      <c r="E3970" s="234"/>
      <c r="F3970" s="235"/>
      <c r="G3970" s="347"/>
      <c r="H3970" s="348">
        <f>+SUM(G3965:G3970)</f>
        <v>0</v>
      </c>
    </row>
    <row r="3971" spans="1:9" ht="15.75" thickBot="1" x14ac:dyDescent="0.3">
      <c r="A3971" s="133"/>
      <c r="B3971" s="238"/>
      <c r="C3971" s="238"/>
      <c r="D3971" s="954"/>
      <c r="E3971" s="238"/>
      <c r="F3971" s="249"/>
      <c r="G3971" s="356"/>
      <c r="H3971" s="350"/>
    </row>
    <row r="3972" spans="1:9" ht="15.75" thickBot="1" x14ac:dyDescent="0.3">
      <c r="A3972" s="133"/>
      <c r="B3972" s="224" t="s">
        <v>5412</v>
      </c>
      <c r="C3972" s="193" t="s">
        <v>5420</v>
      </c>
      <c r="D3972" s="951" t="s">
        <v>5421</v>
      </c>
      <c r="E3972" s="193" t="s">
        <v>5413</v>
      </c>
      <c r="F3972" s="193" t="s">
        <v>5405</v>
      </c>
      <c r="G3972" s="343" t="s">
        <v>868</v>
      </c>
      <c r="H3972" s="341"/>
    </row>
    <row r="3973" spans="1:9" x14ac:dyDescent="0.25">
      <c r="A3973" s="133"/>
      <c r="B3973" s="194" t="s">
        <v>5948</v>
      </c>
      <c r="C3973" s="345">
        <f>+VLOOKUP($B3973,'Mano de obra'!$A$5:$D$26,2,FALSE)</f>
        <v>57455</v>
      </c>
      <c r="D3973" s="345">
        <f>+VLOOKUP($B3973,'Mano de obra'!$A$5:$D$26,3,FALSE)</f>
        <v>35656</v>
      </c>
      <c r="E3973" s="345">
        <f>+VLOOKUP($B3973,'Mano de obra'!$A$5:$D$26,4,FALSE)</f>
        <v>93111</v>
      </c>
      <c r="F3973" s="1566">
        <v>500</v>
      </c>
      <c r="G3973" s="178">
        <f>+E3973/F3973*5</f>
        <v>931.11</v>
      </c>
      <c r="H3973" s="200"/>
    </row>
    <row r="3974" spans="1:9" x14ac:dyDescent="0.25">
      <c r="A3974" s="133"/>
      <c r="B3974" s="194" t="s">
        <v>5949</v>
      </c>
      <c r="C3974" s="345">
        <f>+VLOOKUP($B3974,'Mano de obra'!$A$5:$D$26,2,FALSE)</f>
        <v>44263.8</v>
      </c>
      <c r="D3974" s="345">
        <f>+VLOOKUP($B3974,'Mano de obra'!$A$5:$D$26,3,FALSE)</f>
        <v>27470</v>
      </c>
      <c r="E3974" s="345">
        <f>+VLOOKUP($B3974,'Mano de obra'!$A$5:$D$26,4,FALSE)</f>
        <v>71733.8</v>
      </c>
      <c r="F3974" s="1565">
        <v>300</v>
      </c>
      <c r="G3974" s="178">
        <f>+E3974/F3974*5</f>
        <v>1195.5633333333335</v>
      </c>
      <c r="H3974" s="200"/>
    </row>
    <row r="3975" spans="1:9" x14ac:dyDescent="0.25">
      <c r="A3975" s="133"/>
      <c r="B3975" s="195" t="s">
        <v>5635</v>
      </c>
      <c r="C3975" s="345">
        <f>+VLOOKUP($B3975,'Mano de obra'!$A$5:$D$26,2,FALSE)*2</f>
        <v>49182</v>
      </c>
      <c r="D3975" s="345">
        <f>+VLOOKUP($B3975,'Mano de obra'!$A$5:$D$26,3,FALSE)*2</f>
        <v>30522</v>
      </c>
      <c r="E3975" s="345">
        <f>+VLOOKUP($B3975,'Mano de obra'!$A$5:$D$26,4,FALSE)*2</f>
        <v>79704</v>
      </c>
      <c r="F3975" s="226">
        <f>+F3943*8</f>
        <v>19.2</v>
      </c>
      <c r="G3975" s="178">
        <f>+E3975/F3975*5</f>
        <v>20756.25</v>
      </c>
      <c r="H3975" s="200"/>
    </row>
    <row r="3976" spans="1:9" x14ac:dyDescent="0.25">
      <c r="A3976" s="133"/>
      <c r="B3976" s="195"/>
      <c r="C3976" s="171"/>
      <c r="D3976" s="965"/>
      <c r="E3976" s="176"/>
      <c r="F3976" s="226"/>
      <c r="G3976" s="178"/>
      <c r="H3976" s="200"/>
    </row>
    <row r="3977" spans="1:9" x14ac:dyDescent="0.25">
      <c r="A3977" s="133"/>
      <c r="B3977" s="195"/>
      <c r="C3977" s="232"/>
      <c r="D3977" s="952"/>
      <c r="E3977" s="232"/>
      <c r="F3977" s="226"/>
      <c r="G3977" s="229"/>
      <c r="H3977" s="200"/>
    </row>
    <row r="3978" spans="1:9" ht="15.75" thickBot="1" x14ac:dyDescent="0.3">
      <c r="A3978" s="133"/>
      <c r="B3978" s="195"/>
      <c r="C3978" s="232"/>
      <c r="D3978" s="952"/>
      <c r="E3978" s="232"/>
      <c r="F3978" s="226"/>
      <c r="G3978" s="229"/>
      <c r="H3978" s="200"/>
    </row>
    <row r="3979" spans="1:9" ht="15.75" thickBot="1" x14ac:dyDescent="0.3">
      <c r="A3979" s="133"/>
      <c r="B3979" s="251"/>
      <c r="C3979" s="252"/>
      <c r="D3979" s="956"/>
      <c r="E3979" s="252"/>
      <c r="F3979" s="253"/>
      <c r="G3979" s="254"/>
      <c r="H3979" s="256">
        <f>+SUM(G3973:G3979)</f>
        <v>22882.923333333332</v>
      </c>
    </row>
    <row r="3980" spans="1:9" ht="15.75" thickBot="1" x14ac:dyDescent="0.3">
      <c r="A3980" s="133"/>
      <c r="B3980" s="8"/>
      <c r="C3980" s="8"/>
      <c r="D3980" s="529"/>
      <c r="E3980" s="8"/>
      <c r="F3980" s="133"/>
      <c r="G3980" s="341"/>
      <c r="H3980" s="341"/>
    </row>
    <row r="3981" spans="1:9" ht="15.75" thickBot="1" x14ac:dyDescent="0.3">
      <c r="A3981" s="133" t="s">
        <v>6744</v>
      </c>
      <c r="B3981" s="8"/>
      <c r="C3981" s="8"/>
      <c r="D3981" s="529"/>
      <c r="E3981" s="223" t="s">
        <v>5415</v>
      </c>
      <c r="F3981" s="133"/>
      <c r="G3981" s="341"/>
      <c r="H3981" s="674">
        <f>ROUND(+H3979+H3970+H3962+H3947,0)</f>
        <v>110316</v>
      </c>
      <c r="I3981">
        <v>109643</v>
      </c>
    </row>
    <row r="3982" spans="1:9" x14ac:dyDescent="0.25">
      <c r="A3982" s="1058"/>
      <c r="B3982" s="1058"/>
      <c r="C3982" s="1058"/>
      <c r="D3982" s="957"/>
      <c r="E3982" s="1058"/>
      <c r="F3982" s="1058"/>
      <c r="G3982" s="1058"/>
      <c r="H3982" s="1058"/>
    </row>
    <row r="3983" spans="1:9" x14ac:dyDescent="0.25">
      <c r="A3983" s="1058"/>
      <c r="B3983" s="1058"/>
      <c r="C3983" s="1058"/>
      <c r="D3983" s="957"/>
      <c r="E3983" s="1058"/>
      <c r="F3983" s="1058"/>
      <c r="G3983" s="1058"/>
      <c r="H3983" s="1058"/>
    </row>
    <row r="3984" spans="1:9" x14ac:dyDescent="0.25">
      <c r="A3984" s="673" t="s">
        <v>5482</v>
      </c>
      <c r="B3984" s="1390" t="str">
        <f>+VLOOKUP(C3984,ListaAPUs!$B:$E,4,FALSE)</f>
        <v>4.5.5</v>
      </c>
      <c r="C3984" s="2444" t="str">
        <f>+ListaAPUs!B127</f>
        <v>INSTALACIÓN TUBERÍA HD UNION ACERROJADA DN 500</v>
      </c>
      <c r="D3984" s="2444"/>
      <c r="E3984" s="2444"/>
      <c r="F3984" s="673" t="s">
        <v>867</v>
      </c>
      <c r="G3984" s="342" t="s">
        <v>14</v>
      </c>
      <c r="H3984" s="341"/>
    </row>
    <row r="3985" spans="1:8" x14ac:dyDescent="0.25">
      <c r="A3985" s="133"/>
      <c r="B3985" s="8"/>
      <c r="C3985" s="223"/>
      <c r="D3985" s="958"/>
      <c r="E3985" s="223"/>
      <c r="F3985" s="133"/>
      <c r="G3985" s="341"/>
      <c r="H3985" s="341"/>
    </row>
    <row r="3986" spans="1:8" x14ac:dyDescent="0.25">
      <c r="A3986" s="133"/>
      <c r="B3986" s="8"/>
      <c r="C3986" s="8"/>
      <c r="D3986" s="529"/>
      <c r="E3986" s="8"/>
      <c r="F3986" s="8"/>
      <c r="G3986" s="8"/>
      <c r="H3986" s="341"/>
    </row>
    <row r="3987" spans="1:8" ht="15.75" thickBot="1" x14ac:dyDescent="0.3">
      <c r="A3987" s="133"/>
      <c r="B3987" s="8"/>
      <c r="C3987" s="8"/>
      <c r="D3987" s="529"/>
      <c r="E3987" s="8"/>
      <c r="F3987" s="133"/>
      <c r="G3987" s="341"/>
      <c r="H3987" s="341"/>
    </row>
    <row r="3988" spans="1:8" ht="15.75" thickBot="1" x14ac:dyDescent="0.3">
      <c r="A3988" s="133"/>
      <c r="B3988" s="224" t="s">
        <v>5403</v>
      </c>
      <c r="C3988" s="193" t="s">
        <v>867</v>
      </c>
      <c r="D3988" s="951" t="s">
        <v>6</v>
      </c>
      <c r="E3988" s="193" t="s">
        <v>5439</v>
      </c>
      <c r="F3988" s="193" t="s">
        <v>5405</v>
      </c>
      <c r="G3988" s="343" t="s">
        <v>868</v>
      </c>
      <c r="H3988" s="341"/>
    </row>
    <row r="3989" spans="1:8" x14ac:dyDescent="0.25">
      <c r="A3989" s="133"/>
      <c r="B3989" s="1561" t="s">
        <v>5440</v>
      </c>
      <c r="C3989" s="226" t="s">
        <v>7042</v>
      </c>
      <c r="D3989" s="212">
        <v>1</v>
      </c>
      <c r="E3989" s="227">
        <f>+H4027</f>
        <v>27034.173333333332</v>
      </c>
      <c r="F3989" s="226">
        <v>0.05</v>
      </c>
      <c r="G3989" s="229">
        <f>+E3989*F3989</f>
        <v>1351.7086666666667</v>
      </c>
      <c r="H3989" s="200"/>
    </row>
    <row r="3990" spans="1:8" x14ac:dyDescent="0.25">
      <c r="A3990" s="133"/>
      <c r="B3990" s="1561" t="s">
        <v>8014</v>
      </c>
      <c r="C3990" s="226" t="s">
        <v>5734</v>
      </c>
      <c r="D3990" s="212">
        <v>1</v>
      </c>
      <c r="E3990" s="975">
        <f>+VLOOKUP(B3990,Insumos!$A$2:$C$331,3,FALSE)</f>
        <v>189911.25599999999</v>
      </c>
      <c r="F3990" s="226">
        <v>0.01</v>
      </c>
      <c r="G3990" s="229">
        <f>+E3990*F3990</f>
        <v>1899.11256</v>
      </c>
      <c r="H3990" s="200"/>
    </row>
    <row r="3991" spans="1:8" x14ac:dyDescent="0.25">
      <c r="A3991" s="133"/>
      <c r="B3991" s="1561" t="s">
        <v>6869</v>
      </c>
      <c r="C3991" s="226" t="s">
        <v>7203</v>
      </c>
      <c r="D3991" s="212">
        <v>1</v>
      </c>
      <c r="E3991" s="975">
        <f>+VLOOKUP(B3991,Insumos!$A$2:$C$331,3,FALSE)</f>
        <v>202536</v>
      </c>
      <c r="F3991" s="226">
        <v>2</v>
      </c>
      <c r="G3991" s="229">
        <f>+E3991/F3991</f>
        <v>101268</v>
      </c>
      <c r="H3991" s="200"/>
    </row>
    <row r="3992" spans="1:8" x14ac:dyDescent="0.25">
      <c r="A3992" s="133"/>
      <c r="B3992" s="195"/>
      <c r="C3992" s="226"/>
      <c r="D3992" s="212"/>
      <c r="E3992" s="171"/>
      <c r="F3992" s="226"/>
      <c r="G3992" s="231"/>
      <c r="H3992" s="200"/>
    </row>
    <row r="3993" spans="1:8" x14ac:dyDescent="0.25">
      <c r="A3993" s="133"/>
      <c r="B3993" s="195"/>
      <c r="C3993" s="226"/>
      <c r="D3993" s="952"/>
      <c r="E3993" s="232"/>
      <c r="F3993" s="226"/>
      <c r="G3993" s="229"/>
      <c r="H3993" s="200"/>
    </row>
    <row r="3994" spans="1:8" ht="15.75" thickBot="1" x14ac:dyDescent="0.3">
      <c r="A3994" s="133"/>
      <c r="B3994" s="195"/>
      <c r="C3994" s="226"/>
      <c r="D3994" s="952"/>
      <c r="E3994" s="232"/>
      <c r="F3994" s="226"/>
      <c r="G3994" s="229"/>
      <c r="H3994" s="200"/>
    </row>
    <row r="3995" spans="1:8" ht="15.75" thickBot="1" x14ac:dyDescent="0.3">
      <c r="A3995" s="133"/>
      <c r="B3995" s="233"/>
      <c r="C3995" s="234"/>
      <c r="D3995" s="953"/>
      <c r="E3995" s="234"/>
      <c r="F3995" s="235"/>
      <c r="G3995" s="236"/>
      <c r="H3995" s="237">
        <f>+SUM(G3989:G3995)</f>
        <v>104518.82122666667</v>
      </c>
    </row>
    <row r="3996" spans="1:8" ht="15.75" thickBot="1" x14ac:dyDescent="0.3">
      <c r="A3996" s="133"/>
      <c r="B3996" s="238"/>
      <c r="C3996" s="238"/>
      <c r="D3996" s="954"/>
      <c r="E3996" s="238"/>
      <c r="F3996" s="239"/>
      <c r="G3996" s="349"/>
      <c r="H3996" s="350"/>
    </row>
    <row r="3997" spans="1:8" ht="15.75" thickBot="1" x14ac:dyDescent="0.3">
      <c r="A3997" s="133"/>
      <c r="B3997" s="224" t="s">
        <v>5408</v>
      </c>
      <c r="C3997" s="193" t="s">
        <v>867</v>
      </c>
      <c r="D3997" s="951" t="s">
        <v>6</v>
      </c>
      <c r="E3997" s="193" t="s">
        <v>870</v>
      </c>
      <c r="F3997" s="193" t="s">
        <v>5409</v>
      </c>
      <c r="G3997" s="343" t="s">
        <v>868</v>
      </c>
      <c r="H3997" s="341"/>
    </row>
    <row r="3998" spans="1:8" x14ac:dyDescent="0.25">
      <c r="A3998" s="133"/>
      <c r="B3998" s="195"/>
      <c r="C3998" s="226"/>
      <c r="D3998" s="212"/>
      <c r="E3998" s="975"/>
      <c r="F3998" s="226"/>
      <c r="G3998" s="229"/>
      <c r="H3998" s="341"/>
    </row>
    <row r="3999" spans="1:8" x14ac:dyDescent="0.25">
      <c r="A3999" s="133"/>
      <c r="B3999" s="195"/>
      <c r="C3999" s="226"/>
      <c r="D3999" s="212"/>
      <c r="E3999" s="975"/>
      <c r="F3999" s="226"/>
      <c r="G3999" s="229"/>
      <c r="H3999" s="341"/>
    </row>
    <row r="4000" spans="1:8" x14ac:dyDescent="0.25">
      <c r="A4000" s="133"/>
      <c r="B4000" s="195"/>
      <c r="C4000" s="226"/>
      <c r="D4000" s="212"/>
      <c r="E4000" s="176"/>
      <c r="F4000" s="226"/>
      <c r="G4000" s="229">
        <f>+D4000*E4000*(1+F4000)</f>
        <v>0</v>
      </c>
      <c r="H4000" s="341"/>
    </row>
    <row r="4001" spans="1:8" x14ac:dyDescent="0.25">
      <c r="A4001" s="133"/>
      <c r="B4001" s="194"/>
      <c r="C4001" s="226"/>
      <c r="D4001" s="212"/>
      <c r="E4001" s="171"/>
      <c r="F4001" s="169"/>
      <c r="G4001" s="178">
        <f>+D4001*E4001*(1+F4001)</f>
        <v>0</v>
      </c>
      <c r="H4001" s="341"/>
    </row>
    <row r="4002" spans="1:8" x14ac:dyDescent="0.25">
      <c r="A4002" s="133"/>
      <c r="B4002" s="195"/>
      <c r="C4002" s="226"/>
      <c r="D4002" s="212"/>
      <c r="E4002" s="346"/>
      <c r="F4002" s="169"/>
      <c r="G4002" s="351"/>
      <c r="H4002" s="341"/>
    </row>
    <row r="4003" spans="1:8" x14ac:dyDescent="0.25">
      <c r="A4003" s="133"/>
      <c r="B4003" s="194"/>
      <c r="C4003" s="202"/>
      <c r="D4003" s="211"/>
      <c r="E4003" s="346"/>
      <c r="F4003" s="169"/>
      <c r="G4003" s="351"/>
      <c r="H4003" s="341"/>
    </row>
    <row r="4004" spans="1:8" x14ac:dyDescent="0.25">
      <c r="A4004" s="133"/>
      <c r="B4004" s="195"/>
      <c r="C4004" s="226"/>
      <c r="D4004" s="212"/>
      <c r="E4004" s="346"/>
      <c r="F4004" s="169"/>
      <c r="G4004" s="351"/>
      <c r="H4004" s="341"/>
    </row>
    <row r="4005" spans="1:8" x14ac:dyDescent="0.25">
      <c r="A4005" s="133"/>
      <c r="B4005" s="195"/>
      <c r="C4005" s="226"/>
      <c r="D4005" s="212"/>
      <c r="E4005" s="346"/>
      <c r="F4005" s="169"/>
      <c r="G4005" s="351"/>
      <c r="H4005" s="341"/>
    </row>
    <row r="4006" spans="1:8" x14ac:dyDescent="0.25">
      <c r="A4006" s="133"/>
      <c r="B4006" s="195"/>
      <c r="C4006" s="232"/>
      <c r="D4006" s="952"/>
      <c r="E4006" s="232"/>
      <c r="F4006" s="226"/>
      <c r="G4006" s="344"/>
      <c r="H4006" s="341"/>
    </row>
    <row r="4007" spans="1:8" x14ac:dyDescent="0.25">
      <c r="A4007" s="133"/>
      <c r="B4007" s="195"/>
      <c r="C4007" s="232"/>
      <c r="D4007" s="952"/>
      <c r="E4007" s="232"/>
      <c r="F4007" s="226"/>
      <c r="G4007" s="344"/>
      <c r="H4007" s="341"/>
    </row>
    <row r="4008" spans="1:8" x14ac:dyDescent="0.25">
      <c r="A4008" s="133"/>
      <c r="B4008" s="195"/>
      <c r="C4008" s="232"/>
      <c r="D4008" s="952"/>
      <c r="E4008" s="232"/>
      <c r="F4008" s="226"/>
      <c r="G4008" s="344"/>
      <c r="H4008" s="341"/>
    </row>
    <row r="4009" spans="1:8" ht="15.75" thickBot="1" x14ac:dyDescent="0.3">
      <c r="A4009" s="133"/>
      <c r="B4009" s="195"/>
      <c r="C4009" s="232"/>
      <c r="D4009" s="952"/>
      <c r="E4009" s="232"/>
      <c r="F4009" s="226"/>
      <c r="G4009" s="344"/>
      <c r="H4009" s="341"/>
    </row>
    <row r="4010" spans="1:8" ht="15.75" thickBot="1" x14ac:dyDescent="0.3">
      <c r="A4010" s="133"/>
      <c r="B4010" s="251"/>
      <c r="C4010" s="252"/>
      <c r="D4010" s="956"/>
      <c r="E4010" s="252"/>
      <c r="F4010" s="253"/>
      <c r="G4010" s="357"/>
      <c r="H4010" s="358">
        <f>+SUM(G3998:G4010)</f>
        <v>0</v>
      </c>
    </row>
    <row r="4011" spans="1:8" ht="15.75" thickBot="1" x14ac:dyDescent="0.3">
      <c r="A4011" s="133"/>
      <c r="B4011" s="238"/>
      <c r="C4011" s="238"/>
      <c r="D4011" s="954"/>
      <c r="E4011" s="238"/>
      <c r="F4011" s="239"/>
      <c r="G4011" s="349"/>
      <c r="H4011" s="350"/>
    </row>
    <row r="4012" spans="1:8" ht="15.75" thickBot="1" x14ac:dyDescent="0.3">
      <c r="A4012" s="133"/>
      <c r="B4012" s="224" t="s">
        <v>5410</v>
      </c>
      <c r="C4012" s="193" t="s">
        <v>867</v>
      </c>
      <c r="D4012" s="951" t="s">
        <v>6</v>
      </c>
      <c r="E4012" s="193" t="s">
        <v>870</v>
      </c>
      <c r="F4012" s="193" t="s">
        <v>5411</v>
      </c>
      <c r="G4012" s="343" t="s">
        <v>868</v>
      </c>
      <c r="H4012" s="341"/>
    </row>
    <row r="4013" spans="1:8" x14ac:dyDescent="0.25">
      <c r="A4013" s="133"/>
      <c r="B4013" s="245"/>
      <c r="C4013" s="283"/>
      <c r="D4013" s="959"/>
      <c r="E4013" s="379"/>
      <c r="F4013" s="283"/>
      <c r="G4013" s="354"/>
      <c r="H4013" s="355"/>
    </row>
    <row r="4014" spans="1:8" x14ac:dyDescent="0.25">
      <c r="A4014" s="133"/>
      <c r="B4014" s="247"/>
      <c r="C4014" s="286"/>
      <c r="D4014" s="960"/>
      <c r="E4014" s="380"/>
      <c r="F4014" s="286"/>
      <c r="G4014" s="351"/>
      <c r="H4014" s="341"/>
    </row>
    <row r="4015" spans="1:8" x14ac:dyDescent="0.25">
      <c r="A4015" s="133"/>
      <c r="B4015" s="247"/>
      <c r="C4015" s="286"/>
      <c r="D4015" s="960"/>
      <c r="E4015" s="288"/>
      <c r="F4015" s="286"/>
      <c r="G4015" s="344"/>
      <c r="H4015" s="341"/>
    </row>
    <row r="4016" spans="1:8" x14ac:dyDescent="0.25">
      <c r="A4016" s="133"/>
      <c r="B4016" s="194"/>
      <c r="C4016" s="248"/>
      <c r="D4016" s="961"/>
      <c r="E4016" s="248"/>
      <c r="F4016" s="202"/>
      <c r="G4016" s="344"/>
      <c r="H4016" s="341"/>
    </row>
    <row r="4017" spans="1:10" ht="15.75" thickBot="1" x14ac:dyDescent="0.3">
      <c r="A4017" s="133"/>
      <c r="B4017" s="195"/>
      <c r="C4017" s="232"/>
      <c r="D4017" s="952"/>
      <c r="E4017" s="232"/>
      <c r="F4017" s="226"/>
      <c r="G4017" s="344"/>
      <c r="H4017" s="341"/>
    </row>
    <row r="4018" spans="1:10" ht="15.75" thickBot="1" x14ac:dyDescent="0.3">
      <c r="A4018" s="133"/>
      <c r="B4018" s="233"/>
      <c r="C4018" s="234"/>
      <c r="D4018" s="953"/>
      <c r="E4018" s="234"/>
      <c r="F4018" s="235"/>
      <c r="G4018" s="347"/>
      <c r="H4018" s="348">
        <f>+SUM(G4013:G4018)</f>
        <v>0</v>
      </c>
    </row>
    <row r="4019" spans="1:10" ht="15.75" thickBot="1" x14ac:dyDescent="0.3">
      <c r="A4019" s="133"/>
      <c r="B4019" s="238"/>
      <c r="C4019" s="238"/>
      <c r="D4019" s="954"/>
      <c r="E4019" s="238"/>
      <c r="F4019" s="249"/>
      <c r="G4019" s="356"/>
      <c r="H4019" s="350"/>
    </row>
    <row r="4020" spans="1:10" ht="15.75" thickBot="1" x14ac:dyDescent="0.3">
      <c r="A4020" s="133"/>
      <c r="B4020" s="224" t="s">
        <v>5412</v>
      </c>
      <c r="C4020" s="193" t="s">
        <v>5420</v>
      </c>
      <c r="D4020" s="951" t="s">
        <v>5421</v>
      </c>
      <c r="E4020" s="193" t="s">
        <v>5413</v>
      </c>
      <c r="F4020" s="193" t="s">
        <v>5405</v>
      </c>
      <c r="G4020" s="343" t="s">
        <v>868</v>
      </c>
      <c r="H4020" s="341"/>
    </row>
    <row r="4021" spans="1:10" x14ac:dyDescent="0.25">
      <c r="A4021" s="133"/>
      <c r="B4021" s="194" t="s">
        <v>5948</v>
      </c>
      <c r="C4021" s="345">
        <f>+VLOOKUP($B4021,'Mano de obra'!$A$5:$D$26,2,FALSE)</f>
        <v>57455</v>
      </c>
      <c r="D4021" s="345">
        <f>+VLOOKUP($B4021,'Mano de obra'!$A$5:$D$26,3,FALSE)</f>
        <v>35656</v>
      </c>
      <c r="E4021" s="345">
        <f>+VLOOKUP($B4021,'Mano de obra'!$A$5:$D$26,4,FALSE)</f>
        <v>93111</v>
      </c>
      <c r="F4021" s="1566">
        <v>500</v>
      </c>
      <c r="G4021" s="178">
        <f>+E4021/F4021*5</f>
        <v>931.11</v>
      </c>
      <c r="H4021" s="200"/>
    </row>
    <row r="4022" spans="1:10" x14ac:dyDescent="0.25">
      <c r="A4022" s="133"/>
      <c r="B4022" s="194" t="s">
        <v>5949</v>
      </c>
      <c r="C4022" s="345">
        <f>+VLOOKUP($B4022,'Mano de obra'!$A$5:$D$26,2,FALSE)</f>
        <v>44263.8</v>
      </c>
      <c r="D4022" s="345">
        <f>+VLOOKUP($B4022,'Mano de obra'!$A$5:$D$26,3,FALSE)</f>
        <v>27470</v>
      </c>
      <c r="E4022" s="345">
        <f>+VLOOKUP($B4022,'Mano de obra'!$A$5:$D$26,4,FALSE)</f>
        <v>71733.8</v>
      </c>
      <c r="F4022" s="1565">
        <v>300</v>
      </c>
      <c r="G4022" s="178">
        <f>+E4022/F4022*5</f>
        <v>1195.5633333333335</v>
      </c>
      <c r="H4022" s="200"/>
    </row>
    <row r="4023" spans="1:10" x14ac:dyDescent="0.25">
      <c r="A4023" s="133"/>
      <c r="B4023" s="195" t="s">
        <v>5635</v>
      </c>
      <c r="C4023" s="345">
        <f>+VLOOKUP($B4023,'Mano de obra'!$A$5:$D$26,2,FALSE)*2</f>
        <v>49182</v>
      </c>
      <c r="D4023" s="345">
        <f>+VLOOKUP($B4023,'Mano de obra'!$A$5:$D$26,3,FALSE)*2</f>
        <v>30522</v>
      </c>
      <c r="E4023" s="345">
        <f>+VLOOKUP($B4023,'Mano de obra'!$A$5:$D$26,4,FALSE)*2</f>
        <v>79704</v>
      </c>
      <c r="F4023" s="226">
        <f>+F3991*8</f>
        <v>16</v>
      </c>
      <c r="G4023" s="178">
        <f>+E4023/F4023*5</f>
        <v>24907.5</v>
      </c>
      <c r="H4023" s="200"/>
      <c r="J4023" s="1596"/>
    </row>
    <row r="4024" spans="1:10" x14ac:dyDescent="0.25">
      <c r="A4024" s="133"/>
      <c r="B4024" s="195"/>
      <c r="C4024" s="171"/>
      <c r="D4024" s="965"/>
      <c r="E4024" s="176"/>
      <c r="F4024" s="226"/>
      <c r="G4024" s="178"/>
      <c r="H4024" s="200"/>
    </row>
    <row r="4025" spans="1:10" x14ac:dyDescent="0.25">
      <c r="A4025" s="133"/>
      <c r="B4025" s="195"/>
      <c r="C4025" s="232"/>
      <c r="D4025" s="952"/>
      <c r="E4025" s="232"/>
      <c r="F4025" s="226"/>
      <c r="G4025" s="229"/>
      <c r="H4025" s="200"/>
    </row>
    <row r="4026" spans="1:10" ht="15.75" thickBot="1" x14ac:dyDescent="0.3">
      <c r="A4026" s="133"/>
      <c r="B4026" s="195"/>
      <c r="C4026" s="232"/>
      <c r="D4026" s="952"/>
      <c r="E4026" s="232"/>
      <c r="F4026" s="226"/>
      <c r="G4026" s="229"/>
      <c r="H4026" s="200"/>
    </row>
    <row r="4027" spans="1:10" ht="15.75" thickBot="1" x14ac:dyDescent="0.3">
      <c r="A4027" s="133"/>
      <c r="B4027" s="251"/>
      <c r="C4027" s="252"/>
      <c r="D4027" s="956"/>
      <c r="E4027" s="252"/>
      <c r="F4027" s="253"/>
      <c r="G4027" s="254"/>
      <c r="H4027" s="256">
        <f>+SUM(G4021:G4027)</f>
        <v>27034.173333333332</v>
      </c>
    </row>
    <row r="4028" spans="1:10" ht="15.75" thickBot="1" x14ac:dyDescent="0.3">
      <c r="A4028" s="133"/>
      <c r="B4028" s="8"/>
      <c r="C4028" s="8"/>
      <c r="D4028" s="529"/>
      <c r="E4028" s="8"/>
      <c r="F4028" s="133"/>
      <c r="G4028" s="341"/>
      <c r="H4028" s="341"/>
    </row>
    <row r="4029" spans="1:10" ht="15.75" thickBot="1" x14ac:dyDescent="0.3">
      <c r="A4029" s="133" t="s">
        <v>6744</v>
      </c>
      <c r="B4029" s="8"/>
      <c r="C4029" s="8"/>
      <c r="D4029" s="529"/>
      <c r="E4029" s="223" t="s">
        <v>5415</v>
      </c>
      <c r="F4029" s="133"/>
      <c r="G4029" s="341"/>
      <c r="H4029" s="674">
        <f>ROUND(+H4027+H4018+H4010+H3995,0)</f>
        <v>131553</v>
      </c>
    </row>
    <row r="4030" spans="1:10" x14ac:dyDescent="0.25">
      <c r="A4030" s="1058"/>
      <c r="B4030" s="1058"/>
      <c r="C4030" s="1058"/>
      <c r="D4030" s="957"/>
      <c r="E4030" s="1058"/>
      <c r="F4030" s="1058"/>
      <c r="G4030" s="1058"/>
      <c r="H4030" s="1058"/>
    </row>
    <row r="4031" spans="1:10" x14ac:dyDescent="0.25">
      <c r="A4031" s="1058"/>
      <c r="B4031" s="1058"/>
      <c r="C4031" s="1058"/>
      <c r="D4031" s="957"/>
      <c r="E4031" s="1058"/>
      <c r="F4031" s="1058"/>
      <c r="G4031" s="1058"/>
      <c r="H4031" s="1058"/>
    </row>
    <row r="4032" spans="1:10" x14ac:dyDescent="0.25">
      <c r="A4032" s="673" t="s">
        <v>5482</v>
      </c>
      <c r="B4032" s="1390" t="str">
        <f>+VLOOKUP(C4032,ListaAPUs!$B:$E,4,FALSE)</f>
        <v>4.6.1</v>
      </c>
      <c r="C4032" s="2444" t="str">
        <f>+ListaAPUs!B130</f>
        <v>INSTALACIÓN VÁLVULA DE 2" A 4" BRIDADAS</v>
      </c>
      <c r="D4032" s="2444"/>
      <c r="E4032" s="2444"/>
      <c r="F4032" s="673" t="s">
        <v>867</v>
      </c>
      <c r="G4032" s="342" t="s">
        <v>14</v>
      </c>
      <c r="H4032" s="341"/>
    </row>
    <row r="4033" spans="1:8" x14ac:dyDescent="0.25">
      <c r="A4033" s="133"/>
      <c r="B4033" s="8"/>
      <c r="C4033" s="223"/>
      <c r="D4033" s="958"/>
      <c r="E4033" s="223"/>
      <c r="F4033" s="133"/>
      <c r="G4033" s="341"/>
      <c r="H4033" s="341"/>
    </row>
    <row r="4034" spans="1:8" x14ac:dyDescent="0.25">
      <c r="A4034" s="133"/>
      <c r="B4034" s="8"/>
      <c r="C4034" s="8"/>
      <c r="D4034" s="529"/>
      <c r="E4034" s="8"/>
      <c r="F4034" s="8"/>
      <c r="G4034" s="8"/>
      <c r="H4034" s="341"/>
    </row>
    <row r="4035" spans="1:8" ht="15.75" thickBot="1" x14ac:dyDescent="0.3">
      <c r="A4035" s="133"/>
      <c r="B4035" s="8"/>
      <c r="C4035" s="8"/>
      <c r="D4035" s="529"/>
      <c r="E4035" s="8"/>
      <c r="F4035" s="133"/>
      <c r="G4035" s="341"/>
      <c r="H4035" s="341"/>
    </row>
    <row r="4036" spans="1:8" ht="15.75" thickBot="1" x14ac:dyDescent="0.3">
      <c r="A4036" s="133"/>
      <c r="B4036" s="224" t="s">
        <v>5403</v>
      </c>
      <c r="C4036" s="193" t="s">
        <v>867</v>
      </c>
      <c r="D4036" s="951" t="s">
        <v>6</v>
      </c>
      <c r="E4036" s="193" t="s">
        <v>5439</v>
      </c>
      <c r="F4036" s="193" t="s">
        <v>5405</v>
      </c>
      <c r="G4036" s="343" t="s">
        <v>868</v>
      </c>
      <c r="H4036" s="341"/>
    </row>
    <row r="4037" spans="1:8" x14ac:dyDescent="0.25">
      <c r="A4037" s="133"/>
      <c r="B4037" s="195" t="s">
        <v>5440</v>
      </c>
      <c r="C4037" s="226" t="s">
        <v>5402</v>
      </c>
      <c r="D4037" s="212">
        <v>1</v>
      </c>
      <c r="E4037" s="227">
        <f>+H4075</f>
        <v>39057.486666666664</v>
      </c>
      <c r="F4037" s="226">
        <v>0.1</v>
      </c>
      <c r="G4037" s="229">
        <f>+E4037*F4037</f>
        <v>3905.7486666666664</v>
      </c>
      <c r="H4037" s="200"/>
    </row>
    <row r="4038" spans="1:8" x14ac:dyDescent="0.25">
      <c r="A4038" s="133"/>
      <c r="B4038" s="195"/>
      <c r="C4038" s="226"/>
      <c r="D4038" s="212"/>
      <c r="E4038" s="975"/>
      <c r="F4038" s="226"/>
      <c r="G4038" s="229"/>
      <c r="H4038" s="200"/>
    </row>
    <row r="4039" spans="1:8" x14ac:dyDescent="0.25">
      <c r="A4039" s="133"/>
      <c r="B4039" s="195"/>
      <c r="C4039" s="226"/>
      <c r="D4039" s="212"/>
      <c r="E4039" s="975"/>
      <c r="F4039" s="226"/>
      <c r="G4039" s="229"/>
      <c r="H4039" s="200"/>
    </row>
    <row r="4040" spans="1:8" x14ac:dyDescent="0.25">
      <c r="A4040" s="133"/>
      <c r="B4040" s="195"/>
      <c r="C4040" s="226"/>
      <c r="D4040" s="212"/>
      <c r="E4040" s="171"/>
      <c r="F4040" s="226"/>
      <c r="G4040" s="231"/>
      <c r="H4040" s="200"/>
    </row>
    <row r="4041" spans="1:8" x14ac:dyDescent="0.25">
      <c r="A4041" s="133"/>
      <c r="B4041" s="195"/>
      <c r="C4041" s="226"/>
      <c r="D4041" s="952"/>
      <c r="E4041" s="232"/>
      <c r="F4041" s="226"/>
      <c r="G4041" s="229"/>
      <c r="H4041" s="200"/>
    </row>
    <row r="4042" spans="1:8" ht="15.75" thickBot="1" x14ac:dyDescent="0.3">
      <c r="A4042" s="133"/>
      <c r="B4042" s="195"/>
      <c r="C4042" s="226"/>
      <c r="D4042" s="952"/>
      <c r="E4042" s="232"/>
      <c r="F4042" s="226"/>
      <c r="G4042" s="229"/>
      <c r="H4042" s="200"/>
    </row>
    <row r="4043" spans="1:8" ht="15.75" thickBot="1" x14ac:dyDescent="0.3">
      <c r="A4043" s="133"/>
      <c r="B4043" s="233"/>
      <c r="C4043" s="234"/>
      <c r="D4043" s="953"/>
      <c r="E4043" s="234"/>
      <c r="F4043" s="235"/>
      <c r="G4043" s="236"/>
      <c r="H4043" s="237">
        <f>+SUM(G4037:G4043)</f>
        <v>3905.7486666666664</v>
      </c>
    </row>
    <row r="4044" spans="1:8" ht="15.75" thickBot="1" x14ac:dyDescent="0.3">
      <c r="A4044" s="133"/>
      <c r="B4044" s="238"/>
      <c r="C4044" s="238"/>
      <c r="D4044" s="954"/>
      <c r="E4044" s="238"/>
      <c r="F4044" s="239"/>
      <c r="G4044" s="349"/>
      <c r="H4044" s="350"/>
    </row>
    <row r="4045" spans="1:8" ht="15.75" thickBot="1" x14ac:dyDescent="0.3">
      <c r="A4045" s="133"/>
      <c r="B4045" s="224" t="s">
        <v>5408</v>
      </c>
      <c r="C4045" s="193" t="s">
        <v>867</v>
      </c>
      <c r="D4045" s="951" t="s">
        <v>6</v>
      </c>
      <c r="E4045" s="193" t="s">
        <v>870</v>
      </c>
      <c r="F4045" s="193" t="s">
        <v>5409</v>
      </c>
      <c r="G4045" s="343" t="s">
        <v>868</v>
      </c>
      <c r="H4045" s="341"/>
    </row>
    <row r="4046" spans="1:8" x14ac:dyDescent="0.25">
      <c r="A4046" s="133"/>
      <c r="B4046" s="195"/>
      <c r="C4046" s="226"/>
      <c r="D4046" s="212"/>
      <c r="E4046" s="975"/>
      <c r="F4046" s="226"/>
      <c r="G4046" s="229"/>
      <c r="H4046" s="341"/>
    </row>
    <row r="4047" spans="1:8" x14ac:dyDescent="0.25">
      <c r="A4047" s="133"/>
      <c r="B4047" s="195"/>
      <c r="C4047" s="226"/>
      <c r="D4047" s="212"/>
      <c r="E4047" s="975"/>
      <c r="F4047" s="226"/>
      <c r="G4047" s="229"/>
      <c r="H4047" s="341"/>
    </row>
    <row r="4048" spans="1:8" x14ac:dyDescent="0.25">
      <c r="A4048" s="133"/>
      <c r="B4048" s="195"/>
      <c r="C4048" s="226"/>
      <c r="D4048" s="212"/>
      <c r="E4048" s="176"/>
      <c r="F4048" s="226"/>
      <c r="G4048" s="229"/>
      <c r="H4048" s="341"/>
    </row>
    <row r="4049" spans="1:8" x14ac:dyDescent="0.25">
      <c r="A4049" s="133"/>
      <c r="B4049" s="194"/>
      <c r="C4049" s="226"/>
      <c r="D4049" s="212"/>
      <c r="E4049" s="171"/>
      <c r="F4049" s="169"/>
      <c r="G4049" s="178"/>
      <c r="H4049" s="341"/>
    </row>
    <row r="4050" spans="1:8" x14ac:dyDescent="0.25">
      <c r="A4050" s="133"/>
      <c r="B4050" s="195"/>
      <c r="C4050" s="226"/>
      <c r="D4050" s="212"/>
      <c r="E4050" s="346"/>
      <c r="F4050" s="169"/>
      <c r="G4050" s="351"/>
      <c r="H4050" s="341"/>
    </row>
    <row r="4051" spans="1:8" x14ac:dyDescent="0.25">
      <c r="A4051" s="133"/>
      <c r="B4051" s="194"/>
      <c r="C4051" s="202"/>
      <c r="D4051" s="211"/>
      <c r="E4051" s="346"/>
      <c r="F4051" s="169"/>
      <c r="G4051" s="351"/>
      <c r="H4051" s="341"/>
    </row>
    <row r="4052" spans="1:8" x14ac:dyDescent="0.25">
      <c r="A4052" s="133"/>
      <c r="B4052" s="195"/>
      <c r="C4052" s="226"/>
      <c r="D4052" s="212"/>
      <c r="E4052" s="346"/>
      <c r="F4052" s="169"/>
      <c r="G4052" s="351"/>
      <c r="H4052" s="341"/>
    </row>
    <row r="4053" spans="1:8" x14ac:dyDescent="0.25">
      <c r="A4053" s="133"/>
      <c r="B4053" s="195"/>
      <c r="C4053" s="226"/>
      <c r="D4053" s="212"/>
      <c r="E4053" s="346"/>
      <c r="F4053" s="169"/>
      <c r="G4053" s="351"/>
      <c r="H4053" s="341"/>
    </row>
    <row r="4054" spans="1:8" x14ac:dyDescent="0.25">
      <c r="A4054" s="133"/>
      <c r="B4054" s="195"/>
      <c r="C4054" s="232"/>
      <c r="D4054" s="952"/>
      <c r="E4054" s="232"/>
      <c r="F4054" s="226"/>
      <c r="G4054" s="344"/>
      <c r="H4054" s="341"/>
    </row>
    <row r="4055" spans="1:8" x14ac:dyDescent="0.25">
      <c r="A4055" s="133"/>
      <c r="B4055" s="195"/>
      <c r="C4055" s="232"/>
      <c r="D4055" s="952"/>
      <c r="E4055" s="232"/>
      <c r="F4055" s="226"/>
      <c r="G4055" s="344"/>
      <c r="H4055" s="341"/>
    </row>
    <row r="4056" spans="1:8" x14ac:dyDescent="0.25">
      <c r="A4056" s="133"/>
      <c r="B4056" s="195"/>
      <c r="C4056" s="232"/>
      <c r="D4056" s="952"/>
      <c r="E4056" s="232"/>
      <c r="F4056" s="226"/>
      <c r="G4056" s="344"/>
      <c r="H4056" s="341"/>
    </row>
    <row r="4057" spans="1:8" ht="15.75" thickBot="1" x14ac:dyDescent="0.3">
      <c r="A4057" s="133"/>
      <c r="B4057" s="195"/>
      <c r="C4057" s="232"/>
      <c r="D4057" s="952"/>
      <c r="E4057" s="232"/>
      <c r="F4057" s="226"/>
      <c r="G4057" s="344"/>
      <c r="H4057" s="341"/>
    </row>
    <row r="4058" spans="1:8" ht="15.75" thickBot="1" x14ac:dyDescent="0.3">
      <c r="A4058" s="133"/>
      <c r="B4058" s="251"/>
      <c r="C4058" s="252"/>
      <c r="D4058" s="956"/>
      <c r="E4058" s="252"/>
      <c r="F4058" s="253"/>
      <c r="G4058" s="357"/>
      <c r="H4058" s="358">
        <f>+SUM(G4046:G4058)</f>
        <v>0</v>
      </c>
    </row>
    <row r="4059" spans="1:8" ht="15.75" thickBot="1" x14ac:dyDescent="0.3">
      <c r="A4059" s="133"/>
      <c r="B4059" s="238"/>
      <c r="C4059" s="238"/>
      <c r="D4059" s="954"/>
      <c r="E4059" s="238"/>
      <c r="F4059" s="239"/>
      <c r="G4059" s="349"/>
      <c r="H4059" s="350"/>
    </row>
    <row r="4060" spans="1:8" ht="15.75" thickBot="1" x14ac:dyDescent="0.3">
      <c r="A4060" s="133"/>
      <c r="B4060" s="224" t="s">
        <v>5410</v>
      </c>
      <c r="C4060" s="193" t="s">
        <v>867</v>
      </c>
      <c r="D4060" s="951" t="s">
        <v>6</v>
      </c>
      <c r="E4060" s="193" t="s">
        <v>870</v>
      </c>
      <c r="F4060" s="193" t="s">
        <v>5411</v>
      </c>
      <c r="G4060" s="343" t="s">
        <v>868</v>
      </c>
      <c r="H4060" s="341"/>
    </row>
    <row r="4061" spans="1:8" x14ac:dyDescent="0.25">
      <c r="A4061" s="133"/>
      <c r="B4061" s="245"/>
      <c r="C4061" s="283"/>
      <c r="D4061" s="959"/>
      <c r="E4061" s="379"/>
      <c r="F4061" s="283"/>
      <c r="G4061" s="354"/>
      <c r="H4061" s="355"/>
    </row>
    <row r="4062" spans="1:8" x14ac:dyDescent="0.25">
      <c r="A4062" s="133"/>
      <c r="B4062" s="247"/>
      <c r="C4062" s="286"/>
      <c r="D4062" s="960"/>
      <c r="E4062" s="380"/>
      <c r="F4062" s="286"/>
      <c r="G4062" s="351"/>
      <c r="H4062" s="341"/>
    </row>
    <row r="4063" spans="1:8" x14ac:dyDescent="0.25">
      <c r="A4063" s="133"/>
      <c r="B4063" s="247"/>
      <c r="C4063" s="286"/>
      <c r="D4063" s="960"/>
      <c r="E4063" s="288"/>
      <c r="F4063" s="286"/>
      <c r="G4063" s="344"/>
      <c r="H4063" s="341"/>
    </row>
    <row r="4064" spans="1:8" x14ac:dyDescent="0.25">
      <c r="A4064" s="133"/>
      <c r="B4064" s="194"/>
      <c r="C4064" s="248"/>
      <c r="D4064" s="961"/>
      <c r="E4064" s="248"/>
      <c r="F4064" s="202"/>
      <c r="G4064" s="344"/>
      <c r="H4064" s="341"/>
    </row>
    <row r="4065" spans="1:8" ht="15.75" thickBot="1" x14ac:dyDescent="0.3">
      <c r="A4065" s="133"/>
      <c r="B4065" s="195"/>
      <c r="C4065" s="232"/>
      <c r="D4065" s="952"/>
      <c r="E4065" s="232"/>
      <c r="F4065" s="226"/>
      <c r="G4065" s="344"/>
      <c r="H4065" s="341"/>
    </row>
    <row r="4066" spans="1:8" ht="15.75" thickBot="1" x14ac:dyDescent="0.3">
      <c r="A4066" s="133"/>
      <c r="B4066" s="233"/>
      <c r="C4066" s="234"/>
      <c r="D4066" s="953"/>
      <c r="E4066" s="234"/>
      <c r="F4066" s="235"/>
      <c r="G4066" s="347"/>
      <c r="H4066" s="348">
        <f>+SUM(G4061:G4066)</f>
        <v>0</v>
      </c>
    </row>
    <row r="4067" spans="1:8" ht="15.75" thickBot="1" x14ac:dyDescent="0.3">
      <c r="A4067" s="133"/>
      <c r="B4067" s="238"/>
      <c r="C4067" s="238"/>
      <c r="D4067" s="954"/>
      <c r="E4067" s="238"/>
      <c r="F4067" s="249"/>
      <c r="G4067" s="356"/>
      <c r="H4067" s="350"/>
    </row>
    <row r="4068" spans="1:8" ht="15.75" thickBot="1" x14ac:dyDescent="0.3">
      <c r="A4068" s="133"/>
      <c r="B4068" s="224" t="s">
        <v>5412</v>
      </c>
      <c r="C4068" s="193" t="s">
        <v>5420</v>
      </c>
      <c r="D4068" s="951" t="s">
        <v>5421</v>
      </c>
      <c r="E4068" s="193" t="s">
        <v>5413</v>
      </c>
      <c r="F4068" s="193" t="s">
        <v>5405</v>
      </c>
      <c r="G4068" s="343" t="s">
        <v>868</v>
      </c>
      <c r="H4068" s="341"/>
    </row>
    <row r="4069" spans="1:8" x14ac:dyDescent="0.25">
      <c r="A4069" s="133"/>
      <c r="B4069" s="194" t="s">
        <v>5948</v>
      </c>
      <c r="C4069" s="345">
        <f>+VLOOKUP($B4069,'Mano de obra'!$A$5:$D$26,2,FALSE)</f>
        <v>57455</v>
      </c>
      <c r="D4069" s="345">
        <f>+VLOOKUP($B4069,'Mano de obra'!$A$5:$D$26,3,FALSE)</f>
        <v>35656</v>
      </c>
      <c r="E4069" s="345">
        <f>+VLOOKUP($B4069,'Mano de obra'!$A$5:$D$26,4,FALSE)</f>
        <v>93111</v>
      </c>
      <c r="F4069" s="204">
        <v>50</v>
      </c>
      <c r="G4069" s="178">
        <f>+E4069/F4069</f>
        <v>1862.22</v>
      </c>
      <c r="H4069" s="200"/>
    </row>
    <row r="4070" spans="1:8" x14ac:dyDescent="0.25">
      <c r="A4070" s="133"/>
      <c r="B4070" s="194" t="s">
        <v>5949</v>
      </c>
      <c r="C4070" s="345">
        <f>+VLOOKUP($B4070,'Mano de obra'!$A$5:$D$26,2,FALSE)</f>
        <v>44263.8</v>
      </c>
      <c r="D4070" s="345">
        <f>+VLOOKUP($B4070,'Mano de obra'!$A$5:$D$26,3,FALSE)</f>
        <v>27470</v>
      </c>
      <c r="E4070" s="345">
        <f>+VLOOKUP($B4070,'Mano de obra'!$A$5:$D$26,4,FALSE)</f>
        <v>71733.8</v>
      </c>
      <c r="F4070" s="202">
        <v>3</v>
      </c>
      <c r="G4070" s="178">
        <f>+E4070/F4070</f>
        <v>23911.266666666666</v>
      </c>
      <c r="H4070" s="200"/>
    </row>
    <row r="4071" spans="1:8" x14ac:dyDescent="0.25">
      <c r="A4071" s="133"/>
      <c r="B4071" s="195" t="s">
        <v>5635</v>
      </c>
      <c r="C4071" s="345">
        <f>+VLOOKUP($B4071,'Mano de obra'!$A$5:$D$26,2,FALSE)</f>
        <v>24591</v>
      </c>
      <c r="D4071" s="345">
        <f>+VLOOKUP($B4071,'Mano de obra'!$A$5:$D$26,3,FALSE)</f>
        <v>15261</v>
      </c>
      <c r="E4071" s="345">
        <f>+VLOOKUP($B4071,'Mano de obra'!$A$5:$D$26,4,FALSE)</f>
        <v>39852</v>
      </c>
      <c r="F4071" s="226">
        <v>3</v>
      </c>
      <c r="G4071" s="178">
        <f>+E4071/F4071</f>
        <v>13284</v>
      </c>
      <c r="H4071" s="200"/>
    </row>
    <row r="4072" spans="1:8" x14ac:dyDescent="0.25">
      <c r="A4072" s="133"/>
      <c r="B4072" s="195"/>
      <c r="C4072" s="171"/>
      <c r="D4072" s="965"/>
      <c r="E4072" s="176"/>
      <c r="F4072" s="226"/>
      <c r="G4072" s="178"/>
      <c r="H4072" s="200"/>
    </row>
    <row r="4073" spans="1:8" x14ac:dyDescent="0.25">
      <c r="A4073" s="133"/>
      <c r="B4073" s="195"/>
      <c r="C4073" s="232"/>
      <c r="D4073" s="952"/>
      <c r="E4073" s="232"/>
      <c r="F4073" s="226"/>
      <c r="G4073" s="229"/>
      <c r="H4073" s="200"/>
    </row>
    <row r="4074" spans="1:8" ht="15.75" thickBot="1" x14ac:dyDescent="0.3">
      <c r="A4074" s="133"/>
      <c r="B4074" s="195"/>
      <c r="C4074" s="232"/>
      <c r="D4074" s="952"/>
      <c r="E4074" s="232"/>
      <c r="F4074" s="226"/>
      <c r="G4074" s="229"/>
      <c r="H4074" s="200"/>
    </row>
    <row r="4075" spans="1:8" ht="15.75" thickBot="1" x14ac:dyDescent="0.3">
      <c r="A4075" s="133"/>
      <c r="B4075" s="251"/>
      <c r="C4075" s="252"/>
      <c r="D4075" s="956"/>
      <c r="E4075" s="252"/>
      <c r="F4075" s="253"/>
      <c r="G4075" s="254"/>
      <c r="H4075" s="256">
        <f>+SUM(G4069:G4075)</f>
        <v>39057.486666666664</v>
      </c>
    </row>
    <row r="4076" spans="1:8" ht="15.75" thickBot="1" x14ac:dyDescent="0.3">
      <c r="A4076" s="133"/>
      <c r="B4076" s="8"/>
      <c r="C4076" s="8"/>
      <c r="D4076" s="529"/>
      <c r="E4076" s="8"/>
      <c r="F4076" s="133"/>
      <c r="G4076" s="341"/>
      <c r="H4076" s="341"/>
    </row>
    <row r="4077" spans="1:8" ht="15.75" thickBot="1" x14ac:dyDescent="0.3">
      <c r="A4077" s="133" t="s">
        <v>6744</v>
      </c>
      <c r="B4077" s="8"/>
      <c r="C4077" s="8"/>
      <c r="D4077" s="529"/>
      <c r="E4077" s="223" t="s">
        <v>5415</v>
      </c>
      <c r="F4077" s="133"/>
      <c r="G4077" s="341"/>
      <c r="H4077" s="674">
        <f>ROUND(+H4075+H4066+H4058+H4043,0)</f>
        <v>42963</v>
      </c>
    </row>
    <row r="4078" spans="1:8" x14ac:dyDescent="0.25">
      <c r="A4078" s="1058"/>
      <c r="B4078" s="1058"/>
      <c r="C4078" s="1058"/>
      <c r="D4078" s="957"/>
      <c r="E4078" s="1058"/>
      <c r="F4078" s="1058"/>
      <c r="G4078" s="1058"/>
      <c r="H4078" s="1058"/>
    </row>
    <row r="4079" spans="1:8" x14ac:dyDescent="0.25">
      <c r="A4079" s="1058"/>
      <c r="B4079" s="1058"/>
      <c r="C4079" s="1058"/>
      <c r="D4079" s="957"/>
      <c r="E4079" s="1058"/>
      <c r="F4079" s="1058"/>
      <c r="G4079" s="1058"/>
      <c r="H4079" s="1058"/>
    </row>
    <row r="4080" spans="1:8" x14ac:dyDescent="0.25">
      <c r="A4080" s="673" t="s">
        <v>5482</v>
      </c>
      <c r="B4080" s="1390" t="str">
        <f>+VLOOKUP(C4080,ListaAPUs!$B:$E,4,FALSE)</f>
        <v>4.6.2</v>
      </c>
      <c r="C4080" s="2444" t="str">
        <f>+ListaAPUs!B131</f>
        <v>INSTALACIÓN VÁLVULA DE 6" A 8" BRIDADAS</v>
      </c>
      <c r="D4080" s="2444"/>
      <c r="E4080" s="2444"/>
      <c r="F4080" s="673" t="s">
        <v>867</v>
      </c>
      <c r="G4080" s="342" t="s">
        <v>14</v>
      </c>
      <c r="H4080" s="341"/>
    </row>
    <row r="4081" spans="1:8" x14ac:dyDescent="0.25">
      <c r="A4081" s="133"/>
      <c r="B4081" s="8"/>
      <c r="C4081" s="223"/>
      <c r="D4081" s="958"/>
      <c r="E4081" s="223"/>
      <c r="F4081" s="133"/>
      <c r="G4081" s="341"/>
      <c r="H4081" s="341"/>
    </row>
    <row r="4082" spans="1:8" x14ac:dyDescent="0.25">
      <c r="A4082" s="133"/>
      <c r="B4082" s="8"/>
      <c r="C4082" s="8"/>
      <c r="D4082" s="529"/>
      <c r="E4082" s="8"/>
      <c r="F4082" s="8"/>
      <c r="G4082" s="8"/>
      <c r="H4082" s="341"/>
    </row>
    <row r="4083" spans="1:8" ht="15.75" thickBot="1" x14ac:dyDescent="0.3">
      <c r="A4083" s="133"/>
      <c r="B4083" s="8"/>
      <c r="C4083" s="8"/>
      <c r="D4083" s="529"/>
      <c r="E4083" s="8"/>
      <c r="F4083" s="133"/>
      <c r="G4083" s="341"/>
      <c r="H4083" s="341"/>
    </row>
    <row r="4084" spans="1:8" ht="15.75" thickBot="1" x14ac:dyDescent="0.3">
      <c r="A4084" s="133"/>
      <c r="B4084" s="224" t="s">
        <v>5403</v>
      </c>
      <c r="C4084" s="193" t="s">
        <v>867</v>
      </c>
      <c r="D4084" s="951" t="s">
        <v>6</v>
      </c>
      <c r="E4084" s="193" t="s">
        <v>5439</v>
      </c>
      <c r="F4084" s="193" t="s">
        <v>5405</v>
      </c>
      <c r="G4084" s="343" t="s">
        <v>868</v>
      </c>
      <c r="H4084" s="341"/>
    </row>
    <row r="4085" spans="1:8" x14ac:dyDescent="0.25">
      <c r="A4085" s="133"/>
      <c r="B4085" s="195" t="s">
        <v>5440</v>
      </c>
      <c r="C4085" s="226" t="s">
        <v>5402</v>
      </c>
      <c r="D4085" s="212">
        <v>1</v>
      </c>
      <c r="E4085" s="227">
        <f>+H4123</f>
        <v>59517.340000000004</v>
      </c>
      <c r="F4085" s="226">
        <v>0.1</v>
      </c>
      <c r="G4085" s="229">
        <f>+E4085*F4085</f>
        <v>5951.7340000000004</v>
      </c>
      <c r="H4085" s="200"/>
    </row>
    <row r="4086" spans="1:8" x14ac:dyDescent="0.25">
      <c r="A4086" s="133"/>
      <c r="B4086" s="195"/>
      <c r="C4086" s="226"/>
      <c r="D4086" s="212"/>
      <c r="E4086" s="975"/>
      <c r="F4086" s="226"/>
      <c r="G4086" s="229"/>
      <c r="H4086" s="200"/>
    </row>
    <row r="4087" spans="1:8" x14ac:dyDescent="0.25">
      <c r="A4087" s="133"/>
      <c r="B4087" s="195"/>
      <c r="C4087" s="226"/>
      <c r="D4087" s="212"/>
      <c r="E4087" s="975"/>
      <c r="F4087" s="226"/>
      <c r="G4087" s="229"/>
      <c r="H4087" s="200"/>
    </row>
    <row r="4088" spans="1:8" x14ac:dyDescent="0.25">
      <c r="A4088" s="133"/>
      <c r="B4088" s="195"/>
      <c r="C4088" s="226"/>
      <c r="D4088" s="212"/>
      <c r="E4088" s="171"/>
      <c r="F4088" s="226"/>
      <c r="G4088" s="231"/>
      <c r="H4088" s="200"/>
    </row>
    <row r="4089" spans="1:8" x14ac:dyDescent="0.25">
      <c r="A4089" s="133"/>
      <c r="B4089" s="195"/>
      <c r="C4089" s="226"/>
      <c r="D4089" s="952"/>
      <c r="E4089" s="232"/>
      <c r="F4089" s="226"/>
      <c r="G4089" s="229"/>
      <c r="H4089" s="200"/>
    </row>
    <row r="4090" spans="1:8" ht="15.75" thickBot="1" x14ac:dyDescent="0.3">
      <c r="A4090" s="133"/>
      <c r="B4090" s="195"/>
      <c r="C4090" s="226"/>
      <c r="D4090" s="952"/>
      <c r="E4090" s="232"/>
      <c r="F4090" s="226"/>
      <c r="G4090" s="229"/>
      <c r="H4090" s="200"/>
    </row>
    <row r="4091" spans="1:8" ht="15.75" thickBot="1" x14ac:dyDescent="0.3">
      <c r="A4091" s="133"/>
      <c r="B4091" s="233"/>
      <c r="C4091" s="234"/>
      <c r="D4091" s="953"/>
      <c r="E4091" s="234"/>
      <c r="F4091" s="235"/>
      <c r="G4091" s="236"/>
      <c r="H4091" s="237">
        <f>+SUM(G4085:G4091)</f>
        <v>5951.7340000000004</v>
      </c>
    </row>
    <row r="4092" spans="1:8" ht="15.75" thickBot="1" x14ac:dyDescent="0.3">
      <c r="A4092" s="133"/>
      <c r="B4092" s="238"/>
      <c r="C4092" s="238"/>
      <c r="D4092" s="954"/>
      <c r="E4092" s="238"/>
      <c r="F4092" s="239"/>
      <c r="G4092" s="349"/>
      <c r="H4092" s="350"/>
    </row>
    <row r="4093" spans="1:8" ht="15.75" thickBot="1" x14ac:dyDescent="0.3">
      <c r="A4093" s="133"/>
      <c r="B4093" s="224" t="s">
        <v>5408</v>
      </c>
      <c r="C4093" s="193" t="s">
        <v>867</v>
      </c>
      <c r="D4093" s="951" t="s">
        <v>6</v>
      </c>
      <c r="E4093" s="193" t="s">
        <v>870</v>
      </c>
      <c r="F4093" s="193" t="s">
        <v>5409</v>
      </c>
      <c r="G4093" s="343" t="s">
        <v>868</v>
      </c>
      <c r="H4093" s="341"/>
    </row>
    <row r="4094" spans="1:8" x14ac:dyDescent="0.25">
      <c r="A4094" s="133"/>
      <c r="B4094" s="195"/>
      <c r="C4094" s="226"/>
      <c r="D4094" s="212"/>
      <c r="E4094" s="975"/>
      <c r="F4094" s="226"/>
      <c r="G4094" s="229"/>
      <c r="H4094" s="341"/>
    </row>
    <row r="4095" spans="1:8" x14ac:dyDescent="0.25">
      <c r="A4095" s="133"/>
      <c r="B4095" s="195"/>
      <c r="C4095" s="226"/>
      <c r="D4095" s="212"/>
      <c r="E4095" s="975"/>
      <c r="F4095" s="226"/>
      <c r="G4095" s="229"/>
      <c r="H4095" s="341"/>
    </row>
    <row r="4096" spans="1:8" x14ac:dyDescent="0.25">
      <c r="A4096" s="133"/>
      <c r="B4096" s="195"/>
      <c r="C4096" s="226"/>
      <c r="D4096" s="212"/>
      <c r="E4096" s="176"/>
      <c r="F4096" s="226"/>
      <c r="G4096" s="229"/>
      <c r="H4096" s="341"/>
    </row>
    <row r="4097" spans="1:8" x14ac:dyDescent="0.25">
      <c r="A4097" s="133"/>
      <c r="B4097" s="194"/>
      <c r="C4097" s="226"/>
      <c r="D4097" s="212"/>
      <c r="E4097" s="171"/>
      <c r="F4097" s="169"/>
      <c r="G4097" s="178"/>
      <c r="H4097" s="341"/>
    </row>
    <row r="4098" spans="1:8" x14ac:dyDescent="0.25">
      <c r="A4098" s="133"/>
      <c r="B4098" s="195"/>
      <c r="C4098" s="226"/>
      <c r="D4098" s="212"/>
      <c r="E4098" s="346"/>
      <c r="F4098" s="169"/>
      <c r="G4098" s="351"/>
      <c r="H4098" s="341"/>
    </row>
    <row r="4099" spans="1:8" x14ac:dyDescent="0.25">
      <c r="A4099" s="133"/>
      <c r="B4099" s="194"/>
      <c r="C4099" s="202"/>
      <c r="D4099" s="211"/>
      <c r="E4099" s="346"/>
      <c r="F4099" s="169"/>
      <c r="G4099" s="351"/>
      <c r="H4099" s="341"/>
    </row>
    <row r="4100" spans="1:8" x14ac:dyDescent="0.25">
      <c r="A4100" s="133"/>
      <c r="B4100" s="195"/>
      <c r="C4100" s="226"/>
      <c r="D4100" s="212"/>
      <c r="E4100" s="346"/>
      <c r="F4100" s="169"/>
      <c r="G4100" s="351"/>
      <c r="H4100" s="341"/>
    </row>
    <row r="4101" spans="1:8" x14ac:dyDescent="0.25">
      <c r="A4101" s="133"/>
      <c r="B4101" s="195"/>
      <c r="C4101" s="226"/>
      <c r="D4101" s="212"/>
      <c r="E4101" s="346"/>
      <c r="F4101" s="169"/>
      <c r="G4101" s="351"/>
      <c r="H4101" s="341"/>
    </row>
    <row r="4102" spans="1:8" x14ac:dyDescent="0.25">
      <c r="A4102" s="133"/>
      <c r="B4102" s="195"/>
      <c r="C4102" s="232"/>
      <c r="D4102" s="952"/>
      <c r="E4102" s="232"/>
      <c r="F4102" s="226"/>
      <c r="G4102" s="344"/>
      <c r="H4102" s="341"/>
    </row>
    <row r="4103" spans="1:8" x14ac:dyDescent="0.25">
      <c r="A4103" s="133"/>
      <c r="B4103" s="195"/>
      <c r="C4103" s="232"/>
      <c r="D4103" s="952"/>
      <c r="E4103" s="232"/>
      <c r="F4103" s="226"/>
      <c r="G4103" s="344"/>
      <c r="H4103" s="341"/>
    </row>
    <row r="4104" spans="1:8" x14ac:dyDescent="0.25">
      <c r="A4104" s="133"/>
      <c r="B4104" s="195"/>
      <c r="C4104" s="232"/>
      <c r="D4104" s="952"/>
      <c r="E4104" s="232"/>
      <c r="F4104" s="226"/>
      <c r="G4104" s="344"/>
      <c r="H4104" s="341"/>
    </row>
    <row r="4105" spans="1:8" ht="15.75" thickBot="1" x14ac:dyDescent="0.3">
      <c r="A4105" s="133"/>
      <c r="B4105" s="195"/>
      <c r="C4105" s="232"/>
      <c r="D4105" s="952"/>
      <c r="E4105" s="232"/>
      <c r="F4105" s="226"/>
      <c r="G4105" s="344"/>
      <c r="H4105" s="341"/>
    </row>
    <row r="4106" spans="1:8" ht="15.75" thickBot="1" x14ac:dyDescent="0.3">
      <c r="A4106" s="133"/>
      <c r="B4106" s="251"/>
      <c r="C4106" s="252"/>
      <c r="D4106" s="956"/>
      <c r="E4106" s="252"/>
      <c r="F4106" s="253"/>
      <c r="G4106" s="357"/>
      <c r="H4106" s="358">
        <f>+SUM(G4094:G4106)</f>
        <v>0</v>
      </c>
    </row>
    <row r="4107" spans="1:8" ht="15.75" thickBot="1" x14ac:dyDescent="0.3">
      <c r="A4107" s="133"/>
      <c r="B4107" s="238"/>
      <c r="C4107" s="238"/>
      <c r="D4107" s="954"/>
      <c r="E4107" s="238"/>
      <c r="F4107" s="239"/>
      <c r="G4107" s="349"/>
      <c r="H4107" s="350"/>
    </row>
    <row r="4108" spans="1:8" ht="15.75" thickBot="1" x14ac:dyDescent="0.3">
      <c r="A4108" s="133"/>
      <c r="B4108" s="224" t="s">
        <v>5410</v>
      </c>
      <c r="C4108" s="193" t="s">
        <v>867</v>
      </c>
      <c r="D4108" s="951" t="s">
        <v>6</v>
      </c>
      <c r="E4108" s="193" t="s">
        <v>870</v>
      </c>
      <c r="F4108" s="193" t="s">
        <v>5411</v>
      </c>
      <c r="G4108" s="343" t="s">
        <v>868</v>
      </c>
      <c r="H4108" s="341"/>
    </row>
    <row r="4109" spans="1:8" x14ac:dyDescent="0.25">
      <c r="A4109" s="133"/>
      <c r="B4109" s="245"/>
      <c r="C4109" s="283"/>
      <c r="D4109" s="959"/>
      <c r="E4109" s="379"/>
      <c r="F4109" s="283"/>
      <c r="G4109" s="354"/>
      <c r="H4109" s="355"/>
    </row>
    <row r="4110" spans="1:8" x14ac:dyDescent="0.25">
      <c r="A4110" s="133"/>
      <c r="B4110" s="247"/>
      <c r="C4110" s="286"/>
      <c r="D4110" s="960"/>
      <c r="E4110" s="380"/>
      <c r="F4110" s="286"/>
      <c r="G4110" s="351"/>
      <c r="H4110" s="341"/>
    </row>
    <row r="4111" spans="1:8" x14ac:dyDescent="0.25">
      <c r="A4111" s="133"/>
      <c r="B4111" s="247"/>
      <c r="C4111" s="286"/>
      <c r="D4111" s="960"/>
      <c r="E4111" s="288"/>
      <c r="F4111" s="286"/>
      <c r="G4111" s="344"/>
      <c r="H4111" s="341"/>
    </row>
    <row r="4112" spans="1:8" x14ac:dyDescent="0.25">
      <c r="A4112" s="133"/>
      <c r="B4112" s="194"/>
      <c r="C4112" s="248"/>
      <c r="D4112" s="961"/>
      <c r="E4112" s="248"/>
      <c r="F4112" s="202"/>
      <c r="G4112" s="344"/>
      <c r="H4112" s="341"/>
    </row>
    <row r="4113" spans="1:8" ht="15.75" thickBot="1" x14ac:dyDescent="0.3">
      <c r="A4113" s="133"/>
      <c r="B4113" s="195"/>
      <c r="C4113" s="232"/>
      <c r="D4113" s="952"/>
      <c r="E4113" s="232"/>
      <c r="F4113" s="226"/>
      <c r="G4113" s="344"/>
      <c r="H4113" s="341"/>
    </row>
    <row r="4114" spans="1:8" ht="15.75" thickBot="1" x14ac:dyDescent="0.3">
      <c r="A4114" s="133"/>
      <c r="B4114" s="233"/>
      <c r="C4114" s="234"/>
      <c r="D4114" s="953"/>
      <c r="E4114" s="234"/>
      <c r="F4114" s="235"/>
      <c r="G4114" s="347"/>
      <c r="H4114" s="348">
        <f>+SUM(G4109:G4114)</f>
        <v>0</v>
      </c>
    </row>
    <row r="4115" spans="1:8" ht="15.75" thickBot="1" x14ac:dyDescent="0.3">
      <c r="A4115" s="133"/>
      <c r="B4115" s="238"/>
      <c r="C4115" s="238"/>
      <c r="D4115" s="954"/>
      <c r="E4115" s="238"/>
      <c r="F4115" s="249"/>
      <c r="G4115" s="356"/>
      <c r="H4115" s="350"/>
    </row>
    <row r="4116" spans="1:8" ht="15.75" thickBot="1" x14ac:dyDescent="0.3">
      <c r="A4116" s="133"/>
      <c r="B4116" s="224" t="s">
        <v>5412</v>
      </c>
      <c r="C4116" s="193" t="s">
        <v>5420</v>
      </c>
      <c r="D4116" s="951" t="s">
        <v>5421</v>
      </c>
      <c r="E4116" s="193" t="s">
        <v>5413</v>
      </c>
      <c r="F4116" s="193" t="s">
        <v>5405</v>
      </c>
      <c r="G4116" s="343" t="s">
        <v>868</v>
      </c>
      <c r="H4116" s="341"/>
    </row>
    <row r="4117" spans="1:8" x14ac:dyDescent="0.25">
      <c r="A4117" s="133"/>
      <c r="B4117" s="194" t="s">
        <v>5948</v>
      </c>
      <c r="C4117" s="345">
        <f>+VLOOKUP($B4117,'Mano de obra'!$A$5:$D$26,2,FALSE)</f>
        <v>57455</v>
      </c>
      <c r="D4117" s="345">
        <f>+VLOOKUP($B4117,'Mano de obra'!$A$5:$D$26,3,FALSE)</f>
        <v>35656</v>
      </c>
      <c r="E4117" s="345">
        <f>+VLOOKUP($B4117,'Mano de obra'!$A$5:$D$26,4,FALSE)</f>
        <v>93111</v>
      </c>
      <c r="F4117" s="204">
        <v>25</v>
      </c>
      <c r="G4117" s="178">
        <f>+E4117/F4117</f>
        <v>3724.44</v>
      </c>
      <c r="H4117" s="200"/>
    </row>
    <row r="4118" spans="1:8" x14ac:dyDescent="0.25">
      <c r="A4118" s="133"/>
      <c r="B4118" s="194" t="s">
        <v>5949</v>
      </c>
      <c r="C4118" s="345">
        <f>+VLOOKUP($B4118,'Mano de obra'!$A$5:$D$26,2,FALSE)</f>
        <v>44263.8</v>
      </c>
      <c r="D4118" s="345">
        <f>+VLOOKUP($B4118,'Mano de obra'!$A$5:$D$26,3,FALSE)</f>
        <v>27470</v>
      </c>
      <c r="E4118" s="345">
        <f>+VLOOKUP($B4118,'Mano de obra'!$A$5:$D$26,4,FALSE)</f>
        <v>71733.8</v>
      </c>
      <c r="F4118" s="202">
        <v>2</v>
      </c>
      <c r="G4118" s="178">
        <f>+E4118/F4118</f>
        <v>35866.9</v>
      </c>
      <c r="H4118" s="200"/>
    </row>
    <row r="4119" spans="1:8" x14ac:dyDescent="0.25">
      <c r="A4119" s="133"/>
      <c r="B4119" s="195" t="s">
        <v>5635</v>
      </c>
      <c r="C4119" s="345">
        <f>+VLOOKUP($B4119,'Mano de obra'!$A$5:$D$26,2,FALSE)</f>
        <v>24591</v>
      </c>
      <c r="D4119" s="345">
        <f>+VLOOKUP($B4119,'Mano de obra'!$A$5:$D$26,3,FALSE)</f>
        <v>15261</v>
      </c>
      <c r="E4119" s="345">
        <f>+VLOOKUP($B4119,'Mano de obra'!$A$5:$D$26,4,FALSE)</f>
        <v>39852</v>
      </c>
      <c r="F4119" s="226">
        <v>2</v>
      </c>
      <c r="G4119" s="178">
        <f>+E4119/F4119</f>
        <v>19926</v>
      </c>
      <c r="H4119" s="200"/>
    </row>
    <row r="4120" spans="1:8" x14ac:dyDescent="0.25">
      <c r="A4120" s="133"/>
      <c r="B4120" s="195"/>
      <c r="C4120" s="171"/>
      <c r="D4120" s="965"/>
      <c r="E4120" s="176"/>
      <c r="F4120" s="226"/>
      <c r="G4120" s="178"/>
      <c r="H4120" s="200"/>
    </row>
    <row r="4121" spans="1:8" x14ac:dyDescent="0.25">
      <c r="A4121" s="133"/>
      <c r="B4121" s="195"/>
      <c r="C4121" s="232"/>
      <c r="D4121" s="952"/>
      <c r="E4121" s="232"/>
      <c r="F4121" s="226"/>
      <c r="G4121" s="229"/>
      <c r="H4121" s="200"/>
    </row>
    <row r="4122" spans="1:8" ht="15.75" thickBot="1" x14ac:dyDescent="0.3">
      <c r="A4122" s="133"/>
      <c r="B4122" s="195"/>
      <c r="C4122" s="232"/>
      <c r="D4122" s="952"/>
      <c r="E4122" s="232"/>
      <c r="F4122" s="226"/>
      <c r="G4122" s="229"/>
      <c r="H4122" s="200"/>
    </row>
    <row r="4123" spans="1:8" ht="15.75" thickBot="1" x14ac:dyDescent="0.3">
      <c r="A4123" s="133"/>
      <c r="B4123" s="251"/>
      <c r="C4123" s="252"/>
      <c r="D4123" s="956"/>
      <c r="E4123" s="252"/>
      <c r="F4123" s="253"/>
      <c r="G4123" s="254"/>
      <c r="H4123" s="256">
        <f>+SUM(G4117:G4123)</f>
        <v>59517.340000000004</v>
      </c>
    </row>
    <row r="4124" spans="1:8" ht="15.75" thickBot="1" x14ac:dyDescent="0.3">
      <c r="A4124" s="133"/>
      <c r="B4124" s="8"/>
      <c r="C4124" s="8"/>
      <c r="D4124" s="529"/>
      <c r="E4124" s="8"/>
      <c r="F4124" s="133"/>
      <c r="G4124" s="341"/>
      <c r="H4124" s="341"/>
    </row>
    <row r="4125" spans="1:8" ht="15.75" thickBot="1" x14ac:dyDescent="0.3">
      <c r="A4125" s="133" t="s">
        <v>6744</v>
      </c>
      <c r="B4125" s="8"/>
      <c r="C4125" s="8"/>
      <c r="D4125" s="529"/>
      <c r="E4125" s="223" t="s">
        <v>5415</v>
      </c>
      <c r="F4125" s="133"/>
      <c r="G4125" s="341"/>
      <c r="H4125" s="674">
        <f>ROUND(+H4123+H4114+H4106+H4091,0)</f>
        <v>65469</v>
      </c>
    </row>
    <row r="4126" spans="1:8" x14ac:dyDescent="0.25">
      <c r="A4126" s="1058"/>
      <c r="B4126" s="1058"/>
      <c r="C4126" s="1058"/>
      <c r="D4126" s="957"/>
      <c r="E4126" s="1058"/>
      <c r="F4126" s="1058"/>
      <c r="G4126" s="1058"/>
      <c r="H4126" s="1058"/>
    </row>
    <row r="4127" spans="1:8" x14ac:dyDescent="0.25">
      <c r="A4127" s="1058"/>
      <c r="B4127" s="1058"/>
      <c r="C4127" s="1058"/>
      <c r="D4127" s="957"/>
      <c r="E4127" s="1058"/>
      <c r="F4127" s="1058"/>
      <c r="G4127" s="1058"/>
      <c r="H4127" s="1058"/>
    </row>
    <row r="4128" spans="1:8" x14ac:dyDescent="0.25">
      <c r="A4128" s="673" t="s">
        <v>5482</v>
      </c>
      <c r="B4128" s="1390" t="str">
        <f>+VLOOKUP(C4128,ListaAPUs!$B:$E,4,FALSE)</f>
        <v>4.6.3</v>
      </c>
      <c r="C4128" s="2444" t="str">
        <f>+ListaAPUs!B132</f>
        <v>INSTALACIÓN VÁLVULA DE 10" A 12" BRIDADAS</v>
      </c>
      <c r="D4128" s="2444"/>
      <c r="E4128" s="2444"/>
      <c r="F4128" s="673" t="s">
        <v>867</v>
      </c>
      <c r="G4128" s="342" t="s">
        <v>14</v>
      </c>
      <c r="H4128" s="341"/>
    </row>
    <row r="4129" spans="1:8" x14ac:dyDescent="0.25">
      <c r="A4129" s="133"/>
      <c r="B4129" s="8"/>
      <c r="C4129" s="223"/>
      <c r="D4129" s="958"/>
      <c r="E4129" s="223"/>
      <c r="F4129" s="133"/>
      <c r="G4129" s="341"/>
      <c r="H4129" s="341"/>
    </row>
    <row r="4130" spans="1:8" x14ac:dyDescent="0.25">
      <c r="A4130" s="133"/>
      <c r="B4130" s="8"/>
      <c r="C4130" s="8"/>
      <c r="D4130" s="529"/>
      <c r="E4130" s="8"/>
      <c r="F4130" s="8"/>
      <c r="G4130" s="8"/>
      <c r="H4130" s="341"/>
    </row>
    <row r="4131" spans="1:8" ht="15.75" thickBot="1" x14ac:dyDescent="0.3">
      <c r="A4131" s="133"/>
      <c r="B4131" s="8"/>
      <c r="C4131" s="8"/>
      <c r="D4131" s="529"/>
      <c r="E4131" s="8"/>
      <c r="F4131" s="133"/>
      <c r="G4131" s="341"/>
      <c r="H4131" s="341"/>
    </row>
    <row r="4132" spans="1:8" ht="15.75" thickBot="1" x14ac:dyDescent="0.3">
      <c r="A4132" s="133"/>
      <c r="B4132" s="224" t="s">
        <v>5403</v>
      </c>
      <c r="C4132" s="193" t="s">
        <v>867</v>
      </c>
      <c r="D4132" s="951" t="s">
        <v>6</v>
      </c>
      <c r="E4132" s="193" t="s">
        <v>5439</v>
      </c>
      <c r="F4132" s="193" t="s">
        <v>5405</v>
      </c>
      <c r="G4132" s="343" t="s">
        <v>868</v>
      </c>
      <c r="H4132" s="341"/>
    </row>
    <row r="4133" spans="1:8" x14ac:dyDescent="0.25">
      <c r="A4133" s="133"/>
      <c r="B4133" s="195" t="s">
        <v>5440</v>
      </c>
      <c r="C4133" s="226" t="s">
        <v>5402</v>
      </c>
      <c r="D4133" s="212">
        <v>1</v>
      </c>
      <c r="E4133" s="227">
        <f>+H4171</f>
        <v>117793.2</v>
      </c>
      <c r="F4133" s="226">
        <v>0.1</v>
      </c>
      <c r="G4133" s="229">
        <f>+E4133*F4133</f>
        <v>11779.32</v>
      </c>
      <c r="H4133" s="200"/>
    </row>
    <row r="4134" spans="1:8" x14ac:dyDescent="0.25">
      <c r="A4134" s="133"/>
      <c r="B4134" s="195"/>
      <c r="C4134" s="226"/>
      <c r="D4134" s="212"/>
      <c r="E4134" s="975"/>
      <c r="F4134" s="226"/>
      <c r="G4134" s="229"/>
      <c r="H4134" s="200"/>
    </row>
    <row r="4135" spans="1:8" x14ac:dyDescent="0.25">
      <c r="A4135" s="133"/>
      <c r="B4135" s="195"/>
      <c r="C4135" s="226"/>
      <c r="D4135" s="212"/>
      <c r="E4135" s="975"/>
      <c r="F4135" s="226"/>
      <c r="G4135" s="229"/>
      <c r="H4135" s="200"/>
    </row>
    <row r="4136" spans="1:8" x14ac:dyDescent="0.25">
      <c r="A4136" s="133"/>
      <c r="B4136" s="195"/>
      <c r="C4136" s="226"/>
      <c r="D4136" s="212"/>
      <c r="E4136" s="171"/>
      <c r="F4136" s="226"/>
      <c r="G4136" s="231"/>
      <c r="H4136" s="200"/>
    </row>
    <row r="4137" spans="1:8" x14ac:dyDescent="0.25">
      <c r="A4137" s="133"/>
      <c r="B4137" s="195"/>
      <c r="C4137" s="226"/>
      <c r="D4137" s="952"/>
      <c r="E4137" s="232"/>
      <c r="F4137" s="226"/>
      <c r="G4137" s="229"/>
      <c r="H4137" s="200"/>
    </row>
    <row r="4138" spans="1:8" ht="15.75" thickBot="1" x14ac:dyDescent="0.3">
      <c r="A4138" s="133"/>
      <c r="B4138" s="195"/>
      <c r="C4138" s="226"/>
      <c r="D4138" s="952"/>
      <c r="E4138" s="232"/>
      <c r="F4138" s="226"/>
      <c r="G4138" s="229"/>
      <c r="H4138" s="200"/>
    </row>
    <row r="4139" spans="1:8" ht="15.75" thickBot="1" x14ac:dyDescent="0.3">
      <c r="A4139" s="133"/>
      <c r="B4139" s="233"/>
      <c r="C4139" s="234"/>
      <c r="D4139" s="953"/>
      <c r="E4139" s="234"/>
      <c r="F4139" s="235"/>
      <c r="G4139" s="236"/>
      <c r="H4139" s="237">
        <f>+SUM(G4133:G4139)</f>
        <v>11779.32</v>
      </c>
    </row>
    <row r="4140" spans="1:8" ht="15.75" thickBot="1" x14ac:dyDescent="0.3">
      <c r="A4140" s="133"/>
      <c r="B4140" s="238"/>
      <c r="C4140" s="238"/>
      <c r="D4140" s="954"/>
      <c r="E4140" s="238"/>
      <c r="F4140" s="239"/>
      <c r="G4140" s="349"/>
      <c r="H4140" s="350"/>
    </row>
    <row r="4141" spans="1:8" ht="15.75" thickBot="1" x14ac:dyDescent="0.3">
      <c r="A4141" s="133"/>
      <c r="B4141" s="224" t="s">
        <v>5408</v>
      </c>
      <c r="C4141" s="193" t="s">
        <v>867</v>
      </c>
      <c r="D4141" s="951" t="s">
        <v>6</v>
      </c>
      <c r="E4141" s="193" t="s">
        <v>870</v>
      </c>
      <c r="F4141" s="193" t="s">
        <v>5409</v>
      </c>
      <c r="G4141" s="343" t="s">
        <v>868</v>
      </c>
      <c r="H4141" s="341"/>
    </row>
    <row r="4142" spans="1:8" x14ac:dyDescent="0.25">
      <c r="A4142" s="133"/>
      <c r="B4142" s="195"/>
      <c r="C4142" s="226"/>
      <c r="D4142" s="212"/>
      <c r="E4142" s="975"/>
      <c r="F4142" s="226"/>
      <c r="G4142" s="229"/>
      <c r="H4142" s="341"/>
    </row>
    <row r="4143" spans="1:8" x14ac:dyDescent="0.25">
      <c r="A4143" s="133"/>
      <c r="B4143" s="195"/>
      <c r="C4143" s="226"/>
      <c r="D4143" s="212"/>
      <c r="E4143" s="975"/>
      <c r="F4143" s="226"/>
      <c r="G4143" s="229"/>
      <c r="H4143" s="341"/>
    </row>
    <row r="4144" spans="1:8" x14ac:dyDescent="0.25">
      <c r="A4144" s="133"/>
      <c r="B4144" s="195"/>
      <c r="C4144" s="226"/>
      <c r="D4144" s="212"/>
      <c r="E4144" s="176"/>
      <c r="F4144" s="226"/>
      <c r="G4144" s="229"/>
      <c r="H4144" s="341"/>
    </row>
    <row r="4145" spans="1:8" x14ac:dyDescent="0.25">
      <c r="A4145" s="133"/>
      <c r="B4145" s="194"/>
      <c r="C4145" s="226"/>
      <c r="D4145" s="212"/>
      <c r="E4145" s="171"/>
      <c r="F4145" s="169"/>
      <c r="G4145" s="178"/>
      <c r="H4145" s="341"/>
    </row>
    <row r="4146" spans="1:8" x14ac:dyDescent="0.25">
      <c r="A4146" s="133"/>
      <c r="B4146" s="195"/>
      <c r="C4146" s="226"/>
      <c r="D4146" s="212"/>
      <c r="E4146" s="346"/>
      <c r="F4146" s="169"/>
      <c r="G4146" s="351"/>
      <c r="H4146" s="341"/>
    </row>
    <row r="4147" spans="1:8" x14ac:dyDescent="0.25">
      <c r="A4147" s="133"/>
      <c r="B4147" s="194"/>
      <c r="C4147" s="202"/>
      <c r="D4147" s="211"/>
      <c r="E4147" s="346"/>
      <c r="F4147" s="169"/>
      <c r="G4147" s="351"/>
      <c r="H4147" s="341"/>
    </row>
    <row r="4148" spans="1:8" x14ac:dyDescent="0.25">
      <c r="A4148" s="133"/>
      <c r="B4148" s="195"/>
      <c r="C4148" s="226"/>
      <c r="D4148" s="212"/>
      <c r="E4148" s="346"/>
      <c r="F4148" s="169"/>
      <c r="G4148" s="351"/>
      <c r="H4148" s="341"/>
    </row>
    <row r="4149" spans="1:8" x14ac:dyDescent="0.25">
      <c r="A4149" s="133"/>
      <c r="B4149" s="195"/>
      <c r="C4149" s="226"/>
      <c r="D4149" s="212"/>
      <c r="E4149" s="346"/>
      <c r="F4149" s="169"/>
      <c r="G4149" s="351"/>
      <c r="H4149" s="341"/>
    </row>
    <row r="4150" spans="1:8" x14ac:dyDescent="0.25">
      <c r="A4150" s="133"/>
      <c r="B4150" s="195"/>
      <c r="C4150" s="232"/>
      <c r="D4150" s="952"/>
      <c r="E4150" s="232"/>
      <c r="F4150" s="226"/>
      <c r="G4150" s="344"/>
      <c r="H4150" s="341"/>
    </row>
    <row r="4151" spans="1:8" x14ac:dyDescent="0.25">
      <c r="A4151" s="133"/>
      <c r="B4151" s="195"/>
      <c r="C4151" s="232"/>
      <c r="D4151" s="952"/>
      <c r="E4151" s="232"/>
      <c r="F4151" s="226"/>
      <c r="G4151" s="344"/>
      <c r="H4151" s="341"/>
    </row>
    <row r="4152" spans="1:8" x14ac:dyDescent="0.25">
      <c r="A4152" s="133"/>
      <c r="B4152" s="195"/>
      <c r="C4152" s="232"/>
      <c r="D4152" s="952"/>
      <c r="E4152" s="232"/>
      <c r="F4152" s="226"/>
      <c r="G4152" s="344"/>
      <c r="H4152" s="341"/>
    </row>
    <row r="4153" spans="1:8" ht="15.75" thickBot="1" x14ac:dyDescent="0.3">
      <c r="A4153" s="133"/>
      <c r="B4153" s="195"/>
      <c r="C4153" s="232"/>
      <c r="D4153" s="952"/>
      <c r="E4153" s="232"/>
      <c r="F4153" s="226"/>
      <c r="G4153" s="344"/>
      <c r="H4153" s="341"/>
    </row>
    <row r="4154" spans="1:8" ht="15.75" thickBot="1" x14ac:dyDescent="0.3">
      <c r="A4154" s="133"/>
      <c r="B4154" s="251"/>
      <c r="C4154" s="252"/>
      <c r="D4154" s="956"/>
      <c r="E4154" s="252"/>
      <c r="F4154" s="253"/>
      <c r="G4154" s="357"/>
      <c r="H4154" s="358">
        <f>+SUM(G4142:G4154)</f>
        <v>0</v>
      </c>
    </row>
    <row r="4155" spans="1:8" ht="15.75" thickBot="1" x14ac:dyDescent="0.3">
      <c r="A4155" s="133"/>
      <c r="B4155" s="238"/>
      <c r="C4155" s="238"/>
      <c r="D4155" s="954"/>
      <c r="E4155" s="238"/>
      <c r="F4155" s="239"/>
      <c r="G4155" s="349"/>
      <c r="H4155" s="350"/>
    </row>
    <row r="4156" spans="1:8" ht="15.75" thickBot="1" x14ac:dyDescent="0.3">
      <c r="A4156" s="133"/>
      <c r="B4156" s="224" t="s">
        <v>5410</v>
      </c>
      <c r="C4156" s="193" t="s">
        <v>867</v>
      </c>
      <c r="D4156" s="951" t="s">
        <v>6</v>
      </c>
      <c r="E4156" s="193" t="s">
        <v>870</v>
      </c>
      <c r="F4156" s="193" t="s">
        <v>5411</v>
      </c>
      <c r="G4156" s="343" t="s">
        <v>868</v>
      </c>
      <c r="H4156" s="341"/>
    </row>
    <row r="4157" spans="1:8" x14ac:dyDescent="0.25">
      <c r="A4157" s="133"/>
      <c r="B4157" s="245"/>
      <c r="C4157" s="283"/>
      <c r="D4157" s="959"/>
      <c r="E4157" s="379"/>
      <c r="F4157" s="283"/>
      <c r="G4157" s="354"/>
      <c r="H4157" s="355"/>
    </row>
    <row r="4158" spans="1:8" x14ac:dyDescent="0.25">
      <c r="A4158" s="133"/>
      <c r="B4158" s="247"/>
      <c r="C4158" s="286"/>
      <c r="D4158" s="960"/>
      <c r="E4158" s="380"/>
      <c r="F4158" s="286"/>
      <c r="G4158" s="351"/>
      <c r="H4158" s="341"/>
    </row>
    <row r="4159" spans="1:8" x14ac:dyDescent="0.25">
      <c r="A4159" s="133"/>
      <c r="B4159" s="247"/>
      <c r="C4159" s="286"/>
      <c r="D4159" s="960"/>
      <c r="E4159" s="288"/>
      <c r="F4159" s="286"/>
      <c r="G4159" s="344"/>
      <c r="H4159" s="341"/>
    </row>
    <row r="4160" spans="1:8" x14ac:dyDescent="0.25">
      <c r="A4160" s="133"/>
      <c r="B4160" s="194"/>
      <c r="C4160" s="248"/>
      <c r="D4160" s="961"/>
      <c r="E4160" s="248"/>
      <c r="F4160" s="202"/>
      <c r="G4160" s="344"/>
      <c r="H4160" s="341"/>
    </row>
    <row r="4161" spans="1:8" ht="15.75" thickBot="1" x14ac:dyDescent="0.3">
      <c r="A4161" s="133"/>
      <c r="B4161" s="195"/>
      <c r="C4161" s="232"/>
      <c r="D4161" s="952"/>
      <c r="E4161" s="232"/>
      <c r="F4161" s="226"/>
      <c r="G4161" s="344"/>
      <c r="H4161" s="341"/>
    </row>
    <row r="4162" spans="1:8" ht="15.75" thickBot="1" x14ac:dyDescent="0.3">
      <c r="A4162" s="133"/>
      <c r="B4162" s="233"/>
      <c r="C4162" s="234"/>
      <c r="D4162" s="953"/>
      <c r="E4162" s="234"/>
      <c r="F4162" s="235"/>
      <c r="G4162" s="347"/>
      <c r="H4162" s="348">
        <f>+SUM(G4157:G4162)</f>
        <v>0</v>
      </c>
    </row>
    <row r="4163" spans="1:8" ht="15.75" thickBot="1" x14ac:dyDescent="0.3">
      <c r="A4163" s="133"/>
      <c r="B4163" s="238"/>
      <c r="C4163" s="238"/>
      <c r="D4163" s="954"/>
      <c r="E4163" s="238"/>
      <c r="F4163" s="249"/>
      <c r="G4163" s="356"/>
      <c r="H4163" s="350"/>
    </row>
    <row r="4164" spans="1:8" ht="15.75" thickBot="1" x14ac:dyDescent="0.3">
      <c r="A4164" s="133"/>
      <c r="B4164" s="224" t="s">
        <v>5412</v>
      </c>
      <c r="C4164" s="193" t="s">
        <v>5420</v>
      </c>
      <c r="D4164" s="951" t="s">
        <v>5421</v>
      </c>
      <c r="E4164" s="193" t="s">
        <v>5413</v>
      </c>
      <c r="F4164" s="193" t="s">
        <v>5405</v>
      </c>
      <c r="G4164" s="343" t="s">
        <v>868</v>
      </c>
      <c r="H4164" s="341"/>
    </row>
    <row r="4165" spans="1:8" x14ac:dyDescent="0.25">
      <c r="A4165" s="133"/>
      <c r="B4165" s="194" t="s">
        <v>5948</v>
      </c>
      <c r="C4165" s="345">
        <f>+VLOOKUP($B4165,'Mano de obra'!$A$5:$D$26,2,FALSE)</f>
        <v>57455</v>
      </c>
      <c r="D4165" s="345">
        <f>+VLOOKUP($B4165,'Mano de obra'!$A$5:$D$26,3,FALSE)</f>
        <v>35656</v>
      </c>
      <c r="E4165" s="345">
        <f>+VLOOKUP($B4165,'Mano de obra'!$A$5:$D$26,4,FALSE)</f>
        <v>93111</v>
      </c>
      <c r="F4165" s="204">
        <v>15</v>
      </c>
      <c r="G4165" s="178">
        <f>+E4165/F4165</f>
        <v>6207.4</v>
      </c>
      <c r="H4165" s="200"/>
    </row>
    <row r="4166" spans="1:8" x14ac:dyDescent="0.25">
      <c r="A4166" s="133"/>
      <c r="B4166" s="194" t="s">
        <v>5949</v>
      </c>
      <c r="C4166" s="345">
        <f>+VLOOKUP($B4166,'Mano de obra'!$A$5:$D$26,2,FALSE)</f>
        <v>44263.8</v>
      </c>
      <c r="D4166" s="345">
        <f>+VLOOKUP($B4166,'Mano de obra'!$A$5:$D$26,3,FALSE)</f>
        <v>27470</v>
      </c>
      <c r="E4166" s="345">
        <f>+VLOOKUP($B4166,'Mano de obra'!$A$5:$D$26,4,FALSE)</f>
        <v>71733.8</v>
      </c>
      <c r="F4166" s="202">
        <v>1</v>
      </c>
      <c r="G4166" s="178">
        <f>+E4166/F4166</f>
        <v>71733.8</v>
      </c>
      <c r="H4166" s="200"/>
    </row>
    <row r="4167" spans="1:8" x14ac:dyDescent="0.25">
      <c r="A4167" s="133"/>
      <c r="B4167" s="195" t="s">
        <v>5635</v>
      </c>
      <c r="C4167" s="345">
        <f>+VLOOKUP($B4167,'Mano de obra'!$A$5:$D$26,2,FALSE)</f>
        <v>24591</v>
      </c>
      <c r="D4167" s="345">
        <f>+VLOOKUP($B4167,'Mano de obra'!$A$5:$D$26,3,FALSE)</f>
        <v>15261</v>
      </c>
      <c r="E4167" s="345">
        <f>+VLOOKUP($B4167,'Mano de obra'!$A$5:$D$26,4,FALSE)</f>
        <v>39852</v>
      </c>
      <c r="F4167" s="226">
        <v>1</v>
      </c>
      <c r="G4167" s="178">
        <f>+E4167/F4167</f>
        <v>39852</v>
      </c>
      <c r="H4167" s="200"/>
    </row>
    <row r="4168" spans="1:8" x14ac:dyDescent="0.25">
      <c r="A4168" s="133"/>
      <c r="B4168" s="195"/>
      <c r="C4168" s="171"/>
      <c r="D4168" s="965"/>
      <c r="E4168" s="176"/>
      <c r="F4168" s="226"/>
      <c r="G4168" s="178"/>
      <c r="H4168" s="200"/>
    </row>
    <row r="4169" spans="1:8" x14ac:dyDescent="0.25">
      <c r="A4169" s="133"/>
      <c r="B4169" s="195"/>
      <c r="C4169" s="232"/>
      <c r="D4169" s="952"/>
      <c r="E4169" s="232"/>
      <c r="F4169" s="226"/>
      <c r="G4169" s="229"/>
      <c r="H4169" s="200"/>
    </row>
    <row r="4170" spans="1:8" ht="15.75" thickBot="1" x14ac:dyDescent="0.3">
      <c r="A4170" s="133"/>
      <c r="B4170" s="195"/>
      <c r="C4170" s="232"/>
      <c r="D4170" s="952"/>
      <c r="E4170" s="232"/>
      <c r="F4170" s="226"/>
      <c r="G4170" s="229"/>
      <c r="H4170" s="200"/>
    </row>
    <row r="4171" spans="1:8" ht="15.75" thickBot="1" x14ac:dyDescent="0.3">
      <c r="A4171" s="133"/>
      <c r="B4171" s="251"/>
      <c r="C4171" s="252"/>
      <c r="D4171" s="956"/>
      <c r="E4171" s="252"/>
      <c r="F4171" s="253"/>
      <c r="G4171" s="254"/>
      <c r="H4171" s="256">
        <f>+SUM(G4165:G4171)</f>
        <v>117793.2</v>
      </c>
    </row>
    <row r="4172" spans="1:8" ht="15.75" thickBot="1" x14ac:dyDescent="0.3">
      <c r="A4172" s="133"/>
      <c r="B4172" s="8"/>
      <c r="C4172" s="8"/>
      <c r="D4172" s="529"/>
      <c r="E4172" s="8"/>
      <c r="F4172" s="133"/>
      <c r="G4172" s="341"/>
      <c r="H4172" s="341"/>
    </row>
    <row r="4173" spans="1:8" ht="15.75" thickBot="1" x14ac:dyDescent="0.3">
      <c r="A4173" s="133" t="s">
        <v>6744</v>
      </c>
      <c r="B4173" s="8"/>
      <c r="C4173" s="8"/>
      <c r="D4173" s="529"/>
      <c r="E4173" s="223" t="s">
        <v>5415</v>
      </c>
      <c r="F4173" s="133"/>
      <c r="G4173" s="341"/>
      <c r="H4173" s="674">
        <f>ROUND(+H4171+H4162+H4154+H4139,0)</f>
        <v>129573</v>
      </c>
    </row>
    <row r="4174" spans="1:8" x14ac:dyDescent="0.25">
      <c r="A4174" s="1058"/>
      <c r="B4174" s="1058"/>
      <c r="C4174" s="1058"/>
      <c r="D4174" s="957"/>
      <c r="E4174" s="1058"/>
      <c r="F4174" s="1058"/>
      <c r="G4174" s="1058"/>
      <c r="H4174" s="1058"/>
    </row>
    <row r="4175" spans="1:8" x14ac:dyDescent="0.25">
      <c r="A4175" s="1058"/>
      <c r="B4175" s="1058"/>
      <c r="C4175" s="1058"/>
      <c r="D4175" s="957"/>
      <c r="E4175" s="1058"/>
      <c r="F4175" s="1058"/>
      <c r="G4175" s="1058"/>
      <c r="H4175" s="1058"/>
    </row>
    <row r="4176" spans="1:8" x14ac:dyDescent="0.25">
      <c r="A4176" s="673" t="s">
        <v>5482</v>
      </c>
      <c r="B4176" s="1390" t="str">
        <f>+VLOOKUP(C4176,ListaAPUs!$B:$E,4,FALSE)</f>
        <v>4.6.4</v>
      </c>
      <c r="C4176" s="2444" t="str">
        <f>+ListaAPUs!B133</f>
        <v>INSTALACIÓN VÁLVULA DE 14" A 16" BRIDADAS</v>
      </c>
      <c r="D4176" s="2444"/>
      <c r="E4176" s="2444"/>
      <c r="F4176" s="673" t="s">
        <v>867</v>
      </c>
      <c r="G4176" s="342" t="s">
        <v>14</v>
      </c>
      <c r="H4176" s="341"/>
    </row>
    <row r="4177" spans="1:8" x14ac:dyDescent="0.25">
      <c r="A4177" s="133"/>
      <c r="B4177" s="8"/>
      <c r="C4177" s="223"/>
      <c r="D4177" s="958"/>
      <c r="E4177" s="223"/>
      <c r="F4177" s="133"/>
      <c r="G4177" s="341"/>
      <c r="H4177" s="341"/>
    </row>
    <row r="4178" spans="1:8" x14ac:dyDescent="0.25">
      <c r="A4178" s="133"/>
      <c r="B4178" s="8"/>
      <c r="C4178" s="8"/>
      <c r="D4178" s="529"/>
      <c r="E4178" s="8"/>
      <c r="F4178" s="8"/>
      <c r="G4178" s="8"/>
      <c r="H4178" s="341"/>
    </row>
    <row r="4179" spans="1:8" ht="15.75" thickBot="1" x14ac:dyDescent="0.3">
      <c r="A4179" s="133"/>
      <c r="B4179" s="8"/>
      <c r="C4179" s="8"/>
      <c r="D4179" s="529"/>
      <c r="E4179" s="8"/>
      <c r="F4179" s="133"/>
      <c r="G4179" s="341"/>
      <c r="H4179" s="341"/>
    </row>
    <row r="4180" spans="1:8" ht="15.75" thickBot="1" x14ac:dyDescent="0.3">
      <c r="A4180" s="133"/>
      <c r="B4180" s="224" t="s">
        <v>5403</v>
      </c>
      <c r="C4180" s="193" t="s">
        <v>867</v>
      </c>
      <c r="D4180" s="951" t="s">
        <v>6</v>
      </c>
      <c r="E4180" s="193" t="s">
        <v>5439</v>
      </c>
      <c r="F4180" s="193" t="s">
        <v>5405</v>
      </c>
      <c r="G4180" s="343" t="s">
        <v>868</v>
      </c>
      <c r="H4180" s="341"/>
    </row>
    <row r="4181" spans="1:8" x14ac:dyDescent="0.25">
      <c r="A4181" s="133"/>
      <c r="B4181" s="195" t="s">
        <v>5440</v>
      </c>
      <c r="C4181" s="226" t="s">
        <v>5402</v>
      </c>
      <c r="D4181" s="212">
        <v>1</v>
      </c>
      <c r="E4181" s="227">
        <f>+H4219</f>
        <v>120896.90000000001</v>
      </c>
      <c r="F4181" s="226">
        <v>0.15</v>
      </c>
      <c r="G4181" s="229">
        <f>+E4181*F4181</f>
        <v>18134.535</v>
      </c>
      <c r="H4181" s="200"/>
    </row>
    <row r="4182" spans="1:8" x14ac:dyDescent="0.25">
      <c r="A4182" s="133"/>
      <c r="B4182" s="195"/>
      <c r="C4182" s="226"/>
      <c r="D4182" s="212"/>
      <c r="E4182" s="975"/>
      <c r="F4182" s="226"/>
      <c r="G4182" s="229"/>
      <c r="H4182" s="200"/>
    </row>
    <row r="4183" spans="1:8" x14ac:dyDescent="0.25">
      <c r="A4183" s="133"/>
      <c r="B4183" s="195"/>
      <c r="C4183" s="226"/>
      <c r="D4183" s="212"/>
      <c r="E4183" s="975"/>
      <c r="F4183" s="226"/>
      <c r="G4183" s="229"/>
      <c r="H4183" s="200"/>
    </row>
    <row r="4184" spans="1:8" x14ac:dyDescent="0.25">
      <c r="A4184" s="133"/>
      <c r="B4184" s="195"/>
      <c r="C4184" s="226"/>
      <c r="D4184" s="212"/>
      <c r="E4184" s="171"/>
      <c r="F4184" s="226"/>
      <c r="G4184" s="231"/>
      <c r="H4184" s="200"/>
    </row>
    <row r="4185" spans="1:8" x14ac:dyDescent="0.25">
      <c r="A4185" s="133"/>
      <c r="B4185" s="195"/>
      <c r="C4185" s="226"/>
      <c r="D4185" s="952"/>
      <c r="E4185" s="232"/>
      <c r="F4185" s="226"/>
      <c r="G4185" s="229"/>
      <c r="H4185" s="200"/>
    </row>
    <row r="4186" spans="1:8" ht="15.75" thickBot="1" x14ac:dyDescent="0.3">
      <c r="A4186" s="133"/>
      <c r="B4186" s="195"/>
      <c r="C4186" s="226"/>
      <c r="D4186" s="952"/>
      <c r="E4186" s="232"/>
      <c r="F4186" s="226"/>
      <c r="G4186" s="229"/>
      <c r="H4186" s="200"/>
    </row>
    <row r="4187" spans="1:8" ht="15.75" thickBot="1" x14ac:dyDescent="0.3">
      <c r="A4187" s="133"/>
      <c r="B4187" s="233"/>
      <c r="C4187" s="234"/>
      <c r="D4187" s="953"/>
      <c r="E4187" s="234"/>
      <c r="F4187" s="235"/>
      <c r="G4187" s="236"/>
      <c r="H4187" s="237">
        <f>+SUM(G4181:G4187)</f>
        <v>18134.535</v>
      </c>
    </row>
    <row r="4188" spans="1:8" ht="15.75" thickBot="1" x14ac:dyDescent="0.3">
      <c r="A4188" s="133"/>
      <c r="B4188" s="238"/>
      <c r="C4188" s="238"/>
      <c r="D4188" s="954"/>
      <c r="E4188" s="238"/>
      <c r="F4188" s="239"/>
      <c r="G4188" s="349"/>
      <c r="H4188" s="350"/>
    </row>
    <row r="4189" spans="1:8" ht="15.75" thickBot="1" x14ac:dyDescent="0.3">
      <c r="A4189" s="133"/>
      <c r="B4189" s="224" t="s">
        <v>5408</v>
      </c>
      <c r="C4189" s="193" t="s">
        <v>867</v>
      </c>
      <c r="D4189" s="951" t="s">
        <v>6</v>
      </c>
      <c r="E4189" s="193" t="s">
        <v>870</v>
      </c>
      <c r="F4189" s="193" t="s">
        <v>5409</v>
      </c>
      <c r="G4189" s="343" t="s">
        <v>868</v>
      </c>
      <c r="H4189" s="341"/>
    </row>
    <row r="4190" spans="1:8" x14ac:dyDescent="0.25">
      <c r="A4190" s="133"/>
      <c r="B4190" s="195"/>
      <c r="C4190" s="226"/>
      <c r="D4190" s="212"/>
      <c r="E4190" s="975"/>
      <c r="F4190" s="226"/>
      <c r="G4190" s="229"/>
      <c r="H4190" s="341"/>
    </row>
    <row r="4191" spans="1:8" x14ac:dyDescent="0.25">
      <c r="A4191" s="133"/>
      <c r="B4191" s="195"/>
      <c r="C4191" s="226"/>
      <c r="D4191" s="212"/>
      <c r="E4191" s="975"/>
      <c r="F4191" s="226"/>
      <c r="G4191" s="229"/>
      <c r="H4191" s="341"/>
    </row>
    <row r="4192" spans="1:8" x14ac:dyDescent="0.25">
      <c r="A4192" s="133"/>
      <c r="B4192" s="195"/>
      <c r="C4192" s="226"/>
      <c r="D4192" s="212"/>
      <c r="E4192" s="176"/>
      <c r="F4192" s="226"/>
      <c r="G4192" s="229"/>
      <c r="H4192" s="341"/>
    </row>
    <row r="4193" spans="1:8" x14ac:dyDescent="0.25">
      <c r="A4193" s="133"/>
      <c r="B4193" s="194"/>
      <c r="C4193" s="226"/>
      <c r="D4193" s="212"/>
      <c r="E4193" s="171"/>
      <c r="F4193" s="169"/>
      <c r="G4193" s="178"/>
      <c r="H4193" s="341"/>
    </row>
    <row r="4194" spans="1:8" x14ac:dyDescent="0.25">
      <c r="A4194" s="133"/>
      <c r="B4194" s="195"/>
      <c r="C4194" s="226"/>
      <c r="D4194" s="212"/>
      <c r="E4194" s="346"/>
      <c r="F4194" s="169"/>
      <c r="G4194" s="351"/>
      <c r="H4194" s="341"/>
    </row>
    <row r="4195" spans="1:8" x14ac:dyDescent="0.25">
      <c r="A4195" s="133"/>
      <c r="B4195" s="194"/>
      <c r="C4195" s="202"/>
      <c r="D4195" s="211"/>
      <c r="E4195" s="346"/>
      <c r="F4195" s="169"/>
      <c r="G4195" s="351"/>
      <c r="H4195" s="341"/>
    </row>
    <row r="4196" spans="1:8" x14ac:dyDescent="0.25">
      <c r="A4196" s="133"/>
      <c r="B4196" s="195"/>
      <c r="C4196" s="226"/>
      <c r="D4196" s="212"/>
      <c r="E4196" s="346"/>
      <c r="F4196" s="169"/>
      <c r="G4196" s="351"/>
      <c r="H4196" s="341"/>
    </row>
    <row r="4197" spans="1:8" x14ac:dyDescent="0.25">
      <c r="A4197" s="133"/>
      <c r="B4197" s="195"/>
      <c r="C4197" s="226"/>
      <c r="D4197" s="212"/>
      <c r="E4197" s="346"/>
      <c r="F4197" s="169"/>
      <c r="G4197" s="351"/>
      <c r="H4197" s="341"/>
    </row>
    <row r="4198" spans="1:8" x14ac:dyDescent="0.25">
      <c r="A4198" s="133"/>
      <c r="B4198" s="195"/>
      <c r="C4198" s="232"/>
      <c r="D4198" s="952"/>
      <c r="E4198" s="232"/>
      <c r="F4198" s="226"/>
      <c r="G4198" s="344"/>
      <c r="H4198" s="341"/>
    </row>
    <row r="4199" spans="1:8" x14ac:dyDescent="0.25">
      <c r="A4199" s="133"/>
      <c r="B4199" s="195"/>
      <c r="C4199" s="232"/>
      <c r="D4199" s="952"/>
      <c r="E4199" s="232"/>
      <c r="F4199" s="226"/>
      <c r="G4199" s="344"/>
      <c r="H4199" s="341"/>
    </row>
    <row r="4200" spans="1:8" x14ac:dyDescent="0.25">
      <c r="A4200" s="133"/>
      <c r="B4200" s="195"/>
      <c r="C4200" s="232"/>
      <c r="D4200" s="952"/>
      <c r="E4200" s="232"/>
      <c r="F4200" s="226"/>
      <c r="G4200" s="344"/>
      <c r="H4200" s="341"/>
    </row>
    <row r="4201" spans="1:8" ht="15.75" thickBot="1" x14ac:dyDescent="0.3">
      <c r="A4201" s="133"/>
      <c r="B4201" s="195"/>
      <c r="C4201" s="232"/>
      <c r="D4201" s="952"/>
      <c r="E4201" s="232"/>
      <c r="F4201" s="226"/>
      <c r="G4201" s="344"/>
      <c r="H4201" s="341"/>
    </row>
    <row r="4202" spans="1:8" ht="15.75" thickBot="1" x14ac:dyDescent="0.3">
      <c r="A4202" s="133"/>
      <c r="B4202" s="251"/>
      <c r="C4202" s="252"/>
      <c r="D4202" s="956"/>
      <c r="E4202" s="252"/>
      <c r="F4202" s="253"/>
      <c r="G4202" s="357"/>
      <c r="H4202" s="358">
        <f>+SUM(G4190:G4202)</f>
        <v>0</v>
      </c>
    </row>
    <row r="4203" spans="1:8" ht="15.75" thickBot="1" x14ac:dyDescent="0.3">
      <c r="A4203" s="133"/>
      <c r="B4203" s="238"/>
      <c r="C4203" s="238"/>
      <c r="D4203" s="954"/>
      <c r="E4203" s="238"/>
      <c r="F4203" s="239"/>
      <c r="G4203" s="349"/>
      <c r="H4203" s="350"/>
    </row>
    <row r="4204" spans="1:8" ht="15.75" thickBot="1" x14ac:dyDescent="0.3">
      <c r="A4204" s="133"/>
      <c r="B4204" s="224" t="s">
        <v>5410</v>
      </c>
      <c r="C4204" s="193" t="s">
        <v>867</v>
      </c>
      <c r="D4204" s="951" t="s">
        <v>6</v>
      </c>
      <c r="E4204" s="193" t="s">
        <v>870</v>
      </c>
      <c r="F4204" s="193" t="s">
        <v>5411</v>
      </c>
      <c r="G4204" s="343" t="s">
        <v>868</v>
      </c>
      <c r="H4204" s="341"/>
    </row>
    <row r="4205" spans="1:8" x14ac:dyDescent="0.25">
      <c r="A4205" s="133"/>
      <c r="B4205" s="245"/>
      <c r="C4205" s="283"/>
      <c r="D4205" s="959"/>
      <c r="E4205" s="379"/>
      <c r="F4205" s="283"/>
      <c r="G4205" s="354"/>
      <c r="H4205" s="355"/>
    </row>
    <row r="4206" spans="1:8" x14ac:dyDescent="0.25">
      <c r="A4206" s="133"/>
      <c r="B4206" s="247"/>
      <c r="C4206" s="286"/>
      <c r="D4206" s="960"/>
      <c r="E4206" s="380"/>
      <c r="F4206" s="286"/>
      <c r="G4206" s="351"/>
      <c r="H4206" s="341"/>
    </row>
    <row r="4207" spans="1:8" x14ac:dyDescent="0.25">
      <c r="A4207" s="133"/>
      <c r="B4207" s="247"/>
      <c r="C4207" s="286"/>
      <c r="D4207" s="960"/>
      <c r="E4207" s="288"/>
      <c r="F4207" s="286"/>
      <c r="G4207" s="344"/>
      <c r="H4207" s="341"/>
    </row>
    <row r="4208" spans="1:8" x14ac:dyDescent="0.25">
      <c r="A4208" s="133"/>
      <c r="B4208" s="194"/>
      <c r="C4208" s="248"/>
      <c r="D4208" s="961"/>
      <c r="E4208" s="248"/>
      <c r="F4208" s="202"/>
      <c r="G4208" s="344"/>
      <c r="H4208" s="341"/>
    </row>
    <row r="4209" spans="1:8" ht="15.75" thickBot="1" x14ac:dyDescent="0.3">
      <c r="A4209" s="133"/>
      <c r="B4209" s="195"/>
      <c r="C4209" s="232"/>
      <c r="D4209" s="952"/>
      <c r="E4209" s="232"/>
      <c r="F4209" s="226"/>
      <c r="G4209" s="344"/>
      <c r="H4209" s="341"/>
    </row>
    <row r="4210" spans="1:8" ht="15.75" thickBot="1" x14ac:dyDescent="0.3">
      <c r="A4210" s="133"/>
      <c r="B4210" s="233"/>
      <c r="C4210" s="234"/>
      <c r="D4210" s="953"/>
      <c r="E4210" s="234"/>
      <c r="F4210" s="235"/>
      <c r="G4210" s="347"/>
      <c r="H4210" s="348">
        <f>+SUM(G4205:G4210)</f>
        <v>0</v>
      </c>
    </row>
    <row r="4211" spans="1:8" ht="15.75" thickBot="1" x14ac:dyDescent="0.3">
      <c r="A4211" s="133"/>
      <c r="B4211" s="238"/>
      <c r="C4211" s="238"/>
      <c r="D4211" s="954"/>
      <c r="E4211" s="238"/>
      <c r="F4211" s="249"/>
      <c r="G4211" s="356"/>
      <c r="H4211" s="350"/>
    </row>
    <row r="4212" spans="1:8" ht="15.75" thickBot="1" x14ac:dyDescent="0.3">
      <c r="A4212" s="133"/>
      <c r="B4212" s="224" t="s">
        <v>5412</v>
      </c>
      <c r="C4212" s="193" t="s">
        <v>5420</v>
      </c>
      <c r="D4212" s="951" t="s">
        <v>5421</v>
      </c>
      <c r="E4212" s="193" t="s">
        <v>5413</v>
      </c>
      <c r="F4212" s="193" t="s">
        <v>5405</v>
      </c>
      <c r="G4212" s="343" t="s">
        <v>868</v>
      </c>
      <c r="H4212" s="341"/>
    </row>
    <row r="4213" spans="1:8" x14ac:dyDescent="0.25">
      <c r="A4213" s="133"/>
      <c r="B4213" s="194" t="s">
        <v>5948</v>
      </c>
      <c r="C4213" s="345">
        <f>+VLOOKUP($B4213,'Mano de obra'!$A$5:$D$26,2,FALSE)</f>
        <v>57455</v>
      </c>
      <c r="D4213" s="345">
        <f>+VLOOKUP($B4213,'Mano de obra'!$A$5:$D$26,3,FALSE)</f>
        <v>35656</v>
      </c>
      <c r="E4213" s="345">
        <f>+VLOOKUP($B4213,'Mano de obra'!$A$5:$D$26,4,FALSE)</f>
        <v>93111</v>
      </c>
      <c r="F4213" s="204">
        <v>10</v>
      </c>
      <c r="G4213" s="178">
        <f>+E4213/F4213</f>
        <v>9311.1</v>
      </c>
      <c r="H4213" s="200"/>
    </row>
    <row r="4214" spans="1:8" x14ac:dyDescent="0.25">
      <c r="A4214" s="133"/>
      <c r="B4214" s="194" t="s">
        <v>5949</v>
      </c>
      <c r="C4214" s="345">
        <f>+VLOOKUP($B4214,'Mano de obra'!$A$5:$D$26,2,FALSE)</f>
        <v>44263.8</v>
      </c>
      <c r="D4214" s="345">
        <f>+VLOOKUP($B4214,'Mano de obra'!$A$5:$D$26,3,FALSE)</f>
        <v>27470</v>
      </c>
      <c r="E4214" s="345">
        <f>+VLOOKUP($B4214,'Mano de obra'!$A$5:$D$26,4,FALSE)</f>
        <v>71733.8</v>
      </c>
      <c r="F4214" s="202">
        <v>1</v>
      </c>
      <c r="G4214" s="178">
        <f>+E4214/F4214</f>
        <v>71733.8</v>
      </c>
      <c r="H4214" s="200"/>
    </row>
    <row r="4215" spans="1:8" x14ac:dyDescent="0.25">
      <c r="A4215" s="133"/>
      <c r="B4215" s="195" t="s">
        <v>5635</v>
      </c>
      <c r="C4215" s="345">
        <f>+VLOOKUP($B4215,'Mano de obra'!$A$5:$D$26,2,FALSE)</f>
        <v>24591</v>
      </c>
      <c r="D4215" s="345">
        <f>+VLOOKUP($B4215,'Mano de obra'!$A$5:$D$26,3,FALSE)</f>
        <v>15261</v>
      </c>
      <c r="E4215" s="345">
        <f>+VLOOKUP($B4215,'Mano de obra'!$A$5:$D$26,4,FALSE)</f>
        <v>39852</v>
      </c>
      <c r="F4215" s="226">
        <v>1</v>
      </c>
      <c r="G4215" s="178">
        <f>+E4215/F4215</f>
        <v>39852</v>
      </c>
      <c r="H4215" s="200"/>
    </row>
    <row r="4216" spans="1:8" x14ac:dyDescent="0.25">
      <c r="A4216" s="133"/>
      <c r="B4216" s="195"/>
      <c r="C4216" s="171"/>
      <c r="D4216" s="965"/>
      <c r="E4216" s="176"/>
      <c r="F4216" s="226"/>
      <c r="G4216" s="178"/>
      <c r="H4216" s="200"/>
    </row>
    <row r="4217" spans="1:8" x14ac:dyDescent="0.25">
      <c r="A4217" s="133"/>
      <c r="B4217" s="195"/>
      <c r="C4217" s="232"/>
      <c r="D4217" s="952"/>
      <c r="E4217" s="232"/>
      <c r="F4217" s="226"/>
      <c r="G4217" s="229"/>
      <c r="H4217" s="200"/>
    </row>
    <row r="4218" spans="1:8" ht="15.75" thickBot="1" x14ac:dyDescent="0.3">
      <c r="A4218" s="133"/>
      <c r="B4218" s="195"/>
      <c r="C4218" s="232"/>
      <c r="D4218" s="952"/>
      <c r="E4218" s="232"/>
      <c r="F4218" s="226"/>
      <c r="G4218" s="229"/>
      <c r="H4218" s="200"/>
    </row>
    <row r="4219" spans="1:8" ht="15.75" thickBot="1" x14ac:dyDescent="0.3">
      <c r="A4219" s="133"/>
      <c r="B4219" s="251"/>
      <c r="C4219" s="252"/>
      <c r="D4219" s="956"/>
      <c r="E4219" s="252"/>
      <c r="F4219" s="253"/>
      <c r="G4219" s="254"/>
      <c r="H4219" s="256">
        <f>+SUM(G4213:G4219)</f>
        <v>120896.90000000001</v>
      </c>
    </row>
    <row r="4220" spans="1:8" ht="15.75" thickBot="1" x14ac:dyDescent="0.3">
      <c r="A4220" s="133"/>
      <c r="B4220" s="8"/>
      <c r="C4220" s="8"/>
      <c r="D4220" s="529"/>
      <c r="E4220" s="8"/>
      <c r="F4220" s="133"/>
      <c r="G4220" s="341"/>
      <c r="H4220" s="341"/>
    </row>
    <row r="4221" spans="1:8" ht="15.75" thickBot="1" x14ac:dyDescent="0.3">
      <c r="A4221" s="133" t="s">
        <v>6744</v>
      </c>
      <c r="B4221" s="8"/>
      <c r="C4221" s="8"/>
      <c r="D4221" s="529"/>
      <c r="E4221" s="223" t="s">
        <v>5415</v>
      </c>
      <c r="F4221" s="133"/>
      <c r="G4221" s="341"/>
      <c r="H4221" s="674">
        <f>ROUND(+H4219+H4210+H4202+H4187,0)</f>
        <v>139031</v>
      </c>
    </row>
    <row r="4222" spans="1:8" x14ac:dyDescent="0.25">
      <c r="A4222" s="1058"/>
      <c r="B4222" s="1058"/>
      <c r="C4222" s="1058"/>
      <c r="D4222" s="957"/>
      <c r="E4222" s="1058"/>
      <c r="F4222" s="1058"/>
      <c r="G4222" s="1058"/>
      <c r="H4222" s="1058"/>
    </row>
    <row r="4223" spans="1:8" x14ac:dyDescent="0.25">
      <c r="A4223" s="1058"/>
      <c r="B4223" s="1058"/>
      <c r="C4223" s="1058"/>
      <c r="D4223" s="957"/>
      <c r="E4223" s="1058"/>
      <c r="F4223" s="1058"/>
      <c r="G4223" s="1058"/>
      <c r="H4223" s="1058"/>
    </row>
    <row r="4224" spans="1:8" x14ac:dyDescent="0.25">
      <c r="A4224" s="673" t="s">
        <v>5482</v>
      </c>
      <c r="B4224" s="1390" t="str">
        <f>+VLOOKUP(C4224,ListaAPUs!$B:$E,4,FALSE)</f>
        <v>4.6.5</v>
      </c>
      <c r="C4224" s="2444" t="str">
        <f>+ListaAPUs!B134</f>
        <v>INSTALACIÓN VÁLVULA DE 18" A 20" BRIDADAS</v>
      </c>
      <c r="D4224" s="2444"/>
      <c r="E4224" s="2444"/>
      <c r="F4224" s="673" t="s">
        <v>867</v>
      </c>
      <c r="G4224" s="342" t="s">
        <v>14</v>
      </c>
      <c r="H4224" s="341"/>
    </row>
    <row r="4225" spans="1:8" x14ac:dyDescent="0.25">
      <c r="A4225" s="133"/>
      <c r="B4225" s="8"/>
      <c r="C4225" s="223"/>
      <c r="D4225" s="958"/>
      <c r="E4225" s="223"/>
      <c r="F4225" s="133"/>
      <c r="G4225" s="341"/>
      <c r="H4225" s="341"/>
    </row>
    <row r="4226" spans="1:8" x14ac:dyDescent="0.25">
      <c r="A4226" s="133"/>
      <c r="B4226" s="8"/>
      <c r="C4226" s="8"/>
      <c r="D4226" s="529"/>
      <c r="E4226" s="8"/>
      <c r="F4226" s="8"/>
      <c r="G4226" s="8"/>
      <c r="H4226" s="341"/>
    </row>
    <row r="4227" spans="1:8" ht="15.75" thickBot="1" x14ac:dyDescent="0.3">
      <c r="A4227" s="133"/>
      <c r="B4227" s="8"/>
      <c r="C4227" s="8"/>
      <c r="D4227" s="529"/>
      <c r="E4227" s="8"/>
      <c r="F4227" s="133"/>
      <c r="G4227" s="341"/>
      <c r="H4227" s="341"/>
    </row>
    <row r="4228" spans="1:8" ht="15.75" thickBot="1" x14ac:dyDescent="0.3">
      <c r="A4228" s="133"/>
      <c r="B4228" s="224" t="s">
        <v>5403</v>
      </c>
      <c r="C4228" s="193" t="s">
        <v>867</v>
      </c>
      <c r="D4228" s="951" t="s">
        <v>6</v>
      </c>
      <c r="E4228" s="193" t="s">
        <v>5439</v>
      </c>
      <c r="F4228" s="193" t="s">
        <v>5405</v>
      </c>
      <c r="G4228" s="343" t="s">
        <v>868</v>
      </c>
      <c r="H4228" s="341"/>
    </row>
    <row r="4229" spans="1:8" x14ac:dyDescent="0.25">
      <c r="A4229" s="133"/>
      <c r="B4229" s="195" t="s">
        <v>5440</v>
      </c>
      <c r="C4229" s="226" t="s">
        <v>5402</v>
      </c>
      <c r="D4229" s="212">
        <v>1</v>
      </c>
      <c r="E4229" s="227">
        <f>+H4267</f>
        <v>168719.38571428575</v>
      </c>
      <c r="F4229" s="226">
        <v>0.15</v>
      </c>
      <c r="G4229" s="229">
        <f>+E4229*F4229</f>
        <v>25307.907857142862</v>
      </c>
      <c r="H4229" s="200"/>
    </row>
    <row r="4230" spans="1:8" x14ac:dyDescent="0.25">
      <c r="A4230" s="133"/>
      <c r="B4230" s="195"/>
      <c r="C4230" s="226"/>
      <c r="D4230" s="212"/>
      <c r="E4230" s="975"/>
      <c r="F4230" s="226"/>
      <c r="G4230" s="229"/>
      <c r="H4230" s="200"/>
    </row>
    <row r="4231" spans="1:8" x14ac:dyDescent="0.25">
      <c r="A4231" s="133"/>
      <c r="B4231" s="195"/>
      <c r="C4231" s="226"/>
      <c r="D4231" s="212"/>
      <c r="E4231" s="975"/>
      <c r="F4231" s="226"/>
      <c r="G4231" s="229"/>
      <c r="H4231" s="200"/>
    </row>
    <row r="4232" spans="1:8" x14ac:dyDescent="0.25">
      <c r="A4232" s="133"/>
      <c r="B4232" s="195"/>
      <c r="C4232" s="226"/>
      <c r="D4232" s="212"/>
      <c r="E4232" s="171"/>
      <c r="F4232" s="226"/>
      <c r="G4232" s="231"/>
      <c r="H4232" s="200"/>
    </row>
    <row r="4233" spans="1:8" x14ac:dyDescent="0.25">
      <c r="A4233" s="133"/>
      <c r="B4233" s="195"/>
      <c r="C4233" s="226"/>
      <c r="D4233" s="952"/>
      <c r="E4233" s="232"/>
      <c r="F4233" s="226"/>
      <c r="G4233" s="229"/>
      <c r="H4233" s="200"/>
    </row>
    <row r="4234" spans="1:8" ht="15.75" thickBot="1" x14ac:dyDescent="0.3">
      <c r="A4234" s="133"/>
      <c r="B4234" s="195"/>
      <c r="C4234" s="226"/>
      <c r="D4234" s="952"/>
      <c r="E4234" s="232"/>
      <c r="F4234" s="226"/>
      <c r="G4234" s="229"/>
      <c r="H4234" s="200"/>
    </row>
    <row r="4235" spans="1:8" ht="15.75" thickBot="1" x14ac:dyDescent="0.3">
      <c r="A4235" s="133"/>
      <c r="B4235" s="233"/>
      <c r="C4235" s="234"/>
      <c r="D4235" s="953"/>
      <c r="E4235" s="234"/>
      <c r="F4235" s="235"/>
      <c r="G4235" s="236"/>
      <c r="H4235" s="237">
        <f>+SUM(G4229:G4235)</f>
        <v>25307.907857142862</v>
      </c>
    </row>
    <row r="4236" spans="1:8" ht="15.75" thickBot="1" x14ac:dyDescent="0.3">
      <c r="A4236" s="133"/>
      <c r="B4236" s="238"/>
      <c r="C4236" s="238"/>
      <c r="D4236" s="954"/>
      <c r="E4236" s="238"/>
      <c r="F4236" s="239"/>
      <c r="G4236" s="349"/>
      <c r="H4236" s="350"/>
    </row>
    <row r="4237" spans="1:8" ht="15.75" thickBot="1" x14ac:dyDescent="0.3">
      <c r="A4237" s="133"/>
      <c r="B4237" s="224" t="s">
        <v>5408</v>
      </c>
      <c r="C4237" s="193" t="s">
        <v>867</v>
      </c>
      <c r="D4237" s="951" t="s">
        <v>6</v>
      </c>
      <c r="E4237" s="193" t="s">
        <v>870</v>
      </c>
      <c r="F4237" s="193" t="s">
        <v>5409</v>
      </c>
      <c r="G4237" s="343" t="s">
        <v>868</v>
      </c>
      <c r="H4237" s="341"/>
    </row>
    <row r="4238" spans="1:8" x14ac:dyDescent="0.25">
      <c r="A4238" s="133"/>
      <c r="B4238" s="195"/>
      <c r="C4238" s="226"/>
      <c r="D4238" s="212"/>
      <c r="E4238" s="975"/>
      <c r="F4238" s="226"/>
      <c r="G4238" s="229"/>
      <c r="H4238" s="341"/>
    </row>
    <row r="4239" spans="1:8" x14ac:dyDescent="0.25">
      <c r="A4239" s="133"/>
      <c r="B4239" s="195"/>
      <c r="C4239" s="226"/>
      <c r="D4239" s="212"/>
      <c r="E4239" s="975"/>
      <c r="F4239" s="226"/>
      <c r="G4239" s="229"/>
      <c r="H4239" s="341"/>
    </row>
    <row r="4240" spans="1:8" x14ac:dyDescent="0.25">
      <c r="A4240" s="133"/>
      <c r="B4240" s="195"/>
      <c r="C4240" s="226"/>
      <c r="D4240" s="212"/>
      <c r="E4240" s="176"/>
      <c r="F4240" s="226"/>
      <c r="G4240" s="229"/>
      <c r="H4240" s="341"/>
    </row>
    <row r="4241" spans="1:8" x14ac:dyDescent="0.25">
      <c r="A4241" s="133"/>
      <c r="B4241" s="194"/>
      <c r="C4241" s="226"/>
      <c r="D4241" s="212"/>
      <c r="E4241" s="171"/>
      <c r="F4241" s="169"/>
      <c r="G4241" s="178"/>
      <c r="H4241" s="341"/>
    </row>
    <row r="4242" spans="1:8" x14ac:dyDescent="0.25">
      <c r="A4242" s="133"/>
      <c r="B4242" s="195"/>
      <c r="C4242" s="226"/>
      <c r="D4242" s="212"/>
      <c r="E4242" s="346"/>
      <c r="F4242" s="169"/>
      <c r="G4242" s="351"/>
      <c r="H4242" s="341"/>
    </row>
    <row r="4243" spans="1:8" x14ac:dyDescent="0.25">
      <c r="A4243" s="133"/>
      <c r="B4243" s="194"/>
      <c r="C4243" s="202"/>
      <c r="D4243" s="211"/>
      <c r="E4243" s="346"/>
      <c r="F4243" s="169"/>
      <c r="G4243" s="351"/>
      <c r="H4243" s="341"/>
    </row>
    <row r="4244" spans="1:8" x14ac:dyDescent="0.25">
      <c r="A4244" s="133"/>
      <c r="B4244" s="195"/>
      <c r="C4244" s="226"/>
      <c r="D4244" s="212"/>
      <c r="E4244" s="346"/>
      <c r="F4244" s="169"/>
      <c r="G4244" s="351"/>
      <c r="H4244" s="341"/>
    </row>
    <row r="4245" spans="1:8" x14ac:dyDescent="0.25">
      <c r="A4245" s="133"/>
      <c r="B4245" s="195"/>
      <c r="C4245" s="226"/>
      <c r="D4245" s="212"/>
      <c r="E4245" s="346"/>
      <c r="F4245" s="169"/>
      <c r="G4245" s="351"/>
      <c r="H4245" s="341"/>
    </row>
    <row r="4246" spans="1:8" x14ac:dyDescent="0.25">
      <c r="A4246" s="133"/>
      <c r="B4246" s="195"/>
      <c r="C4246" s="232"/>
      <c r="D4246" s="952"/>
      <c r="E4246" s="232"/>
      <c r="F4246" s="226"/>
      <c r="G4246" s="344"/>
      <c r="H4246" s="341"/>
    </row>
    <row r="4247" spans="1:8" x14ac:dyDescent="0.25">
      <c r="A4247" s="133"/>
      <c r="B4247" s="195"/>
      <c r="C4247" s="232"/>
      <c r="D4247" s="952"/>
      <c r="E4247" s="232"/>
      <c r="F4247" s="226"/>
      <c r="G4247" s="344"/>
      <c r="H4247" s="341"/>
    </row>
    <row r="4248" spans="1:8" x14ac:dyDescent="0.25">
      <c r="A4248" s="133"/>
      <c r="B4248" s="195"/>
      <c r="C4248" s="232"/>
      <c r="D4248" s="952"/>
      <c r="E4248" s="232"/>
      <c r="F4248" s="226"/>
      <c r="G4248" s="344"/>
      <c r="H4248" s="341"/>
    </row>
    <row r="4249" spans="1:8" ht="15.75" thickBot="1" x14ac:dyDescent="0.3">
      <c r="A4249" s="133"/>
      <c r="B4249" s="195"/>
      <c r="C4249" s="232"/>
      <c r="D4249" s="952"/>
      <c r="E4249" s="232"/>
      <c r="F4249" s="226"/>
      <c r="G4249" s="344"/>
      <c r="H4249" s="341"/>
    </row>
    <row r="4250" spans="1:8" ht="15.75" thickBot="1" x14ac:dyDescent="0.3">
      <c r="A4250" s="133"/>
      <c r="B4250" s="251"/>
      <c r="C4250" s="252"/>
      <c r="D4250" s="956"/>
      <c r="E4250" s="252"/>
      <c r="F4250" s="253"/>
      <c r="G4250" s="357"/>
      <c r="H4250" s="358">
        <f>+SUM(G4238:G4250)</f>
        <v>0</v>
      </c>
    </row>
    <row r="4251" spans="1:8" ht="15.75" thickBot="1" x14ac:dyDescent="0.3">
      <c r="A4251" s="133"/>
      <c r="B4251" s="238"/>
      <c r="C4251" s="238"/>
      <c r="D4251" s="954"/>
      <c r="E4251" s="238"/>
      <c r="F4251" s="239"/>
      <c r="G4251" s="349"/>
      <c r="H4251" s="350"/>
    </row>
    <row r="4252" spans="1:8" ht="15.75" thickBot="1" x14ac:dyDescent="0.3">
      <c r="A4252" s="133"/>
      <c r="B4252" s="224" t="s">
        <v>5410</v>
      </c>
      <c r="C4252" s="193" t="s">
        <v>867</v>
      </c>
      <c r="D4252" s="951" t="s">
        <v>6</v>
      </c>
      <c r="E4252" s="193" t="s">
        <v>870</v>
      </c>
      <c r="F4252" s="193" t="s">
        <v>5411</v>
      </c>
      <c r="G4252" s="343" t="s">
        <v>868</v>
      </c>
      <c r="H4252" s="341"/>
    </row>
    <row r="4253" spans="1:8" x14ac:dyDescent="0.25">
      <c r="A4253" s="133"/>
      <c r="B4253" s="245"/>
      <c r="C4253" s="283"/>
      <c r="D4253" s="959"/>
      <c r="E4253" s="379"/>
      <c r="F4253" s="283"/>
      <c r="G4253" s="354"/>
      <c r="H4253" s="355"/>
    </row>
    <row r="4254" spans="1:8" x14ac:dyDescent="0.25">
      <c r="A4254" s="133"/>
      <c r="B4254" s="247"/>
      <c r="C4254" s="286"/>
      <c r="D4254" s="960"/>
      <c r="E4254" s="380"/>
      <c r="F4254" s="286"/>
      <c r="G4254" s="351"/>
      <c r="H4254" s="341"/>
    </row>
    <row r="4255" spans="1:8" x14ac:dyDescent="0.25">
      <c r="A4255" s="133"/>
      <c r="B4255" s="247"/>
      <c r="C4255" s="286"/>
      <c r="D4255" s="960"/>
      <c r="E4255" s="288"/>
      <c r="F4255" s="286"/>
      <c r="G4255" s="344"/>
      <c r="H4255" s="341"/>
    </row>
    <row r="4256" spans="1:8" x14ac:dyDescent="0.25">
      <c r="A4256" s="133"/>
      <c r="B4256" s="194"/>
      <c r="C4256" s="248"/>
      <c r="D4256" s="961"/>
      <c r="E4256" s="248"/>
      <c r="F4256" s="202"/>
      <c r="G4256" s="344"/>
      <c r="H4256" s="341"/>
    </row>
    <row r="4257" spans="1:8" ht="15.75" thickBot="1" x14ac:dyDescent="0.3">
      <c r="A4257" s="133"/>
      <c r="B4257" s="195"/>
      <c r="C4257" s="232"/>
      <c r="D4257" s="952"/>
      <c r="E4257" s="232"/>
      <c r="F4257" s="226"/>
      <c r="G4257" s="344"/>
      <c r="H4257" s="341"/>
    </row>
    <row r="4258" spans="1:8" ht="15.75" thickBot="1" x14ac:dyDescent="0.3">
      <c r="A4258" s="133"/>
      <c r="B4258" s="233"/>
      <c r="C4258" s="234"/>
      <c r="D4258" s="953"/>
      <c r="E4258" s="234"/>
      <c r="F4258" s="235"/>
      <c r="G4258" s="347"/>
      <c r="H4258" s="348">
        <f>+SUM(G4253:G4258)</f>
        <v>0</v>
      </c>
    </row>
    <row r="4259" spans="1:8" ht="15.75" thickBot="1" x14ac:dyDescent="0.3">
      <c r="A4259" s="133"/>
      <c r="B4259" s="238"/>
      <c r="C4259" s="238"/>
      <c r="D4259" s="954"/>
      <c r="E4259" s="238"/>
      <c r="F4259" s="249"/>
      <c r="G4259" s="356"/>
      <c r="H4259" s="350"/>
    </row>
    <row r="4260" spans="1:8" ht="15.75" thickBot="1" x14ac:dyDescent="0.3">
      <c r="A4260" s="133"/>
      <c r="B4260" s="224" t="s">
        <v>5412</v>
      </c>
      <c r="C4260" s="193" t="s">
        <v>5420</v>
      </c>
      <c r="D4260" s="951" t="s">
        <v>5421</v>
      </c>
      <c r="E4260" s="193" t="s">
        <v>5413</v>
      </c>
      <c r="F4260" s="193" t="s">
        <v>5405</v>
      </c>
      <c r="G4260" s="343" t="s">
        <v>868</v>
      </c>
      <c r="H4260" s="341"/>
    </row>
    <row r="4261" spans="1:8" x14ac:dyDescent="0.25">
      <c r="A4261" s="133"/>
      <c r="B4261" s="194" t="s">
        <v>5948</v>
      </c>
      <c r="C4261" s="345">
        <f>+VLOOKUP($B4261,'Mano de obra'!$A$5:$D$26,2,FALSE)</f>
        <v>57455</v>
      </c>
      <c r="D4261" s="345">
        <f>+VLOOKUP($B4261,'Mano de obra'!$A$5:$D$26,3,FALSE)</f>
        <v>35656</v>
      </c>
      <c r="E4261" s="345">
        <f>+VLOOKUP($B4261,'Mano de obra'!$A$5:$D$26,4,FALSE)</f>
        <v>93111</v>
      </c>
      <c r="F4261" s="204">
        <v>10</v>
      </c>
      <c r="G4261" s="178">
        <f>+E4261/F4261</f>
        <v>9311.1</v>
      </c>
      <c r="H4261" s="200"/>
    </row>
    <row r="4262" spans="1:8" x14ac:dyDescent="0.25">
      <c r="A4262" s="133"/>
      <c r="B4262" s="194" t="s">
        <v>5949</v>
      </c>
      <c r="C4262" s="345">
        <f>+VLOOKUP($B4262,'Mano de obra'!$A$5:$D$26,2,FALSE)</f>
        <v>44263.8</v>
      </c>
      <c r="D4262" s="345">
        <f>+VLOOKUP($B4262,'Mano de obra'!$A$5:$D$26,3,FALSE)</f>
        <v>27470</v>
      </c>
      <c r="E4262" s="345">
        <f>+VLOOKUP($B4262,'Mano de obra'!$A$5:$D$26,4,FALSE)</f>
        <v>71733.8</v>
      </c>
      <c r="F4262" s="202">
        <v>0.7</v>
      </c>
      <c r="G4262" s="178">
        <f>+E4262/F4262</f>
        <v>102476.85714285716</v>
      </c>
      <c r="H4262" s="200"/>
    </row>
    <row r="4263" spans="1:8" x14ac:dyDescent="0.25">
      <c r="A4263" s="133"/>
      <c r="B4263" s="195" t="s">
        <v>5635</v>
      </c>
      <c r="C4263" s="345">
        <f>+VLOOKUP($B4263,'Mano de obra'!$A$5:$D$26,2,FALSE)</f>
        <v>24591</v>
      </c>
      <c r="D4263" s="345">
        <f>+VLOOKUP($B4263,'Mano de obra'!$A$5:$D$26,3,FALSE)</f>
        <v>15261</v>
      </c>
      <c r="E4263" s="345">
        <f>+VLOOKUP($B4263,'Mano de obra'!$A$5:$D$26,4,FALSE)</f>
        <v>39852</v>
      </c>
      <c r="F4263" s="226">
        <v>0.7</v>
      </c>
      <c r="G4263" s="178">
        <f>+E4263/F4263</f>
        <v>56931.428571428572</v>
      </c>
      <c r="H4263" s="200"/>
    </row>
    <row r="4264" spans="1:8" x14ac:dyDescent="0.25">
      <c r="A4264" s="133"/>
      <c r="B4264" s="195"/>
      <c r="C4264" s="171"/>
      <c r="D4264" s="965"/>
      <c r="E4264" s="176"/>
      <c r="F4264" s="226"/>
      <c r="G4264" s="178"/>
      <c r="H4264" s="200"/>
    </row>
    <row r="4265" spans="1:8" x14ac:dyDescent="0.25">
      <c r="A4265" s="133"/>
      <c r="B4265" s="195"/>
      <c r="C4265" s="232"/>
      <c r="D4265" s="952"/>
      <c r="E4265" s="232"/>
      <c r="F4265" s="226"/>
      <c r="G4265" s="229"/>
      <c r="H4265" s="200"/>
    </row>
    <row r="4266" spans="1:8" ht="15.75" thickBot="1" x14ac:dyDescent="0.3">
      <c r="A4266" s="133"/>
      <c r="B4266" s="195"/>
      <c r="C4266" s="232"/>
      <c r="D4266" s="952"/>
      <c r="E4266" s="232"/>
      <c r="F4266" s="226"/>
      <c r="G4266" s="229"/>
      <c r="H4266" s="200"/>
    </row>
    <row r="4267" spans="1:8" ht="15.75" thickBot="1" x14ac:dyDescent="0.3">
      <c r="A4267" s="133"/>
      <c r="B4267" s="251"/>
      <c r="C4267" s="252"/>
      <c r="D4267" s="956"/>
      <c r="E4267" s="252"/>
      <c r="F4267" s="253"/>
      <c r="G4267" s="254"/>
      <c r="H4267" s="256">
        <f>+SUM(G4261:G4267)</f>
        <v>168719.38571428575</v>
      </c>
    </row>
    <row r="4268" spans="1:8" ht="15.75" thickBot="1" x14ac:dyDescent="0.3">
      <c r="A4268" s="133"/>
      <c r="B4268" s="8"/>
      <c r="C4268" s="8"/>
      <c r="D4268" s="529"/>
      <c r="E4268" s="8"/>
      <c r="F4268" s="133"/>
      <c r="G4268" s="341"/>
      <c r="H4268" s="341"/>
    </row>
    <row r="4269" spans="1:8" ht="15.75" thickBot="1" x14ac:dyDescent="0.3">
      <c r="A4269" s="133" t="s">
        <v>6744</v>
      </c>
      <c r="B4269" s="8"/>
      <c r="C4269" s="8"/>
      <c r="D4269" s="529"/>
      <c r="E4269" s="223" t="s">
        <v>5415</v>
      </c>
      <c r="F4269" s="133"/>
      <c r="G4269" s="341"/>
      <c r="H4269" s="674">
        <f>ROUND(+H4267+H4258+H4250+H4235,0)</f>
        <v>194027</v>
      </c>
    </row>
    <row r="4270" spans="1:8" x14ac:dyDescent="0.25">
      <c r="A4270" s="1058"/>
      <c r="B4270" s="1058"/>
      <c r="C4270" s="1058"/>
      <c r="D4270" s="957"/>
      <c r="E4270" s="1058"/>
      <c r="F4270" s="1058"/>
      <c r="G4270" s="1058"/>
      <c r="H4270" s="1058"/>
    </row>
    <row r="4271" spans="1:8" x14ac:dyDescent="0.25">
      <c r="A4271" s="1058"/>
      <c r="B4271" s="1058"/>
      <c r="C4271" s="1058"/>
      <c r="D4271" s="957"/>
      <c r="E4271" s="1058"/>
      <c r="F4271" s="1058"/>
      <c r="G4271" s="1058"/>
      <c r="H4271" s="1058"/>
    </row>
    <row r="4272" spans="1:8" x14ac:dyDescent="0.25">
      <c r="A4272" s="673" t="s">
        <v>5482</v>
      </c>
      <c r="B4272" s="1390" t="str">
        <f>+VLOOKUP(C4272,ListaAPUs!$B:$E,4,FALSE)</f>
        <v>4.6.6</v>
      </c>
      <c r="C4272" s="2444" t="str">
        <f>+ListaAPUs!B135</f>
        <v>INSTALACIÓN VÁLVULA ESPECIAL DE 2" A 4" BRIDADAS</v>
      </c>
      <c r="D4272" s="2444"/>
      <c r="E4272" s="2444"/>
      <c r="F4272" s="673" t="s">
        <v>867</v>
      </c>
      <c r="G4272" s="342" t="s">
        <v>14</v>
      </c>
      <c r="H4272" s="341"/>
    </row>
    <row r="4273" spans="1:8" x14ac:dyDescent="0.25">
      <c r="A4273" s="133"/>
      <c r="B4273" s="8"/>
      <c r="C4273" s="223"/>
      <c r="D4273" s="958"/>
      <c r="E4273" s="223"/>
      <c r="F4273" s="133"/>
      <c r="G4273" s="341"/>
      <c r="H4273" s="341"/>
    </row>
    <row r="4274" spans="1:8" x14ac:dyDescent="0.25">
      <c r="A4274" s="133"/>
      <c r="B4274" s="8"/>
      <c r="C4274" s="8"/>
      <c r="D4274" s="529"/>
      <c r="E4274" s="8"/>
      <c r="F4274" s="8"/>
      <c r="G4274" s="8"/>
      <c r="H4274" s="341"/>
    </row>
    <row r="4275" spans="1:8" ht="15.75" thickBot="1" x14ac:dyDescent="0.3">
      <c r="A4275" s="133"/>
      <c r="B4275" s="8"/>
      <c r="C4275" s="8"/>
      <c r="D4275" s="529"/>
      <c r="E4275" s="8"/>
      <c r="F4275" s="133"/>
      <c r="G4275" s="341"/>
      <c r="H4275" s="341"/>
    </row>
    <row r="4276" spans="1:8" ht="15.75" thickBot="1" x14ac:dyDescent="0.3">
      <c r="A4276" s="133"/>
      <c r="B4276" s="224" t="s">
        <v>5403</v>
      </c>
      <c r="C4276" s="193" t="s">
        <v>867</v>
      </c>
      <c r="D4276" s="951" t="s">
        <v>6</v>
      </c>
      <c r="E4276" s="193" t="s">
        <v>5439</v>
      </c>
      <c r="F4276" s="193" t="s">
        <v>5405</v>
      </c>
      <c r="G4276" s="343" t="s">
        <v>868</v>
      </c>
      <c r="H4276" s="341"/>
    </row>
    <row r="4277" spans="1:8" x14ac:dyDescent="0.25">
      <c r="A4277" s="133"/>
      <c r="B4277" s="195" t="s">
        <v>5440</v>
      </c>
      <c r="C4277" s="226" t="s">
        <v>5402</v>
      </c>
      <c r="D4277" s="212">
        <v>1</v>
      </c>
      <c r="E4277" s="227">
        <f>+H4315</f>
        <v>39057.486666666664</v>
      </c>
      <c r="F4277" s="226">
        <v>0.1</v>
      </c>
      <c r="G4277" s="229">
        <f>+E4277*F4277</f>
        <v>3905.7486666666664</v>
      </c>
      <c r="H4277" s="200"/>
    </row>
    <row r="4278" spans="1:8" x14ac:dyDescent="0.25">
      <c r="A4278" s="133"/>
      <c r="B4278" s="195"/>
      <c r="C4278" s="226"/>
      <c r="D4278" s="212"/>
      <c r="E4278" s="975"/>
      <c r="F4278" s="226"/>
      <c r="G4278" s="229"/>
      <c r="H4278" s="200"/>
    </row>
    <row r="4279" spans="1:8" x14ac:dyDescent="0.25">
      <c r="A4279" s="133"/>
      <c r="B4279" s="195"/>
      <c r="C4279" s="226"/>
      <c r="D4279" s="212"/>
      <c r="E4279" s="975"/>
      <c r="F4279" s="226"/>
      <c r="G4279" s="229"/>
      <c r="H4279" s="200"/>
    </row>
    <row r="4280" spans="1:8" x14ac:dyDescent="0.25">
      <c r="A4280" s="133"/>
      <c r="B4280" s="195"/>
      <c r="C4280" s="226"/>
      <c r="D4280" s="212"/>
      <c r="E4280" s="171"/>
      <c r="F4280" s="226"/>
      <c r="G4280" s="231"/>
      <c r="H4280" s="200"/>
    </row>
    <row r="4281" spans="1:8" x14ac:dyDescent="0.25">
      <c r="A4281" s="133"/>
      <c r="B4281" s="195"/>
      <c r="C4281" s="226"/>
      <c r="D4281" s="952"/>
      <c r="E4281" s="232"/>
      <c r="F4281" s="226"/>
      <c r="G4281" s="229"/>
      <c r="H4281" s="200"/>
    </row>
    <row r="4282" spans="1:8" ht="15.75" thickBot="1" x14ac:dyDescent="0.3">
      <c r="A4282" s="133"/>
      <c r="B4282" s="195"/>
      <c r="C4282" s="226"/>
      <c r="D4282" s="952"/>
      <c r="E4282" s="232"/>
      <c r="F4282" s="226"/>
      <c r="G4282" s="229"/>
      <c r="H4282" s="200"/>
    </row>
    <row r="4283" spans="1:8" ht="15.75" thickBot="1" x14ac:dyDescent="0.3">
      <c r="A4283" s="133"/>
      <c r="B4283" s="233"/>
      <c r="C4283" s="234"/>
      <c r="D4283" s="953"/>
      <c r="E4283" s="234"/>
      <c r="F4283" s="235"/>
      <c r="G4283" s="236"/>
      <c r="H4283" s="237">
        <f>+SUM(G4277:G4283)</f>
        <v>3905.7486666666664</v>
      </c>
    </row>
    <row r="4284" spans="1:8" ht="15.75" thickBot="1" x14ac:dyDescent="0.3">
      <c r="A4284" s="133"/>
      <c r="B4284" s="238"/>
      <c r="C4284" s="238"/>
      <c r="D4284" s="954"/>
      <c r="E4284" s="238"/>
      <c r="F4284" s="239"/>
      <c r="G4284" s="349"/>
      <c r="H4284" s="350"/>
    </row>
    <row r="4285" spans="1:8" ht="15.75" thickBot="1" x14ac:dyDescent="0.3">
      <c r="A4285" s="133"/>
      <c r="B4285" s="224" t="s">
        <v>5408</v>
      </c>
      <c r="C4285" s="193" t="s">
        <v>867</v>
      </c>
      <c r="D4285" s="951" t="s">
        <v>6</v>
      </c>
      <c r="E4285" s="193" t="s">
        <v>870</v>
      </c>
      <c r="F4285" s="193" t="s">
        <v>5409</v>
      </c>
      <c r="G4285" s="343" t="s">
        <v>868</v>
      </c>
      <c r="H4285" s="341"/>
    </row>
    <row r="4286" spans="1:8" x14ac:dyDescent="0.25">
      <c r="A4286" s="133"/>
      <c r="B4286" s="195"/>
      <c r="C4286" s="226"/>
      <c r="D4286" s="212"/>
      <c r="E4286" s="975"/>
      <c r="F4286" s="226"/>
      <c r="G4286" s="229"/>
      <c r="H4286" s="341"/>
    </row>
    <row r="4287" spans="1:8" x14ac:dyDescent="0.25">
      <c r="A4287" s="133"/>
      <c r="B4287" s="195"/>
      <c r="C4287" s="226"/>
      <c r="D4287" s="212"/>
      <c r="E4287" s="975"/>
      <c r="F4287" s="226"/>
      <c r="G4287" s="229"/>
      <c r="H4287" s="341"/>
    </row>
    <row r="4288" spans="1:8" x14ac:dyDescent="0.25">
      <c r="A4288" s="133"/>
      <c r="B4288" s="195"/>
      <c r="C4288" s="226"/>
      <c r="D4288" s="212"/>
      <c r="E4288" s="176"/>
      <c r="F4288" s="226"/>
      <c r="G4288" s="229"/>
      <c r="H4288" s="341"/>
    </row>
    <row r="4289" spans="1:8" x14ac:dyDescent="0.25">
      <c r="A4289" s="133"/>
      <c r="B4289" s="194"/>
      <c r="C4289" s="226"/>
      <c r="D4289" s="212"/>
      <c r="E4289" s="171"/>
      <c r="F4289" s="169"/>
      <c r="G4289" s="178"/>
      <c r="H4289" s="341"/>
    </row>
    <row r="4290" spans="1:8" x14ac:dyDescent="0.25">
      <c r="A4290" s="133"/>
      <c r="B4290" s="195"/>
      <c r="C4290" s="226"/>
      <c r="D4290" s="212"/>
      <c r="E4290" s="346"/>
      <c r="F4290" s="169"/>
      <c r="G4290" s="351"/>
      <c r="H4290" s="341"/>
    </row>
    <row r="4291" spans="1:8" x14ac:dyDescent="0.25">
      <c r="A4291" s="133"/>
      <c r="B4291" s="194"/>
      <c r="C4291" s="202"/>
      <c r="D4291" s="211"/>
      <c r="E4291" s="346"/>
      <c r="F4291" s="169"/>
      <c r="G4291" s="351"/>
      <c r="H4291" s="341"/>
    </row>
    <row r="4292" spans="1:8" x14ac:dyDescent="0.25">
      <c r="A4292" s="133"/>
      <c r="B4292" s="195"/>
      <c r="C4292" s="226"/>
      <c r="D4292" s="212"/>
      <c r="E4292" s="346"/>
      <c r="F4292" s="169"/>
      <c r="G4292" s="351"/>
      <c r="H4292" s="341"/>
    </row>
    <row r="4293" spans="1:8" x14ac:dyDescent="0.25">
      <c r="A4293" s="133"/>
      <c r="B4293" s="195"/>
      <c r="C4293" s="226"/>
      <c r="D4293" s="212"/>
      <c r="E4293" s="346"/>
      <c r="F4293" s="169"/>
      <c r="G4293" s="351"/>
      <c r="H4293" s="341"/>
    </row>
    <row r="4294" spans="1:8" x14ac:dyDescent="0.25">
      <c r="A4294" s="133"/>
      <c r="B4294" s="195"/>
      <c r="C4294" s="232"/>
      <c r="D4294" s="952"/>
      <c r="E4294" s="232"/>
      <c r="F4294" s="226"/>
      <c r="G4294" s="344"/>
      <c r="H4294" s="341"/>
    </row>
    <row r="4295" spans="1:8" x14ac:dyDescent="0.25">
      <c r="A4295" s="133"/>
      <c r="B4295" s="195"/>
      <c r="C4295" s="232"/>
      <c r="D4295" s="952"/>
      <c r="E4295" s="232"/>
      <c r="F4295" s="226"/>
      <c r="G4295" s="344"/>
      <c r="H4295" s="341"/>
    </row>
    <row r="4296" spans="1:8" x14ac:dyDescent="0.25">
      <c r="A4296" s="133"/>
      <c r="B4296" s="195"/>
      <c r="C4296" s="232"/>
      <c r="D4296" s="952"/>
      <c r="E4296" s="232"/>
      <c r="F4296" s="226"/>
      <c r="G4296" s="344"/>
      <c r="H4296" s="341"/>
    </row>
    <row r="4297" spans="1:8" ht="15.75" thickBot="1" x14ac:dyDescent="0.3">
      <c r="A4297" s="133"/>
      <c r="B4297" s="195"/>
      <c r="C4297" s="232"/>
      <c r="D4297" s="952"/>
      <c r="E4297" s="232"/>
      <c r="F4297" s="226"/>
      <c r="G4297" s="344"/>
      <c r="H4297" s="341"/>
    </row>
    <row r="4298" spans="1:8" ht="15.75" thickBot="1" x14ac:dyDescent="0.3">
      <c r="A4298" s="133"/>
      <c r="B4298" s="251"/>
      <c r="C4298" s="252"/>
      <c r="D4298" s="956"/>
      <c r="E4298" s="252"/>
      <c r="F4298" s="253"/>
      <c r="G4298" s="357"/>
      <c r="H4298" s="358">
        <f>+SUM(G4286:G4298)</f>
        <v>0</v>
      </c>
    </row>
    <row r="4299" spans="1:8" ht="15.75" thickBot="1" x14ac:dyDescent="0.3">
      <c r="A4299" s="133"/>
      <c r="B4299" s="238"/>
      <c r="C4299" s="238"/>
      <c r="D4299" s="954"/>
      <c r="E4299" s="238"/>
      <c r="F4299" s="239"/>
      <c r="G4299" s="349"/>
      <c r="H4299" s="350"/>
    </row>
    <row r="4300" spans="1:8" ht="15.75" thickBot="1" x14ac:dyDescent="0.3">
      <c r="A4300" s="133"/>
      <c r="B4300" s="224" t="s">
        <v>5410</v>
      </c>
      <c r="C4300" s="193" t="s">
        <v>867</v>
      </c>
      <c r="D4300" s="951" t="s">
        <v>6</v>
      </c>
      <c r="E4300" s="193" t="s">
        <v>870</v>
      </c>
      <c r="F4300" s="193" t="s">
        <v>5411</v>
      </c>
      <c r="G4300" s="343" t="s">
        <v>868</v>
      </c>
      <c r="H4300" s="341"/>
    </row>
    <row r="4301" spans="1:8" x14ac:dyDescent="0.25">
      <c r="A4301" s="133"/>
      <c r="B4301" s="245"/>
      <c r="C4301" s="283"/>
      <c r="D4301" s="959"/>
      <c r="E4301" s="379"/>
      <c r="F4301" s="283"/>
      <c r="G4301" s="354"/>
      <c r="H4301" s="355"/>
    </row>
    <row r="4302" spans="1:8" x14ac:dyDescent="0.25">
      <c r="A4302" s="133"/>
      <c r="B4302" s="247"/>
      <c r="C4302" s="286"/>
      <c r="D4302" s="960"/>
      <c r="E4302" s="380"/>
      <c r="F4302" s="286"/>
      <c r="G4302" s="351"/>
      <c r="H4302" s="341"/>
    </row>
    <row r="4303" spans="1:8" x14ac:dyDescent="0.25">
      <c r="A4303" s="133"/>
      <c r="B4303" s="247"/>
      <c r="C4303" s="286"/>
      <c r="D4303" s="960"/>
      <c r="E4303" s="288"/>
      <c r="F4303" s="286"/>
      <c r="G4303" s="344"/>
      <c r="H4303" s="341"/>
    </row>
    <row r="4304" spans="1:8" x14ac:dyDescent="0.25">
      <c r="A4304" s="133"/>
      <c r="B4304" s="194"/>
      <c r="C4304" s="248"/>
      <c r="D4304" s="961"/>
      <c r="E4304" s="248"/>
      <c r="F4304" s="202"/>
      <c r="G4304" s="344"/>
      <c r="H4304" s="341"/>
    </row>
    <row r="4305" spans="1:8" ht="15.75" thickBot="1" x14ac:dyDescent="0.3">
      <c r="A4305" s="133"/>
      <c r="B4305" s="195"/>
      <c r="C4305" s="232"/>
      <c r="D4305" s="952"/>
      <c r="E4305" s="232"/>
      <c r="F4305" s="226"/>
      <c r="G4305" s="344"/>
      <c r="H4305" s="341"/>
    </row>
    <row r="4306" spans="1:8" ht="15.75" thickBot="1" x14ac:dyDescent="0.3">
      <c r="A4306" s="133"/>
      <c r="B4306" s="233"/>
      <c r="C4306" s="234"/>
      <c r="D4306" s="953"/>
      <c r="E4306" s="234"/>
      <c r="F4306" s="235"/>
      <c r="G4306" s="347"/>
      <c r="H4306" s="348">
        <f>+SUM(G4301:G4306)</f>
        <v>0</v>
      </c>
    </row>
    <row r="4307" spans="1:8" ht="15.75" thickBot="1" x14ac:dyDescent="0.3">
      <c r="A4307" s="133"/>
      <c r="B4307" s="238"/>
      <c r="C4307" s="238"/>
      <c r="D4307" s="954"/>
      <c r="E4307" s="238"/>
      <c r="F4307" s="249"/>
      <c r="G4307" s="356"/>
      <c r="H4307" s="350"/>
    </row>
    <row r="4308" spans="1:8" ht="15.75" thickBot="1" x14ac:dyDescent="0.3">
      <c r="A4308" s="133"/>
      <c r="B4308" s="224" t="s">
        <v>5412</v>
      </c>
      <c r="C4308" s="193" t="s">
        <v>5420</v>
      </c>
      <c r="D4308" s="951" t="s">
        <v>5421</v>
      </c>
      <c r="E4308" s="193" t="s">
        <v>5413</v>
      </c>
      <c r="F4308" s="193" t="s">
        <v>5405</v>
      </c>
      <c r="G4308" s="343" t="s">
        <v>868</v>
      </c>
      <c r="H4308" s="341"/>
    </row>
    <row r="4309" spans="1:8" x14ac:dyDescent="0.25">
      <c r="A4309" s="133"/>
      <c r="B4309" s="194" t="s">
        <v>5948</v>
      </c>
      <c r="C4309" s="345">
        <f>+VLOOKUP($B4309,'Mano de obra'!$A$5:$D$26,2,FALSE)</f>
        <v>57455</v>
      </c>
      <c r="D4309" s="345">
        <f>+VLOOKUP($B4309,'Mano de obra'!$A$5:$D$26,3,FALSE)</f>
        <v>35656</v>
      </c>
      <c r="E4309" s="345">
        <f>+VLOOKUP($B4309,'Mano de obra'!$A$5:$D$26,4,FALSE)</f>
        <v>93111</v>
      </c>
      <c r="F4309" s="204">
        <v>50</v>
      </c>
      <c r="G4309" s="178">
        <f>+E4309/F4309</f>
        <v>1862.22</v>
      </c>
      <c r="H4309" s="200"/>
    </row>
    <row r="4310" spans="1:8" x14ac:dyDescent="0.25">
      <c r="A4310" s="133"/>
      <c r="B4310" s="194" t="s">
        <v>5949</v>
      </c>
      <c r="C4310" s="345">
        <f>+VLOOKUP($B4310,'Mano de obra'!$A$5:$D$26,2,FALSE)</f>
        <v>44263.8</v>
      </c>
      <c r="D4310" s="345">
        <f>+VLOOKUP($B4310,'Mano de obra'!$A$5:$D$26,3,FALSE)</f>
        <v>27470</v>
      </c>
      <c r="E4310" s="345">
        <f>+VLOOKUP($B4310,'Mano de obra'!$A$5:$D$26,4,FALSE)</f>
        <v>71733.8</v>
      </c>
      <c r="F4310" s="202">
        <v>3</v>
      </c>
      <c r="G4310" s="178">
        <f>+E4310/F4310</f>
        <v>23911.266666666666</v>
      </c>
      <c r="H4310" s="200"/>
    </row>
    <row r="4311" spans="1:8" x14ac:dyDescent="0.25">
      <c r="A4311" s="133"/>
      <c r="B4311" s="195" t="s">
        <v>5635</v>
      </c>
      <c r="C4311" s="345">
        <f>+VLOOKUP($B4311,'Mano de obra'!$A$5:$D$26,2,FALSE)</f>
        <v>24591</v>
      </c>
      <c r="D4311" s="345">
        <f>+VLOOKUP($B4311,'Mano de obra'!$A$5:$D$26,3,FALSE)</f>
        <v>15261</v>
      </c>
      <c r="E4311" s="345">
        <f>+VLOOKUP($B4311,'Mano de obra'!$A$5:$D$26,4,FALSE)</f>
        <v>39852</v>
      </c>
      <c r="F4311" s="226">
        <v>3</v>
      </c>
      <c r="G4311" s="178">
        <f>+E4311/F4311</f>
        <v>13284</v>
      </c>
      <c r="H4311" s="200"/>
    </row>
    <row r="4312" spans="1:8" x14ac:dyDescent="0.25">
      <c r="A4312" s="133"/>
      <c r="B4312" s="195"/>
      <c r="C4312" s="171"/>
      <c r="D4312" s="965"/>
      <c r="E4312" s="176"/>
      <c r="F4312" s="226"/>
      <c r="G4312" s="178"/>
      <c r="H4312" s="200"/>
    </row>
    <row r="4313" spans="1:8" x14ac:dyDescent="0.25">
      <c r="A4313" s="133"/>
      <c r="B4313" s="195"/>
      <c r="C4313" s="232"/>
      <c r="D4313" s="952"/>
      <c r="E4313" s="232"/>
      <c r="F4313" s="226"/>
      <c r="G4313" s="229"/>
      <c r="H4313" s="200"/>
    </row>
    <row r="4314" spans="1:8" ht="15.75" thickBot="1" x14ac:dyDescent="0.3">
      <c r="A4314" s="133"/>
      <c r="B4314" s="195"/>
      <c r="C4314" s="232"/>
      <c r="D4314" s="952"/>
      <c r="E4314" s="232"/>
      <c r="F4314" s="226"/>
      <c r="G4314" s="229"/>
      <c r="H4314" s="200"/>
    </row>
    <row r="4315" spans="1:8" ht="15.75" thickBot="1" x14ac:dyDescent="0.3">
      <c r="A4315" s="133"/>
      <c r="B4315" s="251"/>
      <c r="C4315" s="252"/>
      <c r="D4315" s="956"/>
      <c r="E4315" s="252"/>
      <c r="F4315" s="253"/>
      <c r="G4315" s="254"/>
      <c r="H4315" s="256">
        <f>+SUM(G4309:G4315)</f>
        <v>39057.486666666664</v>
      </c>
    </row>
    <row r="4316" spans="1:8" ht="15.75" thickBot="1" x14ac:dyDescent="0.3">
      <c r="A4316" s="133"/>
      <c r="B4316" s="8"/>
      <c r="C4316" s="8"/>
      <c r="D4316" s="529"/>
      <c r="E4316" s="8"/>
      <c r="F4316" s="133"/>
      <c r="G4316" s="341"/>
      <c r="H4316" s="341"/>
    </row>
    <row r="4317" spans="1:8" ht="15.75" thickBot="1" x14ac:dyDescent="0.3">
      <c r="A4317" s="133" t="s">
        <v>6744</v>
      </c>
      <c r="B4317" s="8"/>
      <c r="C4317" s="8"/>
      <c r="D4317" s="529"/>
      <c r="E4317" s="223" t="s">
        <v>5415</v>
      </c>
      <c r="F4317" s="133"/>
      <c r="G4317" s="341"/>
      <c r="H4317" s="674">
        <f>ROUND(+H4315+H4306+H4298+H4283,0)</f>
        <v>42963</v>
      </c>
    </row>
    <row r="4318" spans="1:8" x14ac:dyDescent="0.25">
      <c r="A4318" s="1058"/>
      <c r="B4318" s="1058"/>
      <c r="C4318" s="1058"/>
      <c r="D4318" s="957"/>
      <c r="E4318" s="1058"/>
      <c r="F4318" s="1058"/>
      <c r="G4318" s="1058"/>
      <c r="H4318" s="1058"/>
    </row>
    <row r="4319" spans="1:8" x14ac:dyDescent="0.25">
      <c r="A4319" s="1058"/>
      <c r="B4319" s="1058"/>
      <c r="C4319" s="1058"/>
      <c r="D4319" s="957"/>
      <c r="E4319" s="1058"/>
      <c r="F4319" s="1058"/>
      <c r="G4319" s="1058"/>
      <c r="H4319" s="1058"/>
    </row>
    <row r="4320" spans="1:8" x14ac:dyDescent="0.25">
      <c r="A4320" s="673" t="s">
        <v>5482</v>
      </c>
      <c r="B4320" s="1390" t="str">
        <f>+VLOOKUP(C4320,ListaAPUs!$B:$E,4,FALSE)</f>
        <v>4.6.7</v>
      </c>
      <c r="C4320" s="2444" t="str">
        <f>+ListaAPUs!B136</f>
        <v>INSTALACIÓN VÁLVULA ESPECIAL DE 6" A 8" BRIDADAS</v>
      </c>
      <c r="D4320" s="2444"/>
      <c r="E4320" s="2444"/>
      <c r="F4320" s="673" t="s">
        <v>867</v>
      </c>
      <c r="G4320" s="342" t="s">
        <v>14</v>
      </c>
      <c r="H4320" s="341"/>
    </row>
    <row r="4321" spans="1:8" x14ac:dyDescent="0.25">
      <c r="A4321" s="133"/>
      <c r="B4321" s="8"/>
      <c r="C4321" s="223"/>
      <c r="D4321" s="958"/>
      <c r="E4321" s="223"/>
      <c r="F4321" s="133"/>
      <c r="G4321" s="341"/>
      <c r="H4321" s="341"/>
    </row>
    <row r="4322" spans="1:8" x14ac:dyDescent="0.25">
      <c r="A4322" s="133"/>
      <c r="B4322" s="8"/>
      <c r="C4322" s="8"/>
      <c r="D4322" s="529"/>
      <c r="E4322" s="8"/>
      <c r="F4322" s="8"/>
      <c r="G4322" s="8"/>
      <c r="H4322" s="341"/>
    </row>
    <row r="4323" spans="1:8" ht="15.75" thickBot="1" x14ac:dyDescent="0.3">
      <c r="A4323" s="133"/>
      <c r="B4323" s="8"/>
      <c r="C4323" s="8"/>
      <c r="D4323" s="529"/>
      <c r="E4323" s="8"/>
      <c r="F4323" s="133"/>
      <c r="G4323" s="341"/>
      <c r="H4323" s="341"/>
    </row>
    <row r="4324" spans="1:8" ht="15.75" thickBot="1" x14ac:dyDescent="0.3">
      <c r="A4324" s="133"/>
      <c r="B4324" s="224" t="s">
        <v>5403</v>
      </c>
      <c r="C4324" s="193" t="s">
        <v>867</v>
      </c>
      <c r="D4324" s="951" t="s">
        <v>6</v>
      </c>
      <c r="E4324" s="193" t="s">
        <v>5439</v>
      </c>
      <c r="F4324" s="193" t="s">
        <v>5405</v>
      </c>
      <c r="G4324" s="343" t="s">
        <v>868</v>
      </c>
      <c r="H4324" s="341"/>
    </row>
    <row r="4325" spans="1:8" x14ac:dyDescent="0.25">
      <c r="A4325" s="133"/>
      <c r="B4325" s="195" t="s">
        <v>5440</v>
      </c>
      <c r="C4325" s="226" t="s">
        <v>5402</v>
      </c>
      <c r="D4325" s="212">
        <v>1</v>
      </c>
      <c r="E4325" s="227">
        <f>+H4363</f>
        <v>59517.340000000004</v>
      </c>
      <c r="F4325" s="226">
        <v>0.1</v>
      </c>
      <c r="G4325" s="229">
        <f>+E4325*F4325</f>
        <v>5951.7340000000004</v>
      </c>
      <c r="H4325" s="200"/>
    </row>
    <row r="4326" spans="1:8" x14ac:dyDescent="0.25">
      <c r="A4326" s="133"/>
      <c r="B4326" s="195"/>
      <c r="C4326" s="226"/>
      <c r="D4326" s="212"/>
      <c r="E4326" s="975"/>
      <c r="F4326" s="226"/>
      <c r="G4326" s="229"/>
      <c r="H4326" s="200"/>
    </row>
    <row r="4327" spans="1:8" x14ac:dyDescent="0.25">
      <c r="A4327" s="133"/>
      <c r="B4327" s="195"/>
      <c r="C4327" s="226"/>
      <c r="D4327" s="212"/>
      <c r="E4327" s="975"/>
      <c r="F4327" s="226"/>
      <c r="G4327" s="229"/>
      <c r="H4327" s="200"/>
    </row>
    <row r="4328" spans="1:8" x14ac:dyDescent="0.25">
      <c r="A4328" s="133"/>
      <c r="B4328" s="195"/>
      <c r="C4328" s="226"/>
      <c r="D4328" s="212"/>
      <c r="E4328" s="171"/>
      <c r="F4328" s="226"/>
      <c r="G4328" s="231"/>
      <c r="H4328" s="200"/>
    </row>
    <row r="4329" spans="1:8" x14ac:dyDescent="0.25">
      <c r="A4329" s="133"/>
      <c r="B4329" s="195"/>
      <c r="C4329" s="226"/>
      <c r="D4329" s="952"/>
      <c r="E4329" s="232"/>
      <c r="F4329" s="226"/>
      <c r="G4329" s="229"/>
      <c r="H4329" s="200"/>
    </row>
    <row r="4330" spans="1:8" ht="15.75" thickBot="1" x14ac:dyDescent="0.3">
      <c r="A4330" s="133"/>
      <c r="B4330" s="195"/>
      <c r="C4330" s="226"/>
      <c r="D4330" s="952"/>
      <c r="E4330" s="232"/>
      <c r="F4330" s="226"/>
      <c r="G4330" s="229"/>
      <c r="H4330" s="200"/>
    </row>
    <row r="4331" spans="1:8" ht="15.75" thickBot="1" x14ac:dyDescent="0.3">
      <c r="A4331" s="133"/>
      <c r="B4331" s="233"/>
      <c r="C4331" s="234"/>
      <c r="D4331" s="953"/>
      <c r="E4331" s="234"/>
      <c r="F4331" s="235"/>
      <c r="G4331" s="236"/>
      <c r="H4331" s="237">
        <f>+SUM(G4325:G4331)</f>
        <v>5951.7340000000004</v>
      </c>
    </row>
    <row r="4332" spans="1:8" ht="15.75" thickBot="1" x14ac:dyDescent="0.3">
      <c r="A4332" s="133"/>
      <c r="B4332" s="238"/>
      <c r="C4332" s="238"/>
      <c r="D4332" s="954"/>
      <c r="E4332" s="238"/>
      <c r="F4332" s="239"/>
      <c r="G4332" s="349"/>
      <c r="H4332" s="350"/>
    </row>
    <row r="4333" spans="1:8" ht="15.75" thickBot="1" x14ac:dyDescent="0.3">
      <c r="A4333" s="133"/>
      <c r="B4333" s="224" t="s">
        <v>5408</v>
      </c>
      <c r="C4333" s="193" t="s">
        <v>867</v>
      </c>
      <c r="D4333" s="951" t="s">
        <v>6</v>
      </c>
      <c r="E4333" s="193" t="s">
        <v>870</v>
      </c>
      <c r="F4333" s="193" t="s">
        <v>5409</v>
      </c>
      <c r="G4333" s="343" t="s">
        <v>868</v>
      </c>
      <c r="H4333" s="341"/>
    </row>
    <row r="4334" spans="1:8" x14ac:dyDescent="0.25">
      <c r="A4334" s="133"/>
      <c r="B4334" s="195"/>
      <c r="C4334" s="226"/>
      <c r="D4334" s="212"/>
      <c r="E4334" s="975"/>
      <c r="F4334" s="226"/>
      <c r="G4334" s="229"/>
      <c r="H4334" s="341"/>
    </row>
    <row r="4335" spans="1:8" x14ac:dyDescent="0.25">
      <c r="A4335" s="133"/>
      <c r="B4335" s="195"/>
      <c r="C4335" s="226"/>
      <c r="D4335" s="212"/>
      <c r="E4335" s="975"/>
      <c r="F4335" s="226"/>
      <c r="G4335" s="229"/>
      <c r="H4335" s="341"/>
    </row>
    <row r="4336" spans="1:8" x14ac:dyDescent="0.25">
      <c r="A4336" s="133"/>
      <c r="B4336" s="195"/>
      <c r="C4336" s="226"/>
      <c r="D4336" s="212"/>
      <c r="E4336" s="176"/>
      <c r="F4336" s="226"/>
      <c r="G4336" s="229"/>
      <c r="H4336" s="341"/>
    </row>
    <row r="4337" spans="1:8" x14ac:dyDescent="0.25">
      <c r="A4337" s="133"/>
      <c r="B4337" s="194"/>
      <c r="C4337" s="226"/>
      <c r="D4337" s="212"/>
      <c r="E4337" s="171"/>
      <c r="F4337" s="169"/>
      <c r="G4337" s="178"/>
      <c r="H4337" s="341"/>
    </row>
    <row r="4338" spans="1:8" x14ac:dyDescent="0.25">
      <c r="A4338" s="133"/>
      <c r="B4338" s="195"/>
      <c r="C4338" s="226"/>
      <c r="D4338" s="212"/>
      <c r="E4338" s="346"/>
      <c r="F4338" s="169"/>
      <c r="G4338" s="351"/>
      <c r="H4338" s="341"/>
    </row>
    <row r="4339" spans="1:8" x14ac:dyDescent="0.25">
      <c r="A4339" s="133"/>
      <c r="B4339" s="194"/>
      <c r="C4339" s="202"/>
      <c r="D4339" s="211"/>
      <c r="E4339" s="346"/>
      <c r="F4339" s="169"/>
      <c r="G4339" s="351"/>
      <c r="H4339" s="341"/>
    </row>
    <row r="4340" spans="1:8" x14ac:dyDescent="0.25">
      <c r="A4340" s="133"/>
      <c r="B4340" s="195"/>
      <c r="C4340" s="226"/>
      <c r="D4340" s="212"/>
      <c r="E4340" s="346"/>
      <c r="F4340" s="169"/>
      <c r="G4340" s="351"/>
      <c r="H4340" s="341"/>
    </row>
    <row r="4341" spans="1:8" x14ac:dyDescent="0.25">
      <c r="A4341" s="133"/>
      <c r="B4341" s="195"/>
      <c r="C4341" s="226"/>
      <c r="D4341" s="212"/>
      <c r="E4341" s="346"/>
      <c r="F4341" s="169"/>
      <c r="G4341" s="351"/>
      <c r="H4341" s="341"/>
    </row>
    <row r="4342" spans="1:8" x14ac:dyDescent="0.25">
      <c r="A4342" s="133"/>
      <c r="B4342" s="195"/>
      <c r="C4342" s="232"/>
      <c r="D4342" s="952"/>
      <c r="E4342" s="232"/>
      <c r="F4342" s="226"/>
      <c r="G4342" s="344"/>
      <c r="H4342" s="341"/>
    </row>
    <row r="4343" spans="1:8" x14ac:dyDescent="0.25">
      <c r="A4343" s="133"/>
      <c r="B4343" s="195"/>
      <c r="C4343" s="232"/>
      <c r="D4343" s="952"/>
      <c r="E4343" s="232"/>
      <c r="F4343" s="226"/>
      <c r="G4343" s="344"/>
      <c r="H4343" s="341"/>
    </row>
    <row r="4344" spans="1:8" x14ac:dyDescent="0.25">
      <c r="A4344" s="133"/>
      <c r="B4344" s="195"/>
      <c r="C4344" s="232"/>
      <c r="D4344" s="952"/>
      <c r="E4344" s="232"/>
      <c r="F4344" s="226"/>
      <c r="G4344" s="344"/>
      <c r="H4344" s="341"/>
    </row>
    <row r="4345" spans="1:8" ht="15.75" thickBot="1" x14ac:dyDescent="0.3">
      <c r="A4345" s="133"/>
      <c r="B4345" s="195"/>
      <c r="C4345" s="232"/>
      <c r="D4345" s="952"/>
      <c r="E4345" s="232"/>
      <c r="F4345" s="226"/>
      <c r="G4345" s="344"/>
      <c r="H4345" s="341"/>
    </row>
    <row r="4346" spans="1:8" ht="15.75" thickBot="1" x14ac:dyDescent="0.3">
      <c r="A4346" s="133"/>
      <c r="B4346" s="251"/>
      <c r="C4346" s="252"/>
      <c r="D4346" s="956"/>
      <c r="E4346" s="252"/>
      <c r="F4346" s="253"/>
      <c r="G4346" s="357"/>
      <c r="H4346" s="358">
        <f>+SUM(G4334:G4346)</f>
        <v>0</v>
      </c>
    </row>
    <row r="4347" spans="1:8" ht="15.75" thickBot="1" x14ac:dyDescent="0.3">
      <c r="A4347" s="133"/>
      <c r="B4347" s="238"/>
      <c r="C4347" s="238"/>
      <c r="D4347" s="954"/>
      <c r="E4347" s="238"/>
      <c r="F4347" s="239"/>
      <c r="G4347" s="349"/>
      <c r="H4347" s="350"/>
    </row>
    <row r="4348" spans="1:8" ht="15.75" thickBot="1" x14ac:dyDescent="0.3">
      <c r="A4348" s="133"/>
      <c r="B4348" s="224" t="s">
        <v>5410</v>
      </c>
      <c r="C4348" s="193" t="s">
        <v>867</v>
      </c>
      <c r="D4348" s="951" t="s">
        <v>6</v>
      </c>
      <c r="E4348" s="193" t="s">
        <v>870</v>
      </c>
      <c r="F4348" s="193" t="s">
        <v>5411</v>
      </c>
      <c r="G4348" s="343" t="s">
        <v>868</v>
      </c>
      <c r="H4348" s="341"/>
    </row>
    <row r="4349" spans="1:8" x14ac:dyDescent="0.25">
      <c r="A4349" s="133"/>
      <c r="B4349" s="245"/>
      <c r="C4349" s="283"/>
      <c r="D4349" s="959"/>
      <c r="E4349" s="379"/>
      <c r="F4349" s="283"/>
      <c r="G4349" s="354"/>
      <c r="H4349" s="355"/>
    </row>
    <row r="4350" spans="1:8" x14ac:dyDescent="0.25">
      <c r="A4350" s="133"/>
      <c r="B4350" s="247"/>
      <c r="C4350" s="286"/>
      <c r="D4350" s="960"/>
      <c r="E4350" s="380"/>
      <c r="F4350" s="286"/>
      <c r="G4350" s="351"/>
      <c r="H4350" s="341"/>
    </row>
    <row r="4351" spans="1:8" x14ac:dyDescent="0.25">
      <c r="A4351" s="133"/>
      <c r="B4351" s="247"/>
      <c r="C4351" s="286"/>
      <c r="D4351" s="960"/>
      <c r="E4351" s="288"/>
      <c r="F4351" s="286"/>
      <c r="G4351" s="344"/>
      <c r="H4351" s="341"/>
    </row>
    <row r="4352" spans="1:8" x14ac:dyDescent="0.25">
      <c r="A4352" s="133"/>
      <c r="B4352" s="194"/>
      <c r="C4352" s="248"/>
      <c r="D4352" s="961"/>
      <c r="E4352" s="248"/>
      <c r="F4352" s="202"/>
      <c r="G4352" s="344"/>
      <c r="H4352" s="341"/>
    </row>
    <row r="4353" spans="1:8" ht="15.75" thickBot="1" x14ac:dyDescent="0.3">
      <c r="A4353" s="133"/>
      <c r="B4353" s="195"/>
      <c r="C4353" s="232"/>
      <c r="D4353" s="952"/>
      <c r="E4353" s="232"/>
      <c r="F4353" s="226"/>
      <c r="G4353" s="344"/>
      <c r="H4353" s="341"/>
    </row>
    <row r="4354" spans="1:8" ht="15.75" thickBot="1" x14ac:dyDescent="0.3">
      <c r="A4354" s="133"/>
      <c r="B4354" s="233"/>
      <c r="C4354" s="234"/>
      <c r="D4354" s="953"/>
      <c r="E4354" s="234"/>
      <c r="F4354" s="235"/>
      <c r="G4354" s="347"/>
      <c r="H4354" s="348">
        <f>+SUM(G4349:G4354)</f>
        <v>0</v>
      </c>
    </row>
    <row r="4355" spans="1:8" ht="15.75" thickBot="1" x14ac:dyDescent="0.3">
      <c r="A4355" s="133"/>
      <c r="B4355" s="238"/>
      <c r="C4355" s="238"/>
      <c r="D4355" s="954"/>
      <c r="E4355" s="238"/>
      <c r="F4355" s="249"/>
      <c r="G4355" s="356"/>
      <c r="H4355" s="350"/>
    </row>
    <row r="4356" spans="1:8" ht="15.75" thickBot="1" x14ac:dyDescent="0.3">
      <c r="A4356" s="133"/>
      <c r="B4356" s="224" t="s">
        <v>5412</v>
      </c>
      <c r="C4356" s="193" t="s">
        <v>5420</v>
      </c>
      <c r="D4356" s="951" t="s">
        <v>5421</v>
      </c>
      <c r="E4356" s="193" t="s">
        <v>5413</v>
      </c>
      <c r="F4356" s="193" t="s">
        <v>5405</v>
      </c>
      <c r="G4356" s="343" t="s">
        <v>868</v>
      </c>
      <c r="H4356" s="341"/>
    </row>
    <row r="4357" spans="1:8" x14ac:dyDescent="0.25">
      <c r="A4357" s="133"/>
      <c r="B4357" s="194" t="s">
        <v>5948</v>
      </c>
      <c r="C4357" s="345">
        <f>+VLOOKUP($B4357,'Mano de obra'!$A$5:$D$26,2,FALSE)</f>
        <v>57455</v>
      </c>
      <c r="D4357" s="345">
        <f>+VLOOKUP($B4357,'Mano de obra'!$A$5:$D$26,3,FALSE)</f>
        <v>35656</v>
      </c>
      <c r="E4357" s="345">
        <f>+VLOOKUP($B4357,'Mano de obra'!$A$5:$D$26,4,FALSE)</f>
        <v>93111</v>
      </c>
      <c r="F4357" s="204">
        <v>25</v>
      </c>
      <c r="G4357" s="178">
        <f>+E4357/F4357</f>
        <v>3724.44</v>
      </c>
      <c r="H4357" s="200"/>
    </row>
    <row r="4358" spans="1:8" x14ac:dyDescent="0.25">
      <c r="A4358" s="133"/>
      <c r="B4358" s="194" t="s">
        <v>5949</v>
      </c>
      <c r="C4358" s="345">
        <f>+VLOOKUP($B4358,'Mano de obra'!$A$5:$D$26,2,FALSE)</f>
        <v>44263.8</v>
      </c>
      <c r="D4358" s="345">
        <f>+VLOOKUP($B4358,'Mano de obra'!$A$5:$D$26,3,FALSE)</f>
        <v>27470</v>
      </c>
      <c r="E4358" s="345">
        <f>+VLOOKUP($B4358,'Mano de obra'!$A$5:$D$26,4,FALSE)</f>
        <v>71733.8</v>
      </c>
      <c r="F4358" s="202">
        <v>2</v>
      </c>
      <c r="G4358" s="178">
        <f>+E4358/F4358</f>
        <v>35866.9</v>
      </c>
      <c r="H4358" s="200"/>
    </row>
    <row r="4359" spans="1:8" x14ac:dyDescent="0.25">
      <c r="A4359" s="133"/>
      <c r="B4359" s="195" t="s">
        <v>5635</v>
      </c>
      <c r="C4359" s="345">
        <f>+VLOOKUP($B4359,'Mano de obra'!$A$5:$D$26,2,FALSE)</f>
        <v>24591</v>
      </c>
      <c r="D4359" s="345">
        <f>+VLOOKUP($B4359,'Mano de obra'!$A$5:$D$26,3,FALSE)</f>
        <v>15261</v>
      </c>
      <c r="E4359" s="345">
        <f>+VLOOKUP($B4359,'Mano de obra'!$A$5:$D$26,4,FALSE)</f>
        <v>39852</v>
      </c>
      <c r="F4359" s="226">
        <v>2</v>
      </c>
      <c r="G4359" s="178">
        <f>+E4359/F4359</f>
        <v>19926</v>
      </c>
      <c r="H4359" s="200"/>
    </row>
    <row r="4360" spans="1:8" x14ac:dyDescent="0.25">
      <c r="A4360" s="133"/>
      <c r="B4360" s="195"/>
      <c r="C4360" s="171"/>
      <c r="D4360" s="965"/>
      <c r="E4360" s="176"/>
      <c r="F4360" s="226"/>
      <c r="G4360" s="178"/>
      <c r="H4360" s="200"/>
    </row>
    <row r="4361" spans="1:8" x14ac:dyDescent="0.25">
      <c r="A4361" s="133"/>
      <c r="B4361" s="195"/>
      <c r="C4361" s="232"/>
      <c r="D4361" s="952"/>
      <c r="E4361" s="232"/>
      <c r="F4361" s="226"/>
      <c r="G4361" s="229"/>
      <c r="H4361" s="200"/>
    </row>
    <row r="4362" spans="1:8" ht="15.75" thickBot="1" x14ac:dyDescent="0.3">
      <c r="A4362" s="133"/>
      <c r="B4362" s="195"/>
      <c r="C4362" s="232"/>
      <c r="D4362" s="952"/>
      <c r="E4362" s="232"/>
      <c r="F4362" s="226"/>
      <c r="G4362" s="229"/>
      <c r="H4362" s="200"/>
    </row>
    <row r="4363" spans="1:8" ht="15.75" thickBot="1" x14ac:dyDescent="0.3">
      <c r="A4363" s="133"/>
      <c r="B4363" s="251"/>
      <c r="C4363" s="252"/>
      <c r="D4363" s="956"/>
      <c r="E4363" s="252"/>
      <c r="F4363" s="253"/>
      <c r="G4363" s="254"/>
      <c r="H4363" s="256">
        <f>+SUM(G4357:G4363)</f>
        <v>59517.340000000004</v>
      </c>
    </row>
    <row r="4364" spans="1:8" ht="15.75" thickBot="1" x14ac:dyDescent="0.3">
      <c r="A4364" s="133"/>
      <c r="B4364" s="8"/>
      <c r="C4364" s="8"/>
      <c r="D4364" s="529"/>
      <c r="E4364" s="8"/>
      <c r="F4364" s="133"/>
      <c r="G4364" s="341"/>
      <c r="H4364" s="341"/>
    </row>
    <row r="4365" spans="1:8" ht="15.75" thickBot="1" x14ac:dyDescent="0.3">
      <c r="A4365" s="133" t="s">
        <v>6744</v>
      </c>
      <c r="B4365" s="8"/>
      <c r="C4365" s="8"/>
      <c r="D4365" s="529"/>
      <c r="E4365" s="223" t="s">
        <v>5415</v>
      </c>
      <c r="F4365" s="133"/>
      <c r="G4365" s="341"/>
      <c r="H4365" s="674">
        <f>ROUND(+H4363+H4354+H4346+H4331,0)</f>
        <v>65469</v>
      </c>
    </row>
    <row r="4366" spans="1:8" x14ac:dyDescent="0.25">
      <c r="A4366" s="1058"/>
      <c r="B4366" s="1058"/>
      <c r="C4366" s="1058"/>
      <c r="D4366" s="957"/>
      <c r="E4366" s="1058"/>
      <c r="F4366" s="1058"/>
      <c r="G4366" s="1058"/>
      <c r="H4366" s="1058"/>
    </row>
    <row r="4367" spans="1:8" x14ac:dyDescent="0.25">
      <c r="A4367" s="1058"/>
      <c r="B4367" s="1058"/>
      <c r="C4367" s="1058"/>
      <c r="D4367" s="957"/>
      <c r="E4367" s="1058"/>
      <c r="F4367" s="1058"/>
      <c r="G4367" s="1058"/>
      <c r="H4367" s="1058"/>
    </row>
    <row r="4368" spans="1:8" x14ac:dyDescent="0.25">
      <c r="A4368" s="673" t="s">
        <v>5482</v>
      </c>
      <c r="B4368" s="1390" t="str">
        <f>+VLOOKUP(C4368,ListaAPUs!$B:$E,4,FALSE)</f>
        <v>4.6.8</v>
      </c>
      <c r="C4368" s="2444" t="str">
        <f>+ListaAPUs!B137</f>
        <v>INSTALACIÓN VÁLVULA ESPECIAL DE 10" A 12" BRIDADAS</v>
      </c>
      <c r="D4368" s="2444"/>
      <c r="E4368" s="2444"/>
      <c r="F4368" s="673" t="s">
        <v>867</v>
      </c>
      <c r="G4368" s="342" t="s">
        <v>14</v>
      </c>
      <c r="H4368" s="341"/>
    </row>
    <row r="4369" spans="1:8" x14ac:dyDescent="0.25">
      <c r="A4369" s="133"/>
      <c r="B4369" s="8"/>
      <c r="C4369" s="223"/>
      <c r="D4369" s="958"/>
      <c r="E4369" s="223"/>
      <c r="F4369" s="133"/>
      <c r="G4369" s="341"/>
      <c r="H4369" s="341"/>
    </row>
    <row r="4370" spans="1:8" x14ac:dyDescent="0.25">
      <c r="A4370" s="133"/>
      <c r="B4370" s="8"/>
      <c r="C4370" s="8"/>
      <c r="D4370" s="529"/>
      <c r="E4370" s="8"/>
      <c r="F4370" s="8"/>
      <c r="G4370" s="8"/>
      <c r="H4370" s="341"/>
    </row>
    <row r="4371" spans="1:8" ht="15.75" thickBot="1" x14ac:dyDescent="0.3">
      <c r="A4371" s="133"/>
      <c r="B4371" s="8"/>
      <c r="C4371" s="8"/>
      <c r="D4371" s="529"/>
      <c r="E4371" s="8"/>
      <c r="F4371" s="133"/>
      <c r="G4371" s="341"/>
      <c r="H4371" s="341"/>
    </row>
    <row r="4372" spans="1:8" ht="15.75" thickBot="1" x14ac:dyDescent="0.3">
      <c r="A4372" s="133"/>
      <c r="B4372" s="224" t="s">
        <v>5403</v>
      </c>
      <c r="C4372" s="193" t="s">
        <v>867</v>
      </c>
      <c r="D4372" s="951" t="s">
        <v>6</v>
      </c>
      <c r="E4372" s="193" t="s">
        <v>5439</v>
      </c>
      <c r="F4372" s="193" t="s">
        <v>5405</v>
      </c>
      <c r="G4372" s="343" t="s">
        <v>868</v>
      </c>
      <c r="H4372" s="341"/>
    </row>
    <row r="4373" spans="1:8" x14ac:dyDescent="0.25">
      <c r="A4373" s="133"/>
      <c r="B4373" s="195" t="s">
        <v>5440</v>
      </c>
      <c r="C4373" s="226" t="s">
        <v>5402</v>
      </c>
      <c r="D4373" s="212">
        <v>1</v>
      </c>
      <c r="E4373" s="227">
        <f>+H4411</f>
        <v>117793.2</v>
      </c>
      <c r="F4373" s="226">
        <v>0.1</v>
      </c>
      <c r="G4373" s="229">
        <f>+E4373*F4373</f>
        <v>11779.32</v>
      </c>
      <c r="H4373" s="200"/>
    </row>
    <row r="4374" spans="1:8" x14ac:dyDescent="0.25">
      <c r="A4374" s="133"/>
      <c r="B4374" s="195"/>
      <c r="C4374" s="226"/>
      <c r="D4374" s="212"/>
      <c r="E4374" s="975"/>
      <c r="F4374" s="226"/>
      <c r="G4374" s="229"/>
      <c r="H4374" s="200"/>
    </row>
    <row r="4375" spans="1:8" x14ac:dyDescent="0.25">
      <c r="A4375" s="133"/>
      <c r="B4375" s="195"/>
      <c r="C4375" s="226"/>
      <c r="D4375" s="212"/>
      <c r="E4375" s="975"/>
      <c r="F4375" s="226"/>
      <c r="G4375" s="229"/>
      <c r="H4375" s="200"/>
    </row>
    <row r="4376" spans="1:8" x14ac:dyDescent="0.25">
      <c r="A4376" s="133"/>
      <c r="B4376" s="195"/>
      <c r="C4376" s="226"/>
      <c r="D4376" s="212"/>
      <c r="E4376" s="171"/>
      <c r="F4376" s="226"/>
      <c r="G4376" s="231"/>
      <c r="H4376" s="200"/>
    </row>
    <row r="4377" spans="1:8" x14ac:dyDescent="0.25">
      <c r="A4377" s="133"/>
      <c r="B4377" s="195"/>
      <c r="C4377" s="226"/>
      <c r="D4377" s="952"/>
      <c r="E4377" s="232"/>
      <c r="F4377" s="226"/>
      <c r="G4377" s="229"/>
      <c r="H4377" s="200"/>
    </row>
    <row r="4378" spans="1:8" ht="15.75" thickBot="1" x14ac:dyDescent="0.3">
      <c r="A4378" s="133"/>
      <c r="B4378" s="195"/>
      <c r="C4378" s="226"/>
      <c r="D4378" s="952"/>
      <c r="E4378" s="232"/>
      <c r="F4378" s="226"/>
      <c r="G4378" s="229"/>
      <c r="H4378" s="200"/>
    </row>
    <row r="4379" spans="1:8" ht="15.75" thickBot="1" x14ac:dyDescent="0.3">
      <c r="A4379" s="133"/>
      <c r="B4379" s="233"/>
      <c r="C4379" s="234"/>
      <c r="D4379" s="953"/>
      <c r="E4379" s="234"/>
      <c r="F4379" s="235"/>
      <c r="G4379" s="236"/>
      <c r="H4379" s="237">
        <f>+SUM(G4373:G4379)</f>
        <v>11779.32</v>
      </c>
    </row>
    <row r="4380" spans="1:8" ht="15.75" thickBot="1" x14ac:dyDescent="0.3">
      <c r="A4380" s="133"/>
      <c r="B4380" s="238"/>
      <c r="C4380" s="238"/>
      <c r="D4380" s="954"/>
      <c r="E4380" s="238"/>
      <c r="F4380" s="239"/>
      <c r="G4380" s="349"/>
      <c r="H4380" s="350"/>
    </row>
    <row r="4381" spans="1:8" ht="15.75" thickBot="1" x14ac:dyDescent="0.3">
      <c r="A4381" s="133"/>
      <c r="B4381" s="224" t="s">
        <v>5408</v>
      </c>
      <c r="C4381" s="193" t="s">
        <v>867</v>
      </c>
      <c r="D4381" s="951" t="s">
        <v>6</v>
      </c>
      <c r="E4381" s="193" t="s">
        <v>870</v>
      </c>
      <c r="F4381" s="193" t="s">
        <v>5409</v>
      </c>
      <c r="G4381" s="343" t="s">
        <v>868</v>
      </c>
      <c r="H4381" s="341"/>
    </row>
    <row r="4382" spans="1:8" x14ac:dyDescent="0.25">
      <c r="A4382" s="133"/>
      <c r="B4382" s="195"/>
      <c r="C4382" s="226"/>
      <c r="D4382" s="212"/>
      <c r="E4382" s="975"/>
      <c r="F4382" s="226"/>
      <c r="G4382" s="229"/>
      <c r="H4382" s="341"/>
    </row>
    <row r="4383" spans="1:8" x14ac:dyDescent="0.25">
      <c r="A4383" s="133"/>
      <c r="B4383" s="195"/>
      <c r="C4383" s="226"/>
      <c r="D4383" s="212"/>
      <c r="E4383" s="975"/>
      <c r="F4383" s="226"/>
      <c r="G4383" s="229"/>
      <c r="H4383" s="341"/>
    </row>
    <row r="4384" spans="1:8" x14ac:dyDescent="0.25">
      <c r="A4384" s="133"/>
      <c r="B4384" s="195"/>
      <c r="C4384" s="226"/>
      <c r="D4384" s="212"/>
      <c r="E4384" s="176"/>
      <c r="F4384" s="226"/>
      <c r="G4384" s="229"/>
      <c r="H4384" s="341"/>
    </row>
    <row r="4385" spans="1:8" x14ac:dyDescent="0.25">
      <c r="A4385" s="133"/>
      <c r="B4385" s="194"/>
      <c r="C4385" s="226"/>
      <c r="D4385" s="212"/>
      <c r="E4385" s="171"/>
      <c r="F4385" s="169"/>
      <c r="G4385" s="178"/>
      <c r="H4385" s="341"/>
    </row>
    <row r="4386" spans="1:8" x14ac:dyDescent="0.25">
      <c r="A4386" s="133"/>
      <c r="B4386" s="195"/>
      <c r="C4386" s="226"/>
      <c r="D4386" s="212"/>
      <c r="E4386" s="346"/>
      <c r="F4386" s="169"/>
      <c r="G4386" s="351"/>
      <c r="H4386" s="341"/>
    </row>
    <row r="4387" spans="1:8" x14ac:dyDescent="0.25">
      <c r="A4387" s="133"/>
      <c r="B4387" s="194"/>
      <c r="C4387" s="202"/>
      <c r="D4387" s="211"/>
      <c r="E4387" s="346"/>
      <c r="F4387" s="169"/>
      <c r="G4387" s="351"/>
      <c r="H4387" s="341"/>
    </row>
    <row r="4388" spans="1:8" x14ac:dyDescent="0.25">
      <c r="A4388" s="133"/>
      <c r="B4388" s="195"/>
      <c r="C4388" s="226"/>
      <c r="D4388" s="212"/>
      <c r="E4388" s="346"/>
      <c r="F4388" s="169"/>
      <c r="G4388" s="351"/>
      <c r="H4388" s="341"/>
    </row>
    <row r="4389" spans="1:8" x14ac:dyDescent="0.25">
      <c r="A4389" s="133"/>
      <c r="B4389" s="195"/>
      <c r="C4389" s="226"/>
      <c r="D4389" s="212"/>
      <c r="E4389" s="346"/>
      <c r="F4389" s="169"/>
      <c r="G4389" s="351"/>
      <c r="H4389" s="341"/>
    </row>
    <row r="4390" spans="1:8" x14ac:dyDescent="0.25">
      <c r="A4390" s="133"/>
      <c r="B4390" s="195"/>
      <c r="C4390" s="232"/>
      <c r="D4390" s="952"/>
      <c r="E4390" s="232"/>
      <c r="F4390" s="226"/>
      <c r="G4390" s="344"/>
      <c r="H4390" s="341"/>
    </row>
    <row r="4391" spans="1:8" x14ac:dyDescent="0.25">
      <c r="A4391" s="133"/>
      <c r="B4391" s="195"/>
      <c r="C4391" s="232"/>
      <c r="D4391" s="952"/>
      <c r="E4391" s="232"/>
      <c r="F4391" s="226"/>
      <c r="G4391" s="344"/>
      <c r="H4391" s="341"/>
    </row>
    <row r="4392" spans="1:8" x14ac:dyDescent="0.25">
      <c r="A4392" s="133"/>
      <c r="B4392" s="195"/>
      <c r="C4392" s="232"/>
      <c r="D4392" s="952"/>
      <c r="E4392" s="232"/>
      <c r="F4392" s="226"/>
      <c r="G4392" s="344"/>
      <c r="H4392" s="341"/>
    </row>
    <row r="4393" spans="1:8" ht="15.75" thickBot="1" x14ac:dyDescent="0.3">
      <c r="A4393" s="133"/>
      <c r="B4393" s="195"/>
      <c r="C4393" s="232"/>
      <c r="D4393" s="952"/>
      <c r="E4393" s="232"/>
      <c r="F4393" s="226"/>
      <c r="G4393" s="344"/>
      <c r="H4393" s="341"/>
    </row>
    <row r="4394" spans="1:8" ht="15.75" thickBot="1" x14ac:dyDescent="0.3">
      <c r="A4394" s="133"/>
      <c r="B4394" s="251"/>
      <c r="C4394" s="252"/>
      <c r="D4394" s="956"/>
      <c r="E4394" s="252"/>
      <c r="F4394" s="253"/>
      <c r="G4394" s="357"/>
      <c r="H4394" s="358">
        <f>+SUM(G4382:G4394)</f>
        <v>0</v>
      </c>
    </row>
    <row r="4395" spans="1:8" ht="15.75" thickBot="1" x14ac:dyDescent="0.3">
      <c r="A4395" s="133"/>
      <c r="B4395" s="238"/>
      <c r="C4395" s="238"/>
      <c r="D4395" s="954"/>
      <c r="E4395" s="238"/>
      <c r="F4395" s="239"/>
      <c r="G4395" s="349"/>
      <c r="H4395" s="350"/>
    </row>
    <row r="4396" spans="1:8" ht="15.75" thickBot="1" x14ac:dyDescent="0.3">
      <c r="A4396" s="133"/>
      <c r="B4396" s="224" t="s">
        <v>5410</v>
      </c>
      <c r="C4396" s="193" t="s">
        <v>867</v>
      </c>
      <c r="D4396" s="951" t="s">
        <v>6</v>
      </c>
      <c r="E4396" s="193" t="s">
        <v>870</v>
      </c>
      <c r="F4396" s="193" t="s">
        <v>5411</v>
      </c>
      <c r="G4396" s="343" t="s">
        <v>868</v>
      </c>
      <c r="H4396" s="341"/>
    </row>
    <row r="4397" spans="1:8" x14ac:dyDescent="0.25">
      <c r="A4397" s="133"/>
      <c r="B4397" s="245"/>
      <c r="C4397" s="283"/>
      <c r="D4397" s="959"/>
      <c r="E4397" s="379"/>
      <c r="F4397" s="283"/>
      <c r="G4397" s="354"/>
      <c r="H4397" s="355"/>
    </row>
    <row r="4398" spans="1:8" x14ac:dyDescent="0.25">
      <c r="A4398" s="133"/>
      <c r="B4398" s="247"/>
      <c r="C4398" s="286"/>
      <c r="D4398" s="960"/>
      <c r="E4398" s="380"/>
      <c r="F4398" s="286"/>
      <c r="G4398" s="351"/>
      <c r="H4398" s="341"/>
    </row>
    <row r="4399" spans="1:8" x14ac:dyDescent="0.25">
      <c r="A4399" s="133"/>
      <c r="B4399" s="247"/>
      <c r="C4399" s="286"/>
      <c r="D4399" s="960"/>
      <c r="E4399" s="288"/>
      <c r="F4399" s="286"/>
      <c r="G4399" s="344"/>
      <c r="H4399" s="341"/>
    </row>
    <row r="4400" spans="1:8" x14ac:dyDescent="0.25">
      <c r="A4400" s="133"/>
      <c r="B4400" s="194"/>
      <c r="C4400" s="248"/>
      <c r="D4400" s="961"/>
      <c r="E4400" s="248"/>
      <c r="F4400" s="202"/>
      <c r="G4400" s="344"/>
      <c r="H4400" s="341"/>
    </row>
    <row r="4401" spans="1:8" ht="15.75" thickBot="1" x14ac:dyDescent="0.3">
      <c r="A4401" s="133"/>
      <c r="B4401" s="195"/>
      <c r="C4401" s="232"/>
      <c r="D4401" s="952"/>
      <c r="E4401" s="232"/>
      <c r="F4401" s="226"/>
      <c r="G4401" s="344"/>
      <c r="H4401" s="341"/>
    </row>
    <row r="4402" spans="1:8" ht="15.75" thickBot="1" x14ac:dyDescent="0.3">
      <c r="A4402" s="133"/>
      <c r="B4402" s="233"/>
      <c r="C4402" s="234"/>
      <c r="D4402" s="953"/>
      <c r="E4402" s="234"/>
      <c r="F4402" s="235"/>
      <c r="G4402" s="347"/>
      <c r="H4402" s="348">
        <f>+SUM(G4397:G4402)</f>
        <v>0</v>
      </c>
    </row>
    <row r="4403" spans="1:8" ht="15.75" thickBot="1" x14ac:dyDescent="0.3">
      <c r="A4403" s="133"/>
      <c r="B4403" s="238"/>
      <c r="C4403" s="238"/>
      <c r="D4403" s="954"/>
      <c r="E4403" s="238"/>
      <c r="F4403" s="249"/>
      <c r="G4403" s="356"/>
      <c r="H4403" s="350"/>
    </row>
    <row r="4404" spans="1:8" ht="15.75" thickBot="1" x14ac:dyDescent="0.3">
      <c r="A4404" s="133"/>
      <c r="B4404" s="224" t="s">
        <v>5412</v>
      </c>
      <c r="C4404" s="193" t="s">
        <v>5420</v>
      </c>
      <c r="D4404" s="951" t="s">
        <v>5421</v>
      </c>
      <c r="E4404" s="193" t="s">
        <v>5413</v>
      </c>
      <c r="F4404" s="193" t="s">
        <v>5405</v>
      </c>
      <c r="G4404" s="343" t="s">
        <v>868</v>
      </c>
      <c r="H4404" s="341"/>
    </row>
    <row r="4405" spans="1:8" x14ac:dyDescent="0.25">
      <c r="A4405" s="133"/>
      <c r="B4405" s="194" t="s">
        <v>5948</v>
      </c>
      <c r="C4405" s="345">
        <f>+VLOOKUP($B4405,'Mano de obra'!$A$5:$D$26,2,FALSE)</f>
        <v>57455</v>
      </c>
      <c r="D4405" s="345">
        <f>+VLOOKUP($B4405,'Mano de obra'!$A$5:$D$26,3,FALSE)</f>
        <v>35656</v>
      </c>
      <c r="E4405" s="345">
        <f>+VLOOKUP($B4405,'Mano de obra'!$A$5:$D$26,4,FALSE)</f>
        <v>93111</v>
      </c>
      <c r="F4405" s="204">
        <v>15</v>
      </c>
      <c r="G4405" s="178">
        <f>+E4405/F4405</f>
        <v>6207.4</v>
      </c>
      <c r="H4405" s="200"/>
    </row>
    <row r="4406" spans="1:8" x14ac:dyDescent="0.25">
      <c r="A4406" s="133"/>
      <c r="B4406" s="194" t="s">
        <v>5949</v>
      </c>
      <c r="C4406" s="345">
        <f>+VLOOKUP($B4406,'Mano de obra'!$A$5:$D$26,2,FALSE)</f>
        <v>44263.8</v>
      </c>
      <c r="D4406" s="345">
        <f>+VLOOKUP($B4406,'Mano de obra'!$A$5:$D$26,3,FALSE)</f>
        <v>27470</v>
      </c>
      <c r="E4406" s="345">
        <f>+VLOOKUP($B4406,'Mano de obra'!$A$5:$D$26,4,FALSE)</f>
        <v>71733.8</v>
      </c>
      <c r="F4406" s="202">
        <v>1</v>
      </c>
      <c r="G4406" s="178">
        <f>+E4406/F4406</f>
        <v>71733.8</v>
      </c>
      <c r="H4406" s="200"/>
    </row>
    <row r="4407" spans="1:8" x14ac:dyDescent="0.25">
      <c r="A4407" s="133"/>
      <c r="B4407" s="195" t="s">
        <v>5635</v>
      </c>
      <c r="C4407" s="345">
        <f>+VLOOKUP($B4407,'Mano de obra'!$A$5:$D$26,2,FALSE)</f>
        <v>24591</v>
      </c>
      <c r="D4407" s="345">
        <f>+VLOOKUP($B4407,'Mano de obra'!$A$5:$D$26,3,FALSE)</f>
        <v>15261</v>
      </c>
      <c r="E4407" s="345">
        <f>+VLOOKUP($B4407,'Mano de obra'!$A$5:$D$26,4,FALSE)</f>
        <v>39852</v>
      </c>
      <c r="F4407" s="226">
        <v>1</v>
      </c>
      <c r="G4407" s="178">
        <f>+E4407/F4407</f>
        <v>39852</v>
      </c>
      <c r="H4407" s="200"/>
    </row>
    <row r="4408" spans="1:8" x14ac:dyDescent="0.25">
      <c r="A4408" s="133"/>
      <c r="B4408" s="195"/>
      <c r="C4408" s="171"/>
      <c r="D4408" s="965"/>
      <c r="E4408" s="176"/>
      <c r="F4408" s="226"/>
      <c r="G4408" s="178"/>
      <c r="H4408" s="200"/>
    </row>
    <row r="4409" spans="1:8" x14ac:dyDescent="0.25">
      <c r="A4409" s="133"/>
      <c r="B4409" s="195"/>
      <c r="C4409" s="232"/>
      <c r="D4409" s="952"/>
      <c r="E4409" s="232"/>
      <c r="F4409" s="226"/>
      <c r="G4409" s="229"/>
      <c r="H4409" s="200"/>
    </row>
    <row r="4410" spans="1:8" ht="15.75" thickBot="1" x14ac:dyDescent="0.3">
      <c r="A4410" s="133"/>
      <c r="B4410" s="195"/>
      <c r="C4410" s="232"/>
      <c r="D4410" s="952"/>
      <c r="E4410" s="232"/>
      <c r="F4410" s="226"/>
      <c r="G4410" s="229"/>
      <c r="H4410" s="200"/>
    </row>
    <row r="4411" spans="1:8" ht="15.75" thickBot="1" x14ac:dyDescent="0.3">
      <c r="A4411" s="133"/>
      <c r="B4411" s="251"/>
      <c r="C4411" s="252"/>
      <c r="D4411" s="956"/>
      <c r="E4411" s="252"/>
      <c r="F4411" s="253"/>
      <c r="G4411" s="254"/>
      <c r="H4411" s="256">
        <f>+SUM(G4405:G4411)</f>
        <v>117793.2</v>
      </c>
    </row>
    <row r="4412" spans="1:8" ht="15.75" thickBot="1" x14ac:dyDescent="0.3">
      <c r="A4412" s="133"/>
      <c r="B4412" s="8"/>
      <c r="C4412" s="8"/>
      <c r="D4412" s="529"/>
      <c r="E4412" s="8"/>
      <c r="F4412" s="133"/>
      <c r="G4412" s="341"/>
      <c r="H4412" s="341"/>
    </row>
    <row r="4413" spans="1:8" ht="15.75" thickBot="1" x14ac:dyDescent="0.3">
      <c r="A4413" s="133" t="s">
        <v>6744</v>
      </c>
      <c r="B4413" s="8"/>
      <c r="C4413" s="8"/>
      <c r="D4413" s="529"/>
      <c r="E4413" s="223" t="s">
        <v>5415</v>
      </c>
      <c r="F4413" s="133"/>
      <c r="G4413" s="341"/>
      <c r="H4413" s="674">
        <f>ROUND(+H4411+H4402+H4394+H4379,0)</f>
        <v>129573</v>
      </c>
    </row>
    <row r="4414" spans="1:8" x14ac:dyDescent="0.25">
      <c r="A4414" s="1058"/>
      <c r="B4414" s="1058"/>
      <c r="C4414" s="1058"/>
      <c r="D4414" s="957"/>
      <c r="E4414" s="1058"/>
      <c r="F4414" s="1058"/>
      <c r="G4414" s="1058"/>
      <c r="H4414" s="1058"/>
    </row>
    <row r="4415" spans="1:8" x14ac:dyDescent="0.25">
      <c r="A4415" s="1058"/>
      <c r="B4415" s="1058"/>
      <c r="C4415" s="1058"/>
      <c r="D4415" s="957"/>
      <c r="E4415" s="1058"/>
      <c r="F4415" s="1058"/>
      <c r="G4415" s="1058"/>
      <c r="H4415" s="1058"/>
    </row>
    <row r="4416" spans="1:8" x14ac:dyDescent="0.25">
      <c r="A4416" s="673" t="s">
        <v>5482</v>
      </c>
      <c r="B4416" s="1390" t="str">
        <f>+VLOOKUP(C4416,ListaAPUs!$B:$E,4,FALSE)</f>
        <v>4.6.9</v>
      </c>
      <c r="C4416" s="2444" t="str">
        <f>+ListaAPUs!B138</f>
        <v>INSTALACIÓN VÁLVULA ESPECIAL DE 14" A 16" BRIDADAS</v>
      </c>
      <c r="D4416" s="2444"/>
      <c r="E4416" s="2444"/>
      <c r="F4416" s="673" t="s">
        <v>867</v>
      </c>
      <c r="G4416" s="342" t="s">
        <v>14</v>
      </c>
      <c r="H4416" s="341"/>
    </row>
    <row r="4417" spans="1:8" x14ac:dyDescent="0.25">
      <c r="A4417" s="133"/>
      <c r="B4417" s="8"/>
      <c r="C4417" s="223"/>
      <c r="D4417" s="958"/>
      <c r="E4417" s="223"/>
      <c r="F4417" s="133"/>
      <c r="G4417" s="341"/>
      <c r="H4417" s="341"/>
    </row>
    <row r="4418" spans="1:8" x14ac:dyDescent="0.25">
      <c r="A4418" s="133"/>
      <c r="B4418" s="8"/>
      <c r="C4418" s="8"/>
      <c r="D4418" s="529"/>
      <c r="E4418" s="8"/>
      <c r="F4418" s="8"/>
      <c r="G4418" s="8"/>
      <c r="H4418" s="341"/>
    </row>
    <row r="4419" spans="1:8" ht="15.75" thickBot="1" x14ac:dyDescent="0.3">
      <c r="A4419" s="133"/>
      <c r="B4419" s="8"/>
      <c r="C4419" s="8"/>
      <c r="D4419" s="529"/>
      <c r="E4419" s="8"/>
      <c r="F4419" s="133"/>
      <c r="G4419" s="341"/>
      <c r="H4419" s="341"/>
    </row>
    <row r="4420" spans="1:8" ht="15.75" thickBot="1" x14ac:dyDescent="0.3">
      <c r="A4420" s="133"/>
      <c r="B4420" s="224" t="s">
        <v>5403</v>
      </c>
      <c r="C4420" s="193" t="s">
        <v>867</v>
      </c>
      <c r="D4420" s="951" t="s">
        <v>6</v>
      </c>
      <c r="E4420" s="193" t="s">
        <v>5439</v>
      </c>
      <c r="F4420" s="193" t="s">
        <v>5405</v>
      </c>
      <c r="G4420" s="343" t="s">
        <v>868</v>
      </c>
      <c r="H4420" s="341"/>
    </row>
    <row r="4421" spans="1:8" x14ac:dyDescent="0.25">
      <c r="A4421" s="133"/>
      <c r="B4421" s="195" t="s">
        <v>5440</v>
      </c>
      <c r="C4421" s="226" t="s">
        <v>5402</v>
      </c>
      <c r="D4421" s="212">
        <v>1</v>
      </c>
      <c r="E4421" s="227">
        <f>+H4459</f>
        <v>120896.90000000001</v>
      </c>
      <c r="F4421" s="226">
        <v>0.15</v>
      </c>
      <c r="G4421" s="229">
        <f>+E4421*F4421</f>
        <v>18134.535</v>
      </c>
      <c r="H4421" s="200"/>
    </row>
    <row r="4422" spans="1:8" x14ac:dyDescent="0.25">
      <c r="A4422" s="133"/>
      <c r="B4422" s="195"/>
      <c r="C4422" s="226"/>
      <c r="D4422" s="212"/>
      <c r="E4422" s="975"/>
      <c r="F4422" s="226"/>
      <c r="G4422" s="229"/>
      <c r="H4422" s="200"/>
    </row>
    <row r="4423" spans="1:8" x14ac:dyDescent="0.25">
      <c r="A4423" s="133"/>
      <c r="B4423" s="195"/>
      <c r="C4423" s="226"/>
      <c r="D4423" s="212"/>
      <c r="E4423" s="975"/>
      <c r="F4423" s="226"/>
      <c r="G4423" s="229"/>
      <c r="H4423" s="200"/>
    </row>
    <row r="4424" spans="1:8" x14ac:dyDescent="0.25">
      <c r="A4424" s="133"/>
      <c r="B4424" s="195"/>
      <c r="C4424" s="226"/>
      <c r="D4424" s="212"/>
      <c r="E4424" s="171"/>
      <c r="F4424" s="226"/>
      <c r="G4424" s="231"/>
      <c r="H4424" s="200"/>
    </row>
    <row r="4425" spans="1:8" x14ac:dyDescent="0.25">
      <c r="A4425" s="133"/>
      <c r="B4425" s="195"/>
      <c r="C4425" s="226"/>
      <c r="D4425" s="952"/>
      <c r="E4425" s="232"/>
      <c r="F4425" s="226"/>
      <c r="G4425" s="229"/>
      <c r="H4425" s="200"/>
    </row>
    <row r="4426" spans="1:8" ht="15.75" thickBot="1" x14ac:dyDescent="0.3">
      <c r="A4426" s="133"/>
      <c r="B4426" s="195"/>
      <c r="C4426" s="226"/>
      <c r="D4426" s="952"/>
      <c r="E4426" s="232"/>
      <c r="F4426" s="226"/>
      <c r="G4426" s="229"/>
      <c r="H4426" s="200"/>
    </row>
    <row r="4427" spans="1:8" ht="15.75" thickBot="1" x14ac:dyDescent="0.3">
      <c r="A4427" s="133"/>
      <c r="B4427" s="233"/>
      <c r="C4427" s="234"/>
      <c r="D4427" s="953"/>
      <c r="E4427" s="234"/>
      <c r="F4427" s="235"/>
      <c r="G4427" s="236"/>
      <c r="H4427" s="237">
        <f>+SUM(G4421:G4427)</f>
        <v>18134.535</v>
      </c>
    </row>
    <row r="4428" spans="1:8" ht="15.75" thickBot="1" x14ac:dyDescent="0.3">
      <c r="A4428" s="133"/>
      <c r="B4428" s="238"/>
      <c r="C4428" s="238"/>
      <c r="D4428" s="954"/>
      <c r="E4428" s="238"/>
      <c r="F4428" s="239"/>
      <c r="G4428" s="349"/>
      <c r="H4428" s="350"/>
    </row>
    <row r="4429" spans="1:8" ht="15.75" thickBot="1" x14ac:dyDescent="0.3">
      <c r="A4429" s="133"/>
      <c r="B4429" s="224" t="s">
        <v>5408</v>
      </c>
      <c r="C4429" s="193" t="s">
        <v>867</v>
      </c>
      <c r="D4429" s="951" t="s">
        <v>6</v>
      </c>
      <c r="E4429" s="193" t="s">
        <v>870</v>
      </c>
      <c r="F4429" s="193" t="s">
        <v>5409</v>
      </c>
      <c r="G4429" s="343" t="s">
        <v>868</v>
      </c>
      <c r="H4429" s="341"/>
    </row>
    <row r="4430" spans="1:8" x14ac:dyDescent="0.25">
      <c r="A4430" s="133"/>
      <c r="B4430" s="195"/>
      <c r="C4430" s="226"/>
      <c r="D4430" s="212"/>
      <c r="E4430" s="975"/>
      <c r="F4430" s="226"/>
      <c r="G4430" s="229"/>
      <c r="H4430" s="341"/>
    </row>
    <row r="4431" spans="1:8" x14ac:dyDescent="0.25">
      <c r="A4431" s="133"/>
      <c r="B4431" s="195"/>
      <c r="C4431" s="226"/>
      <c r="D4431" s="212"/>
      <c r="E4431" s="975"/>
      <c r="F4431" s="226"/>
      <c r="G4431" s="229"/>
      <c r="H4431" s="341"/>
    </row>
    <row r="4432" spans="1:8" x14ac:dyDescent="0.25">
      <c r="A4432" s="133"/>
      <c r="B4432" s="195"/>
      <c r="C4432" s="226"/>
      <c r="D4432" s="212"/>
      <c r="E4432" s="176"/>
      <c r="F4432" s="226"/>
      <c r="G4432" s="229"/>
      <c r="H4432" s="341"/>
    </row>
    <row r="4433" spans="1:8" x14ac:dyDescent="0.25">
      <c r="A4433" s="133"/>
      <c r="B4433" s="194"/>
      <c r="C4433" s="226"/>
      <c r="D4433" s="212"/>
      <c r="E4433" s="171"/>
      <c r="F4433" s="169"/>
      <c r="G4433" s="178"/>
      <c r="H4433" s="341"/>
    </row>
    <row r="4434" spans="1:8" x14ac:dyDescent="0.25">
      <c r="A4434" s="133"/>
      <c r="B4434" s="195"/>
      <c r="C4434" s="226"/>
      <c r="D4434" s="212"/>
      <c r="E4434" s="346"/>
      <c r="F4434" s="169"/>
      <c r="G4434" s="351"/>
      <c r="H4434" s="341"/>
    </row>
    <row r="4435" spans="1:8" x14ac:dyDescent="0.25">
      <c r="A4435" s="133"/>
      <c r="B4435" s="194"/>
      <c r="C4435" s="202"/>
      <c r="D4435" s="211"/>
      <c r="E4435" s="346"/>
      <c r="F4435" s="169"/>
      <c r="G4435" s="351"/>
      <c r="H4435" s="341"/>
    </row>
    <row r="4436" spans="1:8" x14ac:dyDescent="0.25">
      <c r="A4436" s="133"/>
      <c r="B4436" s="195"/>
      <c r="C4436" s="226"/>
      <c r="D4436" s="212"/>
      <c r="E4436" s="346"/>
      <c r="F4436" s="169"/>
      <c r="G4436" s="351"/>
      <c r="H4436" s="341"/>
    </row>
    <row r="4437" spans="1:8" x14ac:dyDescent="0.25">
      <c r="A4437" s="133"/>
      <c r="B4437" s="195"/>
      <c r="C4437" s="226"/>
      <c r="D4437" s="212"/>
      <c r="E4437" s="346"/>
      <c r="F4437" s="169"/>
      <c r="G4437" s="351"/>
      <c r="H4437" s="341"/>
    </row>
    <row r="4438" spans="1:8" x14ac:dyDescent="0.25">
      <c r="A4438" s="133"/>
      <c r="B4438" s="195"/>
      <c r="C4438" s="232"/>
      <c r="D4438" s="952"/>
      <c r="E4438" s="232"/>
      <c r="F4438" s="226"/>
      <c r="G4438" s="344"/>
      <c r="H4438" s="341"/>
    </row>
    <row r="4439" spans="1:8" x14ac:dyDescent="0.25">
      <c r="A4439" s="133"/>
      <c r="B4439" s="195"/>
      <c r="C4439" s="232"/>
      <c r="D4439" s="952"/>
      <c r="E4439" s="232"/>
      <c r="F4439" s="226"/>
      <c r="G4439" s="344"/>
      <c r="H4439" s="341"/>
    </row>
    <row r="4440" spans="1:8" x14ac:dyDescent="0.25">
      <c r="A4440" s="133"/>
      <c r="B4440" s="195"/>
      <c r="C4440" s="232"/>
      <c r="D4440" s="952"/>
      <c r="E4440" s="232"/>
      <c r="F4440" s="226"/>
      <c r="G4440" s="344"/>
      <c r="H4440" s="341"/>
    </row>
    <row r="4441" spans="1:8" ht="15.75" thickBot="1" x14ac:dyDescent="0.3">
      <c r="A4441" s="133"/>
      <c r="B4441" s="195"/>
      <c r="C4441" s="232"/>
      <c r="D4441" s="952"/>
      <c r="E4441" s="232"/>
      <c r="F4441" s="226"/>
      <c r="G4441" s="344"/>
      <c r="H4441" s="341"/>
    </row>
    <row r="4442" spans="1:8" ht="15.75" thickBot="1" x14ac:dyDescent="0.3">
      <c r="A4442" s="133"/>
      <c r="B4442" s="251"/>
      <c r="C4442" s="252"/>
      <c r="D4442" s="956"/>
      <c r="E4442" s="252"/>
      <c r="F4442" s="253"/>
      <c r="G4442" s="357"/>
      <c r="H4442" s="358">
        <f>+SUM(G4430:G4442)</f>
        <v>0</v>
      </c>
    </row>
    <row r="4443" spans="1:8" ht="15.75" thickBot="1" x14ac:dyDescent="0.3">
      <c r="A4443" s="133"/>
      <c r="B4443" s="238"/>
      <c r="C4443" s="238"/>
      <c r="D4443" s="954"/>
      <c r="E4443" s="238"/>
      <c r="F4443" s="239"/>
      <c r="G4443" s="349"/>
      <c r="H4443" s="350"/>
    </row>
    <row r="4444" spans="1:8" ht="15.75" thickBot="1" x14ac:dyDescent="0.3">
      <c r="A4444" s="133"/>
      <c r="B4444" s="224" t="s">
        <v>5410</v>
      </c>
      <c r="C4444" s="193" t="s">
        <v>867</v>
      </c>
      <c r="D4444" s="951" t="s">
        <v>6</v>
      </c>
      <c r="E4444" s="193" t="s">
        <v>870</v>
      </c>
      <c r="F4444" s="193" t="s">
        <v>5411</v>
      </c>
      <c r="G4444" s="343" t="s">
        <v>868</v>
      </c>
      <c r="H4444" s="341"/>
    </row>
    <row r="4445" spans="1:8" x14ac:dyDescent="0.25">
      <c r="A4445" s="133"/>
      <c r="B4445" s="245"/>
      <c r="C4445" s="283"/>
      <c r="D4445" s="959"/>
      <c r="E4445" s="379"/>
      <c r="F4445" s="283"/>
      <c r="G4445" s="354"/>
      <c r="H4445" s="355"/>
    </row>
    <row r="4446" spans="1:8" x14ac:dyDescent="0.25">
      <c r="A4446" s="133"/>
      <c r="B4446" s="247"/>
      <c r="C4446" s="286"/>
      <c r="D4446" s="960"/>
      <c r="E4446" s="380"/>
      <c r="F4446" s="286"/>
      <c r="G4446" s="351"/>
      <c r="H4446" s="341"/>
    </row>
    <row r="4447" spans="1:8" x14ac:dyDescent="0.25">
      <c r="A4447" s="133"/>
      <c r="B4447" s="247"/>
      <c r="C4447" s="286"/>
      <c r="D4447" s="960"/>
      <c r="E4447" s="288"/>
      <c r="F4447" s="286"/>
      <c r="G4447" s="344"/>
      <c r="H4447" s="341"/>
    </row>
    <row r="4448" spans="1:8" x14ac:dyDescent="0.25">
      <c r="A4448" s="133"/>
      <c r="B4448" s="194"/>
      <c r="C4448" s="248"/>
      <c r="D4448" s="961"/>
      <c r="E4448" s="248"/>
      <c r="F4448" s="202"/>
      <c r="G4448" s="344"/>
      <c r="H4448" s="341"/>
    </row>
    <row r="4449" spans="1:8" ht="15.75" thickBot="1" x14ac:dyDescent="0.3">
      <c r="A4449" s="133"/>
      <c r="B4449" s="195"/>
      <c r="C4449" s="232"/>
      <c r="D4449" s="952"/>
      <c r="E4449" s="232"/>
      <c r="F4449" s="226"/>
      <c r="G4449" s="344"/>
      <c r="H4449" s="341"/>
    </row>
    <row r="4450" spans="1:8" ht="15.75" thickBot="1" x14ac:dyDescent="0.3">
      <c r="A4450" s="133"/>
      <c r="B4450" s="233"/>
      <c r="C4450" s="234"/>
      <c r="D4450" s="953"/>
      <c r="E4450" s="234"/>
      <c r="F4450" s="235"/>
      <c r="G4450" s="347"/>
      <c r="H4450" s="348">
        <f>+SUM(G4445:G4450)</f>
        <v>0</v>
      </c>
    </row>
    <row r="4451" spans="1:8" ht="15.75" thickBot="1" x14ac:dyDescent="0.3">
      <c r="A4451" s="133"/>
      <c r="B4451" s="238"/>
      <c r="C4451" s="238"/>
      <c r="D4451" s="954"/>
      <c r="E4451" s="238"/>
      <c r="F4451" s="249"/>
      <c r="G4451" s="356"/>
      <c r="H4451" s="350"/>
    </row>
    <row r="4452" spans="1:8" ht="15.75" thickBot="1" x14ac:dyDescent="0.3">
      <c r="A4452" s="133"/>
      <c r="B4452" s="224" t="s">
        <v>5412</v>
      </c>
      <c r="C4452" s="193" t="s">
        <v>5420</v>
      </c>
      <c r="D4452" s="951" t="s">
        <v>5421</v>
      </c>
      <c r="E4452" s="193" t="s">
        <v>5413</v>
      </c>
      <c r="F4452" s="193" t="s">
        <v>5405</v>
      </c>
      <c r="G4452" s="343" t="s">
        <v>868</v>
      </c>
      <c r="H4452" s="341"/>
    </row>
    <row r="4453" spans="1:8" x14ac:dyDescent="0.25">
      <c r="A4453" s="133"/>
      <c r="B4453" s="194" t="s">
        <v>5948</v>
      </c>
      <c r="C4453" s="345">
        <f>+VLOOKUP($B4453,'Mano de obra'!$A$5:$D$26,2,FALSE)</f>
        <v>57455</v>
      </c>
      <c r="D4453" s="345">
        <f>+VLOOKUP($B4453,'Mano de obra'!$A$5:$D$26,3,FALSE)</f>
        <v>35656</v>
      </c>
      <c r="E4453" s="345">
        <f>+VLOOKUP($B4453,'Mano de obra'!$A$5:$D$26,4,FALSE)</f>
        <v>93111</v>
      </c>
      <c r="F4453" s="204">
        <v>10</v>
      </c>
      <c r="G4453" s="178">
        <f>+E4453/F4453</f>
        <v>9311.1</v>
      </c>
      <c r="H4453" s="200"/>
    </row>
    <row r="4454" spans="1:8" x14ac:dyDescent="0.25">
      <c r="A4454" s="133"/>
      <c r="B4454" s="194" t="s">
        <v>5949</v>
      </c>
      <c r="C4454" s="345">
        <f>+VLOOKUP($B4454,'Mano de obra'!$A$5:$D$26,2,FALSE)</f>
        <v>44263.8</v>
      </c>
      <c r="D4454" s="345">
        <f>+VLOOKUP($B4454,'Mano de obra'!$A$5:$D$26,3,FALSE)</f>
        <v>27470</v>
      </c>
      <c r="E4454" s="345">
        <f>+VLOOKUP($B4454,'Mano de obra'!$A$5:$D$26,4,FALSE)</f>
        <v>71733.8</v>
      </c>
      <c r="F4454" s="202">
        <v>1</v>
      </c>
      <c r="G4454" s="178">
        <f>+E4454/F4454</f>
        <v>71733.8</v>
      </c>
      <c r="H4454" s="200"/>
    </row>
    <row r="4455" spans="1:8" x14ac:dyDescent="0.25">
      <c r="A4455" s="133"/>
      <c r="B4455" s="195" t="s">
        <v>5635</v>
      </c>
      <c r="C4455" s="345">
        <f>+VLOOKUP($B4455,'Mano de obra'!$A$5:$D$26,2,FALSE)</f>
        <v>24591</v>
      </c>
      <c r="D4455" s="345">
        <f>+VLOOKUP($B4455,'Mano de obra'!$A$5:$D$26,3,FALSE)</f>
        <v>15261</v>
      </c>
      <c r="E4455" s="345">
        <f>+VLOOKUP($B4455,'Mano de obra'!$A$5:$D$26,4,FALSE)</f>
        <v>39852</v>
      </c>
      <c r="F4455" s="226">
        <v>1</v>
      </c>
      <c r="G4455" s="178">
        <f>+E4455/F4455</f>
        <v>39852</v>
      </c>
      <c r="H4455" s="200"/>
    </row>
    <row r="4456" spans="1:8" x14ac:dyDescent="0.25">
      <c r="A4456" s="133"/>
      <c r="B4456" s="195"/>
      <c r="C4456" s="171"/>
      <c r="D4456" s="965"/>
      <c r="E4456" s="176"/>
      <c r="F4456" s="226"/>
      <c r="G4456" s="178"/>
      <c r="H4456" s="200"/>
    </row>
    <row r="4457" spans="1:8" x14ac:dyDescent="0.25">
      <c r="A4457" s="133"/>
      <c r="B4457" s="195"/>
      <c r="C4457" s="232"/>
      <c r="D4457" s="952"/>
      <c r="E4457" s="232"/>
      <c r="F4457" s="226"/>
      <c r="G4457" s="229"/>
      <c r="H4457" s="200"/>
    </row>
    <row r="4458" spans="1:8" ht="15.75" thickBot="1" x14ac:dyDescent="0.3">
      <c r="A4458" s="133"/>
      <c r="B4458" s="195"/>
      <c r="C4458" s="232"/>
      <c r="D4458" s="952"/>
      <c r="E4458" s="232"/>
      <c r="F4458" s="226"/>
      <c r="G4458" s="229"/>
      <c r="H4458" s="200"/>
    </row>
    <row r="4459" spans="1:8" ht="15.75" thickBot="1" x14ac:dyDescent="0.3">
      <c r="A4459" s="133"/>
      <c r="B4459" s="251"/>
      <c r="C4459" s="252"/>
      <c r="D4459" s="956"/>
      <c r="E4459" s="252"/>
      <c r="F4459" s="253"/>
      <c r="G4459" s="254"/>
      <c r="H4459" s="256">
        <f>+SUM(G4453:G4459)</f>
        <v>120896.90000000001</v>
      </c>
    </row>
    <row r="4460" spans="1:8" ht="15.75" thickBot="1" x14ac:dyDescent="0.3">
      <c r="A4460" s="133"/>
      <c r="B4460" s="8"/>
      <c r="C4460" s="8"/>
      <c r="D4460" s="529"/>
      <c r="E4460" s="8"/>
      <c r="F4460" s="133"/>
      <c r="G4460" s="341"/>
      <c r="H4460" s="341"/>
    </row>
    <row r="4461" spans="1:8" ht="15.75" thickBot="1" x14ac:dyDescent="0.3">
      <c r="A4461" s="133" t="s">
        <v>6744</v>
      </c>
      <c r="B4461" s="8"/>
      <c r="C4461" s="8"/>
      <c r="D4461" s="529"/>
      <c r="E4461" s="223" t="s">
        <v>5415</v>
      </c>
      <c r="F4461" s="133"/>
      <c r="G4461" s="341"/>
      <c r="H4461" s="674">
        <f>ROUND(+H4459+H4450+H4442+H4427,0)</f>
        <v>139031</v>
      </c>
    </row>
    <row r="4462" spans="1:8" x14ac:dyDescent="0.25">
      <c r="A4462" s="1058"/>
      <c r="B4462" s="1058"/>
      <c r="C4462" s="1058"/>
      <c r="D4462" s="957"/>
      <c r="E4462" s="1058"/>
      <c r="F4462" s="1058"/>
      <c r="G4462" s="1058"/>
      <c r="H4462" s="1058"/>
    </row>
    <row r="4463" spans="1:8" x14ac:dyDescent="0.25">
      <c r="A4463" s="1058"/>
      <c r="B4463" s="1058"/>
      <c r="C4463" s="1058"/>
      <c r="D4463" s="957"/>
      <c r="E4463" s="1058"/>
      <c r="F4463" s="1058"/>
      <c r="G4463" s="1058"/>
      <c r="H4463" s="1058"/>
    </row>
    <row r="4464" spans="1:8" x14ac:dyDescent="0.25">
      <c r="A4464" s="673" t="s">
        <v>5482</v>
      </c>
      <c r="B4464" s="1390" t="str">
        <f>+VLOOKUP(C4464,ListaAPUs!$B:$E,4,FALSE)</f>
        <v>4.6.10</v>
      </c>
      <c r="C4464" s="2444" t="str">
        <f>+ListaAPUs!B139</f>
        <v>INSTALACIÓN VÁLVULA ESPECIAL DE 18" A 20" BRIDADAS</v>
      </c>
      <c r="D4464" s="2444"/>
      <c r="E4464" s="2444"/>
      <c r="F4464" s="673" t="s">
        <v>867</v>
      </c>
      <c r="G4464" s="342" t="s">
        <v>14</v>
      </c>
      <c r="H4464" s="341"/>
    </row>
    <row r="4465" spans="1:8" x14ac:dyDescent="0.25">
      <c r="A4465" s="133"/>
      <c r="B4465" s="8"/>
      <c r="C4465" s="223"/>
      <c r="D4465" s="958"/>
      <c r="E4465" s="223"/>
      <c r="F4465" s="133"/>
      <c r="G4465" s="341"/>
      <c r="H4465" s="341"/>
    </row>
    <row r="4466" spans="1:8" x14ac:dyDescent="0.25">
      <c r="A4466" s="133"/>
      <c r="B4466" s="8"/>
      <c r="C4466" s="8"/>
      <c r="D4466" s="529"/>
      <c r="E4466" s="8"/>
      <c r="F4466" s="8"/>
      <c r="G4466" s="8"/>
      <c r="H4466" s="341"/>
    </row>
    <row r="4467" spans="1:8" ht="15.75" thickBot="1" x14ac:dyDescent="0.3">
      <c r="A4467" s="133"/>
      <c r="B4467" s="8"/>
      <c r="C4467" s="8"/>
      <c r="D4467" s="529"/>
      <c r="E4467" s="8"/>
      <c r="F4467" s="133"/>
      <c r="G4467" s="341"/>
      <c r="H4467" s="341"/>
    </row>
    <row r="4468" spans="1:8" ht="15.75" thickBot="1" x14ac:dyDescent="0.3">
      <c r="A4468" s="133"/>
      <c r="B4468" s="224" t="s">
        <v>5403</v>
      </c>
      <c r="C4468" s="193" t="s">
        <v>867</v>
      </c>
      <c r="D4468" s="951" t="s">
        <v>6</v>
      </c>
      <c r="E4468" s="193" t="s">
        <v>5439</v>
      </c>
      <c r="F4468" s="193" t="s">
        <v>5405</v>
      </c>
      <c r="G4468" s="343" t="s">
        <v>868</v>
      </c>
      <c r="H4468" s="341"/>
    </row>
    <row r="4469" spans="1:8" x14ac:dyDescent="0.25">
      <c r="A4469" s="133"/>
      <c r="B4469" s="195" t="s">
        <v>5440</v>
      </c>
      <c r="C4469" s="226" t="s">
        <v>5402</v>
      </c>
      <c r="D4469" s="212">
        <v>1</v>
      </c>
      <c r="E4469" s="227">
        <f>+H4507</f>
        <v>168719.38571428575</v>
      </c>
      <c r="F4469" s="226">
        <v>0.15</v>
      </c>
      <c r="G4469" s="229">
        <f>+E4469*F4469</f>
        <v>25307.907857142862</v>
      </c>
      <c r="H4469" s="200"/>
    </row>
    <row r="4470" spans="1:8" x14ac:dyDescent="0.25">
      <c r="A4470" s="133"/>
      <c r="B4470" s="195"/>
      <c r="C4470" s="226"/>
      <c r="D4470" s="212"/>
      <c r="E4470" s="975"/>
      <c r="F4470" s="226"/>
      <c r="G4470" s="229"/>
      <c r="H4470" s="200"/>
    </row>
    <row r="4471" spans="1:8" x14ac:dyDescent="0.25">
      <c r="A4471" s="133"/>
      <c r="B4471" s="195"/>
      <c r="C4471" s="226"/>
      <c r="D4471" s="212"/>
      <c r="E4471" s="975"/>
      <c r="F4471" s="226"/>
      <c r="G4471" s="229"/>
      <c r="H4471" s="200"/>
    </row>
    <row r="4472" spans="1:8" x14ac:dyDescent="0.25">
      <c r="A4472" s="133"/>
      <c r="B4472" s="195"/>
      <c r="C4472" s="226"/>
      <c r="D4472" s="212"/>
      <c r="E4472" s="171"/>
      <c r="F4472" s="226"/>
      <c r="G4472" s="231"/>
      <c r="H4472" s="200"/>
    </row>
    <row r="4473" spans="1:8" x14ac:dyDescent="0.25">
      <c r="A4473" s="133"/>
      <c r="B4473" s="195"/>
      <c r="C4473" s="226"/>
      <c r="D4473" s="952"/>
      <c r="E4473" s="232"/>
      <c r="F4473" s="226"/>
      <c r="G4473" s="229"/>
      <c r="H4473" s="200"/>
    </row>
    <row r="4474" spans="1:8" ht="15.75" thickBot="1" x14ac:dyDescent="0.3">
      <c r="A4474" s="133"/>
      <c r="B4474" s="195"/>
      <c r="C4474" s="226"/>
      <c r="D4474" s="952"/>
      <c r="E4474" s="232"/>
      <c r="F4474" s="226"/>
      <c r="G4474" s="229"/>
      <c r="H4474" s="200"/>
    </row>
    <row r="4475" spans="1:8" ht="15.75" thickBot="1" x14ac:dyDescent="0.3">
      <c r="A4475" s="133"/>
      <c r="B4475" s="233"/>
      <c r="C4475" s="234"/>
      <c r="D4475" s="953"/>
      <c r="E4475" s="234"/>
      <c r="F4475" s="235"/>
      <c r="G4475" s="236"/>
      <c r="H4475" s="237">
        <f>+SUM(G4469:G4475)</f>
        <v>25307.907857142862</v>
      </c>
    </row>
    <row r="4476" spans="1:8" ht="15.75" thickBot="1" x14ac:dyDescent="0.3">
      <c r="A4476" s="133"/>
      <c r="B4476" s="238"/>
      <c r="C4476" s="238"/>
      <c r="D4476" s="954"/>
      <c r="E4476" s="238"/>
      <c r="F4476" s="239"/>
      <c r="G4476" s="349"/>
      <c r="H4476" s="350"/>
    </row>
    <row r="4477" spans="1:8" ht="15.75" thickBot="1" x14ac:dyDescent="0.3">
      <c r="A4477" s="133"/>
      <c r="B4477" s="224" t="s">
        <v>5408</v>
      </c>
      <c r="C4477" s="193" t="s">
        <v>867</v>
      </c>
      <c r="D4477" s="951" t="s">
        <v>6</v>
      </c>
      <c r="E4477" s="193" t="s">
        <v>870</v>
      </c>
      <c r="F4477" s="193" t="s">
        <v>5409</v>
      </c>
      <c r="G4477" s="343" t="s">
        <v>868</v>
      </c>
      <c r="H4477" s="341"/>
    </row>
    <row r="4478" spans="1:8" x14ac:dyDescent="0.25">
      <c r="A4478" s="133"/>
      <c r="B4478" s="195"/>
      <c r="C4478" s="226"/>
      <c r="D4478" s="212"/>
      <c r="E4478" s="975"/>
      <c r="F4478" s="226"/>
      <c r="G4478" s="229"/>
      <c r="H4478" s="341"/>
    </row>
    <row r="4479" spans="1:8" x14ac:dyDescent="0.25">
      <c r="A4479" s="133"/>
      <c r="B4479" s="195"/>
      <c r="C4479" s="226"/>
      <c r="D4479" s="212"/>
      <c r="E4479" s="975"/>
      <c r="F4479" s="226"/>
      <c r="G4479" s="229"/>
      <c r="H4479" s="341"/>
    </row>
    <row r="4480" spans="1:8" x14ac:dyDescent="0.25">
      <c r="A4480" s="133"/>
      <c r="B4480" s="195"/>
      <c r="C4480" s="226"/>
      <c r="D4480" s="212"/>
      <c r="E4480" s="176"/>
      <c r="F4480" s="226"/>
      <c r="G4480" s="229"/>
      <c r="H4480" s="341"/>
    </row>
    <row r="4481" spans="1:8" x14ac:dyDescent="0.25">
      <c r="A4481" s="133"/>
      <c r="B4481" s="194"/>
      <c r="C4481" s="226"/>
      <c r="D4481" s="212"/>
      <c r="E4481" s="171"/>
      <c r="F4481" s="169"/>
      <c r="G4481" s="178"/>
      <c r="H4481" s="341"/>
    </row>
    <row r="4482" spans="1:8" x14ac:dyDescent="0.25">
      <c r="A4482" s="133"/>
      <c r="B4482" s="195"/>
      <c r="C4482" s="226"/>
      <c r="D4482" s="212"/>
      <c r="E4482" s="346"/>
      <c r="F4482" s="169"/>
      <c r="G4482" s="351"/>
      <c r="H4482" s="341"/>
    </row>
    <row r="4483" spans="1:8" x14ac:dyDescent="0.25">
      <c r="A4483" s="133"/>
      <c r="B4483" s="194"/>
      <c r="C4483" s="202"/>
      <c r="D4483" s="211"/>
      <c r="E4483" s="346"/>
      <c r="F4483" s="169"/>
      <c r="G4483" s="351"/>
      <c r="H4483" s="341"/>
    </row>
    <row r="4484" spans="1:8" x14ac:dyDescent="0.25">
      <c r="A4484" s="133"/>
      <c r="B4484" s="195"/>
      <c r="C4484" s="226"/>
      <c r="D4484" s="212"/>
      <c r="E4484" s="346"/>
      <c r="F4484" s="169"/>
      <c r="G4484" s="351"/>
      <c r="H4484" s="341"/>
    </row>
    <row r="4485" spans="1:8" x14ac:dyDescent="0.25">
      <c r="A4485" s="133"/>
      <c r="B4485" s="195"/>
      <c r="C4485" s="226"/>
      <c r="D4485" s="212"/>
      <c r="E4485" s="346"/>
      <c r="F4485" s="169"/>
      <c r="G4485" s="351"/>
      <c r="H4485" s="341"/>
    </row>
    <row r="4486" spans="1:8" x14ac:dyDescent="0.25">
      <c r="A4486" s="133"/>
      <c r="B4486" s="195"/>
      <c r="C4486" s="232"/>
      <c r="D4486" s="952"/>
      <c r="E4486" s="232"/>
      <c r="F4486" s="226"/>
      <c r="G4486" s="344"/>
      <c r="H4486" s="341"/>
    </row>
    <row r="4487" spans="1:8" x14ac:dyDescent="0.25">
      <c r="A4487" s="133"/>
      <c r="B4487" s="195"/>
      <c r="C4487" s="232"/>
      <c r="D4487" s="952"/>
      <c r="E4487" s="232"/>
      <c r="F4487" s="226"/>
      <c r="G4487" s="344"/>
      <c r="H4487" s="341"/>
    </row>
    <row r="4488" spans="1:8" x14ac:dyDescent="0.25">
      <c r="A4488" s="133"/>
      <c r="B4488" s="195"/>
      <c r="C4488" s="232"/>
      <c r="D4488" s="952"/>
      <c r="E4488" s="232"/>
      <c r="F4488" s="226"/>
      <c r="G4488" s="344"/>
      <c r="H4488" s="341"/>
    </row>
    <row r="4489" spans="1:8" ht="15.75" thickBot="1" x14ac:dyDescent="0.3">
      <c r="A4489" s="133"/>
      <c r="B4489" s="195"/>
      <c r="C4489" s="232"/>
      <c r="D4489" s="952"/>
      <c r="E4489" s="232"/>
      <c r="F4489" s="226"/>
      <c r="G4489" s="344"/>
      <c r="H4489" s="341"/>
    </row>
    <row r="4490" spans="1:8" ht="15.75" thickBot="1" x14ac:dyDescent="0.3">
      <c r="A4490" s="133"/>
      <c r="B4490" s="251"/>
      <c r="C4490" s="252"/>
      <c r="D4490" s="956"/>
      <c r="E4490" s="252"/>
      <c r="F4490" s="253"/>
      <c r="G4490" s="357"/>
      <c r="H4490" s="358">
        <f>+SUM(G4478:G4490)</f>
        <v>0</v>
      </c>
    </row>
    <row r="4491" spans="1:8" ht="15.75" thickBot="1" x14ac:dyDescent="0.3">
      <c r="A4491" s="133"/>
      <c r="B4491" s="238"/>
      <c r="C4491" s="238"/>
      <c r="D4491" s="954"/>
      <c r="E4491" s="238"/>
      <c r="F4491" s="239"/>
      <c r="G4491" s="349"/>
      <c r="H4491" s="350"/>
    </row>
    <row r="4492" spans="1:8" ht="15.75" thickBot="1" x14ac:dyDescent="0.3">
      <c r="A4492" s="133"/>
      <c r="B4492" s="224" t="s">
        <v>5410</v>
      </c>
      <c r="C4492" s="193" t="s">
        <v>867</v>
      </c>
      <c r="D4492" s="951" t="s">
        <v>6</v>
      </c>
      <c r="E4492" s="193" t="s">
        <v>870</v>
      </c>
      <c r="F4492" s="193" t="s">
        <v>5411</v>
      </c>
      <c r="G4492" s="343" t="s">
        <v>868</v>
      </c>
      <c r="H4492" s="341"/>
    </row>
    <row r="4493" spans="1:8" x14ac:dyDescent="0.25">
      <c r="A4493" s="133"/>
      <c r="B4493" s="245"/>
      <c r="C4493" s="283"/>
      <c r="D4493" s="959"/>
      <c r="E4493" s="379"/>
      <c r="F4493" s="283"/>
      <c r="G4493" s="354"/>
      <c r="H4493" s="355"/>
    </row>
    <row r="4494" spans="1:8" x14ac:dyDescent="0.25">
      <c r="A4494" s="133"/>
      <c r="B4494" s="247"/>
      <c r="C4494" s="286"/>
      <c r="D4494" s="960"/>
      <c r="E4494" s="380"/>
      <c r="F4494" s="286"/>
      <c r="G4494" s="351"/>
      <c r="H4494" s="341"/>
    </row>
    <row r="4495" spans="1:8" x14ac:dyDescent="0.25">
      <c r="A4495" s="133"/>
      <c r="B4495" s="247"/>
      <c r="C4495" s="286"/>
      <c r="D4495" s="960"/>
      <c r="E4495" s="288"/>
      <c r="F4495" s="286"/>
      <c r="G4495" s="344"/>
      <c r="H4495" s="341"/>
    </row>
    <row r="4496" spans="1:8" x14ac:dyDescent="0.25">
      <c r="A4496" s="133"/>
      <c r="B4496" s="194"/>
      <c r="C4496" s="248"/>
      <c r="D4496" s="961"/>
      <c r="E4496" s="248"/>
      <c r="F4496" s="202"/>
      <c r="G4496" s="344"/>
      <c r="H4496" s="341"/>
    </row>
    <row r="4497" spans="1:8" ht="15.75" thickBot="1" x14ac:dyDescent="0.3">
      <c r="A4497" s="133"/>
      <c r="B4497" s="195"/>
      <c r="C4497" s="232"/>
      <c r="D4497" s="952"/>
      <c r="E4497" s="232"/>
      <c r="F4497" s="226"/>
      <c r="G4497" s="344"/>
      <c r="H4497" s="341"/>
    </row>
    <row r="4498" spans="1:8" ht="15.75" thickBot="1" x14ac:dyDescent="0.3">
      <c r="A4498" s="133"/>
      <c r="B4498" s="233"/>
      <c r="C4498" s="234"/>
      <c r="D4498" s="953"/>
      <c r="E4498" s="234"/>
      <c r="F4498" s="235"/>
      <c r="G4498" s="347"/>
      <c r="H4498" s="348">
        <f>+SUM(G4493:G4498)</f>
        <v>0</v>
      </c>
    </row>
    <row r="4499" spans="1:8" ht="15.75" thickBot="1" x14ac:dyDescent="0.3">
      <c r="A4499" s="133"/>
      <c r="B4499" s="238"/>
      <c r="C4499" s="238"/>
      <c r="D4499" s="954"/>
      <c r="E4499" s="238"/>
      <c r="F4499" s="249"/>
      <c r="G4499" s="356"/>
      <c r="H4499" s="350"/>
    </row>
    <row r="4500" spans="1:8" ht="15.75" thickBot="1" x14ac:dyDescent="0.3">
      <c r="A4500" s="133"/>
      <c r="B4500" s="224" t="s">
        <v>5412</v>
      </c>
      <c r="C4500" s="193" t="s">
        <v>5420</v>
      </c>
      <c r="D4500" s="951" t="s">
        <v>5421</v>
      </c>
      <c r="E4500" s="193" t="s">
        <v>5413</v>
      </c>
      <c r="F4500" s="193" t="s">
        <v>5405</v>
      </c>
      <c r="G4500" s="343" t="s">
        <v>868</v>
      </c>
      <c r="H4500" s="341"/>
    </row>
    <row r="4501" spans="1:8" x14ac:dyDescent="0.25">
      <c r="A4501" s="133"/>
      <c r="B4501" s="194" t="s">
        <v>5948</v>
      </c>
      <c r="C4501" s="345">
        <f>+VLOOKUP($B4501,'Mano de obra'!$A$5:$D$26,2,FALSE)</f>
        <v>57455</v>
      </c>
      <c r="D4501" s="345">
        <f>+VLOOKUP($B4501,'Mano de obra'!$A$5:$D$26,3,FALSE)</f>
        <v>35656</v>
      </c>
      <c r="E4501" s="345">
        <f>+VLOOKUP($B4501,'Mano de obra'!$A$5:$D$26,4,FALSE)</f>
        <v>93111</v>
      </c>
      <c r="F4501" s="204">
        <v>10</v>
      </c>
      <c r="G4501" s="178">
        <f>+E4501/F4501</f>
        <v>9311.1</v>
      </c>
      <c r="H4501" s="200"/>
    </row>
    <row r="4502" spans="1:8" x14ac:dyDescent="0.25">
      <c r="A4502" s="133"/>
      <c r="B4502" s="194" t="s">
        <v>5949</v>
      </c>
      <c r="C4502" s="345">
        <f>+VLOOKUP($B4502,'Mano de obra'!$A$5:$D$26,2,FALSE)</f>
        <v>44263.8</v>
      </c>
      <c r="D4502" s="345">
        <f>+VLOOKUP($B4502,'Mano de obra'!$A$5:$D$26,3,FALSE)</f>
        <v>27470</v>
      </c>
      <c r="E4502" s="345">
        <f>+VLOOKUP($B4502,'Mano de obra'!$A$5:$D$26,4,FALSE)</f>
        <v>71733.8</v>
      </c>
      <c r="F4502" s="202">
        <v>0.7</v>
      </c>
      <c r="G4502" s="178">
        <f>+E4502/F4502</f>
        <v>102476.85714285716</v>
      </c>
      <c r="H4502" s="200"/>
    </row>
    <row r="4503" spans="1:8" x14ac:dyDescent="0.25">
      <c r="A4503" s="133"/>
      <c r="B4503" s="195" t="s">
        <v>5635</v>
      </c>
      <c r="C4503" s="345">
        <f>+VLOOKUP($B4503,'Mano de obra'!$A$5:$D$26,2,FALSE)</f>
        <v>24591</v>
      </c>
      <c r="D4503" s="345">
        <f>+VLOOKUP($B4503,'Mano de obra'!$A$5:$D$26,3,FALSE)</f>
        <v>15261</v>
      </c>
      <c r="E4503" s="345">
        <f>+VLOOKUP($B4503,'Mano de obra'!$A$5:$D$26,4,FALSE)</f>
        <v>39852</v>
      </c>
      <c r="F4503" s="226">
        <v>0.7</v>
      </c>
      <c r="G4503" s="178">
        <f>+E4503/F4503</f>
        <v>56931.428571428572</v>
      </c>
      <c r="H4503" s="200"/>
    </row>
    <row r="4504" spans="1:8" x14ac:dyDescent="0.25">
      <c r="A4504" s="133"/>
      <c r="B4504" s="195"/>
      <c r="C4504" s="171"/>
      <c r="D4504" s="965"/>
      <c r="E4504" s="176"/>
      <c r="F4504" s="226"/>
      <c r="G4504" s="178"/>
      <c r="H4504" s="200"/>
    </row>
    <row r="4505" spans="1:8" x14ac:dyDescent="0.25">
      <c r="A4505" s="133"/>
      <c r="B4505" s="195"/>
      <c r="C4505" s="232"/>
      <c r="D4505" s="952"/>
      <c r="E4505" s="232"/>
      <c r="F4505" s="226"/>
      <c r="G4505" s="229"/>
      <c r="H4505" s="200"/>
    </row>
    <row r="4506" spans="1:8" ht="15.75" thickBot="1" x14ac:dyDescent="0.3">
      <c r="A4506" s="133"/>
      <c r="B4506" s="195"/>
      <c r="C4506" s="232"/>
      <c r="D4506" s="952"/>
      <c r="E4506" s="232"/>
      <c r="F4506" s="226"/>
      <c r="G4506" s="229"/>
      <c r="H4506" s="200"/>
    </row>
    <row r="4507" spans="1:8" ht="15.75" thickBot="1" x14ac:dyDescent="0.3">
      <c r="A4507" s="133"/>
      <c r="B4507" s="251"/>
      <c r="C4507" s="252"/>
      <c r="D4507" s="956"/>
      <c r="E4507" s="252"/>
      <c r="F4507" s="253"/>
      <c r="G4507" s="254"/>
      <c r="H4507" s="256">
        <f>+SUM(G4501:G4507)</f>
        <v>168719.38571428575</v>
      </c>
    </row>
    <row r="4508" spans="1:8" ht="15.75" thickBot="1" x14ac:dyDescent="0.3">
      <c r="A4508" s="133"/>
      <c r="B4508" s="8"/>
      <c r="C4508" s="8"/>
      <c r="D4508" s="529"/>
      <c r="E4508" s="8"/>
      <c r="F4508" s="133"/>
      <c r="G4508" s="341"/>
      <c r="H4508" s="341"/>
    </row>
    <row r="4509" spans="1:8" ht="15.75" thickBot="1" x14ac:dyDescent="0.3">
      <c r="A4509" s="133" t="s">
        <v>6744</v>
      </c>
      <c r="B4509" s="8"/>
      <c r="C4509" s="8"/>
      <c r="D4509" s="529"/>
      <c r="E4509" s="223" t="s">
        <v>5415</v>
      </c>
      <c r="F4509" s="133"/>
      <c r="G4509" s="341"/>
      <c r="H4509" s="674">
        <f>ROUND(+H4507+H4498+H4490+H4475,0)</f>
        <v>194027</v>
      </c>
    </row>
    <row r="4510" spans="1:8" x14ac:dyDescent="0.25">
      <c r="A4510" s="1058"/>
      <c r="B4510" s="1058"/>
      <c r="C4510" s="1058"/>
      <c r="D4510" s="957"/>
      <c r="E4510" s="1058"/>
      <c r="F4510" s="1058"/>
      <c r="G4510" s="1058"/>
      <c r="H4510" s="1058"/>
    </row>
    <row r="4511" spans="1:8" x14ac:dyDescent="0.25">
      <c r="A4511" s="1441"/>
      <c r="B4511" s="1441"/>
      <c r="C4511" s="1441"/>
      <c r="D4511" s="957"/>
      <c r="E4511" s="1441"/>
      <c r="F4511" s="1441"/>
      <c r="G4511" s="1441"/>
      <c r="H4511" s="1441"/>
    </row>
    <row r="4512" spans="1:8" ht="15" customHeight="1" x14ac:dyDescent="0.25">
      <c r="A4512" s="1441"/>
      <c r="B4512" s="1441"/>
      <c r="C4512" s="1441"/>
      <c r="D4512" s="957"/>
      <c r="E4512" s="1441"/>
      <c r="F4512" s="1441"/>
      <c r="G4512" s="1441"/>
      <c r="H4512" s="1441"/>
    </row>
    <row r="4513" spans="1:8" x14ac:dyDescent="0.25">
      <c r="A4513" s="1468" t="s">
        <v>3</v>
      </c>
      <c r="B4513" s="1390">
        <f>+VLOOKUP(C4513,ListaAPUs!$B:$E,4,FALSE)</f>
        <v>5.0999999999999996</v>
      </c>
      <c r="C4513" s="2451" t="str">
        <f>+ListaAPUs!B142</f>
        <v>PAVIMENTO RÍGIDO (MR 41KG/CM2)</v>
      </c>
      <c r="D4513" s="2451"/>
      <c r="E4513" s="2451"/>
      <c r="F4513" s="1468" t="s">
        <v>867</v>
      </c>
      <c r="G4513" s="139" t="s">
        <v>5454</v>
      </c>
      <c r="H4513" s="134"/>
    </row>
    <row r="4514" spans="1:8" x14ac:dyDescent="0.25">
      <c r="A4514" s="141"/>
      <c r="B4514" s="140"/>
      <c r="C4514" s="140"/>
      <c r="D4514" s="529"/>
      <c r="E4514" s="140"/>
      <c r="F4514" s="141"/>
      <c r="G4514" s="134"/>
      <c r="H4514" s="134"/>
    </row>
    <row r="4515" spans="1:8" x14ac:dyDescent="0.25">
      <c r="A4515" s="141"/>
      <c r="B4515" s="140"/>
      <c r="C4515" s="140"/>
      <c r="D4515" s="529"/>
      <c r="E4515" s="140"/>
      <c r="F4515" s="141"/>
      <c r="G4515" s="142"/>
      <c r="H4515" s="134"/>
    </row>
    <row r="4516" spans="1:8" ht="15.75" thickBot="1" x14ac:dyDescent="0.3">
      <c r="A4516" s="141"/>
      <c r="B4516" s="140"/>
      <c r="C4516" s="140"/>
      <c r="D4516" s="529"/>
      <c r="E4516" s="140"/>
      <c r="F4516" s="141"/>
      <c r="G4516" s="134"/>
      <c r="H4516" s="134"/>
    </row>
    <row r="4517" spans="1:8" ht="15.75" thickBot="1" x14ac:dyDescent="0.3">
      <c r="A4517" s="141"/>
      <c r="B4517" s="143" t="s">
        <v>5403</v>
      </c>
      <c r="C4517" s="144" t="s">
        <v>867</v>
      </c>
      <c r="D4517" s="951" t="s">
        <v>6</v>
      </c>
      <c r="E4517" s="144" t="s">
        <v>5404</v>
      </c>
      <c r="F4517" s="144" t="s">
        <v>5405</v>
      </c>
      <c r="G4517" s="145" t="s">
        <v>868</v>
      </c>
      <c r="H4517" s="134"/>
    </row>
    <row r="4518" spans="1:8" x14ac:dyDescent="0.25">
      <c r="A4518" s="141"/>
      <c r="B4518" s="146" t="s">
        <v>5440</v>
      </c>
      <c r="C4518" s="147" t="s">
        <v>5406</v>
      </c>
      <c r="D4518" s="961"/>
      <c r="E4518" s="359">
        <f>+H4556</f>
        <v>98319.371428571438</v>
      </c>
      <c r="F4518" s="290">
        <v>0.1</v>
      </c>
      <c r="G4518" s="360">
        <f>+E4518*F4518</f>
        <v>9831.9371428571449</v>
      </c>
      <c r="H4518" s="134"/>
    </row>
    <row r="4519" spans="1:8" x14ac:dyDescent="0.25">
      <c r="A4519" s="141"/>
      <c r="B4519" s="150" t="s">
        <v>5554</v>
      </c>
      <c r="C4519" s="151" t="s">
        <v>5407</v>
      </c>
      <c r="D4519" s="952"/>
      <c r="E4519" s="980">
        <f>+VLOOKUP(B4519,Insumos!$A$2:$C$331,3,FALSE)</f>
        <v>4500.8</v>
      </c>
      <c r="F4519" s="291">
        <v>7</v>
      </c>
      <c r="G4519" s="360">
        <f>+E4519/F4519</f>
        <v>642.97142857142865</v>
      </c>
      <c r="H4519" s="134"/>
    </row>
    <row r="4520" spans="1:8" ht="25.5" x14ac:dyDescent="0.25">
      <c r="A4520" s="141"/>
      <c r="B4520" s="154" t="s">
        <v>6863</v>
      </c>
      <c r="C4520" s="151" t="s">
        <v>5407</v>
      </c>
      <c r="D4520" s="952"/>
      <c r="E4520" s="980">
        <f>+VLOOKUP(B4520,Insumos!$A$2:$C$331,3,FALSE)</f>
        <v>103518.39999999999</v>
      </c>
      <c r="F4520" s="291">
        <v>40</v>
      </c>
      <c r="G4520" s="1570">
        <f>+E4520/F4520</f>
        <v>2587.96</v>
      </c>
      <c r="H4520" s="134"/>
    </row>
    <row r="4521" spans="1:8" x14ac:dyDescent="0.25">
      <c r="A4521" s="141"/>
      <c r="B4521" s="1539" t="s">
        <v>9017</v>
      </c>
      <c r="C4521" s="1537" t="s">
        <v>5407</v>
      </c>
      <c r="D4521" s="952"/>
      <c r="E4521" s="361">
        <v>25000</v>
      </c>
      <c r="F4521" s="291">
        <v>7.5</v>
      </c>
      <c r="G4521" s="1570">
        <f t="shared" ref="G4521:G4522" si="91">+E4521/F4521</f>
        <v>3333.3333333333335</v>
      </c>
      <c r="H4521" s="134"/>
    </row>
    <row r="4522" spans="1:8" x14ac:dyDescent="0.25">
      <c r="A4522" s="141"/>
      <c r="B4522" s="1539" t="s">
        <v>9018</v>
      </c>
      <c r="C4522" s="1537" t="s">
        <v>5407</v>
      </c>
      <c r="D4522" s="952"/>
      <c r="E4522" s="361">
        <v>50049</v>
      </c>
      <c r="F4522" s="291">
        <v>20</v>
      </c>
      <c r="G4522" s="1570">
        <f t="shared" si="91"/>
        <v>2502.4499999999998</v>
      </c>
      <c r="H4522" s="134"/>
    </row>
    <row r="4523" spans="1:8" ht="15.75" thickBot="1" x14ac:dyDescent="0.3">
      <c r="A4523" s="141"/>
      <c r="B4523" s="155"/>
      <c r="C4523" s="151"/>
      <c r="D4523" s="952"/>
      <c r="E4523" s="361"/>
      <c r="F4523" s="151"/>
      <c r="G4523" s="1570"/>
      <c r="H4523" s="134"/>
    </row>
    <row r="4524" spans="1:8" ht="15.75" thickBot="1" x14ac:dyDescent="0.3">
      <c r="A4524" s="141"/>
      <c r="B4524" s="157"/>
      <c r="C4524" s="158"/>
      <c r="D4524" s="953"/>
      <c r="E4524" s="369"/>
      <c r="F4524" s="158"/>
      <c r="G4524" s="363"/>
      <c r="H4524" s="161">
        <f>+SUM(G4518:G4524)</f>
        <v>18898.651904761908</v>
      </c>
    </row>
    <row r="4525" spans="1:8" ht="15.75" thickBot="1" x14ac:dyDescent="0.3">
      <c r="A4525" s="141"/>
      <c r="B4525" s="162"/>
      <c r="C4525" s="163"/>
      <c r="D4525" s="954"/>
      <c r="E4525" s="364"/>
      <c r="F4525" s="163"/>
      <c r="G4525" s="364"/>
      <c r="H4525" s="165"/>
    </row>
    <row r="4526" spans="1:8" ht="15.75" thickBot="1" x14ac:dyDescent="0.3">
      <c r="A4526" s="140"/>
      <c r="B4526" s="143" t="s">
        <v>5408</v>
      </c>
      <c r="C4526" s="144" t="s">
        <v>867</v>
      </c>
      <c r="D4526" s="951" t="s">
        <v>6</v>
      </c>
      <c r="E4526" s="370" t="s">
        <v>870</v>
      </c>
      <c r="F4526" s="144" t="s">
        <v>5409</v>
      </c>
      <c r="G4526" s="365" t="s">
        <v>868</v>
      </c>
      <c r="H4526" s="134"/>
    </row>
    <row r="4527" spans="1:8" ht="33" customHeight="1" x14ac:dyDescent="0.25">
      <c r="A4527" s="140"/>
      <c r="B4527" s="201" t="s">
        <v>9016</v>
      </c>
      <c r="C4527" s="147" t="s">
        <v>5430</v>
      </c>
      <c r="D4527" s="211">
        <v>1</v>
      </c>
      <c r="E4527" s="980">
        <f>+VLOOKUP(B4527,Insumos!$A$2:$C$331,3,FALSE)</f>
        <v>361388.45941759995</v>
      </c>
      <c r="F4527" s="169">
        <v>0.05</v>
      </c>
      <c r="G4527" s="367">
        <f>+D4527*E4527*(1+F4527)</f>
        <v>379457.88238847995</v>
      </c>
      <c r="H4527" s="134"/>
    </row>
    <row r="4528" spans="1:8" x14ac:dyDescent="0.25">
      <c r="A4528" s="140"/>
      <c r="B4528" s="155" t="s">
        <v>5560</v>
      </c>
      <c r="C4528" s="151" t="s">
        <v>5944</v>
      </c>
      <c r="D4528" s="212">
        <f>0.2/0.2</f>
        <v>1</v>
      </c>
      <c r="E4528" s="980">
        <f>+VLOOKUP(B4528,Insumos!$A$2:$C$331,3,FALSE)</f>
        <v>5626</v>
      </c>
      <c r="F4528" s="169">
        <v>0.1</v>
      </c>
      <c r="G4528" s="367">
        <f>+D4528*E4528*(1+F4528)</f>
        <v>6188.6</v>
      </c>
      <c r="H4528" s="134"/>
    </row>
    <row r="4529" spans="1:8" x14ac:dyDescent="0.25">
      <c r="A4529" s="140"/>
      <c r="B4529" s="196"/>
      <c r="C4529" s="151"/>
      <c r="D4529" s="212"/>
      <c r="E4529" s="361"/>
      <c r="F4529" s="169"/>
      <c r="G4529" s="367"/>
      <c r="H4529" s="134"/>
    </row>
    <row r="4530" spans="1:8" x14ac:dyDescent="0.25">
      <c r="A4530" s="140"/>
      <c r="B4530" s="155"/>
      <c r="C4530" s="152"/>
      <c r="D4530" s="952"/>
      <c r="E4530" s="361"/>
      <c r="F4530" s="151"/>
      <c r="G4530" s="362"/>
      <c r="H4530" s="134"/>
    </row>
    <row r="4531" spans="1:8" x14ac:dyDescent="0.25">
      <c r="A4531" s="140"/>
      <c r="B4531" s="155"/>
      <c r="C4531" s="152"/>
      <c r="D4531" s="952"/>
      <c r="E4531" s="361"/>
      <c r="F4531" s="151"/>
      <c r="G4531" s="362"/>
      <c r="H4531" s="134"/>
    </row>
    <row r="4532" spans="1:8" x14ac:dyDescent="0.25">
      <c r="A4532" s="140"/>
      <c r="B4532" s="155"/>
      <c r="C4532" s="152"/>
      <c r="D4532" s="952"/>
      <c r="E4532" s="361"/>
      <c r="F4532" s="151"/>
      <c r="G4532" s="362"/>
      <c r="H4532" s="134"/>
    </row>
    <row r="4533" spans="1:8" x14ac:dyDescent="0.25">
      <c r="A4533" s="140"/>
      <c r="B4533" s="155"/>
      <c r="C4533" s="152"/>
      <c r="D4533" s="952"/>
      <c r="E4533" s="361"/>
      <c r="F4533" s="151"/>
      <c r="G4533" s="362"/>
      <c r="H4533" s="134"/>
    </row>
    <row r="4534" spans="1:8" x14ac:dyDescent="0.25">
      <c r="A4534" s="140"/>
      <c r="B4534" s="155"/>
      <c r="C4534" s="152"/>
      <c r="D4534" s="952"/>
      <c r="E4534" s="361"/>
      <c r="F4534" s="151"/>
      <c r="G4534" s="362"/>
      <c r="H4534" s="134"/>
    </row>
    <row r="4535" spans="1:8" x14ac:dyDescent="0.25">
      <c r="A4535" s="140"/>
      <c r="B4535" s="155"/>
      <c r="C4535" s="152"/>
      <c r="D4535" s="952"/>
      <c r="E4535" s="361"/>
      <c r="F4535" s="151"/>
      <c r="G4535" s="362"/>
      <c r="H4535" s="134"/>
    </row>
    <row r="4536" spans="1:8" x14ac:dyDescent="0.25">
      <c r="A4536" s="140"/>
      <c r="B4536" s="155"/>
      <c r="C4536" s="152"/>
      <c r="D4536" s="952"/>
      <c r="E4536" s="361"/>
      <c r="F4536" s="151"/>
      <c r="G4536" s="362"/>
      <c r="H4536" s="134"/>
    </row>
    <row r="4537" spans="1:8" x14ac:dyDescent="0.25">
      <c r="A4537" s="140"/>
      <c r="B4537" s="155"/>
      <c r="C4537" s="152"/>
      <c r="D4537" s="952"/>
      <c r="E4537" s="361"/>
      <c r="F4537" s="151"/>
      <c r="G4537" s="362"/>
      <c r="H4537" s="134"/>
    </row>
    <row r="4538" spans="1:8" ht="15.75" thickBot="1" x14ac:dyDescent="0.3">
      <c r="A4538" s="140"/>
      <c r="B4538" s="155"/>
      <c r="C4538" s="152"/>
      <c r="D4538" s="952"/>
      <c r="E4538" s="361"/>
      <c r="F4538" s="151"/>
      <c r="G4538" s="362"/>
      <c r="H4538" s="134"/>
    </row>
    <row r="4539" spans="1:8" ht="15.75" thickBot="1" x14ac:dyDescent="0.3">
      <c r="A4539" s="140"/>
      <c r="B4539" s="157"/>
      <c r="C4539" s="159"/>
      <c r="D4539" s="953"/>
      <c r="E4539" s="369"/>
      <c r="F4539" s="158"/>
      <c r="G4539" s="363"/>
      <c r="H4539" s="161">
        <f>+SUM(G4527:G4539)</f>
        <v>385646.48238847993</v>
      </c>
    </row>
    <row r="4540" spans="1:8" ht="15.75" thickBot="1" x14ac:dyDescent="0.3">
      <c r="A4540" s="140"/>
      <c r="B4540" s="162"/>
      <c r="C4540" s="162"/>
      <c r="D4540" s="954"/>
      <c r="E4540" s="364"/>
      <c r="F4540" s="163"/>
      <c r="G4540" s="364"/>
      <c r="H4540" s="165"/>
    </row>
    <row r="4541" spans="1:8" ht="15.75" thickBot="1" x14ac:dyDescent="0.3">
      <c r="A4541" s="140"/>
      <c r="B4541" s="143" t="s">
        <v>5410</v>
      </c>
      <c r="C4541" s="144" t="s">
        <v>867</v>
      </c>
      <c r="D4541" s="951" t="s">
        <v>6</v>
      </c>
      <c r="E4541" s="370" t="s">
        <v>870</v>
      </c>
      <c r="F4541" s="144" t="s">
        <v>5411</v>
      </c>
      <c r="G4541" s="365" t="s">
        <v>868</v>
      </c>
      <c r="H4541" s="134"/>
    </row>
    <row r="4542" spans="1:8" x14ac:dyDescent="0.25">
      <c r="A4542" s="140"/>
      <c r="B4542" s="201"/>
      <c r="C4542" s="147"/>
      <c r="D4542" s="211"/>
      <c r="E4542" s="366"/>
      <c r="F4542" s="211"/>
      <c r="G4542" s="367"/>
      <c r="H4542" s="134"/>
    </row>
    <row r="4543" spans="1:8" x14ac:dyDescent="0.25">
      <c r="A4543" s="140"/>
      <c r="B4543" s="166"/>
      <c r="C4543" s="148"/>
      <c r="D4543" s="961"/>
      <c r="E4543" s="148"/>
      <c r="F4543" s="147"/>
      <c r="G4543" s="172"/>
      <c r="H4543" s="134"/>
    </row>
    <row r="4544" spans="1:8" x14ac:dyDescent="0.25">
      <c r="A4544" s="140"/>
      <c r="B4544" s="155"/>
      <c r="C4544" s="152"/>
      <c r="D4544" s="952"/>
      <c r="E4544" s="152"/>
      <c r="F4544" s="151"/>
      <c r="G4544" s="156"/>
      <c r="H4544" s="134"/>
    </row>
    <row r="4545" spans="1:8" x14ac:dyDescent="0.25">
      <c r="A4545" s="140"/>
      <c r="B4545" s="155"/>
      <c r="C4545" s="152"/>
      <c r="D4545" s="952"/>
      <c r="E4545" s="152"/>
      <c r="F4545" s="151"/>
      <c r="G4545" s="156"/>
      <c r="H4545" s="134"/>
    </row>
    <row r="4546" spans="1:8" ht="15.75" thickBot="1" x14ac:dyDescent="0.3">
      <c r="A4546" s="140"/>
      <c r="B4546" s="155"/>
      <c r="C4546" s="152"/>
      <c r="D4546" s="952"/>
      <c r="E4546" s="152"/>
      <c r="F4546" s="151"/>
      <c r="G4546" s="156"/>
      <c r="H4546" s="134"/>
    </row>
    <row r="4547" spans="1:8" ht="15.75" thickBot="1" x14ac:dyDescent="0.3">
      <c r="A4547" s="140"/>
      <c r="B4547" s="157"/>
      <c r="C4547" s="159"/>
      <c r="D4547" s="953"/>
      <c r="E4547" s="159"/>
      <c r="F4547" s="158"/>
      <c r="G4547" s="160"/>
      <c r="H4547" s="161">
        <f>+SUM(G4542:G4547)</f>
        <v>0</v>
      </c>
    </row>
    <row r="4548" spans="1:8" ht="15.75" thickBot="1" x14ac:dyDescent="0.3">
      <c r="A4548" s="140"/>
      <c r="B4548" s="162"/>
      <c r="C4548" s="162"/>
      <c r="D4548" s="954"/>
      <c r="E4548" s="162"/>
      <c r="F4548" s="173"/>
      <c r="G4548" s="174"/>
      <c r="H4548" s="165"/>
    </row>
    <row r="4549" spans="1:8" ht="15.75" thickBot="1" x14ac:dyDescent="0.3">
      <c r="A4549" s="140"/>
      <c r="B4549" s="143" t="s">
        <v>5412</v>
      </c>
      <c r="C4549" s="193" t="s">
        <v>5420</v>
      </c>
      <c r="D4549" s="951" t="s">
        <v>5421</v>
      </c>
      <c r="E4549" s="193" t="s">
        <v>5413</v>
      </c>
      <c r="F4549" s="144" t="s">
        <v>5405</v>
      </c>
      <c r="G4549" s="145" t="s">
        <v>868</v>
      </c>
      <c r="H4549" s="134"/>
    </row>
    <row r="4550" spans="1:8" x14ac:dyDescent="0.25">
      <c r="A4550" s="140"/>
      <c r="B4550" s="194" t="s">
        <v>5948</v>
      </c>
      <c r="C4550" s="345">
        <f>+VLOOKUP($B4550,'Mano de obra'!$A$5:$D$26,2,FALSE)</f>
        <v>57455</v>
      </c>
      <c r="D4550" s="345">
        <f>+VLOOKUP($B4550,'Mano de obra'!$A$5:$D$26,3,FALSE)</f>
        <v>35656</v>
      </c>
      <c r="E4550" s="345">
        <f>+VLOOKUP($B4550,'Mano de obra'!$A$5:$D$26,4,FALSE)</f>
        <v>93111</v>
      </c>
      <c r="F4550" s="192">
        <v>7</v>
      </c>
      <c r="G4550" s="351">
        <f>+E4550/F4550</f>
        <v>13301.571428571429</v>
      </c>
      <c r="H4550" s="134"/>
    </row>
    <row r="4551" spans="1:8" x14ac:dyDescent="0.25">
      <c r="A4551" s="140"/>
      <c r="B4551" s="194" t="s">
        <v>5949</v>
      </c>
      <c r="C4551" s="345">
        <f>+VLOOKUP($B4551,'Mano de obra'!$A$5:$D$26,2,FALSE)</f>
        <v>44263.8</v>
      </c>
      <c r="D4551" s="345">
        <f>+VLOOKUP($B4551,'Mano de obra'!$A$5:$D$26,3,FALSE)</f>
        <v>27470</v>
      </c>
      <c r="E4551" s="345">
        <f>+VLOOKUP($B4551,'Mano de obra'!$A$5:$D$26,4,FALSE)</f>
        <v>71733.8</v>
      </c>
      <c r="F4551" s="192">
        <v>1</v>
      </c>
      <c r="G4551" s="351">
        <f>+E4551/F4551</f>
        <v>71733.8</v>
      </c>
      <c r="H4551" s="134"/>
    </row>
    <row r="4552" spans="1:8" x14ac:dyDescent="0.25">
      <c r="A4552" s="140"/>
      <c r="B4552" s="195" t="s">
        <v>5635</v>
      </c>
      <c r="C4552" s="345">
        <f>+VLOOKUP($B4552,'Mano de obra'!$A$5:$D$26,2,FALSE)</f>
        <v>24591</v>
      </c>
      <c r="D4552" s="345">
        <f>+VLOOKUP($B4552,'Mano de obra'!$A$5:$D$26,3,FALSE)</f>
        <v>15261</v>
      </c>
      <c r="E4552" s="345">
        <f>+VLOOKUP($B4552,'Mano de obra'!$A$5:$D$26,4,FALSE)</f>
        <v>39852</v>
      </c>
      <c r="F4552" s="192">
        <v>3</v>
      </c>
      <c r="G4552" s="351">
        <f>+E4552/F4552</f>
        <v>13284</v>
      </c>
      <c r="H4552" s="134"/>
    </row>
    <row r="4553" spans="1:8" x14ac:dyDescent="0.25">
      <c r="A4553" s="140"/>
      <c r="B4553" s="155"/>
      <c r="C4553" s="152"/>
      <c r="D4553" s="952"/>
      <c r="E4553" s="152"/>
      <c r="F4553" s="151"/>
      <c r="G4553" s="156"/>
      <c r="H4553" s="134"/>
    </row>
    <row r="4554" spans="1:8" x14ac:dyDescent="0.25">
      <c r="A4554" s="140"/>
      <c r="B4554" s="155"/>
      <c r="C4554" s="152"/>
      <c r="D4554" s="952"/>
      <c r="E4554" s="152"/>
      <c r="F4554" s="151"/>
      <c r="G4554" s="156"/>
      <c r="H4554" s="134"/>
    </row>
    <row r="4555" spans="1:8" ht="15.75" thickBot="1" x14ac:dyDescent="0.3">
      <c r="A4555" s="140"/>
      <c r="B4555" s="155"/>
      <c r="C4555" s="152"/>
      <c r="D4555" s="952"/>
      <c r="E4555" s="152"/>
      <c r="F4555" s="151"/>
      <c r="G4555" s="156"/>
      <c r="H4555" s="134"/>
    </row>
    <row r="4556" spans="1:8" ht="15.75" thickBot="1" x14ac:dyDescent="0.3">
      <c r="A4556" s="140"/>
      <c r="B4556" s="179"/>
      <c r="C4556" s="180"/>
      <c r="D4556" s="956"/>
      <c r="E4556" s="180"/>
      <c r="F4556" s="181"/>
      <c r="G4556" s="182"/>
      <c r="H4556" s="161">
        <f>+SUM(G4550:G4556)</f>
        <v>98319.371428571438</v>
      </c>
    </row>
    <row r="4557" spans="1:8" ht="15.75" thickBot="1" x14ac:dyDescent="0.3">
      <c r="A4557" s="140"/>
      <c r="B4557" s="140"/>
      <c r="C4557" s="140"/>
      <c r="D4557" s="529"/>
      <c r="E4557" s="140"/>
      <c r="F4557" s="141"/>
      <c r="G4557" s="134"/>
      <c r="H4557" s="134"/>
    </row>
    <row r="4558" spans="1:8" ht="15.75" thickBot="1" x14ac:dyDescent="0.3">
      <c r="A4558" s="133" t="s">
        <v>6744</v>
      </c>
      <c r="B4558" s="140"/>
      <c r="C4558" s="140"/>
      <c r="D4558" s="529"/>
      <c r="E4558" s="183" t="s">
        <v>5415</v>
      </c>
      <c r="F4558" s="141"/>
      <c r="G4558" s="134"/>
      <c r="H4558" s="161">
        <f>ROUND(+H4524+H4539+H4547+H4556,0)</f>
        <v>502865</v>
      </c>
    </row>
    <row r="4559" spans="1:8" x14ac:dyDescent="0.25">
      <c r="A4559" s="1441"/>
      <c r="B4559" s="1441"/>
      <c r="C4559" s="1441"/>
      <c r="D4559" s="957"/>
      <c r="E4559" s="1441"/>
      <c r="F4559" s="1441"/>
      <c r="G4559" s="1441"/>
      <c r="H4559" s="1441"/>
    </row>
    <row r="4560" spans="1:8" x14ac:dyDescent="0.25">
      <c r="A4560" s="1441"/>
      <c r="B4560" s="1441"/>
      <c r="C4560" s="1441"/>
      <c r="D4560" s="957"/>
      <c r="E4560" s="1441"/>
      <c r="F4560" s="1441"/>
      <c r="G4560" s="1441"/>
      <c r="H4560" s="1441"/>
    </row>
    <row r="4561" spans="1:8" x14ac:dyDescent="0.25">
      <c r="A4561" s="1441"/>
      <c r="B4561" s="1441"/>
      <c r="C4561" s="1441"/>
      <c r="D4561" s="957"/>
      <c r="E4561" s="1441"/>
      <c r="F4561" s="1441"/>
      <c r="G4561" s="1441"/>
      <c r="H4561" s="1441"/>
    </row>
    <row r="4562" spans="1:8" x14ac:dyDescent="0.25">
      <c r="A4562" s="1468" t="s">
        <v>3</v>
      </c>
      <c r="B4562" s="1390">
        <f>+VLOOKUP(C4562,ListaAPUs!$B:$E,4,FALSE)</f>
        <v>5.2</v>
      </c>
      <c r="C4562" s="2451" t="str">
        <f>+ListaAPUs!B143</f>
        <v>PAVIMENTO FLEXIBLE EN MDC-2</v>
      </c>
      <c r="D4562" s="2451"/>
      <c r="E4562" s="2451"/>
      <c r="F4562" s="1468" t="s">
        <v>867</v>
      </c>
      <c r="G4562" s="139" t="s">
        <v>5454</v>
      </c>
      <c r="H4562" s="134"/>
    </row>
    <row r="4563" spans="1:8" x14ac:dyDescent="0.25">
      <c r="A4563" s="141"/>
      <c r="B4563" s="140"/>
      <c r="C4563" s="140"/>
      <c r="D4563" s="529"/>
      <c r="E4563" s="140"/>
      <c r="F4563" s="141"/>
      <c r="G4563" s="134"/>
      <c r="H4563" s="134"/>
    </row>
    <row r="4564" spans="1:8" x14ac:dyDescent="0.25">
      <c r="A4564" s="141"/>
      <c r="B4564" s="140"/>
      <c r="C4564" s="140"/>
      <c r="D4564" s="529"/>
      <c r="E4564" s="140"/>
      <c r="F4564" s="141"/>
      <c r="G4564" s="142"/>
      <c r="H4564" s="134"/>
    </row>
    <row r="4565" spans="1:8" ht="15.75" thickBot="1" x14ac:dyDescent="0.3">
      <c r="A4565" s="141"/>
      <c r="B4565" s="140"/>
      <c r="C4565" s="140"/>
      <c r="D4565" s="529"/>
      <c r="E4565" s="140"/>
      <c r="F4565" s="141"/>
      <c r="G4565" s="134"/>
      <c r="H4565" s="134"/>
    </row>
    <row r="4566" spans="1:8" ht="15.75" thickBot="1" x14ac:dyDescent="0.3">
      <c r="A4566" s="141"/>
      <c r="B4566" s="143" t="s">
        <v>5403</v>
      </c>
      <c r="C4566" s="144" t="s">
        <v>867</v>
      </c>
      <c r="D4566" s="951" t="s">
        <v>6</v>
      </c>
      <c r="E4566" s="144" t="s">
        <v>5404</v>
      </c>
      <c r="F4566" s="144" t="s">
        <v>5405</v>
      </c>
      <c r="G4566" s="145" t="s">
        <v>868</v>
      </c>
      <c r="H4566" s="134"/>
    </row>
    <row r="4567" spans="1:8" x14ac:dyDescent="0.25">
      <c r="A4567" s="141"/>
      <c r="B4567" s="146" t="s">
        <v>5934</v>
      </c>
      <c r="C4567" s="147" t="s">
        <v>5406</v>
      </c>
      <c r="D4567" s="961"/>
      <c r="E4567" s="359">
        <f>+H4605</f>
        <v>56060.979999999996</v>
      </c>
      <c r="F4567" s="191">
        <v>0.1</v>
      </c>
      <c r="G4567" s="360">
        <f>+E4567*F4567</f>
        <v>5606.098</v>
      </c>
      <c r="H4567" s="134"/>
    </row>
    <row r="4568" spans="1:8" x14ac:dyDescent="0.25">
      <c r="A4568" s="141"/>
      <c r="B4568" s="150" t="s">
        <v>8016</v>
      </c>
      <c r="C4568" s="151" t="s">
        <v>5995</v>
      </c>
      <c r="D4568" s="212">
        <v>1</v>
      </c>
      <c r="E4568" s="980">
        <f>+VLOOKUP(B4568,Insumos!$A$2:$C$331,3,FALSE)</f>
        <v>82294.877599999993</v>
      </c>
      <c r="F4568" s="192">
        <v>25</v>
      </c>
      <c r="G4568" s="360">
        <f>+E4568/F4568</f>
        <v>3291.7951039999998</v>
      </c>
      <c r="H4568" s="134"/>
    </row>
    <row r="4569" spans="1:8" x14ac:dyDescent="0.25">
      <c r="A4569" s="141"/>
      <c r="B4569" s="154"/>
      <c r="C4569" s="151"/>
      <c r="D4569" s="952"/>
      <c r="E4569" s="361"/>
      <c r="F4569" s="153"/>
      <c r="G4569" s="360"/>
      <c r="H4569" s="134"/>
    </row>
    <row r="4570" spans="1:8" x14ac:dyDescent="0.25">
      <c r="A4570" s="141"/>
      <c r="B4570" s="155"/>
      <c r="C4570" s="151"/>
      <c r="D4570" s="952"/>
      <c r="E4570" s="361"/>
      <c r="F4570" s="151"/>
      <c r="G4570" s="362"/>
      <c r="H4570" s="134"/>
    </row>
    <row r="4571" spans="1:8" x14ac:dyDescent="0.25">
      <c r="A4571" s="141"/>
      <c r="B4571" s="155"/>
      <c r="C4571" s="151"/>
      <c r="D4571" s="952"/>
      <c r="E4571" s="361"/>
      <c r="F4571" s="151"/>
      <c r="G4571" s="362"/>
      <c r="H4571" s="134"/>
    </row>
    <row r="4572" spans="1:8" ht="15.75" thickBot="1" x14ac:dyDescent="0.3">
      <c r="A4572" s="141"/>
      <c r="B4572" s="155"/>
      <c r="C4572" s="151"/>
      <c r="D4572" s="952"/>
      <c r="E4572" s="361"/>
      <c r="F4572" s="151"/>
      <c r="G4572" s="362"/>
      <c r="H4572" s="134"/>
    </row>
    <row r="4573" spans="1:8" ht="15.75" thickBot="1" x14ac:dyDescent="0.3">
      <c r="A4573" s="141"/>
      <c r="B4573" s="157"/>
      <c r="C4573" s="158"/>
      <c r="D4573" s="953"/>
      <c r="E4573" s="369"/>
      <c r="F4573" s="158"/>
      <c r="G4573" s="363"/>
      <c r="H4573" s="161">
        <f>+SUM(G4567:G4573)</f>
        <v>8897.8931039999989</v>
      </c>
    </row>
    <row r="4574" spans="1:8" ht="15.75" thickBot="1" x14ac:dyDescent="0.3">
      <c r="A4574" s="141"/>
      <c r="B4574" s="162"/>
      <c r="C4574" s="163"/>
      <c r="D4574" s="954"/>
      <c r="E4574" s="364"/>
      <c r="F4574" s="163"/>
      <c r="G4574" s="364"/>
      <c r="H4574" s="165"/>
    </row>
    <row r="4575" spans="1:8" ht="15.75" thickBot="1" x14ac:dyDescent="0.3">
      <c r="A4575" s="140"/>
      <c r="B4575" s="143" t="s">
        <v>5408</v>
      </c>
      <c r="C4575" s="144" t="s">
        <v>867</v>
      </c>
      <c r="D4575" s="951" t="s">
        <v>6</v>
      </c>
      <c r="E4575" s="370" t="s">
        <v>870</v>
      </c>
      <c r="F4575" s="144" t="s">
        <v>5409</v>
      </c>
      <c r="G4575" s="365" t="s">
        <v>868</v>
      </c>
      <c r="H4575" s="134"/>
    </row>
    <row r="4576" spans="1:8" x14ac:dyDescent="0.25">
      <c r="A4576" s="140"/>
      <c r="B4576" s="731" t="s">
        <v>6860</v>
      </c>
      <c r="C4576" s="147" t="s">
        <v>5430</v>
      </c>
      <c r="D4576" s="211">
        <v>1</v>
      </c>
      <c r="E4576" s="980">
        <f>+VLOOKUP(B4576,Insumos!$A$2:$C$331,3,FALSE)</f>
        <v>484550.97323375999</v>
      </c>
      <c r="F4576" s="169">
        <v>0.2</v>
      </c>
      <c r="G4576" s="367">
        <f>+D4576*E4576*(1+F4576)</f>
        <v>581461.16788051196</v>
      </c>
      <c r="H4576" s="134"/>
    </row>
    <row r="4577" spans="1:8" x14ac:dyDescent="0.25">
      <c r="A4577" s="140"/>
      <c r="B4577" s="155" t="s">
        <v>5961</v>
      </c>
      <c r="C4577" s="151" t="s">
        <v>5944</v>
      </c>
      <c r="D4577" s="212">
        <v>1</v>
      </c>
      <c r="E4577" s="980">
        <f>+VLOOKUP(B4577,Insumos!$A$2:$C$331,3,FALSE)</f>
        <v>2658.757584</v>
      </c>
      <c r="F4577" s="169">
        <v>0.1</v>
      </c>
      <c r="G4577" s="367">
        <f>+D4577*E4577*(1+F4577)</f>
        <v>2924.6333424000004</v>
      </c>
      <c r="H4577" s="134"/>
    </row>
    <row r="4578" spans="1:8" x14ac:dyDescent="0.25">
      <c r="A4578" s="140"/>
      <c r="B4578" s="196" t="s">
        <v>8017</v>
      </c>
      <c r="C4578" s="151" t="s">
        <v>5944</v>
      </c>
      <c r="D4578" s="212">
        <v>2</v>
      </c>
      <c r="E4578" s="980">
        <f>+VLOOKUP(B4578,Insumos!$A$2:$C$331,3,FALSE)</f>
        <v>6241.7499472</v>
      </c>
      <c r="F4578" s="169">
        <v>0.1</v>
      </c>
      <c r="G4578" s="367">
        <f>+D4578*E4578*(1+F4578)</f>
        <v>13731.849883840001</v>
      </c>
      <c r="H4578" s="134"/>
    </row>
    <row r="4579" spans="1:8" x14ac:dyDescent="0.25">
      <c r="A4579" s="140"/>
      <c r="B4579" s="155"/>
      <c r="C4579" s="152"/>
      <c r="D4579" s="952"/>
      <c r="E4579" s="361"/>
      <c r="F4579" s="151"/>
      <c r="G4579" s="362"/>
      <c r="H4579" s="134"/>
    </row>
    <row r="4580" spans="1:8" x14ac:dyDescent="0.25">
      <c r="A4580" s="140"/>
      <c r="B4580" s="155"/>
      <c r="C4580" s="152"/>
      <c r="D4580" s="952"/>
      <c r="E4580" s="361"/>
      <c r="F4580" s="151"/>
      <c r="G4580" s="362"/>
      <c r="H4580" s="134"/>
    </row>
    <row r="4581" spans="1:8" x14ac:dyDescent="0.25">
      <c r="A4581" s="140"/>
      <c r="B4581" s="155"/>
      <c r="C4581" s="152"/>
      <c r="D4581" s="952"/>
      <c r="E4581" s="361"/>
      <c r="F4581" s="151"/>
      <c r="G4581" s="362"/>
      <c r="H4581" s="134"/>
    </row>
    <row r="4582" spans="1:8" x14ac:dyDescent="0.25">
      <c r="A4582" s="140"/>
      <c r="B4582" s="155"/>
      <c r="C4582" s="152"/>
      <c r="D4582" s="952"/>
      <c r="E4582" s="361"/>
      <c r="F4582" s="151"/>
      <c r="G4582" s="362"/>
      <c r="H4582" s="134"/>
    </row>
    <row r="4583" spans="1:8" x14ac:dyDescent="0.25">
      <c r="A4583" s="140"/>
      <c r="B4583" s="155"/>
      <c r="C4583" s="152"/>
      <c r="D4583" s="952"/>
      <c r="E4583" s="361"/>
      <c r="F4583" s="151"/>
      <c r="G4583" s="362"/>
      <c r="H4583" s="134"/>
    </row>
    <row r="4584" spans="1:8" x14ac:dyDescent="0.25">
      <c r="A4584" s="140"/>
      <c r="B4584" s="155"/>
      <c r="C4584" s="152"/>
      <c r="D4584" s="952"/>
      <c r="E4584" s="361"/>
      <c r="F4584" s="151"/>
      <c r="G4584" s="362"/>
      <c r="H4584" s="134"/>
    </row>
    <row r="4585" spans="1:8" x14ac:dyDescent="0.25">
      <c r="A4585" s="140"/>
      <c r="B4585" s="155"/>
      <c r="C4585" s="152"/>
      <c r="D4585" s="952"/>
      <c r="E4585" s="361"/>
      <c r="F4585" s="151"/>
      <c r="G4585" s="362"/>
      <c r="H4585" s="134"/>
    </row>
    <row r="4586" spans="1:8" x14ac:dyDescent="0.25">
      <c r="A4586" s="140"/>
      <c r="B4586" s="155"/>
      <c r="C4586" s="152"/>
      <c r="D4586" s="952"/>
      <c r="E4586" s="361"/>
      <c r="F4586" s="151"/>
      <c r="G4586" s="362"/>
      <c r="H4586" s="134"/>
    </row>
    <row r="4587" spans="1:8" ht="15.75" thickBot="1" x14ac:dyDescent="0.3">
      <c r="A4587" s="140"/>
      <c r="B4587" s="155"/>
      <c r="C4587" s="152"/>
      <c r="D4587" s="952"/>
      <c r="E4587" s="361"/>
      <c r="F4587" s="151"/>
      <c r="G4587" s="362"/>
      <c r="H4587" s="134"/>
    </row>
    <row r="4588" spans="1:8" ht="15.75" thickBot="1" x14ac:dyDescent="0.3">
      <c r="A4588" s="140"/>
      <c r="B4588" s="157"/>
      <c r="C4588" s="159"/>
      <c r="D4588" s="953"/>
      <c r="E4588" s="369"/>
      <c r="F4588" s="158"/>
      <c r="G4588" s="363"/>
      <c r="H4588" s="161">
        <f>+SUM(G4576:G4588)</f>
        <v>598117.65110675187</v>
      </c>
    </row>
    <row r="4589" spans="1:8" ht="15.75" thickBot="1" x14ac:dyDescent="0.3">
      <c r="A4589" s="140"/>
      <c r="B4589" s="162"/>
      <c r="C4589" s="162"/>
      <c r="D4589" s="954"/>
      <c r="E4589" s="364"/>
      <c r="F4589" s="163"/>
      <c r="G4589" s="364"/>
      <c r="H4589" s="165"/>
    </row>
    <row r="4590" spans="1:8" ht="15.75" thickBot="1" x14ac:dyDescent="0.3">
      <c r="A4590" s="140"/>
      <c r="B4590" s="143" t="s">
        <v>5410</v>
      </c>
      <c r="C4590" s="144" t="s">
        <v>867</v>
      </c>
      <c r="D4590" s="951" t="s">
        <v>6</v>
      </c>
      <c r="E4590" s="370" t="s">
        <v>870</v>
      </c>
      <c r="F4590" s="144" t="s">
        <v>5411</v>
      </c>
      <c r="G4590" s="365" t="s">
        <v>868</v>
      </c>
      <c r="H4590" s="134"/>
    </row>
    <row r="4591" spans="1:8" x14ac:dyDescent="0.25">
      <c r="A4591" s="140"/>
      <c r="B4591" s="201" t="s">
        <v>5997</v>
      </c>
      <c r="C4591" s="147" t="s">
        <v>5430</v>
      </c>
      <c r="D4591" s="211">
        <v>1.1499999999999999</v>
      </c>
      <c r="E4591" s="366">
        <f>+E4576*0.1</f>
        <v>48455.097323376001</v>
      </c>
      <c r="F4591" s="211">
        <v>1</v>
      </c>
      <c r="G4591" s="367">
        <f>+D4591*E4591*F4591</f>
        <v>55723.361921882395</v>
      </c>
      <c r="H4591" s="134"/>
    </row>
    <row r="4592" spans="1:8" x14ac:dyDescent="0.25">
      <c r="A4592" s="140"/>
      <c r="B4592" s="166"/>
      <c r="C4592" s="148"/>
      <c r="D4592" s="961"/>
      <c r="E4592" s="148"/>
      <c r="F4592" s="147"/>
      <c r="G4592" s="172"/>
      <c r="H4592" s="134"/>
    </row>
    <row r="4593" spans="1:8" x14ac:dyDescent="0.25">
      <c r="A4593" s="140"/>
      <c r="B4593" s="155"/>
      <c r="C4593" s="152"/>
      <c r="D4593" s="952"/>
      <c r="E4593" s="152"/>
      <c r="F4593" s="151"/>
      <c r="G4593" s="156"/>
      <c r="H4593" s="134"/>
    </row>
    <row r="4594" spans="1:8" x14ac:dyDescent="0.25">
      <c r="A4594" s="140"/>
      <c r="B4594" s="155"/>
      <c r="C4594" s="152"/>
      <c r="D4594" s="952"/>
      <c r="E4594" s="152"/>
      <c r="F4594" s="151"/>
      <c r="G4594" s="156"/>
      <c r="H4594" s="134"/>
    </row>
    <row r="4595" spans="1:8" ht="15.75" thickBot="1" x14ac:dyDescent="0.3">
      <c r="A4595" s="140"/>
      <c r="B4595" s="155"/>
      <c r="C4595" s="152"/>
      <c r="D4595" s="952"/>
      <c r="E4595" s="152"/>
      <c r="F4595" s="151"/>
      <c r="G4595" s="156"/>
      <c r="H4595" s="134"/>
    </row>
    <row r="4596" spans="1:8" ht="15.75" thickBot="1" x14ac:dyDescent="0.3">
      <c r="A4596" s="140"/>
      <c r="B4596" s="157"/>
      <c r="C4596" s="159"/>
      <c r="D4596" s="953"/>
      <c r="E4596" s="159"/>
      <c r="F4596" s="158"/>
      <c r="G4596" s="160"/>
      <c r="H4596" s="161">
        <f>+SUM(G4591:G4596)</f>
        <v>55723.361921882395</v>
      </c>
    </row>
    <row r="4597" spans="1:8" ht="15.75" thickBot="1" x14ac:dyDescent="0.3">
      <c r="A4597" s="140"/>
      <c r="B4597" s="162"/>
      <c r="C4597" s="162"/>
      <c r="D4597" s="954"/>
      <c r="E4597" s="162"/>
      <c r="F4597" s="173"/>
      <c r="G4597" s="174"/>
      <c r="H4597" s="165"/>
    </row>
    <row r="4598" spans="1:8" ht="15.75" thickBot="1" x14ac:dyDescent="0.3">
      <c r="A4598" s="140"/>
      <c r="B4598" s="143" t="s">
        <v>5412</v>
      </c>
      <c r="C4598" s="193" t="s">
        <v>5420</v>
      </c>
      <c r="D4598" s="951" t="s">
        <v>5421</v>
      </c>
      <c r="E4598" s="193" t="s">
        <v>5413</v>
      </c>
      <c r="F4598" s="144" t="s">
        <v>5405</v>
      </c>
      <c r="G4598" s="145" t="s">
        <v>868</v>
      </c>
      <c r="H4598" s="134"/>
    </row>
    <row r="4599" spans="1:8" x14ac:dyDescent="0.25">
      <c r="A4599" s="140"/>
      <c r="B4599" s="194" t="s">
        <v>5948</v>
      </c>
      <c r="C4599" s="345">
        <f>+VLOOKUP($B4599,'Mano de obra'!$A$5:$D$26,2,FALSE)</f>
        <v>57455</v>
      </c>
      <c r="D4599" s="345">
        <f>+VLOOKUP($B4599,'Mano de obra'!$A$5:$D$26,3,FALSE)</f>
        <v>35656</v>
      </c>
      <c r="E4599" s="345">
        <f>+VLOOKUP($B4599,'Mano de obra'!$A$5:$D$26,4,FALSE)</f>
        <v>93111</v>
      </c>
      <c r="F4599" s="192">
        <v>50</v>
      </c>
      <c r="G4599" s="351">
        <f>+E4599/F4599</f>
        <v>1862.22</v>
      </c>
      <c r="H4599" s="134"/>
    </row>
    <row r="4600" spans="1:8" x14ac:dyDescent="0.25">
      <c r="A4600" s="140"/>
      <c r="B4600" s="194" t="s">
        <v>5949</v>
      </c>
      <c r="C4600" s="345">
        <f>+VLOOKUP($B4600,'Mano de obra'!$A$5:$D$26,2,FALSE)</f>
        <v>44263.8</v>
      </c>
      <c r="D4600" s="345">
        <f>+VLOOKUP($B4600,'Mano de obra'!$A$5:$D$26,3,FALSE)</f>
        <v>27470</v>
      </c>
      <c r="E4600" s="345">
        <f>+VLOOKUP($B4600,'Mano de obra'!$A$5:$D$26,4,FALSE)</f>
        <v>71733.8</v>
      </c>
      <c r="F4600" s="192">
        <v>5</v>
      </c>
      <c r="G4600" s="351">
        <f>+E4600/F4600</f>
        <v>14346.76</v>
      </c>
      <c r="H4600" s="134"/>
    </row>
    <row r="4601" spans="1:8" x14ac:dyDescent="0.25">
      <c r="A4601" s="140"/>
      <c r="B4601" s="195" t="s">
        <v>5635</v>
      </c>
      <c r="C4601" s="345">
        <f>+VLOOKUP($B4601,'Mano de obra'!$A$5:$D$26,2,FALSE)</f>
        <v>24591</v>
      </c>
      <c r="D4601" s="345">
        <f>+VLOOKUP($B4601,'Mano de obra'!$A$5:$D$26,3,FALSE)</f>
        <v>15261</v>
      </c>
      <c r="E4601" s="345">
        <f>+VLOOKUP($B4601,'Mano de obra'!$A$5:$D$26,4,FALSE)</f>
        <v>39852</v>
      </c>
      <c r="F4601" s="192">
        <v>1</v>
      </c>
      <c r="G4601" s="351">
        <f>+E4601/F4601</f>
        <v>39852</v>
      </c>
      <c r="H4601" s="134"/>
    </row>
    <row r="4602" spans="1:8" x14ac:dyDescent="0.25">
      <c r="A4602" s="140"/>
      <c r="B4602" s="155"/>
      <c r="C4602" s="152"/>
      <c r="D4602" s="952"/>
      <c r="E4602" s="152"/>
      <c r="F4602" s="151"/>
      <c r="G4602" s="156"/>
      <c r="H4602" s="134"/>
    </row>
    <row r="4603" spans="1:8" x14ac:dyDescent="0.25">
      <c r="A4603" s="140"/>
      <c r="B4603" s="155"/>
      <c r="C4603" s="152"/>
      <c r="D4603" s="952"/>
      <c r="E4603" s="152"/>
      <c r="F4603" s="151"/>
      <c r="G4603" s="156"/>
      <c r="H4603" s="134"/>
    </row>
    <row r="4604" spans="1:8" ht="15.75" thickBot="1" x14ac:dyDescent="0.3">
      <c r="A4604" s="140"/>
      <c r="B4604" s="155"/>
      <c r="C4604" s="152"/>
      <c r="D4604" s="952"/>
      <c r="E4604" s="152"/>
      <c r="F4604" s="151"/>
      <c r="G4604" s="156"/>
      <c r="H4604" s="134"/>
    </row>
    <row r="4605" spans="1:8" ht="15.75" thickBot="1" x14ac:dyDescent="0.3">
      <c r="A4605" s="140"/>
      <c r="B4605" s="179"/>
      <c r="C4605" s="180"/>
      <c r="D4605" s="956"/>
      <c r="E4605" s="180"/>
      <c r="F4605" s="181"/>
      <c r="G4605" s="182"/>
      <c r="H4605" s="161">
        <f>+SUM(G4599:G4605)</f>
        <v>56060.979999999996</v>
      </c>
    </row>
    <row r="4606" spans="1:8" ht="15.75" thickBot="1" x14ac:dyDescent="0.3">
      <c r="A4606" s="140"/>
      <c r="B4606" s="140"/>
      <c r="C4606" s="140"/>
      <c r="D4606" s="529"/>
      <c r="E4606" s="140"/>
      <c r="F4606" s="141"/>
      <c r="G4606" s="134"/>
      <c r="H4606" s="134"/>
    </row>
    <row r="4607" spans="1:8" ht="15.75" thickBot="1" x14ac:dyDescent="0.3">
      <c r="A4607" s="133" t="s">
        <v>6744</v>
      </c>
      <c r="B4607" s="140"/>
      <c r="C4607" s="140"/>
      <c r="D4607" s="529"/>
      <c r="E4607" s="183" t="s">
        <v>5415</v>
      </c>
      <c r="F4607" s="141"/>
      <c r="G4607" s="134"/>
      <c r="H4607" s="161">
        <f>ROUND(+H4573+H4588+H4596+H4605,0)</f>
        <v>718800</v>
      </c>
    </row>
    <row r="4608" spans="1:8" x14ac:dyDescent="0.25">
      <c r="A4608" s="1441"/>
      <c r="B4608" s="1441"/>
      <c r="C4608" s="1441"/>
      <c r="D4608" s="957"/>
      <c r="E4608" s="1441"/>
      <c r="F4608" s="1441"/>
      <c r="G4608" s="1441"/>
      <c r="H4608" s="1441"/>
    </row>
    <row r="4609" spans="1:8" x14ac:dyDescent="0.25">
      <c r="A4609" s="1441"/>
      <c r="B4609" s="1441"/>
      <c r="C4609" s="1441"/>
      <c r="D4609" s="957"/>
      <c r="E4609" s="1441"/>
      <c r="F4609" s="1441"/>
      <c r="G4609" s="1441"/>
      <c r="H4609" s="1441"/>
    </row>
    <row r="4610" spans="1:8" x14ac:dyDescent="0.25">
      <c r="A4610" s="673" t="s">
        <v>5482</v>
      </c>
      <c r="B4610" s="1390" t="str">
        <f>+VLOOKUP(C4610,ListaAPUs!$B:$E,4,FALSE)</f>
        <v>6.1.1</v>
      </c>
      <c r="C4610" s="2447" t="str">
        <f>+ListaAPUs!B146</f>
        <v>Prueba hidráulica y desinfección tuberia DN200</v>
      </c>
      <c r="D4610" s="2447"/>
      <c r="E4610" s="2447"/>
      <c r="F4610" s="673" t="s">
        <v>867</v>
      </c>
      <c r="G4610" s="342" t="s">
        <v>5402</v>
      </c>
      <c r="H4610" s="341"/>
    </row>
    <row r="4611" spans="1:8" x14ac:dyDescent="0.25">
      <c r="A4611" s="133"/>
      <c r="B4611" s="8"/>
      <c r="C4611" s="223"/>
      <c r="D4611" s="958"/>
      <c r="E4611" s="223"/>
      <c r="F4611" s="133"/>
      <c r="G4611" s="341"/>
      <c r="H4611" s="341"/>
    </row>
    <row r="4612" spans="1:8" x14ac:dyDescent="0.25">
      <c r="A4612" s="133"/>
      <c r="B4612" s="8"/>
      <c r="C4612" s="8"/>
      <c r="D4612" s="529"/>
      <c r="E4612" s="8"/>
      <c r="F4612" s="8"/>
      <c r="G4612" s="8"/>
      <c r="H4612" s="341"/>
    </row>
    <row r="4613" spans="1:8" ht="15.75" thickBot="1" x14ac:dyDescent="0.3">
      <c r="A4613" s="133"/>
      <c r="B4613" s="8"/>
      <c r="C4613" s="8"/>
      <c r="D4613" s="529"/>
      <c r="E4613" s="8"/>
      <c r="F4613" s="133"/>
      <c r="G4613" s="341"/>
      <c r="H4613" s="341"/>
    </row>
    <row r="4614" spans="1:8" ht="15.75" thickBot="1" x14ac:dyDescent="0.3">
      <c r="A4614" s="133"/>
      <c r="B4614" s="224" t="s">
        <v>5403</v>
      </c>
      <c r="C4614" s="193" t="s">
        <v>867</v>
      </c>
      <c r="D4614" s="951" t="s">
        <v>6</v>
      </c>
      <c r="E4614" s="193" t="s">
        <v>5439</v>
      </c>
      <c r="F4614" s="193" t="s">
        <v>5405</v>
      </c>
      <c r="G4614" s="343" t="s">
        <v>868</v>
      </c>
      <c r="H4614" s="341"/>
    </row>
    <row r="4615" spans="1:8" x14ac:dyDescent="0.25">
      <c r="A4615" s="133"/>
      <c r="B4615" s="146" t="s">
        <v>5934</v>
      </c>
      <c r="C4615" s="226"/>
      <c r="D4615" s="212"/>
      <c r="E4615" s="372">
        <f>+H4653</f>
        <v>341.16133333333335</v>
      </c>
      <c r="F4615" s="226">
        <v>0.1</v>
      </c>
      <c r="G4615" s="344">
        <f>+E4615*F4615</f>
        <v>34.116133333333337</v>
      </c>
      <c r="H4615" s="341"/>
    </row>
    <row r="4616" spans="1:8" x14ac:dyDescent="0.25">
      <c r="A4616" s="133"/>
      <c r="B4616" s="195" t="s">
        <v>6389</v>
      </c>
      <c r="C4616" s="226" t="s">
        <v>5424</v>
      </c>
      <c r="D4616" s="212">
        <v>1</v>
      </c>
      <c r="E4616" s="980">
        <f>+VLOOKUP(B4616,Insumos!$A$2:$C$331,3,FALSE)</f>
        <v>443126.26399999997</v>
      </c>
      <c r="F4616" s="226">
        <v>0.01</v>
      </c>
      <c r="G4616" s="344">
        <f>+E4616*F4616</f>
        <v>4431.2626399999999</v>
      </c>
      <c r="H4616" s="341"/>
    </row>
    <row r="4617" spans="1:8" x14ac:dyDescent="0.25">
      <c r="A4617" s="133"/>
      <c r="B4617" s="195"/>
      <c r="C4617" s="226"/>
      <c r="D4617" s="212"/>
      <c r="E4617" s="345"/>
      <c r="F4617" s="226"/>
      <c r="G4617" s="344"/>
      <c r="H4617" s="341"/>
    </row>
    <row r="4618" spans="1:8" x14ac:dyDescent="0.25">
      <c r="A4618" s="133"/>
      <c r="B4618" s="195"/>
      <c r="C4618" s="226"/>
      <c r="D4618" s="212"/>
      <c r="E4618" s="346"/>
      <c r="F4618" s="226"/>
      <c r="G4618" s="375"/>
      <c r="H4618" s="341"/>
    </row>
    <row r="4619" spans="1:8" x14ac:dyDescent="0.25">
      <c r="A4619" s="133"/>
      <c r="B4619" s="195"/>
      <c r="C4619" s="226"/>
      <c r="D4619" s="952"/>
      <c r="E4619" s="232"/>
      <c r="F4619" s="226"/>
      <c r="G4619" s="344"/>
      <c r="H4619" s="341"/>
    </row>
    <row r="4620" spans="1:8" ht="15.75" thickBot="1" x14ac:dyDescent="0.3">
      <c r="A4620" s="133"/>
      <c r="B4620" s="195"/>
      <c r="C4620" s="226"/>
      <c r="D4620" s="952"/>
      <c r="E4620" s="232"/>
      <c r="F4620" s="226"/>
      <c r="G4620" s="344"/>
      <c r="H4620" s="341"/>
    </row>
    <row r="4621" spans="1:8" ht="15.75" thickBot="1" x14ac:dyDescent="0.3">
      <c r="A4621" s="133"/>
      <c r="B4621" s="233"/>
      <c r="C4621" s="234"/>
      <c r="D4621" s="953"/>
      <c r="E4621" s="234"/>
      <c r="F4621" s="235"/>
      <c r="G4621" s="347"/>
      <c r="H4621" s="348">
        <f>+SUM(G4615:G4621)</f>
        <v>4465.3787733333329</v>
      </c>
    </row>
    <row r="4622" spans="1:8" ht="15.75" thickBot="1" x14ac:dyDescent="0.3">
      <c r="A4622" s="133"/>
      <c r="B4622" s="238"/>
      <c r="C4622" s="238"/>
      <c r="D4622" s="954"/>
      <c r="E4622" s="238"/>
      <c r="F4622" s="239"/>
      <c r="G4622" s="349"/>
      <c r="H4622" s="350"/>
    </row>
    <row r="4623" spans="1:8" ht="15.75" thickBot="1" x14ac:dyDescent="0.3">
      <c r="A4623" s="133"/>
      <c r="B4623" s="224" t="s">
        <v>5408</v>
      </c>
      <c r="C4623" s="193" t="s">
        <v>867</v>
      </c>
      <c r="D4623" s="951" t="s">
        <v>6</v>
      </c>
      <c r="E4623" s="193" t="s">
        <v>870</v>
      </c>
      <c r="F4623" s="193" t="s">
        <v>5409</v>
      </c>
      <c r="G4623" s="343" t="s">
        <v>868</v>
      </c>
      <c r="H4623" s="341"/>
    </row>
    <row r="4624" spans="1:8" x14ac:dyDescent="0.25">
      <c r="A4624" s="133"/>
      <c r="B4624" s="295" t="s">
        <v>5553</v>
      </c>
      <c r="C4624" s="202" t="s">
        <v>5488</v>
      </c>
      <c r="D4624" s="212">
        <f>+PI()*(0.2/2)^2*1000*2</f>
        <v>62.831853071795869</v>
      </c>
      <c r="E4624" s="980">
        <f>+VLOOKUP(B4624,Insumos!$A$2:$C$331,3,FALSE)</f>
        <v>30</v>
      </c>
      <c r="F4624" s="169">
        <v>0.05</v>
      </c>
      <c r="G4624" s="351">
        <f>+D4624*E4624*(1+F4624)</f>
        <v>1979.20337176157</v>
      </c>
      <c r="H4624" s="341"/>
    </row>
    <row r="4625" spans="1:8" x14ac:dyDescent="0.25">
      <c r="A4625" s="133"/>
      <c r="B4625" s="450" t="s">
        <v>5755</v>
      </c>
      <c r="C4625" s="202" t="s">
        <v>9068</v>
      </c>
      <c r="D4625" s="211">
        <f>+D4624*50/2</f>
        <v>1570.7963267948967</v>
      </c>
      <c r="E4625" s="980">
        <f>+VLOOKUP(B4625,Insumos!$A$2:$C$331,3,FALSE)</f>
        <v>1</v>
      </c>
      <c r="F4625" s="169">
        <v>0.05</v>
      </c>
      <c r="G4625" s="351">
        <f>+D4625*E4625*(1+F4625)</f>
        <v>1649.3361431346416</v>
      </c>
      <c r="H4625" s="341"/>
    </row>
    <row r="4626" spans="1:8" x14ac:dyDescent="0.25">
      <c r="A4626" s="133"/>
      <c r="B4626" s="260"/>
      <c r="C4626" s="202"/>
      <c r="D4626" s="212"/>
      <c r="E4626" s="376"/>
      <c r="F4626" s="169"/>
      <c r="G4626" s="377">
        <f>+E4626*D4626*(1+F4626)</f>
        <v>0</v>
      </c>
      <c r="H4626" s="341"/>
    </row>
    <row r="4627" spans="1:8" x14ac:dyDescent="0.25">
      <c r="A4627" s="133"/>
      <c r="B4627" s="260"/>
      <c r="C4627" s="226"/>
      <c r="D4627" s="212"/>
      <c r="E4627" s="346"/>
      <c r="F4627" s="169"/>
      <c r="G4627" s="377">
        <f>+E4627*D4627*(1+F4627)</f>
        <v>0</v>
      </c>
      <c r="H4627" s="341"/>
    </row>
    <row r="4628" spans="1:8" x14ac:dyDescent="0.25">
      <c r="A4628" s="133"/>
      <c r="B4628" s="195"/>
      <c r="C4628" s="226"/>
      <c r="D4628" s="212"/>
      <c r="E4628" s="346"/>
      <c r="F4628" s="169"/>
      <c r="G4628" s="351"/>
      <c r="H4628" s="341"/>
    </row>
    <row r="4629" spans="1:8" x14ac:dyDescent="0.25">
      <c r="A4629" s="133"/>
      <c r="B4629" s="194"/>
      <c r="C4629" s="202"/>
      <c r="D4629" s="211"/>
      <c r="E4629" s="346"/>
      <c r="F4629" s="169"/>
      <c r="G4629" s="351"/>
      <c r="H4629" s="341"/>
    </row>
    <row r="4630" spans="1:8" x14ac:dyDescent="0.25">
      <c r="A4630" s="133"/>
      <c r="B4630" s="195"/>
      <c r="C4630" s="226"/>
      <c r="D4630" s="212"/>
      <c r="E4630" s="346"/>
      <c r="F4630" s="169"/>
      <c r="G4630" s="351"/>
      <c r="H4630" s="341"/>
    </row>
    <row r="4631" spans="1:8" x14ac:dyDescent="0.25">
      <c r="A4631" s="133"/>
      <c r="B4631" s="195"/>
      <c r="C4631" s="226"/>
      <c r="D4631" s="212"/>
      <c r="E4631" s="346"/>
      <c r="F4631" s="169"/>
      <c r="G4631" s="351"/>
      <c r="H4631" s="341"/>
    </row>
    <row r="4632" spans="1:8" x14ac:dyDescent="0.25">
      <c r="A4632" s="133"/>
      <c r="B4632" s="195"/>
      <c r="C4632" s="232"/>
      <c r="D4632" s="952"/>
      <c r="E4632" s="232"/>
      <c r="F4632" s="226"/>
      <c r="G4632" s="344"/>
      <c r="H4632" s="341"/>
    </row>
    <row r="4633" spans="1:8" x14ac:dyDescent="0.25">
      <c r="A4633" s="133"/>
      <c r="B4633" s="195"/>
      <c r="C4633" s="232"/>
      <c r="D4633" s="952"/>
      <c r="E4633" s="232"/>
      <c r="F4633" s="226"/>
      <c r="G4633" s="344"/>
      <c r="H4633" s="341"/>
    </row>
    <row r="4634" spans="1:8" x14ac:dyDescent="0.25">
      <c r="A4634" s="133"/>
      <c r="B4634" s="195"/>
      <c r="C4634" s="232"/>
      <c r="D4634" s="952"/>
      <c r="E4634" s="232"/>
      <c r="F4634" s="226"/>
      <c r="G4634" s="344"/>
      <c r="H4634" s="341"/>
    </row>
    <row r="4635" spans="1:8" ht="15.75" thickBot="1" x14ac:dyDescent="0.3">
      <c r="A4635" s="133"/>
      <c r="B4635" s="195"/>
      <c r="C4635" s="232"/>
      <c r="D4635" s="952"/>
      <c r="E4635" s="232"/>
      <c r="F4635" s="226"/>
      <c r="G4635" s="344"/>
      <c r="H4635" s="341"/>
    </row>
    <row r="4636" spans="1:8" ht="15.75" thickBot="1" x14ac:dyDescent="0.3">
      <c r="A4636" s="133"/>
      <c r="B4636" s="233"/>
      <c r="C4636" s="234"/>
      <c r="D4636" s="953"/>
      <c r="E4636" s="234"/>
      <c r="F4636" s="235"/>
      <c r="G4636" s="347"/>
      <c r="H4636" s="348">
        <f>+SUM(G4624:G4636)</f>
        <v>3628.5395148962116</v>
      </c>
    </row>
    <row r="4637" spans="1:8" ht="15.75" thickBot="1" x14ac:dyDescent="0.3">
      <c r="A4637" s="133"/>
      <c r="B4637" s="238"/>
      <c r="C4637" s="238"/>
      <c r="D4637" s="954"/>
      <c r="E4637" s="238"/>
      <c r="F4637" s="239"/>
      <c r="G4637" s="349"/>
      <c r="H4637" s="350"/>
    </row>
    <row r="4638" spans="1:8" ht="15.75" thickBot="1" x14ac:dyDescent="0.3">
      <c r="A4638" s="133"/>
      <c r="B4638" s="224" t="s">
        <v>5410</v>
      </c>
      <c r="C4638" s="193" t="s">
        <v>867</v>
      </c>
      <c r="D4638" s="951" t="s">
        <v>6</v>
      </c>
      <c r="E4638" s="193" t="s">
        <v>870</v>
      </c>
      <c r="F4638" s="193" t="s">
        <v>5411</v>
      </c>
      <c r="G4638" s="343" t="s">
        <v>868</v>
      </c>
      <c r="H4638" s="341"/>
    </row>
    <row r="4639" spans="1:8" x14ac:dyDescent="0.25">
      <c r="A4639" s="133"/>
      <c r="B4639" s="245"/>
      <c r="C4639" s="283"/>
      <c r="D4639" s="959"/>
      <c r="E4639" s="379"/>
      <c r="F4639" s="283"/>
      <c r="G4639" s="354"/>
      <c r="H4639" s="355"/>
    </row>
    <row r="4640" spans="1:8" x14ac:dyDescent="0.25">
      <c r="A4640" s="133"/>
      <c r="B4640" s="247"/>
      <c r="C4640" s="286"/>
      <c r="D4640" s="960"/>
      <c r="E4640" s="380"/>
      <c r="F4640" s="286"/>
      <c r="G4640" s="351"/>
      <c r="H4640" s="341"/>
    </row>
    <row r="4641" spans="1:9" x14ac:dyDescent="0.25">
      <c r="A4641" s="133"/>
      <c r="B4641" s="247"/>
      <c r="C4641" s="286"/>
      <c r="D4641" s="960"/>
      <c r="E4641" s="288"/>
      <c r="F4641" s="286"/>
      <c r="G4641" s="344"/>
      <c r="H4641" s="341"/>
    </row>
    <row r="4642" spans="1:9" x14ac:dyDescent="0.25">
      <c r="A4642" s="133"/>
      <c r="B4642" s="194"/>
      <c r="C4642" s="248"/>
      <c r="D4642" s="961"/>
      <c r="E4642" s="248"/>
      <c r="F4642" s="202"/>
      <c r="G4642" s="344"/>
      <c r="H4642" s="341"/>
    </row>
    <row r="4643" spans="1:9" ht="15.75" thickBot="1" x14ac:dyDescent="0.3">
      <c r="A4643" s="133"/>
      <c r="B4643" s="195"/>
      <c r="C4643" s="232"/>
      <c r="D4643" s="952"/>
      <c r="E4643" s="232"/>
      <c r="F4643" s="226"/>
      <c r="G4643" s="344"/>
      <c r="H4643" s="341"/>
    </row>
    <row r="4644" spans="1:9" ht="15.75" thickBot="1" x14ac:dyDescent="0.3">
      <c r="A4644" s="133"/>
      <c r="B4644" s="233"/>
      <c r="C4644" s="234"/>
      <c r="D4644" s="953"/>
      <c r="E4644" s="234"/>
      <c r="F4644" s="235"/>
      <c r="G4644" s="347"/>
      <c r="H4644" s="348">
        <f>+SUM(G4639:G4644)</f>
        <v>0</v>
      </c>
    </row>
    <row r="4645" spans="1:9" ht="15.75" thickBot="1" x14ac:dyDescent="0.3">
      <c r="A4645" s="133"/>
      <c r="B4645" s="238"/>
      <c r="C4645" s="238"/>
      <c r="D4645" s="954"/>
      <c r="E4645" s="238"/>
      <c r="F4645" s="249"/>
      <c r="G4645" s="356"/>
      <c r="H4645" s="350"/>
    </row>
    <row r="4646" spans="1:9" ht="15.75" thickBot="1" x14ac:dyDescent="0.3">
      <c r="A4646" s="133"/>
      <c r="B4646" s="224" t="s">
        <v>5412</v>
      </c>
      <c r="C4646" s="193" t="s">
        <v>5420</v>
      </c>
      <c r="D4646" s="951" t="s">
        <v>5421</v>
      </c>
      <c r="E4646" s="193" t="s">
        <v>5413</v>
      </c>
      <c r="F4646" s="193" t="s">
        <v>5405</v>
      </c>
      <c r="G4646" s="343" t="s">
        <v>868</v>
      </c>
      <c r="H4646" s="341"/>
    </row>
    <row r="4647" spans="1:9" x14ac:dyDescent="0.25">
      <c r="A4647" s="133"/>
      <c r="B4647" s="381" t="s">
        <v>5948</v>
      </c>
      <c r="C4647" s="345">
        <f>+VLOOKUP($B4647,'Mano de obra'!$A$5:$D$26,2,FALSE)</f>
        <v>57455</v>
      </c>
      <c r="D4647" s="345">
        <f>+VLOOKUP($B4647,'Mano de obra'!$A$5:$D$26,3,FALSE)</f>
        <v>35656</v>
      </c>
      <c r="E4647" s="345">
        <f>+VLOOKUP($B4647,'Mano de obra'!$A$5:$D$26,4,FALSE)</f>
        <v>93111</v>
      </c>
      <c r="F4647" s="204">
        <v>600</v>
      </c>
      <c r="G4647" s="351">
        <f>+E4647/F4647</f>
        <v>155.185</v>
      </c>
      <c r="H4647" s="341"/>
    </row>
    <row r="4648" spans="1:9" x14ac:dyDescent="0.25">
      <c r="A4648" s="133"/>
      <c r="B4648" s="385" t="s">
        <v>5949</v>
      </c>
      <c r="C4648" s="345">
        <f>+VLOOKUP($B4648,'Mano de obra'!$A$5:$D$26,2,FALSE)</f>
        <v>44263.8</v>
      </c>
      <c r="D4648" s="345">
        <f>+VLOOKUP($B4648,'Mano de obra'!$A$5:$D$26,3,FALSE)</f>
        <v>27470</v>
      </c>
      <c r="E4648" s="345">
        <f>+VLOOKUP($B4648,'Mano de obra'!$A$5:$D$26,4,FALSE)</f>
        <v>71733.8</v>
      </c>
      <c r="F4648" s="202">
        <v>600</v>
      </c>
      <c r="G4648" s="351">
        <f>+E4648/F4648</f>
        <v>119.55633333333334</v>
      </c>
      <c r="H4648" s="341"/>
    </row>
    <row r="4649" spans="1:9" x14ac:dyDescent="0.25">
      <c r="A4649" s="133"/>
      <c r="B4649" s="385" t="s">
        <v>5635</v>
      </c>
      <c r="C4649" s="345">
        <f>+VLOOKUP($B4649,'Mano de obra'!$A$5:$D$26,2,FALSE)</f>
        <v>24591</v>
      </c>
      <c r="D4649" s="345">
        <f>+VLOOKUP($B4649,'Mano de obra'!$A$5:$D$26,3,FALSE)</f>
        <v>15261</v>
      </c>
      <c r="E4649" s="345">
        <f>+VLOOKUP($B4649,'Mano de obra'!$A$5:$D$26,4,FALSE)</f>
        <v>39852</v>
      </c>
      <c r="F4649" s="226">
        <v>600</v>
      </c>
      <c r="G4649" s="351">
        <f>+E4649/F4649</f>
        <v>66.42</v>
      </c>
      <c r="H4649" s="341"/>
    </row>
    <row r="4650" spans="1:9" x14ac:dyDescent="0.25">
      <c r="A4650" s="133"/>
      <c r="B4650" s="195"/>
      <c r="C4650" s="346"/>
      <c r="D4650" s="955"/>
      <c r="E4650" s="345"/>
      <c r="F4650" s="226"/>
      <c r="G4650" s="351"/>
      <c r="H4650" s="341"/>
    </row>
    <row r="4651" spans="1:9" x14ac:dyDescent="0.25">
      <c r="A4651" s="133"/>
      <c r="B4651" s="195"/>
      <c r="C4651" s="232"/>
      <c r="D4651" s="952"/>
      <c r="E4651" s="232"/>
      <c r="F4651" s="226"/>
      <c r="G4651" s="344"/>
      <c r="H4651" s="341"/>
    </row>
    <row r="4652" spans="1:9" ht="15.75" thickBot="1" x14ac:dyDescent="0.3">
      <c r="A4652" s="133"/>
      <c r="B4652" s="195"/>
      <c r="C4652" s="232"/>
      <c r="D4652" s="952"/>
      <c r="E4652" s="232"/>
      <c r="F4652" s="226"/>
      <c r="G4652" s="344"/>
      <c r="H4652" s="341"/>
    </row>
    <row r="4653" spans="1:9" ht="15.75" thickBot="1" x14ac:dyDescent="0.3">
      <c r="A4653" s="133"/>
      <c r="B4653" s="251"/>
      <c r="C4653" s="252"/>
      <c r="D4653" s="956"/>
      <c r="E4653" s="252"/>
      <c r="F4653" s="253"/>
      <c r="G4653" s="357"/>
      <c r="H4653" s="348">
        <f>+SUM(G4647:G4653)</f>
        <v>341.16133333333335</v>
      </c>
    </row>
    <row r="4654" spans="1:9" ht="15.75" thickBot="1" x14ac:dyDescent="0.3">
      <c r="A4654" s="133"/>
      <c r="B4654" s="8"/>
      <c r="C4654" s="8"/>
      <c r="D4654" s="529"/>
      <c r="E4654" s="8"/>
      <c r="F4654" s="133"/>
      <c r="G4654" s="341"/>
      <c r="H4654" s="341"/>
    </row>
    <row r="4655" spans="1:9" ht="15.75" thickBot="1" x14ac:dyDescent="0.3">
      <c r="A4655" s="133" t="s">
        <v>6744</v>
      </c>
      <c r="B4655" s="8"/>
      <c r="C4655" s="8"/>
      <c r="D4655" s="529"/>
      <c r="E4655" s="223" t="s">
        <v>5415</v>
      </c>
      <c r="F4655" s="133"/>
      <c r="G4655" s="341"/>
      <c r="H4655" s="348">
        <f>ROUND(+H4653+H4644+H4636+H4621,0)</f>
        <v>8435</v>
      </c>
      <c r="I4655">
        <v>15507</v>
      </c>
    </row>
    <row r="4656" spans="1:9" x14ac:dyDescent="0.25">
      <c r="A4656" s="1441"/>
      <c r="B4656" s="1441"/>
      <c r="C4656" s="1441"/>
      <c r="D4656" s="957"/>
      <c r="E4656" s="1441"/>
      <c r="F4656" s="1441"/>
      <c r="G4656" s="1441"/>
      <c r="H4656" s="1441"/>
    </row>
    <row r="4657" spans="1:8" s="1522" customFormat="1" x14ac:dyDescent="0.25">
      <c r="D4657" s="957"/>
    </row>
    <row r="4658" spans="1:8" s="1522" customFormat="1" x14ac:dyDescent="0.25">
      <c r="A4658" s="673" t="s">
        <v>5482</v>
      </c>
      <c r="B4658" s="1390" t="str">
        <f>+VLOOKUP(C4658,ListaAPUs!$B:$E,4,FALSE)</f>
        <v>6.1.2</v>
      </c>
      <c r="C4658" s="2447" t="str">
        <f>+ListaAPUs!B147</f>
        <v>Prueba hidráulica y desinfección tuberia DN250</v>
      </c>
      <c r="D4658" s="2447"/>
      <c r="E4658" s="2447"/>
      <c r="F4658" s="673" t="s">
        <v>867</v>
      </c>
      <c r="G4658" s="342" t="s">
        <v>5402</v>
      </c>
      <c r="H4658" s="341"/>
    </row>
    <row r="4659" spans="1:8" s="1522" customFormat="1" x14ac:dyDescent="0.25">
      <c r="A4659" s="1523"/>
      <c r="B4659" s="8"/>
      <c r="C4659" s="223"/>
      <c r="D4659" s="958"/>
      <c r="E4659" s="223"/>
      <c r="F4659" s="1523"/>
      <c r="G4659" s="341"/>
      <c r="H4659" s="341"/>
    </row>
    <row r="4660" spans="1:8" s="1522" customFormat="1" x14ac:dyDescent="0.25">
      <c r="A4660" s="1523"/>
      <c r="B4660" s="8"/>
      <c r="C4660" s="8"/>
      <c r="D4660" s="529"/>
      <c r="E4660" s="8"/>
      <c r="F4660" s="8"/>
      <c r="G4660" s="8"/>
      <c r="H4660" s="341"/>
    </row>
    <row r="4661" spans="1:8" s="1522" customFormat="1" ht="15.75" thickBot="1" x14ac:dyDescent="0.3">
      <c r="A4661" s="1523"/>
      <c r="B4661" s="8"/>
      <c r="C4661" s="8"/>
      <c r="D4661" s="529"/>
      <c r="E4661" s="8"/>
      <c r="F4661" s="1523"/>
      <c r="G4661" s="341"/>
      <c r="H4661" s="341"/>
    </row>
    <row r="4662" spans="1:8" s="1522" customFormat="1" ht="15.75" thickBot="1" x14ac:dyDescent="0.3">
      <c r="A4662" s="1523"/>
      <c r="B4662" s="224" t="s">
        <v>5403</v>
      </c>
      <c r="C4662" s="193" t="s">
        <v>867</v>
      </c>
      <c r="D4662" s="951" t="s">
        <v>6</v>
      </c>
      <c r="E4662" s="193" t="s">
        <v>5439</v>
      </c>
      <c r="F4662" s="193" t="s">
        <v>5405</v>
      </c>
      <c r="G4662" s="343" t="s">
        <v>868</v>
      </c>
      <c r="H4662" s="341"/>
    </row>
    <row r="4663" spans="1:8" s="1522" customFormat="1" x14ac:dyDescent="0.25">
      <c r="A4663" s="1523"/>
      <c r="B4663" s="1533" t="s">
        <v>5934</v>
      </c>
      <c r="C4663" s="226"/>
      <c r="D4663" s="212"/>
      <c r="E4663" s="372">
        <f>+H4701</f>
        <v>409.39360000000005</v>
      </c>
      <c r="F4663" s="226">
        <v>0.1</v>
      </c>
      <c r="G4663" s="344">
        <f>+E4663*F4663</f>
        <v>40.939360000000008</v>
      </c>
      <c r="H4663" s="341"/>
    </row>
    <row r="4664" spans="1:8" s="1522" customFormat="1" x14ac:dyDescent="0.25">
      <c r="A4664" s="1523"/>
      <c r="B4664" s="1561" t="s">
        <v>6389</v>
      </c>
      <c r="C4664" s="226" t="s">
        <v>5424</v>
      </c>
      <c r="D4664" s="212">
        <v>1</v>
      </c>
      <c r="E4664" s="980">
        <f>+VLOOKUP(B4664,Insumos!$A$2:$C$331,3,FALSE)</f>
        <v>443126.26399999997</v>
      </c>
      <c r="F4664" s="226">
        <f>1/(500/6)</f>
        <v>1.2E-2</v>
      </c>
      <c r="G4664" s="344">
        <f>+E4664*F4664</f>
        <v>5317.5151679999999</v>
      </c>
      <c r="H4664" s="341"/>
    </row>
    <row r="4665" spans="1:8" s="1522" customFormat="1" x14ac:dyDescent="0.25">
      <c r="A4665" s="1523"/>
      <c r="B4665" s="1561"/>
      <c r="C4665" s="226"/>
      <c r="D4665" s="212"/>
      <c r="E4665" s="1569"/>
      <c r="F4665" s="226"/>
      <c r="G4665" s="344"/>
      <c r="H4665" s="341"/>
    </row>
    <row r="4666" spans="1:8" s="1522" customFormat="1" x14ac:dyDescent="0.25">
      <c r="A4666" s="1523"/>
      <c r="B4666" s="1561"/>
      <c r="C4666" s="226"/>
      <c r="D4666" s="212"/>
      <c r="E4666" s="346"/>
      <c r="F4666" s="226"/>
      <c r="G4666" s="375"/>
      <c r="H4666" s="341"/>
    </row>
    <row r="4667" spans="1:8" s="1522" customFormat="1" x14ac:dyDescent="0.25">
      <c r="A4667" s="1523"/>
      <c r="B4667" s="1561"/>
      <c r="C4667" s="226"/>
      <c r="D4667" s="952"/>
      <c r="E4667" s="232"/>
      <c r="F4667" s="226"/>
      <c r="G4667" s="344"/>
      <c r="H4667" s="341"/>
    </row>
    <row r="4668" spans="1:8" s="1522" customFormat="1" ht="15.75" thickBot="1" x14ac:dyDescent="0.3">
      <c r="A4668" s="1523"/>
      <c r="B4668" s="1561"/>
      <c r="C4668" s="226"/>
      <c r="D4668" s="952"/>
      <c r="E4668" s="232"/>
      <c r="F4668" s="226"/>
      <c r="G4668" s="344"/>
      <c r="H4668" s="341"/>
    </row>
    <row r="4669" spans="1:8" s="1522" customFormat="1" ht="15.75" thickBot="1" x14ac:dyDescent="0.3">
      <c r="A4669" s="1523"/>
      <c r="B4669" s="233"/>
      <c r="C4669" s="234"/>
      <c r="D4669" s="953"/>
      <c r="E4669" s="234"/>
      <c r="F4669" s="235"/>
      <c r="G4669" s="347"/>
      <c r="H4669" s="348">
        <f>+SUM(G4663:G4669)</f>
        <v>5358.4545280000002</v>
      </c>
    </row>
    <row r="4670" spans="1:8" s="1522" customFormat="1" ht="15.75" thickBot="1" x14ac:dyDescent="0.3">
      <c r="A4670" s="1523"/>
      <c r="B4670" s="238"/>
      <c r="C4670" s="238"/>
      <c r="D4670" s="954"/>
      <c r="E4670" s="238"/>
      <c r="F4670" s="239"/>
      <c r="G4670" s="349"/>
      <c r="H4670" s="350"/>
    </row>
    <row r="4671" spans="1:8" s="1522" customFormat="1" ht="15.75" thickBot="1" x14ac:dyDescent="0.3">
      <c r="A4671" s="1523"/>
      <c r="B4671" s="224" t="s">
        <v>5408</v>
      </c>
      <c r="C4671" s="193" t="s">
        <v>867</v>
      </c>
      <c r="D4671" s="951" t="s">
        <v>6</v>
      </c>
      <c r="E4671" s="193" t="s">
        <v>870</v>
      </c>
      <c r="F4671" s="193" t="s">
        <v>5409</v>
      </c>
      <c r="G4671" s="343" t="s">
        <v>868</v>
      </c>
      <c r="H4671" s="341"/>
    </row>
    <row r="4672" spans="1:8" s="1522" customFormat="1" x14ac:dyDescent="0.25">
      <c r="A4672" s="1523"/>
      <c r="B4672" s="295" t="s">
        <v>5553</v>
      </c>
      <c r="C4672" s="1565" t="s">
        <v>5488</v>
      </c>
      <c r="D4672" s="212">
        <f>+PI()*(0.25/2)^2*1000*2</f>
        <v>98.174770424681029</v>
      </c>
      <c r="E4672" s="980">
        <f>+VLOOKUP(B4672,Insumos!$A$2:$C$331,3,FALSE)</f>
        <v>30</v>
      </c>
      <c r="F4672" s="1552">
        <v>0.05</v>
      </c>
      <c r="G4672" s="351">
        <f>+D4672*E4672*(1+F4672)</f>
        <v>3092.5052683774525</v>
      </c>
      <c r="H4672" s="341"/>
    </row>
    <row r="4673" spans="1:8" s="1522" customFormat="1" x14ac:dyDescent="0.25">
      <c r="A4673" s="1523"/>
      <c r="B4673" s="450" t="s">
        <v>5755</v>
      </c>
      <c r="C4673" s="1565" t="s">
        <v>9068</v>
      </c>
      <c r="D4673" s="211">
        <f>+D4672*50/2</f>
        <v>2454.3692606170257</v>
      </c>
      <c r="E4673" s="980">
        <f>+VLOOKUP(B4673,Insumos!$A$2:$C$331,3,FALSE)</f>
        <v>1</v>
      </c>
      <c r="F4673" s="1552">
        <v>0.05</v>
      </c>
      <c r="G4673" s="351">
        <f>+D4673*E4673*(1+F4673)</f>
        <v>2577.0877236478773</v>
      </c>
      <c r="H4673" s="341"/>
    </row>
    <row r="4674" spans="1:8" s="1522" customFormat="1" x14ac:dyDescent="0.25">
      <c r="A4674" s="1523"/>
      <c r="B4674" s="260"/>
      <c r="C4674" s="1565"/>
      <c r="D4674" s="212"/>
      <c r="E4674" s="376"/>
      <c r="F4674" s="1552"/>
      <c r="G4674" s="377">
        <f>+E4674*D4674*(1+F4674)</f>
        <v>0</v>
      </c>
      <c r="H4674" s="341"/>
    </row>
    <row r="4675" spans="1:8" s="1522" customFormat="1" x14ac:dyDescent="0.25">
      <c r="A4675" s="1523"/>
      <c r="B4675" s="260"/>
      <c r="C4675" s="226"/>
      <c r="D4675" s="212"/>
      <c r="E4675" s="346"/>
      <c r="F4675" s="1552"/>
      <c r="G4675" s="377">
        <f>+E4675*D4675*(1+F4675)</f>
        <v>0</v>
      </c>
      <c r="H4675" s="341"/>
    </row>
    <row r="4676" spans="1:8" s="1522" customFormat="1" x14ac:dyDescent="0.25">
      <c r="A4676" s="1523"/>
      <c r="B4676" s="1561"/>
      <c r="C4676" s="226"/>
      <c r="D4676" s="212"/>
      <c r="E4676" s="346"/>
      <c r="F4676" s="1552"/>
      <c r="G4676" s="351"/>
      <c r="H4676" s="341"/>
    </row>
    <row r="4677" spans="1:8" s="1522" customFormat="1" x14ac:dyDescent="0.25">
      <c r="A4677" s="1523"/>
      <c r="B4677" s="1560"/>
      <c r="C4677" s="1565"/>
      <c r="D4677" s="211"/>
      <c r="E4677" s="346"/>
      <c r="F4677" s="1552"/>
      <c r="G4677" s="351"/>
      <c r="H4677" s="341"/>
    </row>
    <row r="4678" spans="1:8" s="1522" customFormat="1" x14ac:dyDescent="0.25">
      <c r="A4678" s="1523"/>
      <c r="B4678" s="1561"/>
      <c r="C4678" s="226"/>
      <c r="D4678" s="212"/>
      <c r="E4678" s="346"/>
      <c r="F4678" s="1552"/>
      <c r="G4678" s="351"/>
      <c r="H4678" s="341"/>
    </row>
    <row r="4679" spans="1:8" s="1522" customFormat="1" x14ac:dyDescent="0.25">
      <c r="A4679" s="1523"/>
      <c r="B4679" s="1561"/>
      <c r="C4679" s="226"/>
      <c r="D4679" s="212"/>
      <c r="E4679" s="346"/>
      <c r="F4679" s="1552"/>
      <c r="G4679" s="351"/>
      <c r="H4679" s="341"/>
    </row>
    <row r="4680" spans="1:8" s="1522" customFormat="1" x14ac:dyDescent="0.25">
      <c r="A4680" s="1523"/>
      <c r="B4680" s="1561"/>
      <c r="C4680" s="232"/>
      <c r="D4680" s="952"/>
      <c r="E4680" s="232"/>
      <c r="F4680" s="226"/>
      <c r="G4680" s="344"/>
      <c r="H4680" s="341"/>
    </row>
    <row r="4681" spans="1:8" s="1522" customFormat="1" x14ac:dyDescent="0.25">
      <c r="A4681" s="1523"/>
      <c r="B4681" s="1561"/>
      <c r="C4681" s="232"/>
      <c r="D4681" s="952"/>
      <c r="E4681" s="232"/>
      <c r="F4681" s="226"/>
      <c r="G4681" s="344"/>
      <c r="H4681" s="341"/>
    </row>
    <row r="4682" spans="1:8" s="1522" customFormat="1" x14ac:dyDescent="0.25">
      <c r="A4682" s="1523"/>
      <c r="B4682" s="1561"/>
      <c r="C4682" s="232"/>
      <c r="D4682" s="952"/>
      <c r="E4682" s="232"/>
      <c r="F4682" s="226"/>
      <c r="G4682" s="344"/>
      <c r="H4682" s="341"/>
    </row>
    <row r="4683" spans="1:8" s="1522" customFormat="1" ht="15.75" thickBot="1" x14ac:dyDescent="0.3">
      <c r="A4683" s="1523"/>
      <c r="B4683" s="1561"/>
      <c r="C4683" s="232"/>
      <c r="D4683" s="952"/>
      <c r="E4683" s="232"/>
      <c r="F4683" s="226"/>
      <c r="G4683" s="344"/>
      <c r="H4683" s="341"/>
    </row>
    <row r="4684" spans="1:8" s="1522" customFormat="1" ht="15.75" thickBot="1" x14ac:dyDescent="0.3">
      <c r="A4684" s="1523"/>
      <c r="B4684" s="233"/>
      <c r="C4684" s="234"/>
      <c r="D4684" s="953"/>
      <c r="E4684" s="234"/>
      <c r="F4684" s="235"/>
      <c r="G4684" s="347"/>
      <c r="H4684" s="348">
        <f>+SUM(G4672:G4684)</f>
        <v>5669.5929920253293</v>
      </c>
    </row>
    <row r="4685" spans="1:8" s="1522" customFormat="1" ht="15.75" thickBot="1" x14ac:dyDescent="0.3">
      <c r="A4685" s="1523"/>
      <c r="B4685" s="238"/>
      <c r="C4685" s="238"/>
      <c r="D4685" s="954"/>
      <c r="E4685" s="238"/>
      <c r="F4685" s="239"/>
      <c r="G4685" s="349"/>
      <c r="H4685" s="350"/>
    </row>
    <row r="4686" spans="1:8" s="1522" customFormat="1" ht="15.75" thickBot="1" x14ac:dyDescent="0.3">
      <c r="A4686" s="1523"/>
      <c r="B4686" s="224" t="s">
        <v>5410</v>
      </c>
      <c r="C4686" s="193" t="s">
        <v>867</v>
      </c>
      <c r="D4686" s="951" t="s">
        <v>6</v>
      </c>
      <c r="E4686" s="193" t="s">
        <v>870</v>
      </c>
      <c r="F4686" s="193" t="s">
        <v>5411</v>
      </c>
      <c r="G4686" s="343" t="s">
        <v>868</v>
      </c>
      <c r="H4686" s="341"/>
    </row>
    <row r="4687" spans="1:8" s="1522" customFormat="1" x14ac:dyDescent="0.25">
      <c r="A4687" s="1523"/>
      <c r="B4687" s="245"/>
      <c r="C4687" s="283"/>
      <c r="D4687" s="959"/>
      <c r="E4687" s="379"/>
      <c r="F4687" s="283"/>
      <c r="G4687" s="354"/>
      <c r="H4687" s="355"/>
    </row>
    <row r="4688" spans="1:8" s="1522" customFormat="1" x14ac:dyDescent="0.25">
      <c r="A4688" s="1523"/>
      <c r="B4688" s="247"/>
      <c r="C4688" s="286"/>
      <c r="D4688" s="960"/>
      <c r="E4688" s="380"/>
      <c r="F4688" s="286"/>
      <c r="G4688" s="351"/>
      <c r="H4688" s="341"/>
    </row>
    <row r="4689" spans="1:9" s="1522" customFormat="1" x14ac:dyDescent="0.25">
      <c r="A4689" s="1523"/>
      <c r="B4689" s="247"/>
      <c r="C4689" s="286"/>
      <c r="D4689" s="960"/>
      <c r="E4689" s="288"/>
      <c r="F4689" s="286"/>
      <c r="G4689" s="344"/>
      <c r="H4689" s="341"/>
    </row>
    <row r="4690" spans="1:9" s="1522" customFormat="1" x14ac:dyDescent="0.25">
      <c r="A4690" s="1523"/>
      <c r="B4690" s="1560"/>
      <c r="C4690" s="248"/>
      <c r="D4690" s="961"/>
      <c r="E4690" s="248"/>
      <c r="F4690" s="1565"/>
      <c r="G4690" s="344"/>
      <c r="H4690" s="341"/>
    </row>
    <row r="4691" spans="1:9" s="1522" customFormat="1" ht="15.75" thickBot="1" x14ac:dyDescent="0.3">
      <c r="A4691" s="1523"/>
      <c r="B4691" s="1561"/>
      <c r="C4691" s="232"/>
      <c r="D4691" s="952"/>
      <c r="E4691" s="232"/>
      <c r="F4691" s="226"/>
      <c r="G4691" s="344"/>
      <c r="H4691" s="341"/>
    </row>
    <row r="4692" spans="1:9" s="1522" customFormat="1" ht="15.75" thickBot="1" x14ac:dyDescent="0.3">
      <c r="A4692" s="1523"/>
      <c r="B4692" s="233"/>
      <c r="C4692" s="234"/>
      <c r="D4692" s="953"/>
      <c r="E4692" s="234"/>
      <c r="F4692" s="235"/>
      <c r="G4692" s="347"/>
      <c r="H4692" s="348">
        <f>+SUM(G4687:G4692)</f>
        <v>0</v>
      </c>
    </row>
    <row r="4693" spans="1:9" s="1522" customFormat="1" ht="15.75" thickBot="1" x14ac:dyDescent="0.3">
      <c r="A4693" s="1523"/>
      <c r="B4693" s="238"/>
      <c r="C4693" s="238"/>
      <c r="D4693" s="954"/>
      <c r="E4693" s="238"/>
      <c r="F4693" s="249"/>
      <c r="G4693" s="356"/>
      <c r="H4693" s="350"/>
    </row>
    <row r="4694" spans="1:9" s="1522" customFormat="1" ht="15.75" thickBot="1" x14ac:dyDescent="0.3">
      <c r="A4694" s="1523"/>
      <c r="B4694" s="224" t="s">
        <v>5412</v>
      </c>
      <c r="C4694" s="193" t="s">
        <v>5420</v>
      </c>
      <c r="D4694" s="951" t="s">
        <v>5421</v>
      </c>
      <c r="E4694" s="193" t="s">
        <v>5413</v>
      </c>
      <c r="F4694" s="193" t="s">
        <v>5405</v>
      </c>
      <c r="G4694" s="343" t="s">
        <v>868</v>
      </c>
      <c r="H4694" s="341"/>
    </row>
    <row r="4695" spans="1:9" s="1522" customFormat="1" x14ac:dyDescent="0.25">
      <c r="A4695" s="1523"/>
      <c r="B4695" s="381" t="s">
        <v>5948</v>
      </c>
      <c r="C4695" s="1569">
        <f>+VLOOKUP($B4695,'Mano de obra'!$A$5:$D$26,2,FALSE)</f>
        <v>57455</v>
      </c>
      <c r="D4695" s="1569">
        <f>+VLOOKUP($B4695,'Mano de obra'!$A$5:$D$26,3,FALSE)</f>
        <v>35656</v>
      </c>
      <c r="E4695" s="1569">
        <f>+VLOOKUP($B4695,'Mano de obra'!$A$5:$D$26,4,FALSE)</f>
        <v>93111</v>
      </c>
      <c r="F4695" s="1566">
        <v>500</v>
      </c>
      <c r="G4695" s="351">
        <f>+E4695/F4695</f>
        <v>186.22200000000001</v>
      </c>
      <c r="H4695" s="341"/>
    </row>
    <row r="4696" spans="1:9" s="1522" customFormat="1" x14ac:dyDescent="0.25">
      <c r="A4696" s="1523"/>
      <c r="B4696" s="385" t="s">
        <v>5949</v>
      </c>
      <c r="C4696" s="1569">
        <f>+VLOOKUP($B4696,'Mano de obra'!$A$5:$D$26,2,FALSE)</f>
        <v>44263.8</v>
      </c>
      <c r="D4696" s="1569">
        <f>+VLOOKUP($B4696,'Mano de obra'!$A$5:$D$26,3,FALSE)</f>
        <v>27470</v>
      </c>
      <c r="E4696" s="1569">
        <f>+VLOOKUP($B4696,'Mano de obra'!$A$5:$D$26,4,FALSE)</f>
        <v>71733.8</v>
      </c>
      <c r="F4696" s="1565">
        <v>500</v>
      </c>
      <c r="G4696" s="351">
        <f>+E4696/F4696</f>
        <v>143.4676</v>
      </c>
      <c r="H4696" s="341"/>
    </row>
    <row r="4697" spans="1:9" s="1522" customFormat="1" x14ac:dyDescent="0.25">
      <c r="A4697" s="1523"/>
      <c r="B4697" s="385" t="s">
        <v>5635</v>
      </c>
      <c r="C4697" s="1569">
        <f>+VLOOKUP($B4697,'Mano de obra'!$A$5:$D$26,2,FALSE)</f>
        <v>24591</v>
      </c>
      <c r="D4697" s="1569">
        <f>+VLOOKUP($B4697,'Mano de obra'!$A$5:$D$26,3,FALSE)</f>
        <v>15261</v>
      </c>
      <c r="E4697" s="1569">
        <f>+VLOOKUP($B4697,'Mano de obra'!$A$5:$D$26,4,FALSE)</f>
        <v>39852</v>
      </c>
      <c r="F4697" s="226">
        <v>500</v>
      </c>
      <c r="G4697" s="351">
        <f>+E4697/F4697</f>
        <v>79.703999999999994</v>
      </c>
      <c r="H4697" s="341"/>
    </row>
    <row r="4698" spans="1:9" s="1522" customFormat="1" x14ac:dyDescent="0.25">
      <c r="A4698" s="1523"/>
      <c r="B4698" s="1561"/>
      <c r="C4698" s="346"/>
      <c r="D4698" s="955"/>
      <c r="E4698" s="1569"/>
      <c r="F4698" s="226"/>
      <c r="G4698" s="351"/>
      <c r="H4698" s="341"/>
    </row>
    <row r="4699" spans="1:9" s="1522" customFormat="1" x14ac:dyDescent="0.25">
      <c r="A4699" s="1523"/>
      <c r="B4699" s="1561"/>
      <c r="C4699" s="232"/>
      <c r="D4699" s="952"/>
      <c r="E4699" s="232"/>
      <c r="F4699" s="226"/>
      <c r="G4699" s="344"/>
      <c r="H4699" s="341"/>
    </row>
    <row r="4700" spans="1:9" s="1522" customFormat="1" ht="15.75" thickBot="1" x14ac:dyDescent="0.3">
      <c r="A4700" s="1523"/>
      <c r="B4700" s="1561"/>
      <c r="C4700" s="232"/>
      <c r="D4700" s="952"/>
      <c r="E4700" s="232"/>
      <c r="F4700" s="226"/>
      <c r="G4700" s="344"/>
      <c r="H4700" s="341"/>
    </row>
    <row r="4701" spans="1:9" s="1522" customFormat="1" ht="15.75" thickBot="1" x14ac:dyDescent="0.3">
      <c r="A4701" s="1523"/>
      <c r="B4701" s="251"/>
      <c r="C4701" s="252"/>
      <c r="D4701" s="956"/>
      <c r="E4701" s="252"/>
      <c r="F4701" s="253"/>
      <c r="G4701" s="357"/>
      <c r="H4701" s="348">
        <f>+SUM(G4695:G4701)</f>
        <v>409.39360000000005</v>
      </c>
    </row>
    <row r="4702" spans="1:9" s="1522" customFormat="1" ht="15.75" thickBot="1" x14ac:dyDescent="0.3">
      <c r="A4702" s="1523"/>
      <c r="B4702" s="8"/>
      <c r="C4702" s="8"/>
      <c r="D4702" s="529"/>
      <c r="E4702" s="8"/>
      <c r="F4702" s="1523"/>
      <c r="G4702" s="341"/>
      <c r="H4702" s="341"/>
    </row>
    <row r="4703" spans="1:9" s="1522" customFormat="1" ht="15.75" thickBot="1" x14ac:dyDescent="0.3">
      <c r="A4703" s="1523" t="s">
        <v>6744</v>
      </c>
      <c r="B4703" s="8"/>
      <c r="C4703" s="8"/>
      <c r="D4703" s="529"/>
      <c r="E4703" s="223" t="s">
        <v>5415</v>
      </c>
      <c r="F4703" s="1523"/>
      <c r="G4703" s="341"/>
      <c r="H4703" s="348">
        <f>ROUND(+H4701+H4692+H4684+H4669,0)</f>
        <v>11437</v>
      </c>
      <c r="I4703" s="1522">
        <v>17548</v>
      </c>
    </row>
    <row r="4704" spans="1:9" s="1522" customFormat="1" x14ac:dyDescent="0.25">
      <c r="D4704" s="957"/>
    </row>
    <row r="4705" spans="1:8" s="1522" customFormat="1" x14ac:dyDescent="0.25">
      <c r="D4705" s="957"/>
    </row>
    <row r="4706" spans="1:8" s="1522" customFormat="1" x14ac:dyDescent="0.25">
      <c r="A4706" s="673" t="s">
        <v>5482</v>
      </c>
      <c r="B4706" s="1390" t="str">
        <f>+VLOOKUP(C4706,ListaAPUs!$B:$E,4,FALSE)</f>
        <v>6.1.3</v>
      </c>
      <c r="C4706" s="2447" t="str">
        <f>+ListaAPUs!B148</f>
        <v>Prueba hidráulica y desinfección tuberia DN300</v>
      </c>
      <c r="D4706" s="2447"/>
      <c r="E4706" s="2447"/>
      <c r="F4706" s="673" t="s">
        <v>867</v>
      </c>
      <c r="G4706" s="342" t="s">
        <v>5402</v>
      </c>
      <c r="H4706" s="341"/>
    </row>
    <row r="4707" spans="1:8" s="1522" customFormat="1" x14ac:dyDescent="0.25">
      <c r="A4707" s="1523"/>
      <c r="B4707" s="8"/>
      <c r="C4707" s="223"/>
      <c r="D4707" s="958"/>
      <c r="E4707" s="223"/>
      <c r="F4707" s="1523"/>
      <c r="G4707" s="341"/>
      <c r="H4707" s="341"/>
    </row>
    <row r="4708" spans="1:8" s="1522" customFormat="1" x14ac:dyDescent="0.25">
      <c r="A4708" s="1523"/>
      <c r="B4708" s="8"/>
      <c r="C4708" s="8"/>
      <c r="D4708" s="529"/>
      <c r="E4708" s="8"/>
      <c r="F4708" s="8"/>
      <c r="G4708" s="8"/>
      <c r="H4708" s="341"/>
    </row>
    <row r="4709" spans="1:8" s="1522" customFormat="1" ht="15.75" thickBot="1" x14ac:dyDescent="0.3">
      <c r="A4709" s="1523"/>
      <c r="B4709" s="8"/>
      <c r="C4709" s="8"/>
      <c r="D4709" s="529"/>
      <c r="E4709" s="8"/>
      <c r="F4709" s="1523"/>
      <c r="G4709" s="341"/>
      <c r="H4709" s="341"/>
    </row>
    <row r="4710" spans="1:8" s="1522" customFormat="1" ht="15.75" thickBot="1" x14ac:dyDescent="0.3">
      <c r="A4710" s="1523"/>
      <c r="B4710" s="224" t="s">
        <v>5403</v>
      </c>
      <c r="C4710" s="193" t="s">
        <v>867</v>
      </c>
      <c r="D4710" s="951" t="s">
        <v>6</v>
      </c>
      <c r="E4710" s="193" t="s">
        <v>5439</v>
      </c>
      <c r="F4710" s="193" t="s">
        <v>5405</v>
      </c>
      <c r="G4710" s="343" t="s">
        <v>868</v>
      </c>
      <c r="H4710" s="341"/>
    </row>
    <row r="4711" spans="1:8" s="1522" customFormat="1" x14ac:dyDescent="0.25">
      <c r="A4711" s="1523"/>
      <c r="B4711" s="1533" t="s">
        <v>5934</v>
      </c>
      <c r="C4711" s="226"/>
      <c r="D4711" s="212"/>
      <c r="E4711" s="372">
        <f>+H4749</f>
        <v>511.74200000000002</v>
      </c>
      <c r="F4711" s="226">
        <v>0.1</v>
      </c>
      <c r="G4711" s="344">
        <f>+E4711*F4711</f>
        <v>51.174200000000006</v>
      </c>
      <c r="H4711" s="341"/>
    </row>
    <row r="4712" spans="1:8" s="1522" customFormat="1" x14ac:dyDescent="0.25">
      <c r="A4712" s="1523"/>
      <c r="B4712" s="1561" t="s">
        <v>6389</v>
      </c>
      <c r="C4712" s="226" t="s">
        <v>5424</v>
      </c>
      <c r="D4712" s="212">
        <v>1</v>
      </c>
      <c r="E4712" s="980">
        <f>+VLOOKUP(B4712,Insumos!$A$2:$C$331,3,FALSE)</f>
        <v>443126.26399999997</v>
      </c>
      <c r="F4712" s="226">
        <f>1/(400/6)</f>
        <v>1.4999999999999999E-2</v>
      </c>
      <c r="G4712" s="344">
        <f>+E4712*F4712</f>
        <v>6646.8939599999994</v>
      </c>
      <c r="H4712" s="341"/>
    </row>
    <row r="4713" spans="1:8" s="1522" customFormat="1" x14ac:dyDescent="0.25">
      <c r="A4713" s="1523"/>
      <c r="B4713" s="1561"/>
      <c r="C4713" s="226"/>
      <c r="D4713" s="212"/>
      <c r="E4713" s="1569"/>
      <c r="F4713" s="226"/>
      <c r="G4713" s="344"/>
      <c r="H4713" s="341"/>
    </row>
    <row r="4714" spans="1:8" s="1522" customFormat="1" x14ac:dyDescent="0.25">
      <c r="A4714" s="1523"/>
      <c r="B4714" s="1561"/>
      <c r="C4714" s="226"/>
      <c r="D4714" s="212"/>
      <c r="E4714" s="346"/>
      <c r="F4714" s="226"/>
      <c r="G4714" s="375"/>
      <c r="H4714" s="341"/>
    </row>
    <row r="4715" spans="1:8" s="1522" customFormat="1" x14ac:dyDescent="0.25">
      <c r="A4715" s="1523"/>
      <c r="B4715" s="1561"/>
      <c r="C4715" s="226"/>
      <c r="D4715" s="952"/>
      <c r="E4715" s="232"/>
      <c r="F4715" s="226"/>
      <c r="G4715" s="344"/>
      <c r="H4715" s="341"/>
    </row>
    <row r="4716" spans="1:8" s="1522" customFormat="1" ht="15.75" thickBot="1" x14ac:dyDescent="0.3">
      <c r="A4716" s="1523"/>
      <c r="B4716" s="1561"/>
      <c r="C4716" s="226"/>
      <c r="D4716" s="952"/>
      <c r="E4716" s="232"/>
      <c r="F4716" s="226"/>
      <c r="G4716" s="344"/>
      <c r="H4716" s="341"/>
    </row>
    <row r="4717" spans="1:8" s="1522" customFormat="1" ht="15.75" thickBot="1" x14ac:dyDescent="0.3">
      <c r="A4717" s="1523"/>
      <c r="B4717" s="233"/>
      <c r="C4717" s="234"/>
      <c r="D4717" s="953"/>
      <c r="E4717" s="234"/>
      <c r="F4717" s="235"/>
      <c r="G4717" s="347"/>
      <c r="H4717" s="348">
        <f>+SUM(G4711:G4717)</f>
        <v>6698.0681599999998</v>
      </c>
    </row>
    <row r="4718" spans="1:8" s="1522" customFormat="1" ht="15.75" thickBot="1" x14ac:dyDescent="0.3">
      <c r="A4718" s="1523"/>
      <c r="B4718" s="238"/>
      <c r="C4718" s="238"/>
      <c r="D4718" s="954"/>
      <c r="E4718" s="238"/>
      <c r="F4718" s="239"/>
      <c r="G4718" s="349"/>
      <c r="H4718" s="350"/>
    </row>
    <row r="4719" spans="1:8" s="1522" customFormat="1" ht="15.75" thickBot="1" x14ac:dyDescent="0.3">
      <c r="A4719" s="1523"/>
      <c r="B4719" s="224" t="s">
        <v>5408</v>
      </c>
      <c r="C4719" s="193" t="s">
        <v>867</v>
      </c>
      <c r="D4719" s="951" t="s">
        <v>6</v>
      </c>
      <c r="E4719" s="193" t="s">
        <v>870</v>
      </c>
      <c r="F4719" s="193" t="s">
        <v>5409</v>
      </c>
      <c r="G4719" s="343" t="s">
        <v>868</v>
      </c>
      <c r="H4719" s="341"/>
    </row>
    <row r="4720" spans="1:8" s="1522" customFormat="1" x14ac:dyDescent="0.25">
      <c r="A4720" s="1523"/>
      <c r="B4720" s="295" t="s">
        <v>5553</v>
      </c>
      <c r="C4720" s="1565" t="s">
        <v>5488</v>
      </c>
      <c r="D4720" s="212">
        <f>+PI()*(0.3/2)^2*1000*2</f>
        <v>141.37166941154069</v>
      </c>
      <c r="E4720" s="980">
        <f>+VLOOKUP(B4720,Insumos!$A$2:$C$331,3,FALSE)</f>
        <v>30</v>
      </c>
      <c r="F4720" s="1552">
        <v>0.05</v>
      </c>
      <c r="G4720" s="351">
        <f>+D4720*E4720*(1+F4720)</f>
        <v>4453.2075864635326</v>
      </c>
      <c r="H4720" s="341"/>
    </row>
    <row r="4721" spans="1:8" s="1522" customFormat="1" x14ac:dyDescent="0.25">
      <c r="A4721" s="1523"/>
      <c r="B4721" s="450" t="s">
        <v>5755</v>
      </c>
      <c r="C4721" s="1565" t="s">
        <v>9068</v>
      </c>
      <c r="D4721" s="211">
        <f>+D4720*50/2</f>
        <v>3534.2917352885174</v>
      </c>
      <c r="E4721" s="980">
        <f>+VLOOKUP(B4721,Insumos!$A$2:$C$331,3,FALSE)</f>
        <v>1</v>
      </c>
      <c r="F4721" s="1552">
        <v>0.05</v>
      </c>
      <c r="G4721" s="351">
        <f>+D4721*E4721*(1+F4721)</f>
        <v>3711.0063220529432</v>
      </c>
      <c r="H4721" s="341"/>
    </row>
    <row r="4722" spans="1:8" s="1522" customFormat="1" x14ac:dyDescent="0.25">
      <c r="A4722" s="1523"/>
      <c r="B4722" s="260"/>
      <c r="C4722" s="1565"/>
      <c r="D4722" s="212"/>
      <c r="E4722" s="376"/>
      <c r="F4722" s="1552"/>
      <c r="G4722" s="377">
        <f>+E4722*D4722*(1+F4722)</f>
        <v>0</v>
      </c>
      <c r="H4722" s="341"/>
    </row>
    <row r="4723" spans="1:8" s="1522" customFormat="1" x14ac:dyDescent="0.25">
      <c r="A4723" s="1523"/>
      <c r="B4723" s="260"/>
      <c r="C4723" s="226"/>
      <c r="D4723" s="212"/>
      <c r="E4723" s="346"/>
      <c r="F4723" s="1552"/>
      <c r="G4723" s="377">
        <f>+E4723*D4723*(1+F4723)</f>
        <v>0</v>
      </c>
      <c r="H4723" s="341"/>
    </row>
    <row r="4724" spans="1:8" s="1522" customFormat="1" x14ac:dyDescent="0.25">
      <c r="A4724" s="1523"/>
      <c r="B4724" s="1561"/>
      <c r="C4724" s="226"/>
      <c r="D4724" s="212"/>
      <c r="E4724" s="346"/>
      <c r="F4724" s="1552"/>
      <c r="G4724" s="351"/>
      <c r="H4724" s="341"/>
    </row>
    <row r="4725" spans="1:8" s="1522" customFormat="1" x14ac:dyDescent="0.25">
      <c r="A4725" s="1523"/>
      <c r="B4725" s="1560"/>
      <c r="C4725" s="1565"/>
      <c r="D4725" s="211"/>
      <c r="E4725" s="346"/>
      <c r="F4725" s="1552"/>
      <c r="G4725" s="351"/>
      <c r="H4725" s="341"/>
    </row>
    <row r="4726" spans="1:8" s="1522" customFormat="1" x14ac:dyDescent="0.25">
      <c r="A4726" s="1523"/>
      <c r="B4726" s="1561"/>
      <c r="C4726" s="226"/>
      <c r="D4726" s="212"/>
      <c r="E4726" s="346"/>
      <c r="F4726" s="1552"/>
      <c r="G4726" s="351"/>
      <c r="H4726" s="341"/>
    </row>
    <row r="4727" spans="1:8" s="1522" customFormat="1" x14ac:dyDescent="0.25">
      <c r="A4727" s="1523"/>
      <c r="B4727" s="1561"/>
      <c r="C4727" s="226"/>
      <c r="D4727" s="212"/>
      <c r="E4727" s="346"/>
      <c r="F4727" s="1552"/>
      <c r="G4727" s="351"/>
      <c r="H4727" s="341"/>
    </row>
    <row r="4728" spans="1:8" s="1522" customFormat="1" x14ac:dyDescent="0.25">
      <c r="A4728" s="1523"/>
      <c r="B4728" s="1561"/>
      <c r="C4728" s="232"/>
      <c r="D4728" s="952"/>
      <c r="E4728" s="232"/>
      <c r="F4728" s="226"/>
      <c r="G4728" s="344"/>
      <c r="H4728" s="341"/>
    </row>
    <row r="4729" spans="1:8" s="1522" customFormat="1" x14ac:dyDescent="0.25">
      <c r="A4729" s="1523"/>
      <c r="B4729" s="1561"/>
      <c r="C4729" s="232"/>
      <c r="D4729" s="952"/>
      <c r="E4729" s="232"/>
      <c r="F4729" s="226"/>
      <c r="G4729" s="344"/>
      <c r="H4729" s="341"/>
    </row>
    <row r="4730" spans="1:8" s="1522" customFormat="1" x14ac:dyDescent="0.25">
      <c r="A4730" s="1523"/>
      <c r="B4730" s="1561"/>
      <c r="C4730" s="232"/>
      <c r="D4730" s="952"/>
      <c r="E4730" s="232"/>
      <c r="F4730" s="226"/>
      <c r="G4730" s="344"/>
      <c r="H4730" s="341"/>
    </row>
    <row r="4731" spans="1:8" s="1522" customFormat="1" ht="15.75" thickBot="1" x14ac:dyDescent="0.3">
      <c r="A4731" s="1523"/>
      <c r="B4731" s="1561"/>
      <c r="C4731" s="232"/>
      <c r="D4731" s="952"/>
      <c r="E4731" s="232"/>
      <c r="F4731" s="226"/>
      <c r="G4731" s="344"/>
      <c r="H4731" s="341"/>
    </row>
    <row r="4732" spans="1:8" s="1522" customFormat="1" ht="15.75" thickBot="1" x14ac:dyDescent="0.3">
      <c r="A4732" s="1523"/>
      <c r="B4732" s="233"/>
      <c r="C4732" s="234"/>
      <c r="D4732" s="953"/>
      <c r="E4732" s="234"/>
      <c r="F4732" s="235"/>
      <c r="G4732" s="347"/>
      <c r="H4732" s="348">
        <f>+SUM(G4720:G4732)</f>
        <v>8164.2139085164763</v>
      </c>
    </row>
    <row r="4733" spans="1:8" s="1522" customFormat="1" ht="15.75" thickBot="1" x14ac:dyDescent="0.3">
      <c r="A4733" s="1523"/>
      <c r="B4733" s="238"/>
      <c r="C4733" s="238"/>
      <c r="D4733" s="954"/>
      <c r="E4733" s="238"/>
      <c r="F4733" s="239"/>
      <c r="G4733" s="349"/>
      <c r="H4733" s="350"/>
    </row>
    <row r="4734" spans="1:8" s="1522" customFormat="1" ht="15.75" thickBot="1" x14ac:dyDescent="0.3">
      <c r="A4734" s="1523"/>
      <c r="B4734" s="224" t="s">
        <v>5410</v>
      </c>
      <c r="C4734" s="193" t="s">
        <v>867</v>
      </c>
      <c r="D4734" s="951" t="s">
        <v>6</v>
      </c>
      <c r="E4734" s="193" t="s">
        <v>870</v>
      </c>
      <c r="F4734" s="193" t="s">
        <v>5411</v>
      </c>
      <c r="G4734" s="343" t="s">
        <v>868</v>
      </c>
      <c r="H4734" s="341"/>
    </row>
    <row r="4735" spans="1:8" s="1522" customFormat="1" x14ac:dyDescent="0.25">
      <c r="A4735" s="1523"/>
      <c r="B4735" s="245"/>
      <c r="C4735" s="283"/>
      <c r="D4735" s="959"/>
      <c r="E4735" s="379"/>
      <c r="F4735" s="283"/>
      <c r="G4735" s="354"/>
      <c r="H4735" s="355"/>
    </row>
    <row r="4736" spans="1:8" s="1522" customFormat="1" x14ac:dyDescent="0.25">
      <c r="A4736" s="1523"/>
      <c r="B4736" s="247"/>
      <c r="C4736" s="286"/>
      <c r="D4736" s="960"/>
      <c r="E4736" s="380"/>
      <c r="F4736" s="286"/>
      <c r="G4736" s="351"/>
      <c r="H4736" s="341"/>
    </row>
    <row r="4737" spans="1:8" s="1522" customFormat="1" x14ac:dyDescent="0.25">
      <c r="A4737" s="1523"/>
      <c r="B4737" s="247"/>
      <c r="C4737" s="286"/>
      <c r="D4737" s="960"/>
      <c r="E4737" s="288"/>
      <c r="F4737" s="286"/>
      <c r="G4737" s="344"/>
      <c r="H4737" s="341"/>
    </row>
    <row r="4738" spans="1:8" s="1522" customFormat="1" x14ac:dyDescent="0.25">
      <c r="A4738" s="1523"/>
      <c r="B4738" s="1560"/>
      <c r="C4738" s="248"/>
      <c r="D4738" s="961"/>
      <c r="E4738" s="248"/>
      <c r="F4738" s="1565"/>
      <c r="G4738" s="344"/>
      <c r="H4738" s="341"/>
    </row>
    <row r="4739" spans="1:8" s="1522" customFormat="1" ht="15.75" thickBot="1" x14ac:dyDescent="0.3">
      <c r="A4739" s="1523"/>
      <c r="B4739" s="1561"/>
      <c r="C4739" s="232"/>
      <c r="D4739" s="952"/>
      <c r="E4739" s="232"/>
      <c r="F4739" s="226"/>
      <c r="G4739" s="344"/>
      <c r="H4739" s="341"/>
    </row>
    <row r="4740" spans="1:8" s="1522" customFormat="1" ht="15.75" thickBot="1" x14ac:dyDescent="0.3">
      <c r="A4740" s="1523"/>
      <c r="B4740" s="233"/>
      <c r="C4740" s="234"/>
      <c r="D4740" s="953"/>
      <c r="E4740" s="234"/>
      <c r="F4740" s="235"/>
      <c r="G4740" s="347"/>
      <c r="H4740" s="348">
        <f>+SUM(G4735:G4740)</f>
        <v>0</v>
      </c>
    </row>
    <row r="4741" spans="1:8" s="1522" customFormat="1" ht="15.75" thickBot="1" x14ac:dyDescent="0.3">
      <c r="A4741" s="1523"/>
      <c r="B4741" s="238"/>
      <c r="C4741" s="238"/>
      <c r="D4741" s="954"/>
      <c r="E4741" s="238"/>
      <c r="F4741" s="249"/>
      <c r="G4741" s="356"/>
      <c r="H4741" s="350"/>
    </row>
    <row r="4742" spans="1:8" s="1522" customFormat="1" ht="15.75" thickBot="1" x14ac:dyDescent="0.3">
      <c r="A4742" s="1523"/>
      <c r="B4742" s="224" t="s">
        <v>5412</v>
      </c>
      <c r="C4742" s="193" t="s">
        <v>5420</v>
      </c>
      <c r="D4742" s="951" t="s">
        <v>5421</v>
      </c>
      <c r="E4742" s="193" t="s">
        <v>5413</v>
      </c>
      <c r="F4742" s="193" t="s">
        <v>5405</v>
      </c>
      <c r="G4742" s="343" t="s">
        <v>868</v>
      </c>
      <c r="H4742" s="341"/>
    </row>
    <row r="4743" spans="1:8" s="1522" customFormat="1" x14ac:dyDescent="0.25">
      <c r="A4743" s="1523"/>
      <c r="B4743" s="381" t="s">
        <v>5948</v>
      </c>
      <c r="C4743" s="1569">
        <f>+VLOOKUP($B4743,'Mano de obra'!$A$5:$D$26,2,FALSE)</f>
        <v>57455</v>
      </c>
      <c r="D4743" s="1569">
        <f>+VLOOKUP($B4743,'Mano de obra'!$A$5:$D$26,3,FALSE)</f>
        <v>35656</v>
      </c>
      <c r="E4743" s="1569">
        <f>+VLOOKUP($B4743,'Mano de obra'!$A$5:$D$26,4,FALSE)</f>
        <v>93111</v>
      </c>
      <c r="F4743" s="1566">
        <v>400</v>
      </c>
      <c r="G4743" s="351">
        <f>+E4743/F4743</f>
        <v>232.7775</v>
      </c>
      <c r="H4743" s="341"/>
    </row>
    <row r="4744" spans="1:8" s="1522" customFormat="1" x14ac:dyDescent="0.25">
      <c r="A4744" s="1523"/>
      <c r="B4744" s="385" t="s">
        <v>5949</v>
      </c>
      <c r="C4744" s="1569">
        <f>+VLOOKUP($B4744,'Mano de obra'!$A$5:$D$26,2,FALSE)</f>
        <v>44263.8</v>
      </c>
      <c r="D4744" s="1569">
        <f>+VLOOKUP($B4744,'Mano de obra'!$A$5:$D$26,3,FALSE)</f>
        <v>27470</v>
      </c>
      <c r="E4744" s="1569">
        <f>+VLOOKUP($B4744,'Mano de obra'!$A$5:$D$26,4,FALSE)</f>
        <v>71733.8</v>
      </c>
      <c r="F4744" s="1565">
        <v>400</v>
      </c>
      <c r="G4744" s="351">
        <f>+E4744/F4744</f>
        <v>179.33450000000002</v>
      </c>
      <c r="H4744" s="341"/>
    </row>
    <row r="4745" spans="1:8" s="1522" customFormat="1" x14ac:dyDescent="0.25">
      <c r="A4745" s="1523"/>
      <c r="B4745" s="385" t="s">
        <v>5635</v>
      </c>
      <c r="C4745" s="1569">
        <f>+VLOOKUP($B4745,'Mano de obra'!$A$5:$D$26,2,FALSE)</f>
        <v>24591</v>
      </c>
      <c r="D4745" s="1569">
        <f>+VLOOKUP($B4745,'Mano de obra'!$A$5:$D$26,3,FALSE)</f>
        <v>15261</v>
      </c>
      <c r="E4745" s="1569">
        <f>+VLOOKUP($B4745,'Mano de obra'!$A$5:$D$26,4,FALSE)</f>
        <v>39852</v>
      </c>
      <c r="F4745" s="226">
        <v>400</v>
      </c>
      <c r="G4745" s="351">
        <f>+E4745/F4745</f>
        <v>99.63</v>
      </c>
      <c r="H4745" s="341"/>
    </row>
    <row r="4746" spans="1:8" s="1522" customFormat="1" x14ac:dyDescent="0.25">
      <c r="A4746" s="1523"/>
      <c r="B4746" s="1561"/>
      <c r="C4746" s="346"/>
      <c r="D4746" s="955"/>
      <c r="E4746" s="1569"/>
      <c r="F4746" s="226"/>
      <c r="G4746" s="351"/>
      <c r="H4746" s="341"/>
    </row>
    <row r="4747" spans="1:8" s="1522" customFormat="1" x14ac:dyDescent="0.25">
      <c r="A4747" s="1523"/>
      <c r="B4747" s="1561"/>
      <c r="C4747" s="232"/>
      <c r="D4747" s="952"/>
      <c r="E4747" s="232"/>
      <c r="F4747" s="226"/>
      <c r="G4747" s="344"/>
      <c r="H4747" s="341"/>
    </row>
    <row r="4748" spans="1:8" s="1522" customFormat="1" ht="15.75" thickBot="1" x14ac:dyDescent="0.3">
      <c r="A4748" s="1523"/>
      <c r="B4748" s="1561"/>
      <c r="C4748" s="232"/>
      <c r="D4748" s="952"/>
      <c r="E4748" s="232"/>
      <c r="F4748" s="226"/>
      <c r="G4748" s="344"/>
      <c r="H4748" s="341"/>
    </row>
    <row r="4749" spans="1:8" s="1522" customFormat="1" ht="15.75" thickBot="1" x14ac:dyDescent="0.3">
      <c r="A4749" s="1523"/>
      <c r="B4749" s="251"/>
      <c r="C4749" s="252"/>
      <c r="D4749" s="956"/>
      <c r="E4749" s="252"/>
      <c r="F4749" s="253"/>
      <c r="G4749" s="357"/>
      <c r="H4749" s="348">
        <f>+SUM(G4743:G4749)</f>
        <v>511.74200000000002</v>
      </c>
    </row>
    <row r="4750" spans="1:8" s="1522" customFormat="1" ht="15.75" thickBot="1" x14ac:dyDescent="0.3">
      <c r="A4750" s="1523"/>
      <c r="B4750" s="8"/>
      <c r="C4750" s="8"/>
      <c r="D4750" s="529"/>
      <c r="E4750" s="8"/>
      <c r="F4750" s="1523"/>
      <c r="G4750" s="341"/>
      <c r="H4750" s="341"/>
    </row>
    <row r="4751" spans="1:8" s="1522" customFormat="1" ht="15.75" thickBot="1" x14ac:dyDescent="0.3">
      <c r="A4751" s="1523" t="s">
        <v>6744</v>
      </c>
      <c r="B4751" s="8"/>
      <c r="C4751" s="8"/>
      <c r="D4751" s="529"/>
      <c r="E4751" s="223" t="s">
        <v>5415</v>
      </c>
      <c r="F4751" s="1523"/>
      <c r="G4751" s="341"/>
      <c r="H4751" s="348">
        <f>ROUND(+H4749+H4740+H4732+H4717,0)</f>
        <v>15374</v>
      </c>
    </row>
    <row r="4752" spans="1:8" s="1522" customFormat="1" x14ac:dyDescent="0.25">
      <c r="D4752" s="957"/>
    </row>
    <row r="4753" spans="1:8" s="1522" customFormat="1" x14ac:dyDescent="0.25">
      <c r="D4753" s="957"/>
    </row>
    <row r="4754" spans="1:8" s="1522" customFormat="1" x14ac:dyDescent="0.25">
      <c r="A4754" s="673" t="s">
        <v>5482</v>
      </c>
      <c r="B4754" s="1390" t="str">
        <f>+VLOOKUP(C4754,ListaAPUs!$B:$E,4,FALSE)</f>
        <v>6.1.4</v>
      </c>
      <c r="C4754" s="2447" t="str">
        <f>+ListaAPUs!B149</f>
        <v>Prueba hidráulica y desinfección tuberia DN350</v>
      </c>
      <c r="D4754" s="2447"/>
      <c r="E4754" s="2447"/>
      <c r="F4754" s="673" t="s">
        <v>867</v>
      </c>
      <c r="G4754" s="342" t="s">
        <v>5402</v>
      </c>
      <c r="H4754" s="341"/>
    </row>
    <row r="4755" spans="1:8" s="1522" customFormat="1" x14ac:dyDescent="0.25">
      <c r="A4755" s="1523"/>
      <c r="B4755" s="8"/>
      <c r="C4755" s="223"/>
      <c r="D4755" s="958"/>
      <c r="E4755" s="223"/>
      <c r="F4755" s="1523"/>
      <c r="G4755" s="341"/>
      <c r="H4755" s="341"/>
    </row>
    <row r="4756" spans="1:8" s="1522" customFormat="1" x14ac:dyDescent="0.25">
      <c r="A4756" s="1523"/>
      <c r="B4756" s="8"/>
      <c r="C4756" s="8"/>
      <c r="D4756" s="529"/>
      <c r="E4756" s="8"/>
      <c r="F4756" s="8"/>
      <c r="G4756" s="8"/>
      <c r="H4756" s="341"/>
    </row>
    <row r="4757" spans="1:8" s="1522" customFormat="1" ht="15.75" thickBot="1" x14ac:dyDescent="0.3">
      <c r="A4757" s="1523"/>
      <c r="B4757" s="8"/>
      <c r="C4757" s="8"/>
      <c r="D4757" s="529"/>
      <c r="E4757" s="8"/>
      <c r="F4757" s="1523"/>
      <c r="G4757" s="341"/>
      <c r="H4757" s="341"/>
    </row>
    <row r="4758" spans="1:8" s="1522" customFormat="1" ht="15.75" thickBot="1" x14ac:dyDescent="0.3">
      <c r="A4758" s="1523"/>
      <c r="B4758" s="224" t="s">
        <v>5403</v>
      </c>
      <c r="C4758" s="193" t="s">
        <v>867</v>
      </c>
      <c r="D4758" s="951" t="s">
        <v>6</v>
      </c>
      <c r="E4758" s="193" t="s">
        <v>5439</v>
      </c>
      <c r="F4758" s="193" t="s">
        <v>5405</v>
      </c>
      <c r="G4758" s="343" t="s">
        <v>868</v>
      </c>
      <c r="H4758" s="341"/>
    </row>
    <row r="4759" spans="1:8" s="1522" customFormat="1" x14ac:dyDescent="0.25">
      <c r="A4759" s="1523"/>
      <c r="B4759" s="1533" t="s">
        <v>5934</v>
      </c>
      <c r="C4759" s="226"/>
      <c r="D4759" s="212"/>
      <c r="E4759" s="372">
        <f>+H4797</f>
        <v>682.32266666666669</v>
      </c>
      <c r="F4759" s="226">
        <v>0.1</v>
      </c>
      <c r="G4759" s="344">
        <f>+E4759*F4759</f>
        <v>68.232266666666675</v>
      </c>
      <c r="H4759" s="341"/>
    </row>
    <row r="4760" spans="1:8" s="1522" customFormat="1" x14ac:dyDescent="0.25">
      <c r="A4760" s="1523"/>
      <c r="B4760" s="1561" t="s">
        <v>6389</v>
      </c>
      <c r="C4760" s="226" t="s">
        <v>5424</v>
      </c>
      <c r="D4760" s="212">
        <v>1</v>
      </c>
      <c r="E4760" s="980">
        <f>+VLOOKUP(B4760,Insumos!$A$2:$C$331,3,FALSE)</f>
        <v>443126.26399999997</v>
      </c>
      <c r="F4760" s="226">
        <f>1/(300/6)</f>
        <v>0.02</v>
      </c>
      <c r="G4760" s="344">
        <f>+E4760*F4760</f>
        <v>8862.5252799999998</v>
      </c>
      <c r="H4760" s="341"/>
    </row>
    <row r="4761" spans="1:8" s="1522" customFormat="1" x14ac:dyDescent="0.25">
      <c r="A4761" s="1523"/>
      <c r="B4761" s="1561"/>
      <c r="C4761" s="226"/>
      <c r="D4761" s="212"/>
      <c r="E4761" s="1569"/>
      <c r="F4761" s="226"/>
      <c r="G4761" s="344"/>
      <c r="H4761" s="341"/>
    </row>
    <row r="4762" spans="1:8" s="1522" customFormat="1" x14ac:dyDescent="0.25">
      <c r="A4762" s="1523"/>
      <c r="B4762" s="1561"/>
      <c r="C4762" s="226"/>
      <c r="D4762" s="212"/>
      <c r="E4762" s="346"/>
      <c r="F4762" s="226"/>
      <c r="G4762" s="375"/>
      <c r="H4762" s="341"/>
    </row>
    <row r="4763" spans="1:8" s="1522" customFormat="1" x14ac:dyDescent="0.25">
      <c r="A4763" s="1523"/>
      <c r="B4763" s="1561"/>
      <c r="C4763" s="226"/>
      <c r="D4763" s="952"/>
      <c r="E4763" s="232"/>
      <c r="F4763" s="226"/>
      <c r="G4763" s="344"/>
      <c r="H4763" s="341"/>
    </row>
    <row r="4764" spans="1:8" s="1522" customFormat="1" ht="15.75" thickBot="1" x14ac:dyDescent="0.3">
      <c r="A4764" s="1523"/>
      <c r="B4764" s="1561"/>
      <c r="C4764" s="226"/>
      <c r="D4764" s="952"/>
      <c r="E4764" s="232"/>
      <c r="F4764" s="226"/>
      <c r="G4764" s="344"/>
      <c r="H4764" s="341"/>
    </row>
    <row r="4765" spans="1:8" s="1522" customFormat="1" ht="15.75" thickBot="1" x14ac:dyDescent="0.3">
      <c r="A4765" s="1523"/>
      <c r="B4765" s="233"/>
      <c r="C4765" s="234"/>
      <c r="D4765" s="953"/>
      <c r="E4765" s="234"/>
      <c r="F4765" s="235"/>
      <c r="G4765" s="347"/>
      <c r="H4765" s="348">
        <f>+SUM(G4759:G4765)</f>
        <v>8930.7575466666658</v>
      </c>
    </row>
    <row r="4766" spans="1:8" s="1522" customFormat="1" ht="15.75" thickBot="1" x14ac:dyDescent="0.3">
      <c r="A4766" s="1523"/>
      <c r="B4766" s="238"/>
      <c r="C4766" s="238"/>
      <c r="D4766" s="954"/>
      <c r="E4766" s="238"/>
      <c r="F4766" s="239"/>
      <c r="G4766" s="349"/>
      <c r="H4766" s="350"/>
    </row>
    <row r="4767" spans="1:8" s="1522" customFormat="1" ht="15.75" thickBot="1" x14ac:dyDescent="0.3">
      <c r="A4767" s="1523"/>
      <c r="B4767" s="224" t="s">
        <v>5408</v>
      </c>
      <c r="C4767" s="193" t="s">
        <v>867</v>
      </c>
      <c r="D4767" s="951" t="s">
        <v>6</v>
      </c>
      <c r="E4767" s="193" t="s">
        <v>870</v>
      </c>
      <c r="F4767" s="193" t="s">
        <v>5409</v>
      </c>
      <c r="G4767" s="343" t="s">
        <v>868</v>
      </c>
      <c r="H4767" s="341"/>
    </row>
    <row r="4768" spans="1:8" s="1522" customFormat="1" x14ac:dyDescent="0.25">
      <c r="A4768" s="1523"/>
      <c r="B4768" s="295" t="s">
        <v>5553</v>
      </c>
      <c r="C4768" s="1565" t="s">
        <v>5488</v>
      </c>
      <c r="D4768" s="212">
        <f>+PI()*(0.35/2)^2*1000*2</f>
        <v>192.4225500323748</v>
      </c>
      <c r="E4768" s="980">
        <f>+VLOOKUP(B4768,Insumos!$A$2:$C$331,3,FALSE)</f>
        <v>30</v>
      </c>
      <c r="F4768" s="1552">
        <v>0.05</v>
      </c>
      <c r="G4768" s="351">
        <f>+D4768*E4768*(1+F4768)</f>
        <v>6061.3103260198068</v>
      </c>
      <c r="H4768" s="341"/>
    </row>
    <row r="4769" spans="1:8" s="1522" customFormat="1" x14ac:dyDescent="0.25">
      <c r="A4769" s="1523"/>
      <c r="B4769" s="450" t="s">
        <v>5755</v>
      </c>
      <c r="C4769" s="1565" t="s">
        <v>9068</v>
      </c>
      <c r="D4769" s="211">
        <f>+D4768*50/2</f>
        <v>4810.5637508093696</v>
      </c>
      <c r="E4769" s="980">
        <f>+VLOOKUP(B4769,Insumos!$A$2:$C$331,3,FALSE)</f>
        <v>1</v>
      </c>
      <c r="F4769" s="1552">
        <v>0.05</v>
      </c>
      <c r="G4769" s="351">
        <f>+D4769*E4769*(1+F4769)</f>
        <v>5051.0919383498385</v>
      </c>
      <c r="H4769" s="341"/>
    </row>
    <row r="4770" spans="1:8" s="1522" customFormat="1" x14ac:dyDescent="0.25">
      <c r="A4770" s="1523"/>
      <c r="B4770" s="260"/>
      <c r="C4770" s="1565"/>
      <c r="D4770" s="212"/>
      <c r="E4770" s="376"/>
      <c r="F4770" s="1552"/>
      <c r="G4770" s="377">
        <f>+E4770*D4770*(1+F4770)</f>
        <v>0</v>
      </c>
      <c r="H4770" s="341"/>
    </row>
    <row r="4771" spans="1:8" s="1522" customFormat="1" x14ac:dyDescent="0.25">
      <c r="A4771" s="1523"/>
      <c r="B4771" s="260"/>
      <c r="C4771" s="226"/>
      <c r="D4771" s="212"/>
      <c r="E4771" s="346"/>
      <c r="F4771" s="1552"/>
      <c r="G4771" s="377">
        <f>+E4771*D4771*(1+F4771)</f>
        <v>0</v>
      </c>
      <c r="H4771" s="341"/>
    </row>
    <row r="4772" spans="1:8" s="1522" customFormat="1" x14ac:dyDescent="0.25">
      <c r="A4772" s="1523"/>
      <c r="B4772" s="1561"/>
      <c r="C4772" s="226"/>
      <c r="D4772" s="212"/>
      <c r="E4772" s="346"/>
      <c r="F4772" s="1552"/>
      <c r="G4772" s="351"/>
      <c r="H4772" s="341"/>
    </row>
    <row r="4773" spans="1:8" s="1522" customFormat="1" x14ac:dyDescent="0.25">
      <c r="A4773" s="1523"/>
      <c r="B4773" s="1560"/>
      <c r="C4773" s="1565"/>
      <c r="D4773" s="211"/>
      <c r="E4773" s="346"/>
      <c r="F4773" s="1552"/>
      <c r="G4773" s="351"/>
      <c r="H4773" s="341"/>
    </row>
    <row r="4774" spans="1:8" s="1522" customFormat="1" x14ac:dyDescent="0.25">
      <c r="A4774" s="1523"/>
      <c r="B4774" s="1561"/>
      <c r="C4774" s="226"/>
      <c r="D4774" s="212"/>
      <c r="E4774" s="346"/>
      <c r="F4774" s="1552"/>
      <c r="G4774" s="351"/>
      <c r="H4774" s="341"/>
    </row>
    <row r="4775" spans="1:8" s="1522" customFormat="1" x14ac:dyDescent="0.25">
      <c r="A4775" s="1523"/>
      <c r="B4775" s="1561"/>
      <c r="C4775" s="226"/>
      <c r="D4775" s="212"/>
      <c r="E4775" s="346"/>
      <c r="F4775" s="1552"/>
      <c r="G4775" s="351"/>
      <c r="H4775" s="341"/>
    </row>
    <row r="4776" spans="1:8" s="1522" customFormat="1" x14ac:dyDescent="0.25">
      <c r="A4776" s="1523"/>
      <c r="B4776" s="1561"/>
      <c r="C4776" s="232"/>
      <c r="D4776" s="952"/>
      <c r="E4776" s="232"/>
      <c r="F4776" s="226"/>
      <c r="G4776" s="344"/>
      <c r="H4776" s="341"/>
    </row>
    <row r="4777" spans="1:8" s="1522" customFormat="1" x14ac:dyDescent="0.25">
      <c r="A4777" s="1523"/>
      <c r="B4777" s="1561"/>
      <c r="C4777" s="232"/>
      <c r="D4777" s="952"/>
      <c r="E4777" s="232"/>
      <c r="F4777" s="226"/>
      <c r="G4777" s="344"/>
      <c r="H4777" s="341"/>
    </row>
    <row r="4778" spans="1:8" s="1522" customFormat="1" x14ac:dyDescent="0.25">
      <c r="A4778" s="1523"/>
      <c r="B4778" s="1561"/>
      <c r="C4778" s="232"/>
      <c r="D4778" s="952"/>
      <c r="E4778" s="232"/>
      <c r="F4778" s="226"/>
      <c r="G4778" s="344"/>
      <c r="H4778" s="341"/>
    </row>
    <row r="4779" spans="1:8" s="1522" customFormat="1" ht="15.75" thickBot="1" x14ac:dyDescent="0.3">
      <c r="A4779" s="1523"/>
      <c r="B4779" s="1561"/>
      <c r="C4779" s="232"/>
      <c r="D4779" s="952"/>
      <c r="E4779" s="232"/>
      <c r="F4779" s="226"/>
      <c r="G4779" s="344"/>
      <c r="H4779" s="341"/>
    </row>
    <row r="4780" spans="1:8" s="1522" customFormat="1" ht="15.75" thickBot="1" x14ac:dyDescent="0.3">
      <c r="A4780" s="1523"/>
      <c r="B4780" s="233"/>
      <c r="C4780" s="234"/>
      <c r="D4780" s="953"/>
      <c r="E4780" s="234"/>
      <c r="F4780" s="235"/>
      <c r="G4780" s="347"/>
      <c r="H4780" s="348">
        <f>+SUM(G4768:G4780)</f>
        <v>11112.402264369644</v>
      </c>
    </row>
    <row r="4781" spans="1:8" s="1522" customFormat="1" ht="15.75" thickBot="1" x14ac:dyDescent="0.3">
      <c r="A4781" s="1523"/>
      <c r="B4781" s="238"/>
      <c r="C4781" s="238"/>
      <c r="D4781" s="954"/>
      <c r="E4781" s="238"/>
      <c r="F4781" s="239"/>
      <c r="G4781" s="349"/>
      <c r="H4781" s="350"/>
    </row>
    <row r="4782" spans="1:8" s="1522" customFormat="1" ht="15.75" thickBot="1" x14ac:dyDescent="0.3">
      <c r="A4782" s="1523"/>
      <c r="B4782" s="224" t="s">
        <v>5410</v>
      </c>
      <c r="C4782" s="193" t="s">
        <v>867</v>
      </c>
      <c r="D4782" s="951" t="s">
        <v>6</v>
      </c>
      <c r="E4782" s="193" t="s">
        <v>870</v>
      </c>
      <c r="F4782" s="193" t="s">
        <v>5411</v>
      </c>
      <c r="G4782" s="343" t="s">
        <v>868</v>
      </c>
      <c r="H4782" s="341"/>
    </row>
    <row r="4783" spans="1:8" s="1522" customFormat="1" x14ac:dyDescent="0.25">
      <c r="A4783" s="1523"/>
      <c r="B4783" s="245"/>
      <c r="C4783" s="283"/>
      <c r="D4783" s="959"/>
      <c r="E4783" s="379"/>
      <c r="F4783" s="283"/>
      <c r="G4783" s="354"/>
      <c r="H4783" s="355"/>
    </row>
    <row r="4784" spans="1:8" s="1522" customFormat="1" x14ac:dyDescent="0.25">
      <c r="A4784" s="1523"/>
      <c r="B4784" s="247"/>
      <c r="C4784" s="286"/>
      <c r="D4784" s="960"/>
      <c r="E4784" s="380"/>
      <c r="F4784" s="286"/>
      <c r="G4784" s="351"/>
      <c r="H4784" s="341"/>
    </row>
    <row r="4785" spans="1:9" s="1522" customFormat="1" x14ac:dyDescent="0.25">
      <c r="A4785" s="1523"/>
      <c r="B4785" s="247"/>
      <c r="C4785" s="286"/>
      <c r="D4785" s="960"/>
      <c r="E4785" s="288"/>
      <c r="F4785" s="286"/>
      <c r="G4785" s="344"/>
      <c r="H4785" s="341"/>
    </row>
    <row r="4786" spans="1:9" s="1522" customFormat="1" x14ac:dyDescent="0.25">
      <c r="A4786" s="1523"/>
      <c r="B4786" s="1560"/>
      <c r="C4786" s="248"/>
      <c r="D4786" s="961"/>
      <c r="E4786" s="248"/>
      <c r="F4786" s="1565"/>
      <c r="G4786" s="344"/>
      <c r="H4786" s="341"/>
    </row>
    <row r="4787" spans="1:9" s="1522" customFormat="1" ht="15.75" thickBot="1" x14ac:dyDescent="0.3">
      <c r="A4787" s="1523"/>
      <c r="B4787" s="1561"/>
      <c r="C4787" s="232"/>
      <c r="D4787" s="952"/>
      <c r="E4787" s="232"/>
      <c r="F4787" s="226"/>
      <c r="G4787" s="344"/>
      <c r="H4787" s="341"/>
    </row>
    <row r="4788" spans="1:9" s="1522" customFormat="1" ht="15.75" thickBot="1" x14ac:dyDescent="0.3">
      <c r="A4788" s="1523"/>
      <c r="B4788" s="233"/>
      <c r="C4788" s="234"/>
      <c r="D4788" s="953"/>
      <c r="E4788" s="234"/>
      <c r="F4788" s="235"/>
      <c r="G4788" s="347"/>
      <c r="H4788" s="348">
        <f>+SUM(G4783:G4788)</f>
        <v>0</v>
      </c>
    </row>
    <row r="4789" spans="1:9" s="1522" customFormat="1" ht="15.75" thickBot="1" x14ac:dyDescent="0.3">
      <c r="A4789" s="1523"/>
      <c r="B4789" s="238"/>
      <c r="C4789" s="238"/>
      <c r="D4789" s="954"/>
      <c r="E4789" s="238"/>
      <c r="F4789" s="249"/>
      <c r="G4789" s="356"/>
      <c r="H4789" s="350"/>
    </row>
    <row r="4790" spans="1:9" s="1522" customFormat="1" ht="15.75" thickBot="1" x14ac:dyDescent="0.3">
      <c r="A4790" s="1523"/>
      <c r="B4790" s="224" t="s">
        <v>5412</v>
      </c>
      <c r="C4790" s="193" t="s">
        <v>5420</v>
      </c>
      <c r="D4790" s="951" t="s">
        <v>5421</v>
      </c>
      <c r="E4790" s="193" t="s">
        <v>5413</v>
      </c>
      <c r="F4790" s="193" t="s">
        <v>5405</v>
      </c>
      <c r="G4790" s="343" t="s">
        <v>868</v>
      </c>
      <c r="H4790" s="341"/>
    </row>
    <row r="4791" spans="1:9" s="1522" customFormat="1" x14ac:dyDescent="0.25">
      <c r="A4791" s="1523"/>
      <c r="B4791" s="381" t="s">
        <v>5948</v>
      </c>
      <c r="C4791" s="1569">
        <f>+VLOOKUP($B4791,'Mano de obra'!$A$5:$D$26,2,FALSE)</f>
        <v>57455</v>
      </c>
      <c r="D4791" s="1569">
        <f>+VLOOKUP($B4791,'Mano de obra'!$A$5:$D$26,3,FALSE)</f>
        <v>35656</v>
      </c>
      <c r="E4791" s="1569">
        <f>+VLOOKUP($B4791,'Mano de obra'!$A$5:$D$26,4,FALSE)</f>
        <v>93111</v>
      </c>
      <c r="F4791" s="1566">
        <v>300</v>
      </c>
      <c r="G4791" s="351">
        <f>+E4791/F4791</f>
        <v>310.37</v>
      </c>
      <c r="H4791" s="341"/>
    </row>
    <row r="4792" spans="1:9" s="1522" customFormat="1" x14ac:dyDescent="0.25">
      <c r="A4792" s="1523"/>
      <c r="B4792" s="385" t="s">
        <v>5949</v>
      </c>
      <c r="C4792" s="1569">
        <f>+VLOOKUP($B4792,'Mano de obra'!$A$5:$D$26,2,FALSE)</f>
        <v>44263.8</v>
      </c>
      <c r="D4792" s="1569">
        <f>+VLOOKUP($B4792,'Mano de obra'!$A$5:$D$26,3,FALSE)</f>
        <v>27470</v>
      </c>
      <c r="E4792" s="1569">
        <f>+VLOOKUP($B4792,'Mano de obra'!$A$5:$D$26,4,FALSE)</f>
        <v>71733.8</v>
      </c>
      <c r="F4792" s="1565">
        <v>300</v>
      </c>
      <c r="G4792" s="351">
        <f>+E4792/F4792</f>
        <v>239.11266666666668</v>
      </c>
      <c r="H4792" s="341"/>
    </row>
    <row r="4793" spans="1:9" s="1522" customFormat="1" x14ac:dyDescent="0.25">
      <c r="A4793" s="1523"/>
      <c r="B4793" s="385" t="s">
        <v>5635</v>
      </c>
      <c r="C4793" s="1569">
        <f>+VLOOKUP($B4793,'Mano de obra'!$A$5:$D$26,2,FALSE)</f>
        <v>24591</v>
      </c>
      <c r="D4793" s="1569">
        <f>+VLOOKUP($B4793,'Mano de obra'!$A$5:$D$26,3,FALSE)</f>
        <v>15261</v>
      </c>
      <c r="E4793" s="1569">
        <f>+VLOOKUP($B4793,'Mano de obra'!$A$5:$D$26,4,FALSE)</f>
        <v>39852</v>
      </c>
      <c r="F4793" s="226">
        <v>300</v>
      </c>
      <c r="G4793" s="351">
        <f>+E4793/F4793</f>
        <v>132.84</v>
      </c>
      <c r="H4793" s="341"/>
    </row>
    <row r="4794" spans="1:9" s="1522" customFormat="1" x14ac:dyDescent="0.25">
      <c r="A4794" s="1523"/>
      <c r="B4794" s="1561"/>
      <c r="C4794" s="346"/>
      <c r="D4794" s="955"/>
      <c r="E4794" s="1569"/>
      <c r="F4794" s="226"/>
      <c r="G4794" s="351"/>
      <c r="H4794" s="341"/>
    </row>
    <row r="4795" spans="1:9" s="1522" customFormat="1" x14ac:dyDescent="0.25">
      <c r="A4795" s="1523"/>
      <c r="B4795" s="1561"/>
      <c r="C4795" s="232"/>
      <c r="D4795" s="952"/>
      <c r="E4795" s="232"/>
      <c r="F4795" s="226"/>
      <c r="G4795" s="344"/>
      <c r="H4795" s="341"/>
    </row>
    <row r="4796" spans="1:9" s="1522" customFormat="1" ht="15.75" thickBot="1" x14ac:dyDescent="0.3">
      <c r="A4796" s="1523"/>
      <c r="B4796" s="1561"/>
      <c r="C4796" s="232"/>
      <c r="D4796" s="952"/>
      <c r="E4796" s="232"/>
      <c r="F4796" s="226"/>
      <c r="G4796" s="344"/>
      <c r="H4796" s="341"/>
    </row>
    <row r="4797" spans="1:9" s="1522" customFormat="1" ht="15.75" thickBot="1" x14ac:dyDescent="0.3">
      <c r="A4797" s="1523"/>
      <c r="B4797" s="251"/>
      <c r="C4797" s="252"/>
      <c r="D4797" s="956"/>
      <c r="E4797" s="252"/>
      <c r="F4797" s="253"/>
      <c r="G4797" s="357"/>
      <c r="H4797" s="348">
        <f>+SUM(G4791:G4797)</f>
        <v>682.32266666666669</v>
      </c>
    </row>
    <row r="4798" spans="1:9" s="1522" customFormat="1" ht="15.75" thickBot="1" x14ac:dyDescent="0.3">
      <c r="A4798" s="1523"/>
      <c r="B4798" s="8"/>
      <c r="C4798" s="8"/>
      <c r="D4798" s="529"/>
      <c r="E4798" s="8"/>
      <c r="F4798" s="1523"/>
      <c r="G4798" s="341"/>
      <c r="H4798" s="341"/>
    </row>
    <row r="4799" spans="1:9" s="1522" customFormat="1" ht="15.75" thickBot="1" x14ac:dyDescent="0.3">
      <c r="A4799" s="1523" t="s">
        <v>6744</v>
      </c>
      <c r="B4799" s="8"/>
      <c r="C4799" s="8"/>
      <c r="D4799" s="529"/>
      <c r="E4799" s="223" t="s">
        <v>5415</v>
      </c>
      <c r="F4799" s="1523"/>
      <c r="G4799" s="341"/>
      <c r="H4799" s="348">
        <f>ROUND(+H4797+H4788+H4780+H4765,0)</f>
        <v>20725</v>
      </c>
      <c r="I4799" s="1522">
        <v>22991</v>
      </c>
    </row>
    <row r="4800" spans="1:9" s="1522" customFormat="1" x14ac:dyDescent="0.25">
      <c r="D4800" s="957"/>
    </row>
    <row r="4801" spans="1:8" s="1522" customFormat="1" x14ac:dyDescent="0.25">
      <c r="D4801" s="957"/>
    </row>
    <row r="4802" spans="1:8" s="1522" customFormat="1" x14ac:dyDescent="0.25">
      <c r="A4802" s="673" t="s">
        <v>5482</v>
      </c>
      <c r="B4802" s="1390" t="str">
        <f>+VLOOKUP(C4802,ListaAPUs!$B:$E,4,FALSE)</f>
        <v>6.1.5</v>
      </c>
      <c r="C4802" s="2447" t="str">
        <f>+ListaAPUs!B150</f>
        <v>Prueba hidráulica y desinfección tuberia DN400</v>
      </c>
      <c r="D4802" s="2447"/>
      <c r="E4802" s="2447"/>
      <c r="F4802" s="673" t="s">
        <v>867</v>
      </c>
      <c r="G4802" s="342" t="s">
        <v>5402</v>
      </c>
      <c r="H4802" s="341"/>
    </row>
    <row r="4803" spans="1:8" s="1522" customFormat="1" x14ac:dyDescent="0.25">
      <c r="A4803" s="1523"/>
      <c r="B4803" s="8"/>
      <c r="C4803" s="223"/>
      <c r="D4803" s="958"/>
      <c r="E4803" s="223"/>
      <c r="F4803" s="1523"/>
      <c r="G4803" s="341"/>
      <c r="H4803" s="341"/>
    </row>
    <row r="4804" spans="1:8" s="1522" customFormat="1" x14ac:dyDescent="0.25">
      <c r="A4804" s="1523"/>
      <c r="B4804" s="8"/>
      <c r="C4804" s="8"/>
      <c r="D4804" s="529"/>
      <c r="E4804" s="8"/>
      <c r="F4804" s="8"/>
      <c r="G4804" s="8"/>
      <c r="H4804" s="341"/>
    </row>
    <row r="4805" spans="1:8" s="1522" customFormat="1" ht="15.75" thickBot="1" x14ac:dyDescent="0.3">
      <c r="A4805" s="1523"/>
      <c r="B4805" s="8"/>
      <c r="C4805" s="8"/>
      <c r="D4805" s="529"/>
      <c r="E4805" s="8"/>
      <c r="F4805" s="1523"/>
      <c r="G4805" s="341"/>
      <c r="H4805" s="341"/>
    </row>
    <row r="4806" spans="1:8" s="1522" customFormat="1" ht="15.75" thickBot="1" x14ac:dyDescent="0.3">
      <c r="A4806" s="1523"/>
      <c r="B4806" s="224" t="s">
        <v>5403</v>
      </c>
      <c r="C4806" s="193" t="s">
        <v>867</v>
      </c>
      <c r="D4806" s="951" t="s">
        <v>6</v>
      </c>
      <c r="E4806" s="193" t="s">
        <v>5439</v>
      </c>
      <c r="F4806" s="193" t="s">
        <v>5405</v>
      </c>
      <c r="G4806" s="343" t="s">
        <v>868</v>
      </c>
      <c r="H4806" s="341"/>
    </row>
    <row r="4807" spans="1:8" s="1522" customFormat="1" x14ac:dyDescent="0.25">
      <c r="A4807" s="1523"/>
      <c r="B4807" s="1533" t="s">
        <v>5934</v>
      </c>
      <c r="C4807" s="226"/>
      <c r="D4807" s="212"/>
      <c r="E4807" s="372">
        <f>+H4845</f>
        <v>818.7872000000001</v>
      </c>
      <c r="F4807" s="226">
        <v>0.1</v>
      </c>
      <c r="G4807" s="344">
        <f>+E4807*F4807</f>
        <v>81.878720000000015</v>
      </c>
      <c r="H4807" s="341"/>
    </row>
    <row r="4808" spans="1:8" s="1522" customFormat="1" x14ac:dyDescent="0.25">
      <c r="A4808" s="1523"/>
      <c r="B4808" s="1561" t="s">
        <v>6389</v>
      </c>
      <c r="C4808" s="226" t="s">
        <v>5424</v>
      </c>
      <c r="D4808" s="212">
        <v>1</v>
      </c>
      <c r="E4808" s="980">
        <f>+VLOOKUP(B4808,Insumos!$A$2:$C$331,3,FALSE)</f>
        <v>443126.26399999997</v>
      </c>
      <c r="F4808" s="226">
        <f>1/(250/6)</f>
        <v>2.4E-2</v>
      </c>
      <c r="G4808" s="344">
        <f>+E4808*F4808</f>
        <v>10635.030336</v>
      </c>
      <c r="H4808" s="341"/>
    </row>
    <row r="4809" spans="1:8" s="1522" customFormat="1" x14ac:dyDescent="0.25">
      <c r="A4809" s="1523"/>
      <c r="B4809" s="1561"/>
      <c r="C4809" s="226"/>
      <c r="D4809" s="212"/>
      <c r="E4809" s="1569"/>
      <c r="F4809" s="226"/>
      <c r="G4809" s="344"/>
      <c r="H4809" s="341"/>
    </row>
    <row r="4810" spans="1:8" s="1522" customFormat="1" x14ac:dyDescent="0.25">
      <c r="A4810" s="1523"/>
      <c r="B4810" s="1561"/>
      <c r="C4810" s="226"/>
      <c r="D4810" s="212"/>
      <c r="E4810" s="346"/>
      <c r="F4810" s="226"/>
      <c r="G4810" s="375"/>
      <c r="H4810" s="341"/>
    </row>
    <row r="4811" spans="1:8" s="1522" customFormat="1" x14ac:dyDescent="0.25">
      <c r="A4811" s="1523"/>
      <c r="B4811" s="1561"/>
      <c r="C4811" s="226"/>
      <c r="D4811" s="952"/>
      <c r="E4811" s="232"/>
      <c r="F4811" s="226"/>
      <c r="G4811" s="344"/>
      <c r="H4811" s="341"/>
    </row>
    <row r="4812" spans="1:8" s="1522" customFormat="1" ht="15.75" thickBot="1" x14ac:dyDescent="0.3">
      <c r="A4812" s="1523"/>
      <c r="B4812" s="1561"/>
      <c r="C4812" s="226"/>
      <c r="D4812" s="952"/>
      <c r="E4812" s="232"/>
      <c r="F4812" s="226"/>
      <c r="G4812" s="344"/>
      <c r="H4812" s="341"/>
    </row>
    <row r="4813" spans="1:8" s="1522" customFormat="1" ht="15.75" thickBot="1" x14ac:dyDescent="0.3">
      <c r="A4813" s="1523"/>
      <c r="B4813" s="233"/>
      <c r="C4813" s="234"/>
      <c r="D4813" s="953"/>
      <c r="E4813" s="234"/>
      <c r="F4813" s="235"/>
      <c r="G4813" s="347"/>
      <c r="H4813" s="348">
        <f>+SUM(G4807:G4813)</f>
        <v>10716.909056</v>
      </c>
    </row>
    <row r="4814" spans="1:8" s="1522" customFormat="1" ht="15.75" thickBot="1" x14ac:dyDescent="0.3">
      <c r="A4814" s="1523"/>
      <c r="B4814" s="238"/>
      <c r="C4814" s="238"/>
      <c r="D4814" s="954"/>
      <c r="E4814" s="238"/>
      <c r="F4814" s="239"/>
      <c r="G4814" s="349"/>
      <c r="H4814" s="350"/>
    </row>
    <row r="4815" spans="1:8" s="1522" customFormat="1" ht="15.75" thickBot="1" x14ac:dyDescent="0.3">
      <c r="A4815" s="1523"/>
      <c r="B4815" s="224" t="s">
        <v>5408</v>
      </c>
      <c r="C4815" s="193" t="s">
        <v>867</v>
      </c>
      <c r="D4815" s="951" t="s">
        <v>6</v>
      </c>
      <c r="E4815" s="193" t="s">
        <v>870</v>
      </c>
      <c r="F4815" s="193" t="s">
        <v>5409</v>
      </c>
      <c r="G4815" s="343" t="s">
        <v>868</v>
      </c>
      <c r="H4815" s="341"/>
    </row>
    <row r="4816" spans="1:8" s="1522" customFormat="1" x14ac:dyDescent="0.25">
      <c r="A4816" s="1523"/>
      <c r="B4816" s="295" t="s">
        <v>5553</v>
      </c>
      <c r="C4816" s="1565" t="s">
        <v>5488</v>
      </c>
      <c r="D4816" s="212">
        <f>+PI()*(0.4/2)^2*1000*2</f>
        <v>251.32741228718348</v>
      </c>
      <c r="E4816" s="980">
        <f>+VLOOKUP(B4816,Insumos!$A$2:$C$331,3,FALSE)</f>
        <v>30</v>
      </c>
      <c r="F4816" s="1552">
        <v>0.05</v>
      </c>
      <c r="G4816" s="351">
        <f>+D4816*E4816*(1+F4816)</f>
        <v>7916.81348704628</v>
      </c>
      <c r="H4816" s="341"/>
    </row>
    <row r="4817" spans="1:8" s="1522" customFormat="1" x14ac:dyDescent="0.25">
      <c r="A4817" s="1523"/>
      <c r="B4817" s="450" t="s">
        <v>5755</v>
      </c>
      <c r="C4817" s="1565" t="s">
        <v>9068</v>
      </c>
      <c r="D4817" s="211">
        <f>+D4816*50/2</f>
        <v>6283.1853071795867</v>
      </c>
      <c r="E4817" s="980">
        <f>+VLOOKUP(B4817,Insumos!$A$2:$C$331,3,FALSE)</f>
        <v>1</v>
      </c>
      <c r="F4817" s="1552">
        <v>0.05</v>
      </c>
      <c r="G4817" s="351">
        <f>+D4817*E4817*(1+F4817)</f>
        <v>6597.3445725385664</v>
      </c>
      <c r="H4817" s="341"/>
    </row>
    <row r="4818" spans="1:8" s="1522" customFormat="1" x14ac:dyDescent="0.25">
      <c r="A4818" s="1523"/>
      <c r="B4818" s="260"/>
      <c r="C4818" s="1565"/>
      <c r="D4818" s="212"/>
      <c r="E4818" s="376"/>
      <c r="F4818" s="1552"/>
      <c r="G4818" s="377">
        <f>+E4818*D4818*(1+F4818)</f>
        <v>0</v>
      </c>
      <c r="H4818" s="341"/>
    </row>
    <row r="4819" spans="1:8" s="1522" customFormat="1" x14ac:dyDescent="0.25">
      <c r="A4819" s="1523"/>
      <c r="B4819" s="260"/>
      <c r="C4819" s="226"/>
      <c r="D4819" s="212"/>
      <c r="E4819" s="346"/>
      <c r="F4819" s="1552"/>
      <c r="G4819" s="377">
        <f>+E4819*D4819*(1+F4819)</f>
        <v>0</v>
      </c>
      <c r="H4819" s="341"/>
    </row>
    <row r="4820" spans="1:8" s="1522" customFormat="1" x14ac:dyDescent="0.25">
      <c r="A4820" s="1523"/>
      <c r="B4820" s="1561"/>
      <c r="C4820" s="226"/>
      <c r="D4820" s="212"/>
      <c r="E4820" s="346"/>
      <c r="F4820" s="1552"/>
      <c r="G4820" s="351"/>
      <c r="H4820" s="341"/>
    </row>
    <row r="4821" spans="1:8" s="1522" customFormat="1" x14ac:dyDescent="0.25">
      <c r="A4821" s="1523"/>
      <c r="B4821" s="1560"/>
      <c r="C4821" s="1565"/>
      <c r="D4821" s="211"/>
      <c r="E4821" s="346"/>
      <c r="F4821" s="1552"/>
      <c r="G4821" s="351"/>
      <c r="H4821" s="341"/>
    </row>
    <row r="4822" spans="1:8" s="1522" customFormat="1" x14ac:dyDescent="0.25">
      <c r="A4822" s="1523"/>
      <c r="B4822" s="1561"/>
      <c r="C4822" s="226"/>
      <c r="D4822" s="212"/>
      <c r="E4822" s="346"/>
      <c r="F4822" s="1552"/>
      <c r="G4822" s="351"/>
      <c r="H4822" s="341"/>
    </row>
    <row r="4823" spans="1:8" s="1522" customFormat="1" x14ac:dyDescent="0.25">
      <c r="A4823" s="1523"/>
      <c r="B4823" s="1561"/>
      <c r="C4823" s="226"/>
      <c r="D4823" s="212"/>
      <c r="E4823" s="346"/>
      <c r="F4823" s="1552"/>
      <c r="G4823" s="351"/>
      <c r="H4823" s="341"/>
    </row>
    <row r="4824" spans="1:8" s="1522" customFormat="1" x14ac:dyDescent="0.25">
      <c r="A4824" s="1523"/>
      <c r="B4824" s="1561"/>
      <c r="C4824" s="232"/>
      <c r="D4824" s="952"/>
      <c r="E4824" s="232"/>
      <c r="F4824" s="226"/>
      <c r="G4824" s="344"/>
      <c r="H4824" s="341"/>
    </row>
    <row r="4825" spans="1:8" s="1522" customFormat="1" x14ac:dyDescent="0.25">
      <c r="A4825" s="1523"/>
      <c r="B4825" s="1561"/>
      <c r="C4825" s="232"/>
      <c r="D4825" s="952"/>
      <c r="E4825" s="232"/>
      <c r="F4825" s="226"/>
      <c r="G4825" s="344"/>
      <c r="H4825" s="341"/>
    </row>
    <row r="4826" spans="1:8" s="1522" customFormat="1" x14ac:dyDescent="0.25">
      <c r="A4826" s="1523"/>
      <c r="B4826" s="1561"/>
      <c r="C4826" s="232"/>
      <c r="D4826" s="952"/>
      <c r="E4826" s="232"/>
      <c r="F4826" s="226"/>
      <c r="G4826" s="344"/>
      <c r="H4826" s="341"/>
    </row>
    <row r="4827" spans="1:8" s="1522" customFormat="1" ht="15.75" thickBot="1" x14ac:dyDescent="0.3">
      <c r="A4827" s="1523"/>
      <c r="B4827" s="1561"/>
      <c r="C4827" s="232"/>
      <c r="D4827" s="952"/>
      <c r="E4827" s="232"/>
      <c r="F4827" s="226"/>
      <c r="G4827" s="344"/>
      <c r="H4827" s="341"/>
    </row>
    <row r="4828" spans="1:8" s="1522" customFormat="1" ht="15.75" thickBot="1" x14ac:dyDescent="0.3">
      <c r="A4828" s="1523"/>
      <c r="B4828" s="233"/>
      <c r="C4828" s="234"/>
      <c r="D4828" s="953"/>
      <c r="E4828" s="234"/>
      <c r="F4828" s="235"/>
      <c r="G4828" s="347"/>
      <c r="H4828" s="348">
        <f>+SUM(G4816:G4828)</f>
        <v>14514.158059584846</v>
      </c>
    </row>
    <row r="4829" spans="1:8" s="1522" customFormat="1" ht="15.75" thickBot="1" x14ac:dyDescent="0.3">
      <c r="A4829" s="1523"/>
      <c r="B4829" s="238"/>
      <c r="C4829" s="238"/>
      <c r="D4829" s="954"/>
      <c r="E4829" s="238"/>
      <c r="F4829" s="239"/>
      <c r="G4829" s="349"/>
      <c r="H4829" s="350"/>
    </row>
    <row r="4830" spans="1:8" s="1522" customFormat="1" ht="15.75" thickBot="1" x14ac:dyDescent="0.3">
      <c r="A4830" s="1523"/>
      <c r="B4830" s="224" t="s">
        <v>5410</v>
      </c>
      <c r="C4830" s="193" t="s">
        <v>867</v>
      </c>
      <c r="D4830" s="951" t="s">
        <v>6</v>
      </c>
      <c r="E4830" s="193" t="s">
        <v>870</v>
      </c>
      <c r="F4830" s="193" t="s">
        <v>5411</v>
      </c>
      <c r="G4830" s="343" t="s">
        <v>868</v>
      </c>
      <c r="H4830" s="341"/>
    </row>
    <row r="4831" spans="1:8" s="1522" customFormat="1" x14ac:dyDescent="0.25">
      <c r="A4831" s="1523"/>
      <c r="B4831" s="245"/>
      <c r="C4831" s="283"/>
      <c r="D4831" s="959"/>
      <c r="E4831" s="379"/>
      <c r="F4831" s="283"/>
      <c r="G4831" s="354"/>
      <c r="H4831" s="355"/>
    </row>
    <row r="4832" spans="1:8" s="1522" customFormat="1" x14ac:dyDescent="0.25">
      <c r="A4832" s="1523"/>
      <c r="B4832" s="247"/>
      <c r="C4832" s="286"/>
      <c r="D4832" s="960"/>
      <c r="E4832" s="380"/>
      <c r="F4832" s="286"/>
      <c r="G4832" s="351"/>
      <c r="H4832" s="341"/>
    </row>
    <row r="4833" spans="1:9" s="1522" customFormat="1" x14ac:dyDescent="0.25">
      <c r="A4833" s="1523"/>
      <c r="B4833" s="247"/>
      <c r="C4833" s="286"/>
      <c r="D4833" s="960"/>
      <c r="E4833" s="288"/>
      <c r="F4833" s="286"/>
      <c r="G4833" s="344"/>
      <c r="H4833" s="341"/>
    </row>
    <row r="4834" spans="1:9" s="1522" customFormat="1" x14ac:dyDescent="0.25">
      <c r="A4834" s="1523"/>
      <c r="B4834" s="1560"/>
      <c r="C4834" s="248"/>
      <c r="D4834" s="961"/>
      <c r="E4834" s="248"/>
      <c r="F4834" s="1565"/>
      <c r="G4834" s="344"/>
      <c r="H4834" s="341"/>
    </row>
    <row r="4835" spans="1:9" s="1522" customFormat="1" ht="15.75" thickBot="1" x14ac:dyDescent="0.3">
      <c r="A4835" s="1523"/>
      <c r="B4835" s="1561"/>
      <c r="C4835" s="232"/>
      <c r="D4835" s="952"/>
      <c r="E4835" s="232"/>
      <c r="F4835" s="226"/>
      <c r="G4835" s="344"/>
      <c r="H4835" s="341"/>
    </row>
    <row r="4836" spans="1:9" s="1522" customFormat="1" ht="15.75" thickBot="1" x14ac:dyDescent="0.3">
      <c r="A4836" s="1523"/>
      <c r="B4836" s="233"/>
      <c r="C4836" s="234"/>
      <c r="D4836" s="953"/>
      <c r="E4836" s="234"/>
      <c r="F4836" s="235"/>
      <c r="G4836" s="347"/>
      <c r="H4836" s="348">
        <f>+SUM(G4831:G4836)</f>
        <v>0</v>
      </c>
    </row>
    <row r="4837" spans="1:9" s="1522" customFormat="1" ht="15.75" thickBot="1" x14ac:dyDescent="0.3">
      <c r="A4837" s="1523"/>
      <c r="B4837" s="238"/>
      <c r="C4837" s="238"/>
      <c r="D4837" s="954"/>
      <c r="E4837" s="238"/>
      <c r="F4837" s="249"/>
      <c r="G4837" s="356"/>
      <c r="H4837" s="350"/>
    </row>
    <row r="4838" spans="1:9" s="1522" customFormat="1" ht="15.75" thickBot="1" x14ac:dyDescent="0.3">
      <c r="A4838" s="1523"/>
      <c r="B4838" s="224" t="s">
        <v>5412</v>
      </c>
      <c r="C4838" s="193" t="s">
        <v>5420</v>
      </c>
      <c r="D4838" s="951" t="s">
        <v>5421</v>
      </c>
      <c r="E4838" s="193" t="s">
        <v>5413</v>
      </c>
      <c r="F4838" s="193" t="s">
        <v>5405</v>
      </c>
      <c r="G4838" s="343" t="s">
        <v>868</v>
      </c>
      <c r="H4838" s="341"/>
    </row>
    <row r="4839" spans="1:9" s="1522" customFormat="1" x14ac:dyDescent="0.25">
      <c r="A4839" s="1523"/>
      <c r="B4839" s="381" t="s">
        <v>5948</v>
      </c>
      <c r="C4839" s="1569">
        <f>+VLOOKUP($B4839,'Mano de obra'!$A$5:$D$26,2,FALSE)</f>
        <v>57455</v>
      </c>
      <c r="D4839" s="1569">
        <f>+VLOOKUP($B4839,'Mano de obra'!$A$5:$D$26,3,FALSE)</f>
        <v>35656</v>
      </c>
      <c r="E4839" s="1569">
        <f>+VLOOKUP($B4839,'Mano de obra'!$A$5:$D$26,4,FALSE)</f>
        <v>93111</v>
      </c>
      <c r="F4839" s="1566">
        <v>250</v>
      </c>
      <c r="G4839" s="351">
        <f>+E4839/F4839</f>
        <v>372.44400000000002</v>
      </c>
      <c r="H4839" s="341"/>
    </row>
    <row r="4840" spans="1:9" s="1522" customFormat="1" x14ac:dyDescent="0.25">
      <c r="A4840" s="1523"/>
      <c r="B4840" s="385" t="s">
        <v>5949</v>
      </c>
      <c r="C4840" s="1569">
        <f>+VLOOKUP($B4840,'Mano de obra'!$A$5:$D$26,2,FALSE)</f>
        <v>44263.8</v>
      </c>
      <c r="D4840" s="1569">
        <f>+VLOOKUP($B4840,'Mano de obra'!$A$5:$D$26,3,FALSE)</f>
        <v>27470</v>
      </c>
      <c r="E4840" s="1569">
        <f>+VLOOKUP($B4840,'Mano de obra'!$A$5:$D$26,4,FALSE)</f>
        <v>71733.8</v>
      </c>
      <c r="F4840" s="1565">
        <v>250</v>
      </c>
      <c r="G4840" s="351">
        <f>+E4840/F4840</f>
        <v>286.93520000000001</v>
      </c>
      <c r="H4840" s="341"/>
    </row>
    <row r="4841" spans="1:9" s="1522" customFormat="1" x14ac:dyDescent="0.25">
      <c r="A4841" s="1523"/>
      <c r="B4841" s="385" t="s">
        <v>5635</v>
      </c>
      <c r="C4841" s="1569">
        <f>+VLOOKUP($B4841,'Mano de obra'!$A$5:$D$26,2,FALSE)</f>
        <v>24591</v>
      </c>
      <c r="D4841" s="1569">
        <f>+VLOOKUP($B4841,'Mano de obra'!$A$5:$D$26,3,FALSE)</f>
        <v>15261</v>
      </c>
      <c r="E4841" s="1569">
        <f>+VLOOKUP($B4841,'Mano de obra'!$A$5:$D$26,4,FALSE)</f>
        <v>39852</v>
      </c>
      <c r="F4841" s="226">
        <v>250</v>
      </c>
      <c r="G4841" s="351">
        <f>+E4841/F4841</f>
        <v>159.40799999999999</v>
      </c>
      <c r="H4841" s="341"/>
    </row>
    <row r="4842" spans="1:9" s="1522" customFormat="1" x14ac:dyDescent="0.25">
      <c r="A4842" s="1523"/>
      <c r="B4842" s="1561"/>
      <c r="C4842" s="346"/>
      <c r="D4842" s="955"/>
      <c r="E4842" s="1569"/>
      <c r="F4842" s="226"/>
      <c r="G4842" s="351"/>
      <c r="H4842" s="341"/>
    </row>
    <row r="4843" spans="1:9" s="1522" customFormat="1" x14ac:dyDescent="0.25">
      <c r="A4843" s="1523"/>
      <c r="B4843" s="1561"/>
      <c r="C4843" s="232"/>
      <c r="D4843" s="952"/>
      <c r="E4843" s="232"/>
      <c r="F4843" s="226"/>
      <c r="G4843" s="344"/>
      <c r="H4843" s="341"/>
    </row>
    <row r="4844" spans="1:9" s="1522" customFormat="1" ht="15.75" thickBot="1" x14ac:dyDescent="0.3">
      <c r="A4844" s="1523"/>
      <c r="B4844" s="1561"/>
      <c r="C4844" s="232"/>
      <c r="D4844" s="952"/>
      <c r="E4844" s="232"/>
      <c r="F4844" s="226"/>
      <c r="G4844" s="344"/>
      <c r="H4844" s="341"/>
    </row>
    <row r="4845" spans="1:9" s="1522" customFormat="1" ht="15.75" thickBot="1" x14ac:dyDescent="0.3">
      <c r="A4845" s="1523"/>
      <c r="B4845" s="251"/>
      <c r="C4845" s="252"/>
      <c r="D4845" s="956"/>
      <c r="E4845" s="252"/>
      <c r="F4845" s="253"/>
      <c r="G4845" s="357"/>
      <c r="H4845" s="348">
        <f>+SUM(G4839:G4845)</f>
        <v>818.7872000000001</v>
      </c>
    </row>
    <row r="4846" spans="1:9" s="1522" customFormat="1" ht="15.75" thickBot="1" x14ac:dyDescent="0.3">
      <c r="A4846" s="1523"/>
      <c r="B4846" s="8"/>
      <c r="C4846" s="8"/>
      <c r="D4846" s="529"/>
      <c r="E4846" s="8"/>
      <c r="F4846" s="1523"/>
      <c r="G4846" s="341"/>
      <c r="H4846" s="341"/>
    </row>
    <row r="4847" spans="1:9" s="1522" customFormat="1" ht="15.75" thickBot="1" x14ac:dyDescent="0.3">
      <c r="A4847" s="1523" t="s">
        <v>6744</v>
      </c>
      <c r="B4847" s="8"/>
      <c r="C4847" s="8"/>
      <c r="D4847" s="529"/>
      <c r="E4847" s="223" t="s">
        <v>5415</v>
      </c>
      <c r="F4847" s="1523"/>
      <c r="G4847" s="341"/>
      <c r="H4847" s="348">
        <f>ROUND(+H4845+H4836+H4828+H4813,0)</f>
        <v>26050</v>
      </c>
      <c r="I4847" s="1522">
        <v>26393</v>
      </c>
    </row>
    <row r="4848" spans="1:9" s="1522" customFormat="1" x14ac:dyDescent="0.25">
      <c r="D4848" s="957"/>
    </row>
    <row r="4849" spans="1:8" s="1522" customFormat="1" x14ac:dyDescent="0.25">
      <c r="D4849" s="957"/>
    </row>
    <row r="4850" spans="1:8" s="1522" customFormat="1" x14ac:dyDescent="0.25">
      <c r="A4850" s="673" t="s">
        <v>5482</v>
      </c>
      <c r="B4850" s="1390" t="str">
        <f>+VLOOKUP(C4850,ListaAPUs!$B:$E,4,FALSE)</f>
        <v>6.1.6</v>
      </c>
      <c r="C4850" s="2447" t="str">
        <f>+ListaAPUs!B151</f>
        <v>Prueba hidráulica y desinfección tuberia DN500</v>
      </c>
      <c r="D4850" s="2447"/>
      <c r="E4850" s="2447"/>
      <c r="F4850" s="673" t="s">
        <v>867</v>
      </c>
      <c r="G4850" s="342" t="s">
        <v>5402</v>
      </c>
      <c r="H4850" s="341"/>
    </row>
    <row r="4851" spans="1:8" s="1522" customFormat="1" x14ac:dyDescent="0.25">
      <c r="A4851" s="1523"/>
      <c r="B4851" s="8"/>
      <c r="C4851" s="223"/>
      <c r="D4851" s="958"/>
      <c r="E4851" s="223"/>
      <c r="F4851" s="1523"/>
      <c r="G4851" s="341"/>
      <c r="H4851" s="341"/>
    </row>
    <row r="4852" spans="1:8" s="1522" customFormat="1" x14ac:dyDescent="0.25">
      <c r="A4852" s="1523"/>
      <c r="B4852" s="8"/>
      <c r="C4852" s="8"/>
      <c r="D4852" s="529"/>
      <c r="E4852" s="8"/>
      <c r="F4852" s="8"/>
      <c r="G4852" s="8"/>
      <c r="H4852" s="341"/>
    </row>
    <row r="4853" spans="1:8" s="1522" customFormat="1" ht="15.75" thickBot="1" x14ac:dyDescent="0.3">
      <c r="A4853" s="1523"/>
      <c r="B4853" s="8"/>
      <c r="C4853" s="8"/>
      <c r="D4853" s="529"/>
      <c r="E4853" s="8"/>
      <c r="F4853" s="1523"/>
      <c r="G4853" s="341"/>
      <c r="H4853" s="341"/>
    </row>
    <row r="4854" spans="1:8" s="1522" customFormat="1" ht="15.75" thickBot="1" x14ac:dyDescent="0.3">
      <c r="A4854" s="1523"/>
      <c r="B4854" s="224" t="s">
        <v>5403</v>
      </c>
      <c r="C4854" s="193" t="s">
        <v>867</v>
      </c>
      <c r="D4854" s="951" t="s">
        <v>6</v>
      </c>
      <c r="E4854" s="193" t="s">
        <v>5439</v>
      </c>
      <c r="F4854" s="193" t="s">
        <v>5405</v>
      </c>
      <c r="G4854" s="343" t="s">
        <v>868</v>
      </c>
      <c r="H4854" s="341"/>
    </row>
    <row r="4855" spans="1:8" s="1522" customFormat="1" x14ac:dyDescent="0.25">
      <c r="A4855" s="1523"/>
      <c r="B4855" s="1533" t="s">
        <v>5934</v>
      </c>
      <c r="C4855" s="226"/>
      <c r="D4855" s="212"/>
      <c r="E4855" s="372">
        <f>+H4893</f>
        <v>818.7872000000001</v>
      </c>
      <c r="F4855" s="226">
        <v>0.1</v>
      </c>
      <c r="G4855" s="344">
        <f>+E4855*F4855</f>
        <v>81.878720000000015</v>
      </c>
      <c r="H4855" s="341"/>
    </row>
    <row r="4856" spans="1:8" s="1522" customFormat="1" x14ac:dyDescent="0.25">
      <c r="A4856" s="1523"/>
      <c r="B4856" s="1561" t="s">
        <v>6389</v>
      </c>
      <c r="C4856" s="226" t="s">
        <v>5424</v>
      </c>
      <c r="D4856" s="212">
        <v>1</v>
      </c>
      <c r="E4856" s="980">
        <f>+VLOOKUP(B4856,Insumos!$A$2:$C$331,3,FALSE)</f>
        <v>443126.26399999997</v>
      </c>
      <c r="F4856" s="226">
        <f>1/(250/6)</f>
        <v>2.4E-2</v>
      </c>
      <c r="G4856" s="344">
        <f>+E4856*F4856</f>
        <v>10635.030336</v>
      </c>
      <c r="H4856" s="341"/>
    </row>
    <row r="4857" spans="1:8" s="1522" customFormat="1" x14ac:dyDescent="0.25">
      <c r="A4857" s="1523"/>
      <c r="B4857" s="1561"/>
      <c r="C4857" s="226"/>
      <c r="D4857" s="212"/>
      <c r="E4857" s="1569"/>
      <c r="F4857" s="226"/>
      <c r="G4857" s="344"/>
      <c r="H4857" s="341"/>
    </row>
    <row r="4858" spans="1:8" s="1522" customFormat="1" x14ac:dyDescent="0.25">
      <c r="A4858" s="1523"/>
      <c r="B4858" s="1561"/>
      <c r="C4858" s="226"/>
      <c r="D4858" s="212"/>
      <c r="E4858" s="346"/>
      <c r="F4858" s="226"/>
      <c r="G4858" s="375"/>
      <c r="H4858" s="341"/>
    </row>
    <row r="4859" spans="1:8" s="1522" customFormat="1" x14ac:dyDescent="0.25">
      <c r="A4859" s="1523"/>
      <c r="B4859" s="1561"/>
      <c r="C4859" s="226"/>
      <c r="D4859" s="952"/>
      <c r="E4859" s="232"/>
      <c r="F4859" s="226"/>
      <c r="G4859" s="344"/>
      <c r="H4859" s="341"/>
    </row>
    <row r="4860" spans="1:8" s="1522" customFormat="1" ht="15.75" thickBot="1" x14ac:dyDescent="0.3">
      <c r="A4860" s="1523"/>
      <c r="B4860" s="1561"/>
      <c r="C4860" s="226"/>
      <c r="D4860" s="952"/>
      <c r="E4860" s="232"/>
      <c r="F4860" s="226"/>
      <c r="G4860" s="344"/>
      <c r="H4860" s="341"/>
    </row>
    <row r="4861" spans="1:8" s="1522" customFormat="1" ht="15.75" thickBot="1" x14ac:dyDescent="0.3">
      <c r="A4861" s="1523"/>
      <c r="B4861" s="233"/>
      <c r="C4861" s="234"/>
      <c r="D4861" s="953"/>
      <c r="E4861" s="234"/>
      <c r="F4861" s="235"/>
      <c r="G4861" s="347"/>
      <c r="H4861" s="348">
        <f>+SUM(G4855:G4861)</f>
        <v>10716.909056</v>
      </c>
    </row>
    <row r="4862" spans="1:8" s="1522" customFormat="1" ht="15.75" thickBot="1" x14ac:dyDescent="0.3">
      <c r="A4862" s="1523"/>
      <c r="B4862" s="238"/>
      <c r="C4862" s="238"/>
      <c r="D4862" s="954"/>
      <c r="E4862" s="238"/>
      <c r="F4862" s="239"/>
      <c r="G4862" s="349"/>
      <c r="H4862" s="350"/>
    </row>
    <row r="4863" spans="1:8" s="1522" customFormat="1" ht="15.75" thickBot="1" x14ac:dyDescent="0.3">
      <c r="A4863" s="1523"/>
      <c r="B4863" s="224" t="s">
        <v>5408</v>
      </c>
      <c r="C4863" s="193" t="s">
        <v>867</v>
      </c>
      <c r="D4863" s="951" t="s">
        <v>6</v>
      </c>
      <c r="E4863" s="193" t="s">
        <v>870</v>
      </c>
      <c r="F4863" s="193" t="s">
        <v>5409</v>
      </c>
      <c r="G4863" s="343" t="s">
        <v>868</v>
      </c>
      <c r="H4863" s="341"/>
    </row>
    <row r="4864" spans="1:8" s="1522" customFormat="1" x14ac:dyDescent="0.25">
      <c r="A4864" s="1523"/>
      <c r="B4864" s="295" t="s">
        <v>5553</v>
      </c>
      <c r="C4864" s="1565" t="s">
        <v>5488</v>
      </c>
      <c r="D4864" s="212">
        <f>+PI()*(0.5/2)^2*1000*2</f>
        <v>392.69908169872411</v>
      </c>
      <c r="E4864" s="980">
        <f>+VLOOKUP(B4864,Insumos!$A$2:$C$331,3,FALSE)</f>
        <v>30</v>
      </c>
      <c r="F4864" s="1552">
        <v>0.05</v>
      </c>
      <c r="G4864" s="351">
        <f>+D4864*E4864*(1+F4864)</f>
        <v>12370.02107350981</v>
      </c>
      <c r="H4864" s="341"/>
    </row>
    <row r="4865" spans="1:8" s="1522" customFormat="1" x14ac:dyDescent="0.25">
      <c r="A4865" s="1523"/>
      <c r="B4865" s="450" t="s">
        <v>5755</v>
      </c>
      <c r="C4865" s="1565" t="s">
        <v>9068</v>
      </c>
      <c r="D4865" s="211">
        <f>+D4864*50/2</f>
        <v>9817.4770424681028</v>
      </c>
      <c r="E4865" s="980">
        <f>+VLOOKUP(B4865,Insumos!$A$2:$C$331,3,FALSE)</f>
        <v>1</v>
      </c>
      <c r="F4865" s="1552">
        <v>0.05</v>
      </c>
      <c r="G4865" s="351">
        <f>+D4865*E4865*(1+F4865)</f>
        <v>10308.350894591509</v>
      </c>
      <c r="H4865" s="341"/>
    </row>
    <row r="4866" spans="1:8" s="1522" customFormat="1" x14ac:dyDescent="0.25">
      <c r="A4866" s="1523"/>
      <c r="B4866" s="260"/>
      <c r="C4866" s="1565"/>
      <c r="D4866" s="212"/>
      <c r="E4866" s="376"/>
      <c r="F4866" s="1552"/>
      <c r="G4866" s="377">
        <f>+E4866*D4866*(1+F4866)</f>
        <v>0</v>
      </c>
      <c r="H4866" s="341"/>
    </row>
    <row r="4867" spans="1:8" s="1522" customFormat="1" x14ac:dyDescent="0.25">
      <c r="A4867" s="1523"/>
      <c r="B4867" s="260"/>
      <c r="C4867" s="226"/>
      <c r="D4867" s="212"/>
      <c r="E4867" s="346"/>
      <c r="F4867" s="1552"/>
      <c r="G4867" s="377">
        <f>+E4867*D4867*(1+F4867)</f>
        <v>0</v>
      </c>
      <c r="H4867" s="341"/>
    </row>
    <row r="4868" spans="1:8" s="1522" customFormat="1" x14ac:dyDescent="0.25">
      <c r="A4868" s="1523"/>
      <c r="B4868" s="1561"/>
      <c r="C4868" s="226"/>
      <c r="D4868" s="212"/>
      <c r="E4868" s="346"/>
      <c r="F4868" s="1552"/>
      <c r="G4868" s="351"/>
      <c r="H4868" s="341"/>
    </row>
    <row r="4869" spans="1:8" s="1522" customFormat="1" x14ac:dyDescent="0.25">
      <c r="A4869" s="1523"/>
      <c r="B4869" s="1560"/>
      <c r="C4869" s="1565"/>
      <c r="D4869" s="211"/>
      <c r="E4869" s="346"/>
      <c r="F4869" s="1552"/>
      <c r="G4869" s="351"/>
      <c r="H4869" s="341"/>
    </row>
    <row r="4870" spans="1:8" s="1522" customFormat="1" x14ac:dyDescent="0.25">
      <c r="A4870" s="1523"/>
      <c r="B4870" s="1561"/>
      <c r="C4870" s="226"/>
      <c r="D4870" s="212"/>
      <c r="E4870" s="346"/>
      <c r="F4870" s="1552"/>
      <c r="G4870" s="351"/>
      <c r="H4870" s="341"/>
    </row>
    <row r="4871" spans="1:8" s="1522" customFormat="1" x14ac:dyDescent="0.25">
      <c r="A4871" s="1523"/>
      <c r="B4871" s="1561"/>
      <c r="C4871" s="226"/>
      <c r="D4871" s="212"/>
      <c r="E4871" s="346"/>
      <c r="F4871" s="1552"/>
      <c r="G4871" s="351"/>
      <c r="H4871" s="341"/>
    </row>
    <row r="4872" spans="1:8" s="1522" customFormat="1" x14ac:dyDescent="0.25">
      <c r="A4872" s="1523"/>
      <c r="B4872" s="1561"/>
      <c r="C4872" s="232"/>
      <c r="D4872" s="952"/>
      <c r="E4872" s="232"/>
      <c r="F4872" s="226"/>
      <c r="G4872" s="344"/>
      <c r="H4872" s="341"/>
    </row>
    <row r="4873" spans="1:8" s="1522" customFormat="1" x14ac:dyDescent="0.25">
      <c r="A4873" s="1523"/>
      <c r="B4873" s="1561"/>
      <c r="C4873" s="232"/>
      <c r="D4873" s="952"/>
      <c r="E4873" s="232"/>
      <c r="F4873" s="226"/>
      <c r="G4873" s="344"/>
      <c r="H4873" s="341"/>
    </row>
    <row r="4874" spans="1:8" s="1522" customFormat="1" x14ac:dyDescent="0.25">
      <c r="A4874" s="1523"/>
      <c r="B4874" s="1561"/>
      <c r="C4874" s="232"/>
      <c r="D4874" s="952"/>
      <c r="E4874" s="232"/>
      <c r="F4874" s="226"/>
      <c r="G4874" s="344"/>
      <c r="H4874" s="341"/>
    </row>
    <row r="4875" spans="1:8" s="1522" customFormat="1" ht="15.75" thickBot="1" x14ac:dyDescent="0.3">
      <c r="A4875" s="1523"/>
      <c r="B4875" s="1561"/>
      <c r="C4875" s="232"/>
      <c r="D4875" s="952"/>
      <c r="E4875" s="232"/>
      <c r="F4875" s="226"/>
      <c r="G4875" s="344"/>
      <c r="H4875" s="341"/>
    </row>
    <row r="4876" spans="1:8" s="1522" customFormat="1" ht="15.75" thickBot="1" x14ac:dyDescent="0.3">
      <c r="A4876" s="1523"/>
      <c r="B4876" s="233"/>
      <c r="C4876" s="234"/>
      <c r="D4876" s="953"/>
      <c r="E4876" s="234"/>
      <c r="F4876" s="235"/>
      <c r="G4876" s="347"/>
      <c r="H4876" s="348">
        <f>+SUM(G4864:G4876)</f>
        <v>22678.371968101317</v>
      </c>
    </row>
    <row r="4877" spans="1:8" s="1522" customFormat="1" ht="15.75" thickBot="1" x14ac:dyDescent="0.3">
      <c r="A4877" s="1523"/>
      <c r="B4877" s="238"/>
      <c r="C4877" s="238"/>
      <c r="D4877" s="954"/>
      <c r="E4877" s="238"/>
      <c r="F4877" s="239"/>
      <c r="G4877" s="349"/>
      <c r="H4877" s="350"/>
    </row>
    <row r="4878" spans="1:8" s="1522" customFormat="1" ht="15.75" thickBot="1" x14ac:dyDescent="0.3">
      <c r="A4878" s="1523"/>
      <c r="B4878" s="224" t="s">
        <v>5410</v>
      </c>
      <c r="C4878" s="193" t="s">
        <v>867</v>
      </c>
      <c r="D4878" s="951" t="s">
        <v>6</v>
      </c>
      <c r="E4878" s="193" t="s">
        <v>870</v>
      </c>
      <c r="F4878" s="193" t="s">
        <v>5411</v>
      </c>
      <c r="G4878" s="343" t="s">
        <v>868</v>
      </c>
      <c r="H4878" s="341"/>
    </row>
    <row r="4879" spans="1:8" s="1522" customFormat="1" x14ac:dyDescent="0.25">
      <c r="A4879" s="1523"/>
      <c r="B4879" s="245"/>
      <c r="C4879" s="283"/>
      <c r="D4879" s="959"/>
      <c r="E4879" s="379"/>
      <c r="F4879" s="283"/>
      <c r="G4879" s="354"/>
      <c r="H4879" s="355"/>
    </row>
    <row r="4880" spans="1:8" s="1522" customFormat="1" x14ac:dyDescent="0.25">
      <c r="A4880" s="1523"/>
      <c r="B4880" s="247"/>
      <c r="C4880" s="286"/>
      <c r="D4880" s="960"/>
      <c r="E4880" s="380"/>
      <c r="F4880" s="286"/>
      <c r="G4880" s="351"/>
      <c r="H4880" s="341"/>
    </row>
    <row r="4881" spans="1:9" s="1522" customFormat="1" x14ac:dyDescent="0.25">
      <c r="A4881" s="1523"/>
      <c r="B4881" s="247"/>
      <c r="C4881" s="286"/>
      <c r="D4881" s="960"/>
      <c r="E4881" s="288"/>
      <c r="F4881" s="286"/>
      <c r="G4881" s="344"/>
      <c r="H4881" s="341"/>
    </row>
    <row r="4882" spans="1:9" s="1522" customFormat="1" x14ac:dyDescent="0.25">
      <c r="A4882" s="1523"/>
      <c r="B4882" s="1560"/>
      <c r="C4882" s="248"/>
      <c r="D4882" s="961"/>
      <c r="E4882" s="248"/>
      <c r="F4882" s="1565"/>
      <c r="G4882" s="344"/>
      <c r="H4882" s="341"/>
    </row>
    <row r="4883" spans="1:9" s="1522" customFormat="1" ht="15.75" thickBot="1" x14ac:dyDescent="0.3">
      <c r="A4883" s="1523"/>
      <c r="B4883" s="1561"/>
      <c r="C4883" s="232"/>
      <c r="D4883" s="952"/>
      <c r="E4883" s="232"/>
      <c r="F4883" s="226"/>
      <c r="G4883" s="344"/>
      <c r="H4883" s="341"/>
    </row>
    <row r="4884" spans="1:9" s="1522" customFormat="1" ht="15.75" thickBot="1" x14ac:dyDescent="0.3">
      <c r="A4884" s="1523"/>
      <c r="B4884" s="233"/>
      <c r="C4884" s="234"/>
      <c r="D4884" s="953"/>
      <c r="E4884" s="234"/>
      <c r="F4884" s="235"/>
      <c r="G4884" s="347"/>
      <c r="H4884" s="348">
        <f>+SUM(G4879:G4884)</f>
        <v>0</v>
      </c>
    </row>
    <row r="4885" spans="1:9" s="1522" customFormat="1" ht="15.75" thickBot="1" x14ac:dyDescent="0.3">
      <c r="A4885" s="1523"/>
      <c r="B4885" s="238"/>
      <c r="C4885" s="238"/>
      <c r="D4885" s="954"/>
      <c r="E4885" s="238"/>
      <c r="F4885" s="249"/>
      <c r="G4885" s="356"/>
      <c r="H4885" s="350"/>
    </row>
    <row r="4886" spans="1:9" s="1522" customFormat="1" ht="15.75" thickBot="1" x14ac:dyDescent="0.3">
      <c r="A4886" s="1523"/>
      <c r="B4886" s="224" t="s">
        <v>5412</v>
      </c>
      <c r="C4886" s="193" t="s">
        <v>5420</v>
      </c>
      <c r="D4886" s="951" t="s">
        <v>5421</v>
      </c>
      <c r="E4886" s="193" t="s">
        <v>5413</v>
      </c>
      <c r="F4886" s="193" t="s">
        <v>5405</v>
      </c>
      <c r="G4886" s="343" t="s">
        <v>868</v>
      </c>
      <c r="H4886" s="341"/>
    </row>
    <row r="4887" spans="1:9" s="1522" customFormat="1" x14ac:dyDescent="0.25">
      <c r="A4887" s="1523"/>
      <c r="B4887" s="381" t="s">
        <v>5948</v>
      </c>
      <c r="C4887" s="1569">
        <f>+VLOOKUP($B4887,'Mano de obra'!$A$5:$D$26,2,FALSE)</f>
        <v>57455</v>
      </c>
      <c r="D4887" s="1569">
        <f>+VLOOKUP($B4887,'Mano de obra'!$A$5:$D$26,3,FALSE)</f>
        <v>35656</v>
      </c>
      <c r="E4887" s="1569">
        <f>+VLOOKUP($B4887,'Mano de obra'!$A$5:$D$26,4,FALSE)</f>
        <v>93111</v>
      </c>
      <c r="F4887" s="1566">
        <v>250</v>
      </c>
      <c r="G4887" s="351">
        <f>+E4887/F4887</f>
        <v>372.44400000000002</v>
      </c>
      <c r="H4887" s="341"/>
    </row>
    <row r="4888" spans="1:9" s="1522" customFormat="1" x14ac:dyDescent="0.25">
      <c r="A4888" s="1523"/>
      <c r="B4888" s="385" t="s">
        <v>5949</v>
      </c>
      <c r="C4888" s="1569">
        <f>+VLOOKUP($B4888,'Mano de obra'!$A$5:$D$26,2,FALSE)</f>
        <v>44263.8</v>
      </c>
      <c r="D4888" s="1569">
        <f>+VLOOKUP($B4888,'Mano de obra'!$A$5:$D$26,3,FALSE)</f>
        <v>27470</v>
      </c>
      <c r="E4888" s="1569">
        <f>+VLOOKUP($B4888,'Mano de obra'!$A$5:$D$26,4,FALSE)</f>
        <v>71733.8</v>
      </c>
      <c r="F4888" s="1565">
        <v>250</v>
      </c>
      <c r="G4888" s="351">
        <f>+E4888/F4888</f>
        <v>286.93520000000001</v>
      </c>
      <c r="H4888" s="341"/>
    </row>
    <row r="4889" spans="1:9" s="1522" customFormat="1" x14ac:dyDescent="0.25">
      <c r="A4889" s="1523"/>
      <c r="B4889" s="385" t="s">
        <v>5635</v>
      </c>
      <c r="C4889" s="1569">
        <f>+VLOOKUP($B4889,'Mano de obra'!$A$5:$D$26,2,FALSE)</f>
        <v>24591</v>
      </c>
      <c r="D4889" s="1569">
        <f>+VLOOKUP($B4889,'Mano de obra'!$A$5:$D$26,3,FALSE)</f>
        <v>15261</v>
      </c>
      <c r="E4889" s="1569">
        <f>+VLOOKUP($B4889,'Mano de obra'!$A$5:$D$26,4,FALSE)</f>
        <v>39852</v>
      </c>
      <c r="F4889" s="226">
        <v>250</v>
      </c>
      <c r="G4889" s="351">
        <f>+E4889/F4889</f>
        <v>159.40799999999999</v>
      </c>
      <c r="H4889" s="341"/>
    </row>
    <row r="4890" spans="1:9" s="1522" customFormat="1" x14ac:dyDescent="0.25">
      <c r="A4890" s="1523"/>
      <c r="B4890" s="1561"/>
      <c r="C4890" s="346"/>
      <c r="D4890" s="955"/>
      <c r="E4890" s="1569"/>
      <c r="F4890" s="226"/>
      <c r="G4890" s="351"/>
      <c r="H4890" s="341"/>
    </row>
    <row r="4891" spans="1:9" s="1522" customFormat="1" x14ac:dyDescent="0.25">
      <c r="A4891" s="1523"/>
      <c r="B4891" s="1561"/>
      <c r="C4891" s="232"/>
      <c r="D4891" s="952"/>
      <c r="E4891" s="232"/>
      <c r="F4891" s="226"/>
      <c r="G4891" s="344"/>
      <c r="H4891" s="341"/>
    </row>
    <row r="4892" spans="1:9" s="1522" customFormat="1" ht="15.75" thickBot="1" x14ac:dyDescent="0.3">
      <c r="A4892" s="1523"/>
      <c r="B4892" s="1561"/>
      <c r="C4892" s="232"/>
      <c r="D4892" s="952"/>
      <c r="E4892" s="232"/>
      <c r="F4892" s="226"/>
      <c r="G4892" s="344"/>
      <c r="H4892" s="341"/>
    </row>
    <row r="4893" spans="1:9" s="1522" customFormat="1" ht="15.75" thickBot="1" x14ac:dyDescent="0.3">
      <c r="A4893" s="1523"/>
      <c r="B4893" s="251"/>
      <c r="C4893" s="252"/>
      <c r="D4893" s="956"/>
      <c r="E4893" s="252"/>
      <c r="F4893" s="253"/>
      <c r="G4893" s="357"/>
      <c r="H4893" s="348">
        <f>+SUM(G4887:G4893)</f>
        <v>818.7872000000001</v>
      </c>
    </row>
    <row r="4894" spans="1:9" s="1522" customFormat="1" ht="15.75" thickBot="1" x14ac:dyDescent="0.3">
      <c r="A4894" s="1523"/>
      <c r="B4894" s="8"/>
      <c r="C4894" s="8"/>
      <c r="D4894" s="529"/>
      <c r="E4894" s="8"/>
      <c r="F4894" s="1523"/>
      <c r="G4894" s="341"/>
      <c r="H4894" s="341"/>
    </row>
    <row r="4895" spans="1:9" s="1522" customFormat="1" ht="15.75" thickBot="1" x14ac:dyDescent="0.3">
      <c r="A4895" s="1523" t="s">
        <v>6744</v>
      </c>
      <c r="B4895" s="8"/>
      <c r="C4895" s="8"/>
      <c r="D4895" s="529"/>
      <c r="E4895" s="223" t="s">
        <v>5415</v>
      </c>
      <c r="F4895" s="1523"/>
      <c r="G4895" s="341"/>
      <c r="H4895" s="348">
        <f>ROUND(+H4893+H4884+H4876+H4861,0)</f>
        <v>34214</v>
      </c>
      <c r="I4895" s="1522">
        <v>34557</v>
      </c>
    </row>
    <row r="4896" spans="1:9" s="1522" customFormat="1" x14ac:dyDescent="0.25">
      <c r="D4896" s="957"/>
    </row>
    <row r="4897" spans="2:9" s="1441" customFormat="1" x14ac:dyDescent="0.25">
      <c r="D4897" s="957"/>
    </row>
    <row r="4898" spans="2:9" s="1441" customFormat="1" ht="30.75" customHeight="1" x14ac:dyDescent="0.25">
      <c r="B4898" s="1390" t="str">
        <f>+VLOOKUP(C4898,ListaAPUs!$B:$E,4,FALSE)</f>
        <v>6.1.7</v>
      </c>
      <c r="C4898" s="2452" t="str">
        <f>+ListaAPUs!B152</f>
        <v>Inspección con CCTV DN 250 (Incluye Limpieza de Tuberia para Inspección)</v>
      </c>
      <c r="D4898" s="2447"/>
      <c r="E4898" s="2447"/>
      <c r="F4898" s="673" t="s">
        <v>867</v>
      </c>
      <c r="G4898" s="342" t="s">
        <v>5402</v>
      </c>
      <c r="H4898" s="341"/>
    </row>
    <row r="4899" spans="2:9" s="1441" customFormat="1" x14ac:dyDescent="0.25">
      <c r="B4899" s="8"/>
      <c r="C4899" s="223"/>
      <c r="D4899" s="958"/>
      <c r="E4899" s="223"/>
      <c r="F4899" s="133"/>
      <c r="G4899" s="341"/>
      <c r="H4899" s="341"/>
    </row>
    <row r="4900" spans="2:9" s="1441" customFormat="1" x14ac:dyDescent="0.25">
      <c r="B4900" s="8"/>
      <c r="C4900" s="8"/>
      <c r="D4900" s="529"/>
      <c r="E4900" s="8"/>
      <c r="F4900" s="8"/>
      <c r="G4900" s="8"/>
      <c r="H4900" s="341"/>
    </row>
    <row r="4901" spans="2:9" s="1441" customFormat="1" ht="15.75" thickBot="1" x14ac:dyDescent="0.3">
      <c r="B4901" s="8"/>
      <c r="C4901" s="8"/>
      <c r="D4901" s="529"/>
      <c r="E4901" s="8"/>
      <c r="F4901" s="133"/>
      <c r="G4901" s="341"/>
      <c r="H4901" s="341"/>
    </row>
    <row r="4902" spans="2:9" s="1441" customFormat="1" ht="15.75" thickBot="1" x14ac:dyDescent="0.3">
      <c r="B4902" s="224" t="s">
        <v>5403</v>
      </c>
      <c r="C4902" s="193" t="s">
        <v>867</v>
      </c>
      <c r="D4902" s="951" t="s">
        <v>6</v>
      </c>
      <c r="E4902" s="193" t="s">
        <v>5439</v>
      </c>
      <c r="F4902" s="193" t="s">
        <v>5405</v>
      </c>
      <c r="G4902" s="343" t="s">
        <v>868</v>
      </c>
      <c r="H4902" s="341"/>
    </row>
    <row r="4903" spans="2:9" s="1441" customFormat="1" x14ac:dyDescent="0.25">
      <c r="B4903" s="146" t="s">
        <v>5934</v>
      </c>
      <c r="C4903" s="226"/>
      <c r="D4903" s="212"/>
      <c r="E4903" s="372">
        <f>+H4941</f>
        <v>23605.800999999999</v>
      </c>
      <c r="F4903" s="226">
        <v>0.1</v>
      </c>
      <c r="G4903" s="344">
        <f>+E4903*F4903</f>
        <v>2360.5801000000001</v>
      </c>
      <c r="H4903" s="341"/>
    </row>
    <row r="4904" spans="2:9" s="1441" customFormat="1" x14ac:dyDescent="0.25">
      <c r="B4904" s="195" t="s">
        <v>6388</v>
      </c>
      <c r="C4904" s="226"/>
      <c r="D4904" s="212"/>
      <c r="E4904" s="980">
        <f>+VLOOKUP(B4904,Insumos!$A$2:$C$331,3,FALSE)</f>
        <v>23086</v>
      </c>
      <c r="F4904" s="226"/>
      <c r="G4904" s="344">
        <f>+E4904</f>
        <v>23086</v>
      </c>
      <c r="H4904" s="341"/>
    </row>
    <row r="4905" spans="2:9" s="1441" customFormat="1" x14ac:dyDescent="0.25">
      <c r="B4905" s="195"/>
      <c r="C4905" s="226"/>
      <c r="D4905" s="212"/>
      <c r="E4905" s="980"/>
      <c r="F4905" s="226"/>
      <c r="G4905" s="344"/>
      <c r="H4905" s="341"/>
    </row>
    <row r="4906" spans="2:9" s="1441" customFormat="1" x14ac:dyDescent="0.25">
      <c r="B4906" s="195"/>
      <c r="C4906" s="226"/>
      <c r="D4906" s="212"/>
      <c r="E4906" s="346"/>
      <c r="F4906" s="226"/>
      <c r="G4906" s="375"/>
      <c r="H4906" s="341"/>
    </row>
    <row r="4907" spans="2:9" s="1441" customFormat="1" x14ac:dyDescent="0.25">
      <c r="B4907" s="195"/>
      <c r="C4907" s="226"/>
      <c r="D4907" s="952"/>
      <c r="E4907" s="232"/>
      <c r="F4907" s="226"/>
      <c r="G4907" s="344"/>
      <c r="H4907" s="341"/>
    </row>
    <row r="4908" spans="2:9" s="1441" customFormat="1" ht="15.75" thickBot="1" x14ac:dyDescent="0.3">
      <c r="B4908" s="195"/>
      <c r="C4908" s="226"/>
      <c r="D4908" s="952"/>
      <c r="E4908" s="232"/>
      <c r="F4908" s="226"/>
      <c r="G4908" s="344"/>
      <c r="H4908" s="341"/>
    </row>
    <row r="4909" spans="2:9" s="1441" customFormat="1" ht="15.75" thickBot="1" x14ac:dyDescent="0.3">
      <c r="B4909" s="233"/>
      <c r="C4909" s="234"/>
      <c r="D4909" s="953"/>
      <c r="E4909" s="234"/>
      <c r="F4909" s="235"/>
      <c r="G4909" s="347"/>
      <c r="H4909" s="348">
        <f>+SUM(G4903:G4909)</f>
        <v>25446.580099999999</v>
      </c>
    </row>
    <row r="4910" spans="2:9" s="1441" customFormat="1" ht="15.75" thickBot="1" x14ac:dyDescent="0.3">
      <c r="B4910" s="238"/>
      <c r="C4910" s="238"/>
      <c r="D4910" s="954"/>
      <c r="E4910" s="238"/>
      <c r="F4910" s="239"/>
      <c r="G4910" s="349"/>
      <c r="H4910" s="350"/>
    </row>
    <row r="4911" spans="2:9" s="1441" customFormat="1" ht="15.75" thickBot="1" x14ac:dyDescent="0.3">
      <c r="B4911" s="224" t="s">
        <v>5408</v>
      </c>
      <c r="C4911" s="193" t="s">
        <v>867</v>
      </c>
      <c r="D4911" s="951" t="s">
        <v>6</v>
      </c>
      <c r="E4911" s="193" t="s">
        <v>870</v>
      </c>
      <c r="F4911" s="193" t="s">
        <v>5409</v>
      </c>
      <c r="G4911" s="343" t="s">
        <v>868</v>
      </c>
      <c r="H4911" s="341"/>
    </row>
    <row r="4912" spans="2:9" s="1441" customFormat="1" x14ac:dyDescent="0.25">
      <c r="B4912" s="295" t="s">
        <v>5553</v>
      </c>
      <c r="C4912" s="202" t="s">
        <v>5488</v>
      </c>
      <c r="D4912" s="274">
        <f>+(PI()*0.25^2)/4*1000</f>
        <v>49.087385212340514</v>
      </c>
      <c r="E4912" s="980">
        <f>+VLOOKUP(B4912,Insumos!$A$2:$C$331,3,FALSE)</f>
        <v>30</v>
      </c>
      <c r="F4912" s="169">
        <v>0.05</v>
      </c>
      <c r="G4912" s="178">
        <f>+D4912*E4912*(1+F4912)</f>
        <v>1546.2526341887262</v>
      </c>
      <c r="H4912" s="341"/>
      <c r="I4912" s="810"/>
    </row>
    <row r="4913" spans="2:8" s="1441" customFormat="1" x14ac:dyDescent="0.25">
      <c r="B4913" s="450"/>
      <c r="C4913" s="202"/>
      <c r="D4913" s="211"/>
      <c r="E4913" s="980"/>
      <c r="F4913" s="169"/>
      <c r="G4913" s="178"/>
      <c r="H4913" s="341"/>
    </row>
    <row r="4914" spans="2:8" s="1441" customFormat="1" x14ac:dyDescent="0.25">
      <c r="B4914" s="260"/>
      <c r="C4914" s="202"/>
      <c r="D4914" s="212"/>
      <c r="E4914" s="376"/>
      <c r="F4914" s="169"/>
      <c r="G4914" s="377">
        <f>+E4914*D4914*(1+F4914)</f>
        <v>0</v>
      </c>
      <c r="H4914" s="341"/>
    </row>
    <row r="4915" spans="2:8" s="1441" customFormat="1" x14ac:dyDescent="0.25">
      <c r="B4915" s="260"/>
      <c r="C4915" s="226"/>
      <c r="D4915" s="212"/>
      <c r="E4915" s="346"/>
      <c r="F4915" s="169"/>
      <c r="G4915" s="377">
        <f>+E4915*D4915*(1+F4915)</f>
        <v>0</v>
      </c>
      <c r="H4915" s="341"/>
    </row>
    <row r="4916" spans="2:8" s="1441" customFormat="1" x14ac:dyDescent="0.25">
      <c r="B4916" s="195"/>
      <c r="C4916" s="226"/>
      <c r="D4916" s="212"/>
      <c r="E4916" s="346"/>
      <c r="F4916" s="169"/>
      <c r="G4916" s="351"/>
      <c r="H4916" s="341"/>
    </row>
    <row r="4917" spans="2:8" s="1441" customFormat="1" x14ac:dyDescent="0.25">
      <c r="B4917" s="194"/>
      <c r="C4917" s="202"/>
      <c r="D4917" s="211"/>
      <c r="E4917" s="346"/>
      <c r="F4917" s="169"/>
      <c r="G4917" s="351"/>
      <c r="H4917" s="341"/>
    </row>
    <row r="4918" spans="2:8" s="1441" customFormat="1" x14ac:dyDescent="0.25">
      <c r="B4918" s="195"/>
      <c r="C4918" s="226"/>
      <c r="D4918" s="212"/>
      <c r="E4918" s="346"/>
      <c r="F4918" s="169"/>
      <c r="G4918" s="351"/>
      <c r="H4918" s="341"/>
    </row>
    <row r="4919" spans="2:8" s="1441" customFormat="1" x14ac:dyDescent="0.25">
      <c r="B4919" s="195"/>
      <c r="C4919" s="226"/>
      <c r="D4919" s="212"/>
      <c r="E4919" s="346"/>
      <c r="F4919" s="169"/>
      <c r="G4919" s="351"/>
      <c r="H4919" s="341"/>
    </row>
    <row r="4920" spans="2:8" s="1441" customFormat="1" x14ac:dyDescent="0.25">
      <c r="B4920" s="195"/>
      <c r="C4920" s="232"/>
      <c r="D4920" s="952"/>
      <c r="E4920" s="232"/>
      <c r="F4920" s="226"/>
      <c r="G4920" s="344"/>
      <c r="H4920" s="341"/>
    </row>
    <row r="4921" spans="2:8" s="1441" customFormat="1" x14ac:dyDescent="0.25">
      <c r="B4921" s="195"/>
      <c r="C4921" s="232"/>
      <c r="D4921" s="952"/>
      <c r="E4921" s="232"/>
      <c r="F4921" s="226"/>
      <c r="G4921" s="344"/>
      <c r="H4921" s="341"/>
    </row>
    <row r="4922" spans="2:8" s="1441" customFormat="1" x14ac:dyDescent="0.25">
      <c r="B4922" s="195"/>
      <c r="C4922" s="232"/>
      <c r="D4922" s="952"/>
      <c r="E4922" s="232"/>
      <c r="F4922" s="226"/>
      <c r="G4922" s="344"/>
      <c r="H4922" s="341"/>
    </row>
    <row r="4923" spans="2:8" s="1441" customFormat="1" ht="15.75" thickBot="1" x14ac:dyDescent="0.3">
      <c r="B4923" s="195"/>
      <c r="C4923" s="232"/>
      <c r="D4923" s="952"/>
      <c r="E4923" s="232"/>
      <c r="F4923" s="226"/>
      <c r="G4923" s="344"/>
      <c r="H4923" s="341"/>
    </row>
    <row r="4924" spans="2:8" s="1441" customFormat="1" ht="15.75" thickBot="1" x14ac:dyDescent="0.3">
      <c r="B4924" s="233"/>
      <c r="C4924" s="234"/>
      <c r="D4924" s="953"/>
      <c r="E4924" s="234"/>
      <c r="F4924" s="235"/>
      <c r="G4924" s="347"/>
      <c r="H4924" s="348">
        <f>+SUM(G4912:G4924)</f>
        <v>1546.2526341887262</v>
      </c>
    </row>
    <row r="4925" spans="2:8" s="1441" customFormat="1" ht="15.75" thickBot="1" x14ac:dyDescent="0.3">
      <c r="B4925" s="238"/>
      <c r="C4925" s="238"/>
      <c r="D4925" s="954"/>
      <c r="E4925" s="238"/>
      <c r="F4925" s="239"/>
      <c r="G4925" s="349"/>
      <c r="H4925" s="350"/>
    </row>
    <row r="4926" spans="2:8" s="1441" customFormat="1" ht="15.75" thickBot="1" x14ac:dyDescent="0.3">
      <c r="B4926" s="224" t="s">
        <v>5410</v>
      </c>
      <c r="C4926" s="193" t="s">
        <v>867</v>
      </c>
      <c r="D4926" s="951" t="s">
        <v>6</v>
      </c>
      <c r="E4926" s="193" t="s">
        <v>870</v>
      </c>
      <c r="F4926" s="193" t="s">
        <v>5411</v>
      </c>
      <c r="G4926" s="343" t="s">
        <v>868</v>
      </c>
      <c r="H4926" s="341"/>
    </row>
    <row r="4927" spans="2:8" s="1441" customFormat="1" x14ac:dyDescent="0.25">
      <c r="B4927" s="245"/>
      <c r="C4927" s="283"/>
      <c r="D4927" s="959"/>
      <c r="E4927" s="379"/>
      <c r="F4927" s="283"/>
      <c r="G4927" s="354"/>
      <c r="H4927" s="355"/>
    </row>
    <row r="4928" spans="2:8" s="1441" customFormat="1" x14ac:dyDescent="0.25">
      <c r="B4928" s="247"/>
      <c r="C4928" s="286"/>
      <c r="D4928" s="960"/>
      <c r="E4928" s="380"/>
      <c r="F4928" s="286"/>
      <c r="G4928" s="351"/>
      <c r="H4928" s="341"/>
    </row>
    <row r="4929" spans="2:8" s="1441" customFormat="1" x14ac:dyDescent="0.25">
      <c r="B4929" s="247"/>
      <c r="C4929" s="286"/>
      <c r="D4929" s="960"/>
      <c r="E4929" s="288"/>
      <c r="F4929" s="286"/>
      <c r="G4929" s="344"/>
      <c r="H4929" s="341"/>
    </row>
    <row r="4930" spans="2:8" s="1441" customFormat="1" x14ac:dyDescent="0.25">
      <c r="B4930" s="194"/>
      <c r="C4930" s="248"/>
      <c r="D4930" s="961"/>
      <c r="E4930" s="248"/>
      <c r="F4930" s="202"/>
      <c r="G4930" s="344"/>
      <c r="H4930" s="341"/>
    </row>
    <row r="4931" spans="2:8" s="1441" customFormat="1" ht="15.75" thickBot="1" x14ac:dyDescent="0.3">
      <c r="B4931" s="195"/>
      <c r="C4931" s="232"/>
      <c r="D4931" s="952"/>
      <c r="E4931" s="232"/>
      <c r="F4931" s="226"/>
      <c r="G4931" s="344"/>
      <c r="H4931" s="341"/>
    </row>
    <row r="4932" spans="2:8" s="1441" customFormat="1" ht="15.75" thickBot="1" x14ac:dyDescent="0.3">
      <c r="B4932" s="233"/>
      <c r="C4932" s="234"/>
      <c r="D4932" s="953"/>
      <c r="E4932" s="234"/>
      <c r="F4932" s="235"/>
      <c r="G4932" s="347"/>
      <c r="H4932" s="348">
        <f>+SUM(G4927:G4932)</f>
        <v>0</v>
      </c>
    </row>
    <row r="4933" spans="2:8" s="1441" customFormat="1" ht="15.75" thickBot="1" x14ac:dyDescent="0.3">
      <c r="B4933" s="238"/>
      <c r="C4933" s="238"/>
      <c r="D4933" s="954"/>
      <c r="E4933" s="238"/>
      <c r="F4933" s="249"/>
      <c r="G4933" s="356"/>
      <c r="H4933" s="350"/>
    </row>
    <row r="4934" spans="2:8" s="1441" customFormat="1" ht="15.75" thickBot="1" x14ac:dyDescent="0.3">
      <c r="B4934" s="224" t="s">
        <v>5412</v>
      </c>
      <c r="C4934" s="193" t="s">
        <v>5420</v>
      </c>
      <c r="D4934" s="951" t="s">
        <v>5421</v>
      </c>
      <c r="E4934" s="193" t="s">
        <v>5413</v>
      </c>
      <c r="F4934" s="193" t="s">
        <v>5405</v>
      </c>
      <c r="G4934" s="343" t="s">
        <v>868</v>
      </c>
      <c r="H4934" s="341"/>
    </row>
    <row r="4935" spans="2:8" s="1441" customFormat="1" x14ac:dyDescent="0.25">
      <c r="B4935" s="381" t="s">
        <v>5948</v>
      </c>
      <c r="C4935" s="345">
        <f>+VLOOKUP($B4935,'Mano de obra'!$A$5:$D$26,2,FALSE)</f>
        <v>57455</v>
      </c>
      <c r="D4935" s="345">
        <f>+VLOOKUP($B4935,'Mano de obra'!$A$5:$D$26,3,FALSE)</f>
        <v>35656</v>
      </c>
      <c r="E4935" s="345">
        <f>+VLOOKUP($B4935,'Mano de obra'!$A$5:$D$26,4,FALSE)</f>
        <v>93111</v>
      </c>
      <c r="F4935" s="204">
        <v>1000</v>
      </c>
      <c r="G4935" s="351">
        <f>+E4935/F4935</f>
        <v>93.111000000000004</v>
      </c>
      <c r="H4935" s="341"/>
    </row>
    <row r="4936" spans="2:8" s="1441" customFormat="1" x14ac:dyDescent="0.25">
      <c r="B4936" s="385" t="s">
        <v>5949</v>
      </c>
      <c r="C4936" s="345">
        <f>+VLOOKUP($B4936,'Mano de obra'!$A$5:$D$26,2,FALSE)</f>
        <v>44263.8</v>
      </c>
      <c r="D4936" s="345">
        <f>+VLOOKUP($B4936,'Mano de obra'!$A$5:$D$26,3,FALSE)</f>
        <v>27470</v>
      </c>
      <c r="E4936" s="345">
        <f>+VLOOKUP($B4936,'Mano de obra'!$A$5:$D$26,4,FALSE)</f>
        <v>71733.8</v>
      </c>
      <c r="F4936" s="202">
        <v>20</v>
      </c>
      <c r="G4936" s="351">
        <f>+E4936/F4936</f>
        <v>3586.69</v>
      </c>
      <c r="H4936" s="341"/>
    </row>
    <row r="4937" spans="2:8" s="1441" customFormat="1" x14ac:dyDescent="0.25">
      <c r="B4937" s="385" t="s">
        <v>5635</v>
      </c>
      <c r="C4937" s="345">
        <f>+VLOOKUP($B4937,'Mano de obra'!$A$5:$D$26,2,FALSE)</f>
        <v>24591</v>
      </c>
      <c r="D4937" s="345">
        <f>+VLOOKUP($B4937,'Mano de obra'!$A$5:$D$26,3,FALSE)</f>
        <v>15261</v>
      </c>
      <c r="E4937" s="345">
        <f>+VLOOKUP($B4937,'Mano de obra'!$A$5:$D$26,4,FALSE)</f>
        <v>39852</v>
      </c>
      <c r="F4937" s="226">
        <v>2</v>
      </c>
      <c r="G4937" s="351">
        <f>+E4937/F4937</f>
        <v>19926</v>
      </c>
      <c r="H4937" s="341"/>
    </row>
    <row r="4938" spans="2:8" s="1441" customFormat="1" x14ac:dyDescent="0.25">
      <c r="B4938" s="195"/>
      <c r="C4938" s="346"/>
      <c r="D4938" s="955"/>
      <c r="E4938" s="345"/>
      <c r="F4938" s="226"/>
      <c r="G4938" s="351"/>
      <c r="H4938" s="341"/>
    </row>
    <row r="4939" spans="2:8" s="1441" customFormat="1" x14ac:dyDescent="0.25">
      <c r="B4939" s="195"/>
      <c r="C4939" s="232"/>
      <c r="D4939" s="952"/>
      <c r="E4939" s="232"/>
      <c r="F4939" s="226"/>
      <c r="G4939" s="344"/>
      <c r="H4939" s="341"/>
    </row>
    <row r="4940" spans="2:8" s="1441" customFormat="1" ht="15.75" thickBot="1" x14ac:dyDescent="0.3">
      <c r="B4940" s="195"/>
      <c r="C4940" s="232"/>
      <c r="D4940" s="952"/>
      <c r="E4940" s="232"/>
      <c r="F4940" s="226"/>
      <c r="G4940" s="344"/>
      <c r="H4940" s="341"/>
    </row>
    <row r="4941" spans="2:8" s="1441" customFormat="1" ht="15.75" thickBot="1" x14ac:dyDescent="0.3">
      <c r="B4941" s="251"/>
      <c r="C4941" s="252"/>
      <c r="D4941" s="956"/>
      <c r="E4941" s="252"/>
      <c r="F4941" s="253"/>
      <c r="G4941" s="357"/>
      <c r="H4941" s="348">
        <f>+SUM(G4935:G4941)</f>
        <v>23605.800999999999</v>
      </c>
    </row>
    <row r="4942" spans="2:8" s="1441" customFormat="1" ht="15.75" thickBot="1" x14ac:dyDescent="0.3">
      <c r="B4942" s="8"/>
      <c r="C4942" s="8"/>
      <c r="D4942" s="529"/>
      <c r="E4942" s="8"/>
      <c r="F4942" s="133"/>
      <c r="G4942" s="341"/>
      <c r="H4942" s="341"/>
    </row>
    <row r="4943" spans="2:8" s="1441" customFormat="1" ht="15.75" thickBot="1" x14ac:dyDescent="0.3">
      <c r="B4943" s="8"/>
      <c r="C4943" s="8"/>
      <c r="D4943" s="529"/>
      <c r="E4943" s="223" t="s">
        <v>5415</v>
      </c>
      <c r="F4943" s="133"/>
      <c r="G4943" s="341"/>
      <c r="H4943" s="348">
        <f>ROUND(+H4941+H4932+H4924+H4909,0)</f>
        <v>50599</v>
      </c>
    </row>
    <row r="4944" spans="2:8" s="1441" customFormat="1" x14ac:dyDescent="0.25">
      <c r="D4944" s="957"/>
    </row>
    <row r="4945" spans="2:8" s="1441" customFormat="1" x14ac:dyDescent="0.25">
      <c r="D4945" s="957"/>
    </row>
    <row r="4946" spans="2:8" s="1441" customFormat="1" x14ac:dyDescent="0.25">
      <c r="D4946" s="957"/>
    </row>
    <row r="4947" spans="2:8" s="1441" customFormat="1" ht="33" customHeight="1" x14ac:dyDescent="0.25">
      <c r="B4947" s="1390" t="str">
        <f>+VLOOKUP(C4947,ListaAPUs!$B:$E,4,FALSE)</f>
        <v>6.1.8</v>
      </c>
      <c r="C4947" s="2452" t="str">
        <f>+ListaAPUs!B153</f>
        <v>Inspección con CCTV DN 350 (Incluye Limpieza de Tuberia para Inspección)</v>
      </c>
      <c r="D4947" s="2447"/>
      <c r="E4947" s="2447"/>
      <c r="F4947" s="673" t="s">
        <v>867</v>
      </c>
      <c r="G4947" s="342" t="s">
        <v>5402</v>
      </c>
      <c r="H4947" s="341"/>
    </row>
    <row r="4948" spans="2:8" s="1441" customFormat="1" x14ac:dyDescent="0.25">
      <c r="B4948" s="8"/>
      <c r="C4948" s="223"/>
      <c r="D4948" s="958"/>
      <c r="E4948" s="223"/>
      <c r="F4948" s="133"/>
      <c r="G4948" s="341"/>
      <c r="H4948" s="341"/>
    </row>
    <row r="4949" spans="2:8" s="1441" customFormat="1" x14ac:dyDescent="0.25">
      <c r="B4949" s="8"/>
      <c r="C4949" s="8"/>
      <c r="D4949" s="529"/>
      <c r="E4949" s="8"/>
      <c r="F4949" s="8"/>
      <c r="G4949" s="8"/>
      <c r="H4949" s="341"/>
    </row>
    <row r="4950" spans="2:8" s="1441" customFormat="1" ht="15.75" thickBot="1" x14ac:dyDescent="0.3">
      <c r="B4950" s="8"/>
      <c r="C4950" s="8"/>
      <c r="D4950" s="529"/>
      <c r="E4950" s="8"/>
      <c r="F4950" s="133"/>
      <c r="G4950" s="341"/>
      <c r="H4950" s="341"/>
    </row>
    <row r="4951" spans="2:8" s="1441" customFormat="1" ht="15.75" thickBot="1" x14ac:dyDescent="0.3">
      <c r="B4951" s="224" t="s">
        <v>5403</v>
      </c>
      <c r="C4951" s="193" t="s">
        <v>867</v>
      </c>
      <c r="D4951" s="951" t="s">
        <v>6</v>
      </c>
      <c r="E4951" s="193" t="s">
        <v>5439</v>
      </c>
      <c r="F4951" s="193" t="s">
        <v>5405</v>
      </c>
      <c r="G4951" s="343" t="s">
        <v>868</v>
      </c>
      <c r="H4951" s="341"/>
    </row>
    <row r="4952" spans="2:8" s="1441" customFormat="1" x14ac:dyDescent="0.25">
      <c r="B4952" s="146" t="s">
        <v>5934</v>
      </c>
      <c r="C4952" s="226"/>
      <c r="D4952" s="212"/>
      <c r="E4952" s="372">
        <f>+H4990</f>
        <v>23605.800999999999</v>
      </c>
      <c r="F4952" s="226">
        <v>0.1</v>
      </c>
      <c r="G4952" s="344">
        <f>+E4952*F4952</f>
        <v>2360.5801000000001</v>
      </c>
      <c r="H4952" s="341"/>
    </row>
    <row r="4953" spans="2:8" s="1441" customFormat="1" x14ac:dyDescent="0.25">
      <c r="B4953" s="195" t="s">
        <v>6388</v>
      </c>
      <c r="C4953" s="226"/>
      <c r="D4953" s="212"/>
      <c r="E4953" s="980">
        <f>+VLOOKUP(B4953,Insumos!$A$2:$C$331,3,FALSE)</f>
        <v>23086</v>
      </c>
      <c r="F4953" s="226"/>
      <c r="G4953" s="344">
        <f>+E4953</f>
        <v>23086</v>
      </c>
      <c r="H4953" s="341"/>
    </row>
    <row r="4954" spans="2:8" s="1441" customFormat="1" x14ac:dyDescent="0.25">
      <c r="B4954" s="195"/>
      <c r="C4954" s="226"/>
      <c r="D4954" s="212"/>
      <c r="E4954" s="980"/>
      <c r="F4954" s="226"/>
      <c r="G4954" s="344"/>
      <c r="H4954" s="341"/>
    </row>
    <row r="4955" spans="2:8" s="1441" customFormat="1" x14ac:dyDescent="0.25">
      <c r="B4955" s="195"/>
      <c r="C4955" s="226"/>
      <c r="D4955" s="212"/>
      <c r="E4955" s="346"/>
      <c r="F4955" s="226"/>
      <c r="G4955" s="375"/>
      <c r="H4955" s="341"/>
    </row>
    <row r="4956" spans="2:8" s="1441" customFormat="1" x14ac:dyDescent="0.25">
      <c r="B4956" s="195"/>
      <c r="C4956" s="226"/>
      <c r="D4956" s="952"/>
      <c r="E4956" s="232"/>
      <c r="F4956" s="226"/>
      <c r="G4956" s="344"/>
      <c r="H4956" s="341"/>
    </row>
    <row r="4957" spans="2:8" s="1441" customFormat="1" ht="15.75" thickBot="1" x14ac:dyDescent="0.3">
      <c r="B4957" s="195"/>
      <c r="C4957" s="226"/>
      <c r="D4957" s="952"/>
      <c r="E4957" s="232"/>
      <c r="F4957" s="226"/>
      <c r="G4957" s="344"/>
      <c r="H4957" s="341"/>
    </row>
    <row r="4958" spans="2:8" s="1441" customFormat="1" ht="15.75" thickBot="1" x14ac:dyDescent="0.3">
      <c r="B4958" s="233"/>
      <c r="C4958" s="234"/>
      <c r="D4958" s="953"/>
      <c r="E4958" s="234"/>
      <c r="F4958" s="235"/>
      <c r="G4958" s="347"/>
      <c r="H4958" s="348">
        <f>+SUM(G4952:G4958)</f>
        <v>25446.580099999999</v>
      </c>
    </row>
    <row r="4959" spans="2:8" s="1441" customFormat="1" ht="15.75" thickBot="1" x14ac:dyDescent="0.3">
      <c r="B4959" s="238"/>
      <c r="C4959" s="238"/>
      <c r="D4959" s="954"/>
      <c r="E4959" s="238"/>
      <c r="F4959" s="239"/>
      <c r="G4959" s="349"/>
      <c r="H4959" s="350"/>
    </row>
    <row r="4960" spans="2:8" s="1441" customFormat="1" ht="15.75" thickBot="1" x14ac:dyDescent="0.3">
      <c r="B4960" s="224" t="s">
        <v>5408</v>
      </c>
      <c r="C4960" s="193" t="s">
        <v>867</v>
      </c>
      <c r="D4960" s="951" t="s">
        <v>6</v>
      </c>
      <c r="E4960" s="193" t="s">
        <v>870</v>
      </c>
      <c r="F4960" s="193" t="s">
        <v>5409</v>
      </c>
      <c r="G4960" s="343" t="s">
        <v>868</v>
      </c>
      <c r="H4960" s="341"/>
    </row>
    <row r="4961" spans="2:8" s="1441" customFormat="1" x14ac:dyDescent="0.25">
      <c r="B4961" s="295" t="s">
        <v>5553</v>
      </c>
      <c r="C4961" s="202" t="s">
        <v>5488</v>
      </c>
      <c r="D4961" s="274">
        <f>+(PI()*0.35^2)/4*1000</f>
        <v>96.2112750161874</v>
      </c>
      <c r="E4961" s="980">
        <f>+VLOOKUP(B4961,Insumos!$A$2:$C$331,3,FALSE)</f>
        <v>30</v>
      </c>
      <c r="F4961" s="169">
        <v>0.05</v>
      </c>
      <c r="G4961" s="178">
        <f>+D4961*E4961*(1+F4961)</f>
        <v>3030.6551630099034</v>
      </c>
      <c r="H4961" s="341"/>
    </row>
    <row r="4962" spans="2:8" s="1441" customFormat="1" x14ac:dyDescent="0.25">
      <c r="B4962" s="450"/>
      <c r="C4962" s="202"/>
      <c r="D4962" s="211"/>
      <c r="E4962" s="980"/>
      <c r="F4962" s="169"/>
      <c r="G4962" s="178"/>
      <c r="H4962" s="341"/>
    </row>
    <row r="4963" spans="2:8" s="1441" customFormat="1" x14ac:dyDescent="0.25">
      <c r="B4963" s="260"/>
      <c r="C4963" s="202"/>
      <c r="D4963" s="212"/>
      <c r="E4963" s="376"/>
      <c r="F4963" s="169"/>
      <c r="G4963" s="377">
        <f>+E4963*D4963*(1+F4963)</f>
        <v>0</v>
      </c>
      <c r="H4963" s="341"/>
    </row>
    <row r="4964" spans="2:8" s="1441" customFormat="1" x14ac:dyDescent="0.25">
      <c r="B4964" s="260"/>
      <c r="C4964" s="226"/>
      <c r="D4964" s="212"/>
      <c r="E4964" s="346"/>
      <c r="F4964" s="169"/>
      <c r="G4964" s="377">
        <f>+E4964*D4964*(1+F4964)</f>
        <v>0</v>
      </c>
      <c r="H4964" s="341"/>
    </row>
    <row r="4965" spans="2:8" s="1441" customFormat="1" x14ac:dyDescent="0.25">
      <c r="B4965" s="195"/>
      <c r="C4965" s="226"/>
      <c r="D4965" s="212"/>
      <c r="E4965" s="346"/>
      <c r="F4965" s="169"/>
      <c r="G4965" s="351"/>
      <c r="H4965" s="341"/>
    </row>
    <row r="4966" spans="2:8" s="1441" customFormat="1" x14ac:dyDescent="0.25">
      <c r="B4966" s="194"/>
      <c r="C4966" s="202"/>
      <c r="D4966" s="211"/>
      <c r="E4966" s="346"/>
      <c r="F4966" s="169"/>
      <c r="G4966" s="351"/>
      <c r="H4966" s="341"/>
    </row>
    <row r="4967" spans="2:8" s="1441" customFormat="1" x14ac:dyDescent="0.25">
      <c r="B4967" s="195"/>
      <c r="C4967" s="226"/>
      <c r="D4967" s="212"/>
      <c r="E4967" s="346"/>
      <c r="F4967" s="169"/>
      <c r="G4967" s="351"/>
      <c r="H4967" s="341"/>
    </row>
    <row r="4968" spans="2:8" s="1441" customFormat="1" x14ac:dyDescent="0.25">
      <c r="B4968" s="195"/>
      <c r="C4968" s="226"/>
      <c r="D4968" s="212"/>
      <c r="E4968" s="346"/>
      <c r="F4968" s="169"/>
      <c r="G4968" s="351"/>
      <c r="H4968" s="341"/>
    </row>
    <row r="4969" spans="2:8" s="1441" customFormat="1" x14ac:dyDescent="0.25">
      <c r="B4969" s="195"/>
      <c r="C4969" s="232"/>
      <c r="D4969" s="952"/>
      <c r="E4969" s="232"/>
      <c r="F4969" s="226"/>
      <c r="G4969" s="344"/>
      <c r="H4969" s="341"/>
    </row>
    <row r="4970" spans="2:8" s="1441" customFormat="1" x14ac:dyDescent="0.25">
      <c r="B4970" s="195"/>
      <c r="C4970" s="232"/>
      <c r="D4970" s="952"/>
      <c r="E4970" s="232"/>
      <c r="F4970" s="226"/>
      <c r="G4970" s="344"/>
      <c r="H4970" s="341"/>
    </row>
    <row r="4971" spans="2:8" s="1441" customFormat="1" x14ac:dyDescent="0.25">
      <c r="B4971" s="195"/>
      <c r="C4971" s="232"/>
      <c r="D4971" s="952"/>
      <c r="E4971" s="232"/>
      <c r="F4971" s="226"/>
      <c r="G4971" s="344"/>
      <c r="H4971" s="341"/>
    </row>
    <row r="4972" spans="2:8" s="1441" customFormat="1" ht="15.75" thickBot="1" x14ac:dyDescent="0.3">
      <c r="B4972" s="195"/>
      <c r="C4972" s="232"/>
      <c r="D4972" s="952"/>
      <c r="E4972" s="232"/>
      <c r="F4972" s="226"/>
      <c r="G4972" s="344"/>
      <c r="H4972" s="341"/>
    </row>
    <row r="4973" spans="2:8" s="1441" customFormat="1" ht="15.75" thickBot="1" x14ac:dyDescent="0.3">
      <c r="B4973" s="233"/>
      <c r="C4973" s="234"/>
      <c r="D4973" s="953"/>
      <c r="E4973" s="234"/>
      <c r="F4973" s="235"/>
      <c r="G4973" s="347"/>
      <c r="H4973" s="348">
        <f>+SUM(G4961:G4973)</f>
        <v>3030.6551630099034</v>
      </c>
    </row>
    <row r="4974" spans="2:8" s="1441" customFormat="1" ht="15.75" thickBot="1" x14ac:dyDescent="0.3">
      <c r="B4974" s="238"/>
      <c r="C4974" s="238"/>
      <c r="D4974" s="954"/>
      <c r="E4974" s="238"/>
      <c r="F4974" s="239"/>
      <c r="G4974" s="349"/>
      <c r="H4974" s="350"/>
    </row>
    <row r="4975" spans="2:8" s="1441" customFormat="1" ht="15.75" thickBot="1" x14ac:dyDescent="0.3">
      <c r="B4975" s="224" t="s">
        <v>5410</v>
      </c>
      <c r="C4975" s="193" t="s">
        <v>867</v>
      </c>
      <c r="D4975" s="951" t="s">
        <v>6</v>
      </c>
      <c r="E4975" s="193" t="s">
        <v>870</v>
      </c>
      <c r="F4975" s="193" t="s">
        <v>5411</v>
      </c>
      <c r="G4975" s="343" t="s">
        <v>868</v>
      </c>
      <c r="H4975" s="341"/>
    </row>
    <row r="4976" spans="2:8" s="1441" customFormat="1" x14ac:dyDescent="0.25">
      <c r="B4976" s="245"/>
      <c r="C4976" s="283"/>
      <c r="D4976" s="959"/>
      <c r="E4976" s="379"/>
      <c r="F4976" s="283"/>
      <c r="G4976" s="354"/>
      <c r="H4976" s="355"/>
    </row>
    <row r="4977" spans="2:8" s="1441" customFormat="1" x14ac:dyDescent="0.25">
      <c r="B4977" s="247"/>
      <c r="C4977" s="286"/>
      <c r="D4977" s="960"/>
      <c r="E4977" s="380"/>
      <c r="F4977" s="286"/>
      <c r="G4977" s="351"/>
      <c r="H4977" s="341"/>
    </row>
    <row r="4978" spans="2:8" s="1441" customFormat="1" x14ac:dyDescent="0.25">
      <c r="B4978" s="247"/>
      <c r="C4978" s="286"/>
      <c r="D4978" s="960"/>
      <c r="E4978" s="288"/>
      <c r="F4978" s="286"/>
      <c r="G4978" s="344"/>
      <c r="H4978" s="341"/>
    </row>
    <row r="4979" spans="2:8" s="1441" customFormat="1" x14ac:dyDescent="0.25">
      <c r="B4979" s="194"/>
      <c r="C4979" s="248"/>
      <c r="D4979" s="961"/>
      <c r="E4979" s="248"/>
      <c r="F4979" s="202"/>
      <c r="G4979" s="344"/>
      <c r="H4979" s="341"/>
    </row>
    <row r="4980" spans="2:8" s="1441" customFormat="1" ht="15.75" thickBot="1" x14ac:dyDescent="0.3">
      <c r="B4980" s="195"/>
      <c r="C4980" s="232"/>
      <c r="D4980" s="952"/>
      <c r="E4980" s="232"/>
      <c r="F4980" s="226"/>
      <c r="G4980" s="344"/>
      <c r="H4980" s="341"/>
    </row>
    <row r="4981" spans="2:8" s="1441" customFormat="1" ht="15.75" thickBot="1" x14ac:dyDescent="0.3">
      <c r="B4981" s="233"/>
      <c r="C4981" s="234"/>
      <c r="D4981" s="953"/>
      <c r="E4981" s="234"/>
      <c r="F4981" s="235"/>
      <c r="G4981" s="347"/>
      <c r="H4981" s="348">
        <f>+SUM(G4976:G4981)</f>
        <v>0</v>
      </c>
    </row>
    <row r="4982" spans="2:8" s="1441" customFormat="1" ht="15.75" thickBot="1" x14ac:dyDescent="0.3">
      <c r="B4982" s="238"/>
      <c r="C4982" s="238"/>
      <c r="D4982" s="954"/>
      <c r="E4982" s="238"/>
      <c r="F4982" s="249"/>
      <c r="G4982" s="356"/>
      <c r="H4982" s="350"/>
    </row>
    <row r="4983" spans="2:8" s="1441" customFormat="1" ht="15.75" thickBot="1" x14ac:dyDescent="0.3">
      <c r="B4983" s="224" t="s">
        <v>5412</v>
      </c>
      <c r="C4983" s="193" t="s">
        <v>5420</v>
      </c>
      <c r="D4983" s="951" t="s">
        <v>5421</v>
      </c>
      <c r="E4983" s="193" t="s">
        <v>5413</v>
      </c>
      <c r="F4983" s="193" t="s">
        <v>5405</v>
      </c>
      <c r="G4983" s="343" t="s">
        <v>868</v>
      </c>
      <c r="H4983" s="341"/>
    </row>
    <row r="4984" spans="2:8" s="1441" customFormat="1" x14ac:dyDescent="0.25">
      <c r="B4984" s="381" t="s">
        <v>5948</v>
      </c>
      <c r="C4984" s="345">
        <f>+VLOOKUP($B4984,'Mano de obra'!$A$5:$D$26,2,FALSE)</f>
        <v>57455</v>
      </c>
      <c r="D4984" s="345">
        <f>+VLOOKUP($B4984,'Mano de obra'!$A$5:$D$26,3,FALSE)</f>
        <v>35656</v>
      </c>
      <c r="E4984" s="345">
        <f>+VLOOKUP($B4984,'Mano de obra'!$A$5:$D$26,4,FALSE)</f>
        <v>93111</v>
      </c>
      <c r="F4984" s="204">
        <v>1000</v>
      </c>
      <c r="G4984" s="351">
        <f>+E4984/F4984</f>
        <v>93.111000000000004</v>
      </c>
      <c r="H4984" s="341"/>
    </row>
    <row r="4985" spans="2:8" s="1441" customFormat="1" x14ac:dyDescent="0.25">
      <c r="B4985" s="385" t="s">
        <v>5949</v>
      </c>
      <c r="C4985" s="345">
        <f>+VLOOKUP($B4985,'Mano de obra'!$A$5:$D$26,2,FALSE)</f>
        <v>44263.8</v>
      </c>
      <c r="D4985" s="345">
        <f>+VLOOKUP($B4985,'Mano de obra'!$A$5:$D$26,3,FALSE)</f>
        <v>27470</v>
      </c>
      <c r="E4985" s="345">
        <f>+VLOOKUP($B4985,'Mano de obra'!$A$5:$D$26,4,FALSE)</f>
        <v>71733.8</v>
      </c>
      <c r="F4985" s="202">
        <v>20</v>
      </c>
      <c r="G4985" s="351">
        <f>+E4985/F4985</f>
        <v>3586.69</v>
      </c>
      <c r="H4985" s="341"/>
    </row>
    <row r="4986" spans="2:8" s="1441" customFormat="1" x14ac:dyDescent="0.25">
      <c r="B4986" s="385" t="s">
        <v>5635</v>
      </c>
      <c r="C4986" s="345">
        <f>+VLOOKUP($B4986,'Mano de obra'!$A$5:$D$26,2,FALSE)</f>
        <v>24591</v>
      </c>
      <c r="D4986" s="345">
        <f>+VLOOKUP($B4986,'Mano de obra'!$A$5:$D$26,3,FALSE)</f>
        <v>15261</v>
      </c>
      <c r="E4986" s="345">
        <f>+VLOOKUP($B4986,'Mano de obra'!$A$5:$D$26,4,FALSE)</f>
        <v>39852</v>
      </c>
      <c r="F4986" s="226">
        <v>2</v>
      </c>
      <c r="G4986" s="351">
        <f>+E4986/F4986</f>
        <v>19926</v>
      </c>
      <c r="H4986" s="341"/>
    </row>
    <row r="4987" spans="2:8" s="1441" customFormat="1" x14ac:dyDescent="0.25">
      <c r="B4987" s="195"/>
      <c r="C4987" s="346"/>
      <c r="D4987" s="955"/>
      <c r="E4987" s="345"/>
      <c r="F4987" s="226"/>
      <c r="G4987" s="351"/>
      <c r="H4987" s="341"/>
    </row>
    <row r="4988" spans="2:8" s="1441" customFormat="1" x14ac:dyDescent="0.25">
      <c r="B4988" s="195"/>
      <c r="C4988" s="232"/>
      <c r="D4988" s="952"/>
      <c r="E4988" s="232"/>
      <c r="F4988" s="226"/>
      <c r="G4988" s="344"/>
      <c r="H4988" s="341"/>
    </row>
    <row r="4989" spans="2:8" s="1441" customFormat="1" ht="15.75" thickBot="1" x14ac:dyDescent="0.3">
      <c r="B4989" s="195"/>
      <c r="C4989" s="232"/>
      <c r="D4989" s="952"/>
      <c r="E4989" s="232"/>
      <c r="F4989" s="226"/>
      <c r="G4989" s="344"/>
      <c r="H4989" s="341"/>
    </row>
    <row r="4990" spans="2:8" s="1441" customFormat="1" ht="15.75" thickBot="1" x14ac:dyDescent="0.3">
      <c r="B4990" s="251"/>
      <c r="C4990" s="252"/>
      <c r="D4990" s="956"/>
      <c r="E4990" s="252"/>
      <c r="F4990" s="253"/>
      <c r="G4990" s="357"/>
      <c r="H4990" s="348">
        <f>+SUM(G4984:G4990)</f>
        <v>23605.800999999999</v>
      </c>
    </row>
    <row r="4991" spans="2:8" s="1441" customFormat="1" ht="15.75" thickBot="1" x14ac:dyDescent="0.3">
      <c r="B4991" s="8"/>
      <c r="C4991" s="8"/>
      <c r="D4991" s="529"/>
      <c r="E4991" s="8"/>
      <c r="F4991" s="133"/>
      <c r="G4991" s="341"/>
      <c r="H4991" s="341"/>
    </row>
    <row r="4992" spans="2:8" s="1441" customFormat="1" ht="15.75" thickBot="1" x14ac:dyDescent="0.3">
      <c r="B4992" s="8"/>
      <c r="C4992" s="8"/>
      <c r="D4992" s="529"/>
      <c r="E4992" s="223" t="s">
        <v>5415</v>
      </c>
      <c r="F4992" s="133"/>
      <c r="G4992" s="341"/>
      <c r="H4992" s="348">
        <f>ROUND(+H4990+H4981+H4973+H4958,0)</f>
        <v>52083</v>
      </c>
    </row>
    <row r="4993" spans="2:8" s="1441" customFormat="1" x14ac:dyDescent="0.25">
      <c r="D4993" s="957"/>
    </row>
    <row r="4994" spans="2:8" s="1441" customFormat="1" x14ac:dyDescent="0.25">
      <c r="D4994" s="957"/>
    </row>
    <row r="4995" spans="2:8" s="1441" customFormat="1" ht="39.75" customHeight="1" x14ac:dyDescent="0.25">
      <c r="B4995" s="1390" t="str">
        <f>+VLOOKUP(C4995,ListaAPUs!$B:$E,4,FALSE)</f>
        <v>6.1.9</v>
      </c>
      <c r="C4995" s="2452" t="str">
        <f>+ListaAPUs!B154</f>
        <v>Inspección con CCTV DN 400 (Incluye Limpieza de Tuberia para Inspección)</v>
      </c>
      <c r="D4995" s="2447"/>
      <c r="E4995" s="2447"/>
      <c r="F4995" s="673" t="s">
        <v>867</v>
      </c>
      <c r="G4995" s="342" t="s">
        <v>5402</v>
      </c>
      <c r="H4995" s="341"/>
    </row>
    <row r="4996" spans="2:8" s="1441" customFormat="1" x14ac:dyDescent="0.25">
      <c r="B4996" s="8"/>
      <c r="C4996" s="223"/>
      <c r="D4996" s="958"/>
      <c r="E4996" s="223"/>
      <c r="F4996" s="133"/>
      <c r="G4996" s="341"/>
      <c r="H4996" s="341"/>
    </row>
    <row r="4997" spans="2:8" s="1441" customFormat="1" x14ac:dyDescent="0.25">
      <c r="B4997" s="8"/>
      <c r="C4997" s="8"/>
      <c r="D4997" s="529"/>
      <c r="E4997" s="8"/>
      <c r="F4997" s="8"/>
      <c r="G4997" s="8"/>
      <c r="H4997" s="341"/>
    </row>
    <row r="4998" spans="2:8" s="1441" customFormat="1" ht="15.75" thickBot="1" x14ac:dyDescent="0.3">
      <c r="B4998" s="8"/>
      <c r="C4998" s="8"/>
      <c r="D4998" s="529"/>
      <c r="E4998" s="8"/>
      <c r="F4998" s="133"/>
      <c r="G4998" s="341"/>
      <c r="H4998" s="341"/>
    </row>
    <row r="4999" spans="2:8" s="1441" customFormat="1" ht="15.75" thickBot="1" x14ac:dyDescent="0.3">
      <c r="B4999" s="224" t="s">
        <v>5403</v>
      </c>
      <c r="C4999" s="193" t="s">
        <v>867</v>
      </c>
      <c r="D4999" s="951" t="s">
        <v>6</v>
      </c>
      <c r="E4999" s="193" t="s">
        <v>5439</v>
      </c>
      <c r="F4999" s="193" t="s">
        <v>5405</v>
      </c>
      <c r="G4999" s="343" t="s">
        <v>868</v>
      </c>
      <c r="H4999" s="341"/>
    </row>
    <row r="5000" spans="2:8" s="1441" customFormat="1" x14ac:dyDescent="0.25">
      <c r="B5000" s="146" t="s">
        <v>5934</v>
      </c>
      <c r="C5000" s="226"/>
      <c r="D5000" s="212"/>
      <c r="E5000" s="372">
        <f>+H5038</f>
        <v>23605.800999999999</v>
      </c>
      <c r="F5000" s="226">
        <v>0.1</v>
      </c>
      <c r="G5000" s="344">
        <f>+E5000*F5000</f>
        <v>2360.5801000000001</v>
      </c>
      <c r="H5000" s="341"/>
    </row>
    <row r="5001" spans="2:8" s="1441" customFormat="1" x14ac:dyDescent="0.25">
      <c r="B5001" s="195" t="s">
        <v>6388</v>
      </c>
      <c r="C5001" s="226"/>
      <c r="D5001" s="212"/>
      <c r="E5001" s="980">
        <f>+VLOOKUP(B5001,Insumos!$A$2:$C$331,3,FALSE)</f>
        <v>23086</v>
      </c>
      <c r="F5001" s="226"/>
      <c r="G5001" s="344">
        <f>+E5001</f>
        <v>23086</v>
      </c>
      <c r="H5001" s="341"/>
    </row>
    <row r="5002" spans="2:8" s="1441" customFormat="1" x14ac:dyDescent="0.25">
      <c r="B5002" s="195"/>
      <c r="C5002" s="226"/>
      <c r="D5002" s="212"/>
      <c r="E5002" s="980"/>
      <c r="F5002" s="226"/>
      <c r="G5002" s="344"/>
      <c r="H5002" s="341"/>
    </row>
    <row r="5003" spans="2:8" s="1441" customFormat="1" x14ac:dyDescent="0.25">
      <c r="B5003" s="195"/>
      <c r="C5003" s="226"/>
      <c r="D5003" s="212"/>
      <c r="E5003" s="346"/>
      <c r="F5003" s="226"/>
      <c r="G5003" s="375"/>
      <c r="H5003" s="341"/>
    </row>
    <row r="5004" spans="2:8" s="1441" customFormat="1" x14ac:dyDescent="0.25">
      <c r="B5004" s="195"/>
      <c r="C5004" s="226"/>
      <c r="D5004" s="952"/>
      <c r="E5004" s="232"/>
      <c r="F5004" s="226"/>
      <c r="G5004" s="344"/>
      <c r="H5004" s="341"/>
    </row>
    <row r="5005" spans="2:8" s="1441" customFormat="1" ht="15.75" thickBot="1" x14ac:dyDescent="0.3">
      <c r="B5005" s="195"/>
      <c r="C5005" s="226"/>
      <c r="D5005" s="952"/>
      <c r="E5005" s="232"/>
      <c r="F5005" s="226"/>
      <c r="G5005" s="344"/>
      <c r="H5005" s="341"/>
    </row>
    <row r="5006" spans="2:8" s="1441" customFormat="1" ht="15.75" thickBot="1" x14ac:dyDescent="0.3">
      <c r="B5006" s="233"/>
      <c r="C5006" s="234"/>
      <c r="D5006" s="953"/>
      <c r="E5006" s="234"/>
      <c r="F5006" s="235"/>
      <c r="G5006" s="347"/>
      <c r="H5006" s="348">
        <f>+SUM(G5000:G5006)</f>
        <v>25446.580099999999</v>
      </c>
    </row>
    <row r="5007" spans="2:8" s="1441" customFormat="1" ht="15.75" thickBot="1" x14ac:dyDescent="0.3">
      <c r="B5007" s="238"/>
      <c r="C5007" s="238"/>
      <c r="D5007" s="954"/>
      <c r="E5007" s="238"/>
      <c r="F5007" s="239"/>
      <c r="G5007" s="349"/>
      <c r="H5007" s="350"/>
    </row>
    <row r="5008" spans="2:8" s="1441" customFormat="1" ht="15.75" thickBot="1" x14ac:dyDescent="0.3">
      <c r="B5008" s="224" t="s">
        <v>5408</v>
      </c>
      <c r="C5008" s="193" t="s">
        <v>867</v>
      </c>
      <c r="D5008" s="951" t="s">
        <v>6</v>
      </c>
      <c r="E5008" s="193" t="s">
        <v>870</v>
      </c>
      <c r="F5008" s="193" t="s">
        <v>5409</v>
      </c>
      <c r="G5008" s="343" t="s">
        <v>868</v>
      </c>
      <c r="H5008" s="341"/>
    </row>
    <row r="5009" spans="2:8" s="1441" customFormat="1" x14ac:dyDescent="0.25">
      <c r="B5009" s="295" t="s">
        <v>5553</v>
      </c>
      <c r="C5009" s="202" t="s">
        <v>5488</v>
      </c>
      <c r="D5009" s="274">
        <f>+(PI()*0.4^2)/4*1000</f>
        <v>125.66370614359174</v>
      </c>
      <c r="E5009" s="980">
        <f>+VLOOKUP(B5009,Insumos!$A$2:$C$331,3,FALSE)</f>
        <v>30</v>
      </c>
      <c r="F5009" s="169">
        <v>0.05</v>
      </c>
      <c r="G5009" s="178">
        <f>+D5009*E5009*(1+F5009)</f>
        <v>3958.40674352314</v>
      </c>
      <c r="H5009" s="341"/>
    </row>
    <row r="5010" spans="2:8" s="1441" customFormat="1" x14ac:dyDescent="0.25">
      <c r="B5010" s="450"/>
      <c r="C5010" s="202"/>
      <c r="D5010" s="211"/>
      <c r="E5010" s="980"/>
      <c r="F5010" s="169"/>
      <c r="G5010" s="178"/>
      <c r="H5010" s="341"/>
    </row>
    <row r="5011" spans="2:8" s="1441" customFormat="1" x14ac:dyDescent="0.25">
      <c r="B5011" s="260"/>
      <c r="C5011" s="202"/>
      <c r="D5011" s="212"/>
      <c r="E5011" s="376"/>
      <c r="F5011" s="169"/>
      <c r="G5011" s="377">
        <f>+E5011*D5011*(1+F5011)</f>
        <v>0</v>
      </c>
      <c r="H5011" s="341"/>
    </row>
    <row r="5012" spans="2:8" s="1441" customFormat="1" x14ac:dyDescent="0.25">
      <c r="B5012" s="260"/>
      <c r="C5012" s="226"/>
      <c r="D5012" s="212"/>
      <c r="E5012" s="346"/>
      <c r="F5012" s="169"/>
      <c r="G5012" s="377">
        <f>+E5012*D5012*(1+F5012)</f>
        <v>0</v>
      </c>
      <c r="H5012" s="341"/>
    </row>
    <row r="5013" spans="2:8" s="1441" customFormat="1" x14ac:dyDescent="0.25">
      <c r="B5013" s="195"/>
      <c r="C5013" s="226"/>
      <c r="D5013" s="212"/>
      <c r="E5013" s="346"/>
      <c r="F5013" s="169"/>
      <c r="G5013" s="351"/>
      <c r="H5013" s="341"/>
    </row>
    <row r="5014" spans="2:8" s="1441" customFormat="1" x14ac:dyDescent="0.25">
      <c r="B5014" s="194"/>
      <c r="C5014" s="202"/>
      <c r="D5014" s="211"/>
      <c r="E5014" s="346"/>
      <c r="F5014" s="169"/>
      <c r="G5014" s="351"/>
      <c r="H5014" s="341"/>
    </row>
    <row r="5015" spans="2:8" s="1441" customFormat="1" x14ac:dyDescent="0.25">
      <c r="B5015" s="195"/>
      <c r="C5015" s="226"/>
      <c r="D5015" s="212"/>
      <c r="E5015" s="346"/>
      <c r="F5015" s="169"/>
      <c r="G5015" s="351"/>
      <c r="H5015" s="341"/>
    </row>
    <row r="5016" spans="2:8" s="1441" customFormat="1" x14ac:dyDescent="0.25">
      <c r="B5016" s="195"/>
      <c r="C5016" s="226"/>
      <c r="D5016" s="212"/>
      <c r="E5016" s="346"/>
      <c r="F5016" s="169"/>
      <c r="G5016" s="351"/>
      <c r="H5016" s="341"/>
    </row>
    <row r="5017" spans="2:8" s="1441" customFormat="1" x14ac:dyDescent="0.25">
      <c r="B5017" s="195"/>
      <c r="C5017" s="232"/>
      <c r="D5017" s="952"/>
      <c r="E5017" s="232"/>
      <c r="F5017" s="226"/>
      <c r="G5017" s="344"/>
      <c r="H5017" s="341"/>
    </row>
    <row r="5018" spans="2:8" s="1441" customFormat="1" x14ac:dyDescent="0.25">
      <c r="B5018" s="195"/>
      <c r="C5018" s="232"/>
      <c r="D5018" s="952"/>
      <c r="E5018" s="232"/>
      <c r="F5018" s="226"/>
      <c r="G5018" s="344"/>
      <c r="H5018" s="341"/>
    </row>
    <row r="5019" spans="2:8" s="1441" customFormat="1" x14ac:dyDescent="0.25">
      <c r="B5019" s="195"/>
      <c r="C5019" s="232"/>
      <c r="D5019" s="952"/>
      <c r="E5019" s="232"/>
      <c r="F5019" s="226"/>
      <c r="G5019" s="344"/>
      <c r="H5019" s="341"/>
    </row>
    <row r="5020" spans="2:8" s="1441" customFormat="1" ht="15.75" thickBot="1" x14ac:dyDescent="0.3">
      <c r="B5020" s="195"/>
      <c r="C5020" s="232"/>
      <c r="D5020" s="952"/>
      <c r="E5020" s="232"/>
      <c r="F5020" s="226"/>
      <c r="G5020" s="344"/>
      <c r="H5020" s="341"/>
    </row>
    <row r="5021" spans="2:8" s="1441" customFormat="1" ht="15.75" thickBot="1" x14ac:dyDescent="0.3">
      <c r="B5021" s="233"/>
      <c r="C5021" s="234"/>
      <c r="D5021" s="953"/>
      <c r="E5021" s="234"/>
      <c r="F5021" s="235"/>
      <c r="G5021" s="347"/>
      <c r="H5021" s="348">
        <f>+SUM(G5009:G5021)</f>
        <v>3958.40674352314</v>
      </c>
    </row>
    <row r="5022" spans="2:8" s="1441" customFormat="1" ht="15.75" thickBot="1" x14ac:dyDescent="0.3">
      <c r="B5022" s="238"/>
      <c r="C5022" s="238"/>
      <c r="D5022" s="954"/>
      <c r="E5022" s="238"/>
      <c r="F5022" s="239"/>
      <c r="G5022" s="349"/>
      <c r="H5022" s="350"/>
    </row>
    <row r="5023" spans="2:8" s="1441" customFormat="1" ht="15.75" thickBot="1" x14ac:dyDescent="0.3">
      <c r="B5023" s="224" t="s">
        <v>5410</v>
      </c>
      <c r="C5023" s="193" t="s">
        <v>867</v>
      </c>
      <c r="D5023" s="951" t="s">
        <v>6</v>
      </c>
      <c r="E5023" s="193" t="s">
        <v>870</v>
      </c>
      <c r="F5023" s="193" t="s">
        <v>5411</v>
      </c>
      <c r="G5023" s="343" t="s">
        <v>868</v>
      </c>
      <c r="H5023" s="341"/>
    </row>
    <row r="5024" spans="2:8" s="1441" customFormat="1" x14ac:dyDescent="0.25">
      <c r="B5024" s="245"/>
      <c r="C5024" s="283"/>
      <c r="D5024" s="959"/>
      <c r="E5024" s="379"/>
      <c r="F5024" s="283"/>
      <c r="G5024" s="354"/>
      <c r="H5024" s="355"/>
    </row>
    <row r="5025" spans="2:8" s="1441" customFormat="1" x14ac:dyDescent="0.25">
      <c r="B5025" s="247"/>
      <c r="C5025" s="286"/>
      <c r="D5025" s="960"/>
      <c r="E5025" s="380"/>
      <c r="F5025" s="286"/>
      <c r="G5025" s="351"/>
      <c r="H5025" s="341"/>
    </row>
    <row r="5026" spans="2:8" s="1441" customFormat="1" x14ac:dyDescent="0.25">
      <c r="B5026" s="247"/>
      <c r="C5026" s="286"/>
      <c r="D5026" s="960"/>
      <c r="E5026" s="288"/>
      <c r="F5026" s="286"/>
      <c r="G5026" s="344"/>
      <c r="H5026" s="341"/>
    </row>
    <row r="5027" spans="2:8" s="1441" customFormat="1" x14ac:dyDescent="0.25">
      <c r="B5027" s="194"/>
      <c r="C5027" s="248"/>
      <c r="D5027" s="961"/>
      <c r="E5027" s="248"/>
      <c r="F5027" s="202"/>
      <c r="G5027" s="344"/>
      <c r="H5027" s="341"/>
    </row>
    <row r="5028" spans="2:8" s="1441" customFormat="1" ht="15.75" thickBot="1" x14ac:dyDescent="0.3">
      <c r="B5028" s="195"/>
      <c r="C5028" s="232"/>
      <c r="D5028" s="952"/>
      <c r="E5028" s="232"/>
      <c r="F5028" s="226"/>
      <c r="G5028" s="344"/>
      <c r="H5028" s="341"/>
    </row>
    <row r="5029" spans="2:8" s="1441" customFormat="1" ht="15.75" thickBot="1" x14ac:dyDescent="0.3">
      <c r="B5029" s="233"/>
      <c r="C5029" s="234"/>
      <c r="D5029" s="953"/>
      <c r="E5029" s="234"/>
      <c r="F5029" s="235"/>
      <c r="G5029" s="347"/>
      <c r="H5029" s="348">
        <f>+SUM(G5024:G5029)</f>
        <v>0</v>
      </c>
    </row>
    <row r="5030" spans="2:8" s="1441" customFormat="1" ht="15.75" thickBot="1" x14ac:dyDescent="0.3">
      <c r="B5030" s="238"/>
      <c r="C5030" s="238"/>
      <c r="D5030" s="954"/>
      <c r="E5030" s="238"/>
      <c r="F5030" s="249"/>
      <c r="G5030" s="356"/>
      <c r="H5030" s="350"/>
    </row>
    <row r="5031" spans="2:8" s="1441" customFormat="1" ht="15.75" thickBot="1" x14ac:dyDescent="0.3">
      <c r="B5031" s="224" t="s">
        <v>5412</v>
      </c>
      <c r="C5031" s="193" t="s">
        <v>5420</v>
      </c>
      <c r="D5031" s="951" t="s">
        <v>5421</v>
      </c>
      <c r="E5031" s="193" t="s">
        <v>5413</v>
      </c>
      <c r="F5031" s="193" t="s">
        <v>5405</v>
      </c>
      <c r="G5031" s="343" t="s">
        <v>868</v>
      </c>
      <c r="H5031" s="341"/>
    </row>
    <row r="5032" spans="2:8" s="1441" customFormat="1" x14ac:dyDescent="0.25">
      <c r="B5032" s="381" t="s">
        <v>5948</v>
      </c>
      <c r="C5032" s="345">
        <f>+VLOOKUP($B5032,'Mano de obra'!$A$5:$D$26,2,FALSE)</f>
        <v>57455</v>
      </c>
      <c r="D5032" s="345">
        <f>+VLOOKUP($B5032,'Mano de obra'!$A$5:$D$26,3,FALSE)</f>
        <v>35656</v>
      </c>
      <c r="E5032" s="345">
        <f>+VLOOKUP($B5032,'Mano de obra'!$A$5:$D$26,4,FALSE)</f>
        <v>93111</v>
      </c>
      <c r="F5032" s="204">
        <v>1000</v>
      </c>
      <c r="G5032" s="351">
        <f>+E5032/F5032</f>
        <v>93.111000000000004</v>
      </c>
      <c r="H5032" s="341"/>
    </row>
    <row r="5033" spans="2:8" s="1441" customFormat="1" x14ac:dyDescent="0.25">
      <c r="B5033" s="385" t="s">
        <v>5949</v>
      </c>
      <c r="C5033" s="345">
        <f>+VLOOKUP($B5033,'Mano de obra'!$A$5:$D$26,2,FALSE)</f>
        <v>44263.8</v>
      </c>
      <c r="D5033" s="345">
        <f>+VLOOKUP($B5033,'Mano de obra'!$A$5:$D$26,3,FALSE)</f>
        <v>27470</v>
      </c>
      <c r="E5033" s="345">
        <f>+VLOOKUP($B5033,'Mano de obra'!$A$5:$D$26,4,FALSE)</f>
        <v>71733.8</v>
      </c>
      <c r="F5033" s="202">
        <v>20</v>
      </c>
      <c r="G5033" s="351">
        <f>+E5033/F5033</f>
        <v>3586.69</v>
      </c>
      <c r="H5033" s="341"/>
    </row>
    <row r="5034" spans="2:8" s="1441" customFormat="1" x14ac:dyDescent="0.25">
      <c r="B5034" s="385" t="s">
        <v>5635</v>
      </c>
      <c r="C5034" s="345">
        <f>+VLOOKUP($B5034,'Mano de obra'!$A$5:$D$26,2,FALSE)</f>
        <v>24591</v>
      </c>
      <c r="D5034" s="345">
        <f>+VLOOKUP($B5034,'Mano de obra'!$A$5:$D$26,3,FALSE)</f>
        <v>15261</v>
      </c>
      <c r="E5034" s="345">
        <f>+VLOOKUP($B5034,'Mano de obra'!$A$5:$D$26,4,FALSE)</f>
        <v>39852</v>
      </c>
      <c r="F5034" s="226">
        <v>2</v>
      </c>
      <c r="G5034" s="351">
        <f>+E5034/F5034</f>
        <v>19926</v>
      </c>
      <c r="H5034" s="341"/>
    </row>
    <row r="5035" spans="2:8" s="1441" customFormat="1" x14ac:dyDescent="0.25">
      <c r="B5035" s="195"/>
      <c r="C5035" s="346"/>
      <c r="D5035" s="955"/>
      <c r="E5035" s="345"/>
      <c r="F5035" s="226"/>
      <c r="G5035" s="351"/>
      <c r="H5035" s="341"/>
    </row>
    <row r="5036" spans="2:8" s="1441" customFormat="1" x14ac:dyDescent="0.25">
      <c r="B5036" s="195"/>
      <c r="C5036" s="232"/>
      <c r="D5036" s="952"/>
      <c r="E5036" s="232"/>
      <c r="F5036" s="226"/>
      <c r="G5036" s="344"/>
      <c r="H5036" s="341"/>
    </row>
    <row r="5037" spans="2:8" s="1441" customFormat="1" ht="15.75" thickBot="1" x14ac:dyDescent="0.3">
      <c r="B5037" s="195"/>
      <c r="C5037" s="232"/>
      <c r="D5037" s="952"/>
      <c r="E5037" s="232"/>
      <c r="F5037" s="226"/>
      <c r="G5037" s="344"/>
      <c r="H5037" s="341"/>
    </row>
    <row r="5038" spans="2:8" s="1441" customFormat="1" ht="15.75" thickBot="1" x14ac:dyDescent="0.3">
      <c r="B5038" s="251"/>
      <c r="C5038" s="252"/>
      <c r="D5038" s="956"/>
      <c r="E5038" s="252"/>
      <c r="F5038" s="253"/>
      <c r="G5038" s="357"/>
      <c r="H5038" s="348">
        <f>+SUM(G5032:G5038)</f>
        <v>23605.800999999999</v>
      </c>
    </row>
    <row r="5039" spans="2:8" s="1441" customFormat="1" ht="15.75" thickBot="1" x14ac:dyDescent="0.3">
      <c r="B5039" s="8"/>
      <c r="C5039" s="8"/>
      <c r="D5039" s="529"/>
      <c r="E5039" s="8"/>
      <c r="F5039" s="133"/>
      <c r="G5039" s="341"/>
      <c r="H5039" s="341"/>
    </row>
    <row r="5040" spans="2:8" s="1441" customFormat="1" ht="15.75" thickBot="1" x14ac:dyDescent="0.3">
      <c r="B5040" s="8"/>
      <c r="C5040" s="8"/>
      <c r="D5040" s="529"/>
      <c r="E5040" s="223" t="s">
        <v>5415</v>
      </c>
      <c r="F5040" s="133"/>
      <c r="G5040" s="341"/>
      <c r="H5040" s="348">
        <f>ROUND(+H5038+H5029+H5021+H5006,0)</f>
        <v>53011</v>
      </c>
    </row>
    <row r="5041" spans="1:8" x14ac:dyDescent="0.25">
      <c r="A5041" s="1441"/>
      <c r="B5041" s="1441"/>
      <c r="C5041" s="1441"/>
      <c r="D5041" s="957"/>
      <c r="E5041" s="1441"/>
      <c r="F5041" s="1441"/>
      <c r="G5041" s="1441"/>
      <c r="H5041" s="1441"/>
    </row>
    <row r="5042" spans="1:8" x14ac:dyDescent="0.25">
      <c r="A5042" s="1441"/>
      <c r="B5042" s="1441"/>
      <c r="C5042" s="1441"/>
      <c r="D5042" s="957"/>
      <c r="E5042" s="1441"/>
      <c r="F5042" s="1441"/>
      <c r="G5042" s="1441"/>
      <c r="H5042" s="1441"/>
    </row>
    <row r="5043" spans="1:8" ht="27.75" customHeight="1" x14ac:dyDescent="0.25">
      <c r="A5043" s="673" t="s">
        <v>5482</v>
      </c>
      <c r="B5043" s="1390" t="str">
        <f>+VLOOKUP(C5043,ListaAPUs!$B:$E,4,FALSE)</f>
        <v>6.1.10</v>
      </c>
      <c r="C5043" s="2452" t="str">
        <f>+ListaAPUs!B155</f>
        <v>Inspección con CCTV DN 500 (Incluye Limpieza de Tuberia para Inspección)</v>
      </c>
      <c r="D5043" s="2447"/>
      <c r="E5043" s="2447"/>
      <c r="F5043" s="673" t="s">
        <v>867</v>
      </c>
      <c r="G5043" s="342" t="s">
        <v>5402</v>
      </c>
      <c r="H5043" s="341"/>
    </row>
    <row r="5044" spans="1:8" x14ac:dyDescent="0.25">
      <c r="A5044" s="133"/>
      <c r="B5044" s="8"/>
      <c r="C5044" s="223"/>
      <c r="D5044" s="958"/>
      <c r="E5044" s="223"/>
      <c r="F5044" s="133"/>
      <c r="G5044" s="341"/>
      <c r="H5044" s="341"/>
    </row>
    <row r="5045" spans="1:8" x14ac:dyDescent="0.25">
      <c r="A5045" s="133"/>
      <c r="B5045" s="8"/>
      <c r="C5045" s="8"/>
      <c r="D5045" s="529"/>
      <c r="E5045" s="8"/>
      <c r="F5045" s="8"/>
      <c r="G5045" s="8"/>
      <c r="H5045" s="341"/>
    </row>
    <row r="5046" spans="1:8" ht="15.75" thickBot="1" x14ac:dyDescent="0.3">
      <c r="A5046" s="133"/>
      <c r="B5046" s="8"/>
      <c r="C5046" s="8"/>
      <c r="D5046" s="529"/>
      <c r="E5046" s="8"/>
      <c r="F5046" s="133"/>
      <c r="G5046" s="341"/>
      <c r="H5046" s="341"/>
    </row>
    <row r="5047" spans="1:8" ht="15.75" thickBot="1" x14ac:dyDescent="0.3">
      <c r="A5047" s="133"/>
      <c r="B5047" s="224" t="s">
        <v>5403</v>
      </c>
      <c r="C5047" s="193" t="s">
        <v>867</v>
      </c>
      <c r="D5047" s="951" t="s">
        <v>6</v>
      </c>
      <c r="E5047" s="193" t="s">
        <v>5439</v>
      </c>
      <c r="F5047" s="193" t="s">
        <v>5405</v>
      </c>
      <c r="G5047" s="343" t="s">
        <v>868</v>
      </c>
      <c r="H5047" s="341"/>
    </row>
    <row r="5048" spans="1:8" x14ac:dyDescent="0.25">
      <c r="A5048" s="133"/>
      <c r="B5048" s="146" t="s">
        <v>5934</v>
      </c>
      <c r="C5048" s="226"/>
      <c r="D5048" s="212"/>
      <c r="E5048" s="372">
        <f>+H5086</f>
        <v>23605.800999999999</v>
      </c>
      <c r="F5048" s="226">
        <v>0.1</v>
      </c>
      <c r="G5048" s="344">
        <f>+E5048*F5048</f>
        <v>2360.5801000000001</v>
      </c>
      <c r="H5048" s="341"/>
    </row>
    <row r="5049" spans="1:8" x14ac:dyDescent="0.25">
      <c r="A5049" s="133"/>
      <c r="B5049" s="195" t="s">
        <v>6388</v>
      </c>
      <c r="C5049" s="226"/>
      <c r="D5049" s="212"/>
      <c r="E5049" s="980">
        <f>+VLOOKUP(B5049,Insumos!$A$2:$C$331,3,FALSE)</f>
        <v>23086</v>
      </c>
      <c r="F5049" s="226"/>
      <c r="G5049" s="344">
        <f>+E5049</f>
        <v>23086</v>
      </c>
      <c r="H5049" s="341"/>
    </row>
    <row r="5050" spans="1:8" x14ac:dyDescent="0.25">
      <c r="A5050" s="133"/>
      <c r="B5050" s="195"/>
      <c r="C5050" s="226"/>
      <c r="D5050" s="212"/>
      <c r="E5050" s="980"/>
      <c r="F5050" s="226"/>
      <c r="G5050" s="344"/>
      <c r="H5050" s="341"/>
    </row>
    <row r="5051" spans="1:8" x14ac:dyDescent="0.25">
      <c r="A5051" s="133"/>
      <c r="B5051" s="195"/>
      <c r="C5051" s="226"/>
      <c r="D5051" s="212"/>
      <c r="E5051" s="346"/>
      <c r="F5051" s="226"/>
      <c r="G5051" s="375"/>
      <c r="H5051" s="341"/>
    </row>
    <row r="5052" spans="1:8" x14ac:dyDescent="0.25">
      <c r="A5052" s="133"/>
      <c r="B5052" s="195"/>
      <c r="C5052" s="226"/>
      <c r="D5052" s="952"/>
      <c r="E5052" s="232"/>
      <c r="F5052" s="226"/>
      <c r="G5052" s="344"/>
      <c r="H5052" s="341"/>
    </row>
    <row r="5053" spans="1:8" ht="15.75" thickBot="1" x14ac:dyDescent="0.3">
      <c r="A5053" s="133"/>
      <c r="B5053" s="195"/>
      <c r="C5053" s="226"/>
      <c r="D5053" s="952"/>
      <c r="E5053" s="232"/>
      <c r="F5053" s="226"/>
      <c r="G5053" s="344"/>
      <c r="H5053" s="341"/>
    </row>
    <row r="5054" spans="1:8" ht="15.75" thickBot="1" x14ac:dyDescent="0.3">
      <c r="A5054" s="133"/>
      <c r="B5054" s="233"/>
      <c r="C5054" s="234"/>
      <c r="D5054" s="953"/>
      <c r="E5054" s="234"/>
      <c r="F5054" s="235"/>
      <c r="G5054" s="347"/>
      <c r="H5054" s="348">
        <f>+SUM(G5048:G5054)</f>
        <v>25446.580099999999</v>
      </c>
    </row>
    <row r="5055" spans="1:8" ht="15.75" thickBot="1" x14ac:dyDescent="0.3">
      <c r="A5055" s="133"/>
      <c r="B5055" s="238"/>
      <c r="C5055" s="238"/>
      <c r="D5055" s="954"/>
      <c r="E5055" s="238"/>
      <c r="F5055" s="239"/>
      <c r="G5055" s="349"/>
      <c r="H5055" s="350"/>
    </row>
    <row r="5056" spans="1:8" ht="15.75" thickBot="1" x14ac:dyDescent="0.3">
      <c r="A5056" s="133"/>
      <c r="B5056" s="224" t="s">
        <v>5408</v>
      </c>
      <c r="C5056" s="193" t="s">
        <v>867</v>
      </c>
      <c r="D5056" s="951" t="s">
        <v>6</v>
      </c>
      <c r="E5056" s="193" t="s">
        <v>870</v>
      </c>
      <c r="F5056" s="193" t="s">
        <v>5409</v>
      </c>
      <c r="G5056" s="343" t="s">
        <v>868</v>
      </c>
      <c r="H5056" s="341"/>
    </row>
    <row r="5057" spans="1:8" x14ac:dyDescent="0.25">
      <c r="A5057" s="133"/>
      <c r="B5057" s="295" t="s">
        <v>5553</v>
      </c>
      <c r="C5057" s="202" t="s">
        <v>5488</v>
      </c>
      <c r="D5057" s="274">
        <f>+(PI()*0.5^2)/4*1000</f>
        <v>196.34954084936206</v>
      </c>
      <c r="E5057" s="980">
        <f>+VLOOKUP(B5057,Insumos!$A$2:$C$331,3,FALSE)</f>
        <v>30</v>
      </c>
      <c r="F5057" s="169">
        <v>0.05</v>
      </c>
      <c r="G5057" s="178">
        <f>+D5057*E5057*(1+F5057)</f>
        <v>6185.0105367549049</v>
      </c>
      <c r="H5057" s="341"/>
    </row>
    <row r="5058" spans="1:8" x14ac:dyDescent="0.25">
      <c r="A5058" s="133"/>
      <c r="B5058" s="450"/>
      <c r="C5058" s="202"/>
      <c r="D5058" s="211"/>
      <c r="E5058" s="980"/>
      <c r="F5058" s="169"/>
      <c r="G5058" s="178"/>
      <c r="H5058" s="341"/>
    </row>
    <row r="5059" spans="1:8" x14ac:dyDescent="0.25">
      <c r="A5059" s="133"/>
      <c r="B5059" s="260"/>
      <c r="C5059" s="202"/>
      <c r="D5059" s="212"/>
      <c r="E5059" s="376"/>
      <c r="F5059" s="169"/>
      <c r="G5059" s="377">
        <f>+E5059*D5059*(1+F5059)</f>
        <v>0</v>
      </c>
      <c r="H5059" s="341"/>
    </row>
    <row r="5060" spans="1:8" x14ac:dyDescent="0.25">
      <c r="A5060" s="133"/>
      <c r="B5060" s="260"/>
      <c r="C5060" s="226"/>
      <c r="D5060" s="212"/>
      <c r="E5060" s="346"/>
      <c r="F5060" s="169"/>
      <c r="G5060" s="377">
        <f>+E5060*D5060*(1+F5060)</f>
        <v>0</v>
      </c>
      <c r="H5060" s="341"/>
    </row>
    <row r="5061" spans="1:8" x14ac:dyDescent="0.25">
      <c r="A5061" s="133"/>
      <c r="B5061" s="195"/>
      <c r="C5061" s="226"/>
      <c r="D5061" s="212"/>
      <c r="E5061" s="346"/>
      <c r="F5061" s="169"/>
      <c r="G5061" s="351"/>
      <c r="H5061" s="341"/>
    </row>
    <row r="5062" spans="1:8" x14ac:dyDescent="0.25">
      <c r="A5062" s="133"/>
      <c r="B5062" s="194"/>
      <c r="C5062" s="202"/>
      <c r="D5062" s="211"/>
      <c r="E5062" s="346"/>
      <c r="F5062" s="169"/>
      <c r="G5062" s="351"/>
      <c r="H5062" s="341"/>
    </row>
    <row r="5063" spans="1:8" x14ac:dyDescent="0.25">
      <c r="A5063" s="133"/>
      <c r="B5063" s="195"/>
      <c r="C5063" s="226"/>
      <c r="D5063" s="212"/>
      <c r="E5063" s="346"/>
      <c r="F5063" s="169"/>
      <c r="G5063" s="351"/>
      <c r="H5063" s="341"/>
    </row>
    <row r="5064" spans="1:8" x14ac:dyDescent="0.25">
      <c r="A5064" s="133"/>
      <c r="B5064" s="195"/>
      <c r="C5064" s="226"/>
      <c r="D5064" s="212"/>
      <c r="E5064" s="346"/>
      <c r="F5064" s="169"/>
      <c r="G5064" s="351"/>
      <c r="H5064" s="341"/>
    </row>
    <row r="5065" spans="1:8" x14ac:dyDescent="0.25">
      <c r="A5065" s="133"/>
      <c r="B5065" s="195"/>
      <c r="C5065" s="232"/>
      <c r="D5065" s="952"/>
      <c r="E5065" s="232"/>
      <c r="F5065" s="226"/>
      <c r="G5065" s="344"/>
      <c r="H5065" s="341"/>
    </row>
    <row r="5066" spans="1:8" x14ac:dyDescent="0.25">
      <c r="A5066" s="133"/>
      <c r="B5066" s="195"/>
      <c r="C5066" s="232"/>
      <c r="D5066" s="952"/>
      <c r="E5066" s="232"/>
      <c r="F5066" s="226"/>
      <c r="G5066" s="344"/>
      <c r="H5066" s="341"/>
    </row>
    <row r="5067" spans="1:8" x14ac:dyDescent="0.25">
      <c r="A5067" s="133"/>
      <c r="B5067" s="195"/>
      <c r="C5067" s="232"/>
      <c r="D5067" s="952"/>
      <c r="E5067" s="232"/>
      <c r="F5067" s="226"/>
      <c r="G5067" s="344"/>
      <c r="H5067" s="341"/>
    </row>
    <row r="5068" spans="1:8" ht="15.75" thickBot="1" x14ac:dyDescent="0.3">
      <c r="A5068" s="133"/>
      <c r="B5068" s="195"/>
      <c r="C5068" s="232"/>
      <c r="D5068" s="952"/>
      <c r="E5068" s="232"/>
      <c r="F5068" s="226"/>
      <c r="G5068" s="344"/>
      <c r="H5068" s="341"/>
    </row>
    <row r="5069" spans="1:8" ht="15.75" thickBot="1" x14ac:dyDescent="0.3">
      <c r="A5069" s="133"/>
      <c r="B5069" s="233"/>
      <c r="C5069" s="234"/>
      <c r="D5069" s="953"/>
      <c r="E5069" s="234"/>
      <c r="F5069" s="235"/>
      <c r="G5069" s="347"/>
      <c r="H5069" s="348">
        <f>+SUM(G5057:G5069)</f>
        <v>6185.0105367549049</v>
      </c>
    </row>
    <row r="5070" spans="1:8" ht="15.75" thickBot="1" x14ac:dyDescent="0.3">
      <c r="A5070" s="133"/>
      <c r="B5070" s="238"/>
      <c r="C5070" s="238"/>
      <c r="D5070" s="954"/>
      <c r="E5070" s="238"/>
      <c r="F5070" s="239"/>
      <c r="G5070" s="349"/>
      <c r="H5070" s="350"/>
    </row>
    <row r="5071" spans="1:8" ht="15.75" thickBot="1" x14ac:dyDescent="0.3">
      <c r="A5071" s="133"/>
      <c r="B5071" s="224" t="s">
        <v>5410</v>
      </c>
      <c r="C5071" s="193" t="s">
        <v>867</v>
      </c>
      <c r="D5071" s="951" t="s">
        <v>6</v>
      </c>
      <c r="E5071" s="193" t="s">
        <v>870</v>
      </c>
      <c r="F5071" s="193" t="s">
        <v>5411</v>
      </c>
      <c r="G5071" s="343" t="s">
        <v>868</v>
      </c>
      <c r="H5071" s="341"/>
    </row>
    <row r="5072" spans="1:8" x14ac:dyDescent="0.25">
      <c r="A5072" s="133"/>
      <c r="B5072" s="245"/>
      <c r="C5072" s="283"/>
      <c r="D5072" s="959"/>
      <c r="E5072" s="379"/>
      <c r="F5072" s="283"/>
      <c r="G5072" s="354"/>
      <c r="H5072" s="355"/>
    </row>
    <row r="5073" spans="1:8" x14ac:dyDescent="0.25">
      <c r="A5073" s="133"/>
      <c r="B5073" s="247"/>
      <c r="C5073" s="286"/>
      <c r="D5073" s="960"/>
      <c r="E5073" s="380"/>
      <c r="F5073" s="286"/>
      <c r="G5073" s="351"/>
      <c r="H5073" s="341"/>
    </row>
    <row r="5074" spans="1:8" x14ac:dyDescent="0.25">
      <c r="A5074" s="133"/>
      <c r="B5074" s="247"/>
      <c r="C5074" s="286"/>
      <c r="D5074" s="960"/>
      <c r="E5074" s="288"/>
      <c r="F5074" s="286"/>
      <c r="G5074" s="344"/>
      <c r="H5074" s="341"/>
    </row>
    <row r="5075" spans="1:8" x14ac:dyDescent="0.25">
      <c r="A5075" s="133"/>
      <c r="B5075" s="194"/>
      <c r="C5075" s="248"/>
      <c r="D5075" s="961"/>
      <c r="E5075" s="248"/>
      <c r="F5075" s="202"/>
      <c r="G5075" s="344"/>
      <c r="H5075" s="341"/>
    </row>
    <row r="5076" spans="1:8" ht="15.75" thickBot="1" x14ac:dyDescent="0.3">
      <c r="A5076" s="133"/>
      <c r="B5076" s="195"/>
      <c r="C5076" s="232"/>
      <c r="D5076" s="952"/>
      <c r="E5076" s="232"/>
      <c r="F5076" s="226"/>
      <c r="G5076" s="344"/>
      <c r="H5076" s="341"/>
    </row>
    <row r="5077" spans="1:8" ht="15.75" thickBot="1" x14ac:dyDescent="0.3">
      <c r="A5077" s="133"/>
      <c r="B5077" s="233"/>
      <c r="C5077" s="234"/>
      <c r="D5077" s="953"/>
      <c r="E5077" s="234"/>
      <c r="F5077" s="235"/>
      <c r="G5077" s="347"/>
      <c r="H5077" s="348">
        <f>+SUM(G5072:G5077)</f>
        <v>0</v>
      </c>
    </row>
    <row r="5078" spans="1:8" ht="15.75" thickBot="1" x14ac:dyDescent="0.3">
      <c r="A5078" s="133"/>
      <c r="B5078" s="238"/>
      <c r="C5078" s="238"/>
      <c r="D5078" s="954"/>
      <c r="E5078" s="238"/>
      <c r="F5078" s="249"/>
      <c r="G5078" s="356"/>
      <c r="H5078" s="350"/>
    </row>
    <row r="5079" spans="1:8" ht="15.75" thickBot="1" x14ac:dyDescent="0.3">
      <c r="A5079" s="133"/>
      <c r="B5079" s="224" t="s">
        <v>5412</v>
      </c>
      <c r="C5079" s="193" t="s">
        <v>5420</v>
      </c>
      <c r="D5079" s="951" t="s">
        <v>5421</v>
      </c>
      <c r="E5079" s="193" t="s">
        <v>5413</v>
      </c>
      <c r="F5079" s="193" t="s">
        <v>5405</v>
      </c>
      <c r="G5079" s="343" t="s">
        <v>868</v>
      </c>
      <c r="H5079" s="341"/>
    </row>
    <row r="5080" spans="1:8" x14ac:dyDescent="0.25">
      <c r="A5080" s="133"/>
      <c r="B5080" s="381" t="s">
        <v>5948</v>
      </c>
      <c r="C5080" s="345">
        <f>+VLOOKUP($B5080,'Mano de obra'!$A$5:$D$26,2,FALSE)</f>
        <v>57455</v>
      </c>
      <c r="D5080" s="345">
        <f>+VLOOKUP($B5080,'Mano de obra'!$A$5:$D$26,3,FALSE)</f>
        <v>35656</v>
      </c>
      <c r="E5080" s="345">
        <f>+VLOOKUP($B5080,'Mano de obra'!$A$5:$D$26,4,FALSE)</f>
        <v>93111</v>
      </c>
      <c r="F5080" s="204">
        <v>1000</v>
      </c>
      <c r="G5080" s="351">
        <f>+E5080/F5080</f>
        <v>93.111000000000004</v>
      </c>
      <c r="H5080" s="341"/>
    </row>
    <row r="5081" spans="1:8" x14ac:dyDescent="0.25">
      <c r="A5081" s="133"/>
      <c r="B5081" s="385" t="s">
        <v>5949</v>
      </c>
      <c r="C5081" s="345">
        <f>+VLOOKUP($B5081,'Mano de obra'!$A$5:$D$26,2,FALSE)</f>
        <v>44263.8</v>
      </c>
      <c r="D5081" s="345">
        <f>+VLOOKUP($B5081,'Mano de obra'!$A$5:$D$26,3,FALSE)</f>
        <v>27470</v>
      </c>
      <c r="E5081" s="345">
        <f>+VLOOKUP($B5081,'Mano de obra'!$A$5:$D$26,4,FALSE)</f>
        <v>71733.8</v>
      </c>
      <c r="F5081" s="202">
        <v>20</v>
      </c>
      <c r="G5081" s="351">
        <f>+E5081/F5081</f>
        <v>3586.69</v>
      </c>
      <c r="H5081" s="341"/>
    </row>
    <row r="5082" spans="1:8" x14ac:dyDescent="0.25">
      <c r="A5082" s="133"/>
      <c r="B5082" s="385" t="s">
        <v>5635</v>
      </c>
      <c r="C5082" s="345">
        <f>+VLOOKUP($B5082,'Mano de obra'!$A$5:$D$26,2,FALSE)</f>
        <v>24591</v>
      </c>
      <c r="D5082" s="345">
        <f>+VLOOKUP($B5082,'Mano de obra'!$A$5:$D$26,3,FALSE)</f>
        <v>15261</v>
      </c>
      <c r="E5082" s="345">
        <f>+VLOOKUP($B5082,'Mano de obra'!$A$5:$D$26,4,FALSE)</f>
        <v>39852</v>
      </c>
      <c r="F5082" s="226">
        <v>2</v>
      </c>
      <c r="G5082" s="351">
        <f>+E5082/F5082</f>
        <v>19926</v>
      </c>
      <c r="H5082" s="341"/>
    </row>
    <row r="5083" spans="1:8" x14ac:dyDescent="0.25">
      <c r="A5083" s="133"/>
      <c r="B5083" s="195"/>
      <c r="C5083" s="346"/>
      <c r="D5083" s="955"/>
      <c r="E5083" s="345"/>
      <c r="F5083" s="226"/>
      <c r="G5083" s="351"/>
      <c r="H5083" s="341"/>
    </row>
    <row r="5084" spans="1:8" x14ac:dyDescent="0.25">
      <c r="A5084" s="133"/>
      <c r="B5084" s="195"/>
      <c r="C5084" s="232"/>
      <c r="D5084" s="952"/>
      <c r="E5084" s="232"/>
      <c r="F5084" s="226"/>
      <c r="G5084" s="344"/>
      <c r="H5084" s="341"/>
    </row>
    <row r="5085" spans="1:8" ht="15.75" thickBot="1" x14ac:dyDescent="0.3">
      <c r="A5085" s="133"/>
      <c r="B5085" s="195"/>
      <c r="C5085" s="232"/>
      <c r="D5085" s="952"/>
      <c r="E5085" s="232"/>
      <c r="F5085" s="226"/>
      <c r="G5085" s="344"/>
      <c r="H5085" s="341"/>
    </row>
    <row r="5086" spans="1:8" ht="15.75" thickBot="1" x14ac:dyDescent="0.3">
      <c r="A5086" s="133"/>
      <c r="B5086" s="251"/>
      <c r="C5086" s="252"/>
      <c r="D5086" s="956"/>
      <c r="E5086" s="252"/>
      <c r="F5086" s="253"/>
      <c r="G5086" s="357"/>
      <c r="H5086" s="348">
        <f>+SUM(G5080:G5086)</f>
        <v>23605.800999999999</v>
      </c>
    </row>
    <row r="5087" spans="1:8" ht="15.75" thickBot="1" x14ac:dyDescent="0.3">
      <c r="A5087" s="133"/>
      <c r="B5087" s="8"/>
      <c r="C5087" s="8"/>
      <c r="D5087" s="529"/>
      <c r="E5087" s="8"/>
      <c r="F5087" s="133"/>
      <c r="G5087" s="341"/>
      <c r="H5087" s="341"/>
    </row>
    <row r="5088" spans="1:8" ht="15.75" thickBot="1" x14ac:dyDescent="0.3">
      <c r="A5088" s="133" t="s">
        <v>6744</v>
      </c>
      <c r="B5088" s="8"/>
      <c r="C5088" s="8"/>
      <c r="D5088" s="529"/>
      <c r="E5088" s="223" t="s">
        <v>5415</v>
      </c>
      <c r="F5088" s="133"/>
      <c r="G5088" s="341"/>
      <c r="H5088" s="348">
        <f>ROUND(+H5086+H5077+H5069+H5054,0)</f>
        <v>55237</v>
      </c>
    </row>
    <row r="5089" spans="1:8" x14ac:dyDescent="0.25">
      <c r="A5089" s="1441"/>
      <c r="B5089" s="1441"/>
      <c r="C5089" s="1441"/>
      <c r="D5089" s="957"/>
      <c r="E5089" s="1441"/>
      <c r="F5089" s="1441"/>
      <c r="G5089" s="1441"/>
      <c r="H5089" s="1441"/>
    </row>
    <row r="5090" spans="1:8" x14ac:dyDescent="0.25">
      <c r="A5090" s="1441"/>
      <c r="B5090" s="1441"/>
      <c r="C5090" s="1441"/>
      <c r="D5090" s="957"/>
      <c r="E5090" s="1441"/>
      <c r="F5090" s="1441"/>
      <c r="G5090" s="1441"/>
      <c r="H5090" s="1441"/>
    </row>
    <row r="5091" spans="1:8" x14ac:dyDescent="0.25">
      <c r="A5091" s="1441"/>
      <c r="B5091" s="1441"/>
      <c r="C5091" s="1441"/>
      <c r="D5091" s="957"/>
      <c r="E5091" s="1441"/>
      <c r="F5091" s="1441"/>
      <c r="G5091" s="1441"/>
      <c r="H5091" s="1441"/>
    </row>
    <row r="5092" spans="1:8" x14ac:dyDescent="0.25">
      <c r="A5092" s="673" t="s">
        <v>5482</v>
      </c>
      <c r="B5092" s="1390" t="str">
        <f>+VLOOKUP(C5092,ListaAPUs!$B:$E,4,FALSE)</f>
        <v>7.1.1</v>
      </c>
      <c r="C5092" s="2449" t="str">
        <f>+ListaAPUs!B158</f>
        <v>MURO BLOQUE Nº 5</v>
      </c>
      <c r="D5092" s="2449"/>
      <c r="E5092" s="2449"/>
      <c r="F5092" s="673" t="s">
        <v>867</v>
      </c>
      <c r="G5092" s="222" t="s">
        <v>5418</v>
      </c>
      <c r="H5092" s="200"/>
    </row>
    <row r="5093" spans="1:8" x14ac:dyDescent="0.25">
      <c r="A5093" s="133"/>
      <c r="B5093" s="8"/>
      <c r="C5093" s="223"/>
      <c r="D5093" s="958"/>
      <c r="E5093" s="223"/>
      <c r="F5093" s="133"/>
      <c r="G5093" s="200"/>
      <c r="H5093" s="200"/>
    </row>
    <row r="5094" spans="1:8" x14ac:dyDescent="0.25">
      <c r="A5094" s="133"/>
      <c r="B5094" s="8"/>
      <c r="C5094" s="8"/>
      <c r="D5094" s="529"/>
      <c r="E5094" s="8"/>
      <c r="F5094" s="8"/>
      <c r="G5094" s="8"/>
      <c r="H5094" s="200"/>
    </row>
    <row r="5095" spans="1:8" ht="15.75" thickBot="1" x14ac:dyDescent="0.3">
      <c r="A5095" s="133"/>
      <c r="B5095" s="8"/>
      <c r="C5095" s="8"/>
      <c r="D5095" s="529"/>
      <c r="E5095" s="8"/>
      <c r="F5095" s="133"/>
      <c r="G5095" s="200"/>
      <c r="H5095" s="200"/>
    </row>
    <row r="5096" spans="1:8" ht="15.75" thickBot="1" x14ac:dyDescent="0.3">
      <c r="A5096" s="133"/>
      <c r="B5096" s="224" t="s">
        <v>5403</v>
      </c>
      <c r="C5096" s="193" t="s">
        <v>867</v>
      </c>
      <c r="D5096" s="951" t="s">
        <v>6</v>
      </c>
      <c r="E5096" s="193" t="s">
        <v>5439</v>
      </c>
      <c r="F5096" s="193" t="s">
        <v>5405</v>
      </c>
      <c r="G5096" s="225" t="s">
        <v>868</v>
      </c>
      <c r="H5096" s="200"/>
    </row>
    <row r="5097" spans="1:8" x14ac:dyDescent="0.25">
      <c r="A5097" s="133"/>
      <c r="B5097" s="195" t="s">
        <v>5440</v>
      </c>
      <c r="C5097" s="226" t="s">
        <v>5402</v>
      </c>
      <c r="D5097" s="212">
        <v>1</v>
      </c>
      <c r="E5097" s="227">
        <f>+H5135</f>
        <v>17868.243333333332</v>
      </c>
      <c r="F5097" s="226">
        <v>0.1</v>
      </c>
      <c r="G5097" s="292">
        <f>+E5097*F5097</f>
        <v>1786.8243333333332</v>
      </c>
      <c r="H5097" s="200"/>
    </row>
    <row r="5098" spans="1:8" x14ac:dyDescent="0.25">
      <c r="A5098" s="133"/>
      <c r="B5098" s="195"/>
      <c r="C5098" s="226"/>
      <c r="D5098" s="212"/>
      <c r="E5098" s="230"/>
      <c r="F5098" s="226"/>
      <c r="G5098" s="229"/>
      <c r="H5098" s="200"/>
    </row>
    <row r="5099" spans="1:8" x14ac:dyDescent="0.25">
      <c r="A5099" s="133"/>
      <c r="B5099" s="195"/>
      <c r="C5099" s="226"/>
      <c r="D5099" s="212"/>
      <c r="E5099" s="176"/>
      <c r="F5099" s="226"/>
      <c r="G5099" s="229"/>
      <c r="H5099" s="200"/>
    </row>
    <row r="5100" spans="1:8" x14ac:dyDescent="0.25">
      <c r="A5100" s="133"/>
      <c r="B5100" s="195"/>
      <c r="C5100" s="226"/>
      <c r="D5100" s="212"/>
      <c r="E5100" s="171"/>
      <c r="F5100" s="226"/>
      <c r="G5100" s="293"/>
      <c r="H5100" s="200"/>
    </row>
    <row r="5101" spans="1:8" x14ac:dyDescent="0.25">
      <c r="A5101" s="133"/>
      <c r="B5101" s="195"/>
      <c r="C5101" s="226"/>
      <c r="D5101" s="952"/>
      <c r="E5101" s="232"/>
      <c r="F5101" s="226"/>
      <c r="G5101" s="229"/>
      <c r="H5101" s="200"/>
    </row>
    <row r="5102" spans="1:8" ht="15.75" thickBot="1" x14ac:dyDescent="0.3">
      <c r="A5102" s="133"/>
      <c r="B5102" s="195"/>
      <c r="C5102" s="226"/>
      <c r="D5102" s="952"/>
      <c r="E5102" s="232"/>
      <c r="F5102" s="226"/>
      <c r="G5102" s="229"/>
      <c r="H5102" s="200"/>
    </row>
    <row r="5103" spans="1:8" ht="15.75" thickBot="1" x14ac:dyDescent="0.3">
      <c r="A5103" s="133"/>
      <c r="B5103" s="233"/>
      <c r="C5103" s="234"/>
      <c r="D5103" s="953"/>
      <c r="E5103" s="234"/>
      <c r="F5103" s="235"/>
      <c r="G5103" s="236"/>
      <c r="H5103" s="237">
        <f>+SUM(G5097:G5103)</f>
        <v>1786.8243333333332</v>
      </c>
    </row>
    <row r="5104" spans="1:8" ht="15.75" thickBot="1" x14ac:dyDescent="0.3">
      <c r="A5104" s="133"/>
      <c r="B5104" s="238"/>
      <c r="C5104" s="238"/>
      <c r="D5104" s="954"/>
      <c r="E5104" s="238"/>
      <c r="F5104" s="239"/>
      <c r="G5104" s="240"/>
      <c r="H5104" s="241"/>
    </row>
    <row r="5105" spans="1:8" ht="15.75" thickBot="1" x14ac:dyDescent="0.3">
      <c r="A5105" s="133"/>
      <c r="B5105" s="224" t="s">
        <v>5408</v>
      </c>
      <c r="C5105" s="193" t="s">
        <v>867</v>
      </c>
      <c r="D5105" s="951" t="s">
        <v>6</v>
      </c>
      <c r="E5105" s="193" t="s">
        <v>870</v>
      </c>
      <c r="F5105" s="193" t="s">
        <v>5409</v>
      </c>
      <c r="G5105" s="225" t="s">
        <v>868</v>
      </c>
      <c r="H5105" s="200"/>
    </row>
    <row r="5106" spans="1:8" x14ac:dyDescent="0.25">
      <c r="A5106" s="133"/>
      <c r="B5106" s="734" t="s">
        <v>6901</v>
      </c>
      <c r="C5106" s="202" t="s">
        <v>5424</v>
      </c>
      <c r="D5106" s="212">
        <v>13</v>
      </c>
      <c r="E5106" s="980">
        <f>+VLOOKUP(B5106,Insumos!$A$2:$C$331,3,FALSE)</f>
        <v>700</v>
      </c>
      <c r="F5106" s="169">
        <v>0.1</v>
      </c>
      <c r="G5106" s="294">
        <f>+D5106*E5106*(1+F5106)</f>
        <v>10010</v>
      </c>
      <c r="H5106" s="200"/>
    </row>
    <row r="5107" spans="1:8" x14ac:dyDescent="0.25">
      <c r="A5107" s="133"/>
      <c r="B5107" s="260" t="s">
        <v>6134</v>
      </c>
      <c r="C5107" s="202" t="s">
        <v>5542</v>
      </c>
      <c r="D5107" s="211">
        <v>8.0000000000000002E-3</v>
      </c>
      <c r="E5107" s="980">
        <f>+VLOOKUP(B5107,Insumos!$A$2:$C$331,3,FALSE)</f>
        <v>327242.41558880004</v>
      </c>
      <c r="F5107" s="169">
        <v>0.05</v>
      </c>
      <c r="G5107" s="294">
        <f>+D5107*E5107*(1+F5107)</f>
        <v>2748.8362909459206</v>
      </c>
      <c r="H5107" s="200"/>
    </row>
    <row r="5108" spans="1:8" x14ac:dyDescent="0.25">
      <c r="A5108" s="133"/>
      <c r="B5108" s="247"/>
      <c r="C5108" s="226"/>
      <c r="D5108" s="212"/>
      <c r="E5108" s="244"/>
      <c r="F5108" s="169"/>
      <c r="G5108" s="294"/>
      <c r="H5108" s="200"/>
    </row>
    <row r="5109" spans="1:8" x14ac:dyDescent="0.25">
      <c r="A5109" s="133"/>
      <c r="B5109" s="194"/>
      <c r="C5109" s="226"/>
      <c r="D5109" s="212"/>
      <c r="E5109" s="171"/>
      <c r="F5109" s="169"/>
      <c r="G5109" s="294"/>
      <c r="H5109" s="200"/>
    </row>
    <row r="5110" spans="1:8" x14ac:dyDescent="0.25">
      <c r="A5110" s="133"/>
      <c r="B5110" s="195"/>
      <c r="C5110" s="226"/>
      <c r="D5110" s="212"/>
      <c r="E5110" s="171"/>
      <c r="F5110" s="169"/>
      <c r="G5110" s="178"/>
      <c r="H5110" s="200"/>
    </row>
    <row r="5111" spans="1:8" x14ac:dyDescent="0.25">
      <c r="A5111" s="133"/>
      <c r="B5111" s="194"/>
      <c r="C5111" s="202"/>
      <c r="D5111" s="211"/>
      <c r="E5111" s="171"/>
      <c r="F5111" s="169"/>
      <c r="G5111" s="178"/>
      <c r="H5111" s="200"/>
    </row>
    <row r="5112" spans="1:8" x14ac:dyDescent="0.25">
      <c r="A5112" s="133"/>
      <c r="B5112" s="195"/>
      <c r="C5112" s="226"/>
      <c r="D5112" s="212"/>
      <c r="E5112" s="171"/>
      <c r="F5112" s="169"/>
      <c r="G5112" s="178"/>
      <c r="H5112" s="200"/>
    </row>
    <row r="5113" spans="1:8" x14ac:dyDescent="0.25">
      <c r="A5113" s="133"/>
      <c r="B5113" s="195"/>
      <c r="C5113" s="226"/>
      <c r="D5113" s="212"/>
      <c r="E5113" s="171"/>
      <c r="F5113" s="169"/>
      <c r="G5113" s="178"/>
      <c r="H5113" s="200"/>
    </row>
    <row r="5114" spans="1:8" x14ac:dyDescent="0.25">
      <c r="A5114" s="133"/>
      <c r="B5114" s="195"/>
      <c r="C5114" s="232"/>
      <c r="D5114" s="952"/>
      <c r="E5114" s="232"/>
      <c r="F5114" s="226"/>
      <c r="G5114" s="229"/>
      <c r="H5114" s="200"/>
    </row>
    <row r="5115" spans="1:8" x14ac:dyDescent="0.25">
      <c r="A5115" s="133"/>
      <c r="B5115" s="195"/>
      <c r="C5115" s="232"/>
      <c r="D5115" s="952"/>
      <c r="E5115" s="232"/>
      <c r="F5115" s="226"/>
      <c r="G5115" s="229"/>
      <c r="H5115" s="200"/>
    </row>
    <row r="5116" spans="1:8" x14ac:dyDescent="0.25">
      <c r="A5116" s="133"/>
      <c r="B5116" s="195"/>
      <c r="C5116" s="232"/>
      <c r="D5116" s="952"/>
      <c r="E5116" s="232"/>
      <c r="F5116" s="226"/>
      <c r="G5116" s="229"/>
      <c r="H5116" s="200"/>
    </row>
    <row r="5117" spans="1:8" ht="15.75" thickBot="1" x14ac:dyDescent="0.3">
      <c r="A5117" s="133"/>
      <c r="B5117" s="195"/>
      <c r="C5117" s="232"/>
      <c r="D5117" s="952"/>
      <c r="E5117" s="232"/>
      <c r="F5117" s="226"/>
      <c r="G5117" s="229"/>
      <c r="H5117" s="200"/>
    </row>
    <row r="5118" spans="1:8" ht="15.75" thickBot="1" x14ac:dyDescent="0.3">
      <c r="A5118" s="133"/>
      <c r="B5118" s="233"/>
      <c r="C5118" s="234"/>
      <c r="D5118" s="953"/>
      <c r="E5118" s="234"/>
      <c r="F5118" s="235"/>
      <c r="G5118" s="236"/>
      <c r="H5118" s="256">
        <f>+SUM(G5106:G5118)</f>
        <v>12758.836290945921</v>
      </c>
    </row>
    <row r="5119" spans="1:8" ht="15.75" thickBot="1" x14ac:dyDescent="0.3">
      <c r="A5119" s="133"/>
      <c r="B5119" s="238"/>
      <c r="C5119" s="238"/>
      <c r="D5119" s="954"/>
      <c r="E5119" s="238"/>
      <c r="F5119" s="239"/>
      <c r="G5119" s="240"/>
      <c r="H5119" s="241"/>
    </row>
    <row r="5120" spans="1:8" ht="15.75" thickBot="1" x14ac:dyDescent="0.3">
      <c r="A5120" s="133"/>
      <c r="B5120" s="224" t="s">
        <v>5410</v>
      </c>
      <c r="C5120" s="193" t="s">
        <v>867</v>
      </c>
      <c r="D5120" s="951" t="s">
        <v>6</v>
      </c>
      <c r="E5120" s="193" t="s">
        <v>870</v>
      </c>
      <c r="F5120" s="193" t="s">
        <v>5411</v>
      </c>
      <c r="G5120" s="225" t="s">
        <v>868</v>
      </c>
      <c r="H5120" s="200"/>
    </row>
    <row r="5121" spans="1:8" x14ac:dyDescent="0.25">
      <c r="A5121" s="133"/>
      <c r="B5121" s="245"/>
      <c r="C5121" s="202"/>
      <c r="D5121" s="211"/>
      <c r="E5121" s="175"/>
      <c r="F5121" s="202"/>
      <c r="G5121" s="203"/>
      <c r="H5121" s="246"/>
    </row>
    <row r="5122" spans="1:8" x14ac:dyDescent="0.25">
      <c r="A5122" s="133"/>
      <c r="B5122" s="247"/>
      <c r="C5122" s="248"/>
      <c r="D5122" s="961"/>
      <c r="E5122" s="248"/>
      <c r="F5122" s="202"/>
      <c r="G5122" s="178"/>
      <c r="H5122" s="200"/>
    </row>
    <row r="5123" spans="1:8" x14ac:dyDescent="0.25">
      <c r="A5123" s="133"/>
      <c r="B5123" s="247"/>
      <c r="C5123" s="232"/>
      <c r="D5123" s="952"/>
      <c r="E5123" s="232"/>
      <c r="F5123" s="226"/>
      <c r="G5123" s="229"/>
      <c r="H5123" s="200"/>
    </row>
    <row r="5124" spans="1:8" x14ac:dyDescent="0.25">
      <c r="A5124" s="133"/>
      <c r="B5124" s="194"/>
      <c r="C5124" s="232"/>
      <c r="D5124" s="952"/>
      <c r="E5124" s="232"/>
      <c r="F5124" s="226"/>
      <c r="G5124" s="229"/>
      <c r="H5124" s="200"/>
    </row>
    <row r="5125" spans="1:8" ht="15.75" thickBot="1" x14ac:dyDescent="0.3">
      <c r="A5125" s="133"/>
      <c r="B5125" s="195"/>
      <c r="C5125" s="232"/>
      <c r="D5125" s="952"/>
      <c r="E5125" s="232"/>
      <c r="F5125" s="226"/>
      <c r="G5125" s="229"/>
      <c r="H5125" s="200"/>
    </row>
    <row r="5126" spans="1:8" ht="15.75" thickBot="1" x14ac:dyDescent="0.3">
      <c r="A5126" s="133"/>
      <c r="B5126" s="233"/>
      <c r="C5126" s="234"/>
      <c r="D5126" s="953"/>
      <c r="E5126" s="234"/>
      <c r="F5126" s="235"/>
      <c r="G5126" s="236"/>
      <c r="H5126" s="237">
        <f>+SUM(G5121:G5126)</f>
        <v>0</v>
      </c>
    </row>
    <row r="5127" spans="1:8" ht="15.75" thickBot="1" x14ac:dyDescent="0.3">
      <c r="A5127" s="133"/>
      <c r="B5127" s="238"/>
      <c r="C5127" s="238"/>
      <c r="D5127" s="954"/>
      <c r="E5127" s="238"/>
      <c r="F5127" s="249"/>
      <c r="G5127" s="250"/>
      <c r="H5127" s="241"/>
    </row>
    <row r="5128" spans="1:8" ht="15.75" thickBot="1" x14ac:dyDescent="0.3">
      <c r="A5128" s="133"/>
      <c r="B5128" s="224" t="s">
        <v>5412</v>
      </c>
      <c r="C5128" s="193" t="s">
        <v>5420</v>
      </c>
      <c r="D5128" s="951" t="s">
        <v>5421</v>
      </c>
      <c r="E5128" s="193" t="s">
        <v>5413</v>
      </c>
      <c r="F5128" s="193" t="s">
        <v>5405</v>
      </c>
      <c r="G5128" s="225" t="s">
        <v>868</v>
      </c>
      <c r="H5128" s="200"/>
    </row>
    <row r="5129" spans="1:8" x14ac:dyDescent="0.25">
      <c r="A5129" s="133"/>
      <c r="B5129" s="194" t="s">
        <v>5948</v>
      </c>
      <c r="C5129" s="345">
        <f>+VLOOKUP($B5129,'Mano de obra'!$A$5:$D$26,2,FALSE)</f>
        <v>57455</v>
      </c>
      <c r="D5129" s="345">
        <f>+VLOOKUP($B5129,'Mano de obra'!$A$5:$D$26,3,FALSE)</f>
        <v>35656</v>
      </c>
      <c r="E5129" s="345">
        <f>+VLOOKUP($B5129,'Mano de obra'!$A$5:$D$26,4,FALSE)</f>
        <v>93111</v>
      </c>
      <c r="F5129" s="204">
        <v>100</v>
      </c>
      <c r="G5129" s="178">
        <f>+E5129/F5129</f>
        <v>931.11</v>
      </c>
      <c r="H5129" s="200"/>
    </row>
    <row r="5130" spans="1:8" x14ac:dyDescent="0.25">
      <c r="A5130" s="133"/>
      <c r="B5130" s="194" t="s">
        <v>5949</v>
      </c>
      <c r="C5130" s="345">
        <f>+VLOOKUP($B5130,'Mano de obra'!$A$5:$D$26,2,FALSE)</f>
        <v>44263.8</v>
      </c>
      <c r="D5130" s="345">
        <f>+VLOOKUP($B5130,'Mano de obra'!$A$5:$D$26,3,FALSE)</f>
        <v>27470</v>
      </c>
      <c r="E5130" s="345">
        <f>+VLOOKUP($B5130,'Mano de obra'!$A$5:$D$26,4,FALSE)</f>
        <v>71733.8</v>
      </c>
      <c r="F5130" s="202">
        <v>6</v>
      </c>
      <c r="G5130" s="178">
        <f>+E5130/F5130</f>
        <v>11955.633333333333</v>
      </c>
      <c r="H5130" s="200"/>
    </row>
    <row r="5131" spans="1:8" x14ac:dyDescent="0.25">
      <c r="A5131" s="133"/>
      <c r="B5131" s="195" t="s">
        <v>5635</v>
      </c>
      <c r="C5131" s="345">
        <f>+VLOOKUP($B5131,'Mano de obra'!$A$5:$D$26,2,FALSE)</f>
        <v>24591</v>
      </c>
      <c r="D5131" s="345">
        <f>+VLOOKUP($B5131,'Mano de obra'!$A$5:$D$26,3,FALSE)</f>
        <v>15261</v>
      </c>
      <c r="E5131" s="345">
        <f>+VLOOKUP($B5131,'Mano de obra'!$A$5:$D$26,4,FALSE)</f>
        <v>39852</v>
      </c>
      <c r="F5131" s="226">
        <v>8</v>
      </c>
      <c r="G5131" s="178">
        <f>+E5131/F5131</f>
        <v>4981.5</v>
      </c>
      <c r="H5131" s="200"/>
    </row>
    <row r="5132" spans="1:8" x14ac:dyDescent="0.25">
      <c r="A5132" s="133"/>
      <c r="B5132" s="195"/>
      <c r="C5132" s="171"/>
      <c r="D5132" s="965"/>
      <c r="E5132" s="176"/>
      <c r="F5132" s="226"/>
      <c r="G5132" s="178"/>
      <c r="H5132" s="200"/>
    </row>
    <row r="5133" spans="1:8" x14ac:dyDescent="0.25">
      <c r="A5133" s="133"/>
      <c r="B5133" s="195"/>
      <c r="C5133" s="232"/>
      <c r="D5133" s="952"/>
      <c r="E5133" s="232"/>
      <c r="F5133" s="226"/>
      <c r="G5133" s="229"/>
      <c r="H5133" s="200"/>
    </row>
    <row r="5134" spans="1:8" ht="15.75" thickBot="1" x14ac:dyDescent="0.3">
      <c r="A5134" s="133"/>
      <c r="B5134" s="195"/>
      <c r="C5134" s="232"/>
      <c r="D5134" s="952"/>
      <c r="E5134" s="232"/>
      <c r="F5134" s="226"/>
      <c r="G5134" s="229"/>
      <c r="H5134" s="200"/>
    </row>
    <row r="5135" spans="1:8" ht="15.75" thickBot="1" x14ac:dyDescent="0.3">
      <c r="A5135" s="133"/>
      <c r="B5135" s="251"/>
      <c r="C5135" s="252"/>
      <c r="D5135" s="956"/>
      <c r="E5135" s="252"/>
      <c r="F5135" s="253"/>
      <c r="G5135" s="254"/>
      <c r="H5135" s="256">
        <f>+SUM(G5129:G5135)</f>
        <v>17868.243333333332</v>
      </c>
    </row>
    <row r="5136" spans="1:8" ht="15.75" thickBot="1" x14ac:dyDescent="0.3">
      <c r="A5136" s="133"/>
      <c r="B5136" s="8"/>
      <c r="C5136" s="8"/>
      <c r="D5136" s="529"/>
      <c r="E5136" s="8"/>
      <c r="F5136" s="133"/>
      <c r="G5136" s="200"/>
      <c r="H5136" s="200"/>
    </row>
    <row r="5137" spans="1:8" ht="15.75" thickBot="1" x14ac:dyDescent="0.3">
      <c r="A5137" s="133" t="s">
        <v>6744</v>
      </c>
      <c r="B5137" s="8"/>
      <c r="C5137" s="8"/>
      <c r="D5137" s="529"/>
      <c r="E5137" s="223" t="s">
        <v>5415</v>
      </c>
      <c r="F5137" s="133"/>
      <c r="G5137" s="200"/>
      <c r="H5137" s="256">
        <f>ROUND(+H5135+H5126+H5118+H5103,0)</f>
        <v>32414</v>
      </c>
    </row>
    <row r="5138" spans="1:8" x14ac:dyDescent="0.25">
      <c r="A5138" s="1441"/>
      <c r="B5138" s="1441"/>
      <c r="C5138" s="1441"/>
      <c r="D5138" s="957"/>
      <c r="E5138" s="1441"/>
      <c r="F5138" s="1441"/>
      <c r="G5138" s="1441"/>
      <c r="H5138" s="1441"/>
    </row>
    <row r="5139" spans="1:8" x14ac:dyDescent="0.25">
      <c r="A5139" s="1441"/>
      <c r="B5139" s="1441"/>
      <c r="C5139" s="1441"/>
      <c r="D5139" s="957"/>
      <c r="E5139" s="1441"/>
      <c r="F5139" s="1441"/>
      <c r="G5139" s="1441"/>
      <c r="H5139" s="1441"/>
    </row>
    <row r="5140" spans="1:8" x14ac:dyDescent="0.25">
      <c r="A5140" s="1441"/>
      <c r="B5140" s="1441"/>
      <c r="C5140" s="1441"/>
      <c r="D5140" s="957"/>
      <c r="E5140" s="1441"/>
      <c r="F5140" s="1441"/>
      <c r="G5140" s="1441"/>
      <c r="H5140" s="1441"/>
    </row>
    <row r="5141" spans="1:8" x14ac:dyDescent="0.25">
      <c r="A5141" s="1468" t="s">
        <v>3</v>
      </c>
      <c r="B5141" s="1390" t="str">
        <f>+VLOOKUP(C5141,ListaAPUs!$B:$E,4,FALSE)</f>
        <v>7.1.2</v>
      </c>
      <c r="C5141" s="2450" t="str">
        <f>+ListaAPUs!B159</f>
        <v>PERFORACION MUROS TANQUE PARA ACCESO</v>
      </c>
      <c r="D5141" s="2450"/>
      <c r="E5141" s="2450"/>
      <c r="F5141" s="1468" t="s">
        <v>867</v>
      </c>
      <c r="G5141" s="139" t="s">
        <v>37</v>
      </c>
      <c r="H5141" s="134"/>
    </row>
    <row r="5142" spans="1:8" x14ac:dyDescent="0.25">
      <c r="A5142" s="141"/>
      <c r="B5142" s="140"/>
      <c r="C5142" s="140"/>
      <c r="D5142" s="529"/>
      <c r="E5142" s="140"/>
      <c r="F5142" s="141"/>
      <c r="G5142" s="134"/>
      <c r="H5142" s="134"/>
    </row>
    <row r="5143" spans="1:8" x14ac:dyDescent="0.25">
      <c r="A5143" s="141"/>
      <c r="B5143" s="140"/>
      <c r="C5143" s="140"/>
      <c r="D5143" s="529"/>
      <c r="E5143" s="140"/>
      <c r="F5143" s="141"/>
      <c r="G5143" s="142"/>
      <c r="H5143" s="134"/>
    </row>
    <row r="5144" spans="1:8" ht="15.75" thickBot="1" x14ac:dyDescent="0.3">
      <c r="A5144" s="141"/>
      <c r="B5144" s="140"/>
      <c r="C5144" s="140"/>
      <c r="D5144" s="529"/>
      <c r="E5144" s="140"/>
      <c r="F5144" s="141"/>
      <c r="G5144" s="134"/>
      <c r="H5144" s="134"/>
    </row>
    <row r="5145" spans="1:8" ht="15.75" thickBot="1" x14ac:dyDescent="0.3">
      <c r="A5145" s="141"/>
      <c r="B5145" s="143" t="s">
        <v>5403</v>
      </c>
      <c r="C5145" s="144" t="s">
        <v>867</v>
      </c>
      <c r="D5145" s="951" t="s">
        <v>6</v>
      </c>
      <c r="E5145" s="144" t="s">
        <v>5404</v>
      </c>
      <c r="F5145" s="144" t="s">
        <v>5405</v>
      </c>
      <c r="G5145" s="145" t="s">
        <v>868</v>
      </c>
      <c r="H5145" s="134"/>
    </row>
    <row r="5146" spans="1:8" x14ac:dyDescent="0.25">
      <c r="A5146" s="141"/>
      <c r="B5146" s="146" t="s">
        <v>5440</v>
      </c>
      <c r="C5146" s="147" t="s">
        <v>5406</v>
      </c>
      <c r="D5146" s="211"/>
      <c r="E5146" s="148">
        <f>+H5185</f>
        <v>45856.979999999996</v>
      </c>
      <c r="F5146" s="167">
        <v>0.1</v>
      </c>
      <c r="G5146" s="360">
        <f>+E5146*F5146</f>
        <v>4585.6979999999994</v>
      </c>
      <c r="H5146" s="134"/>
    </row>
    <row r="5147" spans="1:8" x14ac:dyDescent="0.25">
      <c r="A5147" s="141"/>
      <c r="B5147" s="154" t="s">
        <v>6862</v>
      </c>
      <c r="C5147" s="151" t="s">
        <v>5407</v>
      </c>
      <c r="D5147" s="212"/>
      <c r="E5147" s="980">
        <f>+VLOOKUP(B5147,Insumos!$A$2:$C$331,3,FALSE)</f>
        <v>73138</v>
      </c>
      <c r="F5147" s="197">
        <v>1</v>
      </c>
      <c r="G5147" s="360">
        <f>+E5147/F5147</f>
        <v>73138</v>
      </c>
      <c r="H5147" s="134"/>
    </row>
    <row r="5148" spans="1:8" x14ac:dyDescent="0.25">
      <c r="A5148" s="141"/>
      <c r="B5148" s="150"/>
      <c r="C5148" s="151"/>
      <c r="D5148" s="212"/>
      <c r="E5148" s="366"/>
      <c r="F5148" s="197"/>
      <c r="G5148" s="360"/>
      <c r="H5148" s="134"/>
    </row>
    <row r="5149" spans="1:8" x14ac:dyDescent="0.25">
      <c r="A5149" s="141"/>
      <c r="B5149" s="155"/>
      <c r="C5149" s="151"/>
      <c r="D5149" s="952"/>
      <c r="E5149" s="152"/>
      <c r="F5149" s="151"/>
      <c r="G5149" s="156"/>
      <c r="H5149" s="134"/>
    </row>
    <row r="5150" spans="1:8" x14ac:dyDescent="0.25">
      <c r="A5150" s="141"/>
      <c r="B5150" s="155"/>
      <c r="C5150" s="151"/>
      <c r="D5150" s="952"/>
      <c r="E5150" s="152"/>
      <c r="F5150" s="151"/>
      <c r="G5150" s="156"/>
      <c r="H5150" s="134"/>
    </row>
    <row r="5151" spans="1:8" ht="15.75" thickBot="1" x14ac:dyDescent="0.3">
      <c r="A5151" s="141"/>
      <c r="B5151" s="155"/>
      <c r="C5151" s="151"/>
      <c r="D5151" s="952"/>
      <c r="E5151" s="152"/>
      <c r="F5151" s="151"/>
      <c r="G5151" s="156"/>
      <c r="H5151" s="134"/>
    </row>
    <row r="5152" spans="1:8" ht="15.75" thickBot="1" x14ac:dyDescent="0.3">
      <c r="A5152" s="141"/>
      <c r="B5152" s="157"/>
      <c r="C5152" s="158"/>
      <c r="D5152" s="953"/>
      <c r="E5152" s="159"/>
      <c r="F5152" s="158"/>
      <c r="G5152" s="160"/>
      <c r="H5152" s="161">
        <f>+SUM(G5146:G5152)</f>
        <v>77723.698000000004</v>
      </c>
    </row>
    <row r="5153" spans="1:8" ht="15.75" thickBot="1" x14ac:dyDescent="0.3">
      <c r="A5153" s="141"/>
      <c r="B5153" s="162"/>
      <c r="C5153" s="163"/>
      <c r="D5153" s="954"/>
      <c r="E5153" s="162"/>
      <c r="F5153" s="163"/>
      <c r="G5153" s="164"/>
      <c r="H5153" s="165"/>
    </row>
    <row r="5154" spans="1:8" ht="15.75" thickBot="1" x14ac:dyDescent="0.3">
      <c r="A5154" s="140"/>
      <c r="B5154" s="143" t="s">
        <v>5408</v>
      </c>
      <c r="C5154" s="144" t="s">
        <v>867</v>
      </c>
      <c r="D5154" s="951" t="s">
        <v>6</v>
      </c>
      <c r="E5154" s="144" t="s">
        <v>870</v>
      </c>
      <c r="F5154" s="144" t="s">
        <v>5409</v>
      </c>
      <c r="G5154" s="145" t="s">
        <v>868</v>
      </c>
      <c r="H5154" s="134"/>
    </row>
    <row r="5155" spans="1:8" x14ac:dyDescent="0.25">
      <c r="A5155" s="140"/>
      <c r="B5155" s="201"/>
      <c r="C5155" s="147"/>
      <c r="D5155" s="211"/>
      <c r="E5155" s="148"/>
      <c r="F5155" s="169"/>
      <c r="G5155" s="367"/>
      <c r="H5155" s="134"/>
    </row>
    <row r="5156" spans="1:8" x14ac:dyDescent="0.25">
      <c r="A5156" s="140"/>
      <c r="B5156" s="196"/>
      <c r="C5156" s="151"/>
      <c r="D5156" s="212"/>
      <c r="E5156" s="148"/>
      <c r="F5156" s="169"/>
      <c r="G5156" s="354"/>
      <c r="H5156" s="134"/>
    </row>
    <row r="5157" spans="1:8" x14ac:dyDescent="0.25">
      <c r="A5157" s="140"/>
      <c r="B5157" s="196"/>
      <c r="C5157" s="151"/>
      <c r="D5157" s="212"/>
      <c r="E5157" s="148"/>
      <c r="F5157" s="169"/>
      <c r="G5157" s="367"/>
      <c r="H5157" s="134"/>
    </row>
    <row r="5158" spans="1:8" x14ac:dyDescent="0.25">
      <c r="A5158" s="140"/>
      <c r="B5158" s="155"/>
      <c r="C5158" s="151"/>
      <c r="D5158" s="212"/>
      <c r="E5158" s="148"/>
      <c r="F5158" s="151"/>
      <c r="G5158" s="367"/>
      <c r="H5158" s="134"/>
    </row>
    <row r="5159" spans="1:8" x14ac:dyDescent="0.25">
      <c r="A5159" s="140"/>
      <c r="B5159" s="155"/>
      <c r="C5159" s="151"/>
      <c r="D5159" s="212"/>
      <c r="E5159" s="148"/>
      <c r="F5159" s="151"/>
      <c r="G5159" s="367"/>
      <c r="H5159" s="134"/>
    </row>
    <row r="5160" spans="1:8" x14ac:dyDescent="0.25">
      <c r="A5160" s="140"/>
      <c r="B5160" s="155"/>
      <c r="C5160" s="151"/>
      <c r="D5160" s="212"/>
      <c r="E5160" s="148"/>
      <c r="F5160" s="151"/>
      <c r="G5160" s="367"/>
      <c r="H5160" s="134"/>
    </row>
    <row r="5161" spans="1:8" x14ac:dyDescent="0.25">
      <c r="A5161" s="140"/>
      <c r="B5161" s="155"/>
      <c r="C5161" s="151"/>
      <c r="D5161" s="212"/>
      <c r="E5161" s="148"/>
      <c r="F5161" s="151"/>
      <c r="G5161" s="367"/>
      <c r="H5161" s="134"/>
    </row>
    <row r="5162" spans="1:8" x14ac:dyDescent="0.25">
      <c r="A5162" s="140"/>
      <c r="B5162" s="155"/>
      <c r="C5162" s="151"/>
      <c r="D5162" s="212"/>
      <c r="E5162" s="148"/>
      <c r="F5162" s="151"/>
      <c r="G5162" s="367"/>
      <c r="H5162" s="134"/>
    </row>
    <row r="5163" spans="1:8" x14ac:dyDescent="0.25">
      <c r="A5163" s="140"/>
      <c r="B5163" s="155"/>
      <c r="C5163" s="151"/>
      <c r="D5163" s="212"/>
      <c r="E5163" s="148"/>
      <c r="F5163" s="151"/>
      <c r="G5163" s="367"/>
      <c r="H5163" s="134"/>
    </row>
    <row r="5164" spans="1:8" x14ac:dyDescent="0.25">
      <c r="A5164" s="140"/>
      <c r="B5164" s="155"/>
      <c r="C5164" s="151"/>
      <c r="D5164" s="212"/>
      <c r="E5164" s="148"/>
      <c r="F5164" s="151"/>
      <c r="G5164" s="367"/>
      <c r="H5164" s="134"/>
    </row>
    <row r="5165" spans="1:8" x14ac:dyDescent="0.25">
      <c r="A5165" s="140"/>
      <c r="B5165" s="155"/>
      <c r="C5165" s="152"/>
      <c r="D5165" s="952"/>
      <c r="E5165" s="152"/>
      <c r="F5165" s="151"/>
      <c r="G5165" s="156"/>
      <c r="H5165" s="134"/>
    </row>
    <row r="5166" spans="1:8" ht="15.75" thickBot="1" x14ac:dyDescent="0.3">
      <c r="A5166" s="140"/>
      <c r="B5166" s="155"/>
      <c r="C5166" s="152"/>
      <c r="D5166" s="952"/>
      <c r="E5166" s="152"/>
      <c r="F5166" s="151"/>
      <c r="G5166" s="156"/>
      <c r="H5166" s="134"/>
    </row>
    <row r="5167" spans="1:8" ht="15.75" thickBot="1" x14ac:dyDescent="0.3">
      <c r="A5167" s="140"/>
      <c r="B5167" s="157"/>
      <c r="C5167" s="159"/>
      <c r="D5167" s="953"/>
      <c r="E5167" s="159"/>
      <c r="F5167" s="158"/>
      <c r="G5167" s="160"/>
      <c r="H5167" s="161">
        <f>+SUM(G5155:G5167)</f>
        <v>0</v>
      </c>
    </row>
    <row r="5168" spans="1:8" ht="15.75" thickBot="1" x14ac:dyDescent="0.3">
      <c r="A5168" s="140"/>
      <c r="B5168" s="162"/>
      <c r="C5168" s="162"/>
      <c r="D5168" s="954"/>
      <c r="E5168" s="162"/>
      <c r="F5168" s="163"/>
      <c r="G5168" s="164"/>
      <c r="H5168" s="165"/>
    </row>
    <row r="5169" spans="1:8" ht="15.75" thickBot="1" x14ac:dyDescent="0.3">
      <c r="A5169" s="140"/>
      <c r="B5169" s="143" t="s">
        <v>5410</v>
      </c>
      <c r="C5169" s="144" t="s">
        <v>867</v>
      </c>
      <c r="D5169" s="951" t="s">
        <v>6</v>
      </c>
      <c r="E5169" s="144" t="s">
        <v>870</v>
      </c>
      <c r="F5169" s="144" t="s">
        <v>5411</v>
      </c>
      <c r="G5169" s="145" t="s">
        <v>868</v>
      </c>
      <c r="H5169" s="134"/>
    </row>
    <row r="5170" spans="1:8" x14ac:dyDescent="0.25">
      <c r="A5170" s="140"/>
      <c r="B5170" s="201"/>
      <c r="C5170" s="147"/>
      <c r="D5170" s="211"/>
      <c r="E5170" s="148"/>
      <c r="F5170" s="169"/>
      <c r="G5170" s="367">
        <f>+D5170*E5170*(1+F5170)</f>
        <v>0</v>
      </c>
      <c r="H5170" s="134"/>
    </row>
    <row r="5171" spans="1:8" x14ac:dyDescent="0.25">
      <c r="A5171" s="140"/>
      <c r="B5171" s="196"/>
      <c r="C5171" s="151"/>
      <c r="D5171" s="212"/>
      <c r="E5171" s="148"/>
      <c r="F5171" s="147"/>
      <c r="G5171" s="367"/>
      <c r="H5171" s="134"/>
    </row>
    <row r="5172" spans="1:8" x14ac:dyDescent="0.25">
      <c r="A5172" s="140"/>
      <c r="B5172" s="196"/>
      <c r="C5172" s="151"/>
      <c r="D5172" s="212"/>
      <c r="E5172" s="148"/>
      <c r="F5172" s="151"/>
      <c r="G5172" s="367"/>
      <c r="H5172" s="134"/>
    </row>
    <row r="5173" spans="1:8" x14ac:dyDescent="0.25">
      <c r="A5173" s="140"/>
      <c r="B5173" s="155"/>
      <c r="C5173" s="151"/>
      <c r="D5173" s="212"/>
      <c r="E5173" s="148"/>
      <c r="F5173" s="151"/>
      <c r="G5173" s="367"/>
      <c r="H5173" s="134"/>
    </row>
    <row r="5174" spans="1:8" x14ac:dyDescent="0.25">
      <c r="A5174" s="140"/>
      <c r="B5174" s="155"/>
      <c r="C5174" s="151"/>
      <c r="D5174" s="212"/>
      <c r="E5174" s="148"/>
      <c r="F5174" s="151"/>
      <c r="G5174" s="367"/>
      <c r="H5174" s="134"/>
    </row>
    <row r="5175" spans="1:8" ht="15.75" thickBot="1" x14ac:dyDescent="0.3">
      <c r="A5175" s="140"/>
      <c r="B5175" s="155"/>
      <c r="C5175" s="151"/>
      <c r="D5175" s="212"/>
      <c r="E5175" s="148"/>
      <c r="F5175" s="151"/>
      <c r="G5175" s="367"/>
      <c r="H5175" s="134"/>
    </row>
    <row r="5176" spans="1:8" ht="15.75" thickBot="1" x14ac:dyDescent="0.3">
      <c r="A5176" s="140"/>
      <c r="B5176" s="157"/>
      <c r="C5176" s="159"/>
      <c r="D5176" s="953"/>
      <c r="E5176" s="159"/>
      <c r="F5176" s="158"/>
      <c r="G5176" s="160"/>
      <c r="H5176" s="161">
        <f>+SUM(G5170:G5176)</f>
        <v>0</v>
      </c>
    </row>
    <row r="5177" spans="1:8" ht="15.75" thickBot="1" x14ac:dyDescent="0.3">
      <c r="A5177" s="140"/>
      <c r="B5177" s="162"/>
      <c r="C5177" s="162"/>
      <c r="D5177" s="954"/>
      <c r="E5177" s="162"/>
      <c r="F5177" s="173"/>
      <c r="G5177" s="174"/>
      <c r="H5177" s="165"/>
    </row>
    <row r="5178" spans="1:8" ht="15.75" thickBot="1" x14ac:dyDescent="0.3">
      <c r="A5178" s="140"/>
      <c r="B5178" s="143" t="s">
        <v>5412</v>
      </c>
      <c r="C5178" s="144" t="s">
        <v>5420</v>
      </c>
      <c r="D5178" s="951" t="s">
        <v>5421</v>
      </c>
      <c r="E5178" s="144" t="s">
        <v>5413</v>
      </c>
      <c r="F5178" s="144" t="s">
        <v>5405</v>
      </c>
      <c r="G5178" s="145" t="s">
        <v>868</v>
      </c>
      <c r="H5178" s="134"/>
    </row>
    <row r="5179" spans="1:8" x14ac:dyDescent="0.25">
      <c r="A5179" s="140"/>
      <c r="B5179" s="194" t="s">
        <v>5650</v>
      </c>
      <c r="C5179" s="345">
        <f>+VLOOKUP($B5179,'Mano de obra'!$A$5:$D$26,2,FALSE)</f>
        <v>57454</v>
      </c>
      <c r="D5179" s="345">
        <f>+VLOOKUP($B5179,'Mano de obra'!$A$5:$D$26,3,FALSE)</f>
        <v>35656</v>
      </c>
      <c r="E5179" s="345">
        <f>+VLOOKUP($B5179,'Mano de obra'!$A$5:$D$26,4,FALSE)</f>
        <v>93110</v>
      </c>
      <c r="F5179" s="202">
        <v>100</v>
      </c>
      <c r="G5179" s="351">
        <f>+E5179/F5179</f>
        <v>931.1</v>
      </c>
      <c r="H5179" s="134"/>
    </row>
    <row r="5180" spans="1:8" x14ac:dyDescent="0.25">
      <c r="A5180" s="140"/>
      <c r="B5180" s="194" t="s">
        <v>5949</v>
      </c>
      <c r="C5180" s="345">
        <f>+VLOOKUP($B5180,'Mano de obra'!$A$5:$D$26,2,FALSE)</f>
        <v>44263.8</v>
      </c>
      <c r="D5180" s="345">
        <f>+VLOOKUP($B5180,'Mano de obra'!$A$5:$D$26,3,FALSE)</f>
        <v>27470</v>
      </c>
      <c r="E5180" s="345">
        <f>+VLOOKUP($B5180,'Mano de obra'!$A$5:$D$26,4,FALSE)</f>
        <v>71733.8</v>
      </c>
      <c r="F5180" s="204">
        <v>10</v>
      </c>
      <c r="G5180" s="351">
        <f>+E5180/F5180</f>
        <v>7173.38</v>
      </c>
      <c r="H5180" s="134"/>
    </row>
    <row r="5181" spans="1:8" x14ac:dyDescent="0.25">
      <c r="A5181" s="140"/>
      <c r="B5181" s="195" t="s">
        <v>5635</v>
      </c>
      <c r="C5181" s="345">
        <f>+VLOOKUP($B5181,'Mano de obra'!$A$5:$D$26,2,FALSE)</f>
        <v>24591</v>
      </c>
      <c r="D5181" s="345">
        <f>+VLOOKUP($B5181,'Mano de obra'!$A$5:$D$26,3,FALSE)</f>
        <v>15261</v>
      </c>
      <c r="E5181" s="345">
        <f>+VLOOKUP($B5181,'Mano de obra'!$A$5:$D$26,4,FALSE)</f>
        <v>39852</v>
      </c>
      <c r="F5181" s="205">
        <v>2</v>
      </c>
      <c r="G5181" s="351">
        <f>+E5181/F5181</f>
        <v>19926</v>
      </c>
      <c r="H5181" s="134"/>
    </row>
    <row r="5182" spans="1:8" x14ac:dyDescent="0.25">
      <c r="A5182" s="140"/>
      <c r="B5182" s="155" t="s">
        <v>5648</v>
      </c>
      <c r="C5182" s="345">
        <f>+VLOOKUP($B5182,'Mano de obra'!$A$5:$D$26,2,FALSE)</f>
        <v>22000</v>
      </c>
      <c r="D5182" s="345">
        <f>+VLOOKUP($B5182,'Mano de obra'!$A$5:$D$26,3,FALSE)</f>
        <v>13653</v>
      </c>
      <c r="E5182" s="345">
        <f>+VLOOKUP($B5182,'Mano de obra'!$A$5:$D$26,4,FALSE)</f>
        <v>35653</v>
      </c>
      <c r="F5182" s="205">
        <v>2</v>
      </c>
      <c r="G5182" s="351">
        <f>+E5182/F5182</f>
        <v>17826.5</v>
      </c>
      <c r="H5182" s="134"/>
    </row>
    <row r="5183" spans="1:8" x14ac:dyDescent="0.25">
      <c r="A5183" s="140"/>
      <c r="B5183" s="155"/>
      <c r="C5183" s="152"/>
      <c r="D5183" s="952"/>
      <c r="E5183" s="152"/>
      <c r="F5183" s="151"/>
      <c r="G5183" s="156"/>
      <c r="H5183" s="134"/>
    </row>
    <row r="5184" spans="1:8" ht="15.75" thickBot="1" x14ac:dyDescent="0.3">
      <c r="A5184" s="140"/>
      <c r="B5184" s="155"/>
      <c r="C5184" s="152"/>
      <c r="D5184" s="952"/>
      <c r="E5184" s="152"/>
      <c r="F5184" s="151"/>
      <c r="G5184" s="156"/>
      <c r="H5184" s="134"/>
    </row>
    <row r="5185" spans="1:8" ht="15.75" thickBot="1" x14ac:dyDescent="0.3">
      <c r="A5185" s="140"/>
      <c r="B5185" s="179"/>
      <c r="C5185" s="180"/>
      <c r="D5185" s="956"/>
      <c r="E5185" s="180"/>
      <c r="F5185" s="181"/>
      <c r="G5185" s="182"/>
      <c r="H5185" s="161">
        <f>+SUM(G5179:G5185)</f>
        <v>45856.979999999996</v>
      </c>
    </row>
    <row r="5186" spans="1:8" ht="15.75" thickBot="1" x14ac:dyDescent="0.3">
      <c r="A5186" s="140"/>
      <c r="B5186" s="140"/>
      <c r="C5186" s="140"/>
      <c r="D5186" s="529"/>
      <c r="E5186" s="140"/>
      <c r="F5186" s="141"/>
      <c r="G5186" s="134"/>
      <c r="H5186" s="134"/>
    </row>
    <row r="5187" spans="1:8" ht="15.75" thickBot="1" x14ac:dyDescent="0.3">
      <c r="A5187" s="133" t="s">
        <v>6744</v>
      </c>
      <c r="B5187" s="140"/>
      <c r="C5187" s="140"/>
      <c r="D5187" s="529"/>
      <c r="E5187" s="183" t="s">
        <v>5415</v>
      </c>
      <c r="F5187" s="141"/>
      <c r="G5187" s="134"/>
      <c r="H5187" s="161">
        <f>ROUND(+H5152+H5167+H5176+H5185,0)</f>
        <v>123581</v>
      </c>
    </row>
    <row r="5188" spans="1:8" x14ac:dyDescent="0.25">
      <c r="A5188" s="1441"/>
      <c r="B5188" s="1441"/>
      <c r="C5188" s="1441"/>
      <c r="D5188" s="957"/>
      <c r="E5188" s="1441"/>
      <c r="F5188" s="1441"/>
      <c r="G5188" s="1441"/>
      <c r="H5188" s="1441"/>
    </row>
    <row r="5189" spans="1:8" x14ac:dyDescent="0.25">
      <c r="A5189" s="1441"/>
      <c r="B5189" s="1441"/>
      <c r="C5189" s="1441"/>
      <c r="D5189" s="957"/>
      <c r="E5189" s="1441"/>
      <c r="F5189" s="1441"/>
      <c r="G5189" s="1441"/>
      <c r="H5189" s="1441"/>
    </row>
    <row r="5190" spans="1:8" x14ac:dyDescent="0.25">
      <c r="A5190" s="1441"/>
      <c r="B5190" s="1441"/>
      <c r="C5190" s="1441"/>
      <c r="D5190" s="957"/>
      <c r="E5190" s="1441"/>
      <c r="F5190" s="1441"/>
      <c r="G5190" s="1441"/>
      <c r="H5190" s="1441"/>
    </row>
    <row r="5191" spans="1:8" ht="34.5" customHeight="1" x14ac:dyDescent="0.25">
      <c r="A5191" s="673" t="s">
        <v>5482</v>
      </c>
      <c r="B5191" s="1390" t="str">
        <f>+VLOOKUP(C5191,ListaAPUs!$B:$E,4,FALSE)</f>
        <v>7.1.3</v>
      </c>
      <c r="C5191" s="2449" t="str">
        <f>+ListaAPUs!B160</f>
        <v>Malla De Cerramiento Eslabonada galvanizada  h= 2m en modulo de 3m</v>
      </c>
      <c r="D5191" s="2449"/>
      <c r="E5191" s="2449"/>
      <c r="F5191" s="673" t="s">
        <v>867</v>
      </c>
      <c r="G5191" s="342" t="s">
        <v>5402</v>
      </c>
      <c r="H5191" s="341"/>
    </row>
    <row r="5192" spans="1:8" x14ac:dyDescent="0.25">
      <c r="A5192" s="133"/>
      <c r="B5192" s="8"/>
      <c r="C5192" s="223"/>
      <c r="D5192" s="958"/>
      <c r="E5192" s="223"/>
      <c r="F5192" s="133"/>
      <c r="G5192" s="341"/>
      <c r="H5192" s="341"/>
    </row>
    <row r="5193" spans="1:8" x14ac:dyDescent="0.25">
      <c r="A5193" s="133"/>
      <c r="B5193" s="8"/>
      <c r="C5193" s="8"/>
      <c r="D5193" s="529"/>
      <c r="E5193" s="8"/>
      <c r="F5193" s="8"/>
      <c r="G5193" s="8"/>
      <c r="H5193" s="341"/>
    </row>
    <row r="5194" spans="1:8" ht="15.75" thickBot="1" x14ac:dyDescent="0.3">
      <c r="A5194" s="133"/>
      <c r="B5194" s="8"/>
      <c r="C5194" s="8"/>
      <c r="D5194" s="529"/>
      <c r="E5194" s="8"/>
      <c r="F5194" s="133"/>
      <c r="G5194" s="341"/>
      <c r="H5194" s="341"/>
    </row>
    <row r="5195" spans="1:8" ht="15.75" thickBot="1" x14ac:dyDescent="0.3">
      <c r="A5195" s="133"/>
      <c r="B5195" s="224" t="s">
        <v>5403</v>
      </c>
      <c r="C5195" s="193" t="s">
        <v>867</v>
      </c>
      <c r="D5195" s="951" t="s">
        <v>6</v>
      </c>
      <c r="E5195" s="193" t="s">
        <v>5439</v>
      </c>
      <c r="F5195" s="193" t="s">
        <v>5405</v>
      </c>
      <c r="G5195" s="343" t="s">
        <v>868</v>
      </c>
      <c r="H5195" s="341"/>
    </row>
    <row r="5196" spans="1:8" x14ac:dyDescent="0.25">
      <c r="A5196" s="133"/>
      <c r="B5196" s="381" t="s">
        <v>5934</v>
      </c>
      <c r="C5196" s="382"/>
      <c r="D5196" s="383"/>
      <c r="E5196" s="384">
        <f>+H5237</f>
        <v>45793.793333333328</v>
      </c>
      <c r="F5196" s="469">
        <v>0.2</v>
      </c>
      <c r="G5196" s="467">
        <f>+E5196*F5196</f>
        <v>9158.7586666666666</v>
      </c>
      <c r="H5196" s="341"/>
    </row>
    <row r="5197" spans="1:8" x14ac:dyDescent="0.25">
      <c r="A5197" s="133"/>
      <c r="B5197" s="385" t="s">
        <v>5935</v>
      </c>
      <c r="C5197" s="386" t="s">
        <v>5936</v>
      </c>
      <c r="D5197" s="386">
        <v>1</v>
      </c>
      <c r="E5197" s="980">
        <f>+VLOOKUP(B5197,Insumos!$A$2:$C$331,3,FALSE)</f>
        <v>15825.938</v>
      </c>
      <c r="F5197" s="470">
        <v>15</v>
      </c>
      <c r="G5197" s="468">
        <f>+D5197*E5197/F5197</f>
        <v>1055.0625333333332</v>
      </c>
      <c r="H5197" s="341"/>
    </row>
    <row r="5198" spans="1:8" x14ac:dyDescent="0.25">
      <c r="A5198" s="133"/>
      <c r="B5198" s="195"/>
      <c r="C5198" s="226"/>
      <c r="D5198" s="212"/>
      <c r="E5198" s="345"/>
      <c r="F5198" s="226"/>
      <c r="G5198" s="344"/>
      <c r="H5198" s="341"/>
    </row>
    <row r="5199" spans="1:8" x14ac:dyDescent="0.25">
      <c r="A5199" s="133"/>
      <c r="B5199" s="195"/>
      <c r="C5199" s="226"/>
      <c r="D5199" s="212"/>
      <c r="E5199" s="346"/>
      <c r="F5199" s="226"/>
      <c r="G5199" s="375"/>
      <c r="H5199" s="341"/>
    </row>
    <row r="5200" spans="1:8" x14ac:dyDescent="0.25">
      <c r="A5200" s="133"/>
      <c r="B5200" s="195"/>
      <c r="C5200" s="226"/>
      <c r="D5200" s="952"/>
      <c r="E5200" s="232"/>
      <c r="F5200" s="226"/>
      <c r="G5200" s="344"/>
      <c r="H5200" s="341"/>
    </row>
    <row r="5201" spans="1:8" ht="15.75" thickBot="1" x14ac:dyDescent="0.3">
      <c r="A5201" s="133"/>
      <c r="B5201" s="195"/>
      <c r="C5201" s="226"/>
      <c r="D5201" s="952"/>
      <c r="E5201" s="232"/>
      <c r="F5201" s="226"/>
      <c r="G5201" s="344"/>
      <c r="H5201" s="341"/>
    </row>
    <row r="5202" spans="1:8" ht="15.75" thickBot="1" x14ac:dyDescent="0.3">
      <c r="A5202" s="133"/>
      <c r="B5202" s="233"/>
      <c r="C5202" s="234"/>
      <c r="D5202" s="953"/>
      <c r="E5202" s="234"/>
      <c r="F5202" s="235"/>
      <c r="G5202" s="347"/>
      <c r="H5202" s="348">
        <f>+SUM(G5196:G5202)</f>
        <v>10213.8212</v>
      </c>
    </row>
    <row r="5203" spans="1:8" ht="15.75" thickBot="1" x14ac:dyDescent="0.3">
      <c r="A5203" s="133"/>
      <c r="B5203" s="238"/>
      <c r="C5203" s="238"/>
      <c r="D5203" s="954"/>
      <c r="E5203" s="238"/>
      <c r="F5203" s="239"/>
      <c r="G5203" s="349"/>
      <c r="H5203" s="350"/>
    </row>
    <row r="5204" spans="1:8" ht="15.75" thickBot="1" x14ac:dyDescent="0.3">
      <c r="A5204" s="133"/>
      <c r="B5204" s="224" t="s">
        <v>5408</v>
      </c>
      <c r="C5204" s="193" t="s">
        <v>867</v>
      </c>
      <c r="D5204" s="951" t="s">
        <v>6</v>
      </c>
      <c r="E5204" s="193" t="s">
        <v>870</v>
      </c>
      <c r="F5204" s="193" t="s">
        <v>5409</v>
      </c>
      <c r="G5204" s="343" t="s">
        <v>868</v>
      </c>
      <c r="H5204" s="341"/>
    </row>
    <row r="5205" spans="1:8" s="1522" customFormat="1" x14ac:dyDescent="0.25">
      <c r="A5205" s="1523"/>
      <c r="B5205" s="1584" t="s">
        <v>9037</v>
      </c>
      <c r="C5205" s="1585" t="s">
        <v>5556</v>
      </c>
      <c r="D5205" s="1585">
        <v>3.6</v>
      </c>
      <c r="E5205" s="1586">
        <f>+VLOOKUP(B5205,Insumos!$A$2:$C$331,3,FALSE)</f>
        <v>36569</v>
      </c>
      <c r="F5205" s="677">
        <v>0</v>
      </c>
      <c r="G5205" s="1587">
        <f>+E5205*D5205*(1+F5205)</f>
        <v>131648.4</v>
      </c>
      <c r="H5205" s="341"/>
    </row>
    <row r="5206" spans="1:8" s="1522" customFormat="1" x14ac:dyDescent="0.25">
      <c r="A5206" s="1523"/>
      <c r="B5206" s="689" t="s">
        <v>9038</v>
      </c>
      <c r="C5206" s="386" t="s">
        <v>5542</v>
      </c>
      <c r="D5206" s="386">
        <v>1.4999999999999999E-2</v>
      </c>
      <c r="E5206" s="980">
        <f>+H1480</f>
        <v>472252.10541193333</v>
      </c>
      <c r="F5206" s="1552">
        <v>0</v>
      </c>
      <c r="G5206" s="377">
        <f t="shared" ref="G5206:G5210" si="92">+E5206*D5206*(1+F5206)</f>
        <v>7083.7815811789997</v>
      </c>
      <c r="H5206" s="341"/>
    </row>
    <row r="5207" spans="1:8" x14ac:dyDescent="0.25">
      <c r="A5207" s="133"/>
      <c r="B5207" s="689" t="s">
        <v>9039</v>
      </c>
      <c r="C5207" s="386" t="s">
        <v>8988</v>
      </c>
      <c r="D5207" s="386">
        <v>0.5</v>
      </c>
      <c r="E5207" s="980">
        <v>45000</v>
      </c>
      <c r="F5207" s="1552">
        <v>0</v>
      </c>
      <c r="G5207" s="377">
        <f t="shared" si="92"/>
        <v>22500</v>
      </c>
      <c r="H5207" s="341"/>
    </row>
    <row r="5208" spans="1:8" ht="25.5" x14ac:dyDescent="0.25">
      <c r="A5208" s="133"/>
      <c r="B5208" s="697" t="s">
        <v>9040</v>
      </c>
      <c r="C5208" s="212" t="s">
        <v>8988</v>
      </c>
      <c r="D5208" s="212">
        <v>0.5</v>
      </c>
      <c r="E5208" s="980">
        <v>47000</v>
      </c>
      <c r="F5208" s="1552">
        <v>0</v>
      </c>
      <c r="G5208" s="377">
        <f t="shared" si="92"/>
        <v>23500</v>
      </c>
      <c r="H5208" s="341"/>
    </row>
    <row r="5209" spans="1:8" x14ac:dyDescent="0.25">
      <c r="A5209" s="133"/>
      <c r="B5209" s="689" t="s">
        <v>9041</v>
      </c>
      <c r="C5209" s="386" t="s">
        <v>8988</v>
      </c>
      <c r="D5209" s="212">
        <f>1/4</f>
        <v>0.25</v>
      </c>
      <c r="E5209" s="980">
        <v>58000</v>
      </c>
      <c r="F5209" s="1552">
        <v>0</v>
      </c>
      <c r="G5209" s="377">
        <f t="shared" si="92"/>
        <v>14500</v>
      </c>
      <c r="H5209" s="341"/>
    </row>
    <row r="5210" spans="1:8" x14ac:dyDescent="0.25">
      <c r="A5210" s="133"/>
      <c r="B5210" s="689" t="s">
        <v>9042</v>
      </c>
      <c r="C5210" s="386" t="s">
        <v>8988</v>
      </c>
      <c r="D5210" s="386">
        <v>0.25</v>
      </c>
      <c r="E5210" s="980">
        <v>62000</v>
      </c>
      <c r="F5210" s="1552">
        <v>0</v>
      </c>
      <c r="G5210" s="377">
        <f t="shared" si="92"/>
        <v>15500</v>
      </c>
      <c r="H5210" s="341"/>
    </row>
    <row r="5211" spans="1:8" s="1522" customFormat="1" x14ac:dyDescent="0.25">
      <c r="A5211" s="1523"/>
      <c r="B5211" s="689"/>
      <c r="C5211" s="386"/>
      <c r="D5211" s="386"/>
      <c r="E5211" s="980"/>
      <c r="F5211" s="1552"/>
      <c r="G5211" s="377"/>
      <c r="H5211" s="341"/>
    </row>
    <row r="5212" spans="1:8" s="1522" customFormat="1" x14ac:dyDescent="0.25">
      <c r="A5212" s="1523"/>
      <c r="B5212" s="689"/>
      <c r="C5212" s="386"/>
      <c r="D5212" s="386"/>
      <c r="E5212" s="980"/>
      <c r="F5212" s="1552"/>
      <c r="G5212" s="377"/>
      <c r="H5212" s="341"/>
    </row>
    <row r="5213" spans="1:8" s="1522" customFormat="1" x14ac:dyDescent="0.25">
      <c r="A5213" s="1523"/>
      <c r="B5213" s="689"/>
      <c r="C5213" s="386"/>
      <c r="D5213" s="386"/>
      <c r="E5213" s="980"/>
      <c r="F5213" s="1552"/>
      <c r="G5213" s="377"/>
      <c r="H5213" s="341"/>
    </row>
    <row r="5214" spans="1:8" s="1522" customFormat="1" x14ac:dyDescent="0.25">
      <c r="A5214" s="1523"/>
      <c r="B5214" s="689"/>
      <c r="C5214" s="386"/>
      <c r="D5214" s="386"/>
      <c r="E5214" s="980"/>
      <c r="F5214" s="1552"/>
      <c r="G5214" s="377"/>
      <c r="H5214" s="341"/>
    </row>
    <row r="5215" spans="1:8" s="1522" customFormat="1" x14ac:dyDescent="0.25">
      <c r="A5215" s="1523"/>
      <c r="B5215" s="689"/>
      <c r="C5215" s="386"/>
      <c r="D5215" s="386"/>
      <c r="E5215" s="980"/>
      <c r="F5215" s="1552"/>
      <c r="G5215" s="377"/>
      <c r="H5215" s="341"/>
    </row>
    <row r="5216" spans="1:8" s="1522" customFormat="1" x14ac:dyDescent="0.25">
      <c r="A5216" s="1523"/>
      <c r="B5216" s="689"/>
      <c r="C5216" s="386"/>
      <c r="D5216" s="386"/>
      <c r="E5216" s="980"/>
      <c r="F5216" s="1552"/>
      <c r="G5216" s="377"/>
      <c r="H5216" s="341"/>
    </row>
    <row r="5217" spans="1:9" x14ac:dyDescent="0.25">
      <c r="A5217" s="133"/>
      <c r="B5217" s="444"/>
      <c r="C5217" s="687"/>
      <c r="D5217" s="687"/>
      <c r="E5217" s="980"/>
      <c r="F5217" s="396"/>
      <c r="G5217" s="377"/>
      <c r="H5217" s="341"/>
    </row>
    <row r="5218" spans="1:9" x14ac:dyDescent="0.25">
      <c r="A5218" s="133"/>
      <c r="B5218" s="444"/>
      <c r="C5218" s="687"/>
      <c r="D5218" s="687"/>
      <c r="E5218" s="980"/>
      <c r="F5218" s="396"/>
      <c r="G5218" s="377"/>
      <c r="H5218" s="341"/>
    </row>
    <row r="5219" spans="1:9" ht="15.75" thickBot="1" x14ac:dyDescent="0.3">
      <c r="A5219" s="133"/>
      <c r="B5219" s="444"/>
      <c r="C5219" s="687"/>
      <c r="D5219" s="687"/>
      <c r="E5219" s="980"/>
      <c r="F5219" s="396"/>
      <c r="G5219" s="377"/>
      <c r="H5219" s="341"/>
    </row>
    <row r="5220" spans="1:9" ht="15.75" thickBot="1" x14ac:dyDescent="0.3">
      <c r="A5220" s="133"/>
      <c r="B5220" s="1588"/>
      <c r="C5220" s="1589"/>
      <c r="D5220" s="1589"/>
      <c r="E5220" s="1590"/>
      <c r="F5220" s="1591"/>
      <c r="G5220" s="1592"/>
      <c r="H5220" s="358">
        <f>+SUM(G5205:G5220)</f>
        <v>214732.181581179</v>
      </c>
      <c r="I5220">
        <v>684785.38320265792</v>
      </c>
    </row>
    <row r="5221" spans="1:9" ht="15.75" thickBot="1" x14ac:dyDescent="0.3">
      <c r="A5221" s="133"/>
      <c r="B5221" s="238"/>
      <c r="C5221" s="238"/>
      <c r="D5221" s="954"/>
      <c r="E5221" s="238"/>
      <c r="F5221" s="239"/>
      <c r="G5221" s="349"/>
      <c r="H5221" s="350"/>
    </row>
    <row r="5222" spans="1:9" ht="15.75" thickBot="1" x14ac:dyDescent="0.3">
      <c r="A5222" s="133"/>
      <c r="B5222" s="224" t="s">
        <v>5410</v>
      </c>
      <c r="C5222" s="193" t="s">
        <v>867</v>
      </c>
      <c r="D5222" s="951" t="s">
        <v>6</v>
      </c>
      <c r="E5222" s="193" t="s">
        <v>870</v>
      </c>
      <c r="F5222" s="193" t="s">
        <v>5411</v>
      </c>
      <c r="G5222" s="343" t="s">
        <v>868</v>
      </c>
      <c r="H5222" s="341"/>
    </row>
    <row r="5223" spans="1:9" x14ac:dyDescent="0.25">
      <c r="A5223" s="133"/>
      <c r="B5223" s="245"/>
      <c r="C5223" s="202"/>
      <c r="D5223" s="211"/>
      <c r="E5223" s="366"/>
      <c r="F5223" s="202"/>
      <c r="G5223" s="354"/>
      <c r="H5223" s="355"/>
    </row>
    <row r="5224" spans="1:9" x14ac:dyDescent="0.25">
      <c r="A5224" s="133"/>
      <c r="B5224" s="247"/>
      <c r="C5224" s="202"/>
      <c r="D5224" s="211"/>
      <c r="E5224" s="359"/>
      <c r="F5224" s="202"/>
      <c r="G5224" s="351"/>
      <c r="H5224" s="341"/>
    </row>
    <row r="5225" spans="1:9" x14ac:dyDescent="0.25">
      <c r="A5225" s="133"/>
      <c r="B5225" s="247"/>
      <c r="C5225" s="202"/>
      <c r="D5225" s="212"/>
      <c r="E5225" s="232"/>
      <c r="F5225" s="226"/>
      <c r="G5225" s="344"/>
      <c r="H5225" s="341"/>
    </row>
    <row r="5226" spans="1:9" x14ac:dyDescent="0.25">
      <c r="A5226" s="133"/>
      <c r="B5226" s="194"/>
      <c r="C5226" s="232"/>
      <c r="D5226" s="952"/>
      <c r="E5226" s="232"/>
      <c r="F5226" s="226"/>
      <c r="G5226" s="344"/>
      <c r="H5226" s="341"/>
    </row>
    <row r="5227" spans="1:9" ht="15.75" thickBot="1" x14ac:dyDescent="0.3">
      <c r="A5227" s="133"/>
      <c r="B5227" s="195"/>
      <c r="C5227" s="232"/>
      <c r="D5227" s="952"/>
      <c r="E5227" s="232"/>
      <c r="F5227" s="226"/>
      <c r="G5227" s="344"/>
      <c r="H5227" s="341"/>
    </row>
    <row r="5228" spans="1:9" ht="15.75" thickBot="1" x14ac:dyDescent="0.3">
      <c r="A5228" s="133"/>
      <c r="B5228" s="233"/>
      <c r="C5228" s="234"/>
      <c r="D5228" s="953"/>
      <c r="E5228" s="234"/>
      <c r="F5228" s="235"/>
      <c r="G5228" s="347"/>
      <c r="H5228" s="348">
        <f>+SUM(G5223:G5228)</f>
        <v>0</v>
      </c>
    </row>
    <row r="5229" spans="1:9" ht="15.75" thickBot="1" x14ac:dyDescent="0.3">
      <c r="A5229" s="133"/>
      <c r="B5229" s="238"/>
      <c r="C5229" s="238"/>
      <c r="D5229" s="954"/>
      <c r="E5229" s="238"/>
      <c r="F5229" s="249"/>
      <c r="G5229" s="356"/>
      <c r="H5229" s="350"/>
    </row>
    <row r="5230" spans="1:9" ht="15.75" thickBot="1" x14ac:dyDescent="0.3">
      <c r="A5230" s="133"/>
      <c r="B5230" s="224" t="s">
        <v>5412</v>
      </c>
      <c r="C5230" s="193" t="s">
        <v>5420</v>
      </c>
      <c r="D5230" s="951" t="s">
        <v>5421</v>
      </c>
      <c r="E5230" s="193" t="s">
        <v>5413</v>
      </c>
      <c r="F5230" s="193" t="s">
        <v>5405</v>
      </c>
      <c r="G5230" s="343" t="s">
        <v>868</v>
      </c>
      <c r="H5230" s="341"/>
    </row>
    <row r="5231" spans="1:9" x14ac:dyDescent="0.25">
      <c r="A5231" s="133"/>
      <c r="B5231" s="381" t="s">
        <v>5948</v>
      </c>
      <c r="C5231" s="345">
        <f>+VLOOKUP($B5231,'Mano de obra'!$A$5:$D$26,2,FALSE)</f>
        <v>57455</v>
      </c>
      <c r="D5231" s="345">
        <f>+VLOOKUP($B5231,'Mano de obra'!$A$5:$D$26,3,FALSE)</f>
        <v>35656</v>
      </c>
      <c r="E5231" s="345">
        <f>+VLOOKUP($B5231,'Mano de obra'!$A$5:$D$26,4,FALSE)</f>
        <v>93111</v>
      </c>
      <c r="F5231" s="204">
        <v>15</v>
      </c>
      <c r="G5231" s="351">
        <f>+E5231/F5231</f>
        <v>6207.4</v>
      </c>
      <c r="H5231" s="341"/>
    </row>
    <row r="5232" spans="1:9" x14ac:dyDescent="0.25">
      <c r="A5232" s="133"/>
      <c r="B5232" s="385" t="s">
        <v>5949</v>
      </c>
      <c r="C5232" s="345">
        <f>+VLOOKUP($B5232,'Mano de obra'!$A$5:$D$26,2,FALSE)</f>
        <v>44263.8</v>
      </c>
      <c r="D5232" s="345">
        <f>+VLOOKUP($B5232,'Mano de obra'!$A$5:$D$26,3,FALSE)</f>
        <v>27470</v>
      </c>
      <c r="E5232" s="345">
        <f>+VLOOKUP($B5232,'Mano de obra'!$A$5:$D$26,4,FALSE)</f>
        <v>71733.8</v>
      </c>
      <c r="F5232" s="204">
        <v>3</v>
      </c>
      <c r="G5232" s="351">
        <f>+E5232/F5232</f>
        <v>23911.266666666666</v>
      </c>
      <c r="H5232" s="341"/>
    </row>
    <row r="5233" spans="1:8" x14ac:dyDescent="0.25">
      <c r="A5233" s="133"/>
      <c r="B5233" s="385" t="s">
        <v>5635</v>
      </c>
      <c r="C5233" s="345">
        <f>+VLOOKUP($B5233,'Mano de obra'!$A$5:$D$26,2,FALSE)</f>
        <v>24591</v>
      </c>
      <c r="D5233" s="345">
        <f>+VLOOKUP($B5233,'Mano de obra'!$A$5:$D$26,3,FALSE)</f>
        <v>15261</v>
      </c>
      <c r="E5233" s="345">
        <f>+VLOOKUP($B5233,'Mano de obra'!$A$5:$D$26,4,FALSE)</f>
        <v>39852</v>
      </c>
      <c r="F5233" s="204">
        <v>3</v>
      </c>
      <c r="G5233" s="351">
        <f>+E5233/F5233</f>
        <v>13284</v>
      </c>
      <c r="H5233" s="341"/>
    </row>
    <row r="5234" spans="1:8" x14ac:dyDescent="0.25">
      <c r="A5234" s="133"/>
      <c r="B5234" s="385" t="s">
        <v>5951</v>
      </c>
      <c r="C5234" s="345">
        <f>+VLOOKUP($B5234,'Mano de obra'!$A$5:$D$26,2,FALSE)</f>
        <v>44263.8</v>
      </c>
      <c r="D5234" s="345">
        <f>+VLOOKUP($B5234,'Mano de obra'!$A$5:$D$26,3,FALSE)</f>
        <v>27470</v>
      </c>
      <c r="E5234" s="345">
        <f>+VLOOKUP($B5234,'Mano de obra'!$A$5:$D$26,4,FALSE)</f>
        <v>71733.8</v>
      </c>
      <c r="F5234" s="204">
        <v>30</v>
      </c>
      <c r="G5234" s="351">
        <f>+E5234/F5234</f>
        <v>2391.1266666666666</v>
      </c>
      <c r="H5234" s="341"/>
    </row>
    <row r="5235" spans="1:8" x14ac:dyDescent="0.25">
      <c r="A5235" s="133"/>
      <c r="B5235" s="195"/>
      <c r="C5235" s="232"/>
      <c r="D5235" s="952"/>
      <c r="E5235" s="232"/>
      <c r="F5235" s="226"/>
      <c r="G5235" s="344"/>
      <c r="H5235" s="341"/>
    </row>
    <row r="5236" spans="1:8" ht="15.75" thickBot="1" x14ac:dyDescent="0.3">
      <c r="A5236" s="133"/>
      <c r="B5236" s="195"/>
      <c r="C5236" s="232"/>
      <c r="D5236" s="952"/>
      <c r="E5236" s="232"/>
      <c r="F5236" s="226"/>
      <c r="G5236" s="344"/>
      <c r="H5236" s="341"/>
    </row>
    <row r="5237" spans="1:8" ht="15.75" thickBot="1" x14ac:dyDescent="0.3">
      <c r="A5237" s="133"/>
      <c r="B5237" s="251"/>
      <c r="C5237" s="252"/>
      <c r="D5237" s="956"/>
      <c r="E5237" s="252"/>
      <c r="F5237" s="253"/>
      <c r="G5237" s="357"/>
      <c r="H5237" s="348">
        <f>+SUM(G5231:G5237)</f>
        <v>45793.793333333328</v>
      </c>
    </row>
    <row r="5238" spans="1:8" ht="15.75" thickBot="1" x14ac:dyDescent="0.3">
      <c r="A5238" s="133"/>
      <c r="B5238" s="8"/>
      <c r="C5238" s="8"/>
      <c r="D5238" s="529"/>
      <c r="E5238" s="8"/>
      <c r="F5238" s="133"/>
      <c r="G5238" s="341"/>
      <c r="H5238" s="341"/>
    </row>
    <row r="5239" spans="1:8" ht="15.75" thickBot="1" x14ac:dyDescent="0.3">
      <c r="A5239" s="133" t="s">
        <v>6744</v>
      </c>
      <c r="B5239" s="8"/>
      <c r="C5239" s="8"/>
      <c r="D5239" s="529"/>
      <c r="E5239" s="223" t="s">
        <v>5415</v>
      </c>
      <c r="F5239" s="133"/>
      <c r="G5239" s="341"/>
      <c r="H5239" s="983">
        <f>ROUND(+H5237+H5228+H5220+H5202,0)</f>
        <v>270740</v>
      </c>
    </row>
    <row r="5240" spans="1:8" x14ac:dyDescent="0.25">
      <c r="A5240" s="1441"/>
      <c r="B5240" s="1441"/>
      <c r="C5240" s="1441"/>
      <c r="D5240" s="957"/>
      <c r="E5240" s="1441"/>
      <c r="F5240" s="1441"/>
      <c r="G5240" s="1441"/>
      <c r="H5240" s="1441"/>
    </row>
    <row r="5241" spans="1:8" x14ac:dyDescent="0.25">
      <c r="A5241" s="1441"/>
      <c r="B5241" s="1441"/>
      <c r="C5241" s="1441"/>
      <c r="D5241" s="957"/>
      <c r="E5241" s="1441"/>
      <c r="F5241" s="1441"/>
      <c r="G5241" s="1441"/>
      <c r="H5241" s="675"/>
    </row>
    <row r="5242" spans="1:8" x14ac:dyDescent="0.25">
      <c r="A5242" s="1441"/>
      <c r="B5242" s="1441"/>
      <c r="C5242" s="1441"/>
      <c r="D5242" s="957"/>
      <c r="E5242" s="1441"/>
      <c r="F5242" s="1441"/>
      <c r="G5242" s="1441"/>
      <c r="H5242" s="1441"/>
    </row>
    <row r="5243" spans="1:8" ht="30" customHeight="1" x14ac:dyDescent="0.25">
      <c r="A5243" s="593" t="s">
        <v>5952</v>
      </c>
      <c r="B5243" s="1390" t="str">
        <f>+VLOOKUP(C5243,ListaAPUs!$B:$E,4,FALSE)</f>
        <v>7.1.5</v>
      </c>
      <c r="C5243" s="2445" t="str">
        <f>+ListaAPUs!B162</f>
        <v>Escalones en varilla galvanizada de 3/4 " Para Escalera de Gato</v>
      </c>
      <c r="D5243" s="2445"/>
      <c r="E5243" s="2445"/>
      <c r="F5243" s="890" t="s">
        <v>867</v>
      </c>
      <c r="G5243" s="139" t="s">
        <v>5424</v>
      </c>
      <c r="H5243" s="134"/>
    </row>
    <row r="5244" spans="1:8" x14ac:dyDescent="0.25">
      <c r="A5244" s="404"/>
      <c r="B5244" s="405"/>
      <c r="C5244" s="1469"/>
      <c r="D5244" s="973"/>
      <c r="E5244" s="1469"/>
      <c r="F5244" s="400"/>
      <c r="G5244" s="142"/>
      <c r="H5244" s="134"/>
    </row>
    <row r="5245" spans="1:8" ht="15.75" thickBot="1" x14ac:dyDescent="0.3">
      <c r="A5245" s="397"/>
      <c r="B5245" s="397"/>
      <c r="C5245" s="397"/>
      <c r="D5245" s="430"/>
      <c r="E5245" s="397"/>
      <c r="F5245" s="400"/>
      <c r="G5245" s="401"/>
      <c r="H5245" s="401"/>
    </row>
    <row r="5246" spans="1:8" ht="15.75" thickBot="1" x14ac:dyDescent="0.3">
      <c r="A5246" s="397"/>
      <c r="B5246" s="407" t="s">
        <v>5403</v>
      </c>
      <c r="C5246" s="408" t="s">
        <v>867</v>
      </c>
      <c r="D5246" s="408" t="s">
        <v>6</v>
      </c>
      <c r="E5246" s="408" t="s">
        <v>5439</v>
      </c>
      <c r="F5246" s="408" t="s">
        <v>5405</v>
      </c>
      <c r="G5246" s="409" t="s">
        <v>868</v>
      </c>
      <c r="H5246" s="401"/>
    </row>
    <row r="5247" spans="1:8" x14ac:dyDescent="0.25">
      <c r="A5247" s="397"/>
      <c r="B5247" s="381" t="s">
        <v>5934</v>
      </c>
      <c r="C5247" s="382"/>
      <c r="D5247" s="383"/>
      <c r="E5247" s="384">
        <f>+H5284</f>
        <v>5110.0006666666668</v>
      </c>
      <c r="F5247" s="383">
        <v>0.05</v>
      </c>
      <c r="G5247" s="410">
        <f>+E5247*F5247</f>
        <v>255.50003333333336</v>
      </c>
      <c r="H5247" s="401"/>
    </row>
    <row r="5248" spans="1:8" x14ac:dyDescent="0.25">
      <c r="A5248" s="397"/>
      <c r="B5248" s="385"/>
      <c r="C5248" s="386"/>
      <c r="D5248" s="387"/>
      <c r="E5248" s="388"/>
      <c r="F5248" s="387"/>
      <c r="G5248" s="411"/>
      <c r="H5248" s="401"/>
    </row>
    <row r="5249" spans="1:8" x14ac:dyDescent="0.25">
      <c r="A5249" s="397"/>
      <c r="B5249" s="385"/>
      <c r="C5249" s="386"/>
      <c r="D5249" s="387"/>
      <c r="E5249" s="388"/>
      <c r="F5249" s="387"/>
      <c r="G5249" s="411"/>
      <c r="H5249" s="401"/>
    </row>
    <row r="5250" spans="1:8" x14ac:dyDescent="0.25">
      <c r="A5250" s="397"/>
      <c r="B5250" s="385"/>
      <c r="C5250" s="386"/>
      <c r="D5250" s="387"/>
      <c r="E5250" s="388"/>
      <c r="F5250" s="387"/>
      <c r="G5250" s="411"/>
      <c r="H5250" s="401"/>
    </row>
    <row r="5251" spans="1:8" x14ac:dyDescent="0.25">
      <c r="A5251" s="397"/>
      <c r="B5251" s="385"/>
      <c r="C5251" s="386"/>
      <c r="D5251" s="387"/>
      <c r="E5251" s="388"/>
      <c r="F5251" s="387"/>
      <c r="G5251" s="411"/>
      <c r="H5251" s="401"/>
    </row>
    <row r="5252" spans="1:8" ht="15.75" thickBot="1" x14ac:dyDescent="0.3">
      <c r="A5252" s="397"/>
      <c r="B5252" s="385"/>
      <c r="C5252" s="386"/>
      <c r="D5252" s="387"/>
      <c r="E5252" s="387"/>
      <c r="F5252" s="387"/>
      <c r="G5252" s="411"/>
      <c r="H5252" s="401"/>
    </row>
    <row r="5253" spans="1:8" ht="15.75" thickBot="1" x14ac:dyDescent="0.3">
      <c r="A5253" s="397"/>
      <c r="B5253" s="412"/>
      <c r="C5253" s="413"/>
      <c r="D5253" s="414"/>
      <c r="E5253" s="414"/>
      <c r="F5253" s="414"/>
      <c r="G5253" s="415"/>
      <c r="H5253" s="416">
        <f>+SUM(G5247:G5253)</f>
        <v>255.50003333333336</v>
      </c>
    </row>
    <row r="5254" spans="1:8" ht="15.75" thickBot="1" x14ac:dyDescent="0.3">
      <c r="A5254" s="397"/>
      <c r="B5254" s="417"/>
      <c r="C5254" s="418"/>
      <c r="D5254" s="417"/>
      <c r="E5254" s="417"/>
      <c r="F5254" s="417"/>
      <c r="G5254" s="419"/>
      <c r="H5254" s="420"/>
    </row>
    <row r="5255" spans="1:8" ht="15.75" thickBot="1" x14ac:dyDescent="0.3">
      <c r="A5255" s="397"/>
      <c r="B5255" s="407" t="s">
        <v>5408</v>
      </c>
      <c r="C5255" s="408" t="s">
        <v>867</v>
      </c>
      <c r="D5255" s="408" t="s">
        <v>6</v>
      </c>
      <c r="E5255" s="408" t="s">
        <v>870</v>
      </c>
      <c r="F5255" s="408" t="s">
        <v>5409</v>
      </c>
      <c r="G5255" s="409" t="s">
        <v>868</v>
      </c>
      <c r="H5255" s="401"/>
    </row>
    <row r="5256" spans="1:8" x14ac:dyDescent="0.25">
      <c r="A5256" s="397"/>
      <c r="B5256" s="734" t="s">
        <v>6904</v>
      </c>
      <c r="C5256" s="211" t="s">
        <v>5424</v>
      </c>
      <c r="D5256" s="211">
        <v>1</v>
      </c>
      <c r="E5256" s="980">
        <f>+VLOOKUP(B5256,Insumos!$A$2:$C$331,3,FALSE)</f>
        <v>24090</v>
      </c>
      <c r="F5256" s="169">
        <v>0</v>
      </c>
      <c r="G5256" s="172">
        <f>+D5256*E5256*(1+F5256)</f>
        <v>24090</v>
      </c>
      <c r="H5256" s="401"/>
    </row>
    <row r="5257" spans="1:8" x14ac:dyDescent="0.25">
      <c r="A5257" s="397"/>
      <c r="B5257" s="391"/>
      <c r="C5257" s="212"/>
      <c r="D5257" s="212"/>
      <c r="E5257" s="346"/>
      <c r="F5257" s="169"/>
      <c r="G5257" s="172"/>
      <c r="H5257" s="401"/>
    </row>
    <row r="5258" spans="1:8" x14ac:dyDescent="0.25">
      <c r="A5258" s="397"/>
      <c r="B5258" s="385"/>
      <c r="C5258" s="386"/>
      <c r="D5258" s="386"/>
      <c r="E5258" s="384"/>
      <c r="F5258" s="169"/>
      <c r="G5258" s="410"/>
      <c r="H5258" s="401"/>
    </row>
    <row r="5259" spans="1:8" x14ac:dyDescent="0.25">
      <c r="A5259" s="404"/>
      <c r="B5259" s="391"/>
      <c r="C5259" s="212"/>
      <c r="D5259" s="212"/>
      <c r="E5259" s="395"/>
      <c r="F5259" s="169"/>
      <c r="G5259" s="172"/>
      <c r="H5259" s="134"/>
    </row>
    <row r="5260" spans="1:8" x14ac:dyDescent="0.25">
      <c r="A5260" s="397"/>
      <c r="B5260" s="385"/>
      <c r="C5260" s="386"/>
      <c r="D5260" s="386"/>
      <c r="E5260" s="384"/>
      <c r="F5260" s="169"/>
      <c r="G5260" s="410"/>
      <c r="H5260" s="401"/>
    </row>
    <row r="5261" spans="1:8" x14ac:dyDescent="0.25">
      <c r="A5261" s="397"/>
      <c r="B5261" s="385"/>
      <c r="C5261" s="386"/>
      <c r="D5261" s="386"/>
      <c r="E5261" s="421"/>
      <c r="F5261" s="169"/>
      <c r="G5261" s="410"/>
      <c r="H5261" s="401"/>
    </row>
    <row r="5262" spans="1:8" x14ac:dyDescent="0.25">
      <c r="A5262" s="397"/>
      <c r="B5262" s="385"/>
      <c r="C5262" s="386"/>
      <c r="D5262" s="386"/>
      <c r="E5262" s="388"/>
      <c r="F5262" s="396"/>
      <c r="G5262" s="410"/>
      <c r="H5262" s="401"/>
    </row>
    <row r="5263" spans="1:8" x14ac:dyDescent="0.25">
      <c r="A5263" s="397"/>
      <c r="B5263" s="385"/>
      <c r="C5263" s="386"/>
      <c r="D5263" s="386"/>
      <c r="E5263" s="388"/>
      <c r="F5263" s="396"/>
      <c r="G5263" s="410"/>
      <c r="H5263" s="401"/>
    </row>
    <row r="5264" spans="1:8" x14ac:dyDescent="0.25">
      <c r="A5264" s="397"/>
      <c r="B5264" s="385"/>
      <c r="C5264" s="386"/>
      <c r="D5264" s="386"/>
      <c r="E5264" s="388"/>
      <c r="F5264" s="396"/>
      <c r="G5264" s="410"/>
      <c r="H5264" s="401"/>
    </row>
    <row r="5265" spans="1:8" x14ac:dyDescent="0.25">
      <c r="A5265" s="397"/>
      <c r="B5265" s="385"/>
      <c r="C5265" s="386"/>
      <c r="D5265" s="387"/>
      <c r="E5265" s="387"/>
      <c r="F5265" s="387"/>
      <c r="G5265" s="411"/>
      <c r="H5265" s="401"/>
    </row>
    <row r="5266" spans="1:8" ht="15.75" thickBot="1" x14ac:dyDescent="0.3">
      <c r="A5266" s="397"/>
      <c r="B5266" s="385"/>
      <c r="C5266" s="386"/>
      <c r="D5266" s="386"/>
      <c r="E5266" s="388"/>
      <c r="F5266" s="596"/>
      <c r="G5266" s="410"/>
      <c r="H5266" s="401"/>
    </row>
    <row r="5267" spans="1:8" ht="15.75" thickBot="1" x14ac:dyDescent="0.3">
      <c r="A5267" s="397"/>
      <c r="B5267" s="412"/>
      <c r="C5267" s="413"/>
      <c r="D5267" s="413"/>
      <c r="E5267" s="423"/>
      <c r="F5267" s="597"/>
      <c r="G5267" s="410"/>
      <c r="H5267" s="416">
        <f>+SUM(G5256:G5267)</f>
        <v>24090</v>
      </c>
    </row>
    <row r="5268" spans="1:8" ht="15.75" thickBot="1" x14ac:dyDescent="0.3">
      <c r="A5268" s="397"/>
      <c r="B5268" s="417"/>
      <c r="C5268" s="417"/>
      <c r="D5268" s="417"/>
      <c r="E5268" s="417"/>
      <c r="F5268" s="417"/>
      <c r="G5268" s="419"/>
      <c r="H5268" s="420"/>
    </row>
    <row r="5269" spans="1:8" ht="15.75" thickBot="1" x14ac:dyDescent="0.3">
      <c r="A5269" s="397"/>
      <c r="B5269" s="407" t="s">
        <v>5410</v>
      </c>
      <c r="C5269" s="408" t="s">
        <v>867</v>
      </c>
      <c r="D5269" s="408" t="s">
        <v>6</v>
      </c>
      <c r="E5269" s="408" t="s">
        <v>870</v>
      </c>
      <c r="F5269" s="408" t="s">
        <v>5411</v>
      </c>
      <c r="G5269" s="409" t="s">
        <v>868</v>
      </c>
      <c r="H5269" s="401"/>
    </row>
    <row r="5270" spans="1:8" x14ac:dyDescent="0.25">
      <c r="A5270" s="397"/>
      <c r="B5270" s="579"/>
      <c r="C5270" s="580"/>
      <c r="D5270" s="580"/>
      <c r="E5270" s="580"/>
      <c r="F5270" s="580"/>
      <c r="G5270" s="581"/>
      <c r="H5270" s="401"/>
    </row>
    <row r="5271" spans="1:8" x14ac:dyDescent="0.25">
      <c r="A5271" s="397"/>
      <c r="B5271" s="579"/>
      <c r="C5271" s="580"/>
      <c r="D5271" s="580"/>
      <c r="E5271" s="580"/>
      <c r="F5271" s="580"/>
      <c r="G5271" s="581"/>
      <c r="H5271" s="401"/>
    </row>
    <row r="5272" spans="1:8" x14ac:dyDescent="0.25">
      <c r="A5272" s="397"/>
      <c r="B5272" s="579"/>
      <c r="C5272" s="580"/>
      <c r="D5272" s="580"/>
      <c r="E5272" s="580"/>
      <c r="F5272" s="580"/>
      <c r="G5272" s="581"/>
      <c r="H5272" s="401"/>
    </row>
    <row r="5273" spans="1:8" x14ac:dyDescent="0.25">
      <c r="A5273" s="397"/>
      <c r="B5273" s="579"/>
      <c r="C5273" s="580"/>
      <c r="D5273" s="580"/>
      <c r="E5273" s="580"/>
      <c r="F5273" s="580"/>
      <c r="G5273" s="581"/>
      <c r="H5273" s="401"/>
    </row>
    <row r="5274" spans="1:8" ht="15.75" thickBot="1" x14ac:dyDescent="0.3">
      <c r="A5274" s="397"/>
      <c r="B5274" s="579"/>
      <c r="C5274" s="580"/>
      <c r="D5274" s="580"/>
      <c r="E5274" s="580"/>
      <c r="F5274" s="580"/>
      <c r="G5274" s="581"/>
      <c r="H5274" s="401"/>
    </row>
    <row r="5275" spans="1:8" ht="15.75" thickBot="1" x14ac:dyDescent="0.3">
      <c r="A5275" s="397"/>
      <c r="B5275" s="412"/>
      <c r="C5275" s="414"/>
      <c r="D5275" s="414"/>
      <c r="E5275" s="414"/>
      <c r="F5275" s="414"/>
      <c r="G5275" s="415"/>
      <c r="H5275" s="416">
        <f>+SUM(G5275:G5275)</f>
        <v>0</v>
      </c>
    </row>
    <row r="5276" spans="1:8" ht="15.75" thickBot="1" x14ac:dyDescent="0.3">
      <c r="A5276" s="397"/>
      <c r="B5276" s="417"/>
      <c r="C5276" s="417"/>
      <c r="D5276" s="417"/>
      <c r="E5276" s="417"/>
      <c r="F5276" s="425"/>
      <c r="G5276" s="426"/>
      <c r="H5276" s="420"/>
    </row>
    <row r="5277" spans="1:8" ht="15.75" thickBot="1" x14ac:dyDescent="0.3">
      <c r="A5277" s="397"/>
      <c r="B5277" s="407" t="s">
        <v>5412</v>
      </c>
      <c r="C5277" s="408" t="s">
        <v>5420</v>
      </c>
      <c r="D5277" s="408" t="s">
        <v>5421</v>
      </c>
      <c r="E5277" s="408" t="s">
        <v>5413</v>
      </c>
      <c r="F5277" s="408" t="s">
        <v>5405</v>
      </c>
      <c r="G5277" s="409" t="s">
        <v>868</v>
      </c>
      <c r="H5277" s="401"/>
    </row>
    <row r="5278" spans="1:8" x14ac:dyDescent="0.25">
      <c r="A5278" s="397"/>
      <c r="B5278" s="381" t="s">
        <v>5948</v>
      </c>
      <c r="C5278" s="345">
        <f>+VLOOKUP($B5278,'Mano de obra'!$A$5:$D$26,2,FALSE)</f>
        <v>57455</v>
      </c>
      <c r="D5278" s="345">
        <f>+VLOOKUP($B5278,'Mano de obra'!$A$5:$D$26,3,FALSE)</f>
        <v>35656</v>
      </c>
      <c r="E5278" s="345">
        <f>+VLOOKUP($B5278,'Mano de obra'!$A$5:$D$26,4,FALSE)</f>
        <v>93111</v>
      </c>
      <c r="F5278" s="382">
        <v>1500</v>
      </c>
      <c r="G5278" s="410">
        <f>+E5278/F5278</f>
        <v>62.073999999999998</v>
      </c>
      <c r="H5278" s="401"/>
    </row>
    <row r="5279" spans="1:8" x14ac:dyDescent="0.25">
      <c r="A5279" s="397"/>
      <c r="B5279" s="385" t="s">
        <v>5949</v>
      </c>
      <c r="C5279" s="345">
        <f>+VLOOKUP($B5279,'Mano de obra'!$A$5:$D$26,2,FALSE)</f>
        <v>44263.8</v>
      </c>
      <c r="D5279" s="345">
        <f>+VLOOKUP($B5279,'Mano de obra'!$A$5:$D$26,3,FALSE)</f>
        <v>27470</v>
      </c>
      <c r="E5279" s="345">
        <f>+VLOOKUP($B5279,'Mano de obra'!$A$5:$D$26,4,FALSE)</f>
        <v>71733.8</v>
      </c>
      <c r="F5279" s="382">
        <v>30</v>
      </c>
      <c r="G5279" s="410">
        <f>+E5279/F5279</f>
        <v>2391.1266666666666</v>
      </c>
      <c r="H5279" s="401"/>
    </row>
    <row r="5280" spans="1:8" x14ac:dyDescent="0.25">
      <c r="A5280" s="397"/>
      <c r="B5280" s="385" t="s">
        <v>5635</v>
      </c>
      <c r="C5280" s="345">
        <f>+VLOOKUP($B5280,'Mano de obra'!$A$5:$D$26,2,FALSE)</f>
        <v>24591</v>
      </c>
      <c r="D5280" s="345">
        <f>+VLOOKUP($B5280,'Mano de obra'!$A$5:$D$26,3,FALSE)</f>
        <v>15261</v>
      </c>
      <c r="E5280" s="345">
        <f>+VLOOKUP($B5280,'Mano de obra'!$A$5:$D$26,4,FALSE)</f>
        <v>39852</v>
      </c>
      <c r="F5280" s="382">
        <v>15</v>
      </c>
      <c r="G5280" s="410">
        <f>+E5280/F5280</f>
        <v>2656.8</v>
      </c>
      <c r="H5280" s="401"/>
    </row>
    <row r="5281" spans="1:8" x14ac:dyDescent="0.25">
      <c r="A5281" s="397"/>
      <c r="B5281" s="385"/>
      <c r="C5281" s="384"/>
      <c r="D5281" s="972"/>
      <c r="E5281" s="384"/>
      <c r="F5281" s="382"/>
      <c r="G5281" s="410"/>
      <c r="H5281" s="401"/>
    </row>
    <row r="5282" spans="1:8" x14ac:dyDescent="0.25">
      <c r="A5282" s="397"/>
      <c r="B5282" s="412"/>
      <c r="C5282" s="582"/>
      <c r="D5282" s="974"/>
      <c r="E5282" s="582"/>
      <c r="F5282" s="580"/>
      <c r="G5282" s="583"/>
      <c r="H5282" s="401"/>
    </row>
    <row r="5283" spans="1:8" ht="15.75" thickBot="1" x14ac:dyDescent="0.3">
      <c r="A5283" s="397"/>
      <c r="B5283" s="412"/>
      <c r="C5283" s="582"/>
      <c r="D5283" s="974"/>
      <c r="E5283" s="582"/>
      <c r="F5283" s="580"/>
      <c r="G5283" s="583"/>
      <c r="H5283" s="401"/>
    </row>
    <row r="5284" spans="1:8" ht="15.75" thickBot="1" x14ac:dyDescent="0.3">
      <c r="A5284" s="397"/>
      <c r="B5284" s="427"/>
      <c r="C5284" s="428"/>
      <c r="D5284" s="428"/>
      <c r="E5284" s="428"/>
      <c r="F5284" s="428"/>
      <c r="G5284" s="429"/>
      <c r="H5284" s="416">
        <f>+SUM(G5278:G5284)</f>
        <v>5110.0006666666668</v>
      </c>
    </row>
    <row r="5285" spans="1:8" ht="15.75" thickBot="1" x14ac:dyDescent="0.3">
      <c r="A5285" s="397"/>
      <c r="B5285" s="430"/>
      <c r="C5285" s="430"/>
      <c r="D5285" s="430"/>
      <c r="E5285" s="430"/>
      <c r="F5285" s="430"/>
      <c r="G5285" s="401"/>
      <c r="H5285" s="401"/>
    </row>
    <row r="5286" spans="1:8" ht="15.75" thickBot="1" x14ac:dyDescent="0.3">
      <c r="A5286" s="133" t="s">
        <v>6744</v>
      </c>
      <c r="B5286" s="430"/>
      <c r="C5286" s="430"/>
      <c r="D5286" s="430"/>
      <c r="E5286" s="431" t="s">
        <v>5415</v>
      </c>
      <c r="F5286" s="430"/>
      <c r="G5286" s="401"/>
      <c r="H5286" s="813">
        <f>+ROUND(H5253+H5267+H5275+H5284,0)</f>
        <v>29456</v>
      </c>
    </row>
    <row r="5287" spans="1:8" x14ac:dyDescent="0.25">
      <c r="A5287" s="1441"/>
      <c r="B5287" s="1441"/>
      <c r="C5287" s="1441"/>
      <c r="D5287" s="957"/>
      <c r="E5287" s="1441"/>
      <c r="F5287" s="1441"/>
      <c r="G5287" s="1441"/>
      <c r="H5287" s="1441"/>
    </row>
    <row r="5288" spans="1:8" x14ac:dyDescent="0.25">
      <c r="A5288" s="1441"/>
      <c r="B5288" s="1441"/>
      <c r="C5288" s="1441"/>
      <c r="D5288" s="957"/>
      <c r="E5288" s="1441"/>
      <c r="F5288" s="1441"/>
      <c r="G5288" s="1441"/>
      <c r="H5288" s="1441"/>
    </row>
    <row r="5289" spans="1:8" x14ac:dyDescent="0.25">
      <c r="A5289" s="1441"/>
      <c r="B5289" s="1441"/>
      <c r="C5289" s="1441"/>
      <c r="D5289" s="957"/>
      <c r="E5289" s="1441"/>
      <c r="F5289" s="1441"/>
      <c r="G5289" s="1441"/>
      <c r="H5289" s="1441"/>
    </row>
    <row r="5290" spans="1:8" x14ac:dyDescent="0.25">
      <c r="A5290" s="673" t="s">
        <v>5482</v>
      </c>
      <c r="B5290" s="1390" t="str">
        <f>+VLOOKUP(C5290,ListaAPUs!$B:$E,4,FALSE)</f>
        <v>7.1.6</v>
      </c>
      <c r="C5290" s="2445" t="str">
        <f>+ListaAPUs!B163</f>
        <v>BARANDA METALICA</v>
      </c>
      <c r="D5290" s="2445"/>
      <c r="E5290" s="2445"/>
      <c r="F5290" s="673" t="s">
        <v>867</v>
      </c>
      <c r="G5290" s="222" t="s">
        <v>5402</v>
      </c>
      <c r="H5290" s="200"/>
    </row>
    <row r="5291" spans="1:8" x14ac:dyDescent="0.25">
      <c r="A5291" s="133"/>
      <c r="B5291" s="8"/>
      <c r="C5291" s="223"/>
      <c r="D5291" s="958"/>
      <c r="E5291" s="223"/>
      <c r="F5291" s="133"/>
      <c r="G5291" s="200"/>
      <c r="H5291" s="200"/>
    </row>
    <row r="5292" spans="1:8" x14ac:dyDescent="0.25">
      <c r="A5292" s="133"/>
      <c r="B5292" s="8"/>
      <c r="C5292" s="8"/>
      <c r="D5292" s="529"/>
      <c r="E5292" s="8"/>
      <c r="F5292" s="8"/>
      <c r="G5292" s="8"/>
      <c r="H5292" s="200"/>
    </row>
    <row r="5293" spans="1:8" ht="15.75" thickBot="1" x14ac:dyDescent="0.3">
      <c r="A5293" s="133"/>
      <c r="B5293" s="8"/>
      <c r="C5293" s="8"/>
      <c r="D5293" s="529"/>
      <c r="E5293" s="8"/>
      <c r="F5293" s="133"/>
      <c r="G5293" s="200"/>
      <c r="H5293" s="200"/>
    </row>
    <row r="5294" spans="1:8" ht="15.75" thickBot="1" x14ac:dyDescent="0.3">
      <c r="A5294" s="133"/>
      <c r="B5294" s="224" t="s">
        <v>5403</v>
      </c>
      <c r="C5294" s="193" t="s">
        <v>867</v>
      </c>
      <c r="D5294" s="951" t="s">
        <v>6</v>
      </c>
      <c r="E5294" s="193" t="s">
        <v>5439</v>
      </c>
      <c r="F5294" s="193" t="s">
        <v>5405</v>
      </c>
      <c r="G5294" s="225" t="s">
        <v>868</v>
      </c>
      <c r="H5294" s="200"/>
    </row>
    <row r="5295" spans="1:8" x14ac:dyDescent="0.25">
      <c r="A5295" s="133"/>
      <c r="B5295" s="195" t="s">
        <v>5440</v>
      </c>
      <c r="C5295" s="226" t="s">
        <v>5402</v>
      </c>
      <c r="D5295" s="212">
        <v>1</v>
      </c>
      <c r="E5295" s="227">
        <f>+H5333</f>
        <v>61127.690666666662</v>
      </c>
      <c r="F5295" s="226">
        <v>0.1</v>
      </c>
      <c r="G5295" s="292">
        <f>+E5295*F5295</f>
        <v>6112.7690666666667</v>
      </c>
      <c r="H5295" s="200"/>
    </row>
    <row r="5296" spans="1:8" x14ac:dyDescent="0.25">
      <c r="A5296" s="133"/>
      <c r="B5296" s="195"/>
      <c r="C5296" s="226"/>
      <c r="D5296" s="212"/>
      <c r="E5296" s="230"/>
      <c r="F5296" s="226"/>
      <c r="G5296" s="229"/>
      <c r="H5296" s="200"/>
    </row>
    <row r="5297" spans="1:8" x14ac:dyDescent="0.25">
      <c r="A5297" s="133"/>
      <c r="B5297" s="195"/>
      <c r="C5297" s="226"/>
      <c r="D5297" s="212"/>
      <c r="E5297" s="176"/>
      <c r="F5297" s="226"/>
      <c r="G5297" s="229"/>
      <c r="H5297" s="200"/>
    </row>
    <row r="5298" spans="1:8" x14ac:dyDescent="0.25">
      <c r="A5298" s="133"/>
      <c r="B5298" s="195"/>
      <c r="C5298" s="226"/>
      <c r="D5298" s="212"/>
      <c r="E5298" s="171"/>
      <c r="F5298" s="226"/>
      <c r="G5298" s="293"/>
      <c r="H5298" s="200"/>
    </row>
    <row r="5299" spans="1:8" x14ac:dyDescent="0.25">
      <c r="A5299" s="133"/>
      <c r="B5299" s="195"/>
      <c r="C5299" s="226"/>
      <c r="D5299" s="952"/>
      <c r="E5299" s="232"/>
      <c r="F5299" s="226"/>
      <c r="G5299" s="229"/>
      <c r="H5299" s="200"/>
    </row>
    <row r="5300" spans="1:8" ht="15.75" thickBot="1" x14ac:dyDescent="0.3">
      <c r="A5300" s="133"/>
      <c r="B5300" s="195"/>
      <c r="C5300" s="226"/>
      <c r="D5300" s="952"/>
      <c r="E5300" s="232"/>
      <c r="F5300" s="226"/>
      <c r="G5300" s="229"/>
      <c r="H5300" s="200"/>
    </row>
    <row r="5301" spans="1:8" ht="15.75" thickBot="1" x14ac:dyDescent="0.3">
      <c r="A5301" s="133"/>
      <c r="B5301" s="233"/>
      <c r="C5301" s="234"/>
      <c r="D5301" s="953"/>
      <c r="E5301" s="234"/>
      <c r="F5301" s="235"/>
      <c r="G5301" s="236"/>
      <c r="H5301" s="237">
        <f>+SUM(G5295:G5301)</f>
        <v>6112.7690666666667</v>
      </c>
    </row>
    <row r="5302" spans="1:8" ht="15.75" thickBot="1" x14ac:dyDescent="0.3">
      <c r="A5302" s="133"/>
      <c r="B5302" s="238"/>
      <c r="C5302" s="238"/>
      <c r="D5302" s="954"/>
      <c r="E5302" s="238"/>
      <c r="F5302" s="239"/>
      <c r="G5302" s="240"/>
      <c r="H5302" s="241"/>
    </row>
    <row r="5303" spans="1:8" ht="15.75" thickBot="1" x14ac:dyDescent="0.3">
      <c r="A5303" s="133"/>
      <c r="B5303" s="224" t="s">
        <v>5408</v>
      </c>
      <c r="C5303" s="193" t="s">
        <v>867</v>
      </c>
      <c r="D5303" s="951" t="s">
        <v>6</v>
      </c>
      <c r="E5303" s="193" t="s">
        <v>870</v>
      </c>
      <c r="F5303" s="193" t="s">
        <v>5409</v>
      </c>
      <c r="G5303" s="225" t="s">
        <v>868</v>
      </c>
      <c r="H5303" s="200"/>
    </row>
    <row r="5304" spans="1:8" s="1522" customFormat="1" ht="30" customHeight="1" x14ac:dyDescent="0.25">
      <c r="A5304" s="1523"/>
      <c r="B5304" s="1583" t="s">
        <v>9043</v>
      </c>
      <c r="C5304" s="1565" t="s">
        <v>5402</v>
      </c>
      <c r="D5304" s="211">
        <v>1</v>
      </c>
      <c r="E5304" s="171">
        <f>+VLOOKUP(B5304,Insumos!$A$2:$C$344,3,FALSE)</f>
        <v>270552</v>
      </c>
      <c r="F5304" s="1552">
        <v>0</v>
      </c>
      <c r="G5304" s="178">
        <f>+D5304*E5304*(1+F5304)</f>
        <v>270552</v>
      </c>
      <c r="H5304" s="200"/>
    </row>
    <row r="5305" spans="1:8" x14ac:dyDescent="0.25">
      <c r="A5305" s="133"/>
      <c r="B5305" s="247" t="s">
        <v>8019</v>
      </c>
      <c r="C5305" s="202" t="s">
        <v>5424</v>
      </c>
      <c r="D5305" s="211">
        <v>0.5</v>
      </c>
      <c r="E5305" s="980">
        <f>+VLOOKUP(B5305,Insumos!$A$2:$C$331,3,FALSE)</f>
        <v>25321.500799999998</v>
      </c>
      <c r="F5305" s="169">
        <v>0.1</v>
      </c>
      <c r="G5305" s="294">
        <f>+D5305*E5305*(1+F5305)</f>
        <v>13926.825440000001</v>
      </c>
      <c r="H5305" s="200"/>
    </row>
    <row r="5306" spans="1:8" x14ac:dyDescent="0.25">
      <c r="A5306" s="133"/>
      <c r="B5306" s="247" t="s">
        <v>5756</v>
      </c>
      <c r="C5306" s="202" t="s">
        <v>5431</v>
      </c>
      <c r="D5306" s="212">
        <v>0.5</v>
      </c>
      <c r="E5306" s="980">
        <f>+VLOOKUP(B5306,Insumos!$A$2:$C$331,3,FALSE)</f>
        <v>51782.469136</v>
      </c>
      <c r="F5306" s="169">
        <v>0.05</v>
      </c>
      <c r="G5306" s="294">
        <f>+D5306*E5306*(1+F5306)</f>
        <v>27185.7962964</v>
      </c>
      <c r="H5306" s="200"/>
    </row>
    <row r="5307" spans="1:8" x14ac:dyDescent="0.25">
      <c r="A5307" s="133"/>
      <c r="B5307" s="194" t="s">
        <v>6187</v>
      </c>
      <c r="C5307" s="226" t="s">
        <v>5424</v>
      </c>
      <c r="D5307" s="212">
        <v>2</v>
      </c>
      <c r="E5307" s="980">
        <f>+VLOOKUP(B5307,Insumos!$A$2:$C$331,3,FALSE)</f>
        <v>12660.750399999999</v>
      </c>
      <c r="F5307" s="169">
        <v>0.05</v>
      </c>
      <c r="G5307" s="294">
        <f>+D5307*E5307*(1+F5307)</f>
        <v>26587.575839999998</v>
      </c>
      <c r="H5307" s="200"/>
    </row>
    <row r="5308" spans="1:8" x14ac:dyDescent="0.25">
      <c r="A5308" s="133"/>
      <c r="B5308" s="195"/>
      <c r="C5308" s="226"/>
      <c r="D5308" s="212"/>
      <c r="E5308" s="171"/>
      <c r="F5308" s="169"/>
      <c r="G5308" s="178"/>
      <c r="H5308" s="200"/>
    </row>
    <row r="5309" spans="1:8" x14ac:dyDescent="0.25">
      <c r="A5309" s="133"/>
      <c r="B5309" s="194"/>
      <c r="C5309" s="202"/>
      <c r="D5309" s="211"/>
      <c r="E5309" s="171"/>
      <c r="F5309" s="169"/>
      <c r="G5309" s="178"/>
      <c r="H5309" s="200"/>
    </row>
    <row r="5310" spans="1:8" x14ac:dyDescent="0.25">
      <c r="A5310" s="133"/>
      <c r="B5310" s="195"/>
      <c r="C5310" s="226"/>
      <c r="D5310" s="212"/>
      <c r="E5310" s="171"/>
      <c r="F5310" s="169"/>
      <c r="G5310" s="178"/>
      <c r="H5310" s="200"/>
    </row>
    <row r="5311" spans="1:8" x14ac:dyDescent="0.25">
      <c r="A5311" s="133"/>
      <c r="B5311" s="195"/>
      <c r="C5311" s="226"/>
      <c r="D5311" s="212"/>
      <c r="E5311" s="171"/>
      <c r="F5311" s="169"/>
      <c r="G5311" s="178"/>
      <c r="H5311" s="200"/>
    </row>
    <row r="5312" spans="1:8" x14ac:dyDescent="0.25">
      <c r="A5312" s="133"/>
      <c r="B5312" s="195"/>
      <c r="C5312" s="232"/>
      <c r="D5312" s="952"/>
      <c r="E5312" s="232"/>
      <c r="F5312" s="226"/>
      <c r="G5312" s="229"/>
      <c r="H5312" s="200"/>
    </row>
    <row r="5313" spans="1:8" x14ac:dyDescent="0.25">
      <c r="A5313" s="133"/>
      <c r="B5313" s="195"/>
      <c r="C5313" s="232"/>
      <c r="D5313" s="952"/>
      <c r="E5313" s="232"/>
      <c r="F5313" s="226"/>
      <c r="G5313" s="229"/>
      <c r="H5313" s="200"/>
    </row>
    <row r="5314" spans="1:8" x14ac:dyDescent="0.25">
      <c r="A5314" s="133"/>
      <c r="B5314" s="195"/>
      <c r="C5314" s="232"/>
      <c r="D5314" s="952"/>
      <c r="E5314" s="232"/>
      <c r="F5314" s="226"/>
      <c r="G5314" s="229"/>
      <c r="H5314" s="200"/>
    </row>
    <row r="5315" spans="1:8" ht="15.75" thickBot="1" x14ac:dyDescent="0.3">
      <c r="A5315" s="133"/>
      <c r="B5315" s="195"/>
      <c r="C5315" s="232"/>
      <c r="D5315" s="952"/>
      <c r="E5315" s="232"/>
      <c r="F5315" s="226"/>
      <c r="G5315" s="229"/>
      <c r="H5315" s="200"/>
    </row>
    <row r="5316" spans="1:8" ht="15.75" thickBot="1" x14ac:dyDescent="0.3">
      <c r="A5316" s="133"/>
      <c r="B5316" s="233"/>
      <c r="C5316" s="234"/>
      <c r="D5316" s="953"/>
      <c r="E5316" s="234"/>
      <c r="F5316" s="235"/>
      <c r="G5316" s="236"/>
      <c r="H5316" s="256">
        <f>+SUM(G5304:G5316)</f>
        <v>338252.19757640001</v>
      </c>
    </row>
    <row r="5317" spans="1:8" ht="15.75" thickBot="1" x14ac:dyDescent="0.3">
      <c r="A5317" s="133"/>
      <c r="B5317" s="238"/>
      <c r="C5317" s="238"/>
      <c r="D5317" s="954"/>
      <c r="E5317" s="238"/>
      <c r="F5317" s="239"/>
      <c r="G5317" s="240"/>
      <c r="H5317" s="241"/>
    </row>
    <row r="5318" spans="1:8" ht="15.75" thickBot="1" x14ac:dyDescent="0.3">
      <c r="A5318" s="133"/>
      <c r="B5318" s="224" t="s">
        <v>5410</v>
      </c>
      <c r="C5318" s="193" t="s">
        <v>867</v>
      </c>
      <c r="D5318" s="951" t="s">
        <v>6</v>
      </c>
      <c r="E5318" s="193" t="s">
        <v>870</v>
      </c>
      <c r="F5318" s="193" t="s">
        <v>5411</v>
      </c>
      <c r="G5318" s="225" t="s">
        <v>868</v>
      </c>
      <c r="H5318" s="200"/>
    </row>
    <row r="5319" spans="1:8" x14ac:dyDescent="0.25">
      <c r="A5319" s="133"/>
      <c r="B5319" s="245"/>
      <c r="C5319" s="202"/>
      <c r="D5319" s="211"/>
      <c r="E5319" s="168"/>
      <c r="F5319" s="202"/>
      <c r="G5319" s="203"/>
      <c r="H5319" s="246"/>
    </row>
    <row r="5320" spans="1:8" x14ac:dyDescent="0.25">
      <c r="A5320" s="133"/>
      <c r="B5320" s="247"/>
      <c r="C5320" s="202"/>
      <c r="D5320" s="211"/>
      <c r="E5320" s="199"/>
      <c r="F5320" s="202"/>
      <c r="G5320" s="178"/>
      <c r="H5320" s="200"/>
    </row>
    <row r="5321" spans="1:8" x14ac:dyDescent="0.25">
      <c r="A5321" s="133"/>
      <c r="B5321" s="247"/>
      <c r="C5321" s="202"/>
      <c r="D5321" s="212"/>
      <c r="E5321" s="232"/>
      <c r="F5321" s="226"/>
      <c r="G5321" s="229"/>
      <c r="H5321" s="200"/>
    </row>
    <row r="5322" spans="1:8" x14ac:dyDescent="0.25">
      <c r="A5322" s="133"/>
      <c r="B5322" s="194"/>
      <c r="C5322" s="232"/>
      <c r="D5322" s="952"/>
      <c r="E5322" s="232"/>
      <c r="F5322" s="226"/>
      <c r="G5322" s="229"/>
      <c r="H5322" s="200"/>
    </row>
    <row r="5323" spans="1:8" ht="15.75" thickBot="1" x14ac:dyDescent="0.3">
      <c r="A5323" s="133"/>
      <c r="B5323" s="195"/>
      <c r="C5323" s="232"/>
      <c r="D5323" s="952"/>
      <c r="E5323" s="232"/>
      <c r="F5323" s="226"/>
      <c r="G5323" s="229"/>
      <c r="H5323" s="200"/>
    </row>
    <row r="5324" spans="1:8" ht="15.75" thickBot="1" x14ac:dyDescent="0.3">
      <c r="A5324" s="133"/>
      <c r="B5324" s="233"/>
      <c r="C5324" s="234"/>
      <c r="D5324" s="953"/>
      <c r="E5324" s="234"/>
      <c r="F5324" s="235"/>
      <c r="G5324" s="236"/>
      <c r="H5324" s="237">
        <f>+SUM(G5319:G5324)</f>
        <v>0</v>
      </c>
    </row>
    <row r="5325" spans="1:8" ht="15.75" thickBot="1" x14ac:dyDescent="0.3">
      <c r="A5325" s="133"/>
      <c r="B5325" s="238"/>
      <c r="C5325" s="238"/>
      <c r="D5325" s="954"/>
      <c r="E5325" s="238"/>
      <c r="F5325" s="249"/>
      <c r="G5325" s="250"/>
      <c r="H5325" s="241"/>
    </row>
    <row r="5326" spans="1:8" ht="15.75" thickBot="1" x14ac:dyDescent="0.3">
      <c r="A5326" s="133"/>
      <c r="B5326" s="224" t="s">
        <v>5412</v>
      </c>
      <c r="C5326" s="193" t="s">
        <v>5420</v>
      </c>
      <c r="D5326" s="951" t="s">
        <v>5421</v>
      </c>
      <c r="E5326" s="193" t="s">
        <v>5413</v>
      </c>
      <c r="F5326" s="193" t="s">
        <v>5405</v>
      </c>
      <c r="G5326" s="225" t="s">
        <v>868</v>
      </c>
      <c r="H5326" s="200"/>
    </row>
    <row r="5327" spans="1:8" x14ac:dyDescent="0.25">
      <c r="A5327" s="133"/>
      <c r="B5327" s="194" t="s">
        <v>5948</v>
      </c>
      <c r="C5327" s="345">
        <f>+VLOOKUP($B5327,'Mano de obra'!$A$5:$D$26,2,FALSE)</f>
        <v>57455</v>
      </c>
      <c r="D5327" s="345">
        <f>+VLOOKUP($B5327,'Mano de obra'!$A$5:$D$26,3,FALSE)</f>
        <v>35656</v>
      </c>
      <c r="E5327" s="345">
        <f>+VLOOKUP($B5327,'Mano de obra'!$A$5:$D$26,4,FALSE)</f>
        <v>93111</v>
      </c>
      <c r="F5327" s="204">
        <v>250</v>
      </c>
      <c r="G5327" s="178">
        <f>+E5327/F5327</f>
        <v>372.44400000000002</v>
      </c>
      <c r="H5327" s="200"/>
    </row>
    <row r="5328" spans="1:8" x14ac:dyDescent="0.25">
      <c r="A5328" s="133"/>
      <c r="B5328" s="194" t="s">
        <v>5949</v>
      </c>
      <c r="C5328" s="345">
        <f>+VLOOKUP($B5328,'Mano de obra'!$A$5:$D$26,2,FALSE)</f>
        <v>44263.8</v>
      </c>
      <c r="D5328" s="345">
        <f>+VLOOKUP($B5328,'Mano de obra'!$A$5:$D$26,3,FALSE)</f>
        <v>27470</v>
      </c>
      <c r="E5328" s="345">
        <f>+VLOOKUP($B5328,'Mano de obra'!$A$5:$D$26,4,FALSE)</f>
        <v>71733.8</v>
      </c>
      <c r="F5328" s="202">
        <v>10</v>
      </c>
      <c r="G5328" s="178">
        <f>+E5328/F5328</f>
        <v>7173.38</v>
      </c>
      <c r="H5328" s="200"/>
    </row>
    <row r="5329" spans="1:8" x14ac:dyDescent="0.25">
      <c r="A5329" s="133"/>
      <c r="B5329" s="195" t="s">
        <v>5635</v>
      </c>
      <c r="C5329" s="345">
        <f>+VLOOKUP($B5329,'Mano de obra'!$A$5:$D$26,2,FALSE)</f>
        <v>24591</v>
      </c>
      <c r="D5329" s="345">
        <f>+VLOOKUP($B5329,'Mano de obra'!$A$5:$D$26,3,FALSE)</f>
        <v>15261</v>
      </c>
      <c r="E5329" s="345">
        <f>+VLOOKUP($B5329,'Mano de obra'!$A$5:$D$26,4,FALSE)</f>
        <v>39852</v>
      </c>
      <c r="F5329" s="226">
        <v>10</v>
      </c>
      <c r="G5329" s="178">
        <f>+E5329/F5329</f>
        <v>3985.2</v>
      </c>
      <c r="H5329" s="200"/>
    </row>
    <row r="5330" spans="1:8" x14ac:dyDescent="0.25">
      <c r="A5330" s="133"/>
      <c r="B5330" s="195" t="s">
        <v>5956</v>
      </c>
      <c r="C5330" s="345">
        <f>+VLOOKUP($B5330,'Mano de obra'!$A$5:$D$26,2,FALSE)</f>
        <v>100000</v>
      </c>
      <c r="D5330" s="345">
        <f>+VLOOKUP($B5330,'Mano de obra'!$A$5:$D$26,3,FALSE)</f>
        <v>48790</v>
      </c>
      <c r="E5330" s="345">
        <f>+VLOOKUP($B5330,'Mano de obra'!$A$5:$D$26,4,FALSE)</f>
        <v>148790</v>
      </c>
      <c r="F5330" s="226">
        <v>3</v>
      </c>
      <c r="G5330" s="178">
        <f>+E5330/F5330</f>
        <v>49596.666666666664</v>
      </c>
      <c r="H5330" s="200"/>
    </row>
    <row r="5331" spans="1:8" x14ac:dyDescent="0.25">
      <c r="A5331" s="133"/>
      <c r="B5331" s="195"/>
      <c r="C5331" s="232"/>
      <c r="D5331" s="952"/>
      <c r="E5331" s="232"/>
      <c r="F5331" s="226"/>
      <c r="G5331" s="229"/>
      <c r="H5331" s="200"/>
    </row>
    <row r="5332" spans="1:8" ht="15.75" thickBot="1" x14ac:dyDescent="0.3">
      <c r="A5332" s="133"/>
      <c r="B5332" s="195"/>
      <c r="C5332" s="232"/>
      <c r="D5332" s="952"/>
      <c r="E5332" s="232"/>
      <c r="F5332" s="226"/>
      <c r="G5332" s="229"/>
      <c r="H5332" s="200"/>
    </row>
    <row r="5333" spans="1:8" ht="15.75" thickBot="1" x14ac:dyDescent="0.3">
      <c r="A5333" s="133"/>
      <c r="B5333" s="251"/>
      <c r="C5333" s="252"/>
      <c r="D5333" s="956"/>
      <c r="E5333" s="252"/>
      <c r="F5333" s="253"/>
      <c r="G5333" s="254"/>
      <c r="H5333" s="237">
        <f>+SUM(G5327:G5333)</f>
        <v>61127.690666666662</v>
      </c>
    </row>
    <row r="5334" spans="1:8" ht="15.75" thickBot="1" x14ac:dyDescent="0.3">
      <c r="A5334" s="133"/>
      <c r="B5334" s="8"/>
      <c r="C5334" s="8"/>
      <c r="D5334" s="529"/>
      <c r="E5334" s="8"/>
      <c r="F5334" s="133"/>
      <c r="G5334" s="200"/>
      <c r="H5334" s="200"/>
    </row>
    <row r="5335" spans="1:8" ht="15.75" thickBot="1" x14ac:dyDescent="0.3">
      <c r="A5335" s="133" t="s">
        <v>6744</v>
      </c>
      <c r="B5335" s="8"/>
      <c r="C5335" s="8"/>
      <c r="D5335" s="529"/>
      <c r="E5335" s="223" t="s">
        <v>5415</v>
      </c>
      <c r="F5335" s="133"/>
      <c r="G5335" s="200"/>
      <c r="H5335" s="902">
        <f>ROUND(+H5333+H5324+H5316+H5301,0)</f>
        <v>405493</v>
      </c>
    </row>
    <row r="5336" spans="1:8" x14ac:dyDescent="0.25">
      <c r="A5336" s="1441"/>
      <c r="B5336" s="1441"/>
      <c r="C5336" s="1441"/>
      <c r="D5336" s="957"/>
      <c r="E5336" s="1441"/>
      <c r="F5336" s="1441"/>
      <c r="G5336" s="1441"/>
      <c r="H5336" s="1441"/>
    </row>
    <row r="5337" spans="1:8" s="1441" customFormat="1" x14ac:dyDescent="0.25">
      <c r="D5337" s="957"/>
    </row>
    <row r="5338" spans="1:8" x14ac:dyDescent="0.25">
      <c r="A5338" s="1441"/>
      <c r="B5338" s="1441"/>
      <c r="C5338" s="1441"/>
      <c r="D5338" s="957"/>
      <c r="E5338" s="1441"/>
      <c r="F5338" s="1441"/>
      <c r="G5338" s="1441"/>
      <c r="H5338" s="1441"/>
    </row>
    <row r="5339" spans="1:8" x14ac:dyDescent="0.25">
      <c r="A5339" s="673" t="s">
        <v>5482</v>
      </c>
      <c r="B5339" s="1390" t="str">
        <f>+VLOOKUP(C5339,ListaAPUs!$B:$E,4,FALSE)</f>
        <v>7.1.4</v>
      </c>
      <c r="C5339" s="2449" t="str">
        <f>+ListaAPUs!B161</f>
        <v>Tapa Para Pozo De Inspección Ø0,60 con Sistema De Seguridad</v>
      </c>
      <c r="D5339" s="2449"/>
      <c r="E5339" s="2449"/>
      <c r="F5339" s="673" t="s">
        <v>867</v>
      </c>
      <c r="G5339" s="222" t="s">
        <v>5424</v>
      </c>
      <c r="H5339" s="200"/>
    </row>
    <row r="5340" spans="1:8" x14ac:dyDescent="0.25">
      <c r="A5340" s="133"/>
      <c r="B5340" s="8"/>
      <c r="C5340" s="223"/>
      <c r="D5340" s="958"/>
      <c r="E5340" s="223"/>
      <c r="F5340" s="133"/>
      <c r="G5340" s="200"/>
      <c r="H5340" s="200"/>
    </row>
    <row r="5341" spans="1:8" x14ac:dyDescent="0.25">
      <c r="A5341" s="133"/>
      <c r="B5341" s="8"/>
      <c r="C5341" s="8"/>
      <c r="D5341" s="529"/>
      <c r="E5341" s="8"/>
      <c r="F5341" s="8"/>
      <c r="G5341" s="8"/>
      <c r="H5341" s="200"/>
    </row>
    <row r="5342" spans="1:8" ht="15.75" thickBot="1" x14ac:dyDescent="0.3">
      <c r="A5342" s="133"/>
      <c r="B5342" s="8"/>
      <c r="C5342" s="8"/>
      <c r="D5342" s="529"/>
      <c r="E5342" s="8"/>
      <c r="F5342" s="133"/>
      <c r="G5342" s="200"/>
      <c r="H5342" s="200"/>
    </row>
    <row r="5343" spans="1:8" ht="15.75" thickBot="1" x14ac:dyDescent="0.3">
      <c r="A5343" s="133"/>
      <c r="B5343" s="224" t="s">
        <v>5403</v>
      </c>
      <c r="C5343" s="193" t="s">
        <v>867</v>
      </c>
      <c r="D5343" s="951" t="s">
        <v>6</v>
      </c>
      <c r="E5343" s="193" t="s">
        <v>5439</v>
      </c>
      <c r="F5343" s="193" t="s">
        <v>5405</v>
      </c>
      <c r="G5343" s="225" t="s">
        <v>868</v>
      </c>
      <c r="H5343" s="200"/>
    </row>
    <row r="5344" spans="1:8" x14ac:dyDescent="0.25">
      <c r="A5344" s="133"/>
      <c r="B5344" s="195" t="s">
        <v>5440</v>
      </c>
      <c r="C5344" s="226" t="s">
        <v>5402</v>
      </c>
      <c r="D5344" s="212">
        <v>1</v>
      </c>
      <c r="E5344" s="228">
        <f>+H5382</f>
        <v>8661.3009999999995</v>
      </c>
      <c r="F5344" s="226">
        <v>0.5</v>
      </c>
      <c r="G5344" s="229">
        <f>+E5344*F5344</f>
        <v>4330.6504999999997</v>
      </c>
      <c r="H5344" s="200"/>
    </row>
    <row r="5345" spans="1:8" x14ac:dyDescent="0.25">
      <c r="A5345" s="133"/>
      <c r="B5345" s="195"/>
      <c r="C5345" s="226"/>
      <c r="D5345" s="212"/>
      <c r="E5345" s="176"/>
      <c r="F5345" s="226"/>
      <c r="G5345" s="229"/>
      <c r="H5345" s="200"/>
    </row>
    <row r="5346" spans="1:8" x14ac:dyDescent="0.25">
      <c r="A5346" s="133"/>
      <c r="B5346" s="195"/>
      <c r="C5346" s="226"/>
      <c r="D5346" s="212"/>
      <c r="E5346" s="228"/>
      <c r="F5346" s="226"/>
      <c r="G5346" s="229"/>
      <c r="H5346" s="200"/>
    </row>
    <row r="5347" spans="1:8" x14ac:dyDescent="0.25">
      <c r="A5347" s="133"/>
      <c r="B5347" s="195"/>
      <c r="C5347" s="226"/>
      <c r="D5347" s="212"/>
      <c r="E5347" s="171"/>
      <c r="F5347" s="226"/>
      <c r="G5347" s="231"/>
      <c r="H5347" s="200"/>
    </row>
    <row r="5348" spans="1:8" x14ac:dyDescent="0.25">
      <c r="A5348" s="133"/>
      <c r="B5348" s="195"/>
      <c r="C5348" s="226"/>
      <c r="D5348" s="952"/>
      <c r="E5348" s="232"/>
      <c r="F5348" s="226"/>
      <c r="G5348" s="229"/>
      <c r="H5348" s="200"/>
    </row>
    <row r="5349" spans="1:8" ht="15.75" thickBot="1" x14ac:dyDescent="0.3">
      <c r="A5349" s="133"/>
      <c r="B5349" s="195"/>
      <c r="C5349" s="226"/>
      <c r="D5349" s="952"/>
      <c r="E5349" s="232"/>
      <c r="F5349" s="226"/>
      <c r="G5349" s="229"/>
      <c r="H5349" s="200"/>
    </row>
    <row r="5350" spans="1:8" ht="15.75" thickBot="1" x14ac:dyDescent="0.3">
      <c r="A5350" s="133"/>
      <c r="B5350" s="233"/>
      <c r="C5350" s="234"/>
      <c r="D5350" s="953"/>
      <c r="E5350" s="234"/>
      <c r="F5350" s="235"/>
      <c r="G5350" s="236"/>
      <c r="H5350" s="237">
        <f>+SUM(G5344:G5350)</f>
        <v>4330.6504999999997</v>
      </c>
    </row>
    <row r="5351" spans="1:8" ht="15.75" thickBot="1" x14ac:dyDescent="0.3">
      <c r="A5351" s="133"/>
      <c r="B5351" s="238"/>
      <c r="C5351" s="238"/>
      <c r="D5351" s="954"/>
      <c r="E5351" s="238"/>
      <c r="F5351" s="239"/>
      <c r="G5351" s="240"/>
      <c r="H5351" s="241"/>
    </row>
    <row r="5352" spans="1:8" ht="15.75" thickBot="1" x14ac:dyDescent="0.3">
      <c r="A5352" s="133"/>
      <c r="B5352" s="224" t="s">
        <v>5408</v>
      </c>
      <c r="C5352" s="193" t="s">
        <v>867</v>
      </c>
      <c r="D5352" s="951" t="s">
        <v>6</v>
      </c>
      <c r="E5352" s="193" t="s">
        <v>870</v>
      </c>
      <c r="F5352" s="193" t="s">
        <v>5409</v>
      </c>
      <c r="G5352" s="225" t="s">
        <v>868</v>
      </c>
      <c r="H5352" s="200"/>
    </row>
    <row r="5353" spans="1:8" ht="31.5" customHeight="1" x14ac:dyDescent="0.25">
      <c r="A5353" s="133"/>
      <c r="B5353" s="295" t="s">
        <v>6930</v>
      </c>
      <c r="C5353" s="202" t="s">
        <v>5424</v>
      </c>
      <c r="D5353" s="212">
        <v>1</v>
      </c>
      <c r="E5353" s="980">
        <f>+VLOOKUP(B5353,Insumos!$A$2:$C$331,3,FALSE)</f>
        <v>806802</v>
      </c>
      <c r="F5353" s="169"/>
      <c r="G5353" s="178">
        <f>+D5353*E5353*(1+F5353)</f>
        <v>806802</v>
      </c>
      <c r="H5353" s="200"/>
    </row>
    <row r="5354" spans="1:8" ht="51" x14ac:dyDescent="0.25">
      <c r="A5354" s="133"/>
      <c r="B5354" s="450" t="s">
        <v>8993</v>
      </c>
      <c r="C5354" s="202"/>
      <c r="D5354" s="211"/>
      <c r="E5354" s="228"/>
      <c r="F5354" s="169"/>
      <c r="G5354" s="178"/>
      <c r="H5354" s="200"/>
    </row>
    <row r="5355" spans="1:8" x14ac:dyDescent="0.25">
      <c r="A5355" s="133"/>
      <c r="B5355" s="247"/>
      <c r="C5355" s="226"/>
      <c r="D5355" s="212"/>
      <c r="E5355" s="228"/>
      <c r="F5355" s="169"/>
      <c r="G5355" s="178"/>
      <c r="H5355" s="200"/>
    </row>
    <row r="5356" spans="1:8" x14ac:dyDescent="0.25">
      <c r="A5356" s="133"/>
      <c r="B5356" s="194"/>
      <c r="C5356" s="226"/>
      <c r="D5356" s="212"/>
      <c r="E5356" s="228"/>
      <c r="F5356" s="169"/>
      <c r="G5356" s="178"/>
      <c r="H5356" s="200"/>
    </row>
    <row r="5357" spans="1:8" x14ac:dyDescent="0.25">
      <c r="A5357" s="133"/>
      <c r="B5357" s="195"/>
      <c r="C5357" s="226"/>
      <c r="D5357" s="212"/>
      <c r="E5357" s="176"/>
      <c r="F5357" s="169"/>
      <c r="G5357" s="178"/>
      <c r="H5357" s="200"/>
    </row>
    <row r="5358" spans="1:8" x14ac:dyDescent="0.25">
      <c r="A5358" s="133"/>
      <c r="B5358" s="194"/>
      <c r="C5358" s="202"/>
      <c r="D5358" s="211"/>
      <c r="E5358" s="176"/>
      <c r="F5358" s="169"/>
      <c r="G5358" s="178"/>
      <c r="H5358" s="200"/>
    </row>
    <row r="5359" spans="1:8" x14ac:dyDescent="0.25">
      <c r="A5359" s="133"/>
      <c r="B5359" s="195"/>
      <c r="C5359" s="226"/>
      <c r="D5359" s="212"/>
      <c r="E5359" s="176"/>
      <c r="F5359" s="169"/>
      <c r="G5359" s="178"/>
      <c r="H5359" s="200"/>
    </row>
    <row r="5360" spans="1:8" x14ac:dyDescent="0.25">
      <c r="A5360" s="133"/>
      <c r="B5360" s="195"/>
      <c r="C5360" s="226"/>
      <c r="D5360" s="212"/>
      <c r="E5360" s="176"/>
      <c r="F5360" s="169"/>
      <c r="G5360" s="178"/>
      <c r="H5360" s="200"/>
    </row>
    <row r="5361" spans="1:8" x14ac:dyDescent="0.25">
      <c r="A5361" s="133"/>
      <c r="B5361" s="195"/>
      <c r="C5361" s="232"/>
      <c r="D5361" s="952"/>
      <c r="E5361" s="232"/>
      <c r="F5361" s="226"/>
      <c r="G5361" s="229"/>
      <c r="H5361" s="200"/>
    </row>
    <row r="5362" spans="1:8" x14ac:dyDescent="0.25">
      <c r="A5362" s="133"/>
      <c r="B5362" s="195"/>
      <c r="C5362" s="232"/>
      <c r="D5362" s="952"/>
      <c r="E5362" s="232"/>
      <c r="F5362" s="226"/>
      <c r="G5362" s="229"/>
      <c r="H5362" s="200"/>
    </row>
    <row r="5363" spans="1:8" x14ac:dyDescent="0.25">
      <c r="A5363" s="133"/>
      <c r="B5363" s="195"/>
      <c r="C5363" s="232"/>
      <c r="D5363" s="952"/>
      <c r="E5363" s="232"/>
      <c r="F5363" s="226"/>
      <c r="G5363" s="229"/>
      <c r="H5363" s="200"/>
    </row>
    <row r="5364" spans="1:8" ht="15.75" thickBot="1" x14ac:dyDescent="0.3">
      <c r="A5364" s="133"/>
      <c r="B5364" s="195"/>
      <c r="C5364" s="232"/>
      <c r="D5364" s="952"/>
      <c r="E5364" s="232"/>
      <c r="F5364" s="226"/>
      <c r="G5364" s="229"/>
      <c r="H5364" s="200"/>
    </row>
    <row r="5365" spans="1:8" ht="15.75" thickBot="1" x14ac:dyDescent="0.3">
      <c r="A5365" s="133"/>
      <c r="B5365" s="233"/>
      <c r="C5365" s="234"/>
      <c r="D5365" s="953"/>
      <c r="E5365" s="234"/>
      <c r="F5365" s="235"/>
      <c r="G5365" s="236"/>
      <c r="H5365" s="237">
        <f>+SUM(G5353:G5365)</f>
        <v>806802</v>
      </c>
    </row>
    <row r="5366" spans="1:8" ht="15.75" thickBot="1" x14ac:dyDescent="0.3">
      <c r="A5366" s="133"/>
      <c r="B5366" s="238"/>
      <c r="C5366" s="238"/>
      <c r="D5366" s="954"/>
      <c r="E5366" s="238"/>
      <c r="F5366" s="239"/>
      <c r="G5366" s="240"/>
      <c r="H5366" s="241"/>
    </row>
    <row r="5367" spans="1:8" ht="15.75" thickBot="1" x14ac:dyDescent="0.3">
      <c r="A5367" s="133"/>
      <c r="B5367" s="224" t="s">
        <v>5410</v>
      </c>
      <c r="C5367" s="193" t="s">
        <v>867</v>
      </c>
      <c r="D5367" s="951" t="s">
        <v>6</v>
      </c>
      <c r="E5367" s="193" t="s">
        <v>870</v>
      </c>
      <c r="F5367" s="193" t="s">
        <v>5411</v>
      </c>
      <c r="G5367" s="225" t="s">
        <v>868</v>
      </c>
      <c r="H5367" s="200"/>
    </row>
    <row r="5368" spans="1:8" x14ac:dyDescent="0.25">
      <c r="A5368" s="133"/>
      <c r="B5368" s="245"/>
      <c r="C5368" s="283"/>
      <c r="D5368" s="959"/>
      <c r="E5368" s="379"/>
      <c r="F5368" s="283"/>
      <c r="G5368" s="354"/>
      <c r="H5368" s="246"/>
    </row>
    <row r="5369" spans="1:8" x14ac:dyDescent="0.25">
      <c r="A5369" s="133"/>
      <c r="B5369" s="247"/>
      <c r="C5369" s="248"/>
      <c r="D5369" s="961"/>
      <c r="E5369" s="248"/>
      <c r="F5369" s="202"/>
      <c r="G5369" s="178"/>
      <c r="H5369" s="200"/>
    </row>
    <row r="5370" spans="1:8" x14ac:dyDescent="0.25">
      <c r="A5370" s="133"/>
      <c r="B5370" s="247"/>
      <c r="C5370" s="232"/>
      <c r="D5370" s="952"/>
      <c r="E5370" s="232"/>
      <c r="F5370" s="226"/>
      <c r="G5370" s="229"/>
      <c r="H5370" s="200"/>
    </row>
    <row r="5371" spans="1:8" x14ac:dyDescent="0.25">
      <c r="A5371" s="133"/>
      <c r="B5371" s="194"/>
      <c r="C5371" s="232"/>
      <c r="D5371" s="952"/>
      <c r="E5371" s="232"/>
      <c r="F5371" s="226"/>
      <c r="G5371" s="229"/>
      <c r="H5371" s="200"/>
    </row>
    <row r="5372" spans="1:8" ht="15.75" thickBot="1" x14ac:dyDescent="0.3">
      <c r="A5372" s="133"/>
      <c r="B5372" s="195"/>
      <c r="C5372" s="232"/>
      <c r="D5372" s="952"/>
      <c r="E5372" s="232"/>
      <c r="F5372" s="226"/>
      <c r="G5372" s="229"/>
      <c r="H5372" s="200"/>
    </row>
    <row r="5373" spans="1:8" ht="15.75" thickBot="1" x14ac:dyDescent="0.3">
      <c r="A5373" s="133"/>
      <c r="B5373" s="233"/>
      <c r="C5373" s="234"/>
      <c r="D5373" s="953"/>
      <c r="E5373" s="234"/>
      <c r="F5373" s="235"/>
      <c r="G5373" s="236"/>
      <c r="H5373" s="237">
        <f>+SUM(G5368:G5373)</f>
        <v>0</v>
      </c>
    </row>
    <row r="5374" spans="1:8" ht="15.75" thickBot="1" x14ac:dyDescent="0.3">
      <c r="A5374" s="133"/>
      <c r="B5374" s="238"/>
      <c r="C5374" s="238"/>
      <c r="D5374" s="954"/>
      <c r="E5374" s="238"/>
      <c r="F5374" s="249"/>
      <c r="G5374" s="250"/>
      <c r="H5374" s="241"/>
    </row>
    <row r="5375" spans="1:8" ht="15.75" thickBot="1" x14ac:dyDescent="0.3">
      <c r="A5375" s="133"/>
      <c r="B5375" s="224" t="s">
        <v>5412</v>
      </c>
      <c r="C5375" s="193" t="s">
        <v>5420</v>
      </c>
      <c r="D5375" s="951" t="s">
        <v>5421</v>
      </c>
      <c r="E5375" s="193" t="s">
        <v>5413</v>
      </c>
      <c r="F5375" s="193" t="s">
        <v>5405</v>
      </c>
      <c r="G5375" s="225" t="s">
        <v>868</v>
      </c>
      <c r="H5375" s="200"/>
    </row>
    <row r="5376" spans="1:8" x14ac:dyDescent="0.25">
      <c r="A5376" s="133"/>
      <c r="B5376" s="194" t="s">
        <v>5948</v>
      </c>
      <c r="C5376" s="345">
        <f>+VLOOKUP($B5376,'Mano de obra'!$A$5:$D$26,2,FALSE)</f>
        <v>57455</v>
      </c>
      <c r="D5376" s="345">
        <f>+VLOOKUP($B5376,'Mano de obra'!$A$5:$D$26,3,FALSE)</f>
        <v>35656</v>
      </c>
      <c r="E5376" s="345">
        <f>+VLOOKUP($B5376,'Mano de obra'!$A$5:$D$26,4,FALSE)</f>
        <v>93111</v>
      </c>
      <c r="F5376" s="204">
        <v>1000</v>
      </c>
      <c r="G5376" s="178">
        <f>+E5376/F5376</f>
        <v>93.111000000000004</v>
      </c>
      <c r="H5376" s="200"/>
    </row>
    <row r="5377" spans="1:8" x14ac:dyDescent="0.25">
      <c r="A5377" s="133"/>
      <c r="B5377" s="194" t="s">
        <v>5949</v>
      </c>
      <c r="C5377" s="345">
        <f>+VLOOKUP($B5377,'Mano de obra'!$A$5:$D$26,2,FALSE)</f>
        <v>44263.8</v>
      </c>
      <c r="D5377" s="345">
        <f>+VLOOKUP($B5377,'Mano de obra'!$A$5:$D$26,3,FALSE)</f>
        <v>27470</v>
      </c>
      <c r="E5377" s="345">
        <f>+VLOOKUP($B5377,'Mano de obra'!$A$5:$D$26,4,FALSE)</f>
        <v>71733.8</v>
      </c>
      <c r="F5377" s="202">
        <v>20</v>
      </c>
      <c r="G5377" s="178">
        <f>+E5377/F5377</f>
        <v>3586.69</v>
      </c>
      <c r="H5377" s="200"/>
    </row>
    <row r="5378" spans="1:8" x14ac:dyDescent="0.25">
      <c r="A5378" s="133"/>
      <c r="B5378" s="385" t="s">
        <v>5635</v>
      </c>
      <c r="C5378" s="345">
        <f>+VLOOKUP($B5378,'Mano de obra'!$A$5:$D$26,2,FALSE)</f>
        <v>24591</v>
      </c>
      <c r="D5378" s="345">
        <f>+VLOOKUP($B5378,'Mano de obra'!$A$5:$D$26,3,FALSE)</f>
        <v>15261</v>
      </c>
      <c r="E5378" s="345">
        <f>+VLOOKUP($B5378,'Mano de obra'!$A$5:$D$26,4,FALSE)</f>
        <v>39852</v>
      </c>
      <c r="F5378" s="382">
        <v>8</v>
      </c>
      <c r="G5378" s="410">
        <f>+E5378/F5378</f>
        <v>4981.5</v>
      </c>
      <c r="H5378" s="200"/>
    </row>
    <row r="5379" spans="1:8" x14ac:dyDescent="0.25">
      <c r="A5379" s="133"/>
      <c r="B5379" s="385"/>
      <c r="C5379" s="384"/>
      <c r="D5379" s="972"/>
      <c r="E5379" s="384"/>
      <c r="F5379" s="382"/>
      <c r="G5379" s="410"/>
      <c r="H5379" s="200"/>
    </row>
    <row r="5380" spans="1:8" x14ac:dyDescent="0.25">
      <c r="A5380" s="133"/>
      <c r="B5380" s="195"/>
      <c r="C5380" s="232"/>
      <c r="D5380" s="952"/>
      <c r="E5380" s="232"/>
      <c r="F5380" s="226"/>
      <c r="G5380" s="229"/>
      <c r="H5380" s="200"/>
    </row>
    <row r="5381" spans="1:8" ht="15.75" thickBot="1" x14ac:dyDescent="0.3">
      <c r="A5381" s="133"/>
      <c r="B5381" s="195"/>
      <c r="C5381" s="232"/>
      <c r="D5381" s="952"/>
      <c r="E5381" s="232"/>
      <c r="F5381" s="226"/>
      <c r="G5381" s="229"/>
      <c r="H5381" s="200"/>
    </row>
    <row r="5382" spans="1:8" ht="15.75" thickBot="1" x14ac:dyDescent="0.3">
      <c r="A5382" s="133"/>
      <c r="B5382" s="251"/>
      <c r="C5382" s="252"/>
      <c r="D5382" s="956"/>
      <c r="E5382" s="252"/>
      <c r="F5382" s="253"/>
      <c r="G5382" s="254"/>
      <c r="H5382" s="256">
        <f>+SUM(G5376:G5382)</f>
        <v>8661.3009999999995</v>
      </c>
    </row>
    <row r="5383" spans="1:8" ht="15.75" thickBot="1" x14ac:dyDescent="0.3">
      <c r="A5383" s="133"/>
      <c r="B5383" s="8"/>
      <c r="C5383" s="8"/>
      <c r="D5383" s="529"/>
      <c r="E5383" s="8"/>
      <c r="F5383" s="133"/>
      <c r="G5383" s="200"/>
      <c r="H5383" s="200"/>
    </row>
    <row r="5384" spans="1:8" ht="15.75" thickBot="1" x14ac:dyDescent="0.3">
      <c r="A5384" s="133" t="s">
        <v>6744</v>
      </c>
      <c r="B5384" s="8"/>
      <c r="C5384" s="8"/>
      <c r="D5384" s="529"/>
      <c r="E5384" s="223" t="s">
        <v>5415</v>
      </c>
      <c r="F5384" s="223"/>
      <c r="G5384" s="200"/>
      <c r="H5384" s="256">
        <f>ROUND(+H5382+H5373+H5365+H5350,0)</f>
        <v>819794</v>
      </c>
    </row>
    <row r="5385" spans="1:8" x14ac:dyDescent="0.25">
      <c r="A5385" s="1441"/>
      <c r="B5385" s="1441"/>
      <c r="C5385" s="1441"/>
      <c r="D5385" s="957"/>
      <c r="E5385" s="1441"/>
      <c r="F5385" s="1441"/>
      <c r="G5385" s="1441"/>
      <c r="H5385" s="1441"/>
    </row>
    <row r="5386" spans="1:8" x14ac:dyDescent="0.25">
      <c r="A5386" s="1441"/>
      <c r="B5386" s="1441"/>
      <c r="C5386" s="1441"/>
      <c r="D5386" s="957"/>
      <c r="E5386" s="1441"/>
      <c r="F5386" s="1441"/>
      <c r="G5386" s="1441"/>
      <c r="H5386" s="1441"/>
    </row>
    <row r="5387" spans="1:8" x14ac:dyDescent="0.25">
      <c r="A5387" s="1441"/>
      <c r="B5387" s="1441"/>
      <c r="C5387" s="1441"/>
      <c r="D5387" s="957"/>
      <c r="E5387" s="1441"/>
      <c r="F5387" s="1441"/>
      <c r="G5387" s="1441"/>
      <c r="H5387" s="1441"/>
    </row>
    <row r="5388" spans="1:8" x14ac:dyDescent="0.25">
      <c r="A5388" s="593" t="s">
        <v>5952</v>
      </c>
      <c r="B5388" s="1390">
        <f>+VLOOKUP(C5388,ListaAPUs!$B:$E,4,FALSE)</f>
        <v>8.1</v>
      </c>
      <c r="C5388" s="2445" t="str">
        <f>+ListaAPUs!B188</f>
        <v>CAJAS DE ENTREGA</v>
      </c>
      <c r="D5388" s="2445"/>
      <c r="E5388" s="2445"/>
      <c r="F5388" s="890" t="s">
        <v>867</v>
      </c>
      <c r="G5388" s="139" t="s">
        <v>5424</v>
      </c>
      <c r="H5388" s="134"/>
    </row>
    <row r="5389" spans="1:8" x14ac:dyDescent="0.25">
      <c r="A5389" s="404"/>
      <c r="B5389" s="405"/>
      <c r="C5389" s="1469"/>
      <c r="D5389" s="973"/>
      <c r="E5389" s="1469"/>
      <c r="F5389" s="400"/>
      <c r="G5389" s="142"/>
      <c r="H5389" s="134"/>
    </row>
    <row r="5390" spans="1:8" ht="15.75" thickBot="1" x14ac:dyDescent="0.3">
      <c r="A5390" s="397"/>
      <c r="B5390" s="397"/>
      <c r="C5390" s="397"/>
      <c r="D5390" s="430"/>
      <c r="E5390" s="397"/>
      <c r="F5390" s="400"/>
      <c r="G5390" s="401"/>
      <c r="H5390" s="401"/>
    </row>
    <row r="5391" spans="1:8" ht="15.75" thickBot="1" x14ac:dyDescent="0.3">
      <c r="A5391" s="397"/>
      <c r="B5391" s="407" t="s">
        <v>5403</v>
      </c>
      <c r="C5391" s="408" t="s">
        <v>867</v>
      </c>
      <c r="D5391" s="408" t="s">
        <v>6</v>
      </c>
      <c r="E5391" s="408" t="s">
        <v>5439</v>
      </c>
      <c r="F5391" s="408" t="s">
        <v>5405</v>
      </c>
      <c r="G5391" s="409" t="s">
        <v>868</v>
      </c>
      <c r="H5391" s="401"/>
    </row>
    <row r="5392" spans="1:8" x14ac:dyDescent="0.25">
      <c r="A5392" s="397"/>
      <c r="B5392" s="381" t="s">
        <v>5934</v>
      </c>
      <c r="C5392" s="382"/>
      <c r="D5392" s="383"/>
      <c r="E5392" s="384">
        <f>+H5422</f>
        <v>111772.022</v>
      </c>
      <c r="F5392" s="383">
        <v>0.05</v>
      </c>
      <c r="G5392" s="410">
        <f>+F5392*E5392</f>
        <v>5588.6010999999999</v>
      </c>
      <c r="H5392" s="401"/>
    </row>
    <row r="5393" spans="1:8" x14ac:dyDescent="0.25">
      <c r="A5393" s="397"/>
      <c r="B5393" s="385"/>
      <c r="C5393" s="386"/>
      <c r="D5393" s="387"/>
      <c r="E5393" s="388"/>
      <c r="F5393" s="387"/>
      <c r="G5393" s="411"/>
      <c r="H5393" s="401"/>
    </row>
    <row r="5394" spans="1:8" x14ac:dyDescent="0.25">
      <c r="A5394" s="397"/>
      <c r="B5394" s="385"/>
      <c r="C5394" s="386"/>
      <c r="D5394" s="387"/>
      <c r="E5394" s="388"/>
      <c r="F5394" s="387"/>
      <c r="G5394" s="411"/>
      <c r="H5394" s="401"/>
    </row>
    <row r="5395" spans="1:8" x14ac:dyDescent="0.25">
      <c r="A5395" s="397"/>
      <c r="B5395" s="385"/>
      <c r="C5395" s="386"/>
      <c r="D5395" s="387"/>
      <c r="E5395" s="388"/>
      <c r="F5395" s="387"/>
      <c r="G5395" s="411"/>
      <c r="H5395" s="401"/>
    </row>
    <row r="5396" spans="1:8" x14ac:dyDescent="0.25">
      <c r="A5396" s="397"/>
      <c r="B5396" s="385"/>
      <c r="C5396" s="386"/>
      <c r="D5396" s="387"/>
      <c r="E5396" s="388"/>
      <c r="F5396" s="387"/>
      <c r="G5396" s="411"/>
      <c r="H5396" s="401"/>
    </row>
    <row r="5397" spans="1:8" ht="15.75" thickBot="1" x14ac:dyDescent="0.3">
      <c r="A5397" s="397"/>
      <c r="B5397" s="385"/>
      <c r="C5397" s="386"/>
      <c r="D5397" s="387"/>
      <c r="E5397" s="387"/>
      <c r="F5397" s="387"/>
      <c r="G5397" s="411"/>
      <c r="H5397" s="401"/>
    </row>
    <row r="5398" spans="1:8" ht="15.75" thickBot="1" x14ac:dyDescent="0.3">
      <c r="A5398" s="397"/>
      <c r="B5398" s="412"/>
      <c r="C5398" s="413"/>
      <c r="D5398" s="414"/>
      <c r="E5398" s="414"/>
      <c r="F5398" s="414"/>
      <c r="G5398" s="415"/>
      <c r="H5398" s="416">
        <f>+SUM(G5392:G5398)</f>
        <v>5588.6010999999999</v>
      </c>
    </row>
    <row r="5399" spans="1:8" ht="15.75" thickBot="1" x14ac:dyDescent="0.3">
      <c r="A5399" s="397"/>
      <c r="B5399" s="417"/>
      <c r="C5399" s="418"/>
      <c r="D5399" s="417"/>
      <c r="E5399" s="417"/>
      <c r="F5399" s="417"/>
      <c r="G5399" s="419"/>
      <c r="H5399" s="420"/>
    </row>
    <row r="5400" spans="1:8" ht="15.75" thickBot="1" x14ac:dyDescent="0.3">
      <c r="A5400" s="397"/>
      <c r="B5400" s="407" t="s">
        <v>5408</v>
      </c>
      <c r="C5400" s="408" t="s">
        <v>867</v>
      </c>
      <c r="D5400" s="408" t="s">
        <v>6</v>
      </c>
      <c r="E5400" s="408" t="s">
        <v>870</v>
      </c>
      <c r="F5400" s="408" t="s">
        <v>5409</v>
      </c>
      <c r="G5400" s="409" t="s">
        <v>868</v>
      </c>
      <c r="H5400" s="401"/>
    </row>
    <row r="5401" spans="1:8" x14ac:dyDescent="0.25">
      <c r="A5401" s="397"/>
      <c r="B5401" s="690" t="s">
        <v>8021</v>
      </c>
      <c r="C5401" s="212" t="s">
        <v>6421</v>
      </c>
      <c r="D5401" s="211">
        <f>1.4*1.4*1.4</f>
        <v>2.7439999999999993</v>
      </c>
      <c r="E5401" s="980">
        <f>+VLOOKUP(B5401,Insumos!$A$2:$C$331,3,FALSE)</f>
        <v>25050.327600000001</v>
      </c>
      <c r="F5401" s="169">
        <v>0.05</v>
      </c>
      <c r="G5401" s="172">
        <f>+D5401*E5401*(1+F5401)</f>
        <v>72175.003881119992</v>
      </c>
      <c r="H5401" s="401"/>
    </row>
    <row r="5402" spans="1:8" ht="27" customHeight="1" x14ac:dyDescent="0.25">
      <c r="A5402" s="397"/>
      <c r="B5402" s="691" t="s">
        <v>6345</v>
      </c>
      <c r="C5402" s="212" t="s">
        <v>6421</v>
      </c>
      <c r="D5402" s="211">
        <f>1.4*1.4*0.05</f>
        <v>9.799999999999999E-2</v>
      </c>
      <c r="E5402" s="980">
        <f>+VLOOKUP(B5402,Insumos!$A$2:$C$331,3,FALSE)</f>
        <v>381515.20157535333</v>
      </c>
      <c r="F5402" s="169">
        <v>0.05</v>
      </c>
      <c r="G5402" s="172">
        <f t="shared" ref="G5402:G5408" si="93">+D5402*E5402*(1+F5402)</f>
        <v>39257.914242103856</v>
      </c>
      <c r="H5402" s="401"/>
    </row>
    <row r="5403" spans="1:8" x14ac:dyDescent="0.25">
      <c r="A5403" s="397"/>
      <c r="B5403" s="692" t="s">
        <v>8022</v>
      </c>
      <c r="C5403" s="212" t="s">
        <v>6421</v>
      </c>
      <c r="D5403" s="211">
        <f>1.4*1.4*0.2</f>
        <v>0.39199999999999996</v>
      </c>
      <c r="E5403" s="980">
        <f>+VLOOKUP(B5403,Insumos!$A$2:$C$331,3,FALSE)</f>
        <v>701490.39918767998</v>
      </c>
      <c r="F5403" s="169">
        <v>0.05</v>
      </c>
      <c r="G5403" s="172">
        <f t="shared" si="93"/>
        <v>288733.44830564904</v>
      </c>
      <c r="H5403" s="401"/>
    </row>
    <row r="5404" spans="1:8" x14ac:dyDescent="0.25">
      <c r="A5404" s="404"/>
      <c r="B5404" s="692" t="s">
        <v>8023</v>
      </c>
      <c r="C5404" s="212" t="s">
        <v>6421</v>
      </c>
      <c r="D5404" s="212">
        <f>3.8*1.4*0.2+1*0.8*0.2</f>
        <v>1.2239999999999998</v>
      </c>
      <c r="E5404" s="980">
        <f>+VLOOKUP(B5404,Insumos!$A$2:$C$331,3,FALSE)</f>
        <v>847978.7178050743</v>
      </c>
      <c r="F5404" s="169">
        <v>0.05</v>
      </c>
      <c r="G5404" s="172">
        <f t="shared" si="93"/>
        <v>1089822.2481230814</v>
      </c>
      <c r="H5404" s="134"/>
    </row>
    <row r="5405" spans="1:8" x14ac:dyDescent="0.25">
      <c r="A5405" s="397"/>
      <c r="B5405" s="692" t="s">
        <v>5741</v>
      </c>
      <c r="C5405" s="212" t="s">
        <v>5550</v>
      </c>
      <c r="D5405" s="386">
        <f>1.6*50</f>
        <v>80</v>
      </c>
      <c r="E5405" s="980">
        <f>+VLOOKUP(B5405,Insumos!$A$2:$C$331,3,FALSE)</f>
        <v>3887.5659999999998</v>
      </c>
      <c r="F5405" s="169">
        <v>0.05</v>
      </c>
      <c r="G5405" s="172">
        <f t="shared" si="93"/>
        <v>326555.54399999999</v>
      </c>
      <c r="H5405" s="401"/>
    </row>
    <row r="5406" spans="1:8" x14ac:dyDescent="0.25">
      <c r="A5406" s="397"/>
      <c r="B5406" s="692" t="s">
        <v>8024</v>
      </c>
      <c r="C5406" s="212" t="s">
        <v>5550</v>
      </c>
      <c r="D5406" s="386">
        <v>5</v>
      </c>
      <c r="E5406" s="980">
        <f>+VLOOKUP(B5406,Insumos!$A$2:$C$331,3,FALSE)</f>
        <v>12019</v>
      </c>
      <c r="F5406" s="169">
        <v>0.05</v>
      </c>
      <c r="G5406" s="172">
        <f t="shared" si="93"/>
        <v>63099.75</v>
      </c>
      <c r="H5406" s="401"/>
    </row>
    <row r="5407" spans="1:8" x14ac:dyDescent="0.25">
      <c r="A5407" s="397"/>
      <c r="B5407" s="689" t="s">
        <v>8028</v>
      </c>
      <c r="C5407" s="688" t="s">
        <v>6421</v>
      </c>
      <c r="D5407" s="687">
        <v>1</v>
      </c>
      <c r="E5407" s="980">
        <f>+VLOOKUP(B5407,Insumos!$A$2:$C$331,3,FALSE)</f>
        <v>12486.3444</v>
      </c>
      <c r="F5407" s="169">
        <v>0.05</v>
      </c>
      <c r="G5407" s="172">
        <f t="shared" si="93"/>
        <v>13110.661620000001</v>
      </c>
      <c r="H5407" s="401"/>
    </row>
    <row r="5408" spans="1:8" ht="15.75" thickBot="1" x14ac:dyDescent="0.3">
      <c r="A5408" s="397"/>
      <c r="B5408" s="689" t="str">
        <f>+PROPER(Insumos!$A$127)</f>
        <v>Pasamuro Bb 100Mm L=0.5 A 1M</v>
      </c>
      <c r="C5408" s="386" t="s">
        <v>5424</v>
      </c>
      <c r="D5408" s="386">
        <v>1</v>
      </c>
      <c r="E5408" s="980">
        <f>+VLOOKUP(B5408,Insumos!$A$2:$C$331,3,FALSE)</f>
        <v>534492.50399999996</v>
      </c>
      <c r="F5408" s="396"/>
      <c r="G5408" s="172">
        <f t="shared" si="93"/>
        <v>534492.50399999996</v>
      </c>
      <c r="H5408" s="401"/>
    </row>
    <row r="5409" spans="1:8" ht="15.75" thickBot="1" x14ac:dyDescent="0.3">
      <c r="A5409" s="397"/>
      <c r="B5409" s="412"/>
      <c r="C5409" s="413"/>
      <c r="D5409" s="413"/>
      <c r="E5409" s="423"/>
      <c r="F5409" s="597"/>
      <c r="G5409" s="410"/>
      <c r="H5409" s="416">
        <f>+SUM(G5401:G5409)</f>
        <v>2427247.0741719543</v>
      </c>
    </row>
    <row r="5410" spans="1:8" ht="15.75" thickBot="1" x14ac:dyDescent="0.3">
      <c r="A5410" s="397"/>
      <c r="B5410" s="417"/>
      <c r="C5410" s="417"/>
      <c r="D5410" s="417"/>
      <c r="E5410" s="417"/>
      <c r="F5410" s="417"/>
      <c r="G5410" s="419"/>
      <c r="H5410" s="420"/>
    </row>
    <row r="5411" spans="1:8" ht="15.75" thickBot="1" x14ac:dyDescent="0.3">
      <c r="A5411" s="397"/>
      <c r="B5411" s="407" t="s">
        <v>5410</v>
      </c>
      <c r="C5411" s="408" t="s">
        <v>867</v>
      </c>
      <c r="D5411" s="408" t="s">
        <v>6</v>
      </c>
      <c r="E5411" s="408" t="s">
        <v>870</v>
      </c>
      <c r="F5411" s="408" t="s">
        <v>5411</v>
      </c>
      <c r="G5411" s="409" t="s">
        <v>868</v>
      </c>
      <c r="H5411" s="401"/>
    </row>
    <row r="5412" spans="1:8" ht="15.75" thickBot="1" x14ac:dyDescent="0.3">
      <c r="A5412" s="397"/>
      <c r="B5412" s="579"/>
      <c r="C5412" s="580"/>
      <c r="D5412" s="580"/>
      <c r="E5412" s="580"/>
      <c r="F5412" s="580"/>
      <c r="G5412" s="581"/>
      <c r="H5412" s="401"/>
    </row>
    <row r="5413" spans="1:8" ht="15.75" thickBot="1" x14ac:dyDescent="0.3">
      <c r="A5413" s="397"/>
      <c r="B5413" s="412"/>
      <c r="C5413" s="414"/>
      <c r="D5413" s="414"/>
      <c r="E5413" s="414"/>
      <c r="F5413" s="414"/>
      <c r="G5413" s="415"/>
      <c r="H5413" s="416">
        <f>+SUM(G5413:G5413)</f>
        <v>0</v>
      </c>
    </row>
    <row r="5414" spans="1:8" ht="15.75" thickBot="1" x14ac:dyDescent="0.3">
      <c r="A5414" s="397"/>
      <c r="B5414" s="417"/>
      <c r="C5414" s="417"/>
      <c r="D5414" s="417"/>
      <c r="E5414" s="417"/>
      <c r="F5414" s="425"/>
      <c r="G5414" s="426"/>
      <c r="H5414" s="420"/>
    </row>
    <row r="5415" spans="1:8" ht="15.75" thickBot="1" x14ac:dyDescent="0.3">
      <c r="A5415" s="397"/>
      <c r="B5415" s="407" t="s">
        <v>5412</v>
      </c>
      <c r="C5415" s="408" t="s">
        <v>5420</v>
      </c>
      <c r="D5415" s="408" t="s">
        <v>5421</v>
      </c>
      <c r="E5415" s="408" t="s">
        <v>5413</v>
      </c>
      <c r="F5415" s="408" t="s">
        <v>5405</v>
      </c>
      <c r="G5415" s="409" t="s">
        <v>868</v>
      </c>
      <c r="H5415" s="401"/>
    </row>
    <row r="5416" spans="1:8" x14ac:dyDescent="0.25">
      <c r="A5416" s="397"/>
      <c r="B5416" s="381" t="s">
        <v>5948</v>
      </c>
      <c r="C5416" s="345">
        <f>+VLOOKUP($B5416,'Mano de obra'!$A$5:$D$26,2,FALSE)</f>
        <v>57455</v>
      </c>
      <c r="D5416" s="345">
        <f>+VLOOKUP($B5416,'Mano de obra'!$A$5:$D$26,3,FALSE)</f>
        <v>35656</v>
      </c>
      <c r="E5416" s="345">
        <f>+VLOOKUP($B5416,'Mano de obra'!$A$5:$D$26,4,FALSE)</f>
        <v>93111</v>
      </c>
      <c r="F5416" s="382">
        <v>500</v>
      </c>
      <c r="G5416" s="410">
        <f>+E5416/F5416</f>
        <v>186.22200000000001</v>
      </c>
      <c r="H5416" s="401"/>
    </row>
    <row r="5417" spans="1:8" x14ac:dyDescent="0.25">
      <c r="A5417" s="397"/>
      <c r="B5417" s="385" t="s">
        <v>5949</v>
      </c>
      <c r="C5417" s="345">
        <f>+VLOOKUP($B5417,'Mano de obra'!$A$5:$D$26,2,FALSE)</f>
        <v>44263.8</v>
      </c>
      <c r="D5417" s="345">
        <f>+VLOOKUP($B5417,'Mano de obra'!$A$5:$D$26,3,FALSE)</f>
        <v>27470</v>
      </c>
      <c r="E5417" s="345">
        <f>+VLOOKUP($B5417,'Mano de obra'!$A$5:$D$26,4,FALSE)</f>
        <v>71733.8</v>
      </c>
      <c r="F5417" s="382">
        <v>1</v>
      </c>
      <c r="G5417" s="410">
        <f>+E5417/F5417</f>
        <v>71733.8</v>
      </c>
      <c r="H5417" s="401"/>
    </row>
    <row r="5418" spans="1:8" x14ac:dyDescent="0.25">
      <c r="A5418" s="397"/>
      <c r="B5418" s="385" t="s">
        <v>5635</v>
      </c>
      <c r="C5418" s="345">
        <f>+VLOOKUP($B5418,'Mano de obra'!$A$5:$D$26,2,FALSE)</f>
        <v>24591</v>
      </c>
      <c r="D5418" s="345">
        <f>+VLOOKUP($B5418,'Mano de obra'!$A$5:$D$26,3,FALSE)</f>
        <v>15261</v>
      </c>
      <c r="E5418" s="345">
        <f>+VLOOKUP($B5418,'Mano de obra'!$A$5:$D$26,4,FALSE)</f>
        <v>39852</v>
      </c>
      <c r="F5418" s="382">
        <v>1</v>
      </c>
      <c r="G5418" s="410">
        <f>+E5418/F5418</f>
        <v>39852</v>
      </c>
      <c r="H5418" s="401"/>
    </row>
    <row r="5419" spans="1:8" x14ac:dyDescent="0.25">
      <c r="A5419" s="397"/>
      <c r="B5419" s="385"/>
      <c r="C5419" s="384"/>
      <c r="D5419" s="972"/>
      <c r="E5419" s="384"/>
      <c r="F5419" s="382"/>
      <c r="G5419" s="410"/>
      <c r="H5419" s="401"/>
    </row>
    <row r="5420" spans="1:8" x14ac:dyDescent="0.25">
      <c r="A5420" s="397"/>
      <c r="B5420" s="412"/>
      <c r="C5420" s="582"/>
      <c r="D5420" s="974"/>
      <c r="E5420" s="582"/>
      <c r="F5420" s="580"/>
      <c r="G5420" s="583"/>
      <c r="H5420" s="401"/>
    </row>
    <row r="5421" spans="1:8" ht="15.75" thickBot="1" x14ac:dyDescent="0.3">
      <c r="A5421" s="397"/>
      <c r="B5421" s="412"/>
      <c r="C5421" s="582"/>
      <c r="D5421" s="974"/>
      <c r="E5421" s="582"/>
      <c r="F5421" s="580"/>
      <c r="G5421" s="583"/>
      <c r="H5421" s="401"/>
    </row>
    <row r="5422" spans="1:8" ht="15.75" thickBot="1" x14ac:dyDescent="0.3">
      <c r="A5422" s="397"/>
      <c r="B5422" s="427"/>
      <c r="C5422" s="428"/>
      <c r="D5422" s="428"/>
      <c r="E5422" s="428"/>
      <c r="F5422" s="428"/>
      <c r="G5422" s="429"/>
      <c r="H5422" s="416">
        <f>+SUM(G5416:G5422)</f>
        <v>111772.022</v>
      </c>
    </row>
    <row r="5423" spans="1:8" ht="15.75" thickBot="1" x14ac:dyDescent="0.3">
      <c r="A5423" s="397"/>
      <c r="B5423" s="430"/>
      <c r="C5423" s="430"/>
      <c r="D5423" s="430"/>
      <c r="E5423" s="430"/>
      <c r="F5423" s="430"/>
      <c r="G5423" s="401"/>
      <c r="H5423" s="401"/>
    </row>
    <row r="5424" spans="1:8" ht="15.75" thickBot="1" x14ac:dyDescent="0.3">
      <c r="A5424" s="133" t="s">
        <v>6744</v>
      </c>
      <c r="B5424" s="430"/>
      <c r="C5424" s="430"/>
      <c r="D5424" s="430"/>
      <c r="E5424" s="431" t="s">
        <v>5415</v>
      </c>
      <c r="F5424" s="430"/>
      <c r="G5424" s="401"/>
      <c r="H5424" s="416">
        <f>+ROUND(H5398+H5409+H5413+H5422,0)</f>
        <v>2544608</v>
      </c>
    </row>
    <row r="5425" spans="1:8" x14ac:dyDescent="0.25">
      <c r="A5425" s="1441"/>
      <c r="B5425" s="1441"/>
      <c r="C5425" s="1441"/>
      <c r="D5425" s="957"/>
      <c r="E5425" s="1441"/>
      <c r="F5425" s="1441"/>
      <c r="G5425" s="1441"/>
      <c r="H5425" s="1441"/>
    </row>
    <row r="5426" spans="1:8" x14ac:dyDescent="0.25">
      <c r="A5426" s="1441"/>
      <c r="B5426" s="1441"/>
      <c r="C5426" s="1441"/>
      <c r="D5426" s="957"/>
      <c r="E5426" s="1441"/>
      <c r="F5426" s="1441"/>
      <c r="G5426" s="1441"/>
      <c r="H5426" s="1441"/>
    </row>
    <row r="5427" spans="1:8" ht="32.25" customHeight="1" x14ac:dyDescent="0.25">
      <c r="A5427" s="673" t="s">
        <v>5482</v>
      </c>
      <c r="B5427" s="1390">
        <f>+VLOOKUP(C5427,ListaAPUs!$B:$E,4,FALSE)</f>
        <v>8.1999999999999993</v>
      </c>
      <c r="C5427" s="2449" t="str">
        <f>+ListaAPUs!B189</f>
        <v>ACERO ESTRUCTURAL VIADUCTO ALTO GRANDE (Incluye Suministro e Instalacion)</v>
      </c>
      <c r="D5427" s="2449"/>
      <c r="E5427" s="2449"/>
      <c r="F5427" s="673" t="s">
        <v>867</v>
      </c>
      <c r="G5427" s="342" t="s">
        <v>5944</v>
      </c>
      <c r="H5427" s="1441"/>
    </row>
    <row r="5428" spans="1:8" x14ac:dyDescent="0.25">
      <c r="A5428" s="133"/>
      <c r="B5428" s="8"/>
      <c r="C5428" s="223"/>
      <c r="D5428" s="958"/>
      <c r="E5428" s="223"/>
      <c r="F5428" s="140"/>
      <c r="G5428" s="133"/>
      <c r="H5428" s="341"/>
    </row>
    <row r="5429" spans="1:8" x14ac:dyDescent="0.25">
      <c r="A5429" s="133"/>
      <c r="B5429" s="8"/>
      <c r="C5429" s="8"/>
      <c r="D5429" s="529"/>
      <c r="E5429" s="8"/>
      <c r="F5429" s="140"/>
      <c r="G5429" s="8"/>
      <c r="H5429" s="8"/>
    </row>
    <row r="5430" spans="1:8" ht="15.75" thickBot="1" x14ac:dyDescent="0.3">
      <c r="A5430" s="133"/>
      <c r="B5430" s="8"/>
      <c r="C5430" s="8"/>
      <c r="D5430" s="529"/>
      <c r="E5430" s="8"/>
      <c r="F5430" s="140"/>
      <c r="G5430" s="133"/>
      <c r="H5430" s="341"/>
    </row>
    <row r="5431" spans="1:8" ht="15.75" thickBot="1" x14ac:dyDescent="0.3">
      <c r="A5431" s="133"/>
      <c r="B5431" s="224" t="s">
        <v>5403</v>
      </c>
      <c r="C5431" s="193" t="s">
        <v>867</v>
      </c>
      <c r="D5431" s="951" t="s">
        <v>6</v>
      </c>
      <c r="E5431" s="144" t="s">
        <v>5404</v>
      </c>
      <c r="F5431" s="193" t="s">
        <v>5405</v>
      </c>
      <c r="G5431" s="343" t="s">
        <v>868</v>
      </c>
      <c r="H5431" s="341"/>
    </row>
    <row r="5432" spans="1:8" s="1522" customFormat="1" x14ac:dyDescent="0.25">
      <c r="A5432" s="1523"/>
      <c r="B5432" s="1561" t="s">
        <v>6916</v>
      </c>
      <c r="C5432" s="226" t="s">
        <v>5481</v>
      </c>
      <c r="D5432" s="212">
        <v>1</v>
      </c>
      <c r="E5432" s="1535">
        <f>+VLOOKUP(B5432,Insumos!$A$2:$C$331,3,FALSE)</f>
        <v>15825.938</v>
      </c>
      <c r="F5432" s="226">
        <v>100</v>
      </c>
      <c r="G5432" s="344">
        <f>+E5432/F5432</f>
        <v>158.25937999999999</v>
      </c>
      <c r="H5432" s="341"/>
    </row>
    <row r="5433" spans="1:8" x14ac:dyDescent="0.25">
      <c r="A5433" s="133"/>
      <c r="B5433" s="195" t="s">
        <v>8029</v>
      </c>
      <c r="C5433" s="226" t="s">
        <v>5481</v>
      </c>
      <c r="D5433" s="212">
        <v>1</v>
      </c>
      <c r="E5433" s="1535">
        <f>+VLOOKUP(B5433,Insumos!$A$2:$C$331,3,FALSE)</f>
        <v>202536</v>
      </c>
      <c r="F5433" s="226">
        <v>100</v>
      </c>
      <c r="G5433" s="344">
        <f>+E5433/F5433</f>
        <v>2025.36</v>
      </c>
      <c r="H5433" s="341"/>
    </row>
    <row r="5434" spans="1:8" x14ac:dyDescent="0.25">
      <c r="A5434" s="133"/>
      <c r="B5434" s="195" t="s">
        <v>9073</v>
      </c>
      <c r="C5434" s="226" t="s">
        <v>5481</v>
      </c>
      <c r="D5434" s="212">
        <v>1</v>
      </c>
      <c r="E5434" s="1535">
        <f>+VLOOKUP(B5434,Insumos!$A$2:$C$331,3,FALSE)</f>
        <v>15450</v>
      </c>
      <c r="F5434" s="226">
        <v>100</v>
      </c>
      <c r="G5434" s="344">
        <f>+E5434/F5434</f>
        <v>154.5</v>
      </c>
      <c r="H5434" s="341"/>
    </row>
    <row r="5435" spans="1:8" x14ac:dyDescent="0.25">
      <c r="A5435" s="133"/>
      <c r="B5435" s="1561" t="s">
        <v>5440</v>
      </c>
      <c r="C5435" s="226" t="s">
        <v>5406</v>
      </c>
      <c r="D5435" s="212">
        <v>1</v>
      </c>
      <c r="E5435" s="1535">
        <f>H5469</f>
        <v>1369.0222500000002</v>
      </c>
      <c r="F5435" s="226">
        <v>0.1</v>
      </c>
      <c r="G5435" s="373">
        <f>E5435*F5435</f>
        <v>136.90222500000002</v>
      </c>
      <c r="H5435" s="341"/>
    </row>
    <row r="5436" spans="1:8" x14ac:dyDescent="0.25">
      <c r="A5436" s="133"/>
      <c r="B5436" s="1561" t="s">
        <v>7976</v>
      </c>
      <c r="C5436" s="226" t="s">
        <v>5481</v>
      </c>
      <c r="D5436" s="212">
        <v>1</v>
      </c>
      <c r="E5436" s="975">
        <f>+VLOOKUP(B5436,Insumos!$A$2:$C$331,3,FALSE)</f>
        <v>42000</v>
      </c>
      <c r="F5436" s="226">
        <v>0.05</v>
      </c>
      <c r="G5436" s="373">
        <f>E5436*F5436*D5436</f>
        <v>2100</v>
      </c>
      <c r="H5436" s="341"/>
    </row>
    <row r="5437" spans="1:8" ht="15.75" thickBot="1" x14ac:dyDescent="0.3">
      <c r="A5437" s="133"/>
      <c r="B5437" s="195"/>
      <c r="C5437" s="226"/>
      <c r="D5437" s="952"/>
      <c r="E5437" s="152"/>
      <c r="F5437" s="226"/>
      <c r="G5437" s="344"/>
      <c r="H5437" s="341"/>
    </row>
    <row r="5438" spans="1:8" ht="15.75" thickBot="1" x14ac:dyDescent="0.3">
      <c r="A5438" s="133"/>
      <c r="B5438" s="233"/>
      <c r="C5438" s="234"/>
      <c r="D5438" s="953"/>
      <c r="E5438" s="159"/>
      <c r="F5438" s="235"/>
      <c r="G5438" s="347"/>
      <c r="H5438" s="348">
        <f>SUM(G5432:G5438)</f>
        <v>4575.0216049999999</v>
      </c>
    </row>
    <row r="5439" spans="1:8" ht="15.75" thickBot="1" x14ac:dyDescent="0.3">
      <c r="A5439" s="133"/>
      <c r="B5439" s="238"/>
      <c r="C5439" s="238"/>
      <c r="D5439" s="954"/>
      <c r="E5439" s="162"/>
      <c r="F5439" s="239"/>
      <c r="G5439" s="349"/>
      <c r="H5439" s="350"/>
    </row>
    <row r="5440" spans="1:8" ht="15.75" thickBot="1" x14ac:dyDescent="0.3">
      <c r="A5440" s="133"/>
      <c r="B5440" s="224" t="s">
        <v>5408</v>
      </c>
      <c r="C5440" s="193" t="s">
        <v>867</v>
      </c>
      <c r="D5440" s="951" t="s">
        <v>6</v>
      </c>
      <c r="E5440" s="144" t="s">
        <v>870</v>
      </c>
      <c r="F5440" s="193" t="s">
        <v>5409</v>
      </c>
      <c r="G5440" s="343" t="s">
        <v>868</v>
      </c>
      <c r="H5440" s="341"/>
    </row>
    <row r="5441" spans="1:8" x14ac:dyDescent="0.25">
      <c r="A5441" s="133"/>
      <c r="B5441" s="444" t="s">
        <v>7213</v>
      </c>
      <c r="C5441" s="445" t="s">
        <v>6050</v>
      </c>
      <c r="D5441" s="693">
        <v>1</v>
      </c>
      <c r="E5441" s="980">
        <f>+VLOOKUP(B5441,Insumos!$A$2:$C$331,3,FALSE)</f>
        <v>861.90319999999997</v>
      </c>
      <c r="F5441" s="226"/>
      <c r="G5441" s="377">
        <f>D5441*E5441*(1+F5441)</f>
        <v>861.90319999999997</v>
      </c>
      <c r="H5441" s="341"/>
    </row>
    <row r="5442" spans="1:8" x14ac:dyDescent="0.25">
      <c r="A5442" s="133"/>
      <c r="B5442" s="444" t="s">
        <v>9075</v>
      </c>
      <c r="C5442" s="445" t="s">
        <v>6050</v>
      </c>
      <c r="D5442" s="688">
        <v>1</v>
      </c>
      <c r="E5442" s="980">
        <f>+VLOOKUP(B5442,Insumos!$A$2:$C$331,3,FALSE)</f>
        <v>1006.4</v>
      </c>
      <c r="F5442" s="296">
        <v>0.02</v>
      </c>
      <c r="G5442" s="377">
        <f>D5442*E5442*(1+F5442)</f>
        <v>1026.528</v>
      </c>
      <c r="H5442" s="341"/>
    </row>
    <row r="5443" spans="1:8" x14ac:dyDescent="0.25">
      <c r="A5443" s="133"/>
      <c r="B5443" s="444" t="s">
        <v>7953</v>
      </c>
      <c r="C5443" s="445" t="s">
        <v>5431</v>
      </c>
      <c r="D5443" s="693">
        <v>1</v>
      </c>
      <c r="E5443" s="980">
        <f>+VLOOKUP(B5443,Insumos!$A$2:$C$331,3,FALSE)</f>
        <v>4000</v>
      </c>
      <c r="F5443" s="169">
        <v>0.01</v>
      </c>
      <c r="G5443" s="377">
        <f>D5443*E5443*(1+F5443)</f>
        <v>4040</v>
      </c>
      <c r="H5443" s="341"/>
    </row>
    <row r="5444" spans="1:8" s="1522" customFormat="1" x14ac:dyDescent="0.25">
      <c r="A5444" s="1523"/>
      <c r="B5444" s="444"/>
      <c r="C5444" s="445"/>
      <c r="D5444" s="693"/>
      <c r="E5444" s="980"/>
      <c r="F5444" s="1552"/>
      <c r="G5444" s="377"/>
      <c r="H5444" s="341"/>
    </row>
    <row r="5445" spans="1:8" s="1522" customFormat="1" x14ac:dyDescent="0.25">
      <c r="A5445" s="1523"/>
      <c r="B5445" s="444"/>
      <c r="C5445" s="445"/>
      <c r="D5445" s="693"/>
      <c r="E5445" s="980"/>
      <c r="F5445" s="1552"/>
      <c r="G5445" s="377"/>
      <c r="H5445" s="341"/>
    </row>
    <row r="5446" spans="1:8" s="1522" customFormat="1" x14ac:dyDescent="0.25">
      <c r="A5446" s="1523"/>
      <c r="B5446" s="444"/>
      <c r="C5446" s="445"/>
      <c r="D5446" s="693"/>
      <c r="E5446" s="980"/>
      <c r="F5446" s="1552"/>
      <c r="G5446" s="377"/>
      <c r="H5446" s="341"/>
    </row>
    <row r="5447" spans="1:8" s="1522" customFormat="1" x14ac:dyDescent="0.25">
      <c r="A5447" s="1523"/>
      <c r="B5447" s="444"/>
      <c r="C5447" s="445"/>
      <c r="D5447" s="693"/>
      <c r="E5447" s="980"/>
      <c r="F5447" s="1552"/>
      <c r="G5447" s="377"/>
      <c r="H5447" s="341"/>
    </row>
    <row r="5448" spans="1:8" s="1522" customFormat="1" x14ac:dyDescent="0.25">
      <c r="A5448" s="1523"/>
      <c r="B5448" s="444"/>
      <c r="C5448" s="445"/>
      <c r="D5448" s="693"/>
      <c r="E5448" s="980"/>
      <c r="F5448" s="1552"/>
      <c r="G5448" s="377"/>
      <c r="H5448" s="341"/>
    </row>
    <row r="5449" spans="1:8" x14ac:dyDescent="0.25">
      <c r="A5449" s="133"/>
      <c r="B5449" s="444"/>
      <c r="C5449" s="445"/>
      <c r="D5449" s="693"/>
      <c r="E5449" s="980"/>
      <c r="F5449" s="169"/>
      <c r="G5449" s="377"/>
      <c r="H5449" s="341"/>
    </row>
    <row r="5450" spans="1:8" x14ac:dyDescent="0.25">
      <c r="A5450" s="133"/>
      <c r="B5450" s="195"/>
      <c r="C5450" s="226"/>
      <c r="D5450" s="212"/>
      <c r="E5450" s="152"/>
      <c r="F5450" s="226"/>
      <c r="G5450" s="344"/>
      <c r="H5450" s="341"/>
    </row>
    <row r="5451" spans="1:8" ht="15.75" thickBot="1" x14ac:dyDescent="0.3">
      <c r="A5451" s="133"/>
      <c r="B5451" s="195"/>
      <c r="C5451" s="232"/>
      <c r="D5451" s="952"/>
      <c r="E5451" s="152"/>
      <c r="F5451" s="226"/>
      <c r="G5451" s="344"/>
      <c r="H5451" s="341"/>
    </row>
    <row r="5452" spans="1:8" ht="15.75" thickBot="1" x14ac:dyDescent="0.3">
      <c r="A5452" s="133"/>
      <c r="B5452" s="233"/>
      <c r="C5452" s="234"/>
      <c r="D5452" s="953"/>
      <c r="E5452" s="159"/>
      <c r="F5452" s="235"/>
      <c r="G5452" s="347"/>
      <c r="H5452" s="358">
        <f>SUM(G5441:G5452)</f>
        <v>5928.4312</v>
      </c>
    </row>
    <row r="5453" spans="1:8" ht="15.75" thickBot="1" x14ac:dyDescent="0.3">
      <c r="A5453" s="133"/>
      <c r="B5453" s="238"/>
      <c r="C5453" s="238"/>
      <c r="D5453" s="954"/>
      <c r="E5453" s="162"/>
      <c r="F5453" s="239"/>
      <c r="G5453" s="349"/>
      <c r="H5453" s="350"/>
    </row>
    <row r="5454" spans="1:8" ht="15.75" thickBot="1" x14ac:dyDescent="0.3">
      <c r="A5454" s="133"/>
      <c r="B5454" s="224" t="s">
        <v>5410</v>
      </c>
      <c r="C5454" s="193" t="s">
        <v>867</v>
      </c>
      <c r="D5454" s="951" t="s">
        <v>6</v>
      </c>
      <c r="E5454" s="193" t="s">
        <v>870</v>
      </c>
      <c r="F5454" s="193" t="s">
        <v>5411</v>
      </c>
      <c r="G5454" s="343" t="s">
        <v>868</v>
      </c>
      <c r="H5454" s="341"/>
    </row>
    <row r="5455" spans="1:8" ht="25.5" x14ac:dyDescent="0.25">
      <c r="A5455" s="133"/>
      <c r="B5455" s="245" t="s">
        <v>6687</v>
      </c>
      <c r="C5455" s="283"/>
      <c r="D5455" s="959"/>
      <c r="E5455" s="379"/>
      <c r="F5455" s="283"/>
      <c r="G5455" s="354">
        <v>150</v>
      </c>
      <c r="H5455" s="355"/>
    </row>
    <row r="5456" spans="1:8" x14ac:dyDescent="0.25">
      <c r="A5456" s="133"/>
      <c r="B5456" s="247"/>
      <c r="C5456" s="286"/>
      <c r="D5456" s="960"/>
      <c r="E5456" s="380"/>
      <c r="F5456" s="286"/>
      <c r="G5456" s="351"/>
      <c r="H5456" s="341"/>
    </row>
    <row r="5457" spans="1:8" x14ac:dyDescent="0.25">
      <c r="A5457" s="133"/>
      <c r="B5457" s="247"/>
      <c r="C5457" s="286"/>
      <c r="D5457" s="960"/>
      <c r="E5457" s="288"/>
      <c r="F5457" s="286"/>
      <c r="G5457" s="344"/>
      <c r="H5457" s="341"/>
    </row>
    <row r="5458" spans="1:8" x14ac:dyDescent="0.25">
      <c r="A5458" s="133"/>
      <c r="B5458" s="194"/>
      <c r="C5458" s="248"/>
      <c r="D5458" s="961"/>
      <c r="E5458" s="248"/>
      <c r="F5458" s="202"/>
      <c r="G5458" s="344"/>
      <c r="H5458" s="341"/>
    </row>
    <row r="5459" spans="1:8" ht="15.75" thickBot="1" x14ac:dyDescent="0.3">
      <c r="A5459" s="133"/>
      <c r="B5459" s="195"/>
      <c r="C5459" s="232"/>
      <c r="D5459" s="952"/>
      <c r="E5459" s="232"/>
      <c r="F5459" s="226"/>
      <c r="G5459" s="344"/>
      <c r="H5459" s="341"/>
    </row>
    <row r="5460" spans="1:8" ht="15.75" thickBot="1" x14ac:dyDescent="0.3">
      <c r="A5460" s="133"/>
      <c r="B5460" s="233"/>
      <c r="C5460" s="234"/>
      <c r="D5460" s="953"/>
      <c r="E5460" s="234"/>
      <c r="F5460" s="235"/>
      <c r="G5460" s="347"/>
      <c r="H5460" s="348">
        <f>+SUM(G5455:G5460)</f>
        <v>150</v>
      </c>
    </row>
    <row r="5461" spans="1:8" ht="15.75" thickBot="1" x14ac:dyDescent="0.3">
      <c r="A5461" s="133"/>
      <c r="B5461" s="238"/>
      <c r="C5461" s="238"/>
      <c r="D5461" s="954"/>
      <c r="E5461" s="238"/>
      <c r="F5461" s="249"/>
      <c r="G5461" s="356"/>
      <c r="H5461" s="350"/>
    </row>
    <row r="5462" spans="1:8" ht="15.75" thickBot="1" x14ac:dyDescent="0.3">
      <c r="A5462" s="133"/>
      <c r="B5462" s="224" t="s">
        <v>5412</v>
      </c>
      <c r="C5462" s="193" t="s">
        <v>5420</v>
      </c>
      <c r="D5462" s="951" t="s">
        <v>5421</v>
      </c>
      <c r="E5462" s="193" t="s">
        <v>5413</v>
      </c>
      <c r="F5462" s="193" t="s">
        <v>5405</v>
      </c>
      <c r="G5462" s="343" t="s">
        <v>868</v>
      </c>
      <c r="H5462" s="341"/>
    </row>
    <row r="5463" spans="1:8" x14ac:dyDescent="0.25">
      <c r="A5463" s="133"/>
      <c r="B5463" s="1560" t="s">
        <v>5948</v>
      </c>
      <c r="C5463" s="1569">
        <f>+VLOOKUP($B5463,'Mano de obra'!$A$5:$D$26,2,FALSE)</f>
        <v>57455</v>
      </c>
      <c r="D5463" s="1569">
        <f>+VLOOKUP($B5463,'Mano de obra'!$A$5:$D$26,3,FALSE)</f>
        <v>35656</v>
      </c>
      <c r="E5463" s="1569">
        <f>+VLOOKUP($B5463,'Mano de obra'!$A$5:$D$26,4,FALSE)</f>
        <v>93111</v>
      </c>
      <c r="F5463" s="209">
        <v>800</v>
      </c>
      <c r="G5463" s="178">
        <f>+E5463/F5463*5</f>
        <v>581.94375000000002</v>
      </c>
      <c r="H5463" s="200"/>
    </row>
    <row r="5464" spans="1:8" x14ac:dyDescent="0.25">
      <c r="A5464" s="133"/>
      <c r="B5464" s="1560" t="s">
        <v>5949</v>
      </c>
      <c r="C5464" s="1569">
        <f>+VLOOKUP($B5464,'Mano de obra'!$A$5:$D$26,2,FALSE)</f>
        <v>44263.8</v>
      </c>
      <c r="D5464" s="1569">
        <f>+VLOOKUP($B5464,'Mano de obra'!$A$5:$D$26,3,FALSE)</f>
        <v>27470</v>
      </c>
      <c r="E5464" s="1569">
        <f>+VLOOKUP($B5464,'Mano de obra'!$A$5:$D$26,4,FALSE)</f>
        <v>71733.8</v>
      </c>
      <c r="F5464" s="209">
        <f>+F5463</f>
        <v>800</v>
      </c>
      <c r="G5464" s="178">
        <f>+E5464/F5464*5</f>
        <v>448.33625000000006</v>
      </c>
      <c r="H5464" s="200"/>
    </row>
    <row r="5465" spans="1:8" x14ac:dyDescent="0.25">
      <c r="A5465" s="133"/>
      <c r="B5465" s="1561" t="s">
        <v>5635</v>
      </c>
      <c r="C5465" s="1569">
        <f>+VLOOKUP($B5465,'Mano de obra'!$A$5:$D$26,2,FALSE)</f>
        <v>24591</v>
      </c>
      <c r="D5465" s="1569">
        <f>+VLOOKUP($B5465,'Mano de obra'!$A$5:$D$26,3,FALSE)</f>
        <v>15261</v>
      </c>
      <c r="E5465" s="1569">
        <f>+VLOOKUP($B5465,'Mano de obra'!$A$5:$D$26,4,FALSE)</f>
        <v>39852</v>
      </c>
      <c r="F5465" s="207">
        <f>+F5464</f>
        <v>800</v>
      </c>
      <c r="G5465" s="178">
        <f>+E5465/F5465*5</f>
        <v>249.07499999999999</v>
      </c>
      <c r="H5465" s="200"/>
    </row>
    <row r="5466" spans="1:8" x14ac:dyDescent="0.25">
      <c r="A5466" s="133"/>
      <c r="B5466" s="764" t="s">
        <v>5951</v>
      </c>
      <c r="C5466" s="1569">
        <f>+VLOOKUP($B5466,'Mano de obra'!$A$5:$D$26,2,FALSE)</f>
        <v>44263.8</v>
      </c>
      <c r="D5466" s="1569">
        <f>+VLOOKUP($B5466,'Mano de obra'!$A$5:$D$26,3,FALSE)</f>
        <v>27470</v>
      </c>
      <c r="E5466" s="1569">
        <f>+VLOOKUP($B5466,'Mano de obra'!$A$5:$D$26,4,FALSE)</f>
        <v>71733.8</v>
      </c>
      <c r="F5466" s="864">
        <f>+F5465</f>
        <v>800</v>
      </c>
      <c r="G5466" s="783">
        <f>IF(B5466="","",E5466/F5466)</f>
        <v>89.66725000000001</v>
      </c>
      <c r="H5466" s="200"/>
    </row>
    <row r="5467" spans="1:8" x14ac:dyDescent="0.25">
      <c r="A5467" s="133"/>
      <c r="B5467" s="195"/>
      <c r="C5467" s="232"/>
      <c r="D5467" s="952"/>
      <c r="E5467" s="232"/>
      <c r="F5467" s="226"/>
      <c r="G5467" s="229"/>
      <c r="H5467" s="200"/>
    </row>
    <row r="5468" spans="1:8" ht="15.75" thickBot="1" x14ac:dyDescent="0.3">
      <c r="A5468" s="133"/>
      <c r="B5468" s="195"/>
      <c r="C5468" s="232"/>
      <c r="D5468" s="952"/>
      <c r="E5468" s="232"/>
      <c r="F5468" s="226"/>
      <c r="G5468" s="229"/>
      <c r="H5468" s="200"/>
    </row>
    <row r="5469" spans="1:8" ht="15.75" thickBot="1" x14ac:dyDescent="0.3">
      <c r="A5469" s="133"/>
      <c r="B5469" s="251"/>
      <c r="C5469" s="252"/>
      <c r="D5469" s="956"/>
      <c r="E5469" s="252"/>
      <c r="F5469" s="253"/>
      <c r="G5469" s="254"/>
      <c r="H5469" s="256">
        <f>+SUM(G5463:G5469)</f>
        <v>1369.0222500000002</v>
      </c>
    </row>
    <row r="5470" spans="1:8" ht="15.75" thickBot="1" x14ac:dyDescent="0.3">
      <c r="A5470" s="133"/>
      <c r="B5470" s="8"/>
      <c r="C5470" s="8"/>
      <c r="D5470" s="529"/>
      <c r="E5470" s="140"/>
      <c r="F5470" s="133"/>
      <c r="G5470" s="341"/>
      <c r="H5470" s="341"/>
    </row>
    <row r="5471" spans="1:8" ht="15.75" thickBot="1" x14ac:dyDescent="0.3">
      <c r="A5471" s="133" t="s">
        <v>6744</v>
      </c>
      <c r="B5471" s="8"/>
      <c r="C5471" s="8"/>
      <c r="D5471" s="529"/>
      <c r="E5471" s="183" t="s">
        <v>5415</v>
      </c>
      <c r="F5471" s="133"/>
      <c r="G5471" s="341"/>
      <c r="H5471" s="358">
        <f>ROUND(+H5469+H5460+H5452+H5438,0)</f>
        <v>12022</v>
      </c>
    </row>
    <row r="5472" spans="1:8" x14ac:dyDescent="0.25">
      <c r="A5472" s="1441"/>
      <c r="B5472" s="1441"/>
      <c r="C5472" s="1441"/>
      <c r="D5472" s="957"/>
      <c r="E5472" s="1441"/>
      <c r="F5472" s="1441"/>
      <c r="G5472" s="1441"/>
      <c r="H5472" s="675"/>
    </row>
    <row r="5473" spans="1:8" x14ac:dyDescent="0.25">
      <c r="A5473" s="749"/>
      <c r="B5473" s="748"/>
      <c r="C5473" s="748"/>
      <c r="D5473" s="748"/>
      <c r="E5473" s="748"/>
      <c r="F5473" s="749"/>
      <c r="G5473" s="748"/>
      <c r="H5473" s="748"/>
    </row>
    <row r="5474" spans="1:8" ht="28.5" customHeight="1" x14ac:dyDescent="0.25">
      <c r="A5474" s="673" t="s">
        <v>3</v>
      </c>
      <c r="B5474" s="1390" t="str">
        <f>+VLOOKUP(C5474,ListaAPUs!$B:$E,4,FALSE)</f>
        <v>7.1.7</v>
      </c>
      <c r="C5474" s="2449" t="str">
        <f>+ListaAPUs!B164</f>
        <v>SUMINISTRO E INSTALACIÓN DE TEJA ONDULADA EN A.C ( INCLUYE ELEMENTOS DE FIJACIÓN y ESTRUCTURA DE SOPORTE)</v>
      </c>
      <c r="D5474" s="2449"/>
      <c r="E5474" s="2449"/>
      <c r="F5474" s="673" t="s">
        <v>867</v>
      </c>
      <c r="G5474" s="342" t="s">
        <v>5556</v>
      </c>
      <c r="H5474" s="788"/>
    </row>
    <row r="5475" spans="1:8" x14ac:dyDescent="0.25">
      <c r="A5475" s="749"/>
      <c r="B5475" s="748"/>
      <c r="C5475" s="748"/>
      <c r="D5475" s="748"/>
      <c r="E5475" s="748"/>
      <c r="F5475" s="749"/>
      <c r="G5475" s="748"/>
      <c r="H5475" s="748"/>
    </row>
    <row r="5476" spans="1:8" x14ac:dyDescent="0.25">
      <c r="A5476" s="749"/>
      <c r="B5476" s="748"/>
      <c r="C5476" s="748"/>
      <c r="D5476" s="748"/>
      <c r="E5476" s="748"/>
      <c r="F5476" s="749"/>
      <c r="G5476" s="751"/>
      <c r="H5476" s="748"/>
    </row>
    <row r="5477" spans="1:8" ht="15.75" thickBot="1" x14ac:dyDescent="0.3">
      <c r="A5477" s="749"/>
      <c r="B5477" s="748"/>
      <c r="C5477" s="748"/>
      <c r="D5477" s="748"/>
      <c r="E5477" s="748"/>
      <c r="F5477" s="749"/>
      <c r="G5477" s="748"/>
      <c r="H5477" s="748"/>
    </row>
    <row r="5478" spans="1:8" ht="15.75" thickBot="1" x14ac:dyDescent="0.3">
      <c r="A5478" s="751"/>
      <c r="B5478" s="1184" t="s">
        <v>5403</v>
      </c>
      <c r="C5478" s="1185" t="s">
        <v>867</v>
      </c>
      <c r="D5478" s="1185" t="s">
        <v>6</v>
      </c>
      <c r="E5478" s="1186" t="s">
        <v>5404</v>
      </c>
      <c r="F5478" s="1185" t="s">
        <v>5405</v>
      </c>
      <c r="G5478" s="1187" t="s">
        <v>868</v>
      </c>
      <c r="H5478" s="1189"/>
    </row>
    <row r="5479" spans="1:8" x14ac:dyDescent="0.25">
      <c r="A5479" s="749"/>
      <c r="B5479" s="757" t="s">
        <v>8269</v>
      </c>
      <c r="C5479" s="819" t="s">
        <v>7042</v>
      </c>
      <c r="D5479" s="1183">
        <v>1</v>
      </c>
      <c r="E5479" s="758">
        <f>H5517</f>
        <v>14818.01481784213</v>
      </c>
      <c r="F5479" s="759">
        <v>0.05</v>
      </c>
      <c r="G5479" s="818">
        <f>D5479*E5479*F5479</f>
        <v>740.90074089210657</v>
      </c>
      <c r="H5479" s="756"/>
    </row>
    <row r="5480" spans="1:8" x14ac:dyDescent="0.25">
      <c r="A5480" s="749"/>
      <c r="B5480" s="760"/>
      <c r="C5480" s="817" t="s">
        <v>7044</v>
      </c>
      <c r="D5480" s="817"/>
      <c r="E5480" s="761" t="s">
        <v>7044</v>
      </c>
      <c r="F5480" s="817"/>
      <c r="G5480" s="818" t="s">
        <v>7044</v>
      </c>
      <c r="H5480" s="756"/>
    </row>
    <row r="5481" spans="1:8" x14ac:dyDescent="0.25">
      <c r="A5481" s="749"/>
      <c r="B5481" s="763"/>
      <c r="C5481" s="817" t="s">
        <v>7044</v>
      </c>
      <c r="D5481" s="817"/>
      <c r="E5481" s="761" t="s">
        <v>7044</v>
      </c>
      <c r="F5481" s="817"/>
      <c r="G5481" s="818" t="s">
        <v>7044</v>
      </c>
      <c r="H5481" s="756"/>
    </row>
    <row r="5482" spans="1:8" x14ac:dyDescent="0.25">
      <c r="A5482" s="749"/>
      <c r="B5482" s="764"/>
      <c r="C5482" s="817" t="s">
        <v>7044</v>
      </c>
      <c r="D5482" s="765"/>
      <c r="E5482" s="766" t="s">
        <v>7044</v>
      </c>
      <c r="F5482" s="817"/>
      <c r="G5482" s="818" t="s">
        <v>7044</v>
      </c>
      <c r="H5482" s="756"/>
    </row>
    <row r="5483" spans="1:8" x14ac:dyDescent="0.25">
      <c r="A5483" s="749"/>
      <c r="B5483" s="764"/>
      <c r="C5483" s="817" t="s">
        <v>7044</v>
      </c>
      <c r="D5483" s="765"/>
      <c r="E5483" s="766" t="s">
        <v>7044</v>
      </c>
      <c r="F5483" s="817"/>
      <c r="G5483" s="818" t="s">
        <v>7044</v>
      </c>
      <c r="H5483" s="756"/>
    </row>
    <row r="5484" spans="1:8" x14ac:dyDescent="0.25">
      <c r="A5484" s="749"/>
      <c r="B5484" s="764"/>
      <c r="C5484" s="817" t="s">
        <v>7044</v>
      </c>
      <c r="D5484" s="765"/>
      <c r="E5484" s="766" t="s">
        <v>7044</v>
      </c>
      <c r="F5484" s="817"/>
      <c r="G5484" s="818" t="s">
        <v>7044</v>
      </c>
      <c r="H5484" s="756"/>
    </row>
    <row r="5485" spans="1:8" ht="15.75" thickBot="1" x14ac:dyDescent="0.3">
      <c r="A5485" s="749"/>
      <c r="B5485" s="764"/>
      <c r="C5485" s="817" t="s">
        <v>7044</v>
      </c>
      <c r="D5485" s="765"/>
      <c r="E5485" s="766" t="s">
        <v>7044</v>
      </c>
      <c r="F5485" s="817"/>
      <c r="G5485" s="818" t="s">
        <v>7044</v>
      </c>
      <c r="H5485" s="756"/>
    </row>
    <row r="5486" spans="1:8" ht="15.75" thickBot="1" x14ac:dyDescent="0.3">
      <c r="A5486" s="749"/>
      <c r="B5486" s="767"/>
      <c r="C5486" s="768" t="s">
        <v>7044</v>
      </c>
      <c r="D5486" s="769"/>
      <c r="E5486" s="770" t="s">
        <v>7044</v>
      </c>
      <c r="F5486" s="768"/>
      <c r="G5486" s="818" t="s">
        <v>7044</v>
      </c>
      <c r="H5486" s="771">
        <f>SUM(G5479:G5486)</f>
        <v>740.90074089210657</v>
      </c>
    </row>
    <row r="5487" spans="1:8" ht="15.75" thickBot="1" x14ac:dyDescent="0.3">
      <c r="A5487" s="749"/>
      <c r="B5487" s="772"/>
      <c r="C5487" s="773"/>
      <c r="D5487" s="772"/>
      <c r="E5487" s="774"/>
      <c r="F5487" s="773"/>
      <c r="G5487" s="775"/>
      <c r="H5487" s="776"/>
    </row>
    <row r="5488" spans="1:8" ht="15.75" thickBot="1" x14ac:dyDescent="0.3">
      <c r="A5488" s="788"/>
      <c r="B5488" s="1184" t="s">
        <v>5408</v>
      </c>
      <c r="C5488" s="1185" t="s">
        <v>867</v>
      </c>
      <c r="D5488" s="1185" t="s">
        <v>6</v>
      </c>
      <c r="E5488" s="1186" t="s">
        <v>870</v>
      </c>
      <c r="F5488" s="1185" t="s">
        <v>7040</v>
      </c>
      <c r="G5488" s="1187" t="s">
        <v>868</v>
      </c>
      <c r="H5488" s="1189"/>
    </row>
    <row r="5489" spans="1:8" x14ac:dyDescent="0.25">
      <c r="A5489" s="748"/>
      <c r="B5489" s="777" t="str">
        <f>PROPER(Insumos!$A$305)</f>
        <v>Teja De Fibro Cemento Nº 6</v>
      </c>
      <c r="C5489" s="819" t="s">
        <v>5424</v>
      </c>
      <c r="D5489" s="819">
        <v>1.1100000000000001</v>
      </c>
      <c r="E5489" s="758">
        <f>+VLOOKUP(B5489,Insumos!$A$2:$C$331,3,FALSE)</f>
        <v>21568</v>
      </c>
      <c r="F5489" s="819">
        <v>1.05</v>
      </c>
      <c r="G5489" s="818">
        <f>D5489*E5489*F5489</f>
        <v>25137.504000000004</v>
      </c>
      <c r="H5489" s="756"/>
    </row>
    <row r="5490" spans="1:8" x14ac:dyDescent="0.25">
      <c r="A5490" s="748"/>
      <c r="B5490" s="778" t="str">
        <f>PROPER(Insumos!$A$306)</f>
        <v xml:space="preserve">Amarre Para Teja </v>
      </c>
      <c r="C5490" s="817" t="s">
        <v>5424</v>
      </c>
      <c r="D5490" s="817">
        <v>1.5</v>
      </c>
      <c r="E5490" s="758">
        <f>+VLOOKUP(B5490,Insumos!$A$2:$C$331,3,FALSE)</f>
        <v>552</v>
      </c>
      <c r="F5490" s="819">
        <v>1.05</v>
      </c>
      <c r="G5490" s="818">
        <f>D5490*E5490*F5490</f>
        <v>869.40000000000009</v>
      </c>
      <c r="H5490" s="756"/>
    </row>
    <row r="5491" spans="1:8" ht="25.5" x14ac:dyDescent="0.25">
      <c r="A5491" s="748"/>
      <c r="B5491" s="778" t="str">
        <f>PROPER(Insumos!$A$307)</f>
        <v>Gancho Para Teja Ondulada Eternit</v>
      </c>
      <c r="C5491" s="817" t="s">
        <v>5424</v>
      </c>
      <c r="D5491" s="817">
        <v>1.5</v>
      </c>
      <c r="E5491" s="758">
        <f>+VLOOKUP(B5491,Insumos!$A$2:$C$331,3,FALSE)</f>
        <v>352</v>
      </c>
      <c r="F5491" s="819">
        <v>1.05</v>
      </c>
      <c r="G5491" s="818">
        <f>D5491*E5491*F5491</f>
        <v>554.4</v>
      </c>
      <c r="H5491" s="756"/>
    </row>
    <row r="5492" spans="1:8" x14ac:dyDescent="0.25">
      <c r="A5492" s="748"/>
      <c r="B5492" s="764" t="str">
        <f>PROPER(Insumos!$A$308)</f>
        <v>Correas Metalicas</v>
      </c>
      <c r="C5492" s="817" t="s">
        <v>5734</v>
      </c>
      <c r="D5492" s="892">
        <v>0.98</v>
      </c>
      <c r="E5492" s="758">
        <f>+VLOOKUP(B5492,Insumos!$A$2:$C$331,3,FALSE)</f>
        <v>15225</v>
      </c>
      <c r="F5492" s="817">
        <v>1.02</v>
      </c>
      <c r="G5492" s="818">
        <f>D5492*E5492*F5492</f>
        <v>15218.91</v>
      </c>
      <c r="H5492" s="756"/>
    </row>
    <row r="5493" spans="1:8" x14ac:dyDescent="0.25">
      <c r="A5493" s="748"/>
      <c r="B5493" s="764"/>
      <c r="C5493" s="817" t="s">
        <v>7044</v>
      </c>
      <c r="D5493" s="817"/>
      <c r="E5493" s="758" t="s">
        <v>7044</v>
      </c>
      <c r="F5493" s="817"/>
      <c r="G5493" s="818" t="s">
        <v>7044</v>
      </c>
      <c r="H5493" s="756"/>
    </row>
    <row r="5494" spans="1:8" x14ac:dyDescent="0.25">
      <c r="A5494" s="748"/>
      <c r="B5494" s="764"/>
      <c r="C5494" s="817" t="s">
        <v>7044</v>
      </c>
      <c r="D5494" s="817"/>
      <c r="E5494" s="758" t="s">
        <v>7044</v>
      </c>
      <c r="F5494" s="817"/>
      <c r="G5494" s="818" t="s">
        <v>7044</v>
      </c>
      <c r="H5494" s="756"/>
    </row>
    <row r="5495" spans="1:8" x14ac:dyDescent="0.25">
      <c r="A5495" s="748"/>
      <c r="B5495" s="764"/>
      <c r="C5495" s="817" t="s">
        <v>7044</v>
      </c>
      <c r="D5495" s="817"/>
      <c r="E5495" s="758" t="s">
        <v>7044</v>
      </c>
      <c r="F5495" s="817"/>
      <c r="G5495" s="818" t="s">
        <v>7044</v>
      </c>
      <c r="H5495" s="756"/>
    </row>
    <row r="5496" spans="1:8" x14ac:dyDescent="0.25">
      <c r="A5496" s="748"/>
      <c r="B5496" s="764"/>
      <c r="C5496" s="817" t="s">
        <v>7044</v>
      </c>
      <c r="D5496" s="817"/>
      <c r="E5496" s="758" t="s">
        <v>7044</v>
      </c>
      <c r="F5496" s="817"/>
      <c r="G5496" s="818" t="s">
        <v>7044</v>
      </c>
      <c r="H5496" s="756"/>
    </row>
    <row r="5497" spans="1:8" x14ac:dyDescent="0.25">
      <c r="A5497" s="748"/>
      <c r="B5497" s="764"/>
      <c r="C5497" s="817" t="s">
        <v>7044</v>
      </c>
      <c r="D5497" s="817"/>
      <c r="E5497" s="758" t="s">
        <v>7044</v>
      </c>
      <c r="F5497" s="817"/>
      <c r="G5497" s="818" t="s">
        <v>7044</v>
      </c>
      <c r="H5497" s="756"/>
    </row>
    <row r="5498" spans="1:8" x14ac:dyDescent="0.25">
      <c r="A5498" s="748"/>
      <c r="B5498" s="764"/>
      <c r="C5498" s="817" t="s">
        <v>7044</v>
      </c>
      <c r="D5498" s="817"/>
      <c r="E5498" s="758" t="s">
        <v>7044</v>
      </c>
      <c r="F5498" s="817"/>
      <c r="G5498" s="818" t="s">
        <v>7044</v>
      </c>
      <c r="H5498" s="756"/>
    </row>
    <row r="5499" spans="1:8" x14ac:dyDescent="0.25">
      <c r="A5499" s="748"/>
      <c r="B5499" s="764"/>
      <c r="C5499" s="817" t="s">
        <v>7044</v>
      </c>
      <c r="D5499" s="817"/>
      <c r="E5499" s="758" t="s">
        <v>7044</v>
      </c>
      <c r="F5499" s="817"/>
      <c r="G5499" s="818" t="s">
        <v>7044</v>
      </c>
      <c r="H5499" s="756"/>
    </row>
    <row r="5500" spans="1:8" x14ac:dyDescent="0.25">
      <c r="A5500" s="748"/>
      <c r="B5500" s="764"/>
      <c r="C5500" s="765" t="s">
        <v>7044</v>
      </c>
      <c r="D5500" s="765"/>
      <c r="E5500" s="766" t="s">
        <v>7044</v>
      </c>
      <c r="F5500" s="817"/>
      <c r="G5500" s="818" t="s">
        <v>7044</v>
      </c>
      <c r="H5500" s="756"/>
    </row>
    <row r="5501" spans="1:8" ht="15.75" thickBot="1" x14ac:dyDescent="0.3">
      <c r="A5501" s="748"/>
      <c r="B5501" s="764"/>
      <c r="C5501" s="765" t="s">
        <v>7044</v>
      </c>
      <c r="D5501" s="765"/>
      <c r="E5501" s="766" t="s">
        <v>7044</v>
      </c>
      <c r="F5501" s="817"/>
      <c r="G5501" s="818" t="s">
        <v>7044</v>
      </c>
      <c r="H5501" s="756"/>
    </row>
    <row r="5502" spans="1:8" ht="15.75" thickBot="1" x14ac:dyDescent="0.3">
      <c r="A5502" s="748"/>
      <c r="B5502" s="767"/>
      <c r="C5502" s="769" t="s">
        <v>7044</v>
      </c>
      <c r="D5502" s="769"/>
      <c r="E5502" s="770" t="s">
        <v>7044</v>
      </c>
      <c r="F5502" s="768"/>
      <c r="G5502" s="818" t="s">
        <v>7044</v>
      </c>
      <c r="H5502" s="771">
        <f>SUM(G5489:G5502)</f>
        <v>41780.214000000007</v>
      </c>
    </row>
    <row r="5503" spans="1:8" ht="15.75" thickBot="1" x14ac:dyDescent="0.3">
      <c r="A5503" s="748"/>
      <c r="B5503" s="772"/>
      <c r="C5503" s="772"/>
      <c r="D5503" s="772"/>
      <c r="E5503" s="774"/>
      <c r="F5503" s="773"/>
      <c r="G5503" s="775"/>
      <c r="H5503" s="776"/>
    </row>
    <row r="5504" spans="1:8" ht="15.75" thickBot="1" x14ac:dyDescent="0.3">
      <c r="A5504" s="788"/>
      <c r="B5504" s="1184" t="s">
        <v>5410</v>
      </c>
      <c r="C5504" s="1185" t="s">
        <v>867</v>
      </c>
      <c r="D5504" s="1185" t="s">
        <v>6</v>
      </c>
      <c r="E5504" s="1186" t="s">
        <v>870</v>
      </c>
      <c r="F5504" s="1185" t="s">
        <v>5411</v>
      </c>
      <c r="G5504" s="1187" t="s">
        <v>868</v>
      </c>
      <c r="H5504" s="1189"/>
    </row>
    <row r="5505" spans="1:8" x14ac:dyDescent="0.25">
      <c r="A5505" s="748"/>
      <c r="B5505" s="777"/>
      <c r="C5505" s="819" t="s">
        <v>7044</v>
      </c>
      <c r="D5505" s="819"/>
      <c r="E5505" s="758" t="s">
        <v>7044</v>
      </c>
      <c r="F5505" s="819"/>
      <c r="G5505" s="818" t="s">
        <v>7044</v>
      </c>
      <c r="H5505" s="756"/>
    </row>
    <row r="5506" spans="1:8" x14ac:dyDescent="0.25">
      <c r="A5506" s="748"/>
      <c r="B5506" s="778"/>
      <c r="C5506" s="817" t="s">
        <v>7044</v>
      </c>
      <c r="D5506" s="817"/>
      <c r="E5506" s="761" t="s">
        <v>7044</v>
      </c>
      <c r="F5506" s="817"/>
      <c r="G5506" s="818" t="s">
        <v>7044</v>
      </c>
      <c r="H5506" s="756"/>
    </row>
    <row r="5507" spans="1:8" x14ac:dyDescent="0.25">
      <c r="A5507" s="748"/>
      <c r="B5507" s="778"/>
      <c r="C5507" s="817" t="s">
        <v>7044</v>
      </c>
      <c r="D5507" s="817"/>
      <c r="E5507" s="758" t="s">
        <v>7044</v>
      </c>
      <c r="F5507" s="817"/>
      <c r="G5507" s="818" t="s">
        <v>7044</v>
      </c>
      <c r="H5507" s="756"/>
    </row>
    <row r="5508" spans="1:8" ht="15.75" thickBot="1" x14ac:dyDescent="0.3">
      <c r="A5508" s="748"/>
      <c r="B5508" s="764"/>
      <c r="C5508" s="817" t="s">
        <v>7044</v>
      </c>
      <c r="D5508" s="817"/>
      <c r="E5508" s="758" t="s">
        <v>7044</v>
      </c>
      <c r="F5508" s="817"/>
      <c r="G5508" s="818" t="s">
        <v>7044</v>
      </c>
      <c r="H5508" s="756"/>
    </row>
    <row r="5509" spans="1:8" ht="15.75" thickBot="1" x14ac:dyDescent="0.3">
      <c r="A5509" s="748"/>
      <c r="B5509" s="767"/>
      <c r="C5509" s="769" t="s">
        <v>7044</v>
      </c>
      <c r="D5509" s="769"/>
      <c r="E5509" s="770" t="s">
        <v>7044</v>
      </c>
      <c r="F5509" s="768"/>
      <c r="G5509" s="818" t="s">
        <v>7044</v>
      </c>
      <c r="H5509" s="771">
        <f>SUM(G5505:G5509)</f>
        <v>0</v>
      </c>
    </row>
    <row r="5510" spans="1:8" ht="15.75" thickBot="1" x14ac:dyDescent="0.3">
      <c r="A5510" s="748"/>
      <c r="B5510" s="772"/>
      <c r="C5510" s="772"/>
      <c r="D5510" s="772"/>
      <c r="E5510" s="774"/>
      <c r="F5510" s="779"/>
      <c r="G5510" s="780"/>
      <c r="H5510" s="776"/>
    </row>
    <row r="5511" spans="1:8" ht="15.75" thickBot="1" x14ac:dyDescent="0.3">
      <c r="A5511" s="788"/>
      <c r="B5511" s="1184" t="s">
        <v>5412</v>
      </c>
      <c r="C5511" s="1185" t="s">
        <v>5420</v>
      </c>
      <c r="D5511" s="1185" t="s">
        <v>5421</v>
      </c>
      <c r="E5511" s="1186" t="s">
        <v>5413</v>
      </c>
      <c r="F5511" s="1185" t="s">
        <v>5405</v>
      </c>
      <c r="G5511" s="1187" t="s">
        <v>868</v>
      </c>
      <c r="H5511" s="1189"/>
    </row>
    <row r="5512" spans="1:8" x14ac:dyDescent="0.25">
      <c r="A5512" s="748"/>
      <c r="B5512" s="781" t="s">
        <v>5948</v>
      </c>
      <c r="C5512" s="782">
        <f>+VLOOKUP(B5512,'Mano de obra'!$A$5:$D$26,2,FALSE)</f>
        <v>57455</v>
      </c>
      <c r="D5512" s="782">
        <f>+VLOOKUP(B5512,'Mano de obra'!$A$5:$D$26,3,FALSE)</f>
        <v>35656</v>
      </c>
      <c r="E5512" s="761">
        <f>+VLOOKUP(B5512,'Mano de obra'!$A$5:$D$26,4,FALSE)</f>
        <v>93111</v>
      </c>
      <c r="F5512" s="819">
        <v>107.05</v>
      </c>
      <c r="G5512" s="818">
        <f>IF(B5512="","",E5512/F5512)</f>
        <v>869.78981784212988</v>
      </c>
      <c r="H5512" s="756"/>
    </row>
    <row r="5513" spans="1:8" x14ac:dyDescent="0.25">
      <c r="A5513" s="748"/>
      <c r="B5513" s="781" t="s">
        <v>5949</v>
      </c>
      <c r="C5513" s="782">
        <f>+VLOOKUP(B5513,'Mano de obra'!$A$5:$D$26,2,FALSE)</f>
        <v>44263.8</v>
      </c>
      <c r="D5513" s="782">
        <f>+VLOOKUP(B5513,'Mano de obra'!$A$5:$D$26,3,FALSE)</f>
        <v>27470</v>
      </c>
      <c r="E5513" s="761">
        <f>+VLOOKUP(B5513,'Mano de obra'!$A$5:$D$26,4,FALSE)</f>
        <v>71733.8</v>
      </c>
      <c r="F5513" s="819">
        <v>8</v>
      </c>
      <c r="G5513" s="818">
        <f>IF(B5513="","",E5513/F5513)</f>
        <v>8966.7250000000004</v>
      </c>
      <c r="H5513" s="756"/>
    </row>
    <row r="5514" spans="1:8" x14ac:dyDescent="0.25">
      <c r="A5514" s="748"/>
      <c r="B5514" s="764" t="s">
        <v>5635</v>
      </c>
      <c r="C5514" s="782">
        <f>+VLOOKUP(B5514,'Mano de obra'!$A$5:$D$26,2,FALSE)</f>
        <v>24591</v>
      </c>
      <c r="D5514" s="782">
        <f>+VLOOKUP(B5514,'Mano de obra'!$A$5:$D$26,3,FALSE)</f>
        <v>15261</v>
      </c>
      <c r="E5514" s="761">
        <f>+VLOOKUP(B5514,'Mano de obra'!$A$5:$D$26,4,FALSE)</f>
        <v>39852</v>
      </c>
      <c r="F5514" s="817">
        <v>8</v>
      </c>
      <c r="G5514" s="818">
        <f>IF(B5514="","",E5514/F5514)</f>
        <v>4981.5</v>
      </c>
      <c r="H5514" s="756"/>
    </row>
    <row r="5515" spans="1:8" x14ac:dyDescent="0.25">
      <c r="A5515" s="748"/>
      <c r="B5515" s="764"/>
      <c r="C5515" s="782" t="s">
        <v>7044</v>
      </c>
      <c r="D5515" s="766" t="s">
        <v>7044</v>
      </c>
      <c r="E5515" s="766" t="s">
        <v>7044</v>
      </c>
      <c r="F5515" s="817"/>
      <c r="G5515" s="783" t="s">
        <v>7044</v>
      </c>
      <c r="H5515" s="756"/>
    </row>
    <row r="5516" spans="1:8" ht="15.75" thickBot="1" x14ac:dyDescent="0.3">
      <c r="A5516" s="748"/>
      <c r="B5516" s="764"/>
      <c r="C5516" s="766" t="s">
        <v>7044</v>
      </c>
      <c r="D5516" s="766" t="s">
        <v>7044</v>
      </c>
      <c r="E5516" s="766" t="s">
        <v>7044</v>
      </c>
      <c r="F5516" s="817"/>
      <c r="G5516" s="783" t="s">
        <v>7044</v>
      </c>
      <c r="H5516" s="756"/>
    </row>
    <row r="5517" spans="1:8" ht="15.75" thickBot="1" x14ac:dyDescent="0.3">
      <c r="A5517" s="748"/>
      <c r="B5517" s="784"/>
      <c r="C5517" s="785" t="s">
        <v>7044</v>
      </c>
      <c r="D5517" s="785" t="s">
        <v>7044</v>
      </c>
      <c r="E5517" s="785" t="s">
        <v>7044</v>
      </c>
      <c r="F5517" s="786"/>
      <c r="G5517" s="787" t="s">
        <v>7044</v>
      </c>
      <c r="H5517" s="771">
        <f>SUM(G5512:G5517)</f>
        <v>14818.01481784213</v>
      </c>
    </row>
    <row r="5518" spans="1:8" ht="15.75" thickBot="1" x14ac:dyDescent="0.3">
      <c r="A5518" s="748"/>
      <c r="B5518" s="748"/>
      <c r="C5518" s="748"/>
      <c r="D5518" s="748"/>
      <c r="E5518" s="748"/>
      <c r="F5518" s="749"/>
      <c r="G5518" s="748"/>
      <c r="H5518" s="748"/>
    </row>
    <row r="5519" spans="1:8" ht="15.75" thickBot="1" x14ac:dyDescent="0.3">
      <c r="A5519" s="748"/>
      <c r="B5519" s="748"/>
      <c r="C5519" s="748"/>
      <c r="D5519" s="748"/>
      <c r="E5519" s="788" t="s">
        <v>5415</v>
      </c>
      <c r="F5519" s="749"/>
      <c r="G5519" s="748"/>
      <c r="H5519" s="789">
        <f>ROUND(H5486+H5502+H5509+H5517,0)</f>
        <v>57339</v>
      </c>
    </row>
    <row r="5520" spans="1:8" x14ac:dyDescent="0.25">
      <c r="A5520" s="748"/>
      <c r="B5520" s="748"/>
      <c r="C5520" s="748"/>
      <c r="D5520" s="748"/>
      <c r="E5520" s="748"/>
      <c r="F5520" s="749"/>
      <c r="G5520" s="748"/>
      <c r="H5520" s="748"/>
    </row>
    <row r="5521" spans="1:8" x14ac:dyDescent="0.25">
      <c r="A5521" s="749"/>
      <c r="B5521" s="748"/>
      <c r="C5521" s="748"/>
      <c r="D5521" s="748"/>
      <c r="E5521" s="748"/>
      <c r="F5521" s="749"/>
      <c r="G5521" s="748"/>
      <c r="H5521" s="748"/>
    </row>
    <row r="5522" spans="1:8" s="1441" customFormat="1" x14ac:dyDescent="0.25">
      <c r="A5522" s="673" t="s">
        <v>3</v>
      </c>
      <c r="B5522" s="1390" t="str">
        <f>+VLOOKUP(C5522,ListaAPUs!$B:$E,4,FALSE)</f>
        <v>7.1.8</v>
      </c>
      <c r="C5522" s="2449" t="str">
        <f>+ListaAPUs!B165</f>
        <v xml:space="preserve">PISO EN TABLETA DE GRES DE 0,20 X 0,20 M </v>
      </c>
      <c r="D5522" s="2449"/>
      <c r="E5522" s="2449"/>
      <c r="F5522" s="673" t="s">
        <v>867</v>
      </c>
      <c r="G5522" s="342" t="s">
        <v>5556</v>
      </c>
      <c r="H5522" s="788"/>
    </row>
    <row r="5523" spans="1:8" x14ac:dyDescent="0.25">
      <c r="A5523" s="749"/>
      <c r="B5523" s="748"/>
      <c r="C5523" s="748"/>
      <c r="D5523" s="748"/>
      <c r="E5523" s="748"/>
      <c r="F5523" s="749"/>
      <c r="G5523" s="748"/>
      <c r="H5523" s="748"/>
    </row>
    <row r="5524" spans="1:8" x14ac:dyDescent="0.25">
      <c r="A5524" s="749"/>
      <c r="B5524" s="748"/>
      <c r="C5524" s="748"/>
      <c r="D5524" s="748"/>
      <c r="E5524" s="748"/>
      <c r="F5524" s="749"/>
      <c r="G5524" s="751"/>
      <c r="H5524" s="748"/>
    </row>
    <row r="5525" spans="1:8" ht="15.75" thickBot="1" x14ac:dyDescent="0.3">
      <c r="A5525" s="749"/>
      <c r="B5525" s="748"/>
      <c r="C5525" s="748"/>
      <c r="D5525" s="748"/>
      <c r="E5525" s="748"/>
      <c r="F5525" s="749"/>
      <c r="G5525" s="748"/>
      <c r="H5525" s="748"/>
    </row>
    <row r="5526" spans="1:8" ht="15.75" thickBot="1" x14ac:dyDescent="0.3">
      <c r="A5526" s="751"/>
      <c r="B5526" s="1184" t="s">
        <v>5403</v>
      </c>
      <c r="C5526" s="1185" t="s">
        <v>867</v>
      </c>
      <c r="D5526" s="1185" t="s">
        <v>6</v>
      </c>
      <c r="E5526" s="1186" t="s">
        <v>5404</v>
      </c>
      <c r="F5526" s="1185" t="s">
        <v>5405</v>
      </c>
      <c r="G5526" s="1187" t="s">
        <v>868</v>
      </c>
      <c r="H5526" s="1189"/>
    </row>
    <row r="5527" spans="1:8" x14ac:dyDescent="0.25">
      <c r="A5527" s="749"/>
      <c r="B5527" s="757" t="s">
        <v>8269</v>
      </c>
      <c r="C5527" s="819" t="s">
        <v>7042</v>
      </c>
      <c r="D5527" s="1183">
        <v>1</v>
      </c>
      <c r="E5527" s="758">
        <f>H5565</f>
        <v>19272.497434224832</v>
      </c>
      <c r="F5527" s="759">
        <v>0.05</v>
      </c>
      <c r="G5527" s="818">
        <f>D5527*E5527*F5527</f>
        <v>963.62487171124167</v>
      </c>
      <c r="H5527" s="756"/>
    </row>
    <row r="5528" spans="1:8" x14ac:dyDescent="0.25">
      <c r="A5528" s="749"/>
      <c r="B5528" s="760"/>
      <c r="C5528" s="817" t="s">
        <v>7044</v>
      </c>
      <c r="D5528" s="817"/>
      <c r="E5528" s="761" t="s">
        <v>7044</v>
      </c>
      <c r="F5528" s="817"/>
      <c r="G5528" s="818" t="s">
        <v>7044</v>
      </c>
      <c r="H5528" s="756"/>
    </row>
    <row r="5529" spans="1:8" x14ac:dyDescent="0.25">
      <c r="A5529" s="749"/>
      <c r="B5529" s="763"/>
      <c r="C5529" s="817" t="s">
        <v>7044</v>
      </c>
      <c r="D5529" s="817"/>
      <c r="E5529" s="761" t="s">
        <v>7044</v>
      </c>
      <c r="F5529" s="817"/>
      <c r="G5529" s="818" t="s">
        <v>7044</v>
      </c>
      <c r="H5529" s="756"/>
    </row>
    <row r="5530" spans="1:8" x14ac:dyDescent="0.25">
      <c r="A5530" s="749"/>
      <c r="B5530" s="764"/>
      <c r="C5530" s="817" t="s">
        <v>7044</v>
      </c>
      <c r="D5530" s="765"/>
      <c r="E5530" s="766" t="s">
        <v>7044</v>
      </c>
      <c r="F5530" s="817"/>
      <c r="G5530" s="818" t="s">
        <v>7044</v>
      </c>
      <c r="H5530" s="756"/>
    </row>
    <row r="5531" spans="1:8" x14ac:dyDescent="0.25">
      <c r="A5531" s="749"/>
      <c r="B5531" s="764"/>
      <c r="C5531" s="817" t="s">
        <v>7044</v>
      </c>
      <c r="D5531" s="765"/>
      <c r="E5531" s="766" t="s">
        <v>7044</v>
      </c>
      <c r="F5531" s="817"/>
      <c r="G5531" s="818" t="s">
        <v>7044</v>
      </c>
      <c r="H5531" s="756"/>
    </row>
    <row r="5532" spans="1:8" x14ac:dyDescent="0.25">
      <c r="A5532" s="749"/>
      <c r="B5532" s="764"/>
      <c r="C5532" s="817" t="s">
        <v>7044</v>
      </c>
      <c r="D5532" s="765"/>
      <c r="E5532" s="766" t="s">
        <v>7044</v>
      </c>
      <c r="F5532" s="817"/>
      <c r="G5532" s="818" t="s">
        <v>7044</v>
      </c>
      <c r="H5532" s="756"/>
    </row>
    <row r="5533" spans="1:8" ht="15.75" thickBot="1" x14ac:dyDescent="0.3">
      <c r="A5533" s="749"/>
      <c r="B5533" s="764"/>
      <c r="C5533" s="817" t="s">
        <v>7044</v>
      </c>
      <c r="D5533" s="765"/>
      <c r="E5533" s="766" t="s">
        <v>7044</v>
      </c>
      <c r="F5533" s="817"/>
      <c r="G5533" s="818" t="s">
        <v>7044</v>
      </c>
      <c r="H5533" s="756"/>
    </row>
    <row r="5534" spans="1:8" ht="15.75" thickBot="1" x14ac:dyDescent="0.3">
      <c r="A5534" s="749"/>
      <c r="B5534" s="767"/>
      <c r="C5534" s="768" t="s">
        <v>7044</v>
      </c>
      <c r="D5534" s="769"/>
      <c r="E5534" s="770" t="s">
        <v>7044</v>
      </c>
      <c r="F5534" s="768"/>
      <c r="G5534" s="818" t="s">
        <v>7044</v>
      </c>
      <c r="H5534" s="771">
        <f>SUM(G5527:G5534)</f>
        <v>963.62487171124167</v>
      </c>
    </row>
    <row r="5535" spans="1:8" ht="15.75" thickBot="1" x14ac:dyDescent="0.3">
      <c r="A5535" s="749"/>
      <c r="B5535" s="772"/>
      <c r="C5535" s="773"/>
      <c r="D5535" s="772"/>
      <c r="E5535" s="774"/>
      <c r="F5535" s="773"/>
      <c r="G5535" s="775"/>
      <c r="H5535" s="776"/>
    </row>
    <row r="5536" spans="1:8" ht="15.75" thickBot="1" x14ac:dyDescent="0.3">
      <c r="A5536" s="788"/>
      <c r="B5536" s="1184" t="s">
        <v>5408</v>
      </c>
      <c r="C5536" s="1185" t="s">
        <v>867</v>
      </c>
      <c r="D5536" s="1185" t="s">
        <v>6</v>
      </c>
      <c r="E5536" s="1186" t="s">
        <v>870</v>
      </c>
      <c r="F5536" s="1185" t="s">
        <v>7040</v>
      </c>
      <c r="G5536" s="1187" t="s">
        <v>868</v>
      </c>
      <c r="H5536" s="1189"/>
    </row>
    <row r="5537" spans="1:8" x14ac:dyDescent="0.25">
      <c r="A5537" s="748"/>
      <c r="B5537" s="777" t="str">
        <f>PROPER(Insumos!$A$311)</f>
        <v>Tableta Tipo Gres De 0,20X</v>
      </c>
      <c r="C5537" s="819" t="s">
        <v>5556</v>
      </c>
      <c r="D5537" s="819">
        <v>1.05</v>
      </c>
      <c r="E5537" s="758">
        <f>+VLOOKUP(B5537,Insumos!$A$2:$C$331,3,FALSE)</f>
        <v>21943.95</v>
      </c>
      <c r="F5537" s="819">
        <v>1.05</v>
      </c>
      <c r="G5537" s="818">
        <f>D5537*E5537*F5537</f>
        <v>24193.204875000003</v>
      </c>
      <c r="H5537" s="756"/>
    </row>
    <row r="5538" spans="1:8" ht="25.5" x14ac:dyDescent="0.25">
      <c r="A5538" s="748"/>
      <c r="B5538" s="778" t="str">
        <f>PROPER(Insumos!$A$312)</f>
        <v>Mortero Resist. 17,5 Mpa (175 Kg/Cm2)</v>
      </c>
      <c r="C5538" s="817" t="s">
        <v>5542</v>
      </c>
      <c r="D5538" s="1229">
        <v>0.03</v>
      </c>
      <c r="E5538" s="758">
        <f>+VLOOKUP(B5538,Insumos!$A$2:$C$331,3,FALSE)</f>
        <v>244805.40000000002</v>
      </c>
      <c r="F5538" s="819">
        <v>1.1000000000000001</v>
      </c>
      <c r="G5538" s="818">
        <f>D5538*E5538*F5538</f>
        <v>8078.5782000000008</v>
      </c>
      <c r="H5538" s="756"/>
    </row>
    <row r="5539" spans="1:8" x14ac:dyDescent="0.25">
      <c r="A5539" s="748"/>
      <c r="B5539" s="778"/>
      <c r="C5539" s="817" t="s">
        <v>7044</v>
      </c>
      <c r="D5539" s="817"/>
      <c r="E5539" s="761" t="s">
        <v>7044</v>
      </c>
      <c r="F5539" s="819"/>
      <c r="G5539" s="818" t="s">
        <v>7044</v>
      </c>
      <c r="H5539" s="756"/>
    </row>
    <row r="5540" spans="1:8" x14ac:dyDescent="0.25">
      <c r="A5540" s="748"/>
      <c r="B5540" s="764"/>
      <c r="C5540" s="817" t="s">
        <v>7044</v>
      </c>
      <c r="D5540" s="817"/>
      <c r="E5540" s="758" t="s">
        <v>7044</v>
      </c>
      <c r="F5540" s="817"/>
      <c r="G5540" s="818" t="s">
        <v>7044</v>
      </c>
      <c r="H5540" s="756"/>
    </row>
    <row r="5541" spans="1:8" x14ac:dyDescent="0.25">
      <c r="A5541" s="748"/>
      <c r="B5541" s="764"/>
      <c r="C5541" s="817" t="s">
        <v>7044</v>
      </c>
      <c r="D5541" s="817"/>
      <c r="E5541" s="758" t="s">
        <v>7044</v>
      </c>
      <c r="F5541" s="817"/>
      <c r="G5541" s="818" t="s">
        <v>7044</v>
      </c>
      <c r="H5541" s="756"/>
    </row>
    <row r="5542" spans="1:8" x14ac:dyDescent="0.25">
      <c r="A5542" s="748"/>
      <c r="B5542" s="764"/>
      <c r="C5542" s="817" t="s">
        <v>7044</v>
      </c>
      <c r="D5542" s="817"/>
      <c r="E5542" s="758" t="s">
        <v>7044</v>
      </c>
      <c r="F5542" s="817"/>
      <c r="G5542" s="818" t="s">
        <v>7044</v>
      </c>
      <c r="H5542" s="756"/>
    </row>
    <row r="5543" spans="1:8" x14ac:dyDescent="0.25">
      <c r="A5543" s="748"/>
      <c r="B5543" s="764"/>
      <c r="C5543" s="817" t="s">
        <v>7044</v>
      </c>
      <c r="D5543" s="817"/>
      <c r="E5543" s="758" t="s">
        <v>7044</v>
      </c>
      <c r="F5543" s="817"/>
      <c r="G5543" s="818" t="s">
        <v>7044</v>
      </c>
      <c r="H5543" s="756"/>
    </row>
    <row r="5544" spans="1:8" x14ac:dyDescent="0.25">
      <c r="A5544" s="748"/>
      <c r="B5544" s="764"/>
      <c r="C5544" s="817" t="s">
        <v>7044</v>
      </c>
      <c r="D5544" s="817"/>
      <c r="E5544" s="758" t="s">
        <v>7044</v>
      </c>
      <c r="F5544" s="817"/>
      <c r="G5544" s="818" t="s">
        <v>7044</v>
      </c>
      <c r="H5544" s="756"/>
    </row>
    <row r="5545" spans="1:8" x14ac:dyDescent="0.25">
      <c r="A5545" s="748"/>
      <c r="B5545" s="764"/>
      <c r="C5545" s="817" t="s">
        <v>7044</v>
      </c>
      <c r="D5545" s="817"/>
      <c r="E5545" s="758" t="s">
        <v>7044</v>
      </c>
      <c r="F5545" s="817"/>
      <c r="G5545" s="818" t="s">
        <v>7044</v>
      </c>
      <c r="H5545" s="756"/>
    </row>
    <row r="5546" spans="1:8" x14ac:dyDescent="0.25">
      <c r="A5546" s="748"/>
      <c r="B5546" s="764"/>
      <c r="C5546" s="817" t="s">
        <v>7044</v>
      </c>
      <c r="D5546" s="817"/>
      <c r="E5546" s="758" t="s">
        <v>7044</v>
      </c>
      <c r="F5546" s="817"/>
      <c r="G5546" s="818" t="s">
        <v>7044</v>
      </c>
      <c r="H5546" s="756"/>
    </row>
    <row r="5547" spans="1:8" x14ac:dyDescent="0.25">
      <c r="A5547" s="748"/>
      <c r="B5547" s="764"/>
      <c r="C5547" s="817" t="s">
        <v>7044</v>
      </c>
      <c r="D5547" s="817"/>
      <c r="E5547" s="758" t="s">
        <v>7044</v>
      </c>
      <c r="F5547" s="817"/>
      <c r="G5547" s="818" t="s">
        <v>7044</v>
      </c>
      <c r="H5547" s="756"/>
    </row>
    <row r="5548" spans="1:8" x14ac:dyDescent="0.25">
      <c r="A5548" s="748"/>
      <c r="B5548" s="764"/>
      <c r="C5548" s="765" t="s">
        <v>7044</v>
      </c>
      <c r="D5548" s="765"/>
      <c r="E5548" s="766" t="s">
        <v>7044</v>
      </c>
      <c r="F5548" s="817"/>
      <c r="G5548" s="818" t="s">
        <v>7044</v>
      </c>
      <c r="H5548" s="756"/>
    </row>
    <row r="5549" spans="1:8" ht="15.75" thickBot="1" x14ac:dyDescent="0.3">
      <c r="A5549" s="748"/>
      <c r="B5549" s="764"/>
      <c r="C5549" s="765" t="s">
        <v>7044</v>
      </c>
      <c r="D5549" s="765"/>
      <c r="E5549" s="766" t="s">
        <v>7044</v>
      </c>
      <c r="F5549" s="817"/>
      <c r="G5549" s="818" t="s">
        <v>7044</v>
      </c>
      <c r="H5549" s="756"/>
    </row>
    <row r="5550" spans="1:8" ht="15.75" thickBot="1" x14ac:dyDescent="0.3">
      <c r="A5550" s="748"/>
      <c r="B5550" s="767"/>
      <c r="C5550" s="769" t="s">
        <v>7044</v>
      </c>
      <c r="D5550" s="769"/>
      <c r="E5550" s="770" t="s">
        <v>7044</v>
      </c>
      <c r="F5550" s="768"/>
      <c r="G5550" s="818" t="s">
        <v>7044</v>
      </c>
      <c r="H5550" s="771">
        <f>SUM(G5537:G5550)</f>
        <v>32271.783075000003</v>
      </c>
    </row>
    <row r="5551" spans="1:8" ht="15.75" thickBot="1" x14ac:dyDescent="0.3">
      <c r="A5551" s="748"/>
      <c r="B5551" s="772"/>
      <c r="C5551" s="772"/>
      <c r="D5551" s="772"/>
      <c r="E5551" s="774"/>
      <c r="F5551" s="773"/>
      <c r="G5551" s="775"/>
      <c r="H5551" s="776"/>
    </row>
    <row r="5552" spans="1:8" ht="15.75" thickBot="1" x14ac:dyDescent="0.3">
      <c r="A5552" s="788"/>
      <c r="B5552" s="1184" t="s">
        <v>5410</v>
      </c>
      <c r="C5552" s="1185" t="s">
        <v>867</v>
      </c>
      <c r="D5552" s="1185" t="s">
        <v>6</v>
      </c>
      <c r="E5552" s="1186" t="s">
        <v>870</v>
      </c>
      <c r="F5552" s="1185" t="s">
        <v>5411</v>
      </c>
      <c r="G5552" s="1187" t="s">
        <v>868</v>
      </c>
      <c r="H5552" s="1189"/>
    </row>
    <row r="5553" spans="1:8" x14ac:dyDescent="0.25">
      <c r="A5553" s="748"/>
      <c r="B5553" s="777"/>
      <c r="C5553" s="819" t="s">
        <v>7044</v>
      </c>
      <c r="D5553" s="819"/>
      <c r="E5553" s="758" t="s">
        <v>7044</v>
      </c>
      <c r="F5553" s="819"/>
      <c r="G5553" s="818" t="s">
        <v>7044</v>
      </c>
      <c r="H5553" s="756"/>
    </row>
    <row r="5554" spans="1:8" x14ac:dyDescent="0.25">
      <c r="A5554" s="748"/>
      <c r="B5554" s="778"/>
      <c r="C5554" s="817" t="s">
        <v>7044</v>
      </c>
      <c r="D5554" s="817"/>
      <c r="E5554" s="761" t="s">
        <v>7044</v>
      </c>
      <c r="F5554" s="817"/>
      <c r="G5554" s="818" t="s">
        <v>7044</v>
      </c>
      <c r="H5554" s="756"/>
    </row>
    <row r="5555" spans="1:8" x14ac:dyDescent="0.25">
      <c r="A5555" s="748"/>
      <c r="B5555" s="778"/>
      <c r="C5555" s="817" t="s">
        <v>7044</v>
      </c>
      <c r="D5555" s="817"/>
      <c r="E5555" s="758" t="s">
        <v>7044</v>
      </c>
      <c r="F5555" s="817"/>
      <c r="G5555" s="818" t="s">
        <v>7044</v>
      </c>
      <c r="H5555" s="756"/>
    </row>
    <row r="5556" spans="1:8" ht="15.75" thickBot="1" x14ac:dyDescent="0.3">
      <c r="A5556" s="748"/>
      <c r="B5556" s="764"/>
      <c r="C5556" s="817" t="s">
        <v>7044</v>
      </c>
      <c r="D5556" s="817"/>
      <c r="E5556" s="758" t="s">
        <v>7044</v>
      </c>
      <c r="F5556" s="817"/>
      <c r="G5556" s="818" t="s">
        <v>7044</v>
      </c>
      <c r="H5556" s="756"/>
    </row>
    <row r="5557" spans="1:8" ht="15.75" thickBot="1" x14ac:dyDescent="0.3">
      <c r="A5557" s="748"/>
      <c r="B5557" s="767"/>
      <c r="C5557" s="769" t="s">
        <v>7044</v>
      </c>
      <c r="D5557" s="769"/>
      <c r="E5557" s="770" t="s">
        <v>7044</v>
      </c>
      <c r="F5557" s="768"/>
      <c r="G5557" s="818" t="s">
        <v>7044</v>
      </c>
      <c r="H5557" s="771">
        <f>SUM(G5553:G5557)</f>
        <v>0</v>
      </c>
    </row>
    <row r="5558" spans="1:8" ht="15.75" thickBot="1" x14ac:dyDescent="0.3">
      <c r="A5558" s="748"/>
      <c r="B5558" s="772"/>
      <c r="C5558" s="772"/>
      <c r="D5558" s="772"/>
      <c r="E5558" s="774"/>
      <c r="F5558" s="779"/>
      <c r="G5558" s="780"/>
      <c r="H5558" s="776"/>
    </row>
    <row r="5559" spans="1:8" ht="15.75" thickBot="1" x14ac:dyDescent="0.3">
      <c r="A5559" s="788"/>
      <c r="B5559" s="1184" t="s">
        <v>5412</v>
      </c>
      <c r="C5559" s="1185" t="s">
        <v>5420</v>
      </c>
      <c r="D5559" s="1185" t="s">
        <v>5421</v>
      </c>
      <c r="E5559" s="1186" t="s">
        <v>5413</v>
      </c>
      <c r="F5559" s="1185" t="s">
        <v>5405</v>
      </c>
      <c r="G5559" s="1187" t="s">
        <v>868</v>
      </c>
      <c r="H5559" s="1189"/>
    </row>
    <row r="5560" spans="1:8" x14ac:dyDescent="0.25">
      <c r="A5560" s="748"/>
      <c r="B5560" s="781" t="s">
        <v>5948</v>
      </c>
      <c r="C5560" s="782">
        <f>+VLOOKUP(B5560,'Mano de obra'!$A$5:$D$26,2,FALSE)</f>
        <v>57455</v>
      </c>
      <c r="D5560" s="782">
        <f>+VLOOKUP(B5560,'Mano de obra'!$A$5:$D$26,3,FALSE)</f>
        <v>35656</v>
      </c>
      <c r="E5560" s="761">
        <f>+VLOOKUP(B5560,'Mano de obra'!$A$5:$D$26,4,FALSE)</f>
        <v>93111</v>
      </c>
      <c r="F5560" s="819">
        <v>137.97</v>
      </c>
      <c r="G5560" s="818">
        <f>IF(B5560="","",E5560/F5560)</f>
        <v>674.8641008914982</v>
      </c>
      <c r="H5560" s="756"/>
    </row>
    <row r="5561" spans="1:8" x14ac:dyDescent="0.25">
      <c r="A5561" s="748"/>
      <c r="B5561" s="781" t="s">
        <v>5949</v>
      </c>
      <c r="C5561" s="782">
        <f>+VLOOKUP(B5561,'Mano de obra'!$A$5:$D$26,2,FALSE)</f>
        <v>44263.8</v>
      </c>
      <c r="D5561" s="782">
        <f>+VLOOKUP(B5561,'Mano de obra'!$A$5:$D$26,3,FALSE)</f>
        <v>27470</v>
      </c>
      <c r="E5561" s="761">
        <f>+VLOOKUP(B5561,'Mano de obra'!$A$5:$D$26,4,FALSE)</f>
        <v>71733.8</v>
      </c>
      <c r="F5561" s="819">
        <v>6</v>
      </c>
      <c r="G5561" s="818">
        <f>IF(B5561="","",E5561/F5561)</f>
        <v>11955.633333333333</v>
      </c>
      <c r="H5561" s="756"/>
    </row>
    <row r="5562" spans="1:8" x14ac:dyDescent="0.25">
      <c r="A5562" s="748"/>
      <c r="B5562" s="764" t="s">
        <v>5635</v>
      </c>
      <c r="C5562" s="782">
        <f>+VLOOKUP(B5562,'Mano de obra'!$A$5:$D$26,2,FALSE)</f>
        <v>24591</v>
      </c>
      <c r="D5562" s="782">
        <f>+VLOOKUP(B5562,'Mano de obra'!$A$5:$D$26,3,FALSE)</f>
        <v>15261</v>
      </c>
      <c r="E5562" s="761">
        <f>+VLOOKUP(B5562,'Mano de obra'!$A$5:$D$26,4,FALSE)</f>
        <v>39852</v>
      </c>
      <c r="F5562" s="817">
        <v>6</v>
      </c>
      <c r="G5562" s="818">
        <f>IF(B5562="","",E5562/F5562)</f>
        <v>6642</v>
      </c>
      <c r="H5562" s="756"/>
    </row>
    <row r="5563" spans="1:8" x14ac:dyDescent="0.25">
      <c r="A5563" s="748"/>
      <c r="B5563" s="764"/>
      <c r="C5563" s="782" t="s">
        <v>7044</v>
      </c>
      <c r="D5563" s="766" t="s">
        <v>7044</v>
      </c>
      <c r="E5563" s="766" t="s">
        <v>7044</v>
      </c>
      <c r="F5563" s="817"/>
      <c r="G5563" s="783" t="s">
        <v>7044</v>
      </c>
      <c r="H5563" s="756"/>
    </row>
    <row r="5564" spans="1:8" ht="15.75" thickBot="1" x14ac:dyDescent="0.3">
      <c r="A5564" s="748"/>
      <c r="B5564" s="764"/>
      <c r="C5564" s="766" t="s">
        <v>7044</v>
      </c>
      <c r="D5564" s="766" t="s">
        <v>7044</v>
      </c>
      <c r="E5564" s="766" t="s">
        <v>7044</v>
      </c>
      <c r="F5564" s="817"/>
      <c r="G5564" s="783" t="s">
        <v>7044</v>
      </c>
      <c r="H5564" s="756"/>
    </row>
    <row r="5565" spans="1:8" ht="15.75" thickBot="1" x14ac:dyDescent="0.3">
      <c r="A5565" s="748"/>
      <c r="B5565" s="784"/>
      <c r="C5565" s="785" t="s">
        <v>7044</v>
      </c>
      <c r="D5565" s="785" t="s">
        <v>7044</v>
      </c>
      <c r="E5565" s="785" t="s">
        <v>7044</v>
      </c>
      <c r="F5565" s="786"/>
      <c r="G5565" s="787" t="s">
        <v>7044</v>
      </c>
      <c r="H5565" s="771">
        <f>SUM(G5560:G5565)</f>
        <v>19272.497434224832</v>
      </c>
    </row>
    <row r="5566" spans="1:8" ht="15.75" thickBot="1" x14ac:dyDescent="0.3">
      <c r="A5566" s="748"/>
      <c r="B5566" s="748"/>
      <c r="C5566" s="748"/>
      <c r="D5566" s="748"/>
      <c r="E5566" s="748"/>
      <c r="F5566" s="749"/>
      <c r="G5566" s="748"/>
      <c r="H5566" s="748"/>
    </row>
    <row r="5567" spans="1:8" ht="15.75" thickBot="1" x14ac:dyDescent="0.3">
      <c r="A5567" s="748"/>
      <c r="B5567" s="748"/>
      <c r="C5567" s="748"/>
      <c r="D5567" s="748"/>
      <c r="E5567" s="788" t="s">
        <v>5415</v>
      </c>
      <c r="F5567" s="749"/>
      <c r="G5567" s="748"/>
      <c r="H5567" s="789">
        <f>ROUND(H5534+H5550+H5557+H5565,0)</f>
        <v>52508</v>
      </c>
    </row>
    <row r="5568" spans="1:8" x14ac:dyDescent="0.25">
      <c r="A5568" s="748"/>
      <c r="B5568" s="748"/>
      <c r="C5568" s="748"/>
      <c r="D5568" s="748"/>
      <c r="E5568" s="748"/>
      <c r="F5568" s="749"/>
      <c r="G5568" s="748"/>
      <c r="H5568" s="748"/>
    </row>
    <row r="5569" spans="1:8" x14ac:dyDescent="0.25">
      <c r="A5569" s="749"/>
      <c r="B5569" s="748"/>
      <c r="C5569" s="748"/>
      <c r="D5569" s="748"/>
      <c r="E5569" s="748"/>
      <c r="F5569" s="749"/>
      <c r="G5569" s="748"/>
      <c r="H5569" s="748"/>
    </row>
    <row r="5570" spans="1:8" s="1441" customFormat="1" ht="34.5" customHeight="1" x14ac:dyDescent="0.25">
      <c r="A5570" s="673" t="s">
        <v>3</v>
      </c>
      <c r="B5570" s="1390" t="str">
        <f>+VLOOKUP(C5570,ListaAPUs!$B:$E,4,FALSE)</f>
        <v>7.1.9</v>
      </c>
      <c r="C5570" s="2449" t="s">
        <v>8284</v>
      </c>
      <c r="D5570" s="2449"/>
      <c r="E5570" s="2449"/>
      <c r="F5570" s="673" t="s">
        <v>867</v>
      </c>
      <c r="G5570" s="342" t="s">
        <v>5424</v>
      </c>
      <c r="H5570" s="788"/>
    </row>
    <row r="5571" spans="1:8" x14ac:dyDescent="0.25">
      <c r="A5571" s="749"/>
      <c r="B5571" s="748"/>
      <c r="C5571" s="748"/>
      <c r="D5571" s="748"/>
      <c r="E5571" s="748"/>
      <c r="F5571" s="749"/>
      <c r="G5571" s="748"/>
      <c r="H5571" s="748"/>
    </row>
    <row r="5572" spans="1:8" x14ac:dyDescent="0.25">
      <c r="A5572" s="749"/>
      <c r="B5572" s="748"/>
      <c r="C5572" s="748"/>
      <c r="D5572" s="748"/>
      <c r="E5572" s="748"/>
      <c r="F5572" s="749"/>
      <c r="G5572" s="751"/>
      <c r="H5572" s="748"/>
    </row>
    <row r="5573" spans="1:8" ht="15.75" thickBot="1" x14ac:dyDescent="0.3">
      <c r="A5573" s="749"/>
      <c r="B5573" s="748"/>
      <c r="C5573" s="748"/>
      <c r="D5573" s="748"/>
      <c r="E5573" s="748"/>
      <c r="F5573" s="749"/>
      <c r="G5573" s="748"/>
      <c r="H5573" s="748"/>
    </row>
    <row r="5574" spans="1:8" ht="15.75" thickBot="1" x14ac:dyDescent="0.3">
      <c r="A5574" s="751"/>
      <c r="B5574" s="1184" t="s">
        <v>5403</v>
      </c>
      <c r="C5574" s="1185" t="s">
        <v>867</v>
      </c>
      <c r="D5574" s="1185" t="s">
        <v>6</v>
      </c>
      <c r="E5574" s="1186" t="s">
        <v>5404</v>
      </c>
      <c r="F5574" s="1185" t="s">
        <v>5405</v>
      </c>
      <c r="G5574" s="1187" t="s">
        <v>868</v>
      </c>
      <c r="H5574" s="1189"/>
    </row>
    <row r="5575" spans="1:8" x14ac:dyDescent="0.25">
      <c r="A5575" s="749"/>
      <c r="B5575" s="1231" t="s">
        <v>8269</v>
      </c>
      <c r="C5575" s="819" t="s">
        <v>7042</v>
      </c>
      <c r="D5575" s="819">
        <v>1</v>
      </c>
      <c r="E5575" s="758">
        <f>H5613</f>
        <v>31440.333333333332</v>
      </c>
      <c r="F5575" s="819">
        <v>0.03</v>
      </c>
      <c r="G5575" s="818">
        <f>D5575*E5575*F5575</f>
        <v>943.20999999999992</v>
      </c>
      <c r="H5575" s="756"/>
    </row>
    <row r="5576" spans="1:8" x14ac:dyDescent="0.25">
      <c r="A5576" s="749"/>
      <c r="B5576" s="1232" t="str">
        <f>PROPER(Insumos!$A$62)</f>
        <v>Equipo De Soldadura</v>
      </c>
      <c r="C5576" s="817" t="s">
        <v>5424</v>
      </c>
      <c r="D5576" s="817">
        <v>1</v>
      </c>
      <c r="E5576" s="761">
        <v>13125</v>
      </c>
      <c r="F5576" s="817">
        <v>6</v>
      </c>
      <c r="G5576" s="818">
        <f>D5576*E5576*F5576</f>
        <v>78750</v>
      </c>
      <c r="H5576" s="756"/>
    </row>
    <row r="5577" spans="1:8" x14ac:dyDescent="0.25">
      <c r="A5577" s="749"/>
      <c r="B5577" s="1213"/>
      <c r="C5577" s="817" t="s">
        <v>7044</v>
      </c>
      <c r="D5577" s="817"/>
      <c r="E5577" s="761" t="s">
        <v>7044</v>
      </c>
      <c r="F5577" s="817"/>
      <c r="G5577" s="818" t="s">
        <v>7044</v>
      </c>
      <c r="H5577" s="756"/>
    </row>
    <row r="5578" spans="1:8" x14ac:dyDescent="0.25">
      <c r="A5578" s="749"/>
      <c r="B5578" s="764"/>
      <c r="C5578" s="817" t="s">
        <v>7044</v>
      </c>
      <c r="D5578" s="765"/>
      <c r="E5578" s="766" t="s">
        <v>7044</v>
      </c>
      <c r="F5578" s="817"/>
      <c r="G5578" s="818" t="s">
        <v>7044</v>
      </c>
      <c r="H5578" s="756"/>
    </row>
    <row r="5579" spans="1:8" x14ac:dyDescent="0.25">
      <c r="A5579" s="749"/>
      <c r="B5579" s="764"/>
      <c r="C5579" s="817" t="s">
        <v>7044</v>
      </c>
      <c r="D5579" s="765"/>
      <c r="E5579" s="766" t="s">
        <v>7044</v>
      </c>
      <c r="F5579" s="817"/>
      <c r="G5579" s="818" t="s">
        <v>7044</v>
      </c>
      <c r="H5579" s="756"/>
    </row>
    <row r="5580" spans="1:8" x14ac:dyDescent="0.25">
      <c r="A5580" s="749"/>
      <c r="B5580" s="764"/>
      <c r="C5580" s="817" t="s">
        <v>7044</v>
      </c>
      <c r="D5580" s="765"/>
      <c r="E5580" s="766" t="s">
        <v>7044</v>
      </c>
      <c r="F5580" s="817"/>
      <c r="G5580" s="818" t="s">
        <v>7044</v>
      </c>
      <c r="H5580" s="756"/>
    </row>
    <row r="5581" spans="1:8" ht="15.75" thickBot="1" x14ac:dyDescent="0.3">
      <c r="A5581" s="749"/>
      <c r="B5581" s="764"/>
      <c r="C5581" s="817" t="s">
        <v>7044</v>
      </c>
      <c r="D5581" s="765"/>
      <c r="E5581" s="766" t="s">
        <v>7044</v>
      </c>
      <c r="F5581" s="817"/>
      <c r="G5581" s="818" t="s">
        <v>7044</v>
      </c>
      <c r="H5581" s="756"/>
    </row>
    <row r="5582" spans="1:8" ht="15.75" thickBot="1" x14ac:dyDescent="0.3">
      <c r="A5582" s="749"/>
      <c r="B5582" s="767"/>
      <c r="C5582" s="768" t="s">
        <v>7044</v>
      </c>
      <c r="D5582" s="769"/>
      <c r="E5582" s="770" t="s">
        <v>7044</v>
      </c>
      <c r="F5582" s="768"/>
      <c r="G5582" s="818" t="s">
        <v>7044</v>
      </c>
      <c r="H5582" s="771">
        <f>SUM(G5575:G5582)</f>
        <v>79693.210000000006</v>
      </c>
    </row>
    <row r="5583" spans="1:8" ht="15.75" thickBot="1" x14ac:dyDescent="0.3">
      <c r="A5583" s="749"/>
      <c r="B5583" s="772"/>
      <c r="C5583" s="773"/>
      <c r="D5583" s="772"/>
      <c r="E5583" s="774"/>
      <c r="F5583" s="773"/>
      <c r="G5583" s="775"/>
      <c r="H5583" s="776"/>
    </row>
    <row r="5584" spans="1:8" ht="15.75" thickBot="1" x14ac:dyDescent="0.3">
      <c r="A5584" s="788"/>
      <c r="B5584" s="1184" t="s">
        <v>5408</v>
      </c>
      <c r="C5584" s="1185" t="s">
        <v>867</v>
      </c>
      <c r="D5584" s="1185" t="s">
        <v>6</v>
      </c>
      <c r="E5584" s="1186" t="s">
        <v>870</v>
      </c>
      <c r="F5584" s="1185" t="s">
        <v>7040</v>
      </c>
      <c r="G5584" s="1187" t="s">
        <v>868</v>
      </c>
      <c r="H5584" s="1189"/>
    </row>
    <row r="5585" spans="1:8" ht="25.5" x14ac:dyDescent="0.25">
      <c r="A5585" s="748"/>
      <c r="B5585" s="757" t="str">
        <f>PROPER(Insumos!$A$313)</f>
        <v>Lamina De Alfajor 3/16" (1M X 3 M)</v>
      </c>
      <c r="C5585" s="819" t="s">
        <v>5424</v>
      </c>
      <c r="D5585" s="819">
        <v>0.2</v>
      </c>
      <c r="E5585" s="758">
        <f>+VLOOKUP(B5585,Insumos!$A$2:$C$331,3,FALSE)</f>
        <v>131250</v>
      </c>
      <c r="F5585" s="819">
        <v>1.05</v>
      </c>
      <c r="G5585" s="818">
        <f>D5585*E5585*F5585</f>
        <v>27562.5</v>
      </c>
      <c r="H5585" s="756"/>
    </row>
    <row r="5586" spans="1:8" x14ac:dyDescent="0.25">
      <c r="A5586" s="748"/>
      <c r="B5586" s="778" t="str">
        <f>PROPER(Insumos!$A$314)</f>
        <v>Ángulo De 2" X 3/16"</v>
      </c>
      <c r="C5586" s="817" t="s">
        <v>5402</v>
      </c>
      <c r="D5586" s="1229">
        <v>3.5999999999999996</v>
      </c>
      <c r="E5586" s="758">
        <f>+VLOOKUP(B5586,Insumos!$A$2:$C$331,3,FALSE)</f>
        <v>3500</v>
      </c>
      <c r="F5586" s="819">
        <v>1.02</v>
      </c>
      <c r="G5586" s="818">
        <f>D5586*E5586*F5586</f>
        <v>12851.999999999998</v>
      </c>
      <c r="H5586" s="756"/>
    </row>
    <row r="5587" spans="1:8" x14ac:dyDescent="0.25">
      <c r="A5587" s="748"/>
      <c r="B5587" s="778" t="str">
        <f>PROPER(Insumos!$A$315)</f>
        <v>Bisagra De 3"</v>
      </c>
      <c r="C5587" s="817" t="s">
        <v>5424</v>
      </c>
      <c r="D5587" s="1229">
        <v>4</v>
      </c>
      <c r="E5587" s="758">
        <f>+VLOOKUP(B5587,Insumos!$A$2:$C$331,3,FALSE)</f>
        <v>1800</v>
      </c>
      <c r="F5587" s="819"/>
      <c r="G5587" s="818">
        <f>D5587*E5587</f>
        <v>7200</v>
      </c>
      <c r="H5587" s="756"/>
    </row>
    <row r="5588" spans="1:8" x14ac:dyDescent="0.25">
      <c r="A5588" s="748"/>
      <c r="B5588" s="764"/>
      <c r="C5588" s="817" t="s">
        <v>7044</v>
      </c>
      <c r="D5588" s="1229"/>
      <c r="E5588" s="758" t="s">
        <v>7044</v>
      </c>
      <c r="F5588" s="817"/>
      <c r="G5588" s="818" t="s">
        <v>7044</v>
      </c>
      <c r="H5588" s="756"/>
    </row>
    <row r="5589" spans="1:8" x14ac:dyDescent="0.25">
      <c r="A5589" s="748"/>
      <c r="B5589" s="764"/>
      <c r="C5589" s="817" t="s">
        <v>7044</v>
      </c>
      <c r="D5589" s="817"/>
      <c r="E5589" s="758" t="s">
        <v>7044</v>
      </c>
      <c r="F5589" s="817"/>
      <c r="G5589" s="818" t="s">
        <v>7044</v>
      </c>
      <c r="H5589" s="756"/>
    </row>
    <row r="5590" spans="1:8" x14ac:dyDescent="0.25">
      <c r="A5590" s="748"/>
      <c r="B5590" s="764"/>
      <c r="C5590" s="817" t="s">
        <v>7044</v>
      </c>
      <c r="D5590" s="817"/>
      <c r="E5590" s="758" t="s">
        <v>7044</v>
      </c>
      <c r="F5590" s="817"/>
      <c r="G5590" s="818" t="s">
        <v>7044</v>
      </c>
      <c r="H5590" s="756"/>
    </row>
    <row r="5591" spans="1:8" x14ac:dyDescent="0.25">
      <c r="A5591" s="748"/>
      <c r="B5591" s="764"/>
      <c r="C5591" s="817" t="s">
        <v>7044</v>
      </c>
      <c r="D5591" s="817"/>
      <c r="E5591" s="758" t="s">
        <v>7044</v>
      </c>
      <c r="F5591" s="817"/>
      <c r="G5591" s="818" t="s">
        <v>7044</v>
      </c>
      <c r="H5591" s="756"/>
    </row>
    <row r="5592" spans="1:8" x14ac:dyDescent="0.25">
      <c r="A5592" s="748"/>
      <c r="B5592" s="764"/>
      <c r="C5592" s="817" t="s">
        <v>7044</v>
      </c>
      <c r="D5592" s="817"/>
      <c r="E5592" s="758" t="s">
        <v>7044</v>
      </c>
      <c r="F5592" s="817"/>
      <c r="G5592" s="818" t="s">
        <v>7044</v>
      </c>
      <c r="H5592" s="756"/>
    </row>
    <row r="5593" spans="1:8" x14ac:dyDescent="0.25">
      <c r="A5593" s="748"/>
      <c r="B5593" s="764"/>
      <c r="C5593" s="817" t="s">
        <v>7044</v>
      </c>
      <c r="D5593" s="817"/>
      <c r="E5593" s="758" t="s">
        <v>7044</v>
      </c>
      <c r="F5593" s="817"/>
      <c r="G5593" s="818" t="s">
        <v>7044</v>
      </c>
      <c r="H5593" s="756"/>
    </row>
    <row r="5594" spans="1:8" x14ac:dyDescent="0.25">
      <c r="A5594" s="748"/>
      <c r="B5594" s="764"/>
      <c r="C5594" s="817" t="s">
        <v>7044</v>
      </c>
      <c r="D5594" s="817"/>
      <c r="E5594" s="758" t="s">
        <v>7044</v>
      </c>
      <c r="F5594" s="817"/>
      <c r="G5594" s="818" t="s">
        <v>7044</v>
      </c>
      <c r="H5594" s="756"/>
    </row>
    <row r="5595" spans="1:8" x14ac:dyDescent="0.25">
      <c r="A5595" s="748"/>
      <c r="B5595" s="764"/>
      <c r="C5595" s="817" t="s">
        <v>7044</v>
      </c>
      <c r="D5595" s="817"/>
      <c r="E5595" s="758" t="s">
        <v>7044</v>
      </c>
      <c r="F5595" s="817"/>
      <c r="G5595" s="818" t="s">
        <v>7044</v>
      </c>
      <c r="H5595" s="756"/>
    </row>
    <row r="5596" spans="1:8" x14ac:dyDescent="0.25">
      <c r="A5596" s="748"/>
      <c r="B5596" s="764"/>
      <c r="C5596" s="765" t="s">
        <v>7044</v>
      </c>
      <c r="D5596" s="765"/>
      <c r="E5596" s="766" t="s">
        <v>7044</v>
      </c>
      <c r="F5596" s="817"/>
      <c r="G5596" s="818" t="s">
        <v>7044</v>
      </c>
      <c r="H5596" s="756"/>
    </row>
    <row r="5597" spans="1:8" ht="15.75" thickBot="1" x14ac:dyDescent="0.3">
      <c r="A5597" s="748"/>
      <c r="B5597" s="764"/>
      <c r="C5597" s="765" t="s">
        <v>7044</v>
      </c>
      <c r="D5597" s="765"/>
      <c r="E5597" s="766" t="s">
        <v>7044</v>
      </c>
      <c r="F5597" s="817"/>
      <c r="G5597" s="818" t="s">
        <v>7044</v>
      </c>
      <c r="H5597" s="756"/>
    </row>
    <row r="5598" spans="1:8" ht="15.75" thickBot="1" x14ac:dyDescent="0.3">
      <c r="A5598" s="748"/>
      <c r="B5598" s="767"/>
      <c r="C5598" s="769" t="s">
        <v>7044</v>
      </c>
      <c r="D5598" s="769"/>
      <c r="E5598" s="770" t="s">
        <v>7044</v>
      </c>
      <c r="F5598" s="768"/>
      <c r="G5598" s="818" t="s">
        <v>7044</v>
      </c>
      <c r="H5598" s="771">
        <f>SUM(G5585:G5598)</f>
        <v>47614.5</v>
      </c>
    </row>
    <row r="5599" spans="1:8" ht="15.75" thickBot="1" x14ac:dyDescent="0.3">
      <c r="A5599" s="748"/>
      <c r="B5599" s="772"/>
      <c r="C5599" s="772"/>
      <c r="D5599" s="772"/>
      <c r="E5599" s="774"/>
      <c r="F5599" s="773"/>
      <c r="G5599" s="775"/>
      <c r="H5599" s="776"/>
    </row>
    <row r="5600" spans="1:8" ht="15.75" thickBot="1" x14ac:dyDescent="0.3">
      <c r="A5600" s="788"/>
      <c r="B5600" s="1184" t="s">
        <v>5410</v>
      </c>
      <c r="C5600" s="1185" t="s">
        <v>867</v>
      </c>
      <c r="D5600" s="1185" t="s">
        <v>6</v>
      </c>
      <c r="E5600" s="1186" t="s">
        <v>870</v>
      </c>
      <c r="F5600" s="1185" t="s">
        <v>5411</v>
      </c>
      <c r="G5600" s="1187" t="s">
        <v>868</v>
      </c>
      <c r="H5600" s="1189"/>
    </row>
    <row r="5601" spans="1:8" x14ac:dyDescent="0.25">
      <c r="A5601" s="748"/>
      <c r="B5601" s="777"/>
      <c r="C5601" s="819" t="s">
        <v>7044</v>
      </c>
      <c r="D5601" s="819"/>
      <c r="E5601" s="758" t="s">
        <v>7044</v>
      </c>
      <c r="F5601" s="819"/>
      <c r="G5601" s="818" t="s">
        <v>7044</v>
      </c>
      <c r="H5601" s="756"/>
    </row>
    <row r="5602" spans="1:8" x14ac:dyDescent="0.25">
      <c r="A5602" s="748"/>
      <c r="B5602" s="778"/>
      <c r="C5602" s="817" t="s">
        <v>7044</v>
      </c>
      <c r="D5602" s="817"/>
      <c r="E5602" s="761" t="s">
        <v>7044</v>
      </c>
      <c r="F5602" s="817"/>
      <c r="G5602" s="818" t="s">
        <v>7044</v>
      </c>
      <c r="H5602" s="756"/>
    </row>
    <row r="5603" spans="1:8" x14ac:dyDescent="0.25">
      <c r="A5603" s="748"/>
      <c r="B5603" s="778"/>
      <c r="C5603" s="817" t="s">
        <v>7044</v>
      </c>
      <c r="D5603" s="817"/>
      <c r="E5603" s="758" t="s">
        <v>7044</v>
      </c>
      <c r="F5603" s="817"/>
      <c r="G5603" s="818" t="s">
        <v>7044</v>
      </c>
      <c r="H5603" s="756"/>
    </row>
    <row r="5604" spans="1:8" ht="15.75" thickBot="1" x14ac:dyDescent="0.3">
      <c r="A5604" s="748"/>
      <c r="B5604" s="764"/>
      <c r="C5604" s="817" t="s">
        <v>7044</v>
      </c>
      <c r="D5604" s="817"/>
      <c r="E5604" s="758" t="s">
        <v>7044</v>
      </c>
      <c r="F5604" s="817"/>
      <c r="G5604" s="818" t="s">
        <v>7044</v>
      </c>
      <c r="H5604" s="756"/>
    </row>
    <row r="5605" spans="1:8" ht="15.75" thickBot="1" x14ac:dyDescent="0.3">
      <c r="A5605" s="748"/>
      <c r="B5605" s="767"/>
      <c r="C5605" s="769" t="s">
        <v>7044</v>
      </c>
      <c r="D5605" s="769"/>
      <c r="E5605" s="770" t="s">
        <v>7044</v>
      </c>
      <c r="F5605" s="768"/>
      <c r="G5605" s="818" t="s">
        <v>7044</v>
      </c>
      <c r="H5605" s="771">
        <f>SUM(G5601:G5605)</f>
        <v>0</v>
      </c>
    </row>
    <row r="5606" spans="1:8" ht="15.75" thickBot="1" x14ac:dyDescent="0.3">
      <c r="A5606" s="748"/>
      <c r="B5606" s="772"/>
      <c r="C5606" s="772"/>
      <c r="D5606" s="772"/>
      <c r="E5606" s="774"/>
      <c r="F5606" s="779"/>
      <c r="G5606" s="780"/>
      <c r="H5606" s="776"/>
    </row>
    <row r="5607" spans="1:8" ht="15.75" thickBot="1" x14ac:dyDescent="0.3">
      <c r="A5607" s="788"/>
      <c r="B5607" s="1184" t="s">
        <v>5412</v>
      </c>
      <c r="C5607" s="1185" t="s">
        <v>5420</v>
      </c>
      <c r="D5607" s="1185" t="s">
        <v>5421</v>
      </c>
      <c r="E5607" s="1186" t="s">
        <v>5413</v>
      </c>
      <c r="F5607" s="1185" t="s">
        <v>5405</v>
      </c>
      <c r="G5607" s="1187" t="s">
        <v>868</v>
      </c>
      <c r="H5607" s="1189"/>
    </row>
    <row r="5608" spans="1:8" x14ac:dyDescent="0.25">
      <c r="A5608" s="748"/>
      <c r="B5608" s="764" t="s">
        <v>5635</v>
      </c>
      <c r="C5608" s="782">
        <f>+VLOOKUP(B5608,'Mano de obra'!$A$5:$D$26,2,FALSE)</f>
        <v>24591</v>
      </c>
      <c r="D5608" s="782">
        <f>+VLOOKUP(B5608,'Mano de obra'!$A$5:$D$26,3,FALSE)</f>
        <v>15261</v>
      </c>
      <c r="E5608" s="761">
        <f>+VLOOKUP(B5608,'Mano de obra'!$A$5:$D$26,4,FALSE)</f>
        <v>39852</v>
      </c>
      <c r="F5608" s="817">
        <v>6</v>
      </c>
      <c r="G5608" s="818">
        <f>IF(B5608="","",E5608/F5608)</f>
        <v>6642</v>
      </c>
      <c r="H5608" s="756"/>
    </row>
    <row r="5609" spans="1:8" x14ac:dyDescent="0.25">
      <c r="A5609" s="748"/>
      <c r="B5609" s="764" t="s">
        <v>8293</v>
      </c>
      <c r="C5609" s="782">
        <v>100000</v>
      </c>
      <c r="D5609" s="782">
        <v>48790</v>
      </c>
      <c r="E5609" s="761">
        <v>148790</v>
      </c>
      <c r="F5609" s="817">
        <v>6</v>
      </c>
      <c r="G5609" s="818">
        <f>IF(B5609="","",E5609/F5609)</f>
        <v>24798.333333333332</v>
      </c>
      <c r="H5609" s="756"/>
    </row>
    <row r="5610" spans="1:8" x14ac:dyDescent="0.25">
      <c r="A5610" s="748"/>
      <c r="B5610" s="764"/>
      <c r="C5610" s="782"/>
      <c r="D5610" s="782"/>
      <c r="E5610" s="761"/>
      <c r="F5610" s="817"/>
      <c r="G5610" s="818"/>
      <c r="H5610" s="756"/>
    </row>
    <row r="5611" spans="1:8" x14ac:dyDescent="0.25">
      <c r="A5611" s="748"/>
      <c r="B5611" s="764"/>
      <c r="C5611" s="782" t="s">
        <v>7044</v>
      </c>
      <c r="D5611" s="766" t="s">
        <v>7044</v>
      </c>
      <c r="E5611" s="766" t="s">
        <v>7044</v>
      </c>
      <c r="F5611" s="1230"/>
      <c r="G5611" s="783" t="s">
        <v>7044</v>
      </c>
      <c r="H5611" s="756"/>
    </row>
    <row r="5612" spans="1:8" ht="15.75" thickBot="1" x14ac:dyDescent="0.3">
      <c r="A5612" s="748"/>
      <c r="B5612" s="764"/>
      <c r="C5612" s="766" t="s">
        <v>7044</v>
      </c>
      <c r="D5612" s="766" t="s">
        <v>7044</v>
      </c>
      <c r="E5612" s="766" t="s">
        <v>7044</v>
      </c>
      <c r="F5612" s="817"/>
      <c r="G5612" s="783" t="s">
        <v>7044</v>
      </c>
      <c r="H5612" s="756"/>
    </row>
    <row r="5613" spans="1:8" ht="15.75" thickBot="1" x14ac:dyDescent="0.3">
      <c r="A5613" s="748"/>
      <c r="B5613" s="784"/>
      <c r="C5613" s="785" t="s">
        <v>7044</v>
      </c>
      <c r="D5613" s="785" t="s">
        <v>7044</v>
      </c>
      <c r="E5613" s="785" t="s">
        <v>7044</v>
      </c>
      <c r="F5613" s="786"/>
      <c r="G5613" s="787" t="s">
        <v>7044</v>
      </c>
      <c r="H5613" s="771">
        <f>SUM(G5608:G5613)</f>
        <v>31440.333333333332</v>
      </c>
    </row>
    <row r="5614" spans="1:8" ht="15.75" thickBot="1" x14ac:dyDescent="0.3">
      <c r="A5614" s="748"/>
      <c r="B5614" s="748"/>
      <c r="C5614" s="748"/>
      <c r="D5614" s="748"/>
      <c r="E5614" s="748"/>
      <c r="F5614" s="749"/>
      <c r="G5614" s="748"/>
      <c r="H5614" s="748"/>
    </row>
    <row r="5615" spans="1:8" ht="15.75" thickBot="1" x14ac:dyDescent="0.3">
      <c r="A5615" s="748"/>
      <c r="B5615" s="748"/>
      <c r="C5615" s="748"/>
      <c r="D5615" s="748"/>
      <c r="E5615" s="788" t="s">
        <v>5415</v>
      </c>
      <c r="F5615" s="749"/>
      <c r="G5615" s="748"/>
      <c r="H5615" s="789">
        <f>ROUND(H5582+H5598+H5605+H5613,0)</f>
        <v>158748</v>
      </c>
    </row>
    <row r="5616" spans="1:8" x14ac:dyDescent="0.25">
      <c r="A5616" s="748"/>
      <c r="B5616" s="748"/>
      <c r="C5616" s="748"/>
      <c r="D5616" s="748"/>
      <c r="E5616" s="748"/>
      <c r="F5616" s="749"/>
      <c r="G5616" s="748"/>
      <c r="H5616" s="748"/>
    </row>
    <row r="5617" spans="1:8" x14ac:dyDescent="0.25">
      <c r="A5617" s="749"/>
      <c r="B5617" s="748"/>
      <c r="C5617" s="748"/>
      <c r="D5617" s="748"/>
      <c r="E5617" s="748"/>
      <c r="F5617" s="749"/>
      <c r="G5617" s="748"/>
      <c r="H5617" s="748"/>
    </row>
    <row r="5618" spans="1:8" s="1441" customFormat="1" ht="34.5" customHeight="1" x14ac:dyDescent="0.25">
      <c r="A5618" s="673" t="s">
        <v>3</v>
      </c>
      <c r="B5618" s="1390" t="str">
        <f>+VLOOKUP(C5618,ListaAPUs!$B:$E,4,FALSE)</f>
        <v>7.1.10</v>
      </c>
      <c r="C5618" s="2449" t="str">
        <f>+ListaAPUs!B167</f>
        <v>Puerta metalica con marco de h=2,05m, ancho de 0,90 a 1,00m pintada con anticorrosivo y esmalte</v>
      </c>
      <c r="D5618" s="2449"/>
      <c r="E5618" s="2449"/>
      <c r="F5618" s="673" t="s">
        <v>867</v>
      </c>
      <c r="G5618" s="342" t="s">
        <v>5424</v>
      </c>
      <c r="H5618" s="788"/>
    </row>
    <row r="5619" spans="1:8" x14ac:dyDescent="0.25">
      <c r="A5619" s="749"/>
      <c r="B5619" s="748"/>
      <c r="C5619" s="748"/>
      <c r="D5619" s="748"/>
      <c r="E5619" s="748"/>
      <c r="F5619" s="749"/>
      <c r="G5619" s="748"/>
      <c r="H5619" s="748"/>
    </row>
    <row r="5620" spans="1:8" x14ac:dyDescent="0.25">
      <c r="A5620" s="749"/>
      <c r="B5620" s="748"/>
      <c r="C5620" s="748"/>
      <c r="D5620" s="748"/>
      <c r="E5620" s="748"/>
      <c r="F5620" s="749"/>
      <c r="G5620" s="751"/>
      <c r="H5620" s="748"/>
    </row>
    <row r="5621" spans="1:8" ht="15.75" thickBot="1" x14ac:dyDescent="0.3">
      <c r="A5621" s="749"/>
      <c r="B5621" s="748"/>
      <c r="C5621" s="748"/>
      <c r="D5621" s="748"/>
      <c r="E5621" s="748"/>
      <c r="F5621" s="749"/>
      <c r="G5621" s="748"/>
      <c r="H5621" s="748"/>
    </row>
    <row r="5622" spans="1:8" ht="15.75" thickBot="1" x14ac:dyDescent="0.3">
      <c r="A5622" s="751"/>
      <c r="B5622" s="1184" t="s">
        <v>5403</v>
      </c>
      <c r="C5622" s="1185" t="s">
        <v>867</v>
      </c>
      <c r="D5622" s="1185" t="s">
        <v>6</v>
      </c>
      <c r="E5622" s="1186" t="s">
        <v>5404</v>
      </c>
      <c r="F5622" s="1185" t="s">
        <v>5405</v>
      </c>
      <c r="G5622" s="1187" t="s">
        <v>868</v>
      </c>
      <c r="H5622" s="1189"/>
    </row>
    <row r="5623" spans="1:8" x14ac:dyDescent="0.25">
      <c r="A5623" s="749"/>
      <c r="B5623" s="757" t="s">
        <v>8269</v>
      </c>
      <c r="C5623" s="819" t="s">
        <v>7042</v>
      </c>
      <c r="D5623" s="1183">
        <v>1</v>
      </c>
      <c r="E5623" s="758">
        <f>H5661</f>
        <v>40298.966666666667</v>
      </c>
      <c r="F5623" s="759">
        <v>0.05</v>
      </c>
      <c r="G5623" s="818">
        <f>D5623*E5623*F5623</f>
        <v>2014.9483333333335</v>
      </c>
      <c r="H5623" s="756"/>
    </row>
    <row r="5624" spans="1:8" x14ac:dyDescent="0.25">
      <c r="A5624" s="749"/>
      <c r="B5624" s="760"/>
      <c r="C5624" s="817" t="s">
        <v>7044</v>
      </c>
      <c r="D5624" s="817"/>
      <c r="E5624" s="761" t="s">
        <v>7044</v>
      </c>
      <c r="F5624" s="817"/>
      <c r="G5624" s="818" t="s">
        <v>7044</v>
      </c>
      <c r="H5624" s="756"/>
    </row>
    <row r="5625" spans="1:8" x14ac:dyDescent="0.25">
      <c r="A5625" s="749"/>
      <c r="B5625" s="763"/>
      <c r="C5625" s="817" t="s">
        <v>7044</v>
      </c>
      <c r="D5625" s="817"/>
      <c r="E5625" s="761" t="s">
        <v>7044</v>
      </c>
      <c r="F5625" s="817"/>
      <c r="G5625" s="818" t="s">
        <v>7044</v>
      </c>
      <c r="H5625" s="756"/>
    </row>
    <row r="5626" spans="1:8" x14ac:dyDescent="0.25">
      <c r="A5626" s="749"/>
      <c r="B5626" s="764"/>
      <c r="C5626" s="817" t="s">
        <v>7044</v>
      </c>
      <c r="D5626" s="765"/>
      <c r="E5626" s="766" t="s">
        <v>7044</v>
      </c>
      <c r="F5626" s="817"/>
      <c r="G5626" s="818" t="s">
        <v>7044</v>
      </c>
      <c r="H5626" s="756"/>
    </row>
    <row r="5627" spans="1:8" x14ac:dyDescent="0.25">
      <c r="A5627" s="749"/>
      <c r="B5627" s="764"/>
      <c r="C5627" s="817" t="s">
        <v>7044</v>
      </c>
      <c r="D5627" s="765"/>
      <c r="E5627" s="766" t="s">
        <v>7044</v>
      </c>
      <c r="F5627" s="817"/>
      <c r="G5627" s="818" t="s">
        <v>7044</v>
      </c>
      <c r="H5627" s="756"/>
    </row>
    <row r="5628" spans="1:8" x14ac:dyDescent="0.25">
      <c r="A5628" s="749"/>
      <c r="B5628" s="764"/>
      <c r="C5628" s="817" t="s">
        <v>7044</v>
      </c>
      <c r="D5628" s="765"/>
      <c r="E5628" s="766" t="s">
        <v>7044</v>
      </c>
      <c r="F5628" s="817"/>
      <c r="G5628" s="818" t="s">
        <v>7044</v>
      </c>
      <c r="H5628" s="756"/>
    </row>
    <row r="5629" spans="1:8" ht="15.75" thickBot="1" x14ac:dyDescent="0.3">
      <c r="A5629" s="749"/>
      <c r="B5629" s="764"/>
      <c r="C5629" s="817" t="s">
        <v>7044</v>
      </c>
      <c r="D5629" s="765"/>
      <c r="E5629" s="766" t="s">
        <v>7044</v>
      </c>
      <c r="F5629" s="817"/>
      <c r="G5629" s="818" t="s">
        <v>7044</v>
      </c>
      <c r="H5629" s="756"/>
    </row>
    <row r="5630" spans="1:8" ht="15.75" thickBot="1" x14ac:dyDescent="0.3">
      <c r="A5630" s="749"/>
      <c r="B5630" s="767"/>
      <c r="C5630" s="768" t="s">
        <v>7044</v>
      </c>
      <c r="D5630" s="769"/>
      <c r="E5630" s="770" t="s">
        <v>7044</v>
      </c>
      <c r="F5630" s="768"/>
      <c r="G5630" s="818" t="s">
        <v>7044</v>
      </c>
      <c r="H5630" s="771">
        <f>SUM(G5623:G5630)</f>
        <v>2014.9483333333335</v>
      </c>
    </row>
    <row r="5631" spans="1:8" ht="15.75" thickBot="1" x14ac:dyDescent="0.3">
      <c r="A5631" s="749"/>
      <c r="B5631" s="772"/>
      <c r="C5631" s="773"/>
      <c r="D5631" s="772"/>
      <c r="E5631" s="774"/>
      <c r="F5631" s="773"/>
      <c r="G5631" s="775"/>
      <c r="H5631" s="776"/>
    </row>
    <row r="5632" spans="1:8" ht="15.75" thickBot="1" x14ac:dyDescent="0.3">
      <c r="A5632" s="788"/>
      <c r="B5632" s="1184" t="s">
        <v>5408</v>
      </c>
      <c r="C5632" s="1185" t="s">
        <v>867</v>
      </c>
      <c r="D5632" s="1185" t="s">
        <v>6</v>
      </c>
      <c r="E5632" s="1186" t="s">
        <v>870</v>
      </c>
      <c r="F5632" s="1185" t="s">
        <v>7040</v>
      </c>
      <c r="G5632" s="1187" t="s">
        <v>868</v>
      </c>
      <c r="H5632" s="1189"/>
    </row>
    <row r="5633" spans="1:8" ht="25.5" x14ac:dyDescent="0.25">
      <c r="A5633" s="748"/>
      <c r="B5633" s="777" t="str">
        <f>PROPER(Insumos!$A$316)</f>
        <v>Puerta En Lámina Colroll Cal 18 De 0,90 M</v>
      </c>
      <c r="C5633" s="819" t="s">
        <v>5424</v>
      </c>
      <c r="D5633" s="819">
        <v>1</v>
      </c>
      <c r="E5633" s="758">
        <f>+VLOOKUP(B5633,Insumos!$A$2:$C$331,3,FALSE)</f>
        <v>268800</v>
      </c>
      <c r="F5633" s="819"/>
      <c r="G5633" s="818">
        <f>D5633*E5633</f>
        <v>268800</v>
      </c>
      <c r="H5633" s="756"/>
    </row>
    <row r="5634" spans="1:8" x14ac:dyDescent="0.25">
      <c r="A5634" s="748"/>
      <c r="B5634" s="778"/>
      <c r="C5634" s="817" t="s">
        <v>7044</v>
      </c>
      <c r="D5634" s="817"/>
      <c r="E5634" s="761" t="s">
        <v>7044</v>
      </c>
      <c r="F5634" s="819"/>
      <c r="G5634" s="818" t="s">
        <v>7044</v>
      </c>
      <c r="H5634" s="756"/>
    </row>
    <row r="5635" spans="1:8" x14ac:dyDescent="0.25">
      <c r="A5635" s="748"/>
      <c r="B5635" s="778"/>
      <c r="C5635" s="817" t="s">
        <v>7044</v>
      </c>
      <c r="D5635" s="817"/>
      <c r="E5635" s="761" t="s">
        <v>7044</v>
      </c>
      <c r="F5635" s="819"/>
      <c r="G5635" s="818" t="s">
        <v>7044</v>
      </c>
      <c r="H5635" s="756"/>
    </row>
    <row r="5636" spans="1:8" x14ac:dyDescent="0.25">
      <c r="A5636" s="748"/>
      <c r="B5636" s="764"/>
      <c r="C5636" s="817" t="s">
        <v>7044</v>
      </c>
      <c r="D5636" s="817"/>
      <c r="E5636" s="758" t="s">
        <v>7044</v>
      </c>
      <c r="F5636" s="817"/>
      <c r="G5636" s="818" t="s">
        <v>7044</v>
      </c>
      <c r="H5636" s="756"/>
    </row>
    <row r="5637" spans="1:8" x14ac:dyDescent="0.25">
      <c r="A5637" s="748"/>
      <c r="B5637" s="764"/>
      <c r="C5637" s="817" t="s">
        <v>7044</v>
      </c>
      <c r="D5637" s="817"/>
      <c r="E5637" s="758" t="s">
        <v>7044</v>
      </c>
      <c r="F5637" s="817"/>
      <c r="G5637" s="818" t="s">
        <v>7044</v>
      </c>
      <c r="H5637" s="756"/>
    </row>
    <row r="5638" spans="1:8" x14ac:dyDescent="0.25">
      <c r="A5638" s="748"/>
      <c r="B5638" s="764"/>
      <c r="C5638" s="817" t="s">
        <v>7044</v>
      </c>
      <c r="D5638" s="817"/>
      <c r="E5638" s="758" t="s">
        <v>7044</v>
      </c>
      <c r="F5638" s="817"/>
      <c r="G5638" s="818" t="s">
        <v>7044</v>
      </c>
      <c r="H5638" s="756"/>
    </row>
    <row r="5639" spans="1:8" x14ac:dyDescent="0.25">
      <c r="A5639" s="748"/>
      <c r="B5639" s="764"/>
      <c r="C5639" s="817" t="s">
        <v>7044</v>
      </c>
      <c r="D5639" s="817"/>
      <c r="E5639" s="758" t="s">
        <v>7044</v>
      </c>
      <c r="F5639" s="817"/>
      <c r="G5639" s="818" t="s">
        <v>7044</v>
      </c>
      <c r="H5639" s="756"/>
    </row>
    <row r="5640" spans="1:8" x14ac:dyDescent="0.25">
      <c r="A5640" s="748"/>
      <c r="B5640" s="764"/>
      <c r="C5640" s="817" t="s">
        <v>7044</v>
      </c>
      <c r="D5640" s="817"/>
      <c r="E5640" s="758" t="s">
        <v>7044</v>
      </c>
      <c r="F5640" s="817"/>
      <c r="G5640" s="818" t="s">
        <v>7044</v>
      </c>
      <c r="H5640" s="756"/>
    </row>
    <row r="5641" spans="1:8" x14ac:dyDescent="0.25">
      <c r="A5641" s="748"/>
      <c r="B5641" s="764"/>
      <c r="C5641" s="817" t="s">
        <v>7044</v>
      </c>
      <c r="D5641" s="817"/>
      <c r="E5641" s="758" t="s">
        <v>7044</v>
      </c>
      <c r="F5641" s="817"/>
      <c r="G5641" s="818" t="s">
        <v>7044</v>
      </c>
      <c r="H5641" s="756"/>
    </row>
    <row r="5642" spans="1:8" x14ac:dyDescent="0.25">
      <c r="A5642" s="748"/>
      <c r="B5642" s="764"/>
      <c r="C5642" s="817" t="s">
        <v>7044</v>
      </c>
      <c r="D5642" s="817"/>
      <c r="E5642" s="758" t="s">
        <v>7044</v>
      </c>
      <c r="F5642" s="817"/>
      <c r="G5642" s="818" t="s">
        <v>7044</v>
      </c>
      <c r="H5642" s="756"/>
    </row>
    <row r="5643" spans="1:8" x14ac:dyDescent="0.25">
      <c r="A5643" s="748"/>
      <c r="B5643" s="764"/>
      <c r="C5643" s="817" t="s">
        <v>7044</v>
      </c>
      <c r="D5643" s="817"/>
      <c r="E5643" s="758" t="s">
        <v>7044</v>
      </c>
      <c r="F5643" s="817"/>
      <c r="G5643" s="818" t="s">
        <v>7044</v>
      </c>
      <c r="H5643" s="756"/>
    </row>
    <row r="5644" spans="1:8" x14ac:dyDescent="0.25">
      <c r="A5644" s="748"/>
      <c r="B5644" s="764"/>
      <c r="C5644" s="765" t="s">
        <v>7044</v>
      </c>
      <c r="D5644" s="765"/>
      <c r="E5644" s="766" t="s">
        <v>7044</v>
      </c>
      <c r="F5644" s="817"/>
      <c r="G5644" s="818" t="s">
        <v>7044</v>
      </c>
      <c r="H5644" s="756"/>
    </row>
    <row r="5645" spans="1:8" ht="15.75" thickBot="1" x14ac:dyDescent="0.3">
      <c r="A5645" s="748"/>
      <c r="B5645" s="764"/>
      <c r="C5645" s="765" t="s">
        <v>7044</v>
      </c>
      <c r="D5645" s="765"/>
      <c r="E5645" s="766" t="s">
        <v>7044</v>
      </c>
      <c r="F5645" s="817"/>
      <c r="G5645" s="818" t="s">
        <v>7044</v>
      </c>
      <c r="H5645" s="756"/>
    </row>
    <row r="5646" spans="1:8" ht="15.75" thickBot="1" x14ac:dyDescent="0.3">
      <c r="A5646" s="748"/>
      <c r="B5646" s="767"/>
      <c r="C5646" s="769" t="s">
        <v>7044</v>
      </c>
      <c r="D5646" s="769"/>
      <c r="E5646" s="770" t="s">
        <v>7044</v>
      </c>
      <c r="F5646" s="768"/>
      <c r="G5646" s="818" t="s">
        <v>7044</v>
      </c>
      <c r="H5646" s="771">
        <f>SUM(G5633:G5646)</f>
        <v>268800</v>
      </c>
    </row>
    <row r="5647" spans="1:8" ht="15.75" thickBot="1" x14ac:dyDescent="0.3">
      <c r="A5647" s="748"/>
      <c r="B5647" s="772"/>
      <c r="C5647" s="772"/>
      <c r="D5647" s="772"/>
      <c r="E5647" s="774"/>
      <c r="F5647" s="773"/>
      <c r="G5647" s="775"/>
      <c r="H5647" s="776"/>
    </row>
    <row r="5648" spans="1:8" ht="15.75" thickBot="1" x14ac:dyDescent="0.3">
      <c r="A5648" s="788"/>
      <c r="B5648" s="1184" t="s">
        <v>5410</v>
      </c>
      <c r="C5648" s="1185" t="s">
        <v>867</v>
      </c>
      <c r="D5648" s="1185" t="s">
        <v>6</v>
      </c>
      <c r="E5648" s="1186" t="s">
        <v>870</v>
      </c>
      <c r="F5648" s="1185" t="s">
        <v>5411</v>
      </c>
      <c r="G5648" s="1187" t="s">
        <v>868</v>
      </c>
      <c r="H5648" s="1189"/>
    </row>
    <row r="5649" spans="1:8" x14ac:dyDescent="0.25">
      <c r="A5649" s="748"/>
      <c r="B5649" s="777"/>
      <c r="C5649" s="819" t="s">
        <v>7044</v>
      </c>
      <c r="D5649" s="819"/>
      <c r="E5649" s="758" t="s">
        <v>7044</v>
      </c>
      <c r="F5649" s="819"/>
      <c r="G5649" s="818" t="s">
        <v>7044</v>
      </c>
      <c r="H5649" s="756"/>
    </row>
    <row r="5650" spans="1:8" x14ac:dyDescent="0.25">
      <c r="A5650" s="748"/>
      <c r="B5650" s="778"/>
      <c r="C5650" s="817" t="s">
        <v>7044</v>
      </c>
      <c r="D5650" s="817"/>
      <c r="E5650" s="761" t="s">
        <v>7044</v>
      </c>
      <c r="F5650" s="817"/>
      <c r="G5650" s="818" t="s">
        <v>7044</v>
      </c>
      <c r="H5650" s="756"/>
    </row>
    <row r="5651" spans="1:8" x14ac:dyDescent="0.25">
      <c r="A5651" s="748"/>
      <c r="B5651" s="778"/>
      <c r="C5651" s="817" t="s">
        <v>7044</v>
      </c>
      <c r="D5651" s="817"/>
      <c r="E5651" s="758" t="s">
        <v>7044</v>
      </c>
      <c r="F5651" s="817"/>
      <c r="G5651" s="818" t="s">
        <v>7044</v>
      </c>
      <c r="H5651" s="756"/>
    </row>
    <row r="5652" spans="1:8" ht="15.75" thickBot="1" x14ac:dyDescent="0.3">
      <c r="A5652" s="748"/>
      <c r="B5652" s="764"/>
      <c r="C5652" s="817" t="s">
        <v>7044</v>
      </c>
      <c r="D5652" s="817"/>
      <c r="E5652" s="758" t="s">
        <v>7044</v>
      </c>
      <c r="F5652" s="817"/>
      <c r="G5652" s="818" t="s">
        <v>7044</v>
      </c>
      <c r="H5652" s="756"/>
    </row>
    <row r="5653" spans="1:8" ht="15.75" thickBot="1" x14ac:dyDescent="0.3">
      <c r="A5653" s="748"/>
      <c r="B5653" s="767"/>
      <c r="C5653" s="769" t="s">
        <v>7044</v>
      </c>
      <c r="D5653" s="769"/>
      <c r="E5653" s="770" t="s">
        <v>7044</v>
      </c>
      <c r="F5653" s="768"/>
      <c r="G5653" s="818" t="s">
        <v>7044</v>
      </c>
      <c r="H5653" s="771">
        <f>SUM(G5649:G5653)</f>
        <v>0</v>
      </c>
    </row>
    <row r="5654" spans="1:8" ht="15.75" thickBot="1" x14ac:dyDescent="0.3">
      <c r="A5654" s="748"/>
      <c r="B5654" s="772"/>
      <c r="C5654" s="772"/>
      <c r="D5654" s="772"/>
      <c r="E5654" s="774"/>
      <c r="F5654" s="779"/>
      <c r="G5654" s="780"/>
      <c r="H5654" s="776"/>
    </row>
    <row r="5655" spans="1:8" ht="15.75" thickBot="1" x14ac:dyDescent="0.3">
      <c r="A5655" s="788"/>
      <c r="B5655" s="1184" t="s">
        <v>5412</v>
      </c>
      <c r="C5655" s="1185" t="s">
        <v>5420</v>
      </c>
      <c r="D5655" s="1185" t="s">
        <v>5421</v>
      </c>
      <c r="E5655" s="1186" t="s">
        <v>5413</v>
      </c>
      <c r="F5655" s="1185" t="s">
        <v>5405</v>
      </c>
      <c r="G5655" s="1187" t="s">
        <v>868</v>
      </c>
      <c r="H5655" s="1189"/>
    </row>
    <row r="5656" spans="1:8" x14ac:dyDescent="0.25">
      <c r="A5656" s="748"/>
      <c r="B5656" s="781" t="s">
        <v>5948</v>
      </c>
      <c r="C5656" s="782">
        <f>+VLOOKUP(B5656,'Mano de obra'!$A$5:$D$26,2,FALSE)</f>
        <v>57455</v>
      </c>
      <c r="D5656" s="782">
        <f>+VLOOKUP(B5656,'Mano de obra'!$A$5:$D$26,3,FALSE)</f>
        <v>35656</v>
      </c>
      <c r="E5656" s="761">
        <f>+VLOOKUP(B5656,'Mano de obra'!$A$5:$D$26,4,FALSE)</f>
        <v>93111</v>
      </c>
      <c r="F5656" s="819">
        <v>30</v>
      </c>
      <c r="G5656" s="818">
        <f>IF(B5656="","",E5656/F5656)</f>
        <v>3103.7</v>
      </c>
      <c r="H5656" s="756"/>
    </row>
    <row r="5657" spans="1:8" x14ac:dyDescent="0.25">
      <c r="A5657" s="748"/>
      <c r="B5657" s="781" t="s">
        <v>5949</v>
      </c>
      <c r="C5657" s="782">
        <f>+VLOOKUP(B5657,'Mano de obra'!$A$5:$D$26,2,FALSE)</f>
        <v>44263.8</v>
      </c>
      <c r="D5657" s="782">
        <f>+VLOOKUP(B5657,'Mano de obra'!$A$5:$D$26,3,FALSE)</f>
        <v>27470</v>
      </c>
      <c r="E5657" s="761">
        <f>+VLOOKUP(B5657,'Mano de obra'!$A$5:$D$26,4,FALSE)</f>
        <v>71733.8</v>
      </c>
      <c r="F5657" s="819">
        <v>3</v>
      </c>
      <c r="G5657" s="818">
        <f>IF(B5657="","",E5657/F5657)</f>
        <v>23911.266666666666</v>
      </c>
      <c r="H5657" s="756"/>
    </row>
    <row r="5658" spans="1:8" x14ac:dyDescent="0.25">
      <c r="A5658" s="748"/>
      <c r="B5658" s="764" t="s">
        <v>5635</v>
      </c>
      <c r="C5658" s="782">
        <f>+VLOOKUP(B5658,'Mano de obra'!$A$5:$D$26,2,FALSE)</f>
        <v>24591</v>
      </c>
      <c r="D5658" s="782">
        <f>+VLOOKUP(B5658,'Mano de obra'!$A$5:$D$26,3,FALSE)</f>
        <v>15261</v>
      </c>
      <c r="E5658" s="761">
        <f>+VLOOKUP(B5658,'Mano de obra'!$A$5:$D$26,4,FALSE)</f>
        <v>39852</v>
      </c>
      <c r="F5658" s="817">
        <v>3</v>
      </c>
      <c r="G5658" s="818">
        <f>IF(B5658="","",E5658/F5658)</f>
        <v>13284</v>
      </c>
      <c r="H5658" s="756"/>
    </row>
    <row r="5659" spans="1:8" x14ac:dyDescent="0.25">
      <c r="A5659" s="748"/>
      <c r="B5659" s="764"/>
      <c r="C5659" s="782" t="s">
        <v>7044</v>
      </c>
      <c r="D5659" s="766" t="s">
        <v>7044</v>
      </c>
      <c r="E5659" s="766" t="s">
        <v>7044</v>
      </c>
      <c r="F5659" s="817"/>
      <c r="G5659" s="783" t="s">
        <v>7044</v>
      </c>
      <c r="H5659" s="756"/>
    </row>
    <row r="5660" spans="1:8" ht="15.75" thickBot="1" x14ac:dyDescent="0.3">
      <c r="A5660" s="748"/>
      <c r="B5660" s="764"/>
      <c r="C5660" s="766" t="s">
        <v>7044</v>
      </c>
      <c r="D5660" s="766" t="s">
        <v>7044</v>
      </c>
      <c r="E5660" s="766" t="s">
        <v>7044</v>
      </c>
      <c r="F5660" s="817"/>
      <c r="G5660" s="783" t="s">
        <v>7044</v>
      </c>
      <c r="H5660" s="756"/>
    </row>
    <row r="5661" spans="1:8" ht="15.75" thickBot="1" x14ac:dyDescent="0.3">
      <c r="A5661" s="748"/>
      <c r="B5661" s="784"/>
      <c r="C5661" s="785" t="s">
        <v>7044</v>
      </c>
      <c r="D5661" s="785" t="s">
        <v>7044</v>
      </c>
      <c r="E5661" s="785" t="s">
        <v>7044</v>
      </c>
      <c r="F5661" s="786"/>
      <c r="G5661" s="787" t="s">
        <v>7044</v>
      </c>
      <c r="H5661" s="771">
        <f>SUM(G5656:G5661)</f>
        <v>40298.966666666667</v>
      </c>
    </row>
    <row r="5662" spans="1:8" ht="15.75" thickBot="1" x14ac:dyDescent="0.3">
      <c r="A5662" s="748"/>
      <c r="B5662" s="748"/>
      <c r="C5662" s="748"/>
      <c r="D5662" s="748"/>
      <c r="E5662" s="748"/>
      <c r="F5662" s="749"/>
      <c r="G5662" s="748"/>
      <c r="H5662" s="748"/>
    </row>
    <row r="5663" spans="1:8" ht="15.75" thickBot="1" x14ac:dyDescent="0.3">
      <c r="A5663" s="748"/>
      <c r="B5663" s="748"/>
      <c r="C5663" s="748"/>
      <c r="D5663" s="748"/>
      <c r="E5663" s="788" t="s">
        <v>5415</v>
      </c>
      <c r="F5663" s="749"/>
      <c r="G5663" s="748"/>
      <c r="H5663" s="789">
        <f>ROUND(H5630+H5646+H5653+H5661,0)</f>
        <v>311114</v>
      </c>
    </row>
    <row r="5664" spans="1:8" x14ac:dyDescent="0.25">
      <c r="A5664" s="748"/>
      <c r="B5664" s="748"/>
      <c r="C5664" s="748"/>
      <c r="D5664" s="748"/>
      <c r="E5664" s="748"/>
      <c r="F5664" s="749"/>
      <c r="G5664" s="748"/>
      <c r="H5664" s="748"/>
    </row>
    <row r="5665" spans="1:8" x14ac:dyDescent="0.25">
      <c r="A5665" s="749"/>
      <c r="B5665" s="748"/>
      <c r="C5665" s="748"/>
      <c r="D5665" s="748"/>
      <c r="E5665" s="748"/>
      <c r="F5665" s="749"/>
      <c r="G5665" s="748"/>
      <c r="H5665" s="748"/>
    </row>
    <row r="5666" spans="1:8" s="1441" customFormat="1" ht="34.5" customHeight="1" x14ac:dyDescent="0.25">
      <c r="A5666" s="673" t="s">
        <v>3</v>
      </c>
      <c r="B5666" s="1390" t="str">
        <f>+VLOOKUP(C5666,ListaAPUs!$B:$E,4,FALSE)</f>
        <v>7.1.11</v>
      </c>
      <c r="C5666" s="2449" t="str">
        <f>+ListaAPUs!B168</f>
        <v xml:space="preserve">Ventanería en perfil de aluminio y vidrio de 5 mm </v>
      </c>
      <c r="D5666" s="2449"/>
      <c r="E5666" s="2449"/>
      <c r="F5666" s="673" t="s">
        <v>867</v>
      </c>
      <c r="G5666" s="342" t="s">
        <v>5556</v>
      </c>
      <c r="H5666" s="788"/>
    </row>
    <row r="5667" spans="1:8" x14ac:dyDescent="0.25">
      <c r="A5667" s="749"/>
      <c r="B5667" s="748"/>
      <c r="C5667" s="748"/>
      <c r="D5667" s="748"/>
      <c r="E5667" s="748"/>
      <c r="F5667" s="749"/>
      <c r="G5667" s="748"/>
      <c r="H5667" s="748"/>
    </row>
    <row r="5668" spans="1:8" x14ac:dyDescent="0.25">
      <c r="A5668" s="749"/>
      <c r="B5668" s="748"/>
      <c r="C5668" s="748"/>
      <c r="D5668" s="748"/>
      <c r="E5668" s="748"/>
      <c r="F5668" s="749"/>
      <c r="G5668" s="751"/>
      <c r="H5668" s="748"/>
    </row>
    <row r="5669" spans="1:8" ht="15.75" thickBot="1" x14ac:dyDescent="0.3">
      <c r="A5669" s="749"/>
      <c r="B5669" s="748"/>
      <c r="C5669" s="748"/>
      <c r="D5669" s="748"/>
      <c r="E5669" s="748"/>
      <c r="F5669" s="749"/>
      <c r="G5669" s="748"/>
      <c r="H5669" s="748"/>
    </row>
    <row r="5670" spans="1:8" ht="15.75" thickBot="1" x14ac:dyDescent="0.3">
      <c r="A5670" s="751"/>
      <c r="B5670" s="1184" t="s">
        <v>5403</v>
      </c>
      <c r="C5670" s="1185" t="s">
        <v>867</v>
      </c>
      <c r="D5670" s="1185" t="s">
        <v>6</v>
      </c>
      <c r="E5670" s="1186" t="s">
        <v>5404</v>
      </c>
      <c r="F5670" s="1185" t="s">
        <v>5405</v>
      </c>
      <c r="G5670" s="1187" t="s">
        <v>868</v>
      </c>
      <c r="H5670" s="1189"/>
    </row>
    <row r="5671" spans="1:8" x14ac:dyDescent="0.25">
      <c r="A5671" s="749"/>
      <c r="B5671" s="757"/>
      <c r="C5671" s="819" t="s">
        <v>7044</v>
      </c>
      <c r="D5671" s="819"/>
      <c r="E5671" s="758" t="s">
        <v>7044</v>
      </c>
      <c r="F5671" s="819"/>
      <c r="G5671" s="818" t="s">
        <v>7044</v>
      </c>
      <c r="H5671" s="756"/>
    </row>
    <row r="5672" spans="1:8" x14ac:dyDescent="0.25">
      <c r="A5672" s="749"/>
      <c r="B5672" s="760"/>
      <c r="C5672" s="817" t="s">
        <v>7044</v>
      </c>
      <c r="D5672" s="817"/>
      <c r="E5672" s="761" t="s">
        <v>7044</v>
      </c>
      <c r="F5672" s="817"/>
      <c r="G5672" s="818" t="s">
        <v>7044</v>
      </c>
      <c r="H5672" s="756"/>
    </row>
    <row r="5673" spans="1:8" x14ac:dyDescent="0.25">
      <c r="A5673" s="749"/>
      <c r="B5673" s="763"/>
      <c r="C5673" s="817" t="s">
        <v>7044</v>
      </c>
      <c r="D5673" s="817"/>
      <c r="E5673" s="761" t="s">
        <v>7044</v>
      </c>
      <c r="F5673" s="817"/>
      <c r="G5673" s="818" t="s">
        <v>7044</v>
      </c>
      <c r="H5673" s="756"/>
    </row>
    <row r="5674" spans="1:8" x14ac:dyDescent="0.25">
      <c r="A5674" s="749"/>
      <c r="B5674" s="764"/>
      <c r="C5674" s="817" t="s">
        <v>7044</v>
      </c>
      <c r="D5674" s="765"/>
      <c r="E5674" s="766" t="s">
        <v>7044</v>
      </c>
      <c r="F5674" s="817"/>
      <c r="G5674" s="818" t="s">
        <v>7044</v>
      </c>
      <c r="H5674" s="756"/>
    </row>
    <row r="5675" spans="1:8" x14ac:dyDescent="0.25">
      <c r="A5675" s="749"/>
      <c r="B5675" s="764"/>
      <c r="C5675" s="817" t="s">
        <v>7044</v>
      </c>
      <c r="D5675" s="765"/>
      <c r="E5675" s="766" t="s">
        <v>7044</v>
      </c>
      <c r="F5675" s="817"/>
      <c r="G5675" s="818" t="s">
        <v>7044</v>
      </c>
      <c r="H5675" s="756"/>
    </row>
    <row r="5676" spans="1:8" x14ac:dyDescent="0.25">
      <c r="A5676" s="749"/>
      <c r="B5676" s="764"/>
      <c r="C5676" s="817" t="s">
        <v>7044</v>
      </c>
      <c r="D5676" s="765"/>
      <c r="E5676" s="766" t="s">
        <v>7044</v>
      </c>
      <c r="F5676" s="817"/>
      <c r="G5676" s="818" t="s">
        <v>7044</v>
      </c>
      <c r="H5676" s="756"/>
    </row>
    <row r="5677" spans="1:8" ht="15.75" thickBot="1" x14ac:dyDescent="0.3">
      <c r="A5677" s="749"/>
      <c r="B5677" s="764"/>
      <c r="C5677" s="817" t="s">
        <v>7044</v>
      </c>
      <c r="D5677" s="765"/>
      <c r="E5677" s="766" t="s">
        <v>7044</v>
      </c>
      <c r="F5677" s="817"/>
      <c r="G5677" s="818" t="s">
        <v>7044</v>
      </c>
      <c r="H5677" s="756"/>
    </row>
    <row r="5678" spans="1:8" ht="15.75" thickBot="1" x14ac:dyDescent="0.3">
      <c r="A5678" s="749"/>
      <c r="B5678" s="767"/>
      <c r="C5678" s="768" t="s">
        <v>7044</v>
      </c>
      <c r="D5678" s="769"/>
      <c r="E5678" s="770" t="s">
        <v>7044</v>
      </c>
      <c r="F5678" s="768"/>
      <c r="G5678" s="818" t="s">
        <v>7044</v>
      </c>
      <c r="H5678" s="771">
        <f>SUM(G5671:G5678)</f>
        <v>0</v>
      </c>
    </row>
    <row r="5679" spans="1:8" ht="15.75" thickBot="1" x14ac:dyDescent="0.3">
      <c r="A5679" s="749"/>
      <c r="B5679" s="772"/>
      <c r="C5679" s="773"/>
      <c r="D5679" s="772"/>
      <c r="E5679" s="774"/>
      <c r="F5679" s="773"/>
      <c r="G5679" s="775"/>
      <c r="H5679" s="776"/>
    </row>
    <row r="5680" spans="1:8" ht="15.75" thickBot="1" x14ac:dyDescent="0.3">
      <c r="A5680" s="788"/>
      <c r="B5680" s="1184" t="s">
        <v>5408</v>
      </c>
      <c r="C5680" s="1185" t="s">
        <v>867</v>
      </c>
      <c r="D5680" s="1185" t="s">
        <v>6</v>
      </c>
      <c r="E5680" s="1186" t="s">
        <v>870</v>
      </c>
      <c r="F5680" s="1185" t="s">
        <v>7040</v>
      </c>
      <c r="G5680" s="1187" t="s">
        <v>868</v>
      </c>
      <c r="H5680" s="1189"/>
    </row>
    <row r="5681" spans="1:8" x14ac:dyDescent="0.25">
      <c r="A5681" s="748"/>
      <c r="B5681" s="777" t="str">
        <f>PROPER(Insumos!$A$317)</f>
        <v>Sum E Insr. Ventanería En Lámina</v>
      </c>
      <c r="C5681" s="819" t="s">
        <v>5556</v>
      </c>
      <c r="D5681" s="819">
        <v>1</v>
      </c>
      <c r="E5681" s="758">
        <f>+VLOOKUP(B5681,Insumos!$A$2:$C$331,3,FALSE)</f>
        <v>147000</v>
      </c>
      <c r="F5681" s="819">
        <v>1.05</v>
      </c>
      <c r="G5681" s="818">
        <f>D5681*E5681*F5681</f>
        <v>154350</v>
      </c>
      <c r="H5681" s="756"/>
    </row>
    <row r="5682" spans="1:8" x14ac:dyDescent="0.25">
      <c r="A5682" s="748"/>
      <c r="B5682" s="778" t="str">
        <f>PROPER(Insumos!$A$318)</f>
        <v>Vidrio De 4 Mm</v>
      </c>
      <c r="C5682" s="817" t="s">
        <v>5556</v>
      </c>
      <c r="D5682" s="817">
        <v>1</v>
      </c>
      <c r="E5682" s="758">
        <f>+VLOOKUP(B5682,Insumos!$A$2:$C$331,3,FALSE)</f>
        <v>29400</v>
      </c>
      <c r="F5682" s="819">
        <v>1.1000000000000001</v>
      </c>
      <c r="G5682" s="818">
        <f>D5682*E5682*F5682</f>
        <v>32340.000000000004</v>
      </c>
      <c r="H5682" s="756"/>
    </row>
    <row r="5683" spans="1:8" x14ac:dyDescent="0.25">
      <c r="A5683" s="748"/>
      <c r="B5683" s="778"/>
      <c r="C5683" s="817" t="s">
        <v>7044</v>
      </c>
      <c r="D5683" s="817"/>
      <c r="E5683" s="761" t="s">
        <v>7044</v>
      </c>
      <c r="F5683" s="819"/>
      <c r="G5683" s="818" t="s">
        <v>7044</v>
      </c>
      <c r="H5683" s="756"/>
    </row>
    <row r="5684" spans="1:8" x14ac:dyDescent="0.25">
      <c r="A5684" s="748"/>
      <c r="B5684" s="764"/>
      <c r="C5684" s="817" t="s">
        <v>7044</v>
      </c>
      <c r="D5684" s="817"/>
      <c r="E5684" s="758" t="s">
        <v>7044</v>
      </c>
      <c r="F5684" s="817"/>
      <c r="G5684" s="818" t="s">
        <v>7044</v>
      </c>
      <c r="H5684" s="756"/>
    </row>
    <row r="5685" spans="1:8" x14ac:dyDescent="0.25">
      <c r="A5685" s="748"/>
      <c r="B5685" s="764"/>
      <c r="C5685" s="817" t="s">
        <v>7044</v>
      </c>
      <c r="D5685" s="817"/>
      <c r="E5685" s="758" t="s">
        <v>7044</v>
      </c>
      <c r="F5685" s="817"/>
      <c r="G5685" s="818" t="s">
        <v>7044</v>
      </c>
      <c r="H5685" s="756"/>
    </row>
    <row r="5686" spans="1:8" x14ac:dyDescent="0.25">
      <c r="A5686" s="748"/>
      <c r="B5686" s="764"/>
      <c r="C5686" s="817" t="s">
        <v>7044</v>
      </c>
      <c r="D5686" s="817"/>
      <c r="E5686" s="758" t="s">
        <v>7044</v>
      </c>
      <c r="F5686" s="817"/>
      <c r="G5686" s="818" t="s">
        <v>7044</v>
      </c>
      <c r="H5686" s="756"/>
    </row>
    <row r="5687" spans="1:8" x14ac:dyDescent="0.25">
      <c r="A5687" s="748"/>
      <c r="B5687" s="764"/>
      <c r="C5687" s="817" t="s">
        <v>7044</v>
      </c>
      <c r="D5687" s="817"/>
      <c r="E5687" s="758" t="s">
        <v>7044</v>
      </c>
      <c r="F5687" s="817"/>
      <c r="G5687" s="818" t="s">
        <v>7044</v>
      </c>
      <c r="H5687" s="756"/>
    </row>
    <row r="5688" spans="1:8" x14ac:dyDescent="0.25">
      <c r="A5688" s="748"/>
      <c r="B5688" s="764"/>
      <c r="C5688" s="817" t="s">
        <v>7044</v>
      </c>
      <c r="D5688" s="817"/>
      <c r="E5688" s="758" t="s">
        <v>7044</v>
      </c>
      <c r="F5688" s="817"/>
      <c r="G5688" s="818" t="s">
        <v>7044</v>
      </c>
      <c r="H5688" s="756"/>
    </row>
    <row r="5689" spans="1:8" x14ac:dyDescent="0.25">
      <c r="A5689" s="748"/>
      <c r="B5689" s="764"/>
      <c r="C5689" s="817" t="s">
        <v>7044</v>
      </c>
      <c r="D5689" s="817"/>
      <c r="E5689" s="758" t="s">
        <v>7044</v>
      </c>
      <c r="F5689" s="817"/>
      <c r="G5689" s="818" t="s">
        <v>7044</v>
      </c>
      <c r="H5689" s="756"/>
    </row>
    <row r="5690" spans="1:8" x14ac:dyDescent="0.25">
      <c r="A5690" s="748"/>
      <c r="B5690" s="764"/>
      <c r="C5690" s="817" t="s">
        <v>7044</v>
      </c>
      <c r="D5690" s="817"/>
      <c r="E5690" s="758" t="s">
        <v>7044</v>
      </c>
      <c r="F5690" s="817"/>
      <c r="G5690" s="818" t="s">
        <v>7044</v>
      </c>
      <c r="H5690" s="756"/>
    </row>
    <row r="5691" spans="1:8" x14ac:dyDescent="0.25">
      <c r="A5691" s="748"/>
      <c r="B5691" s="764"/>
      <c r="C5691" s="817" t="s">
        <v>7044</v>
      </c>
      <c r="D5691" s="817"/>
      <c r="E5691" s="758" t="s">
        <v>7044</v>
      </c>
      <c r="F5691" s="817"/>
      <c r="G5691" s="818" t="s">
        <v>7044</v>
      </c>
      <c r="H5691" s="756"/>
    </row>
    <row r="5692" spans="1:8" x14ac:dyDescent="0.25">
      <c r="A5692" s="748"/>
      <c r="B5692" s="764"/>
      <c r="C5692" s="765" t="s">
        <v>7044</v>
      </c>
      <c r="D5692" s="765"/>
      <c r="E5692" s="766" t="s">
        <v>7044</v>
      </c>
      <c r="F5692" s="817"/>
      <c r="G5692" s="818" t="s">
        <v>7044</v>
      </c>
      <c r="H5692" s="756"/>
    </row>
    <row r="5693" spans="1:8" ht="15.75" thickBot="1" x14ac:dyDescent="0.3">
      <c r="A5693" s="748"/>
      <c r="B5693" s="764"/>
      <c r="C5693" s="765" t="s">
        <v>7044</v>
      </c>
      <c r="D5693" s="765"/>
      <c r="E5693" s="766" t="s">
        <v>7044</v>
      </c>
      <c r="F5693" s="817"/>
      <c r="G5693" s="818" t="s">
        <v>7044</v>
      </c>
      <c r="H5693" s="756"/>
    </row>
    <row r="5694" spans="1:8" ht="15.75" thickBot="1" x14ac:dyDescent="0.3">
      <c r="A5694" s="748"/>
      <c r="B5694" s="767"/>
      <c r="C5694" s="769" t="s">
        <v>7044</v>
      </c>
      <c r="D5694" s="769"/>
      <c r="E5694" s="770" t="s">
        <v>7044</v>
      </c>
      <c r="F5694" s="768"/>
      <c r="G5694" s="818" t="s">
        <v>7044</v>
      </c>
      <c r="H5694" s="771">
        <f>SUM(G5681:G5694)</f>
        <v>186690</v>
      </c>
    </row>
    <row r="5695" spans="1:8" ht="15.75" thickBot="1" x14ac:dyDescent="0.3">
      <c r="A5695" s="748"/>
      <c r="B5695" s="772"/>
      <c r="C5695" s="772"/>
      <c r="D5695" s="772"/>
      <c r="E5695" s="774"/>
      <c r="F5695" s="773"/>
      <c r="G5695" s="775"/>
      <c r="H5695" s="776"/>
    </row>
    <row r="5696" spans="1:8" ht="15.75" thickBot="1" x14ac:dyDescent="0.3">
      <c r="A5696" s="788"/>
      <c r="B5696" s="1184" t="s">
        <v>5410</v>
      </c>
      <c r="C5696" s="1185" t="s">
        <v>867</v>
      </c>
      <c r="D5696" s="1185" t="s">
        <v>6</v>
      </c>
      <c r="E5696" s="1186" t="s">
        <v>870</v>
      </c>
      <c r="F5696" s="1185" t="s">
        <v>5411</v>
      </c>
      <c r="G5696" s="1187" t="s">
        <v>868</v>
      </c>
      <c r="H5696" s="1189"/>
    </row>
    <row r="5697" spans="1:8" x14ac:dyDescent="0.25">
      <c r="A5697" s="748"/>
      <c r="B5697" s="777"/>
      <c r="C5697" s="819" t="s">
        <v>7044</v>
      </c>
      <c r="D5697" s="819"/>
      <c r="E5697" s="758" t="s">
        <v>7044</v>
      </c>
      <c r="F5697" s="819"/>
      <c r="G5697" s="818" t="s">
        <v>7044</v>
      </c>
      <c r="H5697" s="756"/>
    </row>
    <row r="5698" spans="1:8" x14ac:dyDescent="0.25">
      <c r="A5698" s="748"/>
      <c r="B5698" s="778"/>
      <c r="C5698" s="817" t="s">
        <v>7044</v>
      </c>
      <c r="D5698" s="817"/>
      <c r="E5698" s="761" t="s">
        <v>7044</v>
      </c>
      <c r="F5698" s="817"/>
      <c r="G5698" s="818" t="s">
        <v>7044</v>
      </c>
      <c r="H5698" s="756"/>
    </row>
    <row r="5699" spans="1:8" x14ac:dyDescent="0.25">
      <c r="A5699" s="748"/>
      <c r="B5699" s="778"/>
      <c r="C5699" s="817" t="s">
        <v>7044</v>
      </c>
      <c r="D5699" s="817"/>
      <c r="E5699" s="758" t="s">
        <v>7044</v>
      </c>
      <c r="F5699" s="817"/>
      <c r="G5699" s="818" t="s">
        <v>7044</v>
      </c>
      <c r="H5699" s="756"/>
    </row>
    <row r="5700" spans="1:8" ht="15.75" thickBot="1" x14ac:dyDescent="0.3">
      <c r="A5700" s="748"/>
      <c r="B5700" s="764"/>
      <c r="C5700" s="817" t="s">
        <v>7044</v>
      </c>
      <c r="D5700" s="817"/>
      <c r="E5700" s="758" t="s">
        <v>7044</v>
      </c>
      <c r="F5700" s="817"/>
      <c r="G5700" s="818" t="s">
        <v>7044</v>
      </c>
      <c r="H5700" s="756"/>
    </row>
    <row r="5701" spans="1:8" ht="15.75" thickBot="1" x14ac:dyDescent="0.3">
      <c r="A5701" s="748"/>
      <c r="B5701" s="767"/>
      <c r="C5701" s="769" t="s">
        <v>7044</v>
      </c>
      <c r="D5701" s="769"/>
      <c r="E5701" s="770" t="s">
        <v>7044</v>
      </c>
      <c r="F5701" s="768"/>
      <c r="G5701" s="818" t="s">
        <v>7044</v>
      </c>
      <c r="H5701" s="771">
        <f>SUM(G5697:G5701)</f>
        <v>0</v>
      </c>
    </row>
    <row r="5702" spans="1:8" ht="15.75" thickBot="1" x14ac:dyDescent="0.3">
      <c r="A5702" s="748"/>
      <c r="B5702" s="772"/>
      <c r="C5702" s="772"/>
      <c r="D5702" s="772"/>
      <c r="E5702" s="774"/>
      <c r="F5702" s="779"/>
      <c r="G5702" s="780"/>
      <c r="H5702" s="776"/>
    </row>
    <row r="5703" spans="1:8" ht="15.75" thickBot="1" x14ac:dyDescent="0.3">
      <c r="A5703" s="788"/>
      <c r="B5703" s="1184" t="s">
        <v>5412</v>
      </c>
      <c r="C5703" s="1185" t="s">
        <v>5420</v>
      </c>
      <c r="D5703" s="1185" t="s">
        <v>5421</v>
      </c>
      <c r="E5703" s="1186" t="s">
        <v>5413</v>
      </c>
      <c r="F5703" s="1185" t="s">
        <v>5405</v>
      </c>
      <c r="G5703" s="1187" t="s">
        <v>868</v>
      </c>
      <c r="H5703" s="1189"/>
    </row>
    <row r="5704" spans="1:8" x14ac:dyDescent="0.25">
      <c r="A5704" s="748"/>
      <c r="B5704" s="781"/>
      <c r="C5704" s="782" t="s">
        <v>7044</v>
      </c>
      <c r="D5704" s="782" t="s">
        <v>7044</v>
      </c>
      <c r="E5704" s="761" t="s">
        <v>7044</v>
      </c>
      <c r="F5704" s="819"/>
      <c r="G5704" s="818" t="s">
        <v>7044</v>
      </c>
      <c r="H5704" s="756"/>
    </row>
    <row r="5705" spans="1:8" x14ac:dyDescent="0.25">
      <c r="A5705" s="748"/>
      <c r="B5705" s="781"/>
      <c r="C5705" s="782" t="s">
        <v>7044</v>
      </c>
      <c r="D5705" s="782" t="s">
        <v>7044</v>
      </c>
      <c r="E5705" s="761" t="s">
        <v>7044</v>
      </c>
      <c r="F5705" s="819"/>
      <c r="G5705" s="818" t="s">
        <v>7044</v>
      </c>
      <c r="H5705" s="756"/>
    </row>
    <row r="5706" spans="1:8" x14ac:dyDescent="0.25">
      <c r="A5706" s="748"/>
      <c r="B5706" s="764"/>
      <c r="C5706" s="782" t="s">
        <v>7044</v>
      </c>
      <c r="D5706" s="782" t="s">
        <v>7044</v>
      </c>
      <c r="E5706" s="761" t="s">
        <v>7044</v>
      </c>
      <c r="F5706" s="817"/>
      <c r="G5706" s="818" t="s">
        <v>7044</v>
      </c>
      <c r="H5706" s="756"/>
    </row>
    <row r="5707" spans="1:8" x14ac:dyDescent="0.25">
      <c r="A5707" s="748"/>
      <c r="B5707" s="764"/>
      <c r="C5707" s="782" t="s">
        <v>7044</v>
      </c>
      <c r="D5707" s="766" t="s">
        <v>7044</v>
      </c>
      <c r="E5707" s="766" t="s">
        <v>7044</v>
      </c>
      <c r="F5707" s="817"/>
      <c r="G5707" s="783" t="s">
        <v>7044</v>
      </c>
      <c r="H5707" s="756"/>
    </row>
    <row r="5708" spans="1:8" ht="15.75" thickBot="1" x14ac:dyDescent="0.3">
      <c r="A5708" s="748"/>
      <c r="B5708" s="764"/>
      <c r="C5708" s="766" t="s">
        <v>7044</v>
      </c>
      <c r="D5708" s="766" t="s">
        <v>7044</v>
      </c>
      <c r="E5708" s="766" t="s">
        <v>7044</v>
      </c>
      <c r="F5708" s="817"/>
      <c r="G5708" s="783" t="s">
        <v>7044</v>
      </c>
      <c r="H5708" s="756"/>
    </row>
    <row r="5709" spans="1:8" ht="15.75" thickBot="1" x14ac:dyDescent="0.3">
      <c r="A5709" s="748"/>
      <c r="B5709" s="784"/>
      <c r="C5709" s="785" t="s">
        <v>7044</v>
      </c>
      <c r="D5709" s="785" t="s">
        <v>7044</v>
      </c>
      <c r="E5709" s="785" t="s">
        <v>7044</v>
      </c>
      <c r="F5709" s="786"/>
      <c r="G5709" s="787" t="s">
        <v>7044</v>
      </c>
      <c r="H5709" s="771">
        <f>SUM(G5704:G5709)</f>
        <v>0</v>
      </c>
    </row>
    <row r="5710" spans="1:8" ht="15.75" thickBot="1" x14ac:dyDescent="0.3">
      <c r="A5710" s="748"/>
      <c r="B5710" s="748"/>
      <c r="C5710" s="748"/>
      <c r="D5710" s="748"/>
      <c r="E5710" s="748"/>
      <c r="F5710" s="749"/>
      <c r="G5710" s="748"/>
      <c r="H5710" s="748"/>
    </row>
    <row r="5711" spans="1:8" ht="15.75" thickBot="1" x14ac:dyDescent="0.3">
      <c r="A5711" s="748"/>
      <c r="B5711" s="748"/>
      <c r="C5711" s="748"/>
      <c r="D5711" s="748"/>
      <c r="E5711" s="788" t="s">
        <v>5415</v>
      </c>
      <c r="F5711" s="749"/>
      <c r="G5711" s="748"/>
      <c r="H5711" s="789">
        <f>ROUND(H5678+H5694+H5701+H5709,0)</f>
        <v>186690</v>
      </c>
    </row>
    <row r="5712" spans="1:8" x14ac:dyDescent="0.25">
      <c r="A5712" s="748"/>
      <c r="B5712" s="748"/>
      <c r="C5712" s="748"/>
      <c r="D5712" s="748"/>
      <c r="E5712" s="748"/>
      <c r="F5712" s="749"/>
      <c r="G5712" s="748"/>
      <c r="H5712" s="748"/>
    </row>
    <row r="5713" spans="1:8" x14ac:dyDescent="0.25">
      <c r="A5713" s="749"/>
      <c r="B5713" s="748"/>
      <c r="C5713" s="748"/>
      <c r="D5713" s="748"/>
      <c r="E5713" s="748"/>
      <c r="F5713" s="749"/>
      <c r="G5713" s="748"/>
      <c r="H5713" s="748"/>
    </row>
    <row r="5714" spans="1:8" s="1441" customFormat="1" ht="34.5" customHeight="1" x14ac:dyDescent="0.25">
      <c r="A5714" s="673" t="s">
        <v>3</v>
      </c>
      <c r="B5714" s="1390" t="str">
        <f>+VLOOKUP(C5714,ListaAPUs!$B:$E,4,FALSE)</f>
        <v>7.1.12</v>
      </c>
      <c r="C5714" s="2449" t="str">
        <f>+ListaAPUs!B169</f>
        <v>Suministro e instalación de bomba centrifuga de Q= 6 GPM, H=40 psi</v>
      </c>
      <c r="D5714" s="2449"/>
      <c r="E5714" s="2449"/>
      <c r="F5714" s="673" t="s">
        <v>867</v>
      </c>
      <c r="G5714" s="342" t="s">
        <v>5424</v>
      </c>
      <c r="H5714" s="788"/>
    </row>
    <row r="5715" spans="1:8" x14ac:dyDescent="0.25">
      <c r="A5715" s="749"/>
      <c r="B5715" s="748"/>
      <c r="C5715" s="748"/>
      <c r="D5715" s="748"/>
      <c r="E5715" s="748"/>
      <c r="F5715" s="749"/>
      <c r="G5715" s="748"/>
      <c r="H5715" s="748"/>
    </row>
    <row r="5716" spans="1:8" x14ac:dyDescent="0.25">
      <c r="A5716" s="749"/>
      <c r="B5716" s="748"/>
      <c r="C5716" s="748"/>
      <c r="D5716" s="748"/>
      <c r="E5716" s="748"/>
      <c r="F5716" s="749"/>
      <c r="G5716" s="751"/>
      <c r="H5716" s="748"/>
    </row>
    <row r="5717" spans="1:8" ht="15.75" thickBot="1" x14ac:dyDescent="0.3">
      <c r="A5717" s="749"/>
      <c r="B5717" s="748"/>
      <c r="C5717" s="748"/>
      <c r="D5717" s="748"/>
      <c r="E5717" s="748"/>
      <c r="F5717" s="749"/>
      <c r="G5717" s="748"/>
      <c r="H5717" s="748"/>
    </row>
    <row r="5718" spans="1:8" ht="15.75" thickBot="1" x14ac:dyDescent="0.3">
      <c r="A5718" s="751"/>
      <c r="B5718" s="1184" t="s">
        <v>5403</v>
      </c>
      <c r="C5718" s="1185" t="s">
        <v>867</v>
      </c>
      <c r="D5718" s="1185" t="s">
        <v>6</v>
      </c>
      <c r="E5718" s="1186" t="s">
        <v>5404</v>
      </c>
      <c r="F5718" s="1185" t="s">
        <v>5405</v>
      </c>
      <c r="G5718" s="1187" t="s">
        <v>868</v>
      </c>
      <c r="H5718" s="1189"/>
    </row>
    <row r="5719" spans="1:8" x14ac:dyDescent="0.25">
      <c r="A5719" s="749"/>
      <c r="B5719" s="757" t="s">
        <v>8269</v>
      </c>
      <c r="C5719" s="819" t="s">
        <v>7042</v>
      </c>
      <c r="D5719" s="1183">
        <v>1</v>
      </c>
      <c r="E5719" s="758">
        <f>H5757</f>
        <v>55792.9</v>
      </c>
      <c r="F5719" s="759">
        <v>0.03</v>
      </c>
      <c r="G5719" s="818">
        <f>D5719*E5719*F5719</f>
        <v>1673.787</v>
      </c>
      <c r="H5719" s="756"/>
    </row>
    <row r="5720" spans="1:8" x14ac:dyDescent="0.25">
      <c r="A5720" s="749"/>
      <c r="B5720" s="760"/>
      <c r="C5720" s="817" t="s">
        <v>7044</v>
      </c>
      <c r="D5720" s="817"/>
      <c r="E5720" s="761" t="s">
        <v>7044</v>
      </c>
      <c r="F5720" s="817"/>
      <c r="G5720" s="818" t="s">
        <v>7044</v>
      </c>
      <c r="H5720" s="756"/>
    </row>
    <row r="5721" spans="1:8" x14ac:dyDescent="0.25">
      <c r="A5721" s="749"/>
      <c r="B5721" s="763"/>
      <c r="C5721" s="817" t="s">
        <v>7044</v>
      </c>
      <c r="D5721" s="817"/>
      <c r="E5721" s="761" t="s">
        <v>7044</v>
      </c>
      <c r="F5721" s="817"/>
      <c r="G5721" s="818" t="s">
        <v>7044</v>
      </c>
      <c r="H5721" s="756"/>
    </row>
    <row r="5722" spans="1:8" x14ac:dyDescent="0.25">
      <c r="A5722" s="749"/>
      <c r="B5722" s="764"/>
      <c r="C5722" s="817" t="s">
        <v>7044</v>
      </c>
      <c r="D5722" s="765"/>
      <c r="E5722" s="766" t="s">
        <v>7044</v>
      </c>
      <c r="F5722" s="817"/>
      <c r="G5722" s="818" t="s">
        <v>7044</v>
      </c>
      <c r="H5722" s="756"/>
    </row>
    <row r="5723" spans="1:8" x14ac:dyDescent="0.25">
      <c r="A5723" s="749"/>
      <c r="B5723" s="764"/>
      <c r="C5723" s="817" t="s">
        <v>7044</v>
      </c>
      <c r="D5723" s="765"/>
      <c r="E5723" s="766" t="s">
        <v>7044</v>
      </c>
      <c r="F5723" s="817"/>
      <c r="G5723" s="818" t="s">
        <v>7044</v>
      </c>
      <c r="H5723" s="756"/>
    </row>
    <row r="5724" spans="1:8" x14ac:dyDescent="0.25">
      <c r="A5724" s="749"/>
      <c r="B5724" s="764"/>
      <c r="C5724" s="817" t="s">
        <v>7044</v>
      </c>
      <c r="D5724" s="765"/>
      <c r="E5724" s="766" t="s">
        <v>7044</v>
      </c>
      <c r="F5724" s="817"/>
      <c r="G5724" s="818" t="s">
        <v>7044</v>
      </c>
      <c r="H5724" s="756"/>
    </row>
    <row r="5725" spans="1:8" ht="15.75" thickBot="1" x14ac:dyDescent="0.3">
      <c r="A5725" s="749"/>
      <c r="B5725" s="764"/>
      <c r="C5725" s="817" t="s">
        <v>7044</v>
      </c>
      <c r="D5725" s="765"/>
      <c r="E5725" s="766" t="s">
        <v>7044</v>
      </c>
      <c r="F5725" s="817"/>
      <c r="G5725" s="818" t="s">
        <v>7044</v>
      </c>
      <c r="H5725" s="756"/>
    </row>
    <row r="5726" spans="1:8" ht="15.75" thickBot="1" x14ac:dyDescent="0.3">
      <c r="A5726" s="749"/>
      <c r="B5726" s="767"/>
      <c r="C5726" s="768" t="s">
        <v>7044</v>
      </c>
      <c r="D5726" s="769"/>
      <c r="E5726" s="770" t="s">
        <v>7044</v>
      </c>
      <c r="F5726" s="768"/>
      <c r="G5726" s="818" t="s">
        <v>7044</v>
      </c>
      <c r="H5726" s="771">
        <f>SUM(G5719:G5726)</f>
        <v>1673.787</v>
      </c>
    </row>
    <row r="5727" spans="1:8" ht="15.75" thickBot="1" x14ac:dyDescent="0.3">
      <c r="A5727" s="749"/>
      <c r="B5727" s="772"/>
      <c r="C5727" s="773"/>
      <c r="D5727" s="772"/>
      <c r="E5727" s="774"/>
      <c r="F5727" s="773"/>
      <c r="G5727" s="775"/>
      <c r="H5727" s="776"/>
    </row>
    <row r="5728" spans="1:8" ht="15.75" thickBot="1" x14ac:dyDescent="0.3">
      <c r="A5728" s="788"/>
      <c r="B5728" s="1184" t="s">
        <v>5408</v>
      </c>
      <c r="C5728" s="1185" t="s">
        <v>867</v>
      </c>
      <c r="D5728" s="1185" t="s">
        <v>6</v>
      </c>
      <c r="E5728" s="1186" t="s">
        <v>870</v>
      </c>
      <c r="F5728" s="1185" t="s">
        <v>7040</v>
      </c>
      <c r="G5728" s="1187" t="s">
        <v>868</v>
      </c>
      <c r="H5728" s="1189"/>
    </row>
    <row r="5729" spans="1:8" ht="25.5" x14ac:dyDescent="0.25">
      <c r="A5729" s="748"/>
      <c r="B5729" s="777" t="str">
        <f>PROPER(Insumos!$A$319)</f>
        <v>Bomba Centrifuga Q= 6Gpm, H= 40 Psi</v>
      </c>
      <c r="C5729" s="819" t="s">
        <v>5424</v>
      </c>
      <c r="D5729" s="790">
        <v>1</v>
      </c>
      <c r="E5729" s="758">
        <f>+VLOOKUP(B5729,Insumos!$A$2:$C$331,3,FALSE)</f>
        <v>2200000</v>
      </c>
      <c r="F5729" s="819"/>
      <c r="G5729" s="818">
        <f>D5729*E5729</f>
        <v>2200000</v>
      </c>
      <c r="H5729" s="756"/>
    </row>
    <row r="5730" spans="1:8" x14ac:dyDescent="0.25">
      <c r="A5730" s="748"/>
      <c r="B5730" s="778"/>
      <c r="C5730" s="817" t="s">
        <v>7044</v>
      </c>
      <c r="D5730" s="1229"/>
      <c r="E5730" s="761" t="s">
        <v>7044</v>
      </c>
      <c r="F5730" s="819"/>
      <c r="G5730" s="818" t="s">
        <v>7044</v>
      </c>
      <c r="H5730" s="756"/>
    </row>
    <row r="5731" spans="1:8" x14ac:dyDescent="0.25">
      <c r="A5731" s="748"/>
      <c r="B5731" s="778"/>
      <c r="C5731" s="817" t="s">
        <v>7044</v>
      </c>
      <c r="D5731" s="817"/>
      <c r="E5731" s="761" t="s">
        <v>7044</v>
      </c>
      <c r="F5731" s="819"/>
      <c r="G5731" s="818" t="s">
        <v>7044</v>
      </c>
      <c r="H5731" s="756"/>
    </row>
    <row r="5732" spans="1:8" x14ac:dyDescent="0.25">
      <c r="A5732" s="748"/>
      <c r="B5732" s="764"/>
      <c r="C5732" s="817" t="s">
        <v>7044</v>
      </c>
      <c r="D5732" s="817"/>
      <c r="E5732" s="758" t="s">
        <v>7044</v>
      </c>
      <c r="F5732" s="817"/>
      <c r="G5732" s="818" t="s">
        <v>7044</v>
      </c>
      <c r="H5732" s="756"/>
    </row>
    <row r="5733" spans="1:8" x14ac:dyDescent="0.25">
      <c r="A5733" s="748"/>
      <c r="B5733" s="764"/>
      <c r="C5733" s="817" t="s">
        <v>7044</v>
      </c>
      <c r="D5733" s="817"/>
      <c r="E5733" s="758" t="s">
        <v>7044</v>
      </c>
      <c r="F5733" s="817"/>
      <c r="G5733" s="818" t="s">
        <v>7044</v>
      </c>
      <c r="H5733" s="756"/>
    </row>
    <row r="5734" spans="1:8" x14ac:dyDescent="0.25">
      <c r="A5734" s="748"/>
      <c r="B5734" s="764"/>
      <c r="C5734" s="817" t="s">
        <v>7044</v>
      </c>
      <c r="D5734" s="817"/>
      <c r="E5734" s="758" t="s">
        <v>7044</v>
      </c>
      <c r="F5734" s="817"/>
      <c r="G5734" s="818" t="s">
        <v>7044</v>
      </c>
      <c r="H5734" s="756"/>
    </row>
    <row r="5735" spans="1:8" x14ac:dyDescent="0.25">
      <c r="A5735" s="748"/>
      <c r="B5735" s="764"/>
      <c r="C5735" s="817" t="s">
        <v>7044</v>
      </c>
      <c r="D5735" s="817"/>
      <c r="E5735" s="758" t="s">
        <v>7044</v>
      </c>
      <c r="F5735" s="817"/>
      <c r="G5735" s="818" t="s">
        <v>7044</v>
      </c>
      <c r="H5735" s="756"/>
    </row>
    <row r="5736" spans="1:8" x14ac:dyDescent="0.25">
      <c r="A5736" s="748"/>
      <c r="B5736" s="764"/>
      <c r="C5736" s="817" t="s">
        <v>7044</v>
      </c>
      <c r="D5736" s="817"/>
      <c r="E5736" s="758" t="s">
        <v>7044</v>
      </c>
      <c r="F5736" s="817"/>
      <c r="G5736" s="818" t="s">
        <v>7044</v>
      </c>
      <c r="H5736" s="756"/>
    </row>
    <row r="5737" spans="1:8" x14ac:dyDescent="0.25">
      <c r="A5737" s="748"/>
      <c r="B5737" s="764"/>
      <c r="C5737" s="817" t="s">
        <v>7044</v>
      </c>
      <c r="D5737" s="817"/>
      <c r="E5737" s="758" t="s">
        <v>7044</v>
      </c>
      <c r="F5737" s="817"/>
      <c r="G5737" s="818" t="s">
        <v>7044</v>
      </c>
      <c r="H5737" s="756"/>
    </row>
    <row r="5738" spans="1:8" x14ac:dyDescent="0.25">
      <c r="A5738" s="748"/>
      <c r="B5738" s="764"/>
      <c r="C5738" s="817" t="s">
        <v>7044</v>
      </c>
      <c r="D5738" s="817"/>
      <c r="E5738" s="758" t="s">
        <v>7044</v>
      </c>
      <c r="F5738" s="817"/>
      <c r="G5738" s="818" t="s">
        <v>7044</v>
      </c>
      <c r="H5738" s="756"/>
    </row>
    <row r="5739" spans="1:8" x14ac:dyDescent="0.25">
      <c r="A5739" s="748"/>
      <c r="B5739" s="764"/>
      <c r="C5739" s="817" t="s">
        <v>7044</v>
      </c>
      <c r="D5739" s="817"/>
      <c r="E5739" s="758" t="s">
        <v>7044</v>
      </c>
      <c r="F5739" s="817"/>
      <c r="G5739" s="818" t="s">
        <v>7044</v>
      </c>
      <c r="H5739" s="756"/>
    </row>
    <row r="5740" spans="1:8" x14ac:dyDescent="0.25">
      <c r="A5740" s="748"/>
      <c r="B5740" s="764"/>
      <c r="C5740" s="765" t="s">
        <v>7044</v>
      </c>
      <c r="D5740" s="765"/>
      <c r="E5740" s="766" t="s">
        <v>7044</v>
      </c>
      <c r="F5740" s="817"/>
      <c r="G5740" s="818" t="s">
        <v>7044</v>
      </c>
      <c r="H5740" s="756"/>
    </row>
    <row r="5741" spans="1:8" ht="15.75" thickBot="1" x14ac:dyDescent="0.3">
      <c r="A5741" s="748"/>
      <c r="B5741" s="764"/>
      <c r="C5741" s="765" t="s">
        <v>7044</v>
      </c>
      <c r="D5741" s="765"/>
      <c r="E5741" s="766" t="s">
        <v>7044</v>
      </c>
      <c r="F5741" s="817"/>
      <c r="G5741" s="818" t="s">
        <v>7044</v>
      </c>
      <c r="H5741" s="756"/>
    </row>
    <row r="5742" spans="1:8" ht="15.75" thickBot="1" x14ac:dyDescent="0.3">
      <c r="A5742" s="748"/>
      <c r="B5742" s="767"/>
      <c r="C5742" s="769" t="s">
        <v>7044</v>
      </c>
      <c r="D5742" s="769"/>
      <c r="E5742" s="770" t="s">
        <v>7044</v>
      </c>
      <c r="F5742" s="768"/>
      <c r="G5742" s="818" t="s">
        <v>7044</v>
      </c>
      <c r="H5742" s="771">
        <f>SUM(G5729:G5742)</f>
        <v>2200000</v>
      </c>
    </row>
    <row r="5743" spans="1:8" ht="15.75" thickBot="1" x14ac:dyDescent="0.3">
      <c r="A5743" s="748"/>
      <c r="B5743" s="772"/>
      <c r="C5743" s="772"/>
      <c r="D5743" s="772"/>
      <c r="E5743" s="774"/>
      <c r="F5743" s="773"/>
      <c r="G5743" s="775"/>
      <c r="H5743" s="776"/>
    </row>
    <row r="5744" spans="1:8" ht="15.75" thickBot="1" x14ac:dyDescent="0.3">
      <c r="A5744" s="788"/>
      <c r="B5744" s="1184" t="s">
        <v>5410</v>
      </c>
      <c r="C5744" s="1185" t="s">
        <v>867</v>
      </c>
      <c r="D5744" s="1185" t="s">
        <v>6</v>
      </c>
      <c r="E5744" s="1186" t="s">
        <v>870</v>
      </c>
      <c r="F5744" s="1185" t="s">
        <v>5411</v>
      </c>
      <c r="G5744" s="1187" t="s">
        <v>868</v>
      </c>
      <c r="H5744" s="1189"/>
    </row>
    <row r="5745" spans="1:8" x14ac:dyDescent="0.25">
      <c r="A5745" s="748"/>
      <c r="B5745" s="777" t="s">
        <v>8295</v>
      </c>
      <c r="C5745" s="819" t="s">
        <v>7043</v>
      </c>
      <c r="D5745" s="819">
        <v>1</v>
      </c>
      <c r="E5745" s="758">
        <v>70000</v>
      </c>
      <c r="F5745" s="819"/>
      <c r="G5745" s="818">
        <f>D5745*E5745</f>
        <v>70000</v>
      </c>
      <c r="H5745" s="756"/>
    </row>
    <row r="5746" spans="1:8" x14ac:dyDescent="0.25">
      <c r="A5746" s="748"/>
      <c r="B5746" s="778"/>
      <c r="C5746" s="817" t="s">
        <v>7044</v>
      </c>
      <c r="D5746" s="817"/>
      <c r="E5746" s="761" t="s">
        <v>7044</v>
      </c>
      <c r="F5746" s="817"/>
      <c r="G5746" s="818" t="s">
        <v>7044</v>
      </c>
      <c r="H5746" s="756"/>
    </row>
    <row r="5747" spans="1:8" x14ac:dyDescent="0.25">
      <c r="A5747" s="748"/>
      <c r="B5747" s="778"/>
      <c r="C5747" s="817" t="s">
        <v>7044</v>
      </c>
      <c r="D5747" s="817"/>
      <c r="E5747" s="758" t="s">
        <v>7044</v>
      </c>
      <c r="F5747" s="817"/>
      <c r="G5747" s="818" t="s">
        <v>7044</v>
      </c>
      <c r="H5747" s="756"/>
    </row>
    <row r="5748" spans="1:8" ht="15.75" thickBot="1" x14ac:dyDescent="0.3">
      <c r="A5748" s="748"/>
      <c r="B5748" s="764"/>
      <c r="C5748" s="817" t="s">
        <v>7044</v>
      </c>
      <c r="D5748" s="817"/>
      <c r="E5748" s="758" t="s">
        <v>7044</v>
      </c>
      <c r="F5748" s="817"/>
      <c r="G5748" s="818" t="s">
        <v>7044</v>
      </c>
      <c r="H5748" s="756"/>
    </row>
    <row r="5749" spans="1:8" ht="15.75" thickBot="1" x14ac:dyDescent="0.3">
      <c r="A5749" s="748"/>
      <c r="B5749" s="767"/>
      <c r="C5749" s="769" t="s">
        <v>7044</v>
      </c>
      <c r="D5749" s="769"/>
      <c r="E5749" s="770" t="s">
        <v>7044</v>
      </c>
      <c r="F5749" s="768"/>
      <c r="G5749" s="818" t="s">
        <v>7044</v>
      </c>
      <c r="H5749" s="771">
        <f>SUM(G5745:G5749)</f>
        <v>70000</v>
      </c>
    </row>
    <row r="5750" spans="1:8" ht="15.75" thickBot="1" x14ac:dyDescent="0.3">
      <c r="A5750" s="748"/>
      <c r="B5750" s="772"/>
      <c r="C5750" s="772"/>
      <c r="D5750" s="772"/>
      <c r="E5750" s="774"/>
      <c r="F5750" s="779"/>
      <c r="G5750" s="780"/>
      <c r="H5750" s="776"/>
    </row>
    <row r="5751" spans="1:8" ht="15.75" thickBot="1" x14ac:dyDescent="0.3">
      <c r="A5751" s="788"/>
      <c r="B5751" s="1184" t="s">
        <v>5412</v>
      </c>
      <c r="C5751" s="1185" t="s">
        <v>5420</v>
      </c>
      <c r="D5751" s="1185" t="s">
        <v>5421</v>
      </c>
      <c r="E5751" s="1186" t="s">
        <v>5413</v>
      </c>
      <c r="F5751" s="1185" t="s">
        <v>5405</v>
      </c>
      <c r="G5751" s="1187" t="s">
        <v>868</v>
      </c>
      <c r="H5751" s="1189"/>
    </row>
    <row r="5752" spans="1:8" x14ac:dyDescent="0.25">
      <c r="A5752" s="748"/>
      <c r="B5752" s="781" t="s">
        <v>5949</v>
      </c>
      <c r="C5752" s="782">
        <f>+VLOOKUP(B5752,'Mano de obra'!$A$5:$D$26,2,FALSE)</f>
        <v>44263.8</v>
      </c>
      <c r="D5752" s="782">
        <f>+VLOOKUP(B5752,'Mano de obra'!$A$5:$D$26,3,FALSE)</f>
        <v>27470</v>
      </c>
      <c r="E5752" s="761">
        <f>+VLOOKUP(B5752,'Mano de obra'!$A$5:$D$26,4,FALSE)</f>
        <v>71733.8</v>
      </c>
      <c r="F5752" s="790">
        <v>2</v>
      </c>
      <c r="G5752" s="818">
        <f>IF(B5752="","",E5752/F5752)</f>
        <v>35866.9</v>
      </c>
      <c r="H5752" s="756"/>
    </row>
    <row r="5753" spans="1:8" x14ac:dyDescent="0.25">
      <c r="A5753" s="748"/>
      <c r="B5753" s="764" t="s">
        <v>5635</v>
      </c>
      <c r="C5753" s="782">
        <f>+VLOOKUP(B5753,'Mano de obra'!$A$5:$D$26,2,FALSE)</f>
        <v>24591</v>
      </c>
      <c r="D5753" s="782">
        <f>+VLOOKUP(B5753,'Mano de obra'!$A$5:$D$26,3,FALSE)</f>
        <v>15261</v>
      </c>
      <c r="E5753" s="761">
        <f>+VLOOKUP(B5753,'Mano de obra'!$A$5:$D$26,4,FALSE)</f>
        <v>39852</v>
      </c>
      <c r="F5753" s="790">
        <v>2</v>
      </c>
      <c r="G5753" s="818">
        <f>IF(B5753="","",E5753/F5753)</f>
        <v>19926</v>
      </c>
      <c r="H5753" s="756"/>
    </row>
    <row r="5754" spans="1:8" x14ac:dyDescent="0.25">
      <c r="A5754" s="748"/>
      <c r="B5754" s="764"/>
      <c r="C5754" s="782" t="s">
        <v>7044</v>
      </c>
      <c r="D5754" s="782"/>
      <c r="E5754" s="761"/>
      <c r="F5754" s="892"/>
      <c r="G5754" s="818" t="s">
        <v>7044</v>
      </c>
      <c r="H5754" s="756"/>
    </row>
    <row r="5755" spans="1:8" x14ac:dyDescent="0.25">
      <c r="A5755" s="748"/>
      <c r="B5755" s="1233"/>
      <c r="C5755" s="1234"/>
      <c r="D5755" s="1235"/>
      <c r="E5755" s="1235"/>
      <c r="F5755" s="892"/>
      <c r="G5755" s="783" t="s">
        <v>7044</v>
      </c>
      <c r="H5755" s="756"/>
    </row>
    <row r="5756" spans="1:8" ht="15.75" thickBot="1" x14ac:dyDescent="0.3">
      <c r="A5756" s="748"/>
      <c r="B5756" s="764"/>
      <c r="C5756" s="766" t="s">
        <v>7044</v>
      </c>
      <c r="D5756" s="766" t="s">
        <v>7044</v>
      </c>
      <c r="E5756" s="766" t="s">
        <v>7044</v>
      </c>
      <c r="F5756" s="817"/>
      <c r="G5756" s="783" t="s">
        <v>7044</v>
      </c>
      <c r="H5756" s="756"/>
    </row>
    <row r="5757" spans="1:8" ht="15.75" thickBot="1" x14ac:dyDescent="0.3">
      <c r="A5757" s="748"/>
      <c r="B5757" s="784"/>
      <c r="C5757" s="785" t="s">
        <v>7044</v>
      </c>
      <c r="D5757" s="785" t="s">
        <v>7044</v>
      </c>
      <c r="E5757" s="785" t="s">
        <v>7044</v>
      </c>
      <c r="F5757" s="786"/>
      <c r="G5757" s="787" t="s">
        <v>7044</v>
      </c>
      <c r="H5757" s="771">
        <f>SUM(G5752:G5757)</f>
        <v>55792.9</v>
      </c>
    </row>
    <row r="5758" spans="1:8" ht="15.75" thickBot="1" x14ac:dyDescent="0.3">
      <c r="A5758" s="748"/>
      <c r="B5758" s="748"/>
      <c r="C5758" s="748"/>
      <c r="D5758" s="748"/>
      <c r="E5758" s="748"/>
      <c r="F5758" s="749"/>
      <c r="G5758" s="748"/>
      <c r="H5758" s="748"/>
    </row>
    <row r="5759" spans="1:8" ht="15.75" thickBot="1" x14ac:dyDescent="0.3">
      <c r="A5759" s="748"/>
      <c r="B5759" s="748"/>
      <c r="C5759" s="748"/>
      <c r="D5759" s="748"/>
      <c r="E5759" s="788" t="s">
        <v>5415</v>
      </c>
      <c r="F5759" s="749"/>
      <c r="G5759" s="748"/>
      <c r="H5759" s="789">
        <f>ROUND(H5726+H5742+H5749+H5757,0)</f>
        <v>2327467</v>
      </c>
    </row>
    <row r="5760" spans="1:8" x14ac:dyDescent="0.25">
      <c r="A5760" s="1238"/>
      <c r="B5760" s="1238"/>
      <c r="C5760" s="2446"/>
      <c r="D5760" s="2446"/>
      <c r="E5760" s="2446"/>
      <c r="F5760" s="1238"/>
      <c r="G5760" s="1239"/>
      <c r="H5760" s="1240"/>
    </row>
    <row r="5761" spans="1:8" ht="38.25" customHeight="1" x14ac:dyDescent="0.25">
      <c r="A5761" s="1295" t="s">
        <v>3</v>
      </c>
      <c r="B5761" s="1390" t="str">
        <f>+VLOOKUP(C5761,ListaAPUs!$B:$E,4,FALSE)</f>
        <v>7.1.13</v>
      </c>
      <c r="C5761" s="2447" t="str">
        <f>+ListaAPUs!B170</f>
        <v xml:space="preserve">Sistema de dosificación de cloro gaseoso marca HYDRO, modelo 502 o similar, con capacidad 0-100 lb/día. </v>
      </c>
      <c r="D5761" s="2447"/>
      <c r="E5761" s="2447"/>
      <c r="F5761" s="1295" t="s">
        <v>867</v>
      </c>
      <c r="G5761" s="1296" t="s">
        <v>5424</v>
      </c>
      <c r="H5761" s="1294"/>
    </row>
    <row r="5762" spans="1:8" x14ac:dyDescent="0.25">
      <c r="A5762" s="1238"/>
      <c r="B5762" s="1241"/>
      <c r="C5762" s="1241"/>
      <c r="D5762" s="1241"/>
      <c r="E5762" s="1241"/>
      <c r="F5762" s="1241"/>
      <c r="G5762" s="1241"/>
      <c r="H5762" s="1240"/>
    </row>
    <row r="5763" spans="1:8" ht="15.75" thickBot="1" x14ac:dyDescent="0.3">
      <c r="A5763" s="1238"/>
      <c r="B5763" s="1241"/>
      <c r="C5763" s="1241"/>
      <c r="D5763" s="1241"/>
      <c r="E5763" s="1241"/>
      <c r="F5763" s="1238"/>
      <c r="G5763" s="1240"/>
      <c r="H5763" s="1240"/>
    </row>
    <row r="5764" spans="1:8" ht="15.75" thickBot="1" x14ac:dyDescent="0.3">
      <c r="A5764" s="1293"/>
      <c r="B5764" s="1297" t="s">
        <v>5403</v>
      </c>
      <c r="C5764" s="1298" t="s">
        <v>867</v>
      </c>
      <c r="D5764" s="1298" t="s">
        <v>6</v>
      </c>
      <c r="E5764" s="1298" t="s">
        <v>5439</v>
      </c>
      <c r="F5764" s="1298" t="s">
        <v>5405</v>
      </c>
      <c r="G5764" s="1299" t="s">
        <v>868</v>
      </c>
      <c r="H5764" s="1294"/>
    </row>
    <row r="5765" spans="1:8" x14ac:dyDescent="0.25">
      <c r="A5765" s="1238"/>
      <c r="B5765" s="1140" t="s">
        <v>5440</v>
      </c>
      <c r="C5765" s="1246" t="s">
        <v>7042</v>
      </c>
      <c r="D5765" s="1247">
        <v>1</v>
      </c>
      <c r="E5765" s="1248">
        <f>H5803</f>
        <v>97244.4</v>
      </c>
      <c r="F5765" s="1249">
        <v>0.02</v>
      </c>
      <c r="G5765" s="1250">
        <f>D5765*E5765*F5765</f>
        <v>1944.8879999999999</v>
      </c>
      <c r="H5765" s="1240"/>
    </row>
    <row r="5766" spans="1:8" x14ac:dyDescent="0.25">
      <c r="A5766" s="1238"/>
      <c r="B5766" s="1251"/>
      <c r="C5766" s="1246"/>
      <c r="D5766" s="1249"/>
      <c r="E5766" s="1252"/>
      <c r="F5766" s="1249"/>
      <c r="G5766" s="1250"/>
      <c r="H5766" s="1240"/>
    </row>
    <row r="5767" spans="1:8" x14ac:dyDescent="0.25">
      <c r="A5767" s="1238"/>
      <c r="B5767" s="1251"/>
      <c r="C5767" s="1249"/>
      <c r="D5767" s="1249"/>
      <c r="E5767" s="1248"/>
      <c r="F5767" s="1249"/>
      <c r="G5767" s="1253"/>
      <c r="H5767" s="1240"/>
    </row>
    <row r="5768" spans="1:8" x14ac:dyDescent="0.25">
      <c r="A5768" s="1238"/>
      <c r="B5768" s="1251"/>
      <c r="C5768" s="1249"/>
      <c r="D5768" s="1249"/>
      <c r="E5768" s="1248"/>
      <c r="F5768" s="1249"/>
      <c r="G5768" s="1253"/>
      <c r="H5768" s="1240"/>
    </row>
    <row r="5769" spans="1:8" x14ac:dyDescent="0.25">
      <c r="A5769" s="1238"/>
      <c r="B5769" s="1251"/>
      <c r="C5769" s="1249"/>
      <c r="D5769" s="1249"/>
      <c r="E5769" s="1254"/>
      <c r="F5769" s="1249"/>
      <c r="G5769" s="1253"/>
      <c r="H5769" s="1240"/>
    </row>
    <row r="5770" spans="1:8" x14ac:dyDescent="0.25">
      <c r="A5770" s="1238"/>
      <c r="B5770" s="1251"/>
      <c r="C5770" s="1254" t="s">
        <v>7044</v>
      </c>
      <c r="D5770" s="1254"/>
      <c r="E5770" s="1254" t="s">
        <v>7044</v>
      </c>
      <c r="F5770" s="1249"/>
      <c r="G5770" s="1253" t="s">
        <v>7044</v>
      </c>
      <c r="H5770" s="1240"/>
    </row>
    <row r="5771" spans="1:8" ht="15.75" thickBot="1" x14ac:dyDescent="0.3">
      <c r="A5771" s="1238"/>
      <c r="B5771" s="1251"/>
      <c r="C5771" s="1254" t="s">
        <v>7044</v>
      </c>
      <c r="D5771" s="1254"/>
      <c r="E5771" s="1254" t="s">
        <v>7044</v>
      </c>
      <c r="F5771" s="1249"/>
      <c r="G5771" s="1253" t="s">
        <v>7044</v>
      </c>
      <c r="H5771" s="1240"/>
    </row>
    <row r="5772" spans="1:8" ht="15.75" thickBot="1" x14ac:dyDescent="0.3">
      <c r="A5772" s="1238"/>
      <c r="B5772" s="1255"/>
      <c r="C5772" s="1256" t="s">
        <v>7044</v>
      </c>
      <c r="D5772" s="1256"/>
      <c r="E5772" s="1256" t="s">
        <v>7044</v>
      </c>
      <c r="F5772" s="1257"/>
      <c r="G5772" s="1258" t="s">
        <v>7044</v>
      </c>
      <c r="H5772" s="1259">
        <f>SUM(G5765:G5772)</f>
        <v>1944.8879999999999</v>
      </c>
    </row>
    <row r="5773" spans="1:8" ht="15.75" thickBot="1" x14ac:dyDescent="0.3">
      <c r="A5773" s="1238"/>
      <c r="B5773" s="1260"/>
      <c r="C5773" s="1260"/>
      <c r="D5773" s="1260"/>
      <c r="E5773" s="1260"/>
      <c r="F5773" s="1261"/>
      <c r="G5773" s="1262" t="s">
        <v>7044</v>
      </c>
      <c r="H5773" s="1263"/>
    </row>
    <row r="5774" spans="1:8" ht="15.75" thickBot="1" x14ac:dyDescent="0.3">
      <c r="A5774" s="1293"/>
      <c r="B5774" s="1297" t="s">
        <v>5408</v>
      </c>
      <c r="C5774" s="1298" t="s">
        <v>867</v>
      </c>
      <c r="D5774" s="1298" t="s">
        <v>6</v>
      </c>
      <c r="E5774" s="1298" t="s">
        <v>870</v>
      </c>
      <c r="F5774" s="1298" t="s">
        <v>5409</v>
      </c>
      <c r="G5774" s="1299" t="s">
        <v>868</v>
      </c>
      <c r="H5774" s="1294"/>
    </row>
    <row r="5775" spans="1:8" ht="51" x14ac:dyDescent="0.25">
      <c r="A5775" s="1238"/>
      <c r="B5775" s="777" t="str">
        <f>PROPER(Insumos!$A$320)</f>
        <v>Sistema De Dosificación De Cloro Gaseoso Marca Hydro, Modelo 502 O Similar, Con Capacidad 0-100 Lb/Día A Kg/D</v>
      </c>
      <c r="C5775" s="202" t="s">
        <v>5424</v>
      </c>
      <c r="D5775" s="202">
        <v>1</v>
      </c>
      <c r="E5775" s="1234">
        <f>+VLOOKUP(B5775,Insumos!$A$2:$C$331,3,FALSE)</f>
        <v>16993200</v>
      </c>
      <c r="F5775" s="169"/>
      <c r="G5775" s="172">
        <f>E5775*D5775</f>
        <v>16993200</v>
      </c>
      <c r="H5775" s="1240"/>
    </row>
    <row r="5776" spans="1:8" x14ac:dyDescent="0.25">
      <c r="A5776" s="1238"/>
      <c r="B5776" s="1290"/>
      <c r="C5776" s="1264"/>
      <c r="D5776" s="1264"/>
      <c r="E5776" s="1265"/>
      <c r="F5776" s="1266"/>
      <c r="G5776" s="1267"/>
      <c r="H5776" s="1240"/>
    </row>
    <row r="5777" spans="1:8" x14ac:dyDescent="0.25">
      <c r="A5777" s="1238"/>
      <c r="B5777" s="1301"/>
      <c r="C5777" s="1246"/>
      <c r="D5777" s="1249"/>
      <c r="E5777" s="1268"/>
      <c r="F5777" s="1266"/>
      <c r="G5777" s="1267" t="s">
        <v>7044</v>
      </c>
      <c r="H5777" s="1240"/>
    </row>
    <row r="5778" spans="1:8" x14ac:dyDescent="0.25">
      <c r="A5778" s="1238"/>
      <c r="B5778" s="1290"/>
      <c r="C5778" s="1246"/>
      <c r="D5778" s="1249"/>
      <c r="E5778" s="1268"/>
      <c r="F5778" s="1266"/>
      <c r="G5778" s="1267" t="s">
        <v>7044</v>
      </c>
      <c r="H5778" s="1240"/>
    </row>
    <row r="5779" spans="1:8" x14ac:dyDescent="0.25">
      <c r="A5779" s="1238"/>
      <c r="B5779" s="1269"/>
      <c r="C5779" s="1246"/>
      <c r="D5779" s="1249"/>
      <c r="E5779" s="1268"/>
      <c r="F5779" s="1266"/>
      <c r="G5779" s="1267" t="s">
        <v>7044</v>
      </c>
      <c r="H5779" s="1240"/>
    </row>
    <row r="5780" spans="1:8" x14ac:dyDescent="0.25">
      <c r="A5780" s="1238"/>
      <c r="B5780" s="1270"/>
      <c r="C5780" s="1264"/>
      <c r="D5780" s="1264"/>
      <c r="E5780" s="1265"/>
      <c r="F5780" s="1266"/>
      <c r="G5780" s="1267"/>
      <c r="H5780" s="1271"/>
    </row>
    <row r="5781" spans="1:8" x14ac:dyDescent="0.25">
      <c r="A5781" s="1238"/>
      <c r="B5781" s="1251"/>
      <c r="C5781" s="1249" t="s">
        <v>7044</v>
      </c>
      <c r="D5781" s="1249"/>
      <c r="E5781" s="1272" t="s">
        <v>7044</v>
      </c>
      <c r="F5781" s="1266"/>
      <c r="G5781" s="1267" t="s">
        <v>7044</v>
      </c>
      <c r="H5781" s="1240"/>
    </row>
    <row r="5782" spans="1:8" x14ac:dyDescent="0.25">
      <c r="A5782" s="1238"/>
      <c r="B5782" s="1251"/>
      <c r="C5782" s="1249" t="s">
        <v>7044</v>
      </c>
      <c r="D5782" s="1249"/>
      <c r="E5782" s="1272" t="s">
        <v>7044</v>
      </c>
      <c r="F5782" s="1266"/>
      <c r="G5782" s="1267" t="s">
        <v>7044</v>
      </c>
      <c r="H5782" s="1240"/>
    </row>
    <row r="5783" spans="1:8" x14ac:dyDescent="0.25">
      <c r="A5783" s="1238"/>
      <c r="B5783" s="1251"/>
      <c r="C5783" s="1254" t="s">
        <v>7044</v>
      </c>
      <c r="D5783" s="1254"/>
      <c r="E5783" s="1254" t="s">
        <v>7044</v>
      </c>
      <c r="F5783" s="1249"/>
      <c r="G5783" s="1253" t="s">
        <v>7044</v>
      </c>
      <c r="H5783" s="1240"/>
    </row>
    <row r="5784" spans="1:8" x14ac:dyDescent="0.25">
      <c r="A5784" s="1238"/>
      <c r="B5784" s="1251"/>
      <c r="C5784" s="1254" t="s">
        <v>7044</v>
      </c>
      <c r="D5784" s="1254"/>
      <c r="E5784" s="1254" t="s">
        <v>7044</v>
      </c>
      <c r="F5784" s="1249"/>
      <c r="G5784" s="1253" t="s">
        <v>7044</v>
      </c>
      <c r="H5784" s="1240"/>
    </row>
    <row r="5785" spans="1:8" x14ac:dyDescent="0.25">
      <c r="A5785" s="1238"/>
      <c r="B5785" s="1251"/>
      <c r="C5785" s="1254" t="s">
        <v>7044</v>
      </c>
      <c r="D5785" s="1254"/>
      <c r="E5785" s="1254" t="s">
        <v>7044</v>
      </c>
      <c r="F5785" s="1249"/>
      <c r="G5785" s="1253" t="s">
        <v>7044</v>
      </c>
      <c r="H5785" s="1240"/>
    </row>
    <row r="5786" spans="1:8" x14ac:dyDescent="0.25">
      <c r="A5786" s="1238"/>
      <c r="B5786" s="1251"/>
      <c r="C5786" s="1254" t="s">
        <v>7044</v>
      </c>
      <c r="D5786" s="1254"/>
      <c r="E5786" s="1254" t="s">
        <v>7044</v>
      </c>
      <c r="F5786" s="1249"/>
      <c r="G5786" s="1253" t="s">
        <v>7044</v>
      </c>
      <c r="H5786" s="1240"/>
    </row>
    <row r="5787" spans="1:8" ht="15.75" thickBot="1" x14ac:dyDescent="0.3">
      <c r="A5787" s="1238"/>
      <c r="B5787" s="1251"/>
      <c r="C5787" s="1254" t="s">
        <v>7044</v>
      </c>
      <c r="D5787" s="1254"/>
      <c r="E5787" s="1254" t="s">
        <v>7044</v>
      </c>
      <c r="F5787" s="1249"/>
      <c r="G5787" s="1253" t="s">
        <v>7044</v>
      </c>
      <c r="H5787" s="1240"/>
    </row>
    <row r="5788" spans="1:8" ht="15.75" thickBot="1" x14ac:dyDescent="0.3">
      <c r="A5788" s="1238"/>
      <c r="B5788" s="1255"/>
      <c r="C5788" s="1256" t="s">
        <v>7044</v>
      </c>
      <c r="D5788" s="1256"/>
      <c r="E5788" s="1256" t="s">
        <v>7044</v>
      </c>
      <c r="F5788" s="1257"/>
      <c r="G5788" s="1258" t="s">
        <v>7044</v>
      </c>
      <c r="H5788" s="1259">
        <f>SUM(G5775:G5788)</f>
        <v>16993200</v>
      </c>
    </row>
    <row r="5789" spans="1:8" ht="15.75" thickBot="1" x14ac:dyDescent="0.3">
      <c r="A5789" s="1238"/>
      <c r="B5789" s="1260"/>
      <c r="C5789" s="1260"/>
      <c r="D5789" s="1260"/>
      <c r="E5789" s="1260"/>
      <c r="F5789" s="1261"/>
      <c r="G5789" s="1262"/>
      <c r="H5789" s="1263"/>
    </row>
    <row r="5790" spans="1:8" ht="15.75" thickBot="1" x14ac:dyDescent="0.3">
      <c r="A5790" s="1293"/>
      <c r="B5790" s="1297" t="s">
        <v>5410</v>
      </c>
      <c r="C5790" s="1298" t="s">
        <v>867</v>
      </c>
      <c r="D5790" s="1298" t="s">
        <v>6</v>
      </c>
      <c r="E5790" s="1298" t="s">
        <v>870</v>
      </c>
      <c r="F5790" s="1298" t="s">
        <v>5411</v>
      </c>
      <c r="G5790" s="1299" t="s">
        <v>868</v>
      </c>
      <c r="H5790" s="1294"/>
    </row>
    <row r="5791" spans="1:8" x14ac:dyDescent="0.25">
      <c r="A5791" s="1238"/>
      <c r="B5791" s="1273" t="s">
        <v>5410</v>
      </c>
      <c r="C5791" s="1264"/>
      <c r="D5791" s="1264"/>
      <c r="E5791" s="1274">
        <v>1</v>
      </c>
      <c r="F5791" s="1264">
        <v>200000</v>
      </c>
      <c r="G5791" s="1275">
        <v>200000</v>
      </c>
      <c r="H5791" s="1276"/>
    </row>
    <row r="5792" spans="1:8" x14ac:dyDescent="0.25">
      <c r="A5792" s="1238"/>
      <c r="B5792" s="1269"/>
      <c r="C5792" s="1277" t="s">
        <v>7044</v>
      </c>
      <c r="D5792" s="1277"/>
      <c r="E5792" s="1277" t="s">
        <v>7044</v>
      </c>
      <c r="F5792" s="1264"/>
      <c r="G5792" s="1267" t="s">
        <v>7044</v>
      </c>
      <c r="H5792" s="1240"/>
    </row>
    <row r="5793" spans="1:8" x14ac:dyDescent="0.25">
      <c r="A5793" s="1238"/>
      <c r="B5793" s="1251"/>
      <c r="C5793" s="1254" t="s">
        <v>7044</v>
      </c>
      <c r="D5793" s="1254"/>
      <c r="E5793" s="1254" t="s">
        <v>7044</v>
      </c>
      <c r="F5793" s="1249"/>
      <c r="G5793" s="1253" t="s">
        <v>7044</v>
      </c>
      <c r="H5793" s="1240"/>
    </row>
    <row r="5794" spans="1:8" ht="15.75" thickBot="1" x14ac:dyDescent="0.3">
      <c r="A5794" s="1238"/>
      <c r="B5794" s="1251"/>
      <c r="C5794" s="1254" t="s">
        <v>7044</v>
      </c>
      <c r="D5794" s="1254"/>
      <c r="E5794" s="1254" t="s">
        <v>7044</v>
      </c>
      <c r="F5794" s="1249"/>
      <c r="G5794" s="1253" t="s">
        <v>7044</v>
      </c>
      <c r="H5794" s="1240"/>
    </row>
    <row r="5795" spans="1:8" ht="15.75" thickBot="1" x14ac:dyDescent="0.3">
      <c r="A5795" s="1238"/>
      <c r="B5795" s="1255"/>
      <c r="C5795" s="1256" t="s">
        <v>7044</v>
      </c>
      <c r="D5795" s="1256"/>
      <c r="E5795" s="1256" t="s">
        <v>7044</v>
      </c>
      <c r="F5795" s="1257"/>
      <c r="G5795" s="1258" t="s">
        <v>7044</v>
      </c>
      <c r="H5795" s="1259">
        <f>SUM(G5791:G5795)</f>
        <v>200000</v>
      </c>
    </row>
    <row r="5796" spans="1:8" ht="15.75" thickBot="1" x14ac:dyDescent="0.3">
      <c r="A5796" s="1238"/>
      <c r="B5796" s="1260"/>
      <c r="C5796" s="1260"/>
      <c r="D5796" s="1260"/>
      <c r="E5796" s="1260"/>
      <c r="F5796" s="1278"/>
      <c r="G5796" s="1279"/>
      <c r="H5796" s="1263"/>
    </row>
    <row r="5797" spans="1:8" ht="15.75" thickBot="1" x14ac:dyDescent="0.3">
      <c r="A5797" s="1293"/>
      <c r="B5797" s="1297" t="s">
        <v>5412</v>
      </c>
      <c r="C5797" s="1298" t="s">
        <v>5420</v>
      </c>
      <c r="D5797" s="1298" t="s">
        <v>5421</v>
      </c>
      <c r="E5797" s="1298" t="s">
        <v>5413</v>
      </c>
      <c r="F5797" s="1298" t="s">
        <v>5405</v>
      </c>
      <c r="G5797" s="1299" t="s">
        <v>868</v>
      </c>
      <c r="H5797" s="1294"/>
    </row>
    <row r="5798" spans="1:8" x14ac:dyDescent="0.25">
      <c r="A5798" s="1238"/>
      <c r="B5798" s="1269" t="s">
        <v>8299</v>
      </c>
      <c r="C5798" s="1280">
        <v>300000</v>
      </c>
      <c r="D5798" s="1280">
        <v>146370</v>
      </c>
      <c r="E5798" s="1281">
        <v>446370</v>
      </c>
      <c r="F5798" s="1264">
        <v>5</v>
      </c>
      <c r="G5798" s="1275">
        <f>IF(B5798="","",E5798/F5798)</f>
        <v>89274</v>
      </c>
      <c r="H5798" s="1240"/>
    </row>
    <row r="5799" spans="1:8" x14ac:dyDescent="0.25">
      <c r="A5799" s="1238"/>
      <c r="B5799" s="764" t="s">
        <v>5635</v>
      </c>
      <c r="C5799" s="782">
        <f>+VLOOKUP(B5799,'Mano de obra'!$A$5:$D$26,2,FALSE)</f>
        <v>24591</v>
      </c>
      <c r="D5799" s="782">
        <f>+VLOOKUP(B5799,'Mano de obra'!$A$5:$D$26,3,FALSE)</f>
        <v>15261</v>
      </c>
      <c r="E5799" s="761">
        <f>+VLOOKUP(B5799,'Mano de obra'!$A$5:$D$26,4,FALSE)</f>
        <v>39852</v>
      </c>
      <c r="F5799" s="1249">
        <v>5</v>
      </c>
      <c r="G5799" s="1275">
        <f>IF(B5799="","",E5799/F5799)</f>
        <v>7970.4</v>
      </c>
      <c r="H5799" s="1240"/>
    </row>
    <row r="5800" spans="1:8" x14ac:dyDescent="0.25">
      <c r="A5800" s="1238"/>
      <c r="B5800" s="1251"/>
      <c r="C5800" s="1254"/>
      <c r="D5800" s="1280"/>
      <c r="E5800" s="1235"/>
      <c r="F5800" s="1249"/>
      <c r="G5800" s="1253" t="s">
        <v>7044</v>
      </c>
      <c r="H5800" s="1240"/>
    </row>
    <row r="5801" spans="1:8" x14ac:dyDescent="0.25">
      <c r="A5801" s="1238"/>
      <c r="B5801" s="1251"/>
      <c r="C5801" s="1254"/>
      <c r="D5801" s="1280"/>
      <c r="E5801" s="1254"/>
      <c r="F5801" s="1249"/>
      <c r="G5801" s="1253"/>
      <c r="H5801" s="1240"/>
    </row>
    <row r="5802" spans="1:8" ht="15.75" thickBot="1" x14ac:dyDescent="0.3">
      <c r="A5802" s="1238"/>
      <c r="B5802" s="1251"/>
      <c r="C5802" s="1254" t="s">
        <v>7044</v>
      </c>
      <c r="D5802" s="1254"/>
      <c r="E5802" s="1254" t="s">
        <v>7044</v>
      </c>
      <c r="F5802" s="1249"/>
      <c r="G5802" s="1253" t="s">
        <v>7044</v>
      </c>
      <c r="H5802" s="1240"/>
    </row>
    <row r="5803" spans="1:8" ht="15.75" thickBot="1" x14ac:dyDescent="0.3">
      <c r="A5803" s="1238"/>
      <c r="B5803" s="1282"/>
      <c r="C5803" s="1283" t="s">
        <v>7044</v>
      </c>
      <c r="D5803" s="1283"/>
      <c r="E5803" s="1283" t="s">
        <v>7044</v>
      </c>
      <c r="F5803" s="1284"/>
      <c r="G5803" s="1285" t="s">
        <v>7044</v>
      </c>
      <c r="H5803" s="1259">
        <f>SUM(G5798:G5803)</f>
        <v>97244.4</v>
      </c>
    </row>
    <row r="5804" spans="1:8" ht="15.75" thickBot="1" x14ac:dyDescent="0.3">
      <c r="A5804" s="1238"/>
      <c r="B5804" s="1241"/>
      <c r="C5804" s="1241"/>
      <c r="D5804" s="1241"/>
      <c r="E5804" s="1241"/>
      <c r="F5804" s="1238"/>
      <c r="G5804" s="1240"/>
      <c r="H5804" s="1240"/>
    </row>
    <row r="5805" spans="1:8" ht="15.75" thickBot="1" x14ac:dyDescent="0.3">
      <c r="A5805" s="1238"/>
      <c r="B5805" s="1241"/>
      <c r="C5805" s="1241"/>
      <c r="D5805" s="1241"/>
      <c r="E5805" s="1286" t="s">
        <v>5415</v>
      </c>
      <c r="F5805" s="1238"/>
      <c r="G5805" s="1240"/>
      <c r="H5805" s="1259">
        <f>ROUND(H5772+H5788+H5795+H5803,0)</f>
        <v>17292389</v>
      </c>
    </row>
    <row r="5806" spans="1:8" x14ac:dyDescent="0.25">
      <c r="A5806" s="1236"/>
      <c r="B5806" s="1236"/>
      <c r="C5806" s="1236"/>
      <c r="D5806" s="1236"/>
      <c r="E5806" s="1236"/>
      <c r="F5806" s="1236"/>
      <c r="G5806" s="1237"/>
      <c r="H5806" s="1236"/>
    </row>
    <row r="5807" spans="1:8" x14ac:dyDescent="0.25">
      <c r="A5807" s="1236"/>
      <c r="B5807" s="1236"/>
      <c r="C5807" s="1236"/>
      <c r="D5807" s="1236"/>
      <c r="E5807" s="1236"/>
      <c r="F5807" s="1236"/>
      <c r="G5807" s="1237"/>
      <c r="H5807" s="1236"/>
    </row>
    <row r="5808" spans="1:8" x14ac:dyDescent="0.25">
      <c r="A5808" s="1236"/>
      <c r="B5808" s="1236"/>
      <c r="C5808" s="1236"/>
      <c r="D5808" s="1236"/>
      <c r="E5808" s="1236"/>
      <c r="F5808" s="1236"/>
      <c r="G5808" s="1237"/>
      <c r="H5808" s="1236"/>
    </row>
    <row r="5809" spans="1:8" ht="32.25" customHeight="1" x14ac:dyDescent="0.25">
      <c r="A5809" s="1295" t="s">
        <v>3</v>
      </c>
      <c r="B5809" s="1390" t="str">
        <f>+VLOOKUP(C5809,ListaAPUs!$B:$E,4,FALSE)</f>
        <v>7.1.14</v>
      </c>
      <c r="C5809" s="2448" t="str">
        <f>+ListaAPUs!B171</f>
        <v xml:space="preserve">Manifold hidráulico para línea de alimentación de agua a Eyector del sistema de cloración. </v>
      </c>
      <c r="D5809" s="2448"/>
      <c r="E5809" s="2448"/>
      <c r="F5809" s="1295" t="s">
        <v>867</v>
      </c>
      <c r="G5809" s="1296" t="s">
        <v>5424</v>
      </c>
      <c r="H5809" s="1294"/>
    </row>
    <row r="5810" spans="1:8" x14ac:dyDescent="0.25">
      <c r="A5810" s="1238"/>
      <c r="B5810" s="1241"/>
      <c r="C5810" s="1242"/>
      <c r="D5810" s="1242"/>
      <c r="E5810" s="1242"/>
      <c r="F5810" s="1238"/>
      <c r="G5810" s="1240"/>
      <c r="H5810" s="1240"/>
    </row>
    <row r="5811" spans="1:8" x14ac:dyDescent="0.25">
      <c r="A5811" s="1238"/>
      <c r="B5811" s="1241"/>
      <c r="C5811" s="1241"/>
      <c r="D5811" s="1241"/>
      <c r="E5811" s="1241"/>
      <c r="F5811" s="1241"/>
      <c r="G5811" s="1241"/>
      <c r="H5811" s="1240"/>
    </row>
    <row r="5812" spans="1:8" ht="15.75" thickBot="1" x14ac:dyDescent="0.3">
      <c r="A5812" s="1238"/>
      <c r="B5812" s="1241"/>
      <c r="C5812" s="1241"/>
      <c r="D5812" s="1241"/>
      <c r="E5812" s="1241"/>
      <c r="F5812" s="1238"/>
      <c r="G5812" s="1240"/>
      <c r="H5812" s="1240"/>
    </row>
    <row r="5813" spans="1:8" ht="15.75" thickBot="1" x14ac:dyDescent="0.3">
      <c r="A5813" s="1293"/>
      <c r="B5813" s="1297" t="s">
        <v>5403</v>
      </c>
      <c r="C5813" s="1298" t="s">
        <v>867</v>
      </c>
      <c r="D5813" s="1298" t="s">
        <v>6</v>
      </c>
      <c r="E5813" s="1298" t="s">
        <v>5439</v>
      </c>
      <c r="F5813" s="1298" t="s">
        <v>5405</v>
      </c>
      <c r="G5813" s="1299" t="s">
        <v>868</v>
      </c>
      <c r="H5813" s="1294"/>
    </row>
    <row r="5814" spans="1:8" x14ac:dyDescent="0.25">
      <c r="A5814" s="1238"/>
      <c r="B5814" s="1140" t="s">
        <v>5440</v>
      </c>
      <c r="C5814" s="1246" t="s">
        <v>7042</v>
      </c>
      <c r="D5814" s="1247">
        <v>1</v>
      </c>
      <c r="E5814" s="1248">
        <f>H5852</f>
        <v>60777.75</v>
      </c>
      <c r="F5814" s="1249">
        <v>0.03</v>
      </c>
      <c r="G5814" s="1250">
        <f>D5814*E5814*F5814</f>
        <v>1823.3325</v>
      </c>
      <c r="H5814" s="1240"/>
    </row>
    <row r="5815" spans="1:8" x14ac:dyDescent="0.25">
      <c r="A5815" s="1238"/>
      <c r="B5815" s="1288"/>
      <c r="C5815" s="226"/>
      <c r="D5815" s="232"/>
      <c r="E5815" s="1289"/>
      <c r="F5815" s="232"/>
      <c r="G5815" s="156"/>
      <c r="H5815" s="1240"/>
    </row>
    <row r="5816" spans="1:8" x14ac:dyDescent="0.25">
      <c r="A5816" s="1238"/>
      <c r="B5816" s="1251"/>
      <c r="C5816" s="1249"/>
      <c r="D5816" s="1249"/>
      <c r="E5816" s="1248"/>
      <c r="F5816" s="1249"/>
      <c r="G5816" s="1253"/>
      <c r="H5816" s="1240"/>
    </row>
    <row r="5817" spans="1:8" x14ac:dyDescent="0.25">
      <c r="A5817" s="1238"/>
      <c r="B5817" s="1251"/>
      <c r="C5817" s="1249"/>
      <c r="D5817" s="1249"/>
      <c r="E5817" s="1248"/>
      <c r="F5817" s="1249"/>
      <c r="G5817" s="1253"/>
      <c r="H5817" s="1240"/>
    </row>
    <row r="5818" spans="1:8" x14ac:dyDescent="0.25">
      <c r="A5818" s="1238"/>
      <c r="B5818" s="1251"/>
      <c r="C5818" s="1249"/>
      <c r="D5818" s="1249"/>
      <c r="E5818" s="1254"/>
      <c r="F5818" s="1249"/>
      <c r="G5818" s="1253"/>
      <c r="H5818" s="1240"/>
    </row>
    <row r="5819" spans="1:8" x14ac:dyDescent="0.25">
      <c r="A5819" s="1238"/>
      <c r="B5819" s="1251"/>
      <c r="C5819" s="1254" t="s">
        <v>7044</v>
      </c>
      <c r="D5819" s="1254"/>
      <c r="E5819" s="1254" t="s">
        <v>7044</v>
      </c>
      <c r="F5819" s="1249"/>
      <c r="G5819" s="1253" t="s">
        <v>7044</v>
      </c>
      <c r="H5819" s="1240"/>
    </row>
    <row r="5820" spans="1:8" ht="15.75" thickBot="1" x14ac:dyDescent="0.3">
      <c r="A5820" s="1238"/>
      <c r="B5820" s="1251"/>
      <c r="C5820" s="1254" t="s">
        <v>7044</v>
      </c>
      <c r="D5820" s="1254"/>
      <c r="E5820" s="1254" t="s">
        <v>7044</v>
      </c>
      <c r="F5820" s="1249"/>
      <c r="G5820" s="1253" t="s">
        <v>7044</v>
      </c>
      <c r="H5820" s="1240"/>
    </row>
    <row r="5821" spans="1:8" ht="15.75" thickBot="1" x14ac:dyDescent="0.3">
      <c r="A5821" s="1238"/>
      <c r="B5821" s="1255"/>
      <c r="C5821" s="1256" t="s">
        <v>7044</v>
      </c>
      <c r="D5821" s="1256"/>
      <c r="E5821" s="1256" t="s">
        <v>7044</v>
      </c>
      <c r="F5821" s="1257"/>
      <c r="G5821" s="1258" t="s">
        <v>7044</v>
      </c>
      <c r="H5821" s="1259">
        <f>SUM(G5814:G5821)</f>
        <v>1823.3325</v>
      </c>
    </row>
    <row r="5822" spans="1:8" ht="15.75" thickBot="1" x14ac:dyDescent="0.3">
      <c r="A5822" s="1238"/>
      <c r="B5822" s="1260"/>
      <c r="C5822" s="1260"/>
      <c r="D5822" s="1260"/>
      <c r="E5822" s="1260"/>
      <c r="F5822" s="1261"/>
      <c r="G5822" s="1262" t="s">
        <v>7044</v>
      </c>
      <c r="H5822" s="1263"/>
    </row>
    <row r="5823" spans="1:8" ht="15.75" thickBot="1" x14ac:dyDescent="0.3">
      <c r="A5823" s="1293"/>
      <c r="B5823" s="1297" t="s">
        <v>5408</v>
      </c>
      <c r="C5823" s="1298" t="s">
        <v>867</v>
      </c>
      <c r="D5823" s="1298" t="s">
        <v>6</v>
      </c>
      <c r="E5823" s="1298" t="s">
        <v>870</v>
      </c>
      <c r="F5823" s="1298" t="s">
        <v>5409</v>
      </c>
      <c r="G5823" s="1299" t="s">
        <v>868</v>
      </c>
      <c r="H5823" s="1294"/>
    </row>
    <row r="5824" spans="1:8" ht="66.75" customHeight="1" x14ac:dyDescent="0.25">
      <c r="A5824" s="1238"/>
      <c r="B5824" s="777" t="s">
        <v>8646</v>
      </c>
      <c r="C5824" s="202" t="s">
        <v>867</v>
      </c>
      <c r="D5824" s="202">
        <v>1</v>
      </c>
      <c r="E5824" s="1234">
        <f>+VLOOKUP(B5824,Insumos!$A$2:$C$331,3,FALSE)</f>
        <v>1309000</v>
      </c>
      <c r="F5824" s="169"/>
      <c r="G5824" s="172">
        <f>D5824*E5824*(1+F5824)</f>
        <v>1309000</v>
      </c>
      <c r="H5824" s="1240"/>
    </row>
    <row r="5825" spans="1:8" x14ac:dyDescent="0.25">
      <c r="A5825" s="1238"/>
      <c r="B5825" s="1270"/>
      <c r="C5825" s="1264"/>
      <c r="D5825" s="1264"/>
      <c r="E5825" s="1265"/>
      <c r="F5825" s="1266"/>
      <c r="G5825" s="1267"/>
      <c r="H5825" s="1240"/>
    </row>
    <row r="5826" spans="1:8" x14ac:dyDescent="0.25">
      <c r="A5826" s="1238"/>
      <c r="B5826" s="1269"/>
      <c r="C5826" s="1246"/>
      <c r="D5826" s="1249"/>
      <c r="E5826" s="1268"/>
      <c r="F5826" s="1266"/>
      <c r="G5826" s="1267" t="s">
        <v>7044</v>
      </c>
      <c r="H5826" s="1240"/>
    </row>
    <row r="5827" spans="1:8" x14ac:dyDescent="0.25">
      <c r="A5827" s="1238"/>
      <c r="B5827" s="1269"/>
      <c r="C5827" s="1246"/>
      <c r="D5827" s="1249"/>
      <c r="E5827" s="1268"/>
      <c r="F5827" s="1266"/>
      <c r="G5827" s="1267" t="s">
        <v>7044</v>
      </c>
      <c r="H5827" s="1240"/>
    </row>
    <row r="5828" spans="1:8" x14ac:dyDescent="0.25">
      <c r="A5828" s="1238"/>
      <c r="B5828" s="1269"/>
      <c r="C5828" s="1246"/>
      <c r="D5828" s="1249"/>
      <c r="E5828" s="1268"/>
      <c r="F5828" s="1266"/>
      <c r="G5828" s="1267" t="s">
        <v>7044</v>
      </c>
      <c r="H5828" s="1240"/>
    </row>
    <row r="5829" spans="1:8" x14ac:dyDescent="0.25">
      <c r="A5829" s="1238"/>
      <c r="B5829" s="1270"/>
      <c r="C5829" s="1264"/>
      <c r="D5829" s="1264"/>
      <c r="E5829" s="1265"/>
      <c r="F5829" s="1266"/>
      <c r="G5829" s="1267"/>
      <c r="H5829" s="1271"/>
    </row>
    <row r="5830" spans="1:8" x14ac:dyDescent="0.25">
      <c r="A5830" s="1238"/>
      <c r="B5830" s="1251"/>
      <c r="C5830" s="1249" t="s">
        <v>7044</v>
      </c>
      <c r="D5830" s="1249"/>
      <c r="E5830" s="1272" t="s">
        <v>7044</v>
      </c>
      <c r="F5830" s="1266"/>
      <c r="G5830" s="1267" t="s">
        <v>7044</v>
      </c>
      <c r="H5830" s="1240"/>
    </row>
    <row r="5831" spans="1:8" x14ac:dyDescent="0.25">
      <c r="A5831" s="1238"/>
      <c r="B5831" s="1251"/>
      <c r="C5831" s="1249" t="s">
        <v>7044</v>
      </c>
      <c r="D5831" s="1249"/>
      <c r="E5831" s="1272" t="s">
        <v>7044</v>
      </c>
      <c r="F5831" s="1266"/>
      <c r="G5831" s="1267" t="s">
        <v>7044</v>
      </c>
      <c r="H5831" s="1240"/>
    </row>
    <row r="5832" spans="1:8" x14ac:dyDescent="0.25">
      <c r="A5832" s="1238"/>
      <c r="B5832" s="1251"/>
      <c r="C5832" s="1254" t="s">
        <v>7044</v>
      </c>
      <c r="D5832" s="1254"/>
      <c r="E5832" s="1254" t="s">
        <v>7044</v>
      </c>
      <c r="F5832" s="1249"/>
      <c r="G5832" s="1253" t="s">
        <v>7044</v>
      </c>
      <c r="H5832" s="1240"/>
    </row>
    <row r="5833" spans="1:8" x14ac:dyDescent="0.25">
      <c r="A5833" s="1238"/>
      <c r="B5833" s="1251"/>
      <c r="C5833" s="1254" t="s">
        <v>7044</v>
      </c>
      <c r="D5833" s="1254"/>
      <c r="E5833" s="1254" t="s">
        <v>7044</v>
      </c>
      <c r="F5833" s="1249"/>
      <c r="G5833" s="1253" t="s">
        <v>7044</v>
      </c>
      <c r="H5833" s="1240"/>
    </row>
    <row r="5834" spans="1:8" x14ac:dyDescent="0.25">
      <c r="A5834" s="1238"/>
      <c r="B5834" s="1251"/>
      <c r="C5834" s="1254" t="s">
        <v>7044</v>
      </c>
      <c r="D5834" s="1254"/>
      <c r="E5834" s="1254" t="s">
        <v>7044</v>
      </c>
      <c r="F5834" s="1249"/>
      <c r="G5834" s="1253" t="s">
        <v>7044</v>
      </c>
      <c r="H5834" s="1240"/>
    </row>
    <row r="5835" spans="1:8" x14ac:dyDescent="0.25">
      <c r="A5835" s="1238"/>
      <c r="B5835" s="1251"/>
      <c r="C5835" s="1254" t="s">
        <v>7044</v>
      </c>
      <c r="D5835" s="1254"/>
      <c r="E5835" s="1254" t="s">
        <v>7044</v>
      </c>
      <c r="F5835" s="1249"/>
      <c r="G5835" s="1253" t="s">
        <v>7044</v>
      </c>
      <c r="H5835" s="1240"/>
    </row>
    <row r="5836" spans="1:8" ht="15.75" thickBot="1" x14ac:dyDescent="0.3">
      <c r="A5836" s="1238"/>
      <c r="B5836" s="1251"/>
      <c r="C5836" s="1254" t="s">
        <v>7044</v>
      </c>
      <c r="D5836" s="1254"/>
      <c r="E5836" s="1254" t="s">
        <v>7044</v>
      </c>
      <c r="F5836" s="1249"/>
      <c r="G5836" s="1253" t="s">
        <v>7044</v>
      </c>
      <c r="H5836" s="1240"/>
    </row>
    <row r="5837" spans="1:8" ht="15.75" thickBot="1" x14ac:dyDescent="0.3">
      <c r="A5837" s="1238"/>
      <c r="B5837" s="1255"/>
      <c r="C5837" s="1256" t="s">
        <v>7044</v>
      </c>
      <c r="D5837" s="1256"/>
      <c r="E5837" s="1256" t="s">
        <v>7044</v>
      </c>
      <c r="F5837" s="1257"/>
      <c r="G5837" s="1258" t="s">
        <v>7044</v>
      </c>
      <c r="H5837" s="1259">
        <f>SUM(G5824:G5837)</f>
        <v>1309000</v>
      </c>
    </row>
    <row r="5838" spans="1:8" ht="15.75" thickBot="1" x14ac:dyDescent="0.3">
      <c r="A5838" s="1238"/>
      <c r="B5838" s="1260"/>
      <c r="C5838" s="1260"/>
      <c r="D5838" s="1260"/>
      <c r="E5838" s="1260"/>
      <c r="F5838" s="1261"/>
      <c r="G5838" s="1262"/>
      <c r="H5838" s="1263"/>
    </row>
    <row r="5839" spans="1:8" ht="15.75" thickBot="1" x14ac:dyDescent="0.3">
      <c r="A5839" s="1293"/>
      <c r="B5839" s="1297" t="s">
        <v>5410</v>
      </c>
      <c r="C5839" s="1298" t="s">
        <v>867</v>
      </c>
      <c r="D5839" s="1298" t="s">
        <v>6</v>
      </c>
      <c r="E5839" s="1298" t="s">
        <v>870</v>
      </c>
      <c r="F5839" s="1298" t="s">
        <v>5411</v>
      </c>
      <c r="G5839" s="1299" t="s">
        <v>868</v>
      </c>
      <c r="H5839" s="1294"/>
    </row>
    <row r="5840" spans="1:8" x14ac:dyDescent="0.25">
      <c r="A5840" s="1238"/>
      <c r="B5840" s="1273" t="s">
        <v>5410</v>
      </c>
      <c r="C5840" s="1264" t="s">
        <v>5424</v>
      </c>
      <c r="D5840" s="1264">
        <v>1</v>
      </c>
      <c r="E5840" s="1274">
        <v>65450</v>
      </c>
      <c r="F5840" s="1264"/>
      <c r="G5840" s="1275">
        <f>D5840*E5840</f>
        <v>65450</v>
      </c>
      <c r="H5840" s="1276"/>
    </row>
    <row r="5841" spans="1:8" x14ac:dyDescent="0.25">
      <c r="A5841" s="1238"/>
      <c r="B5841" s="1269"/>
      <c r="C5841" s="1277" t="s">
        <v>7044</v>
      </c>
      <c r="D5841" s="1277"/>
      <c r="E5841" s="1277" t="s">
        <v>7044</v>
      </c>
      <c r="F5841" s="1264"/>
      <c r="G5841" s="1267" t="s">
        <v>7044</v>
      </c>
      <c r="H5841" s="1240"/>
    </row>
    <row r="5842" spans="1:8" x14ac:dyDescent="0.25">
      <c r="A5842" s="1238"/>
      <c r="B5842" s="1251"/>
      <c r="C5842" s="1254" t="s">
        <v>7044</v>
      </c>
      <c r="D5842" s="1254"/>
      <c r="E5842" s="1254" t="s">
        <v>7044</v>
      </c>
      <c r="F5842" s="1249"/>
      <c r="G5842" s="1253" t="s">
        <v>7044</v>
      </c>
      <c r="H5842" s="1240"/>
    </row>
    <row r="5843" spans="1:8" ht="15.75" thickBot="1" x14ac:dyDescent="0.3">
      <c r="A5843" s="1238"/>
      <c r="B5843" s="1251"/>
      <c r="C5843" s="1254" t="s">
        <v>7044</v>
      </c>
      <c r="D5843" s="1254"/>
      <c r="E5843" s="1254" t="s">
        <v>7044</v>
      </c>
      <c r="F5843" s="1249"/>
      <c r="G5843" s="1253" t="s">
        <v>7044</v>
      </c>
      <c r="H5843" s="1240"/>
    </row>
    <row r="5844" spans="1:8" ht="15.75" thickBot="1" x14ac:dyDescent="0.3">
      <c r="A5844" s="1238"/>
      <c r="B5844" s="1255"/>
      <c r="C5844" s="1256" t="s">
        <v>7044</v>
      </c>
      <c r="D5844" s="1256"/>
      <c r="E5844" s="1256" t="s">
        <v>7044</v>
      </c>
      <c r="F5844" s="1257"/>
      <c r="G5844" s="1258" t="s">
        <v>7044</v>
      </c>
      <c r="H5844" s="1259">
        <v>65450</v>
      </c>
    </row>
    <row r="5845" spans="1:8" ht="15.75" thickBot="1" x14ac:dyDescent="0.3">
      <c r="A5845" s="1238"/>
      <c r="B5845" s="1260"/>
      <c r="C5845" s="1260"/>
      <c r="D5845" s="1260"/>
      <c r="E5845" s="1260"/>
      <c r="F5845" s="1278"/>
      <c r="G5845" s="1279"/>
      <c r="H5845" s="1263"/>
    </row>
    <row r="5846" spans="1:8" ht="15.75" thickBot="1" x14ac:dyDescent="0.3">
      <c r="A5846" s="1293"/>
      <c r="B5846" s="1297" t="s">
        <v>5412</v>
      </c>
      <c r="C5846" s="1298" t="s">
        <v>5420</v>
      </c>
      <c r="D5846" s="1298" t="s">
        <v>5421</v>
      </c>
      <c r="E5846" s="1298" t="s">
        <v>5413</v>
      </c>
      <c r="F5846" s="1298" t="s">
        <v>5405</v>
      </c>
      <c r="G5846" s="1299" t="s">
        <v>868</v>
      </c>
      <c r="H5846" s="1294"/>
    </row>
    <row r="5847" spans="1:8" x14ac:dyDescent="0.25">
      <c r="A5847" s="1238"/>
      <c r="B5847" s="1328" t="s">
        <v>8299</v>
      </c>
      <c r="C5847" s="1329">
        <v>300000</v>
      </c>
      <c r="D5847" s="1329">
        <v>146370</v>
      </c>
      <c r="E5847" s="1330">
        <v>446370</v>
      </c>
      <c r="F5847" s="1331">
        <v>8</v>
      </c>
      <c r="G5847" s="1275">
        <f>IF(B5847="","",E5847/F5847)</f>
        <v>55796.25</v>
      </c>
      <c r="H5847" s="1240"/>
    </row>
    <row r="5848" spans="1:8" x14ac:dyDescent="0.25">
      <c r="A5848" s="1238"/>
      <c r="B5848" s="764" t="s">
        <v>5635</v>
      </c>
      <c r="C5848" s="782">
        <f>+VLOOKUP(B5848,'Mano de obra'!$A$5:$D$26,2,FALSE)</f>
        <v>24591</v>
      </c>
      <c r="D5848" s="782">
        <f>+VLOOKUP(B5848,'Mano de obra'!$A$5:$D$26,3,FALSE)</f>
        <v>15261</v>
      </c>
      <c r="E5848" s="761">
        <f>+VLOOKUP(B5848,'Mano de obra'!$A$5:$D$26,4,FALSE)</f>
        <v>39852</v>
      </c>
      <c r="F5848" s="1249">
        <v>8</v>
      </c>
      <c r="G5848" s="1275">
        <f>IF(B5848="","",E5848/F5848)</f>
        <v>4981.5</v>
      </c>
      <c r="H5848" s="1240"/>
    </row>
    <row r="5849" spans="1:8" x14ac:dyDescent="0.25">
      <c r="A5849" s="1238"/>
      <c r="B5849" s="1251"/>
      <c r="C5849" s="1254"/>
      <c r="D5849" s="1280"/>
      <c r="E5849" s="1235"/>
      <c r="F5849" s="1249"/>
      <c r="G5849" s="1253" t="s">
        <v>7044</v>
      </c>
      <c r="H5849" s="1240"/>
    </row>
    <row r="5850" spans="1:8" x14ac:dyDescent="0.25">
      <c r="A5850" s="1238"/>
      <c r="B5850" s="1333"/>
      <c r="C5850" s="1254"/>
      <c r="D5850" s="1280"/>
      <c r="E5850" s="1254"/>
      <c r="F5850" s="1249"/>
      <c r="G5850" s="1253"/>
      <c r="H5850" s="1240"/>
    </row>
    <row r="5851" spans="1:8" ht="15.75" thickBot="1" x14ac:dyDescent="0.3">
      <c r="A5851" s="1238"/>
      <c r="B5851" s="1269"/>
      <c r="C5851" s="1254" t="s">
        <v>7044</v>
      </c>
      <c r="D5851" s="1254"/>
      <c r="E5851" s="1254" t="s">
        <v>7044</v>
      </c>
      <c r="F5851" s="1249"/>
      <c r="G5851" s="1253" t="s">
        <v>7044</v>
      </c>
      <c r="H5851" s="1240"/>
    </row>
    <row r="5852" spans="1:8" ht="15.75" thickBot="1" x14ac:dyDescent="0.3">
      <c r="A5852" s="1238"/>
      <c r="B5852" s="1282"/>
      <c r="C5852" s="1283" t="s">
        <v>7044</v>
      </c>
      <c r="D5852" s="1283"/>
      <c r="E5852" s="1283" t="s">
        <v>7044</v>
      </c>
      <c r="F5852" s="1284"/>
      <c r="G5852" s="1285" t="s">
        <v>7044</v>
      </c>
      <c r="H5852" s="1259">
        <f>SUM(G5847:G5852)</f>
        <v>60777.75</v>
      </c>
    </row>
    <row r="5853" spans="1:8" ht="15.75" thickBot="1" x14ac:dyDescent="0.3">
      <c r="A5853" s="1238"/>
      <c r="B5853" s="1241"/>
      <c r="C5853" s="1241"/>
      <c r="D5853" s="1241"/>
      <c r="E5853" s="1241"/>
      <c r="F5853" s="1238"/>
      <c r="G5853" s="1240"/>
      <c r="H5853" s="1240"/>
    </row>
    <row r="5854" spans="1:8" ht="15.75" thickBot="1" x14ac:dyDescent="0.3">
      <c r="A5854" s="1238"/>
      <c r="B5854" s="1241"/>
      <c r="C5854" s="1241"/>
      <c r="D5854" s="1241"/>
      <c r="E5854" s="1286" t="s">
        <v>5415</v>
      </c>
      <c r="F5854" s="1238"/>
      <c r="G5854" s="1240"/>
      <c r="H5854" s="1259">
        <f>ROUND(H5821+H5837+H5844+H5852,0)</f>
        <v>1437051</v>
      </c>
    </row>
    <row r="5855" spans="1:8" x14ac:dyDescent="0.25">
      <c r="A5855" s="1236"/>
      <c r="B5855" s="1236"/>
      <c r="C5855" s="1236"/>
      <c r="D5855" s="1236"/>
      <c r="E5855" s="1236"/>
      <c r="F5855" s="1236"/>
      <c r="G5855" s="1237"/>
      <c r="H5855" s="1236"/>
    </row>
    <row r="5856" spans="1:8" x14ac:dyDescent="0.25">
      <c r="A5856" s="1236"/>
      <c r="B5856" s="1236"/>
      <c r="C5856" s="1236"/>
      <c r="D5856" s="1236"/>
      <c r="E5856" s="1236"/>
      <c r="F5856" s="1236"/>
      <c r="G5856" s="1237"/>
      <c r="H5856" s="1236"/>
    </row>
    <row r="5857" spans="1:8" x14ac:dyDescent="0.25">
      <c r="A5857" s="1295" t="s">
        <v>3</v>
      </c>
      <c r="B5857" s="1390" t="str">
        <f>+VLOOKUP(C5857,ListaAPUs!$B:$E,4,FALSE)</f>
        <v>7.1.15</v>
      </c>
      <c r="C5857" s="2448" t="str">
        <f>+ListaAPUs!B172</f>
        <v xml:space="preserve">Distribuidor múltiple de dos (2) válvulas para anclar a pared, alimentar un clorador y recibir cloro de dos (2) cilindros de un tonelada. </v>
      </c>
      <c r="D5857" s="2448"/>
      <c r="E5857" s="2448"/>
      <c r="F5857" s="1295" t="s">
        <v>867</v>
      </c>
      <c r="G5857" s="1296" t="s">
        <v>5424</v>
      </c>
      <c r="H5857" s="1294"/>
    </row>
    <row r="5858" spans="1:8" x14ac:dyDescent="0.25">
      <c r="A5858" s="1238"/>
      <c r="B5858" s="1241"/>
      <c r="C5858" s="1242"/>
      <c r="D5858" s="1242"/>
      <c r="E5858" s="1242"/>
      <c r="F5858" s="1238"/>
      <c r="G5858" s="1240"/>
      <c r="H5858" s="1240"/>
    </row>
    <row r="5859" spans="1:8" x14ac:dyDescent="0.25">
      <c r="A5859" s="1238"/>
      <c r="B5859" s="1241"/>
      <c r="C5859" s="1241"/>
      <c r="D5859" s="1241"/>
      <c r="E5859" s="1241"/>
      <c r="F5859" s="1241"/>
      <c r="G5859" s="1241"/>
      <c r="H5859" s="1240"/>
    </row>
    <row r="5860" spans="1:8" ht="15.75" thickBot="1" x14ac:dyDescent="0.3">
      <c r="A5860" s="1238"/>
      <c r="B5860" s="1241"/>
      <c r="C5860" s="1241"/>
      <c r="D5860" s="1241"/>
      <c r="E5860" s="1241"/>
      <c r="F5860" s="1238"/>
      <c r="G5860" s="1240"/>
      <c r="H5860" s="1240"/>
    </row>
    <row r="5861" spans="1:8" ht="15.75" thickBot="1" x14ac:dyDescent="0.3">
      <c r="A5861" s="1293"/>
      <c r="B5861" s="1297" t="s">
        <v>5403</v>
      </c>
      <c r="C5861" s="1298" t="s">
        <v>867</v>
      </c>
      <c r="D5861" s="1298" t="s">
        <v>6</v>
      </c>
      <c r="E5861" s="1298" t="s">
        <v>5439</v>
      </c>
      <c r="F5861" s="1298" t="s">
        <v>5405</v>
      </c>
      <c r="G5861" s="1299" t="s">
        <v>868</v>
      </c>
      <c r="H5861" s="1294"/>
    </row>
    <row r="5862" spans="1:8" x14ac:dyDescent="0.25">
      <c r="A5862" s="1238"/>
      <c r="B5862" s="1140" t="s">
        <v>5440</v>
      </c>
      <c r="C5862" s="1246" t="s">
        <v>7042</v>
      </c>
      <c r="D5862" s="1247">
        <v>1</v>
      </c>
      <c r="E5862" s="1248">
        <v>9963</v>
      </c>
      <c r="F5862" s="1249">
        <v>0.05</v>
      </c>
      <c r="G5862" s="1250">
        <f>D5862*E5862*F5862</f>
        <v>498.15000000000003</v>
      </c>
      <c r="H5862" s="1240"/>
    </row>
    <row r="5863" spans="1:8" x14ac:dyDescent="0.25">
      <c r="A5863" s="1238"/>
      <c r="B5863" s="1288"/>
      <c r="C5863" s="226"/>
      <c r="D5863" s="232"/>
      <c r="E5863" s="1289"/>
      <c r="F5863" s="232"/>
      <c r="G5863" s="156"/>
      <c r="H5863" s="1240"/>
    </row>
    <row r="5864" spans="1:8" x14ac:dyDescent="0.25">
      <c r="A5864" s="1238"/>
      <c r="B5864" s="1251"/>
      <c r="C5864" s="1249"/>
      <c r="D5864" s="1249"/>
      <c r="E5864" s="1248"/>
      <c r="F5864" s="1249"/>
      <c r="G5864" s="1253"/>
      <c r="H5864" s="1240"/>
    </row>
    <row r="5865" spans="1:8" x14ac:dyDescent="0.25">
      <c r="A5865" s="1238"/>
      <c r="B5865" s="1251"/>
      <c r="C5865" s="1249"/>
      <c r="D5865" s="1249"/>
      <c r="E5865" s="1248"/>
      <c r="F5865" s="1249"/>
      <c r="G5865" s="1253"/>
      <c r="H5865" s="1240"/>
    </row>
    <row r="5866" spans="1:8" x14ac:dyDescent="0.25">
      <c r="A5866" s="1238"/>
      <c r="B5866" s="1251"/>
      <c r="C5866" s="1249"/>
      <c r="D5866" s="1249"/>
      <c r="E5866" s="1254"/>
      <c r="F5866" s="1249"/>
      <c r="G5866" s="1253"/>
      <c r="H5866" s="1240"/>
    </row>
    <row r="5867" spans="1:8" x14ac:dyDescent="0.25">
      <c r="A5867" s="1238"/>
      <c r="B5867" s="1251"/>
      <c r="C5867" s="1254" t="s">
        <v>7044</v>
      </c>
      <c r="D5867" s="1254"/>
      <c r="E5867" s="1254" t="s">
        <v>7044</v>
      </c>
      <c r="F5867" s="1249"/>
      <c r="G5867" s="1253" t="s">
        <v>7044</v>
      </c>
      <c r="H5867" s="1240"/>
    </row>
    <row r="5868" spans="1:8" ht="15.75" thickBot="1" x14ac:dyDescent="0.3">
      <c r="A5868" s="1238"/>
      <c r="B5868" s="1251"/>
      <c r="C5868" s="1254" t="s">
        <v>7044</v>
      </c>
      <c r="D5868" s="1254"/>
      <c r="E5868" s="1254" t="s">
        <v>7044</v>
      </c>
      <c r="F5868" s="1249"/>
      <c r="G5868" s="1253" t="s">
        <v>7044</v>
      </c>
      <c r="H5868" s="1240"/>
    </row>
    <row r="5869" spans="1:8" ht="15.75" thickBot="1" x14ac:dyDescent="0.3">
      <c r="A5869" s="1238"/>
      <c r="B5869" s="1255"/>
      <c r="C5869" s="1256" t="s">
        <v>7044</v>
      </c>
      <c r="D5869" s="1256"/>
      <c r="E5869" s="1256" t="s">
        <v>7044</v>
      </c>
      <c r="F5869" s="1257"/>
      <c r="G5869" s="1258" t="s">
        <v>7044</v>
      </c>
      <c r="H5869" s="1259">
        <f>SUM(G5862:G5869)</f>
        <v>498.15000000000003</v>
      </c>
    </row>
    <row r="5870" spans="1:8" ht="15.75" thickBot="1" x14ac:dyDescent="0.3">
      <c r="A5870" s="1238"/>
      <c r="B5870" s="1260"/>
      <c r="C5870" s="1260"/>
      <c r="D5870" s="1260"/>
      <c r="E5870" s="1260"/>
      <c r="F5870" s="1261"/>
      <c r="G5870" s="1262" t="s">
        <v>7044</v>
      </c>
      <c r="H5870" s="1263"/>
    </row>
    <row r="5871" spans="1:8" ht="15.75" thickBot="1" x14ac:dyDescent="0.3">
      <c r="A5871" s="1293"/>
      <c r="B5871" s="1297" t="s">
        <v>5408</v>
      </c>
      <c r="C5871" s="1298" t="s">
        <v>867</v>
      </c>
      <c r="D5871" s="1298" t="s">
        <v>6</v>
      </c>
      <c r="E5871" s="1298" t="s">
        <v>870</v>
      </c>
      <c r="F5871" s="1298" t="s">
        <v>5409</v>
      </c>
      <c r="G5871" s="1299" t="s">
        <v>868</v>
      </c>
      <c r="H5871" s="1294"/>
    </row>
    <row r="5872" spans="1:8" ht="124.5" customHeight="1" x14ac:dyDescent="0.25">
      <c r="A5872" s="1238"/>
      <c r="B5872" s="1335" t="s">
        <v>8647</v>
      </c>
      <c r="C5872" s="1336" t="s">
        <v>5424</v>
      </c>
      <c r="D5872" s="1337">
        <v>1</v>
      </c>
      <c r="E5872" s="1234">
        <f>+VLOOKUP(B5872,Insumos!$A$2:$C$331,3,FALSE)</f>
        <v>3525375</v>
      </c>
      <c r="F5872" s="677"/>
      <c r="G5872" s="1334">
        <f>D5872*E5872</f>
        <v>3525375</v>
      </c>
      <c r="H5872" s="1240"/>
    </row>
    <row r="5873" spans="1:8" x14ac:dyDescent="0.25">
      <c r="A5873" s="1238"/>
      <c r="B5873" s="1270"/>
      <c r="C5873" s="1264"/>
      <c r="D5873" s="1264"/>
      <c r="E5873" s="1265"/>
      <c r="F5873" s="1266"/>
      <c r="G5873" s="1267"/>
      <c r="H5873" s="1240"/>
    </row>
    <row r="5874" spans="1:8" x14ac:dyDescent="0.25">
      <c r="A5874" s="1238"/>
      <c r="B5874" s="1269"/>
      <c r="C5874" s="1246"/>
      <c r="D5874" s="1249"/>
      <c r="E5874" s="1268"/>
      <c r="F5874" s="1266"/>
      <c r="G5874" s="1267" t="s">
        <v>7044</v>
      </c>
      <c r="H5874" s="1240"/>
    </row>
    <row r="5875" spans="1:8" x14ac:dyDescent="0.25">
      <c r="A5875" s="1238"/>
      <c r="B5875" s="1269"/>
      <c r="C5875" s="1246"/>
      <c r="D5875" s="1249"/>
      <c r="E5875" s="1268"/>
      <c r="F5875" s="1266"/>
      <c r="G5875" s="1267" t="s">
        <v>7044</v>
      </c>
      <c r="H5875" s="1240"/>
    </row>
    <row r="5876" spans="1:8" x14ac:dyDescent="0.25">
      <c r="A5876" s="1238"/>
      <c r="B5876" s="1269"/>
      <c r="C5876" s="1246"/>
      <c r="D5876" s="1249"/>
      <c r="E5876" s="1268"/>
      <c r="F5876" s="1266"/>
      <c r="G5876" s="1267" t="s">
        <v>7044</v>
      </c>
      <c r="H5876" s="1240"/>
    </row>
    <row r="5877" spans="1:8" x14ac:dyDescent="0.25">
      <c r="A5877" s="1238"/>
      <c r="B5877" s="1270"/>
      <c r="C5877" s="1264"/>
      <c r="D5877" s="1264"/>
      <c r="E5877" s="1265"/>
      <c r="F5877" s="1266"/>
      <c r="G5877" s="1267"/>
      <c r="H5877" s="1271"/>
    </row>
    <row r="5878" spans="1:8" x14ac:dyDescent="0.25">
      <c r="A5878" s="1238"/>
      <c r="B5878" s="1251"/>
      <c r="C5878" s="1249" t="s">
        <v>7044</v>
      </c>
      <c r="D5878" s="1249"/>
      <c r="E5878" s="1272" t="s">
        <v>7044</v>
      </c>
      <c r="F5878" s="1266"/>
      <c r="G5878" s="1267" t="s">
        <v>7044</v>
      </c>
      <c r="H5878" s="1240"/>
    </row>
    <row r="5879" spans="1:8" x14ac:dyDescent="0.25">
      <c r="A5879" s="1238"/>
      <c r="B5879" s="1251"/>
      <c r="C5879" s="1249" t="s">
        <v>7044</v>
      </c>
      <c r="D5879" s="1249"/>
      <c r="E5879" s="1272" t="s">
        <v>7044</v>
      </c>
      <c r="F5879" s="1266"/>
      <c r="G5879" s="1267" t="s">
        <v>7044</v>
      </c>
      <c r="H5879" s="1240"/>
    </row>
    <row r="5880" spans="1:8" x14ac:dyDescent="0.25">
      <c r="A5880" s="1238"/>
      <c r="B5880" s="1251"/>
      <c r="C5880" s="1254" t="s">
        <v>7044</v>
      </c>
      <c r="D5880" s="1254"/>
      <c r="E5880" s="1254" t="s">
        <v>7044</v>
      </c>
      <c r="F5880" s="1249"/>
      <c r="G5880" s="1253" t="s">
        <v>7044</v>
      </c>
      <c r="H5880" s="1240"/>
    </row>
    <row r="5881" spans="1:8" x14ac:dyDescent="0.25">
      <c r="A5881" s="1238"/>
      <c r="B5881" s="1251"/>
      <c r="C5881" s="1254" t="s">
        <v>7044</v>
      </c>
      <c r="D5881" s="1254"/>
      <c r="E5881" s="1254" t="s">
        <v>7044</v>
      </c>
      <c r="F5881" s="1249"/>
      <c r="G5881" s="1253" t="s">
        <v>7044</v>
      </c>
      <c r="H5881" s="1240"/>
    </row>
    <row r="5882" spans="1:8" x14ac:dyDescent="0.25">
      <c r="A5882" s="1238"/>
      <c r="B5882" s="1251"/>
      <c r="C5882" s="1254" t="s">
        <v>7044</v>
      </c>
      <c r="D5882" s="1254"/>
      <c r="E5882" s="1254" t="s">
        <v>7044</v>
      </c>
      <c r="F5882" s="1249"/>
      <c r="G5882" s="1253" t="s">
        <v>7044</v>
      </c>
      <c r="H5882" s="1240"/>
    </row>
    <row r="5883" spans="1:8" x14ac:dyDescent="0.25">
      <c r="A5883" s="1238"/>
      <c r="B5883" s="1251"/>
      <c r="C5883" s="1254" t="s">
        <v>7044</v>
      </c>
      <c r="D5883" s="1254"/>
      <c r="E5883" s="1254" t="s">
        <v>7044</v>
      </c>
      <c r="F5883" s="1249"/>
      <c r="G5883" s="1253" t="s">
        <v>7044</v>
      </c>
      <c r="H5883" s="1240"/>
    </row>
    <row r="5884" spans="1:8" ht="15.75" thickBot="1" x14ac:dyDescent="0.3">
      <c r="A5884" s="1238"/>
      <c r="B5884" s="1251"/>
      <c r="C5884" s="1254" t="s">
        <v>7044</v>
      </c>
      <c r="D5884" s="1254"/>
      <c r="E5884" s="1254" t="s">
        <v>7044</v>
      </c>
      <c r="F5884" s="1249"/>
      <c r="G5884" s="1253" t="s">
        <v>7044</v>
      </c>
      <c r="H5884" s="1240"/>
    </row>
    <row r="5885" spans="1:8" ht="15.75" thickBot="1" x14ac:dyDescent="0.3">
      <c r="A5885" s="1238"/>
      <c r="B5885" s="1282"/>
      <c r="C5885" s="1283" t="s">
        <v>7044</v>
      </c>
      <c r="D5885" s="1283"/>
      <c r="E5885" s="1283" t="s">
        <v>7044</v>
      </c>
      <c r="F5885" s="1284"/>
      <c r="G5885" s="1285" t="s">
        <v>7044</v>
      </c>
      <c r="H5885" s="1259">
        <f>SUM(G5872:G5885)</f>
        <v>3525375</v>
      </c>
    </row>
    <row r="5886" spans="1:8" ht="15.75" thickBot="1" x14ac:dyDescent="0.3">
      <c r="A5886" s="1238"/>
      <c r="B5886" s="1260"/>
      <c r="C5886" s="1260"/>
      <c r="D5886" s="1260"/>
      <c r="E5886" s="1260"/>
      <c r="F5886" s="1261"/>
      <c r="G5886" s="1262"/>
      <c r="H5886" s="1263"/>
    </row>
    <row r="5887" spans="1:8" ht="15.75" thickBot="1" x14ac:dyDescent="0.3">
      <c r="A5887" s="1293"/>
      <c r="B5887" s="1297" t="s">
        <v>5410</v>
      </c>
      <c r="C5887" s="1298" t="s">
        <v>867</v>
      </c>
      <c r="D5887" s="1298" t="s">
        <v>6</v>
      </c>
      <c r="E5887" s="1298" t="s">
        <v>870</v>
      </c>
      <c r="F5887" s="1298" t="s">
        <v>5411</v>
      </c>
      <c r="G5887" s="1299" t="s">
        <v>868</v>
      </c>
      <c r="H5887" s="1294"/>
    </row>
    <row r="5888" spans="1:8" x14ac:dyDescent="0.25">
      <c r="A5888" s="1238"/>
      <c r="B5888" s="1273"/>
      <c r="C5888" s="1264"/>
      <c r="D5888" s="1264"/>
      <c r="E5888" s="1274"/>
      <c r="F5888" s="1264"/>
      <c r="G5888" s="1275" t="s">
        <v>7044</v>
      </c>
      <c r="H5888" s="1276"/>
    </row>
    <row r="5889" spans="1:8" x14ac:dyDescent="0.25">
      <c r="A5889" s="1238"/>
      <c r="B5889" s="1269"/>
      <c r="C5889" s="1277" t="s">
        <v>7044</v>
      </c>
      <c r="D5889" s="1277"/>
      <c r="E5889" s="1277" t="s">
        <v>7044</v>
      </c>
      <c r="F5889" s="1264"/>
      <c r="G5889" s="1267" t="s">
        <v>7044</v>
      </c>
      <c r="H5889" s="1240"/>
    </row>
    <row r="5890" spans="1:8" x14ac:dyDescent="0.25">
      <c r="A5890" s="1238"/>
      <c r="B5890" s="1251"/>
      <c r="C5890" s="1254" t="s">
        <v>7044</v>
      </c>
      <c r="D5890" s="1254"/>
      <c r="E5890" s="1254" t="s">
        <v>7044</v>
      </c>
      <c r="F5890" s="1249"/>
      <c r="G5890" s="1253" t="s">
        <v>7044</v>
      </c>
      <c r="H5890" s="1240"/>
    </row>
    <row r="5891" spans="1:8" ht="15.75" thickBot="1" x14ac:dyDescent="0.3">
      <c r="A5891" s="1238"/>
      <c r="B5891" s="1251"/>
      <c r="C5891" s="1254" t="s">
        <v>7044</v>
      </c>
      <c r="D5891" s="1254"/>
      <c r="E5891" s="1254" t="s">
        <v>7044</v>
      </c>
      <c r="F5891" s="1249"/>
      <c r="G5891" s="1253" t="s">
        <v>7044</v>
      </c>
      <c r="H5891" s="1240"/>
    </row>
    <row r="5892" spans="1:8" ht="15.75" thickBot="1" x14ac:dyDescent="0.3">
      <c r="A5892" s="1238"/>
      <c r="B5892" s="1255"/>
      <c r="C5892" s="1256" t="s">
        <v>7044</v>
      </c>
      <c r="D5892" s="1256"/>
      <c r="E5892" s="1256" t="s">
        <v>7044</v>
      </c>
      <c r="F5892" s="1257"/>
      <c r="G5892" s="1258" t="s">
        <v>7044</v>
      </c>
      <c r="H5892" s="1259">
        <f>SUM(G5888:G5892)</f>
        <v>0</v>
      </c>
    </row>
    <row r="5893" spans="1:8" ht="15.75" thickBot="1" x14ac:dyDescent="0.3">
      <c r="A5893" s="1238"/>
      <c r="B5893" s="1260"/>
      <c r="C5893" s="1260"/>
      <c r="D5893" s="1260"/>
      <c r="E5893" s="1260"/>
      <c r="F5893" s="1278"/>
      <c r="G5893" s="1279"/>
      <c r="H5893" s="1263"/>
    </row>
    <row r="5894" spans="1:8" ht="15.75" thickBot="1" x14ac:dyDescent="0.3">
      <c r="A5894" s="1293"/>
      <c r="B5894" s="1297" t="s">
        <v>5412</v>
      </c>
      <c r="C5894" s="1298" t="s">
        <v>5420</v>
      </c>
      <c r="D5894" s="1298" t="s">
        <v>5421</v>
      </c>
      <c r="E5894" s="1298" t="s">
        <v>5413</v>
      </c>
      <c r="F5894" s="1298" t="s">
        <v>5405</v>
      </c>
      <c r="G5894" s="1299" t="s">
        <v>868</v>
      </c>
      <c r="H5894" s="1294"/>
    </row>
    <row r="5895" spans="1:8" x14ac:dyDescent="0.25">
      <c r="A5895" s="1238"/>
      <c r="B5895" s="1339" t="s">
        <v>5635</v>
      </c>
      <c r="C5895" s="1340">
        <f>+VLOOKUP(B5895,'Mano de obra'!$A$5:$D$26,2,FALSE)</f>
        <v>24591</v>
      </c>
      <c r="D5895" s="1340">
        <f>+VLOOKUP(B5895,'Mano de obra'!$A$5:$D$26,3,FALSE)</f>
        <v>15261</v>
      </c>
      <c r="E5895" s="1341">
        <f>+VLOOKUP(B5895,'Mano de obra'!$A$5:$D$26,4,FALSE)</f>
        <v>39852</v>
      </c>
      <c r="F5895" s="1331">
        <v>8</v>
      </c>
      <c r="G5895" s="1332">
        <f>IF(B5895="","",E5895/F5895)</f>
        <v>4981.5</v>
      </c>
      <c r="H5895" s="1240"/>
    </row>
    <row r="5896" spans="1:8" x14ac:dyDescent="0.25">
      <c r="A5896" s="1238"/>
      <c r="B5896" s="764" t="s">
        <v>5635</v>
      </c>
      <c r="C5896" s="782">
        <f>+VLOOKUP(B5896,'Mano de obra'!$A$5:$D$26,2,FALSE)</f>
        <v>24591</v>
      </c>
      <c r="D5896" s="782">
        <f>+VLOOKUP(B5896,'Mano de obra'!$A$5:$D$26,3,FALSE)</f>
        <v>15261</v>
      </c>
      <c r="E5896" s="761">
        <f>+VLOOKUP(B5896,'Mano de obra'!$A$5:$D$26,4,FALSE)</f>
        <v>39852</v>
      </c>
      <c r="F5896" s="1249">
        <v>8</v>
      </c>
      <c r="G5896" s="1275">
        <f>IF(B5896="","",E5896/F5896)</f>
        <v>4981.5</v>
      </c>
      <c r="H5896" s="1240"/>
    </row>
    <row r="5897" spans="1:8" x14ac:dyDescent="0.25">
      <c r="A5897" s="1238"/>
      <c r="B5897" s="1251"/>
      <c r="C5897" s="1254"/>
      <c r="D5897" s="1280"/>
      <c r="E5897" s="1235"/>
      <c r="F5897" s="1249"/>
      <c r="G5897" s="1253" t="s">
        <v>7044</v>
      </c>
      <c r="H5897" s="1240"/>
    </row>
    <row r="5898" spans="1:8" x14ac:dyDescent="0.25">
      <c r="A5898" s="1238"/>
      <c r="B5898" s="1333"/>
      <c r="C5898" s="1254"/>
      <c r="D5898" s="1280"/>
      <c r="E5898" s="1254"/>
      <c r="F5898" s="1249"/>
      <c r="G5898" s="1253"/>
      <c r="H5898" s="1240"/>
    </row>
    <row r="5899" spans="1:8" ht="15.75" thickBot="1" x14ac:dyDescent="0.3">
      <c r="A5899" s="1238"/>
      <c r="B5899" s="1269"/>
      <c r="C5899" s="1254" t="s">
        <v>7044</v>
      </c>
      <c r="D5899" s="1254"/>
      <c r="E5899" s="1254" t="s">
        <v>7044</v>
      </c>
      <c r="F5899" s="1249"/>
      <c r="G5899" s="1253" t="s">
        <v>7044</v>
      </c>
      <c r="H5899" s="1240"/>
    </row>
    <row r="5900" spans="1:8" ht="15.75" thickBot="1" x14ac:dyDescent="0.3">
      <c r="A5900" s="1238"/>
      <c r="B5900" s="1282"/>
      <c r="C5900" s="1283" t="s">
        <v>7044</v>
      </c>
      <c r="D5900" s="1283"/>
      <c r="E5900" s="1283" t="s">
        <v>7044</v>
      </c>
      <c r="F5900" s="1284"/>
      <c r="G5900" s="1285" t="s">
        <v>7044</v>
      </c>
      <c r="H5900" s="1259">
        <f>SUM(G5895:G5900)</f>
        <v>9963</v>
      </c>
    </row>
    <row r="5901" spans="1:8" ht="15.75" thickBot="1" x14ac:dyDescent="0.3">
      <c r="A5901" s="1238"/>
      <c r="B5901" s="1241"/>
      <c r="C5901" s="1241"/>
      <c r="D5901" s="1241"/>
      <c r="E5901" s="1241"/>
      <c r="F5901" s="1238"/>
      <c r="G5901" s="1240"/>
      <c r="H5901" s="1240"/>
    </row>
    <row r="5902" spans="1:8" ht="15.75" thickBot="1" x14ac:dyDescent="0.3">
      <c r="A5902" s="1238"/>
      <c r="B5902" s="1241"/>
      <c r="C5902" s="1241"/>
      <c r="D5902" s="1241"/>
      <c r="E5902" s="1286" t="s">
        <v>5415</v>
      </c>
      <c r="F5902" s="1238"/>
      <c r="G5902" s="1240"/>
      <c r="H5902" s="1259">
        <f>ROUND(H5869+H5885+H5892+H5900,0)</f>
        <v>3535836</v>
      </c>
    </row>
    <row r="5903" spans="1:8" x14ac:dyDescent="0.25">
      <c r="A5903" s="1236"/>
      <c r="B5903" s="1236"/>
      <c r="C5903" s="1236"/>
      <c r="D5903" s="1236"/>
      <c r="E5903" s="1236"/>
      <c r="F5903" s="1236"/>
      <c r="G5903" s="1237"/>
      <c r="H5903" s="1236"/>
    </row>
    <row r="5904" spans="1:8" x14ac:dyDescent="0.25">
      <c r="A5904" s="1236"/>
      <c r="B5904" s="1236"/>
      <c r="C5904" s="1287"/>
      <c r="D5904" s="1236"/>
      <c r="E5904" s="1287"/>
      <c r="F5904" s="1236"/>
      <c r="G5904" s="1237"/>
      <c r="H5904" s="1236"/>
    </row>
    <row r="5905" spans="1:8" ht="91.5" customHeight="1" x14ac:dyDescent="0.25">
      <c r="A5905" s="1295" t="s">
        <v>3</v>
      </c>
      <c r="B5905" s="1390" t="e">
        <f>+VLOOKUP(C5905,ListaAPUs!$B:$E,4,FALSE)</f>
        <v>#VALUE!</v>
      </c>
      <c r="C5905" s="2448" t="str">
        <f>+ListaAPUs!B173</f>
        <v xml:space="preserve">Container en acero sin costura para almacenar y transportar cloro gaseoso, con capcaidad hasta 2200 lbs (1000 kg), incluye: tubos eductores, válvulas, capuchón protector, marcados con el nombre del propietario, construido bajo normas amerericanas DOF -500X, vación y puesto en obra </v>
      </c>
      <c r="D5905" s="2448"/>
      <c r="E5905" s="2448"/>
      <c r="F5905" s="1295" t="s">
        <v>867</v>
      </c>
      <c r="G5905" s="1296" t="s">
        <v>5424</v>
      </c>
      <c r="H5905" s="1294"/>
    </row>
    <row r="5906" spans="1:8" x14ac:dyDescent="0.25">
      <c r="A5906" s="1238"/>
      <c r="B5906" s="1241"/>
      <c r="C5906" s="1242"/>
      <c r="D5906" s="1242"/>
      <c r="E5906" s="1242"/>
      <c r="F5906" s="1238"/>
      <c r="G5906" s="1240"/>
      <c r="H5906" s="1240"/>
    </row>
    <row r="5907" spans="1:8" x14ac:dyDescent="0.25">
      <c r="A5907" s="1238"/>
      <c r="B5907" s="1241"/>
      <c r="C5907" s="1241"/>
      <c r="D5907" s="1241"/>
      <c r="E5907" s="1241"/>
      <c r="F5907" s="1241"/>
      <c r="G5907" s="1241"/>
      <c r="H5907" s="1240"/>
    </row>
    <row r="5908" spans="1:8" ht="15.75" thickBot="1" x14ac:dyDescent="0.3">
      <c r="A5908" s="1238"/>
      <c r="B5908" s="1241"/>
      <c r="C5908" s="1241"/>
      <c r="D5908" s="1241"/>
      <c r="E5908" s="1241"/>
      <c r="F5908" s="1238"/>
      <c r="G5908" s="1240"/>
      <c r="H5908" s="1240"/>
    </row>
    <row r="5909" spans="1:8" ht="15.75" thickBot="1" x14ac:dyDescent="0.3">
      <c r="A5909" s="1293"/>
      <c r="B5909" s="1297" t="s">
        <v>5403</v>
      </c>
      <c r="C5909" s="1298" t="s">
        <v>867</v>
      </c>
      <c r="D5909" s="1298" t="s">
        <v>6</v>
      </c>
      <c r="E5909" s="1298" t="s">
        <v>5439</v>
      </c>
      <c r="F5909" s="1298" t="s">
        <v>5405</v>
      </c>
      <c r="G5909" s="1299" t="s">
        <v>868</v>
      </c>
      <c r="H5909" s="1294"/>
    </row>
    <row r="5910" spans="1:8" x14ac:dyDescent="0.25">
      <c r="A5910" s="1238"/>
      <c r="B5910" s="1140" t="s">
        <v>5440</v>
      </c>
      <c r="C5910" s="1246" t="s">
        <v>7042</v>
      </c>
      <c r="D5910" s="1247">
        <v>1</v>
      </c>
      <c r="E5910" s="1248">
        <f>H5948</f>
        <v>243111</v>
      </c>
      <c r="F5910" s="1249">
        <v>0.02</v>
      </c>
      <c r="G5910" s="1250">
        <f>D5910*E5910*F5910</f>
        <v>4862.22</v>
      </c>
      <c r="H5910" s="1240"/>
    </row>
    <row r="5911" spans="1:8" x14ac:dyDescent="0.25">
      <c r="A5911" s="1238"/>
      <c r="B5911" s="1288"/>
      <c r="C5911" s="226"/>
      <c r="D5911" s="232"/>
      <c r="E5911" s="1289"/>
      <c r="F5911" s="232"/>
      <c r="G5911" s="156"/>
      <c r="H5911" s="1240"/>
    </row>
    <row r="5912" spans="1:8" x14ac:dyDescent="0.25">
      <c r="A5912" s="1238"/>
      <c r="B5912" s="1251"/>
      <c r="C5912" s="1249"/>
      <c r="D5912" s="1249"/>
      <c r="E5912" s="1248"/>
      <c r="F5912" s="1249"/>
      <c r="G5912" s="1253"/>
      <c r="H5912" s="1240"/>
    </row>
    <row r="5913" spans="1:8" x14ac:dyDescent="0.25">
      <c r="A5913" s="1238"/>
      <c r="B5913" s="1251"/>
      <c r="C5913" s="1249"/>
      <c r="D5913" s="1249"/>
      <c r="E5913" s="1248"/>
      <c r="F5913" s="1249"/>
      <c r="G5913" s="1253"/>
      <c r="H5913" s="1240"/>
    </row>
    <row r="5914" spans="1:8" x14ac:dyDescent="0.25">
      <c r="A5914" s="1238"/>
      <c r="B5914" s="1251"/>
      <c r="C5914" s="1249"/>
      <c r="D5914" s="1249"/>
      <c r="E5914" s="1254"/>
      <c r="F5914" s="1249"/>
      <c r="G5914" s="1253"/>
      <c r="H5914" s="1240"/>
    </row>
    <row r="5915" spans="1:8" x14ac:dyDescent="0.25">
      <c r="A5915" s="1238"/>
      <c r="B5915" s="1251"/>
      <c r="C5915" s="1254" t="s">
        <v>7044</v>
      </c>
      <c r="D5915" s="1254"/>
      <c r="E5915" s="1254" t="s">
        <v>7044</v>
      </c>
      <c r="F5915" s="1249"/>
      <c r="G5915" s="1253" t="s">
        <v>7044</v>
      </c>
      <c r="H5915" s="1240"/>
    </row>
    <row r="5916" spans="1:8" ht="15.75" thickBot="1" x14ac:dyDescent="0.3">
      <c r="A5916" s="1238"/>
      <c r="B5916" s="1251"/>
      <c r="C5916" s="1254" t="s">
        <v>7044</v>
      </c>
      <c r="D5916" s="1254"/>
      <c r="E5916" s="1254" t="s">
        <v>7044</v>
      </c>
      <c r="F5916" s="1249"/>
      <c r="G5916" s="1253" t="s">
        <v>7044</v>
      </c>
      <c r="H5916" s="1240"/>
    </row>
    <row r="5917" spans="1:8" ht="15.75" thickBot="1" x14ac:dyDescent="0.3">
      <c r="A5917" s="1238"/>
      <c r="B5917" s="1255"/>
      <c r="C5917" s="1256" t="s">
        <v>7044</v>
      </c>
      <c r="D5917" s="1256"/>
      <c r="E5917" s="1256" t="s">
        <v>7044</v>
      </c>
      <c r="F5917" s="1257"/>
      <c r="G5917" s="1258" t="s">
        <v>7044</v>
      </c>
      <c r="H5917" s="1259">
        <f>SUM(G5910:G5917)</f>
        <v>4862.22</v>
      </c>
    </row>
    <row r="5918" spans="1:8" ht="15.75" thickBot="1" x14ac:dyDescent="0.3">
      <c r="A5918" s="1238"/>
      <c r="B5918" s="1260"/>
      <c r="C5918" s="1260"/>
      <c r="D5918" s="1260"/>
      <c r="E5918" s="1260"/>
      <c r="F5918" s="1261"/>
      <c r="G5918" s="1262" t="s">
        <v>7044</v>
      </c>
      <c r="H5918" s="1263"/>
    </row>
    <row r="5919" spans="1:8" ht="15.75" thickBot="1" x14ac:dyDescent="0.3">
      <c r="A5919" s="1293"/>
      <c r="B5919" s="1297" t="s">
        <v>5408</v>
      </c>
      <c r="C5919" s="1298" t="s">
        <v>867</v>
      </c>
      <c r="D5919" s="1298" t="s">
        <v>6</v>
      </c>
      <c r="E5919" s="1298" t="s">
        <v>870</v>
      </c>
      <c r="F5919" s="1298" t="s">
        <v>5409</v>
      </c>
      <c r="G5919" s="1299" t="s">
        <v>868</v>
      </c>
      <c r="H5919" s="1294"/>
    </row>
    <row r="5920" spans="1:8" ht="30" x14ac:dyDescent="0.25">
      <c r="A5920" s="1238"/>
      <c r="B5920" s="1335" t="s">
        <v>8648</v>
      </c>
      <c r="C5920" s="202" t="s">
        <v>5424</v>
      </c>
      <c r="D5920" s="202">
        <v>1</v>
      </c>
      <c r="E5920" s="1234">
        <f>+VLOOKUP(B5920,Insumos!$A$2:$C$331,3,FALSE)</f>
        <v>27667500</v>
      </c>
      <c r="F5920" s="169"/>
      <c r="G5920" s="172">
        <f>D5920*E5920</f>
        <v>27667500</v>
      </c>
      <c r="H5920" s="1240"/>
    </row>
    <row r="5921" spans="1:8" x14ac:dyDescent="0.25">
      <c r="A5921" s="1238"/>
      <c r="B5921" s="1270"/>
      <c r="C5921" s="1264"/>
      <c r="D5921" s="1264"/>
      <c r="E5921" s="1265"/>
      <c r="F5921" s="1266"/>
      <c r="G5921" s="1267"/>
      <c r="H5921" s="1240"/>
    </row>
    <row r="5922" spans="1:8" x14ac:dyDescent="0.25">
      <c r="A5922" s="1238"/>
      <c r="B5922" s="1270"/>
      <c r="C5922" s="1246"/>
      <c r="D5922" s="1249"/>
      <c r="E5922" s="1268"/>
      <c r="F5922" s="1266"/>
      <c r="G5922" s="1267" t="s">
        <v>7044</v>
      </c>
      <c r="H5922" s="1240"/>
    </row>
    <row r="5923" spans="1:8" x14ac:dyDescent="0.25">
      <c r="A5923" s="1238"/>
      <c r="B5923" s="1269"/>
      <c r="C5923" s="1246"/>
      <c r="D5923" s="1249"/>
      <c r="E5923" s="1268"/>
      <c r="F5923" s="1266"/>
      <c r="G5923" s="1267" t="s">
        <v>7044</v>
      </c>
      <c r="H5923" s="1240"/>
    </row>
    <row r="5924" spans="1:8" x14ac:dyDescent="0.25">
      <c r="A5924" s="1238"/>
      <c r="B5924" s="1269"/>
      <c r="C5924" s="1246"/>
      <c r="D5924" s="1249"/>
      <c r="E5924" s="1268"/>
      <c r="F5924" s="1266"/>
      <c r="G5924" s="1267" t="s">
        <v>7044</v>
      </c>
      <c r="H5924" s="1240"/>
    </row>
    <row r="5925" spans="1:8" x14ac:dyDescent="0.25">
      <c r="A5925" s="1238"/>
      <c r="B5925" s="1270"/>
      <c r="C5925" s="1264"/>
      <c r="D5925" s="1264"/>
      <c r="E5925" s="1265"/>
      <c r="F5925" s="1266"/>
      <c r="G5925" s="1267"/>
      <c r="H5925" s="1271"/>
    </row>
    <row r="5926" spans="1:8" x14ac:dyDescent="0.25">
      <c r="A5926" s="1238"/>
      <c r="B5926" s="1251"/>
      <c r="C5926" s="1249" t="s">
        <v>7044</v>
      </c>
      <c r="D5926" s="1249"/>
      <c r="E5926" s="1272" t="s">
        <v>7044</v>
      </c>
      <c r="F5926" s="1266"/>
      <c r="G5926" s="1267" t="s">
        <v>7044</v>
      </c>
      <c r="H5926" s="1240"/>
    </row>
    <row r="5927" spans="1:8" x14ac:dyDescent="0.25">
      <c r="A5927" s="1238"/>
      <c r="B5927" s="1251"/>
      <c r="C5927" s="1249" t="s">
        <v>7044</v>
      </c>
      <c r="D5927" s="1249"/>
      <c r="E5927" s="1272" t="s">
        <v>7044</v>
      </c>
      <c r="F5927" s="1266"/>
      <c r="G5927" s="1267" t="s">
        <v>7044</v>
      </c>
      <c r="H5927" s="1240"/>
    </row>
    <row r="5928" spans="1:8" x14ac:dyDescent="0.25">
      <c r="A5928" s="1238"/>
      <c r="B5928" s="1251"/>
      <c r="C5928" s="1254" t="s">
        <v>7044</v>
      </c>
      <c r="D5928" s="1254"/>
      <c r="E5928" s="1254" t="s">
        <v>7044</v>
      </c>
      <c r="F5928" s="1249"/>
      <c r="G5928" s="1253" t="s">
        <v>7044</v>
      </c>
      <c r="H5928" s="1240"/>
    </row>
    <row r="5929" spans="1:8" x14ac:dyDescent="0.25">
      <c r="A5929" s="1238"/>
      <c r="B5929" s="1251"/>
      <c r="C5929" s="1254" t="s">
        <v>7044</v>
      </c>
      <c r="D5929" s="1254"/>
      <c r="E5929" s="1254" t="s">
        <v>7044</v>
      </c>
      <c r="F5929" s="1249"/>
      <c r="G5929" s="1253" t="s">
        <v>7044</v>
      </c>
      <c r="H5929" s="1240"/>
    </row>
    <row r="5930" spans="1:8" x14ac:dyDescent="0.25">
      <c r="A5930" s="1238"/>
      <c r="B5930" s="1251"/>
      <c r="C5930" s="1254" t="s">
        <v>7044</v>
      </c>
      <c r="D5930" s="1254"/>
      <c r="E5930" s="1254" t="s">
        <v>7044</v>
      </c>
      <c r="F5930" s="1249"/>
      <c r="G5930" s="1253" t="s">
        <v>7044</v>
      </c>
      <c r="H5930" s="1240"/>
    </row>
    <row r="5931" spans="1:8" x14ac:dyDescent="0.25">
      <c r="A5931" s="1238"/>
      <c r="B5931" s="1251"/>
      <c r="C5931" s="1254" t="s">
        <v>7044</v>
      </c>
      <c r="D5931" s="1254"/>
      <c r="E5931" s="1254" t="s">
        <v>7044</v>
      </c>
      <c r="F5931" s="1249"/>
      <c r="G5931" s="1253" t="s">
        <v>7044</v>
      </c>
      <c r="H5931" s="1240"/>
    </row>
    <row r="5932" spans="1:8" ht="15.75" thickBot="1" x14ac:dyDescent="0.3">
      <c r="A5932" s="1238"/>
      <c r="B5932" s="1251"/>
      <c r="C5932" s="1254" t="s">
        <v>7044</v>
      </c>
      <c r="D5932" s="1254"/>
      <c r="E5932" s="1254" t="s">
        <v>7044</v>
      </c>
      <c r="F5932" s="1249"/>
      <c r="G5932" s="1253" t="s">
        <v>7044</v>
      </c>
      <c r="H5932" s="1240"/>
    </row>
    <row r="5933" spans="1:8" ht="15.75" thickBot="1" x14ac:dyDescent="0.3">
      <c r="A5933" s="1238"/>
      <c r="B5933" s="1255"/>
      <c r="C5933" s="1256" t="s">
        <v>7044</v>
      </c>
      <c r="D5933" s="1256"/>
      <c r="E5933" s="1256" t="s">
        <v>7044</v>
      </c>
      <c r="F5933" s="1257"/>
      <c r="G5933" s="1258" t="s">
        <v>7044</v>
      </c>
      <c r="H5933" s="1259">
        <f>SUM(G5920:G5933)</f>
        <v>27667500</v>
      </c>
    </row>
    <row r="5934" spans="1:8" ht="15.75" thickBot="1" x14ac:dyDescent="0.3">
      <c r="A5934" s="1238"/>
      <c r="B5934" s="1260"/>
      <c r="C5934" s="1260"/>
      <c r="D5934" s="1260"/>
      <c r="E5934" s="1260"/>
      <c r="F5934" s="1261"/>
      <c r="G5934" s="1262"/>
      <c r="H5934" s="1263"/>
    </row>
    <row r="5935" spans="1:8" ht="15.75" thickBot="1" x14ac:dyDescent="0.3">
      <c r="A5935" s="1293"/>
      <c r="B5935" s="1297" t="s">
        <v>5410</v>
      </c>
      <c r="C5935" s="1298" t="s">
        <v>867</v>
      </c>
      <c r="D5935" s="1298" t="s">
        <v>6</v>
      </c>
      <c r="E5935" s="1298" t="s">
        <v>870</v>
      </c>
      <c r="F5935" s="1298" t="s">
        <v>5411</v>
      </c>
      <c r="G5935" s="1299" t="s">
        <v>868</v>
      </c>
      <c r="H5935" s="1294"/>
    </row>
    <row r="5936" spans="1:8" x14ac:dyDescent="0.25">
      <c r="A5936" s="1238"/>
      <c r="B5936" s="1273" t="s">
        <v>5410</v>
      </c>
      <c r="C5936" s="1264" t="s">
        <v>37</v>
      </c>
      <c r="D5936" s="1264">
        <v>1</v>
      </c>
      <c r="E5936" s="1274">
        <v>1383375</v>
      </c>
      <c r="F5936" s="1264"/>
      <c r="G5936" s="1275">
        <f>D5936*E5936</f>
        <v>1383375</v>
      </c>
      <c r="H5936" s="1276"/>
    </row>
    <row r="5937" spans="1:8" x14ac:dyDescent="0.25">
      <c r="A5937" s="1238"/>
      <c r="B5937" s="1269"/>
      <c r="C5937" s="1277" t="s">
        <v>7044</v>
      </c>
      <c r="D5937" s="1277"/>
      <c r="E5937" s="1277" t="s">
        <v>7044</v>
      </c>
      <c r="F5937" s="1264"/>
      <c r="G5937" s="1267" t="s">
        <v>7044</v>
      </c>
      <c r="H5937" s="1240"/>
    </row>
    <row r="5938" spans="1:8" x14ac:dyDescent="0.25">
      <c r="A5938" s="1238"/>
      <c r="B5938" s="1251"/>
      <c r="C5938" s="1254" t="s">
        <v>7044</v>
      </c>
      <c r="D5938" s="1254"/>
      <c r="E5938" s="1254" t="s">
        <v>7044</v>
      </c>
      <c r="F5938" s="1249"/>
      <c r="G5938" s="1253" t="s">
        <v>7044</v>
      </c>
      <c r="H5938" s="1240"/>
    </row>
    <row r="5939" spans="1:8" ht="15.75" thickBot="1" x14ac:dyDescent="0.3">
      <c r="A5939" s="1238"/>
      <c r="B5939" s="1251"/>
      <c r="C5939" s="1254" t="s">
        <v>7044</v>
      </c>
      <c r="D5939" s="1254"/>
      <c r="E5939" s="1254" t="s">
        <v>7044</v>
      </c>
      <c r="F5939" s="1249"/>
      <c r="G5939" s="1253" t="s">
        <v>7044</v>
      </c>
      <c r="H5939" s="1240"/>
    </row>
    <row r="5940" spans="1:8" ht="15.75" thickBot="1" x14ac:dyDescent="0.3">
      <c r="A5940" s="1238"/>
      <c r="B5940" s="1255"/>
      <c r="C5940" s="1256" t="s">
        <v>7044</v>
      </c>
      <c r="D5940" s="1256"/>
      <c r="E5940" s="1256" t="s">
        <v>7044</v>
      </c>
      <c r="F5940" s="1257"/>
      <c r="G5940" s="1258" t="s">
        <v>7044</v>
      </c>
      <c r="H5940" s="1259">
        <f>SUM(G5936:G5940)</f>
        <v>1383375</v>
      </c>
    </row>
    <row r="5941" spans="1:8" ht="15.75" thickBot="1" x14ac:dyDescent="0.3">
      <c r="A5941" s="1238"/>
      <c r="B5941" s="1260"/>
      <c r="C5941" s="1260"/>
      <c r="D5941" s="1260"/>
      <c r="E5941" s="1260"/>
      <c r="F5941" s="1278"/>
      <c r="G5941" s="1279"/>
      <c r="H5941" s="1263"/>
    </row>
    <row r="5942" spans="1:8" ht="15.75" thickBot="1" x14ac:dyDescent="0.3">
      <c r="A5942" s="1293"/>
      <c r="B5942" s="1297" t="s">
        <v>5412</v>
      </c>
      <c r="C5942" s="1298" t="s">
        <v>5420</v>
      </c>
      <c r="D5942" s="1298" t="s">
        <v>5421</v>
      </c>
      <c r="E5942" s="1298" t="s">
        <v>5413</v>
      </c>
      <c r="F5942" s="1298" t="s">
        <v>5405</v>
      </c>
      <c r="G5942" s="1299" t="s">
        <v>868</v>
      </c>
      <c r="H5942" s="1294"/>
    </row>
    <row r="5943" spans="1:8" x14ac:dyDescent="0.25">
      <c r="A5943" s="1238"/>
      <c r="B5943" s="1328" t="s">
        <v>8299</v>
      </c>
      <c r="C5943" s="1329">
        <v>300000</v>
      </c>
      <c r="D5943" s="1329">
        <v>146370</v>
      </c>
      <c r="E5943" s="1330">
        <v>446370</v>
      </c>
      <c r="F5943" s="1331">
        <v>2</v>
      </c>
      <c r="G5943" s="1332">
        <f>IF(B5943="","",E5943/F5943)</f>
        <v>223185</v>
      </c>
      <c r="H5943" s="1240"/>
    </row>
    <row r="5944" spans="1:8" x14ac:dyDescent="0.25">
      <c r="A5944" s="1238"/>
      <c r="B5944" s="764" t="s">
        <v>5635</v>
      </c>
      <c r="C5944" s="782">
        <f>+VLOOKUP(B5944,'Mano de obra'!$A$5:$D$26,2,FALSE)</f>
        <v>24591</v>
      </c>
      <c r="D5944" s="782">
        <f>+VLOOKUP(B5944,'Mano de obra'!$A$5:$D$26,3,FALSE)</f>
        <v>15261</v>
      </c>
      <c r="E5944" s="761">
        <f>+VLOOKUP(B5944,'Mano de obra'!$A$5:$D$26,4,FALSE)</f>
        <v>39852</v>
      </c>
      <c r="F5944" s="1249">
        <v>2</v>
      </c>
      <c r="G5944" s="1275">
        <f>IF(B5944="","",E5944/F5944)</f>
        <v>19926</v>
      </c>
      <c r="H5944" s="1240"/>
    </row>
    <row r="5945" spans="1:8" x14ac:dyDescent="0.25">
      <c r="A5945" s="1238"/>
      <c r="B5945" s="1251"/>
      <c r="C5945" s="1254"/>
      <c r="D5945" s="1280"/>
      <c r="E5945" s="1235"/>
      <c r="F5945" s="1249"/>
      <c r="G5945" s="1253" t="s">
        <v>7044</v>
      </c>
      <c r="H5945" s="1240"/>
    </row>
    <row r="5946" spans="1:8" x14ac:dyDescent="0.25">
      <c r="A5946" s="1238"/>
      <c r="B5946" s="1333"/>
      <c r="C5946" s="1254"/>
      <c r="D5946" s="1280"/>
      <c r="E5946" s="1254"/>
      <c r="F5946" s="1249"/>
      <c r="G5946" s="1253"/>
      <c r="H5946" s="1240"/>
    </row>
    <row r="5947" spans="1:8" ht="15.75" thickBot="1" x14ac:dyDescent="0.3">
      <c r="A5947" s="1238"/>
      <c r="B5947" s="1269"/>
      <c r="C5947" s="1254" t="s">
        <v>7044</v>
      </c>
      <c r="D5947" s="1254"/>
      <c r="E5947" s="1254" t="s">
        <v>7044</v>
      </c>
      <c r="F5947" s="1249"/>
      <c r="G5947" s="1253" t="s">
        <v>7044</v>
      </c>
      <c r="H5947" s="1240"/>
    </row>
    <row r="5948" spans="1:8" ht="15.75" thickBot="1" x14ac:dyDescent="0.3">
      <c r="A5948" s="1238"/>
      <c r="B5948" s="1282"/>
      <c r="C5948" s="1283" t="s">
        <v>7044</v>
      </c>
      <c r="D5948" s="1283"/>
      <c r="E5948" s="1283" t="s">
        <v>7044</v>
      </c>
      <c r="F5948" s="1284"/>
      <c r="G5948" s="1285" t="s">
        <v>7044</v>
      </c>
      <c r="H5948" s="1259">
        <f>SUM(G5943:G5948)</f>
        <v>243111</v>
      </c>
    </row>
    <row r="5949" spans="1:8" ht="15.75" thickBot="1" x14ac:dyDescent="0.3">
      <c r="A5949" s="1238"/>
      <c r="B5949" s="1241"/>
      <c r="C5949" s="1241"/>
      <c r="D5949" s="1241"/>
      <c r="E5949" s="1241"/>
      <c r="F5949" s="1238"/>
      <c r="G5949" s="1240"/>
      <c r="H5949" s="1240"/>
    </row>
    <row r="5950" spans="1:8" ht="15.75" thickBot="1" x14ac:dyDescent="0.3">
      <c r="A5950" s="1238"/>
      <c r="B5950" s="1241"/>
      <c r="C5950" s="1241"/>
      <c r="D5950" s="1241"/>
      <c r="E5950" s="1286" t="s">
        <v>5415</v>
      </c>
      <c r="F5950" s="1238"/>
      <c r="G5950" s="1240"/>
      <c r="H5950" s="1259">
        <f>ROUND(H5917+H5933+H5940+H5948,0)</f>
        <v>29298848</v>
      </c>
    </row>
    <row r="5951" spans="1:8" x14ac:dyDescent="0.25">
      <c r="A5951" s="1236"/>
      <c r="B5951" s="1236"/>
      <c r="C5951" s="1236"/>
      <c r="D5951" s="1236"/>
      <c r="E5951" s="1236"/>
      <c r="F5951" s="1236"/>
      <c r="G5951" s="1237"/>
      <c r="H5951" s="1236"/>
    </row>
    <row r="5952" spans="1:8" x14ac:dyDescent="0.25">
      <c r="A5952" s="1236"/>
      <c r="B5952" s="1236"/>
      <c r="C5952" s="1287"/>
      <c r="D5952" s="1236"/>
      <c r="E5952" s="1287"/>
      <c r="F5952" s="1236"/>
      <c r="G5952" s="1237"/>
      <c r="H5952" s="1236"/>
    </row>
    <row r="5953" spans="1:8" x14ac:dyDescent="0.25">
      <c r="A5953" s="1295" t="s">
        <v>3</v>
      </c>
      <c r="B5953" s="1390" t="str">
        <f>+VLOOKUP(C5953,ListaAPUs!$B:$E,4,FALSE)</f>
        <v>7.1.17</v>
      </c>
      <c r="C5953" s="2448" t="str">
        <f>+ListaAPUs!B174</f>
        <v xml:space="preserve">Llenado con cloro gaseoso en contenedores de 1000 kg. Puesto en obra </v>
      </c>
      <c r="D5953" s="2448"/>
      <c r="E5953" s="2448"/>
      <c r="F5953" s="1295" t="s">
        <v>867</v>
      </c>
      <c r="G5953" s="1296" t="s">
        <v>5424</v>
      </c>
      <c r="H5953" s="1240"/>
    </row>
    <row r="5954" spans="1:8" x14ac:dyDescent="0.25">
      <c r="A5954" s="1238"/>
      <c r="B5954" s="1241"/>
      <c r="C5954" s="1242"/>
      <c r="D5954" s="1242"/>
      <c r="E5954" s="1242"/>
      <c r="F5954" s="1238"/>
      <c r="G5954" s="1240"/>
      <c r="H5954" s="1240"/>
    </row>
    <row r="5955" spans="1:8" x14ac:dyDescent="0.25">
      <c r="A5955" s="1238"/>
      <c r="B5955" s="1241"/>
      <c r="C5955" s="1241"/>
      <c r="D5955" s="1241"/>
      <c r="E5955" s="1241"/>
      <c r="F5955" s="1241"/>
      <c r="G5955" s="1241"/>
      <c r="H5955" s="1240"/>
    </row>
    <row r="5956" spans="1:8" ht="15.75" thickBot="1" x14ac:dyDescent="0.3">
      <c r="A5956" s="1238"/>
      <c r="B5956" s="1241"/>
      <c r="C5956" s="1241"/>
      <c r="D5956" s="1241"/>
      <c r="E5956" s="1241"/>
      <c r="F5956" s="1238"/>
      <c r="G5956" s="1240"/>
      <c r="H5956" s="1240"/>
    </row>
    <row r="5957" spans="1:8" ht="15.75" thickBot="1" x14ac:dyDescent="0.3">
      <c r="A5957" s="1293"/>
      <c r="B5957" s="1297" t="s">
        <v>5403</v>
      </c>
      <c r="C5957" s="1298" t="s">
        <v>867</v>
      </c>
      <c r="D5957" s="1298" t="s">
        <v>6</v>
      </c>
      <c r="E5957" s="1298" t="s">
        <v>5439</v>
      </c>
      <c r="F5957" s="1298" t="s">
        <v>5405</v>
      </c>
      <c r="G5957" s="1299" t="s">
        <v>868</v>
      </c>
      <c r="H5957" s="1294"/>
    </row>
    <row r="5958" spans="1:8" x14ac:dyDescent="0.25">
      <c r="A5958" s="1238"/>
      <c r="B5958" s="1140" t="s">
        <v>5440</v>
      </c>
      <c r="C5958" s="1246" t="s">
        <v>7042</v>
      </c>
      <c r="D5958" s="1247">
        <v>1</v>
      </c>
      <c r="E5958" s="1248">
        <v>48622.2</v>
      </c>
      <c r="F5958" s="1249">
        <v>0.01</v>
      </c>
      <c r="G5958" s="1250">
        <f>D5958*E5958*F5958</f>
        <v>486.22199999999998</v>
      </c>
      <c r="H5958" s="1240"/>
    </row>
    <row r="5959" spans="1:8" x14ac:dyDescent="0.25">
      <c r="A5959" s="1238"/>
      <c r="B5959" s="1288"/>
      <c r="C5959" s="226"/>
      <c r="D5959" s="232"/>
      <c r="E5959" s="1289"/>
      <c r="F5959" s="232"/>
      <c r="G5959" s="156"/>
      <c r="H5959" s="1240"/>
    </row>
    <row r="5960" spans="1:8" x14ac:dyDescent="0.25">
      <c r="A5960" s="1238"/>
      <c r="B5960" s="1251"/>
      <c r="C5960" s="1249"/>
      <c r="D5960" s="1249"/>
      <c r="E5960" s="1248"/>
      <c r="F5960" s="1249"/>
      <c r="G5960" s="1253"/>
      <c r="H5960" s="1240"/>
    </row>
    <row r="5961" spans="1:8" x14ac:dyDescent="0.25">
      <c r="A5961" s="1238"/>
      <c r="B5961" s="1251"/>
      <c r="C5961" s="1249"/>
      <c r="D5961" s="1249"/>
      <c r="E5961" s="1248"/>
      <c r="F5961" s="1249"/>
      <c r="G5961" s="1253"/>
      <c r="H5961" s="1240"/>
    </row>
    <row r="5962" spans="1:8" x14ac:dyDescent="0.25">
      <c r="A5962" s="1238"/>
      <c r="B5962" s="1251"/>
      <c r="C5962" s="1249"/>
      <c r="D5962" s="1249"/>
      <c r="E5962" s="1254"/>
      <c r="F5962" s="1249"/>
      <c r="G5962" s="1253"/>
      <c r="H5962" s="1240"/>
    </row>
    <row r="5963" spans="1:8" x14ac:dyDescent="0.25">
      <c r="A5963" s="1238"/>
      <c r="B5963" s="1251"/>
      <c r="C5963" s="1254" t="s">
        <v>7044</v>
      </c>
      <c r="D5963" s="1254"/>
      <c r="E5963" s="1254" t="s">
        <v>7044</v>
      </c>
      <c r="F5963" s="1249"/>
      <c r="G5963" s="1253" t="s">
        <v>7044</v>
      </c>
      <c r="H5963" s="1240"/>
    </row>
    <row r="5964" spans="1:8" ht="15.75" thickBot="1" x14ac:dyDescent="0.3">
      <c r="A5964" s="1238"/>
      <c r="B5964" s="1251"/>
      <c r="C5964" s="1254" t="s">
        <v>7044</v>
      </c>
      <c r="D5964" s="1254"/>
      <c r="E5964" s="1254" t="s">
        <v>7044</v>
      </c>
      <c r="F5964" s="1249"/>
      <c r="G5964" s="1253" t="s">
        <v>7044</v>
      </c>
      <c r="H5964" s="1240"/>
    </row>
    <row r="5965" spans="1:8" ht="15.75" thickBot="1" x14ac:dyDescent="0.3">
      <c r="A5965" s="1238"/>
      <c r="B5965" s="1255"/>
      <c r="C5965" s="1256" t="s">
        <v>7044</v>
      </c>
      <c r="D5965" s="1256"/>
      <c r="E5965" s="1256" t="s">
        <v>7044</v>
      </c>
      <c r="F5965" s="1257"/>
      <c r="G5965" s="1258" t="s">
        <v>7044</v>
      </c>
      <c r="H5965" s="1259">
        <f>SUM(G5958:G5965)</f>
        <v>486.22199999999998</v>
      </c>
    </row>
    <row r="5966" spans="1:8" ht="15.75" thickBot="1" x14ac:dyDescent="0.3">
      <c r="A5966" s="1238"/>
      <c r="B5966" s="1260"/>
      <c r="C5966" s="1260"/>
      <c r="D5966" s="1260"/>
      <c r="E5966" s="1260"/>
      <c r="F5966" s="1261"/>
      <c r="G5966" s="1262" t="s">
        <v>7044</v>
      </c>
      <c r="H5966" s="1263"/>
    </row>
    <row r="5967" spans="1:8" ht="15.75" thickBot="1" x14ac:dyDescent="0.3">
      <c r="A5967" s="1293"/>
      <c r="B5967" s="1297" t="s">
        <v>5408</v>
      </c>
      <c r="C5967" s="1298" t="s">
        <v>867</v>
      </c>
      <c r="D5967" s="1298" t="s">
        <v>6</v>
      </c>
      <c r="E5967" s="1298" t="s">
        <v>870</v>
      </c>
      <c r="F5967" s="1298" t="s">
        <v>5409</v>
      </c>
      <c r="G5967" s="1299" t="s">
        <v>868</v>
      </c>
      <c r="H5967" s="1294"/>
    </row>
    <row r="5968" spans="1:8" x14ac:dyDescent="0.25">
      <c r="A5968" s="1238"/>
      <c r="B5968" s="1475" t="s">
        <v>8649</v>
      </c>
      <c r="C5968" s="202" t="s">
        <v>5424</v>
      </c>
      <c r="D5968" s="202">
        <v>1</v>
      </c>
      <c r="E5968" s="1234">
        <f>+VLOOKUP(B5968,Insumos!$A$2:$C$331,3,FALSE)</f>
        <v>6571180</v>
      </c>
      <c r="F5968" s="169"/>
      <c r="G5968" s="172">
        <f>D5968*E5968</f>
        <v>6571180</v>
      </c>
      <c r="H5968" s="1240"/>
    </row>
    <row r="5969" spans="1:8" x14ac:dyDescent="0.25">
      <c r="A5969" s="1238"/>
      <c r="B5969" s="1301"/>
      <c r="C5969" s="1264"/>
      <c r="D5969" s="1264"/>
      <c r="E5969" s="1265"/>
      <c r="F5969" s="1266"/>
      <c r="G5969" s="1267"/>
      <c r="H5969" s="1240"/>
    </row>
    <row r="5970" spans="1:8" x14ac:dyDescent="0.25">
      <c r="A5970" s="1238"/>
      <c r="B5970" s="1301"/>
      <c r="C5970" s="1246"/>
      <c r="D5970" s="1249"/>
      <c r="E5970" s="1268"/>
      <c r="F5970" s="1266"/>
      <c r="G5970" s="1267" t="s">
        <v>7044</v>
      </c>
      <c r="H5970" s="1240"/>
    </row>
    <row r="5971" spans="1:8" x14ac:dyDescent="0.25">
      <c r="A5971" s="1238"/>
      <c r="B5971" s="1301"/>
      <c r="C5971" s="1246"/>
      <c r="D5971" s="1249"/>
      <c r="E5971" s="1268"/>
      <c r="F5971" s="1266"/>
      <c r="G5971" s="1267" t="s">
        <v>7044</v>
      </c>
      <c r="H5971" s="1240"/>
    </row>
    <row r="5972" spans="1:8" x14ac:dyDescent="0.25">
      <c r="A5972" s="1238"/>
      <c r="B5972" s="1301"/>
      <c r="C5972" s="1246"/>
      <c r="D5972" s="1249"/>
      <c r="E5972" s="1268"/>
      <c r="F5972" s="1266"/>
      <c r="G5972" s="1267" t="s">
        <v>7044</v>
      </c>
      <c r="H5972" s="1240"/>
    </row>
    <row r="5973" spans="1:8" x14ac:dyDescent="0.25">
      <c r="A5973" s="1238"/>
      <c r="B5973" s="1301"/>
      <c r="C5973" s="1264"/>
      <c r="D5973" s="1264"/>
      <c r="E5973" s="1265"/>
      <c r="F5973" s="1266"/>
      <c r="G5973" s="1267"/>
      <c r="H5973" s="1271"/>
    </row>
    <row r="5974" spans="1:8" x14ac:dyDescent="0.25">
      <c r="A5974" s="1238"/>
      <c r="B5974" s="1301"/>
      <c r="C5974" s="1249" t="s">
        <v>7044</v>
      </c>
      <c r="D5974" s="1249"/>
      <c r="E5974" s="1272" t="s">
        <v>7044</v>
      </c>
      <c r="F5974" s="1266"/>
      <c r="G5974" s="1267" t="s">
        <v>7044</v>
      </c>
      <c r="H5974" s="1240"/>
    </row>
    <row r="5975" spans="1:8" x14ac:dyDescent="0.25">
      <c r="A5975" s="1238"/>
      <c r="B5975" s="1301"/>
      <c r="C5975" s="1249" t="s">
        <v>7044</v>
      </c>
      <c r="D5975" s="1249"/>
      <c r="E5975" s="1272" t="s">
        <v>7044</v>
      </c>
      <c r="F5975" s="1266"/>
      <c r="G5975" s="1267" t="s">
        <v>7044</v>
      </c>
      <c r="H5975" s="1240"/>
    </row>
    <row r="5976" spans="1:8" x14ac:dyDescent="0.25">
      <c r="A5976" s="1238"/>
      <c r="B5976" s="1251"/>
      <c r="C5976" s="1254" t="s">
        <v>7044</v>
      </c>
      <c r="D5976" s="1254"/>
      <c r="E5976" s="1254" t="s">
        <v>7044</v>
      </c>
      <c r="F5976" s="1249"/>
      <c r="G5976" s="1253" t="s">
        <v>7044</v>
      </c>
      <c r="H5976" s="1240"/>
    </row>
    <row r="5977" spans="1:8" x14ac:dyDescent="0.25">
      <c r="A5977" s="1238"/>
      <c r="B5977" s="1251"/>
      <c r="C5977" s="1254" t="s">
        <v>7044</v>
      </c>
      <c r="D5977" s="1254"/>
      <c r="E5977" s="1254" t="s">
        <v>7044</v>
      </c>
      <c r="F5977" s="1249"/>
      <c r="G5977" s="1253" t="s">
        <v>7044</v>
      </c>
      <c r="H5977" s="1240"/>
    </row>
    <row r="5978" spans="1:8" x14ac:dyDescent="0.25">
      <c r="A5978" s="1238"/>
      <c r="B5978" s="1251"/>
      <c r="C5978" s="1254" t="s">
        <v>7044</v>
      </c>
      <c r="D5978" s="1254"/>
      <c r="E5978" s="1254" t="s">
        <v>7044</v>
      </c>
      <c r="F5978" s="1249"/>
      <c r="G5978" s="1253" t="s">
        <v>7044</v>
      </c>
      <c r="H5978" s="1240"/>
    </row>
    <row r="5979" spans="1:8" x14ac:dyDescent="0.25">
      <c r="A5979" s="1238"/>
      <c r="B5979" s="1251"/>
      <c r="C5979" s="1254" t="s">
        <v>7044</v>
      </c>
      <c r="D5979" s="1254"/>
      <c r="E5979" s="1254" t="s">
        <v>7044</v>
      </c>
      <c r="F5979" s="1249"/>
      <c r="G5979" s="1253" t="s">
        <v>7044</v>
      </c>
      <c r="H5979" s="1240"/>
    </row>
    <row r="5980" spans="1:8" ht="15.75" thickBot="1" x14ac:dyDescent="0.3">
      <c r="A5980" s="1238"/>
      <c r="B5980" s="1251"/>
      <c r="C5980" s="1254" t="s">
        <v>7044</v>
      </c>
      <c r="D5980" s="1254"/>
      <c r="E5980" s="1254" t="s">
        <v>7044</v>
      </c>
      <c r="F5980" s="1249"/>
      <c r="G5980" s="1253" t="s">
        <v>7044</v>
      </c>
      <c r="H5980" s="1240"/>
    </row>
    <row r="5981" spans="1:8" ht="15.75" thickBot="1" x14ac:dyDescent="0.3">
      <c r="A5981" s="1238"/>
      <c r="B5981" s="1255"/>
      <c r="C5981" s="1256" t="s">
        <v>7044</v>
      </c>
      <c r="D5981" s="1256"/>
      <c r="E5981" s="1256" t="s">
        <v>7044</v>
      </c>
      <c r="F5981" s="1257"/>
      <c r="G5981" s="1258" t="s">
        <v>7044</v>
      </c>
      <c r="H5981" s="1259">
        <f>SUM(G5968:G5981)</f>
        <v>6571180</v>
      </c>
    </row>
    <row r="5982" spans="1:8" ht="15.75" thickBot="1" x14ac:dyDescent="0.3">
      <c r="A5982" s="1238"/>
      <c r="B5982" s="1260"/>
      <c r="C5982" s="1260"/>
      <c r="D5982" s="1260"/>
      <c r="E5982" s="1260"/>
      <c r="F5982" s="1261"/>
      <c r="G5982" s="1262"/>
      <c r="H5982" s="1263"/>
    </row>
    <row r="5983" spans="1:8" ht="15.75" thickBot="1" x14ac:dyDescent="0.3">
      <c r="A5983" s="1293"/>
      <c r="B5983" s="1297" t="s">
        <v>5410</v>
      </c>
      <c r="C5983" s="1298" t="s">
        <v>867</v>
      </c>
      <c r="D5983" s="1298" t="s">
        <v>6</v>
      </c>
      <c r="E5983" s="1298" t="s">
        <v>870</v>
      </c>
      <c r="F5983" s="1298" t="s">
        <v>5411</v>
      </c>
      <c r="G5983" s="1299" t="s">
        <v>868</v>
      </c>
      <c r="H5983" s="1294"/>
    </row>
    <row r="5984" spans="1:8" x14ac:dyDescent="0.25">
      <c r="A5984" s="1238"/>
      <c r="B5984" s="1273" t="s">
        <v>5410</v>
      </c>
      <c r="C5984" s="1264" t="s">
        <v>5424</v>
      </c>
      <c r="D5984" s="1264">
        <v>1</v>
      </c>
      <c r="E5984" s="1274">
        <v>530000</v>
      </c>
      <c r="F5984" s="1264"/>
      <c r="G5984" s="1275">
        <f>D5984*E5984</f>
        <v>530000</v>
      </c>
      <c r="H5984" s="1276"/>
    </row>
    <row r="5985" spans="1:8" x14ac:dyDescent="0.25">
      <c r="A5985" s="1238"/>
      <c r="B5985" s="1269"/>
      <c r="C5985" s="1277" t="s">
        <v>7044</v>
      </c>
      <c r="D5985" s="1277"/>
      <c r="E5985" s="1277" t="s">
        <v>7044</v>
      </c>
      <c r="F5985" s="1264"/>
      <c r="G5985" s="1267" t="s">
        <v>7044</v>
      </c>
      <c r="H5985" s="1240"/>
    </row>
    <row r="5986" spans="1:8" x14ac:dyDescent="0.25">
      <c r="A5986" s="1238"/>
      <c r="B5986" s="1251"/>
      <c r="C5986" s="1254" t="s">
        <v>7044</v>
      </c>
      <c r="D5986" s="1254"/>
      <c r="E5986" s="1254" t="s">
        <v>7044</v>
      </c>
      <c r="F5986" s="1249"/>
      <c r="G5986" s="1253" t="s">
        <v>7044</v>
      </c>
      <c r="H5986" s="1240"/>
    </row>
    <row r="5987" spans="1:8" ht="15.75" thickBot="1" x14ac:dyDescent="0.3">
      <c r="A5987" s="1238"/>
      <c r="B5987" s="1251"/>
      <c r="C5987" s="1254" t="s">
        <v>7044</v>
      </c>
      <c r="D5987" s="1254"/>
      <c r="E5987" s="1254" t="s">
        <v>7044</v>
      </c>
      <c r="F5987" s="1249"/>
      <c r="G5987" s="1253" t="s">
        <v>7044</v>
      </c>
      <c r="H5987" s="1240"/>
    </row>
    <row r="5988" spans="1:8" ht="15.75" thickBot="1" x14ac:dyDescent="0.3">
      <c r="A5988" s="1238"/>
      <c r="B5988" s="1255"/>
      <c r="C5988" s="1256" t="s">
        <v>7044</v>
      </c>
      <c r="D5988" s="1256"/>
      <c r="E5988" s="1256" t="s">
        <v>7044</v>
      </c>
      <c r="F5988" s="1257"/>
      <c r="G5988" s="1258" t="s">
        <v>7044</v>
      </c>
      <c r="H5988" s="1259">
        <f>SUM(G5984:G5988)</f>
        <v>530000</v>
      </c>
    </row>
    <row r="5989" spans="1:8" ht="15.75" thickBot="1" x14ac:dyDescent="0.3">
      <c r="A5989" s="1238"/>
      <c r="B5989" s="1260"/>
      <c r="C5989" s="1260"/>
      <c r="D5989" s="1260"/>
      <c r="E5989" s="1260"/>
      <c r="F5989" s="1278"/>
      <c r="G5989" s="1279"/>
      <c r="H5989" s="1263"/>
    </row>
    <row r="5990" spans="1:8" ht="15.75" thickBot="1" x14ac:dyDescent="0.3">
      <c r="A5990" s="1293"/>
      <c r="B5990" s="1297" t="s">
        <v>5412</v>
      </c>
      <c r="C5990" s="1298" t="s">
        <v>5420</v>
      </c>
      <c r="D5990" s="1298" t="s">
        <v>5421</v>
      </c>
      <c r="E5990" s="1298" t="s">
        <v>5413</v>
      </c>
      <c r="F5990" s="1298" t="s">
        <v>5405</v>
      </c>
      <c r="G5990" s="1299" t="s">
        <v>868</v>
      </c>
      <c r="H5990" s="1294"/>
    </row>
    <row r="5991" spans="1:8" x14ac:dyDescent="0.25">
      <c r="A5991" s="1238"/>
      <c r="B5991" s="1328" t="s">
        <v>8299</v>
      </c>
      <c r="C5991" s="1329">
        <v>300000</v>
      </c>
      <c r="D5991" s="1329">
        <v>146370</v>
      </c>
      <c r="E5991" s="1330">
        <v>446370</v>
      </c>
      <c r="F5991" s="1331">
        <v>10</v>
      </c>
      <c r="G5991" s="1332">
        <f>IF(B5991="","",E5991/F5991)</f>
        <v>44637</v>
      </c>
      <c r="H5991" s="1240"/>
    </row>
    <row r="5992" spans="1:8" x14ac:dyDescent="0.25">
      <c r="A5992" s="1238"/>
      <c r="B5992" s="764" t="s">
        <v>5635</v>
      </c>
      <c r="C5992" s="782">
        <f>+VLOOKUP(B5992,'Mano de obra'!$A$5:$D$26,2,FALSE)</f>
        <v>24591</v>
      </c>
      <c r="D5992" s="782">
        <f>+VLOOKUP(B5992,'Mano de obra'!$A$5:$D$26,3,FALSE)</f>
        <v>15261</v>
      </c>
      <c r="E5992" s="761">
        <f>+VLOOKUP(B5992,'Mano de obra'!$A$5:$D$26,4,FALSE)</f>
        <v>39852</v>
      </c>
      <c r="F5992" s="1249">
        <v>10</v>
      </c>
      <c r="G5992" s="1275">
        <f>IF(B5992="","",E5992/F5992)</f>
        <v>3985.2</v>
      </c>
      <c r="H5992" s="1240"/>
    </row>
    <row r="5993" spans="1:8" x14ac:dyDescent="0.25">
      <c r="A5993" s="1238"/>
      <c r="B5993" s="1251"/>
      <c r="C5993" s="1254"/>
      <c r="D5993" s="1280"/>
      <c r="E5993" s="1235"/>
      <c r="F5993" s="1249"/>
      <c r="G5993" s="1253" t="s">
        <v>7044</v>
      </c>
      <c r="H5993" s="1240"/>
    </row>
    <row r="5994" spans="1:8" x14ac:dyDescent="0.25">
      <c r="A5994" s="1238"/>
      <c r="B5994" s="1333"/>
      <c r="C5994" s="1254"/>
      <c r="D5994" s="1280"/>
      <c r="E5994" s="1254"/>
      <c r="F5994" s="1249"/>
      <c r="G5994" s="1253"/>
      <c r="H5994" s="1240"/>
    </row>
    <row r="5995" spans="1:8" ht="15.75" thickBot="1" x14ac:dyDescent="0.3">
      <c r="A5995" s="1238"/>
      <c r="B5995" s="1269"/>
      <c r="C5995" s="1254" t="s">
        <v>7044</v>
      </c>
      <c r="D5995" s="1254"/>
      <c r="E5995" s="1254" t="s">
        <v>7044</v>
      </c>
      <c r="F5995" s="1249"/>
      <c r="G5995" s="1253" t="s">
        <v>7044</v>
      </c>
      <c r="H5995" s="1240"/>
    </row>
    <row r="5996" spans="1:8" ht="15.75" thickBot="1" x14ac:dyDescent="0.3">
      <c r="A5996" s="1238"/>
      <c r="B5996" s="1282"/>
      <c r="C5996" s="1283" t="s">
        <v>7044</v>
      </c>
      <c r="D5996" s="1283"/>
      <c r="E5996" s="1283" t="s">
        <v>7044</v>
      </c>
      <c r="F5996" s="1284"/>
      <c r="G5996" s="1285" t="s">
        <v>7044</v>
      </c>
      <c r="H5996" s="1259">
        <f>SUM(G5991:G5996)</f>
        <v>48622.2</v>
      </c>
    </row>
    <row r="5997" spans="1:8" ht="15.75" thickBot="1" x14ac:dyDescent="0.3">
      <c r="A5997" s="1238"/>
      <c r="B5997" s="1241"/>
      <c r="C5997" s="1241"/>
      <c r="D5997" s="1241"/>
      <c r="E5997" s="1241"/>
      <c r="F5997" s="1238"/>
      <c r="G5997" s="1240"/>
      <c r="H5997" s="1240"/>
    </row>
    <row r="5998" spans="1:8" ht="15.75" thickBot="1" x14ac:dyDescent="0.3">
      <c r="A5998" s="1238"/>
      <c r="B5998" s="1241"/>
      <c r="C5998" s="1241"/>
      <c r="D5998" s="1241"/>
      <c r="E5998" s="1286" t="s">
        <v>5415</v>
      </c>
      <c r="F5998" s="1238"/>
      <c r="G5998" s="1240"/>
      <c r="H5998" s="1259">
        <f>ROUND(H5965+H5981+H5988+H5996,0)</f>
        <v>7150288</v>
      </c>
    </row>
    <row r="5999" spans="1:8" x14ac:dyDescent="0.25">
      <c r="A5999" s="1236"/>
      <c r="B5999" s="1236"/>
      <c r="C5999" s="1236"/>
      <c r="D5999" s="1236"/>
      <c r="E5999" s="1236"/>
      <c r="F5999" s="1236"/>
      <c r="G5999" s="1237"/>
      <c r="H5999" s="1236"/>
    </row>
    <row r="6000" spans="1:8" x14ac:dyDescent="0.25">
      <c r="A6000" s="1236"/>
      <c r="B6000" s="1236"/>
      <c r="C6000" s="1287"/>
      <c r="D6000" s="1236"/>
      <c r="E6000" s="1287"/>
      <c r="F6000" s="1236"/>
      <c r="G6000" s="1237"/>
      <c r="H6000" s="1236"/>
    </row>
    <row r="6001" spans="1:8" ht="44.25" customHeight="1" x14ac:dyDescent="0.25">
      <c r="A6001" s="1295" t="s">
        <v>3</v>
      </c>
      <c r="B6001" s="1390" t="str">
        <f>+VLOOKUP(C6001,ListaAPUs!$B:$E,4,FALSE)</f>
        <v>7.1.18</v>
      </c>
      <c r="C6001" s="2448" t="str">
        <f>+ListaAPUs!B175</f>
        <v>Báscula para pesar un (1) contenedor de cloro de tonelada, marca SCALETRON, modelo 3001 o similar, con capacidad hasta 2000 Kg, diseñada para el manejo de contenedores de cloro de 1000 kg.</v>
      </c>
      <c r="D6001" s="2448"/>
      <c r="E6001" s="2448"/>
      <c r="F6001" s="1295" t="s">
        <v>867</v>
      </c>
      <c r="G6001" s="1296" t="s">
        <v>5424</v>
      </c>
      <c r="H6001" s="1294"/>
    </row>
    <row r="6002" spans="1:8" x14ac:dyDescent="0.25">
      <c r="A6002" s="1238"/>
      <c r="B6002" s="1241"/>
      <c r="C6002" s="1242"/>
      <c r="D6002" s="1242"/>
      <c r="E6002" s="1242"/>
      <c r="F6002" s="1238"/>
      <c r="G6002" s="1240"/>
      <c r="H6002" s="1240"/>
    </row>
    <row r="6003" spans="1:8" x14ac:dyDescent="0.25">
      <c r="A6003" s="1238"/>
      <c r="B6003" s="1241"/>
      <c r="C6003" s="1241"/>
      <c r="D6003" s="1241"/>
      <c r="E6003" s="1241"/>
      <c r="F6003" s="1241"/>
      <c r="G6003" s="1241"/>
      <c r="H6003" s="1240"/>
    </row>
    <row r="6004" spans="1:8" ht="15.75" thickBot="1" x14ac:dyDescent="0.3">
      <c r="A6004" s="1238"/>
      <c r="B6004" s="1241"/>
      <c r="C6004" s="1241"/>
      <c r="D6004" s="1241"/>
      <c r="E6004" s="1241"/>
      <c r="F6004" s="1238"/>
      <c r="G6004" s="1240"/>
      <c r="H6004" s="1240"/>
    </row>
    <row r="6005" spans="1:8" ht="15.75" thickBot="1" x14ac:dyDescent="0.3">
      <c r="A6005" s="1293"/>
      <c r="B6005" s="1297" t="s">
        <v>5403</v>
      </c>
      <c r="C6005" s="1298" t="s">
        <v>867</v>
      </c>
      <c r="D6005" s="1298" t="s">
        <v>6</v>
      </c>
      <c r="E6005" s="1298" t="s">
        <v>5439</v>
      </c>
      <c r="F6005" s="1298" t="s">
        <v>5405</v>
      </c>
      <c r="G6005" s="1299" t="s">
        <v>868</v>
      </c>
      <c r="H6005" s="1294"/>
    </row>
    <row r="6006" spans="1:8" x14ac:dyDescent="0.25">
      <c r="A6006" s="1238"/>
      <c r="B6006" s="1140" t="s">
        <v>5440</v>
      </c>
      <c r="C6006" s="1246" t="s">
        <v>7042</v>
      </c>
      <c r="D6006" s="1247">
        <v>1</v>
      </c>
      <c r="E6006" s="1248">
        <f>H6044</f>
        <v>162074</v>
      </c>
      <c r="F6006" s="1249">
        <v>0.01</v>
      </c>
      <c r="G6006" s="1250">
        <f>D6006*E6006*F6006</f>
        <v>1620.74</v>
      </c>
      <c r="H6006" s="1240"/>
    </row>
    <row r="6007" spans="1:8" x14ac:dyDescent="0.25">
      <c r="A6007" s="1238"/>
      <c r="B6007" s="1288"/>
      <c r="C6007" s="226"/>
      <c r="D6007" s="232"/>
      <c r="E6007" s="1289"/>
      <c r="F6007" s="232"/>
      <c r="G6007" s="156"/>
      <c r="H6007" s="1240"/>
    </row>
    <row r="6008" spans="1:8" x14ac:dyDescent="0.25">
      <c r="A6008" s="1238"/>
      <c r="B6008" s="1251"/>
      <c r="C6008" s="1249"/>
      <c r="D6008" s="1249"/>
      <c r="E6008" s="1248"/>
      <c r="F6008" s="1249"/>
      <c r="G6008" s="1253"/>
      <c r="H6008" s="1240"/>
    </row>
    <row r="6009" spans="1:8" x14ac:dyDescent="0.25">
      <c r="A6009" s="1238"/>
      <c r="B6009" s="1251"/>
      <c r="C6009" s="1249"/>
      <c r="D6009" s="1249"/>
      <c r="E6009" s="1248"/>
      <c r="F6009" s="1249"/>
      <c r="G6009" s="1253"/>
      <c r="H6009" s="1240"/>
    </row>
    <row r="6010" spans="1:8" x14ac:dyDescent="0.25">
      <c r="A6010" s="1238"/>
      <c r="B6010" s="1251"/>
      <c r="C6010" s="1249"/>
      <c r="D6010" s="1249"/>
      <c r="E6010" s="1254"/>
      <c r="F6010" s="1249"/>
      <c r="G6010" s="1253"/>
      <c r="H6010" s="1240"/>
    </row>
    <row r="6011" spans="1:8" x14ac:dyDescent="0.25">
      <c r="A6011" s="1238"/>
      <c r="B6011" s="1251"/>
      <c r="C6011" s="1254" t="s">
        <v>7044</v>
      </c>
      <c r="D6011" s="1254"/>
      <c r="E6011" s="1254" t="s">
        <v>7044</v>
      </c>
      <c r="F6011" s="1249"/>
      <c r="G6011" s="1253" t="s">
        <v>7044</v>
      </c>
      <c r="H6011" s="1240"/>
    </row>
    <row r="6012" spans="1:8" ht="15.75" thickBot="1" x14ac:dyDescent="0.3">
      <c r="A6012" s="1238"/>
      <c r="B6012" s="1251"/>
      <c r="C6012" s="1254" t="s">
        <v>7044</v>
      </c>
      <c r="D6012" s="1254"/>
      <c r="E6012" s="1254" t="s">
        <v>7044</v>
      </c>
      <c r="F6012" s="1249"/>
      <c r="G6012" s="1253" t="s">
        <v>7044</v>
      </c>
      <c r="H6012" s="1240"/>
    </row>
    <row r="6013" spans="1:8" ht="15.75" thickBot="1" x14ac:dyDescent="0.3">
      <c r="A6013" s="1238"/>
      <c r="B6013" s="1255"/>
      <c r="C6013" s="1256" t="s">
        <v>7044</v>
      </c>
      <c r="D6013" s="1256"/>
      <c r="E6013" s="1256" t="s">
        <v>7044</v>
      </c>
      <c r="F6013" s="1257"/>
      <c r="G6013" s="1258" t="s">
        <v>7044</v>
      </c>
      <c r="H6013" s="1259">
        <v>1620.74</v>
      </c>
    </row>
    <row r="6014" spans="1:8" ht="15.75" thickBot="1" x14ac:dyDescent="0.3">
      <c r="A6014" s="1238"/>
      <c r="B6014" s="1260"/>
      <c r="C6014" s="1260"/>
      <c r="D6014" s="1260"/>
      <c r="E6014" s="1260"/>
      <c r="F6014" s="1261"/>
      <c r="G6014" s="1262" t="s">
        <v>7044</v>
      </c>
      <c r="H6014" s="1263"/>
    </row>
    <row r="6015" spans="1:8" ht="15.75" thickBot="1" x14ac:dyDescent="0.3">
      <c r="A6015" s="1293"/>
      <c r="B6015" s="1297" t="s">
        <v>5408</v>
      </c>
      <c r="C6015" s="1298" t="s">
        <v>867</v>
      </c>
      <c r="D6015" s="1298" t="s">
        <v>6</v>
      </c>
      <c r="E6015" s="1298" t="s">
        <v>870</v>
      </c>
      <c r="F6015" s="1298" t="s">
        <v>5409</v>
      </c>
      <c r="G6015" s="1299" t="s">
        <v>868</v>
      </c>
      <c r="H6015" s="1294"/>
    </row>
    <row r="6016" spans="1:8" ht="120" x14ac:dyDescent="0.25">
      <c r="A6016" s="1238"/>
      <c r="B6016" s="1335" t="s">
        <v>8650</v>
      </c>
      <c r="C6016" s="202" t="s">
        <v>5424</v>
      </c>
      <c r="D6016" s="202">
        <v>1</v>
      </c>
      <c r="E6016" s="1234">
        <f>+VLOOKUP(B6016,Insumos!$A$2:$C$331,3,FALSE)</f>
        <v>37699200</v>
      </c>
      <c r="F6016" s="169"/>
      <c r="G6016" s="172">
        <f>D6016*E6016</f>
        <v>37699200</v>
      </c>
      <c r="H6016" s="1240"/>
    </row>
    <row r="6017" spans="1:8" x14ac:dyDescent="0.25">
      <c r="A6017" s="1238"/>
      <c r="B6017" s="1290"/>
      <c r="C6017" s="1264"/>
      <c r="D6017" s="1264"/>
      <c r="E6017" s="1265"/>
      <c r="F6017" s="1266"/>
      <c r="G6017" s="1267"/>
      <c r="H6017" s="1240"/>
    </row>
    <row r="6018" spans="1:8" x14ac:dyDescent="0.25">
      <c r="A6018" s="1238"/>
      <c r="B6018" s="1269"/>
      <c r="C6018" s="1246"/>
      <c r="D6018" s="1249"/>
      <c r="E6018" s="1268"/>
      <c r="F6018" s="1266"/>
      <c r="G6018" s="1267" t="s">
        <v>7044</v>
      </c>
      <c r="H6018" s="1240"/>
    </row>
    <row r="6019" spans="1:8" x14ac:dyDescent="0.25">
      <c r="A6019" s="1238"/>
      <c r="B6019" s="1269"/>
      <c r="C6019" s="1246"/>
      <c r="D6019" s="1249"/>
      <c r="E6019" s="1268"/>
      <c r="F6019" s="1266"/>
      <c r="G6019" s="1267" t="s">
        <v>7044</v>
      </c>
      <c r="H6019" s="1240"/>
    </row>
    <row r="6020" spans="1:8" x14ac:dyDescent="0.25">
      <c r="A6020" s="1238"/>
      <c r="B6020" s="1269"/>
      <c r="C6020" s="1246"/>
      <c r="D6020" s="1249"/>
      <c r="E6020" s="1268"/>
      <c r="F6020" s="1266"/>
      <c r="G6020" s="1267" t="s">
        <v>7044</v>
      </c>
      <c r="H6020" s="1240"/>
    </row>
    <row r="6021" spans="1:8" x14ac:dyDescent="0.25">
      <c r="A6021" s="1238"/>
      <c r="B6021" s="1270"/>
      <c r="C6021" s="1264"/>
      <c r="D6021" s="1264"/>
      <c r="E6021" s="1265"/>
      <c r="F6021" s="1266"/>
      <c r="G6021" s="1267"/>
      <c r="H6021" s="1271"/>
    </row>
    <row r="6022" spans="1:8" x14ac:dyDescent="0.25">
      <c r="A6022" s="1238"/>
      <c r="B6022" s="1251"/>
      <c r="C6022" s="1249" t="s">
        <v>7044</v>
      </c>
      <c r="D6022" s="1249"/>
      <c r="E6022" s="1272" t="s">
        <v>7044</v>
      </c>
      <c r="F6022" s="1266"/>
      <c r="G6022" s="1267" t="s">
        <v>7044</v>
      </c>
      <c r="H6022" s="1240"/>
    </row>
    <row r="6023" spans="1:8" x14ac:dyDescent="0.25">
      <c r="A6023" s="1238"/>
      <c r="B6023" s="1251"/>
      <c r="C6023" s="1249" t="s">
        <v>7044</v>
      </c>
      <c r="D6023" s="1249"/>
      <c r="E6023" s="1272" t="s">
        <v>7044</v>
      </c>
      <c r="F6023" s="1266"/>
      <c r="G6023" s="1267" t="s">
        <v>7044</v>
      </c>
      <c r="H6023" s="1240"/>
    </row>
    <row r="6024" spans="1:8" x14ac:dyDescent="0.25">
      <c r="A6024" s="1238"/>
      <c r="B6024" s="1251"/>
      <c r="C6024" s="1254" t="s">
        <v>7044</v>
      </c>
      <c r="D6024" s="1254"/>
      <c r="E6024" s="1254" t="s">
        <v>7044</v>
      </c>
      <c r="F6024" s="1249"/>
      <c r="G6024" s="1253" t="s">
        <v>7044</v>
      </c>
      <c r="H6024" s="1240"/>
    </row>
    <row r="6025" spans="1:8" x14ac:dyDescent="0.25">
      <c r="A6025" s="1238"/>
      <c r="B6025" s="1251"/>
      <c r="C6025" s="1254" t="s">
        <v>7044</v>
      </c>
      <c r="D6025" s="1254"/>
      <c r="E6025" s="1254" t="s">
        <v>7044</v>
      </c>
      <c r="F6025" s="1249"/>
      <c r="G6025" s="1253" t="s">
        <v>7044</v>
      </c>
      <c r="H6025" s="1240"/>
    </row>
    <row r="6026" spans="1:8" x14ac:dyDescent="0.25">
      <c r="A6026" s="1238"/>
      <c r="B6026" s="1251"/>
      <c r="C6026" s="1254" t="s">
        <v>7044</v>
      </c>
      <c r="D6026" s="1254"/>
      <c r="E6026" s="1254" t="s">
        <v>7044</v>
      </c>
      <c r="F6026" s="1249"/>
      <c r="G6026" s="1253" t="s">
        <v>7044</v>
      </c>
      <c r="H6026" s="1240"/>
    </row>
    <row r="6027" spans="1:8" x14ac:dyDescent="0.25">
      <c r="A6027" s="1238"/>
      <c r="B6027" s="1251"/>
      <c r="C6027" s="1254" t="s">
        <v>7044</v>
      </c>
      <c r="D6027" s="1254"/>
      <c r="E6027" s="1254" t="s">
        <v>7044</v>
      </c>
      <c r="F6027" s="1249"/>
      <c r="G6027" s="1253" t="s">
        <v>7044</v>
      </c>
      <c r="H6027" s="1240"/>
    </row>
    <row r="6028" spans="1:8" ht="15.75" thickBot="1" x14ac:dyDescent="0.3">
      <c r="A6028" s="1238"/>
      <c r="B6028" s="1251"/>
      <c r="C6028" s="1254" t="s">
        <v>7044</v>
      </c>
      <c r="D6028" s="1254"/>
      <c r="E6028" s="1254" t="s">
        <v>7044</v>
      </c>
      <c r="F6028" s="1249"/>
      <c r="G6028" s="1253" t="s">
        <v>7044</v>
      </c>
      <c r="H6028" s="1240"/>
    </row>
    <row r="6029" spans="1:8" ht="15.75" thickBot="1" x14ac:dyDescent="0.3">
      <c r="A6029" s="1238"/>
      <c r="B6029" s="1255"/>
      <c r="C6029" s="1256" t="s">
        <v>7044</v>
      </c>
      <c r="D6029" s="1256"/>
      <c r="E6029" s="1256" t="s">
        <v>7044</v>
      </c>
      <c r="F6029" s="1257"/>
      <c r="G6029" s="1258" t="s">
        <v>7044</v>
      </c>
      <c r="H6029" s="1259">
        <f>SUM(G6016:G6029)</f>
        <v>37699200</v>
      </c>
    </row>
    <row r="6030" spans="1:8" ht="15.75" thickBot="1" x14ac:dyDescent="0.3">
      <c r="A6030" s="1238"/>
      <c r="B6030" s="1260"/>
      <c r="C6030" s="1260"/>
      <c r="D6030" s="1260"/>
      <c r="E6030" s="1260"/>
      <c r="F6030" s="1261"/>
      <c r="G6030" s="1262"/>
      <c r="H6030" s="1263"/>
    </row>
    <row r="6031" spans="1:8" ht="23.25" customHeight="1" thickBot="1" x14ac:dyDescent="0.3">
      <c r="A6031" s="1293"/>
      <c r="B6031" s="1298" t="s">
        <v>5410</v>
      </c>
      <c r="C6031" s="1298" t="s">
        <v>867</v>
      </c>
      <c r="D6031" s="1298" t="s">
        <v>6</v>
      </c>
      <c r="E6031" s="1298" t="s">
        <v>870</v>
      </c>
      <c r="F6031" s="1298" t="s">
        <v>5411</v>
      </c>
      <c r="G6031" s="1299" t="s">
        <v>868</v>
      </c>
      <c r="H6031" s="1294"/>
    </row>
    <row r="6032" spans="1:8" x14ac:dyDescent="0.25">
      <c r="A6032" s="1238"/>
      <c r="B6032" s="1273" t="s">
        <v>5410</v>
      </c>
      <c r="C6032" s="1264" t="s">
        <v>5424</v>
      </c>
      <c r="D6032" s="1264">
        <v>1</v>
      </c>
      <c r="E6032" s="1274">
        <v>1884960</v>
      </c>
      <c r="F6032" s="1264"/>
      <c r="G6032" s="1275">
        <f>D6032*E6032</f>
        <v>1884960</v>
      </c>
      <c r="H6032" s="1276"/>
    </row>
    <row r="6033" spans="1:8" x14ac:dyDescent="0.25">
      <c r="A6033" s="1238"/>
      <c r="B6033" s="1269"/>
      <c r="C6033" s="1277" t="s">
        <v>7044</v>
      </c>
      <c r="D6033" s="1277"/>
      <c r="E6033" s="1277" t="s">
        <v>7044</v>
      </c>
      <c r="F6033" s="1264"/>
      <c r="G6033" s="1267" t="s">
        <v>7044</v>
      </c>
      <c r="H6033" s="1240"/>
    </row>
    <row r="6034" spans="1:8" x14ac:dyDescent="0.25">
      <c r="A6034" s="1238"/>
      <c r="B6034" s="1251"/>
      <c r="C6034" s="1254" t="s">
        <v>7044</v>
      </c>
      <c r="D6034" s="1254"/>
      <c r="E6034" s="1254" t="s">
        <v>7044</v>
      </c>
      <c r="F6034" s="1249"/>
      <c r="G6034" s="1253" t="s">
        <v>7044</v>
      </c>
      <c r="H6034" s="1240"/>
    </row>
    <row r="6035" spans="1:8" ht="15.75" thickBot="1" x14ac:dyDescent="0.3">
      <c r="A6035" s="1238"/>
      <c r="B6035" s="1251"/>
      <c r="C6035" s="1254" t="s">
        <v>7044</v>
      </c>
      <c r="D6035" s="1254"/>
      <c r="E6035" s="1254" t="s">
        <v>7044</v>
      </c>
      <c r="F6035" s="1249"/>
      <c r="G6035" s="1253" t="s">
        <v>7044</v>
      </c>
      <c r="H6035" s="1240"/>
    </row>
    <row r="6036" spans="1:8" ht="15.75" thickBot="1" x14ac:dyDescent="0.3">
      <c r="A6036" s="1238"/>
      <c r="B6036" s="1255"/>
      <c r="C6036" s="1256" t="s">
        <v>7044</v>
      </c>
      <c r="D6036" s="1256"/>
      <c r="E6036" s="1256" t="s">
        <v>7044</v>
      </c>
      <c r="F6036" s="1257"/>
      <c r="G6036" s="1258" t="s">
        <v>7044</v>
      </c>
      <c r="H6036" s="1259">
        <f>SUM(G6032:G6036)</f>
        <v>1884960</v>
      </c>
    </row>
    <row r="6037" spans="1:8" ht="15.75" thickBot="1" x14ac:dyDescent="0.3">
      <c r="A6037" s="1238"/>
      <c r="B6037" s="1260"/>
      <c r="C6037" s="1260"/>
      <c r="D6037" s="1260"/>
      <c r="E6037" s="1260"/>
      <c r="F6037" s="1278"/>
      <c r="G6037" s="1279"/>
      <c r="H6037" s="1263"/>
    </row>
    <row r="6038" spans="1:8" ht="15.75" thickBot="1" x14ac:dyDescent="0.3">
      <c r="A6038" s="1238"/>
      <c r="B6038" s="1243" t="s">
        <v>5412</v>
      </c>
      <c r="C6038" s="1244" t="s">
        <v>5420</v>
      </c>
      <c r="D6038" s="1244" t="s">
        <v>5421</v>
      </c>
      <c r="E6038" s="1244" t="s">
        <v>5413</v>
      </c>
      <c r="F6038" s="1244" t="s">
        <v>5405</v>
      </c>
      <c r="G6038" s="1245" t="s">
        <v>868</v>
      </c>
      <c r="H6038" s="1240"/>
    </row>
    <row r="6039" spans="1:8" x14ac:dyDescent="0.25">
      <c r="A6039" s="1238"/>
      <c r="B6039" s="1328" t="s">
        <v>8299</v>
      </c>
      <c r="C6039" s="1329">
        <v>300000</v>
      </c>
      <c r="D6039" s="1329">
        <v>146370</v>
      </c>
      <c r="E6039" s="1330">
        <v>446370</v>
      </c>
      <c r="F6039" s="1331">
        <v>3</v>
      </c>
      <c r="G6039" s="1332">
        <f>IF(B6039="","",E6039/F6039)</f>
        <v>148790</v>
      </c>
      <c r="H6039" s="1240"/>
    </row>
    <row r="6040" spans="1:8" x14ac:dyDescent="0.25">
      <c r="A6040" s="1238"/>
      <c r="B6040" s="764" t="s">
        <v>5635</v>
      </c>
      <c r="C6040" s="782">
        <f>+VLOOKUP(B6040,'Mano de obra'!$A$5:$D$26,2,FALSE)</f>
        <v>24591</v>
      </c>
      <c r="D6040" s="782">
        <f>+VLOOKUP(B6040,'Mano de obra'!$A$5:$D$26,3,FALSE)</f>
        <v>15261</v>
      </c>
      <c r="E6040" s="761">
        <f>+VLOOKUP(B6040,'Mano de obra'!$A$5:$D$26,4,FALSE)</f>
        <v>39852</v>
      </c>
      <c r="F6040" s="1249">
        <v>3</v>
      </c>
      <c r="G6040" s="1275">
        <f>IF(B6040="","",E6040/F6040)</f>
        <v>13284</v>
      </c>
      <c r="H6040" s="1240"/>
    </row>
    <row r="6041" spans="1:8" x14ac:dyDescent="0.25">
      <c r="A6041" s="1238"/>
      <c r="B6041" s="1251"/>
      <c r="C6041" s="1254"/>
      <c r="D6041" s="1280"/>
      <c r="E6041" s="1235"/>
      <c r="F6041" s="1249"/>
      <c r="G6041" s="1253" t="s">
        <v>7044</v>
      </c>
      <c r="H6041" s="1240"/>
    </row>
    <row r="6042" spans="1:8" x14ac:dyDescent="0.25">
      <c r="A6042" s="1238"/>
      <c r="B6042" s="1333"/>
      <c r="C6042" s="1254"/>
      <c r="D6042" s="1280"/>
      <c r="E6042" s="1254"/>
      <c r="F6042" s="1249"/>
      <c r="G6042" s="1253"/>
      <c r="H6042" s="1240"/>
    </row>
    <row r="6043" spans="1:8" ht="15.75" thickBot="1" x14ac:dyDescent="0.3">
      <c r="A6043" s="1238"/>
      <c r="B6043" s="1269"/>
      <c r="C6043" s="1254" t="s">
        <v>7044</v>
      </c>
      <c r="D6043" s="1254"/>
      <c r="E6043" s="1254" t="s">
        <v>7044</v>
      </c>
      <c r="F6043" s="1249"/>
      <c r="G6043" s="1253" t="s">
        <v>7044</v>
      </c>
      <c r="H6043" s="1240"/>
    </row>
    <row r="6044" spans="1:8" ht="15.75" thickBot="1" x14ac:dyDescent="0.3">
      <c r="A6044" s="1238"/>
      <c r="B6044" s="1282"/>
      <c r="C6044" s="1283" t="s">
        <v>7044</v>
      </c>
      <c r="D6044" s="1283"/>
      <c r="E6044" s="1283" t="s">
        <v>7044</v>
      </c>
      <c r="F6044" s="1284"/>
      <c r="G6044" s="1285" t="s">
        <v>7044</v>
      </c>
      <c r="H6044" s="1259">
        <f>SUM(G6039:G6044)</f>
        <v>162074</v>
      </c>
    </row>
    <row r="6045" spans="1:8" ht="15.75" thickBot="1" x14ac:dyDescent="0.3">
      <c r="A6045" s="1238"/>
      <c r="B6045" s="1241"/>
      <c r="C6045" s="1241"/>
      <c r="D6045" s="1241"/>
      <c r="E6045" s="1241"/>
      <c r="F6045" s="1238"/>
      <c r="G6045" s="1240"/>
      <c r="H6045" s="1240"/>
    </row>
    <row r="6046" spans="1:8" ht="15.75" thickBot="1" x14ac:dyDescent="0.3">
      <c r="A6046" s="1238"/>
      <c r="B6046" s="1241"/>
      <c r="C6046" s="1241"/>
      <c r="D6046" s="1241"/>
      <c r="E6046" s="1286" t="s">
        <v>5415</v>
      </c>
      <c r="F6046" s="1238"/>
      <c r="G6046" s="1240"/>
      <c r="H6046" s="1259">
        <f>ROUND(H6013+H6029+H6036+H6044,0)</f>
        <v>39747855</v>
      </c>
    </row>
    <row r="6047" spans="1:8" x14ac:dyDescent="0.25">
      <c r="A6047" s="1236"/>
      <c r="B6047" s="1236"/>
      <c r="C6047" s="1236"/>
      <c r="D6047" s="1236"/>
      <c r="E6047" s="1236"/>
      <c r="F6047" s="1236"/>
      <c r="G6047" s="1237"/>
      <c r="H6047" s="1236"/>
    </row>
    <row r="6048" spans="1:8" x14ac:dyDescent="0.25">
      <c r="A6048" s="1236"/>
      <c r="B6048" s="1236"/>
      <c r="C6048" s="1287"/>
      <c r="D6048" s="1236"/>
      <c r="E6048" s="1287"/>
      <c r="F6048" s="1236"/>
      <c r="G6048" s="1237"/>
      <c r="H6048" s="1236"/>
    </row>
    <row r="6049" spans="1:8" x14ac:dyDescent="0.25">
      <c r="A6049" s="1295" t="s">
        <v>3</v>
      </c>
      <c r="B6049" s="1390" t="str">
        <f>+VLOOKUP(C6049,ListaAPUs!$B:$E,4,FALSE)</f>
        <v>7.1.19</v>
      </c>
      <c r="C6049" s="2448" t="str">
        <f>+ListaAPUs!B176</f>
        <v xml:space="preserve">Trunions con rodillos en polietileno sobre ejes en acero inoxidable para fácil movimiento de los contenedores </v>
      </c>
      <c r="D6049" s="2448"/>
      <c r="E6049" s="2448"/>
      <c r="F6049" s="1295" t="s">
        <v>867</v>
      </c>
      <c r="G6049" s="1296" t="s">
        <v>5424</v>
      </c>
      <c r="H6049" s="1294"/>
    </row>
    <row r="6050" spans="1:8" x14ac:dyDescent="0.25">
      <c r="A6050" s="1238"/>
      <c r="B6050" s="1241"/>
      <c r="C6050" s="1242"/>
      <c r="D6050" s="1242"/>
      <c r="E6050" s="1242"/>
      <c r="F6050" s="1238"/>
      <c r="G6050" s="1240"/>
      <c r="H6050" s="1240"/>
    </row>
    <row r="6051" spans="1:8" x14ac:dyDescent="0.25">
      <c r="A6051" s="1238"/>
      <c r="B6051" s="1241"/>
      <c r="C6051" s="1241"/>
      <c r="D6051" s="1241"/>
      <c r="E6051" s="1241"/>
      <c r="F6051" s="1241"/>
      <c r="G6051" s="1241"/>
      <c r="H6051" s="1240"/>
    </row>
    <row r="6052" spans="1:8" ht="15.75" thickBot="1" x14ac:dyDescent="0.3">
      <c r="A6052" s="1238"/>
      <c r="B6052" s="1241"/>
      <c r="C6052" s="1241"/>
      <c r="D6052" s="1241"/>
      <c r="E6052" s="1241"/>
      <c r="F6052" s="1238"/>
      <c r="G6052" s="1240"/>
      <c r="H6052" s="1240"/>
    </row>
    <row r="6053" spans="1:8" ht="15.75" thickBot="1" x14ac:dyDescent="0.3">
      <c r="A6053" s="1293"/>
      <c r="B6053" s="1297" t="s">
        <v>5403</v>
      </c>
      <c r="C6053" s="1298" t="s">
        <v>867</v>
      </c>
      <c r="D6053" s="1298" t="s">
        <v>6</v>
      </c>
      <c r="E6053" s="1298" t="s">
        <v>5439</v>
      </c>
      <c r="F6053" s="1298" t="s">
        <v>5405</v>
      </c>
      <c r="G6053" s="1299" t="s">
        <v>868</v>
      </c>
      <c r="H6053" s="1294"/>
    </row>
    <row r="6054" spans="1:8" x14ac:dyDescent="0.25">
      <c r="A6054" s="1238"/>
      <c r="B6054" s="1140" t="s">
        <v>5440</v>
      </c>
      <c r="C6054" s="1246" t="s">
        <v>7042</v>
      </c>
      <c r="D6054" s="1247">
        <v>1</v>
      </c>
      <c r="E6054" s="1248">
        <f>H6092</f>
        <v>26592.6</v>
      </c>
      <c r="F6054" s="1249">
        <v>0.05</v>
      </c>
      <c r="G6054" s="1250">
        <f>D6054*E6054*F6054</f>
        <v>1329.63</v>
      </c>
      <c r="H6054" s="1240"/>
    </row>
    <row r="6055" spans="1:8" x14ac:dyDescent="0.25">
      <c r="A6055" s="1238"/>
      <c r="B6055" s="1288"/>
      <c r="C6055" s="226"/>
      <c r="D6055" s="232"/>
      <c r="E6055" s="1289"/>
      <c r="F6055" s="232"/>
      <c r="G6055" s="156"/>
      <c r="H6055" s="1240"/>
    </row>
    <row r="6056" spans="1:8" x14ac:dyDescent="0.25">
      <c r="A6056" s="1238"/>
      <c r="B6056" s="1251"/>
      <c r="C6056" s="1249"/>
      <c r="D6056" s="1249"/>
      <c r="E6056" s="1248"/>
      <c r="F6056" s="1249"/>
      <c r="G6056" s="1253"/>
      <c r="H6056" s="1240"/>
    </row>
    <row r="6057" spans="1:8" x14ac:dyDescent="0.25">
      <c r="A6057" s="1238"/>
      <c r="B6057" s="1251"/>
      <c r="C6057" s="1249"/>
      <c r="D6057" s="1249"/>
      <c r="E6057" s="1248"/>
      <c r="F6057" s="1249"/>
      <c r="G6057" s="1253"/>
      <c r="H6057" s="1240"/>
    </row>
    <row r="6058" spans="1:8" x14ac:dyDescent="0.25">
      <c r="A6058" s="1238"/>
      <c r="B6058" s="1251"/>
      <c r="C6058" s="1249"/>
      <c r="D6058" s="1249"/>
      <c r="E6058" s="1254"/>
      <c r="F6058" s="1249"/>
      <c r="G6058" s="1253"/>
      <c r="H6058" s="1240"/>
    </row>
    <row r="6059" spans="1:8" x14ac:dyDescent="0.25">
      <c r="A6059" s="1238"/>
      <c r="B6059" s="1251"/>
      <c r="C6059" s="1254" t="s">
        <v>7044</v>
      </c>
      <c r="D6059" s="1254"/>
      <c r="E6059" s="1254" t="s">
        <v>7044</v>
      </c>
      <c r="F6059" s="1249"/>
      <c r="G6059" s="1253" t="s">
        <v>7044</v>
      </c>
      <c r="H6059" s="1240"/>
    </row>
    <row r="6060" spans="1:8" ht="15.75" thickBot="1" x14ac:dyDescent="0.3">
      <c r="A6060" s="1238"/>
      <c r="B6060" s="1251"/>
      <c r="C6060" s="1254" t="s">
        <v>7044</v>
      </c>
      <c r="D6060" s="1254"/>
      <c r="E6060" s="1254" t="s">
        <v>7044</v>
      </c>
      <c r="F6060" s="1249"/>
      <c r="G6060" s="1253" t="s">
        <v>7044</v>
      </c>
      <c r="H6060" s="1240"/>
    </row>
    <row r="6061" spans="1:8" ht="15.75" thickBot="1" x14ac:dyDescent="0.3">
      <c r="A6061" s="1238"/>
      <c r="B6061" s="1255"/>
      <c r="C6061" s="1256" t="s">
        <v>7044</v>
      </c>
      <c r="D6061" s="1256"/>
      <c r="E6061" s="1256" t="s">
        <v>7044</v>
      </c>
      <c r="F6061" s="1257"/>
      <c r="G6061" s="1258" t="s">
        <v>7044</v>
      </c>
      <c r="H6061" s="1259">
        <f>SUM(G6054:G6061)</f>
        <v>1329.63</v>
      </c>
    </row>
    <row r="6062" spans="1:8" ht="15.75" thickBot="1" x14ac:dyDescent="0.3">
      <c r="A6062" s="1238"/>
      <c r="B6062" s="1260"/>
      <c r="C6062" s="1260"/>
      <c r="D6062" s="1260"/>
      <c r="E6062" s="1260"/>
      <c r="F6062" s="1261"/>
      <c r="G6062" s="1262" t="s">
        <v>7044</v>
      </c>
      <c r="H6062" s="1263"/>
    </row>
    <row r="6063" spans="1:8" ht="15.75" thickBot="1" x14ac:dyDescent="0.3">
      <c r="A6063" s="1293"/>
      <c r="B6063" s="1297" t="s">
        <v>5408</v>
      </c>
      <c r="C6063" s="1298" t="s">
        <v>867</v>
      </c>
      <c r="D6063" s="1298" t="s">
        <v>6</v>
      </c>
      <c r="E6063" s="1298" t="s">
        <v>870</v>
      </c>
      <c r="F6063" s="1298" t="s">
        <v>5409</v>
      </c>
      <c r="G6063" s="1299" t="s">
        <v>868</v>
      </c>
      <c r="H6063" s="1294"/>
    </row>
    <row r="6064" spans="1:8" x14ac:dyDescent="0.25">
      <c r="A6064" s="1238"/>
      <c r="B6064" s="1335" t="s">
        <v>8651</v>
      </c>
      <c r="C6064" s="202" t="s">
        <v>5424</v>
      </c>
      <c r="D6064" s="202">
        <v>1</v>
      </c>
      <c r="E6064" s="1234">
        <f>+VLOOKUP(B6064,Insumos!$A$2:$C$331,3,FALSE)</f>
        <v>1219750</v>
      </c>
      <c r="F6064" s="169"/>
      <c r="G6064" s="172">
        <f>D6064*E6064</f>
        <v>1219750</v>
      </c>
      <c r="H6064" s="1240"/>
    </row>
    <row r="6065" spans="1:8" x14ac:dyDescent="0.25">
      <c r="A6065" s="1238"/>
      <c r="B6065" s="1270"/>
      <c r="C6065" s="1264"/>
      <c r="D6065" s="1264"/>
      <c r="E6065" s="1265"/>
      <c r="F6065" s="1266"/>
      <c r="G6065" s="1267"/>
      <c r="H6065" s="1240"/>
    </row>
    <row r="6066" spans="1:8" x14ac:dyDescent="0.25">
      <c r="A6066" s="1238"/>
      <c r="B6066" s="1269"/>
      <c r="C6066" s="1246"/>
      <c r="D6066" s="1249"/>
      <c r="E6066" s="1268"/>
      <c r="F6066" s="1266"/>
      <c r="G6066" s="1267" t="s">
        <v>7044</v>
      </c>
      <c r="H6066" s="1240"/>
    </row>
    <row r="6067" spans="1:8" x14ac:dyDescent="0.25">
      <c r="A6067" s="1238"/>
      <c r="B6067" s="1269"/>
      <c r="C6067" s="1246"/>
      <c r="D6067" s="1249"/>
      <c r="E6067" s="1268"/>
      <c r="F6067" s="1266"/>
      <c r="G6067" s="1267" t="s">
        <v>7044</v>
      </c>
      <c r="H6067" s="1240"/>
    </row>
    <row r="6068" spans="1:8" x14ac:dyDescent="0.25">
      <c r="A6068" s="1238"/>
      <c r="B6068" s="1269"/>
      <c r="C6068" s="1246"/>
      <c r="D6068" s="1249"/>
      <c r="E6068" s="1268"/>
      <c r="F6068" s="1266"/>
      <c r="G6068" s="1267" t="s">
        <v>7044</v>
      </c>
      <c r="H6068" s="1240"/>
    </row>
    <row r="6069" spans="1:8" x14ac:dyDescent="0.25">
      <c r="A6069" s="1238"/>
      <c r="B6069" s="1270"/>
      <c r="C6069" s="1264"/>
      <c r="D6069" s="1264"/>
      <c r="E6069" s="1265"/>
      <c r="F6069" s="1266"/>
      <c r="G6069" s="1267"/>
      <c r="H6069" s="1271"/>
    </row>
    <row r="6070" spans="1:8" x14ac:dyDescent="0.25">
      <c r="A6070" s="1238"/>
      <c r="B6070" s="1251"/>
      <c r="C6070" s="1249" t="s">
        <v>7044</v>
      </c>
      <c r="D6070" s="1249"/>
      <c r="E6070" s="1272" t="s">
        <v>7044</v>
      </c>
      <c r="F6070" s="1266"/>
      <c r="G6070" s="1267" t="s">
        <v>7044</v>
      </c>
      <c r="H6070" s="1240"/>
    </row>
    <row r="6071" spans="1:8" x14ac:dyDescent="0.25">
      <c r="A6071" s="1238"/>
      <c r="B6071" s="1251"/>
      <c r="C6071" s="1249" t="s">
        <v>7044</v>
      </c>
      <c r="D6071" s="1249"/>
      <c r="E6071" s="1272" t="s">
        <v>7044</v>
      </c>
      <c r="F6071" s="1266"/>
      <c r="G6071" s="1267" t="s">
        <v>7044</v>
      </c>
      <c r="H6071" s="1240"/>
    </row>
    <row r="6072" spans="1:8" x14ac:dyDescent="0.25">
      <c r="A6072" s="1238"/>
      <c r="B6072" s="1251"/>
      <c r="C6072" s="1254" t="s">
        <v>7044</v>
      </c>
      <c r="D6072" s="1254"/>
      <c r="E6072" s="1254" t="s">
        <v>7044</v>
      </c>
      <c r="F6072" s="1249"/>
      <c r="G6072" s="1253" t="s">
        <v>7044</v>
      </c>
      <c r="H6072" s="1240"/>
    </row>
    <row r="6073" spans="1:8" x14ac:dyDescent="0.25">
      <c r="A6073" s="1238"/>
      <c r="B6073" s="1251"/>
      <c r="C6073" s="1254" t="s">
        <v>7044</v>
      </c>
      <c r="D6073" s="1254"/>
      <c r="E6073" s="1254" t="s">
        <v>7044</v>
      </c>
      <c r="F6073" s="1249"/>
      <c r="G6073" s="1253" t="s">
        <v>7044</v>
      </c>
      <c r="H6073" s="1240"/>
    </row>
    <row r="6074" spans="1:8" x14ac:dyDescent="0.25">
      <c r="A6074" s="1238"/>
      <c r="B6074" s="1251"/>
      <c r="C6074" s="1254" t="s">
        <v>7044</v>
      </c>
      <c r="D6074" s="1254"/>
      <c r="E6074" s="1254" t="s">
        <v>7044</v>
      </c>
      <c r="F6074" s="1249"/>
      <c r="G6074" s="1253" t="s">
        <v>7044</v>
      </c>
      <c r="H6074" s="1240"/>
    </row>
    <row r="6075" spans="1:8" x14ac:dyDescent="0.25">
      <c r="A6075" s="1238"/>
      <c r="B6075" s="1251"/>
      <c r="C6075" s="1254" t="s">
        <v>7044</v>
      </c>
      <c r="D6075" s="1254"/>
      <c r="E6075" s="1254" t="s">
        <v>7044</v>
      </c>
      <c r="F6075" s="1249"/>
      <c r="G6075" s="1253" t="s">
        <v>7044</v>
      </c>
      <c r="H6075" s="1240"/>
    </row>
    <row r="6076" spans="1:8" ht="15.75" thickBot="1" x14ac:dyDescent="0.3">
      <c r="A6076" s="1238"/>
      <c r="B6076" s="1251"/>
      <c r="C6076" s="1254" t="s">
        <v>7044</v>
      </c>
      <c r="D6076" s="1254"/>
      <c r="E6076" s="1254" t="s">
        <v>7044</v>
      </c>
      <c r="F6076" s="1249"/>
      <c r="G6076" s="1253" t="s">
        <v>7044</v>
      </c>
      <c r="H6076" s="1240"/>
    </row>
    <row r="6077" spans="1:8" ht="15.75" thickBot="1" x14ac:dyDescent="0.3">
      <c r="A6077" s="1238"/>
      <c r="B6077" s="1255"/>
      <c r="C6077" s="1256" t="s">
        <v>7044</v>
      </c>
      <c r="D6077" s="1256"/>
      <c r="E6077" s="1256" t="s">
        <v>7044</v>
      </c>
      <c r="F6077" s="1257"/>
      <c r="G6077" s="1258" t="s">
        <v>7044</v>
      </c>
      <c r="H6077" s="1259">
        <f>SUM(G6064:G6077)</f>
        <v>1219750</v>
      </c>
    </row>
    <row r="6078" spans="1:8" ht="15.75" thickBot="1" x14ac:dyDescent="0.3">
      <c r="A6078" s="1238"/>
      <c r="B6078" s="1260"/>
      <c r="C6078" s="1260"/>
      <c r="D6078" s="1260"/>
      <c r="E6078" s="1260"/>
      <c r="F6078" s="1261"/>
      <c r="G6078" s="1262"/>
      <c r="H6078" s="1263"/>
    </row>
    <row r="6079" spans="1:8" ht="15.75" thickBot="1" x14ac:dyDescent="0.3">
      <c r="A6079" s="1293"/>
      <c r="B6079" s="1297" t="s">
        <v>5410</v>
      </c>
      <c r="C6079" s="1298" t="s">
        <v>867</v>
      </c>
      <c r="D6079" s="1298" t="s">
        <v>6</v>
      </c>
      <c r="E6079" s="1298" t="s">
        <v>870</v>
      </c>
      <c r="F6079" s="1298" t="s">
        <v>5411</v>
      </c>
      <c r="G6079" s="1299" t="s">
        <v>868</v>
      </c>
      <c r="H6079" s="1294"/>
    </row>
    <row r="6080" spans="1:8" x14ac:dyDescent="0.25">
      <c r="A6080" s="1238"/>
      <c r="B6080" s="1273" t="s">
        <v>5410</v>
      </c>
      <c r="C6080" s="1264" t="s">
        <v>5424</v>
      </c>
      <c r="D6080" s="1264">
        <v>1</v>
      </c>
      <c r="E6080" s="1274">
        <v>60987.5</v>
      </c>
      <c r="F6080" s="1264"/>
      <c r="G6080" s="1275">
        <f>D6080*E6080</f>
        <v>60987.5</v>
      </c>
      <c r="H6080" s="1276"/>
    </row>
    <row r="6081" spans="1:8" x14ac:dyDescent="0.25">
      <c r="A6081" s="1238"/>
      <c r="B6081" s="1269"/>
      <c r="C6081" s="1277" t="s">
        <v>7044</v>
      </c>
      <c r="D6081" s="1277"/>
      <c r="E6081" s="1277" t="s">
        <v>7044</v>
      </c>
      <c r="F6081" s="1264"/>
      <c r="G6081" s="1267" t="s">
        <v>7044</v>
      </c>
      <c r="H6081" s="1240"/>
    </row>
    <row r="6082" spans="1:8" x14ac:dyDescent="0.25">
      <c r="A6082" s="1238"/>
      <c r="B6082" s="1251"/>
      <c r="C6082" s="1254" t="s">
        <v>7044</v>
      </c>
      <c r="D6082" s="1254"/>
      <c r="E6082" s="1254" t="s">
        <v>7044</v>
      </c>
      <c r="F6082" s="1249"/>
      <c r="G6082" s="1253" t="s">
        <v>7044</v>
      </c>
      <c r="H6082" s="1240"/>
    </row>
    <row r="6083" spans="1:8" ht="15.75" thickBot="1" x14ac:dyDescent="0.3">
      <c r="A6083" s="1238"/>
      <c r="B6083" s="1251"/>
      <c r="C6083" s="1254" t="s">
        <v>7044</v>
      </c>
      <c r="D6083" s="1254"/>
      <c r="E6083" s="1254" t="s">
        <v>7044</v>
      </c>
      <c r="F6083" s="1249"/>
      <c r="G6083" s="1253" t="s">
        <v>7044</v>
      </c>
      <c r="H6083" s="1240"/>
    </row>
    <row r="6084" spans="1:8" ht="15.75" thickBot="1" x14ac:dyDescent="0.3">
      <c r="A6084" s="1238"/>
      <c r="B6084" s="1255"/>
      <c r="C6084" s="1256" t="s">
        <v>7044</v>
      </c>
      <c r="D6084" s="1256"/>
      <c r="E6084" s="1256" t="s">
        <v>7044</v>
      </c>
      <c r="F6084" s="1257"/>
      <c r="G6084" s="1258" t="s">
        <v>7044</v>
      </c>
      <c r="H6084" s="1259">
        <f>SUM(G6080:G6084)</f>
        <v>60987.5</v>
      </c>
    </row>
    <row r="6085" spans="1:8" ht="15.75" thickBot="1" x14ac:dyDescent="0.3">
      <c r="A6085" s="1238"/>
      <c r="B6085" s="1260"/>
      <c r="C6085" s="1260"/>
      <c r="D6085" s="1260"/>
      <c r="E6085" s="1260"/>
      <c r="F6085" s="1278"/>
      <c r="G6085" s="1279"/>
      <c r="H6085" s="1263"/>
    </row>
    <row r="6086" spans="1:8" ht="15.75" thickBot="1" x14ac:dyDescent="0.3">
      <c r="A6086" s="1293"/>
      <c r="B6086" s="1297" t="s">
        <v>5412</v>
      </c>
      <c r="C6086" s="1298" t="s">
        <v>5420</v>
      </c>
      <c r="D6086" s="1298" t="s">
        <v>5421</v>
      </c>
      <c r="E6086" s="1298" t="s">
        <v>5413</v>
      </c>
      <c r="F6086" s="1298" t="s">
        <v>5405</v>
      </c>
      <c r="G6086" s="1299" t="s">
        <v>868</v>
      </c>
      <c r="H6086" s="1294"/>
    </row>
    <row r="6087" spans="1:8" x14ac:dyDescent="0.25">
      <c r="A6087" s="1238"/>
      <c r="B6087" s="781" t="s">
        <v>5948</v>
      </c>
      <c r="C6087" s="782">
        <f>+VLOOKUP(B6087,'Mano de obra'!$A$5:$D$26,2,FALSE)</f>
        <v>57455</v>
      </c>
      <c r="D6087" s="782">
        <f>+VLOOKUP(B6087,'Mano de obra'!$A$5:$D$26,3,FALSE)</f>
        <v>35656</v>
      </c>
      <c r="E6087" s="761">
        <f>+VLOOKUP(B6087,'Mano de obra'!$A$5:$D$26,4,FALSE)</f>
        <v>93111</v>
      </c>
      <c r="F6087" s="1331">
        <v>5</v>
      </c>
      <c r="G6087" s="1332">
        <f>IF(B6087="","",E6087/F6087)</f>
        <v>18622.2</v>
      </c>
      <c r="H6087" s="1240"/>
    </row>
    <row r="6088" spans="1:8" x14ac:dyDescent="0.25">
      <c r="A6088" s="1238"/>
      <c r="B6088" s="764" t="s">
        <v>5635</v>
      </c>
      <c r="C6088" s="782">
        <f>+VLOOKUP(B6088,'Mano de obra'!$A$5:$D$26,2,FALSE)</f>
        <v>24591</v>
      </c>
      <c r="D6088" s="782">
        <f>+VLOOKUP(B6088,'Mano de obra'!$A$5:$D$26,3,FALSE)</f>
        <v>15261</v>
      </c>
      <c r="E6088" s="761">
        <f>+VLOOKUP(B6088,'Mano de obra'!$A$5:$D$26,4,FALSE)</f>
        <v>39852</v>
      </c>
      <c r="F6088" s="1249">
        <v>5</v>
      </c>
      <c r="G6088" s="1275">
        <f>IF(B6088="","",E6088/F6088)</f>
        <v>7970.4</v>
      </c>
      <c r="H6088" s="1240"/>
    </row>
    <row r="6089" spans="1:8" x14ac:dyDescent="0.25">
      <c r="A6089" s="1238"/>
      <c r="B6089" s="1251"/>
      <c r="C6089" s="1254"/>
      <c r="D6089" s="1280"/>
      <c r="E6089" s="1235"/>
      <c r="F6089" s="1249"/>
      <c r="G6089" s="1253" t="s">
        <v>7044</v>
      </c>
      <c r="H6089" s="1240"/>
    </row>
    <row r="6090" spans="1:8" x14ac:dyDescent="0.25">
      <c r="A6090" s="1238"/>
      <c r="B6090" s="1333"/>
      <c r="C6090" s="1254"/>
      <c r="D6090" s="1280"/>
      <c r="E6090" s="1254"/>
      <c r="F6090" s="1249"/>
      <c r="G6090" s="1253"/>
      <c r="H6090" s="1240"/>
    </row>
    <row r="6091" spans="1:8" ht="15.75" thickBot="1" x14ac:dyDescent="0.3">
      <c r="A6091" s="1238"/>
      <c r="B6091" s="1269"/>
      <c r="C6091" s="1254" t="s">
        <v>7044</v>
      </c>
      <c r="D6091" s="1254"/>
      <c r="E6091" s="1254" t="s">
        <v>7044</v>
      </c>
      <c r="F6091" s="1249"/>
      <c r="G6091" s="1253" t="s">
        <v>7044</v>
      </c>
      <c r="H6091" s="1240"/>
    </row>
    <row r="6092" spans="1:8" ht="15.75" thickBot="1" x14ac:dyDescent="0.3">
      <c r="A6092" s="1238"/>
      <c r="B6092" s="1282"/>
      <c r="C6092" s="1283" t="s">
        <v>7044</v>
      </c>
      <c r="D6092" s="1283"/>
      <c r="E6092" s="1283" t="s">
        <v>7044</v>
      </c>
      <c r="F6092" s="1284"/>
      <c r="G6092" s="1285" t="s">
        <v>7044</v>
      </c>
      <c r="H6092" s="1259">
        <f>SUM(G6087:G6092)</f>
        <v>26592.6</v>
      </c>
    </row>
    <row r="6093" spans="1:8" ht="15.75" thickBot="1" x14ac:dyDescent="0.3">
      <c r="A6093" s="1238"/>
      <c r="B6093" s="1241"/>
      <c r="C6093" s="1241"/>
      <c r="D6093" s="1241"/>
      <c r="E6093" s="1241"/>
      <c r="F6093" s="1238"/>
      <c r="G6093" s="1240"/>
      <c r="H6093" s="1240"/>
    </row>
    <row r="6094" spans="1:8" ht="15.75" thickBot="1" x14ac:dyDescent="0.3">
      <c r="A6094" s="1238"/>
      <c r="B6094" s="1241"/>
      <c r="C6094" s="1241"/>
      <c r="D6094" s="1241"/>
      <c r="E6094" s="1286" t="s">
        <v>5415</v>
      </c>
      <c r="F6094" s="1238"/>
      <c r="G6094" s="1240"/>
      <c r="H6094" s="1259">
        <f>ROUND(H6061+H6077+H6084+H6092,0)</f>
        <v>1308660</v>
      </c>
    </row>
    <row r="6095" spans="1:8" x14ac:dyDescent="0.25">
      <c r="A6095" s="1238"/>
      <c r="B6095" s="1241"/>
      <c r="C6095" s="1241"/>
      <c r="D6095" s="1241"/>
      <c r="E6095" s="1286"/>
      <c r="F6095" s="1238"/>
      <c r="G6095" s="1240"/>
      <c r="H6095" s="1263"/>
    </row>
    <row r="6096" spans="1:8" x14ac:dyDescent="0.25">
      <c r="A6096" s="1238"/>
      <c r="B6096" s="1241"/>
      <c r="C6096" s="1241"/>
      <c r="D6096" s="1241"/>
      <c r="E6096" s="1286"/>
      <c r="F6096" s="1238"/>
      <c r="G6096" s="1240"/>
      <c r="H6096" s="1263"/>
    </row>
    <row r="6097" spans="1:8" x14ac:dyDescent="0.25">
      <c r="A6097" s="1295" t="s">
        <v>3</v>
      </c>
      <c r="B6097" s="1390" t="str">
        <f>+VLOOKUP(C6097,ListaAPUs!$B:$E,4,FALSE)</f>
        <v>7.1.20</v>
      </c>
      <c r="C6097" s="2448" t="str">
        <f>+ListaAPUs!B177</f>
        <v xml:space="preserve">Sistema manual para movilizar cilindros de una (1) tonelada, con viga monorriel. </v>
      </c>
      <c r="D6097" s="2448"/>
      <c r="E6097" s="2448"/>
      <c r="F6097" s="1295" t="s">
        <v>867</v>
      </c>
      <c r="G6097" s="1296" t="s">
        <v>5424</v>
      </c>
      <c r="H6097" s="1294"/>
    </row>
    <row r="6098" spans="1:8" x14ac:dyDescent="0.25">
      <c r="A6098" s="1238"/>
      <c r="B6098" s="1241"/>
      <c r="C6098" s="1242"/>
      <c r="D6098" s="1242"/>
      <c r="E6098" s="1242"/>
      <c r="F6098" s="1238"/>
      <c r="G6098" s="1240"/>
      <c r="H6098" s="1240"/>
    </row>
    <row r="6099" spans="1:8" x14ac:dyDescent="0.25">
      <c r="A6099" s="1238"/>
      <c r="B6099" s="1241"/>
      <c r="C6099" s="1241"/>
      <c r="D6099" s="1241"/>
      <c r="E6099" s="1241"/>
      <c r="F6099" s="1241"/>
      <c r="G6099" s="1241"/>
      <c r="H6099" s="1240"/>
    </row>
    <row r="6100" spans="1:8" ht="15.75" thickBot="1" x14ac:dyDescent="0.3">
      <c r="A6100" s="1238"/>
      <c r="B6100" s="1241"/>
      <c r="C6100" s="1241"/>
      <c r="D6100" s="1241"/>
      <c r="E6100" s="1241"/>
      <c r="F6100" s="1238"/>
      <c r="G6100" s="1240"/>
      <c r="H6100" s="1240"/>
    </row>
    <row r="6101" spans="1:8" ht="15.75" thickBot="1" x14ac:dyDescent="0.3">
      <c r="A6101" s="1293"/>
      <c r="B6101" s="1297" t="s">
        <v>5403</v>
      </c>
      <c r="C6101" s="1298" t="s">
        <v>867</v>
      </c>
      <c r="D6101" s="1298" t="s">
        <v>6</v>
      </c>
      <c r="E6101" s="1298" t="s">
        <v>5439</v>
      </c>
      <c r="F6101" s="1298" t="s">
        <v>5405</v>
      </c>
      <c r="G6101" s="1299" t="s">
        <v>868</v>
      </c>
      <c r="H6101" s="1294"/>
    </row>
    <row r="6102" spans="1:8" x14ac:dyDescent="0.25">
      <c r="A6102" s="1238"/>
      <c r="B6102" s="1140" t="s">
        <v>5440</v>
      </c>
      <c r="C6102" s="1246" t="s">
        <v>7042</v>
      </c>
      <c r="D6102" s="1247">
        <v>1</v>
      </c>
      <c r="E6102" s="1248">
        <f>H6140</f>
        <v>621126</v>
      </c>
      <c r="F6102" s="1249">
        <v>0.05</v>
      </c>
      <c r="G6102" s="1250">
        <f>D6102*E6102*F6102</f>
        <v>31056.300000000003</v>
      </c>
      <c r="H6102" s="1240"/>
    </row>
    <row r="6103" spans="1:8" x14ac:dyDescent="0.25">
      <c r="A6103" s="1238"/>
      <c r="B6103" s="1288"/>
      <c r="C6103" s="226"/>
      <c r="D6103" s="232"/>
      <c r="E6103" s="1289"/>
      <c r="F6103" s="232"/>
      <c r="G6103" s="156"/>
      <c r="H6103" s="1240"/>
    </row>
    <row r="6104" spans="1:8" x14ac:dyDescent="0.25">
      <c r="A6104" s="1238"/>
      <c r="B6104" s="1251"/>
      <c r="C6104" s="1249"/>
      <c r="D6104" s="1249"/>
      <c r="E6104" s="1248"/>
      <c r="F6104" s="1249"/>
      <c r="G6104" s="1253"/>
      <c r="H6104" s="1240"/>
    </row>
    <row r="6105" spans="1:8" x14ac:dyDescent="0.25">
      <c r="A6105" s="1238"/>
      <c r="B6105" s="1251"/>
      <c r="C6105" s="1249"/>
      <c r="D6105" s="1249"/>
      <c r="E6105" s="1248"/>
      <c r="F6105" s="1249"/>
      <c r="G6105" s="1253"/>
      <c r="H6105" s="1240"/>
    </row>
    <row r="6106" spans="1:8" x14ac:dyDescent="0.25">
      <c r="A6106" s="1238"/>
      <c r="B6106" s="1251"/>
      <c r="C6106" s="1249"/>
      <c r="D6106" s="1249"/>
      <c r="E6106" s="1254"/>
      <c r="F6106" s="1249"/>
      <c r="G6106" s="1253"/>
      <c r="H6106" s="1240"/>
    </row>
    <row r="6107" spans="1:8" x14ac:dyDescent="0.25">
      <c r="A6107" s="1238"/>
      <c r="B6107" s="1251"/>
      <c r="C6107" s="1254" t="s">
        <v>7044</v>
      </c>
      <c r="D6107" s="1254"/>
      <c r="E6107" s="1254" t="s">
        <v>7044</v>
      </c>
      <c r="F6107" s="1249"/>
      <c r="G6107" s="1253" t="s">
        <v>7044</v>
      </c>
      <c r="H6107" s="1240"/>
    </row>
    <row r="6108" spans="1:8" ht="15.75" thickBot="1" x14ac:dyDescent="0.3">
      <c r="A6108" s="1238"/>
      <c r="B6108" s="1251"/>
      <c r="C6108" s="1254" t="s">
        <v>7044</v>
      </c>
      <c r="D6108" s="1254"/>
      <c r="E6108" s="1254" t="s">
        <v>7044</v>
      </c>
      <c r="F6108" s="1249"/>
      <c r="G6108" s="1253" t="s">
        <v>7044</v>
      </c>
      <c r="H6108" s="1240"/>
    </row>
    <row r="6109" spans="1:8" ht="15.75" thickBot="1" x14ac:dyDescent="0.3">
      <c r="A6109" s="1238"/>
      <c r="B6109" s="1255"/>
      <c r="C6109" s="1256" t="s">
        <v>7044</v>
      </c>
      <c r="D6109" s="1256"/>
      <c r="E6109" s="1256" t="s">
        <v>7044</v>
      </c>
      <c r="F6109" s="1257"/>
      <c r="G6109" s="1258" t="s">
        <v>7044</v>
      </c>
      <c r="H6109" s="1259">
        <f>SUM(G6102:G6109)</f>
        <v>31056.300000000003</v>
      </c>
    </row>
    <row r="6110" spans="1:8" ht="15.75" thickBot="1" x14ac:dyDescent="0.3">
      <c r="A6110" s="1238"/>
      <c r="B6110" s="1260"/>
      <c r="C6110" s="1260"/>
      <c r="D6110" s="1260"/>
      <c r="E6110" s="1260"/>
      <c r="F6110" s="1261"/>
      <c r="G6110" s="1262" t="s">
        <v>7044</v>
      </c>
      <c r="H6110" s="1263"/>
    </row>
    <row r="6111" spans="1:8" ht="15.75" thickBot="1" x14ac:dyDescent="0.3">
      <c r="A6111" s="1293"/>
      <c r="B6111" s="1297" t="s">
        <v>5408</v>
      </c>
      <c r="C6111" s="1298" t="s">
        <v>867</v>
      </c>
      <c r="D6111" s="1298" t="s">
        <v>6</v>
      </c>
      <c r="E6111" s="1298" t="s">
        <v>870</v>
      </c>
      <c r="F6111" s="1298" t="s">
        <v>5409</v>
      </c>
      <c r="G6111" s="1299" t="s">
        <v>868</v>
      </c>
      <c r="H6111" s="1294"/>
    </row>
    <row r="6112" spans="1:8" ht="45" x14ac:dyDescent="0.25">
      <c r="A6112" s="1238"/>
      <c r="B6112" s="1335" t="s">
        <v>8652</v>
      </c>
      <c r="C6112" s="202" t="s">
        <v>5424</v>
      </c>
      <c r="D6112" s="202">
        <v>1</v>
      </c>
      <c r="E6112" s="1234">
        <f>+VLOOKUP(B6112,Insumos!$A$2:$C$331,3,FALSE)</f>
        <v>20789300</v>
      </c>
      <c r="F6112" s="169"/>
      <c r="G6112" s="172">
        <f>D6112*E6112</f>
        <v>20789300</v>
      </c>
      <c r="H6112" s="1240"/>
    </row>
    <row r="6113" spans="1:8" x14ac:dyDescent="0.25">
      <c r="A6113" s="1238"/>
      <c r="B6113" s="1270"/>
      <c r="C6113" s="1264"/>
      <c r="D6113" s="1264"/>
      <c r="E6113" s="1265"/>
      <c r="F6113" s="1266"/>
      <c r="G6113" s="1267"/>
      <c r="H6113" s="1240"/>
    </row>
    <row r="6114" spans="1:8" x14ac:dyDescent="0.25">
      <c r="A6114" s="1238"/>
      <c r="B6114" s="1269"/>
      <c r="C6114" s="1246"/>
      <c r="D6114" s="1249"/>
      <c r="E6114" s="1268"/>
      <c r="F6114" s="1266"/>
      <c r="G6114" s="1267" t="s">
        <v>7044</v>
      </c>
      <c r="H6114" s="1240"/>
    </row>
    <row r="6115" spans="1:8" x14ac:dyDescent="0.25">
      <c r="A6115" s="1238"/>
      <c r="B6115" s="1269"/>
      <c r="C6115" s="1246"/>
      <c r="D6115" s="1249"/>
      <c r="E6115" s="1268"/>
      <c r="F6115" s="1266"/>
      <c r="G6115" s="1267" t="s">
        <v>7044</v>
      </c>
      <c r="H6115" s="1240"/>
    </row>
    <row r="6116" spans="1:8" x14ac:dyDescent="0.25">
      <c r="A6116" s="1238"/>
      <c r="B6116" s="1269"/>
      <c r="C6116" s="1246"/>
      <c r="D6116" s="1249"/>
      <c r="E6116" s="1268"/>
      <c r="F6116" s="1266"/>
      <c r="G6116" s="1267" t="s">
        <v>7044</v>
      </c>
      <c r="H6116" s="1240"/>
    </row>
    <row r="6117" spans="1:8" x14ac:dyDescent="0.25">
      <c r="A6117" s="1238"/>
      <c r="B6117" s="1270"/>
      <c r="C6117" s="1264"/>
      <c r="D6117" s="1264"/>
      <c r="E6117" s="1265"/>
      <c r="F6117" s="1266"/>
      <c r="G6117" s="1267"/>
      <c r="H6117" s="1271"/>
    </row>
    <row r="6118" spans="1:8" x14ac:dyDescent="0.25">
      <c r="A6118" s="1238"/>
      <c r="B6118" s="1251"/>
      <c r="C6118" s="1249" t="s">
        <v>7044</v>
      </c>
      <c r="D6118" s="1249"/>
      <c r="E6118" s="1272" t="s">
        <v>7044</v>
      </c>
      <c r="F6118" s="1266"/>
      <c r="G6118" s="1267" t="s">
        <v>7044</v>
      </c>
      <c r="H6118" s="1240"/>
    </row>
    <row r="6119" spans="1:8" x14ac:dyDescent="0.25">
      <c r="A6119" s="1238"/>
      <c r="B6119" s="1251"/>
      <c r="C6119" s="1249" t="s">
        <v>7044</v>
      </c>
      <c r="D6119" s="1249"/>
      <c r="E6119" s="1272" t="s">
        <v>7044</v>
      </c>
      <c r="F6119" s="1266"/>
      <c r="G6119" s="1267" t="s">
        <v>7044</v>
      </c>
      <c r="H6119" s="1240"/>
    </row>
    <row r="6120" spans="1:8" x14ac:dyDescent="0.25">
      <c r="A6120" s="1238"/>
      <c r="B6120" s="1251"/>
      <c r="C6120" s="1254" t="s">
        <v>7044</v>
      </c>
      <c r="D6120" s="1254"/>
      <c r="E6120" s="1254" t="s">
        <v>7044</v>
      </c>
      <c r="F6120" s="1249"/>
      <c r="G6120" s="1253" t="s">
        <v>7044</v>
      </c>
      <c r="H6120" s="1240"/>
    </row>
    <row r="6121" spans="1:8" x14ac:dyDescent="0.25">
      <c r="A6121" s="1238"/>
      <c r="B6121" s="1251"/>
      <c r="C6121" s="1254" t="s">
        <v>7044</v>
      </c>
      <c r="D6121" s="1254"/>
      <c r="E6121" s="1254" t="s">
        <v>7044</v>
      </c>
      <c r="F6121" s="1249"/>
      <c r="G6121" s="1253" t="s">
        <v>7044</v>
      </c>
      <c r="H6121" s="1240"/>
    </row>
    <row r="6122" spans="1:8" x14ac:dyDescent="0.25">
      <c r="A6122" s="1238"/>
      <c r="B6122" s="1251"/>
      <c r="C6122" s="1254" t="s">
        <v>7044</v>
      </c>
      <c r="D6122" s="1254"/>
      <c r="E6122" s="1254" t="s">
        <v>7044</v>
      </c>
      <c r="F6122" s="1249"/>
      <c r="G6122" s="1253" t="s">
        <v>7044</v>
      </c>
      <c r="H6122" s="1240"/>
    </row>
    <row r="6123" spans="1:8" x14ac:dyDescent="0.25">
      <c r="A6123" s="1238"/>
      <c r="B6123" s="1251"/>
      <c r="C6123" s="1254" t="s">
        <v>7044</v>
      </c>
      <c r="D6123" s="1254"/>
      <c r="E6123" s="1254" t="s">
        <v>7044</v>
      </c>
      <c r="F6123" s="1249"/>
      <c r="G6123" s="1253" t="s">
        <v>7044</v>
      </c>
      <c r="H6123" s="1240"/>
    </row>
    <row r="6124" spans="1:8" ht="15.75" thickBot="1" x14ac:dyDescent="0.3">
      <c r="A6124" s="1238"/>
      <c r="B6124" s="1251"/>
      <c r="C6124" s="1254" t="s">
        <v>7044</v>
      </c>
      <c r="D6124" s="1254"/>
      <c r="E6124" s="1254" t="s">
        <v>7044</v>
      </c>
      <c r="F6124" s="1249"/>
      <c r="G6124" s="1253" t="s">
        <v>7044</v>
      </c>
      <c r="H6124" s="1240"/>
    </row>
    <row r="6125" spans="1:8" ht="15.75" thickBot="1" x14ac:dyDescent="0.3">
      <c r="A6125" s="1238"/>
      <c r="B6125" s="1255"/>
      <c r="C6125" s="1256" t="s">
        <v>7044</v>
      </c>
      <c r="D6125" s="1256"/>
      <c r="E6125" s="1256" t="s">
        <v>7044</v>
      </c>
      <c r="F6125" s="1257"/>
      <c r="G6125" s="1258" t="s">
        <v>7044</v>
      </c>
      <c r="H6125" s="1259">
        <f>SUM(G6112:G6125)</f>
        <v>20789300</v>
      </c>
    </row>
    <row r="6126" spans="1:8" ht="15.75" thickBot="1" x14ac:dyDescent="0.3">
      <c r="A6126" s="1238"/>
      <c r="B6126" s="1260"/>
      <c r="C6126" s="1260"/>
      <c r="D6126" s="1260"/>
      <c r="E6126" s="1260"/>
      <c r="F6126" s="1261"/>
      <c r="G6126" s="1262"/>
      <c r="H6126" s="1263"/>
    </row>
    <row r="6127" spans="1:8" ht="15.75" thickBot="1" x14ac:dyDescent="0.3">
      <c r="A6127" s="1293"/>
      <c r="B6127" s="1297" t="s">
        <v>5410</v>
      </c>
      <c r="C6127" s="1298" t="s">
        <v>867</v>
      </c>
      <c r="D6127" s="1298" t="s">
        <v>6</v>
      </c>
      <c r="E6127" s="1298" t="s">
        <v>870</v>
      </c>
      <c r="F6127" s="1298" t="s">
        <v>5411</v>
      </c>
      <c r="G6127" s="1299" t="s">
        <v>868</v>
      </c>
      <c r="H6127" s="1294"/>
    </row>
    <row r="6128" spans="1:8" x14ac:dyDescent="0.25">
      <c r="A6128" s="1238"/>
      <c r="B6128" s="1273" t="s">
        <v>5410</v>
      </c>
      <c r="C6128" s="1264" t="s">
        <v>5424</v>
      </c>
      <c r="D6128" s="1264">
        <v>1</v>
      </c>
      <c r="E6128" s="1274">
        <v>1039465</v>
      </c>
      <c r="F6128" s="1264"/>
      <c r="G6128" s="1275">
        <f>D6128*E6128</f>
        <v>1039465</v>
      </c>
      <c r="H6128" s="1276"/>
    </row>
    <row r="6129" spans="1:8" x14ac:dyDescent="0.25">
      <c r="A6129" s="1238"/>
      <c r="B6129" s="1269"/>
      <c r="C6129" s="1277" t="s">
        <v>7044</v>
      </c>
      <c r="D6129" s="1277"/>
      <c r="E6129" s="1277" t="s">
        <v>7044</v>
      </c>
      <c r="F6129" s="1264"/>
      <c r="G6129" s="1267" t="s">
        <v>7044</v>
      </c>
      <c r="H6129" s="1240"/>
    </row>
    <row r="6130" spans="1:8" x14ac:dyDescent="0.25">
      <c r="A6130" s="1238"/>
      <c r="B6130" s="1251"/>
      <c r="C6130" s="1254" t="s">
        <v>7044</v>
      </c>
      <c r="D6130" s="1254"/>
      <c r="E6130" s="1254" t="s">
        <v>7044</v>
      </c>
      <c r="F6130" s="1249"/>
      <c r="G6130" s="1253" t="s">
        <v>7044</v>
      </c>
      <c r="H6130" s="1240"/>
    </row>
    <row r="6131" spans="1:8" ht="15.75" thickBot="1" x14ac:dyDescent="0.3">
      <c r="A6131" s="1238"/>
      <c r="B6131" s="1251"/>
      <c r="C6131" s="1254" t="s">
        <v>7044</v>
      </c>
      <c r="D6131" s="1254"/>
      <c r="E6131" s="1254" t="s">
        <v>7044</v>
      </c>
      <c r="F6131" s="1249"/>
      <c r="G6131" s="1253" t="s">
        <v>7044</v>
      </c>
      <c r="H6131" s="1240"/>
    </row>
    <row r="6132" spans="1:8" ht="15.75" thickBot="1" x14ac:dyDescent="0.3">
      <c r="A6132" s="1238"/>
      <c r="B6132" s="1255"/>
      <c r="C6132" s="1256" t="s">
        <v>7044</v>
      </c>
      <c r="D6132" s="1256"/>
      <c r="E6132" s="1256" t="s">
        <v>7044</v>
      </c>
      <c r="F6132" s="1257"/>
      <c r="G6132" s="1258" t="s">
        <v>7044</v>
      </c>
      <c r="H6132" s="1259">
        <f>SUM(G6128:G6132)</f>
        <v>1039465</v>
      </c>
    </row>
    <row r="6133" spans="1:8" ht="15.75" thickBot="1" x14ac:dyDescent="0.3">
      <c r="A6133" s="1238"/>
      <c r="B6133" s="1260"/>
      <c r="C6133" s="1260"/>
      <c r="D6133" s="1260"/>
      <c r="E6133" s="1260"/>
      <c r="F6133" s="1278"/>
      <c r="G6133" s="1279"/>
      <c r="H6133" s="1263"/>
    </row>
    <row r="6134" spans="1:8" ht="15.75" thickBot="1" x14ac:dyDescent="0.3">
      <c r="A6134" s="1293"/>
      <c r="B6134" s="1297" t="s">
        <v>5412</v>
      </c>
      <c r="C6134" s="1298" t="s">
        <v>5420</v>
      </c>
      <c r="D6134" s="1298" t="s">
        <v>5421</v>
      </c>
      <c r="E6134" s="1298" t="s">
        <v>5413</v>
      </c>
      <c r="F6134" s="1298" t="s">
        <v>5405</v>
      </c>
      <c r="G6134" s="1299" t="s">
        <v>868</v>
      </c>
      <c r="H6134" s="1294"/>
    </row>
    <row r="6135" spans="1:8" x14ac:dyDescent="0.25">
      <c r="A6135" s="1238"/>
      <c r="B6135" s="1328" t="s">
        <v>8299</v>
      </c>
      <c r="C6135" s="1329">
        <v>300000</v>
      </c>
      <c r="D6135" s="1329">
        <v>146370</v>
      </c>
      <c r="E6135" s="1330">
        <v>446370</v>
      </c>
      <c r="F6135" s="1331">
        <v>5</v>
      </c>
      <c r="G6135" s="1332">
        <f>IF(B6135="","",E6135/F6135)</f>
        <v>89274</v>
      </c>
      <c r="H6135" s="1240"/>
    </row>
    <row r="6136" spans="1:8" x14ac:dyDescent="0.25">
      <c r="A6136" s="1238"/>
      <c r="B6136" s="781" t="s">
        <v>5948</v>
      </c>
      <c r="C6136" s="782">
        <f>+VLOOKUP(B6136,'Mano de obra'!$A$5:$D$26,2,FALSE)</f>
        <v>57455</v>
      </c>
      <c r="D6136" s="782">
        <f>+VLOOKUP(B6136,'Mano de obra'!$A$5:$D$26,3,FALSE)</f>
        <v>35656</v>
      </c>
      <c r="E6136" s="761">
        <f>+VLOOKUP(B6136,'Mano de obra'!$A$5:$D$26,4,FALSE)</f>
        <v>93111</v>
      </c>
      <c r="F6136" s="1249">
        <v>0.25</v>
      </c>
      <c r="G6136" s="1345">
        <f>IF(B6136="","",E6136/F6136)</f>
        <v>372444</v>
      </c>
      <c r="H6136" s="1240"/>
    </row>
    <row r="6137" spans="1:8" x14ac:dyDescent="0.25">
      <c r="A6137" s="1238"/>
      <c r="B6137" s="764" t="s">
        <v>5635</v>
      </c>
      <c r="C6137" s="782">
        <f>+VLOOKUP(B6137,'Mano de obra'!$A$5:$D$26,2,FALSE)</f>
        <v>24591</v>
      </c>
      <c r="D6137" s="782">
        <f>+VLOOKUP(B6137,'Mano de obra'!$A$5:$D$26,3,FALSE)</f>
        <v>15261</v>
      </c>
      <c r="E6137" s="761">
        <f>+VLOOKUP(B6137,'Mano de obra'!$A$5:$D$26,4,FALSE)</f>
        <v>39852</v>
      </c>
      <c r="F6137" s="1249">
        <v>0.25</v>
      </c>
      <c r="G6137" s="1275">
        <f>IF(B6137="","",E6137/F6137)</f>
        <v>159408</v>
      </c>
      <c r="H6137" s="1240"/>
    </row>
    <row r="6138" spans="1:8" x14ac:dyDescent="0.25">
      <c r="A6138" s="1238"/>
      <c r="B6138" s="1344"/>
      <c r="C6138" s="1254"/>
      <c r="D6138" s="1280"/>
      <c r="E6138" s="1254"/>
      <c r="F6138" s="1249"/>
      <c r="G6138" s="1253"/>
      <c r="H6138" s="1240"/>
    </row>
    <row r="6139" spans="1:8" ht="15.75" thickBot="1" x14ac:dyDescent="0.3">
      <c r="A6139" s="1238"/>
      <c r="B6139" s="1269"/>
      <c r="C6139" s="1254" t="s">
        <v>7044</v>
      </c>
      <c r="D6139" s="1254"/>
      <c r="E6139" s="1254" t="s">
        <v>7044</v>
      </c>
      <c r="F6139" s="1249"/>
      <c r="G6139" s="1253" t="s">
        <v>7044</v>
      </c>
      <c r="H6139" s="1240"/>
    </row>
    <row r="6140" spans="1:8" ht="15.75" thickBot="1" x14ac:dyDescent="0.3">
      <c r="A6140" s="1238"/>
      <c r="B6140" s="1282"/>
      <c r="C6140" s="1283" t="s">
        <v>7044</v>
      </c>
      <c r="D6140" s="1283"/>
      <c r="E6140" s="1283" t="s">
        <v>7044</v>
      </c>
      <c r="F6140" s="1284"/>
      <c r="G6140" s="1285" t="s">
        <v>7044</v>
      </c>
      <c r="H6140" s="1259">
        <f>SUM(G6135:G6140)</f>
        <v>621126</v>
      </c>
    </row>
    <row r="6141" spans="1:8" ht="15.75" thickBot="1" x14ac:dyDescent="0.3">
      <c r="A6141" s="1238"/>
      <c r="B6141" s="1241"/>
      <c r="C6141" s="1241"/>
      <c r="D6141" s="1241"/>
      <c r="E6141" s="1241"/>
      <c r="F6141" s="1238"/>
      <c r="G6141" s="1240"/>
      <c r="H6141" s="1240"/>
    </row>
    <row r="6142" spans="1:8" ht="15.75" thickBot="1" x14ac:dyDescent="0.3">
      <c r="A6142" s="1238"/>
      <c r="B6142" s="1241"/>
      <c r="C6142" s="1241"/>
      <c r="D6142" s="1241"/>
      <c r="E6142" s="1286" t="s">
        <v>5415</v>
      </c>
      <c r="F6142" s="1238"/>
      <c r="G6142" s="1240"/>
      <c r="H6142" s="1259">
        <v>22775720</v>
      </c>
    </row>
    <row r="6143" spans="1:8" x14ac:dyDescent="0.25">
      <c r="A6143" s="1236"/>
      <c r="B6143" s="1236"/>
      <c r="C6143" s="1236"/>
      <c r="D6143" s="1236"/>
      <c r="E6143" s="1236"/>
      <c r="F6143" s="1236"/>
      <c r="G6143" s="1237"/>
      <c r="H6143" s="1236"/>
    </row>
    <row r="6144" spans="1:8" x14ac:dyDescent="0.25">
      <c r="A6144" s="1236"/>
      <c r="B6144" s="1236"/>
      <c r="C6144" s="1287"/>
      <c r="D6144" s="1236"/>
      <c r="E6144" s="1287"/>
      <c r="F6144" s="1236"/>
      <c r="G6144" s="1237"/>
      <c r="H6144" s="1236"/>
    </row>
    <row r="6145" spans="1:8" x14ac:dyDescent="0.25">
      <c r="A6145" s="1295" t="s">
        <v>3</v>
      </c>
      <c r="B6145" s="1390" t="str">
        <f>+VLOOKUP(C6145,ListaAPUs!$B:$E,4,FALSE)</f>
        <v>7.1.21</v>
      </c>
      <c r="C6145" s="2448" t="str">
        <f>+ListaAPUs!B178</f>
        <v xml:space="preserve">Autoválvula digital con capacidad de 0-100 Lb/día, para automatización de cloro gaseoso por medio de señales provenientes de una analizador de cloro residual en línia y/o medidor de caudal en línea. </v>
      </c>
      <c r="D6145" s="2448"/>
      <c r="E6145" s="2448"/>
      <c r="F6145" s="1295" t="s">
        <v>867</v>
      </c>
      <c r="G6145" s="1296" t="s">
        <v>5424</v>
      </c>
      <c r="H6145" s="1240"/>
    </row>
    <row r="6146" spans="1:8" x14ac:dyDescent="0.25">
      <c r="A6146" s="1238"/>
      <c r="B6146" s="1241"/>
      <c r="C6146" s="1242"/>
      <c r="D6146" s="1242"/>
      <c r="E6146" s="1242"/>
      <c r="F6146" s="1238"/>
      <c r="G6146" s="1240"/>
      <c r="H6146" s="1240"/>
    </row>
    <row r="6147" spans="1:8" x14ac:dyDescent="0.25">
      <c r="A6147" s="1238"/>
      <c r="B6147" s="1241"/>
      <c r="C6147" s="1241"/>
      <c r="D6147" s="1241"/>
      <c r="E6147" s="1241"/>
      <c r="F6147" s="1241"/>
      <c r="G6147" s="1241"/>
      <c r="H6147" s="1240"/>
    </row>
    <row r="6148" spans="1:8" ht="15.75" thickBot="1" x14ac:dyDescent="0.3">
      <c r="A6148" s="1238"/>
      <c r="B6148" s="1241"/>
      <c r="C6148" s="1241"/>
      <c r="D6148" s="1241"/>
      <c r="E6148" s="1241"/>
      <c r="F6148" s="1238"/>
      <c r="G6148" s="1240"/>
      <c r="H6148" s="1240"/>
    </row>
    <row r="6149" spans="1:8" ht="15.75" thickBot="1" x14ac:dyDescent="0.3">
      <c r="A6149" s="1293"/>
      <c r="B6149" s="1297" t="s">
        <v>5403</v>
      </c>
      <c r="C6149" s="1298" t="s">
        <v>867</v>
      </c>
      <c r="D6149" s="1298" t="s">
        <v>6</v>
      </c>
      <c r="E6149" s="1298" t="s">
        <v>5439</v>
      </c>
      <c r="F6149" s="1298" t="s">
        <v>5405</v>
      </c>
      <c r="G6149" s="1299" t="s">
        <v>868</v>
      </c>
      <c r="H6149" s="1294"/>
    </row>
    <row r="6150" spans="1:8" x14ac:dyDescent="0.25">
      <c r="A6150" s="1238"/>
      <c r="B6150" s="1140" t="s">
        <v>5440</v>
      </c>
      <c r="C6150" s="1246" t="s">
        <v>7042</v>
      </c>
      <c r="D6150" s="1247">
        <v>1</v>
      </c>
      <c r="E6150" s="1248">
        <f>H6188</f>
        <v>486222</v>
      </c>
      <c r="F6150" s="1249">
        <v>0.05</v>
      </c>
      <c r="G6150" s="1250">
        <f>D6150*E6150*F6150</f>
        <v>24311.100000000002</v>
      </c>
      <c r="H6150" s="1240"/>
    </row>
    <row r="6151" spans="1:8" x14ac:dyDescent="0.25">
      <c r="A6151" s="1238"/>
      <c r="B6151" s="1288"/>
      <c r="C6151" s="226"/>
      <c r="D6151" s="232"/>
      <c r="E6151" s="1289"/>
      <c r="F6151" s="232"/>
      <c r="G6151" s="156"/>
      <c r="H6151" s="1240"/>
    </row>
    <row r="6152" spans="1:8" x14ac:dyDescent="0.25">
      <c r="A6152" s="1238"/>
      <c r="B6152" s="1251"/>
      <c r="C6152" s="1249"/>
      <c r="D6152" s="1249"/>
      <c r="E6152" s="1248"/>
      <c r="F6152" s="1249"/>
      <c r="G6152" s="1253"/>
      <c r="H6152" s="1240"/>
    </row>
    <row r="6153" spans="1:8" x14ac:dyDescent="0.25">
      <c r="A6153" s="1238"/>
      <c r="B6153" s="1251"/>
      <c r="C6153" s="1249"/>
      <c r="D6153" s="1249"/>
      <c r="E6153" s="1248"/>
      <c r="F6153" s="1249"/>
      <c r="G6153" s="1253"/>
      <c r="H6153" s="1240"/>
    </row>
    <row r="6154" spans="1:8" x14ac:dyDescent="0.25">
      <c r="A6154" s="1238"/>
      <c r="B6154" s="1251"/>
      <c r="C6154" s="1249"/>
      <c r="D6154" s="1249"/>
      <c r="E6154" s="1254"/>
      <c r="F6154" s="1249"/>
      <c r="G6154" s="1253"/>
      <c r="H6154" s="1240"/>
    </row>
    <row r="6155" spans="1:8" x14ac:dyDescent="0.25">
      <c r="A6155" s="1238"/>
      <c r="B6155" s="1251"/>
      <c r="C6155" s="1254" t="s">
        <v>7044</v>
      </c>
      <c r="D6155" s="1254"/>
      <c r="E6155" s="1254" t="s">
        <v>7044</v>
      </c>
      <c r="F6155" s="1249"/>
      <c r="G6155" s="1253" t="s">
        <v>7044</v>
      </c>
      <c r="H6155" s="1240"/>
    </row>
    <row r="6156" spans="1:8" ht="15.75" thickBot="1" x14ac:dyDescent="0.3">
      <c r="A6156" s="1238"/>
      <c r="B6156" s="1251"/>
      <c r="C6156" s="1254" t="s">
        <v>7044</v>
      </c>
      <c r="D6156" s="1254"/>
      <c r="E6156" s="1254" t="s">
        <v>7044</v>
      </c>
      <c r="F6156" s="1249"/>
      <c r="G6156" s="1253" t="s">
        <v>7044</v>
      </c>
      <c r="H6156" s="1240"/>
    </row>
    <row r="6157" spans="1:8" ht="15.75" thickBot="1" x14ac:dyDescent="0.3">
      <c r="A6157" s="1238"/>
      <c r="B6157" s="1255"/>
      <c r="C6157" s="1256" t="s">
        <v>7044</v>
      </c>
      <c r="D6157" s="1256"/>
      <c r="E6157" s="1256" t="s">
        <v>7044</v>
      </c>
      <c r="F6157" s="1257"/>
      <c r="G6157" s="1258" t="s">
        <v>7044</v>
      </c>
      <c r="H6157" s="1259">
        <f>SUM(G6150:G6157)</f>
        <v>24311.100000000002</v>
      </c>
    </row>
    <row r="6158" spans="1:8" ht="15.75" thickBot="1" x14ac:dyDescent="0.3">
      <c r="A6158" s="1238"/>
      <c r="B6158" s="1260"/>
      <c r="C6158" s="1260"/>
      <c r="D6158" s="1260"/>
      <c r="E6158" s="1260"/>
      <c r="F6158" s="1261"/>
      <c r="G6158" s="1262" t="s">
        <v>7044</v>
      </c>
      <c r="H6158" s="1263"/>
    </row>
    <row r="6159" spans="1:8" ht="15.75" thickBot="1" x14ac:dyDescent="0.3">
      <c r="A6159" s="1293"/>
      <c r="B6159" s="1297" t="s">
        <v>5408</v>
      </c>
      <c r="C6159" s="1298" t="s">
        <v>867</v>
      </c>
      <c r="D6159" s="1298" t="s">
        <v>6</v>
      </c>
      <c r="E6159" s="1298" t="s">
        <v>870</v>
      </c>
      <c r="F6159" s="1298" t="s">
        <v>5409</v>
      </c>
      <c r="G6159" s="1299" t="s">
        <v>868</v>
      </c>
      <c r="H6159" s="1294"/>
    </row>
    <row r="6160" spans="1:8" x14ac:dyDescent="0.25">
      <c r="A6160" s="1238"/>
      <c r="B6160" s="1335" t="s">
        <v>8653</v>
      </c>
      <c r="C6160" s="202" t="s">
        <v>5402</v>
      </c>
      <c r="D6160" s="202">
        <v>1</v>
      </c>
      <c r="E6160" s="1234">
        <f>+VLOOKUP(B6160,Insumos!$A$2:$C$331,3,FALSE)</f>
        <v>26061000</v>
      </c>
      <c r="F6160" s="169"/>
      <c r="G6160" s="172">
        <f>D6160*E6160</f>
        <v>26061000</v>
      </c>
      <c r="H6160" s="1240"/>
    </row>
    <row r="6161" spans="1:8" x14ac:dyDescent="0.25">
      <c r="A6161" s="1238"/>
      <c r="B6161" s="1270"/>
      <c r="C6161" s="1264"/>
      <c r="D6161" s="1264"/>
      <c r="E6161" s="1265"/>
      <c r="F6161" s="1266"/>
      <c r="G6161" s="1267"/>
      <c r="H6161" s="1240"/>
    </row>
    <row r="6162" spans="1:8" x14ac:dyDescent="0.25">
      <c r="A6162" s="1238"/>
      <c r="B6162" s="1269"/>
      <c r="C6162" s="1246"/>
      <c r="D6162" s="1249"/>
      <c r="E6162" s="1268"/>
      <c r="F6162" s="1266"/>
      <c r="G6162" s="1267" t="s">
        <v>7044</v>
      </c>
      <c r="H6162" s="1240"/>
    </row>
    <row r="6163" spans="1:8" x14ac:dyDescent="0.25">
      <c r="A6163" s="1238"/>
      <c r="B6163" s="1269"/>
      <c r="C6163" s="1246"/>
      <c r="D6163" s="1249"/>
      <c r="E6163" s="1268"/>
      <c r="F6163" s="1266"/>
      <c r="G6163" s="1267" t="s">
        <v>7044</v>
      </c>
      <c r="H6163" s="1240"/>
    </row>
    <row r="6164" spans="1:8" x14ac:dyDescent="0.25">
      <c r="A6164" s="1238"/>
      <c r="B6164" s="1269"/>
      <c r="C6164" s="1246"/>
      <c r="D6164" s="1249"/>
      <c r="E6164" s="1268"/>
      <c r="F6164" s="1266"/>
      <c r="G6164" s="1267" t="s">
        <v>7044</v>
      </c>
      <c r="H6164" s="1240"/>
    </row>
    <row r="6165" spans="1:8" x14ac:dyDescent="0.25">
      <c r="A6165" s="1238"/>
      <c r="B6165" s="1270"/>
      <c r="C6165" s="1264"/>
      <c r="D6165" s="1264"/>
      <c r="E6165" s="1265"/>
      <c r="F6165" s="1266"/>
      <c r="G6165" s="1267"/>
      <c r="H6165" s="1271"/>
    </row>
    <row r="6166" spans="1:8" x14ac:dyDescent="0.25">
      <c r="A6166" s="1238"/>
      <c r="B6166" s="1251"/>
      <c r="C6166" s="1249" t="s">
        <v>7044</v>
      </c>
      <c r="D6166" s="1249"/>
      <c r="E6166" s="1272" t="s">
        <v>7044</v>
      </c>
      <c r="F6166" s="1266"/>
      <c r="G6166" s="1267" t="s">
        <v>7044</v>
      </c>
      <c r="H6166" s="1240"/>
    </row>
    <row r="6167" spans="1:8" x14ac:dyDescent="0.25">
      <c r="A6167" s="1238"/>
      <c r="B6167" s="1251"/>
      <c r="C6167" s="1249" t="s">
        <v>7044</v>
      </c>
      <c r="D6167" s="1249"/>
      <c r="E6167" s="1272" t="s">
        <v>7044</v>
      </c>
      <c r="F6167" s="1266"/>
      <c r="G6167" s="1267" t="s">
        <v>7044</v>
      </c>
      <c r="H6167" s="1240"/>
    </row>
    <row r="6168" spans="1:8" x14ac:dyDescent="0.25">
      <c r="A6168" s="1238"/>
      <c r="B6168" s="1251"/>
      <c r="C6168" s="1254" t="s">
        <v>7044</v>
      </c>
      <c r="D6168" s="1254"/>
      <c r="E6168" s="1254" t="s">
        <v>7044</v>
      </c>
      <c r="F6168" s="1249"/>
      <c r="G6168" s="1253" t="s">
        <v>7044</v>
      </c>
      <c r="H6168" s="1240"/>
    </row>
    <row r="6169" spans="1:8" x14ac:dyDescent="0.25">
      <c r="A6169" s="1238"/>
      <c r="B6169" s="1251"/>
      <c r="C6169" s="1254" t="s">
        <v>7044</v>
      </c>
      <c r="D6169" s="1254"/>
      <c r="E6169" s="1254" t="s">
        <v>7044</v>
      </c>
      <c r="F6169" s="1249"/>
      <c r="G6169" s="1253" t="s">
        <v>7044</v>
      </c>
      <c r="H6169" s="1240"/>
    </row>
    <row r="6170" spans="1:8" x14ac:dyDescent="0.25">
      <c r="A6170" s="1238"/>
      <c r="B6170" s="1251"/>
      <c r="C6170" s="1254" t="s">
        <v>7044</v>
      </c>
      <c r="D6170" s="1254"/>
      <c r="E6170" s="1254" t="s">
        <v>7044</v>
      </c>
      <c r="F6170" s="1249"/>
      <c r="G6170" s="1253" t="s">
        <v>7044</v>
      </c>
      <c r="H6170" s="1240"/>
    </row>
    <row r="6171" spans="1:8" x14ac:dyDescent="0.25">
      <c r="A6171" s="1238"/>
      <c r="B6171" s="1251"/>
      <c r="C6171" s="1254" t="s">
        <v>7044</v>
      </c>
      <c r="D6171" s="1254"/>
      <c r="E6171" s="1254" t="s">
        <v>7044</v>
      </c>
      <c r="F6171" s="1249"/>
      <c r="G6171" s="1253" t="s">
        <v>7044</v>
      </c>
      <c r="H6171" s="1240"/>
    </row>
    <row r="6172" spans="1:8" ht="15.75" thickBot="1" x14ac:dyDescent="0.3">
      <c r="A6172" s="1238"/>
      <c r="B6172" s="1251"/>
      <c r="C6172" s="1254" t="s">
        <v>7044</v>
      </c>
      <c r="D6172" s="1254"/>
      <c r="E6172" s="1254" t="s">
        <v>7044</v>
      </c>
      <c r="F6172" s="1249"/>
      <c r="G6172" s="1253" t="s">
        <v>7044</v>
      </c>
      <c r="H6172" s="1240"/>
    </row>
    <row r="6173" spans="1:8" ht="15.75" thickBot="1" x14ac:dyDescent="0.3">
      <c r="A6173" s="1238"/>
      <c r="B6173" s="1255"/>
      <c r="C6173" s="1256" t="s">
        <v>7044</v>
      </c>
      <c r="D6173" s="1256"/>
      <c r="E6173" s="1256" t="s">
        <v>7044</v>
      </c>
      <c r="F6173" s="1257"/>
      <c r="G6173" s="1258" t="s">
        <v>7044</v>
      </c>
      <c r="H6173" s="1259">
        <f>SUM(G6160:G6173)</f>
        <v>26061000</v>
      </c>
    </row>
    <row r="6174" spans="1:8" ht="15.75" thickBot="1" x14ac:dyDescent="0.3">
      <c r="A6174" s="1238"/>
      <c r="B6174" s="1260"/>
      <c r="C6174" s="1260"/>
      <c r="D6174" s="1260"/>
      <c r="E6174" s="1260"/>
      <c r="F6174" s="1261"/>
      <c r="G6174" s="1262"/>
      <c r="H6174" s="1263"/>
    </row>
    <row r="6175" spans="1:8" ht="15.75" thickBot="1" x14ac:dyDescent="0.3">
      <c r="A6175" s="1293"/>
      <c r="B6175" s="1297" t="s">
        <v>5410</v>
      </c>
      <c r="C6175" s="1298" t="s">
        <v>867</v>
      </c>
      <c r="D6175" s="1298" t="s">
        <v>6</v>
      </c>
      <c r="E6175" s="1298" t="s">
        <v>870</v>
      </c>
      <c r="F6175" s="1298" t="s">
        <v>5411</v>
      </c>
      <c r="G6175" s="1299" t="s">
        <v>868</v>
      </c>
      <c r="H6175" s="1294"/>
    </row>
    <row r="6176" spans="1:8" x14ac:dyDescent="0.25">
      <c r="A6176" s="1238"/>
      <c r="B6176" s="1273" t="s">
        <v>5410</v>
      </c>
      <c r="C6176" s="1264" t="s">
        <v>5424</v>
      </c>
      <c r="D6176" s="1264">
        <v>1</v>
      </c>
      <c r="E6176" s="1274">
        <v>50000</v>
      </c>
      <c r="F6176" s="1264"/>
      <c r="G6176" s="1275">
        <f>D6176*E6176</f>
        <v>50000</v>
      </c>
      <c r="H6176" s="1276"/>
    </row>
    <row r="6177" spans="1:8" x14ac:dyDescent="0.25">
      <c r="A6177" s="1238"/>
      <c r="B6177" s="1269"/>
      <c r="C6177" s="1277" t="s">
        <v>7044</v>
      </c>
      <c r="D6177" s="1277"/>
      <c r="E6177" s="1277" t="s">
        <v>7044</v>
      </c>
      <c r="F6177" s="1264"/>
      <c r="G6177" s="1267" t="s">
        <v>7044</v>
      </c>
      <c r="H6177" s="1240"/>
    </row>
    <row r="6178" spans="1:8" x14ac:dyDescent="0.25">
      <c r="A6178" s="1238"/>
      <c r="B6178" s="1251"/>
      <c r="C6178" s="1254" t="s">
        <v>7044</v>
      </c>
      <c r="D6178" s="1254"/>
      <c r="E6178" s="1254" t="s">
        <v>7044</v>
      </c>
      <c r="F6178" s="1249"/>
      <c r="G6178" s="1253" t="s">
        <v>7044</v>
      </c>
      <c r="H6178" s="1240"/>
    </row>
    <row r="6179" spans="1:8" ht="15.75" thickBot="1" x14ac:dyDescent="0.3">
      <c r="A6179" s="1238"/>
      <c r="B6179" s="1251"/>
      <c r="C6179" s="1254" t="s">
        <v>7044</v>
      </c>
      <c r="D6179" s="1254"/>
      <c r="E6179" s="1254" t="s">
        <v>7044</v>
      </c>
      <c r="F6179" s="1249"/>
      <c r="G6179" s="1253" t="s">
        <v>7044</v>
      </c>
      <c r="H6179" s="1240"/>
    </row>
    <row r="6180" spans="1:8" ht="15.75" thickBot="1" x14ac:dyDescent="0.3">
      <c r="A6180" s="1238"/>
      <c r="B6180" s="1255"/>
      <c r="C6180" s="1256" t="s">
        <v>7044</v>
      </c>
      <c r="D6180" s="1256"/>
      <c r="E6180" s="1256" t="s">
        <v>7044</v>
      </c>
      <c r="F6180" s="1257"/>
      <c r="G6180" s="1258" t="s">
        <v>7044</v>
      </c>
      <c r="H6180" s="1259">
        <f>SUM(G6176:G6180)</f>
        <v>50000</v>
      </c>
    </row>
    <row r="6181" spans="1:8" ht="15.75" thickBot="1" x14ac:dyDescent="0.3">
      <c r="A6181" s="1238"/>
      <c r="B6181" s="1260"/>
      <c r="C6181" s="1260"/>
      <c r="D6181" s="1260"/>
      <c r="E6181" s="1260"/>
      <c r="F6181" s="1278"/>
      <c r="G6181" s="1279"/>
      <c r="H6181" s="1263"/>
    </row>
    <row r="6182" spans="1:8" ht="15.75" thickBot="1" x14ac:dyDescent="0.3">
      <c r="A6182" s="1293"/>
      <c r="B6182" s="1297" t="s">
        <v>5412</v>
      </c>
      <c r="C6182" s="1298" t="s">
        <v>5420</v>
      </c>
      <c r="D6182" s="1298" t="s">
        <v>5421</v>
      </c>
      <c r="E6182" s="1298" t="s">
        <v>5413</v>
      </c>
      <c r="F6182" s="1298" t="s">
        <v>5405</v>
      </c>
      <c r="G6182" s="1299" t="s">
        <v>868</v>
      </c>
      <c r="H6182" s="1294"/>
    </row>
    <row r="6183" spans="1:8" x14ac:dyDescent="0.25">
      <c r="A6183" s="1238"/>
      <c r="B6183" s="1328" t="s">
        <v>8299</v>
      </c>
      <c r="C6183" s="1329">
        <v>300000</v>
      </c>
      <c r="D6183" s="1329">
        <v>146370</v>
      </c>
      <c r="E6183" s="1330">
        <v>446370</v>
      </c>
      <c r="F6183" s="1331">
        <v>1</v>
      </c>
      <c r="G6183" s="1332">
        <f>IF(B6183="","",E6183/F6183)</f>
        <v>446370</v>
      </c>
      <c r="H6183" s="1240"/>
    </row>
    <row r="6184" spans="1:8" x14ac:dyDescent="0.25">
      <c r="A6184" s="1238"/>
      <c r="B6184" s="764" t="s">
        <v>5635</v>
      </c>
      <c r="C6184" s="782">
        <f>+VLOOKUP(B6184,'Mano de obra'!$A$5:$D$26,2,FALSE)</f>
        <v>24591</v>
      </c>
      <c r="D6184" s="782">
        <f>+VLOOKUP(B6184,'Mano de obra'!$A$5:$D$26,3,FALSE)</f>
        <v>15261</v>
      </c>
      <c r="E6184" s="761">
        <f>+VLOOKUP(B6184,'Mano de obra'!$A$5:$D$26,4,FALSE)</f>
        <v>39852</v>
      </c>
      <c r="F6184" s="1249">
        <v>1</v>
      </c>
      <c r="G6184" s="1275">
        <f>IF(B6184="","",E6184/F6184)</f>
        <v>39852</v>
      </c>
      <c r="H6184" s="1240"/>
    </row>
    <row r="6185" spans="1:8" x14ac:dyDescent="0.25">
      <c r="A6185" s="1238"/>
      <c r="B6185" s="1251"/>
      <c r="C6185" s="1254"/>
      <c r="D6185" s="1280"/>
      <c r="E6185" s="1235"/>
      <c r="F6185" s="1249"/>
      <c r="G6185" s="1253" t="s">
        <v>7044</v>
      </c>
      <c r="H6185" s="1240"/>
    </row>
    <row r="6186" spans="1:8" x14ac:dyDescent="0.25">
      <c r="A6186" s="1238"/>
      <c r="B6186" s="1333"/>
      <c r="C6186" s="1254"/>
      <c r="D6186" s="1280"/>
      <c r="E6186" s="1254"/>
      <c r="F6186" s="1249"/>
      <c r="G6186" s="1253"/>
      <c r="H6186" s="1240"/>
    </row>
    <row r="6187" spans="1:8" ht="15.75" thickBot="1" x14ac:dyDescent="0.3">
      <c r="A6187" s="1238"/>
      <c r="B6187" s="1269"/>
      <c r="C6187" s="1254" t="s">
        <v>7044</v>
      </c>
      <c r="D6187" s="1254"/>
      <c r="E6187" s="1254" t="s">
        <v>7044</v>
      </c>
      <c r="F6187" s="1249"/>
      <c r="G6187" s="1253" t="s">
        <v>7044</v>
      </c>
      <c r="H6187" s="1240"/>
    </row>
    <row r="6188" spans="1:8" ht="15.75" thickBot="1" x14ac:dyDescent="0.3">
      <c r="A6188" s="1238"/>
      <c r="B6188" s="1282"/>
      <c r="C6188" s="1283" t="s">
        <v>7044</v>
      </c>
      <c r="D6188" s="1283"/>
      <c r="E6188" s="1283" t="s">
        <v>7044</v>
      </c>
      <c r="F6188" s="1284"/>
      <c r="G6188" s="1285" t="s">
        <v>7044</v>
      </c>
      <c r="H6188" s="1259">
        <f>SUM(G6183:G6188)</f>
        <v>486222</v>
      </c>
    </row>
    <row r="6189" spans="1:8" ht="15.75" thickBot="1" x14ac:dyDescent="0.3">
      <c r="A6189" s="1238"/>
      <c r="B6189" s="1241"/>
      <c r="C6189" s="1241"/>
      <c r="D6189" s="1241"/>
      <c r="E6189" s="1241"/>
      <c r="F6189" s="1238"/>
      <c r="G6189" s="1240"/>
      <c r="H6189" s="1240"/>
    </row>
    <row r="6190" spans="1:8" ht="15.75" thickBot="1" x14ac:dyDescent="0.3">
      <c r="A6190" s="1238"/>
      <c r="B6190" s="1241"/>
      <c r="C6190" s="1241"/>
      <c r="D6190" s="1241"/>
      <c r="E6190" s="1286" t="s">
        <v>5415</v>
      </c>
      <c r="F6190" s="1238"/>
      <c r="G6190" s="1240"/>
      <c r="H6190" s="1259">
        <f>ROUND(H6157+H6173+H6180+H6188,0)</f>
        <v>26621533</v>
      </c>
    </row>
    <row r="6191" spans="1:8" x14ac:dyDescent="0.25">
      <c r="A6191" s="1236"/>
      <c r="B6191" s="1236"/>
      <c r="C6191" s="1236"/>
      <c r="D6191" s="1236"/>
      <c r="E6191" s="1236"/>
      <c r="F6191" s="1236"/>
      <c r="G6191" s="1237"/>
      <c r="H6191" s="1236"/>
    </row>
    <row r="6192" spans="1:8" x14ac:dyDescent="0.25">
      <c r="A6192" s="1236"/>
      <c r="B6192" s="1236"/>
      <c r="C6192" s="1236"/>
      <c r="D6192" s="1236"/>
      <c r="E6192" s="1236"/>
      <c r="F6192" s="1236"/>
      <c r="G6192" s="1237"/>
      <c r="H6192" s="1236"/>
    </row>
    <row r="6193" spans="1:8" x14ac:dyDescent="0.25">
      <c r="A6193" s="1295" t="s">
        <v>3</v>
      </c>
      <c r="B6193" s="1390" t="str">
        <f>+VLOOKUP(C6193,ListaAPUs!$B:$E,4,FALSE)</f>
        <v>7.1.22</v>
      </c>
      <c r="C6193" s="2448" t="str">
        <f>+ListaAPUs!B179</f>
        <v>Analizador de cloro residual en línea</v>
      </c>
      <c r="D6193" s="2448"/>
      <c r="E6193" s="2448"/>
      <c r="F6193" s="1295" t="s">
        <v>867</v>
      </c>
      <c r="G6193" s="1296" t="s">
        <v>5424</v>
      </c>
      <c r="H6193" s="1294"/>
    </row>
    <row r="6194" spans="1:8" x14ac:dyDescent="0.25">
      <c r="A6194" s="1238"/>
      <c r="B6194" s="1241"/>
      <c r="C6194" s="1242"/>
      <c r="D6194" s="1242"/>
      <c r="E6194" s="1242"/>
      <c r="F6194" s="1238"/>
      <c r="G6194" s="1240"/>
      <c r="H6194" s="1240"/>
    </row>
    <row r="6195" spans="1:8" x14ac:dyDescent="0.25">
      <c r="A6195" s="1238"/>
      <c r="B6195" s="1241"/>
      <c r="C6195" s="1241"/>
      <c r="D6195" s="1241"/>
      <c r="E6195" s="1241"/>
      <c r="F6195" s="1241"/>
      <c r="G6195" s="1241"/>
      <c r="H6195" s="1240"/>
    </row>
    <row r="6196" spans="1:8" ht="15.75" thickBot="1" x14ac:dyDescent="0.3">
      <c r="A6196" s="1238"/>
      <c r="B6196" s="1241"/>
      <c r="C6196" s="1241"/>
      <c r="D6196" s="1241"/>
      <c r="E6196" s="1241"/>
      <c r="F6196" s="1238"/>
      <c r="G6196" s="1240"/>
      <c r="H6196" s="1240"/>
    </row>
    <row r="6197" spans="1:8" ht="15.75" thickBot="1" x14ac:dyDescent="0.3">
      <c r="A6197" s="1293"/>
      <c r="B6197" s="1297" t="s">
        <v>5403</v>
      </c>
      <c r="C6197" s="1298" t="s">
        <v>867</v>
      </c>
      <c r="D6197" s="1298" t="s">
        <v>6</v>
      </c>
      <c r="E6197" s="1298" t="s">
        <v>5439</v>
      </c>
      <c r="F6197" s="1298" t="s">
        <v>5405</v>
      </c>
      <c r="G6197" s="1299" t="s">
        <v>868</v>
      </c>
      <c r="H6197" s="1294"/>
    </row>
    <row r="6198" spans="1:8" x14ac:dyDescent="0.25">
      <c r="A6198" s="1238"/>
      <c r="B6198" s="1140" t="s">
        <v>5440</v>
      </c>
      <c r="C6198" s="1246" t="s">
        <v>7042</v>
      </c>
      <c r="D6198" s="1247">
        <v>1</v>
      </c>
      <c r="E6198" s="1248">
        <f>H6236</f>
        <v>243111</v>
      </c>
      <c r="F6198" s="1249">
        <v>0.05</v>
      </c>
      <c r="G6198" s="1250">
        <f>D6198*E6198*F6198</f>
        <v>12155.550000000001</v>
      </c>
      <c r="H6198" s="1240"/>
    </row>
    <row r="6199" spans="1:8" x14ac:dyDescent="0.25">
      <c r="A6199" s="1238"/>
      <c r="B6199" s="1288"/>
      <c r="C6199" s="226"/>
      <c r="D6199" s="232"/>
      <c r="E6199" s="1289"/>
      <c r="F6199" s="232"/>
      <c r="G6199" s="156"/>
      <c r="H6199" s="1240"/>
    </row>
    <row r="6200" spans="1:8" x14ac:dyDescent="0.25">
      <c r="A6200" s="1238"/>
      <c r="B6200" s="1251"/>
      <c r="C6200" s="1249"/>
      <c r="D6200" s="1249"/>
      <c r="E6200" s="1248"/>
      <c r="F6200" s="1249"/>
      <c r="G6200" s="1253"/>
      <c r="H6200" s="1240"/>
    </row>
    <row r="6201" spans="1:8" x14ac:dyDescent="0.25">
      <c r="A6201" s="1238"/>
      <c r="B6201" s="1251"/>
      <c r="C6201" s="1249"/>
      <c r="D6201" s="1249"/>
      <c r="E6201" s="1248"/>
      <c r="F6201" s="1249"/>
      <c r="G6201" s="1253"/>
      <c r="H6201" s="1240"/>
    </row>
    <row r="6202" spans="1:8" x14ac:dyDescent="0.25">
      <c r="A6202" s="1238"/>
      <c r="B6202" s="1251"/>
      <c r="C6202" s="1249"/>
      <c r="D6202" s="1249"/>
      <c r="E6202" s="1254"/>
      <c r="F6202" s="1249"/>
      <c r="G6202" s="1253"/>
      <c r="H6202" s="1240"/>
    </row>
    <row r="6203" spans="1:8" x14ac:dyDescent="0.25">
      <c r="A6203" s="1238"/>
      <c r="B6203" s="1251"/>
      <c r="C6203" s="1254" t="s">
        <v>7044</v>
      </c>
      <c r="D6203" s="1254"/>
      <c r="E6203" s="1254" t="s">
        <v>7044</v>
      </c>
      <c r="F6203" s="1249"/>
      <c r="G6203" s="1253" t="s">
        <v>7044</v>
      </c>
      <c r="H6203" s="1240"/>
    </row>
    <row r="6204" spans="1:8" ht="15.75" thickBot="1" x14ac:dyDescent="0.3">
      <c r="A6204" s="1238"/>
      <c r="B6204" s="1251"/>
      <c r="C6204" s="1254" t="s">
        <v>7044</v>
      </c>
      <c r="D6204" s="1254"/>
      <c r="E6204" s="1254" t="s">
        <v>7044</v>
      </c>
      <c r="F6204" s="1249"/>
      <c r="G6204" s="1253" t="s">
        <v>7044</v>
      </c>
      <c r="H6204" s="1240"/>
    </row>
    <row r="6205" spans="1:8" ht="15.75" thickBot="1" x14ac:dyDescent="0.3">
      <c r="A6205" s="1238"/>
      <c r="B6205" s="1255"/>
      <c r="C6205" s="1256" t="s">
        <v>7044</v>
      </c>
      <c r="D6205" s="1256"/>
      <c r="E6205" s="1256" t="s">
        <v>7044</v>
      </c>
      <c r="F6205" s="1257"/>
      <c r="G6205" s="1258" t="s">
        <v>7044</v>
      </c>
      <c r="H6205" s="1259">
        <f>SUM(G6198:G6205)</f>
        <v>12155.550000000001</v>
      </c>
    </row>
    <row r="6206" spans="1:8" ht="15.75" thickBot="1" x14ac:dyDescent="0.3">
      <c r="A6206" s="1238"/>
      <c r="B6206" s="1260"/>
      <c r="C6206" s="1260"/>
      <c r="D6206" s="1260"/>
      <c r="E6206" s="1260"/>
      <c r="F6206" s="1261"/>
      <c r="G6206" s="1262" t="s">
        <v>7044</v>
      </c>
      <c r="H6206" s="1263"/>
    </row>
    <row r="6207" spans="1:8" ht="15.75" thickBot="1" x14ac:dyDescent="0.3">
      <c r="A6207" s="1293"/>
      <c r="B6207" s="1297" t="s">
        <v>5408</v>
      </c>
      <c r="C6207" s="1298" t="s">
        <v>867</v>
      </c>
      <c r="D6207" s="1298" t="s">
        <v>6</v>
      </c>
      <c r="E6207" s="1298" t="s">
        <v>870</v>
      </c>
      <c r="F6207" s="1298" t="s">
        <v>5409</v>
      </c>
      <c r="G6207" s="1299" t="s">
        <v>868</v>
      </c>
      <c r="H6207" s="1294"/>
    </row>
    <row r="6208" spans="1:8" x14ac:dyDescent="0.25">
      <c r="A6208" s="1238"/>
      <c r="B6208" s="1335" t="s">
        <v>8654</v>
      </c>
      <c r="C6208" s="743" t="s">
        <v>5424</v>
      </c>
      <c r="D6208" s="743">
        <v>1</v>
      </c>
      <c r="E6208" s="1234">
        <f>+VLOOKUP(B6208,Insumos!$A$2:$C$331,3,FALSE)</f>
        <v>27310500</v>
      </c>
      <c r="F6208" s="396"/>
      <c r="G6208" s="410">
        <f>D6208*E6208</f>
        <v>27310500</v>
      </c>
      <c r="H6208" s="1240"/>
    </row>
    <row r="6209" spans="1:8" x14ac:dyDescent="0.25">
      <c r="A6209" s="1238"/>
      <c r="B6209" s="739"/>
      <c r="C6209" s="740"/>
      <c r="D6209" s="743"/>
      <c r="E6209" s="1291"/>
      <c r="F6209" s="396"/>
      <c r="G6209" s="410"/>
      <c r="H6209" s="1240"/>
    </row>
    <row r="6210" spans="1:8" x14ac:dyDescent="0.25">
      <c r="A6210" s="1238"/>
      <c r="B6210" s="739"/>
      <c r="C6210" s="740"/>
      <c r="D6210" s="741"/>
      <c r="E6210" s="1292"/>
      <c r="F6210" s="396"/>
      <c r="G6210" s="410"/>
      <c r="H6210" s="1240"/>
    </row>
    <row r="6211" spans="1:8" x14ac:dyDescent="0.25">
      <c r="A6211" s="1238"/>
      <c r="B6211" s="1269"/>
      <c r="C6211" s="1246"/>
      <c r="D6211" s="1249"/>
      <c r="E6211" s="1268"/>
      <c r="F6211" s="1266"/>
      <c r="G6211" s="1267" t="s">
        <v>7044</v>
      </c>
      <c r="H6211" s="1240"/>
    </row>
    <row r="6212" spans="1:8" x14ac:dyDescent="0.25">
      <c r="A6212" s="1238"/>
      <c r="B6212" s="1269"/>
      <c r="C6212" s="1246"/>
      <c r="D6212" s="1249"/>
      <c r="E6212" s="1268"/>
      <c r="F6212" s="1266"/>
      <c r="G6212" s="1267" t="s">
        <v>7044</v>
      </c>
      <c r="H6212" s="1240"/>
    </row>
    <row r="6213" spans="1:8" x14ac:dyDescent="0.25">
      <c r="A6213" s="1238"/>
      <c r="B6213" s="1270"/>
      <c r="C6213" s="1264"/>
      <c r="D6213" s="1264"/>
      <c r="E6213" s="1265"/>
      <c r="F6213" s="1266"/>
      <c r="G6213" s="1267"/>
      <c r="H6213" s="1271"/>
    </row>
    <row r="6214" spans="1:8" x14ac:dyDescent="0.25">
      <c r="A6214" s="1238"/>
      <c r="B6214" s="1251"/>
      <c r="C6214" s="1249" t="s">
        <v>7044</v>
      </c>
      <c r="D6214" s="1249"/>
      <c r="E6214" s="1272" t="s">
        <v>7044</v>
      </c>
      <c r="F6214" s="1266"/>
      <c r="G6214" s="1267" t="s">
        <v>7044</v>
      </c>
      <c r="H6214" s="1240"/>
    </row>
    <row r="6215" spans="1:8" x14ac:dyDescent="0.25">
      <c r="A6215" s="1238"/>
      <c r="B6215" s="1251"/>
      <c r="C6215" s="1249" t="s">
        <v>7044</v>
      </c>
      <c r="D6215" s="1249"/>
      <c r="E6215" s="1272" t="s">
        <v>7044</v>
      </c>
      <c r="F6215" s="1266"/>
      <c r="G6215" s="1267" t="s">
        <v>7044</v>
      </c>
      <c r="H6215" s="1240"/>
    </row>
    <row r="6216" spans="1:8" x14ac:dyDescent="0.25">
      <c r="A6216" s="1238"/>
      <c r="B6216" s="1251"/>
      <c r="C6216" s="1254" t="s">
        <v>7044</v>
      </c>
      <c r="D6216" s="1254"/>
      <c r="E6216" s="1254" t="s">
        <v>7044</v>
      </c>
      <c r="F6216" s="1249"/>
      <c r="G6216" s="1253" t="s">
        <v>7044</v>
      </c>
      <c r="H6216" s="1240"/>
    </row>
    <row r="6217" spans="1:8" x14ac:dyDescent="0.25">
      <c r="A6217" s="1238"/>
      <c r="B6217" s="1251"/>
      <c r="C6217" s="1254" t="s">
        <v>7044</v>
      </c>
      <c r="D6217" s="1254"/>
      <c r="E6217" s="1254" t="s">
        <v>7044</v>
      </c>
      <c r="F6217" s="1249"/>
      <c r="G6217" s="1253" t="s">
        <v>7044</v>
      </c>
      <c r="H6217" s="1240"/>
    </row>
    <row r="6218" spans="1:8" x14ac:dyDescent="0.25">
      <c r="A6218" s="1238"/>
      <c r="B6218" s="1251"/>
      <c r="C6218" s="1254" t="s">
        <v>7044</v>
      </c>
      <c r="D6218" s="1254"/>
      <c r="E6218" s="1254" t="s">
        <v>7044</v>
      </c>
      <c r="F6218" s="1249"/>
      <c r="G6218" s="1253" t="s">
        <v>7044</v>
      </c>
      <c r="H6218" s="1240"/>
    </row>
    <row r="6219" spans="1:8" x14ac:dyDescent="0.25">
      <c r="A6219" s="1238"/>
      <c r="B6219" s="1251"/>
      <c r="C6219" s="1254" t="s">
        <v>7044</v>
      </c>
      <c r="D6219" s="1254"/>
      <c r="E6219" s="1254" t="s">
        <v>7044</v>
      </c>
      <c r="F6219" s="1249"/>
      <c r="G6219" s="1253" t="s">
        <v>7044</v>
      </c>
      <c r="H6219" s="1240"/>
    </row>
    <row r="6220" spans="1:8" ht="15.75" thickBot="1" x14ac:dyDescent="0.3">
      <c r="A6220" s="1238"/>
      <c r="B6220" s="1251"/>
      <c r="C6220" s="1254" t="s">
        <v>7044</v>
      </c>
      <c r="D6220" s="1254"/>
      <c r="E6220" s="1254" t="s">
        <v>7044</v>
      </c>
      <c r="F6220" s="1249"/>
      <c r="G6220" s="1253" t="s">
        <v>7044</v>
      </c>
      <c r="H6220" s="1240"/>
    </row>
    <row r="6221" spans="1:8" ht="15.75" thickBot="1" x14ac:dyDescent="0.3">
      <c r="A6221" s="1238"/>
      <c r="B6221" s="1255"/>
      <c r="C6221" s="1256" t="s">
        <v>7044</v>
      </c>
      <c r="D6221" s="1256"/>
      <c r="E6221" s="1256" t="s">
        <v>7044</v>
      </c>
      <c r="F6221" s="1257"/>
      <c r="G6221" s="1258" t="s">
        <v>7044</v>
      </c>
      <c r="H6221" s="1259">
        <f>SUM(G6208:G6221)</f>
        <v>27310500</v>
      </c>
    </row>
    <row r="6222" spans="1:8" ht="15.75" thickBot="1" x14ac:dyDescent="0.3">
      <c r="A6222" s="1238"/>
      <c r="B6222" s="1260"/>
      <c r="C6222" s="1260"/>
      <c r="D6222" s="1260"/>
      <c r="E6222" s="1260"/>
      <c r="F6222" s="1261"/>
      <c r="G6222" s="1262"/>
      <c r="H6222" s="1263"/>
    </row>
    <row r="6223" spans="1:8" ht="15.75" thickBot="1" x14ac:dyDescent="0.3">
      <c r="A6223" s="1293"/>
      <c r="B6223" s="1297" t="s">
        <v>5410</v>
      </c>
      <c r="C6223" s="1298" t="s">
        <v>867</v>
      </c>
      <c r="D6223" s="1298" t="s">
        <v>6</v>
      </c>
      <c r="E6223" s="1298" t="s">
        <v>870</v>
      </c>
      <c r="F6223" s="1298" t="s">
        <v>5411</v>
      </c>
      <c r="G6223" s="1299" t="s">
        <v>868</v>
      </c>
      <c r="H6223" s="1294"/>
    </row>
    <row r="6224" spans="1:8" x14ac:dyDescent="0.25">
      <c r="A6224" s="1238"/>
      <c r="B6224" s="1273"/>
      <c r="C6224" s="1264"/>
      <c r="D6224" s="1264"/>
      <c r="E6224" s="1274"/>
      <c r="F6224" s="1264"/>
      <c r="G6224" s="1275" t="s">
        <v>7044</v>
      </c>
      <c r="H6224" s="1276"/>
    </row>
    <row r="6225" spans="1:8" x14ac:dyDescent="0.25">
      <c r="A6225" s="1238"/>
      <c r="B6225" s="1269"/>
      <c r="C6225" s="1277" t="s">
        <v>7044</v>
      </c>
      <c r="D6225" s="1277"/>
      <c r="E6225" s="1277" t="s">
        <v>7044</v>
      </c>
      <c r="F6225" s="1264"/>
      <c r="G6225" s="1267" t="s">
        <v>7044</v>
      </c>
      <c r="H6225" s="1240"/>
    </row>
    <row r="6226" spans="1:8" x14ac:dyDescent="0.25">
      <c r="A6226" s="1238"/>
      <c r="B6226" s="1251"/>
      <c r="C6226" s="1254" t="s">
        <v>7044</v>
      </c>
      <c r="D6226" s="1254"/>
      <c r="E6226" s="1254" t="s">
        <v>7044</v>
      </c>
      <c r="F6226" s="1249"/>
      <c r="G6226" s="1253" t="s">
        <v>7044</v>
      </c>
      <c r="H6226" s="1240"/>
    </row>
    <row r="6227" spans="1:8" ht="15.75" thickBot="1" x14ac:dyDescent="0.3">
      <c r="A6227" s="1238"/>
      <c r="B6227" s="1251"/>
      <c r="C6227" s="1254" t="s">
        <v>7044</v>
      </c>
      <c r="D6227" s="1254"/>
      <c r="E6227" s="1254" t="s">
        <v>7044</v>
      </c>
      <c r="F6227" s="1249"/>
      <c r="G6227" s="1253" t="s">
        <v>7044</v>
      </c>
      <c r="H6227" s="1240"/>
    </row>
    <row r="6228" spans="1:8" ht="15.75" thickBot="1" x14ac:dyDescent="0.3">
      <c r="A6228" s="1238"/>
      <c r="B6228" s="1255"/>
      <c r="C6228" s="1256" t="s">
        <v>7044</v>
      </c>
      <c r="D6228" s="1256"/>
      <c r="E6228" s="1256" t="s">
        <v>7044</v>
      </c>
      <c r="F6228" s="1257"/>
      <c r="G6228" s="1258" t="s">
        <v>7044</v>
      </c>
      <c r="H6228" s="1259">
        <f>SUM(G6224:G6228)</f>
        <v>0</v>
      </c>
    </row>
    <row r="6229" spans="1:8" ht="15.75" thickBot="1" x14ac:dyDescent="0.3">
      <c r="A6229" s="1238"/>
      <c r="B6229" s="1260"/>
      <c r="C6229" s="1260"/>
      <c r="D6229" s="1260"/>
      <c r="E6229" s="1260"/>
      <c r="F6229" s="1278"/>
      <c r="G6229" s="1279"/>
      <c r="H6229" s="1263"/>
    </row>
    <row r="6230" spans="1:8" ht="15.75" thickBot="1" x14ac:dyDescent="0.3">
      <c r="A6230" s="1293"/>
      <c r="B6230" s="1297" t="s">
        <v>5412</v>
      </c>
      <c r="C6230" s="1298" t="s">
        <v>5420</v>
      </c>
      <c r="D6230" s="1298" t="s">
        <v>5421</v>
      </c>
      <c r="E6230" s="1298" t="s">
        <v>5413</v>
      </c>
      <c r="F6230" s="1298" t="s">
        <v>5405</v>
      </c>
      <c r="G6230" s="1299" t="s">
        <v>868</v>
      </c>
      <c r="H6230" s="1294"/>
    </row>
    <row r="6231" spans="1:8" x14ac:dyDescent="0.25">
      <c r="A6231" s="1238"/>
      <c r="B6231" s="1328" t="s">
        <v>8299</v>
      </c>
      <c r="C6231" s="1329">
        <v>300000</v>
      </c>
      <c r="D6231" s="1329">
        <v>146370</v>
      </c>
      <c r="E6231" s="1330">
        <v>446370</v>
      </c>
      <c r="F6231" s="1331">
        <v>2</v>
      </c>
      <c r="G6231" s="1332">
        <f>IF(B6231="","",E6231/F6231)</f>
        <v>223185</v>
      </c>
      <c r="H6231" s="1240"/>
    </row>
    <row r="6232" spans="1:8" x14ac:dyDescent="0.25">
      <c r="A6232" s="1238"/>
      <c r="B6232" s="764" t="s">
        <v>5635</v>
      </c>
      <c r="C6232" s="782">
        <f>+VLOOKUP(B6232,'Mano de obra'!$A$5:$D$26,2,FALSE)</f>
        <v>24591</v>
      </c>
      <c r="D6232" s="782">
        <f>+VLOOKUP(B6232,'Mano de obra'!$A$5:$D$26,3,FALSE)</f>
        <v>15261</v>
      </c>
      <c r="E6232" s="761">
        <f>+VLOOKUP(B6232,'Mano de obra'!$A$5:$D$26,4,FALSE)</f>
        <v>39852</v>
      </c>
      <c r="F6232" s="1249">
        <v>2</v>
      </c>
      <c r="G6232" s="1275">
        <f>IF(B6232="","",E6232/F6232)</f>
        <v>19926</v>
      </c>
      <c r="H6232" s="1240"/>
    </row>
    <row r="6233" spans="1:8" x14ac:dyDescent="0.25">
      <c r="A6233" s="1238"/>
      <c r="B6233" s="1251"/>
      <c r="C6233" s="1254"/>
      <c r="D6233" s="1280"/>
      <c r="E6233" s="1235"/>
      <c r="F6233" s="1249"/>
      <c r="G6233" s="1253" t="s">
        <v>7044</v>
      </c>
      <c r="H6233" s="1240"/>
    </row>
    <row r="6234" spans="1:8" x14ac:dyDescent="0.25">
      <c r="A6234" s="1238"/>
      <c r="B6234" s="1333"/>
      <c r="C6234" s="1254"/>
      <c r="D6234" s="1280"/>
      <c r="E6234" s="1254"/>
      <c r="F6234" s="1249"/>
      <c r="G6234" s="1253"/>
      <c r="H6234" s="1240"/>
    </row>
    <row r="6235" spans="1:8" ht="15.75" thickBot="1" x14ac:dyDescent="0.3">
      <c r="A6235" s="1238"/>
      <c r="B6235" s="1269"/>
      <c r="C6235" s="1254" t="s">
        <v>7044</v>
      </c>
      <c r="D6235" s="1254"/>
      <c r="E6235" s="1254" t="s">
        <v>7044</v>
      </c>
      <c r="F6235" s="1249"/>
      <c r="G6235" s="1253" t="s">
        <v>7044</v>
      </c>
      <c r="H6235" s="1240"/>
    </row>
    <row r="6236" spans="1:8" ht="15.75" thickBot="1" x14ac:dyDescent="0.3">
      <c r="A6236" s="1238"/>
      <c r="B6236" s="1282"/>
      <c r="C6236" s="1283" t="s">
        <v>7044</v>
      </c>
      <c r="D6236" s="1283"/>
      <c r="E6236" s="1283" t="s">
        <v>7044</v>
      </c>
      <c r="F6236" s="1284"/>
      <c r="G6236" s="1285" t="s">
        <v>7044</v>
      </c>
      <c r="H6236" s="1259">
        <f>SUM(G6231:G6236)</f>
        <v>243111</v>
      </c>
    </row>
    <row r="6237" spans="1:8" ht="15.75" thickBot="1" x14ac:dyDescent="0.3">
      <c r="A6237" s="1238"/>
      <c r="B6237" s="1241"/>
      <c r="C6237" s="1241"/>
      <c r="D6237" s="1241"/>
      <c r="E6237" s="1241"/>
      <c r="F6237" s="1238"/>
      <c r="G6237" s="1240"/>
      <c r="H6237" s="1240"/>
    </row>
    <row r="6238" spans="1:8" ht="15.75" thickBot="1" x14ac:dyDescent="0.3">
      <c r="A6238" s="1238"/>
      <c r="B6238" s="1241"/>
      <c r="C6238" s="1241"/>
      <c r="D6238" s="1241"/>
      <c r="E6238" s="1286" t="s">
        <v>5415</v>
      </c>
      <c r="F6238" s="1238"/>
      <c r="G6238" s="1240"/>
      <c r="H6238" s="1259">
        <f>ROUND(H6205+H6221+H6228+H6236,0)</f>
        <v>27565767</v>
      </c>
    </row>
    <row r="6239" spans="1:8" s="1441" customFormat="1" x14ac:dyDescent="0.25">
      <c r="A6239" s="1238"/>
      <c r="B6239" s="1241"/>
      <c r="C6239" s="1241"/>
      <c r="D6239" s="1241"/>
      <c r="E6239" s="1286"/>
      <c r="F6239" s="1238"/>
      <c r="G6239" s="1240"/>
      <c r="H6239" s="1263"/>
    </row>
    <row r="6240" spans="1:8" x14ac:dyDescent="0.25">
      <c r="A6240" s="1236"/>
      <c r="B6240" s="1236"/>
      <c r="C6240" s="1236"/>
      <c r="D6240" s="1236"/>
      <c r="E6240" s="1236"/>
      <c r="F6240" s="1236"/>
      <c r="G6240" s="1237"/>
      <c r="H6240" s="1236"/>
    </row>
    <row r="6241" spans="1:8" x14ac:dyDescent="0.25">
      <c r="A6241" s="1295" t="s">
        <v>3</v>
      </c>
      <c r="B6241" s="1390" t="str">
        <f>+VLOOKUP(C6241,ListaAPUs!$B:$E,4,FALSE)</f>
        <v>7.1.23</v>
      </c>
      <c r="C6241" s="2448" t="str">
        <f>+ListaAPUs!B180</f>
        <v>Detector de gas cloro digital, marca HYDRO modelo GA-1800-1 o similar, icnluye tableros de control, señalización, baliza luminosa y sirena de señal auditiva.</v>
      </c>
      <c r="D6241" s="2448"/>
      <c r="E6241" s="2448"/>
      <c r="F6241" s="1295" t="s">
        <v>867</v>
      </c>
      <c r="G6241" s="1296" t="s">
        <v>5424</v>
      </c>
      <c r="H6241" s="1240"/>
    </row>
    <row r="6242" spans="1:8" x14ac:dyDescent="0.25">
      <c r="A6242" s="1238"/>
      <c r="B6242" s="1241"/>
      <c r="C6242" s="1242"/>
      <c r="D6242" s="1242"/>
      <c r="E6242" s="1242"/>
      <c r="F6242" s="1238"/>
      <c r="G6242" s="1240"/>
      <c r="H6242" s="1240"/>
    </row>
    <row r="6243" spans="1:8" x14ac:dyDescent="0.25">
      <c r="A6243" s="1238"/>
      <c r="B6243" s="1241"/>
      <c r="C6243" s="1241"/>
      <c r="D6243" s="1241"/>
      <c r="E6243" s="1241"/>
      <c r="F6243" s="1241"/>
      <c r="G6243" s="1241"/>
      <c r="H6243" s="1240"/>
    </row>
    <row r="6244" spans="1:8" ht="15.75" thickBot="1" x14ac:dyDescent="0.3">
      <c r="A6244" s="1238"/>
      <c r="B6244" s="1241"/>
      <c r="C6244" s="1241"/>
      <c r="D6244" s="1241"/>
      <c r="E6244" s="1241"/>
      <c r="F6244" s="1238"/>
      <c r="G6244" s="1240"/>
      <c r="H6244" s="1240"/>
    </row>
    <row r="6245" spans="1:8" ht="15.75" thickBot="1" x14ac:dyDescent="0.3">
      <c r="A6245" s="1293"/>
      <c r="B6245" s="1297" t="s">
        <v>5403</v>
      </c>
      <c r="C6245" s="1298" t="s">
        <v>867</v>
      </c>
      <c r="D6245" s="1298" t="s">
        <v>6</v>
      </c>
      <c r="E6245" s="1298" t="s">
        <v>5439</v>
      </c>
      <c r="F6245" s="1298" t="s">
        <v>5405</v>
      </c>
      <c r="G6245" s="1299" t="s">
        <v>868</v>
      </c>
      <c r="H6245" s="1294"/>
    </row>
    <row r="6246" spans="1:8" x14ac:dyDescent="0.25">
      <c r="A6246" s="1238"/>
      <c r="B6246" s="1140" t="s">
        <v>5440</v>
      </c>
      <c r="C6246" s="1246" t="s">
        <v>7042</v>
      </c>
      <c r="D6246" s="1247">
        <v>1</v>
      </c>
      <c r="E6246" s="1248">
        <f>H6284</f>
        <v>188642</v>
      </c>
      <c r="F6246" s="1249">
        <v>0.05</v>
      </c>
      <c r="G6246" s="1250">
        <f>D6246*E6246*F6246</f>
        <v>9432.1</v>
      </c>
      <c r="H6246" s="1240"/>
    </row>
    <row r="6247" spans="1:8" x14ac:dyDescent="0.25">
      <c r="A6247" s="1238"/>
      <c r="B6247" s="1288"/>
      <c r="C6247" s="226"/>
      <c r="D6247" s="232"/>
      <c r="E6247" s="1289"/>
      <c r="F6247" s="232"/>
      <c r="G6247" s="156"/>
      <c r="H6247" s="1240"/>
    </row>
    <row r="6248" spans="1:8" x14ac:dyDescent="0.25">
      <c r="A6248" s="1238"/>
      <c r="B6248" s="1251"/>
      <c r="C6248" s="1249"/>
      <c r="D6248" s="1249"/>
      <c r="E6248" s="1248"/>
      <c r="F6248" s="1249"/>
      <c r="G6248" s="1253"/>
      <c r="H6248" s="1240"/>
    </row>
    <row r="6249" spans="1:8" x14ac:dyDescent="0.25">
      <c r="A6249" s="1238"/>
      <c r="B6249" s="1251"/>
      <c r="C6249" s="1249"/>
      <c r="D6249" s="1249"/>
      <c r="E6249" s="1248"/>
      <c r="F6249" s="1249"/>
      <c r="G6249" s="1253"/>
      <c r="H6249" s="1240"/>
    </row>
    <row r="6250" spans="1:8" x14ac:dyDescent="0.25">
      <c r="A6250" s="1238"/>
      <c r="B6250" s="1251"/>
      <c r="C6250" s="1249"/>
      <c r="D6250" s="1249"/>
      <c r="E6250" s="1254"/>
      <c r="F6250" s="1249"/>
      <c r="G6250" s="1253"/>
      <c r="H6250" s="1240"/>
    </row>
    <row r="6251" spans="1:8" x14ac:dyDescent="0.25">
      <c r="A6251" s="1238"/>
      <c r="B6251" s="1251"/>
      <c r="C6251" s="1254" t="s">
        <v>7044</v>
      </c>
      <c r="D6251" s="1254"/>
      <c r="E6251" s="1254" t="s">
        <v>7044</v>
      </c>
      <c r="F6251" s="1249"/>
      <c r="G6251" s="1253" t="s">
        <v>7044</v>
      </c>
      <c r="H6251" s="1240"/>
    </row>
    <row r="6252" spans="1:8" ht="15.75" thickBot="1" x14ac:dyDescent="0.3">
      <c r="A6252" s="1238"/>
      <c r="B6252" s="1251"/>
      <c r="C6252" s="1254" t="s">
        <v>7044</v>
      </c>
      <c r="D6252" s="1254"/>
      <c r="E6252" s="1254" t="s">
        <v>7044</v>
      </c>
      <c r="F6252" s="1249"/>
      <c r="G6252" s="1253" t="s">
        <v>7044</v>
      </c>
      <c r="H6252" s="1240"/>
    </row>
    <row r="6253" spans="1:8" ht="15.75" thickBot="1" x14ac:dyDescent="0.3">
      <c r="A6253" s="1238"/>
      <c r="B6253" s="1255"/>
      <c r="C6253" s="1256" t="s">
        <v>7044</v>
      </c>
      <c r="D6253" s="1256"/>
      <c r="E6253" s="1256" t="s">
        <v>7044</v>
      </c>
      <c r="F6253" s="1257"/>
      <c r="G6253" s="1258" t="s">
        <v>7044</v>
      </c>
      <c r="H6253" s="1259">
        <f>SUM(G6246:G6253)</f>
        <v>9432.1</v>
      </c>
    </row>
    <row r="6254" spans="1:8" ht="15.75" thickBot="1" x14ac:dyDescent="0.3">
      <c r="A6254" s="1238"/>
      <c r="B6254" s="1260"/>
      <c r="C6254" s="1260"/>
      <c r="D6254" s="1260"/>
      <c r="E6254" s="1260"/>
      <c r="F6254" s="1261"/>
      <c r="G6254" s="1262" t="s">
        <v>7044</v>
      </c>
      <c r="H6254" s="1263"/>
    </row>
    <row r="6255" spans="1:8" ht="15.75" thickBot="1" x14ac:dyDescent="0.3">
      <c r="A6255" s="1293"/>
      <c r="B6255" s="1297" t="s">
        <v>5408</v>
      </c>
      <c r="C6255" s="1298" t="s">
        <v>867</v>
      </c>
      <c r="D6255" s="1298" t="s">
        <v>6</v>
      </c>
      <c r="E6255" s="1298" t="s">
        <v>870</v>
      </c>
      <c r="F6255" s="1298" t="s">
        <v>5409</v>
      </c>
      <c r="G6255" s="1299" t="s">
        <v>868</v>
      </c>
      <c r="H6255" s="1294"/>
    </row>
    <row r="6256" spans="1:8" x14ac:dyDescent="0.25">
      <c r="A6256" s="1238"/>
      <c r="B6256" s="1335" t="s">
        <v>8655</v>
      </c>
      <c r="C6256" s="743" t="s">
        <v>5424</v>
      </c>
      <c r="D6256" s="743">
        <v>1</v>
      </c>
      <c r="E6256" s="1234">
        <f>+VLOOKUP(B6256,Insumos!$A$2:$C$341,3,FALSE)</f>
        <v>12102300</v>
      </c>
      <c r="F6256" s="396"/>
      <c r="G6256" s="410">
        <f>D6256*E6256</f>
        <v>12102300</v>
      </c>
      <c r="H6256" s="1240"/>
    </row>
    <row r="6257" spans="1:8" x14ac:dyDescent="0.25">
      <c r="A6257" s="1238"/>
      <c r="B6257" s="739"/>
      <c r="C6257" s="740"/>
      <c r="D6257" s="743"/>
      <c r="E6257" s="1291"/>
      <c r="F6257" s="396"/>
      <c r="G6257" s="410"/>
      <c r="H6257" s="1240"/>
    </row>
    <row r="6258" spans="1:8" x14ac:dyDescent="0.25">
      <c r="A6258" s="1238"/>
      <c r="B6258" s="739"/>
      <c r="C6258" s="740"/>
      <c r="D6258" s="741"/>
      <c r="E6258" s="1292"/>
      <c r="F6258" s="396"/>
      <c r="G6258" s="410"/>
      <c r="H6258" s="1240"/>
    </row>
    <row r="6259" spans="1:8" x14ac:dyDescent="0.25">
      <c r="A6259" s="1238"/>
      <c r="B6259" s="1269"/>
      <c r="C6259" s="1246"/>
      <c r="D6259" s="1249"/>
      <c r="E6259" s="1268"/>
      <c r="F6259" s="1266"/>
      <c r="G6259" s="1267" t="s">
        <v>7044</v>
      </c>
      <c r="H6259" s="1240"/>
    </row>
    <row r="6260" spans="1:8" x14ac:dyDescent="0.25">
      <c r="A6260" s="1238"/>
      <c r="B6260" s="1269"/>
      <c r="C6260" s="1246"/>
      <c r="D6260" s="1249"/>
      <c r="E6260" s="1268"/>
      <c r="F6260" s="1266"/>
      <c r="G6260" s="1267" t="s">
        <v>7044</v>
      </c>
      <c r="H6260" s="1240"/>
    </row>
    <row r="6261" spans="1:8" x14ac:dyDescent="0.25">
      <c r="A6261" s="1238"/>
      <c r="B6261" s="1270"/>
      <c r="C6261" s="1264"/>
      <c r="D6261" s="1264"/>
      <c r="E6261" s="1265"/>
      <c r="F6261" s="1266"/>
      <c r="G6261" s="1267"/>
      <c r="H6261" s="1271"/>
    </row>
    <row r="6262" spans="1:8" x14ac:dyDescent="0.25">
      <c r="A6262" s="1238"/>
      <c r="B6262" s="1251"/>
      <c r="C6262" s="1249" t="s">
        <v>7044</v>
      </c>
      <c r="D6262" s="1249"/>
      <c r="E6262" s="1272" t="s">
        <v>7044</v>
      </c>
      <c r="F6262" s="1266"/>
      <c r="G6262" s="1267" t="s">
        <v>7044</v>
      </c>
      <c r="H6262" s="1240"/>
    </row>
    <row r="6263" spans="1:8" x14ac:dyDescent="0.25">
      <c r="A6263" s="1238"/>
      <c r="B6263" s="1251"/>
      <c r="C6263" s="1249" t="s">
        <v>7044</v>
      </c>
      <c r="D6263" s="1249"/>
      <c r="E6263" s="1272" t="s">
        <v>7044</v>
      </c>
      <c r="F6263" s="1266"/>
      <c r="G6263" s="1267" t="s">
        <v>7044</v>
      </c>
      <c r="H6263" s="1240"/>
    </row>
    <row r="6264" spans="1:8" x14ac:dyDescent="0.25">
      <c r="A6264" s="1238"/>
      <c r="B6264" s="1251"/>
      <c r="C6264" s="1254" t="s">
        <v>7044</v>
      </c>
      <c r="D6264" s="1254"/>
      <c r="E6264" s="1254" t="s">
        <v>7044</v>
      </c>
      <c r="F6264" s="1249"/>
      <c r="G6264" s="1253" t="s">
        <v>7044</v>
      </c>
      <c r="H6264" s="1240"/>
    </row>
    <row r="6265" spans="1:8" x14ac:dyDescent="0.25">
      <c r="A6265" s="1238"/>
      <c r="B6265" s="1251"/>
      <c r="C6265" s="1254" t="s">
        <v>7044</v>
      </c>
      <c r="D6265" s="1254"/>
      <c r="E6265" s="1254" t="s">
        <v>7044</v>
      </c>
      <c r="F6265" s="1249"/>
      <c r="G6265" s="1253" t="s">
        <v>7044</v>
      </c>
      <c r="H6265" s="1240"/>
    </row>
    <row r="6266" spans="1:8" x14ac:dyDescent="0.25">
      <c r="A6266" s="1238"/>
      <c r="B6266" s="1251"/>
      <c r="C6266" s="1254" t="s">
        <v>7044</v>
      </c>
      <c r="D6266" s="1254"/>
      <c r="E6266" s="1254" t="s">
        <v>7044</v>
      </c>
      <c r="F6266" s="1249"/>
      <c r="G6266" s="1253" t="s">
        <v>7044</v>
      </c>
      <c r="H6266" s="1240"/>
    </row>
    <row r="6267" spans="1:8" x14ac:dyDescent="0.25">
      <c r="A6267" s="1238"/>
      <c r="B6267" s="1251"/>
      <c r="C6267" s="1254" t="s">
        <v>7044</v>
      </c>
      <c r="D6267" s="1254"/>
      <c r="E6267" s="1254" t="s">
        <v>7044</v>
      </c>
      <c r="F6267" s="1249"/>
      <c r="G6267" s="1253" t="s">
        <v>7044</v>
      </c>
      <c r="H6267" s="1240"/>
    </row>
    <row r="6268" spans="1:8" ht="15.75" thickBot="1" x14ac:dyDescent="0.3">
      <c r="A6268" s="1238"/>
      <c r="B6268" s="1251"/>
      <c r="C6268" s="1254" t="s">
        <v>7044</v>
      </c>
      <c r="D6268" s="1254"/>
      <c r="E6268" s="1254" t="s">
        <v>7044</v>
      </c>
      <c r="F6268" s="1249"/>
      <c r="G6268" s="1253" t="s">
        <v>7044</v>
      </c>
      <c r="H6268" s="1240"/>
    </row>
    <row r="6269" spans="1:8" ht="15.75" thickBot="1" x14ac:dyDescent="0.3">
      <c r="A6269" s="1238"/>
      <c r="B6269" s="1255"/>
      <c r="C6269" s="1256" t="s">
        <v>7044</v>
      </c>
      <c r="D6269" s="1256"/>
      <c r="E6269" s="1256" t="s">
        <v>7044</v>
      </c>
      <c r="F6269" s="1257"/>
      <c r="G6269" s="1258" t="s">
        <v>7044</v>
      </c>
      <c r="H6269" s="1259">
        <f>SUM(G6256:G6269)</f>
        <v>12102300</v>
      </c>
    </row>
    <row r="6270" spans="1:8" ht="15.75" thickBot="1" x14ac:dyDescent="0.3">
      <c r="A6270" s="1238"/>
      <c r="B6270" s="1260"/>
      <c r="C6270" s="1260"/>
      <c r="D6270" s="1260"/>
      <c r="E6270" s="1260"/>
      <c r="F6270" s="1261"/>
      <c r="G6270" s="1262"/>
      <c r="H6270" s="1263"/>
    </row>
    <row r="6271" spans="1:8" ht="15.75" thickBot="1" x14ac:dyDescent="0.3">
      <c r="A6271" s="1293"/>
      <c r="B6271" s="1297" t="s">
        <v>5410</v>
      </c>
      <c r="C6271" s="1298" t="s">
        <v>867</v>
      </c>
      <c r="D6271" s="1298" t="s">
        <v>6</v>
      </c>
      <c r="E6271" s="1298" t="s">
        <v>870</v>
      </c>
      <c r="F6271" s="1298" t="s">
        <v>5411</v>
      </c>
      <c r="G6271" s="1299" t="s">
        <v>868</v>
      </c>
      <c r="H6271" s="1294"/>
    </row>
    <row r="6272" spans="1:8" x14ac:dyDescent="0.25">
      <c r="A6272" s="1238"/>
      <c r="B6272" s="1273" t="s">
        <v>5410</v>
      </c>
      <c r="C6272" s="1264" t="s">
        <v>5424</v>
      </c>
      <c r="D6272" s="1264">
        <v>1</v>
      </c>
      <c r="E6272" s="1274">
        <v>100000</v>
      </c>
      <c r="F6272" s="1264"/>
      <c r="G6272" s="1275">
        <f>E6272*D6272</f>
        <v>100000</v>
      </c>
      <c r="H6272" s="1276"/>
    </row>
    <row r="6273" spans="1:8" x14ac:dyDescent="0.25">
      <c r="A6273" s="1238"/>
      <c r="B6273" s="1269"/>
      <c r="C6273" s="1277" t="s">
        <v>7044</v>
      </c>
      <c r="D6273" s="1277"/>
      <c r="E6273" s="1277" t="s">
        <v>7044</v>
      </c>
      <c r="F6273" s="1264"/>
      <c r="G6273" s="1267" t="s">
        <v>7044</v>
      </c>
      <c r="H6273" s="1240"/>
    </row>
    <row r="6274" spans="1:8" x14ac:dyDescent="0.25">
      <c r="A6274" s="1238"/>
      <c r="B6274" s="1251"/>
      <c r="C6274" s="1254" t="s">
        <v>7044</v>
      </c>
      <c r="D6274" s="1254"/>
      <c r="E6274" s="1254" t="s">
        <v>7044</v>
      </c>
      <c r="F6274" s="1249"/>
      <c r="G6274" s="1253" t="s">
        <v>7044</v>
      </c>
      <c r="H6274" s="1240"/>
    </row>
    <row r="6275" spans="1:8" ht="15.75" thickBot="1" x14ac:dyDescent="0.3">
      <c r="A6275" s="1238"/>
      <c r="B6275" s="1251"/>
      <c r="C6275" s="1254" t="s">
        <v>7044</v>
      </c>
      <c r="D6275" s="1254"/>
      <c r="E6275" s="1254" t="s">
        <v>7044</v>
      </c>
      <c r="F6275" s="1249"/>
      <c r="G6275" s="1253" t="s">
        <v>7044</v>
      </c>
      <c r="H6275" s="1240"/>
    </row>
    <row r="6276" spans="1:8" ht="15.75" thickBot="1" x14ac:dyDescent="0.3">
      <c r="A6276" s="1238"/>
      <c r="B6276" s="1255"/>
      <c r="C6276" s="1256" t="s">
        <v>7044</v>
      </c>
      <c r="D6276" s="1256"/>
      <c r="E6276" s="1256" t="s">
        <v>7044</v>
      </c>
      <c r="F6276" s="1257"/>
      <c r="G6276" s="1258" t="s">
        <v>7044</v>
      </c>
      <c r="H6276" s="1259">
        <v>100000</v>
      </c>
    </row>
    <row r="6277" spans="1:8" ht="15.75" thickBot="1" x14ac:dyDescent="0.3">
      <c r="A6277" s="1238"/>
      <c r="B6277" s="1260"/>
      <c r="C6277" s="1260"/>
      <c r="D6277" s="1260"/>
      <c r="E6277" s="1260"/>
      <c r="F6277" s="1278"/>
      <c r="G6277" s="1279"/>
      <c r="H6277" s="1263"/>
    </row>
    <row r="6278" spans="1:8" ht="15.75" thickBot="1" x14ac:dyDescent="0.3">
      <c r="A6278" s="1293"/>
      <c r="B6278" s="1297" t="s">
        <v>5412</v>
      </c>
      <c r="C6278" s="1298" t="s">
        <v>5420</v>
      </c>
      <c r="D6278" s="1298" t="s">
        <v>5421</v>
      </c>
      <c r="E6278" s="1298" t="s">
        <v>5413</v>
      </c>
      <c r="F6278" s="1298" t="s">
        <v>5405</v>
      </c>
      <c r="G6278" s="1299" t="s">
        <v>868</v>
      </c>
      <c r="H6278" s="1294"/>
    </row>
    <row r="6279" spans="1:8" x14ac:dyDescent="0.25">
      <c r="A6279" s="1238"/>
      <c r="B6279" s="1328" t="s">
        <v>8299</v>
      </c>
      <c r="C6279" s="1329">
        <v>300000</v>
      </c>
      <c r="D6279" s="1329">
        <v>146370</v>
      </c>
      <c r="E6279" s="1330">
        <v>446370</v>
      </c>
      <c r="F6279" s="1264">
        <v>3</v>
      </c>
      <c r="G6279" s="1332">
        <f>IF(B6279="","",E6279/F6279)</f>
        <v>148790</v>
      </c>
      <c r="H6279" s="1240"/>
    </row>
    <row r="6280" spans="1:8" x14ac:dyDescent="0.25">
      <c r="A6280" s="1238"/>
      <c r="B6280" s="764" t="s">
        <v>5635</v>
      </c>
      <c r="C6280" s="782">
        <f>+VLOOKUP(B6280,'Mano de obra'!$A$5:$D$26,2,FALSE)</f>
        <v>24591</v>
      </c>
      <c r="D6280" s="782">
        <f>+VLOOKUP(B6280,'Mano de obra'!$A$5:$D$26,3,FALSE)</f>
        <v>15261</v>
      </c>
      <c r="E6280" s="761">
        <f>+VLOOKUP(B6280,'Mano de obra'!$A$5:$D$26,4,FALSE)</f>
        <v>39852</v>
      </c>
      <c r="F6280" s="1249">
        <v>1</v>
      </c>
      <c r="G6280" s="1275">
        <f>IF(B6280="","",E6280/F6280)</f>
        <v>39852</v>
      </c>
      <c r="H6280" s="1240"/>
    </row>
    <row r="6281" spans="1:8" x14ac:dyDescent="0.25">
      <c r="A6281" s="1238"/>
      <c r="B6281" s="1251"/>
      <c r="C6281" s="1254"/>
      <c r="D6281" s="1280"/>
      <c r="E6281" s="1235"/>
      <c r="F6281" s="1249"/>
      <c r="G6281" s="1253"/>
      <c r="H6281" s="1240"/>
    </row>
    <row r="6282" spans="1:8" x14ac:dyDescent="0.25">
      <c r="A6282" s="1238"/>
      <c r="B6282" s="1343"/>
      <c r="C6282" s="1254"/>
      <c r="D6282" s="1280"/>
      <c r="E6282" s="1254"/>
      <c r="F6282" s="1249"/>
      <c r="G6282" s="1253"/>
      <c r="H6282" s="1240"/>
    </row>
    <row r="6283" spans="1:8" ht="15.75" thickBot="1" x14ac:dyDescent="0.3">
      <c r="A6283" s="1238"/>
      <c r="B6283" s="1269"/>
      <c r="C6283" s="1254" t="s">
        <v>7044</v>
      </c>
      <c r="D6283" s="1254"/>
      <c r="E6283" s="1254" t="s">
        <v>7044</v>
      </c>
      <c r="F6283" s="1249"/>
      <c r="G6283" s="1253" t="s">
        <v>7044</v>
      </c>
      <c r="H6283" s="1240"/>
    </row>
    <row r="6284" spans="1:8" ht="15.75" thickBot="1" x14ac:dyDescent="0.3">
      <c r="A6284" s="1238"/>
      <c r="B6284" s="1282"/>
      <c r="C6284" s="1283" t="s">
        <v>7044</v>
      </c>
      <c r="D6284" s="1283"/>
      <c r="E6284" s="1283" t="s">
        <v>7044</v>
      </c>
      <c r="F6284" s="1284"/>
      <c r="G6284" s="1285" t="s">
        <v>7044</v>
      </c>
      <c r="H6284" s="1259">
        <f>SUM(G6279:G6284)</f>
        <v>188642</v>
      </c>
    </row>
    <row r="6285" spans="1:8" ht="15.75" thickBot="1" x14ac:dyDescent="0.3">
      <c r="A6285" s="1238"/>
      <c r="B6285" s="1241"/>
      <c r="C6285" s="1241"/>
      <c r="D6285" s="1241"/>
      <c r="E6285" s="1241"/>
      <c r="F6285" s="1238"/>
      <c r="G6285" s="1240"/>
      <c r="H6285" s="1240"/>
    </row>
    <row r="6286" spans="1:8" ht="15.75" thickBot="1" x14ac:dyDescent="0.3">
      <c r="A6286" s="1238"/>
      <c r="B6286" s="1241"/>
      <c r="C6286" s="1241"/>
      <c r="D6286" s="1241"/>
      <c r="E6286" s="1286" t="s">
        <v>5415</v>
      </c>
      <c r="F6286" s="1238"/>
      <c r="G6286" s="1240"/>
      <c r="H6286" s="1259">
        <f>ROUND(H6253+H6269+H6276+H6284,0)</f>
        <v>12400374</v>
      </c>
    </row>
    <row r="6287" spans="1:8" x14ac:dyDescent="0.25">
      <c r="A6287" s="1236"/>
      <c r="B6287" s="1236"/>
      <c r="C6287" s="1236"/>
      <c r="D6287" s="1236"/>
      <c r="E6287" s="1236"/>
      <c r="F6287" s="1236"/>
      <c r="G6287" s="1237"/>
      <c r="H6287" s="1236"/>
    </row>
    <row r="6288" spans="1:8" x14ac:dyDescent="0.25">
      <c r="A6288" s="1236"/>
      <c r="B6288" s="1236"/>
      <c r="C6288" s="1287"/>
      <c r="D6288" s="1236"/>
      <c r="E6288" s="1287"/>
      <c r="F6288" s="1236"/>
      <c r="G6288" s="1237"/>
      <c r="H6288" s="1236"/>
    </row>
    <row r="6289" spans="1:8" x14ac:dyDescent="0.25">
      <c r="A6289" s="1236"/>
      <c r="B6289" s="1236"/>
      <c r="C6289" s="1236"/>
      <c r="D6289" s="1236"/>
      <c r="E6289" s="1236"/>
      <c r="F6289" s="1236"/>
      <c r="G6289" s="1237"/>
      <c r="H6289" s="1236"/>
    </row>
    <row r="6290" spans="1:8" x14ac:dyDescent="0.25">
      <c r="A6290" s="1295" t="s">
        <v>3</v>
      </c>
      <c r="B6290" s="1390" t="str">
        <f>+VLOOKUP(C6290,ListaAPUs!$B:$E,4,FALSE)</f>
        <v>7.1.24</v>
      </c>
      <c r="C6290" s="2448" t="str">
        <f>+ListaAPUs!B181</f>
        <v xml:space="preserve">Máscaras de protección facial modelo advantage 3000 o similar contra gases ácidos y vapores orgánicos, con cuerpo de neopreno blando antialégico. Incluye un (1) filtro de cloro. </v>
      </c>
      <c r="D6290" s="2448"/>
      <c r="E6290" s="2448"/>
      <c r="F6290" s="1295" t="s">
        <v>867</v>
      </c>
      <c r="G6290" s="1296" t="s">
        <v>5424</v>
      </c>
      <c r="H6290" s="1294"/>
    </row>
    <row r="6291" spans="1:8" x14ac:dyDescent="0.25">
      <c r="A6291" s="1238"/>
      <c r="B6291" s="1241"/>
      <c r="C6291" s="1242"/>
      <c r="D6291" s="1242"/>
      <c r="E6291" s="1242"/>
      <c r="F6291" s="1238"/>
      <c r="G6291" s="1240"/>
      <c r="H6291" s="1240"/>
    </row>
    <row r="6292" spans="1:8" x14ac:dyDescent="0.25">
      <c r="A6292" s="1238"/>
      <c r="B6292" s="1241"/>
      <c r="C6292" s="1241"/>
      <c r="D6292" s="1241"/>
      <c r="E6292" s="1241"/>
      <c r="F6292" s="1241"/>
      <c r="G6292" s="1241"/>
      <c r="H6292" s="1240"/>
    </row>
    <row r="6293" spans="1:8" ht="15.75" thickBot="1" x14ac:dyDescent="0.3">
      <c r="A6293" s="1238"/>
      <c r="B6293" s="1241"/>
      <c r="C6293" s="1241"/>
      <c r="D6293" s="1241"/>
      <c r="E6293" s="1241"/>
      <c r="F6293" s="1238"/>
      <c r="G6293" s="1240"/>
      <c r="H6293" s="1240"/>
    </row>
    <row r="6294" spans="1:8" ht="15.75" thickBot="1" x14ac:dyDescent="0.3">
      <c r="A6294" s="1293"/>
      <c r="B6294" s="1297" t="s">
        <v>5403</v>
      </c>
      <c r="C6294" s="1298" t="s">
        <v>867</v>
      </c>
      <c r="D6294" s="1298" t="s">
        <v>6</v>
      </c>
      <c r="E6294" s="1298" t="s">
        <v>5439</v>
      </c>
      <c r="F6294" s="1298" t="s">
        <v>5405</v>
      </c>
      <c r="G6294" s="1299" t="s">
        <v>868</v>
      </c>
      <c r="H6294" s="1294"/>
    </row>
    <row r="6295" spans="1:8" x14ac:dyDescent="0.25">
      <c r="A6295" s="1238"/>
      <c r="B6295" s="1140"/>
      <c r="C6295" s="1246"/>
      <c r="D6295" s="1247"/>
      <c r="E6295" s="1248"/>
      <c r="F6295" s="1249"/>
      <c r="G6295" s="1250"/>
      <c r="H6295" s="1240"/>
    </row>
    <row r="6296" spans="1:8" x14ac:dyDescent="0.25">
      <c r="A6296" s="1238"/>
      <c r="B6296" s="1288"/>
      <c r="C6296" s="226"/>
      <c r="D6296" s="232"/>
      <c r="E6296" s="1289"/>
      <c r="F6296" s="232"/>
      <c r="G6296" s="156"/>
      <c r="H6296" s="1240"/>
    </row>
    <row r="6297" spans="1:8" x14ac:dyDescent="0.25">
      <c r="A6297" s="1238"/>
      <c r="B6297" s="1251"/>
      <c r="C6297" s="1249"/>
      <c r="D6297" s="1249"/>
      <c r="E6297" s="1248"/>
      <c r="F6297" s="1249"/>
      <c r="G6297" s="1253"/>
      <c r="H6297" s="1240"/>
    </row>
    <row r="6298" spans="1:8" x14ac:dyDescent="0.25">
      <c r="A6298" s="1238"/>
      <c r="B6298" s="1251"/>
      <c r="C6298" s="1249"/>
      <c r="D6298" s="1249"/>
      <c r="E6298" s="1248"/>
      <c r="F6298" s="1249"/>
      <c r="G6298" s="1253"/>
      <c r="H6298" s="1240"/>
    </row>
    <row r="6299" spans="1:8" x14ac:dyDescent="0.25">
      <c r="A6299" s="1238"/>
      <c r="B6299" s="1251"/>
      <c r="C6299" s="1249"/>
      <c r="D6299" s="1249"/>
      <c r="E6299" s="1254"/>
      <c r="F6299" s="1249"/>
      <c r="G6299" s="1253"/>
      <c r="H6299" s="1240"/>
    </row>
    <row r="6300" spans="1:8" x14ac:dyDescent="0.25">
      <c r="A6300" s="1238"/>
      <c r="B6300" s="1251"/>
      <c r="C6300" s="1254" t="s">
        <v>7044</v>
      </c>
      <c r="D6300" s="1254"/>
      <c r="E6300" s="1254" t="s">
        <v>7044</v>
      </c>
      <c r="F6300" s="1249"/>
      <c r="G6300" s="1253" t="s">
        <v>7044</v>
      </c>
      <c r="H6300" s="1240"/>
    </row>
    <row r="6301" spans="1:8" ht="15.75" thickBot="1" x14ac:dyDescent="0.3">
      <c r="A6301" s="1238"/>
      <c r="B6301" s="1251"/>
      <c r="C6301" s="1254" t="s">
        <v>7044</v>
      </c>
      <c r="D6301" s="1254"/>
      <c r="E6301" s="1254" t="s">
        <v>7044</v>
      </c>
      <c r="F6301" s="1249"/>
      <c r="G6301" s="1253" t="s">
        <v>7044</v>
      </c>
      <c r="H6301" s="1240"/>
    </row>
    <row r="6302" spans="1:8" ht="15.75" thickBot="1" x14ac:dyDescent="0.3">
      <c r="A6302" s="1238"/>
      <c r="B6302" s="1255"/>
      <c r="C6302" s="1256" t="s">
        <v>7044</v>
      </c>
      <c r="D6302" s="1256"/>
      <c r="E6302" s="1256" t="s">
        <v>7044</v>
      </c>
      <c r="F6302" s="1257"/>
      <c r="G6302" s="1258" t="s">
        <v>7044</v>
      </c>
      <c r="H6302" s="1259">
        <f>SUM(G6295:G6302)</f>
        <v>0</v>
      </c>
    </row>
    <row r="6303" spans="1:8" ht="15.75" thickBot="1" x14ac:dyDescent="0.3">
      <c r="A6303" s="1238"/>
      <c r="B6303" s="1260"/>
      <c r="C6303" s="1260"/>
      <c r="D6303" s="1260"/>
      <c r="E6303" s="1260"/>
      <c r="F6303" s="1261"/>
      <c r="G6303" s="1262" t="s">
        <v>7044</v>
      </c>
      <c r="H6303" s="1263"/>
    </row>
    <row r="6304" spans="1:8" ht="15.75" thickBot="1" x14ac:dyDescent="0.3">
      <c r="A6304" s="1293"/>
      <c r="B6304" s="1297" t="s">
        <v>5408</v>
      </c>
      <c r="C6304" s="1298" t="s">
        <v>867</v>
      </c>
      <c r="D6304" s="1298" t="s">
        <v>6</v>
      </c>
      <c r="E6304" s="1298" t="s">
        <v>870</v>
      </c>
      <c r="F6304" s="1298" t="s">
        <v>5409</v>
      </c>
      <c r="G6304" s="1299" t="s">
        <v>868</v>
      </c>
      <c r="H6304" s="1294"/>
    </row>
    <row r="6305" spans="1:8" x14ac:dyDescent="0.25">
      <c r="A6305" s="1238"/>
      <c r="B6305" s="1335" t="s">
        <v>8656</v>
      </c>
      <c r="C6305" s="743" t="s">
        <v>5424</v>
      </c>
      <c r="D6305" s="743">
        <v>1</v>
      </c>
      <c r="E6305" s="1234">
        <f>+VLOOKUP(B6305,Insumos!$A$2:$C$341,3,FALSE)</f>
        <v>940100</v>
      </c>
      <c r="F6305" s="396"/>
      <c r="G6305" s="410">
        <f>D6305*E6305</f>
        <v>940100</v>
      </c>
      <c r="H6305" s="1240"/>
    </row>
    <row r="6306" spans="1:8" x14ac:dyDescent="0.25">
      <c r="A6306" s="1238"/>
      <c r="B6306" s="739"/>
      <c r="C6306" s="740"/>
      <c r="D6306" s="743"/>
      <c r="E6306" s="1291"/>
      <c r="F6306" s="396"/>
      <c r="G6306" s="410"/>
      <c r="H6306" s="1240"/>
    </row>
    <row r="6307" spans="1:8" x14ac:dyDescent="0.25">
      <c r="A6307" s="1238"/>
      <c r="B6307" s="739"/>
      <c r="C6307" s="740"/>
      <c r="D6307" s="741"/>
      <c r="E6307" s="1292"/>
      <c r="F6307" s="396"/>
      <c r="G6307" s="410"/>
      <c r="H6307" s="1240"/>
    </row>
    <row r="6308" spans="1:8" x14ac:dyDescent="0.25">
      <c r="A6308" s="1238"/>
      <c r="B6308" s="1269"/>
      <c r="C6308" s="1246"/>
      <c r="D6308" s="1249"/>
      <c r="E6308" s="1268"/>
      <c r="F6308" s="1266"/>
      <c r="G6308" s="1267" t="s">
        <v>7044</v>
      </c>
      <c r="H6308" s="1240"/>
    </row>
    <row r="6309" spans="1:8" x14ac:dyDescent="0.25">
      <c r="A6309" s="1238"/>
      <c r="B6309" s="1269"/>
      <c r="C6309" s="1246"/>
      <c r="D6309" s="1249"/>
      <c r="E6309" s="1268"/>
      <c r="F6309" s="1266"/>
      <c r="G6309" s="1267" t="s">
        <v>7044</v>
      </c>
      <c r="H6309" s="1240"/>
    </row>
    <row r="6310" spans="1:8" x14ac:dyDescent="0.25">
      <c r="A6310" s="1238"/>
      <c r="B6310" s="1270"/>
      <c r="C6310" s="1264"/>
      <c r="D6310" s="1264"/>
      <c r="E6310" s="1265"/>
      <c r="F6310" s="1266"/>
      <c r="G6310" s="1267"/>
      <c r="H6310" s="1271"/>
    </row>
    <row r="6311" spans="1:8" x14ac:dyDescent="0.25">
      <c r="A6311" s="1238"/>
      <c r="B6311" s="1251"/>
      <c r="C6311" s="1249" t="s">
        <v>7044</v>
      </c>
      <c r="D6311" s="1249"/>
      <c r="E6311" s="1272" t="s">
        <v>7044</v>
      </c>
      <c r="F6311" s="1266"/>
      <c r="G6311" s="1267" t="s">
        <v>7044</v>
      </c>
      <c r="H6311" s="1240"/>
    </row>
    <row r="6312" spans="1:8" x14ac:dyDescent="0.25">
      <c r="A6312" s="1238"/>
      <c r="B6312" s="1251"/>
      <c r="C6312" s="1249" t="s">
        <v>7044</v>
      </c>
      <c r="D6312" s="1249"/>
      <c r="E6312" s="1272" t="s">
        <v>7044</v>
      </c>
      <c r="F6312" s="1266"/>
      <c r="G6312" s="1267" t="s">
        <v>7044</v>
      </c>
      <c r="H6312" s="1240"/>
    </row>
    <row r="6313" spans="1:8" x14ac:dyDescent="0.25">
      <c r="A6313" s="1238"/>
      <c r="B6313" s="1251"/>
      <c r="C6313" s="1254" t="s">
        <v>7044</v>
      </c>
      <c r="D6313" s="1254"/>
      <c r="E6313" s="1254" t="s">
        <v>7044</v>
      </c>
      <c r="F6313" s="1249"/>
      <c r="G6313" s="1253" t="s">
        <v>7044</v>
      </c>
      <c r="H6313" s="1240"/>
    </row>
    <row r="6314" spans="1:8" x14ac:dyDescent="0.25">
      <c r="A6314" s="1238"/>
      <c r="B6314" s="1251"/>
      <c r="C6314" s="1254" t="s">
        <v>7044</v>
      </c>
      <c r="D6314" s="1254"/>
      <c r="E6314" s="1254" t="s">
        <v>7044</v>
      </c>
      <c r="F6314" s="1249"/>
      <c r="G6314" s="1253" t="s">
        <v>7044</v>
      </c>
      <c r="H6314" s="1240"/>
    </row>
    <row r="6315" spans="1:8" x14ac:dyDescent="0.25">
      <c r="A6315" s="1238"/>
      <c r="B6315" s="1251"/>
      <c r="C6315" s="1254" t="s">
        <v>7044</v>
      </c>
      <c r="D6315" s="1254"/>
      <c r="E6315" s="1254" t="s">
        <v>7044</v>
      </c>
      <c r="F6315" s="1249"/>
      <c r="G6315" s="1253" t="s">
        <v>7044</v>
      </c>
      <c r="H6315" s="1240"/>
    </row>
    <row r="6316" spans="1:8" x14ac:dyDescent="0.25">
      <c r="A6316" s="1238"/>
      <c r="B6316" s="1251"/>
      <c r="C6316" s="1254" t="s">
        <v>7044</v>
      </c>
      <c r="D6316" s="1254"/>
      <c r="E6316" s="1254" t="s">
        <v>7044</v>
      </c>
      <c r="F6316" s="1249"/>
      <c r="G6316" s="1253" t="s">
        <v>7044</v>
      </c>
      <c r="H6316" s="1240"/>
    </row>
    <row r="6317" spans="1:8" ht="15.75" thickBot="1" x14ac:dyDescent="0.3">
      <c r="A6317" s="1238"/>
      <c r="B6317" s="1251"/>
      <c r="C6317" s="1254" t="s">
        <v>7044</v>
      </c>
      <c r="D6317" s="1254"/>
      <c r="E6317" s="1254" t="s">
        <v>7044</v>
      </c>
      <c r="F6317" s="1249"/>
      <c r="G6317" s="1253" t="s">
        <v>7044</v>
      </c>
      <c r="H6317" s="1240"/>
    </row>
    <row r="6318" spans="1:8" ht="15.75" thickBot="1" x14ac:dyDescent="0.3">
      <c r="A6318" s="1238"/>
      <c r="B6318" s="1255"/>
      <c r="C6318" s="1256" t="s">
        <v>7044</v>
      </c>
      <c r="D6318" s="1256"/>
      <c r="E6318" s="1256" t="s">
        <v>7044</v>
      </c>
      <c r="F6318" s="1257"/>
      <c r="G6318" s="1258" t="s">
        <v>7044</v>
      </c>
      <c r="H6318" s="1259">
        <f>SUM(G6305:G6318)</f>
        <v>940100</v>
      </c>
    </row>
    <row r="6319" spans="1:8" ht="15.75" thickBot="1" x14ac:dyDescent="0.3">
      <c r="A6319" s="1238"/>
      <c r="B6319" s="1260"/>
      <c r="C6319" s="1260"/>
      <c r="D6319" s="1260"/>
      <c r="E6319" s="1260"/>
      <c r="F6319" s="1261"/>
      <c r="G6319" s="1262"/>
      <c r="H6319" s="1263"/>
    </row>
    <row r="6320" spans="1:8" ht="15.75" thickBot="1" x14ac:dyDescent="0.3">
      <c r="A6320" s="1293"/>
      <c r="B6320" s="1297" t="s">
        <v>5410</v>
      </c>
      <c r="C6320" s="1298" t="s">
        <v>867</v>
      </c>
      <c r="D6320" s="1298" t="s">
        <v>6</v>
      </c>
      <c r="E6320" s="1298" t="s">
        <v>870</v>
      </c>
      <c r="F6320" s="1298" t="s">
        <v>5411</v>
      </c>
      <c r="G6320" s="1299" t="s">
        <v>868</v>
      </c>
      <c r="H6320" s="1294"/>
    </row>
    <row r="6321" spans="1:8" x14ac:dyDescent="0.25">
      <c r="A6321" s="1238"/>
      <c r="B6321" s="1273" t="s">
        <v>5410</v>
      </c>
      <c r="C6321" s="1264" t="s">
        <v>5424</v>
      </c>
      <c r="D6321" s="1264">
        <v>1</v>
      </c>
      <c r="E6321" s="1274">
        <v>47005</v>
      </c>
      <c r="F6321" s="1264"/>
      <c r="G6321" s="1275">
        <f>D6321*E6321</f>
        <v>47005</v>
      </c>
      <c r="H6321" s="1276"/>
    </row>
    <row r="6322" spans="1:8" x14ac:dyDescent="0.25">
      <c r="A6322" s="1238"/>
      <c r="B6322" s="1269"/>
      <c r="C6322" s="1277" t="s">
        <v>7044</v>
      </c>
      <c r="D6322" s="1277"/>
      <c r="E6322" s="1277" t="s">
        <v>7044</v>
      </c>
      <c r="F6322" s="1264"/>
      <c r="G6322" s="1267" t="s">
        <v>7044</v>
      </c>
      <c r="H6322" s="1240"/>
    </row>
    <row r="6323" spans="1:8" x14ac:dyDescent="0.25">
      <c r="A6323" s="1238"/>
      <c r="B6323" s="1251"/>
      <c r="C6323" s="1254" t="s">
        <v>7044</v>
      </c>
      <c r="D6323" s="1254"/>
      <c r="E6323" s="1254" t="s">
        <v>7044</v>
      </c>
      <c r="F6323" s="1249"/>
      <c r="G6323" s="1253" t="s">
        <v>7044</v>
      </c>
      <c r="H6323" s="1240"/>
    </row>
    <row r="6324" spans="1:8" ht="15.75" thickBot="1" x14ac:dyDescent="0.3">
      <c r="A6324" s="1238"/>
      <c r="B6324" s="1251"/>
      <c r="C6324" s="1254" t="s">
        <v>7044</v>
      </c>
      <c r="D6324" s="1254"/>
      <c r="E6324" s="1254" t="s">
        <v>7044</v>
      </c>
      <c r="F6324" s="1249"/>
      <c r="G6324" s="1253" t="s">
        <v>7044</v>
      </c>
      <c r="H6324" s="1240"/>
    </row>
    <row r="6325" spans="1:8" ht="15.75" thickBot="1" x14ac:dyDescent="0.3">
      <c r="A6325" s="1238"/>
      <c r="B6325" s="1255"/>
      <c r="C6325" s="1256" t="s">
        <v>7044</v>
      </c>
      <c r="D6325" s="1256"/>
      <c r="E6325" s="1256" t="s">
        <v>7044</v>
      </c>
      <c r="F6325" s="1257"/>
      <c r="G6325" s="1258" t="s">
        <v>7044</v>
      </c>
      <c r="H6325" s="1259">
        <f>SUM(G6321:G6325)</f>
        <v>47005</v>
      </c>
    </row>
    <row r="6326" spans="1:8" ht="15.75" thickBot="1" x14ac:dyDescent="0.3">
      <c r="A6326" s="1238"/>
      <c r="B6326" s="1260"/>
      <c r="C6326" s="1260"/>
      <c r="D6326" s="1260"/>
      <c r="E6326" s="1260"/>
      <c r="F6326" s="1278"/>
      <c r="G6326" s="1279"/>
      <c r="H6326" s="1263"/>
    </row>
    <row r="6327" spans="1:8" ht="15.75" thickBot="1" x14ac:dyDescent="0.3">
      <c r="A6327" s="1293"/>
      <c r="B6327" s="1297" t="s">
        <v>5412</v>
      </c>
      <c r="C6327" s="1298" t="s">
        <v>5420</v>
      </c>
      <c r="D6327" s="1298" t="s">
        <v>5421</v>
      </c>
      <c r="E6327" s="1298" t="s">
        <v>5413</v>
      </c>
      <c r="F6327" s="1298" t="s">
        <v>5405</v>
      </c>
      <c r="G6327" s="1299" t="s">
        <v>868</v>
      </c>
      <c r="H6327" s="1294"/>
    </row>
    <row r="6328" spans="1:8" x14ac:dyDescent="0.25">
      <c r="A6328" s="1238"/>
      <c r="B6328" s="1328"/>
      <c r="C6328" s="1329"/>
      <c r="D6328" s="1329"/>
      <c r="E6328" s="1330"/>
      <c r="F6328" s="1331"/>
      <c r="G6328" s="1332"/>
      <c r="H6328" s="1240"/>
    </row>
    <row r="6329" spans="1:8" x14ac:dyDescent="0.25">
      <c r="A6329" s="1238"/>
      <c r="B6329" s="1251"/>
      <c r="C6329" s="1254"/>
      <c r="D6329" s="1280"/>
      <c r="E6329" s="1235"/>
      <c r="F6329" s="1249"/>
      <c r="G6329" s="1253"/>
      <c r="H6329" s="1240"/>
    </row>
    <row r="6330" spans="1:8" x14ac:dyDescent="0.25">
      <c r="A6330" s="1238"/>
      <c r="B6330" s="1251"/>
      <c r="C6330" s="1254"/>
      <c r="D6330" s="1280"/>
      <c r="E6330" s="1235"/>
      <c r="F6330" s="1249"/>
      <c r="G6330" s="1253" t="s">
        <v>7044</v>
      </c>
      <c r="H6330" s="1240"/>
    </row>
    <row r="6331" spans="1:8" x14ac:dyDescent="0.25">
      <c r="A6331" s="1238"/>
      <c r="B6331" s="1333"/>
      <c r="C6331" s="1254"/>
      <c r="D6331" s="1280"/>
      <c r="E6331" s="1254"/>
      <c r="F6331" s="1249"/>
      <c r="G6331" s="1253"/>
      <c r="H6331" s="1240"/>
    </row>
    <row r="6332" spans="1:8" ht="15.75" thickBot="1" x14ac:dyDescent="0.3">
      <c r="A6332" s="1238"/>
      <c r="B6332" s="1269"/>
      <c r="C6332" s="1254" t="s">
        <v>7044</v>
      </c>
      <c r="D6332" s="1254"/>
      <c r="E6332" s="1254" t="s">
        <v>7044</v>
      </c>
      <c r="F6332" s="1249"/>
      <c r="G6332" s="1253" t="s">
        <v>7044</v>
      </c>
      <c r="H6332" s="1240"/>
    </row>
    <row r="6333" spans="1:8" ht="15.75" thickBot="1" x14ac:dyDescent="0.3">
      <c r="A6333" s="1238"/>
      <c r="B6333" s="1282"/>
      <c r="C6333" s="1283" t="s">
        <v>7044</v>
      </c>
      <c r="D6333" s="1283"/>
      <c r="E6333" s="1283" t="s">
        <v>7044</v>
      </c>
      <c r="F6333" s="1284"/>
      <c r="G6333" s="1285" t="s">
        <v>7044</v>
      </c>
      <c r="H6333" s="1259">
        <f>SUM(G6328:G6333)</f>
        <v>0</v>
      </c>
    </row>
    <row r="6334" spans="1:8" ht="15.75" thickBot="1" x14ac:dyDescent="0.3">
      <c r="A6334" s="1238"/>
      <c r="B6334" s="1241"/>
      <c r="C6334" s="1241"/>
      <c r="D6334" s="1241"/>
      <c r="E6334" s="1241"/>
      <c r="F6334" s="1238"/>
      <c r="G6334" s="1240"/>
      <c r="H6334" s="1240"/>
    </row>
    <row r="6335" spans="1:8" ht="15.75" thickBot="1" x14ac:dyDescent="0.3">
      <c r="A6335" s="1238"/>
      <c r="B6335" s="1241"/>
      <c r="C6335" s="1241"/>
      <c r="D6335" s="1241"/>
      <c r="E6335" s="1286" t="s">
        <v>5415</v>
      </c>
      <c r="F6335" s="1238"/>
      <c r="G6335" s="1240"/>
      <c r="H6335" s="1259">
        <f>ROUND(H6302+H6318+H6325+H6333,0)</f>
        <v>987105</v>
      </c>
    </row>
    <row r="6336" spans="1:8" x14ac:dyDescent="0.25">
      <c r="A6336" s="1236"/>
      <c r="B6336" s="1236"/>
      <c r="C6336" s="1236"/>
      <c r="D6336" s="1236"/>
      <c r="E6336" s="1236"/>
      <c r="F6336" s="1236"/>
      <c r="G6336" s="1237"/>
      <c r="H6336" s="1236"/>
    </row>
    <row r="6337" spans="1:8" x14ac:dyDescent="0.25">
      <c r="A6337" s="1236"/>
      <c r="B6337" s="1236"/>
      <c r="C6337" s="1287"/>
      <c r="D6337" s="1236"/>
      <c r="E6337" s="1287"/>
      <c r="F6337" s="1236"/>
      <c r="G6337" s="1237"/>
      <c r="H6337" s="1236"/>
    </row>
    <row r="6338" spans="1:8" x14ac:dyDescent="0.25">
      <c r="A6338" s="1236"/>
      <c r="B6338" s="1236"/>
      <c r="C6338" s="1236"/>
      <c r="D6338" s="1236"/>
      <c r="E6338" s="1236"/>
      <c r="F6338" s="1236"/>
      <c r="G6338" s="1237"/>
      <c r="H6338" s="1236"/>
    </row>
    <row r="6339" spans="1:8" x14ac:dyDescent="0.25">
      <c r="A6339" s="1295" t="s">
        <v>3</v>
      </c>
      <c r="B6339" s="1390" t="str">
        <f>+VLOOKUP(C6339,ListaAPUs!$B:$E,4,FALSE)</f>
        <v>7.1.25</v>
      </c>
      <c r="C6339" s="2448" t="str">
        <f>+ListaAPUs!B182</f>
        <v xml:space="preserve">Equipo de aire autocontenido marca MSA modelo AIR-HAWK o similar de 2216 psi y una duración de carga de 30 minutos. </v>
      </c>
      <c r="D6339" s="2448"/>
      <c r="E6339" s="2448"/>
      <c r="F6339" s="1295" t="s">
        <v>867</v>
      </c>
      <c r="G6339" s="1296" t="s">
        <v>5424</v>
      </c>
      <c r="H6339" s="1294"/>
    </row>
    <row r="6340" spans="1:8" x14ac:dyDescent="0.25">
      <c r="A6340" s="1238"/>
      <c r="B6340" s="1241"/>
      <c r="C6340" s="1242"/>
      <c r="D6340" s="1242"/>
      <c r="E6340" s="1242"/>
      <c r="F6340" s="1238"/>
      <c r="G6340" s="1240"/>
      <c r="H6340" s="1240"/>
    </row>
    <row r="6341" spans="1:8" x14ac:dyDescent="0.25">
      <c r="A6341" s="1238"/>
      <c r="B6341" s="1241"/>
      <c r="C6341" s="1241"/>
      <c r="D6341" s="1241"/>
      <c r="E6341" s="1241"/>
      <c r="F6341" s="1241"/>
      <c r="G6341" s="1241"/>
      <c r="H6341" s="1240"/>
    </row>
    <row r="6342" spans="1:8" ht="15.75" thickBot="1" x14ac:dyDescent="0.3">
      <c r="A6342" s="1238"/>
      <c r="B6342" s="1241"/>
      <c r="C6342" s="1241"/>
      <c r="D6342" s="1241"/>
      <c r="E6342" s="1241"/>
      <c r="F6342" s="1238"/>
      <c r="G6342" s="1240"/>
      <c r="H6342" s="1240"/>
    </row>
    <row r="6343" spans="1:8" ht="15.75" thickBot="1" x14ac:dyDescent="0.3">
      <c r="A6343" s="1293"/>
      <c r="B6343" s="1297" t="s">
        <v>5403</v>
      </c>
      <c r="C6343" s="1298" t="s">
        <v>867</v>
      </c>
      <c r="D6343" s="1298" t="s">
        <v>6</v>
      </c>
      <c r="E6343" s="1298" t="s">
        <v>5439</v>
      </c>
      <c r="F6343" s="1298" t="s">
        <v>5405</v>
      </c>
      <c r="G6343" s="1299" t="s">
        <v>868</v>
      </c>
      <c r="H6343" s="1294"/>
    </row>
    <row r="6344" spans="1:8" x14ac:dyDescent="0.25">
      <c r="A6344" s="1238"/>
      <c r="B6344" s="1140" t="s">
        <v>5440</v>
      </c>
      <c r="C6344" s="1246" t="s">
        <v>7042</v>
      </c>
      <c r="D6344" s="1247">
        <v>1</v>
      </c>
      <c r="E6344" s="1248">
        <f>H6382</f>
        <v>188642</v>
      </c>
      <c r="F6344" s="1249">
        <v>0.05</v>
      </c>
      <c r="G6344" s="1250">
        <f>D6344*E6344*F6344</f>
        <v>9432.1</v>
      </c>
      <c r="H6344" s="1240"/>
    </row>
    <row r="6345" spans="1:8" x14ac:dyDescent="0.25">
      <c r="A6345" s="1238"/>
      <c r="B6345" s="1288"/>
      <c r="C6345" s="226"/>
      <c r="D6345" s="232"/>
      <c r="E6345" s="1289"/>
      <c r="F6345" s="232"/>
      <c r="G6345" s="156"/>
      <c r="H6345" s="1240"/>
    </row>
    <row r="6346" spans="1:8" x14ac:dyDescent="0.25">
      <c r="A6346" s="1238"/>
      <c r="B6346" s="1251"/>
      <c r="C6346" s="1249"/>
      <c r="D6346" s="1249"/>
      <c r="E6346" s="1248"/>
      <c r="F6346" s="1249"/>
      <c r="G6346" s="1253"/>
      <c r="H6346" s="1240"/>
    </row>
    <row r="6347" spans="1:8" x14ac:dyDescent="0.25">
      <c r="A6347" s="1238"/>
      <c r="B6347" s="1251"/>
      <c r="C6347" s="1249"/>
      <c r="D6347" s="1249"/>
      <c r="E6347" s="1248"/>
      <c r="F6347" s="1249"/>
      <c r="G6347" s="1253"/>
      <c r="H6347" s="1240"/>
    </row>
    <row r="6348" spans="1:8" x14ac:dyDescent="0.25">
      <c r="A6348" s="1238"/>
      <c r="B6348" s="1251"/>
      <c r="C6348" s="1249"/>
      <c r="D6348" s="1249"/>
      <c r="E6348" s="1254"/>
      <c r="F6348" s="1249"/>
      <c r="G6348" s="1253"/>
      <c r="H6348" s="1240"/>
    </row>
    <row r="6349" spans="1:8" x14ac:dyDescent="0.25">
      <c r="A6349" s="1238"/>
      <c r="B6349" s="1251"/>
      <c r="C6349" s="1254" t="s">
        <v>7044</v>
      </c>
      <c r="D6349" s="1254"/>
      <c r="E6349" s="1254" t="s">
        <v>7044</v>
      </c>
      <c r="F6349" s="1249"/>
      <c r="G6349" s="1253" t="s">
        <v>7044</v>
      </c>
      <c r="H6349" s="1240"/>
    </row>
    <row r="6350" spans="1:8" ht="15.75" thickBot="1" x14ac:dyDescent="0.3">
      <c r="A6350" s="1238"/>
      <c r="B6350" s="1251"/>
      <c r="C6350" s="1254" t="s">
        <v>7044</v>
      </c>
      <c r="D6350" s="1254"/>
      <c r="E6350" s="1254" t="s">
        <v>7044</v>
      </c>
      <c r="F6350" s="1249"/>
      <c r="G6350" s="1253" t="s">
        <v>7044</v>
      </c>
      <c r="H6350" s="1240"/>
    </row>
    <row r="6351" spans="1:8" ht="15.75" thickBot="1" x14ac:dyDescent="0.3">
      <c r="A6351" s="1238"/>
      <c r="B6351" s="1255"/>
      <c r="C6351" s="1256" t="s">
        <v>7044</v>
      </c>
      <c r="D6351" s="1256"/>
      <c r="E6351" s="1256" t="s">
        <v>7044</v>
      </c>
      <c r="F6351" s="1257"/>
      <c r="G6351" s="1258" t="s">
        <v>7044</v>
      </c>
      <c r="H6351" s="1259">
        <f>SUM(G6344:G6351)</f>
        <v>9432.1</v>
      </c>
    </row>
    <row r="6352" spans="1:8" ht="15.75" thickBot="1" x14ac:dyDescent="0.3">
      <c r="A6352" s="1238"/>
      <c r="B6352" s="1260"/>
      <c r="C6352" s="1260"/>
      <c r="D6352" s="1260"/>
      <c r="E6352" s="1260"/>
      <c r="F6352" s="1261"/>
      <c r="G6352" s="1262" t="s">
        <v>7044</v>
      </c>
      <c r="H6352" s="1263"/>
    </row>
    <row r="6353" spans="1:8" ht="15.75" thickBot="1" x14ac:dyDescent="0.3">
      <c r="A6353" s="1293"/>
      <c r="B6353" s="1297" t="s">
        <v>5408</v>
      </c>
      <c r="C6353" s="1298" t="s">
        <v>867</v>
      </c>
      <c r="D6353" s="1298" t="s">
        <v>6</v>
      </c>
      <c r="E6353" s="1298" t="s">
        <v>870</v>
      </c>
      <c r="F6353" s="1298" t="s">
        <v>5409</v>
      </c>
      <c r="G6353" s="1299" t="s">
        <v>868</v>
      </c>
      <c r="H6353" s="1294"/>
    </row>
    <row r="6354" spans="1:8" x14ac:dyDescent="0.25">
      <c r="A6354" s="1238"/>
      <c r="B6354" s="1335" t="s">
        <v>8657</v>
      </c>
      <c r="C6354" s="743" t="s">
        <v>5424</v>
      </c>
      <c r="D6354" s="743">
        <v>1</v>
      </c>
      <c r="E6354" s="1234">
        <f>+VLOOKUP(B6354,Insumos!$A$2:$C$341,3,FALSE)</f>
        <v>13030500</v>
      </c>
      <c r="F6354" s="396"/>
      <c r="G6354" s="410">
        <f>D6354*E6354</f>
        <v>13030500</v>
      </c>
      <c r="H6354" s="1240"/>
    </row>
    <row r="6355" spans="1:8" x14ac:dyDescent="0.25">
      <c r="A6355" s="1238"/>
      <c r="B6355" s="739"/>
      <c r="C6355" s="740"/>
      <c r="D6355" s="743"/>
      <c r="E6355" s="1291"/>
      <c r="F6355" s="396"/>
      <c r="G6355" s="410"/>
      <c r="H6355" s="1240"/>
    </row>
    <row r="6356" spans="1:8" x14ac:dyDescent="0.25">
      <c r="A6356" s="1238"/>
      <c r="B6356" s="739"/>
      <c r="C6356" s="740"/>
      <c r="D6356" s="741"/>
      <c r="E6356" s="1292"/>
      <c r="F6356" s="396"/>
      <c r="G6356" s="410"/>
      <c r="H6356" s="1240"/>
    </row>
    <row r="6357" spans="1:8" x14ac:dyDescent="0.25">
      <c r="A6357" s="1238"/>
      <c r="B6357" s="1269"/>
      <c r="C6357" s="1246"/>
      <c r="D6357" s="1249"/>
      <c r="E6357" s="1268"/>
      <c r="F6357" s="1266"/>
      <c r="G6357" s="1267" t="s">
        <v>7044</v>
      </c>
      <c r="H6357" s="1240"/>
    </row>
    <row r="6358" spans="1:8" x14ac:dyDescent="0.25">
      <c r="A6358" s="1238"/>
      <c r="B6358" s="1269"/>
      <c r="C6358" s="1246"/>
      <c r="D6358" s="1249"/>
      <c r="E6358" s="1268"/>
      <c r="F6358" s="1266"/>
      <c r="G6358" s="1267" t="s">
        <v>7044</v>
      </c>
      <c r="H6358" s="1240"/>
    </row>
    <row r="6359" spans="1:8" x14ac:dyDescent="0.25">
      <c r="A6359" s="1238"/>
      <c r="B6359" s="1270"/>
      <c r="C6359" s="1264"/>
      <c r="D6359" s="1264"/>
      <c r="E6359" s="1265"/>
      <c r="F6359" s="1266"/>
      <c r="G6359" s="1267"/>
      <c r="H6359" s="1271"/>
    </row>
    <row r="6360" spans="1:8" x14ac:dyDescent="0.25">
      <c r="A6360" s="1238"/>
      <c r="B6360" s="1251"/>
      <c r="C6360" s="1249" t="s">
        <v>7044</v>
      </c>
      <c r="D6360" s="1249"/>
      <c r="E6360" s="1272" t="s">
        <v>7044</v>
      </c>
      <c r="F6360" s="1266"/>
      <c r="G6360" s="1267" t="s">
        <v>7044</v>
      </c>
      <c r="H6360" s="1240"/>
    </row>
    <row r="6361" spans="1:8" x14ac:dyDescent="0.25">
      <c r="A6361" s="1238"/>
      <c r="B6361" s="1251"/>
      <c r="C6361" s="1249" t="s">
        <v>7044</v>
      </c>
      <c r="D6361" s="1249"/>
      <c r="E6361" s="1272" t="s">
        <v>7044</v>
      </c>
      <c r="F6361" s="1266"/>
      <c r="G6361" s="1267" t="s">
        <v>7044</v>
      </c>
      <c r="H6361" s="1240"/>
    </row>
    <row r="6362" spans="1:8" x14ac:dyDescent="0.25">
      <c r="A6362" s="1238"/>
      <c r="B6362" s="1251"/>
      <c r="C6362" s="1254" t="s">
        <v>7044</v>
      </c>
      <c r="D6362" s="1254"/>
      <c r="E6362" s="1254" t="s">
        <v>7044</v>
      </c>
      <c r="F6362" s="1249"/>
      <c r="G6362" s="1253" t="s">
        <v>7044</v>
      </c>
      <c r="H6362" s="1240"/>
    </row>
    <row r="6363" spans="1:8" x14ac:dyDescent="0.25">
      <c r="A6363" s="1238"/>
      <c r="B6363" s="1251"/>
      <c r="C6363" s="1254" t="s">
        <v>7044</v>
      </c>
      <c r="D6363" s="1254"/>
      <c r="E6363" s="1254" t="s">
        <v>7044</v>
      </c>
      <c r="F6363" s="1249"/>
      <c r="G6363" s="1253" t="s">
        <v>7044</v>
      </c>
      <c r="H6363" s="1240"/>
    </row>
    <row r="6364" spans="1:8" x14ac:dyDescent="0.25">
      <c r="A6364" s="1238"/>
      <c r="B6364" s="1251"/>
      <c r="C6364" s="1254" t="s">
        <v>7044</v>
      </c>
      <c r="D6364" s="1254"/>
      <c r="E6364" s="1254" t="s">
        <v>7044</v>
      </c>
      <c r="F6364" s="1249"/>
      <c r="G6364" s="1253" t="s">
        <v>7044</v>
      </c>
      <c r="H6364" s="1240"/>
    </row>
    <row r="6365" spans="1:8" x14ac:dyDescent="0.25">
      <c r="A6365" s="1238"/>
      <c r="B6365" s="1251"/>
      <c r="C6365" s="1254" t="s">
        <v>7044</v>
      </c>
      <c r="D6365" s="1254"/>
      <c r="E6365" s="1254" t="s">
        <v>7044</v>
      </c>
      <c r="F6365" s="1249"/>
      <c r="G6365" s="1253" t="s">
        <v>7044</v>
      </c>
      <c r="H6365" s="1240"/>
    </row>
    <row r="6366" spans="1:8" ht="15.75" thickBot="1" x14ac:dyDescent="0.3">
      <c r="A6366" s="1238"/>
      <c r="B6366" s="1251"/>
      <c r="C6366" s="1254" t="s">
        <v>7044</v>
      </c>
      <c r="D6366" s="1254"/>
      <c r="E6366" s="1254" t="s">
        <v>7044</v>
      </c>
      <c r="F6366" s="1249"/>
      <c r="G6366" s="1253" t="s">
        <v>7044</v>
      </c>
      <c r="H6366" s="1240"/>
    </row>
    <row r="6367" spans="1:8" ht="15.75" thickBot="1" x14ac:dyDescent="0.3">
      <c r="A6367" s="1238"/>
      <c r="B6367" s="1255"/>
      <c r="C6367" s="1256" t="s">
        <v>7044</v>
      </c>
      <c r="D6367" s="1256"/>
      <c r="E6367" s="1256" t="s">
        <v>7044</v>
      </c>
      <c r="F6367" s="1257"/>
      <c r="G6367" s="1258" t="s">
        <v>7044</v>
      </c>
      <c r="H6367" s="1259">
        <f>SUM(G6354:G6367)</f>
        <v>13030500</v>
      </c>
    </row>
    <row r="6368" spans="1:8" ht="15.75" thickBot="1" x14ac:dyDescent="0.3">
      <c r="A6368" s="1238"/>
      <c r="B6368" s="1260"/>
      <c r="C6368" s="1260"/>
      <c r="D6368" s="1260"/>
      <c r="E6368" s="1260"/>
      <c r="F6368" s="1261"/>
      <c r="G6368" s="1262"/>
      <c r="H6368" s="1263"/>
    </row>
    <row r="6369" spans="1:8" ht="15.75" thickBot="1" x14ac:dyDescent="0.3">
      <c r="A6369" s="1293"/>
      <c r="B6369" s="1297" t="s">
        <v>5410</v>
      </c>
      <c r="C6369" s="1298" t="s">
        <v>867</v>
      </c>
      <c r="D6369" s="1298" t="s">
        <v>6</v>
      </c>
      <c r="E6369" s="1298" t="s">
        <v>870</v>
      </c>
      <c r="F6369" s="1298" t="s">
        <v>5411</v>
      </c>
      <c r="G6369" s="1299" t="s">
        <v>868</v>
      </c>
      <c r="H6369" s="1294"/>
    </row>
    <row r="6370" spans="1:8" x14ac:dyDescent="0.25">
      <c r="A6370" s="1238"/>
      <c r="B6370" s="1273" t="s">
        <v>5410</v>
      </c>
      <c r="C6370" s="1264" t="s">
        <v>5424</v>
      </c>
      <c r="D6370" s="1264">
        <v>1</v>
      </c>
      <c r="E6370" s="1274">
        <v>651525</v>
      </c>
      <c r="F6370" s="1264"/>
      <c r="G6370" s="1275">
        <f>D6370*E6370</f>
        <v>651525</v>
      </c>
      <c r="H6370" s="1276"/>
    </row>
    <row r="6371" spans="1:8" x14ac:dyDescent="0.25">
      <c r="A6371" s="1238"/>
      <c r="B6371" s="1269"/>
      <c r="C6371" s="1277" t="s">
        <v>7044</v>
      </c>
      <c r="D6371" s="1277"/>
      <c r="E6371" s="1277" t="s">
        <v>7044</v>
      </c>
      <c r="F6371" s="1264"/>
      <c r="G6371" s="1267" t="s">
        <v>7044</v>
      </c>
      <c r="H6371" s="1240"/>
    </row>
    <row r="6372" spans="1:8" x14ac:dyDescent="0.25">
      <c r="A6372" s="1238"/>
      <c r="B6372" s="1251"/>
      <c r="C6372" s="1254" t="s">
        <v>7044</v>
      </c>
      <c r="D6372" s="1254"/>
      <c r="E6372" s="1254" t="s">
        <v>7044</v>
      </c>
      <c r="F6372" s="1249"/>
      <c r="G6372" s="1253" t="s">
        <v>7044</v>
      </c>
      <c r="H6372" s="1240"/>
    </row>
    <row r="6373" spans="1:8" ht="15.75" thickBot="1" x14ac:dyDescent="0.3">
      <c r="A6373" s="1238"/>
      <c r="B6373" s="1251"/>
      <c r="C6373" s="1254" t="s">
        <v>7044</v>
      </c>
      <c r="D6373" s="1254"/>
      <c r="E6373" s="1254" t="s">
        <v>7044</v>
      </c>
      <c r="F6373" s="1249"/>
      <c r="G6373" s="1253" t="s">
        <v>7044</v>
      </c>
      <c r="H6373" s="1240"/>
    </row>
    <row r="6374" spans="1:8" ht="15.75" thickBot="1" x14ac:dyDescent="0.3">
      <c r="A6374" s="1238"/>
      <c r="B6374" s="1255"/>
      <c r="C6374" s="1256" t="s">
        <v>7044</v>
      </c>
      <c r="D6374" s="1256"/>
      <c r="E6374" s="1256" t="s">
        <v>7044</v>
      </c>
      <c r="F6374" s="1257"/>
      <c r="G6374" s="1258" t="s">
        <v>7044</v>
      </c>
      <c r="H6374" s="1259">
        <f>SUM(G6370:G6374)</f>
        <v>651525</v>
      </c>
    </row>
    <row r="6375" spans="1:8" ht="15.75" thickBot="1" x14ac:dyDescent="0.3">
      <c r="A6375" s="1238"/>
      <c r="B6375" s="1260"/>
      <c r="C6375" s="1260"/>
      <c r="D6375" s="1260"/>
      <c r="E6375" s="1260"/>
      <c r="F6375" s="1278"/>
      <c r="G6375" s="1279"/>
      <c r="H6375" s="1263"/>
    </row>
    <row r="6376" spans="1:8" ht="15.75" thickBot="1" x14ac:dyDescent="0.3">
      <c r="A6376" s="1293"/>
      <c r="B6376" s="1297" t="s">
        <v>5412</v>
      </c>
      <c r="C6376" s="1298" t="s">
        <v>5420</v>
      </c>
      <c r="D6376" s="1298" t="s">
        <v>5421</v>
      </c>
      <c r="E6376" s="1298" t="s">
        <v>5413</v>
      </c>
      <c r="F6376" s="1298" t="s">
        <v>5405</v>
      </c>
      <c r="G6376" s="1299" t="s">
        <v>868</v>
      </c>
      <c r="H6376" s="1294"/>
    </row>
    <row r="6377" spans="1:8" x14ac:dyDescent="0.25">
      <c r="A6377" s="1238"/>
      <c r="B6377" s="1328" t="s">
        <v>8299</v>
      </c>
      <c r="C6377" s="1329">
        <v>300000</v>
      </c>
      <c r="D6377" s="1329">
        <v>146370</v>
      </c>
      <c r="E6377" s="1330">
        <v>446370</v>
      </c>
      <c r="F6377" s="1331">
        <v>3</v>
      </c>
      <c r="G6377" s="1332">
        <f>IF(B6377="","",E6377/F6377)</f>
        <v>148790</v>
      </c>
      <c r="H6377" s="1240"/>
    </row>
    <row r="6378" spans="1:8" x14ac:dyDescent="0.25">
      <c r="A6378" s="1238"/>
      <c r="B6378" s="764" t="s">
        <v>5635</v>
      </c>
      <c r="C6378" s="782">
        <f>+VLOOKUP(B6378,'Mano de obra'!$A$5:$D$26,2,FALSE)</f>
        <v>24591</v>
      </c>
      <c r="D6378" s="782">
        <f>+VLOOKUP(B6378,'Mano de obra'!$A$5:$D$26,3,FALSE)</f>
        <v>15261</v>
      </c>
      <c r="E6378" s="761">
        <f>+VLOOKUP(B6378,'Mano de obra'!$A$5:$D$26,4,FALSE)</f>
        <v>39852</v>
      </c>
      <c r="F6378" s="1249">
        <v>1</v>
      </c>
      <c r="G6378" s="1275">
        <f>IF(B6378="","",E6378/F6378)</f>
        <v>39852</v>
      </c>
      <c r="H6378" s="1240"/>
    </row>
    <row r="6379" spans="1:8" x14ac:dyDescent="0.25">
      <c r="A6379" s="1238"/>
      <c r="B6379" s="1251"/>
      <c r="C6379" s="1254"/>
      <c r="D6379" s="1280"/>
      <c r="E6379" s="1235"/>
      <c r="F6379" s="1249"/>
      <c r="G6379" s="1253" t="s">
        <v>7044</v>
      </c>
      <c r="H6379" s="1240"/>
    </row>
    <row r="6380" spans="1:8" x14ac:dyDescent="0.25">
      <c r="A6380" s="1238"/>
      <c r="B6380" s="1333"/>
      <c r="C6380" s="1254"/>
      <c r="D6380" s="1280"/>
      <c r="E6380" s="1254"/>
      <c r="F6380" s="1249"/>
      <c r="G6380" s="1253"/>
      <c r="H6380" s="1240"/>
    </row>
    <row r="6381" spans="1:8" ht="15.75" thickBot="1" x14ac:dyDescent="0.3">
      <c r="A6381" s="1238"/>
      <c r="B6381" s="1269"/>
      <c r="C6381" s="1254" t="s">
        <v>7044</v>
      </c>
      <c r="D6381" s="1254"/>
      <c r="E6381" s="1254" t="s">
        <v>7044</v>
      </c>
      <c r="F6381" s="1249"/>
      <c r="G6381" s="1253" t="s">
        <v>7044</v>
      </c>
      <c r="H6381" s="1240"/>
    </row>
    <row r="6382" spans="1:8" ht="15.75" thickBot="1" x14ac:dyDescent="0.3">
      <c r="A6382" s="1238"/>
      <c r="B6382" s="1282"/>
      <c r="C6382" s="1283" t="s">
        <v>7044</v>
      </c>
      <c r="D6382" s="1283"/>
      <c r="E6382" s="1283" t="s">
        <v>7044</v>
      </c>
      <c r="F6382" s="1284"/>
      <c r="G6382" s="1285" t="s">
        <v>7044</v>
      </c>
      <c r="H6382" s="1259">
        <f>SUM(G6377:G6382)</f>
        <v>188642</v>
      </c>
    </row>
    <row r="6383" spans="1:8" ht="15.75" thickBot="1" x14ac:dyDescent="0.3">
      <c r="A6383" s="1238"/>
      <c r="B6383" s="1241"/>
      <c r="C6383" s="1241"/>
      <c r="D6383" s="1241"/>
      <c r="E6383" s="1241"/>
      <c r="F6383" s="1238"/>
      <c r="G6383" s="1240"/>
      <c r="H6383" s="1240"/>
    </row>
    <row r="6384" spans="1:8" ht="15.75" thickBot="1" x14ac:dyDescent="0.3">
      <c r="A6384" s="1238"/>
      <c r="B6384" s="1241"/>
      <c r="C6384" s="1241"/>
      <c r="D6384" s="1241"/>
      <c r="E6384" s="1286" t="s">
        <v>5415</v>
      </c>
      <c r="F6384" s="1238"/>
      <c r="G6384" s="1240"/>
      <c r="H6384" s="1259">
        <f>ROUND(H6351+H6367+H6374+H6382,0)</f>
        <v>13880099</v>
      </c>
    </row>
    <row r="6385" spans="1:8" x14ac:dyDescent="0.25">
      <c r="A6385" s="1236"/>
      <c r="B6385" s="1236"/>
      <c r="C6385" s="1236"/>
      <c r="D6385" s="1236"/>
      <c r="E6385" s="1236"/>
      <c r="F6385" s="1236"/>
      <c r="G6385" s="1237"/>
      <c r="H6385" s="1236"/>
    </row>
    <row r="6386" spans="1:8" x14ac:dyDescent="0.25">
      <c r="A6386" s="1236"/>
      <c r="B6386" s="1236"/>
      <c r="C6386" s="1287"/>
      <c r="D6386" s="1236"/>
      <c r="E6386" s="1287"/>
      <c r="F6386" s="1236"/>
      <c r="G6386" s="1237"/>
      <c r="H6386" s="1236"/>
    </row>
    <row r="6387" spans="1:8" x14ac:dyDescent="0.25">
      <c r="A6387" s="1236"/>
      <c r="B6387" s="1236"/>
      <c r="C6387" s="1236"/>
      <c r="D6387" s="1236"/>
      <c r="E6387" s="1236"/>
      <c r="F6387" s="1236"/>
      <c r="G6387" s="1237"/>
      <c r="H6387" s="1236"/>
    </row>
    <row r="6388" spans="1:8" ht="45.75" customHeight="1" x14ac:dyDescent="0.25">
      <c r="A6388" s="1295" t="s">
        <v>3</v>
      </c>
      <c r="B6388" s="1390" t="str">
        <f>+VLOOKUP(C6388,ListaAPUs!$B:$E,4,FALSE)</f>
        <v>7.1.26</v>
      </c>
      <c r="C6388" s="2448" t="str">
        <f>+ListaAPUs!B183</f>
        <v>Vestido para menejo de cloro gasoso, fabricado en PVC tipo encapsulado para utilizar con equipo de aire autocontenido (No incluido).</v>
      </c>
      <c r="D6388" s="2448"/>
      <c r="E6388" s="2448"/>
      <c r="F6388" s="1295" t="s">
        <v>867</v>
      </c>
      <c r="G6388" s="1296" t="s">
        <v>5424</v>
      </c>
      <c r="H6388" s="1294"/>
    </row>
    <row r="6389" spans="1:8" x14ac:dyDescent="0.25">
      <c r="A6389" s="1238"/>
      <c r="B6389" s="1241"/>
      <c r="C6389" s="1242"/>
      <c r="D6389" s="1242"/>
      <c r="E6389" s="1242"/>
      <c r="F6389" s="1238"/>
      <c r="G6389" s="1240"/>
      <c r="H6389" s="1240"/>
    </row>
    <row r="6390" spans="1:8" x14ac:dyDescent="0.25">
      <c r="A6390" s="1238"/>
      <c r="B6390" s="1241"/>
      <c r="C6390" s="1241"/>
      <c r="D6390" s="1241"/>
      <c r="E6390" s="1241"/>
      <c r="F6390" s="1241"/>
      <c r="G6390" s="1241"/>
      <c r="H6390" s="1240"/>
    </row>
    <row r="6391" spans="1:8" ht="15.75" thickBot="1" x14ac:dyDescent="0.3">
      <c r="A6391" s="1238"/>
      <c r="B6391" s="1241"/>
      <c r="C6391" s="1241"/>
      <c r="D6391" s="1241"/>
      <c r="E6391" s="1241"/>
      <c r="F6391" s="1238"/>
      <c r="G6391" s="1240"/>
      <c r="H6391" s="1240"/>
    </row>
    <row r="6392" spans="1:8" ht="15.75" thickBot="1" x14ac:dyDescent="0.3">
      <c r="A6392" s="1293"/>
      <c r="B6392" s="1297" t="s">
        <v>5403</v>
      </c>
      <c r="C6392" s="1298" t="s">
        <v>867</v>
      </c>
      <c r="D6392" s="1298" t="s">
        <v>6</v>
      </c>
      <c r="E6392" s="1298" t="s">
        <v>5439</v>
      </c>
      <c r="F6392" s="1298" t="s">
        <v>5405</v>
      </c>
      <c r="G6392" s="1299" t="s">
        <v>868</v>
      </c>
      <c r="H6392" s="1294"/>
    </row>
    <row r="6393" spans="1:8" x14ac:dyDescent="0.25">
      <c r="A6393" s="1238"/>
      <c r="B6393" s="1140"/>
      <c r="C6393" s="1246"/>
      <c r="D6393" s="1247"/>
      <c r="E6393" s="1248"/>
      <c r="F6393" s="1249"/>
      <c r="G6393" s="1250"/>
      <c r="H6393" s="1240"/>
    </row>
    <row r="6394" spans="1:8" x14ac:dyDescent="0.25">
      <c r="A6394" s="1238"/>
      <c r="B6394" s="1288"/>
      <c r="C6394" s="226"/>
      <c r="D6394" s="232"/>
      <c r="E6394" s="1289"/>
      <c r="F6394" s="232"/>
      <c r="G6394" s="156"/>
      <c r="H6394" s="1240"/>
    </row>
    <row r="6395" spans="1:8" x14ac:dyDescent="0.25">
      <c r="A6395" s="1238"/>
      <c r="B6395" s="1251"/>
      <c r="C6395" s="1249"/>
      <c r="D6395" s="1249"/>
      <c r="E6395" s="1248"/>
      <c r="F6395" s="1249"/>
      <c r="G6395" s="1253"/>
      <c r="H6395" s="1240"/>
    </row>
    <row r="6396" spans="1:8" x14ac:dyDescent="0.25">
      <c r="A6396" s="1238"/>
      <c r="B6396" s="1251"/>
      <c r="C6396" s="1249"/>
      <c r="D6396" s="1249"/>
      <c r="E6396" s="1248"/>
      <c r="F6396" s="1249"/>
      <c r="G6396" s="1253"/>
      <c r="H6396" s="1240"/>
    </row>
    <row r="6397" spans="1:8" x14ac:dyDescent="0.25">
      <c r="A6397" s="1238"/>
      <c r="B6397" s="1251"/>
      <c r="C6397" s="1249"/>
      <c r="D6397" s="1249"/>
      <c r="E6397" s="1254"/>
      <c r="F6397" s="1249"/>
      <c r="G6397" s="1253"/>
      <c r="H6397" s="1240"/>
    </row>
    <row r="6398" spans="1:8" x14ac:dyDescent="0.25">
      <c r="A6398" s="1238"/>
      <c r="B6398" s="1251"/>
      <c r="C6398" s="1254" t="s">
        <v>7044</v>
      </c>
      <c r="D6398" s="1254"/>
      <c r="E6398" s="1254" t="s">
        <v>7044</v>
      </c>
      <c r="F6398" s="1249"/>
      <c r="G6398" s="1253" t="s">
        <v>7044</v>
      </c>
      <c r="H6398" s="1240"/>
    </row>
    <row r="6399" spans="1:8" ht="15.75" thickBot="1" x14ac:dyDescent="0.3">
      <c r="A6399" s="1238"/>
      <c r="B6399" s="1251"/>
      <c r="C6399" s="1254" t="s">
        <v>7044</v>
      </c>
      <c r="D6399" s="1254"/>
      <c r="E6399" s="1254" t="s">
        <v>7044</v>
      </c>
      <c r="F6399" s="1249"/>
      <c r="G6399" s="1253" t="s">
        <v>7044</v>
      </c>
      <c r="H6399" s="1240"/>
    </row>
    <row r="6400" spans="1:8" ht="15.75" thickBot="1" x14ac:dyDescent="0.3">
      <c r="A6400" s="1238"/>
      <c r="B6400" s="1255"/>
      <c r="C6400" s="1256" t="s">
        <v>7044</v>
      </c>
      <c r="D6400" s="1256"/>
      <c r="E6400" s="1256" t="s">
        <v>7044</v>
      </c>
      <c r="F6400" s="1257"/>
      <c r="G6400" s="1258" t="s">
        <v>7044</v>
      </c>
      <c r="H6400" s="1259">
        <f>SUM(G6393:G6400)</f>
        <v>0</v>
      </c>
    </row>
    <row r="6401" spans="1:8" ht="15.75" thickBot="1" x14ac:dyDescent="0.3">
      <c r="A6401" s="1238"/>
      <c r="B6401" s="1260"/>
      <c r="C6401" s="1260"/>
      <c r="D6401" s="1260"/>
      <c r="E6401" s="1260"/>
      <c r="F6401" s="1261"/>
      <c r="G6401" s="1262" t="s">
        <v>7044</v>
      </c>
      <c r="H6401" s="1263"/>
    </row>
    <row r="6402" spans="1:8" ht="15.75" thickBot="1" x14ac:dyDescent="0.3">
      <c r="A6402" s="1293"/>
      <c r="B6402" s="1297" t="s">
        <v>5408</v>
      </c>
      <c r="C6402" s="1298" t="s">
        <v>867</v>
      </c>
      <c r="D6402" s="1298" t="s">
        <v>6</v>
      </c>
      <c r="E6402" s="1298" t="s">
        <v>870</v>
      </c>
      <c r="F6402" s="1298" t="s">
        <v>5409</v>
      </c>
      <c r="G6402" s="1299" t="s">
        <v>868</v>
      </c>
      <c r="H6402" s="1294"/>
    </row>
    <row r="6403" spans="1:8" x14ac:dyDescent="0.25">
      <c r="A6403" s="1238"/>
      <c r="B6403" s="1335" t="s">
        <v>8658</v>
      </c>
      <c r="C6403" s="743" t="s">
        <v>5424</v>
      </c>
      <c r="D6403" s="743">
        <v>1</v>
      </c>
      <c r="E6403" s="1234">
        <f>+VLOOKUP(B6403,Insumos!$A$2:$C$341,3,FALSE)</f>
        <v>8746500</v>
      </c>
      <c r="F6403" s="396"/>
      <c r="G6403" s="410">
        <f>D6403*E6403</f>
        <v>8746500</v>
      </c>
      <c r="H6403" s="1240"/>
    </row>
    <row r="6404" spans="1:8" x14ac:dyDescent="0.25">
      <c r="A6404" s="1238"/>
      <c r="B6404" s="739"/>
      <c r="C6404" s="740"/>
      <c r="D6404" s="743"/>
      <c r="E6404" s="1291"/>
      <c r="F6404" s="396"/>
      <c r="G6404" s="410"/>
      <c r="H6404" s="1240"/>
    </row>
    <row r="6405" spans="1:8" x14ac:dyDescent="0.25">
      <c r="A6405" s="1238"/>
      <c r="B6405" s="739"/>
      <c r="C6405" s="740"/>
      <c r="D6405" s="741"/>
      <c r="E6405" s="1292"/>
      <c r="F6405" s="396"/>
      <c r="G6405" s="410"/>
      <c r="H6405" s="1240"/>
    </row>
    <row r="6406" spans="1:8" x14ac:dyDescent="0.25">
      <c r="A6406" s="1238"/>
      <c r="B6406" s="1269"/>
      <c r="C6406" s="1246"/>
      <c r="D6406" s="1249"/>
      <c r="E6406" s="1268"/>
      <c r="F6406" s="1266"/>
      <c r="G6406" s="1267" t="s">
        <v>7044</v>
      </c>
      <c r="H6406" s="1240"/>
    </row>
    <row r="6407" spans="1:8" x14ac:dyDescent="0.25">
      <c r="A6407" s="1238"/>
      <c r="B6407" s="1269"/>
      <c r="C6407" s="1246"/>
      <c r="D6407" s="1249"/>
      <c r="E6407" s="1268"/>
      <c r="F6407" s="1266"/>
      <c r="G6407" s="1267" t="s">
        <v>7044</v>
      </c>
      <c r="H6407" s="1240"/>
    </row>
    <row r="6408" spans="1:8" x14ac:dyDescent="0.25">
      <c r="A6408" s="1238"/>
      <c r="B6408" s="1270"/>
      <c r="C6408" s="1264"/>
      <c r="D6408" s="1264"/>
      <c r="E6408" s="1265"/>
      <c r="F6408" s="1266"/>
      <c r="G6408" s="1267"/>
      <c r="H6408" s="1271"/>
    </row>
    <row r="6409" spans="1:8" x14ac:dyDescent="0.25">
      <c r="A6409" s="1238"/>
      <c r="B6409" s="1251"/>
      <c r="C6409" s="1249" t="s">
        <v>7044</v>
      </c>
      <c r="D6409" s="1249"/>
      <c r="E6409" s="1272" t="s">
        <v>7044</v>
      </c>
      <c r="F6409" s="1266"/>
      <c r="G6409" s="1267" t="s">
        <v>7044</v>
      </c>
      <c r="H6409" s="1240"/>
    </row>
    <row r="6410" spans="1:8" x14ac:dyDescent="0.25">
      <c r="A6410" s="1238"/>
      <c r="B6410" s="1251"/>
      <c r="C6410" s="1249" t="s">
        <v>7044</v>
      </c>
      <c r="D6410" s="1249"/>
      <c r="E6410" s="1272" t="s">
        <v>7044</v>
      </c>
      <c r="F6410" s="1266"/>
      <c r="G6410" s="1267" t="s">
        <v>7044</v>
      </c>
      <c r="H6410" s="1240"/>
    </row>
    <row r="6411" spans="1:8" x14ac:dyDescent="0.25">
      <c r="A6411" s="1238"/>
      <c r="B6411" s="1251"/>
      <c r="C6411" s="1254" t="s">
        <v>7044</v>
      </c>
      <c r="D6411" s="1254"/>
      <c r="E6411" s="1254" t="s">
        <v>7044</v>
      </c>
      <c r="F6411" s="1249"/>
      <c r="G6411" s="1253" t="s">
        <v>7044</v>
      </c>
      <c r="H6411" s="1240"/>
    </row>
    <row r="6412" spans="1:8" x14ac:dyDescent="0.25">
      <c r="A6412" s="1238"/>
      <c r="B6412" s="1251"/>
      <c r="C6412" s="1254" t="s">
        <v>7044</v>
      </c>
      <c r="D6412" s="1254"/>
      <c r="E6412" s="1254" t="s">
        <v>7044</v>
      </c>
      <c r="F6412" s="1249"/>
      <c r="G6412" s="1253" t="s">
        <v>7044</v>
      </c>
      <c r="H6412" s="1240"/>
    </row>
    <row r="6413" spans="1:8" x14ac:dyDescent="0.25">
      <c r="A6413" s="1238"/>
      <c r="B6413" s="1251"/>
      <c r="C6413" s="1254" t="s">
        <v>7044</v>
      </c>
      <c r="D6413" s="1254"/>
      <c r="E6413" s="1254" t="s">
        <v>7044</v>
      </c>
      <c r="F6413" s="1249"/>
      <c r="G6413" s="1253" t="s">
        <v>7044</v>
      </c>
      <c r="H6413" s="1240"/>
    </row>
    <row r="6414" spans="1:8" x14ac:dyDescent="0.25">
      <c r="A6414" s="1238"/>
      <c r="B6414" s="1251"/>
      <c r="C6414" s="1254" t="s">
        <v>7044</v>
      </c>
      <c r="D6414" s="1254"/>
      <c r="E6414" s="1254" t="s">
        <v>7044</v>
      </c>
      <c r="F6414" s="1249"/>
      <c r="G6414" s="1253" t="s">
        <v>7044</v>
      </c>
      <c r="H6414" s="1240"/>
    </row>
    <row r="6415" spans="1:8" ht="15.75" thickBot="1" x14ac:dyDescent="0.3">
      <c r="A6415" s="1238"/>
      <c r="B6415" s="1251"/>
      <c r="C6415" s="1254" t="s">
        <v>7044</v>
      </c>
      <c r="D6415" s="1254"/>
      <c r="E6415" s="1254" t="s">
        <v>7044</v>
      </c>
      <c r="F6415" s="1249"/>
      <c r="G6415" s="1253" t="s">
        <v>7044</v>
      </c>
      <c r="H6415" s="1240"/>
    </row>
    <row r="6416" spans="1:8" ht="15.75" thickBot="1" x14ac:dyDescent="0.3">
      <c r="A6416" s="1238"/>
      <c r="B6416" s="1255"/>
      <c r="C6416" s="1256" t="s">
        <v>7044</v>
      </c>
      <c r="D6416" s="1256"/>
      <c r="E6416" s="1256" t="s">
        <v>7044</v>
      </c>
      <c r="F6416" s="1257"/>
      <c r="G6416" s="1258" t="s">
        <v>7044</v>
      </c>
      <c r="H6416" s="1259">
        <f>SUM(G6403:G6416)</f>
        <v>8746500</v>
      </c>
    </row>
    <row r="6417" spans="1:8" ht="15.75" thickBot="1" x14ac:dyDescent="0.3">
      <c r="A6417" s="1238"/>
      <c r="B6417" s="1260"/>
      <c r="C6417" s="1260"/>
      <c r="D6417" s="1260"/>
      <c r="E6417" s="1260"/>
      <c r="F6417" s="1261"/>
      <c r="G6417" s="1262"/>
      <c r="H6417" s="1263"/>
    </row>
    <row r="6418" spans="1:8" ht="15.75" thickBot="1" x14ac:dyDescent="0.3">
      <c r="A6418" s="1293"/>
      <c r="B6418" s="1297" t="s">
        <v>5410</v>
      </c>
      <c r="C6418" s="1298" t="s">
        <v>867</v>
      </c>
      <c r="D6418" s="1298" t="s">
        <v>6</v>
      </c>
      <c r="E6418" s="1298" t="s">
        <v>870</v>
      </c>
      <c r="F6418" s="1298" t="s">
        <v>5411</v>
      </c>
      <c r="G6418" s="1299" t="s">
        <v>868</v>
      </c>
      <c r="H6418" s="1294"/>
    </row>
    <row r="6419" spans="1:8" x14ac:dyDescent="0.25">
      <c r="A6419" s="1238"/>
      <c r="B6419" s="1273" t="s">
        <v>5410</v>
      </c>
      <c r="C6419" s="1264" t="s">
        <v>5424</v>
      </c>
      <c r="D6419" s="1264">
        <v>1</v>
      </c>
      <c r="E6419" s="1274">
        <v>174930</v>
      </c>
      <c r="F6419" s="1264"/>
      <c r="G6419" s="1275">
        <f>D6419*E6419</f>
        <v>174930</v>
      </c>
      <c r="H6419" s="1276"/>
    </row>
    <row r="6420" spans="1:8" x14ac:dyDescent="0.25">
      <c r="A6420" s="1238"/>
      <c r="B6420" s="1269"/>
      <c r="C6420" s="1277" t="s">
        <v>7044</v>
      </c>
      <c r="D6420" s="1277"/>
      <c r="E6420" s="1277" t="s">
        <v>7044</v>
      </c>
      <c r="F6420" s="1264"/>
      <c r="G6420" s="1267" t="s">
        <v>7044</v>
      </c>
      <c r="H6420" s="1240"/>
    </row>
    <row r="6421" spans="1:8" x14ac:dyDescent="0.25">
      <c r="A6421" s="1238"/>
      <c r="B6421" s="1251"/>
      <c r="C6421" s="1254" t="s">
        <v>7044</v>
      </c>
      <c r="D6421" s="1254"/>
      <c r="E6421" s="1254" t="s">
        <v>7044</v>
      </c>
      <c r="F6421" s="1249"/>
      <c r="G6421" s="1253" t="s">
        <v>7044</v>
      </c>
      <c r="H6421" s="1240"/>
    </row>
    <row r="6422" spans="1:8" ht="15.75" thickBot="1" x14ac:dyDescent="0.3">
      <c r="A6422" s="1238"/>
      <c r="B6422" s="1251"/>
      <c r="C6422" s="1254" t="s">
        <v>7044</v>
      </c>
      <c r="D6422" s="1254"/>
      <c r="E6422" s="1254" t="s">
        <v>7044</v>
      </c>
      <c r="F6422" s="1249"/>
      <c r="G6422" s="1253" t="s">
        <v>7044</v>
      </c>
      <c r="H6422" s="1240"/>
    </row>
    <row r="6423" spans="1:8" ht="15.75" thickBot="1" x14ac:dyDescent="0.3">
      <c r="A6423" s="1238"/>
      <c r="B6423" s="1255"/>
      <c r="C6423" s="1256" t="s">
        <v>7044</v>
      </c>
      <c r="D6423" s="1256"/>
      <c r="E6423" s="1256" t="s">
        <v>7044</v>
      </c>
      <c r="F6423" s="1257"/>
      <c r="G6423" s="1258" t="s">
        <v>7044</v>
      </c>
      <c r="H6423" s="1259">
        <f>SUM(G6419:G6423)</f>
        <v>174930</v>
      </c>
    </row>
    <row r="6424" spans="1:8" ht="15.75" thickBot="1" x14ac:dyDescent="0.3">
      <c r="A6424" s="1238"/>
      <c r="B6424" s="1260"/>
      <c r="C6424" s="1260"/>
      <c r="D6424" s="1260"/>
      <c r="E6424" s="1260"/>
      <c r="F6424" s="1278"/>
      <c r="G6424" s="1279"/>
      <c r="H6424" s="1263"/>
    </row>
    <row r="6425" spans="1:8" ht="15.75" thickBot="1" x14ac:dyDescent="0.3">
      <c r="A6425" s="1293"/>
      <c r="B6425" s="1297" t="s">
        <v>5412</v>
      </c>
      <c r="C6425" s="1298" t="s">
        <v>5420</v>
      </c>
      <c r="D6425" s="1298" t="s">
        <v>5421</v>
      </c>
      <c r="E6425" s="1298" t="s">
        <v>5413</v>
      </c>
      <c r="F6425" s="1298" t="s">
        <v>5405</v>
      </c>
      <c r="G6425" s="1299" t="s">
        <v>868</v>
      </c>
      <c r="H6425" s="1294"/>
    </row>
    <row r="6426" spans="1:8" x14ac:dyDescent="0.25">
      <c r="A6426" s="1238"/>
      <c r="B6426" s="1328"/>
      <c r="C6426" s="1329"/>
      <c r="D6426" s="1329"/>
      <c r="E6426" s="1330"/>
      <c r="F6426" s="1331"/>
      <c r="G6426" s="1332"/>
      <c r="H6426" s="1240"/>
    </row>
    <row r="6427" spans="1:8" x14ac:dyDescent="0.25">
      <c r="A6427" s="1238"/>
      <c r="B6427" s="1251"/>
      <c r="C6427" s="1254"/>
      <c r="D6427" s="1280"/>
      <c r="E6427" s="1235"/>
      <c r="F6427" s="1249"/>
      <c r="G6427" s="1253"/>
      <c r="H6427" s="1240"/>
    </row>
    <row r="6428" spans="1:8" x14ac:dyDescent="0.25">
      <c r="A6428" s="1238"/>
      <c r="B6428" s="1251"/>
      <c r="C6428" s="1254"/>
      <c r="D6428" s="1280"/>
      <c r="E6428" s="1235"/>
      <c r="F6428" s="1249"/>
      <c r="G6428" s="1253" t="s">
        <v>7044</v>
      </c>
      <c r="H6428" s="1240"/>
    </row>
    <row r="6429" spans="1:8" x14ac:dyDescent="0.25">
      <c r="A6429" s="1238"/>
      <c r="B6429" s="1333"/>
      <c r="C6429" s="1254"/>
      <c r="D6429" s="1280"/>
      <c r="E6429" s="1254"/>
      <c r="F6429" s="1249"/>
      <c r="G6429" s="1253"/>
      <c r="H6429" s="1240"/>
    </row>
    <row r="6430" spans="1:8" ht="15.75" thickBot="1" x14ac:dyDescent="0.3">
      <c r="A6430" s="1238"/>
      <c r="B6430" s="1269"/>
      <c r="C6430" s="1254" t="s">
        <v>7044</v>
      </c>
      <c r="D6430" s="1254"/>
      <c r="E6430" s="1254" t="s">
        <v>7044</v>
      </c>
      <c r="F6430" s="1249"/>
      <c r="G6430" s="1253" t="s">
        <v>7044</v>
      </c>
      <c r="H6430" s="1240"/>
    </row>
    <row r="6431" spans="1:8" ht="15.75" thickBot="1" x14ac:dyDescent="0.3">
      <c r="A6431" s="1238"/>
      <c r="B6431" s="1282"/>
      <c r="C6431" s="1283" t="s">
        <v>7044</v>
      </c>
      <c r="D6431" s="1283"/>
      <c r="E6431" s="1283" t="s">
        <v>7044</v>
      </c>
      <c r="F6431" s="1284"/>
      <c r="G6431" s="1285" t="s">
        <v>7044</v>
      </c>
      <c r="H6431" s="1259">
        <f>SUM(G6426:G6431)</f>
        <v>0</v>
      </c>
    </row>
    <row r="6432" spans="1:8" ht="15.75" thickBot="1" x14ac:dyDescent="0.3">
      <c r="A6432" s="1238"/>
      <c r="B6432" s="1241"/>
      <c r="C6432" s="1241"/>
      <c r="D6432" s="1241"/>
      <c r="E6432" s="1241"/>
      <c r="F6432" s="1238"/>
      <c r="G6432" s="1240"/>
      <c r="H6432" s="1240"/>
    </row>
    <row r="6433" spans="1:8" ht="15.75" thickBot="1" x14ac:dyDescent="0.3">
      <c r="A6433" s="1238"/>
      <c r="B6433" s="1241"/>
      <c r="C6433" s="1241"/>
      <c r="D6433" s="1241"/>
      <c r="E6433" s="1286" t="s">
        <v>5415</v>
      </c>
      <c r="F6433" s="1238"/>
      <c r="G6433" s="1240"/>
      <c r="H6433" s="1259">
        <f>ROUND(H6400+H6416+H6423+H6431,0)</f>
        <v>8921430</v>
      </c>
    </row>
    <row r="6434" spans="1:8" x14ac:dyDescent="0.25">
      <c r="A6434" s="1236"/>
      <c r="B6434" s="1236"/>
      <c r="C6434" s="1236"/>
      <c r="D6434" s="1236"/>
      <c r="E6434" s="1236"/>
      <c r="F6434" s="1236"/>
      <c r="G6434" s="1237"/>
      <c r="H6434" s="1236"/>
    </row>
    <row r="6435" spans="1:8" x14ac:dyDescent="0.25">
      <c r="A6435" s="1236"/>
      <c r="B6435" s="1236"/>
      <c r="C6435" s="1287"/>
      <c r="D6435" s="1236"/>
      <c r="E6435" s="1287"/>
      <c r="F6435" s="1236"/>
      <c r="G6435" s="1237"/>
      <c r="H6435" s="1236"/>
    </row>
    <row r="6436" spans="1:8" x14ac:dyDescent="0.25">
      <c r="A6436" s="1236"/>
      <c r="B6436" s="1236"/>
      <c r="C6436" s="1236"/>
      <c r="D6436" s="1236"/>
      <c r="E6436" s="1236"/>
      <c r="F6436" s="1236"/>
      <c r="G6436" s="1237"/>
      <c r="H6436" s="1236"/>
    </row>
    <row r="6437" spans="1:8" ht="48" customHeight="1" x14ac:dyDescent="0.25">
      <c r="A6437" s="1295" t="s">
        <v>3</v>
      </c>
      <c r="B6437" s="1390" t="str">
        <f>+VLOOKUP(C6437,ListaAPUs!$B:$E,4,FALSE)</f>
        <v>7.1.27</v>
      </c>
      <c r="C6437" s="2448" t="str">
        <f>+ListaAPUs!B184</f>
        <v>Kit de emergencia para contenedores de cloro 1000 kg. Incluye dispositivos y herramientas para controlar y contener fugas.</v>
      </c>
      <c r="D6437" s="2448"/>
      <c r="E6437" s="2448"/>
      <c r="F6437" s="1295" t="s">
        <v>867</v>
      </c>
      <c r="G6437" s="1296" t="s">
        <v>5424</v>
      </c>
      <c r="H6437" s="1294"/>
    </row>
    <row r="6438" spans="1:8" x14ac:dyDescent="0.25">
      <c r="A6438" s="1238"/>
      <c r="B6438" s="1241"/>
      <c r="C6438" s="1242"/>
      <c r="D6438" s="1242"/>
      <c r="E6438" s="1242"/>
      <c r="F6438" s="1238"/>
      <c r="G6438" s="1240"/>
      <c r="H6438" s="1240"/>
    </row>
    <row r="6439" spans="1:8" x14ac:dyDescent="0.25">
      <c r="A6439" s="1238"/>
      <c r="B6439" s="1241"/>
      <c r="C6439" s="1241"/>
      <c r="D6439" s="1241"/>
      <c r="E6439" s="1241"/>
      <c r="F6439" s="1241"/>
      <c r="G6439" s="1241"/>
      <c r="H6439" s="1240"/>
    </row>
    <row r="6440" spans="1:8" ht="15.75" thickBot="1" x14ac:dyDescent="0.3">
      <c r="A6440" s="1238"/>
      <c r="B6440" s="1241"/>
      <c r="C6440" s="1241"/>
      <c r="D6440" s="1241"/>
      <c r="E6440" s="1241"/>
      <c r="F6440" s="1238"/>
      <c r="G6440" s="1240"/>
      <c r="H6440" s="1240"/>
    </row>
    <row r="6441" spans="1:8" ht="15.75" thickBot="1" x14ac:dyDescent="0.3">
      <c r="A6441" s="1293"/>
      <c r="B6441" s="1297" t="s">
        <v>5403</v>
      </c>
      <c r="C6441" s="1298" t="s">
        <v>867</v>
      </c>
      <c r="D6441" s="1298" t="s">
        <v>6</v>
      </c>
      <c r="E6441" s="1298" t="s">
        <v>5439</v>
      </c>
      <c r="F6441" s="1298" t="s">
        <v>5405</v>
      </c>
      <c r="G6441" s="1299" t="s">
        <v>868</v>
      </c>
      <c r="H6441" s="1294"/>
    </row>
    <row r="6442" spans="1:8" x14ac:dyDescent="0.25">
      <c r="A6442" s="1238"/>
      <c r="B6442" s="1140" t="s">
        <v>5440</v>
      </c>
      <c r="C6442" s="1246" t="s">
        <v>7042</v>
      </c>
      <c r="D6442" s="1247">
        <v>1</v>
      </c>
      <c r="E6442" s="1248">
        <f>H6480</f>
        <v>188642</v>
      </c>
      <c r="F6442" s="1249">
        <v>0.05</v>
      </c>
      <c r="G6442" s="1250">
        <f>D6442*E6442*F6442</f>
        <v>9432.1</v>
      </c>
      <c r="H6442" s="1240"/>
    </row>
    <row r="6443" spans="1:8" x14ac:dyDescent="0.25">
      <c r="A6443" s="1238"/>
      <c r="B6443" s="1288"/>
      <c r="C6443" s="226"/>
      <c r="D6443" s="232"/>
      <c r="E6443" s="1289"/>
      <c r="F6443" s="232"/>
      <c r="G6443" s="156"/>
      <c r="H6443" s="1240"/>
    </row>
    <row r="6444" spans="1:8" x14ac:dyDescent="0.25">
      <c r="A6444" s="1238"/>
      <c r="B6444" s="1251"/>
      <c r="C6444" s="1249"/>
      <c r="D6444" s="1249"/>
      <c r="E6444" s="1248"/>
      <c r="F6444" s="1249"/>
      <c r="G6444" s="1253"/>
      <c r="H6444" s="1240"/>
    </row>
    <row r="6445" spans="1:8" x14ac:dyDescent="0.25">
      <c r="A6445" s="1238"/>
      <c r="B6445" s="1251"/>
      <c r="C6445" s="1249"/>
      <c r="D6445" s="1249"/>
      <c r="E6445" s="1248"/>
      <c r="F6445" s="1249"/>
      <c r="G6445" s="1253"/>
      <c r="H6445" s="1240"/>
    </row>
    <row r="6446" spans="1:8" x14ac:dyDescent="0.25">
      <c r="A6446" s="1238"/>
      <c r="B6446" s="1251"/>
      <c r="C6446" s="1249"/>
      <c r="D6446" s="1249"/>
      <c r="E6446" s="1254"/>
      <c r="F6446" s="1249"/>
      <c r="G6446" s="1253"/>
      <c r="H6446" s="1240"/>
    </row>
    <row r="6447" spans="1:8" x14ac:dyDescent="0.25">
      <c r="A6447" s="1238"/>
      <c r="B6447" s="1251"/>
      <c r="C6447" s="1254" t="s">
        <v>7044</v>
      </c>
      <c r="D6447" s="1254"/>
      <c r="E6447" s="1254" t="s">
        <v>7044</v>
      </c>
      <c r="F6447" s="1249"/>
      <c r="G6447" s="1253" t="s">
        <v>7044</v>
      </c>
      <c r="H6447" s="1240"/>
    </row>
    <row r="6448" spans="1:8" ht="15.75" thickBot="1" x14ac:dyDescent="0.3">
      <c r="A6448" s="1238"/>
      <c r="B6448" s="1251"/>
      <c r="C6448" s="1254" t="s">
        <v>7044</v>
      </c>
      <c r="D6448" s="1254"/>
      <c r="E6448" s="1254" t="s">
        <v>7044</v>
      </c>
      <c r="F6448" s="1249"/>
      <c r="G6448" s="1253" t="s">
        <v>7044</v>
      </c>
      <c r="H6448" s="1240"/>
    </row>
    <row r="6449" spans="1:8" ht="15.75" thickBot="1" x14ac:dyDescent="0.3">
      <c r="A6449" s="1238"/>
      <c r="B6449" s="1255"/>
      <c r="C6449" s="1256" t="s">
        <v>7044</v>
      </c>
      <c r="D6449" s="1256"/>
      <c r="E6449" s="1256" t="s">
        <v>7044</v>
      </c>
      <c r="F6449" s="1257"/>
      <c r="G6449" s="1258" t="s">
        <v>7044</v>
      </c>
      <c r="H6449" s="1259">
        <f>SUM(G6442:G6449)</f>
        <v>9432.1</v>
      </c>
    </row>
    <row r="6450" spans="1:8" ht="15.75" thickBot="1" x14ac:dyDescent="0.3">
      <c r="A6450" s="1238"/>
      <c r="B6450" s="1260"/>
      <c r="C6450" s="1260"/>
      <c r="D6450" s="1260"/>
      <c r="E6450" s="1260"/>
      <c r="F6450" s="1261"/>
      <c r="G6450" s="1262" t="s">
        <v>7044</v>
      </c>
      <c r="H6450" s="1263"/>
    </row>
    <row r="6451" spans="1:8" ht="15.75" thickBot="1" x14ac:dyDescent="0.3">
      <c r="A6451" s="1293"/>
      <c r="B6451" s="1297" t="s">
        <v>5408</v>
      </c>
      <c r="C6451" s="1298" t="s">
        <v>867</v>
      </c>
      <c r="D6451" s="1298" t="s">
        <v>6</v>
      </c>
      <c r="E6451" s="1298" t="s">
        <v>870</v>
      </c>
      <c r="F6451" s="1298" t="s">
        <v>5409</v>
      </c>
      <c r="G6451" s="1299" t="s">
        <v>868</v>
      </c>
      <c r="H6451" s="1294"/>
    </row>
    <row r="6452" spans="1:8" x14ac:dyDescent="0.25">
      <c r="A6452" s="1238"/>
      <c r="B6452" s="1302" t="s">
        <v>8314</v>
      </c>
      <c r="C6452" s="743" t="s">
        <v>5424</v>
      </c>
      <c r="D6452" s="743">
        <v>1</v>
      </c>
      <c r="E6452" s="1234">
        <f>+VLOOKUP(B6452,Insumos!$A$2:$C$341,3,FALSE)</f>
        <v>20349000</v>
      </c>
      <c r="F6452" s="396"/>
      <c r="G6452" s="410">
        <f>D6452*E6452</f>
        <v>20349000</v>
      </c>
      <c r="H6452" s="1240"/>
    </row>
    <row r="6453" spans="1:8" x14ac:dyDescent="0.25">
      <c r="A6453" s="1238"/>
      <c r="B6453" s="739"/>
      <c r="C6453" s="740"/>
      <c r="D6453" s="743"/>
      <c r="E6453" s="1291"/>
      <c r="F6453" s="396"/>
      <c r="G6453" s="410"/>
      <c r="H6453" s="1240"/>
    </row>
    <row r="6454" spans="1:8" x14ac:dyDescent="0.25">
      <c r="A6454" s="1238"/>
      <c r="B6454" s="739"/>
      <c r="C6454" s="740"/>
      <c r="D6454" s="741"/>
      <c r="E6454" s="1292"/>
      <c r="F6454" s="396"/>
      <c r="G6454" s="410"/>
      <c r="H6454" s="1240"/>
    </row>
    <row r="6455" spans="1:8" x14ac:dyDescent="0.25">
      <c r="A6455" s="1238"/>
      <c r="B6455" s="1269"/>
      <c r="C6455" s="1246"/>
      <c r="D6455" s="1249"/>
      <c r="E6455" s="1268"/>
      <c r="F6455" s="1266"/>
      <c r="G6455" s="1267" t="s">
        <v>7044</v>
      </c>
      <c r="H6455" s="1240"/>
    </row>
    <row r="6456" spans="1:8" x14ac:dyDescent="0.25">
      <c r="A6456" s="1238"/>
      <c r="B6456" s="1269"/>
      <c r="C6456" s="1246"/>
      <c r="D6456" s="1249"/>
      <c r="E6456" s="1268"/>
      <c r="F6456" s="1266"/>
      <c r="G6456" s="1267" t="s">
        <v>7044</v>
      </c>
      <c r="H6456" s="1240"/>
    </row>
    <row r="6457" spans="1:8" x14ac:dyDescent="0.25">
      <c r="A6457" s="1238"/>
      <c r="B6457" s="1270"/>
      <c r="C6457" s="1264"/>
      <c r="D6457" s="1264"/>
      <c r="E6457" s="1265"/>
      <c r="F6457" s="1266"/>
      <c r="G6457" s="1267"/>
      <c r="H6457" s="1271"/>
    </row>
    <row r="6458" spans="1:8" x14ac:dyDescent="0.25">
      <c r="A6458" s="1238"/>
      <c r="B6458" s="1251"/>
      <c r="C6458" s="1249" t="s">
        <v>7044</v>
      </c>
      <c r="D6458" s="1249"/>
      <c r="E6458" s="1272" t="s">
        <v>7044</v>
      </c>
      <c r="F6458" s="1266"/>
      <c r="G6458" s="1267" t="s">
        <v>7044</v>
      </c>
      <c r="H6458" s="1240"/>
    </row>
    <row r="6459" spans="1:8" x14ac:dyDescent="0.25">
      <c r="A6459" s="1238"/>
      <c r="B6459" s="1251"/>
      <c r="C6459" s="1249" t="s">
        <v>7044</v>
      </c>
      <c r="D6459" s="1249"/>
      <c r="E6459" s="1272" t="s">
        <v>7044</v>
      </c>
      <c r="F6459" s="1266"/>
      <c r="G6459" s="1267" t="s">
        <v>7044</v>
      </c>
      <c r="H6459" s="1240"/>
    </row>
    <row r="6460" spans="1:8" x14ac:dyDescent="0.25">
      <c r="A6460" s="1238"/>
      <c r="B6460" s="1251"/>
      <c r="C6460" s="1254" t="s">
        <v>7044</v>
      </c>
      <c r="D6460" s="1254"/>
      <c r="E6460" s="1254" t="s">
        <v>7044</v>
      </c>
      <c r="F6460" s="1249"/>
      <c r="G6460" s="1253" t="s">
        <v>7044</v>
      </c>
      <c r="H6460" s="1240"/>
    </row>
    <row r="6461" spans="1:8" x14ac:dyDescent="0.25">
      <c r="A6461" s="1238"/>
      <c r="B6461" s="1251"/>
      <c r="C6461" s="1254" t="s">
        <v>7044</v>
      </c>
      <c r="D6461" s="1254"/>
      <c r="E6461" s="1254" t="s">
        <v>7044</v>
      </c>
      <c r="F6461" s="1249"/>
      <c r="G6461" s="1253" t="s">
        <v>7044</v>
      </c>
      <c r="H6461" s="1240"/>
    </row>
    <row r="6462" spans="1:8" x14ac:dyDescent="0.25">
      <c r="A6462" s="1238"/>
      <c r="B6462" s="1251"/>
      <c r="C6462" s="1254" t="s">
        <v>7044</v>
      </c>
      <c r="D6462" s="1254"/>
      <c r="E6462" s="1254" t="s">
        <v>7044</v>
      </c>
      <c r="F6462" s="1249"/>
      <c r="G6462" s="1253" t="s">
        <v>7044</v>
      </c>
      <c r="H6462" s="1240"/>
    </row>
    <row r="6463" spans="1:8" x14ac:dyDescent="0.25">
      <c r="A6463" s="1238"/>
      <c r="B6463" s="1251"/>
      <c r="C6463" s="1254" t="s">
        <v>7044</v>
      </c>
      <c r="D6463" s="1254"/>
      <c r="E6463" s="1254" t="s">
        <v>7044</v>
      </c>
      <c r="F6463" s="1249"/>
      <c r="G6463" s="1253" t="s">
        <v>7044</v>
      </c>
      <c r="H6463" s="1240"/>
    </row>
    <row r="6464" spans="1:8" ht="15.75" thickBot="1" x14ac:dyDescent="0.3">
      <c r="A6464" s="1238"/>
      <c r="B6464" s="1251"/>
      <c r="C6464" s="1254" t="s">
        <v>7044</v>
      </c>
      <c r="D6464" s="1254"/>
      <c r="E6464" s="1254" t="s">
        <v>7044</v>
      </c>
      <c r="F6464" s="1249"/>
      <c r="G6464" s="1253" t="s">
        <v>7044</v>
      </c>
      <c r="H6464" s="1240"/>
    </row>
    <row r="6465" spans="1:8" ht="15.75" thickBot="1" x14ac:dyDescent="0.3">
      <c r="A6465" s="1238"/>
      <c r="B6465" s="1255"/>
      <c r="C6465" s="1256" t="s">
        <v>7044</v>
      </c>
      <c r="D6465" s="1256"/>
      <c r="E6465" s="1256" t="s">
        <v>7044</v>
      </c>
      <c r="F6465" s="1257"/>
      <c r="G6465" s="1258" t="s">
        <v>7044</v>
      </c>
      <c r="H6465" s="1259">
        <f>SUM(G6452:G6465)</f>
        <v>20349000</v>
      </c>
    </row>
    <row r="6466" spans="1:8" ht="15.75" thickBot="1" x14ac:dyDescent="0.3">
      <c r="A6466" s="1238"/>
      <c r="B6466" s="1260"/>
      <c r="C6466" s="1260"/>
      <c r="D6466" s="1260"/>
      <c r="E6466" s="1260"/>
      <c r="F6466" s="1261"/>
      <c r="G6466" s="1262"/>
      <c r="H6466" s="1263"/>
    </row>
    <row r="6467" spans="1:8" ht="15.75" thickBot="1" x14ac:dyDescent="0.3">
      <c r="A6467" s="1293"/>
      <c r="B6467" s="1297" t="s">
        <v>5410</v>
      </c>
      <c r="C6467" s="1298" t="s">
        <v>867</v>
      </c>
      <c r="D6467" s="1298" t="s">
        <v>6</v>
      </c>
      <c r="E6467" s="1298" t="s">
        <v>870</v>
      </c>
      <c r="F6467" s="1298" t="s">
        <v>5411</v>
      </c>
      <c r="G6467" s="1299" t="s">
        <v>868</v>
      </c>
      <c r="H6467" s="1294"/>
    </row>
    <row r="6468" spans="1:8" x14ac:dyDescent="0.25">
      <c r="A6468" s="1238"/>
      <c r="B6468" s="1273" t="s">
        <v>5410</v>
      </c>
      <c r="C6468" s="1264" t="s">
        <v>5424</v>
      </c>
      <c r="D6468" s="1264">
        <v>1</v>
      </c>
      <c r="E6468" s="1274">
        <v>406980</v>
      </c>
      <c r="F6468" s="1264"/>
      <c r="G6468" s="1275">
        <f>D6468*E6468</f>
        <v>406980</v>
      </c>
      <c r="H6468" s="1276"/>
    </row>
    <row r="6469" spans="1:8" x14ac:dyDescent="0.25">
      <c r="A6469" s="1238"/>
      <c r="B6469" s="1269"/>
      <c r="C6469" s="1277" t="s">
        <v>7044</v>
      </c>
      <c r="D6469" s="1277"/>
      <c r="E6469" s="1277" t="s">
        <v>7044</v>
      </c>
      <c r="F6469" s="1264"/>
      <c r="G6469" s="1267" t="s">
        <v>7044</v>
      </c>
      <c r="H6469" s="1240"/>
    </row>
    <row r="6470" spans="1:8" x14ac:dyDescent="0.25">
      <c r="A6470" s="1238"/>
      <c r="B6470" s="1251"/>
      <c r="C6470" s="1254" t="s">
        <v>7044</v>
      </c>
      <c r="D6470" s="1254"/>
      <c r="E6470" s="1254" t="s">
        <v>7044</v>
      </c>
      <c r="F6470" s="1249"/>
      <c r="G6470" s="1253" t="s">
        <v>7044</v>
      </c>
      <c r="H6470" s="1240"/>
    </row>
    <row r="6471" spans="1:8" ht="15.75" thickBot="1" x14ac:dyDescent="0.3">
      <c r="A6471" s="1238"/>
      <c r="B6471" s="1251"/>
      <c r="C6471" s="1254" t="s">
        <v>7044</v>
      </c>
      <c r="D6471" s="1254"/>
      <c r="E6471" s="1254" t="s">
        <v>7044</v>
      </c>
      <c r="F6471" s="1249"/>
      <c r="G6471" s="1253" t="s">
        <v>7044</v>
      </c>
      <c r="H6471" s="1240"/>
    </row>
    <row r="6472" spans="1:8" ht="15.75" thickBot="1" x14ac:dyDescent="0.3">
      <c r="A6472" s="1238"/>
      <c r="B6472" s="1255"/>
      <c r="C6472" s="1256" t="s">
        <v>7044</v>
      </c>
      <c r="D6472" s="1256"/>
      <c r="E6472" s="1256" t="s">
        <v>7044</v>
      </c>
      <c r="F6472" s="1257"/>
      <c r="G6472" s="1258" t="s">
        <v>7044</v>
      </c>
      <c r="H6472" s="1259">
        <f>SUM(G6468:G6471)</f>
        <v>406980</v>
      </c>
    </row>
    <row r="6473" spans="1:8" ht="15.75" thickBot="1" x14ac:dyDescent="0.3">
      <c r="A6473" s="1238"/>
      <c r="B6473" s="1260"/>
      <c r="C6473" s="1260"/>
      <c r="D6473" s="1260"/>
      <c r="E6473" s="1260"/>
      <c r="F6473" s="1278"/>
      <c r="G6473" s="1279"/>
      <c r="H6473" s="1263"/>
    </row>
    <row r="6474" spans="1:8" ht="15.75" thickBot="1" x14ac:dyDescent="0.3">
      <c r="A6474" s="1238"/>
      <c r="B6474" s="1243" t="s">
        <v>5412</v>
      </c>
      <c r="C6474" s="1244" t="s">
        <v>5420</v>
      </c>
      <c r="D6474" s="1244" t="s">
        <v>5421</v>
      </c>
      <c r="E6474" s="1244" t="s">
        <v>5413</v>
      </c>
      <c r="F6474" s="1244" t="s">
        <v>5405</v>
      </c>
      <c r="G6474" s="1245" t="s">
        <v>868</v>
      </c>
      <c r="H6474" s="1240"/>
    </row>
    <row r="6475" spans="1:8" x14ac:dyDescent="0.25">
      <c r="A6475" s="1238"/>
      <c r="B6475" s="1328" t="s">
        <v>8299</v>
      </c>
      <c r="C6475" s="1329">
        <v>300000</v>
      </c>
      <c r="D6475" s="1329">
        <v>146370</v>
      </c>
      <c r="E6475" s="1330">
        <v>446370</v>
      </c>
      <c r="F6475" s="1331">
        <v>3</v>
      </c>
      <c r="G6475" s="1332">
        <f>IF(B6475="","",E6475/F6475)</f>
        <v>148790</v>
      </c>
      <c r="H6475" s="1240"/>
    </row>
    <row r="6476" spans="1:8" x14ac:dyDescent="0.25">
      <c r="A6476" s="1238"/>
      <c r="B6476" s="764" t="s">
        <v>5635</v>
      </c>
      <c r="C6476" s="782">
        <f>+VLOOKUP(B6476,'Mano de obra'!$A$5:$D$26,2,FALSE)</f>
        <v>24591</v>
      </c>
      <c r="D6476" s="782">
        <f>+VLOOKUP(B6476,'Mano de obra'!$A$5:$D$26,3,FALSE)</f>
        <v>15261</v>
      </c>
      <c r="E6476" s="761">
        <f>+VLOOKUP(B6476,'Mano de obra'!$A$5:$D$26,4,FALSE)</f>
        <v>39852</v>
      </c>
      <c r="F6476" s="1249">
        <v>1</v>
      </c>
      <c r="G6476" s="1275">
        <f>IF(B6476="","",E6476/F6476)</f>
        <v>39852</v>
      </c>
      <c r="H6476" s="1240"/>
    </row>
    <row r="6477" spans="1:8" x14ac:dyDescent="0.25">
      <c r="A6477" s="1238"/>
      <c r="B6477" s="1251"/>
      <c r="C6477" s="1254"/>
      <c r="D6477" s="1280"/>
      <c r="E6477" s="1235"/>
      <c r="F6477" s="1249"/>
      <c r="G6477" s="1253" t="s">
        <v>7044</v>
      </c>
      <c r="H6477" s="1240"/>
    </row>
    <row r="6478" spans="1:8" x14ac:dyDescent="0.25">
      <c r="A6478" s="1238"/>
      <c r="B6478" s="1333"/>
      <c r="C6478" s="1254"/>
      <c r="D6478" s="1280"/>
      <c r="E6478" s="1254"/>
      <c r="F6478" s="1249"/>
      <c r="G6478" s="1253"/>
      <c r="H6478" s="1240"/>
    </row>
    <row r="6479" spans="1:8" ht="15.75" thickBot="1" x14ac:dyDescent="0.3">
      <c r="A6479" s="1238"/>
      <c r="B6479" s="1269"/>
      <c r="C6479" s="1254" t="s">
        <v>7044</v>
      </c>
      <c r="D6479" s="1254"/>
      <c r="E6479" s="1254" t="s">
        <v>7044</v>
      </c>
      <c r="F6479" s="1249"/>
      <c r="G6479" s="1253" t="s">
        <v>7044</v>
      </c>
      <c r="H6479" s="1240"/>
    </row>
    <row r="6480" spans="1:8" ht="15.75" thickBot="1" x14ac:dyDescent="0.3">
      <c r="A6480" s="1238"/>
      <c r="B6480" s="1282"/>
      <c r="C6480" s="1283" t="s">
        <v>7044</v>
      </c>
      <c r="D6480" s="1283"/>
      <c r="E6480" s="1283" t="s">
        <v>7044</v>
      </c>
      <c r="F6480" s="1284"/>
      <c r="G6480" s="1285" t="s">
        <v>7044</v>
      </c>
      <c r="H6480" s="1259">
        <f>SUM(G6475:G6480)</f>
        <v>188642</v>
      </c>
    </row>
    <row r="6481" spans="1:8" ht="15.75" thickBot="1" x14ac:dyDescent="0.3">
      <c r="A6481" s="1238"/>
      <c r="B6481" s="1241"/>
      <c r="C6481" s="1241"/>
      <c r="D6481" s="1241"/>
      <c r="E6481" s="1241"/>
      <c r="F6481" s="1238"/>
      <c r="G6481" s="1240"/>
      <c r="H6481" s="1240"/>
    </row>
    <row r="6482" spans="1:8" ht="15.75" thickBot="1" x14ac:dyDescent="0.3">
      <c r="A6482" s="1238"/>
      <c r="B6482" s="1241"/>
      <c r="C6482" s="1241"/>
      <c r="D6482" s="1241"/>
      <c r="E6482" s="1286" t="s">
        <v>5415</v>
      </c>
      <c r="F6482" s="1238"/>
      <c r="G6482" s="1240"/>
      <c r="H6482" s="1259">
        <f>ROUND(H6449+H6465+H6472+H6480,0)</f>
        <v>20954054</v>
      </c>
    </row>
    <row r="6483" spans="1:8" x14ac:dyDescent="0.25">
      <c r="A6483" s="1236"/>
      <c r="B6483" s="1236"/>
      <c r="C6483" s="1236"/>
      <c r="D6483" s="1236"/>
      <c r="E6483" s="1236"/>
      <c r="F6483" s="1236"/>
      <c r="G6483" s="1237"/>
      <c r="H6483" s="1236"/>
    </row>
    <row r="6485" spans="1:8" x14ac:dyDescent="0.25">
      <c r="A6485" s="1441"/>
      <c r="B6485" s="1441"/>
      <c r="C6485" s="1441"/>
      <c r="D6485" s="957"/>
      <c r="E6485" s="1441"/>
      <c r="F6485" s="1441"/>
      <c r="G6485" s="1441"/>
      <c r="H6485" s="1441"/>
    </row>
    <row r="6486" spans="1:8" ht="32.25" customHeight="1" x14ac:dyDescent="0.25">
      <c r="A6486" s="673" t="s">
        <v>5482</v>
      </c>
      <c r="B6486" s="1390" t="str">
        <f>+VLOOKUP(C6486,ListaAPUs!$B:$E,4,FALSE)</f>
        <v>4.4.5</v>
      </c>
      <c r="C6486" s="2449" t="str">
        <f>+ListaAPUs!B120</f>
        <v>INSTALACIÓN EMPAQUES PARA TUBERIA A REINSTALAR EN HD (INCLUYE SUMINISTRO)</v>
      </c>
      <c r="D6486" s="2449"/>
      <c r="E6486" s="2449"/>
      <c r="F6486" s="673" t="s">
        <v>867</v>
      </c>
      <c r="G6486" s="222" t="s">
        <v>5424</v>
      </c>
      <c r="H6486" s="200"/>
    </row>
    <row r="6487" spans="1:8" x14ac:dyDescent="0.25">
      <c r="A6487" s="133"/>
      <c r="B6487" s="8"/>
      <c r="C6487" s="223"/>
      <c r="D6487" s="958"/>
      <c r="E6487" s="223"/>
      <c r="F6487" s="133"/>
      <c r="G6487" s="200"/>
      <c r="H6487" s="200"/>
    </row>
    <row r="6488" spans="1:8" x14ac:dyDescent="0.25">
      <c r="A6488" s="133"/>
      <c r="B6488" s="8"/>
      <c r="C6488" s="8"/>
      <c r="D6488" s="529"/>
      <c r="E6488" s="8"/>
      <c r="F6488" s="8"/>
      <c r="G6488" s="8"/>
      <c r="H6488" s="200"/>
    </row>
    <row r="6489" spans="1:8" ht="15.75" thickBot="1" x14ac:dyDescent="0.3">
      <c r="A6489" s="133"/>
      <c r="B6489" s="8"/>
      <c r="C6489" s="8"/>
      <c r="D6489" s="529"/>
      <c r="E6489" s="8"/>
      <c r="F6489" s="133"/>
      <c r="G6489" s="200"/>
      <c r="H6489" s="200"/>
    </row>
    <row r="6490" spans="1:8" ht="15.75" thickBot="1" x14ac:dyDescent="0.3">
      <c r="A6490" s="133"/>
      <c r="B6490" s="224" t="s">
        <v>5403</v>
      </c>
      <c r="C6490" s="193" t="s">
        <v>867</v>
      </c>
      <c r="D6490" s="951" t="s">
        <v>6</v>
      </c>
      <c r="E6490" s="193" t="s">
        <v>5439</v>
      </c>
      <c r="F6490" s="193" t="s">
        <v>5405</v>
      </c>
      <c r="G6490" s="225" t="s">
        <v>868</v>
      </c>
      <c r="H6490" s="200"/>
    </row>
    <row r="6491" spans="1:8" x14ac:dyDescent="0.25">
      <c r="A6491" s="133"/>
      <c r="B6491" s="195" t="s">
        <v>5440</v>
      </c>
      <c r="C6491" s="226" t="s">
        <v>5402</v>
      </c>
      <c r="D6491" s="212">
        <v>1</v>
      </c>
      <c r="E6491" s="228">
        <f>+H6529</f>
        <v>6070.9276666666665</v>
      </c>
      <c r="F6491" s="226">
        <v>0.1</v>
      </c>
      <c r="G6491" s="229">
        <f>+E6491*F6491</f>
        <v>607.09276666666665</v>
      </c>
      <c r="H6491" s="200"/>
    </row>
    <row r="6492" spans="1:8" x14ac:dyDescent="0.25">
      <c r="A6492" s="133"/>
      <c r="B6492" s="195"/>
      <c r="C6492" s="226"/>
      <c r="D6492" s="212"/>
      <c r="E6492" s="176"/>
      <c r="F6492" s="226"/>
      <c r="G6492" s="229"/>
      <c r="H6492" s="200"/>
    </row>
    <row r="6493" spans="1:8" x14ac:dyDescent="0.25">
      <c r="A6493" s="133"/>
      <c r="B6493" s="195"/>
      <c r="C6493" s="226"/>
      <c r="D6493" s="212"/>
      <c r="E6493" s="228"/>
      <c r="F6493" s="226"/>
      <c r="G6493" s="229"/>
      <c r="H6493" s="200"/>
    </row>
    <row r="6494" spans="1:8" x14ac:dyDescent="0.25">
      <c r="A6494" s="133"/>
      <c r="B6494" s="195"/>
      <c r="C6494" s="226"/>
      <c r="D6494" s="212"/>
      <c r="E6494" s="171"/>
      <c r="F6494" s="226"/>
      <c r="G6494" s="231"/>
      <c r="H6494" s="200"/>
    </row>
    <row r="6495" spans="1:8" x14ac:dyDescent="0.25">
      <c r="A6495" s="133"/>
      <c r="B6495" s="195"/>
      <c r="C6495" s="226"/>
      <c r="D6495" s="952"/>
      <c r="E6495" s="232"/>
      <c r="F6495" s="226"/>
      <c r="G6495" s="229"/>
      <c r="H6495" s="200"/>
    </row>
    <row r="6496" spans="1:8" ht="15.75" thickBot="1" x14ac:dyDescent="0.3">
      <c r="A6496" s="133"/>
      <c r="B6496" s="195"/>
      <c r="C6496" s="226"/>
      <c r="D6496" s="952"/>
      <c r="E6496" s="232"/>
      <c r="F6496" s="226"/>
      <c r="G6496" s="229"/>
      <c r="H6496" s="200"/>
    </row>
    <row r="6497" spans="1:8" ht="15.75" thickBot="1" x14ac:dyDescent="0.3">
      <c r="A6497" s="133"/>
      <c r="B6497" s="233"/>
      <c r="C6497" s="234"/>
      <c r="D6497" s="953"/>
      <c r="E6497" s="234"/>
      <c r="F6497" s="235"/>
      <c r="G6497" s="236"/>
      <c r="H6497" s="237">
        <f>+SUM(G6491:G6497)</f>
        <v>607.09276666666665</v>
      </c>
    </row>
    <row r="6498" spans="1:8" ht="15.75" thickBot="1" x14ac:dyDescent="0.3">
      <c r="A6498" s="133"/>
      <c r="B6498" s="238"/>
      <c r="C6498" s="238"/>
      <c r="D6498" s="954"/>
      <c r="E6498" s="238"/>
      <c r="F6498" s="239"/>
      <c r="G6498" s="240"/>
      <c r="H6498" s="241"/>
    </row>
    <row r="6499" spans="1:8" ht="15.75" thickBot="1" x14ac:dyDescent="0.3">
      <c r="A6499" s="133"/>
      <c r="B6499" s="224" t="s">
        <v>5408</v>
      </c>
      <c r="C6499" s="193" t="s">
        <v>867</v>
      </c>
      <c r="D6499" s="951" t="s">
        <v>6</v>
      </c>
      <c r="E6499" s="193" t="s">
        <v>870</v>
      </c>
      <c r="F6499" s="193" t="s">
        <v>5409</v>
      </c>
      <c r="G6499" s="225" t="s">
        <v>868</v>
      </c>
      <c r="H6499" s="200"/>
    </row>
    <row r="6500" spans="1:8" x14ac:dyDescent="0.25">
      <c r="A6500" s="133"/>
      <c r="B6500" s="295" t="s">
        <v>6124</v>
      </c>
      <c r="C6500" s="202" t="s">
        <v>5424</v>
      </c>
      <c r="D6500" s="212">
        <v>1</v>
      </c>
      <c r="E6500" s="980">
        <f>+VLOOKUP(B6500,Insumos!$A$2:$C$331,3,FALSE)</f>
        <v>143831.94848918397</v>
      </c>
      <c r="F6500" s="169"/>
      <c r="G6500" s="178">
        <f>+D6500*E6500*(1+F6500)</f>
        <v>143831.94848918397</v>
      </c>
      <c r="H6500" s="200"/>
    </row>
    <row r="6501" spans="1:8" x14ac:dyDescent="0.25">
      <c r="A6501" s="133"/>
      <c r="B6501" s="450"/>
      <c r="C6501" s="202"/>
      <c r="D6501" s="211"/>
      <c r="E6501" s="228"/>
      <c r="F6501" s="169"/>
      <c r="G6501" s="178"/>
      <c r="H6501" s="200"/>
    </row>
    <row r="6502" spans="1:8" x14ac:dyDescent="0.25">
      <c r="A6502" s="133"/>
      <c r="B6502" s="247"/>
      <c r="C6502" s="226"/>
      <c r="D6502" s="212"/>
      <c r="E6502" s="228"/>
      <c r="F6502" s="169"/>
      <c r="G6502" s="178"/>
      <c r="H6502" s="200"/>
    </row>
    <row r="6503" spans="1:8" x14ac:dyDescent="0.25">
      <c r="A6503" s="133"/>
      <c r="B6503" s="194"/>
      <c r="C6503" s="226"/>
      <c r="D6503" s="212"/>
      <c r="E6503" s="228"/>
      <c r="F6503" s="169"/>
      <c r="G6503" s="178"/>
      <c r="H6503" s="200"/>
    </row>
    <row r="6504" spans="1:8" x14ac:dyDescent="0.25">
      <c r="A6504" s="133"/>
      <c r="B6504" s="195"/>
      <c r="C6504" s="226"/>
      <c r="D6504" s="212"/>
      <c r="E6504" s="176"/>
      <c r="F6504" s="169"/>
      <c r="G6504" s="178"/>
      <c r="H6504" s="200"/>
    </row>
    <row r="6505" spans="1:8" x14ac:dyDescent="0.25">
      <c r="A6505" s="133"/>
      <c r="B6505" s="194"/>
      <c r="C6505" s="202"/>
      <c r="D6505" s="211"/>
      <c r="E6505" s="176"/>
      <c r="F6505" s="169"/>
      <c r="G6505" s="178"/>
      <c r="H6505" s="200"/>
    </row>
    <row r="6506" spans="1:8" x14ac:dyDescent="0.25">
      <c r="A6506" s="133"/>
      <c r="B6506" s="195"/>
      <c r="C6506" s="226"/>
      <c r="D6506" s="212"/>
      <c r="E6506" s="176"/>
      <c r="F6506" s="169"/>
      <c r="G6506" s="178"/>
      <c r="H6506" s="200"/>
    </row>
    <row r="6507" spans="1:8" x14ac:dyDescent="0.25">
      <c r="A6507" s="133"/>
      <c r="B6507" s="195"/>
      <c r="C6507" s="226"/>
      <c r="D6507" s="212"/>
      <c r="E6507" s="176"/>
      <c r="F6507" s="169"/>
      <c r="G6507" s="178"/>
      <c r="H6507" s="200"/>
    </row>
    <row r="6508" spans="1:8" x14ac:dyDescent="0.25">
      <c r="A6508" s="133"/>
      <c r="B6508" s="195"/>
      <c r="C6508" s="232"/>
      <c r="D6508" s="952"/>
      <c r="E6508" s="232"/>
      <c r="F6508" s="226"/>
      <c r="G6508" s="229"/>
      <c r="H6508" s="200"/>
    </row>
    <row r="6509" spans="1:8" x14ac:dyDescent="0.25">
      <c r="A6509" s="133"/>
      <c r="B6509" s="195"/>
      <c r="C6509" s="232"/>
      <c r="D6509" s="952"/>
      <c r="E6509" s="232"/>
      <c r="F6509" s="226"/>
      <c r="G6509" s="229"/>
      <c r="H6509" s="200"/>
    </row>
    <row r="6510" spans="1:8" x14ac:dyDescent="0.25">
      <c r="A6510" s="133"/>
      <c r="B6510" s="195"/>
      <c r="C6510" s="232"/>
      <c r="D6510" s="952"/>
      <c r="E6510" s="232"/>
      <c r="F6510" s="226"/>
      <c r="G6510" s="229"/>
      <c r="H6510" s="200"/>
    </row>
    <row r="6511" spans="1:8" ht="15.75" thickBot="1" x14ac:dyDescent="0.3">
      <c r="A6511" s="133"/>
      <c r="B6511" s="195"/>
      <c r="C6511" s="232"/>
      <c r="D6511" s="952"/>
      <c r="E6511" s="232"/>
      <c r="F6511" s="226"/>
      <c r="G6511" s="229"/>
      <c r="H6511" s="200"/>
    </row>
    <row r="6512" spans="1:8" ht="15.75" thickBot="1" x14ac:dyDescent="0.3">
      <c r="A6512" s="133"/>
      <c r="B6512" s="233"/>
      <c r="C6512" s="234"/>
      <c r="D6512" s="953"/>
      <c r="E6512" s="234"/>
      <c r="F6512" s="235"/>
      <c r="G6512" s="236"/>
      <c r="H6512" s="237">
        <f>+SUM(G6500:G6512)</f>
        <v>143831.94848918397</v>
      </c>
    </row>
    <row r="6513" spans="1:8" ht="15.75" thickBot="1" x14ac:dyDescent="0.3">
      <c r="A6513" s="133"/>
      <c r="B6513" s="238"/>
      <c r="C6513" s="238"/>
      <c r="D6513" s="954"/>
      <c r="E6513" s="238"/>
      <c r="F6513" s="239"/>
      <c r="G6513" s="240"/>
      <c r="H6513" s="241"/>
    </row>
    <row r="6514" spans="1:8" ht="15.75" thickBot="1" x14ac:dyDescent="0.3">
      <c r="A6514" s="133"/>
      <c r="B6514" s="224" t="s">
        <v>5410</v>
      </c>
      <c r="C6514" s="193" t="s">
        <v>867</v>
      </c>
      <c r="D6514" s="951" t="s">
        <v>6</v>
      </c>
      <c r="E6514" s="193" t="s">
        <v>870</v>
      </c>
      <c r="F6514" s="193" t="s">
        <v>5411</v>
      </c>
      <c r="G6514" s="225" t="s">
        <v>868</v>
      </c>
      <c r="H6514" s="200"/>
    </row>
    <row r="6515" spans="1:8" x14ac:dyDescent="0.25">
      <c r="A6515" s="133"/>
      <c r="B6515" s="245"/>
      <c r="C6515" s="283"/>
      <c r="D6515" s="959"/>
      <c r="E6515" s="379"/>
      <c r="F6515" s="283"/>
      <c r="G6515" s="354"/>
      <c r="H6515" s="246"/>
    </row>
    <row r="6516" spans="1:8" x14ac:dyDescent="0.25">
      <c r="A6516" s="133"/>
      <c r="B6516" s="247"/>
      <c r="C6516" s="248"/>
      <c r="D6516" s="961"/>
      <c r="E6516" s="248"/>
      <c r="F6516" s="202"/>
      <c r="G6516" s="178"/>
      <c r="H6516" s="200"/>
    </row>
    <row r="6517" spans="1:8" x14ac:dyDescent="0.25">
      <c r="A6517" s="133"/>
      <c r="B6517" s="247"/>
      <c r="C6517" s="232"/>
      <c r="D6517" s="952"/>
      <c r="E6517" s="232"/>
      <c r="F6517" s="226"/>
      <c r="G6517" s="229"/>
      <c r="H6517" s="200"/>
    </row>
    <row r="6518" spans="1:8" x14ac:dyDescent="0.25">
      <c r="A6518" s="133"/>
      <c r="B6518" s="194"/>
      <c r="C6518" s="232"/>
      <c r="D6518" s="952"/>
      <c r="E6518" s="232"/>
      <c r="F6518" s="226"/>
      <c r="G6518" s="229"/>
      <c r="H6518" s="200"/>
    </row>
    <row r="6519" spans="1:8" ht="15.75" thickBot="1" x14ac:dyDescent="0.3">
      <c r="A6519" s="133"/>
      <c r="B6519" s="195"/>
      <c r="C6519" s="232"/>
      <c r="D6519" s="952"/>
      <c r="E6519" s="232"/>
      <c r="F6519" s="226"/>
      <c r="G6519" s="229"/>
      <c r="H6519" s="200"/>
    </row>
    <row r="6520" spans="1:8" ht="15.75" thickBot="1" x14ac:dyDescent="0.3">
      <c r="A6520" s="133"/>
      <c r="B6520" s="233"/>
      <c r="C6520" s="234"/>
      <c r="D6520" s="953"/>
      <c r="E6520" s="234"/>
      <c r="F6520" s="235"/>
      <c r="G6520" s="236"/>
      <c r="H6520" s="237">
        <f>+SUM(G6515:G6520)</f>
        <v>0</v>
      </c>
    </row>
    <row r="6521" spans="1:8" ht="15.75" thickBot="1" x14ac:dyDescent="0.3">
      <c r="A6521" s="133"/>
      <c r="B6521" s="238"/>
      <c r="C6521" s="238"/>
      <c r="D6521" s="954"/>
      <c r="E6521" s="238"/>
      <c r="F6521" s="249"/>
      <c r="G6521" s="250"/>
      <c r="H6521" s="241"/>
    </row>
    <row r="6522" spans="1:8" ht="15.75" thickBot="1" x14ac:dyDescent="0.3">
      <c r="A6522" s="133"/>
      <c r="B6522" s="224" t="s">
        <v>5412</v>
      </c>
      <c r="C6522" s="193" t="s">
        <v>5420</v>
      </c>
      <c r="D6522" s="951" t="s">
        <v>5421</v>
      </c>
      <c r="E6522" s="193" t="s">
        <v>5413</v>
      </c>
      <c r="F6522" s="193" t="s">
        <v>5405</v>
      </c>
      <c r="G6522" s="225" t="s">
        <v>868</v>
      </c>
      <c r="H6522" s="200"/>
    </row>
    <row r="6523" spans="1:8" x14ac:dyDescent="0.25">
      <c r="A6523" s="133"/>
      <c r="B6523" s="194" t="s">
        <v>5948</v>
      </c>
      <c r="C6523" s="345">
        <f>+VLOOKUP($B6523,'Mano de obra'!$A$5:$D$26,2,FALSE)</f>
        <v>57455</v>
      </c>
      <c r="D6523" s="345">
        <f>+VLOOKUP($B6523,'Mano de obra'!$A$5:$D$26,3,FALSE)</f>
        <v>35656</v>
      </c>
      <c r="E6523" s="345">
        <f>+VLOOKUP($B6523,'Mano de obra'!$A$5:$D$26,4,FALSE)</f>
        <v>93111</v>
      </c>
      <c r="F6523" s="204">
        <v>1000</v>
      </c>
      <c r="G6523" s="178">
        <f>+E6523/F6523</f>
        <v>93.111000000000004</v>
      </c>
      <c r="H6523" s="200"/>
    </row>
    <row r="6524" spans="1:8" x14ac:dyDescent="0.25">
      <c r="A6524" s="133"/>
      <c r="B6524" s="194" t="s">
        <v>5949</v>
      </c>
      <c r="C6524" s="345">
        <f>+VLOOKUP($B6524,'Mano de obra'!$A$5:$D$26,2,FALSE)</f>
        <v>44263.8</v>
      </c>
      <c r="D6524" s="345">
        <f>+VLOOKUP($B6524,'Mano de obra'!$A$5:$D$26,3,FALSE)</f>
        <v>27470</v>
      </c>
      <c r="E6524" s="345">
        <f>+VLOOKUP($B6524,'Mano de obra'!$A$5:$D$26,4,FALSE)</f>
        <v>71733.8</v>
      </c>
      <c r="F6524" s="202">
        <v>12</v>
      </c>
      <c r="G6524" s="178">
        <f>+E6524/F6524</f>
        <v>5977.8166666666666</v>
      </c>
      <c r="H6524" s="200"/>
    </row>
    <row r="6525" spans="1:8" x14ac:dyDescent="0.25">
      <c r="A6525" s="133"/>
      <c r="B6525" s="195"/>
      <c r="C6525" s="345"/>
      <c r="D6525" s="965"/>
      <c r="E6525" s="175"/>
      <c r="F6525" s="226"/>
      <c r="G6525" s="178"/>
      <c r="H6525" s="200"/>
    </row>
    <row r="6526" spans="1:8" x14ac:dyDescent="0.25">
      <c r="A6526" s="133"/>
      <c r="B6526" s="195"/>
      <c r="C6526" s="171"/>
      <c r="D6526" s="965"/>
      <c r="E6526" s="228"/>
      <c r="F6526" s="226"/>
      <c r="G6526" s="178"/>
      <c r="H6526" s="200"/>
    </row>
    <row r="6527" spans="1:8" x14ac:dyDescent="0.25">
      <c r="A6527" s="133"/>
      <c r="B6527" s="195"/>
      <c r="C6527" s="232"/>
      <c r="D6527" s="952"/>
      <c r="E6527" s="232"/>
      <c r="F6527" s="226"/>
      <c r="G6527" s="229"/>
      <c r="H6527" s="200"/>
    </row>
    <row r="6528" spans="1:8" ht="15.75" thickBot="1" x14ac:dyDescent="0.3">
      <c r="A6528" s="133"/>
      <c r="B6528" s="195"/>
      <c r="C6528" s="232"/>
      <c r="D6528" s="952"/>
      <c r="E6528" s="232"/>
      <c r="F6528" s="226"/>
      <c r="G6528" s="229"/>
      <c r="H6528" s="200"/>
    </row>
    <row r="6529" spans="1:8" ht="15.75" thickBot="1" x14ac:dyDescent="0.3">
      <c r="A6529" s="133"/>
      <c r="B6529" s="251"/>
      <c r="C6529" s="252"/>
      <c r="D6529" s="956"/>
      <c r="E6529" s="252"/>
      <c r="F6529" s="253"/>
      <c r="G6529" s="254"/>
      <c r="H6529" s="256">
        <f>+SUM(G6523:G6529)</f>
        <v>6070.9276666666665</v>
      </c>
    </row>
    <row r="6530" spans="1:8" ht="15.75" thickBot="1" x14ac:dyDescent="0.3">
      <c r="A6530" s="133"/>
      <c r="B6530" s="8"/>
      <c r="C6530" s="8"/>
      <c r="D6530" s="529"/>
      <c r="E6530" s="8"/>
      <c r="F6530" s="133"/>
      <c r="G6530" s="200"/>
      <c r="H6530" s="200"/>
    </row>
    <row r="6531" spans="1:8" ht="15.75" thickBot="1" x14ac:dyDescent="0.3">
      <c r="A6531" s="133" t="s">
        <v>6744</v>
      </c>
      <c r="B6531" s="8"/>
      <c r="C6531" s="8"/>
      <c r="D6531" s="529"/>
      <c r="E6531" s="223" t="s">
        <v>5415</v>
      </c>
      <c r="F6531" s="223"/>
      <c r="G6531" s="200"/>
      <c r="H6531" s="256">
        <f>ROUND(+H6529+H6520+H6512+H6497,0)</f>
        <v>150510</v>
      </c>
    </row>
    <row r="6532" spans="1:8" x14ac:dyDescent="0.25">
      <c r="A6532" s="1441"/>
      <c r="B6532" s="1441"/>
      <c r="C6532" s="1441"/>
      <c r="D6532" s="957"/>
      <c r="E6532" s="1441"/>
      <c r="F6532" s="1441"/>
      <c r="G6532" s="1441"/>
      <c r="H6532" s="1441"/>
    </row>
    <row r="6533" spans="1:8" x14ac:dyDescent="0.25">
      <c r="A6533" s="1523"/>
      <c r="B6533" s="1522"/>
      <c r="C6533" s="1522"/>
      <c r="D6533" s="1522"/>
      <c r="E6533" s="1522"/>
      <c r="F6533" s="1522"/>
      <c r="G6533" s="1524"/>
      <c r="H6533" s="1522"/>
    </row>
    <row r="6534" spans="1:8" x14ac:dyDescent="0.25">
      <c r="A6534" s="1523"/>
      <c r="B6534" s="1522"/>
      <c r="C6534" s="1522"/>
      <c r="D6534" s="1522"/>
      <c r="E6534" s="1522"/>
      <c r="F6534" s="1522"/>
      <c r="G6534" s="1524"/>
      <c r="H6534" s="1522"/>
    </row>
    <row r="6535" spans="1:8" x14ac:dyDescent="0.25">
      <c r="A6535" s="1525" t="s">
        <v>3</v>
      </c>
      <c r="B6535" s="1525" t="s">
        <v>139</v>
      </c>
      <c r="C6535" s="2450" t="s">
        <v>5461</v>
      </c>
      <c r="D6535" s="2450"/>
      <c r="E6535" s="2450"/>
      <c r="F6535" s="1525" t="s">
        <v>867</v>
      </c>
      <c r="G6535" s="1526" t="s">
        <v>5418</v>
      </c>
      <c r="H6535" s="1524"/>
    </row>
    <row r="6536" spans="1:8" x14ac:dyDescent="0.25">
      <c r="A6536" s="1528"/>
      <c r="B6536" s="1527"/>
      <c r="C6536" s="1527"/>
      <c r="D6536" s="1527"/>
      <c r="E6536" s="1527"/>
      <c r="F6536" s="1528"/>
      <c r="G6536" s="1524"/>
      <c r="H6536" s="1524"/>
    </row>
    <row r="6537" spans="1:8" x14ac:dyDescent="0.25">
      <c r="A6537" s="1528"/>
      <c r="B6537" s="1527"/>
      <c r="C6537" s="1527"/>
      <c r="D6537" s="1527"/>
      <c r="E6537" s="1527"/>
      <c r="F6537" s="1528"/>
      <c r="G6537" s="1529"/>
      <c r="H6537" s="1524"/>
    </row>
    <row r="6538" spans="1:8" ht="15.75" thickBot="1" x14ac:dyDescent="0.3">
      <c r="A6538" s="1528"/>
      <c r="B6538" s="1527"/>
      <c r="C6538" s="1527"/>
      <c r="D6538" s="1527"/>
      <c r="E6538" s="1527"/>
      <c r="F6538" s="1528"/>
      <c r="G6538" s="1524"/>
      <c r="H6538" s="1524"/>
    </row>
    <row r="6539" spans="1:8" ht="15.75" thickBot="1" x14ac:dyDescent="0.3">
      <c r="A6539" s="1528"/>
      <c r="B6539" s="1530" t="s">
        <v>5403</v>
      </c>
      <c r="C6539" s="1531" t="s">
        <v>867</v>
      </c>
      <c r="D6539" s="1531" t="s">
        <v>6</v>
      </c>
      <c r="E6539" s="1531" t="s">
        <v>5404</v>
      </c>
      <c r="F6539" s="1531" t="s">
        <v>5405</v>
      </c>
      <c r="G6539" s="1532" t="s">
        <v>868</v>
      </c>
      <c r="H6539" s="1524"/>
    </row>
    <row r="6540" spans="1:8" x14ac:dyDescent="0.25">
      <c r="A6540" s="1528"/>
      <c r="B6540" s="1533" t="s">
        <v>5440</v>
      </c>
      <c r="C6540" s="1534" t="s">
        <v>5406</v>
      </c>
      <c r="D6540" s="1534"/>
      <c r="E6540" s="1535">
        <f>+H6579</f>
        <v>13683.753333333334</v>
      </c>
      <c r="F6540" s="1551">
        <v>0.1</v>
      </c>
      <c r="G6540" s="229">
        <f>+E6540*F6540</f>
        <v>1368.3753333333334</v>
      </c>
      <c r="H6540" s="1524"/>
    </row>
    <row r="6541" spans="1:8" x14ac:dyDescent="0.25">
      <c r="A6541" s="1528"/>
      <c r="B6541" s="1536"/>
      <c r="C6541" s="1537"/>
      <c r="D6541" s="1537"/>
      <c r="E6541" s="1571"/>
      <c r="F6541" s="1568"/>
      <c r="G6541" s="1570"/>
      <c r="H6541" s="1524"/>
    </row>
    <row r="6542" spans="1:8" x14ac:dyDescent="0.25">
      <c r="A6542" s="1528"/>
      <c r="B6542" s="1539"/>
      <c r="C6542" s="1537"/>
      <c r="D6542" s="1537"/>
      <c r="E6542" s="1571"/>
      <c r="F6542" s="1537"/>
      <c r="G6542" s="1570"/>
      <c r="H6542" s="1524"/>
    </row>
    <row r="6543" spans="1:8" x14ac:dyDescent="0.25">
      <c r="A6543" s="1528"/>
      <c r="B6543" s="1540"/>
      <c r="C6543" s="1537"/>
      <c r="D6543" s="1538"/>
      <c r="E6543" s="1538"/>
      <c r="F6543" s="1537"/>
      <c r="G6543" s="1541"/>
      <c r="H6543" s="1524"/>
    </row>
    <row r="6544" spans="1:8" x14ac:dyDescent="0.25">
      <c r="A6544" s="1528"/>
      <c r="B6544" s="1540"/>
      <c r="C6544" s="1537"/>
      <c r="D6544" s="1538"/>
      <c r="E6544" s="1538"/>
      <c r="F6544" s="1537"/>
      <c r="G6544" s="1541"/>
      <c r="H6544" s="1524"/>
    </row>
    <row r="6545" spans="1:8" ht="15.75" thickBot="1" x14ac:dyDescent="0.3">
      <c r="A6545" s="1528"/>
      <c r="B6545" s="1540"/>
      <c r="C6545" s="1537"/>
      <c r="D6545" s="1538"/>
      <c r="E6545" s="1538"/>
      <c r="F6545" s="1537"/>
      <c r="G6545" s="1541"/>
      <c r="H6545" s="1524"/>
    </row>
    <row r="6546" spans="1:8" ht="15.75" thickBot="1" x14ac:dyDescent="0.3">
      <c r="A6546" s="1528"/>
      <c r="B6546" s="1542"/>
      <c r="C6546" s="1543"/>
      <c r="D6546" s="1544"/>
      <c r="E6546" s="1544"/>
      <c r="F6546" s="1543"/>
      <c r="G6546" s="1545"/>
      <c r="H6546" s="1546">
        <f>+G6540</f>
        <v>1368.3753333333334</v>
      </c>
    </row>
    <row r="6547" spans="1:8" ht="15.75" thickBot="1" x14ac:dyDescent="0.3">
      <c r="A6547" s="1528"/>
      <c r="B6547" s="1547"/>
      <c r="C6547" s="1548"/>
      <c r="D6547" s="1547"/>
      <c r="E6547" s="1547"/>
      <c r="F6547" s="1548"/>
      <c r="G6547" s="1549"/>
      <c r="H6547" s="1550"/>
    </row>
    <row r="6548" spans="1:8" ht="15.75" thickBot="1" x14ac:dyDescent="0.3">
      <c r="A6548" s="1527"/>
      <c r="B6548" s="1530" t="s">
        <v>5408</v>
      </c>
      <c r="C6548" s="1531" t="s">
        <v>867</v>
      </c>
      <c r="D6548" s="1531" t="s">
        <v>6</v>
      </c>
      <c r="E6548" s="1531" t="s">
        <v>870</v>
      </c>
      <c r="F6548" s="1531" t="s">
        <v>5409</v>
      </c>
      <c r="G6548" s="1532" t="s">
        <v>868</v>
      </c>
      <c r="H6548" s="1524"/>
    </row>
    <row r="6549" spans="1:8" x14ac:dyDescent="0.25">
      <c r="A6549" s="1527"/>
      <c r="B6549" s="1564" t="s">
        <v>6274</v>
      </c>
      <c r="C6549" s="1534" t="s">
        <v>17</v>
      </c>
      <c r="D6549" s="1551">
        <v>0.1</v>
      </c>
      <c r="E6549" s="1571">
        <v>75000</v>
      </c>
      <c r="F6549" s="1552">
        <v>0.05</v>
      </c>
      <c r="G6549" s="1572">
        <v>7875</v>
      </c>
      <c r="H6549" s="1524"/>
    </row>
    <row r="6550" spans="1:8" x14ac:dyDescent="0.25">
      <c r="A6550" s="1527"/>
      <c r="B6550" s="1562" t="s">
        <v>5689</v>
      </c>
      <c r="C6550" s="1537" t="s">
        <v>5432</v>
      </c>
      <c r="D6550" s="1563">
        <v>0.2</v>
      </c>
      <c r="E6550" s="1571">
        <v>12500</v>
      </c>
      <c r="F6550" s="1552">
        <v>0.05</v>
      </c>
      <c r="G6550" s="1572">
        <v>2625</v>
      </c>
      <c r="H6550" s="1524"/>
    </row>
    <row r="6551" spans="1:8" x14ac:dyDescent="0.25">
      <c r="A6551" s="1527"/>
      <c r="B6551" s="1564" t="s">
        <v>5687</v>
      </c>
      <c r="C6551" s="1534" t="s">
        <v>14</v>
      </c>
      <c r="D6551" s="1551">
        <v>0.2</v>
      </c>
      <c r="E6551" s="1571">
        <v>9440</v>
      </c>
      <c r="F6551" s="1552">
        <v>0.05</v>
      </c>
      <c r="G6551" s="1572">
        <v>1982.4</v>
      </c>
      <c r="H6551" s="1524"/>
    </row>
    <row r="6552" spans="1:8" x14ac:dyDescent="0.25">
      <c r="A6552" s="1527"/>
      <c r="B6552" s="1562" t="s">
        <v>5688</v>
      </c>
      <c r="C6552" s="1537" t="s">
        <v>591</v>
      </c>
      <c r="D6552" s="1563">
        <v>0.3</v>
      </c>
      <c r="E6552" s="1571">
        <v>2200</v>
      </c>
      <c r="F6552" s="1552">
        <v>0.1</v>
      </c>
      <c r="G6552" s="1572">
        <v>726.00000000000011</v>
      </c>
      <c r="H6552" s="1524"/>
    </row>
    <row r="6553" spans="1:8" x14ac:dyDescent="0.25">
      <c r="A6553" s="1527"/>
      <c r="B6553" s="1540"/>
      <c r="C6553" s="1537"/>
      <c r="D6553" s="1537"/>
      <c r="E6553" s="1535"/>
      <c r="F6553" s="1537"/>
      <c r="G6553" s="1572"/>
      <c r="H6553" s="1524"/>
    </row>
    <row r="6554" spans="1:8" x14ac:dyDescent="0.25">
      <c r="A6554" s="1527"/>
      <c r="B6554" s="1540"/>
      <c r="C6554" s="1537"/>
      <c r="D6554" s="1537"/>
      <c r="E6554" s="1535"/>
      <c r="F6554" s="1537"/>
      <c r="G6554" s="1572"/>
      <c r="H6554" s="1524"/>
    </row>
    <row r="6555" spans="1:8" x14ac:dyDescent="0.25">
      <c r="A6555" s="1527"/>
      <c r="B6555" s="1540" t="s">
        <v>5690</v>
      </c>
      <c r="C6555" s="1537"/>
      <c r="D6555" s="1537"/>
      <c r="E6555" s="1535"/>
      <c r="F6555" s="1537"/>
      <c r="G6555" s="1572"/>
      <c r="H6555" s="1524"/>
    </row>
    <row r="6556" spans="1:8" x14ac:dyDescent="0.25">
      <c r="A6556" s="1527"/>
      <c r="B6556" s="1540" t="s">
        <v>5692</v>
      </c>
      <c r="C6556" s="1537"/>
      <c r="D6556" s="1537"/>
      <c r="E6556" s="1535"/>
      <c r="F6556" s="1537"/>
      <c r="G6556" s="1572"/>
      <c r="H6556" s="1524"/>
    </row>
    <row r="6557" spans="1:8" x14ac:dyDescent="0.25">
      <c r="A6557" s="1527"/>
      <c r="B6557" s="1540"/>
      <c r="C6557" s="1537"/>
      <c r="D6557" s="1537"/>
      <c r="E6557" s="1535"/>
      <c r="F6557" s="1537"/>
      <c r="G6557" s="1572"/>
      <c r="H6557" s="1524"/>
    </row>
    <row r="6558" spans="1:8" x14ac:dyDescent="0.25">
      <c r="A6558" s="1527"/>
      <c r="B6558" s="1540"/>
      <c r="C6558" s="1537"/>
      <c r="D6558" s="1537"/>
      <c r="E6558" s="1535"/>
      <c r="F6558" s="1537"/>
      <c r="G6558" s="1572"/>
      <c r="H6558" s="1524"/>
    </row>
    <row r="6559" spans="1:8" x14ac:dyDescent="0.25">
      <c r="A6559" s="1521"/>
      <c r="B6559" s="1540"/>
      <c r="C6559" s="1538"/>
      <c r="D6559" s="1538"/>
      <c r="E6559" s="1538"/>
      <c r="F6559" s="1537"/>
      <c r="G6559" s="1541"/>
      <c r="H6559" s="1524"/>
    </row>
    <row r="6560" spans="1:8" ht="15.75" thickBot="1" x14ac:dyDescent="0.3">
      <c r="A6560" s="1521"/>
      <c r="B6560" s="1540"/>
      <c r="C6560" s="1538"/>
      <c r="D6560" s="1538"/>
      <c r="E6560" s="1538"/>
      <c r="F6560" s="1537"/>
      <c r="G6560" s="1541"/>
      <c r="H6560" s="1524"/>
    </row>
    <row r="6561" spans="1:8" ht="15.75" thickBot="1" x14ac:dyDescent="0.3">
      <c r="A6561" s="1521"/>
      <c r="B6561" s="1542"/>
      <c r="C6561" s="1544"/>
      <c r="D6561" s="1544"/>
      <c r="E6561" s="1544"/>
      <c r="F6561" s="1543"/>
      <c r="G6561" s="1545"/>
      <c r="H6561" s="1546">
        <f>+SUM(G6549:G6552)</f>
        <v>13208.4</v>
      </c>
    </row>
    <row r="6562" spans="1:8" ht="15.75" thickBot="1" x14ac:dyDescent="0.3">
      <c r="A6562" s="1521"/>
      <c r="B6562" s="1547"/>
      <c r="C6562" s="1547"/>
      <c r="D6562" s="1547"/>
      <c r="E6562" s="1547"/>
      <c r="F6562" s="1548"/>
      <c r="G6562" s="1549"/>
      <c r="H6562" s="1550"/>
    </row>
    <row r="6563" spans="1:8" ht="15.75" thickBot="1" x14ac:dyDescent="0.3">
      <c r="A6563" s="1521"/>
      <c r="B6563" s="1530" t="s">
        <v>5410</v>
      </c>
      <c r="C6563" s="1531" t="s">
        <v>867</v>
      </c>
      <c r="D6563" s="1531" t="s">
        <v>6</v>
      </c>
      <c r="E6563" s="1531" t="s">
        <v>870</v>
      </c>
      <c r="F6563" s="1531" t="s">
        <v>5411</v>
      </c>
      <c r="G6563" s="1532" t="s">
        <v>868</v>
      </c>
      <c r="H6563" s="1524"/>
    </row>
    <row r="6564" spans="1:8" x14ac:dyDescent="0.25">
      <c r="A6564" s="1521"/>
      <c r="B6564" s="1562"/>
      <c r="C6564" s="1537"/>
      <c r="D6564" s="1563"/>
      <c r="E6564" s="1571"/>
      <c r="F6564" s="1563"/>
      <c r="G6564" s="1572"/>
      <c r="H6564" s="1524"/>
    </row>
    <row r="6565" spans="1:8" x14ac:dyDescent="0.25">
      <c r="A6565" s="1521"/>
      <c r="B6565" s="1562"/>
      <c r="C6565" s="1537"/>
      <c r="D6565" s="1537"/>
      <c r="E6565" s="1535"/>
      <c r="F6565" s="1534"/>
      <c r="G6565" s="1572"/>
      <c r="H6565" s="1524"/>
    </row>
    <row r="6566" spans="1:8" x14ac:dyDescent="0.25">
      <c r="A6566" s="1521"/>
      <c r="B6566" s="1562"/>
      <c r="C6566" s="1537"/>
      <c r="D6566" s="1537"/>
      <c r="E6566" s="1535"/>
      <c r="F6566" s="1537"/>
      <c r="G6566" s="1572"/>
      <c r="H6566" s="1524"/>
    </row>
    <row r="6567" spans="1:8" x14ac:dyDescent="0.25">
      <c r="A6567" s="1521"/>
      <c r="B6567" s="1540"/>
      <c r="C6567" s="1537"/>
      <c r="D6567" s="1537"/>
      <c r="E6567" s="1535"/>
      <c r="F6567" s="1537"/>
      <c r="G6567" s="1572"/>
      <c r="H6567" s="1524"/>
    </row>
    <row r="6568" spans="1:8" x14ac:dyDescent="0.25">
      <c r="A6568" s="1521"/>
      <c r="B6568" s="1540"/>
      <c r="C6568" s="1537"/>
      <c r="D6568" s="1537"/>
      <c r="E6568" s="1535"/>
      <c r="F6568" s="1537"/>
      <c r="G6568" s="1572"/>
      <c r="H6568" s="1524"/>
    </row>
    <row r="6569" spans="1:8" ht="15.75" thickBot="1" x14ac:dyDescent="0.3">
      <c r="A6569" s="1521"/>
      <c r="B6569" s="1540"/>
      <c r="C6569" s="1537"/>
      <c r="D6569" s="1537"/>
      <c r="E6569" s="1535"/>
      <c r="F6569" s="1537"/>
      <c r="G6569" s="1572"/>
      <c r="H6569" s="1524"/>
    </row>
    <row r="6570" spans="1:8" ht="15.75" thickBot="1" x14ac:dyDescent="0.3">
      <c r="A6570" s="1521"/>
      <c r="B6570" s="1542"/>
      <c r="C6570" s="1544"/>
      <c r="D6570" s="1544"/>
      <c r="E6570" s="1544"/>
      <c r="F6570" s="1543"/>
      <c r="G6570" s="1545"/>
      <c r="H6570" s="1546">
        <v>0</v>
      </c>
    </row>
    <row r="6571" spans="1:8" ht="15.75" thickBot="1" x14ac:dyDescent="0.3">
      <c r="A6571" s="1521"/>
      <c r="B6571" s="1547"/>
      <c r="C6571" s="1547"/>
      <c r="D6571" s="1547"/>
      <c r="E6571" s="1547"/>
      <c r="F6571" s="1553"/>
      <c r="G6571" s="1554"/>
      <c r="H6571" s="1550"/>
    </row>
    <row r="6572" spans="1:8" ht="15.75" thickBot="1" x14ac:dyDescent="0.3">
      <c r="A6572" s="1521"/>
      <c r="B6572" s="1530" t="s">
        <v>5412</v>
      </c>
      <c r="C6572" s="1531" t="s">
        <v>5420</v>
      </c>
      <c r="D6572" s="1531" t="s">
        <v>5421</v>
      </c>
      <c r="E6572" s="1531" t="s">
        <v>5413</v>
      </c>
      <c r="F6572" s="1531" t="s">
        <v>5405</v>
      </c>
      <c r="G6572" s="1532" t="s">
        <v>868</v>
      </c>
      <c r="H6572" s="1524"/>
    </row>
    <row r="6573" spans="1:8" x14ac:dyDescent="0.25">
      <c r="A6573" s="1521"/>
      <c r="B6573" s="1560" t="s">
        <v>5650</v>
      </c>
      <c r="C6573" s="1569">
        <f>+VLOOKUP($B6573,'Mano de obra'!$A$5:$D$26,2,FALSE)</f>
        <v>57454</v>
      </c>
      <c r="D6573" s="1569">
        <f>+VLOOKUP($B6573,'Mano de obra'!$A$5:$D$26,3,FALSE)</f>
        <v>35656</v>
      </c>
      <c r="E6573" s="1569">
        <f>+VLOOKUP($B6573,'Mano de obra'!$A$5:$D$26,4,FALSE)</f>
        <v>93110</v>
      </c>
      <c r="F6573" s="1565">
        <v>100</v>
      </c>
      <c r="G6573" s="1275">
        <f>IF(B6573="","",E6573/F6573)</f>
        <v>931.1</v>
      </c>
      <c r="H6573" s="1524"/>
    </row>
    <row r="6574" spans="1:8" x14ac:dyDescent="0.25">
      <c r="A6574" s="1521"/>
      <c r="B6574" s="1560" t="s">
        <v>5949</v>
      </c>
      <c r="C6574" s="1569">
        <f>+VLOOKUP($B6574,'Mano de obra'!$A$5:$D$26,2,FALSE)</f>
        <v>44263.8</v>
      </c>
      <c r="D6574" s="1569">
        <f>+VLOOKUP($B6574,'Mano de obra'!$A$5:$D$26,3,FALSE)</f>
        <v>27470</v>
      </c>
      <c r="E6574" s="1569">
        <f>+VLOOKUP($B6574,'Mano de obra'!$A$5:$D$26,4,FALSE)</f>
        <v>71733.8</v>
      </c>
      <c r="F6574" s="1566">
        <v>15</v>
      </c>
      <c r="G6574" s="1275">
        <f t="shared" ref="G6574:G6575" si="94">IF(B6574="","",E6574/F6574)</f>
        <v>4782.2533333333331</v>
      </c>
      <c r="H6574" s="1524"/>
    </row>
    <row r="6575" spans="1:8" x14ac:dyDescent="0.25">
      <c r="A6575" s="1527"/>
      <c r="B6575" s="1561" t="s">
        <v>5635</v>
      </c>
      <c r="C6575" s="1569">
        <f>+VLOOKUP($B6575,'Mano de obra'!$A$5:$D$26,2,FALSE)</f>
        <v>24591</v>
      </c>
      <c r="D6575" s="1569">
        <f>+VLOOKUP($B6575,'Mano de obra'!$A$5:$D$26,3,FALSE)</f>
        <v>15261</v>
      </c>
      <c r="E6575" s="1569">
        <f>+VLOOKUP($B6575,'Mano de obra'!$A$5:$D$26,4,FALSE)</f>
        <v>39852</v>
      </c>
      <c r="F6575" s="1567">
        <v>5</v>
      </c>
      <c r="G6575" s="1275">
        <f t="shared" si="94"/>
        <v>7970.4</v>
      </c>
      <c r="H6575" s="1524"/>
    </row>
    <row r="6576" spans="1:8" x14ac:dyDescent="0.25">
      <c r="A6576" s="1527"/>
      <c r="B6576" s="1540"/>
      <c r="C6576" s="1569"/>
      <c r="D6576" s="1538"/>
      <c r="E6576" s="1538"/>
      <c r="F6576" s="1537"/>
      <c r="G6576" s="1541"/>
      <c r="H6576" s="1524"/>
    </row>
    <row r="6577" spans="1:8" x14ac:dyDescent="0.25">
      <c r="A6577" s="1527"/>
      <c r="B6577" s="1540"/>
      <c r="C6577" s="1538"/>
      <c r="D6577" s="1538"/>
      <c r="E6577" s="1538"/>
      <c r="F6577" s="1537"/>
      <c r="G6577" s="1541"/>
      <c r="H6577" s="1524"/>
    </row>
    <row r="6578" spans="1:8" ht="15.75" thickBot="1" x14ac:dyDescent="0.3">
      <c r="A6578" s="1527"/>
      <c r="B6578" s="1540"/>
      <c r="C6578" s="1538"/>
      <c r="D6578" s="1538"/>
      <c r="E6578" s="1538"/>
      <c r="F6578" s="1537"/>
      <c r="G6578" s="1541"/>
      <c r="H6578" s="1524"/>
    </row>
    <row r="6579" spans="1:8" ht="15.75" thickBot="1" x14ac:dyDescent="0.3">
      <c r="A6579" s="1527"/>
      <c r="B6579" s="1555"/>
      <c r="C6579" s="1556"/>
      <c r="D6579" s="1556"/>
      <c r="E6579" s="1556"/>
      <c r="F6579" s="1557"/>
      <c r="G6579" s="1558"/>
      <c r="H6579" s="1546">
        <f>+SUM(G6573:G6575)</f>
        <v>13683.753333333334</v>
      </c>
    </row>
    <row r="6580" spans="1:8" ht="15.75" thickBot="1" x14ac:dyDescent="0.3">
      <c r="A6580" s="1527"/>
      <c r="B6580" s="1527"/>
      <c r="C6580" s="1527"/>
      <c r="D6580" s="1527"/>
      <c r="E6580" s="1527"/>
      <c r="F6580" s="1528"/>
      <c r="G6580" s="1524"/>
      <c r="H6580" s="1524"/>
    </row>
    <row r="6581" spans="1:8" ht="15.75" thickBot="1" x14ac:dyDescent="0.3">
      <c r="A6581" s="1527"/>
      <c r="B6581" s="1527"/>
      <c r="C6581" s="1527"/>
      <c r="D6581" s="1527"/>
      <c r="E6581" s="1559" t="s">
        <v>5415</v>
      </c>
      <c r="F6581" s="1528"/>
      <c r="G6581" s="1524"/>
      <c r="H6581" s="1546">
        <f>+H6579+H6570+H6546+H6561</f>
        <v>28260.528666666665</v>
      </c>
    </row>
    <row r="6582" spans="1:8" x14ac:dyDescent="0.25">
      <c r="A6582" s="1521"/>
      <c r="B6582" s="1521"/>
      <c r="C6582" s="1521"/>
      <c r="D6582" s="1521"/>
      <c r="E6582" s="1521"/>
      <c r="F6582" s="1521"/>
      <c r="G6582" s="1521"/>
      <c r="H6582" s="1521"/>
    </row>
    <row r="6583" spans="1:8" s="1522" customFormat="1" x14ac:dyDescent="0.25">
      <c r="A6583" s="1523"/>
      <c r="G6583" s="1524"/>
    </row>
    <row r="6584" spans="1:8" s="1522" customFormat="1" x14ac:dyDescent="0.25">
      <c r="A6584" s="1523"/>
      <c r="G6584" s="1524"/>
    </row>
    <row r="6585" spans="1:8" s="1522" customFormat="1" x14ac:dyDescent="0.25">
      <c r="A6585" s="1525" t="s">
        <v>3</v>
      </c>
      <c r="B6585" s="1390">
        <f>+VLOOKUP(C6585,ListaAPUs!$B:$E,4,FALSE)</f>
        <v>9.1</v>
      </c>
      <c r="C6585" s="2450" t="s">
        <v>8259</v>
      </c>
      <c r="D6585" s="2450"/>
      <c r="E6585" s="2450"/>
      <c r="F6585" s="1525" t="s">
        <v>867</v>
      </c>
      <c r="G6585" s="1526" t="s">
        <v>5418</v>
      </c>
      <c r="H6585" s="1524"/>
    </row>
    <row r="6586" spans="1:8" s="1522" customFormat="1" x14ac:dyDescent="0.25">
      <c r="A6586" s="1528"/>
      <c r="B6586" s="1527"/>
      <c r="C6586" s="1527"/>
      <c r="D6586" s="1527"/>
      <c r="E6586" s="1527"/>
      <c r="F6586" s="1528"/>
      <c r="G6586" s="1524"/>
      <c r="H6586" s="1524"/>
    </row>
    <row r="6587" spans="1:8" s="1522" customFormat="1" x14ac:dyDescent="0.25">
      <c r="A6587" s="1528"/>
      <c r="B6587" s="1527"/>
      <c r="C6587" s="1527"/>
      <c r="D6587" s="1527"/>
      <c r="E6587" s="1527"/>
      <c r="F6587" s="1528"/>
      <c r="G6587" s="1529"/>
      <c r="H6587" s="1524"/>
    </row>
    <row r="6588" spans="1:8" s="1522" customFormat="1" ht="15.75" thickBot="1" x14ac:dyDescent="0.3">
      <c r="A6588" s="1528"/>
      <c r="B6588" s="1527"/>
      <c r="C6588" s="1527"/>
      <c r="D6588" s="1527"/>
      <c r="E6588" s="1527"/>
      <c r="F6588" s="1528"/>
      <c r="G6588" s="1524"/>
      <c r="H6588" s="1524"/>
    </row>
    <row r="6589" spans="1:8" s="1522" customFormat="1" ht="15.75" thickBot="1" x14ac:dyDescent="0.3">
      <c r="A6589" s="1528"/>
      <c r="B6589" s="1530" t="s">
        <v>5403</v>
      </c>
      <c r="C6589" s="1531" t="s">
        <v>867</v>
      </c>
      <c r="D6589" s="1531" t="s">
        <v>6</v>
      </c>
      <c r="E6589" s="1531" t="s">
        <v>5404</v>
      </c>
      <c r="F6589" s="1531" t="s">
        <v>5405</v>
      </c>
      <c r="G6589" s="1532" t="s">
        <v>868</v>
      </c>
      <c r="H6589" s="1524"/>
    </row>
    <row r="6590" spans="1:8" s="1522" customFormat="1" x14ac:dyDescent="0.25">
      <c r="A6590" s="1528"/>
      <c r="B6590" s="1533" t="s">
        <v>5440</v>
      </c>
      <c r="C6590" s="1534" t="s">
        <v>5406</v>
      </c>
      <c r="D6590" s="1534"/>
      <c r="E6590" s="1535">
        <f>+H6629</f>
        <v>25239.633333333331</v>
      </c>
      <c r="F6590" s="1551">
        <v>0.2</v>
      </c>
      <c r="G6590" s="229">
        <f>+E6590*F6590</f>
        <v>5047.9266666666663</v>
      </c>
      <c r="H6590" s="1524"/>
    </row>
    <row r="6591" spans="1:8" s="1522" customFormat="1" x14ac:dyDescent="0.25">
      <c r="A6591" s="1528"/>
      <c r="B6591" s="1536"/>
      <c r="C6591" s="1537"/>
      <c r="D6591" s="1537"/>
      <c r="E6591" s="1571"/>
      <c r="F6591" s="1568"/>
      <c r="G6591" s="1570"/>
      <c r="H6591" s="1524"/>
    </row>
    <row r="6592" spans="1:8" s="1522" customFormat="1" x14ac:dyDescent="0.25">
      <c r="A6592" s="1528"/>
      <c r="B6592" s="1539"/>
      <c r="C6592" s="1537"/>
      <c r="D6592" s="1537"/>
      <c r="E6592" s="1571"/>
      <c r="F6592" s="1537"/>
      <c r="G6592" s="1570"/>
      <c r="H6592" s="1524"/>
    </row>
    <row r="6593" spans="1:8" s="1522" customFormat="1" x14ac:dyDescent="0.25">
      <c r="A6593" s="1528"/>
      <c r="B6593" s="1540"/>
      <c r="C6593" s="1537"/>
      <c r="D6593" s="1538"/>
      <c r="E6593" s="1538"/>
      <c r="F6593" s="1537"/>
      <c r="G6593" s="1541"/>
      <c r="H6593" s="1524"/>
    </row>
    <row r="6594" spans="1:8" s="1522" customFormat="1" x14ac:dyDescent="0.25">
      <c r="A6594" s="1528"/>
      <c r="B6594" s="1540"/>
      <c r="C6594" s="1537"/>
      <c r="D6594" s="1538"/>
      <c r="E6594" s="1538"/>
      <c r="F6594" s="1537"/>
      <c r="G6594" s="1541"/>
      <c r="H6594" s="1524"/>
    </row>
    <row r="6595" spans="1:8" s="1522" customFormat="1" ht="15.75" thickBot="1" x14ac:dyDescent="0.3">
      <c r="A6595" s="1528"/>
      <c r="B6595" s="1540"/>
      <c r="C6595" s="1537"/>
      <c r="D6595" s="1538"/>
      <c r="E6595" s="1538"/>
      <c r="F6595" s="1537"/>
      <c r="G6595" s="1541"/>
      <c r="H6595" s="1524"/>
    </row>
    <row r="6596" spans="1:8" s="1522" customFormat="1" ht="15.75" thickBot="1" x14ac:dyDescent="0.3">
      <c r="A6596" s="1528"/>
      <c r="B6596" s="1542"/>
      <c r="C6596" s="1543"/>
      <c r="D6596" s="1544"/>
      <c r="E6596" s="1544"/>
      <c r="F6596" s="1543"/>
      <c r="G6596" s="1545"/>
      <c r="H6596" s="1546">
        <f>+G6590</f>
        <v>5047.9266666666663</v>
      </c>
    </row>
    <row r="6597" spans="1:8" s="1522" customFormat="1" ht="15.75" thickBot="1" x14ac:dyDescent="0.3">
      <c r="A6597" s="1528"/>
      <c r="B6597" s="1547"/>
      <c r="C6597" s="1548"/>
      <c r="D6597" s="1547"/>
      <c r="E6597" s="1547"/>
      <c r="F6597" s="1548"/>
      <c r="G6597" s="1549"/>
      <c r="H6597" s="1550"/>
    </row>
    <row r="6598" spans="1:8" s="1522" customFormat="1" ht="15.75" thickBot="1" x14ac:dyDescent="0.3">
      <c r="A6598" s="1527"/>
      <c r="B6598" s="1530" t="s">
        <v>5408</v>
      </c>
      <c r="C6598" s="1531" t="s">
        <v>867</v>
      </c>
      <c r="D6598" s="1531" t="s">
        <v>6</v>
      </c>
      <c r="E6598" s="1531" t="s">
        <v>870</v>
      </c>
      <c r="F6598" s="1531" t="s">
        <v>5409</v>
      </c>
      <c r="G6598" s="1532" t="s">
        <v>868</v>
      </c>
      <c r="H6598" s="1524"/>
    </row>
    <row r="6599" spans="1:8" s="1522" customFormat="1" ht="25.5" x14ac:dyDescent="0.25">
      <c r="A6599" s="1527"/>
      <c r="B6599" s="1564" t="s">
        <v>8985</v>
      </c>
      <c r="C6599" s="1534" t="s">
        <v>5556</v>
      </c>
      <c r="D6599" s="1551">
        <v>1</v>
      </c>
      <c r="E6599" s="1571">
        <v>339.78</v>
      </c>
      <c r="F6599" s="1552">
        <v>0.1</v>
      </c>
      <c r="G6599" s="178">
        <f>+D6599*E6599*(1+F6599)</f>
        <v>373.75799999999998</v>
      </c>
      <c r="H6599" s="1524"/>
    </row>
    <row r="6600" spans="1:8" s="1522" customFormat="1" x14ac:dyDescent="0.25">
      <c r="A6600" s="1527"/>
      <c r="B6600" s="1562"/>
      <c r="C6600" s="1537"/>
      <c r="D6600" s="1563"/>
      <c r="E6600" s="1571"/>
      <c r="F6600" s="1552"/>
      <c r="G6600" s="1572"/>
      <c r="H6600" s="1524"/>
    </row>
    <row r="6601" spans="1:8" s="1522" customFormat="1" x14ac:dyDescent="0.25">
      <c r="A6601" s="1527"/>
      <c r="B6601" s="1564"/>
      <c r="C6601" s="1534"/>
      <c r="D6601" s="1551"/>
      <c r="E6601" s="1571"/>
      <c r="F6601" s="1552"/>
      <c r="G6601" s="1572"/>
      <c r="H6601" s="1524"/>
    </row>
    <row r="6602" spans="1:8" s="1522" customFormat="1" x14ac:dyDescent="0.25">
      <c r="A6602" s="1527"/>
      <c r="B6602" s="1562"/>
      <c r="C6602" s="1537"/>
      <c r="D6602" s="1563"/>
      <c r="E6602" s="1571"/>
      <c r="F6602" s="1552"/>
      <c r="G6602" s="1572"/>
      <c r="H6602" s="1524"/>
    </row>
    <row r="6603" spans="1:8" s="1522" customFormat="1" x14ac:dyDescent="0.25">
      <c r="A6603" s="1527"/>
      <c r="B6603" s="1540"/>
      <c r="C6603" s="1537"/>
      <c r="D6603" s="1537"/>
      <c r="E6603" s="1535"/>
      <c r="F6603" s="1537"/>
      <c r="G6603" s="1572"/>
      <c r="H6603" s="1524"/>
    </row>
    <row r="6604" spans="1:8" s="1522" customFormat="1" x14ac:dyDescent="0.25">
      <c r="A6604" s="1527"/>
      <c r="B6604" s="1540"/>
      <c r="C6604" s="1537"/>
      <c r="D6604" s="1537"/>
      <c r="E6604" s="1535"/>
      <c r="F6604" s="1537"/>
      <c r="G6604" s="1572"/>
      <c r="H6604" s="1524"/>
    </row>
    <row r="6605" spans="1:8" s="1522" customFormat="1" x14ac:dyDescent="0.25">
      <c r="A6605" s="1527"/>
      <c r="B6605" s="1540"/>
      <c r="C6605" s="1537"/>
      <c r="D6605" s="1537"/>
      <c r="E6605" s="1535"/>
      <c r="F6605" s="1537"/>
      <c r="G6605" s="1572"/>
      <c r="H6605" s="1524"/>
    </row>
    <row r="6606" spans="1:8" s="1522" customFormat="1" x14ac:dyDescent="0.25">
      <c r="A6606" s="1527"/>
      <c r="B6606" s="1540"/>
      <c r="C6606" s="1537"/>
      <c r="D6606" s="1537"/>
      <c r="E6606" s="1535"/>
      <c r="F6606" s="1537"/>
      <c r="G6606" s="1572"/>
      <c r="H6606" s="1524"/>
    </row>
    <row r="6607" spans="1:8" s="1522" customFormat="1" x14ac:dyDescent="0.25">
      <c r="A6607" s="1527"/>
      <c r="B6607" s="1540"/>
      <c r="C6607" s="1537"/>
      <c r="D6607" s="1537"/>
      <c r="E6607" s="1535"/>
      <c r="F6607" s="1537"/>
      <c r="G6607" s="1572"/>
      <c r="H6607" s="1524"/>
    </row>
    <row r="6608" spans="1:8" s="1522" customFormat="1" x14ac:dyDescent="0.25">
      <c r="A6608" s="1527"/>
      <c r="B6608" s="1540"/>
      <c r="C6608" s="1537"/>
      <c r="D6608" s="1537"/>
      <c r="E6608" s="1535"/>
      <c r="F6608" s="1537"/>
      <c r="G6608" s="1572"/>
      <c r="H6608" s="1524"/>
    </row>
    <row r="6609" spans="2:8" s="1522" customFormat="1" x14ac:dyDescent="0.25">
      <c r="B6609" s="1540"/>
      <c r="C6609" s="1538"/>
      <c r="D6609" s="1538"/>
      <c r="E6609" s="1538"/>
      <c r="F6609" s="1537"/>
      <c r="G6609" s="1541"/>
      <c r="H6609" s="1524"/>
    </row>
    <row r="6610" spans="2:8" s="1522" customFormat="1" ht="15.75" thickBot="1" x14ac:dyDescent="0.3">
      <c r="B6610" s="1540"/>
      <c r="C6610" s="1538"/>
      <c r="D6610" s="1538"/>
      <c r="E6610" s="1538"/>
      <c r="F6610" s="1537"/>
      <c r="G6610" s="1541"/>
      <c r="H6610" s="1524"/>
    </row>
    <row r="6611" spans="2:8" s="1522" customFormat="1" ht="15.75" thickBot="1" x14ac:dyDescent="0.3">
      <c r="B6611" s="1542"/>
      <c r="C6611" s="1544"/>
      <c r="D6611" s="1544"/>
      <c r="E6611" s="1544"/>
      <c r="F6611" s="1543"/>
      <c r="G6611" s="1545"/>
      <c r="H6611" s="1546">
        <f>+SUM(G6599:G6602)</f>
        <v>373.75799999999998</v>
      </c>
    </row>
    <row r="6612" spans="2:8" s="1522" customFormat="1" ht="15.75" thickBot="1" x14ac:dyDescent="0.3">
      <c r="B6612" s="1547"/>
      <c r="C6612" s="1547"/>
      <c r="D6612" s="1547"/>
      <c r="E6612" s="1547"/>
      <c r="F6612" s="1548"/>
      <c r="G6612" s="1549"/>
      <c r="H6612" s="1550"/>
    </row>
    <row r="6613" spans="2:8" s="1522" customFormat="1" ht="15.75" thickBot="1" x14ac:dyDescent="0.3">
      <c r="B6613" s="1530" t="s">
        <v>5410</v>
      </c>
      <c r="C6613" s="1531" t="s">
        <v>867</v>
      </c>
      <c r="D6613" s="1531" t="s">
        <v>6</v>
      </c>
      <c r="E6613" s="1531" t="s">
        <v>870</v>
      </c>
      <c r="F6613" s="1531" t="s">
        <v>5411</v>
      </c>
      <c r="G6613" s="1532" t="s">
        <v>868</v>
      </c>
      <c r="H6613" s="1524"/>
    </row>
    <row r="6614" spans="2:8" s="1522" customFormat="1" x14ac:dyDescent="0.25">
      <c r="B6614" s="1562"/>
      <c r="C6614" s="1537"/>
      <c r="D6614" s="1563"/>
      <c r="E6614" s="1571"/>
      <c r="F6614" s="1563"/>
      <c r="G6614" s="1572"/>
      <c r="H6614" s="1524"/>
    </row>
    <row r="6615" spans="2:8" s="1522" customFormat="1" x14ac:dyDescent="0.25">
      <c r="B6615" s="1562"/>
      <c r="C6615" s="1537"/>
      <c r="D6615" s="1537"/>
      <c r="E6615" s="1535"/>
      <c r="F6615" s="1534"/>
      <c r="G6615" s="1572"/>
      <c r="H6615" s="1524"/>
    </row>
    <row r="6616" spans="2:8" s="1522" customFormat="1" x14ac:dyDescent="0.25">
      <c r="B6616" s="1562"/>
      <c r="C6616" s="1537"/>
      <c r="D6616" s="1537"/>
      <c r="E6616" s="1535"/>
      <c r="F6616" s="1537"/>
      <c r="G6616" s="1572"/>
      <c r="H6616" s="1524"/>
    </row>
    <row r="6617" spans="2:8" s="1522" customFormat="1" x14ac:dyDescent="0.25">
      <c r="B6617" s="1540"/>
      <c r="C6617" s="1537"/>
      <c r="D6617" s="1537"/>
      <c r="E6617" s="1535"/>
      <c r="F6617" s="1537"/>
      <c r="G6617" s="1572"/>
      <c r="H6617" s="1524"/>
    </row>
    <row r="6618" spans="2:8" s="1522" customFormat="1" x14ac:dyDescent="0.25">
      <c r="B6618" s="1540"/>
      <c r="C6618" s="1537"/>
      <c r="D6618" s="1537"/>
      <c r="E6618" s="1535"/>
      <c r="F6618" s="1537"/>
      <c r="G6618" s="1572"/>
      <c r="H6618" s="1524"/>
    </row>
    <row r="6619" spans="2:8" s="1522" customFormat="1" ht="15.75" thickBot="1" x14ac:dyDescent="0.3">
      <c r="B6619" s="1540"/>
      <c r="C6619" s="1537"/>
      <c r="D6619" s="1537"/>
      <c r="E6619" s="1535"/>
      <c r="F6619" s="1537"/>
      <c r="G6619" s="1572"/>
      <c r="H6619" s="1524"/>
    </row>
    <row r="6620" spans="2:8" s="1522" customFormat="1" ht="15.75" thickBot="1" x14ac:dyDescent="0.3">
      <c r="B6620" s="1542"/>
      <c r="C6620" s="1544"/>
      <c r="D6620" s="1544"/>
      <c r="E6620" s="1544"/>
      <c r="F6620" s="1543"/>
      <c r="G6620" s="1545"/>
      <c r="H6620" s="1546">
        <v>0</v>
      </c>
    </row>
    <row r="6621" spans="2:8" s="1522" customFormat="1" ht="15.75" thickBot="1" x14ac:dyDescent="0.3">
      <c r="B6621" s="1547"/>
      <c r="C6621" s="1547"/>
      <c r="D6621" s="1547"/>
      <c r="E6621" s="1547"/>
      <c r="F6621" s="1553"/>
      <c r="G6621" s="1554"/>
      <c r="H6621" s="1550"/>
    </row>
    <row r="6622" spans="2:8" s="1522" customFormat="1" ht="15.75" thickBot="1" x14ac:dyDescent="0.3">
      <c r="B6622" s="1530" t="s">
        <v>5412</v>
      </c>
      <c r="C6622" s="1531" t="s">
        <v>5420</v>
      </c>
      <c r="D6622" s="1531" t="s">
        <v>5421</v>
      </c>
      <c r="E6622" s="1531" t="s">
        <v>5413</v>
      </c>
      <c r="F6622" s="1531" t="s">
        <v>5405</v>
      </c>
      <c r="G6622" s="1532" t="s">
        <v>868</v>
      </c>
      <c r="H6622" s="1524"/>
    </row>
    <row r="6623" spans="2:8" s="1522" customFormat="1" x14ac:dyDescent="0.25">
      <c r="B6623" s="1560"/>
      <c r="C6623" s="1569"/>
      <c r="D6623" s="1569"/>
      <c r="E6623" s="1569"/>
      <c r="F6623" s="1565"/>
      <c r="G6623" s="1275"/>
      <c r="H6623" s="1524"/>
    </row>
    <row r="6624" spans="2:8" s="1522" customFormat="1" x14ac:dyDescent="0.25">
      <c r="B6624" s="1560" t="s">
        <v>5949</v>
      </c>
      <c r="C6624" s="1569">
        <f>+VLOOKUP($B6624,'Mano de obra'!$A$5:$D$26,2,FALSE)</f>
        <v>44263.8</v>
      </c>
      <c r="D6624" s="1569">
        <f>+VLOOKUP($B6624,'Mano de obra'!$A$5:$D$26,3,FALSE)</f>
        <v>27470</v>
      </c>
      <c r="E6624" s="1569">
        <f>+VLOOKUP($B6624,'Mano de obra'!$A$5:$D$26,4,FALSE)</f>
        <v>71733.8</v>
      </c>
      <c r="F6624" s="1566">
        <v>6</v>
      </c>
      <c r="G6624" s="1275">
        <f t="shared" ref="G6624:G6625" si="95">IF(B6624="","",E6624/F6624)</f>
        <v>11955.633333333333</v>
      </c>
      <c r="H6624" s="1524"/>
    </row>
    <row r="6625" spans="1:8" s="1522" customFormat="1" x14ac:dyDescent="0.25">
      <c r="A6625" s="1527"/>
      <c r="B6625" s="1561" t="s">
        <v>5635</v>
      </c>
      <c r="C6625" s="1569">
        <f>+VLOOKUP($B6625,'Mano de obra'!$A$5:$D$26,2,FALSE)</f>
        <v>24591</v>
      </c>
      <c r="D6625" s="1569">
        <f>+VLOOKUP($B6625,'Mano de obra'!$A$5:$D$26,3,FALSE)</f>
        <v>15261</v>
      </c>
      <c r="E6625" s="1569">
        <f>+VLOOKUP($B6625,'Mano de obra'!$A$5:$D$26,4,FALSE)</f>
        <v>39852</v>
      </c>
      <c r="F6625" s="1567">
        <f>+F6624/2</f>
        <v>3</v>
      </c>
      <c r="G6625" s="1275">
        <f t="shared" si="95"/>
        <v>13284</v>
      </c>
      <c r="H6625" s="1524"/>
    </row>
    <row r="6626" spans="1:8" s="1522" customFormat="1" x14ac:dyDescent="0.25">
      <c r="A6626" s="1527"/>
      <c r="B6626" s="1540"/>
      <c r="C6626" s="1569"/>
      <c r="D6626" s="1538"/>
      <c r="E6626" s="1538"/>
      <c r="F6626" s="1537"/>
      <c r="G6626" s="1541"/>
      <c r="H6626" s="1524"/>
    </row>
    <row r="6627" spans="1:8" s="1522" customFormat="1" x14ac:dyDescent="0.25">
      <c r="A6627" s="1527"/>
      <c r="B6627" s="1540"/>
      <c r="C6627" s="1538"/>
      <c r="D6627" s="1538"/>
      <c r="E6627" s="1538"/>
      <c r="F6627" s="1537"/>
      <c r="G6627" s="1541"/>
      <c r="H6627" s="1524"/>
    </row>
    <row r="6628" spans="1:8" s="1522" customFormat="1" ht="15.75" thickBot="1" x14ac:dyDescent="0.3">
      <c r="A6628" s="1527"/>
      <c r="B6628" s="1540"/>
      <c r="C6628" s="1538"/>
      <c r="D6628" s="1538"/>
      <c r="E6628" s="1538"/>
      <c r="F6628" s="1537"/>
      <c r="G6628" s="1541"/>
      <c r="H6628" s="1524"/>
    </row>
    <row r="6629" spans="1:8" s="1522" customFormat="1" ht="15.75" thickBot="1" x14ac:dyDescent="0.3">
      <c r="A6629" s="1527"/>
      <c r="B6629" s="1555"/>
      <c r="C6629" s="1556"/>
      <c r="D6629" s="1556"/>
      <c r="E6629" s="1556"/>
      <c r="F6629" s="1557"/>
      <c r="G6629" s="1558"/>
      <c r="H6629" s="1546">
        <f>+SUM(G6623:G6625)</f>
        <v>25239.633333333331</v>
      </c>
    </row>
    <row r="6630" spans="1:8" s="1522" customFormat="1" ht="15.75" thickBot="1" x14ac:dyDescent="0.3">
      <c r="A6630" s="1527"/>
      <c r="B6630" s="1527"/>
      <c r="C6630" s="1527"/>
      <c r="D6630" s="1527"/>
      <c r="E6630" s="1527"/>
      <c r="F6630" s="1528"/>
      <c r="G6630" s="1524"/>
      <c r="H6630" s="1524"/>
    </row>
    <row r="6631" spans="1:8" s="1522" customFormat="1" ht="15.75" thickBot="1" x14ac:dyDescent="0.3">
      <c r="A6631" s="1527"/>
      <c r="B6631" s="1527"/>
      <c r="C6631" s="1527"/>
      <c r="D6631" s="1527"/>
      <c r="E6631" s="1559" t="s">
        <v>5415</v>
      </c>
      <c r="F6631" s="1528"/>
      <c r="G6631" s="1524"/>
      <c r="H6631" s="1546">
        <f>+H6629+H6620+H6596+H6611</f>
        <v>30661.317999999999</v>
      </c>
    </row>
    <row r="6632" spans="1:8" s="1522" customFormat="1" x14ac:dyDescent="0.25"/>
    <row r="6634" spans="1:8" s="1522" customFormat="1" x14ac:dyDescent="0.25">
      <c r="D6634" s="957"/>
    </row>
    <row r="6635" spans="1:8" s="1522" customFormat="1" x14ac:dyDescent="0.25">
      <c r="D6635" s="957"/>
    </row>
    <row r="6636" spans="1:8" s="1522" customFormat="1" ht="24.75" customHeight="1" x14ac:dyDescent="0.25">
      <c r="A6636" s="673" t="s">
        <v>5482</v>
      </c>
      <c r="B6636" s="1390">
        <f>+VLOOKUP(C6636,ListaAPUs!$B:$E,4,FALSE)</f>
        <v>9.1999999999999993</v>
      </c>
      <c r="C6636" s="2450" t="s">
        <v>8261</v>
      </c>
      <c r="D6636" s="2450"/>
      <c r="E6636" s="2450"/>
      <c r="F6636" s="673" t="s">
        <v>867</v>
      </c>
      <c r="G6636" s="342" t="s">
        <v>17</v>
      </c>
      <c r="H6636" s="341"/>
    </row>
    <row r="6637" spans="1:8" s="1522" customFormat="1" x14ac:dyDescent="0.25">
      <c r="A6637" s="1523"/>
      <c r="B6637" s="8"/>
      <c r="C6637" s="223"/>
      <c r="D6637" s="958"/>
      <c r="E6637" s="223"/>
      <c r="F6637" s="1523"/>
      <c r="G6637" s="341"/>
      <c r="H6637" s="341"/>
    </row>
    <row r="6638" spans="1:8" s="1522" customFormat="1" x14ac:dyDescent="0.25">
      <c r="A6638" s="1523"/>
      <c r="B6638" s="8"/>
      <c r="C6638" s="8"/>
      <c r="D6638" s="529"/>
      <c r="E6638" s="8"/>
      <c r="F6638" s="8"/>
      <c r="G6638" s="8"/>
      <c r="H6638" s="341"/>
    </row>
    <row r="6639" spans="1:8" s="1522" customFormat="1" ht="15.75" thickBot="1" x14ac:dyDescent="0.3">
      <c r="A6639" s="1523"/>
      <c r="B6639" s="8"/>
      <c r="C6639" s="8"/>
      <c r="D6639" s="529"/>
      <c r="E6639" s="8"/>
      <c r="F6639" s="1523"/>
      <c r="G6639" s="341"/>
      <c r="H6639" s="341"/>
    </row>
    <row r="6640" spans="1:8" s="1522" customFormat="1" ht="15.75" thickBot="1" x14ac:dyDescent="0.3">
      <c r="A6640" s="1523"/>
      <c r="B6640" s="224" t="s">
        <v>5403</v>
      </c>
      <c r="C6640" s="193" t="s">
        <v>867</v>
      </c>
      <c r="D6640" s="951" t="s">
        <v>6</v>
      </c>
      <c r="E6640" s="193" t="s">
        <v>5439</v>
      </c>
      <c r="F6640" s="193" t="s">
        <v>5405</v>
      </c>
      <c r="G6640" s="343" t="s">
        <v>868</v>
      </c>
      <c r="H6640" s="341"/>
    </row>
    <row r="6641" spans="1:8" s="1522" customFormat="1" x14ac:dyDescent="0.25">
      <c r="A6641" s="1523"/>
      <c r="B6641" s="1561" t="s">
        <v>5440</v>
      </c>
      <c r="C6641" s="226" t="s">
        <v>5542</v>
      </c>
      <c r="D6641" s="212">
        <v>1</v>
      </c>
      <c r="E6641" s="228">
        <f>+H6679</f>
        <v>40459.065000000002</v>
      </c>
      <c r="F6641" s="226">
        <v>0.1</v>
      </c>
      <c r="G6641" s="344">
        <f>+F6641*E6641</f>
        <v>4045.9065000000005</v>
      </c>
      <c r="H6641" s="341"/>
    </row>
    <row r="6642" spans="1:8" s="1522" customFormat="1" x14ac:dyDescent="0.25">
      <c r="A6642" s="1523"/>
      <c r="B6642" s="1561" t="s">
        <v>5548</v>
      </c>
      <c r="C6642" s="226" t="s">
        <v>5542</v>
      </c>
      <c r="D6642" s="212">
        <v>1</v>
      </c>
      <c r="E6642" s="975">
        <f>+VLOOKUP(B6642,Insumos!$A$2:$C$331,3,FALSE)</f>
        <v>9001.6</v>
      </c>
      <c r="F6642" s="226">
        <f>0.67*0.15</f>
        <v>0.10050000000000001</v>
      </c>
      <c r="G6642" s="344">
        <f>+F6642*E6642</f>
        <v>904.66080000000011</v>
      </c>
      <c r="H6642" s="341"/>
    </row>
    <row r="6643" spans="1:8" s="1522" customFormat="1" x14ac:dyDescent="0.25">
      <c r="A6643" s="1523"/>
      <c r="B6643" s="1561" t="s">
        <v>5554</v>
      </c>
      <c r="C6643" s="226" t="s">
        <v>5542</v>
      </c>
      <c r="D6643" s="212">
        <v>1</v>
      </c>
      <c r="E6643" s="975">
        <f>+VLOOKUP(B6643,Insumos!$A$2:$C$331,3,FALSE)</f>
        <v>4500.8</v>
      </c>
      <c r="F6643" s="226">
        <v>0.15</v>
      </c>
      <c r="G6643" s="344">
        <f>+F6643*E6643</f>
        <v>675.12</v>
      </c>
      <c r="H6643" s="341"/>
    </row>
    <row r="6644" spans="1:8" s="1522" customFormat="1" x14ac:dyDescent="0.25">
      <c r="A6644" s="1523"/>
      <c r="B6644" s="1561"/>
      <c r="C6644" s="226"/>
      <c r="D6644" s="212"/>
      <c r="E6644" s="346"/>
      <c r="F6644" s="226"/>
      <c r="G6644" s="344"/>
      <c r="H6644" s="341"/>
    </row>
    <row r="6645" spans="1:8" s="1522" customFormat="1" x14ac:dyDescent="0.25">
      <c r="A6645" s="1523"/>
      <c r="B6645" s="1561"/>
      <c r="C6645" s="226"/>
      <c r="D6645" s="952"/>
      <c r="E6645" s="232"/>
      <c r="F6645" s="226"/>
      <c r="G6645" s="344"/>
      <c r="H6645" s="341"/>
    </row>
    <row r="6646" spans="1:8" s="1522" customFormat="1" ht="15.75" thickBot="1" x14ac:dyDescent="0.3">
      <c r="A6646" s="1523"/>
      <c r="B6646" s="1561"/>
      <c r="C6646" s="226"/>
      <c r="D6646" s="952"/>
      <c r="E6646" s="232"/>
      <c r="F6646" s="226"/>
      <c r="G6646" s="344"/>
      <c r="H6646" s="341"/>
    </row>
    <row r="6647" spans="1:8" s="1522" customFormat="1" ht="15.75" thickBot="1" x14ac:dyDescent="0.3">
      <c r="A6647" s="1523"/>
      <c r="B6647" s="233"/>
      <c r="C6647" s="234"/>
      <c r="D6647" s="953"/>
      <c r="E6647" s="234"/>
      <c r="F6647" s="235"/>
      <c r="G6647" s="347"/>
      <c r="H6647" s="348">
        <f>+SUM(G6641:G6647)</f>
        <v>5625.6873000000005</v>
      </c>
    </row>
    <row r="6648" spans="1:8" s="1522" customFormat="1" ht="15.75" thickBot="1" x14ac:dyDescent="0.3">
      <c r="A6648" s="1523"/>
      <c r="B6648" s="238"/>
      <c r="C6648" s="238"/>
      <c r="D6648" s="954"/>
      <c r="E6648" s="238"/>
      <c r="F6648" s="239"/>
      <c r="G6648" s="349"/>
      <c r="H6648" s="350"/>
    </row>
    <row r="6649" spans="1:8" s="1522" customFormat="1" ht="15.75" thickBot="1" x14ac:dyDescent="0.3">
      <c r="A6649" s="1523"/>
      <c r="B6649" s="224" t="s">
        <v>5408</v>
      </c>
      <c r="C6649" s="193" t="s">
        <v>867</v>
      </c>
      <c r="D6649" s="951" t="s">
        <v>6</v>
      </c>
      <c r="E6649" s="193" t="s">
        <v>870</v>
      </c>
      <c r="F6649" s="193" t="s">
        <v>5409</v>
      </c>
      <c r="G6649" s="343" t="s">
        <v>868</v>
      </c>
      <c r="H6649" s="341"/>
    </row>
    <row r="6650" spans="1:8" s="1522" customFormat="1" x14ac:dyDescent="0.25">
      <c r="A6650" s="1523"/>
      <c r="B6650" s="242" t="s">
        <v>5549</v>
      </c>
      <c r="C6650" s="1565" t="s">
        <v>5431</v>
      </c>
      <c r="D6650" s="212">
        <f>400*0.15</f>
        <v>60</v>
      </c>
      <c r="E6650" s="975">
        <f>+VLOOKUP(B6650,Insumos!$A$2:$C$331,3,FALSE)</f>
        <v>470</v>
      </c>
      <c r="F6650" s="1552">
        <v>1.05</v>
      </c>
      <c r="G6650" s="351">
        <f>+(D6650*F6650)*E6650</f>
        <v>29610</v>
      </c>
      <c r="H6650" s="341"/>
    </row>
    <row r="6651" spans="1:8" s="1522" customFormat="1" x14ac:dyDescent="0.25">
      <c r="A6651" s="1523"/>
      <c r="B6651" s="243" t="s">
        <v>5551</v>
      </c>
      <c r="C6651" s="1565" t="s">
        <v>5542</v>
      </c>
      <c r="D6651" s="211">
        <f>0.48*0.15</f>
        <v>7.1999999999999995E-2</v>
      </c>
      <c r="E6651" s="975">
        <f>+VLOOKUP(B6651,Insumos!$A$2:$C$331,3,FALSE)</f>
        <v>99611</v>
      </c>
      <c r="F6651" s="1552">
        <v>1.1000000000000001</v>
      </c>
      <c r="G6651" s="351">
        <f>+(D6651*F6651)*E6651</f>
        <v>7889.1912000000002</v>
      </c>
      <c r="H6651" s="341"/>
    </row>
    <row r="6652" spans="1:8" s="1522" customFormat="1" x14ac:dyDescent="0.25">
      <c r="A6652" s="1523"/>
      <c r="B6652" s="243" t="s">
        <v>5552</v>
      </c>
      <c r="C6652" s="226" t="s">
        <v>5542</v>
      </c>
      <c r="D6652" s="212">
        <f>0.72*0.15</f>
        <v>0.108</v>
      </c>
      <c r="E6652" s="975">
        <f>+VLOOKUP(B6652,Insumos!$A$2:$C$331,3,FALSE)</f>
        <v>99527.7</v>
      </c>
      <c r="F6652" s="1552">
        <v>1.1000000000000001</v>
      </c>
      <c r="G6652" s="351">
        <f>+(D6652*F6652)*E6652</f>
        <v>11823.89076</v>
      </c>
      <c r="H6652" s="341"/>
    </row>
    <row r="6653" spans="1:8" s="1522" customFormat="1" x14ac:dyDescent="0.25">
      <c r="A6653" s="1523"/>
      <c r="B6653" s="1560" t="s">
        <v>5553</v>
      </c>
      <c r="C6653" s="226" t="s">
        <v>7046</v>
      </c>
      <c r="D6653" s="212">
        <f>240*0.15</f>
        <v>36</v>
      </c>
      <c r="E6653" s="975">
        <f>+VLOOKUP(B6653,Insumos!$A$2:$C$331,3,FALSE)</f>
        <v>30</v>
      </c>
      <c r="F6653" s="1552">
        <v>1.1000000000000001</v>
      </c>
      <c r="G6653" s="351">
        <f>+(D6653*F6653)*E6653</f>
        <v>1188</v>
      </c>
      <c r="H6653" s="341"/>
    </row>
    <row r="6654" spans="1:8" s="1522" customFormat="1" x14ac:dyDescent="0.25">
      <c r="A6654" s="1523"/>
      <c r="B6654" s="1561" t="s">
        <v>6865</v>
      </c>
      <c r="C6654" s="226" t="s">
        <v>5556</v>
      </c>
      <c r="D6654" s="212">
        <v>1</v>
      </c>
      <c r="E6654" s="487">
        <v>24000</v>
      </c>
      <c r="F6654" s="698">
        <v>1</v>
      </c>
      <c r="G6654" s="1575">
        <f>+(D6654*F6654)*E6654</f>
        <v>24000</v>
      </c>
      <c r="H6654" s="341"/>
    </row>
    <row r="6655" spans="1:8" s="1522" customFormat="1" x14ac:dyDescent="0.25">
      <c r="A6655" s="1523"/>
      <c r="B6655" s="1560"/>
      <c r="C6655" s="1565"/>
      <c r="D6655" s="211"/>
      <c r="E6655" s="975"/>
      <c r="F6655" s="1552"/>
      <c r="G6655" s="351"/>
      <c r="H6655" s="341"/>
    </row>
    <row r="6656" spans="1:8" s="1522" customFormat="1" x14ac:dyDescent="0.25">
      <c r="A6656" s="1523"/>
      <c r="B6656" s="1561"/>
      <c r="C6656" s="226"/>
      <c r="D6656" s="212"/>
      <c r="E6656" s="1569"/>
      <c r="F6656" s="1552"/>
      <c r="G6656" s="351"/>
      <c r="H6656" s="341"/>
    </row>
    <row r="6657" spans="1:8" s="1522" customFormat="1" x14ac:dyDescent="0.25">
      <c r="A6657" s="1523"/>
      <c r="B6657" s="1561"/>
      <c r="C6657" s="226"/>
      <c r="D6657" s="212"/>
      <c r="E6657" s="1569"/>
      <c r="F6657" s="1552"/>
      <c r="G6657" s="351"/>
      <c r="H6657" s="341"/>
    </row>
    <row r="6658" spans="1:8" s="1522" customFormat="1" x14ac:dyDescent="0.25">
      <c r="A6658" s="1523"/>
      <c r="B6658" s="1561"/>
      <c r="C6658" s="232"/>
      <c r="D6658" s="952"/>
      <c r="E6658" s="232"/>
      <c r="F6658" s="226"/>
      <c r="G6658" s="344"/>
      <c r="H6658" s="341"/>
    </row>
    <row r="6659" spans="1:8" s="1522" customFormat="1" x14ac:dyDescent="0.25">
      <c r="A6659" s="1523"/>
      <c r="B6659" s="1561"/>
      <c r="C6659" s="232"/>
      <c r="D6659" s="952"/>
      <c r="E6659" s="232"/>
      <c r="F6659" s="226"/>
      <c r="G6659" s="344"/>
      <c r="H6659" s="341"/>
    </row>
    <row r="6660" spans="1:8" s="1522" customFormat="1" x14ac:dyDescent="0.25">
      <c r="A6660" s="1523"/>
      <c r="B6660" s="1561"/>
      <c r="C6660" s="232"/>
      <c r="D6660" s="952"/>
      <c r="E6660" s="232"/>
      <c r="F6660" s="226"/>
      <c r="G6660" s="344"/>
      <c r="H6660" s="341"/>
    </row>
    <row r="6661" spans="1:8" s="1522" customFormat="1" ht="15.75" thickBot="1" x14ac:dyDescent="0.3">
      <c r="A6661" s="1523"/>
      <c r="B6661" s="1561"/>
      <c r="C6661" s="232"/>
      <c r="D6661" s="952"/>
      <c r="E6661" s="232"/>
      <c r="F6661" s="226"/>
      <c r="G6661" s="344"/>
      <c r="H6661" s="341"/>
    </row>
    <row r="6662" spans="1:8" s="1522" customFormat="1" ht="15.75" thickBot="1" x14ac:dyDescent="0.3">
      <c r="A6662" s="1523"/>
      <c r="B6662" s="233"/>
      <c r="C6662" s="234"/>
      <c r="D6662" s="953"/>
      <c r="E6662" s="234"/>
      <c r="F6662" s="235"/>
      <c r="G6662" s="347"/>
      <c r="H6662" s="348">
        <f>+SUM(G6650:G6662)</f>
        <v>74511.08196000001</v>
      </c>
    </row>
    <row r="6663" spans="1:8" s="1522" customFormat="1" ht="15.75" thickBot="1" x14ac:dyDescent="0.3">
      <c r="A6663" s="1523"/>
      <c r="B6663" s="238"/>
      <c r="C6663" s="238"/>
      <c r="D6663" s="954"/>
      <c r="E6663" s="238"/>
      <c r="F6663" s="239"/>
      <c r="G6663" s="349"/>
      <c r="H6663" s="350"/>
    </row>
    <row r="6664" spans="1:8" s="1522" customFormat="1" ht="15.75" thickBot="1" x14ac:dyDescent="0.3">
      <c r="A6664" s="1523"/>
      <c r="B6664" s="224" t="s">
        <v>5410</v>
      </c>
      <c r="C6664" s="193" t="s">
        <v>867</v>
      </c>
      <c r="D6664" s="951" t="s">
        <v>6</v>
      </c>
      <c r="E6664" s="193" t="s">
        <v>870</v>
      </c>
      <c r="F6664" s="193" t="s">
        <v>5411</v>
      </c>
      <c r="G6664" s="343" t="s">
        <v>868</v>
      </c>
      <c r="H6664" s="341"/>
    </row>
    <row r="6665" spans="1:8" s="1522" customFormat="1" x14ac:dyDescent="0.25">
      <c r="A6665" s="1523"/>
      <c r="B6665" s="245"/>
      <c r="C6665" s="1565"/>
      <c r="D6665" s="211"/>
      <c r="E6665" s="228"/>
      <c r="F6665" s="1565"/>
      <c r="G6665" s="354"/>
      <c r="H6665" s="355"/>
    </row>
    <row r="6666" spans="1:8" s="1522" customFormat="1" x14ac:dyDescent="0.25">
      <c r="A6666" s="1523"/>
      <c r="B6666" s="247"/>
      <c r="C6666" s="248"/>
      <c r="D6666" s="961"/>
      <c r="E6666" s="228"/>
      <c r="F6666" s="1565"/>
      <c r="G6666" s="351"/>
      <c r="H6666" s="341"/>
    </row>
    <row r="6667" spans="1:8" s="1522" customFormat="1" x14ac:dyDescent="0.25">
      <c r="A6667" s="1523"/>
      <c r="B6667" s="247"/>
      <c r="C6667" s="232"/>
      <c r="D6667" s="952"/>
      <c r="E6667" s="232"/>
      <c r="F6667" s="226"/>
      <c r="G6667" s="344"/>
      <c r="H6667" s="341"/>
    </row>
    <row r="6668" spans="1:8" s="1522" customFormat="1" x14ac:dyDescent="0.25">
      <c r="A6668" s="1523"/>
      <c r="B6668" s="1560"/>
      <c r="C6668" s="232"/>
      <c r="D6668" s="952"/>
      <c r="E6668" s="232"/>
      <c r="F6668" s="226"/>
      <c r="G6668" s="344"/>
      <c r="H6668" s="341"/>
    </row>
    <row r="6669" spans="1:8" s="1522" customFormat="1" ht="15.75" thickBot="1" x14ac:dyDescent="0.3">
      <c r="A6669" s="1523"/>
      <c r="B6669" s="1561"/>
      <c r="C6669" s="232"/>
      <c r="D6669" s="952"/>
      <c r="E6669" s="232"/>
      <c r="F6669" s="226"/>
      <c r="G6669" s="344"/>
      <c r="H6669" s="341"/>
    </row>
    <row r="6670" spans="1:8" s="1522" customFormat="1" ht="15.75" thickBot="1" x14ac:dyDescent="0.3">
      <c r="A6670" s="1523"/>
      <c r="B6670" s="233"/>
      <c r="C6670" s="234"/>
      <c r="D6670" s="953"/>
      <c r="E6670" s="234"/>
      <c r="F6670" s="235"/>
      <c r="G6670" s="347"/>
      <c r="H6670" s="348">
        <f>+SUM(G6665:G6670)</f>
        <v>0</v>
      </c>
    </row>
    <row r="6671" spans="1:8" s="1522" customFormat="1" ht="15.75" thickBot="1" x14ac:dyDescent="0.3">
      <c r="A6671" s="1523"/>
      <c r="B6671" s="238"/>
      <c r="C6671" s="238"/>
      <c r="D6671" s="954"/>
      <c r="E6671" s="238"/>
      <c r="F6671" s="249"/>
      <c r="G6671" s="356"/>
      <c r="H6671" s="350"/>
    </row>
    <row r="6672" spans="1:8" s="1522" customFormat="1" ht="15.75" thickBot="1" x14ac:dyDescent="0.3">
      <c r="A6672" s="1523"/>
      <c r="B6672" s="224" t="s">
        <v>5412</v>
      </c>
      <c r="C6672" s="193" t="s">
        <v>5420</v>
      </c>
      <c r="D6672" s="951" t="s">
        <v>5421</v>
      </c>
      <c r="E6672" s="193" t="s">
        <v>5413</v>
      </c>
      <c r="F6672" s="193" t="s">
        <v>5405</v>
      </c>
      <c r="G6672" s="343" t="s">
        <v>868</v>
      </c>
      <c r="H6672" s="341"/>
    </row>
    <row r="6673" spans="1:9" s="1522" customFormat="1" x14ac:dyDescent="0.25">
      <c r="A6673" s="1523"/>
      <c r="B6673" s="1560" t="s">
        <v>5948</v>
      </c>
      <c r="C6673" s="1569">
        <f>+VLOOKUP($B6673,'Mano de obra'!$A$5:$D$26,2,FALSE)</f>
        <v>57455</v>
      </c>
      <c r="D6673" s="1569">
        <f>+VLOOKUP($B6673,'Mano de obra'!$A$5:$D$26,3,FALSE)</f>
        <v>35656</v>
      </c>
      <c r="E6673" s="1569">
        <f>+VLOOKUP($B6673,'Mano de obra'!$A$5:$D$26,4,FALSE)</f>
        <v>93111</v>
      </c>
      <c r="F6673" s="1551">
        <f>2/0.15</f>
        <v>13.333333333333334</v>
      </c>
      <c r="G6673" s="351">
        <f>+E6673/F6673</f>
        <v>6983.3249999999998</v>
      </c>
      <c r="H6673" s="341"/>
    </row>
    <row r="6674" spans="1:9" s="1522" customFormat="1" x14ac:dyDescent="0.25">
      <c r="A6674" s="1523"/>
      <c r="B6674" s="1560" t="s">
        <v>5949</v>
      </c>
      <c r="C6674" s="1569">
        <f>+VLOOKUP($B6674,'Mano de obra'!$A$5:$D$26,2,FALSE)</f>
        <v>44263.8</v>
      </c>
      <c r="D6674" s="1569">
        <f>+VLOOKUP($B6674,'Mano de obra'!$A$5:$D$26,3,FALSE)</f>
        <v>27470</v>
      </c>
      <c r="E6674" s="1569">
        <f>+VLOOKUP($B6674,'Mano de obra'!$A$5:$D$26,4,FALSE)</f>
        <v>71733.8</v>
      </c>
      <c r="F6674" s="1551">
        <f>0.5/0.15</f>
        <v>3.3333333333333335</v>
      </c>
      <c r="G6674" s="351">
        <f>+E6674/F6674</f>
        <v>21520.14</v>
      </c>
      <c r="H6674" s="341"/>
    </row>
    <row r="6675" spans="1:9" s="1522" customFormat="1" x14ac:dyDescent="0.25">
      <c r="A6675" s="1523"/>
      <c r="B6675" s="1561" t="s">
        <v>5635</v>
      </c>
      <c r="C6675" s="1569">
        <f>+VLOOKUP($B6675,'Mano de obra'!$A$5:$D$26,2,FALSE)</f>
        <v>24591</v>
      </c>
      <c r="D6675" s="1569">
        <f>+VLOOKUP($B6675,'Mano de obra'!$A$5:$D$26,3,FALSE)</f>
        <v>15261</v>
      </c>
      <c r="E6675" s="1569">
        <f>+VLOOKUP($B6675,'Mano de obra'!$A$5:$D$26,4,FALSE)</f>
        <v>39852</v>
      </c>
      <c r="F6675" s="1563">
        <f>0.5/0.15</f>
        <v>3.3333333333333335</v>
      </c>
      <c r="G6675" s="351">
        <f>+E6675/F6675</f>
        <v>11955.6</v>
      </c>
      <c r="H6675" s="341"/>
    </row>
    <row r="6676" spans="1:9" s="1522" customFormat="1" x14ac:dyDescent="0.25">
      <c r="A6676" s="1523"/>
      <c r="B6676" s="1561"/>
      <c r="C6676" s="346"/>
      <c r="D6676" s="955"/>
      <c r="E6676" s="1569"/>
      <c r="F6676" s="226"/>
      <c r="G6676" s="351"/>
      <c r="H6676" s="341"/>
    </row>
    <row r="6677" spans="1:9" s="1522" customFormat="1" x14ac:dyDescent="0.25">
      <c r="A6677" s="1523"/>
      <c r="B6677" s="1561"/>
      <c r="C6677" s="232"/>
      <c r="D6677" s="952"/>
      <c r="E6677" s="232"/>
      <c r="F6677" s="226"/>
      <c r="G6677" s="344"/>
      <c r="H6677" s="341"/>
    </row>
    <row r="6678" spans="1:9" s="1522" customFormat="1" ht="15.75" thickBot="1" x14ac:dyDescent="0.3">
      <c r="A6678" s="1523"/>
      <c r="B6678" s="1561"/>
      <c r="C6678" s="232"/>
      <c r="D6678" s="952"/>
      <c r="E6678" s="232"/>
      <c r="F6678" s="226"/>
      <c r="G6678" s="344"/>
      <c r="H6678" s="341"/>
    </row>
    <row r="6679" spans="1:9" s="1522" customFormat="1" ht="15.75" thickBot="1" x14ac:dyDescent="0.3">
      <c r="A6679" s="1523"/>
      <c r="B6679" s="251"/>
      <c r="C6679" s="252"/>
      <c r="D6679" s="956"/>
      <c r="E6679" s="252"/>
      <c r="F6679" s="253"/>
      <c r="G6679" s="357"/>
      <c r="H6679" s="348">
        <f>+SUM(G6673:G6679)</f>
        <v>40459.065000000002</v>
      </c>
    </row>
    <row r="6680" spans="1:9" s="1522" customFormat="1" ht="15.75" thickBot="1" x14ac:dyDescent="0.3">
      <c r="A6680" s="1523"/>
      <c r="B6680" s="8"/>
      <c r="C6680" s="8"/>
      <c r="D6680" s="529"/>
      <c r="E6680" s="8"/>
      <c r="F6680" s="1523"/>
      <c r="G6680" s="341"/>
      <c r="H6680" s="341"/>
    </row>
    <row r="6681" spans="1:9" s="1522" customFormat="1" ht="15.75" thickBot="1" x14ac:dyDescent="0.3">
      <c r="A6681" s="1523" t="s">
        <v>6744</v>
      </c>
      <c r="B6681" s="1527"/>
      <c r="C6681" s="1527"/>
      <c r="D6681" s="529"/>
      <c r="E6681" s="1559" t="s">
        <v>5415</v>
      </c>
      <c r="F6681" s="1523"/>
      <c r="G6681" s="341"/>
      <c r="H6681" s="348">
        <f>+H6679+H6670+H6662+H6647</f>
        <v>120595.83426000002</v>
      </c>
      <c r="I6681" s="1478"/>
    </row>
    <row r="6682" spans="1:9" s="1522" customFormat="1" x14ac:dyDescent="0.25">
      <c r="D6682" s="957"/>
    </row>
    <row r="6683" spans="1:9" s="1522" customFormat="1" x14ac:dyDescent="0.25">
      <c r="D6683" s="957"/>
    </row>
    <row r="6684" spans="1:9" s="1522" customFormat="1" x14ac:dyDescent="0.25">
      <c r="A6684" s="1574" t="s">
        <v>3</v>
      </c>
      <c r="B6684" s="1390">
        <f>+VLOOKUP(C6684,ListaAPUs!$B:$E,4,FALSE)</f>
        <v>9.3000000000000007</v>
      </c>
      <c r="C6684" s="2450" t="s">
        <v>8262</v>
      </c>
      <c r="D6684" s="2450"/>
      <c r="E6684" s="2450"/>
      <c r="F6684" s="1574" t="s">
        <v>867</v>
      </c>
      <c r="G6684" s="1526" t="s">
        <v>5556</v>
      </c>
      <c r="H6684" s="1524"/>
    </row>
    <row r="6685" spans="1:9" s="1522" customFormat="1" x14ac:dyDescent="0.25">
      <c r="A6685" s="1528"/>
      <c r="B6685" s="1527"/>
      <c r="C6685" s="1527"/>
      <c r="D6685" s="529"/>
      <c r="E6685" s="1527"/>
      <c r="F6685" s="1528"/>
      <c r="G6685" s="1524"/>
      <c r="H6685" s="1524"/>
    </row>
    <row r="6686" spans="1:9" s="1522" customFormat="1" x14ac:dyDescent="0.25">
      <c r="A6686" s="1528"/>
      <c r="B6686" s="1527"/>
      <c r="C6686" s="1527"/>
      <c r="D6686" s="529"/>
      <c r="E6686" s="1527"/>
      <c r="F6686" s="1528"/>
      <c r="G6686" s="1529"/>
      <c r="H6686" s="1524"/>
    </row>
    <row r="6687" spans="1:9" s="1522" customFormat="1" ht="15.75" thickBot="1" x14ac:dyDescent="0.3">
      <c r="A6687" s="1528"/>
      <c r="B6687" s="1527"/>
      <c r="C6687" s="1527"/>
      <c r="D6687" s="529"/>
      <c r="E6687" s="1527"/>
      <c r="F6687" s="1528"/>
      <c r="G6687" s="1524"/>
      <c r="H6687" s="1524"/>
    </row>
    <row r="6688" spans="1:9" s="1522" customFormat="1" ht="15.75" thickBot="1" x14ac:dyDescent="0.3">
      <c r="A6688" s="1368"/>
      <c r="B6688" s="1369" t="s">
        <v>5403</v>
      </c>
      <c r="C6688" s="1363" t="s">
        <v>867</v>
      </c>
      <c r="D6688" s="1120" t="s">
        <v>6</v>
      </c>
      <c r="E6688" s="1363" t="s">
        <v>5404</v>
      </c>
      <c r="F6688" s="1363" t="s">
        <v>5405</v>
      </c>
      <c r="G6688" s="1370" t="s">
        <v>868</v>
      </c>
      <c r="H6688" s="1371"/>
    </row>
    <row r="6689" spans="1:8" s="1522" customFormat="1" x14ac:dyDescent="0.25">
      <c r="A6689" s="1528"/>
      <c r="B6689" s="1533" t="s">
        <v>5440</v>
      </c>
      <c r="C6689" s="1534" t="s">
        <v>5406</v>
      </c>
      <c r="D6689" s="211"/>
      <c r="E6689" s="1535">
        <f>+H6728</f>
        <v>5300.3230000000003</v>
      </c>
      <c r="F6689" s="1551">
        <v>0.1</v>
      </c>
      <c r="G6689" s="1570">
        <f>+E6689*F6689</f>
        <v>530.03230000000008</v>
      </c>
      <c r="H6689" s="1524"/>
    </row>
    <row r="6690" spans="1:8" s="1522" customFormat="1" x14ac:dyDescent="0.25">
      <c r="A6690" s="1528"/>
      <c r="B6690" s="1536" t="s">
        <v>8008</v>
      </c>
      <c r="C6690" s="1537" t="s">
        <v>5407</v>
      </c>
      <c r="D6690" s="212"/>
      <c r="E6690" s="1535">
        <f>+VLOOKUP(B6690,Insumos!$A$2:$C$331,3,FALSE)</f>
        <v>10126.799999999999</v>
      </c>
      <c r="F6690" s="1567">
        <f>15/0.15</f>
        <v>100</v>
      </c>
      <c r="G6690" s="1570">
        <f>+E6690/F6690</f>
        <v>101.26799999999999</v>
      </c>
      <c r="H6690" s="1524"/>
    </row>
    <row r="6691" spans="1:8" s="1522" customFormat="1" x14ac:dyDescent="0.25">
      <c r="A6691" s="1528"/>
      <c r="B6691" s="1536" t="s">
        <v>5736</v>
      </c>
      <c r="C6691" s="1537" t="s">
        <v>5481</v>
      </c>
      <c r="D6691" s="212">
        <v>1</v>
      </c>
      <c r="E6691" s="1535">
        <f>+VLOOKUP(B6691,Insumos!$A$2:$C$331,3,FALSE)</f>
        <v>42000</v>
      </c>
      <c r="F6691" s="1567">
        <f>40/0.35</f>
        <v>114.28571428571429</v>
      </c>
      <c r="G6691" s="1570">
        <f>+E6691/F6691</f>
        <v>367.5</v>
      </c>
      <c r="H6691" s="1524"/>
    </row>
    <row r="6692" spans="1:8" s="1522" customFormat="1" x14ac:dyDescent="0.25">
      <c r="A6692" s="1528"/>
      <c r="B6692" s="1540"/>
      <c r="C6692" s="1537"/>
      <c r="D6692" s="952"/>
      <c r="E6692" s="1538"/>
      <c r="F6692" s="1537"/>
      <c r="G6692" s="1541"/>
      <c r="H6692" s="1524"/>
    </row>
    <row r="6693" spans="1:8" s="1522" customFormat="1" x14ac:dyDescent="0.25">
      <c r="A6693" s="1528"/>
      <c r="B6693" s="1540"/>
      <c r="C6693" s="1537"/>
      <c r="D6693" s="952"/>
      <c r="E6693" s="1538"/>
      <c r="F6693" s="1537"/>
      <c r="G6693" s="1541"/>
      <c r="H6693" s="1524"/>
    </row>
    <row r="6694" spans="1:8" s="1522" customFormat="1" ht="15.75" thickBot="1" x14ac:dyDescent="0.3">
      <c r="A6694" s="1528"/>
      <c r="B6694" s="1540"/>
      <c r="C6694" s="1537"/>
      <c r="D6694" s="952"/>
      <c r="E6694" s="1538"/>
      <c r="F6694" s="1537"/>
      <c r="G6694" s="1541"/>
      <c r="H6694" s="1524"/>
    </row>
    <row r="6695" spans="1:8" s="1522" customFormat="1" ht="15.75" thickBot="1" x14ac:dyDescent="0.3">
      <c r="A6695" s="1528"/>
      <c r="B6695" s="1542"/>
      <c r="C6695" s="1543"/>
      <c r="D6695" s="953"/>
      <c r="E6695" s="1544"/>
      <c r="F6695" s="1543"/>
      <c r="G6695" s="1545"/>
      <c r="H6695" s="1546">
        <f>+SUM(G6689:G6695)</f>
        <v>998.80030000000011</v>
      </c>
    </row>
    <row r="6696" spans="1:8" s="1522" customFormat="1" ht="15.75" thickBot="1" x14ac:dyDescent="0.3">
      <c r="A6696" s="1528"/>
      <c r="B6696" s="1547"/>
      <c r="C6696" s="1548"/>
      <c r="D6696" s="954"/>
      <c r="E6696" s="1547"/>
      <c r="F6696" s="1548"/>
      <c r="G6696" s="1549"/>
      <c r="H6696" s="1550"/>
    </row>
    <row r="6697" spans="1:8" s="1522" customFormat="1" ht="15.75" thickBot="1" x14ac:dyDescent="0.3">
      <c r="A6697" s="1559"/>
      <c r="B6697" s="1369" t="s">
        <v>5408</v>
      </c>
      <c r="C6697" s="1363" t="s">
        <v>867</v>
      </c>
      <c r="D6697" s="1120" t="s">
        <v>6</v>
      </c>
      <c r="E6697" s="1363" t="s">
        <v>870</v>
      </c>
      <c r="F6697" s="1363" t="s">
        <v>5409</v>
      </c>
      <c r="G6697" s="1370" t="s">
        <v>868</v>
      </c>
      <c r="H6697" s="1371"/>
    </row>
    <row r="6698" spans="1:8" s="1522" customFormat="1" x14ac:dyDescent="0.25">
      <c r="A6698" s="1527"/>
      <c r="B6698" s="302"/>
      <c r="C6698" s="1534"/>
      <c r="D6698" s="211"/>
      <c r="E6698" s="1535"/>
      <c r="F6698" s="1552"/>
      <c r="G6698" s="1572"/>
      <c r="H6698" s="1524"/>
    </row>
    <row r="6699" spans="1:8" s="1522" customFormat="1" x14ac:dyDescent="0.25">
      <c r="A6699" s="1527"/>
      <c r="B6699" s="1562"/>
      <c r="C6699" s="1537"/>
      <c r="D6699" s="212"/>
      <c r="E6699" s="1571"/>
      <c r="F6699" s="1552"/>
      <c r="G6699" s="1572"/>
      <c r="H6699" s="1524"/>
    </row>
    <row r="6700" spans="1:8" s="1522" customFormat="1" x14ac:dyDescent="0.25">
      <c r="A6700" s="1527"/>
      <c r="B6700" s="1562"/>
      <c r="C6700" s="1537"/>
      <c r="D6700" s="212"/>
      <c r="E6700" s="1571"/>
      <c r="F6700" s="1552"/>
      <c r="G6700" s="1572"/>
      <c r="H6700" s="1524"/>
    </row>
    <row r="6701" spans="1:8" s="1522" customFormat="1" x14ac:dyDescent="0.25">
      <c r="A6701" s="1527"/>
      <c r="B6701" s="1540"/>
      <c r="C6701" s="1537"/>
      <c r="D6701" s="212"/>
      <c r="E6701" s="1535"/>
      <c r="F6701" s="1537"/>
      <c r="G6701" s="1572"/>
      <c r="H6701" s="1524"/>
    </row>
    <row r="6702" spans="1:8" s="1522" customFormat="1" x14ac:dyDescent="0.25">
      <c r="A6702" s="1527"/>
      <c r="B6702" s="1540"/>
      <c r="C6702" s="1537"/>
      <c r="D6702" s="212"/>
      <c r="E6702" s="1535"/>
      <c r="F6702" s="1537"/>
      <c r="G6702" s="1572"/>
      <c r="H6702" s="1524"/>
    </row>
    <row r="6703" spans="1:8" s="1522" customFormat="1" x14ac:dyDescent="0.25">
      <c r="A6703" s="1527"/>
      <c r="B6703" s="1540"/>
      <c r="C6703" s="1537"/>
      <c r="D6703" s="212"/>
      <c r="E6703" s="1535"/>
      <c r="F6703" s="1537"/>
      <c r="G6703" s="1572"/>
      <c r="H6703" s="1524"/>
    </row>
    <row r="6704" spans="1:8" s="1522" customFormat="1" x14ac:dyDescent="0.25">
      <c r="A6704" s="1527"/>
      <c r="B6704" s="1540"/>
      <c r="C6704" s="1537"/>
      <c r="D6704" s="212"/>
      <c r="E6704" s="1535"/>
      <c r="F6704" s="1537"/>
      <c r="G6704" s="1572"/>
      <c r="H6704" s="1524"/>
    </row>
    <row r="6705" spans="1:8" s="1522" customFormat="1" x14ac:dyDescent="0.25">
      <c r="A6705" s="1527"/>
      <c r="B6705" s="1540"/>
      <c r="C6705" s="1537"/>
      <c r="D6705" s="212"/>
      <c r="E6705" s="1535"/>
      <c r="F6705" s="1537"/>
      <c r="G6705" s="1572"/>
      <c r="H6705" s="1524"/>
    </row>
    <row r="6706" spans="1:8" s="1522" customFormat="1" x14ac:dyDescent="0.25">
      <c r="A6706" s="1527"/>
      <c r="B6706" s="1540"/>
      <c r="C6706" s="1537"/>
      <c r="D6706" s="212"/>
      <c r="E6706" s="1535"/>
      <c r="F6706" s="1537"/>
      <c r="G6706" s="1572"/>
      <c r="H6706" s="1524"/>
    </row>
    <row r="6707" spans="1:8" s="1522" customFormat="1" x14ac:dyDescent="0.25">
      <c r="A6707" s="1527"/>
      <c r="B6707" s="1540"/>
      <c r="C6707" s="1537"/>
      <c r="D6707" s="212"/>
      <c r="E6707" s="1535"/>
      <c r="F6707" s="1537"/>
      <c r="G6707" s="1572"/>
      <c r="H6707" s="1524"/>
    </row>
    <row r="6708" spans="1:8" s="1522" customFormat="1" x14ac:dyDescent="0.25">
      <c r="A6708" s="1527"/>
      <c r="B6708" s="1540"/>
      <c r="C6708" s="1538"/>
      <c r="D6708" s="952"/>
      <c r="E6708" s="1538"/>
      <c r="F6708" s="1537"/>
      <c r="G6708" s="1541"/>
      <c r="H6708" s="1524"/>
    </row>
    <row r="6709" spans="1:8" s="1522" customFormat="1" ht="15.75" thickBot="1" x14ac:dyDescent="0.3">
      <c r="A6709" s="1527"/>
      <c r="B6709" s="1540"/>
      <c r="C6709" s="1538"/>
      <c r="D6709" s="952"/>
      <c r="E6709" s="1538"/>
      <c r="F6709" s="1537"/>
      <c r="G6709" s="1541"/>
      <c r="H6709" s="1524"/>
    </row>
    <row r="6710" spans="1:8" s="1522" customFormat="1" ht="15.75" thickBot="1" x14ac:dyDescent="0.3">
      <c r="A6710" s="1527"/>
      <c r="B6710" s="1542"/>
      <c r="C6710" s="1544"/>
      <c r="D6710" s="953"/>
      <c r="E6710" s="1544"/>
      <c r="F6710" s="1543"/>
      <c r="G6710" s="1545"/>
      <c r="H6710" s="1546">
        <f>+SUM(G6698:G6710)</f>
        <v>0</v>
      </c>
    </row>
    <row r="6711" spans="1:8" s="1522" customFormat="1" ht="15.75" thickBot="1" x14ac:dyDescent="0.3">
      <c r="A6711" s="1527"/>
      <c r="B6711" s="1547"/>
      <c r="C6711" s="1547"/>
      <c r="D6711" s="954"/>
      <c r="E6711" s="1547"/>
      <c r="F6711" s="1548"/>
      <c r="G6711" s="1549"/>
      <c r="H6711" s="1550"/>
    </row>
    <row r="6712" spans="1:8" s="1522" customFormat="1" ht="15.75" thickBot="1" x14ac:dyDescent="0.3">
      <c r="A6712" s="1559"/>
      <c r="B6712" s="1369" t="s">
        <v>5410</v>
      </c>
      <c r="C6712" s="1363" t="s">
        <v>867</v>
      </c>
      <c r="D6712" s="1120" t="s">
        <v>6</v>
      </c>
      <c r="E6712" s="1363" t="s">
        <v>870</v>
      </c>
      <c r="F6712" s="1363" t="s">
        <v>5411</v>
      </c>
      <c r="G6712" s="1370" t="s">
        <v>868</v>
      </c>
      <c r="H6712" s="1371"/>
    </row>
    <row r="6713" spans="1:8" s="1522" customFormat="1" x14ac:dyDescent="0.25">
      <c r="A6713" s="1527"/>
      <c r="B6713" s="1564"/>
      <c r="C6713" s="1534"/>
      <c r="D6713" s="211"/>
      <c r="E6713" s="1571"/>
      <c r="F6713" s="1551"/>
      <c r="G6713" s="1572"/>
      <c r="H6713" s="1524"/>
    </row>
    <row r="6714" spans="1:8" s="1522" customFormat="1" x14ac:dyDescent="0.25">
      <c r="A6714" s="1527"/>
      <c r="B6714" s="1562"/>
      <c r="C6714" s="1537"/>
      <c r="D6714" s="212"/>
      <c r="E6714" s="1571"/>
      <c r="F6714" s="1534"/>
      <c r="G6714" s="1572"/>
      <c r="H6714" s="1524"/>
    </row>
    <row r="6715" spans="1:8" s="1522" customFormat="1" x14ac:dyDescent="0.25">
      <c r="A6715" s="1527"/>
      <c r="B6715" s="1562"/>
      <c r="C6715" s="1537"/>
      <c r="D6715" s="212"/>
      <c r="E6715" s="1535"/>
      <c r="F6715" s="1537"/>
      <c r="G6715" s="1572"/>
      <c r="H6715" s="1524"/>
    </row>
    <row r="6716" spans="1:8" s="1522" customFormat="1" x14ac:dyDescent="0.25">
      <c r="A6716" s="1527"/>
      <c r="B6716" s="1540"/>
      <c r="C6716" s="1537"/>
      <c r="D6716" s="212"/>
      <c r="E6716" s="1535"/>
      <c r="F6716" s="1537"/>
      <c r="G6716" s="1572"/>
      <c r="H6716" s="1524"/>
    </row>
    <row r="6717" spans="1:8" s="1522" customFormat="1" x14ac:dyDescent="0.25">
      <c r="A6717" s="1527"/>
      <c r="B6717" s="1540"/>
      <c r="C6717" s="1537"/>
      <c r="D6717" s="212"/>
      <c r="E6717" s="1535"/>
      <c r="F6717" s="1537"/>
      <c r="G6717" s="1572"/>
      <c r="H6717" s="1524"/>
    </row>
    <row r="6718" spans="1:8" s="1522" customFormat="1" ht="15.75" thickBot="1" x14ac:dyDescent="0.3">
      <c r="A6718" s="1527"/>
      <c r="B6718" s="1540"/>
      <c r="C6718" s="1537"/>
      <c r="D6718" s="212"/>
      <c r="E6718" s="1535"/>
      <c r="F6718" s="1537"/>
      <c r="G6718" s="1572"/>
      <c r="H6718" s="1524"/>
    </row>
    <row r="6719" spans="1:8" s="1522" customFormat="1" ht="15.75" thickBot="1" x14ac:dyDescent="0.3">
      <c r="A6719" s="1527"/>
      <c r="B6719" s="1542"/>
      <c r="C6719" s="1544"/>
      <c r="D6719" s="953"/>
      <c r="E6719" s="1544"/>
      <c r="F6719" s="1543"/>
      <c r="G6719" s="1545"/>
      <c r="H6719" s="1546">
        <f>+SUM(G6713:G6719)</f>
        <v>0</v>
      </c>
    </row>
    <row r="6720" spans="1:8" s="1522" customFormat="1" ht="15.75" thickBot="1" x14ac:dyDescent="0.3">
      <c r="A6720" s="1527"/>
      <c r="B6720" s="1547"/>
      <c r="C6720" s="1547"/>
      <c r="D6720" s="954"/>
      <c r="E6720" s="1547"/>
      <c r="F6720" s="1553"/>
      <c r="G6720" s="1554"/>
      <c r="H6720" s="1550"/>
    </row>
    <row r="6721" spans="1:8" s="1522" customFormat="1" ht="15.75" thickBot="1" x14ac:dyDescent="0.3">
      <c r="A6721" s="1559"/>
      <c r="B6721" s="1369" t="s">
        <v>5412</v>
      </c>
      <c r="C6721" s="1363" t="s">
        <v>5420</v>
      </c>
      <c r="D6721" s="1120" t="s">
        <v>5421</v>
      </c>
      <c r="E6721" s="1363" t="s">
        <v>5413</v>
      </c>
      <c r="F6721" s="1363" t="s">
        <v>5405</v>
      </c>
      <c r="G6721" s="1370" t="s">
        <v>868</v>
      </c>
      <c r="H6721" s="1371"/>
    </row>
    <row r="6722" spans="1:8" s="1522" customFormat="1" x14ac:dyDescent="0.25">
      <c r="A6722" s="1527"/>
      <c r="B6722" s="1560"/>
      <c r="C6722" s="1569"/>
      <c r="D6722" s="1569"/>
      <c r="E6722" s="1569"/>
      <c r="F6722" s="1551"/>
      <c r="G6722" s="351"/>
      <c r="H6722" s="1524"/>
    </row>
    <row r="6723" spans="1:8" s="1522" customFormat="1" x14ac:dyDescent="0.25">
      <c r="A6723" s="1527"/>
      <c r="B6723" s="1560" t="s">
        <v>5949</v>
      </c>
      <c r="C6723" s="1569">
        <f>+VLOOKUP($B6723,'Mano de obra'!$A$5:$D$26,2,FALSE)</f>
        <v>44263.8</v>
      </c>
      <c r="D6723" s="1569">
        <f>+VLOOKUP($B6723,'Mano de obra'!$A$5:$D$26,3,FALSE)</f>
        <v>27470</v>
      </c>
      <c r="E6723" s="1569">
        <f>+VLOOKUP($B6723,'Mano de obra'!$A$5:$D$26,4,FALSE)</f>
        <v>71733.8</v>
      </c>
      <c r="F6723" s="1551">
        <f>10/0.35</f>
        <v>28.571428571428573</v>
      </c>
      <c r="G6723" s="351">
        <f>+E6723/F6723</f>
        <v>2510.683</v>
      </c>
      <c r="H6723" s="1524"/>
    </row>
    <row r="6724" spans="1:8" s="1522" customFormat="1" x14ac:dyDescent="0.25">
      <c r="A6724" s="1527"/>
      <c r="B6724" s="1561" t="s">
        <v>5635</v>
      </c>
      <c r="C6724" s="1569">
        <f>+VLOOKUP($B6724,'Mano de obra'!$A$5:$D$26,2,FALSE)</f>
        <v>24591</v>
      </c>
      <c r="D6724" s="1569">
        <f>+VLOOKUP($B6724,'Mano de obra'!$A$5:$D$26,3,FALSE)</f>
        <v>15261</v>
      </c>
      <c r="E6724" s="1569">
        <f>+VLOOKUP($B6724,'Mano de obra'!$A$5:$D$26,4,FALSE)</f>
        <v>39852</v>
      </c>
      <c r="F6724" s="1563">
        <f>5/0.35</f>
        <v>14.285714285714286</v>
      </c>
      <c r="G6724" s="351">
        <f>+E6724/F6724</f>
        <v>2789.64</v>
      </c>
      <c r="H6724" s="1524"/>
    </row>
    <row r="6725" spans="1:8" s="1522" customFormat="1" x14ac:dyDescent="0.25">
      <c r="A6725" s="1527"/>
      <c r="B6725" s="1540"/>
      <c r="C6725" s="1569"/>
      <c r="D6725" s="952"/>
      <c r="E6725" s="1538"/>
      <c r="F6725" s="1537"/>
      <c r="G6725" s="1541"/>
      <c r="H6725" s="1524"/>
    </row>
    <row r="6726" spans="1:8" s="1522" customFormat="1" x14ac:dyDescent="0.25">
      <c r="A6726" s="1527"/>
      <c r="B6726" s="1540"/>
      <c r="C6726" s="1538"/>
      <c r="D6726" s="952"/>
      <c r="E6726" s="1538"/>
      <c r="F6726" s="1537"/>
      <c r="G6726" s="1541"/>
      <c r="H6726" s="1524"/>
    </row>
    <row r="6727" spans="1:8" s="1522" customFormat="1" ht="15.75" thickBot="1" x14ac:dyDescent="0.3">
      <c r="A6727" s="1527"/>
      <c r="B6727" s="1540"/>
      <c r="C6727" s="1538"/>
      <c r="D6727" s="952"/>
      <c r="E6727" s="1538"/>
      <c r="F6727" s="1537"/>
      <c r="G6727" s="1541"/>
      <c r="H6727" s="1524"/>
    </row>
    <row r="6728" spans="1:8" s="1522" customFormat="1" ht="15.75" thickBot="1" x14ac:dyDescent="0.3">
      <c r="A6728" s="1527"/>
      <c r="B6728" s="1555"/>
      <c r="C6728" s="1556"/>
      <c r="D6728" s="956"/>
      <c r="E6728" s="1556"/>
      <c r="F6728" s="1557"/>
      <c r="G6728" s="1558"/>
      <c r="H6728" s="1546">
        <f>+SUM(G6722:G6728)</f>
        <v>5300.3230000000003</v>
      </c>
    </row>
    <row r="6729" spans="1:8" s="1522" customFormat="1" ht="15.75" thickBot="1" x14ac:dyDescent="0.3">
      <c r="A6729" s="1527"/>
      <c r="B6729" s="1527"/>
      <c r="C6729" s="1527"/>
      <c r="D6729" s="529"/>
      <c r="E6729" s="1527"/>
      <c r="F6729" s="1528"/>
      <c r="G6729" s="1524"/>
      <c r="H6729" s="1524"/>
    </row>
    <row r="6730" spans="1:8" s="1522" customFormat="1" ht="15.75" thickBot="1" x14ac:dyDescent="0.3">
      <c r="A6730" s="1523" t="s">
        <v>6744</v>
      </c>
      <c r="B6730" s="1527"/>
      <c r="C6730" s="1527"/>
      <c r="D6730" s="529"/>
      <c r="E6730" s="1559" t="s">
        <v>5415</v>
      </c>
      <c r="F6730" s="1528"/>
      <c r="G6730" s="1524"/>
      <c r="H6730" s="1546">
        <f>ROUND(+H6695+H6710+H6719+H6728,0)</f>
        <v>6299</v>
      </c>
    </row>
    <row r="6731" spans="1:8" s="1522" customFormat="1" x14ac:dyDescent="0.25">
      <c r="D6731" s="957"/>
    </row>
    <row r="6733" spans="1:8" x14ac:dyDescent="0.25">
      <c r="A6733" s="1522"/>
      <c r="B6733" s="1522"/>
      <c r="C6733" s="1522"/>
      <c r="D6733" s="957"/>
      <c r="E6733" s="1522"/>
      <c r="F6733" s="1522"/>
      <c r="G6733" s="1522"/>
      <c r="H6733" s="1522"/>
    </row>
    <row r="6734" spans="1:8" x14ac:dyDescent="0.25">
      <c r="A6734" s="1522"/>
      <c r="B6734" s="1522"/>
      <c r="C6734" s="1522"/>
      <c r="D6734" s="957"/>
      <c r="E6734" s="1522"/>
      <c r="F6734" s="1522"/>
      <c r="G6734" s="1522"/>
      <c r="H6734" s="1522"/>
    </row>
    <row r="6735" spans="1:8" ht="35.25" customHeight="1" x14ac:dyDescent="0.25">
      <c r="A6735" s="1574" t="s">
        <v>3</v>
      </c>
      <c r="B6735" s="1390">
        <f>+VLOOKUP(C6735,ListaAPUs!$B:$E,4,FALSE)</f>
        <v>9.4</v>
      </c>
      <c r="C6735" s="2450" t="s">
        <v>8263</v>
      </c>
      <c r="D6735" s="2450"/>
      <c r="E6735" s="2450"/>
      <c r="F6735" s="1574" t="s">
        <v>867</v>
      </c>
      <c r="G6735" s="1526" t="s">
        <v>5556</v>
      </c>
      <c r="H6735" s="1524"/>
    </row>
    <row r="6736" spans="1:8" x14ac:dyDescent="0.25">
      <c r="A6736" s="1528"/>
      <c r="B6736" s="1527"/>
      <c r="C6736" s="1527"/>
      <c r="D6736" s="529"/>
      <c r="E6736" s="1527"/>
      <c r="F6736" s="1528"/>
      <c r="G6736" s="1524"/>
      <c r="H6736" s="1524"/>
    </row>
    <row r="6737" spans="1:8" x14ac:dyDescent="0.25">
      <c r="A6737" s="1528"/>
      <c r="B6737" s="1527"/>
      <c r="C6737" s="1527"/>
      <c r="D6737" s="529"/>
      <c r="E6737" s="1527"/>
      <c r="F6737" s="1528"/>
      <c r="G6737" s="1529"/>
      <c r="H6737" s="1524"/>
    </row>
    <row r="6738" spans="1:8" ht="15.75" thickBot="1" x14ac:dyDescent="0.3">
      <c r="A6738" s="1528"/>
      <c r="B6738" s="1527"/>
      <c r="C6738" s="1527"/>
      <c r="D6738" s="529"/>
      <c r="E6738" s="1527"/>
      <c r="F6738" s="1528"/>
      <c r="G6738" s="1524"/>
      <c r="H6738" s="1524"/>
    </row>
    <row r="6739" spans="1:8" ht="15.75" thickBot="1" x14ac:dyDescent="0.3">
      <c r="A6739" s="1368"/>
      <c r="B6739" s="1369" t="s">
        <v>5403</v>
      </c>
      <c r="C6739" s="1363" t="s">
        <v>867</v>
      </c>
      <c r="D6739" s="1120" t="s">
        <v>6</v>
      </c>
      <c r="E6739" s="1363" t="s">
        <v>5404</v>
      </c>
      <c r="F6739" s="1363" t="s">
        <v>5405</v>
      </c>
      <c r="G6739" s="1370" t="s">
        <v>868</v>
      </c>
      <c r="H6739" s="1371"/>
    </row>
    <row r="6740" spans="1:8" x14ac:dyDescent="0.25">
      <c r="A6740" s="1528"/>
      <c r="B6740" s="1533" t="s">
        <v>5440</v>
      </c>
      <c r="C6740" s="1534" t="s">
        <v>5406</v>
      </c>
      <c r="D6740" s="211"/>
      <c r="E6740" s="1535">
        <f>+H6779</f>
        <v>7571.8899999999994</v>
      </c>
      <c r="F6740" s="1551">
        <v>0.2</v>
      </c>
      <c r="G6740" s="1570">
        <f>+E6740*F6740</f>
        <v>1514.3779999999999</v>
      </c>
      <c r="H6740" s="1524"/>
    </row>
    <row r="6741" spans="1:8" x14ac:dyDescent="0.25">
      <c r="A6741" s="1528"/>
      <c r="B6741" s="1536"/>
      <c r="C6741" s="1537"/>
      <c r="D6741" s="212"/>
      <c r="E6741" s="1535"/>
      <c r="F6741" s="1567"/>
      <c r="G6741" s="1570"/>
      <c r="H6741" s="1524"/>
    </row>
    <row r="6742" spans="1:8" x14ac:dyDescent="0.25">
      <c r="A6742" s="1528"/>
      <c r="B6742" s="1536"/>
      <c r="C6742" s="1537"/>
      <c r="D6742" s="212"/>
      <c r="E6742" s="1535"/>
      <c r="F6742" s="1567"/>
      <c r="G6742" s="1570"/>
      <c r="H6742" s="1524"/>
    </row>
    <row r="6743" spans="1:8" x14ac:dyDescent="0.25">
      <c r="A6743" s="1528"/>
      <c r="B6743" s="1540"/>
      <c r="C6743" s="1537"/>
      <c r="D6743" s="952"/>
      <c r="E6743" s="1538"/>
      <c r="F6743" s="1537"/>
      <c r="G6743" s="1541"/>
      <c r="H6743" s="1524"/>
    </row>
    <row r="6744" spans="1:8" x14ac:dyDescent="0.25">
      <c r="A6744" s="1528"/>
      <c r="B6744" s="1540"/>
      <c r="C6744" s="1537"/>
      <c r="D6744" s="952"/>
      <c r="E6744" s="1538"/>
      <c r="F6744" s="1537"/>
      <c r="G6744" s="1541"/>
      <c r="H6744" s="1524"/>
    </row>
    <row r="6745" spans="1:8" ht="15.75" thickBot="1" x14ac:dyDescent="0.3">
      <c r="A6745" s="1528"/>
      <c r="B6745" s="1540"/>
      <c r="C6745" s="1537"/>
      <c r="D6745" s="952"/>
      <c r="E6745" s="1538"/>
      <c r="F6745" s="1537"/>
      <c r="G6745" s="1541"/>
      <c r="H6745" s="1524"/>
    </row>
    <row r="6746" spans="1:8" ht="15.75" thickBot="1" x14ac:dyDescent="0.3">
      <c r="A6746" s="1528"/>
      <c r="B6746" s="1542"/>
      <c r="C6746" s="1543"/>
      <c r="D6746" s="953"/>
      <c r="E6746" s="1544"/>
      <c r="F6746" s="1543"/>
      <c r="G6746" s="1545"/>
      <c r="H6746" s="1546">
        <f>+SUM(G6740:G6746)</f>
        <v>1514.3779999999999</v>
      </c>
    </row>
    <row r="6747" spans="1:8" ht="15.75" thickBot="1" x14ac:dyDescent="0.3">
      <c r="A6747" s="1528"/>
      <c r="B6747" s="1547"/>
      <c r="C6747" s="1548"/>
      <c r="D6747" s="954"/>
      <c r="E6747" s="1547"/>
      <c r="F6747" s="1548"/>
      <c r="G6747" s="1549"/>
      <c r="H6747" s="1550"/>
    </row>
    <row r="6748" spans="1:8" ht="15.75" thickBot="1" x14ac:dyDescent="0.3">
      <c r="A6748" s="1559"/>
      <c r="B6748" s="1369" t="s">
        <v>5408</v>
      </c>
      <c r="C6748" s="1363" t="s">
        <v>867</v>
      </c>
      <c r="D6748" s="1120" t="s">
        <v>6</v>
      </c>
      <c r="E6748" s="1363" t="s">
        <v>870</v>
      </c>
      <c r="F6748" s="1363" t="s">
        <v>5409</v>
      </c>
      <c r="G6748" s="1370" t="s">
        <v>868</v>
      </c>
      <c r="H6748" s="1371"/>
    </row>
    <row r="6749" spans="1:8" x14ac:dyDescent="0.25">
      <c r="A6749" s="1527"/>
      <c r="B6749" s="302" t="s">
        <v>8986</v>
      </c>
      <c r="C6749" s="1534" t="s">
        <v>5556</v>
      </c>
      <c r="D6749" s="211">
        <v>1</v>
      </c>
      <c r="E6749" s="1535">
        <v>297799.39</v>
      </c>
      <c r="F6749" s="1552">
        <v>1.02</v>
      </c>
      <c r="G6749" s="377">
        <f>+(D6749*F6749)*E6749</f>
        <v>303755.37780000002</v>
      </c>
      <c r="H6749" s="1524"/>
    </row>
    <row r="6750" spans="1:8" x14ac:dyDescent="0.25">
      <c r="A6750" s="1527"/>
      <c r="B6750" s="1562" t="s">
        <v>8987</v>
      </c>
      <c r="C6750" s="1537" t="s">
        <v>8988</v>
      </c>
      <c r="D6750" s="212">
        <v>0.224</v>
      </c>
      <c r="E6750" s="1571">
        <v>10405.08</v>
      </c>
      <c r="F6750" s="1552">
        <v>1</v>
      </c>
      <c r="G6750" s="863">
        <f>+(D6750*F6750)*E6750</f>
        <v>2330.73792</v>
      </c>
      <c r="H6750" s="1524"/>
    </row>
    <row r="6751" spans="1:8" x14ac:dyDescent="0.25">
      <c r="A6751" s="1527"/>
      <c r="B6751" s="1562"/>
      <c r="C6751" s="1537"/>
      <c r="D6751" s="212"/>
      <c r="E6751" s="1571"/>
      <c r="F6751" s="1552"/>
      <c r="G6751" s="1572"/>
      <c r="H6751" s="1524"/>
    </row>
    <row r="6752" spans="1:8" x14ac:dyDescent="0.25">
      <c r="A6752" s="1527"/>
      <c r="B6752" s="1540"/>
      <c r="C6752" s="1537"/>
      <c r="D6752" s="212"/>
      <c r="E6752" s="1535"/>
      <c r="F6752" s="1537"/>
      <c r="G6752" s="1572"/>
      <c r="H6752" s="1524"/>
    </row>
    <row r="6753" spans="1:8" x14ac:dyDescent="0.25">
      <c r="A6753" s="1527"/>
      <c r="B6753" s="1540"/>
      <c r="C6753" s="1537"/>
      <c r="D6753" s="212"/>
      <c r="E6753" s="1535"/>
      <c r="F6753" s="1537"/>
      <c r="G6753" s="1572"/>
      <c r="H6753" s="1524"/>
    </row>
    <row r="6754" spans="1:8" x14ac:dyDescent="0.25">
      <c r="A6754" s="1527"/>
      <c r="B6754" s="1540"/>
      <c r="C6754" s="1537"/>
      <c r="D6754" s="212"/>
      <c r="E6754" s="1535"/>
      <c r="F6754" s="1537"/>
      <c r="G6754" s="1572"/>
      <c r="H6754" s="1524"/>
    </row>
    <row r="6755" spans="1:8" x14ac:dyDescent="0.25">
      <c r="A6755" s="1527"/>
      <c r="B6755" s="1540"/>
      <c r="C6755" s="1537"/>
      <c r="D6755" s="212"/>
      <c r="E6755" s="1535"/>
      <c r="F6755" s="1537"/>
      <c r="G6755" s="1572"/>
      <c r="H6755" s="1524"/>
    </row>
    <row r="6756" spans="1:8" x14ac:dyDescent="0.25">
      <c r="A6756" s="1527"/>
      <c r="B6756" s="1540"/>
      <c r="C6756" s="1537"/>
      <c r="D6756" s="212"/>
      <c r="E6756" s="1535"/>
      <c r="F6756" s="1537"/>
      <c r="G6756" s="1572"/>
      <c r="H6756" s="1524"/>
    </row>
    <row r="6757" spans="1:8" x14ac:dyDescent="0.25">
      <c r="A6757" s="1527"/>
      <c r="B6757" s="1540"/>
      <c r="C6757" s="1537"/>
      <c r="D6757" s="212"/>
      <c r="E6757" s="1535"/>
      <c r="F6757" s="1537"/>
      <c r="G6757" s="1572"/>
      <c r="H6757" s="1524"/>
    </row>
    <row r="6758" spans="1:8" x14ac:dyDescent="0.25">
      <c r="A6758" s="1527"/>
      <c r="B6758" s="1540"/>
      <c r="C6758" s="1537"/>
      <c r="D6758" s="212"/>
      <c r="E6758" s="1535"/>
      <c r="F6758" s="1537"/>
      <c r="G6758" s="1572"/>
      <c r="H6758" s="1524"/>
    </row>
    <row r="6759" spans="1:8" x14ac:dyDescent="0.25">
      <c r="A6759" s="1527"/>
      <c r="B6759" s="1540"/>
      <c r="C6759" s="1538"/>
      <c r="D6759" s="952"/>
      <c r="E6759" s="1538"/>
      <c r="F6759" s="1537"/>
      <c r="G6759" s="1541"/>
      <c r="H6759" s="1524"/>
    </row>
    <row r="6760" spans="1:8" ht="15.75" thickBot="1" x14ac:dyDescent="0.3">
      <c r="A6760" s="1527"/>
      <c r="B6760" s="1540"/>
      <c r="C6760" s="1538"/>
      <c r="D6760" s="952"/>
      <c r="E6760" s="1538"/>
      <c r="F6760" s="1537"/>
      <c r="G6760" s="1541"/>
      <c r="H6760" s="1524"/>
    </row>
    <row r="6761" spans="1:8" ht="15.75" thickBot="1" x14ac:dyDescent="0.3">
      <c r="A6761" s="1527"/>
      <c r="B6761" s="1542"/>
      <c r="C6761" s="1544"/>
      <c r="D6761" s="953"/>
      <c r="E6761" s="1544"/>
      <c r="F6761" s="1543"/>
      <c r="G6761" s="1545"/>
      <c r="H6761" s="1546">
        <f>+SUM(G6749:G6761)</f>
        <v>306086.11572</v>
      </c>
    </row>
    <row r="6762" spans="1:8" ht="15.75" thickBot="1" x14ac:dyDescent="0.3">
      <c r="A6762" s="1527"/>
      <c r="B6762" s="1547"/>
      <c r="C6762" s="1547"/>
      <c r="D6762" s="954"/>
      <c r="E6762" s="1547"/>
      <c r="F6762" s="1548"/>
      <c r="G6762" s="1549"/>
      <c r="H6762" s="1550"/>
    </row>
    <row r="6763" spans="1:8" ht="15.75" thickBot="1" x14ac:dyDescent="0.3">
      <c r="A6763" s="1559"/>
      <c r="B6763" s="1369" t="s">
        <v>5410</v>
      </c>
      <c r="C6763" s="1363" t="s">
        <v>867</v>
      </c>
      <c r="D6763" s="1120" t="s">
        <v>6</v>
      </c>
      <c r="E6763" s="1363" t="s">
        <v>870</v>
      </c>
      <c r="F6763" s="1363" t="s">
        <v>5411</v>
      </c>
      <c r="G6763" s="1370" t="s">
        <v>868</v>
      </c>
      <c r="H6763" s="1371"/>
    </row>
    <row r="6764" spans="1:8" x14ac:dyDescent="0.25">
      <c r="A6764" s="1527"/>
      <c r="B6764" s="1564"/>
      <c r="C6764" s="1534"/>
      <c r="D6764" s="211"/>
      <c r="E6764" s="1571"/>
      <c r="F6764" s="1551"/>
      <c r="G6764" s="1572"/>
      <c r="H6764" s="1524"/>
    </row>
    <row r="6765" spans="1:8" x14ac:dyDescent="0.25">
      <c r="A6765" s="1527"/>
      <c r="B6765" s="1562"/>
      <c r="C6765" s="1537"/>
      <c r="D6765" s="212"/>
      <c r="E6765" s="1571"/>
      <c r="F6765" s="1534"/>
      <c r="G6765" s="1572"/>
      <c r="H6765" s="1524"/>
    </row>
    <row r="6766" spans="1:8" x14ac:dyDescent="0.25">
      <c r="A6766" s="1527"/>
      <c r="B6766" s="1562"/>
      <c r="C6766" s="1537"/>
      <c r="D6766" s="212"/>
      <c r="E6766" s="1535"/>
      <c r="F6766" s="1537"/>
      <c r="G6766" s="1572"/>
      <c r="H6766" s="1524"/>
    </row>
    <row r="6767" spans="1:8" x14ac:dyDescent="0.25">
      <c r="A6767" s="1527"/>
      <c r="B6767" s="1540"/>
      <c r="C6767" s="1537"/>
      <c r="D6767" s="212"/>
      <c r="E6767" s="1535"/>
      <c r="F6767" s="1537"/>
      <c r="G6767" s="1572"/>
      <c r="H6767" s="1524"/>
    </row>
    <row r="6768" spans="1:8" x14ac:dyDescent="0.25">
      <c r="A6768" s="1527"/>
      <c r="B6768" s="1540"/>
      <c r="C6768" s="1537"/>
      <c r="D6768" s="212"/>
      <c r="E6768" s="1535"/>
      <c r="F6768" s="1537"/>
      <c r="G6768" s="1572"/>
      <c r="H6768" s="1524"/>
    </row>
    <row r="6769" spans="1:8" ht="15.75" thickBot="1" x14ac:dyDescent="0.3">
      <c r="A6769" s="1527"/>
      <c r="B6769" s="1540"/>
      <c r="C6769" s="1537"/>
      <c r="D6769" s="212"/>
      <c r="E6769" s="1535"/>
      <c r="F6769" s="1537"/>
      <c r="G6769" s="1572"/>
      <c r="H6769" s="1524"/>
    </row>
    <row r="6770" spans="1:8" ht="15.75" thickBot="1" x14ac:dyDescent="0.3">
      <c r="A6770" s="1527"/>
      <c r="B6770" s="1542"/>
      <c r="C6770" s="1544"/>
      <c r="D6770" s="953"/>
      <c r="E6770" s="1544"/>
      <c r="F6770" s="1543"/>
      <c r="G6770" s="1545"/>
      <c r="H6770" s="1546">
        <f>+SUM(G6764:G6770)</f>
        <v>0</v>
      </c>
    </row>
    <row r="6771" spans="1:8" ht="15.75" thickBot="1" x14ac:dyDescent="0.3">
      <c r="A6771" s="1527"/>
      <c r="B6771" s="1547"/>
      <c r="C6771" s="1547"/>
      <c r="D6771" s="954"/>
      <c r="E6771" s="1547"/>
      <c r="F6771" s="1553"/>
      <c r="G6771" s="1554"/>
      <c r="H6771" s="1550"/>
    </row>
    <row r="6772" spans="1:8" ht="15.75" thickBot="1" x14ac:dyDescent="0.3">
      <c r="A6772" s="1559"/>
      <c r="B6772" s="1369" t="s">
        <v>5412</v>
      </c>
      <c r="C6772" s="1363" t="s">
        <v>5420</v>
      </c>
      <c r="D6772" s="1120" t="s">
        <v>5421</v>
      </c>
      <c r="E6772" s="1363" t="s">
        <v>5413</v>
      </c>
      <c r="F6772" s="1363" t="s">
        <v>5405</v>
      </c>
      <c r="G6772" s="1370" t="s">
        <v>868</v>
      </c>
      <c r="H6772" s="1371"/>
    </row>
    <row r="6773" spans="1:8" x14ac:dyDescent="0.25">
      <c r="A6773" s="1527"/>
      <c r="B6773" s="1560"/>
      <c r="C6773" s="1569"/>
      <c r="D6773" s="1569"/>
      <c r="E6773" s="1569"/>
      <c r="F6773" s="1551"/>
      <c r="G6773" s="351"/>
      <c r="H6773" s="1524"/>
    </row>
    <row r="6774" spans="1:8" x14ac:dyDescent="0.25">
      <c r="A6774" s="1527"/>
      <c r="B6774" s="1560" t="s">
        <v>5949</v>
      </c>
      <c r="C6774" s="1569">
        <f>+VLOOKUP($B6774,'Mano de obra'!$A$5:$D$26,2,FALSE)</f>
        <v>44263.8</v>
      </c>
      <c r="D6774" s="1569">
        <f>+VLOOKUP($B6774,'Mano de obra'!$A$5:$D$26,3,FALSE)</f>
        <v>27470</v>
      </c>
      <c r="E6774" s="1569">
        <f>+VLOOKUP($B6774,'Mano de obra'!$A$5:$D$26,4,FALSE)</f>
        <v>71733.8</v>
      </c>
      <c r="F6774" s="1551">
        <v>20</v>
      </c>
      <c r="G6774" s="351">
        <f>+E6774/F6774</f>
        <v>3586.69</v>
      </c>
      <c r="H6774" s="1524"/>
    </row>
    <row r="6775" spans="1:8" x14ac:dyDescent="0.25">
      <c r="A6775" s="1527"/>
      <c r="B6775" s="1561" t="s">
        <v>5635</v>
      </c>
      <c r="C6775" s="1569">
        <f>+VLOOKUP($B6775,'Mano de obra'!$A$5:$D$26,2,FALSE)</f>
        <v>24591</v>
      </c>
      <c r="D6775" s="1569">
        <f>+VLOOKUP($B6775,'Mano de obra'!$A$5:$D$26,3,FALSE)</f>
        <v>15261</v>
      </c>
      <c r="E6775" s="1569">
        <f>+VLOOKUP($B6775,'Mano de obra'!$A$5:$D$26,4,FALSE)</f>
        <v>39852</v>
      </c>
      <c r="F6775" s="1563">
        <v>10</v>
      </c>
      <c r="G6775" s="351">
        <f>+E6775/F6775</f>
        <v>3985.2</v>
      </c>
      <c r="H6775" s="1524"/>
    </row>
    <row r="6776" spans="1:8" x14ac:dyDescent="0.25">
      <c r="A6776" s="1527"/>
      <c r="B6776" s="1540"/>
      <c r="C6776" s="1569"/>
      <c r="D6776" s="952"/>
      <c r="E6776" s="1538"/>
      <c r="F6776" s="1537"/>
      <c r="G6776" s="1541"/>
      <c r="H6776" s="1524"/>
    </row>
    <row r="6777" spans="1:8" x14ac:dyDescent="0.25">
      <c r="A6777" s="1527"/>
      <c r="B6777" s="1540"/>
      <c r="C6777" s="1538"/>
      <c r="D6777" s="952"/>
      <c r="E6777" s="1538"/>
      <c r="F6777" s="1537"/>
      <c r="G6777" s="1541"/>
      <c r="H6777" s="1524"/>
    </row>
    <row r="6778" spans="1:8" ht="15.75" thickBot="1" x14ac:dyDescent="0.3">
      <c r="A6778" s="1527"/>
      <c r="B6778" s="1540"/>
      <c r="C6778" s="1538"/>
      <c r="D6778" s="952"/>
      <c r="E6778" s="1538"/>
      <c r="F6778" s="1537"/>
      <c r="G6778" s="1541"/>
      <c r="H6778" s="1524"/>
    </row>
    <row r="6779" spans="1:8" ht="15.75" thickBot="1" x14ac:dyDescent="0.3">
      <c r="A6779" s="1527"/>
      <c r="B6779" s="1555"/>
      <c r="C6779" s="1556"/>
      <c r="D6779" s="956"/>
      <c r="E6779" s="1556"/>
      <c r="F6779" s="1557"/>
      <c r="G6779" s="1558"/>
      <c r="H6779" s="1546">
        <f>+SUM(G6773:G6779)</f>
        <v>7571.8899999999994</v>
      </c>
    </row>
    <row r="6780" spans="1:8" ht="15.75" thickBot="1" x14ac:dyDescent="0.3">
      <c r="A6780" s="1527"/>
      <c r="B6780" s="1527"/>
      <c r="C6780" s="1527"/>
      <c r="D6780" s="529"/>
      <c r="E6780" s="1527"/>
      <c r="F6780" s="1528"/>
      <c r="G6780" s="1524"/>
      <c r="H6780" s="1524"/>
    </row>
    <row r="6781" spans="1:8" ht="15.75" thickBot="1" x14ac:dyDescent="0.3">
      <c r="A6781" s="1523" t="s">
        <v>6744</v>
      </c>
      <c r="B6781" s="1527"/>
      <c r="C6781" s="1527"/>
      <c r="D6781" s="529"/>
      <c r="E6781" s="1559" t="s">
        <v>5415</v>
      </c>
      <c r="F6781" s="1528"/>
      <c r="G6781" s="1524"/>
      <c r="H6781" s="1546">
        <f>ROUND(+H6746+H6761+H6770+H6779,0)</f>
        <v>315172</v>
      </c>
    </row>
    <row r="6782" spans="1:8" x14ac:dyDescent="0.25">
      <c r="A6782" s="1522"/>
      <c r="B6782" s="1522"/>
      <c r="C6782" s="1522"/>
      <c r="D6782" s="957"/>
      <c r="E6782" s="1522"/>
      <c r="F6782" s="1522"/>
      <c r="G6782" s="1522"/>
      <c r="H6782" s="1522"/>
    </row>
    <row r="6783" spans="1:8" x14ac:dyDescent="0.25">
      <c r="A6783" s="1522"/>
      <c r="B6783" s="1522"/>
      <c r="C6783" s="1522"/>
      <c r="D6783" s="1522"/>
      <c r="E6783" s="1522"/>
      <c r="F6783" s="1522"/>
      <c r="G6783" s="1522"/>
      <c r="H6783" s="1522"/>
    </row>
    <row r="6784" spans="1:8" x14ac:dyDescent="0.25">
      <c r="A6784" s="1522"/>
      <c r="B6784" s="1522"/>
      <c r="C6784" s="1522"/>
      <c r="D6784" s="957"/>
      <c r="E6784" s="1522"/>
      <c r="F6784" s="1522"/>
      <c r="G6784" s="1522"/>
      <c r="H6784" s="1522"/>
    </row>
    <row r="6785" spans="1:8" x14ac:dyDescent="0.25">
      <c r="A6785" s="1522"/>
      <c r="B6785" s="1522"/>
      <c r="C6785" s="1522"/>
      <c r="D6785" s="957"/>
      <c r="E6785" s="1522"/>
      <c r="F6785" s="1522"/>
      <c r="G6785" s="1522"/>
      <c r="H6785" s="1522"/>
    </row>
    <row r="6786" spans="1:8" x14ac:dyDescent="0.25">
      <c r="A6786" s="1574" t="s">
        <v>3</v>
      </c>
      <c r="B6786" s="1390">
        <f>+VLOOKUP(C6786,ListaAPUs!$B:$E,4,FALSE)</f>
        <v>9.5</v>
      </c>
      <c r="C6786" s="2450" t="s">
        <v>8264</v>
      </c>
      <c r="D6786" s="2450"/>
      <c r="E6786" s="2450"/>
      <c r="F6786" s="1574" t="s">
        <v>867</v>
      </c>
      <c r="G6786" s="1526" t="s">
        <v>5402</v>
      </c>
      <c r="H6786" s="1524"/>
    </row>
    <row r="6787" spans="1:8" x14ac:dyDescent="0.25">
      <c r="A6787" s="1528"/>
      <c r="B6787" s="1527"/>
      <c r="C6787" s="1527"/>
      <c r="D6787" s="529"/>
      <c r="E6787" s="1527"/>
      <c r="F6787" s="1528"/>
      <c r="G6787" s="1524"/>
      <c r="H6787" s="1524"/>
    </row>
    <row r="6788" spans="1:8" x14ac:dyDescent="0.25">
      <c r="A6788" s="1528"/>
      <c r="B6788" s="1527"/>
      <c r="C6788" s="1527"/>
      <c r="D6788" s="529"/>
      <c r="E6788" s="1527"/>
      <c r="F6788" s="1528"/>
      <c r="G6788" s="1529"/>
      <c r="H6788" s="1524"/>
    </row>
    <row r="6789" spans="1:8" ht="15.75" thickBot="1" x14ac:dyDescent="0.3">
      <c r="A6789" s="1528"/>
      <c r="B6789" s="1527"/>
      <c r="C6789" s="1527"/>
      <c r="D6789" s="529"/>
      <c r="E6789" s="1527"/>
      <c r="F6789" s="1528"/>
      <c r="G6789" s="1524"/>
      <c r="H6789" s="1524"/>
    </row>
    <row r="6790" spans="1:8" ht="15.75" thickBot="1" x14ac:dyDescent="0.3">
      <c r="A6790" s="1368"/>
      <c r="B6790" s="1369" t="s">
        <v>5403</v>
      </c>
      <c r="C6790" s="1363" t="s">
        <v>867</v>
      </c>
      <c r="D6790" s="1120" t="s">
        <v>6</v>
      </c>
      <c r="E6790" s="1363" t="s">
        <v>5404</v>
      </c>
      <c r="F6790" s="1363" t="s">
        <v>5405</v>
      </c>
      <c r="G6790" s="1370" t="s">
        <v>868</v>
      </c>
      <c r="H6790" s="1371"/>
    </row>
    <row r="6791" spans="1:8" x14ac:dyDescent="0.25">
      <c r="A6791" s="1528"/>
      <c r="B6791" s="1533" t="s">
        <v>5440</v>
      </c>
      <c r="C6791" s="1534" t="s">
        <v>5406</v>
      </c>
      <c r="D6791" s="211"/>
      <c r="E6791" s="1535">
        <f>+H6830</f>
        <v>4706.3371428571427</v>
      </c>
      <c r="F6791" s="1551">
        <v>0.2</v>
      </c>
      <c r="G6791" s="1570">
        <f>+E6791*F6791</f>
        <v>941.26742857142858</v>
      </c>
      <c r="H6791" s="1524"/>
    </row>
    <row r="6792" spans="1:8" x14ac:dyDescent="0.25">
      <c r="A6792" s="1528"/>
      <c r="B6792" s="1536"/>
      <c r="C6792" s="1537"/>
      <c r="D6792" s="212"/>
      <c r="E6792" s="1535"/>
      <c r="F6792" s="1567"/>
      <c r="G6792" s="1570"/>
      <c r="H6792" s="1524"/>
    </row>
    <row r="6793" spans="1:8" x14ac:dyDescent="0.25">
      <c r="A6793" s="1528"/>
      <c r="B6793" s="1536"/>
      <c r="C6793" s="1537"/>
      <c r="D6793" s="212"/>
      <c r="E6793" s="1535"/>
      <c r="F6793" s="1567"/>
      <c r="G6793" s="1570"/>
      <c r="H6793" s="1524"/>
    </row>
    <row r="6794" spans="1:8" x14ac:dyDescent="0.25">
      <c r="A6794" s="1528"/>
      <c r="B6794" s="1540"/>
      <c r="C6794" s="1537"/>
      <c r="D6794" s="952"/>
      <c r="E6794" s="1538"/>
      <c r="F6794" s="1537"/>
      <c r="G6794" s="1541"/>
      <c r="H6794" s="1524"/>
    </row>
    <row r="6795" spans="1:8" x14ac:dyDescent="0.25">
      <c r="A6795" s="1528"/>
      <c r="B6795" s="1540"/>
      <c r="C6795" s="1537"/>
      <c r="D6795" s="952"/>
      <c r="E6795" s="1538"/>
      <c r="F6795" s="1537"/>
      <c r="G6795" s="1541"/>
      <c r="H6795" s="1524"/>
    </row>
    <row r="6796" spans="1:8" ht="15.75" thickBot="1" x14ac:dyDescent="0.3">
      <c r="A6796" s="1528"/>
      <c r="B6796" s="1540"/>
      <c r="C6796" s="1537"/>
      <c r="D6796" s="952"/>
      <c r="E6796" s="1538"/>
      <c r="F6796" s="1537"/>
      <c r="G6796" s="1541"/>
      <c r="H6796" s="1524"/>
    </row>
    <row r="6797" spans="1:8" ht="15.75" thickBot="1" x14ac:dyDescent="0.3">
      <c r="A6797" s="1528"/>
      <c r="B6797" s="1542"/>
      <c r="C6797" s="1543"/>
      <c r="D6797" s="953"/>
      <c r="E6797" s="1544"/>
      <c r="F6797" s="1543"/>
      <c r="G6797" s="1545"/>
      <c r="H6797" s="1546">
        <f>+SUM(G6791:G6797)</f>
        <v>941.26742857142858</v>
      </c>
    </row>
    <row r="6798" spans="1:8" ht="15.75" thickBot="1" x14ac:dyDescent="0.3">
      <c r="A6798" s="1528"/>
      <c r="B6798" s="1547"/>
      <c r="C6798" s="1548"/>
      <c r="D6798" s="954"/>
      <c r="E6798" s="1547"/>
      <c r="F6798" s="1548"/>
      <c r="G6798" s="1549"/>
      <c r="H6798" s="1550"/>
    </row>
    <row r="6799" spans="1:8" ht="15.75" thickBot="1" x14ac:dyDescent="0.3">
      <c r="A6799" s="1559"/>
      <c r="B6799" s="1369" t="s">
        <v>5408</v>
      </c>
      <c r="C6799" s="1363" t="s">
        <v>867</v>
      </c>
      <c r="D6799" s="1120" t="s">
        <v>6</v>
      </c>
      <c r="E6799" s="1363" t="s">
        <v>870</v>
      </c>
      <c r="F6799" s="1363" t="s">
        <v>5409</v>
      </c>
      <c r="G6799" s="1370" t="s">
        <v>868</v>
      </c>
      <c r="H6799" s="1371"/>
    </row>
    <row r="6800" spans="1:8" x14ac:dyDescent="0.25">
      <c r="A6800" s="1527"/>
      <c r="B6800" s="302" t="s">
        <v>766</v>
      </c>
      <c r="C6800" s="1534" t="s">
        <v>5402</v>
      </c>
      <c r="D6800" s="211">
        <v>1</v>
      </c>
      <c r="E6800" s="1535">
        <v>11544.97</v>
      </c>
      <c r="F6800" s="1552">
        <v>1.1000000000000001</v>
      </c>
      <c r="G6800" s="377">
        <f>+(D6800*F6800)*E6800</f>
        <v>12699.467000000001</v>
      </c>
      <c r="H6800" s="1524"/>
    </row>
    <row r="6801" spans="1:8" x14ac:dyDescent="0.25">
      <c r="A6801" s="1527"/>
      <c r="B6801" s="1562" t="s">
        <v>8989</v>
      </c>
      <c r="C6801" s="1537" t="s">
        <v>8988</v>
      </c>
      <c r="D6801" s="212">
        <v>0.25</v>
      </c>
      <c r="E6801" s="1571">
        <v>4244.07</v>
      </c>
      <c r="F6801" s="1552">
        <v>1</v>
      </c>
      <c r="G6801" s="863">
        <f>+(D6801*F6801)*E6801</f>
        <v>1061.0174999999999</v>
      </c>
      <c r="H6801" s="1524"/>
    </row>
    <row r="6802" spans="1:8" x14ac:dyDescent="0.25">
      <c r="A6802" s="1527"/>
      <c r="B6802" s="1562"/>
      <c r="C6802" s="1537"/>
      <c r="D6802" s="212"/>
      <c r="E6802" s="1571"/>
      <c r="F6802" s="1552"/>
      <c r="G6802" s="1572"/>
      <c r="H6802" s="1524"/>
    </row>
    <row r="6803" spans="1:8" x14ac:dyDescent="0.25">
      <c r="A6803" s="1527"/>
      <c r="B6803" s="1540"/>
      <c r="C6803" s="1537"/>
      <c r="D6803" s="212"/>
      <c r="E6803" s="1535"/>
      <c r="F6803" s="1537"/>
      <c r="G6803" s="1572"/>
      <c r="H6803" s="1524"/>
    </row>
    <row r="6804" spans="1:8" x14ac:dyDescent="0.25">
      <c r="A6804" s="1527"/>
      <c r="B6804" s="1540"/>
      <c r="C6804" s="1537"/>
      <c r="D6804" s="212"/>
      <c r="E6804" s="1535"/>
      <c r="F6804" s="1537"/>
      <c r="G6804" s="1572"/>
      <c r="H6804" s="1524"/>
    </row>
    <row r="6805" spans="1:8" x14ac:dyDescent="0.25">
      <c r="A6805" s="1527"/>
      <c r="B6805" s="1540"/>
      <c r="C6805" s="1537"/>
      <c r="D6805" s="212"/>
      <c r="E6805" s="1535"/>
      <c r="F6805" s="1537"/>
      <c r="G6805" s="1572"/>
      <c r="H6805" s="1524"/>
    </row>
    <row r="6806" spans="1:8" x14ac:dyDescent="0.25">
      <c r="A6806" s="1527"/>
      <c r="B6806" s="1540"/>
      <c r="C6806" s="1537"/>
      <c r="D6806" s="212"/>
      <c r="E6806" s="1535"/>
      <c r="F6806" s="1537"/>
      <c r="G6806" s="1572"/>
      <c r="H6806" s="1524"/>
    </row>
    <row r="6807" spans="1:8" x14ac:dyDescent="0.25">
      <c r="A6807" s="1527"/>
      <c r="B6807" s="1540"/>
      <c r="C6807" s="1537"/>
      <c r="D6807" s="212"/>
      <c r="E6807" s="1535"/>
      <c r="F6807" s="1537"/>
      <c r="G6807" s="1572"/>
      <c r="H6807" s="1524"/>
    </row>
    <row r="6808" spans="1:8" x14ac:dyDescent="0.25">
      <c r="A6808" s="1527"/>
      <c r="B6808" s="1540"/>
      <c r="C6808" s="1537"/>
      <c r="D6808" s="212"/>
      <c r="E6808" s="1535"/>
      <c r="F6808" s="1537"/>
      <c r="G6808" s="1572"/>
      <c r="H6808" s="1524"/>
    </row>
    <row r="6809" spans="1:8" x14ac:dyDescent="0.25">
      <c r="A6809" s="1527"/>
      <c r="B6809" s="1540"/>
      <c r="C6809" s="1537"/>
      <c r="D6809" s="212"/>
      <c r="E6809" s="1535"/>
      <c r="F6809" s="1537"/>
      <c r="G6809" s="1572"/>
      <c r="H6809" s="1524"/>
    </row>
    <row r="6810" spans="1:8" x14ac:dyDescent="0.25">
      <c r="A6810" s="1527"/>
      <c r="B6810" s="1540"/>
      <c r="C6810" s="1538"/>
      <c r="D6810" s="952"/>
      <c r="E6810" s="1538"/>
      <c r="F6810" s="1537"/>
      <c r="G6810" s="1541"/>
      <c r="H6810" s="1524"/>
    </row>
    <row r="6811" spans="1:8" ht="15.75" thickBot="1" x14ac:dyDescent="0.3">
      <c r="A6811" s="1527"/>
      <c r="B6811" s="1540"/>
      <c r="C6811" s="1538"/>
      <c r="D6811" s="952"/>
      <c r="E6811" s="1538"/>
      <c r="F6811" s="1537"/>
      <c r="G6811" s="1541"/>
      <c r="H6811" s="1524"/>
    </row>
    <row r="6812" spans="1:8" ht="15.75" thickBot="1" x14ac:dyDescent="0.3">
      <c r="A6812" s="1527"/>
      <c r="B6812" s="1542"/>
      <c r="C6812" s="1544"/>
      <c r="D6812" s="953"/>
      <c r="E6812" s="1544"/>
      <c r="F6812" s="1543"/>
      <c r="G6812" s="1545"/>
      <c r="H6812" s="1546">
        <f>+SUM(G6800:G6812)</f>
        <v>13760.4845</v>
      </c>
    </row>
    <row r="6813" spans="1:8" ht="15.75" thickBot="1" x14ac:dyDescent="0.3">
      <c r="A6813" s="1527"/>
      <c r="B6813" s="1547"/>
      <c r="C6813" s="1547"/>
      <c r="D6813" s="954"/>
      <c r="E6813" s="1547"/>
      <c r="F6813" s="1548"/>
      <c r="G6813" s="1549"/>
      <c r="H6813" s="1550"/>
    </row>
    <row r="6814" spans="1:8" ht="15.75" thickBot="1" x14ac:dyDescent="0.3">
      <c r="A6814" s="1559"/>
      <c r="B6814" s="1369" t="s">
        <v>5410</v>
      </c>
      <c r="C6814" s="1363" t="s">
        <v>867</v>
      </c>
      <c r="D6814" s="1120" t="s">
        <v>6</v>
      </c>
      <c r="E6814" s="1363" t="s">
        <v>870</v>
      </c>
      <c r="F6814" s="1363" t="s">
        <v>5411</v>
      </c>
      <c r="G6814" s="1370" t="s">
        <v>868</v>
      </c>
      <c r="H6814" s="1371"/>
    </row>
    <row r="6815" spans="1:8" x14ac:dyDescent="0.25">
      <c r="A6815" s="1527"/>
      <c r="B6815" s="1564"/>
      <c r="C6815" s="1534"/>
      <c r="D6815" s="211"/>
      <c r="E6815" s="1571"/>
      <c r="F6815" s="1551"/>
      <c r="G6815" s="1572"/>
      <c r="H6815" s="1524"/>
    </row>
    <row r="6816" spans="1:8" x14ac:dyDescent="0.25">
      <c r="A6816" s="1527"/>
      <c r="B6816" s="1562"/>
      <c r="C6816" s="1537"/>
      <c r="D6816" s="212"/>
      <c r="E6816" s="1571"/>
      <c r="F6816" s="1534"/>
      <c r="G6816" s="1572"/>
      <c r="H6816" s="1524"/>
    </row>
    <row r="6817" spans="1:8" x14ac:dyDescent="0.25">
      <c r="A6817" s="1527"/>
      <c r="B6817" s="1562"/>
      <c r="C6817" s="1537"/>
      <c r="D6817" s="212"/>
      <c r="E6817" s="1535"/>
      <c r="F6817" s="1537"/>
      <c r="G6817" s="1572"/>
      <c r="H6817" s="1524"/>
    </row>
    <row r="6818" spans="1:8" x14ac:dyDescent="0.25">
      <c r="A6818" s="1527"/>
      <c r="B6818" s="1540"/>
      <c r="C6818" s="1537"/>
      <c r="D6818" s="212"/>
      <c r="E6818" s="1535"/>
      <c r="F6818" s="1537"/>
      <c r="G6818" s="1572"/>
      <c r="H6818" s="1524"/>
    </row>
    <row r="6819" spans="1:8" x14ac:dyDescent="0.25">
      <c r="A6819" s="1527"/>
      <c r="B6819" s="1540"/>
      <c r="C6819" s="1537"/>
      <c r="D6819" s="212"/>
      <c r="E6819" s="1535"/>
      <c r="F6819" s="1537"/>
      <c r="G6819" s="1572"/>
      <c r="H6819" s="1524"/>
    </row>
    <row r="6820" spans="1:8" ht="15.75" thickBot="1" x14ac:dyDescent="0.3">
      <c r="A6820" s="1527"/>
      <c r="B6820" s="1540"/>
      <c r="C6820" s="1537"/>
      <c r="D6820" s="212"/>
      <c r="E6820" s="1535"/>
      <c r="F6820" s="1537"/>
      <c r="G6820" s="1572"/>
      <c r="H6820" s="1524"/>
    </row>
    <row r="6821" spans="1:8" ht="15.75" thickBot="1" x14ac:dyDescent="0.3">
      <c r="A6821" s="1527"/>
      <c r="B6821" s="1542"/>
      <c r="C6821" s="1544"/>
      <c r="D6821" s="953"/>
      <c r="E6821" s="1544"/>
      <c r="F6821" s="1543"/>
      <c r="G6821" s="1545"/>
      <c r="H6821" s="1546">
        <f>+SUM(G6815:G6821)</f>
        <v>0</v>
      </c>
    </row>
    <row r="6822" spans="1:8" ht="15.75" thickBot="1" x14ac:dyDescent="0.3">
      <c r="A6822" s="1527"/>
      <c r="B6822" s="1547"/>
      <c r="C6822" s="1547"/>
      <c r="D6822" s="954"/>
      <c r="E6822" s="1547"/>
      <c r="F6822" s="1553"/>
      <c r="G6822" s="1554"/>
      <c r="H6822" s="1550"/>
    </row>
    <row r="6823" spans="1:8" ht="15.75" thickBot="1" x14ac:dyDescent="0.3">
      <c r="A6823" s="1559"/>
      <c r="B6823" s="1369" t="s">
        <v>5412</v>
      </c>
      <c r="C6823" s="1363" t="s">
        <v>5420</v>
      </c>
      <c r="D6823" s="1120" t="s">
        <v>5421</v>
      </c>
      <c r="E6823" s="1363" t="s">
        <v>5413</v>
      </c>
      <c r="F6823" s="1363" t="s">
        <v>5405</v>
      </c>
      <c r="G6823" s="1370" t="s">
        <v>868</v>
      </c>
      <c r="H6823" s="1371"/>
    </row>
    <row r="6824" spans="1:8" x14ac:dyDescent="0.25">
      <c r="A6824" s="1527"/>
      <c r="B6824" s="1560"/>
      <c r="C6824" s="1569"/>
      <c r="D6824" s="1569"/>
      <c r="E6824" s="1569"/>
      <c r="F6824" s="1551"/>
      <c r="G6824" s="351"/>
      <c r="H6824" s="1524"/>
    </row>
    <row r="6825" spans="1:8" x14ac:dyDescent="0.25">
      <c r="A6825" s="1527"/>
      <c r="B6825" s="1560" t="s">
        <v>5949</v>
      </c>
      <c r="C6825" s="1569">
        <f>+VLOOKUP($B6825,'Mano de obra'!$A$5:$D$26,2,FALSE)</f>
        <v>44263.8</v>
      </c>
      <c r="D6825" s="1569">
        <f>+VLOOKUP($B6825,'Mano de obra'!$A$5:$D$26,3,FALSE)</f>
        <v>27470</v>
      </c>
      <c r="E6825" s="1569">
        <f>+VLOOKUP($B6825,'Mano de obra'!$A$5:$D$26,4,FALSE)</f>
        <v>71733.8</v>
      </c>
      <c r="F6825" s="1551">
        <v>35</v>
      </c>
      <c r="G6825" s="351">
        <f>+E6825/F6825</f>
        <v>2049.537142857143</v>
      </c>
      <c r="H6825" s="1524"/>
    </row>
    <row r="6826" spans="1:8" x14ac:dyDescent="0.25">
      <c r="A6826" s="1527"/>
      <c r="B6826" s="1561" t="s">
        <v>5635</v>
      </c>
      <c r="C6826" s="1569">
        <f>+VLOOKUP($B6826,'Mano de obra'!$A$5:$D$26,2,FALSE)</f>
        <v>24591</v>
      </c>
      <c r="D6826" s="1569">
        <f>+VLOOKUP($B6826,'Mano de obra'!$A$5:$D$26,3,FALSE)</f>
        <v>15261</v>
      </c>
      <c r="E6826" s="1569">
        <f>+VLOOKUP($B6826,'Mano de obra'!$A$5:$D$26,4,FALSE)</f>
        <v>39852</v>
      </c>
      <c r="F6826" s="1563">
        <v>15</v>
      </c>
      <c r="G6826" s="351">
        <f>+E6826/F6826</f>
        <v>2656.8</v>
      </c>
      <c r="H6826" s="1524"/>
    </row>
    <row r="6827" spans="1:8" x14ac:dyDescent="0.25">
      <c r="A6827" s="1527"/>
      <c r="B6827" s="1540"/>
      <c r="C6827" s="1569"/>
      <c r="D6827" s="952"/>
      <c r="E6827" s="1538"/>
      <c r="F6827" s="1537"/>
      <c r="G6827" s="1541"/>
      <c r="H6827" s="1524"/>
    </row>
    <row r="6828" spans="1:8" x14ac:dyDescent="0.25">
      <c r="A6828" s="1527"/>
      <c r="B6828" s="1540"/>
      <c r="C6828" s="1538"/>
      <c r="D6828" s="952"/>
      <c r="E6828" s="1538"/>
      <c r="F6828" s="1537"/>
      <c r="G6828" s="1541"/>
      <c r="H6828" s="1524"/>
    </row>
    <row r="6829" spans="1:8" ht="15.75" thickBot="1" x14ac:dyDescent="0.3">
      <c r="A6829" s="1527"/>
      <c r="B6829" s="1540"/>
      <c r="C6829" s="1538"/>
      <c r="D6829" s="952"/>
      <c r="E6829" s="1538"/>
      <c r="F6829" s="1537"/>
      <c r="G6829" s="1541"/>
      <c r="H6829" s="1524"/>
    </row>
    <row r="6830" spans="1:8" ht="15.75" thickBot="1" x14ac:dyDescent="0.3">
      <c r="A6830" s="1527"/>
      <c r="B6830" s="1555"/>
      <c r="C6830" s="1556"/>
      <c r="D6830" s="956"/>
      <c r="E6830" s="1556"/>
      <c r="F6830" s="1557"/>
      <c r="G6830" s="1558"/>
      <c r="H6830" s="1546">
        <f>+SUM(G6824:G6830)</f>
        <v>4706.3371428571427</v>
      </c>
    </row>
    <row r="6831" spans="1:8" ht="15.75" thickBot="1" x14ac:dyDescent="0.3">
      <c r="A6831" s="1527"/>
      <c r="B6831" s="1527"/>
      <c r="C6831" s="1527"/>
      <c r="D6831" s="529"/>
      <c r="E6831" s="1527"/>
      <c r="F6831" s="1528"/>
      <c r="G6831" s="1524"/>
      <c r="H6831" s="1524"/>
    </row>
    <row r="6832" spans="1:8" ht="15.75" thickBot="1" x14ac:dyDescent="0.3">
      <c r="A6832" s="1523" t="s">
        <v>6744</v>
      </c>
      <c r="B6832" s="1527"/>
      <c r="C6832" s="1527"/>
      <c r="D6832" s="529"/>
      <c r="E6832" s="1559" t="s">
        <v>5415</v>
      </c>
      <c r="F6832" s="1528"/>
      <c r="G6832" s="1524"/>
      <c r="H6832" s="1546">
        <f>ROUND(+H6797+H6812+H6821+H6830,0)</f>
        <v>19408</v>
      </c>
    </row>
    <row r="6833" spans="1:8" x14ac:dyDescent="0.25">
      <c r="A6833" s="1522"/>
      <c r="B6833" s="1522"/>
      <c r="C6833" s="1522"/>
      <c r="D6833" s="957"/>
      <c r="E6833" s="1522"/>
      <c r="F6833" s="1522"/>
      <c r="G6833" s="1522"/>
      <c r="H6833" s="1522"/>
    </row>
    <row r="6834" spans="1:8" x14ac:dyDescent="0.25">
      <c r="A6834" s="1522"/>
      <c r="B6834" s="1522"/>
      <c r="C6834" s="1522"/>
      <c r="D6834" s="957"/>
      <c r="E6834" s="1522"/>
      <c r="F6834" s="1522"/>
      <c r="G6834" s="1522"/>
      <c r="H6834" s="1522"/>
    </row>
    <row r="6835" spans="1:8" x14ac:dyDescent="0.25">
      <c r="A6835" s="1522"/>
      <c r="B6835" s="1522"/>
      <c r="C6835" s="1522"/>
      <c r="D6835" s="957"/>
      <c r="E6835" s="1522"/>
      <c r="F6835" s="1522"/>
      <c r="G6835" s="1522"/>
      <c r="H6835" s="1522"/>
    </row>
    <row r="6836" spans="1:8" x14ac:dyDescent="0.25">
      <c r="A6836" s="1576" t="s">
        <v>3</v>
      </c>
      <c r="B6836" s="1390" t="e">
        <f>+VLOOKUP(C6836,ListaAPUs!$B:$E,4,FALSE)</f>
        <v>#N/A</v>
      </c>
      <c r="C6836" s="2450" t="s">
        <v>8994</v>
      </c>
      <c r="D6836" s="2450"/>
      <c r="E6836" s="2450"/>
      <c r="F6836" s="1576" t="s">
        <v>867</v>
      </c>
      <c r="G6836" s="1526" t="s">
        <v>5424</v>
      </c>
      <c r="H6836" s="1524"/>
    </row>
    <row r="6837" spans="1:8" x14ac:dyDescent="0.25">
      <c r="A6837" s="1528"/>
      <c r="B6837" s="1527"/>
      <c r="C6837" s="1527"/>
      <c r="D6837" s="529"/>
      <c r="E6837" s="1527"/>
      <c r="F6837" s="1528"/>
      <c r="G6837" s="1524"/>
      <c r="H6837" s="1524"/>
    </row>
    <row r="6838" spans="1:8" x14ac:dyDescent="0.25">
      <c r="A6838" s="1528"/>
      <c r="B6838" s="1527"/>
      <c r="C6838" s="1527"/>
      <c r="D6838" s="529"/>
      <c r="E6838" s="1527"/>
      <c r="F6838" s="1528"/>
      <c r="G6838" s="1529"/>
      <c r="H6838" s="1524"/>
    </row>
    <row r="6839" spans="1:8" ht="15.75" thickBot="1" x14ac:dyDescent="0.3">
      <c r="A6839" s="1528"/>
      <c r="B6839" s="1527"/>
      <c r="C6839" s="1527"/>
      <c r="D6839" s="529"/>
      <c r="E6839" s="1527"/>
      <c r="F6839" s="1528"/>
      <c r="G6839" s="1524"/>
      <c r="H6839" s="1524"/>
    </row>
    <row r="6840" spans="1:8" ht="15.75" thickBot="1" x14ac:dyDescent="0.3">
      <c r="A6840" s="1368"/>
      <c r="B6840" s="1369" t="s">
        <v>5403</v>
      </c>
      <c r="C6840" s="1363" t="s">
        <v>867</v>
      </c>
      <c r="D6840" s="1120" t="s">
        <v>6</v>
      </c>
      <c r="E6840" s="1363" t="s">
        <v>5404</v>
      </c>
      <c r="F6840" s="1363" t="s">
        <v>5405</v>
      </c>
      <c r="G6840" s="1370" t="s">
        <v>868</v>
      </c>
      <c r="H6840" s="1371"/>
    </row>
    <row r="6841" spans="1:8" x14ac:dyDescent="0.25">
      <c r="A6841" s="1528"/>
      <c r="B6841" s="1533" t="s">
        <v>5440</v>
      </c>
      <c r="C6841" s="1534" t="s">
        <v>5406</v>
      </c>
      <c r="D6841" s="211"/>
      <c r="E6841" s="1535">
        <f>+H6880</f>
        <v>5579558</v>
      </c>
      <c r="F6841" s="1551">
        <v>0.1</v>
      </c>
      <c r="G6841" s="1570">
        <f>+E6841*F6841</f>
        <v>557955.80000000005</v>
      </c>
      <c r="H6841" s="1524"/>
    </row>
    <row r="6842" spans="1:8" x14ac:dyDescent="0.25">
      <c r="A6842" s="1528"/>
      <c r="B6842" s="1536"/>
      <c r="C6842" s="1537"/>
      <c r="D6842" s="212"/>
      <c r="E6842" s="1535"/>
      <c r="F6842" s="1567"/>
      <c r="G6842" s="1570"/>
      <c r="H6842" s="1524"/>
    </row>
    <row r="6843" spans="1:8" x14ac:dyDescent="0.25">
      <c r="A6843" s="1528"/>
      <c r="B6843" s="1536"/>
      <c r="C6843" s="1537"/>
      <c r="D6843" s="212"/>
      <c r="E6843" s="1535"/>
      <c r="F6843" s="1567"/>
      <c r="G6843" s="1570"/>
      <c r="H6843" s="1524"/>
    </row>
    <row r="6844" spans="1:8" x14ac:dyDescent="0.25">
      <c r="A6844" s="1528"/>
      <c r="B6844" s="1540"/>
      <c r="C6844" s="1537"/>
      <c r="D6844" s="952"/>
      <c r="E6844" s="1538"/>
      <c r="F6844" s="1537"/>
      <c r="G6844" s="1541"/>
      <c r="H6844" s="1524"/>
    </row>
    <row r="6845" spans="1:8" x14ac:dyDescent="0.25">
      <c r="A6845" s="1528"/>
      <c r="B6845" s="1540"/>
      <c r="C6845" s="1537"/>
      <c r="D6845" s="952"/>
      <c r="E6845" s="1538"/>
      <c r="F6845" s="1537"/>
      <c r="G6845" s="1541"/>
      <c r="H6845" s="1524"/>
    </row>
    <row r="6846" spans="1:8" ht="15.75" thickBot="1" x14ac:dyDescent="0.3">
      <c r="A6846" s="1528"/>
      <c r="B6846" s="1540"/>
      <c r="C6846" s="1537"/>
      <c r="D6846" s="952"/>
      <c r="E6846" s="1538"/>
      <c r="F6846" s="1537"/>
      <c r="G6846" s="1541"/>
      <c r="H6846" s="1524"/>
    </row>
    <row r="6847" spans="1:8" ht="15.75" thickBot="1" x14ac:dyDescent="0.3">
      <c r="A6847" s="1528"/>
      <c r="B6847" s="1542"/>
      <c r="C6847" s="1543"/>
      <c r="D6847" s="953"/>
      <c r="E6847" s="1544"/>
      <c r="F6847" s="1543"/>
      <c r="G6847" s="1545"/>
      <c r="H6847" s="1546">
        <f>+SUM(G6841:G6847)</f>
        <v>557955.80000000005</v>
      </c>
    </row>
    <row r="6848" spans="1:8" ht="15.75" thickBot="1" x14ac:dyDescent="0.3">
      <c r="A6848" s="1528"/>
      <c r="B6848" s="1547"/>
      <c r="C6848" s="1548"/>
      <c r="D6848" s="954"/>
      <c r="E6848" s="1547"/>
      <c r="F6848" s="1548"/>
      <c r="G6848" s="1549"/>
      <c r="H6848" s="1550"/>
    </row>
    <row r="6849" spans="1:8" ht="15.75" thickBot="1" x14ac:dyDescent="0.3">
      <c r="A6849" s="1559"/>
      <c r="B6849" s="1369" t="s">
        <v>5408</v>
      </c>
      <c r="C6849" s="1363" t="s">
        <v>867</v>
      </c>
      <c r="D6849" s="1120" t="s">
        <v>6</v>
      </c>
      <c r="E6849" s="1363" t="s">
        <v>870</v>
      </c>
      <c r="F6849" s="1363" t="s">
        <v>5409</v>
      </c>
      <c r="G6849" s="1370" t="s">
        <v>868</v>
      </c>
      <c r="H6849" s="1371"/>
    </row>
    <row r="6850" spans="1:8" x14ac:dyDescent="0.25">
      <c r="A6850" s="1527"/>
      <c r="B6850" s="302"/>
      <c r="C6850" s="1534"/>
      <c r="D6850" s="211"/>
      <c r="E6850" s="1535"/>
      <c r="F6850" s="1552"/>
      <c r="G6850" s="377"/>
      <c r="H6850" s="1524"/>
    </row>
    <row r="6851" spans="1:8" x14ac:dyDescent="0.25">
      <c r="A6851" s="1527"/>
      <c r="B6851" s="1562"/>
      <c r="C6851" s="1537"/>
      <c r="D6851" s="212"/>
      <c r="E6851" s="1571"/>
      <c r="F6851" s="1552"/>
      <c r="G6851" s="863"/>
      <c r="H6851" s="1524"/>
    </row>
    <row r="6852" spans="1:8" x14ac:dyDescent="0.25">
      <c r="A6852" s="1527"/>
      <c r="B6852" s="1562"/>
      <c r="C6852" s="1537"/>
      <c r="D6852" s="212"/>
      <c r="E6852" s="1571"/>
      <c r="F6852" s="1552"/>
      <c r="G6852" s="1572"/>
      <c r="H6852" s="1524"/>
    </row>
    <row r="6853" spans="1:8" x14ac:dyDescent="0.25">
      <c r="A6853" s="1527"/>
      <c r="B6853" s="1540"/>
      <c r="C6853" s="1537"/>
      <c r="D6853" s="212"/>
      <c r="E6853" s="1535"/>
      <c r="F6853" s="1537"/>
      <c r="G6853" s="1572"/>
      <c r="H6853" s="1524"/>
    </row>
    <row r="6854" spans="1:8" x14ac:dyDescent="0.25">
      <c r="A6854" s="1527"/>
      <c r="B6854" s="1540"/>
      <c r="C6854" s="1537"/>
      <c r="D6854" s="212"/>
      <c r="E6854" s="1535"/>
      <c r="F6854" s="1537"/>
      <c r="G6854" s="1572"/>
      <c r="H6854" s="1524"/>
    </row>
    <row r="6855" spans="1:8" x14ac:dyDescent="0.25">
      <c r="A6855" s="1527"/>
      <c r="B6855" s="1540"/>
      <c r="C6855" s="1537"/>
      <c r="D6855" s="212"/>
      <c r="E6855" s="1535"/>
      <c r="F6855" s="1537"/>
      <c r="G6855" s="1572"/>
      <c r="H6855" s="1524"/>
    </row>
    <row r="6856" spans="1:8" x14ac:dyDescent="0.25">
      <c r="A6856" s="1527"/>
      <c r="B6856" s="1540"/>
      <c r="C6856" s="1537"/>
      <c r="D6856" s="212"/>
      <c r="E6856" s="1535"/>
      <c r="F6856" s="1537"/>
      <c r="G6856" s="1572"/>
      <c r="H6856" s="1524"/>
    </row>
    <row r="6857" spans="1:8" x14ac:dyDescent="0.25">
      <c r="A6857" s="1527"/>
      <c r="B6857" s="1540"/>
      <c r="C6857" s="1537"/>
      <c r="D6857" s="212"/>
      <c r="E6857" s="1535"/>
      <c r="F6857" s="1537"/>
      <c r="G6857" s="1572"/>
      <c r="H6857" s="1524"/>
    </row>
    <row r="6858" spans="1:8" x14ac:dyDescent="0.25">
      <c r="A6858" s="1527"/>
      <c r="B6858" s="1540"/>
      <c r="C6858" s="1537"/>
      <c r="D6858" s="212"/>
      <c r="E6858" s="1535"/>
      <c r="F6858" s="1537"/>
      <c r="G6858" s="1572"/>
      <c r="H6858" s="1524"/>
    </row>
    <row r="6859" spans="1:8" x14ac:dyDescent="0.25">
      <c r="A6859" s="1527"/>
      <c r="B6859" s="1540"/>
      <c r="C6859" s="1537"/>
      <c r="D6859" s="212"/>
      <c r="E6859" s="1535"/>
      <c r="F6859" s="1537"/>
      <c r="G6859" s="1572"/>
      <c r="H6859" s="1524"/>
    </row>
    <row r="6860" spans="1:8" x14ac:dyDescent="0.25">
      <c r="A6860" s="1527"/>
      <c r="B6860" s="1540"/>
      <c r="C6860" s="1538"/>
      <c r="D6860" s="952"/>
      <c r="E6860" s="1538"/>
      <c r="F6860" s="1537"/>
      <c r="G6860" s="1541"/>
      <c r="H6860" s="1524"/>
    </row>
    <row r="6861" spans="1:8" ht="15.75" thickBot="1" x14ac:dyDescent="0.3">
      <c r="A6861" s="1527"/>
      <c r="B6861" s="1540"/>
      <c r="C6861" s="1538"/>
      <c r="D6861" s="952"/>
      <c r="E6861" s="1538"/>
      <c r="F6861" s="1537"/>
      <c r="G6861" s="1541"/>
      <c r="H6861" s="1524"/>
    </row>
    <row r="6862" spans="1:8" ht="15.75" thickBot="1" x14ac:dyDescent="0.3">
      <c r="A6862" s="1527"/>
      <c r="B6862" s="1542"/>
      <c r="C6862" s="1544"/>
      <c r="D6862" s="953"/>
      <c r="E6862" s="1544"/>
      <c r="F6862" s="1543"/>
      <c r="G6862" s="1545"/>
      <c r="H6862" s="1546">
        <f>+SUM(G6850:G6862)</f>
        <v>0</v>
      </c>
    </row>
    <row r="6863" spans="1:8" ht="15.75" thickBot="1" x14ac:dyDescent="0.3">
      <c r="A6863" s="1527"/>
      <c r="B6863" s="1547"/>
      <c r="C6863" s="1547"/>
      <c r="D6863" s="954"/>
      <c r="E6863" s="1547"/>
      <c r="F6863" s="1548"/>
      <c r="G6863" s="1549"/>
      <c r="H6863" s="1550"/>
    </row>
    <row r="6864" spans="1:8" ht="15.75" thickBot="1" x14ac:dyDescent="0.3">
      <c r="A6864" s="1559"/>
      <c r="B6864" s="1369" t="s">
        <v>5410</v>
      </c>
      <c r="C6864" s="1363" t="s">
        <v>867</v>
      </c>
      <c r="D6864" s="1120" t="s">
        <v>6</v>
      </c>
      <c r="E6864" s="1363" t="s">
        <v>870</v>
      </c>
      <c r="F6864" s="1363" t="s">
        <v>5411</v>
      </c>
      <c r="G6864" s="1370" t="s">
        <v>868</v>
      </c>
      <c r="H6864" s="1371"/>
    </row>
    <row r="6865" spans="1:8" x14ac:dyDescent="0.25">
      <c r="A6865" s="1527"/>
      <c r="B6865" s="1564"/>
      <c r="C6865" s="1534"/>
      <c r="D6865" s="211"/>
      <c r="E6865" s="1571"/>
      <c r="F6865" s="1551"/>
      <c r="G6865" s="1572"/>
      <c r="H6865" s="1524"/>
    </row>
    <row r="6866" spans="1:8" x14ac:dyDescent="0.25">
      <c r="A6866" s="1527"/>
      <c r="B6866" s="1562"/>
      <c r="C6866" s="1537"/>
      <c r="D6866" s="212"/>
      <c r="E6866" s="1571"/>
      <c r="F6866" s="1534"/>
      <c r="G6866" s="1572"/>
      <c r="H6866" s="1524"/>
    </row>
    <row r="6867" spans="1:8" x14ac:dyDescent="0.25">
      <c r="A6867" s="1527"/>
      <c r="B6867" s="1562"/>
      <c r="C6867" s="1537"/>
      <c r="D6867" s="212"/>
      <c r="E6867" s="1535"/>
      <c r="F6867" s="1537"/>
      <c r="G6867" s="1572"/>
      <c r="H6867" s="1524"/>
    </row>
    <row r="6868" spans="1:8" x14ac:dyDescent="0.25">
      <c r="A6868" s="1527"/>
      <c r="B6868" s="1540"/>
      <c r="C6868" s="1537"/>
      <c r="D6868" s="212"/>
      <c r="E6868" s="1535"/>
      <c r="F6868" s="1537"/>
      <c r="G6868" s="1572"/>
      <c r="H6868" s="1524"/>
    </row>
    <row r="6869" spans="1:8" x14ac:dyDescent="0.25">
      <c r="A6869" s="1527"/>
      <c r="B6869" s="1540"/>
      <c r="C6869" s="1537"/>
      <c r="D6869" s="212"/>
      <c r="E6869" s="1535"/>
      <c r="F6869" s="1537"/>
      <c r="G6869" s="1572"/>
      <c r="H6869" s="1524"/>
    </row>
    <row r="6870" spans="1:8" ht="15.75" thickBot="1" x14ac:dyDescent="0.3">
      <c r="A6870" s="1527"/>
      <c r="B6870" s="1540"/>
      <c r="C6870" s="1537"/>
      <c r="D6870" s="212"/>
      <c r="E6870" s="1535"/>
      <c r="F6870" s="1537"/>
      <c r="G6870" s="1572"/>
      <c r="H6870" s="1524"/>
    </row>
    <row r="6871" spans="1:8" ht="15.75" thickBot="1" x14ac:dyDescent="0.3">
      <c r="A6871" s="1527"/>
      <c r="B6871" s="1542"/>
      <c r="C6871" s="1544"/>
      <c r="D6871" s="953"/>
      <c r="E6871" s="1544"/>
      <c r="F6871" s="1543"/>
      <c r="G6871" s="1545"/>
      <c r="H6871" s="1546">
        <f>+SUM(G6865:G6871)</f>
        <v>0</v>
      </c>
    </row>
    <row r="6872" spans="1:8" ht="15.75" thickBot="1" x14ac:dyDescent="0.3">
      <c r="A6872" s="1527"/>
      <c r="B6872" s="1547"/>
      <c r="C6872" s="1547"/>
      <c r="D6872" s="954"/>
      <c r="E6872" s="1547"/>
      <c r="F6872" s="1553"/>
      <c r="G6872" s="1554"/>
      <c r="H6872" s="1550"/>
    </row>
    <row r="6873" spans="1:8" ht="15.75" thickBot="1" x14ac:dyDescent="0.3">
      <c r="A6873" s="1559"/>
      <c r="B6873" s="1369" t="s">
        <v>5412</v>
      </c>
      <c r="C6873" s="1363" t="s">
        <v>5420</v>
      </c>
      <c r="D6873" s="1120" t="s">
        <v>5421</v>
      </c>
      <c r="E6873" s="1363" t="s">
        <v>5413</v>
      </c>
      <c r="F6873" s="1363" t="s">
        <v>5405</v>
      </c>
      <c r="G6873" s="1370" t="s">
        <v>868</v>
      </c>
      <c r="H6873" s="1371"/>
    </row>
    <row r="6874" spans="1:8" x14ac:dyDescent="0.25">
      <c r="A6874" s="1527"/>
      <c r="B6874" s="731" t="s">
        <v>7958</v>
      </c>
      <c r="C6874" s="1569">
        <f>+VLOOKUP($B6874,'Mano de obra'!$A$5:$D$26,2,FALSE)</f>
        <v>300000</v>
      </c>
      <c r="D6874" s="1569">
        <f>+VLOOKUP($B6874,'Mano de obra'!$A$5:$D$26,3,FALSE)</f>
        <v>146370</v>
      </c>
      <c r="E6874" s="1569">
        <f>+VLOOKUP($B6874,'Mano de obra'!$A$5:$D$26,4,FALSE)</f>
        <v>446370</v>
      </c>
      <c r="F6874" s="1551">
        <v>0.1</v>
      </c>
      <c r="G6874" s="351">
        <f>+E6874/F6874</f>
        <v>4463700</v>
      </c>
      <c r="H6874" s="1524"/>
    </row>
    <row r="6875" spans="1:8" x14ac:dyDescent="0.25">
      <c r="A6875" s="1527"/>
      <c r="B6875" s="1560" t="s">
        <v>5949</v>
      </c>
      <c r="C6875" s="1569">
        <f>+VLOOKUP($B6875,'Mano de obra'!$A$5:$D$26,2,FALSE)</f>
        <v>44263.8</v>
      </c>
      <c r="D6875" s="1569">
        <f>+VLOOKUP($B6875,'Mano de obra'!$A$5:$D$26,3,FALSE)</f>
        <v>27470</v>
      </c>
      <c r="E6875" s="1569">
        <f>+VLOOKUP($B6875,'Mano de obra'!$A$5:$D$26,4,FALSE)</f>
        <v>71733.8</v>
      </c>
      <c r="F6875" s="1551">
        <v>0.1</v>
      </c>
      <c r="G6875" s="351">
        <f>+E6875/F6875</f>
        <v>717338</v>
      </c>
      <c r="H6875" s="1524"/>
    </row>
    <row r="6876" spans="1:8" x14ac:dyDescent="0.25">
      <c r="A6876" s="1527"/>
      <c r="B6876" s="1561" t="s">
        <v>5635</v>
      </c>
      <c r="C6876" s="1569">
        <f>+VLOOKUP($B6876,'Mano de obra'!$A$5:$D$26,2,FALSE)</f>
        <v>24591</v>
      </c>
      <c r="D6876" s="1569">
        <f>+VLOOKUP($B6876,'Mano de obra'!$A$5:$D$26,3,FALSE)</f>
        <v>15261</v>
      </c>
      <c r="E6876" s="1569">
        <f>+VLOOKUP($B6876,'Mano de obra'!$A$5:$D$26,4,FALSE)</f>
        <v>39852</v>
      </c>
      <c r="F6876" s="1563">
        <v>0.1</v>
      </c>
      <c r="G6876" s="351">
        <f>+E6876/F6876</f>
        <v>398520</v>
      </c>
      <c r="H6876" s="1524"/>
    </row>
    <row r="6877" spans="1:8" x14ac:dyDescent="0.25">
      <c r="A6877" s="1527"/>
      <c r="B6877" s="1540"/>
      <c r="C6877" s="1569"/>
      <c r="D6877" s="952"/>
      <c r="E6877" s="1538"/>
      <c r="F6877" s="1537"/>
      <c r="G6877" s="1541"/>
      <c r="H6877" s="1524"/>
    </row>
    <row r="6878" spans="1:8" x14ac:dyDescent="0.25">
      <c r="A6878" s="1527"/>
      <c r="B6878" s="1540"/>
      <c r="C6878" s="1538"/>
      <c r="D6878" s="952"/>
      <c r="E6878" s="1538"/>
      <c r="F6878" s="1537"/>
      <c r="G6878" s="1541"/>
      <c r="H6878" s="1524"/>
    </row>
    <row r="6879" spans="1:8" ht="15.75" thickBot="1" x14ac:dyDescent="0.3">
      <c r="A6879" s="1527"/>
      <c r="B6879" s="1540"/>
      <c r="C6879" s="1538"/>
      <c r="D6879" s="952"/>
      <c r="E6879" s="1538"/>
      <c r="F6879" s="1537"/>
      <c r="G6879" s="1541"/>
      <c r="H6879" s="1524"/>
    </row>
    <row r="6880" spans="1:8" ht="15.75" thickBot="1" x14ac:dyDescent="0.3">
      <c r="A6880" s="1527"/>
      <c r="B6880" s="1555"/>
      <c r="C6880" s="1556"/>
      <c r="D6880" s="956"/>
      <c r="E6880" s="1556"/>
      <c r="F6880" s="1557"/>
      <c r="G6880" s="1558"/>
      <c r="H6880" s="1546">
        <f>+SUM(G6874:G6880)</f>
        <v>5579558</v>
      </c>
    </row>
    <row r="6881" spans="1:8" ht="15.75" thickBot="1" x14ac:dyDescent="0.3">
      <c r="A6881" s="1527"/>
      <c r="B6881" s="1527"/>
      <c r="C6881" s="1527"/>
      <c r="D6881" s="529"/>
      <c r="E6881" s="1527"/>
      <c r="F6881" s="1528"/>
      <c r="G6881" s="1524"/>
      <c r="H6881" s="1524"/>
    </row>
    <row r="6882" spans="1:8" ht="15.75" thickBot="1" x14ac:dyDescent="0.3">
      <c r="A6882" s="1523" t="s">
        <v>6744</v>
      </c>
      <c r="B6882" s="1527"/>
      <c r="C6882" s="1527"/>
      <c r="D6882" s="529"/>
      <c r="E6882" s="1559" t="s">
        <v>5415</v>
      </c>
      <c r="F6882" s="1528"/>
      <c r="G6882" s="1524"/>
      <c r="H6882" s="1546">
        <f>ROUND(+H6847+H6862+H6871+H6880,0)</f>
        <v>6137514</v>
      </c>
    </row>
    <row r="6883" spans="1:8" x14ac:dyDescent="0.25">
      <c r="A6883" s="1522"/>
      <c r="B6883" s="1522"/>
      <c r="C6883" s="1522"/>
      <c r="D6883" s="957"/>
      <c r="E6883" s="1522"/>
      <c r="F6883" s="1522"/>
      <c r="G6883" s="1522"/>
      <c r="H6883" s="1522"/>
    </row>
    <row r="6885" spans="1:8" s="1522" customFormat="1" x14ac:dyDescent="0.25">
      <c r="D6885" s="957"/>
    </row>
    <row r="6886" spans="1:8" s="1522" customFormat="1" x14ac:dyDescent="0.25">
      <c r="D6886" s="957"/>
    </row>
    <row r="6887" spans="1:8" s="1522" customFormat="1" ht="52.5" customHeight="1" x14ac:dyDescent="0.25">
      <c r="A6887" s="1582" t="s">
        <v>3</v>
      </c>
      <c r="B6887" s="1390">
        <f>+VLOOKUP(C6887,ListaAPUs!$B:$E,4,FALSE)</f>
        <v>7.2</v>
      </c>
      <c r="C6887" s="2450" t="str">
        <f>+ListaAPUs!B185</f>
        <v>EXCAVACIÓN SIN ZANJA (RAMMING) PARA  CRUCE VIA NACIONAL CON CAMISA DE ACERO DE 600" PARA DIAMETRO DE SERVICIO DN 400, (INCLUYE OBRA CIVIL CAJA DE LANZAMIENTO)</v>
      </c>
      <c r="D6887" s="2450"/>
      <c r="E6887" s="2450"/>
      <c r="F6887" s="1582" t="s">
        <v>867</v>
      </c>
      <c r="G6887" s="1526" t="str">
        <f>+ListaAPUs!C185</f>
        <v>ml</v>
      </c>
      <c r="H6887" s="1524"/>
    </row>
    <row r="6888" spans="1:8" s="1522" customFormat="1" x14ac:dyDescent="0.25">
      <c r="A6888" s="1528"/>
      <c r="B6888" s="1527"/>
      <c r="C6888" s="1527"/>
      <c r="D6888" s="529"/>
      <c r="E6888" s="1527"/>
      <c r="F6888" s="1528"/>
      <c r="G6888" s="1524"/>
      <c r="H6888" s="1524"/>
    </row>
    <row r="6889" spans="1:8" s="1522" customFormat="1" x14ac:dyDescent="0.25">
      <c r="A6889" s="1528"/>
      <c r="B6889" s="1527"/>
      <c r="C6889" s="1527"/>
      <c r="D6889" s="529"/>
      <c r="E6889" s="1527"/>
      <c r="F6889" s="1528"/>
      <c r="G6889" s="1529"/>
      <c r="H6889" s="1524"/>
    </row>
    <row r="6890" spans="1:8" s="1522" customFormat="1" ht="15.75" thickBot="1" x14ac:dyDescent="0.3">
      <c r="A6890" s="1528"/>
      <c r="B6890" s="1527"/>
      <c r="C6890" s="1527"/>
      <c r="D6890" s="529"/>
      <c r="E6890" s="1527"/>
      <c r="F6890" s="1528"/>
      <c r="G6890" s="1524"/>
      <c r="H6890" s="1524"/>
    </row>
    <row r="6891" spans="1:8" s="1522" customFormat="1" ht="15.75" thickBot="1" x14ac:dyDescent="0.3">
      <c r="A6891" s="1368"/>
      <c r="B6891" s="1369" t="s">
        <v>5403</v>
      </c>
      <c r="C6891" s="1363" t="s">
        <v>867</v>
      </c>
      <c r="D6891" s="1120" t="s">
        <v>6</v>
      </c>
      <c r="E6891" s="1363" t="s">
        <v>5404</v>
      </c>
      <c r="F6891" s="1363" t="s">
        <v>5405</v>
      </c>
      <c r="G6891" s="1370" t="s">
        <v>868</v>
      </c>
      <c r="H6891" s="1371"/>
    </row>
    <row r="6892" spans="1:8" s="1522" customFormat="1" x14ac:dyDescent="0.25">
      <c r="A6892" s="1528"/>
      <c r="B6892" s="1533" t="s">
        <v>5440</v>
      </c>
      <c r="C6892" s="1534" t="s">
        <v>5406</v>
      </c>
      <c r="D6892" s="211"/>
      <c r="E6892" s="1535">
        <f>+H6930</f>
        <v>1115858.6666666667</v>
      </c>
      <c r="F6892" s="1551">
        <v>0.1</v>
      </c>
      <c r="G6892" s="1570">
        <f>+E6892*F6892</f>
        <v>111585.86666666668</v>
      </c>
      <c r="H6892" s="1524"/>
    </row>
    <row r="6893" spans="1:8" s="1522" customFormat="1" ht="76.5" x14ac:dyDescent="0.25">
      <c r="A6893" s="1528"/>
      <c r="B6893" s="1536" t="s">
        <v>9405</v>
      </c>
      <c r="C6893" s="1537" t="s">
        <v>109</v>
      </c>
      <c r="D6893" s="212"/>
      <c r="E6893" s="1535">
        <f>+VLOOKUP(B6893,Insumos!$A$2:$C$341,3,FALSE)</f>
        <v>3024784</v>
      </c>
      <c r="F6893" s="1567">
        <v>1</v>
      </c>
      <c r="G6893" s="1570">
        <f>+E6893/F6893</f>
        <v>3024784</v>
      </c>
      <c r="H6893" s="1524"/>
    </row>
    <row r="6894" spans="1:8" s="1522" customFormat="1" x14ac:dyDescent="0.25">
      <c r="A6894" s="1528"/>
      <c r="B6894" s="1536" t="s">
        <v>9024</v>
      </c>
      <c r="C6894" s="1537" t="s">
        <v>109</v>
      </c>
      <c r="D6894" s="212"/>
      <c r="E6894" s="1535">
        <f>+VLOOKUP(B6894,Insumos!$A$2:$C$341,3,FALSE)</f>
        <v>100000</v>
      </c>
      <c r="F6894" s="1567">
        <v>1</v>
      </c>
      <c r="G6894" s="1570">
        <f>+E6894/F6894</f>
        <v>100000</v>
      </c>
      <c r="H6894" s="1524"/>
    </row>
    <row r="6895" spans="1:8" s="1522" customFormat="1" x14ac:dyDescent="0.25">
      <c r="A6895" s="1528"/>
      <c r="B6895" s="1540"/>
      <c r="C6895" s="1537"/>
      <c r="D6895" s="212"/>
      <c r="E6895" s="1535"/>
      <c r="F6895" s="1567"/>
      <c r="G6895" s="1570"/>
      <c r="H6895" s="1524"/>
    </row>
    <row r="6896" spans="1:8" s="1522" customFormat="1" x14ac:dyDescent="0.25">
      <c r="A6896" s="1528"/>
      <c r="B6896" s="1540"/>
      <c r="C6896" s="1537"/>
      <c r="D6896" s="952"/>
      <c r="E6896" s="1538"/>
      <c r="F6896" s="1537"/>
      <c r="G6896" s="1541"/>
      <c r="H6896" s="1524"/>
    </row>
    <row r="6897" spans="1:13" s="1522" customFormat="1" ht="15.75" thickBot="1" x14ac:dyDescent="0.3">
      <c r="A6897" s="1528"/>
      <c r="B6897" s="1540"/>
      <c r="C6897" s="1537"/>
      <c r="D6897" s="952"/>
      <c r="E6897" s="1538"/>
      <c r="F6897" s="1537"/>
      <c r="G6897" s="1541"/>
      <c r="H6897" s="1524"/>
    </row>
    <row r="6898" spans="1:13" s="1522" customFormat="1" ht="15.75" thickBot="1" x14ac:dyDescent="0.3">
      <c r="A6898" s="1528"/>
      <c r="B6898" s="1542"/>
      <c r="C6898" s="1543"/>
      <c r="D6898" s="953"/>
      <c r="E6898" s="1544"/>
      <c r="F6898" s="1543"/>
      <c r="G6898" s="1545"/>
      <c r="H6898" s="1546">
        <f>+SUM(G6892:G6898)</f>
        <v>3236369.8666666667</v>
      </c>
    </row>
    <row r="6899" spans="1:13" s="1522" customFormat="1" ht="15.75" thickBot="1" x14ac:dyDescent="0.3">
      <c r="A6899" s="1528"/>
      <c r="B6899" s="1547"/>
      <c r="C6899" s="1548"/>
      <c r="D6899" s="954"/>
      <c r="E6899" s="1547"/>
      <c r="F6899" s="1548"/>
      <c r="G6899" s="1549"/>
      <c r="H6899" s="1550"/>
    </row>
    <row r="6900" spans="1:13" s="1522" customFormat="1" ht="15.75" thickBot="1" x14ac:dyDescent="0.3">
      <c r="A6900" s="1559"/>
      <c r="B6900" s="1369" t="s">
        <v>5408</v>
      </c>
      <c r="C6900" s="1363" t="s">
        <v>867</v>
      </c>
      <c r="D6900" s="1120" t="s">
        <v>6</v>
      </c>
      <c r="E6900" s="1363" t="s">
        <v>870</v>
      </c>
      <c r="F6900" s="1363" t="s">
        <v>5409</v>
      </c>
      <c r="G6900" s="1370" t="s">
        <v>868</v>
      </c>
      <c r="H6900" s="1371"/>
    </row>
    <row r="6901" spans="1:13" s="1522" customFormat="1" x14ac:dyDescent="0.25">
      <c r="A6901" s="1527"/>
      <c r="B6901" s="302" t="s">
        <v>9025</v>
      </c>
      <c r="C6901" s="1534" t="s">
        <v>5542</v>
      </c>
      <c r="D6901" s="211">
        <v>1</v>
      </c>
      <c r="E6901" s="1535">
        <f>+H200</f>
        <v>24270</v>
      </c>
      <c r="F6901" s="1552">
        <v>1</v>
      </c>
      <c r="G6901" s="377">
        <f>+(D6901*F6901)*E6901</f>
        <v>24270</v>
      </c>
      <c r="H6901" s="1524"/>
    </row>
    <row r="6902" spans="1:13" s="1522" customFormat="1" x14ac:dyDescent="0.25">
      <c r="A6902" s="1527"/>
      <c r="B6902" s="1562" t="s">
        <v>9026</v>
      </c>
      <c r="C6902" s="1537" t="s">
        <v>5542</v>
      </c>
      <c r="D6902" s="212">
        <v>1</v>
      </c>
      <c r="E6902" s="1571">
        <f>+H397</f>
        <v>10017</v>
      </c>
      <c r="F6902" s="1552">
        <v>1.3</v>
      </c>
      <c r="G6902" s="863">
        <f>+(D6902*F6902)*E6902</f>
        <v>13022.1</v>
      </c>
      <c r="H6902" s="1524"/>
    </row>
    <row r="6903" spans="1:13" s="1522" customFormat="1" x14ac:dyDescent="0.25">
      <c r="A6903" s="1527"/>
      <c r="B6903" s="1562"/>
      <c r="C6903" s="1537"/>
      <c r="D6903" s="212"/>
      <c r="E6903" s="975"/>
      <c r="F6903" s="1552"/>
      <c r="G6903" s="351"/>
      <c r="H6903" s="1524"/>
    </row>
    <row r="6904" spans="1:13" s="1522" customFormat="1" x14ac:dyDescent="0.25">
      <c r="A6904" s="1527"/>
      <c r="B6904" s="1540"/>
      <c r="C6904" s="1537"/>
      <c r="D6904" s="212"/>
      <c r="E6904" s="975"/>
      <c r="F6904" s="1552"/>
      <c r="G6904" s="351"/>
      <c r="H6904" s="1524"/>
    </row>
    <row r="6905" spans="1:13" s="1522" customFormat="1" x14ac:dyDescent="0.25">
      <c r="A6905" s="1527"/>
      <c r="B6905" s="1540"/>
      <c r="C6905" s="1537"/>
      <c r="D6905" s="212"/>
      <c r="E6905" s="1535"/>
      <c r="F6905" s="1537"/>
      <c r="G6905" s="1572"/>
      <c r="H6905" s="1524"/>
      <c r="M6905" s="1596"/>
    </row>
    <row r="6906" spans="1:13" s="1522" customFormat="1" x14ac:dyDescent="0.25">
      <c r="A6906" s="1527"/>
      <c r="B6906" s="1540"/>
      <c r="C6906" s="1537"/>
      <c r="D6906" s="212"/>
      <c r="E6906" s="1535"/>
      <c r="F6906" s="1537"/>
      <c r="G6906" s="1572"/>
      <c r="H6906" s="1524"/>
    </row>
    <row r="6907" spans="1:13" s="1522" customFormat="1" x14ac:dyDescent="0.25">
      <c r="A6907" s="1527"/>
      <c r="B6907" s="1540"/>
      <c r="C6907" s="1537"/>
      <c r="D6907" s="212"/>
      <c r="E6907" s="1535"/>
      <c r="F6907" s="1537"/>
      <c r="G6907" s="1572"/>
      <c r="H6907" s="1524"/>
    </row>
    <row r="6908" spans="1:13" s="1522" customFormat="1" x14ac:dyDescent="0.25">
      <c r="A6908" s="1527"/>
      <c r="B6908" s="1540"/>
      <c r="C6908" s="1537"/>
      <c r="D6908" s="212"/>
      <c r="E6908" s="1535"/>
      <c r="F6908" s="1537"/>
      <c r="G6908" s="1572"/>
      <c r="H6908" s="1524"/>
    </row>
    <row r="6909" spans="1:13" s="1522" customFormat="1" x14ac:dyDescent="0.25">
      <c r="A6909" s="1527"/>
      <c r="B6909" s="1540"/>
      <c r="C6909" s="1537"/>
      <c r="D6909" s="212"/>
      <c r="E6909" s="1535"/>
      <c r="F6909" s="1537"/>
      <c r="G6909" s="1572"/>
      <c r="H6909" s="1524"/>
    </row>
    <row r="6910" spans="1:13" s="1522" customFormat="1" x14ac:dyDescent="0.25">
      <c r="A6910" s="1527"/>
      <c r="B6910" s="1540"/>
      <c r="C6910" s="1537"/>
      <c r="D6910" s="212"/>
      <c r="E6910" s="1535"/>
      <c r="F6910" s="1537"/>
      <c r="G6910" s="1572"/>
      <c r="H6910" s="1524"/>
    </row>
    <row r="6911" spans="1:13" s="1522" customFormat="1" x14ac:dyDescent="0.25">
      <c r="A6911" s="1527"/>
      <c r="B6911" s="1540"/>
      <c r="C6911" s="1538"/>
      <c r="D6911" s="952"/>
      <c r="E6911" s="1538"/>
      <c r="F6911" s="1537"/>
      <c r="G6911" s="1541"/>
      <c r="H6911" s="1524"/>
    </row>
    <row r="6912" spans="1:13" s="1522" customFormat="1" ht="15.75" thickBot="1" x14ac:dyDescent="0.3">
      <c r="A6912" s="1527"/>
      <c r="B6912" s="1540"/>
      <c r="C6912" s="1538"/>
      <c r="D6912" s="952"/>
      <c r="E6912" s="1538"/>
      <c r="F6912" s="1537"/>
      <c r="G6912" s="1541"/>
      <c r="H6912" s="1524"/>
    </row>
    <row r="6913" spans="1:8" s="1522" customFormat="1" ht="15.75" thickBot="1" x14ac:dyDescent="0.3">
      <c r="A6913" s="1527"/>
      <c r="B6913" s="1542"/>
      <c r="C6913" s="1544"/>
      <c r="D6913" s="953"/>
      <c r="E6913" s="1544"/>
      <c r="F6913" s="1543"/>
      <c r="G6913" s="1545"/>
      <c r="H6913" s="1546">
        <f>+SUM(G6901:G6913)</f>
        <v>37292.1</v>
      </c>
    </row>
    <row r="6914" spans="1:8" s="1522" customFormat="1" ht="15.75" thickBot="1" x14ac:dyDescent="0.3">
      <c r="A6914" s="1527"/>
      <c r="B6914" s="1547"/>
      <c r="C6914" s="1547"/>
      <c r="D6914" s="954"/>
      <c r="E6914" s="1547"/>
      <c r="F6914" s="1548"/>
      <c r="G6914" s="1549"/>
      <c r="H6914" s="1550"/>
    </row>
    <row r="6915" spans="1:8" s="1522" customFormat="1" ht="15.75" thickBot="1" x14ac:dyDescent="0.3">
      <c r="A6915" s="1559"/>
      <c r="B6915" s="1369" t="s">
        <v>5410</v>
      </c>
      <c r="C6915" s="1363" t="s">
        <v>867</v>
      </c>
      <c r="D6915" s="1120" t="s">
        <v>6</v>
      </c>
      <c r="E6915" s="1363" t="s">
        <v>870</v>
      </c>
      <c r="F6915" s="1363" t="s">
        <v>5411</v>
      </c>
      <c r="G6915" s="1370" t="s">
        <v>868</v>
      </c>
      <c r="H6915" s="1371"/>
    </row>
    <row r="6916" spans="1:8" s="1522" customFormat="1" x14ac:dyDescent="0.25">
      <c r="A6916" s="1527"/>
      <c r="B6916" s="1564"/>
      <c r="C6916" s="1534"/>
      <c r="D6916" s="211"/>
      <c r="E6916" s="1571"/>
      <c r="F6916" s="1551"/>
      <c r="G6916" s="1572"/>
      <c r="H6916" s="1524"/>
    </row>
    <row r="6917" spans="1:8" s="1522" customFormat="1" x14ac:dyDescent="0.25">
      <c r="A6917" s="1527"/>
      <c r="B6917" s="1562"/>
      <c r="C6917" s="1537"/>
      <c r="D6917" s="212"/>
      <c r="E6917" s="1571"/>
      <c r="F6917" s="1534"/>
      <c r="G6917" s="1572"/>
      <c r="H6917" s="1524"/>
    </row>
    <row r="6918" spans="1:8" s="1522" customFormat="1" x14ac:dyDescent="0.25">
      <c r="A6918" s="1527"/>
      <c r="B6918" s="1562"/>
      <c r="C6918" s="1537"/>
      <c r="D6918" s="212"/>
      <c r="E6918" s="1535"/>
      <c r="F6918" s="1537"/>
      <c r="G6918" s="1572"/>
      <c r="H6918" s="1524"/>
    </row>
    <row r="6919" spans="1:8" s="1522" customFormat="1" x14ac:dyDescent="0.25">
      <c r="A6919" s="1527"/>
      <c r="B6919" s="1540"/>
      <c r="C6919" s="1537"/>
      <c r="D6919" s="212"/>
      <c r="E6919" s="1535"/>
      <c r="F6919" s="1537"/>
      <c r="G6919" s="1572"/>
      <c r="H6919" s="1524"/>
    </row>
    <row r="6920" spans="1:8" s="1522" customFormat="1" x14ac:dyDescent="0.25">
      <c r="A6920" s="1527"/>
      <c r="B6920" s="1540"/>
      <c r="C6920" s="1537"/>
      <c r="D6920" s="212"/>
      <c r="E6920" s="1535"/>
      <c r="F6920" s="1537"/>
      <c r="G6920" s="1572"/>
      <c r="H6920" s="1524"/>
    </row>
    <row r="6921" spans="1:8" s="1522" customFormat="1" ht="15.75" thickBot="1" x14ac:dyDescent="0.3">
      <c r="A6921" s="1527"/>
      <c r="B6921" s="1540"/>
      <c r="C6921" s="1537"/>
      <c r="D6921" s="212"/>
      <c r="E6921" s="1535"/>
      <c r="F6921" s="1537"/>
      <c r="G6921" s="1572"/>
      <c r="H6921" s="1524"/>
    </row>
    <row r="6922" spans="1:8" s="1522" customFormat="1" ht="15.75" thickBot="1" x14ac:dyDescent="0.3">
      <c r="A6922" s="1527"/>
      <c r="B6922" s="1542"/>
      <c r="C6922" s="1544"/>
      <c r="D6922" s="953"/>
      <c r="E6922" s="1544"/>
      <c r="F6922" s="1543"/>
      <c r="G6922" s="1545"/>
      <c r="H6922" s="1546">
        <f>+SUM(G6916:G6922)</f>
        <v>0</v>
      </c>
    </row>
    <row r="6923" spans="1:8" s="1522" customFormat="1" ht="15.75" thickBot="1" x14ac:dyDescent="0.3">
      <c r="A6923" s="1527"/>
      <c r="B6923" s="1547"/>
      <c r="C6923" s="1547"/>
      <c r="D6923" s="954"/>
      <c r="E6923" s="1547"/>
      <c r="F6923" s="1553"/>
      <c r="G6923" s="1554"/>
      <c r="H6923" s="1550"/>
    </row>
    <row r="6924" spans="1:8" s="1522" customFormat="1" ht="15.75" thickBot="1" x14ac:dyDescent="0.3">
      <c r="A6924" s="1559"/>
      <c r="B6924" s="1369" t="s">
        <v>5412</v>
      </c>
      <c r="C6924" s="1363" t="s">
        <v>5420</v>
      </c>
      <c r="D6924" s="1120" t="s">
        <v>5421</v>
      </c>
      <c r="E6924" s="1363" t="s">
        <v>5413</v>
      </c>
      <c r="F6924" s="1363" t="s">
        <v>5405</v>
      </c>
      <c r="G6924" s="1370" t="s">
        <v>868</v>
      </c>
      <c r="H6924" s="1371"/>
    </row>
    <row r="6925" spans="1:8" s="1522" customFormat="1" x14ac:dyDescent="0.25">
      <c r="A6925" s="1527"/>
      <c r="B6925" s="1560" t="s">
        <v>5949</v>
      </c>
      <c r="C6925" s="1569">
        <f>+VLOOKUP($B6925,'Mano de obra'!$A$5:$D$26,2,FALSE)</f>
        <v>44263.8</v>
      </c>
      <c r="D6925" s="1569">
        <f>+VLOOKUP($B6925,'Mano de obra'!$A$5:$D$26,3,FALSE)</f>
        <v>27470</v>
      </c>
      <c r="E6925" s="1569">
        <f>+VLOOKUP($B6925,'Mano de obra'!$A$5:$D$26,4,FALSE)*2</f>
        <v>143467.6</v>
      </c>
      <c r="F6925" s="1551">
        <v>0.15</v>
      </c>
      <c r="G6925" s="351">
        <f>+E6925/F6925</f>
        <v>956450.66666666674</v>
      </c>
      <c r="H6925" s="1524"/>
    </row>
    <row r="6926" spans="1:8" s="1522" customFormat="1" x14ac:dyDescent="0.25">
      <c r="A6926" s="1527"/>
      <c r="B6926" s="1561" t="s">
        <v>5635</v>
      </c>
      <c r="C6926" s="1569">
        <f>+VLOOKUP($B6926,'Mano de obra'!$A$5:$D$26,2,FALSE)</f>
        <v>24591</v>
      </c>
      <c r="D6926" s="1569">
        <f>+VLOOKUP($B6926,'Mano de obra'!$A$5:$D$26,3,FALSE)</f>
        <v>15261</v>
      </c>
      <c r="E6926" s="1569">
        <f>+VLOOKUP($B6926,'Mano de obra'!$A$5:$D$26,4,FALSE)*4</f>
        <v>159408</v>
      </c>
      <c r="F6926" s="1563">
        <v>1</v>
      </c>
      <c r="G6926" s="351">
        <f>+E6926/F6926</f>
        <v>159408</v>
      </c>
      <c r="H6926" s="1524"/>
    </row>
    <row r="6927" spans="1:8" s="1522" customFormat="1" x14ac:dyDescent="0.25">
      <c r="A6927" s="1527"/>
      <c r="B6927" s="1540"/>
      <c r="C6927" s="1569"/>
      <c r="D6927" s="952"/>
      <c r="E6927" s="1538"/>
      <c r="F6927" s="1537"/>
      <c r="G6927" s="1541"/>
      <c r="H6927" s="1524"/>
    </row>
    <row r="6928" spans="1:8" s="1522" customFormat="1" x14ac:dyDescent="0.25">
      <c r="A6928" s="1527"/>
      <c r="B6928" s="1540"/>
      <c r="C6928" s="1538"/>
      <c r="D6928" s="952"/>
      <c r="E6928" s="1538"/>
      <c r="F6928" s="1537"/>
      <c r="G6928" s="1541"/>
      <c r="H6928" s="1524"/>
    </row>
    <row r="6929" spans="1:8" s="1522" customFormat="1" ht="15.75" thickBot="1" x14ac:dyDescent="0.3">
      <c r="A6929" s="1527"/>
      <c r="B6929" s="1540"/>
      <c r="C6929" s="1538"/>
      <c r="D6929" s="952"/>
      <c r="E6929" s="1538"/>
      <c r="F6929" s="1537"/>
      <c r="G6929" s="1541"/>
      <c r="H6929" s="1524"/>
    </row>
    <row r="6930" spans="1:8" s="1522" customFormat="1" ht="15.75" thickBot="1" x14ac:dyDescent="0.3">
      <c r="A6930" s="1527"/>
      <c r="B6930" s="1555"/>
      <c r="C6930" s="1556"/>
      <c r="D6930" s="956"/>
      <c r="E6930" s="1556"/>
      <c r="F6930" s="1557"/>
      <c r="G6930" s="1558"/>
      <c r="H6930" s="1546">
        <f>+SUM(G6925:G6930)</f>
        <v>1115858.6666666667</v>
      </c>
    </row>
    <row r="6931" spans="1:8" s="1522" customFormat="1" ht="15.75" thickBot="1" x14ac:dyDescent="0.3">
      <c r="A6931" s="1527"/>
      <c r="B6931" s="1527"/>
      <c r="C6931" s="1527"/>
      <c r="D6931" s="529"/>
      <c r="E6931" s="1527"/>
      <c r="F6931" s="1528"/>
      <c r="G6931" s="1524"/>
      <c r="H6931" s="1524"/>
    </row>
    <row r="6932" spans="1:8" s="1522" customFormat="1" ht="15.75" thickBot="1" x14ac:dyDescent="0.3">
      <c r="A6932" s="1523" t="s">
        <v>6744</v>
      </c>
      <c r="B6932" s="1527"/>
      <c r="C6932" s="1527"/>
      <c r="D6932" s="529"/>
      <c r="E6932" s="1559" t="s">
        <v>5415</v>
      </c>
      <c r="F6932" s="1528"/>
      <c r="G6932" s="1524"/>
      <c r="H6932" s="1546">
        <f>ROUND(+H6898+H6913+H6922+H6930,0)</f>
        <v>4389521</v>
      </c>
    </row>
    <row r="6933" spans="1:8" s="1522" customFormat="1" x14ac:dyDescent="0.25">
      <c r="D6933" s="957"/>
    </row>
    <row r="6934" spans="1:8" s="1522" customFormat="1" x14ac:dyDescent="0.25"/>
    <row r="6935" spans="1:8" x14ac:dyDescent="0.25">
      <c r="A6935" s="1522"/>
      <c r="B6935" s="1522"/>
      <c r="C6935" s="1522"/>
      <c r="D6935" s="957"/>
      <c r="E6935" s="1522"/>
      <c r="F6935" s="1522"/>
      <c r="G6935" s="1522"/>
      <c r="H6935" s="1522"/>
    </row>
    <row r="6936" spans="1:8" x14ac:dyDescent="0.25">
      <c r="A6936" s="1522"/>
      <c r="B6936" s="1522"/>
      <c r="C6936" s="1522"/>
      <c r="D6936" s="957"/>
      <c r="E6936" s="1522"/>
      <c r="F6936" s="1522"/>
      <c r="G6936" s="1522"/>
      <c r="H6936" s="1522"/>
    </row>
    <row r="6937" spans="1:8" ht="27" customHeight="1" x14ac:dyDescent="0.25">
      <c r="A6937" s="1627" t="s">
        <v>3</v>
      </c>
      <c r="B6937" s="1390">
        <f>+VLOOKUP(C6937,ListaAPUs!$B:$E,4,FALSE)</f>
        <v>11.1</v>
      </c>
      <c r="C6937" s="2450" t="str">
        <f>+ListaAPUs!B283</f>
        <v>SISTEMA DE CONTROL AUTOMATICO</v>
      </c>
      <c r="D6937" s="2450"/>
      <c r="E6937" s="2450"/>
      <c r="F6937" s="1627" t="s">
        <v>867</v>
      </c>
      <c r="G6937" s="1526" t="str">
        <f>+ListaAPUs!C283</f>
        <v>glb</v>
      </c>
      <c r="H6937" s="1524"/>
    </row>
    <row r="6938" spans="1:8" x14ac:dyDescent="0.25">
      <c r="A6938" s="1528"/>
      <c r="B6938" s="1527"/>
      <c r="C6938" s="1527"/>
      <c r="D6938" s="529"/>
      <c r="E6938" s="1527"/>
      <c r="F6938" s="1528"/>
      <c r="G6938" s="1524"/>
      <c r="H6938" s="1524"/>
    </row>
    <row r="6939" spans="1:8" x14ac:dyDescent="0.25">
      <c r="A6939" s="1528"/>
      <c r="B6939" s="1527"/>
      <c r="C6939" s="1527"/>
      <c r="D6939" s="529"/>
      <c r="E6939" s="1527"/>
      <c r="F6939" s="1528"/>
      <c r="G6939" s="1529"/>
      <c r="H6939" s="1524"/>
    </row>
    <row r="6940" spans="1:8" ht="15.75" thickBot="1" x14ac:dyDescent="0.3">
      <c r="A6940" s="1528"/>
      <c r="B6940" s="1527"/>
      <c r="C6940" s="1527"/>
      <c r="D6940" s="529"/>
      <c r="E6940" s="1527"/>
      <c r="F6940" s="1528"/>
      <c r="G6940" s="1524"/>
      <c r="H6940" s="1524"/>
    </row>
    <row r="6941" spans="1:8" ht="15.75" thickBot="1" x14ac:dyDescent="0.3">
      <c r="A6941" s="1368"/>
      <c r="B6941" s="1369" t="s">
        <v>5403</v>
      </c>
      <c r="C6941" s="1363" t="s">
        <v>867</v>
      </c>
      <c r="D6941" s="1120" t="s">
        <v>6</v>
      </c>
      <c r="E6941" s="1363" t="s">
        <v>5404</v>
      </c>
      <c r="F6941" s="1363" t="s">
        <v>5405</v>
      </c>
      <c r="G6941" s="1370" t="s">
        <v>868</v>
      </c>
      <c r="H6941" s="1371"/>
    </row>
    <row r="6942" spans="1:8" x14ac:dyDescent="0.25">
      <c r="A6942" s="1528"/>
      <c r="B6942" s="1533" t="s">
        <v>5440</v>
      </c>
      <c r="C6942" s="1534" t="s">
        <v>5406</v>
      </c>
      <c r="D6942" s="211"/>
      <c r="E6942" s="1535">
        <f>+H6981</f>
        <v>1052148</v>
      </c>
      <c r="F6942" s="1551">
        <v>0.1</v>
      </c>
      <c r="G6942" s="1570">
        <f>+E6942*F6942</f>
        <v>105214.8</v>
      </c>
      <c r="H6942" s="1524"/>
    </row>
    <row r="6943" spans="1:8" x14ac:dyDescent="0.25">
      <c r="A6943" s="1528"/>
      <c r="B6943" s="1536"/>
      <c r="C6943" s="1537"/>
      <c r="D6943" s="212"/>
      <c r="E6943" s="1535"/>
      <c r="F6943" s="1567"/>
      <c r="G6943" s="1570"/>
      <c r="H6943" s="1524"/>
    </row>
    <row r="6944" spans="1:8" x14ac:dyDescent="0.25">
      <c r="A6944" s="1528"/>
      <c r="B6944" s="1536"/>
      <c r="C6944" s="1537"/>
      <c r="D6944" s="212"/>
      <c r="E6944" s="1535"/>
      <c r="F6944" s="1567"/>
      <c r="G6944" s="1570"/>
      <c r="H6944" s="1524"/>
    </row>
    <row r="6945" spans="1:8" x14ac:dyDescent="0.25">
      <c r="A6945" s="1528"/>
      <c r="B6945" s="1540"/>
      <c r="C6945" s="1537"/>
      <c r="D6945" s="212"/>
      <c r="E6945" s="1535"/>
      <c r="F6945" s="1567"/>
      <c r="G6945" s="1570"/>
      <c r="H6945" s="1524"/>
    </row>
    <row r="6946" spans="1:8" x14ac:dyDescent="0.25">
      <c r="A6946" s="1528"/>
      <c r="B6946" s="1540"/>
      <c r="C6946" s="1537"/>
      <c r="D6946" s="952"/>
      <c r="E6946" s="1538"/>
      <c r="F6946" s="1537"/>
      <c r="G6946" s="1541"/>
      <c r="H6946" s="1524"/>
    </row>
    <row r="6947" spans="1:8" ht="15.75" thickBot="1" x14ac:dyDescent="0.3">
      <c r="A6947" s="1528"/>
      <c r="B6947" s="1540"/>
      <c r="C6947" s="1537"/>
      <c r="D6947" s="952"/>
      <c r="E6947" s="1538"/>
      <c r="F6947" s="1537"/>
      <c r="G6947" s="1541"/>
      <c r="H6947" s="1524"/>
    </row>
    <row r="6948" spans="1:8" ht="15.75" thickBot="1" x14ac:dyDescent="0.3">
      <c r="A6948" s="1528"/>
      <c r="B6948" s="1542"/>
      <c r="C6948" s="1543"/>
      <c r="D6948" s="953"/>
      <c r="E6948" s="1544"/>
      <c r="F6948" s="1543"/>
      <c r="G6948" s="1545"/>
      <c r="H6948" s="1546">
        <f>+SUM(G6942:G6948)</f>
        <v>105214.8</v>
      </c>
    </row>
    <row r="6949" spans="1:8" ht="15.75" thickBot="1" x14ac:dyDescent="0.3">
      <c r="A6949" s="1528"/>
      <c r="B6949" s="1547"/>
      <c r="C6949" s="1548"/>
      <c r="D6949" s="954"/>
      <c r="E6949" s="1547"/>
      <c r="F6949" s="1548"/>
      <c r="G6949" s="1549"/>
      <c r="H6949" s="1550"/>
    </row>
    <row r="6950" spans="1:8" ht="15.75" thickBot="1" x14ac:dyDescent="0.3">
      <c r="A6950" s="1559"/>
      <c r="B6950" s="1369" t="s">
        <v>5408</v>
      </c>
      <c r="C6950" s="1363" t="s">
        <v>867</v>
      </c>
      <c r="D6950" s="1120" t="s">
        <v>6</v>
      </c>
      <c r="E6950" s="1363" t="s">
        <v>870</v>
      </c>
      <c r="F6950" s="1363" t="s">
        <v>5409</v>
      </c>
      <c r="G6950" s="1370" t="s">
        <v>868</v>
      </c>
      <c r="H6950" s="1371"/>
    </row>
    <row r="6951" spans="1:8" ht="25.5" x14ac:dyDescent="0.25">
      <c r="A6951" s="1527"/>
      <c r="B6951" s="1562" t="s">
        <v>9357</v>
      </c>
      <c r="C6951" s="989" t="str">
        <f>+VLOOKUP(B6951,Insumos!$A$2:$C$3400,2,FALSE)</f>
        <v>un</v>
      </c>
      <c r="D6951" s="211">
        <v>2</v>
      </c>
      <c r="E6951" s="975">
        <f>+VLOOKUP(B6951,Insumos!$A$2:$C$3400,3,FALSE)</f>
        <v>2479674.4</v>
      </c>
      <c r="F6951" s="1552"/>
      <c r="G6951" s="377">
        <f>+(D6951*E6951)</f>
        <v>4959348.8</v>
      </c>
      <c r="H6951" s="1524"/>
    </row>
    <row r="6952" spans="1:8" ht="25.5" x14ac:dyDescent="0.25">
      <c r="A6952" s="1527"/>
      <c r="B6952" s="1562" t="s">
        <v>9358</v>
      </c>
      <c r="C6952" s="989" t="str">
        <f>+VLOOKUP(B6952,Insumos!$A$2:$C$3400,2,FALSE)</f>
        <v>un</v>
      </c>
      <c r="D6952" s="212">
        <v>6</v>
      </c>
      <c r="E6952" s="975">
        <f>+VLOOKUP(B6952,Insumos!$A$2:$C$3400,3,FALSE)</f>
        <v>774490.08</v>
      </c>
      <c r="F6952" s="1552"/>
      <c r="G6952" s="377">
        <f t="shared" ref="G6952:G6958" si="96">+(D6952*E6952)</f>
        <v>4646940.4799999995</v>
      </c>
      <c r="H6952" s="1524"/>
    </row>
    <row r="6953" spans="1:8" ht="25.5" x14ac:dyDescent="0.25">
      <c r="A6953" s="1527"/>
      <c r="B6953" s="1562" t="s">
        <v>9359</v>
      </c>
      <c r="C6953" s="989" t="str">
        <f>+VLOOKUP(B6953,Insumos!$A$2:$C$3400,2,FALSE)</f>
        <v>un</v>
      </c>
      <c r="D6953" s="212">
        <v>4</v>
      </c>
      <c r="E6953" s="975">
        <f>+VLOOKUP(B6953,Insumos!$A$2:$C$3400,3,FALSE)</f>
        <v>1019382.5599999999</v>
      </c>
      <c r="F6953" s="1552"/>
      <c r="G6953" s="377">
        <f t="shared" si="96"/>
        <v>4077530.2399999998</v>
      </c>
      <c r="H6953" s="1524"/>
    </row>
    <row r="6954" spans="1:8" ht="25.5" x14ac:dyDescent="0.25">
      <c r="A6954" s="1527"/>
      <c r="B6954" s="1562" t="s">
        <v>9360</v>
      </c>
      <c r="C6954" s="989" t="str">
        <f>+VLOOKUP(B6954,Insumos!$A$2:$C$3400,2,FALSE)</f>
        <v>un</v>
      </c>
      <c r="D6954" s="212">
        <v>8</v>
      </c>
      <c r="E6954" s="975">
        <f>+VLOOKUP(B6954,Insumos!$A$2:$C$3400,3,FALSE)</f>
        <v>1403438.4</v>
      </c>
      <c r="F6954" s="1552"/>
      <c r="G6954" s="377">
        <f t="shared" si="96"/>
        <v>11227507.199999999</v>
      </c>
      <c r="H6954" s="1524"/>
    </row>
    <row r="6955" spans="1:8" ht="25.5" x14ac:dyDescent="0.25">
      <c r="A6955" s="1527"/>
      <c r="B6955" s="1562" t="s">
        <v>9361</v>
      </c>
      <c r="C6955" s="989" t="str">
        <f>+VLOOKUP(B6955,Insumos!$A$2:$C$3400,2,FALSE)</f>
        <v>un</v>
      </c>
      <c r="D6955" s="212">
        <v>8</v>
      </c>
      <c r="E6955" s="975">
        <f>+VLOOKUP(B6955,Insumos!$A$2:$C$3400,3,FALSE)</f>
        <v>1749966.4</v>
      </c>
      <c r="F6955" s="1537"/>
      <c r="G6955" s="377">
        <f t="shared" si="96"/>
        <v>13999731.199999999</v>
      </c>
      <c r="H6955" s="1524"/>
    </row>
    <row r="6956" spans="1:8" x14ac:dyDescent="0.25">
      <c r="A6956" s="1527"/>
      <c r="B6956" s="1562" t="s">
        <v>9362</v>
      </c>
      <c r="C6956" s="989" t="str">
        <f>+VLOOKUP(B6956,Insumos!$A$2:$C$3400,2,FALSE)</f>
        <v>un</v>
      </c>
      <c r="D6956" s="212">
        <v>2</v>
      </c>
      <c r="E6956" s="975">
        <f>+VLOOKUP(B6956,Insumos!$A$2:$C$3400,3,FALSE)</f>
        <v>2598960</v>
      </c>
      <c r="F6956" s="1537"/>
      <c r="G6956" s="377">
        <f t="shared" si="96"/>
        <v>5197920</v>
      </c>
      <c r="H6956" s="1524"/>
    </row>
    <row r="6957" spans="1:8" ht="28.5" customHeight="1" x14ac:dyDescent="0.25">
      <c r="A6957" s="1527"/>
      <c r="B6957" s="1562" t="s">
        <v>9363</v>
      </c>
      <c r="C6957" s="989" t="str">
        <f>+VLOOKUP(B6957,Insumos!$A$2:$C$3400,2,FALSE)</f>
        <v>un</v>
      </c>
      <c r="D6957" s="212">
        <v>2</v>
      </c>
      <c r="E6957" s="975">
        <f>+VLOOKUP(B6957,Insumos!$A$2:$C$3400,3,FALSE)</f>
        <v>1999200</v>
      </c>
      <c r="F6957" s="1537"/>
      <c r="G6957" s="377">
        <f t="shared" si="96"/>
        <v>3998400</v>
      </c>
      <c r="H6957" s="1524"/>
    </row>
    <row r="6958" spans="1:8" ht="25.5" x14ac:dyDescent="0.25">
      <c r="A6958" s="1527"/>
      <c r="B6958" s="1562" t="s">
        <v>9364</v>
      </c>
      <c r="C6958" s="989" t="str">
        <f>+VLOOKUP(B6958,Insumos!$A$2:$C$3400,2,FALSE)</f>
        <v>un</v>
      </c>
      <c r="D6958" s="212">
        <v>2</v>
      </c>
      <c r="E6958" s="975">
        <f>+VLOOKUP(B6958,Insumos!$A$2:$C$3400,3,FALSE)</f>
        <v>934761.65999999992</v>
      </c>
      <c r="F6958" s="1537"/>
      <c r="G6958" s="377">
        <f t="shared" si="96"/>
        <v>1869523.3199999998</v>
      </c>
      <c r="H6958" s="1524"/>
    </row>
    <row r="6959" spans="1:8" x14ac:dyDescent="0.25">
      <c r="A6959" s="1527"/>
      <c r="B6959" s="1540"/>
      <c r="C6959" s="1537"/>
      <c r="D6959" s="212"/>
      <c r="E6959" s="1535"/>
      <c r="F6959" s="1537"/>
      <c r="G6959" s="1572"/>
      <c r="H6959" s="1524"/>
    </row>
    <row r="6960" spans="1:8" x14ac:dyDescent="0.25">
      <c r="A6960" s="1527"/>
      <c r="B6960" s="1540"/>
      <c r="C6960" s="1537"/>
      <c r="D6960" s="212"/>
      <c r="E6960" s="1535"/>
      <c r="F6960" s="1537"/>
      <c r="G6960" s="1572"/>
      <c r="H6960" s="1524"/>
    </row>
    <row r="6961" spans="1:8" x14ac:dyDescent="0.25">
      <c r="A6961" s="1527"/>
      <c r="B6961" s="1540"/>
      <c r="C6961" s="1538"/>
      <c r="D6961" s="952"/>
      <c r="E6961" s="1538"/>
      <c r="F6961" s="1537"/>
      <c r="G6961" s="1541"/>
      <c r="H6961" s="1524"/>
    </row>
    <row r="6962" spans="1:8" ht="15.75" thickBot="1" x14ac:dyDescent="0.3">
      <c r="A6962" s="1527"/>
      <c r="B6962" s="1540"/>
      <c r="C6962" s="1538"/>
      <c r="D6962" s="952"/>
      <c r="E6962" s="1538"/>
      <c r="F6962" s="1537"/>
      <c r="G6962" s="1541"/>
      <c r="H6962" s="1524"/>
    </row>
    <row r="6963" spans="1:8" ht="15.75" thickBot="1" x14ac:dyDescent="0.3">
      <c r="A6963" s="1527"/>
      <c r="B6963" s="1542"/>
      <c r="C6963" s="1544"/>
      <c r="D6963" s="953"/>
      <c r="E6963" s="1544"/>
      <c r="F6963" s="1543"/>
      <c r="G6963" s="1545"/>
      <c r="H6963" s="1546">
        <f>+SUM(G6951:G6963)</f>
        <v>49976901.240000002</v>
      </c>
    </row>
    <row r="6964" spans="1:8" ht="15.75" thickBot="1" x14ac:dyDescent="0.3">
      <c r="A6964" s="1527"/>
      <c r="B6964" s="1547"/>
      <c r="C6964" s="1547"/>
      <c r="D6964" s="954"/>
      <c r="E6964" s="1547"/>
      <c r="F6964" s="1548"/>
      <c r="G6964" s="1549"/>
      <c r="H6964" s="1550"/>
    </row>
    <row r="6965" spans="1:8" ht="15.75" thickBot="1" x14ac:dyDescent="0.3">
      <c r="A6965" s="1559"/>
      <c r="B6965" s="1369" t="s">
        <v>5410</v>
      </c>
      <c r="C6965" s="1363" t="s">
        <v>867</v>
      </c>
      <c r="D6965" s="1120" t="s">
        <v>6</v>
      </c>
      <c r="E6965" s="1363" t="s">
        <v>870</v>
      </c>
      <c r="F6965" s="1363" t="s">
        <v>5411</v>
      </c>
      <c r="G6965" s="1370" t="s">
        <v>868</v>
      </c>
      <c r="H6965" s="1371"/>
    </row>
    <row r="6966" spans="1:8" x14ac:dyDescent="0.25">
      <c r="A6966" s="1527"/>
      <c r="B6966" s="1564"/>
      <c r="C6966" s="1534"/>
      <c r="D6966" s="211"/>
      <c r="E6966" s="1571"/>
      <c r="F6966" s="1551"/>
      <c r="G6966" s="1572"/>
      <c r="H6966" s="1524"/>
    </row>
    <row r="6967" spans="1:8" x14ac:dyDescent="0.25">
      <c r="A6967" s="1527"/>
      <c r="B6967" s="1562"/>
      <c r="C6967" s="1537"/>
      <c r="D6967" s="212"/>
      <c r="E6967" s="1571"/>
      <c r="F6967" s="1534"/>
      <c r="G6967" s="1572"/>
      <c r="H6967" s="1524"/>
    </row>
    <row r="6968" spans="1:8" x14ac:dyDescent="0.25">
      <c r="A6968" s="1527"/>
      <c r="B6968" s="1562"/>
      <c r="C6968" s="1537"/>
      <c r="D6968" s="212"/>
      <c r="E6968" s="1535"/>
      <c r="F6968" s="1537"/>
      <c r="G6968" s="1572"/>
      <c r="H6968" s="1524"/>
    </row>
    <row r="6969" spans="1:8" x14ac:dyDescent="0.25">
      <c r="A6969" s="1527"/>
      <c r="B6969" s="1540"/>
      <c r="C6969" s="1537"/>
      <c r="D6969" s="212"/>
      <c r="E6969" s="1535"/>
      <c r="F6969" s="1537"/>
      <c r="G6969" s="1572"/>
      <c r="H6969" s="1524"/>
    </row>
    <row r="6970" spans="1:8" x14ac:dyDescent="0.25">
      <c r="A6970" s="1527"/>
      <c r="B6970" s="1540"/>
      <c r="C6970" s="1537"/>
      <c r="D6970" s="212"/>
      <c r="E6970" s="1535"/>
      <c r="F6970" s="1537"/>
      <c r="G6970" s="1572"/>
      <c r="H6970" s="1524"/>
    </row>
    <row r="6971" spans="1:8" ht="15.75" thickBot="1" x14ac:dyDescent="0.3">
      <c r="A6971" s="1527"/>
      <c r="B6971" s="1540"/>
      <c r="C6971" s="1537"/>
      <c r="D6971" s="212"/>
      <c r="E6971" s="1535"/>
      <c r="F6971" s="1537"/>
      <c r="G6971" s="1572"/>
      <c r="H6971" s="1524"/>
    </row>
    <row r="6972" spans="1:8" ht="15.75" thickBot="1" x14ac:dyDescent="0.3">
      <c r="A6972" s="1527"/>
      <c r="B6972" s="1542"/>
      <c r="C6972" s="1544"/>
      <c r="D6972" s="953"/>
      <c r="E6972" s="1544"/>
      <c r="F6972" s="1543"/>
      <c r="G6972" s="1545"/>
      <c r="H6972" s="1546">
        <f>+SUM(G6966:G6972)</f>
        <v>0</v>
      </c>
    </row>
    <row r="6973" spans="1:8" ht="15.75" thickBot="1" x14ac:dyDescent="0.3">
      <c r="A6973" s="1527"/>
      <c r="B6973" s="1547"/>
      <c r="C6973" s="1547"/>
      <c r="D6973" s="954"/>
      <c r="E6973" s="1547"/>
      <c r="F6973" s="1553"/>
      <c r="G6973" s="1554"/>
      <c r="H6973" s="1550"/>
    </row>
    <row r="6974" spans="1:8" ht="15.75" thickBot="1" x14ac:dyDescent="0.3">
      <c r="A6974" s="1559"/>
      <c r="B6974" s="1369" t="s">
        <v>5412</v>
      </c>
      <c r="C6974" s="1363" t="s">
        <v>5420</v>
      </c>
      <c r="D6974" s="1120" t="s">
        <v>5421</v>
      </c>
      <c r="E6974" s="1363" t="s">
        <v>5413</v>
      </c>
      <c r="F6974" s="1363" t="s">
        <v>5405</v>
      </c>
      <c r="G6974" s="1370" t="s">
        <v>868</v>
      </c>
      <c r="H6974" s="1371"/>
    </row>
    <row r="6975" spans="1:8" x14ac:dyDescent="0.25">
      <c r="A6975" s="1527"/>
      <c r="B6975" s="731" t="s">
        <v>7958</v>
      </c>
      <c r="C6975" s="1569">
        <f>+VLOOKUP($B6975,'Mano de obra'!$A$5:$D$26,2,FALSE)</f>
        <v>300000</v>
      </c>
      <c r="D6975" s="1569">
        <f>+VLOOKUP($B6975,'Mano de obra'!$A$5:$D$26,3,FALSE)</f>
        <v>146370</v>
      </c>
      <c r="E6975" s="1569">
        <f>+VLOOKUP($B6975,'Mano de obra'!$A$5:$D$26,4,FALSE)*2</f>
        <v>892740</v>
      </c>
      <c r="F6975" s="1551">
        <v>1</v>
      </c>
      <c r="G6975" s="351">
        <f>+E6975/F6975</f>
        <v>892740</v>
      </c>
      <c r="H6975" s="1524"/>
    </row>
    <row r="6976" spans="1:8" x14ac:dyDescent="0.25">
      <c r="A6976" s="1527"/>
      <c r="B6976" s="1561" t="s">
        <v>5635</v>
      </c>
      <c r="C6976" s="1569">
        <f>+VLOOKUP($B6976,'Mano de obra'!$A$5:$D$26,2,FALSE)</f>
        <v>24591</v>
      </c>
      <c r="D6976" s="1569">
        <f>+VLOOKUP($B6976,'Mano de obra'!$A$5:$D$26,3,FALSE)</f>
        <v>15261</v>
      </c>
      <c r="E6976" s="1569">
        <f>+VLOOKUP($B6976,'Mano de obra'!$A$5:$D$26,4,FALSE)*4</f>
        <v>159408</v>
      </c>
      <c r="F6976" s="1563">
        <v>1</v>
      </c>
      <c r="G6976" s="351">
        <f>+E6976/F6976</f>
        <v>159408</v>
      </c>
      <c r="H6976" s="1524"/>
    </row>
    <row r="6977" spans="1:8" x14ac:dyDescent="0.25">
      <c r="A6977" s="1527"/>
      <c r="B6977" s="1561"/>
      <c r="C6977" s="1569"/>
      <c r="D6977" s="1569"/>
      <c r="E6977" s="1569"/>
      <c r="F6977" s="1563"/>
      <c r="G6977" s="351"/>
      <c r="H6977" s="1524"/>
    </row>
    <row r="6978" spans="1:8" x14ac:dyDescent="0.25">
      <c r="A6978" s="1527"/>
      <c r="B6978" s="1561"/>
      <c r="C6978" s="1569"/>
      <c r="D6978" s="1569"/>
      <c r="E6978" s="1569"/>
      <c r="F6978" s="1563"/>
      <c r="G6978" s="351"/>
      <c r="H6978" s="1524"/>
    </row>
    <row r="6979" spans="1:8" x14ac:dyDescent="0.25">
      <c r="A6979" s="1527"/>
      <c r="B6979" s="1540"/>
      <c r="C6979" s="1538"/>
      <c r="D6979" s="952"/>
      <c r="E6979" s="1538"/>
      <c r="F6979" s="1537"/>
      <c r="G6979" s="1541"/>
      <c r="H6979" s="1524"/>
    </row>
    <row r="6980" spans="1:8" ht="15.75" thickBot="1" x14ac:dyDescent="0.3">
      <c r="A6980" s="1527"/>
      <c r="B6980" s="1540"/>
      <c r="C6980" s="1538"/>
      <c r="D6980" s="952"/>
      <c r="E6980" s="1538"/>
      <c r="F6980" s="1537"/>
      <c r="G6980" s="1541"/>
      <c r="H6980" s="1524"/>
    </row>
    <row r="6981" spans="1:8" ht="15.75" thickBot="1" x14ac:dyDescent="0.3">
      <c r="A6981" s="1527"/>
      <c r="B6981" s="1555"/>
      <c r="C6981" s="1556"/>
      <c r="D6981" s="956"/>
      <c r="E6981" s="1556"/>
      <c r="F6981" s="1557"/>
      <c r="G6981" s="1558"/>
      <c r="H6981" s="1546">
        <f>+SUM(G6975:G6981)</f>
        <v>1052148</v>
      </c>
    </row>
    <row r="6982" spans="1:8" ht="15.75" thickBot="1" x14ac:dyDescent="0.3">
      <c r="A6982" s="1527"/>
      <c r="B6982" s="1527"/>
      <c r="C6982" s="1527"/>
      <c r="D6982" s="529"/>
      <c r="E6982" s="1527"/>
      <c r="F6982" s="1528"/>
      <c r="G6982" s="1524"/>
      <c r="H6982" s="1524"/>
    </row>
    <row r="6983" spans="1:8" ht="15.75" thickBot="1" x14ac:dyDescent="0.3">
      <c r="A6983" s="1523" t="s">
        <v>6744</v>
      </c>
      <c r="B6983" s="1527"/>
      <c r="C6983" s="1527"/>
      <c r="D6983" s="529"/>
      <c r="E6983" s="1559" t="s">
        <v>5415</v>
      </c>
      <c r="F6983" s="1528"/>
      <c r="G6983" s="1524"/>
      <c r="H6983" s="1546">
        <f>ROUND(+H6948+H6963+H6972+H6981,0)</f>
        <v>51134264</v>
      </c>
    </row>
    <row r="6984" spans="1:8" x14ac:dyDescent="0.25">
      <c r="A6984" s="1522"/>
      <c r="B6984" s="1522"/>
      <c r="C6984" s="1522"/>
      <c r="D6984" s="957"/>
      <c r="E6984" s="1522"/>
      <c r="F6984" s="1522"/>
      <c r="G6984" s="1522"/>
      <c r="H6984" s="1522"/>
    </row>
    <row r="6985" spans="1:8" x14ac:dyDescent="0.25">
      <c r="A6985" s="1522"/>
      <c r="B6985" s="1522"/>
      <c r="C6985" s="1522"/>
      <c r="D6985" s="957"/>
      <c r="E6985" s="1522"/>
      <c r="F6985" s="1522"/>
      <c r="G6985" s="1522"/>
      <c r="H6985" s="1522"/>
    </row>
    <row r="6986" spans="1:8" x14ac:dyDescent="0.25">
      <c r="A6986" s="1522"/>
      <c r="B6986" s="1522"/>
      <c r="C6986" s="1522"/>
      <c r="D6986" s="957"/>
      <c r="E6986" s="1522"/>
      <c r="F6986" s="1522"/>
      <c r="G6986" s="1522"/>
      <c r="H6986" s="1522"/>
    </row>
    <row r="6987" spans="1:8" x14ac:dyDescent="0.25">
      <c r="A6987" s="1627" t="s">
        <v>3</v>
      </c>
      <c r="B6987" s="1390">
        <f>+VLOOKUP(C6987,ListaAPUs!$B:$E,4,FALSE)</f>
        <v>11.2</v>
      </c>
      <c r="C6987" s="2450" t="str">
        <f>+ListaAPUs!B284</f>
        <v>SISTEMA DE CONTROL DE VALVULAS</v>
      </c>
      <c r="D6987" s="2450"/>
      <c r="E6987" s="2450"/>
      <c r="F6987" s="1627" t="s">
        <v>867</v>
      </c>
      <c r="G6987" s="1526" t="str">
        <f>+ListaAPUs!C284</f>
        <v>glb</v>
      </c>
      <c r="H6987" s="1524"/>
    </row>
    <row r="6988" spans="1:8" x14ac:dyDescent="0.25">
      <c r="A6988" s="1528"/>
      <c r="B6988" s="1527"/>
      <c r="C6988" s="1527"/>
      <c r="D6988" s="529"/>
      <c r="E6988" s="1527"/>
      <c r="F6988" s="1528"/>
      <c r="G6988" s="1524"/>
      <c r="H6988" s="1524"/>
    </row>
    <row r="6989" spans="1:8" x14ac:dyDescent="0.25">
      <c r="A6989" s="1528"/>
      <c r="B6989" s="1527"/>
      <c r="C6989" s="1527"/>
      <c r="D6989" s="529"/>
      <c r="E6989" s="1527"/>
      <c r="F6989" s="1528"/>
      <c r="G6989" s="1529"/>
      <c r="H6989" s="1524"/>
    </row>
    <row r="6990" spans="1:8" ht="15.75" thickBot="1" x14ac:dyDescent="0.3">
      <c r="A6990" s="1528"/>
      <c r="B6990" s="1527"/>
      <c r="C6990" s="1527"/>
      <c r="D6990" s="529"/>
      <c r="E6990" s="1527"/>
      <c r="F6990" s="1528"/>
      <c r="G6990" s="1524"/>
      <c r="H6990" s="1524"/>
    </row>
    <row r="6991" spans="1:8" ht="15.75" thickBot="1" x14ac:dyDescent="0.3">
      <c r="A6991" s="1368"/>
      <c r="B6991" s="1369" t="s">
        <v>5403</v>
      </c>
      <c r="C6991" s="1363" t="s">
        <v>867</v>
      </c>
      <c r="D6991" s="1120" t="s">
        <v>6</v>
      </c>
      <c r="E6991" s="1363" t="s">
        <v>5404</v>
      </c>
      <c r="F6991" s="1363" t="s">
        <v>5405</v>
      </c>
      <c r="G6991" s="1370" t="s">
        <v>868</v>
      </c>
      <c r="H6991" s="1371"/>
    </row>
    <row r="6992" spans="1:8" x14ac:dyDescent="0.25">
      <c r="A6992" s="1528"/>
      <c r="B6992" s="1533" t="s">
        <v>5440</v>
      </c>
      <c r="C6992" s="1534" t="s">
        <v>5406</v>
      </c>
      <c r="D6992" s="211"/>
      <c r="E6992" s="1535">
        <f>+H7031</f>
        <v>1052148</v>
      </c>
      <c r="F6992" s="1551">
        <v>0.1</v>
      </c>
      <c r="G6992" s="1570">
        <f>+E6992*F6992</f>
        <v>105214.8</v>
      </c>
      <c r="H6992" s="1524"/>
    </row>
    <row r="6993" spans="1:8" x14ac:dyDescent="0.25">
      <c r="A6993" s="1528"/>
      <c r="B6993" s="1536"/>
      <c r="C6993" s="1537"/>
      <c r="D6993" s="212"/>
      <c r="E6993" s="1535"/>
      <c r="F6993" s="1567"/>
      <c r="G6993" s="1570"/>
      <c r="H6993" s="1524"/>
    </row>
    <row r="6994" spans="1:8" x14ac:dyDescent="0.25">
      <c r="A6994" s="1528"/>
      <c r="B6994" s="1536"/>
      <c r="C6994" s="1537"/>
      <c r="D6994" s="212"/>
      <c r="E6994" s="1535"/>
      <c r="F6994" s="1567"/>
      <c r="G6994" s="1570"/>
      <c r="H6994" s="1524"/>
    </row>
    <row r="6995" spans="1:8" x14ac:dyDescent="0.25">
      <c r="A6995" s="1528"/>
      <c r="B6995" s="1540"/>
      <c r="C6995" s="1537"/>
      <c r="D6995" s="212"/>
      <c r="E6995" s="1535"/>
      <c r="F6995" s="1567"/>
      <c r="G6995" s="1570"/>
      <c r="H6995" s="1524"/>
    </row>
    <row r="6996" spans="1:8" x14ac:dyDescent="0.25">
      <c r="A6996" s="1528"/>
      <c r="B6996" s="1540"/>
      <c r="C6996" s="1537"/>
      <c r="D6996" s="952"/>
      <c r="E6996" s="1538"/>
      <c r="F6996" s="1537"/>
      <c r="G6996" s="1541"/>
      <c r="H6996" s="1524"/>
    </row>
    <row r="6997" spans="1:8" ht="15.75" thickBot="1" x14ac:dyDescent="0.3">
      <c r="A6997" s="1528"/>
      <c r="B6997" s="1540"/>
      <c r="C6997" s="1537"/>
      <c r="D6997" s="952"/>
      <c r="E6997" s="1538"/>
      <c r="F6997" s="1537"/>
      <c r="G6997" s="1541"/>
      <c r="H6997" s="1524"/>
    </row>
    <row r="6998" spans="1:8" ht="15.75" thickBot="1" x14ac:dyDescent="0.3">
      <c r="A6998" s="1528"/>
      <c r="B6998" s="1542"/>
      <c r="C6998" s="1543"/>
      <c r="D6998" s="953"/>
      <c r="E6998" s="1544"/>
      <c r="F6998" s="1543"/>
      <c r="G6998" s="1545"/>
      <c r="H6998" s="1546">
        <f>+SUM(G6992:G6998)</f>
        <v>105214.8</v>
      </c>
    </row>
    <row r="6999" spans="1:8" ht="15.75" thickBot="1" x14ac:dyDescent="0.3">
      <c r="A6999" s="1528"/>
      <c r="B6999" s="1547"/>
      <c r="C6999" s="1548"/>
      <c r="D6999" s="954"/>
      <c r="E6999" s="1547"/>
      <c r="F6999" s="1548"/>
      <c r="G6999" s="1549"/>
      <c r="H6999" s="1550"/>
    </row>
    <row r="7000" spans="1:8" ht="15.75" thickBot="1" x14ac:dyDescent="0.3">
      <c r="A7000" s="1559"/>
      <c r="B7000" s="1369" t="s">
        <v>5408</v>
      </c>
      <c r="C7000" s="1363" t="s">
        <v>867</v>
      </c>
      <c r="D7000" s="1120" t="s">
        <v>6</v>
      </c>
      <c r="E7000" s="1363" t="s">
        <v>870</v>
      </c>
      <c r="F7000" s="1363" t="s">
        <v>5409</v>
      </c>
      <c r="G7000" s="1370" t="s">
        <v>868</v>
      </c>
      <c r="H7000" s="1371"/>
    </row>
    <row r="7001" spans="1:8" ht="25.5" x14ac:dyDescent="0.25">
      <c r="A7001" s="1527"/>
      <c r="B7001" s="1562" t="s">
        <v>9367</v>
      </c>
      <c r="C7001" s="989" t="str">
        <f>+VLOOKUP(B7001,Insumos!$A$2:$C$3400,2,FALSE)</f>
        <v>un</v>
      </c>
      <c r="D7001" s="211">
        <v>2</v>
      </c>
      <c r="E7001" s="975">
        <f>+VLOOKUP(B7001,Insumos!$A$2:$C$3400,3,FALSE)</f>
        <v>8678670</v>
      </c>
      <c r="F7001" s="1552"/>
      <c r="G7001" s="377">
        <f>+(D7001*E7001)</f>
        <v>17357340</v>
      </c>
      <c r="H7001" s="1524"/>
    </row>
    <row r="7002" spans="1:8" ht="50.25" customHeight="1" x14ac:dyDescent="0.25">
      <c r="A7002" s="1527"/>
      <c r="B7002" s="1562" t="s">
        <v>9369</v>
      </c>
      <c r="C7002" s="989" t="str">
        <f>+VLOOKUP(B7002,Insumos!$A$2:$C$3400,2,FALSE)</f>
        <v>un</v>
      </c>
      <c r="D7002" s="212">
        <v>4</v>
      </c>
      <c r="E7002" s="975">
        <f>+VLOOKUP(B7002,Insumos!$A$2:$C$3400,3,FALSE)</f>
        <v>2975000</v>
      </c>
      <c r="F7002" s="1552"/>
      <c r="G7002" s="377">
        <f t="shared" ref="G7002:G7004" si="97">+(D7002*E7002)</f>
        <v>11900000</v>
      </c>
      <c r="H7002" s="1524"/>
    </row>
    <row r="7003" spans="1:8" ht="25.5" x14ac:dyDescent="0.25">
      <c r="A7003" s="1527"/>
      <c r="B7003" s="1562" t="s">
        <v>9368</v>
      </c>
      <c r="C7003" s="989" t="str">
        <f>+VLOOKUP(B7003,Insumos!$A$2:$C$3400,2,FALSE)</f>
        <v>un</v>
      </c>
      <c r="D7003" s="212">
        <v>2</v>
      </c>
      <c r="E7003" s="975">
        <f>+VLOOKUP(B7003,Insumos!$A$2:$C$3400,3,FALSE)</f>
        <v>61880000</v>
      </c>
      <c r="F7003" s="1552"/>
      <c r="G7003" s="377">
        <f t="shared" si="97"/>
        <v>123760000</v>
      </c>
      <c r="H7003" s="1524"/>
    </row>
    <row r="7004" spans="1:8" ht="25.5" x14ac:dyDescent="0.25">
      <c r="A7004" s="1527"/>
      <c r="B7004" s="1562" t="s">
        <v>9383</v>
      </c>
      <c r="C7004" s="989" t="s">
        <v>5424</v>
      </c>
      <c r="D7004" s="212">
        <v>2</v>
      </c>
      <c r="E7004" s="975">
        <f>+E7002</f>
        <v>2975000</v>
      </c>
      <c r="F7004" s="1552"/>
      <c r="G7004" s="377">
        <f t="shared" si="97"/>
        <v>5950000</v>
      </c>
      <c r="H7004" s="1524"/>
    </row>
    <row r="7005" spans="1:8" x14ac:dyDescent="0.25">
      <c r="A7005" s="1527"/>
      <c r="B7005" s="1562"/>
      <c r="C7005" s="989"/>
      <c r="D7005" s="212"/>
      <c r="E7005" s="975"/>
      <c r="F7005" s="1537"/>
      <c r="G7005" s="377"/>
      <c r="H7005" s="1524"/>
    </row>
    <row r="7006" spans="1:8" x14ac:dyDescent="0.25">
      <c r="A7006" s="1527"/>
      <c r="B7006" s="1562"/>
      <c r="C7006" s="989"/>
      <c r="D7006" s="212"/>
      <c r="E7006" s="975"/>
      <c r="F7006" s="1537"/>
      <c r="G7006" s="377"/>
      <c r="H7006" s="1524"/>
    </row>
    <row r="7007" spans="1:8" x14ac:dyDescent="0.25">
      <c r="A7007" s="1527"/>
      <c r="B7007" s="1562"/>
      <c r="C7007" s="989"/>
      <c r="D7007" s="212"/>
      <c r="E7007" s="975"/>
      <c r="F7007" s="1537"/>
      <c r="G7007" s="377"/>
      <c r="H7007" s="1524"/>
    </row>
    <row r="7008" spans="1:8" x14ac:dyDescent="0.25">
      <c r="A7008" s="1527"/>
      <c r="B7008" s="1562"/>
      <c r="C7008" s="989"/>
      <c r="D7008" s="212"/>
      <c r="E7008" s="975"/>
      <c r="F7008" s="1537"/>
      <c r="G7008" s="377"/>
      <c r="H7008" s="1524"/>
    </row>
    <row r="7009" spans="1:8" x14ac:dyDescent="0.25">
      <c r="A7009" s="1527"/>
      <c r="B7009" s="1540"/>
      <c r="C7009" s="1537"/>
      <c r="D7009" s="212"/>
      <c r="E7009" s="1535"/>
      <c r="F7009" s="1537"/>
      <c r="G7009" s="1572"/>
      <c r="H7009" s="1524"/>
    </row>
    <row r="7010" spans="1:8" x14ac:dyDescent="0.25">
      <c r="A7010" s="1527"/>
      <c r="B7010" s="1540"/>
      <c r="C7010" s="1537"/>
      <c r="D7010" s="212"/>
      <c r="E7010" s="1535"/>
      <c r="F7010" s="1537"/>
      <c r="G7010" s="1572"/>
      <c r="H7010" s="1524"/>
    </row>
    <row r="7011" spans="1:8" x14ac:dyDescent="0.25">
      <c r="A7011" s="1527"/>
      <c r="B7011" s="1540"/>
      <c r="C7011" s="1538"/>
      <c r="D7011" s="952"/>
      <c r="E7011" s="1538"/>
      <c r="F7011" s="1537"/>
      <c r="G7011" s="1541"/>
      <c r="H7011" s="1524"/>
    </row>
    <row r="7012" spans="1:8" ht="15.75" thickBot="1" x14ac:dyDescent="0.3">
      <c r="A7012" s="1527"/>
      <c r="B7012" s="1540"/>
      <c r="C7012" s="1538"/>
      <c r="D7012" s="952"/>
      <c r="E7012" s="1538"/>
      <c r="F7012" s="1537"/>
      <c r="G7012" s="1541"/>
      <c r="H7012" s="1524"/>
    </row>
    <row r="7013" spans="1:8" ht="15.75" thickBot="1" x14ac:dyDescent="0.3">
      <c r="A7013" s="1527"/>
      <c r="B7013" s="1542"/>
      <c r="C7013" s="1544"/>
      <c r="D7013" s="953"/>
      <c r="E7013" s="1544"/>
      <c r="F7013" s="1543"/>
      <c r="G7013" s="1545"/>
      <c r="H7013" s="1546">
        <f>+SUM(G7001:G7013)</f>
        <v>158967340</v>
      </c>
    </row>
    <row r="7014" spans="1:8" ht="15.75" thickBot="1" x14ac:dyDescent="0.3">
      <c r="A7014" s="1527"/>
      <c r="B7014" s="1547"/>
      <c r="C7014" s="1547"/>
      <c r="D7014" s="954"/>
      <c r="E7014" s="1547"/>
      <c r="F7014" s="1548"/>
      <c r="G7014" s="1549"/>
      <c r="H7014" s="1550"/>
    </row>
    <row r="7015" spans="1:8" ht="15.75" thickBot="1" x14ac:dyDescent="0.3">
      <c r="A7015" s="1559"/>
      <c r="B7015" s="1369" t="s">
        <v>5410</v>
      </c>
      <c r="C7015" s="1363" t="s">
        <v>867</v>
      </c>
      <c r="D7015" s="1120" t="s">
        <v>6</v>
      </c>
      <c r="E7015" s="1363" t="s">
        <v>870</v>
      </c>
      <c r="F7015" s="1363" t="s">
        <v>5411</v>
      </c>
      <c r="G7015" s="1370" t="s">
        <v>868</v>
      </c>
      <c r="H7015" s="1371"/>
    </row>
    <row r="7016" spans="1:8" x14ac:dyDescent="0.25">
      <c r="A7016" s="1527"/>
      <c r="B7016" s="1564"/>
      <c r="C7016" s="1534"/>
      <c r="D7016" s="211"/>
      <c r="E7016" s="1571"/>
      <c r="F7016" s="1551"/>
      <c r="G7016" s="1572"/>
      <c r="H7016" s="1524"/>
    </row>
    <row r="7017" spans="1:8" x14ac:dyDescent="0.25">
      <c r="A7017" s="1527"/>
      <c r="B7017" s="1562"/>
      <c r="C7017" s="1537"/>
      <c r="D7017" s="212"/>
      <c r="E7017" s="1571"/>
      <c r="F7017" s="1534"/>
      <c r="G7017" s="1572"/>
      <c r="H7017" s="1524"/>
    </row>
    <row r="7018" spans="1:8" x14ac:dyDescent="0.25">
      <c r="A7018" s="1527"/>
      <c r="B7018" s="1562"/>
      <c r="C7018" s="1537"/>
      <c r="D7018" s="212"/>
      <c r="E7018" s="1535"/>
      <c r="F7018" s="1537"/>
      <c r="G7018" s="1572"/>
      <c r="H7018" s="1524"/>
    </row>
    <row r="7019" spans="1:8" x14ac:dyDescent="0.25">
      <c r="A7019" s="1527"/>
      <c r="B7019" s="1540"/>
      <c r="C7019" s="1537"/>
      <c r="D7019" s="212"/>
      <c r="E7019" s="1535"/>
      <c r="F7019" s="1537"/>
      <c r="G7019" s="1572"/>
      <c r="H7019" s="1524"/>
    </row>
    <row r="7020" spans="1:8" x14ac:dyDescent="0.25">
      <c r="A7020" s="1527"/>
      <c r="B7020" s="1540"/>
      <c r="C7020" s="1537"/>
      <c r="D7020" s="212"/>
      <c r="E7020" s="1535"/>
      <c r="F7020" s="1537"/>
      <c r="G7020" s="1572"/>
      <c r="H7020" s="1524"/>
    </row>
    <row r="7021" spans="1:8" ht="15.75" thickBot="1" x14ac:dyDescent="0.3">
      <c r="A7021" s="1527"/>
      <c r="B7021" s="1540"/>
      <c r="C7021" s="1537"/>
      <c r="D7021" s="212"/>
      <c r="E7021" s="1535"/>
      <c r="F7021" s="1537"/>
      <c r="G7021" s="1572"/>
      <c r="H7021" s="1524"/>
    </row>
    <row r="7022" spans="1:8" ht="15.75" thickBot="1" x14ac:dyDescent="0.3">
      <c r="A7022" s="1527"/>
      <c r="B7022" s="1542"/>
      <c r="C7022" s="1544"/>
      <c r="D7022" s="953"/>
      <c r="E7022" s="1544"/>
      <c r="F7022" s="1543"/>
      <c r="G7022" s="1545"/>
      <c r="H7022" s="1546">
        <f>+SUM(G7016:G7022)</f>
        <v>0</v>
      </c>
    </row>
    <row r="7023" spans="1:8" ht="15.75" thickBot="1" x14ac:dyDescent="0.3">
      <c r="A7023" s="1527"/>
      <c r="B7023" s="1547"/>
      <c r="C7023" s="1547"/>
      <c r="D7023" s="954"/>
      <c r="E7023" s="1547"/>
      <c r="F7023" s="1553"/>
      <c r="G7023" s="1554"/>
      <c r="H7023" s="1550"/>
    </row>
    <row r="7024" spans="1:8" ht="15.75" thickBot="1" x14ac:dyDescent="0.3">
      <c r="A7024" s="1559"/>
      <c r="B7024" s="1369" t="s">
        <v>5412</v>
      </c>
      <c r="C7024" s="1363" t="s">
        <v>5420</v>
      </c>
      <c r="D7024" s="1120" t="s">
        <v>5421</v>
      </c>
      <c r="E7024" s="1363" t="s">
        <v>5413</v>
      </c>
      <c r="F7024" s="1363" t="s">
        <v>5405</v>
      </c>
      <c r="G7024" s="1370" t="s">
        <v>868</v>
      </c>
      <c r="H7024" s="1371"/>
    </row>
    <row r="7025" spans="1:8" x14ac:dyDescent="0.25">
      <c r="A7025" s="1527"/>
      <c r="B7025" s="731" t="s">
        <v>7958</v>
      </c>
      <c r="C7025" s="1569">
        <f>+VLOOKUP($B7025,'Mano de obra'!$A$5:$D$26,2,FALSE)</f>
        <v>300000</v>
      </c>
      <c r="D7025" s="1569">
        <f>+VLOOKUP($B7025,'Mano de obra'!$A$5:$D$26,3,FALSE)</f>
        <v>146370</v>
      </c>
      <c r="E7025" s="1569">
        <f>+VLOOKUP($B7025,'Mano de obra'!$A$5:$D$26,4,FALSE)*2</f>
        <v>892740</v>
      </c>
      <c r="F7025" s="1551">
        <v>1</v>
      </c>
      <c r="G7025" s="351">
        <f>+E7025/F7025</f>
        <v>892740</v>
      </c>
      <c r="H7025" s="1524"/>
    </row>
    <row r="7026" spans="1:8" x14ac:dyDescent="0.25">
      <c r="A7026" s="1527"/>
      <c r="B7026" s="1561" t="s">
        <v>5635</v>
      </c>
      <c r="C7026" s="1569">
        <f>+VLOOKUP($B7026,'Mano de obra'!$A$5:$D$26,2,FALSE)</f>
        <v>24591</v>
      </c>
      <c r="D7026" s="1569">
        <f>+VLOOKUP($B7026,'Mano de obra'!$A$5:$D$26,3,FALSE)</f>
        <v>15261</v>
      </c>
      <c r="E7026" s="1569">
        <f>+VLOOKUP($B7026,'Mano de obra'!$A$5:$D$26,4,FALSE)*4</f>
        <v>159408</v>
      </c>
      <c r="F7026" s="1563">
        <v>1</v>
      </c>
      <c r="G7026" s="351">
        <f>+E7026/F7026</f>
        <v>159408</v>
      </c>
      <c r="H7026" s="1524"/>
    </row>
    <row r="7027" spans="1:8" x14ac:dyDescent="0.25">
      <c r="A7027" s="1527"/>
      <c r="B7027" s="1561"/>
      <c r="C7027" s="1569"/>
      <c r="D7027" s="1569"/>
      <c r="E7027" s="1569"/>
      <c r="F7027" s="1563"/>
      <c r="G7027" s="351"/>
      <c r="H7027" s="1524"/>
    </row>
    <row r="7028" spans="1:8" x14ac:dyDescent="0.25">
      <c r="A7028" s="1527"/>
      <c r="B7028" s="1561"/>
      <c r="C7028" s="1569"/>
      <c r="D7028" s="1569"/>
      <c r="E7028" s="1569"/>
      <c r="F7028" s="1563"/>
      <c r="G7028" s="351"/>
      <c r="H7028" s="1524"/>
    </row>
    <row r="7029" spans="1:8" x14ac:dyDescent="0.25">
      <c r="A7029" s="1527"/>
      <c r="B7029" s="1540"/>
      <c r="C7029" s="1538"/>
      <c r="D7029" s="952"/>
      <c r="E7029" s="1538"/>
      <c r="F7029" s="1537"/>
      <c r="G7029" s="1541"/>
      <c r="H7029" s="1524"/>
    </row>
    <row r="7030" spans="1:8" ht="15.75" thickBot="1" x14ac:dyDescent="0.3">
      <c r="A7030" s="1527"/>
      <c r="B7030" s="1540"/>
      <c r="C7030" s="1538"/>
      <c r="D7030" s="952"/>
      <c r="E7030" s="1538"/>
      <c r="F7030" s="1537"/>
      <c r="G7030" s="1541"/>
      <c r="H7030" s="1524"/>
    </row>
    <row r="7031" spans="1:8" ht="15.75" thickBot="1" x14ac:dyDescent="0.3">
      <c r="A7031" s="1527"/>
      <c r="B7031" s="1555"/>
      <c r="C7031" s="1556"/>
      <c r="D7031" s="956"/>
      <c r="E7031" s="1556"/>
      <c r="F7031" s="1557"/>
      <c r="G7031" s="1558"/>
      <c r="H7031" s="1546">
        <f>+SUM(G7025:G7031)</f>
        <v>1052148</v>
      </c>
    </row>
    <row r="7032" spans="1:8" ht="15.75" thickBot="1" x14ac:dyDescent="0.3">
      <c r="A7032" s="1527"/>
      <c r="B7032" s="1527"/>
      <c r="C7032" s="1527"/>
      <c r="D7032" s="529"/>
      <c r="E7032" s="1527"/>
      <c r="F7032" s="1528"/>
      <c r="G7032" s="1524"/>
      <c r="H7032" s="1524"/>
    </row>
    <row r="7033" spans="1:8" ht="15.75" thickBot="1" x14ac:dyDescent="0.3">
      <c r="A7033" s="1523" t="s">
        <v>6744</v>
      </c>
      <c r="B7033" s="1527"/>
      <c r="C7033" s="1527"/>
      <c r="D7033" s="529"/>
      <c r="E7033" s="1559" t="s">
        <v>5415</v>
      </c>
      <c r="F7033" s="1528"/>
      <c r="G7033" s="1524"/>
      <c r="H7033" s="1546">
        <f>ROUND(+H6998+H7013+H7022+H7031,0)</f>
        <v>160124703</v>
      </c>
    </row>
    <row r="7034" spans="1:8" x14ac:dyDescent="0.25">
      <c r="A7034" s="1522"/>
      <c r="B7034" s="1522"/>
      <c r="C7034" s="1522"/>
      <c r="D7034" s="957"/>
      <c r="E7034" s="1522"/>
      <c r="F7034" s="1522"/>
      <c r="G7034" s="1522"/>
      <c r="H7034" s="1522"/>
    </row>
    <row r="7035" spans="1:8" x14ac:dyDescent="0.25">
      <c r="A7035" s="1522"/>
      <c r="B7035" s="1522"/>
      <c r="C7035" s="1522"/>
      <c r="D7035" s="957"/>
      <c r="E7035" s="1522"/>
      <c r="F7035" s="1522"/>
      <c r="G7035" s="1522"/>
      <c r="H7035" s="1522"/>
    </row>
    <row r="7036" spans="1:8" x14ac:dyDescent="0.25">
      <c r="A7036" s="1522"/>
      <c r="B7036" s="1522"/>
      <c r="C7036" s="1522"/>
      <c r="D7036" s="957"/>
      <c r="E7036" s="1522"/>
      <c r="F7036" s="1522"/>
      <c r="G7036" s="1522"/>
      <c r="H7036" s="1522"/>
    </row>
    <row r="7037" spans="1:8" x14ac:dyDescent="0.25">
      <c r="A7037" s="1627" t="s">
        <v>3</v>
      </c>
      <c r="B7037" s="1390">
        <f>+VLOOKUP(C7037,ListaAPUs!$B:$E,4,FALSE)</f>
        <v>11.3</v>
      </c>
      <c r="C7037" s="2450" t="str">
        <f>+ListaAPUs!B285</f>
        <v>TABLERO DE CONTROL Y ACCESORIOS</v>
      </c>
      <c r="D7037" s="2450"/>
      <c r="E7037" s="2450"/>
      <c r="F7037" s="1627" t="s">
        <v>867</v>
      </c>
      <c r="G7037" s="1526" t="str">
        <f>+ListaAPUs!C285</f>
        <v>glb</v>
      </c>
      <c r="H7037" s="1524"/>
    </row>
    <row r="7038" spans="1:8" x14ac:dyDescent="0.25">
      <c r="A7038" s="1528"/>
      <c r="B7038" s="1527"/>
      <c r="C7038" s="1527"/>
      <c r="D7038" s="529"/>
      <c r="E7038" s="1527"/>
      <c r="F7038" s="1528"/>
      <c r="G7038" s="1524"/>
      <c r="H7038" s="1524"/>
    </row>
    <row r="7039" spans="1:8" x14ac:dyDescent="0.25">
      <c r="A7039" s="1528"/>
      <c r="B7039" s="1527"/>
      <c r="C7039" s="1527"/>
      <c r="D7039" s="529"/>
      <c r="E7039" s="1527"/>
      <c r="F7039" s="1528"/>
      <c r="G7039" s="1529"/>
      <c r="H7039" s="1524"/>
    </row>
    <row r="7040" spans="1:8" ht="15.75" thickBot="1" x14ac:dyDescent="0.3">
      <c r="A7040" s="1528"/>
      <c r="B7040" s="1527"/>
      <c r="C7040" s="1527"/>
      <c r="D7040" s="529"/>
      <c r="E7040" s="1527"/>
      <c r="F7040" s="1528"/>
      <c r="G7040" s="1524"/>
      <c r="H7040" s="1524"/>
    </row>
    <row r="7041" spans="1:8" ht="15.75" thickBot="1" x14ac:dyDescent="0.3">
      <c r="A7041" s="1368"/>
      <c r="B7041" s="1369" t="s">
        <v>5403</v>
      </c>
      <c r="C7041" s="1363" t="s">
        <v>867</v>
      </c>
      <c r="D7041" s="1120" t="s">
        <v>6</v>
      </c>
      <c r="E7041" s="1363" t="s">
        <v>5404</v>
      </c>
      <c r="F7041" s="1363" t="s">
        <v>5405</v>
      </c>
      <c r="G7041" s="1370" t="s">
        <v>868</v>
      </c>
      <c r="H7041" s="1371"/>
    </row>
    <row r="7042" spans="1:8" x14ac:dyDescent="0.25">
      <c r="A7042" s="1528"/>
      <c r="B7042" s="1533" t="s">
        <v>5440</v>
      </c>
      <c r="C7042" s="1534" t="s">
        <v>5406</v>
      </c>
      <c r="D7042" s="211"/>
      <c r="E7042" s="1535">
        <f>+H7081</f>
        <v>1052148</v>
      </c>
      <c r="F7042" s="1551">
        <v>0.1</v>
      </c>
      <c r="G7042" s="1570">
        <f>+E7042*F7042</f>
        <v>105214.8</v>
      </c>
      <c r="H7042" s="1524"/>
    </row>
    <row r="7043" spans="1:8" x14ac:dyDescent="0.25">
      <c r="A7043" s="1528"/>
      <c r="B7043" s="1536"/>
      <c r="C7043" s="1537"/>
      <c r="D7043" s="212"/>
      <c r="E7043" s="1535"/>
      <c r="F7043" s="1567"/>
      <c r="G7043" s="1570"/>
      <c r="H7043" s="1524"/>
    </row>
    <row r="7044" spans="1:8" x14ac:dyDescent="0.25">
      <c r="A7044" s="1528"/>
      <c r="B7044" s="1536"/>
      <c r="C7044" s="1537"/>
      <c r="D7044" s="212"/>
      <c r="E7044" s="1535"/>
      <c r="F7044" s="1567"/>
      <c r="G7044" s="1570"/>
      <c r="H7044" s="1524"/>
    </row>
    <row r="7045" spans="1:8" x14ac:dyDescent="0.25">
      <c r="A7045" s="1528"/>
      <c r="B7045" s="1540"/>
      <c r="C7045" s="1537"/>
      <c r="D7045" s="212"/>
      <c r="E7045" s="1535"/>
      <c r="F7045" s="1567"/>
      <c r="G7045" s="1570"/>
      <c r="H7045" s="1524"/>
    </row>
    <row r="7046" spans="1:8" x14ac:dyDescent="0.25">
      <c r="A7046" s="1528"/>
      <c r="B7046" s="1540"/>
      <c r="C7046" s="1537"/>
      <c r="D7046" s="952"/>
      <c r="E7046" s="1538"/>
      <c r="F7046" s="1537"/>
      <c r="G7046" s="1541"/>
      <c r="H7046" s="1524"/>
    </row>
    <row r="7047" spans="1:8" ht="15.75" thickBot="1" x14ac:dyDescent="0.3">
      <c r="A7047" s="1528"/>
      <c r="B7047" s="1540"/>
      <c r="C7047" s="1537"/>
      <c r="D7047" s="952"/>
      <c r="E7047" s="1538"/>
      <c r="F7047" s="1537"/>
      <c r="G7047" s="1541"/>
      <c r="H7047" s="1524"/>
    </row>
    <row r="7048" spans="1:8" ht="15.75" thickBot="1" x14ac:dyDescent="0.3">
      <c r="A7048" s="1528"/>
      <c r="B7048" s="1542"/>
      <c r="C7048" s="1543"/>
      <c r="D7048" s="953"/>
      <c r="E7048" s="1544"/>
      <c r="F7048" s="1543"/>
      <c r="G7048" s="1545"/>
      <c r="H7048" s="1546">
        <f>+SUM(G7042:G7048)</f>
        <v>105214.8</v>
      </c>
    </row>
    <row r="7049" spans="1:8" ht="15.75" thickBot="1" x14ac:dyDescent="0.3">
      <c r="A7049" s="1528"/>
      <c r="B7049" s="1547"/>
      <c r="C7049" s="1548"/>
      <c r="D7049" s="954"/>
      <c r="E7049" s="1547"/>
      <c r="F7049" s="1548"/>
      <c r="G7049" s="1549"/>
      <c r="H7049" s="1550"/>
    </row>
    <row r="7050" spans="1:8" ht="15.75" thickBot="1" x14ac:dyDescent="0.3">
      <c r="A7050" s="1559"/>
      <c r="B7050" s="1369" t="s">
        <v>5408</v>
      </c>
      <c r="C7050" s="1363" t="s">
        <v>867</v>
      </c>
      <c r="D7050" s="1120" t="s">
        <v>6</v>
      </c>
      <c r="E7050" s="1363" t="s">
        <v>870</v>
      </c>
      <c r="F7050" s="1363" t="s">
        <v>5409</v>
      </c>
      <c r="G7050" s="1370" t="s">
        <v>868</v>
      </c>
      <c r="H7050" s="1371"/>
    </row>
    <row r="7051" spans="1:8" ht="89.25" x14ac:dyDescent="0.25">
      <c r="A7051" s="1527"/>
      <c r="B7051" s="1562" t="s">
        <v>9373</v>
      </c>
      <c r="C7051" s="989" t="str">
        <f>+VLOOKUP(B7051,Insumos!$A$2:$C$3400,2,FALSE)</f>
        <v>gl</v>
      </c>
      <c r="D7051" s="211">
        <v>2</v>
      </c>
      <c r="E7051" s="975">
        <f>+VLOOKUP(B7051,Insumos!$A$2:$C$3400,3,FALSE)</f>
        <v>8930950</v>
      </c>
      <c r="F7051" s="1552"/>
      <c r="G7051" s="377">
        <f>+(D7051*E7051)</f>
        <v>17861900</v>
      </c>
      <c r="H7051" s="1524"/>
    </row>
    <row r="7052" spans="1:8" ht="25.5" x14ac:dyDescent="0.25">
      <c r="A7052" s="1527"/>
      <c r="B7052" s="1562" t="s">
        <v>9372</v>
      </c>
      <c r="C7052" s="989" t="str">
        <f>+VLOOKUP(B7052,Insumos!$A$2:$C$3400,2,FALSE)</f>
        <v>gl</v>
      </c>
      <c r="D7052" s="212">
        <v>1</v>
      </c>
      <c r="E7052" s="975">
        <f>+VLOOKUP(B7052,Insumos!$A$2:$C$3400,3,FALSE)</f>
        <v>5000000</v>
      </c>
      <c r="F7052" s="1552"/>
      <c r="G7052" s="377">
        <f t="shared" ref="G7052" si="98">+(D7052*E7052)</f>
        <v>5000000</v>
      </c>
      <c r="H7052" s="1524"/>
    </row>
    <row r="7053" spans="1:8" x14ac:dyDescent="0.25">
      <c r="A7053" s="1527"/>
      <c r="B7053" s="1562"/>
      <c r="C7053" s="989"/>
      <c r="D7053" s="212"/>
      <c r="E7053" s="975"/>
      <c r="F7053" s="1552"/>
      <c r="G7053" s="377"/>
      <c r="H7053" s="1524"/>
    </row>
    <row r="7054" spans="1:8" x14ac:dyDescent="0.25">
      <c r="A7054" s="1527"/>
      <c r="B7054" s="1562"/>
      <c r="C7054" s="989"/>
      <c r="D7054" s="212"/>
      <c r="E7054" s="975"/>
      <c r="F7054" s="1552"/>
      <c r="G7054" s="377"/>
      <c r="H7054" s="1524"/>
    </row>
    <row r="7055" spans="1:8" x14ac:dyDescent="0.25">
      <c r="A7055" s="1527"/>
      <c r="B7055" s="1562"/>
      <c r="C7055" s="989"/>
      <c r="D7055" s="212"/>
      <c r="E7055" s="975"/>
      <c r="F7055" s="1537"/>
      <c r="G7055" s="377"/>
      <c r="H7055" s="1524"/>
    </row>
    <row r="7056" spans="1:8" x14ac:dyDescent="0.25">
      <c r="A7056" s="1527"/>
      <c r="B7056" s="1562"/>
      <c r="C7056" s="989"/>
      <c r="D7056" s="212"/>
      <c r="E7056" s="975"/>
      <c r="F7056" s="1537"/>
      <c r="G7056" s="377"/>
      <c r="H7056" s="1524"/>
    </row>
    <row r="7057" spans="1:8" x14ac:dyDescent="0.25">
      <c r="A7057" s="1527"/>
      <c r="B7057" s="1562"/>
      <c r="C7057" s="989"/>
      <c r="D7057" s="212"/>
      <c r="E7057" s="975"/>
      <c r="F7057" s="1537"/>
      <c r="G7057" s="377"/>
      <c r="H7057" s="1524"/>
    </row>
    <row r="7058" spans="1:8" x14ac:dyDescent="0.25">
      <c r="A7058" s="1527"/>
      <c r="B7058" s="1562"/>
      <c r="C7058" s="989"/>
      <c r="D7058" s="212"/>
      <c r="E7058" s="975"/>
      <c r="F7058" s="1537"/>
      <c r="G7058" s="377"/>
      <c r="H7058" s="1524"/>
    </row>
    <row r="7059" spans="1:8" x14ac:dyDescent="0.25">
      <c r="A7059" s="1527"/>
      <c r="B7059" s="1540"/>
      <c r="C7059" s="1537"/>
      <c r="D7059" s="212"/>
      <c r="E7059" s="1535"/>
      <c r="F7059" s="1537"/>
      <c r="G7059" s="1572"/>
      <c r="H7059" s="1524"/>
    </row>
    <row r="7060" spans="1:8" x14ac:dyDescent="0.25">
      <c r="A7060" s="1527"/>
      <c r="B7060" s="1540"/>
      <c r="C7060" s="1537"/>
      <c r="D7060" s="212"/>
      <c r="E7060" s="1535"/>
      <c r="F7060" s="1537"/>
      <c r="G7060" s="1572"/>
      <c r="H7060" s="1524"/>
    </row>
    <row r="7061" spans="1:8" x14ac:dyDescent="0.25">
      <c r="A7061" s="1527"/>
      <c r="B7061" s="1540"/>
      <c r="C7061" s="1538"/>
      <c r="D7061" s="952"/>
      <c r="E7061" s="1538"/>
      <c r="F7061" s="1537"/>
      <c r="G7061" s="1541"/>
      <c r="H7061" s="1524"/>
    </row>
    <row r="7062" spans="1:8" ht="15.75" thickBot="1" x14ac:dyDescent="0.3">
      <c r="A7062" s="1527"/>
      <c r="B7062" s="1540"/>
      <c r="C7062" s="1538"/>
      <c r="D7062" s="952"/>
      <c r="E7062" s="1538"/>
      <c r="F7062" s="1537"/>
      <c r="G7062" s="1541"/>
      <c r="H7062" s="1524"/>
    </row>
    <row r="7063" spans="1:8" ht="15.75" thickBot="1" x14ac:dyDescent="0.3">
      <c r="A7063" s="1527"/>
      <c r="B7063" s="1542"/>
      <c r="C7063" s="1544"/>
      <c r="D7063" s="953"/>
      <c r="E7063" s="1544"/>
      <c r="F7063" s="1543"/>
      <c r="G7063" s="1545"/>
      <c r="H7063" s="1546">
        <f>+SUM(G7051:G7063)</f>
        <v>22861900</v>
      </c>
    </row>
    <row r="7064" spans="1:8" ht="15.75" thickBot="1" x14ac:dyDescent="0.3">
      <c r="A7064" s="1527"/>
      <c r="B7064" s="1547"/>
      <c r="C7064" s="1547"/>
      <c r="D7064" s="954"/>
      <c r="E7064" s="1547"/>
      <c r="F7064" s="1548"/>
      <c r="G7064" s="1549"/>
      <c r="H7064" s="1550"/>
    </row>
    <row r="7065" spans="1:8" ht="15.75" thickBot="1" x14ac:dyDescent="0.3">
      <c r="A7065" s="1559"/>
      <c r="B7065" s="1369" t="s">
        <v>5410</v>
      </c>
      <c r="C7065" s="1363" t="s">
        <v>867</v>
      </c>
      <c r="D7065" s="1120" t="s">
        <v>6</v>
      </c>
      <c r="E7065" s="1363" t="s">
        <v>870</v>
      </c>
      <c r="F7065" s="1363" t="s">
        <v>5411</v>
      </c>
      <c r="G7065" s="1370" t="s">
        <v>868</v>
      </c>
      <c r="H7065" s="1371"/>
    </row>
    <row r="7066" spans="1:8" x14ac:dyDescent="0.25">
      <c r="A7066" s="1527"/>
      <c r="B7066" s="1564"/>
      <c r="C7066" s="1534"/>
      <c r="D7066" s="211"/>
      <c r="E7066" s="1571"/>
      <c r="F7066" s="1551"/>
      <c r="G7066" s="1572"/>
      <c r="H7066" s="1524"/>
    </row>
    <row r="7067" spans="1:8" x14ac:dyDescent="0.25">
      <c r="A7067" s="1527"/>
      <c r="B7067" s="1562"/>
      <c r="C7067" s="1537"/>
      <c r="D7067" s="212"/>
      <c r="E7067" s="1571"/>
      <c r="F7067" s="1534"/>
      <c r="G7067" s="1572"/>
      <c r="H7067" s="1524"/>
    </row>
    <row r="7068" spans="1:8" x14ac:dyDescent="0.25">
      <c r="A7068" s="1527"/>
      <c r="B7068" s="1562"/>
      <c r="C7068" s="1537"/>
      <c r="D7068" s="212"/>
      <c r="E7068" s="1535"/>
      <c r="F7068" s="1537"/>
      <c r="G7068" s="1572"/>
      <c r="H7068" s="1524"/>
    </row>
    <row r="7069" spans="1:8" x14ac:dyDescent="0.25">
      <c r="A7069" s="1527"/>
      <c r="B7069" s="1540"/>
      <c r="C7069" s="1537"/>
      <c r="D7069" s="212"/>
      <c r="E7069" s="1535"/>
      <c r="F7069" s="1537"/>
      <c r="G7069" s="1572"/>
      <c r="H7069" s="1524"/>
    </row>
    <row r="7070" spans="1:8" x14ac:dyDescent="0.25">
      <c r="A7070" s="1527"/>
      <c r="B7070" s="1540"/>
      <c r="C7070" s="1537"/>
      <c r="D7070" s="212"/>
      <c r="E7070" s="1535"/>
      <c r="F7070" s="1537"/>
      <c r="G7070" s="1572"/>
      <c r="H7070" s="1524"/>
    </row>
    <row r="7071" spans="1:8" ht="15.75" thickBot="1" x14ac:dyDescent="0.3">
      <c r="A7071" s="1527"/>
      <c r="B7071" s="1540"/>
      <c r="C7071" s="1537"/>
      <c r="D7071" s="212"/>
      <c r="E7071" s="1535"/>
      <c r="F7071" s="1537"/>
      <c r="G7071" s="1572"/>
      <c r="H7071" s="1524"/>
    </row>
    <row r="7072" spans="1:8" ht="15.75" thickBot="1" x14ac:dyDescent="0.3">
      <c r="A7072" s="1527"/>
      <c r="B7072" s="1542"/>
      <c r="C7072" s="1544"/>
      <c r="D7072" s="953"/>
      <c r="E7072" s="1544"/>
      <c r="F7072" s="1543"/>
      <c r="G7072" s="1545"/>
      <c r="H7072" s="1546">
        <f>+SUM(G7066:G7072)</f>
        <v>0</v>
      </c>
    </row>
    <row r="7073" spans="1:8" ht="15.75" thickBot="1" x14ac:dyDescent="0.3">
      <c r="A7073" s="1527"/>
      <c r="B7073" s="1547"/>
      <c r="C7073" s="1547"/>
      <c r="D7073" s="954"/>
      <c r="E7073" s="1547"/>
      <c r="F7073" s="1553"/>
      <c r="G7073" s="1554"/>
      <c r="H7073" s="1550"/>
    </row>
    <row r="7074" spans="1:8" ht="15.75" thickBot="1" x14ac:dyDescent="0.3">
      <c r="A7074" s="1559"/>
      <c r="B7074" s="1369" t="s">
        <v>5412</v>
      </c>
      <c r="C7074" s="1363" t="s">
        <v>5420</v>
      </c>
      <c r="D7074" s="1120" t="s">
        <v>5421</v>
      </c>
      <c r="E7074" s="1363" t="s">
        <v>5413</v>
      </c>
      <c r="F7074" s="1363" t="s">
        <v>5405</v>
      </c>
      <c r="G7074" s="1370" t="s">
        <v>868</v>
      </c>
      <c r="H7074" s="1371"/>
    </row>
    <row r="7075" spans="1:8" x14ac:dyDescent="0.25">
      <c r="A7075" s="1527"/>
      <c r="B7075" s="731" t="s">
        <v>7958</v>
      </c>
      <c r="C7075" s="1569">
        <f>+VLOOKUP($B7075,'Mano de obra'!$A$5:$D$26,2,FALSE)</f>
        <v>300000</v>
      </c>
      <c r="D7075" s="1569">
        <f>+VLOOKUP($B7075,'Mano de obra'!$A$5:$D$26,3,FALSE)</f>
        <v>146370</v>
      </c>
      <c r="E7075" s="1569">
        <f>+VLOOKUP($B7075,'Mano de obra'!$A$5:$D$26,4,FALSE)*2</f>
        <v>892740</v>
      </c>
      <c r="F7075" s="1551">
        <v>1</v>
      </c>
      <c r="G7075" s="351">
        <f>+E7075/F7075</f>
        <v>892740</v>
      </c>
      <c r="H7075" s="1524"/>
    </row>
    <row r="7076" spans="1:8" x14ac:dyDescent="0.25">
      <c r="A7076" s="1527"/>
      <c r="B7076" s="1561" t="s">
        <v>5635</v>
      </c>
      <c r="C7076" s="1569">
        <f>+VLOOKUP($B7076,'Mano de obra'!$A$5:$D$26,2,FALSE)</f>
        <v>24591</v>
      </c>
      <c r="D7076" s="1569">
        <f>+VLOOKUP($B7076,'Mano de obra'!$A$5:$D$26,3,FALSE)</f>
        <v>15261</v>
      </c>
      <c r="E7076" s="1569">
        <f>+VLOOKUP($B7076,'Mano de obra'!$A$5:$D$26,4,FALSE)*4</f>
        <v>159408</v>
      </c>
      <c r="F7076" s="1563">
        <v>1</v>
      </c>
      <c r="G7076" s="351">
        <f>+E7076/F7076</f>
        <v>159408</v>
      </c>
      <c r="H7076" s="1524"/>
    </row>
    <row r="7077" spans="1:8" x14ac:dyDescent="0.25">
      <c r="A7077" s="1527"/>
      <c r="B7077" s="1561"/>
      <c r="C7077" s="1569"/>
      <c r="D7077" s="1569"/>
      <c r="E7077" s="1569"/>
      <c r="F7077" s="1563"/>
      <c r="G7077" s="351"/>
      <c r="H7077" s="1524"/>
    </row>
    <row r="7078" spans="1:8" x14ac:dyDescent="0.25">
      <c r="A7078" s="1527"/>
      <c r="B7078" s="1561"/>
      <c r="C7078" s="1569"/>
      <c r="D7078" s="1569"/>
      <c r="E7078" s="1569"/>
      <c r="F7078" s="1563"/>
      <c r="G7078" s="351"/>
      <c r="H7078" s="1524"/>
    </row>
    <row r="7079" spans="1:8" x14ac:dyDescent="0.25">
      <c r="A7079" s="1527"/>
      <c r="B7079" s="1540"/>
      <c r="C7079" s="1538"/>
      <c r="D7079" s="952"/>
      <c r="E7079" s="1538"/>
      <c r="F7079" s="1537"/>
      <c r="G7079" s="1541"/>
      <c r="H7079" s="1524"/>
    </row>
    <row r="7080" spans="1:8" ht="15.75" thickBot="1" x14ac:dyDescent="0.3">
      <c r="A7080" s="1527"/>
      <c r="B7080" s="1540"/>
      <c r="C7080" s="1538"/>
      <c r="D7080" s="952"/>
      <c r="E7080" s="1538"/>
      <c r="F7080" s="1537"/>
      <c r="G7080" s="1541"/>
      <c r="H7080" s="1524"/>
    </row>
    <row r="7081" spans="1:8" ht="15.75" thickBot="1" x14ac:dyDescent="0.3">
      <c r="A7081" s="1527"/>
      <c r="B7081" s="1555"/>
      <c r="C7081" s="1556"/>
      <c r="D7081" s="956"/>
      <c r="E7081" s="1556"/>
      <c r="F7081" s="1557"/>
      <c r="G7081" s="1558"/>
      <c r="H7081" s="1546">
        <f>+SUM(G7075:G7081)</f>
        <v>1052148</v>
      </c>
    </row>
    <row r="7082" spans="1:8" ht="15.75" thickBot="1" x14ac:dyDescent="0.3">
      <c r="A7082" s="1527"/>
      <c r="B7082" s="1527"/>
      <c r="C7082" s="1527"/>
      <c r="D7082" s="529"/>
      <c r="E7082" s="1527"/>
      <c r="F7082" s="1528"/>
      <c r="G7082" s="1524"/>
      <c r="H7082" s="1524"/>
    </row>
    <row r="7083" spans="1:8" ht="15.75" thickBot="1" x14ac:dyDescent="0.3">
      <c r="A7083" s="1523" t="s">
        <v>6744</v>
      </c>
      <c r="B7083" s="1527"/>
      <c r="C7083" s="1527"/>
      <c r="D7083" s="529"/>
      <c r="E7083" s="1559" t="s">
        <v>5415</v>
      </c>
      <c r="F7083" s="1528"/>
      <c r="G7083" s="1524"/>
      <c r="H7083" s="1546">
        <f>ROUND(+H7048+H7063+H7072+H7081,0)</f>
        <v>24019263</v>
      </c>
    </row>
    <row r="7085" spans="1:8" x14ac:dyDescent="0.25">
      <c r="A7085" s="1522"/>
      <c r="B7085" s="1522"/>
      <c r="C7085" s="1522"/>
      <c r="D7085" s="957"/>
      <c r="E7085" s="1522"/>
      <c r="F7085" s="1522"/>
      <c r="G7085" s="1522"/>
      <c r="H7085" s="1522"/>
    </row>
    <row r="7086" spans="1:8" x14ac:dyDescent="0.25">
      <c r="A7086" s="1522"/>
      <c r="B7086" s="1522"/>
      <c r="C7086" s="1522"/>
      <c r="D7086" s="957"/>
      <c r="E7086" s="1522"/>
      <c r="F7086" s="1522"/>
      <c r="G7086" s="1522"/>
      <c r="H7086" s="1522"/>
    </row>
    <row r="7087" spans="1:8" x14ac:dyDescent="0.25">
      <c r="A7087" s="1627" t="s">
        <v>3</v>
      </c>
      <c r="B7087" s="1390">
        <f>+VLOOKUP(C7087,ListaAPUs!$B:$E,4,FALSE)</f>
        <v>11.4</v>
      </c>
      <c r="C7087" s="2450" t="str">
        <f>+ListaAPUs!B286</f>
        <v>PROGRAMACION AUTOMATIZACION Y CONTROL</v>
      </c>
      <c r="D7087" s="2450"/>
      <c r="E7087" s="2450"/>
      <c r="F7087" s="1627" t="s">
        <v>867</v>
      </c>
      <c r="G7087" s="1526" t="str">
        <f>+ListaAPUs!C286</f>
        <v>glb</v>
      </c>
      <c r="H7087" s="1524"/>
    </row>
    <row r="7088" spans="1:8" x14ac:dyDescent="0.25">
      <c r="A7088" s="1528"/>
      <c r="B7088" s="1527"/>
      <c r="C7088" s="1527"/>
      <c r="D7088" s="529"/>
      <c r="E7088" s="1527"/>
      <c r="F7088" s="1528"/>
      <c r="G7088" s="1524"/>
      <c r="H7088" s="1524"/>
    </row>
    <row r="7089" spans="1:8" x14ac:dyDescent="0.25">
      <c r="A7089" s="1528"/>
      <c r="B7089" s="1527"/>
      <c r="C7089" s="1527"/>
      <c r="D7089" s="529"/>
      <c r="E7089" s="1527"/>
      <c r="F7089" s="1528"/>
      <c r="G7089" s="1529"/>
      <c r="H7089" s="1524"/>
    </row>
    <row r="7090" spans="1:8" ht="15.75" thickBot="1" x14ac:dyDescent="0.3">
      <c r="A7090" s="1528"/>
      <c r="B7090" s="1527"/>
      <c r="C7090" s="1527"/>
      <c r="D7090" s="529"/>
      <c r="E7090" s="1527"/>
      <c r="F7090" s="1528"/>
      <c r="G7090" s="1524"/>
      <c r="H7090" s="1524"/>
    </row>
    <row r="7091" spans="1:8" ht="15.75" thickBot="1" x14ac:dyDescent="0.3">
      <c r="A7091" s="1368"/>
      <c r="B7091" s="1369" t="s">
        <v>5403</v>
      </c>
      <c r="C7091" s="1363" t="s">
        <v>867</v>
      </c>
      <c r="D7091" s="1120" t="s">
        <v>6</v>
      </c>
      <c r="E7091" s="1363" t="s">
        <v>5404</v>
      </c>
      <c r="F7091" s="1363" t="s">
        <v>5405</v>
      </c>
      <c r="G7091" s="1370" t="s">
        <v>868</v>
      </c>
      <c r="H7091" s="1371"/>
    </row>
    <row r="7092" spans="1:8" x14ac:dyDescent="0.25">
      <c r="A7092" s="1528"/>
      <c r="B7092" s="1533" t="s">
        <v>5440</v>
      </c>
      <c r="C7092" s="1534" t="s">
        <v>5406</v>
      </c>
      <c r="D7092" s="211"/>
      <c r="E7092" s="1535">
        <f>+H7131</f>
        <v>1052148</v>
      </c>
      <c r="F7092" s="1551">
        <v>0.1</v>
      </c>
      <c r="G7092" s="1570">
        <f>+E7092*F7092</f>
        <v>105214.8</v>
      </c>
      <c r="H7092" s="1524"/>
    </row>
    <row r="7093" spans="1:8" x14ac:dyDescent="0.25">
      <c r="A7093" s="1528"/>
      <c r="B7093" s="1536"/>
      <c r="C7093" s="1537"/>
      <c r="D7093" s="212"/>
      <c r="E7093" s="1535"/>
      <c r="F7093" s="1567"/>
      <c r="G7093" s="1570"/>
      <c r="H7093" s="1524"/>
    </row>
    <row r="7094" spans="1:8" x14ac:dyDescent="0.25">
      <c r="A7094" s="1528"/>
      <c r="B7094" s="1536"/>
      <c r="C7094" s="1537"/>
      <c r="D7094" s="212"/>
      <c r="E7094" s="1535"/>
      <c r="F7094" s="1567"/>
      <c r="G7094" s="1570"/>
      <c r="H7094" s="1524"/>
    </row>
    <row r="7095" spans="1:8" x14ac:dyDescent="0.25">
      <c r="A7095" s="1528"/>
      <c r="B7095" s="1540"/>
      <c r="C7095" s="1537"/>
      <c r="D7095" s="212"/>
      <c r="E7095" s="1535"/>
      <c r="F7095" s="1567"/>
      <c r="G7095" s="1570"/>
      <c r="H7095" s="1524"/>
    </row>
    <row r="7096" spans="1:8" x14ac:dyDescent="0.25">
      <c r="A7096" s="1528"/>
      <c r="B7096" s="1540"/>
      <c r="C7096" s="1537"/>
      <c r="D7096" s="952"/>
      <c r="E7096" s="1538"/>
      <c r="F7096" s="1537"/>
      <c r="G7096" s="1541"/>
      <c r="H7096" s="1524"/>
    </row>
    <row r="7097" spans="1:8" ht="15.75" thickBot="1" x14ac:dyDescent="0.3">
      <c r="A7097" s="1528"/>
      <c r="B7097" s="1540"/>
      <c r="C7097" s="1537"/>
      <c r="D7097" s="952"/>
      <c r="E7097" s="1538"/>
      <c r="F7097" s="1537"/>
      <c r="G7097" s="1541"/>
      <c r="H7097" s="1524"/>
    </row>
    <row r="7098" spans="1:8" ht="15.75" thickBot="1" x14ac:dyDescent="0.3">
      <c r="A7098" s="1528"/>
      <c r="B7098" s="1542"/>
      <c r="C7098" s="1543"/>
      <c r="D7098" s="953"/>
      <c r="E7098" s="1544"/>
      <c r="F7098" s="1543"/>
      <c r="G7098" s="1545"/>
      <c r="H7098" s="1546">
        <f>+SUM(G7092:G7098)</f>
        <v>105214.8</v>
      </c>
    </row>
    <row r="7099" spans="1:8" ht="15.75" thickBot="1" x14ac:dyDescent="0.3">
      <c r="A7099" s="1528"/>
      <c r="B7099" s="1547"/>
      <c r="C7099" s="1548"/>
      <c r="D7099" s="954"/>
      <c r="E7099" s="1547"/>
      <c r="F7099" s="1548"/>
      <c r="G7099" s="1549"/>
      <c r="H7099" s="1550"/>
    </row>
    <row r="7100" spans="1:8" ht="15.75" thickBot="1" x14ac:dyDescent="0.3">
      <c r="A7100" s="1559"/>
      <c r="B7100" s="1369" t="s">
        <v>5408</v>
      </c>
      <c r="C7100" s="1363" t="s">
        <v>867</v>
      </c>
      <c r="D7100" s="1120" t="s">
        <v>6</v>
      </c>
      <c r="E7100" s="1363" t="s">
        <v>870</v>
      </c>
      <c r="F7100" s="1363" t="s">
        <v>5409</v>
      </c>
      <c r="G7100" s="1370" t="s">
        <v>868</v>
      </c>
      <c r="H7100" s="1371"/>
    </row>
    <row r="7101" spans="1:8" ht="25.5" x14ac:dyDescent="0.25">
      <c r="A7101" s="1527"/>
      <c r="B7101" s="1562" t="s">
        <v>9376</v>
      </c>
      <c r="C7101" s="989" t="str">
        <f>+VLOOKUP(B7101,Insumos!$A$2:$C$3400,2,FALSE)</f>
        <v>gl</v>
      </c>
      <c r="D7101" s="211">
        <v>1</v>
      </c>
      <c r="E7101" s="975">
        <f>+VLOOKUP(B7101,Insumos!$A$2:$C$3400,3,FALSE)</f>
        <v>1700000</v>
      </c>
      <c r="F7101" s="1552"/>
      <c r="G7101" s="377">
        <f>+(D7101*E7101)</f>
        <v>1700000</v>
      </c>
      <c r="H7101" s="1524"/>
    </row>
    <row r="7102" spans="1:8" ht="25.5" x14ac:dyDescent="0.25">
      <c r="A7102" s="1527"/>
      <c r="B7102" s="1562" t="s">
        <v>9381</v>
      </c>
      <c r="C7102" s="989" t="str">
        <f>+VLOOKUP(B7102,Insumos!$A$2:$C$3400,2,FALSE)</f>
        <v>gl</v>
      </c>
      <c r="D7102" s="212">
        <v>1</v>
      </c>
      <c r="E7102" s="975">
        <f>+VLOOKUP(B7102,Insumos!$A$2:$C$3400,3,FALSE)</f>
        <v>1700000</v>
      </c>
      <c r="F7102" s="1552"/>
      <c r="G7102" s="377">
        <f t="shared" ref="G7102:G7104" si="99">+(D7102*E7102)</f>
        <v>1700000</v>
      </c>
      <c r="H7102" s="1524"/>
    </row>
    <row r="7103" spans="1:8" ht="38.25" x14ac:dyDescent="0.25">
      <c r="A7103" s="1527"/>
      <c r="B7103" s="1562" t="s">
        <v>9374</v>
      </c>
      <c r="C7103" s="989" t="str">
        <f>+VLOOKUP(B7103,Insumos!$A$2:$C$3400,2,FALSE)</f>
        <v>gl</v>
      </c>
      <c r="D7103" s="212">
        <v>1</v>
      </c>
      <c r="E7103" s="975">
        <f>+VLOOKUP(B7103,Insumos!$A$2:$C$3400,3,FALSE)</f>
        <v>1700000</v>
      </c>
      <c r="F7103" s="1552"/>
      <c r="G7103" s="377">
        <f t="shared" si="99"/>
        <v>1700000</v>
      </c>
      <c r="H7103" s="1524"/>
    </row>
    <row r="7104" spans="1:8" ht="25.5" x14ac:dyDescent="0.25">
      <c r="A7104" s="1527"/>
      <c r="B7104" s="1562" t="s">
        <v>9375</v>
      </c>
      <c r="C7104" s="989" t="str">
        <f>+VLOOKUP(B7104,Insumos!$A$2:$C$3400,2,FALSE)</f>
        <v>gl</v>
      </c>
      <c r="D7104" s="212">
        <v>1</v>
      </c>
      <c r="E7104" s="975">
        <f>+VLOOKUP(B7104,Insumos!$A$2:$C$3400,3,FALSE)</f>
        <v>1700000</v>
      </c>
      <c r="F7104" s="1552"/>
      <c r="G7104" s="377">
        <f t="shared" si="99"/>
        <v>1700000</v>
      </c>
      <c r="H7104" s="1524"/>
    </row>
    <row r="7105" spans="1:8" x14ac:dyDescent="0.25">
      <c r="A7105" s="1527"/>
      <c r="B7105" s="1562"/>
      <c r="C7105" s="989"/>
      <c r="D7105" s="212"/>
      <c r="E7105" s="975"/>
      <c r="F7105" s="1537"/>
      <c r="G7105" s="377"/>
      <c r="H7105" s="1524"/>
    </row>
    <row r="7106" spans="1:8" x14ac:dyDescent="0.25">
      <c r="A7106" s="1527"/>
      <c r="B7106" s="1562"/>
      <c r="C7106" s="989"/>
      <c r="D7106" s="212"/>
      <c r="E7106" s="975"/>
      <c r="F7106" s="1537"/>
      <c r="G7106" s="377"/>
      <c r="H7106" s="1524"/>
    </row>
    <row r="7107" spans="1:8" x14ac:dyDescent="0.25">
      <c r="A7107" s="1527"/>
      <c r="B7107" s="1562"/>
      <c r="C7107" s="989"/>
      <c r="D7107" s="212"/>
      <c r="E7107" s="975"/>
      <c r="F7107" s="1537"/>
      <c r="G7107" s="377"/>
      <c r="H7107" s="1524"/>
    </row>
    <row r="7108" spans="1:8" x14ac:dyDescent="0.25">
      <c r="A7108" s="1527"/>
      <c r="B7108" s="1562"/>
      <c r="C7108" s="989"/>
      <c r="D7108" s="212"/>
      <c r="E7108" s="975"/>
      <c r="F7108" s="1537"/>
      <c r="G7108" s="377"/>
      <c r="H7108" s="1524"/>
    </row>
    <row r="7109" spans="1:8" x14ac:dyDescent="0.25">
      <c r="A7109" s="1527"/>
      <c r="B7109" s="1540"/>
      <c r="C7109" s="1537"/>
      <c r="D7109" s="212"/>
      <c r="E7109" s="1535"/>
      <c r="F7109" s="1537"/>
      <c r="G7109" s="1572"/>
      <c r="H7109" s="1524"/>
    </row>
    <row r="7110" spans="1:8" x14ac:dyDescent="0.25">
      <c r="A7110" s="1527"/>
      <c r="B7110" s="1540"/>
      <c r="C7110" s="1537"/>
      <c r="D7110" s="212"/>
      <c r="E7110" s="1535"/>
      <c r="F7110" s="1537"/>
      <c r="G7110" s="1572"/>
      <c r="H7110" s="1524"/>
    </row>
    <row r="7111" spans="1:8" x14ac:dyDescent="0.25">
      <c r="A7111" s="1527"/>
      <c r="B7111" s="1540"/>
      <c r="C7111" s="1538"/>
      <c r="D7111" s="952"/>
      <c r="E7111" s="1538"/>
      <c r="F7111" s="1537"/>
      <c r="G7111" s="1541"/>
      <c r="H7111" s="1524"/>
    </row>
    <row r="7112" spans="1:8" ht="15.75" thickBot="1" x14ac:dyDescent="0.3">
      <c r="A7112" s="1527"/>
      <c r="B7112" s="1540"/>
      <c r="C7112" s="1538"/>
      <c r="D7112" s="952"/>
      <c r="E7112" s="1538"/>
      <c r="F7112" s="1537"/>
      <c r="G7112" s="1541"/>
      <c r="H7112" s="1524"/>
    </row>
    <row r="7113" spans="1:8" ht="15.75" thickBot="1" x14ac:dyDescent="0.3">
      <c r="A7113" s="1527"/>
      <c r="B7113" s="1542"/>
      <c r="C7113" s="1544"/>
      <c r="D7113" s="953"/>
      <c r="E7113" s="1544"/>
      <c r="F7113" s="1543"/>
      <c r="G7113" s="1545"/>
      <c r="H7113" s="1546">
        <f>+SUM(G7101:G7113)</f>
        <v>6800000</v>
      </c>
    </row>
    <row r="7114" spans="1:8" ht="15.75" thickBot="1" x14ac:dyDescent="0.3">
      <c r="A7114" s="1527"/>
      <c r="B7114" s="1547"/>
      <c r="C7114" s="1547"/>
      <c r="D7114" s="954"/>
      <c r="E7114" s="1547"/>
      <c r="F7114" s="1548"/>
      <c r="G7114" s="1549"/>
      <c r="H7114" s="1550"/>
    </row>
    <row r="7115" spans="1:8" ht="15.75" thickBot="1" x14ac:dyDescent="0.3">
      <c r="A7115" s="1559"/>
      <c r="B7115" s="1369" t="s">
        <v>5410</v>
      </c>
      <c r="C7115" s="1363" t="s">
        <v>867</v>
      </c>
      <c r="D7115" s="1120" t="s">
        <v>6</v>
      </c>
      <c r="E7115" s="1363" t="s">
        <v>870</v>
      </c>
      <c r="F7115" s="1363" t="s">
        <v>5411</v>
      </c>
      <c r="G7115" s="1370" t="s">
        <v>868</v>
      </c>
      <c r="H7115" s="1371"/>
    </row>
    <row r="7116" spans="1:8" x14ac:dyDescent="0.25">
      <c r="A7116" s="1527"/>
      <c r="B7116" s="1564"/>
      <c r="C7116" s="1534"/>
      <c r="D7116" s="211"/>
      <c r="E7116" s="1571"/>
      <c r="F7116" s="1551"/>
      <c r="G7116" s="1572"/>
      <c r="H7116" s="1524"/>
    </row>
    <row r="7117" spans="1:8" x14ac:dyDescent="0.25">
      <c r="A7117" s="1527"/>
      <c r="B7117" s="1562"/>
      <c r="C7117" s="1537"/>
      <c r="D7117" s="212"/>
      <c r="E7117" s="1571"/>
      <c r="F7117" s="1534"/>
      <c r="G7117" s="1572"/>
      <c r="H7117" s="1524"/>
    </row>
    <row r="7118" spans="1:8" x14ac:dyDescent="0.25">
      <c r="A7118" s="1527"/>
      <c r="B7118" s="1562"/>
      <c r="C7118" s="1537"/>
      <c r="D7118" s="212"/>
      <c r="E7118" s="1535"/>
      <c r="F7118" s="1537"/>
      <c r="G7118" s="1572"/>
      <c r="H7118" s="1524"/>
    </row>
    <row r="7119" spans="1:8" x14ac:dyDescent="0.25">
      <c r="A7119" s="1527"/>
      <c r="B7119" s="1540"/>
      <c r="C7119" s="1537"/>
      <c r="D7119" s="212"/>
      <c r="E7119" s="1535"/>
      <c r="F7119" s="1537"/>
      <c r="G7119" s="1572"/>
      <c r="H7119" s="1524"/>
    </row>
    <row r="7120" spans="1:8" x14ac:dyDescent="0.25">
      <c r="A7120" s="1527"/>
      <c r="B7120" s="1540"/>
      <c r="C7120" s="1537"/>
      <c r="D7120" s="212"/>
      <c r="E7120" s="1535"/>
      <c r="F7120" s="1537"/>
      <c r="G7120" s="1572"/>
      <c r="H7120" s="1524"/>
    </row>
    <row r="7121" spans="1:18" ht="15.75" thickBot="1" x14ac:dyDescent="0.3">
      <c r="A7121" s="1527"/>
      <c r="B7121" s="1540"/>
      <c r="C7121" s="1537"/>
      <c r="D7121" s="212"/>
      <c r="E7121" s="1535"/>
      <c r="F7121" s="1537"/>
      <c r="G7121" s="1572"/>
      <c r="H7121" s="1524"/>
    </row>
    <row r="7122" spans="1:18" ht="15.75" thickBot="1" x14ac:dyDescent="0.3">
      <c r="A7122" s="1527"/>
      <c r="B7122" s="1542"/>
      <c r="C7122" s="1544"/>
      <c r="D7122" s="953"/>
      <c r="E7122" s="1544"/>
      <c r="F7122" s="1543"/>
      <c r="G7122" s="1545"/>
      <c r="H7122" s="1546">
        <f>+SUM(G7116:G7122)</f>
        <v>0</v>
      </c>
    </row>
    <row r="7123" spans="1:18" ht="15.75" thickBot="1" x14ac:dyDescent="0.3">
      <c r="A7123" s="1527"/>
      <c r="B7123" s="1547"/>
      <c r="C7123" s="1547"/>
      <c r="D7123" s="954"/>
      <c r="E7123" s="1547"/>
      <c r="F7123" s="1553"/>
      <c r="G7123" s="1554"/>
      <c r="H7123" s="1550"/>
    </row>
    <row r="7124" spans="1:18" ht="15.75" thickBot="1" x14ac:dyDescent="0.3">
      <c r="A7124" s="1559"/>
      <c r="B7124" s="1369" t="s">
        <v>5412</v>
      </c>
      <c r="C7124" s="1363" t="s">
        <v>5420</v>
      </c>
      <c r="D7124" s="1120" t="s">
        <v>5421</v>
      </c>
      <c r="E7124" s="1363" t="s">
        <v>5413</v>
      </c>
      <c r="F7124" s="1363" t="s">
        <v>5405</v>
      </c>
      <c r="G7124" s="1370" t="s">
        <v>868</v>
      </c>
      <c r="H7124" s="1371"/>
    </row>
    <row r="7125" spans="1:18" x14ac:dyDescent="0.25">
      <c r="A7125" s="1527"/>
      <c r="B7125" s="731" t="s">
        <v>7958</v>
      </c>
      <c r="C7125" s="1569">
        <f>+VLOOKUP($B7125,'Mano de obra'!$A$5:$D$26,2,FALSE)</f>
        <v>300000</v>
      </c>
      <c r="D7125" s="1569">
        <f>+VLOOKUP($B7125,'Mano de obra'!$A$5:$D$26,3,FALSE)</f>
        <v>146370</v>
      </c>
      <c r="E7125" s="1569">
        <f>+VLOOKUP($B7125,'Mano de obra'!$A$5:$D$26,4,FALSE)*2</f>
        <v>892740</v>
      </c>
      <c r="F7125" s="1551">
        <v>1</v>
      </c>
      <c r="G7125" s="351">
        <f>+E7125/F7125</f>
        <v>892740</v>
      </c>
      <c r="H7125" s="1524"/>
    </row>
    <row r="7126" spans="1:18" x14ac:dyDescent="0.25">
      <c r="A7126" s="1527"/>
      <c r="B7126" s="1561" t="s">
        <v>5635</v>
      </c>
      <c r="C7126" s="1569">
        <f>+VLOOKUP($B7126,'Mano de obra'!$A$5:$D$26,2,FALSE)</f>
        <v>24591</v>
      </c>
      <c r="D7126" s="1569">
        <f>+VLOOKUP($B7126,'Mano de obra'!$A$5:$D$26,3,FALSE)</f>
        <v>15261</v>
      </c>
      <c r="E7126" s="1569">
        <f>+VLOOKUP($B7126,'Mano de obra'!$A$5:$D$26,4,FALSE)*4</f>
        <v>159408</v>
      </c>
      <c r="F7126" s="1563">
        <v>1</v>
      </c>
      <c r="G7126" s="351">
        <f>+E7126/F7126</f>
        <v>159408</v>
      </c>
      <c r="H7126" s="1524"/>
    </row>
    <row r="7127" spans="1:18" x14ac:dyDescent="0.25">
      <c r="A7127" s="1527"/>
      <c r="B7127" s="1561"/>
      <c r="C7127" s="1569"/>
      <c r="D7127" s="1569"/>
      <c r="E7127" s="1569"/>
      <c r="F7127" s="1563"/>
      <c r="G7127" s="351"/>
      <c r="H7127" s="1524"/>
    </row>
    <row r="7128" spans="1:18" x14ac:dyDescent="0.25">
      <c r="A7128" s="1527"/>
      <c r="B7128" s="1561"/>
      <c r="C7128" s="1569"/>
      <c r="D7128" s="1569"/>
      <c r="E7128" s="1569"/>
      <c r="F7128" s="1563"/>
      <c r="G7128" s="351"/>
      <c r="H7128" s="1524"/>
    </row>
    <row r="7129" spans="1:18" x14ac:dyDescent="0.25">
      <c r="A7129" s="1527"/>
      <c r="B7129" s="1540"/>
      <c r="C7129" s="1538"/>
      <c r="D7129" s="952"/>
      <c r="E7129" s="1538"/>
      <c r="F7129" s="1537"/>
      <c r="G7129" s="1541"/>
      <c r="H7129" s="1524"/>
    </row>
    <row r="7130" spans="1:18" ht="15.75" thickBot="1" x14ac:dyDescent="0.3">
      <c r="A7130" s="1527"/>
      <c r="B7130" s="1540"/>
      <c r="C7130" s="1538"/>
      <c r="D7130" s="952"/>
      <c r="E7130" s="1538"/>
      <c r="F7130" s="1537"/>
      <c r="G7130" s="1541"/>
      <c r="H7130" s="1524"/>
    </row>
    <row r="7131" spans="1:18" ht="15.75" thickBot="1" x14ac:dyDescent="0.3">
      <c r="A7131" s="1527"/>
      <c r="B7131" s="1555"/>
      <c r="C7131" s="1556"/>
      <c r="D7131" s="956"/>
      <c r="E7131" s="1556"/>
      <c r="F7131" s="1557"/>
      <c r="G7131" s="1558"/>
      <c r="H7131" s="1546">
        <f>+SUM(G7125:G7131)</f>
        <v>1052148</v>
      </c>
    </row>
    <row r="7132" spans="1:18" ht="15.75" thickBot="1" x14ac:dyDescent="0.3">
      <c r="A7132" s="1527"/>
      <c r="B7132" s="1527"/>
      <c r="C7132" s="1527"/>
      <c r="D7132" s="529"/>
      <c r="E7132" s="1527"/>
      <c r="F7132" s="1528"/>
      <c r="G7132" s="1524"/>
      <c r="H7132" s="1524"/>
    </row>
    <row r="7133" spans="1:18" ht="15.75" thickBot="1" x14ac:dyDescent="0.3">
      <c r="A7133" s="1523" t="s">
        <v>6744</v>
      </c>
      <c r="B7133" s="1527"/>
      <c r="C7133" s="1527"/>
      <c r="D7133" s="529"/>
      <c r="E7133" s="1559" t="s">
        <v>5415</v>
      </c>
      <c r="F7133" s="1528"/>
      <c r="G7133" s="1524"/>
      <c r="H7133" s="1546">
        <f>ROUND(+H7098+H7113+H7122+H7131,0)</f>
        <v>7957363</v>
      </c>
    </row>
    <row r="7134" spans="1:18" x14ac:dyDescent="0.25">
      <c r="A7134" s="1522"/>
      <c r="B7134" s="1522"/>
      <c r="C7134" s="1522"/>
      <c r="D7134" s="1522"/>
      <c r="E7134" s="1522"/>
      <c r="F7134" s="1522"/>
      <c r="G7134" s="1522"/>
      <c r="H7134" s="1522"/>
    </row>
    <row r="7135" spans="1:18" x14ac:dyDescent="0.25">
      <c r="I7135" s="1860"/>
      <c r="J7135" s="1860"/>
      <c r="K7135" s="1860"/>
      <c r="L7135" s="1860"/>
      <c r="M7135" s="1860"/>
      <c r="N7135" s="1860"/>
      <c r="O7135" s="1860"/>
      <c r="P7135" s="1860"/>
      <c r="Q7135" s="1860"/>
      <c r="R7135" s="1860"/>
    </row>
    <row r="7136" spans="1:18" x14ac:dyDescent="0.25">
      <c r="A7136" s="1860"/>
      <c r="B7136" s="1860"/>
      <c r="C7136" s="1860"/>
      <c r="D7136" s="1873"/>
      <c r="E7136" s="1860"/>
      <c r="F7136" s="1860"/>
      <c r="G7136" s="1860"/>
      <c r="H7136" s="1860"/>
      <c r="I7136" s="1860"/>
      <c r="J7136" s="1860"/>
      <c r="K7136" s="1860"/>
      <c r="L7136" s="1860"/>
      <c r="M7136" s="1860"/>
      <c r="N7136" s="1860"/>
      <c r="O7136" s="1860"/>
      <c r="P7136" s="1860"/>
      <c r="Q7136" s="1860"/>
      <c r="R7136" s="1860"/>
    </row>
    <row r="7137" spans="1:18" ht="30" customHeight="1" x14ac:dyDescent="0.25">
      <c r="A7137" s="673" t="s">
        <v>5482</v>
      </c>
      <c r="B7137" s="1874">
        <f>+VLOOKUP(C7137,ListaAPUs!$B:$E,4,FALSE)</f>
        <v>4.7</v>
      </c>
      <c r="C7137" s="2449" t="str">
        <f>+ListaAPUs!B109</f>
        <v>INSTALACIÓN ACCESORIOS EN HIERRO DUCTIL ACERROJADO 300MM</v>
      </c>
      <c r="D7137" s="2449"/>
      <c r="E7137" s="2449"/>
      <c r="F7137" s="673" t="s">
        <v>867</v>
      </c>
      <c r="G7137" s="222" t="s">
        <v>5424</v>
      </c>
      <c r="H7137" s="200"/>
      <c r="I7137" s="1860"/>
      <c r="J7137" s="1860"/>
      <c r="K7137" s="1860"/>
      <c r="L7137" s="1860"/>
      <c r="M7137" s="1860"/>
      <c r="N7137" s="1860"/>
      <c r="O7137" s="1860"/>
      <c r="P7137" s="1860"/>
      <c r="Q7137" s="1860"/>
      <c r="R7137" s="1860"/>
    </row>
    <row r="7138" spans="1:18" x14ac:dyDescent="0.25">
      <c r="A7138" s="1861"/>
      <c r="B7138" s="8"/>
      <c r="C7138" s="223"/>
      <c r="D7138" s="958"/>
      <c r="E7138" s="223"/>
      <c r="F7138" s="1861"/>
      <c r="G7138" s="200"/>
      <c r="H7138" s="200"/>
      <c r="I7138" s="1860"/>
      <c r="J7138" s="1860"/>
      <c r="K7138" s="1860"/>
      <c r="L7138" s="1860"/>
      <c r="M7138" s="1860"/>
      <c r="N7138" s="1860"/>
      <c r="O7138" s="1860"/>
      <c r="P7138" s="1860"/>
      <c r="Q7138" s="1860"/>
      <c r="R7138" s="1860"/>
    </row>
    <row r="7139" spans="1:18" x14ac:dyDescent="0.25">
      <c r="A7139" s="1861"/>
      <c r="B7139" s="8"/>
      <c r="C7139" s="8"/>
      <c r="D7139" s="1867"/>
      <c r="E7139" s="8"/>
      <c r="F7139" s="8"/>
      <c r="G7139" s="8"/>
      <c r="H7139" s="200"/>
      <c r="I7139" s="1860"/>
      <c r="J7139" s="1860"/>
      <c r="K7139" s="1860"/>
      <c r="L7139" s="1860"/>
      <c r="M7139" s="1860"/>
      <c r="N7139" s="1860"/>
      <c r="O7139" s="1860"/>
      <c r="P7139" s="1860"/>
      <c r="Q7139" s="1860"/>
      <c r="R7139" s="1860"/>
    </row>
    <row r="7140" spans="1:18" ht="15.75" thickBot="1" x14ac:dyDescent="0.3">
      <c r="A7140" s="1861"/>
      <c r="B7140" s="8"/>
      <c r="C7140" s="8"/>
      <c r="D7140" s="1867"/>
      <c r="E7140" s="8"/>
      <c r="F7140" s="1861"/>
      <c r="G7140" s="200"/>
      <c r="H7140" s="200"/>
      <c r="I7140" s="1860"/>
      <c r="J7140" s="1860"/>
      <c r="K7140" s="1860"/>
      <c r="L7140" s="1860"/>
      <c r="M7140" s="1860"/>
      <c r="N7140" s="1860"/>
      <c r="O7140" s="1860"/>
      <c r="P7140" s="1860"/>
      <c r="Q7140" s="1860"/>
      <c r="R7140" s="1860"/>
    </row>
    <row r="7141" spans="1:18" ht="15.75" thickBot="1" x14ac:dyDescent="0.3">
      <c r="A7141" s="1861"/>
      <c r="B7141" s="224" t="s">
        <v>5403</v>
      </c>
      <c r="C7141" s="193" t="s">
        <v>867</v>
      </c>
      <c r="D7141" s="951" t="s">
        <v>6</v>
      </c>
      <c r="E7141" s="193" t="s">
        <v>5439</v>
      </c>
      <c r="F7141" s="193" t="s">
        <v>5405</v>
      </c>
      <c r="G7141" s="225" t="s">
        <v>868</v>
      </c>
      <c r="H7141" s="200"/>
      <c r="I7141" s="1860"/>
      <c r="J7141" s="1860"/>
      <c r="K7141" s="1860"/>
      <c r="L7141" s="1860"/>
      <c r="M7141" s="1860"/>
      <c r="N7141" s="1860"/>
      <c r="O7141" s="1860"/>
      <c r="P7141" s="1860"/>
      <c r="Q7141" s="1860"/>
      <c r="R7141" s="1860"/>
    </row>
    <row r="7142" spans="1:18" x14ac:dyDescent="0.25">
      <c r="A7142" s="1861"/>
      <c r="B7142" s="1863" t="s">
        <v>5455</v>
      </c>
      <c r="C7142" s="226" t="s">
        <v>7042</v>
      </c>
      <c r="D7142" s="1865">
        <v>1</v>
      </c>
      <c r="E7142" s="228">
        <f>+H7180</f>
        <v>39928.561111111114</v>
      </c>
      <c r="F7142" s="226">
        <v>0.1</v>
      </c>
      <c r="G7142" s="1868">
        <f>+E7142*F7142</f>
        <v>3992.8561111111117</v>
      </c>
      <c r="H7142" s="200"/>
      <c r="I7142" s="1860"/>
      <c r="J7142" s="1860"/>
      <c r="K7142" s="1860"/>
      <c r="L7142" s="1860"/>
      <c r="M7142" s="1860"/>
      <c r="N7142" s="1860"/>
      <c r="O7142" s="1860"/>
      <c r="P7142" s="1860"/>
      <c r="Q7142" s="1860"/>
      <c r="R7142" s="1860"/>
    </row>
    <row r="7143" spans="1:18" x14ac:dyDescent="0.25">
      <c r="A7143" s="1861"/>
      <c r="B7143" s="1863" t="s">
        <v>6869</v>
      </c>
      <c r="C7143" s="226" t="s">
        <v>7203</v>
      </c>
      <c r="D7143" s="1865">
        <v>1</v>
      </c>
      <c r="E7143" s="1795">
        <f>+VLOOKUP(B7143,Insumos!$A$2:$C$331,3,FALSE)</f>
        <v>202536</v>
      </c>
      <c r="F7143" s="226">
        <v>0.1</v>
      </c>
      <c r="G7143" s="1868">
        <f>+E7143*F7143</f>
        <v>20253.600000000002</v>
      </c>
      <c r="H7143" s="200"/>
      <c r="I7143" s="1860"/>
      <c r="J7143" s="1860"/>
      <c r="K7143" s="1860"/>
      <c r="L7143" s="1860"/>
      <c r="M7143" s="1860"/>
      <c r="N7143" s="1860"/>
      <c r="O7143" s="1860"/>
      <c r="P7143" s="1860"/>
      <c r="Q7143" s="1860"/>
      <c r="R7143" s="1860"/>
    </row>
    <row r="7144" spans="1:18" x14ac:dyDescent="0.25">
      <c r="A7144" s="1861"/>
      <c r="B7144" s="1863"/>
      <c r="C7144" s="226"/>
      <c r="D7144" s="1865"/>
      <c r="E7144" s="228"/>
      <c r="F7144" s="226"/>
      <c r="G7144" s="229"/>
      <c r="H7144" s="200"/>
      <c r="I7144" s="1860"/>
      <c r="J7144" s="1860"/>
      <c r="K7144" s="1860"/>
      <c r="L7144" s="1860"/>
      <c r="M7144" s="1860"/>
      <c r="N7144" s="1860"/>
      <c r="O7144" s="1860"/>
      <c r="P7144" s="1860"/>
      <c r="Q7144" s="1860"/>
      <c r="R7144" s="1860"/>
    </row>
    <row r="7145" spans="1:18" x14ac:dyDescent="0.25">
      <c r="A7145" s="1861"/>
      <c r="B7145" s="1863"/>
      <c r="C7145" s="226"/>
      <c r="D7145" s="1865"/>
      <c r="E7145" s="171"/>
      <c r="F7145" s="226"/>
      <c r="G7145" s="231"/>
      <c r="H7145" s="200"/>
      <c r="I7145" s="1860"/>
      <c r="J7145" s="1860"/>
      <c r="K7145" s="1860"/>
      <c r="L7145" s="1860"/>
      <c r="M7145" s="1860"/>
      <c r="N7145" s="1860"/>
      <c r="O7145" s="1860"/>
      <c r="P7145" s="1860"/>
      <c r="Q7145" s="1860"/>
      <c r="R7145" s="1860"/>
    </row>
    <row r="7146" spans="1:18" x14ac:dyDescent="0.25">
      <c r="A7146" s="1861"/>
      <c r="B7146" s="1863"/>
      <c r="C7146" s="226"/>
      <c r="D7146" s="1869"/>
      <c r="E7146" s="232"/>
      <c r="F7146" s="226"/>
      <c r="G7146" s="229"/>
      <c r="H7146" s="200"/>
      <c r="I7146" s="1860"/>
      <c r="J7146" s="1860"/>
      <c r="K7146" s="1860"/>
      <c r="L7146" s="1860"/>
      <c r="M7146" s="1860"/>
      <c r="N7146" s="1860"/>
      <c r="O7146" s="1860"/>
      <c r="P7146" s="1860"/>
      <c r="Q7146" s="1860"/>
      <c r="R7146" s="1860"/>
    </row>
    <row r="7147" spans="1:18" ht="15.75" thickBot="1" x14ac:dyDescent="0.3">
      <c r="A7147" s="1861"/>
      <c r="B7147" s="1863"/>
      <c r="C7147" s="226"/>
      <c r="D7147" s="1869"/>
      <c r="E7147" s="232"/>
      <c r="F7147" s="226"/>
      <c r="G7147" s="229"/>
      <c r="H7147" s="200"/>
      <c r="I7147" s="1860"/>
      <c r="J7147" s="1860"/>
      <c r="K7147" s="1860"/>
      <c r="L7147" s="1860"/>
      <c r="M7147" s="1860"/>
      <c r="N7147" s="1860"/>
      <c r="O7147" s="1860"/>
      <c r="P7147" s="1860"/>
      <c r="Q7147" s="1860"/>
      <c r="R7147" s="1860"/>
    </row>
    <row r="7148" spans="1:18" ht="15.75" thickBot="1" x14ac:dyDescent="0.3">
      <c r="A7148" s="1861"/>
      <c r="B7148" s="233"/>
      <c r="C7148" s="234"/>
      <c r="D7148" s="1870"/>
      <c r="E7148" s="234"/>
      <c r="F7148" s="235"/>
      <c r="G7148" s="236"/>
      <c r="H7148" s="237">
        <f>+SUM(G7142:G7148)</f>
        <v>24246.456111111114</v>
      </c>
      <c r="I7148" s="1860"/>
      <c r="J7148" s="1860"/>
      <c r="K7148" s="1860"/>
      <c r="L7148" s="1860"/>
      <c r="M7148" s="1860"/>
      <c r="N7148" s="1860"/>
      <c r="O7148" s="1860"/>
      <c r="P7148" s="1860"/>
      <c r="Q7148" s="1860"/>
      <c r="R7148" s="1860"/>
    </row>
    <row r="7149" spans="1:18" ht="15.75" thickBot="1" x14ac:dyDescent="0.3">
      <c r="A7149" s="1861"/>
      <c r="B7149" s="238"/>
      <c r="C7149" s="238"/>
      <c r="D7149" s="1871"/>
      <c r="E7149" s="238"/>
      <c r="F7149" s="239"/>
      <c r="G7149" s="240"/>
      <c r="H7149" s="241"/>
      <c r="I7149" s="1860"/>
      <c r="J7149" s="1860"/>
      <c r="K7149" s="1860"/>
      <c r="L7149" s="1860"/>
      <c r="M7149" s="1860"/>
      <c r="N7149" s="1860"/>
      <c r="O7149" s="1860"/>
      <c r="P7149" s="1860"/>
      <c r="Q7149" s="1860"/>
      <c r="R7149" s="1860"/>
    </row>
    <row r="7150" spans="1:18" ht="15.75" thickBot="1" x14ac:dyDescent="0.3">
      <c r="A7150" s="1861"/>
      <c r="B7150" s="224" t="s">
        <v>5408</v>
      </c>
      <c r="C7150" s="193" t="s">
        <v>867</v>
      </c>
      <c r="D7150" s="951" t="s">
        <v>6</v>
      </c>
      <c r="E7150" s="193" t="s">
        <v>870</v>
      </c>
      <c r="F7150" s="193" t="s">
        <v>5409</v>
      </c>
      <c r="G7150" s="225" t="s">
        <v>868</v>
      </c>
      <c r="H7150" s="200"/>
      <c r="I7150" s="1860"/>
      <c r="J7150" s="1860"/>
      <c r="K7150" s="1860"/>
      <c r="L7150" s="1860"/>
      <c r="M7150" s="1860"/>
      <c r="N7150" s="1860"/>
      <c r="O7150" s="1860"/>
      <c r="P7150" s="1860"/>
      <c r="Q7150" s="1860"/>
      <c r="R7150" s="1860"/>
    </row>
    <row r="7151" spans="1:18" x14ac:dyDescent="0.25">
      <c r="A7151" s="1861"/>
      <c r="B7151" s="295"/>
      <c r="C7151" s="1565"/>
      <c r="D7151" s="1865"/>
      <c r="E7151" s="228"/>
      <c r="F7151" s="1552"/>
      <c r="G7151" s="178"/>
      <c r="H7151" s="200"/>
      <c r="I7151" s="1860"/>
      <c r="J7151" s="1860"/>
      <c r="K7151" s="1860"/>
      <c r="L7151" s="1860"/>
      <c r="M7151" s="1860"/>
      <c r="N7151" s="1860"/>
      <c r="O7151" s="1860"/>
      <c r="P7151" s="1860"/>
      <c r="Q7151" s="1860"/>
      <c r="R7151" s="1860"/>
    </row>
    <row r="7152" spans="1:18" x14ac:dyDescent="0.25">
      <c r="A7152" s="1861"/>
      <c r="B7152" s="450"/>
      <c r="C7152" s="1565"/>
      <c r="D7152" s="1864"/>
      <c r="E7152" s="228"/>
      <c r="F7152" s="1552"/>
      <c r="G7152" s="178"/>
      <c r="H7152" s="200"/>
      <c r="I7152" s="1860"/>
      <c r="J7152" s="1860"/>
      <c r="K7152" s="1860"/>
      <c r="L7152" s="1860"/>
      <c r="M7152" s="1860"/>
      <c r="N7152" s="1860"/>
      <c r="O7152" s="1860"/>
      <c r="P7152" s="1860"/>
      <c r="Q7152" s="1860"/>
      <c r="R7152" s="1860"/>
    </row>
    <row r="7153" spans="1:18" x14ac:dyDescent="0.25">
      <c r="A7153" s="1861"/>
      <c r="B7153" s="247"/>
      <c r="C7153" s="226"/>
      <c r="D7153" s="1865"/>
      <c r="E7153" s="228"/>
      <c r="F7153" s="1552"/>
      <c r="G7153" s="178"/>
      <c r="H7153" s="200"/>
      <c r="I7153" s="1860"/>
      <c r="J7153" s="1860"/>
      <c r="K7153" s="1860"/>
      <c r="L7153" s="1860"/>
      <c r="M7153" s="1860"/>
      <c r="N7153" s="1860"/>
      <c r="O7153" s="1860"/>
      <c r="P7153" s="1860"/>
      <c r="Q7153" s="1860"/>
      <c r="R7153" s="1860"/>
    </row>
    <row r="7154" spans="1:18" x14ac:dyDescent="0.25">
      <c r="A7154" s="1861"/>
      <c r="B7154" s="1862"/>
      <c r="C7154" s="226"/>
      <c r="D7154" s="1865"/>
      <c r="E7154" s="228"/>
      <c r="F7154" s="1552"/>
      <c r="G7154" s="178"/>
      <c r="H7154" s="200"/>
      <c r="I7154" s="1860"/>
      <c r="J7154" s="1860"/>
      <c r="K7154" s="1860"/>
      <c r="L7154" s="1860"/>
      <c r="M7154" s="1860"/>
      <c r="N7154" s="1860"/>
      <c r="O7154" s="1860"/>
      <c r="P7154" s="1860"/>
      <c r="Q7154" s="1860"/>
      <c r="R7154" s="1860"/>
    </row>
    <row r="7155" spans="1:18" x14ac:dyDescent="0.25">
      <c r="A7155" s="1861"/>
      <c r="B7155" s="1863"/>
      <c r="C7155" s="226"/>
      <c r="D7155" s="1865"/>
      <c r="E7155" s="176"/>
      <c r="F7155" s="1552"/>
      <c r="G7155" s="178"/>
      <c r="H7155" s="200"/>
      <c r="I7155" s="1860"/>
      <c r="J7155" s="1860"/>
      <c r="K7155" s="1860"/>
      <c r="L7155" s="1860"/>
      <c r="M7155" s="1860"/>
      <c r="N7155" s="1860"/>
      <c r="O7155" s="1860"/>
      <c r="P7155" s="1860"/>
      <c r="Q7155" s="1860"/>
      <c r="R7155" s="1860"/>
    </row>
    <row r="7156" spans="1:18" x14ac:dyDescent="0.25">
      <c r="A7156" s="1861"/>
      <c r="B7156" s="1862"/>
      <c r="C7156" s="1565"/>
      <c r="D7156" s="1864"/>
      <c r="E7156" s="176"/>
      <c r="F7156" s="1552"/>
      <c r="G7156" s="178"/>
      <c r="H7156" s="200"/>
      <c r="I7156" s="1860"/>
      <c r="J7156" s="1860"/>
      <c r="K7156" s="1860"/>
      <c r="L7156" s="1860"/>
      <c r="M7156" s="1860"/>
      <c r="N7156" s="1860"/>
      <c r="O7156" s="1860"/>
      <c r="P7156" s="1860"/>
      <c r="Q7156" s="1860"/>
      <c r="R7156" s="1860"/>
    </row>
    <row r="7157" spans="1:18" x14ac:dyDescent="0.25">
      <c r="A7157" s="1861"/>
      <c r="B7157" s="1863"/>
      <c r="C7157" s="226"/>
      <c r="D7157" s="1865"/>
      <c r="E7157" s="176"/>
      <c r="F7157" s="1552"/>
      <c r="G7157" s="178"/>
      <c r="H7157" s="200"/>
      <c r="I7157" s="1860"/>
      <c r="J7157" s="1860"/>
      <c r="K7157" s="1860"/>
      <c r="L7157" s="1860"/>
      <c r="M7157" s="1860"/>
      <c r="N7157" s="1860"/>
      <c r="O7157" s="1860"/>
      <c r="P7157" s="1860"/>
      <c r="Q7157" s="1860"/>
      <c r="R7157" s="1860"/>
    </row>
    <row r="7158" spans="1:18" x14ac:dyDescent="0.25">
      <c r="A7158" s="1861"/>
      <c r="B7158" s="1863"/>
      <c r="C7158" s="226"/>
      <c r="D7158" s="1865"/>
      <c r="E7158" s="176"/>
      <c r="F7158" s="1552"/>
      <c r="G7158" s="178"/>
      <c r="H7158" s="200"/>
      <c r="I7158" s="1860"/>
      <c r="J7158" s="1860"/>
      <c r="K7158" s="1860"/>
      <c r="L7158" s="1860"/>
      <c r="M7158" s="1860"/>
      <c r="N7158" s="1860"/>
      <c r="O7158" s="1860"/>
      <c r="P7158" s="1860"/>
      <c r="Q7158" s="1860"/>
      <c r="R7158" s="1860"/>
    </row>
    <row r="7159" spans="1:18" x14ac:dyDescent="0.25">
      <c r="A7159" s="1861"/>
      <c r="B7159" s="1863"/>
      <c r="C7159" s="232"/>
      <c r="D7159" s="1869"/>
      <c r="E7159" s="232"/>
      <c r="F7159" s="226"/>
      <c r="G7159" s="229"/>
      <c r="H7159" s="200"/>
      <c r="I7159" s="1860"/>
      <c r="J7159" s="1860"/>
      <c r="K7159" s="1860"/>
      <c r="L7159" s="1860"/>
      <c r="M7159" s="1860"/>
      <c r="N7159" s="1860"/>
      <c r="O7159" s="1860"/>
      <c r="P7159" s="1860"/>
      <c r="Q7159" s="1860"/>
      <c r="R7159" s="1860"/>
    </row>
    <row r="7160" spans="1:18" x14ac:dyDescent="0.25">
      <c r="A7160" s="1861"/>
      <c r="B7160" s="1863"/>
      <c r="C7160" s="232"/>
      <c r="D7160" s="1869"/>
      <c r="E7160" s="232"/>
      <c r="F7160" s="226"/>
      <c r="G7160" s="229"/>
      <c r="H7160" s="200"/>
      <c r="I7160" s="1860"/>
      <c r="J7160" s="1860"/>
      <c r="K7160" s="1860"/>
      <c r="L7160" s="1860"/>
      <c r="M7160" s="1860"/>
      <c r="N7160" s="1860"/>
      <c r="O7160" s="1860"/>
      <c r="P7160" s="1860"/>
      <c r="Q7160" s="1860"/>
      <c r="R7160" s="1860"/>
    </row>
    <row r="7161" spans="1:18" x14ac:dyDescent="0.25">
      <c r="A7161" s="1861"/>
      <c r="B7161" s="1863"/>
      <c r="C7161" s="232"/>
      <c r="D7161" s="1869"/>
      <c r="E7161" s="232"/>
      <c r="F7161" s="226"/>
      <c r="G7161" s="229"/>
      <c r="H7161" s="200"/>
      <c r="I7161" s="1860"/>
      <c r="J7161" s="1860"/>
      <c r="K7161" s="1860"/>
      <c r="L7161" s="1860"/>
      <c r="M7161" s="1860"/>
      <c r="N7161" s="1860"/>
      <c r="O7161" s="1860"/>
      <c r="P7161" s="1860"/>
      <c r="Q7161" s="1860"/>
      <c r="R7161" s="1860"/>
    </row>
    <row r="7162" spans="1:18" ht="15.75" thickBot="1" x14ac:dyDescent="0.3">
      <c r="A7162" s="1861"/>
      <c r="B7162" s="1863"/>
      <c r="C7162" s="232"/>
      <c r="D7162" s="1869"/>
      <c r="E7162" s="232"/>
      <c r="F7162" s="226"/>
      <c r="G7162" s="229"/>
      <c r="H7162" s="200"/>
      <c r="I7162" s="1860"/>
      <c r="J7162" s="1860"/>
      <c r="K7162" s="1860"/>
      <c r="L7162" s="1860"/>
      <c r="M7162" s="1860"/>
      <c r="N7162" s="1860"/>
      <c r="O7162" s="1860"/>
      <c r="P7162" s="1860"/>
      <c r="Q7162" s="1860"/>
      <c r="R7162" s="1860"/>
    </row>
    <row r="7163" spans="1:18" ht="15.75" thickBot="1" x14ac:dyDescent="0.3">
      <c r="A7163" s="1861"/>
      <c r="B7163" s="233"/>
      <c r="C7163" s="234"/>
      <c r="D7163" s="1870"/>
      <c r="E7163" s="234"/>
      <c r="F7163" s="235"/>
      <c r="G7163" s="236"/>
      <c r="H7163" s="256">
        <f>+SUM(G7151:G7163)</f>
        <v>0</v>
      </c>
      <c r="I7163" s="1860"/>
      <c r="J7163" s="1860"/>
      <c r="K7163" s="1860"/>
      <c r="L7163" s="1860"/>
      <c r="M7163" s="1860"/>
      <c r="N7163" s="1860"/>
      <c r="O7163" s="1860"/>
      <c r="P7163" s="1860"/>
      <c r="Q7163" s="1860"/>
      <c r="R7163" s="1860"/>
    </row>
    <row r="7164" spans="1:18" ht="15.75" thickBot="1" x14ac:dyDescent="0.3">
      <c r="A7164" s="1861"/>
      <c r="B7164" s="238"/>
      <c r="C7164" s="238"/>
      <c r="D7164" s="1871"/>
      <c r="E7164" s="238"/>
      <c r="F7164" s="239"/>
      <c r="G7164" s="240"/>
      <c r="H7164" s="241"/>
      <c r="I7164" s="1860"/>
      <c r="J7164" s="1860"/>
      <c r="K7164" s="1860"/>
      <c r="L7164" s="1860"/>
      <c r="M7164" s="1860"/>
      <c r="N7164" s="1860"/>
      <c r="O7164" s="1860"/>
      <c r="P7164" s="1860"/>
      <c r="Q7164" s="1860"/>
      <c r="R7164" s="1860"/>
    </row>
    <row r="7165" spans="1:18" ht="15.75" thickBot="1" x14ac:dyDescent="0.3">
      <c r="A7165" s="1861"/>
      <c r="B7165" s="224" t="s">
        <v>5410</v>
      </c>
      <c r="C7165" s="193" t="s">
        <v>867</v>
      </c>
      <c r="D7165" s="951" t="s">
        <v>6</v>
      </c>
      <c r="E7165" s="193" t="s">
        <v>870</v>
      </c>
      <c r="F7165" s="193" t="s">
        <v>5411</v>
      </c>
      <c r="G7165" s="225" t="s">
        <v>868</v>
      </c>
      <c r="H7165" s="200"/>
      <c r="I7165" s="1860"/>
      <c r="J7165" s="1860"/>
      <c r="K7165" s="1860"/>
      <c r="L7165" s="1860"/>
      <c r="M7165" s="1860"/>
      <c r="N7165" s="1860"/>
      <c r="O7165" s="1860"/>
      <c r="P7165" s="1860"/>
      <c r="Q7165" s="1860"/>
      <c r="R7165" s="1860"/>
    </row>
    <row r="7166" spans="1:18" x14ac:dyDescent="0.25">
      <c r="A7166" s="1861"/>
      <c r="B7166" s="245"/>
      <c r="C7166" s="1565"/>
      <c r="D7166" s="1864"/>
      <c r="E7166" s="175"/>
      <c r="F7166" s="1565"/>
      <c r="G7166" s="203"/>
      <c r="H7166" s="246"/>
      <c r="I7166" s="1860"/>
      <c r="J7166" s="1860"/>
      <c r="K7166" s="1860"/>
      <c r="L7166" s="1860"/>
      <c r="M7166" s="1860"/>
      <c r="N7166" s="1860"/>
      <c r="O7166" s="1860"/>
      <c r="P7166" s="1860"/>
      <c r="Q7166" s="1860"/>
      <c r="R7166" s="1860"/>
    </row>
    <row r="7167" spans="1:18" x14ac:dyDescent="0.25">
      <c r="A7167" s="1861"/>
      <c r="B7167" s="247"/>
      <c r="C7167" s="248"/>
      <c r="D7167" s="961"/>
      <c r="E7167" s="248"/>
      <c r="F7167" s="1565"/>
      <c r="G7167" s="178"/>
      <c r="H7167" s="200"/>
      <c r="I7167" s="1860"/>
      <c r="J7167" s="1860"/>
      <c r="K7167" s="1860"/>
      <c r="L7167" s="1860"/>
      <c r="M7167" s="1860"/>
      <c r="N7167" s="1860"/>
      <c r="O7167" s="1860"/>
      <c r="P7167" s="1860"/>
      <c r="Q7167" s="1860"/>
      <c r="R7167" s="1860"/>
    </row>
    <row r="7168" spans="1:18" x14ac:dyDescent="0.25">
      <c r="A7168" s="1861"/>
      <c r="B7168" s="247"/>
      <c r="C7168" s="232"/>
      <c r="D7168" s="1869"/>
      <c r="E7168" s="232"/>
      <c r="F7168" s="226"/>
      <c r="G7168" s="229"/>
      <c r="H7168" s="200"/>
    </row>
    <row r="7169" spans="1:8" x14ac:dyDescent="0.25">
      <c r="A7169" s="1861"/>
      <c r="B7169" s="1862"/>
      <c r="C7169" s="232"/>
      <c r="D7169" s="1869"/>
      <c r="E7169" s="232"/>
      <c r="F7169" s="226"/>
      <c r="G7169" s="229"/>
      <c r="H7169" s="200"/>
    </row>
    <row r="7170" spans="1:8" ht="15.75" thickBot="1" x14ac:dyDescent="0.3">
      <c r="A7170" s="1861"/>
      <c r="B7170" s="1863"/>
      <c r="C7170" s="232"/>
      <c r="D7170" s="1869"/>
      <c r="E7170" s="232"/>
      <c r="F7170" s="226"/>
      <c r="G7170" s="229"/>
      <c r="H7170" s="200"/>
    </row>
    <row r="7171" spans="1:8" ht="15.75" thickBot="1" x14ac:dyDescent="0.3">
      <c r="A7171" s="1861"/>
      <c r="B7171" s="233"/>
      <c r="C7171" s="234"/>
      <c r="D7171" s="1870"/>
      <c r="E7171" s="234"/>
      <c r="F7171" s="235"/>
      <c r="G7171" s="236"/>
      <c r="H7171" s="237">
        <f>+SUM(G7166:G7171)</f>
        <v>0</v>
      </c>
    </row>
    <row r="7172" spans="1:8" ht="15.75" thickBot="1" x14ac:dyDescent="0.3">
      <c r="A7172" s="1861"/>
      <c r="B7172" s="238"/>
      <c r="C7172" s="238"/>
      <c r="D7172" s="1871"/>
      <c r="E7172" s="238"/>
      <c r="F7172" s="249"/>
      <c r="G7172" s="250"/>
      <c r="H7172" s="241"/>
    </row>
    <row r="7173" spans="1:8" ht="15.75" thickBot="1" x14ac:dyDescent="0.3">
      <c r="A7173" s="1861"/>
      <c r="B7173" s="224" t="s">
        <v>5412</v>
      </c>
      <c r="C7173" s="193" t="s">
        <v>5420</v>
      </c>
      <c r="D7173" s="951" t="s">
        <v>5421</v>
      </c>
      <c r="E7173" s="193" t="s">
        <v>5413</v>
      </c>
      <c r="F7173" s="193" t="s">
        <v>5405</v>
      </c>
      <c r="G7173" s="225" t="s">
        <v>868</v>
      </c>
      <c r="H7173" s="200"/>
    </row>
    <row r="7174" spans="1:8" x14ac:dyDescent="0.25">
      <c r="A7174" s="1861"/>
      <c r="B7174" s="1862" t="s">
        <v>6523</v>
      </c>
      <c r="C7174" s="1866">
        <f>+VLOOKUP($B7174,'Mano de obra'!$A$5:$D$26,2,FALSE)</f>
        <v>57454</v>
      </c>
      <c r="D7174" s="1866">
        <f>+VLOOKUP($B7174,'Mano de obra'!$A$5:$D$26,3,FALSE)</f>
        <v>35656</v>
      </c>
      <c r="E7174" s="1866">
        <f>+VLOOKUP($B7174,'Mano de obra'!$A$5:$D$26,4,FALSE)</f>
        <v>93110</v>
      </c>
      <c r="F7174" s="1566">
        <v>45</v>
      </c>
      <c r="G7174" s="1868">
        <f>+E7174/F7174</f>
        <v>2069.1111111111113</v>
      </c>
      <c r="H7174" s="200"/>
    </row>
    <row r="7175" spans="1:8" x14ac:dyDescent="0.25">
      <c r="A7175" s="1861"/>
      <c r="B7175" s="1862" t="s">
        <v>6524</v>
      </c>
      <c r="C7175" s="1866">
        <f>+VLOOKUP($B7175,'Mano de obra'!$A$5:$D$26,2,FALSE)</f>
        <v>44263.8</v>
      </c>
      <c r="D7175" s="1866">
        <f>+VLOOKUP($B7175,'Mano de obra'!$A$5:$D$26,3,FALSE)</f>
        <v>27470</v>
      </c>
      <c r="E7175" s="1866">
        <f>+VLOOKUP($B7175,'Mano de obra'!$A$5:$D$26,4,FALSE)</f>
        <v>71733.8</v>
      </c>
      <c r="F7175" s="1565">
        <v>4</v>
      </c>
      <c r="G7175" s="1868">
        <f>+E7175/F7175</f>
        <v>17933.45</v>
      </c>
      <c r="H7175" s="200"/>
    </row>
    <row r="7176" spans="1:8" x14ac:dyDescent="0.25">
      <c r="A7176" s="1861"/>
      <c r="B7176" s="1863" t="s">
        <v>6525</v>
      </c>
      <c r="C7176" s="1866">
        <f>+VLOOKUP($B7176,'Mano de obra'!$A$5:$D$26,2,FALSE)</f>
        <v>24591</v>
      </c>
      <c r="D7176" s="1866">
        <f>+VLOOKUP($B7176,'Mano de obra'!$A$5:$D$26,3,FALSE)</f>
        <v>15261</v>
      </c>
      <c r="E7176" s="1866">
        <f>+VLOOKUP($B7176,'Mano de obra'!$A$5:$D$26,4,FALSE)</f>
        <v>39852</v>
      </c>
      <c r="F7176" s="226">
        <v>2</v>
      </c>
      <c r="G7176" s="1868">
        <f>+E7176/F7176</f>
        <v>19926</v>
      </c>
      <c r="H7176" s="200"/>
    </row>
    <row r="7177" spans="1:8" x14ac:dyDescent="0.25">
      <c r="A7177" s="1861"/>
      <c r="B7177" s="1863"/>
      <c r="C7177" s="171"/>
      <c r="D7177" s="965"/>
      <c r="E7177" s="228"/>
      <c r="F7177" s="226"/>
      <c r="G7177" s="178"/>
      <c r="H7177" s="200"/>
    </row>
    <row r="7178" spans="1:8" x14ac:dyDescent="0.25">
      <c r="A7178" s="1861"/>
      <c r="B7178" s="1863"/>
      <c r="C7178" s="232"/>
      <c r="D7178" s="1869"/>
      <c r="E7178" s="232"/>
      <c r="F7178" s="226"/>
      <c r="G7178" s="229"/>
      <c r="H7178" s="200"/>
    </row>
    <row r="7179" spans="1:8" ht="15.75" thickBot="1" x14ac:dyDescent="0.3">
      <c r="A7179" s="1861"/>
      <c r="B7179" s="1863"/>
      <c r="C7179" s="232"/>
      <c r="D7179" s="1869"/>
      <c r="E7179" s="232"/>
      <c r="F7179" s="226"/>
      <c r="G7179" s="229"/>
      <c r="H7179" s="200"/>
    </row>
    <row r="7180" spans="1:8" ht="15.75" thickBot="1" x14ac:dyDescent="0.3">
      <c r="A7180" s="1861"/>
      <c r="B7180" s="251"/>
      <c r="C7180" s="252"/>
      <c r="D7180" s="1872"/>
      <c r="E7180" s="252"/>
      <c r="F7180" s="253"/>
      <c r="G7180" s="254"/>
      <c r="H7180" s="256">
        <f>+SUM(G7174:G7180)</f>
        <v>39928.561111111114</v>
      </c>
    </row>
    <row r="7181" spans="1:8" ht="15.75" thickBot="1" x14ac:dyDescent="0.3">
      <c r="A7181" s="1861"/>
      <c r="B7181" s="8"/>
      <c r="C7181" s="8"/>
      <c r="D7181" s="1867"/>
      <c r="E7181" s="8"/>
      <c r="F7181" s="1861"/>
      <c r="G7181" s="200"/>
      <c r="H7181" s="200"/>
    </row>
    <row r="7182" spans="1:8" ht="15.75" thickBot="1" x14ac:dyDescent="0.3">
      <c r="A7182" s="1861" t="s">
        <v>6744</v>
      </c>
      <c r="B7182" s="8"/>
      <c r="C7182" s="8"/>
      <c r="D7182" s="1867"/>
      <c r="E7182" s="223" t="s">
        <v>5415</v>
      </c>
      <c r="F7182" s="223"/>
      <c r="G7182" s="200"/>
      <c r="H7182" s="256">
        <f>ROUND(+H7180+H7171+H7163+H7148,0)</f>
        <v>64175</v>
      </c>
    </row>
    <row r="7183" spans="1:8" x14ac:dyDescent="0.25">
      <c r="A7183" s="1860"/>
      <c r="B7183" s="1860"/>
      <c r="C7183" s="1860"/>
      <c r="D7183" s="1873"/>
      <c r="E7183" s="1860"/>
      <c r="F7183" s="1860"/>
      <c r="G7183" s="1860"/>
      <c r="H7183" s="1860"/>
    </row>
  </sheetData>
  <mergeCells count="149">
    <mergeCell ref="C7137:E7137"/>
    <mergeCell ref="C5905:E5905"/>
    <mergeCell ref="C5953:E5953"/>
    <mergeCell ref="C6001:E6001"/>
    <mergeCell ref="C6049:E6049"/>
    <mergeCell ref="C6097:E6097"/>
    <mergeCell ref="C6887:E6887"/>
    <mergeCell ref="C6836:E6836"/>
    <mergeCell ref="C6585:E6585"/>
    <mergeCell ref="C6636:E6636"/>
    <mergeCell ref="C6684:E6684"/>
    <mergeCell ref="C6735:E6735"/>
    <mergeCell ref="C6786:E6786"/>
    <mergeCell ref="C6535:E6535"/>
    <mergeCell ref="C6486:E6486"/>
    <mergeCell ref="C6437:E6437"/>
    <mergeCell ref="C6193:E6193"/>
    <mergeCell ref="C6145:E6145"/>
    <mergeCell ref="C6241:E6241"/>
    <mergeCell ref="C6937:E6937"/>
    <mergeCell ref="C6987:E6987"/>
    <mergeCell ref="C7037:E7037"/>
    <mergeCell ref="C7087:E7087"/>
    <mergeCell ref="C6290:E6290"/>
    <mergeCell ref="C6339:E6339"/>
    <mergeCell ref="C6388:E6388"/>
    <mergeCell ref="C4:E4"/>
    <mergeCell ref="C54:E54"/>
    <mergeCell ref="C154:E154"/>
    <mergeCell ref="C202:E202"/>
    <mergeCell ref="C301:E301"/>
    <mergeCell ref="C1290:E1290"/>
    <mergeCell ref="C846:E846"/>
    <mergeCell ref="C896:E896"/>
    <mergeCell ref="C945:E945"/>
    <mergeCell ref="C1092:E1092"/>
    <mergeCell ref="C1142:E1142"/>
    <mergeCell ref="C1191:E1191"/>
    <mergeCell ref="C994:E994"/>
    <mergeCell ref="C1043:E1043"/>
    <mergeCell ref="C105:E105"/>
    <mergeCell ref="C598:E598"/>
    <mergeCell ref="C351:E351"/>
    <mergeCell ref="C251:E251"/>
    <mergeCell ref="C1338:E1338"/>
    <mergeCell ref="C1387:E1387"/>
    <mergeCell ref="C1435:E1435"/>
    <mergeCell ref="C401:E401"/>
    <mergeCell ref="C451:E451"/>
    <mergeCell ref="C500:E500"/>
    <mergeCell ref="C549:E549"/>
    <mergeCell ref="C1241:E1241"/>
    <mergeCell ref="C647:E647"/>
    <mergeCell ref="C696:E696"/>
    <mergeCell ref="C745:E745"/>
    <mergeCell ref="C796:E796"/>
    <mergeCell ref="C1484:E1484"/>
    <mergeCell ref="C1532:E1532"/>
    <mergeCell ref="C2110:E2110"/>
    <mergeCell ref="C1580:E1580"/>
    <mergeCell ref="C1628:E1628"/>
    <mergeCell ref="C1676:E1676"/>
    <mergeCell ref="C1724:E1724"/>
    <mergeCell ref="C1772:E1772"/>
    <mergeCell ref="C1821:E1821"/>
    <mergeCell ref="C1869:E1869"/>
    <mergeCell ref="C1917:E1917"/>
    <mergeCell ref="C1965:E1965"/>
    <mergeCell ref="C2013:E2013"/>
    <mergeCell ref="C2062:E2062"/>
    <mergeCell ref="C2158:E2158"/>
    <mergeCell ref="C2206:E2206"/>
    <mergeCell ref="C2254:E2254"/>
    <mergeCell ref="C2302:E2302"/>
    <mergeCell ref="C2350:E2350"/>
    <mergeCell ref="C2399:E2399"/>
    <mergeCell ref="C2447:E2447"/>
    <mergeCell ref="C2495:E2495"/>
    <mergeCell ref="C2543:E2543"/>
    <mergeCell ref="C2591:E2591"/>
    <mergeCell ref="C2639:E2639"/>
    <mergeCell ref="C2687:E2687"/>
    <mergeCell ref="C2879:E2879"/>
    <mergeCell ref="C2831:E2831"/>
    <mergeCell ref="C2783:E2783"/>
    <mergeCell ref="C2735:E2735"/>
    <mergeCell ref="C3456:E3456"/>
    <mergeCell ref="C2927:E2927"/>
    <mergeCell ref="C2976:E2976"/>
    <mergeCell ref="C3024:E3024"/>
    <mergeCell ref="C3072:E3072"/>
    <mergeCell ref="C3120:E3120"/>
    <mergeCell ref="C3168:E3168"/>
    <mergeCell ref="C3216:E3216"/>
    <mergeCell ref="C3264:E3264"/>
    <mergeCell ref="C3312:E3312"/>
    <mergeCell ref="C3360:E3360"/>
    <mergeCell ref="C3408:E3408"/>
    <mergeCell ref="C4032:E4032"/>
    <mergeCell ref="C3504:E3504"/>
    <mergeCell ref="C3552:E3552"/>
    <mergeCell ref="C3600:E3600"/>
    <mergeCell ref="C3648:E3648"/>
    <mergeCell ref="C3696:E3696"/>
    <mergeCell ref="C3744:E3744"/>
    <mergeCell ref="C3792:E3792"/>
    <mergeCell ref="C3840:E3840"/>
    <mergeCell ref="C3888:E3888"/>
    <mergeCell ref="C3936:E3936"/>
    <mergeCell ref="C3984:E3984"/>
    <mergeCell ref="C4080:E4080"/>
    <mergeCell ref="C4128:E4128"/>
    <mergeCell ref="C4176:E4176"/>
    <mergeCell ref="C4224:E4224"/>
    <mergeCell ref="C4272:E4272"/>
    <mergeCell ref="C4320:E4320"/>
    <mergeCell ref="C5141:E5141"/>
    <mergeCell ref="C5191:E5191"/>
    <mergeCell ref="C5243:E5243"/>
    <mergeCell ref="C4513:E4513"/>
    <mergeCell ref="C4562:E4562"/>
    <mergeCell ref="C4610:E4610"/>
    <mergeCell ref="C5043:E5043"/>
    <mergeCell ref="C5092:E5092"/>
    <mergeCell ref="C4898:E4898"/>
    <mergeCell ref="C4947:E4947"/>
    <mergeCell ref="C4995:E4995"/>
    <mergeCell ref="C4706:E4706"/>
    <mergeCell ref="C4658:E4658"/>
    <mergeCell ref="C4754:E4754"/>
    <mergeCell ref="C4802:E4802"/>
    <mergeCell ref="C4850:E4850"/>
    <mergeCell ref="C4368:E4368"/>
    <mergeCell ref="C4416:E4416"/>
    <mergeCell ref="C4464:E4464"/>
    <mergeCell ref="C5290:E5290"/>
    <mergeCell ref="C5760:E5760"/>
    <mergeCell ref="C5761:E5761"/>
    <mergeCell ref="C5809:E5809"/>
    <mergeCell ref="C5857:E5857"/>
    <mergeCell ref="C5339:E5339"/>
    <mergeCell ref="C5388:E5388"/>
    <mergeCell ref="C5427:E5427"/>
    <mergeCell ref="C5474:E5474"/>
    <mergeCell ref="C5522:E5522"/>
    <mergeCell ref="C5570:E5570"/>
    <mergeCell ref="C5618:E5618"/>
    <mergeCell ref="C5666:E5666"/>
    <mergeCell ref="C5714:E5714"/>
  </mergeCells>
  <conditionalFormatting sqref="B1787">
    <cfRule type="duplicateValues" dxfId="555" priority="479" stopIfTrue="1"/>
  </conditionalFormatting>
  <conditionalFormatting sqref="B4576">
    <cfRule type="duplicateValues" dxfId="554" priority="478" stopIfTrue="1"/>
  </conditionalFormatting>
  <conditionalFormatting sqref="B5106">
    <cfRule type="duplicateValues" dxfId="553" priority="477" stopIfTrue="1"/>
  </conditionalFormatting>
  <conditionalFormatting sqref="B5220">
    <cfRule type="duplicateValues" dxfId="552" priority="471" stopIfTrue="1"/>
  </conditionalFormatting>
  <conditionalFormatting sqref="B5256">
    <cfRule type="duplicateValues" dxfId="551" priority="470" stopIfTrue="1"/>
  </conditionalFormatting>
  <conditionalFormatting sqref="A6192:H6192 A6289:H6289 A6338:H6338 A6387:H6387 A6436:H6436">
    <cfRule type="containsErrors" dxfId="550" priority="469">
      <formula>ISERROR(A6192)</formula>
    </cfRule>
  </conditionalFormatting>
  <conditionalFormatting sqref="B5576">
    <cfRule type="duplicateValues" dxfId="549" priority="468" stopIfTrue="1"/>
  </conditionalFormatting>
  <conditionalFormatting sqref="C5761">
    <cfRule type="containsErrors" dxfId="548" priority="447">
      <formula>ISERROR(C5761)</formula>
    </cfRule>
  </conditionalFormatting>
  <conditionalFormatting sqref="A5806:H5806 A5801:A5805">
    <cfRule type="containsErrors" dxfId="547" priority="467">
      <formula>ISERROR(A5801)</formula>
    </cfRule>
  </conditionalFormatting>
  <conditionalFormatting sqref="A5762:H5763 A5760:B5760 F5760:H5760 A5764:A5800">
    <cfRule type="containsErrors" dxfId="546" priority="466">
      <formula>ISERROR(A5760)</formula>
    </cfRule>
  </conditionalFormatting>
  <conditionalFormatting sqref="C5760:E5760">
    <cfRule type="containsErrors" dxfId="545" priority="465">
      <formula>ISERROR(C5760)</formula>
    </cfRule>
  </conditionalFormatting>
  <conditionalFormatting sqref="H5765:H5768 B5805:G5805 B5769:H5774 B5779:H5797 F5775:H5775 D5775 B5798:E5798 G5798:H5800 F5800 B5802:H5804 C5776:H5778 C5801:H5801">
    <cfRule type="containsErrors" dxfId="544" priority="462">
      <formula>ISERROR(B5765)</formula>
    </cfRule>
  </conditionalFormatting>
  <conditionalFormatting sqref="B5764:H5764 H5765:H5768 B5769:H5774 B5779:H5797 F5775:H5775 D5775 G5798:H5800 B5798:E5798 D5801 C5776:H5778">
    <cfRule type="containsErrors" dxfId="543" priority="463">
      <formula>ISERROR(B5764)</formula>
    </cfRule>
  </conditionalFormatting>
  <conditionalFormatting sqref="C5765:G5765 B5766:G5768">
    <cfRule type="containsErrors" dxfId="542" priority="460">
      <formula>ISERROR(B5765)</formula>
    </cfRule>
  </conditionalFormatting>
  <conditionalFormatting sqref="C5765:G5765 B5766:G5768">
    <cfRule type="containsErrors" dxfId="541" priority="461">
      <formula>ISERROR(B5765)</formula>
    </cfRule>
  </conditionalFormatting>
  <conditionalFormatting sqref="F5798:F5800">
    <cfRule type="containsErrors" dxfId="540" priority="459">
      <formula>ISERROR(F5798)</formula>
    </cfRule>
  </conditionalFormatting>
  <conditionalFormatting sqref="F5798:F5800">
    <cfRule type="containsErrors" dxfId="539" priority="458">
      <formula>ISERROR(F5798)</formula>
    </cfRule>
  </conditionalFormatting>
  <conditionalFormatting sqref="B5802:H5804 B5805:G5805 C5801:H5801">
    <cfRule type="containsErrors" dxfId="538" priority="464">
      <formula>ISERROR(B5801)</formula>
    </cfRule>
  </conditionalFormatting>
  <conditionalFormatting sqref="H5805">
    <cfRule type="containsErrors" dxfId="537" priority="457">
      <formula>ISERROR(H5805)</formula>
    </cfRule>
  </conditionalFormatting>
  <conditionalFormatting sqref="H5805">
    <cfRule type="containsErrors" dxfId="536" priority="456">
      <formula>ISERROR(H5805)</formula>
    </cfRule>
  </conditionalFormatting>
  <conditionalFormatting sqref="F5800:G5800 D5801">
    <cfRule type="containsErrors" dxfId="535" priority="455">
      <formula>ISERROR(D5800)</formula>
    </cfRule>
  </conditionalFormatting>
  <conditionalFormatting sqref="B5800:E5800">
    <cfRule type="containsErrors" dxfId="534" priority="453">
      <formula>ISERROR(B5800)</formula>
    </cfRule>
  </conditionalFormatting>
  <conditionalFormatting sqref="B5800:E5800">
    <cfRule type="containsErrors" dxfId="533" priority="454">
      <formula>ISERROR(B5800)</formula>
    </cfRule>
  </conditionalFormatting>
  <conditionalFormatting sqref="B5800:E5800">
    <cfRule type="containsErrors" dxfId="532" priority="452">
      <formula>ISERROR(B5800)</formula>
    </cfRule>
  </conditionalFormatting>
  <conditionalFormatting sqref="B5801">
    <cfRule type="containsErrors" dxfId="531" priority="450">
      <formula>ISERROR(B5801)</formula>
    </cfRule>
  </conditionalFormatting>
  <conditionalFormatting sqref="B5801">
    <cfRule type="containsErrors" dxfId="530" priority="451">
      <formula>ISERROR(B5801)</formula>
    </cfRule>
  </conditionalFormatting>
  <conditionalFormatting sqref="B5801">
    <cfRule type="containsErrors" dxfId="529" priority="449">
      <formula>ISERROR(B5801)</formula>
    </cfRule>
  </conditionalFormatting>
  <conditionalFormatting sqref="A5761 F5761:H5761">
    <cfRule type="containsErrors" dxfId="528" priority="448">
      <formula>ISERROR(A5761)</formula>
    </cfRule>
  </conditionalFormatting>
  <conditionalFormatting sqref="A5807:H5807">
    <cfRule type="containsErrors" dxfId="527" priority="446">
      <formula>ISERROR(A5807)</formula>
    </cfRule>
  </conditionalFormatting>
  <conditionalFormatting sqref="A6000:B6000 F6000:H6000 D6000 A5999:H5999 A5994:A5998">
    <cfRule type="containsErrors" dxfId="526" priority="438">
      <formula>ISERROR(A5994)</formula>
    </cfRule>
  </conditionalFormatting>
  <conditionalFormatting sqref="A6050:H6052 A6049 F6049:H6049 A6053:A6089">
    <cfRule type="containsErrors" dxfId="525" priority="433">
      <formula>ISERROR(A6049)</formula>
    </cfRule>
  </conditionalFormatting>
  <conditionalFormatting sqref="A5954:H5956 A5953 F5953:H5953 A5957:A5993">
    <cfRule type="containsErrors" dxfId="524" priority="437">
      <formula>ISERROR(A5953)</formula>
    </cfRule>
  </conditionalFormatting>
  <conditionalFormatting sqref="A5855:H5856 A5850:A5854">
    <cfRule type="containsErrors" dxfId="523" priority="445">
      <formula>ISERROR(A5850)</formula>
    </cfRule>
  </conditionalFormatting>
  <conditionalFormatting sqref="A5808:H5808">
    <cfRule type="containsErrors" dxfId="522" priority="444">
      <formula>ISERROR(A5808)</formula>
    </cfRule>
  </conditionalFormatting>
  <conditionalFormatting sqref="A5810:H5812 A5809 F5809:H5809 A5813:A5849">
    <cfRule type="containsErrors" dxfId="521" priority="443">
      <formula>ISERROR(A5809)</formula>
    </cfRule>
  </conditionalFormatting>
  <conditionalFormatting sqref="H6095:H6096">
    <cfRule type="containsErrors" dxfId="520" priority="431">
      <formula>ISERROR(H6095)</formula>
    </cfRule>
  </conditionalFormatting>
  <conditionalFormatting sqref="A6095:G6096 A6090:A6094">
    <cfRule type="containsErrors" dxfId="519" priority="434">
      <formula>ISERROR(A6090)</formula>
    </cfRule>
  </conditionalFormatting>
  <conditionalFormatting sqref="A5904:B5904 F5904:H5904 D5904 A5903:H5903 A5898:A5902">
    <cfRule type="containsErrors" dxfId="518" priority="442">
      <formula>ISERROR(A5898)</formula>
    </cfRule>
  </conditionalFormatting>
  <conditionalFormatting sqref="A6048:B6048 F6048:H6048 D6048 A6047:H6047 A6042:A6046">
    <cfRule type="containsErrors" dxfId="517" priority="436">
      <formula>ISERROR(A6042)</formula>
    </cfRule>
  </conditionalFormatting>
  <conditionalFormatting sqref="A6146:H6148 A6145 F6145:H6145 A6149:A6185">
    <cfRule type="containsErrors" dxfId="516" priority="426">
      <formula>ISERROR(A6145)</formula>
    </cfRule>
  </conditionalFormatting>
  <conditionalFormatting sqref="A5858:H5860 A5857 F5857:H5857 A5861:A5897">
    <cfRule type="containsErrors" dxfId="515" priority="441">
      <formula>ISERROR(A5857)</formula>
    </cfRule>
  </conditionalFormatting>
  <conditionalFormatting sqref="H6095:H6096">
    <cfRule type="containsErrors" dxfId="514" priority="430">
      <formula>ISERROR(H6095)</formula>
    </cfRule>
  </conditionalFormatting>
  <conditionalFormatting sqref="A6002:H6004 A6001 F6001:H6001 A6005:A6041">
    <cfRule type="containsErrors" dxfId="513" priority="435">
      <formula>ISERROR(A6001)</formula>
    </cfRule>
  </conditionalFormatting>
  <conditionalFormatting sqref="A5952:B5952 F5952:H5952 D5952 A5951:H5951 A5946:A5950">
    <cfRule type="containsErrors" dxfId="512" priority="440">
      <formula>ISERROR(A5946)</formula>
    </cfRule>
  </conditionalFormatting>
  <conditionalFormatting sqref="A6144:B6144 F6144:H6144 D6144 A6143:H6143 A6138:A6142">
    <cfRule type="containsErrors" dxfId="511" priority="429">
      <formula>ISERROR(A6138)</formula>
    </cfRule>
  </conditionalFormatting>
  <conditionalFormatting sqref="A5906:H5908 A5905 F5905:H5905 A5909:A5945">
    <cfRule type="containsErrors" dxfId="510" priority="439">
      <formula>ISERROR(A5905)</formula>
    </cfRule>
  </conditionalFormatting>
  <conditionalFormatting sqref="B6095:G6096">
    <cfRule type="containsErrors" dxfId="509" priority="432">
      <formula>ISERROR(B6095)</formula>
    </cfRule>
  </conditionalFormatting>
  <conditionalFormatting sqref="A6191:H6191 A6186:A6190">
    <cfRule type="containsErrors" dxfId="508" priority="427">
      <formula>ISERROR(A6186)</formula>
    </cfRule>
  </conditionalFormatting>
  <conditionalFormatting sqref="A6337:B6337 F6337:H6337 D6337 A6336:H6336 A6331:A6335">
    <cfRule type="containsErrors" dxfId="507" priority="421">
      <formula>ISERROR(A6331)</formula>
    </cfRule>
  </conditionalFormatting>
  <conditionalFormatting sqref="A6098:H6100 A6097 F6097:H6097 A6101:A6137">
    <cfRule type="containsErrors" dxfId="506" priority="428">
      <formula>ISERROR(A6097)</formula>
    </cfRule>
  </conditionalFormatting>
  <conditionalFormatting sqref="A6340:H6343 A6344:A6347 H6344:H6347 A6348:H6353 A6357:H6376 G6379:H6379 D6380 A6377:A6379 A6354:A6356 H6354:H6356 H6377:H6378 A6339 F6339:H6339">
    <cfRule type="containsErrors" dxfId="505" priority="418">
      <formula>ISERROR(A6339)</formula>
    </cfRule>
  </conditionalFormatting>
  <conditionalFormatting sqref="A6194:H6196 H6193 A6197:A6233">
    <cfRule type="containsErrors" dxfId="504" priority="424">
      <formula>ISERROR(A6193)</formula>
    </cfRule>
  </conditionalFormatting>
  <conditionalFormatting sqref="A6288:B6288 F6288:H6288 D6288 A6287:H6287 A6282:A6286">
    <cfRule type="containsErrors" dxfId="503" priority="423">
      <formula>ISERROR(A6282)</formula>
    </cfRule>
  </conditionalFormatting>
  <conditionalFormatting sqref="A6240:H6240 A6234:A6239">
    <cfRule type="containsErrors" dxfId="502" priority="425">
      <formula>ISERROR(A6234)</formula>
    </cfRule>
  </conditionalFormatting>
  <conditionalFormatting sqref="A6242:H6244 A6241 F6241:H6241 A6245:A6281">
    <cfRule type="containsErrors" dxfId="501" priority="422">
      <formula>ISERROR(A6241)</formula>
    </cfRule>
  </conditionalFormatting>
  <conditionalFormatting sqref="A6380:H6383 A6386:B6386 F6386:H6386 D6386 A6385:H6385 A6384:G6384">
    <cfRule type="containsErrors" dxfId="500" priority="419">
      <formula>ISERROR(A6380)</formula>
    </cfRule>
  </conditionalFormatting>
  <conditionalFormatting sqref="C6344:G6344 B6345:G6347">
    <cfRule type="containsErrors" dxfId="499" priority="415">
      <formula>ISERROR(B6344)</formula>
    </cfRule>
  </conditionalFormatting>
  <conditionalFormatting sqref="A6291:H6293 A6290 F6290:H6290 A6294:A6330">
    <cfRule type="containsErrors" dxfId="498" priority="420">
      <formula>ISERROR(A6290)</formula>
    </cfRule>
  </conditionalFormatting>
  <conditionalFormatting sqref="F6379">
    <cfRule type="containsErrors" dxfId="497" priority="413">
      <formula>ISERROR(F6379)</formula>
    </cfRule>
  </conditionalFormatting>
  <conditionalFormatting sqref="H6344:H6347 B6384:G6384 B6348:H6353 B6357:H6376 F6379:H6379 B6380:H6383 H6354:H6356 H6377:H6378">
    <cfRule type="containsErrors" dxfId="496" priority="417">
      <formula>ISERROR(B6344)</formula>
    </cfRule>
  </conditionalFormatting>
  <conditionalFormatting sqref="C6344:G6344 B6345:G6347">
    <cfRule type="containsErrors" dxfId="495" priority="416">
      <formula>ISERROR(B6344)</formula>
    </cfRule>
  </conditionalFormatting>
  <conditionalFormatting sqref="F6379">
    <cfRule type="containsErrors" dxfId="494" priority="414">
      <formula>ISERROR(F6379)</formula>
    </cfRule>
  </conditionalFormatting>
  <conditionalFormatting sqref="H6384">
    <cfRule type="containsErrors" dxfId="493" priority="412">
      <formula>ISERROR(H6384)</formula>
    </cfRule>
  </conditionalFormatting>
  <conditionalFormatting sqref="H6384">
    <cfRule type="containsErrors" dxfId="492" priority="411">
      <formula>ISERROR(H6384)</formula>
    </cfRule>
  </conditionalFormatting>
  <conditionalFormatting sqref="B6380">
    <cfRule type="containsErrors" dxfId="491" priority="408">
      <formula>ISERROR(B6380)</formula>
    </cfRule>
  </conditionalFormatting>
  <conditionalFormatting sqref="F6379:G6379 D6380">
    <cfRule type="containsErrors" dxfId="490" priority="410">
      <formula>ISERROR(D6379)</formula>
    </cfRule>
  </conditionalFormatting>
  <conditionalFormatting sqref="B6380">
    <cfRule type="containsErrors" dxfId="489" priority="409">
      <formula>ISERROR(B6380)</formula>
    </cfRule>
  </conditionalFormatting>
  <conditionalFormatting sqref="B6379:E6379">
    <cfRule type="containsErrors" dxfId="488" priority="406">
      <formula>ISERROR(B6379)</formula>
    </cfRule>
  </conditionalFormatting>
  <conditionalFormatting sqref="B6379:E6379">
    <cfRule type="containsErrors" dxfId="487" priority="407">
      <formula>ISERROR(B6379)</formula>
    </cfRule>
  </conditionalFormatting>
  <conditionalFormatting sqref="B6379:E6379">
    <cfRule type="containsErrors" dxfId="486" priority="405">
      <formula>ISERROR(B6379)</formula>
    </cfRule>
  </conditionalFormatting>
  <conditionalFormatting sqref="A6429:H6432 A6435:B6435 F6435:H6435 D6435 A6434:H6434 A6433:G6433">
    <cfRule type="containsErrors" dxfId="485" priority="404">
      <formula>ISERROR(A6429)</formula>
    </cfRule>
  </conditionalFormatting>
  <conditionalFormatting sqref="H6393:H6396 B6433:G6433 B6397:H6402 B6404:H6425 F6403:H6403 D6403 F6428:H6428 B6429:H6432 H6426:H6427">
    <cfRule type="containsErrors" dxfId="484" priority="402">
      <formula>ISERROR(B6393)</formula>
    </cfRule>
  </conditionalFormatting>
  <conditionalFormatting sqref="A6389:H6392 A6393:A6396 H6393:H6396 A6397:H6402 A6404:H6425 A6403 F6403:H6403 D6403 G6428:H6428 D6429 A6426:A6428 H6426:H6427 A6388 F6388:H6388 C6388">
    <cfRule type="containsErrors" dxfId="483" priority="403">
      <formula>ISERROR(A6388)</formula>
    </cfRule>
  </conditionalFormatting>
  <conditionalFormatting sqref="C6393:G6393 B6394:G6396">
    <cfRule type="containsErrors" dxfId="482" priority="401">
      <formula>ISERROR(B6393)</formula>
    </cfRule>
  </conditionalFormatting>
  <conditionalFormatting sqref="C6393:G6393 B6394:G6396">
    <cfRule type="containsErrors" dxfId="481" priority="400">
      <formula>ISERROR(B6393)</formula>
    </cfRule>
  </conditionalFormatting>
  <conditionalFormatting sqref="F6428">
    <cfRule type="containsErrors" dxfId="480" priority="399">
      <formula>ISERROR(F6428)</formula>
    </cfRule>
  </conditionalFormatting>
  <conditionalFormatting sqref="F6428">
    <cfRule type="containsErrors" dxfId="479" priority="398">
      <formula>ISERROR(F6428)</formula>
    </cfRule>
  </conditionalFormatting>
  <conditionalFormatting sqref="H6433">
    <cfRule type="containsErrors" dxfId="478" priority="397">
      <formula>ISERROR(H6433)</formula>
    </cfRule>
  </conditionalFormatting>
  <conditionalFormatting sqref="H6433">
    <cfRule type="containsErrors" dxfId="477" priority="396">
      <formula>ISERROR(H6433)</formula>
    </cfRule>
  </conditionalFormatting>
  <conditionalFormatting sqref="B6429">
    <cfRule type="containsErrors" dxfId="476" priority="393">
      <formula>ISERROR(B6429)</formula>
    </cfRule>
  </conditionalFormatting>
  <conditionalFormatting sqref="F6428:G6428 D6429">
    <cfRule type="containsErrors" dxfId="475" priority="395">
      <formula>ISERROR(D6428)</formula>
    </cfRule>
  </conditionalFormatting>
  <conditionalFormatting sqref="B6429">
    <cfRule type="containsErrors" dxfId="474" priority="394">
      <formula>ISERROR(B6429)</formula>
    </cfRule>
  </conditionalFormatting>
  <conditionalFormatting sqref="B6428:E6428">
    <cfRule type="containsErrors" dxfId="473" priority="391">
      <formula>ISERROR(B6428)</formula>
    </cfRule>
  </conditionalFormatting>
  <conditionalFormatting sqref="B6428:E6428">
    <cfRule type="containsErrors" dxfId="472" priority="392">
      <formula>ISERROR(B6428)</formula>
    </cfRule>
  </conditionalFormatting>
  <conditionalFormatting sqref="B6428:E6428">
    <cfRule type="containsErrors" dxfId="471" priority="390">
      <formula>ISERROR(B6428)</formula>
    </cfRule>
  </conditionalFormatting>
  <conditionalFormatting sqref="B6355:G6356 F6354:G6354 D6354">
    <cfRule type="containsErrors" dxfId="470" priority="388">
      <formula>ISERROR(B6354)</formula>
    </cfRule>
  </conditionalFormatting>
  <conditionalFormatting sqref="B6355:G6356 F6354:G6354 D6354">
    <cfRule type="containsErrors" dxfId="469" priority="389">
      <formula>ISERROR(B6354)</formula>
    </cfRule>
  </conditionalFormatting>
  <conditionalFormatting sqref="C6290">
    <cfRule type="containsErrors" dxfId="468" priority="387">
      <formula>ISERROR(C6290)</formula>
    </cfRule>
  </conditionalFormatting>
  <conditionalFormatting sqref="B5850">
    <cfRule type="containsErrors" dxfId="467" priority="375">
      <formula>ISERROR(B5850)</formula>
    </cfRule>
  </conditionalFormatting>
  <conditionalFormatting sqref="B5849:E5849">
    <cfRule type="containsErrors" dxfId="466" priority="373">
      <formula>ISERROR(B5849)</formula>
    </cfRule>
  </conditionalFormatting>
  <conditionalFormatting sqref="B5849:E5849">
    <cfRule type="containsErrors" dxfId="465" priority="372">
      <formula>ISERROR(B5849)</formula>
    </cfRule>
  </conditionalFormatting>
  <conditionalFormatting sqref="B5850">
    <cfRule type="containsErrors" dxfId="464" priority="374">
      <formula>ISERROR(B5850)</formula>
    </cfRule>
  </conditionalFormatting>
  <conditionalFormatting sqref="H5998">
    <cfRule type="containsErrors" dxfId="463" priority="327">
      <formula>ISERROR(H5998)</formula>
    </cfRule>
  </conditionalFormatting>
  <conditionalFormatting sqref="H5998">
    <cfRule type="containsErrors" dxfId="462" priority="326">
      <formula>ISERROR(H5998)</formula>
    </cfRule>
  </conditionalFormatting>
  <conditionalFormatting sqref="C5958:G5958 B5959:G5961">
    <cfRule type="containsErrors" dxfId="461" priority="330">
      <formula>ISERROR(B5958)</formula>
    </cfRule>
  </conditionalFormatting>
  <conditionalFormatting sqref="C5953">
    <cfRule type="containsErrors" dxfId="460" priority="335">
      <formula>ISERROR(C5953)</formula>
    </cfRule>
  </conditionalFormatting>
  <conditionalFormatting sqref="B5994:H5997 B5998:G5998">
    <cfRule type="containsErrors" dxfId="459" priority="334">
      <formula>ISERROR(B5994)</formula>
    </cfRule>
  </conditionalFormatting>
  <conditionalFormatting sqref="B5957:H5957 H5958:H5961 B5962:H5967 B5976:H5983 F5968:H5968 D5968 G5993:H5993 D5994 C5969:H5975 B5985:H5990 B5984:C5984 F5984:H5984 H5991:H5992">
    <cfRule type="containsErrors" dxfId="458" priority="333">
      <formula>ISERROR(B5957)</formula>
    </cfRule>
  </conditionalFormatting>
  <conditionalFormatting sqref="H5958:H5961 B5998:G5998 B5962:H5967 B5976:H5983 F5968:H5968 D5968 F5993:H5993 B5994:H5997 C5969:H5975 B5985:H5990 B5984:C5984 F5984:H5984 H5991:H5992">
    <cfRule type="containsErrors" dxfId="457" priority="332">
      <formula>ISERROR(B5958)</formula>
    </cfRule>
  </conditionalFormatting>
  <conditionalFormatting sqref="C5958:G5958 B5959:G5961">
    <cfRule type="containsErrors" dxfId="456" priority="331">
      <formula>ISERROR(B5958)</formula>
    </cfRule>
  </conditionalFormatting>
  <conditionalFormatting sqref="B5994">
    <cfRule type="containsErrors" dxfId="455" priority="323">
      <formula>ISERROR(B5994)</formula>
    </cfRule>
  </conditionalFormatting>
  <conditionalFormatting sqref="F5991:F5993">
    <cfRule type="containsErrors" dxfId="454" priority="329">
      <formula>ISERROR(F5991)</formula>
    </cfRule>
  </conditionalFormatting>
  <conditionalFormatting sqref="F5991:F5993">
    <cfRule type="containsErrors" dxfId="453" priority="328">
      <formula>ISERROR(F5991)</formula>
    </cfRule>
  </conditionalFormatting>
  <conditionalFormatting sqref="C6001">
    <cfRule type="containsErrors" dxfId="452" priority="317">
      <formula>ISERROR(C6001)</formula>
    </cfRule>
  </conditionalFormatting>
  <conditionalFormatting sqref="B5994">
    <cfRule type="containsErrors" dxfId="451" priority="324">
      <formula>ISERROR(B5994)</formula>
    </cfRule>
  </conditionalFormatting>
  <conditionalFormatting sqref="B5993:E5993">
    <cfRule type="containsErrors" dxfId="450" priority="322">
      <formula>ISERROR(B5993)</formula>
    </cfRule>
  </conditionalFormatting>
  <conditionalFormatting sqref="B5993:E5993">
    <cfRule type="containsErrors" dxfId="449" priority="321">
      <formula>ISERROR(B5993)</formula>
    </cfRule>
  </conditionalFormatting>
  <conditionalFormatting sqref="B5993:E5993">
    <cfRule type="containsErrors" dxfId="448" priority="320">
      <formula>ISERROR(B5993)</formula>
    </cfRule>
  </conditionalFormatting>
  <conditionalFormatting sqref="F6039:F6041">
    <cfRule type="containsErrors" dxfId="447" priority="310">
      <formula>ISERROR(F6039)</formula>
    </cfRule>
  </conditionalFormatting>
  <conditionalFormatting sqref="B6042:H6045 B6046:G6046">
    <cfRule type="containsErrors" dxfId="446" priority="316">
      <formula>ISERROR(B6042)</formula>
    </cfRule>
  </conditionalFormatting>
  <conditionalFormatting sqref="B6005:H6005 H6006:H6009 B6010:H6015 F6016:H6016 D6016 G6041:H6041 D6042 C6017:H6017 B6033:H6038 H6032 H6039:H6040 B6018:H6031">
    <cfRule type="containsErrors" dxfId="445" priority="315">
      <formula>ISERROR(B6005)</formula>
    </cfRule>
  </conditionalFormatting>
  <conditionalFormatting sqref="H6006:H6009 B6046:G6046 B6010:H6015 F6016:H6016 D6016 F6041:H6041 B6042:H6045 C6017:H6017 B6033:H6038 H6032 H6039:H6040 B6018:H6031">
    <cfRule type="containsErrors" dxfId="444" priority="314">
      <formula>ISERROR(B6006)</formula>
    </cfRule>
  </conditionalFormatting>
  <conditionalFormatting sqref="D5984:E5984">
    <cfRule type="containsErrors" dxfId="443" priority="319">
      <formula>ISERROR(D5984)</formula>
    </cfRule>
  </conditionalFormatting>
  <conditionalFormatting sqref="D5984:E5984">
    <cfRule type="containsErrors" dxfId="442" priority="318">
      <formula>ISERROR(D5984)</formula>
    </cfRule>
  </conditionalFormatting>
  <conditionalFormatting sqref="B6041:E6041">
    <cfRule type="containsErrors" dxfId="441" priority="303">
      <formula>ISERROR(B6041)</formula>
    </cfRule>
  </conditionalFormatting>
  <conditionalFormatting sqref="H6046">
    <cfRule type="containsErrors" dxfId="440" priority="308">
      <formula>ISERROR(H6046)</formula>
    </cfRule>
  </conditionalFormatting>
  <conditionalFormatting sqref="H6046">
    <cfRule type="containsErrors" dxfId="439" priority="309">
      <formula>ISERROR(H6046)</formula>
    </cfRule>
  </conditionalFormatting>
  <conditionalFormatting sqref="C6006:G6006 B6007:G6009">
    <cfRule type="containsErrors" dxfId="438" priority="313">
      <formula>ISERROR(B6006)</formula>
    </cfRule>
  </conditionalFormatting>
  <conditionalFormatting sqref="F6041:G6041 D6042">
    <cfRule type="containsErrors" dxfId="437" priority="307">
      <formula>ISERROR(D6041)</formula>
    </cfRule>
  </conditionalFormatting>
  <conditionalFormatting sqref="B5945:E5945">
    <cfRule type="containsErrors" dxfId="436" priority="337">
      <formula>ISERROR(B5945)</formula>
    </cfRule>
  </conditionalFormatting>
  <conditionalFormatting sqref="B5945:E5945">
    <cfRule type="containsErrors" dxfId="435" priority="336">
      <formula>ISERROR(B5945)</formula>
    </cfRule>
  </conditionalFormatting>
  <conditionalFormatting sqref="B6042">
    <cfRule type="containsErrors" dxfId="434" priority="306">
      <formula>ISERROR(B6042)</formula>
    </cfRule>
  </conditionalFormatting>
  <conditionalFormatting sqref="F5993:G5993 D5994">
    <cfRule type="containsErrors" dxfId="433" priority="325">
      <formula>ISERROR(D5993)</formula>
    </cfRule>
  </conditionalFormatting>
  <conditionalFormatting sqref="F6039:F6041">
    <cfRule type="containsErrors" dxfId="432" priority="311">
      <formula>ISERROR(F6039)</formula>
    </cfRule>
  </conditionalFormatting>
  <conditionalFormatting sqref="C5809">
    <cfRule type="containsErrors" dxfId="431" priority="386">
      <formula>ISERROR(C5809)</formula>
    </cfRule>
  </conditionalFormatting>
  <conditionalFormatting sqref="B5850:H5853 B5854:G5854">
    <cfRule type="containsErrors" dxfId="430" priority="385">
      <formula>ISERROR(B5850)</formula>
    </cfRule>
  </conditionalFormatting>
  <conditionalFormatting sqref="H5814:H5817 B5854:G5854 B5818:H5823 B5825:H5846 F5824:H5824 D5824 F5849:H5849 B5850:H5853 C5847:E5847 H5847:H5848">
    <cfRule type="containsErrors" dxfId="429" priority="383">
      <formula>ISERROR(B5814)</formula>
    </cfRule>
  </conditionalFormatting>
  <conditionalFormatting sqref="B5813:H5813 H5814:H5817 B5818:H5823 B5825:H5846 F5824:H5824 D5824 G5849:H5849 D5850 C5847:E5847 H5847:H5848">
    <cfRule type="containsErrors" dxfId="428" priority="384">
      <formula>ISERROR(B5813)</formula>
    </cfRule>
  </conditionalFormatting>
  <conditionalFormatting sqref="C5814:G5814 B5815:G5817">
    <cfRule type="containsErrors" dxfId="427" priority="382">
      <formula>ISERROR(B5814)</formula>
    </cfRule>
  </conditionalFormatting>
  <conditionalFormatting sqref="C5814:G5814 B5815:G5817">
    <cfRule type="containsErrors" dxfId="426" priority="381">
      <formula>ISERROR(B5814)</formula>
    </cfRule>
  </conditionalFormatting>
  <conditionalFormatting sqref="F5847:F5849">
    <cfRule type="containsErrors" dxfId="425" priority="380">
      <formula>ISERROR(F5847)</formula>
    </cfRule>
  </conditionalFormatting>
  <conditionalFormatting sqref="F5847:F5849">
    <cfRule type="containsErrors" dxfId="424" priority="379">
      <formula>ISERROR(F5847)</formula>
    </cfRule>
  </conditionalFormatting>
  <conditionalFormatting sqref="H5854">
    <cfRule type="containsErrors" dxfId="423" priority="378">
      <formula>ISERROR(H5854)</formula>
    </cfRule>
  </conditionalFormatting>
  <conditionalFormatting sqref="H5854">
    <cfRule type="containsErrors" dxfId="422" priority="377">
      <formula>ISERROR(H5854)</formula>
    </cfRule>
  </conditionalFormatting>
  <conditionalFormatting sqref="F5849:G5849 D5850">
    <cfRule type="containsErrors" dxfId="421" priority="376">
      <formula>ISERROR(D5849)</formula>
    </cfRule>
  </conditionalFormatting>
  <conditionalFormatting sqref="B5849:E5849">
    <cfRule type="containsErrors" dxfId="420" priority="371">
      <formula>ISERROR(B5849)</formula>
    </cfRule>
  </conditionalFormatting>
  <conditionalFormatting sqref="B5847">
    <cfRule type="containsErrors" dxfId="419" priority="369">
      <formula>ISERROR(B5847)</formula>
    </cfRule>
  </conditionalFormatting>
  <conditionalFormatting sqref="B5847">
    <cfRule type="containsErrors" dxfId="418" priority="370">
      <formula>ISERROR(B5847)</formula>
    </cfRule>
  </conditionalFormatting>
  <conditionalFormatting sqref="C5857">
    <cfRule type="containsErrors" dxfId="417" priority="368">
      <formula>ISERROR(C5857)</formula>
    </cfRule>
  </conditionalFormatting>
  <conditionalFormatting sqref="B5898:H5901 B5902:G5902">
    <cfRule type="containsErrors" dxfId="416" priority="367">
      <formula>ISERROR(B5898)</formula>
    </cfRule>
  </conditionalFormatting>
  <conditionalFormatting sqref="H5862:H5865 B5902:G5902 B5866:H5871 B5873:H5894 F5872:H5872 F5897:H5897 B5898:H5901 H5895:H5896">
    <cfRule type="containsErrors" dxfId="415" priority="365">
      <formula>ISERROR(B5862)</formula>
    </cfRule>
  </conditionalFormatting>
  <conditionalFormatting sqref="B5861:H5861 H5862:H5865 B5866:H5871 B5873:H5894 F5872:H5872 G5897:H5897 D5898 H5895:H5896">
    <cfRule type="containsErrors" dxfId="414" priority="366">
      <formula>ISERROR(B5861)</formula>
    </cfRule>
  </conditionalFormatting>
  <conditionalFormatting sqref="C5862:G5862 B5863:G5865">
    <cfRule type="containsErrors" dxfId="413" priority="364">
      <formula>ISERROR(B5862)</formula>
    </cfRule>
  </conditionalFormatting>
  <conditionalFormatting sqref="C5862:G5862 B5863:G5865">
    <cfRule type="containsErrors" dxfId="412" priority="363">
      <formula>ISERROR(B5862)</formula>
    </cfRule>
  </conditionalFormatting>
  <conditionalFormatting sqref="F5895:F5897">
    <cfRule type="containsErrors" dxfId="411" priority="362">
      <formula>ISERROR(F5895)</formula>
    </cfRule>
  </conditionalFormatting>
  <conditionalFormatting sqref="F5895:F5897">
    <cfRule type="containsErrors" dxfId="410" priority="361">
      <formula>ISERROR(F5895)</formula>
    </cfRule>
  </conditionalFormatting>
  <conditionalFormatting sqref="H5902">
    <cfRule type="containsErrors" dxfId="409" priority="360">
      <formula>ISERROR(H5902)</formula>
    </cfRule>
  </conditionalFormatting>
  <conditionalFormatting sqref="H5902">
    <cfRule type="containsErrors" dxfId="408" priority="359">
      <formula>ISERROR(H5902)</formula>
    </cfRule>
  </conditionalFormatting>
  <conditionalFormatting sqref="B5898">
    <cfRule type="containsErrors" dxfId="407" priority="356">
      <formula>ISERROR(B5898)</formula>
    </cfRule>
  </conditionalFormatting>
  <conditionalFormatting sqref="F5897:G5897 D5898">
    <cfRule type="containsErrors" dxfId="406" priority="358">
      <formula>ISERROR(D5897)</formula>
    </cfRule>
  </conditionalFormatting>
  <conditionalFormatting sqref="B5898">
    <cfRule type="containsErrors" dxfId="405" priority="357">
      <formula>ISERROR(B5898)</formula>
    </cfRule>
  </conditionalFormatting>
  <conditionalFormatting sqref="B5897:E5897">
    <cfRule type="containsErrors" dxfId="404" priority="354">
      <formula>ISERROR(B5897)</formula>
    </cfRule>
  </conditionalFormatting>
  <conditionalFormatting sqref="B5897:E5897">
    <cfRule type="containsErrors" dxfId="403" priority="355">
      <formula>ISERROR(B5897)</formula>
    </cfRule>
  </conditionalFormatting>
  <conditionalFormatting sqref="B5897:E5897">
    <cfRule type="containsErrors" dxfId="402" priority="353">
      <formula>ISERROR(B5897)</formula>
    </cfRule>
  </conditionalFormatting>
  <conditionalFormatting sqref="B5872:D5872">
    <cfRule type="containsErrors" dxfId="401" priority="352">
      <formula>ISERROR(B5872)</formula>
    </cfRule>
  </conditionalFormatting>
  <conditionalFormatting sqref="C5905">
    <cfRule type="containsErrors" dxfId="400" priority="351">
      <formula>ISERROR(C5905)</formula>
    </cfRule>
  </conditionalFormatting>
  <conditionalFormatting sqref="B5946:H5949 B5950:G5950">
    <cfRule type="containsErrors" dxfId="399" priority="350">
      <formula>ISERROR(B5946)</formula>
    </cfRule>
  </conditionalFormatting>
  <conditionalFormatting sqref="H5910:H5913 B5950:G5950 B5914:H5919 B5921:H5942 F5920:H5920 D5920 F5945:H5945 B5946:H5949 H5943:H5944">
    <cfRule type="containsErrors" dxfId="398" priority="348">
      <formula>ISERROR(B5910)</formula>
    </cfRule>
  </conditionalFormatting>
  <conditionalFormatting sqref="B5909:H5909 H5910:H5913 B5914:H5919 B5921:H5942 F5920:H5920 D5920 G5945:H5945 D5946 H5943:H5944">
    <cfRule type="containsErrors" dxfId="397" priority="349">
      <formula>ISERROR(B5909)</formula>
    </cfRule>
  </conditionalFormatting>
  <conditionalFormatting sqref="C5910:G5910 B5911:G5913">
    <cfRule type="containsErrors" dxfId="396" priority="347">
      <formula>ISERROR(B5910)</formula>
    </cfRule>
  </conditionalFormatting>
  <conditionalFormatting sqref="C5910:G5910 B5911:G5913">
    <cfRule type="containsErrors" dxfId="395" priority="346">
      <formula>ISERROR(B5910)</formula>
    </cfRule>
  </conditionalFormatting>
  <conditionalFormatting sqref="F5943:F5945">
    <cfRule type="containsErrors" dxfId="394" priority="345">
      <formula>ISERROR(F5943)</formula>
    </cfRule>
  </conditionalFormatting>
  <conditionalFormatting sqref="F5943:F5945">
    <cfRule type="containsErrors" dxfId="393" priority="344">
      <formula>ISERROR(F5943)</formula>
    </cfRule>
  </conditionalFormatting>
  <conditionalFormatting sqref="H5950">
    <cfRule type="containsErrors" dxfId="392" priority="343">
      <formula>ISERROR(H5950)</formula>
    </cfRule>
  </conditionalFormatting>
  <conditionalFormatting sqref="H5950">
    <cfRule type="containsErrors" dxfId="391" priority="342">
      <formula>ISERROR(H5950)</formula>
    </cfRule>
  </conditionalFormatting>
  <conditionalFormatting sqref="B5946">
    <cfRule type="containsErrors" dxfId="390" priority="339">
      <formula>ISERROR(B5946)</formula>
    </cfRule>
  </conditionalFormatting>
  <conditionalFormatting sqref="F5945:G5945 D5946">
    <cfRule type="containsErrors" dxfId="389" priority="341">
      <formula>ISERROR(D5945)</formula>
    </cfRule>
  </conditionalFormatting>
  <conditionalFormatting sqref="B5946">
    <cfRule type="containsErrors" dxfId="388" priority="340">
      <formula>ISERROR(B5946)</formula>
    </cfRule>
  </conditionalFormatting>
  <conditionalFormatting sqref="B5945:E5945">
    <cfRule type="containsErrors" dxfId="387" priority="338">
      <formula>ISERROR(B5945)</formula>
    </cfRule>
  </conditionalFormatting>
  <conditionalFormatting sqref="C6006:G6006 B6007:G6009">
    <cfRule type="containsErrors" dxfId="386" priority="312">
      <formula>ISERROR(B6006)</formula>
    </cfRule>
  </conditionalFormatting>
  <conditionalFormatting sqref="C6049">
    <cfRule type="containsErrors" dxfId="385" priority="297">
      <formula>ISERROR(C6049)</formula>
    </cfRule>
  </conditionalFormatting>
  <conditionalFormatting sqref="B6042">
    <cfRule type="containsErrors" dxfId="384" priority="305">
      <formula>ISERROR(B6042)</formula>
    </cfRule>
  </conditionalFormatting>
  <conditionalFormatting sqref="B6041:E6041">
    <cfRule type="containsErrors" dxfId="383" priority="304">
      <formula>ISERROR(B6041)</formula>
    </cfRule>
  </conditionalFormatting>
  <conditionalFormatting sqref="B6053:H6053 H6054:H6057 B6058:H6063 B6065:H6079 F6064:H6064 D6064 G6089:H6089 D6090 B6081:H6086 H6080 H6087:H6088">
    <cfRule type="containsErrors" dxfId="382" priority="295">
      <formula>ISERROR(B6053)</formula>
    </cfRule>
  </conditionalFormatting>
  <conditionalFormatting sqref="B6090:H6093 B6094:G6094">
    <cfRule type="containsErrors" dxfId="381" priority="296">
      <formula>ISERROR(B6090)</formula>
    </cfRule>
  </conditionalFormatting>
  <conditionalFormatting sqref="B6032:C6032 F6032:G6032">
    <cfRule type="containsErrors" dxfId="380" priority="301">
      <formula>ISERROR(B6032)</formula>
    </cfRule>
  </conditionalFormatting>
  <conditionalFormatting sqref="B6041:E6041">
    <cfRule type="containsErrors" dxfId="379" priority="302">
      <formula>ISERROR(B6041)</formula>
    </cfRule>
  </conditionalFormatting>
  <conditionalFormatting sqref="D6032:E6032">
    <cfRule type="containsErrors" dxfId="378" priority="298">
      <formula>ISERROR(D6032)</formula>
    </cfRule>
  </conditionalFormatting>
  <conditionalFormatting sqref="D6032:E6032">
    <cfRule type="containsErrors" dxfId="377" priority="299">
      <formula>ISERROR(D6032)</formula>
    </cfRule>
  </conditionalFormatting>
  <conditionalFormatting sqref="B6032:C6032 F6032:G6032">
    <cfRule type="containsErrors" dxfId="376" priority="300">
      <formula>ISERROR(B6032)</formula>
    </cfRule>
  </conditionalFormatting>
  <conditionalFormatting sqref="H6054:H6057 B6094:G6094 B6058:H6063 B6065:H6079 F6064:H6064 D6064 F6089:H6089 B6090:H6093 B6081:H6086 H6080 H6087:H6088">
    <cfRule type="containsErrors" dxfId="375" priority="294">
      <formula>ISERROR(B6054)</formula>
    </cfRule>
  </conditionalFormatting>
  <conditionalFormatting sqref="H6094">
    <cfRule type="containsErrors" dxfId="374" priority="289">
      <formula>ISERROR(H6094)</formula>
    </cfRule>
  </conditionalFormatting>
  <conditionalFormatting sqref="C6054:G6054 B6055:G6057">
    <cfRule type="containsErrors" dxfId="373" priority="293">
      <formula>ISERROR(B6054)</formula>
    </cfRule>
  </conditionalFormatting>
  <conditionalFormatting sqref="C6054:G6054 B6055:G6057">
    <cfRule type="containsErrors" dxfId="372" priority="292">
      <formula>ISERROR(B6054)</formula>
    </cfRule>
  </conditionalFormatting>
  <conditionalFormatting sqref="F6087:F6089">
    <cfRule type="containsErrors" dxfId="371" priority="291">
      <formula>ISERROR(F6087)</formula>
    </cfRule>
  </conditionalFormatting>
  <conditionalFormatting sqref="B6090">
    <cfRule type="containsErrors" dxfId="370" priority="286">
      <formula>ISERROR(B6090)</formula>
    </cfRule>
  </conditionalFormatting>
  <conditionalFormatting sqref="F6089:G6089 D6090">
    <cfRule type="containsErrors" dxfId="369" priority="287">
      <formula>ISERROR(D6089)</formula>
    </cfRule>
  </conditionalFormatting>
  <conditionalFormatting sqref="H6094">
    <cfRule type="containsErrors" dxfId="368" priority="288">
      <formula>ISERROR(H6094)</formula>
    </cfRule>
  </conditionalFormatting>
  <conditionalFormatting sqref="F6087:F6089">
    <cfRule type="containsErrors" dxfId="367" priority="290">
      <formula>ISERROR(F6087)</formula>
    </cfRule>
  </conditionalFormatting>
  <conditionalFormatting sqref="C6089:E6089">
    <cfRule type="containsErrors" dxfId="366" priority="282">
      <formula>ISERROR(C6089)</formula>
    </cfRule>
  </conditionalFormatting>
  <conditionalFormatting sqref="B6090">
    <cfRule type="containsErrors" dxfId="365" priority="285">
      <formula>ISERROR(B6090)</formula>
    </cfRule>
  </conditionalFormatting>
  <conditionalFormatting sqref="C6089:E6089">
    <cfRule type="containsErrors" dxfId="364" priority="283">
      <formula>ISERROR(C6089)</formula>
    </cfRule>
  </conditionalFormatting>
  <conditionalFormatting sqref="C6089:E6089">
    <cfRule type="containsErrors" dxfId="363" priority="284">
      <formula>ISERROR(C6089)</formula>
    </cfRule>
  </conditionalFormatting>
  <conditionalFormatting sqref="B6089">
    <cfRule type="containsErrors" dxfId="362" priority="281">
      <formula>ISERROR(B6089)</formula>
    </cfRule>
  </conditionalFormatting>
  <conditionalFormatting sqref="C6097">
    <cfRule type="containsErrors" dxfId="361" priority="275">
      <formula>ISERROR(C6097)</formula>
    </cfRule>
  </conditionalFormatting>
  <conditionalFormatting sqref="B6089">
    <cfRule type="containsErrors" dxfId="360" priority="280">
      <formula>ISERROR(B6089)</formula>
    </cfRule>
  </conditionalFormatting>
  <conditionalFormatting sqref="D6080:E6080">
    <cfRule type="containsErrors" dxfId="359" priority="276">
      <formula>ISERROR(D6080)</formula>
    </cfRule>
  </conditionalFormatting>
  <conditionalFormatting sqref="B6101:H6101 H6102:H6105 B6106:H6111 B6113:H6127 F6112:H6112 D6112 D6138 B6129:H6134 H6128 H6135:H6137">
    <cfRule type="containsErrors" dxfId="358" priority="273">
      <formula>ISERROR(B6101)</formula>
    </cfRule>
  </conditionalFormatting>
  <conditionalFormatting sqref="B6138:H6141 B6142:G6142">
    <cfRule type="containsErrors" dxfId="357" priority="274">
      <formula>ISERROR(B6138)</formula>
    </cfRule>
  </conditionalFormatting>
  <conditionalFormatting sqref="B6080:C6080 F6080:G6080">
    <cfRule type="containsErrors" dxfId="356" priority="278">
      <formula>ISERROR(B6080)</formula>
    </cfRule>
  </conditionalFormatting>
  <conditionalFormatting sqref="B6080:C6080 F6080:G6080">
    <cfRule type="containsErrors" dxfId="355" priority="279">
      <formula>ISERROR(B6080)</formula>
    </cfRule>
  </conditionalFormatting>
  <conditionalFormatting sqref="F6135:F6137">
    <cfRule type="containsErrors" dxfId="354" priority="269">
      <formula>ISERROR(F6135)</formula>
    </cfRule>
  </conditionalFormatting>
  <conditionalFormatting sqref="D6080:E6080">
    <cfRule type="containsErrors" dxfId="353" priority="277">
      <formula>ISERROR(D6080)</formula>
    </cfRule>
  </conditionalFormatting>
  <conditionalFormatting sqref="F6135:F6137">
    <cfRule type="containsErrors" dxfId="352" priority="268">
      <formula>ISERROR(F6135)</formula>
    </cfRule>
  </conditionalFormatting>
  <conditionalFormatting sqref="H6142">
    <cfRule type="containsErrors" dxfId="351" priority="267">
      <formula>ISERROR(H6142)</formula>
    </cfRule>
  </conditionalFormatting>
  <conditionalFormatting sqref="H6142">
    <cfRule type="containsErrors" dxfId="350" priority="266">
      <formula>ISERROR(H6142)</formula>
    </cfRule>
  </conditionalFormatting>
  <conditionalFormatting sqref="H6102:H6105 B6142:G6142 B6106:H6111 B6113:H6127 F6112:H6112 D6112 F6137 B6138:H6141 B6129:H6134 H6128 H6135:H6137">
    <cfRule type="containsErrors" dxfId="349" priority="272">
      <formula>ISERROR(B6102)</formula>
    </cfRule>
  </conditionalFormatting>
  <conditionalFormatting sqref="C6102:G6102 B6103:G6105">
    <cfRule type="containsErrors" dxfId="348" priority="271">
      <formula>ISERROR(B6102)</formula>
    </cfRule>
  </conditionalFormatting>
  <conditionalFormatting sqref="C6102:G6102 B6103:G6105">
    <cfRule type="containsErrors" dxfId="347" priority="270">
      <formula>ISERROR(B6102)</formula>
    </cfRule>
  </conditionalFormatting>
  <conditionalFormatting sqref="B6138">
    <cfRule type="containsErrors" dxfId="346" priority="263">
      <formula>ISERROR(B6138)</formula>
    </cfRule>
  </conditionalFormatting>
  <conditionalFormatting sqref="F6137 D6138">
    <cfRule type="containsErrors" dxfId="345" priority="265">
      <formula>ISERROR(D6137)</formula>
    </cfRule>
  </conditionalFormatting>
  <conditionalFormatting sqref="B6138">
    <cfRule type="containsErrors" dxfId="344" priority="264">
      <formula>ISERROR(B6138)</formula>
    </cfRule>
  </conditionalFormatting>
  <conditionalFormatting sqref="C6145">
    <cfRule type="containsErrors" dxfId="343" priority="258">
      <formula>ISERROR(C6145)</formula>
    </cfRule>
  </conditionalFormatting>
  <conditionalFormatting sqref="B6186:H6189 B6190:G6190">
    <cfRule type="containsErrors" dxfId="342" priority="257">
      <formula>ISERROR(B6186)</formula>
    </cfRule>
  </conditionalFormatting>
  <conditionalFormatting sqref="B6149:H6149 H6150:H6153 B6154:H6159 B6162:H6175 F6160:H6160 D6160 H6183:H6185 D6186 H6161 B6177:H6182 H6176">
    <cfRule type="containsErrors" dxfId="341" priority="256">
      <formula>ISERROR(B6149)</formula>
    </cfRule>
  </conditionalFormatting>
  <conditionalFormatting sqref="B6128:C6128 F6128:G6128">
    <cfRule type="containsErrors" dxfId="340" priority="262">
      <formula>ISERROR(B6128)</formula>
    </cfRule>
  </conditionalFormatting>
  <conditionalFormatting sqref="B6128:C6128 F6128:G6128">
    <cfRule type="containsErrors" dxfId="339" priority="261">
      <formula>ISERROR(B6128)</formula>
    </cfRule>
  </conditionalFormatting>
  <conditionalFormatting sqref="D6128:E6128">
    <cfRule type="containsErrors" dxfId="338" priority="259">
      <formula>ISERROR(D6128)</formula>
    </cfRule>
  </conditionalFormatting>
  <conditionalFormatting sqref="D6128:E6128">
    <cfRule type="containsErrors" dxfId="337" priority="260">
      <formula>ISERROR(D6128)</formula>
    </cfRule>
  </conditionalFormatting>
  <conditionalFormatting sqref="C6150:G6150 B6151:G6153">
    <cfRule type="containsErrors" dxfId="336" priority="254">
      <formula>ISERROR(B6150)</formula>
    </cfRule>
  </conditionalFormatting>
  <conditionalFormatting sqref="H6150:H6153 B6190:G6190 B6154:H6159 B6162:H6175 F6160:H6160 D6160 H6183:H6185 B6186:H6189 H6161 B6177:H6182 H6176">
    <cfRule type="containsErrors" dxfId="335" priority="255">
      <formula>ISERROR(B6150)</formula>
    </cfRule>
  </conditionalFormatting>
  <conditionalFormatting sqref="H6190">
    <cfRule type="containsErrors" dxfId="334" priority="252">
      <formula>ISERROR(H6190)</formula>
    </cfRule>
  </conditionalFormatting>
  <conditionalFormatting sqref="C6150:G6150 B6151:G6153">
    <cfRule type="containsErrors" dxfId="333" priority="253">
      <formula>ISERROR(B6150)</formula>
    </cfRule>
  </conditionalFormatting>
  <conditionalFormatting sqref="H6190">
    <cfRule type="containsErrors" dxfId="332" priority="251">
      <formula>ISERROR(H6190)</formula>
    </cfRule>
  </conditionalFormatting>
  <conditionalFormatting sqref="D6186">
    <cfRule type="containsErrors" dxfId="331" priority="250">
      <formula>ISERROR(D6186)</formula>
    </cfRule>
  </conditionalFormatting>
  <conditionalFormatting sqref="B6186">
    <cfRule type="containsErrors" dxfId="330" priority="248">
      <formula>ISERROR(B6186)</formula>
    </cfRule>
  </conditionalFormatting>
  <conditionalFormatting sqref="B6186">
    <cfRule type="containsErrors" dxfId="329" priority="249">
      <formula>ISERROR(B6186)</formula>
    </cfRule>
  </conditionalFormatting>
  <conditionalFormatting sqref="B6161:G6161">
    <cfRule type="containsErrors" dxfId="328" priority="247">
      <formula>ISERROR(B6161)</formula>
    </cfRule>
  </conditionalFormatting>
  <conditionalFormatting sqref="B6161:G6161">
    <cfRule type="containsErrors" dxfId="327" priority="246">
      <formula>ISERROR(B6161)</formula>
    </cfRule>
  </conditionalFormatting>
  <conditionalFormatting sqref="G6185">
    <cfRule type="containsErrors" dxfId="326" priority="245">
      <formula>ISERROR(G6185)</formula>
    </cfRule>
  </conditionalFormatting>
  <conditionalFormatting sqref="F6185:G6185">
    <cfRule type="containsErrors" dxfId="325" priority="244">
      <formula>ISERROR(F6185)</formula>
    </cfRule>
  </conditionalFormatting>
  <conditionalFormatting sqref="F6183 F6185">
    <cfRule type="containsErrors" dxfId="324" priority="243">
      <formula>ISERROR(F6183)</formula>
    </cfRule>
  </conditionalFormatting>
  <conditionalFormatting sqref="F6183 F6185">
    <cfRule type="containsErrors" dxfId="323" priority="242">
      <formula>ISERROR(F6183)</formula>
    </cfRule>
  </conditionalFormatting>
  <conditionalFormatting sqref="F6185:G6185">
    <cfRule type="containsErrors" dxfId="322" priority="241">
      <formula>ISERROR(F6185)</formula>
    </cfRule>
  </conditionalFormatting>
  <conditionalFormatting sqref="C6185:E6185">
    <cfRule type="containsErrors" dxfId="321" priority="240">
      <formula>ISERROR(C6185)</formula>
    </cfRule>
  </conditionalFormatting>
  <conditionalFormatting sqref="C6185:E6185">
    <cfRule type="containsErrors" dxfId="320" priority="239">
      <formula>ISERROR(C6185)</formula>
    </cfRule>
  </conditionalFormatting>
  <conditionalFormatting sqref="C6185:E6185">
    <cfRule type="containsErrors" dxfId="319" priority="238">
      <formula>ISERROR(C6185)</formula>
    </cfRule>
  </conditionalFormatting>
  <conditionalFormatting sqref="B6185">
    <cfRule type="containsErrors" dxfId="318" priority="237">
      <formula>ISERROR(B6185)</formula>
    </cfRule>
  </conditionalFormatting>
  <conditionalFormatting sqref="B6185">
    <cfRule type="containsErrors" dxfId="317" priority="236">
      <formula>ISERROR(B6185)</formula>
    </cfRule>
  </conditionalFormatting>
  <conditionalFormatting sqref="F6184">
    <cfRule type="containsErrors" dxfId="316" priority="235">
      <formula>ISERROR(F6184)</formula>
    </cfRule>
  </conditionalFormatting>
  <conditionalFormatting sqref="F6184">
    <cfRule type="containsErrors" dxfId="315" priority="234">
      <formula>ISERROR(F6184)</formula>
    </cfRule>
  </conditionalFormatting>
  <conditionalFormatting sqref="F6184">
    <cfRule type="containsErrors" dxfId="314" priority="233">
      <formula>ISERROR(F6184)</formula>
    </cfRule>
  </conditionalFormatting>
  <conditionalFormatting sqref="F6184">
    <cfRule type="containsErrors" dxfId="313" priority="232">
      <formula>ISERROR(F6184)</formula>
    </cfRule>
  </conditionalFormatting>
  <conditionalFormatting sqref="D6176:E6176">
    <cfRule type="containsErrors" dxfId="312" priority="229">
      <formula>ISERROR(D6176)</formula>
    </cfRule>
  </conditionalFormatting>
  <conditionalFormatting sqref="D6176:E6176">
    <cfRule type="containsErrors" dxfId="311" priority="228">
      <formula>ISERROR(D6176)</formula>
    </cfRule>
  </conditionalFormatting>
  <conditionalFormatting sqref="B6197:H6197 H6198:H6201 B6202:H6207 B6211:H6230 G6233:H6233 D6234 H6208:H6210 H6231:H6232">
    <cfRule type="containsErrors" dxfId="310" priority="225">
      <formula>ISERROR(B6197)</formula>
    </cfRule>
  </conditionalFormatting>
  <conditionalFormatting sqref="B6234:H6237 B6238:G6239">
    <cfRule type="containsErrors" dxfId="309" priority="226">
      <formula>ISERROR(B6234)</formula>
    </cfRule>
  </conditionalFormatting>
  <conditionalFormatting sqref="B6176:C6176 F6176:G6176">
    <cfRule type="containsErrors" dxfId="308" priority="230">
      <formula>ISERROR(B6176)</formula>
    </cfRule>
  </conditionalFormatting>
  <conditionalFormatting sqref="B6176:C6176 F6176:G6176">
    <cfRule type="containsErrors" dxfId="307" priority="231">
      <formula>ISERROR(B6176)</formula>
    </cfRule>
  </conditionalFormatting>
  <conditionalFormatting sqref="H6198:H6201 B6238:G6239 B6202:H6207 B6211:H6230 F6233:H6233 B6234:H6237 H6208:H6210 H6231:H6232">
    <cfRule type="containsErrors" dxfId="306" priority="224">
      <formula>ISERROR(B6198)</formula>
    </cfRule>
  </conditionalFormatting>
  <conditionalFormatting sqref="C6198:G6198 B6199:G6201">
    <cfRule type="containsErrors" dxfId="305" priority="223">
      <formula>ISERROR(B6198)</formula>
    </cfRule>
  </conditionalFormatting>
  <conditionalFormatting sqref="C6198:G6198 B6199:G6201">
    <cfRule type="containsErrors" dxfId="304" priority="222">
      <formula>ISERROR(B6198)</formula>
    </cfRule>
  </conditionalFormatting>
  <conditionalFormatting sqref="F6233">
    <cfRule type="containsErrors" dxfId="303" priority="221">
      <formula>ISERROR(F6233)</formula>
    </cfRule>
  </conditionalFormatting>
  <conditionalFormatting sqref="F6233">
    <cfRule type="containsErrors" dxfId="302" priority="220">
      <formula>ISERROR(F6233)</formula>
    </cfRule>
  </conditionalFormatting>
  <conditionalFormatting sqref="H6238:H6239">
    <cfRule type="containsErrors" dxfId="301" priority="219">
      <formula>ISERROR(H6238)</formula>
    </cfRule>
  </conditionalFormatting>
  <conditionalFormatting sqref="H6238:H6239">
    <cfRule type="containsErrors" dxfId="300" priority="218">
      <formula>ISERROR(H6238)</formula>
    </cfRule>
  </conditionalFormatting>
  <conditionalFormatting sqref="B6234">
    <cfRule type="containsErrors" dxfId="299" priority="215">
      <formula>ISERROR(B6234)</formula>
    </cfRule>
  </conditionalFormatting>
  <conditionalFormatting sqref="F6233:G6233 D6234">
    <cfRule type="containsErrors" dxfId="298" priority="217">
      <formula>ISERROR(D6233)</formula>
    </cfRule>
  </conditionalFormatting>
  <conditionalFormatting sqref="B6234">
    <cfRule type="containsErrors" dxfId="297" priority="216">
      <formula>ISERROR(B6234)</formula>
    </cfRule>
  </conditionalFormatting>
  <conditionalFormatting sqref="B6233:E6233">
    <cfRule type="containsErrors" dxfId="296" priority="213">
      <formula>ISERROR(B6233)</formula>
    </cfRule>
  </conditionalFormatting>
  <conditionalFormatting sqref="B6233:E6233">
    <cfRule type="containsErrors" dxfId="295" priority="214">
      <formula>ISERROR(B6233)</formula>
    </cfRule>
  </conditionalFormatting>
  <conditionalFormatting sqref="B6233:E6233">
    <cfRule type="containsErrors" dxfId="294" priority="212">
      <formula>ISERROR(B6233)</formula>
    </cfRule>
  </conditionalFormatting>
  <conditionalFormatting sqref="B6209:G6210 F6208:G6208 D6208">
    <cfRule type="containsErrors" dxfId="293" priority="210">
      <formula>ISERROR(B6208)</formula>
    </cfRule>
  </conditionalFormatting>
  <conditionalFormatting sqref="B6209:G6210 F6208:G6208 D6208">
    <cfRule type="containsErrors" dxfId="292" priority="211">
      <formula>ISERROR(B6208)</formula>
    </cfRule>
  </conditionalFormatting>
  <conditionalFormatting sqref="C6246:G6246 B6247:G6249">
    <cfRule type="containsErrors" dxfId="291" priority="199">
      <formula>ISERROR(B6246)</formula>
    </cfRule>
  </conditionalFormatting>
  <conditionalFormatting sqref="C6246:G6246 B6247:G6249">
    <cfRule type="containsErrors" dxfId="290" priority="198">
      <formula>ISERROR(B6246)</formula>
    </cfRule>
  </conditionalFormatting>
  <conditionalFormatting sqref="F6231">
    <cfRule type="containsErrors" dxfId="289" priority="209">
      <formula>ISERROR(F6231)</formula>
    </cfRule>
  </conditionalFormatting>
  <conditionalFormatting sqref="F6231">
    <cfRule type="containsErrors" dxfId="288" priority="208">
      <formula>ISERROR(F6231)</formula>
    </cfRule>
  </conditionalFormatting>
  <conditionalFormatting sqref="F6232">
    <cfRule type="containsErrors" dxfId="287" priority="205">
      <formula>ISERROR(F6232)</formula>
    </cfRule>
  </conditionalFormatting>
  <conditionalFormatting sqref="F6232">
    <cfRule type="containsErrors" dxfId="286" priority="204">
      <formula>ISERROR(F6232)</formula>
    </cfRule>
  </conditionalFormatting>
  <conditionalFormatting sqref="B6245:H6245 H6246:H6249 B6250:H6255 B6257:H6278 F6256:H6256 D6256 G6281:H6281 D6282 H6279:H6280">
    <cfRule type="containsErrors" dxfId="285" priority="201">
      <formula>ISERROR(B6245)</formula>
    </cfRule>
  </conditionalFormatting>
  <conditionalFormatting sqref="F6232">
    <cfRule type="containsErrors" dxfId="284" priority="207">
      <formula>ISERROR(F6232)</formula>
    </cfRule>
  </conditionalFormatting>
  <conditionalFormatting sqref="F6232">
    <cfRule type="containsErrors" dxfId="283" priority="206">
      <formula>ISERROR(F6232)</formula>
    </cfRule>
  </conditionalFormatting>
  <conditionalFormatting sqref="B6282:H6285 B6286:G6286">
    <cfRule type="containsErrors" dxfId="282" priority="202">
      <formula>ISERROR(B6282)</formula>
    </cfRule>
  </conditionalFormatting>
  <conditionalFormatting sqref="H6246:H6249 B6286:G6286 B6250:H6255 B6257:H6278 F6256:H6256 D6256 F6281:H6281 B6282:H6285 H6279:H6280">
    <cfRule type="containsErrors" dxfId="281" priority="200">
      <formula>ISERROR(B6246)</formula>
    </cfRule>
  </conditionalFormatting>
  <conditionalFormatting sqref="C6241">
    <cfRule type="containsErrors" dxfId="280" priority="203">
      <formula>ISERROR(C6241)</formula>
    </cfRule>
  </conditionalFormatting>
  <conditionalFormatting sqref="H6286">
    <cfRule type="containsErrors" dxfId="279" priority="195">
      <formula>ISERROR(H6286)</formula>
    </cfRule>
  </conditionalFormatting>
  <conditionalFormatting sqref="F6281:G6281 D6282">
    <cfRule type="containsErrors" dxfId="278" priority="193">
      <formula>ISERROR(D6281)</formula>
    </cfRule>
  </conditionalFormatting>
  <conditionalFormatting sqref="H6286">
    <cfRule type="containsErrors" dxfId="277" priority="194">
      <formula>ISERROR(H6286)</formula>
    </cfRule>
  </conditionalFormatting>
  <conditionalFormatting sqref="B6282">
    <cfRule type="containsErrors" dxfId="276" priority="192">
      <formula>ISERROR(B6282)</formula>
    </cfRule>
  </conditionalFormatting>
  <conditionalFormatting sqref="B6282">
    <cfRule type="containsErrors" dxfId="275" priority="191">
      <formula>ISERROR(B6282)</formula>
    </cfRule>
  </conditionalFormatting>
  <conditionalFormatting sqref="F6281">
    <cfRule type="containsErrors" dxfId="274" priority="197">
      <formula>ISERROR(F6281)</formula>
    </cfRule>
  </conditionalFormatting>
  <conditionalFormatting sqref="F6281">
    <cfRule type="containsErrors" dxfId="273" priority="196">
      <formula>ISERROR(F6281)</formula>
    </cfRule>
  </conditionalFormatting>
  <conditionalFormatting sqref="B6281:E6281">
    <cfRule type="containsErrors" dxfId="272" priority="189">
      <formula>ISERROR(B6281)</formula>
    </cfRule>
  </conditionalFormatting>
  <conditionalFormatting sqref="B6281:E6281">
    <cfRule type="containsErrors" dxfId="271" priority="190">
      <formula>ISERROR(B6281)</formula>
    </cfRule>
  </conditionalFormatting>
  <conditionalFormatting sqref="B6281:E6281">
    <cfRule type="containsErrors" dxfId="270" priority="188">
      <formula>ISERROR(B6281)</formula>
    </cfRule>
  </conditionalFormatting>
  <conditionalFormatting sqref="C6339">
    <cfRule type="containsErrors" dxfId="269" priority="181">
      <formula>ISERROR(C6339)</formula>
    </cfRule>
  </conditionalFormatting>
  <conditionalFormatting sqref="B6331:H6334 B6335:G6335">
    <cfRule type="containsErrors" dxfId="268" priority="180">
      <formula>ISERROR(B6331)</formula>
    </cfRule>
  </conditionalFormatting>
  <conditionalFormatting sqref="B6294:H6294 H6295:H6298 B6299:H6304 B6308:H6327 G6330:H6330 D6331 H6305:H6307 H6328:H6329">
    <cfRule type="containsErrors" dxfId="267" priority="179">
      <formula>ISERROR(B6294)</formula>
    </cfRule>
  </conditionalFormatting>
  <conditionalFormatting sqref="H6295:H6298 B6335:G6335 B6299:H6304 B6308:H6327 F6330:H6330 B6331:H6334 H6305:H6307 H6328:H6329">
    <cfRule type="containsErrors" dxfId="266" priority="178">
      <formula>ISERROR(B6295)</formula>
    </cfRule>
  </conditionalFormatting>
  <conditionalFormatting sqref="C6295:G6295 B6296:G6298">
    <cfRule type="containsErrors" dxfId="265" priority="176">
      <formula>ISERROR(B6295)</formula>
    </cfRule>
  </conditionalFormatting>
  <conditionalFormatting sqref="C6295:G6295 B6296:G6298">
    <cfRule type="containsErrors" dxfId="264" priority="177">
      <formula>ISERROR(B6295)</formula>
    </cfRule>
  </conditionalFormatting>
  <conditionalFormatting sqref="F6330">
    <cfRule type="containsErrors" dxfId="263" priority="175">
      <formula>ISERROR(F6330)</formula>
    </cfRule>
  </conditionalFormatting>
  <conditionalFormatting sqref="F6330">
    <cfRule type="containsErrors" dxfId="262" priority="174">
      <formula>ISERROR(F6330)</formula>
    </cfRule>
  </conditionalFormatting>
  <conditionalFormatting sqref="H6335">
    <cfRule type="containsErrors" dxfId="261" priority="173">
      <formula>ISERROR(H6335)</formula>
    </cfRule>
  </conditionalFormatting>
  <conditionalFormatting sqref="H6335">
    <cfRule type="containsErrors" dxfId="260" priority="172">
      <formula>ISERROR(H6335)</formula>
    </cfRule>
  </conditionalFormatting>
  <conditionalFormatting sqref="F6330:G6330 D6331">
    <cfRule type="containsErrors" dxfId="259" priority="171">
      <formula>ISERROR(D6330)</formula>
    </cfRule>
  </conditionalFormatting>
  <conditionalFormatting sqref="B6331">
    <cfRule type="containsErrors" dxfId="258" priority="170">
      <formula>ISERROR(B6331)</formula>
    </cfRule>
  </conditionalFormatting>
  <conditionalFormatting sqref="B6331">
    <cfRule type="containsErrors" dxfId="257" priority="169">
      <formula>ISERROR(B6331)</formula>
    </cfRule>
  </conditionalFormatting>
  <conditionalFormatting sqref="B6330:E6330">
    <cfRule type="containsErrors" dxfId="256" priority="168">
      <formula>ISERROR(B6330)</formula>
    </cfRule>
  </conditionalFormatting>
  <conditionalFormatting sqref="B6330:E6330">
    <cfRule type="containsErrors" dxfId="255" priority="167">
      <formula>ISERROR(B6330)</formula>
    </cfRule>
  </conditionalFormatting>
  <conditionalFormatting sqref="B6330:E6330">
    <cfRule type="containsErrors" dxfId="254" priority="166">
      <formula>ISERROR(B6330)</formula>
    </cfRule>
  </conditionalFormatting>
  <conditionalFormatting sqref="F6279">
    <cfRule type="containsErrors" dxfId="253" priority="187">
      <formula>ISERROR(F6279)</formula>
    </cfRule>
  </conditionalFormatting>
  <conditionalFormatting sqref="F6279">
    <cfRule type="containsErrors" dxfId="252" priority="186">
      <formula>ISERROR(F6279)</formula>
    </cfRule>
  </conditionalFormatting>
  <conditionalFormatting sqref="F6280">
    <cfRule type="containsErrors" dxfId="251" priority="182">
      <formula>ISERROR(F6280)</formula>
    </cfRule>
  </conditionalFormatting>
  <conditionalFormatting sqref="F6280">
    <cfRule type="containsErrors" dxfId="250" priority="185">
      <formula>ISERROR(F6280)</formula>
    </cfRule>
  </conditionalFormatting>
  <conditionalFormatting sqref="F6280">
    <cfRule type="containsErrors" dxfId="249" priority="184">
      <formula>ISERROR(F6280)</formula>
    </cfRule>
  </conditionalFormatting>
  <conditionalFormatting sqref="F6280">
    <cfRule type="containsErrors" dxfId="248" priority="183">
      <formula>ISERROR(F6280)</formula>
    </cfRule>
  </conditionalFormatting>
  <conditionalFormatting sqref="B6306:G6307 F6305:G6305 D6305">
    <cfRule type="containsErrors" dxfId="247" priority="164">
      <formula>ISERROR(B6305)</formula>
    </cfRule>
  </conditionalFormatting>
  <conditionalFormatting sqref="B6306:G6307 F6305:G6305 D6305">
    <cfRule type="containsErrors" dxfId="246" priority="165">
      <formula>ISERROR(B6305)</formula>
    </cfRule>
  </conditionalFormatting>
  <conditionalFormatting sqref="B6329">
    <cfRule type="containsErrors" dxfId="245" priority="149">
      <formula>ISERROR(B6329)</formula>
    </cfRule>
  </conditionalFormatting>
  <conditionalFormatting sqref="B6329">
    <cfRule type="containsErrors" dxfId="244" priority="148">
      <formula>ISERROR(B6329)</formula>
    </cfRule>
  </conditionalFormatting>
  <conditionalFormatting sqref="G6328 C6328:E6328">
    <cfRule type="containsErrors" dxfId="243" priority="163">
      <formula>ISERROR(C6328)</formula>
    </cfRule>
  </conditionalFormatting>
  <conditionalFormatting sqref="C6328:E6328 G6328">
    <cfRule type="containsErrors" dxfId="242" priority="162">
      <formula>ISERROR(C6328)</formula>
    </cfRule>
  </conditionalFormatting>
  <conditionalFormatting sqref="F6328">
    <cfRule type="containsErrors" dxfId="241" priority="161">
      <formula>ISERROR(F6328)</formula>
    </cfRule>
  </conditionalFormatting>
  <conditionalFormatting sqref="F6328">
    <cfRule type="containsErrors" dxfId="240" priority="160">
      <formula>ISERROR(F6328)</formula>
    </cfRule>
  </conditionalFormatting>
  <conditionalFormatting sqref="B6328">
    <cfRule type="containsErrors" dxfId="239" priority="158">
      <formula>ISERROR(B6328)</formula>
    </cfRule>
  </conditionalFormatting>
  <conditionalFormatting sqref="B6328">
    <cfRule type="containsErrors" dxfId="238" priority="159">
      <formula>ISERROR(B6328)</formula>
    </cfRule>
  </conditionalFormatting>
  <conditionalFormatting sqref="G6329">
    <cfRule type="containsErrors" dxfId="237" priority="157">
      <formula>ISERROR(G6329)</formula>
    </cfRule>
  </conditionalFormatting>
  <conditionalFormatting sqref="F6329:G6329">
    <cfRule type="containsErrors" dxfId="236" priority="156">
      <formula>ISERROR(F6329)</formula>
    </cfRule>
  </conditionalFormatting>
  <conditionalFormatting sqref="F6329">
    <cfRule type="containsErrors" dxfId="235" priority="155">
      <formula>ISERROR(F6329)</formula>
    </cfRule>
  </conditionalFormatting>
  <conditionalFormatting sqref="F6329">
    <cfRule type="containsErrors" dxfId="234" priority="154">
      <formula>ISERROR(F6329)</formula>
    </cfRule>
  </conditionalFormatting>
  <conditionalFormatting sqref="F6329:G6329">
    <cfRule type="containsErrors" dxfId="233" priority="153">
      <formula>ISERROR(F6329)</formula>
    </cfRule>
  </conditionalFormatting>
  <conditionalFormatting sqref="C6329:E6329">
    <cfRule type="containsErrors" dxfId="232" priority="152">
      <formula>ISERROR(C6329)</formula>
    </cfRule>
  </conditionalFormatting>
  <conditionalFormatting sqref="C6329:E6329">
    <cfRule type="containsErrors" dxfId="231" priority="151">
      <formula>ISERROR(C6329)</formula>
    </cfRule>
  </conditionalFormatting>
  <conditionalFormatting sqref="C6329:E6329">
    <cfRule type="containsErrors" dxfId="230" priority="150">
      <formula>ISERROR(C6329)</formula>
    </cfRule>
  </conditionalFormatting>
  <conditionalFormatting sqref="B5943">
    <cfRule type="containsErrors" dxfId="229" priority="97">
      <formula>ISERROR(B5943)</formula>
    </cfRule>
  </conditionalFormatting>
  <conditionalFormatting sqref="C6442:G6442 B6443:G6445">
    <cfRule type="containsErrors" dxfId="228" priority="138">
      <formula>ISERROR(B6442)</formula>
    </cfRule>
  </conditionalFormatting>
  <conditionalFormatting sqref="C6442:G6442 B6443:G6445">
    <cfRule type="containsErrors" dxfId="227" priority="137">
      <formula>ISERROR(B6442)</formula>
    </cfRule>
  </conditionalFormatting>
  <conditionalFormatting sqref="F6377">
    <cfRule type="containsErrors" dxfId="226" priority="147">
      <formula>ISERROR(F6377)</formula>
    </cfRule>
  </conditionalFormatting>
  <conditionalFormatting sqref="F6377">
    <cfRule type="containsErrors" dxfId="225" priority="146">
      <formula>ISERROR(F6377)</formula>
    </cfRule>
  </conditionalFormatting>
  <conditionalFormatting sqref="F6378">
    <cfRule type="containsErrors" dxfId="224" priority="142">
      <formula>ISERROR(F6378)</formula>
    </cfRule>
  </conditionalFormatting>
  <conditionalFormatting sqref="F6378">
    <cfRule type="containsErrors" dxfId="223" priority="145">
      <formula>ISERROR(F6378)</formula>
    </cfRule>
  </conditionalFormatting>
  <conditionalFormatting sqref="F6378">
    <cfRule type="containsErrors" dxfId="222" priority="144">
      <formula>ISERROR(F6378)</formula>
    </cfRule>
  </conditionalFormatting>
  <conditionalFormatting sqref="F6378">
    <cfRule type="containsErrors" dxfId="221" priority="143">
      <formula>ISERROR(F6378)</formula>
    </cfRule>
  </conditionalFormatting>
  <conditionalFormatting sqref="A6438:H6441 A6442:A6445 H6442:H6445 A6446:H6451 A6453:H6474 A6452:B6452 F6452:H6452 D6452 G6477:H6477 D6478 A6475:A6477 H6475:H6476 A6437 F6437:H6437 C6437">
    <cfRule type="containsErrors" dxfId="220" priority="140">
      <formula>ISERROR(A6437)</formula>
    </cfRule>
  </conditionalFormatting>
  <conditionalFormatting sqref="H6442:H6445 B6482:G6482 B6446:H6451 B6453:H6474 B6452 F6452:H6452 D6452 F6477:H6477 B6478:H6481 H6475:H6476">
    <cfRule type="containsErrors" dxfId="219" priority="139">
      <formula>ISERROR(B6442)</formula>
    </cfRule>
  </conditionalFormatting>
  <conditionalFormatting sqref="A6478:H6481 A6483:H6483 A6482:G6482">
    <cfRule type="containsErrors" dxfId="218" priority="141">
      <formula>ISERROR(A6478)</formula>
    </cfRule>
  </conditionalFormatting>
  <conditionalFormatting sqref="F6477">
    <cfRule type="containsErrors" dxfId="217" priority="136">
      <formula>ISERROR(F6477)</formula>
    </cfRule>
  </conditionalFormatting>
  <conditionalFormatting sqref="F6477">
    <cfRule type="containsErrors" dxfId="216" priority="135">
      <formula>ISERROR(F6477)</formula>
    </cfRule>
  </conditionalFormatting>
  <conditionalFormatting sqref="H6482">
    <cfRule type="containsErrors" dxfId="215" priority="134">
      <formula>ISERROR(H6482)</formula>
    </cfRule>
  </conditionalFormatting>
  <conditionalFormatting sqref="H6482">
    <cfRule type="containsErrors" dxfId="214" priority="133">
      <formula>ISERROR(H6482)</formula>
    </cfRule>
  </conditionalFormatting>
  <conditionalFormatting sqref="B6478">
    <cfRule type="containsErrors" dxfId="213" priority="130">
      <formula>ISERROR(B6478)</formula>
    </cfRule>
  </conditionalFormatting>
  <conditionalFormatting sqref="F6477:G6477 D6478">
    <cfRule type="containsErrors" dxfId="212" priority="132">
      <formula>ISERROR(D6477)</formula>
    </cfRule>
  </conditionalFormatting>
  <conditionalFormatting sqref="B6478">
    <cfRule type="containsErrors" dxfId="211" priority="131">
      <formula>ISERROR(B6478)</formula>
    </cfRule>
  </conditionalFormatting>
  <conditionalFormatting sqref="B6477:E6477">
    <cfRule type="containsErrors" dxfId="210" priority="128">
      <formula>ISERROR(B6477)</formula>
    </cfRule>
  </conditionalFormatting>
  <conditionalFormatting sqref="B6477:E6477">
    <cfRule type="containsErrors" dxfId="209" priority="129">
      <formula>ISERROR(B6477)</formula>
    </cfRule>
  </conditionalFormatting>
  <conditionalFormatting sqref="B6477:E6477">
    <cfRule type="containsErrors" dxfId="208" priority="127">
      <formula>ISERROR(B6477)</formula>
    </cfRule>
  </conditionalFormatting>
  <conditionalFormatting sqref="G6426 C6426:E6426">
    <cfRule type="containsErrors" dxfId="207" priority="126">
      <formula>ISERROR(C6426)</formula>
    </cfRule>
  </conditionalFormatting>
  <conditionalFormatting sqref="C6426:E6426 G6426">
    <cfRule type="containsErrors" dxfId="206" priority="125">
      <formula>ISERROR(C6426)</formula>
    </cfRule>
  </conditionalFormatting>
  <conditionalFormatting sqref="F6426">
    <cfRule type="containsErrors" dxfId="205" priority="124">
      <formula>ISERROR(F6426)</formula>
    </cfRule>
  </conditionalFormatting>
  <conditionalFormatting sqref="F6426">
    <cfRule type="containsErrors" dxfId="204" priority="123">
      <formula>ISERROR(F6426)</formula>
    </cfRule>
  </conditionalFormatting>
  <conditionalFormatting sqref="B6426">
    <cfRule type="containsErrors" dxfId="203" priority="121">
      <formula>ISERROR(B6426)</formula>
    </cfRule>
  </conditionalFormatting>
  <conditionalFormatting sqref="B6426">
    <cfRule type="containsErrors" dxfId="202" priority="122">
      <formula>ISERROR(B6426)</formula>
    </cfRule>
  </conditionalFormatting>
  <conditionalFormatting sqref="G6427">
    <cfRule type="containsErrors" dxfId="201" priority="120">
      <formula>ISERROR(G6427)</formula>
    </cfRule>
  </conditionalFormatting>
  <conditionalFormatting sqref="F6427:G6427">
    <cfRule type="containsErrors" dxfId="200" priority="119">
      <formula>ISERROR(F6427)</formula>
    </cfRule>
  </conditionalFormatting>
  <conditionalFormatting sqref="F6427">
    <cfRule type="containsErrors" dxfId="199" priority="118">
      <formula>ISERROR(F6427)</formula>
    </cfRule>
  </conditionalFormatting>
  <conditionalFormatting sqref="F6427">
    <cfRule type="containsErrors" dxfId="198" priority="117">
      <formula>ISERROR(F6427)</formula>
    </cfRule>
  </conditionalFormatting>
  <conditionalFormatting sqref="F6427:G6427">
    <cfRule type="containsErrors" dxfId="197" priority="116">
      <formula>ISERROR(F6427)</formula>
    </cfRule>
  </conditionalFormatting>
  <conditionalFormatting sqref="C6427:E6427">
    <cfRule type="containsErrors" dxfId="196" priority="115">
      <formula>ISERROR(C6427)</formula>
    </cfRule>
  </conditionalFormatting>
  <conditionalFormatting sqref="C6427:E6427">
    <cfRule type="containsErrors" dxfId="195" priority="114">
      <formula>ISERROR(C6427)</formula>
    </cfRule>
  </conditionalFormatting>
  <conditionalFormatting sqref="C6427:E6427">
    <cfRule type="containsErrors" dxfId="194" priority="113">
      <formula>ISERROR(C6427)</formula>
    </cfRule>
  </conditionalFormatting>
  <conditionalFormatting sqref="B6427">
    <cfRule type="containsErrors" dxfId="193" priority="112">
      <formula>ISERROR(B6427)</formula>
    </cfRule>
  </conditionalFormatting>
  <conditionalFormatting sqref="B6427">
    <cfRule type="containsErrors" dxfId="192" priority="111">
      <formula>ISERROR(B6427)</formula>
    </cfRule>
  </conditionalFormatting>
  <conditionalFormatting sqref="F6475">
    <cfRule type="containsErrors" dxfId="191" priority="110">
      <formula>ISERROR(F6475)</formula>
    </cfRule>
  </conditionalFormatting>
  <conditionalFormatting sqref="F6475">
    <cfRule type="containsErrors" dxfId="190" priority="109">
      <formula>ISERROR(F6475)</formula>
    </cfRule>
  </conditionalFormatting>
  <conditionalFormatting sqref="F6476">
    <cfRule type="containsErrors" dxfId="189" priority="105">
      <formula>ISERROR(F6476)</formula>
    </cfRule>
  </conditionalFormatting>
  <conditionalFormatting sqref="F6476">
    <cfRule type="containsErrors" dxfId="188" priority="108">
      <formula>ISERROR(F6476)</formula>
    </cfRule>
  </conditionalFormatting>
  <conditionalFormatting sqref="F6476">
    <cfRule type="containsErrors" dxfId="187" priority="107">
      <formula>ISERROR(F6476)</formula>
    </cfRule>
  </conditionalFormatting>
  <conditionalFormatting sqref="F6476">
    <cfRule type="containsErrors" dxfId="186" priority="106">
      <formula>ISERROR(F6476)</formula>
    </cfRule>
  </conditionalFormatting>
  <conditionalFormatting sqref="G5847:G5848">
    <cfRule type="containsErrors" dxfId="185" priority="103">
      <formula>ISERROR(G5847)</formula>
    </cfRule>
  </conditionalFormatting>
  <conditionalFormatting sqref="G5895:G5896">
    <cfRule type="containsErrors" dxfId="184" priority="102">
      <formula>ISERROR(G5895)</formula>
    </cfRule>
  </conditionalFormatting>
  <conditionalFormatting sqref="G5895:G5896">
    <cfRule type="containsErrors" dxfId="183" priority="101">
      <formula>ISERROR(G5895)</formula>
    </cfRule>
  </conditionalFormatting>
  <conditionalFormatting sqref="G5847:G5848">
    <cfRule type="containsErrors" dxfId="182" priority="104">
      <formula>ISERROR(G5847)</formula>
    </cfRule>
  </conditionalFormatting>
  <conditionalFormatting sqref="G5943:G5944">
    <cfRule type="containsErrors" dxfId="181" priority="94">
      <formula>ISERROR(G5943)</formula>
    </cfRule>
  </conditionalFormatting>
  <conditionalFormatting sqref="C5943:E5943">
    <cfRule type="containsErrors" dxfId="180" priority="98">
      <formula>ISERROR(C5943)</formula>
    </cfRule>
  </conditionalFormatting>
  <conditionalFormatting sqref="C5943:E5943">
    <cfRule type="containsErrors" dxfId="179" priority="99">
      <formula>ISERROR(C5943)</formula>
    </cfRule>
  </conditionalFormatting>
  <conditionalFormatting sqref="B5943">
    <cfRule type="containsErrors" dxfId="178" priority="96">
      <formula>ISERROR(B5943)</formula>
    </cfRule>
  </conditionalFormatting>
  <conditionalFormatting sqref="G5991:G5992">
    <cfRule type="containsErrors" dxfId="177" priority="87">
      <formula>ISERROR(G5991)</formula>
    </cfRule>
  </conditionalFormatting>
  <conditionalFormatting sqref="G5943:G5944">
    <cfRule type="containsErrors" dxfId="176" priority="95">
      <formula>ISERROR(G5943)</formula>
    </cfRule>
  </conditionalFormatting>
  <conditionalFormatting sqref="B5968">
    <cfRule type="containsErrors" dxfId="175" priority="93">
      <formula>ISERROR(B5968)</formula>
    </cfRule>
  </conditionalFormatting>
  <conditionalFormatting sqref="C5991:E5991">
    <cfRule type="containsErrors" dxfId="174" priority="91">
      <formula>ISERROR(C5991)</formula>
    </cfRule>
  </conditionalFormatting>
  <conditionalFormatting sqref="C5991:E5991">
    <cfRule type="containsErrors" dxfId="173" priority="92">
      <formula>ISERROR(C5991)</formula>
    </cfRule>
  </conditionalFormatting>
  <conditionalFormatting sqref="B5991">
    <cfRule type="containsErrors" dxfId="172" priority="89">
      <formula>ISERROR(B5991)</formula>
    </cfRule>
  </conditionalFormatting>
  <conditionalFormatting sqref="B5991">
    <cfRule type="containsErrors" dxfId="171" priority="90">
      <formula>ISERROR(B5991)</formula>
    </cfRule>
  </conditionalFormatting>
  <conditionalFormatting sqref="G6039:G6040">
    <cfRule type="containsErrors" dxfId="170" priority="80">
      <formula>ISERROR(G6039)</formula>
    </cfRule>
  </conditionalFormatting>
  <conditionalFormatting sqref="G5991:G5992">
    <cfRule type="containsErrors" dxfId="169" priority="88">
      <formula>ISERROR(G5991)</formula>
    </cfRule>
  </conditionalFormatting>
  <conditionalFormatting sqref="B6016">
    <cfRule type="containsErrors" dxfId="168" priority="86">
      <formula>ISERROR(B6016)</formula>
    </cfRule>
  </conditionalFormatting>
  <conditionalFormatting sqref="C6039:E6039">
    <cfRule type="containsErrors" dxfId="167" priority="84">
      <formula>ISERROR(C6039)</formula>
    </cfRule>
  </conditionalFormatting>
  <conditionalFormatting sqref="C6039:E6039">
    <cfRule type="containsErrors" dxfId="166" priority="85">
      <formula>ISERROR(C6039)</formula>
    </cfRule>
  </conditionalFormatting>
  <conditionalFormatting sqref="B6039">
    <cfRule type="containsErrors" dxfId="165" priority="82">
      <formula>ISERROR(B6039)</formula>
    </cfRule>
  </conditionalFormatting>
  <conditionalFormatting sqref="B6039">
    <cfRule type="containsErrors" dxfId="164" priority="83">
      <formula>ISERROR(B6039)</formula>
    </cfRule>
  </conditionalFormatting>
  <conditionalFormatting sqref="G6087:G6088">
    <cfRule type="containsErrors" dxfId="163" priority="77">
      <formula>ISERROR(G6087)</formula>
    </cfRule>
  </conditionalFormatting>
  <conditionalFormatting sqref="G6039:G6040">
    <cfRule type="containsErrors" dxfId="162" priority="81">
      <formula>ISERROR(G6039)</formula>
    </cfRule>
  </conditionalFormatting>
  <conditionalFormatting sqref="B6064">
    <cfRule type="containsErrors" dxfId="161" priority="79">
      <formula>ISERROR(B6064)</formula>
    </cfRule>
  </conditionalFormatting>
  <conditionalFormatting sqref="G6135:G6137">
    <cfRule type="containsErrors" dxfId="160" priority="70">
      <formula>ISERROR(G6135)</formula>
    </cfRule>
  </conditionalFormatting>
  <conditionalFormatting sqref="G6087:G6088">
    <cfRule type="containsErrors" dxfId="159" priority="78">
      <formula>ISERROR(G6087)</formula>
    </cfRule>
  </conditionalFormatting>
  <conditionalFormatting sqref="B6112">
    <cfRule type="containsErrors" dxfId="158" priority="76">
      <formula>ISERROR(B6112)</formula>
    </cfRule>
  </conditionalFormatting>
  <conditionalFormatting sqref="C6135:E6135">
    <cfRule type="containsErrors" dxfId="157" priority="74">
      <formula>ISERROR(C6135)</formula>
    </cfRule>
  </conditionalFormatting>
  <conditionalFormatting sqref="C6135:E6135">
    <cfRule type="containsErrors" dxfId="156" priority="75">
      <formula>ISERROR(C6135)</formula>
    </cfRule>
  </conditionalFormatting>
  <conditionalFormatting sqref="B6135">
    <cfRule type="containsErrors" dxfId="155" priority="72">
      <formula>ISERROR(B6135)</formula>
    </cfRule>
  </conditionalFormatting>
  <conditionalFormatting sqref="B6135">
    <cfRule type="containsErrors" dxfId="154" priority="73">
      <formula>ISERROR(B6135)</formula>
    </cfRule>
  </conditionalFormatting>
  <conditionalFormatting sqref="B6160">
    <cfRule type="containsErrors" dxfId="153" priority="63">
      <formula>ISERROR(B6160)</formula>
    </cfRule>
  </conditionalFormatting>
  <conditionalFormatting sqref="G6135:G6137">
    <cfRule type="containsErrors" dxfId="152" priority="71">
      <formula>ISERROR(G6135)</formula>
    </cfRule>
  </conditionalFormatting>
  <conditionalFormatting sqref="C6183:E6183">
    <cfRule type="containsErrors" dxfId="151" priority="68">
      <formula>ISERROR(C6183)</formula>
    </cfRule>
  </conditionalFormatting>
  <conditionalFormatting sqref="C6183:E6183">
    <cfRule type="containsErrors" dxfId="150" priority="69">
      <formula>ISERROR(C6183)</formula>
    </cfRule>
  </conditionalFormatting>
  <conditionalFormatting sqref="B6183">
    <cfRule type="containsErrors" dxfId="149" priority="66">
      <formula>ISERROR(B6183)</formula>
    </cfRule>
  </conditionalFormatting>
  <conditionalFormatting sqref="B6183">
    <cfRule type="containsErrors" dxfId="148" priority="67">
      <formula>ISERROR(B6183)</formula>
    </cfRule>
  </conditionalFormatting>
  <conditionalFormatting sqref="G6183:G6184">
    <cfRule type="containsErrors" dxfId="147" priority="64">
      <formula>ISERROR(G6183)</formula>
    </cfRule>
  </conditionalFormatting>
  <conditionalFormatting sqref="G6183:G6184">
    <cfRule type="containsErrors" dxfId="146" priority="65">
      <formula>ISERROR(G6183)</formula>
    </cfRule>
  </conditionalFormatting>
  <conditionalFormatting sqref="B6208">
    <cfRule type="containsErrors" dxfId="145" priority="62">
      <formula>ISERROR(B6208)</formula>
    </cfRule>
  </conditionalFormatting>
  <conditionalFormatting sqref="C6231:E6231">
    <cfRule type="containsErrors" dxfId="144" priority="60">
      <formula>ISERROR(C6231)</formula>
    </cfRule>
  </conditionalFormatting>
  <conditionalFormatting sqref="C6231:E6231">
    <cfRule type="containsErrors" dxfId="143" priority="61">
      <formula>ISERROR(C6231)</formula>
    </cfRule>
  </conditionalFormatting>
  <conditionalFormatting sqref="B6231">
    <cfRule type="containsErrors" dxfId="142" priority="58">
      <formula>ISERROR(B6231)</formula>
    </cfRule>
  </conditionalFormatting>
  <conditionalFormatting sqref="B6231">
    <cfRule type="containsErrors" dxfId="141" priority="59">
      <formula>ISERROR(B6231)</formula>
    </cfRule>
  </conditionalFormatting>
  <conditionalFormatting sqref="G6231:G6232">
    <cfRule type="containsErrors" dxfId="140" priority="56">
      <formula>ISERROR(G6231)</formula>
    </cfRule>
  </conditionalFormatting>
  <conditionalFormatting sqref="G6231:G6232">
    <cfRule type="containsErrors" dxfId="139" priority="57">
      <formula>ISERROR(G6231)</formula>
    </cfRule>
  </conditionalFormatting>
  <conditionalFormatting sqref="B6256">
    <cfRule type="containsErrors" dxfId="138" priority="55">
      <formula>ISERROR(B6256)</formula>
    </cfRule>
  </conditionalFormatting>
  <conditionalFormatting sqref="C6279:E6279">
    <cfRule type="containsErrors" dxfId="137" priority="53">
      <formula>ISERROR(C6279)</formula>
    </cfRule>
  </conditionalFormatting>
  <conditionalFormatting sqref="C6279:E6279">
    <cfRule type="containsErrors" dxfId="136" priority="54">
      <formula>ISERROR(C6279)</formula>
    </cfRule>
  </conditionalFormatting>
  <conditionalFormatting sqref="B6279">
    <cfRule type="containsErrors" dxfId="135" priority="51">
      <formula>ISERROR(B6279)</formula>
    </cfRule>
  </conditionalFormatting>
  <conditionalFormatting sqref="B6279">
    <cfRule type="containsErrors" dxfId="134" priority="52">
      <formula>ISERROR(B6279)</formula>
    </cfRule>
  </conditionalFormatting>
  <conditionalFormatting sqref="G6279:G6280">
    <cfRule type="containsErrors" dxfId="133" priority="49">
      <formula>ISERROR(G6279)</formula>
    </cfRule>
  </conditionalFormatting>
  <conditionalFormatting sqref="G6279:G6280">
    <cfRule type="containsErrors" dxfId="132" priority="50">
      <formula>ISERROR(G6279)</formula>
    </cfRule>
  </conditionalFormatting>
  <conditionalFormatting sqref="B6305">
    <cfRule type="containsErrors" dxfId="131" priority="48">
      <formula>ISERROR(B6305)</formula>
    </cfRule>
  </conditionalFormatting>
  <conditionalFormatting sqref="B6354">
    <cfRule type="containsErrors" dxfId="130" priority="47">
      <formula>ISERROR(B6354)</formula>
    </cfRule>
  </conditionalFormatting>
  <conditionalFormatting sqref="C6377:E6377">
    <cfRule type="containsErrors" dxfId="129" priority="45">
      <formula>ISERROR(C6377)</formula>
    </cfRule>
  </conditionalFormatting>
  <conditionalFormatting sqref="C6377:E6377">
    <cfRule type="containsErrors" dxfId="128" priority="46">
      <formula>ISERROR(C6377)</formula>
    </cfRule>
  </conditionalFormatting>
  <conditionalFormatting sqref="B6377">
    <cfRule type="containsErrors" dxfId="127" priority="43">
      <formula>ISERROR(B6377)</formula>
    </cfRule>
  </conditionalFormatting>
  <conditionalFormatting sqref="B6377">
    <cfRule type="containsErrors" dxfId="126" priority="44">
      <formula>ISERROR(B6377)</formula>
    </cfRule>
  </conditionalFormatting>
  <conditionalFormatting sqref="G6377:G6378">
    <cfRule type="containsErrors" dxfId="125" priority="41">
      <formula>ISERROR(G6377)</formula>
    </cfRule>
  </conditionalFormatting>
  <conditionalFormatting sqref="G6377:G6378">
    <cfRule type="containsErrors" dxfId="124" priority="42">
      <formula>ISERROR(G6377)</formula>
    </cfRule>
  </conditionalFormatting>
  <conditionalFormatting sqref="B6403">
    <cfRule type="containsErrors" dxfId="123" priority="40">
      <formula>ISERROR(B6403)</formula>
    </cfRule>
  </conditionalFormatting>
  <conditionalFormatting sqref="C6475:E6475">
    <cfRule type="containsErrors" dxfId="122" priority="38">
      <formula>ISERROR(C6475)</formula>
    </cfRule>
  </conditionalFormatting>
  <conditionalFormatting sqref="C6475:E6475">
    <cfRule type="containsErrors" dxfId="121" priority="39">
      <formula>ISERROR(C6475)</formula>
    </cfRule>
  </conditionalFormatting>
  <conditionalFormatting sqref="B6475">
    <cfRule type="containsErrors" dxfId="120" priority="36">
      <formula>ISERROR(B6475)</formula>
    </cfRule>
  </conditionalFormatting>
  <conditionalFormatting sqref="B6475">
    <cfRule type="containsErrors" dxfId="119" priority="37">
      <formula>ISERROR(B6475)</formula>
    </cfRule>
  </conditionalFormatting>
  <conditionalFormatting sqref="G6475:G6476">
    <cfRule type="containsErrors" dxfId="118" priority="34">
      <formula>ISERROR(G6475)</formula>
    </cfRule>
  </conditionalFormatting>
  <conditionalFormatting sqref="G6475:G6476">
    <cfRule type="containsErrors" dxfId="117" priority="35">
      <formula>ISERROR(G6475)</formula>
    </cfRule>
  </conditionalFormatting>
  <conditionalFormatting sqref="B5920">
    <cfRule type="containsErrors" dxfId="116" priority="33">
      <formula>ISERROR(B5920)</formula>
    </cfRule>
  </conditionalFormatting>
  <conditionalFormatting sqref="C6193">
    <cfRule type="containsErrors" dxfId="115" priority="31">
      <formula>ISERROR(C6193)</formula>
    </cfRule>
  </conditionalFormatting>
  <conditionalFormatting sqref="A6193 F6193:G6193">
    <cfRule type="containsErrors" dxfId="114" priority="32">
      <formula>ISERROR(A6193)</formula>
    </cfRule>
  </conditionalFormatting>
  <conditionalFormatting sqref="G6573:G6575">
    <cfRule type="containsErrors" dxfId="113" priority="29">
      <formula>ISERROR(G6573)</formula>
    </cfRule>
  </conditionalFormatting>
  <conditionalFormatting sqref="G6573:G6575">
    <cfRule type="containsErrors" dxfId="112" priority="30">
      <formula>ISERROR(G6573)</formula>
    </cfRule>
  </conditionalFormatting>
  <conditionalFormatting sqref="G6623:G6625">
    <cfRule type="containsErrors" dxfId="111" priority="27">
      <formula>ISERROR(G6623)</formula>
    </cfRule>
  </conditionalFormatting>
  <conditionalFormatting sqref="G6623:G6625">
    <cfRule type="containsErrors" dxfId="110" priority="28">
      <formula>ISERROR(G6623)</formula>
    </cfRule>
  </conditionalFormatting>
  <conditionalFormatting sqref="B2501">
    <cfRule type="duplicateValues" dxfId="109" priority="24" stopIfTrue="1"/>
  </conditionalFormatting>
  <conditionalFormatting sqref="B2453">
    <cfRule type="duplicateValues" dxfId="108" priority="23" stopIfTrue="1"/>
  </conditionalFormatting>
  <conditionalFormatting sqref="B2549">
    <cfRule type="duplicateValues" dxfId="107" priority="22" stopIfTrue="1"/>
  </conditionalFormatting>
  <conditionalFormatting sqref="B2597">
    <cfRule type="duplicateValues" dxfId="106" priority="21" stopIfTrue="1"/>
  </conditionalFormatting>
  <conditionalFormatting sqref="B2645">
    <cfRule type="duplicateValues" dxfId="105" priority="20" stopIfTrue="1"/>
  </conditionalFormatting>
  <conditionalFormatting sqref="B2693">
    <cfRule type="duplicateValues" dxfId="104" priority="19" stopIfTrue="1"/>
  </conditionalFormatting>
  <conditionalFormatting sqref="B2741">
    <cfRule type="duplicateValues" dxfId="103" priority="18" stopIfTrue="1"/>
  </conditionalFormatting>
  <conditionalFormatting sqref="B2789">
    <cfRule type="duplicateValues" dxfId="102" priority="17" stopIfTrue="1"/>
  </conditionalFormatting>
  <conditionalFormatting sqref="B2837">
    <cfRule type="duplicateValues" dxfId="101" priority="16" stopIfTrue="1"/>
  </conditionalFormatting>
  <conditionalFormatting sqref="B2885">
    <cfRule type="duplicateValues" dxfId="100" priority="15" stopIfTrue="1"/>
  </conditionalFormatting>
  <conditionalFormatting sqref="B3030">
    <cfRule type="duplicateValues" dxfId="99" priority="14" stopIfTrue="1"/>
  </conditionalFormatting>
  <conditionalFormatting sqref="B3078">
    <cfRule type="duplicateValues" dxfId="98" priority="13" stopIfTrue="1"/>
  </conditionalFormatting>
  <conditionalFormatting sqref="B3126">
    <cfRule type="duplicateValues" dxfId="97" priority="12" stopIfTrue="1"/>
  </conditionalFormatting>
  <conditionalFormatting sqref="B3174">
    <cfRule type="duplicateValues" dxfId="96" priority="11" stopIfTrue="1"/>
  </conditionalFormatting>
  <conditionalFormatting sqref="B3222">
    <cfRule type="duplicateValues" dxfId="95" priority="10" stopIfTrue="1"/>
  </conditionalFormatting>
  <conditionalFormatting sqref="B3270">
    <cfRule type="duplicateValues" dxfId="94" priority="9" stopIfTrue="1"/>
  </conditionalFormatting>
  <conditionalFormatting sqref="B3318">
    <cfRule type="duplicateValues" dxfId="93" priority="8" stopIfTrue="1"/>
  </conditionalFormatting>
  <conditionalFormatting sqref="B3366">
    <cfRule type="duplicateValues" dxfId="92" priority="7" stopIfTrue="1"/>
  </conditionalFormatting>
  <conditionalFormatting sqref="B3414">
    <cfRule type="duplicateValues" dxfId="91" priority="6" stopIfTrue="1"/>
  </conditionalFormatting>
  <conditionalFormatting sqref="B3462">
    <cfRule type="duplicateValues" dxfId="90" priority="5" stopIfTrue="1"/>
  </conditionalFormatting>
  <pageMargins left="0.70866141732283472" right="0.70866141732283472" top="0.74803149606299213" bottom="0.74803149606299213" header="0.31496062992125984" footer="0.31496062992125984"/>
  <pageSetup scale="60" fitToHeight="0" orientation="portrait" r:id="rId1"/>
  <rowBreaks count="142" manualBreakCount="142">
    <brk id="51" max="16383" man="1"/>
    <brk id="102" max="7" man="1"/>
    <brk id="151" max="7" man="1"/>
    <brk id="200" max="16383" man="1"/>
    <brk id="298" max="16383" man="1"/>
    <brk id="348" max="16383" man="1"/>
    <brk id="398" max="16383" man="1"/>
    <brk id="448" max="16383" man="1"/>
    <brk id="497" max="16383" man="1"/>
    <brk id="546" max="16383" man="1"/>
    <brk id="596" max="16383" man="1"/>
    <brk id="644" max="16383" man="1"/>
    <brk id="694" max="16383" man="1"/>
    <brk id="743" max="16383" man="1"/>
    <brk id="792" max="16383" man="1"/>
    <brk id="843" max="16383" man="1"/>
    <brk id="893" max="16383" man="1"/>
    <brk id="942" max="16383" man="1"/>
    <brk id="991" max="16383" man="1"/>
    <brk id="1040" max="16383" man="1"/>
    <brk id="1089" max="16383" man="1"/>
    <brk id="1139" max="16383" man="1"/>
    <brk id="1189" max="7" man="1"/>
    <brk id="1238" max="7" man="1"/>
    <brk id="1287" max="7" man="1"/>
    <brk id="1336" max="7" man="1"/>
    <brk id="1384" max="7" man="1"/>
    <brk id="1433" max="7" man="1"/>
    <brk id="1481" max="7" man="1"/>
    <brk id="1530" max="7" man="1"/>
    <brk id="1578" max="7" man="1"/>
    <brk id="1626" max="7" man="1"/>
    <brk id="1674" max="7" man="1"/>
    <brk id="1722" max="7" man="1"/>
    <brk id="1770" max="7" man="1"/>
    <brk id="1818" max="7" man="1"/>
    <brk id="1867" max="7" man="1"/>
    <brk id="1915" max="7" man="1"/>
    <brk id="1963" max="7" man="1"/>
    <brk id="2011" max="7" man="1"/>
    <brk id="2059" max="7" man="1"/>
    <brk id="2108" max="7" man="1"/>
    <brk id="2156" max="7" man="1"/>
    <brk id="2204" max="7" man="1"/>
    <brk id="2252" max="7" man="1"/>
    <brk id="2300" max="7" man="1"/>
    <brk id="2348" max="7" man="1"/>
    <brk id="2396" max="7" man="1"/>
    <brk id="2445" max="7" man="1"/>
    <brk id="2493" max="7" man="1"/>
    <brk id="2541" max="7" man="1"/>
    <brk id="2589" max="7" man="1"/>
    <brk id="2637" max="7" man="1"/>
    <brk id="2685" max="7" man="1"/>
    <brk id="2733" max="7" man="1"/>
    <brk id="2781" max="7" man="1"/>
    <brk id="2829" max="7" man="1"/>
    <brk id="2877" max="7" man="1"/>
    <brk id="2925" max="7" man="1"/>
    <brk id="2973" max="7" man="1"/>
    <brk id="3022" max="7" man="1"/>
    <brk id="3070" max="7" man="1"/>
    <brk id="3118" max="7" man="1"/>
    <brk id="3166" max="7" man="1"/>
    <brk id="3214" max="7" man="1"/>
    <brk id="3262" max="7" man="1"/>
    <brk id="3310" max="7" man="1"/>
    <brk id="3358" max="7" man="1"/>
    <brk id="3406" max="7" man="1"/>
    <brk id="3454" max="7" man="1"/>
    <brk id="3502" max="7" man="1"/>
    <brk id="3550" max="7" man="1"/>
    <brk id="3598" max="7" man="1"/>
    <brk id="3646" max="7" man="1"/>
    <brk id="3694" max="7" man="1"/>
    <brk id="3742" max="7" man="1"/>
    <brk id="3790" max="7" man="1"/>
    <brk id="3838" max="7" man="1"/>
    <brk id="3886" max="7" man="1"/>
    <brk id="3934" max="7" man="1"/>
    <brk id="3982" max="7" man="1"/>
    <brk id="4030" max="7" man="1"/>
    <brk id="4078" max="7" man="1"/>
    <brk id="4126" max="7" man="1"/>
    <brk id="4174" max="7" man="1"/>
    <brk id="4222" max="7" man="1"/>
    <brk id="4270" max="7" man="1"/>
    <brk id="4318" max="7" man="1"/>
    <brk id="4366" max="7" man="1"/>
    <brk id="4414" max="7" man="1"/>
    <brk id="4462" max="7" man="1"/>
    <brk id="4510" max="7" man="1"/>
    <brk id="4560" max="7" man="1"/>
    <brk id="4608" max="7" man="1"/>
    <brk id="4704" max="7" man="1"/>
    <brk id="4800" max="7" man="1"/>
    <brk id="4896" max="7" man="1"/>
    <brk id="4944" max="7" man="1"/>
    <brk id="5040" max="7" man="1"/>
    <brk id="5089" max="7" man="1"/>
    <brk id="5138" max="7" man="1"/>
    <brk id="5188" max="7" man="1"/>
    <brk id="5240" max="7" man="1"/>
    <brk id="5287" max="7" man="1"/>
    <brk id="5337" max="7" man="1"/>
    <brk id="5385" max="7" man="1"/>
    <brk id="5425" max="7" man="1"/>
    <brk id="5472" max="7" man="1"/>
    <brk id="5520" max="7" man="1"/>
    <brk id="5568" max="7" man="1"/>
    <brk id="5616" max="7" man="1"/>
    <brk id="5664" max="7" man="1"/>
    <brk id="5712" max="7" man="1"/>
    <brk id="5759" max="7" man="1"/>
    <brk id="5806" max="7" man="1"/>
    <brk id="5855" max="7" man="1"/>
    <brk id="5903" max="7" man="1"/>
    <brk id="5951" max="7" man="1"/>
    <brk id="5999" max="7" man="1"/>
    <brk id="6047" max="7" man="1"/>
    <brk id="6095" max="7" man="1"/>
    <brk id="6143" max="7" man="1"/>
    <brk id="6191" max="7" man="1"/>
    <brk id="6239" max="7" man="1"/>
    <brk id="6287" max="7" man="1"/>
    <brk id="6336" max="7" man="1"/>
    <brk id="6385" max="7" man="1"/>
    <brk id="6434" max="7" man="1"/>
    <brk id="6483" max="7" man="1"/>
    <brk id="6532" max="7" man="1"/>
    <brk id="6582" max="7" man="1"/>
    <brk id="6633" max="7" man="1"/>
    <brk id="6682" max="7" man="1"/>
    <brk id="6732" max="7" man="1"/>
    <brk id="6783" max="7" man="1"/>
    <brk id="6833" max="7" man="1"/>
    <brk id="6884" max="7" man="1"/>
    <brk id="6934" max="7" man="1"/>
    <brk id="6984" max="7" man="1"/>
    <brk id="7034" max="7" man="1"/>
    <brk id="7084" max="7" man="1"/>
    <brk id="7134" max="7"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00"/>
  <sheetViews>
    <sheetView view="pageBreakPreview" topLeftCell="A134" zoomScale="85" zoomScaleNormal="70" zoomScaleSheetLayoutView="85" workbookViewId="0">
      <selection activeCell="B210" sqref="B210"/>
    </sheetView>
  </sheetViews>
  <sheetFormatPr baseColWidth="10" defaultColWidth="11.42578125" defaultRowHeight="15" x14ac:dyDescent="0.25"/>
  <cols>
    <col min="1" max="1" width="7.85546875" style="891" customWidth="1"/>
    <col min="2" max="2" width="89.28515625" style="1415" customWidth="1"/>
    <col min="3" max="3" width="8.85546875" style="891" bestFit="1" customWidth="1"/>
    <col min="4" max="5" width="17.140625" style="891" bestFit="1" customWidth="1"/>
    <col min="6" max="6" width="17.85546875" style="891" bestFit="1" customWidth="1"/>
    <col min="7" max="7" width="11.42578125" style="1512"/>
    <col min="8" max="8" width="8" style="1517" hidden="1" customWidth="1"/>
    <col min="9" max="9" width="14" style="1480" hidden="1" customWidth="1"/>
    <col min="10" max="10" width="0" style="891" hidden="1" customWidth="1"/>
    <col min="11" max="11" width="12.85546875" style="1480" hidden="1" customWidth="1"/>
    <col min="12" max="12" width="12" style="1480" hidden="1" customWidth="1"/>
    <col min="13" max="13" width="17.85546875" style="1480" hidden="1" customWidth="1"/>
    <col min="14" max="14" width="12.85546875" style="1480" hidden="1" customWidth="1"/>
    <col min="15" max="15" width="17.140625" style="891" hidden="1" customWidth="1"/>
    <col min="16" max="30" width="0" style="891" hidden="1" customWidth="1"/>
    <col min="31" max="16384" width="11.42578125" style="891"/>
  </cols>
  <sheetData>
    <row r="1" spans="1:19" s="1452" customFormat="1" ht="16.5" x14ac:dyDescent="0.3">
      <c r="A1" s="1506"/>
      <c r="B1" s="838"/>
      <c r="C1" s="839"/>
      <c r="D1" s="840"/>
      <c r="E1" s="1473"/>
      <c r="F1" s="841"/>
      <c r="G1" s="1659"/>
      <c r="H1" s="1659"/>
      <c r="I1" s="1480"/>
      <c r="K1" s="1480"/>
      <c r="L1" s="1480"/>
      <c r="M1" s="1480"/>
      <c r="N1" s="1480"/>
    </row>
    <row r="2" spans="1:19" s="1452" customFormat="1" ht="56.25" customHeight="1" x14ac:dyDescent="0.25">
      <c r="A2" s="1326"/>
      <c r="B2" s="2406" t="s">
        <v>8639</v>
      </c>
      <c r="C2" s="2406"/>
      <c r="D2" s="2406"/>
      <c r="E2" s="2406"/>
      <c r="F2" s="1470"/>
      <c r="G2" s="1659"/>
      <c r="H2" s="1659"/>
      <c r="I2" s="1480"/>
      <c r="K2" s="1480"/>
      <c r="L2" s="1480"/>
      <c r="M2" s="1480"/>
      <c r="N2" s="1480"/>
    </row>
    <row r="3" spans="1:19" s="1452" customFormat="1" ht="15.75" x14ac:dyDescent="0.25">
      <c r="A3" s="1660"/>
      <c r="B3" s="1637"/>
      <c r="C3" s="1637"/>
      <c r="D3" s="1661"/>
      <c r="E3" s="1661"/>
      <c r="F3" s="1470"/>
      <c r="G3" s="1659"/>
      <c r="H3" s="1659"/>
      <c r="I3" s="1480"/>
      <c r="K3" s="1480"/>
      <c r="L3" s="1480"/>
      <c r="M3" s="1480"/>
      <c r="N3" s="1480"/>
    </row>
    <row r="4" spans="1:19" s="1452" customFormat="1" x14ac:dyDescent="0.25">
      <c r="B4" s="1415"/>
      <c r="G4" s="1659"/>
      <c r="H4" s="1659"/>
      <c r="I4" s="1480"/>
      <c r="K4" s="1480"/>
      <c r="L4" s="1480"/>
      <c r="M4" s="1480"/>
      <c r="N4" s="1480"/>
    </row>
    <row r="6" spans="1:19" x14ac:dyDescent="0.25">
      <c r="B6" s="1421"/>
      <c r="C6" s="1419"/>
      <c r="D6" s="1419"/>
      <c r="E6" s="1725">
        <v>0.05</v>
      </c>
      <c r="F6" s="1419"/>
    </row>
    <row r="7" spans="1:19" ht="30" x14ac:dyDescent="0.25">
      <c r="A7" s="1416" t="s">
        <v>3</v>
      </c>
      <c r="B7" s="1514" t="s">
        <v>866</v>
      </c>
      <c r="C7" s="1515" t="s">
        <v>867</v>
      </c>
      <c r="D7" s="1516" t="s">
        <v>868</v>
      </c>
      <c r="E7" s="1516" t="s">
        <v>9015</v>
      </c>
      <c r="F7" s="1516" t="s">
        <v>870</v>
      </c>
      <c r="G7" s="1416" t="s">
        <v>3</v>
      </c>
      <c r="I7" s="1481" t="s">
        <v>8682</v>
      </c>
      <c r="K7" s="1482" t="s">
        <v>8683</v>
      </c>
      <c r="L7" s="1482" t="s">
        <v>8684</v>
      </c>
      <c r="M7" s="1482" t="s">
        <v>8685</v>
      </c>
      <c r="N7" s="1483" t="s">
        <v>8686</v>
      </c>
    </row>
    <row r="8" spans="1:19" ht="16.5" x14ac:dyDescent="0.25">
      <c r="A8" s="1448" t="s">
        <v>8687</v>
      </c>
      <c r="B8" s="1088" t="s">
        <v>9324</v>
      </c>
      <c r="C8" s="1413" t="s">
        <v>5424</v>
      </c>
      <c r="D8" s="1418">
        <f>+I8</f>
        <v>702243.99</v>
      </c>
      <c r="E8" s="1414">
        <f t="shared" ref="E8:E71" si="0">+D8*$E$6</f>
        <v>35112.199500000002</v>
      </c>
      <c r="F8" s="1414">
        <f t="shared" ref="F8:F69" si="1">+E8+D8</f>
        <v>737356.18949999998</v>
      </c>
      <c r="G8" s="1417" t="str">
        <f t="shared" ref="G8:G70" si="2">+A8</f>
        <v>S.1</v>
      </c>
      <c r="H8" s="1518"/>
      <c r="I8" s="1480">
        <f>+AVERAGE(K8:O8)*1.19</f>
        <v>702243.99</v>
      </c>
      <c r="M8" s="1619"/>
      <c r="O8" s="1614">
        <v>590121</v>
      </c>
      <c r="R8" s="1522" t="s">
        <v>9110</v>
      </c>
      <c r="S8" s="1522" t="str">
        <f t="shared" ref="S8:S70" si="3">+CONCATENATE(B8," ",R8)</f>
        <v>Adaptador Brida porAcople Universal 10" (268 mm a 286 mm) R1 (incluye cargue, transporte y descargue) (incluye cargue, transporte y descargue)</v>
      </c>
    </row>
    <row r="9" spans="1:19" ht="16.5" x14ac:dyDescent="0.3">
      <c r="A9" s="1448" t="s">
        <v>8688</v>
      </c>
      <c r="B9" s="1420" t="s">
        <v>9298</v>
      </c>
      <c r="C9" s="1417" t="s">
        <v>8954</v>
      </c>
      <c r="D9" s="1389">
        <v>1476</v>
      </c>
      <c r="E9" s="1414">
        <f t="shared" si="0"/>
        <v>73.8</v>
      </c>
      <c r="F9" s="1414">
        <f t="shared" si="1"/>
        <v>1549.8</v>
      </c>
      <c r="G9" s="1417" t="str">
        <f t="shared" si="2"/>
        <v>S.2</v>
      </c>
      <c r="H9" s="1601"/>
      <c r="R9" s="1522" t="s">
        <v>9110</v>
      </c>
      <c r="S9" s="1522" t="str">
        <f t="shared" si="3"/>
        <v>Adaptador hembra D= 1" (incluye cargue, transporte y descargue) (incluye cargue, transporte y descargue)</v>
      </c>
    </row>
    <row r="10" spans="1:19" ht="16.5" x14ac:dyDescent="0.3">
      <c r="A10" s="1448" t="s">
        <v>8689</v>
      </c>
      <c r="B10" s="1420" t="s">
        <v>9297</v>
      </c>
      <c r="C10" s="1417" t="s">
        <v>8954</v>
      </c>
      <c r="D10" s="1389">
        <v>1233</v>
      </c>
      <c r="E10" s="1414">
        <f t="shared" si="0"/>
        <v>61.650000000000006</v>
      </c>
      <c r="F10" s="1414">
        <f t="shared" si="1"/>
        <v>1294.6500000000001</v>
      </c>
      <c r="G10" s="1417" t="str">
        <f t="shared" si="2"/>
        <v>S.3</v>
      </c>
      <c r="H10" s="1601"/>
      <c r="O10" s="1452"/>
      <c r="R10" s="1522" t="s">
        <v>9110</v>
      </c>
      <c r="S10" s="1522" t="str">
        <f t="shared" si="3"/>
        <v>Adaptador macho D= 1" (incluye cargue, transporte y descargue) (incluye cargue, transporte y descargue)</v>
      </c>
    </row>
    <row r="11" spans="1:19" ht="16.5" x14ac:dyDescent="0.25">
      <c r="A11" s="1448" t="s">
        <v>8690</v>
      </c>
      <c r="B11" s="1102" t="s">
        <v>9306</v>
      </c>
      <c r="C11" s="1413" t="s">
        <v>5424</v>
      </c>
      <c r="D11" s="1418">
        <f t="shared" ref="D11:D37" si="4">+I11</f>
        <v>415310</v>
      </c>
      <c r="E11" s="1414">
        <f t="shared" si="0"/>
        <v>20765.5</v>
      </c>
      <c r="F11" s="1414">
        <f t="shared" si="1"/>
        <v>436075.5</v>
      </c>
      <c r="G11" s="1417" t="str">
        <f t="shared" si="2"/>
        <v>S.4</v>
      </c>
      <c r="H11" s="1518"/>
      <c r="I11" s="1480">
        <f t="shared" ref="I11:I37" si="5">+AVERAGE(K11:O11)*1.19</f>
        <v>415310</v>
      </c>
      <c r="O11" s="1614">
        <v>349000</v>
      </c>
      <c r="R11" s="1522" t="s">
        <v>9110</v>
      </c>
      <c r="S11" s="1522" t="str">
        <f t="shared" si="3"/>
        <v>Brida Ciega de 10" (incluye cargue, transporte y descargue) (incluye cargue, transporte y descargue)</v>
      </c>
    </row>
    <row r="12" spans="1:19" ht="16.5" x14ac:dyDescent="0.3">
      <c r="A12" s="1448" t="s">
        <v>8691</v>
      </c>
      <c r="B12" s="1462" t="s">
        <v>9189</v>
      </c>
      <c r="C12" s="1413" t="s">
        <v>5424</v>
      </c>
      <c r="D12" s="1418">
        <f t="shared" si="4"/>
        <v>1507730</v>
      </c>
      <c r="E12" s="1414">
        <f t="shared" si="0"/>
        <v>75386.5</v>
      </c>
      <c r="F12" s="1414">
        <f t="shared" si="1"/>
        <v>1583116.5</v>
      </c>
      <c r="G12" s="1417" t="str">
        <f t="shared" si="2"/>
        <v>S.5</v>
      </c>
      <c r="H12" s="1518"/>
      <c r="I12" s="1480">
        <f t="shared" si="5"/>
        <v>1507730</v>
      </c>
      <c r="O12" s="1614">
        <v>1267000</v>
      </c>
      <c r="R12" s="1522" t="s">
        <v>9110</v>
      </c>
      <c r="S12" s="1522" t="str">
        <f t="shared" si="3"/>
        <v>Codo 11.25º HD MM ACERROJADO (incluye cargue, transporte y descargue) (incluye cargue, transporte y descargue)</v>
      </c>
    </row>
    <row r="13" spans="1:19" x14ac:dyDescent="0.25">
      <c r="A13" s="1448" t="s">
        <v>8692</v>
      </c>
      <c r="B13" s="1412" t="s">
        <v>9174</v>
      </c>
      <c r="C13" s="1413" t="s">
        <v>5424</v>
      </c>
      <c r="D13" s="1418">
        <f t="shared" si="4"/>
        <v>667411.5</v>
      </c>
      <c r="E13" s="1414">
        <f t="shared" si="0"/>
        <v>33370.575000000004</v>
      </c>
      <c r="F13" s="1414">
        <f t="shared" si="1"/>
        <v>700782.07499999995</v>
      </c>
      <c r="G13" s="1417" t="str">
        <f t="shared" si="2"/>
        <v>S.6</v>
      </c>
      <c r="H13" s="1518"/>
      <c r="I13" s="1480">
        <f t="shared" si="5"/>
        <v>667411.5</v>
      </c>
      <c r="K13" s="1480">
        <v>601700</v>
      </c>
      <c r="L13" s="1480">
        <v>520000</v>
      </c>
      <c r="N13" s="1452"/>
      <c r="O13" s="1419"/>
      <c r="R13" s="1522" t="s">
        <v>9110</v>
      </c>
      <c r="S13" s="1522" t="str">
        <f t="shared" si="3"/>
        <v>Codo 11.25º-22.5º HD 250 MM EL (incluye cargue, transporte y descargue) (incluye cargue, transporte y descargue)</v>
      </c>
    </row>
    <row r="14" spans="1:19" x14ac:dyDescent="0.25">
      <c r="A14" s="1448" t="s">
        <v>8693</v>
      </c>
      <c r="B14" s="1412" t="s">
        <v>9177</v>
      </c>
      <c r="C14" s="1413" t="s">
        <v>5424</v>
      </c>
      <c r="D14" s="1418">
        <f t="shared" si="4"/>
        <v>1406758.5</v>
      </c>
      <c r="E14" s="1414">
        <f t="shared" si="0"/>
        <v>70337.925000000003</v>
      </c>
      <c r="F14" s="1414">
        <f t="shared" si="1"/>
        <v>1477096.425</v>
      </c>
      <c r="G14" s="1417" t="str">
        <f t="shared" si="2"/>
        <v>S.7</v>
      </c>
      <c r="H14" s="1518"/>
      <c r="I14" s="1480">
        <f t="shared" si="5"/>
        <v>1406758.5</v>
      </c>
      <c r="K14" s="1480">
        <v>1268300</v>
      </c>
      <c r="L14" s="1480">
        <v>1096000</v>
      </c>
      <c r="N14" s="1452"/>
      <c r="R14" s="1522" t="s">
        <v>9110</v>
      </c>
      <c r="S14" s="1522" t="str">
        <f t="shared" si="3"/>
        <v>Codo 11.25º-22.5º HD 350 MM EL (incluye cargue, transporte y descargue) (incluye cargue, transporte y descargue)</v>
      </c>
    </row>
    <row r="15" spans="1:19" x14ac:dyDescent="0.25">
      <c r="A15" s="1448" t="s">
        <v>8694</v>
      </c>
      <c r="B15" s="1412" t="s">
        <v>9180</v>
      </c>
      <c r="C15" s="1413" t="s">
        <v>5424</v>
      </c>
      <c r="D15" s="1418">
        <f t="shared" si="4"/>
        <v>1849617</v>
      </c>
      <c r="E15" s="1414">
        <f t="shared" si="0"/>
        <v>92480.85</v>
      </c>
      <c r="F15" s="1414">
        <f t="shared" si="1"/>
        <v>1942097.85</v>
      </c>
      <c r="G15" s="1417" t="str">
        <f t="shared" si="2"/>
        <v>S.8</v>
      </c>
      <c r="H15" s="1518"/>
      <c r="I15" s="1480">
        <f t="shared" si="5"/>
        <v>1849617</v>
      </c>
      <c r="K15" s="1480">
        <v>1667600</v>
      </c>
      <c r="L15" s="1480">
        <v>1441000</v>
      </c>
      <c r="M15" s="1619"/>
      <c r="N15" s="1452"/>
      <c r="O15" s="1419"/>
      <c r="R15" s="1522" t="s">
        <v>9110</v>
      </c>
      <c r="S15" s="1522" t="str">
        <f t="shared" si="3"/>
        <v>Codo 11.25º-22.5º HD 400 MM EL (incluye cargue, transporte y descargue) (incluye cargue, transporte y descargue)</v>
      </c>
    </row>
    <row r="16" spans="1:19" ht="16.5" x14ac:dyDescent="0.3">
      <c r="A16" s="1448" t="s">
        <v>8695</v>
      </c>
      <c r="B16" s="1462" t="s">
        <v>9190</v>
      </c>
      <c r="C16" s="1413" t="s">
        <v>5424</v>
      </c>
      <c r="D16" s="1418">
        <f t="shared" si="4"/>
        <v>1507730</v>
      </c>
      <c r="E16" s="1414">
        <f t="shared" si="0"/>
        <v>75386.5</v>
      </c>
      <c r="F16" s="1414">
        <f t="shared" si="1"/>
        <v>1583116.5</v>
      </c>
      <c r="G16" s="1417" t="str">
        <f t="shared" si="2"/>
        <v>S.9</v>
      </c>
      <c r="H16" s="1518"/>
      <c r="I16" s="1480">
        <f t="shared" si="5"/>
        <v>1507730</v>
      </c>
      <c r="O16" s="1614">
        <v>1267000</v>
      </c>
      <c r="R16" s="1522" t="s">
        <v>9110</v>
      </c>
      <c r="S16" s="1522" t="str">
        <f t="shared" si="3"/>
        <v>Codo 22.55º HD MM ACERROJADO (incluye cargue, transporte y descargue) (incluye cargue, transporte y descargue)</v>
      </c>
    </row>
    <row r="17" spans="1:19" x14ac:dyDescent="0.25">
      <c r="A17" s="1448" t="s">
        <v>8696</v>
      </c>
      <c r="B17" s="1412" t="s">
        <v>9325</v>
      </c>
      <c r="C17" s="1413" t="s">
        <v>5424</v>
      </c>
      <c r="D17" s="1418">
        <f t="shared" si="4"/>
        <v>840675.5</v>
      </c>
      <c r="E17" s="1414">
        <f t="shared" si="0"/>
        <v>42033.775000000001</v>
      </c>
      <c r="F17" s="1414">
        <f t="shared" si="1"/>
        <v>882709.27500000002</v>
      </c>
      <c r="G17" s="1417" t="str">
        <f t="shared" si="2"/>
        <v>S.10</v>
      </c>
      <c r="H17" s="1518"/>
      <c r="I17" s="1480">
        <f t="shared" si="5"/>
        <v>840675.5</v>
      </c>
      <c r="K17" s="1480">
        <v>757900</v>
      </c>
      <c r="L17" s="1480">
        <v>655000</v>
      </c>
      <c r="N17" s="1452"/>
      <c r="O17" s="1419"/>
      <c r="R17" s="1522" t="s">
        <v>9110</v>
      </c>
      <c r="S17" s="1522" t="str">
        <f t="shared" si="3"/>
        <v>Codo 45 º HD 200 MM BB (incluye cargue, transporte y descargue) (incluye cargue, transporte y descargue)</v>
      </c>
    </row>
    <row r="18" spans="1:19" x14ac:dyDescent="0.25">
      <c r="A18" s="1448" t="s">
        <v>8697</v>
      </c>
      <c r="B18" s="1412" t="s">
        <v>9175</v>
      </c>
      <c r="C18" s="1413" t="s">
        <v>5424</v>
      </c>
      <c r="D18" s="1418">
        <f t="shared" si="4"/>
        <v>977049.5</v>
      </c>
      <c r="E18" s="1414">
        <f t="shared" si="0"/>
        <v>48852.475000000006</v>
      </c>
      <c r="F18" s="1414">
        <f t="shared" si="1"/>
        <v>1025901.975</v>
      </c>
      <c r="G18" s="1417" t="str">
        <f t="shared" si="2"/>
        <v>S.11</v>
      </c>
      <c r="H18" s="1518"/>
      <c r="I18" s="1480">
        <f t="shared" si="5"/>
        <v>977049.5</v>
      </c>
      <c r="K18" s="1480">
        <v>881100</v>
      </c>
      <c r="L18" s="1480">
        <v>761000</v>
      </c>
      <c r="N18" s="1452"/>
      <c r="O18" s="1419"/>
      <c r="R18" s="1522" t="s">
        <v>9110</v>
      </c>
      <c r="S18" s="1522" t="str">
        <f t="shared" si="3"/>
        <v>Codo 45º HD 250 MM EL (incluye cargue, transporte y descargue) (incluye cargue, transporte y descargue)</v>
      </c>
    </row>
    <row r="19" spans="1:19" s="1452" customFormat="1" x14ac:dyDescent="0.25">
      <c r="A19" s="1448" t="s">
        <v>8698</v>
      </c>
      <c r="B19" s="1426" t="s">
        <v>9129</v>
      </c>
      <c r="C19" s="1413" t="s">
        <v>5424</v>
      </c>
      <c r="D19" s="1418">
        <f t="shared" si="4"/>
        <v>2441999</v>
      </c>
      <c r="E19" s="1414">
        <f t="shared" si="0"/>
        <v>122099.95000000001</v>
      </c>
      <c r="F19" s="1414">
        <f t="shared" si="1"/>
        <v>2564098.9500000002</v>
      </c>
      <c r="G19" s="1417" t="str">
        <f t="shared" si="2"/>
        <v>S.12</v>
      </c>
      <c r="H19" s="1518"/>
      <c r="I19" s="1480">
        <f t="shared" si="5"/>
        <v>2441999</v>
      </c>
      <c r="K19" s="1480">
        <v>2202200</v>
      </c>
      <c r="L19" s="1480">
        <v>1902000</v>
      </c>
      <c r="M19" s="1480"/>
      <c r="O19" s="1419"/>
      <c r="R19" s="1522" t="s">
        <v>9110</v>
      </c>
      <c r="S19" s="1522" t="str">
        <f t="shared" si="3"/>
        <v>Codo 45º HD 350 MM BB (incluye cargue, transporte y descargue) (incluye cargue, transporte y descargue)</v>
      </c>
    </row>
    <row r="20" spans="1:19" s="1452" customFormat="1" x14ac:dyDescent="0.25">
      <c r="A20" s="1448" t="s">
        <v>8699</v>
      </c>
      <c r="B20" s="1412" t="s">
        <v>9178</v>
      </c>
      <c r="C20" s="1413" t="s">
        <v>5424</v>
      </c>
      <c r="D20" s="1418">
        <f t="shared" si="4"/>
        <v>1493093</v>
      </c>
      <c r="E20" s="1414">
        <f t="shared" si="0"/>
        <v>74654.650000000009</v>
      </c>
      <c r="F20" s="1414">
        <f t="shared" si="1"/>
        <v>1567747.65</v>
      </c>
      <c r="G20" s="1417" t="str">
        <f t="shared" si="2"/>
        <v>S.13</v>
      </c>
      <c r="H20" s="1518"/>
      <c r="I20" s="1480">
        <f t="shared" si="5"/>
        <v>1493093</v>
      </c>
      <c r="K20" s="1480">
        <v>1346400</v>
      </c>
      <c r="L20" s="1480">
        <v>1163000</v>
      </c>
      <c r="M20" s="1480"/>
      <c r="R20" s="1522" t="s">
        <v>9110</v>
      </c>
      <c r="S20" s="1522" t="str">
        <f t="shared" si="3"/>
        <v>Codo 45º HD 350 MM EL (incluye cargue, transporte y descargue) (incluye cargue, transporte y descargue)</v>
      </c>
    </row>
    <row r="21" spans="1:19" x14ac:dyDescent="0.25">
      <c r="A21" s="1448" t="s">
        <v>8700</v>
      </c>
      <c r="B21" s="1412" t="s">
        <v>9118</v>
      </c>
      <c r="C21" s="1413" t="s">
        <v>5424</v>
      </c>
      <c r="D21" s="1418">
        <f t="shared" si="4"/>
        <v>3641102.5</v>
      </c>
      <c r="E21" s="1414">
        <f t="shared" si="0"/>
        <v>182055.125</v>
      </c>
      <c r="F21" s="1414">
        <f t="shared" si="1"/>
        <v>3823157.625</v>
      </c>
      <c r="G21" s="1417" t="str">
        <f t="shared" si="2"/>
        <v>S.14</v>
      </c>
      <c r="H21" s="1518"/>
      <c r="I21" s="1480">
        <f t="shared" si="5"/>
        <v>3641102.5</v>
      </c>
      <c r="K21" s="1480">
        <v>3283500</v>
      </c>
      <c r="L21" s="1480">
        <v>2836000</v>
      </c>
      <c r="N21" s="1452"/>
      <c r="R21" s="1522" t="s">
        <v>9110</v>
      </c>
      <c r="S21" s="1522" t="str">
        <f t="shared" si="3"/>
        <v>Codo 45º HD 400 MM BB (incluye cargue, transporte y descargue) (incluye cargue, transporte y descargue)</v>
      </c>
    </row>
    <row r="22" spans="1:19" x14ac:dyDescent="0.25">
      <c r="A22" s="1448" t="s">
        <v>8701</v>
      </c>
      <c r="B22" s="1412" t="s">
        <v>9181</v>
      </c>
      <c r="C22" s="1413" t="s">
        <v>5424</v>
      </c>
      <c r="D22" s="1418">
        <f t="shared" si="4"/>
        <v>2219290.5</v>
      </c>
      <c r="E22" s="1414">
        <f t="shared" si="0"/>
        <v>110964.52500000001</v>
      </c>
      <c r="F22" s="1414">
        <f t="shared" si="1"/>
        <v>2330255.0249999999</v>
      </c>
      <c r="G22" s="1417" t="str">
        <f t="shared" si="2"/>
        <v>S.15</v>
      </c>
      <c r="H22" s="1518"/>
      <c r="I22" s="1480">
        <f t="shared" si="5"/>
        <v>2219290.5</v>
      </c>
      <c r="K22" s="1480">
        <v>2000900</v>
      </c>
      <c r="L22" s="1480">
        <v>1729000</v>
      </c>
      <c r="N22" s="1452"/>
      <c r="R22" s="1522" t="s">
        <v>9110</v>
      </c>
      <c r="S22" s="1522" t="str">
        <f t="shared" si="3"/>
        <v>Codo 45º HD 400 MM EL (incluye cargue, transporte y descargue) (incluye cargue, transporte y descargue)</v>
      </c>
    </row>
    <row r="23" spans="1:19" ht="16.5" x14ac:dyDescent="0.3">
      <c r="A23" s="1448" t="s">
        <v>8702</v>
      </c>
      <c r="B23" s="1462" t="s">
        <v>9191</v>
      </c>
      <c r="C23" s="1413" t="s">
        <v>5424</v>
      </c>
      <c r="D23" s="1418">
        <f t="shared" si="4"/>
        <v>1561280</v>
      </c>
      <c r="E23" s="1414">
        <f t="shared" si="0"/>
        <v>78064</v>
      </c>
      <c r="F23" s="1414">
        <f t="shared" si="1"/>
        <v>1639344</v>
      </c>
      <c r="G23" s="1417" t="str">
        <f t="shared" si="2"/>
        <v>S.16</v>
      </c>
      <c r="H23" s="1518"/>
      <c r="I23" s="1480">
        <f t="shared" si="5"/>
        <v>1561280</v>
      </c>
      <c r="O23" s="1614">
        <v>1312000</v>
      </c>
      <c r="R23" s="1522" t="s">
        <v>9110</v>
      </c>
      <c r="S23" s="1522" t="str">
        <f t="shared" si="3"/>
        <v>Codo 45º HD MM ACERROJADO (incluye cargue, transporte y descargue) (incluye cargue, transporte y descargue)</v>
      </c>
    </row>
    <row r="24" spans="1:19" x14ac:dyDescent="0.25">
      <c r="A24" s="1448" t="s">
        <v>8703</v>
      </c>
      <c r="B24" s="1412" t="s">
        <v>9167</v>
      </c>
      <c r="C24" s="1413" t="s">
        <v>5424</v>
      </c>
      <c r="D24" s="1418">
        <f t="shared" si="4"/>
        <v>497896</v>
      </c>
      <c r="E24" s="1414">
        <f t="shared" si="0"/>
        <v>24894.800000000003</v>
      </c>
      <c r="F24" s="1414">
        <f t="shared" si="1"/>
        <v>522790.8</v>
      </c>
      <c r="G24" s="1417" t="str">
        <f t="shared" si="2"/>
        <v>S.17</v>
      </c>
      <c r="H24" s="1518"/>
      <c r="I24" s="1480">
        <f t="shared" si="5"/>
        <v>497896</v>
      </c>
      <c r="K24" s="1480">
        <v>448800</v>
      </c>
      <c r="L24" s="1480">
        <v>388000</v>
      </c>
      <c r="N24" s="1452"/>
      <c r="R24" s="1522" t="s">
        <v>9110</v>
      </c>
      <c r="S24" s="1522" t="str">
        <f t="shared" si="3"/>
        <v>Codo 90º HD 150 MM BB (incluye cargue, transporte y descargue) (incluye cargue, transporte y descargue)</v>
      </c>
    </row>
    <row r="25" spans="1:19" x14ac:dyDescent="0.25">
      <c r="A25" s="1448" t="s">
        <v>8704</v>
      </c>
      <c r="B25" s="1427" t="s">
        <v>9161</v>
      </c>
      <c r="C25" s="1413" t="s">
        <v>5424</v>
      </c>
      <c r="D25" s="1418">
        <f t="shared" si="4"/>
        <v>1582521.5</v>
      </c>
      <c r="E25" s="1414">
        <f t="shared" si="0"/>
        <v>79126.075000000012</v>
      </c>
      <c r="F25" s="1414">
        <f t="shared" si="1"/>
        <v>1661647.575</v>
      </c>
      <c r="G25" s="1417" t="str">
        <f t="shared" si="2"/>
        <v>S.18</v>
      </c>
      <c r="H25" s="1518"/>
      <c r="I25" s="1480">
        <f t="shared" si="5"/>
        <v>1582521.5</v>
      </c>
      <c r="K25" s="1480">
        <v>1426700</v>
      </c>
      <c r="L25" s="1480">
        <v>1233000</v>
      </c>
      <c r="N25" s="1452"/>
      <c r="R25" s="1522" t="s">
        <v>9110</v>
      </c>
      <c r="S25" s="1522" t="str">
        <f t="shared" si="3"/>
        <v>Codo 90º HD 250 MM BB (incluye cargue, transporte y descargue) (incluye cargue, transporte y descargue)</v>
      </c>
    </row>
    <row r="26" spans="1:19" x14ac:dyDescent="0.25">
      <c r="A26" s="1448" t="s">
        <v>8705</v>
      </c>
      <c r="B26" s="1412" t="s">
        <v>9176</v>
      </c>
      <c r="C26" s="1413" t="s">
        <v>5424</v>
      </c>
      <c r="D26" s="1418">
        <f t="shared" si="4"/>
        <v>1154062</v>
      </c>
      <c r="E26" s="1414">
        <f t="shared" si="0"/>
        <v>57703.100000000006</v>
      </c>
      <c r="F26" s="1414">
        <f t="shared" si="1"/>
        <v>1211765.1000000001</v>
      </c>
      <c r="G26" s="1417" t="str">
        <f t="shared" si="2"/>
        <v>S.19</v>
      </c>
      <c r="H26" s="1518"/>
      <c r="I26" s="1480">
        <f t="shared" si="5"/>
        <v>1154062</v>
      </c>
      <c r="K26" s="1480">
        <v>1040600</v>
      </c>
      <c r="L26" s="1480">
        <v>899000</v>
      </c>
      <c r="N26" s="1452"/>
      <c r="O26" s="1419"/>
      <c r="R26" s="1522" t="s">
        <v>9110</v>
      </c>
      <c r="S26" s="1522" t="str">
        <f t="shared" si="3"/>
        <v>Codo 90º HD 250 MM EL (incluye cargue, transporte y descargue) (incluye cargue, transporte y descargue)</v>
      </c>
    </row>
    <row r="27" spans="1:19" x14ac:dyDescent="0.25">
      <c r="A27" s="1448" t="s">
        <v>8706</v>
      </c>
      <c r="B27" s="1426" t="s">
        <v>9303</v>
      </c>
      <c r="C27" s="1413" t="s">
        <v>5424</v>
      </c>
      <c r="D27" s="1418">
        <f t="shared" si="4"/>
        <v>2786980</v>
      </c>
      <c r="E27" s="1414">
        <f t="shared" si="0"/>
        <v>139349</v>
      </c>
      <c r="F27" s="1414">
        <f t="shared" si="1"/>
        <v>2926329</v>
      </c>
      <c r="G27" s="1417" t="str">
        <f t="shared" si="2"/>
        <v>S.20</v>
      </c>
      <c r="H27" s="1518"/>
      <c r="I27" s="1480">
        <f t="shared" si="5"/>
        <v>2786980</v>
      </c>
      <c r="K27" s="1480">
        <v>2342000</v>
      </c>
      <c r="N27" s="1452"/>
      <c r="R27" s="1522" t="s">
        <v>9110</v>
      </c>
      <c r="S27" s="1522" t="str">
        <f t="shared" si="3"/>
        <v>Codo 90º HD 300 MM BB (incluye cargue, transporte y descargue) (incluye cargue, transporte y descargue)</v>
      </c>
    </row>
    <row r="28" spans="1:19" x14ac:dyDescent="0.25">
      <c r="A28" s="1448" t="s">
        <v>8707</v>
      </c>
      <c r="B28" s="1412" t="s">
        <v>9179</v>
      </c>
      <c r="C28" s="1413" t="s">
        <v>5424</v>
      </c>
      <c r="D28" s="1418">
        <f t="shared" si="4"/>
        <v>2109215.5</v>
      </c>
      <c r="E28" s="1414">
        <f t="shared" si="0"/>
        <v>105460.77500000001</v>
      </c>
      <c r="F28" s="1414">
        <f t="shared" si="1"/>
        <v>2214676.2749999999</v>
      </c>
      <c r="G28" s="1417" t="str">
        <f t="shared" si="2"/>
        <v>S.21</v>
      </c>
      <c r="H28" s="1518"/>
      <c r="I28" s="1480">
        <f t="shared" si="5"/>
        <v>2109215.5</v>
      </c>
      <c r="K28" s="1480">
        <v>1901900</v>
      </c>
      <c r="L28" s="1480">
        <v>1643000</v>
      </c>
      <c r="N28" s="891"/>
      <c r="R28" s="1522" t="s">
        <v>9110</v>
      </c>
      <c r="S28" s="1522" t="str">
        <f t="shared" si="3"/>
        <v>Codo 90º HD 350 MM EL (incluye cargue, transporte y descargue) (incluye cargue, transporte y descargue)</v>
      </c>
    </row>
    <row r="29" spans="1:19" x14ac:dyDescent="0.25">
      <c r="A29" s="1448" t="s">
        <v>8708</v>
      </c>
      <c r="B29" s="1426" t="s">
        <v>9166</v>
      </c>
      <c r="C29" s="1413" t="s">
        <v>5424</v>
      </c>
      <c r="D29" s="1418">
        <f t="shared" si="4"/>
        <v>3805620</v>
      </c>
      <c r="E29" s="1414">
        <f t="shared" si="0"/>
        <v>190281</v>
      </c>
      <c r="F29" s="1414">
        <f t="shared" si="1"/>
        <v>3995901</v>
      </c>
      <c r="G29" s="1417" t="str">
        <f t="shared" si="2"/>
        <v>S.22</v>
      </c>
      <c r="H29" s="1518"/>
      <c r="I29" s="1480">
        <f t="shared" si="5"/>
        <v>3805620</v>
      </c>
      <c r="K29" s="1480">
        <v>3432000</v>
      </c>
      <c r="L29" s="1480">
        <v>2964000</v>
      </c>
      <c r="M29" s="1619"/>
      <c r="N29" s="891"/>
      <c r="R29" s="1522" t="s">
        <v>9110</v>
      </c>
      <c r="S29" s="1522" t="str">
        <f t="shared" si="3"/>
        <v>Codo 90º HD 400 MM BB (incluye cargue, transporte y descargue) (incluye cargue, transporte y descargue)</v>
      </c>
    </row>
    <row r="30" spans="1:19" x14ac:dyDescent="0.25">
      <c r="A30" s="1448" t="s">
        <v>8709</v>
      </c>
      <c r="B30" s="1412" t="s">
        <v>9182</v>
      </c>
      <c r="C30" s="1413" t="s">
        <v>5424</v>
      </c>
      <c r="D30" s="1418">
        <f t="shared" si="4"/>
        <v>2959292</v>
      </c>
      <c r="E30" s="1414">
        <f t="shared" si="0"/>
        <v>147964.6</v>
      </c>
      <c r="F30" s="1414">
        <f t="shared" si="1"/>
        <v>3107256.6</v>
      </c>
      <c r="G30" s="1417" t="str">
        <f t="shared" si="2"/>
        <v>S.23</v>
      </c>
      <c r="H30" s="1518"/>
      <c r="I30" s="1480">
        <f t="shared" si="5"/>
        <v>2959292</v>
      </c>
      <c r="K30" s="1480">
        <v>2668600</v>
      </c>
      <c r="L30" s="1480">
        <v>2305000</v>
      </c>
      <c r="N30" s="891"/>
      <c r="R30" s="1522" t="s">
        <v>9110</v>
      </c>
      <c r="S30" s="1522" t="str">
        <f t="shared" si="3"/>
        <v>Codo 90º HD 400 MM EL (incluye cargue, transporte y descargue) (incluye cargue, transporte y descargue)</v>
      </c>
    </row>
    <row r="31" spans="1:19" x14ac:dyDescent="0.25">
      <c r="A31" s="1448" t="s">
        <v>8710</v>
      </c>
      <c r="B31" s="1412" t="s">
        <v>9149</v>
      </c>
      <c r="C31" s="1413" t="s">
        <v>5424</v>
      </c>
      <c r="D31" s="1418">
        <f t="shared" si="4"/>
        <v>257912.66666666666</v>
      </c>
      <c r="E31" s="1414">
        <f t="shared" si="0"/>
        <v>12895.633333333333</v>
      </c>
      <c r="F31" s="1414">
        <f t="shared" si="1"/>
        <v>270808.3</v>
      </c>
      <c r="G31" s="1417" t="str">
        <f t="shared" si="2"/>
        <v>S.24</v>
      </c>
      <c r="H31" s="1518"/>
      <c r="I31" s="1480">
        <f t="shared" si="5"/>
        <v>257912.66666666666</v>
      </c>
      <c r="K31" s="1480">
        <v>262900</v>
      </c>
      <c r="L31" s="1480">
        <v>228000</v>
      </c>
      <c r="M31" s="1480">
        <f>53.1*3000</f>
        <v>159300</v>
      </c>
      <c r="N31" s="891"/>
      <c r="R31" s="1522" t="s">
        <v>9110</v>
      </c>
      <c r="S31" s="1522" t="str">
        <f t="shared" si="3"/>
        <v>CODO 90º HD BXB 100MM PN 10 (incluye cargue, transporte y descargue) (incluye cargue, transporte y descargue)</v>
      </c>
    </row>
    <row r="32" spans="1:19" x14ac:dyDescent="0.25">
      <c r="A32" s="1448" t="s">
        <v>8711</v>
      </c>
      <c r="B32" s="1412" t="s">
        <v>9267</v>
      </c>
      <c r="C32" s="1413" t="s">
        <v>5424</v>
      </c>
      <c r="D32" s="1418">
        <f t="shared" si="4"/>
        <v>257912.66666666666</v>
      </c>
      <c r="E32" s="1414">
        <f t="shared" si="0"/>
        <v>12895.633333333333</v>
      </c>
      <c r="F32" s="1414">
        <f t="shared" si="1"/>
        <v>270808.3</v>
      </c>
      <c r="G32" s="1417" t="str">
        <f t="shared" si="2"/>
        <v>S.25</v>
      </c>
      <c r="H32" s="1518"/>
      <c r="I32" s="1480">
        <f t="shared" si="5"/>
        <v>257912.66666666666</v>
      </c>
      <c r="K32" s="1480">
        <v>262900</v>
      </c>
      <c r="L32" s="1480">
        <v>228000</v>
      </c>
      <c r="M32" s="1480">
        <f>53.1*3000</f>
        <v>159300</v>
      </c>
      <c r="N32" s="1452"/>
      <c r="R32" s="1522" t="s">
        <v>9110</v>
      </c>
      <c r="S32" s="1522" t="str">
        <f t="shared" si="3"/>
        <v>CODO 90º HD BXB 100MM PN 16 (incluye cargue, transporte y descargue) (incluye cargue, transporte y descargue)</v>
      </c>
    </row>
    <row r="33" spans="1:19" x14ac:dyDescent="0.25">
      <c r="A33" s="1448" t="s">
        <v>8712</v>
      </c>
      <c r="B33" s="1412" t="s">
        <v>9268</v>
      </c>
      <c r="C33" s="1413" t="s">
        <v>5424</v>
      </c>
      <c r="D33" s="1418">
        <f t="shared" si="4"/>
        <v>262791.66666666669</v>
      </c>
      <c r="E33" s="1414">
        <f t="shared" si="0"/>
        <v>13139.583333333336</v>
      </c>
      <c r="F33" s="1414">
        <f t="shared" si="1"/>
        <v>275931.25</v>
      </c>
      <c r="G33" s="1417" t="str">
        <f t="shared" si="2"/>
        <v>S.26</v>
      </c>
      <c r="H33" s="1518"/>
      <c r="I33" s="1480">
        <f t="shared" si="5"/>
        <v>262791.66666666669</v>
      </c>
      <c r="K33" s="1480">
        <v>262900</v>
      </c>
      <c r="L33" s="1480">
        <v>228000</v>
      </c>
      <c r="M33" s="1480">
        <f>57.2*3000</f>
        <v>171600</v>
      </c>
      <c r="N33" s="1452"/>
      <c r="R33" s="1522" t="s">
        <v>9110</v>
      </c>
      <c r="S33" s="1522" t="str">
        <f t="shared" si="3"/>
        <v>CODO 90º HD BxB 100MM PN 25 (incluye cargue, transporte y descargue) (incluye cargue, transporte y descargue)</v>
      </c>
    </row>
    <row r="34" spans="1:19" x14ac:dyDescent="0.25">
      <c r="A34" s="1448" t="s">
        <v>8713</v>
      </c>
      <c r="B34" s="1412" t="s">
        <v>9269</v>
      </c>
      <c r="C34" s="1413" t="s">
        <v>5424</v>
      </c>
      <c r="D34" s="1418">
        <f t="shared" si="4"/>
        <v>262791.66666666669</v>
      </c>
      <c r="E34" s="1414">
        <f t="shared" si="0"/>
        <v>13139.583333333336</v>
      </c>
      <c r="F34" s="1414">
        <f t="shared" si="1"/>
        <v>275931.25</v>
      </c>
      <c r="G34" s="1417" t="str">
        <f t="shared" si="2"/>
        <v>S.27</v>
      </c>
      <c r="H34" s="1518"/>
      <c r="I34" s="1480">
        <f t="shared" si="5"/>
        <v>262791.66666666669</v>
      </c>
      <c r="K34" s="1480">
        <v>262900</v>
      </c>
      <c r="L34" s="1480">
        <v>228000</v>
      </c>
      <c r="M34" s="1480">
        <f>+M33</f>
        <v>171600</v>
      </c>
      <c r="N34" s="1452"/>
      <c r="R34" s="1522" t="s">
        <v>9110</v>
      </c>
      <c r="S34" s="1522" t="str">
        <f t="shared" si="3"/>
        <v>CODO 90º HD BxB 100MM PN 40 (incluye cargue, transporte y descargue) (incluye cargue, transporte y descargue)</v>
      </c>
    </row>
    <row r="35" spans="1:19" x14ac:dyDescent="0.25">
      <c r="A35" s="1448" t="s">
        <v>8714</v>
      </c>
      <c r="B35" s="1412" t="s">
        <v>9270</v>
      </c>
      <c r="C35" s="1413" t="s">
        <v>5424</v>
      </c>
      <c r="D35" s="1418">
        <f t="shared" si="4"/>
        <v>262791.66666666669</v>
      </c>
      <c r="E35" s="1414">
        <f t="shared" si="0"/>
        <v>13139.583333333336</v>
      </c>
      <c r="F35" s="1414">
        <f t="shared" si="1"/>
        <v>275931.25</v>
      </c>
      <c r="G35" s="1417" t="str">
        <f t="shared" si="2"/>
        <v>S.28</v>
      </c>
      <c r="H35" s="1518"/>
      <c r="I35" s="1480">
        <f t="shared" si="5"/>
        <v>262791.66666666669</v>
      </c>
      <c r="K35" s="1480">
        <v>262900</v>
      </c>
      <c r="L35" s="1480">
        <v>228000</v>
      </c>
      <c r="M35" s="1480">
        <f>+M34</f>
        <v>171600</v>
      </c>
      <c r="N35" s="1452"/>
      <c r="R35" s="1522" t="s">
        <v>9110</v>
      </c>
      <c r="S35" s="1522" t="str">
        <f t="shared" si="3"/>
        <v>CODO 90º HD BXB 100MM PN 60 (incluye cargue, transporte y descargue) (incluye cargue, transporte y descargue)</v>
      </c>
    </row>
    <row r="36" spans="1:19" x14ac:dyDescent="0.25">
      <c r="A36" s="1448" t="s">
        <v>8715</v>
      </c>
      <c r="B36" s="1412" t="s">
        <v>9153</v>
      </c>
      <c r="C36" s="1413" t="s">
        <v>5424</v>
      </c>
      <c r="D36" s="1418">
        <f t="shared" si="4"/>
        <v>497896</v>
      </c>
      <c r="E36" s="1414">
        <f t="shared" si="0"/>
        <v>24894.800000000003</v>
      </c>
      <c r="F36" s="1414">
        <f t="shared" si="1"/>
        <v>522790.8</v>
      </c>
      <c r="G36" s="1417" t="str">
        <f t="shared" si="2"/>
        <v>S.29</v>
      </c>
      <c r="H36" s="1518"/>
      <c r="I36" s="1480">
        <f t="shared" si="5"/>
        <v>497896</v>
      </c>
      <c r="K36" s="1480">
        <v>448800</v>
      </c>
      <c r="L36" s="1480">
        <v>388000</v>
      </c>
      <c r="N36" s="891"/>
      <c r="O36" s="1452"/>
      <c r="R36" s="1522" t="s">
        <v>9110</v>
      </c>
      <c r="S36" s="1522" t="str">
        <f t="shared" si="3"/>
        <v>CODO 90º HD BXB 150MM PN 10 (incluye cargue, transporte y descargue) (incluye cargue, transporte y descargue)</v>
      </c>
    </row>
    <row r="37" spans="1:19" ht="16.5" x14ac:dyDescent="0.3">
      <c r="A37" s="1448" t="s">
        <v>8716</v>
      </c>
      <c r="B37" s="1462" t="s">
        <v>9192</v>
      </c>
      <c r="C37" s="1413" t="s">
        <v>5424</v>
      </c>
      <c r="D37" s="1418">
        <f t="shared" si="4"/>
        <v>1633870</v>
      </c>
      <c r="E37" s="1414">
        <f t="shared" si="0"/>
        <v>81693.5</v>
      </c>
      <c r="F37" s="1414">
        <f t="shared" si="1"/>
        <v>1715563.5</v>
      </c>
      <c r="G37" s="1417" t="str">
        <f t="shared" si="2"/>
        <v>S.30</v>
      </c>
      <c r="H37" s="1518"/>
      <c r="I37" s="1480">
        <f t="shared" si="5"/>
        <v>1633870</v>
      </c>
      <c r="O37" s="1614">
        <v>1373000</v>
      </c>
      <c r="R37" s="1522" t="s">
        <v>9110</v>
      </c>
      <c r="S37" s="1522" t="str">
        <f t="shared" si="3"/>
        <v>Codo 90º HD MM ACERROJADO (incluye cargue, transporte y descargue) (incluye cargue, transporte y descargue)</v>
      </c>
    </row>
    <row r="38" spans="1:19" ht="16.5" x14ac:dyDescent="0.3">
      <c r="A38" s="1448" t="s">
        <v>8717</v>
      </c>
      <c r="B38" s="1462" t="s">
        <v>9282</v>
      </c>
      <c r="C38" s="1076" t="s">
        <v>5424</v>
      </c>
      <c r="D38" s="1389">
        <v>1477</v>
      </c>
      <c r="E38" s="1414">
        <f t="shared" si="0"/>
        <v>73.850000000000009</v>
      </c>
      <c r="F38" s="1414">
        <f t="shared" si="1"/>
        <v>1550.85</v>
      </c>
      <c r="G38" s="1417" t="str">
        <f t="shared" si="2"/>
        <v>S.31</v>
      </c>
      <c r="H38" s="1601"/>
      <c r="O38" s="1452"/>
      <c r="R38" s="1522" t="s">
        <v>9110</v>
      </c>
      <c r="S38" s="1522" t="str">
        <f t="shared" si="3"/>
        <v>Codo de 90° Presión soldar D= 1" (incluye cargue, transporte y descargue) (incluye cargue, transporte y descargue)</v>
      </c>
    </row>
    <row r="39" spans="1:19" ht="16.5" x14ac:dyDescent="0.3">
      <c r="A39" s="1448" t="s">
        <v>8718</v>
      </c>
      <c r="B39" s="1081" t="s">
        <v>9288</v>
      </c>
      <c r="C39" s="1076" t="s">
        <v>5424</v>
      </c>
      <c r="D39" s="1389">
        <v>2024565</v>
      </c>
      <c r="E39" s="1414">
        <f t="shared" si="0"/>
        <v>101228.25</v>
      </c>
      <c r="F39" s="1414">
        <f t="shared" si="1"/>
        <v>2125793.25</v>
      </c>
      <c r="G39" s="1417" t="str">
        <f t="shared" si="2"/>
        <v>S.32</v>
      </c>
      <c r="H39" s="1601"/>
      <c r="O39" s="1452"/>
      <c r="R39" s="1522" t="s">
        <v>9110</v>
      </c>
      <c r="S39" s="1522" t="str">
        <f t="shared" si="3"/>
        <v>Codo HD 12" (300 mm) (incluye cargue, transporte y descargue) (incluye cargue, transporte y descargue)</v>
      </c>
    </row>
    <row r="40" spans="1:19" ht="16.5" x14ac:dyDescent="0.3">
      <c r="A40" s="1448" t="s">
        <v>8719</v>
      </c>
      <c r="B40" s="1466" t="s">
        <v>9168</v>
      </c>
      <c r="C40" s="1413" t="s">
        <v>5424</v>
      </c>
      <c r="D40" s="1418">
        <f>+I40</f>
        <v>3558516.5</v>
      </c>
      <c r="E40" s="1414">
        <f t="shared" si="0"/>
        <v>177925.82500000001</v>
      </c>
      <c r="F40" s="1414">
        <f t="shared" si="1"/>
        <v>3736442.3250000002</v>
      </c>
      <c r="G40" s="1417" t="str">
        <f t="shared" si="2"/>
        <v>S.33</v>
      </c>
      <c r="H40" s="1518"/>
      <c r="I40" s="1480">
        <f>+AVERAGE(K40:O40)*1.19</f>
        <v>3558516.5</v>
      </c>
      <c r="K40" s="1480">
        <v>3208700</v>
      </c>
      <c r="L40" s="1480">
        <v>2772000</v>
      </c>
      <c r="N40" s="891"/>
      <c r="O40" s="1452"/>
      <c r="R40" s="1522" t="s">
        <v>9110</v>
      </c>
      <c r="S40" s="1522" t="str">
        <f t="shared" si="3"/>
        <v>Cruz HD 16" x 6" (400 mm x 150 mm) EB (incluye cargue, transporte y descargue) (incluye cargue, transporte y descargue)</v>
      </c>
    </row>
    <row r="41" spans="1:19" x14ac:dyDescent="0.25">
      <c r="A41" s="1448" t="s">
        <v>8720</v>
      </c>
      <c r="B41" s="1420" t="s">
        <v>9315</v>
      </c>
      <c r="C41" s="1417" t="s">
        <v>8954</v>
      </c>
      <c r="D41" s="1448">
        <v>3558516.5</v>
      </c>
      <c r="E41" s="1414">
        <f t="shared" si="0"/>
        <v>177925.82500000001</v>
      </c>
      <c r="F41" s="1414">
        <f t="shared" si="1"/>
        <v>3736442.3250000002</v>
      </c>
      <c r="G41" s="1417" t="str">
        <f t="shared" si="2"/>
        <v>S.34</v>
      </c>
      <c r="H41" s="1601"/>
      <c r="O41" s="1452"/>
      <c r="R41" s="1522" t="s">
        <v>9110</v>
      </c>
      <c r="S41" s="1522" t="str">
        <f t="shared" si="3"/>
        <v>CRUZ HD BxBXBXB 250x250x150x150 (incluye cargue, transporte y descargue) (incluye cargue, transporte y descargue)</v>
      </c>
    </row>
    <row r="42" spans="1:19" x14ac:dyDescent="0.25">
      <c r="A42" s="1448" t="s">
        <v>8721</v>
      </c>
      <c r="B42" s="1412" t="s">
        <v>9279</v>
      </c>
      <c r="C42" s="1413" t="s">
        <v>5424</v>
      </c>
      <c r="D42" s="1418">
        <f t="shared" ref="D42:D52" si="6">+I42</f>
        <v>2625913.5</v>
      </c>
      <c r="E42" s="1414">
        <f t="shared" si="0"/>
        <v>131295.67500000002</v>
      </c>
      <c r="F42" s="1414">
        <f t="shared" si="1"/>
        <v>2757209.1749999998</v>
      </c>
      <c r="G42" s="1417" t="str">
        <f t="shared" si="2"/>
        <v>S.35</v>
      </c>
      <c r="H42" s="1518"/>
      <c r="I42" s="1480">
        <f t="shared" ref="I42:I52" si="7">+AVERAGE(K42:O42)*1.19</f>
        <v>2625913.5</v>
      </c>
      <c r="K42" s="1480">
        <v>2401300</v>
      </c>
      <c r="L42" s="1480">
        <v>2012000</v>
      </c>
      <c r="N42" s="1452"/>
      <c r="O42" s="1452"/>
      <c r="R42" s="1522" t="s">
        <v>9110</v>
      </c>
      <c r="S42" s="1522" t="str">
        <f t="shared" si="3"/>
        <v>FILTRO 250MM PN 25 (incluye cargue, transporte y descargue) (incluye cargue, transporte y descargue)</v>
      </c>
    </row>
    <row r="43" spans="1:19" x14ac:dyDescent="0.25">
      <c r="A43" s="1448" t="s">
        <v>8722</v>
      </c>
      <c r="B43" s="1412" t="s">
        <v>9280</v>
      </c>
      <c r="C43" s="1413" t="s">
        <v>5424</v>
      </c>
      <c r="D43" s="1418">
        <f t="shared" si="6"/>
        <v>6334251</v>
      </c>
      <c r="E43" s="1414">
        <f t="shared" si="0"/>
        <v>316712.55000000005</v>
      </c>
      <c r="F43" s="1414">
        <f t="shared" si="1"/>
        <v>6650963.5499999998</v>
      </c>
      <c r="G43" s="1417" t="str">
        <f t="shared" si="2"/>
        <v>S.36</v>
      </c>
      <c r="H43" s="1518"/>
      <c r="I43" s="1480">
        <f t="shared" si="7"/>
        <v>6334251</v>
      </c>
      <c r="K43" s="1480">
        <v>5322900</v>
      </c>
      <c r="N43" s="1452"/>
      <c r="O43" s="1452"/>
      <c r="R43" s="1522" t="s">
        <v>9110</v>
      </c>
      <c r="S43" s="1522" t="str">
        <f t="shared" si="3"/>
        <v>FILTRO 350MM PN 25 (incluye cargue, transporte y descargue) (incluye cargue, transporte y descargue)</v>
      </c>
    </row>
    <row r="44" spans="1:19" x14ac:dyDescent="0.25">
      <c r="A44" s="1448" t="s">
        <v>8723</v>
      </c>
      <c r="B44" s="1412" t="s">
        <v>9123</v>
      </c>
      <c r="C44" s="1413" t="s">
        <v>5424</v>
      </c>
      <c r="D44" s="1418">
        <f t="shared" si="6"/>
        <v>10390842</v>
      </c>
      <c r="E44" s="1414">
        <f t="shared" si="0"/>
        <v>519542.10000000003</v>
      </c>
      <c r="F44" s="1414">
        <f t="shared" si="1"/>
        <v>10910384.1</v>
      </c>
      <c r="G44" s="1417" t="str">
        <f t="shared" si="2"/>
        <v>S.37</v>
      </c>
      <c r="H44" s="1518"/>
      <c r="I44" s="1480">
        <f t="shared" si="7"/>
        <v>10390842</v>
      </c>
      <c r="K44" s="1480">
        <v>8731800</v>
      </c>
      <c r="N44" s="1452"/>
      <c r="O44" s="1452"/>
      <c r="R44" s="1522" t="s">
        <v>9110</v>
      </c>
      <c r="S44" s="1522" t="str">
        <f t="shared" si="3"/>
        <v>FILTRO 400MM PN 10 (incluye cargue, transporte y descargue) (incluye cargue, transporte y descargue)</v>
      </c>
    </row>
    <row r="45" spans="1:19" x14ac:dyDescent="0.25">
      <c r="A45" s="1448" t="s">
        <v>8724</v>
      </c>
      <c r="B45" s="1412" t="s">
        <v>9281</v>
      </c>
      <c r="C45" s="1413" t="s">
        <v>5424</v>
      </c>
      <c r="D45" s="1418">
        <f t="shared" si="6"/>
        <v>10390842</v>
      </c>
      <c r="E45" s="1414">
        <f t="shared" si="0"/>
        <v>519542.10000000003</v>
      </c>
      <c r="F45" s="1414">
        <f t="shared" si="1"/>
        <v>10910384.1</v>
      </c>
      <c r="G45" s="1417" t="str">
        <f t="shared" si="2"/>
        <v>S.38</v>
      </c>
      <c r="H45" s="1518"/>
      <c r="I45" s="1480">
        <f t="shared" si="7"/>
        <v>10390842</v>
      </c>
      <c r="K45" s="1480">
        <v>8731800</v>
      </c>
      <c r="N45" s="1452"/>
      <c r="O45" s="1452"/>
      <c r="R45" s="1522" t="s">
        <v>9110</v>
      </c>
      <c r="S45" s="1522" t="str">
        <f t="shared" si="3"/>
        <v>FILTRO 400MM PN 25 (incluye cargue, transporte y descargue) (incluye cargue, transporte y descargue)</v>
      </c>
    </row>
    <row r="46" spans="1:19" x14ac:dyDescent="0.25">
      <c r="A46" s="1448" t="s">
        <v>8725</v>
      </c>
      <c r="B46" s="1412" t="s">
        <v>9326</v>
      </c>
      <c r="C46" s="1413" t="s">
        <v>5424</v>
      </c>
      <c r="D46" s="1418">
        <f t="shared" si="6"/>
        <v>700434</v>
      </c>
      <c r="E46" s="1414">
        <f t="shared" si="0"/>
        <v>35021.700000000004</v>
      </c>
      <c r="F46" s="1414">
        <f t="shared" si="1"/>
        <v>735455.7</v>
      </c>
      <c r="G46" s="1417" t="str">
        <f t="shared" si="2"/>
        <v>S.39</v>
      </c>
      <c r="H46" s="1518"/>
      <c r="I46" s="1480">
        <f t="shared" si="7"/>
        <v>700434</v>
      </c>
      <c r="K46" s="1480">
        <v>640200</v>
      </c>
      <c r="L46" s="1480">
        <v>537000</v>
      </c>
      <c r="N46" s="1452"/>
      <c r="O46" s="1452"/>
      <c r="R46" s="1522" t="s">
        <v>9110</v>
      </c>
      <c r="S46" s="1522" t="str">
        <f t="shared" si="3"/>
        <v>FILTRO HD BXB 100MM PN 10 (incluye cargue, transporte y descargue) (incluye cargue, transporte y descargue)</v>
      </c>
    </row>
    <row r="47" spans="1:19" x14ac:dyDescent="0.25">
      <c r="A47" s="1448" t="s">
        <v>8726</v>
      </c>
      <c r="B47" s="1412" t="s">
        <v>9202</v>
      </c>
      <c r="C47" s="1413" t="s">
        <v>5424</v>
      </c>
      <c r="D47" s="1418">
        <f t="shared" si="6"/>
        <v>700434</v>
      </c>
      <c r="E47" s="1414">
        <f t="shared" si="0"/>
        <v>35021.700000000004</v>
      </c>
      <c r="F47" s="1414">
        <f t="shared" si="1"/>
        <v>735455.7</v>
      </c>
      <c r="G47" s="1417" t="str">
        <f t="shared" si="2"/>
        <v>S.40</v>
      </c>
      <c r="H47" s="1518"/>
      <c r="I47" s="1480">
        <f t="shared" si="7"/>
        <v>700434</v>
      </c>
      <c r="K47" s="1480">
        <v>640200</v>
      </c>
      <c r="L47" s="1480">
        <v>537000</v>
      </c>
      <c r="M47" s="1619"/>
      <c r="N47" s="1452"/>
      <c r="O47" s="1419"/>
      <c r="R47" s="1522" t="s">
        <v>9110</v>
      </c>
      <c r="S47" s="1522" t="str">
        <f t="shared" si="3"/>
        <v>FILTRO HD BXB 100MM PN 16 (incluye cargue, transporte y descargue) (incluye cargue, transporte y descargue)</v>
      </c>
    </row>
    <row r="48" spans="1:19" x14ac:dyDescent="0.25">
      <c r="A48" s="1448" t="s">
        <v>8727</v>
      </c>
      <c r="B48" s="1412" t="s">
        <v>9203</v>
      </c>
      <c r="C48" s="1413" t="s">
        <v>5424</v>
      </c>
      <c r="D48" s="1418">
        <f t="shared" si="6"/>
        <v>700434</v>
      </c>
      <c r="E48" s="1414">
        <f t="shared" si="0"/>
        <v>35021.700000000004</v>
      </c>
      <c r="F48" s="1414">
        <f t="shared" si="1"/>
        <v>735455.7</v>
      </c>
      <c r="G48" s="1417" t="str">
        <f t="shared" si="2"/>
        <v>S.41</v>
      </c>
      <c r="H48" s="1518"/>
      <c r="I48" s="1480">
        <f t="shared" si="7"/>
        <v>700434</v>
      </c>
      <c r="K48" s="1480">
        <v>640200</v>
      </c>
      <c r="L48" s="1480">
        <v>537000</v>
      </c>
      <c r="M48" s="1619"/>
      <c r="N48" s="1452"/>
      <c r="O48" s="1452"/>
      <c r="R48" s="1522" t="s">
        <v>9110</v>
      </c>
      <c r="S48" s="1522" t="str">
        <f t="shared" si="3"/>
        <v>FILTRO HD BxB 100MM PN 25 (incluye cargue, transporte y descargue) (incluye cargue, transporte y descargue)</v>
      </c>
    </row>
    <row r="49" spans="1:19" x14ac:dyDescent="0.25">
      <c r="A49" s="1448" t="s">
        <v>8728</v>
      </c>
      <c r="B49" s="1412" t="s">
        <v>9204</v>
      </c>
      <c r="C49" s="1413" t="s">
        <v>5424</v>
      </c>
      <c r="D49" s="1418">
        <f t="shared" si="6"/>
        <v>700434</v>
      </c>
      <c r="E49" s="1414">
        <f t="shared" si="0"/>
        <v>35021.700000000004</v>
      </c>
      <c r="F49" s="1414">
        <f t="shared" si="1"/>
        <v>735455.7</v>
      </c>
      <c r="G49" s="1417" t="str">
        <f t="shared" si="2"/>
        <v>S.42</v>
      </c>
      <c r="H49" s="1518"/>
      <c r="I49" s="1480">
        <f t="shared" si="7"/>
        <v>700434</v>
      </c>
      <c r="K49" s="1480">
        <v>640200</v>
      </c>
      <c r="L49" s="1480">
        <v>537000</v>
      </c>
      <c r="M49" s="1619"/>
      <c r="N49" s="1452"/>
      <c r="O49" s="1452"/>
      <c r="R49" s="1522" t="s">
        <v>9110</v>
      </c>
      <c r="S49" s="1522" t="str">
        <f t="shared" si="3"/>
        <v>FILTRO HD BxB 100MM PN 40 (incluye cargue, transporte y descargue) (incluye cargue, transporte y descargue)</v>
      </c>
    </row>
    <row r="50" spans="1:19" x14ac:dyDescent="0.25">
      <c r="A50" s="1448" t="s">
        <v>8729</v>
      </c>
      <c r="B50" s="1412" t="s">
        <v>9205</v>
      </c>
      <c r="C50" s="1413" t="s">
        <v>5424</v>
      </c>
      <c r="D50" s="1418">
        <f t="shared" si="6"/>
        <v>700434</v>
      </c>
      <c r="E50" s="1414">
        <f t="shared" si="0"/>
        <v>35021.700000000004</v>
      </c>
      <c r="F50" s="1414">
        <f t="shared" si="1"/>
        <v>735455.7</v>
      </c>
      <c r="G50" s="1417" t="str">
        <f t="shared" si="2"/>
        <v>S.43</v>
      </c>
      <c r="H50" s="1518"/>
      <c r="I50" s="1480">
        <f t="shared" si="7"/>
        <v>700434</v>
      </c>
      <c r="K50" s="1480">
        <v>640200</v>
      </c>
      <c r="L50" s="1480">
        <v>537000</v>
      </c>
      <c r="M50" s="1619"/>
      <c r="N50" s="1452"/>
      <c r="O50" s="1452"/>
      <c r="R50" s="1522" t="s">
        <v>9110</v>
      </c>
      <c r="S50" s="1522" t="str">
        <f t="shared" si="3"/>
        <v>FILTRO HD BXB 100MM PN 60 (incluye cargue, transporte y descargue) (incluye cargue, transporte y descargue)</v>
      </c>
    </row>
    <row r="51" spans="1:19" s="1452" customFormat="1" x14ac:dyDescent="0.25">
      <c r="A51" s="1448" t="s">
        <v>8730</v>
      </c>
      <c r="B51" s="1412" t="s">
        <v>9155</v>
      </c>
      <c r="C51" s="1413" t="s">
        <v>5424</v>
      </c>
      <c r="D51" s="1418">
        <f t="shared" si="6"/>
        <v>1337024.5</v>
      </c>
      <c r="E51" s="1414">
        <f t="shared" si="0"/>
        <v>66851.225000000006</v>
      </c>
      <c r="F51" s="1414">
        <f t="shared" si="1"/>
        <v>1403875.7250000001</v>
      </c>
      <c r="G51" s="1417" t="str">
        <f t="shared" si="2"/>
        <v>S.44</v>
      </c>
      <c r="H51" s="1518"/>
      <c r="I51" s="1480">
        <f t="shared" si="7"/>
        <v>1337024.5</v>
      </c>
      <c r="K51" s="1480">
        <v>1222100</v>
      </c>
      <c r="L51" s="1480">
        <v>1025000</v>
      </c>
      <c r="M51" s="1619"/>
      <c r="O51" s="1615"/>
      <c r="R51" s="1522" t="s">
        <v>9110</v>
      </c>
      <c r="S51" s="1522" t="str">
        <f t="shared" si="3"/>
        <v>FILTRO HD BXB 150MM PN 10 (incluye cargue, transporte y descargue) (incluye cargue, transporte y descargue)</v>
      </c>
    </row>
    <row r="52" spans="1:19" s="1452" customFormat="1" x14ac:dyDescent="0.25">
      <c r="A52" s="1448" t="s">
        <v>8731</v>
      </c>
      <c r="B52" s="1426" t="s">
        <v>9172</v>
      </c>
      <c r="C52" s="1413" t="s">
        <v>5424</v>
      </c>
      <c r="D52" s="1418">
        <f t="shared" si="6"/>
        <v>1337024.5</v>
      </c>
      <c r="E52" s="1414">
        <f t="shared" si="0"/>
        <v>66851.225000000006</v>
      </c>
      <c r="F52" s="1414">
        <f t="shared" si="1"/>
        <v>1403875.7250000001</v>
      </c>
      <c r="G52" s="1417" t="str">
        <f t="shared" si="2"/>
        <v>S.45</v>
      </c>
      <c r="H52" s="1518"/>
      <c r="I52" s="1480">
        <f t="shared" si="7"/>
        <v>1337024.5</v>
      </c>
      <c r="K52" s="1480">
        <v>1222100</v>
      </c>
      <c r="L52" s="1480">
        <v>1025000</v>
      </c>
      <c r="M52" s="1619"/>
      <c r="O52" s="1615"/>
      <c r="R52" s="1522" t="s">
        <v>9110</v>
      </c>
      <c r="S52" s="1522" t="str">
        <f t="shared" si="3"/>
        <v>FILTRO HD BXB 150MM PN 16 (incluye cargue, transporte y descargue) (incluye cargue, transporte y descargue)</v>
      </c>
    </row>
    <row r="53" spans="1:19" s="1452" customFormat="1" x14ac:dyDescent="0.25">
      <c r="A53" s="1448" t="s">
        <v>8732</v>
      </c>
      <c r="B53" s="1426" t="s">
        <v>9316</v>
      </c>
      <c r="C53" s="1413" t="s">
        <v>5424</v>
      </c>
      <c r="D53" s="1418">
        <f>+D52</f>
        <v>1337024.5</v>
      </c>
      <c r="E53" s="1414">
        <f t="shared" si="0"/>
        <v>66851.225000000006</v>
      </c>
      <c r="F53" s="1414">
        <f t="shared" si="1"/>
        <v>1403875.7250000001</v>
      </c>
      <c r="G53" s="1417" t="str">
        <f t="shared" si="2"/>
        <v>S.46</v>
      </c>
      <c r="H53" s="1518"/>
      <c r="I53" s="1480"/>
      <c r="K53" s="1480"/>
      <c r="L53" s="1480"/>
      <c r="M53" s="1619"/>
      <c r="O53" s="1615"/>
      <c r="R53" s="1522" t="s">
        <v>9110</v>
      </c>
      <c r="S53" s="1522" t="str">
        <f t="shared" si="3"/>
        <v>FILTRO HD BXB 150MM PN 25 (incluye cargue, transporte y descargue) (incluye cargue, transporte y descargue)</v>
      </c>
    </row>
    <row r="54" spans="1:19" ht="16.5" x14ac:dyDescent="0.3">
      <c r="A54" s="1448" t="s">
        <v>8733</v>
      </c>
      <c r="B54" s="1726" t="s">
        <v>9156</v>
      </c>
      <c r="C54" s="1413" t="s">
        <v>5424</v>
      </c>
      <c r="D54" s="1418">
        <f t="shared" ref="D54:D60" si="8">+I54</f>
        <v>14074822.58</v>
      </c>
      <c r="E54" s="1414">
        <f t="shared" si="0"/>
        <v>703741.12900000007</v>
      </c>
      <c r="F54" s="1414">
        <f t="shared" si="1"/>
        <v>14778563.709000001</v>
      </c>
      <c r="G54" s="1417" t="str">
        <f t="shared" si="2"/>
        <v>S.47</v>
      </c>
      <c r="H54" s="1518"/>
      <c r="I54" s="1480">
        <f t="shared" ref="I54:I60" si="9">+AVERAGE(K54:O54)*1.19</f>
        <v>14074822.58</v>
      </c>
      <c r="M54" s="1619"/>
      <c r="N54" s="1480">
        <v>11827582</v>
      </c>
      <c r="O54" s="1615"/>
      <c r="P54" s="1452"/>
      <c r="R54" s="1522" t="s">
        <v>9110</v>
      </c>
      <c r="S54" s="1522" t="str">
        <f t="shared" si="3"/>
        <v>MACROMEDIDOR ELECTROMAGNETICO 150MM  (incluye cargue, transporte y descargue) (incluye cargue, transporte y descargue)</v>
      </c>
    </row>
    <row r="55" spans="1:19" ht="16.5" x14ac:dyDescent="0.3">
      <c r="A55" s="1448" t="s">
        <v>8734</v>
      </c>
      <c r="B55" s="1466" t="s">
        <v>9377</v>
      </c>
      <c r="C55" s="1413" t="s">
        <v>5424</v>
      </c>
      <c r="D55" s="1418">
        <f t="shared" si="8"/>
        <v>57193071.081299998</v>
      </c>
      <c r="E55" s="1414">
        <f t="shared" si="0"/>
        <v>2859653.5540650003</v>
      </c>
      <c r="F55" s="1414">
        <f t="shared" si="1"/>
        <v>60052724.635364994</v>
      </c>
      <c r="G55" s="1417" t="str">
        <f t="shared" si="2"/>
        <v>S.48</v>
      </c>
      <c r="H55" s="1518"/>
      <c r="I55" s="1480">
        <f t="shared" si="9"/>
        <v>57193071.081299998</v>
      </c>
      <c r="M55" s="1619"/>
      <c r="O55" s="1612">
        <v>48061404.270000003</v>
      </c>
      <c r="P55" s="1452"/>
      <c r="R55" s="1522" t="s">
        <v>9110</v>
      </c>
      <c r="S55" s="1522" t="str">
        <f t="shared" si="3"/>
        <v>MACROMEDIDOR ULTRASONICO 400MM (SCADA EAB) (incluye cargue, transporte y descargue) (incluye cargue, transporte y descargue)</v>
      </c>
    </row>
    <row r="56" spans="1:19" ht="16.5" x14ac:dyDescent="0.3">
      <c r="A56" s="1448" t="s">
        <v>8735</v>
      </c>
      <c r="B56" s="1466" t="s">
        <v>9128</v>
      </c>
      <c r="C56" s="1413" t="s">
        <v>5424</v>
      </c>
      <c r="D56" s="1418">
        <f t="shared" si="8"/>
        <v>706316.16999999993</v>
      </c>
      <c r="E56" s="1414">
        <f t="shared" si="0"/>
        <v>35315.808499999999</v>
      </c>
      <c r="F56" s="1414">
        <f t="shared" si="1"/>
        <v>741631.97849999997</v>
      </c>
      <c r="G56" s="1417" t="str">
        <f t="shared" si="2"/>
        <v>S.49</v>
      </c>
      <c r="H56" s="1518"/>
      <c r="I56" s="1480">
        <f t="shared" si="9"/>
        <v>706316.16999999993</v>
      </c>
      <c r="M56" s="1619"/>
      <c r="O56" s="1612">
        <v>593543</v>
      </c>
      <c r="P56" s="1452"/>
      <c r="R56" s="1522" t="s">
        <v>9110</v>
      </c>
      <c r="S56" s="1522" t="str">
        <f t="shared" si="3"/>
        <v>MEDIDOR DE PRESIÓN ABSOLUTA (SCADA EAB) (incluye cargue, transporte y descargue) (incluye cargue, transporte y descargue)</v>
      </c>
    </row>
    <row r="57" spans="1:19" x14ac:dyDescent="0.25">
      <c r="A57" s="1448" t="s">
        <v>8736</v>
      </c>
      <c r="B57" s="1412" t="s">
        <v>9127</v>
      </c>
      <c r="C57" s="1413" t="s">
        <v>5424</v>
      </c>
      <c r="D57" s="1418">
        <f t="shared" si="8"/>
        <v>143271.24</v>
      </c>
      <c r="E57" s="1414">
        <f t="shared" si="0"/>
        <v>7163.5619999999999</v>
      </c>
      <c r="F57" s="1414">
        <f t="shared" si="1"/>
        <v>150434.802</v>
      </c>
      <c r="G57" s="1417" t="str">
        <f t="shared" si="2"/>
        <v>S.50</v>
      </c>
      <c r="H57" s="1518"/>
      <c r="I57" s="1480">
        <f t="shared" si="9"/>
        <v>143271.24</v>
      </c>
      <c r="M57" s="1619"/>
      <c r="O57" s="1612">
        <v>120396</v>
      </c>
      <c r="P57" s="1452"/>
      <c r="R57" s="1522" t="s">
        <v>9110</v>
      </c>
      <c r="S57" s="1522" t="str">
        <f t="shared" si="3"/>
        <v>MEDIDOR DIFERENCIAL DE PRESION (incluye cargue, transporte y descargue) (incluye cargue, transporte y descargue)</v>
      </c>
    </row>
    <row r="58" spans="1:19" x14ac:dyDescent="0.25">
      <c r="A58" s="1448" t="s">
        <v>8737</v>
      </c>
      <c r="B58" s="1412" t="s">
        <v>9130</v>
      </c>
      <c r="C58" s="1413" t="s">
        <v>5424</v>
      </c>
      <c r="D58" s="1418">
        <f t="shared" si="8"/>
        <v>2282278.39</v>
      </c>
      <c r="E58" s="1414">
        <f t="shared" si="0"/>
        <v>114113.91950000002</v>
      </c>
      <c r="F58" s="1414">
        <f t="shared" si="1"/>
        <v>2396392.3095</v>
      </c>
      <c r="G58" s="1417" t="str">
        <f t="shared" si="2"/>
        <v>S.51</v>
      </c>
      <c r="H58" s="1518"/>
      <c r="I58" s="1480">
        <f t="shared" si="9"/>
        <v>2282278.39</v>
      </c>
      <c r="M58" s="1619"/>
      <c r="N58" s="1480">
        <v>1917881</v>
      </c>
      <c r="O58" s="1615"/>
      <c r="P58" s="1452"/>
      <c r="R58" s="1522" t="s">
        <v>9110</v>
      </c>
      <c r="S58" s="1522" t="str">
        <f t="shared" si="3"/>
        <v>NIPLE HD 100 MM BxB L ENTRE 0 a 1M (incluye cargue, transporte y descargue) (incluye cargue, transporte y descargue)</v>
      </c>
    </row>
    <row r="59" spans="1:19" x14ac:dyDescent="0.25">
      <c r="A59" s="1448" t="s">
        <v>8738</v>
      </c>
      <c r="B59" s="1412" t="s">
        <v>9131</v>
      </c>
      <c r="C59" s="1413" t="s">
        <v>5424</v>
      </c>
      <c r="D59" s="1418">
        <f t="shared" si="8"/>
        <v>4564556.78</v>
      </c>
      <c r="E59" s="1414">
        <f t="shared" si="0"/>
        <v>228227.83900000004</v>
      </c>
      <c r="F59" s="1414">
        <f t="shared" si="1"/>
        <v>4792784.6189999999</v>
      </c>
      <c r="G59" s="1417" t="str">
        <f t="shared" si="2"/>
        <v>S.52</v>
      </c>
      <c r="H59" s="1518"/>
      <c r="I59" s="1480">
        <f t="shared" si="9"/>
        <v>4564556.78</v>
      </c>
      <c r="M59" s="1619"/>
      <c r="N59" s="1480">
        <f>+N58*2</f>
        <v>3835762</v>
      </c>
      <c r="O59" s="1615"/>
      <c r="P59" s="1452"/>
      <c r="R59" s="1522" t="s">
        <v>9110</v>
      </c>
      <c r="S59" s="1522" t="str">
        <f t="shared" si="3"/>
        <v>NIPLE HD 100 MM BxB L ENTRE 1 a 2M (incluye cargue, transporte y descargue) (incluye cargue, transporte y descargue)</v>
      </c>
    </row>
    <row r="60" spans="1:19" x14ac:dyDescent="0.25">
      <c r="A60" s="1448" t="s">
        <v>8739</v>
      </c>
      <c r="B60" s="1412" t="s">
        <v>9133</v>
      </c>
      <c r="C60" s="1413" t="s">
        <v>5424</v>
      </c>
      <c r="D60" s="1418">
        <f t="shared" si="8"/>
        <v>2394518</v>
      </c>
      <c r="E60" s="1414">
        <f t="shared" si="0"/>
        <v>119725.90000000001</v>
      </c>
      <c r="F60" s="1414">
        <f t="shared" si="1"/>
        <v>2514243.9</v>
      </c>
      <c r="G60" s="1417" t="str">
        <f t="shared" si="2"/>
        <v>S.53</v>
      </c>
      <c r="H60" s="1518"/>
      <c r="I60" s="1480">
        <f t="shared" si="9"/>
        <v>2394518</v>
      </c>
      <c r="M60" s="1619"/>
      <c r="N60" s="1480">
        <v>2012200</v>
      </c>
      <c r="O60" s="1615"/>
      <c r="P60" s="1452"/>
      <c r="R60" s="1522" t="s">
        <v>9110</v>
      </c>
      <c r="S60" s="1522" t="str">
        <f t="shared" si="3"/>
        <v>NIPLE HD 150 MM BxB L ENTRE 0 a 1M (incluye cargue, transporte y descargue) (incluye cargue, transporte y descargue)</v>
      </c>
    </row>
    <row r="61" spans="1:19" s="1452" customFormat="1" x14ac:dyDescent="0.25">
      <c r="A61" s="1448" t="s">
        <v>8740</v>
      </c>
      <c r="B61" s="1412" t="s">
        <v>9317</v>
      </c>
      <c r="C61" s="1413" t="s">
        <v>5424</v>
      </c>
      <c r="D61" s="1418">
        <f>+D60*2</f>
        <v>4789036</v>
      </c>
      <c r="E61" s="1414">
        <f t="shared" si="0"/>
        <v>239451.80000000002</v>
      </c>
      <c r="F61" s="1414">
        <f t="shared" si="1"/>
        <v>5028487.8</v>
      </c>
      <c r="G61" s="1417" t="str">
        <f t="shared" si="2"/>
        <v>S.54</v>
      </c>
      <c r="H61" s="1518"/>
      <c r="I61" s="1480"/>
      <c r="K61" s="1480"/>
      <c r="L61" s="1480"/>
      <c r="M61" s="1619"/>
      <c r="N61" s="1480"/>
      <c r="O61" s="1615"/>
      <c r="R61" s="1522" t="s">
        <v>9110</v>
      </c>
      <c r="S61" s="1522" t="str">
        <f t="shared" si="3"/>
        <v>NIPLE HD 150 MM BxB L ENTRE 1 a 2M (incluye cargue, transporte y descargue) (incluye cargue, transporte y descargue)</v>
      </c>
    </row>
    <row r="62" spans="1:19" x14ac:dyDescent="0.25">
      <c r="A62" s="1448" t="s">
        <v>8741</v>
      </c>
      <c r="B62" s="1412" t="s">
        <v>9327</v>
      </c>
      <c r="C62" s="1413" t="s">
        <v>5424</v>
      </c>
      <c r="D62" s="1418">
        <f t="shared" ref="D62:D96" si="10">+I62</f>
        <v>2879034.83</v>
      </c>
      <c r="E62" s="1414">
        <f t="shared" si="0"/>
        <v>143951.7415</v>
      </c>
      <c r="F62" s="1414">
        <f t="shared" si="1"/>
        <v>3022986.5715000001</v>
      </c>
      <c r="G62" s="1417" t="str">
        <f t="shared" si="2"/>
        <v>S.55</v>
      </c>
      <c r="H62" s="1518"/>
      <c r="I62" s="1480">
        <f t="shared" ref="I62:I96" si="11">+AVERAGE(K62:O62)*1.19</f>
        <v>2879034.83</v>
      </c>
      <c r="M62" s="1619"/>
      <c r="N62" s="1480">
        <v>2419357</v>
      </c>
      <c r="O62" s="1615"/>
      <c r="P62" s="1452"/>
      <c r="R62" s="1522" t="s">
        <v>9110</v>
      </c>
      <c r="S62" s="1522" t="str">
        <f t="shared" si="3"/>
        <v>NIPLE HD 200 MM BxB L ENTRE 1 a 2M (incluye cargue, transporte y descargue) (incluye cargue, transporte y descargue)</v>
      </c>
    </row>
    <row r="63" spans="1:19" x14ac:dyDescent="0.25">
      <c r="A63" s="1448" t="s">
        <v>8742</v>
      </c>
      <c r="B63" s="1412" t="s">
        <v>9327</v>
      </c>
      <c r="C63" s="1413" t="s">
        <v>5424</v>
      </c>
      <c r="D63" s="1418">
        <f t="shared" si="10"/>
        <v>5758069.6600000001</v>
      </c>
      <c r="E63" s="1414">
        <f t="shared" si="0"/>
        <v>287903.48300000001</v>
      </c>
      <c r="F63" s="1414">
        <f t="shared" si="1"/>
        <v>6045973.1430000002</v>
      </c>
      <c r="G63" s="1417" t="str">
        <f t="shared" si="2"/>
        <v>S.56</v>
      </c>
      <c r="H63" s="1518"/>
      <c r="I63" s="1480">
        <f t="shared" si="11"/>
        <v>5758069.6600000001</v>
      </c>
      <c r="M63" s="1619"/>
      <c r="N63" s="1480">
        <f>+N62*2</f>
        <v>4838714</v>
      </c>
      <c r="O63" s="1615"/>
      <c r="P63" s="1452"/>
      <c r="R63" s="1522" t="s">
        <v>9110</v>
      </c>
      <c r="S63" s="1522" t="str">
        <f t="shared" si="3"/>
        <v>NIPLE HD 200 MM BxB L ENTRE 1 a 2M (incluye cargue, transporte y descargue) (incluye cargue, transporte y descargue)</v>
      </c>
    </row>
    <row r="64" spans="1:19" x14ac:dyDescent="0.25">
      <c r="A64" s="1448" t="s">
        <v>8743</v>
      </c>
      <c r="B64" s="1412" t="s">
        <v>9299</v>
      </c>
      <c r="C64" s="1413" t="s">
        <v>5424</v>
      </c>
      <c r="D64" s="1418">
        <f t="shared" si="10"/>
        <v>1793925</v>
      </c>
      <c r="E64" s="1414">
        <f t="shared" si="0"/>
        <v>89696.25</v>
      </c>
      <c r="F64" s="1414">
        <f t="shared" si="1"/>
        <v>1883621.25</v>
      </c>
      <c r="G64" s="1417" t="str">
        <f t="shared" si="2"/>
        <v>S.57</v>
      </c>
      <c r="H64" s="1518"/>
      <c r="I64" s="1480">
        <f t="shared" si="11"/>
        <v>1793925</v>
      </c>
      <c r="M64" s="1619"/>
      <c r="O64" s="1616">
        <v>1507500</v>
      </c>
      <c r="R64" s="1522" t="s">
        <v>9110</v>
      </c>
      <c r="S64" s="1522" t="str">
        <f t="shared" si="3"/>
        <v>NIPLE HD 250 MM BxB L ENTRE 1 a 2M (incluye cargue, transporte y descargue) (incluye cargue, transporte y descargue)</v>
      </c>
    </row>
    <row r="65" spans="1:19" x14ac:dyDescent="0.25">
      <c r="A65" s="1448" t="s">
        <v>8744</v>
      </c>
      <c r="B65" s="1412" t="s">
        <v>9135</v>
      </c>
      <c r="C65" s="1413" t="s">
        <v>5424</v>
      </c>
      <c r="D65" s="1418">
        <f t="shared" si="10"/>
        <v>395584.56</v>
      </c>
      <c r="E65" s="1414">
        <f t="shared" si="0"/>
        <v>19779.228000000003</v>
      </c>
      <c r="F65" s="1414">
        <f t="shared" si="1"/>
        <v>415363.788</v>
      </c>
      <c r="G65" s="1417" t="str">
        <f t="shared" si="2"/>
        <v>S.58</v>
      </c>
      <c r="H65" s="1518"/>
      <c r="I65" s="1480">
        <f t="shared" si="11"/>
        <v>395584.56</v>
      </c>
      <c r="M65" s="1619"/>
      <c r="O65" s="1616">
        <v>332424</v>
      </c>
      <c r="R65" s="1522" t="s">
        <v>9110</v>
      </c>
      <c r="S65" s="1522" t="str">
        <f t="shared" si="3"/>
        <v>NIPLE HD 250 MM LXL L ENTRE 0 Y 1 M PN 10 (incluye cargue, transporte y descargue) (incluye cargue, transporte y descargue)</v>
      </c>
    </row>
    <row r="66" spans="1:19" x14ac:dyDescent="0.25">
      <c r="A66" s="1448" t="s">
        <v>8745</v>
      </c>
      <c r="B66" s="1412" t="s">
        <v>9221</v>
      </c>
      <c r="C66" s="1413" t="s">
        <v>5424</v>
      </c>
      <c r="D66" s="1418">
        <f t="shared" si="10"/>
        <v>395584.56</v>
      </c>
      <c r="E66" s="1414">
        <f t="shared" si="0"/>
        <v>19779.228000000003</v>
      </c>
      <c r="F66" s="1414">
        <f t="shared" si="1"/>
        <v>415363.788</v>
      </c>
      <c r="G66" s="1417" t="str">
        <f t="shared" si="2"/>
        <v>S.59</v>
      </c>
      <c r="H66" s="1518"/>
      <c r="I66" s="1480">
        <f t="shared" si="11"/>
        <v>395584.56</v>
      </c>
      <c r="O66" s="1616">
        <v>332424</v>
      </c>
      <c r="R66" s="1522" t="s">
        <v>9110</v>
      </c>
      <c r="S66" s="1522" t="str">
        <f t="shared" si="3"/>
        <v>NIPLE HD 250 MM LXL L ENTRE 0 Y 1 M PN 16 (incluye cargue, transporte y descargue) (incluye cargue, transporte y descargue)</v>
      </c>
    </row>
    <row r="67" spans="1:19" x14ac:dyDescent="0.25">
      <c r="A67" s="1448" t="s">
        <v>8746</v>
      </c>
      <c r="B67" s="1412" t="s">
        <v>9328</v>
      </c>
      <c r="C67" s="1413" t="s">
        <v>5424</v>
      </c>
      <c r="D67" s="1418">
        <f t="shared" si="10"/>
        <v>395584.56</v>
      </c>
      <c r="E67" s="1414">
        <f t="shared" si="0"/>
        <v>19779.228000000003</v>
      </c>
      <c r="F67" s="1414">
        <f t="shared" si="1"/>
        <v>415363.788</v>
      </c>
      <c r="G67" s="1417" t="str">
        <f t="shared" si="2"/>
        <v>S.60</v>
      </c>
      <c r="H67" s="1518"/>
      <c r="I67" s="1480">
        <f t="shared" si="11"/>
        <v>395584.56</v>
      </c>
      <c r="O67" s="1616">
        <v>332424</v>
      </c>
      <c r="R67" s="1522" t="s">
        <v>9110</v>
      </c>
      <c r="S67" s="1522" t="str">
        <f t="shared" si="3"/>
        <v>NIPLE HD 250 MM LXL L ENTRE 0 Y 1 M PN 25 (incluye cargue, transporte y descargue) (incluye cargue, transporte y descargue)</v>
      </c>
    </row>
    <row r="68" spans="1:19" x14ac:dyDescent="0.25">
      <c r="A68" s="1448" t="s">
        <v>8747</v>
      </c>
      <c r="B68" s="1412" t="s">
        <v>9329</v>
      </c>
      <c r="C68" s="1413" t="s">
        <v>5424</v>
      </c>
      <c r="D68" s="1418">
        <f t="shared" si="10"/>
        <v>514259.92800000001</v>
      </c>
      <c r="E68" s="1414">
        <f t="shared" si="0"/>
        <v>25712.996400000004</v>
      </c>
      <c r="F68" s="1414">
        <f t="shared" si="1"/>
        <v>539972.92440000002</v>
      </c>
      <c r="G68" s="1417" t="str">
        <f t="shared" si="2"/>
        <v>S.61</v>
      </c>
      <c r="H68" s="1518"/>
      <c r="I68" s="1480">
        <f t="shared" si="11"/>
        <v>514259.92800000001</v>
      </c>
      <c r="O68" s="1616">
        <v>432151.2</v>
      </c>
      <c r="R68" s="1522" t="s">
        <v>9110</v>
      </c>
      <c r="S68" s="1522" t="str">
        <f t="shared" si="3"/>
        <v>NIPLE HD 250 MM LXL L ENTRE 0 Y 1 M PN 40 (incluye cargue, transporte y descargue) (incluye cargue, transporte y descargue)</v>
      </c>
    </row>
    <row r="69" spans="1:19" x14ac:dyDescent="0.25">
      <c r="A69" s="1448" t="s">
        <v>8748</v>
      </c>
      <c r="B69" s="1412" t="s">
        <v>9330</v>
      </c>
      <c r="C69" s="1413" t="s">
        <v>5424</v>
      </c>
      <c r="D69" s="1418">
        <f t="shared" si="10"/>
        <v>668537.90640000009</v>
      </c>
      <c r="E69" s="1414">
        <f t="shared" si="0"/>
        <v>33426.895320000003</v>
      </c>
      <c r="F69" s="1414">
        <f t="shared" si="1"/>
        <v>701964.8017200001</v>
      </c>
      <c r="G69" s="1417" t="str">
        <f t="shared" si="2"/>
        <v>S.62</v>
      </c>
      <c r="H69" s="1518"/>
      <c r="I69" s="1480">
        <f t="shared" si="11"/>
        <v>668537.90640000009</v>
      </c>
      <c r="O69" s="1616">
        <v>561796.56000000006</v>
      </c>
      <c r="R69" s="1522" t="s">
        <v>9110</v>
      </c>
      <c r="S69" s="1522" t="str">
        <f t="shared" si="3"/>
        <v>NIPLE HD 250 MM LXL L ENTRE 0 Y 1 M PN 60 (incluye cargue, transporte y descargue) (incluye cargue, transporte y descargue)</v>
      </c>
    </row>
    <row r="70" spans="1:19" x14ac:dyDescent="0.25">
      <c r="A70" s="1448" t="s">
        <v>8749</v>
      </c>
      <c r="B70" s="1412" t="s">
        <v>9301</v>
      </c>
      <c r="C70" s="1413" t="s">
        <v>5424</v>
      </c>
      <c r="D70" s="1418">
        <f t="shared" si="10"/>
        <v>1062075</v>
      </c>
      <c r="E70" s="1414">
        <f t="shared" si="0"/>
        <v>53103.75</v>
      </c>
      <c r="F70" s="1414">
        <f t="shared" ref="F70:F133" si="12">+E70+D70</f>
        <v>1115178.75</v>
      </c>
      <c r="G70" s="1417" t="str">
        <f t="shared" si="2"/>
        <v>S.63</v>
      </c>
      <c r="H70" s="1518"/>
      <c r="I70" s="1480">
        <f t="shared" si="11"/>
        <v>1062075</v>
      </c>
      <c r="M70" s="1619"/>
      <c r="O70" s="1616">
        <v>892500</v>
      </c>
      <c r="R70" s="1522" t="s">
        <v>9110</v>
      </c>
      <c r="S70" s="1522" t="str">
        <f t="shared" si="3"/>
        <v>NIPLE HD 300 MM BxB L ENTRE 0 a 1M (incluye cargue, transporte y descargue) (incluye cargue, transporte y descargue)</v>
      </c>
    </row>
    <row r="71" spans="1:19" x14ac:dyDescent="0.25">
      <c r="A71" s="1448" t="s">
        <v>8750</v>
      </c>
      <c r="B71" s="1412" t="s">
        <v>9220</v>
      </c>
      <c r="C71" s="1413" t="s">
        <v>5424</v>
      </c>
      <c r="D71" s="1418">
        <f t="shared" si="10"/>
        <v>617667.12</v>
      </c>
      <c r="E71" s="1414">
        <f t="shared" si="0"/>
        <v>30883.356</v>
      </c>
      <c r="F71" s="1414">
        <f t="shared" si="12"/>
        <v>648550.47600000002</v>
      </c>
      <c r="G71" s="1417" t="str">
        <f t="shared" ref="G71:G134" si="13">+A71</f>
        <v>S.64</v>
      </c>
      <c r="H71" s="1518"/>
      <c r="I71" s="1480">
        <f t="shared" si="11"/>
        <v>617667.12</v>
      </c>
      <c r="O71" s="1616">
        <v>519048.00000000006</v>
      </c>
      <c r="R71" s="1522" t="s">
        <v>9110</v>
      </c>
      <c r="S71" s="1522" t="str">
        <f t="shared" ref="S71:S134" si="14">+CONCATENATE(B71," ",R71)</f>
        <v>NIPLE HD 350 MM LXL L ENTRE 0 Y 1 M PN 10 (incluye cargue, transporte y descargue) (incluye cargue, transporte y descargue)</v>
      </c>
    </row>
    <row r="72" spans="1:19" x14ac:dyDescent="0.25">
      <c r="A72" s="1448" t="s">
        <v>8751</v>
      </c>
      <c r="B72" s="1412" t="s">
        <v>9222</v>
      </c>
      <c r="C72" s="1413" t="s">
        <v>5424</v>
      </c>
      <c r="D72" s="1418">
        <f t="shared" si="10"/>
        <v>617667.12</v>
      </c>
      <c r="E72" s="1414">
        <f t="shared" ref="E72:E135" si="15">+D72*$E$6</f>
        <v>30883.356</v>
      </c>
      <c r="F72" s="1414">
        <f t="shared" si="12"/>
        <v>648550.47600000002</v>
      </c>
      <c r="G72" s="1417" t="str">
        <f t="shared" si="13"/>
        <v>S.65</v>
      </c>
      <c r="H72" s="1518"/>
      <c r="I72" s="1480">
        <f t="shared" si="11"/>
        <v>617667.12</v>
      </c>
      <c r="O72" s="1519">
        <v>519048.00000000006</v>
      </c>
      <c r="R72" s="1522" t="s">
        <v>9110</v>
      </c>
      <c r="S72" s="1522" t="str">
        <f t="shared" si="14"/>
        <v>NIPLE HD 350 MM LXL L ENTRE 0 Y 1 M PN 16 (incluye cargue, transporte y descargue) (incluye cargue, transporte y descargue)</v>
      </c>
    </row>
    <row r="73" spans="1:19" x14ac:dyDescent="0.25">
      <c r="A73" s="1448" t="s">
        <v>8752</v>
      </c>
      <c r="B73" s="1412" t="s">
        <v>9224</v>
      </c>
      <c r="C73" s="1413" t="s">
        <v>5424</v>
      </c>
      <c r="D73" s="1418">
        <f t="shared" si="10"/>
        <v>617667.12</v>
      </c>
      <c r="E73" s="1414">
        <f t="shared" si="15"/>
        <v>30883.356</v>
      </c>
      <c r="F73" s="1414">
        <f t="shared" si="12"/>
        <v>648550.47600000002</v>
      </c>
      <c r="G73" s="1417" t="str">
        <f t="shared" si="13"/>
        <v>S.66</v>
      </c>
      <c r="H73" s="1518"/>
      <c r="I73" s="1480">
        <f t="shared" si="11"/>
        <v>617667.12</v>
      </c>
      <c r="O73" s="1519">
        <v>519048.00000000006</v>
      </c>
      <c r="R73" s="1522" t="s">
        <v>9110</v>
      </c>
      <c r="S73" s="1522" t="str">
        <f t="shared" si="14"/>
        <v>NIPLE HD 350 MM LXL L ENTRE 0 Y 1 M PN 25 (incluye cargue, transporte y descargue) (incluye cargue, transporte y descargue)</v>
      </c>
    </row>
    <row r="74" spans="1:19" x14ac:dyDescent="0.25">
      <c r="A74" s="1448" t="s">
        <v>8753</v>
      </c>
      <c r="B74" s="1412" t="s">
        <v>9227</v>
      </c>
      <c r="C74" s="1413" t="s">
        <v>5424</v>
      </c>
      <c r="D74" s="1418">
        <f t="shared" si="10"/>
        <v>802967.25599999994</v>
      </c>
      <c r="E74" s="1414">
        <f t="shared" si="15"/>
        <v>40148.362800000003</v>
      </c>
      <c r="F74" s="1414">
        <f t="shared" si="12"/>
        <v>843115.61879999994</v>
      </c>
      <c r="G74" s="1417" t="str">
        <f t="shared" si="13"/>
        <v>S.67</v>
      </c>
      <c r="H74" s="1518"/>
      <c r="I74" s="1480">
        <f t="shared" si="11"/>
        <v>802967.25599999994</v>
      </c>
      <c r="O74" s="1519">
        <v>674762.4</v>
      </c>
      <c r="R74" s="1522" t="s">
        <v>9110</v>
      </c>
      <c r="S74" s="1522" t="str">
        <f t="shared" si="14"/>
        <v>NIPLE HD 350 MM LXL L ENTRE 0 Y 1 M PN 40 (incluye cargue, transporte y descargue) (incluye cargue, transporte y descargue)</v>
      </c>
    </row>
    <row r="75" spans="1:19" x14ac:dyDescent="0.25">
      <c r="A75" s="1448" t="s">
        <v>8754</v>
      </c>
      <c r="B75" s="1412" t="s">
        <v>9229</v>
      </c>
      <c r="C75" s="1413" t="s">
        <v>5424</v>
      </c>
      <c r="D75" s="1418">
        <f t="shared" si="10"/>
        <v>1043857.4328000001</v>
      </c>
      <c r="E75" s="1414">
        <f t="shared" si="15"/>
        <v>52192.871640000005</v>
      </c>
      <c r="F75" s="1414">
        <f t="shared" si="12"/>
        <v>1096050.3044400001</v>
      </c>
      <c r="G75" s="1417" t="str">
        <f t="shared" si="13"/>
        <v>S.68</v>
      </c>
      <c r="H75" s="1518"/>
      <c r="I75" s="1480">
        <f t="shared" si="11"/>
        <v>1043857.4328000001</v>
      </c>
      <c r="O75" s="1519">
        <v>877191.12000000011</v>
      </c>
      <c r="R75" s="1522" t="s">
        <v>9110</v>
      </c>
      <c r="S75" s="1522" t="str">
        <f t="shared" si="14"/>
        <v>NIPLE HD 350 MM LXL L ENTRE 0 Y 1 M PN 60 (incluye cargue, transporte y descargue) (incluye cargue, transporte y descargue)</v>
      </c>
    </row>
    <row r="76" spans="1:19" ht="16.5" x14ac:dyDescent="0.3">
      <c r="A76" s="1448" t="s">
        <v>8755</v>
      </c>
      <c r="B76" s="1466" t="s">
        <v>9122</v>
      </c>
      <c r="C76" s="1413" t="s">
        <v>5424</v>
      </c>
      <c r="D76" s="1418">
        <f t="shared" si="10"/>
        <v>508350.14999999997</v>
      </c>
      <c r="E76" s="1414">
        <f t="shared" si="15"/>
        <v>25417.5075</v>
      </c>
      <c r="F76" s="1414">
        <f t="shared" si="12"/>
        <v>533767.65749999997</v>
      </c>
      <c r="G76" s="1417" t="str">
        <f t="shared" si="13"/>
        <v>S.69</v>
      </c>
      <c r="H76" s="1518"/>
      <c r="I76" s="1480">
        <f t="shared" si="11"/>
        <v>508350.14999999997</v>
      </c>
      <c r="M76" s="1480">
        <f>284790*1.5</f>
        <v>427185</v>
      </c>
      <c r="O76" s="1419"/>
      <c r="R76" s="1522" t="s">
        <v>9110</v>
      </c>
      <c r="S76" s="1522" t="str">
        <f t="shared" si="14"/>
        <v>NIPLE HD 400 MM BXB L ENTRE 0 Y 1 M PN 10 (incluye cargue, transporte y descargue) (incluye cargue, transporte y descargue)</v>
      </c>
    </row>
    <row r="77" spans="1:19" ht="16.5" x14ac:dyDescent="0.3">
      <c r="A77" s="1448" t="s">
        <v>8756</v>
      </c>
      <c r="B77" s="1466" t="s">
        <v>9124</v>
      </c>
      <c r="C77" s="1413" t="s">
        <v>5424</v>
      </c>
      <c r="D77" s="1418">
        <f t="shared" si="10"/>
        <v>1016700.2999999999</v>
      </c>
      <c r="E77" s="1414">
        <f t="shared" si="15"/>
        <v>50835.014999999999</v>
      </c>
      <c r="F77" s="1414">
        <f t="shared" si="12"/>
        <v>1067535.3149999999</v>
      </c>
      <c r="G77" s="1417" t="str">
        <f t="shared" si="13"/>
        <v>S.70</v>
      </c>
      <c r="H77" s="1518"/>
      <c r="I77" s="1480">
        <f t="shared" si="11"/>
        <v>1016700.2999999999</v>
      </c>
      <c r="M77" s="1480">
        <f>569580*1.5</f>
        <v>854370</v>
      </c>
      <c r="O77" s="1419"/>
      <c r="R77" s="1522" t="s">
        <v>9110</v>
      </c>
      <c r="S77" s="1522" t="str">
        <f t="shared" si="14"/>
        <v>NIPLE HD 400 MM BXB L ENTRE 1 Y 2 M PN 10 (incluye cargue, transporte y descargue) (incluye cargue, transporte y descargue)</v>
      </c>
    </row>
    <row r="78" spans="1:19" ht="16.5" x14ac:dyDescent="0.3">
      <c r="A78" s="1448" t="s">
        <v>8757</v>
      </c>
      <c r="B78" s="1466" t="s">
        <v>9125</v>
      </c>
      <c r="C78" s="1413" t="s">
        <v>5424</v>
      </c>
      <c r="D78" s="1418">
        <f t="shared" si="10"/>
        <v>2033400.5999999999</v>
      </c>
      <c r="E78" s="1414">
        <f t="shared" si="15"/>
        <v>101670.03</v>
      </c>
      <c r="F78" s="1414">
        <f t="shared" si="12"/>
        <v>2135070.63</v>
      </c>
      <c r="G78" s="1417" t="str">
        <f t="shared" si="13"/>
        <v>S.71</v>
      </c>
      <c r="H78" s="1518"/>
      <c r="I78" s="1480">
        <f t="shared" si="11"/>
        <v>2033400.5999999999</v>
      </c>
      <c r="M78" s="1480">
        <f>1139160*1.5</f>
        <v>1708740</v>
      </c>
      <c r="O78" s="1419"/>
      <c r="R78" s="1522" t="s">
        <v>9110</v>
      </c>
      <c r="S78" s="1522" t="str">
        <f t="shared" si="14"/>
        <v>NIPLE HD 400 MM BXB L ENTRE 3 Y 4 M PN 10 (incluye cargue, transporte y descargue) (incluye cargue, transporte y descargue)</v>
      </c>
    </row>
    <row r="79" spans="1:19" x14ac:dyDescent="0.25">
      <c r="A79" s="1448" t="s">
        <v>8758</v>
      </c>
      <c r="B79" s="1412" t="s">
        <v>9164</v>
      </c>
      <c r="C79" s="1413" t="s">
        <v>5424</v>
      </c>
      <c r="D79" s="1418">
        <f t="shared" si="10"/>
        <v>338900.1</v>
      </c>
      <c r="E79" s="1414">
        <f t="shared" si="15"/>
        <v>16945.005000000001</v>
      </c>
      <c r="F79" s="1414">
        <f t="shared" si="12"/>
        <v>355845.10499999998</v>
      </c>
      <c r="G79" s="1417" t="str">
        <f t="shared" si="13"/>
        <v>S.72</v>
      </c>
      <c r="H79" s="1518"/>
      <c r="I79" s="1480">
        <f t="shared" si="11"/>
        <v>338900.1</v>
      </c>
      <c r="M79" s="1480">
        <v>284790</v>
      </c>
      <c r="O79" s="1419"/>
      <c r="R79" s="1522" t="s">
        <v>9110</v>
      </c>
      <c r="S79" s="1522" t="str">
        <f t="shared" si="14"/>
        <v>NIPLE HD 400 MM LXL L ENTRE 0 Y 1 M PN 10 (incluye cargue, transporte y descargue) (incluye cargue, transporte y descargue)</v>
      </c>
    </row>
    <row r="80" spans="1:19" x14ac:dyDescent="0.25">
      <c r="A80" s="1448" t="s">
        <v>8759</v>
      </c>
      <c r="B80" s="1412" t="s">
        <v>9223</v>
      </c>
      <c r="C80" s="1413" t="s">
        <v>5424</v>
      </c>
      <c r="D80" s="1418">
        <f t="shared" si="10"/>
        <v>338900.1</v>
      </c>
      <c r="E80" s="1414">
        <f t="shared" si="15"/>
        <v>16945.005000000001</v>
      </c>
      <c r="F80" s="1414">
        <f t="shared" si="12"/>
        <v>355845.10499999998</v>
      </c>
      <c r="G80" s="1417" t="str">
        <f t="shared" si="13"/>
        <v>S.73</v>
      </c>
      <c r="H80" s="1518"/>
      <c r="I80" s="1480">
        <f t="shared" si="11"/>
        <v>338900.1</v>
      </c>
      <c r="M80" s="1480">
        <v>284790</v>
      </c>
      <c r="O80" s="1419"/>
      <c r="R80" s="1522" t="s">
        <v>9110</v>
      </c>
      <c r="S80" s="1522" t="str">
        <f t="shared" si="14"/>
        <v>NIPLE HD 400 MM LXL L ENTRE 0 Y 1 M PN 16 (incluye cargue, transporte y descargue) (incluye cargue, transporte y descargue)</v>
      </c>
    </row>
    <row r="81" spans="1:19" x14ac:dyDescent="0.25">
      <c r="A81" s="1448" t="s">
        <v>8760</v>
      </c>
      <c r="B81" s="1412" t="s">
        <v>9225</v>
      </c>
      <c r="C81" s="1413" t="s">
        <v>5424</v>
      </c>
      <c r="D81" s="1418">
        <f t="shared" si="10"/>
        <v>338900.1</v>
      </c>
      <c r="E81" s="1414">
        <f t="shared" si="15"/>
        <v>16945.005000000001</v>
      </c>
      <c r="F81" s="1414">
        <f t="shared" si="12"/>
        <v>355845.10499999998</v>
      </c>
      <c r="G81" s="1417" t="str">
        <f t="shared" si="13"/>
        <v>S.74</v>
      </c>
      <c r="H81" s="1518"/>
      <c r="I81" s="1480">
        <f t="shared" si="11"/>
        <v>338900.1</v>
      </c>
      <c r="M81" s="1480">
        <v>284790</v>
      </c>
      <c r="O81" s="1419"/>
      <c r="R81" s="1522" t="s">
        <v>9110</v>
      </c>
      <c r="S81" s="1522" t="str">
        <f t="shared" si="14"/>
        <v>NIPLE HD 400 MM LXL L ENTRE 0 Y 1 M PN 25 (incluye cargue, transporte y descargue) (incluye cargue, transporte y descargue)</v>
      </c>
    </row>
    <row r="82" spans="1:19" x14ac:dyDescent="0.25">
      <c r="A82" s="1448" t="s">
        <v>8761</v>
      </c>
      <c r="B82" s="1412" t="s">
        <v>9228</v>
      </c>
      <c r="C82" s="1413" t="s">
        <v>5424</v>
      </c>
      <c r="D82" s="1418">
        <f t="shared" si="10"/>
        <v>394592.1</v>
      </c>
      <c r="E82" s="1414">
        <f t="shared" si="15"/>
        <v>19729.605</v>
      </c>
      <c r="F82" s="1414">
        <f t="shared" si="12"/>
        <v>414321.70499999996</v>
      </c>
      <c r="G82" s="1417" t="str">
        <f t="shared" si="13"/>
        <v>S.75</v>
      </c>
      <c r="H82" s="1518"/>
      <c r="I82" s="1480">
        <f t="shared" si="11"/>
        <v>394592.1</v>
      </c>
      <c r="M82" s="1480">
        <v>331590</v>
      </c>
      <c r="O82" s="1419"/>
      <c r="R82" s="1522" t="s">
        <v>9110</v>
      </c>
      <c r="S82" s="1522" t="str">
        <f t="shared" si="14"/>
        <v>NIPLE HD 400 MM LXL L ENTRE 0 Y 1 M PN 40 (incluye cargue, transporte y descargue) (incluye cargue, transporte y descargue)</v>
      </c>
    </row>
    <row r="83" spans="1:19" x14ac:dyDescent="0.25">
      <c r="A83" s="1448" t="s">
        <v>8762</v>
      </c>
      <c r="B83" s="1412" t="s">
        <v>9331</v>
      </c>
      <c r="C83" s="1413" t="s">
        <v>5424</v>
      </c>
      <c r="D83" s="1418">
        <f t="shared" si="10"/>
        <v>394592.1</v>
      </c>
      <c r="E83" s="1414">
        <f t="shared" si="15"/>
        <v>19729.605</v>
      </c>
      <c r="F83" s="1414">
        <f t="shared" si="12"/>
        <v>414321.70499999996</v>
      </c>
      <c r="G83" s="1417" t="str">
        <f t="shared" si="13"/>
        <v>S.76</v>
      </c>
      <c r="H83" s="1518"/>
      <c r="I83" s="1480">
        <f t="shared" si="11"/>
        <v>394592.1</v>
      </c>
      <c r="M83" s="1480">
        <v>331590</v>
      </c>
      <c r="O83" s="1419"/>
      <c r="R83" s="1522" t="s">
        <v>9110</v>
      </c>
      <c r="S83" s="1522" t="str">
        <f t="shared" si="14"/>
        <v>NIPLE HD 400 MM LXL L ENTRE 0 Y 1 M PN 60 (incluye cargue, transporte y descargue) (incluye cargue, transporte y descargue)</v>
      </c>
    </row>
    <row r="84" spans="1:19" ht="16.5" x14ac:dyDescent="0.3">
      <c r="A84" s="1448" t="s">
        <v>8763</v>
      </c>
      <c r="B84" s="1466" t="s">
        <v>9112</v>
      </c>
      <c r="C84" s="1413" t="s">
        <v>5424</v>
      </c>
      <c r="D84" s="1418">
        <f t="shared" si="10"/>
        <v>2472225</v>
      </c>
      <c r="E84" s="1414">
        <f t="shared" si="15"/>
        <v>123611.25</v>
      </c>
      <c r="F84" s="1414">
        <f t="shared" si="12"/>
        <v>2595836.25</v>
      </c>
      <c r="G84" s="1417" t="str">
        <f t="shared" si="13"/>
        <v>S.77</v>
      </c>
      <c r="H84" s="1518"/>
      <c r="I84" s="1480">
        <f t="shared" si="11"/>
        <v>2472225</v>
      </c>
      <c r="O84" s="1519">
        <v>2077500</v>
      </c>
      <c r="R84" s="1522" t="s">
        <v>9110</v>
      </c>
      <c r="S84" s="1522" t="str">
        <f t="shared" si="14"/>
        <v>NIPLE HD 500 MM BXB L ENTRE 0 Y 1 M  (incluye cargue, transporte y descargue) (incluye cargue, transporte y descargue)</v>
      </c>
    </row>
    <row r="85" spans="1:19" x14ac:dyDescent="0.25">
      <c r="A85" s="1448" t="s">
        <v>8764</v>
      </c>
      <c r="B85" s="1412" t="s">
        <v>9332</v>
      </c>
      <c r="C85" s="1413" t="s">
        <v>5424</v>
      </c>
      <c r="D85" s="1418">
        <f t="shared" si="10"/>
        <v>1567944</v>
      </c>
      <c r="E85" s="1414">
        <f t="shared" si="15"/>
        <v>78397.2</v>
      </c>
      <c r="F85" s="1414">
        <f t="shared" si="12"/>
        <v>1646341.2</v>
      </c>
      <c r="G85" s="1417" t="str">
        <f t="shared" si="13"/>
        <v>S.78</v>
      </c>
      <c r="H85" s="1518"/>
      <c r="I85" s="1480">
        <f t="shared" si="11"/>
        <v>1567944</v>
      </c>
      <c r="O85" s="1616">
        <v>1317600</v>
      </c>
      <c r="R85" s="1522" t="s">
        <v>9110</v>
      </c>
      <c r="S85" s="1522" t="str">
        <f t="shared" si="14"/>
        <v>NIPLE HD 500 MM LXL L ENTRE 0 Y 1 M PN 10 (incluye cargue, transporte y descargue) (incluye cargue, transporte y descargue)</v>
      </c>
    </row>
    <row r="86" spans="1:19" x14ac:dyDescent="0.25">
      <c r="A86" s="1448" t="s">
        <v>8765</v>
      </c>
      <c r="B86" s="1412" t="s">
        <v>9333</v>
      </c>
      <c r="C86" s="1413" t="s">
        <v>5424</v>
      </c>
      <c r="D86" s="1418">
        <f t="shared" si="10"/>
        <v>1567944</v>
      </c>
      <c r="E86" s="1414">
        <f t="shared" si="15"/>
        <v>78397.2</v>
      </c>
      <c r="F86" s="1414">
        <f t="shared" si="12"/>
        <v>1646341.2</v>
      </c>
      <c r="G86" s="1417" t="str">
        <f t="shared" si="13"/>
        <v>S.79</v>
      </c>
      <c r="H86" s="1518"/>
      <c r="I86" s="1480">
        <f t="shared" si="11"/>
        <v>1567944</v>
      </c>
      <c r="O86" s="1616">
        <v>1317600</v>
      </c>
      <c r="R86" s="1522" t="s">
        <v>9110</v>
      </c>
      <c r="S86" s="1522" t="str">
        <f t="shared" si="14"/>
        <v>NIPLE HD 500 MM LXL L ENTRE 0 Y 1 M PN 16 (incluye cargue, transporte y descargue) (incluye cargue, transporte y descargue)</v>
      </c>
    </row>
    <row r="87" spans="1:19" x14ac:dyDescent="0.25">
      <c r="A87" s="1448" t="s">
        <v>8766</v>
      </c>
      <c r="B87" s="1412" t="s">
        <v>9226</v>
      </c>
      <c r="C87" s="1413" t="s">
        <v>5424</v>
      </c>
      <c r="D87" s="1418">
        <f t="shared" si="10"/>
        <v>1567944</v>
      </c>
      <c r="E87" s="1414">
        <f t="shared" si="15"/>
        <v>78397.2</v>
      </c>
      <c r="F87" s="1414">
        <f t="shared" si="12"/>
        <v>1646341.2</v>
      </c>
      <c r="G87" s="1417" t="str">
        <f t="shared" si="13"/>
        <v>S.80</v>
      </c>
      <c r="H87" s="1518"/>
      <c r="I87" s="1480">
        <f t="shared" si="11"/>
        <v>1567944</v>
      </c>
      <c r="O87" s="1616">
        <v>1317600</v>
      </c>
      <c r="R87" s="1522" t="s">
        <v>9110</v>
      </c>
      <c r="S87" s="1522" t="str">
        <f t="shared" si="14"/>
        <v>NIPLE HD 500 MM LXL L ENTRE 0 Y 1 M PN 25 (incluye cargue, transporte y descargue) (incluye cargue, transporte y descargue)</v>
      </c>
    </row>
    <row r="88" spans="1:19" x14ac:dyDescent="0.25">
      <c r="A88" s="1448" t="s">
        <v>8767</v>
      </c>
      <c r="B88" s="1412" t="s">
        <v>9334</v>
      </c>
      <c r="C88" s="1413" t="s">
        <v>5424</v>
      </c>
      <c r="D88" s="1418">
        <f t="shared" si="10"/>
        <v>2038327.2</v>
      </c>
      <c r="E88" s="1414">
        <f t="shared" si="15"/>
        <v>101916.36</v>
      </c>
      <c r="F88" s="1414">
        <f t="shared" si="12"/>
        <v>2140243.56</v>
      </c>
      <c r="G88" s="1417" t="str">
        <f t="shared" si="13"/>
        <v>S.81</v>
      </c>
      <c r="H88" s="1518"/>
      <c r="I88" s="1480">
        <f t="shared" si="11"/>
        <v>2038327.2</v>
      </c>
      <c r="O88" s="1419">
        <f>+O87*1.3</f>
        <v>1712880</v>
      </c>
      <c r="R88" s="1522" t="s">
        <v>9110</v>
      </c>
      <c r="S88" s="1522" t="str">
        <f t="shared" si="14"/>
        <v>NIPLE HD 500 MM LXL L ENTRE 0 Y 1 M PN 40 (incluye cargue, transporte y descargue) (incluye cargue, transporte y descargue)</v>
      </c>
    </row>
    <row r="89" spans="1:19" x14ac:dyDescent="0.25">
      <c r="A89" s="1448" t="s">
        <v>8768</v>
      </c>
      <c r="B89" s="1412" t="s">
        <v>9335</v>
      </c>
      <c r="C89" s="1413" t="s">
        <v>5424</v>
      </c>
      <c r="D89" s="1418">
        <f t="shared" si="10"/>
        <v>2649825.36</v>
      </c>
      <c r="E89" s="1414">
        <f t="shared" si="15"/>
        <v>132491.26800000001</v>
      </c>
      <c r="F89" s="1414">
        <f t="shared" si="12"/>
        <v>2782316.628</v>
      </c>
      <c r="G89" s="1417" t="str">
        <f t="shared" si="13"/>
        <v>S.82</v>
      </c>
      <c r="H89" s="1518"/>
      <c r="I89" s="1480">
        <f t="shared" si="11"/>
        <v>2649825.36</v>
      </c>
      <c r="O89" s="1419">
        <f>+O88*1.3</f>
        <v>2226744</v>
      </c>
      <c r="R89" s="1522" t="s">
        <v>9110</v>
      </c>
      <c r="S89" s="1522" t="str">
        <f t="shared" si="14"/>
        <v>NIPLE HD 500 MM LXL L ENTRE 0 Y 1 M PN 60 (incluye cargue, transporte y descargue) (incluye cargue, transporte y descargue)</v>
      </c>
    </row>
    <row r="90" spans="1:19" ht="26.25" x14ac:dyDescent="0.25">
      <c r="A90" s="1448" t="s">
        <v>8769</v>
      </c>
      <c r="B90" s="1412" t="s">
        <v>9137</v>
      </c>
      <c r="C90" s="1413" t="s">
        <v>5424</v>
      </c>
      <c r="D90" s="1418">
        <f t="shared" si="10"/>
        <v>2864925</v>
      </c>
      <c r="E90" s="1414">
        <f t="shared" si="15"/>
        <v>143246.25</v>
      </c>
      <c r="F90" s="1414">
        <f t="shared" si="12"/>
        <v>3008171.25</v>
      </c>
      <c r="G90" s="1417" t="str">
        <f t="shared" si="13"/>
        <v>S.83</v>
      </c>
      <c r="H90" s="1518"/>
      <c r="I90" s="1480">
        <f t="shared" si="11"/>
        <v>2864925</v>
      </c>
      <c r="O90" s="1419">
        <v>2407500</v>
      </c>
      <c r="R90" s="1522" t="s">
        <v>9110</v>
      </c>
      <c r="S90" s="1522" t="str">
        <f t="shared" si="14"/>
        <v>Niple HD BxB con salida para sonda de calidad de agua Φ=350x100mm (incluye cargue, transporte y descargue) (incluye cargue, transporte y descargue)</v>
      </c>
    </row>
    <row r="91" spans="1:19" ht="26.25" x14ac:dyDescent="0.25">
      <c r="A91" s="1448" t="s">
        <v>8770</v>
      </c>
      <c r="B91" s="1412" t="s">
        <v>9670</v>
      </c>
      <c r="C91" s="1413" t="s">
        <v>5424</v>
      </c>
      <c r="D91" s="1418">
        <f t="shared" si="10"/>
        <v>385560</v>
      </c>
      <c r="E91" s="1414">
        <f t="shared" si="15"/>
        <v>19278</v>
      </c>
      <c r="F91" s="1414">
        <f t="shared" si="12"/>
        <v>404838</v>
      </c>
      <c r="G91" s="1417" t="str">
        <f t="shared" si="13"/>
        <v>S.84</v>
      </c>
      <c r="H91" s="1518"/>
      <c r="I91" s="1480">
        <f t="shared" si="11"/>
        <v>385560</v>
      </c>
      <c r="M91" s="1480">
        <v>324000</v>
      </c>
      <c r="N91" s="1452"/>
      <c r="O91" s="1419"/>
      <c r="R91" s="1522" t="s">
        <v>9110</v>
      </c>
      <c r="S91" s="1522" t="str">
        <f t="shared" si="14"/>
        <v>NIPLE PASAMURO CON ANILLO DE ANCLAJE HD BXB 100MM  L=0 a 1m PN 10 (incluye cargue, transporte y descargue) (incluye cargue, transporte y descargue)</v>
      </c>
    </row>
    <row r="92" spans="1:19" ht="26.25" x14ac:dyDescent="0.25">
      <c r="A92" s="1448" t="s">
        <v>8771</v>
      </c>
      <c r="B92" s="1412" t="s">
        <v>9671</v>
      </c>
      <c r="C92" s="1413" t="s">
        <v>5424</v>
      </c>
      <c r="D92" s="1418">
        <f t="shared" si="10"/>
        <v>835380</v>
      </c>
      <c r="E92" s="1414">
        <f t="shared" si="15"/>
        <v>41769</v>
      </c>
      <c r="F92" s="1414">
        <f t="shared" si="12"/>
        <v>877149</v>
      </c>
      <c r="G92" s="1417" t="str">
        <f t="shared" si="13"/>
        <v>S.85</v>
      </c>
      <c r="H92" s="1518"/>
      <c r="I92" s="1480">
        <f t="shared" si="11"/>
        <v>835380</v>
      </c>
      <c r="M92" s="1480">
        <v>702000</v>
      </c>
      <c r="N92" s="1452"/>
      <c r="O92" s="1419"/>
      <c r="R92" s="1522" t="s">
        <v>9110</v>
      </c>
      <c r="S92" s="1522" t="str">
        <f t="shared" si="14"/>
        <v>NIPLE PASAMURO CON ANILLO DE ANCLAJE HD BXB 100MM  L=0 a 1m PN 16 (incluye cargue, transporte y descargue) (incluye cargue, transporte y descargue)</v>
      </c>
    </row>
    <row r="93" spans="1:19" ht="26.25" x14ac:dyDescent="0.25">
      <c r="A93" s="1448" t="s">
        <v>8772</v>
      </c>
      <c r="B93" s="1412" t="s">
        <v>9672</v>
      </c>
      <c r="C93" s="1413" t="s">
        <v>5424</v>
      </c>
      <c r="D93" s="1418">
        <f t="shared" si="10"/>
        <v>749700</v>
      </c>
      <c r="E93" s="1414">
        <f t="shared" si="15"/>
        <v>37485</v>
      </c>
      <c r="F93" s="1414">
        <f t="shared" si="12"/>
        <v>787185</v>
      </c>
      <c r="G93" s="1417" t="str">
        <f t="shared" si="13"/>
        <v>S.86</v>
      </c>
      <c r="H93" s="1518"/>
      <c r="I93" s="1480">
        <f t="shared" si="11"/>
        <v>749700</v>
      </c>
      <c r="M93" s="1480">
        <v>630000</v>
      </c>
      <c r="N93" s="1452"/>
      <c r="O93" s="1419"/>
      <c r="R93" s="1522" t="s">
        <v>9110</v>
      </c>
      <c r="S93" s="1522" t="str">
        <f t="shared" si="14"/>
        <v>NIPLE PASAMURO CON ANILLO DE ANCLAJE HD BxB 100MM  L=0 a 1m PN 25 (incluye cargue, transporte y descargue) (incluye cargue, transporte y descargue)</v>
      </c>
    </row>
    <row r="94" spans="1:19" ht="26.25" x14ac:dyDescent="0.25">
      <c r="A94" s="1448" t="s">
        <v>8773</v>
      </c>
      <c r="B94" s="1412" t="s">
        <v>9673</v>
      </c>
      <c r="C94" s="1413" t="s">
        <v>5424</v>
      </c>
      <c r="D94" s="1418">
        <f t="shared" si="10"/>
        <v>342720</v>
      </c>
      <c r="E94" s="1414">
        <f t="shared" si="15"/>
        <v>17136</v>
      </c>
      <c r="F94" s="1414">
        <f t="shared" si="12"/>
        <v>359856</v>
      </c>
      <c r="G94" s="1417" t="str">
        <f t="shared" si="13"/>
        <v>S.87</v>
      </c>
      <c r="H94" s="1518"/>
      <c r="I94" s="1480">
        <f t="shared" si="11"/>
        <v>342720</v>
      </c>
      <c r="M94" s="1480">
        <v>288000</v>
      </c>
      <c r="N94" s="1452"/>
      <c r="R94" s="1522" t="s">
        <v>9110</v>
      </c>
      <c r="S94" s="1522" t="str">
        <f t="shared" si="14"/>
        <v>NIPLE PASAMURO CON ANILLO DE ANCLAJE HD BxB 100MM  L=0 a 1m PN 40 (incluye cargue, transporte y descargue) (incluye cargue, transporte y descargue)</v>
      </c>
    </row>
    <row r="95" spans="1:19" ht="26.25" x14ac:dyDescent="0.25">
      <c r="A95" s="1448" t="s">
        <v>8774</v>
      </c>
      <c r="B95" s="1412" t="s">
        <v>9674</v>
      </c>
      <c r="C95" s="1413" t="s">
        <v>5424</v>
      </c>
      <c r="D95" s="1418">
        <f t="shared" si="10"/>
        <v>149940</v>
      </c>
      <c r="E95" s="1414">
        <f t="shared" si="15"/>
        <v>7497</v>
      </c>
      <c r="F95" s="1414">
        <f t="shared" si="12"/>
        <v>157437</v>
      </c>
      <c r="G95" s="1417" t="str">
        <f t="shared" si="13"/>
        <v>S.88</v>
      </c>
      <c r="H95" s="1518"/>
      <c r="I95" s="1480">
        <f t="shared" si="11"/>
        <v>149940</v>
      </c>
      <c r="M95" s="1480">
        <v>126000</v>
      </c>
      <c r="N95" s="1452"/>
      <c r="R95" s="1522" t="s">
        <v>9110</v>
      </c>
      <c r="S95" s="1522" t="str">
        <f t="shared" si="14"/>
        <v>NIPLE PASAMURO CON ANILLO DE ANCLAJE HD BXB 100MM  L=0 a 1m PN 60 (incluye cargue, transporte y descargue) (incluye cargue, transporte y descargue)</v>
      </c>
    </row>
    <row r="96" spans="1:19" ht="26.25" x14ac:dyDescent="0.25">
      <c r="A96" s="1448" t="s">
        <v>8775</v>
      </c>
      <c r="B96" s="1412" t="s">
        <v>9668</v>
      </c>
      <c r="C96" s="1413" t="s">
        <v>5424</v>
      </c>
      <c r="D96" s="1418">
        <f t="shared" si="10"/>
        <v>481950</v>
      </c>
      <c r="E96" s="1414">
        <f t="shared" si="15"/>
        <v>24097.5</v>
      </c>
      <c r="F96" s="1414">
        <f t="shared" si="12"/>
        <v>506047.5</v>
      </c>
      <c r="G96" s="1417" t="str">
        <f t="shared" si="13"/>
        <v>S.89</v>
      </c>
      <c r="H96" s="1518"/>
      <c r="I96" s="1480">
        <f t="shared" si="11"/>
        <v>481950</v>
      </c>
      <c r="O96" s="1614">
        <v>405000</v>
      </c>
      <c r="R96" s="1522" t="s">
        <v>9110</v>
      </c>
      <c r="S96" s="1522" t="str">
        <f t="shared" si="14"/>
        <v>NIPLE PASAMURO CON ANILLO DE ANCLAJE HD BXB 150MM  L=0 a 1m PN 10 (incluye cargue, transporte y descargue) (incluye cargue, transporte y descargue)</v>
      </c>
    </row>
    <row r="97" spans="1:19" s="1452" customFormat="1" ht="26.25" x14ac:dyDescent="0.25">
      <c r="A97" s="1448" t="s">
        <v>8776</v>
      </c>
      <c r="B97" s="1412" t="s">
        <v>9708</v>
      </c>
      <c r="C97" s="1413" t="s">
        <v>5424</v>
      </c>
      <c r="D97" s="1418">
        <v>481950</v>
      </c>
      <c r="E97" s="1414">
        <f t="shared" si="15"/>
        <v>24097.5</v>
      </c>
      <c r="F97" s="1414">
        <f t="shared" si="12"/>
        <v>506047.5</v>
      </c>
      <c r="G97" s="1417" t="str">
        <f t="shared" si="13"/>
        <v>S.90</v>
      </c>
      <c r="H97" s="1518"/>
      <c r="I97" s="1480"/>
      <c r="K97" s="1480"/>
      <c r="L97" s="1480"/>
      <c r="M97" s="1480"/>
      <c r="N97" s="1480"/>
      <c r="O97" s="1614"/>
      <c r="R97" s="1522" t="s">
        <v>9110</v>
      </c>
      <c r="S97" s="1522" t="str">
        <f t="shared" si="14"/>
        <v>NIPLE PASAMURO CON ANILLO DE ANCLAJE HD BXB 150MM  L=0 a 1m PN 25 (incluye cargue, transporte y descargue) (incluye cargue, transporte y descargue)</v>
      </c>
    </row>
    <row r="98" spans="1:19" ht="26.25" x14ac:dyDescent="0.25">
      <c r="A98" s="1448" t="s">
        <v>8777</v>
      </c>
      <c r="B98" s="1412" t="s">
        <v>9675</v>
      </c>
      <c r="C98" s="1413" t="s">
        <v>5424</v>
      </c>
      <c r="D98" s="1418">
        <f t="shared" ref="D98:D137" si="16">+I98</f>
        <v>128520</v>
      </c>
      <c r="E98" s="1414">
        <f t="shared" si="15"/>
        <v>6426</v>
      </c>
      <c r="F98" s="1414">
        <f t="shared" si="12"/>
        <v>134946</v>
      </c>
      <c r="G98" s="1417" t="str">
        <f t="shared" si="13"/>
        <v>S.91</v>
      </c>
      <c r="H98" s="1518"/>
      <c r="I98" s="1480">
        <f t="shared" ref="I98:I137" si="17">+AVERAGE(K98:O98)*1.19</f>
        <v>128520</v>
      </c>
      <c r="M98" s="1480">
        <v>108000</v>
      </c>
      <c r="N98" s="1452"/>
      <c r="R98" s="1522" t="s">
        <v>9110</v>
      </c>
      <c r="S98" s="1522" t="str">
        <f t="shared" si="14"/>
        <v>NIPLE PASAMURO CON ANILLO DE ANCLAJE HD BXB 250MM  L=0 a 1m PN 10 (incluye cargue, transporte y descargue) (incluye cargue, transporte y descargue)</v>
      </c>
    </row>
    <row r="99" spans="1:19" ht="26.25" x14ac:dyDescent="0.25">
      <c r="A99" s="1448" t="s">
        <v>8778</v>
      </c>
      <c r="B99" s="1412" t="s">
        <v>9676</v>
      </c>
      <c r="C99" s="1413" t="s">
        <v>5424</v>
      </c>
      <c r="D99" s="1418">
        <f t="shared" si="16"/>
        <v>214200</v>
      </c>
      <c r="E99" s="1414">
        <f t="shared" si="15"/>
        <v>10710</v>
      </c>
      <c r="F99" s="1414">
        <f t="shared" si="12"/>
        <v>224910</v>
      </c>
      <c r="G99" s="1417" t="str">
        <f t="shared" si="13"/>
        <v>S.92</v>
      </c>
      <c r="H99" s="1518"/>
      <c r="I99" s="1480">
        <f t="shared" si="17"/>
        <v>214200</v>
      </c>
      <c r="M99" s="1480">
        <v>180000</v>
      </c>
      <c r="N99" s="1452"/>
      <c r="R99" s="1522" t="s">
        <v>9110</v>
      </c>
      <c r="S99" s="1522" t="str">
        <f t="shared" si="14"/>
        <v>NIPLE PASAMURO CON ANILLO DE ANCLAJE HD BXB 250MM  L=0 a 1m PN 16 (incluye cargue, transporte y descargue) (incluye cargue, transporte y descargue)</v>
      </c>
    </row>
    <row r="100" spans="1:19" ht="26.25" x14ac:dyDescent="0.25">
      <c r="A100" s="1448" t="s">
        <v>8779</v>
      </c>
      <c r="B100" s="1412" t="s">
        <v>9677</v>
      </c>
      <c r="C100" s="1413" t="s">
        <v>5424</v>
      </c>
      <c r="D100" s="1418">
        <f t="shared" si="16"/>
        <v>214200</v>
      </c>
      <c r="E100" s="1414">
        <f t="shared" si="15"/>
        <v>10710</v>
      </c>
      <c r="F100" s="1414">
        <f t="shared" si="12"/>
        <v>224910</v>
      </c>
      <c r="G100" s="1417" t="str">
        <f t="shared" si="13"/>
        <v>S.93</v>
      </c>
      <c r="H100" s="1518"/>
      <c r="I100" s="1480">
        <f t="shared" si="17"/>
        <v>214200</v>
      </c>
      <c r="M100" s="1480">
        <v>180000</v>
      </c>
      <c r="N100" s="1452"/>
      <c r="R100" s="1522" t="s">
        <v>9110</v>
      </c>
      <c r="S100" s="1522" t="str">
        <f t="shared" si="14"/>
        <v>NIPLE PASAMURO CON ANILLO DE ANCLAJE HD BXB 250MM  L=0 a 1m PN 25 (incluye cargue, transporte y descargue) (incluye cargue, transporte y descargue)</v>
      </c>
    </row>
    <row r="101" spans="1:19" ht="26.25" x14ac:dyDescent="0.25">
      <c r="A101" s="1448" t="s">
        <v>8780</v>
      </c>
      <c r="B101" s="1412" t="s">
        <v>9678</v>
      </c>
      <c r="C101" s="1413" t="s">
        <v>5424</v>
      </c>
      <c r="D101" s="1418">
        <f t="shared" si="16"/>
        <v>214200</v>
      </c>
      <c r="E101" s="1414">
        <f t="shared" si="15"/>
        <v>10710</v>
      </c>
      <c r="F101" s="1414">
        <f t="shared" si="12"/>
        <v>224910</v>
      </c>
      <c r="G101" s="1417" t="str">
        <f t="shared" si="13"/>
        <v>S.94</v>
      </c>
      <c r="H101" s="1518"/>
      <c r="I101" s="1480">
        <f t="shared" si="17"/>
        <v>214200</v>
      </c>
      <c r="M101" s="1480">
        <v>180000</v>
      </c>
      <c r="R101" s="1522" t="s">
        <v>9110</v>
      </c>
      <c r="S101" s="1522" t="str">
        <f t="shared" si="14"/>
        <v>NIPLE PASAMURO CON ANILLO DE ANCLAJE HD BXB 250MM  L=0 a 1m PN 40 (incluye cargue, transporte y descargue) (incluye cargue, transporte y descargue)</v>
      </c>
    </row>
    <row r="102" spans="1:19" ht="26.25" x14ac:dyDescent="0.25">
      <c r="A102" s="1448" t="s">
        <v>8781</v>
      </c>
      <c r="B102" s="1412" t="s">
        <v>9679</v>
      </c>
      <c r="C102" s="1413" t="s">
        <v>5424</v>
      </c>
      <c r="D102" s="1418">
        <f t="shared" si="16"/>
        <v>214200</v>
      </c>
      <c r="E102" s="1414">
        <f t="shared" si="15"/>
        <v>10710</v>
      </c>
      <c r="F102" s="1414">
        <f t="shared" si="12"/>
        <v>224910</v>
      </c>
      <c r="G102" s="1417" t="str">
        <f t="shared" si="13"/>
        <v>S.95</v>
      </c>
      <c r="H102" s="1518"/>
      <c r="I102" s="1480">
        <f t="shared" si="17"/>
        <v>214200</v>
      </c>
      <c r="M102" s="1480">
        <v>180000</v>
      </c>
      <c r="R102" s="1522" t="s">
        <v>9110</v>
      </c>
      <c r="S102" s="1522" t="str">
        <f t="shared" si="14"/>
        <v>NIPLE PASAMURO CON ANILLO DE ANCLAJE HD BXB 250MM  L=0 a 1m PN 60 (incluye cargue, transporte y descargue) (incluye cargue, transporte y descargue)</v>
      </c>
    </row>
    <row r="103" spans="1:19" ht="26.25" x14ac:dyDescent="0.25">
      <c r="A103" s="1448" t="s">
        <v>8782</v>
      </c>
      <c r="B103" s="1412" t="s">
        <v>9680</v>
      </c>
      <c r="C103" s="1413" t="s">
        <v>5424</v>
      </c>
      <c r="D103" s="1418">
        <f t="shared" si="16"/>
        <v>610020.17999999993</v>
      </c>
      <c r="E103" s="1414">
        <f t="shared" si="15"/>
        <v>30501.008999999998</v>
      </c>
      <c r="F103" s="1414">
        <f t="shared" si="12"/>
        <v>640521.1889999999</v>
      </c>
      <c r="G103" s="1417" t="str">
        <f t="shared" si="13"/>
        <v>S.96</v>
      </c>
      <c r="H103" s="1518"/>
      <c r="I103" s="1480">
        <f t="shared" si="17"/>
        <v>610020.17999999993</v>
      </c>
      <c r="M103" s="1480">
        <v>512622</v>
      </c>
      <c r="R103" s="1522" t="s">
        <v>9110</v>
      </c>
      <c r="S103" s="1522" t="str">
        <f t="shared" si="14"/>
        <v>NIPLE PASAMURO CON ANILLO DE ANCLAJE HD BXB 350MM  L=0 a 1m PN 10 (incluye cargue, transporte y descargue) (incluye cargue, transporte y descargue)</v>
      </c>
    </row>
    <row r="104" spans="1:19" ht="26.25" x14ac:dyDescent="0.25">
      <c r="A104" s="1448" t="s">
        <v>8783</v>
      </c>
      <c r="B104" s="1412" t="s">
        <v>9681</v>
      </c>
      <c r="C104" s="1413" t="s">
        <v>5424</v>
      </c>
      <c r="D104" s="1418">
        <f t="shared" si="16"/>
        <v>610020.17999999993</v>
      </c>
      <c r="E104" s="1414">
        <f t="shared" si="15"/>
        <v>30501.008999999998</v>
      </c>
      <c r="F104" s="1414">
        <f t="shared" si="12"/>
        <v>640521.1889999999</v>
      </c>
      <c r="G104" s="1417" t="str">
        <f t="shared" si="13"/>
        <v>S.97</v>
      </c>
      <c r="H104" s="1518"/>
      <c r="I104" s="1480">
        <f t="shared" si="17"/>
        <v>610020.17999999993</v>
      </c>
      <c r="M104" s="1480">
        <v>512622</v>
      </c>
      <c r="R104" s="1522" t="s">
        <v>9110</v>
      </c>
      <c r="S104" s="1522" t="str">
        <f t="shared" si="14"/>
        <v>NIPLE PASAMURO CON ANILLO DE ANCLAJE HD BXB 350MM  L=0 a 1m PN 16 (incluye cargue, transporte y descargue) (incluye cargue, transporte y descargue)</v>
      </c>
    </row>
    <row r="105" spans="1:19" ht="26.25" x14ac:dyDescent="0.25">
      <c r="A105" s="1448" t="s">
        <v>8784</v>
      </c>
      <c r="B105" s="1412" t="s">
        <v>9682</v>
      </c>
      <c r="C105" s="1413" t="s">
        <v>5424</v>
      </c>
      <c r="D105" s="1418">
        <f t="shared" si="16"/>
        <v>610020.17999999993</v>
      </c>
      <c r="E105" s="1414">
        <f t="shared" si="15"/>
        <v>30501.008999999998</v>
      </c>
      <c r="F105" s="1414">
        <f t="shared" si="12"/>
        <v>640521.1889999999</v>
      </c>
      <c r="G105" s="1417" t="str">
        <f t="shared" si="13"/>
        <v>S.98</v>
      </c>
      <c r="H105" s="1518"/>
      <c r="I105" s="1480">
        <f t="shared" si="17"/>
        <v>610020.17999999993</v>
      </c>
      <c r="M105" s="1480">
        <v>512622</v>
      </c>
      <c r="R105" s="1522" t="s">
        <v>9110</v>
      </c>
      <c r="S105" s="1522" t="str">
        <f t="shared" si="14"/>
        <v>NIPLE PASAMURO CON ANILLO DE ANCLAJE HD BXB 350MM  L=0 a 1m PN 25 (incluye cargue, transporte y descargue) (incluye cargue, transporte y descargue)</v>
      </c>
    </row>
    <row r="106" spans="1:19" ht="26.25" x14ac:dyDescent="0.25">
      <c r="A106" s="1448" t="s">
        <v>8785</v>
      </c>
      <c r="B106" s="1412" t="s">
        <v>9683</v>
      </c>
      <c r="C106" s="1413" t="s">
        <v>5424</v>
      </c>
      <c r="D106" s="1418">
        <f t="shared" si="16"/>
        <v>793026.23399999994</v>
      </c>
      <c r="E106" s="1414">
        <f t="shared" si="15"/>
        <v>39651.311699999998</v>
      </c>
      <c r="F106" s="1414">
        <f t="shared" si="12"/>
        <v>832677.5456999999</v>
      </c>
      <c r="G106" s="1417" t="str">
        <f t="shared" si="13"/>
        <v>S.99</v>
      </c>
      <c r="H106" s="1518"/>
      <c r="I106" s="1480">
        <f t="shared" si="17"/>
        <v>793026.23399999994</v>
      </c>
      <c r="M106" s="1480">
        <f>+M105*1.3</f>
        <v>666408.6</v>
      </c>
      <c r="R106" s="1522" t="s">
        <v>9110</v>
      </c>
      <c r="S106" s="1522" t="str">
        <f t="shared" si="14"/>
        <v>NIPLE PASAMURO CON ANILLO DE ANCLAJE HD BXB 350MM  L=0 a 1m PN 40 (incluye cargue, transporte y descargue) (incluye cargue, transporte y descargue)</v>
      </c>
    </row>
    <row r="107" spans="1:19" ht="26.25" x14ac:dyDescent="0.25">
      <c r="A107" s="1448" t="s">
        <v>8786</v>
      </c>
      <c r="B107" s="1412" t="s">
        <v>9684</v>
      </c>
      <c r="C107" s="1413" t="s">
        <v>5424</v>
      </c>
      <c r="D107" s="1418">
        <f t="shared" si="16"/>
        <v>1030934.1042000001</v>
      </c>
      <c r="E107" s="1414">
        <f t="shared" si="15"/>
        <v>51546.705210000007</v>
      </c>
      <c r="F107" s="1414">
        <f t="shared" si="12"/>
        <v>1082480.80941</v>
      </c>
      <c r="G107" s="1417" t="str">
        <f t="shared" si="13"/>
        <v>S.100</v>
      </c>
      <c r="H107" s="1518"/>
      <c r="I107" s="1480">
        <f t="shared" si="17"/>
        <v>1030934.1042000001</v>
      </c>
      <c r="M107" s="1480">
        <f>+M106*1.3</f>
        <v>866331.18</v>
      </c>
      <c r="R107" s="1522" t="s">
        <v>9110</v>
      </c>
      <c r="S107" s="1522" t="str">
        <f t="shared" si="14"/>
        <v>NIPLE PASAMURO CON ANILLO DE ANCLAJE HD BXB 350MM  L=0 a 1m PN 60 (incluye cargue, transporte y descargue) (incluye cargue, transporte y descargue)</v>
      </c>
    </row>
    <row r="108" spans="1:19" ht="26.25" x14ac:dyDescent="0.25">
      <c r="A108" s="1448" t="s">
        <v>8787</v>
      </c>
      <c r="B108" s="1412" t="s">
        <v>9669</v>
      </c>
      <c r="C108" s="1413" t="s">
        <v>5424</v>
      </c>
      <c r="D108" s="1418">
        <f t="shared" si="16"/>
        <v>732024.21600000001</v>
      </c>
      <c r="E108" s="1414">
        <f t="shared" si="15"/>
        <v>36601.210800000001</v>
      </c>
      <c r="F108" s="1414">
        <f t="shared" si="12"/>
        <v>768625.42680000002</v>
      </c>
      <c r="G108" s="1417" t="str">
        <f t="shared" si="13"/>
        <v>S.101</v>
      </c>
      <c r="H108" s="1518"/>
      <c r="I108" s="1480">
        <f t="shared" si="17"/>
        <v>732024.21600000001</v>
      </c>
      <c r="M108" s="1480">
        <f>+M103*1.2</f>
        <v>615146.4</v>
      </c>
      <c r="N108" s="1452"/>
      <c r="R108" s="1522" t="s">
        <v>9110</v>
      </c>
      <c r="S108" s="1522" t="str">
        <f t="shared" si="14"/>
        <v>NIPLE PASAMURO CON ANILLO DE ANCLAJE HD BXB 400MM  L=0 a 1m PN 10 (incluye cargue, transporte y descargue) (incluye cargue, transporte y descargue)</v>
      </c>
    </row>
    <row r="109" spans="1:19" ht="26.25" x14ac:dyDescent="0.25">
      <c r="A109" s="1448" t="s">
        <v>8788</v>
      </c>
      <c r="B109" s="1412" t="s">
        <v>9685</v>
      </c>
      <c r="C109" s="1413" t="s">
        <v>5424</v>
      </c>
      <c r="D109" s="1418">
        <f t="shared" si="16"/>
        <v>732024.21600000001</v>
      </c>
      <c r="E109" s="1414">
        <f t="shared" si="15"/>
        <v>36601.210800000001</v>
      </c>
      <c r="F109" s="1414">
        <f t="shared" si="12"/>
        <v>768625.42680000002</v>
      </c>
      <c r="G109" s="1417" t="str">
        <f t="shared" si="13"/>
        <v>S.102</v>
      </c>
      <c r="H109" s="1518"/>
      <c r="I109" s="1480">
        <f t="shared" si="17"/>
        <v>732024.21600000001</v>
      </c>
      <c r="M109" s="1480">
        <f>+M104*1.2</f>
        <v>615146.4</v>
      </c>
      <c r="N109" s="1452"/>
      <c r="R109" s="1522" t="s">
        <v>9110</v>
      </c>
      <c r="S109" s="1522" t="str">
        <f t="shared" si="14"/>
        <v>NIPLE PASAMURO CON ANILLO DE ANCLAJE HD BXB 400MM  L=0 a 1m PN 16 (incluye cargue, transporte y descargue) (incluye cargue, transporte y descargue)</v>
      </c>
    </row>
    <row r="110" spans="1:19" ht="26.25" x14ac:dyDescent="0.25">
      <c r="A110" s="1448" t="s">
        <v>8789</v>
      </c>
      <c r="B110" s="1412" t="s">
        <v>9686</v>
      </c>
      <c r="C110" s="1413" t="s">
        <v>5424</v>
      </c>
      <c r="D110" s="1418">
        <f t="shared" si="16"/>
        <v>732024.21600000001</v>
      </c>
      <c r="E110" s="1414">
        <f t="shared" si="15"/>
        <v>36601.210800000001</v>
      </c>
      <c r="F110" s="1414">
        <f t="shared" si="12"/>
        <v>768625.42680000002</v>
      </c>
      <c r="G110" s="1417" t="str">
        <f t="shared" si="13"/>
        <v>S.103</v>
      </c>
      <c r="H110" s="1518"/>
      <c r="I110" s="1480">
        <f t="shared" si="17"/>
        <v>732024.21600000001</v>
      </c>
      <c r="M110" s="1480">
        <f>+M105*1.2</f>
        <v>615146.4</v>
      </c>
      <c r="N110" s="1452"/>
      <c r="R110" s="1522" t="s">
        <v>9110</v>
      </c>
      <c r="S110" s="1522" t="str">
        <f t="shared" si="14"/>
        <v>NIPLE PASAMURO CON ANILLO DE ANCLAJE HD BXB 400MM  L=0 a 1m PN 25 (incluye cargue, transporte y descargue) (incluye cargue, transporte y descargue)</v>
      </c>
    </row>
    <row r="111" spans="1:19" ht="26.25" x14ac:dyDescent="0.25">
      <c r="A111" s="1448" t="s">
        <v>8790</v>
      </c>
      <c r="B111" s="1412" t="s">
        <v>9687</v>
      </c>
      <c r="C111" s="1413" t="s">
        <v>5424</v>
      </c>
      <c r="D111" s="1418">
        <f t="shared" si="16"/>
        <v>951631.4807999999</v>
      </c>
      <c r="E111" s="1414">
        <f t="shared" si="15"/>
        <v>47581.57404</v>
      </c>
      <c r="F111" s="1414">
        <f t="shared" si="12"/>
        <v>999213.05483999988</v>
      </c>
      <c r="G111" s="1417" t="str">
        <f t="shared" si="13"/>
        <v>S.104</v>
      </c>
      <c r="H111" s="1518"/>
      <c r="I111" s="1480">
        <f t="shared" si="17"/>
        <v>951631.4807999999</v>
      </c>
      <c r="M111" s="1480">
        <f>+M106*1.2</f>
        <v>799690.32</v>
      </c>
      <c r="R111" s="1522" t="s">
        <v>9110</v>
      </c>
      <c r="S111" s="1522" t="str">
        <f t="shared" si="14"/>
        <v>NIPLE PASAMURO CON ANILLO DE ANCLAJE HD BXB 400MM  L=0 a 1m PN 40 (incluye cargue, transporte y descargue) (incluye cargue, transporte y descargue)</v>
      </c>
    </row>
    <row r="112" spans="1:19" ht="26.25" x14ac:dyDescent="0.25">
      <c r="A112" s="1448" t="s">
        <v>8791</v>
      </c>
      <c r="B112" s="1412" t="s">
        <v>9688</v>
      </c>
      <c r="C112" s="1413" t="s">
        <v>5424</v>
      </c>
      <c r="D112" s="1418">
        <f t="shared" si="16"/>
        <v>1237120.9250399999</v>
      </c>
      <c r="E112" s="1414">
        <f t="shared" si="15"/>
        <v>61856.046252</v>
      </c>
      <c r="F112" s="1414">
        <f t="shared" si="12"/>
        <v>1298976.9712919998</v>
      </c>
      <c r="G112" s="1417" t="str">
        <f t="shared" si="13"/>
        <v>S.105</v>
      </c>
      <c r="H112" s="1518"/>
      <c r="I112" s="1480">
        <f t="shared" si="17"/>
        <v>1237120.9250399999</v>
      </c>
      <c r="M112" s="1480">
        <f>+M107*1.2</f>
        <v>1039597.416</v>
      </c>
      <c r="R112" s="1522" t="s">
        <v>9110</v>
      </c>
      <c r="S112" s="1522" t="str">
        <f t="shared" si="14"/>
        <v>NIPLE PASAMURO CON ANILLO DE ANCLAJE HD BXB 400MM  L=0 a 1m PN 60 (incluye cargue, transporte y descargue) (incluye cargue, transporte y descargue)</v>
      </c>
    </row>
    <row r="113" spans="1:19" ht="26.25" x14ac:dyDescent="0.25">
      <c r="A113" s="1448" t="s">
        <v>8792</v>
      </c>
      <c r="B113" s="1653" t="s">
        <v>9689</v>
      </c>
      <c r="C113" s="1413" t="s">
        <v>5424</v>
      </c>
      <c r="D113" s="1418">
        <f t="shared" si="16"/>
        <v>1484545.1100479998</v>
      </c>
      <c r="E113" s="1414">
        <f t="shared" si="15"/>
        <v>74227.255502399988</v>
      </c>
      <c r="F113" s="1414">
        <f t="shared" si="12"/>
        <v>1558772.3655503998</v>
      </c>
      <c r="G113" s="1417" t="str">
        <f t="shared" si="13"/>
        <v>S.106</v>
      </c>
      <c r="H113" s="1601"/>
      <c r="I113" s="1480">
        <f t="shared" si="17"/>
        <v>1484545.1100479998</v>
      </c>
      <c r="M113" s="1480">
        <f>1039597.416*1.2</f>
        <v>1247516.8991999999</v>
      </c>
      <c r="R113" s="1522" t="s">
        <v>9110</v>
      </c>
      <c r="S113" s="1522" t="str">
        <f t="shared" si="14"/>
        <v>NIPLE PASAMURO CON ANILLO DE ANCLAJE HD BXB 500MM  L=0 a 1m PN 10 (incluye cargue, transporte y descargue) (incluye cargue, transporte y descargue)</v>
      </c>
    </row>
    <row r="114" spans="1:19" ht="26.25" x14ac:dyDescent="0.25">
      <c r="A114" s="1448" t="s">
        <v>8793</v>
      </c>
      <c r="B114" s="1412" t="s">
        <v>9690</v>
      </c>
      <c r="C114" s="1413" t="s">
        <v>5424</v>
      </c>
      <c r="D114" s="1418">
        <f t="shared" si="16"/>
        <v>171360</v>
      </c>
      <c r="E114" s="1414">
        <f t="shared" si="15"/>
        <v>8568</v>
      </c>
      <c r="F114" s="1414">
        <f t="shared" si="12"/>
        <v>179928</v>
      </c>
      <c r="G114" s="1417" t="str">
        <f t="shared" si="13"/>
        <v>S.107</v>
      </c>
      <c r="H114" s="1518"/>
      <c r="I114" s="1480">
        <f t="shared" si="17"/>
        <v>171360</v>
      </c>
      <c r="M114" s="1480">
        <v>144000</v>
      </c>
      <c r="N114" s="1452"/>
      <c r="R114" s="1522" t="s">
        <v>9110</v>
      </c>
      <c r="S114" s="1522" t="str">
        <f t="shared" si="14"/>
        <v>NIPLE PASAMURO CON ANILLO DE ANCLAJE HD BXL 100MM  L=0 a 1m PN 10 (incluye cargue, transporte y descargue) (incluye cargue, transporte y descargue)</v>
      </c>
    </row>
    <row r="115" spans="1:19" ht="26.25" x14ac:dyDescent="0.25">
      <c r="A115" s="1448" t="s">
        <v>8794</v>
      </c>
      <c r="B115" s="1412" t="s">
        <v>9691</v>
      </c>
      <c r="C115" s="1413" t="s">
        <v>5424</v>
      </c>
      <c r="D115" s="1418">
        <f t="shared" si="16"/>
        <v>171360</v>
      </c>
      <c r="E115" s="1414">
        <f t="shared" si="15"/>
        <v>8568</v>
      </c>
      <c r="F115" s="1414">
        <f t="shared" si="12"/>
        <v>179928</v>
      </c>
      <c r="G115" s="1417" t="str">
        <f t="shared" si="13"/>
        <v>S.108</v>
      </c>
      <c r="H115" s="1518"/>
      <c r="I115" s="1480">
        <f t="shared" si="17"/>
        <v>171360</v>
      </c>
      <c r="M115" s="1480">
        <f>+M114</f>
        <v>144000</v>
      </c>
      <c r="N115" s="1452"/>
      <c r="R115" s="1522" t="s">
        <v>9110</v>
      </c>
      <c r="S115" s="1522" t="str">
        <f t="shared" si="14"/>
        <v>NIPLE PASAMURO CON ANILLO DE ANCLAJE HD BXL 100MM  L=0 a 1m PN 16 (incluye cargue, transporte y descargue) (incluye cargue, transporte y descargue)</v>
      </c>
    </row>
    <row r="116" spans="1:19" ht="26.25" x14ac:dyDescent="0.25">
      <c r="A116" s="1448" t="s">
        <v>8795</v>
      </c>
      <c r="B116" s="1412" t="s">
        <v>9692</v>
      </c>
      <c r="C116" s="1413" t="s">
        <v>5424</v>
      </c>
      <c r="D116" s="1418">
        <f t="shared" si="16"/>
        <v>222768</v>
      </c>
      <c r="E116" s="1414">
        <f t="shared" si="15"/>
        <v>11138.400000000001</v>
      </c>
      <c r="F116" s="1414">
        <f t="shared" si="12"/>
        <v>233906.4</v>
      </c>
      <c r="G116" s="1417" t="str">
        <f t="shared" si="13"/>
        <v>S.109</v>
      </c>
      <c r="H116" s="1518"/>
      <c r="I116" s="1480">
        <f t="shared" si="17"/>
        <v>222768</v>
      </c>
      <c r="M116" s="1480">
        <f>+M115*1.3</f>
        <v>187200</v>
      </c>
      <c r="N116" s="1452"/>
      <c r="R116" s="1522" t="s">
        <v>9110</v>
      </c>
      <c r="S116" s="1522" t="str">
        <f t="shared" si="14"/>
        <v>NIPLE PASAMURO CON ANILLO DE ANCLAJE HD BXL 100MM  L=0 a 1m PN 25 (incluye cargue, transporte y descargue) (incluye cargue, transporte y descargue)</v>
      </c>
    </row>
    <row r="117" spans="1:19" ht="26.25" x14ac:dyDescent="0.25">
      <c r="A117" s="1448" t="s">
        <v>8796</v>
      </c>
      <c r="B117" s="1412" t="s">
        <v>9693</v>
      </c>
      <c r="C117" s="1413" t="s">
        <v>5424</v>
      </c>
      <c r="D117" s="1418">
        <f t="shared" si="16"/>
        <v>289598.39999999997</v>
      </c>
      <c r="E117" s="1414">
        <f t="shared" si="15"/>
        <v>14479.919999999998</v>
      </c>
      <c r="F117" s="1414">
        <f t="shared" si="12"/>
        <v>304078.31999999995</v>
      </c>
      <c r="G117" s="1417" t="str">
        <f t="shared" si="13"/>
        <v>S.110</v>
      </c>
      <c r="H117" s="1518"/>
      <c r="I117" s="1480">
        <f t="shared" si="17"/>
        <v>289598.39999999997</v>
      </c>
      <c r="M117" s="1480">
        <f>+M116*1.3</f>
        <v>243360</v>
      </c>
      <c r="N117" s="1452"/>
      <c r="R117" s="1522" t="s">
        <v>9110</v>
      </c>
      <c r="S117" s="1522" t="str">
        <f t="shared" si="14"/>
        <v>NIPLE PASAMURO CON ANILLO DE ANCLAJE HD BXL 100MM  L=0 a 1m PN 40 (incluye cargue, transporte y descargue) (incluye cargue, transporte y descargue)</v>
      </c>
    </row>
    <row r="118" spans="1:19" ht="26.25" x14ac:dyDescent="0.25">
      <c r="A118" s="1448" t="s">
        <v>8797</v>
      </c>
      <c r="B118" s="1412" t="s">
        <v>9694</v>
      </c>
      <c r="C118" s="1413" t="s">
        <v>5424</v>
      </c>
      <c r="D118" s="1418">
        <f t="shared" si="16"/>
        <v>376477.92</v>
      </c>
      <c r="E118" s="1414">
        <f t="shared" si="15"/>
        <v>18823.896000000001</v>
      </c>
      <c r="F118" s="1414">
        <f t="shared" si="12"/>
        <v>395301.81599999999</v>
      </c>
      <c r="G118" s="1417" t="str">
        <f t="shared" si="13"/>
        <v>S.111</v>
      </c>
      <c r="H118" s="1518"/>
      <c r="I118" s="1480">
        <f t="shared" si="17"/>
        <v>376477.92</v>
      </c>
      <c r="M118" s="1612">
        <f>+M117*1.3</f>
        <v>316368</v>
      </c>
      <c r="N118" s="1452"/>
      <c r="O118" s="1615"/>
      <c r="R118" s="1522" t="s">
        <v>9110</v>
      </c>
      <c r="S118" s="1522" t="str">
        <f t="shared" si="14"/>
        <v>NIPLE PASAMURO CON ANILLO DE ANCLAJE HD BXL 100MM  L=0 a 1m PN 60 (incluye cargue, transporte y descargue) (incluye cargue, transporte y descargue)</v>
      </c>
    </row>
    <row r="119" spans="1:19" ht="26.25" x14ac:dyDescent="0.25">
      <c r="A119" s="1448" t="s">
        <v>8798</v>
      </c>
      <c r="B119" s="1412" t="s">
        <v>9695</v>
      </c>
      <c r="C119" s="1413" t="s">
        <v>5424</v>
      </c>
      <c r="D119" s="1418">
        <f t="shared" si="16"/>
        <v>214200</v>
      </c>
      <c r="E119" s="1414">
        <f t="shared" si="15"/>
        <v>10710</v>
      </c>
      <c r="F119" s="1414">
        <f t="shared" si="12"/>
        <v>224910</v>
      </c>
      <c r="G119" s="1417" t="str">
        <f t="shared" si="13"/>
        <v>S.112</v>
      </c>
      <c r="H119" s="1518"/>
      <c r="I119" s="1480">
        <f t="shared" si="17"/>
        <v>214200</v>
      </c>
      <c r="M119" s="1480">
        <f>+M99</f>
        <v>180000</v>
      </c>
      <c r="O119" s="1615"/>
      <c r="P119" s="1452"/>
      <c r="R119" s="1522" t="s">
        <v>9110</v>
      </c>
      <c r="S119" s="1522" t="str">
        <f t="shared" si="14"/>
        <v>NIPLE PASAMURO CON ANILLO DE ANCLAJE HD BXL 250MM  L=0 a 1m PN 10 (incluye cargue, transporte y descargue) (incluye cargue, transporte y descargue)</v>
      </c>
    </row>
    <row r="120" spans="1:19" ht="26.25" x14ac:dyDescent="0.25">
      <c r="A120" s="1448" t="s">
        <v>8799</v>
      </c>
      <c r="B120" s="1412" t="s">
        <v>9696</v>
      </c>
      <c r="C120" s="1413" t="s">
        <v>5424</v>
      </c>
      <c r="D120" s="1418">
        <f t="shared" si="16"/>
        <v>214200</v>
      </c>
      <c r="E120" s="1414">
        <f t="shared" si="15"/>
        <v>10710</v>
      </c>
      <c r="F120" s="1414">
        <f t="shared" si="12"/>
        <v>224910</v>
      </c>
      <c r="G120" s="1417" t="str">
        <f t="shared" si="13"/>
        <v>S.113</v>
      </c>
      <c r="H120" s="1518"/>
      <c r="I120" s="1480">
        <f t="shared" si="17"/>
        <v>214200</v>
      </c>
      <c r="M120" s="1480">
        <f>+M100</f>
        <v>180000</v>
      </c>
      <c r="O120" s="1615"/>
      <c r="P120" s="1452"/>
      <c r="R120" s="1522" t="s">
        <v>9110</v>
      </c>
      <c r="S120" s="1522" t="str">
        <f t="shared" si="14"/>
        <v>NIPLE PASAMURO CON ANILLO DE ANCLAJE HD BXL 250MM  L=0 a 1m PN 16 (incluye cargue, transporte y descargue) (incluye cargue, transporte y descargue)</v>
      </c>
    </row>
    <row r="121" spans="1:19" ht="26.25" x14ac:dyDescent="0.25">
      <c r="A121" s="1448" t="s">
        <v>8800</v>
      </c>
      <c r="B121" s="1412" t="s">
        <v>9707</v>
      </c>
      <c r="C121" s="1413" t="s">
        <v>5424</v>
      </c>
      <c r="D121" s="1418">
        <f t="shared" si="16"/>
        <v>214200</v>
      </c>
      <c r="E121" s="1414">
        <f t="shared" si="15"/>
        <v>10710</v>
      </c>
      <c r="F121" s="1414">
        <f t="shared" si="12"/>
        <v>224910</v>
      </c>
      <c r="G121" s="1417" t="str">
        <f t="shared" si="13"/>
        <v>S.114</v>
      </c>
      <c r="H121" s="1518"/>
      <c r="I121" s="1480">
        <f t="shared" si="17"/>
        <v>214200</v>
      </c>
      <c r="M121" s="1480">
        <f>+M101</f>
        <v>180000</v>
      </c>
      <c r="O121" s="1615"/>
      <c r="P121" s="1452"/>
      <c r="R121" s="1522" t="s">
        <v>9110</v>
      </c>
      <c r="S121" s="1522" t="str">
        <f t="shared" si="14"/>
        <v>NIPLE PASAMURO CON ANILLO DE ANCLAJE HD BXL 250MM  L=0 a 1m PN 25 (incluye cargue, transporte y descargue) (incluye cargue, transporte y descargue)</v>
      </c>
    </row>
    <row r="122" spans="1:19" ht="26.25" x14ac:dyDescent="0.25">
      <c r="A122" s="1448" t="s">
        <v>8801</v>
      </c>
      <c r="B122" s="1412" t="s">
        <v>9697</v>
      </c>
      <c r="C122" s="1413" t="s">
        <v>5424</v>
      </c>
      <c r="D122" s="1418">
        <f t="shared" si="16"/>
        <v>610020.17999999993</v>
      </c>
      <c r="E122" s="1414">
        <f t="shared" si="15"/>
        <v>30501.008999999998</v>
      </c>
      <c r="F122" s="1414">
        <f t="shared" si="12"/>
        <v>640521.1889999999</v>
      </c>
      <c r="G122" s="1417" t="str">
        <f t="shared" si="13"/>
        <v>S.115</v>
      </c>
      <c r="H122" s="1518"/>
      <c r="I122" s="1480">
        <f t="shared" si="17"/>
        <v>610020.17999999993</v>
      </c>
      <c r="M122" s="1480">
        <f>+M104</f>
        <v>512622</v>
      </c>
      <c r="O122" s="1615"/>
      <c r="P122" s="1452"/>
      <c r="R122" s="1522" t="s">
        <v>9110</v>
      </c>
      <c r="S122" s="1522" t="str">
        <f t="shared" si="14"/>
        <v>NIPLE PASAMURO CON ANILLO DE ANCLAJE HD BXL 350MM  L=0 a 1m PN 10 (incluye cargue, transporte y descargue) (incluye cargue, transporte y descargue)</v>
      </c>
    </row>
    <row r="123" spans="1:19" ht="26.25" x14ac:dyDescent="0.25">
      <c r="A123" s="1448" t="s">
        <v>8802</v>
      </c>
      <c r="B123" s="1412" t="s">
        <v>9698</v>
      </c>
      <c r="C123" s="1413" t="s">
        <v>5424</v>
      </c>
      <c r="D123" s="1418">
        <f t="shared" si="16"/>
        <v>610020.17999999993</v>
      </c>
      <c r="E123" s="1414">
        <f t="shared" si="15"/>
        <v>30501.008999999998</v>
      </c>
      <c r="F123" s="1414">
        <f t="shared" si="12"/>
        <v>640521.1889999999</v>
      </c>
      <c r="G123" s="1417" t="str">
        <f t="shared" si="13"/>
        <v>S.116</v>
      </c>
      <c r="H123" s="1518"/>
      <c r="I123" s="1480">
        <f t="shared" si="17"/>
        <v>610020.17999999993</v>
      </c>
      <c r="M123" s="1480">
        <f>+M105</f>
        <v>512622</v>
      </c>
      <c r="O123" s="1452"/>
      <c r="R123" s="1522" t="s">
        <v>9110</v>
      </c>
      <c r="S123" s="1522" t="str">
        <f t="shared" si="14"/>
        <v>NIPLE PASAMURO CON ANILLO DE ANCLAJE HD BXL 350MM  L=0 a 1m PN 16 (incluye cargue, transporte y descargue) (incluye cargue, transporte y descargue)</v>
      </c>
    </row>
    <row r="124" spans="1:19" ht="26.25" x14ac:dyDescent="0.25">
      <c r="A124" s="1448" t="s">
        <v>8803</v>
      </c>
      <c r="B124" s="1412" t="s">
        <v>9699</v>
      </c>
      <c r="C124" s="1413" t="s">
        <v>5424</v>
      </c>
      <c r="D124" s="1418">
        <f t="shared" si="16"/>
        <v>1030934.1042000001</v>
      </c>
      <c r="E124" s="1414">
        <f t="shared" si="15"/>
        <v>51546.705210000007</v>
      </c>
      <c r="F124" s="1414">
        <f t="shared" si="12"/>
        <v>1082480.80941</v>
      </c>
      <c r="G124" s="1417" t="str">
        <f t="shared" si="13"/>
        <v>S.117</v>
      </c>
      <c r="H124" s="1518"/>
      <c r="I124" s="1480">
        <f t="shared" si="17"/>
        <v>1030934.1042000001</v>
      </c>
      <c r="M124" s="1480">
        <f t="shared" ref="M124:M130" si="18">+M107</f>
        <v>866331.18</v>
      </c>
      <c r="O124" s="1452"/>
      <c r="R124" s="1522" t="s">
        <v>9110</v>
      </c>
      <c r="S124" s="1522" t="str">
        <f t="shared" si="14"/>
        <v>NIPLE PASAMURO CON ANILLO DE ANCLAJE HD BXL 350MM  L=0 a 1m PN 40 (incluye cargue, transporte y descargue) (incluye cargue, transporte y descargue)</v>
      </c>
    </row>
    <row r="125" spans="1:19" ht="26.25" x14ac:dyDescent="0.25">
      <c r="A125" s="1448" t="s">
        <v>8804</v>
      </c>
      <c r="B125" s="1412" t="s">
        <v>9700</v>
      </c>
      <c r="C125" s="1413" t="s">
        <v>5424</v>
      </c>
      <c r="D125" s="1418">
        <f t="shared" si="16"/>
        <v>732024.21600000001</v>
      </c>
      <c r="E125" s="1414">
        <f t="shared" si="15"/>
        <v>36601.210800000001</v>
      </c>
      <c r="F125" s="1414">
        <f t="shared" si="12"/>
        <v>768625.42680000002</v>
      </c>
      <c r="G125" s="1417" t="str">
        <f t="shared" si="13"/>
        <v>S.118</v>
      </c>
      <c r="H125" s="1518"/>
      <c r="I125" s="1480">
        <f t="shared" si="17"/>
        <v>732024.21600000001</v>
      </c>
      <c r="M125" s="1480">
        <f t="shared" si="18"/>
        <v>615146.4</v>
      </c>
      <c r="O125" s="1452"/>
      <c r="R125" s="1522" t="s">
        <v>9110</v>
      </c>
      <c r="S125" s="1522" t="str">
        <f t="shared" si="14"/>
        <v>NIPLE PASAMURO CON ANILLO DE ANCLAJE HD BXL 350MM  L=0 a 1m PN 60 (incluye cargue, transporte y descargue) (incluye cargue, transporte y descargue)</v>
      </c>
    </row>
    <row r="126" spans="1:19" ht="26.25" x14ac:dyDescent="0.25">
      <c r="A126" s="1448" t="s">
        <v>8805</v>
      </c>
      <c r="B126" s="1412" t="s">
        <v>9701</v>
      </c>
      <c r="C126" s="1413" t="s">
        <v>5424</v>
      </c>
      <c r="D126" s="1418">
        <f t="shared" si="16"/>
        <v>732024.21600000001</v>
      </c>
      <c r="E126" s="1414">
        <f t="shared" si="15"/>
        <v>36601.210800000001</v>
      </c>
      <c r="F126" s="1414">
        <f t="shared" si="12"/>
        <v>768625.42680000002</v>
      </c>
      <c r="G126" s="1417" t="str">
        <f t="shared" si="13"/>
        <v>S.119</v>
      </c>
      <c r="H126" s="1518"/>
      <c r="I126" s="1480">
        <f t="shared" si="17"/>
        <v>732024.21600000001</v>
      </c>
      <c r="M126" s="1480">
        <f t="shared" si="18"/>
        <v>615146.4</v>
      </c>
      <c r="R126" s="1522" t="s">
        <v>9110</v>
      </c>
      <c r="S126" s="1522" t="str">
        <f t="shared" si="14"/>
        <v>NIPLE PASAMURO CON ANILLO DE ANCLAJE HD BXL 400MM  L=0 a 1m PN 10 (incluye cargue, transporte y descargue) (incluye cargue, transporte y descargue)</v>
      </c>
    </row>
    <row r="127" spans="1:19" ht="26.25" x14ac:dyDescent="0.25">
      <c r="A127" s="1448" t="s">
        <v>8806</v>
      </c>
      <c r="B127" s="1412" t="s">
        <v>9702</v>
      </c>
      <c r="C127" s="1413" t="s">
        <v>5424</v>
      </c>
      <c r="D127" s="1418">
        <f t="shared" si="16"/>
        <v>732024.21600000001</v>
      </c>
      <c r="E127" s="1414">
        <f t="shared" si="15"/>
        <v>36601.210800000001</v>
      </c>
      <c r="F127" s="1414">
        <f t="shared" si="12"/>
        <v>768625.42680000002</v>
      </c>
      <c r="G127" s="1417" t="str">
        <f t="shared" si="13"/>
        <v>S.120</v>
      </c>
      <c r="H127" s="1518"/>
      <c r="I127" s="1480">
        <f t="shared" si="17"/>
        <v>732024.21600000001</v>
      </c>
      <c r="M127" s="1480">
        <f t="shared" si="18"/>
        <v>615146.4</v>
      </c>
      <c r="O127" s="1452"/>
      <c r="R127" s="1522" t="s">
        <v>9110</v>
      </c>
      <c r="S127" s="1522" t="str">
        <f t="shared" si="14"/>
        <v>NIPLE PASAMURO CON ANILLO DE ANCLAJE HD BXL 400MM  L=0 a 1m PN 16 (incluye cargue, transporte y descargue) (incluye cargue, transporte y descargue)</v>
      </c>
    </row>
    <row r="128" spans="1:19" s="1452" customFormat="1" ht="26.25" x14ac:dyDescent="0.25">
      <c r="A128" s="1448" t="s">
        <v>8807</v>
      </c>
      <c r="B128" s="1412" t="s">
        <v>9703</v>
      </c>
      <c r="C128" s="1413" t="s">
        <v>5424</v>
      </c>
      <c r="D128" s="1418">
        <f t="shared" si="16"/>
        <v>951631.4807999999</v>
      </c>
      <c r="E128" s="1414">
        <f t="shared" si="15"/>
        <v>47581.57404</v>
      </c>
      <c r="F128" s="1414">
        <f t="shared" si="12"/>
        <v>999213.05483999988</v>
      </c>
      <c r="G128" s="1417" t="str">
        <f t="shared" si="13"/>
        <v>S.121</v>
      </c>
      <c r="H128" s="1518"/>
      <c r="I128" s="1480">
        <f t="shared" si="17"/>
        <v>951631.4807999999</v>
      </c>
      <c r="K128" s="1480"/>
      <c r="L128" s="1480"/>
      <c r="M128" s="1480">
        <f t="shared" si="18"/>
        <v>799690.32</v>
      </c>
      <c r="N128" s="1480"/>
      <c r="O128" s="1448"/>
      <c r="R128" s="1522" t="s">
        <v>9110</v>
      </c>
      <c r="S128" s="1522" t="str">
        <f t="shared" si="14"/>
        <v>NIPLE PASAMURO CON ANILLO DE ANCLAJE HD BXL 400MM  L=0 a 1m PN 25 (incluye cargue, transporte y descargue) (incluye cargue, transporte y descargue)</v>
      </c>
    </row>
    <row r="129" spans="1:19" ht="26.25" x14ac:dyDescent="0.25">
      <c r="A129" s="1448" t="s">
        <v>8808</v>
      </c>
      <c r="B129" s="1412" t="s">
        <v>9704</v>
      </c>
      <c r="C129" s="1413" t="s">
        <v>5424</v>
      </c>
      <c r="D129" s="1418">
        <f t="shared" si="16"/>
        <v>1237120.9250399999</v>
      </c>
      <c r="E129" s="1414">
        <f t="shared" si="15"/>
        <v>61856.046252</v>
      </c>
      <c r="F129" s="1414">
        <f t="shared" si="12"/>
        <v>1298976.9712919998</v>
      </c>
      <c r="G129" s="1417" t="str">
        <f t="shared" si="13"/>
        <v>S.122</v>
      </c>
      <c r="H129" s="1518"/>
      <c r="I129" s="1480">
        <f t="shared" si="17"/>
        <v>1237120.9250399999</v>
      </c>
      <c r="M129" s="1480">
        <f t="shared" si="18"/>
        <v>1039597.416</v>
      </c>
      <c r="O129" s="1615"/>
      <c r="R129" s="1522" t="s">
        <v>9110</v>
      </c>
      <c r="S129" s="1522" t="str">
        <f t="shared" si="14"/>
        <v>NIPLE PASAMURO CON ANILLO DE ANCLAJE HD BXL 400MM  L=0 a 1m PN 40 (incluye cargue, transporte y descargue) (incluye cargue, transporte y descargue)</v>
      </c>
    </row>
    <row r="130" spans="1:19" ht="26.25" x14ac:dyDescent="0.25">
      <c r="A130" s="1448" t="s">
        <v>8809</v>
      </c>
      <c r="B130" s="1412" t="s">
        <v>9705</v>
      </c>
      <c r="C130" s="1413" t="s">
        <v>5424</v>
      </c>
      <c r="D130" s="1418">
        <f t="shared" si="16"/>
        <v>1484545.1100479998</v>
      </c>
      <c r="E130" s="1414">
        <f t="shared" si="15"/>
        <v>74227.255502399988</v>
      </c>
      <c r="F130" s="1414">
        <f t="shared" si="12"/>
        <v>1558772.3655503998</v>
      </c>
      <c r="G130" s="1417" t="str">
        <f t="shared" si="13"/>
        <v>S.123</v>
      </c>
      <c r="H130" s="1518"/>
      <c r="I130" s="1480">
        <f t="shared" si="17"/>
        <v>1484545.1100479998</v>
      </c>
      <c r="M130" s="1480">
        <f t="shared" si="18"/>
        <v>1247516.8991999999</v>
      </c>
      <c r="O130" s="1615"/>
      <c r="R130" s="1522" t="s">
        <v>9110</v>
      </c>
      <c r="S130" s="1522" t="str">
        <f t="shared" si="14"/>
        <v>NIPLE PASAMURO CON ANILLO DE ANCLAJE HD BXL 400MM  L=0 a 1m PN 60 (incluye cargue, transporte y descargue) (incluye cargue, transporte y descargue)</v>
      </c>
    </row>
    <row r="131" spans="1:19" ht="25.5" x14ac:dyDescent="0.25">
      <c r="A131" s="1448" t="s">
        <v>8810</v>
      </c>
      <c r="B131" s="1423" t="s">
        <v>9706</v>
      </c>
      <c r="C131" s="1413" t="s">
        <v>5424</v>
      </c>
      <c r="D131" s="1418">
        <f t="shared" si="16"/>
        <v>1484545.1100479998</v>
      </c>
      <c r="E131" s="1414">
        <f t="shared" si="15"/>
        <v>74227.255502399988</v>
      </c>
      <c r="F131" s="1414">
        <f t="shared" si="12"/>
        <v>1558772.3655503998</v>
      </c>
      <c r="G131" s="1417" t="str">
        <f t="shared" si="13"/>
        <v>S.124</v>
      </c>
      <c r="H131" s="1601"/>
      <c r="I131" s="1480">
        <f t="shared" si="17"/>
        <v>1484545.1100479998</v>
      </c>
      <c r="M131" s="1480">
        <f>1039597.416*1.2</f>
        <v>1247516.8991999999</v>
      </c>
      <c r="O131" s="1615"/>
      <c r="R131" s="1522" t="s">
        <v>9110</v>
      </c>
      <c r="S131" s="1522" t="str">
        <f t="shared" si="14"/>
        <v>NIPLE PASAMURO CON ANILLO DE ANCLAJE HD BXL 500MM  L=0 a 1m PN 25 (incluye cargue, transporte y descargue) (incluye cargue, transporte y descargue)</v>
      </c>
    </row>
    <row r="132" spans="1:19" x14ac:dyDescent="0.25">
      <c r="A132" s="1448" t="s">
        <v>8811</v>
      </c>
      <c r="B132" s="1412" t="s">
        <v>9162</v>
      </c>
      <c r="C132" s="1413" t="s">
        <v>5424</v>
      </c>
      <c r="D132" s="1418">
        <f t="shared" si="16"/>
        <v>375921</v>
      </c>
      <c r="E132" s="1414">
        <f t="shared" si="15"/>
        <v>18796.05</v>
      </c>
      <c r="F132" s="1414">
        <f t="shared" si="12"/>
        <v>394717.05</v>
      </c>
      <c r="G132" s="1417" t="str">
        <f t="shared" si="13"/>
        <v>S.125</v>
      </c>
      <c r="H132" s="1518"/>
      <c r="I132" s="1480">
        <f t="shared" si="17"/>
        <v>375921</v>
      </c>
      <c r="M132" s="1614"/>
      <c r="O132" s="1520">
        <v>315900</v>
      </c>
      <c r="R132" s="1522" t="s">
        <v>9110</v>
      </c>
      <c r="S132" s="1522" t="str">
        <f t="shared" si="14"/>
        <v>NIPLE PASAMURO HD BB 100mm L=0 a 1m (incluye cargue, transporte y descargue) (incluye cargue, transporte y descargue)</v>
      </c>
    </row>
    <row r="133" spans="1:19" x14ac:dyDescent="0.25">
      <c r="A133" s="1448" t="s">
        <v>8812</v>
      </c>
      <c r="B133" s="1412" t="s">
        <v>9163</v>
      </c>
      <c r="C133" s="1413" t="s">
        <v>5424</v>
      </c>
      <c r="D133" s="1418">
        <f t="shared" si="16"/>
        <v>639065.69999999995</v>
      </c>
      <c r="E133" s="1414">
        <f t="shared" si="15"/>
        <v>31953.285</v>
      </c>
      <c r="F133" s="1414">
        <f t="shared" si="12"/>
        <v>671018.98499999999</v>
      </c>
      <c r="G133" s="1417" t="str">
        <f t="shared" si="13"/>
        <v>S.126</v>
      </c>
      <c r="H133" s="1518"/>
      <c r="I133" s="1480">
        <f t="shared" si="17"/>
        <v>639065.69999999995</v>
      </c>
      <c r="O133" s="1614">
        <v>537030</v>
      </c>
      <c r="R133" s="1522" t="s">
        <v>9110</v>
      </c>
      <c r="S133" s="1522" t="str">
        <f t="shared" si="14"/>
        <v>NIPLE PASAMURO HD BB 150mm L=0 a 1m (incluye cargue, transporte y descargue) (incluye cargue, transporte y descargue)</v>
      </c>
    </row>
    <row r="134" spans="1:19" x14ac:dyDescent="0.25">
      <c r="A134" s="1448" t="s">
        <v>8813</v>
      </c>
      <c r="B134" s="1412" t="s">
        <v>9336</v>
      </c>
      <c r="C134" s="1413" t="s">
        <v>5424</v>
      </c>
      <c r="D134" s="1418">
        <f t="shared" si="16"/>
        <v>834544.62</v>
      </c>
      <c r="E134" s="1414">
        <f t="shared" si="15"/>
        <v>41727.231</v>
      </c>
      <c r="F134" s="1414">
        <f t="shared" ref="F134:F197" si="19">+E134+D134</f>
        <v>876271.85100000002</v>
      </c>
      <c r="G134" s="1417" t="str">
        <f t="shared" si="13"/>
        <v>S.127</v>
      </c>
      <c r="H134" s="1518"/>
      <c r="I134" s="1480">
        <f t="shared" si="17"/>
        <v>834544.62</v>
      </c>
      <c r="O134" s="1614">
        <v>701298</v>
      </c>
      <c r="R134" s="1522" t="s">
        <v>9110</v>
      </c>
      <c r="S134" s="1522" t="str">
        <f t="shared" si="14"/>
        <v>NIPLE PASAMURO HD BB 200mm L=0 a 1m (incluye cargue, transporte y descargue) (incluye cargue, transporte y descargue)</v>
      </c>
    </row>
    <row r="135" spans="1:19" x14ac:dyDescent="0.25">
      <c r="A135" s="1448" t="s">
        <v>8814</v>
      </c>
      <c r="B135" s="1412" t="s">
        <v>9136</v>
      </c>
      <c r="C135" s="1413" t="s">
        <v>5424</v>
      </c>
      <c r="D135" s="1418">
        <f t="shared" si="16"/>
        <v>1120244.58</v>
      </c>
      <c r="E135" s="1414">
        <f t="shared" si="15"/>
        <v>56012.229000000007</v>
      </c>
      <c r="F135" s="1414">
        <f t="shared" si="19"/>
        <v>1176256.8090000001</v>
      </c>
      <c r="G135" s="1417" t="str">
        <f t="shared" ref="G135:G198" si="20">+A135</f>
        <v>S.128</v>
      </c>
      <c r="H135" s="1518"/>
      <c r="I135" s="1480">
        <f t="shared" si="17"/>
        <v>1120244.58</v>
      </c>
      <c r="O135" s="1614">
        <v>941382.00000000012</v>
      </c>
      <c r="R135" s="1522" t="s">
        <v>9110</v>
      </c>
      <c r="S135" s="1522" t="str">
        <f t="shared" ref="S135:S197" si="21">+CONCATENATE(B135," ",R135)</f>
        <v>NIPLE PASAMURO HD BB 250mm L=0 a 1m (incluye cargue, transporte y descargue) (incluye cargue, transporte y descargue)</v>
      </c>
    </row>
    <row r="136" spans="1:19" s="1452" customFormat="1" x14ac:dyDescent="0.25">
      <c r="A136" s="1448" t="s">
        <v>8815</v>
      </c>
      <c r="B136" s="1412" t="s">
        <v>9300</v>
      </c>
      <c r="C136" s="1413" t="s">
        <v>5424</v>
      </c>
      <c r="D136" s="1418">
        <v>1778106.33</v>
      </c>
      <c r="E136" s="1414">
        <f t="shared" ref="E136:E199" si="22">+D136*$E$6</f>
        <v>88905.316500000015</v>
      </c>
      <c r="F136" s="1414">
        <f t="shared" si="19"/>
        <v>1867011.6465</v>
      </c>
      <c r="G136" s="1417" t="str">
        <f t="shared" si="20"/>
        <v>S.129</v>
      </c>
      <c r="H136" s="1518"/>
      <c r="I136" s="1480"/>
      <c r="K136" s="1480"/>
      <c r="L136" s="1480"/>
      <c r="M136" s="1480"/>
      <c r="N136" s="1480"/>
      <c r="O136" s="1614"/>
      <c r="R136" s="1522" t="s">
        <v>9110</v>
      </c>
      <c r="S136" s="1522" t="str">
        <f t="shared" si="21"/>
        <v>NIPLE PASAMURO HD BB 300mm L=0 a 1m (incluye cargue, transporte y descargue) (incluye cargue, transporte y descargue)</v>
      </c>
    </row>
    <row r="137" spans="1:19" x14ac:dyDescent="0.25">
      <c r="A137" s="1448" t="s">
        <v>8816</v>
      </c>
      <c r="B137" s="1412" t="s">
        <v>9114</v>
      </c>
      <c r="C137" s="1413" t="s">
        <v>5424</v>
      </c>
      <c r="D137" s="1418">
        <f t="shared" si="16"/>
        <v>2435968.08</v>
      </c>
      <c r="E137" s="1414">
        <f t="shared" si="22"/>
        <v>121798.40400000001</v>
      </c>
      <c r="F137" s="1414">
        <f t="shared" si="19"/>
        <v>2557766.4840000002</v>
      </c>
      <c r="G137" s="1417" t="str">
        <f t="shared" si="20"/>
        <v>S.130</v>
      </c>
      <c r="H137" s="1518"/>
      <c r="I137" s="1480">
        <f t="shared" si="17"/>
        <v>2435968.08</v>
      </c>
      <c r="O137" s="1614">
        <v>2047032.0000000002</v>
      </c>
      <c r="R137" s="1522" t="s">
        <v>9110</v>
      </c>
      <c r="S137" s="1522" t="str">
        <f t="shared" si="21"/>
        <v>NIPLE PASAMURO HD BB 500mm L=0 a 1m (incluye cargue, transporte y descargue) (incluye cargue, transporte y descargue)</v>
      </c>
    </row>
    <row r="138" spans="1:19" ht="16.5" x14ac:dyDescent="0.3">
      <c r="A138" s="1448" t="s">
        <v>8817</v>
      </c>
      <c r="B138" s="1081" t="s">
        <v>9287</v>
      </c>
      <c r="C138" s="1076" t="s">
        <v>5424</v>
      </c>
      <c r="D138" s="1389">
        <v>6007796</v>
      </c>
      <c r="E138" s="1414">
        <f t="shared" si="22"/>
        <v>300389.8</v>
      </c>
      <c r="F138" s="1414">
        <f t="shared" si="19"/>
        <v>6308185.7999999998</v>
      </c>
      <c r="G138" s="1417" t="str">
        <f t="shared" si="20"/>
        <v>S.131</v>
      </c>
      <c r="H138" s="1601"/>
      <c r="R138" s="1522" t="s">
        <v>9110</v>
      </c>
      <c r="S138" s="1522" t="str">
        <f t="shared" si="21"/>
        <v>Niples en HD 12" (300 mm) EB x EB L= 2,00 a 3,00 m  (incluye cargue, transporte y descargue) (incluye cargue, transporte y descargue)</v>
      </c>
    </row>
    <row r="139" spans="1:19" ht="16.5" x14ac:dyDescent="0.3">
      <c r="A139" s="1448" t="s">
        <v>8818</v>
      </c>
      <c r="B139" s="1462" t="s">
        <v>9285</v>
      </c>
      <c r="C139" s="1076" t="s">
        <v>5424</v>
      </c>
      <c r="D139" s="1389">
        <v>2360206</v>
      </c>
      <c r="E139" s="1414">
        <f t="shared" si="22"/>
        <v>118010.3</v>
      </c>
      <c r="F139" s="1414">
        <f t="shared" si="19"/>
        <v>2478216.2999999998</v>
      </c>
      <c r="G139" s="1417" t="str">
        <f t="shared" si="20"/>
        <v>S.132</v>
      </c>
      <c r="H139" s="1601"/>
      <c r="R139" s="1522" t="s">
        <v>9110</v>
      </c>
      <c r="S139" s="1522" t="str">
        <f t="shared" si="21"/>
        <v>Niples en HD 12" (300 mm) EB x EL L= 0,00 a 1,00 m  (incluye cargue, transporte y descargue) (incluye cargue, transporte y descargue)</v>
      </c>
    </row>
    <row r="140" spans="1:19" ht="16.5" x14ac:dyDescent="0.3">
      <c r="A140" s="1448" t="s">
        <v>8819</v>
      </c>
      <c r="B140" s="1462" t="s">
        <v>9286</v>
      </c>
      <c r="C140" s="1076" t="s">
        <v>5424</v>
      </c>
      <c r="D140" s="1389">
        <v>4195921</v>
      </c>
      <c r="E140" s="1414">
        <f t="shared" si="22"/>
        <v>209796.05000000002</v>
      </c>
      <c r="F140" s="1414">
        <f t="shared" si="19"/>
        <v>4405717.05</v>
      </c>
      <c r="G140" s="1417" t="str">
        <f t="shared" si="20"/>
        <v>S.133</v>
      </c>
      <c r="H140" s="1601"/>
      <c r="R140" s="1522" t="s">
        <v>9110</v>
      </c>
      <c r="S140" s="1522" t="str">
        <f t="shared" si="21"/>
        <v>Niples en HD 12" (300 mm) EB x EL L= 1,00 a 2,00 m  (incluye cargue, transporte y descargue) (incluye cargue, transporte y descargue)</v>
      </c>
    </row>
    <row r="141" spans="1:19" ht="16.5" x14ac:dyDescent="0.3">
      <c r="A141" s="1448" t="s">
        <v>8820</v>
      </c>
      <c r="B141" s="1081" t="s">
        <v>9291</v>
      </c>
      <c r="C141" s="1076" t="s">
        <v>5424</v>
      </c>
      <c r="D141" s="1389">
        <v>2675429</v>
      </c>
      <c r="E141" s="1414">
        <f t="shared" si="22"/>
        <v>133771.45000000001</v>
      </c>
      <c r="F141" s="1414">
        <f t="shared" si="19"/>
        <v>2809200.45</v>
      </c>
      <c r="G141" s="1417" t="str">
        <f t="shared" si="20"/>
        <v>S.134</v>
      </c>
      <c r="H141" s="1601"/>
      <c r="R141" s="1522" t="s">
        <v>9110</v>
      </c>
      <c r="S141" s="1522" t="str">
        <f t="shared" si="21"/>
        <v>Pasamuro HF de 12" EBXEB L = 0,50 a 1,00 m  (incluye cargue, transporte y descargue) (incluye cargue, transporte y descargue)</v>
      </c>
    </row>
    <row r="142" spans="1:19" ht="16.5" x14ac:dyDescent="0.3">
      <c r="A142" s="1448" t="s">
        <v>8821</v>
      </c>
      <c r="B142" s="1081" t="s">
        <v>9289</v>
      </c>
      <c r="C142" s="1076" t="s">
        <v>5424</v>
      </c>
      <c r="D142" s="1389">
        <v>2176766</v>
      </c>
      <c r="E142" s="1414">
        <f t="shared" si="22"/>
        <v>108838.3</v>
      </c>
      <c r="F142" s="1414">
        <f t="shared" si="19"/>
        <v>2285604.2999999998</v>
      </c>
      <c r="G142" s="1417" t="str">
        <f t="shared" si="20"/>
        <v>S.135</v>
      </c>
      <c r="H142" s="1601"/>
      <c r="R142" s="1522" t="s">
        <v>9110</v>
      </c>
      <c r="S142" s="1522" t="str">
        <f t="shared" si="21"/>
        <v>Pasamuro HF de 14" ELXEL L = 0 a 0,50 m (incluye cargue, transporte y descargue) (incluye cargue, transporte y descargue)</v>
      </c>
    </row>
    <row r="143" spans="1:19" ht="16.5" x14ac:dyDescent="0.3">
      <c r="A143" s="1448" t="s">
        <v>8822</v>
      </c>
      <c r="B143" s="1081" t="s">
        <v>9290</v>
      </c>
      <c r="C143" s="1076" t="s">
        <v>5424</v>
      </c>
      <c r="D143" s="1389">
        <v>654288</v>
      </c>
      <c r="E143" s="1414">
        <f t="shared" si="22"/>
        <v>32714.400000000001</v>
      </c>
      <c r="F143" s="1414">
        <f t="shared" si="19"/>
        <v>687002.4</v>
      </c>
      <c r="G143" s="1417" t="str">
        <f t="shared" si="20"/>
        <v>S.136</v>
      </c>
      <c r="H143" s="1601"/>
      <c r="R143" s="1522" t="s">
        <v>9110</v>
      </c>
      <c r="S143" s="1522" t="str">
        <f t="shared" si="21"/>
        <v>Pasamuro HF de 4" ELXEL L= 0,50 a 1,00 m (incluye cargue, transporte y descargue) (incluye cargue, transporte y descargue)</v>
      </c>
    </row>
    <row r="144" spans="1:19" s="1452" customFormat="1" ht="16.5" x14ac:dyDescent="0.3">
      <c r="A144" s="1448" t="s">
        <v>8823</v>
      </c>
      <c r="B144" s="1462" t="s">
        <v>9355</v>
      </c>
      <c r="C144" s="1413" t="s">
        <v>5424</v>
      </c>
      <c r="D144" s="1418">
        <f>1689502.5*0.6</f>
        <v>1013701.5</v>
      </c>
      <c r="E144" s="1414">
        <f t="shared" si="22"/>
        <v>50685.075000000004</v>
      </c>
      <c r="F144" s="1414">
        <f t="shared" ref="F144" si="23">+E144+D144</f>
        <v>1064386.575</v>
      </c>
      <c r="G144" s="1417" t="str">
        <f t="shared" si="20"/>
        <v>S.137</v>
      </c>
      <c r="H144" s="1518"/>
      <c r="I144" s="1480"/>
      <c r="K144" s="1480"/>
      <c r="L144" s="1480"/>
      <c r="M144" s="1480"/>
      <c r="N144" s="1480"/>
      <c r="R144" s="1522"/>
      <c r="S144" s="1522"/>
    </row>
    <row r="145" spans="1:19" x14ac:dyDescent="0.25">
      <c r="A145" s="1448" t="s">
        <v>8824</v>
      </c>
      <c r="B145" s="1420" t="s">
        <v>9183</v>
      </c>
      <c r="C145" s="1413" t="s">
        <v>5424</v>
      </c>
      <c r="D145" s="1418">
        <f>+I145</f>
        <v>1689502.5</v>
      </c>
      <c r="E145" s="1414">
        <f t="shared" si="22"/>
        <v>84475.125</v>
      </c>
      <c r="F145" s="1414">
        <f t="shared" si="19"/>
        <v>1773977.625</v>
      </c>
      <c r="G145" s="1417" t="str">
        <f t="shared" si="20"/>
        <v>S.138</v>
      </c>
      <c r="H145" s="1518"/>
      <c r="I145" s="1480">
        <f>+AVERAGE(K145:O145)*1.19</f>
        <v>1689502.5</v>
      </c>
      <c r="K145" s="1480">
        <v>1523500</v>
      </c>
      <c r="L145" s="1480">
        <v>1316000</v>
      </c>
      <c r="N145" s="1452"/>
      <c r="R145" s="1522" t="s">
        <v>9110</v>
      </c>
      <c r="S145" s="1522" t="str">
        <f t="shared" si="21"/>
        <v>REDUCCION  AMPLIACION HD EL 350MM X 250MM  (incluye cargue, transporte y descargue) (incluye cargue, transporte y descargue)</v>
      </c>
    </row>
    <row r="146" spans="1:19" ht="20.25" customHeight="1" x14ac:dyDescent="0.25">
      <c r="A146" s="1448" t="s">
        <v>8825</v>
      </c>
      <c r="B146" s="1420" t="s">
        <v>9318</v>
      </c>
      <c r="C146" s="1417" t="s">
        <v>5424</v>
      </c>
      <c r="D146" s="1418">
        <v>1689502.5</v>
      </c>
      <c r="E146" s="1418">
        <f t="shared" si="22"/>
        <v>84475.125</v>
      </c>
      <c r="F146" s="1414">
        <f t="shared" si="19"/>
        <v>1773977.625</v>
      </c>
      <c r="G146" s="1417" t="str">
        <f t="shared" si="20"/>
        <v>S.139</v>
      </c>
      <c r="H146" s="1601"/>
      <c r="R146" s="1522" t="s">
        <v>9110</v>
      </c>
      <c r="S146" s="1522" t="str">
        <f t="shared" si="21"/>
        <v>REDUCCION 250 x 150 BXB (incluye cargue, transporte y descargue) (incluye cargue, transporte y descargue)</v>
      </c>
    </row>
    <row r="147" spans="1:19" x14ac:dyDescent="0.25">
      <c r="A147" s="1448" t="s">
        <v>8826</v>
      </c>
      <c r="B147" s="1420" t="s">
        <v>9157</v>
      </c>
      <c r="C147" s="1413" t="s">
        <v>5424</v>
      </c>
      <c r="D147" s="1418">
        <f>+I147</f>
        <v>1937201</v>
      </c>
      <c r="E147" s="1414">
        <f t="shared" si="22"/>
        <v>96860.05</v>
      </c>
      <c r="F147" s="1414">
        <f t="shared" si="19"/>
        <v>2034061.05</v>
      </c>
      <c r="G147" s="1417" t="str">
        <f t="shared" si="20"/>
        <v>S.140</v>
      </c>
      <c r="H147" s="1518"/>
      <c r="I147" s="1480">
        <f>+AVERAGE(K147:O147)*1.19</f>
        <v>1937201</v>
      </c>
      <c r="K147" s="1480">
        <v>1746800</v>
      </c>
      <c r="L147" s="1480">
        <v>1509000</v>
      </c>
      <c r="N147" s="1452"/>
      <c r="R147" s="1522" t="s">
        <v>9110</v>
      </c>
      <c r="S147" s="1522" t="str">
        <f t="shared" si="21"/>
        <v>REDUCCION AMPLIACION HD BXB 250MM X 350MM (incluye cargue, transporte y descargue) (incluye cargue, transporte y descargue)</v>
      </c>
    </row>
    <row r="148" spans="1:19" x14ac:dyDescent="0.25">
      <c r="A148" s="1448" t="s">
        <v>8827</v>
      </c>
      <c r="B148" s="1448" t="s">
        <v>9158</v>
      </c>
      <c r="C148" s="1413" t="s">
        <v>5424</v>
      </c>
      <c r="D148" s="1418">
        <f>+I148</f>
        <v>2444498</v>
      </c>
      <c r="E148" s="1414">
        <f t="shared" si="22"/>
        <v>122224.90000000001</v>
      </c>
      <c r="F148" s="1414">
        <f t="shared" si="19"/>
        <v>2566722.9</v>
      </c>
      <c r="G148" s="1417" t="str">
        <f t="shared" si="20"/>
        <v>S.141</v>
      </c>
      <c r="H148" s="1518"/>
      <c r="I148" s="1480">
        <f>+AVERAGE(K148:O148)*1.19</f>
        <v>2444498</v>
      </c>
      <c r="K148" s="1480">
        <v>2204400</v>
      </c>
      <c r="L148" s="1480">
        <v>1904000</v>
      </c>
      <c r="N148" s="1452"/>
      <c r="R148" s="1522" t="s">
        <v>9110</v>
      </c>
      <c r="S148" s="1522" t="str">
        <f t="shared" si="21"/>
        <v>REDUCCION AMPLIACION HD BXB 400MM X 250MM (incluye cargue, transporte y descargue) (incluye cargue, transporte y descargue)</v>
      </c>
    </row>
    <row r="149" spans="1:19" ht="36" customHeight="1" x14ac:dyDescent="0.3">
      <c r="A149" s="1448" t="s">
        <v>8828</v>
      </c>
      <c r="B149" s="1448" t="s">
        <v>9302</v>
      </c>
      <c r="C149" s="1413" t="s">
        <v>5424</v>
      </c>
      <c r="D149" s="1418">
        <f>+I149</f>
        <v>4737390</v>
      </c>
      <c r="E149" s="1414">
        <f t="shared" si="22"/>
        <v>236869.5</v>
      </c>
      <c r="F149" s="1414">
        <f t="shared" si="19"/>
        <v>4974259.5</v>
      </c>
      <c r="G149" s="1417" t="str">
        <f t="shared" si="20"/>
        <v>S.142</v>
      </c>
      <c r="H149" s="1518"/>
      <c r="I149" s="1480">
        <f>+AVERAGE(K149:O149)*1.19</f>
        <v>4737390</v>
      </c>
      <c r="N149" s="1452"/>
      <c r="O149" s="1617">
        <v>3981000</v>
      </c>
      <c r="R149" s="1522" t="s">
        <v>9110</v>
      </c>
      <c r="S149" s="1522" t="str">
        <f t="shared" si="21"/>
        <v>REDUCCION AMPLIACION HD BXB 500MM X300MM (incluye cargue, transporte y descargue) (incluye cargue, transporte y descargue)</v>
      </c>
    </row>
    <row r="150" spans="1:19" ht="16.5" x14ac:dyDescent="0.3">
      <c r="A150" s="1448" t="s">
        <v>8829</v>
      </c>
      <c r="B150" s="1466" t="s">
        <v>9169</v>
      </c>
      <c r="C150" s="1413" t="s">
        <v>5424</v>
      </c>
      <c r="D150" s="1418">
        <f>+I150</f>
        <v>2109334.5</v>
      </c>
      <c r="E150" s="1414">
        <f t="shared" si="22"/>
        <v>105466.72500000001</v>
      </c>
      <c r="F150" s="1414">
        <f t="shared" si="19"/>
        <v>2214801.2250000001</v>
      </c>
      <c r="G150" s="1417" t="str">
        <f t="shared" si="20"/>
        <v>S.143</v>
      </c>
      <c r="H150" s="1518"/>
      <c r="I150" s="1480">
        <f>+AVERAGE(K150:O150)*1.19</f>
        <v>2109334.5</v>
      </c>
      <c r="K150" s="1480">
        <v>2036100</v>
      </c>
      <c r="L150" s="1480">
        <v>1509000</v>
      </c>
      <c r="N150" s="1452"/>
      <c r="R150" s="1522" t="s">
        <v>9110</v>
      </c>
      <c r="S150" s="1522" t="str">
        <f t="shared" si="21"/>
        <v>Reducción HD 16" x 6" (400 mm x 150 mm) EB (incluye cargue, transporte y descargue) (incluye cargue, transporte y descargue)</v>
      </c>
    </row>
    <row r="151" spans="1:19" ht="16.5" x14ac:dyDescent="0.3">
      <c r="A151" s="1448" t="s">
        <v>8830</v>
      </c>
      <c r="B151" s="1462" t="s">
        <v>9295</v>
      </c>
      <c r="C151" s="1076" t="s">
        <v>5424</v>
      </c>
      <c r="D151" s="1389">
        <v>31737</v>
      </c>
      <c r="E151" s="1414">
        <f t="shared" si="22"/>
        <v>1586.8500000000001</v>
      </c>
      <c r="F151" s="1414">
        <f t="shared" si="19"/>
        <v>33323.85</v>
      </c>
      <c r="G151" s="1417" t="str">
        <f t="shared" si="20"/>
        <v>S.144</v>
      </c>
      <c r="H151" s="1601"/>
      <c r="O151" s="1452"/>
      <c r="R151" s="1522" t="s">
        <v>9110</v>
      </c>
      <c r="S151" s="1522" t="str">
        <f t="shared" si="21"/>
        <v>Registro de Bola de 1" (incluye cargue, transporte y descargue) (incluye cargue, transporte y descargue)</v>
      </c>
    </row>
    <row r="152" spans="1:19" x14ac:dyDescent="0.25">
      <c r="A152" s="1448" t="s">
        <v>8831</v>
      </c>
      <c r="B152" s="1412" t="s">
        <v>9115</v>
      </c>
      <c r="C152" s="1413" t="s">
        <v>5424</v>
      </c>
      <c r="D152" s="1418">
        <f>+I152</f>
        <v>18042780</v>
      </c>
      <c r="E152" s="1414">
        <f t="shared" si="22"/>
        <v>902139</v>
      </c>
      <c r="F152" s="1414">
        <f t="shared" si="19"/>
        <v>18944919</v>
      </c>
      <c r="G152" s="1417" t="str">
        <f t="shared" si="20"/>
        <v>S.145</v>
      </c>
      <c r="H152" s="1518"/>
      <c r="I152" s="1480">
        <f>+AVERAGE(K152:O152)*1.19</f>
        <v>18042780</v>
      </c>
      <c r="O152" s="1614">
        <v>15162000</v>
      </c>
      <c r="R152" s="1522" t="s">
        <v>9110</v>
      </c>
      <c r="S152" s="1522" t="str">
        <f t="shared" si="21"/>
        <v>SONDA MULTIPARAMETRICA DE CALIDAD DE AGUA (incluye cargue, transporte y descargue) (incluye cargue, transporte y descargue)</v>
      </c>
    </row>
    <row r="153" spans="1:19" ht="16.5" x14ac:dyDescent="0.25">
      <c r="A153" s="1448" t="s">
        <v>8832</v>
      </c>
      <c r="B153" s="1400" t="s">
        <v>9337</v>
      </c>
      <c r="C153" s="1413" t="s">
        <v>5475</v>
      </c>
      <c r="D153" s="1418">
        <v>22011000</v>
      </c>
      <c r="E153" s="1414">
        <f t="shared" si="22"/>
        <v>1100550</v>
      </c>
      <c r="F153" s="1414">
        <f t="shared" si="19"/>
        <v>23111550</v>
      </c>
      <c r="G153" s="1417" t="str">
        <f t="shared" si="20"/>
        <v>S.146</v>
      </c>
      <c r="H153" s="1518"/>
      <c r="I153" s="1480">
        <f>+AVERAGE(K153:O153)*1.19</f>
        <v>39377.1</v>
      </c>
      <c r="O153" s="1614">
        <v>33090</v>
      </c>
      <c r="R153" s="1522" t="s">
        <v>9110</v>
      </c>
      <c r="S153" s="1522" t="str">
        <f t="shared" si="21"/>
        <v>TABLERO DE CONTROL Y ACCESORIOS (incluye cargue, transporte y descargue) (incluye cargue, transporte y descargue)</v>
      </c>
    </row>
    <row r="154" spans="1:19" ht="16.5" x14ac:dyDescent="0.3">
      <c r="A154" s="1448"/>
      <c r="B154" s="1462"/>
      <c r="C154" s="1076"/>
      <c r="D154" s="1389"/>
      <c r="E154" s="1414"/>
      <c r="F154" s="1414"/>
      <c r="G154" s="1417"/>
      <c r="H154" s="1601"/>
      <c r="O154" s="1452"/>
      <c r="R154" s="1522" t="s">
        <v>9110</v>
      </c>
      <c r="S154" s="1522" t="str">
        <f t="shared" si="21"/>
        <v xml:space="preserve"> (incluye cargue, transporte y descargue)</v>
      </c>
    </row>
    <row r="155" spans="1:19" x14ac:dyDescent="0.25">
      <c r="A155" s="1448" t="s">
        <v>8833</v>
      </c>
      <c r="B155" s="1412" t="s">
        <v>9184</v>
      </c>
      <c r="C155" s="1413" t="s">
        <v>5424</v>
      </c>
      <c r="D155" s="1418">
        <f>+I155</f>
        <v>126973</v>
      </c>
      <c r="E155" s="1414">
        <f t="shared" si="22"/>
        <v>6348.6500000000005</v>
      </c>
      <c r="F155" s="1414">
        <f t="shared" si="19"/>
        <v>133321.65</v>
      </c>
      <c r="G155" s="1417" t="str">
        <f t="shared" si="20"/>
        <v>S.148</v>
      </c>
      <c r="H155" s="1518"/>
      <c r="I155" s="1480">
        <f>+AVERAGE(K155:O155)*1.19</f>
        <v>126973</v>
      </c>
      <c r="K155" s="1480">
        <v>114400</v>
      </c>
      <c r="L155" s="1480">
        <v>99000</v>
      </c>
      <c r="N155" s="1452"/>
      <c r="O155" s="1419"/>
      <c r="R155" s="1522" t="s">
        <v>9110</v>
      </c>
      <c r="S155" s="1522" t="str">
        <f t="shared" si="21"/>
        <v>Tapon bridado 100mm (incluye cargue, transporte y descargue) (incluye cargue, transporte y descargue)</v>
      </c>
    </row>
    <row r="156" spans="1:19" x14ac:dyDescent="0.25">
      <c r="A156" s="1448" t="s">
        <v>8834</v>
      </c>
      <c r="B156" s="1412" t="s">
        <v>9132</v>
      </c>
      <c r="C156" s="1413" t="s">
        <v>5424</v>
      </c>
      <c r="D156" s="1418">
        <f>+I156</f>
        <v>205156</v>
      </c>
      <c r="E156" s="1414">
        <f t="shared" si="22"/>
        <v>10257.800000000001</v>
      </c>
      <c r="F156" s="1414">
        <f t="shared" si="19"/>
        <v>215413.8</v>
      </c>
      <c r="G156" s="1417" t="str">
        <f t="shared" si="20"/>
        <v>S.149</v>
      </c>
      <c r="H156" s="1518"/>
      <c r="I156" s="1480">
        <f>+AVERAGE(K156:O156)*1.19</f>
        <v>205156</v>
      </c>
      <c r="K156" s="1480">
        <v>184800</v>
      </c>
      <c r="L156" s="1480">
        <v>160000</v>
      </c>
      <c r="N156" s="1452"/>
      <c r="O156" s="1452"/>
      <c r="R156" s="1522" t="s">
        <v>9110</v>
      </c>
      <c r="S156" s="1522" t="str">
        <f t="shared" si="21"/>
        <v>Tapon bridado 150mm (incluye cargue, transporte y descargue) (incluye cargue, transporte y descargue)</v>
      </c>
    </row>
    <row r="157" spans="1:19" x14ac:dyDescent="0.25">
      <c r="A157" s="1448" t="s">
        <v>8835</v>
      </c>
      <c r="B157" s="1412" t="s">
        <v>9138</v>
      </c>
      <c r="C157" s="1413" t="s">
        <v>5424</v>
      </c>
      <c r="D157" s="1418">
        <f>+I157</f>
        <v>330879.5</v>
      </c>
      <c r="E157" s="1414">
        <f t="shared" si="22"/>
        <v>16543.975000000002</v>
      </c>
      <c r="F157" s="1414">
        <f t="shared" si="19"/>
        <v>347423.47499999998</v>
      </c>
      <c r="G157" s="1417" t="str">
        <f t="shared" si="20"/>
        <v>S.150</v>
      </c>
      <c r="H157" s="1518"/>
      <c r="I157" s="1480">
        <f>+AVERAGE(K157:O157)*1.19</f>
        <v>330879.5</v>
      </c>
      <c r="K157" s="1480">
        <v>298100</v>
      </c>
      <c r="L157" s="1480">
        <v>258000</v>
      </c>
      <c r="N157" s="1452"/>
      <c r="O157" s="1452"/>
      <c r="R157" s="1522" t="s">
        <v>9110</v>
      </c>
      <c r="S157" s="1522" t="str">
        <f t="shared" si="21"/>
        <v>Tapon bridado 200mm (incluye cargue, transporte y descargue) (incluye cargue, transporte y descargue)</v>
      </c>
    </row>
    <row r="158" spans="1:19" x14ac:dyDescent="0.25">
      <c r="A158" s="1448" t="s">
        <v>8836</v>
      </c>
      <c r="B158" s="1412" t="s">
        <v>9143</v>
      </c>
      <c r="C158" s="1413" t="s">
        <v>5424</v>
      </c>
      <c r="D158" s="1418">
        <f>+I158</f>
        <v>602973</v>
      </c>
      <c r="E158" s="1414">
        <f t="shared" si="22"/>
        <v>30148.65</v>
      </c>
      <c r="F158" s="1414">
        <f t="shared" si="19"/>
        <v>633121.65</v>
      </c>
      <c r="G158" s="1417" t="str">
        <f t="shared" si="20"/>
        <v>S.151</v>
      </c>
      <c r="H158" s="1518"/>
      <c r="I158" s="1480">
        <f>+AVERAGE(K158:O158)*1.19</f>
        <v>602973</v>
      </c>
      <c r="K158" s="1480">
        <v>543400</v>
      </c>
      <c r="L158" s="1480">
        <v>470000</v>
      </c>
      <c r="N158" s="891"/>
      <c r="R158" s="1522" t="s">
        <v>9110</v>
      </c>
      <c r="S158" s="1522" t="str">
        <f t="shared" si="21"/>
        <v>Tapon bridado 250mm (incluye cargue, transporte y descargue) (incluye cargue, transporte y descargue)</v>
      </c>
    </row>
    <row r="159" spans="1:19" ht="16.5" x14ac:dyDescent="0.3">
      <c r="A159" s="1448" t="s">
        <v>8837</v>
      </c>
      <c r="B159" s="1634" t="s">
        <v>9402</v>
      </c>
      <c r="C159" s="1076" t="s">
        <v>5424</v>
      </c>
      <c r="D159" s="1389">
        <v>3198345</v>
      </c>
      <c r="E159" s="1414">
        <f t="shared" si="22"/>
        <v>159917.25</v>
      </c>
      <c r="F159" s="1414">
        <f t="shared" si="19"/>
        <v>3358262.25</v>
      </c>
      <c r="G159" s="1417" t="str">
        <f t="shared" si="20"/>
        <v>S.152</v>
      </c>
      <c r="H159" s="1601"/>
      <c r="R159" s="1522" t="s">
        <v>9110</v>
      </c>
      <c r="S159" s="1522" t="str">
        <f t="shared" si="21"/>
        <v>TEE HD BxBxB 300mmx300mm (incluye cargue, transporte y descargue) (incluye cargue, transporte y descargue)</v>
      </c>
    </row>
    <row r="160" spans="1:19" x14ac:dyDescent="0.25">
      <c r="A160" s="1448" t="s">
        <v>8838</v>
      </c>
      <c r="B160" s="1412" t="s">
        <v>9111</v>
      </c>
      <c r="C160" s="1413" t="s">
        <v>5424</v>
      </c>
      <c r="D160" s="1418">
        <f t="shared" ref="D160:D165" si="24">+I160</f>
        <v>9811788</v>
      </c>
      <c r="E160" s="1414">
        <f t="shared" si="22"/>
        <v>490589.4</v>
      </c>
      <c r="F160" s="1414">
        <f t="shared" si="19"/>
        <v>10302377.4</v>
      </c>
      <c r="G160" s="1417" t="str">
        <f t="shared" si="20"/>
        <v>S.153</v>
      </c>
      <c r="H160" s="1518"/>
      <c r="I160" s="1480">
        <f t="shared" ref="I160:I165" si="25">+AVERAGE(K160:O160)*1.19</f>
        <v>9811788</v>
      </c>
      <c r="K160" s="1480">
        <v>8848400</v>
      </c>
      <c r="L160" s="1480">
        <v>7642000</v>
      </c>
      <c r="N160" s="1452"/>
      <c r="O160" s="1452"/>
      <c r="R160" s="1522" t="s">
        <v>9110</v>
      </c>
      <c r="S160" s="1522" t="str">
        <f t="shared" si="21"/>
        <v>TEE HD BXB 500MM x 500MM (incluye cargue, transporte y descargue) (incluye cargue, transporte y descargue)</v>
      </c>
    </row>
    <row r="161" spans="1:19" x14ac:dyDescent="0.25">
      <c r="A161" s="1448" t="s">
        <v>8839</v>
      </c>
      <c r="B161" s="1412" t="s">
        <v>9139</v>
      </c>
      <c r="C161" s="1413" t="s">
        <v>5424</v>
      </c>
      <c r="D161" s="1418">
        <f t="shared" si="24"/>
        <v>524790</v>
      </c>
      <c r="E161" s="1414">
        <f t="shared" si="22"/>
        <v>26239.5</v>
      </c>
      <c r="F161" s="1414">
        <f t="shared" si="19"/>
        <v>551029.5</v>
      </c>
      <c r="G161" s="1417" t="str">
        <f t="shared" si="20"/>
        <v>S.154</v>
      </c>
      <c r="H161" s="1518"/>
      <c r="I161" s="1480">
        <f t="shared" si="25"/>
        <v>524790</v>
      </c>
      <c r="K161" s="1480">
        <v>473000</v>
      </c>
      <c r="L161" s="1480">
        <v>409000</v>
      </c>
      <c r="N161" s="1452"/>
      <c r="O161" s="1452"/>
      <c r="R161" s="1522" t="s">
        <v>9110</v>
      </c>
      <c r="S161" s="1522" t="str">
        <f t="shared" si="21"/>
        <v>TEE HD BXBXB 100mmX100mm (incluye cargue, transporte y descargue) (incluye cargue, transporte y descargue)</v>
      </c>
    </row>
    <row r="162" spans="1:19" x14ac:dyDescent="0.25">
      <c r="A162" s="1448" t="s">
        <v>8840</v>
      </c>
      <c r="B162" s="1412" t="s">
        <v>9338</v>
      </c>
      <c r="C162" s="1413" t="s">
        <v>5424</v>
      </c>
      <c r="D162" s="1418">
        <f t="shared" si="24"/>
        <v>1125918.5</v>
      </c>
      <c r="E162" s="1414">
        <f t="shared" si="22"/>
        <v>56295.925000000003</v>
      </c>
      <c r="F162" s="1414">
        <f t="shared" si="19"/>
        <v>1182214.425</v>
      </c>
      <c r="G162" s="1417" t="str">
        <f t="shared" si="20"/>
        <v>S.155</v>
      </c>
      <c r="H162" s="1518"/>
      <c r="I162" s="1480">
        <f t="shared" si="25"/>
        <v>1125918.5</v>
      </c>
      <c r="K162" s="1480">
        <v>1015300</v>
      </c>
      <c r="L162" s="1480">
        <v>877000</v>
      </c>
      <c r="N162" s="1452"/>
      <c r="R162" s="1522" t="s">
        <v>9110</v>
      </c>
      <c r="S162" s="1522" t="str">
        <f t="shared" si="21"/>
        <v>TEE HD BxBxB 200mmX100mm  (incluye cargue, transporte y descargue) (incluye cargue, transporte y descargue)</v>
      </c>
    </row>
    <row r="163" spans="1:19" x14ac:dyDescent="0.25">
      <c r="A163" s="1448" t="s">
        <v>8841</v>
      </c>
      <c r="B163" s="1412" t="s">
        <v>9339</v>
      </c>
      <c r="C163" s="1413" t="s">
        <v>5424</v>
      </c>
      <c r="D163" s="1418">
        <f t="shared" si="24"/>
        <v>1243490.5</v>
      </c>
      <c r="E163" s="1414">
        <f t="shared" si="22"/>
        <v>62174.525000000001</v>
      </c>
      <c r="F163" s="1414">
        <f t="shared" si="19"/>
        <v>1305665.0249999999</v>
      </c>
      <c r="G163" s="1417" t="str">
        <f t="shared" si="20"/>
        <v>S.156</v>
      </c>
      <c r="H163" s="1518"/>
      <c r="I163" s="1480">
        <f t="shared" si="25"/>
        <v>1243490.5</v>
      </c>
      <c r="K163" s="1480">
        <v>1120900</v>
      </c>
      <c r="L163" s="1480">
        <v>969000</v>
      </c>
      <c r="N163" s="1452"/>
      <c r="R163" s="1522" t="s">
        <v>9110</v>
      </c>
      <c r="S163" s="1522" t="str">
        <f t="shared" si="21"/>
        <v>TEE HD BxBxB 200mmX200mm  (incluye cargue, transporte y descargue) (incluye cargue, transporte y descargue)</v>
      </c>
    </row>
    <row r="164" spans="1:19" x14ac:dyDescent="0.25">
      <c r="A164" s="1448" t="s">
        <v>8842</v>
      </c>
      <c r="B164" s="1412" t="s">
        <v>9140</v>
      </c>
      <c r="C164" s="1413" t="s">
        <v>5424</v>
      </c>
      <c r="D164" s="1418">
        <f t="shared" si="24"/>
        <v>2075419.5</v>
      </c>
      <c r="E164" s="1414">
        <f t="shared" si="22"/>
        <v>103770.97500000001</v>
      </c>
      <c r="F164" s="1414">
        <f t="shared" si="19"/>
        <v>2179190.4750000001</v>
      </c>
      <c r="G164" s="1417" t="str">
        <f t="shared" si="20"/>
        <v>S.157</v>
      </c>
      <c r="H164" s="1518"/>
      <c r="I164" s="1480">
        <f t="shared" si="25"/>
        <v>2075419.5</v>
      </c>
      <c r="K164" s="1480">
        <v>1882100</v>
      </c>
      <c r="L164" s="1480">
        <v>1606000</v>
      </c>
      <c r="N164" s="1452"/>
      <c r="R164" s="1522" t="s">
        <v>9110</v>
      </c>
      <c r="S164" s="1522" t="str">
        <f t="shared" si="21"/>
        <v>TEE HD BxBxB 250mmX150mm  (incluye cargue, transporte y descargue) (incluye cargue, transporte y descargue)</v>
      </c>
    </row>
    <row r="165" spans="1:19" x14ac:dyDescent="0.25">
      <c r="A165" s="1448" t="s">
        <v>8843</v>
      </c>
      <c r="B165" s="1412" t="s">
        <v>9141</v>
      </c>
      <c r="C165" s="1413" t="s">
        <v>5424</v>
      </c>
      <c r="D165" s="1418">
        <f t="shared" si="24"/>
        <v>3106911.5</v>
      </c>
      <c r="E165" s="1414">
        <f t="shared" si="22"/>
        <v>155345.57500000001</v>
      </c>
      <c r="F165" s="1414">
        <f t="shared" si="19"/>
        <v>3262257.0750000002</v>
      </c>
      <c r="G165" s="1417" t="str">
        <f t="shared" si="20"/>
        <v>S.158</v>
      </c>
      <c r="H165" s="1518"/>
      <c r="I165" s="1480">
        <f t="shared" si="25"/>
        <v>3106911.5</v>
      </c>
      <c r="K165" s="1480">
        <v>2801700</v>
      </c>
      <c r="L165" s="1480">
        <v>2420000</v>
      </c>
      <c r="N165" s="1452"/>
      <c r="O165" s="1452"/>
      <c r="R165" s="1522" t="s">
        <v>9110</v>
      </c>
      <c r="S165" s="1522" t="str">
        <f t="shared" si="21"/>
        <v>TEE HD BxBxB 350mmX100mm  (incluye cargue, transporte y descargue) (incluye cargue, transporte y descargue)</v>
      </c>
    </row>
    <row r="166" spans="1:19" s="1452" customFormat="1" x14ac:dyDescent="0.25">
      <c r="A166" s="1448" t="s">
        <v>8844</v>
      </c>
      <c r="B166" s="1412" t="s">
        <v>9319</v>
      </c>
      <c r="C166" s="1413" t="s">
        <v>5424</v>
      </c>
      <c r="D166" s="1418">
        <v>3307069.5</v>
      </c>
      <c r="E166" s="1414">
        <f t="shared" si="22"/>
        <v>165353.47500000001</v>
      </c>
      <c r="F166" s="1414">
        <f t="shared" si="19"/>
        <v>3472422.9750000001</v>
      </c>
      <c r="G166" s="1417" t="str">
        <f t="shared" si="20"/>
        <v>S.159</v>
      </c>
      <c r="H166" s="1518"/>
      <c r="I166" s="1480"/>
      <c r="K166" s="1480"/>
      <c r="L166" s="1480"/>
      <c r="M166" s="1480"/>
      <c r="R166" s="1522" t="s">
        <v>9110</v>
      </c>
      <c r="S166" s="1522" t="str">
        <f t="shared" si="21"/>
        <v>TEE HD BxBxB 350mmX150mm  (incluye cargue, transporte y descargue) (incluye cargue, transporte y descargue)</v>
      </c>
    </row>
    <row r="167" spans="1:19" x14ac:dyDescent="0.25">
      <c r="A167" s="1448" t="s">
        <v>8845</v>
      </c>
      <c r="B167" s="1412" t="s">
        <v>9142</v>
      </c>
      <c r="C167" s="1413" t="s">
        <v>5424</v>
      </c>
      <c r="D167" s="1418">
        <f t="shared" ref="D167:D184" si="26">+I167</f>
        <v>3507227.5</v>
      </c>
      <c r="E167" s="1414">
        <f t="shared" si="22"/>
        <v>175361.375</v>
      </c>
      <c r="F167" s="1414">
        <f t="shared" si="19"/>
        <v>3682588.875</v>
      </c>
      <c r="G167" s="1417" t="str">
        <f t="shared" si="20"/>
        <v>S.160</v>
      </c>
      <c r="H167" s="1518"/>
      <c r="I167" s="1480">
        <f t="shared" ref="I167:I184" si="27">+AVERAGE(K167:O167)*1.19</f>
        <v>3507227.5</v>
      </c>
      <c r="K167" s="1480">
        <v>3162500</v>
      </c>
      <c r="L167" s="1480">
        <v>2732000</v>
      </c>
      <c r="N167" s="1452"/>
      <c r="R167" s="1522" t="s">
        <v>9110</v>
      </c>
      <c r="S167" s="1522" t="str">
        <f t="shared" si="21"/>
        <v>TEE HD BxBxB 350mmX250mm  (incluye cargue, transporte y descargue) (incluye cargue, transporte y descargue)</v>
      </c>
    </row>
    <row r="168" spans="1:19" s="1452" customFormat="1" x14ac:dyDescent="0.25">
      <c r="A168" s="1448" t="s">
        <v>8846</v>
      </c>
      <c r="B168" s="1412" t="s">
        <v>9144</v>
      </c>
      <c r="C168" s="1413" t="s">
        <v>5424</v>
      </c>
      <c r="D168" s="1418">
        <f t="shared" si="26"/>
        <v>4067063</v>
      </c>
      <c r="E168" s="1414">
        <f t="shared" si="22"/>
        <v>203353.15000000002</v>
      </c>
      <c r="F168" s="1414">
        <f t="shared" si="19"/>
        <v>4270416.1500000004</v>
      </c>
      <c r="G168" s="1417" t="str">
        <f t="shared" si="20"/>
        <v>S.161</v>
      </c>
      <c r="H168" s="1518"/>
      <c r="I168" s="1480">
        <f t="shared" si="27"/>
        <v>4067063</v>
      </c>
      <c r="K168" s="1480">
        <v>3667400</v>
      </c>
      <c r="L168" s="1480">
        <v>3168000</v>
      </c>
      <c r="M168" s="1480"/>
      <c r="R168" s="1522" t="s">
        <v>9110</v>
      </c>
      <c r="S168" s="1522" t="str">
        <f t="shared" si="21"/>
        <v>TEE HD BxBxB 400mmX250mm  (incluye cargue, transporte y descargue) (incluye cargue, transporte y descargue)</v>
      </c>
    </row>
    <row r="169" spans="1:19" x14ac:dyDescent="0.25">
      <c r="A169" s="1448" t="s">
        <v>8847</v>
      </c>
      <c r="B169" s="1412" t="s">
        <v>9206</v>
      </c>
      <c r="C169" s="1413" t="s">
        <v>5424</v>
      </c>
      <c r="D169" s="1418">
        <f t="shared" si="26"/>
        <v>1594481</v>
      </c>
      <c r="E169" s="1414">
        <f t="shared" si="22"/>
        <v>79724.05</v>
      </c>
      <c r="F169" s="1414">
        <f t="shared" si="19"/>
        <v>1674205.05</v>
      </c>
      <c r="G169" s="1417" t="str">
        <f t="shared" si="20"/>
        <v>S.162</v>
      </c>
      <c r="H169" s="1518"/>
      <c r="I169" s="1480">
        <f t="shared" si="27"/>
        <v>1594481</v>
      </c>
      <c r="K169" s="1480">
        <v>1882100</v>
      </c>
      <c r="L169" s="1480">
        <v>1606000</v>
      </c>
      <c r="M169" s="1480">
        <v>531600</v>
      </c>
      <c r="N169" s="1452"/>
      <c r="R169" s="1522" t="s">
        <v>9110</v>
      </c>
      <c r="S169" s="1522" t="str">
        <f t="shared" si="21"/>
        <v>TEE HD CxCxB 250x250x100 PN 10 (incluye cargue, transporte y descargue) (incluye cargue, transporte y descargue)</v>
      </c>
    </row>
    <row r="170" spans="1:19" x14ac:dyDescent="0.25">
      <c r="A170" s="1448" t="s">
        <v>8848</v>
      </c>
      <c r="B170" s="1412" t="s">
        <v>9209</v>
      </c>
      <c r="C170" s="1413" t="s">
        <v>5424</v>
      </c>
      <c r="D170" s="1418">
        <f t="shared" si="26"/>
        <v>1594481</v>
      </c>
      <c r="E170" s="1414">
        <f t="shared" si="22"/>
        <v>79724.05</v>
      </c>
      <c r="F170" s="1414">
        <f t="shared" si="19"/>
        <v>1674205.05</v>
      </c>
      <c r="G170" s="1417" t="str">
        <f t="shared" si="20"/>
        <v>S.163</v>
      </c>
      <c r="H170" s="1518"/>
      <c r="I170" s="1480">
        <f t="shared" si="27"/>
        <v>1594481</v>
      </c>
      <c r="K170" s="1480">
        <v>1882100</v>
      </c>
      <c r="L170" s="1480">
        <v>1606000</v>
      </c>
      <c r="M170" s="1480">
        <v>531600</v>
      </c>
      <c r="N170" s="1452"/>
      <c r="R170" s="1522" t="s">
        <v>9110</v>
      </c>
      <c r="S170" s="1522" t="str">
        <f t="shared" si="21"/>
        <v>TEE HD CxCxB 250x250x100 PN 16 (incluye cargue, transporte y descargue) (incluye cargue, transporte y descargue)</v>
      </c>
    </row>
    <row r="171" spans="1:19" x14ac:dyDescent="0.25">
      <c r="A171" s="1448" t="s">
        <v>8849</v>
      </c>
      <c r="B171" s="1412" t="s">
        <v>9212</v>
      </c>
      <c r="C171" s="1413" t="s">
        <v>5424</v>
      </c>
      <c r="D171" s="1418">
        <f t="shared" si="26"/>
        <v>1596861</v>
      </c>
      <c r="E171" s="1414">
        <f t="shared" si="22"/>
        <v>79843.05</v>
      </c>
      <c r="F171" s="1414">
        <f t="shared" si="19"/>
        <v>1676704.05</v>
      </c>
      <c r="G171" s="1417" t="str">
        <f t="shared" si="20"/>
        <v>S.164</v>
      </c>
      <c r="H171" s="1518"/>
      <c r="I171" s="1480">
        <f t="shared" si="27"/>
        <v>1596861</v>
      </c>
      <c r="K171" s="1480">
        <v>1882100</v>
      </c>
      <c r="L171" s="1480">
        <v>1606000</v>
      </c>
      <c r="M171" s="1480">
        <v>537600</v>
      </c>
      <c r="N171" s="1452"/>
      <c r="R171" s="1522" t="s">
        <v>9110</v>
      </c>
      <c r="S171" s="1522" t="str">
        <f t="shared" si="21"/>
        <v>TEE HD CxCxB 250x250x100 PN 25 (incluye cargue, transporte y descargue) (incluye cargue, transporte y descargue)</v>
      </c>
    </row>
    <row r="172" spans="1:19" x14ac:dyDescent="0.25">
      <c r="A172" s="1448" t="s">
        <v>8850</v>
      </c>
      <c r="B172" s="1412" t="s">
        <v>9340</v>
      </c>
      <c r="C172" s="1413" t="s">
        <v>5424</v>
      </c>
      <c r="D172" s="1418">
        <f t="shared" si="26"/>
        <v>1596861</v>
      </c>
      <c r="E172" s="1414">
        <f t="shared" si="22"/>
        <v>79843.05</v>
      </c>
      <c r="F172" s="1414">
        <f t="shared" si="19"/>
        <v>1676704.05</v>
      </c>
      <c r="G172" s="1417" t="str">
        <f t="shared" si="20"/>
        <v>S.165</v>
      </c>
      <c r="H172" s="1518"/>
      <c r="I172" s="1480">
        <f t="shared" si="27"/>
        <v>1596861</v>
      </c>
      <c r="K172" s="1480">
        <v>1882100</v>
      </c>
      <c r="L172" s="1480">
        <v>1606000</v>
      </c>
      <c r="M172" s="1480">
        <v>537600</v>
      </c>
      <c r="N172" s="1452"/>
      <c r="R172" s="1522" t="s">
        <v>9110</v>
      </c>
      <c r="S172" s="1522" t="str">
        <f t="shared" si="21"/>
        <v>TEE HD CxCxB 250x250x100 PN 40 (incluye cargue, transporte y descargue) (incluye cargue, transporte y descargue)</v>
      </c>
    </row>
    <row r="173" spans="1:19" x14ac:dyDescent="0.25">
      <c r="A173" s="1448" t="s">
        <v>8851</v>
      </c>
      <c r="B173" s="1412" t="s">
        <v>9207</v>
      </c>
      <c r="C173" s="1413" t="s">
        <v>5424</v>
      </c>
      <c r="D173" s="1418">
        <f t="shared" si="26"/>
        <v>2468377.3333333335</v>
      </c>
      <c r="E173" s="1414">
        <f t="shared" si="22"/>
        <v>123418.86666666668</v>
      </c>
      <c r="F173" s="1414">
        <f t="shared" si="19"/>
        <v>2591796.2000000002</v>
      </c>
      <c r="G173" s="1417" t="str">
        <f t="shared" si="20"/>
        <v>S.166</v>
      </c>
      <c r="H173" s="1518"/>
      <c r="I173" s="1480">
        <f t="shared" si="27"/>
        <v>2468377.3333333335</v>
      </c>
      <c r="K173" s="1480">
        <v>2801700</v>
      </c>
      <c r="L173" s="1480">
        <v>2420000</v>
      </c>
      <c r="M173" s="1480">
        <v>1001100.0000000001</v>
      </c>
      <c r="N173" s="1452"/>
      <c r="R173" s="1522" t="s">
        <v>9110</v>
      </c>
      <c r="S173" s="1522" t="str">
        <f t="shared" si="21"/>
        <v>TEE HD CxCxB 350x350x100 PN 10 (incluye cargue, transporte y descargue) (incluye cargue, transporte y descargue)</v>
      </c>
    </row>
    <row r="174" spans="1:19" x14ac:dyDescent="0.25">
      <c r="A174" s="1448" t="s">
        <v>8852</v>
      </c>
      <c r="B174" s="1412" t="s">
        <v>9210</v>
      </c>
      <c r="C174" s="1413" t="s">
        <v>5424</v>
      </c>
      <c r="D174" s="1418">
        <f t="shared" si="26"/>
        <v>2468377.3333333335</v>
      </c>
      <c r="E174" s="1414">
        <f t="shared" si="22"/>
        <v>123418.86666666668</v>
      </c>
      <c r="F174" s="1414">
        <f t="shared" si="19"/>
        <v>2591796.2000000002</v>
      </c>
      <c r="G174" s="1417" t="str">
        <f t="shared" si="20"/>
        <v>S.167</v>
      </c>
      <c r="H174" s="1518"/>
      <c r="I174" s="1480">
        <f t="shared" si="27"/>
        <v>2468377.3333333335</v>
      </c>
      <c r="K174" s="1480">
        <v>2801700</v>
      </c>
      <c r="L174" s="1480">
        <v>2420000</v>
      </c>
      <c r="M174" s="1480">
        <v>1001100.0000000001</v>
      </c>
      <c r="N174" s="1452"/>
      <c r="O174" s="1419"/>
      <c r="R174" s="1522" t="s">
        <v>9110</v>
      </c>
      <c r="S174" s="1522" t="str">
        <f t="shared" si="21"/>
        <v>TEE HD CxCxB 350x350x100 PN 16 (incluye cargue, transporte y descargue) (incluye cargue, transporte y descargue)</v>
      </c>
    </row>
    <row r="175" spans="1:19" x14ac:dyDescent="0.25">
      <c r="A175" s="1448" t="s">
        <v>8853</v>
      </c>
      <c r="B175" s="1412" t="s">
        <v>9213</v>
      </c>
      <c r="C175" s="1413" t="s">
        <v>5424</v>
      </c>
      <c r="D175" s="1418">
        <f t="shared" si="26"/>
        <v>2468377.3333333335</v>
      </c>
      <c r="E175" s="1414">
        <f t="shared" si="22"/>
        <v>123418.86666666668</v>
      </c>
      <c r="F175" s="1414">
        <f t="shared" si="19"/>
        <v>2591796.2000000002</v>
      </c>
      <c r="G175" s="1417" t="str">
        <f t="shared" si="20"/>
        <v>S.168</v>
      </c>
      <c r="H175" s="1518"/>
      <c r="I175" s="1480">
        <f t="shared" si="27"/>
        <v>2468377.3333333335</v>
      </c>
      <c r="K175" s="1480">
        <v>2801700</v>
      </c>
      <c r="L175" s="1480">
        <v>2420000</v>
      </c>
      <c r="M175" s="1480">
        <v>1001100.0000000001</v>
      </c>
      <c r="N175" s="1452"/>
      <c r="O175" s="1419"/>
      <c r="R175" s="1522" t="s">
        <v>9110</v>
      </c>
      <c r="S175" s="1522" t="str">
        <f t="shared" si="21"/>
        <v>TEE HD CxCxB 350x350x100 PN 25 (incluye cargue, transporte y descargue) (incluye cargue, transporte y descargue)</v>
      </c>
    </row>
    <row r="176" spans="1:19" x14ac:dyDescent="0.25">
      <c r="A176" s="1448" t="s">
        <v>8854</v>
      </c>
      <c r="B176" s="1412" t="s">
        <v>9216</v>
      </c>
      <c r="C176" s="1413" t="s">
        <v>5424</v>
      </c>
      <c r="D176" s="1418">
        <f t="shared" si="26"/>
        <v>2468377.3333333335</v>
      </c>
      <c r="E176" s="1414">
        <f t="shared" si="22"/>
        <v>123418.86666666668</v>
      </c>
      <c r="F176" s="1414">
        <f t="shared" si="19"/>
        <v>2591796.2000000002</v>
      </c>
      <c r="G176" s="1417" t="str">
        <f t="shared" si="20"/>
        <v>S.169</v>
      </c>
      <c r="H176" s="1518"/>
      <c r="I176" s="1480">
        <f t="shared" si="27"/>
        <v>2468377.3333333335</v>
      </c>
      <c r="K176" s="1480">
        <v>2801700</v>
      </c>
      <c r="L176" s="1480">
        <v>2420000</v>
      </c>
      <c r="M176" s="1480">
        <v>1001100.0000000001</v>
      </c>
      <c r="N176" s="891"/>
      <c r="O176" s="1419"/>
      <c r="R176" s="1522" t="s">
        <v>9110</v>
      </c>
      <c r="S176" s="1522" t="str">
        <f t="shared" si="21"/>
        <v>TEE HD CxCxB 350x350x100 PN 40 (incluye cargue, transporte y descargue) (incluye cargue, transporte y descargue)</v>
      </c>
    </row>
    <row r="177" spans="1:19" x14ac:dyDescent="0.25">
      <c r="A177" s="1448" t="s">
        <v>8855</v>
      </c>
      <c r="B177" s="1412" t="s">
        <v>9218</v>
      </c>
      <c r="C177" s="1413" t="s">
        <v>5424</v>
      </c>
      <c r="D177" s="1418">
        <f t="shared" si="26"/>
        <v>2468377.3333333335</v>
      </c>
      <c r="E177" s="1414">
        <f t="shared" si="22"/>
        <v>123418.86666666668</v>
      </c>
      <c r="F177" s="1414">
        <f t="shared" si="19"/>
        <v>2591796.2000000002</v>
      </c>
      <c r="G177" s="1417" t="str">
        <f t="shared" si="20"/>
        <v>S.170</v>
      </c>
      <c r="H177" s="1518"/>
      <c r="I177" s="1480">
        <f t="shared" si="27"/>
        <v>2468377.3333333335</v>
      </c>
      <c r="K177" s="1480">
        <v>2801700</v>
      </c>
      <c r="L177" s="1480">
        <v>2420000</v>
      </c>
      <c r="M177" s="1480">
        <v>1001100.0000000001</v>
      </c>
      <c r="N177" s="1452"/>
      <c r="O177" s="1419"/>
      <c r="R177" s="1522" t="s">
        <v>9110</v>
      </c>
      <c r="S177" s="1522" t="str">
        <f t="shared" si="21"/>
        <v>TEE HD CxCxB 350x350x100 PN 60 (incluye cargue, transporte y descargue) (incluye cargue, transporte y descargue)</v>
      </c>
    </row>
    <row r="178" spans="1:19" x14ac:dyDescent="0.25">
      <c r="A178" s="1448" t="s">
        <v>8856</v>
      </c>
      <c r="B178" s="1412" t="s">
        <v>9208</v>
      </c>
      <c r="C178" s="1413" t="s">
        <v>5424</v>
      </c>
      <c r="D178" s="1418">
        <f t="shared" si="26"/>
        <v>3096618</v>
      </c>
      <c r="E178" s="1414">
        <f t="shared" si="22"/>
        <v>154830.9</v>
      </c>
      <c r="F178" s="1414">
        <f t="shared" si="19"/>
        <v>3251448.9</v>
      </c>
      <c r="G178" s="1417" t="str">
        <f t="shared" si="20"/>
        <v>S.171</v>
      </c>
      <c r="H178" s="1518"/>
      <c r="I178" s="1480">
        <f t="shared" si="27"/>
        <v>3096618</v>
      </c>
      <c r="K178" s="1480">
        <v>3570600</v>
      </c>
      <c r="L178" s="1480">
        <v>3084000</v>
      </c>
      <c r="M178" s="1480">
        <v>1152000</v>
      </c>
      <c r="N178" s="1452"/>
      <c r="O178" s="1419"/>
      <c r="R178" s="1522" t="s">
        <v>9110</v>
      </c>
      <c r="S178" s="1522" t="str">
        <f t="shared" si="21"/>
        <v>TEE HD CxCxB 400x400x100 PN 10 (incluye cargue, transporte y descargue) (incluye cargue, transporte y descargue)</v>
      </c>
    </row>
    <row r="179" spans="1:19" x14ac:dyDescent="0.25">
      <c r="A179" s="1448" t="s">
        <v>8857</v>
      </c>
      <c r="B179" s="1412" t="s">
        <v>9211</v>
      </c>
      <c r="C179" s="1413" t="s">
        <v>5424</v>
      </c>
      <c r="D179" s="1418">
        <f t="shared" si="26"/>
        <v>3096618</v>
      </c>
      <c r="E179" s="1414">
        <f t="shared" si="22"/>
        <v>154830.9</v>
      </c>
      <c r="F179" s="1414">
        <f t="shared" si="19"/>
        <v>3251448.9</v>
      </c>
      <c r="G179" s="1417" t="str">
        <f t="shared" si="20"/>
        <v>S.172</v>
      </c>
      <c r="H179" s="1518"/>
      <c r="I179" s="1480">
        <f t="shared" si="27"/>
        <v>3096618</v>
      </c>
      <c r="K179" s="1480">
        <v>3570600</v>
      </c>
      <c r="L179" s="1480">
        <v>3084000</v>
      </c>
      <c r="M179" s="1480">
        <v>1152000</v>
      </c>
      <c r="N179" s="1452"/>
      <c r="O179" s="1419"/>
      <c r="R179" s="1522" t="s">
        <v>9110</v>
      </c>
      <c r="S179" s="1522" t="str">
        <f t="shared" si="21"/>
        <v>TEE HD CxCxB 400x400x100 PN 16 (incluye cargue, transporte y descargue) (incluye cargue, transporte y descargue)</v>
      </c>
    </row>
    <row r="180" spans="1:19" x14ac:dyDescent="0.25">
      <c r="A180" s="1448" t="s">
        <v>8858</v>
      </c>
      <c r="B180" s="1412" t="s">
        <v>9214</v>
      </c>
      <c r="C180" s="1413" t="s">
        <v>5424</v>
      </c>
      <c r="D180" s="1418">
        <f t="shared" si="26"/>
        <v>3286899</v>
      </c>
      <c r="E180" s="1414">
        <f t="shared" si="22"/>
        <v>164344.95000000001</v>
      </c>
      <c r="F180" s="1414">
        <f t="shared" si="19"/>
        <v>3451243.95</v>
      </c>
      <c r="G180" s="1417" t="str">
        <f t="shared" si="20"/>
        <v>S.173</v>
      </c>
      <c r="H180" s="1518"/>
      <c r="I180" s="1480">
        <f t="shared" si="27"/>
        <v>3286899</v>
      </c>
      <c r="K180" s="1480">
        <v>3570600</v>
      </c>
      <c r="L180" s="1480">
        <v>3084000</v>
      </c>
      <c r="M180" s="1480">
        <v>1631700</v>
      </c>
      <c r="N180" s="1452"/>
      <c r="O180" s="1419"/>
      <c r="R180" s="1522" t="s">
        <v>9110</v>
      </c>
      <c r="S180" s="1522" t="str">
        <f t="shared" si="21"/>
        <v>TEE HD CxCxB 400x400x100 PN 25 (incluye cargue, transporte y descargue) (incluye cargue, transporte y descargue)</v>
      </c>
    </row>
    <row r="181" spans="1:19" x14ac:dyDescent="0.25">
      <c r="A181" s="1448" t="s">
        <v>8859</v>
      </c>
      <c r="B181" s="1412" t="s">
        <v>9217</v>
      </c>
      <c r="C181" s="1413" t="s">
        <v>5424</v>
      </c>
      <c r="D181" s="1418">
        <f t="shared" si="26"/>
        <v>3286899</v>
      </c>
      <c r="E181" s="1414">
        <f t="shared" si="22"/>
        <v>164344.95000000001</v>
      </c>
      <c r="F181" s="1414">
        <f t="shared" si="19"/>
        <v>3451243.95</v>
      </c>
      <c r="G181" s="1417" t="str">
        <f t="shared" si="20"/>
        <v>S.174</v>
      </c>
      <c r="H181" s="1518"/>
      <c r="I181" s="1480">
        <f t="shared" si="27"/>
        <v>3286899</v>
      </c>
      <c r="K181" s="1480">
        <v>3570600</v>
      </c>
      <c r="L181" s="1480">
        <v>3084000</v>
      </c>
      <c r="M181" s="1480">
        <v>1631700</v>
      </c>
      <c r="N181" s="1452"/>
      <c r="O181" s="1419"/>
      <c r="R181" s="1522" t="s">
        <v>9110</v>
      </c>
      <c r="S181" s="1522" t="str">
        <f t="shared" si="21"/>
        <v>TEE HD CxCxB 400x400x100 PN 40 (incluye cargue, transporte y descargue) (incluye cargue, transporte y descargue)</v>
      </c>
    </row>
    <row r="182" spans="1:19" x14ac:dyDescent="0.25">
      <c r="A182" s="1448" t="s">
        <v>8860</v>
      </c>
      <c r="B182" s="1412" t="s">
        <v>9219</v>
      </c>
      <c r="C182" s="1413" t="s">
        <v>5424</v>
      </c>
      <c r="D182" s="1418">
        <f t="shared" si="26"/>
        <v>3286899</v>
      </c>
      <c r="E182" s="1414">
        <f t="shared" si="22"/>
        <v>164344.95000000001</v>
      </c>
      <c r="F182" s="1414">
        <f t="shared" si="19"/>
        <v>3451243.95</v>
      </c>
      <c r="G182" s="1417" t="str">
        <f t="shared" si="20"/>
        <v>S.175</v>
      </c>
      <c r="H182" s="1518"/>
      <c r="I182" s="1480">
        <f t="shared" si="27"/>
        <v>3286899</v>
      </c>
      <c r="K182" s="1480">
        <v>3570600</v>
      </c>
      <c r="L182" s="1480">
        <v>3084000</v>
      </c>
      <c r="M182" s="1480">
        <v>1631700</v>
      </c>
      <c r="N182" s="1452"/>
      <c r="R182" s="1522" t="s">
        <v>9110</v>
      </c>
      <c r="S182" s="1522" t="str">
        <f t="shared" si="21"/>
        <v>TEE HD CxCxB 400x400x100 PN 60 (incluye cargue, transporte y descargue) (incluye cargue, transporte y descargue)</v>
      </c>
    </row>
    <row r="183" spans="1:19" x14ac:dyDescent="0.25">
      <c r="A183" s="1448" t="s">
        <v>8861</v>
      </c>
      <c r="B183" s="1412" t="s">
        <v>9215</v>
      </c>
      <c r="C183" s="1413" t="s">
        <v>5424</v>
      </c>
      <c r="D183" s="1418">
        <f t="shared" si="26"/>
        <v>5637370.3399999999</v>
      </c>
      <c r="E183" s="1414">
        <f t="shared" si="22"/>
        <v>281868.51699999999</v>
      </c>
      <c r="F183" s="1414">
        <f t="shared" si="19"/>
        <v>5919238.8569999998</v>
      </c>
      <c r="G183" s="1417" t="str">
        <f t="shared" si="20"/>
        <v>S.176</v>
      </c>
      <c r="H183" s="1518"/>
      <c r="I183" s="1480">
        <f t="shared" si="27"/>
        <v>5637370.3399999999</v>
      </c>
      <c r="M183" s="1619"/>
      <c r="N183" s="1480">
        <v>4737286</v>
      </c>
      <c r="R183" s="1522" t="s">
        <v>9110</v>
      </c>
      <c r="S183" s="1522" t="str">
        <f t="shared" si="21"/>
        <v>TEE HD CxCxB 500x500x100 PN 25 (incluye cargue, transporte y descargue) (incluye cargue, transporte y descargue)</v>
      </c>
    </row>
    <row r="184" spans="1:19" x14ac:dyDescent="0.25">
      <c r="A184" s="1448" t="s">
        <v>8862</v>
      </c>
      <c r="B184" s="1412" t="s">
        <v>9188</v>
      </c>
      <c r="C184" s="1413" t="s">
        <v>5424</v>
      </c>
      <c r="D184" s="1418">
        <f t="shared" si="26"/>
        <v>7328581.4419999998</v>
      </c>
      <c r="E184" s="1414">
        <f t="shared" si="22"/>
        <v>366429.07209999999</v>
      </c>
      <c r="F184" s="1414">
        <f t="shared" si="19"/>
        <v>7695010.5141000003</v>
      </c>
      <c r="G184" s="1417" t="str">
        <f t="shared" si="20"/>
        <v>S.177</v>
      </c>
      <c r="H184" s="1518"/>
      <c r="I184" s="1480">
        <f t="shared" si="27"/>
        <v>7328581.4419999998</v>
      </c>
      <c r="M184" s="1619"/>
      <c r="O184" s="1480">
        <f>4737286*1.3</f>
        <v>6158471.7999999998</v>
      </c>
      <c r="R184" s="1522" t="s">
        <v>9110</v>
      </c>
      <c r="S184" s="1522" t="str">
        <f t="shared" si="21"/>
        <v>TEE HD PARA TUBERIA ACERROJADA 300x300x100 PN 60 (incluye cargue, transporte y descargue) (incluye cargue, transporte y descargue)</v>
      </c>
    </row>
    <row r="185" spans="1:19" ht="16.5" x14ac:dyDescent="0.3">
      <c r="A185" s="1448" t="s">
        <v>8863</v>
      </c>
      <c r="B185" s="1462" t="s">
        <v>9283</v>
      </c>
      <c r="C185" s="1076" t="s">
        <v>5424</v>
      </c>
      <c r="D185" s="1389">
        <v>2055</v>
      </c>
      <c r="E185" s="1414">
        <f t="shared" si="22"/>
        <v>102.75</v>
      </c>
      <c r="F185" s="1414">
        <f t="shared" si="19"/>
        <v>2157.75</v>
      </c>
      <c r="G185" s="1417" t="str">
        <f t="shared" si="20"/>
        <v>S.178</v>
      </c>
      <c r="H185" s="1601"/>
      <c r="R185" s="1522" t="s">
        <v>9110</v>
      </c>
      <c r="S185" s="1522" t="str">
        <f t="shared" si="21"/>
        <v>Tee PVC Presión soldar D=1" (incluye cargue, transporte y descargue) (incluye cargue, transporte y descargue)</v>
      </c>
    </row>
    <row r="186" spans="1:19" ht="16.5" x14ac:dyDescent="0.3">
      <c r="A186" s="1448" t="s">
        <v>8864</v>
      </c>
      <c r="B186" s="1462" t="s">
        <v>9401</v>
      </c>
      <c r="C186" s="1076" t="s">
        <v>5734</v>
      </c>
      <c r="D186" s="1389">
        <v>31022</v>
      </c>
      <c r="E186" s="1414">
        <f t="shared" si="22"/>
        <v>1551.1000000000001</v>
      </c>
      <c r="F186" s="1414">
        <f t="shared" si="19"/>
        <v>32573.1</v>
      </c>
      <c r="G186" s="1417" t="str">
        <f t="shared" si="20"/>
        <v>S.179</v>
      </c>
      <c r="H186" s="1601"/>
      <c r="R186" s="1522" t="s">
        <v>9110</v>
      </c>
      <c r="S186" s="1522" t="str">
        <f t="shared" si="21"/>
        <v>Tubería  Pvc Unión Mecánica Rde 21 D= 1"  (incluye cargue, transporte y descargue) (incluye cargue, transporte y descargue)</v>
      </c>
    </row>
    <row r="187" spans="1:19" ht="16.5" x14ac:dyDescent="0.25">
      <c r="A187" s="1448" t="s">
        <v>8865</v>
      </c>
      <c r="B187" s="1459" t="s">
        <v>9165</v>
      </c>
      <c r="C187" s="1413" t="s">
        <v>5402</v>
      </c>
      <c r="D187" s="1418">
        <f t="shared" ref="D187:D196" si="28">+I187</f>
        <v>311923.99</v>
      </c>
      <c r="E187" s="1414">
        <f t="shared" si="22"/>
        <v>15596.199500000001</v>
      </c>
      <c r="F187" s="1414">
        <f t="shared" si="19"/>
        <v>327520.18949999998</v>
      </c>
      <c r="G187" s="1417" t="str">
        <f t="shared" si="20"/>
        <v>S.180</v>
      </c>
      <c r="H187" s="1518"/>
      <c r="I187" s="1480">
        <f t="shared" ref="I187:I196" si="29">+AVERAGE(K187:O187)*1.19</f>
        <v>311923.99</v>
      </c>
      <c r="M187" s="1619"/>
      <c r="N187" s="1480">
        <v>262121</v>
      </c>
      <c r="R187" s="1522" t="s">
        <v>9110</v>
      </c>
      <c r="S187" s="1522" t="str">
        <f t="shared" si="21"/>
        <v>Tuberia HD 250 MM PN 10 BxB (incluye cargue, transporte y descargue) (incluye cargue, transporte y descargue)</v>
      </c>
    </row>
    <row r="188" spans="1:19" ht="16.5" x14ac:dyDescent="0.25">
      <c r="A188" s="1448" t="s">
        <v>8866</v>
      </c>
      <c r="B188" s="1459" t="s">
        <v>9714</v>
      </c>
      <c r="C188" s="1413" t="s">
        <v>5402</v>
      </c>
      <c r="D188" s="1418">
        <f t="shared" si="28"/>
        <v>371280</v>
      </c>
      <c r="E188" s="1414">
        <f t="shared" si="22"/>
        <v>18564</v>
      </c>
      <c r="F188" s="1414">
        <f t="shared" si="19"/>
        <v>389844</v>
      </c>
      <c r="G188" s="1417" t="str">
        <f t="shared" si="20"/>
        <v>S.181</v>
      </c>
      <c r="H188" s="1518"/>
      <c r="I188" s="1480">
        <f t="shared" si="29"/>
        <v>371280</v>
      </c>
      <c r="M188" s="1619">
        <v>312000</v>
      </c>
      <c r="R188" s="1522" t="s">
        <v>9110</v>
      </c>
      <c r="S188" s="1522" t="str">
        <f t="shared" si="21"/>
        <v>TUBERIA HD ACERROJADA DN 250 PN o CLASE 30 (incluye cargue, transporte y descargue) (incluye cargue, transporte y descargue)</v>
      </c>
    </row>
    <row r="189" spans="1:19" ht="16.5" x14ac:dyDescent="0.25">
      <c r="A189" s="1448" t="s">
        <v>8867</v>
      </c>
      <c r="B189" s="1459" t="s">
        <v>9713</v>
      </c>
      <c r="C189" s="1413" t="s">
        <v>5402</v>
      </c>
      <c r="D189" s="1418">
        <f t="shared" si="28"/>
        <v>610470</v>
      </c>
      <c r="E189" s="1414">
        <f t="shared" si="22"/>
        <v>30523.5</v>
      </c>
      <c r="F189" s="1414">
        <f t="shared" si="19"/>
        <v>640993.5</v>
      </c>
      <c r="G189" s="1417" t="str">
        <f t="shared" si="20"/>
        <v>S.182</v>
      </c>
      <c r="H189" s="1518"/>
      <c r="I189" s="1480">
        <f t="shared" si="29"/>
        <v>610470</v>
      </c>
      <c r="M189" s="1619">
        <v>513000</v>
      </c>
      <c r="R189" s="1522" t="s">
        <v>9110</v>
      </c>
      <c r="S189" s="1522" t="str">
        <f t="shared" si="21"/>
        <v>TUBERIA HD ACERROJADA DN 300 PN o CLASE 75 (incluye cargue, transporte y descargue) (incluye cargue, transporte y descargue)</v>
      </c>
    </row>
    <row r="190" spans="1:19" ht="16.5" x14ac:dyDescent="0.3">
      <c r="A190" s="1448" t="s">
        <v>8868</v>
      </c>
      <c r="B190" s="1397" t="s">
        <v>9712</v>
      </c>
      <c r="C190" s="1413" t="s">
        <v>5402</v>
      </c>
      <c r="D190" s="1418">
        <f t="shared" si="28"/>
        <v>519006.6</v>
      </c>
      <c r="E190" s="1414">
        <f t="shared" si="22"/>
        <v>25950.33</v>
      </c>
      <c r="F190" s="1414">
        <f t="shared" si="19"/>
        <v>544956.92999999993</v>
      </c>
      <c r="G190" s="1417" t="str">
        <f t="shared" si="20"/>
        <v>S.183</v>
      </c>
      <c r="H190" s="1518"/>
      <c r="I190" s="1480">
        <f t="shared" si="29"/>
        <v>519006.6</v>
      </c>
      <c r="M190" s="1619">
        <v>436140</v>
      </c>
      <c r="R190" s="1522" t="s">
        <v>9110</v>
      </c>
      <c r="S190" s="1522" t="str">
        <f t="shared" si="21"/>
        <v>TUBERIA HD ACERROJADA DN 350 PN o CLASE 40 (incluye cargue, transporte y descargue) (incluye cargue, transporte y descargue)</v>
      </c>
    </row>
    <row r="191" spans="1:19" ht="16.5" x14ac:dyDescent="0.25">
      <c r="A191" s="1448" t="s">
        <v>8869</v>
      </c>
      <c r="B191" s="1459" t="s">
        <v>9711</v>
      </c>
      <c r="C191" s="1413" t="s">
        <v>5402</v>
      </c>
      <c r="D191" s="1418">
        <f t="shared" si="28"/>
        <v>654500</v>
      </c>
      <c r="E191" s="1414">
        <f t="shared" si="22"/>
        <v>32725</v>
      </c>
      <c r="F191" s="1414">
        <f t="shared" si="19"/>
        <v>687225</v>
      </c>
      <c r="G191" s="1417" t="str">
        <f t="shared" si="20"/>
        <v>S.184</v>
      </c>
      <c r="H191" s="1518"/>
      <c r="I191" s="1480">
        <f t="shared" si="29"/>
        <v>654500</v>
      </c>
      <c r="M191" s="1619">
        <v>550000</v>
      </c>
      <c r="R191" s="1522" t="s">
        <v>9110</v>
      </c>
      <c r="S191" s="1522" t="str">
        <f t="shared" si="21"/>
        <v>TUBERIA HD ACERROJADA DN 400 PN o CLASE 30 (incluye cargue, transporte y descargue) (incluye cargue, transporte y descargue)</v>
      </c>
    </row>
    <row r="192" spans="1:19" ht="16.5" x14ac:dyDescent="0.3">
      <c r="A192" s="1448" t="s">
        <v>8870</v>
      </c>
      <c r="B192" s="1397" t="s">
        <v>9709</v>
      </c>
      <c r="C192" s="1413" t="s">
        <v>5402</v>
      </c>
      <c r="D192" s="1418">
        <f t="shared" si="28"/>
        <v>714428.4</v>
      </c>
      <c r="E192" s="1414">
        <f t="shared" si="22"/>
        <v>35721.420000000006</v>
      </c>
      <c r="F192" s="1414">
        <f t="shared" si="19"/>
        <v>750149.82000000007</v>
      </c>
      <c r="G192" s="1417" t="str">
        <f t="shared" si="20"/>
        <v>S.185</v>
      </c>
      <c r="H192" s="1518"/>
      <c r="I192" s="1480">
        <f t="shared" si="29"/>
        <v>714428.4</v>
      </c>
      <c r="M192" s="1619">
        <v>600360</v>
      </c>
      <c r="O192" s="1419"/>
      <c r="R192" s="1522" t="s">
        <v>9110</v>
      </c>
      <c r="S192" s="1522" t="str">
        <f t="shared" si="21"/>
        <v>TUBERIA HD ACERROJADA DN 400 PN o CLASE 40 (incluye cargue, transporte y descargue) (incluye cargue, transporte y descargue)</v>
      </c>
    </row>
    <row r="193" spans="1:19" ht="15" customHeight="1" x14ac:dyDescent="0.25">
      <c r="A193" s="1448" t="s">
        <v>8871</v>
      </c>
      <c r="B193" s="1459" t="s">
        <v>9710</v>
      </c>
      <c r="C193" s="1413" t="s">
        <v>5402</v>
      </c>
      <c r="D193" s="1418">
        <f t="shared" si="28"/>
        <v>832827.45</v>
      </c>
      <c r="E193" s="1414">
        <f t="shared" si="22"/>
        <v>41641.372499999998</v>
      </c>
      <c r="F193" s="1414">
        <f t="shared" si="19"/>
        <v>874468.82250000001</v>
      </c>
      <c r="G193" s="1417" t="str">
        <f t="shared" si="20"/>
        <v>S.186</v>
      </c>
      <c r="H193" s="1518"/>
      <c r="I193" s="1480">
        <f t="shared" si="29"/>
        <v>832827.45</v>
      </c>
      <c r="M193" s="1619">
        <v>699855</v>
      </c>
      <c r="R193" s="1522" t="s">
        <v>9110</v>
      </c>
      <c r="S193" s="1522" t="str">
        <f t="shared" si="21"/>
        <v>TUBERIA HD ACERROJADA DN 500 PN o CLASE 30 (incluye cargue, transporte y descargue) (incluye cargue, transporte y descargue)</v>
      </c>
    </row>
    <row r="194" spans="1:19" ht="15" customHeight="1" x14ac:dyDescent="0.3">
      <c r="A194" s="1448" t="s">
        <v>8872</v>
      </c>
      <c r="B194" s="1462" t="s">
        <v>9654</v>
      </c>
      <c r="C194" s="1417" t="s">
        <v>5402</v>
      </c>
      <c r="D194" s="1418">
        <f t="shared" si="28"/>
        <v>338900.1</v>
      </c>
      <c r="E194" s="1414">
        <f t="shared" si="22"/>
        <v>16945.005000000001</v>
      </c>
      <c r="F194" s="1414">
        <f t="shared" si="19"/>
        <v>355845.10499999998</v>
      </c>
      <c r="G194" s="1417" t="str">
        <f t="shared" si="20"/>
        <v>S.187</v>
      </c>
      <c r="H194" s="1518"/>
      <c r="I194" s="1480">
        <f t="shared" si="29"/>
        <v>338900.1</v>
      </c>
      <c r="M194" s="1619">
        <v>284790</v>
      </c>
      <c r="R194" s="1522" t="s">
        <v>9110</v>
      </c>
      <c r="S194" s="1522" t="str">
        <f t="shared" si="21"/>
        <v>TUBERIA HD DN 400 PN o CLASE 30 (incluye cargue, transporte y descargue) (incluye cargue, transporte y descargue)</v>
      </c>
    </row>
    <row r="195" spans="1:19" ht="15" customHeight="1" x14ac:dyDescent="0.3">
      <c r="A195" s="1448" t="s">
        <v>8873</v>
      </c>
      <c r="B195" s="1462" t="s">
        <v>9655</v>
      </c>
      <c r="C195" s="1417" t="s">
        <v>5402</v>
      </c>
      <c r="D195" s="1418">
        <f t="shared" si="28"/>
        <v>394592.1</v>
      </c>
      <c r="E195" s="1414">
        <f t="shared" si="22"/>
        <v>19729.605</v>
      </c>
      <c r="F195" s="1414">
        <f t="shared" si="19"/>
        <v>414321.70499999996</v>
      </c>
      <c r="G195" s="1417" t="str">
        <f t="shared" si="20"/>
        <v>S.188</v>
      </c>
      <c r="H195" s="1518"/>
      <c r="I195" s="1480">
        <f t="shared" si="29"/>
        <v>394592.1</v>
      </c>
      <c r="M195" s="1619">
        <v>331590</v>
      </c>
      <c r="R195" s="1522" t="s">
        <v>9110</v>
      </c>
      <c r="S195" s="1522" t="str">
        <f t="shared" si="21"/>
        <v>TUBERIA HD DN 400 PN o CLASE 40 (incluye cargue, transporte y descargue) (incluye cargue, transporte y descargue)</v>
      </c>
    </row>
    <row r="196" spans="1:19" ht="15" customHeight="1" x14ac:dyDescent="0.25">
      <c r="A196" s="1448" t="s">
        <v>8874</v>
      </c>
      <c r="B196" s="1412" t="s">
        <v>9341</v>
      </c>
      <c r="C196" s="1413" t="s">
        <v>5402</v>
      </c>
      <c r="D196" s="1418">
        <f t="shared" si="28"/>
        <v>218960</v>
      </c>
      <c r="E196" s="1414">
        <f t="shared" si="22"/>
        <v>10948</v>
      </c>
      <c r="F196" s="1414">
        <f t="shared" si="19"/>
        <v>229908</v>
      </c>
      <c r="G196" s="1417" t="str">
        <f t="shared" si="20"/>
        <v>S.189</v>
      </c>
      <c r="H196" s="1518"/>
      <c r="I196" s="1480">
        <f t="shared" si="29"/>
        <v>218960</v>
      </c>
      <c r="M196" s="1619">
        <v>184000</v>
      </c>
      <c r="R196" s="1522" t="s">
        <v>9110</v>
      </c>
      <c r="S196" s="1522" t="str">
        <f t="shared" si="21"/>
        <v>Tuberia Hd Lxl 200Mm (incluye cargue, transporte y descargue) (incluye cargue, transporte y descargue)</v>
      </c>
    </row>
    <row r="197" spans="1:19" ht="15" customHeight="1" x14ac:dyDescent="0.3">
      <c r="A197" s="1448" t="s">
        <v>8875</v>
      </c>
      <c r="B197" s="1420" t="s">
        <v>9296</v>
      </c>
      <c r="C197" s="1417" t="s">
        <v>5402</v>
      </c>
      <c r="D197" s="1389">
        <v>32786</v>
      </c>
      <c r="E197" s="1414">
        <f t="shared" si="22"/>
        <v>1639.3000000000002</v>
      </c>
      <c r="F197" s="1414">
        <f t="shared" si="19"/>
        <v>34425.300000000003</v>
      </c>
      <c r="G197" s="1417" t="str">
        <f t="shared" si="20"/>
        <v>S.190</v>
      </c>
      <c r="H197" s="1601"/>
      <c r="R197" s="1522" t="s">
        <v>9110</v>
      </c>
      <c r="S197" s="1522" t="str">
        <f t="shared" si="21"/>
        <v>Tubería PCV Presión soldar RDE 21 D= 1" (incluye cargue, transporte y descargue) (incluye cargue, transporte y descargue)</v>
      </c>
    </row>
    <row r="198" spans="1:19" ht="15" customHeight="1" x14ac:dyDescent="0.25">
      <c r="A198" s="1448" t="s">
        <v>8876</v>
      </c>
      <c r="B198" s="1448" t="s">
        <v>9159</v>
      </c>
      <c r="C198" s="1413" t="s">
        <v>5402</v>
      </c>
      <c r="D198" s="1418">
        <f t="shared" ref="D198:D244" si="30">+I198</f>
        <v>131257</v>
      </c>
      <c r="E198" s="1414">
        <f t="shared" si="22"/>
        <v>6562.85</v>
      </c>
      <c r="F198" s="1414">
        <f t="shared" ref="F198:F261" si="31">+E198+D198</f>
        <v>137819.85</v>
      </c>
      <c r="G198" s="1417" t="str">
        <f t="shared" si="20"/>
        <v>S.191</v>
      </c>
      <c r="H198" s="1518"/>
      <c r="I198" s="1480">
        <f t="shared" ref="I198:I244" si="32">+AVERAGE(K198:O198)*1.19</f>
        <v>131257</v>
      </c>
      <c r="M198" s="1619"/>
      <c r="N198" s="1480">
        <v>110300</v>
      </c>
      <c r="R198" s="1522" t="s">
        <v>9110</v>
      </c>
      <c r="S198" s="1522" t="str">
        <f t="shared" ref="S198:S261" si="33">+CONCATENATE(B198," ",R198)</f>
        <v>TUBERIA PVC  100MM (incluye cargue, transporte y descargue) (incluye cargue, transporte y descargue)</v>
      </c>
    </row>
    <row r="199" spans="1:19" ht="15" customHeight="1" x14ac:dyDescent="0.25">
      <c r="A199" s="1448" t="s">
        <v>8877</v>
      </c>
      <c r="B199" s="1448" t="s">
        <v>9160</v>
      </c>
      <c r="C199" s="1413" t="s">
        <v>5402</v>
      </c>
      <c r="D199" s="1418">
        <f t="shared" si="30"/>
        <v>187239.36</v>
      </c>
      <c r="E199" s="1414">
        <f t="shared" si="22"/>
        <v>9361.9679999999989</v>
      </c>
      <c r="F199" s="1414">
        <f t="shared" si="31"/>
        <v>196601.32799999998</v>
      </c>
      <c r="G199" s="1417" t="str">
        <f t="shared" ref="G199:G262" si="34">+A199</f>
        <v>S.192</v>
      </c>
      <c r="H199" s="1518"/>
      <c r="I199" s="1480">
        <f t="shared" si="32"/>
        <v>187239.36</v>
      </c>
      <c r="M199" s="1619"/>
      <c r="N199" s="1480">
        <f>138225+38238/2</f>
        <v>157344</v>
      </c>
      <c r="R199" s="1522" t="s">
        <v>9110</v>
      </c>
      <c r="S199" s="1522" t="str">
        <f t="shared" si="33"/>
        <v>TUBERIA PVC  150MM PERFORADA  (incluye cargue, transporte y descargue) (incluye cargue, transporte y descargue)</v>
      </c>
    </row>
    <row r="200" spans="1:19" ht="15" customHeight="1" x14ac:dyDescent="0.25">
      <c r="A200" s="1448" t="s">
        <v>8878</v>
      </c>
      <c r="B200" s="1100" t="s">
        <v>9309</v>
      </c>
      <c r="C200" s="1413" t="s">
        <v>5424</v>
      </c>
      <c r="D200" s="1418">
        <f t="shared" si="30"/>
        <v>10870650</v>
      </c>
      <c r="E200" s="1414">
        <f t="shared" ref="E200:E263" si="35">+D200*$E$6</f>
        <v>543532.5</v>
      </c>
      <c r="F200" s="1414">
        <f t="shared" si="31"/>
        <v>11414182.5</v>
      </c>
      <c r="G200" s="1417" t="str">
        <f t="shared" si="34"/>
        <v>S.193</v>
      </c>
      <c r="H200" s="1518"/>
      <c r="I200" s="1480">
        <f t="shared" si="32"/>
        <v>10870650</v>
      </c>
      <c r="O200" s="1614">
        <v>9135000</v>
      </c>
      <c r="R200" s="1522" t="s">
        <v>9110</v>
      </c>
      <c r="S200" s="1522" t="str">
        <f t="shared" si="33"/>
        <v>Unión Antivibratoria PN 25 BB 10" (incluye cargue, transporte y descargue) (incluye cargue, transporte y descargue)</v>
      </c>
    </row>
    <row r="201" spans="1:19" ht="15" customHeight="1" x14ac:dyDescent="0.25">
      <c r="A201" s="1448" t="s">
        <v>8879</v>
      </c>
      <c r="B201" s="1412" t="s">
        <v>9145</v>
      </c>
      <c r="C201" s="1422" t="s">
        <v>5424</v>
      </c>
      <c r="D201" s="1418">
        <f t="shared" si="30"/>
        <v>487979.33333333331</v>
      </c>
      <c r="E201" s="1414">
        <f t="shared" si="35"/>
        <v>24398.966666666667</v>
      </c>
      <c r="F201" s="1414">
        <f t="shared" si="31"/>
        <v>512378.3</v>
      </c>
      <c r="G201" s="1417" t="str">
        <f t="shared" si="34"/>
        <v>S.194</v>
      </c>
      <c r="H201" s="1518"/>
      <c r="I201" s="1480">
        <f t="shared" si="32"/>
        <v>487979.33333333331</v>
      </c>
      <c r="K201" s="1480">
        <v>426800</v>
      </c>
      <c r="L201" s="1480">
        <v>369000</v>
      </c>
      <c r="M201" s="1619">
        <v>434400.00000000006</v>
      </c>
      <c r="N201" s="1452"/>
      <c r="R201" s="1522" t="s">
        <v>9110</v>
      </c>
      <c r="S201" s="1522" t="str">
        <f t="shared" si="33"/>
        <v>UNION DE DESMONTAJE  HD BXB 100MM PN 10 (incluye cargue, transporte y descargue) (incluye cargue, transporte y descargue)</v>
      </c>
    </row>
    <row r="202" spans="1:19" ht="15" customHeight="1" x14ac:dyDescent="0.25">
      <c r="A202" s="1448" t="s">
        <v>8880</v>
      </c>
      <c r="B202" s="1412" t="s">
        <v>9271</v>
      </c>
      <c r="C202" s="1422" t="s">
        <v>5424</v>
      </c>
      <c r="D202" s="1418">
        <f t="shared" si="30"/>
        <v>487979.33333333331</v>
      </c>
      <c r="E202" s="1414">
        <f t="shared" si="35"/>
        <v>24398.966666666667</v>
      </c>
      <c r="F202" s="1414">
        <f t="shared" si="31"/>
        <v>512378.3</v>
      </c>
      <c r="G202" s="1417" t="str">
        <f t="shared" si="34"/>
        <v>S.195</v>
      </c>
      <c r="H202" s="1518"/>
      <c r="I202" s="1480">
        <f t="shared" si="32"/>
        <v>487979.33333333331</v>
      </c>
      <c r="K202" s="1480">
        <v>426800</v>
      </c>
      <c r="L202" s="1480">
        <v>369000</v>
      </c>
      <c r="M202" s="1619">
        <v>434400.00000000006</v>
      </c>
      <c r="N202" s="1452"/>
      <c r="R202" s="1522" t="s">
        <v>9110</v>
      </c>
      <c r="S202" s="1522" t="str">
        <f t="shared" si="33"/>
        <v>UNION DE DESMONTAJE  HD BXB 100MM PN 16 (incluye cargue, transporte y descargue) (incluye cargue, transporte y descargue)</v>
      </c>
    </row>
    <row r="203" spans="1:19" ht="15" customHeight="1" x14ac:dyDescent="0.25">
      <c r="A203" s="1448" t="s">
        <v>8881</v>
      </c>
      <c r="B203" s="1412" t="s">
        <v>9272</v>
      </c>
      <c r="C203" s="1422" t="s">
        <v>5424</v>
      </c>
      <c r="D203" s="1418">
        <f t="shared" si="30"/>
        <v>487979.33333333331</v>
      </c>
      <c r="E203" s="1414">
        <f t="shared" si="35"/>
        <v>24398.966666666667</v>
      </c>
      <c r="F203" s="1414">
        <f t="shared" si="31"/>
        <v>512378.3</v>
      </c>
      <c r="G203" s="1417" t="str">
        <f t="shared" si="34"/>
        <v>S.196</v>
      </c>
      <c r="H203" s="1518"/>
      <c r="I203" s="1480">
        <f t="shared" si="32"/>
        <v>487979.33333333331</v>
      </c>
      <c r="K203" s="1480">
        <v>426800</v>
      </c>
      <c r="L203" s="1480">
        <v>369000</v>
      </c>
      <c r="M203" s="1619">
        <v>434400.00000000006</v>
      </c>
      <c r="N203" s="1452"/>
      <c r="R203" s="1522" t="s">
        <v>9110</v>
      </c>
      <c r="S203" s="1522" t="str">
        <f t="shared" si="33"/>
        <v>UNION DE DESMONTAJE  HD BxB 100MM PN 25 (incluye cargue, transporte y descargue) (incluye cargue, transporte y descargue)</v>
      </c>
    </row>
    <row r="204" spans="1:19" ht="15" customHeight="1" x14ac:dyDescent="0.25">
      <c r="A204" s="1448" t="s">
        <v>8882</v>
      </c>
      <c r="B204" s="1412" t="s">
        <v>9273</v>
      </c>
      <c r="C204" s="1422" t="s">
        <v>5424</v>
      </c>
      <c r="D204" s="1418">
        <f t="shared" si="30"/>
        <v>487979.33333333331</v>
      </c>
      <c r="E204" s="1414">
        <f t="shared" si="35"/>
        <v>24398.966666666667</v>
      </c>
      <c r="F204" s="1414">
        <f t="shared" si="31"/>
        <v>512378.3</v>
      </c>
      <c r="G204" s="1417" t="str">
        <f t="shared" si="34"/>
        <v>S.197</v>
      </c>
      <c r="H204" s="1518"/>
      <c r="I204" s="1480">
        <f t="shared" si="32"/>
        <v>487979.33333333331</v>
      </c>
      <c r="K204" s="1480">
        <v>426800</v>
      </c>
      <c r="L204" s="1480">
        <v>369000</v>
      </c>
      <c r="M204" s="1619">
        <v>434400.00000000006</v>
      </c>
      <c r="N204" s="1452"/>
      <c r="R204" s="1522" t="s">
        <v>9110</v>
      </c>
      <c r="S204" s="1522" t="str">
        <f t="shared" si="33"/>
        <v>UNION DE DESMONTAJE  HD BxB 100MM PN 40 (incluye cargue, transporte y descargue) (incluye cargue, transporte y descargue)</v>
      </c>
    </row>
    <row r="205" spans="1:19" ht="15" customHeight="1" x14ac:dyDescent="0.25">
      <c r="A205" s="1448" t="s">
        <v>8883</v>
      </c>
      <c r="B205" s="1412" t="s">
        <v>9274</v>
      </c>
      <c r="C205" s="1422" t="s">
        <v>5424</v>
      </c>
      <c r="D205" s="1418">
        <f t="shared" si="30"/>
        <v>487979.33333333331</v>
      </c>
      <c r="E205" s="1414">
        <f t="shared" si="35"/>
        <v>24398.966666666667</v>
      </c>
      <c r="F205" s="1414">
        <f t="shared" si="31"/>
        <v>512378.3</v>
      </c>
      <c r="G205" s="1417" t="str">
        <f t="shared" si="34"/>
        <v>S.198</v>
      </c>
      <c r="H205" s="1518"/>
      <c r="I205" s="1480">
        <f t="shared" si="32"/>
        <v>487979.33333333331</v>
      </c>
      <c r="K205" s="1480">
        <v>426800</v>
      </c>
      <c r="L205" s="1480">
        <v>369000</v>
      </c>
      <c r="M205" s="1480">
        <v>434400.00000000006</v>
      </c>
      <c r="N205" s="1452"/>
      <c r="R205" s="1522" t="s">
        <v>9110</v>
      </c>
      <c r="S205" s="1522" t="str">
        <f t="shared" si="33"/>
        <v>UNION DE DESMONTAJE  HD BXB 100MM PN 60 (incluye cargue, transporte y descargue) (incluye cargue, transporte y descargue)</v>
      </c>
    </row>
    <row r="206" spans="1:19" ht="15" customHeight="1" x14ac:dyDescent="0.25">
      <c r="A206" s="1448" t="s">
        <v>8884</v>
      </c>
      <c r="B206" s="1426" t="s">
        <v>9147</v>
      </c>
      <c r="C206" s="1413" t="s">
        <v>5424</v>
      </c>
      <c r="D206" s="1418">
        <f t="shared" si="30"/>
        <v>1613818.5</v>
      </c>
      <c r="E206" s="1414">
        <f t="shared" si="35"/>
        <v>80690.925000000003</v>
      </c>
      <c r="F206" s="1414">
        <f t="shared" si="31"/>
        <v>1694509.425</v>
      </c>
      <c r="G206" s="1417" t="str">
        <f t="shared" si="34"/>
        <v>S.199</v>
      </c>
      <c r="H206" s="1601"/>
      <c r="I206" s="1480">
        <f t="shared" si="32"/>
        <v>1613818.5</v>
      </c>
      <c r="K206" s="1480">
        <v>1455300</v>
      </c>
      <c r="L206" s="1480">
        <v>1257000</v>
      </c>
      <c r="R206" s="1522" t="s">
        <v>9110</v>
      </c>
      <c r="S206" s="1522" t="str">
        <f t="shared" si="33"/>
        <v>UNION DE DESMONTAJE HD BXB 150MM PN 10 (incluye cargue, transporte y descargue) (incluye cargue, transporte y descargue)</v>
      </c>
    </row>
    <row r="207" spans="1:19" ht="15" customHeight="1" x14ac:dyDescent="0.25">
      <c r="A207" s="1448" t="s">
        <v>8885</v>
      </c>
      <c r="B207" s="1426" t="s">
        <v>9171</v>
      </c>
      <c r="C207" s="1413" t="s">
        <v>5424</v>
      </c>
      <c r="D207" s="1418">
        <f t="shared" si="30"/>
        <v>1613818.5</v>
      </c>
      <c r="E207" s="1414">
        <f t="shared" si="35"/>
        <v>80690.925000000003</v>
      </c>
      <c r="F207" s="1414">
        <f t="shared" si="31"/>
        <v>1694509.425</v>
      </c>
      <c r="G207" s="1417" t="str">
        <f t="shared" si="34"/>
        <v>S.200</v>
      </c>
      <c r="H207" s="1601"/>
      <c r="I207" s="1480">
        <f t="shared" si="32"/>
        <v>1613818.5</v>
      </c>
      <c r="K207" s="1480">
        <v>1455300</v>
      </c>
      <c r="L207" s="1480">
        <v>1257000</v>
      </c>
      <c r="R207" s="1522" t="s">
        <v>9110</v>
      </c>
      <c r="S207" s="1522" t="str">
        <f t="shared" si="33"/>
        <v>UNION DE DESMONTAJE HD BXB 150MM PN 16 (incluye cargue, transporte y descargue) (incluye cargue, transporte y descargue)</v>
      </c>
    </row>
    <row r="208" spans="1:19" s="1452" customFormat="1" ht="15" customHeight="1" x14ac:dyDescent="0.25">
      <c r="A208" s="1448" t="s">
        <v>8886</v>
      </c>
      <c r="B208" s="1426" t="s">
        <v>9320</v>
      </c>
      <c r="C208" s="1413" t="s">
        <v>5424</v>
      </c>
      <c r="D208" s="1418">
        <f t="shared" si="30"/>
        <v>1613818.5</v>
      </c>
      <c r="E208" s="1414">
        <f t="shared" si="35"/>
        <v>80690.925000000003</v>
      </c>
      <c r="F208" s="1414">
        <f t="shared" si="31"/>
        <v>1694509.425</v>
      </c>
      <c r="G208" s="1417" t="str">
        <f t="shared" si="34"/>
        <v>S.201</v>
      </c>
      <c r="H208" s="1601"/>
      <c r="I208" s="1480">
        <f t="shared" si="32"/>
        <v>1613818.5</v>
      </c>
      <c r="K208" s="1480">
        <v>1455300</v>
      </c>
      <c r="L208" s="1480">
        <v>1257000</v>
      </c>
      <c r="M208" s="1480"/>
      <c r="N208" s="1480"/>
      <c r="R208" s="1522" t="s">
        <v>9110</v>
      </c>
      <c r="S208" s="1522" t="str">
        <f t="shared" si="33"/>
        <v>UNION DE DESMONTAJE HD BXB 150MM PN 25 (incluye cargue, transporte y descargue) (incluye cargue, transporte y descargue)</v>
      </c>
    </row>
    <row r="209" spans="1:19" ht="15" customHeight="1" x14ac:dyDescent="0.25">
      <c r="A209" s="1448" t="s">
        <v>8887</v>
      </c>
      <c r="B209" s="1412" t="s">
        <v>9148</v>
      </c>
      <c r="C209" s="1422" t="s">
        <v>5424</v>
      </c>
      <c r="D209" s="1418">
        <f t="shared" si="30"/>
        <v>1526770</v>
      </c>
      <c r="E209" s="1414">
        <f t="shared" si="35"/>
        <v>76338.5</v>
      </c>
      <c r="F209" s="1414">
        <f t="shared" si="31"/>
        <v>1603108.5</v>
      </c>
      <c r="G209" s="1417" t="str">
        <f t="shared" si="34"/>
        <v>S.202</v>
      </c>
      <c r="H209" s="1518"/>
      <c r="I209" s="1480">
        <f t="shared" si="32"/>
        <v>1526770</v>
      </c>
      <c r="K209" s="1480">
        <v>1455300</v>
      </c>
      <c r="L209" s="1480">
        <v>1257000</v>
      </c>
      <c r="M209" s="1480">
        <v>1136700</v>
      </c>
      <c r="N209" s="1452"/>
      <c r="R209" s="1522" t="s">
        <v>9110</v>
      </c>
      <c r="S209" s="1522" t="str">
        <f t="shared" si="33"/>
        <v>UNION DE DESMONTAJE HD BXB 250MM PN 10 (incluye cargue, transporte y descargue) (incluye cargue, transporte y descargue)</v>
      </c>
    </row>
    <row r="210" spans="1:19" ht="15" customHeight="1" x14ac:dyDescent="0.25">
      <c r="A210" s="1448" t="s">
        <v>8888</v>
      </c>
      <c r="B210" s="1412" t="s">
        <v>9243</v>
      </c>
      <c r="C210" s="1422" t="s">
        <v>5424</v>
      </c>
      <c r="D210" s="1418">
        <f t="shared" si="30"/>
        <v>1548666</v>
      </c>
      <c r="E210" s="1414">
        <f t="shared" si="35"/>
        <v>77433.3</v>
      </c>
      <c r="F210" s="1414">
        <f t="shared" si="31"/>
        <v>1626099.3</v>
      </c>
      <c r="G210" s="1417" t="str">
        <f t="shared" si="34"/>
        <v>S.203</v>
      </c>
      <c r="H210" s="1518"/>
      <c r="I210" s="1480">
        <f t="shared" si="32"/>
        <v>1548666</v>
      </c>
      <c r="K210" s="1480">
        <v>1455300</v>
      </c>
      <c r="L210" s="1480">
        <v>1257000</v>
      </c>
      <c r="M210" s="1480">
        <v>1191900</v>
      </c>
      <c r="N210" s="891"/>
      <c r="R210" s="1522" t="s">
        <v>9110</v>
      </c>
      <c r="S210" s="1522" t="str">
        <f t="shared" si="33"/>
        <v>UNION DE DESMONTAJE HD BXB 250MM PN 16 (incluye cargue, transporte y descargue) (incluye cargue, transporte y descargue)</v>
      </c>
    </row>
    <row r="211" spans="1:19" ht="15" customHeight="1" x14ac:dyDescent="0.25">
      <c r="A211" s="1448" t="s">
        <v>8889</v>
      </c>
      <c r="B211" s="1412" t="s">
        <v>9246</v>
      </c>
      <c r="C211" s="1422" t="s">
        <v>5424</v>
      </c>
      <c r="D211" s="1418">
        <f t="shared" si="30"/>
        <v>1548666</v>
      </c>
      <c r="E211" s="1414">
        <f t="shared" si="35"/>
        <v>77433.3</v>
      </c>
      <c r="F211" s="1414">
        <f t="shared" si="31"/>
        <v>1626099.3</v>
      </c>
      <c r="G211" s="1417" t="str">
        <f t="shared" si="34"/>
        <v>S.204</v>
      </c>
      <c r="H211" s="1518"/>
      <c r="I211" s="1480">
        <f t="shared" si="32"/>
        <v>1548666</v>
      </c>
      <c r="K211" s="1480">
        <v>1455300</v>
      </c>
      <c r="L211" s="1480">
        <v>1257000</v>
      </c>
      <c r="M211" s="1480">
        <v>1191900</v>
      </c>
      <c r="N211" s="1452"/>
      <c r="R211" s="1522" t="s">
        <v>9110</v>
      </c>
      <c r="S211" s="1522" t="str">
        <f t="shared" si="33"/>
        <v>UNION DE DESMONTAJE HD BXB 250MM PN 25 (incluye cargue, transporte y descargue) (incluye cargue, transporte y descargue)</v>
      </c>
    </row>
    <row r="212" spans="1:19" ht="15" customHeight="1" x14ac:dyDescent="0.25">
      <c r="A212" s="1448" t="s">
        <v>8890</v>
      </c>
      <c r="B212" s="1412" t="s">
        <v>9242</v>
      </c>
      <c r="C212" s="1422" t="s">
        <v>5424</v>
      </c>
      <c r="D212" s="1418">
        <f t="shared" si="30"/>
        <v>2958340</v>
      </c>
      <c r="E212" s="1414">
        <f t="shared" si="35"/>
        <v>147917</v>
      </c>
      <c r="F212" s="1414">
        <f t="shared" si="31"/>
        <v>3106257</v>
      </c>
      <c r="G212" s="1417" t="str">
        <f t="shared" si="34"/>
        <v>S.205</v>
      </c>
      <c r="H212" s="1518"/>
      <c r="I212" s="1480">
        <f t="shared" si="32"/>
        <v>2958340</v>
      </c>
      <c r="K212" s="1480">
        <v>2486000</v>
      </c>
      <c r="N212" s="1452"/>
      <c r="R212" s="1522" t="s">
        <v>9110</v>
      </c>
      <c r="S212" s="1522" t="str">
        <f t="shared" si="33"/>
        <v>UNION DE DESMONTAJE HD BXB 350MM PN 10 (incluye cargue, transporte y descargue) (incluye cargue, transporte y descargue)</v>
      </c>
    </row>
    <row r="213" spans="1:19" ht="15" customHeight="1" x14ac:dyDescent="0.25">
      <c r="A213" s="1448" t="s">
        <v>8891</v>
      </c>
      <c r="B213" s="1412" t="s">
        <v>9244</v>
      </c>
      <c r="C213" s="1422" t="s">
        <v>5424</v>
      </c>
      <c r="D213" s="1418">
        <f t="shared" si="30"/>
        <v>2958340</v>
      </c>
      <c r="E213" s="1414">
        <f t="shared" si="35"/>
        <v>147917</v>
      </c>
      <c r="F213" s="1414">
        <f t="shared" si="31"/>
        <v>3106257</v>
      </c>
      <c r="G213" s="1417" t="str">
        <f t="shared" si="34"/>
        <v>S.206</v>
      </c>
      <c r="H213" s="1518"/>
      <c r="I213" s="1480">
        <f t="shared" si="32"/>
        <v>2958340</v>
      </c>
      <c r="K213" s="1480">
        <v>2486000</v>
      </c>
      <c r="N213" s="1452"/>
      <c r="R213" s="1522" t="s">
        <v>9110</v>
      </c>
      <c r="S213" s="1522" t="str">
        <f t="shared" si="33"/>
        <v>UNION DE DESMONTAJE HD BXB 350MM PN 16 (incluye cargue, transporte y descargue) (incluye cargue, transporte y descargue)</v>
      </c>
    </row>
    <row r="214" spans="1:19" ht="15" customHeight="1" x14ac:dyDescent="0.25">
      <c r="A214" s="1448" t="s">
        <v>8892</v>
      </c>
      <c r="B214" s="1412" t="s">
        <v>9247</v>
      </c>
      <c r="C214" s="1422" t="s">
        <v>5424</v>
      </c>
      <c r="D214" s="1418">
        <f t="shared" si="30"/>
        <v>2958340</v>
      </c>
      <c r="E214" s="1414">
        <f t="shared" si="35"/>
        <v>147917</v>
      </c>
      <c r="F214" s="1414">
        <f t="shared" si="31"/>
        <v>3106257</v>
      </c>
      <c r="G214" s="1417" t="str">
        <f t="shared" si="34"/>
        <v>S.207</v>
      </c>
      <c r="H214" s="1518"/>
      <c r="I214" s="1480">
        <f t="shared" si="32"/>
        <v>2958340</v>
      </c>
      <c r="K214" s="1480">
        <v>2486000</v>
      </c>
      <c r="N214" s="1452"/>
      <c r="R214" s="1522" t="s">
        <v>9110</v>
      </c>
      <c r="S214" s="1522" t="str">
        <f t="shared" si="33"/>
        <v>UNION DE DESMONTAJE HD BXB 350MM PN 25 (incluye cargue, transporte y descargue) (incluye cargue, transporte y descargue)</v>
      </c>
    </row>
    <row r="215" spans="1:19" x14ac:dyDescent="0.25">
      <c r="A215" s="1448" t="s">
        <v>8893</v>
      </c>
      <c r="B215" s="1412" t="s">
        <v>9249</v>
      </c>
      <c r="C215" s="1422" t="s">
        <v>5424</v>
      </c>
      <c r="D215" s="1418">
        <f t="shared" si="30"/>
        <v>2958340</v>
      </c>
      <c r="E215" s="1414">
        <f t="shared" si="35"/>
        <v>147917</v>
      </c>
      <c r="F215" s="1414">
        <f t="shared" si="31"/>
        <v>3106257</v>
      </c>
      <c r="G215" s="1417" t="str">
        <f t="shared" si="34"/>
        <v>S.208</v>
      </c>
      <c r="H215" s="1518"/>
      <c r="I215" s="1480">
        <f t="shared" si="32"/>
        <v>2958340</v>
      </c>
      <c r="K215" s="1480">
        <v>2486000</v>
      </c>
      <c r="N215" s="1452"/>
      <c r="R215" s="1522" t="s">
        <v>9110</v>
      </c>
      <c r="S215" s="1522" t="str">
        <f t="shared" si="33"/>
        <v>UNION DE DESMONTAJE HD BXB 350MM PN 40 (incluye cargue, transporte y descargue) (incluye cargue, transporte y descargue)</v>
      </c>
    </row>
    <row r="216" spans="1:19" x14ac:dyDescent="0.25">
      <c r="A216" s="1448" t="s">
        <v>8894</v>
      </c>
      <c r="B216" s="1412" t="s">
        <v>9251</v>
      </c>
      <c r="C216" s="1422" t="s">
        <v>5424</v>
      </c>
      <c r="D216" s="1418">
        <f t="shared" si="30"/>
        <v>2958340</v>
      </c>
      <c r="E216" s="1414">
        <f t="shared" si="35"/>
        <v>147917</v>
      </c>
      <c r="F216" s="1414">
        <f t="shared" si="31"/>
        <v>3106257</v>
      </c>
      <c r="G216" s="1417" t="str">
        <f t="shared" si="34"/>
        <v>S.209</v>
      </c>
      <c r="H216" s="1518"/>
      <c r="I216" s="1480">
        <f t="shared" si="32"/>
        <v>2958340</v>
      </c>
      <c r="K216" s="1480">
        <v>2486000</v>
      </c>
      <c r="N216" s="891"/>
      <c r="R216" s="1522" t="s">
        <v>9110</v>
      </c>
      <c r="S216" s="1522" t="str">
        <f t="shared" si="33"/>
        <v>UNION DE DESMONTAJE HD BXB 350MM PN 60 (incluye cargue, transporte y descargue) (incluye cargue, transporte y descargue)</v>
      </c>
    </row>
    <row r="217" spans="1:19" x14ac:dyDescent="0.25">
      <c r="A217" s="1448" t="s">
        <v>8895</v>
      </c>
      <c r="B217" s="1412" t="s">
        <v>9121</v>
      </c>
      <c r="C217" s="1422" t="s">
        <v>5424</v>
      </c>
      <c r="D217" s="1418">
        <f t="shared" si="30"/>
        <v>3777952.5</v>
      </c>
      <c r="E217" s="1414">
        <f t="shared" si="35"/>
        <v>188897.625</v>
      </c>
      <c r="F217" s="1414">
        <f t="shared" si="31"/>
        <v>3966850.125</v>
      </c>
      <c r="G217" s="1417" t="str">
        <f t="shared" si="34"/>
        <v>S.210</v>
      </c>
      <c r="H217" s="1518"/>
      <c r="I217" s="1480">
        <f t="shared" si="32"/>
        <v>3777952.5</v>
      </c>
      <c r="K217" s="1480">
        <v>4194300</v>
      </c>
      <c r="M217" s="1480">
        <v>2155200</v>
      </c>
      <c r="N217" s="891"/>
      <c r="R217" s="1522" t="s">
        <v>9110</v>
      </c>
      <c r="S217" s="1522" t="str">
        <f t="shared" si="33"/>
        <v>UNION DE DESMONTAJE HD BXB 400MM PN 10 (incluye cargue, transporte y descargue) (incluye cargue, transporte y descargue)</v>
      </c>
    </row>
    <row r="218" spans="1:19" x14ac:dyDescent="0.25">
      <c r="A218" s="1448" t="s">
        <v>8896</v>
      </c>
      <c r="B218" s="1412" t="s">
        <v>9245</v>
      </c>
      <c r="C218" s="1422" t="s">
        <v>5424</v>
      </c>
      <c r="D218" s="1418">
        <f t="shared" si="30"/>
        <v>3841855.5</v>
      </c>
      <c r="E218" s="1414">
        <f t="shared" si="35"/>
        <v>192092.77500000002</v>
      </c>
      <c r="F218" s="1414">
        <f t="shared" si="31"/>
        <v>4033948.2749999999</v>
      </c>
      <c r="G218" s="1417" t="str">
        <f t="shared" si="34"/>
        <v>S.211</v>
      </c>
      <c r="H218" s="1518"/>
      <c r="I218" s="1480">
        <f t="shared" si="32"/>
        <v>3841855.5</v>
      </c>
      <c r="K218" s="1480">
        <v>4194300</v>
      </c>
      <c r="M218" s="1613">
        <v>2262600</v>
      </c>
      <c r="N218" s="1452"/>
      <c r="R218" s="1522" t="s">
        <v>9110</v>
      </c>
      <c r="S218" s="1522" t="str">
        <f t="shared" si="33"/>
        <v>UNION DE DESMONTAJE HD BXB 400MM PN 16 (incluye cargue, transporte y descargue) (incluye cargue, transporte y descargue)</v>
      </c>
    </row>
    <row r="219" spans="1:19" x14ac:dyDescent="0.25">
      <c r="A219" s="1448" t="s">
        <v>8897</v>
      </c>
      <c r="B219" s="1412" t="s">
        <v>9248</v>
      </c>
      <c r="C219" s="1422" t="s">
        <v>5424</v>
      </c>
      <c r="D219" s="1418">
        <f t="shared" si="30"/>
        <v>3841855.5</v>
      </c>
      <c r="E219" s="1414">
        <f t="shared" si="35"/>
        <v>192092.77500000002</v>
      </c>
      <c r="F219" s="1414">
        <f t="shared" si="31"/>
        <v>4033948.2749999999</v>
      </c>
      <c r="G219" s="1417" t="str">
        <f t="shared" si="34"/>
        <v>S.212</v>
      </c>
      <c r="H219" s="1518"/>
      <c r="I219" s="1480">
        <f t="shared" si="32"/>
        <v>3841855.5</v>
      </c>
      <c r="K219" s="1480">
        <v>4194300</v>
      </c>
      <c r="M219" s="1613">
        <v>2262600</v>
      </c>
      <c r="N219" s="1452"/>
      <c r="R219" s="1522" t="s">
        <v>9110</v>
      </c>
      <c r="S219" s="1522" t="str">
        <f t="shared" si="33"/>
        <v>UNION DE DESMONTAJE HD BXB 400MM PN 25 (incluye cargue, transporte y descargue) (incluye cargue, transporte y descargue)</v>
      </c>
    </row>
    <row r="220" spans="1:19" x14ac:dyDescent="0.25">
      <c r="A220" s="1448" t="s">
        <v>8898</v>
      </c>
      <c r="B220" s="1412" t="s">
        <v>9250</v>
      </c>
      <c r="C220" s="1422" t="s">
        <v>5424</v>
      </c>
      <c r="D220" s="1418">
        <f t="shared" si="30"/>
        <v>3841855.5</v>
      </c>
      <c r="E220" s="1414">
        <f t="shared" si="35"/>
        <v>192092.77500000002</v>
      </c>
      <c r="F220" s="1414">
        <f t="shared" si="31"/>
        <v>4033948.2749999999</v>
      </c>
      <c r="G220" s="1417" t="str">
        <f t="shared" si="34"/>
        <v>S.213</v>
      </c>
      <c r="H220" s="1518"/>
      <c r="I220" s="1480">
        <f t="shared" si="32"/>
        <v>3841855.5</v>
      </c>
      <c r="K220" s="1480">
        <v>4194300</v>
      </c>
      <c r="M220" s="1613">
        <v>2262600</v>
      </c>
      <c r="N220" s="1452"/>
      <c r="R220" s="1522" t="s">
        <v>9110</v>
      </c>
      <c r="S220" s="1522" t="str">
        <f t="shared" si="33"/>
        <v>UNION DE DESMONTAJE HD BXB 400MM PN 40 (incluye cargue, transporte y descargue) (incluye cargue, transporte y descargue)</v>
      </c>
    </row>
    <row r="221" spans="1:19" x14ac:dyDescent="0.25">
      <c r="A221" s="1448" t="s">
        <v>8899</v>
      </c>
      <c r="B221" s="1412" t="s">
        <v>9252</v>
      </c>
      <c r="C221" s="1422" t="s">
        <v>5424</v>
      </c>
      <c r="D221" s="1418">
        <f t="shared" si="30"/>
        <v>3841855.5</v>
      </c>
      <c r="E221" s="1414">
        <f t="shared" si="35"/>
        <v>192092.77500000002</v>
      </c>
      <c r="F221" s="1414">
        <f t="shared" si="31"/>
        <v>4033948.2749999999</v>
      </c>
      <c r="G221" s="1417" t="str">
        <f t="shared" si="34"/>
        <v>S.214</v>
      </c>
      <c r="H221" s="1518"/>
      <c r="I221" s="1480">
        <f t="shared" si="32"/>
        <v>3841855.5</v>
      </c>
      <c r="K221" s="1480">
        <v>4194300</v>
      </c>
      <c r="M221" s="1613">
        <v>2262600</v>
      </c>
      <c r="N221" s="1452"/>
      <c r="R221" s="1522" t="s">
        <v>9110</v>
      </c>
      <c r="S221" s="1522" t="str">
        <f t="shared" si="33"/>
        <v>UNION DE DESMONTAJE HD BXB 400MM PN 60 (incluye cargue, transporte y descargue) (incluye cargue, transporte y descargue)</v>
      </c>
    </row>
    <row r="222" spans="1:19" ht="16.5" x14ac:dyDescent="0.3">
      <c r="A222" s="1448" t="s">
        <v>8900</v>
      </c>
      <c r="B222" s="1466" t="s">
        <v>9116</v>
      </c>
      <c r="C222" s="1413" t="s">
        <v>5424</v>
      </c>
      <c r="D222" s="1418">
        <f t="shared" si="30"/>
        <v>6758367</v>
      </c>
      <c r="E222" s="1414">
        <f t="shared" si="35"/>
        <v>337918.35000000003</v>
      </c>
      <c r="F222" s="1414">
        <f t="shared" si="31"/>
        <v>7096285.3499999996</v>
      </c>
      <c r="G222" s="1417" t="str">
        <f t="shared" si="34"/>
        <v>S.215</v>
      </c>
      <c r="H222" s="1601"/>
      <c r="I222" s="1480">
        <f t="shared" si="32"/>
        <v>6758367</v>
      </c>
      <c r="K222" s="1480">
        <v>5679300</v>
      </c>
      <c r="M222" s="1613"/>
      <c r="R222" s="1522" t="s">
        <v>9110</v>
      </c>
      <c r="S222" s="1522" t="str">
        <f t="shared" si="33"/>
        <v>UNION DE DESMONTAJE HD BXB 500MM PN 10 (incluye cargue, transporte y descargue) (incluye cargue, transporte y descargue)</v>
      </c>
    </row>
    <row r="223" spans="1:19" x14ac:dyDescent="0.25">
      <c r="A223" s="1448" t="s">
        <v>8901</v>
      </c>
      <c r="B223" s="1412" t="s">
        <v>9305</v>
      </c>
      <c r="C223" s="1422" t="s">
        <v>5424</v>
      </c>
      <c r="D223" s="1418">
        <f t="shared" si="30"/>
        <v>6758367</v>
      </c>
      <c r="E223" s="1414">
        <f t="shared" si="35"/>
        <v>337918.35000000003</v>
      </c>
      <c r="F223" s="1414">
        <f t="shared" si="31"/>
        <v>7096285.3499999996</v>
      </c>
      <c r="G223" s="1417" t="str">
        <f t="shared" si="34"/>
        <v>S.216</v>
      </c>
      <c r="H223" s="1518"/>
      <c r="I223" s="1480">
        <f t="shared" si="32"/>
        <v>6758367</v>
      </c>
      <c r="K223" s="1480">
        <v>5679300</v>
      </c>
      <c r="M223" s="1613"/>
      <c r="N223" s="1452"/>
      <c r="R223" s="1522" t="s">
        <v>9110</v>
      </c>
      <c r="S223" s="1522" t="str">
        <f t="shared" si="33"/>
        <v>UNION DE DESMONTAJE HD BXB 500MM PN 25 (incluye cargue, transporte y descargue) (incluye cargue, transporte y descargue)</v>
      </c>
    </row>
    <row r="224" spans="1:19" ht="26.25" x14ac:dyDescent="0.25">
      <c r="A224" s="1448" t="s">
        <v>8902</v>
      </c>
      <c r="B224" s="1412" t="s">
        <v>9146</v>
      </c>
      <c r="C224" s="1422" t="s">
        <v>5424</v>
      </c>
      <c r="D224" s="1418">
        <f t="shared" si="30"/>
        <v>79373</v>
      </c>
      <c r="E224" s="1414">
        <f t="shared" si="35"/>
        <v>3968.65</v>
      </c>
      <c r="F224" s="1414">
        <f t="shared" si="31"/>
        <v>83341.649999999994</v>
      </c>
      <c r="G224" s="1417" t="str">
        <f t="shared" si="34"/>
        <v>S.217</v>
      </c>
      <c r="H224" s="1518"/>
      <c r="I224" s="1480">
        <f t="shared" si="32"/>
        <v>79373</v>
      </c>
      <c r="K224" s="1480">
        <v>70400</v>
      </c>
      <c r="L224" s="1480">
        <v>63000</v>
      </c>
      <c r="M224" s="1613"/>
      <c r="N224" s="1452"/>
      <c r="R224" s="1522" t="s">
        <v>9110</v>
      </c>
      <c r="S224" s="1522" t="str">
        <f t="shared" si="33"/>
        <v>UNION DESLIZANTE TIPO MANGUITO EXPRESS O SIMILAR HD BXB 100MM PN 10 (incluye cargue, transporte y descargue) (incluye cargue, transporte y descargue)</v>
      </c>
    </row>
    <row r="225" spans="1:19" ht="26.25" x14ac:dyDescent="0.25">
      <c r="A225" s="1448" t="s">
        <v>8903</v>
      </c>
      <c r="B225" s="1412" t="s">
        <v>9230</v>
      </c>
      <c r="C225" s="1422" t="s">
        <v>5424</v>
      </c>
      <c r="D225" s="1418">
        <f t="shared" si="30"/>
        <v>397420.33333333331</v>
      </c>
      <c r="E225" s="1414">
        <f t="shared" si="35"/>
        <v>19871.016666666666</v>
      </c>
      <c r="F225" s="1414">
        <f t="shared" si="31"/>
        <v>417291.35</v>
      </c>
      <c r="G225" s="1417" t="str">
        <f t="shared" si="34"/>
        <v>S.218</v>
      </c>
      <c r="H225" s="1518"/>
      <c r="I225" s="1480">
        <f t="shared" si="32"/>
        <v>397420.33333333331</v>
      </c>
      <c r="K225" s="1480">
        <v>284900</v>
      </c>
      <c r="L225" s="1480">
        <v>252000</v>
      </c>
      <c r="M225" s="1613">
        <v>465000</v>
      </c>
      <c r="N225" s="1452"/>
      <c r="R225" s="1522" t="s">
        <v>9110</v>
      </c>
      <c r="S225" s="1522" t="str">
        <f t="shared" si="33"/>
        <v>UNION DESLIZANTE TIPO MANGUITO EXPRESS O SIMILAR HD BXB 250MM PN 10 (incluye cargue, transporte y descargue) (incluye cargue, transporte y descargue)</v>
      </c>
    </row>
    <row r="226" spans="1:19" ht="26.25" x14ac:dyDescent="0.25">
      <c r="A226" s="1448" t="s">
        <v>8904</v>
      </c>
      <c r="B226" s="1412" t="s">
        <v>9233</v>
      </c>
      <c r="C226" s="1422" t="s">
        <v>5424</v>
      </c>
      <c r="D226" s="1418">
        <f t="shared" si="30"/>
        <v>397420.33333333331</v>
      </c>
      <c r="E226" s="1414">
        <f t="shared" si="35"/>
        <v>19871.016666666666</v>
      </c>
      <c r="F226" s="1414">
        <f t="shared" si="31"/>
        <v>417291.35</v>
      </c>
      <c r="G226" s="1417" t="str">
        <f t="shared" si="34"/>
        <v>S.219</v>
      </c>
      <c r="H226" s="1518"/>
      <c r="I226" s="1480">
        <f t="shared" si="32"/>
        <v>397420.33333333331</v>
      </c>
      <c r="K226" s="1480">
        <v>284900</v>
      </c>
      <c r="L226" s="1480">
        <v>252000</v>
      </c>
      <c r="M226" s="1613">
        <v>465000</v>
      </c>
      <c r="N226" s="1452"/>
      <c r="R226" s="1522" t="s">
        <v>9110</v>
      </c>
      <c r="S226" s="1522" t="str">
        <f t="shared" si="33"/>
        <v>UNION DESLIZANTE TIPO MANGUITO EXPRESS O SIMILAR HD BXB 250MM PN 16 (incluye cargue, transporte y descargue) (incluye cargue, transporte y descargue)</v>
      </c>
    </row>
    <row r="227" spans="1:19" ht="26.25" x14ac:dyDescent="0.25">
      <c r="A227" s="1448" t="s">
        <v>8905</v>
      </c>
      <c r="B227" s="1412" t="s">
        <v>9342</v>
      </c>
      <c r="C227" s="1422" t="s">
        <v>5424</v>
      </c>
      <c r="D227" s="1418">
        <f t="shared" si="30"/>
        <v>397420.33333333331</v>
      </c>
      <c r="E227" s="1414">
        <f t="shared" si="35"/>
        <v>19871.016666666666</v>
      </c>
      <c r="F227" s="1414">
        <f t="shared" si="31"/>
        <v>417291.35</v>
      </c>
      <c r="G227" s="1417" t="str">
        <f t="shared" si="34"/>
        <v>S.220</v>
      </c>
      <c r="H227" s="1518"/>
      <c r="I227" s="1480">
        <f t="shared" si="32"/>
        <v>397420.33333333331</v>
      </c>
      <c r="K227" s="1480">
        <v>284900</v>
      </c>
      <c r="L227" s="1480">
        <v>252000</v>
      </c>
      <c r="M227" s="1612">
        <v>465000</v>
      </c>
      <c r="N227" s="1452"/>
      <c r="R227" s="1522" t="s">
        <v>9110</v>
      </c>
      <c r="S227" s="1522" t="str">
        <f t="shared" si="33"/>
        <v>UNION DESLIZANTE TIPO MANGUITO EXPRESS O SIMILAR HD BXB 250MM PN 25 (incluye cargue, transporte y descargue) (incluye cargue, transporte y descargue)</v>
      </c>
    </row>
    <row r="228" spans="1:19" ht="26.25" x14ac:dyDescent="0.25">
      <c r="A228" s="1448" t="s">
        <v>8906</v>
      </c>
      <c r="B228" s="1412" t="s">
        <v>9343</v>
      </c>
      <c r="C228" s="1422" t="s">
        <v>5424</v>
      </c>
      <c r="D228" s="1418">
        <f t="shared" si="30"/>
        <v>397420.33333333331</v>
      </c>
      <c r="E228" s="1414">
        <f t="shared" si="35"/>
        <v>19871.016666666666</v>
      </c>
      <c r="F228" s="1414">
        <f t="shared" si="31"/>
        <v>417291.35</v>
      </c>
      <c r="G228" s="1417" t="str">
        <f t="shared" si="34"/>
        <v>S.221</v>
      </c>
      <c r="H228" s="1518"/>
      <c r="I228" s="1480">
        <f t="shared" si="32"/>
        <v>397420.33333333331</v>
      </c>
      <c r="K228" s="1480">
        <v>284900</v>
      </c>
      <c r="L228" s="1480">
        <v>252000</v>
      </c>
      <c r="M228" s="1612">
        <v>465000</v>
      </c>
      <c r="N228" s="1452"/>
      <c r="R228" s="1522" t="s">
        <v>9110</v>
      </c>
      <c r="S228" s="1522" t="str">
        <f t="shared" si="33"/>
        <v>UNION DESLIZANTE TIPO MANGUITO EXPRESS O SIMILAR HD BXB 250MM PN 40 (incluye cargue, transporte y descargue) (incluye cargue, transporte y descargue)</v>
      </c>
    </row>
    <row r="229" spans="1:19" ht="26.25" x14ac:dyDescent="0.25">
      <c r="A229" s="1448" t="s">
        <v>8907</v>
      </c>
      <c r="B229" s="1412" t="s">
        <v>9344</v>
      </c>
      <c r="C229" s="1422" t="s">
        <v>5424</v>
      </c>
      <c r="D229" s="1418">
        <f t="shared" si="30"/>
        <v>397420.33333333331</v>
      </c>
      <c r="E229" s="1414">
        <f t="shared" si="35"/>
        <v>19871.016666666666</v>
      </c>
      <c r="F229" s="1414">
        <f t="shared" si="31"/>
        <v>417291.35</v>
      </c>
      <c r="G229" s="1417" t="str">
        <f t="shared" si="34"/>
        <v>S.222</v>
      </c>
      <c r="H229" s="1518"/>
      <c r="I229" s="1480">
        <f t="shared" si="32"/>
        <v>397420.33333333331</v>
      </c>
      <c r="K229" s="1480">
        <v>284900</v>
      </c>
      <c r="L229" s="1480">
        <v>252000</v>
      </c>
      <c r="M229" s="1612">
        <v>465000</v>
      </c>
      <c r="N229" s="1452"/>
      <c r="R229" s="1522" t="s">
        <v>9110</v>
      </c>
      <c r="S229" s="1522" t="str">
        <f t="shared" si="33"/>
        <v>UNION DESLIZANTE TIPO MANGUITO EXPRESS O SIMILAR HD BXB 250MM PN 60 (incluye cargue, transporte y descargue) (incluye cargue, transporte y descargue)</v>
      </c>
    </row>
    <row r="230" spans="1:19" ht="26.25" x14ac:dyDescent="0.25">
      <c r="A230" s="1448" t="s">
        <v>8908</v>
      </c>
      <c r="B230" s="1412" t="s">
        <v>9231</v>
      </c>
      <c r="C230" s="1422" t="s">
        <v>5424</v>
      </c>
      <c r="D230" s="1418">
        <f t="shared" si="30"/>
        <v>1091944</v>
      </c>
      <c r="E230" s="1414">
        <f t="shared" si="35"/>
        <v>54597.200000000004</v>
      </c>
      <c r="F230" s="1414">
        <f t="shared" si="31"/>
        <v>1146541.2</v>
      </c>
      <c r="G230" s="1417" t="str">
        <f t="shared" si="34"/>
        <v>S.223</v>
      </c>
      <c r="H230" s="1518"/>
      <c r="I230" s="1480">
        <f t="shared" si="32"/>
        <v>1091944</v>
      </c>
      <c r="K230" s="1480">
        <v>668800</v>
      </c>
      <c r="L230" s="1480">
        <v>590000</v>
      </c>
      <c r="M230" s="1612">
        <v>1494000</v>
      </c>
      <c r="N230" s="1452"/>
      <c r="R230" s="1522" t="s">
        <v>9110</v>
      </c>
      <c r="S230" s="1522" t="str">
        <f t="shared" si="33"/>
        <v>UNION DESLIZANTE TIPO MANGUITO EXPRESS O SIMILAR HD BXB 350MM PN 10 (incluye cargue, transporte y descargue) (incluye cargue, transporte y descargue)</v>
      </c>
    </row>
    <row r="231" spans="1:19" ht="26.25" x14ac:dyDescent="0.25">
      <c r="A231" s="1448" t="s">
        <v>8909</v>
      </c>
      <c r="B231" s="1412" t="s">
        <v>9234</v>
      </c>
      <c r="C231" s="1422" t="s">
        <v>5424</v>
      </c>
      <c r="D231" s="1418">
        <f t="shared" si="30"/>
        <v>1091944</v>
      </c>
      <c r="E231" s="1414">
        <f t="shared" si="35"/>
        <v>54597.200000000004</v>
      </c>
      <c r="F231" s="1414">
        <f t="shared" si="31"/>
        <v>1146541.2</v>
      </c>
      <c r="G231" s="1417" t="str">
        <f t="shared" si="34"/>
        <v>S.224</v>
      </c>
      <c r="H231" s="1518"/>
      <c r="I231" s="1480">
        <f t="shared" si="32"/>
        <v>1091944</v>
      </c>
      <c r="K231" s="1480">
        <v>668800</v>
      </c>
      <c r="L231" s="1480">
        <v>590000</v>
      </c>
      <c r="M231" s="1612">
        <v>1494000</v>
      </c>
      <c r="N231" s="1452"/>
      <c r="R231" s="1522" t="s">
        <v>9110</v>
      </c>
      <c r="S231" s="1522" t="str">
        <f t="shared" si="33"/>
        <v>UNION DESLIZANTE TIPO MANGUITO EXPRESS O SIMILAR HD BXB 350MM PN 16 (incluye cargue, transporte y descargue) (incluye cargue, transporte y descargue)</v>
      </c>
    </row>
    <row r="232" spans="1:19" ht="26.25" x14ac:dyDescent="0.25">
      <c r="A232" s="1448" t="s">
        <v>8910</v>
      </c>
      <c r="B232" s="1412" t="s">
        <v>9236</v>
      </c>
      <c r="C232" s="1422" t="s">
        <v>5424</v>
      </c>
      <c r="D232" s="1418">
        <f t="shared" si="30"/>
        <v>1091944</v>
      </c>
      <c r="E232" s="1414">
        <f t="shared" si="35"/>
        <v>54597.200000000004</v>
      </c>
      <c r="F232" s="1414">
        <f t="shared" si="31"/>
        <v>1146541.2</v>
      </c>
      <c r="G232" s="1417" t="str">
        <f t="shared" si="34"/>
        <v>S.225</v>
      </c>
      <c r="H232" s="1518"/>
      <c r="I232" s="1480">
        <f t="shared" si="32"/>
        <v>1091944</v>
      </c>
      <c r="K232" s="1480">
        <v>668800</v>
      </c>
      <c r="L232" s="1480">
        <v>590000</v>
      </c>
      <c r="M232" s="1612">
        <v>1494000</v>
      </c>
      <c r="N232" s="1452"/>
      <c r="O232" s="1452"/>
      <c r="R232" s="1522" t="s">
        <v>9110</v>
      </c>
      <c r="S232" s="1522" t="str">
        <f t="shared" si="33"/>
        <v>UNION DESLIZANTE TIPO MANGUITO EXPRESS O SIMILAR HD BXB 350MM PN 25 (incluye cargue, transporte y descargue) (incluye cargue, transporte y descargue)</v>
      </c>
    </row>
    <row r="233" spans="1:19" ht="26.25" x14ac:dyDescent="0.25">
      <c r="A233" s="1448" t="s">
        <v>8911</v>
      </c>
      <c r="B233" s="1412" t="s">
        <v>9239</v>
      </c>
      <c r="C233" s="1422" t="s">
        <v>5424</v>
      </c>
      <c r="D233" s="1418">
        <f t="shared" si="30"/>
        <v>1091944</v>
      </c>
      <c r="E233" s="1414">
        <f t="shared" si="35"/>
        <v>54597.200000000004</v>
      </c>
      <c r="F233" s="1414">
        <f t="shared" si="31"/>
        <v>1146541.2</v>
      </c>
      <c r="G233" s="1417" t="str">
        <f t="shared" si="34"/>
        <v>S.226</v>
      </c>
      <c r="H233" s="1518"/>
      <c r="I233" s="1480">
        <f t="shared" si="32"/>
        <v>1091944</v>
      </c>
      <c r="K233" s="1480">
        <v>668800</v>
      </c>
      <c r="L233" s="1480">
        <v>590000</v>
      </c>
      <c r="M233" s="1612">
        <v>1494000</v>
      </c>
      <c r="N233" s="1452"/>
      <c r="R233" s="1522" t="s">
        <v>9110</v>
      </c>
      <c r="S233" s="1522" t="str">
        <f t="shared" si="33"/>
        <v>UNION DESLIZANTE TIPO MANGUITO EXPRESS O SIMILAR HD BXB 350MM PN 40 (incluye cargue, transporte y descargue) (incluye cargue, transporte y descargue)</v>
      </c>
    </row>
    <row r="234" spans="1:19" ht="26.25" x14ac:dyDescent="0.25">
      <c r="A234" s="1448" t="s">
        <v>8912</v>
      </c>
      <c r="B234" s="1412" t="s">
        <v>9241</v>
      </c>
      <c r="C234" s="1422" t="s">
        <v>5424</v>
      </c>
      <c r="D234" s="1418">
        <f t="shared" si="30"/>
        <v>1091944</v>
      </c>
      <c r="E234" s="1414">
        <f t="shared" si="35"/>
        <v>54597.200000000004</v>
      </c>
      <c r="F234" s="1414">
        <f t="shared" si="31"/>
        <v>1146541.2</v>
      </c>
      <c r="G234" s="1417" t="str">
        <f t="shared" si="34"/>
        <v>S.227</v>
      </c>
      <c r="H234" s="1518"/>
      <c r="I234" s="1480">
        <f t="shared" si="32"/>
        <v>1091944</v>
      </c>
      <c r="K234" s="1480">
        <v>668800</v>
      </c>
      <c r="L234" s="1480">
        <v>590000</v>
      </c>
      <c r="M234" s="1612">
        <v>1494000</v>
      </c>
      <c r="N234" s="1452"/>
      <c r="O234" s="1452"/>
      <c r="R234" s="1522" t="s">
        <v>9110</v>
      </c>
      <c r="S234" s="1522" t="str">
        <f t="shared" si="33"/>
        <v>UNION DESLIZANTE TIPO MANGUITO EXPRESS O SIMILAR HD BXB 350MM PN 60 (incluye cargue, transporte y descargue) (incluye cargue, transporte y descargue)</v>
      </c>
    </row>
    <row r="235" spans="1:19" ht="26.25" x14ac:dyDescent="0.25">
      <c r="A235" s="1448" t="s">
        <v>8913</v>
      </c>
      <c r="B235" s="1412" t="s">
        <v>9232</v>
      </c>
      <c r="C235" s="1422" t="s">
        <v>5424</v>
      </c>
      <c r="D235" s="1418">
        <f t="shared" si="30"/>
        <v>1531887</v>
      </c>
      <c r="E235" s="1414">
        <f t="shared" si="35"/>
        <v>76594.350000000006</v>
      </c>
      <c r="F235" s="1414">
        <f t="shared" si="31"/>
        <v>1608481.35</v>
      </c>
      <c r="G235" s="1417" t="str">
        <f t="shared" si="34"/>
        <v>S.228</v>
      </c>
      <c r="H235" s="1518"/>
      <c r="I235" s="1480">
        <f t="shared" si="32"/>
        <v>1531887</v>
      </c>
      <c r="K235" s="1480">
        <v>911900</v>
      </c>
      <c r="L235" s="1480">
        <v>805000</v>
      </c>
      <c r="M235" s="1612">
        <v>2145000</v>
      </c>
      <c r="N235" s="1452"/>
      <c r="O235" s="1452"/>
      <c r="R235" s="1522" t="s">
        <v>9110</v>
      </c>
      <c r="S235" s="1522" t="str">
        <f t="shared" si="33"/>
        <v>UNION DESLIZANTE TIPO MANGUITO EXPRESS O SIMILAR HD BXB 400MM PN 10 (incluye cargue, transporte y descargue) (incluye cargue, transporte y descargue)</v>
      </c>
    </row>
    <row r="236" spans="1:19" ht="26.25" x14ac:dyDescent="0.25">
      <c r="A236" s="1448" t="s">
        <v>8914</v>
      </c>
      <c r="B236" s="1412" t="s">
        <v>9235</v>
      </c>
      <c r="C236" s="1422" t="s">
        <v>5424</v>
      </c>
      <c r="D236" s="1418">
        <f t="shared" si="30"/>
        <v>1531887</v>
      </c>
      <c r="E236" s="1414">
        <f t="shared" si="35"/>
        <v>76594.350000000006</v>
      </c>
      <c r="F236" s="1414">
        <f t="shared" si="31"/>
        <v>1608481.35</v>
      </c>
      <c r="G236" s="1417" t="str">
        <f t="shared" si="34"/>
        <v>S.229</v>
      </c>
      <c r="H236" s="1518"/>
      <c r="I236" s="1480">
        <f t="shared" si="32"/>
        <v>1531887</v>
      </c>
      <c r="K236" s="1480">
        <v>911900</v>
      </c>
      <c r="L236" s="1480">
        <v>805000</v>
      </c>
      <c r="M236" s="1612">
        <v>2145000</v>
      </c>
      <c r="N236" s="1452"/>
      <c r="O236" s="1452"/>
      <c r="R236" s="1522" t="s">
        <v>9110</v>
      </c>
      <c r="S236" s="1522" t="str">
        <f t="shared" si="33"/>
        <v>UNION DESLIZANTE TIPO MANGUITO EXPRESS O SIMILAR HD BXB 400MM PN 16 (incluye cargue, transporte y descargue) (incluye cargue, transporte y descargue)</v>
      </c>
    </row>
    <row r="237" spans="1:19" ht="26.25" x14ac:dyDescent="0.25">
      <c r="A237" s="1448" t="s">
        <v>8915</v>
      </c>
      <c r="B237" s="1412" t="s">
        <v>9237</v>
      </c>
      <c r="C237" s="1422" t="s">
        <v>5424</v>
      </c>
      <c r="D237" s="1418">
        <f t="shared" si="30"/>
        <v>1531887</v>
      </c>
      <c r="E237" s="1414">
        <f t="shared" si="35"/>
        <v>76594.350000000006</v>
      </c>
      <c r="F237" s="1414">
        <f t="shared" si="31"/>
        <v>1608481.35</v>
      </c>
      <c r="G237" s="1417" t="str">
        <f t="shared" si="34"/>
        <v>S.230</v>
      </c>
      <c r="H237" s="1518"/>
      <c r="I237" s="1480">
        <f t="shared" si="32"/>
        <v>1531887</v>
      </c>
      <c r="K237" s="1480">
        <v>911900</v>
      </c>
      <c r="L237" s="1480">
        <v>805000</v>
      </c>
      <c r="M237" s="1480">
        <v>2145000</v>
      </c>
      <c r="N237" s="1452"/>
      <c r="O237" s="1452"/>
      <c r="R237" s="1522" t="s">
        <v>9110</v>
      </c>
      <c r="S237" s="1522" t="str">
        <f t="shared" si="33"/>
        <v>UNION DESLIZANTE TIPO MANGUITO EXPRESS O SIMILAR HD BXB 400MM PN 25 (incluye cargue, transporte y descargue) (incluye cargue, transporte y descargue)</v>
      </c>
    </row>
    <row r="238" spans="1:19" ht="26.25" x14ac:dyDescent="0.25">
      <c r="A238" s="1448" t="s">
        <v>8916</v>
      </c>
      <c r="B238" s="1412" t="s">
        <v>9240</v>
      </c>
      <c r="C238" s="1422" t="s">
        <v>5424</v>
      </c>
      <c r="D238" s="1418">
        <f t="shared" si="30"/>
        <v>1531887</v>
      </c>
      <c r="E238" s="1414">
        <f t="shared" si="35"/>
        <v>76594.350000000006</v>
      </c>
      <c r="F238" s="1414">
        <f t="shared" si="31"/>
        <v>1608481.35</v>
      </c>
      <c r="G238" s="1417" t="str">
        <f t="shared" si="34"/>
        <v>S.231</v>
      </c>
      <c r="H238" s="1518"/>
      <c r="I238" s="1480">
        <f t="shared" si="32"/>
        <v>1531887</v>
      </c>
      <c r="K238" s="1480">
        <v>911900</v>
      </c>
      <c r="L238" s="1480">
        <v>805000</v>
      </c>
      <c r="M238" s="1619">
        <v>2145000</v>
      </c>
      <c r="N238" s="1452"/>
      <c r="O238" s="1452"/>
      <c r="R238" s="1522" t="s">
        <v>9110</v>
      </c>
      <c r="S238" s="1522" t="str">
        <f t="shared" si="33"/>
        <v>UNION DESLIZANTE TIPO MANGUITO EXPRESS O SIMILAR HD BXB 400MM PN 40 (incluye cargue, transporte y descargue) (incluye cargue, transporte y descargue)</v>
      </c>
    </row>
    <row r="239" spans="1:19" ht="26.25" x14ac:dyDescent="0.25">
      <c r="A239" s="1448" t="s">
        <v>8917</v>
      </c>
      <c r="B239" s="1412" t="s">
        <v>9345</v>
      </c>
      <c r="C239" s="1422" t="s">
        <v>5424</v>
      </c>
      <c r="D239" s="1418">
        <f t="shared" si="30"/>
        <v>1531887</v>
      </c>
      <c r="E239" s="1414">
        <f t="shared" si="35"/>
        <v>76594.350000000006</v>
      </c>
      <c r="F239" s="1414">
        <f t="shared" si="31"/>
        <v>1608481.35</v>
      </c>
      <c r="G239" s="1417" t="str">
        <f t="shared" si="34"/>
        <v>S.232</v>
      </c>
      <c r="H239" s="1518"/>
      <c r="I239" s="1480">
        <f t="shared" si="32"/>
        <v>1531887</v>
      </c>
      <c r="K239" s="1480">
        <v>911900</v>
      </c>
      <c r="L239" s="1480">
        <v>805000</v>
      </c>
      <c r="M239" s="1480">
        <v>2145000</v>
      </c>
      <c r="N239" s="891"/>
      <c r="O239" s="1452"/>
      <c r="R239" s="1522" t="s">
        <v>9110</v>
      </c>
      <c r="S239" s="1522" t="str">
        <f t="shared" si="33"/>
        <v>UNION DESLIZANTE TIPO MANGUITO EXPRESS O SIMILAR HD BXB 400MM PN 60 (incluye cargue, transporte y descargue) (incluye cargue, transporte y descargue)</v>
      </c>
    </row>
    <row r="240" spans="1:19" ht="26.25" x14ac:dyDescent="0.25">
      <c r="A240" s="1448" t="s">
        <v>8918</v>
      </c>
      <c r="B240" s="1412" t="s">
        <v>9346</v>
      </c>
      <c r="C240" s="1422" t="s">
        <v>5424</v>
      </c>
      <c r="D240" s="1418">
        <f t="shared" si="30"/>
        <v>1293589.5</v>
      </c>
      <c r="E240" s="1414">
        <f t="shared" si="35"/>
        <v>64679.475000000006</v>
      </c>
      <c r="F240" s="1414">
        <f t="shared" si="31"/>
        <v>1358268.9750000001</v>
      </c>
      <c r="G240" s="1417" t="str">
        <f t="shared" si="34"/>
        <v>S.233</v>
      </c>
      <c r="H240" s="1518"/>
      <c r="I240" s="1480">
        <f t="shared" si="32"/>
        <v>1293589.5</v>
      </c>
      <c r="K240" s="1480">
        <v>1134100</v>
      </c>
      <c r="L240" s="1480">
        <v>1040000</v>
      </c>
      <c r="N240" s="1452"/>
      <c r="O240" s="1452"/>
      <c r="R240" s="1522" t="s">
        <v>9110</v>
      </c>
      <c r="S240" s="1522" t="str">
        <f t="shared" si="33"/>
        <v>UNION DESLIZANTE TIPO MANGUITO EXPRESS O SIMILAR HD BXB 500MM PN 10 (incluye cargue, transporte y descargue) (incluye cargue, transporte y descargue)</v>
      </c>
    </row>
    <row r="241" spans="1:19" ht="26.25" x14ac:dyDescent="0.25">
      <c r="A241" s="1448" t="s">
        <v>8919</v>
      </c>
      <c r="B241" s="1412" t="s">
        <v>9347</v>
      </c>
      <c r="C241" s="1422" t="s">
        <v>5424</v>
      </c>
      <c r="D241" s="1418">
        <f t="shared" si="30"/>
        <v>1293589.5</v>
      </c>
      <c r="E241" s="1414">
        <f t="shared" si="35"/>
        <v>64679.475000000006</v>
      </c>
      <c r="F241" s="1414">
        <f t="shared" si="31"/>
        <v>1358268.9750000001</v>
      </c>
      <c r="G241" s="1417" t="str">
        <f t="shared" si="34"/>
        <v>S.234</v>
      </c>
      <c r="H241" s="1518"/>
      <c r="I241" s="1480">
        <f t="shared" si="32"/>
        <v>1293589.5</v>
      </c>
      <c r="K241" s="1480">
        <v>1134100</v>
      </c>
      <c r="L241" s="1480">
        <v>1040000</v>
      </c>
      <c r="N241" s="1452"/>
      <c r="O241" s="1452"/>
      <c r="R241" s="1522" t="s">
        <v>9110</v>
      </c>
      <c r="S241" s="1522" t="str">
        <f t="shared" si="33"/>
        <v>UNION DESLIZANTE TIPO MANGUITO EXPRESS O SIMILAR HD BXB 500MM PN 16 (incluye cargue, transporte y descargue) (incluye cargue, transporte y descargue)</v>
      </c>
    </row>
    <row r="242" spans="1:19" ht="26.25" x14ac:dyDescent="0.25">
      <c r="A242" s="1448" t="s">
        <v>8920</v>
      </c>
      <c r="B242" s="1412" t="s">
        <v>9238</v>
      </c>
      <c r="C242" s="1422" t="s">
        <v>5424</v>
      </c>
      <c r="D242" s="1418">
        <f t="shared" si="30"/>
        <v>1293589.5</v>
      </c>
      <c r="E242" s="1414">
        <f t="shared" si="35"/>
        <v>64679.475000000006</v>
      </c>
      <c r="F242" s="1414">
        <f t="shared" si="31"/>
        <v>1358268.9750000001</v>
      </c>
      <c r="G242" s="1417" t="str">
        <f t="shared" si="34"/>
        <v>S.235</v>
      </c>
      <c r="H242" s="1518"/>
      <c r="I242" s="1480">
        <f t="shared" si="32"/>
        <v>1293589.5</v>
      </c>
      <c r="K242" s="1480">
        <v>1134100</v>
      </c>
      <c r="L242" s="1480">
        <v>1040000</v>
      </c>
      <c r="N242" s="1452"/>
      <c r="O242" s="1615"/>
      <c r="R242" s="1522" t="s">
        <v>9110</v>
      </c>
      <c r="S242" s="1522" t="str">
        <f t="shared" si="33"/>
        <v>UNION DESLIZANTE TIPO MANGUITO EXPRESS O SIMILAR HD BXB 500MM PN 25 (incluye cargue, transporte y descargue) (incluye cargue, transporte y descargue)</v>
      </c>
    </row>
    <row r="243" spans="1:19" ht="26.25" x14ac:dyDescent="0.25">
      <c r="A243" s="1448" t="s">
        <v>8921</v>
      </c>
      <c r="B243" s="1412" t="s">
        <v>9348</v>
      </c>
      <c r="C243" s="1422" t="s">
        <v>5424</v>
      </c>
      <c r="D243" s="1418">
        <f t="shared" si="30"/>
        <v>1293589.5</v>
      </c>
      <c r="E243" s="1414">
        <f t="shared" si="35"/>
        <v>64679.475000000006</v>
      </c>
      <c r="F243" s="1414">
        <f t="shared" si="31"/>
        <v>1358268.9750000001</v>
      </c>
      <c r="G243" s="1417" t="str">
        <f t="shared" si="34"/>
        <v>S.236</v>
      </c>
      <c r="H243" s="1518"/>
      <c r="I243" s="1480">
        <f t="shared" si="32"/>
        <v>1293589.5</v>
      </c>
      <c r="K243" s="1480">
        <v>1134100</v>
      </c>
      <c r="L243" s="1480">
        <v>1040000</v>
      </c>
      <c r="N243" s="1452"/>
      <c r="O243" s="1452"/>
      <c r="R243" s="1522" t="s">
        <v>9110</v>
      </c>
      <c r="S243" s="1522" t="str">
        <f t="shared" si="33"/>
        <v>UNION DESLIZANTE TIPO MANGUITO EXPRESS O SIMILAR HD BXB 500MM PN 40 (incluye cargue, transporte y descargue) (incluye cargue, transporte y descargue)</v>
      </c>
    </row>
    <row r="244" spans="1:19" ht="26.25" x14ac:dyDescent="0.25">
      <c r="A244" s="1448" t="s">
        <v>8922</v>
      </c>
      <c r="B244" s="1412" t="s">
        <v>9349</v>
      </c>
      <c r="C244" s="1422" t="s">
        <v>5424</v>
      </c>
      <c r="D244" s="1418">
        <f t="shared" si="30"/>
        <v>1293589.5</v>
      </c>
      <c r="E244" s="1414">
        <f t="shared" si="35"/>
        <v>64679.475000000006</v>
      </c>
      <c r="F244" s="1414">
        <f t="shared" si="31"/>
        <v>1358268.9750000001</v>
      </c>
      <c r="G244" s="1417" t="str">
        <f t="shared" si="34"/>
        <v>S.237</v>
      </c>
      <c r="H244" s="1518"/>
      <c r="I244" s="1480">
        <f t="shared" si="32"/>
        <v>1293589.5</v>
      </c>
      <c r="K244" s="1480">
        <v>1134100</v>
      </c>
      <c r="L244" s="1480">
        <v>1040000</v>
      </c>
      <c r="N244" s="1452"/>
      <c r="O244" s="1452"/>
      <c r="R244" s="1522" t="s">
        <v>9110</v>
      </c>
      <c r="S244" s="1522" t="str">
        <f t="shared" si="33"/>
        <v>UNION DESLIZANTE TIPO MANGUITO EXPRESS O SIMILAR HD BXB 500MM PN 60 (incluye cargue, transporte y descargue) (incluye cargue, transporte y descargue)</v>
      </c>
    </row>
    <row r="245" spans="1:19" ht="16.5" x14ac:dyDescent="0.3">
      <c r="A245" s="1448" t="s">
        <v>8923</v>
      </c>
      <c r="B245" s="1466" t="s">
        <v>9403</v>
      </c>
      <c r="C245" s="1076" t="s">
        <v>5424</v>
      </c>
      <c r="D245" s="1389">
        <v>2497376</v>
      </c>
      <c r="E245" s="1414">
        <f t="shared" si="35"/>
        <v>124868.8</v>
      </c>
      <c r="F245" s="1414">
        <f t="shared" si="31"/>
        <v>2622244.7999999998</v>
      </c>
      <c r="G245" s="1417" t="str">
        <f t="shared" si="34"/>
        <v>S.238</v>
      </c>
      <c r="H245" s="1601"/>
      <c r="O245" s="1452"/>
      <c r="R245" s="1522" t="s">
        <v>9110</v>
      </c>
      <c r="S245" s="1522" t="str">
        <f t="shared" si="33"/>
        <v>UNION DE DESMONTAJE HD BXB 300MM PN 10 (incluye cargue, transporte y descargue) (incluye cargue, transporte y descargue)</v>
      </c>
    </row>
    <row r="246" spans="1:19" ht="16.5" x14ac:dyDescent="0.3">
      <c r="A246" s="1448" t="s">
        <v>8924</v>
      </c>
      <c r="B246" s="1462" t="s">
        <v>9185</v>
      </c>
      <c r="C246" s="1413" t="s">
        <v>5424</v>
      </c>
      <c r="D246" s="1418">
        <f>+I246</f>
        <v>419475</v>
      </c>
      <c r="E246" s="1414">
        <f t="shared" si="35"/>
        <v>20973.75</v>
      </c>
      <c r="F246" s="1414">
        <f t="shared" si="31"/>
        <v>440448.75</v>
      </c>
      <c r="G246" s="1417" t="str">
        <f t="shared" si="34"/>
        <v>S.239</v>
      </c>
      <c r="H246" s="1518"/>
      <c r="I246" s="1480">
        <f>+AVERAGE(K246:O246)*1.19</f>
        <v>419475</v>
      </c>
      <c r="K246" s="1480">
        <v>385000</v>
      </c>
      <c r="L246" s="1480">
        <v>320000</v>
      </c>
      <c r="N246" s="1452"/>
      <c r="O246" s="1448"/>
      <c r="R246" s="1522" t="s">
        <v>9110</v>
      </c>
      <c r="S246" s="1522" t="str">
        <f t="shared" si="33"/>
        <v>UNION UNIVERSAL (30 mm) 250 MM  HD (incluye cargue, transporte y descargue) (incluye cargue, transporte y descargue)</v>
      </c>
    </row>
    <row r="247" spans="1:19" ht="16.5" x14ac:dyDescent="0.3">
      <c r="A247" s="1448" t="s">
        <v>8925</v>
      </c>
      <c r="B247" s="1462" t="s">
        <v>9186</v>
      </c>
      <c r="C247" s="1413" t="s">
        <v>5424</v>
      </c>
      <c r="D247" s="1418">
        <f>+I247</f>
        <v>568225</v>
      </c>
      <c r="E247" s="1414">
        <f t="shared" si="35"/>
        <v>28411.25</v>
      </c>
      <c r="F247" s="1414">
        <f t="shared" si="31"/>
        <v>596636.25</v>
      </c>
      <c r="G247" s="1417" t="str">
        <f t="shared" si="34"/>
        <v>S.240</v>
      </c>
      <c r="H247" s="1518"/>
      <c r="I247" s="1480">
        <f>+AVERAGE(K247:O247)*1.19</f>
        <v>568225</v>
      </c>
      <c r="K247" s="1480">
        <v>517000</v>
      </c>
      <c r="L247" s="1480">
        <v>438000</v>
      </c>
      <c r="N247" s="1452"/>
      <c r="O247" s="1452"/>
      <c r="R247" s="1522" t="s">
        <v>9110</v>
      </c>
      <c r="S247" s="1522" t="str">
        <f t="shared" si="33"/>
        <v>UNION UNIVERSAL (30 mm) 350 MM  HD (incluye cargue, transporte y descargue) (incluye cargue, transporte y descargue)</v>
      </c>
    </row>
    <row r="248" spans="1:19" ht="16.5" x14ac:dyDescent="0.3">
      <c r="A248" s="1448" t="s">
        <v>8926</v>
      </c>
      <c r="B248" s="1462" t="s">
        <v>9187</v>
      </c>
      <c r="C248" s="1413" t="s">
        <v>5424</v>
      </c>
      <c r="D248" s="1418">
        <f>+I248</f>
        <v>1749300</v>
      </c>
      <c r="E248" s="1414">
        <f t="shared" si="35"/>
        <v>87465</v>
      </c>
      <c r="F248" s="1414">
        <f t="shared" si="31"/>
        <v>1836765</v>
      </c>
      <c r="G248" s="1417" t="str">
        <f t="shared" si="34"/>
        <v>S.241</v>
      </c>
      <c r="H248" s="1518"/>
      <c r="I248" s="1480">
        <f>+AVERAGE(K248:O248)*1.19</f>
        <v>1749300</v>
      </c>
      <c r="L248" s="1480">
        <v>1470000</v>
      </c>
      <c r="N248" s="1452"/>
      <c r="O248" s="1452"/>
      <c r="R248" s="1522" t="s">
        <v>9110</v>
      </c>
      <c r="S248" s="1522" t="str">
        <f t="shared" si="33"/>
        <v>UNION UNIVERSAL (30 mm) 400 MM  HD (incluye cargue, transporte y descargue) (incluye cargue, transporte y descargue)</v>
      </c>
    </row>
    <row r="249" spans="1:19" ht="16.5" x14ac:dyDescent="0.3">
      <c r="A249" s="1448" t="s">
        <v>8927</v>
      </c>
      <c r="B249" s="1462" t="s">
        <v>9284</v>
      </c>
      <c r="C249" s="1076" t="s">
        <v>5424</v>
      </c>
      <c r="D249" s="1389">
        <v>780</v>
      </c>
      <c r="E249" s="1414">
        <f t="shared" si="35"/>
        <v>39</v>
      </c>
      <c r="F249" s="1414">
        <f t="shared" si="31"/>
        <v>819</v>
      </c>
      <c r="G249" s="1417" t="str">
        <f t="shared" si="34"/>
        <v>S.242</v>
      </c>
      <c r="H249" s="1601"/>
      <c r="O249" s="1452"/>
      <c r="R249" s="1522" t="s">
        <v>9110</v>
      </c>
      <c r="S249" s="1522" t="str">
        <f t="shared" si="33"/>
        <v>Uniones Presión soldar D= 1" (incluye cargue, transporte y descargue) (incluye cargue, transporte y descargue)</v>
      </c>
    </row>
    <row r="250" spans="1:19" ht="26.25" x14ac:dyDescent="0.25">
      <c r="A250" s="1448" t="s">
        <v>8928</v>
      </c>
      <c r="B250" s="1412" t="s">
        <v>9275</v>
      </c>
      <c r="C250" s="1413" t="s">
        <v>5424</v>
      </c>
      <c r="D250" s="1418">
        <f t="shared" ref="D250:D255" si="36">+I250</f>
        <v>13518940.26</v>
      </c>
      <c r="E250" s="1414">
        <f t="shared" si="35"/>
        <v>675947.01300000004</v>
      </c>
      <c r="F250" s="1414">
        <f t="shared" si="31"/>
        <v>14194887.273</v>
      </c>
      <c r="G250" s="1417" t="str">
        <f t="shared" si="34"/>
        <v>S.243</v>
      </c>
      <c r="H250" s="1518"/>
      <c r="I250" s="1480">
        <f t="shared" ref="I250:I255" si="37">+AVERAGE(K250:O250)*1.19</f>
        <v>13518940.26</v>
      </c>
      <c r="M250" s="1611">
        <v>11360454</v>
      </c>
      <c r="O250" s="1452"/>
      <c r="R250" s="1522" t="s">
        <v>9110</v>
      </c>
      <c r="S250" s="1522" t="str">
        <f t="shared" si="33"/>
        <v>VALVULA ANITCAVITACION O DE AGUJA BXB 100MM PN 16 (incluye cargue, transporte y descargue) (incluye cargue, transporte y descargue)</v>
      </c>
    </row>
    <row r="251" spans="1:19" s="1452" customFormat="1" ht="26.25" x14ac:dyDescent="0.25">
      <c r="A251" s="1448" t="s">
        <v>8929</v>
      </c>
      <c r="B251" s="1412" t="s">
        <v>9276</v>
      </c>
      <c r="C251" s="1413" t="s">
        <v>5424</v>
      </c>
      <c r="D251" s="1418">
        <f t="shared" si="36"/>
        <v>13518940.26</v>
      </c>
      <c r="E251" s="1414">
        <f t="shared" si="35"/>
        <v>675947.01300000004</v>
      </c>
      <c r="F251" s="1414">
        <f t="shared" si="31"/>
        <v>14194887.273</v>
      </c>
      <c r="G251" s="1417" t="str">
        <f t="shared" si="34"/>
        <v>S.244</v>
      </c>
      <c r="H251" s="1518"/>
      <c r="I251" s="1480">
        <f t="shared" si="37"/>
        <v>13518940.26</v>
      </c>
      <c r="K251" s="1480"/>
      <c r="L251" s="1480"/>
      <c r="M251" s="1611">
        <v>11360454</v>
      </c>
      <c r="N251" s="1480"/>
      <c r="O251" s="1615"/>
      <c r="R251" s="1522" t="s">
        <v>9110</v>
      </c>
      <c r="S251" s="1522" t="str">
        <f t="shared" si="33"/>
        <v>VALVULA ANITCAVITACION O DE AGUJA BXB 100MM PN 25 (incluye cargue, transporte y descargue) (incluye cargue, transporte y descargue)</v>
      </c>
    </row>
    <row r="252" spans="1:19" s="1452" customFormat="1" ht="26.25" x14ac:dyDescent="0.25">
      <c r="A252" s="1448" t="s">
        <v>8930</v>
      </c>
      <c r="B252" s="1412" t="s">
        <v>9277</v>
      </c>
      <c r="C252" s="1413" t="s">
        <v>5424</v>
      </c>
      <c r="D252" s="1418">
        <f t="shared" si="36"/>
        <v>17574622.338</v>
      </c>
      <c r="E252" s="1414">
        <f t="shared" si="35"/>
        <v>878731.11690000002</v>
      </c>
      <c r="F252" s="1414">
        <f t="shared" si="31"/>
        <v>18453353.4549</v>
      </c>
      <c r="G252" s="1417" t="str">
        <f t="shared" si="34"/>
        <v>S.245</v>
      </c>
      <c r="H252" s="1518"/>
      <c r="I252" s="1480">
        <f t="shared" si="37"/>
        <v>17574622.338</v>
      </c>
      <c r="K252" s="1480"/>
      <c r="L252" s="1480"/>
      <c r="M252" s="1611">
        <v>14768590.200000001</v>
      </c>
      <c r="N252" s="1480"/>
      <c r="O252" s="1615"/>
      <c r="R252" s="1522" t="s">
        <v>9110</v>
      </c>
      <c r="S252" s="1522" t="str">
        <f t="shared" si="33"/>
        <v>VALVULA ANITCAVITACION O DE AGUJA BXB 100MM PN 40 (incluye cargue, transporte y descargue) (incluye cargue, transporte y descargue)</v>
      </c>
    </row>
    <row r="253" spans="1:19" ht="26.25" x14ac:dyDescent="0.25">
      <c r="A253" s="1448" t="s">
        <v>8931</v>
      </c>
      <c r="B253" s="1412" t="s">
        <v>9278</v>
      </c>
      <c r="C253" s="1413" t="s">
        <v>5424</v>
      </c>
      <c r="D253" s="1418">
        <f t="shared" si="36"/>
        <v>22847009.0394</v>
      </c>
      <c r="E253" s="1414">
        <f t="shared" si="35"/>
        <v>1142350.4519700001</v>
      </c>
      <c r="F253" s="1414">
        <f t="shared" si="31"/>
        <v>23989359.49137</v>
      </c>
      <c r="G253" s="1417" t="str">
        <f t="shared" si="34"/>
        <v>S.246</v>
      </c>
      <c r="H253" s="1518"/>
      <c r="I253" s="1480">
        <f t="shared" si="37"/>
        <v>22847009.0394</v>
      </c>
      <c r="M253" s="1611">
        <v>19199167.260000002</v>
      </c>
      <c r="O253" s="1615"/>
      <c r="R253" s="1522" t="s">
        <v>9110</v>
      </c>
      <c r="S253" s="1522" t="str">
        <f t="shared" si="33"/>
        <v>VALVULA ANITCAVITACION O DE AGUJA BXB 100MM PN 60 (incluye cargue, transporte y descargue) (incluye cargue, transporte y descargue)</v>
      </c>
    </row>
    <row r="254" spans="1:19" ht="25.5" x14ac:dyDescent="0.25">
      <c r="A254" s="1448" t="s">
        <v>9088</v>
      </c>
      <c r="B254" s="1426" t="s">
        <v>9151</v>
      </c>
      <c r="C254" s="1413" t="s">
        <v>5424</v>
      </c>
      <c r="D254" s="1418">
        <f t="shared" si="36"/>
        <v>16087538.909399999</v>
      </c>
      <c r="E254" s="1414">
        <f t="shared" si="35"/>
        <v>804376.94547000004</v>
      </c>
      <c r="F254" s="1414">
        <f t="shared" si="31"/>
        <v>16891915.854869999</v>
      </c>
      <c r="G254" s="1417" t="str">
        <f t="shared" si="34"/>
        <v>S.247</v>
      </c>
      <c r="H254" s="1601"/>
      <c r="I254" s="1480">
        <f t="shared" si="37"/>
        <v>16087538.909399999</v>
      </c>
      <c r="O254" s="1615">
        <v>13518940.26</v>
      </c>
      <c r="R254" s="1522" t="s">
        <v>9110</v>
      </c>
      <c r="S254" s="1522" t="str">
        <f t="shared" si="33"/>
        <v>VALVULA ANITCAVITACION O DE AGUJA BXB 150MM PN 10 (incluye cargue, transporte y descargue) (incluye cargue, transporte y descargue)</v>
      </c>
    </row>
    <row r="255" spans="1:19" s="1452" customFormat="1" ht="25.5" x14ac:dyDescent="0.25">
      <c r="A255" s="1448" t="s">
        <v>8932</v>
      </c>
      <c r="B255" s="1426" t="s">
        <v>9173</v>
      </c>
      <c r="C255" s="1413" t="s">
        <v>5424</v>
      </c>
      <c r="D255" s="1418">
        <f t="shared" si="36"/>
        <v>20085282.671999998</v>
      </c>
      <c r="E255" s="1414">
        <f t="shared" si="35"/>
        <v>1004264.1335999999</v>
      </c>
      <c r="F255" s="1414">
        <f t="shared" si="31"/>
        <v>21089546.805599999</v>
      </c>
      <c r="G255" s="1417" t="str">
        <f t="shared" si="34"/>
        <v>S.248</v>
      </c>
      <c r="H255" s="1518"/>
      <c r="I255" s="1480">
        <f t="shared" si="37"/>
        <v>20085282.671999998</v>
      </c>
      <c r="K255" s="1480"/>
      <c r="L255" s="1480"/>
      <c r="M255" s="1611">
        <v>16878388.800000001</v>
      </c>
      <c r="N255" s="1480"/>
      <c r="O255" s="1615"/>
      <c r="R255" s="1522" t="s">
        <v>9110</v>
      </c>
      <c r="S255" s="1522" t="str">
        <f t="shared" si="33"/>
        <v>VALVULA ANITCAVITACION O DE AGUJA BXB 150MM PN 16 (incluye cargue, transporte y descargue) (incluye cargue, transporte y descargue)</v>
      </c>
    </row>
    <row r="256" spans="1:19" s="1452" customFormat="1" ht="25.5" x14ac:dyDescent="0.25">
      <c r="A256" s="1448" t="s">
        <v>8933</v>
      </c>
      <c r="B256" s="1426" t="s">
        <v>9321</v>
      </c>
      <c r="C256" s="1413" t="s">
        <v>5424</v>
      </c>
      <c r="D256" s="1418">
        <f>+D255</f>
        <v>20085282.671999998</v>
      </c>
      <c r="E256" s="1414">
        <f t="shared" si="35"/>
        <v>1004264.1335999999</v>
      </c>
      <c r="F256" s="1414">
        <f t="shared" si="31"/>
        <v>21089546.805599999</v>
      </c>
      <c r="G256" s="1417" t="str">
        <f t="shared" si="34"/>
        <v>S.249</v>
      </c>
      <c r="H256" s="1518"/>
      <c r="I256" s="1480"/>
      <c r="K256" s="1480"/>
      <c r="L256" s="1480"/>
      <c r="M256" s="1611"/>
      <c r="N256" s="1480"/>
      <c r="O256" s="1419"/>
      <c r="R256" s="1522" t="s">
        <v>9110</v>
      </c>
      <c r="S256" s="1522" t="str">
        <f t="shared" si="33"/>
        <v>VALVULA ANITCAVITACION O DE AGUJA BXB 150MM PN  25 (incluye cargue, transporte y descargue) (incluye cargue, transporte y descargue)</v>
      </c>
    </row>
    <row r="257" spans="1:19" ht="16.5" x14ac:dyDescent="0.25">
      <c r="A257" s="1448" t="s">
        <v>8934</v>
      </c>
      <c r="B257" s="1100" t="s">
        <v>9310</v>
      </c>
      <c r="C257" s="1413" t="s">
        <v>5424</v>
      </c>
      <c r="D257" s="1418">
        <f t="shared" ref="D257:D280" si="38">+I257</f>
        <v>43337658</v>
      </c>
      <c r="E257" s="1414">
        <f t="shared" si="35"/>
        <v>2166882.9</v>
      </c>
      <c r="F257" s="1414">
        <f t="shared" si="31"/>
        <v>45504540.899999999</v>
      </c>
      <c r="G257" s="1417" t="str">
        <f t="shared" si="34"/>
        <v>S.250</v>
      </c>
      <c r="H257" s="1518"/>
      <c r="I257" s="1480">
        <f t="shared" ref="I257:I280" si="39">+AVERAGE(K257:O257)*1.19</f>
        <v>43337658</v>
      </c>
      <c r="O257" s="1614">
        <v>36418200</v>
      </c>
      <c r="R257" s="1522" t="s">
        <v>9110</v>
      </c>
      <c r="S257" s="1522" t="str">
        <f t="shared" si="33"/>
        <v>Válvula Antivibratoria de Onda BB de 12" (incluye cargue, transporte y descargue) (incluye cargue, transporte y descargue)</v>
      </c>
    </row>
    <row r="258" spans="1:19" ht="26.25" x14ac:dyDescent="0.25">
      <c r="A258" s="1448" t="s">
        <v>8935</v>
      </c>
      <c r="B258" s="1412" t="s">
        <v>9254</v>
      </c>
      <c r="C258" s="1413" t="s">
        <v>5424</v>
      </c>
      <c r="D258" s="1418">
        <f t="shared" si="38"/>
        <v>16229220</v>
      </c>
      <c r="E258" s="1414">
        <f t="shared" si="35"/>
        <v>811461</v>
      </c>
      <c r="F258" s="1414">
        <f t="shared" si="31"/>
        <v>17040681</v>
      </c>
      <c r="G258" s="1417" t="str">
        <f t="shared" si="34"/>
        <v>S.251</v>
      </c>
      <c r="H258" s="1518"/>
      <c r="I258" s="1480">
        <f t="shared" si="39"/>
        <v>16229220</v>
      </c>
      <c r="M258" s="1611">
        <v>13638000</v>
      </c>
      <c r="O258" s="1615"/>
      <c r="R258" s="1522" t="s">
        <v>9110</v>
      </c>
      <c r="S258" s="1522" t="str">
        <f t="shared" si="33"/>
        <v>VALVULA CINETICA O SIMILAR (PILOTEADA) BXB 250 MM PN10 (incluye cargue, transporte y descargue) (incluye cargue, transporte y descargue)</v>
      </c>
    </row>
    <row r="259" spans="1:19" ht="26.25" x14ac:dyDescent="0.25">
      <c r="A259" s="1448" t="s">
        <v>8936</v>
      </c>
      <c r="B259" s="1412" t="s">
        <v>9257</v>
      </c>
      <c r="C259" s="1413" t="s">
        <v>5424</v>
      </c>
      <c r="D259" s="1418">
        <f t="shared" si="38"/>
        <v>16229220</v>
      </c>
      <c r="E259" s="1414">
        <f t="shared" si="35"/>
        <v>811461</v>
      </c>
      <c r="F259" s="1414">
        <f t="shared" si="31"/>
        <v>17040681</v>
      </c>
      <c r="G259" s="1417" t="str">
        <f t="shared" si="34"/>
        <v>S.252</v>
      </c>
      <c r="H259" s="1518"/>
      <c r="I259" s="1480">
        <f t="shared" si="39"/>
        <v>16229220</v>
      </c>
      <c r="M259" s="1611">
        <v>13638000</v>
      </c>
      <c r="O259" s="1615"/>
      <c r="R259" s="1522" t="s">
        <v>9110</v>
      </c>
      <c r="S259" s="1522" t="str">
        <f t="shared" si="33"/>
        <v>VALVULA CINETICA O SIMILAR (PILOTEADA) BXB 250 MM PN16 (incluye cargue, transporte y descargue) (incluye cargue, transporte y descargue)</v>
      </c>
    </row>
    <row r="260" spans="1:19" ht="26.25" x14ac:dyDescent="0.25">
      <c r="A260" s="1448" t="s">
        <v>8937</v>
      </c>
      <c r="B260" s="1412" t="s">
        <v>9260</v>
      </c>
      <c r="C260" s="1413" t="s">
        <v>5424</v>
      </c>
      <c r="D260" s="1418">
        <f t="shared" si="38"/>
        <v>16229220</v>
      </c>
      <c r="E260" s="1414">
        <f t="shared" si="35"/>
        <v>811461</v>
      </c>
      <c r="F260" s="1414">
        <f t="shared" si="31"/>
        <v>17040681</v>
      </c>
      <c r="G260" s="1417" t="str">
        <f t="shared" si="34"/>
        <v>S.253</v>
      </c>
      <c r="H260" s="1518"/>
      <c r="I260" s="1480">
        <f t="shared" si="39"/>
        <v>16229220</v>
      </c>
      <c r="M260" s="1611">
        <v>13638000</v>
      </c>
      <c r="O260" s="1615"/>
      <c r="R260" s="1522" t="s">
        <v>9110</v>
      </c>
      <c r="S260" s="1522" t="str">
        <f t="shared" si="33"/>
        <v>VALVULA CINETICA O SIMILAR (PILOTEADA) BXB 250 MM PN25 (incluye cargue, transporte y descargue) (incluye cargue, transporte y descargue)</v>
      </c>
    </row>
    <row r="261" spans="1:19" ht="26.25" x14ac:dyDescent="0.25">
      <c r="A261" s="1448" t="s">
        <v>8938</v>
      </c>
      <c r="B261" s="1412" t="s">
        <v>9266</v>
      </c>
      <c r="C261" s="1413" t="s">
        <v>5424</v>
      </c>
      <c r="D261" s="1418">
        <f t="shared" si="38"/>
        <v>45521784</v>
      </c>
      <c r="E261" s="1414">
        <f t="shared" si="35"/>
        <v>2276089.2000000002</v>
      </c>
      <c r="F261" s="1414">
        <f t="shared" si="31"/>
        <v>47797873.200000003</v>
      </c>
      <c r="G261" s="1417" t="str">
        <f t="shared" si="34"/>
        <v>S.254</v>
      </c>
      <c r="H261" s="1518"/>
      <c r="I261" s="1480">
        <f t="shared" si="39"/>
        <v>45521784</v>
      </c>
      <c r="M261" s="1611">
        <v>38253600</v>
      </c>
      <c r="O261" s="1615"/>
      <c r="R261" s="1522" t="s">
        <v>9110</v>
      </c>
      <c r="S261" s="1522" t="str">
        <f t="shared" si="33"/>
        <v>VALVULA CINETICA O SIMILAR (PILOTEADA) BXB 300 MM PN60 (incluye cargue, transporte y descargue) (incluye cargue, transporte y descargue)</v>
      </c>
    </row>
    <row r="262" spans="1:19" ht="26.25" x14ac:dyDescent="0.25">
      <c r="A262" s="1448" t="s">
        <v>8939</v>
      </c>
      <c r="B262" s="1412" t="s">
        <v>9255</v>
      </c>
      <c r="C262" s="1413" t="s">
        <v>5424</v>
      </c>
      <c r="D262" s="1418">
        <f t="shared" si="38"/>
        <v>24343830</v>
      </c>
      <c r="E262" s="1414">
        <f t="shared" si="35"/>
        <v>1217191.5</v>
      </c>
      <c r="F262" s="1414">
        <f t="shared" ref="F262:F281" si="40">+E262+D262</f>
        <v>25561021.5</v>
      </c>
      <c r="G262" s="1417" t="str">
        <f t="shared" si="34"/>
        <v>S.255</v>
      </c>
      <c r="H262" s="1518"/>
      <c r="I262" s="1480">
        <f t="shared" si="39"/>
        <v>24343830</v>
      </c>
      <c r="M262" s="1611">
        <v>20457000</v>
      </c>
      <c r="O262" s="1615"/>
      <c r="R262" s="1522" t="s">
        <v>9110</v>
      </c>
      <c r="S262" s="1522" t="str">
        <f t="shared" ref="S262:S300" si="41">+CONCATENATE(B262," ",R262)</f>
        <v>VALVULA CINETICA O SIMILAR (PILOTEADA) BXB 350 MM PN10 (incluye cargue, transporte y descargue) (incluye cargue, transporte y descargue)</v>
      </c>
    </row>
    <row r="263" spans="1:19" ht="26.25" x14ac:dyDescent="0.25">
      <c r="A263" s="1448" t="s">
        <v>8940</v>
      </c>
      <c r="B263" s="1412" t="s">
        <v>9258</v>
      </c>
      <c r="C263" s="1413" t="s">
        <v>5424</v>
      </c>
      <c r="D263" s="1418">
        <f t="shared" si="38"/>
        <v>24343830</v>
      </c>
      <c r="E263" s="1414">
        <f t="shared" si="35"/>
        <v>1217191.5</v>
      </c>
      <c r="F263" s="1414">
        <f t="shared" si="40"/>
        <v>25561021.5</v>
      </c>
      <c r="G263" s="1417" t="str">
        <f t="shared" ref="G263:G300" si="42">+A263</f>
        <v>S.256</v>
      </c>
      <c r="H263" s="1518"/>
      <c r="I263" s="1480">
        <f t="shared" si="39"/>
        <v>24343830</v>
      </c>
      <c r="M263" s="1611">
        <v>20457000</v>
      </c>
      <c r="O263" s="1615"/>
      <c r="R263" s="1522" t="s">
        <v>9110</v>
      </c>
      <c r="S263" s="1522" t="str">
        <f t="shared" si="41"/>
        <v>VALVULA CINETICA O SIMILAR (PILOTEADA) BXB 350 MM PN16 (incluye cargue, transporte y descargue) (incluye cargue, transporte y descargue)</v>
      </c>
    </row>
    <row r="264" spans="1:19" ht="26.25" x14ac:dyDescent="0.25">
      <c r="A264" s="1448" t="s">
        <v>8961</v>
      </c>
      <c r="B264" s="1412" t="s">
        <v>9350</v>
      </c>
      <c r="C264" s="1413" t="s">
        <v>5424</v>
      </c>
      <c r="D264" s="1418">
        <f t="shared" si="38"/>
        <v>24343830</v>
      </c>
      <c r="E264" s="1414">
        <f t="shared" ref="E264:E300" si="43">+D264*$E$6</f>
        <v>1217191.5</v>
      </c>
      <c r="F264" s="1414">
        <f t="shared" si="40"/>
        <v>25561021.5</v>
      </c>
      <c r="G264" s="1417" t="str">
        <f t="shared" si="42"/>
        <v>S.257</v>
      </c>
      <c r="H264" s="1518"/>
      <c r="I264" s="1480">
        <f t="shared" si="39"/>
        <v>24343830</v>
      </c>
      <c r="M264" s="1611">
        <v>20457000</v>
      </c>
      <c r="O264" s="1615"/>
      <c r="R264" s="1522" t="s">
        <v>9110</v>
      </c>
      <c r="S264" s="1522" t="str">
        <f t="shared" si="41"/>
        <v>VALVULA CINETICA O SIMILAR (PILOTEADA) BXB 350 MM PN25 (incluye cargue, transporte y descargue) (incluye cargue, transporte y descargue)</v>
      </c>
    </row>
    <row r="265" spans="1:19" ht="26.25" x14ac:dyDescent="0.25">
      <c r="A265" s="1448" t="s">
        <v>8962</v>
      </c>
      <c r="B265" s="1412" t="s">
        <v>9262</v>
      </c>
      <c r="C265" s="1413" t="s">
        <v>5424</v>
      </c>
      <c r="D265" s="1418">
        <f t="shared" si="38"/>
        <v>29212596</v>
      </c>
      <c r="E265" s="1414">
        <f t="shared" si="43"/>
        <v>1460629.8</v>
      </c>
      <c r="F265" s="1414">
        <f t="shared" si="40"/>
        <v>30673225.800000001</v>
      </c>
      <c r="G265" s="1417" t="str">
        <f t="shared" si="42"/>
        <v>S.258</v>
      </c>
      <c r="H265" s="1518"/>
      <c r="I265" s="1480">
        <f t="shared" si="39"/>
        <v>29212596</v>
      </c>
      <c r="M265" s="1611">
        <v>24548400</v>
      </c>
      <c r="O265" s="1615"/>
      <c r="R265" s="1522" t="s">
        <v>9110</v>
      </c>
      <c r="S265" s="1522" t="str">
        <f t="shared" si="41"/>
        <v>VALVULA CINETICA O SIMILAR (PILOTEADA) BXB 350 MM PN40 (incluye cargue, transporte y descargue) (incluye cargue, transporte y descargue)</v>
      </c>
    </row>
    <row r="266" spans="1:19" ht="26.25" x14ac:dyDescent="0.25">
      <c r="A266" s="1448" t="s">
        <v>8963</v>
      </c>
      <c r="B266" s="1412" t="s">
        <v>9264</v>
      </c>
      <c r="C266" s="1413" t="s">
        <v>5424</v>
      </c>
      <c r="D266" s="1418">
        <f t="shared" si="38"/>
        <v>35055115.199999996</v>
      </c>
      <c r="E266" s="1414">
        <f t="shared" si="43"/>
        <v>1752755.7599999998</v>
      </c>
      <c r="F266" s="1414">
        <f t="shared" si="40"/>
        <v>36807870.959999993</v>
      </c>
      <c r="G266" s="1417" t="str">
        <f t="shared" si="42"/>
        <v>S.259</v>
      </c>
      <c r="H266" s="1518"/>
      <c r="I266" s="1480">
        <f t="shared" si="39"/>
        <v>35055115.199999996</v>
      </c>
      <c r="M266" s="1611">
        <v>29458080</v>
      </c>
      <c r="O266" s="1615"/>
      <c r="R266" s="1522" t="s">
        <v>9110</v>
      </c>
      <c r="S266" s="1522" t="str">
        <f t="shared" si="41"/>
        <v>VALVULA CINETICA O SIMILAR (PILOTEADA) BXB 350 MM PN60 (incluye cargue, transporte y descargue) (incluye cargue, transporte y descargue)</v>
      </c>
    </row>
    <row r="267" spans="1:19" ht="26.25" x14ac:dyDescent="0.25">
      <c r="A267" s="1448" t="s">
        <v>8964</v>
      </c>
      <c r="B267" s="1412" t="s">
        <v>9256</v>
      </c>
      <c r="C267" s="1413" t="s">
        <v>5424</v>
      </c>
      <c r="D267" s="1418">
        <f t="shared" si="38"/>
        <v>40400500</v>
      </c>
      <c r="E267" s="1414">
        <f t="shared" si="43"/>
        <v>2020025</v>
      </c>
      <c r="F267" s="1414">
        <f t="shared" si="40"/>
        <v>42420525</v>
      </c>
      <c r="G267" s="1417" t="str">
        <f t="shared" si="42"/>
        <v>S.260</v>
      </c>
      <c r="H267" s="1518"/>
      <c r="I267" s="1480">
        <f t="shared" si="39"/>
        <v>40400500</v>
      </c>
      <c r="M267" s="1611">
        <v>33950000</v>
      </c>
      <c r="O267" s="1615"/>
      <c r="R267" s="1522" t="s">
        <v>9110</v>
      </c>
      <c r="S267" s="1522" t="str">
        <f t="shared" si="41"/>
        <v>VALVULA CINETICA O SIMILAR (PILOTEADA) BXB 400 MM PN10 (incluye cargue, transporte y descargue) (incluye cargue, transporte y descargue)</v>
      </c>
    </row>
    <row r="268" spans="1:19" ht="26.25" x14ac:dyDescent="0.25">
      <c r="A268" s="1448" t="s">
        <v>8965</v>
      </c>
      <c r="B268" s="1412" t="s">
        <v>9259</v>
      </c>
      <c r="C268" s="1413" t="s">
        <v>5424</v>
      </c>
      <c r="D268" s="1418">
        <f t="shared" si="38"/>
        <v>34489770</v>
      </c>
      <c r="E268" s="1414">
        <f t="shared" si="43"/>
        <v>1724488.5</v>
      </c>
      <c r="F268" s="1414">
        <f t="shared" si="40"/>
        <v>36214258.5</v>
      </c>
      <c r="G268" s="1417" t="str">
        <f t="shared" si="42"/>
        <v>S.261</v>
      </c>
      <c r="H268" s="1518"/>
      <c r="I268" s="1480">
        <f t="shared" si="39"/>
        <v>34489770</v>
      </c>
      <c r="M268" s="1611">
        <v>28983000</v>
      </c>
      <c r="O268" s="1452"/>
      <c r="R268" s="1522" t="s">
        <v>9110</v>
      </c>
      <c r="S268" s="1522" t="str">
        <f t="shared" si="41"/>
        <v>VALVULA CINETICA O SIMILAR (PILOTEADA) BXB 400 MM PN16 (incluye cargue, transporte y descargue) (incluye cargue, transporte y descargue)</v>
      </c>
    </row>
    <row r="269" spans="1:19" ht="26.25" x14ac:dyDescent="0.25">
      <c r="A269" s="1448" t="s">
        <v>8941</v>
      </c>
      <c r="B269" s="1412" t="s">
        <v>9261</v>
      </c>
      <c r="C269" s="1413" t="s">
        <v>5424</v>
      </c>
      <c r="D269" s="1418">
        <f t="shared" si="38"/>
        <v>37934820</v>
      </c>
      <c r="E269" s="1414">
        <f t="shared" si="43"/>
        <v>1896741</v>
      </c>
      <c r="F269" s="1414">
        <f t="shared" si="40"/>
        <v>39831561</v>
      </c>
      <c r="G269" s="1417" t="str">
        <f t="shared" si="42"/>
        <v>S.262</v>
      </c>
      <c r="H269" s="1518"/>
      <c r="I269" s="1480">
        <f t="shared" si="39"/>
        <v>37934820</v>
      </c>
      <c r="M269" s="1611">
        <v>31878000</v>
      </c>
      <c r="O269" s="1452"/>
      <c r="R269" s="1522" t="s">
        <v>9110</v>
      </c>
      <c r="S269" s="1522" t="str">
        <f t="shared" si="41"/>
        <v>VALVULA CINETICA O SIMILAR (PILOTEADA) BXB 400 MM PN25 (incluye cargue, transporte y descargue) (incluye cargue, transporte y descargue)</v>
      </c>
    </row>
    <row r="270" spans="1:19" ht="26.25" x14ac:dyDescent="0.25">
      <c r="A270" s="1448" t="s">
        <v>8942</v>
      </c>
      <c r="B270" s="1412" t="s">
        <v>9263</v>
      </c>
      <c r="C270" s="1413" t="s">
        <v>5424</v>
      </c>
      <c r="D270" s="1418">
        <f t="shared" si="38"/>
        <v>45521784</v>
      </c>
      <c r="E270" s="1414">
        <f t="shared" si="43"/>
        <v>2276089.2000000002</v>
      </c>
      <c r="F270" s="1414">
        <f t="shared" si="40"/>
        <v>47797873.200000003</v>
      </c>
      <c r="G270" s="1417" t="str">
        <f t="shared" si="42"/>
        <v>S.263</v>
      </c>
      <c r="H270" s="1518"/>
      <c r="I270" s="1480">
        <f t="shared" si="39"/>
        <v>45521784</v>
      </c>
      <c r="M270" s="1611">
        <v>38253600</v>
      </c>
      <c r="O270" s="1452"/>
      <c r="R270" s="1522" t="s">
        <v>9110</v>
      </c>
      <c r="S270" s="1522" t="str">
        <f t="shared" si="41"/>
        <v>VALVULA CINETICA O SIMILAR (PILOTEADA) BXB 400 MM PN40 (incluye cargue, transporte y descargue) (incluye cargue, transporte y descargue)</v>
      </c>
    </row>
    <row r="271" spans="1:19" ht="26.25" x14ac:dyDescent="0.25">
      <c r="A271" s="1448" t="s">
        <v>8966</v>
      </c>
      <c r="B271" s="1412" t="s">
        <v>9265</v>
      </c>
      <c r="C271" s="1413" t="s">
        <v>5424</v>
      </c>
      <c r="D271" s="1418">
        <f t="shared" si="38"/>
        <v>45521784</v>
      </c>
      <c r="E271" s="1414">
        <f t="shared" si="43"/>
        <v>2276089.2000000002</v>
      </c>
      <c r="F271" s="1414">
        <f t="shared" si="40"/>
        <v>47797873.200000003</v>
      </c>
      <c r="G271" s="1417" t="str">
        <f t="shared" si="42"/>
        <v>S.264</v>
      </c>
      <c r="H271" s="1518"/>
      <c r="I271" s="1480">
        <f t="shared" si="39"/>
        <v>45521784</v>
      </c>
      <c r="M271" s="1611">
        <v>38253600</v>
      </c>
      <c r="O271" s="1452"/>
      <c r="R271" s="1522" t="s">
        <v>9110</v>
      </c>
      <c r="S271" s="1522" t="str">
        <f t="shared" si="41"/>
        <v>VALVULA CINETICA O SIMILAR (PILOTEADA) BXB 400 MM PN60 (incluye cargue, transporte y descargue) (incluye cargue, transporte y descargue)</v>
      </c>
    </row>
    <row r="272" spans="1:19" ht="26.25" x14ac:dyDescent="0.25">
      <c r="A272" s="1448" t="s">
        <v>8967</v>
      </c>
      <c r="B272" s="1412" t="s">
        <v>9193</v>
      </c>
      <c r="C272" s="1413" t="s">
        <v>5424</v>
      </c>
      <c r="D272" s="1418">
        <f t="shared" si="38"/>
        <v>1520582</v>
      </c>
      <c r="E272" s="1414">
        <f t="shared" si="43"/>
        <v>76029.100000000006</v>
      </c>
      <c r="F272" s="1414">
        <f t="shared" si="40"/>
        <v>1596611.1</v>
      </c>
      <c r="G272" s="1417" t="str">
        <f t="shared" si="42"/>
        <v>S.265</v>
      </c>
      <c r="H272" s="1518"/>
      <c r="I272" s="1480">
        <f t="shared" si="39"/>
        <v>1520582</v>
      </c>
      <c r="K272" s="1480">
        <v>1302400</v>
      </c>
      <c r="L272" s="1480">
        <v>1125000</v>
      </c>
      <c r="M272" s="1480">
        <v>1406000</v>
      </c>
      <c r="N272" s="1452"/>
      <c r="O272" s="1452"/>
      <c r="R272" s="1522" t="s">
        <v>9110</v>
      </c>
      <c r="S272" s="1522" t="str">
        <f t="shared" si="41"/>
        <v>VÁLVULA DE ADMISION Y RETENCION DE AIRE 100 MM PN 10 (incluye cargue, transporte y descargue) (incluye cargue, transporte y descargue)</v>
      </c>
    </row>
    <row r="273" spans="1:19" ht="26.25" x14ac:dyDescent="0.25">
      <c r="A273" s="1448" t="s">
        <v>8968</v>
      </c>
      <c r="B273" s="1412" t="s">
        <v>9194</v>
      </c>
      <c r="C273" s="1413" t="s">
        <v>5424</v>
      </c>
      <c r="D273" s="1418">
        <f t="shared" si="38"/>
        <v>1520582</v>
      </c>
      <c r="E273" s="1414">
        <f t="shared" si="43"/>
        <v>76029.100000000006</v>
      </c>
      <c r="F273" s="1414">
        <f t="shared" si="40"/>
        <v>1596611.1</v>
      </c>
      <c r="G273" s="1417" t="str">
        <f t="shared" si="42"/>
        <v>S.266</v>
      </c>
      <c r="H273" s="1518"/>
      <c r="I273" s="1480">
        <f t="shared" si="39"/>
        <v>1520582</v>
      </c>
      <c r="K273" s="1480">
        <v>1302400</v>
      </c>
      <c r="L273" s="1480">
        <v>1125000</v>
      </c>
      <c r="M273" s="1480">
        <v>1406000</v>
      </c>
      <c r="N273" s="1452"/>
      <c r="R273" s="1522" t="s">
        <v>9110</v>
      </c>
      <c r="S273" s="1522" t="str">
        <f t="shared" si="41"/>
        <v>VÁLVULA DE ADMISION Y RETENCION DE AIRE 100 MM PN 16 (incluye cargue, transporte y descargue) (incluye cargue, transporte y descargue)</v>
      </c>
    </row>
    <row r="274" spans="1:19" ht="26.25" x14ac:dyDescent="0.25">
      <c r="A274" s="1448" t="s">
        <v>8969</v>
      </c>
      <c r="B274" s="1606" t="s">
        <v>9195</v>
      </c>
      <c r="C274" s="1413" t="s">
        <v>5424</v>
      </c>
      <c r="D274" s="1418">
        <f t="shared" si="38"/>
        <v>1520582</v>
      </c>
      <c r="E274" s="1414">
        <f t="shared" si="43"/>
        <v>76029.100000000006</v>
      </c>
      <c r="F274" s="1414">
        <f t="shared" si="40"/>
        <v>1596611.1</v>
      </c>
      <c r="G274" s="1417" t="str">
        <f t="shared" si="42"/>
        <v>S.267</v>
      </c>
      <c r="H274" s="1518"/>
      <c r="I274" s="1480">
        <f t="shared" si="39"/>
        <v>1520582</v>
      </c>
      <c r="K274" s="1480">
        <v>1302400</v>
      </c>
      <c r="L274" s="1480">
        <v>1125000</v>
      </c>
      <c r="M274" s="1480">
        <v>1406000</v>
      </c>
      <c r="N274" s="1452"/>
      <c r="R274" s="1522" t="s">
        <v>9110</v>
      </c>
      <c r="S274" s="1522" t="str">
        <f t="shared" si="41"/>
        <v>VÁLVULA DE ADMISION Y RETENCION DE AIRE 100 MM PN 25 (incluye cargue, transporte y descargue) (incluye cargue, transporte y descargue)</v>
      </c>
    </row>
    <row r="275" spans="1:19" ht="26.25" x14ac:dyDescent="0.25">
      <c r="A275" s="1448" t="s">
        <v>8970</v>
      </c>
      <c r="B275" s="1606" t="s">
        <v>9196</v>
      </c>
      <c r="C275" s="1413" t="s">
        <v>5424</v>
      </c>
      <c r="D275" s="1418">
        <f>+I275*2</f>
        <v>3041164</v>
      </c>
      <c r="E275" s="1414">
        <f t="shared" si="43"/>
        <v>152058.20000000001</v>
      </c>
      <c r="F275" s="1414">
        <f t="shared" si="40"/>
        <v>3193222.2</v>
      </c>
      <c r="G275" s="1417" t="str">
        <f t="shared" si="42"/>
        <v>S.268</v>
      </c>
      <c r="H275" s="1518"/>
      <c r="I275" s="1480">
        <f t="shared" si="39"/>
        <v>1520582</v>
      </c>
      <c r="K275" s="1480">
        <v>1302400</v>
      </c>
      <c r="L275" s="1480">
        <v>1125000</v>
      </c>
      <c r="M275" s="1480">
        <v>1406000</v>
      </c>
      <c r="N275" s="1452"/>
      <c r="R275" s="1522" t="s">
        <v>9110</v>
      </c>
      <c r="S275" s="1522" t="str">
        <f t="shared" si="41"/>
        <v>VÁLVULA DE ADMISION Y RETENCION DE AIRE 100 MM PN 40 (incluye cargue, transporte y descargue) (incluye cargue, transporte y descargue)</v>
      </c>
    </row>
    <row r="276" spans="1:19" ht="26.25" x14ac:dyDescent="0.25">
      <c r="A276" s="1448" t="s">
        <v>8971</v>
      </c>
      <c r="B276" s="1606" t="s">
        <v>9197</v>
      </c>
      <c r="C276" s="1413" t="s">
        <v>5424</v>
      </c>
      <c r="D276" s="1418">
        <f>+I276*2</f>
        <v>3041164</v>
      </c>
      <c r="E276" s="1414">
        <f t="shared" si="43"/>
        <v>152058.20000000001</v>
      </c>
      <c r="F276" s="1414">
        <f t="shared" si="40"/>
        <v>3193222.2</v>
      </c>
      <c r="G276" s="1417" t="str">
        <f t="shared" si="42"/>
        <v>S.269</v>
      </c>
      <c r="H276" s="1518"/>
      <c r="I276" s="1480">
        <f t="shared" si="39"/>
        <v>1520582</v>
      </c>
      <c r="K276" s="1480">
        <v>1302400</v>
      </c>
      <c r="L276" s="1480">
        <v>1125000</v>
      </c>
      <c r="M276" s="1480">
        <v>1406000</v>
      </c>
      <c r="N276" s="1452"/>
      <c r="R276" s="1522" t="s">
        <v>9110</v>
      </c>
      <c r="S276" s="1522" t="str">
        <f t="shared" si="41"/>
        <v>VÁLVULA DE ADMISION Y RETENCION DE AIRE 100 MM PN 60 (incluye cargue, transporte y descargue) (incluye cargue, transporte y descargue)</v>
      </c>
    </row>
    <row r="277" spans="1:19" x14ac:dyDescent="0.25">
      <c r="A277" s="1448" t="s">
        <v>8972</v>
      </c>
      <c r="B277" s="1606" t="s">
        <v>9201</v>
      </c>
      <c r="C277" s="1413" t="s">
        <v>5424</v>
      </c>
      <c r="D277" s="1418">
        <f t="shared" si="38"/>
        <v>1266160</v>
      </c>
      <c r="E277" s="1414">
        <f t="shared" si="43"/>
        <v>63308</v>
      </c>
      <c r="F277" s="1414">
        <f t="shared" si="40"/>
        <v>1329468</v>
      </c>
      <c r="G277" s="1417" t="str">
        <f t="shared" si="42"/>
        <v>S.270</v>
      </c>
      <c r="H277" s="1518"/>
      <c r="I277" s="1480">
        <f t="shared" si="39"/>
        <v>1266160</v>
      </c>
      <c r="O277" s="1614">
        <v>1064000</v>
      </c>
      <c r="R277" s="1522" t="s">
        <v>9110</v>
      </c>
      <c r="S277" s="1522" t="str">
        <f t="shared" si="41"/>
        <v>VALVULA DE BOLA BxB  100 MM PN 60 (incluye cargue, transporte y descargue) (incluye cargue, transporte y descargue)</v>
      </c>
    </row>
    <row r="278" spans="1:19" x14ac:dyDescent="0.25">
      <c r="A278" s="1448" t="s">
        <v>8973</v>
      </c>
      <c r="B278" s="1606" t="s">
        <v>9150</v>
      </c>
      <c r="C278" s="1413" t="s">
        <v>5424</v>
      </c>
      <c r="D278" s="1418">
        <f t="shared" si="38"/>
        <v>664932.33333333326</v>
      </c>
      <c r="E278" s="1414">
        <f t="shared" si="43"/>
        <v>33246.616666666661</v>
      </c>
      <c r="F278" s="1414">
        <f t="shared" si="40"/>
        <v>698178.95</v>
      </c>
      <c r="G278" s="1417" t="str">
        <f t="shared" si="42"/>
        <v>S.271</v>
      </c>
      <c r="H278" s="1518"/>
      <c r="I278" s="1480">
        <f t="shared" si="39"/>
        <v>664932.33333333326</v>
      </c>
      <c r="K278" s="1480">
        <v>729300</v>
      </c>
      <c r="L278" s="1480">
        <v>617000</v>
      </c>
      <c r="M278" s="1480">
        <v>330000</v>
      </c>
      <c r="N278" s="1452"/>
      <c r="O278" s="1452"/>
      <c r="R278" s="1522" t="s">
        <v>9110</v>
      </c>
      <c r="S278" s="1522" t="str">
        <f t="shared" si="41"/>
        <v>VALVULA DE COMPUERTA BxB  100 MM PN 10 (incluye cargue, transporte y descargue) (incluye cargue, transporte y descargue)</v>
      </c>
    </row>
    <row r="279" spans="1:19" x14ac:dyDescent="0.25">
      <c r="A279" s="1448" t="s">
        <v>8974</v>
      </c>
      <c r="B279" s="1606" t="s">
        <v>9198</v>
      </c>
      <c r="C279" s="1413" t="s">
        <v>5424</v>
      </c>
      <c r="D279" s="1418">
        <f t="shared" si="38"/>
        <v>664932.33333333326</v>
      </c>
      <c r="E279" s="1414">
        <f t="shared" si="43"/>
        <v>33246.616666666661</v>
      </c>
      <c r="F279" s="1414">
        <f t="shared" si="40"/>
        <v>698178.95</v>
      </c>
      <c r="G279" s="1417" t="str">
        <f t="shared" si="42"/>
        <v>S.272</v>
      </c>
      <c r="H279" s="1518"/>
      <c r="I279" s="1480">
        <f t="shared" si="39"/>
        <v>664932.33333333326</v>
      </c>
      <c r="K279" s="1480">
        <v>729300</v>
      </c>
      <c r="L279" s="1480">
        <v>617000</v>
      </c>
      <c r="M279" s="1480">
        <v>330000</v>
      </c>
      <c r="N279" s="1452"/>
      <c r="O279" s="1452"/>
      <c r="R279" s="1522" t="s">
        <v>9110</v>
      </c>
      <c r="S279" s="1522" t="str">
        <f t="shared" si="41"/>
        <v>VALVULA DE COMPUERTA BxB  100 MM PN 16 (incluye cargue, transporte y descargue) (incluye cargue, transporte y descargue)</v>
      </c>
    </row>
    <row r="280" spans="1:19" x14ac:dyDescent="0.25">
      <c r="A280" s="1448" t="s">
        <v>8975</v>
      </c>
      <c r="B280" s="1606" t="s">
        <v>9154</v>
      </c>
      <c r="C280" s="1413" t="s">
        <v>5424</v>
      </c>
      <c r="D280" s="1418">
        <f t="shared" si="38"/>
        <v>2478968.3333333335</v>
      </c>
      <c r="E280" s="1414">
        <f t="shared" si="43"/>
        <v>123948.41666666669</v>
      </c>
      <c r="F280" s="1414">
        <f t="shared" si="40"/>
        <v>2602916.75</v>
      </c>
      <c r="G280" s="1417" t="str">
        <f t="shared" si="42"/>
        <v>S.273</v>
      </c>
      <c r="H280" s="1518"/>
      <c r="I280" s="1480">
        <f t="shared" si="39"/>
        <v>2478968.3333333335</v>
      </c>
      <c r="K280" s="1480">
        <v>3129500</v>
      </c>
      <c r="L280" s="1480">
        <v>2790000</v>
      </c>
      <c r="M280" s="1480">
        <v>330000</v>
      </c>
      <c r="N280" s="1452"/>
      <c r="O280" s="1452"/>
      <c r="R280" s="1522" t="s">
        <v>9110</v>
      </c>
      <c r="S280" s="1522" t="str">
        <f t="shared" si="41"/>
        <v>VALVULA DE COMPUERTA BxB  250 MM PN 10 (incluye cargue, transporte y descargue) (incluye cargue, transporte y descargue)</v>
      </c>
    </row>
    <row r="281" spans="1:19" ht="16.5" x14ac:dyDescent="0.25">
      <c r="A281" s="1448" t="s">
        <v>8976</v>
      </c>
      <c r="B281" s="1394" t="s">
        <v>9293</v>
      </c>
      <c r="C281" s="1076" t="s">
        <v>5424</v>
      </c>
      <c r="D281" s="1387">
        <v>1420946</v>
      </c>
      <c r="E281" s="1414">
        <f t="shared" si="43"/>
        <v>71047.3</v>
      </c>
      <c r="F281" s="1414">
        <f t="shared" si="40"/>
        <v>1491993.3</v>
      </c>
      <c r="G281" s="1417" t="str">
        <f t="shared" si="42"/>
        <v>S.274</v>
      </c>
      <c r="R281" s="1522" t="s">
        <v>9110</v>
      </c>
      <c r="S281" s="1522" t="str">
        <f t="shared" si="41"/>
        <v>VALVULA DE COMPUERTA BxB  Φ=100mm (incluye cargue, transporte y descargue) (incluye cargue, transporte y descargue)</v>
      </c>
    </row>
    <row r="282" spans="1:19" s="1452" customFormat="1" ht="16.5" x14ac:dyDescent="0.25">
      <c r="A282" s="1448" t="s">
        <v>8977</v>
      </c>
      <c r="B282" s="1394" t="s">
        <v>9313</v>
      </c>
      <c r="C282" s="1076" t="s">
        <v>5424</v>
      </c>
      <c r="D282" s="980">
        <v>6937438.6031999998</v>
      </c>
      <c r="E282" s="1414">
        <f t="shared" si="43"/>
        <v>346871.93015999999</v>
      </c>
      <c r="F282" s="1414">
        <f t="shared" ref="F282:F283" si="44">+E282+D282</f>
        <v>7284310.5333599998</v>
      </c>
      <c r="G282" s="1417" t="str">
        <f t="shared" si="42"/>
        <v>S.275</v>
      </c>
      <c r="H282" s="1601"/>
      <c r="I282" s="1480"/>
      <c r="K282" s="1480"/>
      <c r="L282" s="1480"/>
      <c r="M282" s="1480"/>
      <c r="N282" s="1480"/>
      <c r="R282" s="1522" t="s">
        <v>9110</v>
      </c>
      <c r="S282" s="1522" t="str">
        <f t="shared" si="41"/>
        <v>COMPUERTA PLANA 250MM (incluye cargue, transporte y descargue) (incluye cargue, transporte y descargue)</v>
      </c>
    </row>
    <row r="283" spans="1:19" s="1452" customFormat="1" ht="16.5" x14ac:dyDescent="0.25">
      <c r="A283" s="1448" t="s">
        <v>8978</v>
      </c>
      <c r="B283" s="1394" t="s">
        <v>9314</v>
      </c>
      <c r="C283" s="1076" t="s">
        <v>5424</v>
      </c>
      <c r="D283" s="980">
        <v>4486996.0464000003</v>
      </c>
      <c r="E283" s="1414">
        <f t="shared" si="43"/>
        <v>224349.80232000002</v>
      </c>
      <c r="F283" s="1414">
        <f t="shared" si="44"/>
        <v>4711345.8487200001</v>
      </c>
      <c r="G283" s="1417" t="str">
        <f t="shared" si="42"/>
        <v>S.276</v>
      </c>
      <c r="H283" s="1601"/>
      <c r="I283" s="1480"/>
      <c r="K283" s="1480"/>
      <c r="L283" s="1480"/>
      <c r="M283" s="1480"/>
      <c r="N283" s="1480"/>
      <c r="R283" s="1522" t="s">
        <v>9110</v>
      </c>
      <c r="S283" s="1522" t="str">
        <f t="shared" si="41"/>
        <v>COMPUERTA PLANA 350MM (incluye cargue, transporte y descargue) (incluye cargue, transporte y descargue)</v>
      </c>
    </row>
    <row r="284" spans="1:19" ht="16.5" x14ac:dyDescent="0.3">
      <c r="A284" s="1448" t="s">
        <v>8979</v>
      </c>
      <c r="B284" s="1393" t="s">
        <v>9292</v>
      </c>
      <c r="C284" s="1076" t="s">
        <v>5424</v>
      </c>
      <c r="D284" s="1389">
        <v>4691613</v>
      </c>
      <c r="E284" s="1414">
        <f t="shared" si="43"/>
        <v>234580.65000000002</v>
      </c>
      <c r="F284" s="1414">
        <f t="shared" ref="F284:F300" si="45">+E284+D284</f>
        <v>4926193.6500000004</v>
      </c>
      <c r="G284" s="1417" t="str">
        <f t="shared" si="42"/>
        <v>S.277</v>
      </c>
      <c r="R284" s="1522" t="s">
        <v>9110</v>
      </c>
      <c r="S284" s="1522" t="str">
        <f t="shared" si="41"/>
        <v>Válvula de compuerta de vástago no ascendente 12" (300 mm) CRM  (incluye cargue, transporte y descargue) (incluye cargue, transporte y descargue)</v>
      </c>
    </row>
    <row r="285" spans="1:19" ht="16.5" x14ac:dyDescent="0.25">
      <c r="A285" s="1448" t="s">
        <v>8980</v>
      </c>
      <c r="B285" s="1608" t="s">
        <v>9311</v>
      </c>
      <c r="C285" s="1413" t="s">
        <v>5424</v>
      </c>
      <c r="D285" s="1418">
        <f t="shared" ref="D285:D291" si="46">+I285</f>
        <v>31597356</v>
      </c>
      <c r="E285" s="1414">
        <f t="shared" si="43"/>
        <v>1579867.8</v>
      </c>
      <c r="F285" s="1414">
        <f t="shared" si="45"/>
        <v>33177223.800000001</v>
      </c>
      <c r="G285" s="1417" t="str">
        <f t="shared" si="42"/>
        <v>S.278</v>
      </c>
      <c r="H285" s="1518"/>
      <c r="I285" s="1480">
        <f t="shared" ref="I285:I291" si="47">+AVERAGE(K285:O285)*1.19</f>
        <v>31597356</v>
      </c>
      <c r="O285" s="1614">
        <v>26552400</v>
      </c>
      <c r="R285" s="1522" t="s">
        <v>9110</v>
      </c>
      <c r="S285" s="1522" t="str">
        <f t="shared" si="41"/>
        <v>Válvula de Control de bombas PN 25 Autoportante BB 10" (incluye cargue, transporte y descargue) (incluye cargue, transporte y descargue)</v>
      </c>
    </row>
    <row r="286" spans="1:19" ht="16.5" x14ac:dyDescent="0.25">
      <c r="A286" s="1448" t="s">
        <v>8981</v>
      </c>
      <c r="B286" s="1608" t="s">
        <v>9312</v>
      </c>
      <c r="C286" s="1413" t="s">
        <v>5424</v>
      </c>
      <c r="D286" s="1418">
        <f t="shared" si="46"/>
        <v>20088961.199999999</v>
      </c>
      <c r="E286" s="1414">
        <f t="shared" si="43"/>
        <v>1004448.06</v>
      </c>
      <c r="F286" s="1414">
        <f t="shared" si="45"/>
        <v>21093409.259999998</v>
      </c>
      <c r="G286" s="1417" t="str">
        <f t="shared" si="42"/>
        <v>S.279</v>
      </c>
      <c r="H286" s="1518"/>
      <c r="I286" s="1480">
        <f t="shared" si="47"/>
        <v>20088961.199999999</v>
      </c>
      <c r="O286" s="1614">
        <v>16881480</v>
      </c>
      <c r="R286" s="1522" t="s">
        <v>9110</v>
      </c>
      <c r="S286" s="1522" t="str">
        <f t="shared" si="41"/>
        <v>Válvula de Control de Nivel y Caudal 2 posiciones 20" (incluye cargue, transporte y descargue) (incluye cargue, transporte y descargue)</v>
      </c>
    </row>
    <row r="287" spans="1:19" ht="16.5" x14ac:dyDescent="0.3">
      <c r="A287" s="1448" t="s">
        <v>8982</v>
      </c>
      <c r="B287" s="1392" t="s">
        <v>9126</v>
      </c>
      <c r="C287" s="1413" t="s">
        <v>5424</v>
      </c>
      <c r="D287" s="1418">
        <f t="shared" si="46"/>
        <v>32097870</v>
      </c>
      <c r="E287" s="1414">
        <f t="shared" si="43"/>
        <v>1604893.5</v>
      </c>
      <c r="F287" s="1414">
        <f t="shared" si="45"/>
        <v>33702763.5</v>
      </c>
      <c r="G287" s="1417" t="str">
        <f t="shared" si="42"/>
        <v>S.280</v>
      </c>
      <c r="H287" s="1518"/>
      <c r="I287" s="1480">
        <f t="shared" si="47"/>
        <v>32097870</v>
      </c>
      <c r="O287" s="1618">
        <v>26973000</v>
      </c>
      <c r="R287" s="1522" t="s">
        <v>9110</v>
      </c>
      <c r="S287" s="1522" t="str">
        <f t="shared" si="41"/>
        <v>VALVULA DE CONTROL DE PRESION Y CAUDAL 400 MM (incluye cargue, transporte y descargue) (incluye cargue, transporte y descargue)</v>
      </c>
    </row>
    <row r="288" spans="1:19" x14ac:dyDescent="0.25">
      <c r="A288" s="1448" t="s">
        <v>8983</v>
      </c>
      <c r="B288" s="1606" t="s">
        <v>9199</v>
      </c>
      <c r="C288" s="1413" t="s">
        <v>5424</v>
      </c>
      <c r="D288" s="1418">
        <f t="shared" si="46"/>
        <v>1255450</v>
      </c>
      <c r="E288" s="1414">
        <f t="shared" si="43"/>
        <v>62772.5</v>
      </c>
      <c r="F288" s="1414">
        <f t="shared" si="45"/>
        <v>1318222.5</v>
      </c>
      <c r="G288" s="1417" t="str">
        <f t="shared" si="42"/>
        <v>S.281</v>
      </c>
      <c r="H288" s="1518"/>
      <c r="I288" s="1480">
        <f t="shared" si="47"/>
        <v>1255450</v>
      </c>
      <c r="L288" s="1480">
        <v>1055000</v>
      </c>
      <c r="N288" s="1452"/>
      <c r="R288" s="1522" t="s">
        <v>9110</v>
      </c>
      <c r="S288" s="1522" t="str">
        <f t="shared" si="41"/>
        <v>VALVULA DE MARIPOSA BxB  100 MM PN 25 (incluye cargue, transporte y descargue) (incluye cargue, transporte y descargue)</v>
      </c>
    </row>
    <row r="289" spans="1:19" x14ac:dyDescent="0.25">
      <c r="A289" s="1448" t="s">
        <v>9032</v>
      </c>
      <c r="B289" s="1606" t="s">
        <v>9200</v>
      </c>
      <c r="C289" s="1413" t="s">
        <v>5424</v>
      </c>
      <c r="D289" s="1418">
        <f t="shared" si="46"/>
        <v>1255450</v>
      </c>
      <c r="E289" s="1414">
        <f t="shared" si="43"/>
        <v>62772.5</v>
      </c>
      <c r="F289" s="1414">
        <f t="shared" si="45"/>
        <v>1318222.5</v>
      </c>
      <c r="G289" s="1417" t="str">
        <f t="shared" si="42"/>
        <v>S.282</v>
      </c>
      <c r="H289" s="1518"/>
      <c r="I289" s="1480">
        <f t="shared" si="47"/>
        <v>1255450</v>
      </c>
      <c r="L289" s="1480">
        <v>1055000</v>
      </c>
      <c r="N289" s="1452"/>
      <c r="R289" s="1522" t="s">
        <v>9110</v>
      </c>
      <c r="S289" s="1522" t="str">
        <f t="shared" si="41"/>
        <v>VALVULA DE MARIPOSA BxB  100 MM PN 40 (incluye cargue, transporte y descargue) (incluye cargue, transporte y descargue)</v>
      </c>
    </row>
    <row r="290" spans="1:19" x14ac:dyDescent="0.25">
      <c r="A290" s="1448" t="s">
        <v>9033</v>
      </c>
      <c r="B290" s="1606" t="s">
        <v>9152</v>
      </c>
      <c r="C290" s="1413" t="s">
        <v>5424</v>
      </c>
      <c r="D290" s="1418">
        <f t="shared" si="46"/>
        <v>1654100</v>
      </c>
      <c r="E290" s="1414">
        <f t="shared" si="43"/>
        <v>82705</v>
      </c>
      <c r="F290" s="1414">
        <f t="shared" si="45"/>
        <v>1736805</v>
      </c>
      <c r="G290" s="1417" t="str">
        <f t="shared" si="42"/>
        <v>S.283</v>
      </c>
      <c r="H290" s="1518"/>
      <c r="I290" s="1480">
        <f t="shared" si="47"/>
        <v>1654100</v>
      </c>
      <c r="L290" s="1480">
        <v>1390000</v>
      </c>
      <c r="N290" s="1452"/>
      <c r="R290" s="1522" t="s">
        <v>9110</v>
      </c>
      <c r="S290" s="1522" t="str">
        <f t="shared" si="41"/>
        <v>VALVULA DE MARIPOSA BxB  150 MM PN 10 (incluye cargue, transporte y descargue) (incluye cargue, transporte y descargue)</v>
      </c>
    </row>
    <row r="291" spans="1:19" x14ac:dyDescent="0.25">
      <c r="A291" s="1448" t="s">
        <v>9034</v>
      </c>
      <c r="B291" s="1605" t="s">
        <v>9170</v>
      </c>
      <c r="C291" s="1413" t="s">
        <v>5424</v>
      </c>
      <c r="D291" s="1418">
        <f t="shared" si="46"/>
        <v>1654100</v>
      </c>
      <c r="E291" s="1414">
        <f t="shared" si="43"/>
        <v>82705</v>
      </c>
      <c r="F291" s="1414">
        <f t="shared" si="45"/>
        <v>1736805</v>
      </c>
      <c r="G291" s="1417" t="str">
        <f t="shared" si="42"/>
        <v>S.284</v>
      </c>
      <c r="H291" s="1518"/>
      <c r="I291" s="1480">
        <f t="shared" si="47"/>
        <v>1654100</v>
      </c>
      <c r="L291" s="1480">
        <v>1390000</v>
      </c>
      <c r="N291" s="1452"/>
      <c r="R291" s="1522" t="s">
        <v>9110</v>
      </c>
      <c r="S291" s="1522" t="str">
        <f t="shared" si="41"/>
        <v>VALVULA DE MARIPOSA BxB  150 MM PN 16 (incluye cargue, transporte y descargue) (incluye cargue, transporte y descargue)</v>
      </c>
    </row>
    <row r="292" spans="1:19" s="1452" customFormat="1" x14ac:dyDescent="0.25">
      <c r="A292" s="1448" t="s">
        <v>9089</v>
      </c>
      <c r="B292" s="1605" t="s">
        <v>9322</v>
      </c>
      <c r="C292" s="1413" t="s">
        <v>5424</v>
      </c>
      <c r="D292" s="1418">
        <v>1654100</v>
      </c>
      <c r="E292" s="1414">
        <f t="shared" si="43"/>
        <v>82705</v>
      </c>
      <c r="F292" s="1414">
        <f t="shared" si="45"/>
        <v>1736805</v>
      </c>
      <c r="G292" s="1417" t="str">
        <f t="shared" si="42"/>
        <v>S.285</v>
      </c>
      <c r="H292" s="1518"/>
      <c r="I292" s="1480"/>
      <c r="K292" s="1480"/>
      <c r="L292" s="1480"/>
      <c r="M292" s="1480"/>
      <c r="R292" s="1522" t="s">
        <v>9110</v>
      </c>
      <c r="S292" s="1522" t="str">
        <f t="shared" si="41"/>
        <v>VALVULA DE MARIPOSA BxB  150 MM PN 25 (incluye cargue, transporte y descargue) (incluye cargue, transporte y descargue)</v>
      </c>
    </row>
    <row r="293" spans="1:19" x14ac:dyDescent="0.25">
      <c r="A293" s="1448" t="s">
        <v>9090</v>
      </c>
      <c r="B293" s="1605" t="s">
        <v>9307</v>
      </c>
      <c r="C293" s="1413" t="s">
        <v>5424</v>
      </c>
      <c r="D293" s="1418">
        <f>+I293</f>
        <v>5488280</v>
      </c>
      <c r="E293" s="1414">
        <f t="shared" si="43"/>
        <v>274414</v>
      </c>
      <c r="F293" s="1414">
        <f t="shared" si="45"/>
        <v>5762694</v>
      </c>
      <c r="G293" s="1417" t="str">
        <f t="shared" si="42"/>
        <v>S.286</v>
      </c>
      <c r="H293" s="1518"/>
      <c r="I293" s="1480">
        <f>+AVERAGE(K293:O293)*1.19</f>
        <v>5488280</v>
      </c>
      <c r="N293" s="1452"/>
      <c r="O293" s="1614">
        <v>4612000</v>
      </c>
      <c r="R293" s="1522" t="s">
        <v>9110</v>
      </c>
      <c r="S293" s="1522" t="str">
        <f t="shared" si="41"/>
        <v>VALVULA DE MARIPOSA BxB  250 MM PN 25 (incluye cargue, transporte y descargue) (incluye cargue, transporte y descargue)</v>
      </c>
    </row>
    <row r="294" spans="1:19" x14ac:dyDescent="0.25">
      <c r="A294" s="1448" t="s">
        <v>9091</v>
      </c>
      <c r="B294" s="1605" t="s">
        <v>9308</v>
      </c>
      <c r="C294" s="1413" t="s">
        <v>5424</v>
      </c>
      <c r="D294" s="1418">
        <f>+I294</f>
        <v>6893670</v>
      </c>
      <c r="E294" s="1414">
        <f t="shared" si="43"/>
        <v>344683.5</v>
      </c>
      <c r="F294" s="1414">
        <f t="shared" si="45"/>
        <v>7238353.5</v>
      </c>
      <c r="G294" s="1417" t="str">
        <f t="shared" si="42"/>
        <v>S.287</v>
      </c>
      <c r="H294" s="1518"/>
      <c r="I294" s="1480">
        <f>+AVERAGE(K294:O294)*1.19</f>
        <v>6893670</v>
      </c>
      <c r="N294" s="1452"/>
      <c r="O294" s="1614">
        <v>5793000</v>
      </c>
      <c r="R294" s="1522" t="s">
        <v>9110</v>
      </c>
      <c r="S294" s="1522" t="str">
        <f t="shared" si="41"/>
        <v>VALVULA DE MARIPOSA BxB  300 MM PN 25 (incluye cargue, transporte y descargue) (incluye cargue, transporte y descargue)</v>
      </c>
    </row>
    <row r="295" spans="1:19" ht="16.5" x14ac:dyDescent="0.3">
      <c r="A295" s="1448" t="s">
        <v>9103</v>
      </c>
      <c r="B295" s="1462" t="s">
        <v>9294</v>
      </c>
      <c r="C295" s="1076" t="s">
        <v>5424</v>
      </c>
      <c r="D295" s="1389">
        <v>45232</v>
      </c>
      <c r="E295" s="1414">
        <f t="shared" si="43"/>
        <v>2261.6</v>
      </c>
      <c r="F295" s="1414">
        <f t="shared" si="45"/>
        <v>47493.599999999999</v>
      </c>
      <c r="G295" s="1417" t="str">
        <f t="shared" si="42"/>
        <v>S.288</v>
      </c>
      <c r="R295" s="1522" t="s">
        <v>9110</v>
      </c>
      <c r="S295" s="1522" t="str">
        <f t="shared" si="41"/>
        <v>Válvula de Pie o Coladera de 1" (incluye cargue, transporte y descargue) (incluye cargue, transporte y descargue)</v>
      </c>
    </row>
    <row r="296" spans="1:19" ht="16.5" x14ac:dyDescent="0.3">
      <c r="A296" s="1448" t="s">
        <v>9104</v>
      </c>
      <c r="B296" s="1462" t="s">
        <v>9120</v>
      </c>
      <c r="C296" s="1413" t="s">
        <v>5424</v>
      </c>
      <c r="D296" s="1418">
        <f>+I296</f>
        <v>10490827.584999999</v>
      </c>
      <c r="E296" s="1414">
        <f t="shared" si="43"/>
        <v>524541.37925</v>
      </c>
      <c r="F296" s="1414">
        <f t="shared" si="45"/>
        <v>11015368.964249998</v>
      </c>
      <c r="G296" s="1417" t="str">
        <f t="shared" si="42"/>
        <v>S.289</v>
      </c>
      <c r="H296" s="1518"/>
      <c r="I296" s="1480">
        <f>+AVERAGE(K296:O296)*1.19</f>
        <v>10490827.584999999</v>
      </c>
      <c r="N296" s="1480">
        <v>9624643</v>
      </c>
      <c r="O296" s="1614">
        <v>8007000</v>
      </c>
      <c r="R296" s="1522" t="s">
        <v>9110</v>
      </c>
      <c r="S296" s="1522" t="str">
        <f t="shared" si="41"/>
        <v>VALVULA MARIPOSA HD BxB 400 MM (incluye cargue, transporte y descargue) (incluye cargue, transporte y descargue)</v>
      </c>
    </row>
    <row r="297" spans="1:19" ht="16.5" x14ac:dyDescent="0.3">
      <c r="A297" s="1448" t="s">
        <v>9105</v>
      </c>
      <c r="B297" s="1462" t="s">
        <v>9113</v>
      </c>
      <c r="C297" s="1413" t="s">
        <v>5424</v>
      </c>
      <c r="D297" s="1418">
        <f>+I297</f>
        <v>30377736.899999999</v>
      </c>
      <c r="E297" s="1414">
        <f t="shared" si="43"/>
        <v>1518886.845</v>
      </c>
      <c r="F297" s="1414">
        <f t="shared" si="45"/>
        <v>31896623.744999997</v>
      </c>
      <c r="G297" s="1417" t="str">
        <f t="shared" si="42"/>
        <v>S.290</v>
      </c>
      <c r="H297" s="1518"/>
      <c r="I297" s="1480">
        <f>+AVERAGE(K297:O297)*1.19</f>
        <v>30377736.899999999</v>
      </c>
      <c r="N297" s="1480">
        <v>25527510</v>
      </c>
      <c r="O297" s="1614"/>
      <c r="R297" s="1522" t="s">
        <v>9110</v>
      </c>
      <c r="S297" s="1522" t="str">
        <f t="shared" si="41"/>
        <v>VALVULA MARIPOSA HD BxB 500 MM (incluye cargue, transporte y descargue) (incluye cargue, transporte y descargue)</v>
      </c>
    </row>
    <row r="298" spans="1:19" s="1452" customFormat="1" ht="16.5" x14ac:dyDescent="0.3">
      <c r="A298" s="1448" t="s">
        <v>9106</v>
      </c>
      <c r="B298" s="1607" t="s">
        <v>9323</v>
      </c>
      <c r="C298" s="1609" t="s">
        <v>5424</v>
      </c>
      <c r="D298" s="1418">
        <f>20085282.672*1.2</f>
        <v>24102339.206399996</v>
      </c>
      <c r="E298" s="1414">
        <f t="shared" si="43"/>
        <v>1205116.9603199998</v>
      </c>
      <c r="F298" s="1414">
        <f t="shared" si="45"/>
        <v>25307456.166719995</v>
      </c>
      <c r="G298" s="1417" t="str">
        <f t="shared" si="42"/>
        <v>S.291</v>
      </c>
      <c r="H298" s="1518"/>
      <c r="I298" s="1480"/>
      <c r="K298" s="1480"/>
      <c r="L298" s="1480"/>
      <c r="M298" s="1480"/>
      <c r="N298" s="1480"/>
      <c r="O298" s="1614"/>
      <c r="R298" s="1522" t="s">
        <v>9110</v>
      </c>
      <c r="S298" s="1522" t="str">
        <f t="shared" si="41"/>
        <v>VALVULA REDUCTORA DE PRESION 150 MM PN25 (incluye cargue, transporte y descargue) (incluye cargue, transporte y descargue)</v>
      </c>
    </row>
    <row r="299" spans="1:19" ht="16.5" x14ac:dyDescent="0.3">
      <c r="A299" s="1448" t="s">
        <v>9107</v>
      </c>
      <c r="B299" s="1607" t="s">
        <v>9117</v>
      </c>
      <c r="C299" s="1609" t="s">
        <v>5424</v>
      </c>
      <c r="D299" s="1610">
        <f>+I299</f>
        <v>12781076</v>
      </c>
      <c r="E299" s="1611">
        <f t="shared" si="43"/>
        <v>639053.80000000005</v>
      </c>
      <c r="F299" s="1611">
        <f t="shared" si="45"/>
        <v>13420129.800000001</v>
      </c>
      <c r="G299" s="1417" t="str">
        <f t="shared" si="42"/>
        <v>S.292</v>
      </c>
      <c r="H299" s="1518"/>
      <c r="I299" s="1480">
        <f>+AVERAGE(K299:O299)*1.19</f>
        <v>12781076</v>
      </c>
      <c r="K299" s="1480">
        <v>10740400</v>
      </c>
      <c r="N299" s="1452"/>
      <c r="O299" s="1419"/>
      <c r="R299" s="1522" t="s">
        <v>9110</v>
      </c>
      <c r="S299" s="1522" t="str">
        <f t="shared" si="41"/>
        <v>YEE HD BXB 500x400MMx400MM (incluye cargue, transporte y descargue) (incluye cargue, transporte y descargue)</v>
      </c>
    </row>
    <row r="300" spans="1:19" ht="16.5" x14ac:dyDescent="0.3">
      <c r="A300" s="1448" t="s">
        <v>9108</v>
      </c>
      <c r="B300" s="1607" t="s">
        <v>9304</v>
      </c>
      <c r="C300" s="1609" t="s">
        <v>5424</v>
      </c>
      <c r="D300" s="1610">
        <f>+I300</f>
        <v>8490650</v>
      </c>
      <c r="E300" s="1611">
        <f t="shared" si="43"/>
        <v>424532.5</v>
      </c>
      <c r="F300" s="1611">
        <f t="shared" si="45"/>
        <v>8915182.5</v>
      </c>
      <c r="G300" s="1417" t="str">
        <f t="shared" si="42"/>
        <v>S.293</v>
      </c>
      <c r="H300" s="1518"/>
      <c r="I300" s="1480">
        <f>+AVERAGE(K300:O300)*1.19</f>
        <v>8490650</v>
      </c>
      <c r="O300" s="1614">
        <v>7135000</v>
      </c>
      <c r="R300" s="1522" t="s">
        <v>9110</v>
      </c>
      <c r="S300" s="1522" t="str">
        <f t="shared" si="41"/>
        <v>YEE HD BXB250x500MMx500MM (incluye cargue, transporte y descargue) (incluye cargue, transporte y descargue)</v>
      </c>
    </row>
  </sheetData>
  <sortState ref="A4:P288">
    <sortCondition ref="B4:B288"/>
  </sortState>
  <mergeCells count="1">
    <mergeCell ref="B2:E2"/>
  </mergeCells>
  <pageMargins left="0.70866141732283472" right="0.70866141732283472" top="0.74803149606299213" bottom="0.74803149606299213" header="0.31496062992125984" footer="0.31496062992125984"/>
  <pageSetup scale="57" fitToHeight="0"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07"/>
  <sheetViews>
    <sheetView workbookViewId="0">
      <selection sqref="A1:F1"/>
    </sheetView>
  </sheetViews>
  <sheetFormatPr baseColWidth="10" defaultRowHeight="15" x14ac:dyDescent="0.25"/>
  <cols>
    <col min="2" max="2" width="51.5703125" customWidth="1"/>
    <col min="3" max="3" width="8.42578125" customWidth="1"/>
    <col min="5" max="5" width="12.42578125" bestFit="1" customWidth="1"/>
    <col min="6" max="6" width="22.140625" customWidth="1"/>
  </cols>
  <sheetData>
    <row r="1" spans="1:10" ht="18.75" x14ac:dyDescent="0.25">
      <c r="A1" s="2462" t="s">
        <v>0</v>
      </c>
      <c r="B1" s="2462"/>
      <c r="C1" s="2462"/>
      <c r="D1" s="2462"/>
      <c r="E1" s="2462"/>
      <c r="F1" s="2462"/>
      <c r="G1" s="1"/>
    </row>
    <row r="2" spans="1:10" ht="18.75" customHeight="1" x14ac:dyDescent="0.25">
      <c r="A2" s="2463" t="s">
        <v>6313</v>
      </c>
      <c r="B2" s="2463"/>
      <c r="C2" s="2463"/>
      <c r="D2" s="2463"/>
      <c r="E2" s="2463"/>
      <c r="F2" s="2463"/>
      <c r="G2" s="1"/>
    </row>
    <row r="3" spans="1:10" ht="15.75" x14ac:dyDescent="0.25">
      <c r="A3" s="2464"/>
      <c r="B3" s="2464"/>
      <c r="C3" s="2464"/>
      <c r="D3" s="2464"/>
      <c r="E3" s="2464"/>
      <c r="F3" s="2464"/>
      <c r="G3" s="1"/>
    </row>
    <row r="4" spans="1:10" ht="15.75" customHeight="1" x14ac:dyDescent="0.25">
      <c r="A4" s="2278" t="s">
        <v>6448</v>
      </c>
      <c r="B4" s="2278"/>
      <c r="C4" s="2278"/>
      <c r="D4" s="2278"/>
      <c r="E4" s="2278"/>
      <c r="F4" s="2278"/>
      <c r="G4" s="1"/>
    </row>
    <row r="5" spans="1:10" ht="15.75" customHeight="1" x14ac:dyDescent="0.25">
      <c r="A5" s="2278" t="s">
        <v>2</v>
      </c>
      <c r="B5" s="2278"/>
      <c r="C5" s="2278"/>
      <c r="D5" s="2278"/>
      <c r="E5" s="2278"/>
      <c r="F5" s="2278"/>
    </row>
    <row r="6" spans="1:10" ht="16.5" thickBot="1" x14ac:dyDescent="0.3">
      <c r="A6" s="603"/>
      <c r="B6" s="603"/>
      <c r="C6" s="603"/>
      <c r="D6" s="603"/>
      <c r="E6" s="603"/>
      <c r="F6" s="603"/>
    </row>
    <row r="7" spans="1:10" ht="15.75" thickBot="1" x14ac:dyDescent="0.3">
      <c r="A7" s="4" t="s">
        <v>3</v>
      </c>
      <c r="B7" s="5" t="s">
        <v>4</v>
      </c>
      <c r="C7" s="5" t="s">
        <v>5</v>
      </c>
      <c r="D7" s="5" t="s">
        <v>6</v>
      </c>
      <c r="E7" s="6" t="s">
        <v>7</v>
      </c>
      <c r="F7" s="7" t="s">
        <v>8</v>
      </c>
      <c r="G7" s="8"/>
    </row>
    <row r="8" spans="1:10" x14ac:dyDescent="0.25">
      <c r="A8" s="316">
        <v>1</v>
      </c>
      <c r="B8" s="317" t="s">
        <v>9</v>
      </c>
      <c r="C8" s="9"/>
      <c r="D8" s="9"/>
      <c r="E8" s="10"/>
      <c r="F8" s="11"/>
      <c r="G8" s="8">
        <v>1</v>
      </c>
    </row>
    <row r="9" spans="1:10" x14ac:dyDescent="0.25">
      <c r="A9" s="12" t="s">
        <v>10</v>
      </c>
      <c r="B9" s="13" t="s">
        <v>11</v>
      </c>
      <c r="C9" s="14"/>
      <c r="D9" s="14"/>
      <c r="E9" s="15"/>
      <c r="F9" s="16"/>
      <c r="G9" s="8">
        <v>1</v>
      </c>
    </row>
    <row r="10" spans="1:10" x14ac:dyDescent="0.25">
      <c r="A10" s="17" t="s">
        <v>12</v>
      </c>
      <c r="B10" s="18" t="s">
        <v>13</v>
      </c>
      <c r="C10" s="14" t="s">
        <v>14</v>
      </c>
      <c r="D10" s="14">
        <v>0</v>
      </c>
      <c r="E10" s="15">
        <f>+'APU CAP 1-2'!H56</f>
        <v>1717</v>
      </c>
      <c r="F10" s="16">
        <f>+D10*E10</f>
        <v>0</v>
      </c>
      <c r="G10" s="8">
        <f>+IF(F10&lt;&gt;0,1,0)</f>
        <v>0</v>
      </c>
    </row>
    <row r="11" spans="1:10" x14ac:dyDescent="0.25">
      <c r="A11" s="17" t="s">
        <v>15</v>
      </c>
      <c r="B11" s="18" t="s">
        <v>16</v>
      </c>
      <c r="C11" s="14" t="s">
        <v>17</v>
      </c>
      <c r="D11" s="14">
        <v>40</v>
      </c>
      <c r="E11" s="15"/>
      <c r="F11" s="16">
        <f>+D11*E11</f>
        <v>0</v>
      </c>
      <c r="G11" s="8">
        <f t="shared" ref="G11:G74" si="0">+IF(F11&lt;&gt;0,1,0)</f>
        <v>0</v>
      </c>
    </row>
    <row r="12" spans="1:10" x14ac:dyDescent="0.25">
      <c r="A12" s="17" t="s">
        <v>5427</v>
      </c>
      <c r="B12" s="18" t="s">
        <v>5624</v>
      </c>
      <c r="C12" s="14" t="s">
        <v>17</v>
      </c>
      <c r="D12" s="14"/>
      <c r="E12" s="15">
        <f>+'APU CAP 1-2'!H332</f>
        <v>0</v>
      </c>
      <c r="F12" s="16">
        <f>+D12*E12</f>
        <v>0</v>
      </c>
      <c r="G12" s="8">
        <f t="shared" si="0"/>
        <v>0</v>
      </c>
    </row>
    <row r="13" spans="1:10" x14ac:dyDescent="0.25">
      <c r="A13" s="12" t="s">
        <v>18</v>
      </c>
      <c r="B13" s="13" t="s">
        <v>19</v>
      </c>
      <c r="C13" s="14"/>
      <c r="D13" s="14"/>
      <c r="E13" s="15"/>
      <c r="F13" s="16"/>
      <c r="G13" s="8">
        <f t="shared" si="0"/>
        <v>0</v>
      </c>
    </row>
    <row r="14" spans="1:10" x14ac:dyDescent="0.25">
      <c r="A14" s="12" t="s">
        <v>20</v>
      </c>
      <c r="B14" s="13" t="s">
        <v>21</v>
      </c>
      <c r="C14" s="14"/>
      <c r="D14" s="14"/>
      <c r="E14" s="15"/>
      <c r="F14" s="16"/>
      <c r="G14" s="8">
        <f t="shared" si="0"/>
        <v>0</v>
      </c>
    </row>
    <row r="15" spans="1:10" x14ac:dyDescent="0.25">
      <c r="A15" s="17" t="s">
        <v>49</v>
      </c>
      <c r="B15" s="18" t="s">
        <v>48</v>
      </c>
      <c r="C15" s="14" t="s">
        <v>37</v>
      </c>
      <c r="D15" s="14"/>
      <c r="E15" s="15">
        <f>+'APU CAP 1-2'!H387</f>
        <v>0</v>
      </c>
      <c r="F15" s="16">
        <f t="shared" ref="F15:F27" si="1">+D15*E15</f>
        <v>0</v>
      </c>
      <c r="G15" s="8">
        <f t="shared" si="0"/>
        <v>0</v>
      </c>
    </row>
    <row r="16" spans="1:10" x14ac:dyDescent="0.25">
      <c r="A16" s="17" t="s">
        <v>50</v>
      </c>
      <c r="B16" s="18" t="s">
        <v>47</v>
      </c>
      <c r="C16" s="14" t="s">
        <v>37</v>
      </c>
      <c r="D16" s="14"/>
      <c r="E16" s="15">
        <f>+'APU CAP 1-2'!H442</f>
        <v>0</v>
      </c>
      <c r="F16" s="16">
        <f t="shared" si="1"/>
        <v>0</v>
      </c>
      <c r="G16" s="8">
        <f t="shared" si="0"/>
        <v>0</v>
      </c>
      <c r="J16">
        <f>2/0.05</f>
        <v>40</v>
      </c>
    </row>
    <row r="17" spans="1:7" x14ac:dyDescent="0.25">
      <c r="A17" s="17" t="s">
        <v>51</v>
      </c>
      <c r="B17" s="18" t="s">
        <v>52</v>
      </c>
      <c r="C17" s="14" t="s">
        <v>37</v>
      </c>
      <c r="D17" s="14"/>
      <c r="E17" s="15">
        <f>+'APU CAP 1-2'!H497</f>
        <v>0</v>
      </c>
      <c r="F17" s="16">
        <f t="shared" si="1"/>
        <v>0</v>
      </c>
      <c r="G17" s="8">
        <f t="shared" si="0"/>
        <v>0</v>
      </c>
    </row>
    <row r="18" spans="1:7" ht="25.5" x14ac:dyDescent="0.25">
      <c r="A18" s="17" t="s">
        <v>65</v>
      </c>
      <c r="B18" s="25" t="s">
        <v>66</v>
      </c>
      <c r="C18" s="14" t="s">
        <v>37</v>
      </c>
      <c r="D18" s="14"/>
      <c r="E18" s="15">
        <f>+'APU CAP 1-2'!H552</f>
        <v>0</v>
      </c>
      <c r="F18" s="16">
        <f t="shared" si="1"/>
        <v>0</v>
      </c>
      <c r="G18" s="8">
        <f t="shared" si="0"/>
        <v>0</v>
      </c>
    </row>
    <row r="19" spans="1:7" x14ac:dyDescent="0.25">
      <c r="A19" s="17" t="s">
        <v>53</v>
      </c>
      <c r="B19" s="18" t="s">
        <v>54</v>
      </c>
      <c r="C19" s="14" t="s">
        <v>37</v>
      </c>
      <c r="D19" s="14"/>
      <c r="E19" s="15">
        <f>+'APU CAP 1-2'!H603</f>
        <v>0</v>
      </c>
      <c r="F19" s="16">
        <f t="shared" si="1"/>
        <v>0</v>
      </c>
      <c r="G19" s="8">
        <f t="shared" si="0"/>
        <v>0</v>
      </c>
    </row>
    <row r="20" spans="1:7" x14ac:dyDescent="0.25">
      <c r="A20" s="17" t="s">
        <v>22</v>
      </c>
      <c r="B20" s="18" t="s">
        <v>23</v>
      </c>
      <c r="C20" s="14" t="s">
        <v>14</v>
      </c>
      <c r="D20" s="14"/>
      <c r="E20" s="15">
        <f>+'APU CAP 1-2'!H657</f>
        <v>0</v>
      </c>
      <c r="F20" s="16">
        <f t="shared" si="1"/>
        <v>0</v>
      </c>
      <c r="G20" s="8">
        <f t="shared" si="0"/>
        <v>0</v>
      </c>
    </row>
    <row r="21" spans="1:7" x14ac:dyDescent="0.25">
      <c r="A21" s="17" t="s">
        <v>55</v>
      </c>
      <c r="B21" s="18" t="s">
        <v>59</v>
      </c>
      <c r="C21" s="14" t="s">
        <v>37</v>
      </c>
      <c r="D21" s="14"/>
      <c r="E21" s="15"/>
      <c r="F21" s="16">
        <f t="shared" si="1"/>
        <v>0</v>
      </c>
      <c r="G21" s="8">
        <f t="shared" si="0"/>
        <v>0</v>
      </c>
    </row>
    <row r="22" spans="1:7" x14ac:dyDescent="0.25">
      <c r="A22" s="17" t="s">
        <v>56</v>
      </c>
      <c r="B22" s="18" t="s">
        <v>5645</v>
      </c>
      <c r="C22" s="14" t="s">
        <v>37</v>
      </c>
      <c r="D22" s="14"/>
      <c r="E22" s="15">
        <f>+'APU CAP 1-2'!H716</f>
        <v>0</v>
      </c>
      <c r="F22" s="16">
        <f t="shared" si="1"/>
        <v>0</v>
      </c>
      <c r="G22" s="8">
        <f t="shared" si="0"/>
        <v>0</v>
      </c>
    </row>
    <row r="23" spans="1:7" x14ac:dyDescent="0.25">
      <c r="A23" s="17" t="s">
        <v>57</v>
      </c>
      <c r="B23" s="18" t="s">
        <v>60</v>
      </c>
      <c r="C23" s="14" t="s">
        <v>14</v>
      </c>
      <c r="D23" s="14"/>
      <c r="E23" s="441">
        <f>+'APU CAP 1-2'!H932</f>
        <v>0</v>
      </c>
      <c r="F23" s="16">
        <f t="shared" si="1"/>
        <v>0</v>
      </c>
      <c r="G23" s="8">
        <f t="shared" si="0"/>
        <v>0</v>
      </c>
    </row>
    <row r="24" spans="1:7" x14ac:dyDescent="0.25">
      <c r="A24" s="17" t="s">
        <v>58</v>
      </c>
      <c r="B24" s="18" t="s">
        <v>61</v>
      </c>
      <c r="C24" s="14" t="s">
        <v>37</v>
      </c>
      <c r="D24" s="14"/>
      <c r="E24" s="15"/>
      <c r="F24" s="16">
        <f t="shared" si="1"/>
        <v>0</v>
      </c>
      <c r="G24" s="8">
        <f t="shared" si="0"/>
        <v>0</v>
      </c>
    </row>
    <row r="25" spans="1:7" x14ac:dyDescent="0.25">
      <c r="A25" s="17" t="s">
        <v>67</v>
      </c>
      <c r="B25" s="18" t="s">
        <v>62</v>
      </c>
      <c r="C25" s="14" t="s">
        <v>37</v>
      </c>
      <c r="D25" s="14"/>
      <c r="E25" s="15"/>
      <c r="F25" s="16">
        <f t="shared" si="1"/>
        <v>0</v>
      </c>
      <c r="G25" s="8">
        <f t="shared" si="0"/>
        <v>0</v>
      </c>
    </row>
    <row r="26" spans="1:7" x14ac:dyDescent="0.25">
      <c r="A26" s="17" t="s">
        <v>68</v>
      </c>
      <c r="B26" s="18" t="s">
        <v>63</v>
      </c>
      <c r="C26" s="14" t="s">
        <v>37</v>
      </c>
      <c r="D26" s="14"/>
      <c r="E26" s="15"/>
      <c r="F26" s="16">
        <f t="shared" si="1"/>
        <v>0</v>
      </c>
      <c r="G26" s="8">
        <f t="shared" si="0"/>
        <v>0</v>
      </c>
    </row>
    <row r="27" spans="1:7" x14ac:dyDescent="0.25">
      <c r="A27" s="17" t="s">
        <v>69</v>
      </c>
      <c r="B27" s="18" t="s">
        <v>64</v>
      </c>
      <c r="C27" s="14" t="s">
        <v>37</v>
      </c>
      <c r="D27" s="14"/>
      <c r="E27" s="15"/>
      <c r="F27" s="16">
        <f t="shared" si="1"/>
        <v>0</v>
      </c>
      <c r="G27" s="8">
        <f t="shared" si="0"/>
        <v>0</v>
      </c>
    </row>
    <row r="28" spans="1:7" x14ac:dyDescent="0.25">
      <c r="A28" s="2454" t="s">
        <v>24</v>
      </c>
      <c r="B28" s="2455"/>
      <c r="C28" s="2455"/>
      <c r="D28" s="2455"/>
      <c r="E28" s="2455"/>
      <c r="F28" s="19">
        <f>SUM(F10:F27)</f>
        <v>0</v>
      </c>
      <c r="G28" s="8">
        <f t="shared" si="0"/>
        <v>0</v>
      </c>
    </row>
    <row r="29" spans="1:7" x14ac:dyDescent="0.25">
      <c r="A29" s="20">
        <v>2</v>
      </c>
      <c r="B29" s="21" t="s">
        <v>5757</v>
      </c>
      <c r="C29" s="22"/>
      <c r="D29" s="22"/>
      <c r="E29" s="23"/>
      <c r="F29" s="24"/>
      <c r="G29" s="8">
        <v>1</v>
      </c>
    </row>
    <row r="30" spans="1:7" x14ac:dyDescent="0.25">
      <c r="A30" s="12" t="s">
        <v>25</v>
      </c>
      <c r="B30" s="13" t="s">
        <v>6261</v>
      </c>
      <c r="C30" s="14"/>
      <c r="D30" s="14"/>
      <c r="E30" s="15"/>
      <c r="F30" s="16"/>
      <c r="G30" s="8">
        <v>1</v>
      </c>
    </row>
    <row r="31" spans="1:7" x14ac:dyDescent="0.25">
      <c r="A31" s="31" t="s">
        <v>26</v>
      </c>
      <c r="B31" s="320" t="s">
        <v>5758</v>
      </c>
      <c r="C31" s="26" t="s">
        <v>27</v>
      </c>
      <c r="D31" s="683" t="e">
        <f>+#REF!</f>
        <v>#REF!</v>
      </c>
      <c r="E31" s="29">
        <f>+'APU CAP 1-2'!H1150</f>
        <v>22263</v>
      </c>
      <c r="F31" s="16" t="e">
        <f>+D31*E31</f>
        <v>#REF!</v>
      </c>
      <c r="G31" s="8" t="e">
        <f t="shared" si="0"/>
        <v>#REF!</v>
      </c>
    </row>
    <row r="32" spans="1:7" x14ac:dyDescent="0.25">
      <c r="A32" s="17" t="s">
        <v>89</v>
      </c>
      <c r="B32" s="25" t="s">
        <v>5759</v>
      </c>
      <c r="C32" s="14" t="s">
        <v>27</v>
      </c>
      <c r="D32" s="14"/>
      <c r="E32" s="15">
        <f>+'APU CAP 1-2'!H1205</f>
        <v>33442</v>
      </c>
      <c r="F32" s="16">
        <f>+D32*E32</f>
        <v>0</v>
      </c>
      <c r="G32" s="8">
        <f t="shared" si="0"/>
        <v>0</v>
      </c>
    </row>
    <row r="33" spans="1:7" x14ac:dyDescent="0.25">
      <c r="A33" s="17" t="s">
        <v>90</v>
      </c>
      <c r="B33" s="25" t="s">
        <v>5760</v>
      </c>
      <c r="C33" s="14" t="s">
        <v>27</v>
      </c>
      <c r="D33" s="14"/>
      <c r="E33" s="15">
        <f>+'APU CAP 1-2'!H1262</f>
        <v>0</v>
      </c>
      <c r="F33" s="16">
        <f>+D33*E33</f>
        <v>0</v>
      </c>
      <c r="G33" s="8">
        <f t="shared" si="0"/>
        <v>0</v>
      </c>
    </row>
    <row r="34" spans="1:7" x14ac:dyDescent="0.25">
      <c r="A34" s="12" t="s">
        <v>94</v>
      </c>
      <c r="B34" s="13" t="s">
        <v>6262</v>
      </c>
      <c r="C34" s="14"/>
      <c r="D34" s="14"/>
      <c r="E34" s="15"/>
      <c r="F34" s="16"/>
      <c r="G34" s="8">
        <f t="shared" si="0"/>
        <v>0</v>
      </c>
    </row>
    <row r="35" spans="1:7" ht="25.5" x14ac:dyDescent="0.25">
      <c r="A35" s="17" t="s">
        <v>95</v>
      </c>
      <c r="B35" s="25" t="s">
        <v>91</v>
      </c>
      <c r="C35" s="14" t="s">
        <v>27</v>
      </c>
      <c r="D35" s="14"/>
      <c r="E35" s="15">
        <f>+'APU CAP 1-2'!H1317</f>
        <v>0</v>
      </c>
      <c r="F35" s="16">
        <f>+D35*E35</f>
        <v>0</v>
      </c>
      <c r="G35" s="8">
        <f t="shared" si="0"/>
        <v>0</v>
      </c>
    </row>
    <row r="36" spans="1:7" ht="25.5" x14ac:dyDescent="0.25">
      <c r="A36" s="17" t="s">
        <v>96</v>
      </c>
      <c r="B36" s="25" t="s">
        <v>92</v>
      </c>
      <c r="C36" s="14" t="s">
        <v>27</v>
      </c>
      <c r="D36" s="14"/>
      <c r="E36" s="15">
        <f>+'APU CAP 1-2'!H1372</f>
        <v>0</v>
      </c>
      <c r="F36" s="16">
        <f>+D36*E36</f>
        <v>0</v>
      </c>
      <c r="G36" s="8">
        <f t="shared" si="0"/>
        <v>0</v>
      </c>
    </row>
    <row r="37" spans="1:7" ht="25.5" x14ac:dyDescent="0.25">
      <c r="A37" s="17" t="s">
        <v>97</v>
      </c>
      <c r="B37" s="25" t="s">
        <v>93</v>
      </c>
      <c r="C37" s="14" t="s">
        <v>27</v>
      </c>
      <c r="D37" s="14"/>
      <c r="E37" s="15">
        <f>+'APU CAP 1-2'!H1427</f>
        <v>0</v>
      </c>
      <c r="F37" s="16">
        <f>+D37*E37</f>
        <v>0</v>
      </c>
      <c r="G37" s="8">
        <f t="shared" si="0"/>
        <v>0</v>
      </c>
    </row>
    <row r="38" spans="1:7" x14ac:dyDescent="0.25">
      <c r="A38" s="27" t="s">
        <v>5990</v>
      </c>
      <c r="B38" s="321" t="s">
        <v>864</v>
      </c>
      <c r="C38" s="26"/>
      <c r="D38" s="26"/>
      <c r="E38" s="29"/>
      <c r="F38" s="16"/>
      <c r="G38" s="8">
        <v>0</v>
      </c>
    </row>
    <row r="39" spans="1:7" ht="25.5" x14ac:dyDescent="0.25">
      <c r="A39" s="17" t="s">
        <v>101</v>
      </c>
      <c r="B39" s="25" t="s">
        <v>131</v>
      </c>
      <c r="C39" s="14" t="s">
        <v>27</v>
      </c>
      <c r="D39" s="14"/>
      <c r="E39" s="15">
        <f>+'APU CAP 1-2'!H1645</f>
        <v>14094</v>
      </c>
      <c r="F39" s="16">
        <f>+D39*E39</f>
        <v>0</v>
      </c>
      <c r="G39" s="8">
        <f t="shared" si="0"/>
        <v>0</v>
      </c>
    </row>
    <row r="40" spans="1:7" ht="25.5" x14ac:dyDescent="0.25">
      <c r="A40" s="17" t="s">
        <v>105</v>
      </c>
      <c r="B40" s="25" t="s">
        <v>132</v>
      </c>
      <c r="C40" s="14" t="s">
        <v>27</v>
      </c>
      <c r="D40" s="14"/>
      <c r="E40" s="15">
        <f>+'APU CAP 1-2'!H1702</f>
        <v>0</v>
      </c>
      <c r="F40" s="16">
        <f>+D40*E40</f>
        <v>0</v>
      </c>
      <c r="G40" s="8">
        <f t="shared" si="0"/>
        <v>0</v>
      </c>
    </row>
    <row r="41" spans="1:7" x14ac:dyDescent="0.25">
      <c r="A41" s="12" t="s">
        <v>116</v>
      </c>
      <c r="B41" s="25" t="s">
        <v>133</v>
      </c>
      <c r="C41" s="14" t="s">
        <v>27</v>
      </c>
      <c r="D41" s="14"/>
      <c r="E41" s="15">
        <f>+'APU CAP 1-2'!H1755</f>
        <v>156265</v>
      </c>
      <c r="F41" s="16">
        <f>+D41*E41</f>
        <v>0</v>
      </c>
      <c r="G41" s="8">
        <f t="shared" si="0"/>
        <v>0</v>
      </c>
    </row>
    <row r="42" spans="1:7" x14ac:dyDescent="0.25">
      <c r="A42" s="27" t="s">
        <v>117</v>
      </c>
      <c r="B42" s="321" t="s">
        <v>100</v>
      </c>
      <c r="C42" s="26"/>
      <c r="D42" s="26"/>
      <c r="E42" s="29"/>
      <c r="F42" s="16"/>
      <c r="G42" s="8">
        <v>1</v>
      </c>
    </row>
    <row r="43" spans="1:7" x14ac:dyDescent="0.25">
      <c r="A43" s="31" t="s">
        <v>118</v>
      </c>
      <c r="B43" s="684" t="s">
        <v>103</v>
      </c>
      <c r="C43" s="26" t="s">
        <v>27</v>
      </c>
      <c r="D43" s="26">
        <v>11.4</v>
      </c>
      <c r="E43" s="29">
        <f>+'APU CAP 1-2'!H1810</f>
        <v>63025</v>
      </c>
      <c r="F43" s="16">
        <f t="shared" ref="F43:F61" si="2">+D43*E43</f>
        <v>718485</v>
      </c>
      <c r="G43" s="8">
        <f t="shared" si="0"/>
        <v>1</v>
      </c>
    </row>
    <row r="44" spans="1:7" x14ac:dyDescent="0.25">
      <c r="A44" s="17" t="s">
        <v>119</v>
      </c>
      <c r="B44" s="18" t="s">
        <v>102</v>
      </c>
      <c r="C44" s="14" t="s">
        <v>27</v>
      </c>
      <c r="D44" s="14"/>
      <c r="E44" s="15">
        <f>+'APU CAP 1-2'!H1867</f>
        <v>0</v>
      </c>
      <c r="F44" s="16">
        <f t="shared" si="2"/>
        <v>0</v>
      </c>
      <c r="G44" s="8">
        <f t="shared" si="0"/>
        <v>0</v>
      </c>
    </row>
    <row r="45" spans="1:7" x14ac:dyDescent="0.25">
      <c r="A45" s="17" t="s">
        <v>120</v>
      </c>
      <c r="B45" s="18" t="s">
        <v>104</v>
      </c>
      <c r="C45" s="14" t="s">
        <v>27</v>
      </c>
      <c r="D45" s="14"/>
      <c r="E45" s="15">
        <f>+'APU CAP 1-2'!H1922</f>
        <v>0</v>
      </c>
      <c r="F45" s="16">
        <f t="shared" si="2"/>
        <v>0</v>
      </c>
      <c r="G45" s="8">
        <f t="shared" si="0"/>
        <v>0</v>
      </c>
    </row>
    <row r="46" spans="1:7" ht="25.5" x14ac:dyDescent="0.25">
      <c r="A46" s="17" t="s">
        <v>6294</v>
      </c>
      <c r="B46" s="601" t="s">
        <v>6308</v>
      </c>
      <c r="C46" s="14" t="s">
        <v>146</v>
      </c>
      <c r="D46" s="14"/>
      <c r="E46" s="15">
        <f>+'APU CAP 1-2'!X1810</f>
        <v>43691</v>
      </c>
      <c r="F46" s="16">
        <f t="shared" si="2"/>
        <v>0</v>
      </c>
      <c r="G46" s="8">
        <f t="shared" si="0"/>
        <v>0</v>
      </c>
    </row>
    <row r="47" spans="1:7" x14ac:dyDescent="0.25">
      <c r="A47" s="17" t="s">
        <v>121</v>
      </c>
      <c r="B47" s="25" t="s">
        <v>106</v>
      </c>
      <c r="C47" s="14" t="s">
        <v>27</v>
      </c>
      <c r="D47" s="14"/>
      <c r="E47" s="15">
        <f>+'APU CAP 1-2'!H1975</f>
        <v>83236</v>
      </c>
      <c r="F47" s="16">
        <f t="shared" si="2"/>
        <v>0</v>
      </c>
      <c r="G47" s="8">
        <f t="shared" si="0"/>
        <v>0</v>
      </c>
    </row>
    <row r="48" spans="1:7" x14ac:dyDescent="0.25">
      <c r="A48" s="17" t="s">
        <v>122</v>
      </c>
      <c r="B48" s="25" t="s">
        <v>107</v>
      </c>
      <c r="C48" s="14" t="s">
        <v>27</v>
      </c>
      <c r="D48" s="14"/>
      <c r="E48" s="15">
        <f>+'APU CAP 1-2'!H2030</f>
        <v>41595</v>
      </c>
      <c r="F48" s="16">
        <f t="shared" si="2"/>
        <v>0</v>
      </c>
      <c r="G48" s="8">
        <f t="shared" si="0"/>
        <v>0</v>
      </c>
    </row>
    <row r="49" spans="1:7" x14ac:dyDescent="0.25">
      <c r="A49" s="17" t="s">
        <v>123</v>
      </c>
      <c r="B49" s="25" t="s">
        <v>5683</v>
      </c>
      <c r="C49" s="14" t="s">
        <v>27</v>
      </c>
      <c r="D49" s="14"/>
      <c r="E49" s="15">
        <f>+'APU CAP 1-2'!H2087</f>
        <v>0</v>
      </c>
      <c r="F49" s="16">
        <f t="shared" si="2"/>
        <v>0</v>
      </c>
      <c r="G49" s="8">
        <f t="shared" si="0"/>
        <v>0</v>
      </c>
    </row>
    <row r="50" spans="1:7" x14ac:dyDescent="0.25">
      <c r="A50" s="17" t="s">
        <v>124</v>
      </c>
      <c r="B50" s="25" t="s">
        <v>108</v>
      </c>
      <c r="C50" s="14" t="s">
        <v>109</v>
      </c>
      <c r="D50" s="14"/>
      <c r="E50" s="15">
        <f>+'APU CAP 1-2'!H2142</f>
        <v>0</v>
      </c>
      <c r="F50" s="16">
        <f t="shared" si="2"/>
        <v>0</v>
      </c>
      <c r="G50" s="8">
        <f t="shared" si="0"/>
        <v>0</v>
      </c>
    </row>
    <row r="51" spans="1:7" x14ac:dyDescent="0.25">
      <c r="A51" s="17" t="s">
        <v>125</v>
      </c>
      <c r="B51" s="25" t="s">
        <v>110</v>
      </c>
      <c r="C51" s="14" t="s">
        <v>27</v>
      </c>
      <c r="D51" s="14"/>
      <c r="E51" s="15">
        <f>+'APU CAP 1-2'!H2197</f>
        <v>0</v>
      </c>
      <c r="F51" s="16">
        <f t="shared" si="2"/>
        <v>0</v>
      </c>
      <c r="G51" s="8">
        <f t="shared" si="0"/>
        <v>0</v>
      </c>
    </row>
    <row r="52" spans="1:7" x14ac:dyDescent="0.25">
      <c r="A52" s="17" t="s">
        <v>126</v>
      </c>
      <c r="B52" s="25" t="s">
        <v>111</v>
      </c>
      <c r="C52" s="14" t="s">
        <v>14</v>
      </c>
      <c r="D52" s="14"/>
      <c r="E52" s="15">
        <f>+'APU CAP 1-2'!H2252</f>
        <v>0</v>
      </c>
      <c r="F52" s="16">
        <f t="shared" si="2"/>
        <v>0</v>
      </c>
      <c r="G52" s="8">
        <f t="shared" si="0"/>
        <v>0</v>
      </c>
    </row>
    <row r="53" spans="1:7" x14ac:dyDescent="0.25">
      <c r="A53" s="17" t="s">
        <v>127</v>
      </c>
      <c r="B53" s="25" t="s">
        <v>112</v>
      </c>
      <c r="C53" s="14" t="s">
        <v>14</v>
      </c>
      <c r="D53" s="14"/>
      <c r="E53" s="15">
        <f>+'APU CAP 1-2'!H2307</f>
        <v>0</v>
      </c>
      <c r="F53" s="16">
        <f t="shared" si="2"/>
        <v>0</v>
      </c>
      <c r="G53" s="8">
        <f t="shared" si="0"/>
        <v>0</v>
      </c>
    </row>
    <row r="54" spans="1:7" ht="25.5" x14ac:dyDescent="0.25">
      <c r="A54" s="17" t="s">
        <v>128</v>
      </c>
      <c r="B54" s="25" t="s">
        <v>113</v>
      </c>
      <c r="C54" s="14" t="s">
        <v>14</v>
      </c>
      <c r="D54" s="14"/>
      <c r="E54" s="15">
        <f>+'APU CAP 1-2'!H2362</f>
        <v>0</v>
      </c>
      <c r="F54" s="16">
        <f t="shared" si="2"/>
        <v>0</v>
      </c>
      <c r="G54" s="8">
        <f t="shared" si="0"/>
        <v>0</v>
      </c>
    </row>
    <row r="55" spans="1:7" ht="25.5" x14ac:dyDescent="0.25">
      <c r="A55" s="17" t="s">
        <v>129</v>
      </c>
      <c r="B55" s="25" t="s">
        <v>115</v>
      </c>
      <c r="C55" s="14" t="s">
        <v>14</v>
      </c>
      <c r="D55" s="14"/>
      <c r="E55" s="15">
        <f>+'APU CAP 1-2'!H2417</f>
        <v>0</v>
      </c>
      <c r="F55" s="16">
        <f t="shared" si="2"/>
        <v>0</v>
      </c>
      <c r="G55" s="8">
        <f t="shared" si="0"/>
        <v>0</v>
      </c>
    </row>
    <row r="56" spans="1:7" ht="25.5" x14ac:dyDescent="0.25">
      <c r="A56" s="17" t="s">
        <v>130</v>
      </c>
      <c r="B56" s="25" t="s">
        <v>114</v>
      </c>
      <c r="C56" s="14" t="s">
        <v>14</v>
      </c>
      <c r="D56" s="14"/>
      <c r="E56" s="15">
        <f>+'APU CAP 1-2'!H2472</f>
        <v>0</v>
      </c>
      <c r="F56" s="16">
        <f t="shared" si="2"/>
        <v>0</v>
      </c>
      <c r="G56" s="8">
        <f t="shared" si="0"/>
        <v>0</v>
      </c>
    </row>
    <row r="57" spans="1:7" x14ac:dyDescent="0.25">
      <c r="A57" s="12" t="s">
        <v>134</v>
      </c>
      <c r="B57" s="46" t="s">
        <v>6314</v>
      </c>
      <c r="C57" s="14"/>
      <c r="D57" s="14"/>
      <c r="E57" s="15"/>
      <c r="F57" s="16"/>
      <c r="G57" s="8">
        <f t="shared" si="0"/>
        <v>0</v>
      </c>
    </row>
    <row r="58" spans="1:7" x14ac:dyDescent="0.25">
      <c r="A58" s="31" t="s">
        <v>136</v>
      </c>
      <c r="B58" s="320" t="s">
        <v>6315</v>
      </c>
      <c r="C58" s="26" t="s">
        <v>14</v>
      </c>
      <c r="D58" s="26">
        <v>10.7</v>
      </c>
      <c r="E58" s="29">
        <f>+'APU CAP 1-2'!P2305</f>
        <v>24916</v>
      </c>
      <c r="F58" s="16">
        <f t="shared" si="2"/>
        <v>266601.19999999995</v>
      </c>
      <c r="G58" s="8">
        <f t="shared" si="0"/>
        <v>1</v>
      </c>
    </row>
    <row r="59" spans="1:7" x14ac:dyDescent="0.25">
      <c r="A59" s="17" t="s">
        <v>138</v>
      </c>
      <c r="B59" s="25" t="s">
        <v>6316</v>
      </c>
      <c r="C59" s="14" t="s">
        <v>14</v>
      </c>
      <c r="D59" s="14"/>
      <c r="E59" s="15">
        <f>+'APU CAP 1-2'!P2360</f>
        <v>24916</v>
      </c>
      <c r="F59" s="16">
        <f t="shared" si="2"/>
        <v>0</v>
      </c>
      <c r="G59" s="8">
        <f t="shared" si="0"/>
        <v>0</v>
      </c>
    </row>
    <row r="60" spans="1:7" x14ac:dyDescent="0.25">
      <c r="A60" s="31" t="s">
        <v>139</v>
      </c>
      <c r="B60" s="320" t="s">
        <v>6516</v>
      </c>
      <c r="C60" s="26" t="s">
        <v>14</v>
      </c>
      <c r="D60" s="26">
        <v>10.7</v>
      </c>
      <c r="E60" s="29">
        <f>+'APU CAP 1-2'!P2415</f>
        <v>30227</v>
      </c>
      <c r="F60" s="16">
        <f t="shared" si="2"/>
        <v>323428.89999999997</v>
      </c>
      <c r="G60" s="8">
        <f t="shared" si="0"/>
        <v>1</v>
      </c>
    </row>
    <row r="61" spans="1:7" x14ac:dyDescent="0.25">
      <c r="A61" s="17">
        <v>2.8</v>
      </c>
      <c r="B61" s="25" t="s">
        <v>6318</v>
      </c>
      <c r="C61" s="14" t="s">
        <v>37</v>
      </c>
      <c r="D61" s="14"/>
      <c r="E61" s="15">
        <f>+'APU CAP 1-2'!P2470</f>
        <v>64898</v>
      </c>
      <c r="F61" s="16">
        <f t="shared" si="2"/>
        <v>0</v>
      </c>
      <c r="G61" s="8">
        <f t="shared" si="0"/>
        <v>0</v>
      </c>
    </row>
    <row r="62" spans="1:7" x14ac:dyDescent="0.25">
      <c r="A62" s="2465" t="s">
        <v>841</v>
      </c>
      <c r="B62" s="2466"/>
      <c r="C62" s="2466"/>
      <c r="D62" s="2466"/>
      <c r="E62" s="2466"/>
      <c r="F62" s="19" t="e">
        <f>SUM(F31:F61)</f>
        <v>#REF!</v>
      </c>
      <c r="G62" s="8" t="e">
        <f t="shared" si="0"/>
        <v>#REF!</v>
      </c>
    </row>
    <row r="63" spans="1:7" x14ac:dyDescent="0.25">
      <c r="A63" s="12" t="s">
        <v>134</v>
      </c>
      <c r="B63" s="13" t="s">
        <v>135</v>
      </c>
      <c r="C63" s="602"/>
      <c r="D63" s="602"/>
      <c r="E63" s="602"/>
      <c r="F63" s="19"/>
      <c r="G63" s="8">
        <f t="shared" si="0"/>
        <v>0</v>
      </c>
    </row>
    <row r="64" spans="1:7" x14ac:dyDescent="0.25">
      <c r="A64" s="17" t="s">
        <v>136</v>
      </c>
      <c r="B64" s="18" t="s">
        <v>137</v>
      </c>
      <c r="C64" s="14" t="s">
        <v>146</v>
      </c>
      <c r="D64" s="602"/>
      <c r="E64" s="442">
        <f>+'APU CAP 1-2'!H2527</f>
        <v>0</v>
      </c>
      <c r="F64" s="16">
        <f>+D64*E64</f>
        <v>0</v>
      </c>
      <c r="G64" s="8">
        <f t="shared" si="0"/>
        <v>0</v>
      </c>
    </row>
    <row r="65" spans="1:10" x14ac:dyDescent="0.25">
      <c r="A65" s="17" t="s">
        <v>138</v>
      </c>
      <c r="B65" s="18" t="s">
        <v>141</v>
      </c>
      <c r="C65" s="14" t="s">
        <v>146</v>
      </c>
      <c r="D65" s="602"/>
      <c r="E65" s="442">
        <f>+'APU CAP 1-2'!H2582</f>
        <v>0</v>
      </c>
      <c r="F65" s="16">
        <f>+D65*E65</f>
        <v>0</v>
      </c>
      <c r="G65" s="8">
        <f t="shared" si="0"/>
        <v>0</v>
      </c>
    </row>
    <row r="66" spans="1:10" x14ac:dyDescent="0.25">
      <c r="A66" s="17" t="s">
        <v>139</v>
      </c>
      <c r="B66" s="18" t="s">
        <v>142</v>
      </c>
      <c r="C66" s="14" t="s">
        <v>146</v>
      </c>
      <c r="D66" s="602"/>
      <c r="E66" s="442">
        <f>+'APU CAP 1-2'!H2637</f>
        <v>0</v>
      </c>
      <c r="F66" s="16">
        <f>+D66*E66</f>
        <v>0</v>
      </c>
      <c r="G66" s="8">
        <f t="shared" si="0"/>
        <v>0</v>
      </c>
    </row>
    <row r="67" spans="1:10" x14ac:dyDescent="0.25">
      <c r="A67" s="17" t="s">
        <v>140</v>
      </c>
      <c r="B67" s="18" t="s">
        <v>143</v>
      </c>
      <c r="C67" s="14" t="s">
        <v>146</v>
      </c>
      <c r="D67" s="602"/>
      <c r="E67" s="442">
        <f>+'APU CAP 1-2'!H2692</f>
        <v>0</v>
      </c>
      <c r="F67" s="16">
        <f>+D67*E67</f>
        <v>0</v>
      </c>
      <c r="G67" s="8">
        <f t="shared" si="0"/>
        <v>0</v>
      </c>
    </row>
    <row r="68" spans="1:10" x14ac:dyDescent="0.25">
      <c r="A68" s="17" t="s">
        <v>144</v>
      </c>
      <c r="B68" s="18" t="s">
        <v>145</v>
      </c>
      <c r="C68" s="14" t="s">
        <v>146</v>
      </c>
      <c r="D68" s="602"/>
      <c r="E68" s="442">
        <f>+'APU CAP 1-2'!P2692</f>
        <v>0</v>
      </c>
      <c r="F68" s="16">
        <f>+D68*E68</f>
        <v>0</v>
      </c>
      <c r="G68" s="8">
        <f t="shared" si="0"/>
        <v>0</v>
      </c>
    </row>
    <row r="69" spans="1:10" x14ac:dyDescent="0.25">
      <c r="A69" s="2454" t="s">
        <v>840</v>
      </c>
      <c r="B69" s="2455"/>
      <c r="C69" s="2455"/>
      <c r="D69" s="2455"/>
      <c r="E69" s="2455"/>
      <c r="F69" s="19">
        <f>SUM(F64:F68)</f>
        <v>0</v>
      </c>
      <c r="G69" s="8">
        <f t="shared" si="0"/>
        <v>0</v>
      </c>
    </row>
    <row r="70" spans="1:10" x14ac:dyDescent="0.25">
      <c r="A70" s="27" t="s">
        <v>28</v>
      </c>
      <c r="B70" s="28" t="s">
        <v>29</v>
      </c>
      <c r="C70" s="26"/>
      <c r="D70" s="26"/>
      <c r="E70" s="29"/>
      <c r="F70" s="16"/>
      <c r="G70" s="8">
        <v>1</v>
      </c>
    </row>
    <row r="71" spans="1:10" ht="25.5" x14ac:dyDescent="0.25">
      <c r="A71" s="17" t="s">
        <v>147</v>
      </c>
      <c r="B71" s="25" t="s">
        <v>148</v>
      </c>
      <c r="C71" s="14" t="s">
        <v>27</v>
      </c>
      <c r="D71" s="14"/>
      <c r="E71" s="15">
        <f>+'APU CAP 1-2'!H2745</f>
        <v>11097</v>
      </c>
      <c r="F71" s="16">
        <f t="shared" ref="F71:F79" si="3">+D71*E71</f>
        <v>0</v>
      </c>
      <c r="G71" s="8">
        <f t="shared" si="0"/>
        <v>0</v>
      </c>
    </row>
    <row r="72" spans="1:10" x14ac:dyDescent="0.25">
      <c r="A72" s="31" t="s">
        <v>149</v>
      </c>
      <c r="B72" s="684" t="s">
        <v>150</v>
      </c>
      <c r="C72" s="26" t="s">
        <v>27</v>
      </c>
      <c r="D72" s="685" t="e">
        <f>+#REF!</f>
        <v>#REF!</v>
      </c>
      <c r="E72" s="29">
        <f>+'APU CAP 1-2'!H2800</f>
        <v>62337</v>
      </c>
      <c r="F72" s="16" t="e">
        <f t="shared" si="3"/>
        <v>#REF!</v>
      </c>
      <c r="G72" s="8" t="e">
        <f t="shared" si="0"/>
        <v>#REF!</v>
      </c>
    </row>
    <row r="73" spans="1:10" x14ac:dyDescent="0.25">
      <c r="A73" s="17" t="s">
        <v>153</v>
      </c>
      <c r="B73" s="18" t="s">
        <v>151</v>
      </c>
      <c r="C73" s="14" t="s">
        <v>27</v>
      </c>
      <c r="D73" s="14"/>
      <c r="E73" s="15">
        <f>+'APU CAP 1-2'!H2855</f>
        <v>134000</v>
      </c>
      <c r="F73" s="16">
        <f t="shared" si="3"/>
        <v>0</v>
      </c>
      <c r="G73" s="8">
        <f t="shared" si="0"/>
        <v>0</v>
      </c>
    </row>
    <row r="74" spans="1:10" x14ac:dyDescent="0.25">
      <c r="A74" s="17" t="s">
        <v>154</v>
      </c>
      <c r="B74" s="18" t="s">
        <v>152</v>
      </c>
      <c r="C74" s="14" t="s">
        <v>27</v>
      </c>
      <c r="D74" s="14"/>
      <c r="E74" s="15">
        <f>+'APU CAP 1-2'!H2910</f>
        <v>141125</v>
      </c>
      <c r="F74" s="16">
        <f t="shared" si="3"/>
        <v>0</v>
      </c>
      <c r="G74" s="8">
        <f t="shared" si="0"/>
        <v>0</v>
      </c>
    </row>
    <row r="75" spans="1:10" x14ac:dyDescent="0.25">
      <c r="A75" s="17" t="s">
        <v>155</v>
      </c>
      <c r="B75" s="18" t="s">
        <v>158</v>
      </c>
      <c r="C75" s="14" t="s">
        <v>27</v>
      </c>
      <c r="D75" s="14"/>
      <c r="E75" s="15">
        <f>+'APU CAP 1-2'!H2965</f>
        <v>80534</v>
      </c>
      <c r="F75" s="16">
        <f t="shared" si="3"/>
        <v>0</v>
      </c>
      <c r="G75" s="8">
        <f t="shared" ref="G75:G138" si="4">+IF(F75&lt;&gt;0,1,0)</f>
        <v>0</v>
      </c>
    </row>
    <row r="76" spans="1:10" x14ac:dyDescent="0.25">
      <c r="A76" s="17" t="s">
        <v>156</v>
      </c>
      <c r="B76" s="18" t="s">
        <v>159</v>
      </c>
      <c r="C76" s="14" t="s">
        <v>27</v>
      </c>
      <c r="D76" s="14"/>
      <c r="E76" s="15">
        <f>+'APU CAP 1-2'!H3020</f>
        <v>103566</v>
      </c>
      <c r="F76" s="16">
        <f t="shared" si="3"/>
        <v>0</v>
      </c>
      <c r="G76" s="8">
        <f t="shared" si="4"/>
        <v>0</v>
      </c>
    </row>
    <row r="77" spans="1:10" x14ac:dyDescent="0.25">
      <c r="A77" s="17" t="s">
        <v>157</v>
      </c>
      <c r="B77" s="18" t="s">
        <v>169</v>
      </c>
      <c r="C77" s="14" t="s">
        <v>27</v>
      </c>
      <c r="D77" s="14"/>
      <c r="E77" s="15">
        <f>+'APU CAP 1-2'!H3075</f>
        <v>107316</v>
      </c>
      <c r="F77" s="16">
        <f t="shared" si="3"/>
        <v>0</v>
      </c>
      <c r="G77" s="8">
        <f t="shared" si="4"/>
        <v>0</v>
      </c>
    </row>
    <row r="78" spans="1:10" x14ac:dyDescent="0.25">
      <c r="A78" s="17" t="s">
        <v>160</v>
      </c>
      <c r="B78" s="18" t="s">
        <v>161</v>
      </c>
      <c r="C78" s="14" t="s">
        <v>27</v>
      </c>
      <c r="D78" s="14"/>
      <c r="E78" s="15"/>
      <c r="F78" s="16">
        <f t="shared" si="3"/>
        <v>0</v>
      </c>
      <c r="G78" s="8">
        <f t="shared" si="4"/>
        <v>0</v>
      </c>
    </row>
    <row r="79" spans="1:10" ht="25.5" x14ac:dyDescent="0.25">
      <c r="A79" s="31" t="s">
        <v>30</v>
      </c>
      <c r="B79" s="320" t="s">
        <v>6319</v>
      </c>
      <c r="C79" s="26" t="s">
        <v>27</v>
      </c>
      <c r="D79" s="685" t="e">
        <f>+D39+D41+D43+D47+D48+-D71+D31</f>
        <v>#REF!</v>
      </c>
      <c r="E79" s="29">
        <f>+'APU CAP 1-2'!H3185</f>
        <v>14194</v>
      </c>
      <c r="F79" s="16" t="e">
        <f t="shared" si="3"/>
        <v>#REF!</v>
      </c>
      <c r="G79" s="8" t="e">
        <f t="shared" si="4"/>
        <v>#REF!</v>
      </c>
      <c r="I79">
        <f>1000000/14194</f>
        <v>70.452303790333943</v>
      </c>
      <c r="J79">
        <f>70.4523*14194</f>
        <v>999999.94619999989</v>
      </c>
    </row>
    <row r="80" spans="1:10" x14ac:dyDescent="0.25">
      <c r="A80" s="2454" t="s">
        <v>31</v>
      </c>
      <c r="B80" s="2455"/>
      <c r="C80" s="2455"/>
      <c r="D80" s="2455"/>
      <c r="E80" s="2455"/>
      <c r="F80" s="19" t="e">
        <f>SUM(F71:F79)</f>
        <v>#REF!</v>
      </c>
      <c r="G80" s="8" t="e">
        <f t="shared" si="4"/>
        <v>#REF!</v>
      </c>
    </row>
    <row r="81" spans="1:7" x14ac:dyDescent="0.25">
      <c r="A81" s="608" t="s">
        <v>162</v>
      </c>
      <c r="B81" s="13" t="s">
        <v>163</v>
      </c>
      <c r="C81" s="14"/>
      <c r="D81" s="14"/>
      <c r="E81" s="18"/>
      <c r="F81" s="45"/>
      <c r="G81" s="8">
        <f t="shared" si="4"/>
        <v>0</v>
      </c>
    </row>
    <row r="82" spans="1:7" x14ac:dyDescent="0.25">
      <c r="A82" s="17" t="s">
        <v>164</v>
      </c>
      <c r="B82" s="18" t="s">
        <v>165</v>
      </c>
      <c r="C82" s="14" t="s">
        <v>27</v>
      </c>
      <c r="D82" s="14"/>
      <c r="E82" s="443">
        <f>+'APU CAP 1-2'!H3238</f>
        <v>102425.96153846153</v>
      </c>
      <c r="F82" s="16">
        <f t="shared" ref="F82:F92" si="5">+D82*E82</f>
        <v>0</v>
      </c>
      <c r="G82" s="8">
        <f t="shared" si="4"/>
        <v>0</v>
      </c>
    </row>
    <row r="83" spans="1:7" x14ac:dyDescent="0.25">
      <c r="A83" s="17" t="s">
        <v>171</v>
      </c>
      <c r="B83" s="18" t="s">
        <v>166</v>
      </c>
      <c r="C83" s="14" t="s">
        <v>27</v>
      </c>
      <c r="D83" s="14"/>
      <c r="E83" s="443">
        <f>+'APU CAP 1-2'!H3293</f>
        <v>45880</v>
      </c>
      <c r="F83" s="16">
        <f t="shared" si="5"/>
        <v>0</v>
      </c>
      <c r="G83" s="8">
        <f t="shared" si="4"/>
        <v>0</v>
      </c>
    </row>
    <row r="84" spans="1:7" x14ac:dyDescent="0.25">
      <c r="A84" s="17" t="s">
        <v>172</v>
      </c>
      <c r="B84" s="18" t="s">
        <v>167</v>
      </c>
      <c r="C84" s="14" t="s">
        <v>27</v>
      </c>
      <c r="D84" s="14"/>
      <c r="E84" s="443">
        <f>+'APU CAP 1-2'!H3348</f>
        <v>89975.294117647063</v>
      </c>
      <c r="F84" s="16">
        <f t="shared" si="5"/>
        <v>0</v>
      </c>
      <c r="G84" s="8">
        <f t="shared" si="4"/>
        <v>0</v>
      </c>
    </row>
    <row r="85" spans="1:7" x14ac:dyDescent="0.25">
      <c r="A85" s="17" t="s">
        <v>173</v>
      </c>
      <c r="B85" s="18" t="s">
        <v>168</v>
      </c>
      <c r="C85" s="14" t="s">
        <v>27</v>
      </c>
      <c r="D85" s="14"/>
      <c r="E85" s="443">
        <f>+'APU CAP 1-2'!H3403</f>
        <v>26738.666666666668</v>
      </c>
      <c r="F85" s="16">
        <f t="shared" si="5"/>
        <v>0</v>
      </c>
      <c r="G85" s="8">
        <f t="shared" si="4"/>
        <v>0</v>
      </c>
    </row>
    <row r="86" spans="1:7" x14ac:dyDescent="0.25">
      <c r="A86" s="17" t="s">
        <v>174</v>
      </c>
      <c r="B86" s="18" t="s">
        <v>170</v>
      </c>
      <c r="C86" s="14" t="s">
        <v>27</v>
      </c>
      <c r="D86" s="14"/>
      <c r="E86" s="443">
        <f>+'APU CAP 1-2'!H3458</f>
        <v>26738.666666666668</v>
      </c>
      <c r="F86" s="16">
        <f t="shared" si="5"/>
        <v>0</v>
      </c>
      <c r="G86" s="8">
        <f t="shared" si="4"/>
        <v>0</v>
      </c>
    </row>
    <row r="87" spans="1:7" x14ac:dyDescent="0.25">
      <c r="A87" s="17" t="s">
        <v>179</v>
      </c>
      <c r="B87" s="18" t="s">
        <v>175</v>
      </c>
      <c r="C87" s="14" t="s">
        <v>14</v>
      </c>
      <c r="D87" s="14"/>
      <c r="E87" s="443">
        <f>+'APU CAP 1-2'!H3513</f>
        <v>10992.083333333332</v>
      </c>
      <c r="F87" s="16">
        <f t="shared" si="5"/>
        <v>0</v>
      </c>
      <c r="G87" s="8">
        <f t="shared" si="4"/>
        <v>0</v>
      </c>
    </row>
    <row r="88" spans="1:7" x14ac:dyDescent="0.25">
      <c r="A88" s="17" t="s">
        <v>180</v>
      </c>
      <c r="B88" s="18" t="s">
        <v>176</v>
      </c>
      <c r="C88" s="14" t="s">
        <v>14</v>
      </c>
      <c r="D88" s="14"/>
      <c r="E88" s="443">
        <f>+'APU CAP 1-2'!H3568</f>
        <v>16317</v>
      </c>
      <c r="F88" s="16">
        <f t="shared" si="5"/>
        <v>0</v>
      </c>
      <c r="G88" s="8">
        <f t="shared" si="4"/>
        <v>0</v>
      </c>
    </row>
    <row r="89" spans="1:7" x14ac:dyDescent="0.25">
      <c r="A89" s="17" t="s">
        <v>181</v>
      </c>
      <c r="B89" s="18" t="s">
        <v>177</v>
      </c>
      <c r="C89" s="14" t="s">
        <v>14</v>
      </c>
      <c r="D89" s="14"/>
      <c r="E89" s="443">
        <f>+'APU CAP 1-2'!H3623</f>
        <v>20072.5</v>
      </c>
      <c r="F89" s="16">
        <f t="shared" si="5"/>
        <v>0</v>
      </c>
      <c r="G89" s="8">
        <f t="shared" si="4"/>
        <v>0</v>
      </c>
    </row>
    <row r="90" spans="1:7" x14ac:dyDescent="0.25">
      <c r="A90" s="17" t="s">
        <v>182</v>
      </c>
      <c r="B90" s="18" t="s">
        <v>178</v>
      </c>
      <c r="C90" s="14" t="s">
        <v>14</v>
      </c>
      <c r="D90" s="14"/>
      <c r="E90" s="443">
        <f>+'APU CAP 1-2'!H3678</f>
        <v>26331.666666666668</v>
      </c>
      <c r="F90" s="16">
        <f t="shared" si="5"/>
        <v>0</v>
      </c>
      <c r="G90" s="8">
        <f t="shared" si="4"/>
        <v>0</v>
      </c>
    </row>
    <row r="91" spans="1:7" x14ac:dyDescent="0.25">
      <c r="A91" s="17" t="s">
        <v>183</v>
      </c>
      <c r="B91" s="18" t="s">
        <v>184</v>
      </c>
      <c r="C91" s="14" t="s">
        <v>14</v>
      </c>
      <c r="D91" s="14"/>
      <c r="E91" s="443">
        <f>+'APU CAP 1-2'!H3733</f>
        <v>35150</v>
      </c>
      <c r="F91" s="16">
        <f t="shared" si="5"/>
        <v>0</v>
      </c>
      <c r="G91" s="8">
        <f t="shared" si="4"/>
        <v>0</v>
      </c>
    </row>
    <row r="92" spans="1:7" x14ac:dyDescent="0.25">
      <c r="A92" s="17" t="s">
        <v>185</v>
      </c>
      <c r="B92" s="18" t="s">
        <v>186</v>
      </c>
      <c r="C92" s="14" t="s">
        <v>146</v>
      </c>
      <c r="D92" s="14"/>
      <c r="E92" s="443">
        <f>+'APU CAP 1-2'!H3788</f>
        <v>1631.7</v>
      </c>
      <c r="F92" s="16">
        <f t="shared" si="5"/>
        <v>0</v>
      </c>
      <c r="G92" s="8">
        <f t="shared" si="4"/>
        <v>0</v>
      </c>
    </row>
    <row r="93" spans="1:7" x14ac:dyDescent="0.25">
      <c r="A93" s="2454" t="s">
        <v>839</v>
      </c>
      <c r="B93" s="2455"/>
      <c r="C93" s="2455"/>
      <c r="D93" s="2455"/>
      <c r="E93" s="2455"/>
      <c r="F93" s="45">
        <f>SUM(F82:F92)</f>
        <v>0</v>
      </c>
      <c r="G93" s="8">
        <f t="shared" si="4"/>
        <v>0</v>
      </c>
    </row>
    <row r="94" spans="1:7" x14ac:dyDescent="0.25">
      <c r="A94" s="20">
        <v>3</v>
      </c>
      <c r="B94" s="21" t="s">
        <v>32</v>
      </c>
      <c r="C94" s="22"/>
      <c r="D94" s="22"/>
      <c r="E94" s="23"/>
      <c r="F94" s="24"/>
      <c r="G94" s="8">
        <f t="shared" si="4"/>
        <v>0</v>
      </c>
    </row>
    <row r="95" spans="1:7" x14ac:dyDescent="0.25">
      <c r="A95" s="12" t="s">
        <v>33</v>
      </c>
      <c r="B95" s="13" t="s">
        <v>34</v>
      </c>
      <c r="C95" s="14"/>
      <c r="D95" s="14"/>
      <c r="E95" s="15"/>
      <c r="F95" s="16"/>
      <c r="G95" s="8">
        <f t="shared" si="4"/>
        <v>0</v>
      </c>
    </row>
    <row r="96" spans="1:7" x14ac:dyDescent="0.25">
      <c r="A96" s="12" t="s">
        <v>187</v>
      </c>
      <c r="B96" s="13" t="s">
        <v>188</v>
      </c>
      <c r="C96" s="14"/>
      <c r="D96" s="14"/>
      <c r="E96" s="15"/>
      <c r="F96" s="16"/>
      <c r="G96" s="8">
        <f t="shared" si="4"/>
        <v>0</v>
      </c>
    </row>
    <row r="97" spans="1:7" x14ac:dyDescent="0.25">
      <c r="A97" s="17" t="s">
        <v>189</v>
      </c>
      <c r="B97" s="18" t="s">
        <v>193</v>
      </c>
      <c r="C97" s="14" t="s">
        <v>14</v>
      </c>
      <c r="D97" s="14"/>
      <c r="E97" s="15">
        <f>+'APU CAP 3'!H51</f>
        <v>3788.6967006</v>
      </c>
      <c r="F97" s="16">
        <f t="shared" ref="F97:F106" si="6">+D97*E97</f>
        <v>0</v>
      </c>
      <c r="G97" s="8">
        <f t="shared" si="4"/>
        <v>0</v>
      </c>
    </row>
    <row r="98" spans="1:7" x14ac:dyDescent="0.25">
      <c r="A98" s="17" t="s">
        <v>190</v>
      </c>
      <c r="B98" s="18" t="s">
        <v>194</v>
      </c>
      <c r="C98" s="14" t="s">
        <v>14</v>
      </c>
      <c r="D98" s="14"/>
      <c r="E98" s="15">
        <f>+'APU CAP 3'!H51</f>
        <v>3788.6967006</v>
      </c>
      <c r="F98" s="16">
        <f t="shared" si="6"/>
        <v>0</v>
      </c>
      <c r="G98" s="8">
        <f t="shared" si="4"/>
        <v>0</v>
      </c>
    </row>
    <row r="99" spans="1:7" x14ac:dyDescent="0.25">
      <c r="A99" s="17" t="s">
        <v>191</v>
      </c>
      <c r="B99" s="18" t="s">
        <v>195</v>
      </c>
      <c r="C99" s="14" t="s">
        <v>14</v>
      </c>
      <c r="D99" s="14"/>
      <c r="E99" s="15">
        <f>+'APU CAP 3'!H105</f>
        <v>5173</v>
      </c>
      <c r="F99" s="16">
        <f t="shared" si="6"/>
        <v>0</v>
      </c>
      <c r="G99" s="8">
        <f t="shared" si="4"/>
        <v>0</v>
      </c>
    </row>
    <row r="100" spans="1:7" x14ac:dyDescent="0.25">
      <c r="A100" s="17" t="s">
        <v>192</v>
      </c>
      <c r="B100" s="18" t="s">
        <v>196</v>
      </c>
      <c r="C100" s="14" t="s">
        <v>14</v>
      </c>
      <c r="D100" s="14"/>
      <c r="E100" s="15">
        <f>+'APU CAP 3'!H105</f>
        <v>5173</v>
      </c>
      <c r="F100" s="16">
        <f t="shared" si="6"/>
        <v>0</v>
      </c>
      <c r="G100" s="8">
        <f t="shared" si="4"/>
        <v>0</v>
      </c>
    </row>
    <row r="101" spans="1:7" x14ac:dyDescent="0.25">
      <c r="A101" s="17" t="s">
        <v>220</v>
      </c>
      <c r="B101" s="18" t="s">
        <v>221</v>
      </c>
      <c r="C101" s="14" t="s">
        <v>14</v>
      </c>
      <c r="D101" s="14"/>
      <c r="E101" s="15"/>
      <c r="F101" s="16">
        <f t="shared" si="6"/>
        <v>0</v>
      </c>
      <c r="G101" s="8">
        <f t="shared" si="4"/>
        <v>0</v>
      </c>
    </row>
    <row r="102" spans="1:7" x14ac:dyDescent="0.25">
      <c r="A102" s="17" t="s">
        <v>225</v>
      </c>
      <c r="B102" s="18" t="s">
        <v>5991</v>
      </c>
      <c r="C102" s="14" t="s">
        <v>14</v>
      </c>
      <c r="D102" s="14"/>
      <c r="E102" s="15"/>
      <c r="F102" s="16">
        <f t="shared" si="6"/>
        <v>0</v>
      </c>
      <c r="G102" s="8">
        <f t="shared" si="4"/>
        <v>0</v>
      </c>
    </row>
    <row r="103" spans="1:7" x14ac:dyDescent="0.25">
      <c r="A103" s="17" t="s">
        <v>226</v>
      </c>
      <c r="B103" s="18" t="s">
        <v>223</v>
      </c>
      <c r="C103" s="14" t="s">
        <v>14</v>
      </c>
      <c r="D103" s="14"/>
      <c r="E103" s="15"/>
      <c r="F103" s="16">
        <f t="shared" si="6"/>
        <v>0</v>
      </c>
      <c r="G103" s="8">
        <f t="shared" si="4"/>
        <v>0</v>
      </c>
    </row>
    <row r="104" spans="1:7" x14ac:dyDescent="0.25">
      <c r="A104" s="17" t="s">
        <v>227</v>
      </c>
      <c r="B104" s="18" t="s">
        <v>224</v>
      </c>
      <c r="C104" s="14" t="s">
        <v>14</v>
      </c>
      <c r="D104" s="14"/>
      <c r="E104" s="15"/>
      <c r="F104" s="16">
        <f t="shared" si="6"/>
        <v>0</v>
      </c>
      <c r="G104" s="8">
        <f t="shared" si="4"/>
        <v>0</v>
      </c>
    </row>
    <row r="105" spans="1:7" x14ac:dyDescent="0.25">
      <c r="A105" s="17" t="s">
        <v>228</v>
      </c>
      <c r="B105" s="18" t="s">
        <v>222</v>
      </c>
      <c r="C105" s="14" t="s">
        <v>14</v>
      </c>
      <c r="D105" s="14"/>
      <c r="E105" s="15"/>
      <c r="F105" s="16">
        <f t="shared" si="6"/>
        <v>0</v>
      </c>
      <c r="G105" s="8">
        <f t="shared" si="4"/>
        <v>0</v>
      </c>
    </row>
    <row r="106" spans="1:7" x14ac:dyDescent="0.25">
      <c r="A106" s="17" t="s">
        <v>229</v>
      </c>
      <c r="B106" s="18" t="s">
        <v>230</v>
      </c>
      <c r="C106" s="14" t="s">
        <v>14</v>
      </c>
      <c r="D106" s="14"/>
      <c r="E106" s="15">
        <f>+'APU CAP 3'!H159</f>
        <v>462</v>
      </c>
      <c r="F106" s="16">
        <f t="shared" si="6"/>
        <v>0</v>
      </c>
      <c r="G106" s="8">
        <f t="shared" si="4"/>
        <v>0</v>
      </c>
    </row>
    <row r="107" spans="1:7" x14ac:dyDescent="0.25">
      <c r="A107" s="12" t="s">
        <v>35</v>
      </c>
      <c r="B107" s="13" t="s">
        <v>36</v>
      </c>
      <c r="C107" s="14"/>
      <c r="D107" s="26"/>
      <c r="E107" s="15"/>
      <c r="F107" s="16"/>
      <c r="G107" s="8">
        <f t="shared" si="4"/>
        <v>0</v>
      </c>
    </row>
    <row r="108" spans="1:7" x14ac:dyDescent="0.25">
      <c r="A108" s="17" t="s">
        <v>406</v>
      </c>
      <c r="B108" s="18" t="s">
        <v>208</v>
      </c>
      <c r="C108" s="14" t="s">
        <v>14</v>
      </c>
      <c r="D108" s="26"/>
      <c r="E108" s="15">
        <f>+'APU CAP 3'!H213</f>
        <v>3247</v>
      </c>
      <c r="F108" s="16">
        <f t="shared" ref="F108:F120" si="7">+D108*E108</f>
        <v>0</v>
      </c>
      <c r="G108" s="8">
        <f t="shared" si="4"/>
        <v>0</v>
      </c>
    </row>
    <row r="109" spans="1:7" x14ac:dyDescent="0.25">
      <c r="A109" s="17" t="s">
        <v>407</v>
      </c>
      <c r="B109" s="18" t="s">
        <v>405</v>
      </c>
      <c r="C109" s="14" t="s">
        <v>14</v>
      </c>
      <c r="D109" s="26"/>
      <c r="E109" s="15">
        <f>+'APU CAP 3'!H213</f>
        <v>3247</v>
      </c>
      <c r="F109" s="16">
        <f t="shared" si="7"/>
        <v>0</v>
      </c>
      <c r="G109" s="8">
        <f t="shared" si="4"/>
        <v>0</v>
      </c>
    </row>
    <row r="110" spans="1:7" x14ac:dyDescent="0.25">
      <c r="A110" s="17" t="s">
        <v>197</v>
      </c>
      <c r="B110" s="18" t="s">
        <v>209</v>
      </c>
      <c r="C110" s="14" t="s">
        <v>14</v>
      </c>
      <c r="D110" s="26"/>
      <c r="E110" s="15">
        <f>+'APU CAP 3'!P213</f>
        <v>3933</v>
      </c>
      <c r="F110" s="16">
        <f t="shared" si="7"/>
        <v>0</v>
      </c>
      <c r="G110" s="8">
        <f t="shared" si="4"/>
        <v>0</v>
      </c>
    </row>
    <row r="111" spans="1:7" x14ac:dyDescent="0.25">
      <c r="A111" s="17" t="s">
        <v>198</v>
      </c>
      <c r="B111" s="18" t="s">
        <v>210</v>
      </c>
      <c r="C111" s="14" t="s">
        <v>14</v>
      </c>
      <c r="D111" s="26"/>
      <c r="E111" s="15">
        <f>+'APU CAP 3'!X213</f>
        <v>4802</v>
      </c>
      <c r="F111" s="16">
        <f t="shared" si="7"/>
        <v>0</v>
      </c>
      <c r="G111" s="8">
        <f t="shared" si="4"/>
        <v>0</v>
      </c>
    </row>
    <row r="112" spans="1:7" x14ac:dyDescent="0.25">
      <c r="A112" s="17" t="s">
        <v>199</v>
      </c>
      <c r="B112" s="18" t="s">
        <v>211</v>
      </c>
      <c r="C112" s="14" t="s">
        <v>14</v>
      </c>
      <c r="D112" s="26"/>
      <c r="E112" s="15">
        <f>+'APU CAP 3'!H267</f>
        <v>8019</v>
      </c>
      <c r="F112" s="16">
        <f t="shared" si="7"/>
        <v>0</v>
      </c>
      <c r="G112" s="8">
        <f t="shared" si="4"/>
        <v>0</v>
      </c>
    </row>
    <row r="113" spans="1:7" x14ac:dyDescent="0.25">
      <c r="A113" s="17" t="s">
        <v>200</v>
      </c>
      <c r="B113" s="18" t="s">
        <v>212</v>
      </c>
      <c r="C113" s="14" t="s">
        <v>14</v>
      </c>
      <c r="D113" s="26"/>
      <c r="E113" s="15">
        <f>+'APU CAP 3'!P267</f>
        <v>10956</v>
      </c>
      <c r="F113" s="16">
        <f t="shared" si="7"/>
        <v>0</v>
      </c>
      <c r="G113" s="8">
        <f t="shared" si="4"/>
        <v>0</v>
      </c>
    </row>
    <row r="114" spans="1:7" x14ac:dyDescent="0.25">
      <c r="A114" s="17" t="s">
        <v>201</v>
      </c>
      <c r="B114" s="18" t="s">
        <v>213</v>
      </c>
      <c r="C114" s="14" t="s">
        <v>14</v>
      </c>
      <c r="D114" s="26"/>
      <c r="E114" s="15">
        <f>+'APU CAP 3'!H321</f>
        <v>13725</v>
      </c>
      <c r="F114" s="16">
        <f t="shared" si="7"/>
        <v>0</v>
      </c>
      <c r="G114" s="8">
        <f t="shared" si="4"/>
        <v>0</v>
      </c>
    </row>
    <row r="115" spans="1:7" x14ac:dyDescent="0.25">
      <c r="A115" s="17" t="s">
        <v>202</v>
      </c>
      <c r="B115" s="18" t="s">
        <v>214</v>
      </c>
      <c r="C115" s="14" t="s">
        <v>14</v>
      </c>
      <c r="D115" s="26"/>
      <c r="E115" s="15">
        <f>+'APU CAP 3'!P321</f>
        <v>16500</v>
      </c>
      <c r="F115" s="16">
        <f t="shared" si="7"/>
        <v>0</v>
      </c>
      <c r="G115" s="8">
        <f t="shared" si="4"/>
        <v>0</v>
      </c>
    </row>
    <row r="116" spans="1:7" x14ac:dyDescent="0.25">
      <c r="A116" s="17" t="s">
        <v>203</v>
      </c>
      <c r="B116" s="18" t="s">
        <v>215</v>
      </c>
      <c r="C116" s="14" t="s">
        <v>14</v>
      </c>
      <c r="D116" s="26"/>
      <c r="E116" s="15">
        <f>+'APU CAP 3'!H375</f>
        <v>20256</v>
      </c>
      <c r="F116" s="16">
        <f t="shared" si="7"/>
        <v>0</v>
      </c>
      <c r="G116" s="8">
        <f t="shared" si="4"/>
        <v>0</v>
      </c>
    </row>
    <row r="117" spans="1:7" x14ac:dyDescent="0.25">
      <c r="A117" s="17" t="s">
        <v>204</v>
      </c>
      <c r="B117" s="18" t="s">
        <v>216</v>
      </c>
      <c r="C117" s="14" t="s">
        <v>14</v>
      </c>
      <c r="D117" s="26"/>
      <c r="E117" s="15">
        <f>+'APU CAP 3'!P375</f>
        <v>23506</v>
      </c>
      <c r="F117" s="16">
        <f t="shared" si="7"/>
        <v>0</v>
      </c>
      <c r="G117" s="8">
        <f t="shared" si="4"/>
        <v>0</v>
      </c>
    </row>
    <row r="118" spans="1:7" x14ac:dyDescent="0.25">
      <c r="A118" s="17" t="s">
        <v>205</v>
      </c>
      <c r="B118" s="18" t="s">
        <v>217</v>
      </c>
      <c r="C118" s="14" t="s">
        <v>14</v>
      </c>
      <c r="D118" s="26"/>
      <c r="E118" s="15">
        <f>+'APU CAP 3'!H429</f>
        <v>28370</v>
      </c>
      <c r="F118" s="16">
        <f t="shared" si="7"/>
        <v>0</v>
      </c>
      <c r="G118" s="8">
        <f t="shared" si="4"/>
        <v>0</v>
      </c>
    </row>
    <row r="119" spans="1:7" x14ac:dyDescent="0.25">
      <c r="A119" s="17" t="s">
        <v>206</v>
      </c>
      <c r="B119" s="18" t="s">
        <v>218</v>
      </c>
      <c r="C119" s="14" t="s">
        <v>14</v>
      </c>
      <c r="D119" s="26"/>
      <c r="E119" s="15">
        <f>+'APU CAP 3'!P429</f>
        <v>35037</v>
      </c>
      <c r="F119" s="16">
        <f t="shared" si="7"/>
        <v>0</v>
      </c>
      <c r="G119" s="8">
        <f t="shared" si="4"/>
        <v>0</v>
      </c>
    </row>
    <row r="120" spans="1:7" x14ac:dyDescent="0.25">
      <c r="A120" s="17" t="s">
        <v>207</v>
      </c>
      <c r="B120" s="18" t="s">
        <v>219</v>
      </c>
      <c r="C120" s="14" t="s">
        <v>14</v>
      </c>
      <c r="D120" s="26"/>
      <c r="E120" s="15"/>
      <c r="F120" s="16">
        <f t="shared" si="7"/>
        <v>0</v>
      </c>
      <c r="G120" s="8">
        <f t="shared" si="4"/>
        <v>0</v>
      </c>
    </row>
    <row r="121" spans="1:7" x14ac:dyDescent="0.25">
      <c r="A121" s="12" t="s">
        <v>231</v>
      </c>
      <c r="B121" s="13" t="s">
        <v>232</v>
      </c>
      <c r="C121" s="14"/>
      <c r="D121" s="26"/>
      <c r="E121" s="15"/>
      <c r="F121" s="16"/>
      <c r="G121" s="8">
        <f t="shared" si="4"/>
        <v>0</v>
      </c>
    </row>
    <row r="122" spans="1:7" x14ac:dyDescent="0.25">
      <c r="A122" s="17" t="s">
        <v>233</v>
      </c>
      <c r="B122" s="18" t="s">
        <v>236</v>
      </c>
      <c r="C122" s="14" t="s">
        <v>37</v>
      </c>
      <c r="D122" s="26"/>
      <c r="E122" s="15">
        <f>+'APU CAP 3'!H483</f>
        <v>8497</v>
      </c>
      <c r="F122" s="16">
        <f t="shared" ref="F122:F127" si="8">+D122*E122</f>
        <v>0</v>
      </c>
      <c r="G122" s="8">
        <f t="shared" si="4"/>
        <v>0</v>
      </c>
    </row>
    <row r="123" spans="1:7" x14ac:dyDescent="0.25">
      <c r="A123" s="17" t="s">
        <v>234</v>
      </c>
      <c r="B123" s="18" t="s">
        <v>237</v>
      </c>
      <c r="C123" s="14" t="s">
        <v>37</v>
      </c>
      <c r="D123" s="26"/>
      <c r="E123" s="15">
        <f>+'APU CAP 3'!H537</f>
        <v>10839</v>
      </c>
      <c r="F123" s="16">
        <f t="shared" si="8"/>
        <v>0</v>
      </c>
      <c r="G123" s="8">
        <f t="shared" si="4"/>
        <v>0</v>
      </c>
    </row>
    <row r="124" spans="1:7" x14ac:dyDescent="0.25">
      <c r="A124" s="17" t="s">
        <v>235</v>
      </c>
      <c r="B124" s="18" t="s">
        <v>238</v>
      </c>
      <c r="C124" s="14" t="s">
        <v>37</v>
      </c>
      <c r="D124" s="26"/>
      <c r="E124" s="15">
        <f>+'APU CAP 3'!H591</f>
        <v>17536</v>
      </c>
      <c r="F124" s="16">
        <f t="shared" si="8"/>
        <v>0</v>
      </c>
      <c r="G124" s="8">
        <f t="shared" si="4"/>
        <v>0</v>
      </c>
    </row>
    <row r="125" spans="1:7" x14ac:dyDescent="0.25">
      <c r="A125" s="17" t="s">
        <v>5761</v>
      </c>
      <c r="B125" s="18" t="s">
        <v>5763</v>
      </c>
      <c r="C125" s="14" t="s">
        <v>37</v>
      </c>
      <c r="D125" s="26"/>
      <c r="E125" s="15"/>
      <c r="F125" s="16">
        <f t="shared" si="8"/>
        <v>0</v>
      </c>
      <c r="G125" s="8">
        <f t="shared" si="4"/>
        <v>0</v>
      </c>
    </row>
    <row r="126" spans="1:7" x14ac:dyDescent="0.25">
      <c r="A126" s="17" t="s">
        <v>5762</v>
      </c>
      <c r="B126" s="18" t="s">
        <v>5764</v>
      </c>
      <c r="C126" s="14" t="s">
        <v>37</v>
      </c>
      <c r="D126" s="26"/>
      <c r="E126" s="15"/>
      <c r="F126" s="16">
        <f t="shared" si="8"/>
        <v>0</v>
      </c>
      <c r="G126" s="8">
        <f t="shared" si="4"/>
        <v>0</v>
      </c>
    </row>
    <row r="127" spans="1:7" x14ac:dyDescent="0.25">
      <c r="A127" s="17" t="s">
        <v>5765</v>
      </c>
      <c r="B127" s="18" t="s">
        <v>5766</v>
      </c>
      <c r="C127" s="14" t="s">
        <v>37</v>
      </c>
      <c r="D127" s="26"/>
      <c r="E127" s="15"/>
      <c r="F127" s="16">
        <f t="shared" si="8"/>
        <v>0</v>
      </c>
      <c r="G127" s="8">
        <f t="shared" si="4"/>
        <v>0</v>
      </c>
    </row>
    <row r="128" spans="1:7" x14ac:dyDescent="0.25">
      <c r="A128" s="12" t="s">
        <v>239</v>
      </c>
      <c r="B128" s="13" t="s">
        <v>240</v>
      </c>
      <c r="C128" s="14"/>
      <c r="D128" s="26"/>
      <c r="E128" s="15"/>
      <c r="F128" s="16"/>
      <c r="G128" s="8">
        <f t="shared" si="4"/>
        <v>0</v>
      </c>
    </row>
    <row r="129" spans="1:7" x14ac:dyDescent="0.25">
      <c r="A129" s="17" t="s">
        <v>241</v>
      </c>
      <c r="B129" s="18" t="s">
        <v>1924</v>
      </c>
      <c r="C129" s="14" t="s">
        <v>14</v>
      </c>
      <c r="D129" s="26"/>
      <c r="E129" s="15">
        <f>+'APU CAP 3'!H645</f>
        <v>11850</v>
      </c>
      <c r="F129" s="16">
        <f t="shared" ref="F129:F149" si="9">+D129*E129</f>
        <v>0</v>
      </c>
      <c r="G129" s="8">
        <f t="shared" si="4"/>
        <v>0</v>
      </c>
    </row>
    <row r="130" spans="1:7" x14ac:dyDescent="0.25">
      <c r="A130" s="17" t="s">
        <v>253</v>
      </c>
      <c r="B130" s="18" t="s">
        <v>242</v>
      </c>
      <c r="C130" s="14" t="s">
        <v>14</v>
      </c>
      <c r="D130" s="26"/>
      <c r="E130" s="15">
        <f>+E129</f>
        <v>11850</v>
      </c>
      <c r="F130" s="16">
        <f t="shared" si="9"/>
        <v>0</v>
      </c>
      <c r="G130" s="8">
        <f t="shared" si="4"/>
        <v>0</v>
      </c>
    </row>
    <row r="131" spans="1:7" x14ac:dyDescent="0.25">
      <c r="A131" s="17" t="s">
        <v>254</v>
      </c>
      <c r="B131" s="18" t="s">
        <v>243</v>
      </c>
      <c r="C131" s="14" t="s">
        <v>14</v>
      </c>
      <c r="D131" s="26"/>
      <c r="E131" s="15">
        <f>+E129</f>
        <v>11850</v>
      </c>
      <c r="F131" s="16">
        <f t="shared" si="9"/>
        <v>0</v>
      </c>
      <c r="G131" s="8">
        <f t="shared" si="4"/>
        <v>0</v>
      </c>
    </row>
    <row r="132" spans="1:7" x14ac:dyDescent="0.25">
      <c r="A132" s="17" t="s">
        <v>255</v>
      </c>
      <c r="B132" s="18" t="s">
        <v>244</v>
      </c>
      <c r="C132" s="14" t="s">
        <v>14</v>
      </c>
      <c r="D132" s="26"/>
      <c r="E132" s="15">
        <f>+E129</f>
        <v>11850</v>
      </c>
      <c r="F132" s="16">
        <f t="shared" si="9"/>
        <v>0</v>
      </c>
      <c r="G132" s="8">
        <f t="shared" si="4"/>
        <v>0</v>
      </c>
    </row>
    <row r="133" spans="1:7" x14ac:dyDescent="0.25">
      <c r="A133" s="17" t="s">
        <v>256</v>
      </c>
      <c r="B133" s="18" t="s">
        <v>245</v>
      </c>
      <c r="C133" s="14" t="s">
        <v>14</v>
      </c>
      <c r="D133" s="26"/>
      <c r="E133" s="15">
        <f>+E129</f>
        <v>11850</v>
      </c>
      <c r="F133" s="16">
        <f t="shared" si="9"/>
        <v>0</v>
      </c>
      <c r="G133" s="8">
        <f t="shared" si="4"/>
        <v>0</v>
      </c>
    </row>
    <row r="134" spans="1:7" x14ac:dyDescent="0.25">
      <c r="A134" s="17" t="s">
        <v>257</v>
      </c>
      <c r="B134" s="18" t="s">
        <v>246</v>
      </c>
      <c r="C134" s="14" t="s">
        <v>14</v>
      </c>
      <c r="D134" s="26"/>
      <c r="E134" s="15">
        <f>+E129</f>
        <v>11850</v>
      </c>
      <c r="F134" s="16">
        <f t="shared" si="9"/>
        <v>0</v>
      </c>
      <c r="G134" s="8">
        <f t="shared" si="4"/>
        <v>0</v>
      </c>
    </row>
    <row r="135" spans="1:7" x14ac:dyDescent="0.25">
      <c r="A135" s="17" t="s">
        <v>258</v>
      </c>
      <c r="B135" s="18" t="s">
        <v>1925</v>
      </c>
      <c r="C135" s="14" t="s">
        <v>14</v>
      </c>
      <c r="D135" s="26"/>
      <c r="E135" s="15">
        <f>+'APU CAP 3'!P645</f>
        <v>15182</v>
      </c>
      <c r="F135" s="16">
        <f t="shared" si="9"/>
        <v>0</v>
      </c>
      <c r="G135" s="8">
        <f t="shared" si="4"/>
        <v>0</v>
      </c>
    </row>
    <row r="136" spans="1:7" x14ac:dyDescent="0.25">
      <c r="A136" s="17" t="s">
        <v>259</v>
      </c>
      <c r="B136" s="18" t="s">
        <v>1926</v>
      </c>
      <c r="C136" s="14" t="s">
        <v>14</v>
      </c>
      <c r="D136" s="26"/>
      <c r="E136" s="15">
        <f>+E135</f>
        <v>15182</v>
      </c>
      <c r="F136" s="16">
        <f t="shared" si="9"/>
        <v>0</v>
      </c>
      <c r="G136" s="8">
        <f t="shared" si="4"/>
        <v>0</v>
      </c>
    </row>
    <row r="137" spans="1:7" x14ac:dyDescent="0.25">
      <c r="A137" s="17" t="s">
        <v>260</v>
      </c>
      <c r="B137" s="18" t="s">
        <v>247</v>
      </c>
      <c r="C137" s="14" t="s">
        <v>14</v>
      </c>
      <c r="D137" s="26"/>
      <c r="E137" s="15">
        <f>+'APU CAP 3'!H699</f>
        <v>21692</v>
      </c>
      <c r="F137" s="16">
        <f t="shared" si="9"/>
        <v>0</v>
      </c>
      <c r="G137" s="8">
        <f t="shared" si="4"/>
        <v>0</v>
      </c>
    </row>
    <row r="138" spans="1:7" x14ac:dyDescent="0.25">
      <c r="A138" s="17" t="s">
        <v>261</v>
      </c>
      <c r="B138" s="18" t="s">
        <v>1927</v>
      </c>
      <c r="C138" s="14" t="s">
        <v>14</v>
      </c>
      <c r="D138" s="26"/>
      <c r="E138" s="15">
        <f>+E137</f>
        <v>21692</v>
      </c>
      <c r="F138" s="16">
        <f t="shared" si="9"/>
        <v>0</v>
      </c>
      <c r="G138" s="8">
        <f t="shared" si="4"/>
        <v>0</v>
      </c>
    </row>
    <row r="139" spans="1:7" x14ac:dyDescent="0.25">
      <c r="A139" s="17" t="s">
        <v>262</v>
      </c>
      <c r="B139" s="18" t="s">
        <v>248</v>
      </c>
      <c r="C139" s="14" t="s">
        <v>14</v>
      </c>
      <c r="D139" s="26"/>
      <c r="E139" s="15">
        <f>+E137</f>
        <v>21692</v>
      </c>
      <c r="F139" s="16">
        <f t="shared" si="9"/>
        <v>0</v>
      </c>
      <c r="G139" s="8">
        <f t="shared" ref="G139:G202" si="10">+IF(F139&lt;&gt;0,1,0)</f>
        <v>0</v>
      </c>
    </row>
    <row r="140" spans="1:7" x14ac:dyDescent="0.25">
      <c r="A140" s="17" t="s">
        <v>1933</v>
      </c>
      <c r="B140" s="18" t="s">
        <v>1928</v>
      </c>
      <c r="C140" s="14" t="s">
        <v>14</v>
      </c>
      <c r="D140" s="26"/>
      <c r="E140" s="15"/>
      <c r="F140" s="16">
        <f t="shared" si="9"/>
        <v>0</v>
      </c>
      <c r="G140" s="8">
        <f t="shared" si="10"/>
        <v>0</v>
      </c>
    </row>
    <row r="141" spans="1:7" x14ac:dyDescent="0.25">
      <c r="A141" s="17" t="s">
        <v>1934</v>
      </c>
      <c r="B141" s="18" t="s">
        <v>249</v>
      </c>
      <c r="C141" s="14" t="s">
        <v>14</v>
      </c>
      <c r="D141" s="26"/>
      <c r="E141" s="15"/>
      <c r="F141" s="16">
        <f t="shared" si="9"/>
        <v>0</v>
      </c>
      <c r="G141" s="8">
        <f t="shared" si="10"/>
        <v>0</v>
      </c>
    </row>
    <row r="142" spans="1:7" x14ac:dyDescent="0.25">
      <c r="A142" s="17" t="s">
        <v>1935</v>
      </c>
      <c r="B142" s="18" t="s">
        <v>1929</v>
      </c>
      <c r="C142" s="14" t="s">
        <v>14</v>
      </c>
      <c r="D142" s="26"/>
      <c r="E142" s="15"/>
      <c r="F142" s="16">
        <f t="shared" si="9"/>
        <v>0</v>
      </c>
      <c r="G142" s="8">
        <f t="shared" si="10"/>
        <v>0</v>
      </c>
    </row>
    <row r="143" spans="1:7" x14ac:dyDescent="0.25">
      <c r="A143" s="17" t="s">
        <v>1936</v>
      </c>
      <c r="B143" s="18" t="s">
        <v>250</v>
      </c>
      <c r="C143" s="14" t="s">
        <v>14</v>
      </c>
      <c r="D143" s="26"/>
      <c r="E143" s="15"/>
      <c r="F143" s="16">
        <f t="shared" si="9"/>
        <v>0</v>
      </c>
      <c r="G143" s="8">
        <f t="shared" si="10"/>
        <v>0</v>
      </c>
    </row>
    <row r="144" spans="1:7" x14ac:dyDescent="0.25">
      <c r="A144" s="17" t="s">
        <v>1937</v>
      </c>
      <c r="B144" s="18" t="s">
        <v>251</v>
      </c>
      <c r="C144" s="14" t="s">
        <v>14</v>
      </c>
      <c r="D144" s="26"/>
      <c r="E144" s="15"/>
      <c r="F144" s="16">
        <f t="shared" si="9"/>
        <v>0</v>
      </c>
      <c r="G144" s="8">
        <f t="shared" si="10"/>
        <v>0</v>
      </c>
    </row>
    <row r="145" spans="1:7" x14ac:dyDescent="0.25">
      <c r="A145" s="17" t="s">
        <v>1938</v>
      </c>
      <c r="B145" s="18" t="s">
        <v>252</v>
      </c>
      <c r="C145" s="14" t="s">
        <v>14</v>
      </c>
      <c r="D145" s="26"/>
      <c r="E145" s="15"/>
      <c r="F145" s="16">
        <f t="shared" si="9"/>
        <v>0</v>
      </c>
      <c r="G145" s="8">
        <f t="shared" si="10"/>
        <v>0</v>
      </c>
    </row>
    <row r="146" spans="1:7" x14ac:dyDescent="0.25">
      <c r="A146" s="17" t="s">
        <v>1939</v>
      </c>
      <c r="B146" s="18" t="s">
        <v>1930</v>
      </c>
      <c r="C146" s="14" t="s">
        <v>14</v>
      </c>
      <c r="D146" s="26"/>
      <c r="E146" s="15"/>
      <c r="F146" s="16">
        <f t="shared" si="9"/>
        <v>0</v>
      </c>
      <c r="G146" s="8">
        <f t="shared" si="10"/>
        <v>0</v>
      </c>
    </row>
    <row r="147" spans="1:7" x14ac:dyDescent="0.25">
      <c r="A147" s="17" t="s">
        <v>1940</v>
      </c>
      <c r="B147" s="18" t="s">
        <v>1931</v>
      </c>
      <c r="C147" s="14" t="s">
        <v>14</v>
      </c>
      <c r="D147" s="26"/>
      <c r="E147" s="15"/>
      <c r="F147" s="16">
        <f t="shared" si="9"/>
        <v>0</v>
      </c>
      <c r="G147" s="8">
        <f t="shared" si="10"/>
        <v>0</v>
      </c>
    </row>
    <row r="148" spans="1:7" x14ac:dyDescent="0.25">
      <c r="A148" s="17" t="s">
        <v>1941</v>
      </c>
      <c r="B148" s="18" t="s">
        <v>1932</v>
      </c>
      <c r="C148" s="14" t="s">
        <v>14</v>
      </c>
      <c r="D148" s="26"/>
      <c r="E148" s="15"/>
      <c r="F148" s="16">
        <f t="shared" si="9"/>
        <v>0</v>
      </c>
      <c r="G148" s="8">
        <f t="shared" si="10"/>
        <v>0</v>
      </c>
    </row>
    <row r="149" spans="1:7" x14ac:dyDescent="0.25">
      <c r="A149" s="17" t="s">
        <v>1942</v>
      </c>
      <c r="B149" s="18" t="s">
        <v>2347</v>
      </c>
      <c r="C149" s="14" t="s">
        <v>14</v>
      </c>
      <c r="D149" s="26"/>
      <c r="E149" s="15"/>
      <c r="F149" s="16">
        <f t="shared" si="9"/>
        <v>0</v>
      </c>
      <c r="G149" s="8">
        <f t="shared" si="10"/>
        <v>0</v>
      </c>
    </row>
    <row r="150" spans="1:7" x14ac:dyDescent="0.25">
      <c r="A150" s="12" t="s">
        <v>263</v>
      </c>
      <c r="B150" s="13" t="s">
        <v>264</v>
      </c>
      <c r="C150" s="14"/>
      <c r="D150" s="26"/>
      <c r="E150" s="15"/>
      <c r="F150" s="16"/>
      <c r="G150" s="8">
        <f t="shared" si="10"/>
        <v>0</v>
      </c>
    </row>
    <row r="151" spans="1:7" x14ac:dyDescent="0.25">
      <c r="A151" s="12" t="s">
        <v>265</v>
      </c>
      <c r="B151" s="13" t="s">
        <v>266</v>
      </c>
      <c r="C151" s="14"/>
      <c r="D151" s="26"/>
      <c r="E151" s="15"/>
      <c r="F151" s="16"/>
      <c r="G151" s="8">
        <f t="shared" si="10"/>
        <v>0</v>
      </c>
    </row>
    <row r="152" spans="1:7" x14ac:dyDescent="0.25">
      <c r="A152" s="17" t="s">
        <v>267</v>
      </c>
      <c r="B152" s="18" t="s">
        <v>5767</v>
      </c>
      <c r="C152" s="14" t="s">
        <v>37</v>
      </c>
      <c r="D152" s="26"/>
      <c r="E152" s="15">
        <f>+'APU CAP 3'!H753</f>
        <v>24616</v>
      </c>
      <c r="F152" s="16">
        <f>+D152*E152</f>
        <v>0</v>
      </c>
      <c r="G152" s="8">
        <f t="shared" si="10"/>
        <v>0</v>
      </c>
    </row>
    <row r="153" spans="1:7" x14ac:dyDescent="0.25">
      <c r="A153" s="17" t="s">
        <v>268</v>
      </c>
      <c r="B153" s="18" t="s">
        <v>5768</v>
      </c>
      <c r="C153" s="14" t="s">
        <v>37</v>
      </c>
      <c r="D153" s="26"/>
      <c r="E153" s="15">
        <f>+'APU CAP 3'!H807</f>
        <v>36092</v>
      </c>
      <c r="F153" s="16">
        <f>+D153*E153</f>
        <v>0</v>
      </c>
      <c r="G153" s="8">
        <f t="shared" si="10"/>
        <v>0</v>
      </c>
    </row>
    <row r="154" spans="1:7" x14ac:dyDescent="0.25">
      <c r="A154" s="17" t="s">
        <v>269</v>
      </c>
      <c r="B154" s="18" t="s">
        <v>5770</v>
      </c>
      <c r="C154" s="14" t="s">
        <v>37</v>
      </c>
      <c r="D154" s="26"/>
      <c r="E154" s="15"/>
      <c r="F154" s="16">
        <f>+D154*E154</f>
        <v>0</v>
      </c>
      <c r="G154" s="8">
        <f t="shared" si="10"/>
        <v>0</v>
      </c>
    </row>
    <row r="155" spans="1:7" x14ac:dyDescent="0.25">
      <c r="A155" s="17" t="s">
        <v>270</v>
      </c>
      <c r="B155" s="18" t="s">
        <v>5769</v>
      </c>
      <c r="C155" s="14" t="s">
        <v>37</v>
      </c>
      <c r="D155" s="26"/>
      <c r="E155" s="15"/>
      <c r="F155" s="16">
        <f>+D155*E155</f>
        <v>0</v>
      </c>
      <c r="G155" s="8">
        <f t="shared" si="10"/>
        <v>0</v>
      </c>
    </row>
    <row r="156" spans="1:7" x14ac:dyDescent="0.25">
      <c r="A156" s="17" t="s">
        <v>5771</v>
      </c>
      <c r="B156" s="18" t="s">
        <v>5769</v>
      </c>
      <c r="C156" s="14" t="s">
        <v>37</v>
      </c>
      <c r="D156" s="26"/>
      <c r="E156" s="15"/>
      <c r="F156" s="16">
        <f>+D156*E156</f>
        <v>0</v>
      </c>
      <c r="G156" s="8">
        <f t="shared" si="10"/>
        <v>0</v>
      </c>
    </row>
    <row r="157" spans="1:7" x14ac:dyDescent="0.25">
      <c r="A157" s="12" t="s">
        <v>272</v>
      </c>
      <c r="B157" s="13" t="s">
        <v>271</v>
      </c>
      <c r="C157" s="14"/>
      <c r="D157" s="26"/>
      <c r="E157" s="15"/>
      <c r="F157" s="16"/>
      <c r="G157" s="8">
        <f t="shared" si="10"/>
        <v>0</v>
      </c>
    </row>
    <row r="158" spans="1:7" x14ac:dyDescent="0.25">
      <c r="A158" s="17" t="s">
        <v>273</v>
      </c>
      <c r="B158" s="18" t="s">
        <v>5767</v>
      </c>
      <c r="C158" s="14" t="s">
        <v>37</v>
      </c>
      <c r="D158" s="26"/>
      <c r="E158" s="15">
        <f>+'APU CAP 3'!H861</f>
        <v>20671</v>
      </c>
      <c r="F158" s="16">
        <f>+D158*E158</f>
        <v>0</v>
      </c>
      <c r="G158" s="8">
        <f t="shared" si="10"/>
        <v>0</v>
      </c>
    </row>
    <row r="159" spans="1:7" x14ac:dyDescent="0.25">
      <c r="A159" s="17" t="s">
        <v>274</v>
      </c>
      <c r="B159" s="18" t="s">
        <v>5768</v>
      </c>
      <c r="C159" s="14" t="s">
        <v>37</v>
      </c>
      <c r="D159" s="26"/>
      <c r="E159" s="15">
        <f>+'APU CAP 3'!H915</f>
        <v>25671</v>
      </c>
      <c r="F159" s="16">
        <f>+D159*E159</f>
        <v>0</v>
      </c>
      <c r="G159" s="8">
        <f t="shared" si="10"/>
        <v>0</v>
      </c>
    </row>
    <row r="160" spans="1:7" x14ac:dyDescent="0.25">
      <c r="A160" s="17" t="s">
        <v>275</v>
      </c>
      <c r="B160" s="18" t="s">
        <v>5770</v>
      </c>
      <c r="C160" s="14" t="s">
        <v>37</v>
      </c>
      <c r="D160" s="26"/>
      <c r="E160" s="15"/>
      <c r="F160" s="16">
        <f>+D160*E160</f>
        <v>0</v>
      </c>
      <c r="G160" s="8">
        <f t="shared" si="10"/>
        <v>0</v>
      </c>
    </row>
    <row r="161" spans="1:7" x14ac:dyDescent="0.25">
      <c r="A161" s="17" t="s">
        <v>276</v>
      </c>
      <c r="B161" s="18" t="s">
        <v>5769</v>
      </c>
      <c r="C161" s="14" t="s">
        <v>37</v>
      </c>
      <c r="D161" s="26"/>
      <c r="E161" s="15"/>
      <c r="F161" s="16">
        <f>+D161*E161</f>
        <v>0</v>
      </c>
      <c r="G161" s="8">
        <f t="shared" si="10"/>
        <v>0</v>
      </c>
    </row>
    <row r="162" spans="1:7" x14ac:dyDescent="0.25">
      <c r="A162" s="17" t="s">
        <v>5772</v>
      </c>
      <c r="B162" s="18" t="s">
        <v>5769</v>
      </c>
      <c r="C162" s="14" t="s">
        <v>37</v>
      </c>
      <c r="D162" s="26"/>
      <c r="E162" s="15"/>
      <c r="F162" s="16">
        <f>+D162*E162</f>
        <v>0</v>
      </c>
      <c r="G162" s="8">
        <f t="shared" si="10"/>
        <v>0</v>
      </c>
    </row>
    <row r="163" spans="1:7" x14ac:dyDescent="0.25">
      <c r="A163" s="12" t="s">
        <v>2323</v>
      </c>
      <c r="B163" s="13" t="s">
        <v>5773</v>
      </c>
      <c r="C163" s="14"/>
      <c r="D163" s="26"/>
      <c r="E163" s="15"/>
      <c r="F163" s="16"/>
      <c r="G163" s="8">
        <f t="shared" si="10"/>
        <v>0</v>
      </c>
    </row>
    <row r="164" spans="1:7" x14ac:dyDescent="0.25">
      <c r="A164" s="17" t="s">
        <v>5797</v>
      </c>
      <c r="B164" s="18" t="s">
        <v>5774</v>
      </c>
      <c r="C164" s="14" t="s">
        <v>14</v>
      </c>
      <c r="D164" s="26"/>
      <c r="E164" s="15">
        <f>+E115</f>
        <v>16500</v>
      </c>
      <c r="F164" s="16">
        <f t="shared" ref="F164:F184" si="11">+D164*E164</f>
        <v>0</v>
      </c>
      <c r="G164" s="8">
        <f t="shared" si="10"/>
        <v>0</v>
      </c>
    </row>
    <row r="165" spans="1:7" x14ac:dyDescent="0.25">
      <c r="A165" s="17" t="s">
        <v>5798</v>
      </c>
      <c r="B165" s="18" t="s">
        <v>5775</v>
      </c>
      <c r="C165" s="14" t="s">
        <v>14</v>
      </c>
      <c r="D165" s="26"/>
      <c r="E165" s="15">
        <f>+E116</f>
        <v>20256</v>
      </c>
      <c r="F165" s="16">
        <f t="shared" si="11"/>
        <v>0</v>
      </c>
      <c r="G165" s="8">
        <f t="shared" si="10"/>
        <v>0</v>
      </c>
    </row>
    <row r="166" spans="1:7" x14ac:dyDescent="0.25">
      <c r="A166" s="17" t="s">
        <v>5799</v>
      </c>
      <c r="B166" s="18" t="s">
        <v>5776</v>
      </c>
      <c r="C166" s="14" t="s">
        <v>14</v>
      </c>
      <c r="D166" s="26"/>
      <c r="E166" s="15">
        <f>+E117</f>
        <v>23506</v>
      </c>
      <c r="F166" s="16">
        <f t="shared" si="11"/>
        <v>0</v>
      </c>
      <c r="G166" s="8">
        <f t="shared" si="10"/>
        <v>0</v>
      </c>
    </row>
    <row r="167" spans="1:7" x14ac:dyDescent="0.25">
      <c r="A167" s="17" t="s">
        <v>5800</v>
      </c>
      <c r="B167" s="18" t="s">
        <v>5777</v>
      </c>
      <c r="C167" s="14" t="s">
        <v>14</v>
      </c>
      <c r="D167" s="26"/>
      <c r="E167" s="15">
        <f>+E118</f>
        <v>28370</v>
      </c>
      <c r="F167" s="16">
        <f t="shared" si="11"/>
        <v>0</v>
      </c>
      <c r="G167" s="8">
        <f t="shared" si="10"/>
        <v>0</v>
      </c>
    </row>
    <row r="168" spans="1:7" x14ac:dyDescent="0.25">
      <c r="A168" s="17" t="s">
        <v>5801</v>
      </c>
      <c r="B168" s="18" t="s">
        <v>5778</v>
      </c>
      <c r="C168" s="14" t="s">
        <v>14</v>
      </c>
      <c r="D168" s="26"/>
      <c r="E168" s="15">
        <f>+E119</f>
        <v>35037</v>
      </c>
      <c r="F168" s="16">
        <f t="shared" si="11"/>
        <v>0</v>
      </c>
      <c r="G168" s="8">
        <f t="shared" si="10"/>
        <v>0</v>
      </c>
    </row>
    <row r="169" spans="1:7" x14ac:dyDescent="0.25">
      <c r="A169" s="17" t="s">
        <v>5802</v>
      </c>
      <c r="B169" s="18" t="s">
        <v>5779</v>
      </c>
      <c r="C169" s="14" t="s">
        <v>14</v>
      </c>
      <c r="D169" s="26"/>
      <c r="E169" s="15"/>
      <c r="F169" s="16">
        <f t="shared" si="11"/>
        <v>0</v>
      </c>
      <c r="G169" s="8">
        <f t="shared" si="10"/>
        <v>0</v>
      </c>
    </row>
    <row r="170" spans="1:7" x14ac:dyDescent="0.25">
      <c r="A170" s="17" t="s">
        <v>5803</v>
      </c>
      <c r="B170" s="18" t="s">
        <v>5780</v>
      </c>
      <c r="C170" s="14" t="s">
        <v>14</v>
      </c>
      <c r="D170" s="26"/>
      <c r="E170" s="15"/>
      <c r="F170" s="16">
        <f t="shared" si="11"/>
        <v>0</v>
      </c>
      <c r="G170" s="8">
        <f t="shared" si="10"/>
        <v>0</v>
      </c>
    </row>
    <row r="171" spans="1:7" x14ac:dyDescent="0.25">
      <c r="A171" s="17" t="s">
        <v>5804</v>
      </c>
      <c r="B171" s="18" t="s">
        <v>5781</v>
      </c>
      <c r="C171" s="14" t="s">
        <v>14</v>
      </c>
      <c r="D171" s="26"/>
      <c r="E171" s="15"/>
      <c r="F171" s="16">
        <f t="shared" si="11"/>
        <v>0</v>
      </c>
      <c r="G171" s="8">
        <f t="shared" si="10"/>
        <v>0</v>
      </c>
    </row>
    <row r="172" spans="1:7" x14ac:dyDescent="0.25">
      <c r="A172" s="17" t="s">
        <v>5805</v>
      </c>
      <c r="B172" s="18" t="s">
        <v>5782</v>
      </c>
      <c r="C172" s="14" t="s">
        <v>14</v>
      </c>
      <c r="D172" s="26"/>
      <c r="E172" s="15"/>
      <c r="F172" s="16">
        <f t="shared" si="11"/>
        <v>0</v>
      </c>
      <c r="G172" s="8">
        <f t="shared" si="10"/>
        <v>0</v>
      </c>
    </row>
    <row r="173" spans="1:7" x14ac:dyDescent="0.25">
      <c r="A173" s="17" t="s">
        <v>5806</v>
      </c>
      <c r="B173" s="18" t="s">
        <v>5783</v>
      </c>
      <c r="C173" s="14" t="s">
        <v>14</v>
      </c>
      <c r="D173" s="26"/>
      <c r="E173" s="15"/>
      <c r="F173" s="16">
        <f t="shared" si="11"/>
        <v>0</v>
      </c>
      <c r="G173" s="8">
        <f t="shared" si="10"/>
        <v>0</v>
      </c>
    </row>
    <row r="174" spans="1:7" x14ac:dyDescent="0.25">
      <c r="A174" s="17" t="s">
        <v>5807</v>
      </c>
      <c r="B174" s="18" t="s">
        <v>5784</v>
      </c>
      <c r="C174" s="14" t="s">
        <v>14</v>
      </c>
      <c r="D174" s="26"/>
      <c r="E174" s="15"/>
      <c r="F174" s="16">
        <f t="shared" si="11"/>
        <v>0</v>
      </c>
      <c r="G174" s="8">
        <f t="shared" si="10"/>
        <v>0</v>
      </c>
    </row>
    <row r="175" spans="1:7" x14ac:dyDescent="0.25">
      <c r="A175" s="17" t="s">
        <v>5808</v>
      </c>
      <c r="B175" s="18" t="s">
        <v>5785</v>
      </c>
      <c r="C175" s="14" t="s">
        <v>14</v>
      </c>
      <c r="D175" s="26"/>
      <c r="E175" s="15"/>
      <c r="F175" s="16">
        <f t="shared" si="11"/>
        <v>0</v>
      </c>
      <c r="G175" s="8">
        <f t="shared" si="10"/>
        <v>0</v>
      </c>
    </row>
    <row r="176" spans="1:7" x14ac:dyDescent="0.25">
      <c r="A176" s="17" t="s">
        <v>5809</v>
      </c>
      <c r="B176" s="18" t="s">
        <v>5786</v>
      </c>
      <c r="C176" s="14" t="s">
        <v>14</v>
      </c>
      <c r="D176" s="26"/>
      <c r="E176" s="15"/>
      <c r="F176" s="16">
        <f t="shared" si="11"/>
        <v>0</v>
      </c>
      <c r="G176" s="8">
        <f t="shared" si="10"/>
        <v>0</v>
      </c>
    </row>
    <row r="177" spans="1:7" x14ac:dyDescent="0.25">
      <c r="A177" s="17" t="s">
        <v>5810</v>
      </c>
      <c r="B177" s="18" t="s">
        <v>5788</v>
      </c>
      <c r="C177" s="14" t="s">
        <v>14</v>
      </c>
      <c r="D177" s="26"/>
      <c r="E177" s="15"/>
      <c r="F177" s="16">
        <f t="shared" si="11"/>
        <v>0</v>
      </c>
      <c r="G177" s="8">
        <f t="shared" si="10"/>
        <v>0</v>
      </c>
    </row>
    <row r="178" spans="1:7" x14ac:dyDescent="0.25">
      <c r="A178" s="17" t="s">
        <v>5811</v>
      </c>
      <c r="B178" s="18" t="s">
        <v>5787</v>
      </c>
      <c r="C178" s="14" t="s">
        <v>14</v>
      </c>
      <c r="D178" s="26"/>
      <c r="E178" s="15"/>
      <c r="F178" s="16">
        <f t="shared" si="11"/>
        <v>0</v>
      </c>
      <c r="G178" s="8">
        <f t="shared" si="10"/>
        <v>0</v>
      </c>
    </row>
    <row r="179" spans="1:7" x14ac:dyDescent="0.25">
      <c r="A179" s="17" t="s">
        <v>5812</v>
      </c>
      <c r="B179" s="18" t="s">
        <v>5789</v>
      </c>
      <c r="C179" s="14" t="s">
        <v>14</v>
      </c>
      <c r="D179" s="26"/>
      <c r="E179" s="15"/>
      <c r="F179" s="16">
        <f t="shared" si="11"/>
        <v>0</v>
      </c>
      <c r="G179" s="8">
        <f t="shared" si="10"/>
        <v>0</v>
      </c>
    </row>
    <row r="180" spans="1:7" x14ac:dyDescent="0.25">
      <c r="A180" s="17" t="s">
        <v>5813</v>
      </c>
      <c r="B180" s="18" t="s">
        <v>5790</v>
      </c>
      <c r="C180" s="14" t="s">
        <v>14</v>
      </c>
      <c r="D180" s="26"/>
      <c r="E180" s="15"/>
      <c r="F180" s="16">
        <f t="shared" si="11"/>
        <v>0</v>
      </c>
      <c r="G180" s="8">
        <f t="shared" si="10"/>
        <v>0</v>
      </c>
    </row>
    <row r="181" spans="1:7" x14ac:dyDescent="0.25">
      <c r="A181" s="17" t="s">
        <v>5814</v>
      </c>
      <c r="B181" s="18" t="s">
        <v>5791</v>
      </c>
      <c r="C181" s="14" t="s">
        <v>14</v>
      </c>
      <c r="D181" s="26"/>
      <c r="E181" s="15"/>
      <c r="F181" s="16">
        <f t="shared" si="11"/>
        <v>0</v>
      </c>
      <c r="G181" s="8">
        <f t="shared" si="10"/>
        <v>0</v>
      </c>
    </row>
    <row r="182" spans="1:7" x14ac:dyDescent="0.25">
      <c r="A182" s="17" t="s">
        <v>5815</v>
      </c>
      <c r="B182" s="18" t="s">
        <v>5792</v>
      </c>
      <c r="C182" s="14" t="s">
        <v>14</v>
      </c>
      <c r="D182" s="26"/>
      <c r="E182" s="15"/>
      <c r="F182" s="16">
        <f t="shared" si="11"/>
        <v>0</v>
      </c>
      <c r="G182" s="8">
        <f t="shared" si="10"/>
        <v>0</v>
      </c>
    </row>
    <row r="183" spans="1:7" x14ac:dyDescent="0.25">
      <c r="A183" s="17" t="s">
        <v>5816</v>
      </c>
      <c r="B183" s="18" t="s">
        <v>5793</v>
      </c>
      <c r="C183" s="14" t="s">
        <v>14</v>
      </c>
      <c r="D183" s="26"/>
      <c r="E183" s="15"/>
      <c r="F183" s="16">
        <f t="shared" si="11"/>
        <v>0</v>
      </c>
      <c r="G183" s="8">
        <f t="shared" si="10"/>
        <v>0</v>
      </c>
    </row>
    <row r="184" spans="1:7" x14ac:dyDescent="0.25">
      <c r="A184" s="17" t="s">
        <v>5817</v>
      </c>
      <c r="B184" s="18" t="s">
        <v>5794</v>
      </c>
      <c r="C184" s="14" t="s">
        <v>14</v>
      </c>
      <c r="D184" s="26"/>
      <c r="E184" s="15"/>
      <c r="F184" s="16">
        <f t="shared" si="11"/>
        <v>0</v>
      </c>
      <c r="G184" s="8">
        <f t="shared" si="10"/>
        <v>0</v>
      </c>
    </row>
    <row r="185" spans="1:7" x14ac:dyDescent="0.25">
      <c r="A185" s="17" t="s">
        <v>2336</v>
      </c>
      <c r="B185" s="13" t="s">
        <v>5795</v>
      </c>
      <c r="C185" s="14"/>
      <c r="D185" s="26"/>
      <c r="E185" s="15"/>
      <c r="F185" s="16"/>
      <c r="G185" s="8">
        <f t="shared" si="10"/>
        <v>0</v>
      </c>
    </row>
    <row r="186" spans="1:7" x14ac:dyDescent="0.25">
      <c r="A186" s="17" t="s">
        <v>5818</v>
      </c>
      <c r="B186" s="18" t="s">
        <v>5796</v>
      </c>
      <c r="C186" s="14" t="s">
        <v>37</v>
      </c>
      <c r="D186" s="26"/>
      <c r="E186" s="15"/>
      <c r="F186" s="16">
        <f t="shared" ref="F186:F206" si="12">+D186*E186</f>
        <v>0</v>
      </c>
      <c r="G186" s="8">
        <f t="shared" si="10"/>
        <v>0</v>
      </c>
    </row>
    <row r="187" spans="1:7" x14ac:dyDescent="0.25">
      <c r="A187" s="17" t="s">
        <v>5819</v>
      </c>
      <c r="B187" s="18" t="s">
        <v>5839</v>
      </c>
      <c r="C187" s="14" t="s">
        <v>37</v>
      </c>
      <c r="D187" s="26"/>
      <c r="E187" s="15"/>
      <c r="F187" s="16">
        <f t="shared" si="12"/>
        <v>0</v>
      </c>
      <c r="G187" s="8">
        <f t="shared" si="10"/>
        <v>0</v>
      </c>
    </row>
    <row r="188" spans="1:7" x14ac:dyDescent="0.25">
      <c r="A188" s="17" t="s">
        <v>5820</v>
      </c>
      <c r="B188" s="18" t="s">
        <v>5840</v>
      </c>
      <c r="C188" s="14" t="s">
        <v>37</v>
      </c>
      <c r="D188" s="26"/>
      <c r="E188" s="15"/>
      <c r="F188" s="16">
        <f t="shared" si="12"/>
        <v>0</v>
      </c>
      <c r="G188" s="8">
        <f t="shared" si="10"/>
        <v>0</v>
      </c>
    </row>
    <row r="189" spans="1:7" x14ac:dyDescent="0.25">
      <c r="A189" s="17" t="s">
        <v>5821</v>
      </c>
      <c r="B189" s="18" t="s">
        <v>5841</v>
      </c>
      <c r="C189" s="14" t="s">
        <v>37</v>
      </c>
      <c r="D189" s="26"/>
      <c r="E189" s="15"/>
      <c r="F189" s="16">
        <f t="shared" si="12"/>
        <v>0</v>
      </c>
      <c r="G189" s="8">
        <f t="shared" si="10"/>
        <v>0</v>
      </c>
    </row>
    <row r="190" spans="1:7" x14ac:dyDescent="0.25">
      <c r="A190" s="17" t="s">
        <v>5822</v>
      </c>
      <c r="B190" s="18" t="s">
        <v>5842</v>
      </c>
      <c r="C190" s="14" t="s">
        <v>37</v>
      </c>
      <c r="D190" s="26"/>
      <c r="E190" s="15"/>
      <c r="F190" s="16">
        <f t="shared" si="12"/>
        <v>0</v>
      </c>
      <c r="G190" s="8">
        <f t="shared" si="10"/>
        <v>0</v>
      </c>
    </row>
    <row r="191" spans="1:7" x14ac:dyDescent="0.25">
      <c r="A191" s="17" t="s">
        <v>5823</v>
      </c>
      <c r="B191" s="18" t="s">
        <v>5843</v>
      </c>
      <c r="C191" s="14" t="s">
        <v>37</v>
      </c>
      <c r="D191" s="26"/>
      <c r="E191" s="15"/>
      <c r="F191" s="16">
        <f t="shared" si="12"/>
        <v>0</v>
      </c>
      <c r="G191" s="8">
        <f t="shared" si="10"/>
        <v>0</v>
      </c>
    </row>
    <row r="192" spans="1:7" x14ac:dyDescent="0.25">
      <c r="A192" s="17" t="s">
        <v>5824</v>
      </c>
      <c r="B192" s="18" t="s">
        <v>5844</v>
      </c>
      <c r="C192" s="14" t="s">
        <v>37</v>
      </c>
      <c r="D192" s="26"/>
      <c r="E192" s="15"/>
      <c r="F192" s="16">
        <f t="shared" si="12"/>
        <v>0</v>
      </c>
      <c r="G192" s="8">
        <f t="shared" si="10"/>
        <v>0</v>
      </c>
    </row>
    <row r="193" spans="1:7" x14ac:dyDescent="0.25">
      <c r="A193" s="17" t="s">
        <v>5825</v>
      </c>
      <c r="B193" s="18" t="s">
        <v>5845</v>
      </c>
      <c r="C193" s="14" t="s">
        <v>37</v>
      </c>
      <c r="D193" s="26"/>
      <c r="E193" s="15"/>
      <c r="F193" s="16">
        <f t="shared" si="12"/>
        <v>0</v>
      </c>
      <c r="G193" s="8">
        <f t="shared" si="10"/>
        <v>0</v>
      </c>
    </row>
    <row r="194" spans="1:7" x14ac:dyDescent="0.25">
      <c r="A194" s="17" t="s">
        <v>5826</v>
      </c>
      <c r="B194" s="18" t="s">
        <v>5846</v>
      </c>
      <c r="C194" s="14" t="s">
        <v>37</v>
      </c>
      <c r="D194" s="26"/>
      <c r="E194" s="15"/>
      <c r="F194" s="16">
        <f t="shared" si="12"/>
        <v>0</v>
      </c>
      <c r="G194" s="8">
        <f t="shared" si="10"/>
        <v>0</v>
      </c>
    </row>
    <row r="195" spans="1:7" x14ac:dyDescent="0.25">
      <c r="A195" s="17" t="s">
        <v>5827</v>
      </c>
      <c r="B195" s="18" t="s">
        <v>5847</v>
      </c>
      <c r="C195" s="14" t="s">
        <v>37</v>
      </c>
      <c r="D195" s="26"/>
      <c r="E195" s="15"/>
      <c r="F195" s="16">
        <f t="shared" si="12"/>
        <v>0</v>
      </c>
      <c r="G195" s="8">
        <f t="shared" si="10"/>
        <v>0</v>
      </c>
    </row>
    <row r="196" spans="1:7" x14ac:dyDescent="0.25">
      <c r="A196" s="17" t="s">
        <v>5828</v>
      </c>
      <c r="B196" s="18" t="s">
        <v>5848</v>
      </c>
      <c r="C196" s="14" t="s">
        <v>37</v>
      </c>
      <c r="D196" s="26"/>
      <c r="E196" s="15"/>
      <c r="F196" s="16">
        <f t="shared" si="12"/>
        <v>0</v>
      </c>
      <c r="G196" s="8">
        <f t="shared" si="10"/>
        <v>0</v>
      </c>
    </row>
    <row r="197" spans="1:7" x14ac:dyDescent="0.25">
      <c r="A197" s="17" t="s">
        <v>5829</v>
      </c>
      <c r="B197" s="18" t="s">
        <v>5849</v>
      </c>
      <c r="C197" s="14" t="s">
        <v>37</v>
      </c>
      <c r="D197" s="26"/>
      <c r="E197" s="15"/>
      <c r="F197" s="16">
        <f t="shared" si="12"/>
        <v>0</v>
      </c>
      <c r="G197" s="8">
        <f t="shared" si="10"/>
        <v>0</v>
      </c>
    </row>
    <row r="198" spans="1:7" x14ac:dyDescent="0.25">
      <c r="A198" s="17" t="s">
        <v>5830</v>
      </c>
      <c r="B198" s="18" t="s">
        <v>5850</v>
      </c>
      <c r="C198" s="14" t="s">
        <v>37</v>
      </c>
      <c r="D198" s="26"/>
      <c r="E198" s="15"/>
      <c r="F198" s="16">
        <f t="shared" si="12"/>
        <v>0</v>
      </c>
      <c r="G198" s="8">
        <f t="shared" si="10"/>
        <v>0</v>
      </c>
    </row>
    <row r="199" spans="1:7" x14ac:dyDescent="0.25">
      <c r="A199" s="17" t="s">
        <v>5831</v>
      </c>
      <c r="B199" s="18" t="s">
        <v>5851</v>
      </c>
      <c r="C199" s="14" t="s">
        <v>37</v>
      </c>
      <c r="D199" s="26"/>
      <c r="E199" s="15"/>
      <c r="F199" s="16">
        <f t="shared" si="12"/>
        <v>0</v>
      </c>
      <c r="G199" s="8">
        <f t="shared" si="10"/>
        <v>0</v>
      </c>
    </row>
    <row r="200" spans="1:7" x14ac:dyDescent="0.25">
      <c r="A200" s="17" t="s">
        <v>5832</v>
      </c>
      <c r="B200" s="18" t="s">
        <v>5852</v>
      </c>
      <c r="C200" s="14" t="s">
        <v>37</v>
      </c>
      <c r="D200" s="26"/>
      <c r="E200" s="15"/>
      <c r="F200" s="16">
        <f t="shared" si="12"/>
        <v>0</v>
      </c>
      <c r="G200" s="8">
        <f t="shared" si="10"/>
        <v>0</v>
      </c>
    </row>
    <row r="201" spans="1:7" x14ac:dyDescent="0.25">
      <c r="A201" s="17" t="s">
        <v>5833</v>
      </c>
      <c r="B201" s="18" t="s">
        <v>5853</v>
      </c>
      <c r="C201" s="14" t="s">
        <v>37</v>
      </c>
      <c r="D201" s="26"/>
      <c r="E201" s="15"/>
      <c r="F201" s="16">
        <f t="shared" si="12"/>
        <v>0</v>
      </c>
      <c r="G201" s="8">
        <f t="shared" si="10"/>
        <v>0</v>
      </c>
    </row>
    <row r="202" spans="1:7" x14ac:dyDescent="0.25">
      <c r="A202" s="17" t="s">
        <v>5834</v>
      </c>
      <c r="B202" s="18" t="s">
        <v>5854</v>
      </c>
      <c r="C202" s="14" t="s">
        <v>37</v>
      </c>
      <c r="D202" s="26"/>
      <c r="E202" s="15"/>
      <c r="F202" s="16">
        <f t="shared" si="12"/>
        <v>0</v>
      </c>
      <c r="G202" s="8">
        <f t="shared" si="10"/>
        <v>0</v>
      </c>
    </row>
    <row r="203" spans="1:7" x14ac:dyDescent="0.25">
      <c r="A203" s="17" t="s">
        <v>5835</v>
      </c>
      <c r="B203" s="18" t="s">
        <v>5855</v>
      </c>
      <c r="C203" s="14" t="s">
        <v>37</v>
      </c>
      <c r="D203" s="26"/>
      <c r="E203" s="15"/>
      <c r="F203" s="16">
        <f t="shared" si="12"/>
        <v>0</v>
      </c>
      <c r="G203" s="8">
        <f t="shared" ref="G203:G266" si="13">+IF(F203&lt;&gt;0,1,0)</f>
        <v>0</v>
      </c>
    </row>
    <row r="204" spans="1:7" x14ac:dyDescent="0.25">
      <c r="A204" s="17" t="s">
        <v>5836</v>
      </c>
      <c r="B204" s="18" t="s">
        <v>5856</v>
      </c>
      <c r="C204" s="14" t="s">
        <v>37</v>
      </c>
      <c r="D204" s="26"/>
      <c r="E204" s="15"/>
      <c r="F204" s="16">
        <f t="shared" si="12"/>
        <v>0</v>
      </c>
      <c r="G204" s="8">
        <f t="shared" si="13"/>
        <v>0</v>
      </c>
    </row>
    <row r="205" spans="1:7" x14ac:dyDescent="0.25">
      <c r="A205" s="17" t="s">
        <v>5837</v>
      </c>
      <c r="B205" s="18" t="s">
        <v>5857</v>
      </c>
      <c r="C205" s="14" t="s">
        <v>37</v>
      </c>
      <c r="D205" s="26"/>
      <c r="E205" s="15"/>
      <c r="F205" s="16">
        <f t="shared" si="12"/>
        <v>0</v>
      </c>
      <c r="G205" s="8">
        <f t="shared" si="13"/>
        <v>0</v>
      </c>
    </row>
    <row r="206" spans="1:7" x14ac:dyDescent="0.25">
      <c r="A206" s="17" t="s">
        <v>5838</v>
      </c>
      <c r="B206" s="18" t="s">
        <v>5858</v>
      </c>
      <c r="C206" s="14" t="s">
        <v>37</v>
      </c>
      <c r="D206" s="26"/>
      <c r="E206" s="15"/>
      <c r="F206" s="16">
        <f t="shared" si="12"/>
        <v>0</v>
      </c>
      <c r="G206" s="8">
        <f t="shared" si="13"/>
        <v>0</v>
      </c>
    </row>
    <row r="207" spans="1:7" x14ac:dyDescent="0.25">
      <c r="A207" s="12" t="s">
        <v>277</v>
      </c>
      <c r="B207" s="13" t="s">
        <v>278</v>
      </c>
      <c r="C207" s="14"/>
      <c r="D207" s="26"/>
      <c r="E207" s="15"/>
      <c r="F207" s="16"/>
      <c r="G207" s="8">
        <f t="shared" si="13"/>
        <v>0</v>
      </c>
    </row>
    <row r="208" spans="1:7" x14ac:dyDescent="0.25">
      <c r="A208" s="17" t="s">
        <v>279</v>
      </c>
      <c r="B208" s="25" t="s">
        <v>285</v>
      </c>
      <c r="C208" s="14" t="s">
        <v>14</v>
      </c>
      <c r="D208" s="26"/>
      <c r="E208" s="15">
        <f>+'APU CAP 3'!H969</f>
        <v>1920</v>
      </c>
      <c r="F208" s="16">
        <f t="shared" ref="F208:F224" si="14">+D208*E208</f>
        <v>0</v>
      </c>
      <c r="G208" s="8">
        <f t="shared" si="13"/>
        <v>0</v>
      </c>
    </row>
    <row r="209" spans="1:7" x14ac:dyDescent="0.25">
      <c r="A209" s="17" t="s">
        <v>297</v>
      </c>
      <c r="B209" s="25" t="s">
        <v>280</v>
      </c>
      <c r="C209" s="14" t="s">
        <v>14</v>
      </c>
      <c r="D209" s="26"/>
      <c r="E209" s="15">
        <f>+E208</f>
        <v>1920</v>
      </c>
      <c r="F209" s="16">
        <f t="shared" si="14"/>
        <v>0</v>
      </c>
      <c r="G209" s="8">
        <f t="shared" si="13"/>
        <v>0</v>
      </c>
    </row>
    <row r="210" spans="1:7" x14ac:dyDescent="0.25">
      <c r="A210" s="17" t="s">
        <v>298</v>
      </c>
      <c r="B210" s="25" t="s">
        <v>281</v>
      </c>
      <c r="C210" s="14" t="s">
        <v>14</v>
      </c>
      <c r="D210" s="26"/>
      <c r="E210" s="15">
        <f>+E208</f>
        <v>1920</v>
      </c>
      <c r="F210" s="16">
        <f t="shared" si="14"/>
        <v>0</v>
      </c>
      <c r="G210" s="8">
        <f t="shared" si="13"/>
        <v>0</v>
      </c>
    </row>
    <row r="211" spans="1:7" x14ac:dyDescent="0.25">
      <c r="A211" s="17" t="s">
        <v>299</v>
      </c>
      <c r="B211" s="25" t="s">
        <v>282</v>
      </c>
      <c r="C211" s="14" t="s">
        <v>14</v>
      </c>
      <c r="D211" s="26"/>
      <c r="E211" s="15">
        <f>+E208</f>
        <v>1920</v>
      </c>
      <c r="F211" s="16">
        <f t="shared" si="14"/>
        <v>0</v>
      </c>
      <c r="G211" s="8">
        <f t="shared" si="13"/>
        <v>0</v>
      </c>
    </row>
    <row r="212" spans="1:7" x14ac:dyDescent="0.25">
      <c r="A212" s="17" t="s">
        <v>300</v>
      </c>
      <c r="B212" s="25" t="s">
        <v>283</v>
      </c>
      <c r="C212" s="14" t="s">
        <v>14</v>
      </c>
      <c r="D212" s="26"/>
      <c r="E212" s="15">
        <f>+'APU CAP 3'!H1023</f>
        <v>2352</v>
      </c>
      <c r="F212" s="16">
        <f t="shared" si="14"/>
        <v>0</v>
      </c>
      <c r="G212" s="8">
        <f t="shared" si="13"/>
        <v>0</v>
      </c>
    </row>
    <row r="213" spans="1:7" x14ac:dyDescent="0.25">
      <c r="A213" s="17" t="s">
        <v>301</v>
      </c>
      <c r="B213" s="25" t="s">
        <v>286</v>
      </c>
      <c r="C213" s="14" t="s">
        <v>14</v>
      </c>
      <c r="D213" s="26"/>
      <c r="E213" s="15">
        <f>+E212</f>
        <v>2352</v>
      </c>
      <c r="F213" s="16">
        <f t="shared" si="14"/>
        <v>0</v>
      </c>
      <c r="G213" s="8">
        <f t="shared" si="13"/>
        <v>0</v>
      </c>
    </row>
    <row r="214" spans="1:7" x14ac:dyDescent="0.25">
      <c r="A214" s="17" t="s">
        <v>302</v>
      </c>
      <c r="B214" s="25" t="s">
        <v>284</v>
      </c>
      <c r="C214" s="14" t="s">
        <v>14</v>
      </c>
      <c r="D214" s="26"/>
      <c r="E214" s="15">
        <f>+E212</f>
        <v>2352</v>
      </c>
      <c r="F214" s="16">
        <f t="shared" si="14"/>
        <v>0</v>
      </c>
      <c r="G214" s="8">
        <f t="shared" si="13"/>
        <v>0</v>
      </c>
    </row>
    <row r="215" spans="1:7" x14ac:dyDescent="0.25">
      <c r="A215" s="17" t="s">
        <v>303</v>
      </c>
      <c r="B215" s="25" t="s">
        <v>287</v>
      </c>
      <c r="C215" s="14" t="s">
        <v>14</v>
      </c>
      <c r="D215" s="26"/>
      <c r="E215" s="15">
        <f>+'APU CAP 3'!H1077</f>
        <v>3674</v>
      </c>
      <c r="F215" s="16">
        <f t="shared" si="14"/>
        <v>0</v>
      </c>
      <c r="G215" s="8">
        <f t="shared" si="13"/>
        <v>0</v>
      </c>
    </row>
    <row r="216" spans="1:7" x14ac:dyDescent="0.25">
      <c r="A216" s="17" t="s">
        <v>304</v>
      </c>
      <c r="B216" s="25" t="s">
        <v>288</v>
      </c>
      <c r="C216" s="14" t="s">
        <v>14</v>
      </c>
      <c r="D216" s="26"/>
      <c r="E216" s="15">
        <f>+E215</f>
        <v>3674</v>
      </c>
      <c r="F216" s="16">
        <f t="shared" si="14"/>
        <v>0</v>
      </c>
      <c r="G216" s="8">
        <f t="shared" si="13"/>
        <v>0</v>
      </c>
    </row>
    <row r="217" spans="1:7" x14ac:dyDescent="0.25">
      <c r="A217" s="17" t="s">
        <v>305</v>
      </c>
      <c r="B217" s="25" t="s">
        <v>289</v>
      </c>
      <c r="C217" s="14" t="s">
        <v>14</v>
      </c>
      <c r="D217" s="26"/>
      <c r="E217" s="15">
        <f>+E215</f>
        <v>3674</v>
      </c>
      <c r="F217" s="16">
        <f t="shared" si="14"/>
        <v>0</v>
      </c>
      <c r="G217" s="8">
        <f t="shared" si="13"/>
        <v>0</v>
      </c>
    </row>
    <row r="218" spans="1:7" x14ac:dyDescent="0.25">
      <c r="A218" s="17" t="s">
        <v>306</v>
      </c>
      <c r="B218" s="25" t="s">
        <v>290</v>
      </c>
      <c r="C218" s="14" t="s">
        <v>14</v>
      </c>
      <c r="D218" s="26"/>
      <c r="E218" s="15">
        <f>+'APU CAP 3'!H1131</f>
        <v>5520</v>
      </c>
      <c r="F218" s="16">
        <f t="shared" si="14"/>
        <v>0</v>
      </c>
      <c r="G218" s="8">
        <f t="shared" si="13"/>
        <v>0</v>
      </c>
    </row>
    <row r="219" spans="1:7" x14ac:dyDescent="0.25">
      <c r="A219" s="17" t="s">
        <v>307</v>
      </c>
      <c r="B219" s="25" t="s">
        <v>291</v>
      </c>
      <c r="C219" s="14" t="s">
        <v>14</v>
      </c>
      <c r="D219" s="26"/>
      <c r="E219" s="15"/>
      <c r="F219" s="16">
        <f t="shared" si="14"/>
        <v>0</v>
      </c>
      <c r="G219" s="8">
        <f t="shared" si="13"/>
        <v>0</v>
      </c>
    </row>
    <row r="220" spans="1:7" x14ac:dyDescent="0.25">
      <c r="A220" s="17" t="s">
        <v>308</v>
      </c>
      <c r="B220" s="25" t="s">
        <v>292</v>
      </c>
      <c r="C220" s="14" t="s">
        <v>14</v>
      </c>
      <c r="D220" s="26"/>
      <c r="E220" s="15"/>
      <c r="F220" s="16">
        <f t="shared" si="14"/>
        <v>0</v>
      </c>
      <c r="G220" s="8">
        <f t="shared" si="13"/>
        <v>0</v>
      </c>
    </row>
    <row r="221" spans="1:7" x14ac:dyDescent="0.25">
      <c r="A221" s="17" t="s">
        <v>309</v>
      </c>
      <c r="B221" s="25" t="s">
        <v>293</v>
      </c>
      <c r="C221" s="14" t="s">
        <v>14</v>
      </c>
      <c r="D221" s="26"/>
      <c r="E221" s="15"/>
      <c r="F221" s="16">
        <f t="shared" si="14"/>
        <v>0</v>
      </c>
      <c r="G221" s="8">
        <f t="shared" si="13"/>
        <v>0</v>
      </c>
    </row>
    <row r="222" spans="1:7" x14ac:dyDescent="0.25">
      <c r="A222" s="17" t="s">
        <v>310</v>
      </c>
      <c r="B222" s="25" t="s">
        <v>294</v>
      </c>
      <c r="C222" s="14" t="s">
        <v>14</v>
      </c>
      <c r="D222" s="26"/>
      <c r="E222" s="15"/>
      <c r="F222" s="16">
        <f t="shared" si="14"/>
        <v>0</v>
      </c>
      <c r="G222" s="8">
        <f t="shared" si="13"/>
        <v>0</v>
      </c>
    </row>
    <row r="223" spans="1:7" x14ac:dyDescent="0.25">
      <c r="A223" s="17" t="s">
        <v>311</v>
      </c>
      <c r="B223" s="25" t="s">
        <v>295</v>
      </c>
      <c r="C223" s="14" t="s">
        <v>14</v>
      </c>
      <c r="D223" s="26"/>
      <c r="E223" s="15"/>
      <c r="F223" s="16">
        <f t="shared" si="14"/>
        <v>0</v>
      </c>
      <c r="G223" s="8">
        <f t="shared" si="13"/>
        <v>0</v>
      </c>
    </row>
    <row r="224" spans="1:7" x14ac:dyDescent="0.25">
      <c r="A224" s="17" t="s">
        <v>312</v>
      </c>
      <c r="B224" s="25" t="s">
        <v>296</v>
      </c>
      <c r="C224" s="14" t="s">
        <v>14</v>
      </c>
      <c r="D224" s="26"/>
      <c r="E224" s="15"/>
      <c r="F224" s="16">
        <f t="shared" si="14"/>
        <v>0</v>
      </c>
      <c r="G224" s="8">
        <f t="shared" si="13"/>
        <v>0</v>
      </c>
    </row>
    <row r="225" spans="1:7" x14ac:dyDescent="0.25">
      <c r="A225" s="12" t="s">
        <v>313</v>
      </c>
      <c r="B225" s="13" t="s">
        <v>314</v>
      </c>
      <c r="C225" s="14"/>
      <c r="D225" s="26"/>
      <c r="E225" s="15"/>
      <c r="F225" s="16"/>
      <c r="G225" s="8">
        <f t="shared" si="13"/>
        <v>0</v>
      </c>
    </row>
    <row r="226" spans="1:7" x14ac:dyDescent="0.25">
      <c r="A226" s="17" t="s">
        <v>324</v>
      </c>
      <c r="B226" s="25" t="s">
        <v>315</v>
      </c>
      <c r="C226" s="14" t="s">
        <v>37</v>
      </c>
      <c r="D226" s="26"/>
      <c r="E226" s="15">
        <f>+'APU CAP 3'!H1185</f>
        <v>1636</v>
      </c>
      <c r="F226" s="16">
        <f t="shared" ref="F226:F234" si="15">+D226*E226</f>
        <v>0</v>
      </c>
      <c r="G226" s="8">
        <f t="shared" si="13"/>
        <v>0</v>
      </c>
    </row>
    <row r="227" spans="1:7" x14ac:dyDescent="0.25">
      <c r="A227" s="17" t="s">
        <v>325</v>
      </c>
      <c r="B227" s="25" t="s">
        <v>316</v>
      </c>
      <c r="C227" s="14" t="s">
        <v>37</v>
      </c>
      <c r="D227" s="26"/>
      <c r="E227" s="15">
        <f>+'APU CAP 3'!H1239</f>
        <v>2150</v>
      </c>
      <c r="F227" s="16">
        <f t="shared" si="15"/>
        <v>0</v>
      </c>
      <c r="G227" s="8">
        <f t="shared" si="13"/>
        <v>0</v>
      </c>
    </row>
    <row r="228" spans="1:7" x14ac:dyDescent="0.25">
      <c r="A228" s="17" t="s">
        <v>326</v>
      </c>
      <c r="B228" s="25" t="s">
        <v>317</v>
      </c>
      <c r="C228" s="14" t="s">
        <v>37</v>
      </c>
      <c r="D228" s="26"/>
      <c r="E228" s="15">
        <f>+'APU CAP 3'!H1239</f>
        <v>2150</v>
      </c>
      <c r="F228" s="16">
        <f t="shared" si="15"/>
        <v>0</v>
      </c>
      <c r="G228" s="8">
        <f t="shared" si="13"/>
        <v>0</v>
      </c>
    </row>
    <row r="229" spans="1:7" x14ac:dyDescent="0.25">
      <c r="A229" s="17" t="s">
        <v>327</v>
      </c>
      <c r="B229" s="25" t="s">
        <v>318</v>
      </c>
      <c r="C229" s="14" t="s">
        <v>37</v>
      </c>
      <c r="D229" s="26"/>
      <c r="E229" s="15">
        <f>+'APU CAP 3'!H1293</f>
        <v>3178</v>
      </c>
      <c r="F229" s="16">
        <f t="shared" si="15"/>
        <v>0</v>
      </c>
      <c r="G229" s="8">
        <f t="shared" si="13"/>
        <v>0</v>
      </c>
    </row>
    <row r="230" spans="1:7" x14ac:dyDescent="0.25">
      <c r="A230" s="17" t="s">
        <v>328</v>
      </c>
      <c r="B230" s="25" t="s">
        <v>319</v>
      </c>
      <c r="C230" s="14" t="s">
        <v>37</v>
      </c>
      <c r="D230" s="26"/>
      <c r="E230" s="15">
        <f>+'APU CAP 3'!H1347</f>
        <v>6261</v>
      </c>
      <c r="F230" s="16">
        <f t="shared" si="15"/>
        <v>0</v>
      </c>
      <c r="G230" s="8">
        <f t="shared" si="13"/>
        <v>0</v>
      </c>
    </row>
    <row r="231" spans="1:7" x14ac:dyDescent="0.25">
      <c r="A231" s="17" t="s">
        <v>329</v>
      </c>
      <c r="B231" s="25" t="s">
        <v>320</v>
      </c>
      <c r="C231" s="14" t="s">
        <v>37</v>
      </c>
      <c r="D231" s="26"/>
      <c r="E231" s="15"/>
      <c r="F231" s="16">
        <f t="shared" si="15"/>
        <v>0</v>
      </c>
      <c r="G231" s="8">
        <f t="shared" si="13"/>
        <v>0</v>
      </c>
    </row>
    <row r="232" spans="1:7" x14ac:dyDescent="0.25">
      <c r="A232" s="17" t="s">
        <v>330</v>
      </c>
      <c r="B232" s="25" t="s">
        <v>321</v>
      </c>
      <c r="C232" s="14" t="s">
        <v>37</v>
      </c>
      <c r="D232" s="26"/>
      <c r="E232" s="15"/>
      <c r="F232" s="16">
        <f t="shared" si="15"/>
        <v>0</v>
      </c>
      <c r="G232" s="8">
        <f t="shared" si="13"/>
        <v>0</v>
      </c>
    </row>
    <row r="233" spans="1:7" x14ac:dyDescent="0.25">
      <c r="A233" s="17" t="s">
        <v>331</v>
      </c>
      <c r="B233" s="25" t="s">
        <v>322</v>
      </c>
      <c r="C233" s="14" t="s">
        <v>37</v>
      </c>
      <c r="D233" s="26"/>
      <c r="E233" s="15"/>
      <c r="F233" s="16">
        <f t="shared" si="15"/>
        <v>0</v>
      </c>
      <c r="G233" s="8">
        <f t="shared" si="13"/>
        <v>0</v>
      </c>
    </row>
    <row r="234" spans="1:7" x14ac:dyDescent="0.25">
      <c r="A234" s="17" t="s">
        <v>332</v>
      </c>
      <c r="B234" s="25" t="s">
        <v>323</v>
      </c>
      <c r="C234" s="14" t="s">
        <v>37</v>
      </c>
      <c r="D234" s="26"/>
      <c r="E234" s="15"/>
      <c r="F234" s="16">
        <f t="shared" si="15"/>
        <v>0</v>
      </c>
      <c r="G234" s="8">
        <f t="shared" si="13"/>
        <v>0</v>
      </c>
    </row>
    <row r="235" spans="1:7" x14ac:dyDescent="0.25">
      <c r="A235" s="12" t="s">
        <v>333</v>
      </c>
      <c r="B235" s="46" t="s">
        <v>334</v>
      </c>
      <c r="C235" s="14"/>
      <c r="D235" s="26"/>
      <c r="E235" s="15"/>
      <c r="F235" s="16"/>
      <c r="G235" s="8">
        <v>1</v>
      </c>
    </row>
    <row r="236" spans="1:7" x14ac:dyDescent="0.25">
      <c r="A236" s="12" t="s">
        <v>355</v>
      </c>
      <c r="B236" s="46" t="s">
        <v>335</v>
      </c>
      <c r="C236" s="14"/>
      <c r="D236" s="26"/>
      <c r="E236" s="15"/>
      <c r="F236" s="16"/>
      <c r="G236" s="8">
        <v>1</v>
      </c>
    </row>
    <row r="237" spans="1:7" x14ac:dyDescent="0.25">
      <c r="A237" s="17" t="s">
        <v>356</v>
      </c>
      <c r="B237" s="25" t="s">
        <v>336</v>
      </c>
      <c r="C237" s="14" t="s">
        <v>14</v>
      </c>
      <c r="D237" s="26"/>
      <c r="E237" s="15">
        <f>+'APU CAP 3'!H1401</f>
        <v>2913</v>
      </c>
      <c r="F237" s="16">
        <f t="shared" ref="F237:F255" si="16">+D237*E237</f>
        <v>0</v>
      </c>
      <c r="G237" s="8">
        <f t="shared" si="13"/>
        <v>0</v>
      </c>
    </row>
    <row r="238" spans="1:7" x14ac:dyDescent="0.25">
      <c r="A238" s="17" t="s">
        <v>357</v>
      </c>
      <c r="B238" s="25" t="s">
        <v>337</v>
      </c>
      <c r="C238" s="14" t="s">
        <v>14</v>
      </c>
      <c r="D238" s="26"/>
      <c r="E238" s="15">
        <f>+'APU CAP 3'!P1401</f>
        <v>4197</v>
      </c>
      <c r="F238" s="16">
        <f t="shared" si="16"/>
        <v>0</v>
      </c>
      <c r="G238" s="8">
        <f t="shared" si="13"/>
        <v>0</v>
      </c>
    </row>
    <row r="239" spans="1:7" x14ac:dyDescent="0.25">
      <c r="A239" s="17" t="s">
        <v>358</v>
      </c>
      <c r="B239" s="25" t="s">
        <v>338</v>
      </c>
      <c r="C239" s="14" t="s">
        <v>14</v>
      </c>
      <c r="D239" s="26"/>
      <c r="E239" s="15">
        <f>+'APU CAP 3'!X1401</f>
        <v>5342</v>
      </c>
      <c r="F239" s="16">
        <f t="shared" si="16"/>
        <v>0</v>
      </c>
      <c r="G239" s="8">
        <f t="shared" si="13"/>
        <v>0</v>
      </c>
    </row>
    <row r="240" spans="1:7" x14ac:dyDescent="0.25">
      <c r="A240" s="17" t="s">
        <v>359</v>
      </c>
      <c r="B240" s="25" t="s">
        <v>339</v>
      </c>
      <c r="C240" s="14" t="s">
        <v>14</v>
      </c>
      <c r="D240" s="26"/>
      <c r="E240" s="15"/>
      <c r="F240" s="16">
        <f t="shared" si="16"/>
        <v>0</v>
      </c>
      <c r="G240" s="8">
        <f t="shared" si="13"/>
        <v>0</v>
      </c>
    </row>
    <row r="241" spans="1:7" x14ac:dyDescent="0.25">
      <c r="A241" s="17" t="s">
        <v>360</v>
      </c>
      <c r="B241" s="25" t="s">
        <v>340</v>
      </c>
      <c r="C241" s="14" t="s">
        <v>14</v>
      </c>
      <c r="D241" s="26"/>
      <c r="E241" s="15">
        <f>+'APU CAP 3'!H1455</f>
        <v>8630</v>
      </c>
      <c r="F241" s="16">
        <f t="shared" si="16"/>
        <v>0</v>
      </c>
      <c r="G241" s="8">
        <f t="shared" si="13"/>
        <v>0</v>
      </c>
    </row>
    <row r="242" spans="1:7" x14ac:dyDescent="0.25">
      <c r="A242" s="17" t="s">
        <v>361</v>
      </c>
      <c r="B242" s="25" t="s">
        <v>341</v>
      </c>
      <c r="C242" s="14" t="s">
        <v>14</v>
      </c>
      <c r="D242" s="26"/>
      <c r="E242" s="15">
        <f>+'APU CAP 3'!P1455</f>
        <v>11285</v>
      </c>
      <c r="F242" s="16">
        <f t="shared" si="16"/>
        <v>0</v>
      </c>
      <c r="G242" s="8">
        <f t="shared" si="13"/>
        <v>0</v>
      </c>
    </row>
    <row r="243" spans="1:7" x14ac:dyDescent="0.25">
      <c r="A243" s="17" t="s">
        <v>362</v>
      </c>
      <c r="B243" s="25" t="s">
        <v>342</v>
      </c>
      <c r="C243" s="14" t="s">
        <v>14</v>
      </c>
      <c r="D243" s="26"/>
      <c r="E243" s="15">
        <f>+'APU CAP 3'!X1455</f>
        <v>15169</v>
      </c>
      <c r="F243" s="16">
        <f t="shared" si="16"/>
        <v>0</v>
      </c>
      <c r="G243" s="8">
        <f t="shared" si="13"/>
        <v>0</v>
      </c>
    </row>
    <row r="244" spans="1:7" x14ac:dyDescent="0.25">
      <c r="A244" s="17" t="s">
        <v>363</v>
      </c>
      <c r="B244" s="25" t="s">
        <v>343</v>
      </c>
      <c r="C244" s="14" t="s">
        <v>14</v>
      </c>
      <c r="D244" s="26"/>
      <c r="E244" s="15">
        <f>+'APU CAP 3'!H1509</f>
        <v>24053</v>
      </c>
      <c r="F244" s="16">
        <f t="shared" si="16"/>
        <v>0</v>
      </c>
      <c r="G244" s="8">
        <f t="shared" si="13"/>
        <v>0</v>
      </c>
    </row>
    <row r="245" spans="1:7" x14ac:dyDescent="0.25">
      <c r="A245" s="17" t="s">
        <v>364</v>
      </c>
      <c r="B245" s="25" t="s">
        <v>344</v>
      </c>
      <c r="C245" s="14" t="s">
        <v>14</v>
      </c>
      <c r="D245" s="26"/>
      <c r="E245" s="15">
        <f>+'APU CAP 3'!P1509</f>
        <v>28319</v>
      </c>
      <c r="F245" s="16">
        <f t="shared" si="16"/>
        <v>0</v>
      </c>
      <c r="G245" s="8">
        <f t="shared" si="13"/>
        <v>0</v>
      </c>
    </row>
    <row r="246" spans="1:7" x14ac:dyDescent="0.25">
      <c r="A246" s="17" t="s">
        <v>365</v>
      </c>
      <c r="B246" s="25" t="s">
        <v>345</v>
      </c>
      <c r="C246" s="14" t="s">
        <v>14</v>
      </c>
      <c r="D246" s="26"/>
      <c r="E246" s="15">
        <f>+'APU CAP 3'!X1509</f>
        <v>33693</v>
      </c>
      <c r="F246" s="16">
        <f t="shared" si="16"/>
        <v>0</v>
      </c>
      <c r="G246" s="8">
        <f t="shared" si="13"/>
        <v>0</v>
      </c>
    </row>
    <row r="247" spans="1:7" x14ac:dyDescent="0.25">
      <c r="A247" s="17" t="s">
        <v>366</v>
      </c>
      <c r="B247" s="25" t="s">
        <v>346</v>
      </c>
      <c r="C247" s="14" t="s">
        <v>14</v>
      </c>
      <c r="D247" s="26"/>
      <c r="E247" s="15">
        <f>+'APU CAP 3'!H1563</f>
        <v>41671</v>
      </c>
      <c r="F247" s="16">
        <f t="shared" si="16"/>
        <v>0</v>
      </c>
      <c r="G247" s="8">
        <f t="shared" si="13"/>
        <v>0</v>
      </c>
    </row>
    <row r="248" spans="1:7" x14ac:dyDescent="0.25">
      <c r="A248" s="17" t="s">
        <v>367</v>
      </c>
      <c r="B248" s="25" t="s">
        <v>347</v>
      </c>
      <c r="C248" s="14" t="s">
        <v>14</v>
      </c>
      <c r="D248" s="26"/>
      <c r="E248" s="15">
        <f>+'APU CAP 3'!P1563</f>
        <v>48370</v>
      </c>
      <c r="F248" s="16">
        <f t="shared" si="16"/>
        <v>0</v>
      </c>
      <c r="G248" s="8">
        <f t="shared" si="13"/>
        <v>0</v>
      </c>
    </row>
    <row r="249" spans="1:7" x14ac:dyDescent="0.25">
      <c r="A249" s="17" t="s">
        <v>368</v>
      </c>
      <c r="B249" s="25" t="s">
        <v>348</v>
      </c>
      <c r="C249" s="14" t="s">
        <v>14</v>
      </c>
      <c r="D249" s="26"/>
      <c r="E249" s="15"/>
      <c r="F249" s="16">
        <f t="shared" si="16"/>
        <v>0</v>
      </c>
      <c r="G249" s="8">
        <f t="shared" si="13"/>
        <v>0</v>
      </c>
    </row>
    <row r="250" spans="1:7" x14ac:dyDescent="0.25">
      <c r="A250" s="17" t="s">
        <v>369</v>
      </c>
      <c r="B250" s="25" t="s">
        <v>349</v>
      </c>
      <c r="C250" s="14" t="s">
        <v>14</v>
      </c>
      <c r="D250" s="26"/>
      <c r="E250" s="15"/>
      <c r="F250" s="16">
        <f t="shared" si="16"/>
        <v>0</v>
      </c>
      <c r="G250" s="8">
        <f t="shared" si="13"/>
        <v>0</v>
      </c>
    </row>
    <row r="251" spans="1:7" x14ac:dyDescent="0.25">
      <c r="A251" s="17" t="s">
        <v>370</v>
      </c>
      <c r="B251" s="25" t="s">
        <v>350</v>
      </c>
      <c r="C251" s="14" t="s">
        <v>14</v>
      </c>
      <c r="D251" s="26"/>
      <c r="E251" s="15"/>
      <c r="F251" s="16">
        <f t="shared" si="16"/>
        <v>0</v>
      </c>
      <c r="G251" s="8">
        <f t="shared" si="13"/>
        <v>0</v>
      </c>
    </row>
    <row r="252" spans="1:7" x14ac:dyDescent="0.25">
      <c r="A252" s="17" t="s">
        <v>371</v>
      </c>
      <c r="B252" s="25" t="s">
        <v>351</v>
      </c>
      <c r="C252" s="14" t="s">
        <v>14</v>
      </c>
      <c r="D252" s="26"/>
      <c r="E252" s="15"/>
      <c r="F252" s="16">
        <f t="shared" si="16"/>
        <v>0</v>
      </c>
      <c r="G252" s="8">
        <f t="shared" si="13"/>
        <v>0</v>
      </c>
    </row>
    <row r="253" spans="1:7" x14ac:dyDescent="0.25">
      <c r="A253" s="17" t="s">
        <v>372</v>
      </c>
      <c r="B253" s="25" t="s">
        <v>352</v>
      </c>
      <c r="C253" s="14" t="s">
        <v>14</v>
      </c>
      <c r="D253" s="26"/>
      <c r="E253" s="15"/>
      <c r="F253" s="16">
        <f t="shared" si="16"/>
        <v>0</v>
      </c>
      <c r="G253" s="8">
        <f t="shared" si="13"/>
        <v>0</v>
      </c>
    </row>
    <row r="254" spans="1:7" x14ac:dyDescent="0.25">
      <c r="A254" s="17" t="s">
        <v>373</v>
      </c>
      <c r="B254" s="25" t="s">
        <v>353</v>
      </c>
      <c r="C254" s="14" t="s">
        <v>14</v>
      </c>
      <c r="D254" s="26"/>
      <c r="E254" s="15"/>
      <c r="F254" s="16">
        <f t="shared" si="16"/>
        <v>0</v>
      </c>
      <c r="G254" s="8">
        <f t="shared" si="13"/>
        <v>0</v>
      </c>
    </row>
    <row r="255" spans="1:7" x14ac:dyDescent="0.25">
      <c r="A255" s="17" t="s">
        <v>374</v>
      </c>
      <c r="B255" s="25" t="s">
        <v>354</v>
      </c>
      <c r="C255" s="14" t="s">
        <v>14</v>
      </c>
      <c r="D255" s="26"/>
      <c r="E255" s="15"/>
      <c r="F255" s="16">
        <f t="shared" si="16"/>
        <v>0</v>
      </c>
      <c r="G255" s="8">
        <f t="shared" si="13"/>
        <v>0</v>
      </c>
    </row>
    <row r="256" spans="1:7" x14ac:dyDescent="0.25">
      <c r="A256" s="12" t="s">
        <v>375</v>
      </c>
      <c r="B256" s="46" t="s">
        <v>6320</v>
      </c>
      <c r="C256" s="14"/>
      <c r="D256" s="26"/>
      <c r="E256" s="15"/>
      <c r="F256" s="16"/>
      <c r="G256" s="8">
        <v>1</v>
      </c>
    </row>
    <row r="257" spans="1:7" x14ac:dyDescent="0.25">
      <c r="A257" s="17" t="s">
        <v>376</v>
      </c>
      <c r="B257" s="25" t="s">
        <v>336</v>
      </c>
      <c r="C257" s="14" t="s">
        <v>14</v>
      </c>
      <c r="D257" s="26"/>
      <c r="E257" s="471">
        <f t="shared" ref="E257:E262" si="17">+E238</f>
        <v>4197</v>
      </c>
      <c r="F257" s="16">
        <f t="shared" ref="F257:F275" si="18">+D257*E257</f>
        <v>0</v>
      </c>
      <c r="G257" s="8">
        <f t="shared" si="13"/>
        <v>0</v>
      </c>
    </row>
    <row r="258" spans="1:7" x14ac:dyDescent="0.25">
      <c r="A258" s="17" t="s">
        <v>377</v>
      </c>
      <c r="B258" s="25" t="s">
        <v>337</v>
      </c>
      <c r="C258" s="14" t="s">
        <v>14</v>
      </c>
      <c r="D258" s="26"/>
      <c r="E258" s="471">
        <f t="shared" si="17"/>
        <v>5342</v>
      </c>
      <c r="F258" s="16">
        <f t="shared" si="18"/>
        <v>0</v>
      </c>
      <c r="G258" s="8">
        <f t="shared" si="13"/>
        <v>0</v>
      </c>
    </row>
    <row r="259" spans="1:7" x14ac:dyDescent="0.25">
      <c r="A259" s="17" t="s">
        <v>378</v>
      </c>
      <c r="B259" s="25" t="s">
        <v>338</v>
      </c>
      <c r="C259" s="14" t="s">
        <v>14</v>
      </c>
      <c r="D259" s="26"/>
      <c r="E259" s="471">
        <f t="shared" si="17"/>
        <v>0</v>
      </c>
      <c r="F259" s="16">
        <f t="shared" si="18"/>
        <v>0</v>
      </c>
      <c r="G259" s="8">
        <f t="shared" si="13"/>
        <v>0</v>
      </c>
    </row>
    <row r="260" spans="1:7" x14ac:dyDescent="0.25">
      <c r="A260" s="17" t="s">
        <v>379</v>
      </c>
      <c r="B260" s="25" t="s">
        <v>339</v>
      </c>
      <c r="C260" s="14" t="s">
        <v>14</v>
      </c>
      <c r="D260" s="26"/>
      <c r="E260" s="471">
        <f t="shared" si="17"/>
        <v>8630</v>
      </c>
      <c r="F260" s="16">
        <f t="shared" si="18"/>
        <v>0</v>
      </c>
      <c r="G260" s="8">
        <f t="shared" si="13"/>
        <v>0</v>
      </c>
    </row>
    <row r="261" spans="1:7" x14ac:dyDescent="0.25">
      <c r="A261" s="17" t="s">
        <v>380</v>
      </c>
      <c r="B261" s="25" t="s">
        <v>340</v>
      </c>
      <c r="C261" s="14" t="s">
        <v>14</v>
      </c>
      <c r="D261" s="26"/>
      <c r="E261" s="471">
        <f t="shared" si="17"/>
        <v>11285</v>
      </c>
      <c r="F261" s="16">
        <f t="shared" si="18"/>
        <v>0</v>
      </c>
      <c r="G261" s="8">
        <f t="shared" si="13"/>
        <v>0</v>
      </c>
    </row>
    <row r="262" spans="1:7" x14ac:dyDescent="0.25">
      <c r="A262" s="17" t="s">
        <v>381</v>
      </c>
      <c r="B262" s="25" t="s">
        <v>341</v>
      </c>
      <c r="C262" s="14" t="s">
        <v>14</v>
      </c>
      <c r="D262" s="26"/>
      <c r="E262" s="471">
        <f t="shared" si="17"/>
        <v>15169</v>
      </c>
      <c r="F262" s="16">
        <f t="shared" si="18"/>
        <v>0</v>
      </c>
      <c r="G262" s="8">
        <f t="shared" si="13"/>
        <v>0</v>
      </c>
    </row>
    <row r="263" spans="1:7" x14ac:dyDescent="0.25">
      <c r="A263" s="17" t="s">
        <v>382</v>
      </c>
      <c r="B263" s="25" t="s">
        <v>342</v>
      </c>
      <c r="C263" s="14" t="s">
        <v>14</v>
      </c>
      <c r="D263" s="26"/>
      <c r="E263" s="471">
        <f t="shared" ref="E263:E268" si="19">+E244</f>
        <v>24053</v>
      </c>
      <c r="F263" s="16">
        <f t="shared" si="18"/>
        <v>0</v>
      </c>
      <c r="G263" s="8">
        <f t="shared" si="13"/>
        <v>0</v>
      </c>
    </row>
    <row r="264" spans="1:7" x14ac:dyDescent="0.25">
      <c r="A264" s="17" t="s">
        <v>383</v>
      </c>
      <c r="B264" s="25" t="s">
        <v>343</v>
      </c>
      <c r="C264" s="14" t="s">
        <v>14</v>
      </c>
      <c r="D264" s="26"/>
      <c r="E264" s="471">
        <f t="shared" si="19"/>
        <v>28319</v>
      </c>
      <c r="F264" s="16">
        <f t="shared" si="18"/>
        <v>0</v>
      </c>
      <c r="G264" s="8">
        <f t="shared" si="13"/>
        <v>0</v>
      </c>
    </row>
    <row r="265" spans="1:7" x14ac:dyDescent="0.25">
      <c r="A265" s="17" t="s">
        <v>384</v>
      </c>
      <c r="B265" s="25" t="s">
        <v>344</v>
      </c>
      <c r="C265" s="14" t="s">
        <v>14</v>
      </c>
      <c r="D265" s="26"/>
      <c r="E265" s="471">
        <f t="shared" si="19"/>
        <v>33693</v>
      </c>
      <c r="F265" s="16">
        <f t="shared" si="18"/>
        <v>0</v>
      </c>
      <c r="G265" s="8">
        <f t="shared" si="13"/>
        <v>0</v>
      </c>
    </row>
    <row r="266" spans="1:7" x14ac:dyDescent="0.25">
      <c r="A266" s="17" t="s">
        <v>385</v>
      </c>
      <c r="B266" s="25" t="s">
        <v>345</v>
      </c>
      <c r="C266" s="14" t="s">
        <v>14</v>
      </c>
      <c r="D266" s="26"/>
      <c r="E266" s="471">
        <f t="shared" si="19"/>
        <v>41671</v>
      </c>
      <c r="F266" s="16">
        <f t="shared" si="18"/>
        <v>0</v>
      </c>
      <c r="G266" s="8">
        <f t="shared" si="13"/>
        <v>0</v>
      </c>
    </row>
    <row r="267" spans="1:7" x14ac:dyDescent="0.25">
      <c r="A267" s="17" t="s">
        <v>386</v>
      </c>
      <c r="B267" s="25" t="s">
        <v>346</v>
      </c>
      <c r="C267" s="14" t="s">
        <v>14</v>
      </c>
      <c r="D267" s="26"/>
      <c r="E267" s="471">
        <f t="shared" si="19"/>
        <v>48370</v>
      </c>
      <c r="F267" s="16">
        <f t="shared" si="18"/>
        <v>0</v>
      </c>
      <c r="G267" s="8">
        <f t="shared" ref="G267:G330" si="20">+IF(F267&lt;&gt;0,1,0)</f>
        <v>0</v>
      </c>
    </row>
    <row r="268" spans="1:7" x14ac:dyDescent="0.25">
      <c r="A268" s="17" t="s">
        <v>387</v>
      </c>
      <c r="B268" s="25" t="s">
        <v>347</v>
      </c>
      <c r="C268" s="14" t="s">
        <v>14</v>
      </c>
      <c r="D268" s="26"/>
      <c r="E268" s="471">
        <f t="shared" si="19"/>
        <v>0</v>
      </c>
      <c r="F268" s="16">
        <f t="shared" si="18"/>
        <v>0</v>
      </c>
      <c r="G268" s="8">
        <f t="shared" si="20"/>
        <v>0</v>
      </c>
    </row>
    <row r="269" spans="1:7" x14ac:dyDescent="0.25">
      <c r="A269" s="17" t="s">
        <v>388</v>
      </c>
      <c r="B269" s="25" t="s">
        <v>348</v>
      </c>
      <c r="C269" s="14" t="s">
        <v>14</v>
      </c>
      <c r="D269" s="26"/>
      <c r="E269" s="15"/>
      <c r="F269" s="16">
        <f t="shared" si="18"/>
        <v>0</v>
      </c>
      <c r="G269" s="8">
        <f t="shared" si="20"/>
        <v>0</v>
      </c>
    </row>
    <row r="270" spans="1:7" x14ac:dyDescent="0.25">
      <c r="A270" s="17" t="s">
        <v>389</v>
      </c>
      <c r="B270" s="25" t="s">
        <v>349</v>
      </c>
      <c r="C270" s="14" t="s">
        <v>14</v>
      </c>
      <c r="D270" s="26"/>
      <c r="E270" s="15"/>
      <c r="F270" s="16">
        <f t="shared" si="18"/>
        <v>0</v>
      </c>
      <c r="G270" s="8">
        <f t="shared" si="20"/>
        <v>0</v>
      </c>
    </row>
    <row r="271" spans="1:7" x14ac:dyDescent="0.25">
      <c r="A271" s="17" t="s">
        <v>390</v>
      </c>
      <c r="B271" s="25" t="s">
        <v>350</v>
      </c>
      <c r="C271" s="14" t="s">
        <v>14</v>
      </c>
      <c r="D271" s="26"/>
      <c r="E271" s="15"/>
      <c r="F271" s="16">
        <f t="shared" si="18"/>
        <v>0</v>
      </c>
      <c r="G271" s="8">
        <f t="shared" si="20"/>
        <v>0</v>
      </c>
    </row>
    <row r="272" spans="1:7" x14ac:dyDescent="0.25">
      <c r="A272" s="17" t="s">
        <v>391</v>
      </c>
      <c r="B272" s="25" t="s">
        <v>351</v>
      </c>
      <c r="C272" s="14" t="s">
        <v>14</v>
      </c>
      <c r="D272" s="26"/>
      <c r="E272" s="15"/>
      <c r="F272" s="16">
        <f t="shared" si="18"/>
        <v>0</v>
      </c>
      <c r="G272" s="8">
        <f t="shared" si="20"/>
        <v>0</v>
      </c>
    </row>
    <row r="273" spans="1:7" x14ac:dyDescent="0.25">
      <c r="A273" s="17" t="s">
        <v>392</v>
      </c>
      <c r="B273" s="25" t="s">
        <v>352</v>
      </c>
      <c r="C273" s="14" t="s">
        <v>14</v>
      </c>
      <c r="D273" s="26"/>
      <c r="E273" s="15"/>
      <c r="F273" s="16">
        <f t="shared" si="18"/>
        <v>0</v>
      </c>
      <c r="G273" s="8">
        <f t="shared" si="20"/>
        <v>0</v>
      </c>
    </row>
    <row r="274" spans="1:7" x14ac:dyDescent="0.25">
      <c r="A274" s="17" t="s">
        <v>393</v>
      </c>
      <c r="B274" s="25" t="s">
        <v>353</v>
      </c>
      <c r="C274" s="14" t="s">
        <v>14</v>
      </c>
      <c r="D274" s="26"/>
      <c r="E274" s="15"/>
      <c r="F274" s="16">
        <f t="shared" si="18"/>
        <v>0</v>
      </c>
      <c r="G274" s="8">
        <f t="shared" si="20"/>
        <v>0</v>
      </c>
    </row>
    <row r="275" spans="1:7" x14ac:dyDescent="0.25">
      <c r="A275" s="17" t="s">
        <v>394</v>
      </c>
      <c r="B275" s="25" t="s">
        <v>354</v>
      </c>
      <c r="C275" s="14" t="s">
        <v>14</v>
      </c>
      <c r="D275" s="26"/>
      <c r="E275" s="15"/>
      <c r="F275" s="16">
        <f t="shared" si="18"/>
        <v>0</v>
      </c>
      <c r="G275" s="8">
        <f t="shared" si="20"/>
        <v>0</v>
      </c>
    </row>
    <row r="276" spans="1:7" x14ac:dyDescent="0.25">
      <c r="A276" s="12" t="s">
        <v>395</v>
      </c>
      <c r="B276" s="46" t="s">
        <v>396</v>
      </c>
      <c r="C276" s="14"/>
      <c r="D276" s="26"/>
      <c r="E276" s="15"/>
      <c r="F276" s="16"/>
      <c r="G276" s="8">
        <v>1</v>
      </c>
    </row>
    <row r="277" spans="1:7" x14ac:dyDescent="0.25">
      <c r="A277" s="17" t="s">
        <v>397</v>
      </c>
      <c r="B277" s="49" t="s">
        <v>6195</v>
      </c>
      <c r="C277" s="14" t="s">
        <v>37</v>
      </c>
      <c r="D277" s="26"/>
      <c r="E277" s="15"/>
      <c r="F277" s="16">
        <f t="shared" ref="F277:F288" si="21">+D277*E277</f>
        <v>0</v>
      </c>
      <c r="G277" s="8">
        <f t="shared" si="20"/>
        <v>0</v>
      </c>
    </row>
    <row r="278" spans="1:7" x14ac:dyDescent="0.25">
      <c r="A278" s="17" t="s">
        <v>398</v>
      </c>
      <c r="B278" s="49" t="s">
        <v>6196</v>
      </c>
      <c r="C278" s="14" t="s">
        <v>37</v>
      </c>
      <c r="D278" s="26"/>
      <c r="E278" s="15"/>
      <c r="F278" s="16">
        <f t="shared" si="21"/>
        <v>0</v>
      </c>
      <c r="G278" s="8">
        <f t="shared" si="20"/>
        <v>0</v>
      </c>
    </row>
    <row r="279" spans="1:7" x14ac:dyDescent="0.25">
      <c r="A279" s="17" t="s">
        <v>399</v>
      </c>
      <c r="B279" s="49" t="s">
        <v>6197</v>
      </c>
      <c r="C279" s="14" t="s">
        <v>37</v>
      </c>
      <c r="D279" s="26">
        <v>10</v>
      </c>
      <c r="E279" s="15">
        <f>+'APU CAP 3'!X1617</f>
        <v>9453</v>
      </c>
      <c r="F279" s="16">
        <f t="shared" si="21"/>
        <v>94530</v>
      </c>
      <c r="G279" s="8">
        <f t="shared" si="20"/>
        <v>1</v>
      </c>
    </row>
    <row r="280" spans="1:7" x14ac:dyDescent="0.25">
      <c r="A280" s="17" t="s">
        <v>400</v>
      </c>
      <c r="B280" s="49" t="s">
        <v>6198</v>
      </c>
      <c r="C280" s="14" t="s">
        <v>37</v>
      </c>
      <c r="D280" s="26">
        <v>26</v>
      </c>
      <c r="E280" s="15">
        <f>+'APU CAP 3'!H1671</f>
        <v>18913</v>
      </c>
      <c r="F280" s="16">
        <f t="shared" si="21"/>
        <v>491738</v>
      </c>
      <c r="G280" s="8">
        <f t="shared" si="20"/>
        <v>1</v>
      </c>
    </row>
    <row r="281" spans="1:7" x14ac:dyDescent="0.25">
      <c r="A281" s="17" t="s">
        <v>401</v>
      </c>
      <c r="B281" s="49" t="s">
        <v>6199</v>
      </c>
      <c r="C281" s="14" t="s">
        <v>37</v>
      </c>
      <c r="D281" s="26"/>
      <c r="E281" s="15">
        <f>+'APU CAP 3'!P1671</f>
        <v>21310</v>
      </c>
      <c r="F281" s="16">
        <f t="shared" si="21"/>
        <v>0</v>
      </c>
      <c r="G281" s="8">
        <f t="shared" si="20"/>
        <v>0</v>
      </c>
    </row>
    <row r="282" spans="1:7" x14ac:dyDescent="0.25">
      <c r="A282" s="17" t="s">
        <v>402</v>
      </c>
      <c r="B282" s="49" t="s">
        <v>6200</v>
      </c>
      <c r="C282" s="14" t="s">
        <v>37</v>
      </c>
      <c r="D282" s="26">
        <v>6</v>
      </c>
      <c r="E282" s="15">
        <f>+'APU CAP 3'!X1671</f>
        <v>24906</v>
      </c>
      <c r="F282" s="16">
        <f t="shared" si="21"/>
        <v>149436</v>
      </c>
      <c r="G282" s="8">
        <f t="shared" si="20"/>
        <v>1</v>
      </c>
    </row>
    <row r="283" spans="1:7" x14ac:dyDescent="0.25">
      <c r="A283" s="17" t="s">
        <v>403</v>
      </c>
      <c r="B283" s="49" t="s">
        <v>6201</v>
      </c>
      <c r="C283" s="14" t="s">
        <v>37</v>
      </c>
      <c r="D283" s="26"/>
      <c r="E283" s="15">
        <f>+'APU CAP 3'!H1725</f>
        <v>36089</v>
      </c>
      <c r="F283" s="16">
        <f t="shared" si="21"/>
        <v>0</v>
      </c>
      <c r="G283" s="8">
        <f t="shared" si="20"/>
        <v>0</v>
      </c>
    </row>
    <row r="284" spans="1:7" x14ac:dyDescent="0.25">
      <c r="A284" s="17" t="s">
        <v>6207</v>
      </c>
      <c r="B284" s="49" t="s">
        <v>6202</v>
      </c>
      <c r="C284" s="14" t="s">
        <v>37</v>
      </c>
      <c r="D284" s="26">
        <v>4</v>
      </c>
      <c r="E284" s="15">
        <f>+'APU CAP 3'!P1725</f>
        <v>40185</v>
      </c>
      <c r="F284" s="16">
        <f t="shared" si="21"/>
        <v>160740</v>
      </c>
      <c r="G284" s="8">
        <f t="shared" si="20"/>
        <v>1</v>
      </c>
    </row>
    <row r="285" spans="1:7" x14ac:dyDescent="0.25">
      <c r="A285" s="17" t="s">
        <v>6208</v>
      </c>
      <c r="B285" s="49" t="s">
        <v>6203</v>
      </c>
      <c r="C285" s="14" t="s">
        <v>37</v>
      </c>
      <c r="D285" s="26">
        <v>3</v>
      </c>
      <c r="E285" s="15">
        <f>+'APU CAP 3'!X1725</f>
        <v>46678</v>
      </c>
      <c r="F285" s="16">
        <f t="shared" si="21"/>
        <v>140034</v>
      </c>
      <c r="G285" s="8">
        <f t="shared" si="20"/>
        <v>1</v>
      </c>
    </row>
    <row r="286" spans="1:7" x14ac:dyDescent="0.25">
      <c r="A286" s="17" t="s">
        <v>6209</v>
      </c>
      <c r="B286" s="49" t="s">
        <v>6204</v>
      </c>
      <c r="C286" s="14" t="s">
        <v>37</v>
      </c>
      <c r="D286" s="26"/>
      <c r="E286" s="15"/>
      <c r="F286" s="16">
        <f t="shared" si="21"/>
        <v>0</v>
      </c>
      <c r="G286" s="8">
        <f t="shared" si="20"/>
        <v>0</v>
      </c>
    </row>
    <row r="287" spans="1:7" x14ac:dyDescent="0.25">
      <c r="A287" s="17" t="s">
        <v>6210</v>
      </c>
      <c r="B287" s="49" t="s">
        <v>6205</v>
      </c>
      <c r="C287" s="14" t="s">
        <v>37</v>
      </c>
      <c r="D287" s="26"/>
      <c r="E287" s="15"/>
      <c r="F287" s="16">
        <f t="shared" si="21"/>
        <v>0</v>
      </c>
      <c r="G287" s="8">
        <f t="shared" si="20"/>
        <v>0</v>
      </c>
    </row>
    <row r="288" spans="1:7" x14ac:dyDescent="0.25">
      <c r="A288" s="17" t="s">
        <v>6211</v>
      </c>
      <c r="B288" s="49" t="s">
        <v>6206</v>
      </c>
      <c r="C288" s="14" t="s">
        <v>37</v>
      </c>
      <c r="D288" s="26"/>
      <c r="E288" s="15"/>
      <c r="F288" s="16">
        <f t="shared" si="21"/>
        <v>0</v>
      </c>
      <c r="G288" s="8">
        <f t="shared" si="20"/>
        <v>0</v>
      </c>
    </row>
    <row r="289" spans="1:7" x14ac:dyDescent="0.25">
      <c r="A289" s="12" t="s">
        <v>38</v>
      </c>
      <c r="B289" s="13" t="s">
        <v>404</v>
      </c>
      <c r="C289" s="14"/>
      <c r="D289" s="14"/>
      <c r="E289" s="15"/>
      <c r="F289" s="16"/>
      <c r="G289" s="8">
        <v>1</v>
      </c>
    </row>
    <row r="290" spans="1:7" x14ac:dyDescent="0.25">
      <c r="A290" s="27" t="s">
        <v>39</v>
      </c>
      <c r="B290" s="28" t="s">
        <v>6065</v>
      </c>
      <c r="C290" s="26"/>
      <c r="D290" s="26"/>
      <c r="E290" s="29"/>
      <c r="F290" s="30"/>
      <c r="G290" s="8">
        <f t="shared" si="20"/>
        <v>0</v>
      </c>
    </row>
    <row r="291" spans="1:7" x14ac:dyDescent="0.25">
      <c r="A291" s="31" t="s">
        <v>408</v>
      </c>
      <c r="B291" s="32" t="s">
        <v>6212</v>
      </c>
      <c r="C291" s="26" t="s">
        <v>37</v>
      </c>
      <c r="D291" s="26"/>
      <c r="E291" s="29">
        <f>+'APU CAP 3'!H1779</f>
        <v>72446</v>
      </c>
      <c r="F291" s="16">
        <f t="shared" ref="F291:F306" si="22">+D291*E291</f>
        <v>0</v>
      </c>
      <c r="G291" s="8">
        <f t="shared" si="20"/>
        <v>0</v>
      </c>
    </row>
    <row r="292" spans="1:7" x14ac:dyDescent="0.25">
      <c r="A292" s="31" t="s">
        <v>409</v>
      </c>
      <c r="B292" s="32" t="s">
        <v>6213</v>
      </c>
      <c r="C292" s="26" t="s">
        <v>37</v>
      </c>
      <c r="D292" s="26">
        <v>1</v>
      </c>
      <c r="E292" s="29">
        <f>+'APU CAP 3'!H1833</f>
        <v>77036</v>
      </c>
      <c r="F292" s="16">
        <f t="shared" si="22"/>
        <v>77036</v>
      </c>
      <c r="G292" s="8">
        <f t="shared" si="20"/>
        <v>1</v>
      </c>
    </row>
    <row r="293" spans="1:7" x14ac:dyDescent="0.25">
      <c r="A293" s="31" t="s">
        <v>40</v>
      </c>
      <c r="B293" s="32" t="s">
        <v>6066</v>
      </c>
      <c r="C293" s="26" t="s">
        <v>37</v>
      </c>
      <c r="D293" s="26"/>
      <c r="E293" s="29">
        <f>+'APU CAP 3'!P1887</f>
        <v>129880</v>
      </c>
      <c r="F293" s="16">
        <f t="shared" si="22"/>
        <v>0</v>
      </c>
      <c r="G293" s="8">
        <f t="shared" si="20"/>
        <v>0</v>
      </c>
    </row>
    <row r="294" spans="1:7" x14ac:dyDescent="0.25">
      <c r="A294" s="31" t="s">
        <v>410</v>
      </c>
      <c r="B294" s="32" t="s">
        <v>6067</v>
      </c>
      <c r="C294" s="26" t="s">
        <v>37</v>
      </c>
      <c r="D294" s="26"/>
      <c r="E294" s="29"/>
      <c r="F294" s="16">
        <f t="shared" si="22"/>
        <v>0</v>
      </c>
      <c r="G294" s="8">
        <f t="shared" si="20"/>
        <v>0</v>
      </c>
    </row>
    <row r="295" spans="1:7" x14ac:dyDescent="0.25">
      <c r="A295" s="31" t="s">
        <v>411</v>
      </c>
      <c r="B295" s="32" t="s">
        <v>6069</v>
      </c>
      <c r="C295" s="26" t="s">
        <v>37</v>
      </c>
      <c r="D295" s="26"/>
      <c r="E295" s="29"/>
      <c r="F295" s="16">
        <f t="shared" si="22"/>
        <v>0</v>
      </c>
      <c r="G295" s="8">
        <f t="shared" si="20"/>
        <v>0</v>
      </c>
    </row>
    <row r="296" spans="1:7" x14ac:dyDescent="0.25">
      <c r="A296" s="31" t="s">
        <v>412</v>
      </c>
      <c r="B296" s="32" t="s">
        <v>6068</v>
      </c>
      <c r="C296" s="26" t="s">
        <v>37</v>
      </c>
      <c r="D296" s="26"/>
      <c r="E296" s="29"/>
      <c r="F296" s="16">
        <f t="shared" si="22"/>
        <v>0</v>
      </c>
      <c r="G296" s="8">
        <f t="shared" si="20"/>
        <v>0</v>
      </c>
    </row>
    <row r="297" spans="1:7" x14ac:dyDescent="0.25">
      <c r="A297" s="31" t="s">
        <v>413</v>
      </c>
      <c r="B297" s="32" t="s">
        <v>6070</v>
      </c>
      <c r="C297" s="26" t="s">
        <v>37</v>
      </c>
      <c r="D297" s="26"/>
      <c r="E297" s="29"/>
      <c r="F297" s="16">
        <f t="shared" si="22"/>
        <v>0</v>
      </c>
      <c r="G297" s="8">
        <f t="shared" si="20"/>
        <v>0</v>
      </c>
    </row>
    <row r="298" spans="1:7" x14ac:dyDescent="0.25">
      <c r="A298" s="31" t="s">
        <v>414</v>
      </c>
      <c r="B298" s="32" t="s">
        <v>6071</v>
      </c>
      <c r="C298" s="26" t="s">
        <v>37</v>
      </c>
      <c r="D298" s="26"/>
      <c r="E298" s="29"/>
      <c r="F298" s="16">
        <f t="shared" si="22"/>
        <v>0</v>
      </c>
      <c r="G298" s="8">
        <f t="shared" si="20"/>
        <v>0</v>
      </c>
    </row>
    <row r="299" spans="1:7" x14ac:dyDescent="0.25">
      <c r="A299" s="31" t="s">
        <v>415</v>
      </c>
      <c r="B299" s="32" t="s">
        <v>6214</v>
      </c>
      <c r="C299" s="26" t="s">
        <v>37</v>
      </c>
      <c r="D299" s="26"/>
      <c r="E299" s="29">
        <f>+'APU CAP 3'!H1887</f>
        <v>118326</v>
      </c>
      <c r="F299" s="16">
        <f t="shared" si="22"/>
        <v>0</v>
      </c>
      <c r="G299" s="8">
        <f t="shared" si="20"/>
        <v>0</v>
      </c>
    </row>
    <row r="300" spans="1:7" x14ac:dyDescent="0.25">
      <c r="A300" s="31" t="s">
        <v>416</v>
      </c>
      <c r="B300" s="32" t="s">
        <v>6215</v>
      </c>
      <c r="C300" s="26" t="s">
        <v>37</v>
      </c>
      <c r="D300" s="26"/>
      <c r="E300" s="29">
        <f>+'APU CAP 3'!H1941</f>
        <v>171706</v>
      </c>
      <c r="F300" s="16">
        <f t="shared" si="22"/>
        <v>0</v>
      </c>
      <c r="G300" s="8">
        <f t="shared" si="20"/>
        <v>0</v>
      </c>
    </row>
    <row r="301" spans="1:7" x14ac:dyDescent="0.25">
      <c r="A301" s="31" t="s">
        <v>417</v>
      </c>
      <c r="B301" s="32" t="s">
        <v>6072</v>
      </c>
      <c r="C301" s="26" t="s">
        <v>37</v>
      </c>
      <c r="D301" s="26"/>
      <c r="E301" s="29"/>
      <c r="F301" s="16">
        <f t="shared" si="22"/>
        <v>0</v>
      </c>
      <c r="G301" s="8">
        <f t="shared" si="20"/>
        <v>0</v>
      </c>
    </row>
    <row r="302" spans="1:7" x14ac:dyDescent="0.25">
      <c r="A302" s="31" t="s">
        <v>418</v>
      </c>
      <c r="B302" s="32" t="s">
        <v>6073</v>
      </c>
      <c r="C302" s="26" t="s">
        <v>37</v>
      </c>
      <c r="D302" s="26"/>
      <c r="E302" s="29"/>
      <c r="F302" s="16">
        <f t="shared" si="22"/>
        <v>0</v>
      </c>
      <c r="G302" s="8">
        <f t="shared" si="20"/>
        <v>0</v>
      </c>
    </row>
    <row r="303" spans="1:7" x14ac:dyDescent="0.25">
      <c r="A303" s="31" t="s">
        <v>419</v>
      </c>
      <c r="B303" s="32" t="s">
        <v>6074</v>
      </c>
      <c r="C303" s="26" t="s">
        <v>37</v>
      </c>
      <c r="D303" s="26"/>
      <c r="E303" s="29"/>
      <c r="F303" s="16">
        <f t="shared" si="22"/>
        <v>0</v>
      </c>
      <c r="G303" s="8">
        <f t="shared" si="20"/>
        <v>0</v>
      </c>
    </row>
    <row r="304" spans="1:7" x14ac:dyDescent="0.25">
      <c r="A304" s="31" t="s">
        <v>420</v>
      </c>
      <c r="B304" s="32" t="s">
        <v>6075</v>
      </c>
      <c r="C304" s="26" t="s">
        <v>37</v>
      </c>
      <c r="D304" s="26"/>
      <c r="E304" s="29"/>
      <c r="F304" s="16">
        <f t="shared" si="22"/>
        <v>0</v>
      </c>
      <c r="G304" s="8">
        <f t="shared" si="20"/>
        <v>0</v>
      </c>
    </row>
    <row r="305" spans="1:7" x14ac:dyDescent="0.25">
      <c r="A305" s="31" t="s">
        <v>421</v>
      </c>
      <c r="B305" s="32" t="s">
        <v>6076</v>
      </c>
      <c r="C305" s="26" t="s">
        <v>37</v>
      </c>
      <c r="D305" s="26"/>
      <c r="E305" s="29"/>
      <c r="F305" s="16">
        <f t="shared" si="22"/>
        <v>0</v>
      </c>
      <c r="G305" s="8">
        <f t="shared" si="20"/>
        <v>0</v>
      </c>
    </row>
    <row r="306" spans="1:7" x14ac:dyDescent="0.25">
      <c r="A306" s="31" t="s">
        <v>422</v>
      </c>
      <c r="B306" s="32" t="s">
        <v>6077</v>
      </c>
      <c r="C306" s="26" t="s">
        <v>37</v>
      </c>
      <c r="D306" s="26"/>
      <c r="E306" s="29"/>
      <c r="F306" s="16">
        <f t="shared" si="22"/>
        <v>0</v>
      </c>
      <c r="G306" s="8">
        <f t="shared" si="20"/>
        <v>0</v>
      </c>
    </row>
    <row r="307" spans="1:7" x14ac:dyDescent="0.25">
      <c r="A307" s="27" t="s">
        <v>6078</v>
      </c>
      <c r="B307" s="455" t="s">
        <v>6079</v>
      </c>
      <c r="C307" s="26"/>
      <c r="D307" s="26"/>
      <c r="E307" s="456"/>
      <c r="F307" s="457"/>
      <c r="G307" s="8">
        <v>1</v>
      </c>
    </row>
    <row r="308" spans="1:7" x14ac:dyDescent="0.25">
      <c r="A308" s="31" t="s">
        <v>6080</v>
      </c>
      <c r="B308" s="32" t="s">
        <v>6081</v>
      </c>
      <c r="C308" s="26" t="s">
        <v>37</v>
      </c>
      <c r="D308" s="26">
        <v>23</v>
      </c>
      <c r="E308" s="456">
        <f>+'APU CAP 3'!P1779</f>
        <v>72446</v>
      </c>
      <c r="F308" s="457">
        <f t="shared" ref="F308:F327" si="23">+D308*E308</f>
        <v>1666258</v>
      </c>
      <c r="G308" s="8">
        <f t="shared" si="20"/>
        <v>1</v>
      </c>
    </row>
    <row r="309" spans="1:7" x14ac:dyDescent="0.25">
      <c r="A309" s="31" t="s">
        <v>6082</v>
      </c>
      <c r="B309" s="32" t="s">
        <v>6083</v>
      </c>
      <c r="C309" s="26" t="s">
        <v>37</v>
      </c>
      <c r="D309" s="26">
        <v>1</v>
      </c>
      <c r="E309" s="456">
        <f>+'APU CAP 3'!P1833</f>
        <v>79036</v>
      </c>
      <c r="F309" s="457">
        <f t="shared" si="23"/>
        <v>79036</v>
      </c>
      <c r="G309" s="8">
        <f t="shared" si="20"/>
        <v>1</v>
      </c>
    </row>
    <row r="310" spans="1:7" x14ac:dyDescent="0.25">
      <c r="A310" s="31" t="s">
        <v>6084</v>
      </c>
      <c r="B310" s="32" t="s">
        <v>6085</v>
      </c>
      <c r="C310" s="26" t="s">
        <v>37</v>
      </c>
      <c r="D310" s="26"/>
      <c r="E310" s="456">
        <f>+'APU CAP 3'!P1887</f>
        <v>129880</v>
      </c>
      <c r="F310" s="457">
        <f t="shared" si="23"/>
        <v>0</v>
      </c>
      <c r="G310" s="8">
        <f t="shared" si="20"/>
        <v>0</v>
      </c>
    </row>
    <row r="311" spans="1:7" x14ac:dyDescent="0.25">
      <c r="A311" s="31" t="s">
        <v>6086</v>
      </c>
      <c r="B311" s="32" t="s">
        <v>6087</v>
      </c>
      <c r="C311" s="26" t="s">
        <v>37</v>
      </c>
      <c r="D311" s="26"/>
      <c r="E311" s="456"/>
      <c r="F311" s="457">
        <f t="shared" si="23"/>
        <v>0</v>
      </c>
      <c r="G311" s="8">
        <f t="shared" si="20"/>
        <v>0</v>
      </c>
    </row>
    <row r="312" spans="1:7" x14ac:dyDescent="0.25">
      <c r="A312" s="31" t="s">
        <v>6088</v>
      </c>
      <c r="B312" s="32" t="s">
        <v>6089</v>
      </c>
      <c r="C312" s="26" t="s">
        <v>37</v>
      </c>
      <c r="D312" s="26">
        <v>6</v>
      </c>
      <c r="E312" s="456">
        <f>+'APU CAP 3'!X1779</f>
        <v>75036</v>
      </c>
      <c r="F312" s="457">
        <f t="shared" si="23"/>
        <v>450216</v>
      </c>
      <c r="G312" s="8">
        <f t="shared" si="20"/>
        <v>1</v>
      </c>
    </row>
    <row r="313" spans="1:7" x14ac:dyDescent="0.25">
      <c r="A313" s="31" t="s">
        <v>6090</v>
      </c>
      <c r="B313" s="32" t="s">
        <v>6091</v>
      </c>
      <c r="C313" s="26" t="s">
        <v>37</v>
      </c>
      <c r="D313" s="26">
        <v>1</v>
      </c>
      <c r="E313" s="456">
        <f>+'APU CAP 3'!X1833</f>
        <v>87510</v>
      </c>
      <c r="F313" s="457">
        <f t="shared" si="23"/>
        <v>87510</v>
      </c>
      <c r="G313" s="8">
        <f t="shared" si="20"/>
        <v>1</v>
      </c>
    </row>
    <row r="314" spans="1:7" x14ac:dyDescent="0.25">
      <c r="A314" s="31" t="s">
        <v>6092</v>
      </c>
      <c r="B314" s="32" t="s">
        <v>6093</v>
      </c>
      <c r="C314" s="26" t="s">
        <v>37</v>
      </c>
      <c r="D314" s="26">
        <v>3</v>
      </c>
      <c r="E314" s="456">
        <f>+'APU CAP 3'!X1887</f>
        <v>157302</v>
      </c>
      <c r="F314" s="457">
        <f t="shared" si="23"/>
        <v>471906</v>
      </c>
      <c r="G314" s="8">
        <f t="shared" si="20"/>
        <v>1</v>
      </c>
    </row>
    <row r="315" spans="1:7" x14ac:dyDescent="0.25">
      <c r="A315" s="31" t="s">
        <v>6094</v>
      </c>
      <c r="B315" s="32" t="s">
        <v>6095</v>
      </c>
      <c r="C315" s="26" t="s">
        <v>37</v>
      </c>
      <c r="D315" s="26"/>
      <c r="E315" s="456"/>
      <c r="F315" s="457">
        <f t="shared" si="23"/>
        <v>0</v>
      </c>
      <c r="G315" s="8">
        <f t="shared" si="20"/>
        <v>0</v>
      </c>
    </row>
    <row r="316" spans="1:7" x14ac:dyDescent="0.25">
      <c r="A316" s="31" t="s">
        <v>6096</v>
      </c>
      <c r="B316" s="32" t="s">
        <v>6097</v>
      </c>
      <c r="C316" s="26" t="s">
        <v>37</v>
      </c>
      <c r="D316" s="26">
        <v>1</v>
      </c>
      <c r="E316" s="456">
        <f>+'APU CAP 3'!AF1779</f>
        <v>87510</v>
      </c>
      <c r="F316" s="457">
        <f t="shared" si="23"/>
        <v>87510</v>
      </c>
      <c r="G316" s="8">
        <f t="shared" si="20"/>
        <v>1</v>
      </c>
    </row>
    <row r="317" spans="1:7" x14ac:dyDescent="0.25">
      <c r="A317" s="31" t="s">
        <v>6098</v>
      </c>
      <c r="B317" s="32" t="s">
        <v>6099</v>
      </c>
      <c r="C317" s="26" t="s">
        <v>37</v>
      </c>
      <c r="D317" s="26"/>
      <c r="E317" s="456">
        <f>+'APU CAP 3'!AF1833</f>
        <v>103458</v>
      </c>
      <c r="F317" s="457">
        <f t="shared" si="23"/>
        <v>0</v>
      </c>
      <c r="G317" s="8">
        <f t="shared" si="20"/>
        <v>0</v>
      </c>
    </row>
    <row r="318" spans="1:7" x14ac:dyDescent="0.25">
      <c r="A318" s="31" t="s">
        <v>6100</v>
      </c>
      <c r="B318" s="32" t="s">
        <v>6101</v>
      </c>
      <c r="C318" s="26" t="s">
        <v>37</v>
      </c>
      <c r="D318" s="26"/>
      <c r="E318" s="456">
        <f>+'APU CAP 3'!AF1887</f>
        <v>177250</v>
      </c>
      <c r="F318" s="457">
        <f t="shared" si="23"/>
        <v>0</v>
      </c>
      <c r="G318" s="8">
        <f t="shared" si="20"/>
        <v>0</v>
      </c>
    </row>
    <row r="319" spans="1:7" x14ac:dyDescent="0.25">
      <c r="A319" s="31" t="s">
        <v>6102</v>
      </c>
      <c r="B319" s="32" t="s">
        <v>6103</v>
      </c>
      <c r="C319" s="26" t="s">
        <v>37</v>
      </c>
      <c r="D319" s="26"/>
      <c r="E319" s="456"/>
      <c r="F319" s="457">
        <f t="shared" si="23"/>
        <v>0</v>
      </c>
      <c r="G319" s="8">
        <f t="shared" si="20"/>
        <v>0</v>
      </c>
    </row>
    <row r="320" spans="1:7" x14ac:dyDescent="0.25">
      <c r="A320" s="31" t="s">
        <v>6104</v>
      </c>
      <c r="B320" s="32" t="s">
        <v>6105</v>
      </c>
      <c r="C320" s="26" t="s">
        <v>37</v>
      </c>
      <c r="D320" s="26">
        <v>4</v>
      </c>
      <c r="E320" s="456">
        <f>+'APU CAP 3'!AN1779</f>
        <v>103458</v>
      </c>
      <c r="F320" s="457">
        <f t="shared" si="23"/>
        <v>413832</v>
      </c>
      <c r="G320" s="8">
        <f t="shared" si="20"/>
        <v>1</v>
      </c>
    </row>
    <row r="321" spans="1:7" x14ac:dyDescent="0.25">
      <c r="A321" s="31" t="s">
        <v>6106</v>
      </c>
      <c r="B321" s="32" t="s">
        <v>6107</v>
      </c>
      <c r="C321" s="26" t="s">
        <v>37</v>
      </c>
      <c r="D321" s="26"/>
      <c r="E321" s="456">
        <f>+'APU CAP 3'!AN1833</f>
        <v>127380</v>
      </c>
      <c r="F321" s="457">
        <f t="shared" si="23"/>
        <v>0</v>
      </c>
      <c r="G321" s="8">
        <f t="shared" si="20"/>
        <v>0</v>
      </c>
    </row>
    <row r="322" spans="1:7" x14ac:dyDescent="0.25">
      <c r="A322" s="31" t="s">
        <v>6108</v>
      </c>
      <c r="B322" s="32" t="s">
        <v>6109</v>
      </c>
      <c r="C322" s="26" t="s">
        <v>37</v>
      </c>
      <c r="D322" s="26"/>
      <c r="E322" s="456">
        <f>+'APU CAP 3'!AN1887</f>
        <v>205935</v>
      </c>
      <c r="F322" s="457">
        <f t="shared" si="23"/>
        <v>0</v>
      </c>
      <c r="G322" s="8">
        <f t="shared" si="20"/>
        <v>0</v>
      </c>
    </row>
    <row r="323" spans="1:7" x14ac:dyDescent="0.25">
      <c r="A323" s="31" t="s">
        <v>6110</v>
      </c>
      <c r="B323" s="32" t="s">
        <v>6111</v>
      </c>
      <c r="C323" s="26" t="s">
        <v>37</v>
      </c>
      <c r="D323" s="26"/>
      <c r="E323" s="456"/>
      <c r="F323" s="457">
        <f t="shared" si="23"/>
        <v>0</v>
      </c>
      <c r="G323" s="8">
        <f t="shared" si="20"/>
        <v>0</v>
      </c>
    </row>
    <row r="324" spans="1:7" x14ac:dyDescent="0.25">
      <c r="A324" s="31" t="s">
        <v>6112</v>
      </c>
      <c r="B324" s="32" t="s">
        <v>6113</v>
      </c>
      <c r="C324" s="26" t="s">
        <v>37</v>
      </c>
      <c r="D324" s="26"/>
      <c r="E324" s="456">
        <f>+'APU CAP 3'!AV1779</f>
        <v>127380</v>
      </c>
      <c r="F324" s="457">
        <f t="shared" si="23"/>
        <v>0</v>
      </c>
      <c r="G324" s="8">
        <f t="shared" si="20"/>
        <v>0</v>
      </c>
    </row>
    <row r="325" spans="1:7" x14ac:dyDescent="0.25">
      <c r="A325" s="31" t="s">
        <v>6114</v>
      </c>
      <c r="B325" s="32" t="s">
        <v>6115</v>
      </c>
      <c r="C325" s="26" t="s">
        <v>37</v>
      </c>
      <c r="D325" s="26">
        <v>4</v>
      </c>
      <c r="E325" s="456">
        <f>+'APU CAP 3'!AV1833</f>
        <v>152302</v>
      </c>
      <c r="F325" s="457">
        <f t="shared" si="23"/>
        <v>609208</v>
      </c>
      <c r="G325" s="8">
        <f t="shared" si="20"/>
        <v>1</v>
      </c>
    </row>
    <row r="326" spans="1:7" x14ac:dyDescent="0.25">
      <c r="A326" s="31" t="s">
        <v>6116</v>
      </c>
      <c r="B326" s="32" t="s">
        <v>6117</v>
      </c>
      <c r="C326" s="26" t="s">
        <v>37</v>
      </c>
      <c r="D326" s="26"/>
      <c r="E326" s="456">
        <f>+'APU CAP 3'!AV1887</f>
        <v>291065</v>
      </c>
      <c r="F326" s="457">
        <f t="shared" si="23"/>
        <v>0</v>
      </c>
      <c r="G326" s="8">
        <f t="shared" si="20"/>
        <v>0</v>
      </c>
    </row>
    <row r="327" spans="1:7" x14ac:dyDescent="0.25">
      <c r="A327" s="31" t="s">
        <v>6118</v>
      </c>
      <c r="B327" s="32" t="s">
        <v>6119</v>
      </c>
      <c r="C327" s="26" t="s">
        <v>37</v>
      </c>
      <c r="D327" s="26"/>
      <c r="E327" s="456"/>
      <c r="F327" s="457">
        <f t="shared" si="23"/>
        <v>0</v>
      </c>
      <c r="G327" s="8">
        <f t="shared" si="20"/>
        <v>0</v>
      </c>
    </row>
    <row r="328" spans="1:7" x14ac:dyDescent="0.25">
      <c r="A328" s="27" t="s">
        <v>423</v>
      </c>
      <c r="B328" s="48" t="s">
        <v>424</v>
      </c>
      <c r="C328" s="26"/>
      <c r="D328" s="26"/>
      <c r="E328" s="29"/>
      <c r="F328" s="30"/>
      <c r="G328" s="8">
        <f t="shared" si="20"/>
        <v>0</v>
      </c>
    </row>
    <row r="329" spans="1:7" x14ac:dyDescent="0.25">
      <c r="A329" s="31" t="s">
        <v>425</v>
      </c>
      <c r="B329" s="47" t="s">
        <v>429</v>
      </c>
      <c r="C329" s="26" t="s">
        <v>37</v>
      </c>
      <c r="D329" s="26"/>
      <c r="E329" s="29"/>
      <c r="F329" s="16">
        <f>+D329*E329</f>
        <v>0</v>
      </c>
      <c r="G329" s="8">
        <f t="shared" si="20"/>
        <v>0</v>
      </c>
    </row>
    <row r="330" spans="1:7" x14ac:dyDescent="0.25">
      <c r="A330" s="31" t="s">
        <v>430</v>
      </c>
      <c r="B330" s="47" t="s">
        <v>426</v>
      </c>
      <c r="C330" s="26" t="s">
        <v>37</v>
      </c>
      <c r="D330" s="26"/>
      <c r="E330" s="29">
        <f>+'APU CAP 3'!H2049</f>
        <v>207729</v>
      </c>
      <c r="F330" s="16">
        <f>+D330*E330</f>
        <v>0</v>
      </c>
      <c r="G330" s="8">
        <f t="shared" si="20"/>
        <v>0</v>
      </c>
    </row>
    <row r="331" spans="1:7" x14ac:dyDescent="0.25">
      <c r="A331" s="31" t="s">
        <v>431</v>
      </c>
      <c r="B331" s="47" t="s">
        <v>427</v>
      </c>
      <c r="C331" s="26" t="s">
        <v>37</v>
      </c>
      <c r="D331" s="26"/>
      <c r="E331" s="29"/>
      <c r="F331" s="16">
        <f>+D331*E331</f>
        <v>0</v>
      </c>
      <c r="G331" s="8">
        <f t="shared" ref="G331:G394" si="24">+IF(F331&lt;&gt;0,1,0)</f>
        <v>0</v>
      </c>
    </row>
    <row r="332" spans="1:7" x14ac:dyDescent="0.25">
      <c r="A332" s="31" t="s">
        <v>432</v>
      </c>
      <c r="B332" s="47" t="s">
        <v>428</v>
      </c>
      <c r="C332" s="26" t="s">
        <v>37</v>
      </c>
      <c r="D332" s="26"/>
      <c r="E332" s="29">
        <f>+'APU CAP 3'!H1995</f>
        <v>275719</v>
      </c>
      <c r="F332" s="16">
        <f>+D332*E332</f>
        <v>0</v>
      </c>
      <c r="G332" s="8">
        <f t="shared" si="24"/>
        <v>0</v>
      </c>
    </row>
    <row r="333" spans="1:7" x14ac:dyDescent="0.25">
      <c r="A333" s="27" t="s">
        <v>41</v>
      </c>
      <c r="B333" s="48" t="s">
        <v>444</v>
      </c>
      <c r="C333" s="26"/>
      <c r="D333" s="26"/>
      <c r="E333" s="29"/>
      <c r="F333" s="30"/>
      <c r="G333" s="8">
        <f t="shared" si="24"/>
        <v>0</v>
      </c>
    </row>
    <row r="334" spans="1:7" x14ac:dyDescent="0.25">
      <c r="A334" s="12" t="s">
        <v>445</v>
      </c>
      <c r="B334" s="13" t="s">
        <v>452</v>
      </c>
      <c r="C334" s="14"/>
      <c r="D334" s="14"/>
      <c r="E334" s="15"/>
      <c r="F334" s="16"/>
      <c r="G334" s="8">
        <v>1</v>
      </c>
    </row>
    <row r="335" spans="1:7" x14ac:dyDescent="0.25">
      <c r="A335" s="17" t="s">
        <v>446</v>
      </c>
      <c r="B335" s="18" t="s">
        <v>433</v>
      </c>
      <c r="C335" s="26" t="s">
        <v>37</v>
      </c>
      <c r="D335" s="14">
        <v>2</v>
      </c>
      <c r="E335" s="15">
        <f>+'APU CAP 3'!H2103</f>
        <v>43956</v>
      </c>
      <c r="F335" s="16">
        <f t="shared" ref="F335:F340" si="25">+D335*E335</f>
        <v>87912</v>
      </c>
      <c r="G335" s="8">
        <f t="shared" si="24"/>
        <v>1</v>
      </c>
    </row>
    <row r="336" spans="1:7" x14ac:dyDescent="0.25">
      <c r="A336" s="17" t="s">
        <v>447</v>
      </c>
      <c r="B336" s="18" t="s">
        <v>439</v>
      </c>
      <c r="C336" s="26" t="s">
        <v>37</v>
      </c>
      <c r="D336" s="14">
        <v>4</v>
      </c>
      <c r="E336" s="15">
        <f>+'APU CAP 3'!H2157</f>
        <v>71359</v>
      </c>
      <c r="F336" s="16">
        <f t="shared" si="25"/>
        <v>285436</v>
      </c>
      <c r="G336" s="8">
        <f t="shared" si="24"/>
        <v>1</v>
      </c>
    </row>
    <row r="337" spans="1:7" x14ac:dyDescent="0.25">
      <c r="A337" s="17" t="s">
        <v>448</v>
      </c>
      <c r="B337" s="18" t="s">
        <v>440</v>
      </c>
      <c r="C337" s="26" t="s">
        <v>37</v>
      </c>
      <c r="D337" s="14"/>
      <c r="E337" s="15">
        <f>+'APU CAP 3'!H2211</f>
        <v>145566</v>
      </c>
      <c r="F337" s="16">
        <f t="shared" si="25"/>
        <v>0</v>
      </c>
      <c r="G337" s="8">
        <f t="shared" si="24"/>
        <v>0</v>
      </c>
    </row>
    <row r="338" spans="1:7" x14ac:dyDescent="0.25">
      <c r="A338" s="17" t="s">
        <v>449</v>
      </c>
      <c r="B338" s="18" t="s">
        <v>441</v>
      </c>
      <c r="C338" s="26" t="s">
        <v>37</v>
      </c>
      <c r="D338" s="14"/>
      <c r="E338" s="15"/>
      <c r="F338" s="16">
        <f t="shared" si="25"/>
        <v>0</v>
      </c>
      <c r="G338" s="8">
        <f t="shared" si="24"/>
        <v>0</v>
      </c>
    </row>
    <row r="339" spans="1:7" x14ac:dyDescent="0.25">
      <c r="A339" s="17" t="s">
        <v>450</v>
      </c>
      <c r="B339" s="18" t="s">
        <v>442</v>
      </c>
      <c r="C339" s="26" t="s">
        <v>37</v>
      </c>
      <c r="D339" s="14"/>
      <c r="E339" s="15"/>
      <c r="F339" s="16">
        <f t="shared" si="25"/>
        <v>0</v>
      </c>
      <c r="G339" s="8">
        <f t="shared" si="24"/>
        <v>0</v>
      </c>
    </row>
    <row r="340" spans="1:7" x14ac:dyDescent="0.25">
      <c r="A340" s="17" t="s">
        <v>451</v>
      </c>
      <c r="B340" s="18" t="s">
        <v>443</v>
      </c>
      <c r="C340" s="26" t="s">
        <v>37</v>
      </c>
      <c r="D340" s="14"/>
      <c r="E340" s="15"/>
      <c r="F340" s="16">
        <f t="shared" si="25"/>
        <v>0</v>
      </c>
      <c r="G340" s="8">
        <f t="shared" si="24"/>
        <v>0</v>
      </c>
    </row>
    <row r="341" spans="1:7" x14ac:dyDescent="0.25">
      <c r="A341" s="12" t="s">
        <v>434</v>
      </c>
      <c r="B341" s="13" t="s">
        <v>453</v>
      </c>
      <c r="C341" s="14"/>
      <c r="D341" s="14"/>
      <c r="E341" s="15"/>
      <c r="F341" s="16"/>
      <c r="G341" s="8">
        <f t="shared" si="24"/>
        <v>0</v>
      </c>
    </row>
    <row r="342" spans="1:7" x14ac:dyDescent="0.25">
      <c r="A342" s="17" t="s">
        <v>454</v>
      </c>
      <c r="B342" s="18" t="s">
        <v>455</v>
      </c>
      <c r="C342" s="26" t="s">
        <v>37</v>
      </c>
      <c r="D342" s="14"/>
      <c r="E342" s="15">
        <f>+'APU CAP 3'!H2373</f>
        <v>15985</v>
      </c>
      <c r="F342" s="16">
        <f>+D342*E342</f>
        <v>0</v>
      </c>
      <c r="G342" s="8">
        <f t="shared" si="24"/>
        <v>0</v>
      </c>
    </row>
    <row r="343" spans="1:7" x14ac:dyDescent="0.25">
      <c r="A343" s="17" t="s">
        <v>457</v>
      </c>
      <c r="B343" s="18" t="s">
        <v>456</v>
      </c>
      <c r="C343" s="26" t="s">
        <v>37</v>
      </c>
      <c r="D343" s="14"/>
      <c r="E343" s="15">
        <f>+'APU CAP 3'!H2427</f>
        <v>16063</v>
      </c>
      <c r="F343" s="16">
        <f>+D343*E343</f>
        <v>0</v>
      </c>
      <c r="G343" s="8">
        <f t="shared" si="24"/>
        <v>0</v>
      </c>
    </row>
    <row r="344" spans="1:7" x14ac:dyDescent="0.25">
      <c r="A344" s="12" t="s">
        <v>435</v>
      </c>
      <c r="B344" s="13" t="s">
        <v>458</v>
      </c>
      <c r="C344" s="14"/>
      <c r="D344" s="14"/>
      <c r="E344" s="15"/>
      <c r="F344" s="16"/>
      <c r="G344" s="8">
        <f t="shared" si="24"/>
        <v>0</v>
      </c>
    </row>
    <row r="345" spans="1:7" x14ac:dyDescent="0.25">
      <c r="A345" s="17" t="s">
        <v>462</v>
      </c>
      <c r="B345" s="18" t="s">
        <v>459</v>
      </c>
      <c r="C345" s="26" t="s">
        <v>37</v>
      </c>
      <c r="D345" s="14"/>
      <c r="E345" s="15"/>
      <c r="F345" s="16">
        <f>+D345*E345</f>
        <v>0</v>
      </c>
      <c r="G345" s="8">
        <f t="shared" si="24"/>
        <v>0</v>
      </c>
    </row>
    <row r="346" spans="1:7" x14ac:dyDescent="0.25">
      <c r="A346" s="17" t="s">
        <v>463</v>
      </c>
      <c r="B346" s="18" t="s">
        <v>460</v>
      </c>
      <c r="C346" s="26" t="s">
        <v>37</v>
      </c>
      <c r="D346" s="14"/>
      <c r="E346" s="15"/>
      <c r="F346" s="16">
        <f>+D346*E346</f>
        <v>0</v>
      </c>
      <c r="G346" s="8">
        <f t="shared" si="24"/>
        <v>0</v>
      </c>
    </row>
    <row r="347" spans="1:7" x14ac:dyDescent="0.25">
      <c r="A347" s="17" t="s">
        <v>464</v>
      </c>
      <c r="B347" s="18" t="s">
        <v>461</v>
      </c>
      <c r="C347" s="26" t="s">
        <v>37</v>
      </c>
      <c r="D347" s="14"/>
      <c r="E347" s="15"/>
      <c r="F347" s="16">
        <f>+D347*E347</f>
        <v>0</v>
      </c>
      <c r="G347" s="8">
        <f t="shared" si="24"/>
        <v>0</v>
      </c>
    </row>
    <row r="348" spans="1:7" x14ac:dyDescent="0.25">
      <c r="A348" s="12" t="s">
        <v>436</v>
      </c>
      <c r="B348" s="13" t="s">
        <v>42</v>
      </c>
      <c r="C348" s="14"/>
      <c r="D348" s="14"/>
      <c r="E348" s="15"/>
      <c r="F348" s="16"/>
      <c r="G348" s="8">
        <f t="shared" si="24"/>
        <v>0</v>
      </c>
    </row>
    <row r="349" spans="1:7" x14ac:dyDescent="0.25">
      <c r="A349" s="17" t="s">
        <v>465</v>
      </c>
      <c r="B349" s="18" t="s">
        <v>466</v>
      </c>
      <c r="C349" s="26" t="s">
        <v>37</v>
      </c>
      <c r="D349" s="14"/>
      <c r="E349" s="15">
        <f>+'APU CAP 3'!H2643</f>
        <v>91711</v>
      </c>
      <c r="F349" s="16">
        <f>+D349*E349</f>
        <v>0</v>
      </c>
      <c r="G349" s="8">
        <f t="shared" si="24"/>
        <v>0</v>
      </c>
    </row>
    <row r="350" spans="1:7" x14ac:dyDescent="0.25">
      <c r="A350" s="17" t="s">
        <v>469</v>
      </c>
      <c r="B350" s="18" t="s">
        <v>467</v>
      </c>
      <c r="C350" s="26" t="s">
        <v>37</v>
      </c>
      <c r="D350" s="14"/>
      <c r="E350" s="15">
        <f>+'APU CAP 3'!H2697</f>
        <v>144818</v>
      </c>
      <c r="F350" s="16">
        <f>+D350*E350</f>
        <v>0</v>
      </c>
      <c r="G350" s="8">
        <f t="shared" si="24"/>
        <v>0</v>
      </c>
    </row>
    <row r="351" spans="1:7" x14ac:dyDescent="0.25">
      <c r="A351" s="17" t="s">
        <v>470</v>
      </c>
      <c r="B351" s="18" t="s">
        <v>468</v>
      </c>
      <c r="C351" s="26" t="s">
        <v>37</v>
      </c>
      <c r="D351" s="14"/>
      <c r="E351" s="15">
        <f>+'APU CAP 3'!H2751</f>
        <v>202673</v>
      </c>
      <c r="F351" s="16">
        <f>+D351*E351</f>
        <v>0</v>
      </c>
      <c r="G351" s="8">
        <f t="shared" si="24"/>
        <v>0</v>
      </c>
    </row>
    <row r="352" spans="1:7" x14ac:dyDescent="0.25">
      <c r="A352" s="12" t="s">
        <v>437</v>
      </c>
      <c r="B352" s="13" t="s">
        <v>471</v>
      </c>
      <c r="C352" s="14"/>
      <c r="D352" s="14"/>
      <c r="E352" s="15"/>
      <c r="F352" s="16"/>
      <c r="G352" s="8">
        <f t="shared" si="24"/>
        <v>0</v>
      </c>
    </row>
    <row r="353" spans="1:7" x14ac:dyDescent="0.25">
      <c r="A353" s="17" t="s">
        <v>472</v>
      </c>
      <c r="B353" s="18" t="s">
        <v>475</v>
      </c>
      <c r="C353" s="26" t="s">
        <v>37</v>
      </c>
      <c r="D353" s="14"/>
      <c r="E353" s="15">
        <f>+'APU CAP 3'!H2805</f>
        <v>343915</v>
      </c>
      <c r="F353" s="16">
        <f>+D353*E353</f>
        <v>0</v>
      </c>
      <c r="G353" s="8">
        <f t="shared" si="24"/>
        <v>0</v>
      </c>
    </row>
    <row r="354" spans="1:7" x14ac:dyDescent="0.25">
      <c r="A354" s="17" t="s">
        <v>473</v>
      </c>
      <c r="B354" s="18" t="s">
        <v>476</v>
      </c>
      <c r="C354" s="26" t="s">
        <v>37</v>
      </c>
      <c r="D354" s="14"/>
      <c r="E354" s="15">
        <f>+'APU CAP 3'!H2859</f>
        <v>403528</v>
      </c>
      <c r="F354" s="16">
        <f>+D354*E354</f>
        <v>0</v>
      </c>
      <c r="G354" s="8">
        <f t="shared" si="24"/>
        <v>0</v>
      </c>
    </row>
    <row r="355" spans="1:7" x14ac:dyDescent="0.25">
      <c r="A355" s="17" t="s">
        <v>474</v>
      </c>
      <c r="B355" s="18" t="s">
        <v>477</v>
      </c>
      <c r="C355" s="26" t="s">
        <v>37</v>
      </c>
      <c r="D355" s="14"/>
      <c r="E355" s="15">
        <f>+'APU CAP 3'!H2913</f>
        <v>604509</v>
      </c>
      <c r="F355" s="16">
        <f>+D355*E355</f>
        <v>0</v>
      </c>
      <c r="G355" s="8">
        <f t="shared" si="24"/>
        <v>0</v>
      </c>
    </row>
    <row r="356" spans="1:7" x14ac:dyDescent="0.25">
      <c r="A356" s="12" t="s">
        <v>438</v>
      </c>
      <c r="B356" s="13" t="s">
        <v>478</v>
      </c>
      <c r="C356" s="14"/>
      <c r="D356" s="14"/>
      <c r="E356" s="15"/>
      <c r="F356" s="16"/>
      <c r="G356" s="8">
        <f t="shared" si="24"/>
        <v>0</v>
      </c>
    </row>
    <row r="357" spans="1:7" x14ac:dyDescent="0.25">
      <c r="A357" s="17" t="s">
        <v>480</v>
      </c>
      <c r="B357" s="18" t="s">
        <v>479</v>
      </c>
      <c r="C357" s="26" t="s">
        <v>37</v>
      </c>
      <c r="D357" s="14"/>
      <c r="E357" s="15">
        <f>+'APU CAP 3'!H2967</f>
        <v>75906</v>
      </c>
      <c r="F357" s="16">
        <f>+D357*E357</f>
        <v>0</v>
      </c>
      <c r="G357" s="8">
        <f t="shared" si="24"/>
        <v>0</v>
      </c>
    </row>
    <row r="358" spans="1:7" x14ac:dyDescent="0.25">
      <c r="A358" s="17" t="s">
        <v>483</v>
      </c>
      <c r="B358" s="18" t="s">
        <v>481</v>
      </c>
      <c r="C358" s="26" t="s">
        <v>37</v>
      </c>
      <c r="D358" s="14"/>
      <c r="E358" s="15">
        <f>+'APU CAP 3'!H3021</f>
        <v>84714</v>
      </c>
      <c r="F358" s="16">
        <f>+D358*E358</f>
        <v>0</v>
      </c>
      <c r="G358" s="8">
        <f t="shared" si="24"/>
        <v>0</v>
      </c>
    </row>
    <row r="359" spans="1:7" x14ac:dyDescent="0.25">
      <c r="A359" s="17" t="s">
        <v>484</v>
      </c>
      <c r="B359" s="18" t="s">
        <v>482</v>
      </c>
      <c r="C359" s="26" t="s">
        <v>37</v>
      </c>
      <c r="D359" s="14"/>
      <c r="E359" s="15">
        <f>+'APU CAP 3'!H3075</f>
        <v>105559</v>
      </c>
      <c r="F359" s="16">
        <f>+D359*E359</f>
        <v>0</v>
      </c>
      <c r="G359" s="8">
        <f t="shared" si="24"/>
        <v>0</v>
      </c>
    </row>
    <row r="360" spans="1:7" x14ac:dyDescent="0.25">
      <c r="A360" s="17" t="s">
        <v>6120</v>
      </c>
      <c r="B360" s="18" t="s">
        <v>6121</v>
      </c>
      <c r="C360" s="26" t="s">
        <v>37</v>
      </c>
      <c r="D360" s="14"/>
      <c r="E360" s="441"/>
      <c r="F360" s="457">
        <f>+D360*E360</f>
        <v>0</v>
      </c>
      <c r="G360" s="8">
        <f t="shared" si="24"/>
        <v>0</v>
      </c>
    </row>
    <row r="361" spans="1:7" x14ac:dyDescent="0.25">
      <c r="A361" s="12" t="s">
        <v>500</v>
      </c>
      <c r="B361" s="13" t="s">
        <v>520</v>
      </c>
      <c r="C361" s="14"/>
      <c r="D361" s="14"/>
      <c r="E361" s="15"/>
      <c r="F361" s="16"/>
      <c r="G361" s="8">
        <v>1</v>
      </c>
    </row>
    <row r="362" spans="1:7" x14ac:dyDescent="0.25">
      <c r="A362" s="17" t="s">
        <v>502</v>
      </c>
      <c r="B362" s="18" t="s">
        <v>494</v>
      </c>
      <c r="C362" s="26" t="s">
        <v>37</v>
      </c>
      <c r="D362" s="14">
        <v>4</v>
      </c>
      <c r="E362" s="15">
        <f>+E335*2</f>
        <v>87912</v>
      </c>
      <c r="F362" s="16">
        <f t="shared" ref="F362:F367" si="26">+D362*E362</f>
        <v>351648</v>
      </c>
      <c r="G362" s="8">
        <f t="shared" si="24"/>
        <v>1</v>
      </c>
    </row>
    <row r="363" spans="1:7" x14ac:dyDescent="0.25">
      <c r="A363" s="17" t="s">
        <v>503</v>
      </c>
      <c r="B363" s="18" t="s">
        <v>493</v>
      </c>
      <c r="C363" s="26" t="s">
        <v>37</v>
      </c>
      <c r="D363" s="14">
        <v>4</v>
      </c>
      <c r="E363" s="15">
        <f>+E336*2</f>
        <v>142718</v>
      </c>
      <c r="F363" s="16">
        <f t="shared" si="26"/>
        <v>570872</v>
      </c>
      <c r="G363" s="8">
        <f t="shared" si="24"/>
        <v>1</v>
      </c>
    </row>
    <row r="364" spans="1:7" x14ac:dyDescent="0.25">
      <c r="A364" s="17" t="s">
        <v>504</v>
      </c>
      <c r="B364" s="18" t="s">
        <v>495</v>
      </c>
      <c r="C364" s="26" t="s">
        <v>37</v>
      </c>
      <c r="D364" s="14"/>
      <c r="E364" s="15"/>
      <c r="F364" s="16">
        <f t="shared" si="26"/>
        <v>0</v>
      </c>
      <c r="G364" s="8">
        <f t="shared" si="24"/>
        <v>0</v>
      </c>
    </row>
    <row r="365" spans="1:7" x14ac:dyDescent="0.25">
      <c r="A365" s="17" t="s">
        <v>505</v>
      </c>
      <c r="B365" s="18" t="s">
        <v>496</v>
      </c>
      <c r="C365" s="26" t="s">
        <v>37</v>
      </c>
      <c r="D365" s="14"/>
      <c r="E365" s="15"/>
      <c r="F365" s="16">
        <f t="shared" si="26"/>
        <v>0</v>
      </c>
      <c r="G365" s="8">
        <f t="shared" si="24"/>
        <v>0</v>
      </c>
    </row>
    <row r="366" spans="1:7" x14ac:dyDescent="0.25">
      <c r="A366" s="17" t="s">
        <v>506</v>
      </c>
      <c r="B366" s="18" t="s">
        <v>497</v>
      </c>
      <c r="C366" s="26" t="s">
        <v>37</v>
      </c>
      <c r="D366" s="14"/>
      <c r="E366" s="15"/>
      <c r="F366" s="16">
        <f t="shared" si="26"/>
        <v>0</v>
      </c>
      <c r="G366" s="8">
        <f t="shared" si="24"/>
        <v>0</v>
      </c>
    </row>
    <row r="367" spans="1:7" x14ac:dyDescent="0.25">
      <c r="A367" s="17" t="s">
        <v>507</v>
      </c>
      <c r="B367" s="18" t="s">
        <v>498</v>
      </c>
      <c r="C367" s="26" t="s">
        <v>37</v>
      </c>
      <c r="D367" s="14"/>
      <c r="E367" s="15"/>
      <c r="F367" s="16">
        <f t="shared" si="26"/>
        <v>0</v>
      </c>
      <c r="G367" s="8">
        <f t="shared" si="24"/>
        <v>0</v>
      </c>
    </row>
    <row r="368" spans="1:7" x14ac:dyDescent="0.25">
      <c r="A368" s="12" t="s">
        <v>499</v>
      </c>
      <c r="B368" s="13" t="s">
        <v>513</v>
      </c>
      <c r="C368" s="26"/>
      <c r="D368" s="14"/>
      <c r="E368" s="15"/>
      <c r="F368" s="16"/>
      <c r="G368" s="8">
        <f t="shared" si="24"/>
        <v>0</v>
      </c>
    </row>
    <row r="369" spans="1:7" x14ac:dyDescent="0.25">
      <c r="A369" s="17" t="s">
        <v>501</v>
      </c>
      <c r="B369" s="18" t="s">
        <v>514</v>
      </c>
      <c r="C369" s="26" t="s">
        <v>37</v>
      </c>
      <c r="D369" s="14"/>
      <c r="E369" s="15"/>
      <c r="F369" s="16">
        <f t="shared" ref="F369:F374" si="27">+D369*E369</f>
        <v>0</v>
      </c>
      <c r="G369" s="8">
        <f t="shared" si="24"/>
        <v>0</v>
      </c>
    </row>
    <row r="370" spans="1:7" x14ac:dyDescent="0.25">
      <c r="A370" s="17" t="s">
        <v>508</v>
      </c>
      <c r="B370" s="18" t="s">
        <v>516</v>
      </c>
      <c r="C370" s="26" t="s">
        <v>37</v>
      </c>
      <c r="D370" s="14"/>
      <c r="E370" s="15"/>
      <c r="F370" s="16">
        <f t="shared" si="27"/>
        <v>0</v>
      </c>
      <c r="G370" s="8">
        <f t="shared" si="24"/>
        <v>0</v>
      </c>
    </row>
    <row r="371" spans="1:7" x14ac:dyDescent="0.25">
      <c r="A371" s="17" t="s">
        <v>509</v>
      </c>
      <c r="B371" s="18" t="s">
        <v>517</v>
      </c>
      <c r="C371" s="26" t="s">
        <v>37</v>
      </c>
      <c r="D371" s="14"/>
      <c r="E371" s="15"/>
      <c r="F371" s="16">
        <f t="shared" si="27"/>
        <v>0</v>
      </c>
      <c r="G371" s="8">
        <f t="shared" si="24"/>
        <v>0</v>
      </c>
    </row>
    <row r="372" spans="1:7" x14ac:dyDescent="0.25">
      <c r="A372" s="17" t="s">
        <v>510</v>
      </c>
      <c r="B372" s="18" t="s">
        <v>518</v>
      </c>
      <c r="C372" s="26" t="s">
        <v>37</v>
      </c>
      <c r="D372" s="14"/>
      <c r="E372" s="15"/>
      <c r="F372" s="16">
        <f t="shared" si="27"/>
        <v>0</v>
      </c>
      <c r="G372" s="8">
        <f t="shared" si="24"/>
        <v>0</v>
      </c>
    </row>
    <row r="373" spans="1:7" x14ac:dyDescent="0.25">
      <c r="A373" s="17" t="s">
        <v>511</v>
      </c>
      <c r="B373" s="18" t="s">
        <v>519</v>
      </c>
      <c r="C373" s="26" t="s">
        <v>37</v>
      </c>
      <c r="D373" s="14"/>
      <c r="E373" s="15"/>
      <c r="F373" s="16">
        <f t="shared" si="27"/>
        <v>0</v>
      </c>
      <c r="G373" s="8">
        <f t="shared" si="24"/>
        <v>0</v>
      </c>
    </row>
    <row r="374" spans="1:7" x14ac:dyDescent="0.25">
      <c r="A374" s="17" t="s">
        <v>512</v>
      </c>
      <c r="B374" s="18" t="s">
        <v>515</v>
      </c>
      <c r="C374" s="26" t="s">
        <v>37</v>
      </c>
      <c r="D374" s="14"/>
      <c r="E374" s="15"/>
      <c r="F374" s="16">
        <f t="shared" si="27"/>
        <v>0</v>
      </c>
      <c r="G374" s="8">
        <f t="shared" si="24"/>
        <v>0</v>
      </c>
    </row>
    <row r="375" spans="1:7" x14ac:dyDescent="0.25">
      <c r="A375" s="12" t="s">
        <v>485</v>
      </c>
      <c r="B375" s="13" t="s">
        <v>486</v>
      </c>
      <c r="C375" s="14"/>
      <c r="D375" s="14"/>
      <c r="E375" s="15"/>
      <c r="F375" s="16"/>
      <c r="G375" s="8">
        <f t="shared" si="24"/>
        <v>0</v>
      </c>
    </row>
    <row r="376" spans="1:7" x14ac:dyDescent="0.25">
      <c r="A376" s="17" t="s">
        <v>488</v>
      </c>
      <c r="B376" s="18" t="s">
        <v>487</v>
      </c>
      <c r="C376" s="26" t="s">
        <v>37</v>
      </c>
      <c r="D376" s="14"/>
      <c r="E376" s="15">
        <f>+'APU CAP 3'!H2265</f>
        <v>9961</v>
      </c>
      <c r="F376" s="16">
        <f>+D376*E376</f>
        <v>0</v>
      </c>
      <c r="G376" s="8">
        <f t="shared" si="24"/>
        <v>0</v>
      </c>
    </row>
    <row r="377" spans="1:7" x14ac:dyDescent="0.25">
      <c r="A377" s="17" t="s">
        <v>489</v>
      </c>
      <c r="B377" s="18" t="s">
        <v>491</v>
      </c>
      <c r="C377" s="26" t="s">
        <v>37</v>
      </c>
      <c r="D377" s="14"/>
      <c r="E377" s="15">
        <f>+'APU CAP 3'!H2319</f>
        <v>12475</v>
      </c>
      <c r="F377" s="16">
        <f>+D377*E377</f>
        <v>0</v>
      </c>
      <c r="G377" s="8">
        <f t="shared" si="24"/>
        <v>0</v>
      </c>
    </row>
    <row r="378" spans="1:7" x14ac:dyDescent="0.25">
      <c r="A378" s="17" t="s">
        <v>490</v>
      </c>
      <c r="B378" s="18" t="s">
        <v>492</v>
      </c>
      <c r="C378" s="26" t="s">
        <v>37</v>
      </c>
      <c r="D378" s="14"/>
      <c r="E378" s="15"/>
      <c r="F378" s="16">
        <f>+D378*E378</f>
        <v>0</v>
      </c>
      <c r="G378" s="8">
        <f t="shared" si="24"/>
        <v>0</v>
      </c>
    </row>
    <row r="379" spans="1:7" x14ac:dyDescent="0.25">
      <c r="A379" s="12" t="s">
        <v>521</v>
      </c>
      <c r="B379" s="13" t="s">
        <v>522</v>
      </c>
      <c r="C379" s="26" t="s">
        <v>37</v>
      </c>
      <c r="D379" s="14"/>
      <c r="E379" s="15"/>
      <c r="F379" s="16">
        <f>+D379*E379</f>
        <v>0</v>
      </c>
      <c r="G379" s="8">
        <f t="shared" si="24"/>
        <v>0</v>
      </c>
    </row>
    <row r="380" spans="1:7" ht="51" x14ac:dyDescent="0.25">
      <c r="A380" s="12" t="s">
        <v>5014</v>
      </c>
      <c r="B380" s="46" t="s">
        <v>541</v>
      </c>
      <c r="C380" s="14"/>
      <c r="D380" s="14"/>
      <c r="E380" s="15"/>
      <c r="F380" s="16"/>
      <c r="G380" s="8">
        <f t="shared" si="24"/>
        <v>0</v>
      </c>
    </row>
    <row r="381" spans="1:7" x14ac:dyDescent="0.25">
      <c r="A381" s="17" t="s">
        <v>546</v>
      </c>
      <c r="B381" s="18" t="s">
        <v>6216</v>
      </c>
      <c r="C381" s="26" t="s">
        <v>37</v>
      </c>
      <c r="D381" s="14"/>
      <c r="E381" s="15">
        <f>+'APU CAP 3'!H2481</f>
        <v>937045</v>
      </c>
      <c r="F381" s="16">
        <f>+D381*E381</f>
        <v>0</v>
      </c>
      <c r="G381" s="8">
        <f t="shared" si="24"/>
        <v>0</v>
      </c>
    </row>
    <row r="382" spans="1:7" x14ac:dyDescent="0.25">
      <c r="A382" s="17" t="s">
        <v>547</v>
      </c>
      <c r="B382" s="18" t="s">
        <v>6217</v>
      </c>
      <c r="C382" s="26" t="s">
        <v>37</v>
      </c>
      <c r="D382" s="14"/>
      <c r="E382" s="15">
        <f>+'APU CAP 3'!H2535</f>
        <v>831572</v>
      </c>
      <c r="F382" s="16">
        <f>+D382*E382</f>
        <v>0</v>
      </c>
      <c r="G382" s="8">
        <f t="shared" si="24"/>
        <v>0</v>
      </c>
    </row>
    <row r="383" spans="1:7" x14ac:dyDescent="0.25">
      <c r="A383" s="17" t="s">
        <v>548</v>
      </c>
      <c r="B383" s="18" t="s">
        <v>6218</v>
      </c>
      <c r="C383" s="26" t="s">
        <v>37</v>
      </c>
      <c r="D383" s="14"/>
      <c r="E383" s="15">
        <f>+'APU CAP 3'!H2589</f>
        <v>1620647</v>
      </c>
      <c r="F383" s="16">
        <f>+D383*E383</f>
        <v>0</v>
      </c>
      <c r="G383" s="8">
        <f t="shared" si="24"/>
        <v>0</v>
      </c>
    </row>
    <row r="384" spans="1:7" x14ac:dyDescent="0.25">
      <c r="A384" s="17" t="s">
        <v>549</v>
      </c>
      <c r="B384" s="18" t="s">
        <v>523</v>
      </c>
      <c r="C384" s="26" t="s">
        <v>37</v>
      </c>
      <c r="D384" s="14"/>
      <c r="E384" s="15"/>
      <c r="F384" s="16">
        <f>+D384*E384</f>
        <v>0</v>
      </c>
      <c r="G384" s="8">
        <f t="shared" si="24"/>
        <v>0</v>
      </c>
    </row>
    <row r="385" spans="1:7" x14ac:dyDescent="0.25">
      <c r="A385" s="17" t="s">
        <v>550</v>
      </c>
      <c r="B385" s="18" t="s">
        <v>524</v>
      </c>
      <c r="C385" s="26" t="s">
        <v>37</v>
      </c>
      <c r="D385" s="14"/>
      <c r="E385" s="15"/>
      <c r="F385" s="16">
        <f>+D385*E385</f>
        <v>0</v>
      </c>
      <c r="G385" s="8">
        <f t="shared" si="24"/>
        <v>0</v>
      </c>
    </row>
    <row r="386" spans="1:7" x14ac:dyDescent="0.25">
      <c r="A386" s="12" t="s">
        <v>5015</v>
      </c>
      <c r="B386" s="13" t="s">
        <v>552</v>
      </c>
      <c r="C386" s="26"/>
      <c r="D386" s="14"/>
      <c r="E386" s="15"/>
      <c r="F386" s="16"/>
      <c r="G386" s="8">
        <f t="shared" si="24"/>
        <v>0</v>
      </c>
    </row>
    <row r="387" spans="1:7" x14ac:dyDescent="0.25">
      <c r="A387" s="17" t="s">
        <v>553</v>
      </c>
      <c r="B387" s="18" t="s">
        <v>5861</v>
      </c>
      <c r="C387" s="26" t="s">
        <v>37</v>
      </c>
      <c r="D387" s="14"/>
      <c r="E387" s="15"/>
      <c r="F387" s="16">
        <f t="shared" ref="F387:F392" si="28">+D387*E387</f>
        <v>0</v>
      </c>
      <c r="G387" s="8">
        <f t="shared" si="24"/>
        <v>0</v>
      </c>
    </row>
    <row r="388" spans="1:7" x14ac:dyDescent="0.25">
      <c r="A388" s="17" t="s">
        <v>554</v>
      </c>
      <c r="B388" s="18" t="s">
        <v>5862</v>
      </c>
      <c r="C388" s="26" t="s">
        <v>37</v>
      </c>
      <c r="D388" s="14"/>
      <c r="E388" s="15"/>
      <c r="F388" s="16">
        <f t="shared" si="28"/>
        <v>0</v>
      </c>
      <c r="G388" s="8">
        <f t="shared" si="24"/>
        <v>0</v>
      </c>
    </row>
    <row r="389" spans="1:7" x14ac:dyDescent="0.25">
      <c r="A389" s="17" t="s">
        <v>555</v>
      </c>
      <c r="B389" s="18" t="s">
        <v>5863</v>
      </c>
      <c r="C389" s="26" t="s">
        <v>37</v>
      </c>
      <c r="D389" s="14"/>
      <c r="E389" s="15"/>
      <c r="F389" s="16">
        <f t="shared" si="28"/>
        <v>0</v>
      </c>
      <c r="G389" s="8">
        <f t="shared" si="24"/>
        <v>0</v>
      </c>
    </row>
    <row r="390" spans="1:7" x14ac:dyDescent="0.25">
      <c r="A390" s="17" t="s">
        <v>556</v>
      </c>
      <c r="B390" s="18" t="s">
        <v>5864</v>
      </c>
      <c r="C390" s="26" t="s">
        <v>37</v>
      </c>
      <c r="D390" s="14"/>
      <c r="E390" s="15">
        <f>+'APU CAP 3'!Q3075</f>
        <v>389092</v>
      </c>
      <c r="F390" s="16">
        <f t="shared" si="28"/>
        <v>0</v>
      </c>
      <c r="G390" s="8">
        <f t="shared" si="24"/>
        <v>0</v>
      </c>
    </row>
    <row r="391" spans="1:7" x14ac:dyDescent="0.25">
      <c r="A391" s="17" t="s">
        <v>557</v>
      </c>
      <c r="B391" s="18" t="s">
        <v>5865</v>
      </c>
      <c r="C391" s="26" t="s">
        <v>37</v>
      </c>
      <c r="D391" s="14"/>
      <c r="E391" s="15"/>
      <c r="F391" s="16">
        <f t="shared" si="28"/>
        <v>0</v>
      </c>
      <c r="G391" s="8">
        <f t="shared" si="24"/>
        <v>0</v>
      </c>
    </row>
    <row r="392" spans="1:7" x14ac:dyDescent="0.25">
      <c r="A392" s="17" t="s">
        <v>558</v>
      </c>
      <c r="B392" s="18" t="s">
        <v>5866</v>
      </c>
      <c r="C392" s="26" t="s">
        <v>37</v>
      </c>
      <c r="D392" s="14"/>
      <c r="E392" s="15"/>
      <c r="F392" s="16">
        <f t="shared" si="28"/>
        <v>0</v>
      </c>
      <c r="G392" s="8">
        <f t="shared" si="24"/>
        <v>0</v>
      </c>
    </row>
    <row r="393" spans="1:7" x14ac:dyDescent="0.25">
      <c r="A393" s="12" t="s">
        <v>525</v>
      </c>
      <c r="B393" s="13" t="s">
        <v>526</v>
      </c>
      <c r="C393" s="14"/>
      <c r="D393" s="14"/>
      <c r="E393" s="15"/>
      <c r="F393" s="16"/>
      <c r="G393" s="8">
        <f t="shared" si="24"/>
        <v>0</v>
      </c>
    </row>
    <row r="394" spans="1:7" x14ac:dyDescent="0.25">
      <c r="A394" s="17" t="s">
        <v>527</v>
      </c>
      <c r="B394" s="18" t="s">
        <v>528</v>
      </c>
      <c r="C394" s="26" t="s">
        <v>37</v>
      </c>
      <c r="D394" s="14"/>
      <c r="E394" s="15"/>
      <c r="F394" s="16">
        <f t="shared" ref="F394:F404" si="29">+D394*E394</f>
        <v>0</v>
      </c>
      <c r="G394" s="8">
        <f t="shared" si="24"/>
        <v>0</v>
      </c>
    </row>
    <row r="395" spans="1:7" x14ac:dyDescent="0.25">
      <c r="A395" s="17" t="s">
        <v>529</v>
      </c>
      <c r="B395" s="18" t="s">
        <v>540</v>
      </c>
      <c r="C395" s="26" t="s">
        <v>37</v>
      </c>
      <c r="D395" s="14"/>
      <c r="E395" s="15"/>
      <c r="F395" s="16">
        <f t="shared" si="29"/>
        <v>0</v>
      </c>
      <c r="G395" s="8">
        <f t="shared" ref="G395:G458" si="30">+IF(F395&lt;&gt;0,1,0)</f>
        <v>0</v>
      </c>
    </row>
    <row r="396" spans="1:7" x14ac:dyDescent="0.25">
      <c r="A396" s="17" t="s">
        <v>530</v>
      </c>
      <c r="B396" s="18" t="s">
        <v>535</v>
      </c>
      <c r="C396" s="26" t="s">
        <v>37</v>
      </c>
      <c r="D396" s="14"/>
      <c r="E396" s="15"/>
      <c r="F396" s="16">
        <f t="shared" si="29"/>
        <v>0</v>
      </c>
      <c r="G396" s="8">
        <f t="shared" si="30"/>
        <v>0</v>
      </c>
    </row>
    <row r="397" spans="1:7" x14ac:dyDescent="0.25">
      <c r="A397" s="17" t="s">
        <v>531</v>
      </c>
      <c r="B397" s="18" t="s">
        <v>536</v>
      </c>
      <c r="C397" s="26" t="s">
        <v>37</v>
      </c>
      <c r="D397" s="14"/>
      <c r="E397" s="15"/>
      <c r="F397" s="16">
        <f t="shared" si="29"/>
        <v>0</v>
      </c>
      <c r="G397" s="8">
        <f t="shared" si="30"/>
        <v>0</v>
      </c>
    </row>
    <row r="398" spans="1:7" x14ac:dyDescent="0.25">
      <c r="A398" s="17" t="s">
        <v>532</v>
      </c>
      <c r="B398" s="18" t="s">
        <v>537</v>
      </c>
      <c r="C398" s="26" t="s">
        <v>37</v>
      </c>
      <c r="D398" s="14"/>
      <c r="E398" s="15"/>
      <c r="F398" s="16">
        <f t="shared" si="29"/>
        <v>0</v>
      </c>
      <c r="G398" s="8">
        <f t="shared" si="30"/>
        <v>0</v>
      </c>
    </row>
    <row r="399" spans="1:7" x14ac:dyDescent="0.25">
      <c r="A399" s="17" t="s">
        <v>533</v>
      </c>
      <c r="B399" s="18" t="s">
        <v>538</v>
      </c>
      <c r="C399" s="26" t="s">
        <v>37</v>
      </c>
      <c r="D399" s="14"/>
      <c r="E399" s="15"/>
      <c r="F399" s="16">
        <f t="shared" si="29"/>
        <v>0</v>
      </c>
      <c r="G399" s="8">
        <f t="shared" si="30"/>
        <v>0</v>
      </c>
    </row>
    <row r="400" spans="1:7" x14ac:dyDescent="0.25">
      <c r="A400" s="17" t="s">
        <v>534</v>
      </c>
      <c r="B400" s="18" t="s">
        <v>539</v>
      </c>
      <c r="C400" s="26" t="s">
        <v>37</v>
      </c>
      <c r="D400" s="14"/>
      <c r="E400" s="15"/>
      <c r="F400" s="16">
        <f t="shared" si="29"/>
        <v>0</v>
      </c>
      <c r="G400" s="8">
        <f t="shared" si="30"/>
        <v>0</v>
      </c>
    </row>
    <row r="401" spans="1:7" x14ac:dyDescent="0.25">
      <c r="A401" s="17" t="s">
        <v>5383</v>
      </c>
      <c r="B401" s="18" t="s">
        <v>5379</v>
      </c>
      <c r="C401" s="26" t="s">
        <v>37</v>
      </c>
      <c r="D401" s="14"/>
      <c r="E401" s="15"/>
      <c r="F401" s="16">
        <f t="shared" si="29"/>
        <v>0</v>
      </c>
      <c r="G401" s="8">
        <f t="shared" si="30"/>
        <v>0</v>
      </c>
    </row>
    <row r="402" spans="1:7" x14ac:dyDescent="0.25">
      <c r="A402" s="17" t="s">
        <v>5384</v>
      </c>
      <c r="B402" s="18" t="s">
        <v>5380</v>
      </c>
      <c r="C402" s="26" t="s">
        <v>37</v>
      </c>
      <c r="D402" s="14"/>
      <c r="E402" s="15"/>
      <c r="F402" s="16">
        <f t="shared" si="29"/>
        <v>0</v>
      </c>
      <c r="G402" s="8">
        <f t="shared" si="30"/>
        <v>0</v>
      </c>
    </row>
    <row r="403" spans="1:7" x14ac:dyDescent="0.25">
      <c r="A403" s="17" t="s">
        <v>5385</v>
      </c>
      <c r="B403" s="18" t="s">
        <v>5381</v>
      </c>
      <c r="C403" s="26" t="s">
        <v>37</v>
      </c>
      <c r="D403" s="14"/>
      <c r="E403" s="15"/>
      <c r="F403" s="16">
        <f t="shared" si="29"/>
        <v>0</v>
      </c>
      <c r="G403" s="8">
        <f t="shared" si="30"/>
        <v>0</v>
      </c>
    </row>
    <row r="404" spans="1:7" x14ac:dyDescent="0.25">
      <c r="A404" s="17" t="s">
        <v>5386</v>
      </c>
      <c r="B404" s="18" t="s">
        <v>5382</v>
      </c>
      <c r="C404" s="26" t="s">
        <v>37</v>
      </c>
      <c r="D404" s="14"/>
      <c r="E404" s="15"/>
      <c r="F404" s="16">
        <f t="shared" si="29"/>
        <v>0</v>
      </c>
      <c r="G404" s="8">
        <f t="shared" si="30"/>
        <v>0</v>
      </c>
    </row>
    <row r="405" spans="1:7" x14ac:dyDescent="0.25">
      <c r="A405" s="12" t="s">
        <v>542</v>
      </c>
      <c r="B405" s="13" t="s">
        <v>543</v>
      </c>
      <c r="C405" s="14"/>
      <c r="D405" s="14"/>
      <c r="E405" s="15"/>
      <c r="F405" s="16"/>
      <c r="G405" s="8">
        <f t="shared" si="30"/>
        <v>0</v>
      </c>
    </row>
    <row r="406" spans="1:7" x14ac:dyDescent="0.25">
      <c r="A406" s="17" t="s">
        <v>544</v>
      </c>
      <c r="B406" s="13" t="s">
        <v>563</v>
      </c>
      <c r="C406" s="14"/>
      <c r="D406" s="14"/>
      <c r="E406" s="15"/>
      <c r="F406" s="16"/>
      <c r="G406" s="8">
        <f t="shared" si="30"/>
        <v>0</v>
      </c>
    </row>
    <row r="407" spans="1:7" x14ac:dyDescent="0.25">
      <c r="A407" s="17" t="s">
        <v>564</v>
      </c>
      <c r="B407" s="18" t="s">
        <v>560</v>
      </c>
      <c r="C407" s="26" t="s">
        <v>37</v>
      </c>
      <c r="D407" s="14"/>
      <c r="E407" s="15"/>
      <c r="F407" s="16">
        <f>+D407*E407</f>
        <v>0</v>
      </c>
      <c r="G407" s="8">
        <f t="shared" si="30"/>
        <v>0</v>
      </c>
    </row>
    <row r="408" spans="1:7" x14ac:dyDescent="0.25">
      <c r="A408" s="17" t="s">
        <v>565</v>
      </c>
      <c r="B408" s="18" t="s">
        <v>561</v>
      </c>
      <c r="C408" s="26" t="s">
        <v>37</v>
      </c>
      <c r="D408" s="14"/>
      <c r="E408" s="15"/>
      <c r="F408" s="16">
        <f>+D408*E408</f>
        <v>0</v>
      </c>
      <c r="G408" s="8">
        <f t="shared" si="30"/>
        <v>0</v>
      </c>
    </row>
    <row r="409" spans="1:7" x14ac:dyDescent="0.25">
      <c r="A409" s="17" t="s">
        <v>566</v>
      </c>
      <c r="B409" s="18" t="s">
        <v>562</v>
      </c>
      <c r="C409" s="26" t="s">
        <v>37</v>
      </c>
      <c r="D409" s="14"/>
      <c r="E409" s="15"/>
      <c r="F409" s="16">
        <f>+D409*E409</f>
        <v>0</v>
      </c>
      <c r="G409" s="8">
        <f t="shared" si="30"/>
        <v>0</v>
      </c>
    </row>
    <row r="410" spans="1:7" x14ac:dyDescent="0.25">
      <c r="A410" s="12" t="s">
        <v>43</v>
      </c>
      <c r="B410" s="13" t="s">
        <v>44</v>
      </c>
      <c r="C410" s="14"/>
      <c r="D410" s="14"/>
      <c r="E410" s="15"/>
      <c r="F410" s="16"/>
      <c r="G410" s="8">
        <f t="shared" si="30"/>
        <v>0</v>
      </c>
    </row>
    <row r="411" spans="1:7" x14ac:dyDescent="0.25">
      <c r="A411" s="12" t="s">
        <v>567</v>
      </c>
      <c r="B411" s="13" t="s">
        <v>573</v>
      </c>
      <c r="C411" s="14"/>
      <c r="D411" s="14"/>
      <c r="E411" s="15"/>
      <c r="F411" s="16"/>
      <c r="G411" s="8">
        <f t="shared" si="30"/>
        <v>0</v>
      </c>
    </row>
    <row r="412" spans="1:7" x14ac:dyDescent="0.25">
      <c r="A412" s="17" t="s">
        <v>574</v>
      </c>
      <c r="B412" s="18" t="s">
        <v>569</v>
      </c>
      <c r="C412" s="14" t="s">
        <v>37</v>
      </c>
      <c r="D412" s="14"/>
      <c r="E412" s="15"/>
      <c r="F412" s="16">
        <f>+D412*E412</f>
        <v>0</v>
      </c>
      <c r="G412" s="8">
        <f t="shared" si="30"/>
        <v>0</v>
      </c>
    </row>
    <row r="413" spans="1:7" x14ac:dyDescent="0.25">
      <c r="A413" s="17" t="s">
        <v>575</v>
      </c>
      <c r="B413" s="18" t="s">
        <v>568</v>
      </c>
      <c r="C413" s="14" t="s">
        <v>37</v>
      </c>
      <c r="D413" s="14"/>
      <c r="E413" s="15"/>
      <c r="F413" s="16">
        <f>+D413*E413</f>
        <v>0</v>
      </c>
      <c r="G413" s="8">
        <f t="shared" si="30"/>
        <v>0</v>
      </c>
    </row>
    <row r="414" spans="1:7" x14ac:dyDescent="0.25">
      <c r="A414" s="17" t="s">
        <v>576</v>
      </c>
      <c r="B414" s="18" t="s">
        <v>571</v>
      </c>
      <c r="C414" s="14" t="s">
        <v>37</v>
      </c>
      <c r="D414" s="14"/>
      <c r="E414" s="15"/>
      <c r="F414" s="16">
        <f>+D414*E414</f>
        <v>0</v>
      </c>
      <c r="G414" s="8">
        <f t="shared" si="30"/>
        <v>0</v>
      </c>
    </row>
    <row r="415" spans="1:7" x14ac:dyDescent="0.25">
      <c r="A415" s="17" t="s">
        <v>577</v>
      </c>
      <c r="B415" s="18" t="s">
        <v>570</v>
      </c>
      <c r="C415" s="14" t="s">
        <v>37</v>
      </c>
      <c r="D415" s="14"/>
      <c r="E415" s="15"/>
      <c r="F415" s="16">
        <f>+D415*E415</f>
        <v>0</v>
      </c>
      <c r="G415" s="8">
        <f t="shared" si="30"/>
        <v>0</v>
      </c>
    </row>
    <row r="416" spans="1:7" x14ac:dyDescent="0.25">
      <c r="A416" s="17" t="s">
        <v>578</v>
      </c>
      <c r="B416" s="18" t="s">
        <v>572</v>
      </c>
      <c r="C416" s="14" t="s">
        <v>37</v>
      </c>
      <c r="D416" s="14"/>
      <c r="E416" s="15"/>
      <c r="F416" s="16">
        <f>+D416*E416</f>
        <v>0</v>
      </c>
      <c r="G416" s="8">
        <f t="shared" si="30"/>
        <v>0</v>
      </c>
    </row>
    <row r="417" spans="1:9" x14ac:dyDescent="0.25">
      <c r="A417" s="2454" t="s">
        <v>45</v>
      </c>
      <c r="B417" s="2455"/>
      <c r="C417" s="2455"/>
      <c r="D417" s="2455"/>
      <c r="E417" s="2455"/>
      <c r="F417" s="19">
        <f>SUM(F95:F416)</f>
        <v>6274858</v>
      </c>
      <c r="G417" s="8">
        <f t="shared" si="30"/>
        <v>1</v>
      </c>
    </row>
    <row r="418" spans="1:9" x14ac:dyDescent="0.25">
      <c r="A418" s="20">
        <v>5</v>
      </c>
      <c r="B418" s="319" t="s">
        <v>579</v>
      </c>
      <c r="C418" s="22"/>
      <c r="D418" s="22"/>
      <c r="E418" s="23"/>
      <c r="F418" s="24"/>
      <c r="G418" s="8">
        <v>1</v>
      </c>
    </row>
    <row r="419" spans="1:9" x14ac:dyDescent="0.25">
      <c r="A419" s="12" t="s">
        <v>580</v>
      </c>
      <c r="B419" s="46" t="s">
        <v>581</v>
      </c>
      <c r="C419" s="14"/>
      <c r="D419" s="14"/>
      <c r="E419" s="15"/>
      <c r="F419" s="16"/>
      <c r="G419" s="8">
        <v>1</v>
      </c>
    </row>
    <row r="420" spans="1:9" x14ac:dyDescent="0.25">
      <c r="A420" s="31" t="s">
        <v>594</v>
      </c>
      <c r="B420" s="320" t="s">
        <v>582</v>
      </c>
      <c r="C420" s="26" t="s">
        <v>583</v>
      </c>
      <c r="D420" s="26"/>
      <c r="E420" s="29">
        <f>+'APU CAP 5'!P106</f>
        <v>352371.33333333331</v>
      </c>
      <c r="F420" s="16">
        <f t="shared" ref="F420:F425" si="31">+D420*E420</f>
        <v>0</v>
      </c>
      <c r="G420" s="8">
        <f t="shared" si="30"/>
        <v>0</v>
      </c>
    </row>
    <row r="421" spans="1:9" x14ac:dyDescent="0.25">
      <c r="A421" s="31" t="s">
        <v>604</v>
      </c>
      <c r="B421" s="320" t="s">
        <v>599</v>
      </c>
      <c r="C421" s="26" t="s">
        <v>583</v>
      </c>
      <c r="D421" s="26">
        <v>2.1</v>
      </c>
      <c r="E421" s="29">
        <f>+'APU CAP 5'!P160</f>
        <v>378551.33333333331</v>
      </c>
      <c r="F421" s="16">
        <f t="shared" si="31"/>
        <v>794957.8</v>
      </c>
      <c r="G421" s="8">
        <f t="shared" si="30"/>
        <v>1</v>
      </c>
    </row>
    <row r="422" spans="1:9" x14ac:dyDescent="0.25">
      <c r="A422" s="31" t="s">
        <v>595</v>
      </c>
      <c r="B422" s="320" t="s">
        <v>600</v>
      </c>
      <c r="C422" s="26" t="s">
        <v>583</v>
      </c>
      <c r="D422" s="26"/>
      <c r="E422" s="29">
        <f>+'APU CAP 5'!P214</f>
        <v>439122</v>
      </c>
      <c r="F422" s="16">
        <f t="shared" si="31"/>
        <v>0</v>
      </c>
      <c r="G422" s="8">
        <f t="shared" si="30"/>
        <v>0</v>
      </c>
    </row>
    <row r="423" spans="1:9" x14ac:dyDescent="0.25">
      <c r="A423" s="31" t="s">
        <v>596</v>
      </c>
      <c r="B423" s="330" t="s">
        <v>601</v>
      </c>
      <c r="C423" s="26" t="s">
        <v>583</v>
      </c>
      <c r="D423" s="26"/>
      <c r="E423" s="29">
        <f>+'APU CAP 5'!P268</f>
        <v>498359.00000000006</v>
      </c>
      <c r="F423" s="16">
        <f t="shared" si="31"/>
        <v>0</v>
      </c>
      <c r="G423" s="8">
        <f t="shared" si="30"/>
        <v>0</v>
      </c>
    </row>
    <row r="424" spans="1:9" x14ac:dyDescent="0.25">
      <c r="A424" s="31" t="s">
        <v>597</v>
      </c>
      <c r="B424" s="320" t="s">
        <v>602</v>
      </c>
      <c r="C424" s="26" t="s">
        <v>583</v>
      </c>
      <c r="D424" s="26"/>
      <c r="E424" s="29">
        <f>+'APU CAP 5'!P322</f>
        <v>540227.4444444445</v>
      </c>
      <c r="F424" s="16">
        <f t="shared" si="31"/>
        <v>0</v>
      </c>
      <c r="G424" s="8">
        <f t="shared" si="30"/>
        <v>0</v>
      </c>
    </row>
    <row r="425" spans="1:9" x14ac:dyDescent="0.25">
      <c r="A425" s="31" t="s">
        <v>598</v>
      </c>
      <c r="B425" s="320" t="s">
        <v>603</v>
      </c>
      <c r="C425" s="26" t="s">
        <v>583</v>
      </c>
      <c r="D425" s="26"/>
      <c r="E425" s="29">
        <f>+'APU CAP 5'!P376</f>
        <v>560249</v>
      </c>
      <c r="F425" s="16">
        <f t="shared" si="31"/>
        <v>0</v>
      </c>
      <c r="G425" s="8">
        <f t="shared" si="30"/>
        <v>0</v>
      </c>
      <c r="I425">
        <f>0.1/0.05</f>
        <v>2</v>
      </c>
    </row>
    <row r="426" spans="1:9" x14ac:dyDescent="0.25">
      <c r="A426" s="27" t="s">
        <v>584</v>
      </c>
      <c r="B426" s="321" t="s">
        <v>585</v>
      </c>
      <c r="C426" s="26"/>
      <c r="D426" s="26"/>
      <c r="E426" s="29"/>
      <c r="F426" s="16"/>
      <c r="G426" s="8">
        <f t="shared" si="30"/>
        <v>0</v>
      </c>
    </row>
    <row r="427" spans="1:9" x14ac:dyDescent="0.25">
      <c r="A427" s="27" t="s">
        <v>586</v>
      </c>
      <c r="B427" s="321" t="s">
        <v>587</v>
      </c>
      <c r="C427" s="26"/>
      <c r="D427" s="26"/>
      <c r="E427" s="29"/>
      <c r="F427" s="16"/>
      <c r="G427" s="8">
        <f t="shared" si="30"/>
        <v>0</v>
      </c>
    </row>
    <row r="428" spans="1:9" x14ac:dyDescent="0.25">
      <c r="A428" s="31" t="s">
        <v>605</v>
      </c>
      <c r="B428" s="320" t="s">
        <v>606</v>
      </c>
      <c r="C428" s="26" t="s">
        <v>583</v>
      </c>
      <c r="D428" s="26"/>
      <c r="E428" s="29">
        <f>+'APU CAP 5'!H430</f>
        <v>517604.00000000006</v>
      </c>
      <c r="F428" s="16">
        <f t="shared" ref="F428:F436" si="32">+D428*E428</f>
        <v>0</v>
      </c>
      <c r="G428" s="8">
        <f t="shared" si="30"/>
        <v>0</v>
      </c>
    </row>
    <row r="429" spans="1:9" x14ac:dyDescent="0.25">
      <c r="A429" s="31" t="s">
        <v>613</v>
      </c>
      <c r="B429" s="320" t="s">
        <v>607</v>
      </c>
      <c r="C429" s="26" t="s">
        <v>583</v>
      </c>
      <c r="D429" s="26"/>
      <c r="E429" s="29">
        <f>+'APU CAP 5'!P430</f>
        <v>620040.71428571432</v>
      </c>
      <c r="F429" s="16">
        <f t="shared" si="32"/>
        <v>0</v>
      </c>
      <c r="G429" s="8">
        <f t="shared" si="30"/>
        <v>0</v>
      </c>
    </row>
    <row r="430" spans="1:9" x14ac:dyDescent="0.25">
      <c r="A430" s="31" t="s">
        <v>614</v>
      </c>
      <c r="B430" s="320" t="s">
        <v>608</v>
      </c>
      <c r="C430" s="26" t="s">
        <v>583</v>
      </c>
      <c r="D430" s="26"/>
      <c r="E430" s="29">
        <f>+'APU CAP 5'!X430</f>
        <v>739215.5</v>
      </c>
      <c r="F430" s="16">
        <f t="shared" si="32"/>
        <v>0</v>
      </c>
      <c r="G430" s="8">
        <f t="shared" si="30"/>
        <v>0</v>
      </c>
    </row>
    <row r="431" spans="1:9" x14ac:dyDescent="0.25">
      <c r="A431" s="31" t="s">
        <v>615</v>
      </c>
      <c r="B431" s="320" t="s">
        <v>609</v>
      </c>
      <c r="C431" s="26" t="s">
        <v>583</v>
      </c>
      <c r="D431" s="26"/>
      <c r="E431" s="29">
        <f>+'APU CAP 5'!H430</f>
        <v>517604.00000000006</v>
      </c>
      <c r="F431" s="16">
        <f t="shared" si="32"/>
        <v>0</v>
      </c>
      <c r="G431" s="8">
        <f t="shared" si="30"/>
        <v>0</v>
      </c>
    </row>
    <row r="432" spans="1:9" x14ac:dyDescent="0.25">
      <c r="A432" s="31" t="s">
        <v>616</v>
      </c>
      <c r="B432" s="320" t="s">
        <v>610</v>
      </c>
      <c r="C432" s="26" t="s">
        <v>583</v>
      </c>
      <c r="D432" s="26"/>
      <c r="E432" s="29">
        <f>+'APU CAP 5'!P430</f>
        <v>620040.71428571432</v>
      </c>
      <c r="F432" s="16">
        <f t="shared" si="32"/>
        <v>0</v>
      </c>
      <c r="G432" s="8">
        <f t="shared" si="30"/>
        <v>0</v>
      </c>
    </row>
    <row r="433" spans="1:7" x14ac:dyDescent="0.25">
      <c r="A433" s="31" t="s">
        <v>617</v>
      </c>
      <c r="B433" s="320" t="s">
        <v>611</v>
      </c>
      <c r="C433" s="26" t="s">
        <v>583</v>
      </c>
      <c r="D433" s="26"/>
      <c r="E433" s="29">
        <f>+'APU CAP 5'!X430</f>
        <v>739215.5</v>
      </c>
      <c r="F433" s="16">
        <f t="shared" si="32"/>
        <v>0</v>
      </c>
      <c r="G433" s="8">
        <f t="shared" si="30"/>
        <v>0</v>
      </c>
    </row>
    <row r="434" spans="1:7" x14ac:dyDescent="0.25">
      <c r="A434" s="31" t="s">
        <v>618</v>
      </c>
      <c r="B434" s="320" t="s">
        <v>612</v>
      </c>
      <c r="C434" s="26" t="s">
        <v>583</v>
      </c>
      <c r="D434" s="26"/>
      <c r="E434" s="29">
        <f>+'APU CAP 5'!X430</f>
        <v>739215.5</v>
      </c>
      <c r="F434" s="16">
        <f t="shared" si="32"/>
        <v>0</v>
      </c>
      <c r="G434" s="8">
        <f t="shared" si="30"/>
        <v>0</v>
      </c>
    </row>
    <row r="435" spans="1:7" x14ac:dyDescent="0.25">
      <c r="A435" s="31" t="s">
        <v>619</v>
      </c>
      <c r="B435" s="320" t="s">
        <v>620</v>
      </c>
      <c r="C435" s="26" t="s">
        <v>583</v>
      </c>
      <c r="D435" s="26"/>
      <c r="E435" s="29">
        <f>+'APU CAP 5'!P430</f>
        <v>620040.71428571432</v>
      </c>
      <c r="F435" s="16">
        <f t="shared" si="32"/>
        <v>0</v>
      </c>
      <c r="G435" s="8">
        <f t="shared" si="30"/>
        <v>0</v>
      </c>
    </row>
    <row r="436" spans="1:7" x14ac:dyDescent="0.25">
      <c r="A436" s="31" t="s">
        <v>621</v>
      </c>
      <c r="B436" s="320" t="s">
        <v>671</v>
      </c>
      <c r="C436" s="26" t="s">
        <v>583</v>
      </c>
      <c r="D436" s="26"/>
      <c r="E436" s="29"/>
      <c r="F436" s="16">
        <f t="shared" si="32"/>
        <v>0</v>
      </c>
      <c r="G436" s="8">
        <f t="shared" si="30"/>
        <v>0</v>
      </c>
    </row>
    <row r="437" spans="1:7" x14ac:dyDescent="0.25">
      <c r="A437" s="27" t="s">
        <v>622</v>
      </c>
      <c r="B437" s="321" t="s">
        <v>633</v>
      </c>
      <c r="C437" s="26"/>
      <c r="D437" s="26"/>
      <c r="E437" s="29"/>
      <c r="F437" s="16"/>
      <c r="G437" s="8">
        <f t="shared" si="30"/>
        <v>0</v>
      </c>
    </row>
    <row r="438" spans="1:7" x14ac:dyDescent="0.25">
      <c r="A438" s="31" t="s">
        <v>623</v>
      </c>
      <c r="B438" s="320" t="s">
        <v>606</v>
      </c>
      <c r="C438" s="26" t="s">
        <v>583</v>
      </c>
      <c r="D438" s="26"/>
      <c r="E438" s="29">
        <f>+'APU CAP 5'!H484</f>
        <v>556223</v>
      </c>
      <c r="F438" s="16">
        <f t="shared" ref="F438:F446" si="33">+D438*E438</f>
        <v>0</v>
      </c>
      <c r="G438" s="8">
        <f t="shared" si="30"/>
        <v>0</v>
      </c>
    </row>
    <row r="439" spans="1:7" x14ac:dyDescent="0.25">
      <c r="A439" s="31" t="s">
        <v>624</v>
      </c>
      <c r="B439" s="320" t="s">
        <v>607</v>
      </c>
      <c r="C439" s="26" t="s">
        <v>583</v>
      </c>
      <c r="D439" s="26"/>
      <c r="E439" s="29">
        <f>+'APU CAP 5'!P484</f>
        <v>658659.71428571432</v>
      </c>
      <c r="F439" s="16">
        <f t="shared" si="33"/>
        <v>0</v>
      </c>
      <c r="G439" s="8">
        <f t="shared" si="30"/>
        <v>0</v>
      </c>
    </row>
    <row r="440" spans="1:7" x14ac:dyDescent="0.25">
      <c r="A440" s="31" t="s">
        <v>625</v>
      </c>
      <c r="B440" s="320" t="s">
        <v>608</v>
      </c>
      <c r="C440" s="26" t="s">
        <v>583</v>
      </c>
      <c r="D440" s="26"/>
      <c r="E440" s="29">
        <f>+'APU CAP 5'!X484</f>
        <v>776934.5</v>
      </c>
      <c r="F440" s="16">
        <f t="shared" si="33"/>
        <v>0</v>
      </c>
      <c r="G440" s="8">
        <f t="shared" si="30"/>
        <v>0</v>
      </c>
    </row>
    <row r="441" spans="1:7" x14ac:dyDescent="0.25">
      <c r="A441" s="31" t="s">
        <v>626</v>
      </c>
      <c r="B441" s="320" t="s">
        <v>609</v>
      </c>
      <c r="C441" s="26" t="s">
        <v>583</v>
      </c>
      <c r="D441" s="26"/>
      <c r="E441" s="29">
        <f>+'APU CAP 5'!H484</f>
        <v>556223</v>
      </c>
      <c r="F441" s="16">
        <f t="shared" si="33"/>
        <v>0</v>
      </c>
      <c r="G441" s="8">
        <f t="shared" si="30"/>
        <v>0</v>
      </c>
    </row>
    <row r="442" spans="1:7" x14ac:dyDescent="0.25">
      <c r="A442" s="31" t="s">
        <v>627</v>
      </c>
      <c r="B442" s="320" t="s">
        <v>610</v>
      </c>
      <c r="C442" s="26" t="s">
        <v>583</v>
      </c>
      <c r="D442" s="26"/>
      <c r="E442" s="29">
        <f>+'APU CAP 5'!P484</f>
        <v>658659.71428571432</v>
      </c>
      <c r="F442" s="16">
        <f t="shared" si="33"/>
        <v>0</v>
      </c>
      <c r="G442" s="8">
        <f t="shared" si="30"/>
        <v>0</v>
      </c>
    </row>
    <row r="443" spans="1:7" x14ac:dyDescent="0.25">
      <c r="A443" s="31" t="s">
        <v>628</v>
      </c>
      <c r="B443" s="320" t="s">
        <v>611</v>
      </c>
      <c r="C443" s="26" t="s">
        <v>583</v>
      </c>
      <c r="D443" s="26"/>
      <c r="E443" s="29">
        <f>+'APU CAP 5'!X484</f>
        <v>776934.5</v>
      </c>
      <c r="F443" s="16">
        <f t="shared" si="33"/>
        <v>0</v>
      </c>
      <c r="G443" s="8">
        <f t="shared" si="30"/>
        <v>0</v>
      </c>
    </row>
    <row r="444" spans="1:7" x14ac:dyDescent="0.25">
      <c r="A444" s="31" t="s">
        <v>629</v>
      </c>
      <c r="B444" s="320" t="s">
        <v>612</v>
      </c>
      <c r="C444" s="26" t="s">
        <v>583</v>
      </c>
      <c r="D444" s="26"/>
      <c r="E444" s="29">
        <f>+'APU CAP 5'!X484</f>
        <v>776934.5</v>
      </c>
      <c r="F444" s="16">
        <f t="shared" si="33"/>
        <v>0</v>
      </c>
      <c r="G444" s="8">
        <f t="shared" si="30"/>
        <v>0</v>
      </c>
    </row>
    <row r="445" spans="1:7" x14ac:dyDescent="0.25">
      <c r="A445" s="31" t="s">
        <v>630</v>
      </c>
      <c r="B445" s="320" t="s">
        <v>620</v>
      </c>
      <c r="C445" s="26" t="s">
        <v>583</v>
      </c>
      <c r="D445" s="26"/>
      <c r="E445" s="29">
        <f>+'APU CAP 5'!P484</f>
        <v>658659.71428571432</v>
      </c>
      <c r="F445" s="16">
        <f t="shared" si="33"/>
        <v>0</v>
      </c>
      <c r="G445" s="8">
        <f t="shared" si="30"/>
        <v>0</v>
      </c>
    </row>
    <row r="446" spans="1:7" x14ac:dyDescent="0.25">
      <c r="A446" s="31" t="s">
        <v>631</v>
      </c>
      <c r="B446" s="320" t="s">
        <v>671</v>
      </c>
      <c r="C446" s="26" t="s">
        <v>583</v>
      </c>
      <c r="D446" s="26"/>
      <c r="E446" s="29"/>
      <c r="F446" s="16">
        <f t="shared" si="33"/>
        <v>0</v>
      </c>
      <c r="G446" s="8">
        <f t="shared" si="30"/>
        <v>0</v>
      </c>
    </row>
    <row r="447" spans="1:7" x14ac:dyDescent="0.25">
      <c r="A447" s="27" t="s">
        <v>634</v>
      </c>
      <c r="B447" s="321" t="s">
        <v>632</v>
      </c>
      <c r="C447" s="26"/>
      <c r="D447" s="26"/>
      <c r="E447" s="29"/>
      <c r="F447" s="16"/>
      <c r="G447" s="8">
        <f t="shared" si="30"/>
        <v>0</v>
      </c>
    </row>
    <row r="448" spans="1:7" x14ac:dyDescent="0.25">
      <c r="A448" s="31" t="s">
        <v>635</v>
      </c>
      <c r="B448" s="320" t="s">
        <v>606</v>
      </c>
      <c r="C448" s="26" t="s">
        <v>583</v>
      </c>
      <c r="D448" s="26">
        <v>8.4</v>
      </c>
      <c r="E448" s="29">
        <f>+'APU CAP 5'!H538</f>
        <v>554067</v>
      </c>
      <c r="F448" s="16">
        <f t="shared" ref="F448:F456" si="34">+D448*E448</f>
        <v>4654162.8</v>
      </c>
      <c r="G448" s="8">
        <f t="shared" si="30"/>
        <v>1</v>
      </c>
    </row>
    <row r="449" spans="1:7" x14ac:dyDescent="0.25">
      <c r="A449" s="31" t="s">
        <v>636</v>
      </c>
      <c r="B449" s="320" t="s">
        <v>607</v>
      </c>
      <c r="C449" s="26" t="s">
        <v>583</v>
      </c>
      <c r="D449" s="26">
        <v>14.3</v>
      </c>
      <c r="E449" s="29">
        <f>+'APU CAP 5'!P538</f>
        <v>669769.71428571432</v>
      </c>
      <c r="F449" s="16">
        <f t="shared" si="34"/>
        <v>9577706.9142857157</v>
      </c>
      <c r="G449" s="8">
        <f t="shared" si="30"/>
        <v>1</v>
      </c>
    </row>
    <row r="450" spans="1:7" x14ac:dyDescent="0.25">
      <c r="A450" s="31" t="s">
        <v>637</v>
      </c>
      <c r="B450" s="320" t="s">
        <v>608</v>
      </c>
      <c r="C450" s="26" t="s">
        <v>583</v>
      </c>
      <c r="D450" s="26">
        <v>8.4</v>
      </c>
      <c r="E450" s="29">
        <f>+'APU CAP 5'!X538</f>
        <v>808892.5</v>
      </c>
      <c r="F450" s="16">
        <f t="shared" si="34"/>
        <v>6794697</v>
      </c>
      <c r="G450" s="8">
        <f t="shared" si="30"/>
        <v>1</v>
      </c>
    </row>
    <row r="451" spans="1:7" x14ac:dyDescent="0.25">
      <c r="A451" s="31" t="s">
        <v>638</v>
      </c>
      <c r="B451" s="320" t="s">
        <v>609</v>
      </c>
      <c r="C451" s="26" t="s">
        <v>583</v>
      </c>
      <c r="D451" s="26"/>
      <c r="E451" s="29">
        <f>+'APU CAP 5'!H538</f>
        <v>554067</v>
      </c>
      <c r="F451" s="16">
        <f t="shared" si="34"/>
        <v>0</v>
      </c>
      <c r="G451" s="8">
        <f t="shared" si="30"/>
        <v>0</v>
      </c>
    </row>
    <row r="452" spans="1:7" x14ac:dyDescent="0.25">
      <c r="A452" s="31" t="s">
        <v>639</v>
      </c>
      <c r="B452" s="320" t="s">
        <v>610</v>
      </c>
      <c r="C452" s="26" t="s">
        <v>583</v>
      </c>
      <c r="D452" s="26"/>
      <c r="E452" s="29">
        <f>+'APU CAP 5'!P538</f>
        <v>669769.71428571432</v>
      </c>
      <c r="F452" s="16">
        <f t="shared" si="34"/>
        <v>0</v>
      </c>
      <c r="G452" s="8">
        <f t="shared" si="30"/>
        <v>0</v>
      </c>
    </row>
    <row r="453" spans="1:7" x14ac:dyDescent="0.25">
      <c r="A453" s="31" t="s">
        <v>640</v>
      </c>
      <c r="B453" s="320" t="s">
        <v>611</v>
      </c>
      <c r="C453" s="26" t="s">
        <v>583</v>
      </c>
      <c r="D453" s="26"/>
      <c r="E453" s="29">
        <f>+'APU CAP 5'!X538</f>
        <v>808892.5</v>
      </c>
      <c r="F453" s="16">
        <f t="shared" si="34"/>
        <v>0</v>
      </c>
      <c r="G453" s="8">
        <f t="shared" si="30"/>
        <v>0</v>
      </c>
    </row>
    <row r="454" spans="1:7" x14ac:dyDescent="0.25">
      <c r="A454" s="31" t="s">
        <v>641</v>
      </c>
      <c r="B454" s="320" t="s">
        <v>612</v>
      </c>
      <c r="C454" s="26" t="s">
        <v>583</v>
      </c>
      <c r="D454" s="26"/>
      <c r="E454" s="29">
        <f>+'APU CAP 5'!X538</f>
        <v>808892.5</v>
      </c>
      <c r="F454" s="16">
        <f t="shared" si="34"/>
        <v>0</v>
      </c>
      <c r="G454" s="8">
        <f t="shared" si="30"/>
        <v>0</v>
      </c>
    </row>
    <row r="455" spans="1:7" x14ac:dyDescent="0.25">
      <c r="A455" s="31" t="s">
        <v>642</v>
      </c>
      <c r="B455" s="320" t="s">
        <v>620</v>
      </c>
      <c r="C455" s="26" t="s">
        <v>583</v>
      </c>
      <c r="D455" s="26"/>
      <c r="E455" s="29">
        <f>+'APU CAP 5'!P538</f>
        <v>669769.71428571432</v>
      </c>
      <c r="F455" s="16">
        <f t="shared" si="34"/>
        <v>0</v>
      </c>
      <c r="G455" s="8">
        <f t="shared" si="30"/>
        <v>0</v>
      </c>
    </row>
    <row r="456" spans="1:7" x14ac:dyDescent="0.25">
      <c r="A456" s="31" t="s">
        <v>643</v>
      </c>
      <c r="B456" s="320" t="s">
        <v>671</v>
      </c>
      <c r="C456" s="26" t="s">
        <v>583</v>
      </c>
      <c r="D456" s="26"/>
      <c r="E456" s="29"/>
      <c r="F456" s="16">
        <f t="shared" si="34"/>
        <v>0</v>
      </c>
      <c r="G456" s="8">
        <f t="shared" si="30"/>
        <v>0</v>
      </c>
    </row>
    <row r="457" spans="1:7" x14ac:dyDescent="0.25">
      <c r="A457" s="27" t="s">
        <v>634</v>
      </c>
      <c r="B457" s="321" t="s">
        <v>6122</v>
      </c>
      <c r="C457" s="26"/>
      <c r="D457" s="26"/>
      <c r="E457" s="456"/>
      <c r="F457" s="457"/>
      <c r="G457" s="8">
        <f t="shared" si="30"/>
        <v>0</v>
      </c>
    </row>
    <row r="458" spans="1:7" x14ac:dyDescent="0.25">
      <c r="A458" s="31" t="s">
        <v>635</v>
      </c>
      <c r="B458" s="320" t="s">
        <v>606</v>
      </c>
      <c r="C458" s="26" t="s">
        <v>583</v>
      </c>
      <c r="D458" s="26"/>
      <c r="E458" s="456">
        <f>+'APU CAP 5'!H592</f>
        <v>609251.25</v>
      </c>
      <c r="F458" s="457">
        <f t="shared" ref="F458:F466" si="35">+D458*E458</f>
        <v>0</v>
      </c>
      <c r="G458" s="8">
        <f t="shared" si="30"/>
        <v>0</v>
      </c>
    </row>
    <row r="459" spans="1:7" x14ac:dyDescent="0.25">
      <c r="A459" s="31" t="s">
        <v>636</v>
      </c>
      <c r="B459" s="320" t="s">
        <v>607</v>
      </c>
      <c r="C459" s="26" t="s">
        <v>583</v>
      </c>
      <c r="D459" s="26"/>
      <c r="E459" s="456">
        <f>+'APU CAP 5'!P592</f>
        <v>740638</v>
      </c>
      <c r="F459" s="457">
        <f t="shared" si="35"/>
        <v>0</v>
      </c>
      <c r="G459" s="8">
        <f t="shared" ref="G459:G522" si="36">+IF(F459&lt;&gt;0,1,0)</f>
        <v>0</v>
      </c>
    </row>
    <row r="460" spans="1:7" x14ac:dyDescent="0.25">
      <c r="A460" s="31" t="s">
        <v>637</v>
      </c>
      <c r="B460" s="320" t="s">
        <v>608</v>
      </c>
      <c r="C460" s="26" t="s">
        <v>583</v>
      </c>
      <c r="D460" s="26"/>
      <c r="E460" s="456">
        <f>+'APU CAP 5'!X592</f>
        <v>932246.5</v>
      </c>
      <c r="F460" s="457">
        <f t="shared" si="35"/>
        <v>0</v>
      </c>
      <c r="G460" s="8">
        <f t="shared" si="36"/>
        <v>0</v>
      </c>
    </row>
    <row r="461" spans="1:7" x14ac:dyDescent="0.25">
      <c r="A461" s="31" t="s">
        <v>638</v>
      </c>
      <c r="B461" s="320" t="s">
        <v>609</v>
      </c>
      <c r="C461" s="26" t="s">
        <v>583</v>
      </c>
      <c r="D461" s="26"/>
      <c r="E461" s="456">
        <f>+'APU CAP 5'!H592</f>
        <v>609251.25</v>
      </c>
      <c r="F461" s="457">
        <f t="shared" si="35"/>
        <v>0</v>
      </c>
      <c r="G461" s="8">
        <f t="shared" si="36"/>
        <v>0</v>
      </c>
    </row>
    <row r="462" spans="1:7" x14ac:dyDescent="0.25">
      <c r="A462" s="31" t="s">
        <v>639</v>
      </c>
      <c r="B462" s="320" t="s">
        <v>610</v>
      </c>
      <c r="C462" s="26" t="s">
        <v>583</v>
      </c>
      <c r="D462" s="26"/>
      <c r="E462" s="456">
        <f>+'APU CAP 5'!P592</f>
        <v>740638</v>
      </c>
      <c r="F462" s="457">
        <f t="shared" si="35"/>
        <v>0</v>
      </c>
      <c r="G462" s="8">
        <f t="shared" si="36"/>
        <v>0</v>
      </c>
    </row>
    <row r="463" spans="1:7" x14ac:dyDescent="0.25">
      <c r="A463" s="31" t="s">
        <v>640</v>
      </c>
      <c r="B463" s="320" t="s">
        <v>611</v>
      </c>
      <c r="C463" s="26" t="s">
        <v>583</v>
      </c>
      <c r="D463" s="26"/>
      <c r="E463" s="456">
        <f>+'APU CAP 5'!X592</f>
        <v>932246.5</v>
      </c>
      <c r="F463" s="457">
        <f t="shared" si="35"/>
        <v>0</v>
      </c>
      <c r="G463" s="8">
        <f t="shared" si="36"/>
        <v>0</v>
      </c>
    </row>
    <row r="464" spans="1:7" x14ac:dyDescent="0.25">
      <c r="A464" s="31" t="s">
        <v>641</v>
      </c>
      <c r="B464" s="320" t="s">
        <v>612</v>
      </c>
      <c r="C464" s="26" t="s">
        <v>583</v>
      </c>
      <c r="D464" s="26"/>
      <c r="E464" s="456">
        <f>+'APU CAP 5'!X592</f>
        <v>932246.5</v>
      </c>
      <c r="F464" s="457">
        <f t="shared" si="35"/>
        <v>0</v>
      </c>
      <c r="G464" s="8">
        <f t="shared" si="36"/>
        <v>0</v>
      </c>
    </row>
    <row r="465" spans="1:7" x14ac:dyDescent="0.25">
      <c r="A465" s="31" t="s">
        <v>642</v>
      </c>
      <c r="B465" s="320" t="s">
        <v>620</v>
      </c>
      <c r="C465" s="26" t="s">
        <v>583</v>
      </c>
      <c r="D465" s="26"/>
      <c r="E465" s="456">
        <f>+'APU CAP 5'!P592</f>
        <v>740638</v>
      </c>
      <c r="F465" s="457">
        <f t="shared" si="35"/>
        <v>0</v>
      </c>
      <c r="G465" s="8">
        <f t="shared" si="36"/>
        <v>0</v>
      </c>
    </row>
    <row r="466" spans="1:7" x14ac:dyDescent="0.25">
      <c r="A466" s="31" t="s">
        <v>643</v>
      </c>
      <c r="B466" s="320" t="s">
        <v>671</v>
      </c>
      <c r="C466" s="26" t="s">
        <v>583</v>
      </c>
      <c r="D466" s="26"/>
      <c r="E466" s="456"/>
      <c r="F466" s="457">
        <f t="shared" si="35"/>
        <v>0</v>
      </c>
      <c r="G466" s="8">
        <f t="shared" si="36"/>
        <v>0</v>
      </c>
    </row>
    <row r="467" spans="1:7" x14ac:dyDescent="0.25">
      <c r="A467" s="27" t="s">
        <v>644</v>
      </c>
      <c r="B467" s="321" t="s">
        <v>645</v>
      </c>
      <c r="C467" s="26"/>
      <c r="D467" s="26"/>
      <c r="E467" s="29"/>
      <c r="F467" s="16"/>
      <c r="G467" s="8">
        <f t="shared" si="36"/>
        <v>0</v>
      </c>
    </row>
    <row r="468" spans="1:7" x14ac:dyDescent="0.25">
      <c r="A468" s="27" t="s">
        <v>646</v>
      </c>
      <c r="B468" s="321" t="s">
        <v>649</v>
      </c>
      <c r="C468" s="26"/>
      <c r="D468" s="26"/>
      <c r="E468" s="29"/>
      <c r="F468" s="16"/>
      <c r="G468" s="8">
        <f t="shared" si="36"/>
        <v>0</v>
      </c>
    </row>
    <row r="469" spans="1:7" x14ac:dyDescent="0.25">
      <c r="A469" s="31" t="s">
        <v>647</v>
      </c>
      <c r="B469" s="320" t="s">
        <v>650</v>
      </c>
      <c r="C469" s="26" t="s">
        <v>683</v>
      </c>
      <c r="D469" s="26"/>
      <c r="E469" s="29"/>
      <c r="F469" s="16">
        <f>+D469*E469</f>
        <v>0</v>
      </c>
      <c r="G469" s="8">
        <f t="shared" si="36"/>
        <v>0</v>
      </c>
    </row>
    <row r="470" spans="1:7" x14ac:dyDescent="0.25">
      <c r="A470" s="31" t="s">
        <v>648</v>
      </c>
      <c r="B470" s="320" t="s">
        <v>651</v>
      </c>
      <c r="C470" s="26" t="s">
        <v>683</v>
      </c>
      <c r="D470" s="26"/>
      <c r="E470" s="29"/>
      <c r="F470" s="16">
        <f>+D470*E470</f>
        <v>0</v>
      </c>
      <c r="G470" s="8">
        <f t="shared" si="36"/>
        <v>0</v>
      </c>
    </row>
    <row r="471" spans="1:7" x14ac:dyDescent="0.25">
      <c r="A471" s="27" t="s">
        <v>588</v>
      </c>
      <c r="B471" s="321" t="s">
        <v>652</v>
      </c>
      <c r="C471" s="26"/>
      <c r="D471" s="26"/>
      <c r="E471" s="29"/>
      <c r="F471" s="16"/>
      <c r="G471" s="8">
        <v>1</v>
      </c>
    </row>
    <row r="472" spans="1:7" x14ac:dyDescent="0.25">
      <c r="A472" s="31" t="s">
        <v>589</v>
      </c>
      <c r="B472" s="320" t="s">
        <v>590</v>
      </c>
      <c r="C472" s="26" t="s">
        <v>591</v>
      </c>
      <c r="D472" s="26">
        <v>4540</v>
      </c>
      <c r="E472" s="29">
        <f>+'APU CAP 5'!H970</f>
        <v>3455</v>
      </c>
      <c r="F472" s="16">
        <f>+D472*E472</f>
        <v>15685700</v>
      </c>
      <c r="G472" s="8">
        <f t="shared" si="36"/>
        <v>1</v>
      </c>
    </row>
    <row r="473" spans="1:7" x14ac:dyDescent="0.25">
      <c r="A473" s="27" t="s">
        <v>653</v>
      </c>
      <c r="B473" s="321" t="s">
        <v>654</v>
      </c>
      <c r="C473" s="26"/>
      <c r="D473" s="26"/>
      <c r="E473" s="29"/>
      <c r="F473" s="16"/>
      <c r="G473" s="8">
        <f t="shared" si="36"/>
        <v>0</v>
      </c>
    </row>
    <row r="474" spans="1:7" x14ac:dyDescent="0.25">
      <c r="A474" s="31" t="s">
        <v>5859</v>
      </c>
      <c r="B474" s="320" t="s">
        <v>655</v>
      </c>
      <c r="C474" s="26" t="s">
        <v>591</v>
      </c>
      <c r="D474" s="26"/>
      <c r="E474" s="29">
        <f>+'APU CAP 5'!P970</f>
        <v>3322</v>
      </c>
      <c r="F474" s="16">
        <f>+D474*E474</f>
        <v>0</v>
      </c>
      <c r="G474" s="8">
        <f t="shared" si="36"/>
        <v>0</v>
      </c>
    </row>
    <row r="475" spans="1:7" x14ac:dyDescent="0.25">
      <c r="A475" s="31" t="s">
        <v>5860</v>
      </c>
      <c r="B475" s="320" t="s">
        <v>656</v>
      </c>
      <c r="C475" s="26" t="s">
        <v>591</v>
      </c>
      <c r="D475" s="26"/>
      <c r="E475" s="29">
        <f>+'APU CAP 5'!X970</f>
        <v>4037</v>
      </c>
      <c r="F475" s="16">
        <f>+D475*E475</f>
        <v>0</v>
      </c>
      <c r="G475" s="8">
        <f t="shared" si="36"/>
        <v>0</v>
      </c>
    </row>
    <row r="476" spans="1:7" x14ac:dyDescent="0.25">
      <c r="A476" s="27" t="s">
        <v>657</v>
      </c>
      <c r="B476" s="321" t="s">
        <v>658</v>
      </c>
      <c r="C476" s="26"/>
      <c r="D476" s="26"/>
      <c r="E476" s="29"/>
      <c r="F476" s="16"/>
      <c r="G476" s="8">
        <f t="shared" si="36"/>
        <v>0</v>
      </c>
    </row>
    <row r="477" spans="1:7" x14ac:dyDescent="0.25">
      <c r="A477" s="31" t="s">
        <v>659</v>
      </c>
      <c r="B477" s="320" t="s">
        <v>660</v>
      </c>
      <c r="C477" s="26" t="s">
        <v>591</v>
      </c>
      <c r="D477" s="26"/>
      <c r="E477" s="29">
        <f>+'APU CAP 5'!H1024</f>
        <v>68668</v>
      </c>
      <c r="F477" s="16">
        <f>+D477*E477</f>
        <v>0</v>
      </c>
      <c r="G477" s="8">
        <f t="shared" si="36"/>
        <v>0</v>
      </c>
    </row>
    <row r="478" spans="1:7" x14ac:dyDescent="0.25">
      <c r="A478" s="31" t="s">
        <v>664</v>
      </c>
      <c r="B478" s="320" t="s">
        <v>661</v>
      </c>
      <c r="C478" s="26" t="s">
        <v>591</v>
      </c>
      <c r="D478" s="26">
        <v>51</v>
      </c>
      <c r="E478" s="29">
        <f>+'APU CAP 5'!H1078</f>
        <v>8894</v>
      </c>
      <c r="F478" s="16">
        <f>+D478*E478</f>
        <v>453594</v>
      </c>
      <c r="G478" s="8">
        <f t="shared" si="36"/>
        <v>1</v>
      </c>
    </row>
    <row r="479" spans="1:7" x14ac:dyDescent="0.25">
      <c r="A479" s="31" t="s">
        <v>665</v>
      </c>
      <c r="B479" s="320" t="s">
        <v>662</v>
      </c>
      <c r="C479" s="26" t="s">
        <v>591</v>
      </c>
      <c r="D479" s="26"/>
      <c r="E479" s="29">
        <f>+'APU CAP 5'!H1132</f>
        <v>9723</v>
      </c>
      <c r="F479" s="16">
        <f>+D479*E479</f>
        <v>0</v>
      </c>
      <c r="G479" s="8">
        <f t="shared" si="36"/>
        <v>0</v>
      </c>
    </row>
    <row r="480" spans="1:7" x14ac:dyDescent="0.25">
      <c r="A480" s="31" t="s">
        <v>666</v>
      </c>
      <c r="B480" s="320" t="s">
        <v>663</v>
      </c>
      <c r="C480" s="26" t="s">
        <v>591</v>
      </c>
      <c r="D480" s="26"/>
      <c r="E480" s="29">
        <f>+'APU CAP 5'!H1186</f>
        <v>6166</v>
      </c>
      <c r="F480" s="16">
        <f>+D480*E480</f>
        <v>0</v>
      </c>
      <c r="G480" s="8">
        <f t="shared" si="36"/>
        <v>0</v>
      </c>
    </row>
    <row r="481" spans="1:7" x14ac:dyDescent="0.25">
      <c r="A481" s="27" t="s">
        <v>592</v>
      </c>
      <c r="B481" s="321" t="s">
        <v>593</v>
      </c>
      <c r="C481" s="26"/>
      <c r="D481" s="26"/>
      <c r="E481" s="29"/>
      <c r="F481" s="16"/>
      <c r="G481" s="8">
        <f t="shared" si="36"/>
        <v>0</v>
      </c>
    </row>
    <row r="482" spans="1:7" x14ac:dyDescent="0.25">
      <c r="A482" s="17" t="s">
        <v>667</v>
      </c>
      <c r="B482" s="18" t="s">
        <v>669</v>
      </c>
      <c r="C482" s="14" t="s">
        <v>14</v>
      </c>
      <c r="D482" s="14">
        <v>30</v>
      </c>
      <c r="E482" s="15">
        <f>+'APU CAP 5'!H1240</f>
        <v>31320</v>
      </c>
      <c r="F482" s="16">
        <f>+D482*E482</f>
        <v>939600</v>
      </c>
      <c r="G482" s="8">
        <f t="shared" si="36"/>
        <v>1</v>
      </c>
    </row>
    <row r="483" spans="1:7" x14ac:dyDescent="0.25">
      <c r="A483" s="17" t="s">
        <v>668</v>
      </c>
      <c r="B483" s="18" t="s">
        <v>670</v>
      </c>
      <c r="C483" s="14" t="s">
        <v>14</v>
      </c>
      <c r="D483" s="14"/>
      <c r="E483" s="15">
        <f>+'APU CAP 5'!H1294</f>
        <v>48291</v>
      </c>
      <c r="F483" s="16">
        <f>+D483*E483</f>
        <v>0</v>
      </c>
      <c r="G483" s="8">
        <f t="shared" si="36"/>
        <v>0</v>
      </c>
    </row>
    <row r="484" spans="1:7" x14ac:dyDescent="0.25">
      <c r="A484" s="2454" t="s">
        <v>842</v>
      </c>
      <c r="B484" s="2455"/>
      <c r="C484" s="2455"/>
      <c r="D484" s="2455"/>
      <c r="E484" s="2455"/>
      <c r="F484" s="19">
        <f>SUM(F420:F483)</f>
        <v>38900418.514285713</v>
      </c>
      <c r="G484" s="8">
        <f t="shared" si="36"/>
        <v>1</v>
      </c>
    </row>
    <row r="485" spans="1:7" x14ac:dyDescent="0.25">
      <c r="A485" s="458">
        <v>6</v>
      </c>
      <c r="B485" s="459" t="s">
        <v>5867</v>
      </c>
      <c r="C485" s="63"/>
      <c r="D485" s="63"/>
      <c r="E485" s="460"/>
      <c r="F485" s="461"/>
      <c r="G485" s="8">
        <v>1</v>
      </c>
    </row>
    <row r="486" spans="1:7" x14ac:dyDescent="0.25">
      <c r="A486" s="12" t="s">
        <v>673</v>
      </c>
      <c r="B486" s="13" t="s">
        <v>672</v>
      </c>
      <c r="C486" s="14"/>
      <c r="D486" s="14"/>
      <c r="E486" s="15"/>
      <c r="F486" s="16"/>
      <c r="G486" s="8">
        <v>1</v>
      </c>
    </row>
    <row r="487" spans="1:7" x14ac:dyDescent="0.25">
      <c r="A487" s="12" t="s">
        <v>674</v>
      </c>
      <c r="B487" s="13" t="s">
        <v>811</v>
      </c>
      <c r="C487" s="14"/>
      <c r="D487" s="14"/>
      <c r="E487" s="15"/>
      <c r="F487" s="16"/>
      <c r="G487" s="8">
        <f t="shared" si="36"/>
        <v>0</v>
      </c>
    </row>
    <row r="488" spans="1:7" x14ac:dyDescent="0.25">
      <c r="A488" s="17" t="s">
        <v>812</v>
      </c>
      <c r="B488" s="18" t="s">
        <v>675</v>
      </c>
      <c r="C488" s="26" t="s">
        <v>683</v>
      </c>
      <c r="D488" s="14">
        <v>11</v>
      </c>
      <c r="E488" s="15">
        <f>+'APU CAP 6'!H272</f>
        <v>33748</v>
      </c>
      <c r="F488" s="16">
        <f>+D488*E488</f>
        <v>371228</v>
      </c>
      <c r="G488" s="8">
        <f t="shared" si="36"/>
        <v>1</v>
      </c>
    </row>
    <row r="489" spans="1:7" x14ac:dyDescent="0.25">
      <c r="A489" s="12" t="s">
        <v>679</v>
      </c>
      <c r="B489" s="13" t="s">
        <v>5868</v>
      </c>
      <c r="C489" s="14"/>
      <c r="D489" s="14"/>
      <c r="E489" s="15"/>
      <c r="F489" s="16"/>
      <c r="G489" s="8">
        <f t="shared" si="36"/>
        <v>0</v>
      </c>
    </row>
    <row r="490" spans="1:7" x14ac:dyDescent="0.25">
      <c r="A490" s="17" t="s">
        <v>680</v>
      </c>
      <c r="B490" s="18" t="s">
        <v>678</v>
      </c>
      <c r="C490" s="26" t="s">
        <v>683</v>
      </c>
      <c r="D490" s="14"/>
      <c r="E490" s="15">
        <f>+'APU CAP 6'!H218</f>
        <v>28791</v>
      </c>
      <c r="F490" s="16">
        <f>+D490*E490</f>
        <v>0</v>
      </c>
      <c r="G490" s="8">
        <f t="shared" si="36"/>
        <v>0</v>
      </c>
    </row>
    <row r="491" spans="1:7" x14ac:dyDescent="0.25">
      <c r="A491" s="17" t="s">
        <v>681</v>
      </c>
      <c r="B491" s="18" t="s">
        <v>676</v>
      </c>
      <c r="C491" s="26" t="s">
        <v>683</v>
      </c>
      <c r="D491" s="14"/>
      <c r="E491" s="15">
        <f>+'APU CAP 6'!P218</f>
        <v>47712</v>
      </c>
      <c r="F491" s="16">
        <f>+D491*E491</f>
        <v>0</v>
      </c>
      <c r="G491" s="8">
        <f t="shared" si="36"/>
        <v>0</v>
      </c>
    </row>
    <row r="492" spans="1:7" x14ac:dyDescent="0.25">
      <c r="A492" s="17" t="s">
        <v>682</v>
      </c>
      <c r="B492" s="18" t="s">
        <v>677</v>
      </c>
      <c r="C492" s="26" t="s">
        <v>683</v>
      </c>
      <c r="D492" s="14"/>
      <c r="E492" s="15">
        <f>+'APU CAP 6'!X218</f>
        <v>88919</v>
      </c>
      <c r="F492" s="16">
        <f>+D492*E492</f>
        <v>0</v>
      </c>
      <c r="G492" s="8">
        <f t="shared" si="36"/>
        <v>0</v>
      </c>
    </row>
    <row r="493" spans="1:7" x14ac:dyDescent="0.25">
      <c r="A493" s="12" t="s">
        <v>684</v>
      </c>
      <c r="B493" s="13" t="s">
        <v>685</v>
      </c>
      <c r="C493" s="14"/>
      <c r="D493" s="14"/>
      <c r="E493" s="15"/>
      <c r="F493" s="16"/>
      <c r="G493" s="8">
        <f t="shared" si="36"/>
        <v>0</v>
      </c>
    </row>
    <row r="494" spans="1:7" x14ac:dyDescent="0.25">
      <c r="A494" s="17" t="s">
        <v>686</v>
      </c>
      <c r="B494" s="18" t="s">
        <v>676</v>
      </c>
      <c r="C494" s="26" t="s">
        <v>683</v>
      </c>
      <c r="D494" s="14"/>
      <c r="E494" s="15">
        <f>+'APU CAP 6'!H380</f>
        <v>64942</v>
      </c>
      <c r="F494" s="16">
        <f>+D494*E494</f>
        <v>0</v>
      </c>
      <c r="G494" s="8">
        <f t="shared" si="36"/>
        <v>0</v>
      </c>
    </row>
    <row r="495" spans="1:7" x14ac:dyDescent="0.25">
      <c r="A495" s="17" t="s">
        <v>687</v>
      </c>
      <c r="B495" s="18" t="s">
        <v>677</v>
      </c>
      <c r="C495" s="26" t="s">
        <v>683</v>
      </c>
      <c r="D495" s="14"/>
      <c r="E495" s="15">
        <f>+'APU CAP 6'!P380</f>
        <v>71108</v>
      </c>
      <c r="F495" s="16">
        <f>+D495*E495</f>
        <v>0</v>
      </c>
      <c r="G495" s="8">
        <f t="shared" si="36"/>
        <v>0</v>
      </c>
    </row>
    <row r="496" spans="1:7" x14ac:dyDescent="0.25">
      <c r="A496" s="12" t="s">
        <v>690</v>
      </c>
      <c r="B496" s="13" t="s">
        <v>688</v>
      </c>
      <c r="C496" s="14"/>
      <c r="D496" s="14"/>
      <c r="E496" s="15"/>
      <c r="F496" s="16"/>
      <c r="G496" s="8">
        <f t="shared" si="36"/>
        <v>0</v>
      </c>
    </row>
    <row r="497" spans="1:7" x14ac:dyDescent="0.25">
      <c r="A497" s="17" t="s">
        <v>689</v>
      </c>
      <c r="B497" s="18" t="s">
        <v>676</v>
      </c>
      <c r="C497" s="26" t="s">
        <v>683</v>
      </c>
      <c r="D497" s="14"/>
      <c r="E497" s="15">
        <f>+'APU CAP 6'!H326</f>
        <v>58048</v>
      </c>
      <c r="F497" s="16">
        <f>+D497*E497</f>
        <v>0</v>
      </c>
      <c r="G497" s="8">
        <f t="shared" si="36"/>
        <v>0</v>
      </c>
    </row>
    <row r="498" spans="1:7" x14ac:dyDescent="0.25">
      <c r="A498" s="17" t="s">
        <v>691</v>
      </c>
      <c r="B498" s="18" t="s">
        <v>677</v>
      </c>
      <c r="C498" s="26" t="s">
        <v>683</v>
      </c>
      <c r="D498" s="14"/>
      <c r="E498" s="15">
        <f>+'APU CAP 6'!P326</f>
        <v>105480</v>
      </c>
      <c r="F498" s="16">
        <f>+D498*E498</f>
        <v>0</v>
      </c>
      <c r="G498" s="8">
        <f t="shared" si="36"/>
        <v>0</v>
      </c>
    </row>
    <row r="499" spans="1:7" x14ac:dyDescent="0.25">
      <c r="A499" s="12" t="s">
        <v>693</v>
      </c>
      <c r="B499" s="13" t="s">
        <v>692</v>
      </c>
      <c r="C499" s="14"/>
      <c r="D499" s="14"/>
      <c r="E499" s="15"/>
      <c r="F499" s="16"/>
      <c r="G499" s="8">
        <v>1</v>
      </c>
    </row>
    <row r="500" spans="1:7" x14ac:dyDescent="0.25">
      <c r="A500" s="17" t="s">
        <v>694</v>
      </c>
      <c r="B500" s="18" t="s">
        <v>695</v>
      </c>
      <c r="C500" s="26" t="s">
        <v>683</v>
      </c>
      <c r="D500" s="14">
        <v>800</v>
      </c>
      <c r="E500" s="15">
        <f>+'APU CAP 6'!P434</f>
        <v>41546</v>
      </c>
      <c r="F500" s="16">
        <f>+D500*E500</f>
        <v>33236800</v>
      </c>
      <c r="G500" s="8">
        <f t="shared" si="36"/>
        <v>1</v>
      </c>
    </row>
    <row r="501" spans="1:7" x14ac:dyDescent="0.25">
      <c r="A501" s="17" t="s">
        <v>698</v>
      </c>
      <c r="B501" s="18" t="s">
        <v>696</v>
      </c>
      <c r="C501" s="26" t="s">
        <v>683</v>
      </c>
      <c r="D501" s="14"/>
      <c r="E501" s="15">
        <f>+'APU CAP 6'!H434</f>
        <v>14826</v>
      </c>
      <c r="F501" s="16">
        <f>+D501*E501</f>
        <v>0</v>
      </c>
      <c r="G501" s="8">
        <f t="shared" si="36"/>
        <v>0</v>
      </c>
    </row>
    <row r="502" spans="1:7" x14ac:dyDescent="0.25">
      <c r="A502" s="17" t="s">
        <v>699</v>
      </c>
      <c r="B502" s="18" t="s">
        <v>697</v>
      </c>
      <c r="C502" s="26" t="s">
        <v>683</v>
      </c>
      <c r="D502" s="14"/>
      <c r="E502" s="15">
        <f>+'APU CAP 6'!H488</f>
        <v>17633</v>
      </c>
      <c r="F502" s="16">
        <f>+D502*E502</f>
        <v>0</v>
      </c>
      <c r="G502" s="8">
        <f t="shared" si="36"/>
        <v>0</v>
      </c>
    </row>
    <row r="503" spans="1:7" x14ac:dyDescent="0.25">
      <c r="A503" s="17" t="s">
        <v>700</v>
      </c>
      <c r="B503" s="18" t="s">
        <v>5730</v>
      </c>
      <c r="C503" s="26" t="s">
        <v>701</v>
      </c>
      <c r="D503" s="14"/>
      <c r="E503" s="15">
        <f>+'APU CAP 6'!H542</f>
        <v>844381</v>
      </c>
      <c r="F503" s="16">
        <f>+D503*E503</f>
        <v>0</v>
      </c>
      <c r="G503" s="8">
        <f t="shared" si="36"/>
        <v>0</v>
      </c>
    </row>
    <row r="504" spans="1:7" x14ac:dyDescent="0.25">
      <c r="A504" s="12" t="s">
        <v>703</v>
      </c>
      <c r="B504" s="13" t="s">
        <v>702</v>
      </c>
      <c r="C504" s="14"/>
      <c r="D504" s="14"/>
      <c r="E504" s="15"/>
      <c r="F504" s="16"/>
      <c r="G504" s="8">
        <f t="shared" si="36"/>
        <v>0</v>
      </c>
    </row>
    <row r="505" spans="1:7" x14ac:dyDescent="0.25">
      <c r="A505" s="12" t="s">
        <v>705</v>
      </c>
      <c r="B505" s="13" t="s">
        <v>704</v>
      </c>
      <c r="C505" s="14"/>
      <c r="D505" s="14"/>
      <c r="E505" s="15"/>
      <c r="F505" s="16"/>
      <c r="G505" s="8">
        <f t="shared" si="36"/>
        <v>0</v>
      </c>
    </row>
    <row r="506" spans="1:7" x14ac:dyDescent="0.25">
      <c r="A506" s="17" t="s">
        <v>706</v>
      </c>
      <c r="B506" s="18" t="s">
        <v>709</v>
      </c>
      <c r="C506" s="26" t="s">
        <v>683</v>
      </c>
      <c r="D506" s="14"/>
      <c r="E506" s="15">
        <f>+'APU CAP 6'!H596</f>
        <v>40122</v>
      </c>
      <c r="F506" s="16">
        <f>+D506*E506</f>
        <v>0</v>
      </c>
      <c r="G506" s="8">
        <f t="shared" si="36"/>
        <v>0</v>
      </c>
    </row>
    <row r="507" spans="1:7" x14ac:dyDescent="0.25">
      <c r="A507" s="17" t="s">
        <v>710</v>
      </c>
      <c r="B507" s="18" t="s">
        <v>707</v>
      </c>
      <c r="C507" s="26" t="s">
        <v>683</v>
      </c>
      <c r="D507" s="14"/>
      <c r="E507" s="15">
        <f>+'APU CAP 6'!P596</f>
        <v>49572</v>
      </c>
      <c r="F507" s="16">
        <f>+D507*E507</f>
        <v>0</v>
      </c>
      <c r="G507" s="8">
        <f t="shared" si="36"/>
        <v>0</v>
      </c>
    </row>
    <row r="508" spans="1:7" x14ac:dyDescent="0.25">
      <c r="A508" s="17" t="s">
        <v>711</v>
      </c>
      <c r="B508" s="18" t="s">
        <v>708</v>
      </c>
      <c r="C508" s="26" t="s">
        <v>683</v>
      </c>
      <c r="D508" s="14"/>
      <c r="E508" s="15">
        <f>+'APU CAP 6'!X596</f>
        <v>53124</v>
      </c>
      <c r="F508" s="16">
        <f>+D508*E508</f>
        <v>0</v>
      </c>
      <c r="G508" s="8">
        <f t="shared" si="36"/>
        <v>0</v>
      </c>
    </row>
    <row r="509" spans="1:7" x14ac:dyDescent="0.25">
      <c r="A509" s="17" t="s">
        <v>714</v>
      </c>
      <c r="B509" s="18" t="s">
        <v>813</v>
      </c>
      <c r="C509" s="26" t="s">
        <v>683</v>
      </c>
      <c r="D509" s="14"/>
      <c r="E509" s="471">
        <f>+'APU CAP 6'!AF596</f>
        <v>41574</v>
      </c>
      <c r="F509" s="16">
        <f>+D509*E509</f>
        <v>0</v>
      </c>
      <c r="G509" s="8">
        <f t="shared" si="36"/>
        <v>0</v>
      </c>
    </row>
    <row r="510" spans="1:7" x14ac:dyDescent="0.25">
      <c r="A510" s="12" t="s">
        <v>712</v>
      </c>
      <c r="B510" s="13" t="s">
        <v>713</v>
      </c>
      <c r="C510" s="132"/>
      <c r="D510" s="14"/>
      <c r="E510" s="15"/>
      <c r="F510" s="16"/>
      <c r="G510" s="8">
        <f t="shared" si="36"/>
        <v>0</v>
      </c>
    </row>
    <row r="511" spans="1:7" x14ac:dyDescent="0.25">
      <c r="A511" s="17" t="s">
        <v>715</v>
      </c>
      <c r="B511" s="18" t="s">
        <v>716</v>
      </c>
      <c r="C511" s="26" t="s">
        <v>683</v>
      </c>
      <c r="D511" s="14"/>
      <c r="E511" s="15">
        <f>+'APU CAP 6'!H650</f>
        <v>39539</v>
      </c>
      <c r="F511" s="16">
        <f>+D511*E511</f>
        <v>0</v>
      </c>
      <c r="G511" s="8">
        <f t="shared" si="36"/>
        <v>0</v>
      </c>
    </row>
    <row r="512" spans="1:7" x14ac:dyDescent="0.25">
      <c r="A512" s="17" t="s">
        <v>717</v>
      </c>
      <c r="B512" s="18" t="s">
        <v>718</v>
      </c>
      <c r="C512" s="26" t="s">
        <v>683</v>
      </c>
      <c r="D512" s="14"/>
      <c r="E512" s="15">
        <f>+'APU CAP 6'!P650</f>
        <v>7770</v>
      </c>
      <c r="F512" s="16">
        <f>+D512*E512</f>
        <v>0</v>
      </c>
      <c r="G512" s="8">
        <f t="shared" si="36"/>
        <v>0</v>
      </c>
    </row>
    <row r="513" spans="1:7" x14ac:dyDescent="0.25">
      <c r="A513" s="12" t="s">
        <v>719</v>
      </c>
      <c r="B513" s="13" t="s">
        <v>720</v>
      </c>
      <c r="C513" s="132"/>
      <c r="D513" s="14"/>
      <c r="E513" s="15"/>
      <c r="F513" s="16"/>
      <c r="G513" s="8">
        <f t="shared" si="36"/>
        <v>0</v>
      </c>
    </row>
    <row r="514" spans="1:7" x14ac:dyDescent="0.25">
      <c r="A514" s="17" t="s">
        <v>721</v>
      </c>
      <c r="B514" s="18" t="s">
        <v>743</v>
      </c>
      <c r="C514" s="14" t="s">
        <v>37</v>
      </c>
      <c r="D514" s="14"/>
      <c r="E514" s="15">
        <f>+'APU CAP 6'!H704</f>
        <v>105787.4</v>
      </c>
      <c r="F514" s="16">
        <f>+D514*E514</f>
        <v>0</v>
      </c>
      <c r="G514" s="8">
        <f t="shared" si="36"/>
        <v>0</v>
      </c>
    </row>
    <row r="515" spans="1:7" x14ac:dyDescent="0.25">
      <c r="A515" s="17" t="s">
        <v>723</v>
      </c>
      <c r="B515" s="18" t="s">
        <v>722</v>
      </c>
      <c r="C515" s="14" t="s">
        <v>37</v>
      </c>
      <c r="D515" s="14"/>
      <c r="E515" s="15">
        <f>+'APU CAP 6'!H758</f>
        <v>51791.000000000007</v>
      </c>
      <c r="F515" s="16">
        <f>+D515*E515</f>
        <v>0</v>
      </c>
      <c r="G515" s="8">
        <f t="shared" si="36"/>
        <v>0</v>
      </c>
    </row>
    <row r="516" spans="1:7" x14ac:dyDescent="0.25">
      <c r="A516" s="17" t="s">
        <v>724</v>
      </c>
      <c r="B516" s="18" t="s">
        <v>744</v>
      </c>
      <c r="C516" s="14" t="s">
        <v>37</v>
      </c>
      <c r="D516" s="14"/>
      <c r="E516" s="15">
        <f>+'APU CAP 6'!H812</f>
        <v>70662.600000000006</v>
      </c>
      <c r="F516" s="16">
        <f>+D516*E516</f>
        <v>0</v>
      </c>
      <c r="G516" s="8">
        <f t="shared" si="36"/>
        <v>0</v>
      </c>
    </row>
    <row r="517" spans="1:7" x14ac:dyDescent="0.25">
      <c r="A517" s="12" t="s">
        <v>725</v>
      </c>
      <c r="B517" s="13" t="s">
        <v>726</v>
      </c>
      <c r="C517" s="14"/>
      <c r="D517" s="14"/>
      <c r="E517" s="15"/>
      <c r="F517" s="16"/>
      <c r="G517" s="8">
        <f t="shared" si="36"/>
        <v>0</v>
      </c>
    </row>
    <row r="518" spans="1:7" x14ac:dyDescent="0.25">
      <c r="A518" s="17" t="s">
        <v>727</v>
      </c>
      <c r="B518" s="18" t="s">
        <v>728</v>
      </c>
      <c r="C518" s="14" t="s">
        <v>37</v>
      </c>
      <c r="D518" s="14"/>
      <c r="E518" s="15">
        <f>+'APU CAP 6'!H920</f>
        <v>163961</v>
      </c>
      <c r="F518" s="16">
        <f>+D518*E518</f>
        <v>0</v>
      </c>
      <c r="G518" s="8">
        <f t="shared" si="36"/>
        <v>0</v>
      </c>
    </row>
    <row r="519" spans="1:7" x14ac:dyDescent="0.25">
      <c r="A519" s="17" t="s">
        <v>731</v>
      </c>
      <c r="B519" s="18" t="s">
        <v>729</v>
      </c>
      <c r="C519" s="14" t="s">
        <v>37</v>
      </c>
      <c r="D519" s="14"/>
      <c r="E519" s="15">
        <f>+'APU CAP 6'!H866</f>
        <v>225481</v>
      </c>
      <c r="F519" s="16">
        <f>+D519*E519</f>
        <v>0</v>
      </c>
      <c r="G519" s="8">
        <f t="shared" si="36"/>
        <v>0</v>
      </c>
    </row>
    <row r="520" spans="1:7" x14ac:dyDescent="0.25">
      <c r="A520" s="17" t="s">
        <v>732</v>
      </c>
      <c r="B520" s="18" t="s">
        <v>730</v>
      </c>
      <c r="C520" s="14" t="s">
        <v>37</v>
      </c>
      <c r="D520" s="14"/>
      <c r="E520" s="15">
        <f>+'APU CAP 6'!P866</f>
        <v>188096</v>
      </c>
      <c r="F520" s="16">
        <f>+D520*E520</f>
        <v>0</v>
      </c>
      <c r="G520" s="8">
        <f t="shared" si="36"/>
        <v>0</v>
      </c>
    </row>
    <row r="521" spans="1:7" x14ac:dyDescent="0.25">
      <c r="A521" s="17" t="s">
        <v>733</v>
      </c>
      <c r="B521" s="18" t="s">
        <v>5869</v>
      </c>
      <c r="C521" s="14" t="s">
        <v>37</v>
      </c>
      <c r="D521" s="14"/>
      <c r="E521" s="15">
        <f>+'APU CAP 6'!H974</f>
        <v>178771</v>
      </c>
      <c r="F521" s="16">
        <f>+D521*E521</f>
        <v>0</v>
      </c>
      <c r="G521" s="8">
        <f t="shared" si="36"/>
        <v>0</v>
      </c>
    </row>
    <row r="522" spans="1:7" x14ac:dyDescent="0.25">
      <c r="A522" s="17" t="s">
        <v>734</v>
      </c>
      <c r="B522" s="18" t="s">
        <v>735</v>
      </c>
      <c r="C522" s="14" t="s">
        <v>37</v>
      </c>
      <c r="D522" s="14"/>
      <c r="E522" s="15">
        <f>+'APU CAP 6'!H1028</f>
        <v>146447</v>
      </c>
      <c r="F522" s="16">
        <f>+D522*E522</f>
        <v>0</v>
      </c>
      <c r="G522" s="8">
        <f t="shared" si="36"/>
        <v>0</v>
      </c>
    </row>
    <row r="523" spans="1:7" x14ac:dyDescent="0.25">
      <c r="A523" s="12" t="s">
        <v>736</v>
      </c>
      <c r="B523" s="13" t="s">
        <v>737</v>
      </c>
      <c r="C523" s="132"/>
      <c r="D523" s="14"/>
      <c r="E523" s="15"/>
      <c r="F523" s="16"/>
      <c r="G523" s="8">
        <f t="shared" ref="G523:G586" si="37">+IF(F523&lt;&gt;0,1,0)</f>
        <v>0</v>
      </c>
    </row>
    <row r="524" spans="1:7" ht="25.5" x14ac:dyDescent="0.25">
      <c r="A524" s="17" t="s">
        <v>738</v>
      </c>
      <c r="B524" s="25" t="s">
        <v>5873</v>
      </c>
      <c r="C524" s="14" t="s">
        <v>37</v>
      </c>
      <c r="D524" s="14"/>
      <c r="E524" s="15">
        <f>+'APU CAP 6'!H1082</f>
        <v>388363.625</v>
      </c>
      <c r="F524" s="16">
        <f>+D524*E524</f>
        <v>0</v>
      </c>
      <c r="G524" s="8">
        <f t="shared" si="37"/>
        <v>0</v>
      </c>
    </row>
    <row r="525" spans="1:7" ht="25.5" x14ac:dyDescent="0.25">
      <c r="A525" s="17" t="s">
        <v>739</v>
      </c>
      <c r="B525" s="25" t="s">
        <v>740</v>
      </c>
      <c r="C525" s="14" t="s">
        <v>37</v>
      </c>
      <c r="D525" s="14"/>
      <c r="E525" s="15"/>
      <c r="F525" s="16">
        <f>+D525*E525</f>
        <v>0</v>
      </c>
      <c r="G525" s="8">
        <f t="shared" si="37"/>
        <v>0</v>
      </c>
    </row>
    <row r="526" spans="1:7" x14ac:dyDescent="0.25">
      <c r="A526" s="12" t="s">
        <v>741</v>
      </c>
      <c r="B526" s="13" t="s">
        <v>742</v>
      </c>
      <c r="C526" s="132"/>
      <c r="D526" s="14"/>
      <c r="E526" s="15"/>
      <c r="F526" s="16"/>
      <c r="G526" s="8">
        <f t="shared" si="37"/>
        <v>0</v>
      </c>
    </row>
    <row r="527" spans="1:7" ht="25.5" x14ac:dyDescent="0.25">
      <c r="A527" s="17" t="s">
        <v>745</v>
      </c>
      <c r="B527" s="25" t="s">
        <v>5872</v>
      </c>
      <c r="C527" s="14" t="s">
        <v>37</v>
      </c>
      <c r="D527" s="14"/>
      <c r="E527" s="15">
        <f>+'APU CAP 6'!H1460</f>
        <v>652620</v>
      </c>
      <c r="F527" s="16">
        <f>+D527*E527</f>
        <v>0</v>
      </c>
      <c r="G527" s="8">
        <f t="shared" si="37"/>
        <v>0</v>
      </c>
    </row>
    <row r="528" spans="1:7" ht="25.5" x14ac:dyDescent="0.25">
      <c r="A528" s="17" t="s">
        <v>746</v>
      </c>
      <c r="B528" s="25" t="s">
        <v>5870</v>
      </c>
      <c r="C528" s="14" t="s">
        <v>37</v>
      </c>
      <c r="D528" s="14"/>
      <c r="E528" s="15">
        <f>+'APU CAP 6'!P1460</f>
        <v>2197467</v>
      </c>
      <c r="F528" s="16">
        <f>+D528*E528</f>
        <v>0</v>
      </c>
      <c r="G528" s="8">
        <f t="shared" si="37"/>
        <v>0</v>
      </c>
    </row>
    <row r="529" spans="1:7" x14ac:dyDescent="0.25">
      <c r="A529" s="17" t="s">
        <v>747</v>
      </c>
      <c r="B529" s="18" t="s">
        <v>5871</v>
      </c>
      <c r="C529" s="26" t="s">
        <v>683</v>
      </c>
      <c r="D529" s="14"/>
      <c r="E529" s="15">
        <f>+'APU CAP 6'!H1514</f>
        <v>208373</v>
      </c>
      <c r="F529" s="16">
        <f>+D529*E529</f>
        <v>0</v>
      </c>
      <c r="G529" s="8">
        <f t="shared" si="37"/>
        <v>0</v>
      </c>
    </row>
    <row r="530" spans="1:7" x14ac:dyDescent="0.25">
      <c r="A530" s="12" t="s">
        <v>748</v>
      </c>
      <c r="B530" s="13" t="s">
        <v>749</v>
      </c>
      <c r="C530" s="132"/>
      <c r="D530" s="14"/>
      <c r="E530" s="15"/>
      <c r="F530" s="16"/>
      <c r="G530" s="8">
        <f t="shared" si="37"/>
        <v>0</v>
      </c>
    </row>
    <row r="531" spans="1:7" x14ac:dyDescent="0.25">
      <c r="A531" s="17" t="s">
        <v>750</v>
      </c>
      <c r="B531" s="18" t="s">
        <v>751</v>
      </c>
      <c r="C531" s="14" t="s">
        <v>591</v>
      </c>
      <c r="D531" s="14"/>
      <c r="E531" s="15"/>
      <c r="F531" s="16">
        <f>+D531*E531</f>
        <v>0</v>
      </c>
      <c r="G531" s="8">
        <f t="shared" si="37"/>
        <v>0</v>
      </c>
    </row>
    <row r="532" spans="1:7" x14ac:dyDescent="0.25">
      <c r="A532" s="17" t="s">
        <v>752</v>
      </c>
      <c r="B532" s="18" t="s">
        <v>757</v>
      </c>
      <c r="C532" s="26" t="s">
        <v>683</v>
      </c>
      <c r="D532" s="14"/>
      <c r="E532" s="15"/>
      <c r="F532" s="16">
        <f>+D532*E532</f>
        <v>0</v>
      </c>
      <c r="G532" s="8">
        <f t="shared" si="37"/>
        <v>0</v>
      </c>
    </row>
    <row r="533" spans="1:7" x14ac:dyDescent="0.25">
      <c r="A533" s="12" t="s">
        <v>753</v>
      </c>
      <c r="B533" s="13" t="s">
        <v>754</v>
      </c>
      <c r="C533" s="14"/>
      <c r="D533" s="14"/>
      <c r="E533" s="15"/>
      <c r="F533" s="16"/>
      <c r="G533" s="8">
        <f t="shared" si="37"/>
        <v>0</v>
      </c>
    </row>
    <row r="534" spans="1:7" x14ac:dyDescent="0.25">
      <c r="A534" s="17" t="s">
        <v>755</v>
      </c>
      <c r="B534" s="18" t="s">
        <v>756</v>
      </c>
      <c r="C534" s="26" t="s">
        <v>683</v>
      </c>
      <c r="D534" s="14"/>
      <c r="E534" s="15"/>
      <c r="F534" s="16">
        <f>+D534*E534</f>
        <v>0</v>
      </c>
      <c r="G534" s="8">
        <f t="shared" si="37"/>
        <v>0</v>
      </c>
    </row>
    <row r="535" spans="1:7" x14ac:dyDescent="0.25">
      <c r="A535" s="17" t="s">
        <v>758</v>
      </c>
      <c r="B535" s="18" t="s">
        <v>759</v>
      </c>
      <c r="C535" s="26" t="s">
        <v>683</v>
      </c>
      <c r="D535" s="14"/>
      <c r="E535" s="15"/>
      <c r="F535" s="16">
        <f>+D535*E535</f>
        <v>0</v>
      </c>
      <c r="G535" s="8">
        <f t="shared" si="37"/>
        <v>0</v>
      </c>
    </row>
    <row r="536" spans="1:7" x14ac:dyDescent="0.25">
      <c r="A536" s="12" t="s">
        <v>760</v>
      </c>
      <c r="B536" s="13" t="s">
        <v>5874</v>
      </c>
      <c r="C536" s="14"/>
      <c r="D536" s="14"/>
      <c r="E536" s="15"/>
      <c r="F536" s="16"/>
      <c r="G536" s="8">
        <f t="shared" si="37"/>
        <v>0</v>
      </c>
    </row>
    <row r="537" spans="1:7" x14ac:dyDescent="0.25">
      <c r="A537" s="12" t="s">
        <v>761</v>
      </c>
      <c r="B537" s="13" t="s">
        <v>763</v>
      </c>
      <c r="C537" s="132"/>
      <c r="D537" s="14"/>
      <c r="E537" s="15"/>
      <c r="F537" s="16"/>
      <c r="G537" s="8">
        <f t="shared" si="37"/>
        <v>0</v>
      </c>
    </row>
    <row r="538" spans="1:7" x14ac:dyDescent="0.25">
      <c r="A538" s="17" t="s">
        <v>764</v>
      </c>
      <c r="B538" s="18" t="s">
        <v>5875</v>
      </c>
      <c r="C538" s="14" t="s">
        <v>14</v>
      </c>
      <c r="D538" s="14"/>
      <c r="E538" s="15"/>
      <c r="F538" s="16">
        <f>+D538*E538</f>
        <v>0</v>
      </c>
      <c r="G538" s="8">
        <f t="shared" si="37"/>
        <v>0</v>
      </c>
    </row>
    <row r="539" spans="1:7" x14ac:dyDescent="0.25">
      <c r="A539" s="17" t="s">
        <v>765</v>
      </c>
      <c r="B539" s="18" t="s">
        <v>766</v>
      </c>
      <c r="C539" s="14" t="s">
        <v>14</v>
      </c>
      <c r="D539" s="14"/>
      <c r="E539" s="15"/>
      <c r="F539" s="16">
        <f>+D539*E539</f>
        <v>0</v>
      </c>
      <c r="G539" s="8">
        <f t="shared" si="37"/>
        <v>0</v>
      </c>
    </row>
    <row r="540" spans="1:7" x14ac:dyDescent="0.25">
      <c r="A540" s="17" t="s">
        <v>767</v>
      </c>
      <c r="B540" s="18" t="s">
        <v>5876</v>
      </c>
      <c r="C540" s="14" t="s">
        <v>14</v>
      </c>
      <c r="D540" s="14"/>
      <c r="E540" s="15"/>
      <c r="F540" s="16">
        <f>+D540*E540</f>
        <v>0</v>
      </c>
      <c r="G540" s="8">
        <f t="shared" si="37"/>
        <v>0</v>
      </c>
    </row>
    <row r="541" spans="1:7" x14ac:dyDescent="0.25">
      <c r="A541" s="12" t="s">
        <v>762</v>
      </c>
      <c r="B541" s="13" t="s">
        <v>771</v>
      </c>
      <c r="C541" s="14"/>
      <c r="D541" s="14"/>
      <c r="E541" s="15"/>
      <c r="F541" s="16"/>
      <c r="G541" s="8">
        <f t="shared" si="37"/>
        <v>0</v>
      </c>
    </row>
    <row r="542" spans="1:7" x14ac:dyDescent="0.25">
      <c r="A542" s="17" t="s">
        <v>768</v>
      </c>
      <c r="B542" s="18" t="s">
        <v>5878</v>
      </c>
      <c r="C542" s="14" t="s">
        <v>14</v>
      </c>
      <c r="D542" s="14"/>
      <c r="E542" s="15"/>
      <c r="F542" s="16">
        <f>+D542*E542</f>
        <v>0</v>
      </c>
      <c r="G542" s="8">
        <f t="shared" si="37"/>
        <v>0</v>
      </c>
    </row>
    <row r="543" spans="1:7" x14ac:dyDescent="0.25">
      <c r="A543" s="17" t="s">
        <v>769</v>
      </c>
      <c r="B543" s="18" t="s">
        <v>770</v>
      </c>
      <c r="C543" s="14" t="s">
        <v>14</v>
      </c>
      <c r="D543" s="14"/>
      <c r="E543" s="15"/>
      <c r="F543" s="16">
        <f>+D543*E543</f>
        <v>0</v>
      </c>
      <c r="G543" s="8">
        <f t="shared" si="37"/>
        <v>0</v>
      </c>
    </row>
    <row r="544" spans="1:7" ht="25.5" x14ac:dyDescent="0.25">
      <c r="A544" s="12" t="s">
        <v>772</v>
      </c>
      <c r="B544" s="25" t="s">
        <v>5877</v>
      </c>
      <c r="C544" s="26" t="s">
        <v>683</v>
      </c>
      <c r="D544" s="14"/>
      <c r="E544" s="15"/>
      <c r="F544" s="16">
        <f>+D544*E544</f>
        <v>0</v>
      </c>
      <c r="G544" s="8">
        <f t="shared" si="37"/>
        <v>0</v>
      </c>
    </row>
    <row r="545" spans="1:7" x14ac:dyDescent="0.25">
      <c r="A545" s="2454" t="s">
        <v>843</v>
      </c>
      <c r="B545" s="2455"/>
      <c r="C545" s="2455"/>
      <c r="D545" s="2455"/>
      <c r="E545" s="2455"/>
      <c r="F545" s="16"/>
      <c r="G545" s="8">
        <f t="shared" si="37"/>
        <v>0</v>
      </c>
    </row>
    <row r="546" spans="1:7" x14ac:dyDescent="0.25">
      <c r="A546" s="458">
        <v>7</v>
      </c>
      <c r="B546" s="459" t="s">
        <v>773</v>
      </c>
      <c r="C546" s="63"/>
      <c r="D546" s="63"/>
      <c r="E546" s="460"/>
      <c r="F546" s="461"/>
      <c r="G546" s="8"/>
    </row>
    <row r="547" spans="1:7" x14ac:dyDescent="0.25">
      <c r="A547" s="12" t="s">
        <v>774</v>
      </c>
      <c r="B547" s="13" t="s">
        <v>788</v>
      </c>
      <c r="C547" s="14"/>
      <c r="D547" s="14"/>
      <c r="E547" s="15"/>
      <c r="F547" s="16"/>
      <c r="G547" s="8"/>
    </row>
    <row r="548" spans="1:7" x14ac:dyDescent="0.25">
      <c r="A548" s="17" t="s">
        <v>778</v>
      </c>
      <c r="B548" s="18" t="s">
        <v>775</v>
      </c>
      <c r="C548" s="26" t="s">
        <v>701</v>
      </c>
      <c r="D548" s="14"/>
      <c r="E548" s="15">
        <f>+'APU CAP 7'!P51</f>
        <v>513977</v>
      </c>
      <c r="F548" s="16">
        <f>+D548*E548</f>
        <v>0</v>
      </c>
      <c r="G548" s="8">
        <f t="shared" si="37"/>
        <v>0</v>
      </c>
    </row>
    <row r="549" spans="1:7" x14ac:dyDescent="0.25">
      <c r="A549" s="17" t="s">
        <v>779</v>
      </c>
      <c r="B549" s="18" t="s">
        <v>776</v>
      </c>
      <c r="C549" s="26" t="s">
        <v>701</v>
      </c>
      <c r="D549" s="14"/>
      <c r="E549" s="15">
        <f>+'APU CAP 7'!P105</f>
        <v>543457</v>
      </c>
      <c r="F549" s="16">
        <f>+D549*E549</f>
        <v>0</v>
      </c>
      <c r="G549" s="8">
        <f t="shared" si="37"/>
        <v>0</v>
      </c>
    </row>
    <row r="550" spans="1:7" x14ac:dyDescent="0.25">
      <c r="A550" s="17" t="s">
        <v>780</v>
      </c>
      <c r="B550" s="18" t="s">
        <v>777</v>
      </c>
      <c r="C550" s="26" t="s">
        <v>701</v>
      </c>
      <c r="D550" s="14"/>
      <c r="E550" s="15">
        <f>+'APU CAP 7'!P159</f>
        <v>562778</v>
      </c>
      <c r="F550" s="16">
        <f>+D550*E550</f>
        <v>0</v>
      </c>
      <c r="G550" s="8">
        <f t="shared" si="37"/>
        <v>0</v>
      </c>
    </row>
    <row r="551" spans="1:7" x14ac:dyDescent="0.25">
      <c r="A551" s="12" t="s">
        <v>781</v>
      </c>
      <c r="B551" s="13" t="s">
        <v>789</v>
      </c>
      <c r="C551" s="14"/>
      <c r="D551" s="14"/>
      <c r="E551" s="15"/>
      <c r="F551" s="16"/>
      <c r="G551" s="8"/>
    </row>
    <row r="552" spans="1:7" x14ac:dyDescent="0.25">
      <c r="A552" s="17" t="s">
        <v>782</v>
      </c>
      <c r="B552" s="18" t="s">
        <v>787</v>
      </c>
      <c r="C552" s="26" t="s">
        <v>701</v>
      </c>
      <c r="D552" s="14"/>
      <c r="E552" s="15">
        <f>+'APU CAP 7'!P321</f>
        <v>435599</v>
      </c>
      <c r="F552" s="16">
        <f>+D552*E552</f>
        <v>0</v>
      </c>
      <c r="G552" s="8">
        <f t="shared" si="37"/>
        <v>0</v>
      </c>
    </row>
    <row r="553" spans="1:7" x14ac:dyDescent="0.25">
      <c r="A553" s="17" t="s">
        <v>784</v>
      </c>
      <c r="B553" s="18" t="s">
        <v>783</v>
      </c>
      <c r="C553" s="26" t="s">
        <v>701</v>
      </c>
      <c r="D553" s="14"/>
      <c r="E553" s="15">
        <f>+'APU CAP 7'!P213</f>
        <v>448853</v>
      </c>
      <c r="F553" s="16">
        <f>+D553*E553</f>
        <v>0</v>
      </c>
      <c r="G553" s="8">
        <f t="shared" si="37"/>
        <v>0</v>
      </c>
    </row>
    <row r="554" spans="1:7" x14ac:dyDescent="0.25">
      <c r="A554" s="17" t="s">
        <v>785</v>
      </c>
      <c r="B554" s="18" t="s">
        <v>786</v>
      </c>
      <c r="C554" s="26" t="s">
        <v>701</v>
      </c>
      <c r="D554" s="14"/>
      <c r="E554" s="15">
        <f>+'APU CAP 7'!P267</f>
        <v>458210</v>
      </c>
      <c r="F554" s="16">
        <f>+D554*E554</f>
        <v>0</v>
      </c>
      <c r="G554" s="8">
        <f t="shared" si="37"/>
        <v>0</v>
      </c>
    </row>
    <row r="555" spans="1:7" x14ac:dyDescent="0.25">
      <c r="A555" s="17" t="s">
        <v>797</v>
      </c>
      <c r="B555" s="18" t="s">
        <v>798</v>
      </c>
      <c r="C555" s="26" t="s">
        <v>683</v>
      </c>
      <c r="D555" s="14"/>
      <c r="E555" s="15"/>
      <c r="F555" s="16">
        <f>+D555*E555</f>
        <v>0</v>
      </c>
      <c r="G555" s="8">
        <f t="shared" si="37"/>
        <v>0</v>
      </c>
    </row>
    <row r="556" spans="1:7" x14ac:dyDescent="0.25">
      <c r="A556" s="12" t="s">
        <v>790</v>
      </c>
      <c r="B556" s="13" t="s">
        <v>791</v>
      </c>
      <c r="C556" s="14"/>
      <c r="D556" s="14"/>
      <c r="E556" s="15"/>
      <c r="F556" s="16"/>
      <c r="G556" s="8">
        <f t="shared" si="37"/>
        <v>0</v>
      </c>
    </row>
    <row r="557" spans="1:7" x14ac:dyDescent="0.25">
      <c r="A557" s="17" t="s">
        <v>792</v>
      </c>
      <c r="B557" s="18" t="s">
        <v>795</v>
      </c>
      <c r="C557" s="26" t="s">
        <v>683</v>
      </c>
      <c r="D557" s="14"/>
      <c r="E557" s="15">
        <f>+'APU CAP 7'!H429</f>
        <v>44478</v>
      </c>
      <c r="F557" s="16">
        <f>+D557*E557</f>
        <v>0</v>
      </c>
      <c r="G557" s="8">
        <f t="shared" si="37"/>
        <v>0</v>
      </c>
    </row>
    <row r="558" spans="1:7" x14ac:dyDescent="0.25">
      <c r="A558" s="17" t="s">
        <v>793</v>
      </c>
      <c r="B558" s="18" t="s">
        <v>6260</v>
      </c>
      <c r="C558" s="26" t="s">
        <v>683</v>
      </c>
      <c r="D558" s="14"/>
      <c r="E558" s="15">
        <f>+'APU CAP 7'!H483</f>
        <v>59916</v>
      </c>
      <c r="F558" s="16">
        <f>+D558*E558</f>
        <v>0</v>
      </c>
      <c r="G558" s="8">
        <f t="shared" si="37"/>
        <v>0</v>
      </c>
    </row>
    <row r="559" spans="1:7" x14ac:dyDescent="0.25">
      <c r="A559" s="17" t="s">
        <v>794</v>
      </c>
      <c r="B559" s="18" t="s">
        <v>796</v>
      </c>
      <c r="C559" s="26" t="s">
        <v>683</v>
      </c>
      <c r="D559" s="14"/>
      <c r="E559" s="15">
        <f>+'APU CAP 7'!H537</f>
        <v>64115</v>
      </c>
      <c r="F559" s="16">
        <f>+D559*E559</f>
        <v>0</v>
      </c>
      <c r="G559" s="8">
        <f t="shared" si="37"/>
        <v>0</v>
      </c>
    </row>
    <row r="560" spans="1:7" x14ac:dyDescent="0.25">
      <c r="A560" s="17" t="s">
        <v>799</v>
      </c>
      <c r="B560" s="18" t="s">
        <v>800</v>
      </c>
      <c r="C560" s="26" t="s">
        <v>683</v>
      </c>
      <c r="D560" s="14"/>
      <c r="E560" s="15">
        <f>+'APU CAP 7'!H375</f>
        <v>62525</v>
      </c>
      <c r="F560" s="16">
        <f>+D560*E560</f>
        <v>0</v>
      </c>
      <c r="G560" s="8">
        <f t="shared" si="37"/>
        <v>0</v>
      </c>
    </row>
    <row r="561" spans="1:7" x14ac:dyDescent="0.25">
      <c r="A561" s="12" t="s">
        <v>801</v>
      </c>
      <c r="B561" s="13" t="s">
        <v>802</v>
      </c>
      <c r="C561" s="14"/>
      <c r="D561" s="14"/>
      <c r="E561" s="15"/>
      <c r="F561" s="16"/>
      <c r="G561" s="8">
        <f t="shared" si="37"/>
        <v>0</v>
      </c>
    </row>
    <row r="562" spans="1:7" x14ac:dyDescent="0.25">
      <c r="A562" s="17" t="s">
        <v>807</v>
      </c>
      <c r="B562" s="18" t="s">
        <v>803</v>
      </c>
      <c r="C562" s="14" t="s">
        <v>14</v>
      </c>
      <c r="D562" s="14"/>
      <c r="E562" s="15"/>
      <c r="F562" s="16">
        <f>+D562*E562</f>
        <v>0</v>
      </c>
      <c r="G562" s="8">
        <f t="shared" si="37"/>
        <v>0</v>
      </c>
    </row>
    <row r="563" spans="1:7" x14ac:dyDescent="0.25">
      <c r="A563" s="17" t="s">
        <v>808</v>
      </c>
      <c r="B563" s="18" t="s">
        <v>804</v>
      </c>
      <c r="C563" s="14" t="s">
        <v>14</v>
      </c>
      <c r="D563" s="14"/>
      <c r="E563" s="15">
        <f>+'APU CAP 7'!P591</f>
        <v>36513</v>
      </c>
      <c r="F563" s="16">
        <f>+D563*E563</f>
        <v>0</v>
      </c>
      <c r="G563" s="8">
        <f t="shared" si="37"/>
        <v>0</v>
      </c>
    </row>
    <row r="564" spans="1:7" x14ac:dyDescent="0.25">
      <c r="A564" s="17" t="s">
        <v>809</v>
      </c>
      <c r="B564" s="18" t="s">
        <v>805</v>
      </c>
      <c r="C564" s="14" t="s">
        <v>14</v>
      </c>
      <c r="D564" s="14"/>
      <c r="E564" s="15">
        <f>+'APU CAP 7'!P645</f>
        <v>46626</v>
      </c>
      <c r="F564" s="16">
        <f>+D564*E564</f>
        <v>0</v>
      </c>
      <c r="G564" s="8">
        <f t="shared" si="37"/>
        <v>0</v>
      </c>
    </row>
    <row r="565" spans="1:7" x14ac:dyDescent="0.25">
      <c r="A565" s="17" t="s">
        <v>810</v>
      </c>
      <c r="B565" s="18" t="s">
        <v>806</v>
      </c>
      <c r="C565" s="14" t="s">
        <v>14</v>
      </c>
      <c r="D565" s="14"/>
      <c r="E565" s="15"/>
      <c r="F565" s="16">
        <f>+D565*E565</f>
        <v>0</v>
      </c>
      <c r="G565" s="8">
        <f t="shared" si="37"/>
        <v>0</v>
      </c>
    </row>
    <row r="566" spans="1:7" x14ac:dyDescent="0.25">
      <c r="A566" s="12" t="s">
        <v>845</v>
      </c>
      <c r="B566" s="13" t="s">
        <v>846</v>
      </c>
      <c r="C566" s="14"/>
      <c r="D566" s="14"/>
      <c r="E566" s="15"/>
      <c r="F566" s="16"/>
      <c r="G566" s="8">
        <f t="shared" si="37"/>
        <v>0</v>
      </c>
    </row>
    <row r="567" spans="1:7" x14ac:dyDescent="0.25">
      <c r="A567" s="12" t="s">
        <v>847</v>
      </c>
      <c r="B567" s="13" t="s">
        <v>848</v>
      </c>
      <c r="C567" s="14"/>
      <c r="D567" s="14"/>
      <c r="E567" s="15"/>
      <c r="F567" s="16"/>
      <c r="G567" s="8">
        <f t="shared" si="37"/>
        <v>0</v>
      </c>
    </row>
    <row r="568" spans="1:7" ht="25.5" x14ac:dyDescent="0.25">
      <c r="A568" s="17" t="s">
        <v>849</v>
      </c>
      <c r="B568" s="25" t="s">
        <v>5879</v>
      </c>
      <c r="C568" s="14" t="s">
        <v>14</v>
      </c>
      <c r="D568" s="14"/>
      <c r="E568" s="15"/>
      <c r="F568" s="16">
        <f>+D568*E568</f>
        <v>0</v>
      </c>
      <c r="G568" s="8">
        <f t="shared" si="37"/>
        <v>0</v>
      </c>
    </row>
    <row r="569" spans="1:7" ht="38.25" x14ac:dyDescent="0.25">
      <c r="A569" s="17" t="s">
        <v>850</v>
      </c>
      <c r="B569" s="25" t="s">
        <v>5880</v>
      </c>
      <c r="C569" s="14" t="s">
        <v>14</v>
      </c>
      <c r="D569" s="14"/>
      <c r="E569" s="15"/>
      <c r="F569" s="16">
        <f>+D569*E569</f>
        <v>0</v>
      </c>
      <c r="G569" s="8">
        <f t="shared" si="37"/>
        <v>0</v>
      </c>
    </row>
    <row r="570" spans="1:7" x14ac:dyDescent="0.25">
      <c r="A570" s="17" t="s">
        <v>851</v>
      </c>
      <c r="B570" s="25" t="s">
        <v>853</v>
      </c>
      <c r="C570" s="14" t="s">
        <v>37</v>
      </c>
      <c r="D570" s="14"/>
      <c r="E570" s="15"/>
      <c r="F570" s="16">
        <f>+D570*E570</f>
        <v>0</v>
      </c>
      <c r="G570" s="8">
        <f t="shared" si="37"/>
        <v>0</v>
      </c>
    </row>
    <row r="571" spans="1:7" x14ac:dyDescent="0.25">
      <c r="A571" s="17" t="s">
        <v>852</v>
      </c>
      <c r="B571" s="25" t="s">
        <v>854</v>
      </c>
      <c r="C571" s="14" t="s">
        <v>37</v>
      </c>
      <c r="D571" s="14"/>
      <c r="E571" s="15"/>
      <c r="F571" s="16">
        <f>+D571*E571</f>
        <v>0</v>
      </c>
      <c r="G571" s="8">
        <f t="shared" si="37"/>
        <v>0</v>
      </c>
    </row>
    <row r="572" spans="1:7" x14ac:dyDescent="0.25">
      <c r="A572" s="12" t="s">
        <v>855</v>
      </c>
      <c r="B572" s="13" t="s">
        <v>856</v>
      </c>
      <c r="C572" s="14"/>
      <c r="D572" s="14"/>
      <c r="E572" s="15"/>
      <c r="F572" s="16"/>
      <c r="G572" s="8">
        <f t="shared" si="37"/>
        <v>0</v>
      </c>
    </row>
    <row r="573" spans="1:7" x14ac:dyDescent="0.25">
      <c r="A573" s="17" t="s">
        <v>857</v>
      </c>
      <c r="B573" s="18" t="s">
        <v>858</v>
      </c>
      <c r="C573" s="26" t="s">
        <v>683</v>
      </c>
      <c r="D573" s="14"/>
      <c r="E573" s="15"/>
      <c r="F573" s="16">
        <f>+D573*E573</f>
        <v>0</v>
      </c>
      <c r="G573" s="8">
        <f t="shared" si="37"/>
        <v>0</v>
      </c>
    </row>
    <row r="574" spans="1:7" x14ac:dyDescent="0.25">
      <c r="A574" s="17" t="s">
        <v>859</v>
      </c>
      <c r="B574" s="18" t="s">
        <v>860</v>
      </c>
      <c r="C574" s="14" t="s">
        <v>37</v>
      </c>
      <c r="D574" s="14"/>
      <c r="E574" s="15"/>
      <c r="F574" s="16">
        <f>+D574*E574</f>
        <v>0</v>
      </c>
      <c r="G574" s="8">
        <f t="shared" si="37"/>
        <v>0</v>
      </c>
    </row>
    <row r="575" spans="1:7" x14ac:dyDescent="0.25">
      <c r="A575" s="17" t="s">
        <v>861</v>
      </c>
      <c r="B575" s="18" t="s">
        <v>862</v>
      </c>
      <c r="C575" s="14" t="s">
        <v>37</v>
      </c>
      <c r="D575" s="14"/>
      <c r="E575" s="15"/>
      <c r="F575" s="16">
        <f>+D575*E575</f>
        <v>0</v>
      </c>
      <c r="G575" s="8">
        <f t="shared" si="37"/>
        <v>0</v>
      </c>
    </row>
    <row r="576" spans="1:7" x14ac:dyDescent="0.25">
      <c r="A576" s="2454" t="s">
        <v>863</v>
      </c>
      <c r="B576" s="2455"/>
      <c r="C576" s="2455"/>
      <c r="D576" s="2455"/>
      <c r="E576" s="2455"/>
      <c r="F576" s="16">
        <f>SUM(F548:F575)</f>
        <v>0</v>
      </c>
      <c r="G576" s="8">
        <f t="shared" si="37"/>
        <v>0</v>
      </c>
    </row>
    <row r="577" spans="1:7" x14ac:dyDescent="0.25">
      <c r="A577" s="458">
        <v>8</v>
      </c>
      <c r="B577" s="459" t="s">
        <v>6321</v>
      </c>
      <c r="C577" s="63"/>
      <c r="D577" s="63"/>
      <c r="E577" s="460"/>
      <c r="F577" s="461"/>
      <c r="G577" s="8">
        <v>1</v>
      </c>
    </row>
    <row r="578" spans="1:7" x14ac:dyDescent="0.25">
      <c r="A578" s="17" t="s">
        <v>814</v>
      </c>
      <c r="B578" s="13" t="s">
        <v>815</v>
      </c>
      <c r="C578" s="14"/>
      <c r="D578" s="14"/>
      <c r="E578" s="15"/>
      <c r="F578" s="16"/>
      <c r="G578" s="8">
        <f t="shared" si="37"/>
        <v>0</v>
      </c>
    </row>
    <row r="579" spans="1:7" x14ac:dyDescent="0.25">
      <c r="A579" s="17" t="s">
        <v>816</v>
      </c>
      <c r="B579" s="18" t="s">
        <v>819</v>
      </c>
      <c r="C579" s="26" t="s">
        <v>701</v>
      </c>
      <c r="D579" s="14"/>
      <c r="E579" s="15">
        <f>+'APU CAP 6'!H56</f>
        <v>843393</v>
      </c>
      <c r="F579" s="16">
        <f>+D579*E579</f>
        <v>0</v>
      </c>
      <c r="G579" s="8">
        <f t="shared" si="37"/>
        <v>0</v>
      </c>
    </row>
    <row r="580" spans="1:7" x14ac:dyDescent="0.25">
      <c r="A580" s="17" t="s">
        <v>817</v>
      </c>
      <c r="B580" s="18" t="s">
        <v>821</v>
      </c>
      <c r="C580" s="26" t="s">
        <v>701</v>
      </c>
      <c r="D580" s="14"/>
      <c r="E580" s="15">
        <f>+'APU CAP 6'!H110</f>
        <v>828993</v>
      </c>
      <c r="F580" s="16">
        <f>+D580*E580</f>
        <v>0</v>
      </c>
      <c r="G580" s="8">
        <f t="shared" si="37"/>
        <v>0</v>
      </c>
    </row>
    <row r="581" spans="1:7" x14ac:dyDescent="0.25">
      <c r="A581" s="17" t="s">
        <v>818</v>
      </c>
      <c r="B581" s="18" t="s">
        <v>820</v>
      </c>
      <c r="C581" s="26" t="s">
        <v>701</v>
      </c>
      <c r="D581" s="14"/>
      <c r="E581" s="15">
        <f>+'APU CAP 6'!H164</f>
        <v>933393</v>
      </c>
      <c r="F581" s="16">
        <f>+D581*E581</f>
        <v>0</v>
      </c>
      <c r="G581" s="8">
        <f t="shared" si="37"/>
        <v>0</v>
      </c>
    </row>
    <row r="582" spans="1:7" x14ac:dyDescent="0.25">
      <c r="A582" s="12" t="s">
        <v>822</v>
      </c>
      <c r="B582" s="13" t="s">
        <v>823</v>
      </c>
      <c r="C582" s="14"/>
      <c r="D582" s="14"/>
      <c r="E582" s="15"/>
      <c r="F582" s="16"/>
      <c r="G582" s="8">
        <f t="shared" si="37"/>
        <v>0</v>
      </c>
    </row>
    <row r="583" spans="1:7" x14ac:dyDescent="0.25">
      <c r="A583" s="17" t="s">
        <v>829</v>
      </c>
      <c r="B583" s="18" t="s">
        <v>824</v>
      </c>
      <c r="C583" s="14" t="s">
        <v>37</v>
      </c>
      <c r="D583" s="14">
        <v>14</v>
      </c>
      <c r="E583" s="15">
        <f>+'APU CAP 8'!H47</f>
        <v>42295</v>
      </c>
      <c r="F583" s="16">
        <f t="shared" ref="F583:F588" si="38">+D583*E583</f>
        <v>592130</v>
      </c>
      <c r="G583" s="8">
        <f t="shared" si="37"/>
        <v>1</v>
      </c>
    </row>
    <row r="584" spans="1:7" x14ac:dyDescent="0.25">
      <c r="A584" s="17" t="s">
        <v>830</v>
      </c>
      <c r="B584" s="18" t="s">
        <v>825</v>
      </c>
      <c r="C584" s="14" t="s">
        <v>14</v>
      </c>
      <c r="D584" s="14"/>
      <c r="E584" s="15"/>
      <c r="F584" s="16">
        <f t="shared" si="38"/>
        <v>0</v>
      </c>
      <c r="G584" s="8">
        <f t="shared" si="37"/>
        <v>0</v>
      </c>
    </row>
    <row r="585" spans="1:7" ht="15" customHeight="1" x14ac:dyDescent="0.25">
      <c r="A585" s="17" t="s">
        <v>831</v>
      </c>
      <c r="B585" s="18" t="s">
        <v>6555</v>
      </c>
      <c r="C585" s="14" t="s">
        <v>14</v>
      </c>
      <c r="D585" s="14">
        <v>100</v>
      </c>
      <c r="E585" s="15">
        <f>+'APU CAP 8'!H367</f>
        <v>142037</v>
      </c>
      <c r="F585" s="16">
        <f t="shared" si="38"/>
        <v>14203700</v>
      </c>
      <c r="G585" s="8">
        <f t="shared" si="37"/>
        <v>1</v>
      </c>
    </row>
    <row r="586" spans="1:7" ht="25.5" x14ac:dyDescent="0.25">
      <c r="A586" s="17" t="s">
        <v>832</v>
      </c>
      <c r="B586" s="25" t="s">
        <v>827</v>
      </c>
      <c r="C586" s="14" t="s">
        <v>14</v>
      </c>
      <c r="D586" s="14">
        <v>10</v>
      </c>
      <c r="E586" s="15">
        <f>+'APU CAP 6'!H1352</f>
        <v>183033</v>
      </c>
      <c r="F586" s="16">
        <f t="shared" si="38"/>
        <v>1830330</v>
      </c>
      <c r="G586" s="8">
        <f t="shared" si="37"/>
        <v>1</v>
      </c>
    </row>
    <row r="587" spans="1:7" x14ac:dyDescent="0.25">
      <c r="A587" s="17" t="s">
        <v>833</v>
      </c>
      <c r="B587" s="18" t="s">
        <v>828</v>
      </c>
      <c r="C587" s="26" t="s">
        <v>683</v>
      </c>
      <c r="D587" s="14"/>
      <c r="E587" s="15">
        <f>+'APU CAP 6'!P1298</f>
        <v>339447</v>
      </c>
      <c r="F587" s="16">
        <f t="shared" si="38"/>
        <v>0</v>
      </c>
      <c r="G587" s="8">
        <f t="shared" ref="G587:G607" si="39">+IF(F587&lt;&gt;0,1,0)</f>
        <v>0</v>
      </c>
    </row>
    <row r="588" spans="1:7" x14ac:dyDescent="0.25">
      <c r="A588" s="17" t="s">
        <v>834</v>
      </c>
      <c r="B588" s="592" t="s">
        <v>6295</v>
      </c>
      <c r="C588" s="14" t="s">
        <v>37</v>
      </c>
      <c r="D588" s="14"/>
      <c r="E588" s="15">
        <f>+'APU CAP 8'!H151</f>
        <v>35914</v>
      </c>
      <c r="F588" s="16">
        <f t="shared" si="38"/>
        <v>0</v>
      </c>
      <c r="G588" s="8">
        <f t="shared" si="39"/>
        <v>0</v>
      </c>
    </row>
    <row r="589" spans="1:7" x14ac:dyDescent="0.25">
      <c r="A589" s="12" t="s">
        <v>835</v>
      </c>
      <c r="B589" s="13" t="s">
        <v>6401</v>
      </c>
      <c r="C589" s="14"/>
      <c r="D589" s="14"/>
      <c r="E589" s="15"/>
      <c r="F589" s="16"/>
      <c r="G589" s="8">
        <v>1</v>
      </c>
    </row>
    <row r="590" spans="1:7" x14ac:dyDescent="0.25">
      <c r="A590" s="17" t="s">
        <v>836</v>
      </c>
      <c r="B590" s="18" t="s">
        <v>6403</v>
      </c>
      <c r="C590" s="14" t="s">
        <v>6406</v>
      </c>
      <c r="D590" s="14">
        <v>107</v>
      </c>
      <c r="E590" s="15">
        <f>+'APU CAP 8'!H580</f>
        <v>1615</v>
      </c>
      <c r="F590" s="16">
        <f>+D590*E590</f>
        <v>172805</v>
      </c>
      <c r="G590" s="8">
        <f t="shared" si="39"/>
        <v>1</v>
      </c>
    </row>
    <row r="591" spans="1:7" x14ac:dyDescent="0.25">
      <c r="A591" s="17" t="s">
        <v>837</v>
      </c>
      <c r="B591" s="18" t="s">
        <v>6402</v>
      </c>
      <c r="C591" s="14" t="s">
        <v>6406</v>
      </c>
      <c r="D591" s="14"/>
      <c r="E591" s="15">
        <f>+'APU CAP 8'!H634</f>
        <v>2651</v>
      </c>
      <c r="F591" s="16">
        <f>+D591*E591</f>
        <v>0</v>
      </c>
      <c r="G591" s="8">
        <f t="shared" si="39"/>
        <v>0</v>
      </c>
    </row>
    <row r="592" spans="1:7" x14ac:dyDescent="0.25">
      <c r="A592" s="17" t="s">
        <v>838</v>
      </c>
      <c r="B592" s="18" t="s">
        <v>6404</v>
      </c>
      <c r="C592" s="14" t="s">
        <v>6406</v>
      </c>
      <c r="D592" s="14">
        <v>107</v>
      </c>
      <c r="E592" s="15">
        <f>+'APU CAP 8'!H688</f>
        <v>3619</v>
      </c>
      <c r="F592" s="16">
        <f>+D592*E592</f>
        <v>387233</v>
      </c>
      <c r="G592" s="8">
        <f t="shared" si="39"/>
        <v>1</v>
      </c>
    </row>
    <row r="593" spans="1:7" x14ac:dyDescent="0.25">
      <c r="A593" s="17" t="s">
        <v>6508</v>
      </c>
      <c r="B593" s="18" t="s">
        <v>6405</v>
      </c>
      <c r="C593" s="14" t="s">
        <v>6407</v>
      </c>
      <c r="D593" s="14"/>
      <c r="E593" s="15">
        <f>+'APU CAP 8'!H742</f>
        <v>2935</v>
      </c>
      <c r="F593" s="16">
        <f>+D593*E593</f>
        <v>0</v>
      </c>
      <c r="G593" s="8">
        <f t="shared" si="39"/>
        <v>0</v>
      </c>
    </row>
    <row r="594" spans="1:7" x14ac:dyDescent="0.25">
      <c r="A594" s="12" t="s">
        <v>6322</v>
      </c>
      <c r="B594" s="13" t="s">
        <v>6517</v>
      </c>
      <c r="C594" s="14"/>
      <c r="D594" s="14"/>
      <c r="E594" s="15"/>
      <c r="F594" s="16"/>
      <c r="G594" s="8">
        <v>1</v>
      </c>
    </row>
    <row r="595" spans="1:7" x14ac:dyDescent="0.25">
      <c r="A595" s="17" t="s">
        <v>6323</v>
      </c>
      <c r="B595" s="18" t="s">
        <v>6518</v>
      </c>
      <c r="C595" s="14" t="s">
        <v>37</v>
      </c>
      <c r="D595" s="14">
        <v>4</v>
      </c>
      <c r="E595" s="15">
        <f>+'APU CAP 1-2'!P1810</f>
        <v>116486</v>
      </c>
      <c r="F595" s="16">
        <f t="shared" ref="F595:F601" si="40">+D595*E595</f>
        <v>465944</v>
      </c>
      <c r="G595" s="8">
        <f t="shared" si="39"/>
        <v>1</v>
      </c>
    </row>
    <row r="596" spans="1:7" x14ac:dyDescent="0.25">
      <c r="A596" s="17" t="s">
        <v>6324</v>
      </c>
      <c r="B596" s="18" t="s">
        <v>6551</v>
      </c>
      <c r="C596" s="14" t="s">
        <v>37</v>
      </c>
      <c r="D596" s="14">
        <v>4</v>
      </c>
      <c r="E596" s="15">
        <v>2500000</v>
      </c>
      <c r="F596" s="16">
        <f t="shared" si="40"/>
        <v>10000000</v>
      </c>
      <c r="G596" s="8">
        <f t="shared" si="39"/>
        <v>1</v>
      </c>
    </row>
    <row r="597" spans="1:7" x14ac:dyDescent="0.25">
      <c r="A597" s="17" t="s">
        <v>6325</v>
      </c>
      <c r="B597" s="18" t="s">
        <v>6335</v>
      </c>
      <c r="C597" s="14" t="s">
        <v>37</v>
      </c>
      <c r="D597" s="14"/>
      <c r="E597" s="15">
        <f>+'APU CAP 8'!P205</f>
        <v>137566</v>
      </c>
      <c r="F597" s="16">
        <f t="shared" si="40"/>
        <v>0</v>
      </c>
      <c r="G597" s="8">
        <f t="shared" si="39"/>
        <v>0</v>
      </c>
    </row>
    <row r="598" spans="1:7" x14ac:dyDescent="0.25">
      <c r="A598" s="17" t="s">
        <v>6332</v>
      </c>
      <c r="B598" s="18" t="s">
        <v>6336</v>
      </c>
      <c r="C598" s="14" t="s">
        <v>37</v>
      </c>
      <c r="D598" s="14"/>
      <c r="E598" s="15">
        <f>+'APU CAP 8'!P259</f>
        <v>151540</v>
      </c>
      <c r="F598" s="16">
        <f t="shared" si="40"/>
        <v>0</v>
      </c>
      <c r="G598" s="8">
        <f t="shared" si="39"/>
        <v>0</v>
      </c>
    </row>
    <row r="599" spans="1:7" x14ac:dyDescent="0.25">
      <c r="A599" s="17" t="s">
        <v>6380</v>
      </c>
      <c r="B599" s="18" t="s">
        <v>6390</v>
      </c>
      <c r="C599" s="14" t="s">
        <v>37</v>
      </c>
      <c r="D599" s="14"/>
      <c r="E599" s="15">
        <f>+'APU CAP 8'!H526</f>
        <v>2136561</v>
      </c>
      <c r="F599" s="16">
        <f t="shared" si="40"/>
        <v>0</v>
      </c>
      <c r="G599" s="8">
        <f t="shared" si="39"/>
        <v>0</v>
      </c>
    </row>
    <row r="600" spans="1:7" x14ac:dyDescent="0.25">
      <c r="A600" s="17" t="s">
        <v>6381</v>
      </c>
      <c r="B600" s="18" t="s">
        <v>6384</v>
      </c>
      <c r="C600" s="14" t="s">
        <v>14</v>
      </c>
      <c r="D600" s="14"/>
      <c r="E600" s="15">
        <f>+'APU CAP 8'!H472</f>
        <v>46105</v>
      </c>
      <c r="F600" s="16">
        <f t="shared" si="40"/>
        <v>0</v>
      </c>
      <c r="G600" s="8">
        <f t="shared" si="39"/>
        <v>0</v>
      </c>
    </row>
    <row r="601" spans="1:7" x14ac:dyDescent="0.25">
      <c r="A601" s="17" t="s">
        <v>6334</v>
      </c>
      <c r="B601" s="18" t="s">
        <v>6385</v>
      </c>
      <c r="C601" s="14" t="s">
        <v>37</v>
      </c>
      <c r="D601" s="14"/>
      <c r="E601" s="15">
        <f>+'APU CAP 8'!P472</f>
        <v>49839</v>
      </c>
      <c r="F601" s="16">
        <f t="shared" si="40"/>
        <v>0</v>
      </c>
      <c r="G601" s="8">
        <f t="shared" si="39"/>
        <v>0</v>
      </c>
    </row>
    <row r="602" spans="1:7" ht="15.75" thickBot="1" x14ac:dyDescent="0.3">
      <c r="A602" s="2456" t="s">
        <v>844</v>
      </c>
      <c r="B602" s="2457"/>
      <c r="C602" s="2457"/>
      <c r="D602" s="2457"/>
      <c r="E602" s="2457"/>
      <c r="F602" s="322">
        <f>SUM(F579:F601)</f>
        <v>27652142</v>
      </c>
      <c r="G602" s="8">
        <f t="shared" si="39"/>
        <v>1</v>
      </c>
    </row>
    <row r="603" spans="1:7" ht="15.75" thickBot="1" x14ac:dyDescent="0.3">
      <c r="A603" s="33"/>
      <c r="B603" s="2458" t="s">
        <v>5415</v>
      </c>
      <c r="C603" s="2458"/>
      <c r="D603" s="2458"/>
      <c r="E603" s="2459"/>
      <c r="F603" s="34" t="e">
        <f>+F28+F62+F69+F80+F93+F417+F484+F545+F576+F602</f>
        <v>#REF!</v>
      </c>
      <c r="G603" s="8" t="e">
        <f t="shared" si="39"/>
        <v>#REF!</v>
      </c>
    </row>
    <row r="604" spans="1:7" ht="15.75" thickBot="1" x14ac:dyDescent="0.3">
      <c r="A604" s="35"/>
      <c r="B604" s="36"/>
      <c r="C604" s="35"/>
      <c r="D604" s="328"/>
      <c r="E604" s="38"/>
      <c r="F604" s="38"/>
      <c r="G604" s="8">
        <f t="shared" si="39"/>
        <v>0</v>
      </c>
    </row>
    <row r="605" spans="1:7" ht="16.5" thickBot="1" x14ac:dyDescent="0.3">
      <c r="A605" s="39"/>
      <c r="B605" s="2460" t="s">
        <v>46</v>
      </c>
      <c r="C605" s="2460"/>
      <c r="D605" s="2460"/>
      <c r="E605" s="2461"/>
      <c r="F605" s="40" t="e">
        <f>+F603+'Pto Sum TANQUE'!F2426</f>
        <v>#REF!</v>
      </c>
      <c r="G605" s="8" t="e">
        <f t="shared" si="39"/>
        <v>#REF!</v>
      </c>
    </row>
    <row r="606" spans="1:7" x14ac:dyDescent="0.25">
      <c r="A606" s="35"/>
      <c r="B606" s="36"/>
      <c r="C606" s="35"/>
      <c r="D606" s="328"/>
      <c r="E606" s="38"/>
      <c r="F606" s="38"/>
      <c r="G606" s="8">
        <f t="shared" si="39"/>
        <v>0</v>
      </c>
    </row>
    <row r="607" spans="1:7" x14ac:dyDescent="0.25">
      <c r="G607" s="8">
        <f t="shared" si="39"/>
        <v>0</v>
      </c>
    </row>
  </sheetData>
  <autoFilter ref="A7:J607"/>
  <mergeCells count="17">
    <mergeCell ref="A484:E484"/>
    <mergeCell ref="A1:F1"/>
    <mergeCell ref="A2:F2"/>
    <mergeCell ref="A3:F3"/>
    <mergeCell ref="A4:F4"/>
    <mergeCell ref="A5:F5"/>
    <mergeCell ref="A28:E28"/>
    <mergeCell ref="A62:E62"/>
    <mergeCell ref="A69:E69"/>
    <mergeCell ref="A80:E80"/>
    <mergeCell ref="A93:E93"/>
    <mergeCell ref="A417:E417"/>
    <mergeCell ref="A545:E545"/>
    <mergeCell ref="A576:E576"/>
    <mergeCell ref="A602:E602"/>
    <mergeCell ref="B603:E603"/>
    <mergeCell ref="B605:E605"/>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G2426"/>
  <sheetViews>
    <sheetView workbookViewId="0">
      <selection sqref="A1:F1"/>
    </sheetView>
  </sheetViews>
  <sheetFormatPr baseColWidth="10" defaultRowHeight="15" x14ac:dyDescent="0.25"/>
  <cols>
    <col min="2" max="2" width="53.5703125" customWidth="1"/>
    <col min="5" max="5" width="13.42578125" bestFit="1" customWidth="1"/>
    <col min="6" max="6" width="14.85546875" customWidth="1"/>
  </cols>
  <sheetData>
    <row r="1" spans="1:7" ht="18.75" x14ac:dyDescent="0.25">
      <c r="A1" s="2462" t="s">
        <v>0</v>
      </c>
      <c r="B1" s="2462"/>
      <c r="C1" s="2462"/>
      <c r="D1" s="2462"/>
      <c r="E1" s="2462"/>
      <c r="F1" s="2462"/>
      <c r="G1" s="1"/>
    </row>
    <row r="2" spans="1:7" ht="18.75" customHeight="1" x14ac:dyDescent="0.25">
      <c r="A2" s="2463" t="s">
        <v>6559</v>
      </c>
      <c r="B2" s="2463"/>
      <c r="C2" s="2463"/>
      <c r="D2" s="2463"/>
      <c r="E2" s="2463"/>
      <c r="F2" s="2463"/>
      <c r="G2" s="1"/>
    </row>
    <row r="3" spans="1:7" x14ac:dyDescent="0.25">
      <c r="A3" s="2"/>
      <c r="B3" s="2"/>
      <c r="C3" s="2"/>
      <c r="D3" s="1"/>
      <c r="E3" s="1"/>
      <c r="F3" s="1"/>
      <c r="G3" s="1"/>
    </row>
    <row r="4" spans="1:7" ht="15.75" x14ac:dyDescent="0.25">
      <c r="A4" s="2278"/>
      <c r="B4" s="2278"/>
      <c r="C4" s="2278"/>
      <c r="D4" s="2278"/>
      <c r="E4" s="2278"/>
      <c r="F4" s="2278"/>
      <c r="G4" s="1"/>
    </row>
    <row r="5" spans="1:7" ht="15.75" customHeight="1" x14ac:dyDescent="0.25">
      <c r="A5" s="2278" t="s">
        <v>5398</v>
      </c>
      <c r="B5" s="2278"/>
      <c r="C5" s="2278"/>
      <c r="D5" s="2278"/>
      <c r="E5" s="2278"/>
      <c r="F5" s="2278"/>
    </row>
    <row r="6" spans="1:7" ht="16.5" thickBot="1" x14ac:dyDescent="0.3">
      <c r="A6" s="603"/>
      <c r="B6" s="603"/>
      <c r="C6" s="603"/>
      <c r="D6" s="603"/>
      <c r="E6" s="603"/>
      <c r="F6" s="603"/>
    </row>
    <row r="7" spans="1:7" ht="15.75" thickBot="1" x14ac:dyDescent="0.3">
      <c r="A7" s="4" t="s">
        <v>3</v>
      </c>
      <c r="B7" s="5" t="s">
        <v>4</v>
      </c>
      <c r="C7" s="5" t="s">
        <v>5</v>
      </c>
      <c r="D7" s="5" t="s">
        <v>6</v>
      </c>
      <c r="E7" s="6" t="s">
        <v>7</v>
      </c>
      <c r="F7" s="7" t="s">
        <v>8</v>
      </c>
      <c r="G7" s="8"/>
    </row>
    <row r="8" spans="1:7" hidden="1" x14ac:dyDescent="0.25">
      <c r="A8" s="57">
        <v>3</v>
      </c>
      <c r="B8" s="58" t="s">
        <v>32</v>
      </c>
      <c r="C8" s="9"/>
      <c r="D8" s="9"/>
      <c r="E8" s="10"/>
      <c r="F8" s="11"/>
      <c r="G8" s="8"/>
    </row>
    <row r="9" spans="1:7" hidden="1" x14ac:dyDescent="0.25">
      <c r="A9" s="78" t="s">
        <v>871</v>
      </c>
      <c r="B9" s="79" t="s">
        <v>872</v>
      </c>
      <c r="C9" s="26"/>
      <c r="D9" s="14"/>
      <c r="E9" s="15"/>
      <c r="F9" s="16"/>
      <c r="G9">
        <f t="shared" ref="G9:G72" si="0">+IF(F9&lt;&gt;0,1,0)</f>
        <v>0</v>
      </c>
    </row>
    <row r="10" spans="1:7" hidden="1" x14ac:dyDescent="0.25">
      <c r="A10" s="65" t="s">
        <v>873</v>
      </c>
      <c r="B10" s="66" t="s">
        <v>1078</v>
      </c>
      <c r="C10" s="67"/>
      <c r="D10" s="14"/>
      <c r="E10" s="15"/>
      <c r="F10" s="16"/>
      <c r="G10">
        <f t="shared" si="0"/>
        <v>0</v>
      </c>
    </row>
    <row r="11" spans="1:7" hidden="1" x14ac:dyDescent="0.25">
      <c r="A11" s="65" t="s">
        <v>1077</v>
      </c>
      <c r="B11" s="66" t="s">
        <v>1079</v>
      </c>
      <c r="C11" s="67"/>
      <c r="D11" s="14"/>
      <c r="E11" s="15"/>
      <c r="F11" s="16"/>
      <c r="G11">
        <f t="shared" si="0"/>
        <v>0</v>
      </c>
    </row>
    <row r="12" spans="1:7" hidden="1" x14ac:dyDescent="0.25">
      <c r="A12" s="71" t="s">
        <v>1082</v>
      </c>
      <c r="B12" s="72" t="s">
        <v>1080</v>
      </c>
      <c r="C12" s="67" t="s">
        <v>14</v>
      </c>
      <c r="D12" s="14"/>
      <c r="E12" s="15"/>
      <c r="F12" s="16">
        <f>+D12*E12</f>
        <v>0</v>
      </c>
      <c r="G12">
        <f t="shared" si="0"/>
        <v>0</v>
      </c>
    </row>
    <row r="13" spans="1:7" hidden="1" x14ac:dyDescent="0.25">
      <c r="A13" s="65" t="s">
        <v>1081</v>
      </c>
      <c r="B13" s="66" t="s">
        <v>1083</v>
      </c>
      <c r="C13" s="67"/>
      <c r="D13" s="14"/>
      <c r="E13" s="15"/>
      <c r="F13" s="16"/>
      <c r="G13">
        <f t="shared" si="0"/>
        <v>0</v>
      </c>
    </row>
    <row r="14" spans="1:7" hidden="1" x14ac:dyDescent="0.25">
      <c r="A14" s="65" t="s">
        <v>1089</v>
      </c>
      <c r="B14" s="72" t="s">
        <v>1084</v>
      </c>
      <c r="C14" s="67" t="s">
        <v>14</v>
      </c>
      <c r="D14" s="14"/>
      <c r="E14" s="15"/>
      <c r="F14" s="16">
        <f>+D14*E14</f>
        <v>0</v>
      </c>
      <c r="G14">
        <f t="shared" si="0"/>
        <v>0</v>
      </c>
    </row>
    <row r="15" spans="1:7" hidden="1" x14ac:dyDescent="0.25">
      <c r="A15" s="65" t="s">
        <v>1088</v>
      </c>
      <c r="B15" s="66" t="s">
        <v>1085</v>
      </c>
      <c r="C15" s="67"/>
      <c r="D15" s="14"/>
      <c r="E15" s="15"/>
      <c r="F15" s="16"/>
      <c r="G15">
        <f t="shared" si="0"/>
        <v>0</v>
      </c>
    </row>
    <row r="16" spans="1:7" hidden="1" x14ac:dyDescent="0.25">
      <c r="A16" s="71" t="s">
        <v>1090</v>
      </c>
      <c r="B16" s="72" t="s">
        <v>1087</v>
      </c>
      <c r="C16" s="67" t="s">
        <v>14</v>
      </c>
      <c r="D16" s="14"/>
      <c r="E16" s="15"/>
      <c r="F16" s="16">
        <f>+D16*E16</f>
        <v>0</v>
      </c>
      <c r="G16">
        <f t="shared" si="0"/>
        <v>0</v>
      </c>
    </row>
    <row r="17" spans="1:7" hidden="1" x14ac:dyDescent="0.25">
      <c r="A17" s="71" t="s">
        <v>1091</v>
      </c>
      <c r="B17" s="72" t="s">
        <v>1086</v>
      </c>
      <c r="C17" s="67" t="s">
        <v>14</v>
      </c>
      <c r="D17" s="14"/>
      <c r="E17" s="15"/>
      <c r="F17" s="16">
        <f>+D17*E17</f>
        <v>0</v>
      </c>
      <c r="G17">
        <f t="shared" si="0"/>
        <v>0</v>
      </c>
    </row>
    <row r="18" spans="1:7" hidden="1" x14ac:dyDescent="0.25">
      <c r="A18" s="65" t="s">
        <v>874</v>
      </c>
      <c r="B18" s="66" t="s">
        <v>875</v>
      </c>
      <c r="C18" s="67"/>
      <c r="D18" s="14"/>
      <c r="E18" s="15"/>
      <c r="F18" s="16"/>
      <c r="G18">
        <f t="shared" si="0"/>
        <v>0</v>
      </c>
    </row>
    <row r="19" spans="1:7" hidden="1" x14ac:dyDescent="0.25">
      <c r="A19" s="71" t="s">
        <v>1093</v>
      </c>
      <c r="B19" s="72" t="s">
        <v>1096</v>
      </c>
      <c r="C19" s="67" t="s">
        <v>14</v>
      </c>
      <c r="D19" s="14"/>
      <c r="E19" s="15"/>
      <c r="F19" s="16">
        <f>+D19*E19</f>
        <v>0</v>
      </c>
      <c r="G19">
        <f t="shared" si="0"/>
        <v>0</v>
      </c>
    </row>
    <row r="20" spans="1:7" hidden="1" x14ac:dyDescent="0.25">
      <c r="A20" s="71" t="s">
        <v>876</v>
      </c>
      <c r="B20" s="72" t="s">
        <v>1092</v>
      </c>
      <c r="C20" s="67" t="s">
        <v>14</v>
      </c>
      <c r="D20" s="14"/>
      <c r="E20" s="15"/>
      <c r="F20" s="16">
        <f>+D20*E20</f>
        <v>0</v>
      </c>
      <c r="G20">
        <f t="shared" si="0"/>
        <v>0</v>
      </c>
    </row>
    <row r="21" spans="1:7" hidden="1" x14ac:dyDescent="0.25">
      <c r="A21" s="71" t="s">
        <v>1094</v>
      </c>
      <c r="B21" s="72" t="s">
        <v>1097</v>
      </c>
      <c r="C21" s="67" t="s">
        <v>14</v>
      </c>
      <c r="D21" s="14"/>
      <c r="E21" s="15"/>
      <c r="F21" s="16">
        <f>+D21*E21</f>
        <v>0</v>
      </c>
      <c r="G21">
        <f t="shared" si="0"/>
        <v>0</v>
      </c>
    </row>
    <row r="22" spans="1:7" hidden="1" x14ac:dyDescent="0.25">
      <c r="A22" s="71" t="s">
        <v>1095</v>
      </c>
      <c r="B22" s="72" t="s">
        <v>1098</v>
      </c>
      <c r="C22" s="67" t="s">
        <v>14</v>
      </c>
      <c r="D22" s="14"/>
      <c r="E22" s="15"/>
      <c r="F22" s="16">
        <f>+D22*E22</f>
        <v>0</v>
      </c>
      <c r="G22">
        <f t="shared" si="0"/>
        <v>0</v>
      </c>
    </row>
    <row r="23" spans="1:7" hidden="1" x14ac:dyDescent="0.25">
      <c r="A23" s="78" t="s">
        <v>877</v>
      </c>
      <c r="B23" s="79" t="s">
        <v>878</v>
      </c>
      <c r="C23" s="26"/>
      <c r="D23" s="14"/>
      <c r="E23" s="15"/>
      <c r="F23" s="16"/>
      <c r="G23">
        <f t="shared" si="0"/>
        <v>0</v>
      </c>
    </row>
    <row r="24" spans="1:7" hidden="1" x14ac:dyDescent="0.25">
      <c r="A24" s="44" t="s">
        <v>879</v>
      </c>
      <c r="B24" s="80" t="s">
        <v>880</v>
      </c>
      <c r="C24" s="14"/>
      <c r="D24" s="14"/>
      <c r="E24" s="15"/>
      <c r="F24" s="16"/>
      <c r="G24">
        <f t="shared" si="0"/>
        <v>0</v>
      </c>
    </row>
    <row r="25" spans="1:7" hidden="1" x14ac:dyDescent="0.25">
      <c r="A25" s="43" t="s">
        <v>881</v>
      </c>
      <c r="B25" s="81" t="s">
        <v>1099</v>
      </c>
      <c r="C25" s="14" t="s">
        <v>14</v>
      </c>
      <c r="D25" s="14"/>
      <c r="E25" s="15"/>
      <c r="F25" s="16">
        <f t="shared" ref="F25:F37" si="1">+D25*E25</f>
        <v>0</v>
      </c>
      <c r="G25">
        <f t="shared" si="0"/>
        <v>0</v>
      </c>
    </row>
    <row r="26" spans="1:7" hidden="1" x14ac:dyDescent="0.25">
      <c r="A26" s="43" t="s">
        <v>1100</v>
      </c>
      <c r="B26" s="81" t="s">
        <v>1102</v>
      </c>
      <c r="C26" s="14" t="s">
        <v>14</v>
      </c>
      <c r="D26" s="14"/>
      <c r="E26" s="15"/>
      <c r="F26" s="16">
        <f t="shared" si="1"/>
        <v>0</v>
      </c>
      <c r="G26">
        <f t="shared" si="0"/>
        <v>0</v>
      </c>
    </row>
    <row r="27" spans="1:7" hidden="1" x14ac:dyDescent="0.25">
      <c r="A27" s="43" t="s">
        <v>882</v>
      </c>
      <c r="B27" s="81" t="s">
        <v>1103</v>
      </c>
      <c r="C27" s="14" t="s">
        <v>14</v>
      </c>
      <c r="D27" s="14"/>
      <c r="E27" s="15"/>
      <c r="F27" s="16">
        <f t="shared" si="1"/>
        <v>0</v>
      </c>
      <c r="G27">
        <f t="shared" si="0"/>
        <v>0</v>
      </c>
    </row>
    <row r="28" spans="1:7" hidden="1" x14ac:dyDescent="0.25">
      <c r="A28" s="43" t="s">
        <v>1101</v>
      </c>
      <c r="B28" s="81" t="s">
        <v>1104</v>
      </c>
      <c r="C28" s="14" t="s">
        <v>14</v>
      </c>
      <c r="D28" s="14"/>
      <c r="E28" s="15"/>
      <c r="F28" s="16">
        <f t="shared" si="1"/>
        <v>0</v>
      </c>
      <c r="G28">
        <f t="shared" si="0"/>
        <v>0</v>
      </c>
    </row>
    <row r="29" spans="1:7" hidden="1" x14ac:dyDescent="0.25">
      <c r="A29" s="43" t="s">
        <v>883</v>
      </c>
      <c r="B29" s="81" t="s">
        <v>1105</v>
      </c>
      <c r="C29" s="14" t="s">
        <v>14</v>
      </c>
      <c r="D29" s="14"/>
      <c r="E29" s="15"/>
      <c r="F29" s="16">
        <f t="shared" si="1"/>
        <v>0</v>
      </c>
      <c r="G29">
        <f t="shared" si="0"/>
        <v>0</v>
      </c>
    </row>
    <row r="30" spans="1:7" hidden="1" x14ac:dyDescent="0.25">
      <c r="A30" s="43" t="s">
        <v>884</v>
      </c>
      <c r="B30" s="81" t="s">
        <v>1106</v>
      </c>
      <c r="C30" s="14" t="s">
        <v>14</v>
      </c>
      <c r="D30" s="14"/>
      <c r="E30" s="15"/>
      <c r="F30" s="16">
        <f t="shared" si="1"/>
        <v>0</v>
      </c>
      <c r="G30">
        <f t="shared" si="0"/>
        <v>0</v>
      </c>
    </row>
    <row r="31" spans="1:7" hidden="1" x14ac:dyDescent="0.25">
      <c r="A31" s="43" t="s">
        <v>885</v>
      </c>
      <c r="B31" s="81" t="s">
        <v>1107</v>
      </c>
      <c r="C31" s="14" t="s">
        <v>14</v>
      </c>
      <c r="D31" s="14"/>
      <c r="E31" s="15"/>
      <c r="F31" s="16">
        <f t="shared" si="1"/>
        <v>0</v>
      </c>
      <c r="G31">
        <f t="shared" si="0"/>
        <v>0</v>
      </c>
    </row>
    <row r="32" spans="1:7" hidden="1" x14ac:dyDescent="0.25">
      <c r="A32" s="43" t="s">
        <v>886</v>
      </c>
      <c r="B32" s="81" t="s">
        <v>1108</v>
      </c>
      <c r="C32" s="14" t="s">
        <v>14</v>
      </c>
      <c r="D32" s="14"/>
      <c r="E32" s="15"/>
      <c r="F32" s="16">
        <f t="shared" si="1"/>
        <v>0</v>
      </c>
      <c r="G32">
        <f t="shared" si="0"/>
        <v>0</v>
      </c>
    </row>
    <row r="33" spans="1:7" hidden="1" x14ac:dyDescent="0.25">
      <c r="A33" s="43" t="s">
        <v>1109</v>
      </c>
      <c r="B33" s="81" t="s">
        <v>1113</v>
      </c>
      <c r="C33" s="14" t="s">
        <v>14</v>
      </c>
      <c r="D33" s="14"/>
      <c r="E33" s="15"/>
      <c r="F33" s="16">
        <f t="shared" si="1"/>
        <v>0</v>
      </c>
      <c r="G33">
        <f t="shared" si="0"/>
        <v>0</v>
      </c>
    </row>
    <row r="34" spans="1:7" hidden="1" x14ac:dyDescent="0.25">
      <c r="A34" s="43" t="s">
        <v>1110</v>
      </c>
      <c r="B34" s="81" t="s">
        <v>1114</v>
      </c>
      <c r="C34" s="14" t="s">
        <v>14</v>
      </c>
      <c r="D34" s="14"/>
      <c r="E34" s="15"/>
      <c r="F34" s="16">
        <f t="shared" si="1"/>
        <v>0</v>
      </c>
      <c r="G34">
        <f t="shared" si="0"/>
        <v>0</v>
      </c>
    </row>
    <row r="35" spans="1:7" hidden="1" x14ac:dyDescent="0.25">
      <c r="A35" s="43" t="s">
        <v>1111</v>
      </c>
      <c r="B35" s="81" t="s">
        <v>1115</v>
      </c>
      <c r="C35" s="14" t="s">
        <v>14</v>
      </c>
      <c r="D35" s="14"/>
      <c r="E35" s="15"/>
      <c r="F35" s="16">
        <f t="shared" si="1"/>
        <v>0</v>
      </c>
      <c r="G35">
        <f t="shared" si="0"/>
        <v>0</v>
      </c>
    </row>
    <row r="36" spans="1:7" hidden="1" x14ac:dyDescent="0.25">
      <c r="A36" s="43" t="s">
        <v>1112</v>
      </c>
      <c r="B36" s="81" t="s">
        <v>1116</v>
      </c>
      <c r="C36" s="14" t="s">
        <v>14</v>
      </c>
      <c r="D36" s="14"/>
      <c r="E36" s="15"/>
      <c r="F36" s="16">
        <f t="shared" si="1"/>
        <v>0</v>
      </c>
      <c r="G36">
        <f t="shared" si="0"/>
        <v>0</v>
      </c>
    </row>
    <row r="37" spans="1:7" hidden="1" x14ac:dyDescent="0.25">
      <c r="A37" s="43" t="s">
        <v>1117</v>
      </c>
      <c r="B37" s="81" t="s">
        <v>1118</v>
      </c>
      <c r="C37" s="14" t="s">
        <v>14</v>
      </c>
      <c r="D37" s="14"/>
      <c r="E37" s="15"/>
      <c r="F37" s="16">
        <f t="shared" si="1"/>
        <v>0</v>
      </c>
      <c r="G37">
        <f t="shared" si="0"/>
        <v>0</v>
      </c>
    </row>
    <row r="38" spans="1:7" hidden="1" x14ac:dyDescent="0.25">
      <c r="A38" s="44" t="s">
        <v>1119</v>
      </c>
      <c r="B38" s="80" t="s">
        <v>1148</v>
      </c>
      <c r="C38" s="14"/>
      <c r="D38" s="14"/>
      <c r="E38" s="15"/>
      <c r="F38" s="16"/>
      <c r="G38">
        <f t="shared" si="0"/>
        <v>0</v>
      </c>
    </row>
    <row r="39" spans="1:7" hidden="1" x14ac:dyDescent="0.25">
      <c r="A39" s="43" t="s">
        <v>1120</v>
      </c>
      <c r="B39" s="81" t="s">
        <v>1121</v>
      </c>
      <c r="C39" s="14" t="s">
        <v>14</v>
      </c>
      <c r="D39" s="14"/>
      <c r="E39" s="15"/>
      <c r="F39" s="16">
        <f t="shared" ref="F39:F77" si="2">+D39*E39</f>
        <v>0</v>
      </c>
      <c r="G39">
        <f t="shared" si="0"/>
        <v>0</v>
      </c>
    </row>
    <row r="40" spans="1:7" hidden="1" x14ac:dyDescent="0.25">
      <c r="A40" s="43" t="s">
        <v>1134</v>
      </c>
      <c r="B40" s="81" t="s">
        <v>1122</v>
      </c>
      <c r="C40" s="14" t="s">
        <v>14</v>
      </c>
      <c r="D40" s="14"/>
      <c r="E40" s="15"/>
      <c r="F40" s="16">
        <f t="shared" si="2"/>
        <v>0</v>
      </c>
      <c r="G40">
        <f t="shared" si="0"/>
        <v>0</v>
      </c>
    </row>
    <row r="41" spans="1:7" hidden="1" x14ac:dyDescent="0.25">
      <c r="A41" s="43" t="s">
        <v>1135</v>
      </c>
      <c r="B41" s="81" t="s">
        <v>1123</v>
      </c>
      <c r="C41" s="14" t="s">
        <v>14</v>
      </c>
      <c r="D41" s="14"/>
      <c r="E41" s="15"/>
      <c r="F41" s="16">
        <f t="shared" si="2"/>
        <v>0</v>
      </c>
      <c r="G41">
        <f t="shared" si="0"/>
        <v>0</v>
      </c>
    </row>
    <row r="42" spans="1:7" hidden="1" x14ac:dyDescent="0.25">
      <c r="A42" s="43" t="s">
        <v>1136</v>
      </c>
      <c r="B42" s="81" t="s">
        <v>1124</v>
      </c>
      <c r="C42" s="14" t="s">
        <v>14</v>
      </c>
      <c r="D42" s="14"/>
      <c r="E42" s="15"/>
      <c r="F42" s="16">
        <f t="shared" si="2"/>
        <v>0</v>
      </c>
      <c r="G42">
        <f t="shared" si="0"/>
        <v>0</v>
      </c>
    </row>
    <row r="43" spans="1:7" hidden="1" x14ac:dyDescent="0.25">
      <c r="A43" s="43" t="s">
        <v>1137</v>
      </c>
      <c r="B43" s="81" t="s">
        <v>1125</v>
      </c>
      <c r="C43" s="14" t="s">
        <v>14</v>
      </c>
      <c r="D43" s="14"/>
      <c r="E43" s="15"/>
      <c r="F43" s="16">
        <f t="shared" si="2"/>
        <v>0</v>
      </c>
      <c r="G43">
        <f t="shared" si="0"/>
        <v>0</v>
      </c>
    </row>
    <row r="44" spans="1:7" hidden="1" x14ac:dyDescent="0.25">
      <c r="A44" s="43" t="s">
        <v>1138</v>
      </c>
      <c r="B44" s="81" t="s">
        <v>1126</v>
      </c>
      <c r="C44" s="14" t="s">
        <v>14</v>
      </c>
      <c r="D44" s="14"/>
      <c r="E44" s="15"/>
      <c r="F44" s="16">
        <f t="shared" si="2"/>
        <v>0</v>
      </c>
      <c r="G44">
        <f t="shared" si="0"/>
        <v>0</v>
      </c>
    </row>
    <row r="45" spans="1:7" hidden="1" x14ac:dyDescent="0.25">
      <c r="A45" s="43" t="s">
        <v>1139</v>
      </c>
      <c r="B45" s="81" t="s">
        <v>1127</v>
      </c>
      <c r="C45" s="14" t="s">
        <v>14</v>
      </c>
      <c r="D45" s="14"/>
      <c r="E45" s="15"/>
      <c r="F45" s="16">
        <f t="shared" si="2"/>
        <v>0</v>
      </c>
      <c r="G45">
        <f t="shared" si="0"/>
        <v>0</v>
      </c>
    </row>
    <row r="46" spans="1:7" hidden="1" x14ac:dyDescent="0.25">
      <c r="A46" s="43" t="s">
        <v>1140</v>
      </c>
      <c r="B46" s="81" t="s">
        <v>1128</v>
      </c>
      <c r="C46" s="14" t="s">
        <v>14</v>
      </c>
      <c r="D46" s="14"/>
      <c r="E46" s="15"/>
      <c r="F46" s="16">
        <f t="shared" si="2"/>
        <v>0</v>
      </c>
      <c r="G46">
        <f t="shared" si="0"/>
        <v>0</v>
      </c>
    </row>
    <row r="47" spans="1:7" hidden="1" x14ac:dyDescent="0.25">
      <c r="A47" s="43" t="s">
        <v>1141</v>
      </c>
      <c r="B47" s="81" t="s">
        <v>1129</v>
      </c>
      <c r="C47" s="14" t="s">
        <v>14</v>
      </c>
      <c r="D47" s="14"/>
      <c r="E47" s="15"/>
      <c r="F47" s="16">
        <f t="shared" si="2"/>
        <v>0</v>
      </c>
      <c r="G47">
        <f t="shared" si="0"/>
        <v>0</v>
      </c>
    </row>
    <row r="48" spans="1:7" hidden="1" x14ac:dyDescent="0.25">
      <c r="A48" s="43" t="s">
        <v>1142</v>
      </c>
      <c r="B48" s="81" t="s">
        <v>1130</v>
      </c>
      <c r="C48" s="14" t="s">
        <v>14</v>
      </c>
      <c r="D48" s="14"/>
      <c r="E48" s="15"/>
      <c r="F48" s="16">
        <f t="shared" si="2"/>
        <v>0</v>
      </c>
      <c r="G48">
        <f t="shared" si="0"/>
        <v>0</v>
      </c>
    </row>
    <row r="49" spans="1:7" hidden="1" x14ac:dyDescent="0.25">
      <c r="A49" s="43" t="s">
        <v>1143</v>
      </c>
      <c r="B49" s="81" t="s">
        <v>1131</v>
      </c>
      <c r="C49" s="14" t="s">
        <v>14</v>
      </c>
      <c r="D49" s="14"/>
      <c r="E49" s="15"/>
      <c r="F49" s="16">
        <f t="shared" si="2"/>
        <v>0</v>
      </c>
      <c r="G49">
        <f t="shared" si="0"/>
        <v>0</v>
      </c>
    </row>
    <row r="50" spans="1:7" hidden="1" x14ac:dyDescent="0.25">
      <c r="A50" s="43" t="s">
        <v>1144</v>
      </c>
      <c r="B50" s="81" t="s">
        <v>1133</v>
      </c>
      <c r="C50" s="14" t="s">
        <v>14</v>
      </c>
      <c r="D50" s="14"/>
      <c r="E50" s="15"/>
      <c r="F50" s="16">
        <f t="shared" si="2"/>
        <v>0</v>
      </c>
      <c r="G50">
        <f t="shared" si="0"/>
        <v>0</v>
      </c>
    </row>
    <row r="51" spans="1:7" hidden="1" x14ac:dyDescent="0.25">
      <c r="A51" s="43" t="s">
        <v>1145</v>
      </c>
      <c r="B51" s="81" t="s">
        <v>1132</v>
      </c>
      <c r="C51" s="14" t="s">
        <v>14</v>
      </c>
      <c r="D51" s="14"/>
      <c r="E51" s="15"/>
      <c r="F51" s="16">
        <f t="shared" si="2"/>
        <v>0</v>
      </c>
      <c r="G51">
        <f t="shared" si="0"/>
        <v>0</v>
      </c>
    </row>
    <row r="52" spans="1:7" hidden="1" x14ac:dyDescent="0.25">
      <c r="A52" s="44" t="s">
        <v>1146</v>
      </c>
      <c r="B52" s="80" t="s">
        <v>1149</v>
      </c>
      <c r="C52" s="14"/>
      <c r="D52" s="14"/>
      <c r="E52" s="15"/>
      <c r="F52" s="16"/>
      <c r="G52">
        <f t="shared" si="0"/>
        <v>0</v>
      </c>
    </row>
    <row r="53" spans="1:7" hidden="1" x14ac:dyDescent="0.25">
      <c r="A53" s="43" t="s">
        <v>1147</v>
      </c>
      <c r="B53" s="81" t="s">
        <v>1150</v>
      </c>
      <c r="C53" s="14" t="s">
        <v>14</v>
      </c>
      <c r="D53" s="14"/>
      <c r="E53" s="15"/>
      <c r="F53" s="16">
        <f t="shared" si="2"/>
        <v>0</v>
      </c>
      <c r="G53">
        <f t="shared" si="0"/>
        <v>0</v>
      </c>
    </row>
    <row r="54" spans="1:7" hidden="1" x14ac:dyDescent="0.25">
      <c r="A54" s="43" t="s">
        <v>1164</v>
      </c>
      <c r="B54" s="81" t="s">
        <v>1151</v>
      </c>
      <c r="C54" s="14" t="s">
        <v>14</v>
      </c>
      <c r="D54" s="14"/>
      <c r="E54" s="15"/>
      <c r="F54" s="16">
        <f t="shared" si="2"/>
        <v>0</v>
      </c>
      <c r="G54">
        <f t="shared" si="0"/>
        <v>0</v>
      </c>
    </row>
    <row r="55" spans="1:7" hidden="1" x14ac:dyDescent="0.25">
      <c r="A55" s="43" t="s">
        <v>1165</v>
      </c>
      <c r="B55" s="81" t="s">
        <v>1152</v>
      </c>
      <c r="C55" s="14" t="s">
        <v>14</v>
      </c>
      <c r="D55" s="14"/>
      <c r="E55" s="15"/>
      <c r="F55" s="16">
        <f t="shared" si="2"/>
        <v>0</v>
      </c>
      <c r="G55">
        <f t="shared" si="0"/>
        <v>0</v>
      </c>
    </row>
    <row r="56" spans="1:7" hidden="1" x14ac:dyDescent="0.25">
      <c r="A56" s="43" t="s">
        <v>1166</v>
      </c>
      <c r="B56" s="81" t="s">
        <v>1153</v>
      </c>
      <c r="C56" s="14" t="s">
        <v>14</v>
      </c>
      <c r="D56" s="14"/>
      <c r="E56" s="15"/>
      <c r="F56" s="16">
        <f t="shared" si="2"/>
        <v>0</v>
      </c>
      <c r="G56">
        <f t="shared" si="0"/>
        <v>0</v>
      </c>
    </row>
    <row r="57" spans="1:7" hidden="1" x14ac:dyDescent="0.25">
      <c r="A57" s="43" t="s">
        <v>1167</v>
      </c>
      <c r="B57" s="81" t="s">
        <v>1154</v>
      </c>
      <c r="C57" s="14" t="s">
        <v>14</v>
      </c>
      <c r="D57" s="14"/>
      <c r="E57" s="15"/>
      <c r="F57" s="16">
        <f t="shared" si="2"/>
        <v>0</v>
      </c>
      <c r="G57">
        <f t="shared" si="0"/>
        <v>0</v>
      </c>
    </row>
    <row r="58" spans="1:7" hidden="1" x14ac:dyDescent="0.25">
      <c r="A58" s="43" t="s">
        <v>1168</v>
      </c>
      <c r="B58" s="81" t="s">
        <v>1155</v>
      </c>
      <c r="C58" s="14" t="s">
        <v>14</v>
      </c>
      <c r="D58" s="14"/>
      <c r="E58" s="15"/>
      <c r="F58" s="16">
        <f t="shared" si="2"/>
        <v>0</v>
      </c>
      <c r="G58">
        <f t="shared" si="0"/>
        <v>0</v>
      </c>
    </row>
    <row r="59" spans="1:7" hidden="1" x14ac:dyDescent="0.25">
      <c r="A59" s="43" t="s">
        <v>1169</v>
      </c>
      <c r="B59" s="81" t="s">
        <v>1156</v>
      </c>
      <c r="C59" s="14" t="s">
        <v>14</v>
      </c>
      <c r="D59" s="14"/>
      <c r="E59" s="15"/>
      <c r="F59" s="16">
        <f t="shared" si="2"/>
        <v>0</v>
      </c>
      <c r="G59">
        <f t="shared" si="0"/>
        <v>0</v>
      </c>
    </row>
    <row r="60" spans="1:7" hidden="1" x14ac:dyDescent="0.25">
      <c r="A60" s="43" t="s">
        <v>1170</v>
      </c>
      <c r="B60" s="81" t="s">
        <v>1157</v>
      </c>
      <c r="C60" s="14" t="s">
        <v>14</v>
      </c>
      <c r="D60" s="14"/>
      <c r="E60" s="15"/>
      <c r="F60" s="16">
        <f t="shared" si="2"/>
        <v>0</v>
      </c>
      <c r="G60">
        <f t="shared" si="0"/>
        <v>0</v>
      </c>
    </row>
    <row r="61" spans="1:7" hidden="1" x14ac:dyDescent="0.25">
      <c r="A61" s="43" t="s">
        <v>1171</v>
      </c>
      <c r="B61" s="81" t="s">
        <v>1158</v>
      </c>
      <c r="C61" s="14" t="s">
        <v>14</v>
      </c>
      <c r="D61" s="14"/>
      <c r="E61" s="15"/>
      <c r="F61" s="16">
        <f t="shared" si="2"/>
        <v>0</v>
      </c>
      <c r="G61">
        <f t="shared" si="0"/>
        <v>0</v>
      </c>
    </row>
    <row r="62" spans="1:7" hidden="1" x14ac:dyDescent="0.25">
      <c r="A62" s="43" t="s">
        <v>1172</v>
      </c>
      <c r="B62" s="81" t="s">
        <v>1159</v>
      </c>
      <c r="C62" s="14" t="s">
        <v>14</v>
      </c>
      <c r="D62" s="14"/>
      <c r="E62" s="15"/>
      <c r="F62" s="16">
        <f t="shared" si="2"/>
        <v>0</v>
      </c>
      <c r="G62">
        <f t="shared" si="0"/>
        <v>0</v>
      </c>
    </row>
    <row r="63" spans="1:7" hidden="1" x14ac:dyDescent="0.25">
      <c r="A63" s="43" t="s">
        <v>1173</v>
      </c>
      <c r="B63" s="81" t="s">
        <v>1160</v>
      </c>
      <c r="C63" s="14" t="s">
        <v>14</v>
      </c>
      <c r="D63" s="14"/>
      <c r="E63" s="15"/>
      <c r="F63" s="16">
        <f t="shared" si="2"/>
        <v>0</v>
      </c>
      <c r="G63">
        <f t="shared" si="0"/>
        <v>0</v>
      </c>
    </row>
    <row r="64" spans="1:7" hidden="1" x14ac:dyDescent="0.25">
      <c r="A64" s="44" t="s">
        <v>1162</v>
      </c>
      <c r="B64" s="80" t="s">
        <v>1161</v>
      </c>
      <c r="C64" s="14"/>
      <c r="D64" s="14"/>
      <c r="E64" s="15"/>
      <c r="F64" s="16"/>
      <c r="G64">
        <f t="shared" si="0"/>
        <v>0</v>
      </c>
    </row>
    <row r="65" spans="1:7" hidden="1" x14ac:dyDescent="0.25">
      <c r="A65" s="43" t="s">
        <v>1163</v>
      </c>
      <c r="B65" s="81" t="s">
        <v>1183</v>
      </c>
      <c r="C65" s="14" t="s">
        <v>14</v>
      </c>
      <c r="D65" s="14"/>
      <c r="E65" s="15"/>
      <c r="F65" s="16">
        <f t="shared" si="2"/>
        <v>0</v>
      </c>
      <c r="G65">
        <f t="shared" si="0"/>
        <v>0</v>
      </c>
    </row>
    <row r="66" spans="1:7" hidden="1" x14ac:dyDescent="0.25">
      <c r="A66" s="43" t="s">
        <v>1174</v>
      </c>
      <c r="B66" s="81" t="s">
        <v>1184</v>
      </c>
      <c r="C66" s="14" t="s">
        <v>14</v>
      </c>
      <c r="D66" s="14"/>
      <c r="E66" s="15"/>
      <c r="F66" s="16">
        <f t="shared" si="2"/>
        <v>0</v>
      </c>
      <c r="G66">
        <f t="shared" si="0"/>
        <v>0</v>
      </c>
    </row>
    <row r="67" spans="1:7" hidden="1" x14ac:dyDescent="0.25">
      <c r="A67" s="43" t="s">
        <v>1175</v>
      </c>
      <c r="B67" s="81" t="s">
        <v>1185</v>
      </c>
      <c r="C67" s="14" t="s">
        <v>14</v>
      </c>
      <c r="D67" s="14"/>
      <c r="E67" s="15">
        <f>+SUM!H65</f>
        <v>84090</v>
      </c>
      <c r="F67" s="16">
        <f t="shared" si="2"/>
        <v>0</v>
      </c>
      <c r="G67">
        <f t="shared" si="0"/>
        <v>0</v>
      </c>
    </row>
    <row r="68" spans="1:7" hidden="1" x14ac:dyDescent="0.25">
      <c r="A68" s="43" t="s">
        <v>1176</v>
      </c>
      <c r="B68" s="81" t="s">
        <v>1186</v>
      </c>
      <c r="C68" s="14" t="s">
        <v>14</v>
      </c>
      <c r="D68" s="14"/>
      <c r="E68" s="15">
        <f>+SUM!H66</f>
        <v>131496</v>
      </c>
      <c r="F68" s="16">
        <f t="shared" si="2"/>
        <v>0</v>
      </c>
      <c r="G68">
        <f t="shared" si="0"/>
        <v>0</v>
      </c>
    </row>
    <row r="69" spans="1:7" hidden="1" x14ac:dyDescent="0.25">
      <c r="A69" s="43" t="s">
        <v>1177</v>
      </c>
      <c r="B69" s="81" t="s">
        <v>1187</v>
      </c>
      <c r="C69" s="14" t="s">
        <v>14</v>
      </c>
      <c r="D69" s="14"/>
      <c r="E69" s="15"/>
      <c r="F69" s="16">
        <f t="shared" si="2"/>
        <v>0</v>
      </c>
      <c r="G69">
        <f t="shared" si="0"/>
        <v>0</v>
      </c>
    </row>
    <row r="70" spans="1:7" hidden="1" x14ac:dyDescent="0.25">
      <c r="A70" s="43" t="s">
        <v>1178</v>
      </c>
      <c r="B70" s="81" t="s">
        <v>1188</v>
      </c>
      <c r="C70" s="14" t="s">
        <v>14</v>
      </c>
      <c r="D70" s="14"/>
      <c r="E70" s="15"/>
      <c r="F70" s="16">
        <f t="shared" si="2"/>
        <v>0</v>
      </c>
      <c r="G70">
        <f t="shared" si="0"/>
        <v>0</v>
      </c>
    </row>
    <row r="71" spans="1:7" hidden="1" x14ac:dyDescent="0.25">
      <c r="A71" s="43" t="s">
        <v>1179</v>
      </c>
      <c r="B71" s="81" t="s">
        <v>1189</v>
      </c>
      <c r="C71" s="14" t="s">
        <v>14</v>
      </c>
      <c r="D71" s="14"/>
      <c r="E71" s="15"/>
      <c r="F71" s="16">
        <f t="shared" si="2"/>
        <v>0</v>
      </c>
      <c r="G71">
        <f t="shared" si="0"/>
        <v>0</v>
      </c>
    </row>
    <row r="72" spans="1:7" hidden="1" x14ac:dyDescent="0.25">
      <c r="A72" s="43" t="s">
        <v>1180</v>
      </c>
      <c r="B72" s="81" t="s">
        <v>1190</v>
      </c>
      <c r="C72" s="14" t="s">
        <v>14</v>
      </c>
      <c r="D72" s="14"/>
      <c r="E72" s="15"/>
      <c r="F72" s="16">
        <f t="shared" si="2"/>
        <v>0</v>
      </c>
      <c r="G72">
        <f t="shared" si="0"/>
        <v>0</v>
      </c>
    </row>
    <row r="73" spans="1:7" hidden="1" x14ac:dyDescent="0.25">
      <c r="A73" s="43" t="s">
        <v>1181</v>
      </c>
      <c r="B73" s="81" t="s">
        <v>1191</v>
      </c>
      <c r="C73" s="14" t="s">
        <v>14</v>
      </c>
      <c r="D73" s="14"/>
      <c r="E73" s="15"/>
      <c r="F73" s="16">
        <f t="shared" si="2"/>
        <v>0</v>
      </c>
      <c r="G73">
        <f t="shared" ref="G73:G136" si="3">+IF(F73&lt;&gt;0,1,0)</f>
        <v>0</v>
      </c>
    </row>
    <row r="74" spans="1:7" hidden="1" x14ac:dyDescent="0.25">
      <c r="A74" s="43" t="s">
        <v>1182</v>
      </c>
      <c r="B74" s="81" t="s">
        <v>1192</v>
      </c>
      <c r="C74" s="14" t="s">
        <v>14</v>
      </c>
      <c r="D74" s="14"/>
      <c r="E74" s="15"/>
      <c r="F74" s="16">
        <f t="shared" si="2"/>
        <v>0</v>
      </c>
      <c r="G74">
        <f t="shared" si="3"/>
        <v>0</v>
      </c>
    </row>
    <row r="75" spans="1:7" hidden="1" x14ac:dyDescent="0.25">
      <c r="A75" s="44" t="s">
        <v>1193</v>
      </c>
      <c r="B75" s="80" t="s">
        <v>887</v>
      </c>
      <c r="C75" s="14"/>
      <c r="D75" s="14"/>
      <c r="E75" s="15"/>
      <c r="F75" s="16"/>
      <c r="G75">
        <f t="shared" si="3"/>
        <v>0</v>
      </c>
    </row>
    <row r="76" spans="1:7" hidden="1" x14ac:dyDescent="0.25">
      <c r="A76" s="43" t="s">
        <v>1196</v>
      </c>
      <c r="B76" s="81" t="s">
        <v>1194</v>
      </c>
      <c r="C76" s="14" t="s">
        <v>14</v>
      </c>
      <c r="D76" s="14"/>
      <c r="E76" s="15"/>
      <c r="F76" s="16">
        <f t="shared" si="2"/>
        <v>0</v>
      </c>
      <c r="G76">
        <f t="shared" si="3"/>
        <v>0</v>
      </c>
    </row>
    <row r="77" spans="1:7" hidden="1" x14ac:dyDescent="0.25">
      <c r="A77" s="43" t="s">
        <v>1197</v>
      </c>
      <c r="B77" s="81" t="s">
        <v>1195</v>
      </c>
      <c r="C77" s="14" t="s">
        <v>14</v>
      </c>
      <c r="D77" s="14"/>
      <c r="E77" s="15"/>
      <c r="F77" s="16">
        <f t="shared" si="2"/>
        <v>0</v>
      </c>
      <c r="G77">
        <f t="shared" si="3"/>
        <v>0</v>
      </c>
    </row>
    <row r="78" spans="1:7" hidden="1" x14ac:dyDescent="0.25">
      <c r="A78" s="44" t="s">
        <v>1675</v>
      </c>
      <c r="B78" s="80" t="s">
        <v>1676</v>
      </c>
      <c r="C78" s="14"/>
      <c r="D78" s="14"/>
      <c r="E78" s="15"/>
      <c r="F78" s="16"/>
      <c r="G78">
        <f t="shared" si="3"/>
        <v>0</v>
      </c>
    </row>
    <row r="79" spans="1:7" hidden="1" x14ac:dyDescent="0.25">
      <c r="A79" s="44" t="s">
        <v>1678</v>
      </c>
      <c r="B79" s="80" t="s">
        <v>1677</v>
      </c>
      <c r="C79" s="14"/>
      <c r="D79" s="14"/>
      <c r="E79" s="15"/>
      <c r="F79" s="16"/>
      <c r="G79">
        <f t="shared" si="3"/>
        <v>0</v>
      </c>
    </row>
    <row r="80" spans="1:7" hidden="1" x14ac:dyDescent="0.25">
      <c r="A80" s="43" t="s">
        <v>1679</v>
      </c>
      <c r="B80" s="81" t="s">
        <v>1682</v>
      </c>
      <c r="C80" s="14" t="s">
        <v>14</v>
      </c>
      <c r="D80" s="14"/>
      <c r="E80" s="15"/>
      <c r="F80" s="16">
        <f>+D80*E80</f>
        <v>0</v>
      </c>
      <c r="G80">
        <f t="shared" si="3"/>
        <v>0</v>
      </c>
    </row>
    <row r="81" spans="1:7" hidden="1" x14ac:dyDescent="0.25">
      <c r="A81" s="43" t="s">
        <v>1684</v>
      </c>
      <c r="B81" s="81" t="s">
        <v>1683</v>
      </c>
      <c r="C81" s="14" t="s">
        <v>14</v>
      </c>
      <c r="D81" s="14"/>
      <c r="E81" s="15"/>
      <c r="F81" s="16">
        <f>+D81*E81</f>
        <v>0</v>
      </c>
      <c r="G81">
        <f t="shared" si="3"/>
        <v>0</v>
      </c>
    </row>
    <row r="82" spans="1:7" hidden="1" x14ac:dyDescent="0.25">
      <c r="A82" s="43" t="s">
        <v>1685</v>
      </c>
      <c r="B82" s="81" t="s">
        <v>1680</v>
      </c>
      <c r="C82" s="14" t="s">
        <v>14</v>
      </c>
      <c r="D82" s="14"/>
      <c r="E82" s="15"/>
      <c r="F82" s="16">
        <f>+D82*E82</f>
        <v>0</v>
      </c>
      <c r="G82">
        <f t="shared" si="3"/>
        <v>0</v>
      </c>
    </row>
    <row r="83" spans="1:7" hidden="1" x14ac:dyDescent="0.25">
      <c r="A83" s="43" t="s">
        <v>1686</v>
      </c>
      <c r="B83" s="81" t="s">
        <v>1681</v>
      </c>
      <c r="C83" s="14" t="s">
        <v>14</v>
      </c>
      <c r="D83" s="14"/>
      <c r="E83" s="15"/>
      <c r="F83" s="16">
        <f>+D83*E83</f>
        <v>0</v>
      </c>
      <c r="G83">
        <f t="shared" si="3"/>
        <v>0</v>
      </c>
    </row>
    <row r="84" spans="1:7" hidden="1" x14ac:dyDescent="0.25">
      <c r="A84" s="44" t="s">
        <v>1687</v>
      </c>
      <c r="B84" s="80" t="s">
        <v>1688</v>
      </c>
      <c r="C84" s="14"/>
      <c r="D84" s="14"/>
      <c r="E84" s="15"/>
      <c r="F84" s="16"/>
      <c r="G84">
        <f t="shared" si="3"/>
        <v>0</v>
      </c>
    </row>
    <row r="85" spans="1:7" hidden="1" x14ac:dyDescent="0.25">
      <c r="A85" s="43" t="s">
        <v>1693</v>
      </c>
      <c r="B85" s="81" t="s">
        <v>1689</v>
      </c>
      <c r="C85" s="14" t="s">
        <v>14</v>
      </c>
      <c r="D85" s="14"/>
      <c r="E85" s="15"/>
      <c r="F85" s="16">
        <f>+D85*E85</f>
        <v>0</v>
      </c>
      <c r="G85">
        <f t="shared" si="3"/>
        <v>0</v>
      </c>
    </row>
    <row r="86" spans="1:7" hidden="1" x14ac:dyDescent="0.25">
      <c r="A86" s="43" t="s">
        <v>1694</v>
      </c>
      <c r="B86" s="81" t="s">
        <v>1690</v>
      </c>
      <c r="C86" s="14" t="s">
        <v>14</v>
      </c>
      <c r="D86" s="14"/>
      <c r="E86" s="15"/>
      <c r="F86" s="16">
        <f>+D86*E86</f>
        <v>0</v>
      </c>
      <c r="G86">
        <f t="shared" si="3"/>
        <v>0</v>
      </c>
    </row>
    <row r="87" spans="1:7" hidden="1" x14ac:dyDescent="0.25">
      <c r="A87" s="43" t="s">
        <v>1695</v>
      </c>
      <c r="B87" s="81" t="s">
        <v>1691</v>
      </c>
      <c r="C87" s="14" t="s">
        <v>14</v>
      </c>
      <c r="D87" s="14"/>
      <c r="E87" s="15"/>
      <c r="F87" s="16">
        <f>+D87*E87</f>
        <v>0</v>
      </c>
      <c r="G87">
        <f t="shared" si="3"/>
        <v>0</v>
      </c>
    </row>
    <row r="88" spans="1:7" hidden="1" x14ac:dyDescent="0.25">
      <c r="A88" s="43" t="s">
        <v>1696</v>
      </c>
      <c r="B88" s="81" t="s">
        <v>1692</v>
      </c>
      <c r="C88" s="14" t="s">
        <v>14</v>
      </c>
      <c r="D88" s="14"/>
      <c r="E88" s="15"/>
      <c r="F88" s="16">
        <f>+D88*E88</f>
        <v>0</v>
      </c>
      <c r="G88">
        <f t="shared" si="3"/>
        <v>0</v>
      </c>
    </row>
    <row r="89" spans="1:7" hidden="1" x14ac:dyDescent="0.25">
      <c r="A89" s="44" t="s">
        <v>1697</v>
      </c>
      <c r="B89" s="80" t="s">
        <v>1698</v>
      </c>
      <c r="C89" s="14"/>
      <c r="D89" s="14"/>
      <c r="E89" s="15"/>
      <c r="F89" s="16"/>
      <c r="G89">
        <f t="shared" si="3"/>
        <v>0</v>
      </c>
    </row>
    <row r="90" spans="1:7" hidden="1" x14ac:dyDescent="0.25">
      <c r="A90" s="43" t="s">
        <v>1707</v>
      </c>
      <c r="B90" s="81" t="s">
        <v>1699</v>
      </c>
      <c r="C90" s="14" t="s">
        <v>14</v>
      </c>
      <c r="D90" s="14"/>
      <c r="E90" s="15"/>
      <c r="F90" s="16">
        <f t="shared" ref="F90:F97" si="4">+D90*E90</f>
        <v>0</v>
      </c>
      <c r="G90">
        <f t="shared" si="3"/>
        <v>0</v>
      </c>
    </row>
    <row r="91" spans="1:7" hidden="1" x14ac:dyDescent="0.25">
      <c r="A91" s="43" t="s">
        <v>1708</v>
      </c>
      <c r="B91" s="81" t="s">
        <v>1700</v>
      </c>
      <c r="C91" s="14" t="s">
        <v>14</v>
      </c>
      <c r="D91" s="14"/>
      <c r="E91" s="15"/>
      <c r="F91" s="16">
        <f t="shared" si="4"/>
        <v>0</v>
      </c>
      <c r="G91">
        <f t="shared" si="3"/>
        <v>0</v>
      </c>
    </row>
    <row r="92" spans="1:7" hidden="1" x14ac:dyDescent="0.25">
      <c r="A92" s="43" t="s">
        <v>1709</v>
      </c>
      <c r="B92" s="81" t="s">
        <v>1701</v>
      </c>
      <c r="C92" s="14" t="s">
        <v>14</v>
      </c>
      <c r="D92" s="14"/>
      <c r="E92" s="15"/>
      <c r="F92" s="16">
        <f t="shared" si="4"/>
        <v>0</v>
      </c>
      <c r="G92">
        <f t="shared" si="3"/>
        <v>0</v>
      </c>
    </row>
    <row r="93" spans="1:7" hidden="1" x14ac:dyDescent="0.25">
      <c r="A93" s="43" t="s">
        <v>1710</v>
      </c>
      <c r="B93" s="81" t="s">
        <v>1702</v>
      </c>
      <c r="C93" s="14" t="s">
        <v>14</v>
      </c>
      <c r="D93" s="14"/>
      <c r="E93" s="15"/>
      <c r="F93" s="16">
        <f t="shared" si="4"/>
        <v>0</v>
      </c>
      <c r="G93">
        <f t="shared" si="3"/>
        <v>0</v>
      </c>
    </row>
    <row r="94" spans="1:7" hidden="1" x14ac:dyDescent="0.25">
      <c r="A94" s="43" t="s">
        <v>1711</v>
      </c>
      <c r="B94" s="81" t="s">
        <v>1703</v>
      </c>
      <c r="C94" s="14" t="s">
        <v>14</v>
      </c>
      <c r="D94" s="14"/>
      <c r="E94" s="15"/>
      <c r="F94" s="16">
        <f t="shared" si="4"/>
        <v>0</v>
      </c>
      <c r="G94">
        <f t="shared" si="3"/>
        <v>0</v>
      </c>
    </row>
    <row r="95" spans="1:7" hidden="1" x14ac:dyDescent="0.25">
      <c r="A95" s="43" t="s">
        <v>1712</v>
      </c>
      <c r="B95" s="81" t="s">
        <v>1705</v>
      </c>
      <c r="C95" s="14" t="s">
        <v>14</v>
      </c>
      <c r="D95" s="14"/>
      <c r="E95" s="15"/>
      <c r="F95" s="16">
        <f t="shared" si="4"/>
        <v>0</v>
      </c>
      <c r="G95">
        <f t="shared" si="3"/>
        <v>0</v>
      </c>
    </row>
    <row r="96" spans="1:7" hidden="1" x14ac:dyDescent="0.25">
      <c r="A96" s="43" t="s">
        <v>1713</v>
      </c>
      <c r="B96" s="81" t="s">
        <v>1704</v>
      </c>
      <c r="C96" s="14" t="s">
        <v>14</v>
      </c>
      <c r="D96" s="14"/>
      <c r="E96" s="15"/>
      <c r="F96" s="16">
        <f t="shared" si="4"/>
        <v>0</v>
      </c>
      <c r="G96">
        <f t="shared" si="3"/>
        <v>0</v>
      </c>
    </row>
    <row r="97" spans="1:7" hidden="1" x14ac:dyDescent="0.25">
      <c r="A97" s="43" t="s">
        <v>1714</v>
      </c>
      <c r="B97" s="81" t="s">
        <v>1706</v>
      </c>
      <c r="C97" s="14" t="s">
        <v>14</v>
      </c>
      <c r="D97" s="14"/>
      <c r="E97" s="15"/>
      <c r="F97" s="16">
        <f t="shared" si="4"/>
        <v>0</v>
      </c>
      <c r="G97">
        <f t="shared" si="3"/>
        <v>0</v>
      </c>
    </row>
    <row r="98" spans="1:7" hidden="1" x14ac:dyDescent="0.25">
      <c r="A98" s="44" t="s">
        <v>1198</v>
      </c>
      <c r="B98" s="80" t="s">
        <v>1199</v>
      </c>
      <c r="C98" s="14"/>
      <c r="D98" s="14"/>
      <c r="E98" s="15"/>
      <c r="F98" s="16"/>
      <c r="G98">
        <f t="shared" si="3"/>
        <v>0</v>
      </c>
    </row>
    <row r="99" spans="1:7" hidden="1" x14ac:dyDescent="0.25">
      <c r="A99" s="44" t="s">
        <v>889</v>
      </c>
      <c r="B99" s="80" t="s">
        <v>890</v>
      </c>
      <c r="C99" s="14"/>
      <c r="D99" s="14"/>
      <c r="E99" s="15"/>
      <c r="F99" s="16"/>
      <c r="G99">
        <f t="shared" si="3"/>
        <v>0</v>
      </c>
    </row>
    <row r="100" spans="1:7" hidden="1" x14ac:dyDescent="0.25">
      <c r="A100" s="65" t="s">
        <v>891</v>
      </c>
      <c r="B100" s="66" t="s">
        <v>892</v>
      </c>
      <c r="C100" s="67"/>
      <c r="D100" s="14"/>
      <c r="E100" s="15"/>
      <c r="F100" s="16"/>
      <c r="G100">
        <f t="shared" si="3"/>
        <v>0</v>
      </c>
    </row>
    <row r="101" spans="1:7" hidden="1" x14ac:dyDescent="0.25">
      <c r="A101" s="65" t="s">
        <v>893</v>
      </c>
      <c r="B101" s="66" t="s">
        <v>894</v>
      </c>
      <c r="C101" s="67"/>
      <c r="D101" s="14"/>
      <c r="E101" s="15"/>
      <c r="F101" s="16"/>
      <c r="G101">
        <f t="shared" si="3"/>
        <v>0</v>
      </c>
    </row>
    <row r="102" spans="1:7" hidden="1" x14ac:dyDescent="0.25">
      <c r="A102" s="71" t="s">
        <v>1200</v>
      </c>
      <c r="B102" s="72" t="s">
        <v>1204</v>
      </c>
      <c r="C102" s="67" t="s">
        <v>37</v>
      </c>
      <c r="D102" s="14"/>
      <c r="E102" s="15"/>
      <c r="F102" s="16">
        <f>+D102*E102</f>
        <v>0</v>
      </c>
      <c r="G102">
        <f t="shared" si="3"/>
        <v>0</v>
      </c>
    </row>
    <row r="103" spans="1:7" hidden="1" x14ac:dyDescent="0.25">
      <c r="A103" s="71" t="s">
        <v>1201</v>
      </c>
      <c r="B103" s="72" t="s">
        <v>1205</v>
      </c>
      <c r="C103" s="67" t="s">
        <v>37</v>
      </c>
      <c r="D103" s="14"/>
      <c r="E103" s="15"/>
      <c r="F103" s="16">
        <f>+D103*E103</f>
        <v>0</v>
      </c>
      <c r="G103">
        <f t="shared" si="3"/>
        <v>0</v>
      </c>
    </row>
    <row r="104" spans="1:7" hidden="1" x14ac:dyDescent="0.25">
      <c r="A104" s="71" t="s">
        <v>895</v>
      </c>
      <c r="B104" s="72" t="s">
        <v>896</v>
      </c>
      <c r="C104" s="67" t="s">
        <v>37</v>
      </c>
      <c r="D104" s="14"/>
      <c r="E104" s="15"/>
      <c r="F104" s="16">
        <f>+D104*E104</f>
        <v>0</v>
      </c>
      <c r="G104">
        <f t="shared" si="3"/>
        <v>0</v>
      </c>
    </row>
    <row r="105" spans="1:7" hidden="1" x14ac:dyDescent="0.25">
      <c r="A105" s="71" t="s">
        <v>1202</v>
      </c>
      <c r="B105" s="72" t="s">
        <v>1206</v>
      </c>
      <c r="C105" s="67" t="s">
        <v>37</v>
      </c>
      <c r="D105" s="14"/>
      <c r="E105" s="15"/>
      <c r="F105" s="16">
        <f>+D105*E105</f>
        <v>0</v>
      </c>
      <c r="G105">
        <f t="shared" si="3"/>
        <v>0</v>
      </c>
    </row>
    <row r="106" spans="1:7" hidden="1" x14ac:dyDescent="0.25">
      <c r="A106" s="71" t="s">
        <v>1203</v>
      </c>
      <c r="B106" s="72" t="s">
        <v>1207</v>
      </c>
      <c r="C106" s="67" t="s">
        <v>37</v>
      </c>
      <c r="D106" s="14"/>
      <c r="E106" s="15"/>
      <c r="F106" s="16">
        <f>+D106*E106</f>
        <v>0</v>
      </c>
      <c r="G106">
        <f t="shared" si="3"/>
        <v>0</v>
      </c>
    </row>
    <row r="107" spans="1:7" hidden="1" x14ac:dyDescent="0.25">
      <c r="A107" s="65" t="s">
        <v>1208</v>
      </c>
      <c r="B107" s="66" t="s">
        <v>1210</v>
      </c>
      <c r="C107" s="67"/>
      <c r="D107" s="14"/>
      <c r="E107" s="15"/>
      <c r="F107" s="16"/>
      <c r="G107">
        <f t="shared" si="3"/>
        <v>0</v>
      </c>
    </row>
    <row r="108" spans="1:7" hidden="1" x14ac:dyDescent="0.25">
      <c r="A108" s="71" t="s">
        <v>1209</v>
      </c>
      <c r="B108" s="72" t="s">
        <v>1215</v>
      </c>
      <c r="C108" s="67" t="s">
        <v>37</v>
      </c>
      <c r="D108" s="14"/>
      <c r="E108" s="15"/>
      <c r="F108" s="16">
        <f>+D108*E108</f>
        <v>0</v>
      </c>
      <c r="G108">
        <f t="shared" si="3"/>
        <v>0</v>
      </c>
    </row>
    <row r="109" spans="1:7" hidden="1" x14ac:dyDescent="0.25">
      <c r="A109" s="71" t="s">
        <v>1211</v>
      </c>
      <c r="B109" s="72" t="s">
        <v>1216</v>
      </c>
      <c r="C109" s="67" t="s">
        <v>37</v>
      </c>
      <c r="D109" s="14"/>
      <c r="E109" s="15"/>
      <c r="F109" s="16">
        <f>+D109*E109</f>
        <v>0</v>
      </c>
      <c r="G109">
        <f t="shared" si="3"/>
        <v>0</v>
      </c>
    </row>
    <row r="110" spans="1:7" hidden="1" x14ac:dyDescent="0.25">
      <c r="A110" s="71" t="s">
        <v>1212</v>
      </c>
      <c r="B110" s="72" t="s">
        <v>1217</v>
      </c>
      <c r="C110" s="67" t="s">
        <v>37</v>
      </c>
      <c r="D110" s="14"/>
      <c r="E110" s="15"/>
      <c r="F110" s="16">
        <f>+D110*E110</f>
        <v>0</v>
      </c>
      <c r="G110">
        <f t="shared" si="3"/>
        <v>0</v>
      </c>
    </row>
    <row r="111" spans="1:7" hidden="1" x14ac:dyDescent="0.25">
      <c r="A111" s="71" t="s">
        <v>1213</v>
      </c>
      <c r="B111" s="72" t="s">
        <v>1218</v>
      </c>
      <c r="C111" s="67" t="s">
        <v>37</v>
      </c>
      <c r="D111" s="14"/>
      <c r="E111" s="15"/>
      <c r="F111" s="16">
        <f>+D111*E111</f>
        <v>0</v>
      </c>
      <c r="G111">
        <f t="shared" si="3"/>
        <v>0</v>
      </c>
    </row>
    <row r="112" spans="1:7" hidden="1" x14ac:dyDescent="0.25">
      <c r="A112" s="71" t="s">
        <v>1214</v>
      </c>
      <c r="B112" s="72" t="s">
        <v>1219</v>
      </c>
      <c r="C112" s="67" t="s">
        <v>37</v>
      </c>
      <c r="D112" s="14"/>
      <c r="E112" s="15"/>
      <c r="F112" s="16">
        <f>+D112*E112</f>
        <v>0</v>
      </c>
      <c r="G112">
        <f t="shared" si="3"/>
        <v>0</v>
      </c>
    </row>
    <row r="113" spans="1:7" hidden="1" x14ac:dyDescent="0.25">
      <c r="A113" s="44" t="s">
        <v>897</v>
      </c>
      <c r="B113" s="80" t="s">
        <v>898</v>
      </c>
      <c r="C113" s="14"/>
      <c r="D113" s="14"/>
      <c r="E113" s="15"/>
      <c r="F113" s="16"/>
      <c r="G113">
        <f t="shared" si="3"/>
        <v>0</v>
      </c>
    </row>
    <row r="114" spans="1:7" hidden="1" x14ac:dyDescent="0.25">
      <c r="A114" s="44" t="s">
        <v>899</v>
      </c>
      <c r="B114" s="80" t="s">
        <v>900</v>
      </c>
      <c r="C114" s="14"/>
      <c r="D114" s="14"/>
      <c r="E114" s="15"/>
      <c r="F114" s="16"/>
      <c r="G114">
        <f t="shared" si="3"/>
        <v>0</v>
      </c>
    </row>
    <row r="115" spans="1:7" hidden="1" x14ac:dyDescent="0.25">
      <c r="A115" s="43" t="s">
        <v>1227</v>
      </c>
      <c r="B115" s="81" t="s">
        <v>1221</v>
      </c>
      <c r="C115" s="14" t="s">
        <v>902</v>
      </c>
      <c r="D115" s="14"/>
      <c r="E115" s="15"/>
      <c r="F115" s="16">
        <f t="shared" ref="F115:F122" si="5">+D115*E115</f>
        <v>0</v>
      </c>
      <c r="G115">
        <f t="shared" si="3"/>
        <v>0</v>
      </c>
    </row>
    <row r="116" spans="1:7" hidden="1" x14ac:dyDescent="0.25">
      <c r="A116" s="43" t="s">
        <v>901</v>
      </c>
      <c r="B116" s="81" t="s">
        <v>1220</v>
      </c>
      <c r="C116" s="14" t="s">
        <v>902</v>
      </c>
      <c r="D116" s="14"/>
      <c r="E116" s="15"/>
      <c r="F116" s="16">
        <f t="shared" si="5"/>
        <v>0</v>
      </c>
      <c r="G116">
        <f t="shared" si="3"/>
        <v>0</v>
      </c>
    </row>
    <row r="117" spans="1:7" hidden="1" x14ac:dyDescent="0.25">
      <c r="A117" s="43" t="s">
        <v>903</v>
      </c>
      <c r="B117" s="81" t="s">
        <v>1262</v>
      </c>
      <c r="C117" s="14" t="s">
        <v>902</v>
      </c>
      <c r="D117" s="14"/>
      <c r="E117" s="15"/>
      <c r="F117" s="16">
        <f t="shared" si="5"/>
        <v>0</v>
      </c>
      <c r="G117">
        <f t="shared" si="3"/>
        <v>0</v>
      </c>
    </row>
    <row r="118" spans="1:7" hidden="1" x14ac:dyDescent="0.25">
      <c r="A118" s="43" t="s">
        <v>904</v>
      </c>
      <c r="B118" s="81" t="s">
        <v>1222</v>
      </c>
      <c r="C118" s="14" t="s">
        <v>902</v>
      </c>
      <c r="D118" s="14"/>
      <c r="E118" s="15"/>
      <c r="F118" s="16">
        <f t="shared" si="5"/>
        <v>0</v>
      </c>
      <c r="G118">
        <f t="shared" si="3"/>
        <v>0</v>
      </c>
    </row>
    <row r="119" spans="1:7" hidden="1" x14ac:dyDescent="0.25">
      <c r="A119" s="43" t="s">
        <v>905</v>
      </c>
      <c r="B119" s="81" t="s">
        <v>1223</v>
      </c>
      <c r="C119" s="14" t="s">
        <v>902</v>
      </c>
      <c r="D119" s="14"/>
      <c r="E119" s="15"/>
      <c r="F119" s="16">
        <f t="shared" si="5"/>
        <v>0</v>
      </c>
      <c r="G119">
        <f t="shared" si="3"/>
        <v>0</v>
      </c>
    </row>
    <row r="120" spans="1:7" hidden="1" x14ac:dyDescent="0.25">
      <c r="A120" s="43" t="s">
        <v>906</v>
      </c>
      <c r="B120" s="81" t="s">
        <v>1224</v>
      </c>
      <c r="C120" s="14" t="s">
        <v>902</v>
      </c>
      <c r="D120" s="14"/>
      <c r="E120" s="15">
        <f>+SUM!H118</f>
        <v>908339</v>
      </c>
      <c r="F120" s="16">
        <f t="shared" si="5"/>
        <v>0</v>
      </c>
      <c r="G120">
        <f t="shared" si="3"/>
        <v>0</v>
      </c>
    </row>
    <row r="121" spans="1:7" hidden="1" x14ac:dyDescent="0.25">
      <c r="A121" s="43" t="s">
        <v>907</v>
      </c>
      <c r="B121" s="81" t="s">
        <v>1225</v>
      </c>
      <c r="C121" s="14" t="s">
        <v>902</v>
      </c>
      <c r="D121" s="14"/>
      <c r="E121" s="15"/>
      <c r="F121" s="16">
        <f t="shared" si="5"/>
        <v>0</v>
      </c>
      <c r="G121">
        <f t="shared" si="3"/>
        <v>0</v>
      </c>
    </row>
    <row r="122" spans="1:7" hidden="1" x14ac:dyDescent="0.25">
      <c r="A122" s="43" t="s">
        <v>908</v>
      </c>
      <c r="B122" s="81" t="s">
        <v>1226</v>
      </c>
      <c r="C122" s="14" t="s">
        <v>902</v>
      </c>
      <c r="D122" s="14"/>
      <c r="E122" s="15"/>
      <c r="F122" s="16">
        <f t="shared" si="5"/>
        <v>0</v>
      </c>
      <c r="G122">
        <f t="shared" si="3"/>
        <v>0</v>
      </c>
    </row>
    <row r="123" spans="1:7" hidden="1" x14ac:dyDescent="0.25">
      <c r="A123" s="44" t="s">
        <v>909</v>
      </c>
      <c r="B123" s="80" t="s">
        <v>910</v>
      </c>
      <c r="C123" s="14"/>
      <c r="D123" s="14"/>
      <c r="E123" s="15"/>
      <c r="F123" s="16"/>
      <c r="G123">
        <f t="shared" si="3"/>
        <v>0</v>
      </c>
    </row>
    <row r="124" spans="1:7" hidden="1" x14ac:dyDescent="0.25">
      <c r="A124" s="43" t="s">
        <v>911</v>
      </c>
      <c r="B124" s="81" t="s">
        <v>1228</v>
      </c>
      <c r="C124" s="14" t="s">
        <v>902</v>
      </c>
      <c r="D124" s="14"/>
      <c r="E124" s="15"/>
      <c r="F124" s="16">
        <f t="shared" ref="F124:F131" si="6">+D124*E124</f>
        <v>0</v>
      </c>
      <c r="G124">
        <f t="shared" si="3"/>
        <v>0</v>
      </c>
    </row>
    <row r="125" spans="1:7" hidden="1" x14ac:dyDescent="0.25">
      <c r="A125" s="43" t="s">
        <v>1235</v>
      </c>
      <c r="B125" s="81" t="s">
        <v>1229</v>
      </c>
      <c r="C125" s="14" t="s">
        <v>37</v>
      </c>
      <c r="D125" s="14"/>
      <c r="E125" s="15"/>
      <c r="F125" s="16">
        <f t="shared" si="6"/>
        <v>0</v>
      </c>
      <c r="G125">
        <f t="shared" si="3"/>
        <v>0</v>
      </c>
    </row>
    <row r="126" spans="1:7" hidden="1" x14ac:dyDescent="0.25">
      <c r="A126" s="43" t="s">
        <v>912</v>
      </c>
      <c r="B126" s="81" t="s">
        <v>1265</v>
      </c>
      <c r="C126" s="14" t="s">
        <v>37</v>
      </c>
      <c r="D126" s="14"/>
      <c r="E126" s="15"/>
      <c r="F126" s="16">
        <f t="shared" si="6"/>
        <v>0</v>
      </c>
      <c r="G126">
        <f t="shared" si="3"/>
        <v>0</v>
      </c>
    </row>
    <row r="127" spans="1:7" hidden="1" x14ac:dyDescent="0.25">
      <c r="A127" s="43" t="s">
        <v>913</v>
      </c>
      <c r="B127" s="81" t="s">
        <v>1230</v>
      </c>
      <c r="C127" s="14" t="s">
        <v>37</v>
      </c>
      <c r="D127" s="14"/>
      <c r="E127" s="15"/>
      <c r="F127" s="16">
        <f t="shared" si="6"/>
        <v>0</v>
      </c>
      <c r="G127">
        <f t="shared" si="3"/>
        <v>0</v>
      </c>
    </row>
    <row r="128" spans="1:7" hidden="1" x14ac:dyDescent="0.25">
      <c r="A128" s="43" t="s">
        <v>914</v>
      </c>
      <c r="B128" s="81" t="s">
        <v>1231</v>
      </c>
      <c r="C128" s="14" t="s">
        <v>37</v>
      </c>
      <c r="D128" s="14"/>
      <c r="E128" s="15"/>
      <c r="F128" s="16">
        <f t="shared" si="6"/>
        <v>0</v>
      </c>
      <c r="G128">
        <f t="shared" si="3"/>
        <v>0</v>
      </c>
    </row>
    <row r="129" spans="1:7" hidden="1" x14ac:dyDescent="0.25">
      <c r="A129" s="43" t="s">
        <v>915</v>
      </c>
      <c r="B129" s="81" t="s">
        <v>1232</v>
      </c>
      <c r="C129" s="14" t="s">
        <v>37</v>
      </c>
      <c r="D129" s="14"/>
      <c r="E129" s="15"/>
      <c r="F129" s="16">
        <f t="shared" si="6"/>
        <v>0</v>
      </c>
      <c r="G129">
        <f t="shared" si="3"/>
        <v>0</v>
      </c>
    </row>
    <row r="130" spans="1:7" hidden="1" x14ac:dyDescent="0.25">
      <c r="A130" s="43" t="s">
        <v>916</v>
      </c>
      <c r="B130" s="81" t="s">
        <v>1233</v>
      </c>
      <c r="C130" s="14" t="s">
        <v>37</v>
      </c>
      <c r="D130" s="14"/>
      <c r="E130" s="15"/>
      <c r="F130" s="16">
        <f t="shared" si="6"/>
        <v>0</v>
      </c>
      <c r="G130">
        <f t="shared" si="3"/>
        <v>0</v>
      </c>
    </row>
    <row r="131" spans="1:7" hidden="1" x14ac:dyDescent="0.25">
      <c r="A131" s="43" t="s">
        <v>917</v>
      </c>
      <c r="B131" s="81" t="s">
        <v>1234</v>
      </c>
      <c r="C131" s="14" t="s">
        <v>37</v>
      </c>
      <c r="D131" s="14"/>
      <c r="E131" s="15"/>
      <c r="F131" s="16">
        <f t="shared" si="6"/>
        <v>0</v>
      </c>
      <c r="G131">
        <f t="shared" si="3"/>
        <v>0</v>
      </c>
    </row>
    <row r="132" spans="1:7" hidden="1" x14ac:dyDescent="0.25">
      <c r="A132" s="44" t="s">
        <v>918</v>
      </c>
      <c r="B132" s="80" t="s">
        <v>919</v>
      </c>
      <c r="C132" s="14"/>
      <c r="D132" s="14"/>
      <c r="E132" s="15"/>
      <c r="F132" s="16"/>
      <c r="G132">
        <f t="shared" si="3"/>
        <v>0</v>
      </c>
    </row>
    <row r="133" spans="1:7" hidden="1" x14ac:dyDescent="0.25">
      <c r="A133" s="43" t="s">
        <v>920</v>
      </c>
      <c r="B133" s="81" t="s">
        <v>1236</v>
      </c>
      <c r="C133" s="14" t="s">
        <v>37</v>
      </c>
      <c r="D133" s="14"/>
      <c r="E133" s="15"/>
      <c r="F133" s="16">
        <f t="shared" ref="F133:F140" si="7">+D133*E133</f>
        <v>0</v>
      </c>
      <c r="G133">
        <f t="shared" si="3"/>
        <v>0</v>
      </c>
    </row>
    <row r="134" spans="1:7" hidden="1" x14ac:dyDescent="0.25">
      <c r="A134" s="43" t="s">
        <v>1250</v>
      </c>
      <c r="B134" s="81" t="s">
        <v>1237</v>
      </c>
      <c r="C134" s="14" t="s">
        <v>37</v>
      </c>
      <c r="D134" s="14"/>
      <c r="E134" s="15"/>
      <c r="F134" s="16">
        <f t="shared" si="7"/>
        <v>0</v>
      </c>
      <c r="G134">
        <f t="shared" si="3"/>
        <v>0</v>
      </c>
    </row>
    <row r="135" spans="1:7" hidden="1" x14ac:dyDescent="0.25">
      <c r="A135" s="43" t="s">
        <v>921</v>
      </c>
      <c r="B135" s="81" t="s">
        <v>1263</v>
      </c>
      <c r="C135" s="14" t="s">
        <v>37</v>
      </c>
      <c r="D135" s="14"/>
      <c r="E135" s="15"/>
      <c r="F135" s="16">
        <f t="shared" si="7"/>
        <v>0</v>
      </c>
      <c r="G135">
        <f t="shared" si="3"/>
        <v>0</v>
      </c>
    </row>
    <row r="136" spans="1:7" hidden="1" x14ac:dyDescent="0.25">
      <c r="A136" s="43" t="s">
        <v>922</v>
      </c>
      <c r="B136" s="81" t="s">
        <v>1238</v>
      </c>
      <c r="C136" s="14" t="s">
        <v>37</v>
      </c>
      <c r="D136" s="14"/>
      <c r="E136" s="15"/>
      <c r="F136" s="16">
        <f t="shared" si="7"/>
        <v>0</v>
      </c>
      <c r="G136">
        <f t="shared" si="3"/>
        <v>0</v>
      </c>
    </row>
    <row r="137" spans="1:7" hidden="1" x14ac:dyDescent="0.25">
      <c r="A137" s="43" t="s">
        <v>923</v>
      </c>
      <c r="B137" s="81" t="s">
        <v>1239</v>
      </c>
      <c r="C137" s="14" t="s">
        <v>37</v>
      </c>
      <c r="D137" s="14"/>
      <c r="E137" s="15"/>
      <c r="F137" s="16">
        <f t="shared" si="7"/>
        <v>0</v>
      </c>
      <c r="G137">
        <f t="shared" ref="G137:G200" si="8">+IF(F137&lt;&gt;0,1,0)</f>
        <v>0</v>
      </c>
    </row>
    <row r="138" spans="1:7" hidden="1" x14ac:dyDescent="0.25">
      <c r="A138" s="43" t="s">
        <v>924</v>
      </c>
      <c r="B138" s="81" t="s">
        <v>1240</v>
      </c>
      <c r="C138" s="14" t="s">
        <v>37</v>
      </c>
      <c r="D138" s="14"/>
      <c r="E138" s="15"/>
      <c r="F138" s="16">
        <f t="shared" si="7"/>
        <v>0</v>
      </c>
      <c r="G138">
        <f t="shared" si="8"/>
        <v>0</v>
      </c>
    </row>
    <row r="139" spans="1:7" hidden="1" x14ac:dyDescent="0.25">
      <c r="A139" s="43" t="s">
        <v>925</v>
      </c>
      <c r="B139" s="81" t="s">
        <v>1241</v>
      </c>
      <c r="C139" s="14" t="s">
        <v>37</v>
      </c>
      <c r="D139" s="14"/>
      <c r="E139" s="15"/>
      <c r="F139" s="16">
        <f t="shared" si="7"/>
        <v>0</v>
      </c>
      <c r="G139">
        <f t="shared" si="8"/>
        <v>0</v>
      </c>
    </row>
    <row r="140" spans="1:7" hidden="1" x14ac:dyDescent="0.25">
      <c r="A140" s="43" t="s">
        <v>926</v>
      </c>
      <c r="B140" s="81" t="s">
        <v>1242</v>
      </c>
      <c r="C140" s="14" t="s">
        <v>37</v>
      </c>
      <c r="D140" s="14"/>
      <c r="E140" s="15"/>
      <c r="F140" s="16">
        <f t="shared" si="7"/>
        <v>0</v>
      </c>
      <c r="G140">
        <f t="shared" si="8"/>
        <v>0</v>
      </c>
    </row>
    <row r="141" spans="1:7" hidden="1" x14ac:dyDescent="0.25">
      <c r="A141" s="44" t="s">
        <v>927</v>
      </c>
      <c r="B141" s="80" t="s">
        <v>928</v>
      </c>
      <c r="C141" s="14"/>
      <c r="D141" s="14"/>
      <c r="E141" s="15"/>
      <c r="F141" s="16"/>
      <c r="G141">
        <f t="shared" si="8"/>
        <v>0</v>
      </c>
    </row>
    <row r="142" spans="1:7" hidden="1" x14ac:dyDescent="0.25">
      <c r="A142" s="43" t="s">
        <v>929</v>
      </c>
      <c r="B142" s="81" t="s">
        <v>1243</v>
      </c>
      <c r="C142" s="14" t="s">
        <v>37</v>
      </c>
      <c r="D142" s="14"/>
      <c r="E142" s="15"/>
      <c r="F142" s="16">
        <f t="shared" ref="F142:F168" si="9">+D142*E142</f>
        <v>0</v>
      </c>
      <c r="G142">
        <f t="shared" si="8"/>
        <v>0</v>
      </c>
    </row>
    <row r="143" spans="1:7" hidden="1" x14ac:dyDescent="0.25">
      <c r="A143" s="43" t="s">
        <v>1251</v>
      </c>
      <c r="B143" s="81" t="s">
        <v>1244</v>
      </c>
      <c r="C143" s="14" t="s">
        <v>37</v>
      </c>
      <c r="D143" s="14"/>
      <c r="E143" s="15"/>
      <c r="F143" s="16">
        <f t="shared" si="9"/>
        <v>0</v>
      </c>
      <c r="G143">
        <f t="shared" si="8"/>
        <v>0</v>
      </c>
    </row>
    <row r="144" spans="1:7" hidden="1" x14ac:dyDescent="0.25">
      <c r="A144" s="43" t="s">
        <v>930</v>
      </c>
      <c r="B144" s="81" t="s">
        <v>1264</v>
      </c>
      <c r="C144" s="14" t="s">
        <v>37</v>
      </c>
      <c r="D144" s="14"/>
      <c r="E144" s="15"/>
      <c r="F144" s="16">
        <f t="shared" si="9"/>
        <v>0</v>
      </c>
      <c r="G144">
        <f t="shared" si="8"/>
        <v>0</v>
      </c>
    </row>
    <row r="145" spans="1:7" hidden="1" x14ac:dyDescent="0.25">
      <c r="A145" s="43" t="s">
        <v>931</v>
      </c>
      <c r="B145" s="81" t="s">
        <v>1245</v>
      </c>
      <c r="C145" s="14" t="s">
        <v>37</v>
      </c>
      <c r="D145" s="14"/>
      <c r="E145" s="15"/>
      <c r="F145" s="16">
        <f t="shared" si="9"/>
        <v>0</v>
      </c>
      <c r="G145">
        <f t="shared" si="8"/>
        <v>0</v>
      </c>
    </row>
    <row r="146" spans="1:7" hidden="1" x14ac:dyDescent="0.25">
      <c r="A146" s="43" t="s">
        <v>932</v>
      </c>
      <c r="B146" s="81" t="s">
        <v>1246</v>
      </c>
      <c r="C146" s="14" t="s">
        <v>37</v>
      </c>
      <c r="D146" s="14"/>
      <c r="E146" s="15"/>
      <c r="F146" s="16">
        <f t="shared" si="9"/>
        <v>0</v>
      </c>
      <c r="G146">
        <f t="shared" si="8"/>
        <v>0</v>
      </c>
    </row>
    <row r="147" spans="1:7" hidden="1" x14ac:dyDescent="0.25">
      <c r="A147" s="43" t="s">
        <v>933</v>
      </c>
      <c r="B147" s="81" t="s">
        <v>1247</v>
      </c>
      <c r="C147" s="14" t="s">
        <v>37</v>
      </c>
      <c r="D147" s="14"/>
      <c r="E147" s="15"/>
      <c r="F147" s="16">
        <f t="shared" si="9"/>
        <v>0</v>
      </c>
      <c r="G147">
        <f t="shared" si="8"/>
        <v>0</v>
      </c>
    </row>
    <row r="148" spans="1:7" hidden="1" x14ac:dyDescent="0.25">
      <c r="A148" s="43" t="s">
        <v>934</v>
      </c>
      <c r="B148" s="81" t="s">
        <v>1248</v>
      </c>
      <c r="C148" s="14" t="s">
        <v>37</v>
      </c>
      <c r="D148" s="14"/>
      <c r="E148" s="15"/>
      <c r="F148" s="16">
        <f t="shared" si="9"/>
        <v>0</v>
      </c>
      <c r="G148">
        <f t="shared" si="8"/>
        <v>0</v>
      </c>
    </row>
    <row r="149" spans="1:7" hidden="1" x14ac:dyDescent="0.25">
      <c r="A149" s="43" t="s">
        <v>935</v>
      </c>
      <c r="B149" s="81" t="s">
        <v>1249</v>
      </c>
      <c r="C149" s="14" t="s">
        <v>37</v>
      </c>
      <c r="D149" s="14"/>
      <c r="E149" s="15"/>
      <c r="F149" s="16">
        <f t="shared" si="9"/>
        <v>0</v>
      </c>
      <c r="G149">
        <f t="shared" si="8"/>
        <v>0</v>
      </c>
    </row>
    <row r="150" spans="1:7" hidden="1" x14ac:dyDescent="0.25">
      <c r="A150" s="44" t="s">
        <v>1252</v>
      </c>
      <c r="B150" s="80" t="s">
        <v>1253</v>
      </c>
      <c r="C150" s="14"/>
      <c r="D150" s="14"/>
      <c r="E150" s="15"/>
      <c r="F150" s="16"/>
      <c r="G150">
        <f t="shared" si="8"/>
        <v>0</v>
      </c>
    </row>
    <row r="151" spans="1:7" hidden="1" x14ac:dyDescent="0.25">
      <c r="A151" s="43" t="s">
        <v>1257</v>
      </c>
      <c r="B151" s="81" t="s">
        <v>1254</v>
      </c>
      <c r="C151" s="14" t="s">
        <v>37</v>
      </c>
      <c r="D151" s="14"/>
      <c r="E151" s="15"/>
      <c r="F151" s="16">
        <f t="shared" si="9"/>
        <v>0</v>
      </c>
      <c r="G151">
        <f t="shared" si="8"/>
        <v>0</v>
      </c>
    </row>
    <row r="152" spans="1:7" hidden="1" x14ac:dyDescent="0.25">
      <c r="A152" s="43" t="s">
        <v>1258</v>
      </c>
      <c r="B152" s="81" t="s">
        <v>1255</v>
      </c>
      <c r="C152" s="14" t="s">
        <v>37</v>
      </c>
      <c r="D152" s="14"/>
      <c r="E152" s="15"/>
      <c r="F152" s="16">
        <f t="shared" si="9"/>
        <v>0</v>
      </c>
      <c r="G152">
        <f t="shared" si="8"/>
        <v>0</v>
      </c>
    </row>
    <row r="153" spans="1:7" hidden="1" x14ac:dyDescent="0.25">
      <c r="A153" s="43" t="s">
        <v>1259</v>
      </c>
      <c r="B153" s="81" t="s">
        <v>1256</v>
      </c>
      <c r="C153" s="14" t="s">
        <v>37</v>
      </c>
      <c r="D153" s="14"/>
      <c r="E153" s="15"/>
      <c r="F153" s="16">
        <f t="shared" si="9"/>
        <v>0</v>
      </c>
      <c r="G153">
        <f t="shared" si="8"/>
        <v>0</v>
      </c>
    </row>
    <row r="154" spans="1:7" hidden="1" x14ac:dyDescent="0.25">
      <c r="A154" s="44" t="s">
        <v>1261</v>
      </c>
      <c r="B154" s="80" t="s">
        <v>1260</v>
      </c>
      <c r="C154" s="14"/>
      <c r="D154" s="14"/>
      <c r="E154" s="15"/>
      <c r="F154" s="16"/>
      <c r="G154">
        <f t="shared" si="8"/>
        <v>0</v>
      </c>
    </row>
    <row r="155" spans="1:7" hidden="1" x14ac:dyDescent="0.25">
      <c r="A155" s="43" t="s">
        <v>1273</v>
      </c>
      <c r="B155" s="81" t="s">
        <v>1266</v>
      </c>
      <c r="C155" s="14" t="s">
        <v>37</v>
      </c>
      <c r="D155" s="14"/>
      <c r="E155" s="15"/>
      <c r="F155" s="16">
        <f t="shared" si="9"/>
        <v>0</v>
      </c>
      <c r="G155">
        <f t="shared" si="8"/>
        <v>0</v>
      </c>
    </row>
    <row r="156" spans="1:7" hidden="1" x14ac:dyDescent="0.25">
      <c r="A156" s="43" t="s">
        <v>1274</v>
      </c>
      <c r="B156" s="81" t="s">
        <v>1267</v>
      </c>
      <c r="C156" s="14" t="s">
        <v>37</v>
      </c>
      <c r="D156" s="14"/>
      <c r="E156" s="15"/>
      <c r="F156" s="16">
        <f t="shared" si="9"/>
        <v>0</v>
      </c>
      <c r="G156">
        <f t="shared" si="8"/>
        <v>0</v>
      </c>
    </row>
    <row r="157" spans="1:7" hidden="1" x14ac:dyDescent="0.25">
      <c r="A157" s="43" t="s">
        <v>1275</v>
      </c>
      <c r="B157" s="81" t="s">
        <v>1268</v>
      </c>
      <c r="C157" s="14" t="s">
        <v>37</v>
      </c>
      <c r="D157" s="14"/>
      <c r="E157" s="15"/>
      <c r="F157" s="16">
        <f t="shared" si="9"/>
        <v>0</v>
      </c>
      <c r="G157">
        <f t="shared" si="8"/>
        <v>0</v>
      </c>
    </row>
    <row r="158" spans="1:7" hidden="1" x14ac:dyDescent="0.25">
      <c r="A158" s="43" t="s">
        <v>1276</v>
      </c>
      <c r="B158" s="81" t="s">
        <v>1269</v>
      </c>
      <c r="C158" s="14" t="s">
        <v>37</v>
      </c>
      <c r="D158" s="14"/>
      <c r="E158" s="15"/>
      <c r="F158" s="16">
        <f t="shared" si="9"/>
        <v>0</v>
      </c>
      <c r="G158">
        <f t="shared" si="8"/>
        <v>0</v>
      </c>
    </row>
    <row r="159" spans="1:7" hidden="1" x14ac:dyDescent="0.25">
      <c r="A159" s="43" t="s">
        <v>1277</v>
      </c>
      <c r="B159" s="81" t="s">
        <v>1270</v>
      </c>
      <c r="C159" s="14" t="s">
        <v>37</v>
      </c>
      <c r="D159" s="14"/>
      <c r="E159" s="15"/>
      <c r="F159" s="16">
        <f t="shared" si="9"/>
        <v>0</v>
      </c>
      <c r="G159">
        <f t="shared" si="8"/>
        <v>0</v>
      </c>
    </row>
    <row r="160" spans="1:7" hidden="1" x14ac:dyDescent="0.25">
      <c r="A160" s="43" t="s">
        <v>1278</v>
      </c>
      <c r="B160" s="81" t="s">
        <v>1271</v>
      </c>
      <c r="C160" s="14" t="s">
        <v>37</v>
      </c>
      <c r="D160" s="14"/>
      <c r="E160" s="15"/>
      <c r="F160" s="16">
        <f t="shared" si="9"/>
        <v>0</v>
      </c>
      <c r="G160">
        <f t="shared" si="8"/>
        <v>0</v>
      </c>
    </row>
    <row r="161" spans="1:7" hidden="1" x14ac:dyDescent="0.25">
      <c r="A161" s="43" t="s">
        <v>1279</v>
      </c>
      <c r="B161" s="81" t="s">
        <v>1272</v>
      </c>
      <c r="C161" s="14" t="s">
        <v>37</v>
      </c>
      <c r="D161" s="14"/>
      <c r="E161" s="15"/>
      <c r="F161" s="16">
        <f t="shared" si="9"/>
        <v>0</v>
      </c>
      <c r="G161">
        <f t="shared" si="8"/>
        <v>0</v>
      </c>
    </row>
    <row r="162" spans="1:7" hidden="1" x14ac:dyDescent="0.25">
      <c r="A162" s="44" t="s">
        <v>1280</v>
      </c>
      <c r="B162" s="80" t="s">
        <v>1281</v>
      </c>
      <c r="C162" s="14"/>
      <c r="D162" s="14"/>
      <c r="E162" s="15"/>
      <c r="F162" s="16"/>
      <c r="G162">
        <f t="shared" si="8"/>
        <v>0</v>
      </c>
    </row>
    <row r="163" spans="1:7" hidden="1" x14ac:dyDescent="0.25">
      <c r="A163" s="43" t="s">
        <v>1288</v>
      </c>
      <c r="B163" s="81" t="s">
        <v>1282</v>
      </c>
      <c r="C163" s="14" t="s">
        <v>37</v>
      </c>
      <c r="D163" s="14"/>
      <c r="E163" s="15"/>
      <c r="F163" s="16">
        <f t="shared" si="9"/>
        <v>0</v>
      </c>
      <c r="G163">
        <f t="shared" si="8"/>
        <v>0</v>
      </c>
    </row>
    <row r="164" spans="1:7" hidden="1" x14ac:dyDescent="0.25">
      <c r="A164" s="43" t="s">
        <v>1275</v>
      </c>
      <c r="B164" s="81" t="s">
        <v>1283</v>
      </c>
      <c r="C164" s="14" t="s">
        <v>37</v>
      </c>
      <c r="D164" s="14"/>
      <c r="E164" s="15"/>
      <c r="F164" s="16">
        <f t="shared" si="9"/>
        <v>0</v>
      </c>
      <c r="G164">
        <f t="shared" si="8"/>
        <v>0</v>
      </c>
    </row>
    <row r="165" spans="1:7" hidden="1" x14ac:dyDescent="0.25">
      <c r="A165" s="43" t="s">
        <v>1276</v>
      </c>
      <c r="B165" s="81" t="s">
        <v>1284</v>
      </c>
      <c r="C165" s="14" t="s">
        <v>37</v>
      </c>
      <c r="D165" s="14"/>
      <c r="E165" s="15"/>
      <c r="F165" s="16">
        <f t="shared" si="9"/>
        <v>0</v>
      </c>
      <c r="G165">
        <f t="shared" si="8"/>
        <v>0</v>
      </c>
    </row>
    <row r="166" spans="1:7" hidden="1" x14ac:dyDescent="0.25">
      <c r="A166" s="43" t="s">
        <v>1277</v>
      </c>
      <c r="B166" s="81" t="s">
        <v>1285</v>
      </c>
      <c r="C166" s="14" t="s">
        <v>37</v>
      </c>
      <c r="D166" s="14"/>
      <c r="E166" s="15"/>
      <c r="F166" s="16">
        <f t="shared" si="9"/>
        <v>0</v>
      </c>
      <c r="G166">
        <f t="shared" si="8"/>
        <v>0</v>
      </c>
    </row>
    <row r="167" spans="1:7" hidden="1" x14ac:dyDescent="0.25">
      <c r="A167" s="43" t="s">
        <v>1278</v>
      </c>
      <c r="B167" s="81" t="s">
        <v>1286</v>
      </c>
      <c r="C167" s="14" t="s">
        <v>37</v>
      </c>
      <c r="D167" s="14"/>
      <c r="E167" s="15"/>
      <c r="F167" s="16">
        <f t="shared" si="9"/>
        <v>0</v>
      </c>
      <c r="G167">
        <f t="shared" si="8"/>
        <v>0</v>
      </c>
    </row>
    <row r="168" spans="1:7" hidden="1" x14ac:dyDescent="0.25">
      <c r="A168" s="43" t="s">
        <v>1279</v>
      </c>
      <c r="B168" s="81" t="s">
        <v>1287</v>
      </c>
      <c r="C168" s="14" t="s">
        <v>37</v>
      </c>
      <c r="D168" s="14"/>
      <c r="E168" s="15"/>
      <c r="F168" s="16">
        <f t="shared" si="9"/>
        <v>0</v>
      </c>
      <c r="G168">
        <f t="shared" si="8"/>
        <v>0</v>
      </c>
    </row>
    <row r="169" spans="1:7" hidden="1" x14ac:dyDescent="0.25">
      <c r="A169" s="44" t="s">
        <v>1289</v>
      </c>
      <c r="B169" s="80" t="s">
        <v>1290</v>
      </c>
      <c r="C169" s="14"/>
      <c r="D169" s="14"/>
      <c r="E169" s="15"/>
      <c r="F169" s="16"/>
      <c r="G169">
        <f t="shared" si="8"/>
        <v>0</v>
      </c>
    </row>
    <row r="170" spans="1:7" hidden="1" x14ac:dyDescent="0.25">
      <c r="A170" s="44" t="s">
        <v>1291</v>
      </c>
      <c r="B170" s="80" t="s">
        <v>1294</v>
      </c>
      <c r="C170" s="14"/>
      <c r="D170" s="14"/>
      <c r="E170" s="15"/>
      <c r="F170" s="16"/>
      <c r="G170">
        <f t="shared" si="8"/>
        <v>0</v>
      </c>
    </row>
    <row r="171" spans="1:7" hidden="1" x14ac:dyDescent="0.25">
      <c r="A171" s="43" t="s">
        <v>1292</v>
      </c>
      <c r="B171" s="81" t="s">
        <v>1293</v>
      </c>
      <c r="C171" s="14" t="s">
        <v>37</v>
      </c>
      <c r="D171" s="14"/>
      <c r="E171" s="15"/>
      <c r="F171" s="16">
        <f t="shared" ref="F171:F182" si="10">+D171*E171</f>
        <v>0</v>
      </c>
      <c r="G171">
        <f t="shared" si="8"/>
        <v>0</v>
      </c>
    </row>
    <row r="172" spans="1:7" hidden="1" x14ac:dyDescent="0.25">
      <c r="A172" s="43" t="s">
        <v>1303</v>
      </c>
      <c r="B172" s="81" t="s">
        <v>1295</v>
      </c>
      <c r="C172" s="14" t="s">
        <v>37</v>
      </c>
      <c r="D172" s="14"/>
      <c r="E172" s="15"/>
      <c r="F172" s="16">
        <f t="shared" si="10"/>
        <v>0</v>
      </c>
      <c r="G172">
        <f t="shared" si="8"/>
        <v>0</v>
      </c>
    </row>
    <row r="173" spans="1:7" hidden="1" x14ac:dyDescent="0.25">
      <c r="A173" s="43" t="s">
        <v>1304</v>
      </c>
      <c r="B173" s="81" t="s">
        <v>1296</v>
      </c>
      <c r="C173" s="14" t="s">
        <v>37</v>
      </c>
      <c r="D173" s="14"/>
      <c r="E173" s="15"/>
      <c r="F173" s="16">
        <f t="shared" si="10"/>
        <v>0</v>
      </c>
      <c r="G173">
        <f t="shared" si="8"/>
        <v>0</v>
      </c>
    </row>
    <row r="174" spans="1:7" hidden="1" x14ac:dyDescent="0.25">
      <c r="A174" s="43" t="s">
        <v>1305</v>
      </c>
      <c r="B174" s="81" t="s">
        <v>1297</v>
      </c>
      <c r="C174" s="14" t="s">
        <v>37</v>
      </c>
      <c r="D174" s="14"/>
      <c r="E174" s="15"/>
      <c r="F174" s="16">
        <f t="shared" si="10"/>
        <v>0</v>
      </c>
      <c r="G174">
        <f t="shared" si="8"/>
        <v>0</v>
      </c>
    </row>
    <row r="175" spans="1:7" hidden="1" x14ac:dyDescent="0.25">
      <c r="A175" s="43" t="s">
        <v>1306</v>
      </c>
      <c r="B175" s="81" t="s">
        <v>1298</v>
      </c>
      <c r="C175" s="14" t="s">
        <v>37</v>
      </c>
      <c r="D175" s="14"/>
      <c r="E175" s="15"/>
      <c r="F175" s="16">
        <f t="shared" si="10"/>
        <v>0</v>
      </c>
      <c r="G175">
        <f t="shared" si="8"/>
        <v>0</v>
      </c>
    </row>
    <row r="176" spans="1:7" hidden="1" x14ac:dyDescent="0.25">
      <c r="A176" s="43" t="s">
        <v>1307</v>
      </c>
      <c r="B176" s="81" t="s">
        <v>1299</v>
      </c>
      <c r="C176" s="14" t="s">
        <v>37</v>
      </c>
      <c r="D176" s="14"/>
      <c r="E176" s="15"/>
      <c r="F176" s="16">
        <f t="shared" si="10"/>
        <v>0</v>
      </c>
      <c r="G176">
        <f t="shared" si="8"/>
        <v>0</v>
      </c>
    </row>
    <row r="177" spans="1:7" hidden="1" x14ac:dyDescent="0.25">
      <c r="A177" s="43" t="s">
        <v>1308</v>
      </c>
      <c r="B177" s="81" t="s">
        <v>1300</v>
      </c>
      <c r="C177" s="14" t="s">
        <v>37</v>
      </c>
      <c r="D177" s="14"/>
      <c r="E177" s="15"/>
      <c r="F177" s="16">
        <f t="shared" si="10"/>
        <v>0</v>
      </c>
      <c r="G177">
        <f t="shared" si="8"/>
        <v>0</v>
      </c>
    </row>
    <row r="178" spans="1:7" hidden="1" x14ac:dyDescent="0.25">
      <c r="A178" s="43" t="s">
        <v>1309</v>
      </c>
      <c r="B178" s="81" t="s">
        <v>1301</v>
      </c>
      <c r="C178" s="14" t="s">
        <v>37</v>
      </c>
      <c r="D178" s="14"/>
      <c r="E178" s="15"/>
      <c r="F178" s="16">
        <f t="shared" si="10"/>
        <v>0</v>
      </c>
      <c r="G178">
        <f t="shared" si="8"/>
        <v>0</v>
      </c>
    </row>
    <row r="179" spans="1:7" hidden="1" x14ac:dyDescent="0.25">
      <c r="A179" s="43" t="s">
        <v>1310</v>
      </c>
      <c r="B179" s="81" t="s">
        <v>1302</v>
      </c>
      <c r="C179" s="14" t="s">
        <v>37</v>
      </c>
      <c r="D179" s="14"/>
      <c r="E179" s="15"/>
      <c r="F179" s="16">
        <f t="shared" si="10"/>
        <v>0</v>
      </c>
      <c r="G179">
        <f t="shared" si="8"/>
        <v>0</v>
      </c>
    </row>
    <row r="180" spans="1:7" hidden="1" x14ac:dyDescent="0.25">
      <c r="A180" s="43" t="s">
        <v>1314</v>
      </c>
      <c r="B180" s="81" t="s">
        <v>1311</v>
      </c>
      <c r="C180" s="14" t="s">
        <v>37</v>
      </c>
      <c r="D180" s="14"/>
      <c r="E180" s="15"/>
      <c r="F180" s="16">
        <f t="shared" si="10"/>
        <v>0</v>
      </c>
      <c r="G180">
        <f t="shared" si="8"/>
        <v>0</v>
      </c>
    </row>
    <row r="181" spans="1:7" hidden="1" x14ac:dyDescent="0.25">
      <c r="A181" s="43" t="s">
        <v>1315</v>
      </c>
      <c r="B181" s="81" t="s">
        <v>1312</v>
      </c>
      <c r="C181" s="14" t="s">
        <v>37</v>
      </c>
      <c r="D181" s="14"/>
      <c r="E181" s="15"/>
      <c r="F181" s="16">
        <f t="shared" si="10"/>
        <v>0</v>
      </c>
      <c r="G181">
        <f t="shared" si="8"/>
        <v>0</v>
      </c>
    </row>
    <row r="182" spans="1:7" hidden="1" x14ac:dyDescent="0.25">
      <c r="A182" s="43" t="s">
        <v>1316</v>
      </c>
      <c r="B182" s="81" t="s">
        <v>1313</v>
      </c>
      <c r="C182" s="14" t="s">
        <v>37</v>
      </c>
      <c r="D182" s="14"/>
      <c r="E182" s="15"/>
      <c r="F182" s="16">
        <f t="shared" si="10"/>
        <v>0</v>
      </c>
      <c r="G182">
        <f t="shared" si="8"/>
        <v>0</v>
      </c>
    </row>
    <row r="183" spans="1:7" hidden="1" x14ac:dyDescent="0.25">
      <c r="A183" s="44" t="s">
        <v>1317</v>
      </c>
      <c r="B183" s="80" t="s">
        <v>1318</v>
      </c>
      <c r="C183" s="14"/>
      <c r="D183" s="14"/>
      <c r="E183" s="15"/>
      <c r="F183" s="16"/>
      <c r="G183">
        <f t="shared" si="8"/>
        <v>0</v>
      </c>
    </row>
    <row r="184" spans="1:7" hidden="1" x14ac:dyDescent="0.25">
      <c r="A184" s="43" t="s">
        <v>1326</v>
      </c>
      <c r="B184" s="81" t="s">
        <v>1320</v>
      </c>
      <c r="C184" s="14" t="s">
        <v>37</v>
      </c>
      <c r="D184" s="14"/>
      <c r="E184" s="15"/>
      <c r="F184" s="16">
        <f t="shared" ref="F184:F201" si="11">+D184*E184</f>
        <v>0</v>
      </c>
      <c r="G184">
        <f t="shared" si="8"/>
        <v>0</v>
      </c>
    </row>
    <row r="185" spans="1:7" hidden="1" x14ac:dyDescent="0.25">
      <c r="A185" s="43" t="s">
        <v>1327</v>
      </c>
      <c r="B185" s="81" t="s">
        <v>1319</v>
      </c>
      <c r="C185" s="14" t="s">
        <v>37</v>
      </c>
      <c r="D185" s="14"/>
      <c r="E185" s="15"/>
      <c r="F185" s="16">
        <f t="shared" si="11"/>
        <v>0</v>
      </c>
      <c r="G185">
        <f t="shared" si="8"/>
        <v>0</v>
      </c>
    </row>
    <row r="186" spans="1:7" hidden="1" x14ac:dyDescent="0.25">
      <c r="A186" s="43" t="s">
        <v>1328</v>
      </c>
      <c r="B186" s="81" t="s">
        <v>1321</v>
      </c>
      <c r="C186" s="14" t="s">
        <v>37</v>
      </c>
      <c r="D186" s="14"/>
      <c r="E186" s="15"/>
      <c r="F186" s="16">
        <f t="shared" si="11"/>
        <v>0</v>
      </c>
      <c r="G186">
        <f t="shared" si="8"/>
        <v>0</v>
      </c>
    </row>
    <row r="187" spans="1:7" hidden="1" x14ac:dyDescent="0.25">
      <c r="A187" s="43" t="s">
        <v>1329</v>
      </c>
      <c r="B187" s="81" t="s">
        <v>1322</v>
      </c>
      <c r="C187" s="14" t="s">
        <v>37</v>
      </c>
      <c r="D187" s="14"/>
      <c r="E187" s="15"/>
      <c r="F187" s="16">
        <f t="shared" si="11"/>
        <v>0</v>
      </c>
      <c r="G187">
        <f t="shared" si="8"/>
        <v>0</v>
      </c>
    </row>
    <row r="188" spans="1:7" hidden="1" x14ac:dyDescent="0.25">
      <c r="A188" s="43" t="s">
        <v>1330</v>
      </c>
      <c r="B188" s="81" t="s">
        <v>1323</v>
      </c>
      <c r="C188" s="14" t="s">
        <v>37</v>
      </c>
      <c r="D188" s="14"/>
      <c r="E188" s="15"/>
      <c r="F188" s="16">
        <f t="shared" si="11"/>
        <v>0</v>
      </c>
      <c r="G188">
        <f t="shared" si="8"/>
        <v>0</v>
      </c>
    </row>
    <row r="189" spans="1:7" hidden="1" x14ac:dyDescent="0.25">
      <c r="A189" s="43" t="s">
        <v>1331</v>
      </c>
      <c r="B189" s="81" t="s">
        <v>1324</v>
      </c>
      <c r="C189" s="14" t="s">
        <v>37</v>
      </c>
      <c r="D189" s="14"/>
      <c r="E189" s="15"/>
      <c r="F189" s="16">
        <f t="shared" si="11"/>
        <v>0</v>
      </c>
      <c r="G189">
        <f t="shared" si="8"/>
        <v>0</v>
      </c>
    </row>
    <row r="190" spans="1:7" hidden="1" x14ac:dyDescent="0.25">
      <c r="A190" s="43" t="s">
        <v>1332</v>
      </c>
      <c r="B190" s="81" t="s">
        <v>1325</v>
      </c>
      <c r="C190" s="14" t="s">
        <v>37</v>
      </c>
      <c r="D190" s="14"/>
      <c r="E190" s="15">
        <f>+SUM!H188</f>
        <v>1306434</v>
      </c>
      <c r="F190" s="16">
        <f t="shared" si="11"/>
        <v>0</v>
      </c>
      <c r="G190">
        <f t="shared" si="8"/>
        <v>0</v>
      </c>
    </row>
    <row r="191" spans="1:7" hidden="1" x14ac:dyDescent="0.25">
      <c r="A191" s="43" t="s">
        <v>1333</v>
      </c>
      <c r="B191" s="81" t="s">
        <v>1336</v>
      </c>
      <c r="C191" s="14" t="s">
        <v>37</v>
      </c>
      <c r="D191" s="14"/>
      <c r="E191" s="15"/>
      <c r="F191" s="16">
        <f t="shared" si="11"/>
        <v>0</v>
      </c>
      <c r="G191">
        <f t="shared" si="8"/>
        <v>0</v>
      </c>
    </row>
    <row r="192" spans="1:7" hidden="1" x14ac:dyDescent="0.25">
      <c r="A192" s="43" t="s">
        <v>1334</v>
      </c>
      <c r="B192" s="81" t="s">
        <v>1337</v>
      </c>
      <c r="C192" s="14" t="s">
        <v>37</v>
      </c>
      <c r="D192" s="14"/>
      <c r="E192" s="15"/>
      <c r="F192" s="16">
        <f t="shared" si="11"/>
        <v>0</v>
      </c>
      <c r="G192">
        <f t="shared" si="8"/>
        <v>0</v>
      </c>
    </row>
    <row r="193" spans="1:7" hidden="1" x14ac:dyDescent="0.25">
      <c r="A193" s="43" t="s">
        <v>1335</v>
      </c>
      <c r="B193" s="81" t="s">
        <v>1338</v>
      </c>
      <c r="C193" s="14" t="s">
        <v>37</v>
      </c>
      <c r="D193" s="14"/>
      <c r="E193" s="15"/>
      <c r="F193" s="16">
        <f t="shared" si="11"/>
        <v>0</v>
      </c>
      <c r="G193">
        <f t="shared" si="8"/>
        <v>0</v>
      </c>
    </row>
    <row r="194" spans="1:7" hidden="1" x14ac:dyDescent="0.25">
      <c r="A194" s="43" t="s">
        <v>1347</v>
      </c>
      <c r="B194" s="81" t="s">
        <v>1339</v>
      </c>
      <c r="C194" s="14" t="s">
        <v>37</v>
      </c>
      <c r="D194" s="14"/>
      <c r="E194" s="15"/>
      <c r="F194" s="16">
        <f t="shared" si="11"/>
        <v>0</v>
      </c>
      <c r="G194">
        <f t="shared" si="8"/>
        <v>0</v>
      </c>
    </row>
    <row r="195" spans="1:7" hidden="1" x14ac:dyDescent="0.25">
      <c r="A195" s="43" t="s">
        <v>1348</v>
      </c>
      <c r="B195" s="81" t="s">
        <v>1340</v>
      </c>
      <c r="C195" s="14" t="s">
        <v>37</v>
      </c>
      <c r="D195" s="14"/>
      <c r="E195" s="15"/>
      <c r="F195" s="16">
        <f t="shared" si="11"/>
        <v>0</v>
      </c>
      <c r="G195">
        <f t="shared" si="8"/>
        <v>0</v>
      </c>
    </row>
    <row r="196" spans="1:7" hidden="1" x14ac:dyDescent="0.25">
      <c r="A196" s="43" t="s">
        <v>1349</v>
      </c>
      <c r="B196" s="81" t="s">
        <v>1341</v>
      </c>
      <c r="C196" s="14" t="s">
        <v>37</v>
      </c>
      <c r="D196" s="14"/>
      <c r="E196" s="15"/>
      <c r="F196" s="16">
        <f t="shared" si="11"/>
        <v>0</v>
      </c>
      <c r="G196">
        <f t="shared" si="8"/>
        <v>0</v>
      </c>
    </row>
    <row r="197" spans="1:7" hidden="1" x14ac:dyDescent="0.25">
      <c r="A197" s="43" t="s">
        <v>1350</v>
      </c>
      <c r="B197" s="81" t="s">
        <v>1342</v>
      </c>
      <c r="C197" s="14" t="s">
        <v>37</v>
      </c>
      <c r="D197" s="14"/>
      <c r="E197" s="15"/>
      <c r="F197" s="16">
        <f t="shared" si="11"/>
        <v>0</v>
      </c>
      <c r="G197">
        <f t="shared" si="8"/>
        <v>0</v>
      </c>
    </row>
    <row r="198" spans="1:7" hidden="1" x14ac:dyDescent="0.25">
      <c r="A198" s="43" t="s">
        <v>1351</v>
      </c>
      <c r="B198" s="81" t="s">
        <v>1343</v>
      </c>
      <c r="C198" s="14" t="s">
        <v>37</v>
      </c>
      <c r="D198" s="14"/>
      <c r="E198" s="15"/>
      <c r="F198" s="16">
        <f t="shared" si="11"/>
        <v>0</v>
      </c>
      <c r="G198">
        <f t="shared" si="8"/>
        <v>0</v>
      </c>
    </row>
    <row r="199" spans="1:7" hidden="1" x14ac:dyDescent="0.25">
      <c r="A199" s="43" t="s">
        <v>1352</v>
      </c>
      <c r="B199" s="81" t="s">
        <v>1344</v>
      </c>
      <c r="C199" s="14" t="s">
        <v>37</v>
      </c>
      <c r="D199" s="14"/>
      <c r="E199" s="15"/>
      <c r="F199" s="16">
        <f t="shared" si="11"/>
        <v>0</v>
      </c>
      <c r="G199">
        <f t="shared" si="8"/>
        <v>0</v>
      </c>
    </row>
    <row r="200" spans="1:7" hidden="1" x14ac:dyDescent="0.25">
      <c r="A200" s="43" t="s">
        <v>1353</v>
      </c>
      <c r="B200" s="81" t="s">
        <v>1346</v>
      </c>
      <c r="C200" s="14" t="s">
        <v>37</v>
      </c>
      <c r="D200" s="14"/>
      <c r="E200" s="15"/>
      <c r="F200" s="16">
        <f t="shared" si="11"/>
        <v>0</v>
      </c>
      <c r="G200">
        <f t="shared" si="8"/>
        <v>0</v>
      </c>
    </row>
    <row r="201" spans="1:7" hidden="1" x14ac:dyDescent="0.25">
      <c r="A201" s="43" t="s">
        <v>1354</v>
      </c>
      <c r="B201" s="81" t="s">
        <v>1345</v>
      </c>
      <c r="C201" s="14" t="s">
        <v>37</v>
      </c>
      <c r="D201" s="14"/>
      <c r="E201" s="15"/>
      <c r="F201" s="16">
        <f t="shared" si="11"/>
        <v>0</v>
      </c>
      <c r="G201">
        <f t="shared" ref="G201:G264" si="12">+IF(F201&lt;&gt;0,1,0)</f>
        <v>0</v>
      </c>
    </row>
    <row r="202" spans="1:7" hidden="1" x14ac:dyDescent="0.25">
      <c r="A202" s="44" t="s">
        <v>936</v>
      </c>
      <c r="B202" s="80" t="s">
        <v>1355</v>
      </c>
      <c r="C202" s="14"/>
      <c r="D202" s="14"/>
      <c r="E202" s="15"/>
      <c r="F202" s="16"/>
      <c r="G202">
        <f t="shared" si="12"/>
        <v>0</v>
      </c>
    </row>
    <row r="203" spans="1:7" hidden="1" x14ac:dyDescent="0.25">
      <c r="A203" s="43" t="s">
        <v>1366</v>
      </c>
      <c r="B203" s="81" t="s">
        <v>1356</v>
      </c>
      <c r="C203" s="14" t="s">
        <v>37</v>
      </c>
      <c r="D203" s="14"/>
      <c r="E203" s="15"/>
      <c r="F203" s="16">
        <f t="shared" ref="F203:F211" si="13">+D203*E203</f>
        <v>0</v>
      </c>
      <c r="G203">
        <f t="shared" si="12"/>
        <v>0</v>
      </c>
    </row>
    <row r="204" spans="1:7" hidden="1" x14ac:dyDescent="0.25">
      <c r="A204" s="43" t="s">
        <v>1367</v>
      </c>
      <c r="B204" s="81" t="s">
        <v>1357</v>
      </c>
      <c r="C204" s="14" t="s">
        <v>37</v>
      </c>
      <c r="D204" s="14"/>
      <c r="E204" s="15"/>
      <c r="F204" s="16">
        <f t="shared" si="13"/>
        <v>0</v>
      </c>
      <c r="G204">
        <f t="shared" si="12"/>
        <v>0</v>
      </c>
    </row>
    <row r="205" spans="1:7" hidden="1" x14ac:dyDescent="0.25">
      <c r="A205" s="43" t="s">
        <v>1368</v>
      </c>
      <c r="B205" s="81" t="s">
        <v>1359</v>
      </c>
      <c r="C205" s="14" t="s">
        <v>37</v>
      </c>
      <c r="D205" s="14"/>
      <c r="E205" s="15"/>
      <c r="F205" s="16">
        <f t="shared" si="13"/>
        <v>0</v>
      </c>
      <c r="G205">
        <f t="shared" si="12"/>
        <v>0</v>
      </c>
    </row>
    <row r="206" spans="1:7" hidden="1" x14ac:dyDescent="0.25">
      <c r="A206" s="43" t="s">
        <v>1369</v>
      </c>
      <c r="B206" s="81" t="s">
        <v>1358</v>
      </c>
      <c r="C206" s="14" t="s">
        <v>37</v>
      </c>
      <c r="D206" s="14"/>
      <c r="E206" s="15"/>
      <c r="F206" s="16">
        <f t="shared" si="13"/>
        <v>0</v>
      </c>
      <c r="G206">
        <f t="shared" si="12"/>
        <v>0</v>
      </c>
    </row>
    <row r="207" spans="1:7" hidden="1" x14ac:dyDescent="0.25">
      <c r="A207" s="43" t="s">
        <v>1370</v>
      </c>
      <c r="B207" s="81" t="s">
        <v>1360</v>
      </c>
      <c r="C207" s="14" t="s">
        <v>37</v>
      </c>
      <c r="D207" s="14"/>
      <c r="E207" s="15"/>
      <c r="F207" s="16">
        <f t="shared" si="13"/>
        <v>0</v>
      </c>
      <c r="G207">
        <f t="shared" si="12"/>
        <v>0</v>
      </c>
    </row>
    <row r="208" spans="1:7" hidden="1" x14ac:dyDescent="0.25">
      <c r="A208" s="43" t="s">
        <v>1371</v>
      </c>
      <c r="B208" s="81" t="s">
        <v>1361</v>
      </c>
      <c r="C208" s="14" t="s">
        <v>37</v>
      </c>
      <c r="D208" s="14"/>
      <c r="E208" s="15"/>
      <c r="F208" s="16">
        <f t="shared" si="13"/>
        <v>0</v>
      </c>
      <c r="G208">
        <f t="shared" si="12"/>
        <v>0</v>
      </c>
    </row>
    <row r="209" spans="1:7" hidden="1" x14ac:dyDescent="0.25">
      <c r="A209" s="43" t="s">
        <v>1372</v>
      </c>
      <c r="B209" s="81" t="s">
        <v>1362</v>
      </c>
      <c r="C209" s="14" t="s">
        <v>37</v>
      </c>
      <c r="D209" s="14"/>
      <c r="E209" s="15"/>
      <c r="F209" s="16">
        <f t="shared" si="13"/>
        <v>0</v>
      </c>
      <c r="G209">
        <f t="shared" si="12"/>
        <v>0</v>
      </c>
    </row>
    <row r="210" spans="1:7" hidden="1" x14ac:dyDescent="0.25">
      <c r="A210" s="43" t="s">
        <v>1373</v>
      </c>
      <c r="B210" s="81" t="s">
        <v>1363</v>
      </c>
      <c r="C210" s="14" t="s">
        <v>37</v>
      </c>
      <c r="D210" s="14"/>
      <c r="E210" s="15"/>
      <c r="F210" s="16">
        <f t="shared" si="13"/>
        <v>0</v>
      </c>
      <c r="G210">
        <f t="shared" si="12"/>
        <v>0</v>
      </c>
    </row>
    <row r="211" spans="1:7" hidden="1" x14ac:dyDescent="0.25">
      <c r="A211" s="43" t="s">
        <v>1374</v>
      </c>
      <c r="B211" s="81" t="s">
        <v>1364</v>
      </c>
      <c r="C211" s="14" t="s">
        <v>37</v>
      </c>
      <c r="D211" s="14"/>
      <c r="E211" s="15"/>
      <c r="F211" s="16">
        <f t="shared" si="13"/>
        <v>0</v>
      </c>
      <c r="G211">
        <f t="shared" si="12"/>
        <v>0</v>
      </c>
    </row>
    <row r="212" spans="1:7" hidden="1" x14ac:dyDescent="0.25">
      <c r="A212" s="44" t="s">
        <v>938</v>
      </c>
      <c r="B212" s="80" t="s">
        <v>1375</v>
      </c>
      <c r="C212" s="14"/>
      <c r="D212" s="14"/>
      <c r="E212" s="15"/>
      <c r="F212" s="16"/>
      <c r="G212">
        <f t="shared" si="12"/>
        <v>0</v>
      </c>
    </row>
    <row r="213" spans="1:7" hidden="1" x14ac:dyDescent="0.25">
      <c r="A213" s="43" t="s">
        <v>939</v>
      </c>
      <c r="B213" s="303" t="s">
        <v>1397</v>
      </c>
      <c r="C213" s="14" t="s">
        <v>37</v>
      </c>
      <c r="D213" s="14"/>
      <c r="E213" s="15"/>
      <c r="F213" s="16">
        <f t="shared" ref="F213:F234" si="14">+D213*E213</f>
        <v>0</v>
      </c>
      <c r="G213">
        <f t="shared" si="12"/>
        <v>0</v>
      </c>
    </row>
    <row r="214" spans="1:7" hidden="1" x14ac:dyDescent="0.25">
      <c r="A214" s="43" t="s">
        <v>940</v>
      </c>
      <c r="B214" s="303" t="s">
        <v>1398</v>
      </c>
      <c r="C214" s="14" t="s">
        <v>37</v>
      </c>
      <c r="D214" s="14"/>
      <c r="E214" s="15"/>
      <c r="F214" s="16">
        <f t="shared" si="14"/>
        <v>0</v>
      </c>
      <c r="G214">
        <f t="shared" si="12"/>
        <v>0</v>
      </c>
    </row>
    <row r="215" spans="1:7" hidden="1" x14ac:dyDescent="0.25">
      <c r="A215" s="43" t="s">
        <v>1376</v>
      </c>
      <c r="B215" s="303" t="s">
        <v>1396</v>
      </c>
      <c r="C215" s="14" t="s">
        <v>37</v>
      </c>
      <c r="D215" s="14"/>
      <c r="E215" s="15"/>
      <c r="F215" s="16">
        <f t="shared" si="14"/>
        <v>0</v>
      </c>
      <c r="G215">
        <f t="shared" si="12"/>
        <v>0</v>
      </c>
    </row>
    <row r="216" spans="1:7" hidden="1" x14ac:dyDescent="0.25">
      <c r="A216" s="43" t="s">
        <v>1377</v>
      </c>
      <c r="B216" s="304" t="s">
        <v>1402</v>
      </c>
      <c r="C216" s="14" t="s">
        <v>37</v>
      </c>
      <c r="D216" s="14"/>
      <c r="E216" s="15"/>
      <c r="F216" s="16">
        <f t="shared" si="14"/>
        <v>0</v>
      </c>
      <c r="G216">
        <f t="shared" si="12"/>
        <v>0</v>
      </c>
    </row>
    <row r="217" spans="1:7" hidden="1" x14ac:dyDescent="0.25">
      <c r="A217" s="43" t="s">
        <v>1378</v>
      </c>
      <c r="B217" s="304" t="s">
        <v>1403</v>
      </c>
      <c r="C217" s="14" t="s">
        <v>37</v>
      </c>
      <c r="D217" s="14"/>
      <c r="E217" s="15"/>
      <c r="F217" s="16">
        <f t="shared" si="14"/>
        <v>0</v>
      </c>
      <c r="G217">
        <f t="shared" si="12"/>
        <v>0</v>
      </c>
    </row>
    <row r="218" spans="1:7" hidden="1" x14ac:dyDescent="0.25">
      <c r="A218" s="43" t="s">
        <v>1379</v>
      </c>
      <c r="B218" s="304" t="s">
        <v>1404</v>
      </c>
      <c r="C218" s="14" t="s">
        <v>37</v>
      </c>
      <c r="D218" s="14"/>
      <c r="E218" s="15"/>
      <c r="F218" s="16">
        <f t="shared" si="14"/>
        <v>0</v>
      </c>
      <c r="G218">
        <f t="shared" si="12"/>
        <v>0</v>
      </c>
    </row>
    <row r="219" spans="1:7" hidden="1" x14ac:dyDescent="0.25">
      <c r="A219" s="43" t="s">
        <v>1380</v>
      </c>
      <c r="B219" s="304" t="s">
        <v>1405</v>
      </c>
      <c r="C219" s="14" t="s">
        <v>37</v>
      </c>
      <c r="D219" s="14"/>
      <c r="E219" s="15"/>
      <c r="F219" s="16">
        <f t="shared" si="14"/>
        <v>0</v>
      </c>
      <c r="G219">
        <f t="shared" si="12"/>
        <v>0</v>
      </c>
    </row>
    <row r="220" spans="1:7" hidden="1" x14ac:dyDescent="0.25">
      <c r="A220" s="43" t="s">
        <v>1381</v>
      </c>
      <c r="B220" s="304" t="s">
        <v>1406</v>
      </c>
      <c r="C220" s="14" t="s">
        <v>37</v>
      </c>
      <c r="D220" s="14"/>
      <c r="E220" s="15"/>
      <c r="F220" s="16">
        <f t="shared" si="14"/>
        <v>0</v>
      </c>
      <c r="G220">
        <f t="shared" si="12"/>
        <v>0</v>
      </c>
    </row>
    <row r="221" spans="1:7" hidden="1" x14ac:dyDescent="0.25">
      <c r="A221" s="43" t="s">
        <v>1382</v>
      </c>
      <c r="B221" s="304" t="s">
        <v>1407</v>
      </c>
      <c r="C221" s="14" t="s">
        <v>37</v>
      </c>
      <c r="D221" s="14"/>
      <c r="E221" s="15"/>
      <c r="F221" s="16">
        <f t="shared" si="14"/>
        <v>0</v>
      </c>
      <c r="G221">
        <f t="shared" si="12"/>
        <v>0</v>
      </c>
    </row>
    <row r="222" spans="1:7" hidden="1" x14ac:dyDescent="0.25">
      <c r="A222" s="43" t="s">
        <v>1383</v>
      </c>
      <c r="B222" s="304" t="s">
        <v>1411</v>
      </c>
      <c r="C222" s="14" t="s">
        <v>37</v>
      </c>
      <c r="D222" s="14"/>
      <c r="E222" s="15"/>
      <c r="F222" s="16">
        <f t="shared" si="14"/>
        <v>0</v>
      </c>
      <c r="G222">
        <f t="shared" si="12"/>
        <v>0</v>
      </c>
    </row>
    <row r="223" spans="1:7" hidden="1" x14ac:dyDescent="0.25">
      <c r="A223" s="43" t="s">
        <v>1384</v>
      </c>
      <c r="B223" s="303" t="s">
        <v>1415</v>
      </c>
      <c r="C223" s="14" t="s">
        <v>37</v>
      </c>
      <c r="D223" s="14"/>
      <c r="E223" s="15"/>
      <c r="F223" s="16">
        <f t="shared" si="14"/>
        <v>0</v>
      </c>
      <c r="G223">
        <f t="shared" si="12"/>
        <v>0</v>
      </c>
    </row>
    <row r="224" spans="1:7" hidden="1" x14ac:dyDescent="0.25">
      <c r="A224" s="43" t="s">
        <v>1385</v>
      </c>
      <c r="B224" s="303" t="s">
        <v>1412</v>
      </c>
      <c r="C224" s="14" t="s">
        <v>37</v>
      </c>
      <c r="D224" s="14"/>
      <c r="E224" s="15"/>
      <c r="F224" s="16">
        <f t="shared" si="14"/>
        <v>0</v>
      </c>
      <c r="G224">
        <f t="shared" si="12"/>
        <v>0</v>
      </c>
    </row>
    <row r="225" spans="1:7" hidden="1" x14ac:dyDescent="0.25">
      <c r="A225" s="43" t="s">
        <v>1386</v>
      </c>
      <c r="B225" s="303" t="s">
        <v>1413</v>
      </c>
      <c r="C225" s="14" t="s">
        <v>37</v>
      </c>
      <c r="D225" s="14"/>
      <c r="E225" s="15"/>
      <c r="F225" s="16">
        <f t="shared" si="14"/>
        <v>0</v>
      </c>
      <c r="G225">
        <f t="shared" si="12"/>
        <v>0</v>
      </c>
    </row>
    <row r="226" spans="1:7" hidden="1" x14ac:dyDescent="0.25">
      <c r="A226" s="43" t="s">
        <v>1387</v>
      </c>
      <c r="B226" s="303" t="s">
        <v>1416</v>
      </c>
      <c r="C226" s="14" t="s">
        <v>37</v>
      </c>
      <c r="D226" s="14"/>
      <c r="E226" s="15"/>
      <c r="F226" s="16">
        <f t="shared" si="14"/>
        <v>0</v>
      </c>
      <c r="G226">
        <f t="shared" si="12"/>
        <v>0</v>
      </c>
    </row>
    <row r="227" spans="1:7" hidden="1" x14ac:dyDescent="0.25">
      <c r="A227" s="43" t="s">
        <v>1388</v>
      </c>
      <c r="B227" s="303" t="s">
        <v>1414</v>
      </c>
      <c r="C227" s="14" t="s">
        <v>37</v>
      </c>
      <c r="D227" s="14"/>
      <c r="E227" s="15"/>
      <c r="F227" s="16">
        <f t="shared" si="14"/>
        <v>0</v>
      </c>
      <c r="G227">
        <f t="shared" si="12"/>
        <v>0</v>
      </c>
    </row>
    <row r="228" spans="1:7" hidden="1" x14ac:dyDescent="0.25">
      <c r="A228" s="43" t="s">
        <v>1389</v>
      </c>
      <c r="B228" s="304" t="s">
        <v>1417</v>
      </c>
      <c r="C228" s="14" t="s">
        <v>37</v>
      </c>
      <c r="D228" s="14"/>
      <c r="E228" s="15"/>
      <c r="F228" s="16">
        <f t="shared" si="14"/>
        <v>0</v>
      </c>
      <c r="G228">
        <f t="shared" si="12"/>
        <v>0</v>
      </c>
    </row>
    <row r="229" spans="1:7" hidden="1" x14ac:dyDescent="0.25">
      <c r="A229" s="43" t="s">
        <v>1390</v>
      </c>
      <c r="B229" s="304" t="s">
        <v>1410</v>
      </c>
      <c r="C229" s="14" t="s">
        <v>37</v>
      </c>
      <c r="D229" s="14"/>
      <c r="E229" s="15"/>
      <c r="F229" s="16">
        <f t="shared" si="14"/>
        <v>0</v>
      </c>
      <c r="G229">
        <f t="shared" si="12"/>
        <v>0</v>
      </c>
    </row>
    <row r="230" spans="1:7" hidden="1" x14ac:dyDescent="0.25">
      <c r="A230" s="43" t="s">
        <v>1391</v>
      </c>
      <c r="B230" s="303" t="s">
        <v>1408</v>
      </c>
      <c r="C230" s="14" t="s">
        <v>37</v>
      </c>
      <c r="D230" s="14"/>
      <c r="E230" s="15"/>
      <c r="F230" s="16">
        <f t="shared" si="14"/>
        <v>0</v>
      </c>
      <c r="G230">
        <f t="shared" si="12"/>
        <v>0</v>
      </c>
    </row>
    <row r="231" spans="1:7" hidden="1" x14ac:dyDescent="0.25">
      <c r="A231" s="43" t="s">
        <v>1392</v>
      </c>
      <c r="B231" s="304" t="s">
        <v>1409</v>
      </c>
      <c r="C231" s="14" t="s">
        <v>37</v>
      </c>
      <c r="D231" s="14"/>
      <c r="E231" s="15"/>
      <c r="F231" s="16">
        <f t="shared" si="14"/>
        <v>0</v>
      </c>
      <c r="G231">
        <f t="shared" si="12"/>
        <v>0</v>
      </c>
    </row>
    <row r="232" spans="1:7" hidden="1" x14ac:dyDescent="0.25">
      <c r="A232" s="43" t="s">
        <v>1393</v>
      </c>
      <c r="B232" s="303" t="s">
        <v>1399</v>
      </c>
      <c r="C232" s="14" t="s">
        <v>37</v>
      </c>
      <c r="D232" s="14"/>
      <c r="E232" s="15"/>
      <c r="F232" s="16">
        <f t="shared" si="14"/>
        <v>0</v>
      </c>
      <c r="G232">
        <f t="shared" si="12"/>
        <v>0</v>
      </c>
    </row>
    <row r="233" spans="1:7" hidden="1" x14ac:dyDescent="0.25">
      <c r="A233" s="43" t="s">
        <v>1394</v>
      </c>
      <c r="B233" s="304" t="s">
        <v>1400</v>
      </c>
      <c r="C233" s="14" t="s">
        <v>37</v>
      </c>
      <c r="D233" s="14"/>
      <c r="E233" s="15"/>
      <c r="F233" s="16">
        <f t="shared" si="14"/>
        <v>0</v>
      </c>
      <c r="G233">
        <f t="shared" si="12"/>
        <v>0</v>
      </c>
    </row>
    <row r="234" spans="1:7" hidden="1" x14ac:dyDescent="0.25">
      <c r="A234" s="43" t="s">
        <v>1395</v>
      </c>
      <c r="B234" s="303" t="s">
        <v>1401</v>
      </c>
      <c r="C234" s="14" t="s">
        <v>37</v>
      </c>
      <c r="D234" s="14"/>
      <c r="E234" s="15"/>
      <c r="F234" s="16">
        <f t="shared" si="14"/>
        <v>0</v>
      </c>
      <c r="G234">
        <f t="shared" si="12"/>
        <v>0</v>
      </c>
    </row>
    <row r="235" spans="1:7" hidden="1" x14ac:dyDescent="0.25">
      <c r="A235" s="44" t="s">
        <v>1365</v>
      </c>
      <c r="B235" s="80" t="s">
        <v>1454</v>
      </c>
      <c r="C235" s="14"/>
      <c r="D235" s="14"/>
      <c r="E235" s="15"/>
      <c r="F235" s="16"/>
      <c r="G235">
        <f t="shared" si="12"/>
        <v>0</v>
      </c>
    </row>
    <row r="236" spans="1:7" hidden="1" x14ac:dyDescent="0.25">
      <c r="A236" s="43" t="s">
        <v>1418</v>
      </c>
      <c r="B236" s="303" t="s">
        <v>1435</v>
      </c>
      <c r="C236" s="14" t="s">
        <v>37</v>
      </c>
      <c r="D236" s="14"/>
      <c r="E236" s="15"/>
      <c r="F236" s="16">
        <f t="shared" ref="F236:F252" si="15">+D236*E236</f>
        <v>0</v>
      </c>
      <c r="G236">
        <f t="shared" si="12"/>
        <v>0</v>
      </c>
    </row>
    <row r="237" spans="1:7" hidden="1" x14ac:dyDescent="0.25">
      <c r="A237" s="43" t="s">
        <v>1419</v>
      </c>
      <c r="B237" s="303" t="s">
        <v>1442</v>
      </c>
      <c r="C237" s="14" t="s">
        <v>37</v>
      </c>
      <c r="D237" s="14"/>
      <c r="E237" s="15"/>
      <c r="F237" s="16">
        <f t="shared" si="15"/>
        <v>0</v>
      </c>
      <c r="G237">
        <f t="shared" si="12"/>
        <v>0</v>
      </c>
    </row>
    <row r="238" spans="1:7" hidden="1" x14ac:dyDescent="0.25">
      <c r="A238" s="43" t="s">
        <v>1420</v>
      </c>
      <c r="B238" s="304" t="s">
        <v>1450</v>
      </c>
      <c r="C238" s="14" t="s">
        <v>37</v>
      </c>
      <c r="D238" s="14"/>
      <c r="E238" s="15"/>
      <c r="F238" s="16">
        <f t="shared" si="15"/>
        <v>0</v>
      </c>
      <c r="G238">
        <f t="shared" si="12"/>
        <v>0</v>
      </c>
    </row>
    <row r="239" spans="1:7" hidden="1" x14ac:dyDescent="0.25">
      <c r="A239" s="43" t="s">
        <v>1421</v>
      </c>
      <c r="B239" s="304" t="s">
        <v>1451</v>
      </c>
      <c r="C239" s="14" t="s">
        <v>37</v>
      </c>
      <c r="D239" s="14"/>
      <c r="E239" s="15"/>
      <c r="F239" s="16">
        <f t="shared" si="15"/>
        <v>0</v>
      </c>
      <c r="G239">
        <f t="shared" si="12"/>
        <v>0</v>
      </c>
    </row>
    <row r="240" spans="1:7" hidden="1" x14ac:dyDescent="0.25">
      <c r="A240" s="43" t="s">
        <v>1422</v>
      </c>
      <c r="B240" s="304" t="s">
        <v>1447</v>
      </c>
      <c r="C240" s="14" t="s">
        <v>37</v>
      </c>
      <c r="D240" s="14"/>
      <c r="E240" s="15"/>
      <c r="F240" s="16">
        <f t="shared" si="15"/>
        <v>0</v>
      </c>
      <c r="G240">
        <f t="shared" si="12"/>
        <v>0</v>
      </c>
    </row>
    <row r="241" spans="1:7" hidden="1" x14ac:dyDescent="0.25">
      <c r="A241" s="43" t="s">
        <v>1423</v>
      </c>
      <c r="B241" s="304" t="s">
        <v>1448</v>
      </c>
      <c r="C241" s="14" t="s">
        <v>37</v>
      </c>
      <c r="D241" s="14"/>
      <c r="E241" s="15"/>
      <c r="F241" s="16">
        <f t="shared" si="15"/>
        <v>0</v>
      </c>
      <c r="G241">
        <f t="shared" si="12"/>
        <v>0</v>
      </c>
    </row>
    <row r="242" spans="1:7" hidden="1" x14ac:dyDescent="0.25">
      <c r="A242" s="43" t="s">
        <v>1424</v>
      </c>
      <c r="B242" s="304" t="s">
        <v>1449</v>
      </c>
      <c r="C242" s="14" t="s">
        <v>37</v>
      </c>
      <c r="D242" s="14"/>
      <c r="E242" s="15"/>
      <c r="F242" s="16">
        <f t="shared" si="15"/>
        <v>0</v>
      </c>
      <c r="G242">
        <f t="shared" si="12"/>
        <v>0</v>
      </c>
    </row>
    <row r="243" spans="1:7" hidden="1" x14ac:dyDescent="0.25">
      <c r="A243" s="43" t="s">
        <v>1425</v>
      </c>
      <c r="B243" s="304" t="s">
        <v>1444</v>
      </c>
      <c r="C243" s="14" t="s">
        <v>37</v>
      </c>
      <c r="D243" s="14"/>
      <c r="E243" s="15"/>
      <c r="F243" s="16">
        <f t="shared" si="15"/>
        <v>0</v>
      </c>
      <c r="G243">
        <f t="shared" si="12"/>
        <v>0</v>
      </c>
    </row>
    <row r="244" spans="1:7" hidden="1" x14ac:dyDescent="0.25">
      <c r="A244" s="43" t="s">
        <v>1426</v>
      </c>
      <c r="B244" s="304" t="s">
        <v>1445</v>
      </c>
      <c r="C244" s="14" t="s">
        <v>37</v>
      </c>
      <c r="D244" s="14"/>
      <c r="E244" s="15"/>
      <c r="F244" s="16">
        <f t="shared" si="15"/>
        <v>0</v>
      </c>
      <c r="G244">
        <f t="shared" si="12"/>
        <v>0</v>
      </c>
    </row>
    <row r="245" spans="1:7" hidden="1" x14ac:dyDescent="0.25">
      <c r="A245" s="43" t="s">
        <v>1427</v>
      </c>
      <c r="B245" s="304" t="s">
        <v>1446</v>
      </c>
      <c r="C245" s="14" t="s">
        <v>37</v>
      </c>
      <c r="D245" s="14"/>
      <c r="E245" s="15"/>
      <c r="F245" s="16">
        <f t="shared" si="15"/>
        <v>0</v>
      </c>
      <c r="G245">
        <f t="shared" si="12"/>
        <v>0</v>
      </c>
    </row>
    <row r="246" spans="1:7" hidden="1" x14ac:dyDescent="0.25">
      <c r="A246" s="43" t="s">
        <v>1428</v>
      </c>
      <c r="B246" s="304" t="s">
        <v>1443</v>
      </c>
      <c r="C246" s="14" t="s">
        <v>37</v>
      </c>
      <c r="D246" s="14"/>
      <c r="E246" s="15"/>
      <c r="F246" s="16">
        <f t="shared" si="15"/>
        <v>0</v>
      </c>
      <c r="G246">
        <f t="shared" si="12"/>
        <v>0</v>
      </c>
    </row>
    <row r="247" spans="1:7" hidden="1" x14ac:dyDescent="0.25">
      <c r="A247" s="43" t="s">
        <v>1429</v>
      </c>
      <c r="B247" s="304" t="s">
        <v>1441</v>
      </c>
      <c r="C247" s="14" t="s">
        <v>37</v>
      </c>
      <c r="D247" s="14"/>
      <c r="E247" s="15"/>
      <c r="F247" s="16">
        <f t="shared" si="15"/>
        <v>0</v>
      </c>
      <c r="G247">
        <f t="shared" si="12"/>
        <v>0</v>
      </c>
    </row>
    <row r="248" spans="1:7" hidden="1" x14ac:dyDescent="0.25">
      <c r="A248" s="43" t="s">
        <v>1430</v>
      </c>
      <c r="B248" s="304" t="s">
        <v>1440</v>
      </c>
      <c r="C248" s="14" t="s">
        <v>37</v>
      </c>
      <c r="D248" s="14"/>
      <c r="E248" s="15"/>
      <c r="F248" s="16">
        <f t="shared" si="15"/>
        <v>0</v>
      </c>
      <c r="G248">
        <f t="shared" si="12"/>
        <v>0</v>
      </c>
    </row>
    <row r="249" spans="1:7" hidden="1" x14ac:dyDescent="0.25">
      <c r="A249" s="43" t="s">
        <v>1431</v>
      </c>
      <c r="B249" s="304" t="s">
        <v>1439</v>
      </c>
      <c r="C249" s="14" t="s">
        <v>37</v>
      </c>
      <c r="D249" s="14"/>
      <c r="E249" s="15"/>
      <c r="F249" s="16">
        <f t="shared" si="15"/>
        <v>0</v>
      </c>
      <c r="G249">
        <f t="shared" si="12"/>
        <v>0</v>
      </c>
    </row>
    <row r="250" spans="1:7" hidden="1" x14ac:dyDescent="0.25">
      <c r="A250" s="43" t="s">
        <v>1432</v>
      </c>
      <c r="B250" s="304" t="s">
        <v>1438</v>
      </c>
      <c r="C250" s="14" t="s">
        <v>37</v>
      </c>
      <c r="D250" s="14"/>
      <c r="E250" s="15"/>
      <c r="F250" s="16">
        <f t="shared" si="15"/>
        <v>0</v>
      </c>
      <c r="G250">
        <f t="shared" si="12"/>
        <v>0</v>
      </c>
    </row>
    <row r="251" spans="1:7" hidden="1" x14ac:dyDescent="0.25">
      <c r="A251" s="43" t="s">
        <v>1433</v>
      </c>
      <c r="B251" s="304" t="s">
        <v>1437</v>
      </c>
      <c r="C251" s="14" t="s">
        <v>37</v>
      </c>
      <c r="D251" s="14"/>
      <c r="E251" s="15"/>
      <c r="F251" s="16">
        <f t="shared" si="15"/>
        <v>0</v>
      </c>
      <c r="G251">
        <f t="shared" si="12"/>
        <v>0</v>
      </c>
    </row>
    <row r="252" spans="1:7" hidden="1" x14ac:dyDescent="0.25">
      <c r="A252" s="43" t="s">
        <v>1434</v>
      </c>
      <c r="B252" s="303" t="s">
        <v>1436</v>
      </c>
      <c r="C252" s="14" t="s">
        <v>37</v>
      </c>
      <c r="D252" s="14"/>
      <c r="E252" s="15"/>
      <c r="F252" s="16">
        <f t="shared" si="15"/>
        <v>0</v>
      </c>
      <c r="G252">
        <f t="shared" si="12"/>
        <v>0</v>
      </c>
    </row>
    <row r="253" spans="1:7" hidden="1" x14ac:dyDescent="0.25">
      <c r="A253" s="44" t="s">
        <v>941</v>
      </c>
      <c r="B253" s="305" t="s">
        <v>1452</v>
      </c>
      <c r="C253" s="14"/>
      <c r="D253" s="14"/>
      <c r="E253" s="15"/>
      <c r="F253" s="16"/>
      <c r="G253">
        <f t="shared" si="12"/>
        <v>0</v>
      </c>
    </row>
    <row r="254" spans="1:7" hidden="1" x14ac:dyDescent="0.25">
      <c r="A254" s="44" t="s">
        <v>943</v>
      </c>
      <c r="B254" s="305" t="s">
        <v>1453</v>
      </c>
      <c r="C254" s="14"/>
      <c r="D254" s="14"/>
      <c r="E254" s="15"/>
      <c r="F254" s="16"/>
      <c r="G254">
        <f t="shared" si="12"/>
        <v>0</v>
      </c>
    </row>
    <row r="255" spans="1:7" hidden="1" x14ac:dyDescent="0.25">
      <c r="A255" s="43" t="s">
        <v>1456</v>
      </c>
      <c r="B255" s="303" t="s">
        <v>1457</v>
      </c>
      <c r="C255" s="14" t="s">
        <v>37</v>
      </c>
      <c r="D255" s="14"/>
      <c r="E255" s="15"/>
      <c r="F255" s="16">
        <f>+D255*E255</f>
        <v>0</v>
      </c>
      <c r="G255">
        <f t="shared" si="12"/>
        <v>0</v>
      </c>
    </row>
    <row r="256" spans="1:7" hidden="1" x14ac:dyDescent="0.25">
      <c r="A256" s="43" t="s">
        <v>1461</v>
      </c>
      <c r="B256" s="303" t="s">
        <v>1458</v>
      </c>
      <c r="C256" s="14" t="s">
        <v>37</v>
      </c>
      <c r="D256" s="14"/>
      <c r="E256" s="15"/>
      <c r="F256" s="16">
        <f>+D256*E256</f>
        <v>0</v>
      </c>
      <c r="G256">
        <f t="shared" si="12"/>
        <v>0</v>
      </c>
    </row>
    <row r="257" spans="1:7" hidden="1" x14ac:dyDescent="0.25">
      <c r="A257" s="43" t="s">
        <v>1462</v>
      </c>
      <c r="B257" s="303" t="s">
        <v>1459</v>
      </c>
      <c r="C257" s="14" t="s">
        <v>37</v>
      </c>
      <c r="D257" s="14"/>
      <c r="E257" s="15"/>
      <c r="F257" s="16">
        <f>+D257*E257</f>
        <v>0</v>
      </c>
      <c r="G257">
        <f t="shared" si="12"/>
        <v>0</v>
      </c>
    </row>
    <row r="258" spans="1:7" hidden="1" x14ac:dyDescent="0.25">
      <c r="A258" s="43" t="s">
        <v>1463</v>
      </c>
      <c r="B258" s="303" t="s">
        <v>1460</v>
      </c>
      <c r="C258" s="14" t="s">
        <v>37</v>
      </c>
      <c r="D258" s="14"/>
      <c r="E258" s="15">
        <f>+SUM!H256</f>
        <v>329351</v>
      </c>
      <c r="F258" s="16">
        <f>+D258*E258</f>
        <v>0</v>
      </c>
      <c r="G258">
        <f t="shared" si="12"/>
        <v>0</v>
      </c>
    </row>
    <row r="259" spans="1:7" hidden="1" x14ac:dyDescent="0.25">
      <c r="A259" s="44" t="s">
        <v>1455</v>
      </c>
      <c r="B259" s="305" t="s">
        <v>1474</v>
      </c>
      <c r="C259" s="14"/>
      <c r="D259" s="14"/>
      <c r="E259" s="15"/>
      <c r="F259" s="16"/>
      <c r="G259">
        <f t="shared" si="12"/>
        <v>0</v>
      </c>
    </row>
    <row r="260" spans="1:7" hidden="1" x14ac:dyDescent="0.25">
      <c r="A260" s="43" t="s">
        <v>1476</v>
      </c>
      <c r="B260" s="303" t="s">
        <v>1464</v>
      </c>
      <c r="C260" s="14" t="s">
        <v>37</v>
      </c>
      <c r="D260" s="14"/>
      <c r="E260" s="15"/>
      <c r="F260" s="16">
        <f t="shared" ref="F260:F268" si="16">+D260*E260</f>
        <v>0</v>
      </c>
      <c r="G260">
        <f t="shared" si="12"/>
        <v>0</v>
      </c>
    </row>
    <row r="261" spans="1:7" hidden="1" x14ac:dyDescent="0.25">
      <c r="A261" s="43" t="s">
        <v>1477</v>
      </c>
      <c r="B261" s="303" t="s">
        <v>1465</v>
      </c>
      <c r="C261" s="14" t="s">
        <v>37</v>
      </c>
      <c r="D261" s="14"/>
      <c r="E261" s="15"/>
      <c r="F261" s="16">
        <f t="shared" si="16"/>
        <v>0</v>
      </c>
      <c r="G261">
        <f t="shared" si="12"/>
        <v>0</v>
      </c>
    </row>
    <row r="262" spans="1:7" hidden="1" x14ac:dyDescent="0.25">
      <c r="A262" s="43" t="s">
        <v>1478</v>
      </c>
      <c r="B262" s="303" t="s">
        <v>1466</v>
      </c>
      <c r="C262" s="14" t="s">
        <v>37</v>
      </c>
      <c r="D262" s="14"/>
      <c r="E262" s="15"/>
      <c r="F262" s="16">
        <f t="shared" si="16"/>
        <v>0</v>
      </c>
      <c r="G262">
        <f t="shared" si="12"/>
        <v>0</v>
      </c>
    </row>
    <row r="263" spans="1:7" hidden="1" x14ac:dyDescent="0.25">
      <c r="A263" s="43" t="s">
        <v>1479</v>
      </c>
      <c r="B263" s="303" t="s">
        <v>1467</v>
      </c>
      <c r="C263" s="14" t="s">
        <v>37</v>
      </c>
      <c r="D263" s="14"/>
      <c r="E263" s="15"/>
      <c r="F263" s="16">
        <f t="shared" si="16"/>
        <v>0</v>
      </c>
      <c r="G263">
        <f t="shared" si="12"/>
        <v>0</v>
      </c>
    </row>
    <row r="264" spans="1:7" hidden="1" x14ac:dyDescent="0.25">
      <c r="A264" s="43" t="s">
        <v>1480</v>
      </c>
      <c r="B264" s="303" t="s">
        <v>1468</v>
      </c>
      <c r="C264" s="14" t="s">
        <v>37</v>
      </c>
      <c r="D264" s="14"/>
      <c r="E264" s="15"/>
      <c r="F264" s="16">
        <f t="shared" si="16"/>
        <v>0</v>
      </c>
      <c r="G264">
        <f t="shared" si="12"/>
        <v>0</v>
      </c>
    </row>
    <row r="265" spans="1:7" hidden="1" x14ac:dyDescent="0.25">
      <c r="A265" s="43" t="s">
        <v>1481</v>
      </c>
      <c r="B265" s="303" t="s">
        <v>1469</v>
      </c>
      <c r="C265" s="14" t="s">
        <v>37</v>
      </c>
      <c r="D265" s="14"/>
      <c r="E265" s="15"/>
      <c r="F265" s="16">
        <f t="shared" si="16"/>
        <v>0</v>
      </c>
      <c r="G265">
        <f t="shared" ref="G265:G328" si="17">+IF(F265&lt;&gt;0,1,0)</f>
        <v>0</v>
      </c>
    </row>
    <row r="266" spans="1:7" hidden="1" x14ac:dyDescent="0.25">
      <c r="A266" s="43" t="s">
        <v>1482</v>
      </c>
      <c r="B266" s="303" t="s">
        <v>1470</v>
      </c>
      <c r="C266" s="14" t="s">
        <v>37</v>
      </c>
      <c r="D266" s="14"/>
      <c r="E266" s="15"/>
      <c r="F266" s="16">
        <f t="shared" si="16"/>
        <v>0</v>
      </c>
      <c r="G266">
        <f t="shared" si="17"/>
        <v>0</v>
      </c>
    </row>
    <row r="267" spans="1:7" hidden="1" x14ac:dyDescent="0.25">
      <c r="A267" s="43" t="s">
        <v>1483</v>
      </c>
      <c r="B267" s="303" t="s">
        <v>1471</v>
      </c>
      <c r="C267" s="14" t="s">
        <v>37</v>
      </c>
      <c r="D267" s="14"/>
      <c r="E267" s="15"/>
      <c r="F267" s="16">
        <f t="shared" si="16"/>
        <v>0</v>
      </c>
      <c r="G267">
        <f t="shared" si="17"/>
        <v>0</v>
      </c>
    </row>
    <row r="268" spans="1:7" hidden="1" x14ac:dyDescent="0.25">
      <c r="A268" s="43" t="s">
        <v>1484</v>
      </c>
      <c r="B268" s="303" t="s">
        <v>1472</v>
      </c>
      <c r="C268" s="14" t="s">
        <v>37</v>
      </c>
      <c r="D268" s="14"/>
      <c r="E268" s="15"/>
      <c r="F268" s="16">
        <f t="shared" si="16"/>
        <v>0</v>
      </c>
      <c r="G268">
        <f t="shared" si="17"/>
        <v>0</v>
      </c>
    </row>
    <row r="269" spans="1:7" hidden="1" x14ac:dyDescent="0.25">
      <c r="A269" s="44" t="s">
        <v>1475</v>
      </c>
      <c r="B269" s="305" t="s">
        <v>1473</v>
      </c>
      <c r="C269" s="14"/>
      <c r="D269" s="14"/>
      <c r="E269" s="15"/>
      <c r="F269" s="16"/>
      <c r="G269">
        <f t="shared" si="17"/>
        <v>0</v>
      </c>
    </row>
    <row r="270" spans="1:7" hidden="1" x14ac:dyDescent="0.25">
      <c r="A270" s="43" t="s">
        <v>1485</v>
      </c>
      <c r="B270" s="303" t="s">
        <v>1486</v>
      </c>
      <c r="C270" s="14" t="s">
        <v>37</v>
      </c>
      <c r="D270" s="14"/>
      <c r="E270" s="15"/>
      <c r="F270" s="16">
        <f t="shared" ref="F270:F278" si="18">+D270*E270</f>
        <v>0</v>
      </c>
      <c r="G270">
        <f t="shared" si="17"/>
        <v>0</v>
      </c>
    </row>
    <row r="271" spans="1:7" hidden="1" x14ac:dyDescent="0.25">
      <c r="A271" s="43" t="s">
        <v>1495</v>
      </c>
      <c r="B271" s="303" t="s">
        <v>1487</v>
      </c>
      <c r="C271" s="14" t="s">
        <v>37</v>
      </c>
      <c r="D271" s="14"/>
      <c r="E271" s="15"/>
      <c r="F271" s="16">
        <f t="shared" si="18"/>
        <v>0</v>
      </c>
      <c r="G271">
        <f t="shared" si="17"/>
        <v>0</v>
      </c>
    </row>
    <row r="272" spans="1:7" hidden="1" x14ac:dyDescent="0.25">
      <c r="A272" s="43" t="s">
        <v>1496</v>
      </c>
      <c r="B272" s="303" t="s">
        <v>1488</v>
      </c>
      <c r="C272" s="14" t="s">
        <v>37</v>
      </c>
      <c r="D272" s="14"/>
      <c r="E272" s="15"/>
      <c r="F272" s="16">
        <f t="shared" si="18"/>
        <v>0</v>
      </c>
      <c r="G272">
        <f t="shared" si="17"/>
        <v>0</v>
      </c>
    </row>
    <row r="273" spans="1:7" hidden="1" x14ac:dyDescent="0.25">
      <c r="A273" s="43" t="s">
        <v>1497</v>
      </c>
      <c r="B273" s="303" t="s">
        <v>1489</v>
      </c>
      <c r="C273" s="14" t="s">
        <v>37</v>
      </c>
      <c r="D273" s="14"/>
      <c r="E273" s="15"/>
      <c r="F273" s="16">
        <f t="shared" si="18"/>
        <v>0</v>
      </c>
      <c r="G273">
        <f t="shared" si="17"/>
        <v>0</v>
      </c>
    </row>
    <row r="274" spans="1:7" hidden="1" x14ac:dyDescent="0.25">
      <c r="A274" s="43" t="s">
        <v>1498</v>
      </c>
      <c r="B274" s="303" t="s">
        <v>1490</v>
      </c>
      <c r="C274" s="14" t="s">
        <v>37</v>
      </c>
      <c r="D274" s="14"/>
      <c r="E274" s="15"/>
      <c r="F274" s="16">
        <f t="shared" si="18"/>
        <v>0</v>
      </c>
      <c r="G274">
        <f t="shared" si="17"/>
        <v>0</v>
      </c>
    </row>
    <row r="275" spans="1:7" hidden="1" x14ac:dyDescent="0.25">
      <c r="A275" s="43" t="s">
        <v>1499</v>
      </c>
      <c r="B275" s="303" t="s">
        <v>1491</v>
      </c>
      <c r="C275" s="14" t="s">
        <v>37</v>
      </c>
      <c r="D275" s="14"/>
      <c r="E275" s="15"/>
      <c r="F275" s="16">
        <f t="shared" si="18"/>
        <v>0</v>
      </c>
      <c r="G275">
        <f t="shared" si="17"/>
        <v>0</v>
      </c>
    </row>
    <row r="276" spans="1:7" hidden="1" x14ac:dyDescent="0.25">
      <c r="A276" s="43" t="s">
        <v>1500</v>
      </c>
      <c r="B276" s="303" t="s">
        <v>1492</v>
      </c>
      <c r="C276" s="14" t="s">
        <v>37</v>
      </c>
      <c r="D276" s="14"/>
      <c r="E276" s="15"/>
      <c r="F276" s="16">
        <f t="shared" si="18"/>
        <v>0</v>
      </c>
      <c r="G276">
        <f t="shared" si="17"/>
        <v>0</v>
      </c>
    </row>
    <row r="277" spans="1:7" hidden="1" x14ac:dyDescent="0.25">
      <c r="A277" s="43" t="s">
        <v>1501</v>
      </c>
      <c r="B277" s="303" t="s">
        <v>1493</v>
      </c>
      <c r="C277" s="14" t="s">
        <v>37</v>
      </c>
      <c r="D277" s="14"/>
      <c r="E277" s="15"/>
      <c r="F277" s="16">
        <f t="shared" si="18"/>
        <v>0</v>
      </c>
      <c r="G277">
        <f t="shared" si="17"/>
        <v>0</v>
      </c>
    </row>
    <row r="278" spans="1:7" hidden="1" x14ac:dyDescent="0.25">
      <c r="A278" s="43" t="s">
        <v>1502</v>
      </c>
      <c r="B278" s="303" t="s">
        <v>1494</v>
      </c>
      <c r="C278" s="14" t="s">
        <v>37</v>
      </c>
      <c r="D278" s="14"/>
      <c r="E278" s="15"/>
      <c r="F278" s="16">
        <f t="shared" si="18"/>
        <v>0</v>
      </c>
      <c r="G278">
        <f t="shared" si="17"/>
        <v>0</v>
      </c>
    </row>
    <row r="279" spans="1:7" hidden="1" x14ac:dyDescent="0.25">
      <c r="A279" s="44" t="s">
        <v>1503</v>
      </c>
      <c r="B279" s="305" t="s">
        <v>1526</v>
      </c>
      <c r="C279" s="14"/>
      <c r="D279" s="14"/>
      <c r="E279" s="15"/>
      <c r="F279" s="16"/>
      <c r="G279">
        <f t="shared" si="17"/>
        <v>0</v>
      </c>
    </row>
    <row r="280" spans="1:7" hidden="1" x14ac:dyDescent="0.25">
      <c r="A280" s="43" t="s">
        <v>1515</v>
      </c>
      <c r="B280" s="303" t="s">
        <v>1504</v>
      </c>
      <c r="C280" s="14" t="s">
        <v>37</v>
      </c>
      <c r="D280" s="14"/>
      <c r="E280" s="15"/>
      <c r="F280" s="16">
        <f t="shared" ref="F280:F290" si="19">+D280*E280</f>
        <v>0</v>
      </c>
      <c r="G280">
        <f t="shared" si="17"/>
        <v>0</v>
      </c>
    </row>
    <row r="281" spans="1:7" hidden="1" x14ac:dyDescent="0.25">
      <c r="A281" s="43" t="s">
        <v>1516</v>
      </c>
      <c r="B281" s="303" t="s">
        <v>1505</v>
      </c>
      <c r="C281" s="14" t="s">
        <v>37</v>
      </c>
      <c r="D281" s="14"/>
      <c r="E281" s="15"/>
      <c r="F281" s="16">
        <f t="shared" si="19"/>
        <v>0</v>
      </c>
      <c r="G281">
        <f t="shared" si="17"/>
        <v>0</v>
      </c>
    </row>
    <row r="282" spans="1:7" hidden="1" x14ac:dyDescent="0.25">
      <c r="A282" s="43" t="s">
        <v>1517</v>
      </c>
      <c r="B282" s="303" t="s">
        <v>1506</v>
      </c>
      <c r="C282" s="14" t="s">
        <v>37</v>
      </c>
      <c r="D282" s="14"/>
      <c r="E282" s="15"/>
      <c r="F282" s="16">
        <f t="shared" si="19"/>
        <v>0</v>
      </c>
      <c r="G282">
        <f t="shared" si="17"/>
        <v>0</v>
      </c>
    </row>
    <row r="283" spans="1:7" hidden="1" x14ac:dyDescent="0.25">
      <c r="A283" s="43" t="s">
        <v>1518</v>
      </c>
      <c r="B283" s="303" t="s">
        <v>1507</v>
      </c>
      <c r="C283" s="14" t="s">
        <v>37</v>
      </c>
      <c r="D283" s="14"/>
      <c r="E283" s="15"/>
      <c r="F283" s="16">
        <f t="shared" si="19"/>
        <v>0</v>
      </c>
      <c r="G283">
        <f t="shared" si="17"/>
        <v>0</v>
      </c>
    </row>
    <row r="284" spans="1:7" hidden="1" x14ac:dyDescent="0.25">
      <c r="A284" s="43" t="s">
        <v>1519</v>
      </c>
      <c r="B284" s="303" t="s">
        <v>1508</v>
      </c>
      <c r="C284" s="14" t="s">
        <v>37</v>
      </c>
      <c r="D284" s="14"/>
      <c r="E284" s="15"/>
      <c r="F284" s="16">
        <f t="shared" si="19"/>
        <v>0</v>
      </c>
      <c r="G284">
        <f t="shared" si="17"/>
        <v>0</v>
      </c>
    </row>
    <row r="285" spans="1:7" hidden="1" x14ac:dyDescent="0.25">
      <c r="A285" s="43" t="s">
        <v>1520</v>
      </c>
      <c r="B285" s="303" t="s">
        <v>1509</v>
      </c>
      <c r="C285" s="14" t="s">
        <v>37</v>
      </c>
      <c r="D285" s="14"/>
      <c r="E285" s="15"/>
      <c r="F285" s="16">
        <f t="shared" si="19"/>
        <v>0</v>
      </c>
      <c r="G285">
        <f t="shared" si="17"/>
        <v>0</v>
      </c>
    </row>
    <row r="286" spans="1:7" hidden="1" x14ac:dyDescent="0.25">
      <c r="A286" s="43" t="s">
        <v>1521</v>
      </c>
      <c r="B286" s="303" t="s">
        <v>1510</v>
      </c>
      <c r="C286" s="14" t="s">
        <v>37</v>
      </c>
      <c r="D286" s="14"/>
      <c r="E286" s="15"/>
      <c r="F286" s="16">
        <f t="shared" si="19"/>
        <v>0</v>
      </c>
      <c r="G286">
        <f t="shared" si="17"/>
        <v>0</v>
      </c>
    </row>
    <row r="287" spans="1:7" hidden="1" x14ac:dyDescent="0.25">
      <c r="A287" s="43" t="s">
        <v>1522</v>
      </c>
      <c r="B287" s="303" t="s">
        <v>1511</v>
      </c>
      <c r="C287" s="14" t="s">
        <v>37</v>
      </c>
      <c r="D287" s="14"/>
      <c r="E287" s="15"/>
      <c r="F287" s="16">
        <f t="shared" si="19"/>
        <v>0</v>
      </c>
      <c r="G287">
        <f t="shared" si="17"/>
        <v>0</v>
      </c>
    </row>
    <row r="288" spans="1:7" hidden="1" x14ac:dyDescent="0.25">
      <c r="A288" s="43" t="s">
        <v>1523</v>
      </c>
      <c r="B288" s="303" t="s">
        <v>1512</v>
      </c>
      <c r="C288" s="14" t="s">
        <v>37</v>
      </c>
      <c r="D288" s="14"/>
      <c r="E288" s="15"/>
      <c r="F288" s="16">
        <f t="shared" si="19"/>
        <v>0</v>
      </c>
      <c r="G288">
        <f t="shared" si="17"/>
        <v>0</v>
      </c>
    </row>
    <row r="289" spans="1:7" hidden="1" x14ac:dyDescent="0.25">
      <c r="A289" s="43" t="s">
        <v>1524</v>
      </c>
      <c r="B289" s="303" t="s">
        <v>1513</v>
      </c>
      <c r="C289" s="14" t="s">
        <v>37</v>
      </c>
      <c r="D289" s="14"/>
      <c r="E289" s="15"/>
      <c r="F289" s="16">
        <f t="shared" si="19"/>
        <v>0</v>
      </c>
      <c r="G289">
        <f t="shared" si="17"/>
        <v>0</v>
      </c>
    </row>
    <row r="290" spans="1:7" hidden="1" x14ac:dyDescent="0.25">
      <c r="A290" s="43" t="s">
        <v>1525</v>
      </c>
      <c r="B290" s="303" t="s">
        <v>1514</v>
      </c>
      <c r="C290" s="14" t="s">
        <v>37</v>
      </c>
      <c r="D290" s="14"/>
      <c r="E290" s="15"/>
      <c r="F290" s="16">
        <f t="shared" si="19"/>
        <v>0</v>
      </c>
      <c r="G290">
        <f t="shared" si="17"/>
        <v>0</v>
      </c>
    </row>
    <row r="291" spans="1:7" hidden="1" x14ac:dyDescent="0.25">
      <c r="A291" s="44" t="s">
        <v>944</v>
      </c>
      <c r="B291" s="305" t="s">
        <v>937</v>
      </c>
      <c r="C291" s="14"/>
      <c r="D291" s="14"/>
      <c r="E291" s="15"/>
      <c r="F291" s="16"/>
      <c r="G291">
        <f t="shared" si="17"/>
        <v>0</v>
      </c>
    </row>
    <row r="292" spans="1:7" hidden="1" x14ac:dyDescent="0.25">
      <c r="A292" s="44" t="s">
        <v>945</v>
      </c>
      <c r="B292" s="305" t="s">
        <v>1527</v>
      </c>
      <c r="C292" s="14"/>
      <c r="D292" s="14"/>
      <c r="E292" s="15"/>
      <c r="F292" s="16"/>
      <c r="G292">
        <f t="shared" si="17"/>
        <v>0</v>
      </c>
    </row>
    <row r="293" spans="1:7" hidden="1" x14ac:dyDescent="0.25">
      <c r="A293" s="43" t="s">
        <v>1531</v>
      </c>
      <c r="B293" s="303" t="s">
        <v>1541</v>
      </c>
      <c r="C293" s="14" t="s">
        <v>37</v>
      </c>
      <c r="D293" s="14"/>
      <c r="E293" s="15"/>
      <c r="F293" s="16">
        <f t="shared" ref="F293:F301" si="20">+D293*E293</f>
        <v>0</v>
      </c>
      <c r="G293">
        <f t="shared" si="17"/>
        <v>0</v>
      </c>
    </row>
    <row r="294" spans="1:7" hidden="1" x14ac:dyDescent="0.25">
      <c r="A294" s="43" t="s">
        <v>1532</v>
      </c>
      <c r="B294" s="303" t="s">
        <v>1542</v>
      </c>
      <c r="C294" s="14" t="s">
        <v>37</v>
      </c>
      <c r="D294" s="14"/>
      <c r="E294" s="15"/>
      <c r="F294" s="16">
        <f t="shared" si="20"/>
        <v>0</v>
      </c>
      <c r="G294">
        <f t="shared" si="17"/>
        <v>0</v>
      </c>
    </row>
    <row r="295" spans="1:7" hidden="1" x14ac:dyDescent="0.25">
      <c r="A295" s="43" t="s">
        <v>1533</v>
      </c>
      <c r="B295" s="303" t="s">
        <v>1543</v>
      </c>
      <c r="C295" s="14" t="s">
        <v>37</v>
      </c>
      <c r="D295" s="14"/>
      <c r="E295" s="15"/>
      <c r="F295" s="16">
        <f t="shared" si="20"/>
        <v>0</v>
      </c>
      <c r="G295">
        <f t="shared" si="17"/>
        <v>0</v>
      </c>
    </row>
    <row r="296" spans="1:7" hidden="1" x14ac:dyDescent="0.25">
      <c r="A296" s="43" t="s">
        <v>1534</v>
      </c>
      <c r="B296" s="303" t="s">
        <v>1544</v>
      </c>
      <c r="C296" s="14" t="s">
        <v>37</v>
      </c>
      <c r="D296" s="14"/>
      <c r="E296" s="15"/>
      <c r="F296" s="16">
        <f t="shared" si="20"/>
        <v>0</v>
      </c>
      <c r="G296">
        <f t="shared" si="17"/>
        <v>0</v>
      </c>
    </row>
    <row r="297" spans="1:7" hidden="1" x14ac:dyDescent="0.25">
      <c r="A297" s="43" t="s">
        <v>1535</v>
      </c>
      <c r="B297" s="303" t="s">
        <v>1545</v>
      </c>
      <c r="C297" s="14" t="s">
        <v>37</v>
      </c>
      <c r="D297" s="14"/>
      <c r="E297" s="15"/>
      <c r="F297" s="16">
        <f t="shared" si="20"/>
        <v>0</v>
      </c>
      <c r="G297">
        <f t="shared" si="17"/>
        <v>0</v>
      </c>
    </row>
    <row r="298" spans="1:7" hidden="1" x14ac:dyDescent="0.25">
      <c r="A298" s="43" t="s">
        <v>1536</v>
      </c>
      <c r="B298" s="303" t="s">
        <v>1546</v>
      </c>
      <c r="C298" s="14" t="s">
        <v>37</v>
      </c>
      <c r="D298" s="14"/>
      <c r="E298" s="15"/>
      <c r="F298" s="16">
        <f t="shared" si="20"/>
        <v>0</v>
      </c>
      <c r="G298">
        <f t="shared" si="17"/>
        <v>0</v>
      </c>
    </row>
    <row r="299" spans="1:7" hidden="1" x14ac:dyDescent="0.25">
      <c r="A299" s="43" t="s">
        <v>1537</v>
      </c>
      <c r="B299" s="303" t="s">
        <v>1547</v>
      </c>
      <c r="C299" s="14" t="s">
        <v>37</v>
      </c>
      <c r="D299" s="14"/>
      <c r="E299" s="15"/>
      <c r="F299" s="16">
        <f t="shared" si="20"/>
        <v>0</v>
      </c>
      <c r="G299">
        <f t="shared" si="17"/>
        <v>0</v>
      </c>
    </row>
    <row r="300" spans="1:7" hidden="1" x14ac:dyDescent="0.25">
      <c r="A300" s="43" t="s">
        <v>1538</v>
      </c>
      <c r="B300" s="303" t="s">
        <v>1548</v>
      </c>
      <c r="C300" s="14" t="s">
        <v>37</v>
      </c>
      <c r="D300" s="14"/>
      <c r="E300" s="15"/>
      <c r="F300" s="16">
        <f t="shared" si="20"/>
        <v>0</v>
      </c>
      <c r="G300">
        <f t="shared" si="17"/>
        <v>0</v>
      </c>
    </row>
    <row r="301" spans="1:7" hidden="1" x14ac:dyDescent="0.25">
      <c r="A301" s="43" t="s">
        <v>1539</v>
      </c>
      <c r="B301" s="303" t="s">
        <v>1549</v>
      </c>
      <c r="C301" s="14" t="s">
        <v>37</v>
      </c>
      <c r="D301" s="14"/>
      <c r="E301" s="15"/>
      <c r="F301" s="16">
        <f t="shared" si="20"/>
        <v>0</v>
      </c>
      <c r="G301">
        <f t="shared" si="17"/>
        <v>0</v>
      </c>
    </row>
    <row r="302" spans="1:7" hidden="1" x14ac:dyDescent="0.25">
      <c r="A302" s="44" t="s">
        <v>1528</v>
      </c>
      <c r="B302" s="305" t="s">
        <v>1530</v>
      </c>
      <c r="C302" s="14"/>
      <c r="D302" s="14"/>
      <c r="E302" s="15"/>
      <c r="F302" s="16"/>
      <c r="G302">
        <f t="shared" si="17"/>
        <v>0</v>
      </c>
    </row>
    <row r="303" spans="1:7" hidden="1" x14ac:dyDescent="0.25">
      <c r="A303" s="43" t="s">
        <v>1540</v>
      </c>
      <c r="B303" s="303" t="s">
        <v>1550</v>
      </c>
      <c r="C303" s="14" t="s">
        <v>37</v>
      </c>
      <c r="D303" s="14"/>
      <c r="E303" s="15"/>
      <c r="F303" s="16">
        <f t="shared" ref="F303:F311" si="21">+D303*E303</f>
        <v>0</v>
      </c>
      <c r="G303">
        <f t="shared" si="17"/>
        <v>0</v>
      </c>
    </row>
    <row r="304" spans="1:7" hidden="1" x14ac:dyDescent="0.25">
      <c r="A304" s="43" t="s">
        <v>1559</v>
      </c>
      <c r="B304" s="303" t="s">
        <v>1551</v>
      </c>
      <c r="C304" s="14" t="s">
        <v>37</v>
      </c>
      <c r="D304" s="14"/>
      <c r="E304" s="15"/>
      <c r="F304" s="16">
        <f t="shared" si="21"/>
        <v>0</v>
      </c>
      <c r="G304">
        <f t="shared" si="17"/>
        <v>0</v>
      </c>
    </row>
    <row r="305" spans="1:7" hidden="1" x14ac:dyDescent="0.25">
      <c r="A305" s="43" t="s">
        <v>1560</v>
      </c>
      <c r="B305" s="303" t="s">
        <v>1552</v>
      </c>
      <c r="C305" s="14" t="s">
        <v>37</v>
      </c>
      <c r="D305" s="14"/>
      <c r="E305" s="15"/>
      <c r="F305" s="16">
        <f t="shared" si="21"/>
        <v>0</v>
      </c>
      <c r="G305">
        <f t="shared" si="17"/>
        <v>0</v>
      </c>
    </row>
    <row r="306" spans="1:7" hidden="1" x14ac:dyDescent="0.25">
      <c r="A306" s="43" t="s">
        <v>1561</v>
      </c>
      <c r="B306" s="303" t="s">
        <v>1553</v>
      </c>
      <c r="C306" s="14" t="s">
        <v>37</v>
      </c>
      <c r="D306" s="14"/>
      <c r="E306" s="15"/>
      <c r="F306" s="16">
        <f t="shared" si="21"/>
        <v>0</v>
      </c>
      <c r="G306">
        <f t="shared" si="17"/>
        <v>0</v>
      </c>
    </row>
    <row r="307" spans="1:7" hidden="1" x14ac:dyDescent="0.25">
      <c r="A307" s="43" t="s">
        <v>1562</v>
      </c>
      <c r="B307" s="303" t="s">
        <v>1554</v>
      </c>
      <c r="C307" s="14" t="s">
        <v>37</v>
      </c>
      <c r="D307" s="14"/>
      <c r="E307" s="15"/>
      <c r="F307" s="16">
        <f t="shared" si="21"/>
        <v>0</v>
      </c>
      <c r="G307">
        <f t="shared" si="17"/>
        <v>0</v>
      </c>
    </row>
    <row r="308" spans="1:7" hidden="1" x14ac:dyDescent="0.25">
      <c r="A308" s="43" t="s">
        <v>1563</v>
      </c>
      <c r="B308" s="303" t="s">
        <v>1555</v>
      </c>
      <c r="C308" s="14" t="s">
        <v>37</v>
      </c>
      <c r="D308" s="14"/>
      <c r="E308" s="15"/>
      <c r="F308" s="16">
        <f t="shared" si="21"/>
        <v>0</v>
      </c>
      <c r="G308">
        <f t="shared" si="17"/>
        <v>0</v>
      </c>
    </row>
    <row r="309" spans="1:7" hidden="1" x14ac:dyDescent="0.25">
      <c r="A309" s="43" t="s">
        <v>1564</v>
      </c>
      <c r="B309" s="303" t="s">
        <v>1556</v>
      </c>
      <c r="C309" s="14" t="s">
        <v>37</v>
      </c>
      <c r="D309" s="14"/>
      <c r="E309" s="15"/>
      <c r="F309" s="16">
        <f t="shared" si="21"/>
        <v>0</v>
      </c>
      <c r="G309">
        <f t="shared" si="17"/>
        <v>0</v>
      </c>
    </row>
    <row r="310" spans="1:7" hidden="1" x14ac:dyDescent="0.25">
      <c r="A310" s="43" t="s">
        <v>1565</v>
      </c>
      <c r="B310" s="303" t="s">
        <v>1557</v>
      </c>
      <c r="C310" s="14" t="s">
        <v>37</v>
      </c>
      <c r="D310" s="14"/>
      <c r="E310" s="15"/>
      <c r="F310" s="16">
        <f t="shared" si="21"/>
        <v>0</v>
      </c>
      <c r="G310">
        <f t="shared" si="17"/>
        <v>0</v>
      </c>
    </row>
    <row r="311" spans="1:7" hidden="1" x14ac:dyDescent="0.25">
      <c r="A311" s="43" t="s">
        <v>1566</v>
      </c>
      <c r="B311" s="303" t="s">
        <v>1558</v>
      </c>
      <c r="C311" s="14" t="s">
        <v>37</v>
      </c>
      <c r="D311" s="14"/>
      <c r="E311" s="15"/>
      <c r="F311" s="16">
        <f t="shared" si="21"/>
        <v>0</v>
      </c>
      <c r="G311">
        <f t="shared" si="17"/>
        <v>0</v>
      </c>
    </row>
    <row r="312" spans="1:7" hidden="1" x14ac:dyDescent="0.25">
      <c r="A312" s="65" t="s">
        <v>1529</v>
      </c>
      <c r="B312" s="66" t="s">
        <v>1640</v>
      </c>
      <c r="C312" s="67"/>
      <c r="D312" s="14"/>
      <c r="E312" s="15"/>
      <c r="F312" s="16"/>
      <c r="G312">
        <f t="shared" si="17"/>
        <v>0</v>
      </c>
    </row>
    <row r="313" spans="1:7" hidden="1" x14ac:dyDescent="0.25">
      <c r="A313" s="71" t="s">
        <v>939</v>
      </c>
      <c r="B313" s="83" t="s">
        <v>1567</v>
      </c>
      <c r="C313" s="67" t="s">
        <v>37</v>
      </c>
      <c r="D313" s="14"/>
      <c r="E313" s="15"/>
      <c r="F313" s="16">
        <f>+D313*E313</f>
        <v>0</v>
      </c>
      <c r="G313">
        <f t="shared" si="17"/>
        <v>0</v>
      </c>
    </row>
    <row r="314" spans="1:7" hidden="1" x14ac:dyDescent="0.25">
      <c r="A314" s="71" t="s">
        <v>940</v>
      </c>
      <c r="B314" s="83" t="s">
        <v>1568</v>
      </c>
      <c r="C314" s="67" t="s">
        <v>37</v>
      </c>
      <c r="D314" s="14"/>
      <c r="E314" s="15"/>
      <c r="F314" s="16">
        <f>+D314*E314</f>
        <v>0</v>
      </c>
      <c r="G314">
        <f t="shared" si="17"/>
        <v>0</v>
      </c>
    </row>
    <row r="315" spans="1:7" hidden="1" x14ac:dyDescent="0.25">
      <c r="A315" s="71" t="s">
        <v>1376</v>
      </c>
      <c r="B315" s="83" t="s">
        <v>1638</v>
      </c>
      <c r="C315" s="67" t="s">
        <v>37</v>
      </c>
      <c r="D315" s="14"/>
      <c r="E315" s="15"/>
      <c r="F315" s="16">
        <f>+D315*E315</f>
        <v>0</v>
      </c>
      <c r="G315">
        <f t="shared" si="17"/>
        <v>0</v>
      </c>
    </row>
    <row r="316" spans="1:7" hidden="1" x14ac:dyDescent="0.25">
      <c r="A316" s="71" t="s">
        <v>1377</v>
      </c>
      <c r="B316" s="83" t="s">
        <v>1639</v>
      </c>
      <c r="C316" s="67" t="s">
        <v>37</v>
      </c>
      <c r="D316" s="14"/>
      <c r="E316" s="15"/>
      <c r="F316" s="16">
        <f>+D316*E316</f>
        <v>0</v>
      </c>
      <c r="G316">
        <f t="shared" si="17"/>
        <v>0</v>
      </c>
    </row>
    <row r="317" spans="1:7" hidden="1" x14ac:dyDescent="0.25">
      <c r="A317" s="65" t="s">
        <v>946</v>
      </c>
      <c r="B317" s="84" t="s">
        <v>942</v>
      </c>
      <c r="C317" s="67"/>
      <c r="D317" s="14"/>
      <c r="E317" s="15"/>
      <c r="F317" s="16"/>
      <c r="G317">
        <f t="shared" si="17"/>
        <v>0</v>
      </c>
    </row>
    <row r="318" spans="1:7" hidden="1" x14ac:dyDescent="0.25">
      <c r="A318" s="65" t="s">
        <v>947</v>
      </c>
      <c r="B318" s="84" t="s">
        <v>1569</v>
      </c>
      <c r="C318" s="67"/>
      <c r="D318" s="14"/>
      <c r="E318" s="15"/>
      <c r="F318" s="16"/>
      <c r="G318">
        <f t="shared" si="17"/>
        <v>0</v>
      </c>
    </row>
    <row r="319" spans="1:7" hidden="1" x14ac:dyDescent="0.25">
      <c r="A319" s="71" t="s">
        <v>1579</v>
      </c>
      <c r="B319" s="83" t="s">
        <v>1571</v>
      </c>
      <c r="C319" s="14" t="s">
        <v>37</v>
      </c>
      <c r="D319" s="14"/>
      <c r="E319" s="15"/>
      <c r="F319" s="16">
        <f t="shared" ref="F319:F327" si="22">+D319*E319</f>
        <v>0</v>
      </c>
      <c r="G319">
        <f t="shared" si="17"/>
        <v>0</v>
      </c>
    </row>
    <row r="320" spans="1:7" hidden="1" x14ac:dyDescent="0.25">
      <c r="A320" s="71" t="s">
        <v>1580</v>
      </c>
      <c r="B320" s="83" t="s">
        <v>1572</v>
      </c>
      <c r="C320" s="14" t="s">
        <v>37</v>
      </c>
      <c r="D320" s="14"/>
      <c r="E320" s="15"/>
      <c r="F320" s="16">
        <f t="shared" si="22"/>
        <v>0</v>
      </c>
      <c r="G320">
        <f t="shared" si="17"/>
        <v>0</v>
      </c>
    </row>
    <row r="321" spans="1:7" hidden="1" x14ac:dyDescent="0.25">
      <c r="A321" s="71" t="s">
        <v>1581</v>
      </c>
      <c r="B321" s="83" t="s">
        <v>1570</v>
      </c>
      <c r="C321" s="14" t="s">
        <v>37</v>
      </c>
      <c r="D321" s="14"/>
      <c r="E321" s="15"/>
      <c r="F321" s="16">
        <f t="shared" si="22"/>
        <v>0</v>
      </c>
      <c r="G321">
        <f t="shared" si="17"/>
        <v>0</v>
      </c>
    </row>
    <row r="322" spans="1:7" hidden="1" x14ac:dyDescent="0.25">
      <c r="A322" s="71" t="s">
        <v>1582</v>
      </c>
      <c r="B322" s="83" t="s">
        <v>1573</v>
      </c>
      <c r="C322" s="14" t="s">
        <v>37</v>
      </c>
      <c r="D322" s="14"/>
      <c r="E322" s="15"/>
      <c r="F322" s="16">
        <f t="shared" si="22"/>
        <v>0</v>
      </c>
      <c r="G322">
        <f t="shared" si="17"/>
        <v>0</v>
      </c>
    </row>
    <row r="323" spans="1:7" hidden="1" x14ac:dyDescent="0.25">
      <c r="A323" s="71" t="s">
        <v>1583</v>
      </c>
      <c r="B323" s="83" t="s">
        <v>1574</v>
      </c>
      <c r="C323" s="14" t="s">
        <v>37</v>
      </c>
      <c r="D323" s="14"/>
      <c r="E323" s="15"/>
      <c r="F323" s="16">
        <f t="shared" si="22"/>
        <v>0</v>
      </c>
      <c r="G323">
        <f t="shared" si="17"/>
        <v>0</v>
      </c>
    </row>
    <row r="324" spans="1:7" hidden="1" x14ac:dyDescent="0.25">
      <c r="A324" s="71" t="s">
        <v>1584</v>
      </c>
      <c r="B324" s="83" t="s">
        <v>1575</v>
      </c>
      <c r="C324" s="14" t="s">
        <v>37</v>
      </c>
      <c r="D324" s="14"/>
      <c r="E324" s="15"/>
      <c r="F324" s="16">
        <f t="shared" si="22"/>
        <v>0</v>
      </c>
      <c r="G324">
        <f t="shared" si="17"/>
        <v>0</v>
      </c>
    </row>
    <row r="325" spans="1:7" hidden="1" x14ac:dyDescent="0.25">
      <c r="A325" s="71" t="s">
        <v>1585</v>
      </c>
      <c r="B325" s="83" t="s">
        <v>1576</v>
      </c>
      <c r="C325" s="14" t="s">
        <v>37</v>
      </c>
      <c r="D325" s="14"/>
      <c r="E325" s="15"/>
      <c r="F325" s="16">
        <f t="shared" si="22"/>
        <v>0</v>
      </c>
      <c r="G325">
        <f t="shared" si="17"/>
        <v>0</v>
      </c>
    </row>
    <row r="326" spans="1:7" hidden="1" x14ac:dyDescent="0.25">
      <c r="A326" s="71" t="s">
        <v>1586</v>
      </c>
      <c r="B326" s="83" t="s">
        <v>1577</v>
      </c>
      <c r="C326" s="14" t="s">
        <v>37</v>
      </c>
      <c r="D326" s="14"/>
      <c r="E326" s="15"/>
      <c r="F326" s="16">
        <f t="shared" si="22"/>
        <v>0</v>
      </c>
      <c r="G326">
        <f t="shared" si="17"/>
        <v>0</v>
      </c>
    </row>
    <row r="327" spans="1:7" hidden="1" x14ac:dyDescent="0.25">
      <c r="A327" s="71" t="s">
        <v>1649</v>
      </c>
      <c r="B327" s="83" t="s">
        <v>1578</v>
      </c>
      <c r="C327" s="14" t="s">
        <v>37</v>
      </c>
      <c r="D327" s="14"/>
      <c r="E327" s="15"/>
      <c r="F327" s="16">
        <f t="shared" si="22"/>
        <v>0</v>
      </c>
      <c r="G327">
        <f t="shared" si="17"/>
        <v>0</v>
      </c>
    </row>
    <row r="328" spans="1:7" hidden="1" x14ac:dyDescent="0.25">
      <c r="A328" s="65" t="s">
        <v>1642</v>
      </c>
      <c r="B328" s="84" t="s">
        <v>1641</v>
      </c>
      <c r="C328" s="67"/>
      <c r="D328" s="14"/>
      <c r="E328" s="15"/>
      <c r="F328" s="16"/>
      <c r="G328">
        <f t="shared" si="17"/>
        <v>0</v>
      </c>
    </row>
    <row r="329" spans="1:7" hidden="1" x14ac:dyDescent="0.25">
      <c r="A329" s="43" t="s">
        <v>1596</v>
      </c>
      <c r="B329" s="83" t="s">
        <v>1643</v>
      </c>
      <c r="C329" s="14" t="s">
        <v>37</v>
      </c>
      <c r="D329" s="14"/>
      <c r="E329" s="15"/>
      <c r="F329" s="16">
        <f t="shared" ref="F329:F334" si="23">+D329*E329</f>
        <v>0</v>
      </c>
      <c r="G329">
        <f t="shared" ref="G329:G392" si="24">+IF(F329&lt;&gt;0,1,0)</f>
        <v>0</v>
      </c>
    </row>
    <row r="330" spans="1:7" hidden="1" x14ac:dyDescent="0.25">
      <c r="A330" s="43" t="s">
        <v>1597</v>
      </c>
      <c r="B330" s="83" t="s">
        <v>1644</v>
      </c>
      <c r="C330" s="14" t="s">
        <v>37</v>
      </c>
      <c r="D330" s="14"/>
      <c r="E330" s="15"/>
      <c r="F330" s="16">
        <f t="shared" si="23"/>
        <v>0</v>
      </c>
      <c r="G330">
        <f t="shared" si="24"/>
        <v>0</v>
      </c>
    </row>
    <row r="331" spans="1:7" hidden="1" x14ac:dyDescent="0.25">
      <c r="A331" s="43" t="s">
        <v>1598</v>
      </c>
      <c r="B331" s="83" t="s">
        <v>1648</v>
      </c>
      <c r="C331" s="14" t="s">
        <v>37</v>
      </c>
      <c r="D331" s="14"/>
      <c r="E331" s="15"/>
      <c r="F331" s="16">
        <f t="shared" si="23"/>
        <v>0</v>
      </c>
      <c r="G331">
        <f t="shared" si="24"/>
        <v>0</v>
      </c>
    </row>
    <row r="332" spans="1:7" hidden="1" x14ac:dyDescent="0.25">
      <c r="A332" s="43" t="s">
        <v>1599</v>
      </c>
      <c r="B332" s="83" t="s">
        <v>1645</v>
      </c>
      <c r="C332" s="14" t="s">
        <v>37</v>
      </c>
      <c r="D332" s="14"/>
      <c r="E332" s="15"/>
      <c r="F332" s="16">
        <f t="shared" si="23"/>
        <v>0</v>
      </c>
      <c r="G332">
        <f t="shared" si="24"/>
        <v>0</v>
      </c>
    </row>
    <row r="333" spans="1:7" hidden="1" x14ac:dyDescent="0.25">
      <c r="A333" s="43" t="s">
        <v>1600</v>
      </c>
      <c r="B333" s="83" t="s">
        <v>1646</v>
      </c>
      <c r="C333" s="14" t="s">
        <v>37</v>
      </c>
      <c r="D333" s="14"/>
      <c r="E333" s="15"/>
      <c r="F333" s="16">
        <f t="shared" si="23"/>
        <v>0</v>
      </c>
      <c r="G333">
        <f t="shared" si="24"/>
        <v>0</v>
      </c>
    </row>
    <row r="334" spans="1:7" hidden="1" x14ac:dyDescent="0.25">
      <c r="A334" s="43" t="s">
        <v>1601</v>
      </c>
      <c r="B334" s="83" t="s">
        <v>1647</v>
      </c>
      <c r="C334" s="14" t="s">
        <v>37</v>
      </c>
      <c r="D334" s="14"/>
      <c r="E334" s="15"/>
      <c r="F334" s="16">
        <f t="shared" si="23"/>
        <v>0</v>
      </c>
      <c r="G334">
        <f t="shared" si="24"/>
        <v>0</v>
      </c>
    </row>
    <row r="335" spans="1:7" hidden="1" x14ac:dyDescent="0.25">
      <c r="A335" s="44" t="s">
        <v>1650</v>
      </c>
      <c r="B335" s="80" t="s">
        <v>1587</v>
      </c>
      <c r="C335" s="14"/>
      <c r="D335" s="14"/>
      <c r="E335" s="15"/>
      <c r="F335" s="16"/>
      <c r="G335">
        <f t="shared" si="24"/>
        <v>0</v>
      </c>
    </row>
    <row r="336" spans="1:7" hidden="1" x14ac:dyDescent="0.25">
      <c r="A336" s="43" t="s">
        <v>1602</v>
      </c>
      <c r="B336" s="81" t="s">
        <v>1588</v>
      </c>
      <c r="C336" s="14" t="s">
        <v>37</v>
      </c>
      <c r="D336" s="14"/>
      <c r="E336" s="15"/>
      <c r="F336" s="16">
        <f t="shared" ref="F336:F343" si="25">+D336*E336</f>
        <v>0</v>
      </c>
      <c r="G336">
        <f t="shared" si="24"/>
        <v>0</v>
      </c>
    </row>
    <row r="337" spans="1:7" hidden="1" x14ac:dyDescent="0.25">
      <c r="A337" s="43" t="s">
        <v>1610</v>
      </c>
      <c r="B337" s="81" t="s">
        <v>1618</v>
      </c>
      <c r="C337" s="14" t="s">
        <v>37</v>
      </c>
      <c r="D337" s="14"/>
      <c r="E337" s="15"/>
      <c r="F337" s="16">
        <f t="shared" si="25"/>
        <v>0</v>
      </c>
      <c r="G337">
        <f t="shared" si="24"/>
        <v>0</v>
      </c>
    </row>
    <row r="338" spans="1:7" hidden="1" x14ac:dyDescent="0.25">
      <c r="A338" s="43" t="s">
        <v>1611</v>
      </c>
      <c r="B338" s="81" t="s">
        <v>1589</v>
      </c>
      <c r="C338" s="14" t="s">
        <v>37</v>
      </c>
      <c r="D338" s="14"/>
      <c r="E338" s="15"/>
      <c r="F338" s="16">
        <f t="shared" si="25"/>
        <v>0</v>
      </c>
      <c r="G338">
        <f t="shared" si="24"/>
        <v>0</v>
      </c>
    </row>
    <row r="339" spans="1:7" hidden="1" x14ac:dyDescent="0.25">
      <c r="A339" s="43" t="s">
        <v>1612</v>
      </c>
      <c r="B339" s="81" t="s">
        <v>1590</v>
      </c>
      <c r="C339" s="14" t="s">
        <v>37</v>
      </c>
      <c r="D339" s="14"/>
      <c r="E339" s="15"/>
      <c r="F339" s="16">
        <f t="shared" si="25"/>
        <v>0</v>
      </c>
      <c r="G339">
        <f t="shared" si="24"/>
        <v>0</v>
      </c>
    </row>
    <row r="340" spans="1:7" hidden="1" x14ac:dyDescent="0.25">
      <c r="A340" s="43" t="s">
        <v>1613</v>
      </c>
      <c r="B340" s="81" t="s">
        <v>1591</v>
      </c>
      <c r="C340" s="14" t="s">
        <v>37</v>
      </c>
      <c r="D340" s="14"/>
      <c r="E340" s="15"/>
      <c r="F340" s="16">
        <f t="shared" si="25"/>
        <v>0</v>
      </c>
      <c r="G340">
        <f t="shared" si="24"/>
        <v>0</v>
      </c>
    </row>
    <row r="341" spans="1:7" hidden="1" x14ac:dyDescent="0.25">
      <c r="A341" s="43" t="s">
        <v>1614</v>
      </c>
      <c r="B341" s="81" t="s">
        <v>1592</v>
      </c>
      <c r="C341" s="14" t="s">
        <v>37</v>
      </c>
      <c r="D341" s="14"/>
      <c r="E341" s="15"/>
      <c r="F341" s="16">
        <f t="shared" si="25"/>
        <v>0</v>
      </c>
      <c r="G341">
        <f t="shared" si="24"/>
        <v>0</v>
      </c>
    </row>
    <row r="342" spans="1:7" hidden="1" x14ac:dyDescent="0.25">
      <c r="A342" s="43" t="s">
        <v>1615</v>
      </c>
      <c r="B342" s="81" t="s">
        <v>1593</v>
      </c>
      <c r="C342" s="14" t="s">
        <v>37</v>
      </c>
      <c r="D342" s="14"/>
      <c r="E342" s="15"/>
      <c r="F342" s="16">
        <f t="shared" si="25"/>
        <v>0</v>
      </c>
      <c r="G342">
        <f t="shared" si="24"/>
        <v>0</v>
      </c>
    </row>
    <row r="343" spans="1:7" hidden="1" x14ac:dyDescent="0.25">
      <c r="A343" s="43" t="s">
        <v>1620</v>
      </c>
      <c r="B343" s="81" t="s">
        <v>1594</v>
      </c>
      <c r="C343" s="14" t="s">
        <v>37</v>
      </c>
      <c r="D343" s="14"/>
      <c r="E343" s="15"/>
      <c r="F343" s="16">
        <f t="shared" si="25"/>
        <v>0</v>
      </c>
      <c r="G343">
        <f t="shared" si="24"/>
        <v>0</v>
      </c>
    </row>
    <row r="344" spans="1:7" hidden="1" x14ac:dyDescent="0.25">
      <c r="A344" s="78" t="s">
        <v>1616</v>
      </c>
      <c r="B344" s="80" t="s">
        <v>1595</v>
      </c>
      <c r="C344" s="14"/>
      <c r="D344" s="14"/>
      <c r="E344" s="15"/>
      <c r="F344" s="16"/>
      <c r="G344">
        <f t="shared" si="24"/>
        <v>0</v>
      </c>
    </row>
    <row r="345" spans="1:7" hidden="1" x14ac:dyDescent="0.25">
      <c r="A345" s="85" t="s">
        <v>1621</v>
      </c>
      <c r="B345" s="81" t="s">
        <v>1603</v>
      </c>
      <c r="C345" s="14" t="s">
        <v>37</v>
      </c>
      <c r="D345" s="14"/>
      <c r="E345" s="15"/>
      <c r="F345" s="16">
        <f t="shared" ref="F345:F353" si="26">+D345*E345</f>
        <v>0</v>
      </c>
      <c r="G345">
        <f t="shared" si="24"/>
        <v>0</v>
      </c>
    </row>
    <row r="346" spans="1:7" hidden="1" x14ac:dyDescent="0.25">
      <c r="A346" s="85" t="s">
        <v>1622</v>
      </c>
      <c r="B346" s="81" t="s">
        <v>1619</v>
      </c>
      <c r="C346" s="14" t="s">
        <v>37</v>
      </c>
      <c r="D346" s="14"/>
      <c r="E346" s="15"/>
      <c r="F346" s="16">
        <f t="shared" si="26"/>
        <v>0</v>
      </c>
      <c r="G346">
        <f t="shared" si="24"/>
        <v>0</v>
      </c>
    </row>
    <row r="347" spans="1:7" hidden="1" x14ac:dyDescent="0.25">
      <c r="A347" s="85" t="s">
        <v>1623</v>
      </c>
      <c r="B347" s="81" t="s">
        <v>1604</v>
      </c>
      <c r="C347" s="14" t="s">
        <v>37</v>
      </c>
      <c r="D347" s="14"/>
      <c r="E347" s="15"/>
      <c r="F347" s="16">
        <f t="shared" si="26"/>
        <v>0</v>
      </c>
      <c r="G347">
        <f t="shared" si="24"/>
        <v>0</v>
      </c>
    </row>
    <row r="348" spans="1:7" hidden="1" x14ac:dyDescent="0.25">
      <c r="A348" s="85" t="s">
        <v>1624</v>
      </c>
      <c r="B348" s="81" t="s">
        <v>1605</v>
      </c>
      <c r="C348" s="14" t="s">
        <v>37</v>
      </c>
      <c r="D348" s="14"/>
      <c r="E348" s="15"/>
      <c r="F348" s="16">
        <f t="shared" si="26"/>
        <v>0</v>
      </c>
      <c r="G348">
        <f t="shared" si="24"/>
        <v>0</v>
      </c>
    </row>
    <row r="349" spans="1:7" hidden="1" x14ac:dyDescent="0.25">
      <c r="A349" s="85" t="s">
        <v>1625</v>
      </c>
      <c r="B349" s="81" t="s">
        <v>1606</v>
      </c>
      <c r="C349" s="14" t="s">
        <v>37</v>
      </c>
      <c r="D349" s="14"/>
      <c r="E349" s="15"/>
      <c r="F349" s="16">
        <f t="shared" si="26"/>
        <v>0</v>
      </c>
      <c r="G349">
        <f t="shared" si="24"/>
        <v>0</v>
      </c>
    </row>
    <row r="350" spans="1:7" hidden="1" x14ac:dyDescent="0.25">
      <c r="A350" s="85" t="s">
        <v>1626</v>
      </c>
      <c r="B350" s="81" t="s">
        <v>1607</v>
      </c>
      <c r="C350" s="14" t="s">
        <v>37</v>
      </c>
      <c r="D350" s="14"/>
      <c r="E350" s="15"/>
      <c r="F350" s="16">
        <f t="shared" si="26"/>
        <v>0</v>
      </c>
      <c r="G350">
        <f t="shared" si="24"/>
        <v>0</v>
      </c>
    </row>
    <row r="351" spans="1:7" hidden="1" x14ac:dyDescent="0.25">
      <c r="A351" s="85" t="s">
        <v>1627</v>
      </c>
      <c r="B351" s="81" t="s">
        <v>1609</v>
      </c>
      <c r="C351" s="14" t="s">
        <v>37</v>
      </c>
      <c r="D351" s="14"/>
      <c r="E351" s="15"/>
      <c r="F351" s="16">
        <f t="shared" si="26"/>
        <v>0</v>
      </c>
      <c r="G351">
        <f t="shared" si="24"/>
        <v>0</v>
      </c>
    </row>
    <row r="352" spans="1:7" hidden="1" x14ac:dyDescent="0.25">
      <c r="A352" s="85" t="s">
        <v>1628</v>
      </c>
      <c r="B352" s="81" t="s">
        <v>1608</v>
      </c>
      <c r="C352" s="14" t="s">
        <v>37</v>
      </c>
      <c r="D352" s="14"/>
      <c r="E352" s="15"/>
      <c r="F352" s="16">
        <f t="shared" si="26"/>
        <v>0</v>
      </c>
      <c r="G352">
        <f t="shared" si="24"/>
        <v>0</v>
      </c>
    </row>
    <row r="353" spans="1:7" hidden="1" x14ac:dyDescent="0.25">
      <c r="A353" s="110" t="s">
        <v>1652</v>
      </c>
      <c r="B353" s="109" t="s">
        <v>1637</v>
      </c>
      <c r="C353" s="14" t="s">
        <v>37</v>
      </c>
      <c r="D353" s="14"/>
      <c r="E353" s="15"/>
      <c r="F353" s="16">
        <f t="shared" si="26"/>
        <v>0</v>
      </c>
      <c r="G353">
        <f t="shared" si="24"/>
        <v>0</v>
      </c>
    </row>
    <row r="354" spans="1:7" hidden="1" x14ac:dyDescent="0.25">
      <c r="A354" s="78" t="s">
        <v>1651</v>
      </c>
      <c r="B354" s="80" t="s">
        <v>1617</v>
      </c>
      <c r="C354" s="14"/>
      <c r="D354" s="14"/>
      <c r="E354" s="15"/>
      <c r="F354" s="16"/>
      <c r="G354">
        <f t="shared" si="24"/>
        <v>0</v>
      </c>
    </row>
    <row r="355" spans="1:7" hidden="1" x14ac:dyDescent="0.25">
      <c r="A355" s="85" t="s">
        <v>1653</v>
      </c>
      <c r="B355" s="81" t="s">
        <v>1629</v>
      </c>
      <c r="C355" s="14" t="s">
        <v>37</v>
      </c>
      <c r="D355" s="14"/>
      <c r="E355" s="15"/>
      <c r="F355" s="16">
        <f t="shared" ref="F355:F362" si="27">+D355*E355</f>
        <v>0</v>
      </c>
      <c r="G355">
        <f t="shared" si="24"/>
        <v>0</v>
      </c>
    </row>
    <row r="356" spans="1:7" hidden="1" x14ac:dyDescent="0.25">
      <c r="A356" s="85" t="s">
        <v>1654</v>
      </c>
      <c r="B356" s="81" t="s">
        <v>1630</v>
      </c>
      <c r="C356" s="14" t="s">
        <v>37</v>
      </c>
      <c r="D356" s="14"/>
      <c r="E356" s="15"/>
      <c r="F356" s="16">
        <f t="shared" si="27"/>
        <v>0</v>
      </c>
      <c r="G356">
        <f t="shared" si="24"/>
        <v>0</v>
      </c>
    </row>
    <row r="357" spans="1:7" hidden="1" x14ac:dyDescent="0.25">
      <c r="A357" s="85" t="s">
        <v>1655</v>
      </c>
      <c r="B357" s="81" t="s">
        <v>1631</v>
      </c>
      <c r="C357" s="14" t="s">
        <v>37</v>
      </c>
      <c r="D357" s="14"/>
      <c r="E357" s="15"/>
      <c r="F357" s="16">
        <f t="shared" si="27"/>
        <v>0</v>
      </c>
      <c r="G357">
        <f t="shared" si="24"/>
        <v>0</v>
      </c>
    </row>
    <row r="358" spans="1:7" hidden="1" x14ac:dyDescent="0.25">
      <c r="A358" s="85" t="s">
        <v>1656</v>
      </c>
      <c r="B358" s="81" t="s">
        <v>1632</v>
      </c>
      <c r="C358" s="14" t="s">
        <v>37</v>
      </c>
      <c r="D358" s="14"/>
      <c r="E358" s="15"/>
      <c r="F358" s="16">
        <f t="shared" si="27"/>
        <v>0</v>
      </c>
      <c r="G358">
        <f t="shared" si="24"/>
        <v>0</v>
      </c>
    </row>
    <row r="359" spans="1:7" hidden="1" x14ac:dyDescent="0.25">
      <c r="A359" s="85" t="s">
        <v>1657</v>
      </c>
      <c r="B359" s="81" t="s">
        <v>1633</v>
      </c>
      <c r="C359" s="14" t="s">
        <v>37</v>
      </c>
      <c r="D359" s="14"/>
      <c r="E359" s="15"/>
      <c r="F359" s="16">
        <f t="shared" si="27"/>
        <v>0</v>
      </c>
      <c r="G359">
        <f t="shared" si="24"/>
        <v>0</v>
      </c>
    </row>
    <row r="360" spans="1:7" hidden="1" x14ac:dyDescent="0.25">
      <c r="A360" s="85" t="s">
        <v>1658</v>
      </c>
      <c r="B360" s="81" t="s">
        <v>1634</v>
      </c>
      <c r="C360" s="14" t="s">
        <v>37</v>
      </c>
      <c r="D360" s="14"/>
      <c r="E360" s="15"/>
      <c r="F360" s="16">
        <f t="shared" si="27"/>
        <v>0</v>
      </c>
      <c r="G360">
        <f t="shared" si="24"/>
        <v>0</v>
      </c>
    </row>
    <row r="361" spans="1:7" hidden="1" x14ac:dyDescent="0.25">
      <c r="A361" s="85" t="s">
        <v>1659</v>
      </c>
      <c r="B361" s="81" t="s">
        <v>1635</v>
      </c>
      <c r="C361" s="14" t="s">
        <v>37</v>
      </c>
      <c r="D361" s="14"/>
      <c r="E361" s="15"/>
      <c r="F361" s="16">
        <f t="shared" si="27"/>
        <v>0</v>
      </c>
      <c r="G361">
        <f t="shared" si="24"/>
        <v>0</v>
      </c>
    </row>
    <row r="362" spans="1:7" hidden="1" x14ac:dyDescent="0.25">
      <c r="A362" s="85" t="s">
        <v>1660</v>
      </c>
      <c r="B362" s="81" t="s">
        <v>1636</v>
      </c>
      <c r="C362" s="14" t="s">
        <v>37</v>
      </c>
      <c r="D362" s="14"/>
      <c r="E362" s="15"/>
      <c r="F362" s="16">
        <f t="shared" si="27"/>
        <v>0</v>
      </c>
      <c r="G362">
        <f t="shared" si="24"/>
        <v>0</v>
      </c>
    </row>
    <row r="363" spans="1:7" hidden="1" x14ac:dyDescent="0.25">
      <c r="A363" s="78" t="s">
        <v>1661</v>
      </c>
      <c r="B363" s="80" t="s">
        <v>1662</v>
      </c>
      <c r="C363" s="14"/>
      <c r="D363" s="14"/>
      <c r="E363" s="15"/>
      <c r="F363" s="16"/>
      <c r="G363">
        <f t="shared" si="24"/>
        <v>0</v>
      </c>
    </row>
    <row r="364" spans="1:7" hidden="1" x14ac:dyDescent="0.25">
      <c r="A364" s="85" t="s">
        <v>1663</v>
      </c>
      <c r="B364" s="81" t="s">
        <v>1664</v>
      </c>
      <c r="C364" s="14" t="s">
        <v>37</v>
      </c>
      <c r="D364" s="14"/>
      <c r="E364" s="15"/>
      <c r="F364" s="16">
        <f t="shared" ref="F364:F369" si="28">+D364*E364</f>
        <v>0</v>
      </c>
      <c r="G364">
        <f t="shared" si="24"/>
        <v>0</v>
      </c>
    </row>
    <row r="365" spans="1:7" hidden="1" x14ac:dyDescent="0.25">
      <c r="A365" s="85" t="s">
        <v>1670</v>
      </c>
      <c r="B365" s="81" t="s">
        <v>1665</v>
      </c>
      <c r="C365" s="14" t="s">
        <v>37</v>
      </c>
      <c r="D365" s="14"/>
      <c r="E365" s="15"/>
      <c r="F365" s="16">
        <f t="shared" si="28"/>
        <v>0</v>
      </c>
      <c r="G365">
        <f t="shared" si="24"/>
        <v>0</v>
      </c>
    </row>
    <row r="366" spans="1:7" hidden="1" x14ac:dyDescent="0.25">
      <c r="A366" s="85" t="s">
        <v>1671</v>
      </c>
      <c r="B366" s="81" t="s">
        <v>1666</v>
      </c>
      <c r="C366" s="14" t="s">
        <v>37</v>
      </c>
      <c r="D366" s="14"/>
      <c r="E366" s="15"/>
      <c r="F366" s="16">
        <f t="shared" si="28"/>
        <v>0</v>
      </c>
      <c r="G366">
        <f t="shared" si="24"/>
        <v>0</v>
      </c>
    </row>
    <row r="367" spans="1:7" hidden="1" x14ac:dyDescent="0.25">
      <c r="A367" s="85" t="s">
        <v>1672</v>
      </c>
      <c r="B367" s="81" t="s">
        <v>1667</v>
      </c>
      <c r="C367" s="14" t="s">
        <v>37</v>
      </c>
      <c r="D367" s="14"/>
      <c r="E367" s="15"/>
      <c r="F367" s="16">
        <f t="shared" si="28"/>
        <v>0</v>
      </c>
      <c r="G367">
        <f t="shared" si="24"/>
        <v>0</v>
      </c>
    </row>
    <row r="368" spans="1:7" hidden="1" x14ac:dyDescent="0.25">
      <c r="A368" s="85" t="s">
        <v>1673</v>
      </c>
      <c r="B368" s="81" t="s">
        <v>1668</v>
      </c>
      <c r="C368" s="14" t="s">
        <v>37</v>
      </c>
      <c r="D368" s="14"/>
      <c r="E368" s="15"/>
      <c r="F368" s="16">
        <f t="shared" si="28"/>
        <v>0</v>
      </c>
      <c r="G368">
        <f t="shared" si="24"/>
        <v>0</v>
      </c>
    </row>
    <row r="369" spans="1:7" hidden="1" x14ac:dyDescent="0.25">
      <c r="A369" s="85" t="s">
        <v>1674</v>
      </c>
      <c r="B369" s="81" t="s">
        <v>1669</v>
      </c>
      <c r="C369" s="14" t="s">
        <v>37</v>
      </c>
      <c r="D369" s="14"/>
      <c r="E369" s="15"/>
      <c r="F369" s="16">
        <f t="shared" si="28"/>
        <v>0</v>
      </c>
      <c r="G369">
        <f t="shared" si="24"/>
        <v>0</v>
      </c>
    </row>
    <row r="370" spans="1:7" hidden="1" x14ac:dyDescent="0.25">
      <c r="A370" s="61" t="s">
        <v>948</v>
      </c>
      <c r="B370" s="62" t="s">
        <v>949</v>
      </c>
      <c r="C370" s="63"/>
      <c r="D370" s="14"/>
      <c r="E370" s="15"/>
      <c r="F370" s="16"/>
      <c r="G370">
        <f t="shared" si="24"/>
        <v>0</v>
      </c>
    </row>
    <row r="371" spans="1:7" hidden="1" x14ac:dyDescent="0.25">
      <c r="A371" s="44" t="s">
        <v>950</v>
      </c>
      <c r="B371" s="80" t="s">
        <v>1715</v>
      </c>
      <c r="C371" s="14"/>
      <c r="D371" s="14"/>
      <c r="E371" s="15"/>
      <c r="F371" s="16"/>
      <c r="G371">
        <f t="shared" si="24"/>
        <v>0</v>
      </c>
    </row>
    <row r="372" spans="1:7" hidden="1" x14ac:dyDescent="0.25">
      <c r="A372" s="43" t="s">
        <v>1716</v>
      </c>
      <c r="B372" s="112" t="s">
        <v>1726</v>
      </c>
      <c r="C372" s="14" t="s">
        <v>14</v>
      </c>
      <c r="D372" s="14"/>
      <c r="E372" s="15"/>
      <c r="F372" s="16">
        <f t="shared" ref="F372:F391" si="29">+D372*E372</f>
        <v>0</v>
      </c>
      <c r="G372">
        <f t="shared" si="24"/>
        <v>0</v>
      </c>
    </row>
    <row r="373" spans="1:7" hidden="1" x14ac:dyDescent="0.25">
      <c r="A373" s="43" t="s">
        <v>1717</v>
      </c>
      <c r="B373" s="112" t="s">
        <v>1727</v>
      </c>
      <c r="C373" s="14" t="s">
        <v>14</v>
      </c>
      <c r="D373" s="14"/>
      <c r="E373" s="15"/>
      <c r="F373" s="16">
        <f t="shared" si="29"/>
        <v>0</v>
      </c>
      <c r="G373">
        <f t="shared" si="24"/>
        <v>0</v>
      </c>
    </row>
    <row r="374" spans="1:7" hidden="1" x14ac:dyDescent="0.25">
      <c r="A374" s="43" t="s">
        <v>951</v>
      </c>
      <c r="B374" s="112" t="s">
        <v>1728</v>
      </c>
      <c r="C374" s="14" t="s">
        <v>14</v>
      </c>
      <c r="D374" s="14"/>
      <c r="E374" s="15"/>
      <c r="F374" s="16">
        <f t="shared" si="29"/>
        <v>0</v>
      </c>
      <c r="G374">
        <f t="shared" si="24"/>
        <v>0</v>
      </c>
    </row>
    <row r="375" spans="1:7" hidden="1" x14ac:dyDescent="0.25">
      <c r="A375" s="43" t="s">
        <v>1718</v>
      </c>
      <c r="B375" s="81" t="s">
        <v>1729</v>
      </c>
      <c r="C375" s="14" t="s">
        <v>14</v>
      </c>
      <c r="D375" s="14"/>
      <c r="E375" s="15"/>
      <c r="F375" s="16">
        <f t="shared" si="29"/>
        <v>0</v>
      </c>
      <c r="G375">
        <f t="shared" si="24"/>
        <v>0</v>
      </c>
    </row>
    <row r="376" spans="1:7" hidden="1" x14ac:dyDescent="0.25">
      <c r="A376" s="43" t="s">
        <v>1719</v>
      </c>
      <c r="B376" s="81" t="s">
        <v>1730</v>
      </c>
      <c r="C376" s="14" t="s">
        <v>14</v>
      </c>
      <c r="D376" s="14"/>
      <c r="E376" s="15"/>
      <c r="F376" s="16">
        <f t="shared" si="29"/>
        <v>0</v>
      </c>
      <c r="G376">
        <f t="shared" si="24"/>
        <v>0</v>
      </c>
    </row>
    <row r="377" spans="1:7" hidden="1" x14ac:dyDescent="0.25">
      <c r="A377" s="43" t="s">
        <v>952</v>
      </c>
      <c r="B377" s="111" t="s">
        <v>1784</v>
      </c>
      <c r="C377" s="14" t="s">
        <v>14</v>
      </c>
      <c r="D377" s="14"/>
      <c r="E377" s="15"/>
      <c r="F377" s="16">
        <f t="shared" si="29"/>
        <v>0</v>
      </c>
      <c r="G377">
        <f t="shared" si="24"/>
        <v>0</v>
      </c>
    </row>
    <row r="378" spans="1:7" hidden="1" x14ac:dyDescent="0.25">
      <c r="A378" s="43" t="s">
        <v>1720</v>
      </c>
      <c r="B378" s="111" t="s">
        <v>1785</v>
      </c>
      <c r="C378" s="14" t="s">
        <v>14</v>
      </c>
      <c r="D378" s="14"/>
      <c r="E378" s="15"/>
      <c r="F378" s="16">
        <f t="shared" si="29"/>
        <v>0</v>
      </c>
      <c r="G378">
        <f t="shared" si="24"/>
        <v>0</v>
      </c>
    </row>
    <row r="379" spans="1:7" hidden="1" x14ac:dyDescent="0.25">
      <c r="A379" s="43" t="s">
        <v>1721</v>
      </c>
      <c r="B379" s="81" t="s">
        <v>1731</v>
      </c>
      <c r="C379" s="14" t="s">
        <v>14</v>
      </c>
      <c r="D379" s="14"/>
      <c r="E379" s="15"/>
      <c r="F379" s="16">
        <f t="shared" si="29"/>
        <v>0</v>
      </c>
      <c r="G379">
        <f t="shared" si="24"/>
        <v>0</v>
      </c>
    </row>
    <row r="380" spans="1:7" hidden="1" x14ac:dyDescent="0.25">
      <c r="A380" s="43" t="s">
        <v>1722</v>
      </c>
      <c r="B380" s="111" t="s">
        <v>1786</v>
      </c>
      <c r="C380" s="14" t="s">
        <v>14</v>
      </c>
      <c r="D380" s="14"/>
      <c r="E380" s="15"/>
      <c r="F380" s="16">
        <f t="shared" si="29"/>
        <v>0</v>
      </c>
      <c r="G380">
        <f t="shared" si="24"/>
        <v>0</v>
      </c>
    </row>
    <row r="381" spans="1:7" hidden="1" x14ac:dyDescent="0.25">
      <c r="A381" s="43" t="s">
        <v>1723</v>
      </c>
      <c r="B381" s="81" t="s">
        <v>1732</v>
      </c>
      <c r="C381" s="14" t="s">
        <v>14</v>
      </c>
      <c r="D381" s="14"/>
      <c r="E381" s="15"/>
      <c r="F381" s="16">
        <f t="shared" si="29"/>
        <v>0</v>
      </c>
      <c r="G381">
        <f t="shared" si="24"/>
        <v>0</v>
      </c>
    </row>
    <row r="382" spans="1:7" hidden="1" x14ac:dyDescent="0.25">
      <c r="A382" s="43" t="s">
        <v>1724</v>
      </c>
      <c r="B382" s="111" t="s">
        <v>1787</v>
      </c>
      <c r="C382" s="14" t="s">
        <v>14</v>
      </c>
      <c r="D382" s="14"/>
      <c r="E382" s="15"/>
      <c r="F382" s="16">
        <f t="shared" si="29"/>
        <v>0</v>
      </c>
      <c r="G382">
        <f t="shared" si="24"/>
        <v>0</v>
      </c>
    </row>
    <row r="383" spans="1:7" hidden="1" x14ac:dyDescent="0.25">
      <c r="A383" s="43" t="s">
        <v>1793</v>
      </c>
      <c r="B383" s="81" t="s">
        <v>1733</v>
      </c>
      <c r="C383" s="14" t="s">
        <v>14</v>
      </c>
      <c r="D383" s="14"/>
      <c r="E383" s="15"/>
      <c r="F383" s="16">
        <f t="shared" si="29"/>
        <v>0</v>
      </c>
      <c r="G383">
        <f t="shared" si="24"/>
        <v>0</v>
      </c>
    </row>
    <row r="384" spans="1:7" hidden="1" x14ac:dyDescent="0.25">
      <c r="A384" s="43" t="s">
        <v>1794</v>
      </c>
      <c r="B384" s="111" t="s">
        <v>1788</v>
      </c>
      <c r="C384" s="14" t="s">
        <v>14</v>
      </c>
      <c r="D384" s="14"/>
      <c r="E384" s="15"/>
      <c r="F384" s="16">
        <f t="shared" si="29"/>
        <v>0</v>
      </c>
      <c r="G384">
        <f t="shared" si="24"/>
        <v>0</v>
      </c>
    </row>
    <row r="385" spans="1:7" hidden="1" x14ac:dyDescent="0.25">
      <c r="A385" s="43" t="s">
        <v>1795</v>
      </c>
      <c r="B385" s="81" t="s">
        <v>1734</v>
      </c>
      <c r="C385" s="14" t="s">
        <v>14</v>
      </c>
      <c r="D385" s="14"/>
      <c r="E385" s="15"/>
      <c r="F385" s="16">
        <f t="shared" si="29"/>
        <v>0</v>
      </c>
      <c r="G385">
        <f t="shared" si="24"/>
        <v>0</v>
      </c>
    </row>
    <row r="386" spans="1:7" hidden="1" x14ac:dyDescent="0.25">
      <c r="A386" s="43" t="s">
        <v>1796</v>
      </c>
      <c r="B386" s="81" t="s">
        <v>1735</v>
      </c>
      <c r="C386" s="14" t="s">
        <v>14</v>
      </c>
      <c r="D386" s="14"/>
      <c r="E386" s="15"/>
      <c r="F386" s="16">
        <f t="shared" si="29"/>
        <v>0</v>
      </c>
      <c r="G386">
        <f t="shared" si="24"/>
        <v>0</v>
      </c>
    </row>
    <row r="387" spans="1:7" hidden="1" x14ac:dyDescent="0.25">
      <c r="A387" s="43" t="s">
        <v>1797</v>
      </c>
      <c r="B387" s="81" t="s">
        <v>1736</v>
      </c>
      <c r="C387" s="14" t="s">
        <v>14</v>
      </c>
      <c r="D387" s="14"/>
      <c r="E387" s="15"/>
      <c r="F387" s="16">
        <f t="shared" si="29"/>
        <v>0</v>
      </c>
      <c r="G387">
        <f t="shared" si="24"/>
        <v>0</v>
      </c>
    </row>
    <row r="388" spans="1:7" hidden="1" x14ac:dyDescent="0.25">
      <c r="A388" s="43" t="s">
        <v>1798</v>
      </c>
      <c r="B388" s="111" t="s">
        <v>1789</v>
      </c>
      <c r="C388" s="14" t="s">
        <v>14</v>
      </c>
      <c r="D388" s="14"/>
      <c r="E388" s="15"/>
      <c r="F388" s="16">
        <f t="shared" si="29"/>
        <v>0</v>
      </c>
      <c r="G388">
        <f t="shared" si="24"/>
        <v>0</v>
      </c>
    </row>
    <row r="389" spans="1:7" hidden="1" x14ac:dyDescent="0.25">
      <c r="A389" s="43" t="s">
        <v>1799</v>
      </c>
      <c r="B389" s="111" t="s">
        <v>1790</v>
      </c>
      <c r="C389" s="14" t="s">
        <v>14</v>
      </c>
      <c r="D389" s="14"/>
      <c r="E389" s="15"/>
      <c r="F389" s="16">
        <f t="shared" si="29"/>
        <v>0</v>
      </c>
      <c r="G389">
        <f t="shared" si="24"/>
        <v>0</v>
      </c>
    </row>
    <row r="390" spans="1:7" hidden="1" x14ac:dyDescent="0.25">
      <c r="A390" s="43" t="s">
        <v>1800</v>
      </c>
      <c r="B390" s="111" t="s">
        <v>1791</v>
      </c>
      <c r="C390" s="14" t="s">
        <v>14</v>
      </c>
      <c r="D390" s="14"/>
      <c r="E390" s="15"/>
      <c r="F390" s="16">
        <f t="shared" si="29"/>
        <v>0</v>
      </c>
      <c r="G390">
        <f t="shared" si="24"/>
        <v>0</v>
      </c>
    </row>
    <row r="391" spans="1:7" hidden="1" x14ac:dyDescent="0.25">
      <c r="A391" s="43" t="s">
        <v>1801</v>
      </c>
      <c r="B391" s="111" t="s">
        <v>1792</v>
      </c>
      <c r="C391" s="14" t="s">
        <v>14</v>
      </c>
      <c r="D391" s="14"/>
      <c r="E391" s="15"/>
      <c r="F391" s="16">
        <f t="shared" si="29"/>
        <v>0</v>
      </c>
      <c r="G391">
        <f t="shared" si="24"/>
        <v>0</v>
      </c>
    </row>
    <row r="392" spans="1:7" hidden="1" x14ac:dyDescent="0.25">
      <c r="A392" s="44" t="s">
        <v>1748</v>
      </c>
      <c r="B392" s="80" t="s">
        <v>1725</v>
      </c>
      <c r="C392" s="14"/>
      <c r="D392" s="14"/>
      <c r="E392" s="15"/>
      <c r="F392" s="16"/>
      <c r="G392">
        <f t="shared" si="24"/>
        <v>0</v>
      </c>
    </row>
    <row r="393" spans="1:7" hidden="1" x14ac:dyDescent="0.25">
      <c r="A393" s="43" t="s">
        <v>1749</v>
      </c>
      <c r="B393" s="112" t="s">
        <v>1737</v>
      </c>
      <c r="C393" s="14" t="s">
        <v>14</v>
      </c>
      <c r="D393" s="14"/>
      <c r="E393" s="15"/>
      <c r="F393" s="16">
        <f t="shared" ref="F393:F457" si="30">+D393*E393</f>
        <v>0</v>
      </c>
      <c r="G393">
        <f t="shared" ref="G393:G456" si="31">+IF(F393&lt;&gt;0,1,0)</f>
        <v>0</v>
      </c>
    </row>
    <row r="394" spans="1:7" hidden="1" x14ac:dyDescent="0.25">
      <c r="A394" s="43" t="s">
        <v>1750</v>
      </c>
      <c r="B394" s="112" t="s">
        <v>1738</v>
      </c>
      <c r="C394" s="14" t="s">
        <v>14</v>
      </c>
      <c r="D394" s="14"/>
      <c r="E394" s="15"/>
      <c r="F394" s="16">
        <f t="shared" si="30"/>
        <v>0</v>
      </c>
      <c r="G394">
        <f t="shared" si="31"/>
        <v>0</v>
      </c>
    </row>
    <row r="395" spans="1:7" hidden="1" x14ac:dyDescent="0.25">
      <c r="A395" s="43" t="s">
        <v>1751</v>
      </c>
      <c r="B395" s="112" t="s">
        <v>1739</v>
      </c>
      <c r="C395" s="14" t="s">
        <v>14</v>
      </c>
      <c r="D395" s="14"/>
      <c r="E395" s="15"/>
      <c r="F395" s="16">
        <f t="shared" si="30"/>
        <v>0</v>
      </c>
      <c r="G395">
        <f t="shared" si="31"/>
        <v>0</v>
      </c>
    </row>
    <row r="396" spans="1:7" hidden="1" x14ac:dyDescent="0.25">
      <c r="A396" s="43" t="s">
        <v>1752</v>
      </c>
      <c r="B396" s="81" t="s">
        <v>1740</v>
      </c>
      <c r="C396" s="14" t="s">
        <v>14</v>
      </c>
      <c r="D396" s="14"/>
      <c r="E396" s="15"/>
      <c r="F396" s="16">
        <f t="shared" si="30"/>
        <v>0</v>
      </c>
      <c r="G396">
        <f t="shared" si="31"/>
        <v>0</v>
      </c>
    </row>
    <row r="397" spans="1:7" hidden="1" x14ac:dyDescent="0.25">
      <c r="A397" s="43" t="s">
        <v>1753</v>
      </c>
      <c r="B397" s="81" t="s">
        <v>1741</v>
      </c>
      <c r="C397" s="14" t="s">
        <v>14</v>
      </c>
      <c r="D397" s="14"/>
      <c r="E397" s="15"/>
      <c r="F397" s="16">
        <f t="shared" si="30"/>
        <v>0</v>
      </c>
      <c r="G397">
        <f t="shared" si="31"/>
        <v>0</v>
      </c>
    </row>
    <row r="398" spans="1:7" hidden="1" x14ac:dyDescent="0.25">
      <c r="A398" s="43" t="s">
        <v>1754</v>
      </c>
      <c r="B398" s="111" t="s">
        <v>1802</v>
      </c>
      <c r="C398" s="14" t="s">
        <v>14</v>
      </c>
      <c r="D398" s="14"/>
      <c r="E398" s="15"/>
      <c r="F398" s="16">
        <f t="shared" si="30"/>
        <v>0</v>
      </c>
      <c r="G398">
        <f t="shared" si="31"/>
        <v>0</v>
      </c>
    </row>
    <row r="399" spans="1:7" hidden="1" x14ac:dyDescent="0.25">
      <c r="A399" s="43" t="s">
        <v>1755</v>
      </c>
      <c r="B399" s="111" t="s">
        <v>1803</v>
      </c>
      <c r="C399" s="14" t="s">
        <v>14</v>
      </c>
      <c r="D399" s="14"/>
      <c r="E399" s="15"/>
      <c r="F399" s="16">
        <f t="shared" si="30"/>
        <v>0</v>
      </c>
      <c r="G399">
        <f t="shared" si="31"/>
        <v>0</v>
      </c>
    </row>
    <row r="400" spans="1:7" hidden="1" x14ac:dyDescent="0.25">
      <c r="A400" s="43" t="s">
        <v>1756</v>
      </c>
      <c r="B400" s="81" t="s">
        <v>1742</v>
      </c>
      <c r="C400" s="14" t="s">
        <v>14</v>
      </c>
      <c r="D400" s="14"/>
      <c r="E400" s="15"/>
      <c r="F400" s="16">
        <f t="shared" si="30"/>
        <v>0</v>
      </c>
      <c r="G400">
        <f t="shared" si="31"/>
        <v>0</v>
      </c>
    </row>
    <row r="401" spans="1:7" hidden="1" x14ac:dyDescent="0.25">
      <c r="A401" s="43" t="s">
        <v>1757</v>
      </c>
      <c r="B401" s="111" t="s">
        <v>1804</v>
      </c>
      <c r="C401" s="14" t="s">
        <v>14</v>
      </c>
      <c r="D401" s="14"/>
      <c r="E401" s="15"/>
      <c r="F401" s="16">
        <f t="shared" si="30"/>
        <v>0</v>
      </c>
      <c r="G401">
        <f t="shared" si="31"/>
        <v>0</v>
      </c>
    </row>
    <row r="402" spans="1:7" hidden="1" x14ac:dyDescent="0.25">
      <c r="A402" s="43" t="s">
        <v>1758</v>
      </c>
      <c r="B402" s="81" t="s">
        <v>1743</v>
      </c>
      <c r="C402" s="14" t="s">
        <v>14</v>
      </c>
      <c r="D402" s="14"/>
      <c r="E402" s="15"/>
      <c r="F402" s="16">
        <f t="shared" si="30"/>
        <v>0</v>
      </c>
      <c r="G402">
        <f t="shared" si="31"/>
        <v>0</v>
      </c>
    </row>
    <row r="403" spans="1:7" hidden="1" x14ac:dyDescent="0.25">
      <c r="A403" s="43" t="s">
        <v>1759</v>
      </c>
      <c r="B403" s="111" t="s">
        <v>1805</v>
      </c>
      <c r="C403" s="14" t="s">
        <v>14</v>
      </c>
      <c r="D403" s="14"/>
      <c r="E403" s="15"/>
      <c r="F403" s="16">
        <f t="shared" si="30"/>
        <v>0</v>
      </c>
      <c r="G403">
        <f t="shared" si="31"/>
        <v>0</v>
      </c>
    </row>
    <row r="404" spans="1:7" hidden="1" x14ac:dyDescent="0.25">
      <c r="A404" s="43" t="s">
        <v>1831</v>
      </c>
      <c r="B404" s="81" t="s">
        <v>1744</v>
      </c>
      <c r="C404" s="14" t="s">
        <v>14</v>
      </c>
      <c r="D404" s="14"/>
      <c r="E404" s="15"/>
      <c r="F404" s="16">
        <f t="shared" si="30"/>
        <v>0</v>
      </c>
      <c r="G404">
        <f t="shared" si="31"/>
        <v>0</v>
      </c>
    </row>
    <row r="405" spans="1:7" hidden="1" x14ac:dyDescent="0.25">
      <c r="A405" s="43" t="s">
        <v>1832</v>
      </c>
      <c r="B405" s="111" t="s">
        <v>1818</v>
      </c>
      <c r="C405" s="14" t="s">
        <v>14</v>
      </c>
      <c r="D405" s="14"/>
      <c r="E405" s="15"/>
      <c r="F405" s="16">
        <f t="shared" si="30"/>
        <v>0</v>
      </c>
      <c r="G405">
        <f t="shared" si="31"/>
        <v>0</v>
      </c>
    </row>
    <row r="406" spans="1:7" hidden="1" x14ac:dyDescent="0.25">
      <c r="A406" s="43" t="s">
        <v>1833</v>
      </c>
      <c r="B406" s="81" t="s">
        <v>1745</v>
      </c>
      <c r="C406" s="14" t="s">
        <v>14</v>
      </c>
      <c r="D406" s="14"/>
      <c r="E406" s="15"/>
      <c r="F406" s="16">
        <f t="shared" si="30"/>
        <v>0</v>
      </c>
      <c r="G406">
        <f t="shared" si="31"/>
        <v>0</v>
      </c>
    </row>
    <row r="407" spans="1:7" hidden="1" x14ac:dyDescent="0.25">
      <c r="A407" s="43" t="s">
        <v>1834</v>
      </c>
      <c r="B407" s="81" t="s">
        <v>1746</v>
      </c>
      <c r="C407" s="14" t="s">
        <v>14</v>
      </c>
      <c r="D407" s="14"/>
      <c r="E407" s="15"/>
      <c r="F407" s="16">
        <f t="shared" si="30"/>
        <v>0</v>
      </c>
      <c r="G407">
        <f t="shared" si="31"/>
        <v>0</v>
      </c>
    </row>
    <row r="408" spans="1:7" hidden="1" x14ac:dyDescent="0.25">
      <c r="A408" s="43" t="s">
        <v>1835</v>
      </c>
      <c r="B408" s="81" t="s">
        <v>1747</v>
      </c>
      <c r="C408" s="14" t="s">
        <v>14</v>
      </c>
      <c r="D408" s="14"/>
      <c r="E408" s="15"/>
      <c r="F408" s="16">
        <f t="shared" si="30"/>
        <v>0</v>
      </c>
      <c r="G408">
        <f t="shared" si="31"/>
        <v>0</v>
      </c>
    </row>
    <row r="409" spans="1:7" hidden="1" x14ac:dyDescent="0.25">
      <c r="A409" s="43" t="s">
        <v>1836</v>
      </c>
      <c r="B409" s="111" t="s">
        <v>1806</v>
      </c>
      <c r="C409" s="14" t="s">
        <v>14</v>
      </c>
      <c r="D409" s="14"/>
      <c r="E409" s="15"/>
      <c r="F409" s="16">
        <f t="shared" si="30"/>
        <v>0</v>
      </c>
      <c r="G409">
        <f t="shared" si="31"/>
        <v>0</v>
      </c>
    </row>
    <row r="410" spans="1:7" hidden="1" x14ac:dyDescent="0.25">
      <c r="A410" s="43" t="s">
        <v>1837</v>
      </c>
      <c r="B410" s="111" t="s">
        <v>1807</v>
      </c>
      <c r="C410" s="14" t="s">
        <v>14</v>
      </c>
      <c r="D410" s="14"/>
      <c r="E410" s="15"/>
      <c r="F410" s="16">
        <f t="shared" si="30"/>
        <v>0</v>
      </c>
      <c r="G410">
        <f t="shared" si="31"/>
        <v>0</v>
      </c>
    </row>
    <row r="411" spans="1:7" hidden="1" x14ac:dyDescent="0.25">
      <c r="A411" s="43" t="s">
        <v>1838</v>
      </c>
      <c r="B411" s="111" t="s">
        <v>1808</v>
      </c>
      <c r="C411" s="14" t="s">
        <v>14</v>
      </c>
      <c r="D411" s="14"/>
      <c r="E411" s="15"/>
      <c r="F411" s="16">
        <f t="shared" si="30"/>
        <v>0</v>
      </c>
      <c r="G411">
        <f t="shared" si="31"/>
        <v>0</v>
      </c>
    </row>
    <row r="412" spans="1:7" hidden="1" x14ac:dyDescent="0.25">
      <c r="A412" s="43" t="s">
        <v>1839</v>
      </c>
      <c r="B412" s="111" t="s">
        <v>1809</v>
      </c>
      <c r="C412" s="14" t="s">
        <v>14</v>
      </c>
      <c r="D412" s="14"/>
      <c r="E412" s="15"/>
      <c r="F412" s="16">
        <f t="shared" si="30"/>
        <v>0</v>
      </c>
      <c r="G412">
        <f t="shared" si="31"/>
        <v>0</v>
      </c>
    </row>
    <row r="413" spans="1:7" hidden="1" x14ac:dyDescent="0.25">
      <c r="A413" s="44" t="s">
        <v>1760</v>
      </c>
      <c r="B413" s="80" t="s">
        <v>1783</v>
      </c>
      <c r="C413" s="14"/>
      <c r="D413" s="14"/>
      <c r="E413" s="15"/>
      <c r="F413" s="16"/>
      <c r="G413">
        <f t="shared" si="31"/>
        <v>0</v>
      </c>
    </row>
    <row r="414" spans="1:7" hidden="1" x14ac:dyDescent="0.25">
      <c r="A414" s="43" t="s">
        <v>1761</v>
      </c>
      <c r="B414" s="111" t="s">
        <v>1816</v>
      </c>
      <c r="C414" s="14" t="s">
        <v>14</v>
      </c>
      <c r="D414" s="14"/>
      <c r="E414" s="15"/>
      <c r="F414" s="16">
        <f t="shared" si="30"/>
        <v>0</v>
      </c>
      <c r="G414">
        <f t="shared" si="31"/>
        <v>0</v>
      </c>
    </row>
    <row r="415" spans="1:7" hidden="1" x14ac:dyDescent="0.25">
      <c r="A415" s="43" t="s">
        <v>1773</v>
      </c>
      <c r="B415" s="81" t="s">
        <v>1762</v>
      </c>
      <c r="C415" s="14" t="s">
        <v>14</v>
      </c>
      <c r="D415" s="14"/>
      <c r="E415" s="15"/>
      <c r="F415" s="16">
        <f t="shared" si="30"/>
        <v>0</v>
      </c>
      <c r="G415">
        <f t="shared" si="31"/>
        <v>0</v>
      </c>
    </row>
    <row r="416" spans="1:7" hidden="1" x14ac:dyDescent="0.25">
      <c r="A416" s="43" t="s">
        <v>1774</v>
      </c>
      <c r="B416" s="81" t="s">
        <v>1763</v>
      </c>
      <c r="C416" s="14" t="s">
        <v>14</v>
      </c>
      <c r="D416" s="14"/>
      <c r="E416" s="15"/>
      <c r="F416" s="16">
        <f t="shared" si="30"/>
        <v>0</v>
      </c>
      <c r="G416">
        <f t="shared" si="31"/>
        <v>0</v>
      </c>
    </row>
    <row r="417" spans="1:7" hidden="1" x14ac:dyDescent="0.25">
      <c r="A417" s="43" t="s">
        <v>1775</v>
      </c>
      <c r="B417" s="81" t="s">
        <v>1764</v>
      </c>
      <c r="C417" s="14" t="s">
        <v>14</v>
      </c>
      <c r="D417" s="14"/>
      <c r="E417" s="15"/>
      <c r="F417" s="16">
        <f t="shared" si="30"/>
        <v>0</v>
      </c>
      <c r="G417">
        <f t="shared" si="31"/>
        <v>0</v>
      </c>
    </row>
    <row r="418" spans="1:7" hidden="1" x14ac:dyDescent="0.25">
      <c r="A418" s="43" t="s">
        <v>1776</v>
      </c>
      <c r="B418" s="81" t="s">
        <v>1765</v>
      </c>
      <c r="C418" s="14" t="s">
        <v>14</v>
      </c>
      <c r="D418" s="14"/>
      <c r="E418" s="15"/>
      <c r="F418" s="16">
        <f t="shared" si="30"/>
        <v>0</v>
      </c>
      <c r="G418">
        <f t="shared" si="31"/>
        <v>0</v>
      </c>
    </row>
    <row r="419" spans="1:7" hidden="1" x14ac:dyDescent="0.25">
      <c r="A419" s="43" t="s">
        <v>1777</v>
      </c>
      <c r="B419" s="81" t="s">
        <v>1766</v>
      </c>
      <c r="C419" s="14" t="s">
        <v>14</v>
      </c>
      <c r="D419" s="14"/>
      <c r="E419" s="15"/>
      <c r="F419" s="16">
        <f t="shared" si="30"/>
        <v>0</v>
      </c>
      <c r="G419">
        <f t="shared" si="31"/>
        <v>0</v>
      </c>
    </row>
    <row r="420" spans="1:7" hidden="1" x14ac:dyDescent="0.25">
      <c r="A420" s="43" t="s">
        <v>1778</v>
      </c>
      <c r="B420" s="111" t="s">
        <v>1814</v>
      </c>
      <c r="C420" s="14" t="s">
        <v>14</v>
      </c>
      <c r="D420" s="14"/>
      <c r="E420" s="15"/>
      <c r="F420" s="16">
        <f t="shared" si="30"/>
        <v>0</v>
      </c>
      <c r="G420">
        <f t="shared" si="31"/>
        <v>0</v>
      </c>
    </row>
    <row r="421" spans="1:7" hidden="1" x14ac:dyDescent="0.25">
      <c r="A421" s="43" t="s">
        <v>1779</v>
      </c>
      <c r="B421" s="111" t="s">
        <v>1815</v>
      </c>
      <c r="C421" s="14" t="s">
        <v>14</v>
      </c>
      <c r="D421" s="14"/>
      <c r="E421" s="15"/>
      <c r="F421" s="16">
        <f t="shared" si="30"/>
        <v>0</v>
      </c>
      <c r="G421">
        <f t="shared" si="31"/>
        <v>0</v>
      </c>
    </row>
    <row r="422" spans="1:7" hidden="1" x14ac:dyDescent="0.25">
      <c r="A422" s="43" t="s">
        <v>1780</v>
      </c>
      <c r="B422" s="81" t="s">
        <v>1767</v>
      </c>
      <c r="C422" s="14" t="s">
        <v>14</v>
      </c>
      <c r="D422" s="14"/>
      <c r="E422" s="15"/>
      <c r="F422" s="16">
        <f t="shared" si="30"/>
        <v>0</v>
      </c>
      <c r="G422">
        <f t="shared" si="31"/>
        <v>0</v>
      </c>
    </row>
    <row r="423" spans="1:7" hidden="1" x14ac:dyDescent="0.25">
      <c r="A423" s="43" t="s">
        <v>1781</v>
      </c>
      <c r="B423" s="111" t="s">
        <v>1817</v>
      </c>
      <c r="C423" s="14" t="s">
        <v>14</v>
      </c>
      <c r="D423" s="14"/>
      <c r="E423" s="15"/>
      <c r="F423" s="16">
        <f t="shared" si="30"/>
        <v>0</v>
      </c>
      <c r="G423">
        <f t="shared" si="31"/>
        <v>0</v>
      </c>
    </row>
    <row r="424" spans="1:7" hidden="1" x14ac:dyDescent="0.25">
      <c r="A424" s="43" t="s">
        <v>1782</v>
      </c>
      <c r="B424" s="81" t="s">
        <v>1768</v>
      </c>
      <c r="C424" s="14" t="s">
        <v>14</v>
      </c>
      <c r="D424" s="14"/>
      <c r="E424" s="15"/>
      <c r="F424" s="16">
        <f t="shared" si="30"/>
        <v>0</v>
      </c>
      <c r="G424">
        <f t="shared" si="31"/>
        <v>0</v>
      </c>
    </row>
    <row r="425" spans="1:7" hidden="1" x14ac:dyDescent="0.25">
      <c r="A425" s="43" t="s">
        <v>1821</v>
      </c>
      <c r="B425" s="111" t="s">
        <v>1820</v>
      </c>
      <c r="C425" s="14" t="s">
        <v>14</v>
      </c>
      <c r="D425" s="14"/>
      <c r="E425" s="15"/>
      <c r="F425" s="16">
        <f t="shared" si="30"/>
        <v>0</v>
      </c>
      <c r="G425">
        <f t="shared" si="31"/>
        <v>0</v>
      </c>
    </row>
    <row r="426" spans="1:7" hidden="1" x14ac:dyDescent="0.25">
      <c r="A426" s="43" t="s">
        <v>1822</v>
      </c>
      <c r="B426" s="81" t="s">
        <v>1769</v>
      </c>
      <c r="C426" s="14" t="s">
        <v>14</v>
      </c>
      <c r="D426" s="14"/>
      <c r="E426" s="15"/>
      <c r="F426" s="16">
        <f t="shared" si="30"/>
        <v>0</v>
      </c>
      <c r="G426">
        <f t="shared" si="31"/>
        <v>0</v>
      </c>
    </row>
    <row r="427" spans="1:7" hidden="1" x14ac:dyDescent="0.25">
      <c r="A427" s="43" t="s">
        <v>1823</v>
      </c>
      <c r="B427" s="111" t="s">
        <v>1819</v>
      </c>
      <c r="C427" s="14" t="s">
        <v>14</v>
      </c>
      <c r="D427" s="14"/>
      <c r="E427" s="15"/>
      <c r="F427" s="16">
        <f t="shared" si="30"/>
        <v>0</v>
      </c>
      <c r="G427">
        <f t="shared" si="31"/>
        <v>0</v>
      </c>
    </row>
    <row r="428" spans="1:7" hidden="1" x14ac:dyDescent="0.25">
      <c r="A428" s="43" t="s">
        <v>1824</v>
      </c>
      <c r="B428" s="81" t="s">
        <v>1770</v>
      </c>
      <c r="C428" s="14" t="s">
        <v>14</v>
      </c>
      <c r="D428" s="14"/>
      <c r="E428" s="15"/>
      <c r="F428" s="16">
        <f t="shared" si="30"/>
        <v>0</v>
      </c>
      <c r="G428">
        <f t="shared" si="31"/>
        <v>0</v>
      </c>
    </row>
    <row r="429" spans="1:7" hidden="1" x14ac:dyDescent="0.25">
      <c r="A429" s="43" t="s">
        <v>1825</v>
      </c>
      <c r="B429" s="81" t="s">
        <v>1771</v>
      </c>
      <c r="C429" s="14" t="s">
        <v>14</v>
      </c>
      <c r="D429" s="14"/>
      <c r="E429" s="15"/>
      <c r="F429" s="16">
        <f t="shared" si="30"/>
        <v>0</v>
      </c>
      <c r="G429">
        <f t="shared" si="31"/>
        <v>0</v>
      </c>
    </row>
    <row r="430" spans="1:7" hidden="1" x14ac:dyDescent="0.25">
      <c r="A430" s="43" t="s">
        <v>1826</v>
      </c>
      <c r="B430" s="81" t="s">
        <v>1772</v>
      </c>
      <c r="C430" s="14" t="s">
        <v>14</v>
      </c>
      <c r="D430" s="14"/>
      <c r="E430" s="15"/>
      <c r="F430" s="16">
        <f t="shared" si="30"/>
        <v>0</v>
      </c>
      <c r="G430">
        <f t="shared" si="31"/>
        <v>0</v>
      </c>
    </row>
    <row r="431" spans="1:7" hidden="1" x14ac:dyDescent="0.25">
      <c r="A431" s="43" t="s">
        <v>1827</v>
      </c>
      <c r="B431" s="111" t="s">
        <v>1810</v>
      </c>
      <c r="C431" s="14" t="s">
        <v>14</v>
      </c>
      <c r="D431" s="14"/>
      <c r="E431" s="15"/>
      <c r="F431" s="16">
        <f t="shared" si="30"/>
        <v>0</v>
      </c>
      <c r="G431">
        <f t="shared" si="31"/>
        <v>0</v>
      </c>
    </row>
    <row r="432" spans="1:7" hidden="1" x14ac:dyDescent="0.25">
      <c r="A432" s="43" t="s">
        <v>1828</v>
      </c>
      <c r="B432" s="111" t="s">
        <v>1811</v>
      </c>
      <c r="C432" s="14" t="s">
        <v>14</v>
      </c>
      <c r="D432" s="14"/>
      <c r="E432" s="15"/>
      <c r="F432" s="16">
        <f t="shared" si="30"/>
        <v>0</v>
      </c>
      <c r="G432">
        <f t="shared" si="31"/>
        <v>0</v>
      </c>
    </row>
    <row r="433" spans="1:7" hidden="1" x14ac:dyDescent="0.25">
      <c r="A433" s="43" t="s">
        <v>1829</v>
      </c>
      <c r="B433" s="111" t="s">
        <v>1812</v>
      </c>
      <c r="C433" s="14" t="s">
        <v>14</v>
      </c>
      <c r="D433" s="14"/>
      <c r="E433" s="15"/>
      <c r="F433" s="16">
        <f t="shared" si="30"/>
        <v>0</v>
      </c>
      <c r="G433">
        <f t="shared" si="31"/>
        <v>0</v>
      </c>
    </row>
    <row r="434" spans="1:7" hidden="1" x14ac:dyDescent="0.25">
      <c r="A434" s="43" t="s">
        <v>1830</v>
      </c>
      <c r="B434" s="111" t="s">
        <v>1813</v>
      </c>
      <c r="C434" s="14" t="s">
        <v>14</v>
      </c>
      <c r="D434" s="14"/>
      <c r="E434" s="15"/>
      <c r="F434" s="16">
        <f t="shared" si="30"/>
        <v>0</v>
      </c>
      <c r="G434">
        <f t="shared" si="31"/>
        <v>0</v>
      </c>
    </row>
    <row r="435" spans="1:7" hidden="1" x14ac:dyDescent="0.25">
      <c r="A435" s="44" t="s">
        <v>1840</v>
      </c>
      <c r="B435" s="80" t="s">
        <v>1841</v>
      </c>
      <c r="C435" s="14"/>
      <c r="D435" s="14"/>
      <c r="E435" s="15"/>
      <c r="F435" s="16"/>
      <c r="G435">
        <f t="shared" si="31"/>
        <v>0</v>
      </c>
    </row>
    <row r="436" spans="1:7" hidden="1" x14ac:dyDescent="0.25">
      <c r="A436" s="43" t="s">
        <v>1862</v>
      </c>
      <c r="B436" s="81" t="s">
        <v>1842</v>
      </c>
      <c r="C436" s="14" t="s">
        <v>14</v>
      </c>
      <c r="D436" s="14"/>
      <c r="E436" s="15"/>
      <c r="F436" s="16">
        <f t="shared" si="30"/>
        <v>0</v>
      </c>
      <c r="G436">
        <f t="shared" si="31"/>
        <v>0</v>
      </c>
    </row>
    <row r="437" spans="1:7" hidden="1" x14ac:dyDescent="0.25">
      <c r="A437" s="43" t="s">
        <v>1863</v>
      </c>
      <c r="B437" s="81" t="s">
        <v>1843</v>
      </c>
      <c r="C437" s="14" t="s">
        <v>14</v>
      </c>
      <c r="D437" s="14"/>
      <c r="E437" s="15"/>
      <c r="F437" s="16">
        <f t="shared" si="30"/>
        <v>0</v>
      </c>
      <c r="G437">
        <f t="shared" si="31"/>
        <v>0</v>
      </c>
    </row>
    <row r="438" spans="1:7" hidden="1" x14ac:dyDescent="0.25">
      <c r="A438" s="43" t="s">
        <v>1864</v>
      </c>
      <c r="B438" s="81" t="s">
        <v>1844</v>
      </c>
      <c r="C438" s="14" t="s">
        <v>14</v>
      </c>
      <c r="D438" s="14"/>
      <c r="E438" s="15"/>
      <c r="F438" s="16">
        <f t="shared" si="30"/>
        <v>0</v>
      </c>
      <c r="G438">
        <f t="shared" si="31"/>
        <v>0</v>
      </c>
    </row>
    <row r="439" spans="1:7" hidden="1" x14ac:dyDescent="0.25">
      <c r="A439" s="43" t="s">
        <v>1865</v>
      </c>
      <c r="B439" s="81" t="s">
        <v>1845</v>
      </c>
      <c r="C439" s="14" t="s">
        <v>14</v>
      </c>
      <c r="D439" s="14"/>
      <c r="E439" s="15"/>
      <c r="F439" s="16">
        <f t="shared" si="30"/>
        <v>0</v>
      </c>
      <c r="G439">
        <f t="shared" si="31"/>
        <v>0</v>
      </c>
    </row>
    <row r="440" spans="1:7" hidden="1" x14ac:dyDescent="0.25">
      <c r="A440" s="43" t="s">
        <v>1866</v>
      </c>
      <c r="B440" s="81" t="s">
        <v>1846</v>
      </c>
      <c r="C440" s="14" t="s">
        <v>14</v>
      </c>
      <c r="D440" s="14"/>
      <c r="E440" s="15"/>
      <c r="F440" s="16">
        <f t="shared" si="30"/>
        <v>0</v>
      </c>
      <c r="G440">
        <f t="shared" si="31"/>
        <v>0</v>
      </c>
    </row>
    <row r="441" spans="1:7" hidden="1" x14ac:dyDescent="0.25">
      <c r="A441" s="43" t="s">
        <v>1867</v>
      </c>
      <c r="B441" s="111" t="s">
        <v>1847</v>
      </c>
      <c r="C441" s="14" t="s">
        <v>14</v>
      </c>
      <c r="D441" s="14"/>
      <c r="E441" s="15"/>
      <c r="F441" s="16">
        <f t="shared" si="30"/>
        <v>0</v>
      </c>
      <c r="G441">
        <f t="shared" si="31"/>
        <v>0</v>
      </c>
    </row>
    <row r="442" spans="1:7" hidden="1" x14ac:dyDescent="0.25">
      <c r="A442" s="43" t="s">
        <v>1868</v>
      </c>
      <c r="B442" s="111" t="s">
        <v>1848</v>
      </c>
      <c r="C442" s="14" t="s">
        <v>14</v>
      </c>
      <c r="D442" s="14"/>
      <c r="E442" s="15"/>
      <c r="F442" s="16">
        <f t="shared" si="30"/>
        <v>0</v>
      </c>
      <c r="G442">
        <f t="shared" si="31"/>
        <v>0</v>
      </c>
    </row>
    <row r="443" spans="1:7" hidden="1" x14ac:dyDescent="0.25">
      <c r="A443" s="43" t="s">
        <v>1869</v>
      </c>
      <c r="B443" s="81" t="s">
        <v>1849</v>
      </c>
      <c r="C443" s="14" t="s">
        <v>14</v>
      </c>
      <c r="D443" s="14"/>
      <c r="E443" s="15"/>
      <c r="F443" s="16">
        <f t="shared" si="30"/>
        <v>0</v>
      </c>
      <c r="G443">
        <f t="shared" si="31"/>
        <v>0</v>
      </c>
    </row>
    <row r="444" spans="1:7" hidden="1" x14ac:dyDescent="0.25">
      <c r="A444" s="43" t="s">
        <v>1870</v>
      </c>
      <c r="B444" s="111" t="s">
        <v>1850</v>
      </c>
      <c r="C444" s="14" t="s">
        <v>14</v>
      </c>
      <c r="D444" s="14"/>
      <c r="E444" s="15"/>
      <c r="F444" s="16">
        <f t="shared" si="30"/>
        <v>0</v>
      </c>
      <c r="G444">
        <f t="shared" si="31"/>
        <v>0</v>
      </c>
    </row>
    <row r="445" spans="1:7" hidden="1" x14ac:dyDescent="0.25">
      <c r="A445" s="43" t="s">
        <v>1871</v>
      </c>
      <c r="B445" s="81" t="s">
        <v>1851</v>
      </c>
      <c r="C445" s="14" t="s">
        <v>14</v>
      </c>
      <c r="D445" s="14"/>
      <c r="E445" s="15"/>
      <c r="F445" s="16">
        <f t="shared" si="30"/>
        <v>0</v>
      </c>
      <c r="G445">
        <f t="shared" si="31"/>
        <v>0</v>
      </c>
    </row>
    <row r="446" spans="1:7" hidden="1" x14ac:dyDescent="0.25">
      <c r="A446" s="43" t="s">
        <v>1872</v>
      </c>
      <c r="B446" s="111" t="s">
        <v>1852</v>
      </c>
      <c r="C446" s="14" t="s">
        <v>14</v>
      </c>
      <c r="D446" s="14"/>
      <c r="E446" s="15"/>
      <c r="F446" s="16">
        <f t="shared" si="30"/>
        <v>0</v>
      </c>
      <c r="G446">
        <f t="shared" si="31"/>
        <v>0</v>
      </c>
    </row>
    <row r="447" spans="1:7" hidden="1" x14ac:dyDescent="0.25">
      <c r="A447" s="43" t="s">
        <v>1873</v>
      </c>
      <c r="B447" s="81" t="s">
        <v>1853</v>
      </c>
      <c r="C447" s="14" t="s">
        <v>14</v>
      </c>
      <c r="D447" s="14"/>
      <c r="E447" s="15"/>
      <c r="F447" s="16">
        <f t="shared" si="30"/>
        <v>0</v>
      </c>
      <c r="G447">
        <f t="shared" si="31"/>
        <v>0</v>
      </c>
    </row>
    <row r="448" spans="1:7" hidden="1" x14ac:dyDescent="0.25">
      <c r="A448" s="43" t="s">
        <v>1874</v>
      </c>
      <c r="B448" s="111" t="s">
        <v>1854</v>
      </c>
      <c r="C448" s="14" t="s">
        <v>14</v>
      </c>
      <c r="D448" s="14"/>
      <c r="E448" s="15"/>
      <c r="F448" s="16">
        <f t="shared" si="30"/>
        <v>0</v>
      </c>
      <c r="G448">
        <f t="shared" si="31"/>
        <v>0</v>
      </c>
    </row>
    <row r="449" spans="1:7" hidden="1" x14ac:dyDescent="0.25">
      <c r="A449" s="43" t="s">
        <v>1875</v>
      </c>
      <c r="B449" s="81" t="s">
        <v>1855</v>
      </c>
      <c r="C449" s="14" t="s">
        <v>14</v>
      </c>
      <c r="D449" s="14"/>
      <c r="E449" s="15"/>
      <c r="F449" s="16">
        <f t="shared" si="30"/>
        <v>0</v>
      </c>
      <c r="G449">
        <f t="shared" si="31"/>
        <v>0</v>
      </c>
    </row>
    <row r="450" spans="1:7" hidden="1" x14ac:dyDescent="0.25">
      <c r="A450" s="43" t="s">
        <v>1876</v>
      </c>
      <c r="B450" s="81" t="s">
        <v>1856</v>
      </c>
      <c r="C450" s="14" t="s">
        <v>14</v>
      </c>
      <c r="D450" s="14"/>
      <c r="E450" s="15"/>
      <c r="F450" s="16">
        <f t="shared" si="30"/>
        <v>0</v>
      </c>
      <c r="G450">
        <f t="shared" si="31"/>
        <v>0</v>
      </c>
    </row>
    <row r="451" spans="1:7" hidden="1" x14ac:dyDescent="0.25">
      <c r="A451" s="43" t="s">
        <v>1877</v>
      </c>
      <c r="B451" s="81" t="s">
        <v>1857</v>
      </c>
      <c r="C451" s="14" t="s">
        <v>14</v>
      </c>
      <c r="D451" s="14"/>
      <c r="E451" s="15"/>
      <c r="F451" s="16">
        <f t="shared" si="30"/>
        <v>0</v>
      </c>
      <c r="G451">
        <f t="shared" si="31"/>
        <v>0</v>
      </c>
    </row>
    <row r="452" spans="1:7" hidden="1" x14ac:dyDescent="0.25">
      <c r="A452" s="43" t="s">
        <v>1878</v>
      </c>
      <c r="B452" s="111" t="s">
        <v>1858</v>
      </c>
      <c r="C452" s="14" t="s">
        <v>14</v>
      </c>
      <c r="D452" s="14"/>
      <c r="E452" s="15"/>
      <c r="F452" s="16">
        <f t="shared" si="30"/>
        <v>0</v>
      </c>
      <c r="G452">
        <f t="shared" si="31"/>
        <v>0</v>
      </c>
    </row>
    <row r="453" spans="1:7" hidden="1" x14ac:dyDescent="0.25">
      <c r="A453" s="43" t="s">
        <v>1879</v>
      </c>
      <c r="B453" s="111" t="s">
        <v>1859</v>
      </c>
      <c r="C453" s="14" t="s">
        <v>14</v>
      </c>
      <c r="D453" s="14"/>
      <c r="E453" s="15"/>
      <c r="F453" s="16">
        <f t="shared" si="30"/>
        <v>0</v>
      </c>
      <c r="G453">
        <f t="shared" si="31"/>
        <v>0</v>
      </c>
    </row>
    <row r="454" spans="1:7" hidden="1" x14ac:dyDescent="0.25">
      <c r="A454" s="43" t="s">
        <v>1880</v>
      </c>
      <c r="B454" s="111" t="s">
        <v>1860</v>
      </c>
      <c r="C454" s="14" t="s">
        <v>14</v>
      </c>
      <c r="D454" s="14"/>
      <c r="E454" s="15"/>
      <c r="F454" s="16">
        <f t="shared" si="30"/>
        <v>0</v>
      </c>
      <c r="G454">
        <f t="shared" si="31"/>
        <v>0</v>
      </c>
    </row>
    <row r="455" spans="1:7" hidden="1" x14ac:dyDescent="0.25">
      <c r="A455" s="43" t="s">
        <v>1881</v>
      </c>
      <c r="B455" s="111" t="s">
        <v>1861</v>
      </c>
      <c r="C455" s="14" t="s">
        <v>14</v>
      </c>
      <c r="D455" s="14"/>
      <c r="E455" s="15"/>
      <c r="F455" s="16">
        <f t="shared" si="30"/>
        <v>0</v>
      </c>
      <c r="G455">
        <f t="shared" si="31"/>
        <v>0</v>
      </c>
    </row>
    <row r="456" spans="1:7" hidden="1" x14ac:dyDescent="0.25">
      <c r="A456" s="44" t="s">
        <v>1882</v>
      </c>
      <c r="B456" s="80" t="s">
        <v>1884</v>
      </c>
      <c r="C456" s="14"/>
      <c r="D456" s="14"/>
      <c r="E456" s="15"/>
      <c r="F456" s="16"/>
      <c r="G456">
        <f t="shared" si="31"/>
        <v>0</v>
      </c>
    </row>
    <row r="457" spans="1:7" hidden="1" x14ac:dyDescent="0.25">
      <c r="A457" s="43" t="s">
        <v>1883</v>
      </c>
      <c r="B457" s="81" t="s">
        <v>1885</v>
      </c>
      <c r="C457" s="14" t="s">
        <v>14</v>
      </c>
      <c r="D457" s="14"/>
      <c r="E457" s="15"/>
      <c r="F457" s="16">
        <f t="shared" si="30"/>
        <v>0</v>
      </c>
      <c r="G457">
        <f t="shared" ref="G457:G520" si="32">+IF(F457&lt;&gt;0,1,0)</f>
        <v>0</v>
      </c>
    </row>
    <row r="458" spans="1:7" hidden="1" x14ac:dyDescent="0.25">
      <c r="A458" s="43" t="s">
        <v>1905</v>
      </c>
      <c r="B458" s="81" t="s">
        <v>1886</v>
      </c>
      <c r="C458" s="14" t="s">
        <v>14</v>
      </c>
      <c r="D458" s="14"/>
      <c r="E458" s="15"/>
      <c r="F458" s="16">
        <f t="shared" ref="F458:F476" si="33">+D458*E458</f>
        <v>0</v>
      </c>
      <c r="G458">
        <f t="shared" si="32"/>
        <v>0</v>
      </c>
    </row>
    <row r="459" spans="1:7" hidden="1" x14ac:dyDescent="0.25">
      <c r="A459" s="43" t="s">
        <v>1906</v>
      </c>
      <c r="B459" s="81" t="s">
        <v>1887</v>
      </c>
      <c r="C459" s="14" t="s">
        <v>14</v>
      </c>
      <c r="D459" s="14"/>
      <c r="E459" s="15"/>
      <c r="F459" s="16">
        <f t="shared" si="33"/>
        <v>0</v>
      </c>
      <c r="G459">
        <f t="shared" si="32"/>
        <v>0</v>
      </c>
    </row>
    <row r="460" spans="1:7" hidden="1" x14ac:dyDescent="0.25">
      <c r="A460" s="43" t="s">
        <v>1907</v>
      </c>
      <c r="B460" s="81" t="s">
        <v>1888</v>
      </c>
      <c r="C460" s="14" t="s">
        <v>14</v>
      </c>
      <c r="D460" s="14"/>
      <c r="E460" s="15"/>
      <c r="F460" s="16">
        <f t="shared" si="33"/>
        <v>0</v>
      </c>
      <c r="G460">
        <f t="shared" si="32"/>
        <v>0</v>
      </c>
    </row>
    <row r="461" spans="1:7" hidden="1" x14ac:dyDescent="0.25">
      <c r="A461" s="43" t="s">
        <v>1908</v>
      </c>
      <c r="B461" s="81" t="s">
        <v>1889</v>
      </c>
      <c r="C461" s="14" t="s">
        <v>14</v>
      </c>
      <c r="D461" s="14"/>
      <c r="E461" s="15"/>
      <c r="F461" s="16">
        <f t="shared" si="33"/>
        <v>0</v>
      </c>
      <c r="G461">
        <f t="shared" si="32"/>
        <v>0</v>
      </c>
    </row>
    <row r="462" spans="1:7" hidden="1" x14ac:dyDescent="0.25">
      <c r="A462" s="43" t="s">
        <v>1909</v>
      </c>
      <c r="B462" s="111" t="s">
        <v>1890</v>
      </c>
      <c r="C462" s="14" t="s">
        <v>14</v>
      </c>
      <c r="D462" s="14"/>
      <c r="E462" s="15"/>
      <c r="F462" s="16">
        <f t="shared" si="33"/>
        <v>0</v>
      </c>
      <c r="G462">
        <f t="shared" si="32"/>
        <v>0</v>
      </c>
    </row>
    <row r="463" spans="1:7" hidden="1" x14ac:dyDescent="0.25">
      <c r="A463" s="43" t="s">
        <v>1910</v>
      </c>
      <c r="B463" s="111" t="s">
        <v>1891</v>
      </c>
      <c r="C463" s="14" t="s">
        <v>14</v>
      </c>
      <c r="D463" s="14"/>
      <c r="E463" s="15"/>
      <c r="F463" s="16">
        <f t="shared" si="33"/>
        <v>0</v>
      </c>
      <c r="G463">
        <f t="shared" si="32"/>
        <v>0</v>
      </c>
    </row>
    <row r="464" spans="1:7" hidden="1" x14ac:dyDescent="0.25">
      <c r="A464" s="43" t="s">
        <v>1911</v>
      </c>
      <c r="B464" s="81" t="s">
        <v>1892</v>
      </c>
      <c r="C464" s="14" t="s">
        <v>14</v>
      </c>
      <c r="D464" s="14"/>
      <c r="E464" s="15"/>
      <c r="F464" s="16">
        <f t="shared" si="33"/>
        <v>0</v>
      </c>
      <c r="G464">
        <f t="shared" si="32"/>
        <v>0</v>
      </c>
    </row>
    <row r="465" spans="1:7" hidden="1" x14ac:dyDescent="0.25">
      <c r="A465" s="43" t="s">
        <v>1912</v>
      </c>
      <c r="B465" s="111" t="s">
        <v>1893</v>
      </c>
      <c r="C465" s="14" t="s">
        <v>14</v>
      </c>
      <c r="D465" s="14"/>
      <c r="E465" s="15"/>
      <c r="F465" s="16">
        <f t="shared" si="33"/>
        <v>0</v>
      </c>
      <c r="G465">
        <f t="shared" si="32"/>
        <v>0</v>
      </c>
    </row>
    <row r="466" spans="1:7" hidden="1" x14ac:dyDescent="0.25">
      <c r="A466" s="43" t="s">
        <v>1913</v>
      </c>
      <c r="B466" s="81" t="s">
        <v>1894</v>
      </c>
      <c r="C466" s="14" t="s">
        <v>14</v>
      </c>
      <c r="D466" s="14"/>
      <c r="E466" s="15"/>
      <c r="F466" s="16">
        <f t="shared" si="33"/>
        <v>0</v>
      </c>
      <c r="G466">
        <f t="shared" si="32"/>
        <v>0</v>
      </c>
    </row>
    <row r="467" spans="1:7" hidden="1" x14ac:dyDescent="0.25">
      <c r="A467" s="43" t="s">
        <v>1914</v>
      </c>
      <c r="B467" s="111" t="s">
        <v>1895</v>
      </c>
      <c r="C467" s="14" t="s">
        <v>14</v>
      </c>
      <c r="D467" s="14"/>
      <c r="E467" s="15"/>
      <c r="F467" s="16">
        <f t="shared" si="33"/>
        <v>0</v>
      </c>
      <c r="G467">
        <f t="shared" si="32"/>
        <v>0</v>
      </c>
    </row>
    <row r="468" spans="1:7" hidden="1" x14ac:dyDescent="0.25">
      <c r="A468" s="43" t="s">
        <v>1915</v>
      </c>
      <c r="B468" s="81" t="s">
        <v>1896</v>
      </c>
      <c r="C468" s="14" t="s">
        <v>14</v>
      </c>
      <c r="D468" s="14"/>
      <c r="E468" s="15"/>
      <c r="F468" s="16">
        <f t="shared" si="33"/>
        <v>0</v>
      </c>
      <c r="G468">
        <f t="shared" si="32"/>
        <v>0</v>
      </c>
    </row>
    <row r="469" spans="1:7" hidden="1" x14ac:dyDescent="0.25">
      <c r="A469" s="43" t="s">
        <v>1916</v>
      </c>
      <c r="B469" s="111" t="s">
        <v>1897</v>
      </c>
      <c r="C469" s="14" t="s">
        <v>14</v>
      </c>
      <c r="D469" s="14"/>
      <c r="E469" s="15"/>
      <c r="F469" s="16">
        <f t="shared" si="33"/>
        <v>0</v>
      </c>
      <c r="G469">
        <f t="shared" si="32"/>
        <v>0</v>
      </c>
    </row>
    <row r="470" spans="1:7" hidden="1" x14ac:dyDescent="0.25">
      <c r="A470" s="43" t="s">
        <v>1917</v>
      </c>
      <c r="B470" s="81" t="s">
        <v>1898</v>
      </c>
      <c r="C470" s="14" t="s">
        <v>14</v>
      </c>
      <c r="D470" s="14"/>
      <c r="E470" s="15"/>
      <c r="F470" s="16">
        <f t="shared" si="33"/>
        <v>0</v>
      </c>
      <c r="G470">
        <f t="shared" si="32"/>
        <v>0</v>
      </c>
    </row>
    <row r="471" spans="1:7" hidden="1" x14ac:dyDescent="0.25">
      <c r="A471" s="43" t="s">
        <v>1918</v>
      </c>
      <c r="B471" s="81" t="s">
        <v>1899</v>
      </c>
      <c r="C471" s="14" t="s">
        <v>14</v>
      </c>
      <c r="D471" s="14"/>
      <c r="E471" s="15"/>
      <c r="F471" s="16">
        <f t="shared" si="33"/>
        <v>0</v>
      </c>
      <c r="G471">
        <f t="shared" si="32"/>
        <v>0</v>
      </c>
    </row>
    <row r="472" spans="1:7" hidden="1" x14ac:dyDescent="0.25">
      <c r="A472" s="43" t="s">
        <v>1919</v>
      </c>
      <c r="B472" s="81" t="s">
        <v>1900</v>
      </c>
      <c r="C472" s="14" t="s">
        <v>14</v>
      </c>
      <c r="D472" s="14"/>
      <c r="E472" s="15"/>
      <c r="F472" s="16">
        <f t="shared" si="33"/>
        <v>0</v>
      </c>
      <c r="G472">
        <f t="shared" si="32"/>
        <v>0</v>
      </c>
    </row>
    <row r="473" spans="1:7" hidden="1" x14ac:dyDescent="0.25">
      <c r="A473" s="43" t="s">
        <v>1920</v>
      </c>
      <c r="B473" s="111" t="s">
        <v>1901</v>
      </c>
      <c r="C473" s="14" t="s">
        <v>14</v>
      </c>
      <c r="D473" s="14"/>
      <c r="E473" s="15"/>
      <c r="F473" s="16">
        <f t="shared" si="33"/>
        <v>0</v>
      </c>
      <c r="G473">
        <f t="shared" si="32"/>
        <v>0</v>
      </c>
    </row>
    <row r="474" spans="1:7" hidden="1" x14ac:dyDescent="0.25">
      <c r="A474" s="43" t="s">
        <v>1921</v>
      </c>
      <c r="B474" s="111" t="s">
        <v>1902</v>
      </c>
      <c r="C474" s="14" t="s">
        <v>14</v>
      </c>
      <c r="D474" s="14"/>
      <c r="E474" s="15"/>
      <c r="F474" s="16">
        <f t="shared" si="33"/>
        <v>0</v>
      </c>
      <c r="G474">
        <f t="shared" si="32"/>
        <v>0</v>
      </c>
    </row>
    <row r="475" spans="1:7" hidden="1" x14ac:dyDescent="0.25">
      <c r="A475" s="43" t="s">
        <v>1922</v>
      </c>
      <c r="B475" s="111" t="s">
        <v>1903</v>
      </c>
      <c r="C475" s="14" t="s">
        <v>14</v>
      </c>
      <c r="D475" s="14"/>
      <c r="E475" s="15"/>
      <c r="F475" s="16">
        <f t="shared" si="33"/>
        <v>0</v>
      </c>
      <c r="G475">
        <f t="shared" si="32"/>
        <v>0</v>
      </c>
    </row>
    <row r="476" spans="1:7" hidden="1" x14ac:dyDescent="0.25">
      <c r="A476" s="43" t="s">
        <v>1923</v>
      </c>
      <c r="B476" s="111" t="s">
        <v>1904</v>
      </c>
      <c r="C476" s="14" t="s">
        <v>14</v>
      </c>
      <c r="D476" s="14"/>
      <c r="E476" s="15"/>
      <c r="F476" s="16">
        <f t="shared" si="33"/>
        <v>0</v>
      </c>
      <c r="G476">
        <f t="shared" si="32"/>
        <v>0</v>
      </c>
    </row>
    <row r="477" spans="1:7" hidden="1" x14ac:dyDescent="0.25">
      <c r="A477" s="61" t="s">
        <v>1943</v>
      </c>
      <c r="B477" s="62" t="s">
        <v>953</v>
      </c>
      <c r="C477" s="63"/>
      <c r="D477" s="14"/>
      <c r="E477" s="15"/>
      <c r="F477" s="16"/>
      <c r="G477">
        <f t="shared" si="32"/>
        <v>0</v>
      </c>
    </row>
    <row r="478" spans="1:7" hidden="1" x14ac:dyDescent="0.25">
      <c r="A478" s="78" t="s">
        <v>1944</v>
      </c>
      <c r="B478" s="79" t="s">
        <v>1945</v>
      </c>
      <c r="C478" s="26"/>
      <c r="D478" s="14"/>
      <c r="E478" s="15"/>
      <c r="F478" s="16"/>
      <c r="G478">
        <f t="shared" si="32"/>
        <v>0</v>
      </c>
    </row>
    <row r="479" spans="1:7" hidden="1" x14ac:dyDescent="0.25">
      <c r="A479" s="78" t="s">
        <v>1948</v>
      </c>
      <c r="B479" s="79" t="s">
        <v>1947</v>
      </c>
      <c r="C479" s="26"/>
      <c r="D479" s="14"/>
      <c r="E479" s="15"/>
      <c r="F479" s="16"/>
      <c r="G479">
        <f t="shared" si="32"/>
        <v>0</v>
      </c>
    </row>
    <row r="480" spans="1:7" hidden="1" x14ac:dyDescent="0.25">
      <c r="A480" s="85" t="s">
        <v>1949</v>
      </c>
      <c r="B480" s="88" t="s">
        <v>1950</v>
      </c>
      <c r="C480" s="26" t="s">
        <v>37</v>
      </c>
      <c r="D480" s="14"/>
      <c r="E480" s="15"/>
      <c r="F480" s="16">
        <f t="shared" ref="F480:F494" si="34">+D480*E480</f>
        <v>0</v>
      </c>
      <c r="G480">
        <f t="shared" si="32"/>
        <v>0</v>
      </c>
    </row>
    <row r="481" spans="1:7" hidden="1" x14ac:dyDescent="0.25">
      <c r="A481" s="85" t="s">
        <v>1966</v>
      </c>
      <c r="B481" s="88" t="s">
        <v>1964</v>
      </c>
      <c r="C481" s="26" t="s">
        <v>37</v>
      </c>
      <c r="D481" s="14"/>
      <c r="E481" s="15"/>
      <c r="F481" s="16">
        <f t="shared" si="34"/>
        <v>0</v>
      </c>
      <c r="G481">
        <f t="shared" si="32"/>
        <v>0</v>
      </c>
    </row>
    <row r="482" spans="1:7" hidden="1" x14ac:dyDescent="0.25">
      <c r="A482" s="85" t="s">
        <v>1967</v>
      </c>
      <c r="B482" s="88" t="s">
        <v>1951</v>
      </c>
      <c r="C482" s="26" t="s">
        <v>37</v>
      </c>
      <c r="D482" s="14"/>
      <c r="E482" s="15"/>
      <c r="F482" s="16">
        <f t="shared" si="34"/>
        <v>0</v>
      </c>
      <c r="G482">
        <f t="shared" si="32"/>
        <v>0</v>
      </c>
    </row>
    <row r="483" spans="1:7" hidden="1" x14ac:dyDescent="0.25">
      <c r="A483" s="85" t="s">
        <v>1968</v>
      </c>
      <c r="B483" s="88" t="s">
        <v>1952</v>
      </c>
      <c r="C483" s="26" t="s">
        <v>37</v>
      </c>
      <c r="D483" s="14"/>
      <c r="E483" s="15"/>
      <c r="F483" s="16">
        <f t="shared" si="34"/>
        <v>0</v>
      </c>
      <c r="G483">
        <f t="shared" si="32"/>
        <v>0</v>
      </c>
    </row>
    <row r="484" spans="1:7" hidden="1" x14ac:dyDescent="0.25">
      <c r="A484" s="85" t="s">
        <v>1969</v>
      </c>
      <c r="B484" s="113" t="s">
        <v>1953</v>
      </c>
      <c r="C484" s="26" t="s">
        <v>37</v>
      </c>
      <c r="D484" s="14"/>
      <c r="E484" s="15"/>
      <c r="F484" s="16">
        <f t="shared" si="34"/>
        <v>0</v>
      </c>
      <c r="G484">
        <f t="shared" si="32"/>
        <v>0</v>
      </c>
    </row>
    <row r="485" spans="1:7" hidden="1" x14ac:dyDescent="0.25">
      <c r="A485" s="85" t="s">
        <v>1970</v>
      </c>
      <c r="B485" s="113" t="s">
        <v>1955</v>
      </c>
      <c r="C485" s="26" t="s">
        <v>37</v>
      </c>
      <c r="D485" s="14"/>
      <c r="E485" s="15"/>
      <c r="F485" s="16">
        <f t="shared" si="34"/>
        <v>0</v>
      </c>
      <c r="G485">
        <f t="shared" si="32"/>
        <v>0</v>
      </c>
    </row>
    <row r="486" spans="1:7" hidden="1" x14ac:dyDescent="0.25">
      <c r="A486" s="85" t="s">
        <v>1971</v>
      </c>
      <c r="B486" s="88" t="s">
        <v>1954</v>
      </c>
      <c r="C486" s="26" t="s">
        <v>37</v>
      </c>
      <c r="D486" s="14"/>
      <c r="E486" s="15"/>
      <c r="F486" s="16">
        <f t="shared" si="34"/>
        <v>0</v>
      </c>
      <c r="G486">
        <f t="shared" si="32"/>
        <v>0</v>
      </c>
    </row>
    <row r="487" spans="1:7" hidden="1" x14ac:dyDescent="0.25">
      <c r="A487" s="85" t="s">
        <v>1972</v>
      </c>
      <c r="B487" s="113" t="s">
        <v>1956</v>
      </c>
      <c r="C487" s="26" t="s">
        <v>37</v>
      </c>
      <c r="D487" s="14"/>
      <c r="E487" s="15"/>
      <c r="F487" s="16">
        <f t="shared" si="34"/>
        <v>0</v>
      </c>
      <c r="G487">
        <f t="shared" si="32"/>
        <v>0</v>
      </c>
    </row>
    <row r="488" spans="1:7" hidden="1" x14ac:dyDescent="0.25">
      <c r="A488" s="85" t="s">
        <v>1973</v>
      </c>
      <c r="B488" s="88" t="s">
        <v>1957</v>
      </c>
      <c r="C488" s="26" t="s">
        <v>37</v>
      </c>
      <c r="D488" s="14"/>
      <c r="E488" s="15"/>
      <c r="F488" s="16">
        <f t="shared" si="34"/>
        <v>0</v>
      </c>
      <c r="G488">
        <f t="shared" si="32"/>
        <v>0</v>
      </c>
    </row>
    <row r="489" spans="1:7" hidden="1" x14ac:dyDescent="0.25">
      <c r="A489" s="85" t="s">
        <v>1974</v>
      </c>
      <c r="B489" s="113" t="s">
        <v>1958</v>
      </c>
      <c r="C489" s="26" t="s">
        <v>37</v>
      </c>
      <c r="D489" s="14"/>
      <c r="E489" s="15"/>
      <c r="F489" s="16">
        <f t="shared" si="34"/>
        <v>0</v>
      </c>
      <c r="G489">
        <f t="shared" si="32"/>
        <v>0</v>
      </c>
    </row>
    <row r="490" spans="1:7" hidden="1" x14ac:dyDescent="0.25">
      <c r="A490" s="85" t="s">
        <v>1975</v>
      </c>
      <c r="B490" s="88" t="s">
        <v>1959</v>
      </c>
      <c r="C490" s="26" t="s">
        <v>37</v>
      </c>
      <c r="D490" s="14"/>
      <c r="E490" s="15"/>
      <c r="F490" s="16">
        <f t="shared" si="34"/>
        <v>0</v>
      </c>
      <c r="G490">
        <f t="shared" si="32"/>
        <v>0</v>
      </c>
    </row>
    <row r="491" spans="1:7" hidden="1" x14ac:dyDescent="0.25">
      <c r="A491" s="85" t="s">
        <v>1976</v>
      </c>
      <c r="B491" s="113" t="s">
        <v>1960</v>
      </c>
      <c r="C491" s="26" t="s">
        <v>37</v>
      </c>
      <c r="D491" s="14"/>
      <c r="E491" s="15"/>
      <c r="F491" s="16">
        <f t="shared" si="34"/>
        <v>0</v>
      </c>
      <c r="G491">
        <f t="shared" si="32"/>
        <v>0</v>
      </c>
    </row>
    <row r="492" spans="1:7" hidden="1" x14ac:dyDescent="0.25">
      <c r="A492" s="85" t="s">
        <v>1977</v>
      </c>
      <c r="B492" s="88" t="s">
        <v>1961</v>
      </c>
      <c r="C492" s="26" t="s">
        <v>37</v>
      </c>
      <c r="D492" s="14"/>
      <c r="E492" s="15"/>
      <c r="F492" s="16">
        <f t="shared" si="34"/>
        <v>0</v>
      </c>
      <c r="G492">
        <f t="shared" si="32"/>
        <v>0</v>
      </c>
    </row>
    <row r="493" spans="1:7" hidden="1" x14ac:dyDescent="0.25">
      <c r="A493" s="85" t="s">
        <v>1978</v>
      </c>
      <c r="B493" s="88" t="s">
        <v>1962</v>
      </c>
      <c r="C493" s="26" t="s">
        <v>37</v>
      </c>
      <c r="D493" s="14"/>
      <c r="E493" s="15"/>
      <c r="F493" s="16">
        <f t="shared" si="34"/>
        <v>0</v>
      </c>
      <c r="G493">
        <f t="shared" si="32"/>
        <v>0</v>
      </c>
    </row>
    <row r="494" spans="1:7" hidden="1" x14ac:dyDescent="0.25">
      <c r="A494" s="85" t="s">
        <v>1979</v>
      </c>
      <c r="B494" s="88" t="s">
        <v>1963</v>
      </c>
      <c r="C494" s="26" t="s">
        <v>37</v>
      </c>
      <c r="D494" s="14"/>
      <c r="E494" s="15"/>
      <c r="F494" s="16">
        <f t="shared" si="34"/>
        <v>0</v>
      </c>
      <c r="G494">
        <f t="shared" si="32"/>
        <v>0</v>
      </c>
    </row>
    <row r="495" spans="1:7" hidden="1" x14ac:dyDescent="0.25">
      <c r="A495" s="78" t="s">
        <v>1946</v>
      </c>
      <c r="B495" s="79" t="s">
        <v>1965</v>
      </c>
      <c r="C495" s="26"/>
      <c r="D495" s="14"/>
      <c r="E495" s="15"/>
      <c r="F495" s="16"/>
      <c r="G495">
        <f t="shared" si="32"/>
        <v>0</v>
      </c>
    </row>
    <row r="496" spans="1:7" hidden="1" x14ac:dyDescent="0.25">
      <c r="A496" s="85" t="s">
        <v>1980</v>
      </c>
      <c r="B496" s="88" t="s">
        <v>1950</v>
      </c>
      <c r="C496" s="26" t="s">
        <v>37</v>
      </c>
      <c r="D496" s="14"/>
      <c r="E496" s="15"/>
      <c r="F496" s="16">
        <f t="shared" ref="F496:F510" si="35">+D496*E496</f>
        <v>0</v>
      </c>
      <c r="G496">
        <f t="shared" si="32"/>
        <v>0</v>
      </c>
    </row>
    <row r="497" spans="1:7" hidden="1" x14ac:dyDescent="0.25">
      <c r="A497" s="85" t="s">
        <v>1981</v>
      </c>
      <c r="B497" s="88" t="s">
        <v>1964</v>
      </c>
      <c r="C497" s="26" t="s">
        <v>37</v>
      </c>
      <c r="D497" s="14"/>
      <c r="E497" s="15"/>
      <c r="F497" s="16">
        <f t="shared" si="35"/>
        <v>0</v>
      </c>
      <c r="G497">
        <f t="shared" si="32"/>
        <v>0</v>
      </c>
    </row>
    <row r="498" spans="1:7" hidden="1" x14ac:dyDescent="0.25">
      <c r="A498" s="85" t="s">
        <v>1982</v>
      </c>
      <c r="B498" s="88" t="s">
        <v>1951</v>
      </c>
      <c r="C498" s="26" t="s">
        <v>37</v>
      </c>
      <c r="D498" s="14"/>
      <c r="E498" s="15"/>
      <c r="F498" s="16">
        <f t="shared" si="35"/>
        <v>0</v>
      </c>
      <c r="G498">
        <f t="shared" si="32"/>
        <v>0</v>
      </c>
    </row>
    <row r="499" spans="1:7" hidden="1" x14ac:dyDescent="0.25">
      <c r="A499" s="85" t="s">
        <v>1983</v>
      </c>
      <c r="B499" s="88" t="s">
        <v>1952</v>
      </c>
      <c r="C499" s="26" t="s">
        <v>37</v>
      </c>
      <c r="D499" s="14"/>
      <c r="E499" s="15"/>
      <c r="F499" s="16">
        <f t="shared" si="35"/>
        <v>0</v>
      </c>
      <c r="G499">
        <f t="shared" si="32"/>
        <v>0</v>
      </c>
    </row>
    <row r="500" spans="1:7" hidden="1" x14ac:dyDescent="0.25">
      <c r="A500" s="85" t="s">
        <v>1984</v>
      </c>
      <c r="B500" s="113" t="s">
        <v>1953</v>
      </c>
      <c r="C500" s="26" t="s">
        <v>37</v>
      </c>
      <c r="D500" s="14"/>
      <c r="E500" s="15"/>
      <c r="F500" s="16">
        <f t="shared" si="35"/>
        <v>0</v>
      </c>
      <c r="G500">
        <f t="shared" si="32"/>
        <v>0</v>
      </c>
    </row>
    <row r="501" spans="1:7" hidden="1" x14ac:dyDescent="0.25">
      <c r="A501" s="85" t="s">
        <v>1985</v>
      </c>
      <c r="B501" s="113" t="s">
        <v>1955</v>
      </c>
      <c r="C501" s="26" t="s">
        <v>37</v>
      </c>
      <c r="D501" s="14"/>
      <c r="E501" s="15"/>
      <c r="F501" s="16">
        <f t="shared" si="35"/>
        <v>0</v>
      </c>
      <c r="G501">
        <f t="shared" si="32"/>
        <v>0</v>
      </c>
    </row>
    <row r="502" spans="1:7" hidden="1" x14ac:dyDescent="0.25">
      <c r="A502" s="85" t="s">
        <v>1986</v>
      </c>
      <c r="B502" s="88" t="s">
        <v>1954</v>
      </c>
      <c r="C502" s="26" t="s">
        <v>37</v>
      </c>
      <c r="D502" s="14"/>
      <c r="E502" s="15"/>
      <c r="F502" s="16">
        <f t="shared" si="35"/>
        <v>0</v>
      </c>
      <c r="G502">
        <f t="shared" si="32"/>
        <v>0</v>
      </c>
    </row>
    <row r="503" spans="1:7" hidden="1" x14ac:dyDescent="0.25">
      <c r="A503" s="85" t="s">
        <v>1987</v>
      </c>
      <c r="B503" s="113" t="s">
        <v>1956</v>
      </c>
      <c r="C503" s="26" t="s">
        <v>37</v>
      </c>
      <c r="D503" s="14"/>
      <c r="E503" s="15"/>
      <c r="F503" s="16">
        <f t="shared" si="35"/>
        <v>0</v>
      </c>
      <c r="G503">
        <f t="shared" si="32"/>
        <v>0</v>
      </c>
    </row>
    <row r="504" spans="1:7" hidden="1" x14ac:dyDescent="0.25">
      <c r="A504" s="85" t="s">
        <v>1988</v>
      </c>
      <c r="B504" s="88" t="s">
        <v>1957</v>
      </c>
      <c r="C504" s="26" t="s">
        <v>37</v>
      </c>
      <c r="D504" s="14"/>
      <c r="E504" s="15"/>
      <c r="F504" s="16">
        <f t="shared" si="35"/>
        <v>0</v>
      </c>
      <c r="G504">
        <f t="shared" si="32"/>
        <v>0</v>
      </c>
    </row>
    <row r="505" spans="1:7" hidden="1" x14ac:dyDescent="0.25">
      <c r="A505" s="85" t="s">
        <v>1989</v>
      </c>
      <c r="B505" s="113" t="s">
        <v>1958</v>
      </c>
      <c r="C505" s="26" t="s">
        <v>37</v>
      </c>
      <c r="D505" s="14"/>
      <c r="E505" s="15"/>
      <c r="F505" s="16">
        <f t="shared" si="35"/>
        <v>0</v>
      </c>
      <c r="G505">
        <f t="shared" si="32"/>
        <v>0</v>
      </c>
    </row>
    <row r="506" spans="1:7" hidden="1" x14ac:dyDescent="0.25">
      <c r="A506" s="85" t="s">
        <v>1990</v>
      </c>
      <c r="B506" s="88" t="s">
        <v>1959</v>
      </c>
      <c r="C506" s="26" t="s">
        <v>37</v>
      </c>
      <c r="D506" s="14"/>
      <c r="E506" s="15"/>
      <c r="F506" s="16">
        <f t="shared" si="35"/>
        <v>0</v>
      </c>
      <c r="G506">
        <f t="shared" si="32"/>
        <v>0</v>
      </c>
    </row>
    <row r="507" spans="1:7" hidden="1" x14ac:dyDescent="0.25">
      <c r="A507" s="85" t="s">
        <v>1991</v>
      </c>
      <c r="B507" s="113" t="s">
        <v>1960</v>
      </c>
      <c r="C507" s="26" t="s">
        <v>37</v>
      </c>
      <c r="D507" s="14"/>
      <c r="E507" s="15"/>
      <c r="F507" s="16">
        <f t="shared" si="35"/>
        <v>0</v>
      </c>
      <c r="G507">
        <f t="shared" si="32"/>
        <v>0</v>
      </c>
    </row>
    <row r="508" spans="1:7" hidden="1" x14ac:dyDescent="0.25">
      <c r="A508" s="85" t="s">
        <v>1992</v>
      </c>
      <c r="B508" s="88" t="s">
        <v>1961</v>
      </c>
      <c r="C508" s="26" t="s">
        <v>37</v>
      </c>
      <c r="D508" s="14"/>
      <c r="E508" s="15"/>
      <c r="F508" s="16">
        <f t="shared" si="35"/>
        <v>0</v>
      </c>
      <c r="G508">
        <f t="shared" si="32"/>
        <v>0</v>
      </c>
    </row>
    <row r="509" spans="1:7" hidden="1" x14ac:dyDescent="0.25">
      <c r="A509" s="85" t="s">
        <v>1993</v>
      </c>
      <c r="B509" s="88" t="s">
        <v>1962</v>
      </c>
      <c r="C509" s="26" t="s">
        <v>37</v>
      </c>
      <c r="D509" s="14"/>
      <c r="E509" s="15"/>
      <c r="F509" s="16">
        <f t="shared" si="35"/>
        <v>0</v>
      </c>
      <c r="G509">
        <f t="shared" si="32"/>
        <v>0</v>
      </c>
    </row>
    <row r="510" spans="1:7" hidden="1" x14ac:dyDescent="0.25">
      <c r="A510" s="85" t="s">
        <v>1994</v>
      </c>
      <c r="B510" s="88" t="s">
        <v>1963</v>
      </c>
      <c r="C510" s="26" t="s">
        <v>37</v>
      </c>
      <c r="D510" s="14"/>
      <c r="E510" s="15"/>
      <c r="F510" s="16">
        <f t="shared" si="35"/>
        <v>0</v>
      </c>
      <c r="G510">
        <f t="shared" si="32"/>
        <v>0</v>
      </c>
    </row>
    <row r="511" spans="1:7" hidden="1" x14ac:dyDescent="0.25">
      <c r="A511" s="78" t="s">
        <v>1995</v>
      </c>
      <c r="B511" s="79" t="s">
        <v>1996</v>
      </c>
      <c r="C511" s="26"/>
      <c r="D511" s="14"/>
      <c r="E511" s="15"/>
      <c r="F511" s="16"/>
      <c r="G511">
        <f t="shared" si="32"/>
        <v>0</v>
      </c>
    </row>
    <row r="512" spans="1:7" hidden="1" x14ac:dyDescent="0.25">
      <c r="A512" s="85" t="s">
        <v>2012</v>
      </c>
      <c r="B512" s="88" t="s">
        <v>1997</v>
      </c>
      <c r="C512" s="26" t="s">
        <v>37</v>
      </c>
      <c r="D512" s="14"/>
      <c r="E512" s="15"/>
      <c r="F512" s="16">
        <f t="shared" ref="F512:F526" si="36">+D512*E512</f>
        <v>0</v>
      </c>
      <c r="G512">
        <f t="shared" si="32"/>
        <v>0</v>
      </c>
    </row>
    <row r="513" spans="1:7" hidden="1" x14ac:dyDescent="0.25">
      <c r="A513" s="85" t="s">
        <v>2013</v>
      </c>
      <c r="B513" s="88" t="s">
        <v>1998</v>
      </c>
      <c r="C513" s="26" t="s">
        <v>37</v>
      </c>
      <c r="D513" s="14"/>
      <c r="E513" s="15"/>
      <c r="F513" s="16">
        <f t="shared" si="36"/>
        <v>0</v>
      </c>
      <c r="G513">
        <f t="shared" si="32"/>
        <v>0</v>
      </c>
    </row>
    <row r="514" spans="1:7" hidden="1" x14ac:dyDescent="0.25">
      <c r="A514" s="85" t="s">
        <v>2014</v>
      </c>
      <c r="B514" s="88" t="s">
        <v>1999</v>
      </c>
      <c r="C514" s="26" t="s">
        <v>37</v>
      </c>
      <c r="D514" s="14"/>
      <c r="E514" s="15"/>
      <c r="F514" s="16">
        <f t="shared" si="36"/>
        <v>0</v>
      </c>
      <c r="G514">
        <f t="shared" si="32"/>
        <v>0</v>
      </c>
    </row>
    <row r="515" spans="1:7" hidden="1" x14ac:dyDescent="0.25">
      <c r="A515" s="85" t="s">
        <v>2015</v>
      </c>
      <c r="B515" s="88" t="s">
        <v>2000</v>
      </c>
      <c r="C515" s="26" t="s">
        <v>37</v>
      </c>
      <c r="D515" s="14"/>
      <c r="E515" s="15"/>
      <c r="F515" s="16">
        <f t="shared" si="36"/>
        <v>0</v>
      </c>
      <c r="G515">
        <f t="shared" si="32"/>
        <v>0</v>
      </c>
    </row>
    <row r="516" spans="1:7" hidden="1" x14ac:dyDescent="0.25">
      <c r="A516" s="85" t="s">
        <v>2016</v>
      </c>
      <c r="B516" s="113" t="s">
        <v>2001</v>
      </c>
      <c r="C516" s="26" t="s">
        <v>37</v>
      </c>
      <c r="D516" s="14"/>
      <c r="E516" s="15"/>
      <c r="F516" s="16">
        <f t="shared" si="36"/>
        <v>0</v>
      </c>
      <c r="G516">
        <f t="shared" si="32"/>
        <v>0</v>
      </c>
    </row>
    <row r="517" spans="1:7" hidden="1" x14ac:dyDescent="0.25">
      <c r="A517" s="85" t="s">
        <v>2017</v>
      </c>
      <c r="B517" s="113" t="s">
        <v>2002</v>
      </c>
      <c r="C517" s="26" t="s">
        <v>37</v>
      </c>
      <c r="D517" s="14"/>
      <c r="E517" s="15"/>
      <c r="F517" s="16">
        <f t="shared" si="36"/>
        <v>0</v>
      </c>
      <c r="G517">
        <f t="shared" si="32"/>
        <v>0</v>
      </c>
    </row>
    <row r="518" spans="1:7" hidden="1" x14ac:dyDescent="0.25">
      <c r="A518" s="85" t="s">
        <v>2018</v>
      </c>
      <c r="B518" s="88" t="s">
        <v>2003</v>
      </c>
      <c r="C518" s="26" t="s">
        <v>37</v>
      </c>
      <c r="D518" s="14"/>
      <c r="E518" s="15"/>
      <c r="F518" s="16">
        <f t="shared" si="36"/>
        <v>0</v>
      </c>
      <c r="G518">
        <f t="shared" si="32"/>
        <v>0</v>
      </c>
    </row>
    <row r="519" spans="1:7" hidden="1" x14ac:dyDescent="0.25">
      <c r="A519" s="85" t="s">
        <v>2019</v>
      </c>
      <c r="B519" s="113" t="s">
        <v>2004</v>
      </c>
      <c r="C519" s="26" t="s">
        <v>37</v>
      </c>
      <c r="D519" s="14"/>
      <c r="E519" s="15"/>
      <c r="F519" s="16">
        <f t="shared" si="36"/>
        <v>0</v>
      </c>
      <c r="G519">
        <f t="shared" si="32"/>
        <v>0</v>
      </c>
    </row>
    <row r="520" spans="1:7" hidden="1" x14ac:dyDescent="0.25">
      <c r="A520" s="85" t="s">
        <v>2020</v>
      </c>
      <c r="B520" s="88" t="s">
        <v>2005</v>
      </c>
      <c r="C520" s="26" t="s">
        <v>37</v>
      </c>
      <c r="D520" s="14"/>
      <c r="E520" s="15"/>
      <c r="F520" s="16">
        <f t="shared" si="36"/>
        <v>0</v>
      </c>
      <c r="G520">
        <f t="shared" si="32"/>
        <v>0</v>
      </c>
    </row>
    <row r="521" spans="1:7" hidden="1" x14ac:dyDescent="0.25">
      <c r="A521" s="85" t="s">
        <v>2021</v>
      </c>
      <c r="B521" s="113" t="s">
        <v>2006</v>
      </c>
      <c r="C521" s="26" t="s">
        <v>37</v>
      </c>
      <c r="D521" s="14"/>
      <c r="E521" s="15"/>
      <c r="F521" s="16">
        <f t="shared" si="36"/>
        <v>0</v>
      </c>
      <c r="G521">
        <f t="shared" ref="G521:G584" si="37">+IF(F521&lt;&gt;0,1,0)</f>
        <v>0</v>
      </c>
    </row>
    <row r="522" spans="1:7" hidden="1" x14ac:dyDescent="0.25">
      <c r="A522" s="85" t="s">
        <v>2022</v>
      </c>
      <c r="B522" s="88" t="s">
        <v>2007</v>
      </c>
      <c r="C522" s="26" t="s">
        <v>37</v>
      </c>
      <c r="D522" s="14"/>
      <c r="E522" s="15"/>
      <c r="F522" s="16">
        <f t="shared" si="36"/>
        <v>0</v>
      </c>
      <c r="G522">
        <f t="shared" si="37"/>
        <v>0</v>
      </c>
    </row>
    <row r="523" spans="1:7" hidden="1" x14ac:dyDescent="0.25">
      <c r="A523" s="85" t="s">
        <v>2023</v>
      </c>
      <c r="B523" s="113" t="s">
        <v>2008</v>
      </c>
      <c r="C523" s="26" t="s">
        <v>37</v>
      </c>
      <c r="D523" s="14"/>
      <c r="E523" s="15"/>
      <c r="F523" s="16">
        <f t="shared" si="36"/>
        <v>0</v>
      </c>
      <c r="G523">
        <f t="shared" si="37"/>
        <v>0</v>
      </c>
    </row>
    <row r="524" spans="1:7" hidden="1" x14ac:dyDescent="0.25">
      <c r="A524" s="85" t="s">
        <v>2024</v>
      </c>
      <c r="B524" s="88" t="s">
        <v>2009</v>
      </c>
      <c r="C524" s="26" t="s">
        <v>37</v>
      </c>
      <c r="D524" s="14"/>
      <c r="E524" s="15"/>
      <c r="F524" s="16">
        <f t="shared" si="36"/>
        <v>0</v>
      </c>
      <c r="G524">
        <f t="shared" si="37"/>
        <v>0</v>
      </c>
    </row>
    <row r="525" spans="1:7" hidden="1" x14ac:dyDescent="0.25">
      <c r="A525" s="85" t="s">
        <v>2025</v>
      </c>
      <c r="B525" s="88" t="s">
        <v>2010</v>
      </c>
      <c r="C525" s="26" t="s">
        <v>37</v>
      </c>
      <c r="D525" s="14"/>
      <c r="E525" s="15"/>
      <c r="F525" s="16">
        <f t="shared" si="36"/>
        <v>0</v>
      </c>
      <c r="G525">
        <f t="shared" si="37"/>
        <v>0</v>
      </c>
    </row>
    <row r="526" spans="1:7" hidden="1" x14ac:dyDescent="0.25">
      <c r="A526" s="85" t="s">
        <v>2026</v>
      </c>
      <c r="B526" s="88" t="s">
        <v>2011</v>
      </c>
      <c r="C526" s="26" t="s">
        <v>37</v>
      </c>
      <c r="D526" s="14"/>
      <c r="E526" s="15"/>
      <c r="F526" s="16">
        <f t="shared" si="36"/>
        <v>0</v>
      </c>
      <c r="G526">
        <f t="shared" si="37"/>
        <v>0</v>
      </c>
    </row>
    <row r="527" spans="1:7" hidden="1" x14ac:dyDescent="0.25">
      <c r="A527" s="78" t="s">
        <v>2027</v>
      </c>
      <c r="B527" s="79" t="s">
        <v>2028</v>
      </c>
      <c r="C527" s="26"/>
      <c r="D527" s="14"/>
      <c r="E527" s="15"/>
      <c r="F527" s="16"/>
      <c r="G527">
        <f t="shared" si="37"/>
        <v>0</v>
      </c>
    </row>
    <row r="528" spans="1:7" hidden="1" x14ac:dyDescent="0.25">
      <c r="A528" s="85" t="s">
        <v>2049</v>
      </c>
      <c r="B528" s="88" t="s">
        <v>1997</v>
      </c>
      <c r="C528" s="26" t="s">
        <v>37</v>
      </c>
      <c r="D528" s="14"/>
      <c r="E528" s="15"/>
      <c r="F528" s="16">
        <f t="shared" ref="F528:F542" si="38">+D528*E528</f>
        <v>0</v>
      </c>
      <c r="G528">
        <f t="shared" si="37"/>
        <v>0</v>
      </c>
    </row>
    <row r="529" spans="1:7" hidden="1" x14ac:dyDescent="0.25">
      <c r="A529" s="85" t="s">
        <v>2050</v>
      </c>
      <c r="B529" s="88" t="s">
        <v>1998</v>
      </c>
      <c r="C529" s="26" t="s">
        <v>37</v>
      </c>
      <c r="D529" s="14"/>
      <c r="E529" s="15"/>
      <c r="F529" s="16">
        <f t="shared" si="38"/>
        <v>0</v>
      </c>
      <c r="G529">
        <f t="shared" si="37"/>
        <v>0</v>
      </c>
    </row>
    <row r="530" spans="1:7" hidden="1" x14ac:dyDescent="0.25">
      <c r="A530" s="85" t="s">
        <v>2051</v>
      </c>
      <c r="B530" s="88" t="s">
        <v>1999</v>
      </c>
      <c r="C530" s="26" t="s">
        <v>37</v>
      </c>
      <c r="D530" s="14"/>
      <c r="E530" s="15"/>
      <c r="F530" s="16">
        <f t="shared" si="38"/>
        <v>0</v>
      </c>
      <c r="G530">
        <f t="shared" si="37"/>
        <v>0</v>
      </c>
    </row>
    <row r="531" spans="1:7" hidden="1" x14ac:dyDescent="0.25">
      <c r="A531" s="85" t="s">
        <v>2052</v>
      </c>
      <c r="B531" s="88" t="s">
        <v>2000</v>
      </c>
      <c r="C531" s="26" t="s">
        <v>37</v>
      </c>
      <c r="D531" s="14"/>
      <c r="E531" s="15"/>
      <c r="F531" s="16">
        <f t="shared" si="38"/>
        <v>0</v>
      </c>
      <c r="G531">
        <f t="shared" si="37"/>
        <v>0</v>
      </c>
    </row>
    <row r="532" spans="1:7" hidden="1" x14ac:dyDescent="0.25">
      <c r="A532" s="85" t="s">
        <v>2053</v>
      </c>
      <c r="B532" s="113" t="s">
        <v>2001</v>
      </c>
      <c r="C532" s="26" t="s">
        <v>37</v>
      </c>
      <c r="D532" s="14"/>
      <c r="E532" s="15"/>
      <c r="F532" s="16">
        <f t="shared" si="38"/>
        <v>0</v>
      </c>
      <c r="G532">
        <f t="shared" si="37"/>
        <v>0</v>
      </c>
    </row>
    <row r="533" spans="1:7" hidden="1" x14ac:dyDescent="0.25">
      <c r="A533" s="85" t="s">
        <v>2054</v>
      </c>
      <c r="B533" s="113" t="s">
        <v>2002</v>
      </c>
      <c r="C533" s="26" t="s">
        <v>37</v>
      </c>
      <c r="D533" s="14"/>
      <c r="E533" s="15"/>
      <c r="F533" s="16">
        <f t="shared" si="38"/>
        <v>0</v>
      </c>
      <c r="G533">
        <f t="shared" si="37"/>
        <v>0</v>
      </c>
    </row>
    <row r="534" spans="1:7" hidden="1" x14ac:dyDescent="0.25">
      <c r="A534" s="85" t="s">
        <v>2055</v>
      </c>
      <c r="B534" s="88" t="s">
        <v>2003</v>
      </c>
      <c r="C534" s="26" t="s">
        <v>37</v>
      </c>
      <c r="D534" s="14"/>
      <c r="E534" s="15"/>
      <c r="F534" s="16">
        <f t="shared" si="38"/>
        <v>0</v>
      </c>
      <c r="G534">
        <f t="shared" si="37"/>
        <v>0</v>
      </c>
    </row>
    <row r="535" spans="1:7" hidden="1" x14ac:dyDescent="0.25">
      <c r="A535" s="85" t="s">
        <v>2056</v>
      </c>
      <c r="B535" s="113" t="s">
        <v>2004</v>
      </c>
      <c r="C535" s="26" t="s">
        <v>37</v>
      </c>
      <c r="D535" s="14"/>
      <c r="E535" s="15"/>
      <c r="F535" s="16">
        <f t="shared" si="38"/>
        <v>0</v>
      </c>
      <c r="G535">
        <f t="shared" si="37"/>
        <v>0</v>
      </c>
    </row>
    <row r="536" spans="1:7" hidden="1" x14ac:dyDescent="0.25">
      <c r="A536" s="85" t="s">
        <v>2057</v>
      </c>
      <c r="B536" s="88" t="s">
        <v>2005</v>
      </c>
      <c r="C536" s="26" t="s">
        <v>37</v>
      </c>
      <c r="D536" s="14"/>
      <c r="E536" s="15"/>
      <c r="F536" s="16">
        <f t="shared" si="38"/>
        <v>0</v>
      </c>
      <c r="G536">
        <f t="shared" si="37"/>
        <v>0</v>
      </c>
    </row>
    <row r="537" spans="1:7" hidden="1" x14ac:dyDescent="0.25">
      <c r="A537" s="85" t="s">
        <v>2058</v>
      </c>
      <c r="B537" s="113" t="s">
        <v>2006</v>
      </c>
      <c r="C537" s="26" t="s">
        <v>37</v>
      </c>
      <c r="D537" s="14"/>
      <c r="E537" s="15"/>
      <c r="F537" s="16">
        <f t="shared" si="38"/>
        <v>0</v>
      </c>
      <c r="G537">
        <f t="shared" si="37"/>
        <v>0</v>
      </c>
    </row>
    <row r="538" spans="1:7" hidden="1" x14ac:dyDescent="0.25">
      <c r="A538" s="85" t="s">
        <v>2059</v>
      </c>
      <c r="B538" s="88" t="s">
        <v>2007</v>
      </c>
      <c r="C538" s="26" t="s">
        <v>37</v>
      </c>
      <c r="D538" s="14"/>
      <c r="E538" s="15"/>
      <c r="F538" s="16">
        <f t="shared" si="38"/>
        <v>0</v>
      </c>
      <c r="G538">
        <f t="shared" si="37"/>
        <v>0</v>
      </c>
    </row>
    <row r="539" spans="1:7" hidden="1" x14ac:dyDescent="0.25">
      <c r="A539" s="85" t="s">
        <v>2060</v>
      </c>
      <c r="B539" s="113" t="s">
        <v>2008</v>
      </c>
      <c r="C539" s="26" t="s">
        <v>37</v>
      </c>
      <c r="D539" s="14"/>
      <c r="E539" s="15"/>
      <c r="F539" s="16">
        <f t="shared" si="38"/>
        <v>0</v>
      </c>
      <c r="G539">
        <f t="shared" si="37"/>
        <v>0</v>
      </c>
    </row>
    <row r="540" spans="1:7" hidden="1" x14ac:dyDescent="0.25">
      <c r="A540" s="85" t="s">
        <v>2061</v>
      </c>
      <c r="B540" s="88" t="s">
        <v>2009</v>
      </c>
      <c r="C540" s="26" t="s">
        <v>37</v>
      </c>
      <c r="D540" s="14"/>
      <c r="E540" s="15"/>
      <c r="F540" s="16">
        <f t="shared" si="38"/>
        <v>0</v>
      </c>
      <c r="G540">
        <f t="shared" si="37"/>
        <v>0</v>
      </c>
    </row>
    <row r="541" spans="1:7" hidden="1" x14ac:dyDescent="0.25">
      <c r="A541" s="85" t="s">
        <v>2062</v>
      </c>
      <c r="B541" s="88" t="s">
        <v>2010</v>
      </c>
      <c r="C541" s="26" t="s">
        <v>37</v>
      </c>
      <c r="D541" s="14"/>
      <c r="E541" s="15"/>
      <c r="F541" s="16">
        <f t="shared" si="38"/>
        <v>0</v>
      </c>
      <c r="G541">
        <f t="shared" si="37"/>
        <v>0</v>
      </c>
    </row>
    <row r="542" spans="1:7" hidden="1" x14ac:dyDescent="0.25">
      <c r="A542" s="85" t="s">
        <v>2063</v>
      </c>
      <c r="B542" s="88" t="s">
        <v>2011</v>
      </c>
      <c r="C542" s="26" t="s">
        <v>37</v>
      </c>
      <c r="D542" s="14"/>
      <c r="E542" s="15"/>
      <c r="F542" s="16">
        <f t="shared" si="38"/>
        <v>0</v>
      </c>
      <c r="G542">
        <f t="shared" si="37"/>
        <v>0</v>
      </c>
    </row>
    <row r="543" spans="1:7" hidden="1" x14ac:dyDescent="0.25">
      <c r="A543" s="78" t="s">
        <v>2029</v>
      </c>
      <c r="B543" s="79" t="s">
        <v>2030</v>
      </c>
      <c r="C543" s="26"/>
      <c r="D543" s="14"/>
      <c r="E543" s="15"/>
      <c r="F543" s="16"/>
      <c r="G543">
        <f t="shared" si="37"/>
        <v>0</v>
      </c>
    </row>
    <row r="544" spans="1:7" hidden="1" x14ac:dyDescent="0.25">
      <c r="A544" s="78" t="s">
        <v>2031</v>
      </c>
      <c r="B544" s="79" t="s">
        <v>2047</v>
      </c>
      <c r="C544" s="26"/>
      <c r="D544" s="14"/>
      <c r="E544" s="15"/>
      <c r="F544" s="16"/>
      <c r="G544">
        <f t="shared" si="37"/>
        <v>0</v>
      </c>
    </row>
    <row r="545" spans="1:7" hidden="1" x14ac:dyDescent="0.25">
      <c r="A545" s="85" t="s">
        <v>2048</v>
      </c>
      <c r="B545" s="88" t="s">
        <v>2032</v>
      </c>
      <c r="C545" s="26" t="s">
        <v>37</v>
      </c>
      <c r="D545" s="14"/>
      <c r="E545" s="15"/>
      <c r="F545" s="16">
        <f t="shared" ref="F545:F575" si="39">+D545*E545</f>
        <v>0</v>
      </c>
      <c r="G545">
        <f t="shared" si="37"/>
        <v>0</v>
      </c>
    </row>
    <row r="546" spans="1:7" hidden="1" x14ac:dyDescent="0.25">
      <c r="A546" s="85" t="s">
        <v>2064</v>
      </c>
      <c r="B546" s="113" t="s">
        <v>2033</v>
      </c>
      <c r="C546" s="26" t="s">
        <v>37</v>
      </c>
      <c r="D546" s="14"/>
      <c r="E546" s="15"/>
      <c r="F546" s="16">
        <f t="shared" si="39"/>
        <v>0</v>
      </c>
      <c r="G546">
        <f t="shared" si="37"/>
        <v>0</v>
      </c>
    </row>
    <row r="547" spans="1:7" hidden="1" x14ac:dyDescent="0.25">
      <c r="A547" s="85" t="s">
        <v>2065</v>
      </c>
      <c r="B547" s="88" t="s">
        <v>2034</v>
      </c>
      <c r="C547" s="26" t="s">
        <v>37</v>
      </c>
      <c r="D547" s="14"/>
      <c r="E547" s="15"/>
      <c r="F547" s="16">
        <f t="shared" si="39"/>
        <v>0</v>
      </c>
      <c r="G547">
        <f t="shared" si="37"/>
        <v>0</v>
      </c>
    </row>
    <row r="548" spans="1:7" hidden="1" x14ac:dyDescent="0.25">
      <c r="A548" s="85" t="s">
        <v>2066</v>
      </c>
      <c r="B548" s="88" t="s">
        <v>2035</v>
      </c>
      <c r="C548" s="26" t="s">
        <v>37</v>
      </c>
      <c r="D548" s="14"/>
      <c r="E548" s="15"/>
      <c r="F548" s="16">
        <f t="shared" si="39"/>
        <v>0</v>
      </c>
      <c r="G548">
        <f t="shared" si="37"/>
        <v>0</v>
      </c>
    </row>
    <row r="549" spans="1:7" hidden="1" x14ac:dyDescent="0.25">
      <c r="A549" s="85" t="s">
        <v>2067</v>
      </c>
      <c r="B549" s="113" t="s">
        <v>2036</v>
      </c>
      <c r="C549" s="26" t="s">
        <v>37</v>
      </c>
      <c r="D549" s="14"/>
      <c r="E549" s="15"/>
      <c r="F549" s="16">
        <f t="shared" si="39"/>
        <v>0</v>
      </c>
      <c r="G549">
        <f t="shared" si="37"/>
        <v>0</v>
      </c>
    </row>
    <row r="550" spans="1:7" hidden="1" x14ac:dyDescent="0.25">
      <c r="A550" s="85" t="s">
        <v>2068</v>
      </c>
      <c r="B550" s="113" t="s">
        <v>2037</v>
      </c>
      <c r="C550" s="26" t="s">
        <v>37</v>
      </c>
      <c r="D550" s="14"/>
      <c r="E550" s="15"/>
      <c r="F550" s="16">
        <f t="shared" si="39"/>
        <v>0</v>
      </c>
      <c r="G550">
        <f t="shared" si="37"/>
        <v>0</v>
      </c>
    </row>
    <row r="551" spans="1:7" hidden="1" x14ac:dyDescent="0.25">
      <c r="A551" s="85" t="s">
        <v>2069</v>
      </c>
      <c r="B551" s="88" t="s">
        <v>2038</v>
      </c>
      <c r="C551" s="26" t="s">
        <v>37</v>
      </c>
      <c r="D551" s="14"/>
      <c r="E551" s="15"/>
      <c r="F551" s="16">
        <f t="shared" si="39"/>
        <v>0</v>
      </c>
      <c r="G551">
        <f t="shared" si="37"/>
        <v>0</v>
      </c>
    </row>
    <row r="552" spans="1:7" hidden="1" x14ac:dyDescent="0.25">
      <c r="A552" s="85" t="s">
        <v>2070</v>
      </c>
      <c r="B552" s="113" t="s">
        <v>2039</v>
      </c>
      <c r="C552" s="26" t="s">
        <v>37</v>
      </c>
      <c r="D552" s="14"/>
      <c r="E552" s="15"/>
      <c r="F552" s="16">
        <f t="shared" si="39"/>
        <v>0</v>
      </c>
      <c r="G552">
        <f t="shared" si="37"/>
        <v>0</v>
      </c>
    </row>
    <row r="553" spans="1:7" hidden="1" x14ac:dyDescent="0.25">
      <c r="A553" s="85" t="s">
        <v>2071</v>
      </c>
      <c r="B553" s="88" t="s">
        <v>2040</v>
      </c>
      <c r="C553" s="26" t="s">
        <v>37</v>
      </c>
      <c r="D553" s="14"/>
      <c r="E553" s="15"/>
      <c r="F553" s="16">
        <f t="shared" si="39"/>
        <v>0</v>
      </c>
      <c r="G553">
        <f t="shared" si="37"/>
        <v>0</v>
      </c>
    </row>
    <row r="554" spans="1:7" hidden="1" x14ac:dyDescent="0.25">
      <c r="A554" s="85" t="s">
        <v>2072</v>
      </c>
      <c r="B554" s="113" t="s">
        <v>2041</v>
      </c>
      <c r="C554" s="26" t="s">
        <v>37</v>
      </c>
      <c r="D554" s="14"/>
      <c r="E554" s="15"/>
      <c r="F554" s="16">
        <f t="shared" si="39"/>
        <v>0</v>
      </c>
      <c r="G554">
        <f t="shared" si="37"/>
        <v>0</v>
      </c>
    </row>
    <row r="555" spans="1:7" hidden="1" x14ac:dyDescent="0.25">
      <c r="A555" s="85" t="s">
        <v>2073</v>
      </c>
      <c r="B555" s="88" t="s">
        <v>2042</v>
      </c>
      <c r="C555" s="26" t="s">
        <v>37</v>
      </c>
      <c r="D555" s="14"/>
      <c r="E555" s="15"/>
      <c r="F555" s="16">
        <f t="shared" si="39"/>
        <v>0</v>
      </c>
      <c r="G555">
        <f t="shared" si="37"/>
        <v>0</v>
      </c>
    </row>
    <row r="556" spans="1:7" hidden="1" x14ac:dyDescent="0.25">
      <c r="A556" s="85" t="s">
        <v>2074</v>
      </c>
      <c r="B556" s="113" t="s">
        <v>2043</v>
      </c>
      <c r="C556" s="26" t="s">
        <v>37</v>
      </c>
      <c r="D556" s="14"/>
      <c r="E556" s="15"/>
      <c r="F556" s="16">
        <f t="shared" si="39"/>
        <v>0</v>
      </c>
      <c r="G556">
        <f t="shared" si="37"/>
        <v>0</v>
      </c>
    </row>
    <row r="557" spans="1:7" hidden="1" x14ac:dyDescent="0.25">
      <c r="A557" s="85" t="s">
        <v>2075</v>
      </c>
      <c r="B557" s="88" t="s">
        <v>2044</v>
      </c>
      <c r="C557" s="26" t="s">
        <v>37</v>
      </c>
      <c r="D557" s="14"/>
      <c r="E557" s="15"/>
      <c r="F557" s="16">
        <f t="shared" si="39"/>
        <v>0</v>
      </c>
      <c r="G557">
        <f t="shared" si="37"/>
        <v>0</v>
      </c>
    </row>
    <row r="558" spans="1:7" hidden="1" x14ac:dyDescent="0.25">
      <c r="A558" s="85" t="s">
        <v>2076</v>
      </c>
      <c r="B558" s="88" t="s">
        <v>2045</v>
      </c>
      <c r="C558" s="26" t="s">
        <v>37</v>
      </c>
      <c r="D558" s="14"/>
      <c r="E558" s="15"/>
      <c r="F558" s="16">
        <f t="shared" si="39"/>
        <v>0</v>
      </c>
      <c r="G558">
        <f t="shared" si="37"/>
        <v>0</v>
      </c>
    </row>
    <row r="559" spans="1:7" hidden="1" x14ac:dyDescent="0.25">
      <c r="A559" s="85" t="s">
        <v>2077</v>
      </c>
      <c r="B559" s="88" t="s">
        <v>2046</v>
      </c>
      <c r="C559" s="26" t="s">
        <v>37</v>
      </c>
      <c r="D559" s="14"/>
      <c r="E559" s="15"/>
      <c r="F559" s="16">
        <f t="shared" si="39"/>
        <v>0</v>
      </c>
      <c r="G559">
        <f t="shared" si="37"/>
        <v>0</v>
      </c>
    </row>
    <row r="560" spans="1:7" hidden="1" x14ac:dyDescent="0.25">
      <c r="A560" s="78" t="s">
        <v>2079</v>
      </c>
      <c r="B560" s="79" t="s">
        <v>2078</v>
      </c>
      <c r="C560" s="26" t="s">
        <v>37</v>
      </c>
      <c r="D560" s="14"/>
      <c r="E560" s="15"/>
      <c r="F560" s="16">
        <f t="shared" si="39"/>
        <v>0</v>
      </c>
      <c r="G560">
        <f t="shared" si="37"/>
        <v>0</v>
      </c>
    </row>
    <row r="561" spans="1:7" hidden="1" x14ac:dyDescent="0.25">
      <c r="A561" s="85" t="s">
        <v>2080</v>
      </c>
      <c r="B561" s="88" t="s">
        <v>2032</v>
      </c>
      <c r="C561" s="26" t="s">
        <v>37</v>
      </c>
      <c r="D561" s="14"/>
      <c r="E561" s="15"/>
      <c r="F561" s="16">
        <f t="shared" si="39"/>
        <v>0</v>
      </c>
      <c r="G561">
        <f t="shared" si="37"/>
        <v>0</v>
      </c>
    </row>
    <row r="562" spans="1:7" hidden="1" x14ac:dyDescent="0.25">
      <c r="A562" s="85" t="s">
        <v>2081</v>
      </c>
      <c r="B562" s="113" t="s">
        <v>2033</v>
      </c>
      <c r="C562" s="26" t="s">
        <v>37</v>
      </c>
      <c r="D562" s="14"/>
      <c r="E562" s="15"/>
      <c r="F562" s="16">
        <f t="shared" si="39"/>
        <v>0</v>
      </c>
      <c r="G562">
        <f t="shared" si="37"/>
        <v>0</v>
      </c>
    </row>
    <row r="563" spans="1:7" hidden="1" x14ac:dyDescent="0.25">
      <c r="A563" s="85" t="s">
        <v>2082</v>
      </c>
      <c r="B563" s="88" t="s">
        <v>2034</v>
      </c>
      <c r="C563" s="26" t="s">
        <v>37</v>
      </c>
      <c r="D563" s="14"/>
      <c r="E563" s="15"/>
      <c r="F563" s="16">
        <f t="shared" si="39"/>
        <v>0</v>
      </c>
      <c r="G563">
        <f t="shared" si="37"/>
        <v>0</v>
      </c>
    </row>
    <row r="564" spans="1:7" hidden="1" x14ac:dyDescent="0.25">
      <c r="A564" s="85" t="s">
        <v>2083</v>
      </c>
      <c r="B564" s="88" t="s">
        <v>2035</v>
      </c>
      <c r="C564" s="26" t="s">
        <v>37</v>
      </c>
      <c r="D564" s="14"/>
      <c r="E564" s="15"/>
      <c r="F564" s="16">
        <f t="shared" si="39"/>
        <v>0</v>
      </c>
      <c r="G564">
        <f t="shared" si="37"/>
        <v>0</v>
      </c>
    </row>
    <row r="565" spans="1:7" hidden="1" x14ac:dyDescent="0.25">
      <c r="A565" s="85" t="s">
        <v>2084</v>
      </c>
      <c r="B565" s="113" t="s">
        <v>2036</v>
      </c>
      <c r="C565" s="26" t="s">
        <v>37</v>
      </c>
      <c r="D565" s="14"/>
      <c r="E565" s="15"/>
      <c r="F565" s="16">
        <f t="shared" si="39"/>
        <v>0</v>
      </c>
      <c r="G565">
        <f t="shared" si="37"/>
        <v>0</v>
      </c>
    </row>
    <row r="566" spans="1:7" hidden="1" x14ac:dyDescent="0.25">
      <c r="A566" s="85" t="s">
        <v>2085</v>
      </c>
      <c r="B566" s="113" t="s">
        <v>2037</v>
      </c>
      <c r="C566" s="26" t="s">
        <v>37</v>
      </c>
      <c r="D566" s="14"/>
      <c r="E566" s="15"/>
      <c r="F566" s="16">
        <f t="shared" si="39"/>
        <v>0</v>
      </c>
      <c r="G566">
        <f t="shared" si="37"/>
        <v>0</v>
      </c>
    </row>
    <row r="567" spans="1:7" hidden="1" x14ac:dyDescent="0.25">
      <c r="A567" s="85" t="s">
        <v>2086</v>
      </c>
      <c r="B567" s="88" t="s">
        <v>2038</v>
      </c>
      <c r="C567" s="26" t="s">
        <v>37</v>
      </c>
      <c r="D567" s="14"/>
      <c r="E567" s="15"/>
      <c r="F567" s="16">
        <f t="shared" si="39"/>
        <v>0</v>
      </c>
      <c r="G567">
        <f t="shared" si="37"/>
        <v>0</v>
      </c>
    </row>
    <row r="568" spans="1:7" hidden="1" x14ac:dyDescent="0.25">
      <c r="A568" s="85" t="s">
        <v>2087</v>
      </c>
      <c r="B568" s="113" t="s">
        <v>2039</v>
      </c>
      <c r="C568" s="26" t="s">
        <v>37</v>
      </c>
      <c r="D568" s="14"/>
      <c r="E568" s="15"/>
      <c r="F568" s="16">
        <f t="shared" si="39"/>
        <v>0</v>
      </c>
      <c r="G568">
        <f t="shared" si="37"/>
        <v>0</v>
      </c>
    </row>
    <row r="569" spans="1:7" hidden="1" x14ac:dyDescent="0.25">
      <c r="A569" s="85" t="s">
        <v>2088</v>
      </c>
      <c r="B569" s="88" t="s">
        <v>2040</v>
      </c>
      <c r="C569" s="26" t="s">
        <v>37</v>
      </c>
      <c r="D569" s="14"/>
      <c r="E569" s="15"/>
      <c r="F569" s="16">
        <f t="shared" si="39"/>
        <v>0</v>
      </c>
      <c r="G569">
        <f t="shared" si="37"/>
        <v>0</v>
      </c>
    </row>
    <row r="570" spans="1:7" hidden="1" x14ac:dyDescent="0.25">
      <c r="A570" s="85" t="s">
        <v>2089</v>
      </c>
      <c r="B570" s="113" t="s">
        <v>2041</v>
      </c>
      <c r="C570" s="26" t="s">
        <v>37</v>
      </c>
      <c r="D570" s="14"/>
      <c r="E570" s="15"/>
      <c r="F570" s="16">
        <f t="shared" si="39"/>
        <v>0</v>
      </c>
      <c r="G570">
        <f t="shared" si="37"/>
        <v>0</v>
      </c>
    </row>
    <row r="571" spans="1:7" hidden="1" x14ac:dyDescent="0.25">
      <c r="A571" s="85" t="s">
        <v>2090</v>
      </c>
      <c r="B571" s="88" t="s">
        <v>2042</v>
      </c>
      <c r="C571" s="26" t="s">
        <v>37</v>
      </c>
      <c r="D571" s="14"/>
      <c r="E571" s="15"/>
      <c r="F571" s="16">
        <f t="shared" si="39"/>
        <v>0</v>
      </c>
      <c r="G571">
        <f t="shared" si="37"/>
        <v>0</v>
      </c>
    </row>
    <row r="572" spans="1:7" hidden="1" x14ac:dyDescent="0.25">
      <c r="A572" s="85" t="s">
        <v>2091</v>
      </c>
      <c r="B572" s="113" t="s">
        <v>2043</v>
      </c>
      <c r="C572" s="26" t="s">
        <v>37</v>
      </c>
      <c r="D572" s="14"/>
      <c r="E572" s="15"/>
      <c r="F572" s="16">
        <f t="shared" si="39"/>
        <v>0</v>
      </c>
      <c r="G572">
        <f t="shared" si="37"/>
        <v>0</v>
      </c>
    </row>
    <row r="573" spans="1:7" hidden="1" x14ac:dyDescent="0.25">
      <c r="A573" s="85" t="s">
        <v>2092</v>
      </c>
      <c r="B573" s="88" t="s">
        <v>2044</v>
      </c>
      <c r="C573" s="26" t="s">
        <v>37</v>
      </c>
      <c r="D573" s="14"/>
      <c r="E573" s="15"/>
      <c r="F573" s="16">
        <f t="shared" si="39"/>
        <v>0</v>
      </c>
      <c r="G573">
        <f t="shared" si="37"/>
        <v>0</v>
      </c>
    </row>
    <row r="574" spans="1:7" hidden="1" x14ac:dyDescent="0.25">
      <c r="A574" s="85" t="s">
        <v>2093</v>
      </c>
      <c r="B574" s="88" t="s">
        <v>2045</v>
      </c>
      <c r="C574" s="26" t="s">
        <v>37</v>
      </c>
      <c r="D574" s="14"/>
      <c r="E574" s="15"/>
      <c r="F574" s="16">
        <f t="shared" si="39"/>
        <v>0</v>
      </c>
      <c r="G574">
        <f t="shared" si="37"/>
        <v>0</v>
      </c>
    </row>
    <row r="575" spans="1:7" hidden="1" x14ac:dyDescent="0.25">
      <c r="A575" s="85" t="s">
        <v>2094</v>
      </c>
      <c r="B575" s="88" t="s">
        <v>2046</v>
      </c>
      <c r="C575" s="26" t="s">
        <v>37</v>
      </c>
      <c r="D575" s="14"/>
      <c r="E575" s="15"/>
      <c r="F575" s="16">
        <f t="shared" si="39"/>
        <v>0</v>
      </c>
      <c r="G575">
        <f t="shared" si="37"/>
        <v>0</v>
      </c>
    </row>
    <row r="576" spans="1:7" hidden="1" x14ac:dyDescent="0.25">
      <c r="A576" s="85" t="s">
        <v>2096</v>
      </c>
      <c r="B576" s="79" t="s">
        <v>2095</v>
      </c>
      <c r="C576" s="26"/>
      <c r="D576" s="14"/>
      <c r="E576" s="15"/>
      <c r="F576" s="16"/>
      <c r="G576">
        <f t="shared" si="37"/>
        <v>0</v>
      </c>
    </row>
    <row r="577" spans="1:7" hidden="1" x14ac:dyDescent="0.25">
      <c r="A577" s="78" t="s">
        <v>2098</v>
      </c>
      <c r="B577" s="79" t="s">
        <v>2097</v>
      </c>
      <c r="C577" s="26"/>
      <c r="D577" s="14"/>
      <c r="E577" s="15"/>
      <c r="F577" s="16"/>
      <c r="G577">
        <f t="shared" si="37"/>
        <v>0</v>
      </c>
    </row>
    <row r="578" spans="1:7" hidden="1" x14ac:dyDescent="0.25">
      <c r="A578" s="85" t="s">
        <v>2099</v>
      </c>
      <c r="B578" s="88" t="s">
        <v>2100</v>
      </c>
      <c r="C578" s="26" t="s">
        <v>37</v>
      </c>
      <c r="D578" s="14"/>
      <c r="E578" s="15"/>
      <c r="F578" s="16">
        <f t="shared" ref="F578:F592" si="40">+D578*E578</f>
        <v>0</v>
      </c>
      <c r="G578">
        <f t="shared" si="37"/>
        <v>0</v>
      </c>
    </row>
    <row r="579" spans="1:7" hidden="1" x14ac:dyDescent="0.25">
      <c r="A579" s="85" t="s">
        <v>2116</v>
      </c>
      <c r="B579" s="88" t="s">
        <v>2101</v>
      </c>
      <c r="C579" s="26" t="s">
        <v>37</v>
      </c>
      <c r="D579" s="14"/>
      <c r="E579" s="15"/>
      <c r="F579" s="16">
        <f t="shared" si="40"/>
        <v>0</v>
      </c>
      <c r="G579">
        <f t="shared" si="37"/>
        <v>0</v>
      </c>
    </row>
    <row r="580" spans="1:7" hidden="1" x14ac:dyDescent="0.25">
      <c r="A580" s="85" t="s">
        <v>2117</v>
      </c>
      <c r="B580" s="88" t="s">
        <v>2102</v>
      </c>
      <c r="C580" s="26" t="s">
        <v>37</v>
      </c>
      <c r="D580" s="14"/>
      <c r="E580" s="15"/>
      <c r="F580" s="16">
        <f t="shared" si="40"/>
        <v>0</v>
      </c>
      <c r="G580">
        <f t="shared" si="37"/>
        <v>0</v>
      </c>
    </row>
    <row r="581" spans="1:7" hidden="1" x14ac:dyDescent="0.25">
      <c r="A581" s="85" t="s">
        <v>2118</v>
      </c>
      <c r="B581" s="88" t="s">
        <v>2103</v>
      </c>
      <c r="C581" s="26" t="s">
        <v>37</v>
      </c>
      <c r="D581" s="14"/>
      <c r="E581" s="15"/>
      <c r="F581" s="16">
        <f t="shared" si="40"/>
        <v>0</v>
      </c>
      <c r="G581">
        <f t="shared" si="37"/>
        <v>0</v>
      </c>
    </row>
    <row r="582" spans="1:7" hidden="1" x14ac:dyDescent="0.25">
      <c r="A582" s="85" t="s">
        <v>2119</v>
      </c>
      <c r="B582" s="88" t="s">
        <v>2105</v>
      </c>
      <c r="C582" s="26" t="s">
        <v>37</v>
      </c>
      <c r="D582" s="14"/>
      <c r="E582" s="15"/>
      <c r="F582" s="16">
        <f t="shared" si="40"/>
        <v>0</v>
      </c>
      <c r="G582">
        <f t="shared" si="37"/>
        <v>0</v>
      </c>
    </row>
    <row r="583" spans="1:7" hidden="1" x14ac:dyDescent="0.25">
      <c r="A583" s="85" t="s">
        <v>2120</v>
      </c>
      <c r="B583" s="88" t="s">
        <v>2104</v>
      </c>
      <c r="C583" s="26" t="s">
        <v>37</v>
      </c>
      <c r="D583" s="14"/>
      <c r="E583" s="15"/>
      <c r="F583" s="16">
        <f t="shared" si="40"/>
        <v>0</v>
      </c>
      <c r="G583">
        <f t="shared" si="37"/>
        <v>0</v>
      </c>
    </row>
    <row r="584" spans="1:7" hidden="1" x14ac:dyDescent="0.25">
      <c r="A584" s="85" t="s">
        <v>2121</v>
      </c>
      <c r="B584" s="88" t="s">
        <v>2106</v>
      </c>
      <c r="C584" s="26" t="s">
        <v>37</v>
      </c>
      <c r="D584" s="14"/>
      <c r="E584" s="15"/>
      <c r="F584" s="16">
        <f t="shared" si="40"/>
        <v>0</v>
      </c>
      <c r="G584">
        <f t="shared" si="37"/>
        <v>0</v>
      </c>
    </row>
    <row r="585" spans="1:7" hidden="1" x14ac:dyDescent="0.25">
      <c r="A585" s="85" t="s">
        <v>2122</v>
      </c>
      <c r="B585" s="88" t="s">
        <v>2107</v>
      </c>
      <c r="C585" s="26" t="s">
        <v>37</v>
      </c>
      <c r="D585" s="14"/>
      <c r="E585" s="15"/>
      <c r="F585" s="16">
        <f t="shared" si="40"/>
        <v>0</v>
      </c>
      <c r="G585">
        <f t="shared" ref="G585:G610" si="41">+IF(F585&lt;&gt;0,1,0)</f>
        <v>0</v>
      </c>
    </row>
    <row r="586" spans="1:7" hidden="1" x14ac:dyDescent="0.25">
      <c r="A586" s="85" t="s">
        <v>2123</v>
      </c>
      <c r="B586" s="88" t="s">
        <v>2108</v>
      </c>
      <c r="C586" s="26" t="s">
        <v>37</v>
      </c>
      <c r="D586" s="14"/>
      <c r="E586" s="15"/>
      <c r="F586" s="16">
        <f t="shared" si="40"/>
        <v>0</v>
      </c>
      <c r="G586">
        <f t="shared" si="41"/>
        <v>0</v>
      </c>
    </row>
    <row r="587" spans="1:7" hidden="1" x14ac:dyDescent="0.25">
      <c r="A587" s="85" t="s">
        <v>2124</v>
      </c>
      <c r="B587" s="88" t="s">
        <v>2109</v>
      </c>
      <c r="C587" s="26" t="s">
        <v>37</v>
      </c>
      <c r="D587" s="14"/>
      <c r="E587" s="15"/>
      <c r="F587" s="16">
        <f t="shared" si="40"/>
        <v>0</v>
      </c>
      <c r="G587">
        <f t="shared" si="41"/>
        <v>0</v>
      </c>
    </row>
    <row r="588" spans="1:7" hidden="1" x14ac:dyDescent="0.25">
      <c r="A588" s="85" t="s">
        <v>2125</v>
      </c>
      <c r="B588" s="88" t="s">
        <v>2110</v>
      </c>
      <c r="C588" s="26" t="s">
        <v>37</v>
      </c>
      <c r="D588" s="14"/>
      <c r="E588" s="15"/>
      <c r="F588" s="16">
        <f t="shared" si="40"/>
        <v>0</v>
      </c>
      <c r="G588">
        <f t="shared" si="41"/>
        <v>0</v>
      </c>
    </row>
    <row r="589" spans="1:7" hidden="1" x14ac:dyDescent="0.25">
      <c r="A589" s="85" t="s">
        <v>2126</v>
      </c>
      <c r="B589" s="88" t="s">
        <v>2111</v>
      </c>
      <c r="C589" s="26" t="s">
        <v>37</v>
      </c>
      <c r="D589" s="14"/>
      <c r="E589" s="15"/>
      <c r="F589" s="16">
        <f t="shared" si="40"/>
        <v>0</v>
      </c>
      <c r="G589">
        <f t="shared" si="41"/>
        <v>0</v>
      </c>
    </row>
    <row r="590" spans="1:7" hidden="1" x14ac:dyDescent="0.25">
      <c r="A590" s="85" t="s">
        <v>2127</v>
      </c>
      <c r="B590" s="88" t="s">
        <v>2112</v>
      </c>
      <c r="C590" s="26" t="s">
        <v>37</v>
      </c>
      <c r="D590" s="14"/>
      <c r="E590" s="15"/>
      <c r="F590" s="16">
        <f t="shared" si="40"/>
        <v>0</v>
      </c>
      <c r="G590">
        <f t="shared" si="41"/>
        <v>0</v>
      </c>
    </row>
    <row r="591" spans="1:7" hidden="1" x14ac:dyDescent="0.25">
      <c r="A591" s="85" t="s">
        <v>2128</v>
      </c>
      <c r="B591" s="88" t="s">
        <v>2113</v>
      </c>
      <c r="C591" s="26" t="s">
        <v>37</v>
      </c>
      <c r="D591" s="14"/>
      <c r="E591" s="15"/>
      <c r="F591" s="16">
        <f t="shared" si="40"/>
        <v>0</v>
      </c>
      <c r="G591">
        <f t="shared" si="41"/>
        <v>0</v>
      </c>
    </row>
    <row r="592" spans="1:7" hidden="1" x14ac:dyDescent="0.25">
      <c r="A592" s="85" t="s">
        <v>2129</v>
      </c>
      <c r="B592" s="88" t="s">
        <v>2114</v>
      </c>
      <c r="C592" s="26" t="s">
        <v>37</v>
      </c>
      <c r="D592" s="14"/>
      <c r="E592" s="15"/>
      <c r="F592" s="16">
        <f t="shared" si="40"/>
        <v>0</v>
      </c>
      <c r="G592">
        <f t="shared" si="41"/>
        <v>0</v>
      </c>
    </row>
    <row r="593" spans="1:7" hidden="1" x14ac:dyDescent="0.25">
      <c r="A593" s="78" t="s">
        <v>2130</v>
      </c>
      <c r="B593" s="79" t="s">
        <v>2115</v>
      </c>
      <c r="C593" s="26"/>
      <c r="D593" s="14"/>
      <c r="E593" s="15"/>
      <c r="F593" s="16"/>
      <c r="G593">
        <f t="shared" si="41"/>
        <v>0</v>
      </c>
    </row>
    <row r="594" spans="1:7" hidden="1" x14ac:dyDescent="0.25">
      <c r="A594" s="85" t="s">
        <v>2131</v>
      </c>
      <c r="B594" s="88" t="s">
        <v>2100</v>
      </c>
      <c r="C594" s="26" t="s">
        <v>37</v>
      </c>
      <c r="D594" s="14"/>
      <c r="E594" s="15"/>
      <c r="F594" s="16">
        <f t="shared" ref="F594:F608" si="42">+D594*E594</f>
        <v>0</v>
      </c>
      <c r="G594">
        <f t="shared" si="41"/>
        <v>0</v>
      </c>
    </row>
    <row r="595" spans="1:7" hidden="1" x14ac:dyDescent="0.25">
      <c r="A595" s="85" t="s">
        <v>2132</v>
      </c>
      <c r="B595" s="88" t="s">
        <v>2101</v>
      </c>
      <c r="C595" s="26" t="s">
        <v>37</v>
      </c>
      <c r="D595" s="14"/>
      <c r="E595" s="15"/>
      <c r="F595" s="16">
        <f t="shared" si="42"/>
        <v>0</v>
      </c>
      <c r="G595">
        <f t="shared" si="41"/>
        <v>0</v>
      </c>
    </row>
    <row r="596" spans="1:7" hidden="1" x14ac:dyDescent="0.25">
      <c r="A596" s="85" t="s">
        <v>2133</v>
      </c>
      <c r="B596" s="88" t="s">
        <v>2102</v>
      </c>
      <c r="C596" s="26" t="s">
        <v>37</v>
      </c>
      <c r="D596" s="14"/>
      <c r="E596" s="15"/>
      <c r="F596" s="16">
        <f t="shared" si="42"/>
        <v>0</v>
      </c>
      <c r="G596">
        <f t="shared" si="41"/>
        <v>0</v>
      </c>
    </row>
    <row r="597" spans="1:7" hidden="1" x14ac:dyDescent="0.25">
      <c r="A597" s="85" t="s">
        <v>2134</v>
      </c>
      <c r="B597" s="88" t="s">
        <v>2103</v>
      </c>
      <c r="C597" s="26" t="s">
        <v>37</v>
      </c>
      <c r="D597" s="14"/>
      <c r="E597" s="15"/>
      <c r="F597" s="16">
        <f t="shared" si="42"/>
        <v>0</v>
      </c>
      <c r="G597">
        <f t="shared" si="41"/>
        <v>0</v>
      </c>
    </row>
    <row r="598" spans="1:7" hidden="1" x14ac:dyDescent="0.25">
      <c r="A598" s="85" t="s">
        <v>2135</v>
      </c>
      <c r="B598" s="88" t="s">
        <v>2105</v>
      </c>
      <c r="C598" s="26" t="s">
        <v>37</v>
      </c>
      <c r="D598" s="14"/>
      <c r="E598" s="15"/>
      <c r="F598" s="16">
        <f t="shared" si="42"/>
        <v>0</v>
      </c>
      <c r="G598">
        <f t="shared" si="41"/>
        <v>0</v>
      </c>
    </row>
    <row r="599" spans="1:7" hidden="1" x14ac:dyDescent="0.25">
      <c r="A599" s="85" t="s">
        <v>2136</v>
      </c>
      <c r="B599" s="88" t="s">
        <v>2104</v>
      </c>
      <c r="C599" s="26" t="s">
        <v>37</v>
      </c>
      <c r="D599" s="14"/>
      <c r="E599" s="15"/>
      <c r="F599" s="16">
        <f t="shared" si="42"/>
        <v>0</v>
      </c>
      <c r="G599">
        <f t="shared" si="41"/>
        <v>0</v>
      </c>
    </row>
    <row r="600" spans="1:7" hidden="1" x14ac:dyDescent="0.25">
      <c r="A600" s="85" t="s">
        <v>2137</v>
      </c>
      <c r="B600" s="88" t="s">
        <v>2106</v>
      </c>
      <c r="C600" s="26" t="s">
        <v>37</v>
      </c>
      <c r="D600" s="14"/>
      <c r="E600" s="15"/>
      <c r="F600" s="16">
        <f t="shared" si="42"/>
        <v>0</v>
      </c>
      <c r="G600">
        <f t="shared" si="41"/>
        <v>0</v>
      </c>
    </row>
    <row r="601" spans="1:7" hidden="1" x14ac:dyDescent="0.25">
      <c r="A601" s="85" t="s">
        <v>2138</v>
      </c>
      <c r="B601" s="88" t="s">
        <v>2107</v>
      </c>
      <c r="C601" s="26" t="s">
        <v>37</v>
      </c>
      <c r="D601" s="14"/>
      <c r="E601" s="15"/>
      <c r="F601" s="16">
        <f t="shared" si="42"/>
        <v>0</v>
      </c>
      <c r="G601">
        <f t="shared" si="41"/>
        <v>0</v>
      </c>
    </row>
    <row r="602" spans="1:7" hidden="1" x14ac:dyDescent="0.25">
      <c r="A602" s="85" t="s">
        <v>2139</v>
      </c>
      <c r="B602" s="88" t="s">
        <v>2108</v>
      </c>
      <c r="C602" s="26" t="s">
        <v>37</v>
      </c>
      <c r="D602" s="14"/>
      <c r="E602" s="15"/>
      <c r="F602" s="16">
        <f t="shared" si="42"/>
        <v>0</v>
      </c>
      <c r="G602">
        <f t="shared" si="41"/>
        <v>0</v>
      </c>
    </row>
    <row r="603" spans="1:7" hidden="1" x14ac:dyDescent="0.25">
      <c r="A603" s="85" t="s">
        <v>2140</v>
      </c>
      <c r="B603" s="88" t="s">
        <v>2109</v>
      </c>
      <c r="C603" s="26" t="s">
        <v>37</v>
      </c>
      <c r="D603" s="14"/>
      <c r="E603" s="15"/>
      <c r="F603" s="16">
        <f t="shared" si="42"/>
        <v>0</v>
      </c>
      <c r="G603">
        <f t="shared" si="41"/>
        <v>0</v>
      </c>
    </row>
    <row r="604" spans="1:7" hidden="1" x14ac:dyDescent="0.25">
      <c r="A604" s="85" t="s">
        <v>2141</v>
      </c>
      <c r="B604" s="88" t="s">
        <v>2110</v>
      </c>
      <c r="C604" s="26" t="s">
        <v>37</v>
      </c>
      <c r="D604" s="14"/>
      <c r="E604" s="15"/>
      <c r="F604" s="16">
        <f t="shared" si="42"/>
        <v>0</v>
      </c>
      <c r="G604">
        <f t="shared" si="41"/>
        <v>0</v>
      </c>
    </row>
    <row r="605" spans="1:7" hidden="1" x14ac:dyDescent="0.25">
      <c r="A605" s="85" t="s">
        <v>2142</v>
      </c>
      <c r="B605" s="88" t="s">
        <v>2111</v>
      </c>
      <c r="C605" s="26" t="s">
        <v>37</v>
      </c>
      <c r="D605" s="14"/>
      <c r="E605" s="15"/>
      <c r="F605" s="16">
        <f t="shared" si="42"/>
        <v>0</v>
      </c>
      <c r="G605">
        <f t="shared" si="41"/>
        <v>0</v>
      </c>
    </row>
    <row r="606" spans="1:7" hidden="1" x14ac:dyDescent="0.25">
      <c r="A606" s="85" t="s">
        <v>2143</v>
      </c>
      <c r="B606" s="88" t="s">
        <v>2112</v>
      </c>
      <c r="C606" s="26" t="s">
        <v>37</v>
      </c>
      <c r="D606" s="14"/>
      <c r="E606" s="15"/>
      <c r="F606" s="16">
        <f t="shared" si="42"/>
        <v>0</v>
      </c>
      <c r="G606">
        <f t="shared" si="41"/>
        <v>0</v>
      </c>
    </row>
    <row r="607" spans="1:7" hidden="1" x14ac:dyDescent="0.25">
      <c r="A607" s="85" t="s">
        <v>2144</v>
      </c>
      <c r="B607" s="88" t="s">
        <v>2113</v>
      </c>
      <c r="C607" s="26" t="s">
        <v>37</v>
      </c>
      <c r="D607" s="14"/>
      <c r="E607" s="15"/>
      <c r="F607" s="16">
        <f t="shared" si="42"/>
        <v>0</v>
      </c>
      <c r="G607">
        <f t="shared" si="41"/>
        <v>0</v>
      </c>
    </row>
    <row r="608" spans="1:7" hidden="1" x14ac:dyDescent="0.25">
      <c r="A608" s="85" t="s">
        <v>2145</v>
      </c>
      <c r="B608" s="88" t="s">
        <v>2114</v>
      </c>
      <c r="C608" s="26" t="s">
        <v>37</v>
      </c>
      <c r="D608" s="14"/>
      <c r="E608" s="15"/>
      <c r="F608" s="16">
        <f t="shared" si="42"/>
        <v>0</v>
      </c>
      <c r="G608">
        <f t="shared" si="41"/>
        <v>0</v>
      </c>
    </row>
    <row r="609" spans="1:7" hidden="1" x14ac:dyDescent="0.25">
      <c r="A609" s="44" t="s">
        <v>954</v>
      </c>
      <c r="B609" s="80" t="s">
        <v>2146</v>
      </c>
      <c r="C609" s="26"/>
      <c r="D609" s="14"/>
      <c r="E609" s="15"/>
      <c r="F609" s="16"/>
      <c r="G609">
        <f t="shared" si="41"/>
        <v>0</v>
      </c>
    </row>
    <row r="610" spans="1:7" hidden="1" x14ac:dyDescent="0.25">
      <c r="A610" s="78" t="s">
        <v>2157</v>
      </c>
      <c r="B610" s="79" t="s">
        <v>2147</v>
      </c>
      <c r="C610" s="26"/>
      <c r="D610" s="14"/>
      <c r="E610" s="15"/>
      <c r="F610" s="16"/>
      <c r="G610">
        <f t="shared" si="41"/>
        <v>0</v>
      </c>
    </row>
    <row r="611" spans="1:7" hidden="1" x14ac:dyDescent="0.25">
      <c r="A611" s="85" t="s">
        <v>2158</v>
      </c>
      <c r="B611" s="88" t="s">
        <v>2148</v>
      </c>
      <c r="C611" s="26" t="s">
        <v>37</v>
      </c>
      <c r="D611" s="14"/>
      <c r="E611" s="15"/>
      <c r="F611" s="16">
        <f t="shared" ref="F611:F619" si="43">+D611*E611</f>
        <v>0</v>
      </c>
      <c r="G611">
        <f>+IF(F611&lt;&gt;0,1,0)</f>
        <v>0</v>
      </c>
    </row>
    <row r="612" spans="1:7" hidden="1" x14ac:dyDescent="0.25">
      <c r="A612" s="85" t="s">
        <v>2159</v>
      </c>
      <c r="B612" s="88" t="s">
        <v>2149</v>
      </c>
      <c r="C612" s="26" t="s">
        <v>37</v>
      </c>
      <c r="D612" s="14"/>
      <c r="E612" s="15"/>
      <c r="F612" s="16">
        <f t="shared" si="43"/>
        <v>0</v>
      </c>
      <c r="G612">
        <f t="shared" ref="G612:G675" si="44">+IF(F612&lt;&gt;0,1,0)</f>
        <v>0</v>
      </c>
    </row>
    <row r="613" spans="1:7" hidden="1" x14ac:dyDescent="0.25">
      <c r="A613" s="85" t="s">
        <v>2160</v>
      </c>
      <c r="B613" s="88" t="s">
        <v>2150</v>
      </c>
      <c r="C613" s="26" t="s">
        <v>37</v>
      </c>
      <c r="D613" s="14"/>
      <c r="E613" s="15"/>
      <c r="F613" s="16">
        <f t="shared" si="43"/>
        <v>0</v>
      </c>
      <c r="G613">
        <f t="shared" si="44"/>
        <v>0</v>
      </c>
    </row>
    <row r="614" spans="1:7" hidden="1" x14ac:dyDescent="0.25">
      <c r="A614" s="85" t="s">
        <v>2161</v>
      </c>
      <c r="B614" s="88" t="s">
        <v>2151</v>
      </c>
      <c r="C614" s="26" t="s">
        <v>37</v>
      </c>
      <c r="D614" s="14"/>
      <c r="E614" s="15"/>
      <c r="F614" s="16">
        <f t="shared" si="43"/>
        <v>0</v>
      </c>
      <c r="G614">
        <f t="shared" si="44"/>
        <v>0</v>
      </c>
    </row>
    <row r="615" spans="1:7" hidden="1" x14ac:dyDescent="0.25">
      <c r="A615" s="85" t="s">
        <v>2162</v>
      </c>
      <c r="B615" s="88" t="s">
        <v>2152</v>
      </c>
      <c r="C615" s="26" t="s">
        <v>37</v>
      </c>
      <c r="D615" s="14"/>
      <c r="E615" s="15"/>
      <c r="F615" s="16">
        <f t="shared" si="43"/>
        <v>0</v>
      </c>
      <c r="G615">
        <f t="shared" si="44"/>
        <v>0</v>
      </c>
    </row>
    <row r="616" spans="1:7" hidden="1" x14ac:dyDescent="0.25">
      <c r="A616" s="85" t="s">
        <v>2163</v>
      </c>
      <c r="B616" s="88" t="s">
        <v>2153</v>
      </c>
      <c r="C616" s="26" t="s">
        <v>37</v>
      </c>
      <c r="D616" s="14"/>
      <c r="E616" s="15"/>
      <c r="F616" s="16">
        <f t="shared" si="43"/>
        <v>0</v>
      </c>
      <c r="G616">
        <f t="shared" si="44"/>
        <v>0</v>
      </c>
    </row>
    <row r="617" spans="1:7" hidden="1" x14ac:dyDescent="0.25">
      <c r="A617" s="85" t="s">
        <v>2164</v>
      </c>
      <c r="B617" s="88" t="s">
        <v>2154</v>
      </c>
      <c r="C617" s="26" t="s">
        <v>37</v>
      </c>
      <c r="D617" s="14"/>
      <c r="E617" s="15"/>
      <c r="F617" s="16">
        <f t="shared" si="43"/>
        <v>0</v>
      </c>
      <c r="G617">
        <f t="shared" si="44"/>
        <v>0</v>
      </c>
    </row>
    <row r="618" spans="1:7" hidden="1" x14ac:dyDescent="0.25">
      <c r="A618" s="85" t="s">
        <v>2165</v>
      </c>
      <c r="B618" s="88" t="s">
        <v>2155</v>
      </c>
      <c r="C618" s="26" t="s">
        <v>37</v>
      </c>
      <c r="D618" s="14"/>
      <c r="E618" s="15"/>
      <c r="F618" s="16">
        <f t="shared" si="43"/>
        <v>0</v>
      </c>
      <c r="G618">
        <f t="shared" si="44"/>
        <v>0</v>
      </c>
    </row>
    <row r="619" spans="1:7" hidden="1" x14ac:dyDescent="0.25">
      <c r="A619" s="85" t="s">
        <v>2166</v>
      </c>
      <c r="B619" s="88" t="s">
        <v>2156</v>
      </c>
      <c r="C619" s="26" t="s">
        <v>37</v>
      </c>
      <c r="D619" s="14"/>
      <c r="E619" s="15"/>
      <c r="F619" s="16">
        <f t="shared" si="43"/>
        <v>0</v>
      </c>
      <c r="G619">
        <f t="shared" si="44"/>
        <v>0</v>
      </c>
    </row>
    <row r="620" spans="1:7" hidden="1" x14ac:dyDescent="0.25">
      <c r="A620" s="78" t="s">
        <v>955</v>
      </c>
      <c r="B620" s="79" t="s">
        <v>2167</v>
      </c>
      <c r="C620" s="26"/>
      <c r="D620" s="14"/>
      <c r="E620" s="15"/>
      <c r="F620" s="16"/>
      <c r="G620">
        <f t="shared" si="44"/>
        <v>0</v>
      </c>
    </row>
    <row r="621" spans="1:7" hidden="1" x14ac:dyDescent="0.25">
      <c r="A621" s="85" t="s">
        <v>2168</v>
      </c>
      <c r="B621" s="88" t="s">
        <v>2148</v>
      </c>
      <c r="C621" s="26" t="s">
        <v>37</v>
      </c>
      <c r="D621" s="14"/>
      <c r="E621" s="15"/>
      <c r="F621" s="16">
        <f t="shared" ref="F621:F629" si="45">+D621*E621</f>
        <v>0</v>
      </c>
      <c r="G621">
        <f t="shared" si="44"/>
        <v>0</v>
      </c>
    </row>
    <row r="622" spans="1:7" hidden="1" x14ac:dyDescent="0.25">
      <c r="A622" s="85" t="s">
        <v>2169</v>
      </c>
      <c r="B622" s="88" t="s">
        <v>2149</v>
      </c>
      <c r="C622" s="26" t="s">
        <v>37</v>
      </c>
      <c r="D622" s="14"/>
      <c r="E622" s="15"/>
      <c r="F622" s="16">
        <f t="shared" si="45"/>
        <v>0</v>
      </c>
      <c r="G622">
        <f t="shared" si="44"/>
        <v>0</v>
      </c>
    </row>
    <row r="623" spans="1:7" hidden="1" x14ac:dyDescent="0.25">
      <c r="A623" s="85" t="s">
        <v>956</v>
      </c>
      <c r="B623" s="88" t="s">
        <v>2150</v>
      </c>
      <c r="C623" s="26" t="s">
        <v>37</v>
      </c>
      <c r="D623" s="14"/>
      <c r="E623" s="15"/>
      <c r="F623" s="16">
        <f t="shared" si="45"/>
        <v>0</v>
      </c>
      <c r="G623">
        <f t="shared" si="44"/>
        <v>0</v>
      </c>
    </row>
    <row r="624" spans="1:7" hidden="1" x14ac:dyDescent="0.25">
      <c r="A624" s="85" t="s">
        <v>2170</v>
      </c>
      <c r="B624" s="88" t="s">
        <v>2151</v>
      </c>
      <c r="C624" s="26" t="s">
        <v>37</v>
      </c>
      <c r="D624" s="14"/>
      <c r="E624" s="15"/>
      <c r="F624" s="16">
        <f t="shared" si="45"/>
        <v>0</v>
      </c>
      <c r="G624">
        <f t="shared" si="44"/>
        <v>0</v>
      </c>
    </row>
    <row r="625" spans="1:7" hidden="1" x14ac:dyDescent="0.25">
      <c r="A625" s="85" t="s">
        <v>2171</v>
      </c>
      <c r="B625" s="88" t="s">
        <v>2152</v>
      </c>
      <c r="C625" s="26" t="s">
        <v>37</v>
      </c>
      <c r="D625" s="14"/>
      <c r="E625" s="15"/>
      <c r="F625" s="16">
        <f t="shared" si="45"/>
        <v>0</v>
      </c>
      <c r="G625">
        <f t="shared" si="44"/>
        <v>0</v>
      </c>
    </row>
    <row r="626" spans="1:7" hidden="1" x14ac:dyDescent="0.25">
      <c r="A626" s="85" t="s">
        <v>2172</v>
      </c>
      <c r="B626" s="88" t="s">
        <v>2153</v>
      </c>
      <c r="C626" s="26" t="s">
        <v>37</v>
      </c>
      <c r="D626" s="14"/>
      <c r="E626" s="15"/>
      <c r="F626" s="16">
        <f t="shared" si="45"/>
        <v>0</v>
      </c>
      <c r="G626">
        <f t="shared" si="44"/>
        <v>0</v>
      </c>
    </row>
    <row r="627" spans="1:7" hidden="1" x14ac:dyDescent="0.25">
      <c r="A627" s="85" t="s">
        <v>2173</v>
      </c>
      <c r="B627" s="88" t="s">
        <v>2154</v>
      </c>
      <c r="C627" s="26" t="s">
        <v>37</v>
      </c>
      <c r="D627" s="14"/>
      <c r="E627" s="15"/>
      <c r="F627" s="16">
        <f t="shared" si="45"/>
        <v>0</v>
      </c>
      <c r="G627">
        <f t="shared" si="44"/>
        <v>0</v>
      </c>
    </row>
    <row r="628" spans="1:7" hidden="1" x14ac:dyDescent="0.25">
      <c r="A628" s="85" t="s">
        <v>2174</v>
      </c>
      <c r="B628" s="88" t="s">
        <v>2155</v>
      </c>
      <c r="C628" s="26" t="s">
        <v>37</v>
      </c>
      <c r="D628" s="14"/>
      <c r="E628" s="15"/>
      <c r="F628" s="16">
        <f t="shared" si="45"/>
        <v>0</v>
      </c>
      <c r="G628">
        <f t="shared" si="44"/>
        <v>0</v>
      </c>
    </row>
    <row r="629" spans="1:7" hidden="1" x14ac:dyDescent="0.25">
      <c r="A629" s="85" t="s">
        <v>2175</v>
      </c>
      <c r="B629" s="88" t="s">
        <v>2156</v>
      </c>
      <c r="C629" s="26" t="s">
        <v>37</v>
      </c>
      <c r="D629" s="14"/>
      <c r="E629" s="15"/>
      <c r="F629" s="16">
        <f t="shared" si="45"/>
        <v>0</v>
      </c>
      <c r="G629">
        <f t="shared" si="44"/>
        <v>0</v>
      </c>
    </row>
    <row r="630" spans="1:7" hidden="1" x14ac:dyDescent="0.25">
      <c r="A630" s="78" t="s">
        <v>2176</v>
      </c>
      <c r="B630" s="79" t="s">
        <v>2177</v>
      </c>
      <c r="C630" s="26"/>
      <c r="D630" s="14"/>
      <c r="E630" s="15"/>
      <c r="F630" s="16"/>
      <c r="G630">
        <f t="shared" si="44"/>
        <v>0</v>
      </c>
    </row>
    <row r="631" spans="1:7" hidden="1" x14ac:dyDescent="0.25">
      <c r="A631" s="85" t="s">
        <v>2178</v>
      </c>
      <c r="B631" s="88" t="s">
        <v>2179</v>
      </c>
      <c r="C631" s="26" t="s">
        <v>37</v>
      </c>
      <c r="D631" s="14"/>
      <c r="E631" s="15"/>
      <c r="F631" s="16">
        <f t="shared" ref="F631:F651" si="46">+D631*E631</f>
        <v>0</v>
      </c>
      <c r="G631">
        <f t="shared" si="44"/>
        <v>0</v>
      </c>
    </row>
    <row r="632" spans="1:7" hidden="1" x14ac:dyDescent="0.25">
      <c r="A632" s="85" t="s">
        <v>2189</v>
      </c>
      <c r="B632" s="88" t="s">
        <v>2180</v>
      </c>
      <c r="C632" s="26" t="s">
        <v>37</v>
      </c>
      <c r="D632" s="14"/>
      <c r="E632" s="15"/>
      <c r="F632" s="16">
        <f t="shared" si="46"/>
        <v>0</v>
      </c>
      <c r="G632">
        <f t="shared" si="44"/>
        <v>0</v>
      </c>
    </row>
    <row r="633" spans="1:7" hidden="1" x14ac:dyDescent="0.25">
      <c r="A633" s="85" t="s">
        <v>2190</v>
      </c>
      <c r="B633" s="88" t="s">
        <v>2181</v>
      </c>
      <c r="C633" s="26" t="s">
        <v>37</v>
      </c>
      <c r="D633" s="14"/>
      <c r="E633" s="15"/>
      <c r="F633" s="16">
        <f t="shared" si="46"/>
        <v>0</v>
      </c>
      <c r="G633">
        <f t="shared" si="44"/>
        <v>0</v>
      </c>
    </row>
    <row r="634" spans="1:7" hidden="1" x14ac:dyDescent="0.25">
      <c r="A634" s="85" t="s">
        <v>2191</v>
      </c>
      <c r="B634" s="88" t="s">
        <v>2182</v>
      </c>
      <c r="C634" s="26" t="s">
        <v>37</v>
      </c>
      <c r="D634" s="14"/>
      <c r="E634" s="15"/>
      <c r="F634" s="16">
        <f t="shared" si="46"/>
        <v>0</v>
      </c>
      <c r="G634">
        <f t="shared" si="44"/>
        <v>0</v>
      </c>
    </row>
    <row r="635" spans="1:7" hidden="1" x14ac:dyDescent="0.25">
      <c r="A635" s="85" t="s">
        <v>2192</v>
      </c>
      <c r="B635" s="88" t="s">
        <v>2183</v>
      </c>
      <c r="C635" s="26" t="s">
        <v>37</v>
      </c>
      <c r="D635" s="14"/>
      <c r="E635" s="15"/>
      <c r="F635" s="16">
        <f t="shared" si="46"/>
        <v>0</v>
      </c>
      <c r="G635">
        <f t="shared" si="44"/>
        <v>0</v>
      </c>
    </row>
    <row r="636" spans="1:7" hidden="1" x14ac:dyDescent="0.25">
      <c r="A636" s="85" t="s">
        <v>2193</v>
      </c>
      <c r="B636" s="88" t="s">
        <v>2184</v>
      </c>
      <c r="C636" s="26" t="s">
        <v>37</v>
      </c>
      <c r="D636" s="14"/>
      <c r="E636" s="15"/>
      <c r="F636" s="16">
        <f t="shared" si="46"/>
        <v>0</v>
      </c>
      <c r="G636">
        <f t="shared" si="44"/>
        <v>0</v>
      </c>
    </row>
    <row r="637" spans="1:7" hidden="1" x14ac:dyDescent="0.25">
      <c r="A637" s="85" t="s">
        <v>2194</v>
      </c>
      <c r="B637" s="88" t="s">
        <v>2185</v>
      </c>
      <c r="C637" s="26" t="s">
        <v>37</v>
      </c>
      <c r="D637" s="14"/>
      <c r="E637" s="15"/>
      <c r="F637" s="16">
        <f t="shared" si="46"/>
        <v>0</v>
      </c>
      <c r="G637">
        <f t="shared" si="44"/>
        <v>0</v>
      </c>
    </row>
    <row r="638" spans="1:7" hidden="1" x14ac:dyDescent="0.25">
      <c r="A638" s="85" t="s">
        <v>2195</v>
      </c>
      <c r="B638" s="88" t="s">
        <v>2186</v>
      </c>
      <c r="C638" s="26" t="s">
        <v>37</v>
      </c>
      <c r="D638" s="14"/>
      <c r="E638" s="15"/>
      <c r="F638" s="16">
        <f t="shared" si="46"/>
        <v>0</v>
      </c>
      <c r="G638">
        <f t="shared" si="44"/>
        <v>0</v>
      </c>
    </row>
    <row r="639" spans="1:7" hidden="1" x14ac:dyDescent="0.25">
      <c r="A639" s="85" t="s">
        <v>2196</v>
      </c>
      <c r="B639" s="88" t="s">
        <v>2187</v>
      </c>
      <c r="C639" s="26" t="s">
        <v>37</v>
      </c>
      <c r="D639" s="14"/>
      <c r="E639" s="15"/>
      <c r="F639" s="16">
        <f t="shared" si="46"/>
        <v>0</v>
      </c>
      <c r="G639">
        <f t="shared" si="44"/>
        <v>0</v>
      </c>
    </row>
    <row r="640" spans="1:7" hidden="1" x14ac:dyDescent="0.25">
      <c r="A640" s="85" t="s">
        <v>2197</v>
      </c>
      <c r="B640" s="88" t="s">
        <v>2188</v>
      </c>
      <c r="C640" s="26" t="s">
        <v>37</v>
      </c>
      <c r="D640" s="14"/>
      <c r="E640" s="15"/>
      <c r="F640" s="16">
        <f t="shared" si="46"/>
        <v>0</v>
      </c>
      <c r="G640">
        <f t="shared" si="44"/>
        <v>0</v>
      </c>
    </row>
    <row r="641" spans="1:7" hidden="1" x14ac:dyDescent="0.25">
      <c r="A641" s="78" t="s">
        <v>2198</v>
      </c>
      <c r="B641" s="79" t="s">
        <v>2199</v>
      </c>
      <c r="C641" s="14"/>
      <c r="D641" s="14"/>
      <c r="E641" s="15"/>
      <c r="F641" s="16"/>
      <c r="G641">
        <f t="shared" si="44"/>
        <v>0</v>
      </c>
    </row>
    <row r="642" spans="1:7" hidden="1" x14ac:dyDescent="0.25">
      <c r="A642" s="85" t="s">
        <v>2200</v>
      </c>
      <c r="B642" s="88" t="s">
        <v>2201</v>
      </c>
      <c r="C642" s="26" t="s">
        <v>37</v>
      </c>
      <c r="D642" s="14"/>
      <c r="E642" s="15"/>
      <c r="F642" s="16">
        <f t="shared" si="46"/>
        <v>0</v>
      </c>
      <c r="G642">
        <f t="shared" si="44"/>
        <v>0</v>
      </c>
    </row>
    <row r="643" spans="1:7" hidden="1" x14ac:dyDescent="0.25">
      <c r="A643" s="85" t="s">
        <v>2211</v>
      </c>
      <c r="B643" s="88" t="s">
        <v>2202</v>
      </c>
      <c r="C643" s="26" t="s">
        <v>37</v>
      </c>
      <c r="D643" s="14"/>
      <c r="E643" s="15"/>
      <c r="F643" s="16">
        <f t="shared" si="46"/>
        <v>0</v>
      </c>
      <c r="G643">
        <f t="shared" si="44"/>
        <v>0</v>
      </c>
    </row>
    <row r="644" spans="1:7" hidden="1" x14ac:dyDescent="0.25">
      <c r="A644" s="85" t="s">
        <v>2212</v>
      </c>
      <c r="B644" s="88" t="s">
        <v>2203</v>
      </c>
      <c r="C644" s="26" t="s">
        <v>37</v>
      </c>
      <c r="D644" s="14"/>
      <c r="E644" s="15"/>
      <c r="F644" s="16">
        <f t="shared" si="46"/>
        <v>0</v>
      </c>
      <c r="G644">
        <f t="shared" si="44"/>
        <v>0</v>
      </c>
    </row>
    <row r="645" spans="1:7" hidden="1" x14ac:dyDescent="0.25">
      <c r="A645" s="85" t="s">
        <v>2213</v>
      </c>
      <c r="B645" s="88" t="s">
        <v>2204</v>
      </c>
      <c r="C645" s="26" t="s">
        <v>37</v>
      </c>
      <c r="D645" s="14"/>
      <c r="E645" s="15"/>
      <c r="F645" s="16">
        <f t="shared" si="46"/>
        <v>0</v>
      </c>
      <c r="G645">
        <f t="shared" si="44"/>
        <v>0</v>
      </c>
    </row>
    <row r="646" spans="1:7" hidden="1" x14ac:dyDescent="0.25">
      <c r="A646" s="85" t="s">
        <v>2214</v>
      </c>
      <c r="B646" s="88" t="s">
        <v>2205</v>
      </c>
      <c r="C646" s="26" t="s">
        <v>37</v>
      </c>
      <c r="D646" s="14"/>
      <c r="E646" s="15"/>
      <c r="F646" s="16">
        <f t="shared" si="46"/>
        <v>0</v>
      </c>
      <c r="G646">
        <f t="shared" si="44"/>
        <v>0</v>
      </c>
    </row>
    <row r="647" spans="1:7" hidden="1" x14ac:dyDescent="0.25">
      <c r="A647" s="85" t="s">
        <v>2215</v>
      </c>
      <c r="B647" s="88" t="s">
        <v>2206</v>
      </c>
      <c r="C647" s="26" t="s">
        <v>37</v>
      </c>
      <c r="D647" s="14"/>
      <c r="E647" s="15"/>
      <c r="F647" s="16">
        <f t="shared" si="46"/>
        <v>0</v>
      </c>
      <c r="G647">
        <f t="shared" si="44"/>
        <v>0</v>
      </c>
    </row>
    <row r="648" spans="1:7" hidden="1" x14ac:dyDescent="0.25">
      <c r="A648" s="85" t="s">
        <v>2216</v>
      </c>
      <c r="B648" s="88" t="s">
        <v>2207</v>
      </c>
      <c r="C648" s="26" t="s">
        <v>37</v>
      </c>
      <c r="D648" s="14"/>
      <c r="E648" s="15"/>
      <c r="F648" s="16">
        <f t="shared" si="46"/>
        <v>0</v>
      </c>
      <c r="G648">
        <f t="shared" si="44"/>
        <v>0</v>
      </c>
    </row>
    <row r="649" spans="1:7" hidden="1" x14ac:dyDescent="0.25">
      <c r="A649" s="85" t="s">
        <v>2217</v>
      </c>
      <c r="B649" s="88" t="s">
        <v>2208</v>
      </c>
      <c r="C649" s="26" t="s">
        <v>37</v>
      </c>
      <c r="D649" s="14"/>
      <c r="E649" s="15"/>
      <c r="F649" s="16">
        <f t="shared" si="46"/>
        <v>0</v>
      </c>
      <c r="G649">
        <f t="shared" si="44"/>
        <v>0</v>
      </c>
    </row>
    <row r="650" spans="1:7" hidden="1" x14ac:dyDescent="0.25">
      <c r="A650" s="85" t="s">
        <v>2218</v>
      </c>
      <c r="B650" s="88" t="s">
        <v>2210</v>
      </c>
      <c r="C650" s="26" t="s">
        <v>37</v>
      </c>
      <c r="D650" s="14"/>
      <c r="E650" s="15"/>
      <c r="F650" s="16">
        <f t="shared" si="46"/>
        <v>0</v>
      </c>
      <c r="G650">
        <f t="shared" si="44"/>
        <v>0</v>
      </c>
    </row>
    <row r="651" spans="1:7" hidden="1" x14ac:dyDescent="0.25">
      <c r="A651" s="85" t="s">
        <v>2219</v>
      </c>
      <c r="B651" s="88" t="s">
        <v>2209</v>
      </c>
      <c r="C651" s="26" t="s">
        <v>37</v>
      </c>
      <c r="D651" s="14"/>
      <c r="E651" s="15"/>
      <c r="F651" s="16">
        <f t="shared" si="46"/>
        <v>0</v>
      </c>
      <c r="G651">
        <f t="shared" si="44"/>
        <v>0</v>
      </c>
    </row>
    <row r="652" spans="1:7" hidden="1" x14ac:dyDescent="0.25">
      <c r="A652" s="78" t="s">
        <v>2220</v>
      </c>
      <c r="B652" s="79" t="s">
        <v>2222</v>
      </c>
      <c r="C652" s="14"/>
      <c r="D652" s="14"/>
      <c r="E652" s="15"/>
      <c r="F652" s="16"/>
      <c r="G652">
        <f t="shared" si="44"/>
        <v>0</v>
      </c>
    </row>
    <row r="653" spans="1:7" hidden="1" x14ac:dyDescent="0.25">
      <c r="A653" s="78" t="s">
        <v>2221</v>
      </c>
      <c r="B653" s="79" t="s">
        <v>2223</v>
      </c>
      <c r="C653" s="14"/>
      <c r="D653" s="14"/>
      <c r="E653" s="15"/>
      <c r="F653" s="16"/>
      <c r="G653">
        <f t="shared" si="44"/>
        <v>0</v>
      </c>
    </row>
    <row r="654" spans="1:7" hidden="1" x14ac:dyDescent="0.25">
      <c r="A654" s="85" t="s">
        <v>2224</v>
      </c>
      <c r="B654" s="88" t="s">
        <v>1951</v>
      </c>
      <c r="C654" s="26" t="s">
        <v>37</v>
      </c>
      <c r="D654" s="14"/>
      <c r="E654" s="15"/>
      <c r="F654" s="16">
        <f>+D654*E654</f>
        <v>0</v>
      </c>
      <c r="G654">
        <f t="shared" si="44"/>
        <v>0</v>
      </c>
    </row>
    <row r="655" spans="1:7" hidden="1" x14ac:dyDescent="0.25">
      <c r="A655" s="85" t="s">
        <v>2225</v>
      </c>
      <c r="B655" s="88" t="s">
        <v>1952</v>
      </c>
      <c r="C655" s="26" t="s">
        <v>37</v>
      </c>
      <c r="D655" s="14"/>
      <c r="E655" s="15"/>
      <c r="F655" s="16">
        <f>+D655*E655</f>
        <v>0</v>
      </c>
      <c r="G655">
        <f t="shared" si="44"/>
        <v>0</v>
      </c>
    </row>
    <row r="656" spans="1:7" hidden="1" x14ac:dyDescent="0.25">
      <c r="A656" s="85" t="s">
        <v>2226</v>
      </c>
      <c r="B656" s="88" t="s">
        <v>1954</v>
      </c>
      <c r="C656" s="26" t="s">
        <v>37</v>
      </c>
      <c r="D656" s="14"/>
      <c r="E656" s="15"/>
      <c r="F656" s="16">
        <f>+D656*E656</f>
        <v>0</v>
      </c>
      <c r="G656">
        <f t="shared" si="44"/>
        <v>0</v>
      </c>
    </row>
    <row r="657" spans="1:7" hidden="1" x14ac:dyDescent="0.25">
      <c r="A657" s="85" t="s">
        <v>2227</v>
      </c>
      <c r="B657" s="88" t="s">
        <v>1957</v>
      </c>
      <c r="C657" s="26" t="s">
        <v>37</v>
      </c>
      <c r="D657" s="14"/>
      <c r="E657" s="15"/>
      <c r="F657" s="16">
        <f>+D657*E657</f>
        <v>0</v>
      </c>
      <c r="G657">
        <f t="shared" si="44"/>
        <v>0</v>
      </c>
    </row>
    <row r="658" spans="1:7" hidden="1" x14ac:dyDescent="0.25">
      <c r="A658" s="78" t="s">
        <v>2228</v>
      </c>
      <c r="B658" s="79" t="s">
        <v>2229</v>
      </c>
      <c r="C658" s="14"/>
      <c r="D658" s="14"/>
      <c r="E658" s="15"/>
      <c r="F658" s="16"/>
      <c r="G658">
        <f t="shared" si="44"/>
        <v>0</v>
      </c>
    </row>
    <row r="659" spans="1:7" hidden="1" x14ac:dyDescent="0.25">
      <c r="A659" s="85" t="s">
        <v>2230</v>
      </c>
      <c r="B659" s="88" t="s">
        <v>1999</v>
      </c>
      <c r="C659" s="26" t="s">
        <v>37</v>
      </c>
      <c r="D659" s="14"/>
      <c r="E659" s="15"/>
      <c r="F659" s="16">
        <f>+D659*E659</f>
        <v>0</v>
      </c>
      <c r="G659">
        <f t="shared" si="44"/>
        <v>0</v>
      </c>
    </row>
    <row r="660" spans="1:7" hidden="1" x14ac:dyDescent="0.25">
      <c r="A660" s="85" t="s">
        <v>2231</v>
      </c>
      <c r="B660" s="88" t="s">
        <v>2000</v>
      </c>
      <c r="C660" s="26" t="s">
        <v>37</v>
      </c>
      <c r="D660" s="14"/>
      <c r="E660" s="15"/>
      <c r="F660" s="16">
        <f>+D660*E660</f>
        <v>0</v>
      </c>
      <c r="G660">
        <f t="shared" si="44"/>
        <v>0</v>
      </c>
    </row>
    <row r="661" spans="1:7" hidden="1" x14ac:dyDescent="0.25">
      <c r="A661" s="85" t="s">
        <v>2232</v>
      </c>
      <c r="B661" s="88" t="s">
        <v>2003</v>
      </c>
      <c r="C661" s="26" t="s">
        <v>37</v>
      </c>
      <c r="D661" s="14"/>
      <c r="E661" s="15"/>
      <c r="F661" s="16">
        <f>+D661*E661</f>
        <v>0</v>
      </c>
      <c r="G661">
        <f t="shared" si="44"/>
        <v>0</v>
      </c>
    </row>
    <row r="662" spans="1:7" hidden="1" x14ac:dyDescent="0.25">
      <c r="A662" s="85" t="s">
        <v>2233</v>
      </c>
      <c r="B662" s="88" t="s">
        <v>2005</v>
      </c>
      <c r="C662" s="26" t="s">
        <v>37</v>
      </c>
      <c r="D662" s="14"/>
      <c r="E662" s="15"/>
      <c r="F662" s="16">
        <f>+D662*E662</f>
        <v>0</v>
      </c>
      <c r="G662">
        <f t="shared" si="44"/>
        <v>0</v>
      </c>
    </row>
    <row r="663" spans="1:7" hidden="1" x14ac:dyDescent="0.25">
      <c r="A663" s="78" t="s">
        <v>2234</v>
      </c>
      <c r="B663" s="79" t="s">
        <v>2235</v>
      </c>
      <c r="C663" s="14"/>
      <c r="D663" s="14"/>
      <c r="E663" s="15"/>
      <c r="F663" s="16"/>
      <c r="G663">
        <f t="shared" si="44"/>
        <v>0</v>
      </c>
    </row>
    <row r="664" spans="1:7" hidden="1" x14ac:dyDescent="0.25">
      <c r="A664" s="85" t="s">
        <v>2236</v>
      </c>
      <c r="B664" s="88" t="s">
        <v>2032</v>
      </c>
      <c r="C664" s="26" t="s">
        <v>37</v>
      </c>
      <c r="D664" s="14"/>
      <c r="E664" s="15"/>
      <c r="F664" s="16">
        <f>+D664*E664</f>
        <v>0</v>
      </c>
      <c r="G664">
        <f t="shared" si="44"/>
        <v>0</v>
      </c>
    </row>
    <row r="665" spans="1:7" hidden="1" x14ac:dyDescent="0.25">
      <c r="A665" s="85" t="s">
        <v>2237</v>
      </c>
      <c r="B665" s="88" t="s">
        <v>2034</v>
      </c>
      <c r="C665" s="26" t="s">
        <v>37</v>
      </c>
      <c r="D665" s="14"/>
      <c r="E665" s="15"/>
      <c r="F665" s="16">
        <f>+D665*E665</f>
        <v>0</v>
      </c>
      <c r="G665">
        <f t="shared" si="44"/>
        <v>0</v>
      </c>
    </row>
    <row r="666" spans="1:7" hidden="1" x14ac:dyDescent="0.25">
      <c r="A666" s="85" t="s">
        <v>2238</v>
      </c>
      <c r="B666" s="88" t="s">
        <v>2035</v>
      </c>
      <c r="C666" s="26" t="s">
        <v>37</v>
      </c>
      <c r="D666" s="14"/>
      <c r="E666" s="15"/>
      <c r="F666" s="16">
        <f>+D666*E666</f>
        <v>0</v>
      </c>
      <c r="G666">
        <f t="shared" si="44"/>
        <v>0</v>
      </c>
    </row>
    <row r="667" spans="1:7" hidden="1" x14ac:dyDescent="0.25">
      <c r="A667" s="85" t="s">
        <v>2239</v>
      </c>
      <c r="B667" s="88" t="s">
        <v>2038</v>
      </c>
      <c r="C667" s="26" t="s">
        <v>37</v>
      </c>
      <c r="D667" s="14"/>
      <c r="E667" s="15"/>
      <c r="F667" s="16">
        <f>+D667*E667</f>
        <v>0</v>
      </c>
      <c r="G667">
        <f t="shared" si="44"/>
        <v>0</v>
      </c>
    </row>
    <row r="668" spans="1:7" hidden="1" x14ac:dyDescent="0.25">
      <c r="A668" s="85" t="s">
        <v>2240</v>
      </c>
      <c r="B668" s="88" t="s">
        <v>2040</v>
      </c>
      <c r="C668" s="26" t="s">
        <v>37</v>
      </c>
      <c r="D668" s="14"/>
      <c r="E668" s="15"/>
      <c r="F668" s="16">
        <f>+D668*E668</f>
        <v>0</v>
      </c>
      <c r="G668">
        <f t="shared" si="44"/>
        <v>0</v>
      </c>
    </row>
    <row r="669" spans="1:7" hidden="1" x14ac:dyDescent="0.25">
      <c r="A669" s="78" t="s">
        <v>2242</v>
      </c>
      <c r="B669" s="79" t="s">
        <v>2241</v>
      </c>
      <c r="C669" s="14"/>
      <c r="D669" s="14"/>
      <c r="E669" s="15"/>
      <c r="F669" s="16"/>
      <c r="G669">
        <f t="shared" si="44"/>
        <v>0</v>
      </c>
    </row>
    <row r="670" spans="1:7" hidden="1" x14ac:dyDescent="0.25">
      <c r="A670" s="85" t="s">
        <v>2243</v>
      </c>
      <c r="B670" s="88" t="s">
        <v>2101</v>
      </c>
      <c r="C670" s="26" t="s">
        <v>37</v>
      </c>
      <c r="D670" s="14"/>
      <c r="E670" s="15"/>
      <c r="F670" s="16">
        <f>+D670*E670</f>
        <v>0</v>
      </c>
      <c r="G670">
        <f t="shared" si="44"/>
        <v>0</v>
      </c>
    </row>
    <row r="671" spans="1:7" hidden="1" x14ac:dyDescent="0.25">
      <c r="A671" s="85" t="s">
        <v>2244</v>
      </c>
      <c r="B671" s="88" t="s">
        <v>2103</v>
      </c>
      <c r="C671" s="26" t="s">
        <v>37</v>
      </c>
      <c r="D671" s="14"/>
      <c r="E671" s="15"/>
      <c r="F671" s="16">
        <f>+D671*E671</f>
        <v>0</v>
      </c>
      <c r="G671">
        <f t="shared" si="44"/>
        <v>0</v>
      </c>
    </row>
    <row r="672" spans="1:7" hidden="1" x14ac:dyDescent="0.25">
      <c r="A672" s="85" t="s">
        <v>2245</v>
      </c>
      <c r="B672" s="88" t="s">
        <v>2104</v>
      </c>
      <c r="C672" s="26" t="s">
        <v>37</v>
      </c>
      <c r="D672" s="14"/>
      <c r="E672" s="15"/>
      <c r="F672" s="16">
        <f>+D672*E672</f>
        <v>0</v>
      </c>
      <c r="G672">
        <f t="shared" si="44"/>
        <v>0</v>
      </c>
    </row>
    <row r="673" spans="1:7" hidden="1" x14ac:dyDescent="0.25">
      <c r="A673" s="85" t="s">
        <v>2246</v>
      </c>
      <c r="B673" s="88" t="s">
        <v>2107</v>
      </c>
      <c r="C673" s="26" t="s">
        <v>37</v>
      </c>
      <c r="D673" s="14"/>
      <c r="E673" s="15"/>
      <c r="F673" s="16">
        <f>+D673*E673</f>
        <v>0</v>
      </c>
      <c r="G673">
        <f t="shared" si="44"/>
        <v>0</v>
      </c>
    </row>
    <row r="674" spans="1:7" hidden="1" x14ac:dyDescent="0.25">
      <c r="A674" s="78" t="s">
        <v>2247</v>
      </c>
      <c r="B674" s="79" t="s">
        <v>2268</v>
      </c>
      <c r="C674" s="14"/>
      <c r="D674" s="14"/>
      <c r="E674" s="15"/>
      <c r="F674" s="16"/>
      <c r="G674">
        <f t="shared" si="44"/>
        <v>0</v>
      </c>
    </row>
    <row r="675" spans="1:7" hidden="1" x14ac:dyDescent="0.25">
      <c r="A675" s="85" t="s">
        <v>2248</v>
      </c>
      <c r="B675" s="88" t="s">
        <v>2249</v>
      </c>
      <c r="C675" s="26" t="s">
        <v>37</v>
      </c>
      <c r="D675" s="14"/>
      <c r="E675" s="15"/>
      <c r="F675" s="16">
        <f t="shared" ref="F675:F684" si="47">+D675*E675</f>
        <v>0</v>
      </c>
      <c r="G675">
        <f t="shared" si="44"/>
        <v>0</v>
      </c>
    </row>
    <row r="676" spans="1:7" hidden="1" x14ac:dyDescent="0.25">
      <c r="A676" s="85" t="s">
        <v>2259</v>
      </c>
      <c r="B676" s="88" t="s">
        <v>2250</v>
      </c>
      <c r="C676" s="26" t="s">
        <v>37</v>
      </c>
      <c r="D676" s="14"/>
      <c r="E676" s="15"/>
      <c r="F676" s="16">
        <f t="shared" si="47"/>
        <v>0</v>
      </c>
      <c r="G676">
        <f t="shared" ref="G676:G739" si="48">+IF(F676&lt;&gt;0,1,0)</f>
        <v>0</v>
      </c>
    </row>
    <row r="677" spans="1:7" hidden="1" x14ac:dyDescent="0.25">
      <c r="A677" s="85" t="s">
        <v>2260</v>
      </c>
      <c r="B677" s="88" t="s">
        <v>2251</v>
      </c>
      <c r="C677" s="26" t="s">
        <v>37</v>
      </c>
      <c r="D677" s="14"/>
      <c r="E677" s="15"/>
      <c r="F677" s="16">
        <f t="shared" si="47"/>
        <v>0</v>
      </c>
      <c r="G677">
        <f t="shared" si="48"/>
        <v>0</v>
      </c>
    </row>
    <row r="678" spans="1:7" hidden="1" x14ac:dyDescent="0.25">
      <c r="A678" s="85" t="s">
        <v>2261</v>
      </c>
      <c r="B678" s="88" t="s">
        <v>2252</v>
      </c>
      <c r="C678" s="26" t="s">
        <v>37</v>
      </c>
      <c r="D678" s="14"/>
      <c r="E678" s="15"/>
      <c r="F678" s="16">
        <f t="shared" si="47"/>
        <v>0</v>
      </c>
      <c r="G678">
        <f t="shared" si="48"/>
        <v>0</v>
      </c>
    </row>
    <row r="679" spans="1:7" hidden="1" x14ac:dyDescent="0.25">
      <c r="A679" s="85" t="s">
        <v>2262</v>
      </c>
      <c r="B679" s="88" t="s">
        <v>2253</v>
      </c>
      <c r="C679" s="26" t="s">
        <v>37</v>
      </c>
      <c r="D679" s="14"/>
      <c r="E679" s="15"/>
      <c r="F679" s="16">
        <f t="shared" si="47"/>
        <v>0</v>
      </c>
      <c r="G679">
        <f t="shared" si="48"/>
        <v>0</v>
      </c>
    </row>
    <row r="680" spans="1:7" hidden="1" x14ac:dyDescent="0.25">
      <c r="A680" s="85" t="s">
        <v>2263</v>
      </c>
      <c r="B680" s="88" t="s">
        <v>2254</v>
      </c>
      <c r="C680" s="26" t="s">
        <v>37</v>
      </c>
      <c r="D680" s="14"/>
      <c r="E680" s="15"/>
      <c r="F680" s="16">
        <f t="shared" si="47"/>
        <v>0</v>
      </c>
      <c r="G680">
        <f t="shared" si="48"/>
        <v>0</v>
      </c>
    </row>
    <row r="681" spans="1:7" hidden="1" x14ac:dyDescent="0.25">
      <c r="A681" s="85" t="s">
        <v>2264</v>
      </c>
      <c r="B681" s="88" t="s">
        <v>2255</v>
      </c>
      <c r="C681" s="26" t="s">
        <v>37</v>
      </c>
      <c r="D681" s="14"/>
      <c r="E681" s="15"/>
      <c r="F681" s="16">
        <f t="shared" si="47"/>
        <v>0</v>
      </c>
      <c r="G681">
        <f t="shared" si="48"/>
        <v>0</v>
      </c>
    </row>
    <row r="682" spans="1:7" hidden="1" x14ac:dyDescent="0.25">
      <c r="A682" s="85" t="s">
        <v>2265</v>
      </c>
      <c r="B682" s="88" t="s">
        <v>2256</v>
      </c>
      <c r="C682" s="26" t="s">
        <v>37</v>
      </c>
      <c r="D682" s="14"/>
      <c r="E682" s="15"/>
      <c r="F682" s="16">
        <f t="shared" si="47"/>
        <v>0</v>
      </c>
      <c r="G682">
        <f t="shared" si="48"/>
        <v>0</v>
      </c>
    </row>
    <row r="683" spans="1:7" hidden="1" x14ac:dyDescent="0.25">
      <c r="A683" s="85" t="s">
        <v>2266</v>
      </c>
      <c r="B683" s="88" t="s">
        <v>2257</v>
      </c>
      <c r="C683" s="26" t="s">
        <v>37</v>
      </c>
      <c r="D683" s="14"/>
      <c r="E683" s="15"/>
      <c r="F683" s="16">
        <f t="shared" si="47"/>
        <v>0</v>
      </c>
      <c r="G683">
        <f t="shared" si="48"/>
        <v>0</v>
      </c>
    </row>
    <row r="684" spans="1:7" hidden="1" x14ac:dyDescent="0.25">
      <c r="A684" s="85" t="s">
        <v>2267</v>
      </c>
      <c r="B684" s="88" t="s">
        <v>2258</v>
      </c>
      <c r="C684" s="26" t="s">
        <v>37</v>
      </c>
      <c r="D684" s="14"/>
      <c r="E684" s="15"/>
      <c r="F684" s="16">
        <f t="shared" si="47"/>
        <v>0</v>
      </c>
      <c r="G684">
        <f t="shared" si="48"/>
        <v>0</v>
      </c>
    </row>
    <row r="685" spans="1:7" hidden="1" x14ac:dyDescent="0.25">
      <c r="A685" s="78" t="s">
        <v>2269</v>
      </c>
      <c r="B685" s="79" t="s">
        <v>2270</v>
      </c>
      <c r="C685" s="14"/>
      <c r="D685" s="14"/>
      <c r="E685" s="15"/>
      <c r="F685" s="16"/>
      <c r="G685">
        <f t="shared" si="48"/>
        <v>0</v>
      </c>
    </row>
    <row r="686" spans="1:7" hidden="1" x14ac:dyDescent="0.25">
      <c r="A686" s="85" t="s">
        <v>2271</v>
      </c>
      <c r="B686" s="88" t="s">
        <v>2272</v>
      </c>
      <c r="C686" s="14" t="s">
        <v>37</v>
      </c>
      <c r="D686" s="14"/>
      <c r="E686" s="15"/>
      <c r="F686" s="16">
        <f t="shared" ref="F686:F710" si="49">+D686*E686</f>
        <v>0</v>
      </c>
      <c r="G686">
        <f t="shared" si="48"/>
        <v>0</v>
      </c>
    </row>
    <row r="687" spans="1:7" hidden="1" x14ac:dyDescent="0.25">
      <c r="A687" s="85" t="s">
        <v>2297</v>
      </c>
      <c r="B687" s="88" t="s">
        <v>2273</v>
      </c>
      <c r="C687" s="14" t="s">
        <v>37</v>
      </c>
      <c r="D687" s="14"/>
      <c r="E687" s="15"/>
      <c r="F687" s="16">
        <f t="shared" si="49"/>
        <v>0</v>
      </c>
      <c r="G687">
        <f t="shared" si="48"/>
        <v>0</v>
      </c>
    </row>
    <row r="688" spans="1:7" hidden="1" x14ac:dyDescent="0.25">
      <c r="A688" s="85" t="s">
        <v>2298</v>
      </c>
      <c r="B688" s="88" t="s">
        <v>2274</v>
      </c>
      <c r="C688" s="14" t="s">
        <v>37</v>
      </c>
      <c r="D688" s="14"/>
      <c r="E688" s="15"/>
      <c r="F688" s="16">
        <f t="shared" si="49"/>
        <v>0</v>
      </c>
      <c r="G688">
        <f t="shared" si="48"/>
        <v>0</v>
      </c>
    </row>
    <row r="689" spans="1:7" hidden="1" x14ac:dyDescent="0.25">
      <c r="A689" s="85" t="s">
        <v>2299</v>
      </c>
      <c r="B689" s="88" t="s">
        <v>2275</v>
      </c>
      <c r="C689" s="14" t="s">
        <v>37</v>
      </c>
      <c r="D689" s="14"/>
      <c r="E689" s="15"/>
      <c r="F689" s="16">
        <f t="shared" si="49"/>
        <v>0</v>
      </c>
      <c r="G689">
        <f t="shared" si="48"/>
        <v>0</v>
      </c>
    </row>
    <row r="690" spans="1:7" hidden="1" x14ac:dyDescent="0.25">
      <c r="A690" s="85" t="s">
        <v>2300</v>
      </c>
      <c r="B690" s="88" t="s">
        <v>2276</v>
      </c>
      <c r="C690" s="14" t="s">
        <v>37</v>
      </c>
      <c r="D690" s="14"/>
      <c r="E690" s="15"/>
      <c r="F690" s="16">
        <f t="shared" si="49"/>
        <v>0</v>
      </c>
      <c r="G690">
        <f t="shared" si="48"/>
        <v>0</v>
      </c>
    </row>
    <row r="691" spans="1:7" hidden="1" x14ac:dyDescent="0.25">
      <c r="A691" s="85" t="s">
        <v>2301</v>
      </c>
      <c r="B691" s="88" t="s">
        <v>2277</v>
      </c>
      <c r="C691" s="14" t="s">
        <v>37</v>
      </c>
      <c r="D691" s="14"/>
      <c r="E691" s="15"/>
      <c r="F691" s="16">
        <f t="shared" si="49"/>
        <v>0</v>
      </c>
      <c r="G691">
        <f t="shared" si="48"/>
        <v>0</v>
      </c>
    </row>
    <row r="692" spans="1:7" hidden="1" x14ac:dyDescent="0.25">
      <c r="A692" s="85" t="s">
        <v>2302</v>
      </c>
      <c r="B692" s="88" t="s">
        <v>2279</v>
      </c>
      <c r="C692" s="14" t="s">
        <v>37</v>
      </c>
      <c r="D692" s="14"/>
      <c r="E692" s="15"/>
      <c r="F692" s="16">
        <f t="shared" si="49"/>
        <v>0</v>
      </c>
      <c r="G692">
        <f t="shared" si="48"/>
        <v>0</v>
      </c>
    </row>
    <row r="693" spans="1:7" hidden="1" x14ac:dyDescent="0.25">
      <c r="A693" s="85" t="s">
        <v>2303</v>
      </c>
      <c r="B693" s="88" t="s">
        <v>2278</v>
      </c>
      <c r="C693" s="14" t="s">
        <v>37</v>
      </c>
      <c r="D693" s="14"/>
      <c r="E693" s="15"/>
      <c r="F693" s="16">
        <f t="shared" si="49"/>
        <v>0</v>
      </c>
      <c r="G693">
        <f t="shared" si="48"/>
        <v>0</v>
      </c>
    </row>
    <row r="694" spans="1:7" hidden="1" x14ac:dyDescent="0.25">
      <c r="A694" s="85" t="s">
        <v>2304</v>
      </c>
      <c r="B694" s="88" t="s">
        <v>2280</v>
      </c>
      <c r="C694" s="14" t="s">
        <v>37</v>
      </c>
      <c r="D694" s="14"/>
      <c r="E694" s="15"/>
      <c r="F694" s="16">
        <f t="shared" si="49"/>
        <v>0</v>
      </c>
      <c r="G694">
        <f t="shared" si="48"/>
        <v>0</v>
      </c>
    </row>
    <row r="695" spans="1:7" hidden="1" x14ac:dyDescent="0.25">
      <c r="A695" s="85" t="s">
        <v>2305</v>
      </c>
      <c r="B695" s="88" t="s">
        <v>2281</v>
      </c>
      <c r="C695" s="14" t="s">
        <v>37</v>
      </c>
      <c r="D695" s="14"/>
      <c r="E695" s="15"/>
      <c r="F695" s="16">
        <f t="shared" si="49"/>
        <v>0</v>
      </c>
      <c r="G695">
        <f t="shared" si="48"/>
        <v>0</v>
      </c>
    </row>
    <row r="696" spans="1:7" hidden="1" x14ac:dyDescent="0.25">
      <c r="A696" s="85" t="s">
        <v>2306</v>
      </c>
      <c r="B696" s="88" t="s">
        <v>2282</v>
      </c>
      <c r="C696" s="14" t="s">
        <v>37</v>
      </c>
      <c r="D696" s="14"/>
      <c r="E696" s="15"/>
      <c r="F696" s="16">
        <f t="shared" si="49"/>
        <v>0</v>
      </c>
      <c r="G696">
        <f t="shared" si="48"/>
        <v>0</v>
      </c>
    </row>
    <row r="697" spans="1:7" hidden="1" x14ac:dyDescent="0.25">
      <c r="A697" s="85" t="s">
        <v>2307</v>
      </c>
      <c r="B697" s="88" t="s">
        <v>2283</v>
      </c>
      <c r="C697" s="14" t="s">
        <v>37</v>
      </c>
      <c r="D697" s="14"/>
      <c r="E697" s="15"/>
      <c r="F697" s="16">
        <f t="shared" si="49"/>
        <v>0</v>
      </c>
      <c r="G697">
        <f t="shared" si="48"/>
        <v>0</v>
      </c>
    </row>
    <row r="698" spans="1:7" hidden="1" x14ac:dyDescent="0.25">
      <c r="A698" s="85" t="s">
        <v>2308</v>
      </c>
      <c r="B698" s="88" t="s">
        <v>2284</v>
      </c>
      <c r="C698" s="14" t="s">
        <v>37</v>
      </c>
      <c r="D698" s="14"/>
      <c r="E698" s="15"/>
      <c r="F698" s="16">
        <f t="shared" si="49"/>
        <v>0</v>
      </c>
      <c r="G698">
        <f t="shared" si="48"/>
        <v>0</v>
      </c>
    </row>
    <row r="699" spans="1:7" hidden="1" x14ac:dyDescent="0.25">
      <c r="A699" s="85" t="s">
        <v>2309</v>
      </c>
      <c r="B699" s="88" t="s">
        <v>2285</v>
      </c>
      <c r="C699" s="14" t="s">
        <v>37</v>
      </c>
      <c r="D699" s="14"/>
      <c r="E699" s="15"/>
      <c r="F699" s="16">
        <f t="shared" si="49"/>
        <v>0</v>
      </c>
      <c r="G699">
        <f t="shared" si="48"/>
        <v>0</v>
      </c>
    </row>
    <row r="700" spans="1:7" hidden="1" x14ac:dyDescent="0.25">
      <c r="A700" s="85" t="s">
        <v>2310</v>
      </c>
      <c r="B700" s="88" t="s">
        <v>2286</v>
      </c>
      <c r="C700" s="14" t="s">
        <v>37</v>
      </c>
      <c r="D700" s="14"/>
      <c r="E700" s="15"/>
      <c r="F700" s="16">
        <f t="shared" si="49"/>
        <v>0</v>
      </c>
      <c r="G700">
        <f t="shared" si="48"/>
        <v>0</v>
      </c>
    </row>
    <row r="701" spans="1:7" hidden="1" x14ac:dyDescent="0.25">
      <c r="A701" s="85" t="s">
        <v>2311</v>
      </c>
      <c r="B701" s="88" t="s">
        <v>2287</v>
      </c>
      <c r="C701" s="14" t="s">
        <v>37</v>
      </c>
      <c r="D701" s="14"/>
      <c r="E701" s="15"/>
      <c r="F701" s="16">
        <f t="shared" si="49"/>
        <v>0</v>
      </c>
      <c r="G701">
        <f t="shared" si="48"/>
        <v>0</v>
      </c>
    </row>
    <row r="702" spans="1:7" hidden="1" x14ac:dyDescent="0.25">
      <c r="A702" s="85" t="s">
        <v>2312</v>
      </c>
      <c r="B702" s="88" t="s">
        <v>2288</v>
      </c>
      <c r="C702" s="14" t="s">
        <v>37</v>
      </c>
      <c r="D702" s="14"/>
      <c r="E702" s="15"/>
      <c r="F702" s="16">
        <f t="shared" si="49"/>
        <v>0</v>
      </c>
      <c r="G702">
        <f t="shared" si="48"/>
        <v>0</v>
      </c>
    </row>
    <row r="703" spans="1:7" hidden="1" x14ac:dyDescent="0.25">
      <c r="A703" s="85" t="s">
        <v>2313</v>
      </c>
      <c r="B703" s="88" t="s">
        <v>2289</v>
      </c>
      <c r="C703" s="14" t="s">
        <v>37</v>
      </c>
      <c r="D703" s="14"/>
      <c r="E703" s="15"/>
      <c r="F703" s="16">
        <f t="shared" si="49"/>
        <v>0</v>
      </c>
      <c r="G703">
        <f t="shared" si="48"/>
        <v>0</v>
      </c>
    </row>
    <row r="704" spans="1:7" hidden="1" x14ac:dyDescent="0.25">
      <c r="A704" s="85" t="s">
        <v>2314</v>
      </c>
      <c r="B704" s="88" t="s">
        <v>2290</v>
      </c>
      <c r="C704" s="14" t="s">
        <v>37</v>
      </c>
      <c r="D704" s="14"/>
      <c r="E704" s="15"/>
      <c r="F704" s="16">
        <f t="shared" si="49"/>
        <v>0</v>
      </c>
      <c r="G704">
        <f t="shared" si="48"/>
        <v>0</v>
      </c>
    </row>
    <row r="705" spans="1:7" hidden="1" x14ac:dyDescent="0.25">
      <c r="A705" s="85" t="s">
        <v>2315</v>
      </c>
      <c r="B705" s="88" t="s">
        <v>2291</v>
      </c>
      <c r="C705" s="14" t="s">
        <v>37</v>
      </c>
      <c r="D705" s="14"/>
      <c r="E705" s="15"/>
      <c r="F705" s="16">
        <f t="shared" si="49"/>
        <v>0</v>
      </c>
      <c r="G705">
        <f t="shared" si="48"/>
        <v>0</v>
      </c>
    </row>
    <row r="706" spans="1:7" hidden="1" x14ac:dyDescent="0.25">
      <c r="A706" s="85" t="s">
        <v>2316</v>
      </c>
      <c r="B706" s="88" t="s">
        <v>2293</v>
      </c>
      <c r="C706" s="14" t="s">
        <v>37</v>
      </c>
      <c r="D706" s="14"/>
      <c r="E706" s="15"/>
      <c r="F706" s="16">
        <f t="shared" si="49"/>
        <v>0</v>
      </c>
      <c r="G706">
        <f t="shared" si="48"/>
        <v>0</v>
      </c>
    </row>
    <row r="707" spans="1:7" hidden="1" x14ac:dyDescent="0.25">
      <c r="A707" s="85" t="s">
        <v>2317</v>
      </c>
      <c r="B707" s="88" t="s">
        <v>2292</v>
      </c>
      <c r="C707" s="14" t="s">
        <v>37</v>
      </c>
      <c r="D707" s="14"/>
      <c r="E707" s="15"/>
      <c r="F707" s="16">
        <f t="shared" si="49"/>
        <v>0</v>
      </c>
      <c r="G707">
        <f t="shared" si="48"/>
        <v>0</v>
      </c>
    </row>
    <row r="708" spans="1:7" hidden="1" x14ac:dyDescent="0.25">
      <c r="A708" s="85" t="s">
        <v>2318</v>
      </c>
      <c r="B708" s="88" t="s">
        <v>2294</v>
      </c>
      <c r="C708" s="14" t="s">
        <v>37</v>
      </c>
      <c r="D708" s="14"/>
      <c r="E708" s="15"/>
      <c r="F708" s="16">
        <f t="shared" si="49"/>
        <v>0</v>
      </c>
      <c r="G708">
        <f t="shared" si="48"/>
        <v>0</v>
      </c>
    </row>
    <row r="709" spans="1:7" hidden="1" x14ac:dyDescent="0.25">
      <c r="A709" s="85" t="s">
        <v>2319</v>
      </c>
      <c r="B709" s="88" t="s">
        <v>2295</v>
      </c>
      <c r="C709" s="14" t="s">
        <v>37</v>
      </c>
      <c r="D709" s="14"/>
      <c r="E709" s="15"/>
      <c r="F709" s="16">
        <f t="shared" si="49"/>
        <v>0</v>
      </c>
      <c r="G709">
        <f t="shared" si="48"/>
        <v>0</v>
      </c>
    </row>
    <row r="710" spans="1:7" hidden="1" x14ac:dyDescent="0.25">
      <c r="A710" s="85" t="s">
        <v>2320</v>
      </c>
      <c r="B710" s="88" t="s">
        <v>2296</v>
      </c>
      <c r="C710" s="14" t="s">
        <v>37</v>
      </c>
      <c r="D710" s="14"/>
      <c r="E710" s="15"/>
      <c r="F710" s="16">
        <f t="shared" si="49"/>
        <v>0</v>
      </c>
      <c r="G710">
        <f t="shared" si="48"/>
        <v>0</v>
      </c>
    </row>
    <row r="711" spans="1:7" hidden="1" x14ac:dyDescent="0.25">
      <c r="A711" s="61" t="s">
        <v>2321</v>
      </c>
      <c r="B711" s="62" t="s">
        <v>2322</v>
      </c>
      <c r="C711" s="63"/>
      <c r="D711" s="14"/>
      <c r="E711" s="15"/>
      <c r="F711" s="16"/>
      <c r="G711">
        <f t="shared" si="48"/>
        <v>0</v>
      </c>
    </row>
    <row r="712" spans="1:7" hidden="1" x14ac:dyDescent="0.25">
      <c r="A712" s="85" t="s">
        <v>2323</v>
      </c>
      <c r="B712" s="88" t="s">
        <v>2324</v>
      </c>
      <c r="C712" s="14" t="s">
        <v>14</v>
      </c>
      <c r="D712" s="14"/>
      <c r="E712" s="15"/>
      <c r="F712" s="16">
        <f t="shared" ref="F712:F728" si="50">+D712*E712</f>
        <v>0</v>
      </c>
      <c r="G712">
        <f t="shared" si="48"/>
        <v>0</v>
      </c>
    </row>
    <row r="713" spans="1:7" hidden="1" x14ac:dyDescent="0.25">
      <c r="A713" s="85" t="s">
        <v>2336</v>
      </c>
      <c r="B713" s="88" t="s">
        <v>2325</v>
      </c>
      <c r="C713" s="14" t="s">
        <v>14</v>
      </c>
      <c r="D713" s="14"/>
      <c r="E713" s="15"/>
      <c r="F713" s="16">
        <f t="shared" si="50"/>
        <v>0</v>
      </c>
      <c r="G713">
        <f t="shared" si="48"/>
        <v>0</v>
      </c>
    </row>
    <row r="714" spans="1:7" hidden="1" x14ac:dyDescent="0.25">
      <c r="A714" s="85" t="s">
        <v>2337</v>
      </c>
      <c r="B714" s="88" t="s">
        <v>2326</v>
      </c>
      <c r="C714" s="14" t="s">
        <v>14</v>
      </c>
      <c r="D714" s="14"/>
      <c r="E714" s="15"/>
      <c r="F714" s="16">
        <f t="shared" si="50"/>
        <v>0</v>
      </c>
      <c r="G714">
        <f t="shared" si="48"/>
        <v>0</v>
      </c>
    </row>
    <row r="715" spans="1:7" hidden="1" x14ac:dyDescent="0.25">
      <c r="A715" s="85" t="s">
        <v>2338</v>
      </c>
      <c r="B715" s="88" t="s">
        <v>2327</v>
      </c>
      <c r="C715" s="14" t="s">
        <v>14</v>
      </c>
      <c r="D715" s="14"/>
      <c r="E715" s="15"/>
      <c r="F715" s="16">
        <f t="shared" si="50"/>
        <v>0</v>
      </c>
      <c r="G715">
        <f t="shared" si="48"/>
        <v>0</v>
      </c>
    </row>
    <row r="716" spans="1:7" hidden="1" x14ac:dyDescent="0.25">
      <c r="A716" s="85" t="s">
        <v>2339</v>
      </c>
      <c r="B716" s="88" t="s">
        <v>2328</v>
      </c>
      <c r="C716" s="14" t="s">
        <v>14</v>
      </c>
      <c r="D716" s="14"/>
      <c r="E716" s="15"/>
      <c r="F716" s="16">
        <f t="shared" si="50"/>
        <v>0</v>
      </c>
      <c r="G716">
        <f t="shared" si="48"/>
        <v>0</v>
      </c>
    </row>
    <row r="717" spans="1:7" hidden="1" x14ac:dyDescent="0.25">
      <c r="A717" s="85" t="s">
        <v>2340</v>
      </c>
      <c r="B717" s="88" t="s">
        <v>2329</v>
      </c>
      <c r="C717" s="14" t="s">
        <v>14</v>
      </c>
      <c r="D717" s="14"/>
      <c r="E717" s="15"/>
      <c r="F717" s="16">
        <f t="shared" si="50"/>
        <v>0</v>
      </c>
      <c r="G717">
        <f t="shared" si="48"/>
        <v>0</v>
      </c>
    </row>
    <row r="718" spans="1:7" hidden="1" x14ac:dyDescent="0.25">
      <c r="A718" s="85" t="s">
        <v>2341</v>
      </c>
      <c r="B718" s="88" t="s">
        <v>2330</v>
      </c>
      <c r="C718" s="14" t="s">
        <v>14</v>
      </c>
      <c r="D718" s="14"/>
      <c r="E718" s="15"/>
      <c r="F718" s="16">
        <f t="shared" si="50"/>
        <v>0</v>
      </c>
      <c r="G718">
        <f t="shared" si="48"/>
        <v>0</v>
      </c>
    </row>
    <row r="719" spans="1:7" hidden="1" x14ac:dyDescent="0.25">
      <c r="A719" s="85" t="s">
        <v>2342</v>
      </c>
      <c r="B719" s="88" t="s">
        <v>2331</v>
      </c>
      <c r="C719" s="14" t="s">
        <v>14</v>
      </c>
      <c r="D719" s="14"/>
      <c r="E719" s="15"/>
      <c r="F719" s="16">
        <f t="shared" si="50"/>
        <v>0</v>
      </c>
      <c r="G719">
        <f t="shared" si="48"/>
        <v>0</v>
      </c>
    </row>
    <row r="720" spans="1:7" hidden="1" x14ac:dyDescent="0.25">
      <c r="A720" s="85" t="s">
        <v>2343</v>
      </c>
      <c r="B720" s="88" t="s">
        <v>2332</v>
      </c>
      <c r="C720" s="14" t="s">
        <v>14</v>
      </c>
      <c r="D720" s="14"/>
      <c r="E720" s="15"/>
      <c r="F720" s="16">
        <f t="shared" si="50"/>
        <v>0</v>
      </c>
      <c r="G720">
        <f t="shared" si="48"/>
        <v>0</v>
      </c>
    </row>
    <row r="721" spans="1:7" hidden="1" x14ac:dyDescent="0.25">
      <c r="A721" s="85" t="s">
        <v>2344</v>
      </c>
      <c r="B721" s="88" t="s">
        <v>2333</v>
      </c>
      <c r="C721" s="14" t="s">
        <v>14</v>
      </c>
      <c r="D721" s="14"/>
      <c r="E721" s="15"/>
      <c r="F721" s="16">
        <f t="shared" si="50"/>
        <v>0</v>
      </c>
      <c r="G721">
        <f t="shared" si="48"/>
        <v>0</v>
      </c>
    </row>
    <row r="722" spans="1:7" hidden="1" x14ac:dyDescent="0.25">
      <c r="A722" s="85" t="s">
        <v>2345</v>
      </c>
      <c r="B722" s="88" t="s">
        <v>2334</v>
      </c>
      <c r="C722" s="14" t="s">
        <v>14</v>
      </c>
      <c r="D722" s="14"/>
      <c r="E722" s="15"/>
      <c r="F722" s="16">
        <f t="shared" si="50"/>
        <v>0</v>
      </c>
      <c r="G722">
        <f t="shared" si="48"/>
        <v>0</v>
      </c>
    </row>
    <row r="723" spans="1:7" hidden="1" x14ac:dyDescent="0.25">
      <c r="A723" s="85" t="s">
        <v>2346</v>
      </c>
      <c r="B723" s="88" t="s">
        <v>2335</v>
      </c>
      <c r="C723" s="14" t="s">
        <v>14</v>
      </c>
      <c r="D723" s="14"/>
      <c r="E723" s="15"/>
      <c r="F723" s="16">
        <f t="shared" si="50"/>
        <v>0</v>
      </c>
      <c r="G723">
        <f t="shared" si="48"/>
        <v>0</v>
      </c>
    </row>
    <row r="724" spans="1:7" hidden="1" x14ac:dyDescent="0.25">
      <c r="A724" s="85" t="s">
        <v>2348</v>
      </c>
      <c r="B724" s="88" t="s">
        <v>2350</v>
      </c>
      <c r="C724" s="14" t="s">
        <v>14</v>
      </c>
      <c r="D724" s="14"/>
      <c r="E724" s="15"/>
      <c r="F724" s="16">
        <f t="shared" si="50"/>
        <v>0</v>
      </c>
      <c r="G724">
        <f t="shared" si="48"/>
        <v>0</v>
      </c>
    </row>
    <row r="725" spans="1:7" hidden="1" x14ac:dyDescent="0.25">
      <c r="A725" s="85" t="s">
        <v>2349</v>
      </c>
      <c r="B725" s="88" t="s">
        <v>2351</v>
      </c>
      <c r="C725" s="14" t="s">
        <v>14</v>
      </c>
      <c r="D725" s="14"/>
      <c r="E725" s="15"/>
      <c r="F725" s="16">
        <f t="shared" si="50"/>
        <v>0</v>
      </c>
      <c r="G725">
        <f t="shared" si="48"/>
        <v>0</v>
      </c>
    </row>
    <row r="726" spans="1:7" hidden="1" x14ac:dyDescent="0.25">
      <c r="A726" s="85" t="s">
        <v>2352</v>
      </c>
      <c r="B726" s="88" t="s">
        <v>2354</v>
      </c>
      <c r="C726" s="14" t="s">
        <v>14</v>
      </c>
      <c r="D726" s="14"/>
      <c r="E726" s="15"/>
      <c r="F726" s="16">
        <f t="shared" si="50"/>
        <v>0</v>
      </c>
      <c r="G726">
        <f t="shared" si="48"/>
        <v>0</v>
      </c>
    </row>
    <row r="727" spans="1:7" hidden="1" x14ac:dyDescent="0.25">
      <c r="A727" s="85" t="s">
        <v>2353</v>
      </c>
      <c r="B727" s="88" t="s">
        <v>2355</v>
      </c>
      <c r="C727" s="14" t="s">
        <v>14</v>
      </c>
      <c r="D727" s="14"/>
      <c r="E727" s="15"/>
      <c r="F727" s="16">
        <f t="shared" si="50"/>
        <v>0</v>
      </c>
      <c r="G727">
        <f t="shared" si="48"/>
        <v>0</v>
      </c>
    </row>
    <row r="728" spans="1:7" hidden="1" x14ac:dyDescent="0.25">
      <c r="A728" s="85" t="s">
        <v>2357</v>
      </c>
      <c r="B728" s="88" t="s">
        <v>2356</v>
      </c>
      <c r="C728" s="14" t="s">
        <v>14</v>
      </c>
      <c r="D728" s="14"/>
      <c r="E728" s="15"/>
      <c r="F728" s="16">
        <f t="shared" si="50"/>
        <v>0</v>
      </c>
      <c r="G728">
        <f t="shared" si="48"/>
        <v>0</v>
      </c>
    </row>
    <row r="729" spans="1:7" hidden="1" x14ac:dyDescent="0.25">
      <c r="A729" s="61" t="s">
        <v>2359</v>
      </c>
      <c r="B729" s="62" t="s">
        <v>2358</v>
      </c>
      <c r="C729" s="64"/>
      <c r="D729" s="14"/>
      <c r="E729" s="15"/>
      <c r="F729" s="16"/>
      <c r="G729">
        <f t="shared" si="48"/>
        <v>0</v>
      </c>
    </row>
    <row r="730" spans="1:7" hidden="1" x14ac:dyDescent="0.25">
      <c r="A730" s="78" t="s">
        <v>2360</v>
      </c>
      <c r="B730" s="79" t="s">
        <v>2361</v>
      </c>
      <c r="C730" s="14"/>
      <c r="D730" s="14"/>
      <c r="E730" s="15"/>
      <c r="F730" s="16"/>
      <c r="G730">
        <f t="shared" si="48"/>
        <v>0</v>
      </c>
    </row>
    <row r="731" spans="1:7" hidden="1" x14ac:dyDescent="0.25">
      <c r="A731" s="85" t="s">
        <v>2362</v>
      </c>
      <c r="B731" s="88" t="s">
        <v>2363</v>
      </c>
      <c r="C731" s="26" t="s">
        <v>37</v>
      </c>
      <c r="D731" s="14"/>
      <c r="E731" s="15"/>
      <c r="F731" s="16">
        <f t="shared" ref="F731:F741" si="51">+D731*E731</f>
        <v>0</v>
      </c>
      <c r="G731">
        <f t="shared" si="48"/>
        <v>0</v>
      </c>
    </row>
    <row r="732" spans="1:7" hidden="1" x14ac:dyDescent="0.25">
      <c r="A732" s="85" t="s">
        <v>2374</v>
      </c>
      <c r="B732" s="88" t="s">
        <v>2364</v>
      </c>
      <c r="C732" s="26" t="s">
        <v>37</v>
      </c>
      <c r="D732" s="14"/>
      <c r="E732" s="15"/>
      <c r="F732" s="16">
        <f t="shared" si="51"/>
        <v>0</v>
      </c>
      <c r="G732">
        <f t="shared" si="48"/>
        <v>0</v>
      </c>
    </row>
    <row r="733" spans="1:7" hidden="1" x14ac:dyDescent="0.25">
      <c r="A733" s="85" t="s">
        <v>2375</v>
      </c>
      <c r="B733" s="88" t="s">
        <v>2365</v>
      </c>
      <c r="C733" s="26" t="s">
        <v>37</v>
      </c>
      <c r="D733" s="14"/>
      <c r="E733" s="15"/>
      <c r="F733" s="16">
        <f t="shared" si="51"/>
        <v>0</v>
      </c>
      <c r="G733">
        <f t="shared" si="48"/>
        <v>0</v>
      </c>
    </row>
    <row r="734" spans="1:7" hidden="1" x14ac:dyDescent="0.25">
      <c r="A734" s="85" t="s">
        <v>2376</v>
      </c>
      <c r="B734" s="88" t="s">
        <v>2366</v>
      </c>
      <c r="C734" s="26" t="s">
        <v>37</v>
      </c>
      <c r="D734" s="14"/>
      <c r="E734" s="15"/>
      <c r="F734" s="16">
        <f t="shared" si="51"/>
        <v>0</v>
      </c>
      <c r="G734">
        <f t="shared" si="48"/>
        <v>0</v>
      </c>
    </row>
    <row r="735" spans="1:7" hidden="1" x14ac:dyDescent="0.25">
      <c r="A735" s="85" t="s">
        <v>2377</v>
      </c>
      <c r="B735" s="88" t="s">
        <v>2367</v>
      </c>
      <c r="C735" s="26" t="s">
        <v>37</v>
      </c>
      <c r="D735" s="14"/>
      <c r="E735" s="15"/>
      <c r="F735" s="16">
        <f t="shared" si="51"/>
        <v>0</v>
      </c>
      <c r="G735">
        <f t="shared" si="48"/>
        <v>0</v>
      </c>
    </row>
    <row r="736" spans="1:7" hidden="1" x14ac:dyDescent="0.25">
      <c r="A736" s="85" t="s">
        <v>2378</v>
      </c>
      <c r="B736" s="88" t="s">
        <v>2368</v>
      </c>
      <c r="C736" s="26" t="s">
        <v>37</v>
      </c>
      <c r="D736" s="14"/>
      <c r="E736" s="15"/>
      <c r="F736" s="16">
        <f t="shared" si="51"/>
        <v>0</v>
      </c>
      <c r="G736">
        <f t="shared" si="48"/>
        <v>0</v>
      </c>
    </row>
    <row r="737" spans="1:7" hidden="1" x14ac:dyDescent="0.25">
      <c r="A737" s="85" t="s">
        <v>2379</v>
      </c>
      <c r="B737" s="88" t="s">
        <v>2369</v>
      </c>
      <c r="C737" s="26" t="s">
        <v>37</v>
      </c>
      <c r="D737" s="14"/>
      <c r="E737" s="15"/>
      <c r="F737" s="16">
        <f t="shared" si="51"/>
        <v>0</v>
      </c>
      <c r="G737">
        <f t="shared" si="48"/>
        <v>0</v>
      </c>
    </row>
    <row r="738" spans="1:7" hidden="1" x14ac:dyDescent="0.25">
      <c r="A738" s="85" t="s">
        <v>2380</v>
      </c>
      <c r="B738" s="88" t="s">
        <v>2370</v>
      </c>
      <c r="C738" s="26" t="s">
        <v>37</v>
      </c>
      <c r="D738" s="14"/>
      <c r="E738" s="15"/>
      <c r="F738" s="16">
        <f t="shared" si="51"/>
        <v>0</v>
      </c>
      <c r="G738">
        <f t="shared" si="48"/>
        <v>0</v>
      </c>
    </row>
    <row r="739" spans="1:7" hidden="1" x14ac:dyDescent="0.25">
      <c r="A739" s="85" t="s">
        <v>2381</v>
      </c>
      <c r="B739" s="88" t="s">
        <v>2371</v>
      </c>
      <c r="C739" s="26" t="s">
        <v>37</v>
      </c>
      <c r="D739" s="14"/>
      <c r="E739" s="15"/>
      <c r="F739" s="16">
        <f t="shared" si="51"/>
        <v>0</v>
      </c>
      <c r="G739">
        <f t="shared" si="48"/>
        <v>0</v>
      </c>
    </row>
    <row r="740" spans="1:7" hidden="1" x14ac:dyDescent="0.25">
      <c r="A740" s="85" t="s">
        <v>2382</v>
      </c>
      <c r="B740" s="88" t="s">
        <v>2372</v>
      </c>
      <c r="C740" s="26" t="s">
        <v>37</v>
      </c>
      <c r="D740" s="14"/>
      <c r="E740" s="15"/>
      <c r="F740" s="16">
        <f t="shared" si="51"/>
        <v>0</v>
      </c>
      <c r="G740">
        <f t="shared" ref="G740:G803" si="52">+IF(F740&lt;&gt;0,1,0)</f>
        <v>0</v>
      </c>
    </row>
    <row r="741" spans="1:7" hidden="1" x14ac:dyDescent="0.25">
      <c r="A741" s="85" t="s">
        <v>2383</v>
      </c>
      <c r="B741" s="88" t="s">
        <v>2373</v>
      </c>
      <c r="C741" s="26" t="s">
        <v>37</v>
      </c>
      <c r="D741" s="14"/>
      <c r="E741" s="15"/>
      <c r="F741" s="16">
        <f t="shared" si="51"/>
        <v>0</v>
      </c>
      <c r="G741">
        <f t="shared" si="52"/>
        <v>0</v>
      </c>
    </row>
    <row r="742" spans="1:7" hidden="1" x14ac:dyDescent="0.25">
      <c r="A742" s="85" t="s">
        <v>2385</v>
      </c>
      <c r="B742" s="79" t="s">
        <v>2384</v>
      </c>
      <c r="C742" s="26"/>
      <c r="D742" s="14"/>
      <c r="E742" s="15"/>
      <c r="F742" s="16"/>
      <c r="G742">
        <f t="shared" si="52"/>
        <v>0</v>
      </c>
    </row>
    <row r="743" spans="1:7" hidden="1" x14ac:dyDescent="0.25">
      <c r="A743" s="85" t="s">
        <v>2386</v>
      </c>
      <c r="B743" s="88" t="s">
        <v>2363</v>
      </c>
      <c r="C743" s="26" t="s">
        <v>37</v>
      </c>
      <c r="D743" s="14"/>
      <c r="E743" s="15"/>
      <c r="F743" s="16">
        <f t="shared" ref="F743:F753" si="53">+D743*E743</f>
        <v>0</v>
      </c>
      <c r="G743">
        <f t="shared" si="52"/>
        <v>0</v>
      </c>
    </row>
    <row r="744" spans="1:7" hidden="1" x14ac:dyDescent="0.25">
      <c r="A744" s="85" t="s">
        <v>2387</v>
      </c>
      <c r="B744" s="88" t="s">
        <v>2364</v>
      </c>
      <c r="C744" s="26" t="s">
        <v>37</v>
      </c>
      <c r="D744" s="14"/>
      <c r="E744" s="15"/>
      <c r="F744" s="16">
        <f t="shared" si="53"/>
        <v>0</v>
      </c>
      <c r="G744">
        <f t="shared" si="52"/>
        <v>0</v>
      </c>
    </row>
    <row r="745" spans="1:7" hidden="1" x14ac:dyDescent="0.25">
      <c r="A745" s="85" t="s">
        <v>2388</v>
      </c>
      <c r="B745" s="88" t="s">
        <v>2365</v>
      </c>
      <c r="C745" s="26" t="s">
        <v>37</v>
      </c>
      <c r="D745" s="14"/>
      <c r="E745" s="15"/>
      <c r="F745" s="16">
        <f t="shared" si="53"/>
        <v>0</v>
      </c>
      <c r="G745">
        <f t="shared" si="52"/>
        <v>0</v>
      </c>
    </row>
    <row r="746" spans="1:7" hidden="1" x14ac:dyDescent="0.25">
      <c r="A746" s="85" t="s">
        <v>2389</v>
      </c>
      <c r="B746" s="88" t="s">
        <v>2366</v>
      </c>
      <c r="C746" s="26" t="s">
        <v>37</v>
      </c>
      <c r="D746" s="14"/>
      <c r="E746" s="15"/>
      <c r="F746" s="16">
        <f t="shared" si="53"/>
        <v>0</v>
      </c>
      <c r="G746">
        <f t="shared" si="52"/>
        <v>0</v>
      </c>
    </row>
    <row r="747" spans="1:7" hidden="1" x14ac:dyDescent="0.25">
      <c r="A747" s="85" t="s">
        <v>2390</v>
      </c>
      <c r="B747" s="88" t="s">
        <v>2367</v>
      </c>
      <c r="C747" s="26" t="s">
        <v>37</v>
      </c>
      <c r="D747" s="14"/>
      <c r="E747" s="15"/>
      <c r="F747" s="16">
        <f t="shared" si="53"/>
        <v>0</v>
      </c>
      <c r="G747">
        <f t="shared" si="52"/>
        <v>0</v>
      </c>
    </row>
    <row r="748" spans="1:7" hidden="1" x14ac:dyDescent="0.25">
      <c r="A748" s="85" t="s">
        <v>2391</v>
      </c>
      <c r="B748" s="88" t="s">
        <v>2368</v>
      </c>
      <c r="C748" s="26" t="s">
        <v>37</v>
      </c>
      <c r="D748" s="14"/>
      <c r="E748" s="15"/>
      <c r="F748" s="16">
        <f t="shared" si="53"/>
        <v>0</v>
      </c>
      <c r="G748">
        <f t="shared" si="52"/>
        <v>0</v>
      </c>
    </row>
    <row r="749" spans="1:7" hidden="1" x14ac:dyDescent="0.25">
      <c r="A749" s="85" t="s">
        <v>2392</v>
      </c>
      <c r="B749" s="88" t="s">
        <v>2369</v>
      </c>
      <c r="C749" s="26" t="s">
        <v>37</v>
      </c>
      <c r="D749" s="14"/>
      <c r="E749" s="15"/>
      <c r="F749" s="16">
        <f t="shared" si="53"/>
        <v>0</v>
      </c>
      <c r="G749">
        <f t="shared" si="52"/>
        <v>0</v>
      </c>
    </row>
    <row r="750" spans="1:7" hidden="1" x14ac:dyDescent="0.25">
      <c r="A750" s="85" t="s">
        <v>2393</v>
      </c>
      <c r="B750" s="88" t="s">
        <v>2370</v>
      </c>
      <c r="C750" s="26" t="s">
        <v>37</v>
      </c>
      <c r="D750" s="14"/>
      <c r="E750" s="15"/>
      <c r="F750" s="16">
        <f t="shared" si="53"/>
        <v>0</v>
      </c>
      <c r="G750">
        <f t="shared" si="52"/>
        <v>0</v>
      </c>
    </row>
    <row r="751" spans="1:7" hidden="1" x14ac:dyDescent="0.25">
      <c r="A751" s="85" t="s">
        <v>2394</v>
      </c>
      <c r="B751" s="88" t="s">
        <v>2371</v>
      </c>
      <c r="C751" s="26" t="s">
        <v>37</v>
      </c>
      <c r="D751" s="14"/>
      <c r="E751" s="15"/>
      <c r="F751" s="16">
        <f t="shared" si="53"/>
        <v>0</v>
      </c>
      <c r="G751">
        <f t="shared" si="52"/>
        <v>0</v>
      </c>
    </row>
    <row r="752" spans="1:7" hidden="1" x14ac:dyDescent="0.25">
      <c r="A752" s="85" t="s">
        <v>2395</v>
      </c>
      <c r="B752" s="88" t="s">
        <v>2372</v>
      </c>
      <c r="C752" s="26" t="s">
        <v>37</v>
      </c>
      <c r="D752" s="14"/>
      <c r="E752" s="15"/>
      <c r="F752" s="16">
        <f t="shared" si="53"/>
        <v>0</v>
      </c>
      <c r="G752">
        <f t="shared" si="52"/>
        <v>0</v>
      </c>
    </row>
    <row r="753" spans="1:7" hidden="1" x14ac:dyDescent="0.25">
      <c r="A753" s="85" t="s">
        <v>2396</v>
      </c>
      <c r="B753" s="88" t="s">
        <v>2373</v>
      </c>
      <c r="C753" s="26" t="s">
        <v>37</v>
      </c>
      <c r="D753" s="14"/>
      <c r="E753" s="15"/>
      <c r="F753" s="16">
        <f t="shared" si="53"/>
        <v>0</v>
      </c>
      <c r="G753">
        <f t="shared" si="52"/>
        <v>0</v>
      </c>
    </row>
    <row r="754" spans="1:7" hidden="1" x14ac:dyDescent="0.25">
      <c r="A754" s="78" t="s">
        <v>2398</v>
      </c>
      <c r="B754" s="79" t="s">
        <v>2397</v>
      </c>
      <c r="C754" s="26"/>
      <c r="D754" s="14"/>
      <c r="E754" s="15"/>
      <c r="F754" s="16"/>
      <c r="G754">
        <f t="shared" si="52"/>
        <v>0</v>
      </c>
    </row>
    <row r="755" spans="1:7" hidden="1" x14ac:dyDescent="0.25">
      <c r="A755" s="85" t="s">
        <v>2416</v>
      </c>
      <c r="B755" s="88" t="s">
        <v>2399</v>
      </c>
      <c r="C755" s="26" t="s">
        <v>37</v>
      </c>
      <c r="D755" s="14"/>
      <c r="E755" s="15"/>
      <c r="F755" s="16">
        <f t="shared" ref="F755:F784" si="54">+D755*E755</f>
        <v>0</v>
      </c>
      <c r="G755">
        <f t="shared" si="52"/>
        <v>0</v>
      </c>
    </row>
    <row r="756" spans="1:7" hidden="1" x14ac:dyDescent="0.25">
      <c r="A756" s="85" t="s">
        <v>2417</v>
      </c>
      <c r="B756" s="88" t="s">
        <v>2400</v>
      </c>
      <c r="C756" s="26" t="s">
        <v>37</v>
      </c>
      <c r="D756" s="14"/>
      <c r="E756" s="15"/>
      <c r="F756" s="16">
        <f t="shared" si="54"/>
        <v>0</v>
      </c>
      <c r="G756">
        <f t="shared" si="52"/>
        <v>0</v>
      </c>
    </row>
    <row r="757" spans="1:7" hidden="1" x14ac:dyDescent="0.25">
      <c r="A757" s="85" t="s">
        <v>2418</v>
      </c>
      <c r="B757" s="88" t="s">
        <v>2401</v>
      </c>
      <c r="C757" s="26" t="s">
        <v>37</v>
      </c>
      <c r="D757" s="14"/>
      <c r="E757" s="15"/>
      <c r="F757" s="16">
        <f t="shared" si="54"/>
        <v>0</v>
      </c>
      <c r="G757">
        <f t="shared" si="52"/>
        <v>0</v>
      </c>
    </row>
    <row r="758" spans="1:7" hidden="1" x14ac:dyDescent="0.25">
      <c r="A758" s="85" t="s">
        <v>2419</v>
      </c>
      <c r="B758" s="88" t="s">
        <v>2402</v>
      </c>
      <c r="C758" s="26" t="s">
        <v>37</v>
      </c>
      <c r="D758" s="14"/>
      <c r="E758" s="15"/>
      <c r="F758" s="16">
        <f t="shared" si="54"/>
        <v>0</v>
      </c>
      <c r="G758">
        <f t="shared" si="52"/>
        <v>0</v>
      </c>
    </row>
    <row r="759" spans="1:7" hidden="1" x14ac:dyDescent="0.25">
      <c r="A759" s="85" t="s">
        <v>2420</v>
      </c>
      <c r="B759" s="88" t="s">
        <v>2405</v>
      </c>
      <c r="C759" s="26" t="s">
        <v>37</v>
      </c>
      <c r="D759" s="14"/>
      <c r="E759" s="15"/>
      <c r="F759" s="16">
        <f t="shared" si="54"/>
        <v>0</v>
      </c>
      <c r="G759">
        <f t="shared" si="52"/>
        <v>0</v>
      </c>
    </row>
    <row r="760" spans="1:7" hidden="1" x14ac:dyDescent="0.25">
      <c r="A760" s="85" t="s">
        <v>2421</v>
      </c>
      <c r="B760" s="88" t="s">
        <v>2403</v>
      </c>
      <c r="C760" s="26" t="s">
        <v>37</v>
      </c>
      <c r="D760" s="14"/>
      <c r="E760" s="15"/>
      <c r="F760" s="16">
        <f t="shared" si="54"/>
        <v>0</v>
      </c>
      <c r="G760">
        <f t="shared" si="52"/>
        <v>0</v>
      </c>
    </row>
    <row r="761" spans="1:7" hidden="1" x14ac:dyDescent="0.25">
      <c r="A761" s="85" t="s">
        <v>2422</v>
      </c>
      <c r="B761" s="88" t="s">
        <v>2404</v>
      </c>
      <c r="C761" s="26" t="s">
        <v>37</v>
      </c>
      <c r="D761" s="14"/>
      <c r="E761" s="15"/>
      <c r="F761" s="16">
        <f t="shared" si="54"/>
        <v>0</v>
      </c>
      <c r="G761">
        <f t="shared" si="52"/>
        <v>0</v>
      </c>
    </row>
    <row r="762" spans="1:7" hidden="1" x14ac:dyDescent="0.25">
      <c r="A762" s="85" t="s">
        <v>2423</v>
      </c>
      <c r="B762" s="88" t="s">
        <v>2406</v>
      </c>
      <c r="C762" s="26" t="s">
        <v>37</v>
      </c>
      <c r="D762" s="14"/>
      <c r="E762" s="15"/>
      <c r="F762" s="16">
        <f t="shared" si="54"/>
        <v>0</v>
      </c>
      <c r="G762">
        <f t="shared" si="52"/>
        <v>0</v>
      </c>
    </row>
    <row r="763" spans="1:7" hidden="1" x14ac:dyDescent="0.25">
      <c r="A763" s="85" t="s">
        <v>2424</v>
      </c>
      <c r="B763" s="88" t="s">
        <v>2407</v>
      </c>
      <c r="C763" s="26" t="s">
        <v>37</v>
      </c>
      <c r="D763" s="14"/>
      <c r="E763" s="15"/>
      <c r="F763" s="16">
        <f t="shared" si="54"/>
        <v>0</v>
      </c>
      <c r="G763">
        <f t="shared" si="52"/>
        <v>0</v>
      </c>
    </row>
    <row r="764" spans="1:7" hidden="1" x14ac:dyDescent="0.25">
      <c r="A764" s="85" t="s">
        <v>2425</v>
      </c>
      <c r="B764" s="88" t="s">
        <v>2408</v>
      </c>
      <c r="C764" s="26" t="s">
        <v>37</v>
      </c>
      <c r="D764" s="14"/>
      <c r="E764" s="15"/>
      <c r="F764" s="16">
        <f t="shared" si="54"/>
        <v>0</v>
      </c>
      <c r="G764">
        <f t="shared" si="52"/>
        <v>0</v>
      </c>
    </row>
    <row r="765" spans="1:7" hidden="1" x14ac:dyDescent="0.25">
      <c r="A765" s="85" t="s">
        <v>2426</v>
      </c>
      <c r="B765" s="88" t="s">
        <v>2409</v>
      </c>
      <c r="C765" s="26" t="s">
        <v>37</v>
      </c>
      <c r="D765" s="14"/>
      <c r="E765" s="15"/>
      <c r="F765" s="16">
        <f t="shared" si="54"/>
        <v>0</v>
      </c>
      <c r="G765">
        <f t="shared" si="52"/>
        <v>0</v>
      </c>
    </row>
    <row r="766" spans="1:7" hidden="1" x14ac:dyDescent="0.25">
      <c r="A766" s="85" t="s">
        <v>2427</v>
      </c>
      <c r="B766" s="88" t="s">
        <v>2410</v>
      </c>
      <c r="C766" s="26" t="s">
        <v>37</v>
      </c>
      <c r="D766" s="14"/>
      <c r="E766" s="15"/>
      <c r="F766" s="16">
        <f t="shared" si="54"/>
        <v>0</v>
      </c>
      <c r="G766">
        <f t="shared" si="52"/>
        <v>0</v>
      </c>
    </row>
    <row r="767" spans="1:7" hidden="1" x14ac:dyDescent="0.25">
      <c r="A767" s="85" t="s">
        <v>2428</v>
      </c>
      <c r="B767" s="88" t="s">
        <v>2411</v>
      </c>
      <c r="C767" s="26" t="s">
        <v>37</v>
      </c>
      <c r="D767" s="14"/>
      <c r="E767" s="15"/>
      <c r="F767" s="16">
        <f t="shared" si="54"/>
        <v>0</v>
      </c>
      <c r="G767">
        <f t="shared" si="52"/>
        <v>0</v>
      </c>
    </row>
    <row r="768" spans="1:7" hidden="1" x14ac:dyDescent="0.25">
      <c r="A768" s="85" t="s">
        <v>2429</v>
      </c>
      <c r="B768" s="88" t="s">
        <v>2412</v>
      </c>
      <c r="C768" s="26" t="s">
        <v>37</v>
      </c>
      <c r="D768" s="14"/>
      <c r="E768" s="15"/>
      <c r="F768" s="16">
        <f t="shared" si="54"/>
        <v>0</v>
      </c>
      <c r="G768">
        <f t="shared" si="52"/>
        <v>0</v>
      </c>
    </row>
    <row r="769" spans="1:7" hidden="1" x14ac:dyDescent="0.25">
      <c r="A769" s="85" t="s">
        <v>2430</v>
      </c>
      <c r="B769" s="88" t="s">
        <v>2413</v>
      </c>
      <c r="C769" s="26" t="s">
        <v>37</v>
      </c>
      <c r="D769" s="14"/>
      <c r="E769" s="15"/>
      <c r="F769" s="16">
        <f t="shared" si="54"/>
        <v>0</v>
      </c>
      <c r="G769">
        <f t="shared" si="52"/>
        <v>0</v>
      </c>
    </row>
    <row r="770" spans="1:7" hidden="1" x14ac:dyDescent="0.25">
      <c r="A770" s="85" t="s">
        <v>2431</v>
      </c>
      <c r="B770" s="88" t="s">
        <v>2414</v>
      </c>
      <c r="C770" s="26" t="s">
        <v>37</v>
      </c>
      <c r="D770" s="14"/>
      <c r="E770" s="15"/>
      <c r="F770" s="16">
        <f t="shared" si="54"/>
        <v>0</v>
      </c>
      <c r="G770">
        <f t="shared" si="52"/>
        <v>0</v>
      </c>
    </row>
    <row r="771" spans="1:7" hidden="1" x14ac:dyDescent="0.25">
      <c r="A771" s="85" t="s">
        <v>2432</v>
      </c>
      <c r="B771" s="88" t="s">
        <v>2415</v>
      </c>
      <c r="C771" s="26" t="s">
        <v>37</v>
      </c>
      <c r="D771" s="14"/>
      <c r="E771" s="15"/>
      <c r="F771" s="16">
        <f t="shared" si="54"/>
        <v>0</v>
      </c>
      <c r="G771">
        <f t="shared" si="52"/>
        <v>0</v>
      </c>
    </row>
    <row r="772" spans="1:7" hidden="1" x14ac:dyDescent="0.25">
      <c r="A772" s="85" t="s">
        <v>2441</v>
      </c>
      <c r="B772" s="88" t="s">
        <v>2433</v>
      </c>
      <c r="C772" s="26" t="s">
        <v>37</v>
      </c>
      <c r="D772" s="14"/>
      <c r="E772" s="15"/>
      <c r="F772" s="16">
        <f t="shared" si="54"/>
        <v>0</v>
      </c>
      <c r="G772">
        <f t="shared" si="52"/>
        <v>0</v>
      </c>
    </row>
    <row r="773" spans="1:7" hidden="1" x14ac:dyDescent="0.25">
      <c r="A773" s="85" t="s">
        <v>2442</v>
      </c>
      <c r="B773" s="88" t="s">
        <v>2434</v>
      </c>
      <c r="C773" s="26" t="s">
        <v>37</v>
      </c>
      <c r="D773" s="14"/>
      <c r="E773" s="15"/>
      <c r="F773" s="16">
        <f t="shared" si="54"/>
        <v>0</v>
      </c>
      <c r="G773">
        <f t="shared" si="52"/>
        <v>0</v>
      </c>
    </row>
    <row r="774" spans="1:7" hidden="1" x14ac:dyDescent="0.25">
      <c r="A774" s="85" t="s">
        <v>2443</v>
      </c>
      <c r="B774" s="88" t="s">
        <v>2435</v>
      </c>
      <c r="C774" s="26" t="s">
        <v>37</v>
      </c>
      <c r="D774" s="14"/>
      <c r="E774" s="15"/>
      <c r="F774" s="16">
        <f t="shared" si="54"/>
        <v>0</v>
      </c>
      <c r="G774">
        <f t="shared" si="52"/>
        <v>0</v>
      </c>
    </row>
    <row r="775" spans="1:7" hidden="1" x14ac:dyDescent="0.25">
      <c r="A775" s="85" t="s">
        <v>2444</v>
      </c>
      <c r="B775" s="88" t="s">
        <v>2436</v>
      </c>
      <c r="C775" s="26" t="s">
        <v>37</v>
      </c>
      <c r="D775" s="14"/>
      <c r="E775" s="15"/>
      <c r="F775" s="16">
        <f t="shared" si="54"/>
        <v>0</v>
      </c>
      <c r="G775">
        <f t="shared" si="52"/>
        <v>0</v>
      </c>
    </row>
    <row r="776" spans="1:7" hidden="1" x14ac:dyDescent="0.25">
      <c r="A776" s="85" t="s">
        <v>2445</v>
      </c>
      <c r="B776" s="88" t="s">
        <v>2437</v>
      </c>
      <c r="C776" s="26" t="s">
        <v>37</v>
      </c>
      <c r="D776" s="14"/>
      <c r="E776" s="15"/>
      <c r="F776" s="16">
        <f t="shared" si="54"/>
        <v>0</v>
      </c>
      <c r="G776">
        <f t="shared" si="52"/>
        <v>0</v>
      </c>
    </row>
    <row r="777" spans="1:7" hidden="1" x14ac:dyDescent="0.25">
      <c r="A777" s="85" t="s">
        <v>2446</v>
      </c>
      <c r="B777" s="88" t="s">
        <v>2438</v>
      </c>
      <c r="C777" s="26" t="s">
        <v>37</v>
      </c>
      <c r="D777" s="14"/>
      <c r="E777" s="15"/>
      <c r="F777" s="16">
        <f t="shared" si="54"/>
        <v>0</v>
      </c>
      <c r="G777">
        <f t="shared" si="52"/>
        <v>0</v>
      </c>
    </row>
    <row r="778" spans="1:7" hidden="1" x14ac:dyDescent="0.25">
      <c r="A778" s="85" t="s">
        <v>2447</v>
      </c>
      <c r="B778" s="88" t="s">
        <v>2439</v>
      </c>
      <c r="C778" s="26" t="s">
        <v>37</v>
      </c>
      <c r="D778" s="14"/>
      <c r="E778" s="15"/>
      <c r="F778" s="16">
        <f t="shared" si="54"/>
        <v>0</v>
      </c>
      <c r="G778">
        <f t="shared" si="52"/>
        <v>0</v>
      </c>
    </row>
    <row r="779" spans="1:7" hidden="1" x14ac:dyDescent="0.25">
      <c r="A779" s="85" t="s">
        <v>2448</v>
      </c>
      <c r="B779" s="88" t="s">
        <v>2440</v>
      </c>
      <c r="C779" s="26" t="s">
        <v>37</v>
      </c>
      <c r="D779" s="14"/>
      <c r="E779" s="15"/>
      <c r="F779" s="16">
        <f t="shared" si="54"/>
        <v>0</v>
      </c>
      <c r="G779">
        <f t="shared" si="52"/>
        <v>0</v>
      </c>
    </row>
    <row r="780" spans="1:7" hidden="1" x14ac:dyDescent="0.25">
      <c r="A780" s="85" t="s">
        <v>2454</v>
      </c>
      <c r="B780" s="88" t="s">
        <v>2449</v>
      </c>
      <c r="C780" s="26" t="s">
        <v>37</v>
      </c>
      <c r="D780" s="14"/>
      <c r="E780" s="15"/>
      <c r="F780" s="16">
        <f t="shared" si="54"/>
        <v>0</v>
      </c>
      <c r="G780">
        <f t="shared" si="52"/>
        <v>0</v>
      </c>
    </row>
    <row r="781" spans="1:7" hidden="1" x14ac:dyDescent="0.25">
      <c r="A781" s="85" t="s">
        <v>2455</v>
      </c>
      <c r="B781" s="88" t="s">
        <v>2450</v>
      </c>
      <c r="C781" s="26" t="s">
        <v>37</v>
      </c>
      <c r="D781" s="14"/>
      <c r="E781" s="15"/>
      <c r="F781" s="16">
        <f t="shared" si="54"/>
        <v>0</v>
      </c>
      <c r="G781">
        <f t="shared" si="52"/>
        <v>0</v>
      </c>
    </row>
    <row r="782" spans="1:7" hidden="1" x14ac:dyDescent="0.25">
      <c r="A782" s="85" t="s">
        <v>2456</v>
      </c>
      <c r="B782" s="88" t="s">
        <v>2451</v>
      </c>
      <c r="C782" s="26" t="s">
        <v>37</v>
      </c>
      <c r="D782" s="14"/>
      <c r="E782" s="15"/>
      <c r="F782" s="16">
        <f t="shared" si="54"/>
        <v>0</v>
      </c>
      <c r="G782">
        <f t="shared" si="52"/>
        <v>0</v>
      </c>
    </row>
    <row r="783" spans="1:7" hidden="1" x14ac:dyDescent="0.25">
      <c r="A783" s="85" t="s">
        <v>2457</v>
      </c>
      <c r="B783" s="88" t="s">
        <v>2452</v>
      </c>
      <c r="C783" s="26" t="s">
        <v>37</v>
      </c>
      <c r="D783" s="14"/>
      <c r="E783" s="15"/>
      <c r="F783" s="16">
        <f t="shared" si="54"/>
        <v>0</v>
      </c>
      <c r="G783">
        <f t="shared" si="52"/>
        <v>0</v>
      </c>
    </row>
    <row r="784" spans="1:7" hidden="1" x14ac:dyDescent="0.25">
      <c r="A784" s="85" t="s">
        <v>2458</v>
      </c>
      <c r="B784" s="88" t="s">
        <v>2453</v>
      </c>
      <c r="C784" s="26" t="s">
        <v>37</v>
      </c>
      <c r="D784" s="14"/>
      <c r="E784" s="15"/>
      <c r="F784" s="16">
        <f t="shared" si="54"/>
        <v>0</v>
      </c>
      <c r="G784">
        <f t="shared" si="52"/>
        <v>0</v>
      </c>
    </row>
    <row r="785" spans="1:7" hidden="1" x14ac:dyDescent="0.25">
      <c r="A785" s="78" t="s">
        <v>2459</v>
      </c>
      <c r="B785" s="79" t="s">
        <v>2461</v>
      </c>
      <c r="C785" s="26"/>
      <c r="D785" s="14"/>
      <c r="E785" s="15"/>
      <c r="F785" s="16"/>
      <c r="G785">
        <f t="shared" si="52"/>
        <v>0</v>
      </c>
    </row>
    <row r="786" spans="1:7" hidden="1" x14ac:dyDescent="0.25">
      <c r="A786" s="85" t="s">
        <v>2460</v>
      </c>
      <c r="B786" s="303" t="s">
        <v>2462</v>
      </c>
      <c r="C786" s="26" t="s">
        <v>37</v>
      </c>
      <c r="D786" s="14"/>
      <c r="E786" s="15"/>
      <c r="F786" s="16">
        <f t="shared" ref="F786:F804" si="55">+D786*E786</f>
        <v>0</v>
      </c>
      <c r="G786">
        <f t="shared" si="52"/>
        <v>0</v>
      </c>
    </row>
    <row r="787" spans="1:7" hidden="1" x14ac:dyDescent="0.25">
      <c r="A787" s="85" t="s">
        <v>2481</v>
      </c>
      <c r="B787" s="303" t="s">
        <v>2463</v>
      </c>
      <c r="C787" s="26" t="s">
        <v>37</v>
      </c>
      <c r="D787" s="14"/>
      <c r="E787" s="15"/>
      <c r="F787" s="16">
        <f t="shared" si="55"/>
        <v>0</v>
      </c>
      <c r="G787">
        <f t="shared" si="52"/>
        <v>0</v>
      </c>
    </row>
    <row r="788" spans="1:7" hidden="1" x14ac:dyDescent="0.25">
      <c r="A788" s="85" t="s">
        <v>2482</v>
      </c>
      <c r="B788" s="304" t="s">
        <v>2464</v>
      </c>
      <c r="C788" s="26" t="s">
        <v>37</v>
      </c>
      <c r="D788" s="14"/>
      <c r="E788" s="15"/>
      <c r="F788" s="16">
        <f t="shared" si="55"/>
        <v>0</v>
      </c>
      <c r="G788">
        <f t="shared" si="52"/>
        <v>0</v>
      </c>
    </row>
    <row r="789" spans="1:7" hidden="1" x14ac:dyDescent="0.25">
      <c r="A789" s="85" t="s">
        <v>2483</v>
      </c>
      <c r="B789" s="304" t="s">
        <v>2465</v>
      </c>
      <c r="C789" s="26" t="s">
        <v>37</v>
      </c>
      <c r="D789" s="14"/>
      <c r="E789" s="15"/>
      <c r="F789" s="16">
        <f t="shared" si="55"/>
        <v>0</v>
      </c>
      <c r="G789">
        <f t="shared" si="52"/>
        <v>0</v>
      </c>
    </row>
    <row r="790" spans="1:7" hidden="1" x14ac:dyDescent="0.25">
      <c r="A790" s="85" t="s">
        <v>2484</v>
      </c>
      <c r="B790" s="304" t="s">
        <v>2466</v>
      </c>
      <c r="C790" s="26" t="s">
        <v>37</v>
      </c>
      <c r="D790" s="14"/>
      <c r="E790" s="15"/>
      <c r="F790" s="16">
        <f t="shared" si="55"/>
        <v>0</v>
      </c>
      <c r="G790">
        <f t="shared" si="52"/>
        <v>0</v>
      </c>
    </row>
    <row r="791" spans="1:7" hidden="1" x14ac:dyDescent="0.25">
      <c r="A791" s="85" t="s">
        <v>2485</v>
      </c>
      <c r="B791" s="304" t="s">
        <v>2467</v>
      </c>
      <c r="C791" s="26" t="s">
        <v>37</v>
      </c>
      <c r="D791" s="14"/>
      <c r="E791" s="15"/>
      <c r="F791" s="16">
        <f t="shared" si="55"/>
        <v>0</v>
      </c>
      <c r="G791">
        <f t="shared" si="52"/>
        <v>0</v>
      </c>
    </row>
    <row r="792" spans="1:7" hidden="1" x14ac:dyDescent="0.25">
      <c r="A792" s="85" t="s">
        <v>2486</v>
      </c>
      <c r="B792" s="304" t="s">
        <v>2468</v>
      </c>
      <c r="C792" s="26" t="s">
        <v>37</v>
      </c>
      <c r="D792" s="14"/>
      <c r="E792" s="15"/>
      <c r="F792" s="16">
        <f t="shared" si="55"/>
        <v>0</v>
      </c>
      <c r="G792">
        <f t="shared" si="52"/>
        <v>0</v>
      </c>
    </row>
    <row r="793" spans="1:7" hidden="1" x14ac:dyDescent="0.25">
      <c r="A793" s="85" t="s">
        <v>2487</v>
      </c>
      <c r="B793" s="304" t="s">
        <v>2470</v>
      </c>
      <c r="C793" s="26" t="s">
        <v>37</v>
      </c>
      <c r="D793" s="14"/>
      <c r="E793" s="15"/>
      <c r="F793" s="16">
        <f t="shared" si="55"/>
        <v>0</v>
      </c>
      <c r="G793">
        <f t="shared" si="52"/>
        <v>0</v>
      </c>
    </row>
    <row r="794" spans="1:7" hidden="1" x14ac:dyDescent="0.25">
      <c r="A794" s="85" t="s">
        <v>2488</v>
      </c>
      <c r="B794" s="304" t="s">
        <v>2469</v>
      </c>
      <c r="C794" s="26" t="s">
        <v>37</v>
      </c>
      <c r="D794" s="14"/>
      <c r="E794" s="15"/>
      <c r="F794" s="16">
        <f t="shared" si="55"/>
        <v>0</v>
      </c>
      <c r="G794">
        <f t="shared" si="52"/>
        <v>0</v>
      </c>
    </row>
    <row r="795" spans="1:7" hidden="1" x14ac:dyDescent="0.25">
      <c r="A795" s="85" t="s">
        <v>2489</v>
      </c>
      <c r="B795" s="304" t="s">
        <v>2471</v>
      </c>
      <c r="C795" s="26" t="s">
        <v>37</v>
      </c>
      <c r="D795" s="14"/>
      <c r="E795" s="15"/>
      <c r="F795" s="16">
        <f t="shared" si="55"/>
        <v>0</v>
      </c>
      <c r="G795">
        <f t="shared" si="52"/>
        <v>0</v>
      </c>
    </row>
    <row r="796" spans="1:7" hidden="1" x14ac:dyDescent="0.25">
      <c r="A796" s="85" t="s">
        <v>2490</v>
      </c>
      <c r="B796" s="304" t="s">
        <v>2472</v>
      </c>
      <c r="C796" s="26" t="s">
        <v>37</v>
      </c>
      <c r="D796" s="14"/>
      <c r="E796" s="15"/>
      <c r="F796" s="16">
        <f t="shared" si="55"/>
        <v>0</v>
      </c>
      <c r="G796">
        <f t="shared" si="52"/>
        <v>0</v>
      </c>
    </row>
    <row r="797" spans="1:7" hidden="1" x14ac:dyDescent="0.25">
      <c r="A797" s="85" t="s">
        <v>2491</v>
      </c>
      <c r="B797" s="304" t="s">
        <v>2473</v>
      </c>
      <c r="C797" s="26" t="s">
        <v>37</v>
      </c>
      <c r="D797" s="14"/>
      <c r="E797" s="15"/>
      <c r="F797" s="16">
        <f t="shared" si="55"/>
        <v>0</v>
      </c>
      <c r="G797">
        <f t="shared" si="52"/>
        <v>0</v>
      </c>
    </row>
    <row r="798" spans="1:7" hidden="1" x14ac:dyDescent="0.25">
      <c r="A798" s="85" t="s">
        <v>2492</v>
      </c>
      <c r="B798" s="304" t="s">
        <v>2474</v>
      </c>
      <c r="C798" s="26" t="s">
        <v>37</v>
      </c>
      <c r="D798" s="14"/>
      <c r="E798" s="15"/>
      <c r="F798" s="16">
        <f t="shared" si="55"/>
        <v>0</v>
      </c>
      <c r="G798">
        <f t="shared" si="52"/>
        <v>0</v>
      </c>
    </row>
    <row r="799" spans="1:7" hidden="1" x14ac:dyDescent="0.25">
      <c r="A799" s="85" t="s">
        <v>2493</v>
      </c>
      <c r="B799" s="304" t="s">
        <v>2475</v>
      </c>
      <c r="C799" s="26" t="s">
        <v>37</v>
      </c>
      <c r="D799" s="14"/>
      <c r="E799" s="15"/>
      <c r="F799" s="16">
        <f t="shared" si="55"/>
        <v>0</v>
      </c>
      <c r="G799">
        <f t="shared" si="52"/>
        <v>0</v>
      </c>
    </row>
    <row r="800" spans="1:7" hidden="1" x14ac:dyDescent="0.25">
      <c r="A800" s="85" t="s">
        <v>2494</v>
      </c>
      <c r="B800" s="304" t="s">
        <v>2476</v>
      </c>
      <c r="C800" s="26" t="s">
        <v>37</v>
      </c>
      <c r="D800" s="14"/>
      <c r="E800" s="15"/>
      <c r="F800" s="16">
        <f t="shared" si="55"/>
        <v>0</v>
      </c>
      <c r="G800">
        <f t="shared" si="52"/>
        <v>0</v>
      </c>
    </row>
    <row r="801" spans="1:7" hidden="1" x14ac:dyDescent="0.25">
      <c r="A801" s="85" t="s">
        <v>2495</v>
      </c>
      <c r="B801" s="304" t="s">
        <v>2477</v>
      </c>
      <c r="C801" s="26" t="s">
        <v>37</v>
      </c>
      <c r="D801" s="14"/>
      <c r="E801" s="15"/>
      <c r="F801" s="16">
        <f t="shared" si="55"/>
        <v>0</v>
      </c>
      <c r="G801">
        <f t="shared" si="52"/>
        <v>0</v>
      </c>
    </row>
    <row r="802" spans="1:7" hidden="1" x14ac:dyDescent="0.25">
      <c r="A802" s="85" t="s">
        <v>2496</v>
      </c>
      <c r="B802" s="303" t="s">
        <v>2478</v>
      </c>
      <c r="C802" s="26" t="s">
        <v>37</v>
      </c>
      <c r="D802" s="14"/>
      <c r="E802" s="15"/>
      <c r="F802" s="16">
        <f t="shared" si="55"/>
        <v>0</v>
      </c>
      <c r="G802">
        <f t="shared" si="52"/>
        <v>0</v>
      </c>
    </row>
    <row r="803" spans="1:7" hidden="1" x14ac:dyDescent="0.25">
      <c r="A803" s="85" t="s">
        <v>2497</v>
      </c>
      <c r="B803" s="303" t="s">
        <v>2479</v>
      </c>
      <c r="C803" s="26" t="s">
        <v>37</v>
      </c>
      <c r="D803" s="14"/>
      <c r="E803" s="15"/>
      <c r="F803" s="16">
        <f t="shared" si="55"/>
        <v>0</v>
      </c>
      <c r="G803">
        <f t="shared" si="52"/>
        <v>0</v>
      </c>
    </row>
    <row r="804" spans="1:7" hidden="1" x14ac:dyDescent="0.25">
      <c r="A804" s="85" t="s">
        <v>2498</v>
      </c>
      <c r="B804" s="303" t="s">
        <v>2480</v>
      </c>
      <c r="C804" s="26" t="s">
        <v>37</v>
      </c>
      <c r="D804" s="14"/>
      <c r="E804" s="15"/>
      <c r="F804" s="16">
        <f t="shared" si="55"/>
        <v>0</v>
      </c>
      <c r="G804">
        <f t="shared" ref="G804:G867" si="56">+IF(F804&lt;&gt;0,1,0)</f>
        <v>0</v>
      </c>
    </row>
    <row r="805" spans="1:7" hidden="1" x14ac:dyDescent="0.25">
      <c r="A805" s="78" t="s">
        <v>2499</v>
      </c>
      <c r="B805" s="79" t="s">
        <v>2500</v>
      </c>
      <c r="C805" s="26"/>
      <c r="D805" s="14"/>
      <c r="E805" s="15"/>
      <c r="F805" s="16"/>
      <c r="G805">
        <f t="shared" si="56"/>
        <v>0</v>
      </c>
    </row>
    <row r="806" spans="1:7" hidden="1" x14ac:dyDescent="0.25">
      <c r="A806" s="78" t="s">
        <v>2501</v>
      </c>
      <c r="B806" s="79" t="s">
        <v>2502</v>
      </c>
      <c r="C806" s="26"/>
      <c r="D806" s="14"/>
      <c r="E806" s="15"/>
      <c r="F806" s="16"/>
      <c r="G806">
        <f t="shared" si="56"/>
        <v>0</v>
      </c>
    </row>
    <row r="807" spans="1:7" hidden="1" x14ac:dyDescent="0.25">
      <c r="A807" s="85" t="s">
        <v>2512</v>
      </c>
      <c r="B807" s="88" t="s">
        <v>2503</v>
      </c>
      <c r="C807" s="26" t="s">
        <v>37</v>
      </c>
      <c r="D807" s="14"/>
      <c r="E807" s="15"/>
      <c r="F807" s="16">
        <f t="shared" ref="F807:F817" si="57">+D807*E807</f>
        <v>0</v>
      </c>
      <c r="G807">
        <f t="shared" si="56"/>
        <v>0</v>
      </c>
    </row>
    <row r="808" spans="1:7" hidden="1" x14ac:dyDescent="0.25">
      <c r="A808" s="85" t="s">
        <v>2513</v>
      </c>
      <c r="B808" s="88" t="s">
        <v>2504</v>
      </c>
      <c r="C808" s="26" t="s">
        <v>37</v>
      </c>
      <c r="D808" s="14"/>
      <c r="E808" s="15"/>
      <c r="F808" s="16">
        <f t="shared" si="57"/>
        <v>0</v>
      </c>
      <c r="G808">
        <f t="shared" si="56"/>
        <v>0</v>
      </c>
    </row>
    <row r="809" spans="1:7" hidden="1" x14ac:dyDescent="0.25">
      <c r="A809" s="85" t="s">
        <v>2514</v>
      </c>
      <c r="B809" s="88" t="s">
        <v>2505</v>
      </c>
      <c r="C809" s="26" t="s">
        <v>37</v>
      </c>
      <c r="D809" s="14"/>
      <c r="E809" s="15"/>
      <c r="F809" s="16">
        <f t="shared" si="57"/>
        <v>0</v>
      </c>
      <c r="G809">
        <f t="shared" si="56"/>
        <v>0</v>
      </c>
    </row>
    <row r="810" spans="1:7" hidden="1" x14ac:dyDescent="0.25">
      <c r="A810" s="85" t="s">
        <v>2515</v>
      </c>
      <c r="B810" s="88" t="s">
        <v>2506</v>
      </c>
      <c r="C810" s="26" t="s">
        <v>37</v>
      </c>
      <c r="D810" s="14"/>
      <c r="E810" s="15"/>
      <c r="F810" s="16">
        <f t="shared" si="57"/>
        <v>0</v>
      </c>
      <c r="G810">
        <f t="shared" si="56"/>
        <v>0</v>
      </c>
    </row>
    <row r="811" spans="1:7" hidden="1" x14ac:dyDescent="0.25">
      <c r="A811" s="85" t="s">
        <v>2516</v>
      </c>
      <c r="B811" s="88" t="s">
        <v>2507</v>
      </c>
      <c r="C811" s="26" t="s">
        <v>37</v>
      </c>
      <c r="D811" s="14"/>
      <c r="E811" s="15"/>
      <c r="F811" s="16">
        <f t="shared" si="57"/>
        <v>0</v>
      </c>
      <c r="G811">
        <f t="shared" si="56"/>
        <v>0</v>
      </c>
    </row>
    <row r="812" spans="1:7" hidden="1" x14ac:dyDescent="0.25">
      <c r="A812" s="85" t="s">
        <v>2517</v>
      </c>
      <c r="B812" s="88" t="s">
        <v>2508</v>
      </c>
      <c r="C812" s="26" t="s">
        <v>37</v>
      </c>
      <c r="D812" s="14"/>
      <c r="E812" s="15"/>
      <c r="F812" s="16">
        <f t="shared" si="57"/>
        <v>0</v>
      </c>
      <c r="G812">
        <f t="shared" si="56"/>
        <v>0</v>
      </c>
    </row>
    <row r="813" spans="1:7" hidden="1" x14ac:dyDescent="0.25">
      <c r="A813" s="85" t="s">
        <v>2518</v>
      </c>
      <c r="B813" s="88" t="s">
        <v>2509</v>
      </c>
      <c r="C813" s="26" t="s">
        <v>37</v>
      </c>
      <c r="D813" s="14"/>
      <c r="E813" s="15"/>
      <c r="F813" s="16">
        <f t="shared" si="57"/>
        <v>0</v>
      </c>
      <c r="G813">
        <f t="shared" si="56"/>
        <v>0</v>
      </c>
    </row>
    <row r="814" spans="1:7" hidden="1" x14ac:dyDescent="0.25">
      <c r="A814" s="85" t="s">
        <v>2519</v>
      </c>
      <c r="B814" s="88" t="s">
        <v>2510</v>
      </c>
      <c r="C814" s="26" t="s">
        <v>37</v>
      </c>
      <c r="D814" s="14"/>
      <c r="E814" s="15"/>
      <c r="F814" s="16">
        <f t="shared" si="57"/>
        <v>0</v>
      </c>
      <c r="G814">
        <f t="shared" si="56"/>
        <v>0</v>
      </c>
    </row>
    <row r="815" spans="1:7" hidden="1" x14ac:dyDescent="0.25">
      <c r="A815" s="85" t="s">
        <v>2520</v>
      </c>
      <c r="B815" s="88" t="s">
        <v>2511</v>
      </c>
      <c r="C815" s="26" t="s">
        <v>37</v>
      </c>
      <c r="D815" s="14"/>
      <c r="E815" s="15"/>
      <c r="F815" s="16">
        <f t="shared" si="57"/>
        <v>0</v>
      </c>
      <c r="G815">
        <f t="shared" si="56"/>
        <v>0</v>
      </c>
    </row>
    <row r="816" spans="1:7" hidden="1" x14ac:dyDescent="0.25">
      <c r="A816" s="85" t="s">
        <v>2521</v>
      </c>
      <c r="B816" s="88" t="s">
        <v>2524</v>
      </c>
      <c r="C816" s="26" t="s">
        <v>37</v>
      </c>
      <c r="D816" s="14"/>
      <c r="E816" s="15"/>
      <c r="F816" s="16">
        <f t="shared" si="57"/>
        <v>0</v>
      </c>
      <c r="G816">
        <f t="shared" si="56"/>
        <v>0</v>
      </c>
    </row>
    <row r="817" spans="1:7" hidden="1" x14ac:dyDescent="0.25">
      <c r="A817" s="85" t="s">
        <v>2522</v>
      </c>
      <c r="B817" s="88" t="s">
        <v>2525</v>
      </c>
      <c r="C817" s="26" t="s">
        <v>37</v>
      </c>
      <c r="D817" s="14"/>
      <c r="E817" s="15"/>
      <c r="F817" s="16">
        <f t="shared" si="57"/>
        <v>0</v>
      </c>
      <c r="G817">
        <f t="shared" si="56"/>
        <v>0</v>
      </c>
    </row>
    <row r="818" spans="1:7" hidden="1" x14ac:dyDescent="0.25">
      <c r="A818" s="78" t="s">
        <v>2523</v>
      </c>
      <c r="B818" s="79" t="s">
        <v>2526</v>
      </c>
      <c r="C818" s="26"/>
      <c r="D818" s="14"/>
      <c r="E818" s="15"/>
      <c r="F818" s="16"/>
      <c r="G818">
        <f t="shared" si="56"/>
        <v>0</v>
      </c>
    </row>
    <row r="819" spans="1:7" hidden="1" x14ac:dyDescent="0.25">
      <c r="A819" s="85" t="s">
        <v>2512</v>
      </c>
      <c r="B819" s="88" t="s">
        <v>2527</v>
      </c>
      <c r="C819" s="26" t="s">
        <v>37</v>
      </c>
      <c r="D819" s="14"/>
      <c r="E819" s="15"/>
      <c r="F819" s="16">
        <f t="shared" ref="F819:F829" si="58">+D819*E819</f>
        <v>0</v>
      </c>
      <c r="G819">
        <f t="shared" si="56"/>
        <v>0</v>
      </c>
    </row>
    <row r="820" spans="1:7" hidden="1" x14ac:dyDescent="0.25">
      <c r="A820" s="85" t="s">
        <v>2513</v>
      </c>
      <c r="B820" s="88" t="s">
        <v>2537</v>
      </c>
      <c r="C820" s="26" t="s">
        <v>37</v>
      </c>
      <c r="D820" s="14"/>
      <c r="E820" s="15"/>
      <c r="F820" s="16">
        <f t="shared" si="58"/>
        <v>0</v>
      </c>
      <c r="G820">
        <f t="shared" si="56"/>
        <v>0</v>
      </c>
    </row>
    <row r="821" spans="1:7" hidden="1" x14ac:dyDescent="0.25">
      <c r="A821" s="85" t="s">
        <v>2514</v>
      </c>
      <c r="B821" s="88" t="s">
        <v>2528</v>
      </c>
      <c r="C821" s="26" t="s">
        <v>37</v>
      </c>
      <c r="D821" s="14"/>
      <c r="E821" s="15"/>
      <c r="F821" s="16">
        <f t="shared" si="58"/>
        <v>0</v>
      </c>
      <c r="G821">
        <f t="shared" si="56"/>
        <v>0</v>
      </c>
    </row>
    <row r="822" spans="1:7" hidden="1" x14ac:dyDescent="0.25">
      <c r="A822" s="85" t="s">
        <v>2515</v>
      </c>
      <c r="B822" s="88" t="s">
        <v>2529</v>
      </c>
      <c r="C822" s="26" t="s">
        <v>37</v>
      </c>
      <c r="D822" s="14"/>
      <c r="E822" s="15"/>
      <c r="F822" s="16">
        <f t="shared" si="58"/>
        <v>0</v>
      </c>
      <c r="G822">
        <f t="shared" si="56"/>
        <v>0</v>
      </c>
    </row>
    <row r="823" spans="1:7" hidden="1" x14ac:dyDescent="0.25">
      <c r="A823" s="85" t="s">
        <v>2516</v>
      </c>
      <c r="B823" s="88" t="s">
        <v>2530</v>
      </c>
      <c r="C823" s="26" t="s">
        <v>37</v>
      </c>
      <c r="D823" s="14"/>
      <c r="E823" s="15"/>
      <c r="F823" s="16">
        <f t="shared" si="58"/>
        <v>0</v>
      </c>
      <c r="G823">
        <f t="shared" si="56"/>
        <v>0</v>
      </c>
    </row>
    <row r="824" spans="1:7" hidden="1" x14ac:dyDescent="0.25">
      <c r="A824" s="85" t="s">
        <v>2517</v>
      </c>
      <c r="B824" s="88" t="s">
        <v>2531</v>
      </c>
      <c r="C824" s="26" t="s">
        <v>37</v>
      </c>
      <c r="D824" s="14"/>
      <c r="E824" s="15"/>
      <c r="F824" s="16">
        <f t="shared" si="58"/>
        <v>0</v>
      </c>
      <c r="G824">
        <f t="shared" si="56"/>
        <v>0</v>
      </c>
    </row>
    <row r="825" spans="1:7" hidden="1" x14ac:dyDescent="0.25">
      <c r="A825" s="85" t="s">
        <v>2518</v>
      </c>
      <c r="B825" s="88" t="s">
        <v>2532</v>
      </c>
      <c r="C825" s="26" t="s">
        <v>37</v>
      </c>
      <c r="D825" s="14"/>
      <c r="E825" s="15"/>
      <c r="F825" s="16">
        <f t="shared" si="58"/>
        <v>0</v>
      </c>
      <c r="G825">
        <f t="shared" si="56"/>
        <v>0</v>
      </c>
    </row>
    <row r="826" spans="1:7" hidden="1" x14ac:dyDescent="0.25">
      <c r="A826" s="85" t="s">
        <v>2519</v>
      </c>
      <c r="B826" s="88" t="s">
        <v>2533</v>
      </c>
      <c r="C826" s="26" t="s">
        <v>37</v>
      </c>
      <c r="D826" s="14"/>
      <c r="E826" s="15"/>
      <c r="F826" s="16">
        <f t="shared" si="58"/>
        <v>0</v>
      </c>
      <c r="G826">
        <f t="shared" si="56"/>
        <v>0</v>
      </c>
    </row>
    <row r="827" spans="1:7" hidden="1" x14ac:dyDescent="0.25">
      <c r="A827" s="85" t="s">
        <v>2520</v>
      </c>
      <c r="B827" s="88" t="s">
        <v>2534</v>
      </c>
      <c r="C827" s="26" t="s">
        <v>37</v>
      </c>
      <c r="D827" s="14"/>
      <c r="E827" s="15"/>
      <c r="F827" s="16">
        <f t="shared" si="58"/>
        <v>0</v>
      </c>
      <c r="G827">
        <f t="shared" si="56"/>
        <v>0</v>
      </c>
    </row>
    <row r="828" spans="1:7" hidden="1" x14ac:dyDescent="0.25">
      <c r="A828" s="85" t="s">
        <v>2521</v>
      </c>
      <c r="B828" s="88" t="s">
        <v>2535</v>
      </c>
      <c r="C828" s="26" t="s">
        <v>37</v>
      </c>
      <c r="D828" s="14"/>
      <c r="E828" s="15"/>
      <c r="F828" s="16">
        <f t="shared" si="58"/>
        <v>0</v>
      </c>
      <c r="G828">
        <f t="shared" si="56"/>
        <v>0</v>
      </c>
    </row>
    <row r="829" spans="1:7" hidden="1" x14ac:dyDescent="0.25">
      <c r="A829" s="85" t="s">
        <v>2522</v>
      </c>
      <c r="B829" s="88" t="s">
        <v>2536</v>
      </c>
      <c r="C829" s="26" t="s">
        <v>37</v>
      </c>
      <c r="D829" s="14"/>
      <c r="E829" s="15"/>
      <c r="F829" s="16">
        <f t="shared" si="58"/>
        <v>0</v>
      </c>
      <c r="G829">
        <f t="shared" si="56"/>
        <v>0</v>
      </c>
    </row>
    <row r="830" spans="1:7" x14ac:dyDescent="0.25">
      <c r="A830" s="78" t="s">
        <v>2538</v>
      </c>
      <c r="B830" s="79" t="s">
        <v>2539</v>
      </c>
      <c r="C830" s="26"/>
      <c r="D830" s="14"/>
      <c r="E830" s="15"/>
      <c r="F830" s="16"/>
      <c r="G830">
        <v>1</v>
      </c>
    </row>
    <row r="831" spans="1:7" hidden="1" x14ac:dyDescent="0.25">
      <c r="A831" s="85" t="s">
        <v>2540</v>
      </c>
      <c r="B831" s="88" t="s">
        <v>2541</v>
      </c>
      <c r="C831" s="26" t="s">
        <v>14</v>
      </c>
      <c r="D831" s="14"/>
      <c r="E831" s="15"/>
      <c r="F831" s="16">
        <f t="shared" ref="F831:F842" si="59">+D831*E831</f>
        <v>0</v>
      </c>
      <c r="G831">
        <f t="shared" si="56"/>
        <v>0</v>
      </c>
    </row>
    <row r="832" spans="1:7" hidden="1" x14ac:dyDescent="0.25">
      <c r="A832" s="85" t="s">
        <v>888</v>
      </c>
      <c r="B832" s="88" t="s">
        <v>2542</v>
      </c>
      <c r="C832" s="26" t="s">
        <v>14</v>
      </c>
      <c r="D832" s="14"/>
      <c r="E832" s="15"/>
      <c r="F832" s="16">
        <f t="shared" si="59"/>
        <v>0</v>
      </c>
      <c r="G832">
        <f t="shared" si="56"/>
        <v>0</v>
      </c>
    </row>
    <row r="833" spans="1:7" hidden="1" x14ac:dyDescent="0.25">
      <c r="A833" s="85" t="s">
        <v>2553</v>
      </c>
      <c r="B833" s="88" t="s">
        <v>2543</v>
      </c>
      <c r="C833" s="26" t="s">
        <v>14</v>
      </c>
      <c r="D833" s="14"/>
      <c r="E833" s="15"/>
      <c r="F833" s="16">
        <f t="shared" si="59"/>
        <v>0</v>
      </c>
      <c r="G833">
        <f t="shared" si="56"/>
        <v>0</v>
      </c>
    </row>
    <row r="834" spans="1:7" hidden="1" x14ac:dyDescent="0.25">
      <c r="A834" s="85" t="s">
        <v>2554</v>
      </c>
      <c r="B834" s="88" t="s">
        <v>2544</v>
      </c>
      <c r="C834" s="26" t="s">
        <v>14</v>
      </c>
      <c r="D834" s="14"/>
      <c r="E834" s="15"/>
      <c r="F834" s="16">
        <f t="shared" si="59"/>
        <v>0</v>
      </c>
      <c r="G834">
        <f t="shared" si="56"/>
        <v>0</v>
      </c>
    </row>
    <row r="835" spans="1:7" hidden="1" x14ac:dyDescent="0.25">
      <c r="A835" s="85" t="s">
        <v>2555</v>
      </c>
      <c r="B835" s="88" t="s">
        <v>2545</v>
      </c>
      <c r="C835" s="26" t="s">
        <v>14</v>
      </c>
      <c r="D835" s="14"/>
      <c r="E835" s="15"/>
      <c r="F835" s="16">
        <f t="shared" si="59"/>
        <v>0</v>
      </c>
      <c r="G835">
        <f t="shared" si="56"/>
        <v>0</v>
      </c>
    </row>
    <row r="836" spans="1:7" hidden="1" x14ac:dyDescent="0.25">
      <c r="A836" s="85" t="s">
        <v>2556</v>
      </c>
      <c r="B836" s="88" t="s">
        <v>2546</v>
      </c>
      <c r="C836" s="26" t="s">
        <v>14</v>
      </c>
      <c r="D836" s="14"/>
      <c r="E836" s="15"/>
      <c r="F836" s="16">
        <f t="shared" si="59"/>
        <v>0</v>
      </c>
      <c r="G836">
        <f t="shared" si="56"/>
        <v>0</v>
      </c>
    </row>
    <row r="837" spans="1:7" hidden="1" x14ac:dyDescent="0.25">
      <c r="A837" s="85" t="s">
        <v>2557</v>
      </c>
      <c r="B837" s="88" t="s">
        <v>2547</v>
      </c>
      <c r="C837" s="26" t="s">
        <v>14</v>
      </c>
      <c r="D837" s="14"/>
      <c r="E837" s="15"/>
      <c r="F837" s="16">
        <f t="shared" si="59"/>
        <v>0</v>
      </c>
      <c r="G837">
        <f t="shared" si="56"/>
        <v>0</v>
      </c>
    </row>
    <row r="838" spans="1:7" hidden="1" x14ac:dyDescent="0.25">
      <c r="A838" s="85" t="s">
        <v>2558</v>
      </c>
      <c r="B838" s="88" t="s">
        <v>2548</v>
      </c>
      <c r="C838" s="26" t="s">
        <v>14</v>
      </c>
      <c r="D838" s="14"/>
      <c r="E838" s="15">
        <f>+SUM!H836</f>
        <v>592637.5</v>
      </c>
      <c r="F838" s="16">
        <f t="shared" si="59"/>
        <v>0</v>
      </c>
      <c r="G838">
        <f t="shared" si="56"/>
        <v>0</v>
      </c>
    </row>
    <row r="839" spans="1:7" hidden="1" x14ac:dyDescent="0.25">
      <c r="A839" s="85" t="s">
        <v>2559</v>
      </c>
      <c r="B839" s="88" t="s">
        <v>2549</v>
      </c>
      <c r="C839" s="26" t="s">
        <v>14</v>
      </c>
      <c r="D839" s="14"/>
      <c r="E839" s="15"/>
      <c r="F839" s="16">
        <f t="shared" si="59"/>
        <v>0</v>
      </c>
      <c r="G839">
        <f t="shared" si="56"/>
        <v>0</v>
      </c>
    </row>
    <row r="840" spans="1:7" hidden="1" x14ac:dyDescent="0.25">
      <c r="A840" s="85" t="s">
        <v>957</v>
      </c>
      <c r="B840" s="88" t="s">
        <v>2550</v>
      </c>
      <c r="C840" s="26" t="s">
        <v>14</v>
      </c>
      <c r="D840" s="14"/>
      <c r="E840" s="15"/>
      <c r="F840" s="16">
        <f t="shared" si="59"/>
        <v>0</v>
      </c>
      <c r="G840">
        <f t="shared" si="56"/>
        <v>0</v>
      </c>
    </row>
    <row r="841" spans="1:7" hidden="1" x14ac:dyDescent="0.25">
      <c r="A841" s="85" t="s">
        <v>2560</v>
      </c>
      <c r="B841" s="88" t="s">
        <v>2551</v>
      </c>
      <c r="C841" s="26" t="s">
        <v>14</v>
      </c>
      <c r="D841" s="14"/>
      <c r="E841" s="15"/>
      <c r="F841" s="16">
        <f t="shared" si="59"/>
        <v>0</v>
      </c>
      <c r="G841">
        <f t="shared" si="56"/>
        <v>0</v>
      </c>
    </row>
    <row r="842" spans="1:7" hidden="1" x14ac:dyDescent="0.25">
      <c r="A842" s="85" t="s">
        <v>2561</v>
      </c>
      <c r="B842" s="88" t="s">
        <v>2552</v>
      </c>
      <c r="C842" s="26" t="s">
        <v>14</v>
      </c>
      <c r="D842" s="14"/>
      <c r="E842" s="15"/>
      <c r="F842" s="16">
        <f t="shared" si="59"/>
        <v>0</v>
      </c>
      <c r="G842">
        <f t="shared" si="56"/>
        <v>0</v>
      </c>
    </row>
    <row r="843" spans="1:7" x14ac:dyDescent="0.25">
      <c r="A843" s="78" t="s">
        <v>2564</v>
      </c>
      <c r="B843" s="79" t="s">
        <v>2563</v>
      </c>
      <c r="C843" s="26"/>
      <c r="D843" s="14"/>
      <c r="E843" s="15"/>
      <c r="F843" s="16"/>
      <c r="G843">
        <v>1</v>
      </c>
    </row>
    <row r="844" spans="1:7" hidden="1" x14ac:dyDescent="0.25">
      <c r="A844" s="85" t="s">
        <v>2562</v>
      </c>
      <c r="B844" s="88" t="s">
        <v>2565</v>
      </c>
      <c r="C844" s="26" t="s">
        <v>37</v>
      </c>
      <c r="D844" s="14"/>
      <c r="E844" s="15">
        <f>+SUM!H842</f>
        <v>106289</v>
      </c>
      <c r="F844" s="16">
        <f t="shared" ref="F844:F907" si="60">+D844*E844</f>
        <v>0</v>
      </c>
      <c r="G844">
        <f t="shared" si="56"/>
        <v>0</v>
      </c>
    </row>
    <row r="845" spans="1:7" hidden="1" x14ac:dyDescent="0.25">
      <c r="A845" s="85" t="s">
        <v>2575</v>
      </c>
      <c r="B845" s="88" t="s">
        <v>2566</v>
      </c>
      <c r="C845" s="26" t="s">
        <v>37</v>
      </c>
      <c r="D845" s="14"/>
      <c r="E845" s="15">
        <f>+SUM!H843</f>
        <v>173985</v>
      </c>
      <c r="F845" s="16">
        <f t="shared" si="60"/>
        <v>0</v>
      </c>
      <c r="G845">
        <f t="shared" si="56"/>
        <v>0</v>
      </c>
    </row>
    <row r="846" spans="1:7" hidden="1" x14ac:dyDescent="0.25">
      <c r="A846" s="85" t="s">
        <v>2576</v>
      </c>
      <c r="B846" s="88" t="s">
        <v>2567</v>
      </c>
      <c r="C846" s="26" t="s">
        <v>37</v>
      </c>
      <c r="D846" s="14"/>
      <c r="E846" s="15">
        <f>+SUM!H844</f>
        <v>212578</v>
      </c>
      <c r="F846" s="16">
        <f t="shared" si="60"/>
        <v>0</v>
      </c>
      <c r="G846">
        <f t="shared" si="56"/>
        <v>0</v>
      </c>
    </row>
    <row r="847" spans="1:7" hidden="1" x14ac:dyDescent="0.25">
      <c r="A847" s="85" t="s">
        <v>2577</v>
      </c>
      <c r="B847" s="88" t="s">
        <v>2568</v>
      </c>
      <c r="C847" s="26" t="s">
        <v>37</v>
      </c>
      <c r="D847" s="14"/>
      <c r="E847" s="15">
        <f>+SUM!H845</f>
        <v>284702</v>
      </c>
      <c r="F847" s="16">
        <f t="shared" si="60"/>
        <v>0</v>
      </c>
      <c r="G847">
        <f t="shared" si="56"/>
        <v>0</v>
      </c>
    </row>
    <row r="848" spans="1:7" hidden="1" x14ac:dyDescent="0.25">
      <c r="A848" s="85" t="s">
        <v>2578</v>
      </c>
      <c r="B848" s="88" t="s">
        <v>2569</v>
      </c>
      <c r="C848" s="26" t="s">
        <v>37</v>
      </c>
      <c r="D848" s="14"/>
      <c r="E848" s="15">
        <f>+SUM!H846</f>
        <v>354296</v>
      </c>
      <c r="F848" s="16">
        <f t="shared" si="60"/>
        <v>0</v>
      </c>
      <c r="G848">
        <f t="shared" si="56"/>
        <v>0</v>
      </c>
    </row>
    <row r="849" spans="1:7" hidden="1" x14ac:dyDescent="0.25">
      <c r="A849" s="85" t="s">
        <v>2579</v>
      </c>
      <c r="B849" s="88" t="s">
        <v>2570</v>
      </c>
      <c r="C849" s="26" t="s">
        <v>37</v>
      </c>
      <c r="D849" s="14"/>
      <c r="E849" s="15">
        <f>+SUM!H847</f>
        <v>432326</v>
      </c>
      <c r="F849" s="16">
        <f t="shared" si="60"/>
        <v>0</v>
      </c>
      <c r="G849">
        <f t="shared" si="56"/>
        <v>0</v>
      </c>
    </row>
    <row r="850" spans="1:7" hidden="1" x14ac:dyDescent="0.25">
      <c r="A850" s="85" t="s">
        <v>2580</v>
      </c>
      <c r="B850" s="88" t="s">
        <v>2571</v>
      </c>
      <c r="C850" s="26" t="s">
        <v>37</v>
      </c>
      <c r="D850" s="14"/>
      <c r="E850" s="15">
        <f>+SUM!H848</f>
        <v>496015</v>
      </c>
      <c r="F850" s="16">
        <f t="shared" si="60"/>
        <v>0</v>
      </c>
      <c r="G850">
        <f t="shared" si="56"/>
        <v>0</v>
      </c>
    </row>
    <row r="851" spans="1:7" hidden="1" x14ac:dyDescent="0.25">
      <c r="A851" s="85" t="s">
        <v>2581</v>
      </c>
      <c r="B851" s="88" t="s">
        <v>2572</v>
      </c>
      <c r="C851" s="26" t="s">
        <v>37</v>
      </c>
      <c r="D851" s="14"/>
      <c r="E851" s="15">
        <f>+SUM!H849</f>
        <v>579949</v>
      </c>
      <c r="F851" s="16">
        <f t="shared" si="60"/>
        <v>0</v>
      </c>
      <c r="G851">
        <f t="shared" si="56"/>
        <v>0</v>
      </c>
    </row>
    <row r="852" spans="1:7" hidden="1" x14ac:dyDescent="0.25">
      <c r="A852" s="85" t="s">
        <v>2582</v>
      </c>
      <c r="B852" s="88" t="s">
        <v>2573</v>
      </c>
      <c r="C852" s="26" t="s">
        <v>37</v>
      </c>
      <c r="D852" s="14"/>
      <c r="E852" s="15">
        <f>+SUM!H850</f>
        <v>637733</v>
      </c>
      <c r="F852" s="16">
        <f t="shared" si="60"/>
        <v>0</v>
      </c>
      <c r="G852">
        <f t="shared" si="56"/>
        <v>0</v>
      </c>
    </row>
    <row r="853" spans="1:7" hidden="1" x14ac:dyDescent="0.25">
      <c r="A853" s="85" t="s">
        <v>2583</v>
      </c>
      <c r="B853" s="88" t="s">
        <v>2574</v>
      </c>
      <c r="C853" s="26" t="s">
        <v>37</v>
      </c>
      <c r="D853" s="14"/>
      <c r="E853" s="15">
        <f>+SUM!H851</f>
        <v>727573</v>
      </c>
      <c r="F853" s="16">
        <f t="shared" si="60"/>
        <v>0</v>
      </c>
      <c r="G853">
        <f t="shared" si="56"/>
        <v>0</v>
      </c>
    </row>
    <row r="854" spans="1:7" hidden="1" x14ac:dyDescent="0.25">
      <c r="A854" s="85" t="s">
        <v>2584</v>
      </c>
      <c r="B854" s="88" t="s">
        <v>2624</v>
      </c>
      <c r="C854" s="26" t="s">
        <v>37</v>
      </c>
      <c r="D854" s="14"/>
      <c r="E854" s="15">
        <f>+SUM!H852</f>
        <v>204986</v>
      </c>
      <c r="F854" s="16">
        <f t="shared" si="60"/>
        <v>0</v>
      </c>
      <c r="G854">
        <f t="shared" si="56"/>
        <v>0</v>
      </c>
    </row>
    <row r="855" spans="1:7" hidden="1" x14ac:dyDescent="0.25">
      <c r="A855" s="85" t="s">
        <v>2585</v>
      </c>
      <c r="B855" s="88" t="s">
        <v>2625</v>
      </c>
      <c r="C855" s="26" t="s">
        <v>37</v>
      </c>
      <c r="D855" s="14"/>
      <c r="E855" s="15">
        <f>+SUM!H853</f>
        <v>297883</v>
      </c>
      <c r="F855" s="16">
        <f t="shared" si="60"/>
        <v>0</v>
      </c>
      <c r="G855">
        <f t="shared" si="56"/>
        <v>0</v>
      </c>
    </row>
    <row r="856" spans="1:7" hidden="1" x14ac:dyDescent="0.25">
      <c r="A856" s="85" t="s">
        <v>2586</v>
      </c>
      <c r="B856" s="88" t="s">
        <v>2626</v>
      </c>
      <c r="C856" s="26" t="s">
        <v>37</v>
      </c>
      <c r="D856" s="14"/>
      <c r="E856" s="15">
        <f>+SUM!H854</f>
        <v>409971</v>
      </c>
      <c r="F856" s="16">
        <f t="shared" si="60"/>
        <v>0</v>
      </c>
      <c r="G856">
        <f t="shared" si="56"/>
        <v>0</v>
      </c>
    </row>
    <row r="857" spans="1:7" hidden="1" x14ac:dyDescent="0.25">
      <c r="A857" s="85" t="s">
        <v>2587</v>
      </c>
      <c r="B857" s="88" t="s">
        <v>2627</v>
      </c>
      <c r="C857" s="26" t="s">
        <v>37</v>
      </c>
      <c r="D857" s="14"/>
      <c r="E857" s="15">
        <f>+SUM!H855</f>
        <v>511410</v>
      </c>
      <c r="F857" s="16">
        <f t="shared" si="60"/>
        <v>0</v>
      </c>
      <c r="G857">
        <f t="shared" si="56"/>
        <v>0</v>
      </c>
    </row>
    <row r="858" spans="1:7" hidden="1" x14ac:dyDescent="0.25">
      <c r="A858" s="85" t="s">
        <v>2588</v>
      </c>
      <c r="B858" s="88" t="s">
        <v>2628</v>
      </c>
      <c r="C858" s="26" t="s">
        <v>37</v>
      </c>
      <c r="D858" s="14"/>
      <c r="E858" s="15">
        <f>+SUM!H856</f>
        <v>683286</v>
      </c>
      <c r="F858" s="16">
        <f t="shared" si="60"/>
        <v>0</v>
      </c>
      <c r="G858">
        <f t="shared" si="56"/>
        <v>0</v>
      </c>
    </row>
    <row r="859" spans="1:7" hidden="1" x14ac:dyDescent="0.25">
      <c r="A859" s="85" t="s">
        <v>2589</v>
      </c>
      <c r="B859" s="88" t="s">
        <v>2629</v>
      </c>
      <c r="C859" s="26" t="s">
        <v>37</v>
      </c>
      <c r="D859" s="14"/>
      <c r="E859" s="15">
        <f>+SUM!H857</f>
        <v>796112</v>
      </c>
      <c r="F859" s="16">
        <f t="shared" si="60"/>
        <v>0</v>
      </c>
      <c r="G859">
        <f t="shared" si="56"/>
        <v>0</v>
      </c>
    </row>
    <row r="860" spans="1:7" hidden="1" x14ac:dyDescent="0.25">
      <c r="A860" s="85" t="s">
        <v>2590</v>
      </c>
      <c r="B860" s="88" t="s">
        <v>2630</v>
      </c>
      <c r="C860" s="26" t="s">
        <v>37</v>
      </c>
      <c r="D860" s="14"/>
      <c r="E860" s="15">
        <f>+SUM!H858</f>
        <v>956600</v>
      </c>
      <c r="F860" s="16">
        <f t="shared" si="60"/>
        <v>0</v>
      </c>
      <c r="G860">
        <f t="shared" si="56"/>
        <v>0</v>
      </c>
    </row>
    <row r="861" spans="1:7" hidden="1" x14ac:dyDescent="0.25">
      <c r="A861" s="85" t="s">
        <v>2591</v>
      </c>
      <c r="B861" s="88" t="s">
        <v>2631</v>
      </c>
      <c r="C861" s="26" t="s">
        <v>37</v>
      </c>
      <c r="D861" s="14"/>
      <c r="E861" s="15">
        <f>+SUM!H859</f>
        <v>1080814</v>
      </c>
      <c r="F861" s="16">
        <f t="shared" si="60"/>
        <v>0</v>
      </c>
      <c r="G861">
        <f t="shared" si="56"/>
        <v>0</v>
      </c>
    </row>
    <row r="862" spans="1:7" hidden="1" x14ac:dyDescent="0.25">
      <c r="A862" s="85" t="s">
        <v>2592</v>
      </c>
      <c r="B862" s="88" t="s">
        <v>2632</v>
      </c>
      <c r="C862" s="26" t="s">
        <v>37</v>
      </c>
      <c r="D862" s="14"/>
      <c r="E862" s="15">
        <f>+SUM!H860</f>
        <v>1229914</v>
      </c>
      <c r="F862" s="16">
        <f t="shared" si="60"/>
        <v>0</v>
      </c>
      <c r="G862">
        <f t="shared" si="56"/>
        <v>0</v>
      </c>
    </row>
    <row r="863" spans="1:7" hidden="1" x14ac:dyDescent="0.25">
      <c r="A863" s="85" t="s">
        <v>2593</v>
      </c>
      <c r="B863" s="88" t="s">
        <v>2633</v>
      </c>
      <c r="C863" s="26" t="s">
        <v>37</v>
      </c>
      <c r="D863" s="14"/>
      <c r="E863" s="15">
        <f>+SUM!H861</f>
        <v>1365517</v>
      </c>
      <c r="F863" s="16">
        <f t="shared" si="60"/>
        <v>0</v>
      </c>
      <c r="G863">
        <f t="shared" si="56"/>
        <v>0</v>
      </c>
    </row>
    <row r="864" spans="1:7" hidden="1" x14ac:dyDescent="0.25">
      <c r="A864" s="85" t="s">
        <v>2644</v>
      </c>
      <c r="B864" s="88" t="s">
        <v>2634</v>
      </c>
      <c r="C864" s="26" t="s">
        <v>37</v>
      </c>
      <c r="D864" s="14"/>
      <c r="E864" s="15">
        <f>+SUM!H862</f>
        <v>273314</v>
      </c>
      <c r="F864" s="16">
        <f t="shared" si="60"/>
        <v>0</v>
      </c>
      <c r="G864">
        <f t="shared" si="56"/>
        <v>0</v>
      </c>
    </row>
    <row r="865" spans="1:7" x14ac:dyDescent="0.25">
      <c r="A865" s="85" t="s">
        <v>2645</v>
      </c>
      <c r="B865" s="88" t="s">
        <v>2635</v>
      </c>
      <c r="C865" s="26" t="s">
        <v>37</v>
      </c>
      <c r="D865" s="14">
        <v>3</v>
      </c>
      <c r="E865" s="15">
        <f>+SUM!H863</f>
        <v>411237</v>
      </c>
      <c r="F865" s="16">
        <f t="shared" si="60"/>
        <v>1233711</v>
      </c>
      <c r="G865">
        <f t="shared" si="56"/>
        <v>1</v>
      </c>
    </row>
    <row r="866" spans="1:7" hidden="1" x14ac:dyDescent="0.25">
      <c r="A866" s="85" t="s">
        <v>2646</v>
      </c>
      <c r="B866" s="88" t="s">
        <v>2636</v>
      </c>
      <c r="C866" s="26" t="s">
        <v>37</v>
      </c>
      <c r="D866" s="14"/>
      <c r="E866" s="15">
        <f>+SUM!H864</f>
        <v>546628</v>
      </c>
      <c r="F866" s="16">
        <f t="shared" si="60"/>
        <v>0</v>
      </c>
      <c r="G866">
        <f t="shared" si="56"/>
        <v>0</v>
      </c>
    </row>
    <row r="867" spans="1:7" x14ac:dyDescent="0.25">
      <c r="A867" s="85" t="s">
        <v>2647</v>
      </c>
      <c r="B867" s="88" t="s">
        <v>2637</v>
      </c>
      <c r="C867" s="26" t="s">
        <v>37</v>
      </c>
      <c r="D867" s="14">
        <v>2</v>
      </c>
      <c r="E867" s="15">
        <f>+SUM!H865</f>
        <v>695939</v>
      </c>
      <c r="F867" s="16">
        <f t="shared" si="60"/>
        <v>1391878</v>
      </c>
      <c r="G867">
        <f t="shared" si="56"/>
        <v>1</v>
      </c>
    </row>
    <row r="868" spans="1:7" hidden="1" x14ac:dyDescent="0.25">
      <c r="A868" s="85" t="s">
        <v>2648</v>
      </c>
      <c r="B868" s="88" t="s">
        <v>2638</v>
      </c>
      <c r="C868" s="26" t="s">
        <v>37</v>
      </c>
      <c r="D868" s="14"/>
      <c r="E868" s="15">
        <f>+SUM!H866</f>
        <v>911047</v>
      </c>
      <c r="F868" s="16">
        <f t="shared" si="60"/>
        <v>0</v>
      </c>
      <c r="G868">
        <f t="shared" ref="G868:G931" si="61">+IF(F868&lt;&gt;0,1,0)</f>
        <v>0</v>
      </c>
    </row>
    <row r="869" spans="1:7" x14ac:dyDescent="0.25">
      <c r="A869" s="85" t="s">
        <v>2649</v>
      </c>
      <c r="B869" s="88" t="s">
        <v>2639</v>
      </c>
      <c r="C869" s="26" t="s">
        <v>37</v>
      </c>
      <c r="D869" s="14">
        <v>1</v>
      </c>
      <c r="E869" s="15">
        <f>+SUM!H867</f>
        <v>1075542</v>
      </c>
      <c r="F869" s="16">
        <f t="shared" si="60"/>
        <v>1075542</v>
      </c>
      <c r="G869">
        <f t="shared" si="61"/>
        <v>1</v>
      </c>
    </row>
    <row r="870" spans="1:7" hidden="1" x14ac:dyDescent="0.25">
      <c r="A870" s="85" t="s">
        <v>2650</v>
      </c>
      <c r="B870" s="88" t="s">
        <v>2640</v>
      </c>
      <c r="C870" s="26" t="s">
        <v>37</v>
      </c>
      <c r="D870" s="14"/>
      <c r="E870" s="15">
        <f>+SUM!H868</f>
        <v>1275466</v>
      </c>
      <c r="F870" s="16">
        <f t="shared" si="60"/>
        <v>0</v>
      </c>
      <c r="G870">
        <f t="shared" si="61"/>
        <v>0</v>
      </c>
    </row>
    <row r="871" spans="1:7" hidden="1" x14ac:dyDescent="0.25">
      <c r="A871" s="85" t="s">
        <v>2651</v>
      </c>
      <c r="B871" s="88" t="s">
        <v>2641</v>
      </c>
      <c r="C871" s="26" t="s">
        <v>37</v>
      </c>
      <c r="D871" s="14"/>
      <c r="E871" s="15">
        <f>+SUM!H869</f>
        <v>1455145</v>
      </c>
      <c r="F871" s="16">
        <f t="shared" si="60"/>
        <v>0</v>
      </c>
      <c r="G871">
        <f t="shared" si="61"/>
        <v>0</v>
      </c>
    </row>
    <row r="872" spans="1:7" hidden="1" x14ac:dyDescent="0.25">
      <c r="A872" s="85" t="s">
        <v>2652</v>
      </c>
      <c r="B872" s="88" t="s">
        <v>2642</v>
      </c>
      <c r="C872" s="26" t="s">
        <v>37</v>
      </c>
      <c r="D872" s="14"/>
      <c r="E872" s="15">
        <f>+SUM!H870</f>
        <v>1639885</v>
      </c>
      <c r="F872" s="16">
        <f t="shared" si="60"/>
        <v>0</v>
      </c>
      <c r="G872">
        <f t="shared" si="61"/>
        <v>0</v>
      </c>
    </row>
    <row r="873" spans="1:7" hidden="1" x14ac:dyDescent="0.25">
      <c r="A873" s="85" t="s">
        <v>2653</v>
      </c>
      <c r="B873" s="88" t="s">
        <v>2643</v>
      </c>
      <c r="C873" s="26" t="s">
        <v>37</v>
      </c>
      <c r="D873" s="14"/>
      <c r="E873" s="15">
        <f>+SUM!H871</f>
        <v>1834748</v>
      </c>
      <c r="F873" s="16">
        <f t="shared" si="60"/>
        <v>0</v>
      </c>
      <c r="G873">
        <f t="shared" si="61"/>
        <v>0</v>
      </c>
    </row>
    <row r="874" spans="1:7" hidden="1" x14ac:dyDescent="0.25">
      <c r="A874" s="85" t="s">
        <v>2654</v>
      </c>
      <c r="B874" s="88" t="s">
        <v>2604</v>
      </c>
      <c r="C874" s="26" t="s">
        <v>37</v>
      </c>
      <c r="D874" s="14"/>
      <c r="E874" s="15">
        <f>+SUM!H872</f>
        <v>501076</v>
      </c>
      <c r="F874" s="16">
        <f t="shared" si="60"/>
        <v>0</v>
      </c>
      <c r="G874">
        <f t="shared" si="61"/>
        <v>0</v>
      </c>
    </row>
    <row r="875" spans="1:7" x14ac:dyDescent="0.25">
      <c r="A875" s="85" t="s">
        <v>2655</v>
      </c>
      <c r="B875" s="88" t="s">
        <v>2605</v>
      </c>
      <c r="C875" s="26" t="s">
        <v>37</v>
      </c>
      <c r="D875" s="14">
        <v>20</v>
      </c>
      <c r="E875" s="15">
        <f>+SUM!H873</f>
        <v>690667</v>
      </c>
      <c r="F875" s="16">
        <f t="shared" si="60"/>
        <v>13813340</v>
      </c>
      <c r="G875">
        <f t="shared" si="61"/>
        <v>1</v>
      </c>
    </row>
    <row r="876" spans="1:7" hidden="1" x14ac:dyDescent="0.25">
      <c r="A876" s="85" t="s">
        <v>2656</v>
      </c>
      <c r="B876" s="88" t="s">
        <v>2606</v>
      </c>
      <c r="C876" s="26" t="s">
        <v>37</v>
      </c>
      <c r="D876" s="14"/>
      <c r="E876" s="15">
        <f>+SUM!H874</f>
        <v>1002152</v>
      </c>
      <c r="F876" s="16">
        <f t="shared" si="60"/>
        <v>0</v>
      </c>
      <c r="G876">
        <f t="shared" si="61"/>
        <v>0</v>
      </c>
    </row>
    <row r="877" spans="1:7" x14ac:dyDescent="0.25">
      <c r="A877" s="85" t="s">
        <v>2657</v>
      </c>
      <c r="B877" s="88" t="s">
        <v>2607</v>
      </c>
      <c r="C877" s="26" t="s">
        <v>37</v>
      </c>
      <c r="D877" s="14">
        <v>4</v>
      </c>
      <c r="E877" s="15">
        <f>+SUM!H875</f>
        <v>1212621</v>
      </c>
      <c r="F877" s="16">
        <f t="shared" si="60"/>
        <v>4850484</v>
      </c>
      <c r="G877">
        <f t="shared" si="61"/>
        <v>1</v>
      </c>
    </row>
    <row r="878" spans="1:7" hidden="1" x14ac:dyDescent="0.25">
      <c r="A878" s="85" t="s">
        <v>2658</v>
      </c>
      <c r="B878" s="88" t="s">
        <v>2608</v>
      </c>
      <c r="C878" s="26" t="s">
        <v>37</v>
      </c>
      <c r="D878" s="14"/>
      <c r="E878" s="15">
        <f>+SUM!H876</f>
        <v>1670254</v>
      </c>
      <c r="F878" s="16">
        <f t="shared" si="60"/>
        <v>0</v>
      </c>
      <c r="G878">
        <f t="shared" si="61"/>
        <v>0</v>
      </c>
    </row>
    <row r="879" spans="1:7" hidden="1" x14ac:dyDescent="0.25">
      <c r="A879" s="85" t="s">
        <v>2659</v>
      </c>
      <c r="B879" s="88" t="s">
        <v>2609</v>
      </c>
      <c r="C879" s="26" t="s">
        <v>37</v>
      </c>
      <c r="D879" s="14"/>
      <c r="E879" s="15">
        <f>+SUM!H877</f>
        <v>1908560</v>
      </c>
      <c r="F879" s="16">
        <f t="shared" si="60"/>
        <v>0</v>
      </c>
      <c r="G879">
        <f t="shared" si="61"/>
        <v>0</v>
      </c>
    </row>
    <row r="880" spans="1:7" x14ac:dyDescent="0.25">
      <c r="A880" s="85" t="s">
        <v>2660</v>
      </c>
      <c r="B880" s="88" t="s">
        <v>2610</v>
      </c>
      <c r="C880" s="26" t="s">
        <v>37</v>
      </c>
      <c r="D880" s="14">
        <v>4</v>
      </c>
      <c r="E880" s="15">
        <f>+SUM!H878</f>
        <v>2338355</v>
      </c>
      <c r="F880" s="16">
        <f t="shared" si="60"/>
        <v>9353420</v>
      </c>
      <c r="G880">
        <f t="shared" si="61"/>
        <v>1</v>
      </c>
    </row>
    <row r="881" spans="1:7" hidden="1" x14ac:dyDescent="0.25">
      <c r="A881" s="85" t="s">
        <v>2661</v>
      </c>
      <c r="B881" s="88" t="s">
        <v>2611</v>
      </c>
      <c r="C881" s="26" t="s">
        <v>37</v>
      </c>
      <c r="D881" s="14"/>
      <c r="E881" s="15">
        <f>+SUM!H879</f>
        <v>2604499</v>
      </c>
      <c r="F881" s="16">
        <f t="shared" si="60"/>
        <v>0</v>
      </c>
      <c r="G881">
        <f t="shared" si="61"/>
        <v>0</v>
      </c>
    </row>
    <row r="882" spans="1:7" hidden="1" x14ac:dyDescent="0.25">
      <c r="A882" s="85" t="s">
        <v>2662</v>
      </c>
      <c r="B882" s="88" t="s">
        <v>2612</v>
      </c>
      <c r="C882" s="26" t="s">
        <v>37</v>
      </c>
      <c r="D882" s="14"/>
      <c r="E882" s="15">
        <f>+SUM!H880</f>
        <v>3006457</v>
      </c>
      <c r="F882" s="16">
        <f t="shared" si="60"/>
        <v>0</v>
      </c>
      <c r="G882">
        <f t="shared" si="61"/>
        <v>0</v>
      </c>
    </row>
    <row r="883" spans="1:7" hidden="1" x14ac:dyDescent="0.25">
      <c r="A883" s="85" t="s">
        <v>2663</v>
      </c>
      <c r="B883" s="88" t="s">
        <v>2613</v>
      </c>
      <c r="C883" s="26" t="s">
        <v>37</v>
      </c>
      <c r="D883" s="14"/>
      <c r="E883" s="15">
        <f>+SUM!H881</f>
        <v>3300438</v>
      </c>
      <c r="F883" s="16">
        <f t="shared" si="60"/>
        <v>0</v>
      </c>
      <c r="G883">
        <f t="shared" si="61"/>
        <v>0</v>
      </c>
    </row>
    <row r="884" spans="1:7" hidden="1" x14ac:dyDescent="0.25">
      <c r="A884" s="85" t="s">
        <v>2664</v>
      </c>
      <c r="B884" s="88" t="s">
        <v>2614</v>
      </c>
      <c r="C884" s="26" t="s">
        <v>37</v>
      </c>
      <c r="D884" s="14"/>
      <c r="E884" s="15">
        <f>+SUM!H882</f>
        <v>0</v>
      </c>
      <c r="F884" s="16">
        <f t="shared" si="60"/>
        <v>0</v>
      </c>
      <c r="G884">
        <f t="shared" si="61"/>
        <v>0</v>
      </c>
    </row>
    <row r="885" spans="1:7" hidden="1" x14ac:dyDescent="0.25">
      <c r="A885" s="85" t="s">
        <v>2665</v>
      </c>
      <c r="B885" s="88" t="s">
        <v>2615</v>
      </c>
      <c r="C885" s="26" t="s">
        <v>37</v>
      </c>
      <c r="D885" s="14"/>
      <c r="E885" s="15">
        <f>+SUM!H883</f>
        <v>930223.09360000002</v>
      </c>
      <c r="F885" s="16">
        <f t="shared" si="60"/>
        <v>0</v>
      </c>
      <c r="G885">
        <f t="shared" si="61"/>
        <v>0</v>
      </c>
    </row>
    <row r="886" spans="1:7" hidden="1" x14ac:dyDescent="0.25">
      <c r="A886" s="85" t="s">
        <v>2666</v>
      </c>
      <c r="B886" s="88" t="s">
        <v>2616</v>
      </c>
      <c r="C886" s="26" t="s">
        <v>37</v>
      </c>
      <c r="D886" s="14"/>
      <c r="E886" s="15">
        <f>+SUM!H884</f>
        <v>0</v>
      </c>
      <c r="F886" s="16">
        <f t="shared" si="60"/>
        <v>0</v>
      </c>
      <c r="G886">
        <f t="shared" si="61"/>
        <v>0</v>
      </c>
    </row>
    <row r="887" spans="1:7" hidden="1" x14ac:dyDescent="0.25">
      <c r="A887" s="85" t="s">
        <v>2667</v>
      </c>
      <c r="B887" s="88" t="s">
        <v>2617</v>
      </c>
      <c r="C887" s="26" t="s">
        <v>37</v>
      </c>
      <c r="D887" s="14"/>
      <c r="E887" s="15">
        <f>+SUM!H885</f>
        <v>1624034.916</v>
      </c>
      <c r="F887" s="16">
        <f t="shared" si="60"/>
        <v>0</v>
      </c>
      <c r="G887">
        <f t="shared" si="61"/>
        <v>0</v>
      </c>
    </row>
    <row r="888" spans="1:7" hidden="1" x14ac:dyDescent="0.25">
      <c r="A888" s="85" t="s">
        <v>2668</v>
      </c>
      <c r="B888" s="88" t="s">
        <v>2618</v>
      </c>
      <c r="C888" s="26" t="s">
        <v>37</v>
      </c>
      <c r="D888" s="14"/>
      <c r="E888" s="15">
        <f>+SUM!H886</f>
        <v>0</v>
      </c>
      <c r="F888" s="16">
        <f t="shared" si="60"/>
        <v>0</v>
      </c>
      <c r="G888">
        <f t="shared" si="61"/>
        <v>0</v>
      </c>
    </row>
    <row r="889" spans="1:7" hidden="1" x14ac:dyDescent="0.25">
      <c r="A889" s="85" t="s">
        <v>2669</v>
      </c>
      <c r="B889" s="88" t="s">
        <v>2619</v>
      </c>
      <c r="C889" s="26" t="s">
        <v>37</v>
      </c>
      <c r="D889" s="14"/>
      <c r="E889" s="15">
        <f>+SUM!H887</f>
        <v>2549118.0959999999</v>
      </c>
      <c r="F889" s="16">
        <f t="shared" si="60"/>
        <v>0</v>
      </c>
      <c r="G889">
        <f t="shared" si="61"/>
        <v>0</v>
      </c>
    </row>
    <row r="890" spans="1:7" hidden="1" x14ac:dyDescent="0.25">
      <c r="A890" s="85" t="s">
        <v>2670</v>
      </c>
      <c r="B890" s="88" t="s">
        <v>2620</v>
      </c>
      <c r="C890" s="26" t="s">
        <v>37</v>
      </c>
      <c r="D890" s="14"/>
      <c r="E890" s="15">
        <f>+SUM!H888</f>
        <v>0</v>
      </c>
      <c r="F890" s="16">
        <f t="shared" si="60"/>
        <v>0</v>
      </c>
      <c r="G890">
        <f t="shared" si="61"/>
        <v>0</v>
      </c>
    </row>
    <row r="891" spans="1:7" hidden="1" x14ac:dyDescent="0.25">
      <c r="A891" s="85" t="s">
        <v>2671</v>
      </c>
      <c r="B891" s="88" t="s">
        <v>2621</v>
      </c>
      <c r="C891" s="26" t="s">
        <v>37</v>
      </c>
      <c r="D891" s="14"/>
      <c r="E891" s="15">
        <f>+SUM!H889</f>
        <v>0</v>
      </c>
      <c r="F891" s="16">
        <f t="shared" si="60"/>
        <v>0</v>
      </c>
      <c r="G891">
        <f t="shared" si="61"/>
        <v>0</v>
      </c>
    </row>
    <row r="892" spans="1:7" hidden="1" x14ac:dyDescent="0.25">
      <c r="A892" s="85" t="s">
        <v>2672</v>
      </c>
      <c r="B892" s="88" t="s">
        <v>2622</v>
      </c>
      <c r="C892" s="26" t="s">
        <v>37</v>
      </c>
      <c r="D892" s="14"/>
      <c r="E892" s="15">
        <f>+SUM!H890</f>
        <v>0</v>
      </c>
      <c r="F892" s="16">
        <f t="shared" si="60"/>
        <v>0</v>
      </c>
      <c r="G892">
        <f t="shared" si="61"/>
        <v>0</v>
      </c>
    </row>
    <row r="893" spans="1:7" hidden="1" x14ac:dyDescent="0.25">
      <c r="A893" s="85" t="s">
        <v>2673</v>
      </c>
      <c r="B893" s="88" t="s">
        <v>2623</v>
      </c>
      <c r="C893" s="26" t="s">
        <v>37</v>
      </c>
      <c r="D893" s="14"/>
      <c r="E893" s="15">
        <f>+SUM!H891</f>
        <v>0</v>
      </c>
      <c r="F893" s="16">
        <f t="shared" si="60"/>
        <v>0</v>
      </c>
      <c r="G893">
        <f t="shared" si="61"/>
        <v>0</v>
      </c>
    </row>
    <row r="894" spans="1:7" hidden="1" x14ac:dyDescent="0.25">
      <c r="A894" s="85" t="s">
        <v>2674</v>
      </c>
      <c r="B894" s="88" t="s">
        <v>2595</v>
      </c>
      <c r="C894" s="26" t="s">
        <v>37</v>
      </c>
      <c r="D894" s="14"/>
      <c r="E894" s="15">
        <f>+SUM!H892</f>
        <v>865495</v>
      </c>
      <c r="F894" s="16">
        <f t="shared" si="60"/>
        <v>0</v>
      </c>
      <c r="G894">
        <f t="shared" si="61"/>
        <v>0</v>
      </c>
    </row>
    <row r="895" spans="1:7" x14ac:dyDescent="0.25">
      <c r="A895" s="85" t="s">
        <v>2675</v>
      </c>
      <c r="B895" s="88" t="s">
        <v>2596</v>
      </c>
      <c r="C895" s="26" t="s">
        <v>37</v>
      </c>
      <c r="D895" s="14">
        <v>1</v>
      </c>
      <c r="E895" s="15">
        <f>+SUM!H893</f>
        <v>1217893</v>
      </c>
      <c r="F895" s="16">
        <f t="shared" si="60"/>
        <v>1217893</v>
      </c>
      <c r="G895">
        <f t="shared" si="61"/>
        <v>1</v>
      </c>
    </row>
    <row r="896" spans="1:7" hidden="1" x14ac:dyDescent="0.25">
      <c r="A896" s="85" t="s">
        <v>2676</v>
      </c>
      <c r="B896" s="88" t="s">
        <v>2597</v>
      </c>
      <c r="C896" s="26" t="s">
        <v>37</v>
      </c>
      <c r="D896" s="14"/>
      <c r="E896" s="15">
        <f>+SUM!H894</f>
        <v>1730990</v>
      </c>
      <c r="F896" s="16">
        <f t="shared" si="60"/>
        <v>0</v>
      </c>
      <c r="G896">
        <f t="shared" si="61"/>
        <v>0</v>
      </c>
    </row>
    <row r="897" spans="1:7" x14ac:dyDescent="0.25">
      <c r="A897" s="85" t="s">
        <v>2677</v>
      </c>
      <c r="B897" s="88" t="s">
        <v>2598</v>
      </c>
      <c r="C897" s="26" t="s">
        <v>37</v>
      </c>
      <c r="D897" s="14">
        <v>1</v>
      </c>
      <c r="E897" s="15">
        <f>+SUM!H895</f>
        <v>2119451</v>
      </c>
      <c r="F897" s="16">
        <f t="shared" si="60"/>
        <v>2119451</v>
      </c>
      <c r="G897">
        <f t="shared" si="61"/>
        <v>1</v>
      </c>
    </row>
    <row r="898" spans="1:7" hidden="1" x14ac:dyDescent="0.25">
      <c r="A898" s="85" t="s">
        <v>2678</v>
      </c>
      <c r="B898" s="88" t="s">
        <v>2599</v>
      </c>
      <c r="C898" s="26" t="s">
        <v>37</v>
      </c>
      <c r="D898" s="14"/>
      <c r="E898" s="15">
        <f>+SUM!H896</f>
        <v>2884984</v>
      </c>
      <c r="F898" s="16">
        <f t="shared" si="60"/>
        <v>0</v>
      </c>
      <c r="G898">
        <f t="shared" si="61"/>
        <v>0</v>
      </c>
    </row>
    <row r="899" spans="1:7" hidden="1" x14ac:dyDescent="0.25">
      <c r="A899" s="85" t="s">
        <v>2679</v>
      </c>
      <c r="B899" s="88" t="s">
        <v>2600</v>
      </c>
      <c r="C899" s="26" t="s">
        <v>37</v>
      </c>
      <c r="D899" s="14"/>
      <c r="E899" s="15">
        <f>+SUM!H897</f>
        <v>3321527</v>
      </c>
      <c r="F899" s="16">
        <f t="shared" si="60"/>
        <v>0</v>
      </c>
      <c r="G899">
        <f t="shared" si="61"/>
        <v>0</v>
      </c>
    </row>
    <row r="900" spans="1:7" hidden="1" x14ac:dyDescent="0.25">
      <c r="A900" s="85" t="s">
        <v>2680</v>
      </c>
      <c r="B900" s="88" t="s">
        <v>2601</v>
      </c>
      <c r="C900" s="26" t="s">
        <v>37</v>
      </c>
      <c r="D900" s="14"/>
      <c r="E900" s="15">
        <f>+SUM!H898</f>
        <v>4038977</v>
      </c>
      <c r="F900" s="16">
        <f t="shared" si="60"/>
        <v>0</v>
      </c>
      <c r="G900">
        <f t="shared" si="61"/>
        <v>0</v>
      </c>
    </row>
    <row r="901" spans="1:7" hidden="1" x14ac:dyDescent="0.25">
      <c r="A901" s="85" t="s">
        <v>2681</v>
      </c>
      <c r="B901" s="88" t="s">
        <v>2602</v>
      </c>
      <c r="C901" s="26" t="s">
        <v>37</v>
      </c>
      <c r="D901" s="14"/>
      <c r="E901" s="15">
        <f>+SUM!H899</f>
        <v>4523604</v>
      </c>
      <c r="F901" s="16">
        <f t="shared" si="60"/>
        <v>0</v>
      </c>
      <c r="G901">
        <f t="shared" si="61"/>
        <v>0</v>
      </c>
    </row>
    <row r="902" spans="1:7" x14ac:dyDescent="0.25">
      <c r="A902" s="85" t="s">
        <v>2682</v>
      </c>
      <c r="B902" s="88" t="s">
        <v>2603</v>
      </c>
      <c r="C902" s="26" t="s">
        <v>37</v>
      </c>
      <c r="D902" s="14">
        <v>4</v>
      </c>
      <c r="E902" s="15">
        <f>+SUM!H900</f>
        <v>5192970</v>
      </c>
      <c r="F902" s="16">
        <f t="shared" si="60"/>
        <v>20771880</v>
      </c>
      <c r="G902">
        <f t="shared" si="61"/>
        <v>1</v>
      </c>
    </row>
    <row r="903" spans="1:7" hidden="1" x14ac:dyDescent="0.25">
      <c r="A903" s="85" t="s">
        <v>2683</v>
      </c>
      <c r="B903" s="88" t="s">
        <v>2594</v>
      </c>
      <c r="C903" s="26" t="s">
        <v>37</v>
      </c>
      <c r="D903" s="14"/>
      <c r="E903" s="15">
        <f>+SUM!H901</f>
        <v>5725680</v>
      </c>
      <c r="F903" s="16">
        <f t="shared" si="60"/>
        <v>0</v>
      </c>
      <c r="G903">
        <f t="shared" si="61"/>
        <v>0</v>
      </c>
    </row>
    <row r="904" spans="1:7" hidden="1" x14ac:dyDescent="0.25">
      <c r="A904" s="85" t="s">
        <v>2684</v>
      </c>
      <c r="B904" s="88" t="s">
        <v>2692</v>
      </c>
      <c r="C904" s="26" t="s">
        <v>37</v>
      </c>
      <c r="D904" s="14"/>
      <c r="E904" s="15">
        <f>+SUM!H902</f>
        <v>1169178</v>
      </c>
      <c r="F904" s="16">
        <f t="shared" si="60"/>
        <v>0</v>
      </c>
      <c r="G904">
        <f t="shared" si="61"/>
        <v>0</v>
      </c>
    </row>
    <row r="905" spans="1:7" hidden="1" x14ac:dyDescent="0.25">
      <c r="A905" s="85" t="s">
        <v>2685</v>
      </c>
      <c r="B905" s="88" t="s">
        <v>2690</v>
      </c>
      <c r="C905" s="26" t="s">
        <v>37</v>
      </c>
      <c r="D905" s="14"/>
      <c r="E905" s="15">
        <f>+SUM!H903</f>
        <v>1666387</v>
      </c>
      <c r="F905" s="16">
        <f t="shared" si="60"/>
        <v>0</v>
      </c>
      <c r="G905">
        <f t="shared" si="61"/>
        <v>0</v>
      </c>
    </row>
    <row r="906" spans="1:7" hidden="1" x14ac:dyDescent="0.25">
      <c r="A906" s="85" t="s">
        <v>2686</v>
      </c>
      <c r="B906" s="88" t="s">
        <v>2694</v>
      </c>
      <c r="C906" s="26" t="s">
        <v>37</v>
      </c>
      <c r="D906" s="14"/>
      <c r="E906" s="15">
        <f>+SUM!H904</f>
        <v>2338355</v>
      </c>
      <c r="F906" s="16">
        <f t="shared" si="60"/>
        <v>0</v>
      </c>
      <c r="G906">
        <f t="shared" si="61"/>
        <v>0</v>
      </c>
    </row>
    <row r="907" spans="1:7" hidden="1" x14ac:dyDescent="0.25">
      <c r="A907" s="85" t="s">
        <v>2687</v>
      </c>
      <c r="B907" s="88" t="s">
        <v>2691</v>
      </c>
      <c r="C907" s="26" t="s">
        <v>37</v>
      </c>
      <c r="D907" s="14"/>
      <c r="E907" s="15">
        <f>+SUM!H905</f>
        <v>2878657</v>
      </c>
      <c r="F907" s="16">
        <f t="shared" si="60"/>
        <v>0</v>
      </c>
      <c r="G907">
        <f t="shared" si="61"/>
        <v>0</v>
      </c>
    </row>
    <row r="908" spans="1:7" hidden="1" x14ac:dyDescent="0.25">
      <c r="A908" s="85" t="s">
        <v>2688</v>
      </c>
      <c r="B908" s="88" t="s">
        <v>2697</v>
      </c>
      <c r="C908" s="26" t="s">
        <v>37</v>
      </c>
      <c r="D908" s="14"/>
      <c r="E908" s="15">
        <f>+SUM!H906</f>
        <v>3897258</v>
      </c>
      <c r="F908" s="16">
        <f t="shared" ref="F908:F962" si="62">+D908*E908</f>
        <v>0</v>
      </c>
      <c r="G908">
        <f t="shared" si="61"/>
        <v>0</v>
      </c>
    </row>
    <row r="909" spans="1:7" hidden="1" x14ac:dyDescent="0.25">
      <c r="A909" s="85" t="s">
        <v>2689</v>
      </c>
      <c r="B909" s="88" t="s">
        <v>2698</v>
      </c>
      <c r="C909" s="26" t="s">
        <v>37</v>
      </c>
      <c r="D909" s="14"/>
      <c r="E909" s="15">
        <f>+SUM!H907</f>
        <v>4502515</v>
      </c>
      <c r="F909" s="16">
        <f t="shared" si="62"/>
        <v>0</v>
      </c>
      <c r="G909">
        <f t="shared" si="61"/>
        <v>0</v>
      </c>
    </row>
    <row r="910" spans="1:7" hidden="1" x14ac:dyDescent="0.25">
      <c r="A910" s="85" t="s">
        <v>2700</v>
      </c>
      <c r="B910" s="88" t="s">
        <v>2699</v>
      </c>
      <c r="C910" s="26" t="s">
        <v>37</v>
      </c>
      <c r="D910" s="14"/>
      <c r="E910" s="15">
        <f>+SUM!H908</f>
        <v>5456162</v>
      </c>
      <c r="F910" s="16">
        <f t="shared" si="62"/>
        <v>0</v>
      </c>
      <c r="G910">
        <f t="shared" si="61"/>
        <v>0</v>
      </c>
    </row>
    <row r="911" spans="1:7" hidden="1" x14ac:dyDescent="0.25">
      <c r="A911" s="85" t="s">
        <v>2701</v>
      </c>
      <c r="B911" s="88" t="s">
        <v>2696</v>
      </c>
      <c r="C911" s="26" t="s">
        <v>37</v>
      </c>
      <c r="D911" s="14"/>
      <c r="E911" s="15">
        <f>+SUM!H909</f>
        <v>6126372</v>
      </c>
      <c r="F911" s="16">
        <f t="shared" si="62"/>
        <v>0</v>
      </c>
      <c r="G911">
        <f t="shared" si="61"/>
        <v>0</v>
      </c>
    </row>
    <row r="912" spans="1:7" hidden="1" x14ac:dyDescent="0.25">
      <c r="A912" s="85" t="s">
        <v>2702</v>
      </c>
      <c r="B912" s="88" t="s">
        <v>2695</v>
      </c>
      <c r="C912" s="26" t="s">
        <v>37</v>
      </c>
      <c r="D912" s="14"/>
      <c r="E912" s="15">
        <f>+SUM!H910</f>
        <v>7015065</v>
      </c>
      <c r="F912" s="16">
        <f t="shared" si="62"/>
        <v>0</v>
      </c>
      <c r="G912">
        <f t="shared" si="61"/>
        <v>0</v>
      </c>
    </row>
    <row r="913" spans="1:7" hidden="1" x14ac:dyDescent="0.25">
      <c r="A913" s="85" t="s">
        <v>2703</v>
      </c>
      <c r="B913" s="88" t="s">
        <v>2693</v>
      </c>
      <c r="C913" s="26" t="s">
        <v>37</v>
      </c>
      <c r="D913" s="14"/>
      <c r="E913" s="15">
        <f>+SUM!H911</f>
        <v>7750230</v>
      </c>
      <c r="F913" s="16">
        <f t="shared" si="62"/>
        <v>0</v>
      </c>
      <c r="G913">
        <f t="shared" si="61"/>
        <v>0</v>
      </c>
    </row>
    <row r="914" spans="1:7" hidden="1" x14ac:dyDescent="0.25">
      <c r="A914" s="85" t="s">
        <v>2734</v>
      </c>
      <c r="B914" s="88" t="s">
        <v>2704</v>
      </c>
      <c r="C914" s="26" t="s">
        <v>37</v>
      </c>
      <c r="D914" s="14"/>
      <c r="E914" s="15">
        <f>+SUM!H912</f>
        <v>1351387</v>
      </c>
      <c r="F914" s="16">
        <f t="shared" si="62"/>
        <v>0</v>
      </c>
      <c r="G914">
        <f t="shared" si="61"/>
        <v>0</v>
      </c>
    </row>
    <row r="915" spans="1:7" hidden="1" x14ac:dyDescent="0.25">
      <c r="A915" s="85" t="s">
        <v>2735</v>
      </c>
      <c r="B915" s="88" t="s">
        <v>2705</v>
      </c>
      <c r="C915" s="26" t="s">
        <v>37</v>
      </c>
      <c r="D915" s="14"/>
      <c r="E915" s="15">
        <f>+SUM!H913</f>
        <v>1977099</v>
      </c>
      <c r="F915" s="16">
        <f t="shared" si="62"/>
        <v>0</v>
      </c>
      <c r="G915">
        <f t="shared" si="61"/>
        <v>0</v>
      </c>
    </row>
    <row r="916" spans="1:7" hidden="1" x14ac:dyDescent="0.25">
      <c r="A916" s="85" t="s">
        <v>2736</v>
      </c>
      <c r="B916" s="88" t="s">
        <v>2706</v>
      </c>
      <c r="C916" s="26" t="s">
        <v>37</v>
      </c>
      <c r="D916" s="14"/>
      <c r="E916" s="15">
        <f>+SUM!H914</f>
        <v>2702774</v>
      </c>
      <c r="F916" s="16">
        <f t="shared" si="62"/>
        <v>0</v>
      </c>
      <c r="G916">
        <f t="shared" si="61"/>
        <v>0</v>
      </c>
    </row>
    <row r="917" spans="1:7" x14ac:dyDescent="0.25">
      <c r="A917" s="85" t="s">
        <v>2737</v>
      </c>
      <c r="B917" s="88" t="s">
        <v>2707</v>
      </c>
      <c r="C917" s="26" t="s">
        <v>37</v>
      </c>
      <c r="D917" s="14">
        <v>1</v>
      </c>
      <c r="E917" s="15">
        <f>+SUM!H915</f>
        <v>3384794</v>
      </c>
      <c r="F917" s="16">
        <f t="shared" si="62"/>
        <v>3384794</v>
      </c>
      <c r="G917">
        <f t="shared" si="61"/>
        <v>1</v>
      </c>
    </row>
    <row r="918" spans="1:7" hidden="1" x14ac:dyDescent="0.25">
      <c r="A918" s="85" t="s">
        <v>2738</v>
      </c>
      <c r="B918" s="88" t="s">
        <v>2708</v>
      </c>
      <c r="C918" s="26" t="s">
        <v>37</v>
      </c>
      <c r="D918" s="14"/>
      <c r="E918" s="15">
        <f>+SUM!H916</f>
        <v>4504623</v>
      </c>
      <c r="F918" s="16">
        <f t="shared" si="62"/>
        <v>0</v>
      </c>
      <c r="G918">
        <f t="shared" si="61"/>
        <v>0</v>
      </c>
    </row>
    <row r="919" spans="1:7" hidden="1" x14ac:dyDescent="0.25">
      <c r="A919" s="85" t="s">
        <v>2739</v>
      </c>
      <c r="B919" s="88" t="s">
        <v>6296</v>
      </c>
      <c r="C919" s="26" t="s">
        <v>37</v>
      </c>
      <c r="D919" s="14"/>
      <c r="E919" s="15">
        <f>+SUM!H917</f>
        <v>5261721</v>
      </c>
      <c r="F919" s="16">
        <f t="shared" si="62"/>
        <v>0</v>
      </c>
      <c r="G919">
        <f t="shared" si="61"/>
        <v>0</v>
      </c>
    </row>
    <row r="920" spans="1:7" hidden="1" x14ac:dyDescent="0.25">
      <c r="A920" s="85" t="s">
        <v>2740</v>
      </c>
      <c r="B920" s="88" t="s">
        <v>6297</v>
      </c>
      <c r="C920" s="26" t="s">
        <v>37</v>
      </c>
      <c r="D920" s="14"/>
      <c r="E920" s="15">
        <f>+SUM!H918</f>
        <v>6306473</v>
      </c>
      <c r="F920" s="16">
        <f t="shared" si="62"/>
        <v>0</v>
      </c>
      <c r="G920">
        <f t="shared" si="61"/>
        <v>0</v>
      </c>
    </row>
    <row r="921" spans="1:7" hidden="1" x14ac:dyDescent="0.25">
      <c r="A921" s="85" t="s">
        <v>2741</v>
      </c>
      <c r="B921" s="88" t="s">
        <v>2709</v>
      </c>
      <c r="C921" s="26" t="s">
        <v>37</v>
      </c>
      <c r="D921" s="14"/>
      <c r="E921" s="15">
        <f>+SUM!H919</f>
        <v>7138647</v>
      </c>
      <c r="F921" s="16">
        <f t="shared" si="62"/>
        <v>0</v>
      </c>
      <c r="G921">
        <f t="shared" si="61"/>
        <v>0</v>
      </c>
    </row>
    <row r="922" spans="1:7" hidden="1" x14ac:dyDescent="0.25">
      <c r="A922" s="85" t="s">
        <v>2742</v>
      </c>
      <c r="B922" s="88" t="s">
        <v>2710</v>
      </c>
      <c r="C922" s="26" t="s">
        <v>37</v>
      </c>
      <c r="D922" s="14"/>
      <c r="E922" s="15">
        <f>+SUM!H920</f>
        <v>8108322</v>
      </c>
      <c r="F922" s="16">
        <f t="shared" si="62"/>
        <v>0</v>
      </c>
      <c r="G922">
        <f t="shared" si="61"/>
        <v>0</v>
      </c>
    </row>
    <row r="923" spans="1:7" hidden="1" x14ac:dyDescent="0.25">
      <c r="A923" s="85" t="s">
        <v>2743</v>
      </c>
      <c r="B923" s="88" t="s">
        <v>2711</v>
      </c>
      <c r="C923" s="26" t="s">
        <v>37</v>
      </c>
      <c r="D923" s="14"/>
      <c r="E923" s="15">
        <f>+SUM!H921</f>
        <v>9015574</v>
      </c>
      <c r="F923" s="16">
        <f t="shared" si="62"/>
        <v>0</v>
      </c>
      <c r="G923">
        <f t="shared" si="61"/>
        <v>0</v>
      </c>
    </row>
    <row r="924" spans="1:7" hidden="1" x14ac:dyDescent="0.25">
      <c r="A924" s="85" t="s">
        <v>2744</v>
      </c>
      <c r="B924" s="88" t="s">
        <v>2712</v>
      </c>
      <c r="C924" s="26" t="s">
        <v>37</v>
      </c>
      <c r="D924" s="14"/>
      <c r="E924" s="15">
        <f>+SUM!H922</f>
        <v>1837279</v>
      </c>
      <c r="F924" s="16">
        <f t="shared" si="62"/>
        <v>0</v>
      </c>
      <c r="G924">
        <f t="shared" si="61"/>
        <v>0</v>
      </c>
    </row>
    <row r="925" spans="1:7" hidden="1" x14ac:dyDescent="0.25">
      <c r="A925" s="85" t="s">
        <v>2745</v>
      </c>
      <c r="B925" s="88" t="s">
        <v>2713</v>
      </c>
      <c r="C925" s="26" t="s">
        <v>37</v>
      </c>
      <c r="D925" s="14"/>
      <c r="E925" s="15">
        <f>+SUM!H923</f>
        <v>2630860</v>
      </c>
      <c r="F925" s="16">
        <f t="shared" si="62"/>
        <v>0</v>
      </c>
      <c r="G925">
        <f t="shared" si="61"/>
        <v>0</v>
      </c>
    </row>
    <row r="926" spans="1:7" x14ac:dyDescent="0.25">
      <c r="A926" s="85" t="s">
        <v>2746</v>
      </c>
      <c r="B926" s="88" t="s">
        <v>2714</v>
      </c>
      <c r="C926" s="26" t="s">
        <v>37</v>
      </c>
      <c r="D926" s="14">
        <v>2</v>
      </c>
      <c r="E926" s="15">
        <f>+SUM!H924</f>
        <v>3674558</v>
      </c>
      <c r="F926" s="16">
        <f t="shared" si="62"/>
        <v>7349116</v>
      </c>
      <c r="G926">
        <f t="shared" si="61"/>
        <v>1</v>
      </c>
    </row>
    <row r="927" spans="1:7" hidden="1" x14ac:dyDescent="0.25">
      <c r="A927" s="85" t="s">
        <v>2747</v>
      </c>
      <c r="B927" s="88" t="s">
        <v>2715</v>
      </c>
      <c r="C927" s="26" t="s">
        <v>37</v>
      </c>
      <c r="D927" s="14"/>
      <c r="E927" s="15">
        <f>+SUM!H925</f>
        <v>4544693</v>
      </c>
      <c r="F927" s="16">
        <f t="shared" si="62"/>
        <v>0</v>
      </c>
      <c r="G927">
        <f t="shared" si="61"/>
        <v>0</v>
      </c>
    </row>
    <row r="928" spans="1:7" hidden="1" x14ac:dyDescent="0.25">
      <c r="A928" s="85" t="s">
        <v>2748</v>
      </c>
      <c r="B928" s="88" t="s">
        <v>2716</v>
      </c>
      <c r="C928" s="26" t="s">
        <v>37</v>
      </c>
      <c r="D928" s="14"/>
      <c r="E928" s="15">
        <f>+SUM!H926</f>
        <v>0</v>
      </c>
      <c r="F928" s="16">
        <f t="shared" si="62"/>
        <v>0</v>
      </c>
      <c r="G928">
        <f t="shared" si="61"/>
        <v>0</v>
      </c>
    </row>
    <row r="929" spans="1:7" hidden="1" x14ac:dyDescent="0.25">
      <c r="A929" s="85" t="s">
        <v>2749</v>
      </c>
      <c r="B929" s="88" t="s">
        <v>2717</v>
      </c>
      <c r="C929" s="26" t="s">
        <v>37</v>
      </c>
      <c r="D929" s="14"/>
      <c r="E929" s="15">
        <f>+SUM!H927</f>
        <v>7096469</v>
      </c>
      <c r="F929" s="16">
        <f t="shared" si="62"/>
        <v>0</v>
      </c>
      <c r="G929">
        <f t="shared" si="61"/>
        <v>0</v>
      </c>
    </row>
    <row r="930" spans="1:7" hidden="1" x14ac:dyDescent="0.25">
      <c r="A930" s="85" t="s">
        <v>2750</v>
      </c>
      <c r="B930" s="88" t="s">
        <v>2718</v>
      </c>
      <c r="C930" s="26" t="s">
        <v>37</v>
      </c>
      <c r="D930" s="14"/>
      <c r="E930" s="15">
        <f>+SUM!H928</f>
        <v>0</v>
      </c>
      <c r="F930" s="16">
        <f t="shared" si="62"/>
        <v>0</v>
      </c>
      <c r="G930">
        <f t="shared" si="61"/>
        <v>0</v>
      </c>
    </row>
    <row r="931" spans="1:7" hidden="1" x14ac:dyDescent="0.25">
      <c r="A931" s="85" t="s">
        <v>2751</v>
      </c>
      <c r="B931" s="88" t="s">
        <v>2719</v>
      </c>
      <c r="C931" s="26" t="s">
        <v>37</v>
      </c>
      <c r="D931" s="14"/>
      <c r="E931" s="15">
        <f>+SUM!H929</f>
        <v>0</v>
      </c>
      <c r="F931" s="16">
        <f t="shared" si="62"/>
        <v>0</v>
      </c>
      <c r="G931">
        <f t="shared" si="61"/>
        <v>0</v>
      </c>
    </row>
    <row r="932" spans="1:7" hidden="1" x14ac:dyDescent="0.25">
      <c r="A932" s="85" t="s">
        <v>2752</v>
      </c>
      <c r="B932" s="88" t="s">
        <v>2720</v>
      </c>
      <c r="C932" s="26" t="s">
        <v>37</v>
      </c>
      <c r="D932" s="14"/>
      <c r="E932" s="15">
        <f>+SUM!H930</f>
        <v>0</v>
      </c>
      <c r="F932" s="16">
        <f t="shared" si="62"/>
        <v>0</v>
      </c>
      <c r="G932">
        <f t="shared" ref="G932:G995" si="63">+IF(F932&lt;&gt;0,1,0)</f>
        <v>0</v>
      </c>
    </row>
    <row r="933" spans="1:7" hidden="1" x14ac:dyDescent="0.25">
      <c r="A933" s="85" t="s">
        <v>2753</v>
      </c>
      <c r="B933" s="88" t="s">
        <v>2721</v>
      </c>
      <c r="C933" s="26" t="s">
        <v>37</v>
      </c>
      <c r="D933" s="14"/>
      <c r="E933" s="15">
        <f>+SUM!H931</f>
        <v>0</v>
      </c>
      <c r="F933" s="16">
        <f t="shared" si="62"/>
        <v>0</v>
      </c>
      <c r="G933">
        <f t="shared" si="63"/>
        <v>0</v>
      </c>
    </row>
    <row r="934" spans="1:7" hidden="1" x14ac:dyDescent="0.25">
      <c r="A934" s="85" t="s">
        <v>2754</v>
      </c>
      <c r="B934" s="88" t="s">
        <v>2722</v>
      </c>
      <c r="C934" s="26" t="s">
        <v>37</v>
      </c>
      <c r="D934" s="14"/>
      <c r="E934" s="15">
        <f>+SUM!H932</f>
        <v>0</v>
      </c>
      <c r="F934" s="16">
        <f t="shared" si="62"/>
        <v>0</v>
      </c>
      <c r="G934">
        <f t="shared" si="63"/>
        <v>0</v>
      </c>
    </row>
    <row r="935" spans="1:7" hidden="1" x14ac:dyDescent="0.25">
      <c r="A935" s="85" t="s">
        <v>2755</v>
      </c>
      <c r="B935" s="88" t="s">
        <v>2723</v>
      </c>
      <c r="C935" s="26" t="s">
        <v>37</v>
      </c>
      <c r="D935" s="14"/>
      <c r="E935" s="15">
        <f>+SUM!H933</f>
        <v>0</v>
      </c>
      <c r="F935" s="16">
        <f t="shared" si="62"/>
        <v>0</v>
      </c>
      <c r="G935">
        <f t="shared" si="63"/>
        <v>0</v>
      </c>
    </row>
    <row r="936" spans="1:7" hidden="1" x14ac:dyDescent="0.25">
      <c r="A936" s="85" t="s">
        <v>2756</v>
      </c>
      <c r="B936" s="88" t="s">
        <v>2724</v>
      </c>
      <c r="C936" s="26" t="s">
        <v>37</v>
      </c>
      <c r="D936" s="14"/>
      <c r="E936" s="15">
        <f>+SUM!H934</f>
        <v>0</v>
      </c>
      <c r="F936" s="16">
        <f t="shared" si="62"/>
        <v>0</v>
      </c>
      <c r="G936">
        <f t="shared" si="63"/>
        <v>0</v>
      </c>
    </row>
    <row r="937" spans="1:7" hidden="1" x14ac:dyDescent="0.25">
      <c r="A937" s="85" t="s">
        <v>2757</v>
      </c>
      <c r="B937" s="88" t="s">
        <v>2725</v>
      </c>
      <c r="C937" s="26" t="s">
        <v>37</v>
      </c>
      <c r="D937" s="14"/>
      <c r="E937" s="15">
        <f>+SUM!H935</f>
        <v>0</v>
      </c>
      <c r="F937" s="16">
        <f t="shared" si="62"/>
        <v>0</v>
      </c>
      <c r="G937">
        <f t="shared" si="63"/>
        <v>0</v>
      </c>
    </row>
    <row r="938" spans="1:7" hidden="1" x14ac:dyDescent="0.25">
      <c r="A938" s="85" t="s">
        <v>2758</v>
      </c>
      <c r="B938" s="88" t="s">
        <v>2726</v>
      </c>
      <c r="C938" s="26" t="s">
        <v>37</v>
      </c>
      <c r="D938" s="14"/>
      <c r="E938" s="15">
        <f>+SUM!H936</f>
        <v>0</v>
      </c>
      <c r="F938" s="16">
        <f t="shared" si="62"/>
        <v>0</v>
      </c>
      <c r="G938">
        <f t="shared" si="63"/>
        <v>0</v>
      </c>
    </row>
    <row r="939" spans="1:7" hidden="1" x14ac:dyDescent="0.25">
      <c r="A939" s="85" t="s">
        <v>2759</v>
      </c>
      <c r="B939" s="88" t="s">
        <v>2727</v>
      </c>
      <c r="C939" s="26" t="s">
        <v>37</v>
      </c>
      <c r="D939" s="14"/>
      <c r="E939" s="15">
        <f>+SUM!H937</f>
        <v>0</v>
      </c>
      <c r="F939" s="16">
        <f t="shared" si="62"/>
        <v>0</v>
      </c>
      <c r="G939">
        <f t="shared" si="63"/>
        <v>0</v>
      </c>
    </row>
    <row r="940" spans="1:7" hidden="1" x14ac:dyDescent="0.25">
      <c r="A940" s="85" t="s">
        <v>2760</v>
      </c>
      <c r="B940" s="88" t="s">
        <v>2728</v>
      </c>
      <c r="C940" s="26" t="s">
        <v>37</v>
      </c>
      <c r="D940" s="14"/>
      <c r="E940" s="15">
        <f>+SUM!H938</f>
        <v>0</v>
      </c>
      <c r="F940" s="16">
        <f t="shared" si="62"/>
        <v>0</v>
      </c>
      <c r="G940">
        <f t="shared" si="63"/>
        <v>0</v>
      </c>
    </row>
    <row r="941" spans="1:7" hidden="1" x14ac:dyDescent="0.25">
      <c r="A941" s="85" t="s">
        <v>2761</v>
      </c>
      <c r="B941" s="88" t="s">
        <v>2729</v>
      </c>
      <c r="C941" s="26" t="s">
        <v>37</v>
      </c>
      <c r="D941" s="14"/>
      <c r="E941" s="15">
        <f>+SUM!H939</f>
        <v>0</v>
      </c>
      <c r="F941" s="16">
        <f t="shared" si="62"/>
        <v>0</v>
      </c>
      <c r="G941">
        <f t="shared" si="63"/>
        <v>0</v>
      </c>
    </row>
    <row r="942" spans="1:7" hidden="1" x14ac:dyDescent="0.25">
      <c r="A942" s="85" t="s">
        <v>2762</v>
      </c>
      <c r="B942" s="88" t="s">
        <v>2730</v>
      </c>
      <c r="C942" s="26" t="s">
        <v>37</v>
      </c>
      <c r="D942" s="14"/>
      <c r="E942" s="15">
        <f>+SUM!H940</f>
        <v>0</v>
      </c>
      <c r="F942" s="16">
        <f t="shared" si="62"/>
        <v>0</v>
      </c>
      <c r="G942">
        <f t="shared" si="63"/>
        <v>0</v>
      </c>
    </row>
    <row r="943" spans="1:7" hidden="1" x14ac:dyDescent="0.25">
      <c r="A943" s="85" t="s">
        <v>2763</v>
      </c>
      <c r="B943" s="88" t="s">
        <v>2731</v>
      </c>
      <c r="C943" s="26" t="s">
        <v>37</v>
      </c>
      <c r="D943" s="14"/>
      <c r="E943" s="15">
        <f>+SUM!H941</f>
        <v>0</v>
      </c>
      <c r="F943" s="16">
        <f t="shared" si="62"/>
        <v>0</v>
      </c>
      <c r="G943">
        <f t="shared" si="63"/>
        <v>0</v>
      </c>
    </row>
    <row r="944" spans="1:7" hidden="1" x14ac:dyDescent="0.25">
      <c r="A944" s="85" t="s">
        <v>2764</v>
      </c>
      <c r="B944" s="88" t="s">
        <v>2732</v>
      </c>
      <c r="C944" s="26" t="s">
        <v>37</v>
      </c>
      <c r="D944" s="14"/>
      <c r="E944" s="15">
        <f>+SUM!H942</f>
        <v>2778695</v>
      </c>
      <c r="F944" s="16">
        <f t="shared" si="62"/>
        <v>0</v>
      </c>
      <c r="G944">
        <f t="shared" si="63"/>
        <v>0</v>
      </c>
    </row>
    <row r="945" spans="1:7" hidden="1" x14ac:dyDescent="0.25">
      <c r="A945" s="85" t="s">
        <v>2765</v>
      </c>
      <c r="B945" s="88" t="s">
        <v>2781</v>
      </c>
      <c r="C945" s="26" t="s">
        <v>37</v>
      </c>
      <c r="D945" s="14"/>
      <c r="E945" s="15">
        <f>+SUM!H943</f>
        <v>3885659</v>
      </c>
      <c r="F945" s="16">
        <f t="shared" si="62"/>
        <v>0</v>
      </c>
      <c r="G945">
        <f t="shared" si="63"/>
        <v>0</v>
      </c>
    </row>
    <row r="946" spans="1:7" hidden="1" x14ac:dyDescent="0.25">
      <c r="A946" s="85" t="s">
        <v>2766</v>
      </c>
      <c r="B946" s="88" t="s">
        <v>2733</v>
      </c>
      <c r="C946" s="26" t="s">
        <v>37</v>
      </c>
      <c r="D946" s="14"/>
      <c r="E946" s="15">
        <f>+SUM!H944</f>
        <v>5557389</v>
      </c>
      <c r="F946" s="16">
        <f t="shared" si="62"/>
        <v>0</v>
      </c>
      <c r="G946">
        <f t="shared" si="63"/>
        <v>0</v>
      </c>
    </row>
    <row r="947" spans="1:7" hidden="1" x14ac:dyDescent="0.25">
      <c r="A947" s="85" t="s">
        <v>2767</v>
      </c>
      <c r="B947" s="88" t="s">
        <v>2775</v>
      </c>
      <c r="C947" s="26" t="s">
        <v>37</v>
      </c>
      <c r="D947" s="14"/>
      <c r="E947" s="15">
        <f>+SUM!H945</f>
        <v>6780133</v>
      </c>
      <c r="F947" s="16">
        <f t="shared" si="62"/>
        <v>0</v>
      </c>
      <c r="G947">
        <f t="shared" si="63"/>
        <v>0</v>
      </c>
    </row>
    <row r="948" spans="1:7" hidden="1" x14ac:dyDescent="0.25">
      <c r="A948" s="85" t="s">
        <v>2768</v>
      </c>
      <c r="B948" s="88" t="s">
        <v>2774</v>
      </c>
      <c r="C948" s="26" t="s">
        <v>37</v>
      </c>
      <c r="D948" s="14"/>
      <c r="E948" s="15">
        <f>+SUM!H946</f>
        <v>9262316</v>
      </c>
      <c r="F948" s="16">
        <f t="shared" si="62"/>
        <v>0</v>
      </c>
      <c r="G948">
        <f t="shared" si="63"/>
        <v>0</v>
      </c>
    </row>
    <row r="949" spans="1:7" hidden="1" x14ac:dyDescent="0.25">
      <c r="A949" s="85" t="s">
        <v>2769</v>
      </c>
      <c r="B949" s="88" t="s">
        <v>2780</v>
      </c>
      <c r="C949" s="26" t="s">
        <v>37</v>
      </c>
      <c r="D949" s="14"/>
      <c r="E949" s="15">
        <f>+SUM!H947</f>
        <v>10639431</v>
      </c>
      <c r="F949" s="16">
        <f t="shared" si="62"/>
        <v>0</v>
      </c>
      <c r="G949">
        <f t="shared" si="63"/>
        <v>0</v>
      </c>
    </row>
    <row r="950" spans="1:7" hidden="1" x14ac:dyDescent="0.25">
      <c r="A950" s="85" t="s">
        <v>2770</v>
      </c>
      <c r="B950" s="88" t="s">
        <v>2776</v>
      </c>
      <c r="C950" s="26" t="s">
        <v>37</v>
      </c>
      <c r="D950" s="14"/>
      <c r="E950" s="15">
        <f>+SUM!H948</f>
        <v>12967242</v>
      </c>
      <c r="F950" s="16">
        <f t="shared" si="62"/>
        <v>0</v>
      </c>
      <c r="G950">
        <f t="shared" si="63"/>
        <v>0</v>
      </c>
    </row>
    <row r="951" spans="1:7" hidden="1" x14ac:dyDescent="0.25">
      <c r="A951" s="85" t="s">
        <v>2771</v>
      </c>
      <c r="B951" s="88" t="s">
        <v>2777</v>
      </c>
      <c r="C951" s="26" t="s">
        <v>37</v>
      </c>
      <c r="D951" s="14"/>
      <c r="E951" s="15">
        <f>+SUM!H949</f>
        <v>14498729</v>
      </c>
      <c r="F951" s="16">
        <f t="shared" si="62"/>
        <v>0</v>
      </c>
      <c r="G951">
        <f t="shared" si="63"/>
        <v>0</v>
      </c>
    </row>
    <row r="952" spans="1:7" hidden="1" x14ac:dyDescent="0.25">
      <c r="A952" s="85" t="s">
        <v>2772</v>
      </c>
      <c r="B952" s="88" t="s">
        <v>2778</v>
      </c>
      <c r="C952" s="26" t="s">
        <v>37</v>
      </c>
      <c r="D952" s="14"/>
      <c r="E952" s="15">
        <f>+SUM!H950</f>
        <v>16672168</v>
      </c>
      <c r="F952" s="16">
        <f t="shared" si="62"/>
        <v>0</v>
      </c>
      <c r="G952">
        <f t="shared" si="63"/>
        <v>0</v>
      </c>
    </row>
    <row r="953" spans="1:7" hidden="1" x14ac:dyDescent="0.25">
      <c r="A953" s="85" t="s">
        <v>2773</v>
      </c>
      <c r="B953" s="88" t="s">
        <v>2779</v>
      </c>
      <c r="C953" s="26" t="s">
        <v>37</v>
      </c>
      <c r="D953" s="14"/>
      <c r="E953" s="15">
        <f>+SUM!H951</f>
        <v>18358028</v>
      </c>
      <c r="F953" s="16">
        <f t="shared" si="62"/>
        <v>0</v>
      </c>
      <c r="G953">
        <f t="shared" si="63"/>
        <v>0</v>
      </c>
    </row>
    <row r="954" spans="1:7" hidden="1" x14ac:dyDescent="0.25">
      <c r="A954" s="85" t="s">
        <v>2791</v>
      </c>
      <c r="B954" s="88" t="s">
        <v>2783</v>
      </c>
      <c r="C954" s="26" t="s">
        <v>37</v>
      </c>
      <c r="D954" s="14"/>
      <c r="E954" s="15"/>
      <c r="F954" s="16">
        <f t="shared" si="62"/>
        <v>0</v>
      </c>
      <c r="G954">
        <f t="shared" si="63"/>
        <v>0</v>
      </c>
    </row>
    <row r="955" spans="1:7" hidden="1" x14ac:dyDescent="0.25">
      <c r="A955" s="85" t="s">
        <v>2792</v>
      </c>
      <c r="B955" s="88" t="s">
        <v>2784</v>
      </c>
      <c r="C955" s="26" t="s">
        <v>37</v>
      </c>
      <c r="D955" s="14"/>
      <c r="E955" s="15"/>
      <c r="F955" s="16">
        <f t="shared" si="62"/>
        <v>0</v>
      </c>
      <c r="G955">
        <f t="shared" si="63"/>
        <v>0</v>
      </c>
    </row>
    <row r="956" spans="1:7" hidden="1" x14ac:dyDescent="0.25">
      <c r="A956" s="85" t="s">
        <v>2793</v>
      </c>
      <c r="B956" s="88" t="s">
        <v>2785</v>
      </c>
      <c r="C956" s="26" t="s">
        <v>37</v>
      </c>
      <c r="D956" s="14"/>
      <c r="E956" s="15"/>
      <c r="F956" s="16">
        <f t="shared" si="62"/>
        <v>0</v>
      </c>
      <c r="G956">
        <f t="shared" si="63"/>
        <v>0</v>
      </c>
    </row>
    <row r="957" spans="1:7" hidden="1" x14ac:dyDescent="0.25">
      <c r="A957" s="85" t="s">
        <v>2794</v>
      </c>
      <c r="B957" s="88" t="s">
        <v>2786</v>
      </c>
      <c r="C957" s="26" t="s">
        <v>37</v>
      </c>
      <c r="D957" s="14"/>
      <c r="E957" s="15"/>
      <c r="F957" s="16">
        <f t="shared" si="62"/>
        <v>0</v>
      </c>
      <c r="G957">
        <f t="shared" si="63"/>
        <v>0</v>
      </c>
    </row>
    <row r="958" spans="1:7" hidden="1" x14ac:dyDescent="0.25">
      <c r="A958" s="85" t="s">
        <v>2795</v>
      </c>
      <c r="B958" s="88" t="s">
        <v>2787</v>
      </c>
      <c r="C958" s="26" t="s">
        <v>37</v>
      </c>
      <c r="D958" s="14"/>
      <c r="E958" s="15"/>
      <c r="F958" s="16">
        <f t="shared" si="62"/>
        <v>0</v>
      </c>
      <c r="G958">
        <f t="shared" si="63"/>
        <v>0</v>
      </c>
    </row>
    <row r="959" spans="1:7" hidden="1" x14ac:dyDescent="0.25">
      <c r="A959" s="85" t="s">
        <v>2796</v>
      </c>
      <c r="B959" s="88" t="s">
        <v>2788</v>
      </c>
      <c r="C959" s="26" t="s">
        <v>37</v>
      </c>
      <c r="D959" s="14"/>
      <c r="E959" s="15"/>
      <c r="F959" s="16">
        <f t="shared" si="62"/>
        <v>0</v>
      </c>
      <c r="G959">
        <f t="shared" si="63"/>
        <v>0</v>
      </c>
    </row>
    <row r="960" spans="1:7" hidden="1" x14ac:dyDescent="0.25">
      <c r="A960" s="85" t="s">
        <v>2797</v>
      </c>
      <c r="B960" s="88" t="s">
        <v>2789</v>
      </c>
      <c r="C960" s="26" t="s">
        <v>37</v>
      </c>
      <c r="D960" s="14"/>
      <c r="E960" s="15"/>
      <c r="F960" s="16">
        <f t="shared" si="62"/>
        <v>0</v>
      </c>
      <c r="G960">
        <f t="shared" si="63"/>
        <v>0</v>
      </c>
    </row>
    <row r="961" spans="1:7" hidden="1" x14ac:dyDescent="0.25">
      <c r="A961" s="85" t="s">
        <v>2798</v>
      </c>
      <c r="B961" s="88" t="s">
        <v>2790</v>
      </c>
      <c r="C961" s="26" t="s">
        <v>37</v>
      </c>
      <c r="D961" s="14"/>
      <c r="E961" s="15"/>
      <c r="F961" s="16">
        <f t="shared" si="62"/>
        <v>0</v>
      </c>
      <c r="G961">
        <f t="shared" si="63"/>
        <v>0</v>
      </c>
    </row>
    <row r="962" spans="1:7" hidden="1" x14ac:dyDescent="0.25">
      <c r="A962" s="85" t="s">
        <v>2799</v>
      </c>
      <c r="B962" s="88" t="s">
        <v>2782</v>
      </c>
      <c r="C962" s="26" t="s">
        <v>37</v>
      </c>
      <c r="D962" s="14"/>
      <c r="E962" s="15"/>
      <c r="F962" s="16">
        <f t="shared" si="62"/>
        <v>0</v>
      </c>
      <c r="G962">
        <f t="shared" si="63"/>
        <v>0</v>
      </c>
    </row>
    <row r="963" spans="1:7" x14ac:dyDescent="0.25">
      <c r="A963" s="61" t="s">
        <v>958</v>
      </c>
      <c r="B963" s="62" t="s">
        <v>959</v>
      </c>
      <c r="C963" s="63"/>
      <c r="D963" s="63"/>
      <c r="E963" s="460"/>
      <c r="F963" s="461"/>
      <c r="G963">
        <v>1</v>
      </c>
    </row>
    <row r="964" spans="1:7" x14ac:dyDescent="0.25">
      <c r="A964" s="44" t="s">
        <v>960</v>
      </c>
      <c r="B964" s="80" t="s">
        <v>961</v>
      </c>
      <c r="C964" s="14"/>
      <c r="D964" s="14"/>
      <c r="E964" s="15"/>
      <c r="F964" s="16"/>
      <c r="G964">
        <v>1</v>
      </c>
    </row>
    <row r="965" spans="1:7" hidden="1" x14ac:dyDescent="0.25">
      <c r="A965" s="44" t="s">
        <v>2801</v>
      </c>
      <c r="B965" s="80" t="s">
        <v>2800</v>
      </c>
      <c r="C965" s="14"/>
      <c r="D965" s="14"/>
      <c r="E965" s="15"/>
      <c r="F965" s="16"/>
      <c r="G965">
        <f t="shared" si="63"/>
        <v>0</v>
      </c>
    </row>
    <row r="966" spans="1:7" hidden="1" x14ac:dyDescent="0.25">
      <c r="A966" s="43" t="s">
        <v>2829</v>
      </c>
      <c r="B966" s="81" t="s">
        <v>2802</v>
      </c>
      <c r="C966" s="26" t="s">
        <v>37</v>
      </c>
      <c r="D966" s="14"/>
      <c r="E966" s="15"/>
      <c r="F966" s="16">
        <f t="shared" ref="F966:F1030" si="64">+D966*E966</f>
        <v>0</v>
      </c>
      <c r="G966">
        <f t="shared" si="63"/>
        <v>0</v>
      </c>
    </row>
    <row r="967" spans="1:7" hidden="1" x14ac:dyDescent="0.25">
      <c r="A967" s="43" t="s">
        <v>2830</v>
      </c>
      <c r="B967" s="81" t="s">
        <v>2803</v>
      </c>
      <c r="C967" s="26" t="s">
        <v>37</v>
      </c>
      <c r="D967" s="14"/>
      <c r="E967" s="15"/>
      <c r="F967" s="16">
        <f t="shared" si="64"/>
        <v>0</v>
      </c>
      <c r="G967">
        <f t="shared" si="63"/>
        <v>0</v>
      </c>
    </row>
    <row r="968" spans="1:7" hidden="1" x14ac:dyDescent="0.25">
      <c r="A968" s="43" t="s">
        <v>2831</v>
      </c>
      <c r="B968" s="81" t="s">
        <v>2804</v>
      </c>
      <c r="C968" s="26" t="s">
        <v>37</v>
      </c>
      <c r="D968" s="14"/>
      <c r="E968" s="15"/>
      <c r="F968" s="16">
        <f t="shared" si="64"/>
        <v>0</v>
      </c>
      <c r="G968">
        <f t="shared" si="63"/>
        <v>0</v>
      </c>
    </row>
    <row r="969" spans="1:7" hidden="1" x14ac:dyDescent="0.25">
      <c r="A969" s="43" t="s">
        <v>2832</v>
      </c>
      <c r="B969" s="81" t="s">
        <v>2805</v>
      </c>
      <c r="C969" s="26" t="s">
        <v>37</v>
      </c>
      <c r="D969" s="14"/>
      <c r="E969" s="15"/>
      <c r="F969" s="16">
        <f t="shared" si="64"/>
        <v>0</v>
      </c>
      <c r="G969">
        <f t="shared" si="63"/>
        <v>0</v>
      </c>
    </row>
    <row r="970" spans="1:7" hidden="1" x14ac:dyDescent="0.25">
      <c r="A970" s="43" t="s">
        <v>2833</v>
      </c>
      <c r="B970" s="81" t="s">
        <v>2806</v>
      </c>
      <c r="C970" s="26" t="s">
        <v>37</v>
      </c>
      <c r="D970" s="14"/>
      <c r="E970" s="15"/>
      <c r="F970" s="16">
        <f t="shared" si="64"/>
        <v>0</v>
      </c>
      <c r="G970">
        <f t="shared" si="63"/>
        <v>0</v>
      </c>
    </row>
    <row r="971" spans="1:7" hidden="1" x14ac:dyDescent="0.25">
      <c r="A971" s="43" t="s">
        <v>2834</v>
      </c>
      <c r="B971" s="81" t="s">
        <v>2807</v>
      </c>
      <c r="C971" s="26" t="s">
        <v>37</v>
      </c>
      <c r="D971" s="14"/>
      <c r="E971" s="15"/>
      <c r="F971" s="16">
        <f t="shared" si="64"/>
        <v>0</v>
      </c>
      <c r="G971">
        <f t="shared" si="63"/>
        <v>0</v>
      </c>
    </row>
    <row r="972" spans="1:7" hidden="1" x14ac:dyDescent="0.25">
      <c r="A972" s="43" t="s">
        <v>2835</v>
      </c>
      <c r="B972" s="81" t="s">
        <v>2808</v>
      </c>
      <c r="C972" s="26" t="s">
        <v>37</v>
      </c>
      <c r="D972" s="14"/>
      <c r="E972" s="15"/>
      <c r="F972" s="16">
        <f t="shared" si="64"/>
        <v>0</v>
      </c>
      <c r="G972">
        <f t="shared" si="63"/>
        <v>0</v>
      </c>
    </row>
    <row r="973" spans="1:7" hidden="1" x14ac:dyDescent="0.25">
      <c r="A973" s="43" t="s">
        <v>2836</v>
      </c>
      <c r="B973" s="81" t="s">
        <v>2809</v>
      </c>
      <c r="C973" s="26" t="s">
        <v>37</v>
      </c>
      <c r="D973" s="14"/>
      <c r="E973" s="15"/>
      <c r="F973" s="16">
        <f t="shared" si="64"/>
        <v>0</v>
      </c>
      <c r="G973">
        <f t="shared" si="63"/>
        <v>0</v>
      </c>
    </row>
    <row r="974" spans="1:7" hidden="1" x14ac:dyDescent="0.25">
      <c r="A974" s="43" t="s">
        <v>2837</v>
      </c>
      <c r="B974" s="81" t="s">
        <v>2810</v>
      </c>
      <c r="C974" s="26" t="s">
        <v>37</v>
      </c>
      <c r="D974" s="14"/>
      <c r="E974" s="15"/>
      <c r="F974" s="16">
        <f t="shared" si="64"/>
        <v>0</v>
      </c>
      <c r="G974">
        <f t="shared" si="63"/>
        <v>0</v>
      </c>
    </row>
    <row r="975" spans="1:7" hidden="1" x14ac:dyDescent="0.25">
      <c r="A975" s="43" t="s">
        <v>2838</v>
      </c>
      <c r="B975" s="81" t="s">
        <v>2811</v>
      </c>
      <c r="C975" s="26" t="s">
        <v>37</v>
      </c>
      <c r="D975" s="14"/>
      <c r="E975" s="15"/>
      <c r="F975" s="16">
        <f t="shared" si="64"/>
        <v>0</v>
      </c>
      <c r="G975">
        <f t="shared" si="63"/>
        <v>0</v>
      </c>
    </row>
    <row r="976" spans="1:7" hidden="1" x14ac:dyDescent="0.25">
      <c r="A976" s="43" t="s">
        <v>2839</v>
      </c>
      <c r="B976" s="81" t="s">
        <v>2812</v>
      </c>
      <c r="C976" s="26" t="s">
        <v>37</v>
      </c>
      <c r="D976" s="14"/>
      <c r="E976" s="15"/>
      <c r="F976" s="16">
        <f t="shared" si="64"/>
        <v>0</v>
      </c>
      <c r="G976">
        <f t="shared" si="63"/>
        <v>0</v>
      </c>
    </row>
    <row r="977" spans="1:7" hidden="1" x14ac:dyDescent="0.25">
      <c r="A977" s="43" t="s">
        <v>2840</v>
      </c>
      <c r="B977" s="81" t="s">
        <v>2813</v>
      </c>
      <c r="C977" s="26" t="s">
        <v>37</v>
      </c>
      <c r="D977" s="14"/>
      <c r="E977" s="15"/>
      <c r="F977" s="16">
        <f t="shared" si="64"/>
        <v>0</v>
      </c>
      <c r="G977">
        <f t="shared" si="63"/>
        <v>0</v>
      </c>
    </row>
    <row r="978" spans="1:7" hidden="1" x14ac:dyDescent="0.25">
      <c r="A978" s="43" t="s">
        <v>2841</v>
      </c>
      <c r="B978" s="81" t="s">
        <v>2814</v>
      </c>
      <c r="C978" s="26" t="s">
        <v>37</v>
      </c>
      <c r="D978" s="14"/>
      <c r="E978" s="15"/>
      <c r="F978" s="16">
        <f t="shared" si="64"/>
        <v>0</v>
      </c>
      <c r="G978">
        <f t="shared" si="63"/>
        <v>0</v>
      </c>
    </row>
    <row r="979" spans="1:7" hidden="1" x14ac:dyDescent="0.25">
      <c r="A979" s="43" t="s">
        <v>2842</v>
      </c>
      <c r="B979" s="81" t="s">
        <v>2815</v>
      </c>
      <c r="C979" s="26" t="s">
        <v>37</v>
      </c>
      <c r="D979" s="14"/>
      <c r="E979" s="15"/>
      <c r="F979" s="16">
        <f t="shared" si="64"/>
        <v>0</v>
      </c>
      <c r="G979">
        <f t="shared" si="63"/>
        <v>0</v>
      </c>
    </row>
    <row r="980" spans="1:7" hidden="1" x14ac:dyDescent="0.25">
      <c r="A980" s="43" t="s">
        <v>2843</v>
      </c>
      <c r="B980" s="81" t="s">
        <v>2816</v>
      </c>
      <c r="C980" s="26" t="s">
        <v>37</v>
      </c>
      <c r="D980" s="14"/>
      <c r="E980" s="15"/>
      <c r="F980" s="16">
        <f t="shared" si="64"/>
        <v>0</v>
      </c>
      <c r="G980">
        <f t="shared" si="63"/>
        <v>0</v>
      </c>
    </row>
    <row r="981" spans="1:7" hidden="1" x14ac:dyDescent="0.25">
      <c r="A981" s="43" t="s">
        <v>2844</v>
      </c>
      <c r="B981" s="81" t="s">
        <v>2817</v>
      </c>
      <c r="C981" s="26" t="s">
        <v>37</v>
      </c>
      <c r="D981" s="14"/>
      <c r="E981" s="15"/>
      <c r="F981" s="16">
        <f t="shared" si="64"/>
        <v>0</v>
      </c>
      <c r="G981">
        <f t="shared" si="63"/>
        <v>0</v>
      </c>
    </row>
    <row r="982" spans="1:7" hidden="1" x14ac:dyDescent="0.25">
      <c r="A982" s="43" t="s">
        <v>2845</v>
      </c>
      <c r="B982" s="81" t="s">
        <v>2818</v>
      </c>
      <c r="C982" s="26" t="s">
        <v>37</v>
      </c>
      <c r="D982" s="14"/>
      <c r="E982" s="15"/>
      <c r="F982" s="16">
        <f t="shared" si="64"/>
        <v>0</v>
      </c>
      <c r="G982">
        <f t="shared" si="63"/>
        <v>0</v>
      </c>
    </row>
    <row r="983" spans="1:7" hidden="1" x14ac:dyDescent="0.25">
      <c r="A983" s="43" t="s">
        <v>2846</v>
      </c>
      <c r="B983" s="81" t="s">
        <v>2819</v>
      </c>
      <c r="C983" s="26" t="s">
        <v>37</v>
      </c>
      <c r="D983" s="14"/>
      <c r="E983" s="15">
        <f>+SUM!H982</f>
        <v>1047331</v>
      </c>
      <c r="F983" s="16">
        <f t="shared" si="64"/>
        <v>0</v>
      </c>
      <c r="G983">
        <f t="shared" si="63"/>
        <v>0</v>
      </c>
    </row>
    <row r="984" spans="1:7" hidden="1" x14ac:dyDescent="0.25">
      <c r="A984" s="43" t="s">
        <v>2847</v>
      </c>
      <c r="B984" s="81" t="s">
        <v>2820</v>
      </c>
      <c r="C984" s="26" t="s">
        <v>37</v>
      </c>
      <c r="D984" s="14"/>
      <c r="E984" s="15">
        <f>+SUM!H983</f>
        <v>1100934</v>
      </c>
      <c r="F984" s="16">
        <f t="shared" si="64"/>
        <v>0</v>
      </c>
      <c r="G984">
        <f t="shared" si="63"/>
        <v>0</v>
      </c>
    </row>
    <row r="985" spans="1:7" hidden="1" x14ac:dyDescent="0.25">
      <c r="A985" s="43" t="s">
        <v>2848</v>
      </c>
      <c r="B985" s="81" t="s">
        <v>2821</v>
      </c>
      <c r="C985" s="26" t="s">
        <v>37</v>
      </c>
      <c r="D985" s="14"/>
      <c r="E985" s="15">
        <f>+SUM!H984</f>
        <v>1283736</v>
      </c>
      <c r="F985" s="16">
        <f t="shared" si="64"/>
        <v>0</v>
      </c>
      <c r="G985">
        <f t="shared" si="63"/>
        <v>0</v>
      </c>
    </row>
    <row r="986" spans="1:7" hidden="1" x14ac:dyDescent="0.25">
      <c r="A986" s="43" t="s">
        <v>2849</v>
      </c>
      <c r="B986" s="81" t="s">
        <v>2822</v>
      </c>
      <c r="C986" s="26" t="s">
        <v>37</v>
      </c>
      <c r="D986" s="14"/>
      <c r="E986" s="15">
        <f>+SUM!H985</f>
        <v>1417058</v>
      </c>
      <c r="F986" s="16">
        <f t="shared" si="64"/>
        <v>0</v>
      </c>
      <c r="G986">
        <f t="shared" si="63"/>
        <v>0</v>
      </c>
    </row>
    <row r="987" spans="1:7" hidden="1" x14ac:dyDescent="0.25">
      <c r="A987" s="43" t="s">
        <v>2850</v>
      </c>
      <c r="B987" s="81" t="s">
        <v>2823</v>
      </c>
      <c r="C987" s="26" t="s">
        <v>37</v>
      </c>
      <c r="D987" s="14"/>
      <c r="E987" s="15">
        <f>+SUM!H986</f>
        <v>1467913</v>
      </c>
      <c r="F987" s="16">
        <f t="shared" si="64"/>
        <v>0</v>
      </c>
      <c r="G987">
        <f t="shared" si="63"/>
        <v>0</v>
      </c>
    </row>
    <row r="988" spans="1:7" hidden="1" x14ac:dyDescent="0.25">
      <c r="A988" s="43" t="s">
        <v>2851</v>
      </c>
      <c r="B988" s="81" t="s">
        <v>2827</v>
      </c>
      <c r="C988" s="26" t="s">
        <v>37</v>
      </c>
      <c r="D988" s="14"/>
      <c r="E988" s="15">
        <f>+SUM!H987</f>
        <v>1503648</v>
      </c>
      <c r="F988" s="16">
        <f t="shared" si="64"/>
        <v>0</v>
      </c>
      <c r="G988">
        <f t="shared" si="63"/>
        <v>0</v>
      </c>
    </row>
    <row r="989" spans="1:7" hidden="1" x14ac:dyDescent="0.25">
      <c r="A989" s="43" t="s">
        <v>2852</v>
      </c>
      <c r="B989" s="81" t="s">
        <v>2824</v>
      </c>
      <c r="C989" s="26" t="s">
        <v>37</v>
      </c>
      <c r="D989" s="14"/>
      <c r="E989" s="15">
        <f>+SUM!H988</f>
        <v>1833516</v>
      </c>
      <c r="F989" s="16">
        <f t="shared" si="64"/>
        <v>0</v>
      </c>
      <c r="G989">
        <f t="shared" si="63"/>
        <v>0</v>
      </c>
    </row>
    <row r="990" spans="1:7" hidden="1" x14ac:dyDescent="0.25">
      <c r="A990" s="43" t="s">
        <v>2853</v>
      </c>
      <c r="B990" s="81" t="s">
        <v>2825</v>
      </c>
      <c r="C990" s="26" t="s">
        <v>37</v>
      </c>
      <c r="D990" s="14"/>
      <c r="E990" s="15">
        <f>+SUM!H989</f>
        <v>2017693</v>
      </c>
      <c r="F990" s="16">
        <f t="shared" si="64"/>
        <v>0</v>
      </c>
      <c r="G990">
        <f t="shared" si="63"/>
        <v>0</v>
      </c>
    </row>
    <row r="991" spans="1:7" hidden="1" x14ac:dyDescent="0.25">
      <c r="A991" s="43" t="s">
        <v>2854</v>
      </c>
      <c r="B991" s="81" t="s">
        <v>2826</v>
      </c>
      <c r="C991" s="26" t="s">
        <v>37</v>
      </c>
      <c r="D991" s="14"/>
      <c r="E991" s="15">
        <f>+SUM!H990</f>
        <v>2384671</v>
      </c>
      <c r="F991" s="16">
        <f t="shared" si="64"/>
        <v>0</v>
      </c>
      <c r="G991">
        <f t="shared" si="63"/>
        <v>0</v>
      </c>
    </row>
    <row r="992" spans="1:7" hidden="1" x14ac:dyDescent="0.25">
      <c r="A992" s="43" t="s">
        <v>2855</v>
      </c>
      <c r="B992" s="81" t="s">
        <v>2828</v>
      </c>
      <c r="C992" s="26" t="s">
        <v>37</v>
      </c>
      <c r="D992" s="14"/>
      <c r="E992" s="15">
        <f>+SUM!H991</f>
        <v>2751649</v>
      </c>
      <c r="F992" s="16">
        <f t="shared" si="64"/>
        <v>0</v>
      </c>
      <c r="G992">
        <f t="shared" si="63"/>
        <v>0</v>
      </c>
    </row>
    <row r="993" spans="1:7" hidden="1" x14ac:dyDescent="0.25">
      <c r="A993" s="43" t="s">
        <v>2856</v>
      </c>
      <c r="B993" s="81" t="s">
        <v>2871</v>
      </c>
      <c r="C993" s="26" t="s">
        <v>37</v>
      </c>
      <c r="D993" s="14"/>
      <c r="E993" s="15">
        <f>+SUM!H992</f>
        <v>2028688</v>
      </c>
      <c r="F993" s="16">
        <f t="shared" si="64"/>
        <v>0</v>
      </c>
      <c r="G993">
        <f t="shared" si="63"/>
        <v>0</v>
      </c>
    </row>
    <row r="994" spans="1:7" hidden="1" x14ac:dyDescent="0.25">
      <c r="A994" s="43" t="s">
        <v>2857</v>
      </c>
      <c r="B994" s="81" t="s">
        <v>2872</v>
      </c>
      <c r="C994" s="26" t="s">
        <v>37</v>
      </c>
      <c r="D994" s="14"/>
      <c r="E994" s="15">
        <f>+SUM!H993</f>
        <v>2109781</v>
      </c>
      <c r="F994" s="16">
        <f t="shared" si="64"/>
        <v>0</v>
      </c>
      <c r="G994">
        <f t="shared" si="63"/>
        <v>0</v>
      </c>
    </row>
    <row r="995" spans="1:7" hidden="1" x14ac:dyDescent="0.25">
      <c r="A995" s="43" t="s">
        <v>2858</v>
      </c>
      <c r="B995" s="81" t="s">
        <v>2873</v>
      </c>
      <c r="C995" s="26" t="s">
        <v>37</v>
      </c>
      <c r="D995" s="14"/>
      <c r="E995" s="15"/>
      <c r="F995" s="16">
        <f t="shared" si="64"/>
        <v>0</v>
      </c>
      <c r="G995">
        <f t="shared" si="63"/>
        <v>0</v>
      </c>
    </row>
    <row r="996" spans="1:7" hidden="1" x14ac:dyDescent="0.25">
      <c r="A996" s="43" t="s">
        <v>2859</v>
      </c>
      <c r="B996" s="81" t="s">
        <v>2874</v>
      </c>
      <c r="C996" s="26" t="s">
        <v>37</v>
      </c>
      <c r="D996" s="14"/>
      <c r="E996" s="15"/>
      <c r="F996" s="16">
        <f t="shared" si="64"/>
        <v>0</v>
      </c>
      <c r="G996">
        <f t="shared" ref="G996:G1059" si="65">+IF(F996&lt;&gt;0,1,0)</f>
        <v>0</v>
      </c>
    </row>
    <row r="997" spans="1:7" hidden="1" x14ac:dyDescent="0.25">
      <c r="A997" s="43" t="s">
        <v>2860</v>
      </c>
      <c r="B997" s="81" t="s">
        <v>2875</v>
      </c>
      <c r="C997" s="26" t="s">
        <v>37</v>
      </c>
      <c r="D997" s="14"/>
      <c r="E997" s="15"/>
      <c r="F997" s="16">
        <f t="shared" si="64"/>
        <v>0</v>
      </c>
      <c r="G997">
        <f t="shared" si="65"/>
        <v>0</v>
      </c>
    </row>
    <row r="998" spans="1:7" hidden="1" x14ac:dyDescent="0.25">
      <c r="A998" s="43" t="s">
        <v>2861</v>
      </c>
      <c r="B998" s="81" t="s">
        <v>2876</v>
      </c>
      <c r="C998" s="26" t="s">
        <v>37</v>
      </c>
      <c r="D998" s="14"/>
      <c r="E998" s="15"/>
      <c r="F998" s="16">
        <f t="shared" si="64"/>
        <v>0</v>
      </c>
      <c r="G998">
        <f t="shared" si="65"/>
        <v>0</v>
      </c>
    </row>
    <row r="999" spans="1:7" hidden="1" x14ac:dyDescent="0.25">
      <c r="A999" s="43" t="s">
        <v>2862</v>
      </c>
      <c r="B999" s="81" t="s">
        <v>2877</v>
      </c>
      <c r="C999" s="26" t="s">
        <v>37</v>
      </c>
      <c r="D999" s="14"/>
      <c r="E999" s="15"/>
      <c r="F999" s="16">
        <f t="shared" si="64"/>
        <v>0</v>
      </c>
      <c r="G999">
        <f t="shared" si="65"/>
        <v>0</v>
      </c>
    </row>
    <row r="1000" spans="1:7" hidden="1" x14ac:dyDescent="0.25">
      <c r="A1000" s="43" t="s">
        <v>2863</v>
      </c>
      <c r="B1000" s="81" t="s">
        <v>2878</v>
      </c>
      <c r="C1000" s="26" t="s">
        <v>37</v>
      </c>
      <c r="D1000" s="14"/>
      <c r="E1000" s="15"/>
      <c r="F1000" s="16">
        <f t="shared" si="64"/>
        <v>0</v>
      </c>
      <c r="G1000">
        <f t="shared" si="65"/>
        <v>0</v>
      </c>
    </row>
    <row r="1001" spans="1:7" hidden="1" x14ac:dyDescent="0.25">
      <c r="A1001" s="43" t="s">
        <v>2864</v>
      </c>
      <c r="B1001" s="81" t="s">
        <v>2879</v>
      </c>
      <c r="C1001" s="26" t="s">
        <v>37</v>
      </c>
      <c r="D1001" s="14"/>
      <c r="E1001" s="15"/>
      <c r="F1001" s="16">
        <f t="shared" si="64"/>
        <v>0</v>
      </c>
      <c r="G1001">
        <f t="shared" si="65"/>
        <v>0</v>
      </c>
    </row>
    <row r="1002" spans="1:7" hidden="1" x14ac:dyDescent="0.25">
      <c r="A1002" s="43" t="s">
        <v>2865</v>
      </c>
      <c r="B1002" s="81" t="s">
        <v>2880</v>
      </c>
      <c r="C1002" s="26" t="s">
        <v>37</v>
      </c>
      <c r="D1002" s="14"/>
      <c r="E1002" s="15"/>
      <c r="F1002" s="16">
        <f t="shared" si="64"/>
        <v>0</v>
      </c>
      <c r="G1002">
        <f t="shared" si="65"/>
        <v>0</v>
      </c>
    </row>
    <row r="1003" spans="1:7" hidden="1" x14ac:dyDescent="0.25">
      <c r="A1003" s="43" t="s">
        <v>2866</v>
      </c>
      <c r="B1003" s="81" t="s">
        <v>2881</v>
      </c>
      <c r="C1003" s="26" t="s">
        <v>37</v>
      </c>
      <c r="D1003" s="14"/>
      <c r="E1003" s="15"/>
      <c r="F1003" s="16">
        <f t="shared" si="64"/>
        <v>0</v>
      </c>
      <c r="G1003">
        <f t="shared" si="65"/>
        <v>0</v>
      </c>
    </row>
    <row r="1004" spans="1:7" hidden="1" x14ac:dyDescent="0.25">
      <c r="A1004" s="43" t="s">
        <v>2867</v>
      </c>
      <c r="B1004" s="81" t="s">
        <v>2882</v>
      </c>
      <c r="C1004" s="26" t="s">
        <v>37</v>
      </c>
      <c r="D1004" s="14"/>
      <c r="E1004" s="15"/>
      <c r="F1004" s="16">
        <f t="shared" si="64"/>
        <v>0</v>
      </c>
      <c r="G1004">
        <f t="shared" si="65"/>
        <v>0</v>
      </c>
    </row>
    <row r="1005" spans="1:7" hidden="1" x14ac:dyDescent="0.25">
      <c r="A1005" s="43" t="s">
        <v>2868</v>
      </c>
      <c r="B1005" s="81" t="s">
        <v>2883</v>
      </c>
      <c r="C1005" s="26" t="s">
        <v>37</v>
      </c>
      <c r="D1005" s="14"/>
      <c r="E1005" s="15"/>
      <c r="F1005" s="16">
        <f t="shared" si="64"/>
        <v>0</v>
      </c>
      <c r="G1005">
        <f t="shared" si="65"/>
        <v>0</v>
      </c>
    </row>
    <row r="1006" spans="1:7" hidden="1" x14ac:dyDescent="0.25">
      <c r="A1006" s="43" t="s">
        <v>2869</v>
      </c>
      <c r="B1006" s="81" t="s">
        <v>2884</v>
      </c>
      <c r="C1006" s="26" t="s">
        <v>37</v>
      </c>
      <c r="D1006" s="14"/>
      <c r="E1006" s="15"/>
      <c r="F1006" s="16">
        <f t="shared" si="64"/>
        <v>0</v>
      </c>
      <c r="G1006">
        <f t="shared" si="65"/>
        <v>0</v>
      </c>
    </row>
    <row r="1007" spans="1:7" hidden="1" x14ac:dyDescent="0.25">
      <c r="A1007" s="43" t="s">
        <v>2870</v>
      </c>
      <c r="B1007" s="81" t="s">
        <v>2896</v>
      </c>
      <c r="C1007" s="26" t="s">
        <v>37</v>
      </c>
      <c r="D1007" s="14"/>
      <c r="E1007" s="15"/>
      <c r="F1007" s="16">
        <f t="shared" si="64"/>
        <v>0</v>
      </c>
      <c r="G1007">
        <f t="shared" si="65"/>
        <v>0</v>
      </c>
    </row>
    <row r="1008" spans="1:7" hidden="1" x14ac:dyDescent="0.25">
      <c r="A1008" s="43" t="s">
        <v>2891</v>
      </c>
      <c r="B1008" s="81" t="s">
        <v>2886</v>
      </c>
      <c r="C1008" s="26" t="s">
        <v>37</v>
      </c>
      <c r="D1008" s="14"/>
      <c r="E1008" s="15"/>
      <c r="F1008" s="16">
        <f t="shared" si="64"/>
        <v>0</v>
      </c>
      <c r="G1008">
        <f t="shared" si="65"/>
        <v>0</v>
      </c>
    </row>
    <row r="1009" spans="1:7" hidden="1" x14ac:dyDescent="0.25">
      <c r="A1009" s="43" t="s">
        <v>2892</v>
      </c>
      <c r="B1009" s="81" t="s">
        <v>2885</v>
      </c>
      <c r="C1009" s="26" t="s">
        <v>37</v>
      </c>
      <c r="D1009" s="14"/>
      <c r="E1009" s="15"/>
      <c r="F1009" s="16">
        <f t="shared" si="64"/>
        <v>0</v>
      </c>
      <c r="G1009">
        <f t="shared" si="65"/>
        <v>0</v>
      </c>
    </row>
    <row r="1010" spans="1:7" hidden="1" x14ac:dyDescent="0.25">
      <c r="A1010" s="43" t="s">
        <v>2893</v>
      </c>
      <c r="B1010" s="81" t="s">
        <v>2887</v>
      </c>
      <c r="C1010" s="26" t="s">
        <v>37</v>
      </c>
      <c r="D1010" s="14"/>
      <c r="E1010" s="15"/>
      <c r="F1010" s="16">
        <f t="shared" si="64"/>
        <v>0</v>
      </c>
      <c r="G1010">
        <f t="shared" si="65"/>
        <v>0</v>
      </c>
    </row>
    <row r="1011" spans="1:7" hidden="1" x14ac:dyDescent="0.25">
      <c r="A1011" s="43" t="s">
        <v>2894</v>
      </c>
      <c r="B1011" s="81" t="s">
        <v>2888</v>
      </c>
      <c r="C1011" s="26" t="s">
        <v>37</v>
      </c>
      <c r="D1011" s="14"/>
      <c r="E1011" s="15"/>
      <c r="F1011" s="16">
        <f t="shared" si="64"/>
        <v>0</v>
      </c>
      <c r="G1011">
        <f t="shared" si="65"/>
        <v>0</v>
      </c>
    </row>
    <row r="1012" spans="1:7" hidden="1" x14ac:dyDescent="0.25">
      <c r="A1012" s="43" t="s">
        <v>2895</v>
      </c>
      <c r="B1012" s="81" t="s">
        <v>2889</v>
      </c>
      <c r="C1012" s="26" t="s">
        <v>37</v>
      </c>
      <c r="D1012" s="14"/>
      <c r="E1012" s="15"/>
      <c r="F1012" s="16">
        <f t="shared" si="64"/>
        <v>0</v>
      </c>
      <c r="G1012">
        <f t="shared" si="65"/>
        <v>0</v>
      </c>
    </row>
    <row r="1013" spans="1:7" hidden="1" x14ac:dyDescent="0.25">
      <c r="A1013" s="43" t="s">
        <v>2897</v>
      </c>
      <c r="B1013" s="81" t="s">
        <v>2890</v>
      </c>
      <c r="C1013" s="26" t="s">
        <v>37</v>
      </c>
      <c r="D1013" s="14"/>
      <c r="E1013" s="15"/>
      <c r="F1013" s="16">
        <f t="shared" si="64"/>
        <v>0</v>
      </c>
      <c r="G1013">
        <f t="shared" si="65"/>
        <v>0</v>
      </c>
    </row>
    <row r="1014" spans="1:7" hidden="1" x14ac:dyDescent="0.25">
      <c r="A1014" s="43" t="s">
        <v>2913</v>
      </c>
      <c r="B1014" s="81" t="s">
        <v>2898</v>
      </c>
      <c r="C1014" s="26" t="s">
        <v>37</v>
      </c>
      <c r="D1014" s="14"/>
      <c r="E1014" s="15"/>
      <c r="F1014" s="16">
        <f t="shared" si="64"/>
        <v>0</v>
      </c>
      <c r="G1014">
        <f t="shared" si="65"/>
        <v>0</v>
      </c>
    </row>
    <row r="1015" spans="1:7" hidden="1" x14ac:dyDescent="0.25">
      <c r="A1015" s="43" t="s">
        <v>2914</v>
      </c>
      <c r="B1015" s="81" t="s">
        <v>2899</v>
      </c>
      <c r="C1015" s="26" t="s">
        <v>37</v>
      </c>
      <c r="D1015" s="14"/>
      <c r="E1015" s="15"/>
      <c r="F1015" s="16">
        <f t="shared" si="64"/>
        <v>0</v>
      </c>
      <c r="G1015">
        <f t="shared" si="65"/>
        <v>0</v>
      </c>
    </row>
    <row r="1016" spans="1:7" hidden="1" x14ac:dyDescent="0.25">
      <c r="A1016" s="43" t="s">
        <v>2915</v>
      </c>
      <c r="B1016" s="81" t="s">
        <v>2900</v>
      </c>
      <c r="C1016" s="26" t="s">
        <v>37</v>
      </c>
      <c r="D1016" s="14"/>
      <c r="E1016" s="15"/>
      <c r="F1016" s="16">
        <f t="shared" si="64"/>
        <v>0</v>
      </c>
      <c r="G1016">
        <f t="shared" si="65"/>
        <v>0</v>
      </c>
    </row>
    <row r="1017" spans="1:7" hidden="1" x14ac:dyDescent="0.25">
      <c r="A1017" s="43" t="s">
        <v>2916</v>
      </c>
      <c r="B1017" s="81" t="s">
        <v>2901</v>
      </c>
      <c r="C1017" s="26" t="s">
        <v>37</v>
      </c>
      <c r="D1017" s="14"/>
      <c r="E1017" s="15"/>
      <c r="F1017" s="16">
        <f t="shared" si="64"/>
        <v>0</v>
      </c>
      <c r="G1017">
        <f t="shared" si="65"/>
        <v>0</v>
      </c>
    </row>
    <row r="1018" spans="1:7" hidden="1" x14ac:dyDescent="0.25">
      <c r="A1018" s="43" t="s">
        <v>2917</v>
      </c>
      <c r="B1018" s="81" t="s">
        <v>2902</v>
      </c>
      <c r="C1018" s="26" t="s">
        <v>37</v>
      </c>
      <c r="D1018" s="14"/>
      <c r="E1018" s="15"/>
      <c r="F1018" s="16">
        <f t="shared" si="64"/>
        <v>0</v>
      </c>
      <c r="G1018">
        <f t="shared" si="65"/>
        <v>0</v>
      </c>
    </row>
    <row r="1019" spans="1:7" hidden="1" x14ac:dyDescent="0.25">
      <c r="A1019" s="43" t="s">
        <v>2918</v>
      </c>
      <c r="B1019" s="81" t="s">
        <v>2903</v>
      </c>
      <c r="C1019" s="26" t="s">
        <v>37</v>
      </c>
      <c r="D1019" s="14"/>
      <c r="E1019" s="15"/>
      <c r="F1019" s="16">
        <f t="shared" si="64"/>
        <v>0</v>
      </c>
      <c r="G1019">
        <f t="shared" si="65"/>
        <v>0</v>
      </c>
    </row>
    <row r="1020" spans="1:7" hidden="1" x14ac:dyDescent="0.25">
      <c r="A1020" s="43" t="s">
        <v>2919</v>
      </c>
      <c r="B1020" s="81" t="s">
        <v>2904</v>
      </c>
      <c r="C1020" s="26" t="s">
        <v>37</v>
      </c>
      <c r="D1020" s="14"/>
      <c r="E1020" s="15"/>
      <c r="F1020" s="16">
        <f t="shared" si="64"/>
        <v>0</v>
      </c>
      <c r="G1020">
        <f t="shared" si="65"/>
        <v>0</v>
      </c>
    </row>
    <row r="1021" spans="1:7" hidden="1" x14ac:dyDescent="0.25">
      <c r="A1021" s="43" t="s">
        <v>2920</v>
      </c>
      <c r="B1021" s="81" t="s">
        <v>2905</v>
      </c>
      <c r="C1021" s="26" t="s">
        <v>37</v>
      </c>
      <c r="D1021" s="14"/>
      <c r="E1021" s="15"/>
      <c r="F1021" s="16">
        <f t="shared" si="64"/>
        <v>0</v>
      </c>
      <c r="G1021">
        <f t="shared" si="65"/>
        <v>0</v>
      </c>
    </row>
    <row r="1022" spans="1:7" hidden="1" x14ac:dyDescent="0.25">
      <c r="A1022" s="43" t="s">
        <v>2921</v>
      </c>
      <c r="B1022" s="81" t="s">
        <v>2906</v>
      </c>
      <c r="C1022" s="26" t="s">
        <v>37</v>
      </c>
      <c r="D1022" s="14"/>
      <c r="E1022" s="15"/>
      <c r="F1022" s="16">
        <f t="shared" si="64"/>
        <v>0</v>
      </c>
      <c r="G1022">
        <f t="shared" si="65"/>
        <v>0</v>
      </c>
    </row>
    <row r="1023" spans="1:7" hidden="1" x14ac:dyDescent="0.25">
      <c r="A1023" s="43" t="s">
        <v>2922</v>
      </c>
      <c r="B1023" s="81" t="s">
        <v>2907</v>
      </c>
      <c r="C1023" s="26" t="s">
        <v>37</v>
      </c>
      <c r="D1023" s="14"/>
      <c r="E1023" s="15"/>
      <c r="F1023" s="16">
        <f t="shared" si="64"/>
        <v>0</v>
      </c>
      <c r="G1023">
        <f t="shared" si="65"/>
        <v>0</v>
      </c>
    </row>
    <row r="1024" spans="1:7" hidden="1" x14ac:dyDescent="0.25">
      <c r="A1024" s="43" t="s">
        <v>2923</v>
      </c>
      <c r="B1024" s="81" t="s">
        <v>2908</v>
      </c>
      <c r="C1024" s="26" t="s">
        <v>37</v>
      </c>
      <c r="D1024" s="14"/>
      <c r="E1024" s="15"/>
      <c r="F1024" s="16">
        <f t="shared" si="64"/>
        <v>0</v>
      </c>
      <c r="G1024">
        <f t="shared" si="65"/>
        <v>0</v>
      </c>
    </row>
    <row r="1025" spans="1:7" hidden="1" x14ac:dyDescent="0.25">
      <c r="A1025" s="43" t="s">
        <v>2924</v>
      </c>
      <c r="B1025" s="81" t="s">
        <v>2909</v>
      </c>
      <c r="C1025" s="26" t="s">
        <v>37</v>
      </c>
      <c r="D1025" s="14"/>
      <c r="E1025" s="15"/>
      <c r="F1025" s="16">
        <f t="shared" si="64"/>
        <v>0</v>
      </c>
      <c r="G1025">
        <f t="shared" si="65"/>
        <v>0</v>
      </c>
    </row>
    <row r="1026" spans="1:7" hidden="1" x14ac:dyDescent="0.25">
      <c r="A1026" s="43" t="s">
        <v>2925</v>
      </c>
      <c r="B1026" s="81" t="s">
        <v>2910</v>
      </c>
      <c r="C1026" s="26" t="s">
        <v>37</v>
      </c>
      <c r="D1026" s="14"/>
      <c r="E1026" s="15"/>
      <c r="F1026" s="16">
        <f t="shared" si="64"/>
        <v>0</v>
      </c>
      <c r="G1026">
        <f t="shared" si="65"/>
        <v>0</v>
      </c>
    </row>
    <row r="1027" spans="1:7" hidden="1" x14ac:dyDescent="0.25">
      <c r="A1027" s="43" t="s">
        <v>2926</v>
      </c>
      <c r="B1027" s="81" t="s">
        <v>2911</v>
      </c>
      <c r="C1027" s="26" t="s">
        <v>37</v>
      </c>
      <c r="D1027" s="14"/>
      <c r="E1027" s="15"/>
      <c r="F1027" s="16">
        <f t="shared" si="64"/>
        <v>0</v>
      </c>
      <c r="G1027">
        <f t="shared" si="65"/>
        <v>0</v>
      </c>
    </row>
    <row r="1028" spans="1:7" hidden="1" x14ac:dyDescent="0.25">
      <c r="A1028" s="43" t="s">
        <v>2927</v>
      </c>
      <c r="B1028" s="81" t="s">
        <v>2912</v>
      </c>
      <c r="C1028" s="26" t="s">
        <v>37</v>
      </c>
      <c r="D1028" s="14"/>
      <c r="E1028" s="15"/>
      <c r="F1028" s="16">
        <f t="shared" si="64"/>
        <v>0</v>
      </c>
      <c r="G1028">
        <f t="shared" si="65"/>
        <v>0</v>
      </c>
    </row>
    <row r="1029" spans="1:7" hidden="1" x14ac:dyDescent="0.25">
      <c r="A1029" s="44" t="s">
        <v>962</v>
      </c>
      <c r="B1029" s="80" t="s">
        <v>2929</v>
      </c>
      <c r="C1029" s="26"/>
      <c r="D1029" s="14"/>
      <c r="E1029" s="15"/>
      <c r="F1029" s="16"/>
      <c r="G1029">
        <f t="shared" si="65"/>
        <v>0</v>
      </c>
    </row>
    <row r="1030" spans="1:7" hidden="1" x14ac:dyDescent="0.25">
      <c r="A1030" s="43" t="s">
        <v>963</v>
      </c>
      <c r="B1030" s="81" t="s">
        <v>2928</v>
      </c>
      <c r="C1030" s="26" t="s">
        <v>37</v>
      </c>
      <c r="D1030" s="14"/>
      <c r="E1030" s="15"/>
      <c r="F1030" s="16">
        <f t="shared" si="64"/>
        <v>0</v>
      </c>
      <c r="G1030">
        <f t="shared" si="65"/>
        <v>0</v>
      </c>
    </row>
    <row r="1031" spans="1:7" hidden="1" x14ac:dyDescent="0.25">
      <c r="A1031" s="43" t="s">
        <v>964</v>
      </c>
      <c r="B1031" s="81" t="s">
        <v>2990</v>
      </c>
      <c r="C1031" s="26" t="s">
        <v>37</v>
      </c>
      <c r="D1031" s="14"/>
      <c r="E1031" s="15"/>
      <c r="F1031" s="16">
        <f t="shared" ref="F1031:F1092" si="66">+D1031*E1031</f>
        <v>0</v>
      </c>
      <c r="G1031">
        <f t="shared" si="65"/>
        <v>0</v>
      </c>
    </row>
    <row r="1032" spans="1:7" hidden="1" x14ac:dyDescent="0.25">
      <c r="A1032" s="43" t="s">
        <v>965</v>
      </c>
      <c r="B1032" s="81" t="s">
        <v>2991</v>
      </c>
      <c r="C1032" s="26" t="s">
        <v>37</v>
      </c>
      <c r="D1032" s="14"/>
      <c r="E1032" s="15"/>
      <c r="F1032" s="16">
        <f t="shared" si="66"/>
        <v>0</v>
      </c>
      <c r="G1032">
        <f t="shared" si="65"/>
        <v>0</v>
      </c>
    </row>
    <row r="1033" spans="1:7" hidden="1" x14ac:dyDescent="0.25">
      <c r="A1033" s="43" t="s">
        <v>2930</v>
      </c>
      <c r="B1033" s="81" t="s">
        <v>2992</v>
      </c>
      <c r="C1033" s="26" t="s">
        <v>37</v>
      </c>
      <c r="D1033" s="14"/>
      <c r="E1033" s="15"/>
      <c r="F1033" s="16">
        <f t="shared" si="66"/>
        <v>0</v>
      </c>
      <c r="G1033">
        <f t="shared" si="65"/>
        <v>0</v>
      </c>
    </row>
    <row r="1034" spans="1:7" hidden="1" x14ac:dyDescent="0.25">
      <c r="A1034" s="43" t="s">
        <v>2931</v>
      </c>
      <c r="B1034" s="81" t="s">
        <v>2993</v>
      </c>
      <c r="C1034" s="26" t="s">
        <v>37</v>
      </c>
      <c r="D1034" s="14"/>
      <c r="E1034" s="15"/>
      <c r="F1034" s="16">
        <f t="shared" si="66"/>
        <v>0</v>
      </c>
      <c r="G1034">
        <f t="shared" si="65"/>
        <v>0</v>
      </c>
    </row>
    <row r="1035" spans="1:7" hidden="1" x14ac:dyDescent="0.25">
      <c r="A1035" s="43" t="s">
        <v>966</v>
      </c>
      <c r="B1035" s="81" t="s">
        <v>2994</v>
      </c>
      <c r="C1035" s="26" t="s">
        <v>37</v>
      </c>
      <c r="D1035" s="14"/>
      <c r="E1035" s="15"/>
      <c r="F1035" s="16">
        <f t="shared" si="66"/>
        <v>0</v>
      </c>
      <c r="G1035">
        <f t="shared" si="65"/>
        <v>0</v>
      </c>
    </row>
    <row r="1036" spans="1:7" hidden="1" x14ac:dyDescent="0.25">
      <c r="A1036" s="43" t="s">
        <v>967</v>
      </c>
      <c r="B1036" s="81" t="s">
        <v>2995</v>
      </c>
      <c r="C1036" s="26" t="s">
        <v>37</v>
      </c>
      <c r="D1036" s="14"/>
      <c r="E1036" s="15"/>
      <c r="F1036" s="16">
        <f t="shared" si="66"/>
        <v>0</v>
      </c>
      <c r="G1036">
        <f t="shared" si="65"/>
        <v>0</v>
      </c>
    </row>
    <row r="1037" spans="1:7" hidden="1" x14ac:dyDescent="0.25">
      <c r="A1037" s="43" t="s">
        <v>2932</v>
      </c>
      <c r="B1037" s="81" t="s">
        <v>2996</v>
      </c>
      <c r="C1037" s="26" t="s">
        <v>37</v>
      </c>
      <c r="D1037" s="14"/>
      <c r="E1037" s="15"/>
      <c r="F1037" s="16">
        <f t="shared" si="66"/>
        <v>0</v>
      </c>
      <c r="G1037">
        <f t="shared" si="65"/>
        <v>0</v>
      </c>
    </row>
    <row r="1038" spans="1:7" hidden="1" x14ac:dyDescent="0.25">
      <c r="A1038" s="43" t="s">
        <v>968</v>
      </c>
      <c r="B1038" s="81" t="s">
        <v>2997</v>
      </c>
      <c r="C1038" s="26" t="s">
        <v>37</v>
      </c>
      <c r="D1038" s="14"/>
      <c r="E1038" s="15"/>
      <c r="F1038" s="16">
        <f t="shared" si="66"/>
        <v>0</v>
      </c>
      <c r="G1038">
        <f t="shared" si="65"/>
        <v>0</v>
      </c>
    </row>
    <row r="1039" spans="1:7" hidden="1" x14ac:dyDescent="0.25">
      <c r="A1039" s="43" t="s">
        <v>969</v>
      </c>
      <c r="B1039" s="81" t="s">
        <v>2998</v>
      </c>
      <c r="C1039" s="26" t="s">
        <v>37</v>
      </c>
      <c r="D1039" s="14"/>
      <c r="E1039" s="15"/>
      <c r="F1039" s="16">
        <f t="shared" si="66"/>
        <v>0</v>
      </c>
      <c r="G1039">
        <f t="shared" si="65"/>
        <v>0</v>
      </c>
    </row>
    <row r="1040" spans="1:7" hidden="1" x14ac:dyDescent="0.25">
      <c r="A1040" s="43" t="s">
        <v>970</v>
      </c>
      <c r="B1040" s="81" t="s">
        <v>2999</v>
      </c>
      <c r="C1040" s="26" t="s">
        <v>37</v>
      </c>
      <c r="D1040" s="14"/>
      <c r="E1040" s="15"/>
      <c r="F1040" s="16">
        <f t="shared" si="66"/>
        <v>0</v>
      </c>
      <c r="G1040">
        <f t="shared" si="65"/>
        <v>0</v>
      </c>
    </row>
    <row r="1041" spans="1:7" hidden="1" x14ac:dyDescent="0.25">
      <c r="A1041" s="43" t="s">
        <v>971</v>
      </c>
      <c r="B1041" s="81" t="s">
        <v>3000</v>
      </c>
      <c r="C1041" s="26" t="s">
        <v>37</v>
      </c>
      <c r="D1041" s="14"/>
      <c r="E1041" s="15"/>
      <c r="F1041" s="16">
        <f t="shared" si="66"/>
        <v>0</v>
      </c>
      <c r="G1041">
        <f t="shared" si="65"/>
        <v>0</v>
      </c>
    </row>
    <row r="1042" spans="1:7" hidden="1" x14ac:dyDescent="0.25">
      <c r="A1042" s="43" t="s">
        <v>2933</v>
      </c>
      <c r="B1042" s="81" t="s">
        <v>3001</v>
      </c>
      <c r="C1042" s="26" t="s">
        <v>37</v>
      </c>
      <c r="D1042" s="14"/>
      <c r="E1042" s="15"/>
      <c r="F1042" s="16">
        <f t="shared" si="66"/>
        <v>0</v>
      </c>
      <c r="G1042">
        <f t="shared" si="65"/>
        <v>0</v>
      </c>
    </row>
    <row r="1043" spans="1:7" hidden="1" x14ac:dyDescent="0.25">
      <c r="A1043" s="43" t="s">
        <v>2934</v>
      </c>
      <c r="B1043" s="81" t="s">
        <v>3002</v>
      </c>
      <c r="C1043" s="26" t="s">
        <v>37</v>
      </c>
      <c r="D1043" s="14"/>
      <c r="E1043" s="15"/>
      <c r="F1043" s="16">
        <f t="shared" si="66"/>
        <v>0</v>
      </c>
      <c r="G1043">
        <f t="shared" si="65"/>
        <v>0</v>
      </c>
    </row>
    <row r="1044" spans="1:7" hidden="1" x14ac:dyDescent="0.25">
      <c r="A1044" s="43" t="s">
        <v>2935</v>
      </c>
      <c r="B1044" s="81" t="s">
        <v>3003</v>
      </c>
      <c r="C1044" s="26" t="s">
        <v>37</v>
      </c>
      <c r="D1044" s="14"/>
      <c r="E1044" s="15"/>
      <c r="F1044" s="16">
        <f t="shared" si="66"/>
        <v>0</v>
      </c>
      <c r="G1044">
        <f t="shared" si="65"/>
        <v>0</v>
      </c>
    </row>
    <row r="1045" spans="1:7" hidden="1" x14ac:dyDescent="0.25">
      <c r="A1045" s="43" t="s">
        <v>2936</v>
      </c>
      <c r="B1045" s="81" t="s">
        <v>3004</v>
      </c>
      <c r="C1045" s="26" t="s">
        <v>37</v>
      </c>
      <c r="D1045" s="14"/>
      <c r="E1045" s="15"/>
      <c r="F1045" s="16">
        <f t="shared" si="66"/>
        <v>0</v>
      </c>
      <c r="G1045">
        <f t="shared" si="65"/>
        <v>0</v>
      </c>
    </row>
    <row r="1046" spans="1:7" hidden="1" x14ac:dyDescent="0.25">
      <c r="A1046" s="43" t="s">
        <v>2937</v>
      </c>
      <c r="B1046" s="81" t="s">
        <v>3005</v>
      </c>
      <c r="C1046" s="26" t="s">
        <v>37</v>
      </c>
      <c r="D1046" s="14"/>
      <c r="E1046" s="15"/>
      <c r="F1046" s="16">
        <f t="shared" si="66"/>
        <v>0</v>
      </c>
      <c r="G1046">
        <f t="shared" si="65"/>
        <v>0</v>
      </c>
    </row>
    <row r="1047" spans="1:7" hidden="1" x14ac:dyDescent="0.25">
      <c r="A1047" s="43" t="s">
        <v>2938</v>
      </c>
      <c r="B1047" s="81" t="s">
        <v>3006</v>
      </c>
      <c r="C1047" s="26" t="s">
        <v>37</v>
      </c>
      <c r="D1047" s="14"/>
      <c r="E1047" s="15"/>
      <c r="F1047" s="16">
        <f t="shared" si="66"/>
        <v>0</v>
      </c>
      <c r="G1047">
        <f t="shared" si="65"/>
        <v>0</v>
      </c>
    </row>
    <row r="1048" spans="1:7" hidden="1" x14ac:dyDescent="0.25">
      <c r="A1048" s="43" t="s">
        <v>2939</v>
      </c>
      <c r="B1048" s="81" t="s">
        <v>3007</v>
      </c>
      <c r="C1048" s="26" t="s">
        <v>37</v>
      </c>
      <c r="D1048" s="14"/>
      <c r="E1048" s="15"/>
      <c r="F1048" s="16">
        <f t="shared" si="66"/>
        <v>0</v>
      </c>
      <c r="G1048">
        <f t="shared" si="65"/>
        <v>0</v>
      </c>
    </row>
    <row r="1049" spans="1:7" hidden="1" x14ac:dyDescent="0.25">
      <c r="A1049" s="43" t="s">
        <v>2940</v>
      </c>
      <c r="B1049" s="81" t="s">
        <v>3008</v>
      </c>
      <c r="C1049" s="26" t="s">
        <v>37</v>
      </c>
      <c r="D1049" s="14"/>
      <c r="E1049" s="15"/>
      <c r="F1049" s="16">
        <f t="shared" si="66"/>
        <v>0</v>
      </c>
      <c r="G1049">
        <f t="shared" si="65"/>
        <v>0</v>
      </c>
    </row>
    <row r="1050" spans="1:7" hidden="1" x14ac:dyDescent="0.25">
      <c r="A1050" s="43" t="s">
        <v>2941</v>
      </c>
      <c r="B1050" s="81" t="s">
        <v>3009</v>
      </c>
      <c r="C1050" s="26" t="s">
        <v>37</v>
      </c>
      <c r="D1050" s="14"/>
      <c r="E1050" s="15"/>
      <c r="F1050" s="16">
        <f t="shared" si="66"/>
        <v>0</v>
      </c>
      <c r="G1050">
        <f t="shared" si="65"/>
        <v>0</v>
      </c>
    </row>
    <row r="1051" spans="1:7" hidden="1" x14ac:dyDescent="0.25">
      <c r="A1051" s="43" t="s">
        <v>2942</v>
      </c>
      <c r="B1051" s="81" t="s">
        <v>3010</v>
      </c>
      <c r="C1051" s="26" t="s">
        <v>37</v>
      </c>
      <c r="D1051" s="14"/>
      <c r="E1051" s="15"/>
      <c r="F1051" s="16">
        <f t="shared" si="66"/>
        <v>0</v>
      </c>
      <c r="G1051">
        <f t="shared" si="65"/>
        <v>0</v>
      </c>
    </row>
    <row r="1052" spans="1:7" hidden="1" x14ac:dyDescent="0.25">
      <c r="A1052" s="43" t="s">
        <v>2943</v>
      </c>
      <c r="B1052" s="81" t="s">
        <v>3011</v>
      </c>
      <c r="C1052" s="26" t="s">
        <v>37</v>
      </c>
      <c r="D1052" s="14"/>
      <c r="E1052" s="15"/>
      <c r="F1052" s="16">
        <f t="shared" si="66"/>
        <v>0</v>
      </c>
      <c r="G1052">
        <f t="shared" si="65"/>
        <v>0</v>
      </c>
    </row>
    <row r="1053" spans="1:7" hidden="1" x14ac:dyDescent="0.25">
      <c r="A1053" s="43" t="s">
        <v>2944</v>
      </c>
      <c r="B1053" s="81" t="s">
        <v>3012</v>
      </c>
      <c r="C1053" s="26" t="s">
        <v>37</v>
      </c>
      <c r="D1053" s="14"/>
      <c r="E1053" s="15"/>
      <c r="F1053" s="16">
        <f t="shared" si="66"/>
        <v>0</v>
      </c>
      <c r="G1053">
        <f t="shared" si="65"/>
        <v>0</v>
      </c>
    </row>
    <row r="1054" spans="1:7" hidden="1" x14ac:dyDescent="0.25">
      <c r="A1054" s="43" t="s">
        <v>2945</v>
      </c>
      <c r="B1054" s="81" t="s">
        <v>3013</v>
      </c>
      <c r="C1054" s="26" t="s">
        <v>37</v>
      </c>
      <c r="D1054" s="14"/>
      <c r="E1054" s="15"/>
      <c r="F1054" s="16">
        <f t="shared" si="66"/>
        <v>0</v>
      </c>
      <c r="G1054">
        <f t="shared" si="65"/>
        <v>0</v>
      </c>
    </row>
    <row r="1055" spans="1:7" hidden="1" x14ac:dyDescent="0.25">
      <c r="A1055" s="43" t="s">
        <v>972</v>
      </c>
      <c r="B1055" s="81" t="s">
        <v>3014</v>
      </c>
      <c r="C1055" s="26" t="s">
        <v>37</v>
      </c>
      <c r="D1055" s="14"/>
      <c r="E1055" s="15"/>
      <c r="F1055" s="16">
        <f t="shared" si="66"/>
        <v>0</v>
      </c>
      <c r="G1055">
        <f t="shared" si="65"/>
        <v>0</v>
      </c>
    </row>
    <row r="1056" spans="1:7" hidden="1" x14ac:dyDescent="0.25">
      <c r="A1056" s="43" t="s">
        <v>973</v>
      </c>
      <c r="B1056" s="81" t="s">
        <v>3015</v>
      </c>
      <c r="C1056" s="26" t="s">
        <v>37</v>
      </c>
      <c r="D1056" s="14"/>
      <c r="E1056" s="15"/>
      <c r="F1056" s="16">
        <f t="shared" si="66"/>
        <v>0</v>
      </c>
      <c r="G1056">
        <f t="shared" si="65"/>
        <v>0</v>
      </c>
    </row>
    <row r="1057" spans="1:7" hidden="1" x14ac:dyDescent="0.25">
      <c r="A1057" s="43" t="s">
        <v>2946</v>
      </c>
      <c r="B1057" s="81" t="s">
        <v>2989</v>
      </c>
      <c r="C1057" s="26" t="s">
        <v>37</v>
      </c>
      <c r="D1057" s="14"/>
      <c r="E1057" s="15"/>
      <c r="F1057" s="16">
        <f t="shared" si="66"/>
        <v>0</v>
      </c>
      <c r="G1057">
        <f t="shared" si="65"/>
        <v>0</v>
      </c>
    </row>
    <row r="1058" spans="1:7" hidden="1" x14ac:dyDescent="0.25">
      <c r="A1058" s="43" t="s">
        <v>2947</v>
      </c>
      <c r="B1058" s="81" t="s">
        <v>2987</v>
      </c>
      <c r="C1058" s="26" t="s">
        <v>37</v>
      </c>
      <c r="D1058" s="14"/>
      <c r="E1058" s="15"/>
      <c r="F1058" s="16">
        <f t="shared" si="66"/>
        <v>0</v>
      </c>
      <c r="G1058">
        <f t="shared" si="65"/>
        <v>0</v>
      </c>
    </row>
    <row r="1059" spans="1:7" hidden="1" x14ac:dyDescent="0.25">
      <c r="A1059" s="43" t="s">
        <v>2948</v>
      </c>
      <c r="B1059" s="81" t="s">
        <v>2988</v>
      </c>
      <c r="C1059" s="26" t="s">
        <v>37</v>
      </c>
      <c r="D1059" s="14"/>
      <c r="E1059" s="15"/>
      <c r="F1059" s="16">
        <f t="shared" si="66"/>
        <v>0</v>
      </c>
      <c r="G1059">
        <f t="shared" si="65"/>
        <v>0</v>
      </c>
    </row>
    <row r="1060" spans="1:7" hidden="1" x14ac:dyDescent="0.25">
      <c r="A1060" s="43" t="s">
        <v>2949</v>
      </c>
      <c r="B1060" s="81" t="s">
        <v>3016</v>
      </c>
      <c r="C1060" s="26" t="s">
        <v>37</v>
      </c>
      <c r="D1060" s="14"/>
      <c r="E1060" s="15"/>
      <c r="F1060" s="16">
        <f t="shared" si="66"/>
        <v>0</v>
      </c>
      <c r="G1060">
        <f t="shared" ref="G1060:G1123" si="67">+IF(F1060&lt;&gt;0,1,0)</f>
        <v>0</v>
      </c>
    </row>
    <row r="1061" spans="1:7" hidden="1" x14ac:dyDescent="0.25">
      <c r="A1061" s="43" t="s">
        <v>2950</v>
      </c>
      <c r="B1061" s="81" t="s">
        <v>3017</v>
      </c>
      <c r="C1061" s="26" t="s">
        <v>37</v>
      </c>
      <c r="D1061" s="14"/>
      <c r="E1061" s="15"/>
      <c r="F1061" s="16">
        <f t="shared" si="66"/>
        <v>0</v>
      </c>
      <c r="G1061">
        <f t="shared" si="67"/>
        <v>0</v>
      </c>
    </row>
    <row r="1062" spans="1:7" hidden="1" x14ac:dyDescent="0.25">
      <c r="A1062" s="43" t="s">
        <v>2951</v>
      </c>
      <c r="B1062" s="81" t="s">
        <v>3018</v>
      </c>
      <c r="C1062" s="26" t="s">
        <v>37</v>
      </c>
      <c r="D1062" s="14"/>
      <c r="E1062" s="15"/>
      <c r="F1062" s="16">
        <f t="shared" si="66"/>
        <v>0</v>
      </c>
      <c r="G1062">
        <f t="shared" si="67"/>
        <v>0</v>
      </c>
    </row>
    <row r="1063" spans="1:7" hidden="1" x14ac:dyDescent="0.25">
      <c r="A1063" s="43" t="s">
        <v>2952</v>
      </c>
      <c r="B1063" s="81" t="s">
        <v>3019</v>
      </c>
      <c r="C1063" s="26" t="s">
        <v>37</v>
      </c>
      <c r="D1063" s="14"/>
      <c r="E1063" s="15"/>
      <c r="F1063" s="16">
        <f t="shared" si="66"/>
        <v>0</v>
      </c>
      <c r="G1063">
        <f t="shared" si="67"/>
        <v>0</v>
      </c>
    </row>
    <row r="1064" spans="1:7" hidden="1" x14ac:dyDescent="0.25">
      <c r="A1064" s="43" t="s">
        <v>2953</v>
      </c>
      <c r="B1064" s="81" t="s">
        <v>3020</v>
      </c>
      <c r="C1064" s="26" t="s">
        <v>37</v>
      </c>
      <c r="D1064" s="14"/>
      <c r="E1064" s="15"/>
      <c r="F1064" s="16">
        <f t="shared" si="66"/>
        <v>0</v>
      </c>
      <c r="G1064">
        <f t="shared" si="67"/>
        <v>0</v>
      </c>
    </row>
    <row r="1065" spans="1:7" hidden="1" x14ac:dyDescent="0.25">
      <c r="A1065" s="43" t="s">
        <v>2954</v>
      </c>
      <c r="B1065" s="81" t="s">
        <v>3021</v>
      </c>
      <c r="C1065" s="26" t="s">
        <v>37</v>
      </c>
      <c r="D1065" s="14"/>
      <c r="E1065" s="15"/>
      <c r="F1065" s="16">
        <f t="shared" si="66"/>
        <v>0</v>
      </c>
      <c r="G1065">
        <f t="shared" si="67"/>
        <v>0</v>
      </c>
    </row>
    <row r="1066" spans="1:7" hidden="1" x14ac:dyDescent="0.25">
      <c r="A1066" s="43" t="s">
        <v>2955</v>
      </c>
      <c r="B1066" s="81" t="s">
        <v>3022</v>
      </c>
      <c r="C1066" s="26" t="s">
        <v>37</v>
      </c>
      <c r="D1066" s="14"/>
      <c r="E1066" s="15"/>
      <c r="F1066" s="16">
        <f t="shared" si="66"/>
        <v>0</v>
      </c>
      <c r="G1066">
        <f t="shared" si="67"/>
        <v>0</v>
      </c>
    </row>
    <row r="1067" spans="1:7" hidden="1" x14ac:dyDescent="0.25">
      <c r="A1067" s="43" t="s">
        <v>2956</v>
      </c>
      <c r="B1067" s="81" t="s">
        <v>3023</v>
      </c>
      <c r="C1067" s="26" t="s">
        <v>37</v>
      </c>
      <c r="D1067" s="14"/>
      <c r="E1067" s="15"/>
      <c r="F1067" s="16">
        <f t="shared" si="66"/>
        <v>0</v>
      </c>
      <c r="G1067">
        <f t="shared" si="67"/>
        <v>0</v>
      </c>
    </row>
    <row r="1068" spans="1:7" hidden="1" x14ac:dyDescent="0.25">
      <c r="A1068" s="43" t="s">
        <v>2957</v>
      </c>
      <c r="B1068" s="81" t="s">
        <v>3024</v>
      </c>
      <c r="C1068" s="26" t="s">
        <v>37</v>
      </c>
      <c r="D1068" s="14"/>
      <c r="E1068" s="15"/>
      <c r="F1068" s="16">
        <f t="shared" si="66"/>
        <v>0</v>
      </c>
      <c r="G1068">
        <f t="shared" si="67"/>
        <v>0</v>
      </c>
    </row>
    <row r="1069" spans="1:7" hidden="1" x14ac:dyDescent="0.25">
      <c r="A1069" s="43" t="s">
        <v>2958</v>
      </c>
      <c r="B1069" s="81" t="s">
        <v>3025</v>
      </c>
      <c r="C1069" s="26" t="s">
        <v>37</v>
      </c>
      <c r="D1069" s="14"/>
      <c r="E1069" s="15"/>
      <c r="F1069" s="16">
        <f t="shared" si="66"/>
        <v>0</v>
      </c>
      <c r="G1069">
        <f t="shared" si="67"/>
        <v>0</v>
      </c>
    </row>
    <row r="1070" spans="1:7" hidden="1" x14ac:dyDescent="0.25">
      <c r="A1070" s="43" t="s">
        <v>2959</v>
      </c>
      <c r="B1070" s="81" t="s">
        <v>3026</v>
      </c>
      <c r="C1070" s="26" t="s">
        <v>37</v>
      </c>
      <c r="D1070" s="14"/>
      <c r="E1070" s="15"/>
      <c r="F1070" s="16">
        <f t="shared" si="66"/>
        <v>0</v>
      </c>
      <c r="G1070">
        <f t="shared" si="67"/>
        <v>0</v>
      </c>
    </row>
    <row r="1071" spans="1:7" hidden="1" x14ac:dyDescent="0.25">
      <c r="A1071" s="43" t="s">
        <v>2960</v>
      </c>
      <c r="B1071" s="81" t="s">
        <v>3027</v>
      </c>
      <c r="C1071" s="26" t="s">
        <v>37</v>
      </c>
      <c r="D1071" s="14"/>
      <c r="E1071" s="15"/>
      <c r="F1071" s="16">
        <f t="shared" si="66"/>
        <v>0</v>
      </c>
      <c r="G1071">
        <f t="shared" si="67"/>
        <v>0</v>
      </c>
    </row>
    <row r="1072" spans="1:7" hidden="1" x14ac:dyDescent="0.25">
      <c r="A1072" s="43" t="s">
        <v>2961</v>
      </c>
      <c r="B1072" s="81" t="s">
        <v>3028</v>
      </c>
      <c r="C1072" s="26" t="s">
        <v>37</v>
      </c>
      <c r="D1072" s="14"/>
      <c r="E1072" s="15"/>
      <c r="F1072" s="16">
        <f t="shared" si="66"/>
        <v>0</v>
      </c>
      <c r="G1072">
        <f t="shared" si="67"/>
        <v>0</v>
      </c>
    </row>
    <row r="1073" spans="1:7" hidden="1" x14ac:dyDescent="0.25">
      <c r="A1073" s="43" t="s">
        <v>2962</v>
      </c>
      <c r="B1073" s="81" t="s">
        <v>3029</v>
      </c>
      <c r="C1073" s="26" t="s">
        <v>37</v>
      </c>
      <c r="D1073" s="14"/>
      <c r="E1073" s="15"/>
      <c r="F1073" s="16">
        <f t="shared" si="66"/>
        <v>0</v>
      </c>
      <c r="G1073">
        <f t="shared" si="67"/>
        <v>0</v>
      </c>
    </row>
    <row r="1074" spans="1:7" hidden="1" x14ac:dyDescent="0.25">
      <c r="A1074" s="43" t="s">
        <v>2963</v>
      </c>
      <c r="B1074" s="81" t="s">
        <v>3030</v>
      </c>
      <c r="C1074" s="26" t="s">
        <v>37</v>
      </c>
      <c r="D1074" s="14"/>
      <c r="E1074" s="15"/>
      <c r="F1074" s="16">
        <f t="shared" si="66"/>
        <v>0</v>
      </c>
      <c r="G1074">
        <f t="shared" si="67"/>
        <v>0</v>
      </c>
    </row>
    <row r="1075" spans="1:7" hidden="1" x14ac:dyDescent="0.25">
      <c r="A1075" s="43" t="s">
        <v>2964</v>
      </c>
      <c r="B1075" s="81" t="s">
        <v>3031</v>
      </c>
      <c r="C1075" s="26" t="s">
        <v>37</v>
      </c>
      <c r="D1075" s="14"/>
      <c r="E1075" s="15"/>
      <c r="F1075" s="16">
        <f t="shared" si="66"/>
        <v>0</v>
      </c>
      <c r="G1075">
        <f t="shared" si="67"/>
        <v>0</v>
      </c>
    </row>
    <row r="1076" spans="1:7" hidden="1" x14ac:dyDescent="0.25">
      <c r="A1076" s="43" t="s">
        <v>2965</v>
      </c>
      <c r="B1076" s="81" t="s">
        <v>3032</v>
      </c>
      <c r="C1076" s="26" t="s">
        <v>37</v>
      </c>
      <c r="D1076" s="14"/>
      <c r="E1076" s="15"/>
      <c r="F1076" s="16">
        <f t="shared" si="66"/>
        <v>0</v>
      </c>
      <c r="G1076">
        <f t="shared" si="67"/>
        <v>0</v>
      </c>
    </row>
    <row r="1077" spans="1:7" hidden="1" x14ac:dyDescent="0.25">
      <c r="A1077" s="43" t="s">
        <v>2966</v>
      </c>
      <c r="B1077" s="81" t="s">
        <v>3033</v>
      </c>
      <c r="C1077" s="26" t="s">
        <v>37</v>
      </c>
      <c r="D1077" s="14"/>
      <c r="E1077" s="15"/>
      <c r="F1077" s="16">
        <f t="shared" si="66"/>
        <v>0</v>
      </c>
      <c r="G1077">
        <f t="shared" si="67"/>
        <v>0</v>
      </c>
    </row>
    <row r="1078" spans="1:7" hidden="1" x14ac:dyDescent="0.25">
      <c r="A1078" s="43" t="s">
        <v>2967</v>
      </c>
      <c r="B1078" s="81" t="s">
        <v>3034</v>
      </c>
      <c r="C1078" s="26" t="s">
        <v>37</v>
      </c>
      <c r="D1078" s="14"/>
      <c r="E1078" s="15"/>
      <c r="F1078" s="16">
        <f t="shared" si="66"/>
        <v>0</v>
      </c>
      <c r="G1078">
        <f t="shared" si="67"/>
        <v>0</v>
      </c>
    </row>
    <row r="1079" spans="1:7" hidden="1" x14ac:dyDescent="0.25">
      <c r="A1079" s="43" t="s">
        <v>2968</v>
      </c>
      <c r="B1079" s="81" t="s">
        <v>3035</v>
      </c>
      <c r="C1079" s="26" t="s">
        <v>37</v>
      </c>
      <c r="D1079" s="14"/>
      <c r="E1079" s="15"/>
      <c r="F1079" s="16">
        <f t="shared" si="66"/>
        <v>0</v>
      </c>
      <c r="G1079">
        <f t="shared" si="67"/>
        <v>0</v>
      </c>
    </row>
    <row r="1080" spans="1:7" hidden="1" x14ac:dyDescent="0.25">
      <c r="A1080" s="43" t="s">
        <v>2969</v>
      </c>
      <c r="B1080" s="81" t="s">
        <v>3036</v>
      </c>
      <c r="C1080" s="26" t="s">
        <v>37</v>
      </c>
      <c r="D1080" s="14"/>
      <c r="E1080" s="15"/>
      <c r="F1080" s="16">
        <f t="shared" si="66"/>
        <v>0</v>
      </c>
      <c r="G1080">
        <f t="shared" si="67"/>
        <v>0</v>
      </c>
    </row>
    <row r="1081" spans="1:7" hidden="1" x14ac:dyDescent="0.25">
      <c r="A1081" s="43" t="s">
        <v>2970</v>
      </c>
      <c r="B1081" s="81" t="s">
        <v>3037</v>
      </c>
      <c r="C1081" s="26" t="s">
        <v>37</v>
      </c>
      <c r="D1081" s="14"/>
      <c r="E1081" s="15"/>
      <c r="F1081" s="16">
        <f t="shared" si="66"/>
        <v>0</v>
      </c>
      <c r="G1081">
        <f t="shared" si="67"/>
        <v>0</v>
      </c>
    </row>
    <row r="1082" spans="1:7" hidden="1" x14ac:dyDescent="0.25">
      <c r="A1082" s="43" t="s">
        <v>2971</v>
      </c>
      <c r="B1082" s="81" t="s">
        <v>3038</v>
      </c>
      <c r="C1082" s="26" t="s">
        <v>37</v>
      </c>
      <c r="D1082" s="14"/>
      <c r="E1082" s="15"/>
      <c r="F1082" s="16">
        <f t="shared" si="66"/>
        <v>0</v>
      </c>
      <c r="G1082">
        <f t="shared" si="67"/>
        <v>0</v>
      </c>
    </row>
    <row r="1083" spans="1:7" hidden="1" x14ac:dyDescent="0.25">
      <c r="A1083" s="43" t="s">
        <v>2972</v>
      </c>
      <c r="B1083" s="81" t="s">
        <v>3039</v>
      </c>
      <c r="C1083" s="26" t="s">
        <v>37</v>
      </c>
      <c r="D1083" s="14"/>
      <c r="E1083" s="15"/>
      <c r="F1083" s="16">
        <f t="shared" si="66"/>
        <v>0</v>
      </c>
      <c r="G1083">
        <f t="shared" si="67"/>
        <v>0</v>
      </c>
    </row>
    <row r="1084" spans="1:7" hidden="1" x14ac:dyDescent="0.25">
      <c r="A1084" s="43" t="s">
        <v>2973</v>
      </c>
      <c r="B1084" s="81" t="s">
        <v>3040</v>
      </c>
      <c r="C1084" s="26" t="s">
        <v>37</v>
      </c>
      <c r="D1084" s="14"/>
      <c r="E1084" s="15"/>
      <c r="F1084" s="16">
        <f t="shared" si="66"/>
        <v>0</v>
      </c>
      <c r="G1084">
        <f t="shared" si="67"/>
        <v>0</v>
      </c>
    </row>
    <row r="1085" spans="1:7" hidden="1" x14ac:dyDescent="0.25">
      <c r="A1085" s="43" t="s">
        <v>2974</v>
      </c>
      <c r="B1085" s="81" t="s">
        <v>3041</v>
      </c>
      <c r="C1085" s="26" t="s">
        <v>37</v>
      </c>
      <c r="D1085" s="14"/>
      <c r="E1085" s="15"/>
      <c r="F1085" s="16">
        <f t="shared" si="66"/>
        <v>0</v>
      </c>
      <c r="G1085">
        <f t="shared" si="67"/>
        <v>0</v>
      </c>
    </row>
    <row r="1086" spans="1:7" hidden="1" x14ac:dyDescent="0.25">
      <c r="A1086" s="43" t="s">
        <v>2975</v>
      </c>
      <c r="B1086" s="81" t="s">
        <v>3042</v>
      </c>
      <c r="C1086" s="26" t="s">
        <v>37</v>
      </c>
      <c r="D1086" s="14"/>
      <c r="E1086" s="15"/>
      <c r="F1086" s="16">
        <f t="shared" si="66"/>
        <v>0</v>
      </c>
      <c r="G1086">
        <f t="shared" si="67"/>
        <v>0</v>
      </c>
    </row>
    <row r="1087" spans="1:7" hidden="1" x14ac:dyDescent="0.25">
      <c r="A1087" s="43" t="s">
        <v>2976</v>
      </c>
      <c r="B1087" s="81" t="s">
        <v>3044</v>
      </c>
      <c r="C1087" s="26" t="s">
        <v>37</v>
      </c>
      <c r="D1087" s="14"/>
      <c r="E1087" s="15"/>
      <c r="F1087" s="16">
        <f t="shared" si="66"/>
        <v>0</v>
      </c>
      <c r="G1087">
        <f t="shared" si="67"/>
        <v>0</v>
      </c>
    </row>
    <row r="1088" spans="1:7" hidden="1" x14ac:dyDescent="0.25">
      <c r="A1088" s="43" t="s">
        <v>2977</v>
      </c>
      <c r="B1088" s="81" t="s">
        <v>3045</v>
      </c>
      <c r="C1088" s="26" t="s">
        <v>37</v>
      </c>
      <c r="D1088" s="14"/>
      <c r="E1088" s="15"/>
      <c r="F1088" s="16">
        <f t="shared" si="66"/>
        <v>0</v>
      </c>
      <c r="G1088">
        <f t="shared" si="67"/>
        <v>0</v>
      </c>
    </row>
    <row r="1089" spans="1:7" hidden="1" x14ac:dyDescent="0.25">
      <c r="A1089" s="43" t="s">
        <v>2978</v>
      </c>
      <c r="B1089" s="81" t="s">
        <v>3046</v>
      </c>
      <c r="C1089" s="26" t="s">
        <v>37</v>
      </c>
      <c r="D1089" s="14"/>
      <c r="E1089" s="15"/>
      <c r="F1089" s="16">
        <f t="shared" si="66"/>
        <v>0</v>
      </c>
      <c r="G1089">
        <f t="shared" si="67"/>
        <v>0</v>
      </c>
    </row>
    <row r="1090" spans="1:7" hidden="1" x14ac:dyDescent="0.25">
      <c r="A1090" s="43" t="s">
        <v>2979</v>
      </c>
      <c r="B1090" s="81" t="s">
        <v>3047</v>
      </c>
      <c r="C1090" s="26" t="s">
        <v>37</v>
      </c>
      <c r="D1090" s="14"/>
      <c r="E1090" s="15"/>
      <c r="F1090" s="16">
        <f t="shared" si="66"/>
        <v>0</v>
      </c>
      <c r="G1090">
        <f t="shared" si="67"/>
        <v>0</v>
      </c>
    </row>
    <row r="1091" spans="1:7" hidden="1" x14ac:dyDescent="0.25">
      <c r="A1091" s="43" t="s">
        <v>2980</v>
      </c>
      <c r="B1091" s="81" t="s">
        <v>3043</v>
      </c>
      <c r="C1091" s="26" t="s">
        <v>37</v>
      </c>
      <c r="D1091" s="14"/>
      <c r="E1091" s="15"/>
      <c r="F1091" s="16">
        <f t="shared" si="66"/>
        <v>0</v>
      </c>
      <c r="G1091">
        <f t="shared" si="67"/>
        <v>0</v>
      </c>
    </row>
    <row r="1092" spans="1:7" hidden="1" x14ac:dyDescent="0.25">
      <c r="A1092" s="43" t="s">
        <v>2981</v>
      </c>
      <c r="B1092" s="81" t="s">
        <v>2986</v>
      </c>
      <c r="C1092" s="26" t="s">
        <v>37</v>
      </c>
      <c r="D1092" s="14"/>
      <c r="E1092" s="15"/>
      <c r="F1092" s="16">
        <f t="shared" si="66"/>
        <v>0</v>
      </c>
      <c r="G1092">
        <f t="shared" si="67"/>
        <v>0</v>
      </c>
    </row>
    <row r="1093" spans="1:7" x14ac:dyDescent="0.25">
      <c r="A1093" s="44" t="s">
        <v>2983</v>
      </c>
      <c r="B1093" s="80" t="s">
        <v>2984</v>
      </c>
      <c r="C1093" s="26"/>
      <c r="D1093" s="14"/>
      <c r="E1093" s="15"/>
      <c r="F1093" s="16"/>
      <c r="G1093">
        <v>1</v>
      </c>
    </row>
    <row r="1094" spans="1:7" hidden="1" x14ac:dyDescent="0.25">
      <c r="A1094" s="43" t="s">
        <v>2982</v>
      </c>
      <c r="B1094" s="81" t="s">
        <v>2985</v>
      </c>
      <c r="C1094" s="26" t="s">
        <v>37</v>
      </c>
      <c r="D1094" s="14"/>
      <c r="E1094" s="15"/>
      <c r="F1094" s="16">
        <f t="shared" ref="F1094:F1156" si="68">+D1094*E1094</f>
        <v>0</v>
      </c>
      <c r="G1094">
        <f t="shared" si="67"/>
        <v>0</v>
      </c>
    </row>
    <row r="1095" spans="1:7" hidden="1" x14ac:dyDescent="0.25">
      <c r="A1095" s="43" t="s">
        <v>3084</v>
      </c>
      <c r="B1095" s="81" t="s">
        <v>3048</v>
      </c>
      <c r="C1095" s="26" t="s">
        <v>37</v>
      </c>
      <c r="D1095" s="14"/>
      <c r="E1095" s="15"/>
      <c r="F1095" s="16">
        <f t="shared" si="68"/>
        <v>0</v>
      </c>
      <c r="G1095">
        <f t="shared" si="67"/>
        <v>0</v>
      </c>
    </row>
    <row r="1096" spans="1:7" hidden="1" x14ac:dyDescent="0.25">
      <c r="A1096" s="43" t="s">
        <v>3085</v>
      </c>
      <c r="B1096" s="81" t="s">
        <v>3049</v>
      </c>
      <c r="C1096" s="26" t="s">
        <v>37</v>
      </c>
      <c r="D1096" s="14"/>
      <c r="E1096" s="15"/>
      <c r="F1096" s="16">
        <f t="shared" si="68"/>
        <v>0</v>
      </c>
      <c r="G1096">
        <f t="shared" si="67"/>
        <v>0</v>
      </c>
    </row>
    <row r="1097" spans="1:7" hidden="1" x14ac:dyDescent="0.25">
      <c r="A1097" s="43" t="s">
        <v>3086</v>
      </c>
      <c r="B1097" s="81" t="s">
        <v>3050</v>
      </c>
      <c r="C1097" s="26" t="s">
        <v>37</v>
      </c>
      <c r="D1097" s="14"/>
      <c r="E1097" s="15"/>
      <c r="F1097" s="16">
        <f t="shared" si="68"/>
        <v>0</v>
      </c>
      <c r="G1097">
        <f t="shared" si="67"/>
        <v>0</v>
      </c>
    </row>
    <row r="1098" spans="1:7" hidden="1" x14ac:dyDescent="0.25">
      <c r="A1098" s="43" t="s">
        <v>3087</v>
      </c>
      <c r="B1098" s="81" t="s">
        <v>3051</v>
      </c>
      <c r="C1098" s="26" t="s">
        <v>37</v>
      </c>
      <c r="D1098" s="14"/>
      <c r="E1098" s="15"/>
      <c r="F1098" s="16">
        <f t="shared" si="68"/>
        <v>0</v>
      </c>
      <c r="G1098">
        <f t="shared" si="67"/>
        <v>0</v>
      </c>
    </row>
    <row r="1099" spans="1:7" x14ac:dyDescent="0.25">
      <c r="A1099" s="43" t="s">
        <v>3088</v>
      </c>
      <c r="B1099" s="81" t="s">
        <v>3052</v>
      </c>
      <c r="C1099" s="26" t="s">
        <v>37</v>
      </c>
      <c r="D1099" s="14">
        <v>2</v>
      </c>
      <c r="E1099" s="15">
        <f>+SUM!H1097</f>
        <v>591014</v>
      </c>
      <c r="F1099" s="16">
        <f t="shared" si="68"/>
        <v>1182028</v>
      </c>
      <c r="G1099">
        <f t="shared" si="67"/>
        <v>1</v>
      </c>
    </row>
    <row r="1100" spans="1:7" hidden="1" x14ac:dyDescent="0.25">
      <c r="A1100" s="43" t="s">
        <v>3089</v>
      </c>
      <c r="B1100" s="81" t="s">
        <v>3053</v>
      </c>
      <c r="C1100" s="26" t="s">
        <v>37</v>
      </c>
      <c r="D1100" s="14"/>
      <c r="E1100" s="15">
        <f>+SUM!H1098</f>
        <v>591014</v>
      </c>
      <c r="F1100" s="16">
        <f t="shared" si="68"/>
        <v>0</v>
      </c>
      <c r="G1100">
        <f t="shared" si="67"/>
        <v>0</v>
      </c>
    </row>
    <row r="1101" spans="1:7" hidden="1" x14ac:dyDescent="0.25">
      <c r="A1101" s="43" t="s">
        <v>3090</v>
      </c>
      <c r="B1101" s="81" t="s">
        <v>3054</v>
      </c>
      <c r="C1101" s="26" t="s">
        <v>37</v>
      </c>
      <c r="D1101" s="14"/>
      <c r="E1101" s="15">
        <f>+SUM!H1099</f>
        <v>711965</v>
      </c>
      <c r="F1101" s="16">
        <f t="shared" si="68"/>
        <v>0</v>
      </c>
      <c r="G1101">
        <f t="shared" si="67"/>
        <v>0</v>
      </c>
    </row>
    <row r="1102" spans="1:7" hidden="1" x14ac:dyDescent="0.25">
      <c r="A1102" s="43" t="s">
        <v>3091</v>
      </c>
      <c r="B1102" s="81" t="s">
        <v>3055</v>
      </c>
      <c r="C1102" s="26" t="s">
        <v>37</v>
      </c>
      <c r="D1102" s="14"/>
      <c r="E1102" s="15">
        <f>+SUM!H1100</f>
        <v>754573</v>
      </c>
      <c r="F1102" s="16">
        <f t="shared" si="68"/>
        <v>0</v>
      </c>
      <c r="G1102">
        <f t="shared" si="67"/>
        <v>0</v>
      </c>
    </row>
    <row r="1103" spans="1:7" x14ac:dyDescent="0.25">
      <c r="A1103" s="43" t="s">
        <v>3092</v>
      </c>
      <c r="B1103" s="81" t="s">
        <v>3056</v>
      </c>
      <c r="C1103" s="26" t="s">
        <v>37</v>
      </c>
      <c r="D1103" s="14">
        <v>2</v>
      </c>
      <c r="E1103" s="15">
        <f>+SUM!H1101</f>
        <v>831542</v>
      </c>
      <c r="F1103" s="16">
        <f t="shared" si="68"/>
        <v>1663084</v>
      </c>
      <c r="G1103">
        <f t="shared" si="67"/>
        <v>1</v>
      </c>
    </row>
    <row r="1104" spans="1:7" hidden="1" x14ac:dyDescent="0.25">
      <c r="A1104" s="43" t="s">
        <v>3093</v>
      </c>
      <c r="B1104" s="81" t="s">
        <v>3057</v>
      </c>
      <c r="C1104" s="26" t="s">
        <v>37</v>
      </c>
      <c r="D1104" s="14"/>
      <c r="E1104" s="15">
        <f>+SUM!H1102</f>
        <v>853533</v>
      </c>
      <c r="F1104" s="16">
        <f t="shared" si="68"/>
        <v>0</v>
      </c>
      <c r="G1104">
        <f t="shared" si="67"/>
        <v>0</v>
      </c>
    </row>
    <row r="1105" spans="1:7" hidden="1" x14ac:dyDescent="0.25">
      <c r="A1105" s="43" t="s">
        <v>3094</v>
      </c>
      <c r="B1105" s="81" t="s">
        <v>3058</v>
      </c>
      <c r="C1105" s="26" t="s">
        <v>37</v>
      </c>
      <c r="D1105" s="14"/>
      <c r="E1105" s="15">
        <f>+SUM!H1103</f>
        <v>1094062</v>
      </c>
      <c r="F1105" s="16">
        <f t="shared" si="68"/>
        <v>0</v>
      </c>
      <c r="G1105">
        <f t="shared" si="67"/>
        <v>0</v>
      </c>
    </row>
    <row r="1106" spans="1:7" hidden="1" x14ac:dyDescent="0.25">
      <c r="A1106" s="43" t="s">
        <v>3095</v>
      </c>
      <c r="B1106" s="81" t="s">
        <v>3059</v>
      </c>
      <c r="C1106" s="26" t="s">
        <v>37</v>
      </c>
      <c r="D1106" s="14"/>
      <c r="E1106" s="15">
        <f>+SUM!H1104</f>
        <v>1182027</v>
      </c>
      <c r="F1106" s="16">
        <f t="shared" si="68"/>
        <v>0</v>
      </c>
      <c r="G1106">
        <f t="shared" si="67"/>
        <v>0</v>
      </c>
    </row>
    <row r="1107" spans="1:7" hidden="1" x14ac:dyDescent="0.25">
      <c r="A1107" s="43" t="s">
        <v>3096</v>
      </c>
      <c r="B1107" s="81" t="s">
        <v>3060</v>
      </c>
      <c r="C1107" s="26" t="s">
        <v>37</v>
      </c>
      <c r="D1107" s="14"/>
      <c r="E1107" s="15">
        <f>+SUM!H1105</f>
        <v>1268617</v>
      </c>
      <c r="F1107" s="16">
        <f t="shared" si="68"/>
        <v>0</v>
      </c>
      <c r="G1107">
        <f t="shared" si="67"/>
        <v>0</v>
      </c>
    </row>
    <row r="1108" spans="1:7" hidden="1" x14ac:dyDescent="0.25">
      <c r="A1108" s="43" t="s">
        <v>3097</v>
      </c>
      <c r="B1108" s="81" t="s">
        <v>3061</v>
      </c>
      <c r="C1108" s="26" t="s">
        <v>37</v>
      </c>
      <c r="D1108" s="14"/>
      <c r="E1108" s="15">
        <f>+SUM!H1106</f>
        <v>1400565</v>
      </c>
      <c r="F1108" s="16">
        <f t="shared" si="68"/>
        <v>0</v>
      </c>
      <c r="G1108">
        <f t="shared" si="67"/>
        <v>0</v>
      </c>
    </row>
    <row r="1109" spans="1:7" hidden="1" x14ac:dyDescent="0.25">
      <c r="A1109" s="43" t="s">
        <v>3098</v>
      </c>
      <c r="B1109" s="81" t="s">
        <v>3062</v>
      </c>
      <c r="C1109" s="26" t="s">
        <v>37</v>
      </c>
      <c r="D1109" s="14"/>
      <c r="E1109" s="15">
        <f>+SUM!H1107</f>
        <v>1400565</v>
      </c>
      <c r="F1109" s="16">
        <f t="shared" si="68"/>
        <v>0</v>
      </c>
      <c r="G1109">
        <f t="shared" si="67"/>
        <v>0</v>
      </c>
    </row>
    <row r="1110" spans="1:7" hidden="1" x14ac:dyDescent="0.25">
      <c r="A1110" s="43" t="s">
        <v>3099</v>
      </c>
      <c r="B1110" s="81" t="s">
        <v>3063</v>
      </c>
      <c r="C1110" s="26" t="s">
        <v>37</v>
      </c>
      <c r="D1110" s="14"/>
      <c r="E1110" s="15">
        <f>+SUM!H1108</f>
        <v>1770292</v>
      </c>
      <c r="F1110" s="16">
        <f t="shared" si="68"/>
        <v>0</v>
      </c>
      <c r="G1110">
        <f t="shared" si="67"/>
        <v>0</v>
      </c>
    </row>
    <row r="1111" spans="1:7" hidden="1" x14ac:dyDescent="0.25">
      <c r="A1111" s="43" t="s">
        <v>3100</v>
      </c>
      <c r="B1111" s="81" t="s">
        <v>3064</v>
      </c>
      <c r="C1111" s="26" t="s">
        <v>37</v>
      </c>
      <c r="D1111" s="14"/>
      <c r="E1111" s="15">
        <f>+SUM!H1109</f>
        <v>1891243</v>
      </c>
      <c r="F1111" s="16">
        <f t="shared" si="68"/>
        <v>0</v>
      </c>
      <c r="G1111">
        <f t="shared" si="67"/>
        <v>0</v>
      </c>
    </row>
    <row r="1112" spans="1:7" hidden="1" x14ac:dyDescent="0.25">
      <c r="A1112" s="43" t="s">
        <v>3101</v>
      </c>
      <c r="B1112" s="81" t="s">
        <v>3065</v>
      </c>
      <c r="C1112" s="26" t="s">
        <v>37</v>
      </c>
      <c r="D1112" s="14"/>
      <c r="E1112" s="15">
        <f>+SUM!H1110</f>
        <v>2351684</v>
      </c>
      <c r="F1112" s="16">
        <f t="shared" si="68"/>
        <v>0</v>
      </c>
      <c r="G1112">
        <f t="shared" si="67"/>
        <v>0</v>
      </c>
    </row>
    <row r="1113" spans="1:7" hidden="1" x14ac:dyDescent="0.25">
      <c r="A1113" s="43" t="s">
        <v>3102</v>
      </c>
      <c r="B1113" s="81" t="s">
        <v>3066</v>
      </c>
      <c r="C1113" s="26" t="s">
        <v>37</v>
      </c>
      <c r="D1113" s="14"/>
      <c r="E1113" s="15">
        <f>+SUM!H1111</f>
        <v>2351684</v>
      </c>
      <c r="F1113" s="16">
        <f t="shared" si="68"/>
        <v>0</v>
      </c>
      <c r="G1113">
        <f t="shared" si="67"/>
        <v>0</v>
      </c>
    </row>
    <row r="1114" spans="1:7" x14ac:dyDescent="0.25">
      <c r="A1114" s="43" t="s">
        <v>3103</v>
      </c>
      <c r="B1114" s="81" t="s">
        <v>3067</v>
      </c>
      <c r="C1114" s="26" t="s">
        <v>37</v>
      </c>
      <c r="D1114" s="14">
        <v>2</v>
      </c>
      <c r="E1114" s="15">
        <f>+SUM!H1112</f>
        <v>2351684</v>
      </c>
      <c r="F1114" s="16">
        <f t="shared" si="68"/>
        <v>4703368</v>
      </c>
      <c r="G1114">
        <f t="shared" si="67"/>
        <v>1</v>
      </c>
    </row>
    <row r="1115" spans="1:7" hidden="1" x14ac:dyDescent="0.25">
      <c r="A1115" s="43" t="s">
        <v>3104</v>
      </c>
      <c r="B1115" s="81" t="s">
        <v>3068</v>
      </c>
      <c r="C1115" s="26" t="s">
        <v>37</v>
      </c>
      <c r="D1115" s="14"/>
      <c r="E1115" s="15">
        <f>+SUM!H1113</f>
        <v>2401164</v>
      </c>
      <c r="F1115" s="16">
        <f t="shared" si="68"/>
        <v>0</v>
      </c>
      <c r="G1115">
        <f t="shared" si="67"/>
        <v>0</v>
      </c>
    </row>
    <row r="1116" spans="1:7" hidden="1" x14ac:dyDescent="0.25">
      <c r="A1116" s="43" t="s">
        <v>3105</v>
      </c>
      <c r="B1116" s="81" t="s">
        <v>3069</v>
      </c>
      <c r="C1116" s="26" t="s">
        <v>37</v>
      </c>
      <c r="D1116" s="14"/>
      <c r="E1116" s="15"/>
      <c r="F1116" s="16">
        <f t="shared" si="68"/>
        <v>0</v>
      </c>
      <c r="G1116">
        <f t="shared" si="67"/>
        <v>0</v>
      </c>
    </row>
    <row r="1117" spans="1:7" hidden="1" x14ac:dyDescent="0.25">
      <c r="A1117" s="43" t="s">
        <v>3106</v>
      </c>
      <c r="B1117" s="81" t="s">
        <v>3070</v>
      </c>
      <c r="C1117" s="26" t="s">
        <v>37</v>
      </c>
      <c r="D1117" s="14"/>
      <c r="E1117" s="15"/>
      <c r="F1117" s="16">
        <f t="shared" si="68"/>
        <v>0</v>
      </c>
      <c r="G1117">
        <f t="shared" si="67"/>
        <v>0</v>
      </c>
    </row>
    <row r="1118" spans="1:7" hidden="1" x14ac:dyDescent="0.25">
      <c r="A1118" s="43" t="s">
        <v>3107</v>
      </c>
      <c r="B1118" s="81" t="s">
        <v>3071</v>
      </c>
      <c r="C1118" s="26" t="s">
        <v>37</v>
      </c>
      <c r="D1118" s="14"/>
      <c r="E1118" s="15"/>
      <c r="F1118" s="16">
        <f t="shared" si="68"/>
        <v>0</v>
      </c>
      <c r="G1118">
        <f t="shared" si="67"/>
        <v>0</v>
      </c>
    </row>
    <row r="1119" spans="1:7" hidden="1" x14ac:dyDescent="0.25">
      <c r="A1119" s="43" t="s">
        <v>3108</v>
      </c>
      <c r="B1119" s="81" t="s">
        <v>3072</v>
      </c>
      <c r="C1119" s="26" t="s">
        <v>37</v>
      </c>
      <c r="D1119" s="14"/>
      <c r="E1119" s="15"/>
      <c r="F1119" s="16">
        <f t="shared" si="68"/>
        <v>0</v>
      </c>
      <c r="G1119">
        <f t="shared" si="67"/>
        <v>0</v>
      </c>
    </row>
    <row r="1120" spans="1:7" hidden="1" x14ac:dyDescent="0.25">
      <c r="A1120" s="43" t="s">
        <v>3109</v>
      </c>
      <c r="B1120" s="81" t="s">
        <v>3073</v>
      </c>
      <c r="C1120" s="26" t="s">
        <v>37</v>
      </c>
      <c r="D1120" s="14"/>
      <c r="E1120" s="15"/>
      <c r="F1120" s="16">
        <f t="shared" si="68"/>
        <v>0</v>
      </c>
      <c r="G1120">
        <f t="shared" si="67"/>
        <v>0</v>
      </c>
    </row>
    <row r="1121" spans="1:7" hidden="1" x14ac:dyDescent="0.25">
      <c r="A1121" s="43" t="s">
        <v>3110</v>
      </c>
      <c r="B1121" s="81" t="s">
        <v>3074</v>
      </c>
      <c r="C1121" s="26" t="s">
        <v>37</v>
      </c>
      <c r="D1121" s="14"/>
      <c r="E1121" s="15"/>
      <c r="F1121" s="16">
        <f t="shared" si="68"/>
        <v>0</v>
      </c>
      <c r="G1121">
        <f t="shared" si="67"/>
        <v>0</v>
      </c>
    </row>
    <row r="1122" spans="1:7" hidden="1" x14ac:dyDescent="0.25">
      <c r="A1122" s="43" t="s">
        <v>3111</v>
      </c>
      <c r="B1122" s="81" t="s">
        <v>3075</v>
      </c>
      <c r="C1122" s="26" t="s">
        <v>37</v>
      </c>
      <c r="D1122" s="14"/>
      <c r="E1122" s="15"/>
      <c r="F1122" s="16">
        <f t="shared" si="68"/>
        <v>0</v>
      </c>
      <c r="G1122">
        <f t="shared" si="67"/>
        <v>0</v>
      </c>
    </row>
    <row r="1123" spans="1:7" hidden="1" x14ac:dyDescent="0.25">
      <c r="A1123" s="43" t="s">
        <v>3112</v>
      </c>
      <c r="B1123" s="81" t="s">
        <v>3076</v>
      </c>
      <c r="C1123" s="26" t="s">
        <v>37</v>
      </c>
      <c r="D1123" s="14"/>
      <c r="E1123" s="15"/>
      <c r="F1123" s="16">
        <f t="shared" si="68"/>
        <v>0</v>
      </c>
      <c r="G1123">
        <f t="shared" si="67"/>
        <v>0</v>
      </c>
    </row>
    <row r="1124" spans="1:7" hidden="1" x14ac:dyDescent="0.25">
      <c r="A1124" s="43" t="s">
        <v>3113</v>
      </c>
      <c r="B1124" s="81" t="s">
        <v>3077</v>
      </c>
      <c r="C1124" s="26" t="s">
        <v>37</v>
      </c>
      <c r="D1124" s="14"/>
      <c r="E1124" s="15"/>
      <c r="F1124" s="16">
        <f t="shared" si="68"/>
        <v>0</v>
      </c>
      <c r="G1124">
        <f t="shared" ref="G1124:G1187" si="69">+IF(F1124&lt;&gt;0,1,0)</f>
        <v>0</v>
      </c>
    </row>
    <row r="1125" spans="1:7" hidden="1" x14ac:dyDescent="0.25">
      <c r="A1125" s="43" t="s">
        <v>3114</v>
      </c>
      <c r="B1125" s="81" t="s">
        <v>3078</v>
      </c>
      <c r="C1125" s="26" t="s">
        <v>37</v>
      </c>
      <c r="D1125" s="14"/>
      <c r="E1125" s="15"/>
      <c r="F1125" s="16">
        <f t="shared" si="68"/>
        <v>0</v>
      </c>
      <c r="G1125">
        <f t="shared" si="69"/>
        <v>0</v>
      </c>
    </row>
    <row r="1126" spans="1:7" hidden="1" x14ac:dyDescent="0.25">
      <c r="A1126" s="43" t="s">
        <v>3115</v>
      </c>
      <c r="B1126" s="81" t="s">
        <v>3079</v>
      </c>
      <c r="C1126" s="26" t="s">
        <v>37</v>
      </c>
      <c r="D1126" s="14"/>
      <c r="E1126" s="15"/>
      <c r="F1126" s="16">
        <f t="shared" si="68"/>
        <v>0</v>
      </c>
      <c r="G1126">
        <f t="shared" si="69"/>
        <v>0</v>
      </c>
    </row>
    <row r="1127" spans="1:7" hidden="1" x14ac:dyDescent="0.25">
      <c r="A1127" s="43" t="s">
        <v>3116</v>
      </c>
      <c r="B1127" s="81" t="s">
        <v>3080</v>
      </c>
      <c r="C1127" s="26" t="s">
        <v>37</v>
      </c>
      <c r="D1127" s="14"/>
      <c r="E1127" s="15"/>
      <c r="F1127" s="16">
        <f t="shared" si="68"/>
        <v>0</v>
      </c>
      <c r="G1127">
        <f t="shared" si="69"/>
        <v>0</v>
      </c>
    </row>
    <row r="1128" spans="1:7" hidden="1" x14ac:dyDescent="0.25">
      <c r="A1128" s="43" t="s">
        <v>3117</v>
      </c>
      <c r="B1128" s="81" t="s">
        <v>3081</v>
      </c>
      <c r="C1128" s="26" t="s">
        <v>37</v>
      </c>
      <c r="D1128" s="14"/>
      <c r="E1128" s="15"/>
      <c r="F1128" s="16">
        <f t="shared" si="68"/>
        <v>0</v>
      </c>
      <c r="G1128">
        <f t="shared" si="69"/>
        <v>0</v>
      </c>
    </row>
    <row r="1129" spans="1:7" hidden="1" x14ac:dyDescent="0.25">
      <c r="A1129" s="43" t="s">
        <v>3118</v>
      </c>
      <c r="B1129" s="81" t="s">
        <v>3082</v>
      </c>
      <c r="C1129" s="26" t="s">
        <v>37</v>
      </c>
      <c r="D1129" s="14"/>
      <c r="E1129" s="15"/>
      <c r="F1129" s="16">
        <f t="shared" si="68"/>
        <v>0</v>
      </c>
      <c r="G1129">
        <f t="shared" si="69"/>
        <v>0</v>
      </c>
    </row>
    <row r="1130" spans="1:7" hidden="1" x14ac:dyDescent="0.25">
      <c r="A1130" s="43" t="s">
        <v>3119</v>
      </c>
      <c r="B1130" s="81" t="s">
        <v>3083</v>
      </c>
      <c r="C1130" s="26" t="s">
        <v>37</v>
      </c>
      <c r="D1130" s="14"/>
      <c r="E1130" s="15"/>
      <c r="F1130" s="16">
        <f t="shared" si="68"/>
        <v>0</v>
      </c>
      <c r="G1130">
        <f t="shared" si="69"/>
        <v>0</v>
      </c>
    </row>
    <row r="1131" spans="1:7" hidden="1" x14ac:dyDescent="0.25">
      <c r="A1131" s="43" t="s">
        <v>3120</v>
      </c>
      <c r="B1131" s="81" t="s">
        <v>3148</v>
      </c>
      <c r="C1131" s="26" t="s">
        <v>37</v>
      </c>
      <c r="D1131" s="14"/>
      <c r="E1131" s="15"/>
      <c r="F1131" s="16">
        <f t="shared" si="68"/>
        <v>0</v>
      </c>
      <c r="G1131">
        <f t="shared" si="69"/>
        <v>0</v>
      </c>
    </row>
    <row r="1132" spans="1:7" hidden="1" x14ac:dyDescent="0.25">
      <c r="A1132" s="43" t="s">
        <v>3121</v>
      </c>
      <c r="B1132" s="81" t="s">
        <v>3149</v>
      </c>
      <c r="C1132" s="26" t="s">
        <v>37</v>
      </c>
      <c r="D1132" s="14"/>
      <c r="E1132" s="15"/>
      <c r="F1132" s="16">
        <f t="shared" si="68"/>
        <v>0</v>
      </c>
      <c r="G1132">
        <f t="shared" si="69"/>
        <v>0</v>
      </c>
    </row>
    <row r="1133" spans="1:7" hidden="1" x14ac:dyDescent="0.25">
      <c r="A1133" s="43" t="s">
        <v>3122</v>
      </c>
      <c r="B1133" s="81" t="s">
        <v>3150</v>
      </c>
      <c r="C1133" s="26" t="s">
        <v>37</v>
      </c>
      <c r="D1133" s="14"/>
      <c r="E1133" s="15"/>
      <c r="F1133" s="16">
        <f t="shared" si="68"/>
        <v>0</v>
      </c>
      <c r="G1133">
        <f t="shared" si="69"/>
        <v>0</v>
      </c>
    </row>
    <row r="1134" spans="1:7" hidden="1" x14ac:dyDescent="0.25">
      <c r="A1134" s="43" t="s">
        <v>3123</v>
      </c>
      <c r="B1134" s="81" t="s">
        <v>3151</v>
      </c>
      <c r="C1134" s="26" t="s">
        <v>37</v>
      </c>
      <c r="D1134" s="14"/>
      <c r="E1134" s="15"/>
      <c r="F1134" s="16">
        <f t="shared" si="68"/>
        <v>0</v>
      </c>
      <c r="G1134">
        <f t="shared" si="69"/>
        <v>0</v>
      </c>
    </row>
    <row r="1135" spans="1:7" hidden="1" x14ac:dyDescent="0.25">
      <c r="A1135" s="43" t="s">
        <v>3124</v>
      </c>
      <c r="B1135" s="81" t="s">
        <v>3152</v>
      </c>
      <c r="C1135" s="26" t="s">
        <v>37</v>
      </c>
      <c r="D1135" s="14"/>
      <c r="E1135" s="15"/>
      <c r="F1135" s="16">
        <f t="shared" si="68"/>
        <v>0</v>
      </c>
      <c r="G1135">
        <f t="shared" si="69"/>
        <v>0</v>
      </c>
    </row>
    <row r="1136" spans="1:7" hidden="1" x14ac:dyDescent="0.25">
      <c r="A1136" s="43" t="s">
        <v>3125</v>
      </c>
      <c r="B1136" s="81" t="s">
        <v>3153</v>
      </c>
      <c r="C1136" s="26" t="s">
        <v>37</v>
      </c>
      <c r="D1136" s="14"/>
      <c r="E1136" s="15"/>
      <c r="F1136" s="16">
        <f t="shared" si="68"/>
        <v>0</v>
      </c>
      <c r="G1136">
        <f t="shared" si="69"/>
        <v>0</v>
      </c>
    </row>
    <row r="1137" spans="1:7" hidden="1" x14ac:dyDescent="0.25">
      <c r="A1137" s="43" t="s">
        <v>3126</v>
      </c>
      <c r="B1137" s="81" t="s">
        <v>3167</v>
      </c>
      <c r="C1137" s="26" t="s">
        <v>37</v>
      </c>
      <c r="D1137" s="14"/>
      <c r="E1137" s="15"/>
      <c r="F1137" s="16">
        <f t="shared" si="68"/>
        <v>0</v>
      </c>
      <c r="G1137">
        <f t="shared" si="69"/>
        <v>0</v>
      </c>
    </row>
    <row r="1138" spans="1:7" hidden="1" x14ac:dyDescent="0.25">
      <c r="A1138" s="43" t="s">
        <v>3127</v>
      </c>
      <c r="B1138" s="81" t="s">
        <v>3168</v>
      </c>
      <c r="C1138" s="26" t="s">
        <v>37</v>
      </c>
      <c r="D1138" s="14"/>
      <c r="E1138" s="15"/>
      <c r="F1138" s="16">
        <f t="shared" si="68"/>
        <v>0</v>
      </c>
      <c r="G1138">
        <f t="shared" si="69"/>
        <v>0</v>
      </c>
    </row>
    <row r="1139" spans="1:7" hidden="1" x14ac:dyDescent="0.25">
      <c r="A1139" s="43" t="s">
        <v>3128</v>
      </c>
      <c r="B1139" s="81" t="s">
        <v>3169</v>
      </c>
      <c r="C1139" s="26" t="s">
        <v>37</v>
      </c>
      <c r="D1139" s="14"/>
      <c r="E1139" s="15"/>
      <c r="F1139" s="16">
        <f t="shared" si="68"/>
        <v>0</v>
      </c>
      <c r="G1139">
        <f t="shared" si="69"/>
        <v>0</v>
      </c>
    </row>
    <row r="1140" spans="1:7" hidden="1" x14ac:dyDescent="0.25">
      <c r="A1140" s="43" t="s">
        <v>3129</v>
      </c>
      <c r="B1140" s="81" t="s">
        <v>3170</v>
      </c>
      <c r="C1140" s="26" t="s">
        <v>37</v>
      </c>
      <c r="D1140" s="14"/>
      <c r="E1140" s="15"/>
      <c r="F1140" s="16">
        <f t="shared" si="68"/>
        <v>0</v>
      </c>
      <c r="G1140">
        <f t="shared" si="69"/>
        <v>0</v>
      </c>
    </row>
    <row r="1141" spans="1:7" hidden="1" x14ac:dyDescent="0.25">
      <c r="A1141" s="43" t="s">
        <v>3130</v>
      </c>
      <c r="B1141" s="81" t="s">
        <v>3171</v>
      </c>
      <c r="C1141" s="26" t="s">
        <v>37</v>
      </c>
      <c r="D1141" s="14"/>
      <c r="E1141" s="15"/>
      <c r="F1141" s="16">
        <f t="shared" si="68"/>
        <v>0</v>
      </c>
      <c r="G1141">
        <f t="shared" si="69"/>
        <v>0</v>
      </c>
    </row>
    <row r="1142" spans="1:7" hidden="1" x14ac:dyDescent="0.25">
      <c r="A1142" s="43" t="s">
        <v>3131</v>
      </c>
      <c r="B1142" s="81" t="s">
        <v>3160</v>
      </c>
      <c r="C1142" s="26" t="s">
        <v>37</v>
      </c>
      <c r="D1142" s="14"/>
      <c r="E1142" s="15"/>
      <c r="F1142" s="16">
        <f t="shared" si="68"/>
        <v>0</v>
      </c>
      <c r="G1142">
        <f t="shared" si="69"/>
        <v>0</v>
      </c>
    </row>
    <row r="1143" spans="1:7" hidden="1" x14ac:dyDescent="0.25">
      <c r="A1143" s="43" t="s">
        <v>3132</v>
      </c>
      <c r="B1143" s="81" t="s">
        <v>3161</v>
      </c>
      <c r="C1143" s="26" t="s">
        <v>37</v>
      </c>
      <c r="D1143" s="14"/>
      <c r="E1143" s="15"/>
      <c r="F1143" s="16">
        <f t="shared" si="68"/>
        <v>0</v>
      </c>
      <c r="G1143">
        <f t="shared" si="69"/>
        <v>0</v>
      </c>
    </row>
    <row r="1144" spans="1:7" hidden="1" x14ac:dyDescent="0.25">
      <c r="A1144" s="43" t="s">
        <v>3133</v>
      </c>
      <c r="B1144" s="81" t="s">
        <v>3162</v>
      </c>
      <c r="C1144" s="26" t="s">
        <v>37</v>
      </c>
      <c r="D1144" s="14"/>
      <c r="E1144" s="15"/>
      <c r="F1144" s="16">
        <f t="shared" si="68"/>
        <v>0</v>
      </c>
      <c r="G1144">
        <f t="shared" si="69"/>
        <v>0</v>
      </c>
    </row>
    <row r="1145" spans="1:7" hidden="1" x14ac:dyDescent="0.25">
      <c r="A1145" s="43" t="s">
        <v>3134</v>
      </c>
      <c r="B1145" s="81" t="s">
        <v>3163</v>
      </c>
      <c r="C1145" s="26" t="s">
        <v>37</v>
      </c>
      <c r="D1145" s="14"/>
      <c r="E1145" s="15"/>
      <c r="F1145" s="16">
        <f t="shared" si="68"/>
        <v>0</v>
      </c>
      <c r="G1145">
        <f t="shared" si="69"/>
        <v>0</v>
      </c>
    </row>
    <row r="1146" spans="1:7" hidden="1" x14ac:dyDescent="0.25">
      <c r="A1146" s="43" t="s">
        <v>3135</v>
      </c>
      <c r="B1146" s="81" t="s">
        <v>3164</v>
      </c>
      <c r="C1146" s="26" t="s">
        <v>37</v>
      </c>
      <c r="D1146" s="14"/>
      <c r="E1146" s="15"/>
      <c r="F1146" s="16">
        <f t="shared" si="68"/>
        <v>0</v>
      </c>
      <c r="G1146">
        <f t="shared" si="69"/>
        <v>0</v>
      </c>
    </row>
    <row r="1147" spans="1:7" hidden="1" x14ac:dyDescent="0.25">
      <c r="A1147" s="43" t="s">
        <v>3136</v>
      </c>
      <c r="B1147" s="81" t="s">
        <v>3165</v>
      </c>
      <c r="C1147" s="26" t="s">
        <v>37</v>
      </c>
      <c r="D1147" s="14"/>
      <c r="E1147" s="15"/>
      <c r="F1147" s="16">
        <f t="shared" si="68"/>
        <v>0</v>
      </c>
      <c r="G1147">
        <f t="shared" si="69"/>
        <v>0</v>
      </c>
    </row>
    <row r="1148" spans="1:7" hidden="1" x14ac:dyDescent="0.25">
      <c r="A1148" s="43" t="s">
        <v>3137</v>
      </c>
      <c r="B1148" s="81" t="s">
        <v>3166</v>
      </c>
      <c r="C1148" s="26" t="s">
        <v>37</v>
      </c>
      <c r="D1148" s="14"/>
      <c r="E1148" s="15"/>
      <c r="F1148" s="16">
        <f t="shared" si="68"/>
        <v>0</v>
      </c>
      <c r="G1148">
        <f t="shared" si="69"/>
        <v>0</v>
      </c>
    </row>
    <row r="1149" spans="1:7" hidden="1" x14ac:dyDescent="0.25">
      <c r="A1149" s="43" t="s">
        <v>3138</v>
      </c>
      <c r="B1149" s="81" t="s">
        <v>3154</v>
      </c>
      <c r="C1149" s="26" t="s">
        <v>37</v>
      </c>
      <c r="D1149" s="14"/>
      <c r="E1149" s="15"/>
      <c r="F1149" s="16">
        <f t="shared" si="68"/>
        <v>0</v>
      </c>
      <c r="G1149">
        <f t="shared" si="69"/>
        <v>0</v>
      </c>
    </row>
    <row r="1150" spans="1:7" hidden="1" x14ac:dyDescent="0.25">
      <c r="A1150" s="43" t="s">
        <v>3139</v>
      </c>
      <c r="B1150" s="81" t="s">
        <v>3155</v>
      </c>
      <c r="C1150" s="26" t="s">
        <v>37</v>
      </c>
      <c r="D1150" s="14"/>
      <c r="E1150" s="15"/>
      <c r="F1150" s="16">
        <f t="shared" si="68"/>
        <v>0</v>
      </c>
      <c r="G1150">
        <f t="shared" si="69"/>
        <v>0</v>
      </c>
    </row>
    <row r="1151" spans="1:7" hidden="1" x14ac:dyDescent="0.25">
      <c r="A1151" s="43" t="s">
        <v>3140</v>
      </c>
      <c r="B1151" s="81" t="s">
        <v>3156</v>
      </c>
      <c r="C1151" s="26" t="s">
        <v>37</v>
      </c>
      <c r="D1151" s="14"/>
      <c r="E1151" s="15"/>
      <c r="F1151" s="16">
        <f t="shared" si="68"/>
        <v>0</v>
      </c>
      <c r="G1151">
        <f t="shared" si="69"/>
        <v>0</v>
      </c>
    </row>
    <row r="1152" spans="1:7" hidden="1" x14ac:dyDescent="0.25">
      <c r="A1152" s="43" t="s">
        <v>3141</v>
      </c>
      <c r="B1152" s="81" t="s">
        <v>3157</v>
      </c>
      <c r="C1152" s="26" t="s">
        <v>37</v>
      </c>
      <c r="D1152" s="14"/>
      <c r="E1152" s="15"/>
      <c r="F1152" s="16">
        <f t="shared" si="68"/>
        <v>0</v>
      </c>
      <c r="G1152">
        <f t="shared" si="69"/>
        <v>0</v>
      </c>
    </row>
    <row r="1153" spans="1:7" hidden="1" x14ac:dyDescent="0.25">
      <c r="A1153" s="43" t="s">
        <v>3142</v>
      </c>
      <c r="B1153" s="81" t="s">
        <v>3158</v>
      </c>
      <c r="C1153" s="26" t="s">
        <v>37</v>
      </c>
      <c r="D1153" s="14"/>
      <c r="E1153" s="15"/>
      <c r="F1153" s="16">
        <f t="shared" si="68"/>
        <v>0</v>
      </c>
      <c r="G1153">
        <f t="shared" si="69"/>
        <v>0</v>
      </c>
    </row>
    <row r="1154" spans="1:7" hidden="1" x14ac:dyDescent="0.25">
      <c r="A1154" s="43" t="s">
        <v>3143</v>
      </c>
      <c r="B1154" s="81" t="s">
        <v>3159</v>
      </c>
      <c r="C1154" s="26" t="s">
        <v>37</v>
      </c>
      <c r="D1154" s="14"/>
      <c r="E1154" s="15"/>
      <c r="F1154" s="16">
        <f t="shared" si="68"/>
        <v>0</v>
      </c>
      <c r="G1154">
        <f t="shared" si="69"/>
        <v>0</v>
      </c>
    </row>
    <row r="1155" spans="1:7" hidden="1" x14ac:dyDescent="0.25">
      <c r="A1155" s="43" t="s">
        <v>3144</v>
      </c>
      <c r="B1155" s="81" t="s">
        <v>3146</v>
      </c>
      <c r="C1155" s="26" t="s">
        <v>37</v>
      </c>
      <c r="D1155" s="14"/>
      <c r="E1155" s="15"/>
      <c r="F1155" s="16">
        <f t="shared" si="68"/>
        <v>0</v>
      </c>
      <c r="G1155">
        <f t="shared" si="69"/>
        <v>0</v>
      </c>
    </row>
    <row r="1156" spans="1:7" hidden="1" x14ac:dyDescent="0.25">
      <c r="A1156" s="43" t="s">
        <v>3145</v>
      </c>
      <c r="B1156" s="81" t="s">
        <v>3147</v>
      </c>
      <c r="C1156" s="26" t="s">
        <v>37</v>
      </c>
      <c r="D1156" s="14"/>
      <c r="E1156" s="15"/>
      <c r="F1156" s="16">
        <f t="shared" si="68"/>
        <v>0</v>
      </c>
      <c r="G1156">
        <f t="shared" si="69"/>
        <v>0</v>
      </c>
    </row>
    <row r="1157" spans="1:7" x14ac:dyDescent="0.25">
      <c r="A1157" s="44" t="s">
        <v>3172</v>
      </c>
      <c r="B1157" s="80" t="s">
        <v>974</v>
      </c>
      <c r="C1157" s="26" t="s">
        <v>37</v>
      </c>
      <c r="D1157" s="14"/>
      <c r="E1157" s="15"/>
      <c r="F1157" s="16"/>
      <c r="G1157">
        <v>1</v>
      </c>
    </row>
    <row r="1158" spans="1:7" hidden="1" x14ac:dyDescent="0.25">
      <c r="A1158" s="44" t="s">
        <v>3173</v>
      </c>
      <c r="B1158" s="80" t="s">
        <v>3174</v>
      </c>
      <c r="C1158" s="26" t="s">
        <v>37</v>
      </c>
      <c r="D1158" s="14"/>
      <c r="E1158" s="15"/>
      <c r="F1158" s="16"/>
      <c r="G1158">
        <f t="shared" si="69"/>
        <v>0</v>
      </c>
    </row>
    <row r="1159" spans="1:7" hidden="1" x14ac:dyDescent="0.25">
      <c r="A1159" s="43" t="s">
        <v>3226</v>
      </c>
      <c r="B1159" s="81" t="s">
        <v>3175</v>
      </c>
      <c r="C1159" s="26" t="s">
        <v>37</v>
      </c>
      <c r="D1159" s="14"/>
      <c r="E1159" s="15"/>
      <c r="F1159" s="16">
        <f t="shared" ref="F1159:F1209" si="70">+D1159*E1159</f>
        <v>0</v>
      </c>
      <c r="G1159">
        <f t="shared" si="69"/>
        <v>0</v>
      </c>
    </row>
    <row r="1160" spans="1:7" hidden="1" x14ac:dyDescent="0.25">
      <c r="A1160" s="43" t="s">
        <v>3227</v>
      </c>
      <c r="B1160" s="81" t="s">
        <v>3176</v>
      </c>
      <c r="C1160" s="26" t="s">
        <v>37</v>
      </c>
      <c r="D1160" s="14"/>
      <c r="E1160" s="15"/>
      <c r="F1160" s="16">
        <f t="shared" si="70"/>
        <v>0</v>
      </c>
      <c r="G1160">
        <f t="shared" si="69"/>
        <v>0</v>
      </c>
    </row>
    <row r="1161" spans="1:7" hidden="1" x14ac:dyDescent="0.25">
      <c r="A1161" s="43" t="s">
        <v>3228</v>
      </c>
      <c r="B1161" s="81" t="s">
        <v>3177</v>
      </c>
      <c r="C1161" s="26" t="s">
        <v>37</v>
      </c>
      <c r="D1161" s="14"/>
      <c r="E1161" s="15"/>
      <c r="F1161" s="16">
        <f t="shared" si="70"/>
        <v>0</v>
      </c>
      <c r="G1161">
        <f t="shared" si="69"/>
        <v>0</v>
      </c>
    </row>
    <row r="1162" spans="1:7" hidden="1" x14ac:dyDescent="0.25">
      <c r="A1162" s="43" t="s">
        <v>3229</v>
      </c>
      <c r="B1162" s="81" t="s">
        <v>3178</v>
      </c>
      <c r="C1162" s="26" t="s">
        <v>37</v>
      </c>
      <c r="D1162" s="14"/>
      <c r="E1162" s="15"/>
      <c r="F1162" s="16">
        <f t="shared" si="70"/>
        <v>0</v>
      </c>
      <c r="G1162">
        <f t="shared" si="69"/>
        <v>0</v>
      </c>
    </row>
    <row r="1163" spans="1:7" hidden="1" x14ac:dyDescent="0.25">
      <c r="A1163" s="43" t="s">
        <v>3230</v>
      </c>
      <c r="B1163" s="81" t="s">
        <v>3179</v>
      </c>
      <c r="C1163" s="26" t="s">
        <v>37</v>
      </c>
      <c r="D1163" s="14"/>
      <c r="E1163" s="15"/>
      <c r="F1163" s="16">
        <f t="shared" si="70"/>
        <v>0</v>
      </c>
      <c r="G1163">
        <f t="shared" si="69"/>
        <v>0</v>
      </c>
    </row>
    <row r="1164" spans="1:7" hidden="1" x14ac:dyDescent="0.25">
      <c r="A1164" s="43" t="s">
        <v>3231</v>
      </c>
      <c r="B1164" s="81" t="s">
        <v>3180</v>
      </c>
      <c r="C1164" s="26" t="s">
        <v>37</v>
      </c>
      <c r="D1164" s="14"/>
      <c r="E1164" s="15"/>
      <c r="F1164" s="16">
        <f t="shared" si="70"/>
        <v>0</v>
      </c>
      <c r="G1164">
        <f t="shared" si="69"/>
        <v>0</v>
      </c>
    </row>
    <row r="1165" spans="1:7" hidden="1" x14ac:dyDescent="0.25">
      <c r="A1165" s="43" t="s">
        <v>3232</v>
      </c>
      <c r="B1165" s="81" t="s">
        <v>3181</v>
      </c>
      <c r="C1165" s="26" t="s">
        <v>37</v>
      </c>
      <c r="D1165" s="14"/>
      <c r="E1165" s="15"/>
      <c r="F1165" s="16">
        <f t="shared" si="70"/>
        <v>0</v>
      </c>
      <c r="G1165">
        <f t="shared" si="69"/>
        <v>0</v>
      </c>
    </row>
    <row r="1166" spans="1:7" hidden="1" x14ac:dyDescent="0.25">
      <c r="A1166" s="43" t="s">
        <v>3233</v>
      </c>
      <c r="B1166" s="81" t="s">
        <v>3182</v>
      </c>
      <c r="C1166" s="26" t="s">
        <v>37</v>
      </c>
      <c r="D1166" s="14"/>
      <c r="E1166" s="15"/>
      <c r="F1166" s="16">
        <f t="shared" si="70"/>
        <v>0</v>
      </c>
      <c r="G1166">
        <f t="shared" si="69"/>
        <v>0</v>
      </c>
    </row>
    <row r="1167" spans="1:7" hidden="1" x14ac:dyDescent="0.25">
      <c r="A1167" s="43" t="s">
        <v>3234</v>
      </c>
      <c r="B1167" s="81" t="s">
        <v>3183</v>
      </c>
      <c r="C1167" s="26" t="s">
        <v>37</v>
      </c>
      <c r="D1167" s="14"/>
      <c r="E1167" s="15"/>
      <c r="F1167" s="16">
        <f t="shared" si="70"/>
        <v>0</v>
      </c>
      <c r="G1167">
        <f t="shared" si="69"/>
        <v>0</v>
      </c>
    </row>
    <row r="1168" spans="1:7" hidden="1" x14ac:dyDescent="0.25">
      <c r="A1168" s="43" t="s">
        <v>3235</v>
      </c>
      <c r="B1168" s="81" t="s">
        <v>3184</v>
      </c>
      <c r="C1168" s="26" t="s">
        <v>37</v>
      </c>
      <c r="D1168" s="14"/>
      <c r="E1168" s="15"/>
      <c r="F1168" s="16">
        <f t="shared" si="70"/>
        <v>0</v>
      </c>
      <c r="G1168">
        <f t="shared" si="69"/>
        <v>0</v>
      </c>
    </row>
    <row r="1169" spans="1:7" hidden="1" x14ac:dyDescent="0.25">
      <c r="A1169" s="43" t="s">
        <v>3236</v>
      </c>
      <c r="B1169" s="81" t="s">
        <v>3185</v>
      </c>
      <c r="C1169" s="26" t="s">
        <v>37</v>
      </c>
      <c r="D1169" s="14"/>
      <c r="E1169" s="15"/>
      <c r="F1169" s="16">
        <f t="shared" si="70"/>
        <v>0</v>
      </c>
      <c r="G1169">
        <f t="shared" si="69"/>
        <v>0</v>
      </c>
    </row>
    <row r="1170" spans="1:7" hidden="1" x14ac:dyDescent="0.25">
      <c r="A1170" s="43" t="s">
        <v>3237</v>
      </c>
      <c r="B1170" s="81" t="s">
        <v>3186</v>
      </c>
      <c r="C1170" s="26" t="s">
        <v>37</v>
      </c>
      <c r="D1170" s="14"/>
      <c r="E1170" s="15"/>
      <c r="F1170" s="16">
        <f t="shared" si="70"/>
        <v>0</v>
      </c>
      <c r="G1170">
        <f t="shared" si="69"/>
        <v>0</v>
      </c>
    </row>
    <row r="1171" spans="1:7" hidden="1" x14ac:dyDescent="0.25">
      <c r="A1171" s="43" t="s">
        <v>3238</v>
      </c>
      <c r="B1171" s="81" t="s">
        <v>3187</v>
      </c>
      <c r="C1171" s="26" t="s">
        <v>37</v>
      </c>
      <c r="D1171" s="14"/>
      <c r="E1171" s="15"/>
      <c r="F1171" s="16">
        <f t="shared" si="70"/>
        <v>0</v>
      </c>
      <c r="G1171">
        <f t="shared" si="69"/>
        <v>0</v>
      </c>
    </row>
    <row r="1172" spans="1:7" hidden="1" x14ac:dyDescent="0.25">
      <c r="A1172" s="43" t="s">
        <v>3239</v>
      </c>
      <c r="B1172" s="81" t="s">
        <v>3188</v>
      </c>
      <c r="C1172" s="26" t="s">
        <v>37</v>
      </c>
      <c r="D1172" s="14"/>
      <c r="E1172" s="15"/>
      <c r="F1172" s="16">
        <f t="shared" si="70"/>
        <v>0</v>
      </c>
      <c r="G1172">
        <f t="shared" si="69"/>
        <v>0</v>
      </c>
    </row>
    <row r="1173" spans="1:7" hidden="1" x14ac:dyDescent="0.25">
      <c r="A1173" s="43" t="s">
        <v>3240</v>
      </c>
      <c r="B1173" s="81" t="s">
        <v>3189</v>
      </c>
      <c r="C1173" s="26" t="s">
        <v>37</v>
      </c>
      <c r="D1173" s="14"/>
      <c r="E1173" s="15"/>
      <c r="F1173" s="16">
        <f t="shared" si="70"/>
        <v>0</v>
      </c>
      <c r="G1173">
        <f t="shared" si="69"/>
        <v>0</v>
      </c>
    </row>
    <row r="1174" spans="1:7" hidden="1" x14ac:dyDescent="0.25">
      <c r="A1174" s="43" t="s">
        <v>3241</v>
      </c>
      <c r="B1174" s="81" t="s">
        <v>3190</v>
      </c>
      <c r="C1174" s="26" t="s">
        <v>37</v>
      </c>
      <c r="D1174" s="14"/>
      <c r="E1174" s="15"/>
      <c r="F1174" s="16">
        <f t="shared" si="70"/>
        <v>0</v>
      </c>
      <c r="G1174">
        <f t="shared" si="69"/>
        <v>0</v>
      </c>
    </row>
    <row r="1175" spans="1:7" hidden="1" x14ac:dyDescent="0.25">
      <c r="A1175" s="43" t="s">
        <v>3242</v>
      </c>
      <c r="B1175" s="81" t="s">
        <v>3191</v>
      </c>
      <c r="C1175" s="26" t="s">
        <v>37</v>
      </c>
      <c r="D1175" s="14"/>
      <c r="E1175" s="15"/>
      <c r="F1175" s="16">
        <f t="shared" si="70"/>
        <v>0</v>
      </c>
      <c r="G1175">
        <f t="shared" si="69"/>
        <v>0</v>
      </c>
    </row>
    <row r="1176" spans="1:7" hidden="1" x14ac:dyDescent="0.25">
      <c r="A1176" s="43" t="s">
        <v>3243</v>
      </c>
      <c r="B1176" s="81" t="s">
        <v>3192</v>
      </c>
      <c r="C1176" s="26" t="s">
        <v>37</v>
      </c>
      <c r="D1176" s="14"/>
      <c r="E1176" s="15"/>
      <c r="F1176" s="16">
        <f t="shared" si="70"/>
        <v>0</v>
      </c>
      <c r="G1176">
        <f t="shared" si="69"/>
        <v>0</v>
      </c>
    </row>
    <row r="1177" spans="1:7" hidden="1" x14ac:dyDescent="0.25">
      <c r="A1177" s="43" t="s">
        <v>3244</v>
      </c>
      <c r="B1177" s="81" t="s">
        <v>3193</v>
      </c>
      <c r="C1177" s="26" t="s">
        <v>37</v>
      </c>
      <c r="D1177" s="14"/>
      <c r="E1177" s="15"/>
      <c r="F1177" s="16">
        <f t="shared" si="70"/>
        <v>0</v>
      </c>
      <c r="G1177">
        <f t="shared" si="69"/>
        <v>0</v>
      </c>
    </row>
    <row r="1178" spans="1:7" hidden="1" x14ac:dyDescent="0.25">
      <c r="A1178" s="43" t="s">
        <v>3245</v>
      </c>
      <c r="B1178" s="81" t="s">
        <v>3194</v>
      </c>
      <c r="C1178" s="26" t="s">
        <v>37</v>
      </c>
      <c r="D1178" s="14"/>
      <c r="E1178" s="15"/>
      <c r="F1178" s="16">
        <f t="shared" si="70"/>
        <v>0</v>
      </c>
      <c r="G1178">
        <f t="shared" si="69"/>
        <v>0</v>
      </c>
    </row>
    <row r="1179" spans="1:7" hidden="1" x14ac:dyDescent="0.25">
      <c r="A1179" s="43" t="s">
        <v>3246</v>
      </c>
      <c r="B1179" s="81" t="s">
        <v>3195</v>
      </c>
      <c r="C1179" s="26" t="s">
        <v>37</v>
      </c>
      <c r="D1179" s="14"/>
      <c r="E1179" s="15"/>
      <c r="F1179" s="16">
        <f t="shared" si="70"/>
        <v>0</v>
      </c>
      <c r="G1179">
        <f t="shared" si="69"/>
        <v>0</v>
      </c>
    </row>
    <row r="1180" spans="1:7" hidden="1" x14ac:dyDescent="0.25">
      <c r="A1180" s="43" t="s">
        <v>3247</v>
      </c>
      <c r="B1180" s="81" t="s">
        <v>3196</v>
      </c>
      <c r="C1180" s="26" t="s">
        <v>37</v>
      </c>
      <c r="D1180" s="14"/>
      <c r="E1180" s="15"/>
      <c r="F1180" s="16">
        <f t="shared" si="70"/>
        <v>0</v>
      </c>
      <c r="G1180">
        <f t="shared" si="69"/>
        <v>0</v>
      </c>
    </row>
    <row r="1181" spans="1:7" hidden="1" x14ac:dyDescent="0.25">
      <c r="A1181" s="43" t="s">
        <v>3248</v>
      </c>
      <c r="B1181" s="81" t="s">
        <v>3197</v>
      </c>
      <c r="C1181" s="26" t="s">
        <v>37</v>
      </c>
      <c r="D1181" s="14"/>
      <c r="E1181" s="15"/>
      <c r="F1181" s="16">
        <f t="shared" si="70"/>
        <v>0</v>
      </c>
      <c r="G1181">
        <f t="shared" si="69"/>
        <v>0</v>
      </c>
    </row>
    <row r="1182" spans="1:7" hidden="1" x14ac:dyDescent="0.25">
      <c r="A1182" s="43" t="s">
        <v>3249</v>
      </c>
      <c r="B1182" s="81" t="s">
        <v>3198</v>
      </c>
      <c r="C1182" s="26" t="s">
        <v>37</v>
      </c>
      <c r="D1182" s="14"/>
      <c r="E1182" s="15"/>
      <c r="F1182" s="16">
        <f t="shared" si="70"/>
        <v>0</v>
      </c>
      <c r="G1182">
        <f t="shared" si="69"/>
        <v>0</v>
      </c>
    </row>
    <row r="1183" spans="1:7" hidden="1" x14ac:dyDescent="0.25">
      <c r="A1183" s="43" t="s">
        <v>3250</v>
      </c>
      <c r="B1183" s="81" t="s">
        <v>3199</v>
      </c>
      <c r="C1183" s="26" t="s">
        <v>37</v>
      </c>
      <c r="D1183" s="14"/>
      <c r="E1183" s="15">
        <f>+SUM!H1182</f>
        <v>1903613</v>
      </c>
      <c r="F1183" s="16">
        <f t="shared" si="70"/>
        <v>0</v>
      </c>
      <c r="G1183">
        <f t="shared" si="69"/>
        <v>0</v>
      </c>
    </row>
    <row r="1184" spans="1:7" hidden="1" x14ac:dyDescent="0.25">
      <c r="A1184" s="43" t="s">
        <v>3251</v>
      </c>
      <c r="B1184" s="81" t="s">
        <v>3200</v>
      </c>
      <c r="C1184" s="26" t="s">
        <v>37</v>
      </c>
      <c r="D1184" s="14"/>
      <c r="E1184" s="15">
        <f>+SUM!H1183</f>
        <v>1965464</v>
      </c>
      <c r="F1184" s="16">
        <f t="shared" si="70"/>
        <v>0</v>
      </c>
      <c r="G1184">
        <f t="shared" si="69"/>
        <v>0</v>
      </c>
    </row>
    <row r="1185" spans="1:7" hidden="1" x14ac:dyDescent="0.25">
      <c r="A1185" s="43" t="s">
        <v>3252</v>
      </c>
      <c r="B1185" s="81" t="s">
        <v>3201</v>
      </c>
      <c r="C1185" s="26" t="s">
        <v>37</v>
      </c>
      <c r="D1185" s="14"/>
      <c r="E1185" s="15">
        <f>+SUM!H1184</f>
        <v>0</v>
      </c>
      <c r="F1185" s="16">
        <f t="shared" si="70"/>
        <v>0</v>
      </c>
      <c r="G1185">
        <f t="shared" si="69"/>
        <v>0</v>
      </c>
    </row>
    <row r="1186" spans="1:7" hidden="1" x14ac:dyDescent="0.25">
      <c r="A1186" s="43" t="s">
        <v>3253</v>
      </c>
      <c r="B1186" s="81" t="s">
        <v>3202</v>
      </c>
      <c r="C1186" s="26" t="s">
        <v>37</v>
      </c>
      <c r="D1186" s="14"/>
      <c r="E1186" s="15">
        <f>+SUM!H1185</f>
        <v>2182627</v>
      </c>
      <c r="F1186" s="16">
        <f t="shared" si="70"/>
        <v>0</v>
      </c>
      <c r="G1186">
        <f t="shared" si="69"/>
        <v>0</v>
      </c>
    </row>
    <row r="1187" spans="1:7" hidden="1" x14ac:dyDescent="0.25">
      <c r="A1187" s="43" t="s">
        <v>3254</v>
      </c>
      <c r="B1187" s="81" t="s">
        <v>3203</v>
      </c>
      <c r="C1187" s="26" t="s">
        <v>37</v>
      </c>
      <c r="D1187" s="14"/>
      <c r="E1187" s="15">
        <f>+SUM!H1186</f>
        <v>2344812</v>
      </c>
      <c r="F1187" s="16">
        <f t="shared" si="70"/>
        <v>0</v>
      </c>
      <c r="G1187">
        <f t="shared" si="69"/>
        <v>0</v>
      </c>
    </row>
    <row r="1188" spans="1:7" hidden="1" x14ac:dyDescent="0.25">
      <c r="A1188" s="43" t="s">
        <v>3255</v>
      </c>
      <c r="B1188" s="81" t="s">
        <v>3204</v>
      </c>
      <c r="C1188" s="26" t="s">
        <v>37</v>
      </c>
      <c r="D1188" s="14"/>
      <c r="E1188" s="15">
        <f>+SUM!H1187</f>
        <v>2544107</v>
      </c>
      <c r="F1188" s="16">
        <f t="shared" si="70"/>
        <v>0</v>
      </c>
      <c r="G1188">
        <f t="shared" ref="G1188:G1251" si="71">+IF(F1188&lt;&gt;0,1,0)</f>
        <v>0</v>
      </c>
    </row>
    <row r="1189" spans="1:7" hidden="1" x14ac:dyDescent="0.25">
      <c r="A1189" s="43" t="s">
        <v>3256</v>
      </c>
      <c r="B1189" s="81" t="s">
        <v>3206</v>
      </c>
      <c r="C1189" s="26" t="s">
        <v>37</v>
      </c>
      <c r="D1189" s="14"/>
      <c r="E1189" s="15">
        <f>+SUM!H1188</f>
        <v>2748900</v>
      </c>
      <c r="F1189" s="16">
        <f t="shared" si="70"/>
        <v>0</v>
      </c>
      <c r="G1189">
        <f t="shared" si="71"/>
        <v>0</v>
      </c>
    </row>
    <row r="1190" spans="1:7" hidden="1" x14ac:dyDescent="0.25">
      <c r="A1190" s="43" t="s">
        <v>3257</v>
      </c>
      <c r="B1190" s="81" t="s">
        <v>3205</v>
      </c>
      <c r="C1190" s="26" t="s">
        <v>37</v>
      </c>
      <c r="D1190" s="14"/>
      <c r="E1190" s="15">
        <f>+SUM!H1189</f>
        <v>2704918</v>
      </c>
      <c r="F1190" s="16">
        <f t="shared" si="70"/>
        <v>0</v>
      </c>
      <c r="G1190">
        <f t="shared" si="71"/>
        <v>0</v>
      </c>
    </row>
    <row r="1191" spans="1:7" hidden="1" x14ac:dyDescent="0.25">
      <c r="A1191" s="43" t="s">
        <v>3258</v>
      </c>
      <c r="B1191" s="81" t="s">
        <v>3207</v>
      </c>
      <c r="C1191" s="26" t="s">
        <v>37</v>
      </c>
      <c r="D1191" s="14"/>
      <c r="E1191" s="15">
        <f>+SUM!H1190</f>
        <v>0</v>
      </c>
      <c r="F1191" s="16">
        <f t="shared" si="70"/>
        <v>0</v>
      </c>
      <c r="G1191">
        <f t="shared" si="71"/>
        <v>0</v>
      </c>
    </row>
    <row r="1192" spans="1:7" hidden="1" x14ac:dyDescent="0.25">
      <c r="A1192" s="43" t="s">
        <v>3259</v>
      </c>
      <c r="B1192" s="81" t="s">
        <v>3208</v>
      </c>
      <c r="C1192" s="26" t="s">
        <v>37</v>
      </c>
      <c r="D1192" s="14"/>
      <c r="E1192" s="15">
        <f>+SUM!H1191</f>
        <v>0</v>
      </c>
      <c r="F1192" s="16">
        <f t="shared" si="70"/>
        <v>0</v>
      </c>
      <c r="G1192">
        <f t="shared" si="71"/>
        <v>0</v>
      </c>
    </row>
    <row r="1193" spans="1:7" hidden="1" x14ac:dyDescent="0.25">
      <c r="A1193" s="43" t="s">
        <v>3260</v>
      </c>
      <c r="B1193" s="81" t="s">
        <v>3209</v>
      </c>
      <c r="C1193" s="26" t="s">
        <v>37</v>
      </c>
      <c r="D1193" s="14"/>
      <c r="E1193" s="15">
        <f>+SUM!H1192</f>
        <v>3280812</v>
      </c>
      <c r="F1193" s="16">
        <f t="shared" si="70"/>
        <v>0</v>
      </c>
      <c r="G1193">
        <f t="shared" si="71"/>
        <v>0</v>
      </c>
    </row>
    <row r="1194" spans="1:7" hidden="1" x14ac:dyDescent="0.25">
      <c r="A1194" s="43" t="s">
        <v>3261</v>
      </c>
      <c r="B1194" s="81" t="s">
        <v>3210</v>
      </c>
      <c r="C1194" s="26" t="s">
        <v>37</v>
      </c>
      <c r="D1194" s="14"/>
      <c r="E1194" s="15">
        <f>+SUM!H1193</f>
        <v>3447121</v>
      </c>
      <c r="F1194" s="16">
        <f t="shared" si="70"/>
        <v>0</v>
      </c>
      <c r="G1194">
        <f t="shared" si="71"/>
        <v>0</v>
      </c>
    </row>
    <row r="1195" spans="1:7" hidden="1" x14ac:dyDescent="0.25">
      <c r="A1195" s="43" t="s">
        <v>3262</v>
      </c>
      <c r="B1195" s="81" t="s">
        <v>3211</v>
      </c>
      <c r="C1195" s="26" t="s">
        <v>37</v>
      </c>
      <c r="D1195" s="14"/>
      <c r="E1195" s="15">
        <f>+SUM!H1194</f>
        <v>3599685</v>
      </c>
      <c r="F1195" s="16">
        <f t="shared" si="70"/>
        <v>0</v>
      </c>
      <c r="G1195">
        <f t="shared" si="71"/>
        <v>0</v>
      </c>
    </row>
    <row r="1196" spans="1:7" hidden="1" x14ac:dyDescent="0.25">
      <c r="A1196" s="43" t="s">
        <v>3263</v>
      </c>
      <c r="B1196" s="81" t="s">
        <v>3219</v>
      </c>
      <c r="C1196" s="26" t="s">
        <v>37</v>
      </c>
      <c r="D1196" s="14"/>
      <c r="E1196" s="15">
        <f>+SUM!H1195</f>
        <v>3918557</v>
      </c>
      <c r="F1196" s="16">
        <f t="shared" si="70"/>
        <v>0</v>
      </c>
      <c r="G1196">
        <f t="shared" si="71"/>
        <v>0</v>
      </c>
    </row>
    <row r="1197" spans="1:7" hidden="1" x14ac:dyDescent="0.25">
      <c r="A1197" s="43" t="s">
        <v>3264</v>
      </c>
      <c r="B1197" s="81" t="s">
        <v>3220</v>
      </c>
      <c r="C1197" s="26" t="s">
        <v>37</v>
      </c>
      <c r="D1197" s="14"/>
      <c r="E1197" s="15">
        <f>+SUM!H1196</f>
        <v>3055402</v>
      </c>
      <c r="F1197" s="16">
        <f t="shared" si="70"/>
        <v>0</v>
      </c>
      <c r="G1197">
        <f t="shared" si="71"/>
        <v>0</v>
      </c>
    </row>
    <row r="1198" spans="1:7" hidden="1" x14ac:dyDescent="0.25">
      <c r="A1198" s="43" t="s">
        <v>3265</v>
      </c>
      <c r="B1198" s="81" t="s">
        <v>3221</v>
      </c>
      <c r="C1198" s="26" t="s">
        <v>37</v>
      </c>
      <c r="D1198" s="14"/>
      <c r="E1198" s="15">
        <f>+SUM!H1197</f>
        <v>3493852</v>
      </c>
      <c r="F1198" s="16">
        <f t="shared" si="70"/>
        <v>0</v>
      </c>
      <c r="G1198">
        <f t="shared" si="71"/>
        <v>0</v>
      </c>
    </row>
    <row r="1199" spans="1:7" hidden="1" x14ac:dyDescent="0.25">
      <c r="A1199" s="43" t="s">
        <v>3266</v>
      </c>
      <c r="B1199" s="81" t="s">
        <v>3222</v>
      </c>
      <c r="C1199" s="26" t="s">
        <v>37</v>
      </c>
      <c r="D1199" s="14"/>
      <c r="E1199" s="15">
        <f>+SUM!H1198</f>
        <v>3686275</v>
      </c>
      <c r="F1199" s="16">
        <f t="shared" si="70"/>
        <v>0</v>
      </c>
      <c r="G1199">
        <f t="shared" si="71"/>
        <v>0</v>
      </c>
    </row>
    <row r="1200" spans="1:7" hidden="1" x14ac:dyDescent="0.25">
      <c r="A1200" s="43" t="s">
        <v>3267</v>
      </c>
      <c r="B1200" s="81" t="s">
        <v>3223</v>
      </c>
      <c r="C1200" s="26" t="s">
        <v>37</v>
      </c>
      <c r="D1200" s="14"/>
      <c r="E1200" s="15">
        <f>+SUM!H1199</f>
        <v>4190698</v>
      </c>
      <c r="F1200" s="16">
        <f t="shared" si="70"/>
        <v>0</v>
      </c>
      <c r="G1200">
        <f t="shared" si="71"/>
        <v>0</v>
      </c>
    </row>
    <row r="1201" spans="1:7" hidden="1" x14ac:dyDescent="0.25">
      <c r="A1201" s="43" t="s">
        <v>3268</v>
      </c>
      <c r="B1201" s="81" t="s">
        <v>3224</v>
      </c>
      <c r="C1201" s="26" t="s">
        <v>37</v>
      </c>
      <c r="D1201" s="14"/>
      <c r="E1201" s="15">
        <f>+SUM!H1200</f>
        <v>4377623</v>
      </c>
      <c r="F1201" s="16">
        <f t="shared" si="70"/>
        <v>0</v>
      </c>
      <c r="G1201">
        <f t="shared" si="71"/>
        <v>0</v>
      </c>
    </row>
    <row r="1202" spans="1:7" hidden="1" x14ac:dyDescent="0.25">
      <c r="A1202" s="43" t="s">
        <v>3269</v>
      </c>
      <c r="B1202" s="81" t="s">
        <v>3225</v>
      </c>
      <c r="C1202" s="26" t="s">
        <v>37</v>
      </c>
      <c r="D1202" s="14"/>
      <c r="E1202" s="15">
        <f>+SUM!H1201</f>
        <v>4872425</v>
      </c>
      <c r="F1202" s="16">
        <f t="shared" si="70"/>
        <v>0</v>
      </c>
      <c r="G1202">
        <f t="shared" si="71"/>
        <v>0</v>
      </c>
    </row>
    <row r="1203" spans="1:7" hidden="1" x14ac:dyDescent="0.25">
      <c r="A1203" s="43" t="s">
        <v>3270</v>
      </c>
      <c r="B1203" s="81" t="s">
        <v>3217</v>
      </c>
      <c r="C1203" s="26" t="s">
        <v>37</v>
      </c>
      <c r="D1203" s="14"/>
      <c r="E1203" s="15">
        <f>+SUM!H1202</f>
        <v>0</v>
      </c>
      <c r="F1203" s="16">
        <f t="shared" si="70"/>
        <v>0</v>
      </c>
      <c r="G1203">
        <f t="shared" si="71"/>
        <v>0</v>
      </c>
    </row>
    <row r="1204" spans="1:7" hidden="1" x14ac:dyDescent="0.25">
      <c r="A1204" s="43" t="s">
        <v>3271</v>
      </c>
      <c r="B1204" s="81" t="s">
        <v>3218</v>
      </c>
      <c r="C1204" s="26" t="s">
        <v>37</v>
      </c>
      <c r="D1204" s="14"/>
      <c r="E1204" s="15">
        <f>+SUM!H1203</f>
        <v>0</v>
      </c>
      <c r="F1204" s="16">
        <f t="shared" si="70"/>
        <v>0</v>
      </c>
      <c r="G1204">
        <f t="shared" si="71"/>
        <v>0</v>
      </c>
    </row>
    <row r="1205" spans="1:7" hidden="1" x14ac:dyDescent="0.25">
      <c r="A1205" s="43" t="s">
        <v>3272</v>
      </c>
      <c r="B1205" s="81" t="s">
        <v>3216</v>
      </c>
      <c r="C1205" s="26" t="s">
        <v>37</v>
      </c>
      <c r="D1205" s="14"/>
      <c r="E1205" s="15">
        <f>+SUM!H1204</f>
        <v>4915033</v>
      </c>
      <c r="F1205" s="16">
        <f t="shared" si="70"/>
        <v>0</v>
      </c>
      <c r="G1205">
        <f t="shared" si="71"/>
        <v>0</v>
      </c>
    </row>
    <row r="1206" spans="1:7" hidden="1" x14ac:dyDescent="0.25">
      <c r="A1206" s="43" t="s">
        <v>3273</v>
      </c>
      <c r="B1206" s="81" t="s">
        <v>3215</v>
      </c>
      <c r="C1206" s="26" t="s">
        <v>37</v>
      </c>
      <c r="D1206" s="14"/>
      <c r="E1206" s="15">
        <f>+SUM!H1205</f>
        <v>5082716</v>
      </c>
      <c r="F1206" s="16">
        <f t="shared" si="70"/>
        <v>0</v>
      </c>
      <c r="G1206">
        <f t="shared" si="71"/>
        <v>0</v>
      </c>
    </row>
    <row r="1207" spans="1:7" hidden="1" x14ac:dyDescent="0.25">
      <c r="A1207" s="43" t="s">
        <v>3274</v>
      </c>
      <c r="B1207" s="81" t="s">
        <v>3214</v>
      </c>
      <c r="C1207" s="26" t="s">
        <v>37</v>
      </c>
      <c r="D1207" s="14"/>
      <c r="E1207" s="15">
        <f>+SUM!H1206</f>
        <v>5466188</v>
      </c>
      <c r="F1207" s="16">
        <f t="shared" si="70"/>
        <v>0</v>
      </c>
      <c r="G1207">
        <f t="shared" si="71"/>
        <v>0</v>
      </c>
    </row>
    <row r="1208" spans="1:7" hidden="1" x14ac:dyDescent="0.25">
      <c r="A1208" s="43" t="s">
        <v>3275</v>
      </c>
      <c r="B1208" s="81" t="s">
        <v>3213</v>
      </c>
      <c r="C1208" s="26" t="s">
        <v>37</v>
      </c>
      <c r="D1208" s="14"/>
      <c r="E1208" s="15">
        <f>+SUM!H1207</f>
        <v>5910135</v>
      </c>
      <c r="F1208" s="16">
        <f t="shared" si="70"/>
        <v>0</v>
      </c>
      <c r="G1208">
        <f t="shared" si="71"/>
        <v>0</v>
      </c>
    </row>
    <row r="1209" spans="1:7" hidden="1" x14ac:dyDescent="0.25">
      <c r="A1209" s="43" t="s">
        <v>3276</v>
      </c>
      <c r="B1209" s="81" t="s">
        <v>3212</v>
      </c>
      <c r="C1209" s="26" t="s">
        <v>37</v>
      </c>
      <c r="D1209" s="14"/>
      <c r="E1209" s="15">
        <f>+SUM!H1208</f>
        <v>6734805</v>
      </c>
      <c r="F1209" s="16">
        <f t="shared" si="70"/>
        <v>0</v>
      </c>
      <c r="G1209">
        <f t="shared" si="71"/>
        <v>0</v>
      </c>
    </row>
    <row r="1210" spans="1:7" hidden="1" x14ac:dyDescent="0.25">
      <c r="A1210" s="44" t="s">
        <v>3277</v>
      </c>
      <c r="B1210" s="80" t="s">
        <v>3278</v>
      </c>
      <c r="C1210" s="26" t="s">
        <v>37</v>
      </c>
      <c r="D1210" s="14"/>
      <c r="E1210" s="15">
        <f>+SUM!H1209</f>
        <v>0</v>
      </c>
      <c r="F1210" s="16"/>
      <c r="G1210">
        <f t="shared" si="71"/>
        <v>0</v>
      </c>
    </row>
    <row r="1211" spans="1:7" hidden="1" x14ac:dyDescent="0.25">
      <c r="A1211" s="43" t="s">
        <v>3308</v>
      </c>
      <c r="B1211" s="81" t="s">
        <v>3279</v>
      </c>
      <c r="C1211" s="26" t="s">
        <v>37</v>
      </c>
      <c r="D1211" s="14"/>
      <c r="E1211" s="15">
        <f>+SUM!H1210</f>
        <v>87965</v>
      </c>
      <c r="F1211" s="16">
        <f t="shared" ref="F1211:F1261" si="72">+D1211*E1211</f>
        <v>0</v>
      </c>
      <c r="G1211">
        <f t="shared" si="71"/>
        <v>0</v>
      </c>
    </row>
    <row r="1212" spans="1:7" hidden="1" x14ac:dyDescent="0.25">
      <c r="A1212" s="43" t="s">
        <v>3309</v>
      </c>
      <c r="B1212" s="81" t="s">
        <v>3280</v>
      </c>
      <c r="C1212" s="26" t="s">
        <v>37</v>
      </c>
      <c r="D1212" s="14"/>
      <c r="E1212" s="15">
        <f>+SUM!H1211</f>
        <v>109956</v>
      </c>
      <c r="F1212" s="16">
        <f t="shared" si="72"/>
        <v>0</v>
      </c>
      <c r="G1212">
        <f t="shared" si="71"/>
        <v>0</v>
      </c>
    </row>
    <row r="1213" spans="1:7" hidden="1" x14ac:dyDescent="0.25">
      <c r="A1213" s="43" t="s">
        <v>3310</v>
      </c>
      <c r="B1213" s="81" t="s">
        <v>3281</v>
      </c>
      <c r="C1213" s="26" t="s">
        <v>37</v>
      </c>
      <c r="D1213" s="14"/>
      <c r="E1213" s="15">
        <f>+SUM!H1212</f>
        <v>131947</v>
      </c>
      <c r="F1213" s="16">
        <f t="shared" si="72"/>
        <v>0</v>
      </c>
      <c r="G1213">
        <f t="shared" si="71"/>
        <v>0</v>
      </c>
    </row>
    <row r="1214" spans="1:7" hidden="1" x14ac:dyDescent="0.25">
      <c r="A1214" s="43" t="s">
        <v>3311</v>
      </c>
      <c r="B1214" s="81" t="s">
        <v>3282</v>
      </c>
      <c r="C1214" s="26" t="s">
        <v>37</v>
      </c>
      <c r="D1214" s="14"/>
      <c r="E1214" s="15">
        <f>+SUM!H1213</f>
        <v>197921</v>
      </c>
      <c r="F1214" s="16">
        <f t="shared" si="72"/>
        <v>0</v>
      </c>
      <c r="G1214">
        <f t="shared" si="71"/>
        <v>0</v>
      </c>
    </row>
    <row r="1215" spans="1:7" hidden="1" x14ac:dyDescent="0.25">
      <c r="A1215" s="43" t="s">
        <v>3312</v>
      </c>
      <c r="B1215" s="81" t="s">
        <v>3283</v>
      </c>
      <c r="C1215" s="26" t="s">
        <v>37</v>
      </c>
      <c r="D1215" s="14"/>
      <c r="E1215" s="15">
        <f>+SUM!H1214</f>
        <v>219912</v>
      </c>
      <c r="F1215" s="16">
        <f t="shared" si="72"/>
        <v>0</v>
      </c>
      <c r="G1215">
        <f t="shared" si="71"/>
        <v>0</v>
      </c>
    </row>
    <row r="1216" spans="1:7" hidden="1" x14ac:dyDescent="0.25">
      <c r="A1216" s="43" t="s">
        <v>3313</v>
      </c>
      <c r="B1216" s="81" t="s">
        <v>3284</v>
      </c>
      <c r="C1216" s="26" t="s">
        <v>37</v>
      </c>
      <c r="D1216" s="14"/>
      <c r="E1216" s="15">
        <f>+SUM!H1215</f>
        <v>284511</v>
      </c>
      <c r="F1216" s="16">
        <f t="shared" si="72"/>
        <v>0</v>
      </c>
      <c r="G1216">
        <f t="shared" si="71"/>
        <v>0</v>
      </c>
    </row>
    <row r="1217" spans="1:7" hidden="1" x14ac:dyDescent="0.25">
      <c r="A1217" s="43" t="s">
        <v>3314</v>
      </c>
      <c r="B1217" s="81" t="s">
        <v>3285</v>
      </c>
      <c r="C1217" s="26" t="s">
        <v>37</v>
      </c>
      <c r="D1217" s="14"/>
      <c r="E1217" s="15">
        <f>+SUM!H1216</f>
        <v>295507</v>
      </c>
      <c r="F1217" s="16">
        <f t="shared" si="72"/>
        <v>0</v>
      </c>
      <c r="G1217">
        <f t="shared" si="71"/>
        <v>0</v>
      </c>
    </row>
    <row r="1218" spans="1:7" hidden="1" x14ac:dyDescent="0.25">
      <c r="A1218" s="43" t="s">
        <v>3315</v>
      </c>
      <c r="B1218" s="81" t="s">
        <v>3286</v>
      </c>
      <c r="C1218" s="26" t="s">
        <v>37</v>
      </c>
      <c r="D1218" s="14"/>
      <c r="E1218" s="15">
        <f>+SUM!H1217</f>
        <v>394467</v>
      </c>
      <c r="F1218" s="16">
        <f t="shared" si="72"/>
        <v>0</v>
      </c>
      <c r="G1218">
        <f t="shared" si="71"/>
        <v>0</v>
      </c>
    </row>
    <row r="1219" spans="1:7" hidden="1" x14ac:dyDescent="0.25">
      <c r="A1219" s="43" t="s">
        <v>3316</v>
      </c>
      <c r="B1219" s="81" t="s">
        <v>3295</v>
      </c>
      <c r="C1219" s="26" t="s">
        <v>37</v>
      </c>
      <c r="D1219" s="14"/>
      <c r="E1219" s="15">
        <f>+SUM!H1218</f>
        <v>394467</v>
      </c>
      <c r="F1219" s="16">
        <f t="shared" si="72"/>
        <v>0</v>
      </c>
      <c r="G1219">
        <f t="shared" si="71"/>
        <v>0</v>
      </c>
    </row>
    <row r="1220" spans="1:7" hidden="1" x14ac:dyDescent="0.25">
      <c r="A1220" s="43" t="s">
        <v>3317</v>
      </c>
      <c r="B1220" s="81" t="s">
        <v>3296</v>
      </c>
      <c r="C1220" s="26" t="s">
        <v>37</v>
      </c>
      <c r="D1220" s="14"/>
      <c r="E1220" s="15">
        <f>+SUM!H1219</f>
        <v>416458</v>
      </c>
      <c r="F1220" s="16">
        <f t="shared" si="72"/>
        <v>0</v>
      </c>
      <c r="G1220">
        <f t="shared" si="71"/>
        <v>0</v>
      </c>
    </row>
    <row r="1221" spans="1:7" hidden="1" x14ac:dyDescent="0.25">
      <c r="A1221" s="43" t="s">
        <v>3318</v>
      </c>
      <c r="B1221" s="81" t="s">
        <v>3297</v>
      </c>
      <c r="C1221" s="26" t="s">
        <v>37</v>
      </c>
      <c r="D1221" s="14"/>
      <c r="E1221" s="15">
        <f>+SUM!H1220</f>
        <v>0</v>
      </c>
      <c r="F1221" s="16">
        <f t="shared" si="72"/>
        <v>0</v>
      </c>
      <c r="G1221">
        <f t="shared" si="71"/>
        <v>0</v>
      </c>
    </row>
    <row r="1222" spans="1:7" hidden="1" x14ac:dyDescent="0.25">
      <c r="A1222" s="43" t="s">
        <v>3319</v>
      </c>
      <c r="B1222" s="81" t="s">
        <v>3298</v>
      </c>
      <c r="C1222" s="26" t="s">
        <v>37</v>
      </c>
      <c r="D1222" s="14"/>
      <c r="E1222" s="15">
        <f>+SUM!H1221</f>
        <v>533287</v>
      </c>
      <c r="F1222" s="16">
        <f t="shared" si="72"/>
        <v>0</v>
      </c>
      <c r="G1222">
        <f t="shared" si="71"/>
        <v>0</v>
      </c>
    </row>
    <row r="1223" spans="1:7" hidden="1" x14ac:dyDescent="0.25">
      <c r="A1223" s="43" t="s">
        <v>3320</v>
      </c>
      <c r="B1223" s="81" t="s">
        <v>3299</v>
      </c>
      <c r="C1223" s="26" t="s">
        <v>37</v>
      </c>
      <c r="D1223" s="14"/>
      <c r="E1223" s="15">
        <f>+SUM!H1222</f>
        <v>558027</v>
      </c>
      <c r="F1223" s="16">
        <f t="shared" si="72"/>
        <v>0</v>
      </c>
      <c r="G1223">
        <f t="shared" si="71"/>
        <v>0</v>
      </c>
    </row>
    <row r="1224" spans="1:7" hidden="1" x14ac:dyDescent="0.25">
      <c r="A1224" s="43" t="s">
        <v>3321</v>
      </c>
      <c r="B1224" s="81" t="s">
        <v>3300</v>
      </c>
      <c r="C1224" s="26" t="s">
        <v>37</v>
      </c>
      <c r="D1224" s="14"/>
      <c r="E1224" s="15">
        <f>+SUM!H1223</f>
        <v>588265</v>
      </c>
      <c r="F1224" s="16">
        <f t="shared" si="72"/>
        <v>0</v>
      </c>
      <c r="G1224">
        <f t="shared" si="71"/>
        <v>0</v>
      </c>
    </row>
    <row r="1225" spans="1:7" hidden="1" x14ac:dyDescent="0.25">
      <c r="A1225" s="43" t="s">
        <v>3322</v>
      </c>
      <c r="B1225" s="81" t="s">
        <v>3301</v>
      </c>
      <c r="C1225" s="26" t="s">
        <v>37</v>
      </c>
      <c r="D1225" s="14"/>
      <c r="E1225" s="15">
        <f>+SUM!H1224</f>
        <v>751824</v>
      </c>
      <c r="F1225" s="16">
        <f t="shared" si="72"/>
        <v>0</v>
      </c>
      <c r="G1225">
        <f t="shared" si="71"/>
        <v>0</v>
      </c>
    </row>
    <row r="1226" spans="1:7" hidden="1" x14ac:dyDescent="0.25">
      <c r="A1226" s="43" t="s">
        <v>3323</v>
      </c>
      <c r="B1226" s="81" t="s">
        <v>3302</v>
      </c>
      <c r="C1226" s="26" t="s">
        <v>37</v>
      </c>
      <c r="D1226" s="14"/>
      <c r="E1226" s="15">
        <f>+SUM!H1225</f>
        <v>934626</v>
      </c>
      <c r="F1226" s="16">
        <f t="shared" si="72"/>
        <v>0</v>
      </c>
      <c r="G1226">
        <f t="shared" si="71"/>
        <v>0</v>
      </c>
    </row>
    <row r="1227" spans="1:7" hidden="1" x14ac:dyDescent="0.25">
      <c r="A1227" s="43" t="s">
        <v>3324</v>
      </c>
      <c r="B1227" s="81" t="s">
        <v>3303</v>
      </c>
      <c r="C1227" s="26" t="s">
        <v>37</v>
      </c>
      <c r="D1227" s="14"/>
      <c r="E1227" s="15">
        <f>+SUM!H1226</f>
        <v>973111</v>
      </c>
      <c r="F1227" s="16">
        <f t="shared" si="72"/>
        <v>0</v>
      </c>
      <c r="G1227">
        <f t="shared" si="71"/>
        <v>0</v>
      </c>
    </row>
    <row r="1228" spans="1:7" hidden="1" x14ac:dyDescent="0.25">
      <c r="A1228" s="43" t="s">
        <v>3325</v>
      </c>
      <c r="B1228" s="81" t="s">
        <v>3304</v>
      </c>
      <c r="C1228" s="26" t="s">
        <v>37</v>
      </c>
      <c r="D1228" s="14"/>
      <c r="E1228" s="15">
        <f>+SUM!H1227</f>
        <v>1010221</v>
      </c>
      <c r="F1228" s="16">
        <f t="shared" si="72"/>
        <v>0</v>
      </c>
      <c r="G1228">
        <f t="shared" si="71"/>
        <v>0</v>
      </c>
    </row>
    <row r="1229" spans="1:7" hidden="1" x14ac:dyDescent="0.25">
      <c r="A1229" s="43" t="s">
        <v>3326</v>
      </c>
      <c r="B1229" s="81" t="s">
        <v>3305</v>
      </c>
      <c r="C1229" s="26" t="s">
        <v>37</v>
      </c>
      <c r="D1229" s="14"/>
      <c r="E1229" s="15">
        <f>+SUM!H1228</f>
        <v>1258996</v>
      </c>
      <c r="F1229" s="16">
        <f t="shared" si="72"/>
        <v>0</v>
      </c>
      <c r="G1229">
        <f t="shared" si="71"/>
        <v>0</v>
      </c>
    </row>
    <row r="1230" spans="1:7" hidden="1" x14ac:dyDescent="0.25">
      <c r="A1230" s="43" t="s">
        <v>3327</v>
      </c>
      <c r="B1230" s="81" t="s">
        <v>3306</v>
      </c>
      <c r="C1230" s="26" t="s">
        <v>37</v>
      </c>
      <c r="D1230" s="14"/>
      <c r="E1230" s="15">
        <f>+SUM!H1229</f>
        <v>1283736</v>
      </c>
      <c r="F1230" s="16">
        <f t="shared" si="72"/>
        <v>0</v>
      </c>
      <c r="G1230">
        <f t="shared" si="71"/>
        <v>0</v>
      </c>
    </row>
    <row r="1231" spans="1:7" hidden="1" x14ac:dyDescent="0.25">
      <c r="A1231" s="43" t="s">
        <v>3328</v>
      </c>
      <c r="B1231" s="81" t="s">
        <v>3307</v>
      </c>
      <c r="C1231" s="26" t="s">
        <v>37</v>
      </c>
      <c r="D1231" s="14"/>
      <c r="E1231" s="15">
        <f>+SUM!H1230</f>
        <v>0</v>
      </c>
      <c r="F1231" s="16">
        <f t="shared" si="72"/>
        <v>0</v>
      </c>
      <c r="G1231">
        <f t="shared" si="71"/>
        <v>0</v>
      </c>
    </row>
    <row r="1232" spans="1:7" hidden="1" x14ac:dyDescent="0.25">
      <c r="A1232" s="43" t="s">
        <v>3329</v>
      </c>
      <c r="B1232" s="81" t="s">
        <v>3359</v>
      </c>
      <c r="C1232" s="26" t="s">
        <v>37</v>
      </c>
      <c r="D1232" s="14"/>
      <c r="E1232" s="15">
        <f>+SUM!H1231</f>
        <v>1613604</v>
      </c>
      <c r="F1232" s="16">
        <f t="shared" si="72"/>
        <v>0</v>
      </c>
      <c r="G1232">
        <f t="shared" si="71"/>
        <v>0</v>
      </c>
    </row>
    <row r="1233" spans="1:7" hidden="1" x14ac:dyDescent="0.25">
      <c r="A1233" s="43" t="s">
        <v>3330</v>
      </c>
      <c r="B1233" s="81" t="s">
        <v>3360</v>
      </c>
      <c r="C1233" s="26" t="s">
        <v>37</v>
      </c>
      <c r="D1233" s="14"/>
      <c r="E1233" s="15">
        <f>+SUM!H1232</f>
        <v>1620477</v>
      </c>
      <c r="F1233" s="16">
        <f t="shared" si="72"/>
        <v>0</v>
      </c>
      <c r="G1233">
        <f t="shared" si="71"/>
        <v>0</v>
      </c>
    </row>
    <row r="1234" spans="1:7" hidden="1" x14ac:dyDescent="0.25">
      <c r="A1234" s="43" t="s">
        <v>3331</v>
      </c>
      <c r="B1234" s="81" t="s">
        <v>3362</v>
      </c>
      <c r="C1234" s="26" t="s">
        <v>37</v>
      </c>
      <c r="D1234" s="14"/>
      <c r="E1234" s="15">
        <f>+SUM!H1233</f>
        <v>1636970</v>
      </c>
      <c r="F1234" s="16">
        <f t="shared" si="72"/>
        <v>0</v>
      </c>
      <c r="G1234">
        <f t="shared" si="71"/>
        <v>0</v>
      </c>
    </row>
    <row r="1235" spans="1:7" hidden="1" x14ac:dyDescent="0.25">
      <c r="A1235" s="43" t="s">
        <v>3332</v>
      </c>
      <c r="B1235" s="81" t="s">
        <v>3361</v>
      </c>
      <c r="C1235" s="26" t="s">
        <v>37</v>
      </c>
      <c r="D1235" s="14"/>
      <c r="E1235" s="15">
        <f>+SUM!H1234</f>
        <v>1903613</v>
      </c>
      <c r="F1235" s="16">
        <f t="shared" si="72"/>
        <v>0</v>
      </c>
      <c r="G1235">
        <f t="shared" si="71"/>
        <v>0</v>
      </c>
    </row>
    <row r="1236" spans="1:7" hidden="1" x14ac:dyDescent="0.25">
      <c r="A1236" s="43" t="s">
        <v>3333</v>
      </c>
      <c r="B1236" s="81" t="s">
        <v>3363</v>
      </c>
      <c r="C1236" s="26" t="s">
        <v>37</v>
      </c>
      <c r="D1236" s="14"/>
      <c r="E1236" s="15">
        <f>+SUM!H1235</f>
        <v>1965464</v>
      </c>
      <c r="F1236" s="16">
        <f t="shared" si="72"/>
        <v>0</v>
      </c>
      <c r="G1236">
        <f t="shared" si="71"/>
        <v>0</v>
      </c>
    </row>
    <row r="1237" spans="1:7" hidden="1" x14ac:dyDescent="0.25">
      <c r="A1237" s="43" t="s">
        <v>3334</v>
      </c>
      <c r="B1237" s="81" t="s">
        <v>3370</v>
      </c>
      <c r="C1237" s="26" t="s">
        <v>37</v>
      </c>
      <c r="D1237" s="14"/>
      <c r="E1237" s="15">
        <f>+SUM!H1236</f>
        <v>0</v>
      </c>
      <c r="F1237" s="16">
        <f t="shared" si="72"/>
        <v>0</v>
      </c>
      <c r="G1237">
        <f t="shared" si="71"/>
        <v>0</v>
      </c>
    </row>
    <row r="1238" spans="1:7" hidden="1" x14ac:dyDescent="0.25">
      <c r="A1238" s="43" t="s">
        <v>3335</v>
      </c>
      <c r="B1238" s="81" t="s">
        <v>3371</v>
      </c>
      <c r="C1238" s="26" t="s">
        <v>37</v>
      </c>
      <c r="D1238" s="14"/>
      <c r="E1238" s="15">
        <f>+SUM!H1237</f>
        <v>1795032</v>
      </c>
      <c r="F1238" s="16">
        <f t="shared" si="72"/>
        <v>0</v>
      </c>
      <c r="G1238">
        <f t="shared" si="71"/>
        <v>0</v>
      </c>
    </row>
    <row r="1239" spans="1:7" hidden="1" x14ac:dyDescent="0.25">
      <c r="A1239" s="43" t="s">
        <v>3336</v>
      </c>
      <c r="B1239" s="81" t="s">
        <v>3372</v>
      </c>
      <c r="C1239" s="26" t="s">
        <v>37</v>
      </c>
      <c r="D1239" s="14"/>
      <c r="E1239" s="15">
        <f>+SUM!H1238</f>
        <v>2344812</v>
      </c>
      <c r="F1239" s="16">
        <f t="shared" si="72"/>
        <v>0</v>
      </c>
      <c r="G1239">
        <f t="shared" si="71"/>
        <v>0</v>
      </c>
    </row>
    <row r="1240" spans="1:7" hidden="1" x14ac:dyDescent="0.25">
      <c r="A1240" s="43" t="s">
        <v>3337</v>
      </c>
      <c r="B1240" s="81" t="s">
        <v>3373</v>
      </c>
      <c r="C1240" s="26" t="s">
        <v>37</v>
      </c>
      <c r="D1240" s="14"/>
      <c r="E1240" s="15">
        <f>+SUM!H1239</f>
        <v>2344812</v>
      </c>
      <c r="F1240" s="16">
        <f t="shared" si="72"/>
        <v>0</v>
      </c>
      <c r="G1240">
        <f t="shared" si="71"/>
        <v>0</v>
      </c>
    </row>
    <row r="1241" spans="1:7" hidden="1" x14ac:dyDescent="0.25">
      <c r="A1241" s="43" t="s">
        <v>3338</v>
      </c>
      <c r="B1241" s="81" t="s">
        <v>3374</v>
      </c>
      <c r="C1241" s="26" t="s">
        <v>37</v>
      </c>
      <c r="D1241" s="14"/>
      <c r="E1241" s="15">
        <f>+SUM!H1240</f>
        <v>2748900</v>
      </c>
      <c r="F1241" s="16">
        <f t="shared" si="72"/>
        <v>0</v>
      </c>
      <c r="G1241">
        <f t="shared" si="71"/>
        <v>0</v>
      </c>
    </row>
    <row r="1242" spans="1:7" hidden="1" x14ac:dyDescent="0.25">
      <c r="A1242" s="43" t="s">
        <v>3339</v>
      </c>
      <c r="B1242" s="81" t="s">
        <v>3375</v>
      </c>
      <c r="C1242" s="26" t="s">
        <v>37</v>
      </c>
      <c r="D1242" s="14"/>
      <c r="E1242" s="15">
        <f>+SUM!H1241</f>
        <v>2704918</v>
      </c>
      <c r="F1242" s="16">
        <f t="shared" si="72"/>
        <v>0</v>
      </c>
      <c r="G1242">
        <f t="shared" si="71"/>
        <v>0</v>
      </c>
    </row>
    <row r="1243" spans="1:7" hidden="1" x14ac:dyDescent="0.25">
      <c r="A1243" s="43" t="s">
        <v>3340</v>
      </c>
      <c r="B1243" s="81" t="s">
        <v>3376</v>
      </c>
      <c r="C1243" s="26" t="s">
        <v>37</v>
      </c>
      <c r="D1243" s="14"/>
      <c r="E1243" s="15">
        <f>+SUM!H1242</f>
        <v>1988829</v>
      </c>
      <c r="F1243" s="16">
        <f t="shared" si="72"/>
        <v>0</v>
      </c>
      <c r="G1243">
        <f t="shared" si="71"/>
        <v>0</v>
      </c>
    </row>
    <row r="1244" spans="1:7" hidden="1" x14ac:dyDescent="0.25">
      <c r="A1244" s="43" t="s">
        <v>3341</v>
      </c>
      <c r="B1244" s="81" t="s">
        <v>3377</v>
      </c>
      <c r="C1244" s="26" t="s">
        <v>37</v>
      </c>
      <c r="D1244" s="14"/>
      <c r="E1244" s="15">
        <f>+SUM!H1243</f>
        <v>2182627</v>
      </c>
      <c r="F1244" s="16">
        <f t="shared" si="72"/>
        <v>0</v>
      </c>
      <c r="G1244">
        <f t="shared" si="71"/>
        <v>0</v>
      </c>
    </row>
    <row r="1245" spans="1:7" hidden="1" x14ac:dyDescent="0.25">
      <c r="A1245" s="43" t="s">
        <v>3342</v>
      </c>
      <c r="B1245" s="81" t="s">
        <v>3378</v>
      </c>
      <c r="C1245" s="26" t="s">
        <v>37</v>
      </c>
      <c r="D1245" s="14"/>
      <c r="E1245" s="15">
        <f>+SUM!H1244</f>
        <v>3280812</v>
      </c>
      <c r="F1245" s="16">
        <f t="shared" si="72"/>
        <v>0</v>
      </c>
      <c r="G1245">
        <f t="shared" si="71"/>
        <v>0</v>
      </c>
    </row>
    <row r="1246" spans="1:7" hidden="1" x14ac:dyDescent="0.25">
      <c r="A1246" s="43" t="s">
        <v>3343</v>
      </c>
      <c r="B1246" s="81" t="s">
        <v>3379</v>
      </c>
      <c r="C1246" s="26" t="s">
        <v>37</v>
      </c>
      <c r="D1246" s="14"/>
      <c r="E1246" s="15">
        <f>+SUM!H1245</f>
        <v>3447121</v>
      </c>
      <c r="F1246" s="16">
        <f t="shared" si="72"/>
        <v>0</v>
      </c>
      <c r="G1246">
        <f t="shared" si="71"/>
        <v>0</v>
      </c>
    </row>
    <row r="1247" spans="1:7" hidden="1" x14ac:dyDescent="0.25">
      <c r="A1247" s="43" t="s">
        <v>3344</v>
      </c>
      <c r="B1247" s="81" t="s">
        <v>3380</v>
      </c>
      <c r="C1247" s="26" t="s">
        <v>37</v>
      </c>
      <c r="D1247" s="14"/>
      <c r="E1247" s="15">
        <f>+SUM!H1246</f>
        <v>3599685</v>
      </c>
      <c r="F1247" s="16">
        <f t="shared" si="72"/>
        <v>0</v>
      </c>
      <c r="G1247">
        <f t="shared" si="71"/>
        <v>0</v>
      </c>
    </row>
    <row r="1248" spans="1:7" hidden="1" x14ac:dyDescent="0.25">
      <c r="A1248" s="43" t="s">
        <v>3345</v>
      </c>
      <c r="B1248" s="81" t="s">
        <v>3369</v>
      </c>
      <c r="C1248" s="26" t="s">
        <v>37</v>
      </c>
      <c r="D1248" s="14"/>
      <c r="E1248" s="15">
        <f>+SUM!H1247</f>
        <v>3918557</v>
      </c>
      <c r="F1248" s="16">
        <f t="shared" si="72"/>
        <v>0</v>
      </c>
      <c r="G1248">
        <f t="shared" si="71"/>
        <v>0</v>
      </c>
    </row>
    <row r="1249" spans="1:7" hidden="1" x14ac:dyDescent="0.25">
      <c r="A1249" s="43" t="s">
        <v>3346</v>
      </c>
      <c r="B1249" s="81" t="s">
        <v>3364</v>
      </c>
      <c r="C1249" s="26" t="s">
        <v>37</v>
      </c>
      <c r="D1249" s="14"/>
      <c r="E1249" s="15">
        <f>+SUM!H1248</f>
        <v>3055402</v>
      </c>
      <c r="F1249" s="16">
        <f t="shared" si="72"/>
        <v>0</v>
      </c>
      <c r="G1249">
        <f t="shared" si="71"/>
        <v>0</v>
      </c>
    </row>
    <row r="1250" spans="1:7" hidden="1" x14ac:dyDescent="0.25">
      <c r="A1250" s="43" t="s">
        <v>3347</v>
      </c>
      <c r="B1250" s="81" t="s">
        <v>3365</v>
      </c>
      <c r="C1250" s="26" t="s">
        <v>37</v>
      </c>
      <c r="D1250" s="14"/>
      <c r="E1250" s="15">
        <f>+SUM!H1249</f>
        <v>3493852</v>
      </c>
      <c r="F1250" s="16">
        <f t="shared" si="72"/>
        <v>0</v>
      </c>
      <c r="G1250">
        <f t="shared" si="71"/>
        <v>0</v>
      </c>
    </row>
    <row r="1251" spans="1:7" hidden="1" x14ac:dyDescent="0.25">
      <c r="A1251" s="43" t="s">
        <v>3348</v>
      </c>
      <c r="B1251" s="81" t="s">
        <v>3366</v>
      </c>
      <c r="C1251" s="26" t="s">
        <v>37</v>
      </c>
      <c r="D1251" s="14"/>
      <c r="E1251" s="15">
        <f>+SUM!H1250</f>
        <v>3686275</v>
      </c>
      <c r="F1251" s="16">
        <f t="shared" si="72"/>
        <v>0</v>
      </c>
      <c r="G1251">
        <f t="shared" si="71"/>
        <v>0</v>
      </c>
    </row>
    <row r="1252" spans="1:7" hidden="1" x14ac:dyDescent="0.25">
      <c r="A1252" s="43" t="s">
        <v>3349</v>
      </c>
      <c r="B1252" s="81" t="s">
        <v>3367</v>
      </c>
      <c r="C1252" s="26" t="s">
        <v>37</v>
      </c>
      <c r="D1252" s="14"/>
      <c r="E1252" s="15">
        <f>+SUM!H1251</f>
        <v>4190698</v>
      </c>
      <c r="F1252" s="16">
        <f t="shared" si="72"/>
        <v>0</v>
      </c>
      <c r="G1252">
        <f t="shared" ref="G1252:G1315" si="73">+IF(F1252&lt;&gt;0,1,0)</f>
        <v>0</v>
      </c>
    </row>
    <row r="1253" spans="1:7" hidden="1" x14ac:dyDescent="0.25">
      <c r="A1253" s="43" t="s">
        <v>3350</v>
      </c>
      <c r="B1253" s="81" t="s">
        <v>3368</v>
      </c>
      <c r="C1253" s="26" t="s">
        <v>37</v>
      </c>
      <c r="D1253" s="14"/>
      <c r="E1253" s="15">
        <f>+SUM!H1252</f>
        <v>4377623</v>
      </c>
      <c r="F1253" s="16">
        <f t="shared" si="72"/>
        <v>0</v>
      </c>
      <c r="G1253">
        <f t="shared" si="73"/>
        <v>0</v>
      </c>
    </row>
    <row r="1254" spans="1:7" hidden="1" x14ac:dyDescent="0.25">
      <c r="A1254" s="43" t="s">
        <v>3351</v>
      </c>
      <c r="B1254" s="81" t="s">
        <v>3294</v>
      </c>
      <c r="C1254" s="26" t="s">
        <v>37</v>
      </c>
      <c r="D1254" s="14"/>
      <c r="E1254" s="15">
        <f>+SUM!H1253</f>
        <v>4872425</v>
      </c>
      <c r="F1254" s="16">
        <f t="shared" si="72"/>
        <v>0</v>
      </c>
      <c r="G1254">
        <f t="shared" si="73"/>
        <v>0</v>
      </c>
    </row>
    <row r="1255" spans="1:7" hidden="1" x14ac:dyDescent="0.25">
      <c r="A1255" s="43" t="s">
        <v>3352</v>
      </c>
      <c r="B1255" s="81" t="s">
        <v>3293</v>
      </c>
      <c r="C1255" s="26" t="s">
        <v>37</v>
      </c>
      <c r="D1255" s="14"/>
      <c r="E1255" s="15">
        <f>+SUM!H1254</f>
        <v>0</v>
      </c>
      <c r="F1255" s="16">
        <f t="shared" si="72"/>
        <v>0</v>
      </c>
      <c r="G1255">
        <f t="shared" si="73"/>
        <v>0</v>
      </c>
    </row>
    <row r="1256" spans="1:7" hidden="1" x14ac:dyDescent="0.25">
      <c r="A1256" s="43" t="s">
        <v>3353</v>
      </c>
      <c r="B1256" s="81" t="s">
        <v>3292</v>
      </c>
      <c r="C1256" s="26" t="s">
        <v>37</v>
      </c>
      <c r="D1256" s="14"/>
      <c r="E1256" s="15">
        <f>+SUM!H1255</f>
        <v>0</v>
      </c>
      <c r="F1256" s="16">
        <f t="shared" si="72"/>
        <v>0</v>
      </c>
      <c r="G1256">
        <f t="shared" si="73"/>
        <v>0</v>
      </c>
    </row>
    <row r="1257" spans="1:7" hidden="1" x14ac:dyDescent="0.25">
      <c r="A1257" s="43" t="s">
        <v>3354</v>
      </c>
      <c r="B1257" s="81" t="s">
        <v>3291</v>
      </c>
      <c r="C1257" s="26" t="s">
        <v>37</v>
      </c>
      <c r="D1257" s="14"/>
      <c r="E1257" s="15">
        <f>+SUM!H1256</f>
        <v>0</v>
      </c>
      <c r="F1257" s="16">
        <f t="shared" si="72"/>
        <v>0</v>
      </c>
      <c r="G1257">
        <f t="shared" si="73"/>
        <v>0</v>
      </c>
    </row>
    <row r="1258" spans="1:7" hidden="1" x14ac:dyDescent="0.25">
      <c r="A1258" s="43" t="s">
        <v>3355</v>
      </c>
      <c r="B1258" s="81" t="s">
        <v>3290</v>
      </c>
      <c r="C1258" s="26" t="s">
        <v>37</v>
      </c>
      <c r="D1258" s="14"/>
      <c r="E1258" s="15">
        <f>+SUM!H1257</f>
        <v>0</v>
      </c>
      <c r="F1258" s="16">
        <f t="shared" si="72"/>
        <v>0</v>
      </c>
      <c r="G1258">
        <f t="shared" si="73"/>
        <v>0</v>
      </c>
    </row>
    <row r="1259" spans="1:7" hidden="1" x14ac:dyDescent="0.25">
      <c r="A1259" s="43" t="s">
        <v>3356</v>
      </c>
      <c r="B1259" s="81" t="s">
        <v>3289</v>
      </c>
      <c r="C1259" s="26" t="s">
        <v>37</v>
      </c>
      <c r="D1259" s="14"/>
      <c r="E1259" s="15">
        <f>+SUM!H1258</f>
        <v>0</v>
      </c>
      <c r="F1259" s="16">
        <f t="shared" si="72"/>
        <v>0</v>
      </c>
      <c r="G1259">
        <f t="shared" si="73"/>
        <v>0</v>
      </c>
    </row>
    <row r="1260" spans="1:7" hidden="1" x14ac:dyDescent="0.25">
      <c r="A1260" s="43" t="s">
        <v>3357</v>
      </c>
      <c r="B1260" s="81" t="s">
        <v>3288</v>
      </c>
      <c r="C1260" s="26" t="s">
        <v>37</v>
      </c>
      <c r="D1260" s="14"/>
      <c r="E1260" s="15">
        <f>+SUM!H1259</f>
        <v>0</v>
      </c>
      <c r="F1260" s="16">
        <f t="shared" si="72"/>
        <v>0</v>
      </c>
      <c r="G1260">
        <f t="shared" si="73"/>
        <v>0</v>
      </c>
    </row>
    <row r="1261" spans="1:7" hidden="1" x14ac:dyDescent="0.25">
      <c r="A1261" s="43" t="s">
        <v>3358</v>
      </c>
      <c r="B1261" s="81" t="s">
        <v>3287</v>
      </c>
      <c r="C1261" s="26" t="s">
        <v>37</v>
      </c>
      <c r="D1261" s="14"/>
      <c r="E1261" s="15">
        <f>+SUM!H1260</f>
        <v>0</v>
      </c>
      <c r="F1261" s="16">
        <f t="shared" si="72"/>
        <v>0</v>
      </c>
      <c r="G1261">
        <f t="shared" si="73"/>
        <v>0</v>
      </c>
    </row>
    <row r="1262" spans="1:7" x14ac:dyDescent="0.25">
      <c r="A1262" s="44" t="s">
        <v>3433</v>
      </c>
      <c r="B1262" s="80" t="s">
        <v>3432</v>
      </c>
      <c r="C1262" s="26" t="s">
        <v>37</v>
      </c>
      <c r="D1262" s="14"/>
      <c r="E1262" s="15"/>
      <c r="F1262" s="16"/>
      <c r="G1262">
        <v>1</v>
      </c>
    </row>
    <row r="1263" spans="1:7" hidden="1" x14ac:dyDescent="0.25">
      <c r="A1263" s="43" t="s">
        <v>3434</v>
      </c>
      <c r="B1263" s="81" t="s">
        <v>3381</v>
      </c>
      <c r="C1263" s="26" t="s">
        <v>37</v>
      </c>
      <c r="D1263" s="14"/>
      <c r="E1263" s="15">
        <f>+SUM!H1262</f>
        <v>153938</v>
      </c>
      <c r="F1263" s="16">
        <f t="shared" ref="F1263:F1326" si="74">+D1263*E1263</f>
        <v>0</v>
      </c>
      <c r="G1263">
        <f t="shared" si="73"/>
        <v>0</v>
      </c>
    </row>
    <row r="1264" spans="1:7" hidden="1" x14ac:dyDescent="0.25">
      <c r="A1264" s="43" t="s">
        <v>3435</v>
      </c>
      <c r="B1264" s="81" t="s">
        <v>3382</v>
      </c>
      <c r="C1264" s="26" t="s">
        <v>37</v>
      </c>
      <c r="D1264" s="14"/>
      <c r="E1264" s="15">
        <f>+SUM!H1263</f>
        <v>230908</v>
      </c>
      <c r="F1264" s="16">
        <f t="shared" si="74"/>
        <v>0</v>
      </c>
      <c r="G1264">
        <f t="shared" si="73"/>
        <v>0</v>
      </c>
    </row>
    <row r="1265" spans="1:7" hidden="1" x14ac:dyDescent="0.25">
      <c r="A1265" s="43" t="s">
        <v>3436</v>
      </c>
      <c r="B1265" s="81" t="s">
        <v>3383</v>
      </c>
      <c r="C1265" s="26" t="s">
        <v>37</v>
      </c>
      <c r="D1265" s="14"/>
      <c r="E1265" s="15">
        <f>+SUM!H1264</f>
        <v>257022</v>
      </c>
      <c r="F1265" s="16">
        <f t="shared" si="74"/>
        <v>0</v>
      </c>
      <c r="G1265">
        <f t="shared" si="73"/>
        <v>0</v>
      </c>
    </row>
    <row r="1266" spans="1:7" hidden="1" x14ac:dyDescent="0.25">
      <c r="A1266" s="43" t="s">
        <v>3437</v>
      </c>
      <c r="B1266" s="81" t="s">
        <v>3384</v>
      </c>
      <c r="C1266" s="26" t="s">
        <v>37</v>
      </c>
      <c r="D1266" s="14"/>
      <c r="E1266" s="15">
        <f>+SUM!H1265</f>
        <v>328494</v>
      </c>
      <c r="F1266" s="16">
        <f t="shared" si="74"/>
        <v>0</v>
      </c>
      <c r="G1266">
        <f t="shared" si="73"/>
        <v>0</v>
      </c>
    </row>
    <row r="1267" spans="1:7" hidden="1" x14ac:dyDescent="0.25">
      <c r="A1267" s="43" t="s">
        <v>3438</v>
      </c>
      <c r="B1267" s="81" t="s">
        <v>3385</v>
      </c>
      <c r="C1267" s="26" t="s">
        <v>37</v>
      </c>
      <c r="D1267" s="14"/>
      <c r="E1267" s="15">
        <f>+SUM!H1266</f>
        <v>361480</v>
      </c>
      <c r="F1267" s="16">
        <f t="shared" si="74"/>
        <v>0</v>
      </c>
      <c r="G1267">
        <f t="shared" si="73"/>
        <v>0</v>
      </c>
    </row>
    <row r="1268" spans="1:7" hidden="1" x14ac:dyDescent="0.25">
      <c r="A1268" s="43" t="s">
        <v>3439</v>
      </c>
      <c r="B1268" s="81" t="s">
        <v>3386</v>
      </c>
      <c r="C1268" s="26" t="s">
        <v>37</v>
      </c>
      <c r="D1268" s="14"/>
      <c r="E1268" s="15">
        <f>+SUM!H1267</f>
        <v>394467</v>
      </c>
      <c r="F1268" s="16">
        <f t="shared" si="74"/>
        <v>0</v>
      </c>
      <c r="G1268">
        <f t="shared" si="73"/>
        <v>0</v>
      </c>
    </row>
    <row r="1269" spans="1:7" hidden="1" x14ac:dyDescent="0.25">
      <c r="A1269" s="43" t="s">
        <v>3440</v>
      </c>
      <c r="B1269" s="81" t="s">
        <v>3387</v>
      </c>
      <c r="C1269" s="26" t="s">
        <v>37</v>
      </c>
      <c r="D1269" s="14"/>
      <c r="E1269" s="15">
        <f>+SUM!H1268</f>
        <v>504423</v>
      </c>
      <c r="F1269" s="16">
        <f t="shared" si="74"/>
        <v>0</v>
      </c>
      <c r="G1269">
        <f t="shared" si="73"/>
        <v>0</v>
      </c>
    </row>
    <row r="1270" spans="1:7" hidden="1" x14ac:dyDescent="0.25">
      <c r="A1270" s="43" t="s">
        <v>3441</v>
      </c>
      <c r="B1270" s="81" t="s">
        <v>3388</v>
      </c>
      <c r="C1270" s="26" t="s">
        <v>37</v>
      </c>
      <c r="D1270" s="14"/>
      <c r="E1270" s="15">
        <f>+SUM!H1269</f>
        <v>547031</v>
      </c>
      <c r="F1270" s="16">
        <f t="shared" si="74"/>
        <v>0</v>
      </c>
      <c r="G1270">
        <f t="shared" si="73"/>
        <v>0</v>
      </c>
    </row>
    <row r="1271" spans="1:7" x14ac:dyDescent="0.25">
      <c r="A1271" s="43" t="s">
        <v>3442</v>
      </c>
      <c r="B1271" s="81" t="s">
        <v>3389</v>
      </c>
      <c r="C1271" s="26" t="s">
        <v>37</v>
      </c>
      <c r="D1271" s="14">
        <v>2</v>
      </c>
      <c r="E1271" s="15">
        <f>+SUM!H1270</f>
        <v>578643</v>
      </c>
      <c r="F1271" s="16">
        <f t="shared" si="74"/>
        <v>1157286</v>
      </c>
      <c r="G1271">
        <f t="shared" si="73"/>
        <v>1</v>
      </c>
    </row>
    <row r="1272" spans="1:7" hidden="1" x14ac:dyDescent="0.25">
      <c r="A1272" s="43" t="s">
        <v>3443</v>
      </c>
      <c r="B1272" s="81" t="s">
        <v>3390</v>
      </c>
      <c r="C1272" s="26" t="s">
        <v>37</v>
      </c>
      <c r="D1272" s="14"/>
      <c r="E1272" s="15">
        <f>+SUM!H1271</f>
        <v>711965</v>
      </c>
      <c r="F1272" s="16">
        <f t="shared" si="74"/>
        <v>0</v>
      </c>
      <c r="G1272">
        <f t="shared" si="73"/>
        <v>0</v>
      </c>
    </row>
    <row r="1273" spans="1:7" hidden="1" x14ac:dyDescent="0.25">
      <c r="A1273" s="43" t="s">
        <v>3444</v>
      </c>
      <c r="B1273" s="81" t="s">
        <v>3391</v>
      </c>
      <c r="C1273" s="26" t="s">
        <v>37</v>
      </c>
      <c r="D1273" s="14"/>
      <c r="E1273" s="15">
        <f>+SUM!H1272</f>
        <v>0</v>
      </c>
      <c r="F1273" s="16">
        <f t="shared" si="74"/>
        <v>0</v>
      </c>
      <c r="G1273">
        <f t="shared" si="73"/>
        <v>0</v>
      </c>
    </row>
    <row r="1274" spans="1:7" hidden="1" x14ac:dyDescent="0.25">
      <c r="A1274" s="43" t="s">
        <v>3445</v>
      </c>
      <c r="B1274" s="81" t="s">
        <v>3392</v>
      </c>
      <c r="C1274" s="26" t="s">
        <v>37</v>
      </c>
      <c r="D1274" s="14"/>
      <c r="E1274" s="15">
        <f>+SUM!H1273</f>
        <v>849410</v>
      </c>
      <c r="F1274" s="16">
        <f t="shared" si="74"/>
        <v>0</v>
      </c>
      <c r="G1274">
        <f t="shared" si="73"/>
        <v>0</v>
      </c>
    </row>
    <row r="1275" spans="1:7" hidden="1" x14ac:dyDescent="0.25">
      <c r="A1275" s="43" t="s">
        <v>3446</v>
      </c>
      <c r="B1275" s="81" t="s">
        <v>3393</v>
      </c>
      <c r="C1275" s="26" t="s">
        <v>37</v>
      </c>
      <c r="D1275" s="14"/>
      <c r="E1275" s="15">
        <f>+SUM!H1274</f>
        <v>849410</v>
      </c>
      <c r="F1275" s="16">
        <f t="shared" si="74"/>
        <v>0</v>
      </c>
      <c r="G1275">
        <f t="shared" si="73"/>
        <v>0</v>
      </c>
    </row>
    <row r="1276" spans="1:7" x14ac:dyDescent="0.25">
      <c r="A1276" s="43" t="s">
        <v>3447</v>
      </c>
      <c r="B1276" s="81" t="s">
        <v>3394</v>
      </c>
      <c r="C1276" s="26" t="s">
        <v>37</v>
      </c>
      <c r="D1276" s="14">
        <v>2</v>
      </c>
      <c r="E1276" s="15">
        <f>+SUM!H1275</f>
        <v>970362</v>
      </c>
      <c r="F1276" s="16">
        <f t="shared" si="74"/>
        <v>1940724</v>
      </c>
      <c r="G1276">
        <f t="shared" si="73"/>
        <v>1</v>
      </c>
    </row>
    <row r="1277" spans="1:7" hidden="1" x14ac:dyDescent="0.25">
      <c r="A1277" s="43" t="s">
        <v>3448</v>
      </c>
      <c r="B1277" s="81" t="s">
        <v>3395</v>
      </c>
      <c r="C1277" s="26" t="s">
        <v>37</v>
      </c>
      <c r="D1277" s="14"/>
      <c r="E1277" s="15">
        <f>+SUM!H1276</f>
        <v>1043208</v>
      </c>
      <c r="F1277" s="16">
        <f t="shared" si="74"/>
        <v>0</v>
      </c>
      <c r="G1277">
        <f t="shared" si="73"/>
        <v>0</v>
      </c>
    </row>
    <row r="1278" spans="1:7" hidden="1" x14ac:dyDescent="0.25">
      <c r="A1278" s="43" t="s">
        <v>3449</v>
      </c>
      <c r="B1278" s="81" t="s">
        <v>3396</v>
      </c>
      <c r="C1278" s="26" t="s">
        <v>37</v>
      </c>
      <c r="D1278" s="14"/>
      <c r="E1278" s="15">
        <f>+SUM!H1277</f>
        <v>1261745</v>
      </c>
      <c r="F1278" s="16">
        <f t="shared" si="74"/>
        <v>0</v>
      </c>
      <c r="G1278">
        <f t="shared" si="73"/>
        <v>0</v>
      </c>
    </row>
    <row r="1279" spans="1:7" hidden="1" x14ac:dyDescent="0.25">
      <c r="A1279" s="43" t="s">
        <v>3450</v>
      </c>
      <c r="B1279" s="81" t="s">
        <v>3397</v>
      </c>
      <c r="C1279" s="26" t="s">
        <v>37</v>
      </c>
      <c r="D1279" s="14"/>
      <c r="E1279" s="15">
        <f>+SUM!H1278</f>
        <v>1285111</v>
      </c>
      <c r="F1279" s="16">
        <f t="shared" si="74"/>
        <v>0</v>
      </c>
      <c r="G1279">
        <f t="shared" si="73"/>
        <v>0</v>
      </c>
    </row>
    <row r="1280" spans="1:7" hidden="1" x14ac:dyDescent="0.25">
      <c r="A1280" s="43" t="s">
        <v>3451</v>
      </c>
      <c r="B1280" s="81" t="s">
        <v>3398</v>
      </c>
      <c r="C1280" s="26" t="s">
        <v>37</v>
      </c>
      <c r="D1280" s="14"/>
      <c r="E1280" s="15">
        <f>+SUM!H1279</f>
        <v>1285111</v>
      </c>
      <c r="F1280" s="16">
        <f t="shared" si="74"/>
        <v>0</v>
      </c>
      <c r="G1280">
        <f t="shared" si="73"/>
        <v>0</v>
      </c>
    </row>
    <row r="1281" spans="1:7" hidden="1" x14ac:dyDescent="0.25">
      <c r="A1281" s="43" t="s">
        <v>3452</v>
      </c>
      <c r="B1281" s="81" t="s">
        <v>3399</v>
      </c>
      <c r="C1281" s="26" t="s">
        <v>37</v>
      </c>
      <c r="D1281" s="14"/>
      <c r="E1281" s="15">
        <f>+SUM!H1280</f>
        <v>1491278</v>
      </c>
      <c r="F1281" s="16">
        <f t="shared" si="74"/>
        <v>0</v>
      </c>
      <c r="G1281">
        <f t="shared" si="73"/>
        <v>0</v>
      </c>
    </row>
    <row r="1282" spans="1:7" hidden="1" x14ac:dyDescent="0.25">
      <c r="A1282" s="43" t="s">
        <v>3453</v>
      </c>
      <c r="B1282" s="81" t="s">
        <v>3400</v>
      </c>
      <c r="C1282" s="26" t="s">
        <v>37</v>
      </c>
      <c r="D1282" s="14"/>
      <c r="E1282" s="15">
        <f>+SUM!H1281</f>
        <v>1503648</v>
      </c>
      <c r="F1282" s="16">
        <f t="shared" si="74"/>
        <v>0</v>
      </c>
      <c r="G1282">
        <f t="shared" si="73"/>
        <v>0</v>
      </c>
    </row>
    <row r="1283" spans="1:7" hidden="1" x14ac:dyDescent="0.25">
      <c r="A1283" s="43" t="s">
        <v>3454</v>
      </c>
      <c r="B1283" s="81" t="s">
        <v>3401</v>
      </c>
      <c r="C1283" s="26" t="s">
        <v>37</v>
      </c>
      <c r="D1283" s="14"/>
      <c r="E1283" s="15">
        <f>+SUM!H1282</f>
        <v>0</v>
      </c>
      <c r="F1283" s="16">
        <f t="shared" si="74"/>
        <v>0</v>
      </c>
      <c r="G1283">
        <f t="shared" si="73"/>
        <v>0</v>
      </c>
    </row>
    <row r="1284" spans="1:7" hidden="1" x14ac:dyDescent="0.25">
      <c r="A1284" s="43" t="s">
        <v>3455</v>
      </c>
      <c r="B1284" s="81" t="s">
        <v>3402</v>
      </c>
      <c r="C1284" s="26" t="s">
        <v>37</v>
      </c>
      <c r="D1284" s="14"/>
      <c r="E1284" s="15">
        <f>+SUM!H1283</f>
        <v>1833516</v>
      </c>
      <c r="F1284" s="16">
        <f t="shared" si="74"/>
        <v>0</v>
      </c>
      <c r="G1284">
        <f t="shared" si="73"/>
        <v>0</v>
      </c>
    </row>
    <row r="1285" spans="1:7" hidden="1" x14ac:dyDescent="0.25">
      <c r="A1285" s="43" t="s">
        <v>3456</v>
      </c>
      <c r="B1285" s="81" t="s">
        <v>3403</v>
      </c>
      <c r="C1285" s="26" t="s">
        <v>37</v>
      </c>
      <c r="D1285" s="14"/>
      <c r="E1285" s="15">
        <f>+SUM!H1284</f>
        <v>1867878</v>
      </c>
      <c r="F1285" s="16">
        <f t="shared" si="74"/>
        <v>0</v>
      </c>
      <c r="G1285">
        <f t="shared" si="73"/>
        <v>0</v>
      </c>
    </row>
    <row r="1286" spans="1:7" hidden="1" x14ac:dyDescent="0.25">
      <c r="A1286" s="43" t="s">
        <v>3457</v>
      </c>
      <c r="B1286" s="81" t="s">
        <v>3404</v>
      </c>
      <c r="C1286" s="26" t="s">
        <v>37</v>
      </c>
      <c r="D1286" s="14"/>
      <c r="E1286" s="15">
        <f>+SUM!H1285</f>
        <v>1932477</v>
      </c>
      <c r="F1286" s="16">
        <f t="shared" si="74"/>
        <v>0</v>
      </c>
      <c r="G1286">
        <f t="shared" si="73"/>
        <v>0</v>
      </c>
    </row>
    <row r="1287" spans="1:7" x14ac:dyDescent="0.25">
      <c r="A1287" s="43" t="s">
        <v>3458</v>
      </c>
      <c r="B1287" s="81" t="s">
        <v>3405</v>
      </c>
      <c r="C1287" s="26" t="s">
        <v>37</v>
      </c>
      <c r="D1287" s="14">
        <v>1</v>
      </c>
      <c r="E1287" s="15">
        <f>+SUM!H1286</f>
        <v>2182627</v>
      </c>
      <c r="F1287" s="16">
        <f t="shared" si="74"/>
        <v>2182627</v>
      </c>
      <c r="G1287">
        <f t="shared" si="73"/>
        <v>1</v>
      </c>
    </row>
    <row r="1288" spans="1:7" hidden="1" x14ac:dyDescent="0.25">
      <c r="A1288" s="43" t="s">
        <v>3459</v>
      </c>
      <c r="B1288" s="81" t="s">
        <v>3406</v>
      </c>
      <c r="C1288" s="26" t="s">
        <v>37</v>
      </c>
      <c r="D1288" s="14"/>
      <c r="E1288" s="15">
        <f>+SUM!H1287</f>
        <v>2328318</v>
      </c>
      <c r="F1288" s="16">
        <f t="shared" si="74"/>
        <v>0</v>
      </c>
      <c r="G1288">
        <f t="shared" si="73"/>
        <v>0</v>
      </c>
    </row>
    <row r="1289" spans="1:7" hidden="1" x14ac:dyDescent="0.25">
      <c r="A1289" s="43" t="s">
        <v>3460</v>
      </c>
      <c r="B1289" s="81" t="s">
        <v>3407</v>
      </c>
      <c r="C1289" s="26" t="s">
        <v>37</v>
      </c>
      <c r="D1289" s="14"/>
      <c r="E1289" s="15">
        <f>+SUM!H1288</f>
        <v>0</v>
      </c>
      <c r="F1289" s="16">
        <f t="shared" si="74"/>
        <v>0</v>
      </c>
      <c r="G1289">
        <f t="shared" si="73"/>
        <v>0</v>
      </c>
    </row>
    <row r="1290" spans="1:7" hidden="1" x14ac:dyDescent="0.25">
      <c r="A1290" s="43" t="s">
        <v>3461</v>
      </c>
      <c r="B1290" s="81" t="s">
        <v>3408</v>
      </c>
      <c r="C1290" s="26" t="s">
        <v>37</v>
      </c>
      <c r="D1290" s="14"/>
      <c r="E1290" s="15">
        <f>+SUM!H1289</f>
        <v>2303578</v>
      </c>
      <c r="F1290" s="16">
        <f t="shared" si="74"/>
        <v>0</v>
      </c>
      <c r="G1290">
        <f t="shared" si="73"/>
        <v>0</v>
      </c>
    </row>
    <row r="1291" spans="1:7" hidden="1" x14ac:dyDescent="0.25">
      <c r="A1291" s="43" t="s">
        <v>3462</v>
      </c>
      <c r="B1291" s="81" t="s">
        <v>3409</v>
      </c>
      <c r="C1291" s="26" t="s">
        <v>37</v>
      </c>
      <c r="D1291" s="14"/>
      <c r="E1291" s="15">
        <f>+SUM!H1290</f>
        <v>2303578</v>
      </c>
      <c r="F1291" s="16">
        <f t="shared" si="74"/>
        <v>0</v>
      </c>
      <c r="G1291">
        <f t="shared" si="73"/>
        <v>0</v>
      </c>
    </row>
    <row r="1292" spans="1:7" x14ac:dyDescent="0.25">
      <c r="A1292" s="43" t="s">
        <v>3463</v>
      </c>
      <c r="B1292" s="81" t="s">
        <v>3410</v>
      </c>
      <c r="C1292" s="26" t="s">
        <v>37</v>
      </c>
      <c r="D1292" s="14">
        <v>1</v>
      </c>
      <c r="E1292" s="15">
        <f>+SUM!H1291</f>
        <v>2754398</v>
      </c>
      <c r="F1292" s="16">
        <f t="shared" si="74"/>
        <v>2754398</v>
      </c>
      <c r="G1292">
        <f t="shared" si="73"/>
        <v>1</v>
      </c>
    </row>
    <row r="1293" spans="1:7" hidden="1" x14ac:dyDescent="0.25">
      <c r="A1293" s="43" t="s">
        <v>3464</v>
      </c>
      <c r="B1293" s="81" t="s">
        <v>3411</v>
      </c>
      <c r="C1293" s="26" t="s">
        <v>37</v>
      </c>
      <c r="D1293" s="14"/>
      <c r="E1293" s="15">
        <f>+SUM!H1292</f>
        <v>2981182</v>
      </c>
      <c r="F1293" s="16">
        <f t="shared" si="74"/>
        <v>0</v>
      </c>
      <c r="G1293">
        <f t="shared" si="73"/>
        <v>0</v>
      </c>
    </row>
    <row r="1294" spans="1:7" hidden="1" x14ac:dyDescent="0.25">
      <c r="A1294" s="43" t="s">
        <v>3465</v>
      </c>
      <c r="B1294" s="81" t="s">
        <v>3412</v>
      </c>
      <c r="C1294" s="26" t="s">
        <v>37</v>
      </c>
      <c r="D1294" s="14"/>
      <c r="E1294" s="15">
        <f>+SUM!H1293</f>
        <v>3103508</v>
      </c>
      <c r="F1294" s="16">
        <f t="shared" si="74"/>
        <v>0</v>
      </c>
      <c r="G1294">
        <f t="shared" si="73"/>
        <v>0</v>
      </c>
    </row>
    <row r="1295" spans="1:7" hidden="1" x14ac:dyDescent="0.25">
      <c r="A1295" s="43" t="s">
        <v>3466</v>
      </c>
      <c r="B1295" s="81" t="s">
        <v>3413</v>
      </c>
      <c r="C1295" s="26" t="s">
        <v>37</v>
      </c>
      <c r="D1295" s="14"/>
      <c r="E1295" s="15">
        <f>+SUM!H1294</f>
        <v>2748900</v>
      </c>
      <c r="F1295" s="16">
        <f t="shared" si="74"/>
        <v>0</v>
      </c>
      <c r="G1295">
        <f t="shared" si="73"/>
        <v>0</v>
      </c>
    </row>
    <row r="1296" spans="1:7" hidden="1" x14ac:dyDescent="0.25">
      <c r="A1296" s="43" t="s">
        <v>3467</v>
      </c>
      <c r="B1296" s="81" t="s">
        <v>3414</v>
      </c>
      <c r="C1296" s="26" t="s">
        <v>37</v>
      </c>
      <c r="D1296" s="14"/>
      <c r="E1296" s="15">
        <f>+SUM!H1295</f>
        <v>2817623</v>
      </c>
      <c r="F1296" s="16">
        <f t="shared" si="74"/>
        <v>0</v>
      </c>
      <c r="G1296">
        <f t="shared" si="73"/>
        <v>0</v>
      </c>
    </row>
    <row r="1297" spans="1:7" hidden="1" x14ac:dyDescent="0.25">
      <c r="A1297" s="43" t="s">
        <v>3468</v>
      </c>
      <c r="B1297" s="81" t="s">
        <v>3415</v>
      </c>
      <c r="C1297" s="26" t="s">
        <v>37</v>
      </c>
      <c r="D1297" s="14"/>
      <c r="E1297" s="15">
        <f>+SUM!H1296</f>
        <v>3319297</v>
      </c>
      <c r="F1297" s="16">
        <f t="shared" si="74"/>
        <v>0</v>
      </c>
      <c r="G1297">
        <f t="shared" si="73"/>
        <v>0</v>
      </c>
    </row>
    <row r="1298" spans="1:7" hidden="1" x14ac:dyDescent="0.25">
      <c r="A1298" s="43" t="s">
        <v>3469</v>
      </c>
      <c r="B1298" s="81" t="s">
        <v>3416</v>
      </c>
      <c r="C1298" s="26" t="s">
        <v>37</v>
      </c>
      <c r="D1298" s="14"/>
      <c r="E1298" s="15">
        <f>+SUM!H1297</f>
        <v>3782486</v>
      </c>
      <c r="F1298" s="16">
        <f t="shared" si="74"/>
        <v>0</v>
      </c>
      <c r="G1298">
        <f t="shared" si="73"/>
        <v>0</v>
      </c>
    </row>
    <row r="1299" spans="1:7" hidden="1" x14ac:dyDescent="0.25">
      <c r="A1299" s="43" t="s">
        <v>3470</v>
      </c>
      <c r="B1299" s="81" t="s">
        <v>3417</v>
      </c>
      <c r="C1299" s="26" t="s">
        <v>37</v>
      </c>
      <c r="D1299" s="14"/>
      <c r="E1299" s="15">
        <f>+SUM!H1298</f>
        <v>3951544</v>
      </c>
      <c r="F1299" s="16">
        <f t="shared" si="74"/>
        <v>0</v>
      </c>
      <c r="G1299">
        <f t="shared" si="73"/>
        <v>0</v>
      </c>
    </row>
    <row r="1300" spans="1:7" hidden="1" x14ac:dyDescent="0.25">
      <c r="A1300" s="43" t="s">
        <v>3471</v>
      </c>
      <c r="B1300" s="81" t="s">
        <v>3418</v>
      </c>
      <c r="C1300" s="26" t="s">
        <v>37</v>
      </c>
      <c r="D1300" s="14"/>
      <c r="E1300" s="15">
        <f>+SUM!H1299</f>
        <v>4071121</v>
      </c>
      <c r="F1300" s="16">
        <f t="shared" si="74"/>
        <v>0</v>
      </c>
      <c r="G1300">
        <f t="shared" si="73"/>
        <v>0</v>
      </c>
    </row>
    <row r="1301" spans="1:7" hidden="1" x14ac:dyDescent="0.25">
      <c r="A1301" s="43" t="s">
        <v>3472</v>
      </c>
      <c r="B1301" s="81" t="s">
        <v>3419</v>
      </c>
      <c r="C1301" s="26" t="s">
        <v>37</v>
      </c>
      <c r="D1301" s="14"/>
      <c r="E1301" s="15">
        <f>+SUM!H1300</f>
        <v>4678628</v>
      </c>
      <c r="F1301" s="16">
        <f t="shared" si="74"/>
        <v>0</v>
      </c>
      <c r="G1301">
        <f t="shared" si="73"/>
        <v>0</v>
      </c>
    </row>
    <row r="1302" spans="1:7" hidden="1" x14ac:dyDescent="0.25">
      <c r="A1302" s="43" t="s">
        <v>3473</v>
      </c>
      <c r="B1302" s="81" t="s">
        <v>3420</v>
      </c>
      <c r="C1302" s="26" t="s">
        <v>37</v>
      </c>
      <c r="D1302" s="14"/>
      <c r="E1302" s="15">
        <f>+SUM!H1301</f>
        <v>3613429</v>
      </c>
      <c r="F1302" s="16">
        <f t="shared" si="74"/>
        <v>0</v>
      </c>
      <c r="G1302">
        <f t="shared" si="73"/>
        <v>0</v>
      </c>
    </row>
    <row r="1303" spans="1:7" hidden="1" x14ac:dyDescent="0.25">
      <c r="A1303" s="43" t="s">
        <v>3474</v>
      </c>
      <c r="B1303" s="81" t="s">
        <v>3421</v>
      </c>
      <c r="C1303" s="26" t="s">
        <v>37</v>
      </c>
      <c r="D1303" s="14"/>
      <c r="E1303" s="15">
        <f>+SUM!H1302</f>
        <v>3928178</v>
      </c>
      <c r="F1303" s="16">
        <f t="shared" si="74"/>
        <v>0</v>
      </c>
      <c r="G1303">
        <f t="shared" si="73"/>
        <v>0</v>
      </c>
    </row>
    <row r="1304" spans="1:7" hidden="1" x14ac:dyDescent="0.25">
      <c r="A1304" s="43" t="s">
        <v>3475</v>
      </c>
      <c r="B1304" s="81" t="s">
        <v>3422</v>
      </c>
      <c r="C1304" s="26" t="s">
        <v>37</v>
      </c>
      <c r="D1304" s="14"/>
      <c r="E1304" s="15">
        <f>+SUM!H1303</f>
        <v>4253923</v>
      </c>
      <c r="F1304" s="16">
        <f t="shared" si="74"/>
        <v>0</v>
      </c>
      <c r="G1304">
        <f t="shared" si="73"/>
        <v>0</v>
      </c>
    </row>
    <row r="1305" spans="1:7" hidden="1" x14ac:dyDescent="0.25">
      <c r="A1305" s="43" t="s">
        <v>3476</v>
      </c>
      <c r="B1305" s="81" t="s">
        <v>3423</v>
      </c>
      <c r="C1305" s="26" t="s">
        <v>37</v>
      </c>
      <c r="D1305" s="14"/>
      <c r="E1305" s="15">
        <f>+SUM!H1304</f>
        <v>4796831</v>
      </c>
      <c r="F1305" s="16">
        <f t="shared" si="74"/>
        <v>0</v>
      </c>
      <c r="G1305">
        <f t="shared" si="73"/>
        <v>0</v>
      </c>
    </row>
    <row r="1306" spans="1:7" hidden="1" x14ac:dyDescent="0.25">
      <c r="A1306" s="43" t="s">
        <v>3477</v>
      </c>
      <c r="B1306" s="81" t="s">
        <v>3424</v>
      </c>
      <c r="C1306" s="26" t="s">
        <v>37</v>
      </c>
      <c r="D1306" s="14"/>
      <c r="E1306" s="15">
        <f>+SUM!H1305</f>
        <v>4920531</v>
      </c>
      <c r="F1306" s="16">
        <f t="shared" si="74"/>
        <v>0</v>
      </c>
      <c r="G1306">
        <f t="shared" si="73"/>
        <v>0</v>
      </c>
    </row>
    <row r="1307" spans="1:7" hidden="1" x14ac:dyDescent="0.25">
      <c r="A1307" s="43" t="s">
        <v>3478</v>
      </c>
      <c r="B1307" s="81" t="s">
        <v>3425</v>
      </c>
      <c r="C1307" s="26" t="s">
        <v>37</v>
      </c>
      <c r="D1307" s="14"/>
      <c r="E1307" s="15">
        <f>+SUM!H1306</f>
        <v>0</v>
      </c>
      <c r="F1307" s="16">
        <f t="shared" si="74"/>
        <v>0</v>
      </c>
      <c r="G1307">
        <f t="shared" si="73"/>
        <v>0</v>
      </c>
    </row>
    <row r="1308" spans="1:7" hidden="1" x14ac:dyDescent="0.25">
      <c r="A1308" s="43" t="s">
        <v>3479</v>
      </c>
      <c r="B1308" s="81" t="s">
        <v>3426</v>
      </c>
      <c r="C1308" s="26" t="s">
        <v>37</v>
      </c>
      <c r="D1308" s="14"/>
      <c r="E1308" s="15">
        <f>+SUM!H1307</f>
        <v>0</v>
      </c>
      <c r="F1308" s="16">
        <f t="shared" si="74"/>
        <v>0</v>
      </c>
      <c r="G1308">
        <f t="shared" si="73"/>
        <v>0</v>
      </c>
    </row>
    <row r="1309" spans="1:7" hidden="1" x14ac:dyDescent="0.25">
      <c r="A1309" s="43" t="s">
        <v>3480</v>
      </c>
      <c r="B1309" s="81" t="s">
        <v>3427</v>
      </c>
      <c r="C1309" s="26" t="s">
        <v>37</v>
      </c>
      <c r="D1309" s="14"/>
      <c r="E1309" s="15">
        <f>+SUM!H1308</f>
        <v>4741853</v>
      </c>
      <c r="F1309" s="16">
        <f t="shared" si="74"/>
        <v>0</v>
      </c>
      <c r="G1309">
        <f t="shared" si="73"/>
        <v>0</v>
      </c>
    </row>
    <row r="1310" spans="1:7" hidden="1" x14ac:dyDescent="0.25">
      <c r="A1310" s="43" t="s">
        <v>3481</v>
      </c>
      <c r="B1310" s="81" t="s">
        <v>3428</v>
      </c>
      <c r="C1310" s="26" t="s">
        <v>37</v>
      </c>
      <c r="D1310" s="14"/>
      <c r="E1310" s="15">
        <f>+SUM!H1309</f>
        <v>4741853</v>
      </c>
      <c r="F1310" s="16">
        <f t="shared" si="74"/>
        <v>0</v>
      </c>
      <c r="G1310">
        <f t="shared" si="73"/>
        <v>0</v>
      </c>
    </row>
    <row r="1311" spans="1:7" hidden="1" x14ac:dyDescent="0.25">
      <c r="A1311" s="43" t="s">
        <v>3482</v>
      </c>
      <c r="B1311" s="81" t="s">
        <v>3429</v>
      </c>
      <c r="C1311" s="26" t="s">
        <v>37</v>
      </c>
      <c r="D1311" s="14"/>
      <c r="E1311" s="15">
        <f>+SUM!H1310</f>
        <v>6650964</v>
      </c>
      <c r="F1311" s="16">
        <f t="shared" si="74"/>
        <v>0</v>
      </c>
      <c r="G1311">
        <f t="shared" si="73"/>
        <v>0</v>
      </c>
    </row>
    <row r="1312" spans="1:7" hidden="1" x14ac:dyDescent="0.25">
      <c r="A1312" s="43" t="s">
        <v>3483</v>
      </c>
      <c r="B1312" s="81" t="s">
        <v>3430</v>
      </c>
      <c r="C1312" s="26" t="s">
        <v>37</v>
      </c>
      <c r="D1312" s="14"/>
      <c r="E1312" s="15">
        <f>+SUM!H1311</f>
        <v>7030312</v>
      </c>
      <c r="F1312" s="16">
        <f t="shared" si="74"/>
        <v>0</v>
      </c>
      <c r="G1312">
        <f t="shared" si="73"/>
        <v>0</v>
      </c>
    </row>
    <row r="1313" spans="1:7" hidden="1" x14ac:dyDescent="0.25">
      <c r="A1313" s="43" t="s">
        <v>3484</v>
      </c>
      <c r="B1313" s="81" t="s">
        <v>3431</v>
      </c>
      <c r="C1313" s="26" t="s">
        <v>37</v>
      </c>
      <c r="D1313" s="14"/>
      <c r="E1313" s="15">
        <f>+SUM!H1312</f>
        <v>7371175</v>
      </c>
      <c r="F1313" s="16">
        <f t="shared" si="74"/>
        <v>0</v>
      </c>
      <c r="G1313">
        <f t="shared" si="73"/>
        <v>0</v>
      </c>
    </row>
    <row r="1314" spans="1:7" hidden="1" x14ac:dyDescent="0.25">
      <c r="A1314" s="78" t="s">
        <v>3485</v>
      </c>
      <c r="B1314" s="80" t="s">
        <v>5716</v>
      </c>
      <c r="C1314" s="26" t="s">
        <v>37</v>
      </c>
      <c r="D1314" s="14"/>
      <c r="E1314" s="15"/>
      <c r="F1314" s="16"/>
      <c r="G1314">
        <f t="shared" si="73"/>
        <v>0</v>
      </c>
    </row>
    <row r="1315" spans="1:7" hidden="1" x14ac:dyDescent="0.25">
      <c r="A1315" s="85" t="s">
        <v>3488</v>
      </c>
      <c r="B1315" s="81" t="s">
        <v>3384</v>
      </c>
      <c r="C1315" s="26" t="s">
        <v>37</v>
      </c>
      <c r="D1315" s="14"/>
      <c r="E1315" s="15"/>
      <c r="F1315" s="16">
        <f t="shared" si="74"/>
        <v>0</v>
      </c>
      <c r="G1315">
        <f t="shared" si="73"/>
        <v>0</v>
      </c>
    </row>
    <row r="1316" spans="1:7" hidden="1" x14ac:dyDescent="0.25">
      <c r="A1316" s="85" t="s">
        <v>3489</v>
      </c>
      <c r="B1316" s="81" t="s">
        <v>3487</v>
      </c>
      <c r="C1316" s="26" t="s">
        <v>37</v>
      </c>
      <c r="D1316" s="14"/>
      <c r="E1316" s="15"/>
      <c r="F1316" s="16">
        <f t="shared" si="74"/>
        <v>0</v>
      </c>
      <c r="G1316">
        <f t="shared" ref="G1316:G1379" si="75">+IF(F1316&lt;&gt;0,1,0)</f>
        <v>0</v>
      </c>
    </row>
    <row r="1317" spans="1:7" hidden="1" x14ac:dyDescent="0.25">
      <c r="A1317" s="85" t="s">
        <v>3490</v>
      </c>
      <c r="B1317" s="81" t="s">
        <v>3385</v>
      </c>
      <c r="C1317" s="26" t="s">
        <v>37</v>
      </c>
      <c r="D1317" s="14"/>
      <c r="E1317" s="15"/>
      <c r="F1317" s="16">
        <f t="shared" si="74"/>
        <v>0</v>
      </c>
      <c r="G1317">
        <f t="shared" si="75"/>
        <v>0</v>
      </c>
    </row>
    <row r="1318" spans="1:7" hidden="1" x14ac:dyDescent="0.25">
      <c r="A1318" s="85" t="s">
        <v>3491</v>
      </c>
      <c r="B1318" s="81" t="s">
        <v>3386</v>
      </c>
      <c r="C1318" s="26" t="s">
        <v>37</v>
      </c>
      <c r="D1318" s="14"/>
      <c r="E1318" s="15"/>
      <c r="F1318" s="16">
        <f t="shared" si="74"/>
        <v>0</v>
      </c>
      <c r="G1318">
        <f t="shared" si="75"/>
        <v>0</v>
      </c>
    </row>
    <row r="1319" spans="1:7" hidden="1" x14ac:dyDescent="0.25">
      <c r="A1319" s="85" t="s">
        <v>3492</v>
      </c>
      <c r="B1319" s="81" t="s">
        <v>3389</v>
      </c>
      <c r="C1319" s="26" t="s">
        <v>37</v>
      </c>
      <c r="D1319" s="14"/>
      <c r="E1319" s="15"/>
      <c r="F1319" s="16">
        <f t="shared" si="74"/>
        <v>0</v>
      </c>
      <c r="G1319">
        <f t="shared" si="75"/>
        <v>0</v>
      </c>
    </row>
    <row r="1320" spans="1:7" hidden="1" x14ac:dyDescent="0.25">
      <c r="A1320" s="85" t="s">
        <v>3493</v>
      </c>
      <c r="B1320" s="81" t="s">
        <v>3390</v>
      </c>
      <c r="C1320" s="26" t="s">
        <v>37</v>
      </c>
      <c r="D1320" s="14"/>
      <c r="E1320" s="15"/>
      <c r="F1320" s="16">
        <f t="shared" si="74"/>
        <v>0</v>
      </c>
      <c r="G1320">
        <f t="shared" si="75"/>
        <v>0</v>
      </c>
    </row>
    <row r="1321" spans="1:7" hidden="1" x14ac:dyDescent="0.25">
      <c r="A1321" s="85" t="s">
        <v>3494</v>
      </c>
      <c r="B1321" s="81" t="s">
        <v>3393</v>
      </c>
      <c r="C1321" s="26" t="s">
        <v>37</v>
      </c>
      <c r="D1321" s="14"/>
      <c r="E1321" s="15"/>
      <c r="F1321" s="16">
        <f t="shared" si="74"/>
        <v>0</v>
      </c>
      <c r="G1321">
        <f t="shared" si="75"/>
        <v>0</v>
      </c>
    </row>
    <row r="1322" spans="1:7" hidden="1" x14ac:dyDescent="0.25">
      <c r="A1322" s="85" t="s">
        <v>3495</v>
      </c>
      <c r="B1322" s="81" t="s">
        <v>3394</v>
      </c>
      <c r="C1322" s="26" t="s">
        <v>37</v>
      </c>
      <c r="D1322" s="14"/>
      <c r="E1322" s="15"/>
      <c r="F1322" s="16">
        <f t="shared" si="74"/>
        <v>0</v>
      </c>
      <c r="G1322">
        <f t="shared" si="75"/>
        <v>0</v>
      </c>
    </row>
    <row r="1323" spans="1:7" hidden="1" x14ac:dyDescent="0.25">
      <c r="A1323" s="85" t="s">
        <v>3496</v>
      </c>
      <c r="B1323" s="81" t="s">
        <v>3395</v>
      </c>
      <c r="C1323" s="26" t="s">
        <v>37</v>
      </c>
      <c r="D1323" s="14"/>
      <c r="E1323" s="15"/>
      <c r="F1323" s="16">
        <f t="shared" si="74"/>
        <v>0</v>
      </c>
      <c r="G1323">
        <f t="shared" si="75"/>
        <v>0</v>
      </c>
    </row>
    <row r="1324" spans="1:7" hidden="1" x14ac:dyDescent="0.25">
      <c r="A1324" s="85" t="s">
        <v>3497</v>
      </c>
      <c r="B1324" s="81" t="s">
        <v>3398</v>
      </c>
      <c r="C1324" s="26" t="s">
        <v>37</v>
      </c>
      <c r="D1324" s="14"/>
      <c r="E1324" s="15"/>
      <c r="F1324" s="16">
        <f t="shared" si="74"/>
        <v>0</v>
      </c>
      <c r="G1324">
        <f t="shared" si="75"/>
        <v>0</v>
      </c>
    </row>
    <row r="1325" spans="1:7" hidden="1" x14ac:dyDescent="0.25">
      <c r="A1325" s="85" t="s">
        <v>3498</v>
      </c>
      <c r="B1325" s="81" t="s">
        <v>3400</v>
      </c>
      <c r="C1325" s="26" t="s">
        <v>37</v>
      </c>
      <c r="D1325" s="14"/>
      <c r="E1325" s="15"/>
      <c r="F1325" s="16">
        <f t="shared" si="74"/>
        <v>0</v>
      </c>
      <c r="G1325">
        <f t="shared" si="75"/>
        <v>0</v>
      </c>
    </row>
    <row r="1326" spans="1:7" hidden="1" x14ac:dyDescent="0.25">
      <c r="A1326" s="85" t="s">
        <v>3499</v>
      </c>
      <c r="B1326" s="81" t="s">
        <v>3404</v>
      </c>
      <c r="C1326" s="26" t="s">
        <v>37</v>
      </c>
      <c r="D1326" s="14"/>
      <c r="E1326" s="15"/>
      <c r="F1326" s="16">
        <f t="shared" si="74"/>
        <v>0</v>
      </c>
      <c r="G1326">
        <f t="shared" si="75"/>
        <v>0</v>
      </c>
    </row>
    <row r="1327" spans="1:7" hidden="1" x14ac:dyDescent="0.25">
      <c r="A1327" s="85" t="s">
        <v>3500</v>
      </c>
      <c r="B1327" s="81" t="s">
        <v>3406</v>
      </c>
      <c r="C1327" s="26" t="s">
        <v>37</v>
      </c>
      <c r="D1327" s="14"/>
      <c r="E1327" s="15"/>
      <c r="F1327" s="16">
        <f t="shared" ref="F1327:F1332" si="76">+D1327*E1327</f>
        <v>0</v>
      </c>
      <c r="G1327">
        <f t="shared" si="75"/>
        <v>0</v>
      </c>
    </row>
    <row r="1328" spans="1:7" hidden="1" x14ac:dyDescent="0.25">
      <c r="A1328" s="85" t="s">
        <v>3501</v>
      </c>
      <c r="B1328" s="81" t="s">
        <v>3408</v>
      </c>
      <c r="C1328" s="26" t="s">
        <v>37</v>
      </c>
      <c r="D1328" s="14"/>
      <c r="E1328" s="15"/>
      <c r="F1328" s="16">
        <f t="shared" si="76"/>
        <v>0</v>
      </c>
      <c r="G1328">
        <f t="shared" si="75"/>
        <v>0</v>
      </c>
    </row>
    <row r="1329" spans="1:7" hidden="1" x14ac:dyDescent="0.25">
      <c r="A1329" s="85" t="s">
        <v>3502</v>
      </c>
      <c r="B1329" s="81" t="s">
        <v>3420</v>
      </c>
      <c r="C1329" s="26" t="s">
        <v>37</v>
      </c>
      <c r="D1329" s="14"/>
      <c r="E1329" s="15"/>
      <c r="F1329" s="16">
        <f t="shared" si="76"/>
        <v>0</v>
      </c>
      <c r="G1329">
        <f t="shared" si="75"/>
        <v>0</v>
      </c>
    </row>
    <row r="1330" spans="1:7" hidden="1" x14ac:dyDescent="0.25">
      <c r="A1330" s="85" t="s">
        <v>3503</v>
      </c>
      <c r="B1330" s="81" t="s">
        <v>3421</v>
      </c>
      <c r="C1330" s="26" t="s">
        <v>37</v>
      </c>
      <c r="D1330" s="14"/>
      <c r="E1330" s="15"/>
      <c r="F1330" s="16">
        <f t="shared" si="76"/>
        <v>0</v>
      </c>
      <c r="G1330">
        <f t="shared" si="75"/>
        <v>0</v>
      </c>
    </row>
    <row r="1331" spans="1:7" hidden="1" x14ac:dyDescent="0.25">
      <c r="A1331" s="85" t="s">
        <v>3504</v>
      </c>
      <c r="B1331" s="81" t="s">
        <v>3425</v>
      </c>
      <c r="C1331" s="26" t="s">
        <v>37</v>
      </c>
      <c r="D1331" s="14"/>
      <c r="E1331" s="15"/>
      <c r="F1331" s="16">
        <f t="shared" si="76"/>
        <v>0</v>
      </c>
      <c r="G1331">
        <f t="shared" si="75"/>
        <v>0</v>
      </c>
    </row>
    <row r="1332" spans="1:7" hidden="1" x14ac:dyDescent="0.25">
      <c r="A1332" s="85" t="s">
        <v>3505</v>
      </c>
      <c r="B1332" s="81" t="s">
        <v>3428</v>
      </c>
      <c r="C1332" s="26" t="s">
        <v>37</v>
      </c>
      <c r="D1332" s="14"/>
      <c r="E1332" s="15"/>
      <c r="F1332" s="16">
        <f t="shared" si="76"/>
        <v>0</v>
      </c>
      <c r="G1332">
        <f t="shared" si="75"/>
        <v>0</v>
      </c>
    </row>
    <row r="1333" spans="1:7" x14ac:dyDescent="0.25">
      <c r="A1333" s="78" t="s">
        <v>975</v>
      </c>
      <c r="B1333" s="80" t="s">
        <v>3506</v>
      </c>
      <c r="C1333" s="26"/>
      <c r="D1333" s="14"/>
      <c r="E1333" s="15"/>
      <c r="F1333" s="16"/>
      <c r="G1333">
        <v>1</v>
      </c>
    </row>
    <row r="1334" spans="1:7" hidden="1" x14ac:dyDescent="0.25">
      <c r="A1334" s="78" t="s">
        <v>3507</v>
      </c>
      <c r="B1334" s="79" t="s">
        <v>3545</v>
      </c>
      <c r="C1334" s="26"/>
      <c r="D1334" s="14"/>
      <c r="E1334" s="15"/>
      <c r="F1334" s="16"/>
      <c r="G1334">
        <f t="shared" si="75"/>
        <v>0</v>
      </c>
    </row>
    <row r="1335" spans="1:7" hidden="1" x14ac:dyDescent="0.25">
      <c r="A1335" s="85" t="s">
        <v>3508</v>
      </c>
      <c r="B1335" s="88" t="s">
        <v>3511</v>
      </c>
      <c r="C1335" s="26" t="s">
        <v>37</v>
      </c>
      <c r="D1335" s="14"/>
      <c r="E1335" s="15"/>
      <c r="F1335" s="16">
        <f t="shared" ref="F1335:F1346" si="77">+D1335*E1335</f>
        <v>0</v>
      </c>
      <c r="G1335">
        <f t="shared" si="75"/>
        <v>0</v>
      </c>
    </row>
    <row r="1336" spans="1:7" hidden="1" x14ac:dyDescent="0.25">
      <c r="A1336" s="85" t="s">
        <v>3521</v>
      </c>
      <c r="B1336" s="88" t="s">
        <v>3512</v>
      </c>
      <c r="C1336" s="26" t="s">
        <v>37</v>
      </c>
      <c r="D1336" s="14"/>
      <c r="E1336" s="15"/>
      <c r="F1336" s="16">
        <f t="shared" si="77"/>
        <v>0</v>
      </c>
      <c r="G1336">
        <f t="shared" si="75"/>
        <v>0</v>
      </c>
    </row>
    <row r="1337" spans="1:7" hidden="1" x14ac:dyDescent="0.25">
      <c r="A1337" s="85" t="s">
        <v>3522</v>
      </c>
      <c r="B1337" s="88" t="s">
        <v>3510</v>
      </c>
      <c r="C1337" s="26" t="s">
        <v>37</v>
      </c>
      <c r="D1337" s="14"/>
      <c r="E1337" s="15"/>
      <c r="F1337" s="16">
        <f t="shared" si="77"/>
        <v>0</v>
      </c>
      <c r="G1337">
        <f t="shared" si="75"/>
        <v>0</v>
      </c>
    </row>
    <row r="1338" spans="1:7" hidden="1" x14ac:dyDescent="0.25">
      <c r="A1338" s="85" t="s">
        <v>3523</v>
      </c>
      <c r="B1338" s="88" t="s">
        <v>3514</v>
      </c>
      <c r="C1338" s="26" t="s">
        <v>37</v>
      </c>
      <c r="D1338" s="14"/>
      <c r="E1338" s="15"/>
      <c r="F1338" s="16">
        <f t="shared" si="77"/>
        <v>0</v>
      </c>
      <c r="G1338">
        <f t="shared" si="75"/>
        <v>0</v>
      </c>
    </row>
    <row r="1339" spans="1:7" hidden="1" x14ac:dyDescent="0.25">
      <c r="A1339" s="85" t="s">
        <v>3524</v>
      </c>
      <c r="B1339" s="88" t="s">
        <v>3513</v>
      </c>
      <c r="C1339" s="26" t="s">
        <v>37</v>
      </c>
      <c r="D1339" s="14"/>
      <c r="E1339" s="15"/>
      <c r="F1339" s="16">
        <f t="shared" si="77"/>
        <v>0</v>
      </c>
      <c r="G1339">
        <f t="shared" si="75"/>
        <v>0</v>
      </c>
    </row>
    <row r="1340" spans="1:7" hidden="1" x14ac:dyDescent="0.25">
      <c r="A1340" s="85" t="s">
        <v>3525</v>
      </c>
      <c r="B1340" s="88" t="s">
        <v>3515</v>
      </c>
      <c r="C1340" s="26" t="s">
        <v>37</v>
      </c>
      <c r="D1340" s="14"/>
      <c r="E1340" s="15">
        <f>+SUM!H1339</f>
        <v>1300230</v>
      </c>
      <c r="F1340" s="16">
        <f t="shared" si="77"/>
        <v>0</v>
      </c>
      <c r="G1340">
        <f t="shared" si="75"/>
        <v>0</v>
      </c>
    </row>
    <row r="1341" spans="1:7" hidden="1" x14ac:dyDescent="0.25">
      <c r="A1341" s="85" t="s">
        <v>3526</v>
      </c>
      <c r="B1341" s="88" t="s">
        <v>3516</v>
      </c>
      <c r="C1341" s="26" t="s">
        <v>37</v>
      </c>
      <c r="D1341" s="14"/>
      <c r="E1341" s="15">
        <f>+SUM!H1340</f>
        <v>1517393</v>
      </c>
      <c r="F1341" s="16">
        <f t="shared" si="77"/>
        <v>0</v>
      </c>
      <c r="G1341">
        <f t="shared" si="75"/>
        <v>0</v>
      </c>
    </row>
    <row r="1342" spans="1:7" hidden="1" x14ac:dyDescent="0.25">
      <c r="A1342" s="85" t="s">
        <v>3527</v>
      </c>
      <c r="B1342" s="88" t="s">
        <v>3517</v>
      </c>
      <c r="C1342" s="26" t="s">
        <v>37</v>
      </c>
      <c r="D1342" s="14"/>
      <c r="E1342" s="15">
        <f>+SUM!H1341</f>
        <v>2376424</v>
      </c>
      <c r="F1342" s="16">
        <f t="shared" si="77"/>
        <v>0</v>
      </c>
      <c r="G1342">
        <f t="shared" si="75"/>
        <v>0</v>
      </c>
    </row>
    <row r="1343" spans="1:7" hidden="1" x14ac:dyDescent="0.25">
      <c r="A1343" s="85" t="s">
        <v>3528</v>
      </c>
      <c r="B1343" s="88" t="s">
        <v>3518</v>
      </c>
      <c r="C1343" s="26" t="s">
        <v>37</v>
      </c>
      <c r="D1343" s="14"/>
      <c r="E1343" s="15">
        <f>+SUM!H1342</f>
        <v>3334416</v>
      </c>
      <c r="F1343" s="16">
        <f t="shared" si="77"/>
        <v>0</v>
      </c>
      <c r="G1343">
        <f t="shared" si="75"/>
        <v>0</v>
      </c>
    </row>
    <row r="1344" spans="1:7" hidden="1" x14ac:dyDescent="0.25">
      <c r="A1344" s="85" t="s">
        <v>3529</v>
      </c>
      <c r="B1344" s="88" t="s">
        <v>3519</v>
      </c>
      <c r="C1344" s="26" t="s">
        <v>37</v>
      </c>
      <c r="D1344" s="14"/>
      <c r="E1344" s="15">
        <f>+SUM!H1343</f>
        <v>3999650</v>
      </c>
      <c r="F1344" s="16">
        <f t="shared" si="77"/>
        <v>0</v>
      </c>
      <c r="G1344">
        <f t="shared" si="75"/>
        <v>0</v>
      </c>
    </row>
    <row r="1345" spans="1:7" hidden="1" x14ac:dyDescent="0.25">
      <c r="A1345" s="85" t="s">
        <v>3530</v>
      </c>
      <c r="B1345" s="88" t="s">
        <v>3520</v>
      </c>
      <c r="C1345" s="26" t="s">
        <v>37</v>
      </c>
      <c r="D1345" s="14"/>
      <c r="E1345" s="15">
        <f>+SUM!H1344</f>
        <v>5000249</v>
      </c>
      <c r="F1345" s="16">
        <f t="shared" si="77"/>
        <v>0</v>
      </c>
      <c r="G1345">
        <f t="shared" si="75"/>
        <v>0</v>
      </c>
    </row>
    <row r="1346" spans="1:7" hidden="1" x14ac:dyDescent="0.25">
      <c r="A1346" s="85" t="s">
        <v>3531</v>
      </c>
      <c r="B1346" s="88" t="s">
        <v>3509</v>
      </c>
      <c r="C1346" s="26" t="s">
        <v>37</v>
      </c>
      <c r="D1346" s="14"/>
      <c r="E1346" s="15">
        <f>+SUM!H1345</f>
        <v>6424179</v>
      </c>
      <c r="F1346" s="16">
        <f t="shared" si="77"/>
        <v>0</v>
      </c>
      <c r="G1346">
        <f t="shared" si="75"/>
        <v>0</v>
      </c>
    </row>
    <row r="1347" spans="1:7" hidden="1" x14ac:dyDescent="0.25">
      <c r="A1347" s="78" t="s">
        <v>3532</v>
      </c>
      <c r="B1347" s="79" t="s">
        <v>3546</v>
      </c>
      <c r="C1347" s="26"/>
      <c r="D1347" s="14"/>
      <c r="E1347" s="15">
        <f>+SUM!H1346</f>
        <v>0</v>
      </c>
      <c r="F1347" s="16"/>
      <c r="G1347">
        <f t="shared" si="75"/>
        <v>0</v>
      </c>
    </row>
    <row r="1348" spans="1:7" hidden="1" x14ac:dyDescent="0.25">
      <c r="A1348" s="85" t="s">
        <v>3533</v>
      </c>
      <c r="B1348" s="88" t="s">
        <v>3511</v>
      </c>
      <c r="C1348" s="26" t="s">
        <v>37</v>
      </c>
      <c r="D1348" s="14"/>
      <c r="E1348" s="15">
        <f>+SUM!H1347</f>
        <v>92088</v>
      </c>
      <c r="F1348" s="16">
        <f t="shared" ref="F1348:F1359" si="78">+D1348*E1348</f>
        <v>0</v>
      </c>
      <c r="G1348">
        <f t="shared" si="75"/>
        <v>0</v>
      </c>
    </row>
    <row r="1349" spans="1:7" hidden="1" x14ac:dyDescent="0.25">
      <c r="A1349" s="85" t="s">
        <v>3534</v>
      </c>
      <c r="B1349" s="88" t="s">
        <v>3512</v>
      </c>
      <c r="C1349" s="26" t="s">
        <v>37</v>
      </c>
      <c r="D1349" s="14"/>
      <c r="E1349" s="15">
        <f>+SUM!H1348</f>
        <v>114079</v>
      </c>
      <c r="F1349" s="16">
        <f t="shared" si="78"/>
        <v>0</v>
      </c>
      <c r="G1349">
        <f t="shared" si="75"/>
        <v>0</v>
      </c>
    </row>
    <row r="1350" spans="1:7" hidden="1" x14ac:dyDescent="0.25">
      <c r="A1350" s="85" t="s">
        <v>3535</v>
      </c>
      <c r="B1350" s="88" t="s">
        <v>3510</v>
      </c>
      <c r="C1350" s="26" t="s">
        <v>37</v>
      </c>
      <c r="D1350" s="14"/>
      <c r="E1350" s="15">
        <f>+SUM!H1349</f>
        <v>142943</v>
      </c>
      <c r="F1350" s="16">
        <f t="shared" si="78"/>
        <v>0</v>
      </c>
      <c r="G1350">
        <f t="shared" si="75"/>
        <v>0</v>
      </c>
    </row>
    <row r="1351" spans="1:7" hidden="1" x14ac:dyDescent="0.25">
      <c r="A1351" s="85" t="s">
        <v>3536</v>
      </c>
      <c r="B1351" s="88" t="s">
        <v>3514</v>
      </c>
      <c r="C1351" s="26" t="s">
        <v>37</v>
      </c>
      <c r="D1351" s="14"/>
      <c r="E1351" s="15">
        <f>+SUM!H1350</f>
        <v>306502</v>
      </c>
      <c r="F1351" s="16">
        <f t="shared" si="78"/>
        <v>0</v>
      </c>
      <c r="G1351">
        <f t="shared" si="75"/>
        <v>0</v>
      </c>
    </row>
    <row r="1352" spans="1:7" hidden="1" x14ac:dyDescent="0.25">
      <c r="A1352" s="85" t="s">
        <v>3537</v>
      </c>
      <c r="B1352" s="88" t="s">
        <v>3513</v>
      </c>
      <c r="C1352" s="26" t="s">
        <v>37</v>
      </c>
      <c r="D1352" s="14"/>
      <c r="E1352" s="15">
        <f>+SUM!H1351</f>
        <v>667983</v>
      </c>
      <c r="F1352" s="16">
        <f t="shared" si="78"/>
        <v>0</v>
      </c>
      <c r="G1352">
        <f t="shared" si="75"/>
        <v>0</v>
      </c>
    </row>
    <row r="1353" spans="1:7" hidden="1" x14ac:dyDescent="0.25">
      <c r="A1353" s="85" t="s">
        <v>3538</v>
      </c>
      <c r="B1353" s="88" t="s">
        <v>3515</v>
      </c>
      <c r="C1353" s="26" t="s">
        <v>37</v>
      </c>
      <c r="D1353" s="14"/>
      <c r="E1353" s="15">
        <f>+SUM!H1352</f>
        <v>1100934</v>
      </c>
      <c r="F1353" s="16">
        <f t="shared" si="78"/>
        <v>0</v>
      </c>
      <c r="G1353">
        <f t="shared" si="75"/>
        <v>0</v>
      </c>
    </row>
    <row r="1354" spans="1:7" hidden="1" x14ac:dyDescent="0.25">
      <c r="A1354" s="85" t="s">
        <v>3539</v>
      </c>
      <c r="B1354" s="88" t="s">
        <v>3516</v>
      </c>
      <c r="C1354" s="26" t="s">
        <v>37</v>
      </c>
      <c r="D1354" s="14"/>
      <c r="E1354" s="15">
        <f>+SUM!H1353</f>
        <v>1168283</v>
      </c>
      <c r="F1354" s="16">
        <f t="shared" si="78"/>
        <v>0</v>
      </c>
      <c r="G1354">
        <f t="shared" si="75"/>
        <v>0</v>
      </c>
    </row>
    <row r="1355" spans="1:7" hidden="1" x14ac:dyDescent="0.25">
      <c r="A1355" s="85" t="s">
        <v>3540</v>
      </c>
      <c r="B1355" s="88" t="s">
        <v>3517</v>
      </c>
      <c r="C1355" s="26" t="s">
        <v>37</v>
      </c>
      <c r="D1355" s="14"/>
      <c r="E1355" s="15">
        <f>+SUM!H1354</f>
        <v>1682327</v>
      </c>
      <c r="F1355" s="16">
        <f t="shared" si="78"/>
        <v>0</v>
      </c>
      <c r="G1355">
        <f t="shared" si="75"/>
        <v>0</v>
      </c>
    </row>
    <row r="1356" spans="1:7" hidden="1" x14ac:dyDescent="0.25">
      <c r="A1356" s="85" t="s">
        <v>3541</v>
      </c>
      <c r="B1356" s="88" t="s">
        <v>3518</v>
      </c>
      <c r="C1356" s="26" t="s">
        <v>37</v>
      </c>
      <c r="D1356" s="14"/>
      <c r="E1356" s="15">
        <f>+SUM!H1355</f>
        <v>2500125</v>
      </c>
      <c r="F1356" s="16">
        <f t="shared" si="78"/>
        <v>0</v>
      </c>
      <c r="G1356">
        <f t="shared" si="75"/>
        <v>0</v>
      </c>
    </row>
    <row r="1357" spans="1:7" hidden="1" x14ac:dyDescent="0.25">
      <c r="A1357" s="85" t="s">
        <v>3542</v>
      </c>
      <c r="B1357" s="88" t="s">
        <v>3519</v>
      </c>
      <c r="C1357" s="26" t="s">
        <v>37</v>
      </c>
      <c r="D1357" s="14"/>
      <c r="E1357" s="15">
        <f>+SUM!H1356</f>
        <v>3334416</v>
      </c>
      <c r="F1357" s="16">
        <f t="shared" si="78"/>
        <v>0</v>
      </c>
      <c r="G1357">
        <f t="shared" si="75"/>
        <v>0</v>
      </c>
    </row>
    <row r="1358" spans="1:7" hidden="1" x14ac:dyDescent="0.25">
      <c r="A1358" s="85" t="s">
        <v>3543</v>
      </c>
      <c r="B1358" s="88" t="s">
        <v>3520</v>
      </c>
      <c r="C1358" s="26" t="s">
        <v>37</v>
      </c>
      <c r="D1358" s="14"/>
      <c r="E1358" s="15">
        <f>+SUM!H1357</f>
        <v>4828443</v>
      </c>
      <c r="F1358" s="16">
        <f t="shared" si="78"/>
        <v>0</v>
      </c>
      <c r="G1358">
        <f t="shared" si="75"/>
        <v>0</v>
      </c>
    </row>
    <row r="1359" spans="1:7" hidden="1" x14ac:dyDescent="0.25">
      <c r="A1359" s="85" t="s">
        <v>3544</v>
      </c>
      <c r="B1359" s="88" t="s">
        <v>3509</v>
      </c>
      <c r="C1359" s="26" t="s">
        <v>37</v>
      </c>
      <c r="D1359" s="14"/>
      <c r="E1359" s="15">
        <f>+SUM!H1358</f>
        <v>5434575</v>
      </c>
      <c r="F1359" s="16">
        <f t="shared" si="78"/>
        <v>0</v>
      </c>
      <c r="G1359">
        <f t="shared" si="75"/>
        <v>0</v>
      </c>
    </row>
    <row r="1360" spans="1:7" hidden="1" x14ac:dyDescent="0.25">
      <c r="A1360" s="78" t="s">
        <v>976</v>
      </c>
      <c r="B1360" s="79" t="s">
        <v>3547</v>
      </c>
      <c r="C1360" s="26"/>
      <c r="D1360" s="14"/>
      <c r="E1360" s="15">
        <f>+SUM!H1359</f>
        <v>0</v>
      </c>
      <c r="F1360" s="16"/>
      <c r="G1360">
        <f t="shared" si="75"/>
        <v>0</v>
      </c>
    </row>
    <row r="1361" spans="1:7" hidden="1" x14ac:dyDescent="0.25">
      <c r="A1361" s="85" t="s">
        <v>3548</v>
      </c>
      <c r="B1361" s="88" t="s">
        <v>3511</v>
      </c>
      <c r="C1361" s="26" t="s">
        <v>37</v>
      </c>
      <c r="D1361" s="14"/>
      <c r="E1361" s="15">
        <f>+SUM!H1360</f>
        <v>72846</v>
      </c>
      <c r="F1361" s="16">
        <f t="shared" ref="F1361:F1372" si="79">+D1361*E1361</f>
        <v>0</v>
      </c>
      <c r="G1361">
        <f t="shared" si="75"/>
        <v>0</v>
      </c>
    </row>
    <row r="1362" spans="1:7" hidden="1" x14ac:dyDescent="0.25">
      <c r="A1362" s="85" t="s">
        <v>3549</v>
      </c>
      <c r="B1362" s="88" t="s">
        <v>3512</v>
      </c>
      <c r="C1362" s="26" t="s">
        <v>37</v>
      </c>
      <c r="D1362" s="14"/>
      <c r="E1362" s="15">
        <f>+SUM!H1361</f>
        <v>131947</v>
      </c>
      <c r="F1362" s="16">
        <f t="shared" si="79"/>
        <v>0</v>
      </c>
      <c r="G1362">
        <f t="shared" si="75"/>
        <v>0</v>
      </c>
    </row>
    <row r="1363" spans="1:7" hidden="1" x14ac:dyDescent="0.25">
      <c r="A1363" s="85" t="s">
        <v>3550</v>
      </c>
      <c r="B1363" s="88" t="s">
        <v>3510</v>
      </c>
      <c r="C1363" s="26" t="s">
        <v>37</v>
      </c>
      <c r="D1363" s="14"/>
      <c r="E1363" s="15">
        <f>+SUM!H1362</f>
        <v>162185</v>
      </c>
      <c r="F1363" s="16">
        <f t="shared" si="79"/>
        <v>0</v>
      </c>
      <c r="G1363">
        <f t="shared" si="75"/>
        <v>0</v>
      </c>
    </row>
    <row r="1364" spans="1:7" hidden="1" x14ac:dyDescent="0.25">
      <c r="A1364" s="85" t="s">
        <v>3551</v>
      </c>
      <c r="B1364" s="88" t="s">
        <v>3514</v>
      </c>
      <c r="C1364" s="26" t="s">
        <v>37</v>
      </c>
      <c r="D1364" s="14"/>
      <c r="E1364" s="15">
        <f>+SUM!H1363</f>
        <v>262520</v>
      </c>
      <c r="F1364" s="16">
        <f t="shared" si="79"/>
        <v>0</v>
      </c>
      <c r="G1364">
        <f t="shared" si="75"/>
        <v>0</v>
      </c>
    </row>
    <row r="1365" spans="1:7" hidden="1" x14ac:dyDescent="0.25">
      <c r="A1365" s="85" t="s">
        <v>3552</v>
      </c>
      <c r="B1365" s="88" t="s">
        <v>3513</v>
      </c>
      <c r="C1365" s="26" t="s">
        <v>37</v>
      </c>
      <c r="D1365" s="14"/>
      <c r="E1365" s="15">
        <f>+SUM!H1364</f>
        <v>427454</v>
      </c>
      <c r="F1365" s="16">
        <f t="shared" si="79"/>
        <v>0</v>
      </c>
      <c r="G1365">
        <f t="shared" si="75"/>
        <v>0</v>
      </c>
    </row>
    <row r="1366" spans="1:7" hidden="1" x14ac:dyDescent="0.25">
      <c r="A1366" s="85" t="s">
        <v>3553</v>
      </c>
      <c r="B1366" s="88" t="s">
        <v>3515</v>
      </c>
      <c r="C1366" s="26" t="s">
        <v>37</v>
      </c>
      <c r="D1366" s="14"/>
      <c r="E1366" s="15">
        <f>+SUM!H1365</f>
        <v>982732</v>
      </c>
      <c r="F1366" s="16">
        <f t="shared" si="79"/>
        <v>0</v>
      </c>
      <c r="G1366">
        <f t="shared" si="75"/>
        <v>0</v>
      </c>
    </row>
    <row r="1367" spans="1:7" hidden="1" x14ac:dyDescent="0.25">
      <c r="A1367" s="85" t="s">
        <v>977</v>
      </c>
      <c r="B1367" s="88" t="s">
        <v>3516</v>
      </c>
      <c r="C1367" s="26" t="s">
        <v>37</v>
      </c>
      <c r="D1367" s="14"/>
      <c r="E1367" s="15">
        <f>+SUM!H1366</f>
        <v>1250750</v>
      </c>
      <c r="F1367" s="16">
        <f t="shared" si="79"/>
        <v>0</v>
      </c>
      <c r="G1367">
        <f t="shared" si="75"/>
        <v>0</v>
      </c>
    </row>
    <row r="1368" spans="1:7" hidden="1" x14ac:dyDescent="0.25">
      <c r="A1368" s="85" t="s">
        <v>3554</v>
      </c>
      <c r="B1368" s="88" t="s">
        <v>3517</v>
      </c>
      <c r="C1368" s="26" t="s">
        <v>37</v>
      </c>
      <c r="D1368" s="14"/>
      <c r="E1368" s="15">
        <f>+SUM!H1367</f>
        <v>1584741</v>
      </c>
      <c r="F1368" s="16">
        <f t="shared" si="79"/>
        <v>0</v>
      </c>
      <c r="G1368">
        <f t="shared" si="75"/>
        <v>0</v>
      </c>
    </row>
    <row r="1369" spans="1:7" hidden="1" x14ac:dyDescent="0.25">
      <c r="A1369" s="85" t="s">
        <v>3555</v>
      </c>
      <c r="B1369" s="88" t="s">
        <v>3518</v>
      </c>
      <c r="C1369" s="26" t="s">
        <v>37</v>
      </c>
      <c r="D1369" s="14"/>
      <c r="E1369" s="15">
        <f>+SUM!H1368</f>
        <v>2083666</v>
      </c>
      <c r="F1369" s="16">
        <f t="shared" si="79"/>
        <v>0</v>
      </c>
      <c r="G1369">
        <f t="shared" si="75"/>
        <v>0</v>
      </c>
    </row>
    <row r="1370" spans="1:7" hidden="1" x14ac:dyDescent="0.25">
      <c r="A1370" s="85" t="s">
        <v>3556</v>
      </c>
      <c r="B1370" s="88" t="s">
        <v>3519</v>
      </c>
      <c r="C1370" s="26" t="s">
        <v>37</v>
      </c>
      <c r="D1370" s="14"/>
      <c r="E1370" s="15">
        <f>+SUM!H1369</f>
        <v>2982557</v>
      </c>
      <c r="F1370" s="16">
        <f t="shared" si="79"/>
        <v>0</v>
      </c>
      <c r="G1370">
        <f t="shared" si="75"/>
        <v>0</v>
      </c>
    </row>
    <row r="1371" spans="1:7" hidden="1" x14ac:dyDescent="0.25">
      <c r="A1371" s="85" t="s">
        <v>3557</v>
      </c>
      <c r="B1371" s="88" t="s">
        <v>3520</v>
      </c>
      <c r="C1371" s="26" t="s">
        <v>37</v>
      </c>
      <c r="D1371" s="14"/>
      <c r="E1371" s="15">
        <f>+SUM!H1370</f>
        <v>5284760</v>
      </c>
      <c r="F1371" s="16">
        <f t="shared" si="79"/>
        <v>0</v>
      </c>
      <c r="G1371">
        <f t="shared" si="75"/>
        <v>0</v>
      </c>
    </row>
    <row r="1372" spans="1:7" hidden="1" x14ac:dyDescent="0.25">
      <c r="A1372" s="85" t="s">
        <v>3558</v>
      </c>
      <c r="B1372" s="88" t="s">
        <v>3509</v>
      </c>
      <c r="C1372" s="26" t="s">
        <v>37</v>
      </c>
      <c r="D1372" s="14"/>
      <c r="E1372" s="15">
        <f>+SUM!H1371</f>
        <v>4970011</v>
      </c>
      <c r="F1372" s="16">
        <f t="shared" si="79"/>
        <v>0</v>
      </c>
      <c r="G1372">
        <f t="shared" si="75"/>
        <v>0</v>
      </c>
    </row>
    <row r="1373" spans="1:7" x14ac:dyDescent="0.25">
      <c r="A1373" s="78" t="s">
        <v>978</v>
      </c>
      <c r="B1373" s="79" t="s">
        <v>3570</v>
      </c>
      <c r="C1373" s="26"/>
      <c r="D1373" s="14"/>
      <c r="E1373" s="15"/>
      <c r="F1373" s="16"/>
      <c r="G1373">
        <v>1</v>
      </c>
    </row>
    <row r="1374" spans="1:7" hidden="1" x14ac:dyDescent="0.25">
      <c r="A1374" s="85" t="s">
        <v>3559</v>
      </c>
      <c r="B1374" s="88" t="s">
        <v>3511</v>
      </c>
      <c r="C1374" s="26" t="s">
        <v>37</v>
      </c>
      <c r="D1374" s="14"/>
      <c r="E1374" s="15">
        <f>+SUM!H1373</f>
        <v>65974</v>
      </c>
      <c r="F1374" s="16">
        <f t="shared" ref="F1374:F1385" si="80">+D1374*E1374</f>
        <v>0</v>
      </c>
      <c r="G1374">
        <f t="shared" si="75"/>
        <v>0</v>
      </c>
    </row>
    <row r="1375" spans="1:7" hidden="1" x14ac:dyDescent="0.25">
      <c r="A1375" s="85" t="s">
        <v>3560</v>
      </c>
      <c r="B1375" s="88" t="s">
        <v>3512</v>
      </c>
      <c r="C1375" s="26" t="s">
        <v>37</v>
      </c>
      <c r="D1375" s="14"/>
      <c r="E1375" s="15">
        <f>+SUM!H1374</f>
        <v>109956</v>
      </c>
      <c r="F1375" s="16">
        <f t="shared" si="80"/>
        <v>0</v>
      </c>
      <c r="G1375">
        <f t="shared" si="75"/>
        <v>0</v>
      </c>
    </row>
    <row r="1376" spans="1:7" hidden="1" x14ac:dyDescent="0.25">
      <c r="A1376" s="85" t="s">
        <v>3561</v>
      </c>
      <c r="B1376" s="88" t="s">
        <v>3510</v>
      </c>
      <c r="C1376" s="26" t="s">
        <v>37</v>
      </c>
      <c r="D1376" s="14"/>
      <c r="E1376" s="15">
        <f>+SUM!H1375</f>
        <v>131947</v>
      </c>
      <c r="F1376" s="16">
        <f t="shared" si="80"/>
        <v>0</v>
      </c>
      <c r="G1376">
        <f t="shared" si="75"/>
        <v>0</v>
      </c>
    </row>
    <row r="1377" spans="1:7" hidden="1" x14ac:dyDescent="0.25">
      <c r="A1377" s="85" t="s">
        <v>3562</v>
      </c>
      <c r="B1377" s="88" t="s">
        <v>3514</v>
      </c>
      <c r="C1377" s="26" t="s">
        <v>37</v>
      </c>
      <c r="D1377" s="14"/>
      <c r="E1377" s="15">
        <f>+SUM!H1376</f>
        <v>251524</v>
      </c>
      <c r="F1377" s="16">
        <f t="shared" si="80"/>
        <v>0</v>
      </c>
      <c r="G1377">
        <f t="shared" si="75"/>
        <v>0</v>
      </c>
    </row>
    <row r="1378" spans="1:7" hidden="1" x14ac:dyDescent="0.25">
      <c r="A1378" s="85" t="s">
        <v>3563</v>
      </c>
      <c r="B1378" s="88" t="s">
        <v>3513</v>
      </c>
      <c r="C1378" s="26" t="s">
        <v>37</v>
      </c>
      <c r="D1378" s="14"/>
      <c r="E1378" s="15">
        <f>+SUM!H1377</f>
        <v>417833</v>
      </c>
      <c r="F1378" s="16">
        <f t="shared" si="80"/>
        <v>0</v>
      </c>
      <c r="G1378">
        <f t="shared" si="75"/>
        <v>0</v>
      </c>
    </row>
    <row r="1379" spans="1:7" hidden="1" x14ac:dyDescent="0.25">
      <c r="A1379" s="85" t="s">
        <v>3564</v>
      </c>
      <c r="B1379" s="88" t="s">
        <v>3515</v>
      </c>
      <c r="C1379" s="26" t="s">
        <v>37</v>
      </c>
      <c r="D1379" s="14"/>
      <c r="E1379" s="15">
        <f>+SUM!H1378</f>
        <v>751824</v>
      </c>
      <c r="F1379" s="16">
        <f t="shared" si="80"/>
        <v>0</v>
      </c>
      <c r="G1379">
        <f t="shared" si="75"/>
        <v>0</v>
      </c>
    </row>
    <row r="1380" spans="1:7" hidden="1" x14ac:dyDescent="0.25">
      <c r="A1380" s="85" t="s">
        <v>3565</v>
      </c>
      <c r="B1380" s="88" t="s">
        <v>3516</v>
      </c>
      <c r="C1380" s="26" t="s">
        <v>37</v>
      </c>
      <c r="D1380" s="14"/>
      <c r="E1380" s="15">
        <f>+SUM!H1379</f>
        <v>1084441</v>
      </c>
      <c r="F1380" s="16">
        <f t="shared" si="80"/>
        <v>0</v>
      </c>
      <c r="G1380">
        <f t="shared" ref="G1380:G1443" si="81">+IF(F1380&lt;&gt;0,1,0)</f>
        <v>0</v>
      </c>
    </row>
    <row r="1381" spans="1:7" hidden="1" x14ac:dyDescent="0.25">
      <c r="A1381" s="85" t="s">
        <v>3566</v>
      </c>
      <c r="B1381" s="88" t="s">
        <v>3517</v>
      </c>
      <c r="C1381" s="26" t="s">
        <v>37</v>
      </c>
      <c r="D1381" s="14"/>
      <c r="E1381" s="15">
        <f>+SUM!H1380</f>
        <v>1584741</v>
      </c>
      <c r="F1381" s="16">
        <f t="shared" si="80"/>
        <v>0</v>
      </c>
      <c r="G1381">
        <f t="shared" si="81"/>
        <v>0</v>
      </c>
    </row>
    <row r="1382" spans="1:7" hidden="1" x14ac:dyDescent="0.25">
      <c r="A1382" s="85" t="s">
        <v>3567</v>
      </c>
      <c r="B1382" s="88" t="s">
        <v>3518</v>
      </c>
      <c r="C1382" s="26" t="s">
        <v>37</v>
      </c>
      <c r="D1382" s="14"/>
      <c r="E1382" s="15">
        <f>+SUM!H1381</f>
        <v>2083666</v>
      </c>
      <c r="F1382" s="16">
        <f t="shared" si="80"/>
        <v>0</v>
      </c>
      <c r="G1382">
        <f t="shared" si="81"/>
        <v>0</v>
      </c>
    </row>
    <row r="1383" spans="1:7" hidden="1" x14ac:dyDescent="0.25">
      <c r="A1383" s="85" t="s">
        <v>3568</v>
      </c>
      <c r="B1383" s="88" t="s">
        <v>3519</v>
      </c>
      <c r="C1383" s="26" t="s">
        <v>37</v>
      </c>
      <c r="D1383" s="14"/>
      <c r="E1383" s="15">
        <f>+SUM!H1382</f>
        <v>2909711</v>
      </c>
      <c r="F1383" s="16">
        <f t="shared" si="80"/>
        <v>0</v>
      </c>
      <c r="G1383">
        <f t="shared" si="81"/>
        <v>0</v>
      </c>
    </row>
    <row r="1384" spans="1:7" hidden="1" x14ac:dyDescent="0.25">
      <c r="A1384" s="85" t="s">
        <v>3569</v>
      </c>
      <c r="B1384" s="88" t="s">
        <v>3520</v>
      </c>
      <c r="C1384" s="26" t="s">
        <v>37</v>
      </c>
      <c r="D1384" s="14"/>
      <c r="E1384" s="15">
        <f>+SUM!H1383</f>
        <v>3976284</v>
      </c>
      <c r="F1384" s="16">
        <f t="shared" si="80"/>
        <v>0</v>
      </c>
      <c r="G1384">
        <f t="shared" si="81"/>
        <v>0</v>
      </c>
    </row>
    <row r="1385" spans="1:7" hidden="1" x14ac:dyDescent="0.25">
      <c r="A1385" s="85" t="s">
        <v>3571</v>
      </c>
      <c r="B1385" s="88" t="s">
        <v>3509</v>
      </c>
      <c r="C1385" s="26" t="s">
        <v>37</v>
      </c>
      <c r="D1385" s="14"/>
      <c r="E1385" s="15">
        <f>+SUM!H1384</f>
        <v>4027139</v>
      </c>
      <c r="F1385" s="16">
        <f t="shared" si="80"/>
        <v>0</v>
      </c>
      <c r="G1385">
        <f t="shared" si="81"/>
        <v>0</v>
      </c>
    </row>
    <row r="1386" spans="1:7" hidden="1" x14ac:dyDescent="0.25">
      <c r="A1386" s="78" t="s">
        <v>3576</v>
      </c>
      <c r="B1386" s="79" t="s">
        <v>3572</v>
      </c>
      <c r="C1386" s="26"/>
      <c r="D1386" s="14"/>
      <c r="E1386" s="15"/>
      <c r="F1386" s="16"/>
      <c r="G1386">
        <f t="shared" si="81"/>
        <v>0</v>
      </c>
    </row>
    <row r="1387" spans="1:7" hidden="1" x14ac:dyDescent="0.25">
      <c r="A1387" s="85" t="s">
        <v>3577</v>
      </c>
      <c r="B1387" s="88" t="s">
        <v>3511</v>
      </c>
      <c r="C1387" s="26" t="s">
        <v>37</v>
      </c>
      <c r="D1387" s="14"/>
      <c r="E1387" s="15"/>
      <c r="F1387" s="16">
        <f t="shared" ref="F1387:F1398" si="82">+D1387*E1387</f>
        <v>0</v>
      </c>
      <c r="G1387">
        <f t="shared" si="81"/>
        <v>0</v>
      </c>
    </row>
    <row r="1388" spans="1:7" hidden="1" x14ac:dyDescent="0.25">
      <c r="A1388" s="85" t="s">
        <v>3578</v>
      </c>
      <c r="B1388" s="88" t="s">
        <v>3512</v>
      </c>
      <c r="C1388" s="26" t="s">
        <v>37</v>
      </c>
      <c r="D1388" s="14"/>
      <c r="E1388" s="15"/>
      <c r="F1388" s="16">
        <f t="shared" si="82"/>
        <v>0</v>
      </c>
      <c r="G1388">
        <f t="shared" si="81"/>
        <v>0</v>
      </c>
    </row>
    <row r="1389" spans="1:7" hidden="1" x14ac:dyDescent="0.25">
      <c r="A1389" s="85" t="s">
        <v>3579</v>
      </c>
      <c r="B1389" s="88" t="s">
        <v>3510</v>
      </c>
      <c r="C1389" s="26" t="s">
        <v>37</v>
      </c>
      <c r="D1389" s="14"/>
      <c r="E1389" s="15"/>
      <c r="F1389" s="16">
        <f t="shared" si="82"/>
        <v>0</v>
      </c>
      <c r="G1389">
        <f t="shared" si="81"/>
        <v>0</v>
      </c>
    </row>
    <row r="1390" spans="1:7" hidden="1" x14ac:dyDescent="0.25">
      <c r="A1390" s="85" t="s">
        <v>3580</v>
      </c>
      <c r="B1390" s="88" t="s">
        <v>3514</v>
      </c>
      <c r="C1390" s="26" t="s">
        <v>37</v>
      </c>
      <c r="D1390" s="14"/>
      <c r="E1390" s="15"/>
      <c r="F1390" s="16">
        <f t="shared" si="82"/>
        <v>0</v>
      </c>
      <c r="G1390">
        <f t="shared" si="81"/>
        <v>0</v>
      </c>
    </row>
    <row r="1391" spans="1:7" hidden="1" x14ac:dyDescent="0.25">
      <c r="A1391" s="85" t="s">
        <v>3581</v>
      </c>
      <c r="B1391" s="88" t="s">
        <v>3513</v>
      </c>
      <c r="C1391" s="26" t="s">
        <v>37</v>
      </c>
      <c r="D1391" s="14"/>
      <c r="E1391" s="15"/>
      <c r="F1391" s="16">
        <f t="shared" si="82"/>
        <v>0</v>
      </c>
      <c r="G1391">
        <f t="shared" si="81"/>
        <v>0</v>
      </c>
    </row>
    <row r="1392" spans="1:7" hidden="1" x14ac:dyDescent="0.25">
      <c r="A1392" s="85" t="s">
        <v>3582</v>
      </c>
      <c r="B1392" s="88" t="s">
        <v>3515</v>
      </c>
      <c r="C1392" s="26" t="s">
        <v>37</v>
      </c>
      <c r="D1392" s="14"/>
      <c r="E1392" s="15"/>
      <c r="F1392" s="16">
        <f t="shared" si="82"/>
        <v>0</v>
      </c>
      <c r="G1392">
        <f t="shared" si="81"/>
        <v>0</v>
      </c>
    </row>
    <row r="1393" spans="1:7" hidden="1" x14ac:dyDescent="0.25">
      <c r="A1393" s="85" t="s">
        <v>3583</v>
      </c>
      <c r="B1393" s="88" t="s">
        <v>3516</v>
      </c>
      <c r="C1393" s="26" t="s">
        <v>37</v>
      </c>
      <c r="D1393" s="14"/>
      <c r="E1393" s="15"/>
      <c r="F1393" s="16">
        <f t="shared" si="82"/>
        <v>0</v>
      </c>
      <c r="G1393">
        <f t="shared" si="81"/>
        <v>0</v>
      </c>
    </row>
    <row r="1394" spans="1:7" hidden="1" x14ac:dyDescent="0.25">
      <c r="A1394" s="85" t="s">
        <v>3584</v>
      </c>
      <c r="B1394" s="88" t="s">
        <v>3517</v>
      </c>
      <c r="C1394" s="26" t="s">
        <v>37</v>
      </c>
      <c r="D1394" s="14"/>
      <c r="E1394" s="15"/>
      <c r="F1394" s="16">
        <f t="shared" si="82"/>
        <v>0</v>
      </c>
      <c r="G1394">
        <f t="shared" si="81"/>
        <v>0</v>
      </c>
    </row>
    <row r="1395" spans="1:7" hidden="1" x14ac:dyDescent="0.25">
      <c r="A1395" s="85" t="s">
        <v>3585</v>
      </c>
      <c r="B1395" s="88" t="s">
        <v>3518</v>
      </c>
      <c r="C1395" s="26" t="s">
        <v>37</v>
      </c>
      <c r="D1395" s="14"/>
      <c r="E1395" s="15"/>
      <c r="F1395" s="16">
        <f t="shared" si="82"/>
        <v>0</v>
      </c>
      <c r="G1395">
        <f t="shared" si="81"/>
        <v>0</v>
      </c>
    </row>
    <row r="1396" spans="1:7" hidden="1" x14ac:dyDescent="0.25">
      <c r="A1396" s="85" t="s">
        <v>3586</v>
      </c>
      <c r="B1396" s="88" t="s">
        <v>3519</v>
      </c>
      <c r="C1396" s="26" t="s">
        <v>37</v>
      </c>
      <c r="D1396" s="14"/>
      <c r="E1396" s="15"/>
      <c r="F1396" s="16">
        <f t="shared" si="82"/>
        <v>0</v>
      </c>
      <c r="G1396">
        <f t="shared" si="81"/>
        <v>0</v>
      </c>
    </row>
    <row r="1397" spans="1:7" hidden="1" x14ac:dyDescent="0.25">
      <c r="A1397" s="85" t="s">
        <v>3587</v>
      </c>
      <c r="B1397" s="88" t="s">
        <v>3520</v>
      </c>
      <c r="C1397" s="26" t="s">
        <v>37</v>
      </c>
      <c r="D1397" s="14"/>
      <c r="E1397" s="15"/>
      <c r="F1397" s="16">
        <f t="shared" si="82"/>
        <v>0</v>
      </c>
      <c r="G1397">
        <f t="shared" si="81"/>
        <v>0</v>
      </c>
    </row>
    <row r="1398" spans="1:7" hidden="1" x14ac:dyDescent="0.25">
      <c r="A1398" s="85" t="s">
        <v>3588</v>
      </c>
      <c r="B1398" s="88" t="s">
        <v>3509</v>
      </c>
      <c r="C1398" s="26" t="s">
        <v>37</v>
      </c>
      <c r="D1398" s="14"/>
      <c r="E1398" s="15"/>
      <c r="F1398" s="16">
        <f t="shared" si="82"/>
        <v>0</v>
      </c>
      <c r="G1398">
        <f t="shared" si="81"/>
        <v>0</v>
      </c>
    </row>
    <row r="1399" spans="1:7" hidden="1" x14ac:dyDescent="0.25">
      <c r="A1399" s="78" t="s">
        <v>3589</v>
      </c>
      <c r="B1399" s="79" t="s">
        <v>3573</v>
      </c>
      <c r="C1399" s="26"/>
      <c r="D1399" s="14"/>
      <c r="E1399" s="15"/>
      <c r="F1399" s="16"/>
      <c r="G1399">
        <f t="shared" si="81"/>
        <v>0</v>
      </c>
    </row>
    <row r="1400" spans="1:7" hidden="1" x14ac:dyDescent="0.25">
      <c r="A1400" s="85" t="s">
        <v>3590</v>
      </c>
      <c r="B1400" s="88" t="s">
        <v>3511</v>
      </c>
      <c r="C1400" s="26" t="s">
        <v>37</v>
      </c>
      <c r="D1400" s="14"/>
      <c r="E1400" s="15"/>
      <c r="F1400" s="16">
        <f t="shared" ref="F1400:F1411" si="83">+D1400*E1400</f>
        <v>0</v>
      </c>
      <c r="G1400">
        <f t="shared" si="81"/>
        <v>0</v>
      </c>
    </row>
    <row r="1401" spans="1:7" hidden="1" x14ac:dyDescent="0.25">
      <c r="A1401" s="85" t="s">
        <v>3591</v>
      </c>
      <c r="B1401" s="88" t="s">
        <v>3512</v>
      </c>
      <c r="C1401" s="26" t="s">
        <v>37</v>
      </c>
      <c r="D1401" s="14"/>
      <c r="E1401" s="15"/>
      <c r="F1401" s="16">
        <f t="shared" si="83"/>
        <v>0</v>
      </c>
      <c r="G1401">
        <f t="shared" si="81"/>
        <v>0</v>
      </c>
    </row>
    <row r="1402" spans="1:7" hidden="1" x14ac:dyDescent="0.25">
      <c r="A1402" s="85" t="s">
        <v>3592</v>
      </c>
      <c r="B1402" s="88" t="s">
        <v>3510</v>
      </c>
      <c r="C1402" s="26" t="s">
        <v>37</v>
      </c>
      <c r="D1402" s="14"/>
      <c r="E1402" s="15"/>
      <c r="F1402" s="16">
        <f t="shared" si="83"/>
        <v>0</v>
      </c>
      <c r="G1402">
        <f t="shared" si="81"/>
        <v>0</v>
      </c>
    </row>
    <row r="1403" spans="1:7" hidden="1" x14ac:dyDescent="0.25">
      <c r="A1403" s="85" t="s">
        <v>3593</v>
      </c>
      <c r="B1403" s="88" t="s">
        <v>3514</v>
      </c>
      <c r="C1403" s="26" t="s">
        <v>37</v>
      </c>
      <c r="D1403" s="14"/>
      <c r="E1403" s="15"/>
      <c r="F1403" s="16">
        <f t="shared" si="83"/>
        <v>0</v>
      </c>
      <c r="G1403">
        <f t="shared" si="81"/>
        <v>0</v>
      </c>
    </row>
    <row r="1404" spans="1:7" hidden="1" x14ac:dyDescent="0.25">
      <c r="A1404" s="85" t="s">
        <v>3594</v>
      </c>
      <c r="B1404" s="88" t="s">
        <v>3513</v>
      </c>
      <c r="C1404" s="26" t="s">
        <v>37</v>
      </c>
      <c r="D1404" s="14"/>
      <c r="E1404" s="15"/>
      <c r="F1404" s="16">
        <f t="shared" si="83"/>
        <v>0</v>
      </c>
      <c r="G1404">
        <f t="shared" si="81"/>
        <v>0</v>
      </c>
    </row>
    <row r="1405" spans="1:7" hidden="1" x14ac:dyDescent="0.25">
      <c r="A1405" s="85" t="s">
        <v>979</v>
      </c>
      <c r="B1405" s="88" t="s">
        <v>3515</v>
      </c>
      <c r="C1405" s="26" t="s">
        <v>37</v>
      </c>
      <c r="D1405" s="14"/>
      <c r="E1405" s="15"/>
      <c r="F1405" s="16">
        <f t="shared" si="83"/>
        <v>0</v>
      </c>
      <c r="G1405">
        <f t="shared" si="81"/>
        <v>0</v>
      </c>
    </row>
    <row r="1406" spans="1:7" hidden="1" x14ac:dyDescent="0.25">
      <c r="A1406" s="85" t="s">
        <v>980</v>
      </c>
      <c r="B1406" s="88" t="s">
        <v>3516</v>
      </c>
      <c r="C1406" s="26" t="s">
        <v>37</v>
      </c>
      <c r="D1406" s="14"/>
      <c r="E1406" s="15"/>
      <c r="F1406" s="16">
        <f t="shared" si="83"/>
        <v>0</v>
      </c>
      <c r="G1406">
        <f t="shared" si="81"/>
        <v>0</v>
      </c>
    </row>
    <row r="1407" spans="1:7" hidden="1" x14ac:dyDescent="0.25">
      <c r="A1407" s="85" t="s">
        <v>3595</v>
      </c>
      <c r="B1407" s="88" t="s">
        <v>3517</v>
      </c>
      <c r="C1407" s="26" t="s">
        <v>37</v>
      </c>
      <c r="D1407" s="14"/>
      <c r="E1407" s="15"/>
      <c r="F1407" s="16">
        <f t="shared" si="83"/>
        <v>0</v>
      </c>
      <c r="G1407">
        <f t="shared" si="81"/>
        <v>0</v>
      </c>
    </row>
    <row r="1408" spans="1:7" hidden="1" x14ac:dyDescent="0.25">
      <c r="A1408" s="85" t="s">
        <v>3596</v>
      </c>
      <c r="B1408" s="88" t="s">
        <v>3518</v>
      </c>
      <c r="C1408" s="26" t="s">
        <v>37</v>
      </c>
      <c r="D1408" s="14"/>
      <c r="E1408" s="15"/>
      <c r="F1408" s="16">
        <f t="shared" si="83"/>
        <v>0</v>
      </c>
      <c r="G1408">
        <f t="shared" si="81"/>
        <v>0</v>
      </c>
    </row>
    <row r="1409" spans="1:7" hidden="1" x14ac:dyDescent="0.25">
      <c r="A1409" s="85" t="s">
        <v>3597</v>
      </c>
      <c r="B1409" s="88" t="s">
        <v>3519</v>
      </c>
      <c r="C1409" s="26" t="s">
        <v>37</v>
      </c>
      <c r="D1409" s="14"/>
      <c r="E1409" s="15"/>
      <c r="F1409" s="16">
        <f t="shared" si="83"/>
        <v>0</v>
      </c>
      <c r="G1409">
        <f t="shared" si="81"/>
        <v>0</v>
      </c>
    </row>
    <row r="1410" spans="1:7" hidden="1" x14ac:dyDescent="0.25">
      <c r="A1410" s="85" t="s">
        <v>3598</v>
      </c>
      <c r="B1410" s="88" t="s">
        <v>3520</v>
      </c>
      <c r="C1410" s="26" t="s">
        <v>37</v>
      </c>
      <c r="D1410" s="14"/>
      <c r="E1410" s="15"/>
      <c r="F1410" s="16">
        <f t="shared" si="83"/>
        <v>0</v>
      </c>
      <c r="G1410">
        <f t="shared" si="81"/>
        <v>0</v>
      </c>
    </row>
    <row r="1411" spans="1:7" hidden="1" x14ac:dyDescent="0.25">
      <c r="A1411" s="85" t="s">
        <v>3599</v>
      </c>
      <c r="B1411" s="88" t="s">
        <v>3509</v>
      </c>
      <c r="C1411" s="26" t="s">
        <v>37</v>
      </c>
      <c r="D1411" s="14"/>
      <c r="E1411" s="15"/>
      <c r="F1411" s="16">
        <f t="shared" si="83"/>
        <v>0</v>
      </c>
      <c r="G1411">
        <f t="shared" si="81"/>
        <v>0</v>
      </c>
    </row>
    <row r="1412" spans="1:7" hidden="1" x14ac:dyDescent="0.25">
      <c r="A1412" s="78" t="s">
        <v>981</v>
      </c>
      <c r="B1412" s="79" t="s">
        <v>3574</v>
      </c>
      <c r="C1412" s="26"/>
      <c r="D1412" s="14"/>
      <c r="E1412" s="15"/>
      <c r="F1412" s="16"/>
      <c r="G1412">
        <f t="shared" si="81"/>
        <v>0</v>
      </c>
    </row>
    <row r="1413" spans="1:7" hidden="1" x14ac:dyDescent="0.25">
      <c r="A1413" s="85" t="s">
        <v>3600</v>
      </c>
      <c r="B1413" s="88" t="s">
        <v>3511</v>
      </c>
      <c r="C1413" s="26" t="s">
        <v>37</v>
      </c>
      <c r="D1413" s="14"/>
      <c r="E1413" s="15"/>
      <c r="F1413" s="16">
        <f t="shared" ref="F1413:F1424" si="84">+D1413*E1413</f>
        <v>0</v>
      </c>
      <c r="G1413">
        <f t="shared" si="81"/>
        <v>0</v>
      </c>
    </row>
    <row r="1414" spans="1:7" hidden="1" x14ac:dyDescent="0.25">
      <c r="A1414" s="85" t="s">
        <v>3601</v>
      </c>
      <c r="B1414" s="88" t="s">
        <v>3512</v>
      </c>
      <c r="C1414" s="26" t="s">
        <v>37</v>
      </c>
      <c r="D1414" s="14"/>
      <c r="E1414" s="15"/>
      <c r="F1414" s="16">
        <f t="shared" si="84"/>
        <v>0</v>
      </c>
      <c r="G1414">
        <f t="shared" si="81"/>
        <v>0</v>
      </c>
    </row>
    <row r="1415" spans="1:7" hidden="1" x14ac:dyDescent="0.25">
      <c r="A1415" s="85" t="s">
        <v>3602</v>
      </c>
      <c r="B1415" s="88" t="s">
        <v>3510</v>
      </c>
      <c r="C1415" s="26" t="s">
        <v>37</v>
      </c>
      <c r="D1415" s="14"/>
      <c r="E1415" s="15"/>
      <c r="F1415" s="16">
        <f t="shared" si="84"/>
        <v>0</v>
      </c>
      <c r="G1415">
        <f t="shared" si="81"/>
        <v>0</v>
      </c>
    </row>
    <row r="1416" spans="1:7" hidden="1" x14ac:dyDescent="0.25">
      <c r="A1416" s="85" t="s">
        <v>3603</v>
      </c>
      <c r="B1416" s="88" t="s">
        <v>3514</v>
      </c>
      <c r="C1416" s="26" t="s">
        <v>37</v>
      </c>
      <c r="D1416" s="14"/>
      <c r="E1416" s="15"/>
      <c r="F1416" s="16">
        <f t="shared" si="84"/>
        <v>0</v>
      </c>
      <c r="G1416">
        <f t="shared" si="81"/>
        <v>0</v>
      </c>
    </row>
    <row r="1417" spans="1:7" hidden="1" x14ac:dyDescent="0.25">
      <c r="A1417" s="85" t="s">
        <v>3604</v>
      </c>
      <c r="B1417" s="88" t="s">
        <v>3513</v>
      </c>
      <c r="C1417" s="26" t="s">
        <v>37</v>
      </c>
      <c r="D1417" s="14"/>
      <c r="E1417" s="15"/>
      <c r="F1417" s="16">
        <f t="shared" si="84"/>
        <v>0</v>
      </c>
      <c r="G1417">
        <f t="shared" si="81"/>
        <v>0</v>
      </c>
    </row>
    <row r="1418" spans="1:7" hidden="1" x14ac:dyDescent="0.25">
      <c r="A1418" s="85" t="s">
        <v>3605</v>
      </c>
      <c r="B1418" s="88" t="s">
        <v>3515</v>
      </c>
      <c r="C1418" s="26" t="s">
        <v>37</v>
      </c>
      <c r="D1418" s="14"/>
      <c r="E1418" s="15"/>
      <c r="F1418" s="16">
        <f t="shared" si="84"/>
        <v>0</v>
      </c>
      <c r="G1418">
        <f t="shared" si="81"/>
        <v>0</v>
      </c>
    </row>
    <row r="1419" spans="1:7" hidden="1" x14ac:dyDescent="0.25">
      <c r="A1419" s="85" t="s">
        <v>982</v>
      </c>
      <c r="B1419" s="88" t="s">
        <v>3516</v>
      </c>
      <c r="C1419" s="26" t="s">
        <v>37</v>
      </c>
      <c r="D1419" s="14"/>
      <c r="E1419" s="15"/>
      <c r="F1419" s="16">
        <f t="shared" si="84"/>
        <v>0</v>
      </c>
      <c r="G1419">
        <f t="shared" si="81"/>
        <v>0</v>
      </c>
    </row>
    <row r="1420" spans="1:7" hidden="1" x14ac:dyDescent="0.25">
      <c r="A1420" s="85" t="s">
        <v>3606</v>
      </c>
      <c r="B1420" s="88" t="s">
        <v>3517</v>
      </c>
      <c r="C1420" s="26" t="s">
        <v>37</v>
      </c>
      <c r="D1420" s="14"/>
      <c r="E1420" s="15"/>
      <c r="F1420" s="16">
        <f t="shared" si="84"/>
        <v>0</v>
      </c>
      <c r="G1420">
        <f t="shared" si="81"/>
        <v>0</v>
      </c>
    </row>
    <row r="1421" spans="1:7" hidden="1" x14ac:dyDescent="0.25">
      <c r="A1421" s="85" t="s">
        <v>3607</v>
      </c>
      <c r="B1421" s="88" t="s">
        <v>3518</v>
      </c>
      <c r="C1421" s="26" t="s">
        <v>37</v>
      </c>
      <c r="D1421" s="14"/>
      <c r="E1421" s="15"/>
      <c r="F1421" s="16">
        <f t="shared" si="84"/>
        <v>0</v>
      </c>
      <c r="G1421">
        <f t="shared" si="81"/>
        <v>0</v>
      </c>
    </row>
    <row r="1422" spans="1:7" hidden="1" x14ac:dyDescent="0.25">
      <c r="A1422" s="85" t="s">
        <v>3608</v>
      </c>
      <c r="B1422" s="88" t="s">
        <v>3519</v>
      </c>
      <c r="C1422" s="26" t="s">
        <v>37</v>
      </c>
      <c r="D1422" s="14"/>
      <c r="E1422" s="15"/>
      <c r="F1422" s="16">
        <f t="shared" si="84"/>
        <v>0</v>
      </c>
      <c r="G1422">
        <f t="shared" si="81"/>
        <v>0</v>
      </c>
    </row>
    <row r="1423" spans="1:7" hidden="1" x14ac:dyDescent="0.25">
      <c r="A1423" s="85" t="s">
        <v>3609</v>
      </c>
      <c r="B1423" s="88" t="s">
        <v>3520</v>
      </c>
      <c r="C1423" s="26" t="s">
        <v>37</v>
      </c>
      <c r="D1423" s="14"/>
      <c r="E1423" s="15"/>
      <c r="F1423" s="16">
        <f t="shared" si="84"/>
        <v>0</v>
      </c>
      <c r="G1423">
        <f t="shared" si="81"/>
        <v>0</v>
      </c>
    </row>
    <row r="1424" spans="1:7" hidden="1" x14ac:dyDescent="0.25">
      <c r="A1424" s="85" t="s">
        <v>3610</v>
      </c>
      <c r="B1424" s="88" t="s">
        <v>3509</v>
      </c>
      <c r="C1424" s="26" t="s">
        <v>37</v>
      </c>
      <c r="D1424" s="14"/>
      <c r="E1424" s="15"/>
      <c r="F1424" s="16">
        <f t="shared" si="84"/>
        <v>0</v>
      </c>
      <c r="G1424">
        <f t="shared" si="81"/>
        <v>0</v>
      </c>
    </row>
    <row r="1425" spans="1:7" hidden="1" x14ac:dyDescent="0.25">
      <c r="A1425" s="78" t="s">
        <v>983</v>
      </c>
      <c r="B1425" s="79" t="s">
        <v>3575</v>
      </c>
      <c r="C1425" s="26"/>
      <c r="D1425" s="14"/>
      <c r="E1425" s="15"/>
      <c r="F1425" s="16"/>
      <c r="G1425">
        <f t="shared" si="81"/>
        <v>0</v>
      </c>
    </row>
    <row r="1426" spans="1:7" hidden="1" x14ac:dyDescent="0.25">
      <c r="A1426" s="85" t="s">
        <v>3611</v>
      </c>
      <c r="B1426" s="88" t="s">
        <v>3511</v>
      </c>
      <c r="C1426" s="26" t="s">
        <v>37</v>
      </c>
      <c r="D1426" s="14"/>
      <c r="E1426" s="15"/>
      <c r="F1426" s="16">
        <f t="shared" ref="F1426:F1437" si="85">+D1426*E1426</f>
        <v>0</v>
      </c>
      <c r="G1426">
        <f t="shared" si="81"/>
        <v>0</v>
      </c>
    </row>
    <row r="1427" spans="1:7" hidden="1" x14ac:dyDescent="0.25">
      <c r="A1427" s="85" t="s">
        <v>3612</v>
      </c>
      <c r="B1427" s="88" t="s">
        <v>3512</v>
      </c>
      <c r="C1427" s="26" t="s">
        <v>37</v>
      </c>
      <c r="D1427" s="14"/>
      <c r="E1427" s="15"/>
      <c r="F1427" s="16">
        <f t="shared" si="85"/>
        <v>0</v>
      </c>
      <c r="G1427">
        <f t="shared" si="81"/>
        <v>0</v>
      </c>
    </row>
    <row r="1428" spans="1:7" hidden="1" x14ac:dyDescent="0.25">
      <c r="A1428" s="85" t="s">
        <v>3613</v>
      </c>
      <c r="B1428" s="88" t="s">
        <v>3510</v>
      </c>
      <c r="C1428" s="26" t="s">
        <v>37</v>
      </c>
      <c r="D1428" s="14"/>
      <c r="E1428" s="15"/>
      <c r="F1428" s="16">
        <f t="shared" si="85"/>
        <v>0</v>
      </c>
      <c r="G1428">
        <f t="shared" si="81"/>
        <v>0</v>
      </c>
    </row>
    <row r="1429" spans="1:7" hidden="1" x14ac:dyDescent="0.25">
      <c r="A1429" s="85" t="s">
        <v>3614</v>
      </c>
      <c r="B1429" s="88" t="s">
        <v>3514</v>
      </c>
      <c r="C1429" s="26" t="s">
        <v>37</v>
      </c>
      <c r="D1429" s="14"/>
      <c r="E1429" s="15"/>
      <c r="F1429" s="16">
        <f t="shared" si="85"/>
        <v>0</v>
      </c>
      <c r="G1429">
        <f t="shared" si="81"/>
        <v>0</v>
      </c>
    </row>
    <row r="1430" spans="1:7" hidden="1" x14ac:dyDescent="0.25">
      <c r="A1430" s="85" t="s">
        <v>3615</v>
      </c>
      <c r="B1430" s="88" t="s">
        <v>3513</v>
      </c>
      <c r="C1430" s="26" t="s">
        <v>37</v>
      </c>
      <c r="D1430" s="14"/>
      <c r="E1430" s="15"/>
      <c r="F1430" s="16">
        <f t="shared" si="85"/>
        <v>0</v>
      </c>
      <c r="G1430">
        <f t="shared" si="81"/>
        <v>0</v>
      </c>
    </row>
    <row r="1431" spans="1:7" hidden="1" x14ac:dyDescent="0.25">
      <c r="A1431" s="85" t="s">
        <v>3616</v>
      </c>
      <c r="B1431" s="88" t="s">
        <v>3515</v>
      </c>
      <c r="C1431" s="26" t="s">
        <v>37</v>
      </c>
      <c r="D1431" s="14"/>
      <c r="E1431" s="15"/>
      <c r="F1431" s="16">
        <f t="shared" si="85"/>
        <v>0</v>
      </c>
      <c r="G1431">
        <f t="shared" si="81"/>
        <v>0</v>
      </c>
    </row>
    <row r="1432" spans="1:7" hidden="1" x14ac:dyDescent="0.25">
      <c r="A1432" s="85" t="s">
        <v>984</v>
      </c>
      <c r="B1432" s="88" t="s">
        <v>3516</v>
      </c>
      <c r="C1432" s="26" t="s">
        <v>37</v>
      </c>
      <c r="D1432" s="14"/>
      <c r="E1432" s="15"/>
      <c r="F1432" s="16">
        <f t="shared" si="85"/>
        <v>0</v>
      </c>
      <c r="G1432">
        <f t="shared" si="81"/>
        <v>0</v>
      </c>
    </row>
    <row r="1433" spans="1:7" hidden="1" x14ac:dyDescent="0.25">
      <c r="A1433" s="85" t="s">
        <v>3617</v>
      </c>
      <c r="B1433" s="88" t="s">
        <v>3517</v>
      </c>
      <c r="C1433" s="26" t="s">
        <v>37</v>
      </c>
      <c r="D1433" s="14"/>
      <c r="E1433" s="15"/>
      <c r="F1433" s="16">
        <f t="shared" si="85"/>
        <v>0</v>
      </c>
      <c r="G1433">
        <f t="shared" si="81"/>
        <v>0</v>
      </c>
    </row>
    <row r="1434" spans="1:7" hidden="1" x14ac:dyDescent="0.25">
      <c r="A1434" s="85" t="s">
        <v>3618</v>
      </c>
      <c r="B1434" s="88" t="s">
        <v>3518</v>
      </c>
      <c r="C1434" s="26" t="s">
        <v>37</v>
      </c>
      <c r="D1434" s="14"/>
      <c r="E1434" s="15"/>
      <c r="F1434" s="16">
        <f t="shared" si="85"/>
        <v>0</v>
      </c>
      <c r="G1434">
        <f t="shared" si="81"/>
        <v>0</v>
      </c>
    </row>
    <row r="1435" spans="1:7" hidden="1" x14ac:dyDescent="0.25">
      <c r="A1435" s="85" t="s">
        <v>3619</v>
      </c>
      <c r="B1435" s="88" t="s">
        <v>3519</v>
      </c>
      <c r="C1435" s="26" t="s">
        <v>37</v>
      </c>
      <c r="D1435" s="14"/>
      <c r="E1435" s="15"/>
      <c r="F1435" s="16">
        <f t="shared" si="85"/>
        <v>0</v>
      </c>
      <c r="G1435">
        <f t="shared" si="81"/>
        <v>0</v>
      </c>
    </row>
    <row r="1436" spans="1:7" hidden="1" x14ac:dyDescent="0.25">
      <c r="A1436" s="85" t="s">
        <v>3620</v>
      </c>
      <c r="B1436" s="88" t="s">
        <v>3520</v>
      </c>
      <c r="C1436" s="26" t="s">
        <v>37</v>
      </c>
      <c r="D1436" s="14"/>
      <c r="E1436" s="15"/>
      <c r="F1436" s="16">
        <f t="shared" si="85"/>
        <v>0</v>
      </c>
      <c r="G1436">
        <f t="shared" si="81"/>
        <v>0</v>
      </c>
    </row>
    <row r="1437" spans="1:7" hidden="1" x14ac:dyDescent="0.25">
      <c r="A1437" s="85" t="s">
        <v>3621</v>
      </c>
      <c r="B1437" s="88" t="s">
        <v>3509</v>
      </c>
      <c r="C1437" s="26" t="s">
        <v>37</v>
      </c>
      <c r="D1437" s="14"/>
      <c r="E1437" s="15"/>
      <c r="F1437" s="16">
        <f t="shared" si="85"/>
        <v>0</v>
      </c>
      <c r="G1437">
        <f t="shared" si="81"/>
        <v>0</v>
      </c>
    </row>
    <row r="1438" spans="1:7" x14ac:dyDescent="0.25">
      <c r="A1438" s="78" t="s">
        <v>985</v>
      </c>
      <c r="B1438" s="79" t="s">
        <v>3632</v>
      </c>
      <c r="C1438" s="26"/>
      <c r="D1438" s="14"/>
      <c r="E1438" s="15"/>
      <c r="F1438" s="16"/>
      <c r="G1438">
        <v>1</v>
      </c>
    </row>
    <row r="1439" spans="1:7" hidden="1" x14ac:dyDescent="0.25">
      <c r="A1439" s="85" t="s">
        <v>986</v>
      </c>
      <c r="B1439" s="88" t="s">
        <v>3511</v>
      </c>
      <c r="C1439" s="26" t="s">
        <v>37</v>
      </c>
      <c r="D1439" s="14"/>
      <c r="E1439" s="15"/>
      <c r="F1439" s="16">
        <f t="shared" ref="F1439:F1450" si="86">+D1439*E1439</f>
        <v>0</v>
      </c>
      <c r="G1439">
        <f t="shared" si="81"/>
        <v>0</v>
      </c>
    </row>
    <row r="1440" spans="1:7" hidden="1" x14ac:dyDescent="0.25">
      <c r="A1440" s="85" t="s">
        <v>987</v>
      </c>
      <c r="B1440" s="88" t="s">
        <v>3512</v>
      </c>
      <c r="C1440" s="26" t="s">
        <v>37</v>
      </c>
      <c r="D1440" s="14"/>
      <c r="E1440" s="15"/>
      <c r="F1440" s="16">
        <f t="shared" si="86"/>
        <v>0</v>
      </c>
      <c r="G1440">
        <f t="shared" si="81"/>
        <v>0</v>
      </c>
    </row>
    <row r="1441" spans="1:7" x14ac:dyDescent="0.25">
      <c r="A1441" s="85" t="s">
        <v>3622</v>
      </c>
      <c r="B1441" s="88" t="s">
        <v>3510</v>
      </c>
      <c r="C1441" s="26" t="s">
        <v>37</v>
      </c>
      <c r="D1441" s="14">
        <v>2</v>
      </c>
      <c r="E1441" s="15">
        <f>+SUM!H1440</f>
        <v>328494</v>
      </c>
      <c r="F1441" s="16">
        <f t="shared" si="86"/>
        <v>656988</v>
      </c>
      <c r="G1441">
        <f t="shared" si="81"/>
        <v>1</v>
      </c>
    </row>
    <row r="1442" spans="1:7" x14ac:dyDescent="0.25">
      <c r="A1442" s="85" t="s">
        <v>3623</v>
      </c>
      <c r="B1442" s="88" t="s">
        <v>3514</v>
      </c>
      <c r="C1442" s="26" t="s">
        <v>37</v>
      </c>
      <c r="D1442" s="14">
        <v>12</v>
      </c>
      <c r="E1442" s="15">
        <f>+SUM!H1441</f>
        <v>560776</v>
      </c>
      <c r="F1442" s="16">
        <f t="shared" si="86"/>
        <v>6729312</v>
      </c>
      <c r="G1442">
        <f t="shared" si="81"/>
        <v>1</v>
      </c>
    </row>
    <row r="1443" spans="1:7" hidden="1" x14ac:dyDescent="0.25">
      <c r="A1443" s="85" t="s">
        <v>3624</v>
      </c>
      <c r="B1443" s="88" t="s">
        <v>3513</v>
      </c>
      <c r="C1443" s="26" t="s">
        <v>37</v>
      </c>
      <c r="D1443" s="14"/>
      <c r="E1443" s="15">
        <f>+SUM!H1442</f>
        <v>988230</v>
      </c>
      <c r="F1443" s="16">
        <f t="shared" si="86"/>
        <v>0</v>
      </c>
      <c r="G1443">
        <f t="shared" si="81"/>
        <v>0</v>
      </c>
    </row>
    <row r="1444" spans="1:7" x14ac:dyDescent="0.25">
      <c r="A1444" s="85" t="s">
        <v>3625</v>
      </c>
      <c r="B1444" s="88" t="s">
        <v>3515</v>
      </c>
      <c r="C1444" s="26" t="s">
        <v>37</v>
      </c>
      <c r="D1444" s="14">
        <v>3</v>
      </c>
      <c r="E1444" s="15">
        <f>+SUM!H1443</f>
        <v>1782662</v>
      </c>
      <c r="F1444" s="16">
        <f t="shared" si="86"/>
        <v>5347986</v>
      </c>
      <c r="G1444">
        <f t="shared" ref="G1444:G1507" si="87">+IF(F1444&lt;&gt;0,1,0)</f>
        <v>1</v>
      </c>
    </row>
    <row r="1445" spans="1:7" hidden="1" x14ac:dyDescent="0.25">
      <c r="A1445" s="85" t="s">
        <v>3626</v>
      </c>
      <c r="B1445" s="88" t="s">
        <v>3516</v>
      </c>
      <c r="C1445" s="26" t="s">
        <v>37</v>
      </c>
      <c r="D1445" s="14"/>
      <c r="E1445" s="15">
        <f>+SUM!H1444</f>
        <v>2375050</v>
      </c>
      <c r="F1445" s="16">
        <f t="shared" si="86"/>
        <v>0</v>
      </c>
      <c r="G1445">
        <f t="shared" si="87"/>
        <v>0</v>
      </c>
    </row>
    <row r="1446" spans="1:7" x14ac:dyDescent="0.25">
      <c r="A1446" s="85" t="s">
        <v>3627</v>
      </c>
      <c r="B1446" s="88" t="s">
        <v>3517</v>
      </c>
      <c r="C1446" s="26" t="s">
        <v>37</v>
      </c>
      <c r="D1446" s="14">
        <v>1</v>
      </c>
      <c r="E1446" s="15">
        <f>+SUM!H1445</f>
        <v>3322046</v>
      </c>
      <c r="F1446" s="16">
        <f t="shared" si="86"/>
        <v>3322046</v>
      </c>
      <c r="G1446">
        <f t="shared" si="87"/>
        <v>1</v>
      </c>
    </row>
    <row r="1447" spans="1:7" x14ac:dyDescent="0.25">
      <c r="A1447" s="85" t="s">
        <v>3628</v>
      </c>
      <c r="B1447" s="88" t="s">
        <v>3518</v>
      </c>
      <c r="C1447" s="26" t="s">
        <v>37</v>
      </c>
      <c r="D1447" s="14">
        <v>1</v>
      </c>
      <c r="E1447" s="15">
        <f>+SUM!H1446</f>
        <v>4288284</v>
      </c>
      <c r="F1447" s="16">
        <f t="shared" si="86"/>
        <v>4288284</v>
      </c>
      <c r="G1447">
        <f t="shared" si="87"/>
        <v>1</v>
      </c>
    </row>
    <row r="1448" spans="1:7" hidden="1" x14ac:dyDescent="0.25">
      <c r="A1448" s="85" t="s">
        <v>3629</v>
      </c>
      <c r="B1448" s="88" t="s">
        <v>3519</v>
      </c>
      <c r="C1448" s="26" t="s">
        <v>37</v>
      </c>
      <c r="D1448" s="14"/>
      <c r="E1448" s="15"/>
      <c r="F1448" s="16">
        <f t="shared" si="86"/>
        <v>0</v>
      </c>
      <c r="G1448">
        <f t="shared" si="87"/>
        <v>0</v>
      </c>
    </row>
    <row r="1449" spans="1:7" hidden="1" x14ac:dyDescent="0.25">
      <c r="A1449" s="85" t="s">
        <v>3630</v>
      </c>
      <c r="B1449" s="88" t="s">
        <v>3520</v>
      </c>
      <c r="C1449" s="26" t="s">
        <v>37</v>
      </c>
      <c r="D1449" s="14"/>
      <c r="E1449" s="15"/>
      <c r="F1449" s="16">
        <f t="shared" si="86"/>
        <v>0</v>
      </c>
      <c r="G1449">
        <f t="shared" si="87"/>
        <v>0</v>
      </c>
    </row>
    <row r="1450" spans="1:7" hidden="1" x14ac:dyDescent="0.25">
      <c r="A1450" s="85" t="s">
        <v>3631</v>
      </c>
      <c r="B1450" s="88" t="s">
        <v>3509</v>
      </c>
      <c r="C1450" s="26" t="s">
        <v>37</v>
      </c>
      <c r="D1450" s="14"/>
      <c r="E1450" s="15"/>
      <c r="F1450" s="16">
        <f t="shared" si="86"/>
        <v>0</v>
      </c>
      <c r="G1450">
        <f t="shared" si="87"/>
        <v>0</v>
      </c>
    </row>
    <row r="1451" spans="1:7" hidden="1" x14ac:dyDescent="0.25">
      <c r="A1451" s="78" t="s">
        <v>988</v>
      </c>
      <c r="B1451" s="79" t="s">
        <v>3633</v>
      </c>
      <c r="C1451" s="26"/>
      <c r="D1451" s="14"/>
      <c r="E1451" s="15"/>
      <c r="F1451" s="16"/>
      <c r="G1451">
        <f t="shared" si="87"/>
        <v>0</v>
      </c>
    </row>
    <row r="1452" spans="1:7" hidden="1" x14ac:dyDescent="0.25">
      <c r="A1452" s="85" t="s">
        <v>989</v>
      </c>
      <c r="B1452" s="88" t="s">
        <v>3511</v>
      </c>
      <c r="C1452" s="26" t="s">
        <v>37</v>
      </c>
      <c r="D1452" s="14"/>
      <c r="E1452" s="15"/>
      <c r="F1452" s="16">
        <f t="shared" ref="F1452:F1463" si="88">+D1452*E1452</f>
        <v>0</v>
      </c>
      <c r="G1452">
        <f t="shared" si="87"/>
        <v>0</v>
      </c>
    </row>
    <row r="1453" spans="1:7" hidden="1" x14ac:dyDescent="0.25">
      <c r="A1453" s="85" t="s">
        <v>3634</v>
      </c>
      <c r="B1453" s="88" t="s">
        <v>3512</v>
      </c>
      <c r="C1453" s="26" t="s">
        <v>37</v>
      </c>
      <c r="D1453" s="14"/>
      <c r="E1453" s="15"/>
      <c r="F1453" s="16">
        <f t="shared" si="88"/>
        <v>0</v>
      </c>
      <c r="G1453">
        <f t="shared" si="87"/>
        <v>0</v>
      </c>
    </row>
    <row r="1454" spans="1:7" hidden="1" x14ac:dyDescent="0.25">
      <c r="A1454" s="85" t="s">
        <v>3635</v>
      </c>
      <c r="B1454" s="88" t="s">
        <v>3510</v>
      </c>
      <c r="C1454" s="26" t="s">
        <v>37</v>
      </c>
      <c r="D1454" s="14"/>
      <c r="E1454" s="15"/>
      <c r="F1454" s="16">
        <f t="shared" si="88"/>
        <v>0</v>
      </c>
      <c r="G1454">
        <f t="shared" si="87"/>
        <v>0</v>
      </c>
    </row>
    <row r="1455" spans="1:7" hidden="1" x14ac:dyDescent="0.25">
      <c r="A1455" s="85" t="s">
        <v>3636</v>
      </c>
      <c r="B1455" s="88" t="s">
        <v>3514</v>
      </c>
      <c r="C1455" s="26" t="s">
        <v>37</v>
      </c>
      <c r="D1455" s="14"/>
      <c r="E1455" s="15"/>
      <c r="F1455" s="16">
        <f t="shared" si="88"/>
        <v>0</v>
      </c>
      <c r="G1455">
        <f t="shared" si="87"/>
        <v>0</v>
      </c>
    </row>
    <row r="1456" spans="1:7" hidden="1" x14ac:dyDescent="0.25">
      <c r="A1456" s="85" t="s">
        <v>3637</v>
      </c>
      <c r="B1456" s="88" t="s">
        <v>3513</v>
      </c>
      <c r="C1456" s="26" t="s">
        <v>37</v>
      </c>
      <c r="D1456" s="14"/>
      <c r="E1456" s="15"/>
      <c r="F1456" s="16">
        <f t="shared" si="88"/>
        <v>0</v>
      </c>
      <c r="G1456">
        <f t="shared" si="87"/>
        <v>0</v>
      </c>
    </row>
    <row r="1457" spans="1:7" hidden="1" x14ac:dyDescent="0.25">
      <c r="A1457" s="85" t="s">
        <v>3638</v>
      </c>
      <c r="B1457" s="88" t="s">
        <v>3515</v>
      </c>
      <c r="C1457" s="26" t="s">
        <v>37</v>
      </c>
      <c r="D1457" s="14"/>
      <c r="E1457" s="15"/>
      <c r="F1457" s="16">
        <f t="shared" si="88"/>
        <v>0</v>
      </c>
      <c r="G1457">
        <f t="shared" si="87"/>
        <v>0</v>
      </c>
    </row>
    <row r="1458" spans="1:7" hidden="1" x14ac:dyDescent="0.25">
      <c r="A1458" s="85" t="s">
        <v>3639</v>
      </c>
      <c r="B1458" s="88" t="s">
        <v>3516</v>
      </c>
      <c r="C1458" s="26" t="s">
        <v>37</v>
      </c>
      <c r="D1458" s="14"/>
      <c r="E1458" s="15"/>
      <c r="F1458" s="16">
        <f t="shared" si="88"/>
        <v>0</v>
      </c>
      <c r="G1458">
        <f t="shared" si="87"/>
        <v>0</v>
      </c>
    </row>
    <row r="1459" spans="1:7" hidden="1" x14ac:dyDescent="0.25">
      <c r="A1459" s="85" t="s">
        <v>3640</v>
      </c>
      <c r="B1459" s="88" t="s">
        <v>3517</v>
      </c>
      <c r="C1459" s="26" t="s">
        <v>37</v>
      </c>
      <c r="D1459" s="14"/>
      <c r="E1459" s="15"/>
      <c r="F1459" s="16">
        <f t="shared" si="88"/>
        <v>0</v>
      </c>
      <c r="G1459">
        <f t="shared" si="87"/>
        <v>0</v>
      </c>
    </row>
    <row r="1460" spans="1:7" hidden="1" x14ac:dyDescent="0.25">
      <c r="A1460" s="85" t="s">
        <v>3641</v>
      </c>
      <c r="B1460" s="88" t="s">
        <v>3518</v>
      </c>
      <c r="C1460" s="26" t="s">
        <v>37</v>
      </c>
      <c r="D1460" s="14"/>
      <c r="E1460" s="15"/>
      <c r="F1460" s="16">
        <f t="shared" si="88"/>
        <v>0</v>
      </c>
      <c r="G1460">
        <f t="shared" si="87"/>
        <v>0</v>
      </c>
    </row>
    <row r="1461" spans="1:7" hidden="1" x14ac:dyDescent="0.25">
      <c r="A1461" s="85" t="s">
        <v>3642</v>
      </c>
      <c r="B1461" s="88" t="s">
        <v>3519</v>
      </c>
      <c r="C1461" s="26" t="s">
        <v>37</v>
      </c>
      <c r="D1461" s="14"/>
      <c r="E1461" s="15"/>
      <c r="F1461" s="16">
        <f t="shared" si="88"/>
        <v>0</v>
      </c>
      <c r="G1461">
        <f t="shared" si="87"/>
        <v>0</v>
      </c>
    </row>
    <row r="1462" spans="1:7" hidden="1" x14ac:dyDescent="0.25">
      <c r="A1462" s="85" t="s">
        <v>3643</v>
      </c>
      <c r="B1462" s="88" t="s">
        <v>3520</v>
      </c>
      <c r="C1462" s="26" t="s">
        <v>37</v>
      </c>
      <c r="D1462" s="14"/>
      <c r="E1462" s="15"/>
      <c r="F1462" s="16">
        <f t="shared" si="88"/>
        <v>0</v>
      </c>
      <c r="G1462">
        <f t="shared" si="87"/>
        <v>0</v>
      </c>
    </row>
    <row r="1463" spans="1:7" hidden="1" x14ac:dyDescent="0.25">
      <c r="A1463" s="85" t="s">
        <v>3644</v>
      </c>
      <c r="B1463" s="88" t="s">
        <v>3509</v>
      </c>
      <c r="C1463" s="26" t="s">
        <v>37</v>
      </c>
      <c r="D1463" s="14"/>
      <c r="E1463" s="15"/>
      <c r="F1463" s="16">
        <f t="shared" si="88"/>
        <v>0</v>
      </c>
      <c r="G1463">
        <f t="shared" si="87"/>
        <v>0</v>
      </c>
    </row>
    <row r="1464" spans="1:7" hidden="1" x14ac:dyDescent="0.25">
      <c r="A1464" s="78" t="s">
        <v>3645</v>
      </c>
      <c r="B1464" s="79" t="s">
        <v>3647</v>
      </c>
      <c r="C1464" s="26"/>
      <c r="D1464" s="14"/>
      <c r="E1464" s="15"/>
      <c r="F1464" s="16"/>
      <c r="G1464">
        <f t="shared" si="87"/>
        <v>0</v>
      </c>
    </row>
    <row r="1465" spans="1:7" hidden="1" x14ac:dyDescent="0.25">
      <c r="A1465" s="85" t="s">
        <v>3646</v>
      </c>
      <c r="B1465" s="88" t="s">
        <v>3511</v>
      </c>
      <c r="C1465" s="26" t="s">
        <v>37</v>
      </c>
      <c r="D1465" s="14"/>
      <c r="E1465" s="15"/>
      <c r="F1465" s="16">
        <f t="shared" ref="F1465:F1476" si="89">+D1465*E1465</f>
        <v>0</v>
      </c>
      <c r="G1465">
        <f t="shared" si="87"/>
        <v>0</v>
      </c>
    </row>
    <row r="1466" spans="1:7" hidden="1" x14ac:dyDescent="0.25">
      <c r="A1466" s="85" t="s">
        <v>3648</v>
      </c>
      <c r="B1466" s="88" t="s">
        <v>3512</v>
      </c>
      <c r="C1466" s="26" t="s">
        <v>37</v>
      </c>
      <c r="D1466" s="14"/>
      <c r="E1466" s="15"/>
      <c r="F1466" s="16">
        <f t="shared" si="89"/>
        <v>0</v>
      </c>
      <c r="G1466">
        <f t="shared" si="87"/>
        <v>0</v>
      </c>
    </row>
    <row r="1467" spans="1:7" hidden="1" x14ac:dyDescent="0.25">
      <c r="A1467" s="85" t="s">
        <v>3649</v>
      </c>
      <c r="B1467" s="88" t="s">
        <v>3510</v>
      </c>
      <c r="C1467" s="26" t="s">
        <v>37</v>
      </c>
      <c r="D1467" s="14"/>
      <c r="E1467" s="15"/>
      <c r="F1467" s="16">
        <f t="shared" si="89"/>
        <v>0</v>
      </c>
      <c r="G1467">
        <f t="shared" si="87"/>
        <v>0</v>
      </c>
    </row>
    <row r="1468" spans="1:7" hidden="1" x14ac:dyDescent="0.25">
      <c r="A1468" s="85" t="s">
        <v>3650</v>
      </c>
      <c r="B1468" s="88" t="s">
        <v>3514</v>
      </c>
      <c r="C1468" s="26" t="s">
        <v>37</v>
      </c>
      <c r="D1468" s="14"/>
      <c r="E1468" s="15"/>
      <c r="F1468" s="16">
        <f t="shared" si="89"/>
        <v>0</v>
      </c>
      <c r="G1468">
        <f t="shared" si="87"/>
        <v>0</v>
      </c>
    </row>
    <row r="1469" spans="1:7" hidden="1" x14ac:dyDescent="0.25">
      <c r="A1469" s="85" t="s">
        <v>3651</v>
      </c>
      <c r="B1469" s="88" t="s">
        <v>3513</v>
      </c>
      <c r="C1469" s="26" t="s">
        <v>37</v>
      </c>
      <c r="D1469" s="14"/>
      <c r="E1469" s="15"/>
      <c r="F1469" s="16">
        <f t="shared" si="89"/>
        <v>0</v>
      </c>
      <c r="G1469">
        <f t="shared" si="87"/>
        <v>0</v>
      </c>
    </row>
    <row r="1470" spans="1:7" hidden="1" x14ac:dyDescent="0.25">
      <c r="A1470" s="85" t="s">
        <v>3652</v>
      </c>
      <c r="B1470" s="88" t="s">
        <v>3515</v>
      </c>
      <c r="C1470" s="26" t="s">
        <v>37</v>
      </c>
      <c r="D1470" s="14"/>
      <c r="E1470" s="15"/>
      <c r="F1470" s="16">
        <f t="shared" si="89"/>
        <v>0</v>
      </c>
      <c r="G1470">
        <f t="shared" si="87"/>
        <v>0</v>
      </c>
    </row>
    <row r="1471" spans="1:7" hidden="1" x14ac:dyDescent="0.25">
      <c r="A1471" s="85" t="s">
        <v>3653</v>
      </c>
      <c r="B1471" s="88" t="s">
        <v>3516</v>
      </c>
      <c r="C1471" s="26" t="s">
        <v>37</v>
      </c>
      <c r="D1471" s="14"/>
      <c r="E1471" s="15"/>
      <c r="F1471" s="16">
        <f t="shared" si="89"/>
        <v>0</v>
      </c>
      <c r="G1471">
        <f t="shared" si="87"/>
        <v>0</v>
      </c>
    </row>
    <row r="1472" spans="1:7" hidden="1" x14ac:dyDescent="0.25">
      <c r="A1472" s="85" t="s">
        <v>3654</v>
      </c>
      <c r="B1472" s="88" t="s">
        <v>3517</v>
      </c>
      <c r="C1472" s="26" t="s">
        <v>37</v>
      </c>
      <c r="D1472" s="14"/>
      <c r="E1472" s="15"/>
      <c r="F1472" s="16">
        <f t="shared" si="89"/>
        <v>0</v>
      </c>
      <c r="G1472">
        <f t="shared" si="87"/>
        <v>0</v>
      </c>
    </row>
    <row r="1473" spans="1:7" hidden="1" x14ac:dyDescent="0.25">
      <c r="A1473" s="85" t="s">
        <v>3655</v>
      </c>
      <c r="B1473" s="88" t="s">
        <v>3518</v>
      </c>
      <c r="C1473" s="26" t="s">
        <v>37</v>
      </c>
      <c r="D1473" s="14"/>
      <c r="E1473" s="15"/>
      <c r="F1473" s="16">
        <f t="shared" si="89"/>
        <v>0</v>
      </c>
      <c r="G1473">
        <f t="shared" si="87"/>
        <v>0</v>
      </c>
    </row>
    <row r="1474" spans="1:7" hidden="1" x14ac:dyDescent="0.25">
      <c r="A1474" s="85" t="s">
        <v>3656</v>
      </c>
      <c r="B1474" s="88" t="s">
        <v>3519</v>
      </c>
      <c r="C1474" s="26" t="s">
        <v>37</v>
      </c>
      <c r="D1474" s="14"/>
      <c r="E1474" s="15"/>
      <c r="F1474" s="16">
        <f t="shared" si="89"/>
        <v>0</v>
      </c>
      <c r="G1474">
        <f t="shared" si="87"/>
        <v>0</v>
      </c>
    </row>
    <row r="1475" spans="1:7" hidden="1" x14ac:dyDescent="0.25">
      <c r="A1475" s="85" t="s">
        <v>3657</v>
      </c>
      <c r="B1475" s="88" t="s">
        <v>3520</v>
      </c>
      <c r="C1475" s="26" t="s">
        <v>37</v>
      </c>
      <c r="D1475" s="14"/>
      <c r="E1475" s="15"/>
      <c r="F1475" s="16">
        <f t="shared" si="89"/>
        <v>0</v>
      </c>
      <c r="G1475">
        <f t="shared" si="87"/>
        <v>0</v>
      </c>
    </row>
    <row r="1476" spans="1:7" hidden="1" x14ac:dyDescent="0.25">
      <c r="A1476" s="85" t="s">
        <v>3658</v>
      </c>
      <c r="B1476" s="88" t="s">
        <v>3509</v>
      </c>
      <c r="C1476" s="26" t="s">
        <v>37</v>
      </c>
      <c r="D1476" s="14"/>
      <c r="E1476" s="15"/>
      <c r="F1476" s="16">
        <f t="shared" si="89"/>
        <v>0</v>
      </c>
      <c r="G1476">
        <f t="shared" si="87"/>
        <v>0</v>
      </c>
    </row>
    <row r="1477" spans="1:7" hidden="1" x14ac:dyDescent="0.25">
      <c r="A1477" s="78" t="s">
        <v>3659</v>
      </c>
      <c r="B1477" s="79" t="s">
        <v>3661</v>
      </c>
      <c r="C1477" s="26"/>
      <c r="D1477" s="14"/>
      <c r="E1477" s="15"/>
      <c r="F1477" s="16"/>
      <c r="G1477">
        <f t="shared" si="87"/>
        <v>0</v>
      </c>
    </row>
    <row r="1478" spans="1:7" hidden="1" x14ac:dyDescent="0.25">
      <c r="A1478" s="85" t="s">
        <v>3660</v>
      </c>
      <c r="B1478" s="88" t="s">
        <v>3511</v>
      </c>
      <c r="C1478" s="26" t="s">
        <v>37</v>
      </c>
      <c r="D1478" s="14"/>
      <c r="E1478" s="15"/>
      <c r="F1478" s="16">
        <f t="shared" ref="F1478:F1489" si="90">+D1478*E1478</f>
        <v>0</v>
      </c>
      <c r="G1478">
        <f t="shared" si="87"/>
        <v>0</v>
      </c>
    </row>
    <row r="1479" spans="1:7" hidden="1" x14ac:dyDescent="0.25">
      <c r="A1479" s="85" t="s">
        <v>3662</v>
      </c>
      <c r="B1479" s="88" t="s">
        <v>3512</v>
      </c>
      <c r="C1479" s="26" t="s">
        <v>37</v>
      </c>
      <c r="D1479" s="14"/>
      <c r="E1479" s="15"/>
      <c r="F1479" s="16">
        <f t="shared" si="90"/>
        <v>0</v>
      </c>
      <c r="G1479">
        <f t="shared" si="87"/>
        <v>0</v>
      </c>
    </row>
    <row r="1480" spans="1:7" hidden="1" x14ac:dyDescent="0.25">
      <c r="A1480" s="85" t="s">
        <v>3663</v>
      </c>
      <c r="B1480" s="88" t="s">
        <v>3510</v>
      </c>
      <c r="C1480" s="26" t="s">
        <v>37</v>
      </c>
      <c r="D1480" s="14"/>
      <c r="E1480" s="15"/>
      <c r="F1480" s="16">
        <f t="shared" si="90"/>
        <v>0</v>
      </c>
      <c r="G1480">
        <f t="shared" si="87"/>
        <v>0</v>
      </c>
    </row>
    <row r="1481" spans="1:7" hidden="1" x14ac:dyDescent="0.25">
      <c r="A1481" s="85" t="s">
        <v>3664</v>
      </c>
      <c r="B1481" s="88" t="s">
        <v>3514</v>
      </c>
      <c r="C1481" s="26" t="s">
        <v>37</v>
      </c>
      <c r="D1481" s="14"/>
      <c r="E1481" s="15"/>
      <c r="F1481" s="16">
        <f t="shared" si="90"/>
        <v>0</v>
      </c>
      <c r="G1481">
        <f t="shared" si="87"/>
        <v>0</v>
      </c>
    </row>
    <row r="1482" spans="1:7" hidden="1" x14ac:dyDescent="0.25">
      <c r="A1482" s="85" t="s">
        <v>3665</v>
      </c>
      <c r="B1482" s="88" t="s">
        <v>3513</v>
      </c>
      <c r="C1482" s="26" t="s">
        <v>37</v>
      </c>
      <c r="D1482" s="14"/>
      <c r="E1482" s="15"/>
      <c r="F1482" s="16">
        <f t="shared" si="90"/>
        <v>0</v>
      </c>
      <c r="G1482">
        <f t="shared" si="87"/>
        <v>0</v>
      </c>
    </row>
    <row r="1483" spans="1:7" hidden="1" x14ac:dyDescent="0.25">
      <c r="A1483" s="85" t="s">
        <v>3666</v>
      </c>
      <c r="B1483" s="88" t="s">
        <v>3515</v>
      </c>
      <c r="C1483" s="26" t="s">
        <v>37</v>
      </c>
      <c r="D1483" s="14"/>
      <c r="E1483" s="15"/>
      <c r="F1483" s="16">
        <f t="shared" si="90"/>
        <v>0</v>
      </c>
      <c r="G1483">
        <f t="shared" si="87"/>
        <v>0</v>
      </c>
    </row>
    <row r="1484" spans="1:7" hidden="1" x14ac:dyDescent="0.25">
      <c r="A1484" s="85" t="s">
        <v>3667</v>
      </c>
      <c r="B1484" s="88" t="s">
        <v>3516</v>
      </c>
      <c r="C1484" s="26" t="s">
        <v>37</v>
      </c>
      <c r="D1484" s="14"/>
      <c r="E1484" s="15"/>
      <c r="F1484" s="16">
        <f t="shared" si="90"/>
        <v>0</v>
      </c>
      <c r="G1484">
        <f t="shared" si="87"/>
        <v>0</v>
      </c>
    </row>
    <row r="1485" spans="1:7" hidden="1" x14ac:dyDescent="0.25">
      <c r="A1485" s="85" t="s">
        <v>3668</v>
      </c>
      <c r="B1485" s="88" t="s">
        <v>3517</v>
      </c>
      <c r="C1485" s="26" t="s">
        <v>37</v>
      </c>
      <c r="D1485" s="14"/>
      <c r="E1485" s="15"/>
      <c r="F1485" s="16">
        <f t="shared" si="90"/>
        <v>0</v>
      </c>
      <c r="G1485">
        <f t="shared" si="87"/>
        <v>0</v>
      </c>
    </row>
    <row r="1486" spans="1:7" hidden="1" x14ac:dyDescent="0.25">
      <c r="A1486" s="85" t="s">
        <v>3669</v>
      </c>
      <c r="B1486" s="88" t="s">
        <v>3518</v>
      </c>
      <c r="C1486" s="26" t="s">
        <v>37</v>
      </c>
      <c r="D1486" s="14"/>
      <c r="E1486" s="15"/>
      <c r="F1486" s="16">
        <f t="shared" si="90"/>
        <v>0</v>
      </c>
      <c r="G1486">
        <f t="shared" si="87"/>
        <v>0</v>
      </c>
    </row>
    <row r="1487" spans="1:7" hidden="1" x14ac:dyDescent="0.25">
      <c r="A1487" s="85" t="s">
        <v>3670</v>
      </c>
      <c r="B1487" s="88" t="s">
        <v>3519</v>
      </c>
      <c r="C1487" s="26" t="s">
        <v>37</v>
      </c>
      <c r="D1487" s="14"/>
      <c r="E1487" s="15"/>
      <c r="F1487" s="16">
        <f t="shared" si="90"/>
        <v>0</v>
      </c>
      <c r="G1487">
        <f t="shared" si="87"/>
        <v>0</v>
      </c>
    </row>
    <row r="1488" spans="1:7" hidden="1" x14ac:dyDescent="0.25">
      <c r="A1488" s="85" t="s">
        <v>3671</v>
      </c>
      <c r="B1488" s="88" t="s">
        <v>3520</v>
      </c>
      <c r="C1488" s="26" t="s">
        <v>37</v>
      </c>
      <c r="D1488" s="14"/>
      <c r="E1488" s="15"/>
      <c r="F1488" s="16">
        <f t="shared" si="90"/>
        <v>0</v>
      </c>
      <c r="G1488">
        <f t="shared" si="87"/>
        <v>0</v>
      </c>
    </row>
    <row r="1489" spans="1:7" hidden="1" x14ac:dyDescent="0.25">
      <c r="A1489" s="85" t="s">
        <v>3672</v>
      </c>
      <c r="B1489" s="88" t="s">
        <v>3509</v>
      </c>
      <c r="C1489" s="26" t="s">
        <v>37</v>
      </c>
      <c r="D1489" s="14"/>
      <c r="E1489" s="15"/>
      <c r="F1489" s="16">
        <f t="shared" si="90"/>
        <v>0</v>
      </c>
      <c r="G1489">
        <f t="shared" si="87"/>
        <v>0</v>
      </c>
    </row>
    <row r="1490" spans="1:7" hidden="1" x14ac:dyDescent="0.25">
      <c r="A1490" s="78" t="s">
        <v>3673</v>
      </c>
      <c r="B1490" s="79" t="s">
        <v>3674</v>
      </c>
      <c r="C1490" s="26"/>
      <c r="D1490" s="14"/>
      <c r="E1490" s="15"/>
      <c r="F1490" s="16"/>
      <c r="G1490">
        <f t="shared" si="87"/>
        <v>0</v>
      </c>
    </row>
    <row r="1491" spans="1:7" hidden="1" x14ac:dyDescent="0.25">
      <c r="A1491" s="78" t="s">
        <v>3675</v>
      </c>
      <c r="B1491" s="79" t="s">
        <v>3676</v>
      </c>
      <c r="C1491" s="26"/>
      <c r="D1491" s="14"/>
      <c r="E1491" s="15"/>
      <c r="F1491" s="16"/>
      <c r="G1491">
        <f t="shared" si="87"/>
        <v>0</v>
      </c>
    </row>
    <row r="1492" spans="1:7" hidden="1" x14ac:dyDescent="0.25">
      <c r="A1492" s="85" t="s">
        <v>3738</v>
      </c>
      <c r="B1492" s="81" t="s">
        <v>3677</v>
      </c>
      <c r="C1492" s="26" t="s">
        <v>37</v>
      </c>
      <c r="D1492" s="14"/>
      <c r="E1492" s="15"/>
      <c r="F1492" s="16">
        <f t="shared" ref="F1492:F1551" si="91">+D1492*E1492</f>
        <v>0</v>
      </c>
      <c r="G1492">
        <f t="shared" si="87"/>
        <v>0</v>
      </c>
    </row>
    <row r="1493" spans="1:7" hidden="1" x14ac:dyDescent="0.25">
      <c r="A1493" s="85" t="s">
        <v>3739</v>
      </c>
      <c r="B1493" s="81" t="s">
        <v>3678</v>
      </c>
      <c r="C1493" s="26" t="s">
        <v>37</v>
      </c>
      <c r="D1493" s="14"/>
      <c r="E1493" s="15"/>
      <c r="F1493" s="16">
        <f t="shared" si="91"/>
        <v>0</v>
      </c>
      <c r="G1493">
        <f t="shared" si="87"/>
        <v>0</v>
      </c>
    </row>
    <row r="1494" spans="1:7" hidden="1" x14ac:dyDescent="0.25">
      <c r="A1494" s="85" t="s">
        <v>3740</v>
      </c>
      <c r="B1494" s="81" t="s">
        <v>3679</v>
      </c>
      <c r="C1494" s="26" t="s">
        <v>37</v>
      </c>
      <c r="D1494" s="14"/>
      <c r="E1494" s="15"/>
      <c r="F1494" s="16">
        <f t="shared" si="91"/>
        <v>0</v>
      </c>
      <c r="G1494">
        <f t="shared" si="87"/>
        <v>0</v>
      </c>
    </row>
    <row r="1495" spans="1:7" hidden="1" x14ac:dyDescent="0.25">
      <c r="A1495" s="85" t="s">
        <v>3741</v>
      </c>
      <c r="B1495" s="81" t="s">
        <v>3680</v>
      </c>
      <c r="C1495" s="26" t="s">
        <v>37</v>
      </c>
      <c r="D1495" s="14"/>
      <c r="E1495" s="15"/>
      <c r="F1495" s="16">
        <f t="shared" si="91"/>
        <v>0</v>
      </c>
      <c r="G1495">
        <f t="shared" si="87"/>
        <v>0</v>
      </c>
    </row>
    <row r="1496" spans="1:7" hidden="1" x14ac:dyDescent="0.25">
      <c r="A1496" s="85" t="s">
        <v>3742</v>
      </c>
      <c r="B1496" s="81" t="s">
        <v>3681</v>
      </c>
      <c r="C1496" s="26" t="s">
        <v>37</v>
      </c>
      <c r="D1496" s="14"/>
      <c r="E1496" s="15"/>
      <c r="F1496" s="16">
        <f t="shared" si="91"/>
        <v>0</v>
      </c>
      <c r="G1496">
        <f t="shared" si="87"/>
        <v>0</v>
      </c>
    </row>
    <row r="1497" spans="1:7" hidden="1" x14ac:dyDescent="0.25">
      <c r="A1497" s="85" t="s">
        <v>3743</v>
      </c>
      <c r="B1497" s="81" t="s">
        <v>3682</v>
      </c>
      <c r="C1497" s="26" t="s">
        <v>37</v>
      </c>
      <c r="D1497" s="14"/>
      <c r="E1497" s="15"/>
      <c r="F1497" s="16">
        <f t="shared" si="91"/>
        <v>0</v>
      </c>
      <c r="G1497">
        <f t="shared" si="87"/>
        <v>0</v>
      </c>
    </row>
    <row r="1498" spans="1:7" hidden="1" x14ac:dyDescent="0.25">
      <c r="A1498" s="85" t="s">
        <v>3744</v>
      </c>
      <c r="B1498" s="81" t="s">
        <v>3683</v>
      </c>
      <c r="C1498" s="26" t="s">
        <v>37</v>
      </c>
      <c r="D1498" s="14"/>
      <c r="E1498" s="15"/>
      <c r="F1498" s="16">
        <f t="shared" si="91"/>
        <v>0</v>
      </c>
      <c r="G1498">
        <f t="shared" si="87"/>
        <v>0</v>
      </c>
    </row>
    <row r="1499" spans="1:7" hidden="1" x14ac:dyDescent="0.25">
      <c r="A1499" s="85" t="s">
        <v>3745</v>
      </c>
      <c r="B1499" s="81" t="s">
        <v>3684</v>
      </c>
      <c r="C1499" s="26" t="s">
        <v>37</v>
      </c>
      <c r="D1499" s="14"/>
      <c r="E1499" s="15"/>
      <c r="F1499" s="16">
        <f t="shared" si="91"/>
        <v>0</v>
      </c>
      <c r="G1499">
        <f t="shared" si="87"/>
        <v>0</v>
      </c>
    </row>
    <row r="1500" spans="1:7" hidden="1" x14ac:dyDescent="0.25">
      <c r="A1500" s="85" t="s">
        <v>3746</v>
      </c>
      <c r="B1500" s="81" t="s">
        <v>3685</v>
      </c>
      <c r="C1500" s="26" t="s">
        <v>37</v>
      </c>
      <c r="D1500" s="14"/>
      <c r="E1500" s="15"/>
      <c r="F1500" s="16">
        <f t="shared" si="91"/>
        <v>0</v>
      </c>
      <c r="G1500">
        <f t="shared" si="87"/>
        <v>0</v>
      </c>
    </row>
    <row r="1501" spans="1:7" hidden="1" x14ac:dyDescent="0.25">
      <c r="A1501" s="85" t="s">
        <v>3747</v>
      </c>
      <c r="B1501" s="81" t="s">
        <v>3686</v>
      </c>
      <c r="C1501" s="26" t="s">
        <v>37</v>
      </c>
      <c r="D1501" s="14"/>
      <c r="E1501" s="15"/>
      <c r="F1501" s="16">
        <f t="shared" si="91"/>
        <v>0</v>
      </c>
      <c r="G1501">
        <f t="shared" si="87"/>
        <v>0</v>
      </c>
    </row>
    <row r="1502" spans="1:7" hidden="1" x14ac:dyDescent="0.25">
      <c r="A1502" s="85" t="s">
        <v>3748</v>
      </c>
      <c r="B1502" s="81" t="s">
        <v>3687</v>
      </c>
      <c r="C1502" s="26" t="s">
        <v>37</v>
      </c>
      <c r="D1502" s="14"/>
      <c r="E1502" s="15"/>
      <c r="F1502" s="16">
        <f t="shared" si="91"/>
        <v>0</v>
      </c>
      <c r="G1502">
        <f t="shared" si="87"/>
        <v>0</v>
      </c>
    </row>
    <row r="1503" spans="1:7" hidden="1" x14ac:dyDescent="0.25">
      <c r="A1503" s="85" t="s">
        <v>3749</v>
      </c>
      <c r="B1503" s="81" t="s">
        <v>3688</v>
      </c>
      <c r="C1503" s="26" t="s">
        <v>37</v>
      </c>
      <c r="D1503" s="14"/>
      <c r="E1503" s="15"/>
      <c r="F1503" s="16">
        <f t="shared" si="91"/>
        <v>0</v>
      </c>
      <c r="G1503">
        <f t="shared" si="87"/>
        <v>0</v>
      </c>
    </row>
    <row r="1504" spans="1:7" hidden="1" x14ac:dyDescent="0.25">
      <c r="A1504" s="85" t="s">
        <v>3750</v>
      </c>
      <c r="B1504" s="81" t="s">
        <v>3689</v>
      </c>
      <c r="C1504" s="26" t="s">
        <v>37</v>
      </c>
      <c r="D1504" s="14"/>
      <c r="E1504" s="15"/>
      <c r="F1504" s="16">
        <f t="shared" si="91"/>
        <v>0</v>
      </c>
      <c r="G1504">
        <f t="shared" si="87"/>
        <v>0</v>
      </c>
    </row>
    <row r="1505" spans="1:7" hidden="1" x14ac:dyDescent="0.25">
      <c r="A1505" s="85" t="s">
        <v>3751</v>
      </c>
      <c r="B1505" s="81" t="s">
        <v>3690</v>
      </c>
      <c r="C1505" s="26" t="s">
        <v>37</v>
      </c>
      <c r="D1505" s="14"/>
      <c r="E1505" s="15"/>
      <c r="F1505" s="16">
        <f t="shared" si="91"/>
        <v>0</v>
      </c>
      <c r="G1505">
        <f t="shared" si="87"/>
        <v>0</v>
      </c>
    </row>
    <row r="1506" spans="1:7" hidden="1" x14ac:dyDescent="0.25">
      <c r="A1506" s="85" t="s">
        <v>3752</v>
      </c>
      <c r="B1506" s="81" t="s">
        <v>3691</v>
      </c>
      <c r="C1506" s="26" t="s">
        <v>37</v>
      </c>
      <c r="D1506" s="14"/>
      <c r="E1506" s="15"/>
      <c r="F1506" s="16">
        <f t="shared" si="91"/>
        <v>0</v>
      </c>
      <c r="G1506">
        <f t="shared" si="87"/>
        <v>0</v>
      </c>
    </row>
    <row r="1507" spans="1:7" hidden="1" x14ac:dyDescent="0.25">
      <c r="A1507" s="85" t="s">
        <v>3753</v>
      </c>
      <c r="B1507" s="81" t="s">
        <v>3692</v>
      </c>
      <c r="C1507" s="26" t="s">
        <v>37</v>
      </c>
      <c r="D1507" s="14"/>
      <c r="E1507" s="15"/>
      <c r="F1507" s="16">
        <f t="shared" si="91"/>
        <v>0</v>
      </c>
      <c r="G1507">
        <f t="shared" si="87"/>
        <v>0</v>
      </c>
    </row>
    <row r="1508" spans="1:7" hidden="1" x14ac:dyDescent="0.25">
      <c r="A1508" s="85" t="s">
        <v>3754</v>
      </c>
      <c r="B1508" s="81" t="s">
        <v>3693</v>
      </c>
      <c r="C1508" s="26" t="s">
        <v>37</v>
      </c>
      <c r="D1508" s="14"/>
      <c r="E1508" s="15"/>
      <c r="F1508" s="16">
        <f t="shared" si="91"/>
        <v>0</v>
      </c>
      <c r="G1508">
        <f t="shared" ref="G1508:G1571" si="92">+IF(F1508&lt;&gt;0,1,0)</f>
        <v>0</v>
      </c>
    </row>
    <row r="1509" spans="1:7" hidden="1" x14ac:dyDescent="0.25">
      <c r="A1509" s="85" t="s">
        <v>3755</v>
      </c>
      <c r="B1509" s="81" t="s">
        <v>3694</v>
      </c>
      <c r="C1509" s="26" t="s">
        <v>37</v>
      </c>
      <c r="D1509" s="14"/>
      <c r="E1509" s="15"/>
      <c r="F1509" s="16">
        <f t="shared" si="91"/>
        <v>0</v>
      </c>
      <c r="G1509">
        <f t="shared" si="92"/>
        <v>0</v>
      </c>
    </row>
    <row r="1510" spans="1:7" hidden="1" x14ac:dyDescent="0.25">
      <c r="A1510" s="85" t="s">
        <v>3756</v>
      </c>
      <c r="B1510" s="81" t="s">
        <v>3695</v>
      </c>
      <c r="C1510" s="26" t="s">
        <v>37</v>
      </c>
      <c r="D1510" s="14"/>
      <c r="E1510" s="15"/>
      <c r="F1510" s="16">
        <f t="shared" si="91"/>
        <v>0</v>
      </c>
      <c r="G1510">
        <f t="shared" si="92"/>
        <v>0</v>
      </c>
    </row>
    <row r="1511" spans="1:7" hidden="1" x14ac:dyDescent="0.25">
      <c r="A1511" s="85" t="s">
        <v>3757</v>
      </c>
      <c r="B1511" s="81" t="s">
        <v>3696</v>
      </c>
      <c r="C1511" s="26" t="s">
        <v>37</v>
      </c>
      <c r="D1511" s="14"/>
      <c r="E1511" s="15"/>
      <c r="F1511" s="16">
        <f t="shared" si="91"/>
        <v>0</v>
      </c>
      <c r="G1511">
        <f t="shared" si="92"/>
        <v>0</v>
      </c>
    </row>
    <row r="1512" spans="1:7" hidden="1" x14ac:dyDescent="0.25">
      <c r="A1512" s="85" t="s">
        <v>3758</v>
      </c>
      <c r="B1512" s="81" t="s">
        <v>3697</v>
      </c>
      <c r="C1512" s="26" t="s">
        <v>37</v>
      </c>
      <c r="D1512" s="14"/>
      <c r="E1512" s="15"/>
      <c r="F1512" s="16">
        <f t="shared" si="91"/>
        <v>0</v>
      </c>
      <c r="G1512">
        <f t="shared" si="92"/>
        <v>0</v>
      </c>
    </row>
    <row r="1513" spans="1:7" hidden="1" x14ac:dyDescent="0.25">
      <c r="A1513" s="85" t="s">
        <v>3759</v>
      </c>
      <c r="B1513" s="81" t="s">
        <v>3698</v>
      </c>
      <c r="C1513" s="26" t="s">
        <v>37</v>
      </c>
      <c r="D1513" s="14"/>
      <c r="E1513" s="15"/>
      <c r="F1513" s="16">
        <f t="shared" si="91"/>
        <v>0</v>
      </c>
      <c r="G1513">
        <f t="shared" si="92"/>
        <v>0</v>
      </c>
    </row>
    <row r="1514" spans="1:7" hidden="1" x14ac:dyDescent="0.25">
      <c r="A1514" s="85" t="s">
        <v>3760</v>
      </c>
      <c r="B1514" s="81" t="s">
        <v>3699</v>
      </c>
      <c r="C1514" s="26" t="s">
        <v>37</v>
      </c>
      <c r="D1514" s="14"/>
      <c r="E1514" s="15"/>
      <c r="F1514" s="16">
        <f t="shared" si="91"/>
        <v>0</v>
      </c>
      <c r="G1514">
        <f t="shared" si="92"/>
        <v>0</v>
      </c>
    </row>
    <row r="1515" spans="1:7" hidden="1" x14ac:dyDescent="0.25">
      <c r="A1515" s="85" t="s">
        <v>3761</v>
      </c>
      <c r="B1515" s="81" t="s">
        <v>3700</v>
      </c>
      <c r="C1515" s="26" t="s">
        <v>37</v>
      </c>
      <c r="D1515" s="14"/>
      <c r="E1515" s="15"/>
      <c r="F1515" s="16">
        <f t="shared" si="91"/>
        <v>0</v>
      </c>
      <c r="G1515">
        <f t="shared" si="92"/>
        <v>0</v>
      </c>
    </row>
    <row r="1516" spans="1:7" hidden="1" x14ac:dyDescent="0.25">
      <c r="A1516" s="85" t="s">
        <v>3762</v>
      </c>
      <c r="B1516" s="81" t="s">
        <v>3701</v>
      </c>
      <c r="C1516" s="26" t="s">
        <v>37</v>
      </c>
      <c r="D1516" s="14"/>
      <c r="E1516" s="15"/>
      <c r="F1516" s="16">
        <f t="shared" si="91"/>
        <v>0</v>
      </c>
      <c r="G1516">
        <f t="shared" si="92"/>
        <v>0</v>
      </c>
    </row>
    <row r="1517" spans="1:7" hidden="1" x14ac:dyDescent="0.25">
      <c r="A1517" s="85" t="s">
        <v>3763</v>
      </c>
      <c r="B1517" s="81" t="s">
        <v>3702</v>
      </c>
      <c r="C1517" s="26" t="s">
        <v>37</v>
      </c>
      <c r="D1517" s="14"/>
      <c r="E1517" s="15"/>
      <c r="F1517" s="16">
        <f t="shared" si="91"/>
        <v>0</v>
      </c>
      <c r="G1517">
        <f t="shared" si="92"/>
        <v>0</v>
      </c>
    </row>
    <row r="1518" spans="1:7" hidden="1" x14ac:dyDescent="0.25">
      <c r="A1518" s="85" t="s">
        <v>3764</v>
      </c>
      <c r="B1518" s="81" t="s">
        <v>3703</v>
      </c>
      <c r="C1518" s="26" t="s">
        <v>37</v>
      </c>
      <c r="D1518" s="14"/>
      <c r="E1518" s="15"/>
      <c r="F1518" s="16">
        <f t="shared" si="91"/>
        <v>0</v>
      </c>
      <c r="G1518">
        <f t="shared" si="92"/>
        <v>0</v>
      </c>
    </row>
    <row r="1519" spans="1:7" hidden="1" x14ac:dyDescent="0.25">
      <c r="A1519" s="85" t="s">
        <v>3765</v>
      </c>
      <c r="B1519" s="81" t="s">
        <v>3704</v>
      </c>
      <c r="C1519" s="26" t="s">
        <v>37</v>
      </c>
      <c r="D1519" s="14"/>
      <c r="E1519" s="15"/>
      <c r="F1519" s="16">
        <f t="shared" si="91"/>
        <v>0</v>
      </c>
      <c r="G1519">
        <f t="shared" si="92"/>
        <v>0</v>
      </c>
    </row>
    <row r="1520" spans="1:7" hidden="1" x14ac:dyDescent="0.25">
      <c r="A1520" s="85" t="s">
        <v>3766</v>
      </c>
      <c r="B1520" s="81" t="s">
        <v>3705</v>
      </c>
      <c r="C1520" s="26" t="s">
        <v>37</v>
      </c>
      <c r="D1520" s="14"/>
      <c r="E1520" s="15"/>
      <c r="F1520" s="16">
        <f t="shared" si="91"/>
        <v>0</v>
      </c>
      <c r="G1520">
        <f t="shared" si="92"/>
        <v>0</v>
      </c>
    </row>
    <row r="1521" spans="1:7" hidden="1" x14ac:dyDescent="0.25">
      <c r="A1521" s="85" t="s">
        <v>3767</v>
      </c>
      <c r="B1521" s="81" t="s">
        <v>3706</v>
      </c>
      <c r="C1521" s="26" t="s">
        <v>37</v>
      </c>
      <c r="D1521" s="14"/>
      <c r="E1521" s="15"/>
      <c r="F1521" s="16">
        <f t="shared" si="91"/>
        <v>0</v>
      </c>
      <c r="G1521">
        <f t="shared" si="92"/>
        <v>0</v>
      </c>
    </row>
    <row r="1522" spans="1:7" hidden="1" x14ac:dyDescent="0.25">
      <c r="A1522" s="85" t="s">
        <v>3768</v>
      </c>
      <c r="B1522" s="81" t="s">
        <v>3707</v>
      </c>
      <c r="C1522" s="26" t="s">
        <v>37</v>
      </c>
      <c r="D1522" s="14"/>
      <c r="E1522" s="15"/>
      <c r="F1522" s="16">
        <f t="shared" si="91"/>
        <v>0</v>
      </c>
      <c r="G1522">
        <f t="shared" si="92"/>
        <v>0</v>
      </c>
    </row>
    <row r="1523" spans="1:7" hidden="1" x14ac:dyDescent="0.25">
      <c r="A1523" s="85" t="s">
        <v>3769</v>
      </c>
      <c r="B1523" s="81" t="s">
        <v>3708</v>
      </c>
      <c r="C1523" s="26" t="s">
        <v>37</v>
      </c>
      <c r="D1523" s="14"/>
      <c r="E1523" s="15"/>
      <c r="F1523" s="16">
        <f t="shared" si="91"/>
        <v>0</v>
      </c>
      <c r="G1523">
        <f t="shared" si="92"/>
        <v>0</v>
      </c>
    </row>
    <row r="1524" spans="1:7" hidden="1" x14ac:dyDescent="0.25">
      <c r="A1524" s="85" t="s">
        <v>3770</v>
      </c>
      <c r="B1524" s="81" t="s">
        <v>3709</v>
      </c>
      <c r="C1524" s="26" t="s">
        <v>37</v>
      </c>
      <c r="D1524" s="14"/>
      <c r="E1524" s="15"/>
      <c r="F1524" s="16">
        <f t="shared" si="91"/>
        <v>0</v>
      </c>
      <c r="G1524">
        <f t="shared" si="92"/>
        <v>0</v>
      </c>
    </row>
    <row r="1525" spans="1:7" hidden="1" x14ac:dyDescent="0.25">
      <c r="A1525" s="85" t="s">
        <v>3771</v>
      </c>
      <c r="B1525" s="81" t="s">
        <v>3710</v>
      </c>
      <c r="C1525" s="26" t="s">
        <v>37</v>
      </c>
      <c r="D1525" s="14"/>
      <c r="E1525" s="15"/>
      <c r="F1525" s="16">
        <f t="shared" si="91"/>
        <v>0</v>
      </c>
      <c r="G1525">
        <f t="shared" si="92"/>
        <v>0</v>
      </c>
    </row>
    <row r="1526" spans="1:7" hidden="1" x14ac:dyDescent="0.25">
      <c r="A1526" s="85" t="s">
        <v>3772</v>
      </c>
      <c r="B1526" s="81" t="s">
        <v>3711</v>
      </c>
      <c r="C1526" s="26" t="s">
        <v>37</v>
      </c>
      <c r="D1526" s="14"/>
      <c r="E1526" s="15"/>
      <c r="F1526" s="16">
        <f t="shared" si="91"/>
        <v>0</v>
      </c>
      <c r="G1526">
        <f t="shared" si="92"/>
        <v>0</v>
      </c>
    </row>
    <row r="1527" spans="1:7" hidden="1" x14ac:dyDescent="0.25">
      <c r="A1527" s="85" t="s">
        <v>3773</v>
      </c>
      <c r="B1527" s="81" t="s">
        <v>3712</v>
      </c>
      <c r="C1527" s="26" t="s">
        <v>37</v>
      </c>
      <c r="D1527" s="14"/>
      <c r="E1527" s="15"/>
      <c r="F1527" s="16">
        <f t="shared" si="91"/>
        <v>0</v>
      </c>
      <c r="G1527">
        <f t="shared" si="92"/>
        <v>0</v>
      </c>
    </row>
    <row r="1528" spans="1:7" hidden="1" x14ac:dyDescent="0.25">
      <c r="A1528" s="85" t="s">
        <v>3774</v>
      </c>
      <c r="B1528" s="81" t="s">
        <v>3713</v>
      </c>
      <c r="C1528" s="26" t="s">
        <v>37</v>
      </c>
      <c r="D1528" s="14"/>
      <c r="E1528" s="15"/>
      <c r="F1528" s="16">
        <f t="shared" si="91"/>
        <v>0</v>
      </c>
      <c r="G1528">
        <f t="shared" si="92"/>
        <v>0</v>
      </c>
    </row>
    <row r="1529" spans="1:7" hidden="1" x14ac:dyDescent="0.25">
      <c r="A1529" s="85" t="s">
        <v>3775</v>
      </c>
      <c r="B1529" s="81" t="s">
        <v>3714</v>
      </c>
      <c r="C1529" s="26" t="s">
        <v>37</v>
      </c>
      <c r="D1529" s="14"/>
      <c r="E1529" s="15"/>
      <c r="F1529" s="16">
        <f t="shared" si="91"/>
        <v>0</v>
      </c>
      <c r="G1529">
        <f t="shared" si="92"/>
        <v>0</v>
      </c>
    </row>
    <row r="1530" spans="1:7" hidden="1" x14ac:dyDescent="0.25">
      <c r="A1530" s="85" t="s">
        <v>3776</v>
      </c>
      <c r="B1530" s="81" t="s">
        <v>3715</v>
      </c>
      <c r="C1530" s="26" t="s">
        <v>37</v>
      </c>
      <c r="D1530" s="14"/>
      <c r="E1530" s="15"/>
      <c r="F1530" s="16">
        <f t="shared" si="91"/>
        <v>0</v>
      </c>
      <c r="G1530">
        <f t="shared" si="92"/>
        <v>0</v>
      </c>
    </row>
    <row r="1531" spans="1:7" hidden="1" x14ac:dyDescent="0.25">
      <c r="A1531" s="85" t="s">
        <v>3777</v>
      </c>
      <c r="B1531" s="81" t="s">
        <v>3716</v>
      </c>
      <c r="C1531" s="26" t="s">
        <v>37</v>
      </c>
      <c r="D1531" s="14"/>
      <c r="E1531" s="15"/>
      <c r="F1531" s="16">
        <f t="shared" si="91"/>
        <v>0</v>
      </c>
      <c r="G1531">
        <f t="shared" si="92"/>
        <v>0</v>
      </c>
    </row>
    <row r="1532" spans="1:7" hidden="1" x14ac:dyDescent="0.25">
      <c r="A1532" s="85" t="s">
        <v>3778</v>
      </c>
      <c r="B1532" s="81" t="s">
        <v>3726</v>
      </c>
      <c r="C1532" s="26" t="s">
        <v>37</v>
      </c>
      <c r="D1532" s="14"/>
      <c r="E1532" s="15"/>
      <c r="F1532" s="16">
        <f t="shared" si="91"/>
        <v>0</v>
      </c>
      <c r="G1532">
        <f t="shared" si="92"/>
        <v>0</v>
      </c>
    </row>
    <row r="1533" spans="1:7" hidden="1" x14ac:dyDescent="0.25">
      <c r="A1533" s="85" t="s">
        <v>3779</v>
      </c>
      <c r="B1533" s="81" t="s">
        <v>3717</v>
      </c>
      <c r="C1533" s="26" t="s">
        <v>37</v>
      </c>
      <c r="D1533" s="14"/>
      <c r="E1533" s="15"/>
      <c r="F1533" s="16">
        <f t="shared" si="91"/>
        <v>0</v>
      </c>
      <c r="G1533">
        <f t="shared" si="92"/>
        <v>0</v>
      </c>
    </row>
    <row r="1534" spans="1:7" hidden="1" x14ac:dyDescent="0.25">
      <c r="A1534" s="85" t="s">
        <v>3780</v>
      </c>
      <c r="B1534" s="81" t="s">
        <v>3718</v>
      </c>
      <c r="C1534" s="26" t="s">
        <v>37</v>
      </c>
      <c r="D1534" s="14"/>
      <c r="E1534" s="15"/>
      <c r="F1534" s="16">
        <f t="shared" si="91"/>
        <v>0</v>
      </c>
      <c r="G1534">
        <f t="shared" si="92"/>
        <v>0</v>
      </c>
    </row>
    <row r="1535" spans="1:7" hidden="1" x14ac:dyDescent="0.25">
      <c r="A1535" s="85" t="s">
        <v>3781</v>
      </c>
      <c r="B1535" s="81" t="s">
        <v>3719</v>
      </c>
      <c r="C1535" s="26" t="s">
        <v>37</v>
      </c>
      <c r="D1535" s="14"/>
      <c r="E1535" s="15"/>
      <c r="F1535" s="16">
        <f t="shared" si="91"/>
        <v>0</v>
      </c>
      <c r="G1535">
        <f t="shared" si="92"/>
        <v>0</v>
      </c>
    </row>
    <row r="1536" spans="1:7" hidden="1" x14ac:dyDescent="0.25">
      <c r="A1536" s="85" t="s">
        <v>3782</v>
      </c>
      <c r="B1536" s="81" t="s">
        <v>3720</v>
      </c>
      <c r="C1536" s="26" t="s">
        <v>37</v>
      </c>
      <c r="D1536" s="14"/>
      <c r="E1536" s="15"/>
      <c r="F1536" s="16">
        <f t="shared" si="91"/>
        <v>0</v>
      </c>
      <c r="G1536">
        <f t="shared" si="92"/>
        <v>0</v>
      </c>
    </row>
    <row r="1537" spans="1:7" hidden="1" x14ac:dyDescent="0.25">
      <c r="A1537" s="85" t="s">
        <v>3783</v>
      </c>
      <c r="B1537" s="81" t="s">
        <v>3721</v>
      </c>
      <c r="C1537" s="26" t="s">
        <v>37</v>
      </c>
      <c r="D1537" s="14"/>
      <c r="E1537" s="15"/>
      <c r="F1537" s="16">
        <f t="shared" si="91"/>
        <v>0</v>
      </c>
      <c r="G1537">
        <f t="shared" si="92"/>
        <v>0</v>
      </c>
    </row>
    <row r="1538" spans="1:7" hidden="1" x14ac:dyDescent="0.25">
      <c r="A1538" s="85" t="s">
        <v>3784</v>
      </c>
      <c r="B1538" s="81" t="s">
        <v>3722</v>
      </c>
      <c r="C1538" s="26" t="s">
        <v>37</v>
      </c>
      <c r="D1538" s="14"/>
      <c r="E1538" s="15"/>
      <c r="F1538" s="16">
        <f t="shared" si="91"/>
        <v>0</v>
      </c>
      <c r="G1538">
        <f t="shared" si="92"/>
        <v>0</v>
      </c>
    </row>
    <row r="1539" spans="1:7" hidden="1" x14ac:dyDescent="0.25">
      <c r="A1539" s="85" t="s">
        <v>3785</v>
      </c>
      <c r="B1539" s="81" t="s">
        <v>3723</v>
      </c>
      <c r="C1539" s="26" t="s">
        <v>37</v>
      </c>
      <c r="D1539" s="14"/>
      <c r="E1539" s="15"/>
      <c r="F1539" s="16">
        <f t="shared" si="91"/>
        <v>0</v>
      </c>
      <c r="G1539">
        <f t="shared" si="92"/>
        <v>0</v>
      </c>
    </row>
    <row r="1540" spans="1:7" hidden="1" x14ac:dyDescent="0.25">
      <c r="A1540" s="85" t="s">
        <v>3786</v>
      </c>
      <c r="B1540" s="81" t="s">
        <v>3724</v>
      </c>
      <c r="C1540" s="26" t="s">
        <v>37</v>
      </c>
      <c r="D1540" s="14"/>
      <c r="E1540" s="15"/>
      <c r="F1540" s="16">
        <f t="shared" si="91"/>
        <v>0</v>
      </c>
      <c r="G1540">
        <f t="shared" si="92"/>
        <v>0</v>
      </c>
    </row>
    <row r="1541" spans="1:7" hidden="1" x14ac:dyDescent="0.25">
      <c r="A1541" s="85" t="s">
        <v>3787</v>
      </c>
      <c r="B1541" s="81" t="s">
        <v>3725</v>
      </c>
      <c r="C1541" s="26" t="s">
        <v>37</v>
      </c>
      <c r="D1541" s="14"/>
      <c r="E1541" s="15"/>
      <c r="F1541" s="16">
        <f t="shared" si="91"/>
        <v>0</v>
      </c>
      <c r="G1541">
        <f t="shared" si="92"/>
        <v>0</v>
      </c>
    </row>
    <row r="1542" spans="1:7" hidden="1" x14ac:dyDescent="0.25">
      <c r="A1542" s="85" t="s">
        <v>3788</v>
      </c>
      <c r="B1542" s="81" t="s">
        <v>3727</v>
      </c>
      <c r="C1542" s="26" t="s">
        <v>37</v>
      </c>
      <c r="D1542" s="14"/>
      <c r="E1542" s="15"/>
      <c r="F1542" s="16">
        <f t="shared" si="91"/>
        <v>0</v>
      </c>
      <c r="G1542">
        <f t="shared" si="92"/>
        <v>0</v>
      </c>
    </row>
    <row r="1543" spans="1:7" hidden="1" x14ac:dyDescent="0.25">
      <c r="A1543" s="85" t="s">
        <v>3789</v>
      </c>
      <c r="B1543" s="81" t="s">
        <v>3728</v>
      </c>
      <c r="C1543" s="26" t="s">
        <v>37</v>
      </c>
      <c r="D1543" s="14"/>
      <c r="E1543" s="15"/>
      <c r="F1543" s="16">
        <f t="shared" si="91"/>
        <v>0</v>
      </c>
      <c r="G1543">
        <f t="shared" si="92"/>
        <v>0</v>
      </c>
    </row>
    <row r="1544" spans="1:7" hidden="1" x14ac:dyDescent="0.25">
      <c r="A1544" s="85" t="s">
        <v>3790</v>
      </c>
      <c r="B1544" s="81" t="s">
        <v>3729</v>
      </c>
      <c r="C1544" s="26" t="s">
        <v>37</v>
      </c>
      <c r="D1544" s="14"/>
      <c r="E1544" s="15"/>
      <c r="F1544" s="16">
        <f t="shared" si="91"/>
        <v>0</v>
      </c>
      <c r="G1544">
        <f t="shared" si="92"/>
        <v>0</v>
      </c>
    </row>
    <row r="1545" spans="1:7" hidden="1" x14ac:dyDescent="0.25">
      <c r="A1545" s="85" t="s">
        <v>3791</v>
      </c>
      <c r="B1545" s="81" t="s">
        <v>3730</v>
      </c>
      <c r="C1545" s="26" t="s">
        <v>37</v>
      </c>
      <c r="D1545" s="14"/>
      <c r="E1545" s="15"/>
      <c r="F1545" s="16">
        <f t="shared" si="91"/>
        <v>0</v>
      </c>
      <c r="G1545">
        <f t="shared" si="92"/>
        <v>0</v>
      </c>
    </row>
    <row r="1546" spans="1:7" hidden="1" x14ac:dyDescent="0.25">
      <c r="A1546" s="85" t="s">
        <v>3792</v>
      </c>
      <c r="B1546" s="81" t="s">
        <v>3731</v>
      </c>
      <c r="C1546" s="26" t="s">
        <v>37</v>
      </c>
      <c r="D1546" s="14"/>
      <c r="E1546" s="15"/>
      <c r="F1546" s="16">
        <f t="shared" si="91"/>
        <v>0</v>
      </c>
      <c r="G1546">
        <f t="shared" si="92"/>
        <v>0</v>
      </c>
    </row>
    <row r="1547" spans="1:7" hidden="1" x14ac:dyDescent="0.25">
      <c r="A1547" s="85" t="s">
        <v>3793</v>
      </c>
      <c r="B1547" s="81" t="s">
        <v>3732</v>
      </c>
      <c r="C1547" s="26" t="s">
        <v>37</v>
      </c>
      <c r="D1547" s="14"/>
      <c r="E1547" s="15"/>
      <c r="F1547" s="16">
        <f t="shared" si="91"/>
        <v>0</v>
      </c>
      <c r="G1547">
        <f t="shared" si="92"/>
        <v>0</v>
      </c>
    </row>
    <row r="1548" spans="1:7" hidden="1" x14ac:dyDescent="0.25">
      <c r="A1548" s="85" t="s">
        <v>3794</v>
      </c>
      <c r="B1548" s="81" t="s">
        <v>3733</v>
      </c>
      <c r="C1548" s="26" t="s">
        <v>37</v>
      </c>
      <c r="D1548" s="14"/>
      <c r="E1548" s="15"/>
      <c r="F1548" s="16">
        <f t="shared" si="91"/>
        <v>0</v>
      </c>
      <c r="G1548">
        <f t="shared" si="92"/>
        <v>0</v>
      </c>
    </row>
    <row r="1549" spans="1:7" hidden="1" x14ac:dyDescent="0.25">
      <c r="A1549" s="85" t="s">
        <v>3795</v>
      </c>
      <c r="B1549" s="81" t="s">
        <v>3734</v>
      </c>
      <c r="C1549" s="26" t="s">
        <v>37</v>
      </c>
      <c r="D1549" s="14"/>
      <c r="E1549" s="15"/>
      <c r="F1549" s="16">
        <f t="shared" si="91"/>
        <v>0</v>
      </c>
      <c r="G1549">
        <f t="shared" si="92"/>
        <v>0</v>
      </c>
    </row>
    <row r="1550" spans="1:7" hidden="1" x14ac:dyDescent="0.25">
      <c r="A1550" s="85" t="s">
        <v>3796</v>
      </c>
      <c r="B1550" s="81" t="s">
        <v>3735</v>
      </c>
      <c r="C1550" s="26" t="s">
        <v>37</v>
      </c>
      <c r="D1550" s="14"/>
      <c r="E1550" s="15"/>
      <c r="F1550" s="16">
        <f t="shared" si="91"/>
        <v>0</v>
      </c>
      <c r="G1550">
        <f t="shared" si="92"/>
        <v>0</v>
      </c>
    </row>
    <row r="1551" spans="1:7" hidden="1" x14ac:dyDescent="0.25">
      <c r="A1551" s="85" t="s">
        <v>3918</v>
      </c>
      <c r="B1551" s="81" t="s">
        <v>3736</v>
      </c>
      <c r="C1551" s="26" t="s">
        <v>37</v>
      </c>
      <c r="D1551" s="14"/>
      <c r="E1551" s="15"/>
      <c r="F1551" s="16">
        <f t="shared" si="91"/>
        <v>0</v>
      </c>
      <c r="G1551">
        <f t="shared" si="92"/>
        <v>0</v>
      </c>
    </row>
    <row r="1552" spans="1:7" hidden="1" x14ac:dyDescent="0.25">
      <c r="A1552" s="78" t="s">
        <v>3797</v>
      </c>
      <c r="B1552" s="80" t="s">
        <v>3737</v>
      </c>
      <c r="C1552" s="26"/>
      <c r="D1552" s="14"/>
      <c r="E1552" s="15"/>
      <c r="F1552" s="16"/>
      <c r="G1552">
        <f t="shared" si="92"/>
        <v>0</v>
      </c>
    </row>
    <row r="1553" spans="1:7" hidden="1" x14ac:dyDescent="0.25">
      <c r="A1553" s="85" t="s">
        <v>3798</v>
      </c>
      <c r="B1553" s="81" t="s">
        <v>3799</v>
      </c>
      <c r="C1553" s="26" t="s">
        <v>37</v>
      </c>
      <c r="D1553" s="14"/>
      <c r="E1553" s="15"/>
      <c r="F1553" s="16">
        <f t="shared" ref="F1553:F1616" si="93">+D1553*E1553</f>
        <v>0</v>
      </c>
      <c r="G1553">
        <f t="shared" si="92"/>
        <v>0</v>
      </c>
    </row>
    <row r="1554" spans="1:7" hidden="1" x14ac:dyDescent="0.25">
      <c r="A1554" s="85" t="s">
        <v>3859</v>
      </c>
      <c r="B1554" s="81" t="s">
        <v>3800</v>
      </c>
      <c r="C1554" s="26" t="s">
        <v>37</v>
      </c>
      <c r="D1554" s="14"/>
      <c r="E1554" s="15"/>
      <c r="F1554" s="16">
        <f t="shared" si="93"/>
        <v>0</v>
      </c>
      <c r="G1554">
        <f t="shared" si="92"/>
        <v>0</v>
      </c>
    </row>
    <row r="1555" spans="1:7" hidden="1" x14ac:dyDescent="0.25">
      <c r="A1555" s="85" t="s">
        <v>3860</v>
      </c>
      <c r="B1555" s="81" t="s">
        <v>3801</v>
      </c>
      <c r="C1555" s="26" t="s">
        <v>37</v>
      </c>
      <c r="D1555" s="14"/>
      <c r="E1555" s="15"/>
      <c r="F1555" s="16">
        <f t="shared" si="93"/>
        <v>0</v>
      </c>
      <c r="G1555">
        <f t="shared" si="92"/>
        <v>0</v>
      </c>
    </row>
    <row r="1556" spans="1:7" hidden="1" x14ac:dyDescent="0.25">
      <c r="A1556" s="85" t="s">
        <v>3861</v>
      </c>
      <c r="B1556" s="81" t="s">
        <v>3802</v>
      </c>
      <c r="C1556" s="26" t="s">
        <v>37</v>
      </c>
      <c r="D1556" s="14"/>
      <c r="E1556" s="15"/>
      <c r="F1556" s="16">
        <f t="shared" si="93"/>
        <v>0</v>
      </c>
      <c r="G1556">
        <f t="shared" si="92"/>
        <v>0</v>
      </c>
    </row>
    <row r="1557" spans="1:7" hidden="1" x14ac:dyDescent="0.25">
      <c r="A1557" s="85" t="s">
        <v>3862</v>
      </c>
      <c r="B1557" s="81" t="s">
        <v>3803</v>
      </c>
      <c r="C1557" s="26" t="s">
        <v>37</v>
      </c>
      <c r="D1557" s="14"/>
      <c r="E1557" s="15"/>
      <c r="F1557" s="16">
        <f t="shared" si="93"/>
        <v>0</v>
      </c>
      <c r="G1557">
        <f t="shared" si="92"/>
        <v>0</v>
      </c>
    </row>
    <row r="1558" spans="1:7" hidden="1" x14ac:dyDescent="0.25">
      <c r="A1558" s="85" t="s">
        <v>3863</v>
      </c>
      <c r="B1558" s="81" t="s">
        <v>3804</v>
      </c>
      <c r="C1558" s="26" t="s">
        <v>37</v>
      </c>
      <c r="D1558" s="14"/>
      <c r="E1558" s="15"/>
      <c r="F1558" s="16">
        <f t="shared" si="93"/>
        <v>0</v>
      </c>
      <c r="G1558">
        <f t="shared" si="92"/>
        <v>0</v>
      </c>
    </row>
    <row r="1559" spans="1:7" hidden="1" x14ac:dyDescent="0.25">
      <c r="A1559" s="85" t="s">
        <v>3864</v>
      </c>
      <c r="B1559" s="81" t="s">
        <v>3805</v>
      </c>
      <c r="C1559" s="26" t="s">
        <v>37</v>
      </c>
      <c r="D1559" s="14"/>
      <c r="E1559" s="15"/>
      <c r="F1559" s="16">
        <f t="shared" si="93"/>
        <v>0</v>
      </c>
      <c r="G1559">
        <f t="shared" si="92"/>
        <v>0</v>
      </c>
    </row>
    <row r="1560" spans="1:7" hidden="1" x14ac:dyDescent="0.25">
      <c r="A1560" s="85" t="s">
        <v>3865</v>
      </c>
      <c r="B1560" s="81" t="s">
        <v>3806</v>
      </c>
      <c r="C1560" s="26" t="s">
        <v>37</v>
      </c>
      <c r="D1560" s="14"/>
      <c r="E1560" s="15"/>
      <c r="F1560" s="16">
        <f t="shared" si="93"/>
        <v>0</v>
      </c>
      <c r="G1560">
        <f t="shared" si="92"/>
        <v>0</v>
      </c>
    </row>
    <row r="1561" spans="1:7" hidden="1" x14ac:dyDescent="0.25">
      <c r="A1561" s="85" t="s">
        <v>3866</v>
      </c>
      <c r="B1561" s="81" t="s">
        <v>3807</v>
      </c>
      <c r="C1561" s="26" t="s">
        <v>37</v>
      </c>
      <c r="D1561" s="14"/>
      <c r="E1561" s="15"/>
      <c r="F1561" s="16">
        <f t="shared" si="93"/>
        <v>0</v>
      </c>
      <c r="G1561">
        <f t="shared" si="92"/>
        <v>0</v>
      </c>
    </row>
    <row r="1562" spans="1:7" hidden="1" x14ac:dyDescent="0.25">
      <c r="A1562" s="85" t="s">
        <v>3867</v>
      </c>
      <c r="B1562" s="81" t="s">
        <v>3808</v>
      </c>
      <c r="C1562" s="26" t="s">
        <v>37</v>
      </c>
      <c r="D1562" s="14"/>
      <c r="E1562" s="15"/>
      <c r="F1562" s="16">
        <f t="shared" si="93"/>
        <v>0</v>
      </c>
      <c r="G1562">
        <f t="shared" si="92"/>
        <v>0</v>
      </c>
    </row>
    <row r="1563" spans="1:7" hidden="1" x14ac:dyDescent="0.25">
      <c r="A1563" s="85" t="s">
        <v>3868</v>
      </c>
      <c r="B1563" s="81" t="s">
        <v>3809</v>
      </c>
      <c r="C1563" s="26" t="s">
        <v>37</v>
      </c>
      <c r="D1563" s="14"/>
      <c r="E1563" s="15"/>
      <c r="F1563" s="16">
        <f t="shared" si="93"/>
        <v>0</v>
      </c>
      <c r="G1563">
        <f t="shared" si="92"/>
        <v>0</v>
      </c>
    </row>
    <row r="1564" spans="1:7" hidden="1" x14ac:dyDescent="0.25">
      <c r="A1564" s="85" t="s">
        <v>3869</v>
      </c>
      <c r="B1564" s="81" t="s">
        <v>3810</v>
      </c>
      <c r="C1564" s="26" t="s">
        <v>37</v>
      </c>
      <c r="D1564" s="14"/>
      <c r="E1564" s="15"/>
      <c r="F1564" s="16">
        <f t="shared" si="93"/>
        <v>0</v>
      </c>
      <c r="G1564">
        <f t="shared" si="92"/>
        <v>0</v>
      </c>
    </row>
    <row r="1565" spans="1:7" hidden="1" x14ac:dyDescent="0.25">
      <c r="A1565" s="85" t="s">
        <v>3870</v>
      </c>
      <c r="B1565" s="81" t="s">
        <v>3811</v>
      </c>
      <c r="C1565" s="26" t="s">
        <v>37</v>
      </c>
      <c r="D1565" s="14"/>
      <c r="E1565" s="15"/>
      <c r="F1565" s="16">
        <f t="shared" si="93"/>
        <v>0</v>
      </c>
      <c r="G1565">
        <f t="shared" si="92"/>
        <v>0</v>
      </c>
    </row>
    <row r="1566" spans="1:7" hidden="1" x14ac:dyDescent="0.25">
      <c r="A1566" s="85" t="s">
        <v>3871</v>
      </c>
      <c r="B1566" s="81" t="s">
        <v>3812</v>
      </c>
      <c r="C1566" s="26" t="s">
        <v>37</v>
      </c>
      <c r="D1566" s="14"/>
      <c r="E1566" s="15"/>
      <c r="F1566" s="16">
        <f t="shared" si="93"/>
        <v>0</v>
      </c>
      <c r="G1566">
        <f t="shared" si="92"/>
        <v>0</v>
      </c>
    </row>
    <row r="1567" spans="1:7" hidden="1" x14ac:dyDescent="0.25">
      <c r="A1567" s="85" t="s">
        <v>3872</v>
      </c>
      <c r="B1567" s="81" t="s">
        <v>3813</v>
      </c>
      <c r="C1567" s="26" t="s">
        <v>37</v>
      </c>
      <c r="D1567" s="14"/>
      <c r="E1567" s="15"/>
      <c r="F1567" s="16">
        <f t="shared" si="93"/>
        <v>0</v>
      </c>
      <c r="G1567">
        <f t="shared" si="92"/>
        <v>0</v>
      </c>
    </row>
    <row r="1568" spans="1:7" hidden="1" x14ac:dyDescent="0.25">
      <c r="A1568" s="85" t="s">
        <v>3873</v>
      </c>
      <c r="B1568" s="81" t="s">
        <v>3814</v>
      </c>
      <c r="C1568" s="26" t="s">
        <v>37</v>
      </c>
      <c r="D1568" s="14"/>
      <c r="E1568" s="15"/>
      <c r="F1568" s="16">
        <f t="shared" si="93"/>
        <v>0</v>
      </c>
      <c r="G1568">
        <f t="shared" si="92"/>
        <v>0</v>
      </c>
    </row>
    <row r="1569" spans="1:7" hidden="1" x14ac:dyDescent="0.25">
      <c r="A1569" s="85" t="s">
        <v>3874</v>
      </c>
      <c r="B1569" s="81" t="s">
        <v>3815</v>
      </c>
      <c r="C1569" s="26" t="s">
        <v>37</v>
      </c>
      <c r="D1569" s="14"/>
      <c r="E1569" s="15"/>
      <c r="F1569" s="16">
        <f t="shared" si="93"/>
        <v>0</v>
      </c>
      <c r="G1569">
        <f t="shared" si="92"/>
        <v>0</v>
      </c>
    </row>
    <row r="1570" spans="1:7" hidden="1" x14ac:dyDescent="0.25">
      <c r="A1570" s="85" t="s">
        <v>3875</v>
      </c>
      <c r="B1570" s="81" t="s">
        <v>3816</v>
      </c>
      <c r="C1570" s="26" t="s">
        <v>37</v>
      </c>
      <c r="D1570" s="14"/>
      <c r="E1570" s="15"/>
      <c r="F1570" s="16">
        <f t="shared" si="93"/>
        <v>0</v>
      </c>
      <c r="G1570">
        <f t="shared" si="92"/>
        <v>0</v>
      </c>
    </row>
    <row r="1571" spans="1:7" hidden="1" x14ac:dyDescent="0.25">
      <c r="A1571" s="85" t="s">
        <v>3876</v>
      </c>
      <c r="B1571" s="81" t="s">
        <v>3817</v>
      </c>
      <c r="C1571" s="26" t="s">
        <v>37</v>
      </c>
      <c r="D1571" s="14"/>
      <c r="E1571" s="15"/>
      <c r="F1571" s="16">
        <f t="shared" si="93"/>
        <v>0</v>
      </c>
      <c r="G1571">
        <f t="shared" si="92"/>
        <v>0</v>
      </c>
    </row>
    <row r="1572" spans="1:7" hidden="1" x14ac:dyDescent="0.25">
      <c r="A1572" s="85" t="s">
        <v>3877</v>
      </c>
      <c r="B1572" s="81" t="s">
        <v>3818</v>
      </c>
      <c r="C1572" s="26" t="s">
        <v>37</v>
      </c>
      <c r="D1572" s="14"/>
      <c r="E1572" s="15"/>
      <c r="F1572" s="16">
        <f t="shared" si="93"/>
        <v>0</v>
      </c>
      <c r="G1572">
        <f t="shared" ref="G1572:G1635" si="94">+IF(F1572&lt;&gt;0,1,0)</f>
        <v>0</v>
      </c>
    </row>
    <row r="1573" spans="1:7" hidden="1" x14ac:dyDescent="0.25">
      <c r="A1573" s="85" t="s">
        <v>3878</v>
      </c>
      <c r="B1573" s="81" t="s">
        <v>3819</v>
      </c>
      <c r="C1573" s="26" t="s">
        <v>37</v>
      </c>
      <c r="D1573" s="14"/>
      <c r="E1573" s="15"/>
      <c r="F1573" s="16">
        <f t="shared" si="93"/>
        <v>0</v>
      </c>
      <c r="G1573">
        <f t="shared" si="94"/>
        <v>0</v>
      </c>
    </row>
    <row r="1574" spans="1:7" hidden="1" x14ac:dyDescent="0.25">
      <c r="A1574" s="85" t="s">
        <v>3879</v>
      </c>
      <c r="B1574" s="81" t="s">
        <v>3820</v>
      </c>
      <c r="C1574" s="26" t="s">
        <v>37</v>
      </c>
      <c r="D1574" s="14"/>
      <c r="E1574" s="15"/>
      <c r="F1574" s="16">
        <f t="shared" si="93"/>
        <v>0</v>
      </c>
      <c r="G1574">
        <f t="shared" si="94"/>
        <v>0</v>
      </c>
    </row>
    <row r="1575" spans="1:7" hidden="1" x14ac:dyDescent="0.25">
      <c r="A1575" s="85" t="s">
        <v>3880</v>
      </c>
      <c r="B1575" s="81" t="s">
        <v>3821</v>
      </c>
      <c r="C1575" s="26" t="s">
        <v>37</v>
      </c>
      <c r="D1575" s="14"/>
      <c r="E1575" s="15"/>
      <c r="F1575" s="16">
        <f t="shared" si="93"/>
        <v>0</v>
      </c>
      <c r="G1575">
        <f t="shared" si="94"/>
        <v>0</v>
      </c>
    </row>
    <row r="1576" spans="1:7" hidden="1" x14ac:dyDescent="0.25">
      <c r="A1576" s="85" t="s">
        <v>3881</v>
      </c>
      <c r="B1576" s="81" t="s">
        <v>3822</v>
      </c>
      <c r="C1576" s="26" t="s">
        <v>37</v>
      </c>
      <c r="D1576" s="14"/>
      <c r="E1576" s="15"/>
      <c r="F1576" s="16">
        <f t="shared" si="93"/>
        <v>0</v>
      </c>
      <c r="G1576">
        <f t="shared" si="94"/>
        <v>0</v>
      </c>
    </row>
    <row r="1577" spans="1:7" hidden="1" x14ac:dyDescent="0.25">
      <c r="A1577" s="85" t="s">
        <v>3882</v>
      </c>
      <c r="B1577" s="81" t="s">
        <v>3823</v>
      </c>
      <c r="C1577" s="26" t="s">
        <v>37</v>
      </c>
      <c r="D1577" s="14"/>
      <c r="E1577" s="15"/>
      <c r="F1577" s="16">
        <f t="shared" si="93"/>
        <v>0</v>
      </c>
      <c r="G1577">
        <f t="shared" si="94"/>
        <v>0</v>
      </c>
    </row>
    <row r="1578" spans="1:7" hidden="1" x14ac:dyDescent="0.25">
      <c r="A1578" s="85" t="s">
        <v>3883</v>
      </c>
      <c r="B1578" s="81" t="s">
        <v>3824</v>
      </c>
      <c r="C1578" s="26" t="s">
        <v>37</v>
      </c>
      <c r="D1578" s="14"/>
      <c r="E1578" s="15"/>
      <c r="F1578" s="16">
        <f t="shared" si="93"/>
        <v>0</v>
      </c>
      <c r="G1578">
        <f t="shared" si="94"/>
        <v>0</v>
      </c>
    </row>
    <row r="1579" spans="1:7" hidden="1" x14ac:dyDescent="0.25">
      <c r="A1579" s="85" t="s">
        <v>3884</v>
      </c>
      <c r="B1579" s="81" t="s">
        <v>3825</v>
      </c>
      <c r="C1579" s="26" t="s">
        <v>37</v>
      </c>
      <c r="D1579" s="14"/>
      <c r="E1579" s="15"/>
      <c r="F1579" s="16">
        <f t="shared" si="93"/>
        <v>0</v>
      </c>
      <c r="G1579">
        <f t="shared" si="94"/>
        <v>0</v>
      </c>
    </row>
    <row r="1580" spans="1:7" hidden="1" x14ac:dyDescent="0.25">
      <c r="A1580" s="85" t="s">
        <v>3885</v>
      </c>
      <c r="B1580" s="81" t="s">
        <v>3826</v>
      </c>
      <c r="C1580" s="26" t="s">
        <v>37</v>
      </c>
      <c r="D1580" s="14"/>
      <c r="E1580" s="15"/>
      <c r="F1580" s="16">
        <f t="shared" si="93"/>
        <v>0</v>
      </c>
      <c r="G1580">
        <f t="shared" si="94"/>
        <v>0</v>
      </c>
    </row>
    <row r="1581" spans="1:7" hidden="1" x14ac:dyDescent="0.25">
      <c r="A1581" s="85" t="s">
        <v>3886</v>
      </c>
      <c r="B1581" s="81" t="s">
        <v>3827</v>
      </c>
      <c r="C1581" s="26" t="s">
        <v>37</v>
      </c>
      <c r="D1581" s="14"/>
      <c r="E1581" s="15"/>
      <c r="F1581" s="16">
        <f t="shared" si="93"/>
        <v>0</v>
      </c>
      <c r="G1581">
        <f t="shared" si="94"/>
        <v>0</v>
      </c>
    </row>
    <row r="1582" spans="1:7" hidden="1" x14ac:dyDescent="0.25">
      <c r="A1582" s="85" t="s">
        <v>3887</v>
      </c>
      <c r="B1582" s="81" t="s">
        <v>3828</v>
      </c>
      <c r="C1582" s="26" t="s">
        <v>37</v>
      </c>
      <c r="D1582" s="14"/>
      <c r="E1582" s="15"/>
      <c r="F1582" s="16">
        <f t="shared" si="93"/>
        <v>0</v>
      </c>
      <c r="G1582">
        <f t="shared" si="94"/>
        <v>0</v>
      </c>
    </row>
    <row r="1583" spans="1:7" hidden="1" x14ac:dyDescent="0.25">
      <c r="A1583" s="85" t="s">
        <v>3888</v>
      </c>
      <c r="B1583" s="81" t="s">
        <v>3829</v>
      </c>
      <c r="C1583" s="26" t="s">
        <v>37</v>
      </c>
      <c r="D1583" s="14"/>
      <c r="E1583" s="15"/>
      <c r="F1583" s="16">
        <f t="shared" si="93"/>
        <v>0</v>
      </c>
      <c r="G1583">
        <f t="shared" si="94"/>
        <v>0</v>
      </c>
    </row>
    <row r="1584" spans="1:7" hidden="1" x14ac:dyDescent="0.25">
      <c r="A1584" s="85" t="s">
        <v>3889</v>
      </c>
      <c r="B1584" s="81" t="s">
        <v>3830</v>
      </c>
      <c r="C1584" s="26" t="s">
        <v>37</v>
      </c>
      <c r="D1584" s="14"/>
      <c r="E1584" s="15"/>
      <c r="F1584" s="16">
        <f t="shared" si="93"/>
        <v>0</v>
      </c>
      <c r="G1584">
        <f t="shared" si="94"/>
        <v>0</v>
      </c>
    </row>
    <row r="1585" spans="1:7" hidden="1" x14ac:dyDescent="0.25">
      <c r="A1585" s="85" t="s">
        <v>3890</v>
      </c>
      <c r="B1585" s="81" t="s">
        <v>3831</v>
      </c>
      <c r="C1585" s="26" t="s">
        <v>37</v>
      </c>
      <c r="D1585" s="14"/>
      <c r="E1585" s="15"/>
      <c r="F1585" s="16">
        <f t="shared" si="93"/>
        <v>0</v>
      </c>
      <c r="G1585">
        <f t="shared" si="94"/>
        <v>0</v>
      </c>
    </row>
    <row r="1586" spans="1:7" hidden="1" x14ac:dyDescent="0.25">
      <c r="A1586" s="85" t="s">
        <v>3891</v>
      </c>
      <c r="B1586" s="81" t="s">
        <v>3832</v>
      </c>
      <c r="C1586" s="26" t="s">
        <v>37</v>
      </c>
      <c r="D1586" s="14"/>
      <c r="E1586" s="15"/>
      <c r="F1586" s="16">
        <f t="shared" si="93"/>
        <v>0</v>
      </c>
      <c r="G1586">
        <f t="shared" si="94"/>
        <v>0</v>
      </c>
    </row>
    <row r="1587" spans="1:7" hidden="1" x14ac:dyDescent="0.25">
      <c r="A1587" s="85" t="s">
        <v>3892</v>
      </c>
      <c r="B1587" s="81" t="s">
        <v>3833</v>
      </c>
      <c r="C1587" s="26" t="s">
        <v>37</v>
      </c>
      <c r="D1587" s="14"/>
      <c r="E1587" s="15"/>
      <c r="F1587" s="16">
        <f t="shared" si="93"/>
        <v>0</v>
      </c>
      <c r="G1587">
        <f t="shared" si="94"/>
        <v>0</v>
      </c>
    </row>
    <row r="1588" spans="1:7" hidden="1" x14ac:dyDescent="0.25">
      <c r="A1588" s="85" t="s">
        <v>3893</v>
      </c>
      <c r="B1588" s="81" t="s">
        <v>3834</v>
      </c>
      <c r="C1588" s="26" t="s">
        <v>37</v>
      </c>
      <c r="D1588" s="14"/>
      <c r="E1588" s="15"/>
      <c r="F1588" s="16">
        <f t="shared" si="93"/>
        <v>0</v>
      </c>
      <c r="G1588">
        <f t="shared" si="94"/>
        <v>0</v>
      </c>
    </row>
    <row r="1589" spans="1:7" hidden="1" x14ac:dyDescent="0.25">
      <c r="A1589" s="85" t="s">
        <v>3894</v>
      </c>
      <c r="B1589" s="81" t="s">
        <v>3835</v>
      </c>
      <c r="C1589" s="26" t="s">
        <v>37</v>
      </c>
      <c r="D1589" s="14"/>
      <c r="E1589" s="15"/>
      <c r="F1589" s="16">
        <f t="shared" si="93"/>
        <v>0</v>
      </c>
      <c r="G1589">
        <f t="shared" si="94"/>
        <v>0</v>
      </c>
    </row>
    <row r="1590" spans="1:7" hidden="1" x14ac:dyDescent="0.25">
      <c r="A1590" s="85" t="s">
        <v>3895</v>
      </c>
      <c r="B1590" s="81" t="s">
        <v>3836</v>
      </c>
      <c r="C1590" s="26" t="s">
        <v>37</v>
      </c>
      <c r="D1590" s="14"/>
      <c r="E1590" s="15"/>
      <c r="F1590" s="16">
        <f t="shared" si="93"/>
        <v>0</v>
      </c>
      <c r="G1590">
        <f t="shared" si="94"/>
        <v>0</v>
      </c>
    </row>
    <row r="1591" spans="1:7" hidden="1" x14ac:dyDescent="0.25">
      <c r="A1591" s="85" t="s">
        <v>3896</v>
      </c>
      <c r="B1591" s="81" t="s">
        <v>3837</v>
      </c>
      <c r="C1591" s="26" t="s">
        <v>37</v>
      </c>
      <c r="D1591" s="14"/>
      <c r="E1591" s="15"/>
      <c r="F1591" s="16">
        <f t="shared" si="93"/>
        <v>0</v>
      </c>
      <c r="G1591">
        <f t="shared" si="94"/>
        <v>0</v>
      </c>
    </row>
    <row r="1592" spans="1:7" hidden="1" x14ac:dyDescent="0.25">
      <c r="A1592" s="85" t="s">
        <v>3897</v>
      </c>
      <c r="B1592" s="81" t="s">
        <v>3838</v>
      </c>
      <c r="C1592" s="26" t="s">
        <v>37</v>
      </c>
      <c r="D1592" s="14"/>
      <c r="E1592" s="15"/>
      <c r="F1592" s="16">
        <f t="shared" si="93"/>
        <v>0</v>
      </c>
      <c r="G1592">
        <f t="shared" si="94"/>
        <v>0</v>
      </c>
    </row>
    <row r="1593" spans="1:7" hidden="1" x14ac:dyDescent="0.25">
      <c r="A1593" s="85" t="s">
        <v>3898</v>
      </c>
      <c r="B1593" s="81" t="s">
        <v>3839</v>
      </c>
      <c r="C1593" s="26" t="s">
        <v>37</v>
      </c>
      <c r="D1593" s="14"/>
      <c r="E1593" s="15"/>
      <c r="F1593" s="16">
        <f t="shared" si="93"/>
        <v>0</v>
      </c>
      <c r="G1593">
        <f t="shared" si="94"/>
        <v>0</v>
      </c>
    </row>
    <row r="1594" spans="1:7" hidden="1" x14ac:dyDescent="0.25">
      <c r="A1594" s="85" t="s">
        <v>3899</v>
      </c>
      <c r="B1594" s="81" t="s">
        <v>3840</v>
      </c>
      <c r="C1594" s="26" t="s">
        <v>37</v>
      </c>
      <c r="D1594" s="14"/>
      <c r="E1594" s="15"/>
      <c r="F1594" s="16">
        <f t="shared" si="93"/>
        <v>0</v>
      </c>
      <c r="G1594">
        <f t="shared" si="94"/>
        <v>0</v>
      </c>
    </row>
    <row r="1595" spans="1:7" hidden="1" x14ac:dyDescent="0.25">
      <c r="A1595" s="85" t="s">
        <v>3900</v>
      </c>
      <c r="B1595" s="81" t="s">
        <v>3843</v>
      </c>
      <c r="C1595" s="26" t="s">
        <v>37</v>
      </c>
      <c r="D1595" s="14"/>
      <c r="E1595" s="15"/>
      <c r="F1595" s="16">
        <f t="shared" si="93"/>
        <v>0</v>
      </c>
      <c r="G1595">
        <f t="shared" si="94"/>
        <v>0</v>
      </c>
    </row>
    <row r="1596" spans="1:7" hidden="1" x14ac:dyDescent="0.25">
      <c r="A1596" s="85" t="s">
        <v>3901</v>
      </c>
      <c r="B1596" s="81" t="s">
        <v>3844</v>
      </c>
      <c r="C1596" s="26" t="s">
        <v>37</v>
      </c>
      <c r="D1596" s="14"/>
      <c r="E1596" s="15"/>
      <c r="F1596" s="16">
        <f t="shared" si="93"/>
        <v>0</v>
      </c>
      <c r="G1596">
        <f t="shared" si="94"/>
        <v>0</v>
      </c>
    </row>
    <row r="1597" spans="1:7" hidden="1" x14ac:dyDescent="0.25">
      <c r="A1597" s="85" t="s">
        <v>3902</v>
      </c>
      <c r="B1597" s="81" t="s">
        <v>3845</v>
      </c>
      <c r="C1597" s="26" t="s">
        <v>37</v>
      </c>
      <c r="D1597" s="14"/>
      <c r="E1597" s="15"/>
      <c r="F1597" s="16">
        <f t="shared" si="93"/>
        <v>0</v>
      </c>
      <c r="G1597">
        <f t="shared" si="94"/>
        <v>0</v>
      </c>
    </row>
    <row r="1598" spans="1:7" hidden="1" x14ac:dyDescent="0.25">
      <c r="A1598" s="85" t="s">
        <v>3903</v>
      </c>
      <c r="B1598" s="81" t="s">
        <v>3841</v>
      </c>
      <c r="C1598" s="26" t="s">
        <v>37</v>
      </c>
      <c r="D1598" s="14"/>
      <c r="E1598" s="15"/>
      <c r="F1598" s="16">
        <f t="shared" si="93"/>
        <v>0</v>
      </c>
      <c r="G1598">
        <f t="shared" si="94"/>
        <v>0</v>
      </c>
    </row>
    <row r="1599" spans="1:7" hidden="1" x14ac:dyDescent="0.25">
      <c r="A1599" s="85" t="s">
        <v>3904</v>
      </c>
      <c r="B1599" s="81" t="s">
        <v>3846</v>
      </c>
      <c r="C1599" s="26" t="s">
        <v>37</v>
      </c>
      <c r="D1599" s="14"/>
      <c r="E1599" s="15"/>
      <c r="F1599" s="16">
        <f t="shared" si="93"/>
        <v>0</v>
      </c>
      <c r="G1599">
        <f t="shared" si="94"/>
        <v>0</v>
      </c>
    </row>
    <row r="1600" spans="1:7" hidden="1" x14ac:dyDescent="0.25">
      <c r="A1600" s="85" t="s">
        <v>3905</v>
      </c>
      <c r="B1600" s="81" t="s">
        <v>3847</v>
      </c>
      <c r="C1600" s="26" t="s">
        <v>37</v>
      </c>
      <c r="D1600" s="14"/>
      <c r="E1600" s="15"/>
      <c r="F1600" s="16">
        <f t="shared" si="93"/>
        <v>0</v>
      </c>
      <c r="G1600">
        <f t="shared" si="94"/>
        <v>0</v>
      </c>
    </row>
    <row r="1601" spans="1:7" hidden="1" x14ac:dyDescent="0.25">
      <c r="A1601" s="85" t="s">
        <v>3906</v>
      </c>
      <c r="B1601" s="81" t="s">
        <v>3848</v>
      </c>
      <c r="C1601" s="26" t="s">
        <v>37</v>
      </c>
      <c r="D1601" s="14"/>
      <c r="E1601" s="15"/>
      <c r="F1601" s="16">
        <f t="shared" si="93"/>
        <v>0</v>
      </c>
      <c r="G1601">
        <f t="shared" si="94"/>
        <v>0</v>
      </c>
    </row>
    <row r="1602" spans="1:7" hidden="1" x14ac:dyDescent="0.25">
      <c r="A1602" s="85" t="s">
        <v>3907</v>
      </c>
      <c r="B1602" s="81" t="s">
        <v>3849</v>
      </c>
      <c r="C1602" s="26" t="s">
        <v>37</v>
      </c>
      <c r="D1602" s="14"/>
      <c r="E1602" s="15"/>
      <c r="F1602" s="16">
        <f t="shared" si="93"/>
        <v>0</v>
      </c>
      <c r="G1602">
        <f t="shared" si="94"/>
        <v>0</v>
      </c>
    </row>
    <row r="1603" spans="1:7" hidden="1" x14ac:dyDescent="0.25">
      <c r="A1603" s="85" t="s">
        <v>3908</v>
      </c>
      <c r="B1603" s="81" t="s">
        <v>3850</v>
      </c>
      <c r="C1603" s="26" t="s">
        <v>37</v>
      </c>
      <c r="D1603" s="14"/>
      <c r="E1603" s="15"/>
      <c r="F1603" s="16">
        <f t="shared" si="93"/>
        <v>0</v>
      </c>
      <c r="G1603">
        <f t="shared" si="94"/>
        <v>0</v>
      </c>
    </row>
    <row r="1604" spans="1:7" hidden="1" x14ac:dyDescent="0.25">
      <c r="A1604" s="85" t="s">
        <v>3909</v>
      </c>
      <c r="B1604" s="81" t="s">
        <v>3851</v>
      </c>
      <c r="C1604" s="26" t="s">
        <v>37</v>
      </c>
      <c r="D1604" s="14"/>
      <c r="E1604" s="15"/>
      <c r="F1604" s="16">
        <f t="shared" si="93"/>
        <v>0</v>
      </c>
      <c r="G1604">
        <f t="shared" si="94"/>
        <v>0</v>
      </c>
    </row>
    <row r="1605" spans="1:7" hidden="1" x14ac:dyDescent="0.25">
      <c r="A1605" s="85" t="s">
        <v>3910</v>
      </c>
      <c r="B1605" s="81" t="s">
        <v>3842</v>
      </c>
      <c r="C1605" s="26" t="s">
        <v>37</v>
      </c>
      <c r="D1605" s="14"/>
      <c r="E1605" s="15"/>
      <c r="F1605" s="16">
        <f t="shared" si="93"/>
        <v>0</v>
      </c>
      <c r="G1605">
        <f t="shared" si="94"/>
        <v>0</v>
      </c>
    </row>
    <row r="1606" spans="1:7" hidden="1" x14ac:dyDescent="0.25">
      <c r="A1606" s="85" t="s">
        <v>3911</v>
      </c>
      <c r="B1606" s="81" t="s">
        <v>3852</v>
      </c>
      <c r="C1606" s="26" t="s">
        <v>37</v>
      </c>
      <c r="D1606" s="14"/>
      <c r="E1606" s="15"/>
      <c r="F1606" s="16">
        <f t="shared" si="93"/>
        <v>0</v>
      </c>
      <c r="G1606">
        <f t="shared" si="94"/>
        <v>0</v>
      </c>
    </row>
    <row r="1607" spans="1:7" hidden="1" x14ac:dyDescent="0.25">
      <c r="A1607" s="85" t="s">
        <v>3912</v>
      </c>
      <c r="B1607" s="81" t="s">
        <v>3853</v>
      </c>
      <c r="C1607" s="26" t="s">
        <v>37</v>
      </c>
      <c r="D1607" s="14"/>
      <c r="E1607" s="15"/>
      <c r="F1607" s="16">
        <f t="shared" si="93"/>
        <v>0</v>
      </c>
      <c r="G1607">
        <f t="shared" si="94"/>
        <v>0</v>
      </c>
    </row>
    <row r="1608" spans="1:7" hidden="1" x14ac:dyDescent="0.25">
      <c r="A1608" s="85" t="s">
        <v>3913</v>
      </c>
      <c r="B1608" s="81" t="s">
        <v>3854</v>
      </c>
      <c r="C1608" s="26" t="s">
        <v>37</v>
      </c>
      <c r="D1608" s="14"/>
      <c r="E1608" s="15"/>
      <c r="F1608" s="16">
        <f t="shared" si="93"/>
        <v>0</v>
      </c>
      <c r="G1608">
        <f t="shared" si="94"/>
        <v>0</v>
      </c>
    </row>
    <row r="1609" spans="1:7" hidden="1" x14ac:dyDescent="0.25">
      <c r="A1609" s="85" t="s">
        <v>3914</v>
      </c>
      <c r="B1609" s="81" t="s">
        <v>3855</v>
      </c>
      <c r="C1609" s="26" t="s">
        <v>37</v>
      </c>
      <c r="D1609" s="14"/>
      <c r="E1609" s="15"/>
      <c r="F1609" s="16">
        <f t="shared" si="93"/>
        <v>0</v>
      </c>
      <c r="G1609">
        <f t="shared" si="94"/>
        <v>0</v>
      </c>
    </row>
    <row r="1610" spans="1:7" hidden="1" x14ac:dyDescent="0.25">
      <c r="A1610" s="85" t="s">
        <v>3915</v>
      </c>
      <c r="B1610" s="81" t="s">
        <v>3856</v>
      </c>
      <c r="C1610" s="26" t="s">
        <v>37</v>
      </c>
      <c r="D1610" s="14"/>
      <c r="E1610" s="15"/>
      <c r="F1610" s="16">
        <f t="shared" si="93"/>
        <v>0</v>
      </c>
      <c r="G1610">
        <f t="shared" si="94"/>
        <v>0</v>
      </c>
    </row>
    <row r="1611" spans="1:7" hidden="1" x14ac:dyDescent="0.25">
      <c r="A1611" s="85" t="s">
        <v>3916</v>
      </c>
      <c r="B1611" s="81" t="s">
        <v>3857</v>
      </c>
      <c r="C1611" s="26" t="s">
        <v>37</v>
      </c>
      <c r="D1611" s="14"/>
      <c r="E1611" s="15"/>
      <c r="F1611" s="16">
        <f t="shared" si="93"/>
        <v>0</v>
      </c>
      <c r="G1611">
        <f t="shared" si="94"/>
        <v>0</v>
      </c>
    </row>
    <row r="1612" spans="1:7" hidden="1" x14ac:dyDescent="0.25">
      <c r="A1612" s="85" t="s">
        <v>3917</v>
      </c>
      <c r="B1612" s="81" t="s">
        <v>3858</v>
      </c>
      <c r="C1612" s="26" t="s">
        <v>37</v>
      </c>
      <c r="D1612" s="14"/>
      <c r="E1612" s="15"/>
      <c r="F1612" s="16">
        <f t="shared" si="93"/>
        <v>0</v>
      </c>
      <c r="G1612">
        <f t="shared" si="94"/>
        <v>0</v>
      </c>
    </row>
    <row r="1613" spans="1:7" hidden="1" x14ac:dyDescent="0.25">
      <c r="A1613" s="78" t="s">
        <v>3921</v>
      </c>
      <c r="B1613" s="79" t="s">
        <v>3919</v>
      </c>
      <c r="C1613" s="26"/>
      <c r="D1613" s="14"/>
      <c r="E1613" s="15"/>
      <c r="F1613" s="16"/>
      <c r="G1613">
        <f t="shared" si="94"/>
        <v>0</v>
      </c>
    </row>
    <row r="1614" spans="1:7" hidden="1" x14ac:dyDescent="0.25">
      <c r="A1614" s="85" t="s">
        <v>991</v>
      </c>
      <c r="B1614" s="81" t="s">
        <v>3920</v>
      </c>
      <c r="C1614" s="26" t="s">
        <v>37</v>
      </c>
      <c r="D1614" s="14"/>
      <c r="E1614" s="15"/>
      <c r="F1614" s="16">
        <f t="shared" si="93"/>
        <v>0</v>
      </c>
      <c r="G1614">
        <f t="shared" si="94"/>
        <v>0</v>
      </c>
    </row>
    <row r="1615" spans="1:7" hidden="1" x14ac:dyDescent="0.25">
      <c r="A1615" s="85" t="s">
        <v>992</v>
      </c>
      <c r="B1615" s="81" t="s">
        <v>3980</v>
      </c>
      <c r="C1615" s="26" t="s">
        <v>37</v>
      </c>
      <c r="D1615" s="14"/>
      <c r="E1615" s="15"/>
      <c r="F1615" s="16">
        <f t="shared" si="93"/>
        <v>0</v>
      </c>
      <c r="G1615">
        <f t="shared" si="94"/>
        <v>0</v>
      </c>
    </row>
    <row r="1616" spans="1:7" hidden="1" x14ac:dyDescent="0.25">
      <c r="A1616" s="85" t="s">
        <v>3922</v>
      </c>
      <c r="B1616" s="81" t="s">
        <v>3981</v>
      </c>
      <c r="C1616" s="26" t="s">
        <v>37</v>
      </c>
      <c r="D1616" s="14"/>
      <c r="E1616" s="15"/>
      <c r="F1616" s="16">
        <f t="shared" si="93"/>
        <v>0</v>
      </c>
      <c r="G1616">
        <f t="shared" si="94"/>
        <v>0</v>
      </c>
    </row>
    <row r="1617" spans="1:7" hidden="1" x14ac:dyDescent="0.25">
      <c r="A1617" s="85" t="s">
        <v>3923</v>
      </c>
      <c r="B1617" s="81" t="s">
        <v>3982</v>
      </c>
      <c r="C1617" s="26" t="s">
        <v>37</v>
      </c>
      <c r="D1617" s="14"/>
      <c r="E1617" s="15"/>
      <c r="F1617" s="16">
        <f t="shared" ref="F1617:F1673" si="95">+D1617*E1617</f>
        <v>0</v>
      </c>
      <c r="G1617">
        <f t="shared" si="94"/>
        <v>0</v>
      </c>
    </row>
    <row r="1618" spans="1:7" hidden="1" x14ac:dyDescent="0.25">
      <c r="A1618" s="85" t="s">
        <v>3924</v>
      </c>
      <c r="B1618" s="81" t="s">
        <v>3983</v>
      </c>
      <c r="C1618" s="26" t="s">
        <v>37</v>
      </c>
      <c r="D1618" s="14"/>
      <c r="E1618" s="15"/>
      <c r="F1618" s="16">
        <f t="shared" si="95"/>
        <v>0</v>
      </c>
      <c r="G1618">
        <f t="shared" si="94"/>
        <v>0</v>
      </c>
    </row>
    <row r="1619" spans="1:7" hidden="1" x14ac:dyDescent="0.25">
      <c r="A1619" s="85" t="s">
        <v>3925</v>
      </c>
      <c r="B1619" s="81" t="s">
        <v>3984</v>
      </c>
      <c r="C1619" s="26" t="s">
        <v>37</v>
      </c>
      <c r="D1619" s="14"/>
      <c r="E1619" s="15"/>
      <c r="F1619" s="16">
        <f t="shared" si="95"/>
        <v>0</v>
      </c>
      <c r="G1619">
        <f t="shared" si="94"/>
        <v>0</v>
      </c>
    </row>
    <row r="1620" spans="1:7" hidden="1" x14ac:dyDescent="0.25">
      <c r="A1620" s="85" t="s">
        <v>3926</v>
      </c>
      <c r="B1620" s="81" t="s">
        <v>3985</v>
      </c>
      <c r="C1620" s="26" t="s">
        <v>37</v>
      </c>
      <c r="D1620" s="14"/>
      <c r="E1620" s="15"/>
      <c r="F1620" s="16">
        <f t="shared" si="95"/>
        <v>0</v>
      </c>
      <c r="G1620">
        <f t="shared" si="94"/>
        <v>0</v>
      </c>
    </row>
    <row r="1621" spans="1:7" hidden="1" x14ac:dyDescent="0.25">
      <c r="A1621" s="85" t="s">
        <v>3927</v>
      </c>
      <c r="B1621" s="81" t="s">
        <v>3986</v>
      </c>
      <c r="C1621" s="26" t="s">
        <v>37</v>
      </c>
      <c r="D1621" s="14"/>
      <c r="E1621" s="15"/>
      <c r="F1621" s="16">
        <f t="shared" si="95"/>
        <v>0</v>
      </c>
      <c r="G1621">
        <f t="shared" si="94"/>
        <v>0</v>
      </c>
    </row>
    <row r="1622" spans="1:7" hidden="1" x14ac:dyDescent="0.25">
      <c r="A1622" s="85" t="s">
        <v>3928</v>
      </c>
      <c r="B1622" s="81" t="s">
        <v>3987</v>
      </c>
      <c r="C1622" s="26" t="s">
        <v>37</v>
      </c>
      <c r="D1622" s="14"/>
      <c r="E1622" s="15"/>
      <c r="F1622" s="16">
        <f t="shared" si="95"/>
        <v>0</v>
      </c>
      <c r="G1622">
        <f t="shared" si="94"/>
        <v>0</v>
      </c>
    </row>
    <row r="1623" spans="1:7" hidden="1" x14ac:dyDescent="0.25">
      <c r="A1623" s="85" t="s">
        <v>3929</v>
      </c>
      <c r="B1623" s="81" t="s">
        <v>3988</v>
      </c>
      <c r="C1623" s="26" t="s">
        <v>37</v>
      </c>
      <c r="D1623" s="14"/>
      <c r="E1623" s="15"/>
      <c r="F1623" s="16">
        <f t="shared" si="95"/>
        <v>0</v>
      </c>
      <c r="G1623">
        <f t="shared" si="94"/>
        <v>0</v>
      </c>
    </row>
    <row r="1624" spans="1:7" hidden="1" x14ac:dyDescent="0.25">
      <c r="A1624" s="85" t="s">
        <v>3930</v>
      </c>
      <c r="B1624" s="81" t="s">
        <v>3989</v>
      </c>
      <c r="C1624" s="26" t="s">
        <v>37</v>
      </c>
      <c r="D1624" s="14"/>
      <c r="E1624" s="15"/>
      <c r="F1624" s="16">
        <f t="shared" si="95"/>
        <v>0</v>
      </c>
      <c r="G1624">
        <f t="shared" si="94"/>
        <v>0</v>
      </c>
    </row>
    <row r="1625" spans="1:7" hidden="1" x14ac:dyDescent="0.25">
      <c r="A1625" s="85" t="s">
        <v>3931</v>
      </c>
      <c r="B1625" s="81" t="s">
        <v>3990</v>
      </c>
      <c r="C1625" s="26" t="s">
        <v>37</v>
      </c>
      <c r="D1625" s="14"/>
      <c r="E1625" s="15"/>
      <c r="F1625" s="16">
        <f t="shared" si="95"/>
        <v>0</v>
      </c>
      <c r="G1625">
        <f t="shared" si="94"/>
        <v>0</v>
      </c>
    </row>
    <row r="1626" spans="1:7" hidden="1" x14ac:dyDescent="0.25">
      <c r="A1626" s="85" t="s">
        <v>3932</v>
      </c>
      <c r="B1626" s="81" t="s">
        <v>3991</v>
      </c>
      <c r="C1626" s="26" t="s">
        <v>37</v>
      </c>
      <c r="D1626" s="14"/>
      <c r="E1626" s="15"/>
      <c r="F1626" s="16">
        <f t="shared" si="95"/>
        <v>0</v>
      </c>
      <c r="G1626">
        <f t="shared" si="94"/>
        <v>0</v>
      </c>
    </row>
    <row r="1627" spans="1:7" hidden="1" x14ac:dyDescent="0.25">
      <c r="A1627" s="85" t="s">
        <v>3933</v>
      </c>
      <c r="B1627" s="81" t="s">
        <v>3992</v>
      </c>
      <c r="C1627" s="26" t="s">
        <v>37</v>
      </c>
      <c r="D1627" s="14"/>
      <c r="E1627" s="15"/>
      <c r="F1627" s="16">
        <f t="shared" si="95"/>
        <v>0</v>
      </c>
      <c r="G1627">
        <f t="shared" si="94"/>
        <v>0</v>
      </c>
    </row>
    <row r="1628" spans="1:7" hidden="1" x14ac:dyDescent="0.25">
      <c r="A1628" s="85" t="s">
        <v>3934</v>
      </c>
      <c r="B1628" s="81" t="s">
        <v>3993</v>
      </c>
      <c r="C1628" s="26" t="s">
        <v>37</v>
      </c>
      <c r="D1628" s="14"/>
      <c r="E1628" s="15"/>
      <c r="F1628" s="16">
        <f t="shared" si="95"/>
        <v>0</v>
      </c>
      <c r="G1628">
        <f t="shared" si="94"/>
        <v>0</v>
      </c>
    </row>
    <row r="1629" spans="1:7" hidden="1" x14ac:dyDescent="0.25">
      <c r="A1629" s="85" t="s">
        <v>3935</v>
      </c>
      <c r="B1629" s="81" t="s">
        <v>3994</v>
      </c>
      <c r="C1629" s="26" t="s">
        <v>37</v>
      </c>
      <c r="D1629" s="14"/>
      <c r="E1629" s="15"/>
      <c r="F1629" s="16">
        <f t="shared" si="95"/>
        <v>0</v>
      </c>
      <c r="G1629">
        <f t="shared" si="94"/>
        <v>0</v>
      </c>
    </row>
    <row r="1630" spans="1:7" hidden="1" x14ac:dyDescent="0.25">
      <c r="A1630" s="85" t="s">
        <v>3936</v>
      </c>
      <c r="B1630" s="81" t="s">
        <v>3995</v>
      </c>
      <c r="C1630" s="26" t="s">
        <v>37</v>
      </c>
      <c r="D1630" s="14"/>
      <c r="E1630" s="15"/>
      <c r="F1630" s="16">
        <f t="shared" si="95"/>
        <v>0</v>
      </c>
      <c r="G1630">
        <f t="shared" si="94"/>
        <v>0</v>
      </c>
    </row>
    <row r="1631" spans="1:7" hidden="1" x14ac:dyDescent="0.25">
      <c r="A1631" s="85" t="s">
        <v>3937</v>
      </c>
      <c r="B1631" s="81" t="s">
        <v>3996</v>
      </c>
      <c r="C1631" s="26" t="s">
        <v>37</v>
      </c>
      <c r="D1631" s="14"/>
      <c r="E1631" s="15"/>
      <c r="F1631" s="16">
        <f t="shared" si="95"/>
        <v>0</v>
      </c>
      <c r="G1631">
        <f t="shared" si="94"/>
        <v>0</v>
      </c>
    </row>
    <row r="1632" spans="1:7" hidden="1" x14ac:dyDescent="0.25">
      <c r="A1632" s="85" t="s">
        <v>3938</v>
      </c>
      <c r="B1632" s="81" t="s">
        <v>3997</v>
      </c>
      <c r="C1632" s="26" t="s">
        <v>37</v>
      </c>
      <c r="D1632" s="14"/>
      <c r="E1632" s="15"/>
      <c r="F1632" s="16">
        <f t="shared" si="95"/>
        <v>0</v>
      </c>
      <c r="G1632">
        <f t="shared" si="94"/>
        <v>0</v>
      </c>
    </row>
    <row r="1633" spans="1:7" hidden="1" x14ac:dyDescent="0.25">
      <c r="A1633" s="85" t="s">
        <v>3939</v>
      </c>
      <c r="B1633" s="81" t="s">
        <v>3998</v>
      </c>
      <c r="C1633" s="26" t="s">
        <v>37</v>
      </c>
      <c r="D1633" s="14"/>
      <c r="E1633" s="15"/>
      <c r="F1633" s="16">
        <f t="shared" si="95"/>
        <v>0</v>
      </c>
      <c r="G1633">
        <f t="shared" si="94"/>
        <v>0</v>
      </c>
    </row>
    <row r="1634" spans="1:7" hidden="1" x14ac:dyDescent="0.25">
      <c r="A1634" s="85" t="s">
        <v>3940</v>
      </c>
      <c r="B1634" s="81" t="s">
        <v>3999</v>
      </c>
      <c r="C1634" s="26" t="s">
        <v>37</v>
      </c>
      <c r="D1634" s="14"/>
      <c r="E1634" s="15"/>
      <c r="F1634" s="16">
        <f t="shared" si="95"/>
        <v>0</v>
      </c>
      <c r="G1634">
        <f t="shared" si="94"/>
        <v>0</v>
      </c>
    </row>
    <row r="1635" spans="1:7" hidden="1" x14ac:dyDescent="0.25">
      <c r="A1635" s="85" t="s">
        <v>3941</v>
      </c>
      <c r="B1635" s="81" t="s">
        <v>4000</v>
      </c>
      <c r="C1635" s="26" t="s">
        <v>37</v>
      </c>
      <c r="D1635" s="14"/>
      <c r="E1635" s="15"/>
      <c r="F1635" s="16">
        <f t="shared" si="95"/>
        <v>0</v>
      </c>
      <c r="G1635">
        <f t="shared" si="94"/>
        <v>0</v>
      </c>
    </row>
    <row r="1636" spans="1:7" hidden="1" x14ac:dyDescent="0.25">
      <c r="A1636" s="85" t="s">
        <v>3942</v>
      </c>
      <c r="B1636" s="81" t="s">
        <v>4001</v>
      </c>
      <c r="C1636" s="26" t="s">
        <v>37</v>
      </c>
      <c r="D1636" s="14"/>
      <c r="E1636" s="15"/>
      <c r="F1636" s="16">
        <f t="shared" si="95"/>
        <v>0</v>
      </c>
      <c r="G1636">
        <f t="shared" ref="G1636:G1699" si="96">+IF(F1636&lt;&gt;0,1,0)</f>
        <v>0</v>
      </c>
    </row>
    <row r="1637" spans="1:7" hidden="1" x14ac:dyDescent="0.25">
      <c r="A1637" s="85" t="s">
        <v>3943</v>
      </c>
      <c r="B1637" s="81" t="s">
        <v>4002</v>
      </c>
      <c r="C1637" s="26" t="s">
        <v>37</v>
      </c>
      <c r="D1637" s="14"/>
      <c r="E1637" s="15"/>
      <c r="F1637" s="16">
        <f t="shared" si="95"/>
        <v>0</v>
      </c>
      <c r="G1637">
        <f t="shared" si="96"/>
        <v>0</v>
      </c>
    </row>
    <row r="1638" spans="1:7" hidden="1" x14ac:dyDescent="0.25">
      <c r="A1638" s="85" t="s">
        <v>3944</v>
      </c>
      <c r="B1638" s="81" t="s">
        <v>4003</v>
      </c>
      <c r="C1638" s="26" t="s">
        <v>37</v>
      </c>
      <c r="D1638" s="14"/>
      <c r="E1638" s="15"/>
      <c r="F1638" s="16">
        <f t="shared" si="95"/>
        <v>0</v>
      </c>
      <c r="G1638">
        <f t="shared" si="96"/>
        <v>0</v>
      </c>
    </row>
    <row r="1639" spans="1:7" hidden="1" x14ac:dyDescent="0.25">
      <c r="A1639" s="85" t="s">
        <v>3945</v>
      </c>
      <c r="B1639" s="81" t="s">
        <v>4004</v>
      </c>
      <c r="C1639" s="26" t="s">
        <v>37</v>
      </c>
      <c r="D1639" s="14"/>
      <c r="E1639" s="15"/>
      <c r="F1639" s="16">
        <f t="shared" si="95"/>
        <v>0</v>
      </c>
      <c r="G1639">
        <f t="shared" si="96"/>
        <v>0</v>
      </c>
    </row>
    <row r="1640" spans="1:7" hidden="1" x14ac:dyDescent="0.25">
      <c r="A1640" s="85" t="s">
        <v>3946</v>
      </c>
      <c r="B1640" s="81" t="s">
        <v>4005</v>
      </c>
      <c r="C1640" s="26" t="s">
        <v>37</v>
      </c>
      <c r="D1640" s="14"/>
      <c r="E1640" s="15"/>
      <c r="F1640" s="16">
        <f t="shared" si="95"/>
        <v>0</v>
      </c>
      <c r="G1640">
        <f t="shared" si="96"/>
        <v>0</v>
      </c>
    </row>
    <row r="1641" spans="1:7" hidden="1" x14ac:dyDescent="0.25">
      <c r="A1641" s="85" t="s">
        <v>3947</v>
      </c>
      <c r="B1641" s="81" t="s">
        <v>4006</v>
      </c>
      <c r="C1641" s="26" t="s">
        <v>37</v>
      </c>
      <c r="D1641" s="14"/>
      <c r="E1641" s="15"/>
      <c r="F1641" s="16">
        <f t="shared" si="95"/>
        <v>0</v>
      </c>
      <c r="G1641">
        <f t="shared" si="96"/>
        <v>0</v>
      </c>
    </row>
    <row r="1642" spans="1:7" hidden="1" x14ac:dyDescent="0.25">
      <c r="A1642" s="85" t="s">
        <v>3948</v>
      </c>
      <c r="B1642" s="81" t="s">
        <v>4007</v>
      </c>
      <c r="C1642" s="26" t="s">
        <v>37</v>
      </c>
      <c r="D1642" s="14"/>
      <c r="E1642" s="15"/>
      <c r="F1642" s="16">
        <f t="shared" si="95"/>
        <v>0</v>
      </c>
      <c r="G1642">
        <f t="shared" si="96"/>
        <v>0</v>
      </c>
    </row>
    <row r="1643" spans="1:7" hidden="1" x14ac:dyDescent="0.25">
      <c r="A1643" s="85" t="s">
        <v>3949</v>
      </c>
      <c r="B1643" s="81" t="s">
        <v>4008</v>
      </c>
      <c r="C1643" s="26" t="s">
        <v>37</v>
      </c>
      <c r="D1643" s="14"/>
      <c r="E1643" s="15"/>
      <c r="F1643" s="16">
        <f t="shared" si="95"/>
        <v>0</v>
      </c>
      <c r="G1643">
        <f t="shared" si="96"/>
        <v>0</v>
      </c>
    </row>
    <row r="1644" spans="1:7" hidden="1" x14ac:dyDescent="0.25">
      <c r="A1644" s="85" t="s">
        <v>3950</v>
      </c>
      <c r="B1644" s="81" t="s">
        <v>4009</v>
      </c>
      <c r="C1644" s="26" t="s">
        <v>37</v>
      </c>
      <c r="D1644" s="14"/>
      <c r="E1644" s="15"/>
      <c r="F1644" s="16">
        <f t="shared" si="95"/>
        <v>0</v>
      </c>
      <c r="G1644">
        <f t="shared" si="96"/>
        <v>0</v>
      </c>
    </row>
    <row r="1645" spans="1:7" hidden="1" x14ac:dyDescent="0.25">
      <c r="A1645" s="85" t="s">
        <v>3951</v>
      </c>
      <c r="B1645" s="81" t="s">
        <v>4010</v>
      </c>
      <c r="C1645" s="26" t="s">
        <v>37</v>
      </c>
      <c r="D1645" s="14"/>
      <c r="E1645" s="15"/>
      <c r="F1645" s="16">
        <f t="shared" si="95"/>
        <v>0</v>
      </c>
      <c r="G1645">
        <f t="shared" si="96"/>
        <v>0</v>
      </c>
    </row>
    <row r="1646" spans="1:7" hidden="1" x14ac:dyDescent="0.25">
      <c r="A1646" s="85" t="s">
        <v>3952</v>
      </c>
      <c r="B1646" s="81" t="s">
        <v>4011</v>
      </c>
      <c r="C1646" s="26" t="s">
        <v>37</v>
      </c>
      <c r="D1646" s="14"/>
      <c r="E1646" s="15"/>
      <c r="F1646" s="16">
        <f t="shared" si="95"/>
        <v>0</v>
      </c>
      <c r="G1646">
        <f t="shared" si="96"/>
        <v>0</v>
      </c>
    </row>
    <row r="1647" spans="1:7" hidden="1" x14ac:dyDescent="0.25">
      <c r="A1647" s="85" t="s">
        <v>3953</v>
      </c>
      <c r="B1647" s="81" t="s">
        <v>4012</v>
      </c>
      <c r="C1647" s="26" t="s">
        <v>37</v>
      </c>
      <c r="D1647" s="14"/>
      <c r="E1647" s="15"/>
      <c r="F1647" s="16">
        <f t="shared" si="95"/>
        <v>0</v>
      </c>
      <c r="G1647">
        <f t="shared" si="96"/>
        <v>0</v>
      </c>
    </row>
    <row r="1648" spans="1:7" hidden="1" x14ac:dyDescent="0.25">
      <c r="A1648" s="85" t="s">
        <v>3954</v>
      </c>
      <c r="B1648" s="81" t="s">
        <v>4013</v>
      </c>
      <c r="C1648" s="26" t="s">
        <v>37</v>
      </c>
      <c r="D1648" s="14"/>
      <c r="E1648" s="15"/>
      <c r="F1648" s="16">
        <f t="shared" si="95"/>
        <v>0</v>
      </c>
      <c r="G1648">
        <f t="shared" si="96"/>
        <v>0</v>
      </c>
    </row>
    <row r="1649" spans="1:7" hidden="1" x14ac:dyDescent="0.25">
      <c r="A1649" s="85" t="s">
        <v>3955</v>
      </c>
      <c r="B1649" s="81" t="s">
        <v>4014</v>
      </c>
      <c r="C1649" s="26" t="s">
        <v>37</v>
      </c>
      <c r="D1649" s="14"/>
      <c r="E1649" s="15"/>
      <c r="F1649" s="16">
        <f t="shared" si="95"/>
        <v>0</v>
      </c>
      <c r="G1649">
        <f t="shared" si="96"/>
        <v>0</v>
      </c>
    </row>
    <row r="1650" spans="1:7" hidden="1" x14ac:dyDescent="0.25">
      <c r="A1650" s="85" t="s">
        <v>3956</v>
      </c>
      <c r="B1650" s="81" t="s">
        <v>4015</v>
      </c>
      <c r="C1650" s="26" t="s">
        <v>37</v>
      </c>
      <c r="D1650" s="14"/>
      <c r="E1650" s="15"/>
      <c r="F1650" s="16">
        <f t="shared" si="95"/>
        <v>0</v>
      </c>
      <c r="G1650">
        <f t="shared" si="96"/>
        <v>0</v>
      </c>
    </row>
    <row r="1651" spans="1:7" hidden="1" x14ac:dyDescent="0.25">
      <c r="A1651" s="85" t="s">
        <v>3957</v>
      </c>
      <c r="B1651" s="81" t="s">
        <v>4016</v>
      </c>
      <c r="C1651" s="26" t="s">
        <v>37</v>
      </c>
      <c r="D1651" s="14"/>
      <c r="E1651" s="15"/>
      <c r="F1651" s="16">
        <f t="shared" si="95"/>
        <v>0</v>
      </c>
      <c r="G1651">
        <f t="shared" si="96"/>
        <v>0</v>
      </c>
    </row>
    <row r="1652" spans="1:7" hidden="1" x14ac:dyDescent="0.25">
      <c r="A1652" s="85" t="s">
        <v>3958</v>
      </c>
      <c r="B1652" s="81" t="s">
        <v>4017</v>
      </c>
      <c r="C1652" s="26" t="s">
        <v>37</v>
      </c>
      <c r="D1652" s="14"/>
      <c r="E1652" s="15"/>
      <c r="F1652" s="16">
        <f t="shared" si="95"/>
        <v>0</v>
      </c>
      <c r="G1652">
        <f t="shared" si="96"/>
        <v>0</v>
      </c>
    </row>
    <row r="1653" spans="1:7" hidden="1" x14ac:dyDescent="0.25">
      <c r="A1653" s="85" t="s">
        <v>3959</v>
      </c>
      <c r="B1653" s="81" t="s">
        <v>4018</v>
      </c>
      <c r="C1653" s="26" t="s">
        <v>37</v>
      </c>
      <c r="D1653" s="14"/>
      <c r="E1653" s="15"/>
      <c r="F1653" s="16">
        <f t="shared" si="95"/>
        <v>0</v>
      </c>
      <c r="G1653">
        <f t="shared" si="96"/>
        <v>0</v>
      </c>
    </row>
    <row r="1654" spans="1:7" hidden="1" x14ac:dyDescent="0.25">
      <c r="A1654" s="85" t="s">
        <v>3960</v>
      </c>
      <c r="B1654" s="81" t="s">
        <v>4019</v>
      </c>
      <c r="C1654" s="26" t="s">
        <v>37</v>
      </c>
      <c r="D1654" s="14"/>
      <c r="E1654" s="15"/>
      <c r="F1654" s="16">
        <f t="shared" si="95"/>
        <v>0</v>
      </c>
      <c r="G1654">
        <f t="shared" si="96"/>
        <v>0</v>
      </c>
    </row>
    <row r="1655" spans="1:7" hidden="1" x14ac:dyDescent="0.25">
      <c r="A1655" s="85" t="s">
        <v>3961</v>
      </c>
      <c r="B1655" s="81" t="s">
        <v>4020</v>
      </c>
      <c r="C1655" s="26" t="s">
        <v>37</v>
      </c>
      <c r="D1655" s="14"/>
      <c r="E1655" s="15"/>
      <c r="F1655" s="16">
        <f t="shared" si="95"/>
        <v>0</v>
      </c>
      <c r="G1655">
        <f t="shared" si="96"/>
        <v>0</v>
      </c>
    </row>
    <row r="1656" spans="1:7" hidden="1" x14ac:dyDescent="0.25">
      <c r="A1656" s="85" t="s">
        <v>3962</v>
      </c>
      <c r="B1656" s="81" t="s">
        <v>4021</v>
      </c>
      <c r="C1656" s="26" t="s">
        <v>37</v>
      </c>
      <c r="D1656" s="14"/>
      <c r="E1656" s="15"/>
      <c r="F1656" s="16">
        <f t="shared" si="95"/>
        <v>0</v>
      </c>
      <c r="G1656">
        <f t="shared" si="96"/>
        <v>0</v>
      </c>
    </row>
    <row r="1657" spans="1:7" hidden="1" x14ac:dyDescent="0.25">
      <c r="A1657" s="85" t="s">
        <v>3963</v>
      </c>
      <c r="B1657" s="81" t="s">
        <v>4022</v>
      </c>
      <c r="C1657" s="26" t="s">
        <v>37</v>
      </c>
      <c r="D1657" s="14"/>
      <c r="E1657" s="15"/>
      <c r="F1657" s="16">
        <f t="shared" si="95"/>
        <v>0</v>
      </c>
      <c r="G1657">
        <f t="shared" si="96"/>
        <v>0</v>
      </c>
    </row>
    <row r="1658" spans="1:7" hidden="1" x14ac:dyDescent="0.25">
      <c r="A1658" s="85" t="s">
        <v>3964</v>
      </c>
      <c r="B1658" s="81" t="s">
        <v>4023</v>
      </c>
      <c r="C1658" s="26" t="s">
        <v>37</v>
      </c>
      <c r="D1658" s="14"/>
      <c r="E1658" s="15"/>
      <c r="F1658" s="16">
        <f t="shared" si="95"/>
        <v>0</v>
      </c>
      <c r="G1658">
        <f t="shared" si="96"/>
        <v>0</v>
      </c>
    </row>
    <row r="1659" spans="1:7" hidden="1" x14ac:dyDescent="0.25">
      <c r="A1659" s="85" t="s">
        <v>3965</v>
      </c>
      <c r="B1659" s="81" t="s">
        <v>4024</v>
      </c>
      <c r="C1659" s="26" t="s">
        <v>37</v>
      </c>
      <c r="D1659" s="14"/>
      <c r="E1659" s="15"/>
      <c r="F1659" s="16">
        <f t="shared" si="95"/>
        <v>0</v>
      </c>
      <c r="G1659">
        <f t="shared" si="96"/>
        <v>0</v>
      </c>
    </row>
    <row r="1660" spans="1:7" hidden="1" x14ac:dyDescent="0.25">
      <c r="A1660" s="85" t="s">
        <v>3966</v>
      </c>
      <c r="B1660" s="81" t="s">
        <v>4025</v>
      </c>
      <c r="C1660" s="26" t="s">
        <v>37</v>
      </c>
      <c r="D1660" s="14"/>
      <c r="E1660" s="15"/>
      <c r="F1660" s="16">
        <f t="shared" si="95"/>
        <v>0</v>
      </c>
      <c r="G1660">
        <f t="shared" si="96"/>
        <v>0</v>
      </c>
    </row>
    <row r="1661" spans="1:7" hidden="1" x14ac:dyDescent="0.25">
      <c r="A1661" s="85" t="s">
        <v>3967</v>
      </c>
      <c r="B1661" s="81" t="s">
        <v>4026</v>
      </c>
      <c r="C1661" s="26" t="s">
        <v>37</v>
      </c>
      <c r="D1661" s="14"/>
      <c r="E1661" s="15"/>
      <c r="F1661" s="16">
        <f t="shared" si="95"/>
        <v>0</v>
      </c>
      <c r="G1661">
        <f t="shared" si="96"/>
        <v>0</v>
      </c>
    </row>
    <row r="1662" spans="1:7" hidden="1" x14ac:dyDescent="0.25">
      <c r="A1662" s="85" t="s">
        <v>3968</v>
      </c>
      <c r="B1662" s="81" t="s">
        <v>4027</v>
      </c>
      <c r="C1662" s="26" t="s">
        <v>37</v>
      </c>
      <c r="D1662" s="14"/>
      <c r="E1662" s="15"/>
      <c r="F1662" s="16">
        <f t="shared" si="95"/>
        <v>0</v>
      </c>
      <c r="G1662">
        <f t="shared" si="96"/>
        <v>0</v>
      </c>
    </row>
    <row r="1663" spans="1:7" hidden="1" x14ac:dyDescent="0.25">
      <c r="A1663" s="85" t="s">
        <v>3969</v>
      </c>
      <c r="B1663" s="81" t="s">
        <v>4028</v>
      </c>
      <c r="C1663" s="26" t="s">
        <v>37</v>
      </c>
      <c r="D1663" s="14"/>
      <c r="E1663" s="15"/>
      <c r="F1663" s="16">
        <f t="shared" si="95"/>
        <v>0</v>
      </c>
      <c r="G1663">
        <f t="shared" si="96"/>
        <v>0</v>
      </c>
    </row>
    <row r="1664" spans="1:7" hidden="1" x14ac:dyDescent="0.25">
      <c r="A1664" s="85" t="s">
        <v>3970</v>
      </c>
      <c r="B1664" s="81" t="s">
        <v>4029</v>
      </c>
      <c r="C1664" s="26" t="s">
        <v>37</v>
      </c>
      <c r="D1664" s="14"/>
      <c r="E1664" s="15"/>
      <c r="F1664" s="16">
        <f t="shared" si="95"/>
        <v>0</v>
      </c>
      <c r="G1664">
        <f t="shared" si="96"/>
        <v>0</v>
      </c>
    </row>
    <row r="1665" spans="1:7" hidden="1" x14ac:dyDescent="0.25">
      <c r="A1665" s="85" t="s">
        <v>3971</v>
      </c>
      <c r="B1665" s="81" t="s">
        <v>4030</v>
      </c>
      <c r="C1665" s="26" t="s">
        <v>37</v>
      </c>
      <c r="D1665" s="14"/>
      <c r="E1665" s="15"/>
      <c r="F1665" s="16">
        <f t="shared" si="95"/>
        <v>0</v>
      </c>
      <c r="G1665">
        <f t="shared" si="96"/>
        <v>0</v>
      </c>
    </row>
    <row r="1666" spans="1:7" hidden="1" x14ac:dyDescent="0.25">
      <c r="A1666" s="85" t="s">
        <v>3972</v>
      </c>
      <c r="B1666" s="81" t="s">
        <v>4031</v>
      </c>
      <c r="C1666" s="26" t="s">
        <v>37</v>
      </c>
      <c r="D1666" s="14"/>
      <c r="E1666" s="15"/>
      <c r="F1666" s="16">
        <f t="shared" si="95"/>
        <v>0</v>
      </c>
      <c r="G1666">
        <f t="shared" si="96"/>
        <v>0</v>
      </c>
    </row>
    <row r="1667" spans="1:7" hidden="1" x14ac:dyDescent="0.25">
      <c r="A1667" s="85" t="s">
        <v>3973</v>
      </c>
      <c r="B1667" s="81" t="s">
        <v>4032</v>
      </c>
      <c r="C1667" s="26" t="s">
        <v>37</v>
      </c>
      <c r="D1667" s="14"/>
      <c r="E1667" s="15"/>
      <c r="F1667" s="16">
        <f t="shared" si="95"/>
        <v>0</v>
      </c>
      <c r="G1667">
        <f t="shared" si="96"/>
        <v>0</v>
      </c>
    </row>
    <row r="1668" spans="1:7" hidden="1" x14ac:dyDescent="0.25">
      <c r="A1668" s="85" t="s">
        <v>3974</v>
      </c>
      <c r="B1668" s="81" t="s">
        <v>4033</v>
      </c>
      <c r="C1668" s="26" t="s">
        <v>37</v>
      </c>
      <c r="D1668" s="14"/>
      <c r="E1668" s="15"/>
      <c r="F1668" s="16">
        <f t="shared" si="95"/>
        <v>0</v>
      </c>
      <c r="G1668">
        <f t="shared" si="96"/>
        <v>0</v>
      </c>
    </row>
    <row r="1669" spans="1:7" hidden="1" x14ac:dyDescent="0.25">
      <c r="A1669" s="85" t="s">
        <v>3975</v>
      </c>
      <c r="B1669" s="81" t="s">
        <v>4034</v>
      </c>
      <c r="C1669" s="26" t="s">
        <v>37</v>
      </c>
      <c r="D1669" s="14"/>
      <c r="E1669" s="15"/>
      <c r="F1669" s="16">
        <f t="shared" si="95"/>
        <v>0</v>
      </c>
      <c r="G1669">
        <f t="shared" si="96"/>
        <v>0</v>
      </c>
    </row>
    <row r="1670" spans="1:7" hidden="1" x14ac:dyDescent="0.25">
      <c r="A1670" s="85" t="s">
        <v>3976</v>
      </c>
      <c r="B1670" s="81" t="s">
        <v>4035</v>
      </c>
      <c r="C1670" s="26" t="s">
        <v>37</v>
      </c>
      <c r="D1670" s="14"/>
      <c r="E1670" s="15"/>
      <c r="F1670" s="16">
        <f t="shared" si="95"/>
        <v>0</v>
      </c>
      <c r="G1670">
        <f t="shared" si="96"/>
        <v>0</v>
      </c>
    </row>
    <row r="1671" spans="1:7" hidden="1" x14ac:dyDescent="0.25">
      <c r="A1671" s="85" t="s">
        <v>3977</v>
      </c>
      <c r="B1671" s="81" t="s">
        <v>4036</v>
      </c>
      <c r="C1671" s="26" t="s">
        <v>37</v>
      </c>
      <c r="D1671" s="14"/>
      <c r="E1671" s="15"/>
      <c r="F1671" s="16">
        <f t="shared" si="95"/>
        <v>0</v>
      </c>
      <c r="G1671">
        <f t="shared" si="96"/>
        <v>0</v>
      </c>
    </row>
    <row r="1672" spans="1:7" hidden="1" x14ac:dyDescent="0.25">
      <c r="A1672" s="85" t="s">
        <v>3978</v>
      </c>
      <c r="B1672" s="81" t="s">
        <v>4037</v>
      </c>
      <c r="C1672" s="26" t="s">
        <v>37</v>
      </c>
      <c r="D1672" s="14"/>
      <c r="E1672" s="15"/>
      <c r="F1672" s="16">
        <f t="shared" si="95"/>
        <v>0</v>
      </c>
      <c r="G1672">
        <f t="shared" si="96"/>
        <v>0</v>
      </c>
    </row>
    <row r="1673" spans="1:7" hidden="1" x14ac:dyDescent="0.25">
      <c r="A1673" s="85" t="s">
        <v>3979</v>
      </c>
      <c r="B1673" s="81" t="s">
        <v>4038</v>
      </c>
      <c r="C1673" s="26" t="s">
        <v>37</v>
      </c>
      <c r="D1673" s="14"/>
      <c r="E1673" s="15"/>
      <c r="F1673" s="16">
        <f t="shared" si="95"/>
        <v>0</v>
      </c>
      <c r="G1673">
        <f t="shared" si="96"/>
        <v>0</v>
      </c>
    </row>
    <row r="1674" spans="1:7" hidden="1" x14ac:dyDescent="0.25">
      <c r="A1674" s="78" t="s">
        <v>994</v>
      </c>
      <c r="B1674" s="79" t="s">
        <v>4039</v>
      </c>
      <c r="C1674" s="26"/>
      <c r="D1674" s="14"/>
      <c r="E1674" s="15"/>
      <c r="F1674" s="16"/>
      <c r="G1674">
        <f t="shared" si="96"/>
        <v>0</v>
      </c>
    </row>
    <row r="1675" spans="1:7" hidden="1" x14ac:dyDescent="0.25">
      <c r="A1675" s="78" t="s">
        <v>545</v>
      </c>
      <c r="B1675" s="79" t="s">
        <v>4100</v>
      </c>
      <c r="C1675" s="26"/>
      <c r="D1675" s="14"/>
      <c r="E1675" s="15"/>
      <c r="F1675" s="16"/>
      <c r="G1675">
        <f t="shared" si="96"/>
        <v>0</v>
      </c>
    </row>
    <row r="1676" spans="1:7" hidden="1" x14ac:dyDescent="0.25">
      <c r="A1676" s="85" t="s">
        <v>4099</v>
      </c>
      <c r="B1676" s="81" t="s">
        <v>4040</v>
      </c>
      <c r="C1676" s="26" t="s">
        <v>37</v>
      </c>
      <c r="D1676" s="14"/>
      <c r="E1676" s="15"/>
      <c r="F1676" s="16">
        <f t="shared" ref="F1676:F1739" si="97">+D1676*E1676</f>
        <v>0</v>
      </c>
      <c r="G1676">
        <f t="shared" si="96"/>
        <v>0</v>
      </c>
    </row>
    <row r="1677" spans="1:7" hidden="1" x14ac:dyDescent="0.25">
      <c r="A1677" s="85" t="s">
        <v>4101</v>
      </c>
      <c r="B1677" s="81" t="s">
        <v>4041</v>
      </c>
      <c r="C1677" s="26" t="s">
        <v>37</v>
      </c>
      <c r="D1677" s="14"/>
      <c r="E1677" s="15"/>
      <c r="F1677" s="16">
        <f t="shared" si="97"/>
        <v>0</v>
      </c>
      <c r="G1677">
        <f t="shared" si="96"/>
        <v>0</v>
      </c>
    </row>
    <row r="1678" spans="1:7" hidden="1" x14ac:dyDescent="0.25">
      <c r="A1678" s="85" t="s">
        <v>4102</v>
      </c>
      <c r="B1678" s="81" t="s">
        <v>4042</v>
      </c>
      <c r="C1678" s="26" t="s">
        <v>37</v>
      </c>
      <c r="D1678" s="14"/>
      <c r="E1678" s="15"/>
      <c r="F1678" s="16">
        <f t="shared" si="97"/>
        <v>0</v>
      </c>
      <c r="G1678">
        <f t="shared" si="96"/>
        <v>0</v>
      </c>
    </row>
    <row r="1679" spans="1:7" hidden="1" x14ac:dyDescent="0.25">
      <c r="A1679" s="85" t="s">
        <v>4103</v>
      </c>
      <c r="B1679" s="81" t="s">
        <v>4043</v>
      </c>
      <c r="C1679" s="26" t="s">
        <v>37</v>
      </c>
      <c r="D1679" s="14"/>
      <c r="E1679" s="15"/>
      <c r="F1679" s="16">
        <f t="shared" si="97"/>
        <v>0</v>
      </c>
      <c r="G1679">
        <f t="shared" si="96"/>
        <v>0</v>
      </c>
    </row>
    <row r="1680" spans="1:7" hidden="1" x14ac:dyDescent="0.25">
      <c r="A1680" s="85" t="s">
        <v>4104</v>
      </c>
      <c r="B1680" s="81" t="s">
        <v>4044</v>
      </c>
      <c r="C1680" s="26" t="s">
        <v>37</v>
      </c>
      <c r="D1680" s="14"/>
      <c r="E1680" s="15"/>
      <c r="F1680" s="16">
        <f t="shared" si="97"/>
        <v>0</v>
      </c>
      <c r="G1680">
        <f t="shared" si="96"/>
        <v>0</v>
      </c>
    </row>
    <row r="1681" spans="1:7" hidden="1" x14ac:dyDescent="0.25">
      <c r="A1681" s="85" t="s">
        <v>4105</v>
      </c>
      <c r="B1681" s="81" t="s">
        <v>4076</v>
      </c>
      <c r="C1681" s="26" t="s">
        <v>37</v>
      </c>
      <c r="D1681" s="14"/>
      <c r="E1681" s="15"/>
      <c r="F1681" s="16">
        <f t="shared" si="97"/>
        <v>0</v>
      </c>
      <c r="G1681">
        <f t="shared" si="96"/>
        <v>0</v>
      </c>
    </row>
    <row r="1682" spans="1:7" hidden="1" x14ac:dyDescent="0.25">
      <c r="A1682" s="85" t="s">
        <v>4106</v>
      </c>
      <c r="B1682" s="81" t="s">
        <v>4077</v>
      </c>
      <c r="C1682" s="26" t="s">
        <v>37</v>
      </c>
      <c r="D1682" s="14"/>
      <c r="E1682" s="15"/>
      <c r="F1682" s="16">
        <f t="shared" si="97"/>
        <v>0</v>
      </c>
      <c r="G1682">
        <f t="shared" si="96"/>
        <v>0</v>
      </c>
    </row>
    <row r="1683" spans="1:7" hidden="1" x14ac:dyDescent="0.25">
      <c r="A1683" s="85" t="s">
        <v>4107</v>
      </c>
      <c r="B1683" s="81" t="s">
        <v>4078</v>
      </c>
      <c r="C1683" s="26" t="s">
        <v>37</v>
      </c>
      <c r="D1683" s="14"/>
      <c r="E1683" s="15"/>
      <c r="F1683" s="16">
        <f t="shared" si="97"/>
        <v>0</v>
      </c>
      <c r="G1683">
        <f t="shared" si="96"/>
        <v>0</v>
      </c>
    </row>
    <row r="1684" spans="1:7" hidden="1" x14ac:dyDescent="0.25">
      <c r="A1684" s="85" t="s">
        <v>4108</v>
      </c>
      <c r="B1684" s="81" t="s">
        <v>4079</v>
      </c>
      <c r="C1684" s="26" t="s">
        <v>37</v>
      </c>
      <c r="D1684" s="14"/>
      <c r="E1684" s="15"/>
      <c r="F1684" s="16">
        <f t="shared" si="97"/>
        <v>0</v>
      </c>
      <c r="G1684">
        <f t="shared" si="96"/>
        <v>0</v>
      </c>
    </row>
    <row r="1685" spans="1:7" hidden="1" x14ac:dyDescent="0.25">
      <c r="A1685" s="85" t="s">
        <v>4109</v>
      </c>
      <c r="B1685" s="81" t="s">
        <v>4080</v>
      </c>
      <c r="C1685" s="26" t="s">
        <v>37</v>
      </c>
      <c r="D1685" s="14"/>
      <c r="E1685" s="15"/>
      <c r="F1685" s="16">
        <f t="shared" si="97"/>
        <v>0</v>
      </c>
      <c r="G1685">
        <f t="shared" si="96"/>
        <v>0</v>
      </c>
    </row>
    <row r="1686" spans="1:7" hidden="1" x14ac:dyDescent="0.25">
      <c r="A1686" s="85" t="s">
        <v>4110</v>
      </c>
      <c r="B1686" s="81" t="s">
        <v>4081</v>
      </c>
      <c r="C1686" s="26" t="s">
        <v>37</v>
      </c>
      <c r="D1686" s="14"/>
      <c r="E1686" s="15"/>
      <c r="F1686" s="16">
        <f t="shared" si="97"/>
        <v>0</v>
      </c>
      <c r="G1686">
        <f t="shared" si="96"/>
        <v>0</v>
      </c>
    </row>
    <row r="1687" spans="1:7" hidden="1" x14ac:dyDescent="0.25">
      <c r="A1687" s="85" t="s">
        <v>4111</v>
      </c>
      <c r="B1687" s="81" t="s">
        <v>4082</v>
      </c>
      <c r="C1687" s="26" t="s">
        <v>37</v>
      </c>
      <c r="D1687" s="14"/>
      <c r="E1687" s="15"/>
      <c r="F1687" s="16">
        <f t="shared" si="97"/>
        <v>0</v>
      </c>
      <c r="G1687">
        <f t="shared" si="96"/>
        <v>0</v>
      </c>
    </row>
    <row r="1688" spans="1:7" hidden="1" x14ac:dyDescent="0.25">
      <c r="A1688" s="85" t="s">
        <v>4112</v>
      </c>
      <c r="B1688" s="81" t="s">
        <v>4083</v>
      </c>
      <c r="C1688" s="26" t="s">
        <v>37</v>
      </c>
      <c r="D1688" s="14"/>
      <c r="E1688" s="15"/>
      <c r="F1688" s="16">
        <f t="shared" si="97"/>
        <v>0</v>
      </c>
      <c r="G1688">
        <f t="shared" si="96"/>
        <v>0</v>
      </c>
    </row>
    <row r="1689" spans="1:7" hidden="1" x14ac:dyDescent="0.25">
      <c r="A1689" s="85" t="s">
        <v>4113</v>
      </c>
      <c r="B1689" s="81" t="s">
        <v>4084</v>
      </c>
      <c r="C1689" s="26" t="s">
        <v>37</v>
      </c>
      <c r="D1689" s="14"/>
      <c r="E1689" s="15"/>
      <c r="F1689" s="16">
        <f t="shared" si="97"/>
        <v>0</v>
      </c>
      <c r="G1689">
        <f t="shared" si="96"/>
        <v>0</v>
      </c>
    </row>
    <row r="1690" spans="1:7" hidden="1" x14ac:dyDescent="0.25">
      <c r="A1690" s="85" t="s">
        <v>4114</v>
      </c>
      <c r="B1690" s="81" t="s">
        <v>4085</v>
      </c>
      <c r="C1690" s="26" t="s">
        <v>37</v>
      </c>
      <c r="D1690" s="14"/>
      <c r="E1690" s="15"/>
      <c r="F1690" s="16">
        <f t="shared" si="97"/>
        <v>0</v>
      </c>
      <c r="G1690">
        <f t="shared" si="96"/>
        <v>0</v>
      </c>
    </row>
    <row r="1691" spans="1:7" hidden="1" x14ac:dyDescent="0.25">
      <c r="A1691" s="85" t="s">
        <v>4115</v>
      </c>
      <c r="B1691" s="81" t="s">
        <v>4086</v>
      </c>
      <c r="C1691" s="26" t="s">
        <v>37</v>
      </c>
      <c r="D1691" s="14"/>
      <c r="E1691" s="15"/>
      <c r="F1691" s="16">
        <f t="shared" si="97"/>
        <v>0</v>
      </c>
      <c r="G1691">
        <f t="shared" si="96"/>
        <v>0</v>
      </c>
    </row>
    <row r="1692" spans="1:7" hidden="1" x14ac:dyDescent="0.25">
      <c r="A1692" s="85" t="s">
        <v>4116</v>
      </c>
      <c r="B1692" s="81" t="s">
        <v>4087</v>
      </c>
      <c r="C1692" s="26" t="s">
        <v>37</v>
      </c>
      <c r="D1692" s="14"/>
      <c r="E1692" s="15"/>
      <c r="F1692" s="16">
        <f t="shared" si="97"/>
        <v>0</v>
      </c>
      <c r="G1692">
        <f t="shared" si="96"/>
        <v>0</v>
      </c>
    </row>
    <row r="1693" spans="1:7" hidden="1" x14ac:dyDescent="0.25">
      <c r="A1693" s="85" t="s">
        <v>4117</v>
      </c>
      <c r="B1693" s="81" t="s">
        <v>4088</v>
      </c>
      <c r="C1693" s="26" t="s">
        <v>37</v>
      </c>
      <c r="D1693" s="14"/>
      <c r="E1693" s="15"/>
      <c r="F1693" s="16">
        <f t="shared" si="97"/>
        <v>0</v>
      </c>
      <c r="G1693">
        <f t="shared" si="96"/>
        <v>0</v>
      </c>
    </row>
    <row r="1694" spans="1:7" hidden="1" x14ac:dyDescent="0.25">
      <c r="A1694" s="85" t="s">
        <v>4118</v>
      </c>
      <c r="B1694" s="81" t="s">
        <v>4089</v>
      </c>
      <c r="C1694" s="26" t="s">
        <v>37</v>
      </c>
      <c r="D1694" s="14"/>
      <c r="E1694" s="15"/>
      <c r="F1694" s="16">
        <f t="shared" si="97"/>
        <v>0</v>
      </c>
      <c r="G1694">
        <f t="shared" si="96"/>
        <v>0</v>
      </c>
    </row>
    <row r="1695" spans="1:7" hidden="1" x14ac:dyDescent="0.25">
      <c r="A1695" s="85" t="s">
        <v>4119</v>
      </c>
      <c r="B1695" s="81" t="s">
        <v>4090</v>
      </c>
      <c r="C1695" s="26" t="s">
        <v>37</v>
      </c>
      <c r="D1695" s="14"/>
      <c r="E1695" s="15"/>
      <c r="F1695" s="16">
        <f t="shared" si="97"/>
        <v>0</v>
      </c>
      <c r="G1695">
        <f t="shared" si="96"/>
        <v>0</v>
      </c>
    </row>
    <row r="1696" spans="1:7" hidden="1" x14ac:dyDescent="0.25">
      <c r="A1696" s="85" t="s">
        <v>4120</v>
      </c>
      <c r="B1696" s="81" t="s">
        <v>4091</v>
      </c>
      <c r="C1696" s="26" t="s">
        <v>37</v>
      </c>
      <c r="D1696" s="14"/>
      <c r="E1696" s="15"/>
      <c r="F1696" s="16">
        <f t="shared" si="97"/>
        <v>0</v>
      </c>
      <c r="G1696">
        <f t="shared" si="96"/>
        <v>0</v>
      </c>
    </row>
    <row r="1697" spans="1:7" hidden="1" x14ac:dyDescent="0.25">
      <c r="A1697" s="85" t="s">
        <v>4121</v>
      </c>
      <c r="B1697" s="81" t="s">
        <v>4092</v>
      </c>
      <c r="C1697" s="26" t="s">
        <v>37</v>
      </c>
      <c r="D1697" s="14"/>
      <c r="E1697" s="15"/>
      <c r="F1697" s="16">
        <f t="shared" si="97"/>
        <v>0</v>
      </c>
      <c r="G1697">
        <f t="shared" si="96"/>
        <v>0</v>
      </c>
    </row>
    <row r="1698" spans="1:7" hidden="1" x14ac:dyDescent="0.25">
      <c r="A1698" s="85" t="s">
        <v>4122</v>
      </c>
      <c r="B1698" s="81" t="s">
        <v>4093</v>
      </c>
      <c r="C1698" s="26" t="s">
        <v>37</v>
      </c>
      <c r="D1698" s="14"/>
      <c r="E1698" s="15"/>
      <c r="F1698" s="16">
        <f t="shared" si="97"/>
        <v>0</v>
      </c>
      <c r="G1698">
        <f t="shared" si="96"/>
        <v>0</v>
      </c>
    </row>
    <row r="1699" spans="1:7" hidden="1" x14ac:dyDescent="0.25">
      <c r="A1699" s="85" t="s">
        <v>4123</v>
      </c>
      <c r="B1699" s="81" t="s">
        <v>4094</v>
      </c>
      <c r="C1699" s="26" t="s">
        <v>37</v>
      </c>
      <c r="D1699" s="14"/>
      <c r="E1699" s="15"/>
      <c r="F1699" s="16">
        <f t="shared" si="97"/>
        <v>0</v>
      </c>
      <c r="G1699">
        <f t="shared" si="96"/>
        <v>0</v>
      </c>
    </row>
    <row r="1700" spans="1:7" hidden="1" x14ac:dyDescent="0.25">
      <c r="A1700" s="85" t="s">
        <v>4124</v>
      </c>
      <c r="B1700" s="81" t="s">
        <v>4095</v>
      </c>
      <c r="C1700" s="26" t="s">
        <v>37</v>
      </c>
      <c r="D1700" s="14"/>
      <c r="E1700" s="15"/>
      <c r="F1700" s="16">
        <f t="shared" si="97"/>
        <v>0</v>
      </c>
      <c r="G1700">
        <f t="shared" ref="G1700:G1763" si="98">+IF(F1700&lt;&gt;0,1,0)</f>
        <v>0</v>
      </c>
    </row>
    <row r="1701" spans="1:7" hidden="1" x14ac:dyDescent="0.25">
      <c r="A1701" s="85" t="s">
        <v>4125</v>
      </c>
      <c r="B1701" s="81" t="s">
        <v>4096</v>
      </c>
      <c r="C1701" s="26" t="s">
        <v>37</v>
      </c>
      <c r="D1701" s="14"/>
      <c r="E1701" s="15"/>
      <c r="F1701" s="16">
        <f t="shared" si="97"/>
        <v>0</v>
      </c>
      <c r="G1701">
        <f t="shared" si="98"/>
        <v>0</v>
      </c>
    </row>
    <row r="1702" spans="1:7" hidden="1" x14ac:dyDescent="0.25">
      <c r="A1702" s="85" t="s">
        <v>4126</v>
      </c>
      <c r="B1702" s="81" t="s">
        <v>4097</v>
      </c>
      <c r="C1702" s="26" t="s">
        <v>37</v>
      </c>
      <c r="D1702" s="14"/>
      <c r="E1702" s="15"/>
      <c r="F1702" s="16">
        <f t="shared" si="97"/>
        <v>0</v>
      </c>
      <c r="G1702">
        <f t="shared" si="98"/>
        <v>0</v>
      </c>
    </row>
    <row r="1703" spans="1:7" hidden="1" x14ac:dyDescent="0.25">
      <c r="A1703" s="85" t="s">
        <v>4127</v>
      </c>
      <c r="B1703" s="81" t="s">
        <v>4098</v>
      </c>
      <c r="C1703" s="26" t="s">
        <v>37</v>
      </c>
      <c r="D1703" s="14"/>
      <c r="E1703" s="15"/>
      <c r="F1703" s="16">
        <f t="shared" si="97"/>
        <v>0</v>
      </c>
      <c r="G1703">
        <f t="shared" si="98"/>
        <v>0</v>
      </c>
    </row>
    <row r="1704" spans="1:7" hidden="1" x14ac:dyDescent="0.25">
      <c r="A1704" s="85" t="s">
        <v>4128</v>
      </c>
      <c r="B1704" s="81" t="s">
        <v>4071</v>
      </c>
      <c r="C1704" s="26" t="s">
        <v>37</v>
      </c>
      <c r="D1704" s="14"/>
      <c r="E1704" s="15"/>
      <c r="F1704" s="16">
        <f t="shared" si="97"/>
        <v>0</v>
      </c>
      <c r="G1704">
        <f t="shared" si="98"/>
        <v>0</v>
      </c>
    </row>
    <row r="1705" spans="1:7" hidden="1" x14ac:dyDescent="0.25">
      <c r="A1705" s="85" t="s">
        <v>4129</v>
      </c>
      <c r="B1705" s="81" t="s">
        <v>4072</v>
      </c>
      <c r="C1705" s="26" t="s">
        <v>37</v>
      </c>
      <c r="D1705" s="14"/>
      <c r="E1705" s="15"/>
      <c r="F1705" s="16">
        <f t="shared" si="97"/>
        <v>0</v>
      </c>
      <c r="G1705">
        <f t="shared" si="98"/>
        <v>0</v>
      </c>
    </row>
    <row r="1706" spans="1:7" hidden="1" x14ac:dyDescent="0.25">
      <c r="A1706" s="85" t="s">
        <v>4130</v>
      </c>
      <c r="B1706" s="81" t="s">
        <v>4073</v>
      </c>
      <c r="C1706" s="26" t="s">
        <v>37</v>
      </c>
      <c r="D1706" s="14"/>
      <c r="E1706" s="15"/>
      <c r="F1706" s="16">
        <f t="shared" si="97"/>
        <v>0</v>
      </c>
      <c r="G1706">
        <f t="shared" si="98"/>
        <v>0</v>
      </c>
    </row>
    <row r="1707" spans="1:7" hidden="1" x14ac:dyDescent="0.25">
      <c r="A1707" s="85" t="s">
        <v>4131</v>
      </c>
      <c r="B1707" s="81" t="s">
        <v>4074</v>
      </c>
      <c r="C1707" s="26" t="s">
        <v>37</v>
      </c>
      <c r="D1707" s="14"/>
      <c r="E1707" s="15"/>
      <c r="F1707" s="16">
        <f t="shared" si="97"/>
        <v>0</v>
      </c>
      <c r="G1707">
        <f t="shared" si="98"/>
        <v>0</v>
      </c>
    </row>
    <row r="1708" spans="1:7" hidden="1" x14ac:dyDescent="0.25">
      <c r="A1708" s="85" t="s">
        <v>4132</v>
      </c>
      <c r="B1708" s="81" t="s">
        <v>4075</v>
      </c>
      <c r="C1708" s="26" t="s">
        <v>37</v>
      </c>
      <c r="D1708" s="14"/>
      <c r="E1708" s="15"/>
      <c r="F1708" s="16">
        <f t="shared" si="97"/>
        <v>0</v>
      </c>
      <c r="G1708">
        <f t="shared" si="98"/>
        <v>0</v>
      </c>
    </row>
    <row r="1709" spans="1:7" hidden="1" x14ac:dyDescent="0.25">
      <c r="A1709" s="85" t="s">
        <v>4133</v>
      </c>
      <c r="B1709" s="81" t="s">
        <v>4047</v>
      </c>
      <c r="C1709" s="26" t="s">
        <v>37</v>
      </c>
      <c r="D1709" s="14"/>
      <c r="E1709" s="15"/>
      <c r="F1709" s="16">
        <f t="shared" si="97"/>
        <v>0</v>
      </c>
      <c r="G1709">
        <f t="shared" si="98"/>
        <v>0</v>
      </c>
    </row>
    <row r="1710" spans="1:7" hidden="1" x14ac:dyDescent="0.25">
      <c r="A1710" s="85" t="s">
        <v>4134</v>
      </c>
      <c r="B1710" s="81" t="s">
        <v>4048</v>
      </c>
      <c r="C1710" s="26" t="s">
        <v>37</v>
      </c>
      <c r="D1710" s="14"/>
      <c r="E1710" s="15"/>
      <c r="F1710" s="16">
        <f t="shared" si="97"/>
        <v>0</v>
      </c>
      <c r="G1710">
        <f t="shared" si="98"/>
        <v>0</v>
      </c>
    </row>
    <row r="1711" spans="1:7" hidden="1" x14ac:dyDescent="0.25">
      <c r="A1711" s="85" t="s">
        <v>4135</v>
      </c>
      <c r="B1711" s="81" t="s">
        <v>4049</v>
      </c>
      <c r="C1711" s="26" t="s">
        <v>37</v>
      </c>
      <c r="D1711" s="14"/>
      <c r="E1711" s="15"/>
      <c r="F1711" s="16">
        <f t="shared" si="97"/>
        <v>0</v>
      </c>
      <c r="G1711">
        <f t="shared" si="98"/>
        <v>0</v>
      </c>
    </row>
    <row r="1712" spans="1:7" hidden="1" x14ac:dyDescent="0.25">
      <c r="A1712" s="85" t="s">
        <v>4136</v>
      </c>
      <c r="B1712" s="81" t="s">
        <v>4050</v>
      </c>
      <c r="C1712" s="26" t="s">
        <v>37</v>
      </c>
      <c r="D1712" s="14"/>
      <c r="E1712" s="15"/>
      <c r="F1712" s="16">
        <f t="shared" si="97"/>
        <v>0</v>
      </c>
      <c r="G1712">
        <f t="shared" si="98"/>
        <v>0</v>
      </c>
    </row>
    <row r="1713" spans="1:7" hidden="1" x14ac:dyDescent="0.25">
      <c r="A1713" s="85" t="s">
        <v>4137</v>
      </c>
      <c r="B1713" s="81" t="s">
        <v>4064</v>
      </c>
      <c r="C1713" s="26" t="s">
        <v>37</v>
      </c>
      <c r="D1713" s="14"/>
      <c r="E1713" s="15"/>
      <c r="F1713" s="16">
        <f t="shared" si="97"/>
        <v>0</v>
      </c>
      <c r="G1713">
        <f t="shared" si="98"/>
        <v>0</v>
      </c>
    </row>
    <row r="1714" spans="1:7" hidden="1" x14ac:dyDescent="0.25">
      <c r="A1714" s="85" t="s">
        <v>4138</v>
      </c>
      <c r="B1714" s="81" t="s">
        <v>4065</v>
      </c>
      <c r="C1714" s="26" t="s">
        <v>37</v>
      </c>
      <c r="D1714" s="14"/>
      <c r="E1714" s="15"/>
      <c r="F1714" s="16">
        <f t="shared" si="97"/>
        <v>0</v>
      </c>
      <c r="G1714">
        <f t="shared" si="98"/>
        <v>0</v>
      </c>
    </row>
    <row r="1715" spans="1:7" hidden="1" x14ac:dyDescent="0.25">
      <c r="A1715" s="85" t="s">
        <v>4139</v>
      </c>
      <c r="B1715" s="81" t="s">
        <v>4066</v>
      </c>
      <c r="C1715" s="26" t="s">
        <v>37</v>
      </c>
      <c r="D1715" s="14"/>
      <c r="E1715" s="15"/>
      <c r="F1715" s="16">
        <f t="shared" si="97"/>
        <v>0</v>
      </c>
      <c r="G1715">
        <f t="shared" si="98"/>
        <v>0</v>
      </c>
    </row>
    <row r="1716" spans="1:7" hidden="1" x14ac:dyDescent="0.25">
      <c r="A1716" s="85" t="s">
        <v>4140</v>
      </c>
      <c r="B1716" s="81" t="s">
        <v>4067</v>
      </c>
      <c r="C1716" s="26" t="s">
        <v>37</v>
      </c>
      <c r="D1716" s="14"/>
      <c r="E1716" s="15"/>
      <c r="F1716" s="16">
        <f t="shared" si="97"/>
        <v>0</v>
      </c>
      <c r="G1716">
        <f t="shared" si="98"/>
        <v>0</v>
      </c>
    </row>
    <row r="1717" spans="1:7" hidden="1" x14ac:dyDescent="0.25">
      <c r="A1717" s="85" t="s">
        <v>4141</v>
      </c>
      <c r="B1717" s="81" t="s">
        <v>4068</v>
      </c>
      <c r="C1717" s="26" t="s">
        <v>37</v>
      </c>
      <c r="D1717" s="14"/>
      <c r="E1717" s="15"/>
      <c r="F1717" s="16">
        <f t="shared" si="97"/>
        <v>0</v>
      </c>
      <c r="G1717">
        <f t="shared" si="98"/>
        <v>0</v>
      </c>
    </row>
    <row r="1718" spans="1:7" hidden="1" x14ac:dyDescent="0.25">
      <c r="A1718" s="85" t="s">
        <v>4142</v>
      </c>
      <c r="B1718" s="81" t="s">
        <v>4069</v>
      </c>
      <c r="C1718" s="26" t="s">
        <v>37</v>
      </c>
      <c r="D1718" s="14"/>
      <c r="E1718" s="15"/>
      <c r="F1718" s="16">
        <f t="shared" si="97"/>
        <v>0</v>
      </c>
      <c r="G1718">
        <f t="shared" si="98"/>
        <v>0</v>
      </c>
    </row>
    <row r="1719" spans="1:7" hidden="1" x14ac:dyDescent="0.25">
      <c r="A1719" s="85" t="s">
        <v>4143</v>
      </c>
      <c r="B1719" s="81" t="s">
        <v>4070</v>
      </c>
      <c r="C1719" s="26" t="s">
        <v>37</v>
      </c>
      <c r="D1719" s="14"/>
      <c r="E1719" s="15"/>
      <c r="F1719" s="16">
        <f t="shared" si="97"/>
        <v>0</v>
      </c>
      <c r="G1719">
        <f t="shared" si="98"/>
        <v>0</v>
      </c>
    </row>
    <row r="1720" spans="1:7" hidden="1" x14ac:dyDescent="0.25">
      <c r="A1720" s="85" t="s">
        <v>4144</v>
      </c>
      <c r="B1720" s="81" t="s">
        <v>4051</v>
      </c>
      <c r="C1720" s="26" t="s">
        <v>37</v>
      </c>
      <c r="D1720" s="14"/>
      <c r="E1720" s="15"/>
      <c r="F1720" s="16">
        <f t="shared" si="97"/>
        <v>0</v>
      </c>
      <c r="G1720">
        <f t="shared" si="98"/>
        <v>0</v>
      </c>
    </row>
    <row r="1721" spans="1:7" hidden="1" x14ac:dyDescent="0.25">
      <c r="A1721" s="85" t="s">
        <v>4145</v>
      </c>
      <c r="B1721" s="81" t="s">
        <v>4052</v>
      </c>
      <c r="C1721" s="26" t="s">
        <v>37</v>
      </c>
      <c r="D1721" s="14"/>
      <c r="E1721" s="15"/>
      <c r="F1721" s="16">
        <f t="shared" si="97"/>
        <v>0</v>
      </c>
      <c r="G1721">
        <f t="shared" si="98"/>
        <v>0</v>
      </c>
    </row>
    <row r="1722" spans="1:7" hidden="1" x14ac:dyDescent="0.25">
      <c r="A1722" s="85" t="s">
        <v>4146</v>
      </c>
      <c r="B1722" s="81" t="s">
        <v>4053</v>
      </c>
      <c r="C1722" s="26" t="s">
        <v>37</v>
      </c>
      <c r="D1722" s="14"/>
      <c r="E1722" s="15"/>
      <c r="F1722" s="16">
        <f t="shared" si="97"/>
        <v>0</v>
      </c>
      <c r="G1722">
        <f t="shared" si="98"/>
        <v>0</v>
      </c>
    </row>
    <row r="1723" spans="1:7" hidden="1" x14ac:dyDescent="0.25">
      <c r="A1723" s="85" t="s">
        <v>4147</v>
      </c>
      <c r="B1723" s="81" t="s">
        <v>4054</v>
      </c>
      <c r="C1723" s="26" t="s">
        <v>37</v>
      </c>
      <c r="D1723" s="14"/>
      <c r="E1723" s="15"/>
      <c r="F1723" s="16">
        <f t="shared" si="97"/>
        <v>0</v>
      </c>
      <c r="G1723">
        <f t="shared" si="98"/>
        <v>0</v>
      </c>
    </row>
    <row r="1724" spans="1:7" hidden="1" x14ac:dyDescent="0.25">
      <c r="A1724" s="85" t="s">
        <v>4148</v>
      </c>
      <c r="B1724" s="81" t="s">
        <v>4055</v>
      </c>
      <c r="C1724" s="26" t="s">
        <v>37</v>
      </c>
      <c r="D1724" s="14"/>
      <c r="E1724" s="15"/>
      <c r="F1724" s="16">
        <f t="shared" si="97"/>
        <v>0</v>
      </c>
      <c r="G1724">
        <f t="shared" si="98"/>
        <v>0</v>
      </c>
    </row>
    <row r="1725" spans="1:7" hidden="1" x14ac:dyDescent="0.25">
      <c r="A1725" s="85" t="s">
        <v>4149</v>
      </c>
      <c r="B1725" s="81" t="s">
        <v>4056</v>
      </c>
      <c r="C1725" s="26" t="s">
        <v>37</v>
      </c>
      <c r="D1725" s="14"/>
      <c r="E1725" s="15"/>
      <c r="F1725" s="16">
        <f t="shared" si="97"/>
        <v>0</v>
      </c>
      <c r="G1725">
        <f t="shared" si="98"/>
        <v>0</v>
      </c>
    </row>
    <row r="1726" spans="1:7" hidden="1" x14ac:dyDescent="0.25">
      <c r="A1726" s="85" t="s">
        <v>4150</v>
      </c>
      <c r="B1726" s="81" t="s">
        <v>4057</v>
      </c>
      <c r="C1726" s="26" t="s">
        <v>37</v>
      </c>
      <c r="D1726" s="14"/>
      <c r="E1726" s="15"/>
      <c r="F1726" s="16">
        <f t="shared" si="97"/>
        <v>0</v>
      </c>
      <c r="G1726">
        <f t="shared" si="98"/>
        <v>0</v>
      </c>
    </row>
    <row r="1727" spans="1:7" hidden="1" x14ac:dyDescent="0.25">
      <c r="A1727" s="85" t="s">
        <v>4151</v>
      </c>
      <c r="B1727" s="81" t="s">
        <v>4058</v>
      </c>
      <c r="C1727" s="26" t="s">
        <v>37</v>
      </c>
      <c r="D1727" s="14"/>
      <c r="E1727" s="15"/>
      <c r="F1727" s="16">
        <f t="shared" si="97"/>
        <v>0</v>
      </c>
      <c r="G1727">
        <f t="shared" si="98"/>
        <v>0</v>
      </c>
    </row>
    <row r="1728" spans="1:7" hidden="1" x14ac:dyDescent="0.25">
      <c r="A1728" s="85" t="s">
        <v>4152</v>
      </c>
      <c r="B1728" s="81" t="s">
        <v>4059</v>
      </c>
      <c r="C1728" s="26" t="s">
        <v>37</v>
      </c>
      <c r="D1728" s="14"/>
      <c r="E1728" s="15"/>
      <c r="F1728" s="16">
        <f t="shared" si="97"/>
        <v>0</v>
      </c>
      <c r="G1728">
        <f t="shared" si="98"/>
        <v>0</v>
      </c>
    </row>
    <row r="1729" spans="1:7" hidden="1" x14ac:dyDescent="0.25">
      <c r="A1729" s="85" t="s">
        <v>4153</v>
      </c>
      <c r="B1729" s="81" t="s">
        <v>4060</v>
      </c>
      <c r="C1729" s="26" t="s">
        <v>37</v>
      </c>
      <c r="D1729" s="14"/>
      <c r="E1729" s="15"/>
      <c r="F1729" s="16">
        <f t="shared" si="97"/>
        <v>0</v>
      </c>
      <c r="G1729">
        <f t="shared" si="98"/>
        <v>0</v>
      </c>
    </row>
    <row r="1730" spans="1:7" hidden="1" x14ac:dyDescent="0.25">
      <c r="A1730" s="85" t="s">
        <v>4154</v>
      </c>
      <c r="B1730" s="81" t="s">
        <v>4061</v>
      </c>
      <c r="C1730" s="26" t="s">
        <v>37</v>
      </c>
      <c r="D1730" s="14"/>
      <c r="E1730" s="15"/>
      <c r="F1730" s="16">
        <f t="shared" si="97"/>
        <v>0</v>
      </c>
      <c r="G1730">
        <f t="shared" si="98"/>
        <v>0</v>
      </c>
    </row>
    <row r="1731" spans="1:7" hidden="1" x14ac:dyDescent="0.25">
      <c r="A1731" s="85" t="s">
        <v>4155</v>
      </c>
      <c r="B1731" s="81" t="s">
        <v>4062</v>
      </c>
      <c r="C1731" s="26" t="s">
        <v>37</v>
      </c>
      <c r="D1731" s="14"/>
      <c r="E1731" s="15"/>
      <c r="F1731" s="16">
        <f t="shared" si="97"/>
        <v>0</v>
      </c>
      <c r="G1731">
        <f t="shared" si="98"/>
        <v>0</v>
      </c>
    </row>
    <row r="1732" spans="1:7" hidden="1" x14ac:dyDescent="0.25">
      <c r="A1732" s="85" t="s">
        <v>4156</v>
      </c>
      <c r="B1732" s="81" t="s">
        <v>4063</v>
      </c>
      <c r="C1732" s="26" t="s">
        <v>37</v>
      </c>
      <c r="D1732" s="14"/>
      <c r="E1732" s="15"/>
      <c r="F1732" s="16">
        <f t="shared" si="97"/>
        <v>0</v>
      </c>
      <c r="G1732">
        <f t="shared" si="98"/>
        <v>0</v>
      </c>
    </row>
    <row r="1733" spans="1:7" hidden="1" x14ac:dyDescent="0.25">
      <c r="A1733" s="85" t="s">
        <v>4157</v>
      </c>
      <c r="B1733" s="81" t="s">
        <v>4046</v>
      </c>
      <c r="C1733" s="26" t="s">
        <v>37</v>
      </c>
      <c r="D1733" s="14"/>
      <c r="E1733" s="15"/>
      <c r="F1733" s="16">
        <f t="shared" si="97"/>
        <v>0</v>
      </c>
      <c r="G1733">
        <f t="shared" si="98"/>
        <v>0</v>
      </c>
    </row>
    <row r="1734" spans="1:7" hidden="1" x14ac:dyDescent="0.25">
      <c r="A1734" s="85" t="s">
        <v>4158</v>
      </c>
      <c r="B1734" s="81" t="s">
        <v>4045</v>
      </c>
      <c r="C1734" s="26" t="s">
        <v>37</v>
      </c>
      <c r="D1734" s="14"/>
      <c r="E1734" s="15"/>
      <c r="F1734" s="16">
        <f t="shared" si="97"/>
        <v>0</v>
      </c>
      <c r="G1734">
        <f t="shared" si="98"/>
        <v>0</v>
      </c>
    </row>
    <row r="1735" spans="1:7" hidden="1" x14ac:dyDescent="0.25">
      <c r="A1735" s="85" t="s">
        <v>551</v>
      </c>
      <c r="B1735" s="79" t="s">
        <v>4159</v>
      </c>
      <c r="C1735" s="26"/>
      <c r="D1735" s="14"/>
      <c r="E1735" s="15"/>
      <c r="F1735" s="16"/>
      <c r="G1735">
        <f t="shared" si="98"/>
        <v>0</v>
      </c>
    </row>
    <row r="1736" spans="1:7" hidden="1" x14ac:dyDescent="0.25">
      <c r="A1736" s="85" t="s">
        <v>553</v>
      </c>
      <c r="B1736" s="81" t="s">
        <v>4160</v>
      </c>
      <c r="C1736" s="26" t="s">
        <v>37</v>
      </c>
      <c r="D1736" s="14"/>
      <c r="E1736" s="15"/>
      <c r="F1736" s="16">
        <f t="shared" si="97"/>
        <v>0</v>
      </c>
      <c r="G1736">
        <f t="shared" si="98"/>
        <v>0</v>
      </c>
    </row>
    <row r="1737" spans="1:7" hidden="1" x14ac:dyDescent="0.25">
      <c r="A1737" s="85" t="s">
        <v>554</v>
      </c>
      <c r="B1737" s="81" t="s">
        <v>4161</v>
      </c>
      <c r="C1737" s="26" t="s">
        <v>37</v>
      </c>
      <c r="D1737" s="14"/>
      <c r="E1737" s="15"/>
      <c r="F1737" s="16">
        <f t="shared" si="97"/>
        <v>0</v>
      </c>
      <c r="G1737">
        <f t="shared" si="98"/>
        <v>0</v>
      </c>
    </row>
    <row r="1738" spans="1:7" hidden="1" x14ac:dyDescent="0.25">
      <c r="A1738" s="85" t="s">
        <v>555</v>
      </c>
      <c r="B1738" s="81" t="s">
        <v>4162</v>
      </c>
      <c r="C1738" s="26" t="s">
        <v>37</v>
      </c>
      <c r="D1738" s="14"/>
      <c r="E1738" s="15"/>
      <c r="F1738" s="16">
        <f t="shared" si="97"/>
        <v>0</v>
      </c>
      <c r="G1738">
        <f t="shared" si="98"/>
        <v>0</v>
      </c>
    </row>
    <row r="1739" spans="1:7" hidden="1" x14ac:dyDescent="0.25">
      <c r="A1739" s="85" t="s">
        <v>556</v>
      </c>
      <c r="B1739" s="81" t="s">
        <v>4163</v>
      </c>
      <c r="C1739" s="26" t="s">
        <v>37</v>
      </c>
      <c r="D1739" s="14"/>
      <c r="E1739" s="15"/>
      <c r="F1739" s="16">
        <f t="shared" si="97"/>
        <v>0</v>
      </c>
      <c r="G1739">
        <f t="shared" si="98"/>
        <v>0</v>
      </c>
    </row>
    <row r="1740" spans="1:7" hidden="1" x14ac:dyDescent="0.25">
      <c r="A1740" s="85" t="s">
        <v>557</v>
      </c>
      <c r="B1740" s="81" t="s">
        <v>4164</v>
      </c>
      <c r="C1740" s="26" t="s">
        <v>37</v>
      </c>
      <c r="D1740" s="14"/>
      <c r="E1740" s="15"/>
      <c r="F1740" s="16">
        <f t="shared" ref="F1740:F1803" si="99">+D1740*E1740</f>
        <v>0</v>
      </c>
      <c r="G1740">
        <f t="shared" si="98"/>
        <v>0</v>
      </c>
    </row>
    <row r="1741" spans="1:7" hidden="1" x14ac:dyDescent="0.25">
      <c r="A1741" s="85" t="s">
        <v>558</v>
      </c>
      <c r="B1741" s="81" t="s">
        <v>4165</v>
      </c>
      <c r="C1741" s="26" t="s">
        <v>37</v>
      </c>
      <c r="D1741" s="14"/>
      <c r="E1741" s="15"/>
      <c r="F1741" s="16">
        <f t="shared" si="99"/>
        <v>0</v>
      </c>
      <c r="G1741">
        <f t="shared" si="98"/>
        <v>0</v>
      </c>
    </row>
    <row r="1742" spans="1:7" hidden="1" x14ac:dyDescent="0.25">
      <c r="A1742" s="85" t="s">
        <v>559</v>
      </c>
      <c r="B1742" s="81" t="s">
        <v>4166</v>
      </c>
      <c r="C1742" s="26" t="s">
        <v>37</v>
      </c>
      <c r="D1742" s="14"/>
      <c r="E1742" s="15"/>
      <c r="F1742" s="16">
        <f t="shared" si="99"/>
        <v>0</v>
      </c>
      <c r="G1742">
        <f t="shared" si="98"/>
        <v>0</v>
      </c>
    </row>
    <row r="1743" spans="1:7" hidden="1" x14ac:dyDescent="0.25">
      <c r="A1743" s="85" t="s">
        <v>4219</v>
      </c>
      <c r="B1743" s="81" t="s">
        <v>4167</v>
      </c>
      <c r="C1743" s="26" t="s">
        <v>37</v>
      </c>
      <c r="D1743" s="14"/>
      <c r="E1743" s="15"/>
      <c r="F1743" s="16">
        <f t="shared" si="99"/>
        <v>0</v>
      </c>
      <c r="G1743">
        <f t="shared" si="98"/>
        <v>0</v>
      </c>
    </row>
    <row r="1744" spans="1:7" hidden="1" x14ac:dyDescent="0.25">
      <c r="A1744" s="85" t="s">
        <v>4220</v>
      </c>
      <c r="B1744" s="81" t="s">
        <v>4168</v>
      </c>
      <c r="C1744" s="26" t="s">
        <v>37</v>
      </c>
      <c r="D1744" s="14"/>
      <c r="E1744" s="15"/>
      <c r="F1744" s="16">
        <f t="shared" si="99"/>
        <v>0</v>
      </c>
      <c r="G1744">
        <f t="shared" si="98"/>
        <v>0</v>
      </c>
    </row>
    <row r="1745" spans="1:7" hidden="1" x14ac:dyDescent="0.25">
      <c r="A1745" s="85" t="s">
        <v>4221</v>
      </c>
      <c r="B1745" s="81" t="s">
        <v>4169</v>
      </c>
      <c r="C1745" s="26" t="s">
        <v>37</v>
      </c>
      <c r="D1745" s="14"/>
      <c r="E1745" s="15"/>
      <c r="F1745" s="16">
        <f t="shared" si="99"/>
        <v>0</v>
      </c>
      <c r="G1745">
        <f t="shared" si="98"/>
        <v>0</v>
      </c>
    </row>
    <row r="1746" spans="1:7" hidden="1" x14ac:dyDescent="0.25">
      <c r="A1746" s="85" t="s">
        <v>4222</v>
      </c>
      <c r="B1746" s="81" t="s">
        <v>4170</v>
      </c>
      <c r="C1746" s="26" t="s">
        <v>37</v>
      </c>
      <c r="D1746" s="14"/>
      <c r="E1746" s="15"/>
      <c r="F1746" s="16">
        <f t="shared" si="99"/>
        <v>0</v>
      </c>
      <c r="G1746">
        <f t="shared" si="98"/>
        <v>0</v>
      </c>
    </row>
    <row r="1747" spans="1:7" hidden="1" x14ac:dyDescent="0.25">
      <c r="A1747" s="85" t="s">
        <v>4223</v>
      </c>
      <c r="B1747" s="81" t="s">
        <v>4171</v>
      </c>
      <c r="C1747" s="26" t="s">
        <v>37</v>
      </c>
      <c r="D1747" s="14"/>
      <c r="E1747" s="15"/>
      <c r="F1747" s="16">
        <f t="shared" si="99"/>
        <v>0</v>
      </c>
      <c r="G1747">
        <f t="shared" si="98"/>
        <v>0</v>
      </c>
    </row>
    <row r="1748" spans="1:7" hidden="1" x14ac:dyDescent="0.25">
      <c r="A1748" s="85" t="s">
        <v>4224</v>
      </c>
      <c r="B1748" s="81" t="s">
        <v>4172</v>
      </c>
      <c r="C1748" s="26" t="s">
        <v>37</v>
      </c>
      <c r="D1748" s="14"/>
      <c r="E1748" s="15"/>
      <c r="F1748" s="16">
        <f t="shared" si="99"/>
        <v>0</v>
      </c>
      <c r="G1748">
        <f t="shared" si="98"/>
        <v>0</v>
      </c>
    </row>
    <row r="1749" spans="1:7" hidden="1" x14ac:dyDescent="0.25">
      <c r="A1749" s="85" t="s">
        <v>4225</v>
      </c>
      <c r="B1749" s="81" t="s">
        <v>4173</v>
      </c>
      <c r="C1749" s="26" t="s">
        <v>37</v>
      </c>
      <c r="D1749" s="14"/>
      <c r="E1749" s="15"/>
      <c r="F1749" s="16">
        <f t="shared" si="99"/>
        <v>0</v>
      </c>
      <c r="G1749">
        <f t="shared" si="98"/>
        <v>0</v>
      </c>
    </row>
    <row r="1750" spans="1:7" hidden="1" x14ac:dyDescent="0.25">
      <c r="A1750" s="85" t="s">
        <v>4226</v>
      </c>
      <c r="B1750" s="81" t="s">
        <v>4174</v>
      </c>
      <c r="C1750" s="26" t="s">
        <v>37</v>
      </c>
      <c r="D1750" s="14"/>
      <c r="E1750" s="15"/>
      <c r="F1750" s="16">
        <f t="shared" si="99"/>
        <v>0</v>
      </c>
      <c r="G1750">
        <f t="shared" si="98"/>
        <v>0</v>
      </c>
    </row>
    <row r="1751" spans="1:7" hidden="1" x14ac:dyDescent="0.25">
      <c r="A1751" s="85" t="s">
        <v>4227</v>
      </c>
      <c r="B1751" s="81" t="s">
        <v>4175</v>
      </c>
      <c r="C1751" s="26" t="s">
        <v>37</v>
      </c>
      <c r="D1751" s="14"/>
      <c r="E1751" s="15"/>
      <c r="F1751" s="16">
        <f t="shared" si="99"/>
        <v>0</v>
      </c>
      <c r="G1751">
        <f t="shared" si="98"/>
        <v>0</v>
      </c>
    </row>
    <row r="1752" spans="1:7" hidden="1" x14ac:dyDescent="0.25">
      <c r="A1752" s="85" t="s">
        <v>4228</v>
      </c>
      <c r="B1752" s="81" t="s">
        <v>4176</v>
      </c>
      <c r="C1752" s="26" t="s">
        <v>37</v>
      </c>
      <c r="D1752" s="14"/>
      <c r="E1752" s="15"/>
      <c r="F1752" s="16">
        <f t="shared" si="99"/>
        <v>0</v>
      </c>
      <c r="G1752">
        <f t="shared" si="98"/>
        <v>0</v>
      </c>
    </row>
    <row r="1753" spans="1:7" hidden="1" x14ac:dyDescent="0.25">
      <c r="A1753" s="85" t="s">
        <v>4229</v>
      </c>
      <c r="B1753" s="81" t="s">
        <v>4177</v>
      </c>
      <c r="C1753" s="26" t="s">
        <v>37</v>
      </c>
      <c r="D1753" s="14"/>
      <c r="E1753" s="15"/>
      <c r="F1753" s="16">
        <f t="shared" si="99"/>
        <v>0</v>
      </c>
      <c r="G1753">
        <f t="shared" si="98"/>
        <v>0</v>
      </c>
    </row>
    <row r="1754" spans="1:7" hidden="1" x14ac:dyDescent="0.25">
      <c r="A1754" s="85" t="s">
        <v>4230</v>
      </c>
      <c r="B1754" s="81" t="s">
        <v>4178</v>
      </c>
      <c r="C1754" s="26" t="s">
        <v>37</v>
      </c>
      <c r="D1754" s="14"/>
      <c r="E1754" s="15"/>
      <c r="F1754" s="16">
        <f t="shared" si="99"/>
        <v>0</v>
      </c>
      <c r="G1754">
        <f t="shared" si="98"/>
        <v>0</v>
      </c>
    </row>
    <row r="1755" spans="1:7" hidden="1" x14ac:dyDescent="0.25">
      <c r="A1755" s="85" t="s">
        <v>4231</v>
      </c>
      <c r="B1755" s="81" t="s">
        <v>4179</v>
      </c>
      <c r="C1755" s="26" t="s">
        <v>37</v>
      </c>
      <c r="D1755" s="14"/>
      <c r="E1755" s="15"/>
      <c r="F1755" s="16">
        <f t="shared" si="99"/>
        <v>0</v>
      </c>
      <c r="G1755">
        <f t="shared" si="98"/>
        <v>0</v>
      </c>
    </row>
    <row r="1756" spans="1:7" hidden="1" x14ac:dyDescent="0.25">
      <c r="A1756" s="85" t="s">
        <v>4232</v>
      </c>
      <c r="B1756" s="81" t="s">
        <v>4180</v>
      </c>
      <c r="C1756" s="26" t="s">
        <v>37</v>
      </c>
      <c r="D1756" s="14"/>
      <c r="E1756" s="15"/>
      <c r="F1756" s="16">
        <f t="shared" si="99"/>
        <v>0</v>
      </c>
      <c r="G1756">
        <f t="shared" si="98"/>
        <v>0</v>
      </c>
    </row>
    <row r="1757" spans="1:7" hidden="1" x14ac:dyDescent="0.25">
      <c r="A1757" s="85" t="s">
        <v>4233</v>
      </c>
      <c r="B1757" s="81" t="s">
        <v>4181</v>
      </c>
      <c r="C1757" s="26" t="s">
        <v>37</v>
      </c>
      <c r="D1757" s="14"/>
      <c r="E1757" s="15"/>
      <c r="F1757" s="16">
        <f t="shared" si="99"/>
        <v>0</v>
      </c>
      <c r="G1757">
        <f t="shared" si="98"/>
        <v>0</v>
      </c>
    </row>
    <row r="1758" spans="1:7" hidden="1" x14ac:dyDescent="0.25">
      <c r="A1758" s="85" t="s">
        <v>4234</v>
      </c>
      <c r="B1758" s="81" t="s">
        <v>4182</v>
      </c>
      <c r="C1758" s="26" t="s">
        <v>37</v>
      </c>
      <c r="D1758" s="14"/>
      <c r="E1758" s="15"/>
      <c r="F1758" s="16">
        <f t="shared" si="99"/>
        <v>0</v>
      </c>
      <c r="G1758">
        <f t="shared" si="98"/>
        <v>0</v>
      </c>
    </row>
    <row r="1759" spans="1:7" hidden="1" x14ac:dyDescent="0.25">
      <c r="A1759" s="85" t="s">
        <v>4235</v>
      </c>
      <c r="B1759" s="81" t="s">
        <v>4183</v>
      </c>
      <c r="C1759" s="26" t="s">
        <v>37</v>
      </c>
      <c r="D1759" s="14"/>
      <c r="E1759" s="15"/>
      <c r="F1759" s="16">
        <f t="shared" si="99"/>
        <v>0</v>
      </c>
      <c r="G1759">
        <f t="shared" si="98"/>
        <v>0</v>
      </c>
    </row>
    <row r="1760" spans="1:7" hidden="1" x14ac:dyDescent="0.25">
      <c r="A1760" s="85" t="s">
        <v>4236</v>
      </c>
      <c r="B1760" s="81" t="s">
        <v>4184</v>
      </c>
      <c r="C1760" s="26" t="s">
        <v>37</v>
      </c>
      <c r="D1760" s="14"/>
      <c r="E1760" s="15"/>
      <c r="F1760" s="16">
        <f t="shared" si="99"/>
        <v>0</v>
      </c>
      <c r="G1760">
        <f t="shared" si="98"/>
        <v>0</v>
      </c>
    </row>
    <row r="1761" spans="1:7" hidden="1" x14ac:dyDescent="0.25">
      <c r="A1761" s="85" t="s">
        <v>4237</v>
      </c>
      <c r="B1761" s="81" t="s">
        <v>4185</v>
      </c>
      <c r="C1761" s="26" t="s">
        <v>37</v>
      </c>
      <c r="D1761" s="14"/>
      <c r="E1761" s="15"/>
      <c r="F1761" s="16">
        <f t="shared" si="99"/>
        <v>0</v>
      </c>
      <c r="G1761">
        <f t="shared" si="98"/>
        <v>0</v>
      </c>
    </row>
    <row r="1762" spans="1:7" hidden="1" x14ac:dyDescent="0.25">
      <c r="A1762" s="85" t="s">
        <v>4238</v>
      </c>
      <c r="B1762" s="81" t="s">
        <v>4186</v>
      </c>
      <c r="C1762" s="26" t="s">
        <v>37</v>
      </c>
      <c r="D1762" s="14"/>
      <c r="E1762" s="15"/>
      <c r="F1762" s="16">
        <f t="shared" si="99"/>
        <v>0</v>
      </c>
      <c r="G1762">
        <f t="shared" si="98"/>
        <v>0</v>
      </c>
    </row>
    <row r="1763" spans="1:7" hidden="1" x14ac:dyDescent="0.25">
      <c r="A1763" s="85" t="s">
        <v>4239</v>
      </c>
      <c r="B1763" s="81" t="s">
        <v>4187</v>
      </c>
      <c r="C1763" s="26" t="s">
        <v>37</v>
      </c>
      <c r="D1763" s="14"/>
      <c r="E1763" s="15"/>
      <c r="F1763" s="16">
        <f t="shared" si="99"/>
        <v>0</v>
      </c>
      <c r="G1763">
        <f t="shared" si="98"/>
        <v>0</v>
      </c>
    </row>
    <row r="1764" spans="1:7" hidden="1" x14ac:dyDescent="0.25">
      <c r="A1764" s="85" t="s">
        <v>4240</v>
      </c>
      <c r="B1764" s="81" t="s">
        <v>4188</v>
      </c>
      <c r="C1764" s="26" t="s">
        <v>37</v>
      </c>
      <c r="D1764" s="14"/>
      <c r="E1764" s="15"/>
      <c r="F1764" s="16">
        <f t="shared" si="99"/>
        <v>0</v>
      </c>
      <c r="G1764">
        <f t="shared" ref="G1764:G1827" si="100">+IF(F1764&lt;&gt;0,1,0)</f>
        <v>0</v>
      </c>
    </row>
    <row r="1765" spans="1:7" hidden="1" x14ac:dyDescent="0.25">
      <c r="A1765" s="85" t="s">
        <v>4241</v>
      </c>
      <c r="B1765" s="81" t="s">
        <v>4189</v>
      </c>
      <c r="C1765" s="26" t="s">
        <v>37</v>
      </c>
      <c r="D1765" s="14"/>
      <c r="E1765" s="15"/>
      <c r="F1765" s="16">
        <f t="shared" si="99"/>
        <v>0</v>
      </c>
      <c r="G1765">
        <f t="shared" si="100"/>
        <v>0</v>
      </c>
    </row>
    <row r="1766" spans="1:7" hidden="1" x14ac:dyDescent="0.25">
      <c r="A1766" s="85" t="s">
        <v>4242</v>
      </c>
      <c r="B1766" s="81" t="s">
        <v>4190</v>
      </c>
      <c r="C1766" s="26" t="s">
        <v>37</v>
      </c>
      <c r="D1766" s="14"/>
      <c r="E1766" s="15"/>
      <c r="F1766" s="16">
        <f t="shared" si="99"/>
        <v>0</v>
      </c>
      <c r="G1766">
        <f t="shared" si="100"/>
        <v>0</v>
      </c>
    </row>
    <row r="1767" spans="1:7" hidden="1" x14ac:dyDescent="0.25">
      <c r="A1767" s="85" t="s">
        <v>4243</v>
      </c>
      <c r="B1767" s="81" t="s">
        <v>4191</v>
      </c>
      <c r="C1767" s="26" t="s">
        <v>37</v>
      </c>
      <c r="D1767" s="14"/>
      <c r="E1767" s="15"/>
      <c r="F1767" s="16">
        <f t="shared" si="99"/>
        <v>0</v>
      </c>
      <c r="G1767">
        <f t="shared" si="100"/>
        <v>0</v>
      </c>
    </row>
    <row r="1768" spans="1:7" hidden="1" x14ac:dyDescent="0.25">
      <c r="A1768" s="85" t="s">
        <v>4244</v>
      </c>
      <c r="B1768" s="81" t="s">
        <v>4192</v>
      </c>
      <c r="C1768" s="26" t="s">
        <v>37</v>
      </c>
      <c r="D1768" s="14"/>
      <c r="E1768" s="15"/>
      <c r="F1768" s="16">
        <f t="shared" si="99"/>
        <v>0</v>
      </c>
      <c r="G1768">
        <f t="shared" si="100"/>
        <v>0</v>
      </c>
    </row>
    <row r="1769" spans="1:7" hidden="1" x14ac:dyDescent="0.25">
      <c r="A1769" s="85" t="s">
        <v>4245</v>
      </c>
      <c r="B1769" s="81" t="s">
        <v>4193</v>
      </c>
      <c r="C1769" s="26" t="s">
        <v>37</v>
      </c>
      <c r="D1769" s="14"/>
      <c r="E1769" s="15"/>
      <c r="F1769" s="16">
        <f t="shared" si="99"/>
        <v>0</v>
      </c>
      <c r="G1769">
        <f t="shared" si="100"/>
        <v>0</v>
      </c>
    </row>
    <row r="1770" spans="1:7" hidden="1" x14ac:dyDescent="0.25">
      <c r="A1770" s="85" t="s">
        <v>4246</v>
      </c>
      <c r="B1770" s="81" t="s">
        <v>4194</v>
      </c>
      <c r="C1770" s="26" t="s">
        <v>37</v>
      </c>
      <c r="D1770" s="14"/>
      <c r="E1770" s="15"/>
      <c r="F1770" s="16">
        <f t="shared" si="99"/>
        <v>0</v>
      </c>
      <c r="G1770">
        <f t="shared" si="100"/>
        <v>0</v>
      </c>
    </row>
    <row r="1771" spans="1:7" hidden="1" x14ac:dyDescent="0.25">
      <c r="A1771" s="85" t="s">
        <v>4247</v>
      </c>
      <c r="B1771" s="81" t="s">
        <v>4195</v>
      </c>
      <c r="C1771" s="26" t="s">
        <v>37</v>
      </c>
      <c r="D1771" s="14"/>
      <c r="E1771" s="15"/>
      <c r="F1771" s="16">
        <f t="shared" si="99"/>
        <v>0</v>
      </c>
      <c r="G1771">
        <f t="shared" si="100"/>
        <v>0</v>
      </c>
    </row>
    <row r="1772" spans="1:7" hidden="1" x14ac:dyDescent="0.25">
      <c r="A1772" s="85" t="s">
        <v>4248</v>
      </c>
      <c r="B1772" s="81" t="s">
        <v>4196</v>
      </c>
      <c r="C1772" s="26" t="s">
        <v>37</v>
      </c>
      <c r="D1772" s="14"/>
      <c r="E1772" s="15"/>
      <c r="F1772" s="16">
        <f t="shared" si="99"/>
        <v>0</v>
      </c>
      <c r="G1772">
        <f t="shared" si="100"/>
        <v>0</v>
      </c>
    </row>
    <row r="1773" spans="1:7" hidden="1" x14ac:dyDescent="0.25">
      <c r="A1773" s="85" t="s">
        <v>4249</v>
      </c>
      <c r="B1773" s="81" t="s">
        <v>4197</v>
      </c>
      <c r="C1773" s="26" t="s">
        <v>37</v>
      </c>
      <c r="D1773" s="14"/>
      <c r="E1773" s="15"/>
      <c r="F1773" s="16">
        <f t="shared" si="99"/>
        <v>0</v>
      </c>
      <c r="G1773">
        <f t="shared" si="100"/>
        <v>0</v>
      </c>
    </row>
    <row r="1774" spans="1:7" hidden="1" x14ac:dyDescent="0.25">
      <c r="A1774" s="85" t="s">
        <v>4250</v>
      </c>
      <c r="B1774" s="81" t="s">
        <v>4198</v>
      </c>
      <c r="C1774" s="26" t="s">
        <v>37</v>
      </c>
      <c r="D1774" s="14"/>
      <c r="E1774" s="15"/>
      <c r="F1774" s="16">
        <f t="shared" si="99"/>
        <v>0</v>
      </c>
      <c r="G1774">
        <f t="shared" si="100"/>
        <v>0</v>
      </c>
    </row>
    <row r="1775" spans="1:7" hidden="1" x14ac:dyDescent="0.25">
      <c r="A1775" s="85" t="s">
        <v>4251</v>
      </c>
      <c r="B1775" s="81" t="s">
        <v>4199</v>
      </c>
      <c r="C1775" s="26" t="s">
        <v>37</v>
      </c>
      <c r="D1775" s="14"/>
      <c r="E1775" s="15"/>
      <c r="F1775" s="16">
        <f t="shared" si="99"/>
        <v>0</v>
      </c>
      <c r="G1775">
        <f t="shared" si="100"/>
        <v>0</v>
      </c>
    </row>
    <row r="1776" spans="1:7" hidden="1" x14ac:dyDescent="0.25">
      <c r="A1776" s="85" t="s">
        <v>4252</v>
      </c>
      <c r="B1776" s="81" t="s">
        <v>4200</v>
      </c>
      <c r="C1776" s="26" t="s">
        <v>37</v>
      </c>
      <c r="D1776" s="14"/>
      <c r="E1776" s="15"/>
      <c r="F1776" s="16">
        <f t="shared" si="99"/>
        <v>0</v>
      </c>
      <c r="G1776">
        <f t="shared" si="100"/>
        <v>0</v>
      </c>
    </row>
    <row r="1777" spans="1:7" hidden="1" x14ac:dyDescent="0.25">
      <c r="A1777" s="85" t="s">
        <v>4253</v>
      </c>
      <c r="B1777" s="81" t="s">
        <v>4201</v>
      </c>
      <c r="C1777" s="26" t="s">
        <v>37</v>
      </c>
      <c r="D1777" s="14"/>
      <c r="E1777" s="15"/>
      <c r="F1777" s="16">
        <f t="shared" si="99"/>
        <v>0</v>
      </c>
      <c r="G1777">
        <f t="shared" si="100"/>
        <v>0</v>
      </c>
    </row>
    <row r="1778" spans="1:7" hidden="1" x14ac:dyDescent="0.25">
      <c r="A1778" s="85" t="s">
        <v>4254</v>
      </c>
      <c r="B1778" s="81" t="s">
        <v>4202</v>
      </c>
      <c r="C1778" s="26" t="s">
        <v>37</v>
      </c>
      <c r="D1778" s="14"/>
      <c r="E1778" s="15"/>
      <c r="F1778" s="16">
        <f t="shared" si="99"/>
        <v>0</v>
      </c>
      <c r="G1778">
        <f t="shared" si="100"/>
        <v>0</v>
      </c>
    </row>
    <row r="1779" spans="1:7" hidden="1" x14ac:dyDescent="0.25">
      <c r="A1779" s="85" t="s">
        <v>4255</v>
      </c>
      <c r="B1779" s="81" t="s">
        <v>4203</v>
      </c>
      <c r="C1779" s="26" t="s">
        <v>37</v>
      </c>
      <c r="D1779" s="14"/>
      <c r="E1779" s="15"/>
      <c r="F1779" s="16">
        <f t="shared" si="99"/>
        <v>0</v>
      </c>
      <c r="G1779">
        <f t="shared" si="100"/>
        <v>0</v>
      </c>
    </row>
    <row r="1780" spans="1:7" hidden="1" x14ac:dyDescent="0.25">
      <c r="A1780" s="85" t="s">
        <v>4256</v>
      </c>
      <c r="B1780" s="81" t="s">
        <v>4204</v>
      </c>
      <c r="C1780" s="26" t="s">
        <v>37</v>
      </c>
      <c r="D1780" s="14"/>
      <c r="E1780" s="15"/>
      <c r="F1780" s="16">
        <f t="shared" si="99"/>
        <v>0</v>
      </c>
      <c r="G1780">
        <f t="shared" si="100"/>
        <v>0</v>
      </c>
    </row>
    <row r="1781" spans="1:7" hidden="1" x14ac:dyDescent="0.25">
      <c r="A1781" s="85" t="s">
        <v>4257</v>
      </c>
      <c r="B1781" s="81" t="s">
        <v>4205</v>
      </c>
      <c r="C1781" s="26" t="s">
        <v>37</v>
      </c>
      <c r="D1781" s="14"/>
      <c r="E1781" s="15"/>
      <c r="F1781" s="16">
        <f t="shared" si="99"/>
        <v>0</v>
      </c>
      <c r="G1781">
        <f t="shared" si="100"/>
        <v>0</v>
      </c>
    </row>
    <row r="1782" spans="1:7" hidden="1" x14ac:dyDescent="0.25">
      <c r="A1782" s="85" t="s">
        <v>4258</v>
      </c>
      <c r="B1782" s="81" t="s">
        <v>4206</v>
      </c>
      <c r="C1782" s="26" t="s">
        <v>37</v>
      </c>
      <c r="D1782" s="14"/>
      <c r="E1782" s="15"/>
      <c r="F1782" s="16">
        <f t="shared" si="99"/>
        <v>0</v>
      </c>
      <c r="G1782">
        <f t="shared" si="100"/>
        <v>0</v>
      </c>
    </row>
    <row r="1783" spans="1:7" hidden="1" x14ac:dyDescent="0.25">
      <c r="A1783" s="85" t="s">
        <v>4259</v>
      </c>
      <c r="B1783" s="81" t="s">
        <v>4207</v>
      </c>
      <c r="C1783" s="26" t="s">
        <v>37</v>
      </c>
      <c r="D1783" s="14"/>
      <c r="E1783" s="15"/>
      <c r="F1783" s="16">
        <f t="shared" si="99"/>
        <v>0</v>
      </c>
      <c r="G1783">
        <f t="shared" si="100"/>
        <v>0</v>
      </c>
    </row>
    <row r="1784" spans="1:7" hidden="1" x14ac:dyDescent="0.25">
      <c r="A1784" s="85" t="s">
        <v>4260</v>
      </c>
      <c r="B1784" s="81" t="s">
        <v>4208</v>
      </c>
      <c r="C1784" s="26" t="s">
        <v>37</v>
      </c>
      <c r="D1784" s="14"/>
      <c r="E1784" s="15"/>
      <c r="F1784" s="16">
        <f t="shared" si="99"/>
        <v>0</v>
      </c>
      <c r="G1784">
        <f t="shared" si="100"/>
        <v>0</v>
      </c>
    </row>
    <row r="1785" spans="1:7" hidden="1" x14ac:dyDescent="0.25">
      <c r="A1785" s="85" t="s">
        <v>4261</v>
      </c>
      <c r="B1785" s="81" t="s">
        <v>4209</v>
      </c>
      <c r="C1785" s="26" t="s">
        <v>37</v>
      </c>
      <c r="D1785" s="14"/>
      <c r="E1785" s="15"/>
      <c r="F1785" s="16">
        <f t="shared" si="99"/>
        <v>0</v>
      </c>
      <c r="G1785">
        <f t="shared" si="100"/>
        <v>0</v>
      </c>
    </row>
    <row r="1786" spans="1:7" hidden="1" x14ac:dyDescent="0.25">
      <c r="A1786" s="85" t="s">
        <v>4262</v>
      </c>
      <c r="B1786" s="81" t="s">
        <v>4210</v>
      </c>
      <c r="C1786" s="26" t="s">
        <v>37</v>
      </c>
      <c r="D1786" s="14"/>
      <c r="E1786" s="15"/>
      <c r="F1786" s="16">
        <f t="shared" si="99"/>
        <v>0</v>
      </c>
      <c r="G1786">
        <f t="shared" si="100"/>
        <v>0</v>
      </c>
    </row>
    <row r="1787" spans="1:7" hidden="1" x14ac:dyDescent="0.25">
      <c r="A1787" s="85" t="s">
        <v>4263</v>
      </c>
      <c r="B1787" s="81" t="s">
        <v>4211</v>
      </c>
      <c r="C1787" s="26" t="s">
        <v>37</v>
      </c>
      <c r="D1787" s="14"/>
      <c r="E1787" s="15"/>
      <c r="F1787" s="16">
        <f t="shared" si="99"/>
        <v>0</v>
      </c>
      <c r="G1787">
        <f t="shared" si="100"/>
        <v>0</v>
      </c>
    </row>
    <row r="1788" spans="1:7" hidden="1" x14ac:dyDescent="0.25">
      <c r="A1788" s="85" t="s">
        <v>4264</v>
      </c>
      <c r="B1788" s="81" t="s">
        <v>4212</v>
      </c>
      <c r="C1788" s="26" t="s">
        <v>37</v>
      </c>
      <c r="D1788" s="14"/>
      <c r="E1788" s="15"/>
      <c r="F1788" s="16">
        <f t="shared" si="99"/>
        <v>0</v>
      </c>
      <c r="G1788">
        <f t="shared" si="100"/>
        <v>0</v>
      </c>
    </row>
    <row r="1789" spans="1:7" hidden="1" x14ac:dyDescent="0.25">
      <c r="A1789" s="85" t="s">
        <v>4265</v>
      </c>
      <c r="B1789" s="81" t="s">
        <v>4213</v>
      </c>
      <c r="C1789" s="26" t="s">
        <v>37</v>
      </c>
      <c r="D1789" s="14"/>
      <c r="E1789" s="15"/>
      <c r="F1789" s="16">
        <f t="shared" si="99"/>
        <v>0</v>
      </c>
      <c r="G1789">
        <f t="shared" si="100"/>
        <v>0</v>
      </c>
    </row>
    <row r="1790" spans="1:7" hidden="1" x14ac:dyDescent="0.25">
      <c r="A1790" s="85" t="s">
        <v>4266</v>
      </c>
      <c r="B1790" s="81" t="s">
        <v>4214</v>
      </c>
      <c r="C1790" s="26" t="s">
        <v>37</v>
      </c>
      <c r="D1790" s="14"/>
      <c r="E1790" s="15"/>
      <c r="F1790" s="16">
        <f t="shared" si="99"/>
        <v>0</v>
      </c>
      <c r="G1790">
        <f t="shared" si="100"/>
        <v>0</v>
      </c>
    </row>
    <row r="1791" spans="1:7" hidden="1" x14ac:dyDescent="0.25">
      <c r="A1791" s="85" t="s">
        <v>4267</v>
      </c>
      <c r="B1791" s="81" t="s">
        <v>4215</v>
      </c>
      <c r="C1791" s="26" t="s">
        <v>37</v>
      </c>
      <c r="D1791" s="14"/>
      <c r="E1791" s="15"/>
      <c r="F1791" s="16">
        <f t="shared" si="99"/>
        <v>0</v>
      </c>
      <c r="G1791">
        <f t="shared" si="100"/>
        <v>0</v>
      </c>
    </row>
    <row r="1792" spans="1:7" hidden="1" x14ac:dyDescent="0.25">
      <c r="A1792" s="85" t="s">
        <v>4268</v>
      </c>
      <c r="B1792" s="81" t="s">
        <v>4216</v>
      </c>
      <c r="C1792" s="26" t="s">
        <v>37</v>
      </c>
      <c r="D1792" s="14"/>
      <c r="E1792" s="15"/>
      <c r="F1792" s="16">
        <f t="shared" si="99"/>
        <v>0</v>
      </c>
      <c r="G1792">
        <f t="shared" si="100"/>
        <v>0</v>
      </c>
    </row>
    <row r="1793" spans="1:7" hidden="1" x14ac:dyDescent="0.25">
      <c r="A1793" s="85" t="s">
        <v>4269</v>
      </c>
      <c r="B1793" s="81" t="s">
        <v>4217</v>
      </c>
      <c r="C1793" s="26" t="s">
        <v>37</v>
      </c>
      <c r="D1793" s="14"/>
      <c r="E1793" s="15"/>
      <c r="F1793" s="16">
        <f t="shared" si="99"/>
        <v>0</v>
      </c>
      <c r="G1793">
        <f t="shared" si="100"/>
        <v>0</v>
      </c>
    </row>
    <row r="1794" spans="1:7" hidden="1" x14ac:dyDescent="0.25">
      <c r="A1794" s="85" t="s">
        <v>4270</v>
      </c>
      <c r="B1794" s="81" t="s">
        <v>4218</v>
      </c>
      <c r="C1794" s="26" t="s">
        <v>37</v>
      </c>
      <c r="D1794" s="14"/>
      <c r="E1794" s="15"/>
      <c r="F1794" s="16">
        <f t="shared" si="99"/>
        <v>0</v>
      </c>
      <c r="G1794">
        <f t="shared" si="100"/>
        <v>0</v>
      </c>
    </row>
    <row r="1795" spans="1:7" hidden="1" x14ac:dyDescent="0.25">
      <c r="A1795" s="78" t="s">
        <v>996</v>
      </c>
      <c r="B1795" s="79" t="s">
        <v>4271</v>
      </c>
      <c r="C1795" s="26"/>
      <c r="D1795" s="14"/>
      <c r="E1795" s="15"/>
      <c r="F1795" s="16"/>
      <c r="G1795">
        <f t="shared" si="100"/>
        <v>0</v>
      </c>
    </row>
    <row r="1796" spans="1:7" hidden="1" x14ac:dyDescent="0.25">
      <c r="A1796" s="85" t="s">
        <v>4331</v>
      </c>
      <c r="B1796" s="81" t="s">
        <v>4272</v>
      </c>
      <c r="C1796" s="26" t="s">
        <v>37</v>
      </c>
      <c r="D1796" s="14"/>
      <c r="E1796" s="15"/>
      <c r="F1796" s="16">
        <f t="shared" si="99"/>
        <v>0</v>
      </c>
      <c r="G1796">
        <f t="shared" si="100"/>
        <v>0</v>
      </c>
    </row>
    <row r="1797" spans="1:7" hidden="1" x14ac:dyDescent="0.25">
      <c r="A1797" s="85" t="s">
        <v>4332</v>
      </c>
      <c r="B1797" s="81" t="s">
        <v>4273</v>
      </c>
      <c r="C1797" s="26" t="s">
        <v>37</v>
      </c>
      <c r="D1797" s="14"/>
      <c r="E1797" s="15"/>
      <c r="F1797" s="16">
        <f t="shared" si="99"/>
        <v>0</v>
      </c>
      <c r="G1797">
        <f t="shared" si="100"/>
        <v>0</v>
      </c>
    </row>
    <row r="1798" spans="1:7" hidden="1" x14ac:dyDescent="0.25">
      <c r="A1798" s="85" t="s">
        <v>4333</v>
      </c>
      <c r="B1798" s="81" t="s">
        <v>4274</v>
      </c>
      <c r="C1798" s="26" t="s">
        <v>37</v>
      </c>
      <c r="D1798" s="14"/>
      <c r="E1798" s="15"/>
      <c r="F1798" s="16">
        <f t="shared" si="99"/>
        <v>0</v>
      </c>
      <c r="G1798">
        <f t="shared" si="100"/>
        <v>0</v>
      </c>
    </row>
    <row r="1799" spans="1:7" hidden="1" x14ac:dyDescent="0.25">
      <c r="A1799" s="85" t="s">
        <v>4334</v>
      </c>
      <c r="B1799" s="81" t="s">
        <v>4275</v>
      </c>
      <c r="C1799" s="26" t="s">
        <v>37</v>
      </c>
      <c r="D1799" s="14"/>
      <c r="E1799" s="15"/>
      <c r="F1799" s="16">
        <f t="shared" si="99"/>
        <v>0</v>
      </c>
      <c r="G1799">
        <f t="shared" si="100"/>
        <v>0</v>
      </c>
    </row>
    <row r="1800" spans="1:7" hidden="1" x14ac:dyDescent="0.25">
      <c r="A1800" s="85" t="s">
        <v>4335</v>
      </c>
      <c r="B1800" s="81" t="s">
        <v>4276</v>
      </c>
      <c r="C1800" s="26" t="s">
        <v>37</v>
      </c>
      <c r="D1800" s="14"/>
      <c r="E1800" s="15"/>
      <c r="F1800" s="16">
        <f t="shared" si="99"/>
        <v>0</v>
      </c>
      <c r="G1800">
        <f t="shared" si="100"/>
        <v>0</v>
      </c>
    </row>
    <row r="1801" spans="1:7" hidden="1" x14ac:dyDescent="0.25">
      <c r="A1801" s="85" t="s">
        <v>4336</v>
      </c>
      <c r="B1801" s="81" t="s">
        <v>4277</v>
      </c>
      <c r="C1801" s="26" t="s">
        <v>37</v>
      </c>
      <c r="D1801" s="14"/>
      <c r="E1801" s="15"/>
      <c r="F1801" s="16">
        <f t="shared" si="99"/>
        <v>0</v>
      </c>
      <c r="G1801">
        <f t="shared" si="100"/>
        <v>0</v>
      </c>
    </row>
    <row r="1802" spans="1:7" hidden="1" x14ac:dyDescent="0.25">
      <c r="A1802" s="85" t="s">
        <v>4337</v>
      </c>
      <c r="B1802" s="81" t="s">
        <v>4278</v>
      </c>
      <c r="C1802" s="26" t="s">
        <v>37</v>
      </c>
      <c r="D1802" s="14"/>
      <c r="E1802" s="15"/>
      <c r="F1802" s="16">
        <f t="shared" si="99"/>
        <v>0</v>
      </c>
      <c r="G1802">
        <f t="shared" si="100"/>
        <v>0</v>
      </c>
    </row>
    <row r="1803" spans="1:7" hidden="1" x14ac:dyDescent="0.25">
      <c r="A1803" s="85" t="s">
        <v>4338</v>
      </c>
      <c r="B1803" s="81" t="s">
        <v>4279</v>
      </c>
      <c r="C1803" s="26" t="s">
        <v>37</v>
      </c>
      <c r="D1803" s="14"/>
      <c r="E1803" s="15"/>
      <c r="F1803" s="16">
        <f t="shared" si="99"/>
        <v>0</v>
      </c>
      <c r="G1803">
        <f t="shared" si="100"/>
        <v>0</v>
      </c>
    </row>
    <row r="1804" spans="1:7" hidden="1" x14ac:dyDescent="0.25">
      <c r="A1804" s="85" t="s">
        <v>4339</v>
      </c>
      <c r="B1804" s="81" t="s">
        <v>4280</v>
      </c>
      <c r="C1804" s="26" t="s">
        <v>37</v>
      </c>
      <c r="D1804" s="14"/>
      <c r="E1804" s="15"/>
      <c r="F1804" s="16">
        <f t="shared" ref="F1804:F1854" si="101">+D1804*E1804</f>
        <v>0</v>
      </c>
      <c r="G1804">
        <f t="shared" si="100"/>
        <v>0</v>
      </c>
    </row>
    <row r="1805" spans="1:7" hidden="1" x14ac:dyDescent="0.25">
      <c r="A1805" s="85" t="s">
        <v>4340</v>
      </c>
      <c r="B1805" s="81" t="s">
        <v>4281</v>
      </c>
      <c r="C1805" s="26" t="s">
        <v>37</v>
      </c>
      <c r="D1805" s="14"/>
      <c r="E1805" s="15"/>
      <c r="F1805" s="16">
        <f t="shared" si="101"/>
        <v>0</v>
      </c>
      <c r="G1805">
        <f t="shared" si="100"/>
        <v>0</v>
      </c>
    </row>
    <row r="1806" spans="1:7" hidden="1" x14ac:dyDescent="0.25">
      <c r="A1806" s="85" t="s">
        <v>4341</v>
      </c>
      <c r="B1806" s="81" t="s">
        <v>4282</v>
      </c>
      <c r="C1806" s="26" t="s">
        <v>37</v>
      </c>
      <c r="D1806" s="14"/>
      <c r="E1806" s="15"/>
      <c r="F1806" s="16">
        <f t="shared" si="101"/>
        <v>0</v>
      </c>
      <c r="G1806">
        <f t="shared" si="100"/>
        <v>0</v>
      </c>
    </row>
    <row r="1807" spans="1:7" hidden="1" x14ac:dyDescent="0.25">
      <c r="A1807" s="85" t="s">
        <v>4342</v>
      </c>
      <c r="B1807" s="81" t="s">
        <v>4283</v>
      </c>
      <c r="C1807" s="26" t="s">
        <v>37</v>
      </c>
      <c r="D1807" s="14"/>
      <c r="E1807" s="15"/>
      <c r="F1807" s="16">
        <f t="shared" si="101"/>
        <v>0</v>
      </c>
      <c r="G1807">
        <f t="shared" si="100"/>
        <v>0</v>
      </c>
    </row>
    <row r="1808" spans="1:7" hidden="1" x14ac:dyDescent="0.25">
      <c r="A1808" s="85" t="s">
        <v>4343</v>
      </c>
      <c r="B1808" s="81" t="s">
        <v>4284</v>
      </c>
      <c r="C1808" s="26" t="s">
        <v>37</v>
      </c>
      <c r="D1808" s="14"/>
      <c r="E1808" s="15"/>
      <c r="F1808" s="16">
        <f t="shared" si="101"/>
        <v>0</v>
      </c>
      <c r="G1808">
        <f t="shared" si="100"/>
        <v>0</v>
      </c>
    </row>
    <row r="1809" spans="1:7" hidden="1" x14ac:dyDescent="0.25">
      <c r="A1809" s="85" t="s">
        <v>4344</v>
      </c>
      <c r="B1809" s="81" t="s">
        <v>4285</v>
      </c>
      <c r="C1809" s="26" t="s">
        <v>37</v>
      </c>
      <c r="D1809" s="14"/>
      <c r="E1809" s="15"/>
      <c r="F1809" s="16">
        <f t="shared" si="101"/>
        <v>0</v>
      </c>
      <c r="G1809">
        <f t="shared" si="100"/>
        <v>0</v>
      </c>
    </row>
    <row r="1810" spans="1:7" hidden="1" x14ac:dyDescent="0.25">
      <c r="A1810" s="85" t="s">
        <v>4345</v>
      </c>
      <c r="B1810" s="81" t="s">
        <v>4286</v>
      </c>
      <c r="C1810" s="26" t="s">
        <v>37</v>
      </c>
      <c r="D1810" s="14"/>
      <c r="E1810" s="15"/>
      <c r="F1810" s="16">
        <f t="shared" si="101"/>
        <v>0</v>
      </c>
      <c r="G1810">
        <f t="shared" si="100"/>
        <v>0</v>
      </c>
    </row>
    <row r="1811" spans="1:7" hidden="1" x14ac:dyDescent="0.25">
      <c r="A1811" s="85" t="s">
        <v>4346</v>
      </c>
      <c r="B1811" s="81" t="s">
        <v>4287</v>
      </c>
      <c r="C1811" s="26" t="s">
        <v>37</v>
      </c>
      <c r="D1811" s="14"/>
      <c r="E1811" s="15"/>
      <c r="F1811" s="16">
        <f t="shared" si="101"/>
        <v>0</v>
      </c>
      <c r="G1811">
        <f t="shared" si="100"/>
        <v>0</v>
      </c>
    </row>
    <row r="1812" spans="1:7" hidden="1" x14ac:dyDescent="0.25">
      <c r="A1812" s="85" t="s">
        <v>4347</v>
      </c>
      <c r="B1812" s="81" t="s">
        <v>4288</v>
      </c>
      <c r="C1812" s="26" t="s">
        <v>37</v>
      </c>
      <c r="D1812" s="14"/>
      <c r="E1812" s="15"/>
      <c r="F1812" s="16">
        <f t="shared" si="101"/>
        <v>0</v>
      </c>
      <c r="G1812">
        <f t="shared" si="100"/>
        <v>0</v>
      </c>
    </row>
    <row r="1813" spans="1:7" hidden="1" x14ac:dyDescent="0.25">
      <c r="A1813" s="85" t="s">
        <v>4348</v>
      </c>
      <c r="B1813" s="81" t="s">
        <v>4289</v>
      </c>
      <c r="C1813" s="26" t="s">
        <v>37</v>
      </c>
      <c r="D1813" s="14"/>
      <c r="E1813" s="15"/>
      <c r="F1813" s="16">
        <f t="shared" si="101"/>
        <v>0</v>
      </c>
      <c r="G1813">
        <f t="shared" si="100"/>
        <v>0</v>
      </c>
    </row>
    <row r="1814" spans="1:7" hidden="1" x14ac:dyDescent="0.25">
      <c r="A1814" s="85" t="s">
        <v>4349</v>
      </c>
      <c r="B1814" s="81" t="s">
        <v>4290</v>
      </c>
      <c r="C1814" s="26" t="s">
        <v>37</v>
      </c>
      <c r="D1814" s="14"/>
      <c r="E1814" s="15"/>
      <c r="F1814" s="16">
        <f t="shared" si="101"/>
        <v>0</v>
      </c>
      <c r="G1814">
        <f t="shared" si="100"/>
        <v>0</v>
      </c>
    </row>
    <row r="1815" spans="1:7" hidden="1" x14ac:dyDescent="0.25">
      <c r="A1815" s="85" t="s">
        <v>4350</v>
      </c>
      <c r="B1815" s="81" t="s">
        <v>4291</v>
      </c>
      <c r="C1815" s="26" t="s">
        <v>37</v>
      </c>
      <c r="D1815" s="14"/>
      <c r="E1815" s="15"/>
      <c r="F1815" s="16">
        <f t="shared" si="101"/>
        <v>0</v>
      </c>
      <c r="G1815">
        <f t="shared" si="100"/>
        <v>0</v>
      </c>
    </row>
    <row r="1816" spans="1:7" hidden="1" x14ac:dyDescent="0.25">
      <c r="A1816" s="85" t="s">
        <v>4351</v>
      </c>
      <c r="B1816" s="81" t="s">
        <v>4292</v>
      </c>
      <c r="C1816" s="26" t="s">
        <v>37</v>
      </c>
      <c r="D1816" s="14"/>
      <c r="E1816" s="15"/>
      <c r="F1816" s="16">
        <f t="shared" si="101"/>
        <v>0</v>
      </c>
      <c r="G1816">
        <f t="shared" si="100"/>
        <v>0</v>
      </c>
    </row>
    <row r="1817" spans="1:7" hidden="1" x14ac:dyDescent="0.25">
      <c r="A1817" s="85" t="s">
        <v>4352</v>
      </c>
      <c r="B1817" s="81" t="s">
        <v>4293</v>
      </c>
      <c r="C1817" s="26" t="s">
        <v>37</v>
      </c>
      <c r="D1817" s="14"/>
      <c r="E1817" s="15"/>
      <c r="F1817" s="16">
        <f t="shared" si="101"/>
        <v>0</v>
      </c>
      <c r="G1817">
        <f t="shared" si="100"/>
        <v>0</v>
      </c>
    </row>
    <row r="1818" spans="1:7" hidden="1" x14ac:dyDescent="0.25">
      <c r="A1818" s="85" t="s">
        <v>4353</v>
      </c>
      <c r="B1818" s="81" t="s">
        <v>4294</v>
      </c>
      <c r="C1818" s="26" t="s">
        <v>37</v>
      </c>
      <c r="D1818" s="14"/>
      <c r="E1818" s="15"/>
      <c r="F1818" s="16">
        <f t="shared" si="101"/>
        <v>0</v>
      </c>
      <c r="G1818">
        <f t="shared" si="100"/>
        <v>0</v>
      </c>
    </row>
    <row r="1819" spans="1:7" hidden="1" x14ac:dyDescent="0.25">
      <c r="A1819" s="85" t="s">
        <v>4354</v>
      </c>
      <c r="B1819" s="81" t="s">
        <v>4295</v>
      </c>
      <c r="C1819" s="26" t="s">
        <v>37</v>
      </c>
      <c r="D1819" s="14"/>
      <c r="E1819" s="15"/>
      <c r="F1819" s="16">
        <f t="shared" si="101"/>
        <v>0</v>
      </c>
      <c r="G1819">
        <f t="shared" si="100"/>
        <v>0</v>
      </c>
    </row>
    <row r="1820" spans="1:7" hidden="1" x14ac:dyDescent="0.25">
      <c r="A1820" s="85" t="s">
        <v>4355</v>
      </c>
      <c r="B1820" s="81" t="s">
        <v>4296</v>
      </c>
      <c r="C1820" s="26" t="s">
        <v>37</v>
      </c>
      <c r="D1820" s="14"/>
      <c r="E1820" s="15"/>
      <c r="F1820" s="16">
        <f t="shared" si="101"/>
        <v>0</v>
      </c>
      <c r="G1820">
        <f t="shared" si="100"/>
        <v>0</v>
      </c>
    </row>
    <row r="1821" spans="1:7" hidden="1" x14ac:dyDescent="0.25">
      <c r="A1821" s="85" t="s">
        <v>4356</v>
      </c>
      <c r="B1821" s="81" t="s">
        <v>4297</v>
      </c>
      <c r="C1821" s="26" t="s">
        <v>37</v>
      </c>
      <c r="D1821" s="14"/>
      <c r="E1821" s="15"/>
      <c r="F1821" s="16">
        <f t="shared" si="101"/>
        <v>0</v>
      </c>
      <c r="G1821">
        <f t="shared" si="100"/>
        <v>0</v>
      </c>
    </row>
    <row r="1822" spans="1:7" hidden="1" x14ac:dyDescent="0.25">
      <c r="A1822" s="85" t="s">
        <v>4357</v>
      </c>
      <c r="B1822" s="81" t="s">
        <v>4298</v>
      </c>
      <c r="C1822" s="26" t="s">
        <v>37</v>
      </c>
      <c r="D1822" s="14"/>
      <c r="E1822" s="15"/>
      <c r="F1822" s="16">
        <f t="shared" si="101"/>
        <v>0</v>
      </c>
      <c r="G1822">
        <f t="shared" si="100"/>
        <v>0</v>
      </c>
    </row>
    <row r="1823" spans="1:7" hidden="1" x14ac:dyDescent="0.25">
      <c r="A1823" s="85" t="s">
        <v>4358</v>
      </c>
      <c r="B1823" s="81" t="s">
        <v>4299</v>
      </c>
      <c r="C1823" s="26" t="s">
        <v>37</v>
      </c>
      <c r="D1823" s="14"/>
      <c r="E1823" s="15"/>
      <c r="F1823" s="16">
        <f t="shared" si="101"/>
        <v>0</v>
      </c>
      <c r="G1823">
        <f t="shared" si="100"/>
        <v>0</v>
      </c>
    </row>
    <row r="1824" spans="1:7" hidden="1" x14ac:dyDescent="0.25">
      <c r="A1824" s="85" t="s">
        <v>4359</v>
      </c>
      <c r="B1824" s="81" t="s">
        <v>4300</v>
      </c>
      <c r="C1824" s="26" t="s">
        <v>37</v>
      </c>
      <c r="D1824" s="14"/>
      <c r="E1824" s="15"/>
      <c r="F1824" s="16">
        <f t="shared" si="101"/>
        <v>0</v>
      </c>
      <c r="G1824">
        <f t="shared" si="100"/>
        <v>0</v>
      </c>
    </row>
    <row r="1825" spans="1:7" hidden="1" x14ac:dyDescent="0.25">
      <c r="A1825" s="85" t="s">
        <v>4360</v>
      </c>
      <c r="B1825" s="81" t="s">
        <v>4301</v>
      </c>
      <c r="C1825" s="26" t="s">
        <v>37</v>
      </c>
      <c r="D1825" s="14"/>
      <c r="E1825" s="15"/>
      <c r="F1825" s="16">
        <f t="shared" si="101"/>
        <v>0</v>
      </c>
      <c r="G1825">
        <f t="shared" si="100"/>
        <v>0</v>
      </c>
    </row>
    <row r="1826" spans="1:7" hidden="1" x14ac:dyDescent="0.25">
      <c r="A1826" s="85" t="s">
        <v>4361</v>
      </c>
      <c r="B1826" s="81" t="s">
        <v>4302</v>
      </c>
      <c r="C1826" s="26" t="s">
        <v>37</v>
      </c>
      <c r="D1826" s="14"/>
      <c r="E1826" s="15"/>
      <c r="F1826" s="16">
        <f t="shared" si="101"/>
        <v>0</v>
      </c>
      <c r="G1826">
        <f t="shared" si="100"/>
        <v>0</v>
      </c>
    </row>
    <row r="1827" spans="1:7" hidden="1" x14ac:dyDescent="0.25">
      <c r="A1827" s="85" t="s">
        <v>4362</v>
      </c>
      <c r="B1827" s="81" t="s">
        <v>4303</v>
      </c>
      <c r="C1827" s="26" t="s">
        <v>37</v>
      </c>
      <c r="D1827" s="14"/>
      <c r="E1827" s="15"/>
      <c r="F1827" s="16">
        <f t="shared" si="101"/>
        <v>0</v>
      </c>
      <c r="G1827">
        <f t="shared" si="100"/>
        <v>0</v>
      </c>
    </row>
    <row r="1828" spans="1:7" hidden="1" x14ac:dyDescent="0.25">
      <c r="A1828" s="85" t="s">
        <v>4363</v>
      </c>
      <c r="B1828" s="81" t="s">
        <v>4304</v>
      </c>
      <c r="C1828" s="26" t="s">
        <v>37</v>
      </c>
      <c r="D1828" s="14"/>
      <c r="E1828" s="15"/>
      <c r="F1828" s="16">
        <f t="shared" si="101"/>
        <v>0</v>
      </c>
      <c r="G1828">
        <f t="shared" ref="G1828:G1891" si="102">+IF(F1828&lt;&gt;0,1,0)</f>
        <v>0</v>
      </c>
    </row>
    <row r="1829" spans="1:7" hidden="1" x14ac:dyDescent="0.25">
      <c r="A1829" s="85" t="s">
        <v>4364</v>
      </c>
      <c r="B1829" s="81" t="s">
        <v>4305</v>
      </c>
      <c r="C1829" s="26" t="s">
        <v>37</v>
      </c>
      <c r="D1829" s="14"/>
      <c r="E1829" s="15"/>
      <c r="F1829" s="16">
        <f t="shared" si="101"/>
        <v>0</v>
      </c>
      <c r="G1829">
        <f t="shared" si="102"/>
        <v>0</v>
      </c>
    </row>
    <row r="1830" spans="1:7" hidden="1" x14ac:dyDescent="0.25">
      <c r="A1830" s="85" t="s">
        <v>4365</v>
      </c>
      <c r="B1830" s="81" t="s">
        <v>4306</v>
      </c>
      <c r="C1830" s="26" t="s">
        <v>37</v>
      </c>
      <c r="D1830" s="14"/>
      <c r="E1830" s="15"/>
      <c r="F1830" s="16">
        <f t="shared" si="101"/>
        <v>0</v>
      </c>
      <c r="G1830">
        <f t="shared" si="102"/>
        <v>0</v>
      </c>
    </row>
    <row r="1831" spans="1:7" hidden="1" x14ac:dyDescent="0.25">
      <c r="A1831" s="85" t="s">
        <v>4366</v>
      </c>
      <c r="B1831" s="81" t="s">
        <v>4307</v>
      </c>
      <c r="C1831" s="26" t="s">
        <v>37</v>
      </c>
      <c r="D1831" s="14"/>
      <c r="E1831" s="15"/>
      <c r="F1831" s="16">
        <f t="shared" si="101"/>
        <v>0</v>
      </c>
      <c r="G1831">
        <f t="shared" si="102"/>
        <v>0</v>
      </c>
    </row>
    <row r="1832" spans="1:7" hidden="1" x14ac:dyDescent="0.25">
      <c r="A1832" s="85" t="s">
        <v>4367</v>
      </c>
      <c r="B1832" s="81" t="s">
        <v>4308</v>
      </c>
      <c r="C1832" s="26" t="s">
        <v>37</v>
      </c>
      <c r="D1832" s="14"/>
      <c r="E1832" s="15"/>
      <c r="F1832" s="16">
        <f t="shared" si="101"/>
        <v>0</v>
      </c>
      <c r="G1832">
        <f t="shared" si="102"/>
        <v>0</v>
      </c>
    </row>
    <row r="1833" spans="1:7" hidden="1" x14ac:dyDescent="0.25">
      <c r="A1833" s="85" t="s">
        <v>4368</v>
      </c>
      <c r="B1833" s="81" t="s">
        <v>4309</v>
      </c>
      <c r="C1833" s="26" t="s">
        <v>37</v>
      </c>
      <c r="D1833" s="14"/>
      <c r="E1833" s="15"/>
      <c r="F1833" s="16">
        <f t="shared" si="101"/>
        <v>0</v>
      </c>
      <c r="G1833">
        <f t="shared" si="102"/>
        <v>0</v>
      </c>
    </row>
    <row r="1834" spans="1:7" hidden="1" x14ac:dyDescent="0.25">
      <c r="A1834" s="85" t="s">
        <v>4369</v>
      </c>
      <c r="B1834" s="81" t="s">
        <v>4310</v>
      </c>
      <c r="C1834" s="26" t="s">
        <v>37</v>
      </c>
      <c r="D1834" s="14"/>
      <c r="E1834" s="15"/>
      <c r="F1834" s="16">
        <f t="shared" si="101"/>
        <v>0</v>
      </c>
      <c r="G1834">
        <f t="shared" si="102"/>
        <v>0</v>
      </c>
    </row>
    <row r="1835" spans="1:7" hidden="1" x14ac:dyDescent="0.25">
      <c r="A1835" s="85" t="s">
        <v>4370</v>
      </c>
      <c r="B1835" s="81" t="s">
        <v>4311</v>
      </c>
      <c r="C1835" s="26" t="s">
        <v>37</v>
      </c>
      <c r="D1835" s="14"/>
      <c r="E1835" s="15"/>
      <c r="F1835" s="16">
        <f t="shared" si="101"/>
        <v>0</v>
      </c>
      <c r="G1835">
        <f t="shared" si="102"/>
        <v>0</v>
      </c>
    </row>
    <row r="1836" spans="1:7" hidden="1" x14ac:dyDescent="0.25">
      <c r="A1836" s="85" t="s">
        <v>4371</v>
      </c>
      <c r="B1836" s="81" t="s">
        <v>4312</v>
      </c>
      <c r="C1836" s="26" t="s">
        <v>37</v>
      </c>
      <c r="D1836" s="14"/>
      <c r="E1836" s="15"/>
      <c r="F1836" s="16">
        <f t="shared" si="101"/>
        <v>0</v>
      </c>
      <c r="G1836">
        <f t="shared" si="102"/>
        <v>0</v>
      </c>
    </row>
    <row r="1837" spans="1:7" hidden="1" x14ac:dyDescent="0.25">
      <c r="A1837" s="85" t="s">
        <v>4372</v>
      </c>
      <c r="B1837" s="81" t="s">
        <v>4313</v>
      </c>
      <c r="C1837" s="26" t="s">
        <v>37</v>
      </c>
      <c r="D1837" s="14"/>
      <c r="E1837" s="15"/>
      <c r="F1837" s="16">
        <f t="shared" si="101"/>
        <v>0</v>
      </c>
      <c r="G1837">
        <f t="shared" si="102"/>
        <v>0</v>
      </c>
    </row>
    <row r="1838" spans="1:7" hidden="1" x14ac:dyDescent="0.25">
      <c r="A1838" s="85" t="s">
        <v>4373</v>
      </c>
      <c r="B1838" s="81" t="s">
        <v>4314</v>
      </c>
      <c r="C1838" s="26" t="s">
        <v>37</v>
      </c>
      <c r="D1838" s="14"/>
      <c r="E1838" s="15"/>
      <c r="F1838" s="16">
        <f t="shared" si="101"/>
        <v>0</v>
      </c>
      <c r="G1838">
        <f t="shared" si="102"/>
        <v>0</v>
      </c>
    </row>
    <row r="1839" spans="1:7" hidden="1" x14ac:dyDescent="0.25">
      <c r="A1839" s="85" t="s">
        <v>4374</v>
      </c>
      <c r="B1839" s="81" t="s">
        <v>4315</v>
      </c>
      <c r="C1839" s="26" t="s">
        <v>37</v>
      </c>
      <c r="D1839" s="14"/>
      <c r="E1839" s="15"/>
      <c r="F1839" s="16">
        <f t="shared" si="101"/>
        <v>0</v>
      </c>
      <c r="G1839">
        <f t="shared" si="102"/>
        <v>0</v>
      </c>
    </row>
    <row r="1840" spans="1:7" hidden="1" x14ac:dyDescent="0.25">
      <c r="A1840" s="85" t="s">
        <v>4375</v>
      </c>
      <c r="B1840" s="81" t="s">
        <v>4316</v>
      </c>
      <c r="C1840" s="26" t="s">
        <v>37</v>
      </c>
      <c r="D1840" s="14"/>
      <c r="E1840" s="15"/>
      <c r="F1840" s="16">
        <f t="shared" si="101"/>
        <v>0</v>
      </c>
      <c r="G1840">
        <f t="shared" si="102"/>
        <v>0</v>
      </c>
    </row>
    <row r="1841" spans="1:7" hidden="1" x14ac:dyDescent="0.25">
      <c r="A1841" s="85" t="s">
        <v>4376</v>
      </c>
      <c r="B1841" s="81" t="s">
        <v>4317</v>
      </c>
      <c r="C1841" s="26" t="s">
        <v>37</v>
      </c>
      <c r="D1841" s="14"/>
      <c r="E1841" s="15"/>
      <c r="F1841" s="16">
        <f t="shared" si="101"/>
        <v>0</v>
      </c>
      <c r="G1841">
        <f t="shared" si="102"/>
        <v>0</v>
      </c>
    </row>
    <row r="1842" spans="1:7" hidden="1" x14ac:dyDescent="0.25">
      <c r="A1842" s="85" t="s">
        <v>4377</v>
      </c>
      <c r="B1842" s="81" t="s">
        <v>4318</v>
      </c>
      <c r="C1842" s="26" t="s">
        <v>37</v>
      </c>
      <c r="D1842" s="14"/>
      <c r="E1842" s="15"/>
      <c r="F1842" s="16">
        <f t="shared" si="101"/>
        <v>0</v>
      </c>
      <c r="G1842">
        <f t="shared" si="102"/>
        <v>0</v>
      </c>
    </row>
    <row r="1843" spans="1:7" hidden="1" x14ac:dyDescent="0.25">
      <c r="A1843" s="85" t="s">
        <v>4378</v>
      </c>
      <c r="B1843" s="81" t="s">
        <v>4319</v>
      </c>
      <c r="C1843" s="26" t="s">
        <v>37</v>
      </c>
      <c r="D1843" s="14"/>
      <c r="E1843" s="15"/>
      <c r="F1843" s="16">
        <f t="shared" si="101"/>
        <v>0</v>
      </c>
      <c r="G1843">
        <f t="shared" si="102"/>
        <v>0</v>
      </c>
    </row>
    <row r="1844" spans="1:7" hidden="1" x14ac:dyDescent="0.25">
      <c r="A1844" s="85" t="s">
        <v>4379</v>
      </c>
      <c r="B1844" s="81" t="s">
        <v>4320</v>
      </c>
      <c r="C1844" s="26" t="s">
        <v>37</v>
      </c>
      <c r="D1844" s="14"/>
      <c r="E1844" s="15"/>
      <c r="F1844" s="16">
        <f t="shared" si="101"/>
        <v>0</v>
      </c>
      <c r="G1844">
        <f t="shared" si="102"/>
        <v>0</v>
      </c>
    </row>
    <row r="1845" spans="1:7" hidden="1" x14ac:dyDescent="0.25">
      <c r="A1845" s="85" t="s">
        <v>4380</v>
      </c>
      <c r="B1845" s="81" t="s">
        <v>4321</v>
      </c>
      <c r="C1845" s="26" t="s">
        <v>37</v>
      </c>
      <c r="D1845" s="14"/>
      <c r="E1845" s="15"/>
      <c r="F1845" s="16">
        <f t="shared" si="101"/>
        <v>0</v>
      </c>
      <c r="G1845">
        <f t="shared" si="102"/>
        <v>0</v>
      </c>
    </row>
    <row r="1846" spans="1:7" hidden="1" x14ac:dyDescent="0.25">
      <c r="A1846" s="85" t="s">
        <v>4381</v>
      </c>
      <c r="B1846" s="81" t="s">
        <v>4322</v>
      </c>
      <c r="C1846" s="26" t="s">
        <v>37</v>
      </c>
      <c r="D1846" s="14"/>
      <c r="E1846" s="15"/>
      <c r="F1846" s="16">
        <f t="shared" si="101"/>
        <v>0</v>
      </c>
      <c r="G1846">
        <f t="shared" si="102"/>
        <v>0</v>
      </c>
    </row>
    <row r="1847" spans="1:7" hidden="1" x14ac:dyDescent="0.25">
      <c r="A1847" s="85" t="s">
        <v>4382</v>
      </c>
      <c r="B1847" s="81" t="s">
        <v>4323</v>
      </c>
      <c r="C1847" s="26" t="s">
        <v>37</v>
      </c>
      <c r="D1847" s="14"/>
      <c r="E1847" s="15"/>
      <c r="F1847" s="16">
        <f t="shared" si="101"/>
        <v>0</v>
      </c>
      <c r="G1847">
        <f t="shared" si="102"/>
        <v>0</v>
      </c>
    </row>
    <row r="1848" spans="1:7" hidden="1" x14ac:dyDescent="0.25">
      <c r="A1848" s="85" t="s">
        <v>4383</v>
      </c>
      <c r="B1848" s="81" t="s">
        <v>4324</v>
      </c>
      <c r="C1848" s="26" t="s">
        <v>37</v>
      </c>
      <c r="D1848" s="14"/>
      <c r="E1848" s="15"/>
      <c r="F1848" s="16">
        <f t="shared" si="101"/>
        <v>0</v>
      </c>
      <c r="G1848">
        <f t="shared" si="102"/>
        <v>0</v>
      </c>
    </row>
    <row r="1849" spans="1:7" hidden="1" x14ac:dyDescent="0.25">
      <c r="A1849" s="85" t="s">
        <v>4384</v>
      </c>
      <c r="B1849" s="81" t="s">
        <v>4325</v>
      </c>
      <c r="C1849" s="26" t="s">
        <v>37</v>
      </c>
      <c r="D1849" s="14"/>
      <c r="E1849" s="15"/>
      <c r="F1849" s="16">
        <f t="shared" si="101"/>
        <v>0</v>
      </c>
      <c r="G1849">
        <f t="shared" si="102"/>
        <v>0</v>
      </c>
    </row>
    <row r="1850" spans="1:7" hidden="1" x14ac:dyDescent="0.25">
      <c r="A1850" s="85" t="s">
        <v>4385</v>
      </c>
      <c r="B1850" s="81" t="s">
        <v>4326</v>
      </c>
      <c r="C1850" s="26" t="s">
        <v>37</v>
      </c>
      <c r="D1850" s="14"/>
      <c r="E1850" s="15"/>
      <c r="F1850" s="16">
        <f t="shared" si="101"/>
        <v>0</v>
      </c>
      <c r="G1850">
        <f t="shared" si="102"/>
        <v>0</v>
      </c>
    </row>
    <row r="1851" spans="1:7" hidden="1" x14ac:dyDescent="0.25">
      <c r="A1851" s="85" t="s">
        <v>4386</v>
      </c>
      <c r="B1851" s="81" t="s">
        <v>4327</v>
      </c>
      <c r="C1851" s="26" t="s">
        <v>37</v>
      </c>
      <c r="D1851" s="14"/>
      <c r="E1851" s="15"/>
      <c r="F1851" s="16">
        <f t="shared" si="101"/>
        <v>0</v>
      </c>
      <c r="G1851">
        <f t="shared" si="102"/>
        <v>0</v>
      </c>
    </row>
    <row r="1852" spans="1:7" hidden="1" x14ac:dyDescent="0.25">
      <c r="A1852" s="85" t="s">
        <v>4387</v>
      </c>
      <c r="B1852" s="81" t="s">
        <v>4328</v>
      </c>
      <c r="C1852" s="26" t="s">
        <v>37</v>
      </c>
      <c r="D1852" s="14"/>
      <c r="E1852" s="15"/>
      <c r="F1852" s="16">
        <f t="shared" si="101"/>
        <v>0</v>
      </c>
      <c r="G1852">
        <f t="shared" si="102"/>
        <v>0</v>
      </c>
    </row>
    <row r="1853" spans="1:7" hidden="1" x14ac:dyDescent="0.25">
      <c r="A1853" s="85" t="s">
        <v>4388</v>
      </c>
      <c r="B1853" s="81" t="s">
        <v>4329</v>
      </c>
      <c r="C1853" s="26" t="s">
        <v>37</v>
      </c>
      <c r="D1853" s="14"/>
      <c r="E1853" s="15"/>
      <c r="F1853" s="16">
        <f t="shared" si="101"/>
        <v>0</v>
      </c>
      <c r="G1853">
        <f t="shared" si="102"/>
        <v>0</v>
      </c>
    </row>
    <row r="1854" spans="1:7" hidden="1" x14ac:dyDescent="0.25">
      <c r="A1854" s="85" t="s">
        <v>4389</v>
      </c>
      <c r="B1854" s="81" t="s">
        <v>4330</v>
      </c>
      <c r="C1854" s="26" t="s">
        <v>37</v>
      </c>
      <c r="D1854" s="14"/>
      <c r="E1854" s="15"/>
      <c r="F1854" s="16">
        <f t="shared" si="101"/>
        <v>0</v>
      </c>
      <c r="G1854">
        <f t="shared" si="102"/>
        <v>0</v>
      </c>
    </row>
    <row r="1855" spans="1:7" hidden="1" x14ac:dyDescent="0.25">
      <c r="A1855" s="78" t="s">
        <v>4390</v>
      </c>
      <c r="B1855" s="80" t="s">
        <v>4391</v>
      </c>
      <c r="C1855" s="26"/>
      <c r="D1855" s="14"/>
      <c r="E1855" s="15"/>
      <c r="F1855" s="16"/>
      <c r="G1855">
        <f t="shared" si="102"/>
        <v>0</v>
      </c>
    </row>
    <row r="1856" spans="1:7" hidden="1" x14ac:dyDescent="0.25">
      <c r="A1856" s="85" t="s">
        <v>4393</v>
      </c>
      <c r="B1856" s="80" t="s">
        <v>4392</v>
      </c>
      <c r="C1856" s="26"/>
      <c r="D1856" s="14"/>
      <c r="E1856" s="15"/>
      <c r="F1856" s="16"/>
      <c r="G1856">
        <f t="shared" si="102"/>
        <v>0</v>
      </c>
    </row>
    <row r="1857" spans="1:7" hidden="1" x14ac:dyDescent="0.25">
      <c r="A1857" s="85" t="s">
        <v>4394</v>
      </c>
      <c r="B1857" s="81" t="s">
        <v>4398</v>
      </c>
      <c r="C1857" s="26" t="s">
        <v>37</v>
      </c>
      <c r="D1857" s="14"/>
      <c r="E1857" s="15"/>
      <c r="F1857" s="16">
        <f t="shared" ref="F1857:F1868" si="103">+D1857*E1857</f>
        <v>0</v>
      </c>
      <c r="G1857">
        <f t="shared" si="102"/>
        <v>0</v>
      </c>
    </row>
    <row r="1858" spans="1:7" hidden="1" x14ac:dyDescent="0.25">
      <c r="A1858" s="85" t="s">
        <v>4422</v>
      </c>
      <c r="B1858" s="81" t="s">
        <v>4399</v>
      </c>
      <c r="C1858" s="26" t="s">
        <v>37</v>
      </c>
      <c r="D1858" s="14"/>
      <c r="E1858" s="15"/>
      <c r="F1858" s="16">
        <f t="shared" si="103"/>
        <v>0</v>
      </c>
      <c r="G1858">
        <f t="shared" si="102"/>
        <v>0</v>
      </c>
    </row>
    <row r="1859" spans="1:7" hidden="1" x14ac:dyDescent="0.25">
      <c r="A1859" s="85" t="s">
        <v>4423</v>
      </c>
      <c r="B1859" s="81" t="s">
        <v>4400</v>
      </c>
      <c r="C1859" s="26" t="s">
        <v>37</v>
      </c>
      <c r="D1859" s="14"/>
      <c r="E1859" s="15"/>
      <c r="F1859" s="16">
        <f t="shared" si="103"/>
        <v>0</v>
      </c>
      <c r="G1859">
        <f t="shared" si="102"/>
        <v>0</v>
      </c>
    </row>
    <row r="1860" spans="1:7" hidden="1" x14ac:dyDescent="0.25">
      <c r="A1860" s="85" t="s">
        <v>4424</v>
      </c>
      <c r="B1860" s="81" t="s">
        <v>4401</v>
      </c>
      <c r="C1860" s="26" t="s">
        <v>37</v>
      </c>
      <c r="D1860" s="14"/>
      <c r="E1860" s="15"/>
      <c r="F1860" s="16">
        <f t="shared" si="103"/>
        <v>0</v>
      </c>
      <c r="G1860">
        <f t="shared" si="102"/>
        <v>0</v>
      </c>
    </row>
    <row r="1861" spans="1:7" hidden="1" x14ac:dyDescent="0.25">
      <c r="A1861" s="85" t="s">
        <v>4425</v>
      </c>
      <c r="B1861" s="81" t="s">
        <v>4402</v>
      </c>
      <c r="C1861" s="26" t="s">
        <v>37</v>
      </c>
      <c r="D1861" s="14"/>
      <c r="E1861" s="15"/>
      <c r="F1861" s="16">
        <f t="shared" si="103"/>
        <v>0</v>
      </c>
      <c r="G1861">
        <f t="shared" si="102"/>
        <v>0</v>
      </c>
    </row>
    <row r="1862" spans="1:7" hidden="1" x14ac:dyDescent="0.25">
      <c r="A1862" s="85" t="s">
        <v>4426</v>
      </c>
      <c r="B1862" s="81" t="s">
        <v>4403</v>
      </c>
      <c r="C1862" s="26" t="s">
        <v>37</v>
      </c>
      <c r="D1862" s="14"/>
      <c r="E1862" s="15"/>
      <c r="F1862" s="16">
        <f t="shared" si="103"/>
        <v>0</v>
      </c>
      <c r="G1862">
        <f t="shared" si="102"/>
        <v>0</v>
      </c>
    </row>
    <row r="1863" spans="1:7" hidden="1" x14ac:dyDescent="0.25">
      <c r="A1863" s="85" t="s">
        <v>4427</v>
      </c>
      <c r="B1863" s="81" t="s">
        <v>4404</v>
      </c>
      <c r="C1863" s="26" t="s">
        <v>37</v>
      </c>
      <c r="D1863" s="14"/>
      <c r="E1863" s="15"/>
      <c r="F1863" s="16">
        <f t="shared" si="103"/>
        <v>0</v>
      </c>
      <c r="G1863">
        <f t="shared" si="102"/>
        <v>0</v>
      </c>
    </row>
    <row r="1864" spans="1:7" hidden="1" x14ac:dyDescent="0.25">
      <c r="A1864" s="85" t="s">
        <v>4428</v>
      </c>
      <c r="B1864" s="81" t="s">
        <v>4405</v>
      </c>
      <c r="C1864" s="26" t="s">
        <v>37</v>
      </c>
      <c r="D1864" s="14"/>
      <c r="E1864" s="15"/>
      <c r="F1864" s="16">
        <f t="shared" si="103"/>
        <v>0</v>
      </c>
      <c r="G1864">
        <f t="shared" si="102"/>
        <v>0</v>
      </c>
    </row>
    <row r="1865" spans="1:7" hidden="1" x14ac:dyDescent="0.25">
      <c r="A1865" s="85" t="s">
        <v>4429</v>
      </c>
      <c r="B1865" s="81" t="s">
        <v>4406</v>
      </c>
      <c r="C1865" s="26" t="s">
        <v>37</v>
      </c>
      <c r="D1865" s="14"/>
      <c r="E1865" s="15"/>
      <c r="F1865" s="16">
        <f t="shared" si="103"/>
        <v>0</v>
      </c>
      <c r="G1865">
        <f t="shared" si="102"/>
        <v>0</v>
      </c>
    </row>
    <row r="1866" spans="1:7" hidden="1" x14ac:dyDescent="0.25">
      <c r="A1866" s="85" t="s">
        <v>4430</v>
      </c>
      <c r="B1866" s="81" t="s">
        <v>4407</v>
      </c>
      <c r="C1866" s="26" t="s">
        <v>37</v>
      </c>
      <c r="D1866" s="14"/>
      <c r="E1866" s="15"/>
      <c r="F1866" s="16">
        <f t="shared" si="103"/>
        <v>0</v>
      </c>
      <c r="G1866">
        <f t="shared" si="102"/>
        <v>0</v>
      </c>
    </row>
    <row r="1867" spans="1:7" hidden="1" x14ac:dyDescent="0.25">
      <c r="A1867" s="85" t="s">
        <v>4431</v>
      </c>
      <c r="B1867" s="81" t="s">
        <v>4408</v>
      </c>
      <c r="C1867" s="26" t="s">
        <v>37</v>
      </c>
      <c r="D1867" s="14"/>
      <c r="E1867" s="15"/>
      <c r="F1867" s="16">
        <f t="shared" si="103"/>
        <v>0</v>
      </c>
      <c r="G1867">
        <f t="shared" si="102"/>
        <v>0</v>
      </c>
    </row>
    <row r="1868" spans="1:7" hidden="1" x14ac:dyDescent="0.25">
      <c r="A1868" s="85" t="s">
        <v>4432</v>
      </c>
      <c r="B1868" s="81" t="s">
        <v>4395</v>
      </c>
      <c r="C1868" s="26" t="s">
        <v>37</v>
      </c>
      <c r="D1868" s="14"/>
      <c r="E1868" s="15"/>
      <c r="F1868" s="16">
        <f t="shared" si="103"/>
        <v>0</v>
      </c>
      <c r="G1868">
        <f t="shared" si="102"/>
        <v>0</v>
      </c>
    </row>
    <row r="1869" spans="1:7" hidden="1" x14ac:dyDescent="0.25">
      <c r="A1869" s="78" t="s">
        <v>4410</v>
      </c>
      <c r="B1869" s="80" t="s">
        <v>4409</v>
      </c>
      <c r="C1869" s="26"/>
      <c r="D1869" s="14"/>
      <c r="E1869" s="15"/>
      <c r="F1869" s="16"/>
      <c r="G1869">
        <f t="shared" si="102"/>
        <v>0</v>
      </c>
    </row>
    <row r="1870" spans="1:7" hidden="1" x14ac:dyDescent="0.25">
      <c r="A1870" s="85" t="s">
        <v>4411</v>
      </c>
      <c r="B1870" s="81" t="s">
        <v>4397</v>
      </c>
      <c r="C1870" s="26" t="s">
        <v>37</v>
      </c>
      <c r="D1870" s="14"/>
      <c r="E1870" s="15"/>
      <c r="F1870" s="16">
        <f t="shared" ref="F1870:F1881" si="104">+D1870*E1870</f>
        <v>0</v>
      </c>
      <c r="G1870">
        <f t="shared" si="102"/>
        <v>0</v>
      </c>
    </row>
    <row r="1871" spans="1:7" hidden="1" x14ac:dyDescent="0.25">
      <c r="A1871" s="85" t="s">
        <v>4412</v>
      </c>
      <c r="B1871" s="81" t="s">
        <v>4434</v>
      </c>
      <c r="C1871" s="26" t="s">
        <v>37</v>
      </c>
      <c r="D1871" s="14"/>
      <c r="E1871" s="15"/>
      <c r="F1871" s="16">
        <f t="shared" si="104"/>
        <v>0</v>
      </c>
      <c r="G1871">
        <f t="shared" si="102"/>
        <v>0</v>
      </c>
    </row>
    <row r="1872" spans="1:7" hidden="1" x14ac:dyDescent="0.25">
      <c r="A1872" s="85" t="s">
        <v>4413</v>
      </c>
      <c r="B1872" s="81" t="s">
        <v>4435</v>
      </c>
      <c r="C1872" s="26" t="s">
        <v>37</v>
      </c>
      <c r="D1872" s="14"/>
      <c r="E1872" s="15"/>
      <c r="F1872" s="16">
        <f t="shared" si="104"/>
        <v>0</v>
      </c>
      <c r="G1872">
        <f t="shared" si="102"/>
        <v>0</v>
      </c>
    </row>
    <row r="1873" spans="1:7" hidden="1" x14ac:dyDescent="0.25">
      <c r="A1873" s="85" t="s">
        <v>4414</v>
      </c>
      <c r="B1873" s="81" t="s">
        <v>4436</v>
      </c>
      <c r="C1873" s="26" t="s">
        <v>37</v>
      </c>
      <c r="D1873" s="14"/>
      <c r="E1873" s="15"/>
      <c r="F1873" s="16">
        <f t="shared" si="104"/>
        <v>0</v>
      </c>
      <c r="G1873">
        <f t="shared" si="102"/>
        <v>0</v>
      </c>
    </row>
    <row r="1874" spans="1:7" hidden="1" x14ac:dyDescent="0.25">
      <c r="A1874" s="85" t="s">
        <v>4415</v>
      </c>
      <c r="B1874" s="81" t="s">
        <v>4437</v>
      </c>
      <c r="C1874" s="26" t="s">
        <v>37</v>
      </c>
      <c r="D1874" s="14"/>
      <c r="E1874" s="15"/>
      <c r="F1874" s="16">
        <f t="shared" si="104"/>
        <v>0</v>
      </c>
      <c r="G1874">
        <f t="shared" si="102"/>
        <v>0</v>
      </c>
    </row>
    <row r="1875" spans="1:7" hidden="1" x14ac:dyDescent="0.25">
      <c r="A1875" s="85" t="s">
        <v>4416</v>
      </c>
      <c r="B1875" s="81" t="s">
        <v>4438</v>
      </c>
      <c r="C1875" s="26" t="s">
        <v>37</v>
      </c>
      <c r="D1875" s="14"/>
      <c r="E1875" s="15"/>
      <c r="F1875" s="16">
        <f t="shared" si="104"/>
        <v>0</v>
      </c>
      <c r="G1875">
        <f t="shared" si="102"/>
        <v>0</v>
      </c>
    </row>
    <row r="1876" spans="1:7" hidden="1" x14ac:dyDescent="0.25">
      <c r="A1876" s="85" t="s">
        <v>4417</v>
      </c>
      <c r="B1876" s="81" t="s">
        <v>4439</v>
      </c>
      <c r="C1876" s="26" t="s">
        <v>37</v>
      </c>
      <c r="D1876" s="14"/>
      <c r="E1876" s="15"/>
      <c r="F1876" s="16">
        <f t="shared" si="104"/>
        <v>0</v>
      </c>
      <c r="G1876">
        <f t="shared" si="102"/>
        <v>0</v>
      </c>
    </row>
    <row r="1877" spans="1:7" hidden="1" x14ac:dyDescent="0.25">
      <c r="A1877" s="85" t="s">
        <v>4418</v>
      </c>
      <c r="B1877" s="81" t="s">
        <v>4440</v>
      </c>
      <c r="C1877" s="26" t="s">
        <v>37</v>
      </c>
      <c r="D1877" s="14"/>
      <c r="E1877" s="15"/>
      <c r="F1877" s="16">
        <f t="shared" si="104"/>
        <v>0</v>
      </c>
      <c r="G1877">
        <f t="shared" si="102"/>
        <v>0</v>
      </c>
    </row>
    <row r="1878" spans="1:7" hidden="1" x14ac:dyDescent="0.25">
      <c r="A1878" s="85" t="s">
        <v>4419</v>
      </c>
      <c r="B1878" s="81" t="s">
        <v>4441</v>
      </c>
      <c r="C1878" s="26" t="s">
        <v>37</v>
      </c>
      <c r="D1878" s="14"/>
      <c r="E1878" s="15"/>
      <c r="F1878" s="16">
        <f t="shared" si="104"/>
        <v>0</v>
      </c>
      <c r="G1878">
        <f t="shared" si="102"/>
        <v>0</v>
      </c>
    </row>
    <row r="1879" spans="1:7" hidden="1" x14ac:dyDescent="0.25">
      <c r="A1879" s="85" t="s">
        <v>4420</v>
      </c>
      <c r="B1879" s="81" t="s">
        <v>4442</v>
      </c>
      <c r="C1879" s="26" t="s">
        <v>37</v>
      </c>
      <c r="D1879" s="14"/>
      <c r="E1879" s="15"/>
      <c r="F1879" s="16">
        <f t="shared" si="104"/>
        <v>0</v>
      </c>
      <c r="G1879">
        <f t="shared" si="102"/>
        <v>0</v>
      </c>
    </row>
    <row r="1880" spans="1:7" hidden="1" x14ac:dyDescent="0.25">
      <c r="A1880" s="85" t="s">
        <v>4421</v>
      </c>
      <c r="B1880" s="81" t="s">
        <v>4443</v>
      </c>
      <c r="C1880" s="26" t="s">
        <v>37</v>
      </c>
      <c r="D1880" s="14"/>
      <c r="E1880" s="15"/>
      <c r="F1880" s="16">
        <f t="shared" si="104"/>
        <v>0</v>
      </c>
      <c r="G1880">
        <f t="shared" si="102"/>
        <v>0</v>
      </c>
    </row>
    <row r="1881" spans="1:7" hidden="1" x14ac:dyDescent="0.25">
      <c r="A1881" s="85" t="s">
        <v>4433</v>
      </c>
      <c r="B1881" s="81" t="s">
        <v>4396</v>
      </c>
      <c r="C1881" s="26" t="s">
        <v>37</v>
      </c>
      <c r="D1881" s="14"/>
      <c r="E1881" s="15"/>
      <c r="F1881" s="16">
        <f t="shared" si="104"/>
        <v>0</v>
      </c>
      <c r="G1881">
        <f t="shared" si="102"/>
        <v>0</v>
      </c>
    </row>
    <row r="1882" spans="1:7" x14ac:dyDescent="0.25">
      <c r="A1882" s="78" t="s">
        <v>4444</v>
      </c>
      <c r="B1882" s="80" t="s">
        <v>990</v>
      </c>
      <c r="C1882" s="26" t="s">
        <v>37</v>
      </c>
      <c r="D1882" s="14"/>
      <c r="E1882" s="15"/>
      <c r="F1882" s="16"/>
      <c r="G1882">
        <v>1</v>
      </c>
    </row>
    <row r="1883" spans="1:7" hidden="1" x14ac:dyDescent="0.25">
      <c r="A1883" s="78" t="s">
        <v>4445</v>
      </c>
      <c r="B1883" s="80" t="s">
        <v>4446</v>
      </c>
      <c r="C1883" s="26"/>
      <c r="D1883" s="14"/>
      <c r="E1883" s="15"/>
      <c r="F1883" s="16"/>
      <c r="G1883">
        <f t="shared" si="102"/>
        <v>0</v>
      </c>
    </row>
    <row r="1884" spans="1:7" hidden="1" x14ac:dyDescent="0.25">
      <c r="A1884" s="85" t="s">
        <v>4458</v>
      </c>
      <c r="B1884" s="81" t="s">
        <v>4447</v>
      </c>
      <c r="C1884" s="26" t="s">
        <v>37</v>
      </c>
      <c r="D1884" s="14"/>
      <c r="E1884" s="15"/>
      <c r="F1884" s="16">
        <f t="shared" ref="F1884:F1895" si="105">+D1884*E1884</f>
        <v>0</v>
      </c>
      <c r="G1884">
        <f t="shared" si="102"/>
        <v>0</v>
      </c>
    </row>
    <row r="1885" spans="1:7" hidden="1" x14ac:dyDescent="0.25">
      <c r="A1885" s="85" t="s">
        <v>4459</v>
      </c>
      <c r="B1885" s="81" t="s">
        <v>4497</v>
      </c>
      <c r="C1885" s="26" t="s">
        <v>37</v>
      </c>
      <c r="D1885" s="14"/>
      <c r="E1885" s="15"/>
      <c r="F1885" s="16">
        <f t="shared" si="105"/>
        <v>0</v>
      </c>
      <c r="G1885">
        <f t="shared" si="102"/>
        <v>0</v>
      </c>
    </row>
    <row r="1886" spans="1:7" hidden="1" x14ac:dyDescent="0.25">
      <c r="A1886" s="85" t="s">
        <v>4460</v>
      </c>
      <c r="B1886" s="81" t="s">
        <v>4448</v>
      </c>
      <c r="C1886" s="26" t="s">
        <v>37</v>
      </c>
      <c r="D1886" s="14"/>
      <c r="E1886" s="15"/>
      <c r="F1886" s="16">
        <f t="shared" si="105"/>
        <v>0</v>
      </c>
      <c r="G1886">
        <f t="shared" si="102"/>
        <v>0</v>
      </c>
    </row>
    <row r="1887" spans="1:7" hidden="1" x14ac:dyDescent="0.25">
      <c r="A1887" s="85" t="s">
        <v>4461</v>
      </c>
      <c r="B1887" s="81" t="s">
        <v>4449</v>
      </c>
      <c r="C1887" s="26" t="s">
        <v>37</v>
      </c>
      <c r="D1887" s="14"/>
      <c r="E1887" s="15"/>
      <c r="F1887" s="16">
        <f t="shared" si="105"/>
        <v>0</v>
      </c>
      <c r="G1887">
        <f t="shared" si="102"/>
        <v>0</v>
      </c>
    </row>
    <row r="1888" spans="1:7" hidden="1" x14ac:dyDescent="0.25">
      <c r="A1888" s="85" t="s">
        <v>4462</v>
      </c>
      <c r="B1888" s="81" t="s">
        <v>4450</v>
      </c>
      <c r="C1888" s="26" t="s">
        <v>37</v>
      </c>
      <c r="D1888" s="14"/>
      <c r="E1888" s="15"/>
      <c r="F1888" s="16">
        <f t="shared" si="105"/>
        <v>0</v>
      </c>
      <c r="G1888">
        <f t="shared" si="102"/>
        <v>0</v>
      </c>
    </row>
    <row r="1889" spans="1:7" hidden="1" x14ac:dyDescent="0.25">
      <c r="A1889" s="85" t="s">
        <v>4463</v>
      </c>
      <c r="B1889" s="81" t="s">
        <v>4451</v>
      </c>
      <c r="C1889" s="26" t="s">
        <v>37</v>
      </c>
      <c r="D1889" s="14"/>
      <c r="E1889" s="15"/>
      <c r="F1889" s="16">
        <f t="shared" si="105"/>
        <v>0</v>
      </c>
      <c r="G1889">
        <f t="shared" si="102"/>
        <v>0</v>
      </c>
    </row>
    <row r="1890" spans="1:7" hidden="1" x14ac:dyDescent="0.25">
      <c r="A1890" s="85" t="s">
        <v>4464</v>
      </c>
      <c r="B1890" s="81" t="s">
        <v>4452</v>
      </c>
      <c r="C1890" s="26" t="s">
        <v>37</v>
      </c>
      <c r="D1890" s="14"/>
      <c r="E1890" s="15"/>
      <c r="F1890" s="16">
        <f t="shared" si="105"/>
        <v>0</v>
      </c>
      <c r="G1890">
        <f t="shared" si="102"/>
        <v>0</v>
      </c>
    </row>
    <row r="1891" spans="1:7" hidden="1" x14ac:dyDescent="0.25">
      <c r="A1891" s="85" t="s">
        <v>4465</v>
      </c>
      <c r="B1891" s="81" t="s">
        <v>4453</v>
      </c>
      <c r="C1891" s="26" t="s">
        <v>37</v>
      </c>
      <c r="D1891" s="14"/>
      <c r="E1891" s="15"/>
      <c r="F1891" s="16">
        <f t="shared" si="105"/>
        <v>0</v>
      </c>
      <c r="G1891">
        <f t="shared" si="102"/>
        <v>0</v>
      </c>
    </row>
    <row r="1892" spans="1:7" hidden="1" x14ac:dyDescent="0.25">
      <c r="A1892" s="85" t="s">
        <v>4466</v>
      </c>
      <c r="B1892" s="81" t="s">
        <v>4454</v>
      </c>
      <c r="C1892" s="26" t="s">
        <v>37</v>
      </c>
      <c r="D1892" s="14"/>
      <c r="E1892" s="15"/>
      <c r="F1892" s="16">
        <f t="shared" si="105"/>
        <v>0</v>
      </c>
      <c r="G1892">
        <f t="shared" ref="G1892:G1955" si="106">+IF(F1892&lt;&gt;0,1,0)</f>
        <v>0</v>
      </c>
    </row>
    <row r="1893" spans="1:7" hidden="1" x14ac:dyDescent="0.25">
      <c r="A1893" s="85" t="s">
        <v>4467</v>
      </c>
      <c r="B1893" s="81" t="s">
        <v>4455</v>
      </c>
      <c r="C1893" s="26" t="s">
        <v>37</v>
      </c>
      <c r="D1893" s="14"/>
      <c r="E1893" s="15"/>
      <c r="F1893" s="16">
        <f t="shared" si="105"/>
        <v>0</v>
      </c>
      <c r="G1893">
        <f t="shared" si="106"/>
        <v>0</v>
      </c>
    </row>
    <row r="1894" spans="1:7" hidden="1" x14ac:dyDescent="0.25">
      <c r="A1894" s="85" t="s">
        <v>4468</v>
      </c>
      <c r="B1894" s="81" t="s">
        <v>4456</v>
      </c>
      <c r="C1894" s="26" t="s">
        <v>37</v>
      </c>
      <c r="D1894" s="14"/>
      <c r="E1894" s="15"/>
      <c r="F1894" s="16">
        <f t="shared" si="105"/>
        <v>0</v>
      </c>
      <c r="G1894">
        <f t="shared" si="106"/>
        <v>0</v>
      </c>
    </row>
    <row r="1895" spans="1:7" hidden="1" x14ac:dyDescent="0.25">
      <c r="A1895" s="85" t="s">
        <v>4469</v>
      </c>
      <c r="B1895" s="81" t="s">
        <v>4457</v>
      </c>
      <c r="C1895" s="26" t="s">
        <v>37</v>
      </c>
      <c r="D1895" s="14"/>
      <c r="E1895" s="15"/>
      <c r="F1895" s="16">
        <f t="shared" si="105"/>
        <v>0</v>
      </c>
      <c r="G1895">
        <f t="shared" si="106"/>
        <v>0</v>
      </c>
    </row>
    <row r="1896" spans="1:7" hidden="1" x14ac:dyDescent="0.25">
      <c r="A1896" s="78" t="s">
        <v>4470</v>
      </c>
      <c r="B1896" s="80" t="s">
        <v>4483</v>
      </c>
      <c r="C1896" s="26"/>
      <c r="D1896" s="14"/>
      <c r="E1896" s="15"/>
      <c r="F1896" s="16"/>
      <c r="G1896">
        <f t="shared" si="106"/>
        <v>0</v>
      </c>
    </row>
    <row r="1897" spans="1:7" hidden="1" x14ac:dyDescent="0.25">
      <c r="A1897" s="85" t="s">
        <v>4471</v>
      </c>
      <c r="B1897" s="81" t="s">
        <v>4485</v>
      </c>
      <c r="C1897" s="26" t="s">
        <v>37</v>
      </c>
      <c r="D1897" s="14"/>
      <c r="E1897" s="15"/>
      <c r="F1897" s="16">
        <f t="shared" ref="F1897:F1908" si="107">+D1897*E1897</f>
        <v>0</v>
      </c>
      <c r="G1897">
        <f t="shared" si="106"/>
        <v>0</v>
      </c>
    </row>
    <row r="1898" spans="1:7" hidden="1" x14ac:dyDescent="0.25">
      <c r="A1898" s="85" t="s">
        <v>4472</v>
      </c>
      <c r="B1898" s="81" t="s">
        <v>4486</v>
      </c>
      <c r="C1898" s="26" t="s">
        <v>37</v>
      </c>
      <c r="D1898" s="14"/>
      <c r="E1898" s="15"/>
      <c r="F1898" s="16">
        <f t="shared" si="107"/>
        <v>0</v>
      </c>
      <c r="G1898">
        <f t="shared" si="106"/>
        <v>0</v>
      </c>
    </row>
    <row r="1899" spans="1:7" hidden="1" x14ac:dyDescent="0.25">
      <c r="A1899" s="85" t="s">
        <v>4473</v>
      </c>
      <c r="B1899" s="81" t="s">
        <v>4487</v>
      </c>
      <c r="C1899" s="26" t="s">
        <v>37</v>
      </c>
      <c r="D1899" s="14"/>
      <c r="E1899" s="15"/>
      <c r="F1899" s="16">
        <f t="shared" si="107"/>
        <v>0</v>
      </c>
      <c r="G1899">
        <f t="shared" si="106"/>
        <v>0</v>
      </c>
    </row>
    <row r="1900" spans="1:7" hidden="1" x14ac:dyDescent="0.25">
      <c r="A1900" s="85" t="s">
        <v>4474</v>
      </c>
      <c r="B1900" s="81" t="s">
        <v>4488</v>
      </c>
      <c r="C1900" s="26" t="s">
        <v>37</v>
      </c>
      <c r="D1900" s="14"/>
      <c r="E1900" s="15"/>
      <c r="F1900" s="16">
        <f t="shared" si="107"/>
        <v>0</v>
      </c>
      <c r="G1900">
        <f t="shared" si="106"/>
        <v>0</v>
      </c>
    </row>
    <row r="1901" spans="1:7" hidden="1" x14ac:dyDescent="0.25">
      <c r="A1901" s="85" t="s">
        <v>4475</v>
      </c>
      <c r="B1901" s="81" t="s">
        <v>4489</v>
      </c>
      <c r="C1901" s="26" t="s">
        <v>37</v>
      </c>
      <c r="D1901" s="14"/>
      <c r="E1901" s="15"/>
      <c r="F1901" s="16">
        <f t="shared" si="107"/>
        <v>0</v>
      </c>
      <c r="G1901">
        <f t="shared" si="106"/>
        <v>0</v>
      </c>
    </row>
    <row r="1902" spans="1:7" hidden="1" x14ac:dyDescent="0.25">
      <c r="A1902" s="85" t="s">
        <v>4476</v>
      </c>
      <c r="B1902" s="81" t="s">
        <v>4490</v>
      </c>
      <c r="C1902" s="26" t="s">
        <v>37</v>
      </c>
      <c r="D1902" s="14"/>
      <c r="E1902" s="15"/>
      <c r="F1902" s="16">
        <f t="shared" si="107"/>
        <v>0</v>
      </c>
      <c r="G1902">
        <f t="shared" si="106"/>
        <v>0</v>
      </c>
    </row>
    <row r="1903" spans="1:7" hidden="1" x14ac:dyDescent="0.25">
      <c r="A1903" s="85" t="s">
        <v>4477</v>
      </c>
      <c r="B1903" s="81" t="s">
        <v>4491</v>
      </c>
      <c r="C1903" s="26" t="s">
        <v>37</v>
      </c>
      <c r="D1903" s="14"/>
      <c r="E1903" s="15"/>
      <c r="F1903" s="16">
        <f t="shared" si="107"/>
        <v>0</v>
      </c>
      <c r="G1903">
        <f t="shared" si="106"/>
        <v>0</v>
      </c>
    </row>
    <row r="1904" spans="1:7" hidden="1" x14ac:dyDescent="0.25">
      <c r="A1904" s="85" t="s">
        <v>4478</v>
      </c>
      <c r="B1904" s="81" t="s">
        <v>4492</v>
      </c>
      <c r="C1904" s="26" t="s">
        <v>37</v>
      </c>
      <c r="D1904" s="14"/>
      <c r="E1904" s="15"/>
      <c r="F1904" s="16">
        <f t="shared" si="107"/>
        <v>0</v>
      </c>
      <c r="G1904">
        <f t="shared" si="106"/>
        <v>0</v>
      </c>
    </row>
    <row r="1905" spans="1:7" hidden="1" x14ac:dyDescent="0.25">
      <c r="A1905" s="85" t="s">
        <v>4479</v>
      </c>
      <c r="B1905" s="81" t="s">
        <v>4493</v>
      </c>
      <c r="C1905" s="26" t="s">
        <v>37</v>
      </c>
      <c r="D1905" s="14"/>
      <c r="E1905" s="15"/>
      <c r="F1905" s="16">
        <f t="shared" si="107"/>
        <v>0</v>
      </c>
      <c r="G1905">
        <f t="shared" si="106"/>
        <v>0</v>
      </c>
    </row>
    <row r="1906" spans="1:7" hidden="1" x14ac:dyDescent="0.25">
      <c r="A1906" s="85" t="s">
        <v>4480</v>
      </c>
      <c r="B1906" s="81" t="s">
        <v>4494</v>
      </c>
      <c r="C1906" s="26" t="s">
        <v>37</v>
      </c>
      <c r="D1906" s="14"/>
      <c r="E1906" s="15"/>
      <c r="F1906" s="16">
        <f t="shared" si="107"/>
        <v>0</v>
      </c>
      <c r="G1906">
        <f t="shared" si="106"/>
        <v>0</v>
      </c>
    </row>
    <row r="1907" spans="1:7" hidden="1" x14ac:dyDescent="0.25">
      <c r="A1907" s="85" t="s">
        <v>4481</v>
      </c>
      <c r="B1907" s="81" t="s">
        <v>4495</v>
      </c>
      <c r="C1907" s="26" t="s">
        <v>37</v>
      </c>
      <c r="D1907" s="14"/>
      <c r="E1907" s="15"/>
      <c r="F1907" s="16">
        <f t="shared" si="107"/>
        <v>0</v>
      </c>
      <c r="G1907">
        <f t="shared" si="106"/>
        <v>0</v>
      </c>
    </row>
    <row r="1908" spans="1:7" hidden="1" x14ac:dyDescent="0.25">
      <c r="A1908" s="85" t="s">
        <v>4482</v>
      </c>
      <c r="B1908" s="122" t="s">
        <v>4484</v>
      </c>
      <c r="C1908" s="26" t="s">
        <v>37</v>
      </c>
      <c r="D1908" s="14"/>
      <c r="E1908" s="15"/>
      <c r="F1908" s="16">
        <f t="shared" si="107"/>
        <v>0</v>
      </c>
      <c r="G1908">
        <f t="shared" si="106"/>
        <v>0</v>
      </c>
    </row>
    <row r="1909" spans="1:7" x14ac:dyDescent="0.25">
      <c r="A1909" s="78" t="s">
        <v>4496</v>
      </c>
      <c r="B1909" s="80" t="s">
        <v>4511</v>
      </c>
      <c r="C1909" s="26"/>
      <c r="D1909" s="14"/>
      <c r="E1909" s="15"/>
      <c r="F1909" s="16"/>
      <c r="G1909">
        <v>1</v>
      </c>
    </row>
    <row r="1910" spans="1:7" hidden="1" x14ac:dyDescent="0.25">
      <c r="A1910" s="85" t="s">
        <v>4498</v>
      </c>
      <c r="B1910" s="81" t="s">
        <v>4512</v>
      </c>
      <c r="C1910" s="26" t="s">
        <v>37</v>
      </c>
      <c r="D1910" s="14"/>
      <c r="E1910" s="15"/>
      <c r="F1910" s="16">
        <f t="shared" ref="F1910:F1921" si="108">+D1910*E1910</f>
        <v>0</v>
      </c>
      <c r="G1910">
        <f t="shared" si="106"/>
        <v>0</v>
      </c>
    </row>
    <row r="1911" spans="1:7" hidden="1" x14ac:dyDescent="0.25">
      <c r="A1911" s="85" t="s">
        <v>4499</v>
      </c>
      <c r="B1911" s="81" t="s">
        <v>4513</v>
      </c>
      <c r="C1911" s="26" t="s">
        <v>37</v>
      </c>
      <c r="D1911" s="14"/>
      <c r="E1911" s="15"/>
      <c r="F1911" s="16">
        <f t="shared" si="108"/>
        <v>0</v>
      </c>
      <c r="G1911">
        <f t="shared" si="106"/>
        <v>0</v>
      </c>
    </row>
    <row r="1912" spans="1:7" x14ac:dyDescent="0.25">
      <c r="A1912" s="85" t="s">
        <v>4500</v>
      </c>
      <c r="B1912" s="81" t="s">
        <v>4514</v>
      </c>
      <c r="C1912" s="26" t="s">
        <v>37</v>
      </c>
      <c r="D1912" s="14">
        <v>1</v>
      </c>
      <c r="E1912" s="15">
        <f>+SUM!H1911</f>
        <v>533287</v>
      </c>
      <c r="F1912" s="16">
        <f t="shared" si="108"/>
        <v>533287</v>
      </c>
      <c r="G1912">
        <f t="shared" si="106"/>
        <v>1</v>
      </c>
    </row>
    <row r="1913" spans="1:7" x14ac:dyDescent="0.25">
      <c r="A1913" s="85" t="s">
        <v>4501</v>
      </c>
      <c r="B1913" s="81" t="s">
        <v>4515</v>
      </c>
      <c r="C1913" s="26" t="s">
        <v>37</v>
      </c>
      <c r="D1913" s="14">
        <v>6</v>
      </c>
      <c r="E1913" s="15">
        <f>+SUM!H1912</f>
        <v>703718</v>
      </c>
      <c r="F1913" s="16">
        <f t="shared" si="108"/>
        <v>4222308</v>
      </c>
      <c r="G1913">
        <f t="shared" si="106"/>
        <v>1</v>
      </c>
    </row>
    <row r="1914" spans="1:7" hidden="1" x14ac:dyDescent="0.25">
      <c r="A1914" s="85" t="s">
        <v>4502</v>
      </c>
      <c r="B1914" s="81" t="s">
        <v>4516</v>
      </c>
      <c r="C1914" s="26" t="s">
        <v>37</v>
      </c>
      <c r="D1914" s="14"/>
      <c r="E1914" s="15">
        <f>+SUM!H1913</f>
        <v>1285111</v>
      </c>
      <c r="F1914" s="16">
        <f t="shared" si="108"/>
        <v>0</v>
      </c>
      <c r="G1914">
        <f t="shared" si="106"/>
        <v>0</v>
      </c>
    </row>
    <row r="1915" spans="1:7" x14ac:dyDescent="0.25">
      <c r="A1915" s="85" t="s">
        <v>4503</v>
      </c>
      <c r="B1915" s="81" t="s">
        <v>4517</v>
      </c>
      <c r="C1915" s="26" t="s">
        <v>37</v>
      </c>
      <c r="D1915" s="14">
        <v>2</v>
      </c>
      <c r="E1915" s="15">
        <f>+SUM!H1914</f>
        <v>1818397</v>
      </c>
      <c r="F1915" s="16">
        <f t="shared" si="108"/>
        <v>3636794</v>
      </c>
      <c r="G1915">
        <f t="shared" si="106"/>
        <v>1</v>
      </c>
    </row>
    <row r="1916" spans="1:7" hidden="1" x14ac:dyDescent="0.25">
      <c r="A1916" s="85" t="s">
        <v>4504</v>
      </c>
      <c r="B1916" s="81" t="s">
        <v>4518</v>
      </c>
      <c r="C1916" s="26" t="s">
        <v>37</v>
      </c>
      <c r="D1916" s="14"/>
      <c r="E1916" s="15"/>
      <c r="F1916" s="16">
        <f t="shared" si="108"/>
        <v>0</v>
      </c>
      <c r="G1916">
        <f t="shared" si="106"/>
        <v>0</v>
      </c>
    </row>
    <row r="1917" spans="1:7" hidden="1" x14ac:dyDescent="0.25">
      <c r="A1917" s="85" t="s">
        <v>4505</v>
      </c>
      <c r="B1917" s="81" t="s">
        <v>4519</v>
      </c>
      <c r="C1917" s="26" t="s">
        <v>37</v>
      </c>
      <c r="D1917" s="14"/>
      <c r="E1917" s="15"/>
      <c r="F1917" s="16">
        <f t="shared" si="108"/>
        <v>0</v>
      </c>
      <c r="G1917">
        <f t="shared" si="106"/>
        <v>0</v>
      </c>
    </row>
    <row r="1918" spans="1:7" hidden="1" x14ac:dyDescent="0.25">
      <c r="A1918" s="85" t="s">
        <v>4506</v>
      </c>
      <c r="B1918" s="81" t="s">
        <v>4520</v>
      </c>
      <c r="C1918" s="26" t="s">
        <v>37</v>
      </c>
      <c r="D1918" s="14"/>
      <c r="E1918" s="15"/>
      <c r="F1918" s="16">
        <f t="shared" si="108"/>
        <v>0</v>
      </c>
      <c r="G1918">
        <f t="shared" si="106"/>
        <v>0</v>
      </c>
    </row>
    <row r="1919" spans="1:7" hidden="1" x14ac:dyDescent="0.25">
      <c r="A1919" s="85" t="s">
        <v>4507</v>
      </c>
      <c r="B1919" s="81" t="s">
        <v>4521</v>
      </c>
      <c r="C1919" s="26" t="s">
        <v>37</v>
      </c>
      <c r="D1919" s="14"/>
      <c r="E1919" s="15"/>
      <c r="F1919" s="16">
        <f t="shared" si="108"/>
        <v>0</v>
      </c>
      <c r="G1919">
        <f t="shared" si="106"/>
        <v>0</v>
      </c>
    </row>
    <row r="1920" spans="1:7" hidden="1" x14ac:dyDescent="0.25">
      <c r="A1920" s="85" t="s">
        <v>4508</v>
      </c>
      <c r="B1920" s="81" t="s">
        <v>4522</v>
      </c>
      <c r="C1920" s="26" t="s">
        <v>37</v>
      </c>
      <c r="D1920" s="14"/>
      <c r="E1920" s="15"/>
      <c r="F1920" s="16">
        <f t="shared" si="108"/>
        <v>0</v>
      </c>
      <c r="G1920">
        <f t="shared" si="106"/>
        <v>0</v>
      </c>
    </row>
    <row r="1921" spans="1:7" hidden="1" x14ac:dyDescent="0.25">
      <c r="A1921" s="85" t="s">
        <v>4509</v>
      </c>
      <c r="B1921" s="123" t="s">
        <v>4523</v>
      </c>
      <c r="C1921" s="26" t="s">
        <v>37</v>
      </c>
      <c r="D1921" s="14"/>
      <c r="E1921" s="15"/>
      <c r="F1921" s="16">
        <f t="shared" si="108"/>
        <v>0</v>
      </c>
      <c r="G1921">
        <f t="shared" si="106"/>
        <v>0</v>
      </c>
    </row>
    <row r="1922" spans="1:7" hidden="1" x14ac:dyDescent="0.25">
      <c r="A1922" s="78" t="s">
        <v>4510</v>
      </c>
      <c r="B1922" s="80" t="s">
        <v>4535</v>
      </c>
      <c r="C1922" s="26"/>
      <c r="D1922" s="14"/>
      <c r="E1922" s="15"/>
      <c r="F1922" s="16"/>
      <c r="G1922">
        <f t="shared" si="106"/>
        <v>0</v>
      </c>
    </row>
    <row r="1923" spans="1:7" hidden="1" x14ac:dyDescent="0.25">
      <c r="A1923" s="85" t="s">
        <v>4536</v>
      </c>
      <c r="B1923" s="81" t="s">
        <v>4524</v>
      </c>
      <c r="C1923" s="26" t="s">
        <v>37</v>
      </c>
      <c r="D1923" s="14"/>
      <c r="E1923" s="15"/>
      <c r="F1923" s="16">
        <f t="shared" ref="F1923:F1933" si="109">+D1923*E1923</f>
        <v>0</v>
      </c>
      <c r="G1923">
        <f t="shared" si="106"/>
        <v>0</v>
      </c>
    </row>
    <row r="1924" spans="1:7" hidden="1" x14ac:dyDescent="0.25">
      <c r="A1924" s="85" t="s">
        <v>4537</v>
      </c>
      <c r="B1924" s="81" t="s">
        <v>4525</v>
      </c>
      <c r="C1924" s="26" t="s">
        <v>37</v>
      </c>
      <c r="D1924" s="14"/>
      <c r="E1924" s="15"/>
      <c r="F1924" s="16">
        <f t="shared" si="109"/>
        <v>0</v>
      </c>
      <c r="G1924">
        <f t="shared" si="106"/>
        <v>0</v>
      </c>
    </row>
    <row r="1925" spans="1:7" hidden="1" x14ac:dyDescent="0.25">
      <c r="A1925" s="85" t="s">
        <v>4538</v>
      </c>
      <c r="B1925" s="81" t="s">
        <v>4526</v>
      </c>
      <c r="C1925" s="26" t="s">
        <v>37</v>
      </c>
      <c r="D1925" s="14"/>
      <c r="E1925" s="15"/>
      <c r="F1925" s="16">
        <f t="shared" si="109"/>
        <v>0</v>
      </c>
      <c r="G1925">
        <f t="shared" si="106"/>
        <v>0</v>
      </c>
    </row>
    <row r="1926" spans="1:7" hidden="1" x14ac:dyDescent="0.25">
      <c r="A1926" s="85" t="s">
        <v>4539</v>
      </c>
      <c r="B1926" s="81" t="s">
        <v>4527</v>
      </c>
      <c r="C1926" s="26" t="s">
        <v>37</v>
      </c>
      <c r="D1926" s="14"/>
      <c r="E1926" s="15"/>
      <c r="F1926" s="16">
        <f t="shared" si="109"/>
        <v>0</v>
      </c>
      <c r="G1926">
        <f t="shared" si="106"/>
        <v>0</v>
      </c>
    </row>
    <row r="1927" spans="1:7" hidden="1" x14ac:dyDescent="0.25">
      <c r="A1927" s="85" t="s">
        <v>4540</v>
      </c>
      <c r="B1927" s="81" t="s">
        <v>4528</v>
      </c>
      <c r="C1927" s="26" t="s">
        <v>37</v>
      </c>
      <c r="D1927" s="14"/>
      <c r="E1927" s="15"/>
      <c r="F1927" s="16">
        <f t="shared" si="109"/>
        <v>0</v>
      </c>
      <c r="G1927">
        <f t="shared" si="106"/>
        <v>0</v>
      </c>
    </row>
    <row r="1928" spans="1:7" hidden="1" x14ac:dyDescent="0.25">
      <c r="A1928" s="85" t="s">
        <v>4541</v>
      </c>
      <c r="B1928" s="81" t="s">
        <v>4529</v>
      </c>
      <c r="C1928" s="26" t="s">
        <v>37</v>
      </c>
      <c r="D1928" s="14"/>
      <c r="E1928" s="15"/>
      <c r="F1928" s="16">
        <f t="shared" si="109"/>
        <v>0</v>
      </c>
      <c r="G1928">
        <f t="shared" si="106"/>
        <v>0</v>
      </c>
    </row>
    <row r="1929" spans="1:7" hidden="1" x14ac:dyDescent="0.25">
      <c r="A1929" s="85" t="s">
        <v>4542</v>
      </c>
      <c r="B1929" s="81" t="s">
        <v>4530</v>
      </c>
      <c r="C1929" s="26" t="s">
        <v>37</v>
      </c>
      <c r="D1929" s="14"/>
      <c r="E1929" s="15"/>
      <c r="F1929" s="16">
        <f t="shared" si="109"/>
        <v>0</v>
      </c>
      <c r="G1929">
        <f t="shared" si="106"/>
        <v>0</v>
      </c>
    </row>
    <row r="1930" spans="1:7" hidden="1" x14ac:dyDescent="0.25">
      <c r="A1930" s="85" t="s">
        <v>4543</v>
      </c>
      <c r="B1930" s="81" t="s">
        <v>4531</v>
      </c>
      <c r="C1930" s="26" t="s">
        <v>37</v>
      </c>
      <c r="D1930" s="14"/>
      <c r="E1930" s="15"/>
      <c r="F1930" s="16">
        <f t="shared" si="109"/>
        <v>0</v>
      </c>
      <c r="G1930">
        <f t="shared" si="106"/>
        <v>0</v>
      </c>
    </row>
    <row r="1931" spans="1:7" hidden="1" x14ac:dyDescent="0.25">
      <c r="A1931" s="85" t="s">
        <v>4544</v>
      </c>
      <c r="B1931" s="81" t="s">
        <v>4532</v>
      </c>
      <c r="C1931" s="26" t="s">
        <v>37</v>
      </c>
      <c r="D1931" s="14"/>
      <c r="E1931" s="15"/>
      <c r="F1931" s="16">
        <f t="shared" si="109"/>
        <v>0</v>
      </c>
      <c r="G1931">
        <f t="shared" si="106"/>
        <v>0</v>
      </c>
    </row>
    <row r="1932" spans="1:7" hidden="1" x14ac:dyDescent="0.25">
      <c r="A1932" s="85" t="s">
        <v>4545</v>
      </c>
      <c r="B1932" s="81" t="s">
        <v>4533</v>
      </c>
      <c r="C1932" s="26" t="s">
        <v>37</v>
      </c>
      <c r="D1932" s="14"/>
      <c r="E1932" s="15"/>
      <c r="F1932" s="16">
        <f t="shared" si="109"/>
        <v>0</v>
      </c>
      <c r="G1932">
        <f t="shared" si="106"/>
        <v>0</v>
      </c>
    </row>
    <row r="1933" spans="1:7" hidden="1" x14ac:dyDescent="0.25">
      <c r="A1933" s="85" t="s">
        <v>4546</v>
      </c>
      <c r="B1933" s="81" t="s">
        <v>4534</v>
      </c>
      <c r="C1933" s="26" t="s">
        <v>37</v>
      </c>
      <c r="D1933" s="14"/>
      <c r="E1933" s="15"/>
      <c r="F1933" s="16">
        <f t="shared" si="109"/>
        <v>0</v>
      </c>
      <c r="G1933">
        <f t="shared" si="106"/>
        <v>0</v>
      </c>
    </row>
    <row r="1934" spans="1:7" hidden="1" x14ac:dyDescent="0.25">
      <c r="A1934" s="78" t="s">
        <v>4547</v>
      </c>
      <c r="B1934" s="80" t="s">
        <v>4548</v>
      </c>
      <c r="C1934" s="26"/>
      <c r="D1934" s="14"/>
      <c r="E1934" s="15"/>
      <c r="F1934" s="16"/>
      <c r="G1934">
        <f t="shared" si="106"/>
        <v>0</v>
      </c>
    </row>
    <row r="1935" spans="1:7" hidden="1" x14ac:dyDescent="0.25">
      <c r="A1935" s="78" t="s">
        <v>4549</v>
      </c>
      <c r="B1935" s="80" t="s">
        <v>4550</v>
      </c>
      <c r="C1935" s="26"/>
      <c r="D1935" s="14"/>
      <c r="E1935" s="15"/>
      <c r="F1935" s="16"/>
      <c r="G1935">
        <f t="shared" si="106"/>
        <v>0</v>
      </c>
    </row>
    <row r="1936" spans="1:7" hidden="1" x14ac:dyDescent="0.25">
      <c r="A1936" s="85" t="s">
        <v>4563</v>
      </c>
      <c r="B1936" s="81" t="s">
        <v>4551</v>
      </c>
      <c r="C1936" s="26" t="s">
        <v>37</v>
      </c>
      <c r="D1936" s="14"/>
      <c r="E1936" s="15"/>
      <c r="F1936" s="16">
        <f t="shared" ref="F1936:F1947" si="110">+D1936*E1936</f>
        <v>0</v>
      </c>
      <c r="G1936">
        <f t="shared" si="106"/>
        <v>0</v>
      </c>
    </row>
    <row r="1937" spans="1:7" hidden="1" x14ac:dyDescent="0.25">
      <c r="A1937" s="85" t="s">
        <v>4564</v>
      </c>
      <c r="B1937" s="81" t="s">
        <v>4552</v>
      </c>
      <c r="C1937" s="26" t="s">
        <v>37</v>
      </c>
      <c r="D1937" s="14"/>
      <c r="E1937" s="15"/>
      <c r="F1937" s="16">
        <f t="shared" si="110"/>
        <v>0</v>
      </c>
      <c r="G1937">
        <f t="shared" si="106"/>
        <v>0</v>
      </c>
    </row>
    <row r="1938" spans="1:7" hidden="1" x14ac:dyDescent="0.25">
      <c r="A1938" s="85" t="s">
        <v>4565</v>
      </c>
      <c r="B1938" s="81" t="s">
        <v>4553</v>
      </c>
      <c r="C1938" s="26" t="s">
        <v>37</v>
      </c>
      <c r="D1938" s="14"/>
      <c r="E1938" s="15"/>
      <c r="F1938" s="16">
        <f t="shared" si="110"/>
        <v>0</v>
      </c>
      <c r="G1938">
        <f t="shared" si="106"/>
        <v>0</v>
      </c>
    </row>
    <row r="1939" spans="1:7" hidden="1" x14ac:dyDescent="0.25">
      <c r="A1939" s="85" t="s">
        <v>4566</v>
      </c>
      <c r="B1939" s="81" t="s">
        <v>4554</v>
      </c>
      <c r="C1939" s="26" t="s">
        <v>37</v>
      </c>
      <c r="D1939" s="14"/>
      <c r="E1939" s="15"/>
      <c r="F1939" s="16">
        <f t="shared" si="110"/>
        <v>0</v>
      </c>
      <c r="G1939">
        <f t="shared" si="106"/>
        <v>0</v>
      </c>
    </row>
    <row r="1940" spans="1:7" hidden="1" x14ac:dyDescent="0.25">
      <c r="A1940" s="85" t="s">
        <v>4567</v>
      </c>
      <c r="B1940" s="81" t="s">
        <v>4555</v>
      </c>
      <c r="C1940" s="26" t="s">
        <v>37</v>
      </c>
      <c r="D1940" s="14"/>
      <c r="E1940" s="15"/>
      <c r="F1940" s="16">
        <f t="shared" si="110"/>
        <v>0</v>
      </c>
      <c r="G1940">
        <f t="shared" si="106"/>
        <v>0</v>
      </c>
    </row>
    <row r="1941" spans="1:7" hidden="1" x14ac:dyDescent="0.25">
      <c r="A1941" s="85" t="s">
        <v>4568</v>
      </c>
      <c r="B1941" s="81" t="s">
        <v>4556</v>
      </c>
      <c r="C1941" s="26" t="s">
        <v>37</v>
      </c>
      <c r="D1941" s="14"/>
      <c r="E1941" s="15"/>
      <c r="F1941" s="16">
        <f t="shared" si="110"/>
        <v>0</v>
      </c>
      <c r="G1941">
        <f t="shared" si="106"/>
        <v>0</v>
      </c>
    </row>
    <row r="1942" spans="1:7" hidden="1" x14ac:dyDescent="0.25">
      <c r="A1942" s="85" t="s">
        <v>4569</v>
      </c>
      <c r="B1942" s="81" t="s">
        <v>4557</v>
      </c>
      <c r="C1942" s="26" t="s">
        <v>37</v>
      </c>
      <c r="D1942" s="14"/>
      <c r="E1942" s="15"/>
      <c r="F1942" s="16">
        <f t="shared" si="110"/>
        <v>0</v>
      </c>
      <c r="G1942">
        <f t="shared" si="106"/>
        <v>0</v>
      </c>
    </row>
    <row r="1943" spans="1:7" hidden="1" x14ac:dyDescent="0.25">
      <c r="A1943" s="85" t="s">
        <v>4570</v>
      </c>
      <c r="B1943" s="81" t="s">
        <v>4558</v>
      </c>
      <c r="C1943" s="26" t="s">
        <v>37</v>
      </c>
      <c r="D1943" s="14"/>
      <c r="E1943" s="15">
        <f>+SUM!H1942</f>
        <v>277639</v>
      </c>
      <c r="F1943" s="16">
        <f t="shared" si="110"/>
        <v>0</v>
      </c>
      <c r="G1943">
        <f t="shared" si="106"/>
        <v>0</v>
      </c>
    </row>
    <row r="1944" spans="1:7" hidden="1" x14ac:dyDescent="0.25">
      <c r="A1944" s="85" t="s">
        <v>4571</v>
      </c>
      <c r="B1944" s="81" t="s">
        <v>4559</v>
      </c>
      <c r="C1944" s="26" t="s">
        <v>37</v>
      </c>
      <c r="D1944" s="14"/>
      <c r="E1944" s="15">
        <f>+SUM!H1943</f>
        <v>287260</v>
      </c>
      <c r="F1944" s="16">
        <f t="shared" si="110"/>
        <v>0</v>
      </c>
      <c r="G1944">
        <f t="shared" si="106"/>
        <v>0</v>
      </c>
    </row>
    <row r="1945" spans="1:7" hidden="1" x14ac:dyDescent="0.25">
      <c r="A1945" s="85" t="s">
        <v>4572</v>
      </c>
      <c r="B1945" s="81" t="s">
        <v>4560</v>
      </c>
      <c r="C1945" s="26" t="s">
        <v>37</v>
      </c>
      <c r="D1945" s="14"/>
      <c r="E1945" s="15">
        <f>+SUM!H1944</f>
        <v>481058</v>
      </c>
      <c r="F1945" s="16">
        <f t="shared" si="110"/>
        <v>0</v>
      </c>
      <c r="G1945">
        <f t="shared" si="106"/>
        <v>0</v>
      </c>
    </row>
    <row r="1946" spans="1:7" hidden="1" x14ac:dyDescent="0.25">
      <c r="A1946" s="85" t="s">
        <v>4573</v>
      </c>
      <c r="B1946" s="81" t="s">
        <v>4562</v>
      </c>
      <c r="C1946" s="26" t="s">
        <v>37</v>
      </c>
      <c r="D1946" s="14"/>
      <c r="E1946" s="15">
        <f>+SUM!H1945</f>
        <v>492053</v>
      </c>
      <c r="F1946" s="16">
        <f t="shared" si="110"/>
        <v>0</v>
      </c>
      <c r="G1946">
        <f t="shared" si="106"/>
        <v>0</v>
      </c>
    </row>
    <row r="1947" spans="1:7" hidden="1" x14ac:dyDescent="0.25">
      <c r="A1947" s="85" t="s">
        <v>4574</v>
      </c>
      <c r="B1947" s="81" t="s">
        <v>4561</v>
      </c>
      <c r="C1947" s="26" t="s">
        <v>37</v>
      </c>
      <c r="D1947" s="14"/>
      <c r="E1947" s="15">
        <f>+SUM!H1946</f>
        <v>547031</v>
      </c>
      <c r="F1947" s="16">
        <f t="shared" si="110"/>
        <v>0</v>
      </c>
      <c r="G1947">
        <f t="shared" si="106"/>
        <v>0</v>
      </c>
    </row>
    <row r="1948" spans="1:7" hidden="1" x14ac:dyDescent="0.25">
      <c r="A1948" s="78" t="s">
        <v>4575</v>
      </c>
      <c r="B1948" s="80" t="s">
        <v>4576</v>
      </c>
      <c r="C1948" s="26"/>
      <c r="D1948" s="14"/>
      <c r="E1948" s="15">
        <f>+SUM!H1949</f>
        <v>0</v>
      </c>
      <c r="F1948" s="16"/>
      <c r="G1948">
        <f t="shared" si="106"/>
        <v>0</v>
      </c>
    </row>
    <row r="1949" spans="1:7" hidden="1" x14ac:dyDescent="0.25">
      <c r="A1949" s="85" t="s">
        <v>4590</v>
      </c>
      <c r="B1949" s="81" t="s">
        <v>4577</v>
      </c>
      <c r="C1949" s="26" t="s">
        <v>37</v>
      </c>
      <c r="D1949" s="14"/>
      <c r="E1949" s="15">
        <f>+SUM!H1950</f>
        <v>82467</v>
      </c>
      <c r="F1949" s="16">
        <f t="shared" ref="F1949:F1960" si="111">+D1949*E1949</f>
        <v>0</v>
      </c>
      <c r="G1949">
        <f t="shared" si="106"/>
        <v>0</v>
      </c>
    </row>
    <row r="1950" spans="1:7" hidden="1" x14ac:dyDescent="0.25">
      <c r="A1950" s="85" t="s">
        <v>4591</v>
      </c>
      <c r="B1950" s="81" t="s">
        <v>4578</v>
      </c>
      <c r="C1950" s="26" t="s">
        <v>37</v>
      </c>
      <c r="D1950" s="14"/>
      <c r="E1950" s="15">
        <f>+SUM!H1951</f>
        <v>100335</v>
      </c>
      <c r="F1950" s="16">
        <f t="shared" si="111"/>
        <v>0</v>
      </c>
      <c r="G1950">
        <f t="shared" si="106"/>
        <v>0</v>
      </c>
    </row>
    <row r="1951" spans="1:7" hidden="1" x14ac:dyDescent="0.25">
      <c r="A1951" s="85" t="s">
        <v>4592</v>
      </c>
      <c r="B1951" s="81" t="s">
        <v>4579</v>
      </c>
      <c r="C1951" s="26" t="s">
        <v>37</v>
      </c>
      <c r="D1951" s="14"/>
      <c r="E1951" s="15">
        <f>+SUM!H1952</f>
        <v>118203</v>
      </c>
      <c r="F1951" s="16">
        <f t="shared" si="111"/>
        <v>0</v>
      </c>
      <c r="G1951">
        <f t="shared" si="106"/>
        <v>0</v>
      </c>
    </row>
    <row r="1952" spans="1:7" hidden="1" x14ac:dyDescent="0.25">
      <c r="A1952" s="85" t="s">
        <v>4593</v>
      </c>
      <c r="B1952" s="81" t="s">
        <v>4580</v>
      </c>
      <c r="C1952" s="26" t="s">
        <v>37</v>
      </c>
      <c r="D1952" s="14"/>
      <c r="E1952" s="15">
        <f>+SUM!H1953</f>
        <v>163560</v>
      </c>
      <c r="F1952" s="16">
        <f t="shared" si="111"/>
        <v>0</v>
      </c>
      <c r="G1952">
        <f t="shared" si="106"/>
        <v>0</v>
      </c>
    </row>
    <row r="1953" spans="1:7" hidden="1" x14ac:dyDescent="0.25">
      <c r="A1953" s="85" t="s">
        <v>4594</v>
      </c>
      <c r="B1953" s="81" t="s">
        <v>4581</v>
      </c>
      <c r="C1953" s="26" t="s">
        <v>37</v>
      </c>
      <c r="D1953" s="14"/>
      <c r="E1953" s="15">
        <f>+SUM!H1954</f>
        <v>218538</v>
      </c>
      <c r="F1953" s="16">
        <f t="shared" si="111"/>
        <v>0</v>
      </c>
      <c r="G1953">
        <f t="shared" si="106"/>
        <v>0</v>
      </c>
    </row>
    <row r="1954" spans="1:7" hidden="1" x14ac:dyDescent="0.25">
      <c r="A1954" s="85" t="s">
        <v>4595</v>
      </c>
      <c r="B1954" s="81" t="s">
        <v>4582</v>
      </c>
      <c r="C1954" s="26" t="s">
        <v>37</v>
      </c>
      <c r="D1954" s="14"/>
      <c r="E1954" s="15">
        <f>+SUM!H1955</f>
        <v>258397</v>
      </c>
      <c r="F1954" s="16">
        <f t="shared" si="111"/>
        <v>0</v>
      </c>
      <c r="G1954">
        <f t="shared" si="106"/>
        <v>0</v>
      </c>
    </row>
    <row r="1955" spans="1:7" hidden="1" x14ac:dyDescent="0.25">
      <c r="A1955" s="85" t="s">
        <v>4596</v>
      </c>
      <c r="B1955" s="81" t="s">
        <v>4583</v>
      </c>
      <c r="C1955" s="26" t="s">
        <v>37</v>
      </c>
      <c r="D1955" s="14"/>
      <c r="E1955" s="15">
        <f>+SUM!H1956</f>
        <v>269392</v>
      </c>
      <c r="F1955" s="16">
        <f t="shared" si="111"/>
        <v>0</v>
      </c>
      <c r="G1955">
        <f t="shared" si="106"/>
        <v>0</v>
      </c>
    </row>
    <row r="1956" spans="1:7" hidden="1" x14ac:dyDescent="0.25">
      <c r="A1956" s="85" t="s">
        <v>4597</v>
      </c>
      <c r="B1956" s="81" t="s">
        <v>4584</v>
      </c>
      <c r="C1956" s="26" t="s">
        <v>37</v>
      </c>
      <c r="D1956" s="14"/>
      <c r="E1956" s="15">
        <f>+SUM!H1957</f>
        <v>481058</v>
      </c>
      <c r="F1956" s="16">
        <f t="shared" si="111"/>
        <v>0</v>
      </c>
      <c r="G1956">
        <f t="shared" ref="G1956:G2019" si="112">+IF(F1956&lt;&gt;0,1,0)</f>
        <v>0</v>
      </c>
    </row>
    <row r="1957" spans="1:7" hidden="1" x14ac:dyDescent="0.25">
      <c r="A1957" s="85" t="s">
        <v>4598</v>
      </c>
      <c r="B1957" s="81" t="s">
        <v>4585</v>
      </c>
      <c r="C1957" s="26" t="s">
        <v>37</v>
      </c>
      <c r="D1957" s="14"/>
      <c r="E1957" s="15">
        <f>+SUM!H1958</f>
        <v>558027</v>
      </c>
      <c r="F1957" s="16">
        <f t="shared" si="111"/>
        <v>0</v>
      </c>
      <c r="G1957">
        <f t="shared" si="112"/>
        <v>0</v>
      </c>
    </row>
    <row r="1958" spans="1:7" hidden="1" x14ac:dyDescent="0.25">
      <c r="A1958" s="85" t="s">
        <v>4599</v>
      </c>
      <c r="B1958" s="81" t="s">
        <v>4586</v>
      </c>
      <c r="C1958" s="26" t="s">
        <v>37</v>
      </c>
      <c r="D1958" s="14"/>
      <c r="E1958" s="15">
        <f>+SUM!H1959</f>
        <v>678978</v>
      </c>
      <c r="F1958" s="16">
        <f t="shared" si="111"/>
        <v>0</v>
      </c>
      <c r="G1958">
        <f t="shared" si="112"/>
        <v>0</v>
      </c>
    </row>
    <row r="1959" spans="1:7" hidden="1" x14ac:dyDescent="0.25">
      <c r="A1959" s="85" t="s">
        <v>4600</v>
      </c>
      <c r="B1959" s="81" t="s">
        <v>4587</v>
      </c>
      <c r="C1959" s="26" t="s">
        <v>37</v>
      </c>
      <c r="D1959" s="14"/>
      <c r="E1959" s="15">
        <f>+SUM!H1960</f>
        <v>700970</v>
      </c>
      <c r="F1959" s="16">
        <f t="shared" si="111"/>
        <v>0</v>
      </c>
      <c r="G1959">
        <f t="shared" si="112"/>
        <v>0</v>
      </c>
    </row>
    <row r="1960" spans="1:7" hidden="1" x14ac:dyDescent="0.25">
      <c r="A1960" s="85" t="s">
        <v>4601</v>
      </c>
      <c r="B1960" s="81" t="s">
        <v>4588</v>
      </c>
      <c r="C1960" s="26" t="s">
        <v>37</v>
      </c>
      <c r="D1960" s="14"/>
      <c r="E1960" s="15">
        <f>+SUM!H1961</f>
        <v>743577</v>
      </c>
      <c r="F1960" s="16">
        <f t="shared" si="111"/>
        <v>0</v>
      </c>
      <c r="G1960">
        <f t="shared" si="112"/>
        <v>0</v>
      </c>
    </row>
    <row r="1961" spans="1:7" x14ac:dyDescent="0.25">
      <c r="A1961" s="78" t="s">
        <v>4589</v>
      </c>
      <c r="B1961" s="80" t="s">
        <v>993</v>
      </c>
      <c r="C1961" s="14"/>
      <c r="D1961" s="14"/>
      <c r="E1961" s="15"/>
      <c r="F1961" s="16"/>
      <c r="G1961">
        <v>1</v>
      </c>
    </row>
    <row r="1962" spans="1:7" hidden="1" x14ac:dyDescent="0.25">
      <c r="A1962" s="78" t="s">
        <v>4603</v>
      </c>
      <c r="B1962" s="80" t="s">
        <v>4602</v>
      </c>
      <c r="C1962" s="14"/>
      <c r="D1962" s="14"/>
      <c r="E1962" s="15"/>
      <c r="F1962" s="16"/>
      <c r="G1962">
        <f t="shared" si="112"/>
        <v>0</v>
      </c>
    </row>
    <row r="1963" spans="1:7" hidden="1" x14ac:dyDescent="0.25">
      <c r="A1963" s="85" t="s">
        <v>4604</v>
      </c>
      <c r="B1963" s="81" t="s">
        <v>4605</v>
      </c>
      <c r="C1963" s="26" t="s">
        <v>37</v>
      </c>
      <c r="D1963" s="14"/>
      <c r="E1963" s="15">
        <f>+SUM!H1966</f>
        <v>63225</v>
      </c>
      <c r="F1963" s="16">
        <f t="shared" ref="F1963:F1974" si="113">+D1963*E1963</f>
        <v>0</v>
      </c>
      <c r="G1963">
        <f t="shared" si="112"/>
        <v>0</v>
      </c>
    </row>
    <row r="1964" spans="1:7" hidden="1" x14ac:dyDescent="0.25">
      <c r="A1964" s="85" t="s">
        <v>4616</v>
      </c>
      <c r="B1964" s="81" t="s">
        <v>6519</v>
      </c>
      <c r="C1964" s="26" t="s">
        <v>37</v>
      </c>
      <c r="D1964" s="14"/>
      <c r="E1964" s="15">
        <f>+SUM!H1967</f>
        <v>109956</v>
      </c>
      <c r="F1964" s="16">
        <f t="shared" si="113"/>
        <v>0</v>
      </c>
      <c r="G1964">
        <f t="shared" si="112"/>
        <v>0</v>
      </c>
    </row>
    <row r="1965" spans="1:7" hidden="1" x14ac:dyDescent="0.25">
      <c r="A1965" s="85" t="s">
        <v>4617</v>
      </c>
      <c r="B1965" s="81" t="s">
        <v>4606</v>
      </c>
      <c r="C1965" s="26" t="s">
        <v>37</v>
      </c>
      <c r="D1965" s="14"/>
      <c r="E1965" s="15">
        <f>+SUM!H1968</f>
        <v>142943</v>
      </c>
      <c r="F1965" s="16">
        <f t="shared" si="113"/>
        <v>0</v>
      </c>
      <c r="G1965">
        <f t="shared" si="112"/>
        <v>0</v>
      </c>
    </row>
    <row r="1966" spans="1:7" x14ac:dyDescent="0.25">
      <c r="A1966" s="85" t="s">
        <v>4618</v>
      </c>
      <c r="B1966" s="81" t="s">
        <v>4607</v>
      </c>
      <c r="C1966" s="26" t="s">
        <v>37</v>
      </c>
      <c r="D1966" s="14">
        <v>2</v>
      </c>
      <c r="E1966" s="15">
        <f>+SUM!H1969</f>
        <v>230908</v>
      </c>
      <c r="F1966" s="16">
        <f t="shared" si="113"/>
        <v>461816</v>
      </c>
      <c r="G1966">
        <f t="shared" si="112"/>
        <v>1</v>
      </c>
    </row>
    <row r="1967" spans="1:7" hidden="1" x14ac:dyDescent="0.25">
      <c r="A1967" s="85" t="s">
        <v>4619</v>
      </c>
      <c r="B1967" s="81" t="s">
        <v>4608</v>
      </c>
      <c r="C1967" s="26" t="s">
        <v>37</v>
      </c>
      <c r="D1967" s="14"/>
      <c r="E1967" s="15">
        <f>+SUM!H1970</f>
        <v>372476</v>
      </c>
      <c r="F1967" s="16">
        <f t="shared" si="113"/>
        <v>0</v>
      </c>
      <c r="G1967">
        <f t="shared" si="112"/>
        <v>0</v>
      </c>
    </row>
    <row r="1968" spans="1:7" x14ac:dyDescent="0.25">
      <c r="A1968" s="85" t="s">
        <v>4620</v>
      </c>
      <c r="B1968" s="81" t="s">
        <v>4609</v>
      </c>
      <c r="C1968" s="26" t="s">
        <v>37</v>
      </c>
      <c r="D1968" s="14">
        <v>2</v>
      </c>
      <c r="E1968" s="15">
        <f>+SUM!H1971</f>
        <v>678978</v>
      </c>
      <c r="F1968" s="16">
        <f t="shared" si="113"/>
        <v>1357956</v>
      </c>
      <c r="G1968">
        <f t="shared" si="112"/>
        <v>1</v>
      </c>
    </row>
    <row r="1969" spans="1:7" hidden="1" x14ac:dyDescent="0.25">
      <c r="A1969" s="85" t="s">
        <v>4621</v>
      </c>
      <c r="B1969" s="81" t="s">
        <v>4610</v>
      </c>
      <c r="C1969" s="26" t="s">
        <v>37</v>
      </c>
      <c r="D1969" s="14"/>
      <c r="E1969" s="15">
        <f>+SUM!H1972</f>
        <v>872776</v>
      </c>
      <c r="F1969" s="16">
        <f t="shared" si="113"/>
        <v>0</v>
      </c>
      <c r="G1969">
        <f t="shared" si="112"/>
        <v>0</v>
      </c>
    </row>
    <row r="1970" spans="1:7" hidden="1" x14ac:dyDescent="0.25">
      <c r="A1970" s="85" t="s">
        <v>4622</v>
      </c>
      <c r="B1970" s="81" t="s">
        <v>4611</v>
      </c>
      <c r="C1970" s="26" t="s">
        <v>37</v>
      </c>
      <c r="D1970" s="14"/>
      <c r="E1970" s="15">
        <f>+SUM!H1973</f>
        <v>1164159</v>
      </c>
      <c r="F1970" s="16">
        <f t="shared" si="113"/>
        <v>0</v>
      </c>
      <c r="G1970">
        <f t="shared" si="112"/>
        <v>0</v>
      </c>
    </row>
    <row r="1971" spans="1:7" hidden="1" x14ac:dyDescent="0.25">
      <c r="A1971" s="85" t="s">
        <v>4623</v>
      </c>
      <c r="B1971" s="81" t="s">
        <v>4612</v>
      </c>
      <c r="C1971" s="26" t="s">
        <v>37</v>
      </c>
      <c r="D1971" s="14"/>
      <c r="E1971" s="15">
        <f>+SUM!H1974</f>
        <v>1551754</v>
      </c>
      <c r="F1971" s="16">
        <f t="shared" si="113"/>
        <v>0</v>
      </c>
      <c r="G1971">
        <f t="shared" si="112"/>
        <v>0</v>
      </c>
    </row>
    <row r="1972" spans="1:7" hidden="1" x14ac:dyDescent="0.25">
      <c r="A1972" s="85" t="s">
        <v>4624</v>
      </c>
      <c r="B1972" s="81" t="s">
        <v>4613</v>
      </c>
      <c r="C1972" s="26" t="s">
        <v>37</v>
      </c>
      <c r="D1972" s="14"/>
      <c r="E1972" s="15">
        <f>+SUM!H1975</f>
        <v>1915983</v>
      </c>
      <c r="F1972" s="16">
        <f t="shared" si="113"/>
        <v>0</v>
      </c>
      <c r="G1972">
        <f t="shared" si="112"/>
        <v>0</v>
      </c>
    </row>
    <row r="1973" spans="1:7" hidden="1" x14ac:dyDescent="0.25">
      <c r="A1973" s="85" t="s">
        <v>4625</v>
      </c>
      <c r="B1973" s="81" t="s">
        <v>4614</v>
      </c>
      <c r="C1973" s="26" t="s">
        <v>37</v>
      </c>
      <c r="D1973" s="14"/>
      <c r="E1973" s="15">
        <f>+SUM!H1976</f>
        <v>2218362</v>
      </c>
      <c r="F1973" s="16">
        <f t="shared" si="113"/>
        <v>0</v>
      </c>
      <c r="G1973">
        <f t="shared" si="112"/>
        <v>0</v>
      </c>
    </row>
    <row r="1974" spans="1:7" hidden="1" x14ac:dyDescent="0.25">
      <c r="A1974" s="85" t="s">
        <v>4626</v>
      </c>
      <c r="B1974" s="81" t="s">
        <v>4615</v>
      </c>
      <c r="C1974" s="26" t="s">
        <v>37</v>
      </c>
      <c r="D1974" s="14"/>
      <c r="E1974" s="15">
        <f>+SUM!H1977</f>
        <v>3030662</v>
      </c>
      <c r="F1974" s="16">
        <f t="shared" si="113"/>
        <v>0</v>
      </c>
      <c r="G1974">
        <f t="shared" si="112"/>
        <v>0</v>
      </c>
    </row>
    <row r="1975" spans="1:7" hidden="1" x14ac:dyDescent="0.25">
      <c r="A1975" s="78" t="s">
        <v>4627</v>
      </c>
      <c r="B1975" s="80" t="s">
        <v>4628</v>
      </c>
      <c r="C1975" s="14"/>
      <c r="D1975" s="14"/>
      <c r="E1975" s="15">
        <f>+SUM!H1978</f>
        <v>0</v>
      </c>
      <c r="F1975" s="16"/>
      <c r="G1975">
        <f t="shared" si="112"/>
        <v>0</v>
      </c>
    </row>
    <row r="1976" spans="1:7" hidden="1" x14ac:dyDescent="0.25">
      <c r="A1976" s="85" t="s">
        <v>4640</v>
      </c>
      <c r="B1976" s="81" t="s">
        <v>4629</v>
      </c>
      <c r="C1976" s="26" t="s">
        <v>37</v>
      </c>
      <c r="D1976" s="14"/>
      <c r="E1976" s="15">
        <f>+SUM!H1979</f>
        <v>67348</v>
      </c>
      <c r="F1976" s="16">
        <f t="shared" ref="F1976:F1987" si="114">+D1976*E1976</f>
        <v>0</v>
      </c>
      <c r="G1976">
        <f t="shared" si="112"/>
        <v>0</v>
      </c>
    </row>
    <row r="1977" spans="1:7" hidden="1" x14ac:dyDescent="0.25">
      <c r="A1977" s="85" t="s">
        <v>4641</v>
      </c>
      <c r="B1977" s="81" t="s">
        <v>4630</v>
      </c>
      <c r="C1977" s="26" t="s">
        <v>37</v>
      </c>
      <c r="D1977" s="14"/>
      <c r="E1977" s="15">
        <f>+SUM!H1980</f>
        <v>104458</v>
      </c>
      <c r="F1977" s="16">
        <f t="shared" si="114"/>
        <v>0</v>
      </c>
      <c r="G1977">
        <f t="shared" si="112"/>
        <v>0</v>
      </c>
    </row>
    <row r="1978" spans="1:7" hidden="1" x14ac:dyDescent="0.25">
      <c r="A1978" s="85" t="s">
        <v>4642</v>
      </c>
      <c r="B1978" s="81" t="s">
        <v>4630</v>
      </c>
      <c r="C1978" s="26" t="s">
        <v>37</v>
      </c>
      <c r="D1978" s="14"/>
      <c r="E1978" s="15">
        <f>+SUM!H1981</f>
        <v>153938</v>
      </c>
      <c r="F1978" s="16">
        <f t="shared" si="114"/>
        <v>0</v>
      </c>
      <c r="G1978">
        <f t="shared" si="112"/>
        <v>0</v>
      </c>
    </row>
    <row r="1979" spans="1:7" hidden="1" x14ac:dyDescent="0.25">
      <c r="A1979" s="85" t="s">
        <v>4643</v>
      </c>
      <c r="B1979" s="81" t="s">
        <v>4631</v>
      </c>
      <c r="C1979" s="26" t="s">
        <v>37</v>
      </c>
      <c r="D1979" s="14"/>
      <c r="E1979" s="15">
        <f>+SUM!H1982</f>
        <v>197921</v>
      </c>
      <c r="F1979" s="16">
        <f t="shared" si="114"/>
        <v>0</v>
      </c>
      <c r="G1979">
        <f t="shared" si="112"/>
        <v>0</v>
      </c>
    </row>
    <row r="1980" spans="1:7" hidden="1" x14ac:dyDescent="0.25">
      <c r="A1980" s="85" t="s">
        <v>4644</v>
      </c>
      <c r="B1980" s="81" t="s">
        <v>4632</v>
      </c>
      <c r="C1980" s="26" t="s">
        <v>37</v>
      </c>
      <c r="D1980" s="14"/>
      <c r="E1980" s="15">
        <f>+SUM!H1983</f>
        <v>328494</v>
      </c>
      <c r="F1980" s="16">
        <f t="shared" si="114"/>
        <v>0</v>
      </c>
      <c r="G1980">
        <f t="shared" si="112"/>
        <v>0</v>
      </c>
    </row>
    <row r="1981" spans="1:7" hidden="1" x14ac:dyDescent="0.25">
      <c r="A1981" s="85" t="s">
        <v>4645</v>
      </c>
      <c r="B1981" s="81" t="s">
        <v>4633</v>
      </c>
      <c r="C1981" s="26" t="s">
        <v>37</v>
      </c>
      <c r="D1981" s="14"/>
      <c r="E1981" s="15">
        <f>+SUM!H1984</f>
        <v>551154</v>
      </c>
      <c r="F1981" s="16">
        <f t="shared" si="114"/>
        <v>0</v>
      </c>
      <c r="G1981">
        <f t="shared" si="112"/>
        <v>0</v>
      </c>
    </row>
    <row r="1982" spans="1:7" hidden="1" x14ac:dyDescent="0.25">
      <c r="A1982" s="85" t="s">
        <v>4646</v>
      </c>
      <c r="B1982" s="81" t="s">
        <v>4634</v>
      </c>
      <c r="C1982" s="26" t="s">
        <v>37</v>
      </c>
      <c r="D1982" s="14"/>
      <c r="E1982" s="15">
        <f>+SUM!H1985</f>
        <v>606132</v>
      </c>
      <c r="F1982" s="16">
        <f t="shared" si="114"/>
        <v>0</v>
      </c>
      <c r="G1982">
        <f t="shared" si="112"/>
        <v>0</v>
      </c>
    </row>
    <row r="1983" spans="1:7" hidden="1" x14ac:dyDescent="0.25">
      <c r="A1983" s="85" t="s">
        <v>4647</v>
      </c>
      <c r="B1983" s="81" t="s">
        <v>4635</v>
      </c>
      <c r="C1983" s="26" t="s">
        <v>37</v>
      </c>
      <c r="D1983" s="14"/>
      <c r="E1983" s="15">
        <f>+SUM!H1986</f>
        <v>865904</v>
      </c>
      <c r="F1983" s="16">
        <f t="shared" si="114"/>
        <v>0</v>
      </c>
      <c r="G1983">
        <f t="shared" si="112"/>
        <v>0</v>
      </c>
    </row>
    <row r="1984" spans="1:7" hidden="1" x14ac:dyDescent="0.25">
      <c r="A1984" s="85" t="s">
        <v>4648</v>
      </c>
      <c r="B1984" s="81" t="s">
        <v>4636</v>
      </c>
      <c r="C1984" s="26" t="s">
        <v>37</v>
      </c>
      <c r="D1984" s="14"/>
      <c r="E1984" s="15">
        <f>+SUM!H1987</f>
        <v>1188899</v>
      </c>
      <c r="F1984" s="16">
        <f t="shared" si="114"/>
        <v>0</v>
      </c>
      <c r="G1984">
        <f t="shared" si="112"/>
        <v>0</v>
      </c>
    </row>
    <row r="1985" spans="1:7" hidden="1" x14ac:dyDescent="0.25">
      <c r="A1985" s="85" t="s">
        <v>4649</v>
      </c>
      <c r="B1985" s="81" t="s">
        <v>4637</v>
      </c>
      <c r="C1985" s="26" t="s">
        <v>37</v>
      </c>
      <c r="D1985" s="14"/>
      <c r="E1985" s="15">
        <f>+SUM!H1988</f>
        <v>1685076</v>
      </c>
      <c r="F1985" s="16">
        <f t="shared" si="114"/>
        <v>0</v>
      </c>
      <c r="G1985">
        <f t="shared" si="112"/>
        <v>0</v>
      </c>
    </row>
    <row r="1986" spans="1:7" hidden="1" x14ac:dyDescent="0.25">
      <c r="A1986" s="85" t="s">
        <v>4650</v>
      </c>
      <c r="B1986" s="81" t="s">
        <v>4638</v>
      </c>
      <c r="C1986" s="26" t="s">
        <v>37</v>
      </c>
      <c r="D1986" s="14"/>
      <c r="E1986" s="15">
        <f>+SUM!H1989</f>
        <v>2292583</v>
      </c>
      <c r="F1986" s="16">
        <f t="shared" si="114"/>
        <v>0</v>
      </c>
      <c r="G1986">
        <f t="shared" si="112"/>
        <v>0</v>
      </c>
    </row>
    <row r="1987" spans="1:7" hidden="1" x14ac:dyDescent="0.25">
      <c r="A1987" s="85" t="s">
        <v>4651</v>
      </c>
      <c r="B1987" s="81" t="s">
        <v>4639</v>
      </c>
      <c r="C1987" s="26" t="s">
        <v>37</v>
      </c>
      <c r="D1987" s="14"/>
      <c r="E1987" s="15">
        <f>+SUM!H1990</f>
        <v>3234081</v>
      </c>
      <c r="F1987" s="16">
        <f t="shared" si="114"/>
        <v>0</v>
      </c>
      <c r="G1987">
        <f t="shared" si="112"/>
        <v>0</v>
      </c>
    </row>
    <row r="1988" spans="1:7" hidden="1" x14ac:dyDescent="0.25">
      <c r="A1988" s="78" t="s">
        <v>4660</v>
      </c>
      <c r="B1988" s="80" t="s">
        <v>4671</v>
      </c>
      <c r="C1988" s="14"/>
      <c r="D1988" s="14"/>
      <c r="E1988" s="15">
        <f>+SUM!H1991</f>
        <v>0</v>
      </c>
      <c r="F1988" s="16"/>
      <c r="G1988">
        <f t="shared" si="112"/>
        <v>0</v>
      </c>
    </row>
    <row r="1989" spans="1:7" hidden="1" x14ac:dyDescent="0.25">
      <c r="A1989" s="85" t="s">
        <v>4661</v>
      </c>
      <c r="B1989" s="81" t="s">
        <v>4652</v>
      </c>
      <c r="C1989" s="26" t="s">
        <v>37</v>
      </c>
      <c r="D1989" s="14"/>
      <c r="E1989" s="15">
        <f>+SUM!H1992</f>
        <v>42608</v>
      </c>
      <c r="F1989" s="16">
        <f t="shared" ref="F1989:F1995" si="115">+D1989*E1989</f>
        <v>0</v>
      </c>
      <c r="G1989">
        <f t="shared" si="112"/>
        <v>0</v>
      </c>
    </row>
    <row r="1990" spans="1:7" hidden="1" x14ac:dyDescent="0.25">
      <c r="A1990" s="85" t="s">
        <v>4662</v>
      </c>
      <c r="B1990" s="81" t="s">
        <v>4653</v>
      </c>
      <c r="C1990" s="26" t="s">
        <v>37</v>
      </c>
      <c r="D1990" s="14"/>
      <c r="E1990" s="15">
        <f>+SUM!H1993</f>
        <v>54978</v>
      </c>
      <c r="F1990" s="16">
        <f t="shared" si="115"/>
        <v>0</v>
      </c>
      <c r="G1990">
        <f t="shared" si="112"/>
        <v>0</v>
      </c>
    </row>
    <row r="1991" spans="1:7" hidden="1" x14ac:dyDescent="0.25">
      <c r="A1991" s="85" t="s">
        <v>4663</v>
      </c>
      <c r="B1991" s="81" t="s">
        <v>4654</v>
      </c>
      <c r="C1991" s="26" t="s">
        <v>37</v>
      </c>
      <c r="D1991" s="14"/>
      <c r="E1991" s="15">
        <f>+SUM!H1994</f>
        <v>65974</v>
      </c>
      <c r="F1991" s="16">
        <f t="shared" si="115"/>
        <v>0</v>
      </c>
      <c r="G1991">
        <f t="shared" si="112"/>
        <v>0</v>
      </c>
    </row>
    <row r="1992" spans="1:7" hidden="1" x14ac:dyDescent="0.25">
      <c r="A1992" s="85" t="s">
        <v>4664</v>
      </c>
      <c r="B1992" s="81" t="s">
        <v>4655</v>
      </c>
      <c r="C1992" s="26" t="s">
        <v>37</v>
      </c>
      <c r="D1992" s="14"/>
      <c r="E1992" s="15">
        <f>+SUM!H1995</f>
        <v>87965</v>
      </c>
      <c r="F1992" s="16">
        <f t="shared" si="115"/>
        <v>0</v>
      </c>
      <c r="G1992">
        <f t="shared" si="112"/>
        <v>0</v>
      </c>
    </row>
    <row r="1993" spans="1:7" hidden="1" x14ac:dyDescent="0.25">
      <c r="A1993" s="85" t="s">
        <v>4665</v>
      </c>
      <c r="B1993" s="81" t="s">
        <v>4656</v>
      </c>
      <c r="C1993" s="26" t="s">
        <v>37</v>
      </c>
      <c r="D1993" s="14"/>
      <c r="E1993" s="15">
        <f>+SUM!H1996</f>
        <v>112705</v>
      </c>
      <c r="F1993" s="16">
        <f t="shared" si="115"/>
        <v>0</v>
      </c>
      <c r="G1993">
        <f t="shared" si="112"/>
        <v>0</v>
      </c>
    </row>
    <row r="1994" spans="1:7" hidden="1" x14ac:dyDescent="0.25">
      <c r="A1994" s="85" t="s">
        <v>4666</v>
      </c>
      <c r="B1994" s="81" t="s">
        <v>4657</v>
      </c>
      <c r="C1994" s="26" t="s">
        <v>37</v>
      </c>
      <c r="D1994" s="14"/>
      <c r="E1994" s="15">
        <f>+SUM!H1997</f>
        <v>206168</v>
      </c>
      <c r="F1994" s="16">
        <f t="shared" si="115"/>
        <v>0</v>
      </c>
      <c r="G1994">
        <f t="shared" si="112"/>
        <v>0</v>
      </c>
    </row>
    <row r="1995" spans="1:7" hidden="1" x14ac:dyDescent="0.25">
      <c r="A1995" s="85" t="s">
        <v>4667</v>
      </c>
      <c r="B1995" s="81" t="s">
        <v>4658</v>
      </c>
      <c r="C1995" s="26" t="s">
        <v>37</v>
      </c>
      <c r="D1995" s="14"/>
      <c r="E1995" s="15">
        <f>+SUM!H1998</f>
        <v>376599</v>
      </c>
      <c r="F1995" s="16">
        <f t="shared" si="115"/>
        <v>0</v>
      </c>
      <c r="G1995">
        <f t="shared" si="112"/>
        <v>0</v>
      </c>
    </row>
    <row r="1996" spans="1:7" hidden="1" x14ac:dyDescent="0.25">
      <c r="A1996" s="78" t="s">
        <v>4668</v>
      </c>
      <c r="B1996" s="80" t="s">
        <v>995</v>
      </c>
      <c r="C1996" s="14"/>
      <c r="D1996" s="14"/>
      <c r="E1996" s="15">
        <f>+SUM!H1999</f>
        <v>0</v>
      </c>
      <c r="F1996" s="16"/>
      <c r="G1996">
        <f t="shared" si="112"/>
        <v>0</v>
      </c>
    </row>
    <row r="1997" spans="1:7" hidden="1" x14ac:dyDescent="0.25">
      <c r="A1997" s="78" t="s">
        <v>4669</v>
      </c>
      <c r="B1997" s="80" t="s">
        <v>4670</v>
      </c>
      <c r="C1997" s="14"/>
      <c r="D1997" s="14"/>
      <c r="E1997" s="15">
        <f>+SUM!H2000</f>
        <v>0</v>
      </c>
      <c r="F1997" s="16"/>
      <c r="G1997">
        <f t="shared" si="112"/>
        <v>0</v>
      </c>
    </row>
    <row r="1998" spans="1:7" hidden="1" x14ac:dyDescent="0.25">
      <c r="A1998" s="78" t="s">
        <v>4672</v>
      </c>
      <c r="B1998" s="80" t="s">
        <v>4673</v>
      </c>
      <c r="C1998" s="14"/>
      <c r="D1998" s="14"/>
      <c r="E1998" s="15">
        <f>+SUM!H2001</f>
        <v>0</v>
      </c>
      <c r="F1998" s="16"/>
      <c r="G1998">
        <f t="shared" si="112"/>
        <v>0</v>
      </c>
    </row>
    <row r="1999" spans="1:7" hidden="1" x14ac:dyDescent="0.25">
      <c r="A1999" s="85" t="s">
        <v>4674</v>
      </c>
      <c r="B1999" s="81" t="s">
        <v>4683</v>
      </c>
      <c r="C1999" s="26" t="s">
        <v>37</v>
      </c>
      <c r="D1999" s="14"/>
      <c r="E1999" s="15">
        <f>+SUM!H2002</f>
        <v>23366</v>
      </c>
      <c r="F1999" s="16">
        <f t="shared" ref="F1999:F2005" si="116">+D1999*E1999</f>
        <v>0</v>
      </c>
      <c r="G1999">
        <f t="shared" si="112"/>
        <v>0</v>
      </c>
    </row>
    <row r="2000" spans="1:7" hidden="1" x14ac:dyDescent="0.25">
      <c r="A2000" s="85" t="s">
        <v>4675</v>
      </c>
      <c r="B2000" s="81" t="s">
        <v>4684</v>
      </c>
      <c r="C2000" s="26" t="s">
        <v>37</v>
      </c>
      <c r="D2000" s="14"/>
      <c r="E2000" s="15">
        <f>+SUM!H2003</f>
        <v>26115</v>
      </c>
      <c r="F2000" s="16">
        <f t="shared" si="116"/>
        <v>0</v>
      </c>
      <c r="G2000">
        <f t="shared" si="112"/>
        <v>0</v>
      </c>
    </row>
    <row r="2001" spans="1:7" hidden="1" x14ac:dyDescent="0.25">
      <c r="A2001" s="85" t="s">
        <v>4676</v>
      </c>
      <c r="B2001" s="81" t="s">
        <v>4685</v>
      </c>
      <c r="C2001" s="26" t="s">
        <v>37</v>
      </c>
      <c r="D2001" s="14"/>
      <c r="E2001" s="15">
        <f>+SUM!H2004</f>
        <v>30238</v>
      </c>
      <c r="F2001" s="16">
        <f t="shared" si="116"/>
        <v>0</v>
      </c>
      <c r="G2001">
        <f t="shared" si="112"/>
        <v>0</v>
      </c>
    </row>
    <row r="2002" spans="1:7" hidden="1" x14ac:dyDescent="0.25">
      <c r="A2002" s="85" t="s">
        <v>4677</v>
      </c>
      <c r="B2002" s="81" t="s">
        <v>4686</v>
      </c>
      <c r="C2002" s="26" t="s">
        <v>37</v>
      </c>
      <c r="D2002" s="14"/>
      <c r="E2002" s="15">
        <f>+SUM!H2005</f>
        <v>45357</v>
      </c>
      <c r="F2002" s="16">
        <f t="shared" si="116"/>
        <v>0</v>
      </c>
      <c r="G2002">
        <f t="shared" si="112"/>
        <v>0</v>
      </c>
    </row>
    <row r="2003" spans="1:7" hidden="1" x14ac:dyDescent="0.25">
      <c r="A2003" s="85" t="s">
        <v>4678</v>
      </c>
      <c r="B2003" s="81" t="s">
        <v>4687</v>
      </c>
      <c r="C2003" s="26" t="s">
        <v>37</v>
      </c>
      <c r="D2003" s="14"/>
      <c r="E2003" s="15">
        <f>+SUM!H2006</f>
        <v>59101</v>
      </c>
      <c r="F2003" s="16">
        <f t="shared" si="116"/>
        <v>0</v>
      </c>
      <c r="G2003">
        <f t="shared" si="112"/>
        <v>0</v>
      </c>
    </row>
    <row r="2004" spans="1:7" hidden="1" x14ac:dyDescent="0.25">
      <c r="A2004" s="85" t="s">
        <v>4679</v>
      </c>
      <c r="B2004" s="81" t="s">
        <v>4688</v>
      </c>
      <c r="C2004" s="26" t="s">
        <v>37</v>
      </c>
      <c r="D2004" s="14"/>
      <c r="E2004" s="15">
        <f>+SUM!H2007</f>
        <v>64599</v>
      </c>
      <c r="F2004" s="16">
        <f t="shared" si="116"/>
        <v>0</v>
      </c>
      <c r="G2004">
        <f t="shared" si="112"/>
        <v>0</v>
      </c>
    </row>
    <row r="2005" spans="1:7" hidden="1" x14ac:dyDescent="0.25">
      <c r="A2005" s="85" t="s">
        <v>4680</v>
      </c>
      <c r="B2005" s="81" t="s">
        <v>4689</v>
      </c>
      <c r="C2005" s="26" t="s">
        <v>37</v>
      </c>
      <c r="D2005" s="14"/>
      <c r="E2005" s="15">
        <f>+SUM!H2008</f>
        <v>94837</v>
      </c>
      <c r="F2005" s="16">
        <f t="shared" si="116"/>
        <v>0</v>
      </c>
      <c r="G2005">
        <f t="shared" si="112"/>
        <v>0</v>
      </c>
    </row>
    <row r="2006" spans="1:7" hidden="1" x14ac:dyDescent="0.25">
      <c r="A2006" s="78" t="s">
        <v>4682</v>
      </c>
      <c r="B2006" s="80" t="s">
        <v>4681</v>
      </c>
      <c r="C2006" s="14"/>
      <c r="D2006" s="14"/>
      <c r="E2006" s="15">
        <f>+SUM!H2009</f>
        <v>0</v>
      </c>
      <c r="F2006" s="16"/>
      <c r="G2006">
        <f t="shared" si="112"/>
        <v>0</v>
      </c>
    </row>
    <row r="2007" spans="1:7" hidden="1" x14ac:dyDescent="0.25">
      <c r="A2007" s="85" t="s">
        <v>4690</v>
      </c>
      <c r="B2007" s="81" t="s">
        <v>4683</v>
      </c>
      <c r="C2007" s="26" t="s">
        <v>37</v>
      </c>
      <c r="D2007" s="14"/>
      <c r="E2007" s="15">
        <f>+SUM!H2010</f>
        <v>23366</v>
      </c>
      <c r="F2007" s="16">
        <f t="shared" ref="F2007:F2013" si="117">+D2007*E2007</f>
        <v>0</v>
      </c>
      <c r="G2007">
        <f t="shared" si="112"/>
        <v>0</v>
      </c>
    </row>
    <row r="2008" spans="1:7" hidden="1" x14ac:dyDescent="0.25">
      <c r="A2008" s="85" t="s">
        <v>4691</v>
      </c>
      <c r="B2008" s="81" t="s">
        <v>4684</v>
      </c>
      <c r="C2008" s="26" t="s">
        <v>37</v>
      </c>
      <c r="D2008" s="14"/>
      <c r="E2008" s="15">
        <f>+SUM!H2011</f>
        <v>24740</v>
      </c>
      <c r="F2008" s="16">
        <f t="shared" si="117"/>
        <v>0</v>
      </c>
      <c r="G2008">
        <f t="shared" si="112"/>
        <v>0</v>
      </c>
    </row>
    <row r="2009" spans="1:7" hidden="1" x14ac:dyDescent="0.25">
      <c r="A2009" s="85" t="s">
        <v>4692</v>
      </c>
      <c r="B2009" s="81" t="s">
        <v>4685</v>
      </c>
      <c r="C2009" s="26" t="s">
        <v>37</v>
      </c>
      <c r="D2009" s="14"/>
      <c r="E2009" s="15">
        <f>+SUM!H2012</f>
        <v>30238</v>
      </c>
      <c r="F2009" s="16">
        <f t="shared" si="117"/>
        <v>0</v>
      </c>
      <c r="G2009">
        <f t="shared" si="112"/>
        <v>0</v>
      </c>
    </row>
    <row r="2010" spans="1:7" hidden="1" x14ac:dyDescent="0.25">
      <c r="A2010" s="85" t="s">
        <v>4693</v>
      </c>
      <c r="B2010" s="81" t="s">
        <v>4686</v>
      </c>
      <c r="C2010" s="26" t="s">
        <v>37</v>
      </c>
      <c r="D2010" s="14"/>
      <c r="E2010" s="15">
        <f>+SUM!H2013</f>
        <v>45357</v>
      </c>
      <c r="F2010" s="16">
        <f t="shared" si="117"/>
        <v>0</v>
      </c>
      <c r="G2010">
        <f t="shared" si="112"/>
        <v>0</v>
      </c>
    </row>
    <row r="2011" spans="1:7" hidden="1" x14ac:dyDescent="0.25">
      <c r="A2011" s="85" t="s">
        <v>4694</v>
      </c>
      <c r="B2011" s="81" t="s">
        <v>4687</v>
      </c>
      <c r="C2011" s="26" t="s">
        <v>37</v>
      </c>
      <c r="D2011" s="14"/>
      <c r="E2011" s="15">
        <f>+SUM!H2014</f>
        <v>59101</v>
      </c>
      <c r="F2011" s="16">
        <f t="shared" si="117"/>
        <v>0</v>
      </c>
      <c r="G2011">
        <f t="shared" si="112"/>
        <v>0</v>
      </c>
    </row>
    <row r="2012" spans="1:7" hidden="1" x14ac:dyDescent="0.25">
      <c r="A2012" s="85" t="s">
        <v>4695</v>
      </c>
      <c r="B2012" s="81" t="s">
        <v>4688</v>
      </c>
      <c r="C2012" s="26" t="s">
        <v>37</v>
      </c>
      <c r="D2012" s="14"/>
      <c r="E2012" s="15">
        <f>+SUM!H2015</f>
        <v>64599</v>
      </c>
      <c r="F2012" s="16">
        <f t="shared" si="117"/>
        <v>0</v>
      </c>
      <c r="G2012">
        <f t="shared" si="112"/>
        <v>0</v>
      </c>
    </row>
    <row r="2013" spans="1:7" hidden="1" x14ac:dyDescent="0.25">
      <c r="A2013" s="85" t="s">
        <v>4696</v>
      </c>
      <c r="B2013" s="81" t="s">
        <v>4689</v>
      </c>
      <c r="C2013" s="26" t="s">
        <v>37</v>
      </c>
      <c r="D2013" s="14"/>
      <c r="E2013" s="15">
        <f>+SUM!H2016</f>
        <v>94837</v>
      </c>
      <c r="F2013" s="16">
        <f t="shared" si="117"/>
        <v>0</v>
      </c>
      <c r="G2013">
        <f t="shared" si="112"/>
        <v>0</v>
      </c>
    </row>
    <row r="2014" spans="1:7" hidden="1" x14ac:dyDescent="0.25">
      <c r="A2014" s="78" t="s">
        <v>4699</v>
      </c>
      <c r="B2014" s="80" t="s">
        <v>4697</v>
      </c>
      <c r="C2014" s="14"/>
      <c r="D2014" s="14"/>
      <c r="E2014" s="15">
        <f>+SUM!H2017</f>
        <v>0</v>
      </c>
      <c r="F2014" s="16"/>
      <c r="G2014">
        <f t="shared" si="112"/>
        <v>0</v>
      </c>
    </row>
    <row r="2015" spans="1:7" hidden="1" x14ac:dyDescent="0.25">
      <c r="A2015" s="85" t="s">
        <v>4698</v>
      </c>
      <c r="B2015" s="81" t="s">
        <v>4683</v>
      </c>
      <c r="C2015" s="26" t="s">
        <v>37</v>
      </c>
      <c r="D2015" s="14"/>
      <c r="E2015" s="15">
        <f>+SUM!H2018</f>
        <v>0</v>
      </c>
      <c r="F2015" s="16">
        <f t="shared" ref="F2015:F2021" si="118">+D2015*E2015</f>
        <v>0</v>
      </c>
      <c r="G2015">
        <f t="shared" si="112"/>
        <v>0</v>
      </c>
    </row>
    <row r="2016" spans="1:7" hidden="1" x14ac:dyDescent="0.25">
      <c r="A2016" s="85" t="s">
        <v>4700</v>
      </c>
      <c r="B2016" s="81" t="s">
        <v>4684</v>
      </c>
      <c r="C2016" s="26" t="s">
        <v>37</v>
      </c>
      <c r="D2016" s="14"/>
      <c r="E2016" s="15">
        <f>+SUM!H2019</f>
        <v>49480</v>
      </c>
      <c r="F2016" s="16">
        <f t="shared" si="118"/>
        <v>0</v>
      </c>
      <c r="G2016">
        <f t="shared" si="112"/>
        <v>0</v>
      </c>
    </row>
    <row r="2017" spans="1:7" hidden="1" x14ac:dyDescent="0.25">
      <c r="A2017" s="85" t="s">
        <v>4701</v>
      </c>
      <c r="B2017" s="81" t="s">
        <v>4685</v>
      </c>
      <c r="C2017" s="26" t="s">
        <v>37</v>
      </c>
      <c r="D2017" s="14"/>
      <c r="E2017" s="15">
        <f>+SUM!H2020</f>
        <v>50855</v>
      </c>
      <c r="F2017" s="16">
        <f t="shared" si="118"/>
        <v>0</v>
      </c>
      <c r="G2017">
        <f t="shared" si="112"/>
        <v>0</v>
      </c>
    </row>
    <row r="2018" spans="1:7" hidden="1" x14ac:dyDescent="0.25">
      <c r="A2018" s="85" t="s">
        <v>4702</v>
      </c>
      <c r="B2018" s="81" t="s">
        <v>4686</v>
      </c>
      <c r="C2018" s="26" t="s">
        <v>37</v>
      </c>
      <c r="D2018" s="14"/>
      <c r="E2018" s="15">
        <f>+SUM!H2021</f>
        <v>61850</v>
      </c>
      <c r="F2018" s="16">
        <f t="shared" si="118"/>
        <v>0</v>
      </c>
      <c r="G2018">
        <f t="shared" si="112"/>
        <v>0</v>
      </c>
    </row>
    <row r="2019" spans="1:7" hidden="1" x14ac:dyDescent="0.25">
      <c r="A2019" s="85" t="s">
        <v>4703</v>
      </c>
      <c r="B2019" s="81" t="s">
        <v>4687</v>
      </c>
      <c r="C2019" s="26" t="s">
        <v>37</v>
      </c>
      <c r="D2019" s="14"/>
      <c r="E2019" s="15">
        <f>+SUM!H2022</f>
        <v>122326</v>
      </c>
      <c r="F2019" s="16">
        <f t="shared" si="118"/>
        <v>0</v>
      </c>
      <c r="G2019">
        <f t="shared" si="112"/>
        <v>0</v>
      </c>
    </row>
    <row r="2020" spans="1:7" hidden="1" x14ac:dyDescent="0.25">
      <c r="A2020" s="85" t="s">
        <v>4704</v>
      </c>
      <c r="B2020" s="81" t="s">
        <v>4688</v>
      </c>
      <c r="C2020" s="26" t="s">
        <v>37</v>
      </c>
      <c r="D2020" s="14"/>
      <c r="E2020" s="15">
        <f>+SUM!H2023</f>
        <v>122326</v>
      </c>
      <c r="F2020" s="16">
        <f t="shared" si="118"/>
        <v>0</v>
      </c>
      <c r="G2020">
        <f t="shared" ref="G2020:G2083" si="119">+IF(F2020&lt;&gt;0,1,0)</f>
        <v>0</v>
      </c>
    </row>
    <row r="2021" spans="1:7" hidden="1" x14ac:dyDescent="0.25">
      <c r="A2021" s="85" t="s">
        <v>4705</v>
      </c>
      <c r="B2021" s="81" t="s">
        <v>4689</v>
      </c>
      <c r="C2021" s="26" t="s">
        <v>37</v>
      </c>
      <c r="D2021" s="14"/>
      <c r="E2021" s="15">
        <f>+SUM!H2024</f>
        <v>125075</v>
      </c>
      <c r="F2021" s="16">
        <f t="shared" si="118"/>
        <v>0</v>
      </c>
      <c r="G2021">
        <f t="shared" si="119"/>
        <v>0</v>
      </c>
    </row>
    <row r="2022" spans="1:7" x14ac:dyDescent="0.25">
      <c r="A2022" s="78" t="s">
        <v>4706</v>
      </c>
      <c r="B2022" s="80" t="s">
        <v>4707</v>
      </c>
      <c r="C2022" s="14"/>
      <c r="D2022" s="14"/>
      <c r="E2022" s="15"/>
      <c r="F2022" s="16"/>
      <c r="G2022">
        <v>1</v>
      </c>
    </row>
    <row r="2023" spans="1:7" hidden="1" x14ac:dyDescent="0.25">
      <c r="A2023" s="85" t="s">
        <v>4715</v>
      </c>
      <c r="B2023" s="81" t="s">
        <v>4708</v>
      </c>
      <c r="C2023" s="26" t="s">
        <v>37</v>
      </c>
      <c r="D2023" s="14"/>
      <c r="E2023" s="15">
        <f>+SUM!H2026</f>
        <v>372476</v>
      </c>
      <c r="F2023" s="16">
        <f t="shared" ref="F2023:F2029" si="120">+D2023*E2023</f>
        <v>0</v>
      </c>
      <c r="G2023">
        <f t="shared" si="119"/>
        <v>0</v>
      </c>
    </row>
    <row r="2024" spans="1:7" hidden="1" x14ac:dyDescent="0.25">
      <c r="A2024" s="85" t="s">
        <v>4716</v>
      </c>
      <c r="B2024" s="81" t="s">
        <v>4709</v>
      </c>
      <c r="C2024" s="26" t="s">
        <v>37</v>
      </c>
      <c r="D2024" s="14"/>
      <c r="E2024" s="15">
        <f>+SUM!H2027</f>
        <v>560776</v>
      </c>
      <c r="F2024" s="16">
        <f t="shared" si="120"/>
        <v>0</v>
      </c>
      <c r="G2024">
        <f t="shared" si="119"/>
        <v>0</v>
      </c>
    </row>
    <row r="2025" spans="1:7" hidden="1" x14ac:dyDescent="0.25">
      <c r="A2025" s="85" t="s">
        <v>4717</v>
      </c>
      <c r="B2025" s="81" t="s">
        <v>4710</v>
      </c>
      <c r="C2025" s="26" t="s">
        <v>37</v>
      </c>
      <c r="D2025" s="14"/>
      <c r="E2025" s="15">
        <f>+SUM!H2028</f>
        <v>799930</v>
      </c>
      <c r="F2025" s="16">
        <f t="shared" si="120"/>
        <v>0</v>
      </c>
      <c r="G2025">
        <f t="shared" si="119"/>
        <v>0</v>
      </c>
    </row>
    <row r="2026" spans="1:7" x14ac:dyDescent="0.25">
      <c r="A2026" s="85" t="s">
        <v>4718</v>
      </c>
      <c r="B2026" s="81" t="s">
        <v>4711</v>
      </c>
      <c r="C2026" s="26" t="s">
        <v>37</v>
      </c>
      <c r="D2026" s="14">
        <v>4</v>
      </c>
      <c r="E2026" s="15">
        <f>+SUM!H2029</f>
        <v>1527014</v>
      </c>
      <c r="F2026" s="16">
        <f t="shared" si="120"/>
        <v>6108056</v>
      </c>
      <c r="G2026">
        <f t="shared" si="119"/>
        <v>1</v>
      </c>
    </row>
    <row r="2027" spans="1:7" hidden="1" x14ac:dyDescent="0.25">
      <c r="A2027" s="85" t="s">
        <v>4719</v>
      </c>
      <c r="B2027" s="81" t="s">
        <v>4712</v>
      </c>
      <c r="C2027" s="26" t="s">
        <v>37</v>
      </c>
      <c r="D2027" s="14"/>
      <c r="E2027" s="15">
        <f>+SUM!H2030</f>
        <v>2226609</v>
      </c>
      <c r="F2027" s="16">
        <f t="shared" si="120"/>
        <v>0</v>
      </c>
      <c r="G2027">
        <f t="shared" si="119"/>
        <v>0</v>
      </c>
    </row>
    <row r="2028" spans="1:7" hidden="1" x14ac:dyDescent="0.25">
      <c r="A2028" s="85" t="s">
        <v>4720</v>
      </c>
      <c r="B2028" s="81" t="s">
        <v>4713</v>
      </c>
      <c r="C2028" s="26" t="s">
        <v>37</v>
      </c>
      <c r="D2028" s="14"/>
      <c r="E2028" s="15">
        <f>+SUM!H2031</f>
        <v>3000424</v>
      </c>
      <c r="F2028" s="16">
        <f t="shared" si="120"/>
        <v>0</v>
      </c>
      <c r="G2028">
        <f t="shared" si="119"/>
        <v>0</v>
      </c>
    </row>
    <row r="2029" spans="1:7" hidden="1" x14ac:dyDescent="0.25">
      <c r="A2029" s="85" t="s">
        <v>4721</v>
      </c>
      <c r="B2029" s="81" t="s">
        <v>4714</v>
      </c>
      <c r="C2029" s="26" t="s">
        <v>37</v>
      </c>
      <c r="D2029" s="14"/>
      <c r="E2029" s="15">
        <f>+SUM!H2032</f>
        <v>3668407</v>
      </c>
      <c r="F2029" s="16">
        <f t="shared" si="120"/>
        <v>0</v>
      </c>
      <c r="G2029">
        <f t="shared" si="119"/>
        <v>0</v>
      </c>
    </row>
    <row r="2030" spans="1:7" hidden="1" x14ac:dyDescent="0.25">
      <c r="A2030" s="124" t="s">
        <v>4722</v>
      </c>
      <c r="B2030" s="125" t="s">
        <v>4723</v>
      </c>
      <c r="C2030" s="14"/>
      <c r="D2030" s="14"/>
      <c r="E2030" s="15"/>
      <c r="F2030" s="16"/>
      <c r="G2030">
        <f t="shared" si="119"/>
        <v>0</v>
      </c>
    </row>
    <row r="2031" spans="1:7" hidden="1" x14ac:dyDescent="0.25">
      <c r="A2031" s="126" t="s">
        <v>4731</v>
      </c>
      <c r="B2031" s="122" t="s">
        <v>4725</v>
      </c>
      <c r="C2031" s="26" t="s">
        <v>37</v>
      </c>
      <c r="D2031" s="14"/>
      <c r="E2031" s="15"/>
      <c r="F2031" s="16">
        <f t="shared" ref="F2031:F2037" si="121">+D2031*E2031</f>
        <v>0</v>
      </c>
      <c r="G2031">
        <f t="shared" si="119"/>
        <v>0</v>
      </c>
    </row>
    <row r="2032" spans="1:7" hidden="1" x14ac:dyDescent="0.25">
      <c r="A2032" s="126" t="s">
        <v>4732</v>
      </c>
      <c r="B2032" s="122" t="s">
        <v>4724</v>
      </c>
      <c r="C2032" s="26" t="s">
        <v>37</v>
      </c>
      <c r="D2032" s="14"/>
      <c r="E2032" s="15"/>
      <c r="F2032" s="16">
        <f t="shared" si="121"/>
        <v>0</v>
      </c>
      <c r="G2032">
        <f t="shared" si="119"/>
        <v>0</v>
      </c>
    </row>
    <row r="2033" spans="1:7" hidden="1" x14ac:dyDescent="0.25">
      <c r="A2033" s="126" t="s">
        <v>4733</v>
      </c>
      <c r="B2033" s="122" t="s">
        <v>4726</v>
      </c>
      <c r="C2033" s="26" t="s">
        <v>37</v>
      </c>
      <c r="D2033" s="14"/>
      <c r="E2033" s="15"/>
      <c r="F2033" s="16">
        <f t="shared" si="121"/>
        <v>0</v>
      </c>
      <c r="G2033">
        <f t="shared" si="119"/>
        <v>0</v>
      </c>
    </row>
    <row r="2034" spans="1:7" hidden="1" x14ac:dyDescent="0.25">
      <c r="A2034" s="126" t="s">
        <v>4734</v>
      </c>
      <c r="B2034" s="122" t="s">
        <v>4727</v>
      </c>
      <c r="C2034" s="26" t="s">
        <v>37</v>
      </c>
      <c r="D2034" s="14"/>
      <c r="E2034" s="15"/>
      <c r="F2034" s="16">
        <f t="shared" si="121"/>
        <v>0</v>
      </c>
      <c r="G2034">
        <f t="shared" si="119"/>
        <v>0</v>
      </c>
    </row>
    <row r="2035" spans="1:7" hidden="1" x14ac:dyDescent="0.25">
      <c r="A2035" s="126" t="s">
        <v>4735</v>
      </c>
      <c r="B2035" s="122" t="s">
        <v>4728</v>
      </c>
      <c r="C2035" s="26" t="s">
        <v>37</v>
      </c>
      <c r="D2035" s="14"/>
      <c r="E2035" s="15"/>
      <c r="F2035" s="16">
        <f t="shared" si="121"/>
        <v>0</v>
      </c>
      <c r="G2035">
        <f t="shared" si="119"/>
        <v>0</v>
      </c>
    </row>
    <row r="2036" spans="1:7" hidden="1" x14ac:dyDescent="0.25">
      <c r="A2036" s="126" t="s">
        <v>4736</v>
      </c>
      <c r="B2036" s="122" t="s">
        <v>4729</v>
      </c>
      <c r="C2036" s="26" t="s">
        <v>37</v>
      </c>
      <c r="D2036" s="14"/>
      <c r="E2036" s="15"/>
      <c r="F2036" s="16">
        <f t="shared" si="121"/>
        <v>0</v>
      </c>
      <c r="G2036">
        <f t="shared" si="119"/>
        <v>0</v>
      </c>
    </row>
    <row r="2037" spans="1:7" hidden="1" x14ac:dyDescent="0.25">
      <c r="A2037" s="126" t="s">
        <v>4737</v>
      </c>
      <c r="B2037" s="122" t="s">
        <v>4730</v>
      </c>
      <c r="C2037" s="26" t="s">
        <v>37</v>
      </c>
      <c r="D2037" s="14"/>
      <c r="E2037" s="15"/>
      <c r="F2037" s="16">
        <f t="shared" si="121"/>
        <v>0</v>
      </c>
      <c r="G2037">
        <f t="shared" si="119"/>
        <v>0</v>
      </c>
    </row>
    <row r="2038" spans="1:7" x14ac:dyDescent="0.25">
      <c r="A2038" s="61" t="s">
        <v>997</v>
      </c>
      <c r="B2038" s="62" t="s">
        <v>998</v>
      </c>
      <c r="C2038" s="63"/>
      <c r="D2038" s="63"/>
      <c r="E2038" s="460"/>
      <c r="F2038" s="461"/>
      <c r="G2038">
        <v>1</v>
      </c>
    </row>
    <row r="2039" spans="1:7" hidden="1" x14ac:dyDescent="0.25">
      <c r="A2039" s="44" t="s">
        <v>999</v>
      </c>
      <c r="B2039" s="80" t="s">
        <v>4739</v>
      </c>
      <c r="C2039" s="14"/>
      <c r="D2039" s="14"/>
      <c r="E2039" s="15"/>
      <c r="F2039" s="16"/>
      <c r="G2039">
        <f t="shared" si="119"/>
        <v>0</v>
      </c>
    </row>
    <row r="2040" spans="1:7" hidden="1" x14ac:dyDescent="0.25">
      <c r="A2040" s="43" t="s">
        <v>1000</v>
      </c>
      <c r="B2040" s="81" t="s">
        <v>4738</v>
      </c>
      <c r="C2040" s="26" t="s">
        <v>37</v>
      </c>
      <c r="D2040" s="14"/>
      <c r="E2040" s="15"/>
      <c r="F2040" s="16">
        <f t="shared" ref="F2040:F2087" si="122">+D2040*E2040</f>
        <v>0</v>
      </c>
      <c r="G2040">
        <f t="shared" si="119"/>
        <v>0</v>
      </c>
    </row>
    <row r="2041" spans="1:7" hidden="1" x14ac:dyDescent="0.25">
      <c r="A2041" s="43" t="s">
        <v>4745</v>
      </c>
      <c r="B2041" s="81" t="s">
        <v>4740</v>
      </c>
      <c r="C2041" s="26" t="s">
        <v>37</v>
      </c>
      <c r="D2041" s="14"/>
      <c r="E2041" s="15"/>
      <c r="F2041" s="16">
        <f t="shared" si="122"/>
        <v>0</v>
      </c>
      <c r="G2041">
        <f t="shared" si="119"/>
        <v>0</v>
      </c>
    </row>
    <row r="2042" spans="1:7" hidden="1" x14ac:dyDescent="0.25">
      <c r="A2042" s="43" t="s">
        <v>4746</v>
      </c>
      <c r="B2042" s="81" t="s">
        <v>4741</v>
      </c>
      <c r="C2042" s="26" t="s">
        <v>37</v>
      </c>
      <c r="D2042" s="14"/>
      <c r="E2042" s="15"/>
      <c r="F2042" s="16">
        <f t="shared" si="122"/>
        <v>0</v>
      </c>
      <c r="G2042">
        <f t="shared" si="119"/>
        <v>0</v>
      </c>
    </row>
    <row r="2043" spans="1:7" hidden="1" x14ac:dyDescent="0.25">
      <c r="A2043" s="43" t="s">
        <v>4747</v>
      </c>
      <c r="B2043" s="81" t="s">
        <v>4742</v>
      </c>
      <c r="C2043" s="26" t="s">
        <v>37</v>
      </c>
      <c r="D2043" s="14"/>
      <c r="E2043" s="15"/>
      <c r="F2043" s="16">
        <f t="shared" si="122"/>
        <v>0</v>
      </c>
      <c r="G2043">
        <f t="shared" si="119"/>
        <v>0</v>
      </c>
    </row>
    <row r="2044" spans="1:7" hidden="1" x14ac:dyDescent="0.25">
      <c r="A2044" s="43" t="s">
        <v>4748</v>
      </c>
      <c r="B2044" s="81" t="s">
        <v>4744</v>
      </c>
      <c r="C2044" s="26" t="s">
        <v>37</v>
      </c>
      <c r="D2044" s="14"/>
      <c r="E2044" s="15"/>
      <c r="F2044" s="16">
        <f t="shared" si="122"/>
        <v>0</v>
      </c>
      <c r="G2044">
        <f t="shared" si="119"/>
        <v>0</v>
      </c>
    </row>
    <row r="2045" spans="1:7" hidden="1" x14ac:dyDescent="0.25">
      <c r="A2045" s="43" t="s">
        <v>4749</v>
      </c>
      <c r="B2045" s="81" t="s">
        <v>4743</v>
      </c>
      <c r="C2045" s="26" t="s">
        <v>37</v>
      </c>
      <c r="D2045" s="14"/>
      <c r="E2045" s="15"/>
      <c r="F2045" s="16">
        <f t="shared" si="122"/>
        <v>0</v>
      </c>
      <c r="G2045">
        <f t="shared" si="119"/>
        <v>0</v>
      </c>
    </row>
    <row r="2046" spans="1:7" hidden="1" x14ac:dyDescent="0.25">
      <c r="A2046" s="43" t="s">
        <v>1001</v>
      </c>
      <c r="B2046" s="81" t="s">
        <v>4750</v>
      </c>
      <c r="C2046" s="26" t="s">
        <v>37</v>
      </c>
      <c r="D2046" s="14"/>
      <c r="E2046" s="15"/>
      <c r="F2046" s="16">
        <f t="shared" si="122"/>
        <v>0</v>
      </c>
      <c r="G2046">
        <f t="shared" si="119"/>
        <v>0</v>
      </c>
    </row>
    <row r="2047" spans="1:7" hidden="1" x14ac:dyDescent="0.25">
      <c r="A2047" s="43" t="s">
        <v>4777</v>
      </c>
      <c r="B2047" s="81" t="s">
        <v>4751</v>
      </c>
      <c r="C2047" s="26" t="s">
        <v>37</v>
      </c>
      <c r="D2047" s="14"/>
      <c r="E2047" s="15"/>
      <c r="F2047" s="16">
        <f t="shared" si="122"/>
        <v>0</v>
      </c>
      <c r="G2047">
        <f t="shared" si="119"/>
        <v>0</v>
      </c>
    </row>
    <row r="2048" spans="1:7" hidden="1" x14ac:dyDescent="0.25">
      <c r="A2048" s="43" t="s">
        <v>4778</v>
      </c>
      <c r="B2048" s="81" t="s">
        <v>4752</v>
      </c>
      <c r="C2048" s="26" t="s">
        <v>37</v>
      </c>
      <c r="D2048" s="14"/>
      <c r="E2048" s="15"/>
      <c r="F2048" s="16">
        <f t="shared" si="122"/>
        <v>0</v>
      </c>
      <c r="G2048">
        <f t="shared" si="119"/>
        <v>0</v>
      </c>
    </row>
    <row r="2049" spans="1:7" hidden="1" x14ac:dyDescent="0.25">
      <c r="A2049" s="43" t="s">
        <v>4779</v>
      </c>
      <c r="B2049" s="81" t="s">
        <v>4753</v>
      </c>
      <c r="C2049" s="26" t="s">
        <v>37</v>
      </c>
      <c r="D2049" s="14"/>
      <c r="E2049" s="15"/>
      <c r="F2049" s="16">
        <f t="shared" si="122"/>
        <v>0</v>
      </c>
      <c r="G2049">
        <f t="shared" si="119"/>
        <v>0</v>
      </c>
    </row>
    <row r="2050" spans="1:7" hidden="1" x14ac:dyDescent="0.25">
      <c r="A2050" s="43" t="s">
        <v>4780</v>
      </c>
      <c r="B2050" s="81" t="s">
        <v>4754</v>
      </c>
      <c r="C2050" s="26" t="s">
        <v>37</v>
      </c>
      <c r="D2050" s="14"/>
      <c r="E2050" s="15"/>
      <c r="F2050" s="16">
        <f t="shared" si="122"/>
        <v>0</v>
      </c>
      <c r="G2050">
        <f t="shared" si="119"/>
        <v>0</v>
      </c>
    </row>
    <row r="2051" spans="1:7" hidden="1" x14ac:dyDescent="0.25">
      <c r="A2051" s="43" t="s">
        <v>4781</v>
      </c>
      <c r="B2051" s="81" t="s">
        <v>4755</v>
      </c>
      <c r="C2051" s="26" t="s">
        <v>37</v>
      </c>
      <c r="D2051" s="14"/>
      <c r="E2051" s="15"/>
      <c r="F2051" s="16">
        <f t="shared" si="122"/>
        <v>0</v>
      </c>
      <c r="G2051">
        <f t="shared" si="119"/>
        <v>0</v>
      </c>
    </row>
    <row r="2052" spans="1:7" hidden="1" x14ac:dyDescent="0.25">
      <c r="A2052" s="43" t="s">
        <v>1002</v>
      </c>
      <c r="B2052" s="81" t="s">
        <v>4756</v>
      </c>
      <c r="C2052" s="26" t="s">
        <v>37</v>
      </c>
      <c r="D2052" s="14"/>
      <c r="E2052" s="15"/>
      <c r="F2052" s="16">
        <f t="shared" si="122"/>
        <v>0</v>
      </c>
      <c r="G2052">
        <f t="shared" si="119"/>
        <v>0</v>
      </c>
    </row>
    <row r="2053" spans="1:7" hidden="1" x14ac:dyDescent="0.25">
      <c r="A2053" s="43" t="s">
        <v>1003</v>
      </c>
      <c r="B2053" s="81" t="s">
        <v>4757</v>
      </c>
      <c r="C2053" s="26" t="s">
        <v>37</v>
      </c>
      <c r="D2053" s="14"/>
      <c r="E2053" s="15"/>
      <c r="F2053" s="16">
        <f t="shared" si="122"/>
        <v>0</v>
      </c>
      <c r="G2053">
        <f t="shared" si="119"/>
        <v>0</v>
      </c>
    </row>
    <row r="2054" spans="1:7" hidden="1" x14ac:dyDescent="0.25">
      <c r="A2054" s="43" t="s">
        <v>4782</v>
      </c>
      <c r="B2054" s="81" t="s">
        <v>4758</v>
      </c>
      <c r="C2054" s="26" t="s">
        <v>37</v>
      </c>
      <c r="D2054" s="14"/>
      <c r="E2054" s="15"/>
      <c r="F2054" s="16">
        <f t="shared" si="122"/>
        <v>0</v>
      </c>
      <c r="G2054">
        <f t="shared" si="119"/>
        <v>0</v>
      </c>
    </row>
    <row r="2055" spans="1:7" hidden="1" x14ac:dyDescent="0.25">
      <c r="A2055" s="43" t="s">
        <v>4783</v>
      </c>
      <c r="B2055" s="81" t="s">
        <v>4759</v>
      </c>
      <c r="C2055" s="26" t="s">
        <v>37</v>
      </c>
      <c r="D2055" s="14"/>
      <c r="E2055" s="15"/>
      <c r="F2055" s="16">
        <f t="shared" si="122"/>
        <v>0</v>
      </c>
      <c r="G2055">
        <f t="shared" si="119"/>
        <v>0</v>
      </c>
    </row>
    <row r="2056" spans="1:7" hidden="1" x14ac:dyDescent="0.25">
      <c r="A2056" s="43" t="s">
        <v>4784</v>
      </c>
      <c r="B2056" s="81" t="s">
        <v>4760</v>
      </c>
      <c r="C2056" s="26" t="s">
        <v>37</v>
      </c>
      <c r="D2056" s="14"/>
      <c r="E2056" s="15"/>
      <c r="F2056" s="16">
        <f t="shared" si="122"/>
        <v>0</v>
      </c>
      <c r="G2056">
        <f t="shared" si="119"/>
        <v>0</v>
      </c>
    </row>
    <row r="2057" spans="1:7" hidden="1" x14ac:dyDescent="0.25">
      <c r="A2057" s="43" t="s">
        <v>4785</v>
      </c>
      <c r="B2057" s="81" t="s">
        <v>4761</v>
      </c>
      <c r="C2057" s="26" t="s">
        <v>37</v>
      </c>
      <c r="D2057" s="14"/>
      <c r="E2057" s="15"/>
      <c r="F2057" s="16">
        <f t="shared" si="122"/>
        <v>0</v>
      </c>
      <c r="G2057">
        <f t="shared" si="119"/>
        <v>0</v>
      </c>
    </row>
    <row r="2058" spans="1:7" hidden="1" x14ac:dyDescent="0.25">
      <c r="A2058" s="43" t="s">
        <v>4786</v>
      </c>
      <c r="B2058" s="81" t="s">
        <v>4762</v>
      </c>
      <c r="C2058" s="26" t="s">
        <v>37</v>
      </c>
      <c r="D2058" s="14"/>
      <c r="E2058" s="15"/>
      <c r="F2058" s="16">
        <f t="shared" si="122"/>
        <v>0</v>
      </c>
      <c r="G2058">
        <f t="shared" si="119"/>
        <v>0</v>
      </c>
    </row>
    <row r="2059" spans="1:7" hidden="1" x14ac:dyDescent="0.25">
      <c r="A2059" s="43" t="s">
        <v>4787</v>
      </c>
      <c r="B2059" s="81" t="s">
        <v>4763</v>
      </c>
      <c r="C2059" s="26" t="s">
        <v>37</v>
      </c>
      <c r="D2059" s="14"/>
      <c r="E2059" s="15"/>
      <c r="F2059" s="16">
        <f t="shared" si="122"/>
        <v>0</v>
      </c>
      <c r="G2059">
        <f t="shared" si="119"/>
        <v>0</v>
      </c>
    </row>
    <row r="2060" spans="1:7" hidden="1" x14ac:dyDescent="0.25">
      <c r="A2060" s="43" t="s">
        <v>4788</v>
      </c>
      <c r="B2060" s="81" t="s">
        <v>4764</v>
      </c>
      <c r="C2060" s="26" t="s">
        <v>37</v>
      </c>
      <c r="D2060" s="14"/>
      <c r="E2060" s="15"/>
      <c r="F2060" s="16">
        <f t="shared" si="122"/>
        <v>0</v>
      </c>
      <c r="G2060">
        <f t="shared" si="119"/>
        <v>0</v>
      </c>
    </row>
    <row r="2061" spans="1:7" hidden="1" x14ac:dyDescent="0.25">
      <c r="A2061" s="43" t="s">
        <v>4789</v>
      </c>
      <c r="B2061" s="81" t="s">
        <v>4765</v>
      </c>
      <c r="C2061" s="26" t="s">
        <v>37</v>
      </c>
      <c r="D2061" s="14"/>
      <c r="E2061" s="15"/>
      <c r="F2061" s="16">
        <f t="shared" si="122"/>
        <v>0</v>
      </c>
      <c r="G2061">
        <f t="shared" si="119"/>
        <v>0</v>
      </c>
    </row>
    <row r="2062" spans="1:7" hidden="1" x14ac:dyDescent="0.25">
      <c r="A2062" s="43" t="s">
        <v>4790</v>
      </c>
      <c r="B2062" s="81" t="s">
        <v>4766</v>
      </c>
      <c r="C2062" s="26" t="s">
        <v>37</v>
      </c>
      <c r="D2062" s="14"/>
      <c r="E2062" s="15"/>
      <c r="F2062" s="16">
        <f t="shared" si="122"/>
        <v>0</v>
      </c>
      <c r="G2062">
        <f t="shared" si="119"/>
        <v>0</v>
      </c>
    </row>
    <row r="2063" spans="1:7" hidden="1" x14ac:dyDescent="0.25">
      <c r="A2063" s="43" t="s">
        <v>4791</v>
      </c>
      <c r="B2063" s="81" t="s">
        <v>4767</v>
      </c>
      <c r="C2063" s="26" t="s">
        <v>37</v>
      </c>
      <c r="D2063" s="14"/>
      <c r="E2063" s="15"/>
      <c r="F2063" s="16">
        <f t="shared" si="122"/>
        <v>0</v>
      </c>
      <c r="G2063">
        <f t="shared" si="119"/>
        <v>0</v>
      </c>
    </row>
    <row r="2064" spans="1:7" hidden="1" x14ac:dyDescent="0.25">
      <c r="A2064" s="43" t="s">
        <v>1004</v>
      </c>
      <c r="B2064" s="81" t="s">
        <v>4768</v>
      </c>
      <c r="C2064" s="26" t="s">
        <v>37</v>
      </c>
      <c r="D2064" s="14"/>
      <c r="E2064" s="15">
        <f>+SUM!H2061</f>
        <v>490321</v>
      </c>
      <c r="F2064" s="16">
        <f t="shared" si="122"/>
        <v>0</v>
      </c>
      <c r="G2064">
        <f t="shared" si="119"/>
        <v>0</v>
      </c>
    </row>
    <row r="2065" spans="1:7" hidden="1" x14ac:dyDescent="0.25">
      <c r="A2065" s="43" t="s">
        <v>4792</v>
      </c>
      <c r="B2065" s="81" t="s">
        <v>4769</v>
      </c>
      <c r="C2065" s="26" t="s">
        <v>37</v>
      </c>
      <c r="D2065" s="14"/>
      <c r="E2065" s="15">
        <f>+SUM!H2062</f>
        <v>614395</v>
      </c>
      <c r="F2065" s="16">
        <f t="shared" si="122"/>
        <v>0</v>
      </c>
      <c r="G2065">
        <f t="shared" si="119"/>
        <v>0</v>
      </c>
    </row>
    <row r="2066" spans="1:7" hidden="1" x14ac:dyDescent="0.25">
      <c r="A2066" s="43" t="s">
        <v>4793</v>
      </c>
      <c r="B2066" s="81" t="s">
        <v>4770</v>
      </c>
      <c r="C2066" s="26" t="s">
        <v>37</v>
      </c>
      <c r="D2066" s="14"/>
      <c r="E2066" s="15">
        <f>+SUM!H2063</f>
        <v>751192</v>
      </c>
      <c r="F2066" s="16">
        <f t="shared" si="122"/>
        <v>0</v>
      </c>
      <c r="G2066">
        <f t="shared" si="119"/>
        <v>0</v>
      </c>
    </row>
    <row r="2067" spans="1:7" hidden="1" x14ac:dyDescent="0.25">
      <c r="A2067" s="43" t="s">
        <v>4794</v>
      </c>
      <c r="B2067" s="81" t="s">
        <v>4771</v>
      </c>
      <c r="C2067" s="26" t="s">
        <v>37</v>
      </c>
      <c r="D2067" s="14"/>
      <c r="E2067" s="15">
        <f>+SUM!H2064</f>
        <v>653761</v>
      </c>
      <c r="F2067" s="16">
        <f t="shared" si="122"/>
        <v>0</v>
      </c>
      <c r="G2067">
        <f t="shared" si="119"/>
        <v>0</v>
      </c>
    </row>
    <row r="2068" spans="1:7" hidden="1" x14ac:dyDescent="0.25">
      <c r="A2068" s="43" t="s">
        <v>4795</v>
      </c>
      <c r="B2068" s="81" t="s">
        <v>4772</v>
      </c>
      <c r="C2068" s="26" t="s">
        <v>37</v>
      </c>
      <c r="D2068" s="14"/>
      <c r="E2068" s="15">
        <f>+SUM!H2065</f>
        <v>822755</v>
      </c>
      <c r="F2068" s="16">
        <f t="shared" si="122"/>
        <v>0</v>
      </c>
      <c r="G2068">
        <f t="shared" si="119"/>
        <v>0</v>
      </c>
    </row>
    <row r="2069" spans="1:7" hidden="1" x14ac:dyDescent="0.25">
      <c r="A2069" s="43" t="s">
        <v>4796</v>
      </c>
      <c r="B2069" s="81" t="s">
        <v>4774</v>
      </c>
      <c r="C2069" s="26" t="s">
        <v>37</v>
      </c>
      <c r="D2069" s="14"/>
      <c r="E2069" s="15">
        <f>+SUM!H2066</f>
        <v>1008901</v>
      </c>
      <c r="F2069" s="16">
        <f t="shared" si="122"/>
        <v>0</v>
      </c>
      <c r="G2069">
        <f t="shared" si="119"/>
        <v>0</v>
      </c>
    </row>
    <row r="2070" spans="1:7" hidden="1" x14ac:dyDescent="0.25">
      <c r="A2070" s="43" t="s">
        <v>1005</v>
      </c>
      <c r="B2070" s="81" t="s">
        <v>4775</v>
      </c>
      <c r="C2070" s="26" t="s">
        <v>37</v>
      </c>
      <c r="D2070" s="14"/>
      <c r="E2070" s="15">
        <f>+SUM!H2067</f>
        <v>875196</v>
      </c>
      <c r="F2070" s="16">
        <f t="shared" si="122"/>
        <v>0</v>
      </c>
      <c r="G2070">
        <f t="shared" si="119"/>
        <v>0</v>
      </c>
    </row>
    <row r="2071" spans="1:7" hidden="1" x14ac:dyDescent="0.25">
      <c r="A2071" s="43" t="s">
        <v>4797</v>
      </c>
      <c r="B2071" s="81" t="s">
        <v>4776</v>
      </c>
      <c r="C2071" s="26" t="s">
        <v>37</v>
      </c>
      <c r="D2071" s="14"/>
      <c r="E2071" s="15">
        <f>+SUM!H2068</f>
        <v>1111253</v>
      </c>
      <c r="F2071" s="16">
        <f t="shared" si="122"/>
        <v>0</v>
      </c>
      <c r="G2071">
        <f t="shared" si="119"/>
        <v>0</v>
      </c>
    </row>
    <row r="2072" spans="1:7" hidden="1" x14ac:dyDescent="0.25">
      <c r="A2072" s="43" t="s">
        <v>4798</v>
      </c>
      <c r="B2072" s="81" t="s">
        <v>4773</v>
      </c>
      <c r="C2072" s="26" t="s">
        <v>37</v>
      </c>
      <c r="D2072" s="14"/>
      <c r="E2072" s="15">
        <f>+SUM!H2069</f>
        <v>1370789</v>
      </c>
      <c r="F2072" s="16">
        <f t="shared" si="122"/>
        <v>0</v>
      </c>
      <c r="G2072">
        <f t="shared" si="119"/>
        <v>0</v>
      </c>
    </row>
    <row r="2073" spans="1:7" hidden="1" x14ac:dyDescent="0.25">
      <c r="A2073" s="43" t="s">
        <v>4814</v>
      </c>
      <c r="B2073" s="81" t="s">
        <v>4799</v>
      </c>
      <c r="C2073" s="26" t="s">
        <v>37</v>
      </c>
      <c r="D2073" s="14"/>
      <c r="E2073" s="15">
        <f>+SUM!H2070</f>
        <v>1064998</v>
      </c>
      <c r="F2073" s="16">
        <f t="shared" si="122"/>
        <v>0</v>
      </c>
      <c r="G2073">
        <f t="shared" si="119"/>
        <v>0</v>
      </c>
    </row>
    <row r="2074" spans="1:7" hidden="1" x14ac:dyDescent="0.25">
      <c r="A2074" s="43" t="s">
        <v>4815</v>
      </c>
      <c r="B2074" s="81" t="s">
        <v>4800</v>
      </c>
      <c r="C2074" s="26" t="s">
        <v>37</v>
      </c>
      <c r="D2074" s="14"/>
      <c r="E2074" s="15">
        <f>+SUM!H2071</f>
        <v>1367696</v>
      </c>
      <c r="F2074" s="16">
        <f t="shared" si="122"/>
        <v>0</v>
      </c>
      <c r="G2074">
        <f t="shared" si="119"/>
        <v>0</v>
      </c>
    </row>
    <row r="2075" spans="1:7" hidden="1" x14ac:dyDescent="0.25">
      <c r="A2075" s="43" t="s">
        <v>4816</v>
      </c>
      <c r="B2075" s="81" t="s">
        <v>4801</v>
      </c>
      <c r="C2075" s="26" t="s">
        <v>37</v>
      </c>
      <c r="D2075" s="14"/>
      <c r="E2075" s="15">
        <f>+SUM!H2072</f>
        <v>1699778</v>
      </c>
      <c r="F2075" s="16">
        <f t="shared" si="122"/>
        <v>0</v>
      </c>
      <c r="G2075">
        <f t="shared" si="119"/>
        <v>0</v>
      </c>
    </row>
    <row r="2076" spans="1:7" hidden="1" x14ac:dyDescent="0.25">
      <c r="A2076" s="43" t="s">
        <v>1006</v>
      </c>
      <c r="B2076" s="81" t="s">
        <v>4802</v>
      </c>
      <c r="C2076" s="26" t="s">
        <v>37</v>
      </c>
      <c r="D2076" s="14"/>
      <c r="E2076" s="15">
        <f>+SUM!H2073</f>
        <v>1423512</v>
      </c>
      <c r="F2076" s="16">
        <f t="shared" si="122"/>
        <v>0</v>
      </c>
      <c r="G2076">
        <f t="shared" si="119"/>
        <v>0</v>
      </c>
    </row>
    <row r="2077" spans="1:7" hidden="1" x14ac:dyDescent="0.25">
      <c r="A2077" s="43" t="s">
        <v>4817</v>
      </c>
      <c r="B2077" s="81" t="s">
        <v>4803</v>
      </c>
      <c r="C2077" s="26" t="s">
        <v>37</v>
      </c>
      <c r="D2077" s="14"/>
      <c r="E2077" s="15">
        <f>+SUM!H2074</f>
        <v>1805786</v>
      </c>
      <c r="F2077" s="16">
        <f t="shared" si="122"/>
        <v>0</v>
      </c>
      <c r="G2077">
        <f t="shared" si="119"/>
        <v>0</v>
      </c>
    </row>
    <row r="2078" spans="1:7" hidden="1" x14ac:dyDescent="0.25">
      <c r="A2078" s="43" t="s">
        <v>4818</v>
      </c>
      <c r="B2078" s="81" t="s">
        <v>4804</v>
      </c>
      <c r="C2078" s="26" t="s">
        <v>37</v>
      </c>
      <c r="D2078" s="14"/>
      <c r="E2078" s="15">
        <f>+SUM!H2075</f>
        <v>2226161</v>
      </c>
      <c r="F2078" s="16">
        <f t="shared" si="122"/>
        <v>0</v>
      </c>
      <c r="G2078">
        <f t="shared" si="119"/>
        <v>0</v>
      </c>
    </row>
    <row r="2079" spans="1:7" hidden="1" x14ac:dyDescent="0.25">
      <c r="A2079" s="43" t="s">
        <v>4819</v>
      </c>
      <c r="B2079" s="81" t="s">
        <v>4805</v>
      </c>
      <c r="C2079" s="26" t="s">
        <v>37</v>
      </c>
      <c r="D2079" s="14"/>
      <c r="E2079" s="15">
        <f>+SUM!H2076</f>
        <v>1692397</v>
      </c>
      <c r="F2079" s="16">
        <f t="shared" si="122"/>
        <v>0</v>
      </c>
      <c r="G2079">
        <f t="shared" si="119"/>
        <v>0</v>
      </c>
    </row>
    <row r="2080" spans="1:7" hidden="1" x14ac:dyDescent="0.25">
      <c r="A2080" s="43" t="s">
        <v>4820</v>
      </c>
      <c r="B2080" s="81" t="s">
        <v>4806</v>
      </c>
      <c r="C2080" s="26" t="s">
        <v>37</v>
      </c>
      <c r="D2080" s="14"/>
      <c r="E2080" s="15">
        <f>+SUM!H2077</f>
        <v>2110312</v>
      </c>
      <c r="F2080" s="16">
        <f t="shared" si="122"/>
        <v>0</v>
      </c>
      <c r="G2080">
        <f t="shared" si="119"/>
        <v>0</v>
      </c>
    </row>
    <row r="2081" spans="1:7" hidden="1" x14ac:dyDescent="0.25">
      <c r="A2081" s="43" t="s">
        <v>4821</v>
      </c>
      <c r="B2081" s="81" t="s">
        <v>4807</v>
      </c>
      <c r="C2081" s="26" t="s">
        <v>37</v>
      </c>
      <c r="D2081" s="14"/>
      <c r="E2081" s="15">
        <f>+SUM!H2078</f>
        <v>2571600</v>
      </c>
      <c r="F2081" s="16">
        <f t="shared" si="122"/>
        <v>0</v>
      </c>
      <c r="G2081">
        <f t="shared" si="119"/>
        <v>0</v>
      </c>
    </row>
    <row r="2082" spans="1:7" hidden="1" x14ac:dyDescent="0.25">
      <c r="A2082" s="43" t="s">
        <v>4822</v>
      </c>
      <c r="B2082" s="81" t="s">
        <v>4808</v>
      </c>
      <c r="C2082" s="26" t="s">
        <v>37</v>
      </c>
      <c r="D2082" s="14"/>
      <c r="E2082" s="15">
        <f>+SUM!H2079</f>
        <v>2098362</v>
      </c>
      <c r="F2082" s="16">
        <f t="shared" si="122"/>
        <v>0</v>
      </c>
      <c r="G2082">
        <f t="shared" si="119"/>
        <v>0</v>
      </c>
    </row>
    <row r="2083" spans="1:7" hidden="1" x14ac:dyDescent="0.25">
      <c r="A2083" s="43" t="s">
        <v>4823</v>
      </c>
      <c r="B2083" s="81" t="s">
        <v>4809</v>
      </c>
      <c r="C2083" s="26" t="s">
        <v>37</v>
      </c>
      <c r="D2083" s="14"/>
      <c r="E2083" s="15">
        <f>+SUM!H2080</f>
        <v>2628541</v>
      </c>
      <c r="F2083" s="16">
        <f t="shared" si="122"/>
        <v>0</v>
      </c>
      <c r="G2083">
        <f t="shared" si="119"/>
        <v>0</v>
      </c>
    </row>
    <row r="2084" spans="1:7" hidden="1" x14ac:dyDescent="0.25">
      <c r="A2084" s="43" t="s">
        <v>4824</v>
      </c>
      <c r="B2084" s="81" t="s">
        <v>4810</v>
      </c>
      <c r="C2084" s="26" t="s">
        <v>37</v>
      </c>
      <c r="D2084" s="14"/>
      <c r="E2084" s="15">
        <f>+SUM!H2081</f>
        <v>3213129</v>
      </c>
      <c r="F2084" s="16">
        <f t="shared" si="122"/>
        <v>0</v>
      </c>
      <c r="G2084">
        <f t="shared" ref="G2084:G2147" si="123">+IF(F2084&lt;&gt;0,1,0)</f>
        <v>0</v>
      </c>
    </row>
    <row r="2085" spans="1:7" hidden="1" x14ac:dyDescent="0.25">
      <c r="A2085" s="43" t="s">
        <v>4825</v>
      </c>
      <c r="B2085" s="81" t="s">
        <v>4811</v>
      </c>
      <c r="C2085" s="26" t="s">
        <v>37</v>
      </c>
      <c r="D2085" s="14"/>
      <c r="E2085" s="15">
        <f>+SUM!H2082</f>
        <v>2404153</v>
      </c>
      <c r="F2085" s="16">
        <f t="shared" si="122"/>
        <v>0</v>
      </c>
      <c r="G2085">
        <f t="shared" si="123"/>
        <v>0</v>
      </c>
    </row>
    <row r="2086" spans="1:7" hidden="1" x14ac:dyDescent="0.25">
      <c r="A2086" s="43" t="s">
        <v>4826</v>
      </c>
      <c r="B2086" s="81" t="s">
        <v>4812</v>
      </c>
      <c r="C2086" s="26" t="s">
        <v>37</v>
      </c>
      <c r="D2086" s="14"/>
      <c r="E2086" s="15">
        <f>+SUM!H2083</f>
        <v>3120084</v>
      </c>
      <c r="F2086" s="16">
        <f t="shared" si="122"/>
        <v>0</v>
      </c>
      <c r="G2086">
        <f t="shared" si="123"/>
        <v>0</v>
      </c>
    </row>
    <row r="2087" spans="1:7" hidden="1" x14ac:dyDescent="0.25">
      <c r="A2087" s="43" t="s">
        <v>4827</v>
      </c>
      <c r="B2087" s="81" t="s">
        <v>4813</v>
      </c>
      <c r="C2087" s="26" t="s">
        <v>37</v>
      </c>
      <c r="D2087" s="14"/>
      <c r="E2087" s="15">
        <f>+SUM!H2084</f>
        <v>3904007</v>
      </c>
      <c r="F2087" s="16">
        <f t="shared" si="122"/>
        <v>0</v>
      </c>
      <c r="G2087">
        <f t="shared" si="123"/>
        <v>0</v>
      </c>
    </row>
    <row r="2088" spans="1:7" x14ac:dyDescent="0.25">
      <c r="A2088" s="44" t="s">
        <v>1007</v>
      </c>
      <c r="B2088" s="80" t="s">
        <v>4828</v>
      </c>
      <c r="C2088" s="14"/>
      <c r="D2088" s="14"/>
      <c r="E2088" s="15"/>
      <c r="F2088" s="16"/>
      <c r="G2088">
        <v>1</v>
      </c>
    </row>
    <row r="2089" spans="1:7" hidden="1" x14ac:dyDescent="0.25">
      <c r="A2089" s="43" t="s">
        <v>4877</v>
      </c>
      <c r="B2089" s="81" t="s">
        <v>4829</v>
      </c>
      <c r="C2089" s="26" t="s">
        <v>37</v>
      </c>
      <c r="D2089" s="14"/>
      <c r="E2089" s="15">
        <f>+SUM!H2086</f>
        <v>168712</v>
      </c>
      <c r="F2089" s="16">
        <f t="shared" ref="F2089:F2136" si="124">+D2089*E2089</f>
        <v>0</v>
      </c>
      <c r="G2089">
        <f t="shared" si="123"/>
        <v>0</v>
      </c>
    </row>
    <row r="2090" spans="1:7" hidden="1" x14ac:dyDescent="0.25">
      <c r="A2090" s="43" t="s">
        <v>4878</v>
      </c>
      <c r="B2090" s="81" t="s">
        <v>4830</v>
      </c>
      <c r="C2090" s="26" t="s">
        <v>37</v>
      </c>
      <c r="D2090" s="14"/>
      <c r="E2090" s="15">
        <f>+SUM!H2087</f>
        <v>203017</v>
      </c>
      <c r="F2090" s="16">
        <f t="shared" si="124"/>
        <v>0</v>
      </c>
      <c r="G2090">
        <f t="shared" si="123"/>
        <v>0</v>
      </c>
    </row>
    <row r="2091" spans="1:7" hidden="1" x14ac:dyDescent="0.25">
      <c r="A2091" s="43" t="s">
        <v>1008</v>
      </c>
      <c r="B2091" s="81" t="s">
        <v>4831</v>
      </c>
      <c r="C2091" s="26" t="s">
        <v>37</v>
      </c>
      <c r="D2091" s="14"/>
      <c r="E2091" s="15">
        <f>+SUM!H2088</f>
        <v>0</v>
      </c>
      <c r="F2091" s="16">
        <f t="shared" si="124"/>
        <v>0</v>
      </c>
      <c r="G2091">
        <f t="shared" si="123"/>
        <v>0</v>
      </c>
    </row>
    <row r="2092" spans="1:7" hidden="1" x14ac:dyDescent="0.25">
      <c r="A2092" s="43" t="s">
        <v>1009</v>
      </c>
      <c r="B2092" s="81" t="s">
        <v>4832</v>
      </c>
      <c r="C2092" s="26" t="s">
        <v>37</v>
      </c>
      <c r="D2092" s="14"/>
      <c r="E2092" s="15">
        <f>+SUM!H2089</f>
        <v>0</v>
      </c>
      <c r="F2092" s="16">
        <f t="shared" si="124"/>
        <v>0</v>
      </c>
      <c r="G2092">
        <f t="shared" si="123"/>
        <v>0</v>
      </c>
    </row>
    <row r="2093" spans="1:7" hidden="1" x14ac:dyDescent="0.25">
      <c r="A2093" s="43" t="s">
        <v>4879</v>
      </c>
      <c r="B2093" s="81" t="s">
        <v>4833</v>
      </c>
      <c r="C2093" s="26" t="s">
        <v>37</v>
      </c>
      <c r="D2093" s="14"/>
      <c r="E2093" s="15">
        <f>+SUM!H2090</f>
        <v>0</v>
      </c>
      <c r="F2093" s="16">
        <f t="shared" si="124"/>
        <v>0</v>
      </c>
      <c r="G2093">
        <f t="shared" si="123"/>
        <v>0</v>
      </c>
    </row>
    <row r="2094" spans="1:7" hidden="1" x14ac:dyDescent="0.25">
      <c r="A2094" s="43" t="s">
        <v>4880</v>
      </c>
      <c r="B2094" s="81" t="s">
        <v>4849</v>
      </c>
      <c r="C2094" s="26" t="s">
        <v>37</v>
      </c>
      <c r="D2094" s="14"/>
      <c r="E2094" s="15">
        <f>+SUM!H2091</f>
        <v>241259</v>
      </c>
      <c r="F2094" s="16">
        <f t="shared" si="124"/>
        <v>0</v>
      </c>
      <c r="G2094">
        <f t="shared" si="123"/>
        <v>0</v>
      </c>
    </row>
    <row r="2095" spans="1:7" hidden="1" x14ac:dyDescent="0.25">
      <c r="A2095" s="43" t="s">
        <v>4881</v>
      </c>
      <c r="B2095" s="81" t="s">
        <v>4834</v>
      </c>
      <c r="C2095" s="26" t="s">
        <v>37</v>
      </c>
      <c r="D2095" s="14"/>
      <c r="E2095" s="15">
        <f>+SUM!H2092</f>
        <v>305791</v>
      </c>
      <c r="F2095" s="16">
        <f t="shared" si="124"/>
        <v>0</v>
      </c>
      <c r="G2095">
        <f t="shared" si="123"/>
        <v>0</v>
      </c>
    </row>
    <row r="2096" spans="1:7" hidden="1" x14ac:dyDescent="0.25">
      <c r="A2096" s="43" t="s">
        <v>4882</v>
      </c>
      <c r="B2096" s="81" t="s">
        <v>4835</v>
      </c>
      <c r="C2096" s="26" t="s">
        <v>37</v>
      </c>
      <c r="D2096" s="14"/>
      <c r="E2096" s="15">
        <f>+SUM!H2093</f>
        <v>352609</v>
      </c>
      <c r="F2096" s="16">
        <f t="shared" si="124"/>
        <v>0</v>
      </c>
      <c r="G2096">
        <f t="shared" si="123"/>
        <v>0</v>
      </c>
    </row>
    <row r="2097" spans="1:7" hidden="1" x14ac:dyDescent="0.25">
      <c r="A2097" s="43" t="s">
        <v>4883</v>
      </c>
      <c r="B2097" s="81" t="s">
        <v>4836</v>
      </c>
      <c r="C2097" s="26" t="s">
        <v>37</v>
      </c>
      <c r="D2097" s="14"/>
      <c r="E2097" s="15">
        <f>+SUM!H2094</f>
        <v>0</v>
      </c>
      <c r="F2097" s="16">
        <f t="shared" si="124"/>
        <v>0</v>
      </c>
      <c r="G2097">
        <f t="shared" si="123"/>
        <v>0</v>
      </c>
    </row>
    <row r="2098" spans="1:7" hidden="1" x14ac:dyDescent="0.25">
      <c r="A2098" s="43" t="s">
        <v>4884</v>
      </c>
      <c r="B2098" s="81" t="s">
        <v>4837</v>
      </c>
      <c r="C2098" s="26" t="s">
        <v>37</v>
      </c>
      <c r="D2098" s="14"/>
      <c r="E2098" s="15">
        <f>+SUM!H2095</f>
        <v>0</v>
      </c>
      <c r="F2098" s="16">
        <f t="shared" si="124"/>
        <v>0</v>
      </c>
      <c r="G2098">
        <f t="shared" si="123"/>
        <v>0</v>
      </c>
    </row>
    <row r="2099" spans="1:7" hidden="1" x14ac:dyDescent="0.25">
      <c r="A2099" s="43" t="s">
        <v>4885</v>
      </c>
      <c r="B2099" s="81" t="s">
        <v>4838</v>
      </c>
      <c r="C2099" s="26" t="s">
        <v>37</v>
      </c>
      <c r="D2099" s="14"/>
      <c r="E2099" s="15">
        <f>+SUM!H2096</f>
        <v>0</v>
      </c>
      <c r="F2099" s="16">
        <f t="shared" si="124"/>
        <v>0</v>
      </c>
      <c r="G2099">
        <f t="shared" si="123"/>
        <v>0</v>
      </c>
    </row>
    <row r="2100" spans="1:7" hidden="1" x14ac:dyDescent="0.25">
      <c r="A2100" s="43" t="s">
        <v>4886</v>
      </c>
      <c r="B2100" s="81" t="s">
        <v>4850</v>
      </c>
      <c r="C2100" s="26" t="s">
        <v>37</v>
      </c>
      <c r="D2100" s="14"/>
      <c r="E2100" s="15">
        <f>+SUM!H2097</f>
        <v>405754</v>
      </c>
      <c r="F2100" s="16">
        <f t="shared" si="124"/>
        <v>0</v>
      </c>
      <c r="G2100">
        <f t="shared" si="123"/>
        <v>0</v>
      </c>
    </row>
    <row r="2101" spans="1:7" hidden="1" x14ac:dyDescent="0.25">
      <c r="A2101" s="43" t="s">
        <v>4887</v>
      </c>
      <c r="B2101" s="81" t="s">
        <v>4839</v>
      </c>
      <c r="C2101" s="26" t="s">
        <v>37</v>
      </c>
      <c r="D2101" s="14"/>
      <c r="E2101" s="15">
        <f>+SUM!H2098</f>
        <v>400692</v>
      </c>
      <c r="F2101" s="16">
        <f t="shared" si="124"/>
        <v>0</v>
      </c>
      <c r="G2101">
        <f t="shared" si="123"/>
        <v>0</v>
      </c>
    </row>
    <row r="2102" spans="1:7" hidden="1" x14ac:dyDescent="0.25">
      <c r="A2102" s="43" t="s">
        <v>4888</v>
      </c>
      <c r="B2102" s="81" t="s">
        <v>4840</v>
      </c>
      <c r="C2102" s="26" t="s">
        <v>37</v>
      </c>
      <c r="D2102" s="14"/>
      <c r="E2102" s="15">
        <f>+SUM!H2099</f>
        <v>470145</v>
      </c>
      <c r="F2102" s="16">
        <f t="shared" si="124"/>
        <v>0</v>
      </c>
      <c r="G2102">
        <f t="shared" si="123"/>
        <v>0</v>
      </c>
    </row>
    <row r="2103" spans="1:7" hidden="1" x14ac:dyDescent="0.25">
      <c r="A2103" s="43" t="s">
        <v>4889</v>
      </c>
      <c r="B2103" s="81" t="s">
        <v>4841</v>
      </c>
      <c r="C2103" s="26" t="s">
        <v>37</v>
      </c>
      <c r="D2103" s="14"/>
      <c r="E2103" s="15">
        <f>+SUM!H2100</f>
        <v>0</v>
      </c>
      <c r="F2103" s="16">
        <f t="shared" si="124"/>
        <v>0</v>
      </c>
      <c r="G2103">
        <f t="shared" si="123"/>
        <v>0</v>
      </c>
    </row>
    <row r="2104" spans="1:7" hidden="1" x14ac:dyDescent="0.25">
      <c r="A2104" s="43" t="s">
        <v>4890</v>
      </c>
      <c r="B2104" s="81" t="s">
        <v>4842</v>
      </c>
      <c r="C2104" s="26" t="s">
        <v>37</v>
      </c>
      <c r="D2104" s="14"/>
      <c r="E2104" s="15">
        <f>+SUM!H2101</f>
        <v>0</v>
      </c>
      <c r="F2104" s="16">
        <f t="shared" si="124"/>
        <v>0</v>
      </c>
      <c r="G2104">
        <f t="shared" si="123"/>
        <v>0</v>
      </c>
    </row>
    <row r="2105" spans="1:7" hidden="1" x14ac:dyDescent="0.25">
      <c r="A2105" s="43" t="s">
        <v>4891</v>
      </c>
      <c r="B2105" s="81" t="s">
        <v>4843</v>
      </c>
      <c r="C2105" s="26" t="s">
        <v>37</v>
      </c>
      <c r="D2105" s="14"/>
      <c r="E2105" s="15">
        <f>+SUM!H2102</f>
        <v>0</v>
      </c>
      <c r="F2105" s="16">
        <f t="shared" si="124"/>
        <v>0</v>
      </c>
      <c r="G2105">
        <f t="shared" si="123"/>
        <v>0</v>
      </c>
    </row>
    <row r="2106" spans="1:7" hidden="1" x14ac:dyDescent="0.25">
      <c r="A2106" s="43" t="s">
        <v>4892</v>
      </c>
      <c r="B2106" s="81" t="s">
        <v>4851</v>
      </c>
      <c r="C2106" s="26" t="s">
        <v>37</v>
      </c>
      <c r="D2106" s="14"/>
      <c r="E2106" s="15">
        <f>+SUM!H2103</f>
        <v>548316</v>
      </c>
      <c r="F2106" s="16">
        <f t="shared" si="124"/>
        <v>0</v>
      </c>
      <c r="G2106">
        <f t="shared" si="123"/>
        <v>0</v>
      </c>
    </row>
    <row r="2107" spans="1:7" hidden="1" x14ac:dyDescent="0.25">
      <c r="A2107" s="43" t="s">
        <v>4893</v>
      </c>
      <c r="B2107" s="81" t="s">
        <v>4844</v>
      </c>
      <c r="C2107" s="26" t="s">
        <v>37</v>
      </c>
      <c r="D2107" s="14"/>
      <c r="E2107" s="15">
        <f>+SUM!H2104</f>
        <v>727573</v>
      </c>
      <c r="F2107" s="16">
        <f t="shared" si="124"/>
        <v>0</v>
      </c>
      <c r="G2107">
        <f t="shared" si="123"/>
        <v>0</v>
      </c>
    </row>
    <row r="2108" spans="1:7" hidden="1" x14ac:dyDescent="0.25">
      <c r="A2108" s="43" t="s">
        <v>4894</v>
      </c>
      <c r="B2108" s="81" t="s">
        <v>4845</v>
      </c>
      <c r="C2108" s="26" t="s">
        <v>37</v>
      </c>
      <c r="D2108" s="14"/>
      <c r="E2108" s="15">
        <f>+SUM!H2105</f>
        <v>822755</v>
      </c>
      <c r="F2108" s="16">
        <f t="shared" si="124"/>
        <v>0</v>
      </c>
      <c r="G2108">
        <f t="shared" si="123"/>
        <v>0</v>
      </c>
    </row>
    <row r="2109" spans="1:7" hidden="1" x14ac:dyDescent="0.25">
      <c r="A2109" s="43" t="s">
        <v>4895</v>
      </c>
      <c r="B2109" s="81" t="s">
        <v>4846</v>
      </c>
      <c r="C2109" s="26" t="s">
        <v>37</v>
      </c>
      <c r="D2109" s="14"/>
      <c r="E2109" s="15">
        <f>+SUM!H2106</f>
        <v>0</v>
      </c>
      <c r="F2109" s="16">
        <f t="shared" si="124"/>
        <v>0</v>
      </c>
      <c r="G2109">
        <f t="shared" si="123"/>
        <v>0</v>
      </c>
    </row>
    <row r="2110" spans="1:7" hidden="1" x14ac:dyDescent="0.25">
      <c r="A2110" s="43" t="s">
        <v>1010</v>
      </c>
      <c r="B2110" s="81" t="s">
        <v>4847</v>
      </c>
      <c r="C2110" s="26" t="s">
        <v>37</v>
      </c>
      <c r="D2110" s="14"/>
      <c r="E2110" s="15">
        <f>+SUM!H2107</f>
        <v>0</v>
      </c>
      <c r="F2110" s="16">
        <f t="shared" si="124"/>
        <v>0</v>
      </c>
      <c r="G2110">
        <f t="shared" si="123"/>
        <v>0</v>
      </c>
    </row>
    <row r="2111" spans="1:7" hidden="1" x14ac:dyDescent="0.25">
      <c r="A2111" s="43" t="s">
        <v>4896</v>
      </c>
      <c r="B2111" s="81" t="s">
        <v>4848</v>
      </c>
      <c r="C2111" s="26" t="s">
        <v>37</v>
      </c>
      <c r="D2111" s="14"/>
      <c r="E2111" s="15">
        <f>+SUM!H2108</f>
        <v>0</v>
      </c>
      <c r="F2111" s="16">
        <f t="shared" si="124"/>
        <v>0</v>
      </c>
      <c r="G2111">
        <f t="shared" si="123"/>
        <v>0</v>
      </c>
    </row>
    <row r="2112" spans="1:7" hidden="1" x14ac:dyDescent="0.25">
      <c r="A2112" s="43" t="s">
        <v>4897</v>
      </c>
      <c r="B2112" s="81" t="s">
        <v>4852</v>
      </c>
      <c r="C2112" s="26" t="s">
        <v>37</v>
      </c>
      <c r="D2112" s="14"/>
      <c r="E2112" s="15">
        <f>+SUM!H2109</f>
        <v>932136</v>
      </c>
      <c r="F2112" s="16">
        <f t="shared" si="124"/>
        <v>0</v>
      </c>
      <c r="G2112">
        <f t="shared" si="123"/>
        <v>0</v>
      </c>
    </row>
    <row r="2113" spans="1:7" hidden="1" x14ac:dyDescent="0.25">
      <c r="A2113" s="43" t="s">
        <v>4898</v>
      </c>
      <c r="B2113" s="81" t="s">
        <v>4853</v>
      </c>
      <c r="C2113" s="26" t="s">
        <v>37</v>
      </c>
      <c r="D2113" s="14"/>
      <c r="E2113" s="15">
        <f>+SUM!H2110</f>
        <v>938463</v>
      </c>
      <c r="F2113" s="16">
        <f t="shared" si="124"/>
        <v>0</v>
      </c>
      <c r="G2113">
        <f t="shared" si="123"/>
        <v>0</v>
      </c>
    </row>
    <row r="2114" spans="1:7" hidden="1" x14ac:dyDescent="0.25">
      <c r="A2114" s="43" t="s">
        <v>4899</v>
      </c>
      <c r="B2114" s="81" t="s">
        <v>4854</v>
      </c>
      <c r="C2114" s="26" t="s">
        <v>37</v>
      </c>
      <c r="D2114" s="14"/>
      <c r="E2114" s="15">
        <f>+SUM!H2111</f>
        <v>1068512</v>
      </c>
      <c r="F2114" s="16">
        <f t="shared" si="124"/>
        <v>0</v>
      </c>
      <c r="G2114">
        <f t="shared" si="123"/>
        <v>0</v>
      </c>
    </row>
    <row r="2115" spans="1:7" hidden="1" x14ac:dyDescent="0.25">
      <c r="A2115" s="43" t="s">
        <v>4900</v>
      </c>
      <c r="B2115" s="81" t="s">
        <v>4855</v>
      </c>
      <c r="C2115" s="26" t="s">
        <v>37</v>
      </c>
      <c r="D2115" s="14"/>
      <c r="E2115" s="15">
        <f>+SUM!H2112</f>
        <v>1217261</v>
      </c>
      <c r="F2115" s="16">
        <f t="shared" si="124"/>
        <v>0</v>
      </c>
      <c r="G2115">
        <f t="shared" si="123"/>
        <v>0</v>
      </c>
    </row>
    <row r="2116" spans="1:7" hidden="1" x14ac:dyDescent="0.25">
      <c r="A2116" s="43" t="s">
        <v>4901</v>
      </c>
      <c r="B2116" s="81" t="s">
        <v>4856</v>
      </c>
      <c r="C2116" s="26" t="s">
        <v>37</v>
      </c>
      <c r="D2116" s="14"/>
      <c r="E2116" s="15">
        <f>+SUM!H2113</f>
        <v>1254799</v>
      </c>
      <c r="F2116" s="16">
        <f t="shared" si="124"/>
        <v>0</v>
      </c>
      <c r="G2116">
        <f t="shared" si="123"/>
        <v>0</v>
      </c>
    </row>
    <row r="2117" spans="1:7" hidden="1" x14ac:dyDescent="0.25">
      <c r="A2117" s="43" t="s">
        <v>4902</v>
      </c>
      <c r="B2117" s="81" t="s">
        <v>4857</v>
      </c>
      <c r="C2117" s="26" t="s">
        <v>37</v>
      </c>
      <c r="D2117" s="14"/>
      <c r="E2117" s="15">
        <f>+SUM!H2114</f>
        <v>1431807</v>
      </c>
      <c r="F2117" s="16">
        <f t="shared" si="124"/>
        <v>0</v>
      </c>
      <c r="G2117">
        <f t="shared" si="123"/>
        <v>0</v>
      </c>
    </row>
    <row r="2118" spans="1:7" x14ac:dyDescent="0.25">
      <c r="A2118" s="43" t="s">
        <v>4903</v>
      </c>
      <c r="B2118" s="81" t="s">
        <v>4858</v>
      </c>
      <c r="C2118" s="26" t="s">
        <v>37</v>
      </c>
      <c r="D2118" s="14">
        <v>1</v>
      </c>
      <c r="E2118" s="15">
        <f>+SUM!H2115</f>
        <v>1633980</v>
      </c>
      <c r="F2118" s="16">
        <f t="shared" si="124"/>
        <v>1633980</v>
      </c>
      <c r="G2118">
        <f t="shared" si="123"/>
        <v>1</v>
      </c>
    </row>
    <row r="2119" spans="1:7" hidden="1" x14ac:dyDescent="0.25">
      <c r="A2119" s="43" t="s">
        <v>4904</v>
      </c>
      <c r="B2119" s="81" t="s">
        <v>4859</v>
      </c>
      <c r="C2119" s="26" t="s">
        <v>37</v>
      </c>
      <c r="D2119" s="14"/>
      <c r="E2119" s="15">
        <f>+SUM!H2116</f>
        <v>1687125</v>
      </c>
      <c r="F2119" s="16">
        <f t="shared" si="124"/>
        <v>0</v>
      </c>
      <c r="G2119">
        <f t="shared" si="123"/>
        <v>0</v>
      </c>
    </row>
    <row r="2120" spans="1:7" hidden="1" x14ac:dyDescent="0.25">
      <c r="A2120" s="43" t="s">
        <v>4905</v>
      </c>
      <c r="B2120" s="81" t="s">
        <v>4860</v>
      </c>
      <c r="C2120" s="26" t="s">
        <v>37</v>
      </c>
      <c r="D2120" s="14"/>
      <c r="E2120" s="15"/>
      <c r="F2120" s="16">
        <f t="shared" si="124"/>
        <v>0</v>
      </c>
      <c r="G2120">
        <f t="shared" si="123"/>
        <v>0</v>
      </c>
    </row>
    <row r="2121" spans="1:7" hidden="1" x14ac:dyDescent="0.25">
      <c r="A2121" s="43" t="s">
        <v>4906</v>
      </c>
      <c r="B2121" s="81" t="s">
        <v>4861</v>
      </c>
      <c r="C2121" s="26" t="s">
        <v>37</v>
      </c>
      <c r="D2121" s="14"/>
      <c r="E2121" s="15"/>
      <c r="F2121" s="16">
        <f t="shared" si="124"/>
        <v>0</v>
      </c>
      <c r="G2121">
        <f t="shared" si="123"/>
        <v>0</v>
      </c>
    </row>
    <row r="2122" spans="1:7" hidden="1" x14ac:dyDescent="0.25">
      <c r="A2122" s="43" t="s">
        <v>4907</v>
      </c>
      <c r="B2122" s="81" t="s">
        <v>4862</v>
      </c>
      <c r="C2122" s="26" t="s">
        <v>37</v>
      </c>
      <c r="D2122" s="14"/>
      <c r="E2122" s="15"/>
      <c r="F2122" s="16">
        <f t="shared" si="124"/>
        <v>0</v>
      </c>
      <c r="G2122">
        <f t="shared" si="123"/>
        <v>0</v>
      </c>
    </row>
    <row r="2123" spans="1:7" hidden="1" x14ac:dyDescent="0.25">
      <c r="A2123" s="43" t="s">
        <v>4908</v>
      </c>
      <c r="B2123" s="81" t="s">
        <v>4863</v>
      </c>
      <c r="C2123" s="26" t="s">
        <v>37</v>
      </c>
      <c r="D2123" s="14"/>
      <c r="E2123" s="15"/>
      <c r="F2123" s="16">
        <f t="shared" si="124"/>
        <v>0</v>
      </c>
      <c r="G2123">
        <f t="shared" si="123"/>
        <v>0</v>
      </c>
    </row>
    <row r="2124" spans="1:7" hidden="1" x14ac:dyDescent="0.25">
      <c r="A2124" s="43" t="s">
        <v>4909</v>
      </c>
      <c r="B2124" s="81" t="s">
        <v>4864</v>
      </c>
      <c r="C2124" s="26" t="s">
        <v>37</v>
      </c>
      <c r="D2124" s="14"/>
      <c r="E2124" s="15"/>
      <c r="F2124" s="16">
        <f t="shared" si="124"/>
        <v>0</v>
      </c>
      <c r="G2124">
        <f t="shared" si="123"/>
        <v>0</v>
      </c>
    </row>
    <row r="2125" spans="1:7" hidden="1" x14ac:dyDescent="0.25">
      <c r="A2125" s="43" t="s">
        <v>4910</v>
      </c>
      <c r="B2125" s="81" t="s">
        <v>4865</v>
      </c>
      <c r="C2125" s="26" t="s">
        <v>37</v>
      </c>
      <c r="D2125" s="14"/>
      <c r="E2125" s="15"/>
      <c r="F2125" s="16">
        <f t="shared" si="124"/>
        <v>0</v>
      </c>
      <c r="G2125">
        <f t="shared" si="123"/>
        <v>0</v>
      </c>
    </row>
    <row r="2126" spans="1:7" hidden="1" x14ac:dyDescent="0.25">
      <c r="A2126" s="43" t="s">
        <v>4911</v>
      </c>
      <c r="B2126" s="81" t="s">
        <v>4866</v>
      </c>
      <c r="C2126" s="26" t="s">
        <v>37</v>
      </c>
      <c r="D2126" s="14"/>
      <c r="E2126" s="15"/>
      <c r="F2126" s="16">
        <f t="shared" si="124"/>
        <v>0</v>
      </c>
      <c r="G2126">
        <f t="shared" si="123"/>
        <v>0</v>
      </c>
    </row>
    <row r="2127" spans="1:7" hidden="1" x14ac:dyDescent="0.25">
      <c r="A2127" s="43" t="s">
        <v>4912</v>
      </c>
      <c r="B2127" s="81" t="s">
        <v>4867</v>
      </c>
      <c r="C2127" s="26" t="s">
        <v>37</v>
      </c>
      <c r="D2127" s="14"/>
      <c r="E2127" s="15"/>
      <c r="F2127" s="16">
        <f t="shared" si="124"/>
        <v>0</v>
      </c>
      <c r="G2127">
        <f t="shared" si="123"/>
        <v>0</v>
      </c>
    </row>
    <row r="2128" spans="1:7" hidden="1" x14ac:dyDescent="0.25">
      <c r="A2128" s="43" t="s">
        <v>4913</v>
      </c>
      <c r="B2128" s="81" t="s">
        <v>4868</v>
      </c>
      <c r="C2128" s="26" t="s">
        <v>37</v>
      </c>
      <c r="D2128" s="14"/>
      <c r="E2128" s="15"/>
      <c r="F2128" s="16">
        <f t="shared" si="124"/>
        <v>0</v>
      </c>
      <c r="G2128">
        <f t="shared" si="123"/>
        <v>0</v>
      </c>
    </row>
    <row r="2129" spans="1:7" hidden="1" x14ac:dyDescent="0.25">
      <c r="A2129" s="43" t="s">
        <v>4914</v>
      </c>
      <c r="B2129" s="81" t="s">
        <v>4869</v>
      </c>
      <c r="C2129" s="26" t="s">
        <v>37</v>
      </c>
      <c r="D2129" s="14"/>
      <c r="E2129" s="15"/>
      <c r="F2129" s="16">
        <f t="shared" si="124"/>
        <v>0</v>
      </c>
      <c r="G2129">
        <f t="shared" si="123"/>
        <v>0</v>
      </c>
    </row>
    <row r="2130" spans="1:7" hidden="1" x14ac:dyDescent="0.25">
      <c r="A2130" s="43" t="s">
        <v>4915</v>
      </c>
      <c r="B2130" s="81" t="s">
        <v>4870</v>
      </c>
      <c r="C2130" s="26" t="s">
        <v>37</v>
      </c>
      <c r="D2130" s="14"/>
      <c r="E2130" s="15"/>
      <c r="F2130" s="16">
        <f t="shared" si="124"/>
        <v>0</v>
      </c>
      <c r="G2130">
        <f t="shared" si="123"/>
        <v>0</v>
      </c>
    </row>
    <row r="2131" spans="1:7" hidden="1" x14ac:dyDescent="0.25">
      <c r="A2131" s="43" t="s">
        <v>4916</v>
      </c>
      <c r="B2131" s="81" t="s">
        <v>4871</v>
      </c>
      <c r="C2131" s="26" t="s">
        <v>37</v>
      </c>
      <c r="D2131" s="14"/>
      <c r="E2131" s="15"/>
      <c r="F2131" s="16">
        <f t="shared" si="124"/>
        <v>0</v>
      </c>
      <c r="G2131">
        <f t="shared" si="123"/>
        <v>0</v>
      </c>
    </row>
    <row r="2132" spans="1:7" hidden="1" x14ac:dyDescent="0.25">
      <c r="A2132" s="43" t="s">
        <v>4917</v>
      </c>
      <c r="B2132" s="81" t="s">
        <v>4872</v>
      </c>
      <c r="C2132" s="26" t="s">
        <v>37</v>
      </c>
      <c r="D2132" s="14"/>
      <c r="E2132" s="15"/>
      <c r="F2132" s="16">
        <f t="shared" si="124"/>
        <v>0</v>
      </c>
      <c r="G2132">
        <f t="shared" si="123"/>
        <v>0</v>
      </c>
    </row>
    <row r="2133" spans="1:7" hidden="1" x14ac:dyDescent="0.25">
      <c r="A2133" s="43" t="s">
        <v>4918</v>
      </c>
      <c r="B2133" s="81" t="s">
        <v>4873</v>
      </c>
      <c r="C2133" s="26" t="s">
        <v>37</v>
      </c>
      <c r="D2133" s="14"/>
      <c r="E2133" s="15"/>
      <c r="F2133" s="16">
        <f t="shared" si="124"/>
        <v>0</v>
      </c>
      <c r="G2133">
        <f t="shared" si="123"/>
        <v>0</v>
      </c>
    </row>
    <row r="2134" spans="1:7" hidden="1" x14ac:dyDescent="0.25">
      <c r="A2134" s="43" t="s">
        <v>4919</v>
      </c>
      <c r="B2134" s="81" t="s">
        <v>4874</v>
      </c>
      <c r="C2134" s="26" t="s">
        <v>37</v>
      </c>
      <c r="D2134" s="14"/>
      <c r="E2134" s="15"/>
      <c r="F2134" s="16">
        <f t="shared" si="124"/>
        <v>0</v>
      </c>
      <c r="G2134">
        <f t="shared" si="123"/>
        <v>0</v>
      </c>
    </row>
    <row r="2135" spans="1:7" hidden="1" x14ac:dyDescent="0.25">
      <c r="A2135" s="43" t="s">
        <v>4920</v>
      </c>
      <c r="B2135" s="81" t="s">
        <v>4875</v>
      </c>
      <c r="C2135" s="26" t="s">
        <v>37</v>
      </c>
      <c r="D2135" s="14"/>
      <c r="E2135" s="15"/>
      <c r="F2135" s="16">
        <f t="shared" si="124"/>
        <v>0</v>
      </c>
      <c r="G2135">
        <f t="shared" si="123"/>
        <v>0</v>
      </c>
    </row>
    <row r="2136" spans="1:7" hidden="1" x14ac:dyDescent="0.25">
      <c r="A2136" s="43" t="s">
        <v>4921</v>
      </c>
      <c r="B2136" s="81" t="s">
        <v>4876</v>
      </c>
      <c r="C2136" s="26" t="s">
        <v>37</v>
      </c>
      <c r="D2136" s="14"/>
      <c r="E2136" s="15"/>
      <c r="F2136" s="16">
        <f t="shared" si="124"/>
        <v>0</v>
      </c>
      <c r="G2136">
        <f t="shared" si="123"/>
        <v>0</v>
      </c>
    </row>
    <row r="2137" spans="1:7" hidden="1" x14ac:dyDescent="0.25">
      <c r="A2137" s="44" t="s">
        <v>4922</v>
      </c>
      <c r="B2137" s="80" t="s">
        <v>4923</v>
      </c>
      <c r="C2137" s="14"/>
      <c r="D2137" s="14"/>
      <c r="E2137" s="15"/>
      <c r="F2137" s="16"/>
      <c r="G2137">
        <f t="shared" si="123"/>
        <v>0</v>
      </c>
    </row>
    <row r="2138" spans="1:7" hidden="1" x14ac:dyDescent="0.25">
      <c r="A2138" s="44" t="s">
        <v>999</v>
      </c>
      <c r="B2138" s="80" t="s">
        <v>4941</v>
      </c>
      <c r="C2138" s="14"/>
      <c r="D2138" s="14"/>
      <c r="E2138" s="15"/>
      <c r="F2138" s="16"/>
      <c r="G2138">
        <f t="shared" si="123"/>
        <v>0</v>
      </c>
    </row>
    <row r="2139" spans="1:7" hidden="1" x14ac:dyDescent="0.25">
      <c r="A2139" s="43" t="s">
        <v>1000</v>
      </c>
      <c r="B2139" s="81" t="s">
        <v>4942</v>
      </c>
      <c r="C2139" s="26" t="s">
        <v>37</v>
      </c>
      <c r="D2139" s="14"/>
      <c r="E2139" s="15"/>
      <c r="F2139" s="16">
        <f>+D2139*E2139</f>
        <v>0</v>
      </c>
      <c r="G2139">
        <f t="shared" si="123"/>
        <v>0</v>
      </c>
    </row>
    <row r="2140" spans="1:7" hidden="1" x14ac:dyDescent="0.25">
      <c r="A2140" s="43" t="s">
        <v>4745</v>
      </c>
      <c r="B2140" s="81" t="s">
        <v>4943</v>
      </c>
      <c r="C2140" s="26" t="s">
        <v>37</v>
      </c>
      <c r="D2140" s="14"/>
      <c r="E2140" s="15"/>
      <c r="F2140" s="16">
        <f>+D2140*E2140</f>
        <v>0</v>
      </c>
      <c r="G2140">
        <f t="shared" si="123"/>
        <v>0</v>
      </c>
    </row>
    <row r="2141" spans="1:7" hidden="1" x14ac:dyDescent="0.25">
      <c r="A2141" s="44" t="s">
        <v>1007</v>
      </c>
      <c r="B2141" s="80" t="s">
        <v>4924</v>
      </c>
      <c r="C2141" s="14"/>
      <c r="D2141" s="14"/>
      <c r="E2141" s="15"/>
      <c r="F2141" s="16"/>
      <c r="G2141">
        <f t="shared" si="123"/>
        <v>0</v>
      </c>
    </row>
    <row r="2142" spans="1:7" hidden="1" x14ac:dyDescent="0.25">
      <c r="A2142" s="43" t="s">
        <v>4877</v>
      </c>
      <c r="B2142" s="81" t="s">
        <v>4925</v>
      </c>
      <c r="C2142" s="26" t="s">
        <v>37</v>
      </c>
      <c r="D2142" s="14"/>
      <c r="E2142" s="15"/>
      <c r="F2142" s="16">
        <f>+D2142*E2142</f>
        <v>0</v>
      </c>
      <c r="G2142">
        <f t="shared" si="123"/>
        <v>0</v>
      </c>
    </row>
    <row r="2143" spans="1:7" hidden="1" x14ac:dyDescent="0.25">
      <c r="A2143" s="43" t="s">
        <v>4878</v>
      </c>
      <c r="B2143" s="81" t="s">
        <v>4926</v>
      </c>
      <c r="C2143" s="26" t="s">
        <v>37</v>
      </c>
      <c r="D2143" s="14"/>
      <c r="E2143" s="15"/>
      <c r="F2143" s="16">
        <f>+D2143*E2143</f>
        <v>0</v>
      </c>
      <c r="G2143">
        <f t="shared" si="123"/>
        <v>0</v>
      </c>
    </row>
    <row r="2144" spans="1:7" hidden="1" x14ac:dyDescent="0.25">
      <c r="A2144" s="43" t="s">
        <v>1008</v>
      </c>
      <c r="B2144" s="81" t="s">
        <v>4927</v>
      </c>
      <c r="C2144" s="26" t="s">
        <v>37</v>
      </c>
      <c r="D2144" s="14"/>
      <c r="E2144" s="15"/>
      <c r="F2144" s="16">
        <f>+D2144*E2144</f>
        <v>0</v>
      </c>
      <c r="G2144">
        <f t="shared" si="123"/>
        <v>0</v>
      </c>
    </row>
    <row r="2145" spans="1:7" hidden="1" x14ac:dyDescent="0.25">
      <c r="A2145" s="43" t="s">
        <v>1009</v>
      </c>
      <c r="B2145" s="81" t="s">
        <v>4928</v>
      </c>
      <c r="C2145" s="26" t="s">
        <v>37</v>
      </c>
      <c r="D2145" s="14"/>
      <c r="E2145" s="15"/>
      <c r="F2145" s="16">
        <f>+D2145*E2145</f>
        <v>0</v>
      </c>
      <c r="G2145">
        <f t="shared" si="123"/>
        <v>0</v>
      </c>
    </row>
    <row r="2146" spans="1:7" hidden="1" x14ac:dyDescent="0.25">
      <c r="A2146" s="44" t="s">
        <v>4922</v>
      </c>
      <c r="B2146" s="80" t="s">
        <v>4929</v>
      </c>
      <c r="C2146" s="14"/>
      <c r="D2146" s="14"/>
      <c r="E2146" s="15"/>
      <c r="F2146" s="16"/>
      <c r="G2146">
        <f t="shared" si="123"/>
        <v>0</v>
      </c>
    </row>
    <row r="2147" spans="1:7" hidden="1" x14ac:dyDescent="0.25">
      <c r="A2147" s="43" t="s">
        <v>4934</v>
      </c>
      <c r="B2147" s="81" t="s">
        <v>4930</v>
      </c>
      <c r="C2147" s="26" t="s">
        <v>37</v>
      </c>
      <c r="D2147" s="14"/>
      <c r="E2147" s="15"/>
      <c r="F2147" s="16">
        <f>+D2147*E2147</f>
        <v>0</v>
      </c>
      <c r="G2147">
        <f t="shared" si="123"/>
        <v>0</v>
      </c>
    </row>
    <row r="2148" spans="1:7" hidden="1" x14ac:dyDescent="0.25">
      <c r="A2148" s="43" t="s">
        <v>4935</v>
      </c>
      <c r="B2148" s="81" t="s">
        <v>4931</v>
      </c>
      <c r="C2148" s="26" t="s">
        <v>37</v>
      </c>
      <c r="D2148" s="14"/>
      <c r="E2148" s="15"/>
      <c r="F2148" s="16">
        <f>+D2148*E2148</f>
        <v>0</v>
      </c>
      <c r="G2148">
        <f t="shared" ref="G2148:G2211" si="125">+IF(F2148&lt;&gt;0,1,0)</f>
        <v>0</v>
      </c>
    </row>
    <row r="2149" spans="1:7" hidden="1" x14ac:dyDescent="0.25">
      <c r="A2149" s="43" t="s">
        <v>4936</v>
      </c>
      <c r="B2149" s="81" t="s">
        <v>4932</v>
      </c>
      <c r="C2149" s="26" t="s">
        <v>37</v>
      </c>
      <c r="D2149" s="14"/>
      <c r="E2149" s="15"/>
      <c r="F2149" s="16">
        <f>+D2149*E2149</f>
        <v>0</v>
      </c>
      <c r="G2149">
        <f t="shared" si="125"/>
        <v>0</v>
      </c>
    </row>
    <row r="2150" spans="1:7" hidden="1" x14ac:dyDescent="0.25">
      <c r="A2150" s="43" t="s">
        <v>4937</v>
      </c>
      <c r="B2150" s="81" t="s">
        <v>4933</v>
      </c>
      <c r="C2150" s="26" t="s">
        <v>37</v>
      </c>
      <c r="D2150" s="14"/>
      <c r="E2150" s="15"/>
      <c r="F2150" s="16">
        <f>+D2150*E2150</f>
        <v>0</v>
      </c>
      <c r="G2150">
        <f t="shared" si="125"/>
        <v>0</v>
      </c>
    </row>
    <row r="2151" spans="1:7" hidden="1" x14ac:dyDescent="0.25">
      <c r="A2151" s="44" t="s">
        <v>4938</v>
      </c>
      <c r="B2151" s="80" t="s">
        <v>4939</v>
      </c>
      <c r="C2151" s="14"/>
      <c r="D2151" s="14"/>
      <c r="E2151" s="15"/>
      <c r="F2151" s="16"/>
      <c r="G2151">
        <f t="shared" si="125"/>
        <v>0</v>
      </c>
    </row>
    <row r="2152" spans="1:7" hidden="1" x14ac:dyDescent="0.25">
      <c r="A2152" s="44" t="s">
        <v>4940</v>
      </c>
      <c r="B2152" s="80" t="s">
        <v>4950</v>
      </c>
      <c r="C2152" s="14"/>
      <c r="D2152" s="14"/>
      <c r="E2152" s="15"/>
      <c r="F2152" s="16"/>
      <c r="G2152">
        <f t="shared" si="125"/>
        <v>0</v>
      </c>
    </row>
    <row r="2153" spans="1:7" hidden="1" x14ac:dyDescent="0.25">
      <c r="A2153" s="43" t="s">
        <v>1014</v>
      </c>
      <c r="B2153" s="81" t="s">
        <v>4944</v>
      </c>
      <c r="C2153" s="26" t="s">
        <v>37</v>
      </c>
      <c r="D2153" s="14"/>
      <c r="E2153" s="15"/>
      <c r="F2153" s="16">
        <f>+D2153*E2153</f>
        <v>0</v>
      </c>
      <c r="G2153">
        <f t="shared" si="125"/>
        <v>0</v>
      </c>
    </row>
    <row r="2154" spans="1:7" hidden="1" x14ac:dyDescent="0.25">
      <c r="A2154" s="43" t="s">
        <v>1021</v>
      </c>
      <c r="B2154" s="81" t="s">
        <v>4945</v>
      </c>
      <c r="C2154" s="26" t="s">
        <v>37</v>
      </c>
      <c r="D2154" s="14"/>
      <c r="E2154" s="15"/>
      <c r="F2154" s="16">
        <f>+D2154*E2154</f>
        <v>0</v>
      </c>
      <c r="G2154">
        <f t="shared" si="125"/>
        <v>0</v>
      </c>
    </row>
    <row r="2155" spans="1:7" hidden="1" x14ac:dyDescent="0.25">
      <c r="A2155" s="44" t="s">
        <v>1029</v>
      </c>
      <c r="B2155" s="80" t="s">
        <v>4949</v>
      </c>
      <c r="C2155" s="14"/>
      <c r="D2155" s="14"/>
      <c r="E2155" s="15"/>
      <c r="F2155" s="16"/>
      <c r="G2155">
        <f t="shared" si="125"/>
        <v>0</v>
      </c>
    </row>
    <row r="2156" spans="1:7" hidden="1" x14ac:dyDescent="0.25">
      <c r="A2156" s="43" t="s">
        <v>1030</v>
      </c>
      <c r="B2156" s="81" t="s">
        <v>4946</v>
      </c>
      <c r="C2156" s="26" t="s">
        <v>37</v>
      </c>
      <c r="D2156" s="14"/>
      <c r="E2156" s="15"/>
      <c r="F2156" s="16">
        <f>+D2156*E2156</f>
        <v>0</v>
      </c>
      <c r="G2156">
        <f t="shared" si="125"/>
        <v>0</v>
      </c>
    </row>
    <row r="2157" spans="1:7" hidden="1" x14ac:dyDescent="0.25">
      <c r="A2157" s="43" t="s">
        <v>4952</v>
      </c>
      <c r="B2157" s="81" t="s">
        <v>4947</v>
      </c>
      <c r="C2157" s="26" t="s">
        <v>37</v>
      </c>
      <c r="D2157" s="14"/>
      <c r="E2157" s="15"/>
      <c r="F2157" s="16">
        <f>+D2157*E2157</f>
        <v>0</v>
      </c>
      <c r="G2157">
        <f t="shared" si="125"/>
        <v>0</v>
      </c>
    </row>
    <row r="2158" spans="1:7" hidden="1" x14ac:dyDescent="0.25">
      <c r="A2158" s="43" t="s">
        <v>4953</v>
      </c>
      <c r="B2158" s="81" t="s">
        <v>4944</v>
      </c>
      <c r="C2158" s="26" t="s">
        <v>37</v>
      </c>
      <c r="D2158" s="14"/>
      <c r="E2158" s="15"/>
      <c r="F2158" s="16">
        <f>+D2158*E2158</f>
        <v>0</v>
      </c>
      <c r="G2158">
        <f t="shared" si="125"/>
        <v>0</v>
      </c>
    </row>
    <row r="2159" spans="1:7" hidden="1" x14ac:dyDescent="0.25">
      <c r="A2159" s="43" t="s">
        <v>4954</v>
      </c>
      <c r="B2159" s="81" t="s">
        <v>4948</v>
      </c>
      <c r="C2159" s="26" t="s">
        <v>37</v>
      </c>
      <c r="D2159" s="14"/>
      <c r="E2159" s="15"/>
      <c r="F2159" s="16">
        <f>+D2159*E2159</f>
        <v>0</v>
      </c>
      <c r="G2159">
        <f t="shared" si="125"/>
        <v>0</v>
      </c>
    </row>
    <row r="2160" spans="1:7" hidden="1" x14ac:dyDescent="0.25">
      <c r="A2160" s="44" t="s">
        <v>1035</v>
      </c>
      <c r="B2160" s="80" t="s">
        <v>4951</v>
      </c>
      <c r="C2160" s="14"/>
      <c r="D2160" s="14"/>
      <c r="E2160" s="15"/>
      <c r="F2160" s="16"/>
      <c r="G2160">
        <f t="shared" si="125"/>
        <v>0</v>
      </c>
    </row>
    <row r="2161" spans="1:7" hidden="1" x14ac:dyDescent="0.25">
      <c r="A2161" s="43" t="s">
        <v>4955</v>
      </c>
      <c r="B2161" s="81" t="s">
        <v>4947</v>
      </c>
      <c r="C2161" s="26" t="s">
        <v>37</v>
      </c>
      <c r="D2161" s="14"/>
      <c r="E2161" s="15"/>
      <c r="F2161" s="16">
        <f>+D2161*E2161</f>
        <v>0</v>
      </c>
      <c r="G2161">
        <f t="shared" si="125"/>
        <v>0</v>
      </c>
    </row>
    <row r="2162" spans="1:7" x14ac:dyDescent="0.25">
      <c r="A2162" s="44" t="s">
        <v>1011</v>
      </c>
      <c r="B2162" s="80" t="s">
        <v>1012</v>
      </c>
      <c r="C2162" s="14"/>
      <c r="D2162" s="14"/>
      <c r="E2162" s="15"/>
      <c r="F2162" s="16"/>
      <c r="G2162">
        <v>1</v>
      </c>
    </row>
    <row r="2163" spans="1:7" x14ac:dyDescent="0.25">
      <c r="A2163" s="44" t="s">
        <v>1013</v>
      </c>
      <c r="B2163" s="80" t="s">
        <v>4956</v>
      </c>
      <c r="C2163" s="14"/>
      <c r="D2163" s="14"/>
      <c r="E2163" s="15"/>
      <c r="F2163" s="16"/>
      <c r="G2163">
        <v>1</v>
      </c>
    </row>
    <row r="2164" spans="1:7" hidden="1" x14ac:dyDescent="0.25">
      <c r="A2164" s="44" t="s">
        <v>1014</v>
      </c>
      <c r="B2164" s="89" t="s">
        <v>4957</v>
      </c>
      <c r="C2164" s="14"/>
      <c r="D2164" s="14"/>
      <c r="E2164" s="15"/>
      <c r="F2164" s="16"/>
      <c r="G2164">
        <f t="shared" si="125"/>
        <v>0</v>
      </c>
    </row>
    <row r="2165" spans="1:7" hidden="1" x14ac:dyDescent="0.25">
      <c r="A2165" s="43" t="s">
        <v>4969</v>
      </c>
      <c r="B2165" s="81" t="s">
        <v>4958</v>
      </c>
      <c r="C2165" s="14" t="s">
        <v>37</v>
      </c>
      <c r="D2165" s="14"/>
      <c r="E2165" s="15"/>
      <c r="F2165" s="16">
        <f t="shared" ref="F2165:F2175" si="126">+D2165*E2165</f>
        <v>0</v>
      </c>
      <c r="G2165">
        <f t="shared" si="125"/>
        <v>0</v>
      </c>
    </row>
    <row r="2166" spans="1:7" hidden="1" x14ac:dyDescent="0.25">
      <c r="A2166" s="43" t="s">
        <v>1015</v>
      </c>
      <c r="B2166" s="81" t="s">
        <v>4959</v>
      </c>
      <c r="C2166" s="14" t="s">
        <v>37</v>
      </c>
      <c r="D2166" s="14"/>
      <c r="E2166" s="15"/>
      <c r="F2166" s="16">
        <f t="shared" si="126"/>
        <v>0</v>
      </c>
      <c r="G2166">
        <f t="shared" si="125"/>
        <v>0</v>
      </c>
    </row>
    <row r="2167" spans="1:7" hidden="1" x14ac:dyDescent="0.25">
      <c r="A2167" s="43" t="s">
        <v>1016</v>
      </c>
      <c r="B2167" s="81" t="s">
        <v>4960</v>
      </c>
      <c r="C2167" s="14" t="s">
        <v>37</v>
      </c>
      <c r="D2167" s="14"/>
      <c r="E2167" s="15"/>
      <c r="F2167" s="16">
        <f t="shared" si="126"/>
        <v>0</v>
      </c>
      <c r="G2167">
        <f t="shared" si="125"/>
        <v>0</v>
      </c>
    </row>
    <row r="2168" spans="1:7" hidden="1" x14ac:dyDescent="0.25">
      <c r="A2168" s="43" t="s">
        <v>1017</v>
      </c>
      <c r="B2168" s="81" t="s">
        <v>4961</v>
      </c>
      <c r="C2168" s="14" t="s">
        <v>37</v>
      </c>
      <c r="D2168" s="14"/>
      <c r="E2168" s="15"/>
      <c r="F2168" s="16">
        <f t="shared" si="126"/>
        <v>0</v>
      </c>
      <c r="G2168">
        <f t="shared" si="125"/>
        <v>0</v>
      </c>
    </row>
    <row r="2169" spans="1:7" hidden="1" x14ac:dyDescent="0.25">
      <c r="A2169" s="43" t="s">
        <v>1018</v>
      </c>
      <c r="B2169" s="81" t="s">
        <v>4962</v>
      </c>
      <c r="C2169" s="14" t="s">
        <v>37</v>
      </c>
      <c r="D2169" s="14"/>
      <c r="E2169" s="15">
        <f>+SUM!H2166</f>
        <v>1786946</v>
      </c>
      <c r="F2169" s="16">
        <f t="shared" si="126"/>
        <v>0</v>
      </c>
      <c r="G2169">
        <f t="shared" si="125"/>
        <v>0</v>
      </c>
    </row>
    <row r="2170" spans="1:7" hidden="1" x14ac:dyDescent="0.25">
      <c r="A2170" s="43" t="s">
        <v>1019</v>
      </c>
      <c r="B2170" s="81" t="s">
        <v>4963</v>
      </c>
      <c r="C2170" s="14" t="s">
        <v>37</v>
      </c>
      <c r="D2170" s="14"/>
      <c r="E2170" s="15">
        <f>+SUM!H2167</f>
        <v>3572487</v>
      </c>
      <c r="F2170" s="16">
        <f t="shared" si="126"/>
        <v>0</v>
      </c>
      <c r="G2170">
        <f t="shared" si="125"/>
        <v>0</v>
      </c>
    </row>
    <row r="2171" spans="1:7" hidden="1" x14ac:dyDescent="0.25">
      <c r="A2171" s="43" t="s">
        <v>1020</v>
      </c>
      <c r="B2171" s="81" t="s">
        <v>4964</v>
      </c>
      <c r="C2171" s="14" t="s">
        <v>37</v>
      </c>
      <c r="D2171" s="14"/>
      <c r="E2171" s="15">
        <f>+SUM!H2168</f>
        <v>4466663</v>
      </c>
      <c r="F2171" s="16">
        <f t="shared" si="126"/>
        <v>0</v>
      </c>
      <c r="G2171">
        <f t="shared" si="125"/>
        <v>0</v>
      </c>
    </row>
    <row r="2172" spans="1:7" hidden="1" x14ac:dyDescent="0.25">
      <c r="A2172" s="43" t="s">
        <v>4970</v>
      </c>
      <c r="B2172" s="81" t="s">
        <v>4965</v>
      </c>
      <c r="C2172" s="14" t="s">
        <v>37</v>
      </c>
      <c r="D2172" s="14"/>
      <c r="E2172" s="15">
        <f>+SUM!H2169</f>
        <v>7530201</v>
      </c>
      <c r="F2172" s="16">
        <f t="shared" si="126"/>
        <v>0</v>
      </c>
      <c r="G2172">
        <f t="shared" si="125"/>
        <v>0</v>
      </c>
    </row>
    <row r="2173" spans="1:7" hidden="1" x14ac:dyDescent="0.25">
      <c r="A2173" s="43" t="s">
        <v>4971</v>
      </c>
      <c r="B2173" s="81" t="s">
        <v>4966</v>
      </c>
      <c r="C2173" s="14" t="s">
        <v>37</v>
      </c>
      <c r="D2173" s="14"/>
      <c r="E2173" s="15">
        <f>+SUM!H2170</f>
        <v>10703401</v>
      </c>
      <c r="F2173" s="16">
        <f t="shared" si="126"/>
        <v>0</v>
      </c>
      <c r="G2173">
        <f t="shared" si="125"/>
        <v>0</v>
      </c>
    </row>
    <row r="2174" spans="1:7" hidden="1" x14ac:dyDescent="0.25">
      <c r="A2174" s="43" t="s">
        <v>4972</v>
      </c>
      <c r="B2174" s="81" t="s">
        <v>4967</v>
      </c>
      <c r="C2174" s="14" t="s">
        <v>37</v>
      </c>
      <c r="D2174" s="14"/>
      <c r="E2174" s="15">
        <f>+SUM!H2171</f>
        <v>16463527</v>
      </c>
      <c r="F2174" s="16">
        <f t="shared" si="126"/>
        <v>0</v>
      </c>
      <c r="G2174">
        <f t="shared" si="125"/>
        <v>0</v>
      </c>
    </row>
    <row r="2175" spans="1:7" hidden="1" x14ac:dyDescent="0.25">
      <c r="A2175" s="43" t="s">
        <v>4973</v>
      </c>
      <c r="B2175" s="81" t="s">
        <v>4968</v>
      </c>
      <c r="C2175" s="14" t="s">
        <v>37</v>
      </c>
      <c r="D2175" s="14"/>
      <c r="E2175" s="15">
        <f>+SUM!H2172</f>
        <v>22663711</v>
      </c>
      <c r="F2175" s="16">
        <f t="shared" si="126"/>
        <v>0</v>
      </c>
      <c r="G2175">
        <f t="shared" si="125"/>
        <v>0</v>
      </c>
    </row>
    <row r="2176" spans="1:7" x14ac:dyDescent="0.25">
      <c r="A2176" s="44" t="s">
        <v>1021</v>
      </c>
      <c r="B2176" s="89" t="s">
        <v>4974</v>
      </c>
      <c r="C2176" s="14"/>
      <c r="D2176" s="14"/>
      <c r="E2176" s="15"/>
      <c r="F2176" s="16"/>
      <c r="G2176">
        <v>1</v>
      </c>
    </row>
    <row r="2177" spans="1:7" hidden="1" x14ac:dyDescent="0.25">
      <c r="A2177" s="43" t="s">
        <v>1022</v>
      </c>
      <c r="B2177" s="81" t="s">
        <v>4975</v>
      </c>
      <c r="C2177" s="14" t="s">
        <v>37</v>
      </c>
      <c r="D2177" s="14"/>
      <c r="E2177" s="15">
        <f>+SUM!H2174</f>
        <v>402098</v>
      </c>
      <c r="F2177" s="16">
        <f t="shared" ref="F2177:F2187" si="127">+D2177*E2177</f>
        <v>0</v>
      </c>
      <c r="G2177">
        <f t="shared" si="125"/>
        <v>0</v>
      </c>
    </row>
    <row r="2178" spans="1:7" hidden="1" x14ac:dyDescent="0.25">
      <c r="A2178" s="43" t="s">
        <v>4985</v>
      </c>
      <c r="B2178" s="81" t="s">
        <v>4976</v>
      </c>
      <c r="C2178" s="14" t="s">
        <v>37</v>
      </c>
      <c r="D2178" s="14"/>
      <c r="E2178" s="15">
        <f>+SUM!H2175</f>
        <v>643919</v>
      </c>
      <c r="F2178" s="16">
        <f t="shared" si="127"/>
        <v>0</v>
      </c>
      <c r="G2178">
        <f t="shared" si="125"/>
        <v>0</v>
      </c>
    </row>
    <row r="2179" spans="1:7" hidden="1" x14ac:dyDescent="0.25">
      <c r="A2179" s="43" t="s">
        <v>4986</v>
      </c>
      <c r="B2179" s="81" t="s">
        <v>4977</v>
      </c>
      <c r="C2179" s="14" t="s">
        <v>37</v>
      </c>
      <c r="D2179" s="14"/>
      <c r="E2179" s="15">
        <f>+SUM!H2176</f>
        <v>814038</v>
      </c>
      <c r="F2179" s="16">
        <f t="shared" si="127"/>
        <v>0</v>
      </c>
      <c r="G2179">
        <f t="shared" si="125"/>
        <v>0</v>
      </c>
    </row>
    <row r="2180" spans="1:7" x14ac:dyDescent="0.25">
      <c r="A2180" s="43" t="s">
        <v>4987</v>
      </c>
      <c r="B2180" s="81" t="s">
        <v>5053</v>
      </c>
      <c r="C2180" s="14" t="s">
        <v>37</v>
      </c>
      <c r="D2180" s="14">
        <v>4</v>
      </c>
      <c r="E2180" s="15">
        <f>+SUM!H2177</f>
        <v>1526848</v>
      </c>
      <c r="F2180" s="16">
        <f t="shared" si="127"/>
        <v>6107392</v>
      </c>
      <c r="G2180">
        <f t="shared" si="125"/>
        <v>1</v>
      </c>
    </row>
    <row r="2181" spans="1:7" hidden="1" x14ac:dyDescent="0.25">
      <c r="A2181" s="43" t="s">
        <v>4988</v>
      </c>
      <c r="B2181" s="81" t="s">
        <v>4984</v>
      </c>
      <c r="C2181" s="14" t="s">
        <v>37</v>
      </c>
      <c r="D2181" s="14"/>
      <c r="E2181" s="15">
        <f>+SUM!H2178</f>
        <v>2104688</v>
      </c>
      <c r="F2181" s="16">
        <f t="shared" si="127"/>
        <v>0</v>
      </c>
      <c r="G2181">
        <f t="shared" si="125"/>
        <v>0</v>
      </c>
    </row>
    <row r="2182" spans="1:7" x14ac:dyDescent="0.25">
      <c r="A2182" s="43" t="s">
        <v>4989</v>
      </c>
      <c r="B2182" s="81" t="s">
        <v>4978</v>
      </c>
      <c r="C2182" s="14" t="s">
        <v>37</v>
      </c>
      <c r="D2182" s="14">
        <v>2</v>
      </c>
      <c r="E2182" s="15">
        <f>+SUM!H2179</f>
        <v>3711675</v>
      </c>
      <c r="F2182" s="16">
        <f t="shared" si="127"/>
        <v>7423350</v>
      </c>
      <c r="G2182">
        <f t="shared" si="125"/>
        <v>1</v>
      </c>
    </row>
    <row r="2183" spans="1:7" hidden="1" x14ac:dyDescent="0.25">
      <c r="A2183" s="43" t="s">
        <v>4990</v>
      </c>
      <c r="B2183" s="81" t="s">
        <v>4979</v>
      </c>
      <c r="C2183" s="14" t="s">
        <v>37</v>
      </c>
      <c r="D2183" s="14"/>
      <c r="E2183" s="15">
        <f>+SUM!H2180</f>
        <v>4691613</v>
      </c>
      <c r="F2183" s="16">
        <f t="shared" si="127"/>
        <v>0</v>
      </c>
      <c r="G2183">
        <f t="shared" si="125"/>
        <v>0</v>
      </c>
    </row>
    <row r="2184" spans="1:7" hidden="1" x14ac:dyDescent="0.25">
      <c r="A2184" s="43" t="s">
        <v>4991</v>
      </c>
      <c r="B2184" s="81" t="s">
        <v>4980</v>
      </c>
      <c r="C2184" s="26" t="s">
        <v>37</v>
      </c>
      <c r="D2184" s="14"/>
      <c r="E2184" s="15">
        <f>+SUM!H2181</f>
        <v>8081328</v>
      </c>
      <c r="F2184" s="16">
        <f t="shared" si="127"/>
        <v>0</v>
      </c>
      <c r="G2184">
        <f t="shared" si="125"/>
        <v>0</v>
      </c>
    </row>
    <row r="2185" spans="1:7" hidden="1" x14ac:dyDescent="0.25">
      <c r="A2185" s="43" t="s">
        <v>4992</v>
      </c>
      <c r="B2185" s="81" t="s">
        <v>4981</v>
      </c>
      <c r="C2185" s="26" t="s">
        <v>37</v>
      </c>
      <c r="D2185" s="14"/>
      <c r="E2185" s="15">
        <f>+SUM!H2182</f>
        <v>10922728</v>
      </c>
      <c r="F2185" s="16">
        <f t="shared" si="127"/>
        <v>0</v>
      </c>
      <c r="G2185">
        <f t="shared" si="125"/>
        <v>0</v>
      </c>
    </row>
    <row r="2186" spans="1:7" hidden="1" x14ac:dyDescent="0.25">
      <c r="A2186" s="43" t="s">
        <v>4993</v>
      </c>
      <c r="B2186" s="81" t="s">
        <v>4982</v>
      </c>
      <c r="C2186" s="26" t="s">
        <v>37</v>
      </c>
      <c r="D2186" s="14"/>
      <c r="E2186" s="15">
        <f>+SUM!H2183</f>
        <v>16815011</v>
      </c>
      <c r="F2186" s="16">
        <f t="shared" si="127"/>
        <v>0</v>
      </c>
      <c r="G2186">
        <f t="shared" si="125"/>
        <v>0</v>
      </c>
    </row>
    <row r="2187" spans="1:7" hidden="1" x14ac:dyDescent="0.25">
      <c r="A2187" s="43" t="s">
        <v>4994</v>
      </c>
      <c r="B2187" s="81" t="s">
        <v>4983</v>
      </c>
      <c r="C2187" s="26" t="s">
        <v>37</v>
      </c>
      <c r="D2187" s="14"/>
      <c r="E2187" s="15">
        <f>+SUM!H2184</f>
        <v>23965609</v>
      </c>
      <c r="F2187" s="16">
        <f t="shared" si="127"/>
        <v>0</v>
      </c>
      <c r="G2187">
        <f t="shared" si="125"/>
        <v>0</v>
      </c>
    </row>
    <row r="2188" spans="1:7" hidden="1" x14ac:dyDescent="0.25">
      <c r="A2188" s="44" t="s">
        <v>5066</v>
      </c>
      <c r="B2188" s="80" t="s">
        <v>5052</v>
      </c>
      <c r="C2188" s="14"/>
      <c r="D2188" s="14"/>
      <c r="E2188" s="15"/>
      <c r="F2188" s="16"/>
      <c r="G2188">
        <f t="shared" si="125"/>
        <v>0</v>
      </c>
    </row>
    <row r="2189" spans="1:7" hidden="1" x14ac:dyDescent="0.25">
      <c r="A2189" s="44" t="s">
        <v>1030</v>
      </c>
      <c r="B2189" s="89" t="s">
        <v>4957</v>
      </c>
      <c r="C2189" s="14"/>
      <c r="D2189" s="14"/>
      <c r="E2189" s="15"/>
      <c r="F2189" s="16"/>
      <c r="G2189">
        <f t="shared" si="125"/>
        <v>0</v>
      </c>
    </row>
    <row r="2190" spans="1:7" hidden="1" x14ac:dyDescent="0.25">
      <c r="A2190" s="43" t="s">
        <v>5003</v>
      </c>
      <c r="B2190" s="81" t="s">
        <v>5054</v>
      </c>
      <c r="C2190" s="26" t="s">
        <v>37</v>
      </c>
      <c r="D2190" s="14"/>
      <c r="E2190" s="15"/>
      <c r="F2190" s="16">
        <f t="shared" ref="F2190:F2200" si="128">+D2190*E2190</f>
        <v>0</v>
      </c>
      <c r="G2190">
        <f t="shared" si="125"/>
        <v>0</v>
      </c>
    </row>
    <row r="2191" spans="1:7" hidden="1" x14ac:dyDescent="0.25">
      <c r="A2191" s="43" t="s">
        <v>1023</v>
      </c>
      <c r="B2191" s="81" t="s">
        <v>5055</v>
      </c>
      <c r="C2191" s="26" t="s">
        <v>37</v>
      </c>
      <c r="D2191" s="14"/>
      <c r="E2191" s="15"/>
      <c r="F2191" s="16">
        <f t="shared" si="128"/>
        <v>0</v>
      </c>
      <c r="G2191">
        <f t="shared" si="125"/>
        <v>0</v>
      </c>
    </row>
    <row r="2192" spans="1:7" hidden="1" x14ac:dyDescent="0.25">
      <c r="A2192" s="43" t="s">
        <v>1024</v>
      </c>
      <c r="B2192" s="81" t="s">
        <v>5056</v>
      </c>
      <c r="C2192" s="26" t="s">
        <v>37</v>
      </c>
      <c r="D2192" s="14"/>
      <c r="E2192" s="15"/>
      <c r="F2192" s="16">
        <f t="shared" si="128"/>
        <v>0</v>
      </c>
      <c r="G2192">
        <f t="shared" si="125"/>
        <v>0</v>
      </c>
    </row>
    <row r="2193" spans="1:7" hidden="1" x14ac:dyDescent="0.25">
      <c r="A2193" s="43" t="s">
        <v>1025</v>
      </c>
      <c r="B2193" s="81" t="s">
        <v>5057</v>
      </c>
      <c r="C2193" s="26" t="s">
        <v>37</v>
      </c>
      <c r="D2193" s="14"/>
      <c r="E2193" s="15"/>
      <c r="F2193" s="16">
        <f t="shared" si="128"/>
        <v>0</v>
      </c>
      <c r="G2193">
        <f t="shared" si="125"/>
        <v>0</v>
      </c>
    </row>
    <row r="2194" spans="1:7" hidden="1" x14ac:dyDescent="0.25">
      <c r="A2194" s="43" t="s">
        <v>1026</v>
      </c>
      <c r="B2194" s="81" t="s">
        <v>5058</v>
      </c>
      <c r="C2194" s="26" t="s">
        <v>37</v>
      </c>
      <c r="D2194" s="14"/>
      <c r="E2194" s="15"/>
      <c r="F2194" s="16">
        <f t="shared" si="128"/>
        <v>0</v>
      </c>
      <c r="G2194">
        <f t="shared" si="125"/>
        <v>0</v>
      </c>
    </row>
    <row r="2195" spans="1:7" hidden="1" x14ac:dyDescent="0.25">
      <c r="A2195" s="43" t="s">
        <v>1027</v>
      </c>
      <c r="B2195" s="81" t="s">
        <v>5059</v>
      </c>
      <c r="C2195" s="26" t="s">
        <v>37</v>
      </c>
      <c r="D2195" s="14"/>
      <c r="E2195" s="15"/>
      <c r="F2195" s="16">
        <f t="shared" si="128"/>
        <v>0</v>
      </c>
      <c r="G2195">
        <f t="shared" si="125"/>
        <v>0</v>
      </c>
    </row>
    <row r="2196" spans="1:7" hidden="1" x14ac:dyDescent="0.25">
      <c r="A2196" s="43" t="s">
        <v>1028</v>
      </c>
      <c r="B2196" s="81" t="s">
        <v>5060</v>
      </c>
      <c r="C2196" s="26" t="s">
        <v>37</v>
      </c>
      <c r="D2196" s="14"/>
      <c r="E2196" s="15"/>
      <c r="F2196" s="16">
        <f t="shared" si="128"/>
        <v>0</v>
      </c>
      <c r="G2196">
        <f t="shared" si="125"/>
        <v>0</v>
      </c>
    </row>
    <row r="2197" spans="1:7" hidden="1" x14ac:dyDescent="0.25">
      <c r="A2197" s="43" t="s">
        <v>5004</v>
      </c>
      <c r="B2197" s="81" t="s">
        <v>5061</v>
      </c>
      <c r="C2197" s="26" t="s">
        <v>37</v>
      </c>
      <c r="D2197" s="14"/>
      <c r="E2197" s="15"/>
      <c r="F2197" s="16">
        <f t="shared" si="128"/>
        <v>0</v>
      </c>
      <c r="G2197">
        <f t="shared" si="125"/>
        <v>0</v>
      </c>
    </row>
    <row r="2198" spans="1:7" hidden="1" x14ac:dyDescent="0.25">
      <c r="A2198" s="43" t="s">
        <v>5067</v>
      </c>
      <c r="B2198" s="81" t="s">
        <v>5062</v>
      </c>
      <c r="C2198" s="26" t="s">
        <v>37</v>
      </c>
      <c r="D2198" s="14"/>
      <c r="E2198" s="15"/>
      <c r="F2198" s="16">
        <f t="shared" si="128"/>
        <v>0</v>
      </c>
      <c r="G2198">
        <f t="shared" si="125"/>
        <v>0</v>
      </c>
    </row>
    <row r="2199" spans="1:7" hidden="1" x14ac:dyDescent="0.25">
      <c r="A2199" s="43" t="s">
        <v>5068</v>
      </c>
      <c r="B2199" s="81" t="s">
        <v>5063</v>
      </c>
      <c r="C2199" s="26" t="s">
        <v>37</v>
      </c>
      <c r="D2199" s="14"/>
      <c r="E2199" s="15"/>
      <c r="F2199" s="16">
        <f t="shared" si="128"/>
        <v>0</v>
      </c>
      <c r="G2199">
        <f t="shared" si="125"/>
        <v>0</v>
      </c>
    </row>
    <row r="2200" spans="1:7" hidden="1" x14ac:dyDescent="0.25">
      <c r="A2200" s="43" t="s">
        <v>5069</v>
      </c>
      <c r="B2200" s="81" t="s">
        <v>5064</v>
      </c>
      <c r="C2200" s="26" t="s">
        <v>37</v>
      </c>
      <c r="D2200" s="14"/>
      <c r="E2200" s="15"/>
      <c r="F2200" s="16">
        <f t="shared" si="128"/>
        <v>0</v>
      </c>
      <c r="G2200">
        <f t="shared" si="125"/>
        <v>0</v>
      </c>
    </row>
    <row r="2201" spans="1:7" hidden="1" x14ac:dyDescent="0.25">
      <c r="A2201" s="44" t="s">
        <v>4952</v>
      </c>
      <c r="B2201" s="89" t="s">
        <v>4974</v>
      </c>
      <c r="C2201" s="14"/>
      <c r="D2201" s="14"/>
      <c r="E2201" s="15"/>
      <c r="F2201" s="16"/>
      <c r="G2201">
        <f t="shared" si="125"/>
        <v>0</v>
      </c>
    </row>
    <row r="2202" spans="1:7" hidden="1" x14ac:dyDescent="0.25">
      <c r="A2202" s="43" t="s">
        <v>5070</v>
      </c>
      <c r="B2202" s="81" t="s">
        <v>5054</v>
      </c>
      <c r="C2202" s="26" t="s">
        <v>37</v>
      </c>
      <c r="D2202" s="14"/>
      <c r="E2202" s="15"/>
      <c r="F2202" s="16">
        <f t="shared" ref="F2202:F2213" si="129">+D2202*E2202</f>
        <v>0</v>
      </c>
      <c r="G2202">
        <f t="shared" si="125"/>
        <v>0</v>
      </c>
    </row>
    <row r="2203" spans="1:7" hidden="1" x14ac:dyDescent="0.25">
      <c r="A2203" s="43" t="s">
        <v>5011</v>
      </c>
      <c r="B2203" s="81" t="s">
        <v>5055</v>
      </c>
      <c r="C2203" s="26" t="s">
        <v>37</v>
      </c>
      <c r="D2203" s="14"/>
      <c r="E2203" s="15"/>
      <c r="F2203" s="16">
        <f t="shared" si="129"/>
        <v>0</v>
      </c>
      <c r="G2203">
        <f t="shared" si="125"/>
        <v>0</v>
      </c>
    </row>
    <row r="2204" spans="1:7" hidden="1" x14ac:dyDescent="0.25">
      <c r="A2204" s="43" t="s">
        <v>5012</v>
      </c>
      <c r="B2204" s="81" t="s">
        <v>5056</v>
      </c>
      <c r="C2204" s="26" t="s">
        <v>37</v>
      </c>
      <c r="D2204" s="14"/>
      <c r="E2204" s="15"/>
      <c r="F2204" s="16">
        <f t="shared" si="129"/>
        <v>0</v>
      </c>
      <c r="G2204">
        <f t="shared" si="125"/>
        <v>0</v>
      </c>
    </row>
    <row r="2205" spans="1:7" hidden="1" x14ac:dyDescent="0.25">
      <c r="A2205" s="43" t="s">
        <v>5013</v>
      </c>
      <c r="B2205" s="81" t="s">
        <v>5057</v>
      </c>
      <c r="C2205" s="26" t="s">
        <v>37</v>
      </c>
      <c r="D2205" s="14"/>
      <c r="E2205" s="15"/>
      <c r="F2205" s="16">
        <f t="shared" si="129"/>
        <v>0</v>
      </c>
      <c r="G2205">
        <f t="shared" si="125"/>
        <v>0</v>
      </c>
    </row>
    <row r="2206" spans="1:7" hidden="1" x14ac:dyDescent="0.25">
      <c r="A2206" s="43" t="s">
        <v>1034</v>
      </c>
      <c r="B2206" s="81" t="s">
        <v>5058</v>
      </c>
      <c r="C2206" s="26" t="s">
        <v>37</v>
      </c>
      <c r="D2206" s="14"/>
      <c r="E2206" s="15"/>
      <c r="F2206" s="16">
        <f t="shared" si="129"/>
        <v>0</v>
      </c>
      <c r="G2206">
        <f t="shared" si="125"/>
        <v>0</v>
      </c>
    </row>
    <row r="2207" spans="1:7" hidden="1" x14ac:dyDescent="0.25">
      <c r="A2207" s="43" t="s">
        <v>1033</v>
      </c>
      <c r="B2207" s="81" t="s">
        <v>5059</v>
      </c>
      <c r="C2207" s="26" t="s">
        <v>37</v>
      </c>
      <c r="D2207" s="14"/>
      <c r="E2207" s="15"/>
      <c r="F2207" s="16">
        <f t="shared" si="129"/>
        <v>0</v>
      </c>
      <c r="G2207">
        <f t="shared" si="125"/>
        <v>0</v>
      </c>
    </row>
    <row r="2208" spans="1:7" hidden="1" x14ac:dyDescent="0.25">
      <c r="A2208" s="43" t="s">
        <v>5071</v>
      </c>
      <c r="B2208" s="81" t="s">
        <v>5060</v>
      </c>
      <c r="C2208" s="26" t="s">
        <v>37</v>
      </c>
      <c r="D2208" s="14"/>
      <c r="E2208" s="15"/>
      <c r="F2208" s="16">
        <f t="shared" si="129"/>
        <v>0</v>
      </c>
      <c r="G2208">
        <f t="shared" si="125"/>
        <v>0</v>
      </c>
    </row>
    <row r="2209" spans="1:7" hidden="1" x14ac:dyDescent="0.25">
      <c r="A2209" s="43" t="s">
        <v>5072</v>
      </c>
      <c r="B2209" s="81" t="s">
        <v>5061</v>
      </c>
      <c r="C2209" s="26" t="s">
        <v>37</v>
      </c>
      <c r="D2209" s="14"/>
      <c r="E2209" s="15"/>
      <c r="F2209" s="16">
        <f t="shared" si="129"/>
        <v>0</v>
      </c>
      <c r="G2209">
        <f t="shared" si="125"/>
        <v>0</v>
      </c>
    </row>
    <row r="2210" spans="1:7" hidden="1" x14ac:dyDescent="0.25">
      <c r="A2210" s="43" t="s">
        <v>5073</v>
      </c>
      <c r="B2210" s="81" t="s">
        <v>5062</v>
      </c>
      <c r="C2210" s="26" t="s">
        <v>37</v>
      </c>
      <c r="D2210" s="14"/>
      <c r="E2210" s="15"/>
      <c r="F2210" s="16">
        <f t="shared" si="129"/>
        <v>0</v>
      </c>
      <c r="G2210">
        <f t="shared" si="125"/>
        <v>0</v>
      </c>
    </row>
    <row r="2211" spans="1:7" hidden="1" x14ac:dyDescent="0.25">
      <c r="A2211" s="43" t="s">
        <v>5074</v>
      </c>
      <c r="B2211" s="81" t="s">
        <v>5063</v>
      </c>
      <c r="C2211" s="26" t="s">
        <v>37</v>
      </c>
      <c r="D2211" s="14"/>
      <c r="E2211" s="15"/>
      <c r="F2211" s="16">
        <f t="shared" si="129"/>
        <v>0</v>
      </c>
      <c r="G2211">
        <f t="shared" si="125"/>
        <v>0</v>
      </c>
    </row>
    <row r="2212" spans="1:7" hidden="1" x14ac:dyDescent="0.25">
      <c r="A2212" s="43" t="s">
        <v>5075</v>
      </c>
      <c r="B2212" s="81" t="s">
        <v>5064</v>
      </c>
      <c r="C2212" s="26" t="s">
        <v>37</v>
      </c>
      <c r="D2212" s="14"/>
      <c r="E2212" s="15"/>
      <c r="F2212" s="16">
        <f t="shared" si="129"/>
        <v>0</v>
      </c>
      <c r="G2212">
        <f t="shared" ref="G2212:G2275" si="130">+IF(F2212&lt;&gt;0,1,0)</f>
        <v>0</v>
      </c>
    </row>
    <row r="2213" spans="1:7" hidden="1" x14ac:dyDescent="0.25">
      <c r="A2213" s="43" t="s">
        <v>5076</v>
      </c>
      <c r="B2213" s="81" t="s">
        <v>5065</v>
      </c>
      <c r="C2213" s="26" t="s">
        <v>37</v>
      </c>
      <c r="D2213" s="14"/>
      <c r="E2213" s="15"/>
      <c r="F2213" s="16">
        <f t="shared" si="129"/>
        <v>0</v>
      </c>
      <c r="G2213">
        <f t="shared" si="130"/>
        <v>0</v>
      </c>
    </row>
    <row r="2214" spans="1:7" hidden="1" x14ac:dyDescent="0.25">
      <c r="A2214" s="44" t="s">
        <v>4955</v>
      </c>
      <c r="B2214" s="80" t="s">
        <v>5077</v>
      </c>
      <c r="C2214" s="14"/>
      <c r="D2214" s="14"/>
      <c r="E2214" s="15"/>
      <c r="F2214" s="16"/>
      <c r="G2214">
        <f t="shared" si="130"/>
        <v>0</v>
      </c>
    </row>
    <row r="2215" spans="1:7" hidden="1" x14ac:dyDescent="0.25">
      <c r="A2215" s="43" t="s">
        <v>5022</v>
      </c>
      <c r="B2215" s="81" t="s">
        <v>5078</v>
      </c>
      <c r="C2215" s="26" t="s">
        <v>37</v>
      </c>
      <c r="D2215" s="14"/>
      <c r="E2215" s="15"/>
      <c r="F2215" s="16">
        <f t="shared" ref="F2215:F2220" si="131">+D2215*E2215</f>
        <v>0</v>
      </c>
      <c r="G2215">
        <f t="shared" si="130"/>
        <v>0</v>
      </c>
    </row>
    <row r="2216" spans="1:7" hidden="1" x14ac:dyDescent="0.25">
      <c r="A2216" s="43" t="s">
        <v>5091</v>
      </c>
      <c r="B2216" s="81" t="s">
        <v>5079</v>
      </c>
      <c r="C2216" s="26" t="s">
        <v>37</v>
      </c>
      <c r="D2216" s="14"/>
      <c r="E2216" s="15"/>
      <c r="F2216" s="16">
        <f t="shared" si="131"/>
        <v>0</v>
      </c>
      <c r="G2216">
        <f t="shared" si="130"/>
        <v>0</v>
      </c>
    </row>
    <row r="2217" spans="1:7" hidden="1" x14ac:dyDescent="0.25">
      <c r="A2217" s="43" t="s">
        <v>5092</v>
      </c>
      <c r="B2217" s="81" t="s">
        <v>5080</v>
      </c>
      <c r="C2217" s="26" t="s">
        <v>37</v>
      </c>
      <c r="D2217" s="14"/>
      <c r="E2217" s="15"/>
      <c r="F2217" s="16">
        <f t="shared" si="131"/>
        <v>0</v>
      </c>
      <c r="G2217">
        <f t="shared" si="130"/>
        <v>0</v>
      </c>
    </row>
    <row r="2218" spans="1:7" hidden="1" x14ac:dyDescent="0.25">
      <c r="A2218" s="43" t="s">
        <v>5093</v>
      </c>
      <c r="B2218" s="81" t="s">
        <v>5081</v>
      </c>
      <c r="C2218" s="26" t="s">
        <v>37</v>
      </c>
      <c r="D2218" s="14"/>
      <c r="E2218" s="15"/>
      <c r="F2218" s="16">
        <f t="shared" si="131"/>
        <v>0</v>
      </c>
      <c r="G2218">
        <f t="shared" si="130"/>
        <v>0</v>
      </c>
    </row>
    <row r="2219" spans="1:7" hidden="1" x14ac:dyDescent="0.25">
      <c r="A2219" s="43" t="s">
        <v>5094</v>
      </c>
      <c r="B2219" s="81" t="s">
        <v>5082</v>
      </c>
      <c r="C2219" s="26" t="s">
        <v>37</v>
      </c>
      <c r="D2219" s="14"/>
      <c r="E2219" s="15"/>
      <c r="F2219" s="16">
        <f t="shared" si="131"/>
        <v>0</v>
      </c>
      <c r="G2219">
        <f t="shared" si="130"/>
        <v>0</v>
      </c>
    </row>
    <row r="2220" spans="1:7" hidden="1" x14ac:dyDescent="0.25">
      <c r="A2220" s="43" t="s">
        <v>5095</v>
      </c>
      <c r="B2220" s="81" t="s">
        <v>5083</v>
      </c>
      <c r="C2220" s="26" t="s">
        <v>37</v>
      </c>
      <c r="D2220" s="14"/>
      <c r="E2220" s="15"/>
      <c r="F2220" s="16">
        <f t="shared" si="131"/>
        <v>0</v>
      </c>
      <c r="G2220">
        <f t="shared" si="130"/>
        <v>0</v>
      </c>
    </row>
    <row r="2221" spans="1:7" hidden="1" x14ac:dyDescent="0.25">
      <c r="A2221" s="44" t="s">
        <v>5023</v>
      </c>
      <c r="B2221" s="80" t="s">
        <v>5084</v>
      </c>
      <c r="C2221" s="14"/>
      <c r="D2221" s="14"/>
      <c r="E2221" s="15"/>
      <c r="F2221" s="16"/>
      <c r="G2221">
        <f t="shared" si="130"/>
        <v>0</v>
      </c>
    </row>
    <row r="2222" spans="1:7" hidden="1" x14ac:dyDescent="0.25">
      <c r="A2222" s="43" t="s">
        <v>5096</v>
      </c>
      <c r="B2222" s="81" t="s">
        <v>5085</v>
      </c>
      <c r="C2222" s="26" t="s">
        <v>37</v>
      </c>
      <c r="D2222" s="14"/>
      <c r="E2222" s="15"/>
      <c r="F2222" s="16">
        <f t="shared" ref="F2222:F2227" si="132">+D2222*E2222</f>
        <v>0</v>
      </c>
      <c r="G2222">
        <f t="shared" si="130"/>
        <v>0</v>
      </c>
    </row>
    <row r="2223" spans="1:7" hidden="1" x14ac:dyDescent="0.25">
      <c r="A2223" s="43" t="s">
        <v>5097</v>
      </c>
      <c r="B2223" s="81" t="s">
        <v>5086</v>
      </c>
      <c r="C2223" s="26" t="s">
        <v>37</v>
      </c>
      <c r="D2223" s="14"/>
      <c r="E2223" s="15"/>
      <c r="F2223" s="16">
        <f t="shared" si="132"/>
        <v>0</v>
      </c>
      <c r="G2223">
        <f t="shared" si="130"/>
        <v>0</v>
      </c>
    </row>
    <row r="2224" spans="1:7" hidden="1" x14ac:dyDescent="0.25">
      <c r="A2224" s="43" t="s">
        <v>5098</v>
      </c>
      <c r="B2224" s="81" t="s">
        <v>5087</v>
      </c>
      <c r="C2224" s="26" t="s">
        <v>37</v>
      </c>
      <c r="D2224" s="14"/>
      <c r="E2224" s="15"/>
      <c r="F2224" s="16">
        <f t="shared" si="132"/>
        <v>0</v>
      </c>
      <c r="G2224">
        <f t="shared" si="130"/>
        <v>0</v>
      </c>
    </row>
    <row r="2225" spans="1:7" hidden="1" x14ac:dyDescent="0.25">
      <c r="A2225" s="43" t="s">
        <v>5099</v>
      </c>
      <c r="B2225" s="81" t="s">
        <v>5088</v>
      </c>
      <c r="C2225" s="26" t="s">
        <v>37</v>
      </c>
      <c r="D2225" s="14"/>
      <c r="E2225" s="15"/>
      <c r="F2225" s="16">
        <f t="shared" si="132"/>
        <v>0</v>
      </c>
      <c r="G2225">
        <f t="shared" si="130"/>
        <v>0</v>
      </c>
    </row>
    <row r="2226" spans="1:7" hidden="1" x14ac:dyDescent="0.25">
      <c r="A2226" s="43" t="s">
        <v>5100</v>
      </c>
      <c r="B2226" s="81" t="s">
        <v>5089</v>
      </c>
      <c r="C2226" s="26" t="s">
        <v>37</v>
      </c>
      <c r="D2226" s="14"/>
      <c r="E2226" s="15"/>
      <c r="F2226" s="16">
        <f t="shared" si="132"/>
        <v>0</v>
      </c>
      <c r="G2226">
        <f t="shared" si="130"/>
        <v>0</v>
      </c>
    </row>
    <row r="2227" spans="1:7" hidden="1" x14ac:dyDescent="0.25">
      <c r="A2227" s="43" t="s">
        <v>5101</v>
      </c>
      <c r="B2227" s="81" t="s">
        <v>5090</v>
      </c>
      <c r="C2227" s="26" t="s">
        <v>37</v>
      </c>
      <c r="D2227" s="14"/>
      <c r="E2227" s="15"/>
      <c r="F2227" s="16">
        <f t="shared" si="132"/>
        <v>0</v>
      </c>
      <c r="G2227">
        <f t="shared" si="130"/>
        <v>0</v>
      </c>
    </row>
    <row r="2228" spans="1:7" x14ac:dyDescent="0.25">
      <c r="A2228" s="44" t="s">
        <v>5025</v>
      </c>
      <c r="B2228" s="80" t="s">
        <v>4995</v>
      </c>
      <c r="C2228" s="14"/>
      <c r="D2228" s="14"/>
      <c r="E2228" s="15"/>
      <c r="F2228" s="16"/>
      <c r="G2228">
        <v>1</v>
      </c>
    </row>
    <row r="2229" spans="1:7" x14ac:dyDescent="0.25">
      <c r="A2229" s="44" t="s">
        <v>5034</v>
      </c>
      <c r="B2229" s="80" t="s">
        <v>4996</v>
      </c>
      <c r="C2229" s="14"/>
      <c r="D2229" s="14"/>
      <c r="E2229" s="15"/>
      <c r="F2229" s="16"/>
      <c r="G2229">
        <v>1</v>
      </c>
    </row>
    <row r="2230" spans="1:7" hidden="1" x14ac:dyDescent="0.25">
      <c r="A2230" s="43" t="s">
        <v>5102</v>
      </c>
      <c r="B2230" s="81" t="s">
        <v>4997</v>
      </c>
      <c r="C2230" s="26" t="s">
        <v>37</v>
      </c>
      <c r="D2230" s="14"/>
      <c r="E2230" s="15"/>
      <c r="F2230" s="16">
        <f t="shared" ref="F2230:F2237" si="133">+D2230*E2230</f>
        <v>0</v>
      </c>
      <c r="G2230">
        <f t="shared" si="130"/>
        <v>0</v>
      </c>
    </row>
    <row r="2231" spans="1:7" hidden="1" x14ac:dyDescent="0.25">
      <c r="A2231" s="43" t="s">
        <v>5103</v>
      </c>
      <c r="B2231" s="81" t="s">
        <v>4998</v>
      </c>
      <c r="C2231" s="26" t="s">
        <v>37</v>
      </c>
      <c r="D2231" s="14"/>
      <c r="E2231" s="15"/>
      <c r="F2231" s="16">
        <f t="shared" si="133"/>
        <v>0</v>
      </c>
      <c r="G2231">
        <f t="shared" si="130"/>
        <v>0</v>
      </c>
    </row>
    <row r="2232" spans="1:7" hidden="1" x14ac:dyDescent="0.25">
      <c r="A2232" s="43" t="s">
        <v>5104</v>
      </c>
      <c r="B2232" s="81" t="s">
        <v>4999</v>
      </c>
      <c r="C2232" s="26" t="s">
        <v>37</v>
      </c>
      <c r="D2232" s="14"/>
      <c r="E2232" s="15"/>
      <c r="F2232" s="16">
        <f t="shared" si="133"/>
        <v>0</v>
      </c>
      <c r="G2232">
        <f t="shared" si="130"/>
        <v>0</v>
      </c>
    </row>
    <row r="2233" spans="1:7" hidden="1" x14ac:dyDescent="0.25">
      <c r="A2233" s="43" t="s">
        <v>5105</v>
      </c>
      <c r="B2233" s="81" t="s">
        <v>1031</v>
      </c>
      <c r="C2233" s="26" t="s">
        <v>37</v>
      </c>
      <c r="D2233" s="14"/>
      <c r="E2233" s="15"/>
      <c r="F2233" s="16">
        <f t="shared" si="133"/>
        <v>0</v>
      </c>
      <c r="G2233">
        <f t="shared" si="130"/>
        <v>0</v>
      </c>
    </row>
    <row r="2234" spans="1:7" hidden="1" x14ac:dyDescent="0.25">
      <c r="A2234" s="43" t="s">
        <v>5106</v>
      </c>
      <c r="B2234" s="81" t="s">
        <v>1032</v>
      </c>
      <c r="C2234" s="26" t="s">
        <v>37</v>
      </c>
      <c r="D2234" s="14"/>
      <c r="E2234" s="15"/>
      <c r="F2234" s="16">
        <f t="shared" si="133"/>
        <v>0</v>
      </c>
      <c r="G2234">
        <f t="shared" si="130"/>
        <v>0</v>
      </c>
    </row>
    <row r="2235" spans="1:7" x14ac:dyDescent="0.25">
      <c r="A2235" s="43" t="s">
        <v>5107</v>
      </c>
      <c r="B2235" s="81" t="s">
        <v>5000</v>
      </c>
      <c r="C2235" s="26" t="s">
        <v>37</v>
      </c>
      <c r="D2235" s="14">
        <v>1</v>
      </c>
      <c r="E2235" s="15">
        <f>+SUM!H2232</f>
        <v>1627349</v>
      </c>
      <c r="F2235" s="16">
        <f t="shared" si="133"/>
        <v>1627349</v>
      </c>
      <c r="G2235">
        <f t="shared" si="130"/>
        <v>1</v>
      </c>
    </row>
    <row r="2236" spans="1:7" hidden="1" x14ac:dyDescent="0.25">
      <c r="A2236" s="43" t="s">
        <v>5108</v>
      </c>
      <c r="B2236" s="81" t="s">
        <v>5001</v>
      </c>
      <c r="C2236" s="26" t="s">
        <v>37</v>
      </c>
      <c r="D2236" s="14"/>
      <c r="E2236" s="15">
        <f>+SUM!H2233</f>
        <v>4238804</v>
      </c>
      <c r="F2236" s="16">
        <f t="shared" si="133"/>
        <v>0</v>
      </c>
      <c r="G2236">
        <f t="shared" si="130"/>
        <v>0</v>
      </c>
    </row>
    <row r="2237" spans="1:7" hidden="1" x14ac:dyDescent="0.25">
      <c r="A2237" s="43" t="s">
        <v>5109</v>
      </c>
      <c r="B2237" s="81" t="s">
        <v>5002</v>
      </c>
      <c r="C2237" s="26" t="s">
        <v>37</v>
      </c>
      <c r="D2237" s="14"/>
      <c r="E2237" s="15">
        <f>+SUM!H2234</f>
        <v>6807651</v>
      </c>
      <c r="F2237" s="16">
        <f t="shared" si="133"/>
        <v>0</v>
      </c>
      <c r="G2237">
        <f t="shared" si="130"/>
        <v>0</v>
      </c>
    </row>
    <row r="2238" spans="1:7" hidden="1" x14ac:dyDescent="0.25">
      <c r="A2238" s="44" t="s">
        <v>5110</v>
      </c>
      <c r="B2238" s="80" t="s">
        <v>5005</v>
      </c>
      <c r="C2238" s="14"/>
      <c r="D2238" s="14"/>
      <c r="E2238" s="15">
        <f>+SUM!H2235</f>
        <v>0</v>
      </c>
      <c r="F2238" s="16"/>
      <c r="G2238">
        <f t="shared" si="130"/>
        <v>0</v>
      </c>
    </row>
    <row r="2239" spans="1:7" hidden="1" x14ac:dyDescent="0.25">
      <c r="A2239" s="43" t="s">
        <v>5111</v>
      </c>
      <c r="B2239" s="81" t="s">
        <v>5006</v>
      </c>
      <c r="C2239" s="26" t="s">
        <v>37</v>
      </c>
      <c r="D2239" s="14"/>
      <c r="E2239" s="15">
        <f>+SUM!H2236</f>
        <v>265269</v>
      </c>
      <c r="F2239" s="16">
        <f>+D2239*E2239</f>
        <v>0</v>
      </c>
      <c r="G2239">
        <f t="shared" si="130"/>
        <v>0</v>
      </c>
    </row>
    <row r="2240" spans="1:7" hidden="1" x14ac:dyDescent="0.25">
      <c r="A2240" s="43" t="s">
        <v>5112</v>
      </c>
      <c r="B2240" s="81" t="s">
        <v>5007</v>
      </c>
      <c r="C2240" s="26" t="s">
        <v>37</v>
      </c>
      <c r="D2240" s="14"/>
      <c r="E2240" s="15">
        <f>+SUM!H2237</f>
        <v>288635</v>
      </c>
      <c r="F2240" s="16">
        <f>+D2240*E2240</f>
        <v>0</v>
      </c>
      <c r="G2240">
        <f t="shared" si="130"/>
        <v>0</v>
      </c>
    </row>
    <row r="2241" spans="1:7" hidden="1" x14ac:dyDescent="0.25">
      <c r="A2241" s="43" t="s">
        <v>5113</v>
      </c>
      <c r="B2241" s="81" t="s">
        <v>5008</v>
      </c>
      <c r="C2241" s="26" t="s">
        <v>37</v>
      </c>
      <c r="D2241" s="14"/>
      <c r="E2241" s="15">
        <f>+SUM!H2238</f>
        <v>298256</v>
      </c>
      <c r="F2241" s="16">
        <f>+D2241*E2241</f>
        <v>0</v>
      </c>
      <c r="G2241">
        <f t="shared" si="130"/>
        <v>0</v>
      </c>
    </row>
    <row r="2242" spans="1:7" hidden="1" x14ac:dyDescent="0.25">
      <c r="A2242" s="43" t="s">
        <v>5114</v>
      </c>
      <c r="B2242" s="81" t="s">
        <v>5009</v>
      </c>
      <c r="C2242" s="26" t="s">
        <v>37</v>
      </c>
      <c r="D2242" s="14"/>
      <c r="E2242" s="15">
        <f>+SUM!H2239</f>
        <v>320247</v>
      </c>
      <c r="F2242" s="16">
        <f>+D2242*E2242</f>
        <v>0</v>
      </c>
      <c r="G2242">
        <f t="shared" si="130"/>
        <v>0</v>
      </c>
    </row>
    <row r="2243" spans="1:7" hidden="1" x14ac:dyDescent="0.25">
      <c r="A2243" s="43" t="s">
        <v>5115</v>
      </c>
      <c r="B2243" s="81" t="s">
        <v>5010</v>
      </c>
      <c r="C2243" s="26" t="s">
        <v>37</v>
      </c>
      <c r="D2243" s="14"/>
      <c r="E2243" s="15">
        <f>+SUM!H2240</f>
        <v>398591</v>
      </c>
      <c r="F2243" s="16">
        <f>+D2243*E2243</f>
        <v>0</v>
      </c>
      <c r="G2243">
        <f t="shared" si="130"/>
        <v>0</v>
      </c>
    </row>
    <row r="2244" spans="1:7" hidden="1" x14ac:dyDescent="0.25">
      <c r="A2244" s="44" t="s">
        <v>1036</v>
      </c>
      <c r="B2244" s="80" t="s">
        <v>5016</v>
      </c>
      <c r="C2244" s="14"/>
      <c r="D2244" s="14"/>
      <c r="E2244" s="15">
        <f>+SUM!H2241</f>
        <v>0</v>
      </c>
      <c r="F2244" s="16"/>
      <c r="G2244">
        <f t="shared" si="130"/>
        <v>0</v>
      </c>
    </row>
    <row r="2245" spans="1:7" hidden="1" x14ac:dyDescent="0.25">
      <c r="A2245" s="43" t="s">
        <v>5048</v>
      </c>
      <c r="B2245" s="81" t="s">
        <v>5017</v>
      </c>
      <c r="C2245" s="26" t="s">
        <v>37</v>
      </c>
      <c r="D2245" s="14"/>
      <c r="E2245" s="15">
        <f>+SUM!H2242</f>
        <v>31802</v>
      </c>
      <c r="F2245" s="16">
        <f t="shared" ref="F2245:F2250" si="134">+D2245*E2245</f>
        <v>0</v>
      </c>
      <c r="G2245">
        <f t="shared" si="130"/>
        <v>0</v>
      </c>
    </row>
    <row r="2246" spans="1:7" hidden="1" x14ac:dyDescent="0.25">
      <c r="A2246" s="43" t="s">
        <v>1038</v>
      </c>
      <c r="B2246" s="81" t="s">
        <v>5018</v>
      </c>
      <c r="C2246" s="26" t="s">
        <v>37</v>
      </c>
      <c r="D2246" s="14"/>
      <c r="E2246" s="15">
        <f>+SUM!H2243</f>
        <v>36532</v>
      </c>
      <c r="F2246" s="16">
        <f t="shared" si="134"/>
        <v>0</v>
      </c>
      <c r="G2246">
        <f t="shared" si="130"/>
        <v>0</v>
      </c>
    </row>
    <row r="2247" spans="1:7" hidden="1" x14ac:dyDescent="0.25">
      <c r="A2247" s="43" t="s">
        <v>1045</v>
      </c>
      <c r="B2247" s="81" t="s">
        <v>5019</v>
      </c>
      <c r="C2247" s="26" t="s">
        <v>37</v>
      </c>
      <c r="D2247" s="14"/>
      <c r="E2247" s="15">
        <f>+SUM!H2244</f>
        <v>84643</v>
      </c>
      <c r="F2247" s="16">
        <f t="shared" si="134"/>
        <v>0</v>
      </c>
      <c r="G2247">
        <f t="shared" si="130"/>
        <v>0</v>
      </c>
    </row>
    <row r="2248" spans="1:7" hidden="1" x14ac:dyDescent="0.25">
      <c r="A2248" s="43" t="s">
        <v>5049</v>
      </c>
      <c r="B2248" s="81" t="s">
        <v>5024</v>
      </c>
      <c r="C2248" s="26" t="s">
        <v>37</v>
      </c>
      <c r="D2248" s="14"/>
      <c r="E2248" s="15">
        <f>+SUM!H2245</f>
        <v>199131</v>
      </c>
      <c r="F2248" s="16">
        <f t="shared" si="134"/>
        <v>0</v>
      </c>
      <c r="G2248">
        <f t="shared" si="130"/>
        <v>0</v>
      </c>
    </row>
    <row r="2249" spans="1:7" hidden="1" x14ac:dyDescent="0.25">
      <c r="A2249" s="43" t="s">
        <v>5050</v>
      </c>
      <c r="B2249" s="81" t="s">
        <v>5020</v>
      </c>
      <c r="C2249" s="26" t="s">
        <v>37</v>
      </c>
      <c r="D2249" s="14"/>
      <c r="E2249" s="15">
        <f>+SUM!H2246</f>
        <v>233054</v>
      </c>
      <c r="F2249" s="16">
        <f t="shared" si="134"/>
        <v>0</v>
      </c>
      <c r="G2249">
        <f t="shared" si="130"/>
        <v>0</v>
      </c>
    </row>
    <row r="2250" spans="1:7" hidden="1" x14ac:dyDescent="0.25">
      <c r="A2250" s="43" t="s">
        <v>5051</v>
      </c>
      <c r="B2250" s="81" t="s">
        <v>5021</v>
      </c>
      <c r="C2250" s="26" t="s">
        <v>37</v>
      </c>
      <c r="D2250" s="14"/>
      <c r="E2250" s="15">
        <f>+SUM!H2247</f>
        <v>2659651</v>
      </c>
      <c r="F2250" s="16">
        <f t="shared" si="134"/>
        <v>0</v>
      </c>
      <c r="G2250">
        <f t="shared" si="130"/>
        <v>0</v>
      </c>
    </row>
    <row r="2251" spans="1:7" x14ac:dyDescent="0.25">
      <c r="A2251" s="44" t="s">
        <v>1054</v>
      </c>
      <c r="B2251" s="80" t="s">
        <v>5026</v>
      </c>
      <c r="C2251" s="14"/>
      <c r="D2251" s="14"/>
      <c r="E2251" s="15"/>
      <c r="F2251" s="16"/>
      <c r="G2251">
        <v>1</v>
      </c>
    </row>
    <row r="2252" spans="1:7" hidden="1" x14ac:dyDescent="0.25">
      <c r="A2252" s="43" t="s">
        <v>1055</v>
      </c>
      <c r="B2252" s="81" t="s">
        <v>5027</v>
      </c>
      <c r="C2252" s="26" t="s">
        <v>37</v>
      </c>
      <c r="D2252" s="14"/>
      <c r="E2252" s="15">
        <f>+SUM!H2249</f>
        <v>0</v>
      </c>
      <c r="F2252" s="16">
        <f t="shared" ref="F2252:F2258" si="135">+D2252*E2252</f>
        <v>0</v>
      </c>
      <c r="G2252">
        <f t="shared" si="130"/>
        <v>0</v>
      </c>
    </row>
    <row r="2253" spans="1:7" hidden="1" x14ac:dyDescent="0.25">
      <c r="A2253" s="43" t="s">
        <v>1056</v>
      </c>
      <c r="B2253" s="81" t="s">
        <v>5028</v>
      </c>
      <c r="C2253" s="26" t="s">
        <v>37</v>
      </c>
      <c r="D2253" s="14"/>
      <c r="E2253" s="15">
        <f>+SUM!H2250</f>
        <v>3796031</v>
      </c>
      <c r="F2253" s="16">
        <f t="shared" si="135"/>
        <v>0</v>
      </c>
      <c r="G2253">
        <f t="shared" si="130"/>
        <v>0</v>
      </c>
    </row>
    <row r="2254" spans="1:7" hidden="1" x14ac:dyDescent="0.25">
      <c r="A2254" s="43" t="s">
        <v>1057</v>
      </c>
      <c r="B2254" s="81" t="s">
        <v>5029</v>
      </c>
      <c r="C2254" s="26" t="s">
        <v>37</v>
      </c>
      <c r="D2254" s="14"/>
      <c r="E2254" s="15">
        <f>+SUM!H2251</f>
        <v>4640437</v>
      </c>
      <c r="F2254" s="16">
        <f t="shared" si="135"/>
        <v>0</v>
      </c>
      <c r="G2254">
        <f t="shared" si="130"/>
        <v>0</v>
      </c>
    </row>
    <row r="2255" spans="1:7" x14ac:dyDescent="0.25">
      <c r="A2255" s="43" t="s">
        <v>5116</v>
      </c>
      <c r="B2255" s="81" t="s">
        <v>5030</v>
      </c>
      <c r="C2255" s="26" t="s">
        <v>37</v>
      </c>
      <c r="D2255" s="14">
        <v>4</v>
      </c>
      <c r="E2255" s="15">
        <f>+SUM!H2252</f>
        <v>5905148</v>
      </c>
      <c r="F2255" s="16">
        <f t="shared" si="135"/>
        <v>23620592</v>
      </c>
      <c r="G2255">
        <f t="shared" si="130"/>
        <v>1</v>
      </c>
    </row>
    <row r="2256" spans="1:7" hidden="1" x14ac:dyDescent="0.25">
      <c r="A2256" s="43" t="s">
        <v>5117</v>
      </c>
      <c r="B2256" s="81" t="s">
        <v>5031</v>
      </c>
      <c r="C2256" s="26" t="s">
        <v>37</v>
      </c>
      <c r="D2256" s="14"/>
      <c r="E2256" s="15"/>
      <c r="F2256" s="16">
        <f t="shared" si="135"/>
        <v>0</v>
      </c>
      <c r="G2256">
        <f t="shared" si="130"/>
        <v>0</v>
      </c>
    </row>
    <row r="2257" spans="1:7" hidden="1" x14ac:dyDescent="0.25">
      <c r="A2257" s="43" t="s">
        <v>5118</v>
      </c>
      <c r="B2257" s="81" t="s">
        <v>5032</v>
      </c>
      <c r="C2257" s="26" t="s">
        <v>37</v>
      </c>
      <c r="D2257" s="14"/>
      <c r="E2257" s="15"/>
      <c r="F2257" s="16">
        <f t="shared" si="135"/>
        <v>0</v>
      </c>
      <c r="G2257">
        <f t="shared" si="130"/>
        <v>0</v>
      </c>
    </row>
    <row r="2258" spans="1:7" hidden="1" x14ac:dyDescent="0.25">
      <c r="A2258" s="43" t="s">
        <v>5120</v>
      </c>
      <c r="B2258" s="81" t="s">
        <v>5033</v>
      </c>
      <c r="C2258" s="26" t="s">
        <v>37</v>
      </c>
      <c r="D2258" s="14"/>
      <c r="E2258" s="15"/>
      <c r="F2258" s="16">
        <f t="shared" si="135"/>
        <v>0</v>
      </c>
      <c r="G2258">
        <f t="shared" si="130"/>
        <v>0</v>
      </c>
    </row>
    <row r="2259" spans="1:7" hidden="1" x14ac:dyDescent="0.25">
      <c r="A2259" s="44" t="s">
        <v>1059</v>
      </c>
      <c r="B2259" s="80" t="s">
        <v>5047</v>
      </c>
      <c r="C2259" s="14"/>
      <c r="D2259" s="14"/>
      <c r="E2259" s="15"/>
      <c r="F2259" s="16"/>
      <c r="G2259">
        <f t="shared" si="130"/>
        <v>0</v>
      </c>
    </row>
    <row r="2260" spans="1:7" hidden="1" x14ac:dyDescent="0.25">
      <c r="A2260" s="43" t="s">
        <v>5119</v>
      </c>
      <c r="B2260" s="81" t="s">
        <v>5035</v>
      </c>
      <c r="C2260" s="26" t="s">
        <v>37</v>
      </c>
      <c r="D2260" s="14"/>
      <c r="E2260" s="15"/>
      <c r="F2260" s="16">
        <f t="shared" ref="F2260:F2271" si="136">+D2260*E2260</f>
        <v>0</v>
      </c>
      <c r="G2260">
        <f t="shared" si="130"/>
        <v>0</v>
      </c>
    </row>
    <row r="2261" spans="1:7" hidden="1" x14ac:dyDescent="0.25">
      <c r="A2261" s="43" t="s">
        <v>5121</v>
      </c>
      <c r="B2261" s="81" t="s">
        <v>5036</v>
      </c>
      <c r="C2261" s="26" t="s">
        <v>37</v>
      </c>
      <c r="D2261" s="14"/>
      <c r="E2261" s="15"/>
      <c r="F2261" s="16">
        <f t="shared" si="136"/>
        <v>0</v>
      </c>
      <c r="G2261">
        <f t="shared" si="130"/>
        <v>0</v>
      </c>
    </row>
    <row r="2262" spans="1:7" hidden="1" x14ac:dyDescent="0.25">
      <c r="A2262" s="43" t="s">
        <v>5122</v>
      </c>
      <c r="B2262" s="81" t="s">
        <v>5037</v>
      </c>
      <c r="C2262" s="26" t="s">
        <v>37</v>
      </c>
      <c r="D2262" s="14"/>
      <c r="E2262" s="15"/>
      <c r="F2262" s="16">
        <f t="shared" si="136"/>
        <v>0</v>
      </c>
      <c r="G2262">
        <f t="shared" si="130"/>
        <v>0</v>
      </c>
    </row>
    <row r="2263" spans="1:7" hidden="1" x14ac:dyDescent="0.25">
      <c r="A2263" s="43" t="s">
        <v>5123</v>
      </c>
      <c r="B2263" s="81" t="s">
        <v>5038</v>
      </c>
      <c r="C2263" s="26" t="s">
        <v>37</v>
      </c>
      <c r="D2263" s="14"/>
      <c r="E2263" s="15"/>
      <c r="F2263" s="16">
        <f t="shared" si="136"/>
        <v>0</v>
      </c>
      <c r="G2263">
        <f t="shared" si="130"/>
        <v>0</v>
      </c>
    </row>
    <row r="2264" spans="1:7" hidden="1" x14ac:dyDescent="0.25">
      <c r="A2264" s="43" t="s">
        <v>5124</v>
      </c>
      <c r="B2264" s="81" t="s">
        <v>5039</v>
      </c>
      <c r="C2264" s="26" t="s">
        <v>37</v>
      </c>
      <c r="D2264" s="14"/>
      <c r="E2264" s="15"/>
      <c r="F2264" s="16">
        <f t="shared" si="136"/>
        <v>0</v>
      </c>
      <c r="G2264">
        <f t="shared" si="130"/>
        <v>0</v>
      </c>
    </row>
    <row r="2265" spans="1:7" hidden="1" x14ac:dyDescent="0.25">
      <c r="A2265" s="43" t="s">
        <v>5125</v>
      </c>
      <c r="B2265" s="81" t="s">
        <v>5040</v>
      </c>
      <c r="C2265" s="26" t="s">
        <v>37</v>
      </c>
      <c r="D2265" s="14"/>
      <c r="E2265" s="15"/>
      <c r="F2265" s="16">
        <f t="shared" si="136"/>
        <v>0</v>
      </c>
      <c r="G2265">
        <f t="shared" si="130"/>
        <v>0</v>
      </c>
    </row>
    <row r="2266" spans="1:7" hidden="1" x14ac:dyDescent="0.25">
      <c r="A2266" s="43" t="s">
        <v>5126</v>
      </c>
      <c r="B2266" s="81" t="s">
        <v>5041</v>
      </c>
      <c r="C2266" s="26" t="s">
        <v>37</v>
      </c>
      <c r="D2266" s="14"/>
      <c r="E2266" s="15"/>
      <c r="F2266" s="16">
        <f t="shared" si="136"/>
        <v>0</v>
      </c>
      <c r="G2266">
        <f t="shared" si="130"/>
        <v>0</v>
      </c>
    </row>
    <row r="2267" spans="1:7" hidden="1" x14ac:dyDescent="0.25">
      <c r="A2267" s="43" t="s">
        <v>5127</v>
      </c>
      <c r="B2267" s="81" t="s">
        <v>5042</v>
      </c>
      <c r="C2267" s="26" t="s">
        <v>37</v>
      </c>
      <c r="D2267" s="14"/>
      <c r="E2267" s="15"/>
      <c r="F2267" s="16">
        <f t="shared" si="136"/>
        <v>0</v>
      </c>
      <c r="G2267">
        <f t="shared" si="130"/>
        <v>0</v>
      </c>
    </row>
    <row r="2268" spans="1:7" hidden="1" x14ac:dyDescent="0.25">
      <c r="A2268" s="43" t="s">
        <v>5128</v>
      </c>
      <c r="B2268" s="81" t="s">
        <v>5043</v>
      </c>
      <c r="C2268" s="26" t="s">
        <v>37</v>
      </c>
      <c r="D2268" s="14"/>
      <c r="E2268" s="15"/>
      <c r="F2268" s="16">
        <f t="shared" si="136"/>
        <v>0</v>
      </c>
      <c r="G2268">
        <f t="shared" si="130"/>
        <v>0</v>
      </c>
    </row>
    <row r="2269" spans="1:7" hidden="1" x14ac:dyDescent="0.25">
      <c r="A2269" s="43" t="s">
        <v>5129</v>
      </c>
      <c r="B2269" s="81" t="s">
        <v>5044</v>
      </c>
      <c r="C2269" s="26" t="s">
        <v>37</v>
      </c>
      <c r="D2269" s="14"/>
      <c r="E2269" s="15"/>
      <c r="F2269" s="16">
        <f t="shared" si="136"/>
        <v>0</v>
      </c>
      <c r="G2269">
        <f t="shared" si="130"/>
        <v>0</v>
      </c>
    </row>
    <row r="2270" spans="1:7" hidden="1" x14ac:dyDescent="0.25">
      <c r="A2270" s="43" t="s">
        <v>5130</v>
      </c>
      <c r="B2270" s="81" t="s">
        <v>5045</v>
      </c>
      <c r="C2270" s="26" t="s">
        <v>37</v>
      </c>
      <c r="D2270" s="14"/>
      <c r="E2270" s="15"/>
      <c r="F2270" s="16">
        <f t="shared" si="136"/>
        <v>0</v>
      </c>
      <c r="G2270">
        <f t="shared" si="130"/>
        <v>0</v>
      </c>
    </row>
    <row r="2271" spans="1:7" hidden="1" x14ac:dyDescent="0.25">
      <c r="A2271" s="43" t="s">
        <v>5131</v>
      </c>
      <c r="B2271" s="81" t="s">
        <v>5046</v>
      </c>
      <c r="C2271" s="26" t="s">
        <v>37</v>
      </c>
      <c r="D2271" s="14"/>
      <c r="E2271" s="15"/>
      <c r="F2271" s="16">
        <f t="shared" si="136"/>
        <v>0</v>
      </c>
      <c r="G2271">
        <f t="shared" si="130"/>
        <v>0</v>
      </c>
    </row>
    <row r="2272" spans="1:7" hidden="1" x14ac:dyDescent="0.25">
      <c r="A2272" s="44" t="s">
        <v>1060</v>
      </c>
      <c r="B2272" s="80" t="s">
        <v>5132</v>
      </c>
      <c r="C2272" s="14"/>
      <c r="D2272" s="14"/>
      <c r="E2272" s="15"/>
      <c r="F2272" s="16"/>
      <c r="G2272">
        <f t="shared" si="130"/>
        <v>0</v>
      </c>
    </row>
    <row r="2273" spans="1:7" hidden="1" x14ac:dyDescent="0.25">
      <c r="A2273" s="43" t="s">
        <v>5139</v>
      </c>
      <c r="B2273" s="81" t="s">
        <v>5133</v>
      </c>
      <c r="C2273" s="26" t="s">
        <v>37</v>
      </c>
      <c r="D2273" s="14"/>
      <c r="E2273" s="15"/>
      <c r="F2273" s="16">
        <f t="shared" ref="F2273:F2278" si="137">+D2273*E2273</f>
        <v>0</v>
      </c>
      <c r="G2273">
        <f t="shared" si="130"/>
        <v>0</v>
      </c>
    </row>
    <row r="2274" spans="1:7" hidden="1" x14ac:dyDescent="0.25">
      <c r="A2274" s="43" t="s">
        <v>5140</v>
      </c>
      <c r="B2274" s="81" t="s">
        <v>5134</v>
      </c>
      <c r="C2274" s="26" t="s">
        <v>37</v>
      </c>
      <c r="D2274" s="14"/>
      <c r="E2274" s="15"/>
      <c r="F2274" s="16">
        <f t="shared" si="137"/>
        <v>0</v>
      </c>
      <c r="G2274">
        <f t="shared" si="130"/>
        <v>0</v>
      </c>
    </row>
    <row r="2275" spans="1:7" hidden="1" x14ac:dyDescent="0.25">
      <c r="A2275" s="43" t="s">
        <v>5141</v>
      </c>
      <c r="B2275" s="81" t="s">
        <v>5135</v>
      </c>
      <c r="C2275" s="26" t="s">
        <v>37</v>
      </c>
      <c r="D2275" s="14"/>
      <c r="E2275" s="15"/>
      <c r="F2275" s="16">
        <f t="shared" si="137"/>
        <v>0</v>
      </c>
      <c r="G2275">
        <f t="shared" si="130"/>
        <v>0</v>
      </c>
    </row>
    <row r="2276" spans="1:7" hidden="1" x14ac:dyDescent="0.25">
      <c r="A2276" s="43" t="s">
        <v>5142</v>
      </c>
      <c r="B2276" s="81" t="s">
        <v>5136</v>
      </c>
      <c r="C2276" s="26" t="s">
        <v>37</v>
      </c>
      <c r="D2276" s="14"/>
      <c r="E2276" s="15"/>
      <c r="F2276" s="16">
        <f t="shared" si="137"/>
        <v>0</v>
      </c>
      <c r="G2276">
        <f t="shared" ref="G2276:G2339" si="138">+IF(F2276&lt;&gt;0,1,0)</f>
        <v>0</v>
      </c>
    </row>
    <row r="2277" spans="1:7" hidden="1" x14ac:dyDescent="0.25">
      <c r="A2277" s="43" t="s">
        <v>5143</v>
      </c>
      <c r="B2277" s="81" t="s">
        <v>5137</v>
      </c>
      <c r="C2277" s="26" t="s">
        <v>37</v>
      </c>
      <c r="D2277" s="14"/>
      <c r="E2277" s="15"/>
      <c r="F2277" s="16">
        <f t="shared" si="137"/>
        <v>0</v>
      </c>
      <c r="G2277">
        <f t="shared" si="138"/>
        <v>0</v>
      </c>
    </row>
    <row r="2278" spans="1:7" hidden="1" x14ac:dyDescent="0.25">
      <c r="A2278" s="43" t="s">
        <v>5144</v>
      </c>
      <c r="B2278" s="81" t="s">
        <v>5138</v>
      </c>
      <c r="C2278" s="26" t="s">
        <v>37</v>
      </c>
      <c r="D2278" s="14"/>
      <c r="E2278" s="15"/>
      <c r="F2278" s="16">
        <f t="shared" si="137"/>
        <v>0</v>
      </c>
      <c r="G2278">
        <f t="shared" si="138"/>
        <v>0</v>
      </c>
    </row>
    <row r="2279" spans="1:7" hidden="1" x14ac:dyDescent="0.25">
      <c r="A2279" s="44" t="s">
        <v>1058</v>
      </c>
      <c r="B2279" s="80" t="s">
        <v>5145</v>
      </c>
      <c r="C2279" s="14"/>
      <c r="D2279" s="14"/>
      <c r="E2279" s="15"/>
      <c r="F2279" s="16"/>
      <c r="G2279">
        <f t="shared" si="138"/>
        <v>0</v>
      </c>
    </row>
    <row r="2280" spans="1:7" hidden="1" x14ac:dyDescent="0.25">
      <c r="A2280" s="43" t="s">
        <v>5152</v>
      </c>
      <c r="B2280" s="81" t="s">
        <v>5146</v>
      </c>
      <c r="C2280" s="26" t="s">
        <v>37</v>
      </c>
      <c r="D2280" s="14"/>
      <c r="E2280" s="15"/>
      <c r="F2280" s="16">
        <f t="shared" ref="F2280:F2285" si="139">+D2280*E2280</f>
        <v>0</v>
      </c>
      <c r="G2280">
        <f t="shared" si="138"/>
        <v>0</v>
      </c>
    </row>
    <row r="2281" spans="1:7" hidden="1" x14ac:dyDescent="0.25">
      <c r="A2281" s="43" t="s">
        <v>5153</v>
      </c>
      <c r="B2281" s="81" t="s">
        <v>5147</v>
      </c>
      <c r="C2281" s="26" t="s">
        <v>37</v>
      </c>
      <c r="D2281" s="14"/>
      <c r="E2281" s="15"/>
      <c r="F2281" s="16">
        <f t="shared" si="139"/>
        <v>0</v>
      </c>
      <c r="G2281">
        <f t="shared" si="138"/>
        <v>0</v>
      </c>
    </row>
    <row r="2282" spans="1:7" hidden="1" x14ac:dyDescent="0.25">
      <c r="A2282" s="43" t="s">
        <v>5154</v>
      </c>
      <c r="B2282" s="81" t="s">
        <v>5148</v>
      </c>
      <c r="C2282" s="26" t="s">
        <v>37</v>
      </c>
      <c r="D2282" s="14"/>
      <c r="E2282" s="15"/>
      <c r="F2282" s="16">
        <f t="shared" si="139"/>
        <v>0</v>
      </c>
      <c r="G2282">
        <f t="shared" si="138"/>
        <v>0</v>
      </c>
    </row>
    <row r="2283" spans="1:7" hidden="1" x14ac:dyDescent="0.25">
      <c r="A2283" s="43" t="s">
        <v>5155</v>
      </c>
      <c r="B2283" s="81" t="s">
        <v>5149</v>
      </c>
      <c r="C2283" s="26" t="s">
        <v>37</v>
      </c>
      <c r="D2283" s="14"/>
      <c r="E2283" s="15"/>
      <c r="F2283" s="16">
        <f t="shared" si="139"/>
        <v>0</v>
      </c>
      <c r="G2283">
        <f t="shared" si="138"/>
        <v>0</v>
      </c>
    </row>
    <row r="2284" spans="1:7" hidden="1" x14ac:dyDescent="0.25">
      <c r="A2284" s="43" t="s">
        <v>5156</v>
      </c>
      <c r="B2284" s="81" t="s">
        <v>5150</v>
      </c>
      <c r="C2284" s="26" t="s">
        <v>37</v>
      </c>
      <c r="D2284" s="14"/>
      <c r="E2284" s="15"/>
      <c r="F2284" s="16">
        <f t="shared" si="139"/>
        <v>0</v>
      </c>
      <c r="G2284">
        <f t="shared" si="138"/>
        <v>0</v>
      </c>
    </row>
    <row r="2285" spans="1:7" hidden="1" x14ac:dyDescent="0.25">
      <c r="A2285" s="43" t="s">
        <v>5157</v>
      </c>
      <c r="B2285" s="81" t="s">
        <v>5151</v>
      </c>
      <c r="C2285" s="26" t="s">
        <v>37</v>
      </c>
      <c r="D2285" s="14"/>
      <c r="E2285" s="15"/>
      <c r="F2285" s="16">
        <f t="shared" si="139"/>
        <v>0</v>
      </c>
      <c r="G2285">
        <f t="shared" si="138"/>
        <v>0</v>
      </c>
    </row>
    <row r="2286" spans="1:7" hidden="1" x14ac:dyDescent="0.25">
      <c r="A2286" s="44" t="s">
        <v>5159</v>
      </c>
      <c r="B2286" s="80" t="s">
        <v>5158</v>
      </c>
      <c r="C2286" s="14"/>
      <c r="D2286" s="14"/>
      <c r="E2286" s="15"/>
      <c r="F2286" s="16"/>
      <c r="G2286">
        <f t="shared" si="138"/>
        <v>0</v>
      </c>
    </row>
    <row r="2287" spans="1:7" hidden="1" x14ac:dyDescent="0.25">
      <c r="A2287" s="43" t="s">
        <v>5160</v>
      </c>
      <c r="B2287" s="81" t="s">
        <v>5167</v>
      </c>
      <c r="C2287" s="26" t="s">
        <v>37</v>
      </c>
      <c r="D2287" s="14"/>
      <c r="E2287" s="15"/>
      <c r="F2287" s="16">
        <f t="shared" ref="F2287:F2293" si="140">+D2287*E2287</f>
        <v>0</v>
      </c>
      <c r="G2287">
        <f t="shared" si="138"/>
        <v>0</v>
      </c>
    </row>
    <row r="2288" spans="1:7" hidden="1" x14ac:dyDescent="0.25">
      <c r="A2288" s="43" t="s">
        <v>5161</v>
      </c>
      <c r="B2288" s="81" t="s">
        <v>5168</v>
      </c>
      <c r="C2288" s="26" t="s">
        <v>37</v>
      </c>
      <c r="D2288" s="14"/>
      <c r="E2288" s="15"/>
      <c r="F2288" s="16">
        <f t="shared" si="140"/>
        <v>0</v>
      </c>
      <c r="G2288">
        <f t="shared" si="138"/>
        <v>0</v>
      </c>
    </row>
    <row r="2289" spans="1:7" hidden="1" x14ac:dyDescent="0.25">
      <c r="A2289" s="43" t="s">
        <v>5162</v>
      </c>
      <c r="B2289" s="81" t="s">
        <v>5169</v>
      </c>
      <c r="C2289" s="26" t="s">
        <v>37</v>
      </c>
      <c r="D2289" s="14"/>
      <c r="E2289" s="15"/>
      <c r="F2289" s="16">
        <f t="shared" si="140"/>
        <v>0</v>
      </c>
      <c r="G2289">
        <f t="shared" si="138"/>
        <v>0</v>
      </c>
    </row>
    <row r="2290" spans="1:7" hidden="1" x14ac:dyDescent="0.25">
      <c r="A2290" s="43" t="s">
        <v>5163</v>
      </c>
      <c r="B2290" s="81" t="s">
        <v>5170</v>
      </c>
      <c r="C2290" s="26" t="s">
        <v>37</v>
      </c>
      <c r="D2290" s="14"/>
      <c r="E2290" s="15"/>
      <c r="F2290" s="16">
        <f t="shared" si="140"/>
        <v>0</v>
      </c>
      <c r="G2290">
        <f t="shared" si="138"/>
        <v>0</v>
      </c>
    </row>
    <row r="2291" spans="1:7" hidden="1" x14ac:dyDescent="0.25">
      <c r="A2291" s="43" t="s">
        <v>5164</v>
      </c>
      <c r="B2291" s="81" t="s">
        <v>5171</v>
      </c>
      <c r="C2291" s="26" t="s">
        <v>37</v>
      </c>
      <c r="D2291" s="14"/>
      <c r="E2291" s="15"/>
      <c r="F2291" s="16">
        <f t="shared" si="140"/>
        <v>0</v>
      </c>
      <c r="G2291">
        <f t="shared" si="138"/>
        <v>0</v>
      </c>
    </row>
    <row r="2292" spans="1:7" hidden="1" x14ac:dyDescent="0.25">
      <c r="A2292" s="43" t="s">
        <v>5165</v>
      </c>
      <c r="B2292" s="81" t="s">
        <v>5172</v>
      </c>
      <c r="C2292" s="26" t="s">
        <v>37</v>
      </c>
      <c r="D2292" s="14"/>
      <c r="E2292" s="15"/>
      <c r="F2292" s="16">
        <f t="shared" si="140"/>
        <v>0</v>
      </c>
      <c r="G2292">
        <f t="shared" si="138"/>
        <v>0</v>
      </c>
    </row>
    <row r="2293" spans="1:7" hidden="1" x14ac:dyDescent="0.25">
      <c r="A2293" s="43" t="s">
        <v>5166</v>
      </c>
      <c r="B2293" s="81" t="s">
        <v>5173</v>
      </c>
      <c r="C2293" s="26" t="s">
        <v>37</v>
      </c>
      <c r="D2293" s="14"/>
      <c r="E2293" s="15"/>
      <c r="F2293" s="16">
        <f t="shared" si="140"/>
        <v>0</v>
      </c>
      <c r="G2293">
        <f t="shared" si="138"/>
        <v>0</v>
      </c>
    </row>
    <row r="2294" spans="1:7" hidden="1" x14ac:dyDescent="0.25">
      <c r="A2294" s="44" t="s">
        <v>5174</v>
      </c>
      <c r="B2294" s="80" t="s">
        <v>5175</v>
      </c>
      <c r="C2294" s="14"/>
      <c r="D2294" s="14"/>
      <c r="E2294" s="15"/>
      <c r="F2294" s="16"/>
      <c r="G2294">
        <f t="shared" si="138"/>
        <v>0</v>
      </c>
    </row>
    <row r="2295" spans="1:7" hidden="1" x14ac:dyDescent="0.25">
      <c r="A2295" s="43" t="s">
        <v>5183</v>
      </c>
      <c r="B2295" s="81" t="s">
        <v>5176</v>
      </c>
      <c r="C2295" s="26" t="s">
        <v>37</v>
      </c>
      <c r="D2295" s="14"/>
      <c r="E2295" s="15"/>
      <c r="F2295" s="16">
        <f t="shared" ref="F2295:F2301" si="141">+D2295*E2295</f>
        <v>0</v>
      </c>
      <c r="G2295">
        <f t="shared" si="138"/>
        <v>0</v>
      </c>
    </row>
    <row r="2296" spans="1:7" hidden="1" x14ac:dyDescent="0.25">
      <c r="A2296" s="43" t="s">
        <v>5184</v>
      </c>
      <c r="B2296" s="81" t="s">
        <v>5177</v>
      </c>
      <c r="C2296" s="26" t="s">
        <v>37</v>
      </c>
      <c r="D2296" s="14"/>
      <c r="E2296" s="15"/>
      <c r="F2296" s="16">
        <f t="shared" si="141"/>
        <v>0</v>
      </c>
      <c r="G2296">
        <f t="shared" si="138"/>
        <v>0</v>
      </c>
    </row>
    <row r="2297" spans="1:7" hidden="1" x14ac:dyDescent="0.25">
      <c r="A2297" s="43" t="s">
        <v>5185</v>
      </c>
      <c r="B2297" s="81" t="s">
        <v>5178</v>
      </c>
      <c r="C2297" s="26" t="s">
        <v>37</v>
      </c>
      <c r="D2297" s="14"/>
      <c r="E2297" s="15"/>
      <c r="F2297" s="16">
        <f t="shared" si="141"/>
        <v>0</v>
      </c>
      <c r="G2297">
        <f t="shared" si="138"/>
        <v>0</v>
      </c>
    </row>
    <row r="2298" spans="1:7" hidden="1" x14ac:dyDescent="0.25">
      <c r="A2298" s="43" t="s">
        <v>5186</v>
      </c>
      <c r="B2298" s="81" t="s">
        <v>5179</v>
      </c>
      <c r="C2298" s="26" t="s">
        <v>37</v>
      </c>
      <c r="D2298" s="14"/>
      <c r="E2298" s="15"/>
      <c r="F2298" s="16">
        <f t="shared" si="141"/>
        <v>0</v>
      </c>
      <c r="G2298">
        <f t="shared" si="138"/>
        <v>0</v>
      </c>
    </row>
    <row r="2299" spans="1:7" hidden="1" x14ac:dyDescent="0.25">
      <c r="A2299" s="43" t="s">
        <v>5187</v>
      </c>
      <c r="B2299" s="81" t="s">
        <v>5180</v>
      </c>
      <c r="C2299" s="26" t="s">
        <v>37</v>
      </c>
      <c r="D2299" s="14"/>
      <c r="E2299" s="15"/>
      <c r="F2299" s="16">
        <f t="shared" si="141"/>
        <v>0</v>
      </c>
      <c r="G2299">
        <f t="shared" si="138"/>
        <v>0</v>
      </c>
    </row>
    <row r="2300" spans="1:7" hidden="1" x14ac:dyDescent="0.25">
      <c r="A2300" s="43" t="s">
        <v>5188</v>
      </c>
      <c r="B2300" s="81" t="s">
        <v>5182</v>
      </c>
      <c r="C2300" s="26" t="s">
        <v>37</v>
      </c>
      <c r="D2300" s="14"/>
      <c r="E2300" s="15"/>
      <c r="F2300" s="16">
        <f t="shared" si="141"/>
        <v>0</v>
      </c>
      <c r="G2300">
        <f t="shared" si="138"/>
        <v>0</v>
      </c>
    </row>
    <row r="2301" spans="1:7" hidden="1" x14ac:dyDescent="0.25">
      <c r="A2301" s="43" t="s">
        <v>5189</v>
      </c>
      <c r="B2301" s="81" t="s">
        <v>5181</v>
      </c>
      <c r="C2301" s="26" t="s">
        <v>37</v>
      </c>
      <c r="D2301" s="14"/>
      <c r="E2301" s="15"/>
      <c r="F2301" s="16">
        <f t="shared" si="141"/>
        <v>0</v>
      </c>
      <c r="G2301">
        <f t="shared" si="138"/>
        <v>0</v>
      </c>
    </row>
    <row r="2302" spans="1:7" hidden="1" x14ac:dyDescent="0.25">
      <c r="A2302" s="44" t="s">
        <v>5190</v>
      </c>
      <c r="B2302" s="80" t="s">
        <v>5191</v>
      </c>
      <c r="C2302" s="14"/>
      <c r="D2302" s="14"/>
      <c r="E2302" s="15"/>
      <c r="F2302" s="16"/>
      <c r="G2302">
        <f t="shared" si="138"/>
        <v>0</v>
      </c>
    </row>
    <row r="2303" spans="1:7" hidden="1" x14ac:dyDescent="0.25">
      <c r="A2303" s="43" t="s">
        <v>5203</v>
      </c>
      <c r="B2303" s="81" t="s">
        <v>5192</v>
      </c>
      <c r="C2303" s="26" t="s">
        <v>37</v>
      </c>
      <c r="D2303" s="14"/>
      <c r="E2303" s="15"/>
      <c r="F2303" s="16">
        <f t="shared" ref="F2303:F2314" si="142">+D2303*E2303</f>
        <v>0</v>
      </c>
      <c r="G2303">
        <f t="shared" si="138"/>
        <v>0</v>
      </c>
    </row>
    <row r="2304" spans="1:7" hidden="1" x14ac:dyDescent="0.25">
      <c r="A2304" s="43" t="s">
        <v>5204</v>
      </c>
      <c r="B2304" s="81" t="s">
        <v>5193</v>
      </c>
      <c r="C2304" s="26" t="s">
        <v>37</v>
      </c>
      <c r="D2304" s="14"/>
      <c r="E2304" s="15"/>
      <c r="F2304" s="16">
        <f t="shared" si="142"/>
        <v>0</v>
      </c>
      <c r="G2304">
        <f t="shared" si="138"/>
        <v>0</v>
      </c>
    </row>
    <row r="2305" spans="1:7" x14ac:dyDescent="0.25">
      <c r="A2305" s="43" t="s">
        <v>5205</v>
      </c>
      <c r="B2305" s="81" t="s">
        <v>5194</v>
      </c>
      <c r="C2305" s="26" t="s">
        <v>37</v>
      </c>
      <c r="D2305" s="14">
        <v>4</v>
      </c>
      <c r="E2305" s="15">
        <f>+SUM!H2302</f>
        <v>1075542</v>
      </c>
      <c r="F2305" s="16">
        <f t="shared" si="142"/>
        <v>4302168</v>
      </c>
      <c r="G2305">
        <f t="shared" si="138"/>
        <v>1</v>
      </c>
    </row>
    <row r="2306" spans="1:7" x14ac:dyDescent="0.25">
      <c r="A2306" s="43" t="s">
        <v>5206</v>
      </c>
      <c r="B2306" s="81" t="s">
        <v>5195</v>
      </c>
      <c r="C2306" s="26" t="s">
        <v>37</v>
      </c>
      <c r="D2306" s="14">
        <v>4</v>
      </c>
      <c r="E2306" s="15">
        <f>+SUM!H2303</f>
        <v>1561996</v>
      </c>
      <c r="F2306" s="16">
        <f t="shared" si="142"/>
        <v>6247984</v>
      </c>
      <c r="G2306">
        <f t="shared" si="138"/>
        <v>1</v>
      </c>
    </row>
    <row r="2307" spans="1:7" hidden="1" x14ac:dyDescent="0.25">
      <c r="A2307" s="43" t="s">
        <v>5207</v>
      </c>
      <c r="B2307" s="81" t="s">
        <v>5196</v>
      </c>
      <c r="C2307" s="26" t="s">
        <v>37</v>
      </c>
      <c r="D2307" s="14"/>
      <c r="E2307" s="15"/>
      <c r="F2307" s="16">
        <f t="shared" si="142"/>
        <v>0</v>
      </c>
      <c r="G2307">
        <f t="shared" si="138"/>
        <v>0</v>
      </c>
    </row>
    <row r="2308" spans="1:7" hidden="1" x14ac:dyDescent="0.25">
      <c r="A2308" s="43" t="s">
        <v>5208</v>
      </c>
      <c r="B2308" s="81" t="s">
        <v>5197</v>
      </c>
      <c r="C2308" s="26" t="s">
        <v>37</v>
      </c>
      <c r="D2308" s="14"/>
      <c r="E2308" s="15"/>
      <c r="F2308" s="16">
        <f t="shared" si="142"/>
        <v>0</v>
      </c>
      <c r="G2308">
        <f t="shared" si="138"/>
        <v>0</v>
      </c>
    </row>
    <row r="2309" spans="1:7" hidden="1" x14ac:dyDescent="0.25">
      <c r="A2309" s="43" t="s">
        <v>5209</v>
      </c>
      <c r="B2309" s="81" t="s">
        <v>5198</v>
      </c>
      <c r="C2309" s="26" t="s">
        <v>37</v>
      </c>
      <c r="D2309" s="14"/>
      <c r="E2309" s="15"/>
      <c r="F2309" s="16">
        <f t="shared" si="142"/>
        <v>0</v>
      </c>
      <c r="G2309">
        <f t="shared" si="138"/>
        <v>0</v>
      </c>
    </row>
    <row r="2310" spans="1:7" hidden="1" x14ac:dyDescent="0.25">
      <c r="A2310" s="43" t="s">
        <v>5210</v>
      </c>
      <c r="B2310" s="81" t="s">
        <v>5199</v>
      </c>
      <c r="C2310" s="26" t="s">
        <v>37</v>
      </c>
      <c r="D2310" s="14"/>
      <c r="E2310" s="15"/>
      <c r="F2310" s="16">
        <f t="shared" si="142"/>
        <v>0</v>
      </c>
      <c r="G2310">
        <f t="shared" si="138"/>
        <v>0</v>
      </c>
    </row>
    <row r="2311" spans="1:7" hidden="1" x14ac:dyDescent="0.25">
      <c r="A2311" s="43" t="s">
        <v>5211</v>
      </c>
      <c r="B2311" s="81" t="s">
        <v>5200</v>
      </c>
      <c r="C2311" s="26" t="s">
        <v>37</v>
      </c>
      <c r="D2311" s="14"/>
      <c r="E2311" s="15"/>
      <c r="F2311" s="16">
        <f t="shared" si="142"/>
        <v>0</v>
      </c>
      <c r="G2311">
        <f t="shared" si="138"/>
        <v>0</v>
      </c>
    </row>
    <row r="2312" spans="1:7" hidden="1" x14ac:dyDescent="0.25">
      <c r="A2312" s="43" t="s">
        <v>5212</v>
      </c>
      <c r="B2312" s="81" t="s">
        <v>5201</v>
      </c>
      <c r="C2312" s="26" t="s">
        <v>37</v>
      </c>
      <c r="D2312" s="14"/>
      <c r="E2312" s="15"/>
      <c r="F2312" s="16">
        <f t="shared" si="142"/>
        <v>0</v>
      </c>
      <c r="G2312">
        <f t="shared" si="138"/>
        <v>0</v>
      </c>
    </row>
    <row r="2313" spans="1:7" hidden="1" x14ac:dyDescent="0.25">
      <c r="A2313" s="43" t="s">
        <v>5213</v>
      </c>
      <c r="B2313" s="81" t="s">
        <v>5202</v>
      </c>
      <c r="C2313" s="26" t="s">
        <v>37</v>
      </c>
      <c r="D2313" s="14"/>
      <c r="E2313" s="15"/>
      <c r="F2313" s="16">
        <f t="shared" si="142"/>
        <v>0</v>
      </c>
      <c r="G2313">
        <f t="shared" si="138"/>
        <v>0</v>
      </c>
    </row>
    <row r="2314" spans="1:7" hidden="1" x14ac:dyDescent="0.25">
      <c r="A2314" s="43" t="s">
        <v>5230</v>
      </c>
      <c r="B2314" s="81" t="s">
        <v>5231</v>
      </c>
      <c r="C2314" s="26" t="s">
        <v>37</v>
      </c>
      <c r="D2314" s="14"/>
      <c r="E2314" s="15"/>
      <c r="F2314" s="16">
        <f t="shared" si="142"/>
        <v>0</v>
      </c>
      <c r="G2314">
        <f t="shared" si="138"/>
        <v>0</v>
      </c>
    </row>
    <row r="2315" spans="1:7" hidden="1" x14ac:dyDescent="0.25">
      <c r="A2315" s="44" t="s">
        <v>5214</v>
      </c>
      <c r="B2315" s="80" t="s">
        <v>5215</v>
      </c>
      <c r="C2315" s="14"/>
      <c r="D2315" s="14"/>
      <c r="E2315" s="15"/>
      <c r="F2315" s="16"/>
      <c r="G2315">
        <f t="shared" si="138"/>
        <v>0</v>
      </c>
    </row>
    <row r="2316" spans="1:7" hidden="1" x14ac:dyDescent="0.25">
      <c r="A2316" s="43" t="s">
        <v>5223</v>
      </c>
      <c r="B2316" s="81" t="s">
        <v>5216</v>
      </c>
      <c r="C2316" s="26" t="s">
        <v>37</v>
      </c>
      <c r="D2316" s="14"/>
      <c r="E2316" s="15"/>
      <c r="F2316" s="16">
        <f t="shared" ref="F2316:F2327" si="143">+D2316*E2316</f>
        <v>0</v>
      </c>
      <c r="G2316">
        <f t="shared" si="138"/>
        <v>0</v>
      </c>
    </row>
    <row r="2317" spans="1:7" hidden="1" x14ac:dyDescent="0.25">
      <c r="A2317" s="43" t="s">
        <v>5224</v>
      </c>
      <c r="B2317" s="81" t="s">
        <v>5217</v>
      </c>
      <c r="C2317" s="26" t="s">
        <v>37</v>
      </c>
      <c r="D2317" s="14"/>
      <c r="E2317" s="15"/>
      <c r="F2317" s="16">
        <f t="shared" si="143"/>
        <v>0</v>
      </c>
      <c r="G2317">
        <f t="shared" si="138"/>
        <v>0</v>
      </c>
    </row>
    <row r="2318" spans="1:7" hidden="1" x14ac:dyDescent="0.25">
      <c r="A2318" s="43" t="s">
        <v>5225</v>
      </c>
      <c r="B2318" s="81" t="s">
        <v>5218</v>
      </c>
      <c r="C2318" s="26" t="s">
        <v>37</v>
      </c>
      <c r="D2318" s="14"/>
      <c r="E2318" s="15"/>
      <c r="F2318" s="16">
        <f t="shared" si="143"/>
        <v>0</v>
      </c>
      <c r="G2318">
        <f t="shared" si="138"/>
        <v>0</v>
      </c>
    </row>
    <row r="2319" spans="1:7" hidden="1" x14ac:dyDescent="0.25">
      <c r="A2319" s="43" t="s">
        <v>5226</v>
      </c>
      <c r="B2319" s="81" t="s">
        <v>5219</v>
      </c>
      <c r="C2319" s="26" t="s">
        <v>37</v>
      </c>
      <c r="D2319" s="14"/>
      <c r="E2319" s="15"/>
      <c r="F2319" s="16">
        <f t="shared" si="143"/>
        <v>0</v>
      </c>
      <c r="G2319">
        <f t="shared" si="138"/>
        <v>0</v>
      </c>
    </row>
    <row r="2320" spans="1:7" hidden="1" x14ac:dyDescent="0.25">
      <c r="A2320" s="43" t="s">
        <v>5227</v>
      </c>
      <c r="B2320" s="81" t="s">
        <v>5220</v>
      </c>
      <c r="C2320" s="26" t="s">
        <v>37</v>
      </c>
      <c r="D2320" s="14"/>
      <c r="E2320" s="15"/>
      <c r="F2320" s="16">
        <f t="shared" si="143"/>
        <v>0</v>
      </c>
      <c r="G2320">
        <f t="shared" si="138"/>
        <v>0</v>
      </c>
    </row>
    <row r="2321" spans="1:7" hidden="1" x14ac:dyDescent="0.25">
      <c r="A2321" s="43" t="s">
        <v>5228</v>
      </c>
      <c r="B2321" s="81" t="s">
        <v>5221</v>
      </c>
      <c r="C2321" s="26" t="s">
        <v>37</v>
      </c>
      <c r="D2321" s="14"/>
      <c r="E2321" s="15"/>
      <c r="F2321" s="16">
        <f t="shared" si="143"/>
        <v>0</v>
      </c>
      <c r="G2321">
        <f t="shared" si="138"/>
        <v>0</v>
      </c>
    </row>
    <row r="2322" spans="1:7" hidden="1" x14ac:dyDescent="0.25">
      <c r="A2322" s="43" t="s">
        <v>5229</v>
      </c>
      <c r="B2322" s="81" t="s">
        <v>5222</v>
      </c>
      <c r="C2322" s="26" t="s">
        <v>37</v>
      </c>
      <c r="D2322" s="14"/>
      <c r="E2322" s="15"/>
      <c r="F2322" s="16">
        <f t="shared" si="143"/>
        <v>0</v>
      </c>
      <c r="G2322">
        <f t="shared" si="138"/>
        <v>0</v>
      </c>
    </row>
    <row r="2323" spans="1:7" hidden="1" x14ac:dyDescent="0.25">
      <c r="A2323" s="43" t="s">
        <v>5232</v>
      </c>
      <c r="B2323" s="122" t="s">
        <v>5237</v>
      </c>
      <c r="C2323" s="26" t="s">
        <v>37</v>
      </c>
      <c r="D2323" s="14"/>
      <c r="E2323" s="15"/>
      <c r="F2323" s="16">
        <f t="shared" si="143"/>
        <v>0</v>
      </c>
      <c r="G2323">
        <f t="shared" si="138"/>
        <v>0</v>
      </c>
    </row>
    <row r="2324" spans="1:7" hidden="1" x14ac:dyDescent="0.25">
      <c r="A2324" s="43" t="s">
        <v>5233</v>
      </c>
      <c r="B2324" s="122" t="s">
        <v>5238</v>
      </c>
      <c r="C2324" s="26" t="s">
        <v>37</v>
      </c>
      <c r="D2324" s="14"/>
      <c r="E2324" s="15"/>
      <c r="F2324" s="16">
        <f t="shared" si="143"/>
        <v>0</v>
      </c>
      <c r="G2324">
        <f t="shared" si="138"/>
        <v>0</v>
      </c>
    </row>
    <row r="2325" spans="1:7" hidden="1" x14ac:dyDescent="0.25">
      <c r="A2325" s="43" t="s">
        <v>5234</v>
      </c>
      <c r="B2325" s="122" t="s">
        <v>5239</v>
      </c>
      <c r="C2325" s="26" t="s">
        <v>37</v>
      </c>
      <c r="D2325" s="14"/>
      <c r="E2325" s="15"/>
      <c r="F2325" s="16">
        <f t="shared" si="143"/>
        <v>0</v>
      </c>
      <c r="G2325">
        <f t="shared" si="138"/>
        <v>0</v>
      </c>
    </row>
    <row r="2326" spans="1:7" hidden="1" x14ac:dyDescent="0.25">
      <c r="A2326" s="43" t="s">
        <v>5235</v>
      </c>
      <c r="B2326" s="122" t="s">
        <v>5240</v>
      </c>
      <c r="C2326" s="26" t="s">
        <v>37</v>
      </c>
      <c r="D2326" s="14"/>
      <c r="E2326" s="15"/>
      <c r="F2326" s="16">
        <f t="shared" si="143"/>
        <v>0</v>
      </c>
      <c r="G2326">
        <f t="shared" si="138"/>
        <v>0</v>
      </c>
    </row>
    <row r="2327" spans="1:7" hidden="1" x14ac:dyDescent="0.25">
      <c r="A2327" s="43" t="s">
        <v>5236</v>
      </c>
      <c r="B2327" s="122" t="s">
        <v>5241</v>
      </c>
      <c r="C2327" s="26" t="s">
        <v>37</v>
      </c>
      <c r="D2327" s="14"/>
      <c r="E2327" s="15"/>
      <c r="F2327" s="16">
        <f t="shared" si="143"/>
        <v>0</v>
      </c>
      <c r="G2327">
        <f t="shared" si="138"/>
        <v>0</v>
      </c>
    </row>
    <row r="2328" spans="1:7" hidden="1" x14ac:dyDescent="0.25">
      <c r="A2328" s="44" t="s">
        <v>5242</v>
      </c>
      <c r="B2328" s="80" t="s">
        <v>5243</v>
      </c>
      <c r="C2328" s="14"/>
      <c r="D2328" s="14"/>
      <c r="E2328" s="15"/>
      <c r="F2328" s="16"/>
      <c r="G2328">
        <f t="shared" si="138"/>
        <v>0</v>
      </c>
    </row>
    <row r="2329" spans="1:7" hidden="1" x14ac:dyDescent="0.25">
      <c r="A2329" s="43" t="s">
        <v>5252</v>
      </c>
      <c r="B2329" s="81" t="s">
        <v>5246</v>
      </c>
      <c r="C2329" s="26" t="s">
        <v>37</v>
      </c>
      <c r="D2329" s="14"/>
      <c r="E2329" s="15"/>
      <c r="F2329" s="16">
        <f t="shared" ref="F2329:F2336" si="144">+D2329*E2329</f>
        <v>0</v>
      </c>
      <c r="G2329">
        <f t="shared" si="138"/>
        <v>0</v>
      </c>
    </row>
    <row r="2330" spans="1:7" hidden="1" x14ac:dyDescent="0.25">
      <c r="A2330" s="43" t="s">
        <v>5253</v>
      </c>
      <c r="B2330" s="81" t="s">
        <v>5245</v>
      </c>
      <c r="C2330" s="26" t="s">
        <v>37</v>
      </c>
      <c r="D2330" s="14"/>
      <c r="E2330" s="15"/>
      <c r="F2330" s="16">
        <f t="shared" si="144"/>
        <v>0</v>
      </c>
      <c r="G2330">
        <f t="shared" si="138"/>
        <v>0</v>
      </c>
    </row>
    <row r="2331" spans="1:7" hidden="1" x14ac:dyDescent="0.25">
      <c r="A2331" s="43" t="s">
        <v>5254</v>
      </c>
      <c r="B2331" s="81" t="s">
        <v>5244</v>
      </c>
      <c r="C2331" s="26" t="s">
        <v>37</v>
      </c>
      <c r="D2331" s="14"/>
      <c r="E2331" s="15"/>
      <c r="F2331" s="16">
        <f t="shared" si="144"/>
        <v>0</v>
      </c>
      <c r="G2331">
        <f t="shared" si="138"/>
        <v>0</v>
      </c>
    </row>
    <row r="2332" spans="1:7" hidden="1" x14ac:dyDescent="0.25">
      <c r="A2332" s="43" t="s">
        <v>5255</v>
      </c>
      <c r="B2332" s="81" t="s">
        <v>5247</v>
      </c>
      <c r="C2332" s="26" t="s">
        <v>37</v>
      </c>
      <c r="D2332" s="14"/>
      <c r="E2332" s="15"/>
      <c r="F2332" s="16">
        <f t="shared" si="144"/>
        <v>0</v>
      </c>
      <c r="G2332">
        <f t="shared" si="138"/>
        <v>0</v>
      </c>
    </row>
    <row r="2333" spans="1:7" hidden="1" x14ac:dyDescent="0.25">
      <c r="A2333" s="43" t="s">
        <v>5256</v>
      </c>
      <c r="B2333" s="81" t="s">
        <v>5248</v>
      </c>
      <c r="C2333" s="26" t="s">
        <v>37</v>
      </c>
      <c r="D2333" s="14"/>
      <c r="E2333" s="15"/>
      <c r="F2333" s="16">
        <f t="shared" si="144"/>
        <v>0</v>
      </c>
      <c r="G2333">
        <f t="shared" si="138"/>
        <v>0</v>
      </c>
    </row>
    <row r="2334" spans="1:7" hidden="1" x14ac:dyDescent="0.25">
      <c r="A2334" s="43" t="s">
        <v>5257</v>
      </c>
      <c r="B2334" s="81" t="s">
        <v>5249</v>
      </c>
      <c r="C2334" s="26" t="s">
        <v>37</v>
      </c>
      <c r="D2334" s="14"/>
      <c r="E2334" s="15"/>
      <c r="F2334" s="16">
        <f t="shared" si="144"/>
        <v>0</v>
      </c>
      <c r="G2334">
        <f t="shared" si="138"/>
        <v>0</v>
      </c>
    </row>
    <row r="2335" spans="1:7" hidden="1" x14ac:dyDescent="0.25">
      <c r="A2335" s="43" t="s">
        <v>5258</v>
      </c>
      <c r="B2335" s="81" t="s">
        <v>5250</v>
      </c>
      <c r="C2335" s="26" t="s">
        <v>37</v>
      </c>
      <c r="D2335" s="14"/>
      <c r="E2335" s="15"/>
      <c r="F2335" s="16">
        <f t="shared" si="144"/>
        <v>0</v>
      </c>
      <c r="G2335">
        <f t="shared" si="138"/>
        <v>0</v>
      </c>
    </row>
    <row r="2336" spans="1:7" hidden="1" x14ac:dyDescent="0.25">
      <c r="A2336" s="43" t="s">
        <v>5259</v>
      </c>
      <c r="B2336" s="81" t="s">
        <v>5251</v>
      </c>
      <c r="C2336" s="26" t="s">
        <v>37</v>
      </c>
      <c r="D2336" s="14"/>
      <c r="E2336" s="15"/>
      <c r="F2336" s="16">
        <f t="shared" si="144"/>
        <v>0</v>
      </c>
      <c r="G2336">
        <f t="shared" si="138"/>
        <v>0</v>
      </c>
    </row>
    <row r="2337" spans="1:7" hidden="1" x14ac:dyDescent="0.25">
      <c r="A2337" s="44" t="s">
        <v>5260</v>
      </c>
      <c r="B2337" s="80" t="s">
        <v>1037</v>
      </c>
      <c r="C2337" s="14"/>
      <c r="D2337" s="14"/>
      <c r="E2337" s="15"/>
      <c r="F2337" s="16"/>
      <c r="G2337">
        <f t="shared" si="138"/>
        <v>0</v>
      </c>
    </row>
    <row r="2338" spans="1:7" hidden="1" x14ac:dyDescent="0.25">
      <c r="A2338" s="44" t="s">
        <v>5261</v>
      </c>
      <c r="B2338" s="80" t="s">
        <v>5262</v>
      </c>
      <c r="C2338" s="14"/>
      <c r="D2338" s="14"/>
      <c r="E2338" s="15"/>
      <c r="F2338" s="16"/>
      <c r="G2338">
        <f t="shared" si="138"/>
        <v>0</v>
      </c>
    </row>
    <row r="2339" spans="1:7" hidden="1" x14ac:dyDescent="0.25">
      <c r="A2339" s="43" t="s">
        <v>5279</v>
      </c>
      <c r="B2339" s="81" t="s">
        <v>5265</v>
      </c>
      <c r="C2339" s="26" t="s">
        <v>37</v>
      </c>
      <c r="D2339" s="14"/>
      <c r="E2339" s="15"/>
      <c r="F2339" s="16">
        <f t="shared" ref="F2339:F2353" si="145">+D2339*E2339</f>
        <v>0</v>
      </c>
      <c r="G2339">
        <f t="shared" si="138"/>
        <v>0</v>
      </c>
    </row>
    <row r="2340" spans="1:7" hidden="1" x14ac:dyDescent="0.25">
      <c r="A2340" s="43" t="s">
        <v>5280</v>
      </c>
      <c r="B2340" s="81" t="s">
        <v>1040</v>
      </c>
      <c r="C2340" s="26" t="s">
        <v>37</v>
      </c>
      <c r="D2340" s="14"/>
      <c r="E2340" s="15"/>
      <c r="F2340" s="16">
        <f t="shared" si="145"/>
        <v>0</v>
      </c>
      <c r="G2340">
        <f t="shared" ref="G2340:G2403" si="146">+IF(F2340&lt;&gt;0,1,0)</f>
        <v>0</v>
      </c>
    </row>
    <row r="2341" spans="1:7" hidden="1" x14ac:dyDescent="0.25">
      <c r="A2341" s="43" t="s">
        <v>5281</v>
      </c>
      <c r="B2341" s="81" t="s">
        <v>1042</v>
      </c>
      <c r="C2341" s="26" t="s">
        <v>37</v>
      </c>
      <c r="D2341" s="14"/>
      <c r="E2341" s="15"/>
      <c r="F2341" s="16">
        <f t="shared" si="145"/>
        <v>0</v>
      </c>
      <c r="G2341">
        <f t="shared" si="146"/>
        <v>0</v>
      </c>
    </row>
    <row r="2342" spans="1:7" hidden="1" x14ac:dyDescent="0.25">
      <c r="A2342" s="43" t="s">
        <v>5282</v>
      </c>
      <c r="B2342" s="81" t="s">
        <v>5266</v>
      </c>
      <c r="C2342" s="26" t="s">
        <v>37</v>
      </c>
      <c r="D2342" s="14"/>
      <c r="E2342" s="15"/>
      <c r="F2342" s="16">
        <f t="shared" si="145"/>
        <v>0</v>
      </c>
      <c r="G2342">
        <f t="shared" si="146"/>
        <v>0</v>
      </c>
    </row>
    <row r="2343" spans="1:7" hidden="1" x14ac:dyDescent="0.25">
      <c r="A2343" s="43" t="s">
        <v>5283</v>
      </c>
      <c r="B2343" s="81" t="s">
        <v>1044</v>
      </c>
      <c r="C2343" s="26" t="s">
        <v>37</v>
      </c>
      <c r="D2343" s="14"/>
      <c r="E2343" s="15"/>
      <c r="F2343" s="16">
        <f t="shared" si="145"/>
        <v>0</v>
      </c>
      <c r="G2343">
        <f t="shared" si="146"/>
        <v>0</v>
      </c>
    </row>
    <row r="2344" spans="1:7" hidden="1" x14ac:dyDescent="0.25">
      <c r="A2344" s="43" t="s">
        <v>5284</v>
      </c>
      <c r="B2344" s="81" t="s">
        <v>5269</v>
      </c>
      <c r="C2344" s="26" t="s">
        <v>37</v>
      </c>
      <c r="D2344" s="14"/>
      <c r="E2344" s="15"/>
      <c r="F2344" s="16">
        <f t="shared" si="145"/>
        <v>0</v>
      </c>
      <c r="G2344">
        <f t="shared" si="146"/>
        <v>0</v>
      </c>
    </row>
    <row r="2345" spans="1:7" hidden="1" x14ac:dyDescent="0.25">
      <c r="A2345" s="43" t="s">
        <v>5285</v>
      </c>
      <c r="B2345" s="81" t="s">
        <v>5270</v>
      </c>
      <c r="C2345" s="26" t="s">
        <v>37</v>
      </c>
      <c r="D2345" s="14"/>
      <c r="E2345" s="15"/>
      <c r="F2345" s="16">
        <f t="shared" si="145"/>
        <v>0</v>
      </c>
      <c r="G2345">
        <f t="shared" si="146"/>
        <v>0</v>
      </c>
    </row>
    <row r="2346" spans="1:7" hidden="1" x14ac:dyDescent="0.25">
      <c r="A2346" s="43" t="s">
        <v>5286</v>
      </c>
      <c r="B2346" s="81" t="s">
        <v>5271</v>
      </c>
      <c r="C2346" s="26" t="s">
        <v>37</v>
      </c>
      <c r="D2346" s="14"/>
      <c r="E2346" s="15"/>
      <c r="F2346" s="16">
        <f t="shared" si="145"/>
        <v>0</v>
      </c>
      <c r="G2346">
        <f t="shared" si="146"/>
        <v>0</v>
      </c>
    </row>
    <row r="2347" spans="1:7" hidden="1" x14ac:dyDescent="0.25">
      <c r="A2347" s="43" t="s">
        <v>5287</v>
      </c>
      <c r="B2347" s="81" t="s">
        <v>5272</v>
      </c>
      <c r="C2347" s="26" t="s">
        <v>37</v>
      </c>
      <c r="D2347" s="14"/>
      <c r="E2347" s="15"/>
      <c r="F2347" s="16">
        <f t="shared" si="145"/>
        <v>0</v>
      </c>
      <c r="G2347">
        <f t="shared" si="146"/>
        <v>0</v>
      </c>
    </row>
    <row r="2348" spans="1:7" hidden="1" x14ac:dyDescent="0.25">
      <c r="A2348" s="43" t="s">
        <v>5288</v>
      </c>
      <c r="B2348" s="81" t="s">
        <v>5273</v>
      </c>
      <c r="C2348" s="26" t="s">
        <v>37</v>
      </c>
      <c r="D2348" s="14"/>
      <c r="E2348" s="15"/>
      <c r="F2348" s="16">
        <f t="shared" si="145"/>
        <v>0</v>
      </c>
      <c r="G2348">
        <f t="shared" si="146"/>
        <v>0</v>
      </c>
    </row>
    <row r="2349" spans="1:7" hidden="1" x14ac:dyDescent="0.25">
      <c r="A2349" s="43" t="s">
        <v>5289</v>
      </c>
      <c r="B2349" s="81" t="s">
        <v>5274</v>
      </c>
      <c r="C2349" s="26" t="s">
        <v>37</v>
      </c>
      <c r="D2349" s="14"/>
      <c r="E2349" s="15"/>
      <c r="F2349" s="16">
        <f t="shared" si="145"/>
        <v>0</v>
      </c>
      <c r="G2349">
        <f t="shared" si="146"/>
        <v>0</v>
      </c>
    </row>
    <row r="2350" spans="1:7" hidden="1" x14ac:dyDescent="0.25">
      <c r="A2350" s="43" t="s">
        <v>5290</v>
      </c>
      <c r="B2350" s="81" t="s">
        <v>5275</v>
      </c>
      <c r="C2350" s="26" t="s">
        <v>37</v>
      </c>
      <c r="D2350" s="14"/>
      <c r="E2350" s="15"/>
      <c r="F2350" s="16">
        <f t="shared" si="145"/>
        <v>0</v>
      </c>
      <c r="G2350">
        <f t="shared" si="146"/>
        <v>0</v>
      </c>
    </row>
    <row r="2351" spans="1:7" hidden="1" x14ac:dyDescent="0.25">
      <c r="A2351" s="43" t="s">
        <v>5291</v>
      </c>
      <c r="B2351" s="81" t="s">
        <v>5276</v>
      </c>
      <c r="C2351" s="26" t="s">
        <v>37</v>
      </c>
      <c r="D2351" s="14"/>
      <c r="E2351" s="15"/>
      <c r="F2351" s="16">
        <f t="shared" si="145"/>
        <v>0</v>
      </c>
      <c r="G2351">
        <f t="shared" si="146"/>
        <v>0</v>
      </c>
    </row>
    <row r="2352" spans="1:7" hidden="1" x14ac:dyDescent="0.25">
      <c r="A2352" s="43" t="s">
        <v>5292</v>
      </c>
      <c r="B2352" s="81" t="s">
        <v>5277</v>
      </c>
      <c r="C2352" s="26" t="s">
        <v>37</v>
      </c>
      <c r="D2352" s="14"/>
      <c r="E2352" s="15"/>
      <c r="F2352" s="16">
        <f t="shared" si="145"/>
        <v>0</v>
      </c>
      <c r="G2352">
        <f t="shared" si="146"/>
        <v>0</v>
      </c>
    </row>
    <row r="2353" spans="1:7" hidden="1" x14ac:dyDescent="0.25">
      <c r="A2353" s="43" t="s">
        <v>5293</v>
      </c>
      <c r="B2353" s="81" t="s">
        <v>5278</v>
      </c>
      <c r="C2353" s="26" t="s">
        <v>37</v>
      </c>
      <c r="D2353" s="14"/>
      <c r="E2353" s="15"/>
      <c r="F2353" s="16">
        <f t="shared" si="145"/>
        <v>0</v>
      </c>
      <c r="G2353">
        <f t="shared" si="146"/>
        <v>0</v>
      </c>
    </row>
    <row r="2354" spans="1:7" hidden="1" x14ac:dyDescent="0.25">
      <c r="A2354" s="44" t="s">
        <v>5267</v>
      </c>
      <c r="B2354" s="80" t="s">
        <v>5263</v>
      </c>
      <c r="C2354" s="14"/>
      <c r="D2354" s="14"/>
      <c r="E2354" s="15"/>
      <c r="F2354" s="16"/>
      <c r="G2354">
        <f t="shared" si="146"/>
        <v>0</v>
      </c>
    </row>
    <row r="2355" spans="1:7" hidden="1" x14ac:dyDescent="0.25">
      <c r="A2355" s="43" t="s">
        <v>5309</v>
      </c>
      <c r="B2355" s="81" t="s">
        <v>5294</v>
      </c>
      <c r="C2355" s="26" t="s">
        <v>37</v>
      </c>
      <c r="D2355" s="14"/>
      <c r="E2355" s="15"/>
      <c r="F2355" s="16">
        <f t="shared" ref="F2355:F2369" si="147">+D2355*E2355</f>
        <v>0</v>
      </c>
      <c r="G2355">
        <f t="shared" si="146"/>
        <v>0</v>
      </c>
    </row>
    <row r="2356" spans="1:7" hidden="1" x14ac:dyDescent="0.25">
      <c r="A2356" s="43" t="s">
        <v>1039</v>
      </c>
      <c r="B2356" s="81" t="s">
        <v>5295</v>
      </c>
      <c r="C2356" s="26" t="s">
        <v>37</v>
      </c>
      <c r="D2356" s="14"/>
      <c r="E2356" s="15"/>
      <c r="F2356" s="16">
        <f t="shared" si="147"/>
        <v>0</v>
      </c>
      <c r="G2356">
        <f t="shared" si="146"/>
        <v>0</v>
      </c>
    </row>
    <row r="2357" spans="1:7" hidden="1" x14ac:dyDescent="0.25">
      <c r="A2357" s="43" t="s">
        <v>1041</v>
      </c>
      <c r="B2357" s="81" t="s">
        <v>5296</v>
      </c>
      <c r="C2357" s="26" t="s">
        <v>37</v>
      </c>
      <c r="D2357" s="14"/>
      <c r="E2357" s="15"/>
      <c r="F2357" s="16">
        <f t="shared" si="147"/>
        <v>0</v>
      </c>
      <c r="G2357">
        <f t="shared" si="146"/>
        <v>0</v>
      </c>
    </row>
    <row r="2358" spans="1:7" hidden="1" x14ac:dyDescent="0.25">
      <c r="A2358" s="43" t="s">
        <v>1043</v>
      </c>
      <c r="B2358" s="81" t="s">
        <v>5297</v>
      </c>
      <c r="C2358" s="26" t="s">
        <v>37</v>
      </c>
      <c r="D2358" s="14"/>
      <c r="E2358" s="15"/>
      <c r="F2358" s="16">
        <f t="shared" si="147"/>
        <v>0</v>
      </c>
      <c r="G2358">
        <f t="shared" si="146"/>
        <v>0</v>
      </c>
    </row>
    <row r="2359" spans="1:7" hidden="1" x14ac:dyDescent="0.25">
      <c r="A2359" s="43" t="s">
        <v>5310</v>
      </c>
      <c r="B2359" s="81" t="s">
        <v>5298</v>
      </c>
      <c r="C2359" s="26" t="s">
        <v>37</v>
      </c>
      <c r="D2359" s="14"/>
      <c r="E2359" s="15"/>
      <c r="F2359" s="16">
        <f t="shared" si="147"/>
        <v>0</v>
      </c>
      <c r="G2359">
        <f t="shared" si="146"/>
        <v>0</v>
      </c>
    </row>
    <row r="2360" spans="1:7" hidden="1" x14ac:dyDescent="0.25">
      <c r="A2360" s="43" t="s">
        <v>5311</v>
      </c>
      <c r="B2360" s="81" t="s">
        <v>5299</v>
      </c>
      <c r="C2360" s="26" t="s">
        <v>37</v>
      </c>
      <c r="D2360" s="14"/>
      <c r="E2360" s="15"/>
      <c r="F2360" s="16">
        <f t="shared" si="147"/>
        <v>0</v>
      </c>
      <c r="G2360">
        <f t="shared" si="146"/>
        <v>0</v>
      </c>
    </row>
    <row r="2361" spans="1:7" hidden="1" x14ac:dyDescent="0.25">
      <c r="A2361" s="43" t="s">
        <v>5312</v>
      </c>
      <c r="B2361" s="81" t="s">
        <v>5300</v>
      </c>
      <c r="C2361" s="26" t="s">
        <v>37</v>
      </c>
      <c r="D2361" s="14"/>
      <c r="E2361" s="15"/>
      <c r="F2361" s="16">
        <f t="shared" si="147"/>
        <v>0</v>
      </c>
      <c r="G2361">
        <f t="shared" si="146"/>
        <v>0</v>
      </c>
    </row>
    <row r="2362" spans="1:7" hidden="1" x14ac:dyDescent="0.25">
      <c r="A2362" s="43" t="s">
        <v>5313</v>
      </c>
      <c r="B2362" s="81" t="s">
        <v>5301</v>
      </c>
      <c r="C2362" s="26" t="s">
        <v>37</v>
      </c>
      <c r="D2362" s="14"/>
      <c r="E2362" s="15"/>
      <c r="F2362" s="16">
        <f t="shared" si="147"/>
        <v>0</v>
      </c>
      <c r="G2362">
        <f t="shared" si="146"/>
        <v>0</v>
      </c>
    </row>
    <row r="2363" spans="1:7" hidden="1" x14ac:dyDescent="0.25">
      <c r="A2363" s="43" t="s">
        <v>5314</v>
      </c>
      <c r="B2363" s="81" t="s">
        <v>5302</v>
      </c>
      <c r="C2363" s="26" t="s">
        <v>37</v>
      </c>
      <c r="D2363" s="14"/>
      <c r="E2363" s="15"/>
      <c r="F2363" s="16">
        <f t="shared" si="147"/>
        <v>0</v>
      </c>
      <c r="G2363">
        <f t="shared" si="146"/>
        <v>0</v>
      </c>
    </row>
    <row r="2364" spans="1:7" hidden="1" x14ac:dyDescent="0.25">
      <c r="A2364" s="43" t="s">
        <v>5315</v>
      </c>
      <c r="B2364" s="81" t="s">
        <v>5303</v>
      </c>
      <c r="C2364" s="26" t="s">
        <v>37</v>
      </c>
      <c r="D2364" s="14"/>
      <c r="E2364" s="15"/>
      <c r="F2364" s="16">
        <f t="shared" si="147"/>
        <v>0</v>
      </c>
      <c r="G2364">
        <f t="shared" si="146"/>
        <v>0</v>
      </c>
    </row>
    <row r="2365" spans="1:7" hidden="1" x14ac:dyDescent="0.25">
      <c r="A2365" s="43" t="s">
        <v>5316</v>
      </c>
      <c r="B2365" s="81" t="s">
        <v>5304</v>
      </c>
      <c r="C2365" s="26" t="s">
        <v>37</v>
      </c>
      <c r="D2365" s="14"/>
      <c r="E2365" s="15"/>
      <c r="F2365" s="16">
        <f t="shared" si="147"/>
        <v>0</v>
      </c>
      <c r="G2365">
        <f t="shared" si="146"/>
        <v>0</v>
      </c>
    </row>
    <row r="2366" spans="1:7" hidden="1" x14ac:dyDescent="0.25">
      <c r="A2366" s="43" t="s">
        <v>5317</v>
      </c>
      <c r="B2366" s="81" t="s">
        <v>5305</v>
      </c>
      <c r="C2366" s="26" t="s">
        <v>37</v>
      </c>
      <c r="D2366" s="14"/>
      <c r="E2366" s="15"/>
      <c r="F2366" s="16">
        <f t="shared" si="147"/>
        <v>0</v>
      </c>
      <c r="G2366">
        <f t="shared" si="146"/>
        <v>0</v>
      </c>
    </row>
    <row r="2367" spans="1:7" hidden="1" x14ac:dyDescent="0.25">
      <c r="A2367" s="43" t="s">
        <v>5318</v>
      </c>
      <c r="B2367" s="81" t="s">
        <v>5306</v>
      </c>
      <c r="C2367" s="26" t="s">
        <v>37</v>
      </c>
      <c r="D2367" s="14"/>
      <c r="E2367" s="15"/>
      <c r="F2367" s="16">
        <f t="shared" si="147"/>
        <v>0</v>
      </c>
      <c r="G2367">
        <f t="shared" si="146"/>
        <v>0</v>
      </c>
    </row>
    <row r="2368" spans="1:7" hidden="1" x14ac:dyDescent="0.25">
      <c r="A2368" s="43" t="s">
        <v>5319</v>
      </c>
      <c r="B2368" s="81" t="s">
        <v>5307</v>
      </c>
      <c r="C2368" s="26" t="s">
        <v>37</v>
      </c>
      <c r="D2368" s="14"/>
      <c r="E2368" s="15"/>
      <c r="F2368" s="16">
        <f t="shared" si="147"/>
        <v>0</v>
      </c>
      <c r="G2368">
        <f t="shared" si="146"/>
        <v>0</v>
      </c>
    </row>
    <row r="2369" spans="1:7" hidden="1" x14ac:dyDescent="0.25">
      <c r="A2369" s="43" t="s">
        <v>5320</v>
      </c>
      <c r="B2369" s="81" t="s">
        <v>5308</v>
      </c>
      <c r="C2369" s="26" t="s">
        <v>37</v>
      </c>
      <c r="D2369" s="14"/>
      <c r="E2369" s="15"/>
      <c r="F2369" s="16">
        <f t="shared" si="147"/>
        <v>0</v>
      </c>
      <c r="G2369">
        <f t="shared" si="146"/>
        <v>0</v>
      </c>
    </row>
    <row r="2370" spans="1:7" hidden="1" x14ac:dyDescent="0.25">
      <c r="A2370" s="44" t="s">
        <v>5268</v>
      </c>
      <c r="B2370" s="80" t="s">
        <v>1046</v>
      </c>
      <c r="C2370" s="14"/>
      <c r="D2370" s="14"/>
      <c r="E2370" s="15"/>
      <c r="F2370" s="16"/>
      <c r="G2370">
        <f t="shared" si="146"/>
        <v>0</v>
      </c>
    </row>
    <row r="2371" spans="1:7" hidden="1" x14ac:dyDescent="0.25">
      <c r="A2371" s="43" t="s">
        <v>5324</v>
      </c>
      <c r="B2371" s="81" t="s">
        <v>1047</v>
      </c>
      <c r="C2371" s="14" t="s">
        <v>37</v>
      </c>
      <c r="D2371" s="14"/>
      <c r="E2371" s="15"/>
      <c r="F2371" s="16">
        <f t="shared" ref="F2371:F2381" si="148">+D2371*E2371</f>
        <v>0</v>
      </c>
      <c r="G2371">
        <f t="shared" si="146"/>
        <v>0</v>
      </c>
    </row>
    <row r="2372" spans="1:7" hidden="1" x14ac:dyDescent="0.25">
      <c r="A2372" s="43" t="s">
        <v>5325</v>
      </c>
      <c r="B2372" s="81" t="s">
        <v>5321</v>
      </c>
      <c r="C2372" s="14" t="s">
        <v>14</v>
      </c>
      <c r="D2372" s="14"/>
      <c r="E2372" s="15"/>
      <c r="F2372" s="16">
        <f t="shared" si="148"/>
        <v>0</v>
      </c>
      <c r="G2372">
        <f t="shared" si="146"/>
        <v>0</v>
      </c>
    </row>
    <row r="2373" spans="1:7" hidden="1" x14ac:dyDescent="0.25">
      <c r="A2373" s="43" t="s">
        <v>5326</v>
      </c>
      <c r="B2373" s="81" t="s">
        <v>1048</v>
      </c>
      <c r="C2373" s="14" t="s">
        <v>14</v>
      </c>
      <c r="D2373" s="14"/>
      <c r="E2373" s="15"/>
      <c r="F2373" s="16">
        <f t="shared" si="148"/>
        <v>0</v>
      </c>
      <c r="G2373">
        <f t="shared" si="146"/>
        <v>0</v>
      </c>
    </row>
    <row r="2374" spans="1:7" hidden="1" x14ac:dyDescent="0.25">
      <c r="A2374" s="43" t="s">
        <v>5327</v>
      </c>
      <c r="B2374" s="81" t="s">
        <v>1049</v>
      </c>
      <c r="C2374" s="14" t="s">
        <v>14</v>
      </c>
      <c r="D2374" s="14"/>
      <c r="E2374" s="15"/>
      <c r="F2374" s="16">
        <f t="shared" si="148"/>
        <v>0</v>
      </c>
      <c r="G2374">
        <f t="shared" si="146"/>
        <v>0</v>
      </c>
    </row>
    <row r="2375" spans="1:7" hidden="1" x14ac:dyDescent="0.25">
      <c r="A2375" s="43" t="s">
        <v>5328</v>
      </c>
      <c r="B2375" s="81" t="s">
        <v>1050</v>
      </c>
      <c r="C2375" s="14" t="s">
        <v>14</v>
      </c>
      <c r="D2375" s="14"/>
      <c r="E2375" s="15"/>
      <c r="F2375" s="16">
        <f t="shared" si="148"/>
        <v>0</v>
      </c>
      <c r="G2375">
        <f t="shared" si="146"/>
        <v>0</v>
      </c>
    </row>
    <row r="2376" spans="1:7" hidden="1" x14ac:dyDescent="0.25">
      <c r="A2376" s="43" t="s">
        <v>5329</v>
      </c>
      <c r="B2376" s="81" t="s">
        <v>1051</v>
      </c>
      <c r="C2376" s="14" t="s">
        <v>37</v>
      </c>
      <c r="D2376" s="14"/>
      <c r="E2376" s="15"/>
      <c r="F2376" s="16">
        <f t="shared" si="148"/>
        <v>0</v>
      </c>
      <c r="G2376">
        <f t="shared" si="146"/>
        <v>0</v>
      </c>
    </row>
    <row r="2377" spans="1:7" hidden="1" x14ac:dyDescent="0.25">
      <c r="A2377" s="43" t="s">
        <v>5330</v>
      </c>
      <c r="B2377" s="81" t="s">
        <v>1052</v>
      </c>
      <c r="C2377" s="14" t="s">
        <v>37</v>
      </c>
      <c r="D2377" s="14"/>
      <c r="E2377" s="15"/>
      <c r="F2377" s="16">
        <f t="shared" si="148"/>
        <v>0</v>
      </c>
      <c r="G2377">
        <f t="shared" si="146"/>
        <v>0</v>
      </c>
    </row>
    <row r="2378" spans="1:7" hidden="1" x14ac:dyDescent="0.25">
      <c r="A2378" s="43" t="s">
        <v>5331</v>
      </c>
      <c r="B2378" s="81" t="s">
        <v>5323</v>
      </c>
      <c r="C2378" s="14" t="s">
        <v>37</v>
      </c>
      <c r="D2378" s="14"/>
      <c r="E2378" s="15"/>
      <c r="F2378" s="16">
        <f t="shared" si="148"/>
        <v>0</v>
      </c>
      <c r="G2378">
        <f t="shared" si="146"/>
        <v>0</v>
      </c>
    </row>
    <row r="2379" spans="1:7" hidden="1" x14ac:dyDescent="0.25">
      <c r="A2379" s="43" t="s">
        <v>5332</v>
      </c>
      <c r="B2379" s="81" t="s">
        <v>5264</v>
      </c>
      <c r="C2379" s="14" t="s">
        <v>37</v>
      </c>
      <c r="D2379" s="14"/>
      <c r="E2379" s="15"/>
      <c r="F2379" s="16">
        <f t="shared" si="148"/>
        <v>0</v>
      </c>
      <c r="G2379">
        <f t="shared" si="146"/>
        <v>0</v>
      </c>
    </row>
    <row r="2380" spans="1:7" hidden="1" x14ac:dyDescent="0.25">
      <c r="A2380" s="43" t="s">
        <v>5333</v>
      </c>
      <c r="B2380" s="81" t="s">
        <v>1053</v>
      </c>
      <c r="C2380" s="14" t="s">
        <v>37</v>
      </c>
      <c r="D2380" s="14"/>
      <c r="E2380" s="15"/>
      <c r="F2380" s="16">
        <f t="shared" si="148"/>
        <v>0</v>
      </c>
      <c r="G2380">
        <f t="shared" si="146"/>
        <v>0</v>
      </c>
    </row>
    <row r="2381" spans="1:7" hidden="1" x14ac:dyDescent="0.25">
      <c r="A2381" s="43" t="s">
        <v>5334</v>
      </c>
      <c r="B2381" s="81" t="s">
        <v>5322</v>
      </c>
      <c r="C2381" s="14" t="s">
        <v>37</v>
      </c>
      <c r="D2381" s="14"/>
      <c r="E2381" s="15"/>
      <c r="F2381" s="16">
        <f t="shared" si="148"/>
        <v>0</v>
      </c>
      <c r="G2381">
        <f t="shared" si="146"/>
        <v>0</v>
      </c>
    </row>
    <row r="2382" spans="1:7" hidden="1" x14ac:dyDescent="0.25">
      <c r="A2382" s="44" t="s">
        <v>1061</v>
      </c>
      <c r="B2382" s="80" t="s">
        <v>5335</v>
      </c>
      <c r="C2382" s="14"/>
      <c r="D2382" s="14"/>
      <c r="E2382" s="15"/>
      <c r="F2382" s="16"/>
      <c r="G2382">
        <f t="shared" si="146"/>
        <v>0</v>
      </c>
    </row>
    <row r="2383" spans="1:7" hidden="1" x14ac:dyDescent="0.25">
      <c r="A2383" s="43" t="s">
        <v>1062</v>
      </c>
      <c r="B2383" s="81" t="s">
        <v>5369</v>
      </c>
      <c r="C2383" s="26" t="s">
        <v>37</v>
      </c>
      <c r="D2383" s="14"/>
      <c r="E2383" s="15"/>
      <c r="F2383" s="16">
        <f t="shared" ref="F2383:F2394" si="149">+D2383*E2383</f>
        <v>0</v>
      </c>
      <c r="G2383">
        <f t="shared" si="146"/>
        <v>0</v>
      </c>
    </row>
    <row r="2384" spans="1:7" hidden="1" x14ac:dyDescent="0.25">
      <c r="A2384" s="43" t="s">
        <v>1063</v>
      </c>
      <c r="B2384" s="81" t="s">
        <v>5336</v>
      </c>
      <c r="C2384" s="26" t="s">
        <v>37</v>
      </c>
      <c r="D2384" s="14"/>
      <c r="E2384" s="15"/>
      <c r="F2384" s="16">
        <f t="shared" si="149"/>
        <v>0</v>
      </c>
      <c r="G2384">
        <f t="shared" si="146"/>
        <v>0</v>
      </c>
    </row>
    <row r="2385" spans="1:7" hidden="1" x14ac:dyDescent="0.25">
      <c r="A2385" s="43" t="s">
        <v>5343</v>
      </c>
      <c r="B2385" s="81" t="s">
        <v>5337</v>
      </c>
      <c r="C2385" s="26" t="s">
        <v>37</v>
      </c>
      <c r="D2385" s="14"/>
      <c r="E2385" s="15"/>
      <c r="F2385" s="16">
        <f t="shared" si="149"/>
        <v>0</v>
      </c>
      <c r="G2385">
        <f t="shared" si="146"/>
        <v>0</v>
      </c>
    </row>
    <row r="2386" spans="1:7" hidden="1" x14ac:dyDescent="0.25">
      <c r="A2386" s="43" t="s">
        <v>5344</v>
      </c>
      <c r="B2386" s="81" t="s">
        <v>5338</v>
      </c>
      <c r="C2386" s="26" t="s">
        <v>37</v>
      </c>
      <c r="D2386" s="14"/>
      <c r="E2386" s="15"/>
      <c r="F2386" s="16">
        <f t="shared" si="149"/>
        <v>0</v>
      </c>
      <c r="G2386">
        <f t="shared" si="146"/>
        <v>0</v>
      </c>
    </row>
    <row r="2387" spans="1:7" hidden="1" x14ac:dyDescent="0.25">
      <c r="A2387" s="43" t="s">
        <v>5345</v>
      </c>
      <c r="B2387" s="81" t="s">
        <v>5339</v>
      </c>
      <c r="C2387" s="26" t="s">
        <v>37</v>
      </c>
      <c r="D2387" s="14"/>
      <c r="E2387" s="15"/>
      <c r="F2387" s="16">
        <f t="shared" si="149"/>
        <v>0</v>
      </c>
      <c r="G2387">
        <f t="shared" si="146"/>
        <v>0</v>
      </c>
    </row>
    <row r="2388" spans="1:7" hidden="1" x14ac:dyDescent="0.25">
      <c r="A2388" s="43" t="s">
        <v>5346</v>
      </c>
      <c r="B2388" s="81" t="s">
        <v>5340</v>
      </c>
      <c r="C2388" s="26" t="s">
        <v>37</v>
      </c>
      <c r="D2388" s="14"/>
      <c r="E2388" s="15"/>
      <c r="F2388" s="16">
        <f t="shared" si="149"/>
        <v>0</v>
      </c>
      <c r="G2388">
        <f t="shared" si="146"/>
        <v>0</v>
      </c>
    </row>
    <row r="2389" spans="1:7" hidden="1" x14ac:dyDescent="0.25">
      <c r="A2389" s="43" t="s">
        <v>5347</v>
      </c>
      <c r="B2389" s="81" t="s">
        <v>5341</v>
      </c>
      <c r="C2389" s="26" t="s">
        <v>37</v>
      </c>
      <c r="D2389" s="14"/>
      <c r="E2389" s="15"/>
      <c r="F2389" s="16">
        <f t="shared" si="149"/>
        <v>0</v>
      </c>
      <c r="G2389">
        <f t="shared" si="146"/>
        <v>0</v>
      </c>
    </row>
    <row r="2390" spans="1:7" hidden="1" x14ac:dyDescent="0.25">
      <c r="A2390" s="43" t="s">
        <v>5374</v>
      </c>
      <c r="B2390" s="81" t="s">
        <v>5342</v>
      </c>
      <c r="C2390" s="26" t="s">
        <v>37</v>
      </c>
      <c r="D2390" s="14"/>
      <c r="E2390" s="15"/>
      <c r="F2390" s="16">
        <f t="shared" si="149"/>
        <v>0</v>
      </c>
      <c r="G2390">
        <f t="shared" si="146"/>
        <v>0</v>
      </c>
    </row>
    <row r="2391" spans="1:7" hidden="1" x14ac:dyDescent="0.25">
      <c r="A2391" s="43" t="s">
        <v>5375</v>
      </c>
      <c r="B2391" s="81" t="s">
        <v>5370</v>
      </c>
      <c r="C2391" s="26" t="s">
        <v>37</v>
      </c>
      <c r="D2391" s="14"/>
      <c r="E2391" s="15"/>
      <c r="F2391" s="16">
        <f t="shared" si="149"/>
        <v>0</v>
      </c>
      <c r="G2391">
        <f t="shared" si="146"/>
        <v>0</v>
      </c>
    </row>
    <row r="2392" spans="1:7" hidden="1" x14ac:dyDescent="0.25">
      <c r="A2392" s="43" t="s">
        <v>5376</v>
      </c>
      <c r="B2392" s="81" t="s">
        <v>5371</v>
      </c>
      <c r="C2392" s="26" t="s">
        <v>37</v>
      </c>
      <c r="D2392" s="14"/>
      <c r="E2392" s="15"/>
      <c r="F2392" s="16">
        <f t="shared" si="149"/>
        <v>0</v>
      </c>
      <c r="G2392">
        <f t="shared" si="146"/>
        <v>0</v>
      </c>
    </row>
    <row r="2393" spans="1:7" hidden="1" x14ac:dyDescent="0.25">
      <c r="A2393" s="43" t="s">
        <v>5377</v>
      </c>
      <c r="B2393" s="81" t="s">
        <v>5372</v>
      </c>
      <c r="C2393" s="26" t="s">
        <v>37</v>
      </c>
      <c r="D2393" s="14"/>
      <c r="E2393" s="15"/>
      <c r="F2393" s="16">
        <f t="shared" si="149"/>
        <v>0</v>
      </c>
      <c r="G2393">
        <f t="shared" si="146"/>
        <v>0</v>
      </c>
    </row>
    <row r="2394" spans="1:7" hidden="1" x14ac:dyDescent="0.25">
      <c r="A2394" s="43" t="s">
        <v>5378</v>
      </c>
      <c r="B2394" s="81" t="s">
        <v>5373</v>
      </c>
      <c r="C2394" s="26" t="s">
        <v>37</v>
      </c>
      <c r="D2394" s="14"/>
      <c r="E2394" s="15"/>
      <c r="F2394" s="16">
        <f t="shared" si="149"/>
        <v>0</v>
      </c>
      <c r="G2394">
        <f t="shared" si="146"/>
        <v>0</v>
      </c>
    </row>
    <row r="2395" spans="1:7" hidden="1" x14ac:dyDescent="0.25">
      <c r="A2395" s="44" t="s">
        <v>5348</v>
      </c>
      <c r="B2395" s="80" t="s">
        <v>563</v>
      </c>
      <c r="C2395" s="14"/>
      <c r="D2395" s="14"/>
      <c r="E2395" s="15"/>
      <c r="F2395" s="16"/>
      <c r="G2395">
        <f t="shared" si="146"/>
        <v>0</v>
      </c>
    </row>
    <row r="2396" spans="1:7" hidden="1" x14ac:dyDescent="0.25">
      <c r="A2396" s="44" t="s">
        <v>5349</v>
      </c>
      <c r="B2396" s="80" t="s">
        <v>5350</v>
      </c>
      <c r="C2396" s="14"/>
      <c r="D2396" s="14"/>
      <c r="E2396" s="15"/>
      <c r="F2396" s="16"/>
      <c r="G2396">
        <f t="shared" si="146"/>
        <v>0</v>
      </c>
    </row>
    <row r="2397" spans="1:7" hidden="1" x14ac:dyDescent="0.25">
      <c r="A2397" s="43" t="s">
        <v>5356</v>
      </c>
      <c r="B2397" s="81" t="s">
        <v>5351</v>
      </c>
      <c r="C2397" s="14" t="s">
        <v>37</v>
      </c>
      <c r="D2397" s="14"/>
      <c r="E2397" s="15"/>
      <c r="F2397" s="16">
        <f>+D2397*E2397</f>
        <v>0</v>
      </c>
      <c r="G2397">
        <f t="shared" si="146"/>
        <v>0</v>
      </c>
    </row>
    <row r="2398" spans="1:7" hidden="1" x14ac:dyDescent="0.25">
      <c r="A2398" s="43" t="s">
        <v>5357</v>
      </c>
      <c r="B2398" s="81" t="s">
        <v>5352</v>
      </c>
      <c r="C2398" s="14" t="s">
        <v>37</v>
      </c>
      <c r="D2398" s="14"/>
      <c r="E2398" s="15"/>
      <c r="F2398" s="16">
        <f>+D2398*E2398</f>
        <v>0</v>
      </c>
      <c r="G2398">
        <f t="shared" si="146"/>
        <v>0</v>
      </c>
    </row>
    <row r="2399" spans="1:7" hidden="1" x14ac:dyDescent="0.25">
      <c r="A2399" s="43" t="s">
        <v>5358</v>
      </c>
      <c r="B2399" s="81" t="s">
        <v>5353</v>
      </c>
      <c r="C2399" s="14" t="s">
        <v>37</v>
      </c>
      <c r="D2399" s="14"/>
      <c r="E2399" s="15"/>
      <c r="F2399" s="16">
        <f>+D2399*E2399</f>
        <v>0</v>
      </c>
      <c r="G2399">
        <f t="shared" si="146"/>
        <v>0</v>
      </c>
    </row>
    <row r="2400" spans="1:7" hidden="1" x14ac:dyDescent="0.25">
      <c r="A2400" s="43" t="s">
        <v>5359</v>
      </c>
      <c r="B2400" s="81" t="s">
        <v>5354</v>
      </c>
      <c r="C2400" s="14" t="s">
        <v>37</v>
      </c>
      <c r="D2400" s="14"/>
      <c r="E2400" s="15"/>
      <c r="F2400" s="16">
        <f>+D2400*E2400</f>
        <v>0</v>
      </c>
      <c r="G2400">
        <f t="shared" si="146"/>
        <v>0</v>
      </c>
    </row>
    <row r="2401" spans="1:7" hidden="1" x14ac:dyDescent="0.25">
      <c r="A2401" s="43" t="s">
        <v>5360</v>
      </c>
      <c r="B2401" s="81" t="s">
        <v>5355</v>
      </c>
      <c r="C2401" s="14" t="s">
        <v>37</v>
      </c>
      <c r="D2401" s="14"/>
      <c r="E2401" s="15"/>
      <c r="F2401" s="16">
        <f>+D2401*E2401</f>
        <v>0</v>
      </c>
      <c r="G2401">
        <f t="shared" si="146"/>
        <v>0</v>
      </c>
    </row>
    <row r="2402" spans="1:7" hidden="1" x14ac:dyDescent="0.25">
      <c r="A2402" s="44" t="s">
        <v>5349</v>
      </c>
      <c r="B2402" s="80" t="s">
        <v>5361</v>
      </c>
      <c r="C2402" s="14"/>
      <c r="D2402" s="14"/>
      <c r="E2402" s="15"/>
      <c r="F2402" s="16"/>
      <c r="G2402">
        <f t="shared" si="146"/>
        <v>0</v>
      </c>
    </row>
    <row r="2403" spans="1:7" hidden="1" x14ac:dyDescent="0.25">
      <c r="A2403" s="43" t="s">
        <v>5363</v>
      </c>
      <c r="B2403" s="81" t="s">
        <v>5351</v>
      </c>
      <c r="C2403" s="14" t="s">
        <v>37</v>
      </c>
      <c r="D2403" s="14"/>
      <c r="E2403" s="15"/>
      <c r="F2403" s="16">
        <f>+D2403*E2403</f>
        <v>0</v>
      </c>
      <c r="G2403">
        <f t="shared" si="146"/>
        <v>0</v>
      </c>
    </row>
    <row r="2404" spans="1:7" hidden="1" x14ac:dyDescent="0.25">
      <c r="A2404" s="43" t="s">
        <v>5364</v>
      </c>
      <c r="B2404" s="81" t="s">
        <v>5352</v>
      </c>
      <c r="C2404" s="14" t="s">
        <v>37</v>
      </c>
      <c r="D2404" s="14"/>
      <c r="E2404" s="15"/>
      <c r="F2404" s="16">
        <f>+D2404*E2404</f>
        <v>0</v>
      </c>
      <c r="G2404">
        <f t="shared" ref="G2404:G2426" si="150">+IF(F2404&lt;&gt;0,1,0)</f>
        <v>0</v>
      </c>
    </row>
    <row r="2405" spans="1:7" hidden="1" x14ac:dyDescent="0.25">
      <c r="A2405" s="43" t="s">
        <v>5365</v>
      </c>
      <c r="B2405" s="81" t="s">
        <v>5353</v>
      </c>
      <c r="C2405" s="14" t="s">
        <v>37</v>
      </c>
      <c r="D2405" s="14"/>
      <c r="E2405" s="15"/>
      <c r="F2405" s="16">
        <f>+D2405*E2405</f>
        <v>0</v>
      </c>
      <c r="G2405">
        <f t="shared" si="150"/>
        <v>0</v>
      </c>
    </row>
    <row r="2406" spans="1:7" hidden="1" x14ac:dyDescent="0.25">
      <c r="A2406" s="43" t="s">
        <v>4659</v>
      </c>
      <c r="B2406" s="80" t="s">
        <v>5362</v>
      </c>
      <c r="C2406" s="14"/>
      <c r="D2406" s="14"/>
      <c r="E2406" s="15"/>
      <c r="F2406" s="16"/>
      <c r="G2406">
        <f t="shared" si="150"/>
        <v>0</v>
      </c>
    </row>
    <row r="2407" spans="1:7" hidden="1" x14ac:dyDescent="0.25">
      <c r="A2407" s="43" t="s">
        <v>5366</v>
      </c>
      <c r="B2407" s="81" t="s">
        <v>5351</v>
      </c>
      <c r="C2407" s="14" t="s">
        <v>37</v>
      </c>
      <c r="D2407" s="14"/>
      <c r="E2407" s="15"/>
      <c r="F2407" s="16">
        <f>+D2407*E2407</f>
        <v>0</v>
      </c>
      <c r="G2407">
        <f t="shared" si="150"/>
        <v>0</v>
      </c>
    </row>
    <row r="2408" spans="1:7" hidden="1" x14ac:dyDescent="0.25">
      <c r="A2408" s="43" t="s">
        <v>5367</v>
      </c>
      <c r="B2408" s="81" t="s">
        <v>5352</v>
      </c>
      <c r="C2408" s="14" t="s">
        <v>37</v>
      </c>
      <c r="D2408" s="14"/>
      <c r="E2408" s="15"/>
      <c r="F2408" s="16">
        <f>+D2408*E2408</f>
        <v>0</v>
      </c>
      <c r="G2408">
        <f t="shared" si="150"/>
        <v>0</v>
      </c>
    </row>
    <row r="2409" spans="1:7" hidden="1" x14ac:dyDescent="0.25">
      <c r="A2409" s="43" t="s">
        <v>5368</v>
      </c>
      <c r="B2409" s="81" t="s">
        <v>5353</v>
      </c>
      <c r="C2409" s="14" t="s">
        <v>37</v>
      </c>
      <c r="D2409" s="14"/>
      <c r="E2409" s="15"/>
      <c r="F2409" s="16">
        <f>+D2409*E2409</f>
        <v>0</v>
      </c>
      <c r="G2409">
        <f t="shared" si="150"/>
        <v>0</v>
      </c>
    </row>
    <row r="2410" spans="1:7" x14ac:dyDescent="0.25">
      <c r="A2410" s="306" t="s">
        <v>5387</v>
      </c>
      <c r="B2410" s="307" t="s">
        <v>4723</v>
      </c>
      <c r="C2410" s="308"/>
      <c r="D2410" s="14"/>
      <c r="E2410" s="15"/>
      <c r="F2410" s="16"/>
      <c r="G2410">
        <v>1</v>
      </c>
    </row>
    <row r="2411" spans="1:7" hidden="1" x14ac:dyDescent="0.25">
      <c r="A2411" s="313" t="s">
        <v>5389</v>
      </c>
      <c r="B2411" s="123" t="s">
        <v>4725</v>
      </c>
      <c r="C2411" s="308" t="s">
        <v>37</v>
      </c>
      <c r="D2411" s="14"/>
      <c r="E2411" s="15">
        <f>+SUM!H2408</f>
        <v>806802</v>
      </c>
      <c r="F2411" s="16"/>
      <c r="G2411">
        <f t="shared" si="150"/>
        <v>0</v>
      </c>
    </row>
    <row r="2412" spans="1:7" x14ac:dyDescent="0.25">
      <c r="A2412" s="313" t="s">
        <v>5717</v>
      </c>
      <c r="B2412" s="123" t="s">
        <v>4724</v>
      </c>
      <c r="C2412" s="308" t="s">
        <v>37</v>
      </c>
      <c r="D2412" s="14">
        <v>3</v>
      </c>
      <c r="E2412" s="15">
        <f>+SUM!H2409</f>
        <v>677604</v>
      </c>
      <c r="F2412" s="16">
        <f>+D2412*E2412</f>
        <v>2032812</v>
      </c>
      <c r="G2412">
        <f t="shared" si="150"/>
        <v>1</v>
      </c>
    </row>
    <row r="2413" spans="1:7" hidden="1" x14ac:dyDescent="0.25">
      <c r="A2413" s="313" t="s">
        <v>5718</v>
      </c>
      <c r="B2413" s="123" t="s">
        <v>4726</v>
      </c>
      <c r="C2413" s="308" t="s">
        <v>37</v>
      </c>
      <c r="D2413" s="14"/>
      <c r="E2413" s="15">
        <f>+SUM!H2411</f>
        <v>328494</v>
      </c>
      <c r="F2413" s="16"/>
      <c r="G2413">
        <f t="shared" si="150"/>
        <v>0</v>
      </c>
    </row>
    <row r="2414" spans="1:7" hidden="1" x14ac:dyDescent="0.25">
      <c r="A2414" s="313" t="s">
        <v>5719</v>
      </c>
      <c r="B2414" s="123" t="s">
        <v>4727</v>
      </c>
      <c r="C2414" s="308" t="s">
        <v>37</v>
      </c>
      <c r="D2414" s="14"/>
      <c r="E2414" s="15">
        <f>+SUM!H2412</f>
        <v>173181</v>
      </c>
      <c r="F2414" s="16"/>
      <c r="G2414">
        <f t="shared" si="150"/>
        <v>0</v>
      </c>
    </row>
    <row r="2415" spans="1:7" hidden="1" x14ac:dyDescent="0.25">
      <c r="A2415" s="313" t="s">
        <v>5720</v>
      </c>
      <c r="B2415" s="123" t="s">
        <v>4728</v>
      </c>
      <c r="C2415" s="308" t="s">
        <v>37</v>
      </c>
      <c r="D2415" s="14"/>
      <c r="E2415" s="15">
        <f>+SUM!H2413</f>
        <v>148441</v>
      </c>
      <c r="F2415" s="16"/>
      <c r="G2415">
        <f t="shared" si="150"/>
        <v>0</v>
      </c>
    </row>
    <row r="2416" spans="1:7" hidden="1" x14ac:dyDescent="0.25">
      <c r="A2416" s="313" t="s">
        <v>5721</v>
      </c>
      <c r="B2416" s="123" t="s">
        <v>4729</v>
      </c>
      <c r="C2416" s="308" t="s">
        <v>37</v>
      </c>
      <c r="D2416" s="14"/>
      <c r="E2416" s="15">
        <f>+SUM!H2416</f>
        <v>175930</v>
      </c>
      <c r="F2416" s="16"/>
      <c r="G2416">
        <f t="shared" si="150"/>
        <v>0</v>
      </c>
    </row>
    <row r="2417" spans="1:7" hidden="1" x14ac:dyDescent="0.25">
      <c r="A2417" s="313" t="s">
        <v>5722</v>
      </c>
      <c r="B2417" s="123" t="s">
        <v>4730</v>
      </c>
      <c r="C2417" s="308" t="s">
        <v>37</v>
      </c>
      <c r="D2417" s="14"/>
      <c r="E2417" s="15">
        <f>+SUM!H2417</f>
        <v>197921</v>
      </c>
      <c r="F2417" s="16"/>
      <c r="G2417">
        <f t="shared" si="150"/>
        <v>0</v>
      </c>
    </row>
    <row r="2418" spans="1:7" hidden="1" x14ac:dyDescent="0.25">
      <c r="A2418" s="44" t="s">
        <v>5723</v>
      </c>
      <c r="B2418" s="80" t="s">
        <v>5388</v>
      </c>
      <c r="C2418" s="14"/>
      <c r="D2418" s="14"/>
      <c r="E2418" s="15">
        <f>+SUM!H2418</f>
        <v>0</v>
      </c>
      <c r="F2418" s="16"/>
      <c r="G2418">
        <f t="shared" si="150"/>
        <v>0</v>
      </c>
    </row>
    <row r="2419" spans="1:7" hidden="1" x14ac:dyDescent="0.25">
      <c r="A2419" s="43" t="s">
        <v>5724</v>
      </c>
      <c r="B2419" s="81" t="s">
        <v>6379</v>
      </c>
      <c r="C2419" s="14" t="s">
        <v>37</v>
      </c>
      <c r="D2419" s="14"/>
      <c r="E2419" s="15">
        <f>+SUM!H2419</f>
        <v>913859</v>
      </c>
      <c r="F2419" s="16">
        <f t="shared" ref="F2419:F2424" si="151">+D2419*E2419</f>
        <v>0</v>
      </c>
      <c r="G2419">
        <f t="shared" si="150"/>
        <v>0</v>
      </c>
    </row>
    <row r="2420" spans="1:7" hidden="1" x14ac:dyDescent="0.25">
      <c r="A2420" s="43" t="s">
        <v>6417</v>
      </c>
      <c r="B2420" s="81" t="s">
        <v>6416</v>
      </c>
      <c r="C2420" s="14" t="s">
        <v>37</v>
      </c>
      <c r="D2420" s="14"/>
      <c r="E2420" s="15"/>
      <c r="F2420" s="16">
        <f t="shared" si="151"/>
        <v>0</v>
      </c>
      <c r="G2420">
        <f t="shared" si="150"/>
        <v>0</v>
      </c>
    </row>
    <row r="2421" spans="1:7" hidden="1" x14ac:dyDescent="0.25">
      <c r="A2421" s="43" t="s">
        <v>6418</v>
      </c>
      <c r="B2421" s="81" t="s">
        <v>6416</v>
      </c>
      <c r="C2421" s="14" t="s">
        <v>37</v>
      </c>
      <c r="D2421" s="14"/>
      <c r="E2421" s="15"/>
      <c r="F2421" s="16">
        <f t="shared" si="151"/>
        <v>0</v>
      </c>
      <c r="G2421">
        <f t="shared" si="150"/>
        <v>0</v>
      </c>
    </row>
    <row r="2422" spans="1:7" ht="15.75" thickBot="1" x14ac:dyDescent="0.3">
      <c r="A2422" s="43" t="s">
        <v>5727</v>
      </c>
      <c r="B2422" s="81" t="s">
        <v>6550</v>
      </c>
      <c r="C2422" s="14" t="s">
        <v>37</v>
      </c>
      <c r="D2422" s="14">
        <v>4</v>
      </c>
      <c r="E2422" s="15">
        <f>+SUM!H2420</f>
        <v>19486292</v>
      </c>
      <c r="F2422" s="16">
        <f t="shared" si="151"/>
        <v>77945168</v>
      </c>
      <c r="G2422">
        <f t="shared" si="150"/>
        <v>1</v>
      </c>
    </row>
    <row r="2423" spans="1:7" ht="15.75" hidden="1" thickBot="1" x14ac:dyDescent="0.3">
      <c r="A2423" s="43" t="s">
        <v>5728</v>
      </c>
      <c r="B2423" s="81" t="s">
        <v>5393</v>
      </c>
      <c r="C2423" s="14" t="s">
        <v>37</v>
      </c>
      <c r="D2423" s="14"/>
      <c r="E2423" s="15"/>
      <c r="F2423" s="16">
        <f t="shared" si="151"/>
        <v>0</v>
      </c>
      <c r="G2423">
        <f t="shared" si="150"/>
        <v>0</v>
      </c>
    </row>
    <row r="2424" spans="1:7" ht="15.75" hidden="1" thickBot="1" x14ac:dyDescent="0.3">
      <c r="A2424" s="43" t="s">
        <v>5729</v>
      </c>
      <c r="B2424" s="81" t="s">
        <v>5394</v>
      </c>
      <c r="C2424" s="14" t="s">
        <v>37</v>
      </c>
      <c r="D2424" s="14"/>
      <c r="E2424" s="15"/>
      <c r="F2424" s="16">
        <f t="shared" si="151"/>
        <v>0</v>
      </c>
      <c r="G2424">
        <f t="shared" si="150"/>
        <v>0</v>
      </c>
    </row>
    <row r="2425" spans="1:7" ht="15.75" hidden="1" thickBot="1" x14ac:dyDescent="0.3">
      <c r="G2425">
        <f t="shared" si="150"/>
        <v>0</v>
      </c>
    </row>
    <row r="2426" spans="1:7" ht="15.75" thickBot="1" x14ac:dyDescent="0.3">
      <c r="B2426" s="2458" t="s">
        <v>5396</v>
      </c>
      <c r="C2426" s="2458"/>
      <c r="D2426" s="2458"/>
      <c r="E2426" s="2459"/>
      <c r="F2426" s="34">
        <f>SUM(F9:F2424)</f>
        <v>249750652</v>
      </c>
      <c r="G2426">
        <f t="shared" si="150"/>
        <v>1</v>
      </c>
    </row>
  </sheetData>
  <autoFilter ref="A7:G2426">
    <filterColumn colId="6">
      <filters>
        <filter val="1"/>
      </filters>
    </filterColumn>
  </autoFilter>
  <mergeCells count="5">
    <mergeCell ref="A1:F1"/>
    <mergeCell ref="A2:F2"/>
    <mergeCell ref="A4:F4"/>
    <mergeCell ref="A5:F5"/>
    <mergeCell ref="B2426:E2426"/>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filterMode="1"/>
  <dimension ref="A1:G610"/>
  <sheetViews>
    <sheetView workbookViewId="0">
      <selection sqref="A1:F1"/>
    </sheetView>
  </sheetViews>
  <sheetFormatPr baseColWidth="10" defaultRowHeight="15" x14ac:dyDescent="0.25"/>
  <cols>
    <col min="2" max="2" width="49.28515625" customWidth="1"/>
    <col min="3" max="3" width="8.42578125" customWidth="1"/>
    <col min="5" max="5" width="12.42578125" bestFit="1" customWidth="1"/>
    <col min="6" max="6" width="22.140625" customWidth="1"/>
  </cols>
  <sheetData>
    <row r="1" spans="1:7" ht="18.75" x14ac:dyDescent="0.25">
      <c r="A1" s="2462" t="s">
        <v>0</v>
      </c>
      <c r="B1" s="2462"/>
      <c r="C1" s="2462"/>
      <c r="D1" s="2462"/>
      <c r="E1" s="2462"/>
      <c r="F1" s="2462"/>
      <c r="G1" s="1"/>
    </row>
    <row r="2" spans="1:7" ht="18.75" x14ac:dyDescent="0.25">
      <c r="A2" s="2463" t="s">
        <v>6313</v>
      </c>
      <c r="B2" s="2463"/>
      <c r="C2" s="2463"/>
      <c r="D2" s="2463"/>
      <c r="E2" s="2463"/>
      <c r="F2" s="2463"/>
      <c r="G2" s="1"/>
    </row>
    <row r="3" spans="1:7" ht="15.75" x14ac:dyDescent="0.25">
      <c r="A3" s="2464"/>
      <c r="B3" s="2464"/>
      <c r="C3" s="2464"/>
      <c r="D3" s="2464"/>
      <c r="E3" s="2464"/>
      <c r="F3" s="2464"/>
      <c r="G3" s="1"/>
    </row>
    <row r="4" spans="1:7" ht="15.75" x14ac:dyDescent="0.25">
      <c r="A4" s="2278" t="s">
        <v>6312</v>
      </c>
      <c r="B4" s="2278"/>
      <c r="C4" s="2278"/>
      <c r="D4" s="2278"/>
      <c r="E4" s="2278"/>
      <c r="F4" s="2278"/>
      <c r="G4" s="1"/>
    </row>
    <row r="5" spans="1:7" ht="15.75" x14ac:dyDescent="0.25">
      <c r="A5" s="2278" t="s">
        <v>2</v>
      </c>
      <c r="B5" s="2278"/>
      <c r="C5" s="2278"/>
      <c r="D5" s="2278"/>
      <c r="E5" s="2278"/>
      <c r="F5" s="2278"/>
    </row>
    <row r="6" spans="1:7" ht="16.5" thickBot="1" x14ac:dyDescent="0.3">
      <c r="A6" s="3"/>
      <c r="B6" s="3"/>
      <c r="C6" s="3"/>
      <c r="D6" s="3"/>
      <c r="E6" s="3"/>
      <c r="F6" s="3"/>
    </row>
    <row r="7" spans="1:7" ht="12.75" customHeight="1" thickBot="1" x14ac:dyDescent="0.3">
      <c r="A7" s="4" t="s">
        <v>3</v>
      </c>
      <c r="B7" s="5" t="s">
        <v>4</v>
      </c>
      <c r="C7" s="5" t="s">
        <v>5</v>
      </c>
      <c r="D7" s="5" t="s">
        <v>6</v>
      </c>
      <c r="E7" s="6" t="s">
        <v>7</v>
      </c>
      <c r="F7" s="7" t="s">
        <v>8</v>
      </c>
      <c r="G7" s="8"/>
    </row>
    <row r="8" spans="1:7" x14ac:dyDescent="0.25">
      <c r="A8" s="316">
        <v>1</v>
      </c>
      <c r="B8" s="317" t="s">
        <v>9</v>
      </c>
      <c r="C8" s="9"/>
      <c r="D8" s="9"/>
      <c r="E8" s="10"/>
      <c r="F8" s="11"/>
      <c r="G8" s="8">
        <v>1</v>
      </c>
    </row>
    <row r="9" spans="1:7" x14ac:dyDescent="0.25">
      <c r="A9" s="12" t="s">
        <v>10</v>
      </c>
      <c r="B9" s="13" t="s">
        <v>11</v>
      </c>
      <c r="C9" s="14"/>
      <c r="D9" s="14"/>
      <c r="E9" s="15"/>
      <c r="F9" s="16"/>
      <c r="G9" s="8">
        <v>1</v>
      </c>
    </row>
    <row r="10" spans="1:7" hidden="1" x14ac:dyDescent="0.25">
      <c r="A10" s="17" t="s">
        <v>12</v>
      </c>
      <c r="B10" s="18" t="s">
        <v>13</v>
      </c>
      <c r="C10" s="14" t="s">
        <v>14</v>
      </c>
      <c r="D10" s="14"/>
      <c r="E10" s="15">
        <f>+'APU CAP 1-2'!H56</f>
        <v>1717</v>
      </c>
      <c r="F10" s="16">
        <f>+D10*E10</f>
        <v>0</v>
      </c>
      <c r="G10" s="8">
        <f>+IF(F10&lt;&gt;0,1,0)</f>
        <v>0</v>
      </c>
    </row>
    <row r="11" spans="1:7" hidden="1" x14ac:dyDescent="0.25">
      <c r="A11" s="17" t="s">
        <v>15</v>
      </c>
      <c r="B11" s="18" t="s">
        <v>16</v>
      </c>
      <c r="C11" s="14" t="s">
        <v>17</v>
      </c>
      <c r="D11" s="14"/>
      <c r="E11" s="15">
        <f>+'APU CAP 1-2'!H110</f>
        <v>2283</v>
      </c>
      <c r="F11" s="16">
        <f>+D11*E11</f>
        <v>0</v>
      </c>
      <c r="G11" s="8">
        <f t="shared" ref="G11:G74" si="0">+IF(F11&lt;&gt;0,1,0)</f>
        <v>0</v>
      </c>
    </row>
    <row r="12" spans="1:7" hidden="1" x14ac:dyDescent="0.25">
      <c r="A12" s="17" t="s">
        <v>5427</v>
      </c>
      <c r="B12" s="18" t="s">
        <v>5624</v>
      </c>
      <c r="C12" s="14" t="s">
        <v>17</v>
      </c>
      <c r="D12" s="14"/>
      <c r="E12" s="15">
        <f>+'APU CAP 1-2'!H332</f>
        <v>0</v>
      </c>
      <c r="F12" s="16">
        <f>+D12*E12</f>
        <v>0</v>
      </c>
      <c r="G12" s="8">
        <f t="shared" si="0"/>
        <v>0</v>
      </c>
    </row>
    <row r="13" spans="1:7" hidden="1" x14ac:dyDescent="0.25">
      <c r="A13" s="12" t="s">
        <v>18</v>
      </c>
      <c r="B13" s="13" t="s">
        <v>19</v>
      </c>
      <c r="C13" s="14"/>
      <c r="D13" s="14"/>
      <c r="E13" s="15"/>
      <c r="F13" s="16"/>
      <c r="G13" s="8">
        <f t="shared" si="0"/>
        <v>0</v>
      </c>
    </row>
    <row r="14" spans="1:7" hidden="1" x14ac:dyDescent="0.25">
      <c r="A14" s="12" t="s">
        <v>20</v>
      </c>
      <c r="B14" s="13" t="s">
        <v>21</v>
      </c>
      <c r="C14" s="14"/>
      <c r="D14" s="14"/>
      <c r="E14" s="15"/>
      <c r="F14" s="16"/>
      <c r="G14" s="8">
        <f t="shared" si="0"/>
        <v>0</v>
      </c>
    </row>
    <row r="15" spans="1:7" hidden="1" x14ac:dyDescent="0.25">
      <c r="A15" s="17" t="s">
        <v>49</v>
      </c>
      <c r="B15" s="18" t="s">
        <v>48</v>
      </c>
      <c r="C15" s="14" t="s">
        <v>37</v>
      </c>
      <c r="D15" s="14"/>
      <c r="E15" s="15">
        <f>+'APU CAP 1-2'!H387</f>
        <v>0</v>
      </c>
      <c r="F15" s="16">
        <f t="shared" ref="F15:F27" si="1">+D15*E15</f>
        <v>0</v>
      </c>
      <c r="G15" s="8">
        <f t="shared" si="0"/>
        <v>0</v>
      </c>
    </row>
    <row r="16" spans="1:7" hidden="1" x14ac:dyDescent="0.25">
      <c r="A16" s="17" t="s">
        <v>50</v>
      </c>
      <c r="B16" s="18" t="s">
        <v>47</v>
      </c>
      <c r="C16" s="14" t="s">
        <v>37</v>
      </c>
      <c r="D16" s="14"/>
      <c r="E16" s="15">
        <f>+'APU CAP 1-2'!H442</f>
        <v>0</v>
      </c>
      <c r="F16" s="16">
        <f t="shared" si="1"/>
        <v>0</v>
      </c>
      <c r="G16" s="8">
        <f t="shared" si="0"/>
        <v>0</v>
      </c>
    </row>
    <row r="17" spans="1:7" hidden="1" x14ac:dyDescent="0.25">
      <c r="A17" s="17" t="s">
        <v>51</v>
      </c>
      <c r="B17" s="18" t="s">
        <v>52</v>
      </c>
      <c r="C17" s="14" t="s">
        <v>37</v>
      </c>
      <c r="D17" s="14"/>
      <c r="E17" s="15">
        <f>+'APU CAP 1-2'!H497</f>
        <v>0</v>
      </c>
      <c r="F17" s="16">
        <f t="shared" si="1"/>
        <v>0</v>
      </c>
      <c r="G17" s="8">
        <f t="shared" si="0"/>
        <v>0</v>
      </c>
    </row>
    <row r="18" spans="1:7" ht="25.5" hidden="1" x14ac:dyDescent="0.25">
      <c r="A18" s="17" t="s">
        <v>65</v>
      </c>
      <c r="B18" s="25" t="s">
        <v>66</v>
      </c>
      <c r="C18" s="14" t="s">
        <v>37</v>
      </c>
      <c r="D18" s="14"/>
      <c r="E18" s="15">
        <f>+'APU CAP 1-2'!H552</f>
        <v>0</v>
      </c>
      <c r="F18" s="16">
        <f t="shared" si="1"/>
        <v>0</v>
      </c>
      <c r="G18" s="8">
        <f t="shared" si="0"/>
        <v>0</v>
      </c>
    </row>
    <row r="19" spans="1:7" hidden="1" x14ac:dyDescent="0.25">
      <c r="A19" s="17" t="s">
        <v>53</v>
      </c>
      <c r="B19" s="18" t="s">
        <v>54</v>
      </c>
      <c r="C19" s="14" t="s">
        <v>37</v>
      </c>
      <c r="D19" s="14"/>
      <c r="E19" s="15">
        <f>+'APU CAP 1-2'!H603</f>
        <v>0</v>
      </c>
      <c r="F19" s="16">
        <f t="shared" si="1"/>
        <v>0</v>
      </c>
      <c r="G19" s="8">
        <f t="shared" si="0"/>
        <v>0</v>
      </c>
    </row>
    <row r="20" spans="1:7" hidden="1" x14ac:dyDescent="0.25">
      <c r="A20" s="17" t="s">
        <v>22</v>
      </c>
      <c r="B20" s="18" t="s">
        <v>23</v>
      </c>
      <c r="C20" s="14" t="s">
        <v>14</v>
      </c>
      <c r="D20" s="14"/>
      <c r="E20" s="15">
        <f>+'APU CAP 1-2'!H657</f>
        <v>0</v>
      </c>
      <c r="F20" s="16">
        <f t="shared" si="1"/>
        <v>0</v>
      </c>
      <c r="G20" s="8">
        <f t="shared" si="0"/>
        <v>0</v>
      </c>
    </row>
    <row r="21" spans="1:7" hidden="1" x14ac:dyDescent="0.25">
      <c r="A21" s="17" t="s">
        <v>55</v>
      </c>
      <c r="B21" s="18" t="s">
        <v>59</v>
      </c>
      <c r="C21" s="14" t="s">
        <v>37</v>
      </c>
      <c r="D21" s="14"/>
      <c r="E21" s="15"/>
      <c r="F21" s="16">
        <f t="shared" si="1"/>
        <v>0</v>
      </c>
      <c r="G21" s="8">
        <f t="shared" si="0"/>
        <v>0</v>
      </c>
    </row>
    <row r="22" spans="1:7" hidden="1" x14ac:dyDescent="0.25">
      <c r="A22" s="17" t="s">
        <v>56</v>
      </c>
      <c r="B22" s="18" t="s">
        <v>5645</v>
      </c>
      <c r="C22" s="14" t="s">
        <v>37</v>
      </c>
      <c r="D22" s="14"/>
      <c r="E22" s="15">
        <f>+'APU CAP 1-2'!H716</f>
        <v>0</v>
      </c>
      <c r="F22" s="16">
        <f t="shared" si="1"/>
        <v>0</v>
      </c>
      <c r="G22" s="8">
        <f t="shared" si="0"/>
        <v>0</v>
      </c>
    </row>
    <row r="23" spans="1:7" hidden="1" x14ac:dyDescent="0.25">
      <c r="A23" s="17" t="s">
        <v>57</v>
      </c>
      <c r="B23" s="18" t="s">
        <v>60</v>
      </c>
      <c r="C23" s="14" t="s">
        <v>14</v>
      </c>
      <c r="D23" s="14"/>
      <c r="E23" s="441">
        <f>+'APU CAP 1-2'!H932</f>
        <v>0</v>
      </c>
      <c r="F23" s="16">
        <f t="shared" si="1"/>
        <v>0</v>
      </c>
      <c r="G23" s="8">
        <f t="shared" si="0"/>
        <v>0</v>
      </c>
    </row>
    <row r="24" spans="1:7" hidden="1" x14ac:dyDescent="0.25">
      <c r="A24" s="17" t="s">
        <v>58</v>
      </c>
      <c r="B24" s="18" t="s">
        <v>61</v>
      </c>
      <c r="C24" s="14" t="s">
        <v>37</v>
      </c>
      <c r="D24" s="14"/>
      <c r="E24" s="15"/>
      <c r="F24" s="16">
        <f t="shared" si="1"/>
        <v>0</v>
      </c>
      <c r="G24" s="8">
        <f t="shared" si="0"/>
        <v>0</v>
      </c>
    </row>
    <row r="25" spans="1:7" hidden="1" x14ac:dyDescent="0.25">
      <c r="A25" s="17" t="s">
        <v>67</v>
      </c>
      <c r="B25" s="18" t="s">
        <v>62</v>
      </c>
      <c r="C25" s="14" t="s">
        <v>37</v>
      </c>
      <c r="D25" s="14"/>
      <c r="E25" s="15"/>
      <c r="F25" s="16">
        <f t="shared" si="1"/>
        <v>0</v>
      </c>
      <c r="G25" s="8">
        <f t="shared" si="0"/>
        <v>0</v>
      </c>
    </row>
    <row r="26" spans="1:7" hidden="1" x14ac:dyDescent="0.25">
      <c r="A26" s="17" t="s">
        <v>68</v>
      </c>
      <c r="B26" s="18" t="s">
        <v>63</v>
      </c>
      <c r="C26" s="14" t="s">
        <v>37</v>
      </c>
      <c r="D26" s="14"/>
      <c r="E26" s="15"/>
      <c r="F26" s="16">
        <f t="shared" si="1"/>
        <v>0</v>
      </c>
      <c r="G26" s="8">
        <f t="shared" si="0"/>
        <v>0</v>
      </c>
    </row>
    <row r="27" spans="1:7" hidden="1" x14ac:dyDescent="0.25">
      <c r="A27" s="17" t="s">
        <v>69</v>
      </c>
      <c r="B27" s="18" t="s">
        <v>64</v>
      </c>
      <c r="C27" s="14" t="s">
        <v>37</v>
      </c>
      <c r="D27" s="14"/>
      <c r="E27" s="15"/>
      <c r="F27" s="16">
        <f t="shared" si="1"/>
        <v>0</v>
      </c>
      <c r="G27" s="8">
        <f t="shared" si="0"/>
        <v>0</v>
      </c>
    </row>
    <row r="28" spans="1:7" hidden="1" x14ac:dyDescent="0.25">
      <c r="A28" s="2454" t="s">
        <v>24</v>
      </c>
      <c r="B28" s="2455"/>
      <c r="C28" s="2455"/>
      <c r="D28" s="2455"/>
      <c r="E28" s="2455"/>
      <c r="F28" s="19">
        <f>SUM(F10:F27)</f>
        <v>0</v>
      </c>
      <c r="G28" s="8">
        <f t="shared" si="0"/>
        <v>0</v>
      </c>
    </row>
    <row r="29" spans="1:7" x14ac:dyDescent="0.25">
      <c r="A29" s="20">
        <v>2</v>
      </c>
      <c r="B29" s="21" t="s">
        <v>5757</v>
      </c>
      <c r="C29" s="22"/>
      <c r="D29" s="22"/>
      <c r="E29" s="23"/>
      <c r="F29" s="24"/>
      <c r="G29" s="8">
        <v>1</v>
      </c>
    </row>
    <row r="30" spans="1:7" x14ac:dyDescent="0.25">
      <c r="A30" s="12" t="s">
        <v>25</v>
      </c>
      <c r="B30" s="13" t="s">
        <v>6261</v>
      </c>
      <c r="C30" s="14"/>
      <c r="D30" s="14"/>
      <c r="E30" s="15"/>
      <c r="F30" s="16"/>
      <c r="G30" s="8">
        <v>1</v>
      </c>
    </row>
    <row r="31" spans="1:7" x14ac:dyDescent="0.25">
      <c r="A31" s="17" t="s">
        <v>26</v>
      </c>
      <c r="B31" s="25" t="s">
        <v>5758</v>
      </c>
      <c r="C31" s="14" t="s">
        <v>27</v>
      </c>
      <c r="D31" s="14">
        <v>100</v>
      </c>
      <c r="E31" s="15">
        <f>+'APU CAP 1-2'!H1150</f>
        <v>22263</v>
      </c>
      <c r="F31" s="16">
        <f>+D31*E31</f>
        <v>2226300</v>
      </c>
      <c r="G31" s="8">
        <f t="shared" si="0"/>
        <v>1</v>
      </c>
    </row>
    <row r="32" spans="1:7" hidden="1" x14ac:dyDescent="0.25">
      <c r="A32" s="17" t="s">
        <v>89</v>
      </c>
      <c r="B32" s="25" t="s">
        <v>5759</v>
      </c>
      <c r="C32" s="14" t="s">
        <v>27</v>
      </c>
      <c r="D32" s="14"/>
      <c r="E32" s="15">
        <f>+'APU CAP 1-2'!H1205</f>
        <v>33442</v>
      </c>
      <c r="F32" s="16">
        <f>+D32*E32</f>
        <v>0</v>
      </c>
      <c r="G32" s="8">
        <f t="shared" si="0"/>
        <v>0</v>
      </c>
    </row>
    <row r="33" spans="1:7" hidden="1" x14ac:dyDescent="0.25">
      <c r="A33" s="17" t="s">
        <v>90</v>
      </c>
      <c r="B33" s="25" t="s">
        <v>5760</v>
      </c>
      <c r="C33" s="14" t="s">
        <v>27</v>
      </c>
      <c r="D33" s="14"/>
      <c r="E33" s="15">
        <f>+'APU CAP 1-2'!H1262</f>
        <v>0</v>
      </c>
      <c r="F33" s="16">
        <f>+D33*E33</f>
        <v>0</v>
      </c>
      <c r="G33" s="8">
        <f t="shared" si="0"/>
        <v>0</v>
      </c>
    </row>
    <row r="34" spans="1:7" hidden="1" x14ac:dyDescent="0.25">
      <c r="A34" s="12" t="s">
        <v>94</v>
      </c>
      <c r="B34" s="13" t="s">
        <v>6262</v>
      </c>
      <c r="C34" s="14"/>
      <c r="D34" s="14"/>
      <c r="E34" s="15"/>
      <c r="F34" s="16"/>
      <c r="G34" s="8">
        <f t="shared" si="0"/>
        <v>0</v>
      </c>
    </row>
    <row r="35" spans="1:7" ht="25.5" hidden="1" x14ac:dyDescent="0.25">
      <c r="A35" s="17" t="s">
        <v>95</v>
      </c>
      <c r="B35" s="25" t="s">
        <v>91</v>
      </c>
      <c r="C35" s="14" t="s">
        <v>27</v>
      </c>
      <c r="D35" s="14"/>
      <c r="E35" s="15">
        <f>+'APU CAP 1-2'!H1317</f>
        <v>0</v>
      </c>
      <c r="F35" s="16">
        <f>+D35*E35</f>
        <v>0</v>
      </c>
      <c r="G35" s="8">
        <f t="shared" si="0"/>
        <v>0</v>
      </c>
    </row>
    <row r="36" spans="1:7" ht="25.5" hidden="1" x14ac:dyDescent="0.25">
      <c r="A36" s="17" t="s">
        <v>96</v>
      </c>
      <c r="B36" s="25" t="s">
        <v>92</v>
      </c>
      <c r="C36" s="14" t="s">
        <v>27</v>
      </c>
      <c r="D36" s="14"/>
      <c r="E36" s="15">
        <f>+'APU CAP 1-2'!H1372</f>
        <v>0</v>
      </c>
      <c r="F36" s="16">
        <f>+D36*E36</f>
        <v>0</v>
      </c>
      <c r="G36" s="8">
        <f t="shared" si="0"/>
        <v>0</v>
      </c>
    </row>
    <row r="37" spans="1:7" ht="25.5" hidden="1" x14ac:dyDescent="0.25">
      <c r="A37" s="17" t="s">
        <v>97</v>
      </c>
      <c r="B37" s="25" t="s">
        <v>93</v>
      </c>
      <c r="C37" s="14" t="s">
        <v>27</v>
      </c>
      <c r="D37" s="14"/>
      <c r="E37" s="15">
        <f>+'APU CAP 1-2'!H1427</f>
        <v>0</v>
      </c>
      <c r="F37" s="16">
        <f>+D37*E37</f>
        <v>0</v>
      </c>
      <c r="G37" s="8">
        <f t="shared" si="0"/>
        <v>0</v>
      </c>
    </row>
    <row r="38" spans="1:7" x14ac:dyDescent="0.25">
      <c r="A38" s="12" t="s">
        <v>5990</v>
      </c>
      <c r="B38" s="46" t="s">
        <v>864</v>
      </c>
      <c r="C38" s="14"/>
      <c r="D38" s="14"/>
      <c r="E38" s="15"/>
      <c r="F38" s="16"/>
      <c r="G38" s="8">
        <v>1</v>
      </c>
    </row>
    <row r="39" spans="1:7" ht="25.5" x14ac:dyDescent="0.25">
      <c r="A39" s="17" t="s">
        <v>101</v>
      </c>
      <c r="B39" s="25" t="s">
        <v>131</v>
      </c>
      <c r="C39" s="14" t="s">
        <v>27</v>
      </c>
      <c r="D39" s="14">
        <v>9538</v>
      </c>
      <c r="E39" s="15">
        <f>+'APU CAP 1-2'!H1645</f>
        <v>14094</v>
      </c>
      <c r="F39" s="16">
        <f>+D39*E39</f>
        <v>134428572</v>
      </c>
      <c r="G39" s="8">
        <f t="shared" si="0"/>
        <v>1</v>
      </c>
    </row>
    <row r="40" spans="1:7" ht="25.5" hidden="1" x14ac:dyDescent="0.25">
      <c r="A40" s="17" t="s">
        <v>105</v>
      </c>
      <c r="B40" s="25" t="s">
        <v>132</v>
      </c>
      <c r="C40" s="14" t="s">
        <v>27</v>
      </c>
      <c r="D40" s="14"/>
      <c r="E40" s="15">
        <f>+'APU CAP 1-2'!H1702</f>
        <v>0</v>
      </c>
      <c r="F40" s="16">
        <f>+D40*E40</f>
        <v>0</v>
      </c>
      <c r="G40" s="8">
        <f t="shared" si="0"/>
        <v>0</v>
      </c>
    </row>
    <row r="41" spans="1:7" x14ac:dyDescent="0.25">
      <c r="A41" s="12" t="s">
        <v>116</v>
      </c>
      <c r="B41" s="25" t="s">
        <v>133</v>
      </c>
      <c r="C41" s="14" t="s">
        <v>27</v>
      </c>
      <c r="D41" s="14">
        <v>502</v>
      </c>
      <c r="E41" s="15">
        <f>+'APU CAP 1-2'!H1755</f>
        <v>156265</v>
      </c>
      <c r="F41" s="16">
        <f>+D41*E41</f>
        <v>78445030</v>
      </c>
      <c r="G41" s="8">
        <f t="shared" si="0"/>
        <v>1</v>
      </c>
    </row>
    <row r="42" spans="1:7" x14ac:dyDescent="0.25">
      <c r="A42" s="12" t="s">
        <v>117</v>
      </c>
      <c r="B42" s="46" t="s">
        <v>100</v>
      </c>
      <c r="C42" s="14"/>
      <c r="D42" s="14"/>
      <c r="E42" s="15"/>
      <c r="F42" s="16"/>
      <c r="G42" s="8">
        <v>1</v>
      </c>
    </row>
    <row r="43" spans="1:7" x14ac:dyDescent="0.25">
      <c r="A43" s="17" t="s">
        <v>118</v>
      </c>
      <c r="B43" s="18" t="s">
        <v>103</v>
      </c>
      <c r="C43" s="14" t="s">
        <v>27</v>
      </c>
      <c r="D43" s="14">
        <v>63</v>
      </c>
      <c r="E43" s="15">
        <f>+'APU CAP 1-2'!H1810</f>
        <v>63025</v>
      </c>
      <c r="F43" s="16">
        <f t="shared" ref="F43:F61" si="2">+D43*E43</f>
        <v>3970575</v>
      </c>
      <c r="G43" s="8">
        <f t="shared" si="0"/>
        <v>1</v>
      </c>
    </row>
    <row r="44" spans="1:7" hidden="1" x14ac:dyDescent="0.25">
      <c r="A44" s="17" t="s">
        <v>119</v>
      </c>
      <c r="B44" s="18" t="s">
        <v>102</v>
      </c>
      <c r="C44" s="14" t="s">
        <v>27</v>
      </c>
      <c r="D44" s="14"/>
      <c r="E44" s="15">
        <f>+'APU CAP 1-2'!H1867</f>
        <v>0</v>
      </c>
      <c r="F44" s="16">
        <f t="shared" si="2"/>
        <v>0</v>
      </c>
      <c r="G44" s="8">
        <f t="shared" si="0"/>
        <v>0</v>
      </c>
    </row>
    <row r="45" spans="1:7" hidden="1" x14ac:dyDescent="0.25">
      <c r="A45" s="17" t="s">
        <v>120</v>
      </c>
      <c r="B45" s="18" t="s">
        <v>104</v>
      </c>
      <c r="C45" s="14" t="s">
        <v>27</v>
      </c>
      <c r="D45" s="14"/>
      <c r="E45" s="15">
        <f>+'APU CAP 1-2'!H1922</f>
        <v>0</v>
      </c>
      <c r="F45" s="16">
        <f t="shared" si="2"/>
        <v>0</v>
      </c>
      <c r="G45" s="8">
        <f t="shared" si="0"/>
        <v>0</v>
      </c>
    </row>
    <row r="46" spans="1:7" ht="25.5" hidden="1" x14ac:dyDescent="0.25">
      <c r="A46" s="17" t="s">
        <v>6294</v>
      </c>
      <c r="B46" s="601" t="s">
        <v>6308</v>
      </c>
      <c r="C46" s="14" t="s">
        <v>146</v>
      </c>
      <c r="D46" s="14"/>
      <c r="E46" s="15">
        <f>+'APU CAP 1-2'!X1810</f>
        <v>43691</v>
      </c>
      <c r="F46" s="16">
        <f t="shared" si="2"/>
        <v>0</v>
      </c>
      <c r="G46" s="8">
        <f t="shared" si="0"/>
        <v>0</v>
      </c>
    </row>
    <row r="47" spans="1:7" x14ac:dyDescent="0.25">
      <c r="A47" s="17" t="s">
        <v>121</v>
      </c>
      <c r="B47" s="25" t="s">
        <v>106</v>
      </c>
      <c r="C47" s="14" t="s">
        <v>27</v>
      </c>
      <c r="D47" s="14">
        <v>56</v>
      </c>
      <c r="E47" s="15">
        <f>+'APU CAP 1-2'!H1975</f>
        <v>83236</v>
      </c>
      <c r="F47" s="16">
        <f t="shared" si="2"/>
        <v>4661216</v>
      </c>
      <c r="G47" s="8">
        <f t="shared" si="0"/>
        <v>1</v>
      </c>
    </row>
    <row r="48" spans="1:7" x14ac:dyDescent="0.25">
      <c r="A48" s="17" t="s">
        <v>122</v>
      </c>
      <c r="B48" s="25" t="s">
        <v>107</v>
      </c>
      <c r="C48" s="14" t="s">
        <v>27</v>
      </c>
      <c r="D48" s="14">
        <v>96</v>
      </c>
      <c r="E48" s="15">
        <f>+'APU CAP 1-2'!H2030</f>
        <v>41595</v>
      </c>
      <c r="F48" s="16">
        <f t="shared" si="2"/>
        <v>3993120</v>
      </c>
      <c r="G48" s="8">
        <f t="shared" si="0"/>
        <v>1</v>
      </c>
    </row>
    <row r="49" spans="1:7" hidden="1" x14ac:dyDescent="0.25">
      <c r="A49" s="17" t="s">
        <v>123</v>
      </c>
      <c r="B49" s="25" t="s">
        <v>5683</v>
      </c>
      <c r="C49" s="14" t="s">
        <v>27</v>
      </c>
      <c r="D49" s="14"/>
      <c r="E49" s="15">
        <f>+'APU CAP 1-2'!H2087</f>
        <v>0</v>
      </c>
      <c r="F49" s="16">
        <f t="shared" si="2"/>
        <v>0</v>
      </c>
      <c r="G49" s="8">
        <f t="shared" si="0"/>
        <v>0</v>
      </c>
    </row>
    <row r="50" spans="1:7" hidden="1" x14ac:dyDescent="0.25">
      <c r="A50" s="17" t="s">
        <v>124</v>
      </c>
      <c r="B50" s="25" t="s">
        <v>108</v>
      </c>
      <c r="C50" s="14" t="s">
        <v>109</v>
      </c>
      <c r="D50" s="14"/>
      <c r="E50" s="15">
        <f>+'APU CAP 1-2'!H2142</f>
        <v>0</v>
      </c>
      <c r="F50" s="16">
        <f t="shared" si="2"/>
        <v>0</v>
      </c>
      <c r="G50" s="8">
        <f t="shared" si="0"/>
        <v>0</v>
      </c>
    </row>
    <row r="51" spans="1:7" hidden="1" x14ac:dyDescent="0.25">
      <c r="A51" s="17" t="s">
        <v>125</v>
      </c>
      <c r="B51" s="25" t="s">
        <v>110</v>
      </c>
      <c r="C51" s="14" t="s">
        <v>27</v>
      </c>
      <c r="D51" s="14"/>
      <c r="E51" s="15">
        <f>+'APU CAP 1-2'!H2197</f>
        <v>0</v>
      </c>
      <c r="F51" s="16">
        <f t="shared" si="2"/>
        <v>0</v>
      </c>
      <c r="G51" s="8">
        <f t="shared" si="0"/>
        <v>0</v>
      </c>
    </row>
    <row r="52" spans="1:7" hidden="1" x14ac:dyDescent="0.25">
      <c r="A52" s="17" t="s">
        <v>126</v>
      </c>
      <c r="B52" s="25" t="s">
        <v>111</v>
      </c>
      <c r="C52" s="14" t="s">
        <v>14</v>
      </c>
      <c r="D52" s="14"/>
      <c r="E52" s="15">
        <f>+'APU CAP 1-2'!H2252</f>
        <v>0</v>
      </c>
      <c r="F52" s="16">
        <f t="shared" si="2"/>
        <v>0</v>
      </c>
      <c r="G52" s="8">
        <f t="shared" si="0"/>
        <v>0</v>
      </c>
    </row>
    <row r="53" spans="1:7" ht="25.5" hidden="1" x14ac:dyDescent="0.25">
      <c r="A53" s="17" t="s">
        <v>127</v>
      </c>
      <c r="B53" s="25" t="s">
        <v>112</v>
      </c>
      <c r="C53" s="14" t="s">
        <v>14</v>
      </c>
      <c r="D53" s="14"/>
      <c r="E53" s="15">
        <f>+'APU CAP 1-2'!H2307</f>
        <v>0</v>
      </c>
      <c r="F53" s="16">
        <f t="shared" si="2"/>
        <v>0</v>
      </c>
      <c r="G53" s="8">
        <f t="shared" si="0"/>
        <v>0</v>
      </c>
    </row>
    <row r="54" spans="1:7" ht="25.5" hidden="1" x14ac:dyDescent="0.25">
      <c r="A54" s="17" t="s">
        <v>128</v>
      </c>
      <c r="B54" s="25" t="s">
        <v>113</v>
      </c>
      <c r="C54" s="14" t="s">
        <v>14</v>
      </c>
      <c r="D54" s="14"/>
      <c r="E54" s="15">
        <f>+'APU CAP 1-2'!H2362</f>
        <v>0</v>
      </c>
      <c r="F54" s="16">
        <f t="shared" si="2"/>
        <v>0</v>
      </c>
      <c r="G54" s="8">
        <f t="shared" si="0"/>
        <v>0</v>
      </c>
    </row>
    <row r="55" spans="1:7" ht="25.5" hidden="1" x14ac:dyDescent="0.25">
      <c r="A55" s="17" t="s">
        <v>129</v>
      </c>
      <c r="B55" s="25" t="s">
        <v>115</v>
      </c>
      <c r="C55" s="14" t="s">
        <v>14</v>
      </c>
      <c r="D55" s="14"/>
      <c r="E55" s="15">
        <f>+'APU CAP 1-2'!H2417</f>
        <v>0</v>
      </c>
      <c r="F55" s="16">
        <f t="shared" si="2"/>
        <v>0</v>
      </c>
      <c r="G55" s="8">
        <f t="shared" si="0"/>
        <v>0</v>
      </c>
    </row>
    <row r="56" spans="1:7" ht="25.5" hidden="1" x14ac:dyDescent="0.25">
      <c r="A56" s="17" t="s">
        <v>130</v>
      </c>
      <c r="B56" s="25" t="s">
        <v>114</v>
      </c>
      <c r="C56" s="14" t="s">
        <v>14</v>
      </c>
      <c r="D56" s="14"/>
      <c r="E56" s="15">
        <f>+'APU CAP 1-2'!H2472</f>
        <v>0</v>
      </c>
      <c r="F56" s="16">
        <f t="shared" si="2"/>
        <v>0</v>
      </c>
      <c r="G56" s="8">
        <f t="shared" si="0"/>
        <v>0</v>
      </c>
    </row>
    <row r="57" spans="1:7" hidden="1" x14ac:dyDescent="0.25">
      <c r="A57" s="12" t="s">
        <v>134</v>
      </c>
      <c r="B57" s="46" t="s">
        <v>6314</v>
      </c>
      <c r="C57" s="14"/>
      <c r="D57" s="14"/>
      <c r="E57" s="15"/>
      <c r="F57" s="16"/>
      <c r="G57" s="8">
        <f t="shared" si="0"/>
        <v>0</v>
      </c>
    </row>
    <row r="58" spans="1:7" x14ac:dyDescent="0.25">
      <c r="A58" s="17" t="s">
        <v>136</v>
      </c>
      <c r="B58" s="25" t="s">
        <v>6315</v>
      </c>
      <c r="C58" s="14" t="s">
        <v>14</v>
      </c>
      <c r="D58" s="14">
        <v>21</v>
      </c>
      <c r="E58" s="15">
        <f>+'APU CAP 1-2'!P2305</f>
        <v>24916</v>
      </c>
      <c r="F58" s="16">
        <f t="shared" si="2"/>
        <v>523236</v>
      </c>
      <c r="G58" s="8">
        <f t="shared" si="0"/>
        <v>1</v>
      </c>
    </row>
    <row r="59" spans="1:7" x14ac:dyDescent="0.25">
      <c r="A59" s="17" t="s">
        <v>138</v>
      </c>
      <c r="B59" s="25" t="s">
        <v>6316</v>
      </c>
      <c r="C59" s="14" t="s">
        <v>14</v>
      </c>
      <c r="D59" s="14">
        <v>5161</v>
      </c>
      <c r="E59" s="15">
        <f>+'APU CAP 1-2'!P2360</f>
        <v>24916</v>
      </c>
      <c r="F59" s="16">
        <f t="shared" si="2"/>
        <v>128591476</v>
      </c>
      <c r="G59" s="8">
        <f t="shared" si="0"/>
        <v>1</v>
      </c>
    </row>
    <row r="60" spans="1:7" x14ac:dyDescent="0.25">
      <c r="A60" s="17" t="s">
        <v>139</v>
      </c>
      <c r="B60" s="25" t="s">
        <v>6317</v>
      </c>
      <c r="C60" s="14" t="s">
        <v>14</v>
      </c>
      <c r="D60" s="14">
        <v>3311</v>
      </c>
      <c r="E60" s="15">
        <f>+'APU CAP 1-2'!P2415</f>
        <v>30227</v>
      </c>
      <c r="F60" s="16">
        <f t="shared" si="2"/>
        <v>100081597</v>
      </c>
      <c r="G60" s="8">
        <f t="shared" si="0"/>
        <v>1</v>
      </c>
    </row>
    <row r="61" spans="1:7" x14ac:dyDescent="0.25">
      <c r="A61" s="17">
        <v>2.8</v>
      </c>
      <c r="B61" s="25" t="s">
        <v>6318</v>
      </c>
      <c r="C61" s="14" t="s">
        <v>37</v>
      </c>
      <c r="D61" s="14">
        <v>113</v>
      </c>
      <c r="E61" s="15">
        <f>+'APU CAP 1-2'!P2470</f>
        <v>64898</v>
      </c>
      <c r="F61" s="16">
        <f t="shared" si="2"/>
        <v>7333474</v>
      </c>
      <c r="G61" s="8">
        <f t="shared" si="0"/>
        <v>1</v>
      </c>
    </row>
    <row r="62" spans="1:7" x14ac:dyDescent="0.25">
      <c r="A62" s="2454" t="s">
        <v>841</v>
      </c>
      <c r="B62" s="2455"/>
      <c r="C62" s="2455"/>
      <c r="D62" s="2455"/>
      <c r="E62" s="2455"/>
      <c r="F62" s="19">
        <f>SUM(F31:F61)</f>
        <v>464254596</v>
      </c>
      <c r="G62" s="8">
        <f t="shared" si="0"/>
        <v>1</v>
      </c>
    </row>
    <row r="63" spans="1:7" hidden="1" x14ac:dyDescent="0.25">
      <c r="A63" s="12" t="s">
        <v>134</v>
      </c>
      <c r="B63" s="13" t="s">
        <v>135</v>
      </c>
      <c r="C63" s="318"/>
      <c r="D63" s="318"/>
      <c r="E63" s="318"/>
      <c r="F63" s="19"/>
      <c r="G63" s="8">
        <f t="shared" si="0"/>
        <v>0</v>
      </c>
    </row>
    <row r="64" spans="1:7" hidden="1" x14ac:dyDescent="0.25">
      <c r="A64" s="17" t="s">
        <v>136</v>
      </c>
      <c r="B64" s="18" t="s">
        <v>137</v>
      </c>
      <c r="C64" s="14" t="s">
        <v>146</v>
      </c>
      <c r="D64" s="318"/>
      <c r="E64" s="442">
        <f>+'APU CAP 1-2'!H2527</f>
        <v>0</v>
      </c>
      <c r="F64" s="16">
        <f>+D64*E64</f>
        <v>0</v>
      </c>
      <c r="G64" s="8">
        <f t="shared" si="0"/>
        <v>0</v>
      </c>
    </row>
    <row r="65" spans="1:7" hidden="1" x14ac:dyDescent="0.25">
      <c r="A65" s="17" t="s">
        <v>138</v>
      </c>
      <c r="B65" s="18" t="s">
        <v>141</v>
      </c>
      <c r="C65" s="14" t="s">
        <v>146</v>
      </c>
      <c r="D65" s="318"/>
      <c r="E65" s="442">
        <f>+'APU CAP 1-2'!H2582</f>
        <v>0</v>
      </c>
      <c r="F65" s="16">
        <f>+D65*E65</f>
        <v>0</v>
      </c>
      <c r="G65" s="8">
        <f t="shared" si="0"/>
        <v>0</v>
      </c>
    </row>
    <row r="66" spans="1:7" hidden="1" x14ac:dyDescent="0.25">
      <c r="A66" s="17" t="s">
        <v>139</v>
      </c>
      <c r="B66" s="18" t="s">
        <v>142</v>
      </c>
      <c r="C66" s="14" t="s">
        <v>146</v>
      </c>
      <c r="D66" s="318"/>
      <c r="E66" s="442">
        <f>+'APU CAP 1-2'!H2637</f>
        <v>0</v>
      </c>
      <c r="F66" s="16">
        <f>+D66*E66</f>
        <v>0</v>
      </c>
      <c r="G66" s="8">
        <f t="shared" si="0"/>
        <v>0</v>
      </c>
    </row>
    <row r="67" spans="1:7" hidden="1" x14ac:dyDescent="0.25">
      <c r="A67" s="17" t="s">
        <v>140</v>
      </c>
      <c r="B67" s="18" t="s">
        <v>143</v>
      </c>
      <c r="C67" s="14" t="s">
        <v>146</v>
      </c>
      <c r="D67" s="318"/>
      <c r="E67" s="442">
        <f>+'APU CAP 1-2'!H2692</f>
        <v>0</v>
      </c>
      <c r="F67" s="16">
        <f>+D67*E67</f>
        <v>0</v>
      </c>
      <c r="G67" s="8">
        <f t="shared" si="0"/>
        <v>0</v>
      </c>
    </row>
    <row r="68" spans="1:7" hidden="1" x14ac:dyDescent="0.25">
      <c r="A68" s="17" t="s">
        <v>144</v>
      </c>
      <c r="B68" s="18" t="s">
        <v>145</v>
      </c>
      <c r="C68" s="14" t="s">
        <v>146</v>
      </c>
      <c r="D68" s="318"/>
      <c r="E68" s="442">
        <f>+'APU CAP 1-2'!P2692</f>
        <v>0</v>
      </c>
      <c r="F68" s="16">
        <f>+D68*E68</f>
        <v>0</v>
      </c>
      <c r="G68" s="8">
        <f t="shared" si="0"/>
        <v>0</v>
      </c>
    </row>
    <row r="69" spans="1:7" hidden="1" x14ac:dyDescent="0.25">
      <c r="A69" s="2454" t="s">
        <v>840</v>
      </c>
      <c r="B69" s="2455"/>
      <c r="C69" s="2455"/>
      <c r="D69" s="2455"/>
      <c r="E69" s="2455"/>
      <c r="F69" s="19">
        <f>SUM(F64:F68)</f>
        <v>0</v>
      </c>
      <c r="G69" s="8">
        <f t="shared" si="0"/>
        <v>0</v>
      </c>
    </row>
    <row r="70" spans="1:7" x14ac:dyDescent="0.25">
      <c r="A70" s="12" t="s">
        <v>28</v>
      </c>
      <c r="B70" s="13" t="s">
        <v>29</v>
      </c>
      <c r="C70" s="14"/>
      <c r="D70" s="14"/>
      <c r="E70" s="15"/>
      <c r="F70" s="16"/>
      <c r="G70" s="8">
        <v>1</v>
      </c>
    </row>
    <row r="71" spans="1:7" ht="24" customHeight="1" x14ac:dyDescent="0.25">
      <c r="A71" s="17" t="s">
        <v>147</v>
      </c>
      <c r="B71" s="25" t="s">
        <v>148</v>
      </c>
      <c r="C71" s="14" t="s">
        <v>27</v>
      </c>
      <c r="D71" s="14">
        <v>5966</v>
      </c>
      <c r="E71" s="15">
        <f>+'APU CAP 1-2'!H2745</f>
        <v>11097</v>
      </c>
      <c r="F71" s="16">
        <f t="shared" ref="F71:F79" si="3">+D71*E71</f>
        <v>66204702</v>
      </c>
      <c r="G71" s="8">
        <f t="shared" si="0"/>
        <v>1</v>
      </c>
    </row>
    <row r="72" spans="1:7" x14ac:dyDescent="0.25">
      <c r="A72" s="17" t="s">
        <v>149</v>
      </c>
      <c r="B72" s="18" t="s">
        <v>150</v>
      </c>
      <c r="C72" s="14" t="s">
        <v>27</v>
      </c>
      <c r="D72" s="14">
        <v>1557</v>
      </c>
      <c r="E72" s="15">
        <f>+'APU CAP 1-2'!H2800</f>
        <v>62337</v>
      </c>
      <c r="F72" s="16">
        <f t="shared" si="3"/>
        <v>97058709</v>
      </c>
      <c r="G72" s="8">
        <f t="shared" si="0"/>
        <v>1</v>
      </c>
    </row>
    <row r="73" spans="1:7" hidden="1" x14ac:dyDescent="0.25">
      <c r="A73" s="17" t="s">
        <v>153</v>
      </c>
      <c r="B73" s="18" t="s">
        <v>151</v>
      </c>
      <c r="C73" s="14" t="s">
        <v>27</v>
      </c>
      <c r="D73" s="14"/>
      <c r="E73" s="15">
        <f>+'APU CAP 1-2'!H2855</f>
        <v>134000</v>
      </c>
      <c r="F73" s="16">
        <f t="shared" si="3"/>
        <v>0</v>
      </c>
      <c r="G73" s="8">
        <f t="shared" si="0"/>
        <v>0</v>
      </c>
    </row>
    <row r="74" spans="1:7" hidden="1" x14ac:dyDescent="0.25">
      <c r="A74" s="17" t="s">
        <v>154</v>
      </c>
      <c r="B74" s="18" t="s">
        <v>152</v>
      </c>
      <c r="C74" s="14" t="s">
        <v>27</v>
      </c>
      <c r="D74" s="14"/>
      <c r="E74" s="15">
        <f>+'APU CAP 1-2'!H2910</f>
        <v>141125</v>
      </c>
      <c r="F74" s="16">
        <f t="shared" si="3"/>
        <v>0</v>
      </c>
      <c r="G74" s="8">
        <f t="shared" si="0"/>
        <v>0</v>
      </c>
    </row>
    <row r="75" spans="1:7" x14ac:dyDescent="0.25">
      <c r="A75" s="17" t="s">
        <v>155</v>
      </c>
      <c r="B75" s="18" t="s">
        <v>158</v>
      </c>
      <c r="C75" s="14" t="s">
        <v>27</v>
      </c>
      <c r="D75" s="14">
        <v>546</v>
      </c>
      <c r="E75" s="15">
        <f>+'APU CAP 1-2'!H2965</f>
        <v>80534</v>
      </c>
      <c r="F75" s="16">
        <f t="shared" si="3"/>
        <v>43971564</v>
      </c>
      <c r="G75" s="8">
        <f t="shared" ref="G75:G138" si="4">+IF(F75&lt;&gt;0,1,0)</f>
        <v>1</v>
      </c>
    </row>
    <row r="76" spans="1:7" hidden="1" x14ac:dyDescent="0.25">
      <c r="A76" s="17" t="s">
        <v>156</v>
      </c>
      <c r="B76" s="18" t="s">
        <v>159</v>
      </c>
      <c r="C76" s="14" t="s">
        <v>27</v>
      </c>
      <c r="D76" s="14"/>
      <c r="E76" s="15">
        <f>+'APU CAP 1-2'!H3020</f>
        <v>103566</v>
      </c>
      <c r="F76" s="16">
        <f t="shared" si="3"/>
        <v>0</v>
      </c>
      <c r="G76" s="8">
        <f t="shared" si="4"/>
        <v>0</v>
      </c>
    </row>
    <row r="77" spans="1:7" hidden="1" x14ac:dyDescent="0.25">
      <c r="A77" s="17" t="s">
        <v>157</v>
      </c>
      <c r="B77" s="18" t="s">
        <v>169</v>
      </c>
      <c r="C77" s="14" t="s">
        <v>27</v>
      </c>
      <c r="D77" s="14"/>
      <c r="E77" s="15">
        <f>+'APU CAP 1-2'!H3075</f>
        <v>107316</v>
      </c>
      <c r="F77" s="16">
        <f t="shared" si="3"/>
        <v>0</v>
      </c>
      <c r="G77" s="8">
        <f t="shared" si="4"/>
        <v>0</v>
      </c>
    </row>
    <row r="78" spans="1:7" hidden="1" x14ac:dyDescent="0.25">
      <c r="A78" s="17" t="s">
        <v>160</v>
      </c>
      <c r="B78" s="18" t="s">
        <v>161</v>
      </c>
      <c r="C78" s="14" t="s">
        <v>27</v>
      </c>
      <c r="D78" s="14"/>
      <c r="E78" s="15"/>
      <c r="F78" s="16">
        <f t="shared" si="3"/>
        <v>0</v>
      </c>
      <c r="G78" s="8">
        <f t="shared" si="4"/>
        <v>0</v>
      </c>
    </row>
    <row r="79" spans="1:7" ht="25.5" x14ac:dyDescent="0.25">
      <c r="A79" s="17" t="s">
        <v>30</v>
      </c>
      <c r="B79" s="25" t="s">
        <v>6319</v>
      </c>
      <c r="C79" s="14" t="s">
        <v>27</v>
      </c>
      <c r="D79" s="14">
        <f>+D39+D41+D43+D47+D48+-D71</f>
        <v>4289</v>
      </c>
      <c r="E79" s="15">
        <f>+'APU CAP 1-2'!H3185</f>
        <v>14194</v>
      </c>
      <c r="F79" s="16">
        <f t="shared" si="3"/>
        <v>60878066</v>
      </c>
      <c r="G79" s="8">
        <f t="shared" si="4"/>
        <v>1</v>
      </c>
    </row>
    <row r="80" spans="1:7" x14ac:dyDescent="0.25">
      <c r="A80" s="2454" t="s">
        <v>31</v>
      </c>
      <c r="B80" s="2455"/>
      <c r="C80" s="2455"/>
      <c r="D80" s="2455"/>
      <c r="E80" s="2455"/>
      <c r="F80" s="19">
        <f>SUM(F71:F79)</f>
        <v>268113041</v>
      </c>
      <c r="G80" s="8">
        <f t="shared" si="4"/>
        <v>1</v>
      </c>
    </row>
    <row r="81" spans="1:7" hidden="1" x14ac:dyDescent="0.25">
      <c r="A81" s="608" t="s">
        <v>162</v>
      </c>
      <c r="B81" s="13" t="s">
        <v>163</v>
      </c>
      <c r="C81" s="14"/>
      <c r="D81" s="14"/>
      <c r="E81" s="18"/>
      <c r="F81" s="45"/>
      <c r="G81" s="8">
        <f t="shared" si="4"/>
        <v>0</v>
      </c>
    </row>
    <row r="82" spans="1:7" hidden="1" x14ac:dyDescent="0.25">
      <c r="A82" s="17" t="s">
        <v>164</v>
      </c>
      <c r="B82" s="18" t="s">
        <v>165</v>
      </c>
      <c r="C82" s="14" t="s">
        <v>27</v>
      </c>
      <c r="D82" s="14"/>
      <c r="E82" s="443">
        <f>+'APU CAP 1-2'!H3238</f>
        <v>102425.96153846153</v>
      </c>
      <c r="F82" s="16">
        <f t="shared" ref="F82:F92" si="5">+D82*E82</f>
        <v>0</v>
      </c>
      <c r="G82" s="8">
        <f t="shared" si="4"/>
        <v>0</v>
      </c>
    </row>
    <row r="83" spans="1:7" hidden="1" x14ac:dyDescent="0.25">
      <c r="A83" s="17" t="s">
        <v>171</v>
      </c>
      <c r="B83" s="18" t="s">
        <v>166</v>
      </c>
      <c r="C83" s="14" t="s">
        <v>27</v>
      </c>
      <c r="D83" s="14"/>
      <c r="E83" s="443">
        <f>+'APU CAP 1-2'!H3293</f>
        <v>45880</v>
      </c>
      <c r="F83" s="16">
        <f t="shared" si="5"/>
        <v>0</v>
      </c>
      <c r="G83" s="8">
        <f t="shared" si="4"/>
        <v>0</v>
      </c>
    </row>
    <row r="84" spans="1:7" hidden="1" x14ac:dyDescent="0.25">
      <c r="A84" s="17" t="s">
        <v>172</v>
      </c>
      <c r="B84" s="18" t="s">
        <v>167</v>
      </c>
      <c r="C84" s="14" t="s">
        <v>27</v>
      </c>
      <c r="D84" s="14"/>
      <c r="E84" s="443">
        <f>+'APU CAP 1-2'!H3348</f>
        <v>89975.294117647063</v>
      </c>
      <c r="F84" s="16">
        <f t="shared" si="5"/>
        <v>0</v>
      </c>
      <c r="G84" s="8">
        <f t="shared" si="4"/>
        <v>0</v>
      </c>
    </row>
    <row r="85" spans="1:7" hidden="1" x14ac:dyDescent="0.25">
      <c r="A85" s="17" t="s">
        <v>173</v>
      </c>
      <c r="B85" s="18" t="s">
        <v>168</v>
      </c>
      <c r="C85" s="14" t="s">
        <v>27</v>
      </c>
      <c r="D85" s="14"/>
      <c r="E85" s="443">
        <f>+'APU CAP 1-2'!H3403</f>
        <v>26738.666666666668</v>
      </c>
      <c r="F85" s="16">
        <f t="shared" si="5"/>
        <v>0</v>
      </c>
      <c r="G85" s="8">
        <f t="shared" si="4"/>
        <v>0</v>
      </c>
    </row>
    <row r="86" spans="1:7" hidden="1" x14ac:dyDescent="0.25">
      <c r="A86" s="17" t="s">
        <v>174</v>
      </c>
      <c r="B86" s="18" t="s">
        <v>170</v>
      </c>
      <c r="C86" s="14" t="s">
        <v>27</v>
      </c>
      <c r="D86" s="14"/>
      <c r="E86" s="443">
        <f>+'APU CAP 1-2'!H3458</f>
        <v>26738.666666666668</v>
      </c>
      <c r="F86" s="16">
        <f t="shared" si="5"/>
        <v>0</v>
      </c>
      <c r="G86" s="8">
        <f t="shared" si="4"/>
        <v>0</v>
      </c>
    </row>
    <row r="87" spans="1:7" hidden="1" x14ac:dyDescent="0.25">
      <c r="A87" s="17" t="s">
        <v>179</v>
      </c>
      <c r="B87" s="18" t="s">
        <v>175</v>
      </c>
      <c r="C87" s="14" t="s">
        <v>14</v>
      </c>
      <c r="D87" s="14"/>
      <c r="E87" s="443">
        <f>+'APU CAP 1-2'!H3513</f>
        <v>10992.083333333332</v>
      </c>
      <c r="F87" s="16">
        <f t="shared" si="5"/>
        <v>0</v>
      </c>
      <c r="G87" s="8">
        <f t="shared" si="4"/>
        <v>0</v>
      </c>
    </row>
    <row r="88" spans="1:7" hidden="1" x14ac:dyDescent="0.25">
      <c r="A88" s="17" t="s">
        <v>180</v>
      </c>
      <c r="B88" s="18" t="s">
        <v>176</v>
      </c>
      <c r="C88" s="14" t="s">
        <v>14</v>
      </c>
      <c r="D88" s="14"/>
      <c r="E88" s="443">
        <f>+'APU CAP 1-2'!H3568</f>
        <v>16317</v>
      </c>
      <c r="F88" s="16">
        <f t="shared" si="5"/>
        <v>0</v>
      </c>
      <c r="G88" s="8">
        <f t="shared" si="4"/>
        <v>0</v>
      </c>
    </row>
    <row r="89" spans="1:7" hidden="1" x14ac:dyDescent="0.25">
      <c r="A89" s="17" t="s">
        <v>181</v>
      </c>
      <c r="B89" s="18" t="s">
        <v>177</v>
      </c>
      <c r="C89" s="14" t="s">
        <v>14</v>
      </c>
      <c r="D89" s="14"/>
      <c r="E89" s="443">
        <f>+'APU CAP 1-2'!H3623</f>
        <v>20072.5</v>
      </c>
      <c r="F89" s="16">
        <f t="shared" si="5"/>
        <v>0</v>
      </c>
      <c r="G89" s="8">
        <f t="shared" si="4"/>
        <v>0</v>
      </c>
    </row>
    <row r="90" spans="1:7" hidden="1" x14ac:dyDescent="0.25">
      <c r="A90" s="17" t="s">
        <v>182</v>
      </c>
      <c r="B90" s="18" t="s">
        <v>178</v>
      </c>
      <c r="C90" s="14" t="s">
        <v>14</v>
      </c>
      <c r="D90" s="14"/>
      <c r="E90" s="443">
        <f>+'APU CAP 1-2'!H3678</f>
        <v>26331.666666666668</v>
      </c>
      <c r="F90" s="16">
        <f t="shared" si="5"/>
        <v>0</v>
      </c>
      <c r="G90" s="8">
        <f t="shared" si="4"/>
        <v>0</v>
      </c>
    </row>
    <row r="91" spans="1:7" hidden="1" x14ac:dyDescent="0.25">
      <c r="A91" s="17" t="s">
        <v>183</v>
      </c>
      <c r="B91" s="18" t="s">
        <v>184</v>
      </c>
      <c r="C91" s="14" t="s">
        <v>14</v>
      </c>
      <c r="D91" s="14"/>
      <c r="E91" s="443">
        <f>+'APU CAP 1-2'!H3733</f>
        <v>35150</v>
      </c>
      <c r="F91" s="16">
        <f t="shared" si="5"/>
        <v>0</v>
      </c>
      <c r="G91" s="8">
        <f t="shared" si="4"/>
        <v>0</v>
      </c>
    </row>
    <row r="92" spans="1:7" hidden="1" x14ac:dyDescent="0.25">
      <c r="A92" s="17" t="s">
        <v>185</v>
      </c>
      <c r="B92" s="18" t="s">
        <v>186</v>
      </c>
      <c r="C92" s="14" t="s">
        <v>146</v>
      </c>
      <c r="D92" s="14"/>
      <c r="E92" s="443">
        <f>+'APU CAP 1-2'!H3788</f>
        <v>1631.7</v>
      </c>
      <c r="F92" s="16">
        <f t="shared" si="5"/>
        <v>0</v>
      </c>
      <c r="G92" s="8">
        <f t="shared" si="4"/>
        <v>0</v>
      </c>
    </row>
    <row r="93" spans="1:7" hidden="1" x14ac:dyDescent="0.25">
      <c r="A93" s="2454" t="s">
        <v>839</v>
      </c>
      <c r="B93" s="2455"/>
      <c r="C93" s="2455"/>
      <c r="D93" s="2455"/>
      <c r="E93" s="2455"/>
      <c r="F93" s="45">
        <f>SUM(F82:F92)</f>
        <v>0</v>
      </c>
      <c r="G93" s="8">
        <f t="shared" si="4"/>
        <v>0</v>
      </c>
    </row>
    <row r="94" spans="1:7" hidden="1" x14ac:dyDescent="0.25">
      <c r="A94" s="20">
        <v>3</v>
      </c>
      <c r="B94" s="21" t="s">
        <v>32</v>
      </c>
      <c r="C94" s="22"/>
      <c r="D94" s="22"/>
      <c r="E94" s="23"/>
      <c r="F94" s="24"/>
      <c r="G94" s="8">
        <f t="shared" si="4"/>
        <v>0</v>
      </c>
    </row>
    <row r="95" spans="1:7" hidden="1" x14ac:dyDescent="0.25">
      <c r="A95" s="12" t="s">
        <v>33</v>
      </c>
      <c r="B95" s="13" t="s">
        <v>34</v>
      </c>
      <c r="C95" s="14"/>
      <c r="D95" s="14"/>
      <c r="E95" s="15"/>
      <c r="F95" s="16"/>
      <c r="G95" s="8">
        <f t="shared" si="4"/>
        <v>0</v>
      </c>
    </row>
    <row r="96" spans="1:7" hidden="1" x14ac:dyDescent="0.25">
      <c r="A96" s="12" t="s">
        <v>187</v>
      </c>
      <c r="B96" s="13" t="s">
        <v>188</v>
      </c>
      <c r="C96" s="14"/>
      <c r="D96" s="14"/>
      <c r="E96" s="15"/>
      <c r="F96" s="16"/>
      <c r="G96" s="8">
        <f t="shared" si="4"/>
        <v>0</v>
      </c>
    </row>
    <row r="97" spans="1:7" hidden="1" x14ac:dyDescent="0.25">
      <c r="A97" s="17" t="s">
        <v>189</v>
      </c>
      <c r="B97" s="18" t="s">
        <v>193</v>
      </c>
      <c r="C97" s="14" t="s">
        <v>14</v>
      </c>
      <c r="D97" s="14"/>
      <c r="E97" s="15">
        <f>+'APU CAP 3'!H51</f>
        <v>3788.6967006</v>
      </c>
      <c r="F97" s="16">
        <f t="shared" ref="F97:F106" si="6">+D97*E97</f>
        <v>0</v>
      </c>
      <c r="G97" s="8">
        <f t="shared" si="4"/>
        <v>0</v>
      </c>
    </row>
    <row r="98" spans="1:7" hidden="1" x14ac:dyDescent="0.25">
      <c r="A98" s="17" t="s">
        <v>190</v>
      </c>
      <c r="B98" s="18" t="s">
        <v>194</v>
      </c>
      <c r="C98" s="14" t="s">
        <v>14</v>
      </c>
      <c r="D98" s="14"/>
      <c r="E98" s="15">
        <f>+'APU CAP 3'!H51</f>
        <v>3788.6967006</v>
      </c>
      <c r="F98" s="16">
        <f t="shared" si="6"/>
        <v>0</v>
      </c>
      <c r="G98" s="8">
        <f t="shared" si="4"/>
        <v>0</v>
      </c>
    </row>
    <row r="99" spans="1:7" hidden="1" x14ac:dyDescent="0.25">
      <c r="A99" s="17" t="s">
        <v>191</v>
      </c>
      <c r="B99" s="18" t="s">
        <v>195</v>
      </c>
      <c r="C99" s="14" t="s">
        <v>14</v>
      </c>
      <c r="D99" s="14"/>
      <c r="E99" s="15">
        <f>+'APU CAP 3'!H105</f>
        <v>5173</v>
      </c>
      <c r="F99" s="16">
        <f t="shared" si="6"/>
        <v>0</v>
      </c>
      <c r="G99" s="8">
        <f t="shared" si="4"/>
        <v>0</v>
      </c>
    </row>
    <row r="100" spans="1:7" hidden="1" x14ac:dyDescent="0.25">
      <c r="A100" s="17" t="s">
        <v>192</v>
      </c>
      <c r="B100" s="18" t="s">
        <v>196</v>
      </c>
      <c r="C100" s="14" t="s">
        <v>14</v>
      </c>
      <c r="D100" s="14"/>
      <c r="E100" s="15">
        <f>+'APU CAP 3'!H105</f>
        <v>5173</v>
      </c>
      <c r="F100" s="16">
        <f t="shared" si="6"/>
        <v>0</v>
      </c>
      <c r="G100" s="8">
        <f t="shared" si="4"/>
        <v>0</v>
      </c>
    </row>
    <row r="101" spans="1:7" hidden="1" x14ac:dyDescent="0.25">
      <c r="A101" s="17" t="s">
        <v>220</v>
      </c>
      <c r="B101" s="18" t="s">
        <v>221</v>
      </c>
      <c r="C101" s="14" t="s">
        <v>14</v>
      </c>
      <c r="D101" s="14"/>
      <c r="E101" s="15"/>
      <c r="F101" s="16">
        <f t="shared" si="6"/>
        <v>0</v>
      </c>
      <c r="G101" s="8">
        <f t="shared" si="4"/>
        <v>0</v>
      </c>
    </row>
    <row r="102" spans="1:7" hidden="1" x14ac:dyDescent="0.25">
      <c r="A102" s="17" t="s">
        <v>225</v>
      </c>
      <c r="B102" s="18" t="s">
        <v>5991</v>
      </c>
      <c r="C102" s="14" t="s">
        <v>14</v>
      </c>
      <c r="D102" s="14"/>
      <c r="E102" s="15"/>
      <c r="F102" s="16">
        <f t="shared" si="6"/>
        <v>0</v>
      </c>
      <c r="G102" s="8">
        <f t="shared" si="4"/>
        <v>0</v>
      </c>
    </row>
    <row r="103" spans="1:7" hidden="1" x14ac:dyDescent="0.25">
      <c r="A103" s="17" t="s">
        <v>226</v>
      </c>
      <c r="B103" s="18" t="s">
        <v>223</v>
      </c>
      <c r="C103" s="14" t="s">
        <v>14</v>
      </c>
      <c r="D103" s="14"/>
      <c r="E103" s="15"/>
      <c r="F103" s="16">
        <f t="shared" si="6"/>
        <v>0</v>
      </c>
      <c r="G103" s="8">
        <f t="shared" si="4"/>
        <v>0</v>
      </c>
    </row>
    <row r="104" spans="1:7" hidden="1" x14ac:dyDescent="0.25">
      <c r="A104" s="17" t="s">
        <v>227</v>
      </c>
      <c r="B104" s="18" t="s">
        <v>224</v>
      </c>
      <c r="C104" s="14" t="s">
        <v>14</v>
      </c>
      <c r="D104" s="14"/>
      <c r="E104" s="15"/>
      <c r="F104" s="16">
        <f t="shared" si="6"/>
        <v>0</v>
      </c>
      <c r="G104" s="8">
        <f t="shared" si="4"/>
        <v>0</v>
      </c>
    </row>
    <row r="105" spans="1:7" hidden="1" x14ac:dyDescent="0.25">
      <c r="A105" s="17" t="s">
        <v>228</v>
      </c>
      <c r="B105" s="18" t="s">
        <v>222</v>
      </c>
      <c r="C105" s="14" t="s">
        <v>14</v>
      </c>
      <c r="D105" s="14"/>
      <c r="E105" s="15"/>
      <c r="F105" s="16">
        <f t="shared" si="6"/>
        <v>0</v>
      </c>
      <c r="G105" s="8">
        <f t="shared" si="4"/>
        <v>0</v>
      </c>
    </row>
    <row r="106" spans="1:7" hidden="1" x14ac:dyDescent="0.25">
      <c r="A106" s="17" t="s">
        <v>229</v>
      </c>
      <c r="B106" s="18" t="s">
        <v>230</v>
      </c>
      <c r="C106" s="14" t="s">
        <v>14</v>
      </c>
      <c r="D106" s="14"/>
      <c r="E106" s="15">
        <f>+'APU CAP 3'!H159</f>
        <v>462</v>
      </c>
      <c r="F106" s="16">
        <f t="shared" si="6"/>
        <v>0</v>
      </c>
      <c r="G106" s="8">
        <f t="shared" si="4"/>
        <v>0</v>
      </c>
    </row>
    <row r="107" spans="1:7" hidden="1" x14ac:dyDescent="0.25">
      <c r="A107" s="12" t="s">
        <v>35</v>
      </c>
      <c r="B107" s="13" t="s">
        <v>36</v>
      </c>
      <c r="C107" s="14"/>
      <c r="D107" s="26"/>
      <c r="E107" s="15"/>
      <c r="F107" s="16"/>
      <c r="G107" s="8">
        <f t="shared" si="4"/>
        <v>0</v>
      </c>
    </row>
    <row r="108" spans="1:7" hidden="1" x14ac:dyDescent="0.25">
      <c r="A108" s="17" t="s">
        <v>406</v>
      </c>
      <c r="B108" s="18" t="s">
        <v>208</v>
      </c>
      <c r="C108" s="14" t="s">
        <v>14</v>
      </c>
      <c r="D108" s="26"/>
      <c r="E108" s="15">
        <f>+'APU CAP 3'!H213</f>
        <v>3247</v>
      </c>
      <c r="F108" s="16">
        <f t="shared" ref="F108:F120" si="7">+D108*E108</f>
        <v>0</v>
      </c>
      <c r="G108" s="8">
        <f t="shared" si="4"/>
        <v>0</v>
      </c>
    </row>
    <row r="109" spans="1:7" hidden="1" x14ac:dyDescent="0.25">
      <c r="A109" s="17" t="s">
        <v>407</v>
      </c>
      <c r="B109" s="18" t="s">
        <v>405</v>
      </c>
      <c r="C109" s="14" t="s">
        <v>14</v>
      </c>
      <c r="D109" s="26"/>
      <c r="E109" s="15">
        <f>+'APU CAP 3'!H213</f>
        <v>3247</v>
      </c>
      <c r="F109" s="16">
        <f t="shared" si="7"/>
        <v>0</v>
      </c>
      <c r="G109" s="8">
        <f t="shared" si="4"/>
        <v>0</v>
      </c>
    </row>
    <row r="110" spans="1:7" hidden="1" x14ac:dyDescent="0.25">
      <c r="A110" s="17" t="s">
        <v>197</v>
      </c>
      <c r="B110" s="18" t="s">
        <v>209</v>
      </c>
      <c r="C110" s="14" t="s">
        <v>14</v>
      </c>
      <c r="D110" s="26"/>
      <c r="E110" s="15">
        <f>+'APU CAP 3'!P213</f>
        <v>3933</v>
      </c>
      <c r="F110" s="16">
        <f t="shared" si="7"/>
        <v>0</v>
      </c>
      <c r="G110" s="8">
        <f t="shared" si="4"/>
        <v>0</v>
      </c>
    </row>
    <row r="111" spans="1:7" hidden="1" x14ac:dyDescent="0.25">
      <c r="A111" s="17" t="s">
        <v>198</v>
      </c>
      <c r="B111" s="18" t="s">
        <v>210</v>
      </c>
      <c r="C111" s="14" t="s">
        <v>14</v>
      </c>
      <c r="D111" s="26"/>
      <c r="E111" s="15">
        <f>+'APU CAP 3'!X213</f>
        <v>4802</v>
      </c>
      <c r="F111" s="16">
        <f t="shared" si="7"/>
        <v>0</v>
      </c>
      <c r="G111" s="8">
        <f t="shared" si="4"/>
        <v>0</v>
      </c>
    </row>
    <row r="112" spans="1:7" hidden="1" x14ac:dyDescent="0.25">
      <c r="A112" s="17" t="s">
        <v>199</v>
      </c>
      <c r="B112" s="18" t="s">
        <v>211</v>
      </c>
      <c r="C112" s="14" t="s">
        <v>14</v>
      </c>
      <c r="D112" s="26"/>
      <c r="E112" s="15">
        <f>+'APU CAP 3'!H267</f>
        <v>8019</v>
      </c>
      <c r="F112" s="16">
        <f t="shared" si="7"/>
        <v>0</v>
      </c>
      <c r="G112" s="8">
        <f t="shared" si="4"/>
        <v>0</v>
      </c>
    </row>
    <row r="113" spans="1:7" hidden="1" x14ac:dyDescent="0.25">
      <c r="A113" s="17" t="s">
        <v>200</v>
      </c>
      <c r="B113" s="18" t="s">
        <v>212</v>
      </c>
      <c r="C113" s="14" t="s">
        <v>14</v>
      </c>
      <c r="D113" s="26"/>
      <c r="E113" s="15">
        <f>+'APU CAP 3'!P267</f>
        <v>10956</v>
      </c>
      <c r="F113" s="16">
        <f t="shared" si="7"/>
        <v>0</v>
      </c>
      <c r="G113" s="8">
        <f t="shared" si="4"/>
        <v>0</v>
      </c>
    </row>
    <row r="114" spans="1:7" hidden="1" x14ac:dyDescent="0.25">
      <c r="A114" s="17" t="s">
        <v>201</v>
      </c>
      <c r="B114" s="18" t="s">
        <v>213</v>
      </c>
      <c r="C114" s="14" t="s">
        <v>14</v>
      </c>
      <c r="D114" s="26"/>
      <c r="E114" s="15">
        <f>+'APU CAP 3'!H321</f>
        <v>13725</v>
      </c>
      <c r="F114" s="16">
        <f t="shared" si="7"/>
        <v>0</v>
      </c>
      <c r="G114" s="8">
        <f t="shared" si="4"/>
        <v>0</v>
      </c>
    </row>
    <row r="115" spans="1:7" hidden="1" x14ac:dyDescent="0.25">
      <c r="A115" s="17" t="s">
        <v>202</v>
      </c>
      <c r="B115" s="18" t="s">
        <v>214</v>
      </c>
      <c r="C115" s="14" t="s">
        <v>14</v>
      </c>
      <c r="D115" s="26"/>
      <c r="E115" s="15">
        <f>+'APU CAP 3'!P321</f>
        <v>16500</v>
      </c>
      <c r="F115" s="16">
        <f t="shared" si="7"/>
        <v>0</v>
      </c>
      <c r="G115" s="8">
        <f t="shared" si="4"/>
        <v>0</v>
      </c>
    </row>
    <row r="116" spans="1:7" hidden="1" x14ac:dyDescent="0.25">
      <c r="A116" s="17" t="s">
        <v>203</v>
      </c>
      <c r="B116" s="18" t="s">
        <v>215</v>
      </c>
      <c r="C116" s="14" t="s">
        <v>14</v>
      </c>
      <c r="D116" s="26"/>
      <c r="E116" s="15">
        <f>+'APU CAP 3'!H375</f>
        <v>20256</v>
      </c>
      <c r="F116" s="16">
        <f t="shared" si="7"/>
        <v>0</v>
      </c>
      <c r="G116" s="8">
        <f t="shared" si="4"/>
        <v>0</v>
      </c>
    </row>
    <row r="117" spans="1:7" hidden="1" x14ac:dyDescent="0.25">
      <c r="A117" s="17" t="s">
        <v>204</v>
      </c>
      <c r="B117" s="18" t="s">
        <v>216</v>
      </c>
      <c r="C117" s="14" t="s">
        <v>14</v>
      </c>
      <c r="D117" s="26"/>
      <c r="E117" s="15">
        <f>+'APU CAP 3'!P375</f>
        <v>23506</v>
      </c>
      <c r="F117" s="16">
        <f t="shared" si="7"/>
        <v>0</v>
      </c>
      <c r="G117" s="8">
        <f t="shared" si="4"/>
        <v>0</v>
      </c>
    </row>
    <row r="118" spans="1:7" hidden="1" x14ac:dyDescent="0.25">
      <c r="A118" s="17" t="s">
        <v>205</v>
      </c>
      <c r="B118" s="18" t="s">
        <v>217</v>
      </c>
      <c r="C118" s="14" t="s">
        <v>14</v>
      </c>
      <c r="D118" s="26"/>
      <c r="E118" s="15">
        <f>+'APU CAP 3'!H429</f>
        <v>28370</v>
      </c>
      <c r="F118" s="16">
        <f t="shared" si="7"/>
        <v>0</v>
      </c>
      <c r="G118" s="8">
        <f t="shared" si="4"/>
        <v>0</v>
      </c>
    </row>
    <row r="119" spans="1:7" hidden="1" x14ac:dyDescent="0.25">
      <c r="A119" s="17" t="s">
        <v>206</v>
      </c>
      <c r="B119" s="18" t="s">
        <v>218</v>
      </c>
      <c r="C119" s="14" t="s">
        <v>14</v>
      </c>
      <c r="D119" s="26"/>
      <c r="E119" s="15">
        <f>+'APU CAP 3'!P429</f>
        <v>35037</v>
      </c>
      <c r="F119" s="16">
        <f t="shared" si="7"/>
        <v>0</v>
      </c>
      <c r="G119" s="8">
        <f t="shared" si="4"/>
        <v>0</v>
      </c>
    </row>
    <row r="120" spans="1:7" hidden="1" x14ac:dyDescent="0.25">
      <c r="A120" s="17" t="s">
        <v>207</v>
      </c>
      <c r="B120" s="18" t="s">
        <v>219</v>
      </c>
      <c r="C120" s="14" t="s">
        <v>14</v>
      </c>
      <c r="D120" s="26"/>
      <c r="E120" s="15"/>
      <c r="F120" s="16">
        <f t="shared" si="7"/>
        <v>0</v>
      </c>
      <c r="G120" s="8">
        <f t="shared" si="4"/>
        <v>0</v>
      </c>
    </row>
    <row r="121" spans="1:7" hidden="1" x14ac:dyDescent="0.25">
      <c r="A121" s="12" t="s">
        <v>231</v>
      </c>
      <c r="B121" s="13" t="s">
        <v>232</v>
      </c>
      <c r="C121" s="14"/>
      <c r="D121" s="26"/>
      <c r="E121" s="15"/>
      <c r="F121" s="16"/>
      <c r="G121" s="8">
        <f t="shared" si="4"/>
        <v>0</v>
      </c>
    </row>
    <row r="122" spans="1:7" hidden="1" x14ac:dyDescent="0.25">
      <c r="A122" s="17" t="s">
        <v>233</v>
      </c>
      <c r="B122" s="18" t="s">
        <v>236</v>
      </c>
      <c r="C122" s="14" t="s">
        <v>37</v>
      </c>
      <c r="D122" s="26"/>
      <c r="E122" s="15">
        <f>+'APU CAP 3'!H483</f>
        <v>8497</v>
      </c>
      <c r="F122" s="16">
        <f t="shared" ref="F122:F127" si="8">+D122*E122</f>
        <v>0</v>
      </c>
      <c r="G122" s="8">
        <f t="shared" si="4"/>
        <v>0</v>
      </c>
    </row>
    <row r="123" spans="1:7" hidden="1" x14ac:dyDescent="0.25">
      <c r="A123" s="17" t="s">
        <v>234</v>
      </c>
      <c r="B123" s="18" t="s">
        <v>237</v>
      </c>
      <c r="C123" s="14" t="s">
        <v>37</v>
      </c>
      <c r="D123" s="26"/>
      <c r="E123" s="15">
        <f>+'APU CAP 3'!H537</f>
        <v>10839</v>
      </c>
      <c r="F123" s="16">
        <f t="shared" si="8"/>
        <v>0</v>
      </c>
      <c r="G123" s="8">
        <f t="shared" si="4"/>
        <v>0</v>
      </c>
    </row>
    <row r="124" spans="1:7" hidden="1" x14ac:dyDescent="0.25">
      <c r="A124" s="17" t="s">
        <v>235</v>
      </c>
      <c r="B124" s="18" t="s">
        <v>238</v>
      </c>
      <c r="C124" s="14" t="s">
        <v>37</v>
      </c>
      <c r="D124" s="26"/>
      <c r="E124" s="15">
        <f>+'APU CAP 3'!H591</f>
        <v>17536</v>
      </c>
      <c r="F124" s="16">
        <f t="shared" si="8"/>
        <v>0</v>
      </c>
      <c r="G124" s="8">
        <f t="shared" si="4"/>
        <v>0</v>
      </c>
    </row>
    <row r="125" spans="1:7" hidden="1" x14ac:dyDescent="0.25">
      <c r="A125" s="17" t="s">
        <v>5761</v>
      </c>
      <c r="B125" s="18" t="s">
        <v>5763</v>
      </c>
      <c r="C125" s="14" t="s">
        <v>37</v>
      </c>
      <c r="D125" s="26"/>
      <c r="E125" s="15"/>
      <c r="F125" s="16">
        <f t="shared" si="8"/>
        <v>0</v>
      </c>
      <c r="G125" s="8">
        <f t="shared" si="4"/>
        <v>0</v>
      </c>
    </row>
    <row r="126" spans="1:7" hidden="1" x14ac:dyDescent="0.25">
      <c r="A126" s="17" t="s">
        <v>5762</v>
      </c>
      <c r="B126" s="18" t="s">
        <v>5764</v>
      </c>
      <c r="C126" s="14" t="s">
        <v>37</v>
      </c>
      <c r="D126" s="26"/>
      <c r="E126" s="15"/>
      <c r="F126" s="16">
        <f t="shared" si="8"/>
        <v>0</v>
      </c>
      <c r="G126" s="8">
        <f t="shared" si="4"/>
        <v>0</v>
      </c>
    </row>
    <row r="127" spans="1:7" hidden="1" x14ac:dyDescent="0.25">
      <c r="A127" s="17" t="s">
        <v>5765</v>
      </c>
      <c r="B127" s="18" t="s">
        <v>5766</v>
      </c>
      <c r="C127" s="14" t="s">
        <v>37</v>
      </c>
      <c r="D127" s="26"/>
      <c r="E127" s="15"/>
      <c r="F127" s="16">
        <f t="shared" si="8"/>
        <v>0</v>
      </c>
      <c r="G127" s="8">
        <f t="shared" si="4"/>
        <v>0</v>
      </c>
    </row>
    <row r="128" spans="1:7" hidden="1" x14ac:dyDescent="0.25">
      <c r="A128" s="12" t="s">
        <v>239</v>
      </c>
      <c r="B128" s="13" t="s">
        <v>240</v>
      </c>
      <c r="C128" s="14"/>
      <c r="D128" s="26"/>
      <c r="E128" s="15"/>
      <c r="F128" s="16"/>
      <c r="G128" s="8">
        <f t="shared" si="4"/>
        <v>0</v>
      </c>
    </row>
    <row r="129" spans="1:7" hidden="1" x14ac:dyDescent="0.25">
      <c r="A129" s="17" t="s">
        <v>241</v>
      </c>
      <c r="B129" s="18" t="s">
        <v>1924</v>
      </c>
      <c r="C129" s="14" t="s">
        <v>14</v>
      </c>
      <c r="D129" s="26"/>
      <c r="E129" s="15">
        <f>+'APU CAP 3'!H645</f>
        <v>11850</v>
      </c>
      <c r="F129" s="16">
        <f t="shared" ref="F129:F149" si="9">+D129*E129</f>
        <v>0</v>
      </c>
      <c r="G129" s="8">
        <f t="shared" si="4"/>
        <v>0</v>
      </c>
    </row>
    <row r="130" spans="1:7" hidden="1" x14ac:dyDescent="0.25">
      <c r="A130" s="17" t="s">
        <v>253</v>
      </c>
      <c r="B130" s="18" t="s">
        <v>242</v>
      </c>
      <c r="C130" s="14" t="s">
        <v>14</v>
      </c>
      <c r="D130" s="26"/>
      <c r="E130" s="15">
        <f>+E129</f>
        <v>11850</v>
      </c>
      <c r="F130" s="16">
        <f t="shared" si="9"/>
        <v>0</v>
      </c>
      <c r="G130" s="8">
        <f t="shared" si="4"/>
        <v>0</v>
      </c>
    </row>
    <row r="131" spans="1:7" hidden="1" x14ac:dyDescent="0.25">
      <c r="A131" s="17" t="s">
        <v>254</v>
      </c>
      <c r="B131" s="18" t="s">
        <v>243</v>
      </c>
      <c r="C131" s="14" t="s">
        <v>14</v>
      </c>
      <c r="D131" s="26"/>
      <c r="E131" s="15">
        <f>+E129</f>
        <v>11850</v>
      </c>
      <c r="F131" s="16">
        <f t="shared" si="9"/>
        <v>0</v>
      </c>
      <c r="G131" s="8">
        <f t="shared" si="4"/>
        <v>0</v>
      </c>
    </row>
    <row r="132" spans="1:7" hidden="1" x14ac:dyDescent="0.25">
      <c r="A132" s="17" t="s">
        <v>255</v>
      </c>
      <c r="B132" s="18" t="s">
        <v>244</v>
      </c>
      <c r="C132" s="14" t="s">
        <v>14</v>
      </c>
      <c r="D132" s="26"/>
      <c r="E132" s="15">
        <f>+E129</f>
        <v>11850</v>
      </c>
      <c r="F132" s="16">
        <f t="shared" si="9"/>
        <v>0</v>
      </c>
      <c r="G132" s="8">
        <f t="shared" si="4"/>
        <v>0</v>
      </c>
    </row>
    <row r="133" spans="1:7" hidden="1" x14ac:dyDescent="0.25">
      <c r="A133" s="17" t="s">
        <v>256</v>
      </c>
      <c r="B133" s="18" t="s">
        <v>245</v>
      </c>
      <c r="C133" s="14" t="s">
        <v>14</v>
      </c>
      <c r="D133" s="26"/>
      <c r="E133" s="15">
        <f>+E129</f>
        <v>11850</v>
      </c>
      <c r="F133" s="16">
        <f t="shared" si="9"/>
        <v>0</v>
      </c>
      <c r="G133" s="8">
        <f t="shared" si="4"/>
        <v>0</v>
      </c>
    </row>
    <row r="134" spans="1:7" hidden="1" x14ac:dyDescent="0.25">
      <c r="A134" s="17" t="s">
        <v>257</v>
      </c>
      <c r="B134" s="18" t="s">
        <v>246</v>
      </c>
      <c r="C134" s="14" t="s">
        <v>14</v>
      </c>
      <c r="D134" s="26"/>
      <c r="E134" s="15">
        <f>+E129</f>
        <v>11850</v>
      </c>
      <c r="F134" s="16">
        <f t="shared" si="9"/>
        <v>0</v>
      </c>
      <c r="G134" s="8">
        <f t="shared" si="4"/>
        <v>0</v>
      </c>
    </row>
    <row r="135" spans="1:7" hidden="1" x14ac:dyDescent="0.25">
      <c r="A135" s="17" t="s">
        <v>258</v>
      </c>
      <c r="B135" s="18" t="s">
        <v>1925</v>
      </c>
      <c r="C135" s="14" t="s">
        <v>14</v>
      </c>
      <c r="D135" s="26"/>
      <c r="E135" s="15">
        <f>+'APU CAP 3'!P645</f>
        <v>15182</v>
      </c>
      <c r="F135" s="16">
        <f t="shared" si="9"/>
        <v>0</v>
      </c>
      <c r="G135" s="8">
        <f t="shared" si="4"/>
        <v>0</v>
      </c>
    </row>
    <row r="136" spans="1:7" hidden="1" x14ac:dyDescent="0.25">
      <c r="A136" s="17" t="s">
        <v>259</v>
      </c>
      <c r="B136" s="18" t="s">
        <v>1926</v>
      </c>
      <c r="C136" s="14" t="s">
        <v>14</v>
      </c>
      <c r="D136" s="26"/>
      <c r="E136" s="15">
        <f>+E135</f>
        <v>15182</v>
      </c>
      <c r="F136" s="16">
        <f t="shared" si="9"/>
        <v>0</v>
      </c>
      <c r="G136" s="8">
        <f t="shared" si="4"/>
        <v>0</v>
      </c>
    </row>
    <row r="137" spans="1:7" hidden="1" x14ac:dyDescent="0.25">
      <c r="A137" s="17" t="s">
        <v>260</v>
      </c>
      <c r="B137" s="18" t="s">
        <v>247</v>
      </c>
      <c r="C137" s="14" t="s">
        <v>14</v>
      </c>
      <c r="D137" s="26"/>
      <c r="E137" s="15">
        <f>+'APU CAP 3'!H699</f>
        <v>21692</v>
      </c>
      <c r="F137" s="16">
        <f t="shared" si="9"/>
        <v>0</v>
      </c>
      <c r="G137" s="8">
        <f t="shared" si="4"/>
        <v>0</v>
      </c>
    </row>
    <row r="138" spans="1:7" hidden="1" x14ac:dyDescent="0.25">
      <c r="A138" s="17" t="s">
        <v>261</v>
      </c>
      <c r="B138" s="18" t="s">
        <v>1927</v>
      </c>
      <c r="C138" s="14" t="s">
        <v>14</v>
      </c>
      <c r="D138" s="26"/>
      <c r="E138" s="15">
        <f>+E137</f>
        <v>21692</v>
      </c>
      <c r="F138" s="16">
        <f t="shared" si="9"/>
        <v>0</v>
      </c>
      <c r="G138" s="8">
        <f t="shared" si="4"/>
        <v>0</v>
      </c>
    </row>
    <row r="139" spans="1:7" hidden="1" x14ac:dyDescent="0.25">
      <c r="A139" s="17" t="s">
        <v>262</v>
      </c>
      <c r="B139" s="18" t="s">
        <v>248</v>
      </c>
      <c r="C139" s="14" t="s">
        <v>14</v>
      </c>
      <c r="D139" s="26"/>
      <c r="E139" s="15">
        <f>+E137</f>
        <v>21692</v>
      </c>
      <c r="F139" s="16">
        <f t="shared" si="9"/>
        <v>0</v>
      </c>
      <c r="G139" s="8">
        <f t="shared" ref="G139:G202" si="10">+IF(F139&lt;&gt;0,1,0)</f>
        <v>0</v>
      </c>
    </row>
    <row r="140" spans="1:7" hidden="1" x14ac:dyDescent="0.25">
      <c r="A140" s="17" t="s">
        <v>1933</v>
      </c>
      <c r="B140" s="18" t="s">
        <v>1928</v>
      </c>
      <c r="C140" s="14" t="s">
        <v>14</v>
      </c>
      <c r="D140" s="26"/>
      <c r="E140" s="15"/>
      <c r="F140" s="16">
        <f t="shared" si="9"/>
        <v>0</v>
      </c>
      <c r="G140" s="8">
        <f t="shared" si="10"/>
        <v>0</v>
      </c>
    </row>
    <row r="141" spans="1:7" hidden="1" x14ac:dyDescent="0.25">
      <c r="A141" s="17" t="s">
        <v>1934</v>
      </c>
      <c r="B141" s="18" t="s">
        <v>249</v>
      </c>
      <c r="C141" s="14" t="s">
        <v>14</v>
      </c>
      <c r="D141" s="26"/>
      <c r="E141" s="15"/>
      <c r="F141" s="16">
        <f t="shared" si="9"/>
        <v>0</v>
      </c>
      <c r="G141" s="8">
        <f t="shared" si="10"/>
        <v>0</v>
      </c>
    </row>
    <row r="142" spans="1:7" hidden="1" x14ac:dyDescent="0.25">
      <c r="A142" s="17" t="s">
        <v>1935</v>
      </c>
      <c r="B142" s="18" t="s">
        <v>1929</v>
      </c>
      <c r="C142" s="14" t="s">
        <v>14</v>
      </c>
      <c r="D142" s="26"/>
      <c r="E142" s="15"/>
      <c r="F142" s="16">
        <f t="shared" si="9"/>
        <v>0</v>
      </c>
      <c r="G142" s="8">
        <f t="shared" si="10"/>
        <v>0</v>
      </c>
    </row>
    <row r="143" spans="1:7" hidden="1" x14ac:dyDescent="0.25">
      <c r="A143" s="17" t="s">
        <v>1936</v>
      </c>
      <c r="B143" s="18" t="s">
        <v>250</v>
      </c>
      <c r="C143" s="14" t="s">
        <v>14</v>
      </c>
      <c r="D143" s="26"/>
      <c r="E143" s="15"/>
      <c r="F143" s="16">
        <f t="shared" si="9"/>
        <v>0</v>
      </c>
      <c r="G143" s="8">
        <f t="shared" si="10"/>
        <v>0</v>
      </c>
    </row>
    <row r="144" spans="1:7" hidden="1" x14ac:dyDescent="0.25">
      <c r="A144" s="17" t="s">
        <v>1937</v>
      </c>
      <c r="B144" s="18" t="s">
        <v>251</v>
      </c>
      <c r="C144" s="14" t="s">
        <v>14</v>
      </c>
      <c r="D144" s="26"/>
      <c r="E144" s="15"/>
      <c r="F144" s="16">
        <f t="shared" si="9"/>
        <v>0</v>
      </c>
      <c r="G144" s="8">
        <f t="shared" si="10"/>
        <v>0</v>
      </c>
    </row>
    <row r="145" spans="1:7" hidden="1" x14ac:dyDescent="0.25">
      <c r="A145" s="17" t="s">
        <v>1938</v>
      </c>
      <c r="B145" s="18" t="s">
        <v>252</v>
      </c>
      <c r="C145" s="14" t="s">
        <v>14</v>
      </c>
      <c r="D145" s="26"/>
      <c r="E145" s="15"/>
      <c r="F145" s="16">
        <f t="shared" si="9"/>
        <v>0</v>
      </c>
      <c r="G145" s="8">
        <f t="shared" si="10"/>
        <v>0</v>
      </c>
    </row>
    <row r="146" spans="1:7" hidden="1" x14ac:dyDescent="0.25">
      <c r="A146" s="17" t="s">
        <v>1939</v>
      </c>
      <c r="B146" s="18" t="s">
        <v>1930</v>
      </c>
      <c r="C146" s="14" t="s">
        <v>14</v>
      </c>
      <c r="D146" s="26"/>
      <c r="E146" s="15"/>
      <c r="F146" s="16">
        <f t="shared" si="9"/>
        <v>0</v>
      </c>
      <c r="G146" s="8">
        <f t="shared" si="10"/>
        <v>0</v>
      </c>
    </row>
    <row r="147" spans="1:7" hidden="1" x14ac:dyDescent="0.25">
      <c r="A147" s="17" t="s">
        <v>1940</v>
      </c>
      <c r="B147" s="18" t="s">
        <v>1931</v>
      </c>
      <c r="C147" s="14" t="s">
        <v>14</v>
      </c>
      <c r="D147" s="26"/>
      <c r="E147" s="15"/>
      <c r="F147" s="16">
        <f t="shared" si="9"/>
        <v>0</v>
      </c>
      <c r="G147" s="8">
        <f t="shared" si="10"/>
        <v>0</v>
      </c>
    </row>
    <row r="148" spans="1:7" hidden="1" x14ac:dyDescent="0.25">
      <c r="A148" s="17" t="s">
        <v>1941</v>
      </c>
      <c r="B148" s="18" t="s">
        <v>1932</v>
      </c>
      <c r="C148" s="14" t="s">
        <v>14</v>
      </c>
      <c r="D148" s="26"/>
      <c r="E148" s="15"/>
      <c r="F148" s="16">
        <f t="shared" si="9"/>
        <v>0</v>
      </c>
      <c r="G148" s="8">
        <f t="shared" si="10"/>
        <v>0</v>
      </c>
    </row>
    <row r="149" spans="1:7" hidden="1" x14ac:dyDescent="0.25">
      <c r="A149" s="17" t="s">
        <v>1942</v>
      </c>
      <c r="B149" s="18" t="s">
        <v>2347</v>
      </c>
      <c r="C149" s="14" t="s">
        <v>14</v>
      </c>
      <c r="D149" s="26"/>
      <c r="E149" s="15"/>
      <c r="F149" s="16">
        <f t="shared" si="9"/>
        <v>0</v>
      </c>
      <c r="G149" s="8">
        <f t="shared" si="10"/>
        <v>0</v>
      </c>
    </row>
    <row r="150" spans="1:7" hidden="1" x14ac:dyDescent="0.25">
      <c r="A150" s="12" t="s">
        <v>263</v>
      </c>
      <c r="B150" s="13" t="s">
        <v>264</v>
      </c>
      <c r="C150" s="14"/>
      <c r="D150" s="26"/>
      <c r="E150" s="15"/>
      <c r="F150" s="16"/>
      <c r="G150" s="8">
        <f t="shared" si="10"/>
        <v>0</v>
      </c>
    </row>
    <row r="151" spans="1:7" hidden="1" x14ac:dyDescent="0.25">
      <c r="A151" s="12" t="s">
        <v>265</v>
      </c>
      <c r="B151" s="13" t="s">
        <v>266</v>
      </c>
      <c r="C151" s="14"/>
      <c r="D151" s="26"/>
      <c r="E151" s="15"/>
      <c r="F151" s="16"/>
      <c r="G151" s="8">
        <f t="shared" si="10"/>
        <v>0</v>
      </c>
    </row>
    <row r="152" spans="1:7" hidden="1" x14ac:dyDescent="0.25">
      <c r="A152" s="17" t="s">
        <v>267</v>
      </c>
      <c r="B152" s="18" t="s">
        <v>5767</v>
      </c>
      <c r="C152" s="14" t="s">
        <v>37</v>
      </c>
      <c r="D152" s="26"/>
      <c r="E152" s="15">
        <f>+'APU CAP 3'!H753</f>
        <v>24616</v>
      </c>
      <c r="F152" s="16">
        <f>+D152*E152</f>
        <v>0</v>
      </c>
      <c r="G152" s="8">
        <f t="shared" si="10"/>
        <v>0</v>
      </c>
    </row>
    <row r="153" spans="1:7" hidden="1" x14ac:dyDescent="0.25">
      <c r="A153" s="17" t="s">
        <v>268</v>
      </c>
      <c r="B153" s="18" t="s">
        <v>5768</v>
      </c>
      <c r="C153" s="14" t="s">
        <v>37</v>
      </c>
      <c r="D153" s="26"/>
      <c r="E153" s="15">
        <f>+'APU CAP 3'!H807</f>
        <v>36092</v>
      </c>
      <c r="F153" s="16">
        <f>+D153*E153</f>
        <v>0</v>
      </c>
      <c r="G153" s="8">
        <f t="shared" si="10"/>
        <v>0</v>
      </c>
    </row>
    <row r="154" spans="1:7" hidden="1" x14ac:dyDescent="0.25">
      <c r="A154" s="17" t="s">
        <v>269</v>
      </c>
      <c r="B154" s="18" t="s">
        <v>5770</v>
      </c>
      <c r="C154" s="14" t="s">
        <v>37</v>
      </c>
      <c r="D154" s="26"/>
      <c r="E154" s="15"/>
      <c r="F154" s="16">
        <f>+D154*E154</f>
        <v>0</v>
      </c>
      <c r="G154" s="8">
        <f t="shared" si="10"/>
        <v>0</v>
      </c>
    </row>
    <row r="155" spans="1:7" hidden="1" x14ac:dyDescent="0.25">
      <c r="A155" s="17" t="s">
        <v>270</v>
      </c>
      <c r="B155" s="18" t="s">
        <v>5769</v>
      </c>
      <c r="C155" s="14" t="s">
        <v>37</v>
      </c>
      <c r="D155" s="26"/>
      <c r="E155" s="15"/>
      <c r="F155" s="16">
        <f>+D155*E155</f>
        <v>0</v>
      </c>
      <c r="G155" s="8">
        <f t="shared" si="10"/>
        <v>0</v>
      </c>
    </row>
    <row r="156" spans="1:7" hidden="1" x14ac:dyDescent="0.25">
      <c r="A156" s="17" t="s">
        <v>5771</v>
      </c>
      <c r="B156" s="18" t="s">
        <v>5769</v>
      </c>
      <c r="C156" s="14" t="s">
        <v>37</v>
      </c>
      <c r="D156" s="26"/>
      <c r="E156" s="15"/>
      <c r="F156" s="16">
        <f>+D156*E156</f>
        <v>0</v>
      </c>
      <c r="G156" s="8">
        <f t="shared" si="10"/>
        <v>0</v>
      </c>
    </row>
    <row r="157" spans="1:7" hidden="1" x14ac:dyDescent="0.25">
      <c r="A157" s="12" t="s">
        <v>272</v>
      </c>
      <c r="B157" s="13" t="s">
        <v>271</v>
      </c>
      <c r="C157" s="14"/>
      <c r="D157" s="26"/>
      <c r="E157" s="15"/>
      <c r="F157" s="16"/>
      <c r="G157" s="8">
        <f t="shared" si="10"/>
        <v>0</v>
      </c>
    </row>
    <row r="158" spans="1:7" hidden="1" x14ac:dyDescent="0.25">
      <c r="A158" s="17" t="s">
        <v>273</v>
      </c>
      <c r="B158" s="18" t="s">
        <v>5767</v>
      </c>
      <c r="C158" s="14" t="s">
        <v>37</v>
      </c>
      <c r="D158" s="26"/>
      <c r="E158" s="15">
        <f>+'APU CAP 3'!H861</f>
        <v>20671</v>
      </c>
      <c r="F158" s="16">
        <f>+D158*E158</f>
        <v>0</v>
      </c>
      <c r="G158" s="8">
        <f t="shared" si="10"/>
        <v>0</v>
      </c>
    </row>
    <row r="159" spans="1:7" hidden="1" x14ac:dyDescent="0.25">
      <c r="A159" s="17" t="s">
        <v>274</v>
      </c>
      <c r="B159" s="18" t="s">
        <v>5768</v>
      </c>
      <c r="C159" s="14" t="s">
        <v>37</v>
      </c>
      <c r="D159" s="26"/>
      <c r="E159" s="15">
        <f>+'APU CAP 3'!H915</f>
        <v>25671</v>
      </c>
      <c r="F159" s="16">
        <f>+D159*E159</f>
        <v>0</v>
      </c>
      <c r="G159" s="8">
        <f t="shared" si="10"/>
        <v>0</v>
      </c>
    </row>
    <row r="160" spans="1:7" hidden="1" x14ac:dyDescent="0.25">
      <c r="A160" s="17" t="s">
        <v>275</v>
      </c>
      <c r="B160" s="18" t="s">
        <v>5770</v>
      </c>
      <c r="C160" s="14" t="s">
        <v>37</v>
      </c>
      <c r="D160" s="26"/>
      <c r="E160" s="15"/>
      <c r="F160" s="16">
        <f>+D160*E160</f>
        <v>0</v>
      </c>
      <c r="G160" s="8">
        <f t="shared" si="10"/>
        <v>0</v>
      </c>
    </row>
    <row r="161" spans="1:7" hidden="1" x14ac:dyDescent="0.25">
      <c r="A161" s="17" t="s">
        <v>276</v>
      </c>
      <c r="B161" s="18" t="s">
        <v>5769</v>
      </c>
      <c r="C161" s="14" t="s">
        <v>37</v>
      </c>
      <c r="D161" s="26"/>
      <c r="E161" s="15"/>
      <c r="F161" s="16">
        <f>+D161*E161</f>
        <v>0</v>
      </c>
      <c r="G161" s="8">
        <f t="shared" si="10"/>
        <v>0</v>
      </c>
    </row>
    <row r="162" spans="1:7" hidden="1" x14ac:dyDescent="0.25">
      <c r="A162" s="17" t="s">
        <v>5772</v>
      </c>
      <c r="B162" s="18" t="s">
        <v>5769</v>
      </c>
      <c r="C162" s="14" t="s">
        <v>37</v>
      </c>
      <c r="D162" s="26"/>
      <c r="E162" s="15"/>
      <c r="F162" s="16">
        <f>+D162*E162</f>
        <v>0</v>
      </c>
      <c r="G162" s="8">
        <f t="shared" si="10"/>
        <v>0</v>
      </c>
    </row>
    <row r="163" spans="1:7" hidden="1" x14ac:dyDescent="0.25">
      <c r="A163" s="12" t="s">
        <v>2323</v>
      </c>
      <c r="B163" s="13" t="s">
        <v>5773</v>
      </c>
      <c r="C163" s="14"/>
      <c r="D163" s="26"/>
      <c r="E163" s="15"/>
      <c r="F163" s="16"/>
      <c r="G163" s="8">
        <f t="shared" si="10"/>
        <v>0</v>
      </c>
    </row>
    <row r="164" spans="1:7" hidden="1" x14ac:dyDescent="0.25">
      <c r="A164" s="17" t="s">
        <v>5797</v>
      </c>
      <c r="B164" s="18" t="s">
        <v>5774</v>
      </c>
      <c r="C164" s="14" t="s">
        <v>14</v>
      </c>
      <c r="D164" s="26"/>
      <c r="E164" s="15">
        <f>+E115</f>
        <v>16500</v>
      </c>
      <c r="F164" s="16">
        <f t="shared" ref="F164:F184" si="11">+D164*E164</f>
        <v>0</v>
      </c>
      <c r="G164" s="8">
        <f t="shared" si="10"/>
        <v>0</v>
      </c>
    </row>
    <row r="165" spans="1:7" hidden="1" x14ac:dyDescent="0.25">
      <c r="A165" s="17" t="s">
        <v>5798</v>
      </c>
      <c r="B165" s="18" t="s">
        <v>5775</v>
      </c>
      <c r="C165" s="14" t="s">
        <v>14</v>
      </c>
      <c r="D165" s="26"/>
      <c r="E165" s="15">
        <f>+E116</f>
        <v>20256</v>
      </c>
      <c r="F165" s="16">
        <f t="shared" si="11"/>
        <v>0</v>
      </c>
      <c r="G165" s="8">
        <f t="shared" si="10"/>
        <v>0</v>
      </c>
    </row>
    <row r="166" spans="1:7" hidden="1" x14ac:dyDescent="0.25">
      <c r="A166" s="17" t="s">
        <v>5799</v>
      </c>
      <c r="B166" s="18" t="s">
        <v>5776</v>
      </c>
      <c r="C166" s="14" t="s">
        <v>14</v>
      </c>
      <c r="D166" s="26"/>
      <c r="E166" s="15">
        <f>+E117</f>
        <v>23506</v>
      </c>
      <c r="F166" s="16">
        <f t="shared" si="11"/>
        <v>0</v>
      </c>
      <c r="G166" s="8">
        <f t="shared" si="10"/>
        <v>0</v>
      </c>
    </row>
    <row r="167" spans="1:7" hidden="1" x14ac:dyDescent="0.25">
      <c r="A167" s="17" t="s">
        <v>5800</v>
      </c>
      <c r="B167" s="18" t="s">
        <v>5777</v>
      </c>
      <c r="C167" s="14" t="s">
        <v>14</v>
      </c>
      <c r="D167" s="26"/>
      <c r="E167" s="15">
        <f>+E118</f>
        <v>28370</v>
      </c>
      <c r="F167" s="16">
        <f t="shared" si="11"/>
        <v>0</v>
      </c>
      <c r="G167" s="8">
        <f t="shared" si="10"/>
        <v>0</v>
      </c>
    </row>
    <row r="168" spans="1:7" hidden="1" x14ac:dyDescent="0.25">
      <c r="A168" s="17" t="s">
        <v>5801</v>
      </c>
      <c r="B168" s="18" t="s">
        <v>5778</v>
      </c>
      <c r="C168" s="14" t="s">
        <v>14</v>
      </c>
      <c r="D168" s="26"/>
      <c r="E168" s="15">
        <f>+E119</f>
        <v>35037</v>
      </c>
      <c r="F168" s="16">
        <f t="shared" si="11"/>
        <v>0</v>
      </c>
      <c r="G168" s="8">
        <f t="shared" si="10"/>
        <v>0</v>
      </c>
    </row>
    <row r="169" spans="1:7" hidden="1" x14ac:dyDescent="0.25">
      <c r="A169" s="17" t="s">
        <v>5802</v>
      </c>
      <c r="B169" s="18" t="s">
        <v>5779</v>
      </c>
      <c r="C169" s="14" t="s">
        <v>14</v>
      </c>
      <c r="D169" s="26"/>
      <c r="E169" s="15"/>
      <c r="F169" s="16">
        <f t="shared" si="11"/>
        <v>0</v>
      </c>
      <c r="G169" s="8">
        <f t="shared" si="10"/>
        <v>0</v>
      </c>
    </row>
    <row r="170" spans="1:7" hidden="1" x14ac:dyDescent="0.25">
      <c r="A170" s="17" t="s">
        <v>5803</v>
      </c>
      <c r="B170" s="18" t="s">
        <v>5780</v>
      </c>
      <c r="C170" s="14" t="s">
        <v>14</v>
      </c>
      <c r="D170" s="26"/>
      <c r="E170" s="15"/>
      <c r="F170" s="16">
        <f t="shared" si="11"/>
        <v>0</v>
      </c>
      <c r="G170" s="8">
        <f t="shared" si="10"/>
        <v>0</v>
      </c>
    </row>
    <row r="171" spans="1:7" hidden="1" x14ac:dyDescent="0.25">
      <c r="A171" s="17" t="s">
        <v>5804</v>
      </c>
      <c r="B171" s="18" t="s">
        <v>5781</v>
      </c>
      <c r="C171" s="14" t="s">
        <v>14</v>
      </c>
      <c r="D171" s="26"/>
      <c r="E171" s="15"/>
      <c r="F171" s="16">
        <f t="shared" si="11"/>
        <v>0</v>
      </c>
      <c r="G171" s="8">
        <f t="shared" si="10"/>
        <v>0</v>
      </c>
    </row>
    <row r="172" spans="1:7" hidden="1" x14ac:dyDescent="0.25">
      <c r="A172" s="17" t="s">
        <v>5805</v>
      </c>
      <c r="B172" s="18" t="s">
        <v>5782</v>
      </c>
      <c r="C172" s="14" t="s">
        <v>14</v>
      </c>
      <c r="D172" s="26"/>
      <c r="E172" s="15"/>
      <c r="F172" s="16">
        <f t="shared" si="11"/>
        <v>0</v>
      </c>
      <c r="G172" s="8">
        <f t="shared" si="10"/>
        <v>0</v>
      </c>
    </row>
    <row r="173" spans="1:7" hidden="1" x14ac:dyDescent="0.25">
      <c r="A173" s="17" t="s">
        <v>5806</v>
      </c>
      <c r="B173" s="18" t="s">
        <v>5783</v>
      </c>
      <c r="C173" s="14" t="s">
        <v>14</v>
      </c>
      <c r="D173" s="26"/>
      <c r="E173" s="15"/>
      <c r="F173" s="16">
        <f t="shared" si="11"/>
        <v>0</v>
      </c>
      <c r="G173" s="8">
        <f t="shared" si="10"/>
        <v>0</v>
      </c>
    </row>
    <row r="174" spans="1:7" hidden="1" x14ac:dyDescent="0.25">
      <c r="A174" s="17" t="s">
        <v>5807</v>
      </c>
      <c r="B174" s="18" t="s">
        <v>5784</v>
      </c>
      <c r="C174" s="14" t="s">
        <v>14</v>
      </c>
      <c r="D174" s="26"/>
      <c r="E174" s="15"/>
      <c r="F174" s="16">
        <f t="shared" si="11"/>
        <v>0</v>
      </c>
      <c r="G174" s="8">
        <f t="shared" si="10"/>
        <v>0</v>
      </c>
    </row>
    <row r="175" spans="1:7" hidden="1" x14ac:dyDescent="0.25">
      <c r="A175" s="17" t="s">
        <v>5808</v>
      </c>
      <c r="B175" s="18" t="s">
        <v>5785</v>
      </c>
      <c r="C175" s="14" t="s">
        <v>14</v>
      </c>
      <c r="D175" s="26"/>
      <c r="E175" s="15"/>
      <c r="F175" s="16">
        <f t="shared" si="11"/>
        <v>0</v>
      </c>
      <c r="G175" s="8">
        <f t="shared" si="10"/>
        <v>0</v>
      </c>
    </row>
    <row r="176" spans="1:7" hidden="1" x14ac:dyDescent="0.25">
      <c r="A176" s="17" t="s">
        <v>5809</v>
      </c>
      <c r="B176" s="18" t="s">
        <v>5786</v>
      </c>
      <c r="C176" s="14" t="s">
        <v>14</v>
      </c>
      <c r="D176" s="26"/>
      <c r="E176" s="15"/>
      <c r="F176" s="16">
        <f t="shared" si="11"/>
        <v>0</v>
      </c>
      <c r="G176" s="8">
        <f t="shared" si="10"/>
        <v>0</v>
      </c>
    </row>
    <row r="177" spans="1:7" hidden="1" x14ac:dyDescent="0.25">
      <c r="A177" s="17" t="s">
        <v>5810</v>
      </c>
      <c r="B177" s="18" t="s">
        <v>5788</v>
      </c>
      <c r="C177" s="14" t="s">
        <v>14</v>
      </c>
      <c r="D177" s="26"/>
      <c r="E177" s="15"/>
      <c r="F177" s="16">
        <f t="shared" si="11"/>
        <v>0</v>
      </c>
      <c r="G177" s="8">
        <f t="shared" si="10"/>
        <v>0</v>
      </c>
    </row>
    <row r="178" spans="1:7" hidden="1" x14ac:dyDescent="0.25">
      <c r="A178" s="17" t="s">
        <v>5811</v>
      </c>
      <c r="B178" s="18" t="s">
        <v>5787</v>
      </c>
      <c r="C178" s="14" t="s">
        <v>14</v>
      </c>
      <c r="D178" s="26"/>
      <c r="E178" s="15"/>
      <c r="F178" s="16">
        <f t="shared" si="11"/>
        <v>0</v>
      </c>
      <c r="G178" s="8">
        <f t="shared" si="10"/>
        <v>0</v>
      </c>
    </row>
    <row r="179" spans="1:7" hidden="1" x14ac:dyDescent="0.25">
      <c r="A179" s="17" t="s">
        <v>5812</v>
      </c>
      <c r="B179" s="18" t="s">
        <v>5789</v>
      </c>
      <c r="C179" s="14" t="s">
        <v>14</v>
      </c>
      <c r="D179" s="26"/>
      <c r="E179" s="15"/>
      <c r="F179" s="16">
        <f t="shared" si="11"/>
        <v>0</v>
      </c>
      <c r="G179" s="8">
        <f t="shared" si="10"/>
        <v>0</v>
      </c>
    </row>
    <row r="180" spans="1:7" hidden="1" x14ac:dyDescent="0.25">
      <c r="A180" s="17" t="s">
        <v>5813</v>
      </c>
      <c r="B180" s="18" t="s">
        <v>5790</v>
      </c>
      <c r="C180" s="14" t="s">
        <v>14</v>
      </c>
      <c r="D180" s="26"/>
      <c r="E180" s="15"/>
      <c r="F180" s="16">
        <f t="shared" si="11"/>
        <v>0</v>
      </c>
      <c r="G180" s="8">
        <f t="shared" si="10"/>
        <v>0</v>
      </c>
    </row>
    <row r="181" spans="1:7" hidden="1" x14ac:dyDescent="0.25">
      <c r="A181" s="17" t="s">
        <v>5814</v>
      </c>
      <c r="B181" s="18" t="s">
        <v>5791</v>
      </c>
      <c r="C181" s="14" t="s">
        <v>14</v>
      </c>
      <c r="D181" s="26"/>
      <c r="E181" s="15"/>
      <c r="F181" s="16">
        <f t="shared" si="11"/>
        <v>0</v>
      </c>
      <c r="G181" s="8">
        <f t="shared" si="10"/>
        <v>0</v>
      </c>
    </row>
    <row r="182" spans="1:7" hidden="1" x14ac:dyDescent="0.25">
      <c r="A182" s="17" t="s">
        <v>5815</v>
      </c>
      <c r="B182" s="18" t="s">
        <v>5792</v>
      </c>
      <c r="C182" s="14" t="s">
        <v>14</v>
      </c>
      <c r="D182" s="26"/>
      <c r="E182" s="15"/>
      <c r="F182" s="16">
        <f t="shared" si="11"/>
        <v>0</v>
      </c>
      <c r="G182" s="8">
        <f t="shared" si="10"/>
        <v>0</v>
      </c>
    </row>
    <row r="183" spans="1:7" hidden="1" x14ac:dyDescent="0.25">
      <c r="A183" s="17" t="s">
        <v>5816</v>
      </c>
      <c r="B183" s="18" t="s">
        <v>5793</v>
      </c>
      <c r="C183" s="14" t="s">
        <v>14</v>
      </c>
      <c r="D183" s="26"/>
      <c r="E183" s="15"/>
      <c r="F183" s="16">
        <f t="shared" si="11"/>
        <v>0</v>
      </c>
      <c r="G183" s="8">
        <f t="shared" si="10"/>
        <v>0</v>
      </c>
    </row>
    <row r="184" spans="1:7" hidden="1" x14ac:dyDescent="0.25">
      <c r="A184" s="17" t="s">
        <v>5817</v>
      </c>
      <c r="B184" s="18" t="s">
        <v>5794</v>
      </c>
      <c r="C184" s="14" t="s">
        <v>14</v>
      </c>
      <c r="D184" s="26"/>
      <c r="E184" s="15"/>
      <c r="F184" s="16">
        <f t="shared" si="11"/>
        <v>0</v>
      </c>
      <c r="G184" s="8">
        <f t="shared" si="10"/>
        <v>0</v>
      </c>
    </row>
    <row r="185" spans="1:7" hidden="1" x14ac:dyDescent="0.25">
      <c r="A185" s="17" t="s">
        <v>2336</v>
      </c>
      <c r="B185" s="13" t="s">
        <v>5795</v>
      </c>
      <c r="C185" s="14"/>
      <c r="D185" s="26"/>
      <c r="E185" s="15"/>
      <c r="F185" s="16"/>
      <c r="G185" s="8">
        <f t="shared" si="10"/>
        <v>0</v>
      </c>
    </row>
    <row r="186" spans="1:7" hidden="1" x14ac:dyDescent="0.25">
      <c r="A186" s="17" t="s">
        <v>5818</v>
      </c>
      <c r="B186" s="18" t="s">
        <v>5796</v>
      </c>
      <c r="C186" s="14" t="s">
        <v>37</v>
      </c>
      <c r="D186" s="26"/>
      <c r="E186" s="15"/>
      <c r="F186" s="16">
        <f t="shared" ref="F186:F206" si="12">+D186*E186</f>
        <v>0</v>
      </c>
      <c r="G186" s="8">
        <f t="shared" si="10"/>
        <v>0</v>
      </c>
    </row>
    <row r="187" spans="1:7" hidden="1" x14ac:dyDescent="0.25">
      <c r="A187" s="17" t="s">
        <v>5819</v>
      </c>
      <c r="B187" s="18" t="s">
        <v>5839</v>
      </c>
      <c r="C187" s="14" t="s">
        <v>37</v>
      </c>
      <c r="D187" s="26"/>
      <c r="E187" s="15"/>
      <c r="F187" s="16">
        <f t="shared" si="12"/>
        <v>0</v>
      </c>
      <c r="G187" s="8">
        <f t="shared" si="10"/>
        <v>0</v>
      </c>
    </row>
    <row r="188" spans="1:7" hidden="1" x14ac:dyDescent="0.25">
      <c r="A188" s="17" t="s">
        <v>5820</v>
      </c>
      <c r="B188" s="18" t="s">
        <v>5840</v>
      </c>
      <c r="C188" s="14" t="s">
        <v>37</v>
      </c>
      <c r="D188" s="26"/>
      <c r="E188" s="15"/>
      <c r="F188" s="16">
        <f t="shared" si="12"/>
        <v>0</v>
      </c>
      <c r="G188" s="8">
        <f t="shared" si="10"/>
        <v>0</v>
      </c>
    </row>
    <row r="189" spans="1:7" hidden="1" x14ac:dyDescent="0.25">
      <c r="A189" s="17" t="s">
        <v>5821</v>
      </c>
      <c r="B189" s="18" t="s">
        <v>5841</v>
      </c>
      <c r="C189" s="14" t="s">
        <v>37</v>
      </c>
      <c r="D189" s="26"/>
      <c r="E189" s="15"/>
      <c r="F189" s="16">
        <f t="shared" si="12"/>
        <v>0</v>
      </c>
      <c r="G189" s="8">
        <f t="shared" si="10"/>
        <v>0</v>
      </c>
    </row>
    <row r="190" spans="1:7" hidden="1" x14ac:dyDescent="0.25">
      <c r="A190" s="17" t="s">
        <v>5822</v>
      </c>
      <c r="B190" s="18" t="s">
        <v>5842</v>
      </c>
      <c r="C190" s="14" t="s">
        <v>37</v>
      </c>
      <c r="D190" s="26"/>
      <c r="E190" s="15"/>
      <c r="F190" s="16">
        <f t="shared" si="12"/>
        <v>0</v>
      </c>
      <c r="G190" s="8">
        <f t="shared" si="10"/>
        <v>0</v>
      </c>
    </row>
    <row r="191" spans="1:7" hidden="1" x14ac:dyDescent="0.25">
      <c r="A191" s="17" t="s">
        <v>5823</v>
      </c>
      <c r="B191" s="18" t="s">
        <v>5843</v>
      </c>
      <c r="C191" s="14" t="s">
        <v>37</v>
      </c>
      <c r="D191" s="26"/>
      <c r="E191" s="15"/>
      <c r="F191" s="16">
        <f t="shared" si="12"/>
        <v>0</v>
      </c>
      <c r="G191" s="8">
        <f t="shared" si="10"/>
        <v>0</v>
      </c>
    </row>
    <row r="192" spans="1:7" hidden="1" x14ac:dyDescent="0.25">
      <c r="A192" s="17" t="s">
        <v>5824</v>
      </c>
      <c r="B192" s="18" t="s">
        <v>5844</v>
      </c>
      <c r="C192" s="14" t="s">
        <v>37</v>
      </c>
      <c r="D192" s="26"/>
      <c r="E192" s="15"/>
      <c r="F192" s="16">
        <f t="shared" si="12"/>
        <v>0</v>
      </c>
      <c r="G192" s="8">
        <f t="shared" si="10"/>
        <v>0</v>
      </c>
    </row>
    <row r="193" spans="1:7" hidden="1" x14ac:dyDescent="0.25">
      <c r="A193" s="17" t="s">
        <v>5825</v>
      </c>
      <c r="B193" s="18" t="s">
        <v>5845</v>
      </c>
      <c r="C193" s="14" t="s">
        <v>37</v>
      </c>
      <c r="D193" s="26"/>
      <c r="E193" s="15"/>
      <c r="F193" s="16">
        <f t="shared" si="12"/>
        <v>0</v>
      </c>
      <c r="G193" s="8">
        <f t="shared" si="10"/>
        <v>0</v>
      </c>
    </row>
    <row r="194" spans="1:7" hidden="1" x14ac:dyDescent="0.25">
      <c r="A194" s="17" t="s">
        <v>5826</v>
      </c>
      <c r="B194" s="18" t="s">
        <v>5846</v>
      </c>
      <c r="C194" s="14" t="s">
        <v>37</v>
      </c>
      <c r="D194" s="26"/>
      <c r="E194" s="15"/>
      <c r="F194" s="16">
        <f t="shared" si="12"/>
        <v>0</v>
      </c>
      <c r="G194" s="8">
        <f t="shared" si="10"/>
        <v>0</v>
      </c>
    </row>
    <row r="195" spans="1:7" hidden="1" x14ac:dyDescent="0.25">
      <c r="A195" s="17" t="s">
        <v>5827</v>
      </c>
      <c r="B195" s="18" t="s">
        <v>5847</v>
      </c>
      <c r="C195" s="14" t="s">
        <v>37</v>
      </c>
      <c r="D195" s="26"/>
      <c r="E195" s="15"/>
      <c r="F195" s="16">
        <f t="shared" si="12"/>
        <v>0</v>
      </c>
      <c r="G195" s="8">
        <f t="shared" si="10"/>
        <v>0</v>
      </c>
    </row>
    <row r="196" spans="1:7" hidden="1" x14ac:dyDescent="0.25">
      <c r="A196" s="17" t="s">
        <v>5828</v>
      </c>
      <c r="B196" s="18" t="s">
        <v>5848</v>
      </c>
      <c r="C196" s="14" t="s">
        <v>37</v>
      </c>
      <c r="D196" s="26"/>
      <c r="E196" s="15"/>
      <c r="F196" s="16">
        <f t="shared" si="12"/>
        <v>0</v>
      </c>
      <c r="G196" s="8">
        <f t="shared" si="10"/>
        <v>0</v>
      </c>
    </row>
    <row r="197" spans="1:7" hidden="1" x14ac:dyDescent="0.25">
      <c r="A197" s="17" t="s">
        <v>5829</v>
      </c>
      <c r="B197" s="18" t="s">
        <v>5849</v>
      </c>
      <c r="C197" s="14" t="s">
        <v>37</v>
      </c>
      <c r="D197" s="26"/>
      <c r="E197" s="15"/>
      <c r="F197" s="16">
        <f t="shared" si="12"/>
        <v>0</v>
      </c>
      <c r="G197" s="8">
        <f t="shared" si="10"/>
        <v>0</v>
      </c>
    </row>
    <row r="198" spans="1:7" hidden="1" x14ac:dyDescent="0.25">
      <c r="A198" s="17" t="s">
        <v>5830</v>
      </c>
      <c r="B198" s="18" t="s">
        <v>5850</v>
      </c>
      <c r="C198" s="14" t="s">
        <v>37</v>
      </c>
      <c r="D198" s="26"/>
      <c r="E198" s="15"/>
      <c r="F198" s="16">
        <f t="shared" si="12"/>
        <v>0</v>
      </c>
      <c r="G198" s="8">
        <f t="shared" si="10"/>
        <v>0</v>
      </c>
    </row>
    <row r="199" spans="1:7" hidden="1" x14ac:dyDescent="0.25">
      <c r="A199" s="17" t="s">
        <v>5831</v>
      </c>
      <c r="B199" s="18" t="s">
        <v>5851</v>
      </c>
      <c r="C199" s="14" t="s">
        <v>37</v>
      </c>
      <c r="D199" s="26"/>
      <c r="E199" s="15"/>
      <c r="F199" s="16">
        <f t="shared" si="12"/>
        <v>0</v>
      </c>
      <c r="G199" s="8">
        <f t="shared" si="10"/>
        <v>0</v>
      </c>
    </row>
    <row r="200" spans="1:7" hidden="1" x14ac:dyDescent="0.25">
      <c r="A200" s="17" t="s">
        <v>5832</v>
      </c>
      <c r="B200" s="18" t="s">
        <v>5852</v>
      </c>
      <c r="C200" s="14" t="s">
        <v>37</v>
      </c>
      <c r="D200" s="26"/>
      <c r="E200" s="15"/>
      <c r="F200" s="16">
        <f t="shared" si="12"/>
        <v>0</v>
      </c>
      <c r="G200" s="8">
        <f t="shared" si="10"/>
        <v>0</v>
      </c>
    </row>
    <row r="201" spans="1:7" hidden="1" x14ac:dyDescent="0.25">
      <c r="A201" s="17" t="s">
        <v>5833</v>
      </c>
      <c r="B201" s="18" t="s">
        <v>5853</v>
      </c>
      <c r="C201" s="14" t="s">
        <v>37</v>
      </c>
      <c r="D201" s="26"/>
      <c r="E201" s="15"/>
      <c r="F201" s="16">
        <f t="shared" si="12"/>
        <v>0</v>
      </c>
      <c r="G201" s="8">
        <f t="shared" si="10"/>
        <v>0</v>
      </c>
    </row>
    <row r="202" spans="1:7" hidden="1" x14ac:dyDescent="0.25">
      <c r="A202" s="17" t="s">
        <v>5834</v>
      </c>
      <c r="B202" s="18" t="s">
        <v>5854</v>
      </c>
      <c r="C202" s="14" t="s">
        <v>37</v>
      </c>
      <c r="D202" s="26"/>
      <c r="E202" s="15"/>
      <c r="F202" s="16">
        <f t="shared" si="12"/>
        <v>0</v>
      </c>
      <c r="G202" s="8">
        <f t="shared" si="10"/>
        <v>0</v>
      </c>
    </row>
    <row r="203" spans="1:7" hidden="1" x14ac:dyDescent="0.25">
      <c r="A203" s="17" t="s">
        <v>5835</v>
      </c>
      <c r="B203" s="18" t="s">
        <v>5855</v>
      </c>
      <c r="C203" s="14" t="s">
        <v>37</v>
      </c>
      <c r="D203" s="26"/>
      <c r="E203" s="15"/>
      <c r="F203" s="16">
        <f t="shared" si="12"/>
        <v>0</v>
      </c>
      <c r="G203" s="8">
        <f t="shared" ref="G203:G266" si="13">+IF(F203&lt;&gt;0,1,0)</f>
        <v>0</v>
      </c>
    </row>
    <row r="204" spans="1:7" hidden="1" x14ac:dyDescent="0.25">
      <c r="A204" s="17" t="s">
        <v>5836</v>
      </c>
      <c r="B204" s="18" t="s">
        <v>5856</v>
      </c>
      <c r="C204" s="14" t="s">
        <v>37</v>
      </c>
      <c r="D204" s="26"/>
      <c r="E204" s="15"/>
      <c r="F204" s="16">
        <f t="shared" si="12"/>
        <v>0</v>
      </c>
      <c r="G204" s="8">
        <f t="shared" si="13"/>
        <v>0</v>
      </c>
    </row>
    <row r="205" spans="1:7" hidden="1" x14ac:dyDescent="0.25">
      <c r="A205" s="17" t="s">
        <v>5837</v>
      </c>
      <c r="B205" s="18" t="s">
        <v>5857</v>
      </c>
      <c r="C205" s="14" t="s">
        <v>37</v>
      </c>
      <c r="D205" s="26"/>
      <c r="E205" s="15"/>
      <c r="F205" s="16">
        <f t="shared" si="12"/>
        <v>0</v>
      </c>
      <c r="G205" s="8">
        <f t="shared" si="13"/>
        <v>0</v>
      </c>
    </row>
    <row r="206" spans="1:7" hidden="1" x14ac:dyDescent="0.25">
      <c r="A206" s="17" t="s">
        <v>5838</v>
      </c>
      <c r="B206" s="18" t="s">
        <v>5858</v>
      </c>
      <c r="C206" s="14" t="s">
        <v>37</v>
      </c>
      <c r="D206" s="26"/>
      <c r="E206" s="15"/>
      <c r="F206" s="16">
        <f t="shared" si="12"/>
        <v>0</v>
      </c>
      <c r="G206" s="8">
        <f t="shared" si="13"/>
        <v>0</v>
      </c>
    </row>
    <row r="207" spans="1:7" hidden="1" x14ac:dyDescent="0.25">
      <c r="A207" s="12" t="s">
        <v>277</v>
      </c>
      <c r="B207" s="13" t="s">
        <v>278</v>
      </c>
      <c r="C207" s="14"/>
      <c r="D207" s="26"/>
      <c r="E207" s="15"/>
      <c r="F207" s="16"/>
      <c r="G207" s="8">
        <f t="shared" si="13"/>
        <v>0</v>
      </c>
    </row>
    <row r="208" spans="1:7" hidden="1" x14ac:dyDescent="0.25">
      <c r="A208" s="17" t="s">
        <v>279</v>
      </c>
      <c r="B208" s="25" t="s">
        <v>285</v>
      </c>
      <c r="C208" s="14" t="s">
        <v>14</v>
      </c>
      <c r="D208" s="26"/>
      <c r="E208" s="15">
        <f>+'APU CAP 3'!H969</f>
        <v>1920</v>
      </c>
      <c r="F208" s="16">
        <f t="shared" ref="F208:F224" si="14">+D208*E208</f>
        <v>0</v>
      </c>
      <c r="G208" s="8">
        <f t="shared" si="13"/>
        <v>0</v>
      </c>
    </row>
    <row r="209" spans="1:7" hidden="1" x14ac:dyDescent="0.25">
      <c r="A209" s="17" t="s">
        <v>297</v>
      </c>
      <c r="B209" s="25" t="s">
        <v>280</v>
      </c>
      <c r="C209" s="14" t="s">
        <v>14</v>
      </c>
      <c r="D209" s="26"/>
      <c r="E209" s="15">
        <f>+E208</f>
        <v>1920</v>
      </c>
      <c r="F209" s="16">
        <f t="shared" si="14"/>
        <v>0</v>
      </c>
      <c r="G209" s="8">
        <f t="shared" si="13"/>
        <v>0</v>
      </c>
    </row>
    <row r="210" spans="1:7" hidden="1" x14ac:dyDescent="0.25">
      <c r="A210" s="17" t="s">
        <v>298</v>
      </c>
      <c r="B210" s="25" t="s">
        <v>281</v>
      </c>
      <c r="C210" s="14" t="s">
        <v>14</v>
      </c>
      <c r="D210" s="26"/>
      <c r="E210" s="15">
        <f>+E208</f>
        <v>1920</v>
      </c>
      <c r="F210" s="16">
        <f t="shared" si="14"/>
        <v>0</v>
      </c>
      <c r="G210" s="8">
        <f t="shared" si="13"/>
        <v>0</v>
      </c>
    </row>
    <row r="211" spans="1:7" hidden="1" x14ac:dyDescent="0.25">
      <c r="A211" s="17" t="s">
        <v>299</v>
      </c>
      <c r="B211" s="25" t="s">
        <v>282</v>
      </c>
      <c r="C211" s="14" t="s">
        <v>14</v>
      </c>
      <c r="D211" s="26"/>
      <c r="E211" s="15">
        <f>+E208</f>
        <v>1920</v>
      </c>
      <c r="F211" s="16">
        <f t="shared" si="14"/>
        <v>0</v>
      </c>
      <c r="G211" s="8">
        <f t="shared" si="13"/>
        <v>0</v>
      </c>
    </row>
    <row r="212" spans="1:7" hidden="1" x14ac:dyDescent="0.25">
      <c r="A212" s="17" t="s">
        <v>300</v>
      </c>
      <c r="B212" s="25" t="s">
        <v>283</v>
      </c>
      <c r="C212" s="14" t="s">
        <v>14</v>
      </c>
      <c r="D212" s="26"/>
      <c r="E212" s="15">
        <f>+'APU CAP 3'!H1023</f>
        <v>2352</v>
      </c>
      <c r="F212" s="16">
        <f t="shared" si="14"/>
        <v>0</v>
      </c>
      <c r="G212" s="8">
        <f t="shared" si="13"/>
        <v>0</v>
      </c>
    </row>
    <row r="213" spans="1:7" hidden="1" x14ac:dyDescent="0.25">
      <c r="A213" s="17" t="s">
        <v>301</v>
      </c>
      <c r="B213" s="25" t="s">
        <v>286</v>
      </c>
      <c r="C213" s="14" t="s">
        <v>14</v>
      </c>
      <c r="D213" s="26"/>
      <c r="E213" s="15">
        <f>+E212</f>
        <v>2352</v>
      </c>
      <c r="F213" s="16">
        <f t="shared" si="14"/>
        <v>0</v>
      </c>
      <c r="G213" s="8">
        <f t="shared" si="13"/>
        <v>0</v>
      </c>
    </row>
    <row r="214" spans="1:7" hidden="1" x14ac:dyDescent="0.25">
      <c r="A214" s="17" t="s">
        <v>302</v>
      </c>
      <c r="B214" s="25" t="s">
        <v>284</v>
      </c>
      <c r="C214" s="14" t="s">
        <v>14</v>
      </c>
      <c r="D214" s="26"/>
      <c r="E214" s="15">
        <f>+E212</f>
        <v>2352</v>
      </c>
      <c r="F214" s="16">
        <f t="shared" si="14"/>
        <v>0</v>
      </c>
      <c r="G214" s="8">
        <f t="shared" si="13"/>
        <v>0</v>
      </c>
    </row>
    <row r="215" spans="1:7" hidden="1" x14ac:dyDescent="0.25">
      <c r="A215" s="17" t="s">
        <v>303</v>
      </c>
      <c r="B215" s="25" t="s">
        <v>287</v>
      </c>
      <c r="C215" s="14" t="s">
        <v>14</v>
      </c>
      <c r="D215" s="26"/>
      <c r="E215" s="15">
        <f>+'APU CAP 3'!H1077</f>
        <v>3674</v>
      </c>
      <c r="F215" s="16">
        <f t="shared" si="14"/>
        <v>0</v>
      </c>
      <c r="G215" s="8">
        <f t="shared" si="13"/>
        <v>0</v>
      </c>
    </row>
    <row r="216" spans="1:7" hidden="1" x14ac:dyDescent="0.25">
      <c r="A216" s="17" t="s">
        <v>304</v>
      </c>
      <c r="B216" s="25" t="s">
        <v>288</v>
      </c>
      <c r="C216" s="14" t="s">
        <v>14</v>
      </c>
      <c r="D216" s="26"/>
      <c r="E216" s="15">
        <f>+E215</f>
        <v>3674</v>
      </c>
      <c r="F216" s="16">
        <f t="shared" si="14"/>
        <v>0</v>
      </c>
      <c r="G216" s="8">
        <f t="shared" si="13"/>
        <v>0</v>
      </c>
    </row>
    <row r="217" spans="1:7" hidden="1" x14ac:dyDescent="0.25">
      <c r="A217" s="17" t="s">
        <v>305</v>
      </c>
      <c r="B217" s="25" t="s">
        <v>289</v>
      </c>
      <c r="C217" s="14" t="s">
        <v>14</v>
      </c>
      <c r="D217" s="26"/>
      <c r="E217" s="15">
        <f>+E215</f>
        <v>3674</v>
      </c>
      <c r="F217" s="16">
        <f t="shared" si="14"/>
        <v>0</v>
      </c>
      <c r="G217" s="8">
        <f t="shared" si="13"/>
        <v>0</v>
      </c>
    </row>
    <row r="218" spans="1:7" hidden="1" x14ac:dyDescent="0.25">
      <c r="A218" s="17" t="s">
        <v>306</v>
      </c>
      <c r="B218" s="25" t="s">
        <v>290</v>
      </c>
      <c r="C218" s="14" t="s">
        <v>14</v>
      </c>
      <c r="D218" s="26"/>
      <c r="E218" s="15">
        <f>+'APU CAP 3'!H1131</f>
        <v>5520</v>
      </c>
      <c r="F218" s="16">
        <f t="shared" si="14"/>
        <v>0</v>
      </c>
      <c r="G218" s="8">
        <f t="shared" si="13"/>
        <v>0</v>
      </c>
    </row>
    <row r="219" spans="1:7" hidden="1" x14ac:dyDescent="0.25">
      <c r="A219" s="17" t="s">
        <v>307</v>
      </c>
      <c r="B219" s="25" t="s">
        <v>291</v>
      </c>
      <c r="C219" s="14" t="s">
        <v>14</v>
      </c>
      <c r="D219" s="26"/>
      <c r="E219" s="15"/>
      <c r="F219" s="16">
        <f t="shared" si="14"/>
        <v>0</v>
      </c>
      <c r="G219" s="8">
        <f t="shared" si="13"/>
        <v>0</v>
      </c>
    </row>
    <row r="220" spans="1:7" hidden="1" x14ac:dyDescent="0.25">
      <c r="A220" s="17" t="s">
        <v>308</v>
      </c>
      <c r="B220" s="25" t="s">
        <v>292</v>
      </c>
      <c r="C220" s="14" t="s">
        <v>14</v>
      </c>
      <c r="D220" s="26"/>
      <c r="E220" s="15"/>
      <c r="F220" s="16">
        <f t="shared" si="14"/>
        <v>0</v>
      </c>
      <c r="G220" s="8">
        <f t="shared" si="13"/>
        <v>0</v>
      </c>
    </row>
    <row r="221" spans="1:7" hidden="1" x14ac:dyDescent="0.25">
      <c r="A221" s="17" t="s">
        <v>309</v>
      </c>
      <c r="B221" s="25" t="s">
        <v>293</v>
      </c>
      <c r="C221" s="14" t="s">
        <v>14</v>
      </c>
      <c r="D221" s="26"/>
      <c r="E221" s="15"/>
      <c r="F221" s="16">
        <f t="shared" si="14"/>
        <v>0</v>
      </c>
      <c r="G221" s="8">
        <f t="shared" si="13"/>
        <v>0</v>
      </c>
    </row>
    <row r="222" spans="1:7" hidden="1" x14ac:dyDescent="0.25">
      <c r="A222" s="17" t="s">
        <v>310</v>
      </c>
      <c r="B222" s="25" t="s">
        <v>294</v>
      </c>
      <c r="C222" s="14" t="s">
        <v>14</v>
      </c>
      <c r="D222" s="26"/>
      <c r="E222" s="15"/>
      <c r="F222" s="16">
        <f t="shared" si="14"/>
        <v>0</v>
      </c>
      <c r="G222" s="8">
        <f t="shared" si="13"/>
        <v>0</v>
      </c>
    </row>
    <row r="223" spans="1:7" hidden="1" x14ac:dyDescent="0.25">
      <c r="A223" s="17" t="s">
        <v>311</v>
      </c>
      <c r="B223" s="25" t="s">
        <v>295</v>
      </c>
      <c r="C223" s="14" t="s">
        <v>14</v>
      </c>
      <c r="D223" s="26"/>
      <c r="E223" s="15"/>
      <c r="F223" s="16">
        <f t="shared" si="14"/>
        <v>0</v>
      </c>
      <c r="G223" s="8">
        <f t="shared" si="13"/>
        <v>0</v>
      </c>
    </row>
    <row r="224" spans="1:7" hidden="1" x14ac:dyDescent="0.25">
      <c r="A224" s="17" t="s">
        <v>312</v>
      </c>
      <c r="B224" s="25" t="s">
        <v>296</v>
      </c>
      <c r="C224" s="14" t="s">
        <v>14</v>
      </c>
      <c r="D224" s="26"/>
      <c r="E224" s="15"/>
      <c r="F224" s="16">
        <f t="shared" si="14"/>
        <v>0</v>
      </c>
      <c r="G224" s="8">
        <f t="shared" si="13"/>
        <v>0</v>
      </c>
    </row>
    <row r="225" spans="1:7" hidden="1" x14ac:dyDescent="0.25">
      <c r="A225" s="12" t="s">
        <v>313</v>
      </c>
      <c r="B225" s="13" t="s">
        <v>314</v>
      </c>
      <c r="C225" s="14"/>
      <c r="D225" s="26"/>
      <c r="E225" s="15"/>
      <c r="F225" s="16"/>
      <c r="G225" s="8">
        <f t="shared" si="13"/>
        <v>0</v>
      </c>
    </row>
    <row r="226" spans="1:7" hidden="1" x14ac:dyDescent="0.25">
      <c r="A226" s="17" t="s">
        <v>324</v>
      </c>
      <c r="B226" s="25" t="s">
        <v>315</v>
      </c>
      <c r="C226" s="14" t="s">
        <v>37</v>
      </c>
      <c r="D226" s="26"/>
      <c r="E226" s="15">
        <f>+'APU CAP 3'!H1185</f>
        <v>1636</v>
      </c>
      <c r="F226" s="16">
        <f t="shared" ref="F226:F234" si="15">+D226*E226</f>
        <v>0</v>
      </c>
      <c r="G226" s="8">
        <f t="shared" si="13"/>
        <v>0</v>
      </c>
    </row>
    <row r="227" spans="1:7" hidden="1" x14ac:dyDescent="0.25">
      <c r="A227" s="17" t="s">
        <v>325</v>
      </c>
      <c r="B227" s="25" t="s">
        <v>316</v>
      </c>
      <c r="C227" s="14" t="s">
        <v>37</v>
      </c>
      <c r="D227" s="26"/>
      <c r="E227" s="15">
        <f>+'APU CAP 3'!H1239</f>
        <v>2150</v>
      </c>
      <c r="F227" s="16">
        <f t="shared" si="15"/>
        <v>0</v>
      </c>
      <c r="G227" s="8">
        <f t="shared" si="13"/>
        <v>0</v>
      </c>
    </row>
    <row r="228" spans="1:7" hidden="1" x14ac:dyDescent="0.25">
      <c r="A228" s="17" t="s">
        <v>326</v>
      </c>
      <c r="B228" s="25" t="s">
        <v>317</v>
      </c>
      <c r="C228" s="14" t="s">
        <v>37</v>
      </c>
      <c r="D228" s="26"/>
      <c r="E228" s="15">
        <f>+'APU CAP 3'!H1239</f>
        <v>2150</v>
      </c>
      <c r="F228" s="16">
        <f t="shared" si="15"/>
        <v>0</v>
      </c>
      <c r="G228" s="8">
        <f t="shared" si="13"/>
        <v>0</v>
      </c>
    </row>
    <row r="229" spans="1:7" hidden="1" x14ac:dyDescent="0.25">
      <c r="A229" s="17" t="s">
        <v>327</v>
      </c>
      <c r="B229" s="25" t="s">
        <v>318</v>
      </c>
      <c r="C229" s="14" t="s">
        <v>37</v>
      </c>
      <c r="D229" s="26"/>
      <c r="E229" s="15">
        <f>+'APU CAP 3'!H1293</f>
        <v>3178</v>
      </c>
      <c r="F229" s="16">
        <f t="shared" si="15"/>
        <v>0</v>
      </c>
      <c r="G229" s="8">
        <f t="shared" si="13"/>
        <v>0</v>
      </c>
    </row>
    <row r="230" spans="1:7" hidden="1" x14ac:dyDescent="0.25">
      <c r="A230" s="17" t="s">
        <v>328</v>
      </c>
      <c r="B230" s="25" t="s">
        <v>319</v>
      </c>
      <c r="C230" s="14" t="s">
        <v>37</v>
      </c>
      <c r="D230" s="26"/>
      <c r="E230" s="15">
        <f>+'APU CAP 3'!H1347</f>
        <v>6261</v>
      </c>
      <c r="F230" s="16">
        <f t="shared" si="15"/>
        <v>0</v>
      </c>
      <c r="G230" s="8">
        <f t="shared" si="13"/>
        <v>0</v>
      </c>
    </row>
    <row r="231" spans="1:7" hidden="1" x14ac:dyDescent="0.25">
      <c r="A231" s="17" t="s">
        <v>329</v>
      </c>
      <c r="B231" s="25" t="s">
        <v>320</v>
      </c>
      <c r="C231" s="14" t="s">
        <v>37</v>
      </c>
      <c r="D231" s="26"/>
      <c r="E231" s="15"/>
      <c r="F231" s="16">
        <f t="shared" si="15"/>
        <v>0</v>
      </c>
      <c r="G231" s="8">
        <f t="shared" si="13"/>
        <v>0</v>
      </c>
    </row>
    <row r="232" spans="1:7" hidden="1" x14ac:dyDescent="0.25">
      <c r="A232" s="17" t="s">
        <v>330</v>
      </c>
      <c r="B232" s="25" t="s">
        <v>321</v>
      </c>
      <c r="C232" s="14" t="s">
        <v>37</v>
      </c>
      <c r="D232" s="26"/>
      <c r="E232" s="15"/>
      <c r="F232" s="16">
        <f t="shared" si="15"/>
        <v>0</v>
      </c>
      <c r="G232" s="8">
        <f t="shared" si="13"/>
        <v>0</v>
      </c>
    </row>
    <row r="233" spans="1:7" hidden="1" x14ac:dyDescent="0.25">
      <c r="A233" s="17" t="s">
        <v>331</v>
      </c>
      <c r="B233" s="25" t="s">
        <v>322</v>
      </c>
      <c r="C233" s="14" t="s">
        <v>37</v>
      </c>
      <c r="D233" s="26"/>
      <c r="E233" s="15"/>
      <c r="F233" s="16">
        <f t="shared" si="15"/>
        <v>0</v>
      </c>
      <c r="G233" s="8">
        <f t="shared" si="13"/>
        <v>0</v>
      </c>
    </row>
    <row r="234" spans="1:7" hidden="1" x14ac:dyDescent="0.25">
      <c r="A234" s="17" t="s">
        <v>332</v>
      </c>
      <c r="B234" s="25" t="s">
        <v>323</v>
      </c>
      <c r="C234" s="14" t="s">
        <v>37</v>
      </c>
      <c r="D234" s="26"/>
      <c r="E234" s="15"/>
      <c r="F234" s="16">
        <f t="shared" si="15"/>
        <v>0</v>
      </c>
      <c r="G234" s="8">
        <f t="shared" si="13"/>
        <v>0</v>
      </c>
    </row>
    <row r="235" spans="1:7" x14ac:dyDescent="0.25">
      <c r="A235" s="12" t="s">
        <v>333</v>
      </c>
      <c r="B235" s="46" t="s">
        <v>334</v>
      </c>
      <c r="C235" s="14"/>
      <c r="D235" s="26"/>
      <c r="E235" s="15"/>
      <c r="F235" s="16"/>
      <c r="G235" s="8">
        <v>1</v>
      </c>
    </row>
    <row r="236" spans="1:7" x14ac:dyDescent="0.25">
      <c r="A236" s="12" t="s">
        <v>355</v>
      </c>
      <c r="B236" s="46" t="s">
        <v>335</v>
      </c>
      <c r="C236" s="14"/>
      <c r="D236" s="26"/>
      <c r="E236" s="15"/>
      <c r="F236" s="16"/>
      <c r="G236" s="8">
        <v>1</v>
      </c>
    </row>
    <row r="237" spans="1:7" hidden="1" x14ac:dyDescent="0.25">
      <c r="A237" s="17" t="s">
        <v>356</v>
      </c>
      <c r="B237" s="25" t="s">
        <v>336</v>
      </c>
      <c r="C237" s="14" t="s">
        <v>14</v>
      </c>
      <c r="D237" s="26"/>
      <c r="E237" s="15">
        <f>+'APU CAP 3'!H1401</f>
        <v>2913</v>
      </c>
      <c r="F237" s="16">
        <f t="shared" ref="F237:F255" si="16">+D237*E237</f>
        <v>0</v>
      </c>
      <c r="G237" s="8">
        <f t="shared" si="13"/>
        <v>0</v>
      </c>
    </row>
    <row r="238" spans="1:7" hidden="1" x14ac:dyDescent="0.25">
      <c r="A238" s="17" t="s">
        <v>357</v>
      </c>
      <c r="B238" s="25" t="s">
        <v>337</v>
      </c>
      <c r="C238" s="14" t="s">
        <v>14</v>
      </c>
      <c r="D238" s="26"/>
      <c r="E238" s="15">
        <f>+'APU CAP 3'!P1401</f>
        <v>4197</v>
      </c>
      <c r="F238" s="16">
        <f t="shared" si="16"/>
        <v>0</v>
      </c>
      <c r="G238" s="8">
        <f t="shared" si="13"/>
        <v>0</v>
      </c>
    </row>
    <row r="239" spans="1:7" hidden="1" x14ac:dyDescent="0.25">
      <c r="A239" s="17" t="s">
        <v>358</v>
      </c>
      <c r="B239" s="25" t="s">
        <v>338</v>
      </c>
      <c r="C239" s="14" t="s">
        <v>14</v>
      </c>
      <c r="D239" s="26"/>
      <c r="E239" s="15">
        <f>+'APU CAP 3'!X1401</f>
        <v>5342</v>
      </c>
      <c r="F239" s="16">
        <f t="shared" si="16"/>
        <v>0</v>
      </c>
      <c r="G239" s="8">
        <f t="shared" si="13"/>
        <v>0</v>
      </c>
    </row>
    <row r="240" spans="1:7" hidden="1" x14ac:dyDescent="0.25">
      <c r="A240" s="17" t="s">
        <v>359</v>
      </c>
      <c r="B240" s="25" t="s">
        <v>339</v>
      </c>
      <c r="C240" s="14" t="s">
        <v>14</v>
      </c>
      <c r="D240" s="26"/>
      <c r="E240" s="15"/>
      <c r="F240" s="16">
        <f t="shared" si="16"/>
        <v>0</v>
      </c>
      <c r="G240" s="8">
        <f t="shared" si="13"/>
        <v>0</v>
      </c>
    </row>
    <row r="241" spans="1:7" hidden="1" x14ac:dyDescent="0.25">
      <c r="A241" s="17" t="s">
        <v>360</v>
      </c>
      <c r="B241" s="25" t="s">
        <v>340</v>
      </c>
      <c r="C241" s="14" t="s">
        <v>14</v>
      </c>
      <c r="D241" s="26"/>
      <c r="E241" s="15">
        <f>+'APU CAP 3'!H1455</f>
        <v>8630</v>
      </c>
      <c r="F241" s="16">
        <f t="shared" si="16"/>
        <v>0</v>
      </c>
      <c r="G241" s="8">
        <f t="shared" si="13"/>
        <v>0</v>
      </c>
    </row>
    <row r="242" spans="1:7" hidden="1" x14ac:dyDescent="0.25">
      <c r="A242" s="17" t="s">
        <v>361</v>
      </c>
      <c r="B242" s="25" t="s">
        <v>341</v>
      </c>
      <c r="C242" s="14" t="s">
        <v>14</v>
      </c>
      <c r="D242" s="26"/>
      <c r="E242" s="15">
        <f>+'APU CAP 3'!P1455</f>
        <v>11285</v>
      </c>
      <c r="F242" s="16">
        <f t="shared" si="16"/>
        <v>0</v>
      </c>
      <c r="G242" s="8">
        <f t="shared" si="13"/>
        <v>0</v>
      </c>
    </row>
    <row r="243" spans="1:7" x14ac:dyDescent="0.25">
      <c r="A243" s="17" t="s">
        <v>362</v>
      </c>
      <c r="B243" s="25" t="s">
        <v>342</v>
      </c>
      <c r="C243" s="14" t="s">
        <v>14</v>
      </c>
      <c r="D243" s="26">
        <v>3841</v>
      </c>
      <c r="E243" s="15">
        <f>+'APU CAP 3'!X1455</f>
        <v>15169</v>
      </c>
      <c r="F243" s="16">
        <f t="shared" si="16"/>
        <v>58264129</v>
      </c>
      <c r="G243" s="8">
        <f t="shared" si="13"/>
        <v>1</v>
      </c>
    </row>
    <row r="244" spans="1:7" hidden="1" x14ac:dyDescent="0.25">
      <c r="A244" s="17" t="s">
        <v>363</v>
      </c>
      <c r="B244" s="25" t="s">
        <v>343</v>
      </c>
      <c r="C244" s="14" t="s">
        <v>14</v>
      </c>
      <c r="D244" s="26"/>
      <c r="E244" s="15">
        <f>+'APU CAP 3'!H1509</f>
        <v>24053</v>
      </c>
      <c r="F244" s="16">
        <f t="shared" si="16"/>
        <v>0</v>
      </c>
      <c r="G244" s="8">
        <f t="shared" si="13"/>
        <v>0</v>
      </c>
    </row>
    <row r="245" spans="1:7" x14ac:dyDescent="0.25">
      <c r="A245" s="17" t="s">
        <v>364</v>
      </c>
      <c r="B245" s="25" t="s">
        <v>344</v>
      </c>
      <c r="C245" s="14" t="s">
        <v>14</v>
      </c>
      <c r="D245" s="26">
        <v>3941</v>
      </c>
      <c r="E245" s="15">
        <f>+'APU CAP 3'!P1509</f>
        <v>28319</v>
      </c>
      <c r="F245" s="16">
        <f t="shared" si="16"/>
        <v>111605179</v>
      </c>
      <c r="G245" s="8">
        <f t="shared" si="13"/>
        <v>1</v>
      </c>
    </row>
    <row r="246" spans="1:7" hidden="1" x14ac:dyDescent="0.25">
      <c r="A246" s="17" t="s">
        <v>365</v>
      </c>
      <c r="B246" s="25" t="s">
        <v>345</v>
      </c>
      <c r="C246" s="14" t="s">
        <v>14</v>
      </c>
      <c r="D246" s="26"/>
      <c r="E246" s="15">
        <f>+'APU CAP 3'!X1509</f>
        <v>33693</v>
      </c>
      <c r="F246" s="16">
        <f t="shared" si="16"/>
        <v>0</v>
      </c>
      <c r="G246" s="8">
        <f t="shared" si="13"/>
        <v>0</v>
      </c>
    </row>
    <row r="247" spans="1:7" hidden="1" x14ac:dyDescent="0.25">
      <c r="A247" s="17" t="s">
        <v>366</v>
      </c>
      <c r="B247" s="25" t="s">
        <v>346</v>
      </c>
      <c r="C247" s="14" t="s">
        <v>14</v>
      </c>
      <c r="D247" s="26"/>
      <c r="E247" s="15">
        <f>+'APU CAP 3'!H1563</f>
        <v>41671</v>
      </c>
      <c r="F247" s="16">
        <f t="shared" si="16"/>
        <v>0</v>
      </c>
      <c r="G247" s="8">
        <f t="shared" si="13"/>
        <v>0</v>
      </c>
    </row>
    <row r="248" spans="1:7" hidden="1" x14ac:dyDescent="0.25">
      <c r="A248" s="17" t="s">
        <v>367</v>
      </c>
      <c r="B248" s="25" t="s">
        <v>347</v>
      </c>
      <c r="C248" s="14" t="s">
        <v>14</v>
      </c>
      <c r="D248" s="26"/>
      <c r="E248" s="15">
        <f>+'APU CAP 3'!P1563</f>
        <v>48370</v>
      </c>
      <c r="F248" s="16">
        <f t="shared" si="16"/>
        <v>0</v>
      </c>
      <c r="G248" s="8">
        <f t="shared" si="13"/>
        <v>0</v>
      </c>
    </row>
    <row r="249" spans="1:7" hidden="1" x14ac:dyDescent="0.25">
      <c r="A249" s="17" t="s">
        <v>368</v>
      </c>
      <c r="B249" s="25" t="s">
        <v>348</v>
      </c>
      <c r="C249" s="14" t="s">
        <v>14</v>
      </c>
      <c r="D249" s="26"/>
      <c r="E249" s="15"/>
      <c r="F249" s="16">
        <f t="shared" si="16"/>
        <v>0</v>
      </c>
      <c r="G249" s="8">
        <f t="shared" si="13"/>
        <v>0</v>
      </c>
    </row>
    <row r="250" spans="1:7" hidden="1" x14ac:dyDescent="0.25">
      <c r="A250" s="17" t="s">
        <v>369</v>
      </c>
      <c r="B250" s="25" t="s">
        <v>349</v>
      </c>
      <c r="C250" s="14" t="s">
        <v>14</v>
      </c>
      <c r="D250" s="26"/>
      <c r="E250" s="15"/>
      <c r="F250" s="16">
        <f t="shared" si="16"/>
        <v>0</v>
      </c>
      <c r="G250" s="8">
        <f t="shared" si="13"/>
        <v>0</v>
      </c>
    </row>
    <row r="251" spans="1:7" hidden="1" x14ac:dyDescent="0.25">
      <c r="A251" s="17" t="s">
        <v>370</v>
      </c>
      <c r="B251" s="25" t="s">
        <v>350</v>
      </c>
      <c r="C251" s="14" t="s">
        <v>14</v>
      </c>
      <c r="D251" s="26"/>
      <c r="E251" s="15"/>
      <c r="F251" s="16">
        <f t="shared" si="16"/>
        <v>0</v>
      </c>
      <c r="G251" s="8">
        <f t="shared" si="13"/>
        <v>0</v>
      </c>
    </row>
    <row r="252" spans="1:7" hidden="1" x14ac:dyDescent="0.25">
      <c r="A252" s="17" t="s">
        <v>371</v>
      </c>
      <c r="B252" s="25" t="s">
        <v>351</v>
      </c>
      <c r="C252" s="14" t="s">
        <v>14</v>
      </c>
      <c r="D252" s="26"/>
      <c r="E252" s="15"/>
      <c r="F252" s="16">
        <f t="shared" si="16"/>
        <v>0</v>
      </c>
      <c r="G252" s="8">
        <f t="shared" si="13"/>
        <v>0</v>
      </c>
    </row>
    <row r="253" spans="1:7" hidden="1" x14ac:dyDescent="0.25">
      <c r="A253" s="17" t="s">
        <v>372</v>
      </c>
      <c r="B253" s="25" t="s">
        <v>352</v>
      </c>
      <c r="C253" s="14" t="s">
        <v>14</v>
      </c>
      <c r="D253" s="26"/>
      <c r="E253" s="15"/>
      <c r="F253" s="16">
        <f t="shared" si="16"/>
        <v>0</v>
      </c>
      <c r="G253" s="8">
        <f t="shared" si="13"/>
        <v>0</v>
      </c>
    </row>
    <row r="254" spans="1:7" hidden="1" x14ac:dyDescent="0.25">
      <c r="A254" s="17" t="s">
        <v>373</v>
      </c>
      <c r="B254" s="25" t="s">
        <v>353</v>
      </c>
      <c r="C254" s="14" t="s">
        <v>14</v>
      </c>
      <c r="D254" s="26"/>
      <c r="E254" s="15"/>
      <c r="F254" s="16">
        <f t="shared" si="16"/>
        <v>0</v>
      </c>
      <c r="G254" s="8">
        <f t="shared" si="13"/>
        <v>0</v>
      </c>
    </row>
    <row r="255" spans="1:7" hidden="1" x14ac:dyDescent="0.25">
      <c r="A255" s="17" t="s">
        <v>374</v>
      </c>
      <c r="B255" s="25" t="s">
        <v>354</v>
      </c>
      <c r="C255" s="14" t="s">
        <v>14</v>
      </c>
      <c r="D255" s="26"/>
      <c r="E255" s="15"/>
      <c r="F255" s="16">
        <f t="shared" si="16"/>
        <v>0</v>
      </c>
      <c r="G255" s="8">
        <f t="shared" si="13"/>
        <v>0</v>
      </c>
    </row>
    <row r="256" spans="1:7" x14ac:dyDescent="0.25">
      <c r="A256" s="12" t="s">
        <v>375</v>
      </c>
      <c r="B256" s="46" t="s">
        <v>6320</v>
      </c>
      <c r="C256" s="14"/>
      <c r="D256" s="26"/>
      <c r="E256" s="15"/>
      <c r="F256" s="16"/>
      <c r="G256" s="8">
        <v>1</v>
      </c>
    </row>
    <row r="257" spans="1:7" hidden="1" x14ac:dyDescent="0.25">
      <c r="A257" s="17" t="s">
        <v>376</v>
      </c>
      <c r="B257" s="25" t="s">
        <v>336</v>
      </c>
      <c r="C257" s="14" t="s">
        <v>14</v>
      </c>
      <c r="D257" s="26"/>
      <c r="E257" s="471">
        <f t="shared" ref="E257:E262" si="17">+E238</f>
        <v>4197</v>
      </c>
      <c r="F257" s="16">
        <f t="shared" ref="F257:F275" si="18">+D257*E257</f>
        <v>0</v>
      </c>
      <c r="G257" s="8">
        <f t="shared" si="13"/>
        <v>0</v>
      </c>
    </row>
    <row r="258" spans="1:7" hidden="1" x14ac:dyDescent="0.25">
      <c r="A258" s="17" t="s">
        <v>377</v>
      </c>
      <c r="B258" s="25" t="s">
        <v>337</v>
      </c>
      <c r="C258" s="14" t="s">
        <v>14</v>
      </c>
      <c r="D258" s="26"/>
      <c r="E258" s="471">
        <f t="shared" si="17"/>
        <v>5342</v>
      </c>
      <c r="F258" s="16">
        <f t="shared" si="18"/>
        <v>0</v>
      </c>
      <c r="G258" s="8">
        <f t="shared" si="13"/>
        <v>0</v>
      </c>
    </row>
    <row r="259" spans="1:7" hidden="1" x14ac:dyDescent="0.25">
      <c r="A259" s="17" t="s">
        <v>378</v>
      </c>
      <c r="B259" s="25" t="s">
        <v>338</v>
      </c>
      <c r="C259" s="14" t="s">
        <v>14</v>
      </c>
      <c r="D259" s="26"/>
      <c r="E259" s="471">
        <f t="shared" si="17"/>
        <v>0</v>
      </c>
      <c r="F259" s="16">
        <f t="shared" si="18"/>
        <v>0</v>
      </c>
      <c r="G259" s="8">
        <f t="shared" si="13"/>
        <v>0</v>
      </c>
    </row>
    <row r="260" spans="1:7" hidden="1" x14ac:dyDescent="0.25">
      <c r="A260" s="17" t="s">
        <v>379</v>
      </c>
      <c r="B260" s="25" t="s">
        <v>339</v>
      </c>
      <c r="C260" s="14" t="s">
        <v>14</v>
      </c>
      <c r="D260" s="26"/>
      <c r="E260" s="471">
        <f t="shared" si="17"/>
        <v>8630</v>
      </c>
      <c r="F260" s="16">
        <f t="shared" si="18"/>
        <v>0</v>
      </c>
      <c r="G260" s="8">
        <f t="shared" si="13"/>
        <v>0</v>
      </c>
    </row>
    <row r="261" spans="1:7" hidden="1" x14ac:dyDescent="0.25">
      <c r="A261" s="17" t="s">
        <v>380</v>
      </c>
      <c r="B261" s="25" t="s">
        <v>340</v>
      </c>
      <c r="C261" s="14" t="s">
        <v>14</v>
      </c>
      <c r="D261" s="26"/>
      <c r="E261" s="471">
        <f t="shared" si="17"/>
        <v>11285</v>
      </c>
      <c r="F261" s="16">
        <f t="shared" si="18"/>
        <v>0</v>
      </c>
      <c r="G261" s="8">
        <f t="shared" si="13"/>
        <v>0</v>
      </c>
    </row>
    <row r="262" spans="1:7" hidden="1" x14ac:dyDescent="0.25">
      <c r="A262" s="17" t="s">
        <v>381</v>
      </c>
      <c r="B262" s="25" t="s">
        <v>341</v>
      </c>
      <c r="C262" s="14" t="s">
        <v>14</v>
      </c>
      <c r="D262" s="26"/>
      <c r="E262" s="471">
        <f t="shared" si="17"/>
        <v>15169</v>
      </c>
      <c r="F262" s="16">
        <f t="shared" si="18"/>
        <v>0</v>
      </c>
      <c r="G262" s="8">
        <f t="shared" si="13"/>
        <v>0</v>
      </c>
    </row>
    <row r="263" spans="1:7" x14ac:dyDescent="0.25">
      <c r="A263" s="17" t="s">
        <v>382</v>
      </c>
      <c r="B263" s="25" t="s">
        <v>342</v>
      </c>
      <c r="C263" s="14" t="s">
        <v>14</v>
      </c>
      <c r="D263" s="26">
        <v>88</v>
      </c>
      <c r="E263" s="614">
        <f>+E244*5</f>
        <v>120265</v>
      </c>
      <c r="F263" s="16">
        <f t="shared" si="18"/>
        <v>10583320</v>
      </c>
      <c r="G263" s="8">
        <f t="shared" si="13"/>
        <v>1</v>
      </c>
    </row>
    <row r="264" spans="1:7" hidden="1" x14ac:dyDescent="0.25">
      <c r="A264" s="17" t="s">
        <v>383</v>
      </c>
      <c r="B264" s="25" t="s">
        <v>343</v>
      </c>
      <c r="C264" s="14" t="s">
        <v>14</v>
      </c>
      <c r="D264" s="26"/>
      <c r="E264" s="471">
        <f>+E245</f>
        <v>28319</v>
      </c>
      <c r="F264" s="16">
        <f t="shared" si="18"/>
        <v>0</v>
      </c>
      <c r="G264" s="8">
        <f t="shared" si="13"/>
        <v>0</v>
      </c>
    </row>
    <row r="265" spans="1:7" hidden="1" x14ac:dyDescent="0.25">
      <c r="A265" s="17" t="s">
        <v>384</v>
      </c>
      <c r="B265" s="25" t="s">
        <v>344</v>
      </c>
      <c r="C265" s="14" t="s">
        <v>14</v>
      </c>
      <c r="D265" s="26"/>
      <c r="E265" s="471">
        <f>+E246</f>
        <v>33693</v>
      </c>
      <c r="F265" s="16">
        <f t="shared" si="18"/>
        <v>0</v>
      </c>
      <c r="G265" s="8">
        <f t="shared" si="13"/>
        <v>0</v>
      </c>
    </row>
    <row r="266" spans="1:7" hidden="1" x14ac:dyDescent="0.25">
      <c r="A266" s="17" t="s">
        <v>385</v>
      </c>
      <c r="B266" s="25" t="s">
        <v>345</v>
      </c>
      <c r="C266" s="14" t="s">
        <v>14</v>
      </c>
      <c r="D266" s="26"/>
      <c r="E266" s="471">
        <f>+E247</f>
        <v>41671</v>
      </c>
      <c r="F266" s="16">
        <f t="shared" si="18"/>
        <v>0</v>
      </c>
      <c r="G266" s="8">
        <f t="shared" si="13"/>
        <v>0</v>
      </c>
    </row>
    <row r="267" spans="1:7" hidden="1" x14ac:dyDescent="0.25">
      <c r="A267" s="17" t="s">
        <v>386</v>
      </c>
      <c r="B267" s="25" t="s">
        <v>346</v>
      </c>
      <c r="C267" s="14" t="s">
        <v>14</v>
      </c>
      <c r="D267" s="26"/>
      <c r="E267" s="471">
        <f>+E248</f>
        <v>48370</v>
      </c>
      <c r="F267" s="16">
        <f t="shared" si="18"/>
        <v>0</v>
      </c>
      <c r="G267" s="8">
        <f t="shared" ref="G267:G330" si="19">+IF(F267&lt;&gt;0,1,0)</f>
        <v>0</v>
      </c>
    </row>
    <row r="268" spans="1:7" hidden="1" x14ac:dyDescent="0.25">
      <c r="A268" s="17" t="s">
        <v>387</v>
      </c>
      <c r="B268" s="25" t="s">
        <v>347</v>
      </c>
      <c r="C268" s="14" t="s">
        <v>14</v>
      </c>
      <c r="D268" s="26"/>
      <c r="E268" s="471">
        <f>+E249</f>
        <v>0</v>
      </c>
      <c r="F268" s="16">
        <f t="shared" si="18"/>
        <v>0</v>
      </c>
      <c r="G268" s="8">
        <f t="shared" si="19"/>
        <v>0</v>
      </c>
    </row>
    <row r="269" spans="1:7" hidden="1" x14ac:dyDescent="0.25">
      <c r="A269" s="17" t="s">
        <v>388</v>
      </c>
      <c r="B269" s="25" t="s">
        <v>348</v>
      </c>
      <c r="C269" s="14" t="s">
        <v>14</v>
      </c>
      <c r="D269" s="26"/>
      <c r="E269" s="15"/>
      <c r="F269" s="16">
        <f t="shared" si="18"/>
        <v>0</v>
      </c>
      <c r="G269" s="8">
        <f t="shared" si="19"/>
        <v>0</v>
      </c>
    </row>
    <row r="270" spans="1:7" hidden="1" x14ac:dyDescent="0.25">
      <c r="A270" s="17" t="s">
        <v>389</v>
      </c>
      <c r="B270" s="25" t="s">
        <v>349</v>
      </c>
      <c r="C270" s="14" t="s">
        <v>14</v>
      </c>
      <c r="D270" s="26"/>
      <c r="E270" s="15"/>
      <c r="F270" s="16">
        <f t="shared" si="18"/>
        <v>0</v>
      </c>
      <c r="G270" s="8">
        <f t="shared" si="19"/>
        <v>0</v>
      </c>
    </row>
    <row r="271" spans="1:7" hidden="1" x14ac:dyDescent="0.25">
      <c r="A271" s="17" t="s">
        <v>390</v>
      </c>
      <c r="B271" s="25" t="s">
        <v>350</v>
      </c>
      <c r="C271" s="14" t="s">
        <v>14</v>
      </c>
      <c r="D271" s="26"/>
      <c r="E271" s="15"/>
      <c r="F271" s="16">
        <f t="shared" si="18"/>
        <v>0</v>
      </c>
      <c r="G271" s="8">
        <f t="shared" si="19"/>
        <v>0</v>
      </c>
    </row>
    <row r="272" spans="1:7" hidden="1" x14ac:dyDescent="0.25">
      <c r="A272" s="17" t="s">
        <v>391</v>
      </c>
      <c r="B272" s="25" t="s">
        <v>351</v>
      </c>
      <c r="C272" s="14" t="s">
        <v>14</v>
      </c>
      <c r="D272" s="26"/>
      <c r="E272" s="15"/>
      <c r="F272" s="16">
        <f t="shared" si="18"/>
        <v>0</v>
      </c>
      <c r="G272" s="8">
        <f t="shared" si="19"/>
        <v>0</v>
      </c>
    </row>
    <row r="273" spans="1:7" hidden="1" x14ac:dyDescent="0.25">
      <c r="A273" s="17" t="s">
        <v>392</v>
      </c>
      <c r="B273" s="25" t="s">
        <v>352</v>
      </c>
      <c r="C273" s="14" t="s">
        <v>14</v>
      </c>
      <c r="D273" s="26"/>
      <c r="E273" s="15"/>
      <c r="F273" s="16">
        <f t="shared" si="18"/>
        <v>0</v>
      </c>
      <c r="G273" s="8">
        <f t="shared" si="19"/>
        <v>0</v>
      </c>
    </row>
    <row r="274" spans="1:7" hidden="1" x14ac:dyDescent="0.25">
      <c r="A274" s="17" t="s">
        <v>393</v>
      </c>
      <c r="B274" s="25" t="s">
        <v>353</v>
      </c>
      <c r="C274" s="14" t="s">
        <v>14</v>
      </c>
      <c r="D274" s="26"/>
      <c r="E274" s="15"/>
      <c r="F274" s="16">
        <f t="shared" si="18"/>
        <v>0</v>
      </c>
      <c r="G274" s="8">
        <f t="shared" si="19"/>
        <v>0</v>
      </c>
    </row>
    <row r="275" spans="1:7" hidden="1" x14ac:dyDescent="0.25">
      <c r="A275" s="17" t="s">
        <v>394</v>
      </c>
      <c r="B275" s="25" t="s">
        <v>354</v>
      </c>
      <c r="C275" s="14" t="s">
        <v>14</v>
      </c>
      <c r="D275" s="26"/>
      <c r="E275" s="15"/>
      <c r="F275" s="16">
        <f t="shared" si="18"/>
        <v>0</v>
      </c>
      <c r="G275" s="8">
        <f t="shared" si="19"/>
        <v>0</v>
      </c>
    </row>
    <row r="276" spans="1:7" x14ac:dyDescent="0.25">
      <c r="A276" s="12" t="s">
        <v>395</v>
      </c>
      <c r="B276" s="46" t="s">
        <v>396</v>
      </c>
      <c r="C276" s="14"/>
      <c r="D276" s="26"/>
      <c r="E276" s="15"/>
      <c r="F276" s="16"/>
      <c r="G276" s="8">
        <v>1</v>
      </c>
    </row>
    <row r="277" spans="1:7" hidden="1" x14ac:dyDescent="0.25">
      <c r="A277" s="17" t="s">
        <v>397</v>
      </c>
      <c r="B277" s="49" t="s">
        <v>6195</v>
      </c>
      <c r="C277" s="14" t="s">
        <v>37</v>
      </c>
      <c r="D277" s="26"/>
      <c r="E277" s="15"/>
      <c r="F277" s="16">
        <f t="shared" ref="F277:F283" si="20">+D277*E277</f>
        <v>0</v>
      </c>
      <c r="G277" s="8">
        <f t="shared" si="19"/>
        <v>0</v>
      </c>
    </row>
    <row r="278" spans="1:7" hidden="1" x14ac:dyDescent="0.25">
      <c r="A278" s="17" t="s">
        <v>398</v>
      </c>
      <c r="B278" s="49" t="s">
        <v>6196</v>
      </c>
      <c r="C278" s="14" t="s">
        <v>37</v>
      </c>
      <c r="D278" s="26"/>
      <c r="E278" s="15"/>
      <c r="F278" s="16">
        <f t="shared" si="20"/>
        <v>0</v>
      </c>
      <c r="G278" s="8">
        <f t="shared" si="19"/>
        <v>0</v>
      </c>
    </row>
    <row r="279" spans="1:7" x14ac:dyDescent="0.25">
      <c r="A279" s="17" t="s">
        <v>399</v>
      </c>
      <c r="B279" s="49" t="s">
        <v>6197</v>
      </c>
      <c r="C279" s="14" t="s">
        <v>37</v>
      </c>
      <c r="D279" s="26">
        <v>17</v>
      </c>
      <c r="E279" s="15">
        <f>+'APU CAP 3'!X1617</f>
        <v>9453</v>
      </c>
      <c r="F279" s="16">
        <f t="shared" si="20"/>
        <v>160701</v>
      </c>
      <c r="G279" s="8">
        <f t="shared" si="19"/>
        <v>1</v>
      </c>
    </row>
    <row r="280" spans="1:7" hidden="1" x14ac:dyDescent="0.25">
      <c r="A280" s="17" t="s">
        <v>400</v>
      </c>
      <c r="B280" s="49" t="s">
        <v>6198</v>
      </c>
      <c r="C280" s="14" t="s">
        <v>37</v>
      </c>
      <c r="D280" s="26"/>
      <c r="E280" s="15">
        <f>+'APU CAP 3'!H1671</f>
        <v>18913</v>
      </c>
      <c r="F280" s="16">
        <f t="shared" si="20"/>
        <v>0</v>
      </c>
      <c r="G280" s="8">
        <f t="shared" si="19"/>
        <v>0</v>
      </c>
    </row>
    <row r="281" spans="1:7" hidden="1" x14ac:dyDescent="0.25">
      <c r="A281" s="17" t="s">
        <v>401</v>
      </c>
      <c r="B281" s="49" t="s">
        <v>6199</v>
      </c>
      <c r="C281" s="14" t="s">
        <v>37</v>
      </c>
      <c r="D281" s="26"/>
      <c r="E281" s="15">
        <f>+'APU CAP 3'!P1671</f>
        <v>21310</v>
      </c>
      <c r="F281" s="16">
        <f t="shared" si="20"/>
        <v>0</v>
      </c>
      <c r="G281" s="8">
        <f t="shared" si="19"/>
        <v>0</v>
      </c>
    </row>
    <row r="282" spans="1:7" x14ac:dyDescent="0.25">
      <c r="A282" s="17" t="s">
        <v>402</v>
      </c>
      <c r="B282" s="49" t="s">
        <v>6200</v>
      </c>
      <c r="C282" s="14" t="s">
        <v>37</v>
      </c>
      <c r="D282" s="26">
        <v>265</v>
      </c>
      <c r="E282" s="15">
        <f>+'APU CAP 3'!X1671</f>
        <v>24906</v>
      </c>
      <c r="F282" s="16">
        <f t="shared" si="20"/>
        <v>6600090</v>
      </c>
      <c r="G282" s="8">
        <f t="shared" si="19"/>
        <v>1</v>
      </c>
    </row>
    <row r="283" spans="1:7" hidden="1" x14ac:dyDescent="0.25">
      <c r="A283" s="17" t="s">
        <v>403</v>
      </c>
      <c r="B283" s="49" t="s">
        <v>6201</v>
      </c>
      <c r="C283" s="14" t="s">
        <v>37</v>
      </c>
      <c r="D283" s="26"/>
      <c r="E283" s="15">
        <f>+'APU CAP 3'!H1725</f>
        <v>36089</v>
      </c>
      <c r="F283" s="16">
        <f t="shared" si="20"/>
        <v>0</v>
      </c>
      <c r="G283" s="8">
        <f t="shared" si="19"/>
        <v>0</v>
      </c>
    </row>
    <row r="284" spans="1:7" x14ac:dyDescent="0.25">
      <c r="A284" s="17" t="s">
        <v>6207</v>
      </c>
      <c r="B284" s="49" t="s">
        <v>6202</v>
      </c>
      <c r="C284" s="14" t="s">
        <v>37</v>
      </c>
      <c r="D284" s="26">
        <v>385</v>
      </c>
      <c r="E284" s="15">
        <f>+'APU CAP 3'!P1725</f>
        <v>40185</v>
      </c>
      <c r="F284" s="16">
        <f>+D284*E284</f>
        <v>15471225</v>
      </c>
      <c r="G284" s="8">
        <f t="shared" si="19"/>
        <v>1</v>
      </c>
    </row>
    <row r="285" spans="1:7" hidden="1" x14ac:dyDescent="0.25">
      <c r="A285" s="17" t="s">
        <v>6208</v>
      </c>
      <c r="B285" s="49" t="s">
        <v>6203</v>
      </c>
      <c r="C285" s="14" t="s">
        <v>37</v>
      </c>
      <c r="D285" s="26"/>
      <c r="E285" s="15">
        <f>+'APU CAP 3'!X1725</f>
        <v>46678</v>
      </c>
      <c r="F285" s="16">
        <f>+D285*E285</f>
        <v>0</v>
      </c>
      <c r="G285" s="8">
        <f t="shared" si="19"/>
        <v>0</v>
      </c>
    </row>
    <row r="286" spans="1:7" hidden="1" x14ac:dyDescent="0.25">
      <c r="A286" s="17" t="s">
        <v>6209</v>
      </c>
      <c r="B286" s="49" t="s">
        <v>6204</v>
      </c>
      <c r="C286" s="14" t="s">
        <v>37</v>
      </c>
      <c r="D286" s="26"/>
      <c r="E286" s="15"/>
      <c r="F286" s="16">
        <f>+D286*E286</f>
        <v>0</v>
      </c>
      <c r="G286" s="8">
        <f t="shared" si="19"/>
        <v>0</v>
      </c>
    </row>
    <row r="287" spans="1:7" hidden="1" x14ac:dyDescent="0.25">
      <c r="A287" s="17" t="s">
        <v>6210</v>
      </c>
      <c r="B287" s="49" t="s">
        <v>6205</v>
      </c>
      <c r="C287" s="14" t="s">
        <v>37</v>
      </c>
      <c r="D287" s="26"/>
      <c r="E287" s="15"/>
      <c r="F287" s="16">
        <f>+D287*E287</f>
        <v>0</v>
      </c>
      <c r="G287" s="8">
        <f t="shared" si="19"/>
        <v>0</v>
      </c>
    </row>
    <row r="288" spans="1:7" hidden="1" x14ac:dyDescent="0.25">
      <c r="A288" s="17" t="s">
        <v>6211</v>
      </c>
      <c r="B288" s="49" t="s">
        <v>6206</v>
      </c>
      <c r="C288" s="14" t="s">
        <v>37</v>
      </c>
      <c r="D288" s="26"/>
      <c r="E288" s="15"/>
      <c r="F288" s="16">
        <f>+D288*E288</f>
        <v>0</v>
      </c>
      <c r="G288" s="8">
        <f t="shared" si="19"/>
        <v>0</v>
      </c>
    </row>
    <row r="289" spans="1:7" x14ac:dyDescent="0.25">
      <c r="A289" s="12" t="s">
        <v>38</v>
      </c>
      <c r="B289" s="13" t="s">
        <v>404</v>
      </c>
      <c r="C289" s="14"/>
      <c r="D289" s="14"/>
      <c r="E289" s="15"/>
      <c r="F289" s="16"/>
      <c r="G289" s="8">
        <v>1</v>
      </c>
    </row>
    <row r="290" spans="1:7" hidden="1" x14ac:dyDescent="0.25">
      <c r="A290" s="27" t="s">
        <v>39</v>
      </c>
      <c r="B290" s="28" t="s">
        <v>6065</v>
      </c>
      <c r="C290" s="26"/>
      <c r="D290" s="26"/>
      <c r="E290" s="29"/>
      <c r="F290" s="30"/>
      <c r="G290" s="8">
        <f t="shared" si="19"/>
        <v>0</v>
      </c>
    </row>
    <row r="291" spans="1:7" hidden="1" x14ac:dyDescent="0.25">
      <c r="A291" s="31" t="s">
        <v>408</v>
      </c>
      <c r="B291" s="32" t="s">
        <v>6212</v>
      </c>
      <c r="C291" s="26" t="s">
        <v>37</v>
      </c>
      <c r="D291" s="26"/>
      <c r="E291" s="29">
        <f>+'APU CAP 3'!H1779</f>
        <v>72446</v>
      </c>
      <c r="F291" s="16">
        <f t="shared" ref="F291:F306" si="21">+D291*E291</f>
        <v>0</v>
      </c>
      <c r="G291" s="8">
        <f t="shared" si="19"/>
        <v>0</v>
      </c>
    </row>
    <row r="292" spans="1:7" hidden="1" x14ac:dyDescent="0.25">
      <c r="A292" s="31" t="s">
        <v>409</v>
      </c>
      <c r="B292" s="32" t="s">
        <v>6213</v>
      </c>
      <c r="C292" s="26" t="s">
        <v>37</v>
      </c>
      <c r="D292" s="26"/>
      <c r="E292" s="29">
        <f>+'APU CAP 3'!H1833</f>
        <v>77036</v>
      </c>
      <c r="F292" s="16">
        <f t="shared" si="21"/>
        <v>0</v>
      </c>
      <c r="G292" s="8">
        <f t="shared" si="19"/>
        <v>0</v>
      </c>
    </row>
    <row r="293" spans="1:7" hidden="1" x14ac:dyDescent="0.25">
      <c r="A293" s="31" t="s">
        <v>40</v>
      </c>
      <c r="B293" s="32" t="s">
        <v>6066</v>
      </c>
      <c r="C293" s="26" t="s">
        <v>37</v>
      </c>
      <c r="D293" s="26"/>
      <c r="E293" s="29">
        <f>+'APU CAP 3'!P1887</f>
        <v>129880</v>
      </c>
      <c r="F293" s="16">
        <f t="shared" si="21"/>
        <v>0</v>
      </c>
      <c r="G293" s="8">
        <f t="shared" si="19"/>
        <v>0</v>
      </c>
    </row>
    <row r="294" spans="1:7" hidden="1" x14ac:dyDescent="0.25">
      <c r="A294" s="31" t="s">
        <v>410</v>
      </c>
      <c r="B294" s="32" t="s">
        <v>6067</v>
      </c>
      <c r="C294" s="26" t="s">
        <v>37</v>
      </c>
      <c r="D294" s="26"/>
      <c r="E294" s="29"/>
      <c r="F294" s="16">
        <f t="shared" si="21"/>
        <v>0</v>
      </c>
      <c r="G294" s="8">
        <f t="shared" si="19"/>
        <v>0</v>
      </c>
    </row>
    <row r="295" spans="1:7" hidden="1" x14ac:dyDescent="0.25">
      <c r="A295" s="31" t="s">
        <v>411</v>
      </c>
      <c r="B295" s="32" t="s">
        <v>6069</v>
      </c>
      <c r="C295" s="26" t="s">
        <v>37</v>
      </c>
      <c r="D295" s="26"/>
      <c r="E295" s="29"/>
      <c r="F295" s="16">
        <f t="shared" si="21"/>
        <v>0</v>
      </c>
      <c r="G295" s="8">
        <f t="shared" si="19"/>
        <v>0</v>
      </c>
    </row>
    <row r="296" spans="1:7" hidden="1" x14ac:dyDescent="0.25">
      <c r="A296" s="31" t="s">
        <v>412</v>
      </c>
      <c r="B296" s="32" t="s">
        <v>6068</v>
      </c>
      <c r="C296" s="26" t="s">
        <v>37</v>
      </c>
      <c r="D296" s="26"/>
      <c r="E296" s="29"/>
      <c r="F296" s="16">
        <f t="shared" si="21"/>
        <v>0</v>
      </c>
      <c r="G296" s="8">
        <f t="shared" si="19"/>
        <v>0</v>
      </c>
    </row>
    <row r="297" spans="1:7" hidden="1" x14ac:dyDescent="0.25">
      <c r="A297" s="31" t="s">
        <v>413</v>
      </c>
      <c r="B297" s="32" t="s">
        <v>6070</v>
      </c>
      <c r="C297" s="26" t="s">
        <v>37</v>
      </c>
      <c r="D297" s="26"/>
      <c r="E297" s="29"/>
      <c r="F297" s="16">
        <f t="shared" si="21"/>
        <v>0</v>
      </c>
      <c r="G297" s="8">
        <f t="shared" si="19"/>
        <v>0</v>
      </c>
    </row>
    <row r="298" spans="1:7" hidden="1" x14ac:dyDescent="0.25">
      <c r="A298" s="31" t="s">
        <v>414</v>
      </c>
      <c r="B298" s="32" t="s">
        <v>6071</v>
      </c>
      <c r="C298" s="26" t="s">
        <v>37</v>
      </c>
      <c r="D298" s="26"/>
      <c r="E298" s="29"/>
      <c r="F298" s="16">
        <f t="shared" si="21"/>
        <v>0</v>
      </c>
      <c r="G298" s="8">
        <f t="shared" si="19"/>
        <v>0</v>
      </c>
    </row>
    <row r="299" spans="1:7" hidden="1" x14ac:dyDescent="0.25">
      <c r="A299" s="31" t="s">
        <v>415</v>
      </c>
      <c r="B299" s="32" t="s">
        <v>6214</v>
      </c>
      <c r="C299" s="26" t="s">
        <v>37</v>
      </c>
      <c r="D299" s="26"/>
      <c r="E299" s="29">
        <f>+'APU CAP 3'!H1887</f>
        <v>118326</v>
      </c>
      <c r="F299" s="16">
        <f t="shared" si="21"/>
        <v>0</v>
      </c>
      <c r="G299" s="8">
        <f t="shared" si="19"/>
        <v>0</v>
      </c>
    </row>
    <row r="300" spans="1:7" hidden="1" x14ac:dyDescent="0.25">
      <c r="A300" s="31" t="s">
        <v>416</v>
      </c>
      <c r="B300" s="32" t="s">
        <v>6215</v>
      </c>
      <c r="C300" s="26" t="s">
        <v>37</v>
      </c>
      <c r="D300" s="26"/>
      <c r="E300" s="29">
        <f>+'APU CAP 3'!H1941</f>
        <v>171706</v>
      </c>
      <c r="F300" s="16">
        <f t="shared" si="21"/>
        <v>0</v>
      </c>
      <c r="G300" s="8">
        <f t="shared" si="19"/>
        <v>0</v>
      </c>
    </row>
    <row r="301" spans="1:7" hidden="1" x14ac:dyDescent="0.25">
      <c r="A301" s="31" t="s">
        <v>417</v>
      </c>
      <c r="B301" s="32" t="s">
        <v>6072</v>
      </c>
      <c r="C301" s="26" t="s">
        <v>37</v>
      </c>
      <c r="D301" s="26"/>
      <c r="E301" s="29"/>
      <c r="F301" s="16">
        <f t="shared" si="21"/>
        <v>0</v>
      </c>
      <c r="G301" s="8">
        <f t="shared" si="19"/>
        <v>0</v>
      </c>
    </row>
    <row r="302" spans="1:7" hidden="1" x14ac:dyDescent="0.25">
      <c r="A302" s="31" t="s">
        <v>418</v>
      </c>
      <c r="B302" s="32" t="s">
        <v>6073</v>
      </c>
      <c r="C302" s="26" t="s">
        <v>37</v>
      </c>
      <c r="D302" s="26"/>
      <c r="E302" s="29"/>
      <c r="F302" s="16">
        <f t="shared" si="21"/>
        <v>0</v>
      </c>
      <c r="G302" s="8">
        <f t="shared" si="19"/>
        <v>0</v>
      </c>
    </row>
    <row r="303" spans="1:7" hidden="1" x14ac:dyDescent="0.25">
      <c r="A303" s="31" t="s">
        <v>419</v>
      </c>
      <c r="B303" s="32" t="s">
        <v>6074</v>
      </c>
      <c r="C303" s="26" t="s">
        <v>37</v>
      </c>
      <c r="D303" s="26"/>
      <c r="E303" s="29"/>
      <c r="F303" s="16">
        <f t="shared" si="21"/>
        <v>0</v>
      </c>
      <c r="G303" s="8">
        <f t="shared" si="19"/>
        <v>0</v>
      </c>
    </row>
    <row r="304" spans="1:7" hidden="1" x14ac:dyDescent="0.25">
      <c r="A304" s="31" t="s">
        <v>420</v>
      </c>
      <c r="B304" s="32" t="s">
        <v>6075</v>
      </c>
      <c r="C304" s="26" t="s">
        <v>37</v>
      </c>
      <c r="D304" s="26"/>
      <c r="E304" s="29"/>
      <c r="F304" s="16">
        <f t="shared" si="21"/>
        <v>0</v>
      </c>
      <c r="G304" s="8">
        <f t="shared" si="19"/>
        <v>0</v>
      </c>
    </row>
    <row r="305" spans="1:7" hidden="1" x14ac:dyDescent="0.25">
      <c r="A305" s="31" t="s">
        <v>421</v>
      </c>
      <c r="B305" s="32" t="s">
        <v>6076</v>
      </c>
      <c r="C305" s="26" t="s">
        <v>37</v>
      </c>
      <c r="D305" s="26"/>
      <c r="E305" s="29"/>
      <c r="F305" s="16">
        <f t="shared" si="21"/>
        <v>0</v>
      </c>
      <c r="G305" s="8">
        <f t="shared" si="19"/>
        <v>0</v>
      </c>
    </row>
    <row r="306" spans="1:7" hidden="1" x14ac:dyDescent="0.25">
      <c r="A306" s="31" t="s">
        <v>422</v>
      </c>
      <c r="B306" s="32" t="s">
        <v>6077</v>
      </c>
      <c r="C306" s="26" t="s">
        <v>37</v>
      </c>
      <c r="D306" s="26"/>
      <c r="E306" s="29"/>
      <c r="F306" s="16">
        <f t="shared" si="21"/>
        <v>0</v>
      </c>
      <c r="G306" s="8">
        <f t="shared" si="19"/>
        <v>0</v>
      </c>
    </row>
    <row r="307" spans="1:7" x14ac:dyDescent="0.25">
      <c r="A307" s="27" t="s">
        <v>6078</v>
      </c>
      <c r="B307" s="455" t="s">
        <v>6079</v>
      </c>
      <c r="C307" s="26"/>
      <c r="D307" s="26"/>
      <c r="E307" s="456"/>
      <c r="F307" s="457"/>
      <c r="G307" s="8">
        <v>1</v>
      </c>
    </row>
    <row r="308" spans="1:7" hidden="1" x14ac:dyDescent="0.25">
      <c r="A308" s="31" t="s">
        <v>6080</v>
      </c>
      <c r="B308" s="32" t="s">
        <v>6081</v>
      </c>
      <c r="C308" s="26" t="s">
        <v>37</v>
      </c>
      <c r="D308" s="26"/>
      <c r="E308" s="456">
        <f>+'APU CAP 3'!P1779</f>
        <v>72446</v>
      </c>
      <c r="F308" s="457">
        <f t="shared" ref="F308:F327" si="22">+D308*E308</f>
        <v>0</v>
      </c>
      <c r="G308" s="8">
        <f t="shared" si="19"/>
        <v>0</v>
      </c>
    </row>
    <row r="309" spans="1:7" x14ac:dyDescent="0.25">
      <c r="A309" s="31" t="s">
        <v>6082</v>
      </c>
      <c r="B309" s="32" t="s">
        <v>6083</v>
      </c>
      <c r="C309" s="26" t="s">
        <v>37</v>
      </c>
      <c r="D309" s="26">
        <v>20</v>
      </c>
      <c r="E309" s="456">
        <f>+'APU CAP 3'!P1833</f>
        <v>79036</v>
      </c>
      <c r="F309" s="457">
        <f t="shared" si="22"/>
        <v>1580720</v>
      </c>
      <c r="G309" s="8">
        <f t="shared" si="19"/>
        <v>1</v>
      </c>
    </row>
    <row r="310" spans="1:7" x14ac:dyDescent="0.25">
      <c r="A310" s="31" t="s">
        <v>6084</v>
      </c>
      <c r="B310" s="32" t="s">
        <v>6085</v>
      </c>
      <c r="C310" s="26" t="s">
        <v>37</v>
      </c>
      <c r="D310" s="26">
        <v>11</v>
      </c>
      <c r="E310" s="456">
        <f>+'APU CAP 3'!P1887</f>
        <v>129880</v>
      </c>
      <c r="F310" s="457">
        <f t="shared" si="22"/>
        <v>1428680</v>
      </c>
      <c r="G310" s="8">
        <f t="shared" si="19"/>
        <v>1</v>
      </c>
    </row>
    <row r="311" spans="1:7" hidden="1" x14ac:dyDescent="0.25">
      <c r="A311" s="31" t="s">
        <v>6086</v>
      </c>
      <c r="B311" s="32" t="s">
        <v>6087</v>
      </c>
      <c r="C311" s="26" t="s">
        <v>37</v>
      </c>
      <c r="D311" s="26"/>
      <c r="E311" s="456"/>
      <c r="F311" s="457">
        <f t="shared" si="22"/>
        <v>0</v>
      </c>
      <c r="G311" s="8">
        <f t="shared" si="19"/>
        <v>0</v>
      </c>
    </row>
    <row r="312" spans="1:7" hidden="1" x14ac:dyDescent="0.25">
      <c r="A312" s="31" t="s">
        <v>6088</v>
      </c>
      <c r="B312" s="32" t="s">
        <v>6089</v>
      </c>
      <c r="C312" s="26" t="s">
        <v>37</v>
      </c>
      <c r="D312" s="26"/>
      <c r="E312" s="456">
        <f>+'APU CAP 3'!X1779</f>
        <v>75036</v>
      </c>
      <c r="F312" s="457">
        <f t="shared" si="22"/>
        <v>0</v>
      </c>
      <c r="G312" s="8">
        <f t="shared" si="19"/>
        <v>0</v>
      </c>
    </row>
    <row r="313" spans="1:7" hidden="1" x14ac:dyDescent="0.25">
      <c r="A313" s="31" t="s">
        <v>6090</v>
      </c>
      <c r="B313" s="32" t="s">
        <v>6091</v>
      </c>
      <c r="C313" s="26" t="s">
        <v>37</v>
      </c>
      <c r="D313" s="26"/>
      <c r="E313" s="456">
        <f>+'APU CAP 3'!X1833</f>
        <v>87510</v>
      </c>
      <c r="F313" s="457">
        <f t="shared" si="22"/>
        <v>0</v>
      </c>
      <c r="G313" s="8">
        <f t="shared" si="19"/>
        <v>0</v>
      </c>
    </row>
    <row r="314" spans="1:7" hidden="1" x14ac:dyDescent="0.25">
      <c r="A314" s="31" t="s">
        <v>6092</v>
      </c>
      <c r="B314" s="32" t="s">
        <v>6093</v>
      </c>
      <c r="C314" s="26" t="s">
        <v>37</v>
      </c>
      <c r="D314" s="26"/>
      <c r="E314" s="456">
        <f>+'APU CAP 3'!X1887</f>
        <v>157302</v>
      </c>
      <c r="F314" s="457">
        <f t="shared" si="22"/>
        <v>0</v>
      </c>
      <c r="G314" s="8">
        <f t="shared" si="19"/>
        <v>0</v>
      </c>
    </row>
    <row r="315" spans="1:7" hidden="1" x14ac:dyDescent="0.25">
      <c r="A315" s="31" t="s">
        <v>6094</v>
      </c>
      <c r="B315" s="32" t="s">
        <v>6095</v>
      </c>
      <c r="C315" s="26" t="s">
        <v>37</v>
      </c>
      <c r="D315" s="26"/>
      <c r="E315" s="456"/>
      <c r="F315" s="457">
        <f t="shared" si="22"/>
        <v>0</v>
      </c>
      <c r="G315" s="8">
        <f t="shared" si="19"/>
        <v>0</v>
      </c>
    </row>
    <row r="316" spans="1:7" hidden="1" x14ac:dyDescent="0.25">
      <c r="A316" s="31" t="s">
        <v>6096</v>
      </c>
      <c r="B316" s="32" t="s">
        <v>6097</v>
      </c>
      <c r="C316" s="26" t="s">
        <v>37</v>
      </c>
      <c r="D316" s="26"/>
      <c r="E316" s="456">
        <f>+'APU CAP 3'!AF1779</f>
        <v>87510</v>
      </c>
      <c r="F316" s="457">
        <f t="shared" si="22"/>
        <v>0</v>
      </c>
      <c r="G316" s="8">
        <f t="shared" si="19"/>
        <v>0</v>
      </c>
    </row>
    <row r="317" spans="1:7" hidden="1" x14ac:dyDescent="0.25">
      <c r="A317" s="31" t="s">
        <v>6098</v>
      </c>
      <c r="B317" s="32" t="s">
        <v>6099</v>
      </c>
      <c r="C317" s="26" t="s">
        <v>37</v>
      </c>
      <c r="D317" s="26"/>
      <c r="E317" s="456">
        <f>+'APU CAP 3'!AF1833</f>
        <v>103458</v>
      </c>
      <c r="F317" s="457">
        <f t="shared" si="22"/>
        <v>0</v>
      </c>
      <c r="G317" s="8">
        <f t="shared" si="19"/>
        <v>0</v>
      </c>
    </row>
    <row r="318" spans="1:7" hidden="1" x14ac:dyDescent="0.25">
      <c r="A318" s="31" t="s">
        <v>6100</v>
      </c>
      <c r="B318" s="32" t="s">
        <v>6101</v>
      </c>
      <c r="C318" s="26" t="s">
        <v>37</v>
      </c>
      <c r="D318" s="26"/>
      <c r="E318" s="456">
        <f>+'APU CAP 3'!AF1887</f>
        <v>177250</v>
      </c>
      <c r="F318" s="457">
        <f t="shared" si="22"/>
        <v>0</v>
      </c>
      <c r="G318" s="8">
        <f t="shared" si="19"/>
        <v>0</v>
      </c>
    </row>
    <row r="319" spans="1:7" hidden="1" x14ac:dyDescent="0.25">
      <c r="A319" s="31" t="s">
        <v>6102</v>
      </c>
      <c r="B319" s="32" t="s">
        <v>6103</v>
      </c>
      <c r="C319" s="26" t="s">
        <v>37</v>
      </c>
      <c r="D319" s="26"/>
      <c r="E319" s="456"/>
      <c r="F319" s="457">
        <f t="shared" si="22"/>
        <v>0</v>
      </c>
      <c r="G319" s="8">
        <f t="shared" si="19"/>
        <v>0</v>
      </c>
    </row>
    <row r="320" spans="1:7" hidden="1" x14ac:dyDescent="0.25">
      <c r="A320" s="31" t="s">
        <v>6104</v>
      </c>
      <c r="B320" s="32" t="s">
        <v>6105</v>
      </c>
      <c r="C320" s="26" t="s">
        <v>37</v>
      </c>
      <c r="D320" s="26"/>
      <c r="E320" s="456">
        <f>+'APU CAP 3'!AN1779</f>
        <v>103458</v>
      </c>
      <c r="F320" s="457">
        <f t="shared" si="22"/>
        <v>0</v>
      </c>
      <c r="G320" s="8">
        <f t="shared" si="19"/>
        <v>0</v>
      </c>
    </row>
    <row r="321" spans="1:7" hidden="1" x14ac:dyDescent="0.25">
      <c r="A321" s="31" t="s">
        <v>6106</v>
      </c>
      <c r="B321" s="32" t="s">
        <v>6107</v>
      </c>
      <c r="C321" s="26" t="s">
        <v>37</v>
      </c>
      <c r="D321" s="26"/>
      <c r="E321" s="456">
        <f>+'APU CAP 3'!AN1833</f>
        <v>127380</v>
      </c>
      <c r="F321" s="457">
        <f t="shared" si="22"/>
        <v>0</v>
      </c>
      <c r="G321" s="8">
        <f t="shared" si="19"/>
        <v>0</v>
      </c>
    </row>
    <row r="322" spans="1:7" hidden="1" x14ac:dyDescent="0.25">
      <c r="A322" s="31" t="s">
        <v>6108</v>
      </c>
      <c r="B322" s="32" t="s">
        <v>6109</v>
      </c>
      <c r="C322" s="26" t="s">
        <v>37</v>
      </c>
      <c r="D322" s="26"/>
      <c r="E322" s="456">
        <f>+'APU CAP 3'!AN1887</f>
        <v>205935</v>
      </c>
      <c r="F322" s="457">
        <f t="shared" si="22"/>
        <v>0</v>
      </c>
      <c r="G322" s="8">
        <f t="shared" si="19"/>
        <v>0</v>
      </c>
    </row>
    <row r="323" spans="1:7" hidden="1" x14ac:dyDescent="0.25">
      <c r="A323" s="31" t="s">
        <v>6110</v>
      </c>
      <c r="B323" s="32" t="s">
        <v>6111</v>
      </c>
      <c r="C323" s="26" t="s">
        <v>37</v>
      </c>
      <c r="D323" s="26"/>
      <c r="E323" s="456"/>
      <c r="F323" s="457">
        <f t="shared" si="22"/>
        <v>0</v>
      </c>
      <c r="G323" s="8">
        <f t="shared" si="19"/>
        <v>0</v>
      </c>
    </row>
    <row r="324" spans="1:7" hidden="1" x14ac:dyDescent="0.25">
      <c r="A324" s="31" t="s">
        <v>6112</v>
      </c>
      <c r="B324" s="32" t="s">
        <v>6113</v>
      </c>
      <c r="C324" s="26" t="s">
        <v>37</v>
      </c>
      <c r="D324" s="26"/>
      <c r="E324" s="456">
        <f>+'APU CAP 3'!AV1779</f>
        <v>127380</v>
      </c>
      <c r="F324" s="457">
        <f t="shared" si="22"/>
        <v>0</v>
      </c>
      <c r="G324" s="8">
        <f t="shared" si="19"/>
        <v>0</v>
      </c>
    </row>
    <row r="325" spans="1:7" hidden="1" x14ac:dyDescent="0.25">
      <c r="A325" s="31" t="s">
        <v>6114</v>
      </c>
      <c r="B325" s="32" t="s">
        <v>6115</v>
      </c>
      <c r="C325" s="26" t="s">
        <v>37</v>
      </c>
      <c r="D325" s="26"/>
      <c r="E325" s="456">
        <f>+'APU CAP 3'!AV1833</f>
        <v>152302</v>
      </c>
      <c r="F325" s="457">
        <f t="shared" si="22"/>
        <v>0</v>
      </c>
      <c r="G325" s="8">
        <f t="shared" si="19"/>
        <v>0</v>
      </c>
    </row>
    <row r="326" spans="1:7" hidden="1" x14ac:dyDescent="0.25">
      <c r="A326" s="31" t="s">
        <v>6116</v>
      </c>
      <c r="B326" s="32" t="s">
        <v>6117</v>
      </c>
      <c r="C326" s="26" t="s">
        <v>37</v>
      </c>
      <c r="D326" s="26"/>
      <c r="E326" s="456">
        <f>+'APU CAP 3'!AV1887</f>
        <v>291065</v>
      </c>
      <c r="F326" s="457">
        <f t="shared" si="22"/>
        <v>0</v>
      </c>
      <c r="G326" s="8">
        <f t="shared" si="19"/>
        <v>0</v>
      </c>
    </row>
    <row r="327" spans="1:7" hidden="1" x14ac:dyDescent="0.25">
      <c r="A327" s="31" t="s">
        <v>6118</v>
      </c>
      <c r="B327" s="32" t="s">
        <v>6119</v>
      </c>
      <c r="C327" s="26" t="s">
        <v>37</v>
      </c>
      <c r="D327" s="26"/>
      <c r="E327" s="456"/>
      <c r="F327" s="457">
        <f t="shared" si="22"/>
        <v>0</v>
      </c>
      <c r="G327" s="8">
        <f t="shared" si="19"/>
        <v>0</v>
      </c>
    </row>
    <row r="328" spans="1:7" hidden="1" x14ac:dyDescent="0.25">
      <c r="A328" s="27" t="s">
        <v>423</v>
      </c>
      <c r="B328" s="48" t="s">
        <v>424</v>
      </c>
      <c r="C328" s="26"/>
      <c r="D328" s="26"/>
      <c r="E328" s="29"/>
      <c r="F328" s="30"/>
      <c r="G328" s="8">
        <f t="shared" si="19"/>
        <v>0</v>
      </c>
    </row>
    <row r="329" spans="1:7" hidden="1" x14ac:dyDescent="0.25">
      <c r="A329" s="31" t="s">
        <v>425</v>
      </c>
      <c r="B329" s="47" t="s">
        <v>429</v>
      </c>
      <c r="C329" s="26" t="s">
        <v>37</v>
      </c>
      <c r="D329" s="26"/>
      <c r="E329" s="29"/>
      <c r="F329" s="16">
        <f>+D329*E329</f>
        <v>0</v>
      </c>
      <c r="G329" s="8">
        <f t="shared" si="19"/>
        <v>0</v>
      </c>
    </row>
    <row r="330" spans="1:7" hidden="1" x14ac:dyDescent="0.25">
      <c r="A330" s="31" t="s">
        <v>430</v>
      </c>
      <c r="B330" s="47" t="s">
        <v>426</v>
      </c>
      <c r="C330" s="26" t="s">
        <v>37</v>
      </c>
      <c r="D330" s="26"/>
      <c r="E330" s="29">
        <f>+'APU CAP 3'!H2049</f>
        <v>207729</v>
      </c>
      <c r="F330" s="16">
        <f>+D330*E330</f>
        <v>0</v>
      </c>
      <c r="G330" s="8">
        <f t="shared" si="19"/>
        <v>0</v>
      </c>
    </row>
    <row r="331" spans="1:7" hidden="1" x14ac:dyDescent="0.25">
      <c r="A331" s="31" t="s">
        <v>431</v>
      </c>
      <c r="B331" s="47" t="s">
        <v>427</v>
      </c>
      <c r="C331" s="26" t="s">
        <v>37</v>
      </c>
      <c r="D331" s="26"/>
      <c r="E331" s="29"/>
      <c r="F331" s="16">
        <f>+D331*E331</f>
        <v>0</v>
      </c>
      <c r="G331" s="8">
        <f t="shared" ref="G331:G394" si="23">+IF(F331&lt;&gt;0,1,0)</f>
        <v>0</v>
      </c>
    </row>
    <row r="332" spans="1:7" hidden="1" x14ac:dyDescent="0.25">
      <c r="A332" s="31" t="s">
        <v>432</v>
      </c>
      <c r="B332" s="47" t="s">
        <v>428</v>
      </c>
      <c r="C332" s="26" t="s">
        <v>37</v>
      </c>
      <c r="D332" s="26"/>
      <c r="E332" s="29">
        <f>+'APU CAP 3'!H1995</f>
        <v>275719</v>
      </c>
      <c r="F332" s="16">
        <f>+D332*E332</f>
        <v>0</v>
      </c>
      <c r="G332" s="8">
        <f t="shared" si="23"/>
        <v>0</v>
      </c>
    </row>
    <row r="333" spans="1:7" hidden="1" x14ac:dyDescent="0.25">
      <c r="A333" s="27" t="s">
        <v>41</v>
      </c>
      <c r="B333" s="48" t="s">
        <v>444</v>
      </c>
      <c r="C333" s="26"/>
      <c r="D333" s="26"/>
      <c r="E333" s="29"/>
      <c r="F333" s="30"/>
      <c r="G333" s="8">
        <f t="shared" si="23"/>
        <v>0</v>
      </c>
    </row>
    <row r="334" spans="1:7" hidden="1" x14ac:dyDescent="0.25">
      <c r="A334" s="12" t="s">
        <v>445</v>
      </c>
      <c r="B334" s="13" t="s">
        <v>452</v>
      </c>
      <c r="C334" s="14"/>
      <c r="D334" s="14"/>
      <c r="E334" s="15"/>
      <c r="F334" s="16"/>
      <c r="G334" s="8">
        <f t="shared" si="23"/>
        <v>0</v>
      </c>
    </row>
    <row r="335" spans="1:7" hidden="1" x14ac:dyDescent="0.25">
      <c r="A335" s="17" t="s">
        <v>446</v>
      </c>
      <c r="B335" s="18" t="s">
        <v>433</v>
      </c>
      <c r="C335" s="26" t="s">
        <v>37</v>
      </c>
      <c r="D335" s="14"/>
      <c r="E335" s="15">
        <f>+'APU CAP 3'!H2103</f>
        <v>43956</v>
      </c>
      <c r="F335" s="16">
        <f t="shared" ref="F335:F340" si="24">+D335*E335</f>
        <v>0</v>
      </c>
      <c r="G335" s="8">
        <f t="shared" si="23"/>
        <v>0</v>
      </c>
    </row>
    <row r="336" spans="1:7" hidden="1" x14ac:dyDescent="0.25">
      <c r="A336" s="17" t="s">
        <v>447</v>
      </c>
      <c r="B336" s="18" t="s">
        <v>439</v>
      </c>
      <c r="C336" s="26" t="s">
        <v>37</v>
      </c>
      <c r="D336" s="14"/>
      <c r="E336" s="15">
        <f>+'APU CAP 3'!H2157</f>
        <v>71359</v>
      </c>
      <c r="F336" s="16">
        <f t="shared" si="24"/>
        <v>0</v>
      </c>
      <c r="G336" s="8">
        <f t="shared" si="23"/>
        <v>0</v>
      </c>
    </row>
    <row r="337" spans="1:7" hidden="1" x14ac:dyDescent="0.25">
      <c r="A337" s="17" t="s">
        <v>448</v>
      </c>
      <c r="B337" s="18" t="s">
        <v>440</v>
      </c>
      <c r="C337" s="26" t="s">
        <v>37</v>
      </c>
      <c r="D337" s="14"/>
      <c r="E337" s="15">
        <f>+'APU CAP 3'!H2211</f>
        <v>145566</v>
      </c>
      <c r="F337" s="16">
        <f t="shared" si="24"/>
        <v>0</v>
      </c>
      <c r="G337" s="8">
        <f t="shared" si="23"/>
        <v>0</v>
      </c>
    </row>
    <row r="338" spans="1:7" hidden="1" x14ac:dyDescent="0.25">
      <c r="A338" s="17" t="s">
        <v>449</v>
      </c>
      <c r="B338" s="18" t="s">
        <v>441</v>
      </c>
      <c r="C338" s="26" t="s">
        <v>37</v>
      </c>
      <c r="D338" s="14"/>
      <c r="E338" s="15"/>
      <c r="F338" s="16">
        <f t="shared" si="24"/>
        <v>0</v>
      </c>
      <c r="G338" s="8">
        <f t="shared" si="23"/>
        <v>0</v>
      </c>
    </row>
    <row r="339" spans="1:7" hidden="1" x14ac:dyDescent="0.25">
      <c r="A339" s="17" t="s">
        <v>450</v>
      </c>
      <c r="B339" s="18" t="s">
        <v>442</v>
      </c>
      <c r="C339" s="26" t="s">
        <v>37</v>
      </c>
      <c r="D339" s="14"/>
      <c r="E339" s="15"/>
      <c r="F339" s="16">
        <f t="shared" si="24"/>
        <v>0</v>
      </c>
      <c r="G339" s="8">
        <f t="shared" si="23"/>
        <v>0</v>
      </c>
    </row>
    <row r="340" spans="1:7" hidden="1" x14ac:dyDescent="0.25">
      <c r="A340" s="17" t="s">
        <v>451</v>
      </c>
      <c r="B340" s="18" t="s">
        <v>443</v>
      </c>
      <c r="C340" s="26" t="s">
        <v>37</v>
      </c>
      <c r="D340" s="14"/>
      <c r="E340" s="15"/>
      <c r="F340" s="16">
        <f t="shared" si="24"/>
        <v>0</v>
      </c>
      <c r="G340" s="8">
        <f t="shared" si="23"/>
        <v>0</v>
      </c>
    </row>
    <row r="341" spans="1:7" hidden="1" x14ac:dyDescent="0.25">
      <c r="A341" s="12" t="s">
        <v>434</v>
      </c>
      <c r="B341" s="13" t="s">
        <v>453</v>
      </c>
      <c r="C341" s="14"/>
      <c r="D341" s="14"/>
      <c r="E341" s="15"/>
      <c r="F341" s="16"/>
      <c r="G341" s="8">
        <f t="shared" si="23"/>
        <v>0</v>
      </c>
    </row>
    <row r="342" spans="1:7" hidden="1" x14ac:dyDescent="0.25">
      <c r="A342" s="17" t="s">
        <v>454</v>
      </c>
      <c r="B342" s="18" t="s">
        <v>455</v>
      </c>
      <c r="C342" s="26" t="s">
        <v>37</v>
      </c>
      <c r="D342" s="14"/>
      <c r="E342" s="15">
        <f>+'APU CAP 3'!H2373</f>
        <v>15985</v>
      </c>
      <c r="F342" s="16">
        <f>+D342*E342</f>
        <v>0</v>
      </c>
      <c r="G342" s="8">
        <f t="shared" si="23"/>
        <v>0</v>
      </c>
    </row>
    <row r="343" spans="1:7" hidden="1" x14ac:dyDescent="0.25">
      <c r="A343" s="17" t="s">
        <v>457</v>
      </c>
      <c r="B343" s="18" t="s">
        <v>456</v>
      </c>
      <c r="C343" s="26" t="s">
        <v>37</v>
      </c>
      <c r="D343" s="14"/>
      <c r="E343" s="15">
        <f>+'APU CAP 3'!H2427</f>
        <v>16063</v>
      </c>
      <c r="F343" s="16">
        <f>+D343*E343</f>
        <v>0</v>
      </c>
      <c r="G343" s="8">
        <f t="shared" si="23"/>
        <v>0</v>
      </c>
    </row>
    <row r="344" spans="1:7" hidden="1" x14ac:dyDescent="0.25">
      <c r="A344" s="12" t="s">
        <v>435</v>
      </c>
      <c r="B344" s="13" t="s">
        <v>458</v>
      </c>
      <c r="C344" s="14"/>
      <c r="D344" s="14"/>
      <c r="E344" s="15"/>
      <c r="F344" s="16"/>
      <c r="G344" s="8">
        <f t="shared" si="23"/>
        <v>0</v>
      </c>
    </row>
    <row r="345" spans="1:7" hidden="1" x14ac:dyDescent="0.25">
      <c r="A345" s="17" t="s">
        <v>462</v>
      </c>
      <c r="B345" s="18" t="s">
        <v>459</v>
      </c>
      <c r="C345" s="26" t="s">
        <v>37</v>
      </c>
      <c r="D345" s="14"/>
      <c r="E345" s="15"/>
      <c r="F345" s="16">
        <f>+D345*E345</f>
        <v>0</v>
      </c>
      <c r="G345" s="8">
        <f t="shared" si="23"/>
        <v>0</v>
      </c>
    </row>
    <row r="346" spans="1:7" hidden="1" x14ac:dyDescent="0.25">
      <c r="A346" s="17" t="s">
        <v>463</v>
      </c>
      <c r="B346" s="18" t="s">
        <v>460</v>
      </c>
      <c r="C346" s="26" t="s">
        <v>37</v>
      </c>
      <c r="D346" s="14"/>
      <c r="E346" s="15"/>
      <c r="F346" s="16">
        <f>+D346*E346</f>
        <v>0</v>
      </c>
      <c r="G346" s="8">
        <f t="shared" si="23"/>
        <v>0</v>
      </c>
    </row>
    <row r="347" spans="1:7" hidden="1" x14ac:dyDescent="0.25">
      <c r="A347" s="17" t="s">
        <v>464</v>
      </c>
      <c r="B347" s="18" t="s">
        <v>461</v>
      </c>
      <c r="C347" s="26" t="s">
        <v>37</v>
      </c>
      <c r="D347" s="14"/>
      <c r="E347" s="15"/>
      <c r="F347" s="16">
        <f>+D347*E347</f>
        <v>0</v>
      </c>
      <c r="G347" s="8">
        <f t="shared" si="23"/>
        <v>0</v>
      </c>
    </row>
    <row r="348" spans="1:7" hidden="1" x14ac:dyDescent="0.25">
      <c r="A348" s="12" t="s">
        <v>436</v>
      </c>
      <c r="B348" s="13" t="s">
        <v>42</v>
      </c>
      <c r="C348" s="14"/>
      <c r="D348" s="14"/>
      <c r="E348" s="15"/>
      <c r="F348" s="16"/>
      <c r="G348" s="8">
        <f t="shared" si="23"/>
        <v>0</v>
      </c>
    </row>
    <row r="349" spans="1:7" hidden="1" x14ac:dyDescent="0.25">
      <c r="A349" s="17" t="s">
        <v>465</v>
      </c>
      <c r="B349" s="18" t="s">
        <v>466</v>
      </c>
      <c r="C349" s="26" t="s">
        <v>37</v>
      </c>
      <c r="D349" s="14"/>
      <c r="E349" s="15">
        <f>+'APU CAP 3'!H2643</f>
        <v>91711</v>
      </c>
      <c r="F349" s="16">
        <f>+D349*E349</f>
        <v>0</v>
      </c>
      <c r="G349" s="8">
        <f t="shared" si="23"/>
        <v>0</v>
      </c>
    </row>
    <row r="350" spans="1:7" hidden="1" x14ac:dyDescent="0.25">
      <c r="A350" s="17" t="s">
        <v>469</v>
      </c>
      <c r="B350" s="18" t="s">
        <v>467</v>
      </c>
      <c r="C350" s="26" t="s">
        <v>37</v>
      </c>
      <c r="D350" s="14"/>
      <c r="E350" s="15">
        <f>+'APU CAP 3'!H2697</f>
        <v>144818</v>
      </c>
      <c r="F350" s="16">
        <f>+D350*E350</f>
        <v>0</v>
      </c>
      <c r="G350" s="8">
        <f t="shared" si="23"/>
        <v>0</v>
      </c>
    </row>
    <row r="351" spans="1:7" hidden="1" x14ac:dyDescent="0.25">
      <c r="A351" s="17" t="s">
        <v>470</v>
      </c>
      <c r="B351" s="18" t="s">
        <v>468</v>
      </c>
      <c r="C351" s="26" t="s">
        <v>37</v>
      </c>
      <c r="D351" s="14"/>
      <c r="E351" s="15">
        <f>+'APU CAP 3'!H2751</f>
        <v>202673</v>
      </c>
      <c r="F351" s="16">
        <f>+D351*E351</f>
        <v>0</v>
      </c>
      <c r="G351" s="8">
        <f t="shared" si="23"/>
        <v>0</v>
      </c>
    </row>
    <row r="352" spans="1:7" hidden="1" x14ac:dyDescent="0.25">
      <c r="A352" s="12" t="s">
        <v>437</v>
      </c>
      <c r="B352" s="13" t="s">
        <v>471</v>
      </c>
      <c r="C352" s="14"/>
      <c r="D352" s="14"/>
      <c r="E352" s="15"/>
      <c r="F352" s="16"/>
      <c r="G352" s="8">
        <f t="shared" si="23"/>
        <v>0</v>
      </c>
    </row>
    <row r="353" spans="1:7" hidden="1" x14ac:dyDescent="0.25">
      <c r="A353" s="17" t="s">
        <v>472</v>
      </c>
      <c r="B353" s="18" t="s">
        <v>475</v>
      </c>
      <c r="C353" s="26" t="s">
        <v>37</v>
      </c>
      <c r="D353" s="14"/>
      <c r="E353" s="15">
        <f>+'APU CAP 3'!H2805</f>
        <v>343915</v>
      </c>
      <c r="F353" s="16">
        <f>+D353*E353</f>
        <v>0</v>
      </c>
      <c r="G353" s="8">
        <f t="shared" si="23"/>
        <v>0</v>
      </c>
    </row>
    <row r="354" spans="1:7" hidden="1" x14ac:dyDescent="0.25">
      <c r="A354" s="17" t="s">
        <v>473</v>
      </c>
      <c r="B354" s="18" t="s">
        <v>476</v>
      </c>
      <c r="C354" s="26" t="s">
        <v>37</v>
      </c>
      <c r="D354" s="14"/>
      <c r="E354" s="15">
        <f>+'APU CAP 3'!H2859</f>
        <v>403528</v>
      </c>
      <c r="F354" s="16">
        <f>+D354*E354</f>
        <v>0</v>
      </c>
      <c r="G354" s="8">
        <f t="shared" si="23"/>
        <v>0</v>
      </c>
    </row>
    <row r="355" spans="1:7" hidden="1" x14ac:dyDescent="0.25">
      <c r="A355" s="17" t="s">
        <v>474</v>
      </c>
      <c r="B355" s="18" t="s">
        <v>477</v>
      </c>
      <c r="C355" s="26" t="s">
        <v>37</v>
      </c>
      <c r="D355" s="14"/>
      <c r="E355" s="15">
        <f>+'APU CAP 3'!H2913</f>
        <v>604509</v>
      </c>
      <c r="F355" s="16">
        <f>+D355*E355</f>
        <v>0</v>
      </c>
      <c r="G355" s="8">
        <f t="shared" si="23"/>
        <v>0</v>
      </c>
    </row>
    <row r="356" spans="1:7" hidden="1" x14ac:dyDescent="0.25">
      <c r="A356" s="12" t="s">
        <v>438</v>
      </c>
      <c r="B356" s="13" t="s">
        <v>478</v>
      </c>
      <c r="C356" s="14"/>
      <c r="D356" s="14"/>
      <c r="E356" s="15"/>
      <c r="F356" s="16"/>
      <c r="G356" s="8">
        <f t="shared" si="23"/>
        <v>0</v>
      </c>
    </row>
    <row r="357" spans="1:7" hidden="1" x14ac:dyDescent="0.25">
      <c r="A357" s="17" t="s">
        <v>480</v>
      </c>
      <c r="B357" s="18" t="s">
        <v>479</v>
      </c>
      <c r="C357" s="26" t="s">
        <v>37</v>
      </c>
      <c r="D357" s="14"/>
      <c r="E357" s="15">
        <f>+'APU CAP 3'!H2967</f>
        <v>75906</v>
      </c>
      <c r="F357" s="16">
        <f>+D357*E357</f>
        <v>0</v>
      </c>
      <c r="G357" s="8">
        <f t="shared" si="23"/>
        <v>0</v>
      </c>
    </row>
    <row r="358" spans="1:7" hidden="1" x14ac:dyDescent="0.25">
      <c r="A358" s="17" t="s">
        <v>483</v>
      </c>
      <c r="B358" s="18" t="s">
        <v>481</v>
      </c>
      <c r="C358" s="26" t="s">
        <v>37</v>
      </c>
      <c r="D358" s="14"/>
      <c r="E358" s="15">
        <f>+'APU CAP 3'!H3021</f>
        <v>84714</v>
      </c>
      <c r="F358" s="16">
        <f>+D358*E358</f>
        <v>0</v>
      </c>
      <c r="G358" s="8">
        <f t="shared" si="23"/>
        <v>0</v>
      </c>
    </row>
    <row r="359" spans="1:7" hidden="1" x14ac:dyDescent="0.25">
      <c r="A359" s="17" t="s">
        <v>484</v>
      </c>
      <c r="B359" s="18" t="s">
        <v>482</v>
      </c>
      <c r="C359" s="26" t="s">
        <v>37</v>
      </c>
      <c r="D359" s="14"/>
      <c r="E359" s="15">
        <f>+'APU CAP 3'!H3075</f>
        <v>105559</v>
      </c>
      <c r="F359" s="16">
        <f>+D359*E359</f>
        <v>0</v>
      </c>
      <c r="G359" s="8">
        <f t="shared" si="23"/>
        <v>0</v>
      </c>
    </row>
    <row r="360" spans="1:7" hidden="1" x14ac:dyDescent="0.25">
      <c r="A360" s="17" t="s">
        <v>6120</v>
      </c>
      <c r="B360" s="18" t="s">
        <v>6121</v>
      </c>
      <c r="C360" s="26" t="s">
        <v>37</v>
      </c>
      <c r="D360" s="14"/>
      <c r="E360" s="441"/>
      <c r="F360" s="457">
        <f>+D360*E360</f>
        <v>0</v>
      </c>
      <c r="G360" s="8">
        <f t="shared" si="23"/>
        <v>0</v>
      </c>
    </row>
    <row r="361" spans="1:7" hidden="1" x14ac:dyDescent="0.25">
      <c r="A361" s="12" t="s">
        <v>500</v>
      </c>
      <c r="B361" s="13" t="s">
        <v>520</v>
      </c>
      <c r="C361" s="14"/>
      <c r="D361" s="14"/>
      <c r="E361" s="15"/>
      <c r="F361" s="16"/>
      <c r="G361" s="8">
        <f t="shared" si="23"/>
        <v>0</v>
      </c>
    </row>
    <row r="362" spans="1:7" hidden="1" x14ac:dyDescent="0.25">
      <c r="A362" s="17" t="s">
        <v>502</v>
      </c>
      <c r="B362" s="18" t="s">
        <v>494</v>
      </c>
      <c r="C362" s="26" t="s">
        <v>37</v>
      </c>
      <c r="D362" s="14"/>
      <c r="E362" s="15"/>
      <c r="F362" s="16">
        <f t="shared" ref="F362:F367" si="25">+D362*E362</f>
        <v>0</v>
      </c>
      <c r="G362" s="8">
        <f t="shared" si="23"/>
        <v>0</v>
      </c>
    </row>
    <row r="363" spans="1:7" hidden="1" x14ac:dyDescent="0.25">
      <c r="A363" s="17" t="s">
        <v>503</v>
      </c>
      <c r="B363" s="18" t="s">
        <v>493</v>
      </c>
      <c r="C363" s="26" t="s">
        <v>37</v>
      </c>
      <c r="D363" s="14"/>
      <c r="E363" s="15"/>
      <c r="F363" s="16">
        <f t="shared" si="25"/>
        <v>0</v>
      </c>
      <c r="G363" s="8">
        <f t="shared" si="23"/>
        <v>0</v>
      </c>
    </row>
    <row r="364" spans="1:7" hidden="1" x14ac:dyDescent="0.25">
      <c r="A364" s="17" t="s">
        <v>504</v>
      </c>
      <c r="B364" s="18" t="s">
        <v>495</v>
      </c>
      <c r="C364" s="26" t="s">
        <v>37</v>
      </c>
      <c r="D364" s="14"/>
      <c r="E364" s="15"/>
      <c r="F364" s="16">
        <f t="shared" si="25"/>
        <v>0</v>
      </c>
      <c r="G364" s="8">
        <f t="shared" si="23"/>
        <v>0</v>
      </c>
    </row>
    <row r="365" spans="1:7" hidden="1" x14ac:dyDescent="0.25">
      <c r="A365" s="17" t="s">
        <v>505</v>
      </c>
      <c r="B365" s="18" t="s">
        <v>496</v>
      </c>
      <c r="C365" s="26" t="s">
        <v>37</v>
      </c>
      <c r="D365" s="14"/>
      <c r="E365" s="15"/>
      <c r="F365" s="16">
        <f t="shared" si="25"/>
        <v>0</v>
      </c>
      <c r="G365" s="8">
        <f t="shared" si="23"/>
        <v>0</v>
      </c>
    </row>
    <row r="366" spans="1:7" hidden="1" x14ac:dyDescent="0.25">
      <c r="A366" s="17" t="s">
        <v>506</v>
      </c>
      <c r="B366" s="18" t="s">
        <v>497</v>
      </c>
      <c r="C366" s="26" t="s">
        <v>37</v>
      </c>
      <c r="D366" s="14"/>
      <c r="E366" s="15"/>
      <c r="F366" s="16">
        <f t="shared" si="25"/>
        <v>0</v>
      </c>
      <c r="G366" s="8">
        <f t="shared" si="23"/>
        <v>0</v>
      </c>
    </row>
    <row r="367" spans="1:7" hidden="1" x14ac:dyDescent="0.25">
      <c r="A367" s="17" t="s">
        <v>507</v>
      </c>
      <c r="B367" s="18" t="s">
        <v>498</v>
      </c>
      <c r="C367" s="26" t="s">
        <v>37</v>
      </c>
      <c r="D367" s="14"/>
      <c r="E367" s="15"/>
      <c r="F367" s="16">
        <f t="shared" si="25"/>
        <v>0</v>
      </c>
      <c r="G367" s="8">
        <f t="shared" si="23"/>
        <v>0</v>
      </c>
    </row>
    <row r="368" spans="1:7" hidden="1" x14ac:dyDescent="0.25">
      <c r="A368" s="12" t="s">
        <v>499</v>
      </c>
      <c r="B368" s="13" t="s">
        <v>513</v>
      </c>
      <c r="C368" s="26"/>
      <c r="D368" s="14"/>
      <c r="E368" s="15"/>
      <c r="F368" s="16"/>
      <c r="G368" s="8">
        <f t="shared" si="23"/>
        <v>0</v>
      </c>
    </row>
    <row r="369" spans="1:7" hidden="1" x14ac:dyDescent="0.25">
      <c r="A369" s="17" t="s">
        <v>501</v>
      </c>
      <c r="B369" s="18" t="s">
        <v>514</v>
      </c>
      <c r="C369" s="26" t="s">
        <v>37</v>
      </c>
      <c r="D369" s="14"/>
      <c r="E369" s="15"/>
      <c r="F369" s="16">
        <f t="shared" ref="F369:F374" si="26">+D369*E369</f>
        <v>0</v>
      </c>
      <c r="G369" s="8">
        <f t="shared" si="23"/>
        <v>0</v>
      </c>
    </row>
    <row r="370" spans="1:7" hidden="1" x14ac:dyDescent="0.25">
      <c r="A370" s="17" t="s">
        <v>508</v>
      </c>
      <c r="B370" s="18" t="s">
        <v>516</v>
      </c>
      <c r="C370" s="26" t="s">
        <v>37</v>
      </c>
      <c r="D370" s="14"/>
      <c r="E370" s="15"/>
      <c r="F370" s="16">
        <f t="shared" si="26"/>
        <v>0</v>
      </c>
      <c r="G370" s="8">
        <f t="shared" si="23"/>
        <v>0</v>
      </c>
    </row>
    <row r="371" spans="1:7" hidden="1" x14ac:dyDescent="0.25">
      <c r="A371" s="17" t="s">
        <v>509</v>
      </c>
      <c r="B371" s="18" t="s">
        <v>517</v>
      </c>
      <c r="C371" s="26" t="s">
        <v>37</v>
      </c>
      <c r="D371" s="14"/>
      <c r="E371" s="15"/>
      <c r="F371" s="16">
        <f t="shared" si="26"/>
        <v>0</v>
      </c>
      <c r="G371" s="8">
        <f t="shared" si="23"/>
        <v>0</v>
      </c>
    </row>
    <row r="372" spans="1:7" hidden="1" x14ac:dyDescent="0.25">
      <c r="A372" s="17" t="s">
        <v>510</v>
      </c>
      <c r="B372" s="18" t="s">
        <v>518</v>
      </c>
      <c r="C372" s="26" t="s">
        <v>37</v>
      </c>
      <c r="D372" s="14"/>
      <c r="E372" s="15"/>
      <c r="F372" s="16">
        <f t="shared" si="26"/>
        <v>0</v>
      </c>
      <c r="G372" s="8">
        <f t="shared" si="23"/>
        <v>0</v>
      </c>
    </row>
    <row r="373" spans="1:7" hidden="1" x14ac:dyDescent="0.25">
      <c r="A373" s="17" t="s">
        <v>511</v>
      </c>
      <c r="B373" s="18" t="s">
        <v>519</v>
      </c>
      <c r="C373" s="26" t="s">
        <v>37</v>
      </c>
      <c r="D373" s="14"/>
      <c r="E373" s="15"/>
      <c r="F373" s="16">
        <f t="shared" si="26"/>
        <v>0</v>
      </c>
      <c r="G373" s="8">
        <f t="shared" si="23"/>
        <v>0</v>
      </c>
    </row>
    <row r="374" spans="1:7" hidden="1" x14ac:dyDescent="0.25">
      <c r="A374" s="17" t="s">
        <v>512</v>
      </c>
      <c r="B374" s="18" t="s">
        <v>515</v>
      </c>
      <c r="C374" s="26" t="s">
        <v>37</v>
      </c>
      <c r="D374" s="14"/>
      <c r="E374" s="15"/>
      <c r="F374" s="16">
        <f t="shared" si="26"/>
        <v>0</v>
      </c>
      <c r="G374" s="8">
        <f t="shared" si="23"/>
        <v>0</v>
      </c>
    </row>
    <row r="375" spans="1:7" hidden="1" x14ac:dyDescent="0.25">
      <c r="A375" s="12" t="s">
        <v>485</v>
      </c>
      <c r="B375" s="13" t="s">
        <v>486</v>
      </c>
      <c r="C375" s="14"/>
      <c r="D375" s="14"/>
      <c r="E375" s="15"/>
      <c r="F375" s="16"/>
      <c r="G375" s="8">
        <f t="shared" si="23"/>
        <v>0</v>
      </c>
    </row>
    <row r="376" spans="1:7" hidden="1" x14ac:dyDescent="0.25">
      <c r="A376" s="17" t="s">
        <v>488</v>
      </c>
      <c r="B376" s="18" t="s">
        <v>487</v>
      </c>
      <c r="C376" s="26" t="s">
        <v>37</v>
      </c>
      <c r="D376" s="14"/>
      <c r="E376" s="15">
        <f>+'APU CAP 3'!H2265</f>
        <v>9961</v>
      </c>
      <c r="F376" s="16">
        <f>+D376*E376</f>
        <v>0</v>
      </c>
      <c r="G376" s="8">
        <f t="shared" si="23"/>
        <v>0</v>
      </c>
    </row>
    <row r="377" spans="1:7" hidden="1" x14ac:dyDescent="0.25">
      <c r="A377" s="17" t="s">
        <v>489</v>
      </c>
      <c r="B377" s="18" t="s">
        <v>491</v>
      </c>
      <c r="C377" s="26" t="s">
        <v>37</v>
      </c>
      <c r="D377" s="14"/>
      <c r="E377" s="15">
        <f>+'APU CAP 3'!H2319</f>
        <v>12475</v>
      </c>
      <c r="F377" s="16">
        <f>+D377*E377</f>
        <v>0</v>
      </c>
      <c r="G377" s="8">
        <f t="shared" si="23"/>
        <v>0</v>
      </c>
    </row>
    <row r="378" spans="1:7" hidden="1" x14ac:dyDescent="0.25">
      <c r="A378" s="17" t="s">
        <v>490</v>
      </c>
      <c r="B378" s="18" t="s">
        <v>492</v>
      </c>
      <c r="C378" s="26" t="s">
        <v>37</v>
      </c>
      <c r="D378" s="14"/>
      <c r="E378" s="15"/>
      <c r="F378" s="16">
        <f>+D378*E378</f>
        <v>0</v>
      </c>
      <c r="G378" s="8">
        <f t="shared" si="23"/>
        <v>0</v>
      </c>
    </row>
    <row r="379" spans="1:7" hidden="1" x14ac:dyDescent="0.25">
      <c r="A379" s="12" t="s">
        <v>521</v>
      </c>
      <c r="B379" s="13" t="s">
        <v>522</v>
      </c>
      <c r="C379" s="26" t="s">
        <v>37</v>
      </c>
      <c r="D379" s="14"/>
      <c r="E379" s="15"/>
      <c r="F379" s="16">
        <f>+D379*E379</f>
        <v>0</v>
      </c>
      <c r="G379" s="8">
        <f t="shared" si="23"/>
        <v>0</v>
      </c>
    </row>
    <row r="380" spans="1:7" ht="51" hidden="1" x14ac:dyDescent="0.25">
      <c r="A380" s="12" t="s">
        <v>5014</v>
      </c>
      <c r="B380" s="46" t="s">
        <v>541</v>
      </c>
      <c r="C380" s="14"/>
      <c r="D380" s="14"/>
      <c r="E380" s="15"/>
      <c r="F380" s="16"/>
      <c r="G380" s="8">
        <f t="shared" si="23"/>
        <v>0</v>
      </c>
    </row>
    <row r="381" spans="1:7" hidden="1" x14ac:dyDescent="0.25">
      <c r="A381" s="17" t="s">
        <v>546</v>
      </c>
      <c r="B381" s="18" t="s">
        <v>6216</v>
      </c>
      <c r="C381" s="26" t="s">
        <v>37</v>
      </c>
      <c r="D381" s="14"/>
      <c r="E381" s="15">
        <f>+'APU CAP 3'!H2481</f>
        <v>937045</v>
      </c>
      <c r="F381" s="16">
        <f>+D381*E381</f>
        <v>0</v>
      </c>
      <c r="G381" s="8">
        <f t="shared" si="23"/>
        <v>0</v>
      </c>
    </row>
    <row r="382" spans="1:7" hidden="1" x14ac:dyDescent="0.25">
      <c r="A382" s="17" t="s">
        <v>547</v>
      </c>
      <c r="B382" s="18" t="s">
        <v>6217</v>
      </c>
      <c r="C382" s="26" t="s">
        <v>37</v>
      </c>
      <c r="D382" s="14"/>
      <c r="E382" s="15">
        <f>+'APU CAP 3'!H2535</f>
        <v>831572</v>
      </c>
      <c r="F382" s="16">
        <f>+D382*E382</f>
        <v>0</v>
      </c>
      <c r="G382" s="8">
        <f t="shared" si="23"/>
        <v>0</v>
      </c>
    </row>
    <row r="383" spans="1:7" hidden="1" x14ac:dyDescent="0.25">
      <c r="A383" s="17" t="s">
        <v>548</v>
      </c>
      <c r="B383" s="18" t="s">
        <v>6218</v>
      </c>
      <c r="C383" s="26" t="s">
        <v>37</v>
      </c>
      <c r="D383" s="14"/>
      <c r="E383" s="15">
        <f>+'APU CAP 3'!H2589</f>
        <v>1620647</v>
      </c>
      <c r="F383" s="16">
        <f>+D383*E383</f>
        <v>0</v>
      </c>
      <c r="G383" s="8">
        <f t="shared" si="23"/>
        <v>0</v>
      </c>
    </row>
    <row r="384" spans="1:7" hidden="1" x14ac:dyDescent="0.25">
      <c r="A384" s="17" t="s">
        <v>549</v>
      </c>
      <c r="B384" s="18" t="s">
        <v>523</v>
      </c>
      <c r="C384" s="26" t="s">
        <v>37</v>
      </c>
      <c r="D384" s="14"/>
      <c r="E384" s="15"/>
      <c r="F384" s="16">
        <f>+D384*E384</f>
        <v>0</v>
      </c>
      <c r="G384" s="8">
        <f t="shared" si="23"/>
        <v>0</v>
      </c>
    </row>
    <row r="385" spans="1:7" hidden="1" x14ac:dyDescent="0.25">
      <c r="A385" s="17" t="s">
        <v>550</v>
      </c>
      <c r="B385" s="18" t="s">
        <v>524</v>
      </c>
      <c r="C385" s="26" t="s">
        <v>37</v>
      </c>
      <c r="D385" s="14"/>
      <c r="E385" s="15"/>
      <c r="F385" s="16">
        <f>+D385*E385</f>
        <v>0</v>
      </c>
      <c r="G385" s="8">
        <f t="shared" si="23"/>
        <v>0</v>
      </c>
    </row>
    <row r="386" spans="1:7" hidden="1" x14ac:dyDescent="0.25">
      <c r="A386" s="12" t="s">
        <v>5015</v>
      </c>
      <c r="B386" s="13" t="s">
        <v>552</v>
      </c>
      <c r="C386" s="26"/>
      <c r="D386" s="14"/>
      <c r="E386" s="15"/>
      <c r="F386" s="16"/>
      <c r="G386" s="8">
        <f t="shared" si="23"/>
        <v>0</v>
      </c>
    </row>
    <row r="387" spans="1:7" hidden="1" x14ac:dyDescent="0.25">
      <c r="A387" s="17" t="s">
        <v>553</v>
      </c>
      <c r="B387" s="18" t="s">
        <v>5861</v>
      </c>
      <c r="C387" s="26" t="s">
        <v>37</v>
      </c>
      <c r="D387" s="14"/>
      <c r="E387" s="15"/>
      <c r="F387" s="16">
        <f t="shared" ref="F387:F392" si="27">+D387*E387</f>
        <v>0</v>
      </c>
      <c r="G387" s="8">
        <f t="shared" si="23"/>
        <v>0</v>
      </c>
    </row>
    <row r="388" spans="1:7" hidden="1" x14ac:dyDescent="0.25">
      <c r="A388" s="17" t="s">
        <v>554</v>
      </c>
      <c r="B388" s="18" t="s">
        <v>5862</v>
      </c>
      <c r="C388" s="26" t="s">
        <v>37</v>
      </c>
      <c r="D388" s="14"/>
      <c r="E388" s="15"/>
      <c r="F388" s="16">
        <f t="shared" si="27"/>
        <v>0</v>
      </c>
      <c r="G388" s="8">
        <f t="shared" si="23"/>
        <v>0</v>
      </c>
    </row>
    <row r="389" spans="1:7" hidden="1" x14ac:dyDescent="0.25">
      <c r="A389" s="17" t="s">
        <v>555</v>
      </c>
      <c r="B389" s="18" t="s">
        <v>5863</v>
      </c>
      <c r="C389" s="26" t="s">
        <v>37</v>
      </c>
      <c r="D389" s="14"/>
      <c r="E389" s="15"/>
      <c r="F389" s="16">
        <f t="shared" si="27"/>
        <v>0</v>
      </c>
      <c r="G389" s="8">
        <f t="shared" si="23"/>
        <v>0</v>
      </c>
    </row>
    <row r="390" spans="1:7" hidden="1" x14ac:dyDescent="0.25">
      <c r="A390" s="17" t="s">
        <v>556</v>
      </c>
      <c r="B390" s="18" t="s">
        <v>5864</v>
      </c>
      <c r="C390" s="26" t="s">
        <v>37</v>
      </c>
      <c r="D390" s="14"/>
      <c r="E390" s="15">
        <f>+'APU CAP 3'!Q3075</f>
        <v>389092</v>
      </c>
      <c r="F390" s="16">
        <f t="shared" si="27"/>
        <v>0</v>
      </c>
      <c r="G390" s="8">
        <f t="shared" si="23"/>
        <v>0</v>
      </c>
    </row>
    <row r="391" spans="1:7" hidden="1" x14ac:dyDescent="0.25">
      <c r="A391" s="17" t="s">
        <v>557</v>
      </c>
      <c r="B391" s="18" t="s">
        <v>5865</v>
      </c>
      <c r="C391" s="26" t="s">
        <v>37</v>
      </c>
      <c r="D391" s="14"/>
      <c r="E391" s="15"/>
      <c r="F391" s="16">
        <f t="shared" si="27"/>
        <v>0</v>
      </c>
      <c r="G391" s="8">
        <f t="shared" si="23"/>
        <v>0</v>
      </c>
    </row>
    <row r="392" spans="1:7" hidden="1" x14ac:dyDescent="0.25">
      <c r="A392" s="17" t="s">
        <v>558</v>
      </c>
      <c r="B392" s="18" t="s">
        <v>5866</v>
      </c>
      <c r="C392" s="26" t="s">
        <v>37</v>
      </c>
      <c r="D392" s="14"/>
      <c r="E392" s="15"/>
      <c r="F392" s="16">
        <f t="shared" si="27"/>
        <v>0</v>
      </c>
      <c r="G392" s="8">
        <f t="shared" si="23"/>
        <v>0</v>
      </c>
    </row>
    <row r="393" spans="1:7" hidden="1" x14ac:dyDescent="0.25">
      <c r="A393" s="12" t="s">
        <v>525</v>
      </c>
      <c r="B393" s="13" t="s">
        <v>526</v>
      </c>
      <c r="C393" s="14"/>
      <c r="D393" s="14"/>
      <c r="E393" s="15"/>
      <c r="F393" s="16"/>
      <c r="G393" s="8">
        <f t="shared" si="23"/>
        <v>0</v>
      </c>
    </row>
    <row r="394" spans="1:7" hidden="1" x14ac:dyDescent="0.25">
      <c r="A394" s="17" t="s">
        <v>527</v>
      </c>
      <c r="B394" s="18" t="s">
        <v>528</v>
      </c>
      <c r="C394" s="26" t="s">
        <v>37</v>
      </c>
      <c r="D394" s="14"/>
      <c r="E394" s="15"/>
      <c r="F394" s="16">
        <f t="shared" ref="F394:F404" si="28">+D394*E394</f>
        <v>0</v>
      </c>
      <c r="G394" s="8">
        <f t="shared" si="23"/>
        <v>0</v>
      </c>
    </row>
    <row r="395" spans="1:7" hidden="1" x14ac:dyDescent="0.25">
      <c r="A395" s="17" t="s">
        <v>529</v>
      </c>
      <c r="B395" s="18" t="s">
        <v>540</v>
      </c>
      <c r="C395" s="26" t="s">
        <v>37</v>
      </c>
      <c r="D395" s="14"/>
      <c r="E395" s="15"/>
      <c r="F395" s="16">
        <f t="shared" si="28"/>
        <v>0</v>
      </c>
      <c r="G395" s="8">
        <f t="shared" ref="G395:G458" si="29">+IF(F395&lt;&gt;0,1,0)</f>
        <v>0</v>
      </c>
    </row>
    <row r="396" spans="1:7" hidden="1" x14ac:dyDescent="0.25">
      <c r="A396" s="17" t="s">
        <v>530</v>
      </c>
      <c r="B396" s="18" t="s">
        <v>535</v>
      </c>
      <c r="C396" s="26" t="s">
        <v>37</v>
      </c>
      <c r="D396" s="14"/>
      <c r="E396" s="15"/>
      <c r="F396" s="16">
        <f t="shared" si="28"/>
        <v>0</v>
      </c>
      <c r="G396" s="8">
        <f t="shared" si="29"/>
        <v>0</v>
      </c>
    </row>
    <row r="397" spans="1:7" hidden="1" x14ac:dyDescent="0.25">
      <c r="A397" s="17" t="s">
        <v>531</v>
      </c>
      <c r="B397" s="18" t="s">
        <v>536</v>
      </c>
      <c r="C397" s="26" t="s">
        <v>37</v>
      </c>
      <c r="D397" s="14"/>
      <c r="E397" s="15"/>
      <c r="F397" s="16">
        <f t="shared" si="28"/>
        <v>0</v>
      </c>
      <c r="G397" s="8">
        <f t="shared" si="29"/>
        <v>0</v>
      </c>
    </row>
    <row r="398" spans="1:7" hidden="1" x14ac:dyDescent="0.25">
      <c r="A398" s="17" t="s">
        <v>532</v>
      </c>
      <c r="B398" s="18" t="s">
        <v>537</v>
      </c>
      <c r="C398" s="26" t="s">
        <v>37</v>
      </c>
      <c r="D398" s="14"/>
      <c r="E398" s="15"/>
      <c r="F398" s="16">
        <f t="shared" si="28"/>
        <v>0</v>
      </c>
      <c r="G398" s="8">
        <f t="shared" si="29"/>
        <v>0</v>
      </c>
    </row>
    <row r="399" spans="1:7" hidden="1" x14ac:dyDescent="0.25">
      <c r="A399" s="17" t="s">
        <v>533</v>
      </c>
      <c r="B399" s="18" t="s">
        <v>538</v>
      </c>
      <c r="C399" s="26" t="s">
        <v>37</v>
      </c>
      <c r="D399" s="14"/>
      <c r="E399" s="15"/>
      <c r="F399" s="16">
        <f t="shared" si="28"/>
        <v>0</v>
      </c>
      <c r="G399" s="8">
        <f t="shared" si="29"/>
        <v>0</v>
      </c>
    </row>
    <row r="400" spans="1:7" hidden="1" x14ac:dyDescent="0.25">
      <c r="A400" s="17" t="s">
        <v>534</v>
      </c>
      <c r="B400" s="18" t="s">
        <v>539</v>
      </c>
      <c r="C400" s="26" t="s">
        <v>37</v>
      </c>
      <c r="D400" s="14"/>
      <c r="E400" s="15"/>
      <c r="F400" s="16">
        <f t="shared" si="28"/>
        <v>0</v>
      </c>
      <c r="G400" s="8">
        <f t="shared" si="29"/>
        <v>0</v>
      </c>
    </row>
    <row r="401" spans="1:7" hidden="1" x14ac:dyDescent="0.25">
      <c r="A401" s="17" t="s">
        <v>5383</v>
      </c>
      <c r="B401" s="18" t="s">
        <v>5379</v>
      </c>
      <c r="C401" s="26" t="s">
        <v>37</v>
      </c>
      <c r="D401" s="14"/>
      <c r="E401" s="15"/>
      <c r="F401" s="16">
        <f t="shared" si="28"/>
        <v>0</v>
      </c>
      <c r="G401" s="8">
        <f t="shared" si="29"/>
        <v>0</v>
      </c>
    </row>
    <row r="402" spans="1:7" hidden="1" x14ac:dyDescent="0.25">
      <c r="A402" s="17" t="s">
        <v>5384</v>
      </c>
      <c r="B402" s="18" t="s">
        <v>5380</v>
      </c>
      <c r="C402" s="26" t="s">
        <v>37</v>
      </c>
      <c r="D402" s="14"/>
      <c r="E402" s="15"/>
      <c r="F402" s="16">
        <f t="shared" si="28"/>
        <v>0</v>
      </c>
      <c r="G402" s="8">
        <f t="shared" si="29"/>
        <v>0</v>
      </c>
    </row>
    <row r="403" spans="1:7" hidden="1" x14ac:dyDescent="0.25">
      <c r="A403" s="17" t="s">
        <v>5385</v>
      </c>
      <c r="B403" s="18" t="s">
        <v>5381</v>
      </c>
      <c r="C403" s="26" t="s">
        <v>37</v>
      </c>
      <c r="D403" s="14"/>
      <c r="E403" s="15"/>
      <c r="F403" s="16">
        <f t="shared" si="28"/>
        <v>0</v>
      </c>
      <c r="G403" s="8">
        <f t="shared" si="29"/>
        <v>0</v>
      </c>
    </row>
    <row r="404" spans="1:7" hidden="1" x14ac:dyDescent="0.25">
      <c r="A404" s="17" t="s">
        <v>5386</v>
      </c>
      <c r="B404" s="18" t="s">
        <v>5382</v>
      </c>
      <c r="C404" s="26" t="s">
        <v>37</v>
      </c>
      <c r="D404" s="14"/>
      <c r="E404" s="15"/>
      <c r="F404" s="16">
        <f t="shared" si="28"/>
        <v>0</v>
      </c>
      <c r="G404" s="8">
        <f t="shared" si="29"/>
        <v>0</v>
      </c>
    </row>
    <row r="405" spans="1:7" hidden="1" x14ac:dyDescent="0.25">
      <c r="A405" s="12" t="s">
        <v>542</v>
      </c>
      <c r="B405" s="13" t="s">
        <v>543</v>
      </c>
      <c r="C405" s="14"/>
      <c r="D405" s="14"/>
      <c r="E405" s="15"/>
      <c r="F405" s="16"/>
      <c r="G405" s="8">
        <f t="shared" si="29"/>
        <v>0</v>
      </c>
    </row>
    <row r="406" spans="1:7" hidden="1" x14ac:dyDescent="0.25">
      <c r="A406" s="17" t="s">
        <v>544</v>
      </c>
      <c r="B406" s="13" t="s">
        <v>563</v>
      </c>
      <c r="C406" s="14"/>
      <c r="D406" s="14"/>
      <c r="E406" s="15"/>
      <c r="F406" s="16"/>
      <c r="G406" s="8">
        <f t="shared" si="29"/>
        <v>0</v>
      </c>
    </row>
    <row r="407" spans="1:7" hidden="1" x14ac:dyDescent="0.25">
      <c r="A407" s="17" t="s">
        <v>564</v>
      </c>
      <c r="B407" s="18" t="s">
        <v>560</v>
      </c>
      <c r="C407" s="26" t="s">
        <v>37</v>
      </c>
      <c r="D407" s="14"/>
      <c r="E407" s="15"/>
      <c r="F407" s="16">
        <f>+D407*E407</f>
        <v>0</v>
      </c>
      <c r="G407" s="8">
        <f t="shared" si="29"/>
        <v>0</v>
      </c>
    </row>
    <row r="408" spans="1:7" hidden="1" x14ac:dyDescent="0.25">
      <c r="A408" s="17" t="s">
        <v>565</v>
      </c>
      <c r="B408" s="18" t="s">
        <v>561</v>
      </c>
      <c r="C408" s="26" t="s">
        <v>37</v>
      </c>
      <c r="D408" s="14"/>
      <c r="E408" s="15"/>
      <c r="F408" s="16">
        <f>+D408*E408</f>
        <v>0</v>
      </c>
      <c r="G408" s="8">
        <f t="shared" si="29"/>
        <v>0</v>
      </c>
    </row>
    <row r="409" spans="1:7" hidden="1" x14ac:dyDescent="0.25">
      <c r="A409" s="17" t="s">
        <v>566</v>
      </c>
      <c r="B409" s="18" t="s">
        <v>562</v>
      </c>
      <c r="C409" s="26" t="s">
        <v>37</v>
      </c>
      <c r="D409" s="14"/>
      <c r="E409" s="15"/>
      <c r="F409" s="16">
        <f>+D409*E409</f>
        <v>0</v>
      </c>
      <c r="G409" s="8">
        <f t="shared" si="29"/>
        <v>0</v>
      </c>
    </row>
    <row r="410" spans="1:7" hidden="1" x14ac:dyDescent="0.25">
      <c r="A410" s="12" t="s">
        <v>43</v>
      </c>
      <c r="B410" s="13" t="s">
        <v>44</v>
      </c>
      <c r="C410" s="14"/>
      <c r="D410" s="14"/>
      <c r="E410" s="15"/>
      <c r="F410" s="16"/>
      <c r="G410" s="8">
        <f t="shared" si="29"/>
        <v>0</v>
      </c>
    </row>
    <row r="411" spans="1:7" hidden="1" x14ac:dyDescent="0.25">
      <c r="A411" s="12" t="s">
        <v>567</v>
      </c>
      <c r="B411" s="13" t="s">
        <v>573</v>
      </c>
      <c r="C411" s="14"/>
      <c r="D411" s="14"/>
      <c r="E411" s="15"/>
      <c r="F411" s="16"/>
      <c r="G411" s="8">
        <f t="shared" si="29"/>
        <v>0</v>
      </c>
    </row>
    <row r="412" spans="1:7" hidden="1" x14ac:dyDescent="0.25">
      <c r="A412" s="17" t="s">
        <v>574</v>
      </c>
      <c r="B412" s="18" t="s">
        <v>569</v>
      </c>
      <c r="C412" s="14" t="s">
        <v>37</v>
      </c>
      <c r="D412" s="14"/>
      <c r="E412" s="15"/>
      <c r="F412" s="16">
        <f>+D412*E412</f>
        <v>0</v>
      </c>
      <c r="G412" s="8">
        <f t="shared" si="29"/>
        <v>0</v>
      </c>
    </row>
    <row r="413" spans="1:7" hidden="1" x14ac:dyDescent="0.25">
      <c r="A413" s="17" t="s">
        <v>575</v>
      </c>
      <c r="B413" s="18" t="s">
        <v>568</v>
      </c>
      <c r="C413" s="14" t="s">
        <v>37</v>
      </c>
      <c r="D413" s="14"/>
      <c r="E413" s="15"/>
      <c r="F413" s="16">
        <f>+D413*E413</f>
        <v>0</v>
      </c>
      <c r="G413" s="8">
        <f t="shared" si="29"/>
        <v>0</v>
      </c>
    </row>
    <row r="414" spans="1:7" hidden="1" x14ac:dyDescent="0.25">
      <c r="A414" s="17" t="s">
        <v>576</v>
      </c>
      <c r="B414" s="18" t="s">
        <v>571</v>
      </c>
      <c r="C414" s="14" t="s">
        <v>37</v>
      </c>
      <c r="D414" s="14"/>
      <c r="E414" s="15"/>
      <c r="F414" s="16">
        <f>+D414*E414</f>
        <v>0</v>
      </c>
      <c r="G414" s="8">
        <f t="shared" si="29"/>
        <v>0</v>
      </c>
    </row>
    <row r="415" spans="1:7" hidden="1" x14ac:dyDescent="0.25">
      <c r="A415" s="17" t="s">
        <v>577</v>
      </c>
      <c r="B415" s="18" t="s">
        <v>570</v>
      </c>
      <c r="C415" s="14" t="s">
        <v>37</v>
      </c>
      <c r="D415" s="14"/>
      <c r="E415" s="15"/>
      <c r="F415" s="16">
        <f>+D415*E415</f>
        <v>0</v>
      </c>
      <c r="G415" s="8">
        <f t="shared" si="29"/>
        <v>0</v>
      </c>
    </row>
    <row r="416" spans="1:7" hidden="1" x14ac:dyDescent="0.25">
      <c r="A416" s="17" t="s">
        <v>578</v>
      </c>
      <c r="B416" s="18" t="s">
        <v>572</v>
      </c>
      <c r="C416" s="14" t="s">
        <v>37</v>
      </c>
      <c r="D416" s="14"/>
      <c r="E416" s="15"/>
      <c r="F416" s="16">
        <f>+D416*E416</f>
        <v>0</v>
      </c>
      <c r="G416" s="8">
        <f t="shared" si="29"/>
        <v>0</v>
      </c>
    </row>
    <row r="417" spans="1:7" x14ac:dyDescent="0.25">
      <c r="A417" s="2454" t="s">
        <v>45</v>
      </c>
      <c r="B417" s="2455"/>
      <c r="C417" s="2455"/>
      <c r="D417" s="2455"/>
      <c r="E417" s="2455"/>
      <c r="F417" s="19">
        <f>SUM(F95:F416)</f>
        <v>205694044</v>
      </c>
      <c r="G417" s="8">
        <f t="shared" si="29"/>
        <v>1</v>
      </c>
    </row>
    <row r="418" spans="1:7" x14ac:dyDescent="0.25">
      <c r="A418" s="20">
        <v>5</v>
      </c>
      <c r="B418" s="319" t="s">
        <v>579</v>
      </c>
      <c r="C418" s="22"/>
      <c r="D418" s="22"/>
      <c r="E418" s="23"/>
      <c r="F418" s="24"/>
      <c r="G418" s="8">
        <v>1</v>
      </c>
    </row>
    <row r="419" spans="1:7" x14ac:dyDescent="0.25">
      <c r="A419" s="12" t="s">
        <v>580</v>
      </c>
      <c r="B419" s="46" t="s">
        <v>581</v>
      </c>
      <c r="C419" s="14"/>
      <c r="D419" s="14"/>
      <c r="E419" s="15"/>
      <c r="F419" s="16"/>
      <c r="G419" s="8">
        <v>1</v>
      </c>
    </row>
    <row r="420" spans="1:7" hidden="1" x14ac:dyDescent="0.25">
      <c r="A420" s="31" t="s">
        <v>594</v>
      </c>
      <c r="B420" s="320" t="s">
        <v>582</v>
      </c>
      <c r="C420" s="26" t="s">
        <v>583</v>
      </c>
      <c r="D420" s="26"/>
      <c r="E420" s="29">
        <f>+'APU CAP 5'!P106</f>
        <v>352371.33333333331</v>
      </c>
      <c r="F420" s="16">
        <f t="shared" ref="F420:F425" si="30">+D420*E420</f>
        <v>0</v>
      </c>
      <c r="G420" s="8">
        <f t="shared" si="29"/>
        <v>0</v>
      </c>
    </row>
    <row r="421" spans="1:7" hidden="1" x14ac:dyDescent="0.25">
      <c r="A421" s="31" t="s">
        <v>604</v>
      </c>
      <c r="B421" s="320" t="s">
        <v>599</v>
      </c>
      <c r="C421" s="26" t="s">
        <v>583</v>
      </c>
      <c r="D421" s="26"/>
      <c r="E421" s="29">
        <f>+'APU CAP 5'!P160</f>
        <v>378551.33333333331</v>
      </c>
      <c r="F421" s="16">
        <f t="shared" si="30"/>
        <v>0</v>
      </c>
      <c r="G421" s="8">
        <f t="shared" si="29"/>
        <v>0</v>
      </c>
    </row>
    <row r="422" spans="1:7" hidden="1" x14ac:dyDescent="0.25">
      <c r="A422" s="31" t="s">
        <v>595</v>
      </c>
      <c r="B422" s="320" t="s">
        <v>600</v>
      </c>
      <c r="C422" s="26" t="s">
        <v>583</v>
      </c>
      <c r="D422" s="26"/>
      <c r="E422" s="29">
        <f>+'APU CAP 5'!P214</f>
        <v>439122</v>
      </c>
      <c r="F422" s="16">
        <f t="shared" si="30"/>
        <v>0</v>
      </c>
      <c r="G422" s="8">
        <f t="shared" si="29"/>
        <v>0</v>
      </c>
    </row>
    <row r="423" spans="1:7" x14ac:dyDescent="0.25">
      <c r="A423" s="31" t="s">
        <v>596</v>
      </c>
      <c r="B423" s="330" t="s">
        <v>6539</v>
      </c>
      <c r="C423" s="26" t="s">
        <v>583</v>
      </c>
      <c r="D423" s="615">
        <v>340</v>
      </c>
      <c r="E423" s="29">
        <f>+'APU CAP 5'!P268</f>
        <v>498359.00000000006</v>
      </c>
      <c r="F423" s="16">
        <f t="shared" si="30"/>
        <v>169442060.00000003</v>
      </c>
      <c r="G423" s="8">
        <f t="shared" si="29"/>
        <v>1</v>
      </c>
    </row>
    <row r="424" spans="1:7" hidden="1" x14ac:dyDescent="0.25">
      <c r="A424" s="31" t="s">
        <v>597</v>
      </c>
      <c r="B424" s="320" t="s">
        <v>602</v>
      </c>
      <c r="C424" s="26" t="s">
        <v>583</v>
      </c>
      <c r="D424" s="26"/>
      <c r="E424" s="29">
        <f>+'APU CAP 5'!P322</f>
        <v>540227.4444444445</v>
      </c>
      <c r="F424" s="16">
        <f t="shared" si="30"/>
        <v>0</v>
      </c>
      <c r="G424" s="8">
        <f t="shared" si="29"/>
        <v>0</v>
      </c>
    </row>
    <row r="425" spans="1:7" hidden="1" x14ac:dyDescent="0.25">
      <c r="A425" s="31" t="s">
        <v>598</v>
      </c>
      <c r="B425" s="320" t="s">
        <v>603</v>
      </c>
      <c r="C425" s="26" t="s">
        <v>583</v>
      </c>
      <c r="D425" s="26"/>
      <c r="E425" s="29">
        <f>+'APU CAP 5'!P376</f>
        <v>560249</v>
      </c>
      <c r="F425" s="16">
        <f t="shared" si="30"/>
        <v>0</v>
      </c>
      <c r="G425" s="8">
        <f t="shared" si="29"/>
        <v>0</v>
      </c>
    </row>
    <row r="426" spans="1:7" hidden="1" x14ac:dyDescent="0.25">
      <c r="A426" s="27" t="s">
        <v>584</v>
      </c>
      <c r="B426" s="321" t="s">
        <v>585</v>
      </c>
      <c r="C426" s="26"/>
      <c r="D426" s="26"/>
      <c r="E426" s="29"/>
      <c r="F426" s="16"/>
      <c r="G426" s="8">
        <f t="shared" si="29"/>
        <v>0</v>
      </c>
    </row>
    <row r="427" spans="1:7" hidden="1" x14ac:dyDescent="0.25">
      <c r="A427" s="27" t="s">
        <v>586</v>
      </c>
      <c r="B427" s="321" t="s">
        <v>587</v>
      </c>
      <c r="C427" s="26"/>
      <c r="D427" s="26"/>
      <c r="E427" s="29"/>
      <c r="F427" s="16"/>
      <c r="G427" s="8">
        <f t="shared" si="29"/>
        <v>0</v>
      </c>
    </row>
    <row r="428" spans="1:7" hidden="1" x14ac:dyDescent="0.25">
      <c r="A428" s="31" t="s">
        <v>605</v>
      </c>
      <c r="B428" s="320" t="s">
        <v>606</v>
      </c>
      <c r="C428" s="26" t="s">
        <v>583</v>
      </c>
      <c r="D428" s="26"/>
      <c r="E428" s="29">
        <f>+'APU CAP 5'!H430</f>
        <v>517604.00000000006</v>
      </c>
      <c r="F428" s="16">
        <f t="shared" ref="F428:F436" si="31">+D428*E428</f>
        <v>0</v>
      </c>
      <c r="G428" s="8">
        <f t="shared" si="29"/>
        <v>0</v>
      </c>
    </row>
    <row r="429" spans="1:7" hidden="1" x14ac:dyDescent="0.25">
      <c r="A429" s="31" t="s">
        <v>613</v>
      </c>
      <c r="B429" s="320" t="s">
        <v>607</v>
      </c>
      <c r="C429" s="26" t="s">
        <v>583</v>
      </c>
      <c r="D429" s="26"/>
      <c r="E429" s="29">
        <f>+'APU CAP 5'!P430</f>
        <v>620040.71428571432</v>
      </c>
      <c r="F429" s="16">
        <f t="shared" si="31"/>
        <v>0</v>
      </c>
      <c r="G429" s="8">
        <f t="shared" si="29"/>
        <v>0</v>
      </c>
    </row>
    <row r="430" spans="1:7" hidden="1" x14ac:dyDescent="0.25">
      <c r="A430" s="31" t="s">
        <v>614</v>
      </c>
      <c r="B430" s="320" t="s">
        <v>608</v>
      </c>
      <c r="C430" s="26" t="s">
        <v>583</v>
      </c>
      <c r="D430" s="26"/>
      <c r="E430" s="29">
        <f>+'APU CAP 5'!X430</f>
        <v>739215.5</v>
      </c>
      <c r="F430" s="16">
        <f t="shared" si="31"/>
        <v>0</v>
      </c>
      <c r="G430" s="8">
        <f t="shared" si="29"/>
        <v>0</v>
      </c>
    </row>
    <row r="431" spans="1:7" hidden="1" x14ac:dyDescent="0.25">
      <c r="A431" s="31" t="s">
        <v>615</v>
      </c>
      <c r="B431" s="320" t="s">
        <v>609</v>
      </c>
      <c r="C431" s="26" t="s">
        <v>583</v>
      </c>
      <c r="D431" s="26"/>
      <c r="E431" s="29">
        <f>+'APU CAP 5'!H430</f>
        <v>517604.00000000006</v>
      </c>
      <c r="F431" s="16">
        <f t="shared" si="31"/>
        <v>0</v>
      </c>
      <c r="G431" s="8">
        <f t="shared" si="29"/>
        <v>0</v>
      </c>
    </row>
    <row r="432" spans="1:7" hidden="1" x14ac:dyDescent="0.25">
      <c r="A432" s="31" t="s">
        <v>616</v>
      </c>
      <c r="B432" s="320" t="s">
        <v>610</v>
      </c>
      <c r="C432" s="26" t="s">
        <v>583</v>
      </c>
      <c r="D432" s="26"/>
      <c r="E432" s="29">
        <f>+'APU CAP 5'!P430</f>
        <v>620040.71428571432</v>
      </c>
      <c r="F432" s="16">
        <f t="shared" si="31"/>
        <v>0</v>
      </c>
      <c r="G432" s="8">
        <f t="shared" si="29"/>
        <v>0</v>
      </c>
    </row>
    <row r="433" spans="1:7" hidden="1" x14ac:dyDescent="0.25">
      <c r="A433" s="31" t="s">
        <v>617</v>
      </c>
      <c r="B433" s="320" t="s">
        <v>611</v>
      </c>
      <c r="C433" s="26" t="s">
        <v>583</v>
      </c>
      <c r="D433" s="26"/>
      <c r="E433" s="29">
        <f>+'APU CAP 5'!X430</f>
        <v>739215.5</v>
      </c>
      <c r="F433" s="16">
        <f t="shared" si="31"/>
        <v>0</v>
      </c>
      <c r="G433" s="8">
        <f t="shared" si="29"/>
        <v>0</v>
      </c>
    </row>
    <row r="434" spans="1:7" hidden="1" x14ac:dyDescent="0.25">
      <c r="A434" s="31" t="s">
        <v>618</v>
      </c>
      <c r="B434" s="320" t="s">
        <v>612</v>
      </c>
      <c r="C434" s="26" t="s">
        <v>583</v>
      </c>
      <c r="D434" s="26"/>
      <c r="E434" s="29">
        <f>+'APU CAP 5'!X430</f>
        <v>739215.5</v>
      </c>
      <c r="F434" s="16">
        <f t="shared" si="31"/>
        <v>0</v>
      </c>
      <c r="G434" s="8">
        <f t="shared" si="29"/>
        <v>0</v>
      </c>
    </row>
    <row r="435" spans="1:7" hidden="1" x14ac:dyDescent="0.25">
      <c r="A435" s="31" t="s">
        <v>619</v>
      </c>
      <c r="B435" s="320" t="s">
        <v>620</v>
      </c>
      <c r="C435" s="26" t="s">
        <v>583</v>
      </c>
      <c r="D435" s="26"/>
      <c r="E435" s="29">
        <f>+'APU CAP 5'!P430</f>
        <v>620040.71428571432</v>
      </c>
      <c r="F435" s="16">
        <f t="shared" si="31"/>
        <v>0</v>
      </c>
      <c r="G435" s="8">
        <f t="shared" si="29"/>
        <v>0</v>
      </c>
    </row>
    <row r="436" spans="1:7" hidden="1" x14ac:dyDescent="0.25">
      <c r="A436" s="31" t="s">
        <v>621</v>
      </c>
      <c r="B436" s="320" t="s">
        <v>671</v>
      </c>
      <c r="C436" s="26" t="s">
        <v>583</v>
      </c>
      <c r="D436" s="26"/>
      <c r="E436" s="29"/>
      <c r="F436" s="16">
        <f t="shared" si="31"/>
        <v>0</v>
      </c>
      <c r="G436" s="8">
        <f t="shared" si="29"/>
        <v>0</v>
      </c>
    </row>
    <row r="437" spans="1:7" hidden="1" x14ac:dyDescent="0.25">
      <c r="A437" s="27" t="s">
        <v>622</v>
      </c>
      <c r="B437" s="321" t="s">
        <v>633</v>
      </c>
      <c r="C437" s="26"/>
      <c r="D437" s="26"/>
      <c r="E437" s="29"/>
      <c r="F437" s="16"/>
      <c r="G437" s="8">
        <f t="shared" si="29"/>
        <v>0</v>
      </c>
    </row>
    <row r="438" spans="1:7" hidden="1" x14ac:dyDescent="0.25">
      <c r="A438" s="31" t="s">
        <v>623</v>
      </c>
      <c r="B438" s="320" t="s">
        <v>606</v>
      </c>
      <c r="C438" s="26" t="s">
        <v>583</v>
      </c>
      <c r="D438" s="26"/>
      <c r="E438" s="29">
        <f>+'APU CAP 5'!H484</f>
        <v>556223</v>
      </c>
      <c r="F438" s="16">
        <f t="shared" ref="F438:F446" si="32">+D438*E438</f>
        <v>0</v>
      </c>
      <c r="G438" s="8">
        <f t="shared" si="29"/>
        <v>0</v>
      </c>
    </row>
    <row r="439" spans="1:7" hidden="1" x14ac:dyDescent="0.25">
      <c r="A439" s="31" t="s">
        <v>624</v>
      </c>
      <c r="B439" s="320" t="s">
        <v>607</v>
      </c>
      <c r="C439" s="26" t="s">
        <v>583</v>
      </c>
      <c r="D439" s="26"/>
      <c r="E439" s="29">
        <f>+'APU CAP 5'!P484</f>
        <v>658659.71428571432</v>
      </c>
      <c r="F439" s="16">
        <f t="shared" si="32"/>
        <v>0</v>
      </c>
      <c r="G439" s="8">
        <f t="shared" si="29"/>
        <v>0</v>
      </c>
    </row>
    <row r="440" spans="1:7" hidden="1" x14ac:dyDescent="0.25">
      <c r="A440" s="31" t="s">
        <v>625</v>
      </c>
      <c r="B440" s="320" t="s">
        <v>608</v>
      </c>
      <c r="C440" s="26" t="s">
        <v>583</v>
      </c>
      <c r="D440" s="26"/>
      <c r="E440" s="29">
        <f>+'APU CAP 5'!X484</f>
        <v>776934.5</v>
      </c>
      <c r="F440" s="16">
        <f t="shared" si="32"/>
        <v>0</v>
      </c>
      <c r="G440" s="8">
        <f t="shared" si="29"/>
        <v>0</v>
      </c>
    </row>
    <row r="441" spans="1:7" hidden="1" x14ac:dyDescent="0.25">
      <c r="A441" s="31" t="s">
        <v>626</v>
      </c>
      <c r="B441" s="320" t="s">
        <v>609</v>
      </c>
      <c r="C441" s="26" t="s">
        <v>583</v>
      </c>
      <c r="D441" s="26"/>
      <c r="E441" s="29">
        <f>+'APU CAP 5'!H484</f>
        <v>556223</v>
      </c>
      <c r="F441" s="16">
        <f t="shared" si="32"/>
        <v>0</v>
      </c>
      <c r="G441" s="8">
        <f t="shared" si="29"/>
        <v>0</v>
      </c>
    </row>
    <row r="442" spans="1:7" hidden="1" x14ac:dyDescent="0.25">
      <c r="A442" s="31" t="s">
        <v>627</v>
      </c>
      <c r="B442" s="320" t="s">
        <v>610</v>
      </c>
      <c r="C442" s="26" t="s">
        <v>583</v>
      </c>
      <c r="D442" s="26"/>
      <c r="E442" s="29">
        <f>+'APU CAP 5'!P484</f>
        <v>658659.71428571432</v>
      </c>
      <c r="F442" s="16">
        <f t="shared" si="32"/>
        <v>0</v>
      </c>
      <c r="G442" s="8">
        <f t="shared" si="29"/>
        <v>0</v>
      </c>
    </row>
    <row r="443" spans="1:7" hidden="1" x14ac:dyDescent="0.25">
      <c r="A443" s="31" t="s">
        <v>628</v>
      </c>
      <c r="B443" s="320" t="s">
        <v>611</v>
      </c>
      <c r="C443" s="26" t="s">
        <v>583</v>
      </c>
      <c r="D443" s="26"/>
      <c r="E443" s="29">
        <f>+'APU CAP 5'!X484</f>
        <v>776934.5</v>
      </c>
      <c r="F443" s="16">
        <f t="shared" si="32"/>
        <v>0</v>
      </c>
      <c r="G443" s="8">
        <f t="shared" si="29"/>
        <v>0</v>
      </c>
    </row>
    <row r="444" spans="1:7" hidden="1" x14ac:dyDescent="0.25">
      <c r="A444" s="31" t="s">
        <v>629</v>
      </c>
      <c r="B444" s="320" t="s">
        <v>612</v>
      </c>
      <c r="C444" s="26" t="s">
        <v>583</v>
      </c>
      <c r="D444" s="26"/>
      <c r="E444" s="29">
        <f>+'APU CAP 5'!X484</f>
        <v>776934.5</v>
      </c>
      <c r="F444" s="16">
        <f t="shared" si="32"/>
        <v>0</v>
      </c>
      <c r="G444" s="8">
        <f t="shared" si="29"/>
        <v>0</v>
      </c>
    </row>
    <row r="445" spans="1:7" hidden="1" x14ac:dyDescent="0.25">
      <c r="A445" s="31" t="s">
        <v>630</v>
      </c>
      <c r="B445" s="320" t="s">
        <v>620</v>
      </c>
      <c r="C445" s="26" t="s">
        <v>583</v>
      </c>
      <c r="D445" s="26"/>
      <c r="E445" s="29">
        <f>+'APU CAP 5'!P484</f>
        <v>658659.71428571432</v>
      </c>
      <c r="F445" s="16">
        <f t="shared" si="32"/>
        <v>0</v>
      </c>
      <c r="G445" s="8">
        <f t="shared" si="29"/>
        <v>0</v>
      </c>
    </row>
    <row r="446" spans="1:7" hidden="1" x14ac:dyDescent="0.25">
      <c r="A446" s="31" t="s">
        <v>631</v>
      </c>
      <c r="B446" s="320" t="s">
        <v>671</v>
      </c>
      <c r="C446" s="26" t="s">
        <v>583</v>
      </c>
      <c r="D446" s="26"/>
      <c r="E446" s="29"/>
      <c r="F446" s="16">
        <f t="shared" si="32"/>
        <v>0</v>
      </c>
      <c r="G446" s="8">
        <f t="shared" si="29"/>
        <v>0</v>
      </c>
    </row>
    <row r="447" spans="1:7" hidden="1" x14ac:dyDescent="0.25">
      <c r="A447" s="27" t="s">
        <v>634</v>
      </c>
      <c r="B447" s="321" t="s">
        <v>632</v>
      </c>
      <c r="C447" s="26"/>
      <c r="D447" s="26"/>
      <c r="E447" s="29"/>
      <c r="F447" s="16"/>
      <c r="G447" s="8">
        <f t="shared" si="29"/>
        <v>0</v>
      </c>
    </row>
    <row r="448" spans="1:7" hidden="1" x14ac:dyDescent="0.25">
      <c r="A448" s="31" t="s">
        <v>635</v>
      </c>
      <c r="B448" s="320" t="s">
        <v>606</v>
      </c>
      <c r="C448" s="26" t="s">
        <v>583</v>
      </c>
      <c r="D448" s="26"/>
      <c r="E448" s="29">
        <f>+'APU CAP 5'!H538</f>
        <v>554067</v>
      </c>
      <c r="F448" s="16">
        <f t="shared" ref="F448:F456" si="33">+D448*E448</f>
        <v>0</v>
      </c>
      <c r="G448" s="8">
        <f t="shared" si="29"/>
        <v>0</v>
      </c>
    </row>
    <row r="449" spans="1:7" hidden="1" x14ac:dyDescent="0.25">
      <c r="A449" s="31" t="s">
        <v>636</v>
      </c>
      <c r="B449" s="320" t="s">
        <v>607</v>
      </c>
      <c r="C449" s="26" t="s">
        <v>583</v>
      </c>
      <c r="D449" s="26"/>
      <c r="E449" s="29">
        <f>+'APU CAP 5'!P538</f>
        <v>669769.71428571432</v>
      </c>
      <c r="F449" s="16">
        <f t="shared" si="33"/>
        <v>0</v>
      </c>
      <c r="G449" s="8">
        <f t="shared" si="29"/>
        <v>0</v>
      </c>
    </row>
    <row r="450" spans="1:7" hidden="1" x14ac:dyDescent="0.25">
      <c r="A450" s="31" t="s">
        <v>637</v>
      </c>
      <c r="B450" s="320" t="s">
        <v>608</v>
      </c>
      <c r="C450" s="26" t="s">
        <v>583</v>
      </c>
      <c r="D450" s="26"/>
      <c r="E450" s="29">
        <f>+'APU CAP 5'!X538</f>
        <v>808892.5</v>
      </c>
      <c r="F450" s="16">
        <f t="shared" si="33"/>
        <v>0</v>
      </c>
      <c r="G450" s="8">
        <f t="shared" si="29"/>
        <v>0</v>
      </c>
    </row>
    <row r="451" spans="1:7" hidden="1" x14ac:dyDescent="0.25">
      <c r="A451" s="31" t="s">
        <v>638</v>
      </c>
      <c r="B451" s="320" t="s">
        <v>609</v>
      </c>
      <c r="C451" s="26" t="s">
        <v>583</v>
      </c>
      <c r="D451" s="26"/>
      <c r="E451" s="29">
        <f>+'APU CAP 5'!H538</f>
        <v>554067</v>
      </c>
      <c r="F451" s="16">
        <f t="shared" si="33"/>
        <v>0</v>
      </c>
      <c r="G451" s="8">
        <f t="shared" si="29"/>
        <v>0</v>
      </c>
    </row>
    <row r="452" spans="1:7" hidden="1" x14ac:dyDescent="0.25">
      <c r="A452" s="31" t="s">
        <v>639</v>
      </c>
      <c r="B452" s="320" t="s">
        <v>610</v>
      </c>
      <c r="C452" s="26" t="s">
        <v>583</v>
      </c>
      <c r="D452" s="26"/>
      <c r="E452" s="29">
        <f>+'APU CAP 5'!P538</f>
        <v>669769.71428571432</v>
      </c>
      <c r="F452" s="16">
        <f t="shared" si="33"/>
        <v>0</v>
      </c>
      <c r="G452" s="8">
        <f t="shared" si="29"/>
        <v>0</v>
      </c>
    </row>
    <row r="453" spans="1:7" hidden="1" x14ac:dyDescent="0.25">
      <c r="A453" s="31" t="s">
        <v>640</v>
      </c>
      <c r="B453" s="320" t="s">
        <v>611</v>
      </c>
      <c r="C453" s="26" t="s">
        <v>583</v>
      </c>
      <c r="D453" s="26"/>
      <c r="E453" s="29">
        <f>+'APU CAP 5'!X538</f>
        <v>808892.5</v>
      </c>
      <c r="F453" s="16">
        <f t="shared" si="33"/>
        <v>0</v>
      </c>
      <c r="G453" s="8">
        <f t="shared" si="29"/>
        <v>0</v>
      </c>
    </row>
    <row r="454" spans="1:7" hidden="1" x14ac:dyDescent="0.25">
      <c r="A454" s="31" t="s">
        <v>641</v>
      </c>
      <c r="B454" s="320" t="s">
        <v>612</v>
      </c>
      <c r="C454" s="26" t="s">
        <v>583</v>
      </c>
      <c r="D454" s="26"/>
      <c r="E454" s="29">
        <f>+'APU CAP 5'!X538</f>
        <v>808892.5</v>
      </c>
      <c r="F454" s="16">
        <f t="shared" si="33"/>
        <v>0</v>
      </c>
      <c r="G454" s="8">
        <f t="shared" si="29"/>
        <v>0</v>
      </c>
    </row>
    <row r="455" spans="1:7" hidden="1" x14ac:dyDescent="0.25">
      <c r="A455" s="31" t="s">
        <v>642</v>
      </c>
      <c r="B455" s="320" t="s">
        <v>620</v>
      </c>
      <c r="C455" s="26" t="s">
        <v>583</v>
      </c>
      <c r="D455" s="26"/>
      <c r="E455" s="29">
        <f>+'APU CAP 5'!P538</f>
        <v>669769.71428571432</v>
      </c>
      <c r="F455" s="16">
        <f t="shared" si="33"/>
        <v>0</v>
      </c>
      <c r="G455" s="8">
        <f t="shared" si="29"/>
        <v>0</v>
      </c>
    </row>
    <row r="456" spans="1:7" hidden="1" x14ac:dyDescent="0.25">
      <c r="A456" s="31" t="s">
        <v>643</v>
      </c>
      <c r="B456" s="320" t="s">
        <v>671</v>
      </c>
      <c r="C456" s="26" t="s">
        <v>583</v>
      </c>
      <c r="D456" s="26"/>
      <c r="E456" s="29"/>
      <c r="F456" s="16">
        <f t="shared" si="33"/>
        <v>0</v>
      </c>
      <c r="G456" s="8">
        <f t="shared" si="29"/>
        <v>0</v>
      </c>
    </row>
    <row r="457" spans="1:7" hidden="1" x14ac:dyDescent="0.25">
      <c r="A457" s="27" t="s">
        <v>634</v>
      </c>
      <c r="B457" s="321" t="s">
        <v>6122</v>
      </c>
      <c r="C457" s="26"/>
      <c r="D457" s="26"/>
      <c r="E457" s="456"/>
      <c r="F457" s="457"/>
      <c r="G457" s="8">
        <f t="shared" si="29"/>
        <v>0</v>
      </c>
    </row>
    <row r="458" spans="1:7" hidden="1" x14ac:dyDescent="0.25">
      <c r="A458" s="31" t="s">
        <v>635</v>
      </c>
      <c r="B458" s="320" t="s">
        <v>606</v>
      </c>
      <c r="C458" s="26" t="s">
        <v>583</v>
      </c>
      <c r="D458" s="26"/>
      <c r="E458" s="456">
        <f>+'APU CAP 5'!H592</f>
        <v>609251.25</v>
      </c>
      <c r="F458" s="457">
        <f t="shared" ref="F458:F466" si="34">+D458*E458</f>
        <v>0</v>
      </c>
      <c r="G458" s="8">
        <f t="shared" si="29"/>
        <v>0</v>
      </c>
    </row>
    <row r="459" spans="1:7" hidden="1" x14ac:dyDescent="0.25">
      <c r="A459" s="31" t="s">
        <v>636</v>
      </c>
      <c r="B459" s="320" t="s">
        <v>607</v>
      </c>
      <c r="C459" s="26" t="s">
        <v>583</v>
      </c>
      <c r="D459" s="26"/>
      <c r="E459" s="456">
        <f>+'APU CAP 5'!P592</f>
        <v>740638</v>
      </c>
      <c r="F459" s="457">
        <f t="shared" si="34"/>
        <v>0</v>
      </c>
      <c r="G459" s="8">
        <f t="shared" ref="G459:G522" si="35">+IF(F459&lt;&gt;0,1,0)</f>
        <v>0</v>
      </c>
    </row>
    <row r="460" spans="1:7" hidden="1" x14ac:dyDescent="0.25">
      <c r="A460" s="31" t="s">
        <v>637</v>
      </c>
      <c r="B460" s="320" t="s">
        <v>608</v>
      </c>
      <c r="C460" s="26" t="s">
        <v>583</v>
      </c>
      <c r="D460" s="26"/>
      <c r="E460" s="456">
        <f>+'APU CAP 5'!X592</f>
        <v>932246.5</v>
      </c>
      <c r="F460" s="457">
        <f t="shared" si="34"/>
        <v>0</v>
      </c>
      <c r="G460" s="8">
        <f t="shared" si="35"/>
        <v>0</v>
      </c>
    </row>
    <row r="461" spans="1:7" hidden="1" x14ac:dyDescent="0.25">
      <c r="A461" s="31" t="s">
        <v>638</v>
      </c>
      <c r="B461" s="320" t="s">
        <v>609</v>
      </c>
      <c r="C461" s="26" t="s">
        <v>583</v>
      </c>
      <c r="D461" s="26"/>
      <c r="E461" s="456">
        <f>+'APU CAP 5'!H592</f>
        <v>609251.25</v>
      </c>
      <c r="F461" s="457">
        <f t="shared" si="34"/>
        <v>0</v>
      </c>
      <c r="G461" s="8">
        <f t="shared" si="35"/>
        <v>0</v>
      </c>
    </row>
    <row r="462" spans="1:7" hidden="1" x14ac:dyDescent="0.25">
      <c r="A462" s="31" t="s">
        <v>639</v>
      </c>
      <c r="B462" s="320" t="s">
        <v>610</v>
      </c>
      <c r="C462" s="26" t="s">
        <v>583</v>
      </c>
      <c r="D462" s="26"/>
      <c r="E462" s="456">
        <f>+'APU CAP 5'!P592</f>
        <v>740638</v>
      </c>
      <c r="F462" s="457">
        <f t="shared" si="34"/>
        <v>0</v>
      </c>
      <c r="G462" s="8">
        <f t="shared" si="35"/>
        <v>0</v>
      </c>
    </row>
    <row r="463" spans="1:7" hidden="1" x14ac:dyDescent="0.25">
      <c r="A463" s="31" t="s">
        <v>640</v>
      </c>
      <c r="B463" s="320" t="s">
        <v>611</v>
      </c>
      <c r="C463" s="26" t="s">
        <v>583</v>
      </c>
      <c r="D463" s="26"/>
      <c r="E463" s="456">
        <f>+'APU CAP 5'!X592</f>
        <v>932246.5</v>
      </c>
      <c r="F463" s="457">
        <f t="shared" si="34"/>
        <v>0</v>
      </c>
      <c r="G463" s="8">
        <f t="shared" si="35"/>
        <v>0</v>
      </c>
    </row>
    <row r="464" spans="1:7" hidden="1" x14ac:dyDescent="0.25">
      <c r="A464" s="31" t="s">
        <v>641</v>
      </c>
      <c r="B464" s="320" t="s">
        <v>612</v>
      </c>
      <c r="C464" s="26" t="s">
        <v>583</v>
      </c>
      <c r="D464" s="26"/>
      <c r="E464" s="456">
        <f>+'APU CAP 5'!X592</f>
        <v>932246.5</v>
      </c>
      <c r="F464" s="457">
        <f t="shared" si="34"/>
        <v>0</v>
      </c>
      <c r="G464" s="8">
        <f t="shared" si="35"/>
        <v>0</v>
      </c>
    </row>
    <row r="465" spans="1:7" hidden="1" x14ac:dyDescent="0.25">
      <c r="A465" s="31" t="s">
        <v>642</v>
      </c>
      <c r="B465" s="320" t="s">
        <v>620</v>
      </c>
      <c r="C465" s="26" t="s">
        <v>583</v>
      </c>
      <c r="D465" s="26"/>
      <c r="E465" s="456">
        <f>+'APU CAP 5'!P592</f>
        <v>740638</v>
      </c>
      <c r="F465" s="457">
        <f t="shared" si="34"/>
        <v>0</v>
      </c>
      <c r="G465" s="8">
        <f t="shared" si="35"/>
        <v>0</v>
      </c>
    </row>
    <row r="466" spans="1:7" hidden="1" x14ac:dyDescent="0.25">
      <c r="A466" s="31" t="s">
        <v>643</v>
      </c>
      <c r="B466" s="320" t="s">
        <v>671</v>
      </c>
      <c r="C466" s="26" t="s">
        <v>583</v>
      </c>
      <c r="D466" s="26"/>
      <c r="E466" s="456"/>
      <c r="F466" s="457">
        <f t="shared" si="34"/>
        <v>0</v>
      </c>
      <c r="G466" s="8">
        <f t="shared" si="35"/>
        <v>0</v>
      </c>
    </row>
    <row r="467" spans="1:7" hidden="1" x14ac:dyDescent="0.25">
      <c r="A467" s="27" t="s">
        <v>644</v>
      </c>
      <c r="B467" s="321" t="s">
        <v>645</v>
      </c>
      <c r="C467" s="26"/>
      <c r="D467" s="26"/>
      <c r="E467" s="29"/>
      <c r="F467" s="16"/>
      <c r="G467" s="8">
        <f t="shared" si="35"/>
        <v>0</v>
      </c>
    </row>
    <row r="468" spans="1:7" hidden="1" x14ac:dyDescent="0.25">
      <c r="A468" s="27" t="s">
        <v>646</v>
      </c>
      <c r="B468" s="321" t="s">
        <v>649</v>
      </c>
      <c r="C468" s="26"/>
      <c r="D468" s="26"/>
      <c r="E468" s="29"/>
      <c r="F468" s="16"/>
      <c r="G468" s="8">
        <f t="shared" si="35"/>
        <v>0</v>
      </c>
    </row>
    <row r="469" spans="1:7" hidden="1" x14ac:dyDescent="0.25">
      <c r="A469" s="31" t="s">
        <v>647</v>
      </c>
      <c r="B469" s="320" t="s">
        <v>650</v>
      </c>
      <c r="C469" s="26" t="s">
        <v>683</v>
      </c>
      <c r="D469" s="26"/>
      <c r="E469" s="29"/>
      <c r="F469" s="16">
        <f>+D469*E469</f>
        <v>0</v>
      </c>
      <c r="G469" s="8">
        <f t="shared" si="35"/>
        <v>0</v>
      </c>
    </row>
    <row r="470" spans="1:7" hidden="1" x14ac:dyDescent="0.25">
      <c r="A470" s="31" t="s">
        <v>648</v>
      </c>
      <c r="B470" s="320" t="s">
        <v>651</v>
      </c>
      <c r="C470" s="26" t="s">
        <v>683</v>
      </c>
      <c r="D470" s="26"/>
      <c r="E470" s="29"/>
      <c r="F470" s="16">
        <f>+D470*E470</f>
        <v>0</v>
      </c>
      <c r="G470" s="8">
        <f t="shared" si="35"/>
        <v>0</v>
      </c>
    </row>
    <row r="471" spans="1:7" x14ac:dyDescent="0.25">
      <c r="A471" s="27" t="s">
        <v>588</v>
      </c>
      <c r="B471" s="321" t="s">
        <v>652</v>
      </c>
      <c r="C471" s="26"/>
      <c r="D471" s="26"/>
      <c r="E471" s="29"/>
      <c r="F471" s="16"/>
      <c r="G471" s="8">
        <v>1</v>
      </c>
    </row>
    <row r="472" spans="1:7" x14ac:dyDescent="0.25">
      <c r="A472" s="31" t="s">
        <v>589</v>
      </c>
      <c r="B472" s="320" t="s">
        <v>590</v>
      </c>
      <c r="C472" s="26" t="s">
        <v>591</v>
      </c>
      <c r="D472" s="615">
        <f>50*D423</f>
        <v>17000</v>
      </c>
      <c r="E472" s="29">
        <f>+'APU CAP 5'!H970</f>
        <v>3455</v>
      </c>
      <c r="F472" s="16">
        <f>+D472*E472</f>
        <v>58735000</v>
      </c>
      <c r="G472" s="8">
        <f t="shared" si="35"/>
        <v>1</v>
      </c>
    </row>
    <row r="473" spans="1:7" hidden="1" x14ac:dyDescent="0.25">
      <c r="A473" s="27" t="s">
        <v>653</v>
      </c>
      <c r="B473" s="321" t="s">
        <v>654</v>
      </c>
      <c r="C473" s="26"/>
      <c r="D473" s="26"/>
      <c r="E473" s="29"/>
      <c r="F473" s="16"/>
      <c r="G473" s="8">
        <f t="shared" si="35"/>
        <v>0</v>
      </c>
    </row>
    <row r="474" spans="1:7" hidden="1" x14ac:dyDescent="0.25">
      <c r="A474" s="31" t="s">
        <v>5859</v>
      </c>
      <c r="B474" s="320" t="s">
        <v>655</v>
      </c>
      <c r="C474" s="26" t="s">
        <v>591</v>
      </c>
      <c r="D474" s="26"/>
      <c r="E474" s="29">
        <f>+'APU CAP 5'!P970</f>
        <v>3322</v>
      </c>
      <c r="F474" s="16">
        <f>+D474*E474</f>
        <v>0</v>
      </c>
      <c r="G474" s="8">
        <f t="shared" si="35"/>
        <v>0</v>
      </c>
    </row>
    <row r="475" spans="1:7" hidden="1" x14ac:dyDescent="0.25">
      <c r="A475" s="31" t="s">
        <v>5860</v>
      </c>
      <c r="B475" s="320" t="s">
        <v>656</v>
      </c>
      <c r="C475" s="26" t="s">
        <v>591</v>
      </c>
      <c r="D475" s="26"/>
      <c r="E475" s="29">
        <f>+'APU CAP 5'!X970</f>
        <v>4037</v>
      </c>
      <c r="F475" s="16">
        <f>+D475*E475</f>
        <v>0</v>
      </c>
      <c r="G475" s="8">
        <f t="shared" si="35"/>
        <v>0</v>
      </c>
    </row>
    <row r="476" spans="1:7" hidden="1" x14ac:dyDescent="0.25">
      <c r="A476" s="27" t="s">
        <v>657</v>
      </c>
      <c r="B476" s="321" t="s">
        <v>658</v>
      </c>
      <c r="C476" s="26"/>
      <c r="D476" s="26"/>
      <c r="E476" s="29"/>
      <c r="F476" s="16"/>
      <c r="G476" s="8">
        <f t="shared" si="35"/>
        <v>0</v>
      </c>
    </row>
    <row r="477" spans="1:7" hidden="1" x14ac:dyDescent="0.25">
      <c r="A477" s="31" t="s">
        <v>659</v>
      </c>
      <c r="B477" s="320" t="s">
        <v>660</v>
      </c>
      <c r="C477" s="26" t="s">
        <v>591</v>
      </c>
      <c r="D477" s="26"/>
      <c r="E477" s="29">
        <f>+'APU CAP 5'!H1024</f>
        <v>68668</v>
      </c>
      <c r="F477" s="16">
        <f>+D477*E477</f>
        <v>0</v>
      </c>
      <c r="G477" s="8">
        <f t="shared" si="35"/>
        <v>0</v>
      </c>
    </row>
    <row r="478" spans="1:7" hidden="1" x14ac:dyDescent="0.25">
      <c r="A478" s="31" t="s">
        <v>664</v>
      </c>
      <c r="B478" s="320" t="s">
        <v>661</v>
      </c>
      <c r="C478" s="26" t="s">
        <v>591</v>
      </c>
      <c r="D478" s="26"/>
      <c r="E478" s="29">
        <f>+'APU CAP 5'!H1078</f>
        <v>8894</v>
      </c>
      <c r="F478" s="16">
        <f>+D478*E478</f>
        <v>0</v>
      </c>
      <c r="G478" s="8">
        <f t="shared" si="35"/>
        <v>0</v>
      </c>
    </row>
    <row r="479" spans="1:7" hidden="1" x14ac:dyDescent="0.25">
      <c r="A479" s="31" t="s">
        <v>665</v>
      </c>
      <c r="B479" s="320" t="s">
        <v>662</v>
      </c>
      <c r="C479" s="26" t="s">
        <v>591</v>
      </c>
      <c r="D479" s="26"/>
      <c r="E479" s="29">
        <f>+'APU CAP 5'!H1132</f>
        <v>9723</v>
      </c>
      <c r="F479" s="16">
        <f>+D479*E479</f>
        <v>0</v>
      </c>
      <c r="G479" s="8">
        <f t="shared" si="35"/>
        <v>0</v>
      </c>
    </row>
    <row r="480" spans="1:7" hidden="1" x14ac:dyDescent="0.25">
      <c r="A480" s="31" t="s">
        <v>666</v>
      </c>
      <c r="B480" s="320" t="s">
        <v>663</v>
      </c>
      <c r="C480" s="26" t="s">
        <v>591</v>
      </c>
      <c r="D480" s="26"/>
      <c r="E480" s="29">
        <f>+'APU CAP 5'!H1186</f>
        <v>6166</v>
      </c>
      <c r="F480" s="16">
        <f>+D480*E480</f>
        <v>0</v>
      </c>
      <c r="G480" s="8">
        <f t="shared" si="35"/>
        <v>0</v>
      </c>
    </row>
    <row r="481" spans="1:7" hidden="1" x14ac:dyDescent="0.25">
      <c r="A481" s="27" t="s">
        <v>592</v>
      </c>
      <c r="B481" s="321" t="s">
        <v>593</v>
      </c>
      <c r="C481" s="26"/>
      <c r="D481" s="26"/>
      <c r="E481" s="29"/>
      <c r="F481" s="16"/>
      <c r="G481" s="8">
        <f t="shared" si="35"/>
        <v>0</v>
      </c>
    </row>
    <row r="482" spans="1:7" hidden="1" x14ac:dyDescent="0.25">
      <c r="A482" s="17" t="s">
        <v>667</v>
      </c>
      <c r="B482" s="18" t="s">
        <v>669</v>
      </c>
      <c r="C482" s="14" t="s">
        <v>14</v>
      </c>
      <c r="D482" s="14"/>
      <c r="E482" s="15">
        <f>+'APU CAP 5'!H1240</f>
        <v>31320</v>
      </c>
      <c r="F482" s="16">
        <f>+D482*E482</f>
        <v>0</v>
      </c>
      <c r="G482" s="8">
        <f t="shared" si="35"/>
        <v>0</v>
      </c>
    </row>
    <row r="483" spans="1:7" hidden="1" x14ac:dyDescent="0.25">
      <c r="A483" s="17" t="s">
        <v>668</v>
      </c>
      <c r="B483" s="18" t="s">
        <v>670</v>
      </c>
      <c r="C483" s="14" t="s">
        <v>14</v>
      </c>
      <c r="D483" s="14"/>
      <c r="E483" s="15">
        <f>+'APU CAP 5'!H1294</f>
        <v>48291</v>
      </c>
      <c r="F483" s="16">
        <f>+D483*E483</f>
        <v>0</v>
      </c>
      <c r="G483" s="8">
        <f t="shared" si="35"/>
        <v>0</v>
      </c>
    </row>
    <row r="484" spans="1:7" x14ac:dyDescent="0.25">
      <c r="A484" s="2454" t="s">
        <v>842</v>
      </c>
      <c r="B484" s="2455"/>
      <c r="C484" s="2455"/>
      <c r="D484" s="2455"/>
      <c r="E484" s="2455"/>
      <c r="F484" s="19">
        <f>SUM(F420:F483)</f>
        <v>228177060.00000003</v>
      </c>
      <c r="G484" s="8">
        <f t="shared" si="35"/>
        <v>1</v>
      </c>
    </row>
    <row r="485" spans="1:7" hidden="1" x14ac:dyDescent="0.25">
      <c r="A485" s="458">
        <v>6</v>
      </c>
      <c r="B485" s="459" t="s">
        <v>5867</v>
      </c>
      <c r="C485" s="63"/>
      <c r="D485" s="63"/>
      <c r="E485" s="460"/>
      <c r="F485" s="461"/>
      <c r="G485" s="8">
        <f t="shared" si="35"/>
        <v>0</v>
      </c>
    </row>
    <row r="486" spans="1:7" hidden="1" x14ac:dyDescent="0.25">
      <c r="A486" s="12" t="s">
        <v>673</v>
      </c>
      <c r="B486" s="13" t="s">
        <v>672</v>
      </c>
      <c r="C486" s="14"/>
      <c r="D486" s="14"/>
      <c r="E486" s="15"/>
      <c r="F486" s="16"/>
      <c r="G486" s="8">
        <f t="shared" si="35"/>
        <v>0</v>
      </c>
    </row>
    <row r="487" spans="1:7" hidden="1" x14ac:dyDescent="0.25">
      <c r="A487" s="12" t="s">
        <v>674</v>
      </c>
      <c r="B487" s="13" t="s">
        <v>811</v>
      </c>
      <c r="C487" s="14"/>
      <c r="D487" s="14"/>
      <c r="E487" s="15"/>
      <c r="F487" s="16"/>
      <c r="G487" s="8">
        <f t="shared" si="35"/>
        <v>0</v>
      </c>
    </row>
    <row r="488" spans="1:7" hidden="1" x14ac:dyDescent="0.25">
      <c r="A488" s="17" t="s">
        <v>812</v>
      </c>
      <c r="B488" s="18" t="s">
        <v>675</v>
      </c>
      <c r="C488" s="26" t="s">
        <v>683</v>
      </c>
      <c r="D488" s="14"/>
      <c r="E488" s="15">
        <f>+'APU CAP 6'!H272</f>
        <v>33748</v>
      </c>
      <c r="F488" s="16">
        <f>+D488*E488</f>
        <v>0</v>
      </c>
      <c r="G488" s="8">
        <f t="shared" si="35"/>
        <v>0</v>
      </c>
    </row>
    <row r="489" spans="1:7" hidden="1" x14ac:dyDescent="0.25">
      <c r="A489" s="12" t="s">
        <v>679</v>
      </c>
      <c r="B489" s="13" t="s">
        <v>5868</v>
      </c>
      <c r="C489" s="14"/>
      <c r="D489" s="14"/>
      <c r="E489" s="15"/>
      <c r="F489" s="16"/>
      <c r="G489" s="8">
        <f t="shared" si="35"/>
        <v>0</v>
      </c>
    </row>
    <row r="490" spans="1:7" hidden="1" x14ac:dyDescent="0.25">
      <c r="A490" s="17" t="s">
        <v>680</v>
      </c>
      <c r="B490" s="18" t="s">
        <v>678</v>
      </c>
      <c r="C490" s="26" t="s">
        <v>683</v>
      </c>
      <c r="D490" s="14"/>
      <c r="E490" s="15">
        <f>+'APU CAP 6'!H218</f>
        <v>28791</v>
      </c>
      <c r="F490" s="16">
        <f>+D490*E490</f>
        <v>0</v>
      </c>
      <c r="G490" s="8">
        <f t="shared" si="35"/>
        <v>0</v>
      </c>
    </row>
    <row r="491" spans="1:7" hidden="1" x14ac:dyDescent="0.25">
      <c r="A491" s="17" t="s">
        <v>681</v>
      </c>
      <c r="B491" s="18" t="s">
        <v>676</v>
      </c>
      <c r="C491" s="26" t="s">
        <v>683</v>
      </c>
      <c r="D491" s="14"/>
      <c r="E491" s="15">
        <f>+'APU CAP 6'!P218</f>
        <v>47712</v>
      </c>
      <c r="F491" s="16">
        <f>+D491*E491</f>
        <v>0</v>
      </c>
      <c r="G491" s="8">
        <f t="shared" si="35"/>
        <v>0</v>
      </c>
    </row>
    <row r="492" spans="1:7" hidden="1" x14ac:dyDescent="0.25">
      <c r="A492" s="17" t="s">
        <v>682</v>
      </c>
      <c r="B492" s="18" t="s">
        <v>677</v>
      </c>
      <c r="C492" s="26" t="s">
        <v>683</v>
      </c>
      <c r="D492" s="14"/>
      <c r="E492" s="15">
        <f>+'APU CAP 6'!X218</f>
        <v>88919</v>
      </c>
      <c r="F492" s="16">
        <f>+D492*E492</f>
        <v>0</v>
      </c>
      <c r="G492" s="8">
        <f t="shared" si="35"/>
        <v>0</v>
      </c>
    </row>
    <row r="493" spans="1:7" hidden="1" x14ac:dyDescent="0.25">
      <c r="A493" s="12" t="s">
        <v>684</v>
      </c>
      <c r="B493" s="13" t="s">
        <v>685</v>
      </c>
      <c r="C493" s="14"/>
      <c r="D493" s="14"/>
      <c r="E493" s="15"/>
      <c r="F493" s="16"/>
      <c r="G493" s="8">
        <f t="shared" si="35"/>
        <v>0</v>
      </c>
    </row>
    <row r="494" spans="1:7" hidden="1" x14ac:dyDescent="0.25">
      <c r="A494" s="17" t="s">
        <v>686</v>
      </c>
      <c r="B494" s="18" t="s">
        <v>676</v>
      </c>
      <c r="C494" s="26" t="s">
        <v>683</v>
      </c>
      <c r="D494" s="14"/>
      <c r="E494" s="15">
        <f>+'APU CAP 6'!H380</f>
        <v>64942</v>
      </c>
      <c r="F494" s="16">
        <f>+D494*E494</f>
        <v>0</v>
      </c>
      <c r="G494" s="8">
        <f t="shared" si="35"/>
        <v>0</v>
      </c>
    </row>
    <row r="495" spans="1:7" hidden="1" x14ac:dyDescent="0.25">
      <c r="A495" s="17" t="s">
        <v>687</v>
      </c>
      <c r="B495" s="18" t="s">
        <v>677</v>
      </c>
      <c r="C495" s="26" t="s">
        <v>683</v>
      </c>
      <c r="D495" s="14"/>
      <c r="E495" s="15">
        <f>+'APU CAP 6'!P380</f>
        <v>71108</v>
      </c>
      <c r="F495" s="16">
        <f>+D495*E495</f>
        <v>0</v>
      </c>
      <c r="G495" s="8">
        <f t="shared" si="35"/>
        <v>0</v>
      </c>
    </row>
    <row r="496" spans="1:7" hidden="1" x14ac:dyDescent="0.25">
      <c r="A496" s="12" t="s">
        <v>690</v>
      </c>
      <c r="B496" s="13" t="s">
        <v>688</v>
      </c>
      <c r="C496" s="14"/>
      <c r="D496" s="14"/>
      <c r="E496" s="15"/>
      <c r="F496" s="16"/>
      <c r="G496" s="8">
        <f t="shared" si="35"/>
        <v>0</v>
      </c>
    </row>
    <row r="497" spans="1:7" hidden="1" x14ac:dyDescent="0.25">
      <c r="A497" s="17" t="s">
        <v>689</v>
      </c>
      <c r="B497" s="18" t="s">
        <v>676</v>
      </c>
      <c r="C497" s="26" t="s">
        <v>683</v>
      </c>
      <c r="D497" s="14"/>
      <c r="E497" s="15">
        <f>+'APU CAP 6'!H326</f>
        <v>58048</v>
      </c>
      <c r="F497" s="16">
        <f>+D497*E497</f>
        <v>0</v>
      </c>
      <c r="G497" s="8">
        <f t="shared" si="35"/>
        <v>0</v>
      </c>
    </row>
    <row r="498" spans="1:7" hidden="1" x14ac:dyDescent="0.25">
      <c r="A498" s="17" t="s">
        <v>691</v>
      </c>
      <c r="B498" s="18" t="s">
        <v>677</v>
      </c>
      <c r="C498" s="26" t="s">
        <v>683</v>
      </c>
      <c r="D498" s="14"/>
      <c r="E498" s="15">
        <f>+'APU CAP 6'!P326</f>
        <v>105480</v>
      </c>
      <c r="F498" s="16">
        <f>+D498*E498</f>
        <v>0</v>
      </c>
      <c r="G498" s="8">
        <f t="shared" si="35"/>
        <v>0</v>
      </c>
    </row>
    <row r="499" spans="1:7" hidden="1" x14ac:dyDescent="0.25">
      <c r="A499" s="12" t="s">
        <v>693</v>
      </c>
      <c r="B499" s="13" t="s">
        <v>692</v>
      </c>
      <c r="C499" s="14"/>
      <c r="D499" s="14"/>
      <c r="E499" s="15"/>
      <c r="F499" s="16"/>
      <c r="G499" s="8">
        <f t="shared" si="35"/>
        <v>0</v>
      </c>
    </row>
    <row r="500" spans="1:7" hidden="1" x14ac:dyDescent="0.25">
      <c r="A500" s="17" t="s">
        <v>694</v>
      </c>
      <c r="B500" s="18" t="s">
        <v>695</v>
      </c>
      <c r="C500" s="26" t="s">
        <v>683</v>
      </c>
      <c r="D500" s="14"/>
      <c r="E500" s="15">
        <f>+'APU CAP 6'!H434</f>
        <v>14826</v>
      </c>
      <c r="F500" s="16">
        <f>+D500*E500</f>
        <v>0</v>
      </c>
      <c r="G500" s="8">
        <f t="shared" si="35"/>
        <v>0</v>
      </c>
    </row>
    <row r="501" spans="1:7" hidden="1" x14ac:dyDescent="0.25">
      <c r="A501" s="17" t="s">
        <v>698</v>
      </c>
      <c r="B501" s="18" t="s">
        <v>696</v>
      </c>
      <c r="C501" s="26" t="s">
        <v>683</v>
      </c>
      <c r="D501" s="14"/>
      <c r="E501" s="15">
        <f>+'APU CAP 6'!H434</f>
        <v>14826</v>
      </c>
      <c r="F501" s="16">
        <f>+D501*E501</f>
        <v>0</v>
      </c>
      <c r="G501" s="8">
        <f t="shared" si="35"/>
        <v>0</v>
      </c>
    </row>
    <row r="502" spans="1:7" hidden="1" x14ac:dyDescent="0.25">
      <c r="A502" s="17" t="s">
        <v>699</v>
      </c>
      <c r="B502" s="18" t="s">
        <v>697</v>
      </c>
      <c r="C502" s="26" t="s">
        <v>683</v>
      </c>
      <c r="D502" s="14"/>
      <c r="E502" s="15">
        <f>+'APU CAP 6'!H488</f>
        <v>17633</v>
      </c>
      <c r="F502" s="16">
        <f>+D502*E502</f>
        <v>0</v>
      </c>
      <c r="G502" s="8">
        <f t="shared" si="35"/>
        <v>0</v>
      </c>
    </row>
    <row r="503" spans="1:7" hidden="1" x14ac:dyDescent="0.25">
      <c r="A503" s="17" t="s">
        <v>700</v>
      </c>
      <c r="B503" s="18" t="s">
        <v>5730</v>
      </c>
      <c r="C503" s="26" t="s">
        <v>701</v>
      </c>
      <c r="D503" s="14"/>
      <c r="E503" s="15">
        <f>+'APU CAP 6'!H542</f>
        <v>844381</v>
      </c>
      <c r="F503" s="16">
        <f>+D503*E503</f>
        <v>0</v>
      </c>
      <c r="G503" s="8">
        <f t="shared" si="35"/>
        <v>0</v>
      </c>
    </row>
    <row r="504" spans="1:7" hidden="1" x14ac:dyDescent="0.25">
      <c r="A504" s="12" t="s">
        <v>703</v>
      </c>
      <c r="B504" s="13" t="s">
        <v>702</v>
      </c>
      <c r="C504" s="14"/>
      <c r="D504" s="14"/>
      <c r="E504" s="15"/>
      <c r="F504" s="16"/>
      <c r="G504" s="8">
        <f t="shared" si="35"/>
        <v>0</v>
      </c>
    </row>
    <row r="505" spans="1:7" hidden="1" x14ac:dyDescent="0.25">
      <c r="A505" s="12" t="s">
        <v>705</v>
      </c>
      <c r="B505" s="13" t="s">
        <v>704</v>
      </c>
      <c r="C505" s="14"/>
      <c r="D505" s="14"/>
      <c r="E505" s="15"/>
      <c r="F505" s="16"/>
      <c r="G505" s="8">
        <f t="shared" si="35"/>
        <v>0</v>
      </c>
    </row>
    <row r="506" spans="1:7" hidden="1" x14ac:dyDescent="0.25">
      <c r="A506" s="17" t="s">
        <v>706</v>
      </c>
      <c r="B506" s="18" t="s">
        <v>709</v>
      </c>
      <c r="C506" s="26" t="s">
        <v>683</v>
      </c>
      <c r="D506" s="14"/>
      <c r="E506" s="15">
        <f>+'APU CAP 6'!H596</f>
        <v>40122</v>
      </c>
      <c r="F506" s="16">
        <f>+D506*E506</f>
        <v>0</v>
      </c>
      <c r="G506" s="8">
        <f t="shared" si="35"/>
        <v>0</v>
      </c>
    </row>
    <row r="507" spans="1:7" hidden="1" x14ac:dyDescent="0.25">
      <c r="A507" s="17" t="s">
        <v>710</v>
      </c>
      <c r="B507" s="18" t="s">
        <v>707</v>
      </c>
      <c r="C507" s="26" t="s">
        <v>683</v>
      </c>
      <c r="D507" s="14"/>
      <c r="E507" s="15">
        <f>+'APU CAP 6'!P596</f>
        <v>49572</v>
      </c>
      <c r="F507" s="16">
        <f>+D507*E507</f>
        <v>0</v>
      </c>
      <c r="G507" s="8">
        <f t="shared" si="35"/>
        <v>0</v>
      </c>
    </row>
    <row r="508" spans="1:7" hidden="1" x14ac:dyDescent="0.25">
      <c r="A508" s="17" t="s">
        <v>711</v>
      </c>
      <c r="B508" s="18" t="s">
        <v>708</v>
      </c>
      <c r="C508" s="26" t="s">
        <v>683</v>
      </c>
      <c r="D508" s="14"/>
      <c r="E508" s="15">
        <f>+'APU CAP 6'!X596</f>
        <v>53124</v>
      </c>
      <c r="F508" s="16">
        <f>+D508*E508</f>
        <v>0</v>
      </c>
      <c r="G508" s="8">
        <f t="shared" si="35"/>
        <v>0</v>
      </c>
    </row>
    <row r="509" spans="1:7" hidden="1" x14ac:dyDescent="0.25">
      <c r="A509" s="17" t="s">
        <v>714</v>
      </c>
      <c r="B509" s="18" t="s">
        <v>813</v>
      </c>
      <c r="C509" s="26" t="s">
        <v>683</v>
      </c>
      <c r="D509" s="14"/>
      <c r="E509" s="471">
        <f>+'APU CAP 6'!AF596</f>
        <v>41574</v>
      </c>
      <c r="F509" s="16">
        <f>+D509*E509</f>
        <v>0</v>
      </c>
      <c r="G509" s="8">
        <f t="shared" si="35"/>
        <v>0</v>
      </c>
    </row>
    <row r="510" spans="1:7" hidden="1" x14ac:dyDescent="0.25">
      <c r="A510" s="12" t="s">
        <v>712</v>
      </c>
      <c r="B510" s="13" t="s">
        <v>713</v>
      </c>
      <c r="C510" s="132"/>
      <c r="D510" s="14"/>
      <c r="E510" s="15"/>
      <c r="F510" s="16"/>
      <c r="G510" s="8">
        <f t="shared" si="35"/>
        <v>0</v>
      </c>
    </row>
    <row r="511" spans="1:7" hidden="1" x14ac:dyDescent="0.25">
      <c r="A511" s="17" t="s">
        <v>715</v>
      </c>
      <c r="B511" s="18" t="s">
        <v>716</v>
      </c>
      <c r="C511" s="26" t="s">
        <v>683</v>
      </c>
      <c r="D511" s="14"/>
      <c r="E511" s="15">
        <f>+'APU CAP 6'!H650</f>
        <v>39539</v>
      </c>
      <c r="F511" s="16">
        <f>+D511*E511</f>
        <v>0</v>
      </c>
      <c r="G511" s="8">
        <f t="shared" si="35"/>
        <v>0</v>
      </c>
    </row>
    <row r="512" spans="1:7" hidden="1" x14ac:dyDescent="0.25">
      <c r="A512" s="17" t="s">
        <v>717</v>
      </c>
      <c r="B512" s="18" t="s">
        <v>718</v>
      </c>
      <c r="C512" s="26" t="s">
        <v>683</v>
      </c>
      <c r="D512" s="14"/>
      <c r="E512" s="15">
        <f>+'APU CAP 6'!P650</f>
        <v>7770</v>
      </c>
      <c r="F512" s="16">
        <f>+D512*E512</f>
        <v>0</v>
      </c>
      <c r="G512" s="8">
        <f t="shared" si="35"/>
        <v>0</v>
      </c>
    </row>
    <row r="513" spans="1:7" hidden="1" x14ac:dyDescent="0.25">
      <c r="A513" s="12" t="s">
        <v>719</v>
      </c>
      <c r="B513" s="13" t="s">
        <v>720</v>
      </c>
      <c r="C513" s="132"/>
      <c r="D513" s="14"/>
      <c r="E513" s="15"/>
      <c r="F513" s="16"/>
      <c r="G513" s="8">
        <f t="shared" si="35"/>
        <v>0</v>
      </c>
    </row>
    <row r="514" spans="1:7" hidden="1" x14ac:dyDescent="0.25">
      <c r="A514" s="17" t="s">
        <v>721</v>
      </c>
      <c r="B514" s="18" t="s">
        <v>743</v>
      </c>
      <c r="C514" s="14" t="s">
        <v>37</v>
      </c>
      <c r="D514" s="14"/>
      <c r="E514" s="15">
        <f>+'APU CAP 6'!H704</f>
        <v>105787.4</v>
      </c>
      <c r="F514" s="16">
        <f>+D514*E514</f>
        <v>0</v>
      </c>
      <c r="G514" s="8">
        <f t="shared" si="35"/>
        <v>0</v>
      </c>
    </row>
    <row r="515" spans="1:7" hidden="1" x14ac:dyDescent="0.25">
      <c r="A515" s="17" t="s">
        <v>723</v>
      </c>
      <c r="B515" s="18" t="s">
        <v>722</v>
      </c>
      <c r="C515" s="14" t="s">
        <v>37</v>
      </c>
      <c r="D515" s="14"/>
      <c r="E515" s="15">
        <f>+'APU CAP 6'!H758</f>
        <v>51791.000000000007</v>
      </c>
      <c r="F515" s="16">
        <f>+D515*E515</f>
        <v>0</v>
      </c>
      <c r="G515" s="8">
        <f t="shared" si="35"/>
        <v>0</v>
      </c>
    </row>
    <row r="516" spans="1:7" hidden="1" x14ac:dyDescent="0.25">
      <c r="A516" s="17" t="s">
        <v>724</v>
      </c>
      <c r="B516" s="18" t="s">
        <v>744</v>
      </c>
      <c r="C516" s="14" t="s">
        <v>37</v>
      </c>
      <c r="D516" s="14"/>
      <c r="E516" s="15">
        <f>+'APU CAP 6'!H812</f>
        <v>70662.600000000006</v>
      </c>
      <c r="F516" s="16">
        <f>+D516*E516</f>
        <v>0</v>
      </c>
      <c r="G516" s="8">
        <f t="shared" si="35"/>
        <v>0</v>
      </c>
    </row>
    <row r="517" spans="1:7" hidden="1" x14ac:dyDescent="0.25">
      <c r="A517" s="12" t="s">
        <v>725</v>
      </c>
      <c r="B517" s="13" t="s">
        <v>726</v>
      </c>
      <c r="C517" s="14"/>
      <c r="D517" s="14"/>
      <c r="E517" s="15"/>
      <c r="F517" s="16"/>
      <c r="G517" s="8">
        <f t="shared" si="35"/>
        <v>0</v>
      </c>
    </row>
    <row r="518" spans="1:7" hidden="1" x14ac:dyDescent="0.25">
      <c r="A518" s="17" t="s">
        <v>727</v>
      </c>
      <c r="B518" s="18" t="s">
        <v>728</v>
      </c>
      <c r="C518" s="14" t="s">
        <v>37</v>
      </c>
      <c r="D518" s="14"/>
      <c r="E518" s="15">
        <f>+'APU CAP 6'!H920</f>
        <v>163961</v>
      </c>
      <c r="F518" s="16">
        <f>+D518*E518</f>
        <v>0</v>
      </c>
      <c r="G518" s="8">
        <f t="shared" si="35"/>
        <v>0</v>
      </c>
    </row>
    <row r="519" spans="1:7" hidden="1" x14ac:dyDescent="0.25">
      <c r="A519" s="17" t="s">
        <v>731</v>
      </c>
      <c r="B519" s="18" t="s">
        <v>729</v>
      </c>
      <c r="C519" s="14" t="s">
        <v>37</v>
      </c>
      <c r="D519" s="14"/>
      <c r="E519" s="15">
        <f>+'APU CAP 6'!H866</f>
        <v>225481</v>
      </c>
      <c r="F519" s="16">
        <f>+D519*E519</f>
        <v>0</v>
      </c>
      <c r="G519" s="8">
        <f t="shared" si="35"/>
        <v>0</v>
      </c>
    </row>
    <row r="520" spans="1:7" hidden="1" x14ac:dyDescent="0.25">
      <c r="A520" s="17" t="s">
        <v>732</v>
      </c>
      <c r="B520" s="18" t="s">
        <v>730</v>
      </c>
      <c r="C520" s="14" t="s">
        <v>37</v>
      </c>
      <c r="D520" s="14"/>
      <c r="E520" s="15">
        <f>+'APU CAP 6'!P866</f>
        <v>188096</v>
      </c>
      <c r="F520" s="16">
        <f>+D520*E520</f>
        <v>0</v>
      </c>
      <c r="G520" s="8">
        <f t="shared" si="35"/>
        <v>0</v>
      </c>
    </row>
    <row r="521" spans="1:7" hidden="1" x14ac:dyDescent="0.25">
      <c r="A521" s="17" t="s">
        <v>733</v>
      </c>
      <c r="B521" s="18" t="s">
        <v>5869</v>
      </c>
      <c r="C521" s="14" t="s">
        <v>37</v>
      </c>
      <c r="D521" s="14"/>
      <c r="E521" s="15">
        <f>+'APU CAP 6'!H974</f>
        <v>178771</v>
      </c>
      <c r="F521" s="16">
        <f>+D521*E521</f>
        <v>0</v>
      </c>
      <c r="G521" s="8">
        <f t="shared" si="35"/>
        <v>0</v>
      </c>
    </row>
    <row r="522" spans="1:7" hidden="1" x14ac:dyDescent="0.25">
      <c r="A522" s="17" t="s">
        <v>734</v>
      </c>
      <c r="B522" s="18" t="s">
        <v>735</v>
      </c>
      <c r="C522" s="14" t="s">
        <v>37</v>
      </c>
      <c r="D522" s="14"/>
      <c r="E522" s="15">
        <f>+'APU CAP 6'!H1028</f>
        <v>146447</v>
      </c>
      <c r="F522" s="16">
        <f>+D522*E522</f>
        <v>0</v>
      </c>
      <c r="G522" s="8">
        <f t="shared" si="35"/>
        <v>0</v>
      </c>
    </row>
    <row r="523" spans="1:7" hidden="1" x14ac:dyDescent="0.25">
      <c r="A523" s="12" t="s">
        <v>736</v>
      </c>
      <c r="B523" s="13" t="s">
        <v>737</v>
      </c>
      <c r="C523" s="132"/>
      <c r="D523" s="14"/>
      <c r="E523" s="15"/>
      <c r="F523" s="16"/>
      <c r="G523" s="8">
        <f t="shared" ref="G523:G586" si="36">+IF(F523&lt;&gt;0,1,0)</f>
        <v>0</v>
      </c>
    </row>
    <row r="524" spans="1:7" ht="25.5" hidden="1" x14ac:dyDescent="0.25">
      <c r="A524" s="17" t="s">
        <v>738</v>
      </c>
      <c r="B524" s="25" t="s">
        <v>5873</v>
      </c>
      <c r="C524" s="14" t="s">
        <v>37</v>
      </c>
      <c r="D524" s="14"/>
      <c r="E524" s="15">
        <f>+'APU CAP 6'!H1082</f>
        <v>388363.625</v>
      </c>
      <c r="F524" s="16">
        <f>+D524*E524</f>
        <v>0</v>
      </c>
      <c r="G524" s="8">
        <f t="shared" si="36"/>
        <v>0</v>
      </c>
    </row>
    <row r="525" spans="1:7" ht="25.5" hidden="1" x14ac:dyDescent="0.25">
      <c r="A525" s="17" t="s">
        <v>739</v>
      </c>
      <c r="B525" s="25" t="s">
        <v>740</v>
      </c>
      <c r="C525" s="14" t="s">
        <v>37</v>
      </c>
      <c r="D525" s="14"/>
      <c r="E525" s="15"/>
      <c r="F525" s="16">
        <f>+D525*E525</f>
        <v>0</v>
      </c>
      <c r="G525" s="8">
        <f t="shared" si="36"/>
        <v>0</v>
      </c>
    </row>
    <row r="526" spans="1:7" hidden="1" x14ac:dyDescent="0.25">
      <c r="A526" s="12" t="s">
        <v>741</v>
      </c>
      <c r="B526" s="13" t="s">
        <v>742</v>
      </c>
      <c r="C526" s="132"/>
      <c r="D526" s="14"/>
      <c r="E526" s="15"/>
      <c r="F526" s="16"/>
      <c r="G526" s="8">
        <f t="shared" si="36"/>
        <v>0</v>
      </c>
    </row>
    <row r="527" spans="1:7" ht="25.5" hidden="1" x14ac:dyDescent="0.25">
      <c r="A527" s="17" t="s">
        <v>745</v>
      </c>
      <c r="B527" s="25" t="s">
        <v>5872</v>
      </c>
      <c r="C527" s="14" t="s">
        <v>37</v>
      </c>
      <c r="D527" s="14"/>
      <c r="E527" s="15">
        <f>+'APU CAP 6'!H1460</f>
        <v>652620</v>
      </c>
      <c r="F527" s="16">
        <f>+D527*E527</f>
        <v>0</v>
      </c>
      <c r="G527" s="8">
        <f t="shared" si="36"/>
        <v>0</v>
      </c>
    </row>
    <row r="528" spans="1:7" ht="25.5" hidden="1" x14ac:dyDescent="0.25">
      <c r="A528" s="17" t="s">
        <v>746</v>
      </c>
      <c r="B528" s="25" t="s">
        <v>5870</v>
      </c>
      <c r="C528" s="14" t="s">
        <v>37</v>
      </c>
      <c r="D528" s="14"/>
      <c r="E528" s="15">
        <f>+'APU CAP 6'!P1460</f>
        <v>2197467</v>
      </c>
      <c r="F528" s="16">
        <f>+D528*E528</f>
        <v>0</v>
      </c>
      <c r="G528" s="8">
        <f t="shared" si="36"/>
        <v>0</v>
      </c>
    </row>
    <row r="529" spans="1:7" hidden="1" x14ac:dyDescent="0.25">
      <c r="A529" s="17" t="s">
        <v>747</v>
      </c>
      <c r="B529" s="18" t="s">
        <v>5871</v>
      </c>
      <c r="C529" s="26" t="s">
        <v>683</v>
      </c>
      <c r="D529" s="14"/>
      <c r="E529" s="15">
        <f>+'APU CAP 6'!H1514</f>
        <v>208373</v>
      </c>
      <c r="F529" s="16">
        <f>+D529*E529</f>
        <v>0</v>
      </c>
      <c r="G529" s="8">
        <f t="shared" si="36"/>
        <v>0</v>
      </c>
    </row>
    <row r="530" spans="1:7" hidden="1" x14ac:dyDescent="0.25">
      <c r="A530" s="12" t="s">
        <v>748</v>
      </c>
      <c r="B530" s="13" t="s">
        <v>749</v>
      </c>
      <c r="C530" s="132"/>
      <c r="D530" s="14"/>
      <c r="E530" s="15"/>
      <c r="F530" s="16"/>
      <c r="G530" s="8">
        <f t="shared" si="36"/>
        <v>0</v>
      </c>
    </row>
    <row r="531" spans="1:7" hidden="1" x14ac:dyDescent="0.25">
      <c r="A531" s="17" t="s">
        <v>750</v>
      </c>
      <c r="B531" s="18" t="s">
        <v>751</v>
      </c>
      <c r="C531" s="14" t="s">
        <v>591</v>
      </c>
      <c r="D531" s="14"/>
      <c r="E531" s="15"/>
      <c r="F531" s="16">
        <f>+D531*E531</f>
        <v>0</v>
      </c>
      <c r="G531" s="8">
        <f t="shared" si="36"/>
        <v>0</v>
      </c>
    </row>
    <row r="532" spans="1:7" hidden="1" x14ac:dyDescent="0.25">
      <c r="A532" s="17" t="s">
        <v>752</v>
      </c>
      <c r="B532" s="18" t="s">
        <v>757</v>
      </c>
      <c r="C532" s="26" t="s">
        <v>683</v>
      </c>
      <c r="D532" s="14"/>
      <c r="E532" s="15"/>
      <c r="F532" s="16">
        <f>+D532*E532</f>
        <v>0</v>
      </c>
      <c r="G532" s="8">
        <f t="shared" si="36"/>
        <v>0</v>
      </c>
    </row>
    <row r="533" spans="1:7" hidden="1" x14ac:dyDescent="0.25">
      <c r="A533" s="12" t="s">
        <v>753</v>
      </c>
      <c r="B533" s="13" t="s">
        <v>754</v>
      </c>
      <c r="C533" s="14"/>
      <c r="D533" s="14"/>
      <c r="E533" s="15"/>
      <c r="F533" s="16"/>
      <c r="G533" s="8">
        <f t="shared" si="36"/>
        <v>0</v>
      </c>
    </row>
    <row r="534" spans="1:7" hidden="1" x14ac:dyDescent="0.25">
      <c r="A534" s="17" t="s">
        <v>755</v>
      </c>
      <c r="B534" s="18" t="s">
        <v>756</v>
      </c>
      <c r="C534" s="26" t="s">
        <v>683</v>
      </c>
      <c r="D534" s="14"/>
      <c r="E534" s="15"/>
      <c r="F534" s="16">
        <f>+D534*E534</f>
        <v>0</v>
      </c>
      <c r="G534" s="8">
        <f t="shared" si="36"/>
        <v>0</v>
      </c>
    </row>
    <row r="535" spans="1:7" hidden="1" x14ac:dyDescent="0.25">
      <c r="A535" s="17" t="s">
        <v>758</v>
      </c>
      <c r="B535" s="18" t="s">
        <v>759</v>
      </c>
      <c r="C535" s="26" t="s">
        <v>683</v>
      </c>
      <c r="D535" s="14"/>
      <c r="E535" s="15"/>
      <c r="F535" s="16">
        <f>+D535*E535</f>
        <v>0</v>
      </c>
      <c r="G535" s="8">
        <f t="shared" si="36"/>
        <v>0</v>
      </c>
    </row>
    <row r="536" spans="1:7" hidden="1" x14ac:dyDescent="0.25">
      <c r="A536" s="12" t="s">
        <v>760</v>
      </c>
      <c r="B536" s="13" t="s">
        <v>5874</v>
      </c>
      <c r="C536" s="14"/>
      <c r="D536" s="14"/>
      <c r="E536" s="15"/>
      <c r="F536" s="16"/>
      <c r="G536" s="8">
        <f t="shared" si="36"/>
        <v>0</v>
      </c>
    </row>
    <row r="537" spans="1:7" hidden="1" x14ac:dyDescent="0.25">
      <c r="A537" s="12" t="s">
        <v>761</v>
      </c>
      <c r="B537" s="13" t="s">
        <v>763</v>
      </c>
      <c r="C537" s="132"/>
      <c r="D537" s="14"/>
      <c r="E537" s="15"/>
      <c r="F537" s="16"/>
      <c r="G537" s="8">
        <f t="shared" si="36"/>
        <v>0</v>
      </c>
    </row>
    <row r="538" spans="1:7" hidden="1" x14ac:dyDescent="0.25">
      <c r="A538" s="17" t="s">
        <v>764</v>
      </c>
      <c r="B538" s="18" t="s">
        <v>5875</v>
      </c>
      <c r="C538" s="14" t="s">
        <v>14</v>
      </c>
      <c r="D538" s="14"/>
      <c r="E538" s="15"/>
      <c r="F538" s="16">
        <f>+D538*E538</f>
        <v>0</v>
      </c>
      <c r="G538" s="8">
        <f t="shared" si="36"/>
        <v>0</v>
      </c>
    </row>
    <row r="539" spans="1:7" hidden="1" x14ac:dyDescent="0.25">
      <c r="A539" s="17" t="s">
        <v>765</v>
      </c>
      <c r="B539" s="18" t="s">
        <v>766</v>
      </c>
      <c r="C539" s="14" t="s">
        <v>14</v>
      </c>
      <c r="D539" s="14"/>
      <c r="E539" s="15"/>
      <c r="F539" s="16">
        <f>+D539*E539</f>
        <v>0</v>
      </c>
      <c r="G539" s="8">
        <f t="shared" si="36"/>
        <v>0</v>
      </c>
    </row>
    <row r="540" spans="1:7" hidden="1" x14ac:dyDescent="0.25">
      <c r="A540" s="17" t="s">
        <v>767</v>
      </c>
      <c r="B540" s="18" t="s">
        <v>5876</v>
      </c>
      <c r="C540" s="14" t="s">
        <v>14</v>
      </c>
      <c r="D540" s="14"/>
      <c r="E540" s="15"/>
      <c r="F540" s="16">
        <f>+D540*E540</f>
        <v>0</v>
      </c>
      <c r="G540" s="8">
        <f t="shared" si="36"/>
        <v>0</v>
      </c>
    </row>
    <row r="541" spans="1:7" hidden="1" x14ac:dyDescent="0.25">
      <c r="A541" s="12" t="s">
        <v>762</v>
      </c>
      <c r="B541" s="13" t="s">
        <v>771</v>
      </c>
      <c r="C541" s="14"/>
      <c r="D541" s="14"/>
      <c r="E541" s="15"/>
      <c r="F541" s="16"/>
      <c r="G541" s="8">
        <f t="shared" si="36"/>
        <v>0</v>
      </c>
    </row>
    <row r="542" spans="1:7" hidden="1" x14ac:dyDescent="0.25">
      <c r="A542" s="17" t="s">
        <v>768</v>
      </c>
      <c r="B542" s="18" t="s">
        <v>5878</v>
      </c>
      <c r="C542" s="14" t="s">
        <v>14</v>
      </c>
      <c r="D542" s="14"/>
      <c r="E542" s="15"/>
      <c r="F542" s="16">
        <f>+D542*E542</f>
        <v>0</v>
      </c>
      <c r="G542" s="8">
        <f t="shared" si="36"/>
        <v>0</v>
      </c>
    </row>
    <row r="543" spans="1:7" hidden="1" x14ac:dyDescent="0.25">
      <c r="A543" s="17" t="s">
        <v>769</v>
      </c>
      <c r="B543" s="18" t="s">
        <v>770</v>
      </c>
      <c r="C543" s="14" t="s">
        <v>14</v>
      </c>
      <c r="D543" s="14"/>
      <c r="E543" s="15"/>
      <c r="F543" s="16">
        <f>+D543*E543</f>
        <v>0</v>
      </c>
      <c r="G543" s="8">
        <f t="shared" si="36"/>
        <v>0</v>
      </c>
    </row>
    <row r="544" spans="1:7" ht="25.5" hidden="1" x14ac:dyDescent="0.25">
      <c r="A544" s="12" t="s">
        <v>772</v>
      </c>
      <c r="B544" s="25" t="s">
        <v>5877</v>
      </c>
      <c r="C544" s="26" t="s">
        <v>683</v>
      </c>
      <c r="D544" s="14"/>
      <c r="E544" s="15"/>
      <c r="F544" s="16">
        <f>+D544*E544</f>
        <v>0</v>
      </c>
      <c r="G544" s="8">
        <f t="shared" si="36"/>
        <v>0</v>
      </c>
    </row>
    <row r="545" spans="1:7" hidden="1" x14ac:dyDescent="0.25">
      <c r="A545" s="2454" t="s">
        <v>843</v>
      </c>
      <c r="B545" s="2455"/>
      <c r="C545" s="2455"/>
      <c r="D545" s="2455"/>
      <c r="E545" s="2455"/>
      <c r="F545" s="16"/>
      <c r="G545" s="8">
        <f t="shared" si="36"/>
        <v>0</v>
      </c>
    </row>
    <row r="546" spans="1:7" x14ac:dyDescent="0.25">
      <c r="A546" s="458">
        <v>7</v>
      </c>
      <c r="B546" s="459" t="s">
        <v>773</v>
      </c>
      <c r="C546" s="63"/>
      <c r="D546" s="63"/>
      <c r="E546" s="460"/>
      <c r="F546" s="461"/>
      <c r="G546" s="8">
        <v>1</v>
      </c>
    </row>
    <row r="547" spans="1:7" x14ac:dyDescent="0.25">
      <c r="A547" s="12" t="s">
        <v>774</v>
      </c>
      <c r="B547" s="13" t="s">
        <v>788</v>
      </c>
      <c r="C547" s="14"/>
      <c r="D547" s="14"/>
      <c r="E547" s="15"/>
      <c r="F547" s="16"/>
      <c r="G547" s="8">
        <v>1</v>
      </c>
    </row>
    <row r="548" spans="1:7" hidden="1" x14ac:dyDescent="0.25">
      <c r="A548" s="17" t="s">
        <v>778</v>
      </c>
      <c r="B548" s="18" t="s">
        <v>775</v>
      </c>
      <c r="C548" s="26" t="s">
        <v>701</v>
      </c>
      <c r="D548" s="14"/>
      <c r="E548" s="15">
        <f>+'APU CAP 7'!P51</f>
        <v>513977</v>
      </c>
      <c r="F548" s="16">
        <f>+D548*E548</f>
        <v>0</v>
      </c>
      <c r="G548" s="8">
        <f t="shared" si="36"/>
        <v>0</v>
      </c>
    </row>
    <row r="549" spans="1:7" x14ac:dyDescent="0.25">
      <c r="A549" s="17" t="s">
        <v>779</v>
      </c>
      <c r="B549" s="18" t="s">
        <v>776</v>
      </c>
      <c r="C549" s="26" t="s">
        <v>701</v>
      </c>
      <c r="D549" s="14">
        <v>960</v>
      </c>
      <c r="E549" s="15">
        <f>+'APU CAP 7'!P105</f>
        <v>543457</v>
      </c>
      <c r="F549" s="16">
        <f>+D549*E549</f>
        <v>521718720</v>
      </c>
      <c r="G549" s="8">
        <f t="shared" si="36"/>
        <v>1</v>
      </c>
    </row>
    <row r="550" spans="1:7" hidden="1" x14ac:dyDescent="0.25">
      <c r="A550" s="17" t="s">
        <v>780</v>
      </c>
      <c r="B550" s="18" t="s">
        <v>777</v>
      </c>
      <c r="C550" s="26" t="s">
        <v>701</v>
      </c>
      <c r="D550" s="14"/>
      <c r="E550" s="15">
        <f>+'APU CAP 7'!P159</f>
        <v>562778</v>
      </c>
      <c r="F550" s="16">
        <f>+D550*E550</f>
        <v>0</v>
      </c>
      <c r="G550" s="8">
        <f t="shared" si="36"/>
        <v>0</v>
      </c>
    </row>
    <row r="551" spans="1:7" x14ac:dyDescent="0.25">
      <c r="A551" s="12" t="s">
        <v>781</v>
      </c>
      <c r="B551" s="13" t="s">
        <v>789</v>
      </c>
      <c r="C551" s="14"/>
      <c r="D551" s="14"/>
      <c r="E551" s="15"/>
      <c r="F551" s="16"/>
      <c r="G551" s="8">
        <v>1</v>
      </c>
    </row>
    <row r="552" spans="1:7" hidden="1" x14ac:dyDescent="0.25">
      <c r="A552" s="17" t="s">
        <v>782</v>
      </c>
      <c r="B552" s="18" t="s">
        <v>787</v>
      </c>
      <c r="C552" s="26" t="s">
        <v>701</v>
      </c>
      <c r="D552" s="14"/>
      <c r="E552" s="15">
        <f>+'APU CAP 7'!P321</f>
        <v>435599</v>
      </c>
      <c r="F552" s="16">
        <f>+D552*E552</f>
        <v>0</v>
      </c>
      <c r="G552" s="8">
        <f t="shared" si="36"/>
        <v>0</v>
      </c>
    </row>
    <row r="553" spans="1:7" x14ac:dyDescent="0.25">
      <c r="A553" s="17" t="s">
        <v>784</v>
      </c>
      <c r="B553" s="18" t="s">
        <v>783</v>
      </c>
      <c r="C553" s="26" t="s">
        <v>701</v>
      </c>
      <c r="D553" s="14">
        <v>56</v>
      </c>
      <c r="E553" s="15">
        <f>+'APU CAP 7'!P213</f>
        <v>448853</v>
      </c>
      <c r="F553" s="16">
        <f>+D553*E553</f>
        <v>25135768</v>
      </c>
      <c r="G553" s="8">
        <f t="shared" si="36"/>
        <v>1</v>
      </c>
    </row>
    <row r="554" spans="1:7" hidden="1" x14ac:dyDescent="0.25">
      <c r="A554" s="17" t="s">
        <v>785</v>
      </c>
      <c r="B554" s="18" t="s">
        <v>786</v>
      </c>
      <c r="C554" s="26" t="s">
        <v>701</v>
      </c>
      <c r="D554" s="14"/>
      <c r="E554" s="15">
        <f>+'APU CAP 7'!P267</f>
        <v>458210</v>
      </c>
      <c r="F554" s="16">
        <f>+D554*E554</f>
        <v>0</v>
      </c>
      <c r="G554" s="8">
        <f t="shared" si="36"/>
        <v>0</v>
      </c>
    </row>
    <row r="555" spans="1:7" hidden="1" x14ac:dyDescent="0.25">
      <c r="A555" s="17" t="s">
        <v>797</v>
      </c>
      <c r="B555" s="18" t="s">
        <v>798</v>
      </c>
      <c r="C555" s="26" t="s">
        <v>683</v>
      </c>
      <c r="D555" s="14"/>
      <c r="E555" s="15"/>
      <c r="F555" s="16">
        <f>+D555*E555</f>
        <v>0</v>
      </c>
      <c r="G555" s="8">
        <f t="shared" si="36"/>
        <v>0</v>
      </c>
    </row>
    <row r="556" spans="1:7" hidden="1" x14ac:dyDescent="0.25">
      <c r="A556" s="12" t="s">
        <v>790</v>
      </c>
      <c r="B556" s="13" t="s">
        <v>791</v>
      </c>
      <c r="C556" s="14"/>
      <c r="D556" s="14"/>
      <c r="E556" s="15"/>
      <c r="F556" s="16"/>
      <c r="G556" s="8">
        <f t="shared" si="36"/>
        <v>0</v>
      </c>
    </row>
    <row r="557" spans="1:7" hidden="1" x14ac:dyDescent="0.25">
      <c r="A557" s="17" t="s">
        <v>792</v>
      </c>
      <c r="B557" s="18" t="s">
        <v>795</v>
      </c>
      <c r="C557" s="26" t="s">
        <v>683</v>
      </c>
      <c r="D557" s="14"/>
      <c r="E557" s="15">
        <f>+'APU CAP 7'!H429</f>
        <v>44478</v>
      </c>
      <c r="F557" s="16">
        <f>+D557*E557</f>
        <v>0</v>
      </c>
      <c r="G557" s="8">
        <f t="shared" si="36"/>
        <v>0</v>
      </c>
    </row>
    <row r="558" spans="1:7" hidden="1" x14ac:dyDescent="0.25">
      <c r="A558" s="17" t="s">
        <v>793</v>
      </c>
      <c r="B558" s="18" t="s">
        <v>6260</v>
      </c>
      <c r="C558" s="26" t="s">
        <v>683</v>
      </c>
      <c r="D558" s="14"/>
      <c r="E558" s="15">
        <f>+'APU CAP 7'!H483</f>
        <v>59916</v>
      </c>
      <c r="F558" s="16">
        <f>+D558*E558</f>
        <v>0</v>
      </c>
      <c r="G558" s="8">
        <f t="shared" si="36"/>
        <v>0</v>
      </c>
    </row>
    <row r="559" spans="1:7" hidden="1" x14ac:dyDescent="0.25">
      <c r="A559" s="17" t="s">
        <v>794</v>
      </c>
      <c r="B559" s="18" t="s">
        <v>796</v>
      </c>
      <c r="C559" s="26" t="s">
        <v>683</v>
      </c>
      <c r="D559" s="14"/>
      <c r="E559" s="15">
        <f>+'APU CAP 7'!H537</f>
        <v>64115</v>
      </c>
      <c r="F559" s="16">
        <f>+D559*E559</f>
        <v>0</v>
      </c>
      <c r="G559" s="8">
        <f t="shared" si="36"/>
        <v>0</v>
      </c>
    </row>
    <row r="560" spans="1:7" hidden="1" x14ac:dyDescent="0.25">
      <c r="A560" s="17" t="s">
        <v>799</v>
      </c>
      <c r="B560" s="18" t="s">
        <v>800</v>
      </c>
      <c r="C560" s="26" t="s">
        <v>683</v>
      </c>
      <c r="D560" s="14"/>
      <c r="E560" s="15">
        <f>+'APU CAP 7'!H375</f>
        <v>62525</v>
      </c>
      <c r="F560" s="16">
        <f>+D560*E560</f>
        <v>0</v>
      </c>
      <c r="G560" s="8">
        <f t="shared" si="36"/>
        <v>0</v>
      </c>
    </row>
    <row r="561" spans="1:7" hidden="1" x14ac:dyDescent="0.25">
      <c r="A561" s="12" t="s">
        <v>801</v>
      </c>
      <c r="B561" s="13" t="s">
        <v>802</v>
      </c>
      <c r="C561" s="14"/>
      <c r="D561" s="14"/>
      <c r="E561" s="15"/>
      <c r="F561" s="16"/>
      <c r="G561" s="8">
        <f t="shared" si="36"/>
        <v>0</v>
      </c>
    </row>
    <row r="562" spans="1:7" hidden="1" x14ac:dyDescent="0.25">
      <c r="A562" s="17" t="s">
        <v>807</v>
      </c>
      <c r="B562" s="18" t="s">
        <v>803</v>
      </c>
      <c r="C562" s="14" t="s">
        <v>14</v>
      </c>
      <c r="D562" s="14"/>
      <c r="E562" s="15"/>
      <c r="F562" s="16">
        <f>+D562*E562</f>
        <v>0</v>
      </c>
      <c r="G562" s="8">
        <f t="shared" si="36"/>
        <v>0</v>
      </c>
    </row>
    <row r="563" spans="1:7" hidden="1" x14ac:dyDescent="0.25">
      <c r="A563" s="17" t="s">
        <v>808</v>
      </c>
      <c r="B563" s="18" t="s">
        <v>804</v>
      </c>
      <c r="C563" s="14" t="s">
        <v>14</v>
      </c>
      <c r="D563" s="14"/>
      <c r="E563" s="15">
        <f>+'APU CAP 7'!P591</f>
        <v>36513</v>
      </c>
      <c r="F563" s="16">
        <f>+D563*E563</f>
        <v>0</v>
      </c>
      <c r="G563" s="8">
        <f t="shared" si="36"/>
        <v>0</v>
      </c>
    </row>
    <row r="564" spans="1:7" hidden="1" x14ac:dyDescent="0.25">
      <c r="A564" s="17" t="s">
        <v>809</v>
      </c>
      <c r="B564" s="18" t="s">
        <v>805</v>
      </c>
      <c r="C564" s="14" t="s">
        <v>14</v>
      </c>
      <c r="D564" s="14"/>
      <c r="E564" s="15">
        <f>+'APU CAP 7'!P645</f>
        <v>46626</v>
      </c>
      <c r="F564" s="16">
        <f>+D564*E564</f>
        <v>0</v>
      </c>
      <c r="G564" s="8">
        <f t="shared" si="36"/>
        <v>0</v>
      </c>
    </row>
    <row r="565" spans="1:7" hidden="1" x14ac:dyDescent="0.25">
      <c r="A565" s="17" t="s">
        <v>810</v>
      </c>
      <c r="B565" s="18" t="s">
        <v>806</v>
      </c>
      <c r="C565" s="14" t="s">
        <v>14</v>
      </c>
      <c r="D565" s="14"/>
      <c r="E565" s="15"/>
      <c r="F565" s="16">
        <f>+D565*E565</f>
        <v>0</v>
      </c>
      <c r="G565" s="8">
        <f t="shared" si="36"/>
        <v>0</v>
      </c>
    </row>
    <row r="566" spans="1:7" hidden="1" x14ac:dyDescent="0.25">
      <c r="A566" s="12" t="s">
        <v>845</v>
      </c>
      <c r="B566" s="13" t="s">
        <v>846</v>
      </c>
      <c r="C566" s="14"/>
      <c r="D566" s="14"/>
      <c r="E566" s="15"/>
      <c r="F566" s="16"/>
      <c r="G566" s="8">
        <f t="shared" si="36"/>
        <v>0</v>
      </c>
    </row>
    <row r="567" spans="1:7" hidden="1" x14ac:dyDescent="0.25">
      <c r="A567" s="12" t="s">
        <v>847</v>
      </c>
      <c r="B567" s="13" t="s">
        <v>848</v>
      </c>
      <c r="C567" s="14"/>
      <c r="D567" s="14"/>
      <c r="E567" s="15"/>
      <c r="F567" s="16"/>
      <c r="G567" s="8">
        <f t="shared" si="36"/>
        <v>0</v>
      </c>
    </row>
    <row r="568" spans="1:7" ht="25.5" hidden="1" x14ac:dyDescent="0.25">
      <c r="A568" s="17" t="s">
        <v>849</v>
      </c>
      <c r="B568" s="25" t="s">
        <v>5879</v>
      </c>
      <c r="C568" s="14" t="s">
        <v>14</v>
      </c>
      <c r="D568" s="14"/>
      <c r="E568" s="15"/>
      <c r="F568" s="16">
        <f>+D568*E568</f>
        <v>0</v>
      </c>
      <c r="G568" s="8">
        <f t="shared" si="36"/>
        <v>0</v>
      </c>
    </row>
    <row r="569" spans="1:7" ht="38.25" hidden="1" x14ac:dyDescent="0.25">
      <c r="A569" s="17" t="s">
        <v>850</v>
      </c>
      <c r="B569" s="25" t="s">
        <v>5880</v>
      </c>
      <c r="C569" s="14" t="s">
        <v>14</v>
      </c>
      <c r="D569" s="14"/>
      <c r="E569" s="15"/>
      <c r="F569" s="16">
        <f>+D569*E569</f>
        <v>0</v>
      </c>
      <c r="G569" s="8">
        <f t="shared" si="36"/>
        <v>0</v>
      </c>
    </row>
    <row r="570" spans="1:7" hidden="1" x14ac:dyDescent="0.25">
      <c r="A570" s="17" t="s">
        <v>851</v>
      </c>
      <c r="B570" s="25" t="s">
        <v>853</v>
      </c>
      <c r="C570" s="14" t="s">
        <v>37</v>
      </c>
      <c r="D570" s="14"/>
      <c r="E570" s="15"/>
      <c r="F570" s="16">
        <f>+D570*E570</f>
        <v>0</v>
      </c>
      <c r="G570" s="8">
        <f t="shared" si="36"/>
        <v>0</v>
      </c>
    </row>
    <row r="571" spans="1:7" hidden="1" x14ac:dyDescent="0.25">
      <c r="A571" s="17" t="s">
        <v>852</v>
      </c>
      <c r="B571" s="25" t="s">
        <v>854</v>
      </c>
      <c r="C571" s="14" t="s">
        <v>37</v>
      </c>
      <c r="D571" s="14"/>
      <c r="E571" s="15"/>
      <c r="F571" s="16">
        <f>+D571*E571</f>
        <v>0</v>
      </c>
      <c r="G571" s="8">
        <f t="shared" si="36"/>
        <v>0</v>
      </c>
    </row>
    <row r="572" spans="1:7" hidden="1" x14ac:dyDescent="0.25">
      <c r="A572" s="12" t="s">
        <v>855</v>
      </c>
      <c r="B572" s="13" t="s">
        <v>856</v>
      </c>
      <c r="C572" s="14"/>
      <c r="D572" s="14"/>
      <c r="E572" s="15"/>
      <c r="F572" s="16"/>
      <c r="G572" s="8">
        <f t="shared" si="36"/>
        <v>0</v>
      </c>
    </row>
    <row r="573" spans="1:7" hidden="1" x14ac:dyDescent="0.25">
      <c r="A573" s="17" t="s">
        <v>857</v>
      </c>
      <c r="B573" s="18" t="s">
        <v>858</v>
      </c>
      <c r="C573" s="26" t="s">
        <v>683</v>
      </c>
      <c r="D573" s="14"/>
      <c r="E573" s="15"/>
      <c r="F573" s="16">
        <f>+D573*E573</f>
        <v>0</v>
      </c>
      <c r="G573" s="8">
        <f t="shared" si="36"/>
        <v>0</v>
      </c>
    </row>
    <row r="574" spans="1:7" hidden="1" x14ac:dyDescent="0.25">
      <c r="A574" s="17" t="s">
        <v>859</v>
      </c>
      <c r="B574" s="18" t="s">
        <v>860</v>
      </c>
      <c r="C574" s="14" t="s">
        <v>37</v>
      </c>
      <c r="D574" s="14"/>
      <c r="E574" s="15"/>
      <c r="F574" s="16">
        <f>+D574*E574</f>
        <v>0</v>
      </c>
      <c r="G574" s="8">
        <f t="shared" si="36"/>
        <v>0</v>
      </c>
    </row>
    <row r="575" spans="1:7" hidden="1" x14ac:dyDescent="0.25">
      <c r="A575" s="17" t="s">
        <v>861</v>
      </c>
      <c r="B575" s="18" t="s">
        <v>862</v>
      </c>
      <c r="C575" s="14" t="s">
        <v>37</v>
      </c>
      <c r="D575" s="14"/>
      <c r="E575" s="15"/>
      <c r="F575" s="16">
        <f>+D575*E575</f>
        <v>0</v>
      </c>
      <c r="G575" s="8">
        <f t="shared" si="36"/>
        <v>0</v>
      </c>
    </row>
    <row r="576" spans="1:7" x14ac:dyDescent="0.25">
      <c r="A576" s="2454" t="s">
        <v>863</v>
      </c>
      <c r="B576" s="2455"/>
      <c r="C576" s="2455"/>
      <c r="D576" s="2455"/>
      <c r="E576" s="2455"/>
      <c r="F576" s="16">
        <f>SUM(F548:F575)</f>
        <v>546854488</v>
      </c>
      <c r="G576" s="8">
        <f t="shared" si="36"/>
        <v>1</v>
      </c>
    </row>
    <row r="577" spans="1:7" x14ac:dyDescent="0.25">
      <c r="A577" s="458">
        <v>8</v>
      </c>
      <c r="B577" s="459" t="s">
        <v>6321</v>
      </c>
      <c r="C577" s="63"/>
      <c r="D577" s="63"/>
      <c r="E577" s="460"/>
      <c r="F577" s="461"/>
      <c r="G577" s="8">
        <v>1</v>
      </c>
    </row>
    <row r="578" spans="1:7" hidden="1" x14ac:dyDescent="0.25">
      <c r="A578" s="17" t="s">
        <v>814</v>
      </c>
      <c r="B578" s="13" t="s">
        <v>815</v>
      </c>
      <c r="C578" s="14"/>
      <c r="D578" s="14"/>
      <c r="E578" s="15"/>
      <c r="F578" s="16"/>
      <c r="G578" s="8">
        <f t="shared" si="36"/>
        <v>0</v>
      </c>
    </row>
    <row r="579" spans="1:7" hidden="1" x14ac:dyDescent="0.25">
      <c r="A579" s="17" t="s">
        <v>816</v>
      </c>
      <c r="B579" s="18" t="s">
        <v>819</v>
      </c>
      <c r="C579" s="26" t="s">
        <v>701</v>
      </c>
      <c r="D579" s="14"/>
      <c r="E579" s="15">
        <f>+'APU CAP 6'!H56</f>
        <v>843393</v>
      </c>
      <c r="F579" s="16">
        <f>+D579*E579</f>
        <v>0</v>
      </c>
      <c r="G579" s="8">
        <f t="shared" si="36"/>
        <v>0</v>
      </c>
    </row>
    <row r="580" spans="1:7" hidden="1" x14ac:dyDescent="0.25">
      <c r="A580" s="17" t="s">
        <v>817</v>
      </c>
      <c r="B580" s="18" t="s">
        <v>821</v>
      </c>
      <c r="C580" s="26" t="s">
        <v>701</v>
      </c>
      <c r="D580" s="14"/>
      <c r="E580" s="15">
        <f>+'APU CAP 6'!H110</f>
        <v>828993</v>
      </c>
      <c r="F580" s="16">
        <f>+D580*E580</f>
        <v>0</v>
      </c>
      <c r="G580" s="8">
        <f t="shared" si="36"/>
        <v>0</v>
      </c>
    </row>
    <row r="581" spans="1:7" hidden="1" x14ac:dyDescent="0.25">
      <c r="A581" s="17" t="s">
        <v>818</v>
      </c>
      <c r="B581" s="18" t="s">
        <v>820</v>
      </c>
      <c r="C581" s="26" t="s">
        <v>701</v>
      </c>
      <c r="D581" s="14"/>
      <c r="E581" s="15">
        <f>+'APU CAP 6'!H164</f>
        <v>933393</v>
      </c>
      <c r="F581" s="16">
        <f>+D581*E581</f>
        <v>0</v>
      </c>
      <c r="G581" s="8">
        <f t="shared" si="36"/>
        <v>0</v>
      </c>
    </row>
    <row r="582" spans="1:7" hidden="1" x14ac:dyDescent="0.25">
      <c r="A582" s="12" t="s">
        <v>822</v>
      </c>
      <c r="B582" s="13" t="s">
        <v>823</v>
      </c>
      <c r="C582" s="14"/>
      <c r="D582" s="14"/>
      <c r="E582" s="15"/>
      <c r="F582" s="16"/>
      <c r="G582" s="8">
        <f t="shared" si="36"/>
        <v>0</v>
      </c>
    </row>
    <row r="583" spans="1:7" hidden="1" x14ac:dyDescent="0.25">
      <c r="A583" s="17" t="s">
        <v>829</v>
      </c>
      <c r="B583" s="18" t="s">
        <v>824</v>
      </c>
      <c r="C583" s="14" t="s">
        <v>37</v>
      </c>
      <c r="D583" s="14"/>
      <c r="E583" s="15">
        <f>+'APU CAP 8'!H47</f>
        <v>42295</v>
      </c>
      <c r="F583" s="16">
        <f t="shared" ref="F583:F588" si="37">+D583*E583</f>
        <v>0</v>
      </c>
      <c r="G583" s="8">
        <f t="shared" si="36"/>
        <v>0</v>
      </c>
    </row>
    <row r="584" spans="1:7" hidden="1" x14ac:dyDescent="0.25">
      <c r="A584" s="17" t="s">
        <v>830</v>
      </c>
      <c r="B584" s="18" t="s">
        <v>825</v>
      </c>
      <c r="C584" s="14" t="s">
        <v>14</v>
      </c>
      <c r="D584" s="14"/>
      <c r="E584" s="15"/>
      <c r="F584" s="16">
        <f t="shared" si="37"/>
        <v>0</v>
      </c>
      <c r="G584" s="8">
        <f t="shared" si="36"/>
        <v>0</v>
      </c>
    </row>
    <row r="585" spans="1:7" hidden="1" x14ac:dyDescent="0.25">
      <c r="A585" s="17" t="s">
        <v>831</v>
      </c>
      <c r="B585" s="18" t="s">
        <v>826</v>
      </c>
      <c r="C585" s="14" t="s">
        <v>14</v>
      </c>
      <c r="D585" s="14"/>
      <c r="E585" s="15">
        <f>+'APU CAP 6'!H1298</f>
        <v>216755</v>
      </c>
      <c r="F585" s="16">
        <f t="shared" si="37"/>
        <v>0</v>
      </c>
      <c r="G585" s="8">
        <f t="shared" si="36"/>
        <v>0</v>
      </c>
    </row>
    <row r="586" spans="1:7" ht="25.5" hidden="1" x14ac:dyDescent="0.25">
      <c r="A586" s="17" t="s">
        <v>832</v>
      </c>
      <c r="B586" s="25" t="s">
        <v>827</v>
      </c>
      <c r="C586" s="14" t="s">
        <v>14</v>
      </c>
      <c r="D586" s="14"/>
      <c r="E586" s="15">
        <f>+'APU CAP 6'!H1352</f>
        <v>183033</v>
      </c>
      <c r="F586" s="16">
        <f t="shared" si="37"/>
        <v>0</v>
      </c>
      <c r="G586" s="8">
        <f t="shared" si="36"/>
        <v>0</v>
      </c>
    </row>
    <row r="587" spans="1:7" hidden="1" x14ac:dyDescent="0.25">
      <c r="A587" s="17" t="s">
        <v>833</v>
      </c>
      <c r="B587" s="18" t="s">
        <v>828</v>
      </c>
      <c r="C587" s="26" t="s">
        <v>683</v>
      </c>
      <c r="D587" s="14"/>
      <c r="E587" s="15">
        <f>+'APU CAP 6'!P1298</f>
        <v>339447</v>
      </c>
      <c r="F587" s="16">
        <f t="shared" si="37"/>
        <v>0</v>
      </c>
      <c r="G587" s="8">
        <f t="shared" ref="G587:G610" si="38">+IF(F587&lt;&gt;0,1,0)</f>
        <v>0</v>
      </c>
    </row>
    <row r="588" spans="1:7" hidden="1" x14ac:dyDescent="0.25">
      <c r="A588" s="17" t="s">
        <v>834</v>
      </c>
      <c r="B588" s="592" t="s">
        <v>6295</v>
      </c>
      <c r="C588" s="14" t="s">
        <v>37</v>
      </c>
      <c r="D588" s="14"/>
      <c r="E588" s="15">
        <f>+'APU CAP 8'!H151</f>
        <v>35914</v>
      </c>
      <c r="F588" s="16">
        <f t="shared" si="37"/>
        <v>0</v>
      </c>
      <c r="G588" s="8">
        <f t="shared" si="38"/>
        <v>0</v>
      </c>
    </row>
    <row r="589" spans="1:7" x14ac:dyDescent="0.25">
      <c r="A589" s="12" t="s">
        <v>835</v>
      </c>
      <c r="B589" s="13" t="s">
        <v>6401</v>
      </c>
      <c r="C589" s="14"/>
      <c r="D589" s="14"/>
      <c r="E589" s="15"/>
      <c r="F589" s="16"/>
      <c r="G589" s="8">
        <v>1</v>
      </c>
    </row>
    <row r="590" spans="1:7" x14ac:dyDescent="0.25">
      <c r="A590" s="17" t="s">
        <v>836</v>
      </c>
      <c r="B590" s="18" t="s">
        <v>6403</v>
      </c>
      <c r="C590" s="14" t="s">
        <v>6406</v>
      </c>
      <c r="D590" s="14">
        <f>45*11+10*12</f>
        <v>615</v>
      </c>
      <c r="E590" s="15">
        <f>+'APU CAP 8'!H580</f>
        <v>1615</v>
      </c>
      <c r="F590" s="16">
        <f>+D590*E590</f>
        <v>993225</v>
      </c>
      <c r="G590" s="8">
        <f t="shared" si="38"/>
        <v>1</v>
      </c>
    </row>
    <row r="591" spans="1:7" x14ac:dyDescent="0.25">
      <c r="A591" s="17" t="s">
        <v>837</v>
      </c>
      <c r="B591" s="18" t="s">
        <v>6402</v>
      </c>
      <c r="C591" s="14" t="s">
        <v>6406</v>
      </c>
      <c r="D591" s="14">
        <f>2593*6</f>
        <v>15558</v>
      </c>
      <c r="E591" s="15">
        <f>+'APU CAP 8'!H634</f>
        <v>2651</v>
      </c>
      <c r="F591" s="16">
        <f>+D591*E591</f>
        <v>41244258</v>
      </c>
      <c r="G591" s="8">
        <f t="shared" si="38"/>
        <v>1</v>
      </c>
    </row>
    <row r="592" spans="1:7" x14ac:dyDescent="0.25">
      <c r="A592" s="17" t="s">
        <v>838</v>
      </c>
      <c r="B592" s="18" t="s">
        <v>6404</v>
      </c>
      <c r="C592" s="14" t="s">
        <v>6406</v>
      </c>
      <c r="D592" s="14">
        <f>2849*4</f>
        <v>11396</v>
      </c>
      <c r="E592" s="15">
        <f>+'APU CAP 8'!H688</f>
        <v>3619</v>
      </c>
      <c r="F592" s="16">
        <f>+D592*E592</f>
        <v>41242124</v>
      </c>
      <c r="G592" s="8">
        <f t="shared" si="38"/>
        <v>1</v>
      </c>
    </row>
    <row r="593" spans="1:7" x14ac:dyDescent="0.25">
      <c r="A593" s="17" t="s">
        <v>6508</v>
      </c>
      <c r="B593" s="18" t="s">
        <v>6405</v>
      </c>
      <c r="C593" s="14" t="s">
        <v>6407</v>
      </c>
      <c r="D593" s="14">
        <v>250</v>
      </c>
      <c r="E593" s="15">
        <f>+'APU CAP 8'!H742</f>
        <v>2935</v>
      </c>
      <c r="F593" s="16">
        <f>+D593*E593</f>
        <v>733750</v>
      </c>
      <c r="G593" s="8">
        <f t="shared" si="38"/>
        <v>1</v>
      </c>
    </row>
    <row r="594" spans="1:7" x14ac:dyDescent="0.25">
      <c r="A594" s="12" t="s">
        <v>6322</v>
      </c>
      <c r="B594" s="13" t="s">
        <v>6329</v>
      </c>
      <c r="C594" s="14"/>
      <c r="D594" s="14"/>
      <c r="E594" s="15"/>
      <c r="F594" s="16"/>
      <c r="G594" s="8">
        <v>1</v>
      </c>
    </row>
    <row r="595" spans="1:7" x14ac:dyDescent="0.25">
      <c r="A595" s="17" t="s">
        <v>6323</v>
      </c>
      <c r="B595" s="18" t="s">
        <v>6330</v>
      </c>
      <c r="C595" s="14" t="s">
        <v>37</v>
      </c>
      <c r="D595" s="14">
        <v>340</v>
      </c>
      <c r="E595" s="15">
        <f>+'APU CAP 8'!H205</f>
        <v>85996</v>
      </c>
      <c r="F595" s="16">
        <f t="shared" ref="F595:F604" si="39">+D595*E595</f>
        <v>29238640</v>
      </c>
      <c r="G595" s="8">
        <f t="shared" si="38"/>
        <v>1</v>
      </c>
    </row>
    <row r="596" spans="1:7" x14ac:dyDescent="0.25">
      <c r="A596" s="17" t="s">
        <v>6324</v>
      </c>
      <c r="B596" s="18" t="s">
        <v>6331</v>
      </c>
      <c r="C596" s="14" t="s">
        <v>37</v>
      </c>
      <c r="D596" s="14">
        <v>460</v>
      </c>
      <c r="E596" s="15">
        <f>+'APU CAP 8'!H259</f>
        <v>102712</v>
      </c>
      <c r="F596" s="16">
        <f t="shared" si="39"/>
        <v>47247520</v>
      </c>
      <c r="G596" s="8">
        <f t="shared" si="38"/>
        <v>1</v>
      </c>
    </row>
    <row r="597" spans="1:7" x14ac:dyDescent="0.25">
      <c r="A597" s="17" t="s">
        <v>6325</v>
      </c>
      <c r="B597" s="18" t="s">
        <v>6335</v>
      </c>
      <c r="C597" s="14" t="s">
        <v>37</v>
      </c>
      <c r="D597" s="615">
        <v>20</v>
      </c>
      <c r="E597" s="616">
        <f>+'APU CAP 8'!P205</f>
        <v>137566</v>
      </c>
      <c r="F597" s="16">
        <f t="shared" si="39"/>
        <v>2751320</v>
      </c>
      <c r="G597" s="8">
        <f t="shared" si="38"/>
        <v>1</v>
      </c>
    </row>
    <row r="598" spans="1:7" x14ac:dyDescent="0.25">
      <c r="A598" s="17" t="s">
        <v>6332</v>
      </c>
      <c r="B598" s="18" t="s">
        <v>6336</v>
      </c>
      <c r="C598" s="14" t="s">
        <v>37</v>
      </c>
      <c r="D598" s="615">
        <v>11</v>
      </c>
      <c r="E598" s="616">
        <f>+'APU CAP 8'!P259</f>
        <v>151540</v>
      </c>
      <c r="F598" s="16">
        <f t="shared" si="39"/>
        <v>1666940</v>
      </c>
      <c r="G598" s="8">
        <f t="shared" si="38"/>
        <v>1</v>
      </c>
    </row>
    <row r="599" spans="1:7" x14ac:dyDescent="0.25">
      <c r="A599" s="17" t="s">
        <v>6380</v>
      </c>
      <c r="B599" s="13" t="s">
        <v>6513</v>
      </c>
      <c r="C599" s="14"/>
      <c r="D599" s="14"/>
      <c r="E599" s="15"/>
      <c r="F599" s="16"/>
      <c r="G599" s="8">
        <v>1</v>
      </c>
    </row>
    <row r="600" spans="1:7" x14ac:dyDescent="0.25">
      <c r="A600" s="17" t="s">
        <v>6511</v>
      </c>
      <c r="B600" s="18" t="s">
        <v>6514</v>
      </c>
      <c r="C600" s="14" t="s">
        <v>37</v>
      </c>
      <c r="D600" s="14">
        <f>750*1.2</f>
        <v>900</v>
      </c>
      <c r="E600" s="15">
        <v>150000</v>
      </c>
      <c r="F600" s="16">
        <f t="shared" si="39"/>
        <v>135000000</v>
      </c>
      <c r="G600" s="8">
        <f t="shared" si="38"/>
        <v>1</v>
      </c>
    </row>
    <row r="601" spans="1:7" x14ac:dyDescent="0.25">
      <c r="A601" s="17" t="s">
        <v>6512</v>
      </c>
      <c r="B601" s="18" t="s">
        <v>6515</v>
      </c>
      <c r="C601" s="14" t="s">
        <v>37</v>
      </c>
      <c r="D601" s="14">
        <f>760*1.2</f>
        <v>912</v>
      </c>
      <c r="E601" s="15">
        <v>150000</v>
      </c>
      <c r="F601" s="16">
        <f t="shared" si="39"/>
        <v>136800000</v>
      </c>
      <c r="G601" s="8">
        <f t="shared" si="38"/>
        <v>1</v>
      </c>
    </row>
    <row r="602" spans="1:7" x14ac:dyDescent="0.25">
      <c r="A602" s="17" t="s">
        <v>6381</v>
      </c>
      <c r="B602" s="18" t="s">
        <v>6390</v>
      </c>
      <c r="C602" s="14" t="s">
        <v>6540</v>
      </c>
      <c r="D602" s="14">
        <v>1</v>
      </c>
      <c r="E602" s="15">
        <f>+'APU CAP 8'!H526*2.5</f>
        <v>5341402.5</v>
      </c>
      <c r="F602" s="16">
        <f t="shared" si="39"/>
        <v>5341402.5</v>
      </c>
      <c r="G602" s="8">
        <f t="shared" si="38"/>
        <v>1</v>
      </c>
    </row>
    <row r="603" spans="1:7" x14ac:dyDescent="0.25">
      <c r="A603" s="17" t="s">
        <v>6509</v>
      </c>
      <c r="B603" s="18" t="s">
        <v>6384</v>
      </c>
      <c r="C603" s="14" t="s">
        <v>14</v>
      </c>
      <c r="D603" s="14">
        <v>12164</v>
      </c>
      <c r="E603" s="15">
        <f>+'APU CAP 8'!H472</f>
        <v>46105</v>
      </c>
      <c r="F603" s="16">
        <f t="shared" si="39"/>
        <v>560821220</v>
      </c>
      <c r="G603" s="8">
        <f t="shared" si="38"/>
        <v>1</v>
      </c>
    </row>
    <row r="604" spans="1:7" hidden="1" x14ac:dyDescent="0.25">
      <c r="A604" s="17" t="s">
        <v>6510</v>
      </c>
      <c r="B604" s="18" t="s">
        <v>6385</v>
      </c>
      <c r="C604" s="14" t="s">
        <v>37</v>
      </c>
      <c r="D604" s="14"/>
      <c r="E604" s="15">
        <f>+'APU CAP 8'!P472</f>
        <v>49839</v>
      </c>
      <c r="F604" s="16">
        <f t="shared" si="39"/>
        <v>0</v>
      </c>
      <c r="G604" s="8">
        <f t="shared" si="38"/>
        <v>0</v>
      </c>
    </row>
    <row r="605" spans="1:7" ht="15.75" thickBot="1" x14ac:dyDescent="0.3">
      <c r="A605" s="2456" t="s">
        <v>844</v>
      </c>
      <c r="B605" s="2457"/>
      <c r="C605" s="2457"/>
      <c r="D605" s="2457"/>
      <c r="E605" s="2457"/>
      <c r="F605" s="322">
        <f>SUM(F579:F604)</f>
        <v>1003080399.5</v>
      </c>
      <c r="G605" s="8">
        <f t="shared" si="38"/>
        <v>1</v>
      </c>
    </row>
    <row r="606" spans="1:7" ht="15.75" thickBot="1" x14ac:dyDescent="0.3">
      <c r="A606" s="33"/>
      <c r="B606" s="2458" t="s">
        <v>5415</v>
      </c>
      <c r="C606" s="2458"/>
      <c r="D606" s="2458"/>
      <c r="E606" s="2459"/>
      <c r="F606" s="34">
        <f>+F28+F62+F69+F80+F93+F417+F484+F545+F576+F605</f>
        <v>2716173628.5</v>
      </c>
      <c r="G606" s="8">
        <f t="shared" si="38"/>
        <v>1</v>
      </c>
    </row>
    <row r="607" spans="1:7" ht="15.75" hidden="1" thickBot="1" x14ac:dyDescent="0.3">
      <c r="A607" s="35"/>
      <c r="B607" s="36"/>
      <c r="C607" s="35"/>
      <c r="D607" s="37"/>
      <c r="E607" s="38"/>
      <c r="F607" s="38"/>
      <c r="G607" s="8">
        <f t="shared" si="38"/>
        <v>0</v>
      </c>
    </row>
    <row r="608" spans="1:7" ht="16.5" thickBot="1" x14ac:dyDescent="0.3">
      <c r="A608" s="39"/>
      <c r="B608" s="2460" t="s">
        <v>46</v>
      </c>
      <c r="C608" s="2460"/>
      <c r="D608" s="2460"/>
      <c r="E608" s="2461"/>
      <c r="F608" s="40">
        <f>+F606+'Pto Sum LC'!F2428</f>
        <v>4352184913.5</v>
      </c>
      <c r="G608" s="8">
        <f t="shared" si="38"/>
        <v>1</v>
      </c>
    </row>
    <row r="609" spans="1:7" hidden="1" x14ac:dyDescent="0.25">
      <c r="A609" s="35"/>
      <c r="B609" s="36"/>
      <c r="C609" s="35"/>
      <c r="D609" s="37"/>
      <c r="E609" s="38"/>
      <c r="F609" s="38"/>
      <c r="G609" s="8">
        <f t="shared" si="38"/>
        <v>0</v>
      </c>
    </row>
    <row r="610" spans="1:7" hidden="1" x14ac:dyDescent="0.25">
      <c r="G610" s="8">
        <f t="shared" si="38"/>
        <v>0</v>
      </c>
    </row>
  </sheetData>
  <autoFilter ref="A7:G610">
    <filterColumn colId="6">
      <filters>
        <filter val="1"/>
      </filters>
    </filterColumn>
  </autoFilter>
  <mergeCells count="17">
    <mergeCell ref="A62:E62"/>
    <mergeCell ref="A417:E417"/>
    <mergeCell ref="A93:E93"/>
    <mergeCell ref="A69:E69"/>
    <mergeCell ref="A484:E484"/>
    <mergeCell ref="A80:E80"/>
    <mergeCell ref="A1:F1"/>
    <mergeCell ref="A2:F2"/>
    <mergeCell ref="A4:F4"/>
    <mergeCell ref="A5:F5"/>
    <mergeCell ref="A28:E28"/>
    <mergeCell ref="A3:F3"/>
    <mergeCell ref="A605:E605"/>
    <mergeCell ref="B606:E606"/>
    <mergeCell ref="B608:E608"/>
    <mergeCell ref="A545:E545"/>
    <mergeCell ref="A576:E576"/>
  </mergeCell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filterMode="1"/>
  <dimension ref="A1:G2428"/>
  <sheetViews>
    <sheetView workbookViewId="0">
      <selection sqref="A1:F1"/>
    </sheetView>
  </sheetViews>
  <sheetFormatPr baseColWidth="10" defaultRowHeight="15" x14ac:dyDescent="0.25"/>
  <cols>
    <col min="2" max="2" width="53.5703125" customWidth="1"/>
    <col min="6" max="6" width="14.85546875" customWidth="1"/>
  </cols>
  <sheetData>
    <row r="1" spans="1:7" ht="18.75" x14ac:dyDescent="0.25">
      <c r="A1" s="2462" t="s">
        <v>0</v>
      </c>
      <c r="B1" s="2462"/>
      <c r="C1" s="2462"/>
      <c r="D1" s="2462"/>
      <c r="E1" s="2462"/>
      <c r="F1" s="2462"/>
      <c r="G1" s="1"/>
    </row>
    <row r="2" spans="1:7" ht="18.75" x14ac:dyDescent="0.25">
      <c r="A2" s="2463" t="s">
        <v>1</v>
      </c>
      <c r="B2" s="2463"/>
      <c r="C2" s="2463"/>
      <c r="D2" s="2463"/>
      <c r="E2" s="2463"/>
      <c r="F2" s="2463"/>
      <c r="G2" s="1"/>
    </row>
    <row r="3" spans="1:7" x14ac:dyDescent="0.25">
      <c r="A3" s="2"/>
      <c r="B3" s="2"/>
      <c r="C3" s="2"/>
      <c r="D3" s="1"/>
      <c r="E3" s="1"/>
      <c r="F3" s="1"/>
      <c r="G3" s="1"/>
    </row>
    <row r="4" spans="1:7" ht="15.75" x14ac:dyDescent="0.25">
      <c r="A4" s="2278"/>
      <c r="B4" s="2278"/>
      <c r="C4" s="2278"/>
      <c r="D4" s="2278"/>
      <c r="E4" s="2278"/>
      <c r="F4" s="2278"/>
      <c r="G4" s="1"/>
    </row>
    <row r="5" spans="1:7" ht="15.75" x14ac:dyDescent="0.25">
      <c r="A5" s="2278" t="s">
        <v>5398</v>
      </c>
      <c r="B5" s="2278"/>
      <c r="C5" s="2278"/>
      <c r="D5" s="2278"/>
      <c r="E5" s="2278"/>
      <c r="F5" s="2278"/>
    </row>
    <row r="6" spans="1:7" ht="16.5" thickBot="1" x14ac:dyDescent="0.3">
      <c r="A6" s="108"/>
      <c r="B6" s="108"/>
      <c r="C6" s="108"/>
      <c r="D6" s="108"/>
      <c r="E6" s="108"/>
      <c r="F6" s="108"/>
    </row>
    <row r="7" spans="1:7" ht="15.75" thickBot="1" x14ac:dyDescent="0.3">
      <c r="A7" s="4" t="s">
        <v>3</v>
      </c>
      <c r="B7" s="5" t="s">
        <v>4</v>
      </c>
      <c r="C7" s="5" t="s">
        <v>5</v>
      </c>
      <c r="D7" s="5" t="s">
        <v>6</v>
      </c>
      <c r="E7" s="6" t="s">
        <v>7</v>
      </c>
      <c r="F7" s="7" t="s">
        <v>8</v>
      </c>
      <c r="G7" s="8"/>
    </row>
    <row r="8" spans="1:7" x14ac:dyDescent="0.25">
      <c r="A8" s="57">
        <v>3</v>
      </c>
      <c r="B8" s="58" t="s">
        <v>32</v>
      </c>
      <c r="C8" s="9"/>
      <c r="D8" s="9"/>
      <c r="E8" s="10"/>
      <c r="F8" s="11"/>
      <c r="G8" s="8">
        <v>1</v>
      </c>
    </row>
    <row r="9" spans="1:7" hidden="1" x14ac:dyDescent="0.25">
      <c r="A9" s="78" t="s">
        <v>871</v>
      </c>
      <c r="B9" s="79" t="s">
        <v>872</v>
      </c>
      <c r="C9" s="26"/>
      <c r="D9" s="14"/>
      <c r="E9" s="15"/>
      <c r="F9" s="16"/>
      <c r="G9">
        <f t="shared" ref="G9:G72" si="0">+IF(F9&lt;&gt;0,1,0)</f>
        <v>0</v>
      </c>
    </row>
    <row r="10" spans="1:7" hidden="1" x14ac:dyDescent="0.25">
      <c r="A10" s="65" t="s">
        <v>873</v>
      </c>
      <c r="B10" s="66" t="s">
        <v>1078</v>
      </c>
      <c r="C10" s="67"/>
      <c r="D10" s="14"/>
      <c r="E10" s="15"/>
      <c r="F10" s="16"/>
      <c r="G10">
        <f t="shared" si="0"/>
        <v>0</v>
      </c>
    </row>
    <row r="11" spans="1:7" hidden="1" x14ac:dyDescent="0.25">
      <c r="A11" s="65" t="s">
        <v>1077</v>
      </c>
      <c r="B11" s="66" t="s">
        <v>1079</v>
      </c>
      <c r="C11" s="67"/>
      <c r="D11" s="14"/>
      <c r="E11" s="15"/>
      <c r="F11" s="16"/>
      <c r="G11">
        <f t="shared" si="0"/>
        <v>0</v>
      </c>
    </row>
    <row r="12" spans="1:7" hidden="1" x14ac:dyDescent="0.25">
      <c r="A12" s="71" t="s">
        <v>1082</v>
      </c>
      <c r="B12" s="72" t="s">
        <v>1080</v>
      </c>
      <c r="C12" s="67" t="s">
        <v>14</v>
      </c>
      <c r="D12" s="14"/>
      <c r="E12" s="15"/>
      <c r="F12" s="16">
        <f>+D12*E12</f>
        <v>0</v>
      </c>
      <c r="G12">
        <f t="shared" si="0"/>
        <v>0</v>
      </c>
    </row>
    <row r="13" spans="1:7" hidden="1" x14ac:dyDescent="0.25">
      <c r="A13" s="65" t="s">
        <v>1081</v>
      </c>
      <c r="B13" s="66" t="s">
        <v>1083</v>
      </c>
      <c r="C13" s="67"/>
      <c r="D13" s="14"/>
      <c r="E13" s="15"/>
      <c r="F13" s="16"/>
      <c r="G13">
        <f t="shared" si="0"/>
        <v>0</v>
      </c>
    </row>
    <row r="14" spans="1:7" hidden="1" x14ac:dyDescent="0.25">
      <c r="A14" s="65" t="s">
        <v>1089</v>
      </c>
      <c r="B14" s="72" t="s">
        <v>1084</v>
      </c>
      <c r="C14" s="67" t="s">
        <v>14</v>
      </c>
      <c r="D14" s="14"/>
      <c r="E14" s="15"/>
      <c r="F14" s="16">
        <f>+D14*E14</f>
        <v>0</v>
      </c>
      <c r="G14">
        <f t="shared" si="0"/>
        <v>0</v>
      </c>
    </row>
    <row r="15" spans="1:7" hidden="1" x14ac:dyDescent="0.25">
      <c r="A15" s="65" t="s">
        <v>1088</v>
      </c>
      <c r="B15" s="66" t="s">
        <v>1085</v>
      </c>
      <c r="C15" s="67"/>
      <c r="D15" s="14"/>
      <c r="E15" s="15"/>
      <c r="F15" s="16"/>
      <c r="G15">
        <f t="shared" si="0"/>
        <v>0</v>
      </c>
    </row>
    <row r="16" spans="1:7" hidden="1" x14ac:dyDescent="0.25">
      <c r="A16" s="71" t="s">
        <v>1090</v>
      </c>
      <c r="B16" s="72" t="s">
        <v>1087</v>
      </c>
      <c r="C16" s="67" t="s">
        <v>14</v>
      </c>
      <c r="D16" s="14"/>
      <c r="E16" s="15"/>
      <c r="F16" s="16">
        <f>+D16*E16</f>
        <v>0</v>
      </c>
      <c r="G16">
        <f t="shared" si="0"/>
        <v>0</v>
      </c>
    </row>
    <row r="17" spans="1:7" hidden="1" x14ac:dyDescent="0.25">
      <c r="A17" s="71" t="s">
        <v>1091</v>
      </c>
      <c r="B17" s="72" t="s">
        <v>1086</v>
      </c>
      <c r="C17" s="67" t="s">
        <v>14</v>
      </c>
      <c r="D17" s="14"/>
      <c r="E17" s="15"/>
      <c r="F17" s="16">
        <f>+D17*E17</f>
        <v>0</v>
      </c>
      <c r="G17">
        <f t="shared" si="0"/>
        <v>0</v>
      </c>
    </row>
    <row r="18" spans="1:7" hidden="1" x14ac:dyDescent="0.25">
      <c r="A18" s="65" t="s">
        <v>874</v>
      </c>
      <c r="B18" s="66" t="s">
        <v>875</v>
      </c>
      <c r="C18" s="67"/>
      <c r="D18" s="14"/>
      <c r="E18" s="15"/>
      <c r="F18" s="16"/>
      <c r="G18">
        <f t="shared" si="0"/>
        <v>0</v>
      </c>
    </row>
    <row r="19" spans="1:7" hidden="1" x14ac:dyDescent="0.25">
      <c r="A19" s="71" t="s">
        <v>1093</v>
      </c>
      <c r="B19" s="72" t="s">
        <v>1096</v>
      </c>
      <c r="C19" s="67" t="s">
        <v>14</v>
      </c>
      <c r="D19" s="14"/>
      <c r="E19" s="15"/>
      <c r="F19" s="16">
        <f>+D19*E19</f>
        <v>0</v>
      </c>
      <c r="G19">
        <f t="shared" si="0"/>
        <v>0</v>
      </c>
    </row>
    <row r="20" spans="1:7" hidden="1" x14ac:dyDescent="0.25">
      <c r="A20" s="71" t="s">
        <v>876</v>
      </c>
      <c r="B20" s="72" t="s">
        <v>1092</v>
      </c>
      <c r="C20" s="67" t="s">
        <v>14</v>
      </c>
      <c r="D20" s="14"/>
      <c r="E20" s="15"/>
      <c r="F20" s="16">
        <f>+D20*E20</f>
        <v>0</v>
      </c>
      <c r="G20">
        <f t="shared" si="0"/>
        <v>0</v>
      </c>
    </row>
    <row r="21" spans="1:7" hidden="1" x14ac:dyDescent="0.25">
      <c r="A21" s="71" t="s">
        <v>1094</v>
      </c>
      <c r="B21" s="72" t="s">
        <v>1097</v>
      </c>
      <c r="C21" s="67" t="s">
        <v>14</v>
      </c>
      <c r="D21" s="14"/>
      <c r="E21" s="15"/>
      <c r="F21" s="16">
        <f>+D21*E21</f>
        <v>0</v>
      </c>
      <c r="G21">
        <f t="shared" si="0"/>
        <v>0</v>
      </c>
    </row>
    <row r="22" spans="1:7" hidden="1" x14ac:dyDescent="0.25">
      <c r="A22" s="71" t="s">
        <v>1095</v>
      </c>
      <c r="B22" s="72" t="s">
        <v>1098</v>
      </c>
      <c r="C22" s="67" t="s">
        <v>14</v>
      </c>
      <c r="D22" s="14"/>
      <c r="E22" s="15"/>
      <c r="F22" s="16">
        <f>+D22*E22</f>
        <v>0</v>
      </c>
      <c r="G22">
        <f t="shared" si="0"/>
        <v>0</v>
      </c>
    </row>
    <row r="23" spans="1:7" hidden="1" x14ac:dyDescent="0.25">
      <c r="A23" s="78" t="s">
        <v>877</v>
      </c>
      <c r="B23" s="79" t="s">
        <v>878</v>
      </c>
      <c r="C23" s="26"/>
      <c r="D23" s="14"/>
      <c r="E23" s="15"/>
      <c r="F23" s="16"/>
      <c r="G23">
        <f t="shared" si="0"/>
        <v>0</v>
      </c>
    </row>
    <row r="24" spans="1:7" hidden="1" x14ac:dyDescent="0.25">
      <c r="A24" s="44" t="s">
        <v>879</v>
      </c>
      <c r="B24" s="80" t="s">
        <v>880</v>
      </c>
      <c r="C24" s="14"/>
      <c r="D24" s="14"/>
      <c r="E24" s="15"/>
      <c r="F24" s="16"/>
      <c r="G24">
        <f t="shared" si="0"/>
        <v>0</v>
      </c>
    </row>
    <row r="25" spans="1:7" hidden="1" x14ac:dyDescent="0.25">
      <c r="A25" s="43" t="s">
        <v>881</v>
      </c>
      <c r="B25" s="81" t="s">
        <v>1099</v>
      </c>
      <c r="C25" s="14" t="s">
        <v>14</v>
      </c>
      <c r="D25" s="14"/>
      <c r="E25" s="15"/>
      <c r="F25" s="16">
        <f t="shared" ref="F25:F37" si="1">+D25*E25</f>
        <v>0</v>
      </c>
      <c r="G25">
        <f t="shared" si="0"/>
        <v>0</v>
      </c>
    </row>
    <row r="26" spans="1:7" hidden="1" x14ac:dyDescent="0.25">
      <c r="A26" s="43" t="s">
        <v>1100</v>
      </c>
      <c r="B26" s="81" t="s">
        <v>1102</v>
      </c>
      <c r="C26" s="14" t="s">
        <v>14</v>
      </c>
      <c r="D26" s="14"/>
      <c r="E26" s="15"/>
      <c r="F26" s="16">
        <f t="shared" si="1"/>
        <v>0</v>
      </c>
      <c r="G26">
        <f t="shared" si="0"/>
        <v>0</v>
      </c>
    </row>
    <row r="27" spans="1:7" hidden="1" x14ac:dyDescent="0.25">
      <c r="A27" s="43" t="s">
        <v>882</v>
      </c>
      <c r="B27" s="81" t="s">
        <v>1103</v>
      </c>
      <c r="C27" s="14" t="s">
        <v>14</v>
      </c>
      <c r="D27" s="14"/>
      <c r="E27" s="15"/>
      <c r="F27" s="16">
        <f t="shared" si="1"/>
        <v>0</v>
      </c>
      <c r="G27">
        <f t="shared" si="0"/>
        <v>0</v>
      </c>
    </row>
    <row r="28" spans="1:7" hidden="1" x14ac:dyDescent="0.25">
      <c r="A28" s="43" t="s">
        <v>1101</v>
      </c>
      <c r="B28" s="81" t="s">
        <v>1104</v>
      </c>
      <c r="C28" s="14" t="s">
        <v>14</v>
      </c>
      <c r="D28" s="14"/>
      <c r="E28" s="15"/>
      <c r="F28" s="16">
        <f t="shared" si="1"/>
        <v>0</v>
      </c>
      <c r="G28">
        <f t="shared" si="0"/>
        <v>0</v>
      </c>
    </row>
    <row r="29" spans="1:7" hidden="1" x14ac:dyDescent="0.25">
      <c r="A29" s="43" t="s">
        <v>883</v>
      </c>
      <c r="B29" s="81" t="s">
        <v>1105</v>
      </c>
      <c r="C29" s="14" t="s">
        <v>14</v>
      </c>
      <c r="D29" s="14"/>
      <c r="E29" s="15"/>
      <c r="F29" s="16">
        <f t="shared" si="1"/>
        <v>0</v>
      </c>
      <c r="G29">
        <f t="shared" si="0"/>
        <v>0</v>
      </c>
    </row>
    <row r="30" spans="1:7" hidden="1" x14ac:dyDescent="0.25">
      <c r="A30" s="43" t="s">
        <v>884</v>
      </c>
      <c r="B30" s="81" t="s">
        <v>1106</v>
      </c>
      <c r="C30" s="14" t="s">
        <v>14</v>
      </c>
      <c r="D30" s="14"/>
      <c r="E30" s="15"/>
      <c r="F30" s="16">
        <f t="shared" si="1"/>
        <v>0</v>
      </c>
      <c r="G30">
        <f t="shared" si="0"/>
        <v>0</v>
      </c>
    </row>
    <row r="31" spans="1:7" hidden="1" x14ac:dyDescent="0.25">
      <c r="A31" s="43" t="s">
        <v>885</v>
      </c>
      <c r="B31" s="81" t="s">
        <v>1107</v>
      </c>
      <c r="C31" s="14" t="s">
        <v>14</v>
      </c>
      <c r="D31" s="14"/>
      <c r="E31" s="15"/>
      <c r="F31" s="16">
        <f t="shared" si="1"/>
        <v>0</v>
      </c>
      <c r="G31">
        <f t="shared" si="0"/>
        <v>0</v>
      </c>
    </row>
    <row r="32" spans="1:7" hidden="1" x14ac:dyDescent="0.25">
      <c r="A32" s="43" t="s">
        <v>886</v>
      </c>
      <c r="B32" s="81" t="s">
        <v>1108</v>
      </c>
      <c r="C32" s="14" t="s">
        <v>14</v>
      </c>
      <c r="D32" s="14"/>
      <c r="E32" s="15"/>
      <c r="F32" s="16">
        <f t="shared" si="1"/>
        <v>0</v>
      </c>
      <c r="G32">
        <f t="shared" si="0"/>
        <v>0</v>
      </c>
    </row>
    <row r="33" spans="1:7" hidden="1" x14ac:dyDescent="0.25">
      <c r="A33" s="43" t="s">
        <v>1109</v>
      </c>
      <c r="B33" s="81" t="s">
        <v>1113</v>
      </c>
      <c r="C33" s="14" t="s">
        <v>14</v>
      </c>
      <c r="D33" s="14"/>
      <c r="E33" s="15"/>
      <c r="F33" s="16">
        <f t="shared" si="1"/>
        <v>0</v>
      </c>
      <c r="G33">
        <f t="shared" si="0"/>
        <v>0</v>
      </c>
    </row>
    <row r="34" spans="1:7" hidden="1" x14ac:dyDescent="0.25">
      <c r="A34" s="43" t="s">
        <v>1110</v>
      </c>
      <c r="B34" s="81" t="s">
        <v>1114</v>
      </c>
      <c r="C34" s="14" t="s">
        <v>14</v>
      </c>
      <c r="D34" s="14"/>
      <c r="E34" s="15"/>
      <c r="F34" s="16">
        <f t="shared" si="1"/>
        <v>0</v>
      </c>
      <c r="G34">
        <f t="shared" si="0"/>
        <v>0</v>
      </c>
    </row>
    <row r="35" spans="1:7" hidden="1" x14ac:dyDescent="0.25">
      <c r="A35" s="43" t="s">
        <v>1111</v>
      </c>
      <c r="B35" s="81" t="s">
        <v>1115</v>
      </c>
      <c r="C35" s="14" t="s">
        <v>14</v>
      </c>
      <c r="D35" s="14"/>
      <c r="E35" s="15"/>
      <c r="F35" s="16">
        <f t="shared" si="1"/>
        <v>0</v>
      </c>
      <c r="G35">
        <f t="shared" si="0"/>
        <v>0</v>
      </c>
    </row>
    <row r="36" spans="1:7" hidden="1" x14ac:dyDescent="0.25">
      <c r="A36" s="43" t="s">
        <v>1112</v>
      </c>
      <c r="B36" s="81" t="s">
        <v>1116</v>
      </c>
      <c r="C36" s="14" t="s">
        <v>14</v>
      </c>
      <c r="D36" s="14"/>
      <c r="E36" s="15"/>
      <c r="F36" s="16">
        <f t="shared" si="1"/>
        <v>0</v>
      </c>
      <c r="G36">
        <f t="shared" si="0"/>
        <v>0</v>
      </c>
    </row>
    <row r="37" spans="1:7" hidden="1" x14ac:dyDescent="0.25">
      <c r="A37" s="43" t="s">
        <v>1117</v>
      </c>
      <c r="B37" s="81" t="s">
        <v>1118</v>
      </c>
      <c r="C37" s="14" t="s">
        <v>14</v>
      </c>
      <c r="D37" s="14"/>
      <c r="E37" s="15"/>
      <c r="F37" s="16">
        <f t="shared" si="1"/>
        <v>0</v>
      </c>
      <c r="G37">
        <f t="shared" si="0"/>
        <v>0</v>
      </c>
    </row>
    <row r="38" spans="1:7" hidden="1" x14ac:dyDescent="0.25">
      <c r="A38" s="44" t="s">
        <v>1119</v>
      </c>
      <c r="B38" s="80" t="s">
        <v>1148</v>
      </c>
      <c r="C38" s="14"/>
      <c r="D38" s="14"/>
      <c r="E38" s="15"/>
      <c r="F38" s="16"/>
      <c r="G38">
        <f t="shared" si="0"/>
        <v>0</v>
      </c>
    </row>
    <row r="39" spans="1:7" hidden="1" x14ac:dyDescent="0.25">
      <c r="A39" s="43" t="s">
        <v>1120</v>
      </c>
      <c r="B39" s="81" t="s">
        <v>1121</v>
      </c>
      <c r="C39" s="14" t="s">
        <v>14</v>
      </c>
      <c r="D39" s="14"/>
      <c r="E39" s="15"/>
      <c r="F39" s="16">
        <f t="shared" ref="F39:F77" si="2">+D39*E39</f>
        <v>0</v>
      </c>
      <c r="G39">
        <f t="shared" si="0"/>
        <v>0</v>
      </c>
    </row>
    <row r="40" spans="1:7" hidden="1" x14ac:dyDescent="0.25">
      <c r="A40" s="43" t="s">
        <v>1134</v>
      </c>
      <c r="B40" s="81" t="s">
        <v>1122</v>
      </c>
      <c r="C40" s="14" t="s">
        <v>14</v>
      </c>
      <c r="D40" s="14"/>
      <c r="E40" s="15"/>
      <c r="F40" s="16">
        <f t="shared" si="2"/>
        <v>0</v>
      </c>
      <c r="G40">
        <f t="shared" si="0"/>
        <v>0</v>
      </c>
    </row>
    <row r="41" spans="1:7" hidden="1" x14ac:dyDescent="0.25">
      <c r="A41" s="43" t="s">
        <v>1135</v>
      </c>
      <c r="B41" s="81" t="s">
        <v>1123</v>
      </c>
      <c r="C41" s="14" t="s">
        <v>14</v>
      </c>
      <c r="D41" s="14"/>
      <c r="E41" s="15"/>
      <c r="F41" s="16">
        <f t="shared" si="2"/>
        <v>0</v>
      </c>
      <c r="G41">
        <f t="shared" si="0"/>
        <v>0</v>
      </c>
    </row>
    <row r="42" spans="1:7" hidden="1" x14ac:dyDescent="0.25">
      <c r="A42" s="43" t="s">
        <v>1136</v>
      </c>
      <c r="B42" s="81" t="s">
        <v>1124</v>
      </c>
      <c r="C42" s="14" t="s">
        <v>14</v>
      </c>
      <c r="D42" s="14"/>
      <c r="E42" s="15"/>
      <c r="F42" s="16">
        <f t="shared" si="2"/>
        <v>0</v>
      </c>
      <c r="G42">
        <f t="shared" si="0"/>
        <v>0</v>
      </c>
    </row>
    <row r="43" spans="1:7" hidden="1" x14ac:dyDescent="0.25">
      <c r="A43" s="43" t="s">
        <v>1137</v>
      </c>
      <c r="B43" s="81" t="s">
        <v>1125</v>
      </c>
      <c r="C43" s="14" t="s">
        <v>14</v>
      </c>
      <c r="D43" s="14"/>
      <c r="E43" s="15"/>
      <c r="F43" s="16">
        <f t="shared" si="2"/>
        <v>0</v>
      </c>
      <c r="G43">
        <f t="shared" si="0"/>
        <v>0</v>
      </c>
    </row>
    <row r="44" spans="1:7" hidden="1" x14ac:dyDescent="0.25">
      <c r="A44" s="43" t="s">
        <v>1138</v>
      </c>
      <c r="B44" s="81" t="s">
        <v>1126</v>
      </c>
      <c r="C44" s="14" t="s">
        <v>14</v>
      </c>
      <c r="D44" s="14"/>
      <c r="E44" s="15"/>
      <c r="F44" s="16">
        <f t="shared" si="2"/>
        <v>0</v>
      </c>
      <c r="G44">
        <f t="shared" si="0"/>
        <v>0</v>
      </c>
    </row>
    <row r="45" spans="1:7" hidden="1" x14ac:dyDescent="0.25">
      <c r="A45" s="43" t="s">
        <v>1139</v>
      </c>
      <c r="B45" s="81" t="s">
        <v>1127</v>
      </c>
      <c r="C45" s="14" t="s">
        <v>14</v>
      </c>
      <c r="D45" s="14"/>
      <c r="E45" s="15"/>
      <c r="F45" s="16">
        <f t="shared" si="2"/>
        <v>0</v>
      </c>
      <c r="G45">
        <f t="shared" si="0"/>
        <v>0</v>
      </c>
    </row>
    <row r="46" spans="1:7" hidden="1" x14ac:dyDescent="0.25">
      <c r="A46" s="43" t="s">
        <v>1140</v>
      </c>
      <c r="B46" s="81" t="s">
        <v>1128</v>
      </c>
      <c r="C46" s="14" t="s">
        <v>14</v>
      </c>
      <c r="D46" s="14"/>
      <c r="E46" s="15"/>
      <c r="F46" s="16">
        <f t="shared" si="2"/>
        <v>0</v>
      </c>
      <c r="G46">
        <f t="shared" si="0"/>
        <v>0</v>
      </c>
    </row>
    <row r="47" spans="1:7" hidden="1" x14ac:dyDescent="0.25">
      <c r="A47" s="43" t="s">
        <v>1141</v>
      </c>
      <c r="B47" s="81" t="s">
        <v>1129</v>
      </c>
      <c r="C47" s="14" t="s">
        <v>14</v>
      </c>
      <c r="D47" s="14"/>
      <c r="E47" s="15"/>
      <c r="F47" s="16">
        <f t="shared" si="2"/>
        <v>0</v>
      </c>
      <c r="G47">
        <f t="shared" si="0"/>
        <v>0</v>
      </c>
    </row>
    <row r="48" spans="1:7" hidden="1" x14ac:dyDescent="0.25">
      <c r="A48" s="43" t="s">
        <v>1142</v>
      </c>
      <c r="B48" s="81" t="s">
        <v>1130</v>
      </c>
      <c r="C48" s="14" t="s">
        <v>14</v>
      </c>
      <c r="D48" s="14"/>
      <c r="E48" s="15"/>
      <c r="F48" s="16">
        <f t="shared" si="2"/>
        <v>0</v>
      </c>
      <c r="G48">
        <f t="shared" si="0"/>
        <v>0</v>
      </c>
    </row>
    <row r="49" spans="1:7" hidden="1" x14ac:dyDescent="0.25">
      <c r="A49" s="43" t="s">
        <v>1143</v>
      </c>
      <c r="B49" s="81" t="s">
        <v>1131</v>
      </c>
      <c r="C49" s="14" t="s">
        <v>14</v>
      </c>
      <c r="D49" s="14"/>
      <c r="E49" s="15"/>
      <c r="F49" s="16">
        <f t="shared" si="2"/>
        <v>0</v>
      </c>
      <c r="G49">
        <f t="shared" si="0"/>
        <v>0</v>
      </c>
    </row>
    <row r="50" spans="1:7" hidden="1" x14ac:dyDescent="0.25">
      <c r="A50" s="43" t="s">
        <v>1144</v>
      </c>
      <c r="B50" s="81" t="s">
        <v>1133</v>
      </c>
      <c r="C50" s="14" t="s">
        <v>14</v>
      </c>
      <c r="D50" s="14"/>
      <c r="E50" s="15"/>
      <c r="F50" s="16">
        <f t="shared" si="2"/>
        <v>0</v>
      </c>
      <c r="G50">
        <f t="shared" si="0"/>
        <v>0</v>
      </c>
    </row>
    <row r="51" spans="1:7" hidden="1" x14ac:dyDescent="0.25">
      <c r="A51" s="43" t="s">
        <v>1145</v>
      </c>
      <c r="B51" s="81" t="s">
        <v>1132</v>
      </c>
      <c r="C51" s="14" t="s">
        <v>14</v>
      </c>
      <c r="D51" s="14"/>
      <c r="E51" s="15"/>
      <c r="F51" s="16">
        <f t="shared" si="2"/>
        <v>0</v>
      </c>
      <c r="G51">
        <f t="shared" si="0"/>
        <v>0</v>
      </c>
    </row>
    <row r="52" spans="1:7" hidden="1" x14ac:dyDescent="0.25">
      <c r="A52" s="44" t="s">
        <v>1146</v>
      </c>
      <c r="B52" s="80" t="s">
        <v>1149</v>
      </c>
      <c r="C52" s="14"/>
      <c r="D52" s="14"/>
      <c r="E52" s="15"/>
      <c r="F52" s="16"/>
      <c r="G52">
        <f t="shared" si="0"/>
        <v>0</v>
      </c>
    </row>
    <row r="53" spans="1:7" hidden="1" x14ac:dyDescent="0.25">
      <c r="A53" s="43" t="s">
        <v>1147</v>
      </c>
      <c r="B53" s="81" t="s">
        <v>1150</v>
      </c>
      <c r="C53" s="14" t="s">
        <v>14</v>
      </c>
      <c r="D53" s="14"/>
      <c r="E53" s="15"/>
      <c r="F53" s="16">
        <f t="shared" si="2"/>
        <v>0</v>
      </c>
      <c r="G53">
        <f t="shared" si="0"/>
        <v>0</v>
      </c>
    </row>
    <row r="54" spans="1:7" hidden="1" x14ac:dyDescent="0.25">
      <c r="A54" s="43" t="s">
        <v>1164</v>
      </c>
      <c r="B54" s="81" t="s">
        <v>1151</v>
      </c>
      <c r="C54" s="14" t="s">
        <v>14</v>
      </c>
      <c r="D54" s="14"/>
      <c r="E54" s="15"/>
      <c r="F54" s="16">
        <f t="shared" si="2"/>
        <v>0</v>
      </c>
      <c r="G54">
        <f t="shared" si="0"/>
        <v>0</v>
      </c>
    </row>
    <row r="55" spans="1:7" hidden="1" x14ac:dyDescent="0.25">
      <c r="A55" s="43" t="s">
        <v>1165</v>
      </c>
      <c r="B55" s="81" t="s">
        <v>1152</v>
      </c>
      <c r="C55" s="14" t="s">
        <v>14</v>
      </c>
      <c r="D55" s="14"/>
      <c r="E55" s="15"/>
      <c r="F55" s="16">
        <f t="shared" si="2"/>
        <v>0</v>
      </c>
      <c r="G55">
        <f t="shared" si="0"/>
        <v>0</v>
      </c>
    </row>
    <row r="56" spans="1:7" hidden="1" x14ac:dyDescent="0.25">
      <c r="A56" s="43" t="s">
        <v>1166</v>
      </c>
      <c r="B56" s="81" t="s">
        <v>1153</v>
      </c>
      <c r="C56" s="14" t="s">
        <v>14</v>
      </c>
      <c r="D56" s="14"/>
      <c r="E56" s="15"/>
      <c r="F56" s="16">
        <f t="shared" si="2"/>
        <v>0</v>
      </c>
      <c r="G56">
        <f t="shared" si="0"/>
        <v>0</v>
      </c>
    </row>
    <row r="57" spans="1:7" hidden="1" x14ac:dyDescent="0.25">
      <c r="A57" s="43" t="s">
        <v>1167</v>
      </c>
      <c r="B57" s="81" t="s">
        <v>1154</v>
      </c>
      <c r="C57" s="14" t="s">
        <v>14</v>
      </c>
      <c r="D57" s="14"/>
      <c r="E57" s="15"/>
      <c r="F57" s="16">
        <f t="shared" si="2"/>
        <v>0</v>
      </c>
      <c r="G57">
        <f t="shared" si="0"/>
        <v>0</v>
      </c>
    </row>
    <row r="58" spans="1:7" hidden="1" x14ac:dyDescent="0.25">
      <c r="A58" s="43" t="s">
        <v>1168</v>
      </c>
      <c r="B58" s="81" t="s">
        <v>1155</v>
      </c>
      <c r="C58" s="14" t="s">
        <v>14</v>
      </c>
      <c r="D58" s="14"/>
      <c r="E58" s="15"/>
      <c r="F58" s="16">
        <f t="shared" si="2"/>
        <v>0</v>
      </c>
      <c r="G58">
        <f t="shared" si="0"/>
        <v>0</v>
      </c>
    </row>
    <row r="59" spans="1:7" hidden="1" x14ac:dyDescent="0.25">
      <c r="A59" s="43" t="s">
        <v>1169</v>
      </c>
      <c r="B59" s="81" t="s">
        <v>1156</v>
      </c>
      <c r="C59" s="14" t="s">
        <v>14</v>
      </c>
      <c r="D59" s="14"/>
      <c r="E59" s="15"/>
      <c r="F59" s="16">
        <f t="shared" si="2"/>
        <v>0</v>
      </c>
      <c r="G59">
        <f t="shared" si="0"/>
        <v>0</v>
      </c>
    </row>
    <row r="60" spans="1:7" hidden="1" x14ac:dyDescent="0.25">
      <c r="A60" s="43" t="s">
        <v>1170</v>
      </c>
      <c r="B60" s="81" t="s">
        <v>1157</v>
      </c>
      <c r="C60" s="14" t="s">
        <v>14</v>
      </c>
      <c r="D60" s="14"/>
      <c r="E60" s="15"/>
      <c r="F60" s="16">
        <f t="shared" si="2"/>
        <v>0</v>
      </c>
      <c r="G60">
        <f t="shared" si="0"/>
        <v>0</v>
      </c>
    </row>
    <row r="61" spans="1:7" hidden="1" x14ac:dyDescent="0.25">
      <c r="A61" s="43" t="s">
        <v>1171</v>
      </c>
      <c r="B61" s="81" t="s">
        <v>1158</v>
      </c>
      <c r="C61" s="14" t="s">
        <v>14</v>
      </c>
      <c r="D61" s="14"/>
      <c r="E61" s="15"/>
      <c r="F61" s="16">
        <f t="shared" si="2"/>
        <v>0</v>
      </c>
      <c r="G61">
        <f t="shared" si="0"/>
        <v>0</v>
      </c>
    </row>
    <row r="62" spans="1:7" hidden="1" x14ac:dyDescent="0.25">
      <c r="A62" s="43" t="s">
        <v>1172</v>
      </c>
      <c r="B62" s="81" t="s">
        <v>1159</v>
      </c>
      <c r="C62" s="14" t="s">
        <v>14</v>
      </c>
      <c r="D62" s="14"/>
      <c r="E62" s="15"/>
      <c r="F62" s="16">
        <f t="shared" si="2"/>
        <v>0</v>
      </c>
      <c r="G62">
        <f t="shared" si="0"/>
        <v>0</v>
      </c>
    </row>
    <row r="63" spans="1:7" hidden="1" x14ac:dyDescent="0.25">
      <c r="A63" s="43" t="s">
        <v>1173</v>
      </c>
      <c r="B63" s="81" t="s">
        <v>1160</v>
      </c>
      <c r="C63" s="14" t="s">
        <v>14</v>
      </c>
      <c r="D63" s="14"/>
      <c r="E63" s="15"/>
      <c r="F63" s="16">
        <f t="shared" si="2"/>
        <v>0</v>
      </c>
      <c r="G63">
        <f t="shared" si="0"/>
        <v>0</v>
      </c>
    </row>
    <row r="64" spans="1:7" hidden="1" x14ac:dyDescent="0.25">
      <c r="A64" s="44" t="s">
        <v>1162</v>
      </c>
      <c r="B64" s="80" t="s">
        <v>1161</v>
      </c>
      <c r="C64" s="14"/>
      <c r="D64" s="14"/>
      <c r="E64" s="15"/>
      <c r="F64" s="16"/>
      <c r="G64">
        <f t="shared" si="0"/>
        <v>0</v>
      </c>
    </row>
    <row r="65" spans="1:7" hidden="1" x14ac:dyDescent="0.25">
      <c r="A65" s="43" t="s">
        <v>1163</v>
      </c>
      <c r="B65" s="81" t="s">
        <v>1183</v>
      </c>
      <c r="C65" s="14" t="s">
        <v>14</v>
      </c>
      <c r="D65" s="14"/>
      <c r="E65" s="15"/>
      <c r="F65" s="16">
        <f t="shared" si="2"/>
        <v>0</v>
      </c>
      <c r="G65">
        <f t="shared" si="0"/>
        <v>0</v>
      </c>
    </row>
    <row r="66" spans="1:7" hidden="1" x14ac:dyDescent="0.25">
      <c r="A66" s="43" t="s">
        <v>1174</v>
      </c>
      <c r="B66" s="81" t="s">
        <v>1184</v>
      </c>
      <c r="C66" s="14" t="s">
        <v>14</v>
      </c>
      <c r="D66" s="14"/>
      <c r="E66" s="15"/>
      <c r="F66" s="16">
        <f t="shared" si="2"/>
        <v>0</v>
      </c>
      <c r="G66">
        <f t="shared" si="0"/>
        <v>0</v>
      </c>
    </row>
    <row r="67" spans="1:7" hidden="1" x14ac:dyDescent="0.25">
      <c r="A67" s="43" t="s">
        <v>1175</v>
      </c>
      <c r="B67" s="81" t="s">
        <v>1185</v>
      </c>
      <c r="C67" s="14" t="s">
        <v>14</v>
      </c>
      <c r="D67" s="14"/>
      <c r="E67" s="15">
        <f>+SUM!H65</f>
        <v>84090</v>
      </c>
      <c r="F67" s="16">
        <f t="shared" si="2"/>
        <v>0</v>
      </c>
      <c r="G67">
        <f t="shared" si="0"/>
        <v>0</v>
      </c>
    </row>
    <row r="68" spans="1:7" hidden="1" x14ac:dyDescent="0.25">
      <c r="A68" s="43" t="s">
        <v>1176</v>
      </c>
      <c r="B68" s="81" t="s">
        <v>1186</v>
      </c>
      <c r="C68" s="14" t="s">
        <v>14</v>
      </c>
      <c r="D68" s="14"/>
      <c r="E68" s="15">
        <f>+SUM!H66</f>
        <v>131496</v>
      </c>
      <c r="F68" s="16">
        <f t="shared" si="2"/>
        <v>0</v>
      </c>
      <c r="G68">
        <f t="shared" si="0"/>
        <v>0</v>
      </c>
    </row>
    <row r="69" spans="1:7" hidden="1" x14ac:dyDescent="0.25">
      <c r="A69" s="43" t="s">
        <v>1177</v>
      </c>
      <c r="B69" s="81" t="s">
        <v>1187</v>
      </c>
      <c r="C69" s="14" t="s">
        <v>14</v>
      </c>
      <c r="D69" s="14"/>
      <c r="E69" s="15"/>
      <c r="F69" s="16">
        <f t="shared" si="2"/>
        <v>0</v>
      </c>
      <c r="G69">
        <f t="shared" si="0"/>
        <v>0</v>
      </c>
    </row>
    <row r="70" spans="1:7" hidden="1" x14ac:dyDescent="0.25">
      <c r="A70" s="43" t="s">
        <v>1178</v>
      </c>
      <c r="B70" s="81" t="s">
        <v>1188</v>
      </c>
      <c r="C70" s="14" t="s">
        <v>14</v>
      </c>
      <c r="D70" s="14"/>
      <c r="E70" s="15"/>
      <c r="F70" s="16">
        <f t="shared" si="2"/>
        <v>0</v>
      </c>
      <c r="G70">
        <f t="shared" si="0"/>
        <v>0</v>
      </c>
    </row>
    <row r="71" spans="1:7" hidden="1" x14ac:dyDescent="0.25">
      <c r="A71" s="43" t="s">
        <v>1179</v>
      </c>
      <c r="B71" s="81" t="s">
        <v>1189</v>
      </c>
      <c r="C71" s="14" t="s">
        <v>14</v>
      </c>
      <c r="D71" s="14"/>
      <c r="E71" s="15"/>
      <c r="F71" s="16">
        <f t="shared" si="2"/>
        <v>0</v>
      </c>
      <c r="G71">
        <f t="shared" si="0"/>
        <v>0</v>
      </c>
    </row>
    <row r="72" spans="1:7" hidden="1" x14ac:dyDescent="0.25">
      <c r="A72" s="43" t="s">
        <v>1180</v>
      </c>
      <c r="B72" s="81" t="s">
        <v>1190</v>
      </c>
      <c r="C72" s="14" t="s">
        <v>14</v>
      </c>
      <c r="D72" s="14"/>
      <c r="E72" s="15"/>
      <c r="F72" s="16">
        <f t="shared" si="2"/>
        <v>0</v>
      </c>
      <c r="G72">
        <f t="shared" si="0"/>
        <v>0</v>
      </c>
    </row>
    <row r="73" spans="1:7" hidden="1" x14ac:dyDescent="0.25">
      <c r="A73" s="43" t="s">
        <v>1181</v>
      </c>
      <c r="B73" s="81" t="s">
        <v>1191</v>
      </c>
      <c r="C73" s="14" t="s">
        <v>14</v>
      </c>
      <c r="D73" s="14"/>
      <c r="E73" s="15"/>
      <c r="F73" s="16">
        <f t="shared" si="2"/>
        <v>0</v>
      </c>
      <c r="G73">
        <f t="shared" ref="G73:G136" si="3">+IF(F73&lt;&gt;0,1,0)</f>
        <v>0</v>
      </c>
    </row>
    <row r="74" spans="1:7" hidden="1" x14ac:dyDescent="0.25">
      <c r="A74" s="43" t="s">
        <v>1182</v>
      </c>
      <c r="B74" s="81" t="s">
        <v>1192</v>
      </c>
      <c r="C74" s="14" t="s">
        <v>14</v>
      </c>
      <c r="D74" s="14"/>
      <c r="E74" s="15"/>
      <c r="F74" s="16">
        <f t="shared" si="2"/>
        <v>0</v>
      </c>
      <c r="G74">
        <f t="shared" si="3"/>
        <v>0</v>
      </c>
    </row>
    <row r="75" spans="1:7" hidden="1" x14ac:dyDescent="0.25">
      <c r="A75" s="44" t="s">
        <v>1193</v>
      </c>
      <c r="B75" s="80" t="s">
        <v>887</v>
      </c>
      <c r="C75" s="14"/>
      <c r="D75" s="14"/>
      <c r="E75" s="15"/>
      <c r="F75" s="16"/>
      <c r="G75">
        <f t="shared" si="3"/>
        <v>0</v>
      </c>
    </row>
    <row r="76" spans="1:7" hidden="1" x14ac:dyDescent="0.25">
      <c r="A76" s="43" t="s">
        <v>1196</v>
      </c>
      <c r="B76" s="81" t="s">
        <v>1194</v>
      </c>
      <c r="C76" s="14" t="s">
        <v>14</v>
      </c>
      <c r="D76" s="14"/>
      <c r="E76" s="15"/>
      <c r="F76" s="16">
        <f t="shared" si="2"/>
        <v>0</v>
      </c>
      <c r="G76">
        <f t="shared" si="3"/>
        <v>0</v>
      </c>
    </row>
    <row r="77" spans="1:7" hidden="1" x14ac:dyDescent="0.25">
      <c r="A77" s="43" t="s">
        <v>1197</v>
      </c>
      <c r="B77" s="81" t="s">
        <v>1195</v>
      </c>
      <c r="C77" s="14" t="s">
        <v>14</v>
      </c>
      <c r="D77" s="14"/>
      <c r="E77" s="15"/>
      <c r="F77" s="16">
        <f t="shared" si="2"/>
        <v>0</v>
      </c>
      <c r="G77">
        <f t="shared" si="3"/>
        <v>0</v>
      </c>
    </row>
    <row r="78" spans="1:7" hidden="1" x14ac:dyDescent="0.25">
      <c r="A78" s="44" t="s">
        <v>1675</v>
      </c>
      <c r="B78" s="80" t="s">
        <v>1676</v>
      </c>
      <c r="C78" s="14"/>
      <c r="D78" s="14"/>
      <c r="E78" s="15"/>
      <c r="F78" s="16"/>
      <c r="G78">
        <f t="shared" si="3"/>
        <v>0</v>
      </c>
    </row>
    <row r="79" spans="1:7" hidden="1" x14ac:dyDescent="0.25">
      <c r="A79" s="44" t="s">
        <v>1678</v>
      </c>
      <c r="B79" s="80" t="s">
        <v>1677</v>
      </c>
      <c r="C79" s="14"/>
      <c r="D79" s="14"/>
      <c r="E79" s="15"/>
      <c r="F79" s="16"/>
      <c r="G79">
        <f t="shared" si="3"/>
        <v>0</v>
      </c>
    </row>
    <row r="80" spans="1:7" hidden="1" x14ac:dyDescent="0.25">
      <c r="A80" s="43" t="s">
        <v>1679</v>
      </c>
      <c r="B80" s="81" t="s">
        <v>1682</v>
      </c>
      <c r="C80" s="14" t="s">
        <v>14</v>
      </c>
      <c r="D80" s="14"/>
      <c r="E80" s="15"/>
      <c r="F80" s="16">
        <f>+D80*E80</f>
        <v>0</v>
      </c>
      <c r="G80">
        <f t="shared" si="3"/>
        <v>0</v>
      </c>
    </row>
    <row r="81" spans="1:7" hidden="1" x14ac:dyDescent="0.25">
      <c r="A81" s="43" t="s">
        <v>1684</v>
      </c>
      <c r="B81" s="81" t="s">
        <v>1683</v>
      </c>
      <c r="C81" s="14" t="s">
        <v>14</v>
      </c>
      <c r="D81" s="14"/>
      <c r="E81" s="15"/>
      <c r="F81" s="16">
        <f>+D81*E81</f>
        <v>0</v>
      </c>
      <c r="G81">
        <f t="shared" si="3"/>
        <v>0</v>
      </c>
    </row>
    <row r="82" spans="1:7" hidden="1" x14ac:dyDescent="0.25">
      <c r="A82" s="43" t="s">
        <v>1685</v>
      </c>
      <c r="B82" s="81" t="s">
        <v>1680</v>
      </c>
      <c r="C82" s="14" t="s">
        <v>14</v>
      </c>
      <c r="D82" s="14"/>
      <c r="E82" s="15"/>
      <c r="F82" s="16">
        <f>+D82*E82</f>
        <v>0</v>
      </c>
      <c r="G82">
        <f t="shared" si="3"/>
        <v>0</v>
      </c>
    </row>
    <row r="83" spans="1:7" hidden="1" x14ac:dyDescent="0.25">
      <c r="A83" s="43" t="s">
        <v>1686</v>
      </c>
      <c r="B83" s="81" t="s">
        <v>1681</v>
      </c>
      <c r="C83" s="14" t="s">
        <v>14</v>
      </c>
      <c r="D83" s="14"/>
      <c r="E83" s="15"/>
      <c r="F83" s="16">
        <f>+D83*E83</f>
        <v>0</v>
      </c>
      <c r="G83">
        <f t="shared" si="3"/>
        <v>0</v>
      </c>
    </row>
    <row r="84" spans="1:7" hidden="1" x14ac:dyDescent="0.25">
      <c r="A84" s="44" t="s">
        <v>1687</v>
      </c>
      <c r="B84" s="80" t="s">
        <v>1688</v>
      </c>
      <c r="C84" s="14"/>
      <c r="D84" s="14"/>
      <c r="E84" s="15"/>
      <c r="F84" s="16"/>
      <c r="G84">
        <f t="shared" si="3"/>
        <v>0</v>
      </c>
    </row>
    <row r="85" spans="1:7" hidden="1" x14ac:dyDescent="0.25">
      <c r="A85" s="43" t="s">
        <v>1693</v>
      </c>
      <c r="B85" s="81" t="s">
        <v>1689</v>
      </c>
      <c r="C85" s="14" t="s">
        <v>14</v>
      </c>
      <c r="D85" s="14"/>
      <c r="E85" s="15"/>
      <c r="F85" s="16">
        <f>+D85*E85</f>
        <v>0</v>
      </c>
      <c r="G85">
        <f t="shared" si="3"/>
        <v>0</v>
      </c>
    </row>
    <row r="86" spans="1:7" hidden="1" x14ac:dyDescent="0.25">
      <c r="A86" s="43" t="s">
        <v>1694</v>
      </c>
      <c r="B86" s="81" t="s">
        <v>1690</v>
      </c>
      <c r="C86" s="14" t="s">
        <v>14</v>
      </c>
      <c r="D86" s="14"/>
      <c r="E86" s="15"/>
      <c r="F86" s="16">
        <f>+D86*E86</f>
        <v>0</v>
      </c>
      <c r="G86">
        <f t="shared" si="3"/>
        <v>0</v>
      </c>
    </row>
    <row r="87" spans="1:7" hidden="1" x14ac:dyDescent="0.25">
      <c r="A87" s="43" t="s">
        <v>1695</v>
      </c>
      <c r="B87" s="81" t="s">
        <v>1691</v>
      </c>
      <c r="C87" s="14" t="s">
        <v>14</v>
      </c>
      <c r="D87" s="14"/>
      <c r="E87" s="15"/>
      <c r="F87" s="16">
        <f>+D87*E87</f>
        <v>0</v>
      </c>
      <c r="G87">
        <f t="shared" si="3"/>
        <v>0</v>
      </c>
    </row>
    <row r="88" spans="1:7" hidden="1" x14ac:dyDescent="0.25">
      <c r="A88" s="43" t="s">
        <v>1696</v>
      </c>
      <c r="B88" s="81" t="s">
        <v>1692</v>
      </c>
      <c r="C88" s="14" t="s">
        <v>14</v>
      </c>
      <c r="D88" s="14"/>
      <c r="E88" s="15"/>
      <c r="F88" s="16">
        <f>+D88*E88</f>
        <v>0</v>
      </c>
      <c r="G88">
        <f t="shared" si="3"/>
        <v>0</v>
      </c>
    </row>
    <row r="89" spans="1:7" hidden="1" x14ac:dyDescent="0.25">
      <c r="A89" s="44" t="s">
        <v>1697</v>
      </c>
      <c r="B89" s="80" t="s">
        <v>1698</v>
      </c>
      <c r="C89" s="14"/>
      <c r="D89" s="14"/>
      <c r="E89" s="15"/>
      <c r="F89" s="16"/>
      <c r="G89">
        <f t="shared" si="3"/>
        <v>0</v>
      </c>
    </row>
    <row r="90" spans="1:7" hidden="1" x14ac:dyDescent="0.25">
      <c r="A90" s="43" t="s">
        <v>1707</v>
      </c>
      <c r="B90" s="81" t="s">
        <v>1699</v>
      </c>
      <c r="C90" s="14" t="s">
        <v>14</v>
      </c>
      <c r="D90" s="14"/>
      <c r="E90" s="15"/>
      <c r="F90" s="16">
        <f t="shared" ref="F90:F97" si="4">+D90*E90</f>
        <v>0</v>
      </c>
      <c r="G90">
        <f t="shared" si="3"/>
        <v>0</v>
      </c>
    </row>
    <row r="91" spans="1:7" hidden="1" x14ac:dyDescent="0.25">
      <c r="A91" s="43" t="s">
        <v>1708</v>
      </c>
      <c r="B91" s="81" t="s">
        <v>1700</v>
      </c>
      <c r="C91" s="14" t="s">
        <v>14</v>
      </c>
      <c r="D91" s="14"/>
      <c r="E91" s="15"/>
      <c r="F91" s="16">
        <f t="shared" si="4"/>
        <v>0</v>
      </c>
      <c r="G91">
        <f t="shared" si="3"/>
        <v>0</v>
      </c>
    </row>
    <row r="92" spans="1:7" hidden="1" x14ac:dyDescent="0.25">
      <c r="A92" s="43" t="s">
        <v>1709</v>
      </c>
      <c r="B92" s="81" t="s">
        <v>1701</v>
      </c>
      <c r="C92" s="14" t="s">
        <v>14</v>
      </c>
      <c r="D92" s="14"/>
      <c r="E92" s="15"/>
      <c r="F92" s="16">
        <f t="shared" si="4"/>
        <v>0</v>
      </c>
      <c r="G92">
        <f t="shared" si="3"/>
        <v>0</v>
      </c>
    </row>
    <row r="93" spans="1:7" hidden="1" x14ac:dyDescent="0.25">
      <c r="A93" s="43" t="s">
        <v>1710</v>
      </c>
      <c r="B93" s="81" t="s">
        <v>1702</v>
      </c>
      <c r="C93" s="14" t="s">
        <v>14</v>
      </c>
      <c r="D93" s="14"/>
      <c r="E93" s="15"/>
      <c r="F93" s="16">
        <f t="shared" si="4"/>
        <v>0</v>
      </c>
      <c r="G93">
        <f t="shared" si="3"/>
        <v>0</v>
      </c>
    </row>
    <row r="94" spans="1:7" hidden="1" x14ac:dyDescent="0.25">
      <c r="A94" s="43" t="s">
        <v>1711</v>
      </c>
      <c r="B94" s="81" t="s">
        <v>1703</v>
      </c>
      <c r="C94" s="14" t="s">
        <v>14</v>
      </c>
      <c r="D94" s="14"/>
      <c r="E94" s="15"/>
      <c r="F94" s="16">
        <f t="shared" si="4"/>
        <v>0</v>
      </c>
      <c r="G94">
        <f t="shared" si="3"/>
        <v>0</v>
      </c>
    </row>
    <row r="95" spans="1:7" hidden="1" x14ac:dyDescent="0.25">
      <c r="A95" s="43" t="s">
        <v>1712</v>
      </c>
      <c r="B95" s="81" t="s">
        <v>1705</v>
      </c>
      <c r="C95" s="14" t="s">
        <v>14</v>
      </c>
      <c r="D95" s="14"/>
      <c r="E95" s="15"/>
      <c r="F95" s="16">
        <f t="shared" si="4"/>
        <v>0</v>
      </c>
      <c r="G95">
        <f t="shared" si="3"/>
        <v>0</v>
      </c>
    </row>
    <row r="96" spans="1:7" hidden="1" x14ac:dyDescent="0.25">
      <c r="A96" s="43" t="s">
        <v>1713</v>
      </c>
      <c r="B96" s="81" t="s">
        <v>1704</v>
      </c>
      <c r="C96" s="14" t="s">
        <v>14</v>
      </c>
      <c r="D96" s="14"/>
      <c r="E96" s="15"/>
      <c r="F96" s="16">
        <f t="shared" si="4"/>
        <v>0</v>
      </c>
      <c r="G96">
        <f t="shared" si="3"/>
        <v>0</v>
      </c>
    </row>
    <row r="97" spans="1:7" hidden="1" x14ac:dyDescent="0.25">
      <c r="A97" s="43" t="s">
        <v>1714</v>
      </c>
      <c r="B97" s="81" t="s">
        <v>1706</v>
      </c>
      <c r="C97" s="14" t="s">
        <v>14</v>
      </c>
      <c r="D97" s="14"/>
      <c r="E97" s="15"/>
      <c r="F97" s="16">
        <f t="shared" si="4"/>
        <v>0</v>
      </c>
      <c r="G97">
        <f t="shared" si="3"/>
        <v>0</v>
      </c>
    </row>
    <row r="98" spans="1:7" hidden="1" x14ac:dyDescent="0.25">
      <c r="A98" s="44" t="s">
        <v>1198</v>
      </c>
      <c r="B98" s="80" t="s">
        <v>1199</v>
      </c>
      <c r="C98" s="14"/>
      <c r="D98" s="14"/>
      <c r="E98" s="15"/>
      <c r="F98" s="16"/>
      <c r="G98">
        <f t="shared" si="3"/>
        <v>0</v>
      </c>
    </row>
    <row r="99" spans="1:7" hidden="1" x14ac:dyDescent="0.25">
      <c r="A99" s="44" t="s">
        <v>889</v>
      </c>
      <c r="B99" s="80" t="s">
        <v>890</v>
      </c>
      <c r="C99" s="14"/>
      <c r="D99" s="14"/>
      <c r="E99" s="15"/>
      <c r="F99" s="16"/>
      <c r="G99">
        <f t="shared" si="3"/>
        <v>0</v>
      </c>
    </row>
    <row r="100" spans="1:7" hidden="1" x14ac:dyDescent="0.25">
      <c r="A100" s="65" t="s">
        <v>891</v>
      </c>
      <c r="B100" s="66" t="s">
        <v>892</v>
      </c>
      <c r="C100" s="67"/>
      <c r="D100" s="14"/>
      <c r="E100" s="15"/>
      <c r="F100" s="16"/>
      <c r="G100">
        <f t="shared" si="3"/>
        <v>0</v>
      </c>
    </row>
    <row r="101" spans="1:7" hidden="1" x14ac:dyDescent="0.25">
      <c r="A101" s="65" t="s">
        <v>893</v>
      </c>
      <c r="B101" s="66" t="s">
        <v>894</v>
      </c>
      <c r="C101" s="67"/>
      <c r="D101" s="14"/>
      <c r="E101" s="15"/>
      <c r="F101" s="16"/>
      <c r="G101">
        <f t="shared" si="3"/>
        <v>0</v>
      </c>
    </row>
    <row r="102" spans="1:7" hidden="1" x14ac:dyDescent="0.25">
      <c r="A102" s="71" t="s">
        <v>1200</v>
      </c>
      <c r="B102" s="72" t="s">
        <v>1204</v>
      </c>
      <c r="C102" s="67" t="s">
        <v>37</v>
      </c>
      <c r="D102" s="14"/>
      <c r="E102" s="15"/>
      <c r="F102" s="16">
        <f>+D102*E102</f>
        <v>0</v>
      </c>
      <c r="G102">
        <f t="shared" si="3"/>
        <v>0</v>
      </c>
    </row>
    <row r="103" spans="1:7" hidden="1" x14ac:dyDescent="0.25">
      <c r="A103" s="71" t="s">
        <v>1201</v>
      </c>
      <c r="B103" s="72" t="s">
        <v>1205</v>
      </c>
      <c r="C103" s="67" t="s">
        <v>37</v>
      </c>
      <c r="D103" s="14"/>
      <c r="E103" s="15"/>
      <c r="F103" s="16">
        <f>+D103*E103</f>
        <v>0</v>
      </c>
      <c r="G103">
        <f t="shared" si="3"/>
        <v>0</v>
      </c>
    </row>
    <row r="104" spans="1:7" hidden="1" x14ac:dyDescent="0.25">
      <c r="A104" s="71" t="s">
        <v>895</v>
      </c>
      <c r="B104" s="72" t="s">
        <v>896</v>
      </c>
      <c r="C104" s="67" t="s">
        <v>37</v>
      </c>
      <c r="D104" s="14"/>
      <c r="E104" s="15"/>
      <c r="F104" s="16">
        <f>+D104*E104</f>
        <v>0</v>
      </c>
      <c r="G104">
        <f t="shared" si="3"/>
        <v>0</v>
      </c>
    </row>
    <row r="105" spans="1:7" hidden="1" x14ac:dyDescent="0.25">
      <c r="A105" s="71" t="s">
        <v>1202</v>
      </c>
      <c r="B105" s="72" t="s">
        <v>1206</v>
      </c>
      <c r="C105" s="67" t="s">
        <v>37</v>
      </c>
      <c r="D105" s="14"/>
      <c r="E105" s="15"/>
      <c r="F105" s="16">
        <f>+D105*E105</f>
        <v>0</v>
      </c>
      <c r="G105">
        <f t="shared" si="3"/>
        <v>0</v>
      </c>
    </row>
    <row r="106" spans="1:7" hidden="1" x14ac:dyDescent="0.25">
      <c r="A106" s="71" t="s">
        <v>1203</v>
      </c>
      <c r="B106" s="72" t="s">
        <v>1207</v>
      </c>
      <c r="C106" s="67" t="s">
        <v>37</v>
      </c>
      <c r="D106" s="14"/>
      <c r="E106" s="15"/>
      <c r="F106" s="16">
        <f>+D106*E106</f>
        <v>0</v>
      </c>
      <c r="G106">
        <f t="shared" si="3"/>
        <v>0</v>
      </c>
    </row>
    <row r="107" spans="1:7" hidden="1" x14ac:dyDescent="0.25">
      <c r="A107" s="65" t="s">
        <v>1208</v>
      </c>
      <c r="B107" s="66" t="s">
        <v>1210</v>
      </c>
      <c r="C107" s="67"/>
      <c r="D107" s="14"/>
      <c r="E107" s="15"/>
      <c r="F107" s="16"/>
      <c r="G107">
        <f t="shared" si="3"/>
        <v>0</v>
      </c>
    </row>
    <row r="108" spans="1:7" hidden="1" x14ac:dyDescent="0.25">
      <c r="A108" s="71" t="s">
        <v>1209</v>
      </c>
      <c r="B108" s="72" t="s">
        <v>1215</v>
      </c>
      <c r="C108" s="67" t="s">
        <v>37</v>
      </c>
      <c r="D108" s="14"/>
      <c r="E108" s="15"/>
      <c r="F108" s="16">
        <f>+D108*E108</f>
        <v>0</v>
      </c>
      <c r="G108">
        <f t="shared" si="3"/>
        <v>0</v>
      </c>
    </row>
    <row r="109" spans="1:7" hidden="1" x14ac:dyDescent="0.25">
      <c r="A109" s="71" t="s">
        <v>1211</v>
      </c>
      <c r="B109" s="72" t="s">
        <v>1216</v>
      </c>
      <c r="C109" s="67" t="s">
        <v>37</v>
      </c>
      <c r="D109" s="14"/>
      <c r="E109" s="15"/>
      <c r="F109" s="16">
        <f>+D109*E109</f>
        <v>0</v>
      </c>
      <c r="G109">
        <f t="shared" si="3"/>
        <v>0</v>
      </c>
    </row>
    <row r="110" spans="1:7" hidden="1" x14ac:dyDescent="0.25">
      <c r="A110" s="71" t="s">
        <v>1212</v>
      </c>
      <c r="B110" s="72" t="s">
        <v>1217</v>
      </c>
      <c r="C110" s="67" t="s">
        <v>37</v>
      </c>
      <c r="D110" s="14"/>
      <c r="E110" s="15"/>
      <c r="F110" s="16">
        <f>+D110*E110</f>
        <v>0</v>
      </c>
      <c r="G110">
        <f t="shared" si="3"/>
        <v>0</v>
      </c>
    </row>
    <row r="111" spans="1:7" hidden="1" x14ac:dyDescent="0.25">
      <c r="A111" s="71" t="s">
        <v>1213</v>
      </c>
      <c r="B111" s="72" t="s">
        <v>1218</v>
      </c>
      <c r="C111" s="67" t="s">
        <v>37</v>
      </c>
      <c r="D111" s="14"/>
      <c r="E111" s="15"/>
      <c r="F111" s="16">
        <f>+D111*E111</f>
        <v>0</v>
      </c>
      <c r="G111">
        <f t="shared" si="3"/>
        <v>0</v>
      </c>
    </row>
    <row r="112" spans="1:7" hidden="1" x14ac:dyDescent="0.25">
      <c r="A112" s="71" t="s">
        <v>1214</v>
      </c>
      <c r="B112" s="72" t="s">
        <v>1219</v>
      </c>
      <c r="C112" s="67" t="s">
        <v>37</v>
      </c>
      <c r="D112" s="14"/>
      <c r="E112" s="15"/>
      <c r="F112" s="16">
        <f>+D112*E112</f>
        <v>0</v>
      </c>
      <c r="G112">
        <f t="shared" si="3"/>
        <v>0</v>
      </c>
    </row>
    <row r="113" spans="1:7" hidden="1" x14ac:dyDescent="0.25">
      <c r="A113" s="44" t="s">
        <v>897</v>
      </c>
      <c r="B113" s="80" t="s">
        <v>898</v>
      </c>
      <c r="C113" s="14"/>
      <c r="D113" s="14"/>
      <c r="E113" s="15"/>
      <c r="F113" s="16"/>
      <c r="G113">
        <f t="shared" si="3"/>
        <v>0</v>
      </c>
    </row>
    <row r="114" spans="1:7" hidden="1" x14ac:dyDescent="0.25">
      <c r="A114" s="44" t="s">
        <v>899</v>
      </c>
      <c r="B114" s="80" t="s">
        <v>900</v>
      </c>
      <c r="C114" s="14"/>
      <c r="D114" s="14"/>
      <c r="E114" s="15"/>
      <c r="F114" s="16"/>
      <c r="G114">
        <f t="shared" si="3"/>
        <v>0</v>
      </c>
    </row>
    <row r="115" spans="1:7" hidden="1" x14ac:dyDescent="0.25">
      <c r="A115" s="43" t="s">
        <v>1227</v>
      </c>
      <c r="B115" s="81" t="s">
        <v>1221</v>
      </c>
      <c r="C115" s="14" t="s">
        <v>902</v>
      </c>
      <c r="D115" s="14"/>
      <c r="E115" s="15"/>
      <c r="F115" s="16">
        <f t="shared" ref="F115:F122" si="5">+D115*E115</f>
        <v>0</v>
      </c>
      <c r="G115">
        <f t="shared" si="3"/>
        <v>0</v>
      </c>
    </row>
    <row r="116" spans="1:7" hidden="1" x14ac:dyDescent="0.25">
      <c r="A116" s="43" t="s">
        <v>901</v>
      </c>
      <c r="B116" s="81" t="s">
        <v>1220</v>
      </c>
      <c r="C116" s="14" t="s">
        <v>902</v>
      </c>
      <c r="D116" s="14"/>
      <c r="E116" s="15"/>
      <c r="F116" s="16">
        <f t="shared" si="5"/>
        <v>0</v>
      </c>
      <c r="G116">
        <f t="shared" si="3"/>
        <v>0</v>
      </c>
    </row>
    <row r="117" spans="1:7" hidden="1" x14ac:dyDescent="0.25">
      <c r="A117" s="43" t="s">
        <v>903</v>
      </c>
      <c r="B117" s="81" t="s">
        <v>1262</v>
      </c>
      <c r="C117" s="14" t="s">
        <v>902</v>
      </c>
      <c r="D117" s="14"/>
      <c r="E117" s="15"/>
      <c r="F117" s="16">
        <f t="shared" si="5"/>
        <v>0</v>
      </c>
      <c r="G117">
        <f t="shared" si="3"/>
        <v>0</v>
      </c>
    </row>
    <row r="118" spans="1:7" hidden="1" x14ac:dyDescent="0.25">
      <c r="A118" s="43" t="s">
        <v>904</v>
      </c>
      <c r="B118" s="81" t="s">
        <v>1222</v>
      </c>
      <c r="C118" s="14" t="s">
        <v>902</v>
      </c>
      <c r="D118" s="14"/>
      <c r="E118" s="15"/>
      <c r="F118" s="16">
        <f t="shared" si="5"/>
        <v>0</v>
      </c>
      <c r="G118">
        <f t="shared" si="3"/>
        <v>0</v>
      </c>
    </row>
    <row r="119" spans="1:7" hidden="1" x14ac:dyDescent="0.25">
      <c r="A119" s="43" t="s">
        <v>905</v>
      </c>
      <c r="B119" s="81" t="s">
        <v>1223</v>
      </c>
      <c r="C119" s="14" t="s">
        <v>902</v>
      </c>
      <c r="D119" s="14"/>
      <c r="E119" s="15"/>
      <c r="F119" s="16">
        <f t="shared" si="5"/>
        <v>0</v>
      </c>
      <c r="G119">
        <f t="shared" si="3"/>
        <v>0</v>
      </c>
    </row>
    <row r="120" spans="1:7" hidden="1" x14ac:dyDescent="0.25">
      <c r="A120" s="43" t="s">
        <v>906</v>
      </c>
      <c r="B120" s="81" t="s">
        <v>1224</v>
      </c>
      <c r="C120" s="14" t="s">
        <v>902</v>
      </c>
      <c r="D120" s="14"/>
      <c r="E120" s="15">
        <f>+SUM!H118</f>
        <v>908339</v>
      </c>
      <c r="F120" s="16">
        <f t="shared" si="5"/>
        <v>0</v>
      </c>
      <c r="G120">
        <f t="shared" si="3"/>
        <v>0</v>
      </c>
    </row>
    <row r="121" spans="1:7" hidden="1" x14ac:dyDescent="0.25">
      <c r="A121" s="43" t="s">
        <v>907</v>
      </c>
      <c r="B121" s="81" t="s">
        <v>1225</v>
      </c>
      <c r="C121" s="14" t="s">
        <v>902</v>
      </c>
      <c r="D121" s="14"/>
      <c r="E121" s="15"/>
      <c r="F121" s="16">
        <f t="shared" si="5"/>
        <v>0</v>
      </c>
      <c r="G121">
        <f t="shared" si="3"/>
        <v>0</v>
      </c>
    </row>
    <row r="122" spans="1:7" hidden="1" x14ac:dyDescent="0.25">
      <c r="A122" s="43" t="s">
        <v>908</v>
      </c>
      <c r="B122" s="81" t="s">
        <v>1226</v>
      </c>
      <c r="C122" s="14" t="s">
        <v>902</v>
      </c>
      <c r="D122" s="14"/>
      <c r="E122" s="15"/>
      <c r="F122" s="16">
        <f t="shared" si="5"/>
        <v>0</v>
      </c>
      <c r="G122">
        <f t="shared" si="3"/>
        <v>0</v>
      </c>
    </row>
    <row r="123" spans="1:7" hidden="1" x14ac:dyDescent="0.25">
      <c r="A123" s="44" t="s">
        <v>909</v>
      </c>
      <c r="B123" s="80" t="s">
        <v>910</v>
      </c>
      <c r="C123" s="14"/>
      <c r="D123" s="14"/>
      <c r="E123" s="15"/>
      <c r="F123" s="16"/>
      <c r="G123">
        <f t="shared" si="3"/>
        <v>0</v>
      </c>
    </row>
    <row r="124" spans="1:7" hidden="1" x14ac:dyDescent="0.25">
      <c r="A124" s="43" t="s">
        <v>911</v>
      </c>
      <c r="B124" s="81" t="s">
        <v>1228</v>
      </c>
      <c r="C124" s="14" t="s">
        <v>902</v>
      </c>
      <c r="D124" s="14"/>
      <c r="E124" s="15"/>
      <c r="F124" s="16">
        <f t="shared" ref="F124:F131" si="6">+D124*E124</f>
        <v>0</v>
      </c>
      <c r="G124">
        <f t="shared" si="3"/>
        <v>0</v>
      </c>
    </row>
    <row r="125" spans="1:7" hidden="1" x14ac:dyDescent="0.25">
      <c r="A125" s="43" t="s">
        <v>1235</v>
      </c>
      <c r="B125" s="81" t="s">
        <v>1229</v>
      </c>
      <c r="C125" s="14" t="s">
        <v>37</v>
      </c>
      <c r="D125" s="14"/>
      <c r="E125" s="15"/>
      <c r="F125" s="16">
        <f t="shared" si="6"/>
        <v>0</v>
      </c>
      <c r="G125">
        <f t="shared" si="3"/>
        <v>0</v>
      </c>
    </row>
    <row r="126" spans="1:7" hidden="1" x14ac:dyDescent="0.25">
      <c r="A126" s="43" t="s">
        <v>912</v>
      </c>
      <c r="B126" s="81" t="s">
        <v>1265</v>
      </c>
      <c r="C126" s="14" t="s">
        <v>37</v>
      </c>
      <c r="D126" s="14"/>
      <c r="E126" s="15"/>
      <c r="F126" s="16">
        <f t="shared" si="6"/>
        <v>0</v>
      </c>
      <c r="G126">
        <f t="shared" si="3"/>
        <v>0</v>
      </c>
    </row>
    <row r="127" spans="1:7" hidden="1" x14ac:dyDescent="0.25">
      <c r="A127" s="43" t="s">
        <v>913</v>
      </c>
      <c r="B127" s="81" t="s">
        <v>1230</v>
      </c>
      <c r="C127" s="14" t="s">
        <v>37</v>
      </c>
      <c r="D127" s="14"/>
      <c r="E127" s="15"/>
      <c r="F127" s="16">
        <f t="shared" si="6"/>
        <v>0</v>
      </c>
      <c r="G127">
        <f t="shared" si="3"/>
        <v>0</v>
      </c>
    </row>
    <row r="128" spans="1:7" hidden="1" x14ac:dyDescent="0.25">
      <c r="A128" s="43" t="s">
        <v>914</v>
      </c>
      <c r="B128" s="81" t="s">
        <v>1231</v>
      </c>
      <c r="C128" s="14" t="s">
        <v>37</v>
      </c>
      <c r="D128" s="14"/>
      <c r="E128" s="15"/>
      <c r="F128" s="16">
        <f t="shared" si="6"/>
        <v>0</v>
      </c>
      <c r="G128">
        <f t="shared" si="3"/>
        <v>0</v>
      </c>
    </row>
    <row r="129" spans="1:7" hidden="1" x14ac:dyDescent="0.25">
      <c r="A129" s="43" t="s">
        <v>915</v>
      </c>
      <c r="B129" s="81" t="s">
        <v>1232</v>
      </c>
      <c r="C129" s="14" t="s">
        <v>37</v>
      </c>
      <c r="D129" s="14"/>
      <c r="E129" s="15"/>
      <c r="F129" s="16">
        <f t="shared" si="6"/>
        <v>0</v>
      </c>
      <c r="G129">
        <f t="shared" si="3"/>
        <v>0</v>
      </c>
    </row>
    <row r="130" spans="1:7" hidden="1" x14ac:dyDescent="0.25">
      <c r="A130" s="43" t="s">
        <v>916</v>
      </c>
      <c r="B130" s="81" t="s">
        <v>1233</v>
      </c>
      <c r="C130" s="14" t="s">
        <v>37</v>
      </c>
      <c r="D130" s="14"/>
      <c r="E130" s="15"/>
      <c r="F130" s="16">
        <f t="shared" si="6"/>
        <v>0</v>
      </c>
      <c r="G130">
        <f t="shared" si="3"/>
        <v>0</v>
      </c>
    </row>
    <row r="131" spans="1:7" hidden="1" x14ac:dyDescent="0.25">
      <c r="A131" s="43" t="s">
        <v>917</v>
      </c>
      <c r="B131" s="81" t="s">
        <v>1234</v>
      </c>
      <c r="C131" s="14" t="s">
        <v>37</v>
      </c>
      <c r="D131" s="14"/>
      <c r="E131" s="15"/>
      <c r="F131" s="16">
        <f t="shared" si="6"/>
        <v>0</v>
      </c>
      <c r="G131">
        <f t="shared" si="3"/>
        <v>0</v>
      </c>
    </row>
    <row r="132" spans="1:7" hidden="1" x14ac:dyDescent="0.25">
      <c r="A132" s="44" t="s">
        <v>918</v>
      </c>
      <c r="B132" s="80" t="s">
        <v>919</v>
      </c>
      <c r="C132" s="14"/>
      <c r="D132" s="14"/>
      <c r="E132" s="15"/>
      <c r="F132" s="16"/>
      <c r="G132">
        <f t="shared" si="3"/>
        <v>0</v>
      </c>
    </row>
    <row r="133" spans="1:7" hidden="1" x14ac:dyDescent="0.25">
      <c r="A133" s="43" t="s">
        <v>920</v>
      </c>
      <c r="B133" s="81" t="s">
        <v>1236</v>
      </c>
      <c r="C133" s="14" t="s">
        <v>37</v>
      </c>
      <c r="D133" s="14"/>
      <c r="E133" s="15"/>
      <c r="F133" s="16">
        <f t="shared" ref="F133:F140" si="7">+D133*E133</f>
        <v>0</v>
      </c>
      <c r="G133">
        <f t="shared" si="3"/>
        <v>0</v>
      </c>
    </row>
    <row r="134" spans="1:7" hidden="1" x14ac:dyDescent="0.25">
      <c r="A134" s="43" t="s">
        <v>1250</v>
      </c>
      <c r="B134" s="81" t="s">
        <v>1237</v>
      </c>
      <c r="C134" s="14" t="s">
        <v>37</v>
      </c>
      <c r="D134" s="14"/>
      <c r="E134" s="15"/>
      <c r="F134" s="16">
        <f t="shared" si="7"/>
        <v>0</v>
      </c>
      <c r="G134">
        <f t="shared" si="3"/>
        <v>0</v>
      </c>
    </row>
    <row r="135" spans="1:7" hidden="1" x14ac:dyDescent="0.25">
      <c r="A135" s="43" t="s">
        <v>921</v>
      </c>
      <c r="B135" s="81" t="s">
        <v>1263</v>
      </c>
      <c r="C135" s="14" t="s">
        <v>37</v>
      </c>
      <c r="D135" s="14"/>
      <c r="E135" s="15"/>
      <c r="F135" s="16">
        <f t="shared" si="7"/>
        <v>0</v>
      </c>
      <c r="G135">
        <f t="shared" si="3"/>
        <v>0</v>
      </c>
    </row>
    <row r="136" spans="1:7" hidden="1" x14ac:dyDescent="0.25">
      <c r="A136" s="43" t="s">
        <v>922</v>
      </c>
      <c r="B136" s="81" t="s">
        <v>1238</v>
      </c>
      <c r="C136" s="14" t="s">
        <v>37</v>
      </c>
      <c r="D136" s="14"/>
      <c r="E136" s="15"/>
      <c r="F136" s="16">
        <f t="shared" si="7"/>
        <v>0</v>
      </c>
      <c r="G136">
        <f t="shared" si="3"/>
        <v>0</v>
      </c>
    </row>
    <row r="137" spans="1:7" hidden="1" x14ac:dyDescent="0.25">
      <c r="A137" s="43" t="s">
        <v>923</v>
      </c>
      <c r="B137" s="81" t="s">
        <v>1239</v>
      </c>
      <c r="C137" s="14" t="s">
        <v>37</v>
      </c>
      <c r="D137" s="14"/>
      <c r="E137" s="15"/>
      <c r="F137" s="16">
        <f t="shared" si="7"/>
        <v>0</v>
      </c>
      <c r="G137">
        <f t="shared" ref="G137:G200" si="8">+IF(F137&lt;&gt;0,1,0)</f>
        <v>0</v>
      </c>
    </row>
    <row r="138" spans="1:7" hidden="1" x14ac:dyDescent="0.25">
      <c r="A138" s="43" t="s">
        <v>924</v>
      </c>
      <c r="B138" s="81" t="s">
        <v>1240</v>
      </c>
      <c r="C138" s="14" t="s">
        <v>37</v>
      </c>
      <c r="D138" s="14"/>
      <c r="E138" s="15"/>
      <c r="F138" s="16">
        <f t="shared" si="7"/>
        <v>0</v>
      </c>
      <c r="G138">
        <f t="shared" si="8"/>
        <v>0</v>
      </c>
    </row>
    <row r="139" spans="1:7" hidden="1" x14ac:dyDescent="0.25">
      <c r="A139" s="43" t="s">
        <v>925</v>
      </c>
      <c r="B139" s="81" t="s">
        <v>1241</v>
      </c>
      <c r="C139" s="14" t="s">
        <v>37</v>
      </c>
      <c r="D139" s="14"/>
      <c r="E139" s="15"/>
      <c r="F139" s="16">
        <f t="shared" si="7"/>
        <v>0</v>
      </c>
      <c r="G139">
        <f t="shared" si="8"/>
        <v>0</v>
      </c>
    </row>
    <row r="140" spans="1:7" hidden="1" x14ac:dyDescent="0.25">
      <c r="A140" s="43" t="s">
        <v>926</v>
      </c>
      <c r="B140" s="81" t="s">
        <v>1242</v>
      </c>
      <c r="C140" s="14" t="s">
        <v>37</v>
      </c>
      <c r="D140" s="14"/>
      <c r="E140" s="15"/>
      <c r="F140" s="16">
        <f t="shared" si="7"/>
        <v>0</v>
      </c>
      <c r="G140">
        <f t="shared" si="8"/>
        <v>0</v>
      </c>
    </row>
    <row r="141" spans="1:7" hidden="1" x14ac:dyDescent="0.25">
      <c r="A141" s="44" t="s">
        <v>927</v>
      </c>
      <c r="B141" s="80" t="s">
        <v>928</v>
      </c>
      <c r="C141" s="14"/>
      <c r="D141" s="14"/>
      <c r="E141" s="15"/>
      <c r="F141" s="16"/>
      <c r="G141">
        <f t="shared" si="8"/>
        <v>0</v>
      </c>
    </row>
    <row r="142" spans="1:7" hidden="1" x14ac:dyDescent="0.25">
      <c r="A142" s="43" t="s">
        <v>929</v>
      </c>
      <c r="B142" s="81" t="s">
        <v>1243</v>
      </c>
      <c r="C142" s="14" t="s">
        <v>37</v>
      </c>
      <c r="D142" s="14"/>
      <c r="E142" s="15"/>
      <c r="F142" s="16">
        <f t="shared" ref="F142:F168" si="9">+D142*E142</f>
        <v>0</v>
      </c>
      <c r="G142">
        <f t="shared" si="8"/>
        <v>0</v>
      </c>
    </row>
    <row r="143" spans="1:7" hidden="1" x14ac:dyDescent="0.25">
      <c r="A143" s="43" t="s">
        <v>1251</v>
      </c>
      <c r="B143" s="81" t="s">
        <v>1244</v>
      </c>
      <c r="C143" s="14" t="s">
        <v>37</v>
      </c>
      <c r="D143" s="14"/>
      <c r="E143" s="15"/>
      <c r="F143" s="16">
        <f t="shared" si="9"/>
        <v>0</v>
      </c>
      <c r="G143">
        <f t="shared" si="8"/>
        <v>0</v>
      </c>
    </row>
    <row r="144" spans="1:7" hidden="1" x14ac:dyDescent="0.25">
      <c r="A144" s="43" t="s">
        <v>930</v>
      </c>
      <c r="B144" s="81" t="s">
        <v>1264</v>
      </c>
      <c r="C144" s="14" t="s">
        <v>37</v>
      </c>
      <c r="D144" s="14"/>
      <c r="E144" s="15"/>
      <c r="F144" s="16">
        <f t="shared" si="9"/>
        <v>0</v>
      </c>
      <c r="G144">
        <f t="shared" si="8"/>
        <v>0</v>
      </c>
    </row>
    <row r="145" spans="1:7" hidden="1" x14ac:dyDescent="0.25">
      <c r="A145" s="43" t="s">
        <v>931</v>
      </c>
      <c r="B145" s="81" t="s">
        <v>1245</v>
      </c>
      <c r="C145" s="14" t="s">
        <v>37</v>
      </c>
      <c r="D145" s="14"/>
      <c r="E145" s="15"/>
      <c r="F145" s="16">
        <f t="shared" si="9"/>
        <v>0</v>
      </c>
      <c r="G145">
        <f t="shared" si="8"/>
        <v>0</v>
      </c>
    </row>
    <row r="146" spans="1:7" hidden="1" x14ac:dyDescent="0.25">
      <c r="A146" s="43" t="s">
        <v>932</v>
      </c>
      <c r="B146" s="81" t="s">
        <v>1246</v>
      </c>
      <c r="C146" s="14" t="s">
        <v>37</v>
      </c>
      <c r="D146" s="14"/>
      <c r="E146" s="15"/>
      <c r="F146" s="16">
        <f t="shared" si="9"/>
        <v>0</v>
      </c>
      <c r="G146">
        <f t="shared" si="8"/>
        <v>0</v>
      </c>
    </row>
    <row r="147" spans="1:7" hidden="1" x14ac:dyDescent="0.25">
      <c r="A147" s="43" t="s">
        <v>933</v>
      </c>
      <c r="B147" s="81" t="s">
        <v>1247</v>
      </c>
      <c r="C147" s="14" t="s">
        <v>37</v>
      </c>
      <c r="D147" s="14"/>
      <c r="E147" s="15"/>
      <c r="F147" s="16">
        <f t="shared" si="9"/>
        <v>0</v>
      </c>
      <c r="G147">
        <f t="shared" si="8"/>
        <v>0</v>
      </c>
    </row>
    <row r="148" spans="1:7" hidden="1" x14ac:dyDescent="0.25">
      <c r="A148" s="43" t="s">
        <v>934</v>
      </c>
      <c r="B148" s="81" t="s">
        <v>1248</v>
      </c>
      <c r="C148" s="14" t="s">
        <v>37</v>
      </c>
      <c r="D148" s="14"/>
      <c r="E148" s="15"/>
      <c r="F148" s="16">
        <f t="shared" si="9"/>
        <v>0</v>
      </c>
      <c r="G148">
        <f t="shared" si="8"/>
        <v>0</v>
      </c>
    </row>
    <row r="149" spans="1:7" hidden="1" x14ac:dyDescent="0.25">
      <c r="A149" s="43" t="s">
        <v>935</v>
      </c>
      <c r="B149" s="81" t="s">
        <v>1249</v>
      </c>
      <c r="C149" s="14" t="s">
        <v>37</v>
      </c>
      <c r="D149" s="14"/>
      <c r="E149" s="15"/>
      <c r="F149" s="16">
        <f t="shared" si="9"/>
        <v>0</v>
      </c>
      <c r="G149">
        <f t="shared" si="8"/>
        <v>0</v>
      </c>
    </row>
    <row r="150" spans="1:7" hidden="1" x14ac:dyDescent="0.25">
      <c r="A150" s="44" t="s">
        <v>1252</v>
      </c>
      <c r="B150" s="80" t="s">
        <v>1253</v>
      </c>
      <c r="C150" s="14"/>
      <c r="D150" s="14"/>
      <c r="E150" s="15"/>
      <c r="F150" s="16"/>
      <c r="G150">
        <f t="shared" si="8"/>
        <v>0</v>
      </c>
    </row>
    <row r="151" spans="1:7" hidden="1" x14ac:dyDescent="0.25">
      <c r="A151" s="43" t="s">
        <v>1257</v>
      </c>
      <c r="B151" s="81" t="s">
        <v>1254</v>
      </c>
      <c r="C151" s="14" t="s">
        <v>37</v>
      </c>
      <c r="D151" s="14"/>
      <c r="E151" s="15"/>
      <c r="F151" s="16">
        <f t="shared" si="9"/>
        <v>0</v>
      </c>
      <c r="G151">
        <f t="shared" si="8"/>
        <v>0</v>
      </c>
    </row>
    <row r="152" spans="1:7" hidden="1" x14ac:dyDescent="0.25">
      <c r="A152" s="43" t="s">
        <v>1258</v>
      </c>
      <c r="B152" s="81" t="s">
        <v>1255</v>
      </c>
      <c r="C152" s="14" t="s">
        <v>37</v>
      </c>
      <c r="D152" s="14"/>
      <c r="E152" s="15"/>
      <c r="F152" s="16">
        <f t="shared" si="9"/>
        <v>0</v>
      </c>
      <c r="G152">
        <f t="shared" si="8"/>
        <v>0</v>
      </c>
    </row>
    <row r="153" spans="1:7" hidden="1" x14ac:dyDescent="0.25">
      <c r="A153" s="43" t="s">
        <v>1259</v>
      </c>
      <c r="B153" s="81" t="s">
        <v>1256</v>
      </c>
      <c r="C153" s="14" t="s">
        <v>37</v>
      </c>
      <c r="D153" s="14"/>
      <c r="E153" s="15"/>
      <c r="F153" s="16">
        <f t="shared" si="9"/>
        <v>0</v>
      </c>
      <c r="G153">
        <f t="shared" si="8"/>
        <v>0</v>
      </c>
    </row>
    <row r="154" spans="1:7" hidden="1" x14ac:dyDescent="0.25">
      <c r="A154" s="44" t="s">
        <v>1261</v>
      </c>
      <c r="B154" s="80" t="s">
        <v>1260</v>
      </c>
      <c r="C154" s="14"/>
      <c r="D154" s="14"/>
      <c r="E154" s="15"/>
      <c r="F154" s="16"/>
      <c r="G154">
        <f t="shared" si="8"/>
        <v>0</v>
      </c>
    </row>
    <row r="155" spans="1:7" hidden="1" x14ac:dyDescent="0.25">
      <c r="A155" s="43" t="s">
        <v>1273</v>
      </c>
      <c r="B155" s="81" t="s">
        <v>1266</v>
      </c>
      <c r="C155" s="14" t="s">
        <v>37</v>
      </c>
      <c r="D155" s="14"/>
      <c r="E155" s="15"/>
      <c r="F155" s="16">
        <f t="shared" si="9"/>
        <v>0</v>
      </c>
      <c r="G155">
        <f t="shared" si="8"/>
        <v>0</v>
      </c>
    </row>
    <row r="156" spans="1:7" hidden="1" x14ac:dyDescent="0.25">
      <c r="A156" s="43" t="s">
        <v>1274</v>
      </c>
      <c r="B156" s="81" t="s">
        <v>1267</v>
      </c>
      <c r="C156" s="14" t="s">
        <v>37</v>
      </c>
      <c r="D156" s="14"/>
      <c r="E156" s="15"/>
      <c r="F156" s="16">
        <f t="shared" si="9"/>
        <v>0</v>
      </c>
      <c r="G156">
        <f t="shared" si="8"/>
        <v>0</v>
      </c>
    </row>
    <row r="157" spans="1:7" hidden="1" x14ac:dyDescent="0.25">
      <c r="A157" s="43" t="s">
        <v>1275</v>
      </c>
      <c r="B157" s="81" t="s">
        <v>1268</v>
      </c>
      <c r="C157" s="14" t="s">
        <v>37</v>
      </c>
      <c r="D157" s="14"/>
      <c r="E157" s="15"/>
      <c r="F157" s="16">
        <f t="shared" si="9"/>
        <v>0</v>
      </c>
      <c r="G157">
        <f t="shared" si="8"/>
        <v>0</v>
      </c>
    </row>
    <row r="158" spans="1:7" hidden="1" x14ac:dyDescent="0.25">
      <c r="A158" s="43" t="s">
        <v>1276</v>
      </c>
      <c r="B158" s="81" t="s">
        <v>1269</v>
      </c>
      <c r="C158" s="14" t="s">
        <v>37</v>
      </c>
      <c r="D158" s="14"/>
      <c r="E158" s="15"/>
      <c r="F158" s="16">
        <f t="shared" si="9"/>
        <v>0</v>
      </c>
      <c r="G158">
        <f t="shared" si="8"/>
        <v>0</v>
      </c>
    </row>
    <row r="159" spans="1:7" hidden="1" x14ac:dyDescent="0.25">
      <c r="A159" s="43" t="s">
        <v>1277</v>
      </c>
      <c r="B159" s="81" t="s">
        <v>1270</v>
      </c>
      <c r="C159" s="14" t="s">
        <v>37</v>
      </c>
      <c r="D159" s="14"/>
      <c r="E159" s="15"/>
      <c r="F159" s="16">
        <f t="shared" si="9"/>
        <v>0</v>
      </c>
      <c r="G159">
        <f t="shared" si="8"/>
        <v>0</v>
      </c>
    </row>
    <row r="160" spans="1:7" hidden="1" x14ac:dyDescent="0.25">
      <c r="A160" s="43" t="s">
        <v>1278</v>
      </c>
      <c r="B160" s="81" t="s">
        <v>1271</v>
      </c>
      <c r="C160" s="14" t="s">
        <v>37</v>
      </c>
      <c r="D160" s="14"/>
      <c r="E160" s="15"/>
      <c r="F160" s="16">
        <f t="shared" si="9"/>
        <v>0</v>
      </c>
      <c r="G160">
        <f t="shared" si="8"/>
        <v>0</v>
      </c>
    </row>
    <row r="161" spans="1:7" hidden="1" x14ac:dyDescent="0.25">
      <c r="A161" s="43" t="s">
        <v>1279</v>
      </c>
      <c r="B161" s="81" t="s">
        <v>1272</v>
      </c>
      <c r="C161" s="14" t="s">
        <v>37</v>
      </c>
      <c r="D161" s="14"/>
      <c r="E161" s="15"/>
      <c r="F161" s="16">
        <f t="shared" si="9"/>
        <v>0</v>
      </c>
      <c r="G161">
        <f t="shared" si="8"/>
        <v>0</v>
      </c>
    </row>
    <row r="162" spans="1:7" hidden="1" x14ac:dyDescent="0.25">
      <c r="A162" s="44" t="s">
        <v>1280</v>
      </c>
      <c r="B162" s="80" t="s">
        <v>1281</v>
      </c>
      <c r="C162" s="14"/>
      <c r="D162" s="14"/>
      <c r="E162" s="15"/>
      <c r="F162" s="16"/>
      <c r="G162">
        <f t="shared" si="8"/>
        <v>0</v>
      </c>
    </row>
    <row r="163" spans="1:7" hidden="1" x14ac:dyDescent="0.25">
      <c r="A163" s="43" t="s">
        <v>1288</v>
      </c>
      <c r="B163" s="81" t="s">
        <v>1282</v>
      </c>
      <c r="C163" s="14" t="s">
        <v>37</v>
      </c>
      <c r="D163" s="14"/>
      <c r="E163" s="15"/>
      <c r="F163" s="16">
        <f t="shared" si="9"/>
        <v>0</v>
      </c>
      <c r="G163">
        <f t="shared" si="8"/>
        <v>0</v>
      </c>
    </row>
    <row r="164" spans="1:7" hidden="1" x14ac:dyDescent="0.25">
      <c r="A164" s="43" t="s">
        <v>1275</v>
      </c>
      <c r="B164" s="81" t="s">
        <v>1283</v>
      </c>
      <c r="C164" s="14" t="s">
        <v>37</v>
      </c>
      <c r="D164" s="14"/>
      <c r="E164" s="15"/>
      <c r="F164" s="16">
        <f t="shared" si="9"/>
        <v>0</v>
      </c>
      <c r="G164">
        <f t="shared" si="8"/>
        <v>0</v>
      </c>
    </row>
    <row r="165" spans="1:7" hidden="1" x14ac:dyDescent="0.25">
      <c r="A165" s="43" t="s">
        <v>1276</v>
      </c>
      <c r="B165" s="81" t="s">
        <v>1284</v>
      </c>
      <c r="C165" s="14" t="s">
        <v>37</v>
      </c>
      <c r="D165" s="14"/>
      <c r="E165" s="15"/>
      <c r="F165" s="16">
        <f t="shared" si="9"/>
        <v>0</v>
      </c>
      <c r="G165">
        <f t="shared" si="8"/>
        <v>0</v>
      </c>
    </row>
    <row r="166" spans="1:7" hidden="1" x14ac:dyDescent="0.25">
      <c r="A166" s="43" t="s">
        <v>1277</v>
      </c>
      <c r="B166" s="81" t="s">
        <v>1285</v>
      </c>
      <c r="C166" s="14" t="s">
        <v>37</v>
      </c>
      <c r="D166" s="14"/>
      <c r="E166" s="15"/>
      <c r="F166" s="16">
        <f t="shared" si="9"/>
        <v>0</v>
      </c>
      <c r="G166">
        <f t="shared" si="8"/>
        <v>0</v>
      </c>
    </row>
    <row r="167" spans="1:7" hidden="1" x14ac:dyDescent="0.25">
      <c r="A167" s="43" t="s">
        <v>1278</v>
      </c>
      <c r="B167" s="81" t="s">
        <v>1286</v>
      </c>
      <c r="C167" s="14" t="s">
        <v>37</v>
      </c>
      <c r="D167" s="14"/>
      <c r="E167" s="15"/>
      <c r="F167" s="16">
        <f t="shared" si="9"/>
        <v>0</v>
      </c>
      <c r="G167">
        <f t="shared" si="8"/>
        <v>0</v>
      </c>
    </row>
    <row r="168" spans="1:7" hidden="1" x14ac:dyDescent="0.25">
      <c r="A168" s="43" t="s">
        <v>1279</v>
      </c>
      <c r="B168" s="81" t="s">
        <v>1287</v>
      </c>
      <c r="C168" s="14" t="s">
        <v>37</v>
      </c>
      <c r="D168" s="14"/>
      <c r="E168" s="15"/>
      <c r="F168" s="16">
        <f t="shared" si="9"/>
        <v>0</v>
      </c>
      <c r="G168">
        <f t="shared" si="8"/>
        <v>0</v>
      </c>
    </row>
    <row r="169" spans="1:7" hidden="1" x14ac:dyDescent="0.25">
      <c r="A169" s="44" t="s">
        <v>1289</v>
      </c>
      <c r="B169" s="80" t="s">
        <v>1290</v>
      </c>
      <c r="C169" s="14"/>
      <c r="D169" s="14"/>
      <c r="E169" s="15"/>
      <c r="F169" s="16"/>
      <c r="G169">
        <f t="shared" si="8"/>
        <v>0</v>
      </c>
    </row>
    <row r="170" spans="1:7" hidden="1" x14ac:dyDescent="0.25">
      <c r="A170" s="44" t="s">
        <v>1291</v>
      </c>
      <c r="B170" s="80" t="s">
        <v>1294</v>
      </c>
      <c r="C170" s="14"/>
      <c r="D170" s="14"/>
      <c r="E170" s="15"/>
      <c r="F170" s="16"/>
      <c r="G170">
        <f t="shared" si="8"/>
        <v>0</v>
      </c>
    </row>
    <row r="171" spans="1:7" hidden="1" x14ac:dyDescent="0.25">
      <c r="A171" s="43" t="s">
        <v>1292</v>
      </c>
      <c r="B171" s="81" t="s">
        <v>1293</v>
      </c>
      <c r="C171" s="14" t="s">
        <v>37</v>
      </c>
      <c r="D171" s="14"/>
      <c r="E171" s="15"/>
      <c r="F171" s="16">
        <f t="shared" ref="F171:F182" si="10">+D171*E171</f>
        <v>0</v>
      </c>
      <c r="G171">
        <f t="shared" si="8"/>
        <v>0</v>
      </c>
    </row>
    <row r="172" spans="1:7" hidden="1" x14ac:dyDescent="0.25">
      <c r="A172" s="43" t="s">
        <v>1303</v>
      </c>
      <c r="B172" s="81" t="s">
        <v>1295</v>
      </c>
      <c r="C172" s="14" t="s">
        <v>37</v>
      </c>
      <c r="D172" s="14"/>
      <c r="E172" s="15"/>
      <c r="F172" s="16">
        <f t="shared" si="10"/>
        <v>0</v>
      </c>
      <c r="G172">
        <f t="shared" si="8"/>
        <v>0</v>
      </c>
    </row>
    <row r="173" spans="1:7" hidden="1" x14ac:dyDescent="0.25">
      <c r="A173" s="43" t="s">
        <v>1304</v>
      </c>
      <c r="B173" s="81" t="s">
        <v>1296</v>
      </c>
      <c r="C173" s="14" t="s">
        <v>37</v>
      </c>
      <c r="D173" s="14"/>
      <c r="E173" s="15"/>
      <c r="F173" s="16">
        <f t="shared" si="10"/>
        <v>0</v>
      </c>
      <c r="G173">
        <f t="shared" si="8"/>
        <v>0</v>
      </c>
    </row>
    <row r="174" spans="1:7" hidden="1" x14ac:dyDescent="0.25">
      <c r="A174" s="43" t="s">
        <v>1305</v>
      </c>
      <c r="B174" s="81" t="s">
        <v>1297</v>
      </c>
      <c r="C174" s="14" t="s">
        <v>37</v>
      </c>
      <c r="D174" s="14"/>
      <c r="E174" s="15"/>
      <c r="F174" s="16">
        <f t="shared" si="10"/>
        <v>0</v>
      </c>
      <c r="G174">
        <f t="shared" si="8"/>
        <v>0</v>
      </c>
    </row>
    <row r="175" spans="1:7" hidden="1" x14ac:dyDescent="0.25">
      <c r="A175" s="43" t="s">
        <v>1306</v>
      </c>
      <c r="B175" s="81" t="s">
        <v>1298</v>
      </c>
      <c r="C175" s="14" t="s">
        <v>37</v>
      </c>
      <c r="D175" s="14"/>
      <c r="E175" s="15"/>
      <c r="F175" s="16">
        <f t="shared" si="10"/>
        <v>0</v>
      </c>
      <c r="G175">
        <f t="shared" si="8"/>
        <v>0</v>
      </c>
    </row>
    <row r="176" spans="1:7" hidden="1" x14ac:dyDescent="0.25">
      <c r="A176" s="43" t="s">
        <v>1307</v>
      </c>
      <c r="B176" s="81" t="s">
        <v>1299</v>
      </c>
      <c r="C176" s="14" t="s">
        <v>37</v>
      </c>
      <c r="D176" s="14"/>
      <c r="E176" s="15"/>
      <c r="F176" s="16">
        <f t="shared" si="10"/>
        <v>0</v>
      </c>
      <c r="G176">
        <f t="shared" si="8"/>
        <v>0</v>
      </c>
    </row>
    <row r="177" spans="1:7" hidden="1" x14ac:dyDescent="0.25">
      <c r="A177" s="43" t="s">
        <v>1308</v>
      </c>
      <c r="B177" s="81" t="s">
        <v>1300</v>
      </c>
      <c r="C177" s="14" t="s">
        <v>37</v>
      </c>
      <c r="D177" s="14"/>
      <c r="E177" s="15"/>
      <c r="F177" s="16">
        <f t="shared" si="10"/>
        <v>0</v>
      </c>
      <c r="G177">
        <f t="shared" si="8"/>
        <v>0</v>
      </c>
    </row>
    <row r="178" spans="1:7" hidden="1" x14ac:dyDescent="0.25">
      <c r="A178" s="43" t="s">
        <v>1309</v>
      </c>
      <c r="B178" s="81" t="s">
        <v>1301</v>
      </c>
      <c r="C178" s="14" t="s">
        <v>37</v>
      </c>
      <c r="D178" s="14"/>
      <c r="E178" s="15"/>
      <c r="F178" s="16">
        <f t="shared" si="10"/>
        <v>0</v>
      </c>
      <c r="G178">
        <f t="shared" si="8"/>
        <v>0</v>
      </c>
    </row>
    <row r="179" spans="1:7" hidden="1" x14ac:dyDescent="0.25">
      <c r="A179" s="43" t="s">
        <v>1310</v>
      </c>
      <c r="B179" s="81" t="s">
        <v>1302</v>
      </c>
      <c r="C179" s="14" t="s">
        <v>37</v>
      </c>
      <c r="D179" s="14"/>
      <c r="E179" s="15"/>
      <c r="F179" s="16">
        <f t="shared" si="10"/>
        <v>0</v>
      </c>
      <c r="G179">
        <f t="shared" si="8"/>
        <v>0</v>
      </c>
    </row>
    <row r="180" spans="1:7" hidden="1" x14ac:dyDescent="0.25">
      <c r="A180" s="43" t="s">
        <v>1314</v>
      </c>
      <c r="B180" s="81" t="s">
        <v>1311</v>
      </c>
      <c r="C180" s="14" t="s">
        <v>37</v>
      </c>
      <c r="D180" s="14"/>
      <c r="E180" s="15"/>
      <c r="F180" s="16">
        <f t="shared" si="10"/>
        <v>0</v>
      </c>
      <c r="G180">
        <f t="shared" si="8"/>
        <v>0</v>
      </c>
    </row>
    <row r="181" spans="1:7" hidden="1" x14ac:dyDescent="0.25">
      <c r="A181" s="43" t="s">
        <v>1315</v>
      </c>
      <c r="B181" s="81" t="s">
        <v>1312</v>
      </c>
      <c r="C181" s="14" t="s">
        <v>37</v>
      </c>
      <c r="D181" s="14"/>
      <c r="E181" s="15"/>
      <c r="F181" s="16">
        <f t="shared" si="10"/>
        <v>0</v>
      </c>
      <c r="G181">
        <f t="shared" si="8"/>
        <v>0</v>
      </c>
    </row>
    <row r="182" spans="1:7" hidden="1" x14ac:dyDescent="0.25">
      <c r="A182" s="43" t="s">
        <v>1316</v>
      </c>
      <c r="B182" s="81" t="s">
        <v>1313</v>
      </c>
      <c r="C182" s="14" t="s">
        <v>37</v>
      </c>
      <c r="D182" s="14"/>
      <c r="E182" s="15"/>
      <c r="F182" s="16">
        <f t="shared" si="10"/>
        <v>0</v>
      </c>
      <c r="G182">
        <f t="shared" si="8"/>
        <v>0</v>
      </c>
    </row>
    <row r="183" spans="1:7" hidden="1" x14ac:dyDescent="0.25">
      <c r="A183" s="44" t="s">
        <v>1317</v>
      </c>
      <c r="B183" s="80" t="s">
        <v>1318</v>
      </c>
      <c r="C183" s="14"/>
      <c r="D183" s="14"/>
      <c r="E183" s="15"/>
      <c r="F183" s="16"/>
      <c r="G183">
        <f t="shared" si="8"/>
        <v>0</v>
      </c>
    </row>
    <row r="184" spans="1:7" hidden="1" x14ac:dyDescent="0.25">
      <c r="A184" s="43" t="s">
        <v>1326</v>
      </c>
      <c r="B184" s="81" t="s">
        <v>1320</v>
      </c>
      <c r="C184" s="14" t="s">
        <v>37</v>
      </c>
      <c r="D184" s="14"/>
      <c r="E184" s="15"/>
      <c r="F184" s="16">
        <f t="shared" ref="F184:F201" si="11">+D184*E184</f>
        <v>0</v>
      </c>
      <c r="G184">
        <f t="shared" si="8"/>
        <v>0</v>
      </c>
    </row>
    <row r="185" spans="1:7" hidden="1" x14ac:dyDescent="0.25">
      <c r="A185" s="43" t="s">
        <v>1327</v>
      </c>
      <c r="B185" s="81" t="s">
        <v>1319</v>
      </c>
      <c r="C185" s="14" t="s">
        <v>37</v>
      </c>
      <c r="D185" s="14"/>
      <c r="E185" s="15"/>
      <c r="F185" s="16">
        <f t="shared" si="11"/>
        <v>0</v>
      </c>
      <c r="G185">
        <f t="shared" si="8"/>
        <v>0</v>
      </c>
    </row>
    <row r="186" spans="1:7" hidden="1" x14ac:dyDescent="0.25">
      <c r="A186" s="43" t="s">
        <v>1328</v>
      </c>
      <c r="B186" s="81" t="s">
        <v>1321</v>
      </c>
      <c r="C186" s="14" t="s">
        <v>37</v>
      </c>
      <c r="D186" s="14"/>
      <c r="E186" s="15"/>
      <c r="F186" s="16">
        <f t="shared" si="11"/>
        <v>0</v>
      </c>
      <c r="G186">
        <f t="shared" si="8"/>
        <v>0</v>
      </c>
    </row>
    <row r="187" spans="1:7" hidden="1" x14ac:dyDescent="0.25">
      <c r="A187" s="43" t="s">
        <v>1329</v>
      </c>
      <c r="B187" s="81" t="s">
        <v>1322</v>
      </c>
      <c r="C187" s="14" t="s">
        <v>37</v>
      </c>
      <c r="D187" s="14"/>
      <c r="E187" s="15"/>
      <c r="F187" s="16">
        <f t="shared" si="11"/>
        <v>0</v>
      </c>
      <c r="G187">
        <f t="shared" si="8"/>
        <v>0</v>
      </c>
    </row>
    <row r="188" spans="1:7" hidden="1" x14ac:dyDescent="0.25">
      <c r="A188" s="43" t="s">
        <v>1330</v>
      </c>
      <c r="B188" s="81" t="s">
        <v>1323</v>
      </c>
      <c r="C188" s="14" t="s">
        <v>37</v>
      </c>
      <c r="D188" s="14"/>
      <c r="E188" s="15"/>
      <c r="F188" s="16">
        <f t="shared" si="11"/>
        <v>0</v>
      </c>
      <c r="G188">
        <f t="shared" si="8"/>
        <v>0</v>
      </c>
    </row>
    <row r="189" spans="1:7" hidden="1" x14ac:dyDescent="0.25">
      <c r="A189" s="43" t="s">
        <v>1331</v>
      </c>
      <c r="B189" s="81" t="s">
        <v>1324</v>
      </c>
      <c r="C189" s="14" t="s">
        <v>37</v>
      </c>
      <c r="D189" s="14"/>
      <c r="E189" s="15"/>
      <c r="F189" s="16">
        <f t="shared" si="11"/>
        <v>0</v>
      </c>
      <c r="G189">
        <f t="shared" si="8"/>
        <v>0</v>
      </c>
    </row>
    <row r="190" spans="1:7" hidden="1" x14ac:dyDescent="0.25">
      <c r="A190" s="43" t="s">
        <v>1332</v>
      </c>
      <c r="B190" s="81" t="s">
        <v>1325</v>
      </c>
      <c r="C190" s="14" t="s">
        <v>37</v>
      </c>
      <c r="D190" s="14"/>
      <c r="E190" s="15">
        <f>+SUM!H188</f>
        <v>1306434</v>
      </c>
      <c r="F190" s="16">
        <f t="shared" si="11"/>
        <v>0</v>
      </c>
      <c r="G190">
        <f t="shared" si="8"/>
        <v>0</v>
      </c>
    </row>
    <row r="191" spans="1:7" hidden="1" x14ac:dyDescent="0.25">
      <c r="A191" s="43" t="s">
        <v>1333</v>
      </c>
      <c r="B191" s="81" t="s">
        <v>1336</v>
      </c>
      <c r="C191" s="14" t="s">
        <v>37</v>
      </c>
      <c r="D191" s="14"/>
      <c r="E191" s="15"/>
      <c r="F191" s="16">
        <f t="shared" si="11"/>
        <v>0</v>
      </c>
      <c r="G191">
        <f t="shared" si="8"/>
        <v>0</v>
      </c>
    </row>
    <row r="192" spans="1:7" hidden="1" x14ac:dyDescent="0.25">
      <c r="A192" s="43" t="s">
        <v>1334</v>
      </c>
      <c r="B192" s="81" t="s">
        <v>1337</v>
      </c>
      <c r="C192" s="14" t="s">
        <v>37</v>
      </c>
      <c r="D192" s="14"/>
      <c r="E192" s="15"/>
      <c r="F192" s="16">
        <f t="shared" si="11"/>
        <v>0</v>
      </c>
      <c r="G192">
        <f t="shared" si="8"/>
        <v>0</v>
      </c>
    </row>
    <row r="193" spans="1:7" hidden="1" x14ac:dyDescent="0.25">
      <c r="A193" s="43" t="s">
        <v>1335</v>
      </c>
      <c r="B193" s="81" t="s">
        <v>1338</v>
      </c>
      <c r="C193" s="14" t="s">
        <v>37</v>
      </c>
      <c r="D193" s="14"/>
      <c r="E193" s="15"/>
      <c r="F193" s="16">
        <f t="shared" si="11"/>
        <v>0</v>
      </c>
      <c r="G193">
        <f t="shared" si="8"/>
        <v>0</v>
      </c>
    </row>
    <row r="194" spans="1:7" hidden="1" x14ac:dyDescent="0.25">
      <c r="A194" s="43" t="s">
        <v>1347</v>
      </c>
      <c r="B194" s="81" t="s">
        <v>1339</v>
      </c>
      <c r="C194" s="14" t="s">
        <v>37</v>
      </c>
      <c r="D194" s="14"/>
      <c r="E194" s="15"/>
      <c r="F194" s="16">
        <f t="shared" si="11"/>
        <v>0</v>
      </c>
      <c r="G194">
        <f t="shared" si="8"/>
        <v>0</v>
      </c>
    </row>
    <row r="195" spans="1:7" hidden="1" x14ac:dyDescent="0.25">
      <c r="A195" s="43" t="s">
        <v>1348</v>
      </c>
      <c r="B195" s="81" t="s">
        <v>1340</v>
      </c>
      <c r="C195" s="14" t="s">
        <v>37</v>
      </c>
      <c r="D195" s="14"/>
      <c r="E195" s="15"/>
      <c r="F195" s="16">
        <f t="shared" si="11"/>
        <v>0</v>
      </c>
      <c r="G195">
        <f t="shared" si="8"/>
        <v>0</v>
      </c>
    </row>
    <row r="196" spans="1:7" hidden="1" x14ac:dyDescent="0.25">
      <c r="A196" s="43" t="s">
        <v>1349</v>
      </c>
      <c r="B196" s="81" t="s">
        <v>1341</v>
      </c>
      <c r="C196" s="14" t="s">
        <v>37</v>
      </c>
      <c r="D196" s="14"/>
      <c r="E196" s="15"/>
      <c r="F196" s="16">
        <f t="shared" si="11"/>
        <v>0</v>
      </c>
      <c r="G196">
        <f t="shared" si="8"/>
        <v>0</v>
      </c>
    </row>
    <row r="197" spans="1:7" hidden="1" x14ac:dyDescent="0.25">
      <c r="A197" s="43" t="s">
        <v>1350</v>
      </c>
      <c r="B197" s="81" t="s">
        <v>1342</v>
      </c>
      <c r="C197" s="14" t="s">
        <v>37</v>
      </c>
      <c r="D197" s="14"/>
      <c r="E197" s="15"/>
      <c r="F197" s="16">
        <f t="shared" si="11"/>
        <v>0</v>
      </c>
      <c r="G197">
        <f t="shared" si="8"/>
        <v>0</v>
      </c>
    </row>
    <row r="198" spans="1:7" hidden="1" x14ac:dyDescent="0.25">
      <c r="A198" s="43" t="s">
        <v>1351</v>
      </c>
      <c r="B198" s="81" t="s">
        <v>1343</v>
      </c>
      <c r="C198" s="14" t="s">
        <v>37</v>
      </c>
      <c r="D198" s="14"/>
      <c r="E198" s="15"/>
      <c r="F198" s="16">
        <f t="shared" si="11"/>
        <v>0</v>
      </c>
      <c r="G198">
        <f t="shared" si="8"/>
        <v>0</v>
      </c>
    </row>
    <row r="199" spans="1:7" hidden="1" x14ac:dyDescent="0.25">
      <c r="A199" s="43" t="s">
        <v>1352</v>
      </c>
      <c r="B199" s="81" t="s">
        <v>1344</v>
      </c>
      <c r="C199" s="14" t="s">
        <v>37</v>
      </c>
      <c r="D199" s="14"/>
      <c r="E199" s="15"/>
      <c r="F199" s="16">
        <f t="shared" si="11"/>
        <v>0</v>
      </c>
      <c r="G199">
        <f t="shared" si="8"/>
        <v>0</v>
      </c>
    </row>
    <row r="200" spans="1:7" hidden="1" x14ac:dyDescent="0.25">
      <c r="A200" s="43" t="s">
        <v>1353</v>
      </c>
      <c r="B200" s="81" t="s">
        <v>1346</v>
      </c>
      <c r="C200" s="14" t="s">
        <v>37</v>
      </c>
      <c r="D200" s="14"/>
      <c r="E200" s="15"/>
      <c r="F200" s="16">
        <f t="shared" si="11"/>
        <v>0</v>
      </c>
      <c r="G200">
        <f t="shared" si="8"/>
        <v>0</v>
      </c>
    </row>
    <row r="201" spans="1:7" hidden="1" x14ac:dyDescent="0.25">
      <c r="A201" s="43" t="s">
        <v>1354</v>
      </c>
      <c r="B201" s="81" t="s">
        <v>1345</v>
      </c>
      <c r="C201" s="14" t="s">
        <v>37</v>
      </c>
      <c r="D201" s="14"/>
      <c r="E201" s="15"/>
      <c r="F201" s="16">
        <f t="shared" si="11"/>
        <v>0</v>
      </c>
      <c r="G201">
        <f t="shared" ref="G201:G264" si="12">+IF(F201&lt;&gt;0,1,0)</f>
        <v>0</v>
      </c>
    </row>
    <row r="202" spans="1:7" hidden="1" x14ac:dyDescent="0.25">
      <c r="A202" s="44" t="s">
        <v>936</v>
      </c>
      <c r="B202" s="80" t="s">
        <v>1355</v>
      </c>
      <c r="C202" s="14"/>
      <c r="D202" s="14"/>
      <c r="E202" s="15"/>
      <c r="F202" s="16"/>
      <c r="G202">
        <f t="shared" si="12"/>
        <v>0</v>
      </c>
    </row>
    <row r="203" spans="1:7" hidden="1" x14ac:dyDescent="0.25">
      <c r="A203" s="43" t="s">
        <v>1366</v>
      </c>
      <c r="B203" s="81" t="s">
        <v>1356</v>
      </c>
      <c r="C203" s="14" t="s">
        <v>37</v>
      </c>
      <c r="D203" s="14"/>
      <c r="E203" s="15"/>
      <c r="F203" s="16">
        <f t="shared" ref="F203:F211" si="13">+D203*E203</f>
        <v>0</v>
      </c>
      <c r="G203">
        <f t="shared" si="12"/>
        <v>0</v>
      </c>
    </row>
    <row r="204" spans="1:7" hidden="1" x14ac:dyDescent="0.25">
      <c r="A204" s="43" t="s">
        <v>1367</v>
      </c>
      <c r="B204" s="81" t="s">
        <v>1357</v>
      </c>
      <c r="C204" s="14" t="s">
        <v>37</v>
      </c>
      <c r="D204" s="14"/>
      <c r="E204" s="15"/>
      <c r="F204" s="16">
        <f t="shared" si="13"/>
        <v>0</v>
      </c>
      <c r="G204">
        <f t="shared" si="12"/>
        <v>0</v>
      </c>
    </row>
    <row r="205" spans="1:7" hidden="1" x14ac:dyDescent="0.25">
      <c r="A205" s="43" t="s">
        <v>1368</v>
      </c>
      <c r="B205" s="81" t="s">
        <v>1359</v>
      </c>
      <c r="C205" s="14" t="s">
        <v>37</v>
      </c>
      <c r="D205" s="14"/>
      <c r="E205" s="15"/>
      <c r="F205" s="16">
        <f t="shared" si="13"/>
        <v>0</v>
      </c>
      <c r="G205">
        <f t="shared" si="12"/>
        <v>0</v>
      </c>
    </row>
    <row r="206" spans="1:7" hidden="1" x14ac:dyDescent="0.25">
      <c r="A206" s="43" t="s">
        <v>1369</v>
      </c>
      <c r="B206" s="81" t="s">
        <v>1358</v>
      </c>
      <c r="C206" s="14" t="s">
        <v>37</v>
      </c>
      <c r="D206" s="14"/>
      <c r="E206" s="15"/>
      <c r="F206" s="16">
        <f t="shared" si="13"/>
        <v>0</v>
      </c>
      <c r="G206">
        <f t="shared" si="12"/>
        <v>0</v>
      </c>
    </row>
    <row r="207" spans="1:7" hidden="1" x14ac:dyDescent="0.25">
      <c r="A207" s="43" t="s">
        <v>1370</v>
      </c>
      <c r="B207" s="81" t="s">
        <v>1360</v>
      </c>
      <c r="C207" s="14" t="s">
        <v>37</v>
      </c>
      <c r="D207" s="14"/>
      <c r="E207" s="15"/>
      <c r="F207" s="16">
        <f t="shared" si="13"/>
        <v>0</v>
      </c>
      <c r="G207">
        <f t="shared" si="12"/>
        <v>0</v>
      </c>
    </row>
    <row r="208" spans="1:7" hidden="1" x14ac:dyDescent="0.25">
      <c r="A208" s="43" t="s">
        <v>1371</v>
      </c>
      <c r="B208" s="81" t="s">
        <v>1361</v>
      </c>
      <c r="C208" s="14" t="s">
        <v>37</v>
      </c>
      <c r="D208" s="14"/>
      <c r="E208" s="15"/>
      <c r="F208" s="16">
        <f t="shared" si="13"/>
        <v>0</v>
      </c>
      <c r="G208">
        <f t="shared" si="12"/>
        <v>0</v>
      </c>
    </row>
    <row r="209" spans="1:7" hidden="1" x14ac:dyDescent="0.25">
      <c r="A209" s="43" t="s">
        <v>1372</v>
      </c>
      <c r="B209" s="81" t="s">
        <v>1362</v>
      </c>
      <c r="C209" s="14" t="s">
        <v>37</v>
      </c>
      <c r="D209" s="14"/>
      <c r="E209" s="15"/>
      <c r="F209" s="16">
        <f t="shared" si="13"/>
        <v>0</v>
      </c>
      <c r="G209">
        <f t="shared" si="12"/>
        <v>0</v>
      </c>
    </row>
    <row r="210" spans="1:7" hidden="1" x14ac:dyDescent="0.25">
      <c r="A210" s="43" t="s">
        <v>1373</v>
      </c>
      <c r="B210" s="81" t="s">
        <v>1363</v>
      </c>
      <c r="C210" s="14" t="s">
        <v>37</v>
      </c>
      <c r="D210" s="14"/>
      <c r="E210" s="15"/>
      <c r="F210" s="16">
        <f t="shared" si="13"/>
        <v>0</v>
      </c>
      <c r="G210">
        <f t="shared" si="12"/>
        <v>0</v>
      </c>
    </row>
    <row r="211" spans="1:7" hidden="1" x14ac:dyDescent="0.25">
      <c r="A211" s="43" t="s">
        <v>1374</v>
      </c>
      <c r="B211" s="81" t="s">
        <v>1364</v>
      </c>
      <c r="C211" s="14" t="s">
        <v>37</v>
      </c>
      <c r="D211" s="14"/>
      <c r="E211" s="15"/>
      <c r="F211" s="16">
        <f t="shared" si="13"/>
        <v>0</v>
      </c>
      <c r="G211">
        <f t="shared" si="12"/>
        <v>0</v>
      </c>
    </row>
    <row r="212" spans="1:7" hidden="1" x14ac:dyDescent="0.25">
      <c r="A212" s="44" t="s">
        <v>938</v>
      </c>
      <c r="B212" s="80" t="s">
        <v>1375</v>
      </c>
      <c r="C212" s="14"/>
      <c r="D212" s="14"/>
      <c r="E212" s="15"/>
      <c r="F212" s="16"/>
      <c r="G212">
        <f t="shared" si="12"/>
        <v>0</v>
      </c>
    </row>
    <row r="213" spans="1:7" hidden="1" x14ac:dyDescent="0.25">
      <c r="A213" s="43" t="s">
        <v>939</v>
      </c>
      <c r="B213" s="303" t="s">
        <v>1397</v>
      </c>
      <c r="C213" s="14" t="s">
        <v>37</v>
      </c>
      <c r="D213" s="14"/>
      <c r="E213" s="15"/>
      <c r="F213" s="16">
        <f t="shared" ref="F213:F234" si="14">+D213*E213</f>
        <v>0</v>
      </c>
      <c r="G213">
        <f t="shared" si="12"/>
        <v>0</v>
      </c>
    </row>
    <row r="214" spans="1:7" hidden="1" x14ac:dyDescent="0.25">
      <c r="A214" s="43" t="s">
        <v>940</v>
      </c>
      <c r="B214" s="303" t="s">
        <v>1398</v>
      </c>
      <c r="C214" s="14" t="s">
        <v>37</v>
      </c>
      <c r="D214" s="14"/>
      <c r="E214" s="15"/>
      <c r="F214" s="16">
        <f t="shared" si="14"/>
        <v>0</v>
      </c>
      <c r="G214">
        <f t="shared" si="12"/>
        <v>0</v>
      </c>
    </row>
    <row r="215" spans="1:7" hidden="1" x14ac:dyDescent="0.25">
      <c r="A215" s="43" t="s">
        <v>1376</v>
      </c>
      <c r="B215" s="303" t="s">
        <v>1396</v>
      </c>
      <c r="C215" s="14" t="s">
        <v>37</v>
      </c>
      <c r="D215" s="14"/>
      <c r="E215" s="15"/>
      <c r="F215" s="16">
        <f t="shared" si="14"/>
        <v>0</v>
      </c>
      <c r="G215">
        <f t="shared" si="12"/>
        <v>0</v>
      </c>
    </row>
    <row r="216" spans="1:7" hidden="1" x14ac:dyDescent="0.25">
      <c r="A216" s="43" t="s">
        <v>1377</v>
      </c>
      <c r="B216" s="304" t="s">
        <v>1402</v>
      </c>
      <c r="C216" s="14" t="s">
        <v>37</v>
      </c>
      <c r="D216" s="14"/>
      <c r="E216" s="15"/>
      <c r="F216" s="16">
        <f t="shared" si="14"/>
        <v>0</v>
      </c>
      <c r="G216">
        <f t="shared" si="12"/>
        <v>0</v>
      </c>
    </row>
    <row r="217" spans="1:7" hidden="1" x14ac:dyDescent="0.25">
      <c r="A217" s="43" t="s">
        <v>1378</v>
      </c>
      <c r="B217" s="304" t="s">
        <v>1403</v>
      </c>
      <c r="C217" s="14" t="s">
        <v>37</v>
      </c>
      <c r="D217" s="14"/>
      <c r="E217" s="15"/>
      <c r="F217" s="16">
        <f t="shared" si="14"/>
        <v>0</v>
      </c>
      <c r="G217">
        <f t="shared" si="12"/>
        <v>0</v>
      </c>
    </row>
    <row r="218" spans="1:7" hidden="1" x14ac:dyDescent="0.25">
      <c r="A218" s="43" t="s">
        <v>1379</v>
      </c>
      <c r="B218" s="304" t="s">
        <v>1404</v>
      </c>
      <c r="C218" s="14" t="s">
        <v>37</v>
      </c>
      <c r="D218" s="14"/>
      <c r="E218" s="15"/>
      <c r="F218" s="16">
        <f t="shared" si="14"/>
        <v>0</v>
      </c>
      <c r="G218">
        <f t="shared" si="12"/>
        <v>0</v>
      </c>
    </row>
    <row r="219" spans="1:7" hidden="1" x14ac:dyDescent="0.25">
      <c r="A219" s="43" t="s">
        <v>1380</v>
      </c>
      <c r="B219" s="304" t="s">
        <v>1405</v>
      </c>
      <c r="C219" s="14" t="s">
        <v>37</v>
      </c>
      <c r="D219" s="14"/>
      <c r="E219" s="15"/>
      <c r="F219" s="16">
        <f t="shared" si="14"/>
        <v>0</v>
      </c>
      <c r="G219">
        <f t="shared" si="12"/>
        <v>0</v>
      </c>
    </row>
    <row r="220" spans="1:7" hidden="1" x14ac:dyDescent="0.25">
      <c r="A220" s="43" t="s">
        <v>1381</v>
      </c>
      <c r="B220" s="304" t="s">
        <v>1406</v>
      </c>
      <c r="C220" s="14" t="s">
        <v>37</v>
      </c>
      <c r="D220" s="14"/>
      <c r="E220" s="15"/>
      <c r="F220" s="16">
        <f t="shared" si="14"/>
        <v>0</v>
      </c>
      <c r="G220">
        <f t="shared" si="12"/>
        <v>0</v>
      </c>
    </row>
    <row r="221" spans="1:7" hidden="1" x14ac:dyDescent="0.25">
      <c r="A221" s="43" t="s">
        <v>1382</v>
      </c>
      <c r="B221" s="304" t="s">
        <v>1407</v>
      </c>
      <c r="C221" s="14" t="s">
        <v>37</v>
      </c>
      <c r="D221" s="14"/>
      <c r="E221" s="15"/>
      <c r="F221" s="16">
        <f t="shared" si="14"/>
        <v>0</v>
      </c>
      <c r="G221">
        <f t="shared" si="12"/>
        <v>0</v>
      </c>
    </row>
    <row r="222" spans="1:7" hidden="1" x14ac:dyDescent="0.25">
      <c r="A222" s="43" t="s">
        <v>1383</v>
      </c>
      <c r="B222" s="304" t="s">
        <v>1411</v>
      </c>
      <c r="C222" s="14" t="s">
        <v>37</v>
      </c>
      <c r="D222" s="14"/>
      <c r="E222" s="15"/>
      <c r="F222" s="16">
        <f t="shared" si="14"/>
        <v>0</v>
      </c>
      <c r="G222">
        <f t="shared" si="12"/>
        <v>0</v>
      </c>
    </row>
    <row r="223" spans="1:7" hidden="1" x14ac:dyDescent="0.25">
      <c r="A223" s="43" t="s">
        <v>1384</v>
      </c>
      <c r="B223" s="303" t="s">
        <v>1415</v>
      </c>
      <c r="C223" s="14" t="s">
        <v>37</v>
      </c>
      <c r="D223" s="14"/>
      <c r="E223" s="15"/>
      <c r="F223" s="16">
        <f t="shared" si="14"/>
        <v>0</v>
      </c>
      <c r="G223">
        <f t="shared" si="12"/>
        <v>0</v>
      </c>
    </row>
    <row r="224" spans="1:7" hidden="1" x14ac:dyDescent="0.25">
      <c r="A224" s="43" t="s">
        <v>1385</v>
      </c>
      <c r="B224" s="303" t="s">
        <v>1412</v>
      </c>
      <c r="C224" s="14" t="s">
        <v>37</v>
      </c>
      <c r="D224" s="14"/>
      <c r="E224" s="15"/>
      <c r="F224" s="16">
        <f t="shared" si="14"/>
        <v>0</v>
      </c>
      <c r="G224">
        <f t="shared" si="12"/>
        <v>0</v>
      </c>
    </row>
    <row r="225" spans="1:7" hidden="1" x14ac:dyDescent="0.25">
      <c r="A225" s="43" t="s">
        <v>1386</v>
      </c>
      <c r="B225" s="303" t="s">
        <v>1413</v>
      </c>
      <c r="C225" s="14" t="s">
        <v>37</v>
      </c>
      <c r="D225" s="14"/>
      <c r="E225" s="15"/>
      <c r="F225" s="16">
        <f t="shared" si="14"/>
        <v>0</v>
      </c>
      <c r="G225">
        <f t="shared" si="12"/>
        <v>0</v>
      </c>
    </row>
    <row r="226" spans="1:7" hidden="1" x14ac:dyDescent="0.25">
      <c r="A226" s="43" t="s">
        <v>1387</v>
      </c>
      <c r="B226" s="303" t="s">
        <v>1416</v>
      </c>
      <c r="C226" s="14" t="s">
        <v>37</v>
      </c>
      <c r="D226" s="14"/>
      <c r="E226" s="15"/>
      <c r="F226" s="16">
        <f t="shared" si="14"/>
        <v>0</v>
      </c>
      <c r="G226">
        <f t="shared" si="12"/>
        <v>0</v>
      </c>
    </row>
    <row r="227" spans="1:7" hidden="1" x14ac:dyDescent="0.25">
      <c r="A227" s="43" t="s">
        <v>1388</v>
      </c>
      <c r="B227" s="303" t="s">
        <v>1414</v>
      </c>
      <c r="C227" s="14" t="s">
        <v>37</v>
      </c>
      <c r="D227" s="14"/>
      <c r="E227" s="15"/>
      <c r="F227" s="16">
        <f t="shared" si="14"/>
        <v>0</v>
      </c>
      <c r="G227">
        <f t="shared" si="12"/>
        <v>0</v>
      </c>
    </row>
    <row r="228" spans="1:7" hidden="1" x14ac:dyDescent="0.25">
      <c r="A228" s="43" t="s">
        <v>1389</v>
      </c>
      <c r="B228" s="304" t="s">
        <v>1417</v>
      </c>
      <c r="C228" s="14" t="s">
        <v>37</v>
      </c>
      <c r="D228" s="14"/>
      <c r="E228" s="15"/>
      <c r="F228" s="16">
        <f t="shared" si="14"/>
        <v>0</v>
      </c>
      <c r="G228">
        <f t="shared" si="12"/>
        <v>0</v>
      </c>
    </row>
    <row r="229" spans="1:7" hidden="1" x14ac:dyDescent="0.25">
      <c r="A229" s="43" t="s">
        <v>1390</v>
      </c>
      <c r="B229" s="304" t="s">
        <v>1410</v>
      </c>
      <c r="C229" s="14" t="s">
        <v>37</v>
      </c>
      <c r="D229" s="14"/>
      <c r="E229" s="15"/>
      <c r="F229" s="16">
        <f t="shared" si="14"/>
        <v>0</v>
      </c>
      <c r="G229">
        <f t="shared" si="12"/>
        <v>0</v>
      </c>
    </row>
    <row r="230" spans="1:7" hidden="1" x14ac:dyDescent="0.25">
      <c r="A230" s="43" t="s">
        <v>1391</v>
      </c>
      <c r="B230" s="303" t="s">
        <v>1408</v>
      </c>
      <c r="C230" s="14" t="s">
        <v>37</v>
      </c>
      <c r="D230" s="14"/>
      <c r="E230" s="15"/>
      <c r="F230" s="16">
        <f t="shared" si="14"/>
        <v>0</v>
      </c>
      <c r="G230">
        <f t="shared" si="12"/>
        <v>0</v>
      </c>
    </row>
    <row r="231" spans="1:7" hidden="1" x14ac:dyDescent="0.25">
      <c r="A231" s="43" t="s">
        <v>1392</v>
      </c>
      <c r="B231" s="304" t="s">
        <v>1409</v>
      </c>
      <c r="C231" s="14" t="s">
        <v>37</v>
      </c>
      <c r="D231" s="14"/>
      <c r="E231" s="15"/>
      <c r="F231" s="16">
        <f t="shared" si="14"/>
        <v>0</v>
      </c>
      <c r="G231">
        <f t="shared" si="12"/>
        <v>0</v>
      </c>
    </row>
    <row r="232" spans="1:7" hidden="1" x14ac:dyDescent="0.25">
      <c r="A232" s="43" t="s">
        <v>1393</v>
      </c>
      <c r="B232" s="303" t="s">
        <v>1399</v>
      </c>
      <c r="C232" s="14" t="s">
        <v>37</v>
      </c>
      <c r="D232" s="14"/>
      <c r="E232" s="15"/>
      <c r="F232" s="16">
        <f t="shared" si="14"/>
        <v>0</v>
      </c>
      <c r="G232">
        <f t="shared" si="12"/>
        <v>0</v>
      </c>
    </row>
    <row r="233" spans="1:7" hidden="1" x14ac:dyDescent="0.25">
      <c r="A233" s="43" t="s">
        <v>1394</v>
      </c>
      <c r="B233" s="304" t="s">
        <v>1400</v>
      </c>
      <c r="C233" s="14" t="s">
        <v>37</v>
      </c>
      <c r="D233" s="14"/>
      <c r="E233" s="15"/>
      <c r="F233" s="16">
        <f t="shared" si="14"/>
        <v>0</v>
      </c>
      <c r="G233">
        <f t="shared" si="12"/>
        <v>0</v>
      </c>
    </row>
    <row r="234" spans="1:7" hidden="1" x14ac:dyDescent="0.25">
      <c r="A234" s="43" t="s">
        <v>1395</v>
      </c>
      <c r="B234" s="303" t="s">
        <v>1401</v>
      </c>
      <c r="C234" s="14" t="s">
        <v>37</v>
      </c>
      <c r="D234" s="14"/>
      <c r="E234" s="15"/>
      <c r="F234" s="16">
        <f t="shared" si="14"/>
        <v>0</v>
      </c>
      <c r="G234">
        <f t="shared" si="12"/>
        <v>0</v>
      </c>
    </row>
    <row r="235" spans="1:7" hidden="1" x14ac:dyDescent="0.25">
      <c r="A235" s="44" t="s">
        <v>1365</v>
      </c>
      <c r="B235" s="80" t="s">
        <v>1454</v>
      </c>
      <c r="C235" s="14"/>
      <c r="D235" s="14"/>
      <c r="E235" s="15"/>
      <c r="F235" s="16"/>
      <c r="G235">
        <f t="shared" si="12"/>
        <v>0</v>
      </c>
    </row>
    <row r="236" spans="1:7" hidden="1" x14ac:dyDescent="0.25">
      <c r="A236" s="43" t="s">
        <v>1418</v>
      </c>
      <c r="B236" s="303" t="s">
        <v>1435</v>
      </c>
      <c r="C236" s="14" t="s">
        <v>37</v>
      </c>
      <c r="D236" s="14"/>
      <c r="E236" s="15"/>
      <c r="F236" s="16">
        <f t="shared" ref="F236:F252" si="15">+D236*E236</f>
        <v>0</v>
      </c>
      <c r="G236">
        <f t="shared" si="12"/>
        <v>0</v>
      </c>
    </row>
    <row r="237" spans="1:7" hidden="1" x14ac:dyDescent="0.25">
      <c r="A237" s="43" t="s">
        <v>1419</v>
      </c>
      <c r="B237" s="303" t="s">
        <v>1442</v>
      </c>
      <c r="C237" s="14" t="s">
        <v>37</v>
      </c>
      <c r="D237" s="14"/>
      <c r="E237" s="15"/>
      <c r="F237" s="16">
        <f t="shared" si="15"/>
        <v>0</v>
      </c>
      <c r="G237">
        <f t="shared" si="12"/>
        <v>0</v>
      </c>
    </row>
    <row r="238" spans="1:7" hidden="1" x14ac:dyDescent="0.25">
      <c r="A238" s="43" t="s">
        <v>1420</v>
      </c>
      <c r="B238" s="304" t="s">
        <v>1450</v>
      </c>
      <c r="C238" s="14" t="s">
        <v>37</v>
      </c>
      <c r="D238" s="14"/>
      <c r="E238" s="15"/>
      <c r="F238" s="16">
        <f t="shared" si="15"/>
        <v>0</v>
      </c>
      <c r="G238">
        <f t="shared" si="12"/>
        <v>0</v>
      </c>
    </row>
    <row r="239" spans="1:7" hidden="1" x14ac:dyDescent="0.25">
      <c r="A239" s="43" t="s">
        <v>1421</v>
      </c>
      <c r="B239" s="304" t="s">
        <v>1451</v>
      </c>
      <c r="C239" s="14" t="s">
        <v>37</v>
      </c>
      <c r="D239" s="14"/>
      <c r="E239" s="15"/>
      <c r="F239" s="16">
        <f t="shared" si="15"/>
        <v>0</v>
      </c>
      <c r="G239">
        <f t="shared" si="12"/>
        <v>0</v>
      </c>
    </row>
    <row r="240" spans="1:7" hidden="1" x14ac:dyDescent="0.25">
      <c r="A240" s="43" t="s">
        <v>1422</v>
      </c>
      <c r="B240" s="304" t="s">
        <v>1447</v>
      </c>
      <c r="C240" s="14" t="s">
        <v>37</v>
      </c>
      <c r="D240" s="14"/>
      <c r="E240" s="15"/>
      <c r="F240" s="16">
        <f t="shared" si="15"/>
        <v>0</v>
      </c>
      <c r="G240">
        <f t="shared" si="12"/>
        <v>0</v>
      </c>
    </row>
    <row r="241" spans="1:7" hidden="1" x14ac:dyDescent="0.25">
      <c r="A241" s="43" t="s">
        <v>1423</v>
      </c>
      <c r="B241" s="304" t="s">
        <v>1448</v>
      </c>
      <c r="C241" s="14" t="s">
        <v>37</v>
      </c>
      <c r="D241" s="14"/>
      <c r="E241" s="15"/>
      <c r="F241" s="16">
        <f t="shared" si="15"/>
        <v>0</v>
      </c>
      <c r="G241">
        <f t="shared" si="12"/>
        <v>0</v>
      </c>
    </row>
    <row r="242" spans="1:7" hidden="1" x14ac:dyDescent="0.25">
      <c r="A242" s="43" t="s">
        <v>1424</v>
      </c>
      <c r="B242" s="304" t="s">
        <v>1449</v>
      </c>
      <c r="C242" s="14" t="s">
        <v>37</v>
      </c>
      <c r="D242" s="14"/>
      <c r="E242" s="15"/>
      <c r="F242" s="16">
        <f t="shared" si="15"/>
        <v>0</v>
      </c>
      <c r="G242">
        <f t="shared" si="12"/>
        <v>0</v>
      </c>
    </row>
    <row r="243" spans="1:7" hidden="1" x14ac:dyDescent="0.25">
      <c r="A243" s="43" t="s">
        <v>1425</v>
      </c>
      <c r="B243" s="304" t="s">
        <v>1444</v>
      </c>
      <c r="C243" s="14" t="s">
        <v>37</v>
      </c>
      <c r="D243" s="14"/>
      <c r="E243" s="15"/>
      <c r="F243" s="16">
        <f t="shared" si="15"/>
        <v>0</v>
      </c>
      <c r="G243">
        <f t="shared" si="12"/>
        <v>0</v>
      </c>
    </row>
    <row r="244" spans="1:7" hidden="1" x14ac:dyDescent="0.25">
      <c r="A244" s="43" t="s">
        <v>1426</v>
      </c>
      <c r="B244" s="304" t="s">
        <v>1445</v>
      </c>
      <c r="C244" s="14" t="s">
        <v>37</v>
      </c>
      <c r="D244" s="14"/>
      <c r="E244" s="15"/>
      <c r="F244" s="16">
        <f t="shared" si="15"/>
        <v>0</v>
      </c>
      <c r="G244">
        <f t="shared" si="12"/>
        <v>0</v>
      </c>
    </row>
    <row r="245" spans="1:7" hidden="1" x14ac:dyDescent="0.25">
      <c r="A245" s="43" t="s">
        <v>1427</v>
      </c>
      <c r="B245" s="304" t="s">
        <v>1446</v>
      </c>
      <c r="C245" s="14" t="s">
        <v>37</v>
      </c>
      <c r="D245" s="14"/>
      <c r="E245" s="15"/>
      <c r="F245" s="16">
        <f t="shared" si="15"/>
        <v>0</v>
      </c>
      <c r="G245">
        <f t="shared" si="12"/>
        <v>0</v>
      </c>
    </row>
    <row r="246" spans="1:7" hidden="1" x14ac:dyDescent="0.25">
      <c r="A246" s="43" t="s">
        <v>1428</v>
      </c>
      <c r="B246" s="304" t="s">
        <v>1443</v>
      </c>
      <c r="C246" s="14" t="s">
        <v>37</v>
      </c>
      <c r="D246" s="14"/>
      <c r="E246" s="15"/>
      <c r="F246" s="16">
        <f t="shared" si="15"/>
        <v>0</v>
      </c>
      <c r="G246">
        <f t="shared" si="12"/>
        <v>0</v>
      </c>
    </row>
    <row r="247" spans="1:7" hidden="1" x14ac:dyDescent="0.25">
      <c r="A247" s="43" t="s">
        <v>1429</v>
      </c>
      <c r="B247" s="304" t="s">
        <v>1441</v>
      </c>
      <c r="C247" s="14" t="s">
        <v>37</v>
      </c>
      <c r="D247" s="14"/>
      <c r="E247" s="15"/>
      <c r="F247" s="16">
        <f t="shared" si="15"/>
        <v>0</v>
      </c>
      <c r="G247">
        <f t="shared" si="12"/>
        <v>0</v>
      </c>
    </row>
    <row r="248" spans="1:7" hidden="1" x14ac:dyDescent="0.25">
      <c r="A248" s="43" t="s">
        <v>1430</v>
      </c>
      <c r="B248" s="304" t="s">
        <v>1440</v>
      </c>
      <c r="C248" s="14" t="s">
        <v>37</v>
      </c>
      <c r="D248" s="14"/>
      <c r="E248" s="15"/>
      <c r="F248" s="16">
        <f t="shared" si="15"/>
        <v>0</v>
      </c>
      <c r="G248">
        <f t="shared" si="12"/>
        <v>0</v>
      </c>
    </row>
    <row r="249" spans="1:7" hidden="1" x14ac:dyDescent="0.25">
      <c r="A249" s="43" t="s">
        <v>1431</v>
      </c>
      <c r="B249" s="304" t="s">
        <v>1439</v>
      </c>
      <c r="C249" s="14" t="s">
        <v>37</v>
      </c>
      <c r="D249" s="14"/>
      <c r="E249" s="15"/>
      <c r="F249" s="16">
        <f t="shared" si="15"/>
        <v>0</v>
      </c>
      <c r="G249">
        <f t="shared" si="12"/>
        <v>0</v>
      </c>
    </row>
    <row r="250" spans="1:7" hidden="1" x14ac:dyDescent="0.25">
      <c r="A250" s="43" t="s">
        <v>1432</v>
      </c>
      <c r="B250" s="304" t="s">
        <v>1438</v>
      </c>
      <c r="C250" s="14" t="s">
        <v>37</v>
      </c>
      <c r="D250" s="14"/>
      <c r="E250" s="15"/>
      <c r="F250" s="16">
        <f t="shared" si="15"/>
        <v>0</v>
      </c>
      <c r="G250">
        <f t="shared" si="12"/>
        <v>0</v>
      </c>
    </row>
    <row r="251" spans="1:7" hidden="1" x14ac:dyDescent="0.25">
      <c r="A251" s="43" t="s">
        <v>1433</v>
      </c>
      <c r="B251" s="304" t="s">
        <v>1437</v>
      </c>
      <c r="C251" s="14" t="s">
        <v>37</v>
      </c>
      <c r="D251" s="14"/>
      <c r="E251" s="15"/>
      <c r="F251" s="16">
        <f t="shared" si="15"/>
        <v>0</v>
      </c>
      <c r="G251">
        <f t="shared" si="12"/>
        <v>0</v>
      </c>
    </row>
    <row r="252" spans="1:7" hidden="1" x14ac:dyDescent="0.25">
      <c r="A252" s="43" t="s">
        <v>1434</v>
      </c>
      <c r="B252" s="303" t="s">
        <v>1436</v>
      </c>
      <c r="C252" s="14" t="s">
        <v>37</v>
      </c>
      <c r="D252" s="14"/>
      <c r="E252" s="15"/>
      <c r="F252" s="16">
        <f t="shared" si="15"/>
        <v>0</v>
      </c>
      <c r="G252">
        <f t="shared" si="12"/>
        <v>0</v>
      </c>
    </row>
    <row r="253" spans="1:7" hidden="1" x14ac:dyDescent="0.25">
      <c r="A253" s="44" t="s">
        <v>941</v>
      </c>
      <c r="B253" s="305" t="s">
        <v>1452</v>
      </c>
      <c r="C253" s="14"/>
      <c r="D253" s="14"/>
      <c r="E253" s="15"/>
      <c r="F253" s="16"/>
      <c r="G253">
        <f t="shared" si="12"/>
        <v>0</v>
      </c>
    </row>
    <row r="254" spans="1:7" hidden="1" x14ac:dyDescent="0.25">
      <c r="A254" s="44" t="s">
        <v>943</v>
      </c>
      <c r="B254" s="305" t="s">
        <v>1453</v>
      </c>
      <c r="C254" s="14"/>
      <c r="D254" s="14"/>
      <c r="E254" s="15"/>
      <c r="F254" s="16"/>
      <c r="G254">
        <f t="shared" si="12"/>
        <v>0</v>
      </c>
    </row>
    <row r="255" spans="1:7" hidden="1" x14ac:dyDescent="0.25">
      <c r="A255" s="43" t="s">
        <v>1456</v>
      </c>
      <c r="B255" s="303" t="s">
        <v>1457</v>
      </c>
      <c r="C255" s="14" t="s">
        <v>37</v>
      </c>
      <c r="D255" s="14"/>
      <c r="E255" s="15"/>
      <c r="F255" s="16">
        <f>+D255*E255</f>
        <v>0</v>
      </c>
      <c r="G255">
        <f t="shared" si="12"/>
        <v>0</v>
      </c>
    </row>
    <row r="256" spans="1:7" hidden="1" x14ac:dyDescent="0.25">
      <c r="A256" s="43" t="s">
        <v>1461</v>
      </c>
      <c r="B256" s="303" t="s">
        <v>1458</v>
      </c>
      <c r="C256" s="14" t="s">
        <v>37</v>
      </c>
      <c r="D256" s="14"/>
      <c r="E256" s="15"/>
      <c r="F256" s="16">
        <f>+D256*E256</f>
        <v>0</v>
      </c>
      <c r="G256">
        <f t="shared" si="12"/>
        <v>0</v>
      </c>
    </row>
    <row r="257" spans="1:7" hidden="1" x14ac:dyDescent="0.25">
      <c r="A257" s="43" t="s">
        <v>1462</v>
      </c>
      <c r="B257" s="303" t="s">
        <v>1459</v>
      </c>
      <c r="C257" s="14" t="s">
        <v>37</v>
      </c>
      <c r="D257" s="14"/>
      <c r="E257" s="15"/>
      <c r="F257" s="16">
        <f>+D257*E257</f>
        <v>0</v>
      </c>
      <c r="G257">
        <f t="shared" si="12"/>
        <v>0</v>
      </c>
    </row>
    <row r="258" spans="1:7" hidden="1" x14ac:dyDescent="0.25">
      <c r="A258" s="43" t="s">
        <v>1463</v>
      </c>
      <c r="B258" s="303" t="s">
        <v>1460</v>
      </c>
      <c r="C258" s="14" t="s">
        <v>37</v>
      </c>
      <c r="D258" s="14"/>
      <c r="E258" s="15">
        <f>+SUM!H256</f>
        <v>329351</v>
      </c>
      <c r="F258" s="16">
        <f>+D258*E258</f>
        <v>0</v>
      </c>
      <c r="G258">
        <f t="shared" si="12"/>
        <v>0</v>
      </c>
    </row>
    <row r="259" spans="1:7" hidden="1" x14ac:dyDescent="0.25">
      <c r="A259" s="44" t="s">
        <v>1455</v>
      </c>
      <c r="B259" s="305" t="s">
        <v>1474</v>
      </c>
      <c r="C259" s="14"/>
      <c r="D259" s="14"/>
      <c r="E259" s="15"/>
      <c r="F259" s="16"/>
      <c r="G259">
        <f t="shared" si="12"/>
        <v>0</v>
      </c>
    </row>
    <row r="260" spans="1:7" hidden="1" x14ac:dyDescent="0.25">
      <c r="A260" s="43" t="s">
        <v>1476</v>
      </c>
      <c r="B260" s="303" t="s">
        <v>1464</v>
      </c>
      <c r="C260" s="14" t="s">
        <v>37</v>
      </c>
      <c r="D260" s="14"/>
      <c r="E260" s="15"/>
      <c r="F260" s="16">
        <f t="shared" ref="F260:F268" si="16">+D260*E260</f>
        <v>0</v>
      </c>
      <c r="G260">
        <f t="shared" si="12"/>
        <v>0</v>
      </c>
    </row>
    <row r="261" spans="1:7" hidden="1" x14ac:dyDescent="0.25">
      <c r="A261" s="43" t="s">
        <v>1477</v>
      </c>
      <c r="B261" s="303" t="s">
        <v>1465</v>
      </c>
      <c r="C261" s="14" t="s">
        <v>37</v>
      </c>
      <c r="D261" s="14"/>
      <c r="E261" s="15"/>
      <c r="F261" s="16">
        <f t="shared" si="16"/>
        <v>0</v>
      </c>
      <c r="G261">
        <f t="shared" si="12"/>
        <v>0</v>
      </c>
    </row>
    <row r="262" spans="1:7" hidden="1" x14ac:dyDescent="0.25">
      <c r="A262" s="43" t="s">
        <v>1478</v>
      </c>
      <c r="B262" s="303" t="s">
        <v>1466</v>
      </c>
      <c r="C262" s="14" t="s">
        <v>37</v>
      </c>
      <c r="D262" s="14"/>
      <c r="E262" s="15"/>
      <c r="F262" s="16">
        <f t="shared" si="16"/>
        <v>0</v>
      </c>
      <c r="G262">
        <f t="shared" si="12"/>
        <v>0</v>
      </c>
    </row>
    <row r="263" spans="1:7" hidden="1" x14ac:dyDescent="0.25">
      <c r="A263" s="43" t="s">
        <v>1479</v>
      </c>
      <c r="B263" s="303" t="s">
        <v>1467</v>
      </c>
      <c r="C263" s="14" t="s">
        <v>37</v>
      </c>
      <c r="D263" s="14"/>
      <c r="E263" s="15"/>
      <c r="F263" s="16">
        <f t="shared" si="16"/>
        <v>0</v>
      </c>
      <c r="G263">
        <f t="shared" si="12"/>
        <v>0</v>
      </c>
    </row>
    <row r="264" spans="1:7" hidden="1" x14ac:dyDescent="0.25">
      <c r="A264" s="43" t="s">
        <v>1480</v>
      </c>
      <c r="B264" s="303" t="s">
        <v>1468</v>
      </c>
      <c r="C264" s="14" t="s">
        <v>37</v>
      </c>
      <c r="D264" s="14"/>
      <c r="E264" s="15"/>
      <c r="F264" s="16">
        <f t="shared" si="16"/>
        <v>0</v>
      </c>
      <c r="G264">
        <f t="shared" si="12"/>
        <v>0</v>
      </c>
    </row>
    <row r="265" spans="1:7" hidden="1" x14ac:dyDescent="0.25">
      <c r="A265" s="43" t="s">
        <v>1481</v>
      </c>
      <c r="B265" s="303" t="s">
        <v>1469</v>
      </c>
      <c r="C265" s="14" t="s">
        <v>37</v>
      </c>
      <c r="D265" s="14"/>
      <c r="E265" s="15"/>
      <c r="F265" s="16">
        <f t="shared" si="16"/>
        <v>0</v>
      </c>
      <c r="G265">
        <f t="shared" ref="G265:G328" si="17">+IF(F265&lt;&gt;0,1,0)</f>
        <v>0</v>
      </c>
    </row>
    <row r="266" spans="1:7" hidden="1" x14ac:dyDescent="0.25">
      <c r="A266" s="43" t="s">
        <v>1482</v>
      </c>
      <c r="B266" s="303" t="s">
        <v>1470</v>
      </c>
      <c r="C266" s="14" t="s">
        <v>37</v>
      </c>
      <c r="D266" s="14"/>
      <c r="E266" s="15"/>
      <c r="F266" s="16">
        <f t="shared" si="16"/>
        <v>0</v>
      </c>
      <c r="G266">
        <f t="shared" si="17"/>
        <v>0</v>
      </c>
    </row>
    <row r="267" spans="1:7" hidden="1" x14ac:dyDescent="0.25">
      <c r="A267" s="43" t="s">
        <v>1483</v>
      </c>
      <c r="B267" s="303" t="s">
        <v>1471</v>
      </c>
      <c r="C267" s="14" t="s">
        <v>37</v>
      </c>
      <c r="D267" s="14"/>
      <c r="E267" s="15"/>
      <c r="F267" s="16">
        <f t="shared" si="16"/>
        <v>0</v>
      </c>
      <c r="G267">
        <f t="shared" si="17"/>
        <v>0</v>
      </c>
    </row>
    <row r="268" spans="1:7" hidden="1" x14ac:dyDescent="0.25">
      <c r="A268" s="43" t="s">
        <v>1484</v>
      </c>
      <c r="B268" s="303" t="s">
        <v>1472</v>
      </c>
      <c r="C268" s="14" t="s">
        <v>37</v>
      </c>
      <c r="D268" s="14"/>
      <c r="E268" s="15"/>
      <c r="F268" s="16">
        <f t="shared" si="16"/>
        <v>0</v>
      </c>
      <c r="G268">
        <f t="shared" si="17"/>
        <v>0</v>
      </c>
    </row>
    <row r="269" spans="1:7" hidden="1" x14ac:dyDescent="0.25">
      <c r="A269" s="44" t="s">
        <v>1475</v>
      </c>
      <c r="B269" s="305" t="s">
        <v>1473</v>
      </c>
      <c r="C269" s="14"/>
      <c r="D269" s="14"/>
      <c r="E269" s="15"/>
      <c r="F269" s="16"/>
      <c r="G269">
        <f t="shared" si="17"/>
        <v>0</v>
      </c>
    </row>
    <row r="270" spans="1:7" hidden="1" x14ac:dyDescent="0.25">
      <c r="A270" s="43" t="s">
        <v>1485</v>
      </c>
      <c r="B270" s="303" t="s">
        <v>1486</v>
      </c>
      <c r="C270" s="14" t="s">
        <v>37</v>
      </c>
      <c r="D270" s="14"/>
      <c r="E270" s="15"/>
      <c r="F270" s="16">
        <f t="shared" ref="F270:F278" si="18">+D270*E270</f>
        <v>0</v>
      </c>
      <c r="G270">
        <f t="shared" si="17"/>
        <v>0</v>
      </c>
    </row>
    <row r="271" spans="1:7" hidden="1" x14ac:dyDescent="0.25">
      <c r="A271" s="43" t="s">
        <v>1495</v>
      </c>
      <c r="B271" s="303" t="s">
        <v>1487</v>
      </c>
      <c r="C271" s="14" t="s">
        <v>37</v>
      </c>
      <c r="D271" s="14"/>
      <c r="E271" s="15"/>
      <c r="F271" s="16">
        <f t="shared" si="18"/>
        <v>0</v>
      </c>
      <c r="G271">
        <f t="shared" si="17"/>
        <v>0</v>
      </c>
    </row>
    <row r="272" spans="1:7" hidden="1" x14ac:dyDescent="0.25">
      <c r="A272" s="43" t="s">
        <v>1496</v>
      </c>
      <c r="B272" s="303" t="s">
        <v>1488</v>
      </c>
      <c r="C272" s="14" t="s">
        <v>37</v>
      </c>
      <c r="D272" s="14"/>
      <c r="E272" s="15"/>
      <c r="F272" s="16">
        <f t="shared" si="18"/>
        <v>0</v>
      </c>
      <c r="G272">
        <f t="shared" si="17"/>
        <v>0</v>
      </c>
    </row>
    <row r="273" spans="1:7" hidden="1" x14ac:dyDescent="0.25">
      <c r="A273" s="43" t="s">
        <v>1497</v>
      </c>
      <c r="B273" s="303" t="s">
        <v>1489</v>
      </c>
      <c r="C273" s="14" t="s">
        <v>37</v>
      </c>
      <c r="D273" s="14"/>
      <c r="E273" s="15"/>
      <c r="F273" s="16">
        <f t="shared" si="18"/>
        <v>0</v>
      </c>
      <c r="G273">
        <f t="shared" si="17"/>
        <v>0</v>
      </c>
    </row>
    <row r="274" spans="1:7" hidden="1" x14ac:dyDescent="0.25">
      <c r="A274" s="43" t="s">
        <v>1498</v>
      </c>
      <c r="B274" s="303" t="s">
        <v>1490</v>
      </c>
      <c r="C274" s="14" t="s">
        <v>37</v>
      </c>
      <c r="D274" s="14"/>
      <c r="E274" s="15"/>
      <c r="F274" s="16">
        <f t="shared" si="18"/>
        <v>0</v>
      </c>
      <c r="G274">
        <f t="shared" si="17"/>
        <v>0</v>
      </c>
    </row>
    <row r="275" spans="1:7" hidden="1" x14ac:dyDescent="0.25">
      <c r="A275" s="43" t="s">
        <v>1499</v>
      </c>
      <c r="B275" s="303" t="s">
        <v>1491</v>
      </c>
      <c r="C275" s="14" t="s">
        <v>37</v>
      </c>
      <c r="D275" s="14"/>
      <c r="E275" s="15"/>
      <c r="F275" s="16">
        <f t="shared" si="18"/>
        <v>0</v>
      </c>
      <c r="G275">
        <f t="shared" si="17"/>
        <v>0</v>
      </c>
    </row>
    <row r="276" spans="1:7" hidden="1" x14ac:dyDescent="0.25">
      <c r="A276" s="43" t="s">
        <v>1500</v>
      </c>
      <c r="B276" s="303" t="s">
        <v>1492</v>
      </c>
      <c r="C276" s="14" t="s">
        <v>37</v>
      </c>
      <c r="D276" s="14"/>
      <c r="E276" s="15"/>
      <c r="F276" s="16">
        <f t="shared" si="18"/>
        <v>0</v>
      </c>
      <c r="G276">
        <f t="shared" si="17"/>
        <v>0</v>
      </c>
    </row>
    <row r="277" spans="1:7" hidden="1" x14ac:dyDescent="0.25">
      <c r="A277" s="43" t="s">
        <v>1501</v>
      </c>
      <c r="B277" s="303" t="s">
        <v>1493</v>
      </c>
      <c r="C277" s="14" t="s">
        <v>37</v>
      </c>
      <c r="D277" s="14"/>
      <c r="E277" s="15"/>
      <c r="F277" s="16">
        <f t="shared" si="18"/>
        <v>0</v>
      </c>
      <c r="G277">
        <f t="shared" si="17"/>
        <v>0</v>
      </c>
    </row>
    <row r="278" spans="1:7" hidden="1" x14ac:dyDescent="0.25">
      <c r="A278" s="43" t="s">
        <v>1502</v>
      </c>
      <c r="B278" s="303" t="s">
        <v>1494</v>
      </c>
      <c r="C278" s="14" t="s">
        <v>37</v>
      </c>
      <c r="D278" s="14"/>
      <c r="E278" s="15"/>
      <c r="F278" s="16">
        <f t="shared" si="18"/>
        <v>0</v>
      </c>
      <c r="G278">
        <f t="shared" si="17"/>
        <v>0</v>
      </c>
    </row>
    <row r="279" spans="1:7" hidden="1" x14ac:dyDescent="0.25">
      <c r="A279" s="44" t="s">
        <v>1503</v>
      </c>
      <c r="B279" s="305" t="s">
        <v>1526</v>
      </c>
      <c r="C279" s="14"/>
      <c r="D279" s="14"/>
      <c r="E279" s="15"/>
      <c r="F279" s="16"/>
      <c r="G279">
        <f t="shared" si="17"/>
        <v>0</v>
      </c>
    </row>
    <row r="280" spans="1:7" hidden="1" x14ac:dyDescent="0.25">
      <c r="A280" s="43" t="s">
        <v>1515</v>
      </c>
      <c r="B280" s="303" t="s">
        <v>1504</v>
      </c>
      <c r="C280" s="14" t="s">
        <v>37</v>
      </c>
      <c r="D280" s="14"/>
      <c r="E280" s="15"/>
      <c r="F280" s="16">
        <f t="shared" ref="F280:F290" si="19">+D280*E280</f>
        <v>0</v>
      </c>
      <c r="G280">
        <f t="shared" si="17"/>
        <v>0</v>
      </c>
    </row>
    <row r="281" spans="1:7" hidden="1" x14ac:dyDescent="0.25">
      <c r="A281" s="43" t="s">
        <v>1516</v>
      </c>
      <c r="B281" s="303" t="s">
        <v>1505</v>
      </c>
      <c r="C281" s="14" t="s">
        <v>37</v>
      </c>
      <c r="D281" s="14"/>
      <c r="E281" s="15"/>
      <c r="F281" s="16">
        <f t="shared" si="19"/>
        <v>0</v>
      </c>
      <c r="G281">
        <f t="shared" si="17"/>
        <v>0</v>
      </c>
    </row>
    <row r="282" spans="1:7" hidden="1" x14ac:dyDescent="0.25">
      <c r="A282" s="43" t="s">
        <v>1517</v>
      </c>
      <c r="B282" s="303" t="s">
        <v>1506</v>
      </c>
      <c r="C282" s="14" t="s">
        <v>37</v>
      </c>
      <c r="D282" s="14"/>
      <c r="E282" s="15"/>
      <c r="F282" s="16">
        <f t="shared" si="19"/>
        <v>0</v>
      </c>
      <c r="G282">
        <f t="shared" si="17"/>
        <v>0</v>
      </c>
    </row>
    <row r="283" spans="1:7" hidden="1" x14ac:dyDescent="0.25">
      <c r="A283" s="43" t="s">
        <v>1518</v>
      </c>
      <c r="B283" s="303" t="s">
        <v>1507</v>
      </c>
      <c r="C283" s="14" t="s">
        <v>37</v>
      </c>
      <c r="D283" s="14"/>
      <c r="E283" s="15"/>
      <c r="F283" s="16">
        <f t="shared" si="19"/>
        <v>0</v>
      </c>
      <c r="G283">
        <f t="shared" si="17"/>
        <v>0</v>
      </c>
    </row>
    <row r="284" spans="1:7" hidden="1" x14ac:dyDescent="0.25">
      <c r="A284" s="43" t="s">
        <v>1519</v>
      </c>
      <c r="B284" s="303" t="s">
        <v>1508</v>
      </c>
      <c r="C284" s="14" t="s">
        <v>37</v>
      </c>
      <c r="D284" s="14"/>
      <c r="E284" s="15"/>
      <c r="F284" s="16">
        <f t="shared" si="19"/>
        <v>0</v>
      </c>
      <c r="G284">
        <f t="shared" si="17"/>
        <v>0</v>
      </c>
    </row>
    <row r="285" spans="1:7" hidden="1" x14ac:dyDescent="0.25">
      <c r="A285" s="43" t="s">
        <v>1520</v>
      </c>
      <c r="B285" s="303" t="s">
        <v>1509</v>
      </c>
      <c r="C285" s="14" t="s">
        <v>37</v>
      </c>
      <c r="D285" s="14"/>
      <c r="E285" s="15"/>
      <c r="F285" s="16">
        <f t="shared" si="19"/>
        <v>0</v>
      </c>
      <c r="G285">
        <f t="shared" si="17"/>
        <v>0</v>
      </c>
    </row>
    <row r="286" spans="1:7" hidden="1" x14ac:dyDescent="0.25">
      <c r="A286" s="43" t="s">
        <v>1521</v>
      </c>
      <c r="B286" s="303" t="s">
        <v>1510</v>
      </c>
      <c r="C286" s="14" t="s">
        <v>37</v>
      </c>
      <c r="D286" s="14"/>
      <c r="E286" s="15"/>
      <c r="F286" s="16">
        <f t="shared" si="19"/>
        <v>0</v>
      </c>
      <c r="G286">
        <f t="shared" si="17"/>
        <v>0</v>
      </c>
    </row>
    <row r="287" spans="1:7" hidden="1" x14ac:dyDescent="0.25">
      <c r="A287" s="43" t="s">
        <v>1522</v>
      </c>
      <c r="B287" s="303" t="s">
        <v>1511</v>
      </c>
      <c r="C287" s="14" t="s">
        <v>37</v>
      </c>
      <c r="D287" s="14"/>
      <c r="E287" s="15"/>
      <c r="F287" s="16">
        <f t="shared" si="19"/>
        <v>0</v>
      </c>
      <c r="G287">
        <f t="shared" si="17"/>
        <v>0</v>
      </c>
    </row>
    <row r="288" spans="1:7" hidden="1" x14ac:dyDescent="0.25">
      <c r="A288" s="43" t="s">
        <v>1523</v>
      </c>
      <c r="B288" s="303" t="s">
        <v>1512</v>
      </c>
      <c r="C288" s="14" t="s">
        <v>37</v>
      </c>
      <c r="D288" s="14"/>
      <c r="E288" s="15"/>
      <c r="F288" s="16">
        <f t="shared" si="19"/>
        <v>0</v>
      </c>
      <c r="G288">
        <f t="shared" si="17"/>
        <v>0</v>
      </c>
    </row>
    <row r="289" spans="1:7" hidden="1" x14ac:dyDescent="0.25">
      <c r="A289" s="43" t="s">
        <v>1524</v>
      </c>
      <c r="B289" s="303" t="s">
        <v>1513</v>
      </c>
      <c r="C289" s="14" t="s">
        <v>37</v>
      </c>
      <c r="D289" s="14"/>
      <c r="E289" s="15"/>
      <c r="F289" s="16">
        <f t="shared" si="19"/>
        <v>0</v>
      </c>
      <c r="G289">
        <f t="shared" si="17"/>
        <v>0</v>
      </c>
    </row>
    <row r="290" spans="1:7" hidden="1" x14ac:dyDescent="0.25">
      <c r="A290" s="43" t="s">
        <v>1525</v>
      </c>
      <c r="B290" s="303" t="s">
        <v>1514</v>
      </c>
      <c r="C290" s="14" t="s">
        <v>37</v>
      </c>
      <c r="D290" s="14"/>
      <c r="E290" s="15"/>
      <c r="F290" s="16">
        <f t="shared" si="19"/>
        <v>0</v>
      </c>
      <c r="G290">
        <f t="shared" si="17"/>
        <v>0</v>
      </c>
    </row>
    <row r="291" spans="1:7" hidden="1" x14ac:dyDescent="0.25">
      <c r="A291" s="44" t="s">
        <v>944</v>
      </c>
      <c r="B291" s="305" t="s">
        <v>937</v>
      </c>
      <c r="C291" s="14"/>
      <c r="D291" s="14"/>
      <c r="E291" s="15"/>
      <c r="F291" s="16"/>
      <c r="G291">
        <f t="shared" si="17"/>
        <v>0</v>
      </c>
    </row>
    <row r="292" spans="1:7" hidden="1" x14ac:dyDescent="0.25">
      <c r="A292" s="44" t="s">
        <v>945</v>
      </c>
      <c r="B292" s="305" t="s">
        <v>1527</v>
      </c>
      <c r="C292" s="14"/>
      <c r="D292" s="14"/>
      <c r="E292" s="15"/>
      <c r="F292" s="16"/>
      <c r="G292">
        <f t="shared" si="17"/>
        <v>0</v>
      </c>
    </row>
    <row r="293" spans="1:7" hidden="1" x14ac:dyDescent="0.25">
      <c r="A293" s="43" t="s">
        <v>1531</v>
      </c>
      <c r="B293" s="303" t="s">
        <v>1541</v>
      </c>
      <c r="C293" s="14" t="s">
        <v>37</v>
      </c>
      <c r="D293" s="14"/>
      <c r="E293" s="15"/>
      <c r="F293" s="16">
        <f t="shared" ref="F293:F301" si="20">+D293*E293</f>
        <v>0</v>
      </c>
      <c r="G293">
        <f t="shared" si="17"/>
        <v>0</v>
      </c>
    </row>
    <row r="294" spans="1:7" hidden="1" x14ac:dyDescent="0.25">
      <c r="A294" s="43" t="s">
        <v>1532</v>
      </c>
      <c r="B294" s="303" t="s">
        <v>1542</v>
      </c>
      <c r="C294" s="14" t="s">
        <v>37</v>
      </c>
      <c r="D294" s="14"/>
      <c r="E294" s="15"/>
      <c r="F294" s="16">
        <f t="shared" si="20"/>
        <v>0</v>
      </c>
      <c r="G294">
        <f t="shared" si="17"/>
        <v>0</v>
      </c>
    </row>
    <row r="295" spans="1:7" hidden="1" x14ac:dyDescent="0.25">
      <c r="A295" s="43" t="s">
        <v>1533</v>
      </c>
      <c r="B295" s="303" t="s">
        <v>1543</v>
      </c>
      <c r="C295" s="14" t="s">
        <v>37</v>
      </c>
      <c r="D295" s="14"/>
      <c r="E295" s="15"/>
      <c r="F295" s="16">
        <f t="shared" si="20"/>
        <v>0</v>
      </c>
      <c r="G295">
        <f t="shared" si="17"/>
        <v>0</v>
      </c>
    </row>
    <row r="296" spans="1:7" hidden="1" x14ac:dyDescent="0.25">
      <c r="A296" s="43" t="s">
        <v>1534</v>
      </c>
      <c r="B296" s="303" t="s">
        <v>1544</v>
      </c>
      <c r="C296" s="14" t="s">
        <v>37</v>
      </c>
      <c r="D296" s="14"/>
      <c r="E296" s="15"/>
      <c r="F296" s="16">
        <f t="shared" si="20"/>
        <v>0</v>
      </c>
      <c r="G296">
        <f t="shared" si="17"/>
        <v>0</v>
      </c>
    </row>
    <row r="297" spans="1:7" hidden="1" x14ac:dyDescent="0.25">
      <c r="A297" s="43" t="s">
        <v>1535</v>
      </c>
      <c r="B297" s="303" t="s">
        <v>1545</v>
      </c>
      <c r="C297" s="14" t="s">
        <v>37</v>
      </c>
      <c r="D297" s="14"/>
      <c r="E297" s="15"/>
      <c r="F297" s="16">
        <f t="shared" si="20"/>
        <v>0</v>
      </c>
      <c r="G297">
        <f t="shared" si="17"/>
        <v>0</v>
      </c>
    </row>
    <row r="298" spans="1:7" hidden="1" x14ac:dyDescent="0.25">
      <c r="A298" s="43" t="s">
        <v>1536</v>
      </c>
      <c r="B298" s="303" t="s">
        <v>1546</v>
      </c>
      <c r="C298" s="14" t="s">
        <v>37</v>
      </c>
      <c r="D298" s="14"/>
      <c r="E298" s="15"/>
      <c r="F298" s="16">
        <f t="shared" si="20"/>
        <v>0</v>
      </c>
      <c r="G298">
        <f t="shared" si="17"/>
        <v>0</v>
      </c>
    </row>
    <row r="299" spans="1:7" hidden="1" x14ac:dyDescent="0.25">
      <c r="A299" s="43" t="s">
        <v>1537</v>
      </c>
      <c r="B299" s="303" t="s">
        <v>1547</v>
      </c>
      <c r="C299" s="14" t="s">
        <v>37</v>
      </c>
      <c r="D299" s="14"/>
      <c r="E299" s="15"/>
      <c r="F299" s="16">
        <f t="shared" si="20"/>
        <v>0</v>
      </c>
      <c r="G299">
        <f t="shared" si="17"/>
        <v>0</v>
      </c>
    </row>
    <row r="300" spans="1:7" hidden="1" x14ac:dyDescent="0.25">
      <c r="A300" s="43" t="s">
        <v>1538</v>
      </c>
      <c r="B300" s="303" t="s">
        <v>1548</v>
      </c>
      <c r="C300" s="14" t="s">
        <v>37</v>
      </c>
      <c r="D300" s="14"/>
      <c r="E300" s="15"/>
      <c r="F300" s="16">
        <f t="shared" si="20"/>
        <v>0</v>
      </c>
      <c r="G300">
        <f t="shared" si="17"/>
        <v>0</v>
      </c>
    </row>
    <row r="301" spans="1:7" hidden="1" x14ac:dyDescent="0.25">
      <c r="A301" s="43" t="s">
        <v>1539</v>
      </c>
      <c r="B301" s="303" t="s">
        <v>1549</v>
      </c>
      <c r="C301" s="14" t="s">
        <v>37</v>
      </c>
      <c r="D301" s="14"/>
      <c r="E301" s="15"/>
      <c r="F301" s="16">
        <f t="shared" si="20"/>
        <v>0</v>
      </c>
      <c r="G301">
        <f t="shared" si="17"/>
        <v>0</v>
      </c>
    </row>
    <row r="302" spans="1:7" hidden="1" x14ac:dyDescent="0.25">
      <c r="A302" s="44" t="s">
        <v>1528</v>
      </c>
      <c r="B302" s="305" t="s">
        <v>1530</v>
      </c>
      <c r="C302" s="14"/>
      <c r="D302" s="14"/>
      <c r="E302" s="15"/>
      <c r="F302" s="16"/>
      <c r="G302">
        <f t="shared" si="17"/>
        <v>0</v>
      </c>
    </row>
    <row r="303" spans="1:7" hidden="1" x14ac:dyDescent="0.25">
      <c r="A303" s="43" t="s">
        <v>1540</v>
      </c>
      <c r="B303" s="303" t="s">
        <v>1550</v>
      </c>
      <c r="C303" s="14" t="s">
        <v>37</v>
      </c>
      <c r="D303" s="14"/>
      <c r="E303" s="15"/>
      <c r="F303" s="16">
        <f t="shared" ref="F303:F311" si="21">+D303*E303</f>
        <v>0</v>
      </c>
      <c r="G303">
        <f t="shared" si="17"/>
        <v>0</v>
      </c>
    </row>
    <row r="304" spans="1:7" hidden="1" x14ac:dyDescent="0.25">
      <c r="A304" s="43" t="s">
        <v>1559</v>
      </c>
      <c r="B304" s="303" t="s">
        <v>1551</v>
      </c>
      <c r="C304" s="14" t="s">
        <v>37</v>
      </c>
      <c r="D304" s="14"/>
      <c r="E304" s="15"/>
      <c r="F304" s="16">
        <f t="shared" si="21"/>
        <v>0</v>
      </c>
      <c r="G304">
        <f t="shared" si="17"/>
        <v>0</v>
      </c>
    </row>
    <row r="305" spans="1:7" hidden="1" x14ac:dyDescent="0.25">
      <c r="A305" s="43" t="s">
        <v>1560</v>
      </c>
      <c r="B305" s="303" t="s">
        <v>1552</v>
      </c>
      <c r="C305" s="14" t="s">
        <v>37</v>
      </c>
      <c r="D305" s="14"/>
      <c r="E305" s="15"/>
      <c r="F305" s="16">
        <f t="shared" si="21"/>
        <v>0</v>
      </c>
      <c r="G305">
        <f t="shared" si="17"/>
        <v>0</v>
      </c>
    </row>
    <row r="306" spans="1:7" hidden="1" x14ac:dyDescent="0.25">
      <c r="A306" s="43" t="s">
        <v>1561</v>
      </c>
      <c r="B306" s="303" t="s">
        <v>1553</v>
      </c>
      <c r="C306" s="14" t="s">
        <v>37</v>
      </c>
      <c r="D306" s="14"/>
      <c r="E306" s="15"/>
      <c r="F306" s="16">
        <f t="shared" si="21"/>
        <v>0</v>
      </c>
      <c r="G306">
        <f t="shared" si="17"/>
        <v>0</v>
      </c>
    </row>
    <row r="307" spans="1:7" hidden="1" x14ac:dyDescent="0.25">
      <c r="A307" s="43" t="s">
        <v>1562</v>
      </c>
      <c r="B307" s="303" t="s">
        <v>1554</v>
      </c>
      <c r="C307" s="14" t="s">
        <v>37</v>
      </c>
      <c r="D307" s="14"/>
      <c r="E307" s="15"/>
      <c r="F307" s="16">
        <f t="shared" si="21"/>
        <v>0</v>
      </c>
      <c r="G307">
        <f t="shared" si="17"/>
        <v>0</v>
      </c>
    </row>
    <row r="308" spans="1:7" hidden="1" x14ac:dyDescent="0.25">
      <c r="A308" s="43" t="s">
        <v>1563</v>
      </c>
      <c r="B308" s="303" t="s">
        <v>1555</v>
      </c>
      <c r="C308" s="14" t="s">
        <v>37</v>
      </c>
      <c r="D308" s="14"/>
      <c r="E308" s="15"/>
      <c r="F308" s="16">
        <f t="shared" si="21"/>
        <v>0</v>
      </c>
      <c r="G308">
        <f t="shared" si="17"/>
        <v>0</v>
      </c>
    </row>
    <row r="309" spans="1:7" hidden="1" x14ac:dyDescent="0.25">
      <c r="A309" s="43" t="s">
        <v>1564</v>
      </c>
      <c r="B309" s="303" t="s">
        <v>1556</v>
      </c>
      <c r="C309" s="14" t="s">
        <v>37</v>
      </c>
      <c r="D309" s="14"/>
      <c r="E309" s="15"/>
      <c r="F309" s="16">
        <f t="shared" si="21"/>
        <v>0</v>
      </c>
      <c r="G309">
        <f t="shared" si="17"/>
        <v>0</v>
      </c>
    </row>
    <row r="310" spans="1:7" hidden="1" x14ac:dyDescent="0.25">
      <c r="A310" s="43" t="s">
        <v>1565</v>
      </c>
      <c r="B310" s="303" t="s">
        <v>1557</v>
      </c>
      <c r="C310" s="14" t="s">
        <v>37</v>
      </c>
      <c r="D310" s="14"/>
      <c r="E310" s="15"/>
      <c r="F310" s="16">
        <f t="shared" si="21"/>
        <v>0</v>
      </c>
      <c r="G310">
        <f t="shared" si="17"/>
        <v>0</v>
      </c>
    </row>
    <row r="311" spans="1:7" hidden="1" x14ac:dyDescent="0.25">
      <c r="A311" s="43" t="s">
        <v>1566</v>
      </c>
      <c r="B311" s="303" t="s">
        <v>1558</v>
      </c>
      <c r="C311" s="14" t="s">
        <v>37</v>
      </c>
      <c r="D311" s="14"/>
      <c r="E311" s="15"/>
      <c r="F311" s="16">
        <f t="shared" si="21"/>
        <v>0</v>
      </c>
      <c r="G311">
        <f t="shared" si="17"/>
        <v>0</v>
      </c>
    </row>
    <row r="312" spans="1:7" hidden="1" x14ac:dyDescent="0.25">
      <c r="A312" s="65" t="s">
        <v>1529</v>
      </c>
      <c r="B312" s="66" t="s">
        <v>1640</v>
      </c>
      <c r="C312" s="67"/>
      <c r="D312" s="14"/>
      <c r="E312" s="15"/>
      <c r="F312" s="16"/>
      <c r="G312">
        <f t="shared" si="17"/>
        <v>0</v>
      </c>
    </row>
    <row r="313" spans="1:7" hidden="1" x14ac:dyDescent="0.25">
      <c r="A313" s="71" t="s">
        <v>939</v>
      </c>
      <c r="B313" s="83" t="s">
        <v>1567</v>
      </c>
      <c r="C313" s="67" t="s">
        <v>37</v>
      </c>
      <c r="D313" s="14"/>
      <c r="E313" s="15"/>
      <c r="F313" s="16">
        <f>+D313*E313</f>
        <v>0</v>
      </c>
      <c r="G313">
        <f t="shared" si="17"/>
        <v>0</v>
      </c>
    </row>
    <row r="314" spans="1:7" hidden="1" x14ac:dyDescent="0.25">
      <c r="A314" s="71" t="s">
        <v>940</v>
      </c>
      <c r="B314" s="83" t="s">
        <v>1568</v>
      </c>
      <c r="C314" s="67" t="s">
        <v>37</v>
      </c>
      <c r="D314" s="14"/>
      <c r="E314" s="15"/>
      <c r="F314" s="16">
        <f>+D314*E314</f>
        <v>0</v>
      </c>
      <c r="G314">
        <f t="shared" si="17"/>
        <v>0</v>
      </c>
    </row>
    <row r="315" spans="1:7" hidden="1" x14ac:dyDescent="0.25">
      <c r="A315" s="71" t="s">
        <v>1376</v>
      </c>
      <c r="B315" s="83" t="s">
        <v>1638</v>
      </c>
      <c r="C315" s="67" t="s">
        <v>37</v>
      </c>
      <c r="D315" s="14"/>
      <c r="E315" s="15"/>
      <c r="F315" s="16">
        <f>+D315*E315</f>
        <v>0</v>
      </c>
      <c r="G315">
        <f t="shared" si="17"/>
        <v>0</v>
      </c>
    </row>
    <row r="316" spans="1:7" hidden="1" x14ac:dyDescent="0.25">
      <c r="A316" s="71" t="s">
        <v>1377</v>
      </c>
      <c r="B316" s="83" t="s">
        <v>1639</v>
      </c>
      <c r="C316" s="67" t="s">
        <v>37</v>
      </c>
      <c r="D316" s="14"/>
      <c r="E316" s="15"/>
      <c r="F316" s="16">
        <f>+D316*E316</f>
        <v>0</v>
      </c>
      <c r="G316">
        <f t="shared" si="17"/>
        <v>0</v>
      </c>
    </row>
    <row r="317" spans="1:7" hidden="1" x14ac:dyDescent="0.25">
      <c r="A317" s="65" t="s">
        <v>946</v>
      </c>
      <c r="B317" s="84" t="s">
        <v>942</v>
      </c>
      <c r="C317" s="67"/>
      <c r="D317" s="14"/>
      <c r="E317" s="15"/>
      <c r="F317" s="16"/>
      <c r="G317">
        <f t="shared" si="17"/>
        <v>0</v>
      </c>
    </row>
    <row r="318" spans="1:7" hidden="1" x14ac:dyDescent="0.25">
      <c r="A318" s="65" t="s">
        <v>947</v>
      </c>
      <c r="B318" s="84" t="s">
        <v>1569</v>
      </c>
      <c r="C318" s="67"/>
      <c r="D318" s="14"/>
      <c r="E318" s="15"/>
      <c r="F318" s="16"/>
      <c r="G318">
        <f t="shared" si="17"/>
        <v>0</v>
      </c>
    </row>
    <row r="319" spans="1:7" hidden="1" x14ac:dyDescent="0.25">
      <c r="A319" s="71" t="s">
        <v>1579</v>
      </c>
      <c r="B319" s="83" t="s">
        <v>1571</v>
      </c>
      <c r="C319" s="14" t="s">
        <v>37</v>
      </c>
      <c r="D319" s="14"/>
      <c r="E319" s="15"/>
      <c r="F319" s="16">
        <f t="shared" ref="F319:F327" si="22">+D319*E319</f>
        <v>0</v>
      </c>
      <c r="G319">
        <f t="shared" si="17"/>
        <v>0</v>
      </c>
    </row>
    <row r="320" spans="1:7" hidden="1" x14ac:dyDescent="0.25">
      <c r="A320" s="71" t="s">
        <v>1580</v>
      </c>
      <c r="B320" s="83" t="s">
        <v>1572</v>
      </c>
      <c r="C320" s="14" t="s">
        <v>37</v>
      </c>
      <c r="D320" s="14"/>
      <c r="E320" s="15"/>
      <c r="F320" s="16">
        <f t="shared" si="22"/>
        <v>0</v>
      </c>
      <c r="G320">
        <f t="shared" si="17"/>
        <v>0</v>
      </c>
    </row>
    <row r="321" spans="1:7" hidden="1" x14ac:dyDescent="0.25">
      <c r="A321" s="71" t="s">
        <v>1581</v>
      </c>
      <c r="B321" s="83" t="s">
        <v>1570</v>
      </c>
      <c r="C321" s="14" t="s">
        <v>37</v>
      </c>
      <c r="D321" s="14"/>
      <c r="E321" s="15"/>
      <c r="F321" s="16">
        <f t="shared" si="22"/>
        <v>0</v>
      </c>
      <c r="G321">
        <f t="shared" si="17"/>
        <v>0</v>
      </c>
    </row>
    <row r="322" spans="1:7" hidden="1" x14ac:dyDescent="0.25">
      <c r="A322" s="71" t="s">
        <v>1582</v>
      </c>
      <c r="B322" s="83" t="s">
        <v>1573</v>
      </c>
      <c r="C322" s="14" t="s">
        <v>37</v>
      </c>
      <c r="D322" s="14"/>
      <c r="E322" s="15"/>
      <c r="F322" s="16">
        <f t="shared" si="22"/>
        <v>0</v>
      </c>
      <c r="G322">
        <f t="shared" si="17"/>
        <v>0</v>
      </c>
    </row>
    <row r="323" spans="1:7" hidden="1" x14ac:dyDescent="0.25">
      <c r="A323" s="71" t="s">
        <v>1583</v>
      </c>
      <c r="B323" s="83" t="s">
        <v>1574</v>
      </c>
      <c r="C323" s="14" t="s">
        <v>37</v>
      </c>
      <c r="D323" s="14"/>
      <c r="E323" s="15"/>
      <c r="F323" s="16">
        <f t="shared" si="22"/>
        <v>0</v>
      </c>
      <c r="G323">
        <f t="shared" si="17"/>
        <v>0</v>
      </c>
    </row>
    <row r="324" spans="1:7" hidden="1" x14ac:dyDescent="0.25">
      <c r="A324" s="71" t="s">
        <v>1584</v>
      </c>
      <c r="B324" s="83" t="s">
        <v>1575</v>
      </c>
      <c r="C324" s="14" t="s">
        <v>37</v>
      </c>
      <c r="D324" s="14"/>
      <c r="E324" s="15"/>
      <c r="F324" s="16">
        <f t="shared" si="22"/>
        <v>0</v>
      </c>
      <c r="G324">
        <f t="shared" si="17"/>
        <v>0</v>
      </c>
    </row>
    <row r="325" spans="1:7" hidden="1" x14ac:dyDescent="0.25">
      <c r="A325" s="71" t="s">
        <v>1585</v>
      </c>
      <c r="B325" s="83" t="s">
        <v>1576</v>
      </c>
      <c r="C325" s="14" t="s">
        <v>37</v>
      </c>
      <c r="D325" s="14"/>
      <c r="E325" s="15"/>
      <c r="F325" s="16">
        <f t="shared" si="22"/>
        <v>0</v>
      </c>
      <c r="G325">
        <f t="shared" si="17"/>
        <v>0</v>
      </c>
    </row>
    <row r="326" spans="1:7" hidden="1" x14ac:dyDescent="0.25">
      <c r="A326" s="71" t="s">
        <v>1586</v>
      </c>
      <c r="B326" s="83" t="s">
        <v>1577</v>
      </c>
      <c r="C326" s="14" t="s">
        <v>37</v>
      </c>
      <c r="D326" s="14"/>
      <c r="E326" s="15"/>
      <c r="F326" s="16">
        <f t="shared" si="22"/>
        <v>0</v>
      </c>
      <c r="G326">
        <f t="shared" si="17"/>
        <v>0</v>
      </c>
    </row>
    <row r="327" spans="1:7" hidden="1" x14ac:dyDescent="0.25">
      <c r="A327" s="71" t="s">
        <v>1649</v>
      </c>
      <c r="B327" s="83" t="s">
        <v>1578</v>
      </c>
      <c r="C327" s="14" t="s">
        <v>37</v>
      </c>
      <c r="D327" s="14"/>
      <c r="E327" s="15"/>
      <c r="F327" s="16">
        <f t="shared" si="22"/>
        <v>0</v>
      </c>
      <c r="G327">
        <f t="shared" si="17"/>
        <v>0</v>
      </c>
    </row>
    <row r="328" spans="1:7" hidden="1" x14ac:dyDescent="0.25">
      <c r="A328" s="65" t="s">
        <v>1642</v>
      </c>
      <c r="B328" s="84" t="s">
        <v>1641</v>
      </c>
      <c r="C328" s="67"/>
      <c r="D328" s="14"/>
      <c r="E328" s="15"/>
      <c r="F328" s="16"/>
      <c r="G328">
        <f t="shared" si="17"/>
        <v>0</v>
      </c>
    </row>
    <row r="329" spans="1:7" hidden="1" x14ac:dyDescent="0.25">
      <c r="A329" s="43" t="s">
        <v>1596</v>
      </c>
      <c r="B329" s="83" t="s">
        <v>1643</v>
      </c>
      <c r="C329" s="14" t="s">
        <v>37</v>
      </c>
      <c r="D329" s="14"/>
      <c r="E329" s="15"/>
      <c r="F329" s="16">
        <f t="shared" ref="F329:F334" si="23">+D329*E329</f>
        <v>0</v>
      </c>
      <c r="G329">
        <f t="shared" ref="G329:G392" si="24">+IF(F329&lt;&gt;0,1,0)</f>
        <v>0</v>
      </c>
    </row>
    <row r="330" spans="1:7" hidden="1" x14ac:dyDescent="0.25">
      <c r="A330" s="43" t="s">
        <v>1597</v>
      </c>
      <c r="B330" s="83" t="s">
        <v>1644</v>
      </c>
      <c r="C330" s="14" t="s">
        <v>37</v>
      </c>
      <c r="D330" s="14"/>
      <c r="E330" s="15"/>
      <c r="F330" s="16">
        <f t="shared" si="23"/>
        <v>0</v>
      </c>
      <c r="G330">
        <f t="shared" si="24"/>
        <v>0</v>
      </c>
    </row>
    <row r="331" spans="1:7" hidden="1" x14ac:dyDescent="0.25">
      <c r="A331" s="43" t="s">
        <v>1598</v>
      </c>
      <c r="B331" s="83" t="s">
        <v>1648</v>
      </c>
      <c r="C331" s="14" t="s">
        <v>37</v>
      </c>
      <c r="D331" s="14"/>
      <c r="E331" s="15"/>
      <c r="F331" s="16">
        <f t="shared" si="23"/>
        <v>0</v>
      </c>
      <c r="G331">
        <f t="shared" si="24"/>
        <v>0</v>
      </c>
    </row>
    <row r="332" spans="1:7" hidden="1" x14ac:dyDescent="0.25">
      <c r="A332" s="43" t="s">
        <v>1599</v>
      </c>
      <c r="B332" s="83" t="s">
        <v>1645</v>
      </c>
      <c r="C332" s="14" t="s">
        <v>37</v>
      </c>
      <c r="D332" s="14"/>
      <c r="E332" s="15"/>
      <c r="F332" s="16">
        <f t="shared" si="23"/>
        <v>0</v>
      </c>
      <c r="G332">
        <f t="shared" si="24"/>
        <v>0</v>
      </c>
    </row>
    <row r="333" spans="1:7" hidden="1" x14ac:dyDescent="0.25">
      <c r="A333" s="43" t="s">
        <v>1600</v>
      </c>
      <c r="B333" s="83" t="s">
        <v>1646</v>
      </c>
      <c r="C333" s="14" t="s">
        <v>37</v>
      </c>
      <c r="D333" s="14"/>
      <c r="E333" s="15"/>
      <c r="F333" s="16">
        <f t="shared" si="23"/>
        <v>0</v>
      </c>
      <c r="G333">
        <f t="shared" si="24"/>
        <v>0</v>
      </c>
    </row>
    <row r="334" spans="1:7" hidden="1" x14ac:dyDescent="0.25">
      <c r="A334" s="43" t="s">
        <v>1601</v>
      </c>
      <c r="B334" s="83" t="s">
        <v>1647</v>
      </c>
      <c r="C334" s="14" t="s">
        <v>37</v>
      </c>
      <c r="D334" s="14"/>
      <c r="E334" s="15"/>
      <c r="F334" s="16">
        <f t="shared" si="23"/>
        <v>0</v>
      </c>
      <c r="G334">
        <f t="shared" si="24"/>
        <v>0</v>
      </c>
    </row>
    <row r="335" spans="1:7" hidden="1" x14ac:dyDescent="0.25">
      <c r="A335" s="44" t="s">
        <v>1650</v>
      </c>
      <c r="B335" s="80" t="s">
        <v>1587</v>
      </c>
      <c r="C335" s="14"/>
      <c r="D335" s="14"/>
      <c r="E335" s="15"/>
      <c r="F335" s="16"/>
      <c r="G335">
        <f t="shared" si="24"/>
        <v>0</v>
      </c>
    </row>
    <row r="336" spans="1:7" hidden="1" x14ac:dyDescent="0.25">
      <c r="A336" s="43" t="s">
        <v>1602</v>
      </c>
      <c r="B336" s="81" t="s">
        <v>1588</v>
      </c>
      <c r="C336" s="14" t="s">
        <v>37</v>
      </c>
      <c r="D336" s="14"/>
      <c r="E336" s="15"/>
      <c r="F336" s="16">
        <f t="shared" ref="F336:F343" si="25">+D336*E336</f>
        <v>0</v>
      </c>
      <c r="G336">
        <f t="shared" si="24"/>
        <v>0</v>
      </c>
    </row>
    <row r="337" spans="1:7" hidden="1" x14ac:dyDescent="0.25">
      <c r="A337" s="43" t="s">
        <v>1610</v>
      </c>
      <c r="B337" s="81" t="s">
        <v>1618</v>
      </c>
      <c r="C337" s="14" t="s">
        <v>37</v>
      </c>
      <c r="D337" s="14"/>
      <c r="E337" s="15"/>
      <c r="F337" s="16">
        <f t="shared" si="25"/>
        <v>0</v>
      </c>
      <c r="G337">
        <f t="shared" si="24"/>
        <v>0</v>
      </c>
    </row>
    <row r="338" spans="1:7" hidden="1" x14ac:dyDescent="0.25">
      <c r="A338" s="43" t="s">
        <v>1611</v>
      </c>
      <c r="B338" s="81" t="s">
        <v>1589</v>
      </c>
      <c r="C338" s="14" t="s">
        <v>37</v>
      </c>
      <c r="D338" s="14"/>
      <c r="E338" s="15"/>
      <c r="F338" s="16">
        <f t="shared" si="25"/>
        <v>0</v>
      </c>
      <c r="G338">
        <f t="shared" si="24"/>
        <v>0</v>
      </c>
    </row>
    <row r="339" spans="1:7" hidden="1" x14ac:dyDescent="0.25">
      <c r="A339" s="43" t="s">
        <v>1612</v>
      </c>
      <c r="B339" s="81" t="s">
        <v>1590</v>
      </c>
      <c r="C339" s="14" t="s">
        <v>37</v>
      </c>
      <c r="D339" s="14"/>
      <c r="E339" s="15"/>
      <c r="F339" s="16">
        <f t="shared" si="25"/>
        <v>0</v>
      </c>
      <c r="G339">
        <f t="shared" si="24"/>
        <v>0</v>
      </c>
    </row>
    <row r="340" spans="1:7" hidden="1" x14ac:dyDescent="0.25">
      <c r="A340" s="43" t="s">
        <v>1613</v>
      </c>
      <c r="B340" s="81" t="s">
        <v>1591</v>
      </c>
      <c r="C340" s="14" t="s">
        <v>37</v>
      </c>
      <c r="D340" s="14"/>
      <c r="E340" s="15"/>
      <c r="F340" s="16">
        <f t="shared" si="25"/>
        <v>0</v>
      </c>
      <c r="G340">
        <f t="shared" si="24"/>
        <v>0</v>
      </c>
    </row>
    <row r="341" spans="1:7" hidden="1" x14ac:dyDescent="0.25">
      <c r="A341" s="43" t="s">
        <v>1614</v>
      </c>
      <c r="B341" s="81" t="s">
        <v>1592</v>
      </c>
      <c r="C341" s="14" t="s">
        <v>37</v>
      </c>
      <c r="D341" s="14"/>
      <c r="E341" s="15"/>
      <c r="F341" s="16">
        <f t="shared" si="25"/>
        <v>0</v>
      </c>
      <c r="G341">
        <f t="shared" si="24"/>
        <v>0</v>
      </c>
    </row>
    <row r="342" spans="1:7" hidden="1" x14ac:dyDescent="0.25">
      <c r="A342" s="43" t="s">
        <v>1615</v>
      </c>
      <c r="B342" s="81" t="s">
        <v>1593</v>
      </c>
      <c r="C342" s="14" t="s">
        <v>37</v>
      </c>
      <c r="D342" s="14"/>
      <c r="E342" s="15"/>
      <c r="F342" s="16">
        <f t="shared" si="25"/>
        <v>0</v>
      </c>
      <c r="G342">
        <f t="shared" si="24"/>
        <v>0</v>
      </c>
    </row>
    <row r="343" spans="1:7" hidden="1" x14ac:dyDescent="0.25">
      <c r="A343" s="43" t="s">
        <v>1620</v>
      </c>
      <c r="B343" s="81" t="s">
        <v>1594</v>
      </c>
      <c r="C343" s="14" t="s">
        <v>37</v>
      </c>
      <c r="D343" s="14"/>
      <c r="E343" s="15"/>
      <c r="F343" s="16">
        <f t="shared" si="25"/>
        <v>0</v>
      </c>
      <c r="G343">
        <f t="shared" si="24"/>
        <v>0</v>
      </c>
    </row>
    <row r="344" spans="1:7" hidden="1" x14ac:dyDescent="0.25">
      <c r="A344" s="78" t="s">
        <v>1616</v>
      </c>
      <c r="B344" s="80" t="s">
        <v>1595</v>
      </c>
      <c r="C344" s="14"/>
      <c r="D344" s="14"/>
      <c r="E344" s="15"/>
      <c r="F344" s="16"/>
      <c r="G344">
        <f t="shared" si="24"/>
        <v>0</v>
      </c>
    </row>
    <row r="345" spans="1:7" hidden="1" x14ac:dyDescent="0.25">
      <c r="A345" s="85" t="s">
        <v>1621</v>
      </c>
      <c r="B345" s="81" t="s">
        <v>1603</v>
      </c>
      <c r="C345" s="14" t="s">
        <v>37</v>
      </c>
      <c r="D345" s="14"/>
      <c r="E345" s="15"/>
      <c r="F345" s="16">
        <f t="shared" ref="F345:F353" si="26">+D345*E345</f>
        <v>0</v>
      </c>
      <c r="G345">
        <f t="shared" si="24"/>
        <v>0</v>
      </c>
    </row>
    <row r="346" spans="1:7" hidden="1" x14ac:dyDescent="0.25">
      <c r="A346" s="85" t="s">
        <v>1622</v>
      </c>
      <c r="B346" s="81" t="s">
        <v>1619</v>
      </c>
      <c r="C346" s="14" t="s">
        <v>37</v>
      </c>
      <c r="D346" s="14"/>
      <c r="E346" s="15"/>
      <c r="F346" s="16">
        <f t="shared" si="26"/>
        <v>0</v>
      </c>
      <c r="G346">
        <f t="shared" si="24"/>
        <v>0</v>
      </c>
    </row>
    <row r="347" spans="1:7" hidden="1" x14ac:dyDescent="0.25">
      <c r="A347" s="85" t="s">
        <v>1623</v>
      </c>
      <c r="B347" s="81" t="s">
        <v>1604</v>
      </c>
      <c r="C347" s="14" t="s">
        <v>37</v>
      </c>
      <c r="D347" s="14"/>
      <c r="E347" s="15"/>
      <c r="F347" s="16">
        <f t="shared" si="26"/>
        <v>0</v>
      </c>
      <c r="G347">
        <f t="shared" si="24"/>
        <v>0</v>
      </c>
    </row>
    <row r="348" spans="1:7" hidden="1" x14ac:dyDescent="0.25">
      <c r="A348" s="85" t="s">
        <v>1624</v>
      </c>
      <c r="B348" s="81" t="s">
        <v>1605</v>
      </c>
      <c r="C348" s="14" t="s">
        <v>37</v>
      </c>
      <c r="D348" s="14"/>
      <c r="E348" s="15"/>
      <c r="F348" s="16">
        <f t="shared" si="26"/>
        <v>0</v>
      </c>
      <c r="G348">
        <f t="shared" si="24"/>
        <v>0</v>
      </c>
    </row>
    <row r="349" spans="1:7" hidden="1" x14ac:dyDescent="0.25">
      <c r="A349" s="85" t="s">
        <v>1625</v>
      </c>
      <c r="B349" s="81" t="s">
        <v>1606</v>
      </c>
      <c r="C349" s="14" t="s">
        <v>37</v>
      </c>
      <c r="D349" s="14"/>
      <c r="E349" s="15"/>
      <c r="F349" s="16">
        <f t="shared" si="26"/>
        <v>0</v>
      </c>
      <c r="G349">
        <f t="shared" si="24"/>
        <v>0</v>
      </c>
    </row>
    <row r="350" spans="1:7" hidden="1" x14ac:dyDescent="0.25">
      <c r="A350" s="85" t="s">
        <v>1626</v>
      </c>
      <c r="B350" s="81" t="s">
        <v>1607</v>
      </c>
      <c r="C350" s="14" t="s">
        <v>37</v>
      </c>
      <c r="D350" s="14"/>
      <c r="E350" s="15"/>
      <c r="F350" s="16">
        <f t="shared" si="26"/>
        <v>0</v>
      </c>
      <c r="G350">
        <f t="shared" si="24"/>
        <v>0</v>
      </c>
    </row>
    <row r="351" spans="1:7" hidden="1" x14ac:dyDescent="0.25">
      <c r="A351" s="85" t="s">
        <v>1627</v>
      </c>
      <c r="B351" s="81" t="s">
        <v>1609</v>
      </c>
      <c r="C351" s="14" t="s">
        <v>37</v>
      </c>
      <c r="D351" s="14"/>
      <c r="E351" s="15"/>
      <c r="F351" s="16">
        <f t="shared" si="26"/>
        <v>0</v>
      </c>
      <c r="G351">
        <f t="shared" si="24"/>
        <v>0</v>
      </c>
    </row>
    <row r="352" spans="1:7" hidden="1" x14ac:dyDescent="0.25">
      <c r="A352" s="85" t="s">
        <v>1628</v>
      </c>
      <c r="B352" s="81" t="s">
        <v>1608</v>
      </c>
      <c r="C352" s="14" t="s">
        <v>37</v>
      </c>
      <c r="D352" s="14"/>
      <c r="E352" s="15"/>
      <c r="F352" s="16">
        <f t="shared" si="26"/>
        <v>0</v>
      </c>
      <c r="G352">
        <f t="shared" si="24"/>
        <v>0</v>
      </c>
    </row>
    <row r="353" spans="1:7" hidden="1" x14ac:dyDescent="0.25">
      <c r="A353" s="110" t="s">
        <v>1652</v>
      </c>
      <c r="B353" s="109" t="s">
        <v>1637</v>
      </c>
      <c r="C353" s="14" t="s">
        <v>37</v>
      </c>
      <c r="D353" s="14"/>
      <c r="E353" s="15"/>
      <c r="F353" s="16">
        <f t="shared" si="26"/>
        <v>0</v>
      </c>
      <c r="G353">
        <f t="shared" si="24"/>
        <v>0</v>
      </c>
    </row>
    <row r="354" spans="1:7" hidden="1" x14ac:dyDescent="0.25">
      <c r="A354" s="78" t="s">
        <v>1651</v>
      </c>
      <c r="B354" s="80" t="s">
        <v>1617</v>
      </c>
      <c r="C354" s="14"/>
      <c r="D354" s="14"/>
      <c r="E354" s="15"/>
      <c r="F354" s="16"/>
      <c r="G354">
        <f t="shared" si="24"/>
        <v>0</v>
      </c>
    </row>
    <row r="355" spans="1:7" hidden="1" x14ac:dyDescent="0.25">
      <c r="A355" s="85" t="s">
        <v>1653</v>
      </c>
      <c r="B355" s="81" t="s">
        <v>1629</v>
      </c>
      <c r="C355" s="14" t="s">
        <v>37</v>
      </c>
      <c r="D355" s="14"/>
      <c r="E355" s="15"/>
      <c r="F355" s="16">
        <f t="shared" ref="F355:F362" si="27">+D355*E355</f>
        <v>0</v>
      </c>
      <c r="G355">
        <f t="shared" si="24"/>
        <v>0</v>
      </c>
    </row>
    <row r="356" spans="1:7" hidden="1" x14ac:dyDescent="0.25">
      <c r="A356" s="85" t="s">
        <v>1654</v>
      </c>
      <c r="B356" s="81" t="s">
        <v>1630</v>
      </c>
      <c r="C356" s="14" t="s">
        <v>37</v>
      </c>
      <c r="D356" s="14"/>
      <c r="E356" s="15"/>
      <c r="F356" s="16">
        <f t="shared" si="27"/>
        <v>0</v>
      </c>
      <c r="G356">
        <f t="shared" si="24"/>
        <v>0</v>
      </c>
    </row>
    <row r="357" spans="1:7" hidden="1" x14ac:dyDescent="0.25">
      <c r="A357" s="85" t="s">
        <v>1655</v>
      </c>
      <c r="B357" s="81" t="s">
        <v>1631</v>
      </c>
      <c r="C357" s="14" t="s">
        <v>37</v>
      </c>
      <c r="D357" s="14"/>
      <c r="E357" s="15"/>
      <c r="F357" s="16">
        <f t="shared" si="27"/>
        <v>0</v>
      </c>
      <c r="G357">
        <f t="shared" si="24"/>
        <v>0</v>
      </c>
    </row>
    <row r="358" spans="1:7" hidden="1" x14ac:dyDescent="0.25">
      <c r="A358" s="85" t="s">
        <v>1656</v>
      </c>
      <c r="B358" s="81" t="s">
        <v>1632</v>
      </c>
      <c r="C358" s="14" t="s">
        <v>37</v>
      </c>
      <c r="D358" s="14"/>
      <c r="E358" s="15"/>
      <c r="F358" s="16">
        <f t="shared" si="27"/>
        <v>0</v>
      </c>
      <c r="G358">
        <f t="shared" si="24"/>
        <v>0</v>
      </c>
    </row>
    <row r="359" spans="1:7" hidden="1" x14ac:dyDescent="0.25">
      <c r="A359" s="85" t="s">
        <v>1657</v>
      </c>
      <c r="B359" s="81" t="s">
        <v>1633</v>
      </c>
      <c r="C359" s="14" t="s">
        <v>37</v>
      </c>
      <c r="D359" s="14"/>
      <c r="E359" s="15"/>
      <c r="F359" s="16">
        <f t="shared" si="27"/>
        <v>0</v>
      </c>
      <c r="G359">
        <f t="shared" si="24"/>
        <v>0</v>
      </c>
    </row>
    <row r="360" spans="1:7" hidden="1" x14ac:dyDescent="0.25">
      <c r="A360" s="85" t="s">
        <v>1658</v>
      </c>
      <c r="B360" s="81" t="s">
        <v>1634</v>
      </c>
      <c r="C360" s="14" t="s">
        <v>37</v>
      </c>
      <c r="D360" s="14"/>
      <c r="E360" s="15"/>
      <c r="F360" s="16">
        <f t="shared" si="27"/>
        <v>0</v>
      </c>
      <c r="G360">
        <f t="shared" si="24"/>
        <v>0</v>
      </c>
    </row>
    <row r="361" spans="1:7" hidden="1" x14ac:dyDescent="0.25">
      <c r="A361" s="85" t="s">
        <v>1659</v>
      </c>
      <c r="B361" s="81" t="s">
        <v>1635</v>
      </c>
      <c r="C361" s="14" t="s">
        <v>37</v>
      </c>
      <c r="D361" s="14"/>
      <c r="E361" s="15"/>
      <c r="F361" s="16">
        <f t="shared" si="27"/>
        <v>0</v>
      </c>
      <c r="G361">
        <f t="shared" si="24"/>
        <v>0</v>
      </c>
    </row>
    <row r="362" spans="1:7" hidden="1" x14ac:dyDescent="0.25">
      <c r="A362" s="85" t="s">
        <v>1660</v>
      </c>
      <c r="B362" s="81" t="s">
        <v>1636</v>
      </c>
      <c r="C362" s="14" t="s">
        <v>37</v>
      </c>
      <c r="D362" s="14"/>
      <c r="E362" s="15"/>
      <c r="F362" s="16">
        <f t="shared" si="27"/>
        <v>0</v>
      </c>
      <c r="G362">
        <f t="shared" si="24"/>
        <v>0</v>
      </c>
    </row>
    <row r="363" spans="1:7" hidden="1" x14ac:dyDescent="0.25">
      <c r="A363" s="78" t="s">
        <v>1661</v>
      </c>
      <c r="B363" s="80" t="s">
        <v>1662</v>
      </c>
      <c r="C363" s="14"/>
      <c r="D363" s="14"/>
      <c r="E363" s="15"/>
      <c r="F363" s="16"/>
      <c r="G363">
        <f t="shared" si="24"/>
        <v>0</v>
      </c>
    </row>
    <row r="364" spans="1:7" hidden="1" x14ac:dyDescent="0.25">
      <c r="A364" s="85" t="s">
        <v>1663</v>
      </c>
      <c r="B364" s="81" t="s">
        <v>1664</v>
      </c>
      <c r="C364" s="14" t="s">
        <v>37</v>
      </c>
      <c r="D364" s="14"/>
      <c r="E364" s="15"/>
      <c r="F364" s="16">
        <f t="shared" ref="F364:F369" si="28">+D364*E364</f>
        <v>0</v>
      </c>
      <c r="G364">
        <f t="shared" si="24"/>
        <v>0</v>
      </c>
    </row>
    <row r="365" spans="1:7" hidden="1" x14ac:dyDescent="0.25">
      <c r="A365" s="85" t="s">
        <v>1670</v>
      </c>
      <c r="B365" s="81" t="s">
        <v>1665</v>
      </c>
      <c r="C365" s="14" t="s">
        <v>37</v>
      </c>
      <c r="D365" s="14"/>
      <c r="E365" s="15"/>
      <c r="F365" s="16">
        <f t="shared" si="28"/>
        <v>0</v>
      </c>
      <c r="G365">
        <f t="shared" si="24"/>
        <v>0</v>
      </c>
    </row>
    <row r="366" spans="1:7" hidden="1" x14ac:dyDescent="0.25">
      <c r="A366" s="85" t="s">
        <v>1671</v>
      </c>
      <c r="B366" s="81" t="s">
        <v>1666</v>
      </c>
      <c r="C366" s="14" t="s">
        <v>37</v>
      </c>
      <c r="D366" s="14"/>
      <c r="E366" s="15"/>
      <c r="F366" s="16">
        <f t="shared" si="28"/>
        <v>0</v>
      </c>
      <c r="G366">
        <f t="shared" si="24"/>
        <v>0</v>
      </c>
    </row>
    <row r="367" spans="1:7" hidden="1" x14ac:dyDescent="0.25">
      <c r="A367" s="85" t="s">
        <v>1672</v>
      </c>
      <c r="B367" s="81" t="s">
        <v>1667</v>
      </c>
      <c r="C367" s="14" t="s">
        <v>37</v>
      </c>
      <c r="D367" s="14"/>
      <c r="E367" s="15"/>
      <c r="F367" s="16">
        <f t="shared" si="28"/>
        <v>0</v>
      </c>
      <c r="G367">
        <f t="shared" si="24"/>
        <v>0</v>
      </c>
    </row>
    <row r="368" spans="1:7" hidden="1" x14ac:dyDescent="0.25">
      <c r="A368" s="85" t="s">
        <v>1673</v>
      </c>
      <c r="B368" s="81" t="s">
        <v>1668</v>
      </c>
      <c r="C368" s="14" t="s">
        <v>37</v>
      </c>
      <c r="D368" s="14"/>
      <c r="E368" s="15"/>
      <c r="F368" s="16">
        <f t="shared" si="28"/>
        <v>0</v>
      </c>
      <c r="G368">
        <f t="shared" si="24"/>
        <v>0</v>
      </c>
    </row>
    <row r="369" spans="1:7" hidden="1" x14ac:dyDescent="0.25">
      <c r="A369" s="85" t="s">
        <v>1674</v>
      </c>
      <c r="B369" s="81" t="s">
        <v>1669</v>
      </c>
      <c r="C369" s="14" t="s">
        <v>37</v>
      </c>
      <c r="D369" s="14"/>
      <c r="E369" s="15"/>
      <c r="F369" s="16">
        <f t="shared" si="28"/>
        <v>0</v>
      </c>
      <c r="G369">
        <f t="shared" si="24"/>
        <v>0</v>
      </c>
    </row>
    <row r="370" spans="1:7" hidden="1" x14ac:dyDescent="0.25">
      <c r="A370" s="61" t="s">
        <v>948</v>
      </c>
      <c r="B370" s="62" t="s">
        <v>949</v>
      </c>
      <c r="C370" s="63"/>
      <c r="D370" s="14"/>
      <c r="E370" s="15"/>
      <c r="F370" s="16"/>
      <c r="G370">
        <f t="shared" si="24"/>
        <v>0</v>
      </c>
    </row>
    <row r="371" spans="1:7" hidden="1" x14ac:dyDescent="0.25">
      <c r="A371" s="44" t="s">
        <v>950</v>
      </c>
      <c r="B371" s="80" t="s">
        <v>1715</v>
      </c>
      <c r="C371" s="14"/>
      <c r="D371" s="14"/>
      <c r="E371" s="15"/>
      <c r="F371" s="16"/>
      <c r="G371">
        <f t="shared" si="24"/>
        <v>0</v>
      </c>
    </row>
    <row r="372" spans="1:7" hidden="1" x14ac:dyDescent="0.25">
      <c r="A372" s="43" t="s">
        <v>1716</v>
      </c>
      <c r="B372" s="112" t="s">
        <v>1726</v>
      </c>
      <c r="C372" s="14" t="s">
        <v>14</v>
      </c>
      <c r="D372" s="14"/>
      <c r="E372" s="15"/>
      <c r="F372" s="16">
        <f t="shared" ref="F372:F391" si="29">+D372*E372</f>
        <v>0</v>
      </c>
      <c r="G372">
        <f t="shared" si="24"/>
        <v>0</v>
      </c>
    </row>
    <row r="373" spans="1:7" hidden="1" x14ac:dyDescent="0.25">
      <c r="A373" s="43" t="s">
        <v>1717</v>
      </c>
      <c r="B373" s="112" t="s">
        <v>1727</v>
      </c>
      <c r="C373" s="14" t="s">
        <v>14</v>
      </c>
      <c r="D373" s="14"/>
      <c r="E373" s="15"/>
      <c r="F373" s="16">
        <f t="shared" si="29"/>
        <v>0</v>
      </c>
      <c r="G373">
        <f t="shared" si="24"/>
        <v>0</v>
      </c>
    </row>
    <row r="374" spans="1:7" hidden="1" x14ac:dyDescent="0.25">
      <c r="A374" s="43" t="s">
        <v>951</v>
      </c>
      <c r="B374" s="112" t="s">
        <v>1728</v>
      </c>
      <c r="C374" s="14" t="s">
        <v>14</v>
      </c>
      <c r="D374" s="14"/>
      <c r="E374" s="15"/>
      <c r="F374" s="16">
        <f t="shared" si="29"/>
        <v>0</v>
      </c>
      <c r="G374">
        <f t="shared" si="24"/>
        <v>0</v>
      </c>
    </row>
    <row r="375" spans="1:7" hidden="1" x14ac:dyDescent="0.25">
      <c r="A375" s="43" t="s">
        <v>1718</v>
      </c>
      <c r="B375" s="81" t="s">
        <v>1729</v>
      </c>
      <c r="C375" s="14" t="s">
        <v>14</v>
      </c>
      <c r="D375" s="14"/>
      <c r="E375" s="15"/>
      <c r="F375" s="16">
        <f t="shared" si="29"/>
        <v>0</v>
      </c>
      <c r="G375">
        <f t="shared" si="24"/>
        <v>0</v>
      </c>
    </row>
    <row r="376" spans="1:7" hidden="1" x14ac:dyDescent="0.25">
      <c r="A376" s="43" t="s">
        <v>1719</v>
      </c>
      <c r="B376" s="81" t="s">
        <v>1730</v>
      </c>
      <c r="C376" s="14" t="s">
        <v>14</v>
      </c>
      <c r="D376" s="14"/>
      <c r="E376" s="15"/>
      <c r="F376" s="16">
        <f t="shared" si="29"/>
        <v>0</v>
      </c>
      <c r="G376">
        <f t="shared" si="24"/>
        <v>0</v>
      </c>
    </row>
    <row r="377" spans="1:7" hidden="1" x14ac:dyDescent="0.25">
      <c r="A377" s="43" t="s">
        <v>952</v>
      </c>
      <c r="B377" s="111" t="s">
        <v>1784</v>
      </c>
      <c r="C377" s="14" t="s">
        <v>14</v>
      </c>
      <c r="D377" s="14"/>
      <c r="E377" s="15"/>
      <c r="F377" s="16">
        <f t="shared" si="29"/>
        <v>0</v>
      </c>
      <c r="G377">
        <f t="shared" si="24"/>
        <v>0</v>
      </c>
    </row>
    <row r="378" spans="1:7" hidden="1" x14ac:dyDescent="0.25">
      <c r="A378" s="43" t="s">
        <v>1720</v>
      </c>
      <c r="B378" s="111" t="s">
        <v>1785</v>
      </c>
      <c r="C378" s="14" t="s">
        <v>14</v>
      </c>
      <c r="D378" s="14"/>
      <c r="E378" s="15"/>
      <c r="F378" s="16">
        <f t="shared" si="29"/>
        <v>0</v>
      </c>
      <c r="G378">
        <f t="shared" si="24"/>
        <v>0</v>
      </c>
    </row>
    <row r="379" spans="1:7" hidden="1" x14ac:dyDescent="0.25">
      <c r="A379" s="43" t="s">
        <v>1721</v>
      </c>
      <c r="B379" s="81" t="s">
        <v>1731</v>
      </c>
      <c r="C379" s="14" t="s">
        <v>14</v>
      </c>
      <c r="D379" s="14"/>
      <c r="E379" s="15"/>
      <c r="F379" s="16">
        <f t="shared" si="29"/>
        <v>0</v>
      </c>
      <c r="G379">
        <f t="shared" si="24"/>
        <v>0</v>
      </c>
    </row>
    <row r="380" spans="1:7" hidden="1" x14ac:dyDescent="0.25">
      <c r="A380" s="43" t="s">
        <v>1722</v>
      </c>
      <c r="B380" s="111" t="s">
        <v>1786</v>
      </c>
      <c r="C380" s="14" t="s">
        <v>14</v>
      </c>
      <c r="D380" s="14"/>
      <c r="E380" s="15"/>
      <c r="F380" s="16">
        <f t="shared" si="29"/>
        <v>0</v>
      </c>
      <c r="G380">
        <f t="shared" si="24"/>
        <v>0</v>
      </c>
    </row>
    <row r="381" spans="1:7" hidden="1" x14ac:dyDescent="0.25">
      <c r="A381" s="43" t="s">
        <v>1723</v>
      </c>
      <c r="B381" s="81" t="s">
        <v>1732</v>
      </c>
      <c r="C381" s="14" t="s">
        <v>14</v>
      </c>
      <c r="D381" s="14"/>
      <c r="E381" s="15"/>
      <c r="F381" s="16">
        <f t="shared" si="29"/>
        <v>0</v>
      </c>
      <c r="G381">
        <f t="shared" si="24"/>
        <v>0</v>
      </c>
    </row>
    <row r="382" spans="1:7" hidden="1" x14ac:dyDescent="0.25">
      <c r="A382" s="43" t="s">
        <v>1724</v>
      </c>
      <c r="B382" s="111" t="s">
        <v>1787</v>
      </c>
      <c r="C382" s="14" t="s">
        <v>14</v>
      </c>
      <c r="D382" s="14"/>
      <c r="E382" s="15"/>
      <c r="F382" s="16">
        <f t="shared" si="29"/>
        <v>0</v>
      </c>
      <c r="G382">
        <f t="shared" si="24"/>
        <v>0</v>
      </c>
    </row>
    <row r="383" spans="1:7" hidden="1" x14ac:dyDescent="0.25">
      <c r="A383" s="43" t="s">
        <v>1793</v>
      </c>
      <c r="B383" s="81" t="s">
        <v>1733</v>
      </c>
      <c r="C383" s="14" t="s">
        <v>14</v>
      </c>
      <c r="D383" s="14"/>
      <c r="E383" s="15"/>
      <c r="F383" s="16">
        <f t="shared" si="29"/>
        <v>0</v>
      </c>
      <c r="G383">
        <f t="shared" si="24"/>
        <v>0</v>
      </c>
    </row>
    <row r="384" spans="1:7" hidden="1" x14ac:dyDescent="0.25">
      <c r="A384" s="43" t="s">
        <v>1794</v>
      </c>
      <c r="B384" s="111" t="s">
        <v>1788</v>
      </c>
      <c r="C384" s="14" t="s">
        <v>14</v>
      </c>
      <c r="D384" s="14"/>
      <c r="E384" s="15"/>
      <c r="F384" s="16">
        <f t="shared" si="29"/>
        <v>0</v>
      </c>
      <c r="G384">
        <f t="shared" si="24"/>
        <v>0</v>
      </c>
    </row>
    <row r="385" spans="1:7" hidden="1" x14ac:dyDescent="0.25">
      <c r="A385" s="43" t="s">
        <v>1795</v>
      </c>
      <c r="B385" s="81" t="s">
        <v>1734</v>
      </c>
      <c r="C385" s="14" t="s">
        <v>14</v>
      </c>
      <c r="D385" s="14"/>
      <c r="E385" s="15"/>
      <c r="F385" s="16">
        <f t="shared" si="29"/>
        <v>0</v>
      </c>
      <c r="G385">
        <f t="shared" si="24"/>
        <v>0</v>
      </c>
    </row>
    <row r="386" spans="1:7" hidden="1" x14ac:dyDescent="0.25">
      <c r="A386" s="43" t="s">
        <v>1796</v>
      </c>
      <c r="B386" s="81" t="s">
        <v>1735</v>
      </c>
      <c r="C386" s="14" t="s">
        <v>14</v>
      </c>
      <c r="D386" s="14"/>
      <c r="E386" s="15"/>
      <c r="F386" s="16">
        <f t="shared" si="29"/>
        <v>0</v>
      </c>
      <c r="G386">
        <f t="shared" si="24"/>
        <v>0</v>
      </c>
    </row>
    <row r="387" spans="1:7" hidden="1" x14ac:dyDescent="0.25">
      <c r="A387" s="43" t="s">
        <v>1797</v>
      </c>
      <c r="B387" s="81" t="s">
        <v>1736</v>
      </c>
      <c r="C387" s="14" t="s">
        <v>14</v>
      </c>
      <c r="D387" s="14"/>
      <c r="E387" s="15"/>
      <c r="F387" s="16">
        <f t="shared" si="29"/>
        <v>0</v>
      </c>
      <c r="G387">
        <f t="shared" si="24"/>
        <v>0</v>
      </c>
    </row>
    <row r="388" spans="1:7" hidden="1" x14ac:dyDescent="0.25">
      <c r="A388" s="43" t="s">
        <v>1798</v>
      </c>
      <c r="B388" s="111" t="s">
        <v>1789</v>
      </c>
      <c r="C388" s="14" t="s">
        <v>14</v>
      </c>
      <c r="D388" s="14"/>
      <c r="E388" s="15"/>
      <c r="F388" s="16">
        <f t="shared" si="29"/>
        <v>0</v>
      </c>
      <c r="G388">
        <f t="shared" si="24"/>
        <v>0</v>
      </c>
    </row>
    <row r="389" spans="1:7" hidden="1" x14ac:dyDescent="0.25">
      <c r="A389" s="43" t="s">
        <v>1799</v>
      </c>
      <c r="B389" s="111" t="s">
        <v>1790</v>
      </c>
      <c r="C389" s="14" t="s">
        <v>14</v>
      </c>
      <c r="D389" s="14"/>
      <c r="E389" s="15"/>
      <c r="F389" s="16">
        <f t="shared" si="29"/>
        <v>0</v>
      </c>
      <c r="G389">
        <f t="shared" si="24"/>
        <v>0</v>
      </c>
    </row>
    <row r="390" spans="1:7" hidden="1" x14ac:dyDescent="0.25">
      <c r="A390" s="43" t="s">
        <v>1800</v>
      </c>
      <c r="B390" s="111" t="s">
        <v>1791</v>
      </c>
      <c r="C390" s="14" t="s">
        <v>14</v>
      </c>
      <c r="D390" s="14"/>
      <c r="E390" s="15"/>
      <c r="F390" s="16">
        <f t="shared" si="29"/>
        <v>0</v>
      </c>
      <c r="G390">
        <f t="shared" si="24"/>
        <v>0</v>
      </c>
    </row>
    <row r="391" spans="1:7" hidden="1" x14ac:dyDescent="0.25">
      <c r="A391" s="43" t="s">
        <v>1801</v>
      </c>
      <c r="B391" s="111" t="s">
        <v>1792</v>
      </c>
      <c r="C391" s="14" t="s">
        <v>14</v>
      </c>
      <c r="D391" s="14"/>
      <c r="E391" s="15"/>
      <c r="F391" s="16">
        <f t="shared" si="29"/>
        <v>0</v>
      </c>
      <c r="G391">
        <f t="shared" si="24"/>
        <v>0</v>
      </c>
    </row>
    <row r="392" spans="1:7" hidden="1" x14ac:dyDescent="0.25">
      <c r="A392" s="44" t="s">
        <v>1748</v>
      </c>
      <c r="B392" s="80" t="s">
        <v>1725</v>
      </c>
      <c r="C392" s="14"/>
      <c r="D392" s="14"/>
      <c r="E392" s="15"/>
      <c r="F392" s="16"/>
      <c r="G392">
        <f t="shared" si="24"/>
        <v>0</v>
      </c>
    </row>
    <row r="393" spans="1:7" hidden="1" x14ac:dyDescent="0.25">
      <c r="A393" s="43" t="s">
        <v>1749</v>
      </c>
      <c r="B393" s="112" t="s">
        <v>1737</v>
      </c>
      <c r="C393" s="14" t="s">
        <v>14</v>
      </c>
      <c r="D393" s="14"/>
      <c r="E393" s="15"/>
      <c r="F393" s="16">
        <f t="shared" ref="F393:F457" si="30">+D393*E393</f>
        <v>0</v>
      </c>
      <c r="G393">
        <f t="shared" ref="G393:G456" si="31">+IF(F393&lt;&gt;0,1,0)</f>
        <v>0</v>
      </c>
    </row>
    <row r="394" spans="1:7" hidden="1" x14ac:dyDescent="0.25">
      <c r="A394" s="43" t="s">
        <v>1750</v>
      </c>
      <c r="B394" s="112" t="s">
        <v>1738</v>
      </c>
      <c r="C394" s="14" t="s">
        <v>14</v>
      </c>
      <c r="D394" s="14"/>
      <c r="E394" s="15"/>
      <c r="F394" s="16">
        <f t="shared" si="30"/>
        <v>0</v>
      </c>
      <c r="G394">
        <f t="shared" si="31"/>
        <v>0</v>
      </c>
    </row>
    <row r="395" spans="1:7" hidden="1" x14ac:dyDescent="0.25">
      <c r="A395" s="43" t="s">
        <v>1751</v>
      </c>
      <c r="B395" s="112" t="s">
        <v>1739</v>
      </c>
      <c r="C395" s="14" t="s">
        <v>14</v>
      </c>
      <c r="D395" s="14"/>
      <c r="E395" s="15"/>
      <c r="F395" s="16">
        <f t="shared" si="30"/>
        <v>0</v>
      </c>
      <c r="G395">
        <f t="shared" si="31"/>
        <v>0</v>
      </c>
    </row>
    <row r="396" spans="1:7" hidden="1" x14ac:dyDescent="0.25">
      <c r="A396" s="43" t="s">
        <v>1752</v>
      </c>
      <c r="B396" s="81" t="s">
        <v>1740</v>
      </c>
      <c r="C396" s="14" t="s">
        <v>14</v>
      </c>
      <c r="D396" s="14"/>
      <c r="E396" s="15"/>
      <c r="F396" s="16">
        <f t="shared" si="30"/>
        <v>0</v>
      </c>
      <c r="G396">
        <f t="shared" si="31"/>
        <v>0</v>
      </c>
    </row>
    <row r="397" spans="1:7" hidden="1" x14ac:dyDescent="0.25">
      <c r="A397" s="43" t="s">
        <v>1753</v>
      </c>
      <c r="B397" s="81" t="s">
        <v>1741</v>
      </c>
      <c r="C397" s="14" t="s">
        <v>14</v>
      </c>
      <c r="D397" s="14"/>
      <c r="E397" s="15"/>
      <c r="F397" s="16">
        <f t="shared" si="30"/>
        <v>0</v>
      </c>
      <c r="G397">
        <f t="shared" si="31"/>
        <v>0</v>
      </c>
    </row>
    <row r="398" spans="1:7" hidden="1" x14ac:dyDescent="0.25">
      <c r="A398" s="43" t="s">
        <v>1754</v>
      </c>
      <c r="B398" s="111" t="s">
        <v>1802</v>
      </c>
      <c r="C398" s="14" t="s">
        <v>14</v>
      </c>
      <c r="D398" s="14"/>
      <c r="E398" s="15"/>
      <c r="F398" s="16">
        <f t="shared" si="30"/>
        <v>0</v>
      </c>
      <c r="G398">
        <f t="shared" si="31"/>
        <v>0</v>
      </c>
    </row>
    <row r="399" spans="1:7" hidden="1" x14ac:dyDescent="0.25">
      <c r="A399" s="43" t="s">
        <v>1755</v>
      </c>
      <c r="B399" s="111" t="s">
        <v>1803</v>
      </c>
      <c r="C399" s="14" t="s">
        <v>14</v>
      </c>
      <c r="D399" s="14"/>
      <c r="E399" s="15"/>
      <c r="F399" s="16">
        <f t="shared" si="30"/>
        <v>0</v>
      </c>
      <c r="G399">
        <f t="shared" si="31"/>
        <v>0</v>
      </c>
    </row>
    <row r="400" spans="1:7" hidden="1" x14ac:dyDescent="0.25">
      <c r="A400" s="43" t="s">
        <v>1756</v>
      </c>
      <c r="B400" s="81" t="s">
        <v>1742</v>
      </c>
      <c r="C400" s="14" t="s">
        <v>14</v>
      </c>
      <c r="D400" s="14"/>
      <c r="E400" s="15"/>
      <c r="F400" s="16">
        <f t="shared" si="30"/>
        <v>0</v>
      </c>
      <c r="G400">
        <f t="shared" si="31"/>
        <v>0</v>
      </c>
    </row>
    <row r="401" spans="1:7" hidden="1" x14ac:dyDescent="0.25">
      <c r="A401" s="43" t="s">
        <v>1757</v>
      </c>
      <c r="B401" s="111" t="s">
        <v>1804</v>
      </c>
      <c r="C401" s="14" t="s">
        <v>14</v>
      </c>
      <c r="D401" s="14"/>
      <c r="E401" s="15"/>
      <c r="F401" s="16">
        <f t="shared" si="30"/>
        <v>0</v>
      </c>
      <c r="G401">
        <f t="shared" si="31"/>
        <v>0</v>
      </c>
    </row>
    <row r="402" spans="1:7" hidden="1" x14ac:dyDescent="0.25">
      <c r="A402" s="43" t="s">
        <v>1758</v>
      </c>
      <c r="B402" s="81" t="s">
        <v>1743</v>
      </c>
      <c r="C402" s="14" t="s">
        <v>14</v>
      </c>
      <c r="D402" s="14"/>
      <c r="E402" s="15"/>
      <c r="F402" s="16">
        <f t="shared" si="30"/>
        <v>0</v>
      </c>
      <c r="G402">
        <f t="shared" si="31"/>
        <v>0</v>
      </c>
    </row>
    <row r="403" spans="1:7" hidden="1" x14ac:dyDescent="0.25">
      <c r="A403" s="43" t="s">
        <v>1759</v>
      </c>
      <c r="B403" s="111" t="s">
        <v>1805</v>
      </c>
      <c r="C403" s="14" t="s">
        <v>14</v>
      </c>
      <c r="D403" s="14"/>
      <c r="E403" s="15"/>
      <c r="F403" s="16">
        <f t="shared" si="30"/>
        <v>0</v>
      </c>
      <c r="G403">
        <f t="shared" si="31"/>
        <v>0</v>
      </c>
    </row>
    <row r="404" spans="1:7" hidden="1" x14ac:dyDescent="0.25">
      <c r="A404" s="43" t="s">
        <v>1831</v>
      </c>
      <c r="B404" s="81" t="s">
        <v>1744</v>
      </c>
      <c r="C404" s="14" t="s">
        <v>14</v>
      </c>
      <c r="D404" s="14"/>
      <c r="E404" s="15"/>
      <c r="F404" s="16">
        <f t="shared" si="30"/>
        <v>0</v>
      </c>
      <c r="G404">
        <f t="shared" si="31"/>
        <v>0</v>
      </c>
    </row>
    <row r="405" spans="1:7" hidden="1" x14ac:dyDescent="0.25">
      <c r="A405" s="43" t="s">
        <v>1832</v>
      </c>
      <c r="B405" s="111" t="s">
        <v>1818</v>
      </c>
      <c r="C405" s="14" t="s">
        <v>14</v>
      </c>
      <c r="D405" s="14"/>
      <c r="E405" s="15"/>
      <c r="F405" s="16">
        <f t="shared" si="30"/>
        <v>0</v>
      </c>
      <c r="G405">
        <f t="shared" si="31"/>
        <v>0</v>
      </c>
    </row>
    <row r="406" spans="1:7" hidden="1" x14ac:dyDescent="0.25">
      <c r="A406" s="43" t="s">
        <v>1833</v>
      </c>
      <c r="B406" s="81" t="s">
        <v>1745</v>
      </c>
      <c r="C406" s="14" t="s">
        <v>14</v>
      </c>
      <c r="D406" s="14"/>
      <c r="E406" s="15"/>
      <c r="F406" s="16">
        <f t="shared" si="30"/>
        <v>0</v>
      </c>
      <c r="G406">
        <f t="shared" si="31"/>
        <v>0</v>
      </c>
    </row>
    <row r="407" spans="1:7" hidden="1" x14ac:dyDescent="0.25">
      <c r="A407" s="43" t="s">
        <v>1834</v>
      </c>
      <c r="B407" s="81" t="s">
        <v>1746</v>
      </c>
      <c r="C407" s="14" t="s">
        <v>14</v>
      </c>
      <c r="D407" s="14"/>
      <c r="E407" s="15"/>
      <c r="F407" s="16">
        <f t="shared" si="30"/>
        <v>0</v>
      </c>
      <c r="G407">
        <f t="shared" si="31"/>
        <v>0</v>
      </c>
    </row>
    <row r="408" spans="1:7" hidden="1" x14ac:dyDescent="0.25">
      <c r="A408" s="43" t="s">
        <v>1835</v>
      </c>
      <c r="B408" s="81" t="s">
        <v>1747</v>
      </c>
      <c r="C408" s="14" t="s">
        <v>14</v>
      </c>
      <c r="D408" s="14"/>
      <c r="E408" s="15"/>
      <c r="F408" s="16">
        <f t="shared" si="30"/>
        <v>0</v>
      </c>
      <c r="G408">
        <f t="shared" si="31"/>
        <v>0</v>
      </c>
    </row>
    <row r="409" spans="1:7" hidden="1" x14ac:dyDescent="0.25">
      <c r="A409" s="43" t="s">
        <v>1836</v>
      </c>
      <c r="B409" s="111" t="s">
        <v>1806</v>
      </c>
      <c r="C409" s="14" t="s">
        <v>14</v>
      </c>
      <c r="D409" s="14"/>
      <c r="E409" s="15"/>
      <c r="F409" s="16">
        <f t="shared" si="30"/>
        <v>0</v>
      </c>
      <c r="G409">
        <f t="shared" si="31"/>
        <v>0</v>
      </c>
    </row>
    <row r="410" spans="1:7" hidden="1" x14ac:dyDescent="0.25">
      <c r="A410" s="43" t="s">
        <v>1837</v>
      </c>
      <c r="B410" s="111" t="s">
        <v>1807</v>
      </c>
      <c r="C410" s="14" t="s">
        <v>14</v>
      </c>
      <c r="D410" s="14"/>
      <c r="E410" s="15"/>
      <c r="F410" s="16">
        <f t="shared" si="30"/>
        <v>0</v>
      </c>
      <c r="G410">
        <f t="shared" si="31"/>
        <v>0</v>
      </c>
    </row>
    <row r="411" spans="1:7" hidden="1" x14ac:dyDescent="0.25">
      <c r="A411" s="43" t="s">
        <v>1838</v>
      </c>
      <c r="B411" s="111" t="s">
        <v>1808</v>
      </c>
      <c r="C411" s="14" t="s">
        <v>14</v>
      </c>
      <c r="D411" s="14"/>
      <c r="E411" s="15"/>
      <c r="F411" s="16">
        <f t="shared" si="30"/>
        <v>0</v>
      </c>
      <c r="G411">
        <f t="shared" si="31"/>
        <v>0</v>
      </c>
    </row>
    <row r="412" spans="1:7" hidden="1" x14ac:dyDescent="0.25">
      <c r="A412" s="43" t="s">
        <v>1839</v>
      </c>
      <c r="B412" s="111" t="s">
        <v>1809</v>
      </c>
      <c r="C412" s="14" t="s">
        <v>14</v>
      </c>
      <c r="D412" s="14"/>
      <c r="E412" s="15"/>
      <c r="F412" s="16">
        <f t="shared" si="30"/>
        <v>0</v>
      </c>
      <c r="G412">
        <f t="shared" si="31"/>
        <v>0</v>
      </c>
    </row>
    <row r="413" spans="1:7" hidden="1" x14ac:dyDescent="0.25">
      <c r="A413" s="44" t="s">
        <v>1760</v>
      </c>
      <c r="B413" s="80" t="s">
        <v>1783</v>
      </c>
      <c r="C413" s="14"/>
      <c r="D413" s="14"/>
      <c r="E413" s="15"/>
      <c r="F413" s="16"/>
      <c r="G413">
        <f t="shared" si="31"/>
        <v>0</v>
      </c>
    </row>
    <row r="414" spans="1:7" hidden="1" x14ac:dyDescent="0.25">
      <c r="A414" s="43" t="s">
        <v>1761</v>
      </c>
      <c r="B414" s="111" t="s">
        <v>1816</v>
      </c>
      <c r="C414" s="14" t="s">
        <v>14</v>
      </c>
      <c r="D414" s="14"/>
      <c r="E414" s="15"/>
      <c r="F414" s="16">
        <f t="shared" si="30"/>
        <v>0</v>
      </c>
      <c r="G414">
        <f t="shared" si="31"/>
        <v>0</v>
      </c>
    </row>
    <row r="415" spans="1:7" hidden="1" x14ac:dyDescent="0.25">
      <c r="A415" s="43" t="s">
        <v>1773</v>
      </c>
      <c r="B415" s="81" t="s">
        <v>1762</v>
      </c>
      <c r="C415" s="14" t="s">
        <v>14</v>
      </c>
      <c r="D415" s="14"/>
      <c r="E415" s="15"/>
      <c r="F415" s="16">
        <f t="shared" si="30"/>
        <v>0</v>
      </c>
      <c r="G415">
        <f t="shared" si="31"/>
        <v>0</v>
      </c>
    </row>
    <row r="416" spans="1:7" hidden="1" x14ac:dyDescent="0.25">
      <c r="A416" s="43" t="s">
        <v>1774</v>
      </c>
      <c r="B416" s="81" t="s">
        <v>1763</v>
      </c>
      <c r="C416" s="14" t="s">
        <v>14</v>
      </c>
      <c r="D416" s="14"/>
      <c r="E416" s="15"/>
      <c r="F416" s="16">
        <f t="shared" si="30"/>
        <v>0</v>
      </c>
      <c r="G416">
        <f t="shared" si="31"/>
        <v>0</v>
      </c>
    </row>
    <row r="417" spans="1:7" hidden="1" x14ac:dyDescent="0.25">
      <c r="A417" s="43" t="s">
        <v>1775</v>
      </c>
      <c r="B417" s="81" t="s">
        <v>1764</v>
      </c>
      <c r="C417" s="14" t="s">
        <v>14</v>
      </c>
      <c r="D417" s="14"/>
      <c r="E417" s="15"/>
      <c r="F417" s="16">
        <f t="shared" si="30"/>
        <v>0</v>
      </c>
      <c r="G417">
        <f t="shared" si="31"/>
        <v>0</v>
      </c>
    </row>
    <row r="418" spans="1:7" hidden="1" x14ac:dyDescent="0.25">
      <c r="A418" s="43" t="s">
        <v>1776</v>
      </c>
      <c r="B418" s="81" t="s">
        <v>1765</v>
      </c>
      <c r="C418" s="14" t="s">
        <v>14</v>
      </c>
      <c r="D418" s="14"/>
      <c r="E418" s="15"/>
      <c r="F418" s="16">
        <f t="shared" si="30"/>
        <v>0</v>
      </c>
      <c r="G418">
        <f t="shared" si="31"/>
        <v>0</v>
      </c>
    </row>
    <row r="419" spans="1:7" hidden="1" x14ac:dyDescent="0.25">
      <c r="A419" s="43" t="s">
        <v>1777</v>
      </c>
      <c r="B419" s="81" t="s">
        <v>1766</v>
      </c>
      <c r="C419" s="14" t="s">
        <v>14</v>
      </c>
      <c r="D419" s="14"/>
      <c r="E419" s="15"/>
      <c r="F419" s="16">
        <f t="shared" si="30"/>
        <v>0</v>
      </c>
      <c r="G419">
        <f t="shared" si="31"/>
        <v>0</v>
      </c>
    </row>
    <row r="420" spans="1:7" hidden="1" x14ac:dyDescent="0.25">
      <c r="A420" s="43" t="s">
        <v>1778</v>
      </c>
      <c r="B420" s="111" t="s">
        <v>1814</v>
      </c>
      <c r="C420" s="14" t="s">
        <v>14</v>
      </c>
      <c r="D420" s="14"/>
      <c r="E420" s="15"/>
      <c r="F420" s="16">
        <f t="shared" si="30"/>
        <v>0</v>
      </c>
      <c r="G420">
        <f t="shared" si="31"/>
        <v>0</v>
      </c>
    </row>
    <row r="421" spans="1:7" hidden="1" x14ac:dyDescent="0.25">
      <c r="A421" s="43" t="s">
        <v>1779</v>
      </c>
      <c r="B421" s="111" t="s">
        <v>1815</v>
      </c>
      <c r="C421" s="14" t="s">
        <v>14</v>
      </c>
      <c r="D421" s="14"/>
      <c r="E421" s="15"/>
      <c r="F421" s="16">
        <f t="shared" si="30"/>
        <v>0</v>
      </c>
      <c r="G421">
        <f t="shared" si="31"/>
        <v>0</v>
      </c>
    </row>
    <row r="422" spans="1:7" hidden="1" x14ac:dyDescent="0.25">
      <c r="A422" s="43" t="s">
        <v>1780</v>
      </c>
      <c r="B422" s="81" t="s">
        <v>1767</v>
      </c>
      <c r="C422" s="14" t="s">
        <v>14</v>
      </c>
      <c r="D422" s="14"/>
      <c r="E422" s="15"/>
      <c r="F422" s="16">
        <f t="shared" si="30"/>
        <v>0</v>
      </c>
      <c r="G422">
        <f t="shared" si="31"/>
        <v>0</v>
      </c>
    </row>
    <row r="423" spans="1:7" hidden="1" x14ac:dyDescent="0.25">
      <c r="A423" s="43" t="s">
        <v>1781</v>
      </c>
      <c r="B423" s="111" t="s">
        <v>1817</v>
      </c>
      <c r="C423" s="14" t="s">
        <v>14</v>
      </c>
      <c r="D423" s="14"/>
      <c r="E423" s="15"/>
      <c r="F423" s="16">
        <f t="shared" si="30"/>
        <v>0</v>
      </c>
      <c r="G423">
        <f t="shared" si="31"/>
        <v>0</v>
      </c>
    </row>
    <row r="424" spans="1:7" hidden="1" x14ac:dyDescent="0.25">
      <c r="A424" s="43" t="s">
        <v>1782</v>
      </c>
      <c r="B424" s="81" t="s">
        <v>1768</v>
      </c>
      <c r="C424" s="14" t="s">
        <v>14</v>
      </c>
      <c r="D424" s="14"/>
      <c r="E424" s="15"/>
      <c r="F424" s="16">
        <f t="shared" si="30"/>
        <v>0</v>
      </c>
      <c r="G424">
        <f t="shared" si="31"/>
        <v>0</v>
      </c>
    </row>
    <row r="425" spans="1:7" hidden="1" x14ac:dyDescent="0.25">
      <c r="A425" s="43" t="s">
        <v>1821</v>
      </c>
      <c r="B425" s="111" t="s">
        <v>1820</v>
      </c>
      <c r="C425" s="14" t="s">
        <v>14</v>
      </c>
      <c r="D425" s="14"/>
      <c r="E425" s="15"/>
      <c r="F425" s="16">
        <f t="shared" si="30"/>
        <v>0</v>
      </c>
      <c r="G425">
        <f t="shared" si="31"/>
        <v>0</v>
      </c>
    </row>
    <row r="426" spans="1:7" hidden="1" x14ac:dyDescent="0.25">
      <c r="A426" s="43" t="s">
        <v>1822</v>
      </c>
      <c r="B426" s="81" t="s">
        <v>1769</v>
      </c>
      <c r="C426" s="14" t="s">
        <v>14</v>
      </c>
      <c r="D426" s="14"/>
      <c r="E426" s="15"/>
      <c r="F426" s="16">
        <f t="shared" si="30"/>
        <v>0</v>
      </c>
      <c r="G426">
        <f t="shared" si="31"/>
        <v>0</v>
      </c>
    </row>
    <row r="427" spans="1:7" hidden="1" x14ac:dyDescent="0.25">
      <c r="A427" s="43" t="s">
        <v>1823</v>
      </c>
      <c r="B427" s="111" t="s">
        <v>1819</v>
      </c>
      <c r="C427" s="14" t="s">
        <v>14</v>
      </c>
      <c r="D427" s="14"/>
      <c r="E427" s="15"/>
      <c r="F427" s="16">
        <f t="shared" si="30"/>
        <v>0</v>
      </c>
      <c r="G427">
        <f t="shared" si="31"/>
        <v>0</v>
      </c>
    </row>
    <row r="428" spans="1:7" hidden="1" x14ac:dyDescent="0.25">
      <c r="A428" s="43" t="s">
        <v>1824</v>
      </c>
      <c r="B428" s="81" t="s">
        <v>1770</v>
      </c>
      <c r="C428" s="14" t="s">
        <v>14</v>
      </c>
      <c r="D428" s="14"/>
      <c r="E428" s="15"/>
      <c r="F428" s="16">
        <f t="shared" si="30"/>
        <v>0</v>
      </c>
      <c r="G428">
        <f t="shared" si="31"/>
        <v>0</v>
      </c>
    </row>
    <row r="429" spans="1:7" hidden="1" x14ac:dyDescent="0.25">
      <c r="A429" s="43" t="s">
        <v>1825</v>
      </c>
      <c r="B429" s="81" t="s">
        <v>1771</v>
      </c>
      <c r="C429" s="14" t="s">
        <v>14</v>
      </c>
      <c r="D429" s="14"/>
      <c r="E429" s="15"/>
      <c r="F429" s="16">
        <f t="shared" si="30"/>
        <v>0</v>
      </c>
      <c r="G429">
        <f t="shared" si="31"/>
        <v>0</v>
      </c>
    </row>
    <row r="430" spans="1:7" hidden="1" x14ac:dyDescent="0.25">
      <c r="A430" s="43" t="s">
        <v>1826</v>
      </c>
      <c r="B430" s="81" t="s">
        <v>1772</v>
      </c>
      <c r="C430" s="14" t="s">
        <v>14</v>
      </c>
      <c r="D430" s="14"/>
      <c r="E430" s="15"/>
      <c r="F430" s="16">
        <f t="shared" si="30"/>
        <v>0</v>
      </c>
      <c r="G430">
        <f t="shared" si="31"/>
        <v>0</v>
      </c>
    </row>
    <row r="431" spans="1:7" hidden="1" x14ac:dyDescent="0.25">
      <c r="A431" s="43" t="s">
        <v>1827</v>
      </c>
      <c r="B431" s="111" t="s">
        <v>1810</v>
      </c>
      <c r="C431" s="14" t="s">
        <v>14</v>
      </c>
      <c r="D431" s="14"/>
      <c r="E431" s="15"/>
      <c r="F431" s="16">
        <f t="shared" si="30"/>
        <v>0</v>
      </c>
      <c r="G431">
        <f t="shared" si="31"/>
        <v>0</v>
      </c>
    </row>
    <row r="432" spans="1:7" hidden="1" x14ac:dyDescent="0.25">
      <c r="A432" s="43" t="s">
        <v>1828</v>
      </c>
      <c r="B432" s="111" t="s">
        <v>1811</v>
      </c>
      <c r="C432" s="14" t="s">
        <v>14</v>
      </c>
      <c r="D432" s="14"/>
      <c r="E432" s="15"/>
      <c r="F432" s="16">
        <f t="shared" si="30"/>
        <v>0</v>
      </c>
      <c r="G432">
        <f t="shared" si="31"/>
        <v>0</v>
      </c>
    </row>
    <row r="433" spans="1:7" hidden="1" x14ac:dyDescent="0.25">
      <c r="A433" s="43" t="s">
        <v>1829</v>
      </c>
      <c r="B433" s="111" t="s">
        <v>1812</v>
      </c>
      <c r="C433" s="14" t="s">
        <v>14</v>
      </c>
      <c r="D433" s="14"/>
      <c r="E433" s="15"/>
      <c r="F433" s="16">
        <f t="shared" si="30"/>
        <v>0</v>
      </c>
      <c r="G433">
        <f t="shared" si="31"/>
        <v>0</v>
      </c>
    </row>
    <row r="434" spans="1:7" hidden="1" x14ac:dyDescent="0.25">
      <c r="A434" s="43" t="s">
        <v>1830</v>
      </c>
      <c r="B434" s="111" t="s">
        <v>1813</v>
      </c>
      <c r="C434" s="14" t="s">
        <v>14</v>
      </c>
      <c r="D434" s="14"/>
      <c r="E434" s="15"/>
      <c r="F434" s="16">
        <f t="shared" si="30"/>
        <v>0</v>
      </c>
      <c r="G434">
        <f t="shared" si="31"/>
        <v>0</v>
      </c>
    </row>
    <row r="435" spans="1:7" hidden="1" x14ac:dyDescent="0.25">
      <c r="A435" s="44" t="s">
        <v>1840</v>
      </c>
      <c r="B435" s="80" t="s">
        <v>1841</v>
      </c>
      <c r="C435" s="14"/>
      <c r="D435" s="14"/>
      <c r="E435" s="15"/>
      <c r="F435" s="16"/>
      <c r="G435">
        <f t="shared" si="31"/>
        <v>0</v>
      </c>
    </row>
    <row r="436" spans="1:7" hidden="1" x14ac:dyDescent="0.25">
      <c r="A436" s="43" t="s">
        <v>1862</v>
      </c>
      <c r="B436" s="81" t="s">
        <v>1842</v>
      </c>
      <c r="C436" s="14" t="s">
        <v>14</v>
      </c>
      <c r="D436" s="14"/>
      <c r="E436" s="15"/>
      <c r="F436" s="16">
        <f t="shared" si="30"/>
        <v>0</v>
      </c>
      <c r="G436">
        <f t="shared" si="31"/>
        <v>0</v>
      </c>
    </row>
    <row r="437" spans="1:7" hidden="1" x14ac:dyDescent="0.25">
      <c r="A437" s="43" t="s">
        <v>1863</v>
      </c>
      <c r="B437" s="81" t="s">
        <v>1843</v>
      </c>
      <c r="C437" s="14" t="s">
        <v>14</v>
      </c>
      <c r="D437" s="14"/>
      <c r="E437" s="15"/>
      <c r="F437" s="16">
        <f t="shared" si="30"/>
        <v>0</v>
      </c>
      <c r="G437">
        <f t="shared" si="31"/>
        <v>0</v>
      </c>
    </row>
    <row r="438" spans="1:7" hidden="1" x14ac:dyDescent="0.25">
      <c r="A438" s="43" t="s">
        <v>1864</v>
      </c>
      <c r="B438" s="81" t="s">
        <v>1844</v>
      </c>
      <c r="C438" s="14" t="s">
        <v>14</v>
      </c>
      <c r="D438" s="14"/>
      <c r="E438" s="15"/>
      <c r="F438" s="16">
        <f t="shared" si="30"/>
        <v>0</v>
      </c>
      <c r="G438">
        <f t="shared" si="31"/>
        <v>0</v>
      </c>
    </row>
    <row r="439" spans="1:7" hidden="1" x14ac:dyDescent="0.25">
      <c r="A439" s="43" t="s">
        <v>1865</v>
      </c>
      <c r="B439" s="81" t="s">
        <v>1845</v>
      </c>
      <c r="C439" s="14" t="s">
        <v>14</v>
      </c>
      <c r="D439" s="14"/>
      <c r="E439" s="15"/>
      <c r="F439" s="16">
        <f t="shared" si="30"/>
        <v>0</v>
      </c>
      <c r="G439">
        <f t="shared" si="31"/>
        <v>0</v>
      </c>
    </row>
    <row r="440" spans="1:7" hidden="1" x14ac:dyDescent="0.25">
      <c r="A440" s="43" t="s">
        <v>1866</v>
      </c>
      <c r="B440" s="81" t="s">
        <v>1846</v>
      </c>
      <c r="C440" s="14" t="s">
        <v>14</v>
      </c>
      <c r="D440" s="14"/>
      <c r="E440" s="15"/>
      <c r="F440" s="16">
        <f t="shared" si="30"/>
        <v>0</v>
      </c>
      <c r="G440">
        <f t="shared" si="31"/>
        <v>0</v>
      </c>
    </row>
    <row r="441" spans="1:7" hidden="1" x14ac:dyDescent="0.25">
      <c r="A441" s="43" t="s">
        <v>1867</v>
      </c>
      <c r="B441" s="111" t="s">
        <v>1847</v>
      </c>
      <c r="C441" s="14" t="s">
        <v>14</v>
      </c>
      <c r="D441" s="14"/>
      <c r="E441" s="15"/>
      <c r="F441" s="16">
        <f t="shared" si="30"/>
        <v>0</v>
      </c>
      <c r="G441">
        <f t="shared" si="31"/>
        <v>0</v>
      </c>
    </row>
    <row r="442" spans="1:7" hidden="1" x14ac:dyDescent="0.25">
      <c r="A442" s="43" t="s">
        <v>1868</v>
      </c>
      <c r="B442" s="111" t="s">
        <v>1848</v>
      </c>
      <c r="C442" s="14" t="s">
        <v>14</v>
      </c>
      <c r="D442" s="14"/>
      <c r="E442" s="15"/>
      <c r="F442" s="16">
        <f t="shared" si="30"/>
        <v>0</v>
      </c>
      <c r="G442">
        <f t="shared" si="31"/>
        <v>0</v>
      </c>
    </row>
    <row r="443" spans="1:7" hidden="1" x14ac:dyDescent="0.25">
      <c r="A443" s="43" t="s">
        <v>1869</v>
      </c>
      <c r="B443" s="81" t="s">
        <v>1849</v>
      </c>
      <c r="C443" s="14" t="s">
        <v>14</v>
      </c>
      <c r="D443" s="14"/>
      <c r="E443" s="15"/>
      <c r="F443" s="16">
        <f t="shared" si="30"/>
        <v>0</v>
      </c>
      <c r="G443">
        <f t="shared" si="31"/>
        <v>0</v>
      </c>
    </row>
    <row r="444" spans="1:7" hidden="1" x14ac:dyDescent="0.25">
      <c r="A444" s="43" t="s">
        <v>1870</v>
      </c>
      <c r="B444" s="111" t="s">
        <v>1850</v>
      </c>
      <c r="C444" s="14" t="s">
        <v>14</v>
      </c>
      <c r="D444" s="14"/>
      <c r="E444" s="15"/>
      <c r="F444" s="16">
        <f t="shared" si="30"/>
        <v>0</v>
      </c>
      <c r="G444">
        <f t="shared" si="31"/>
        <v>0</v>
      </c>
    </row>
    <row r="445" spans="1:7" hidden="1" x14ac:dyDescent="0.25">
      <c r="A445" s="43" t="s">
        <v>1871</v>
      </c>
      <c r="B445" s="81" t="s">
        <v>1851</v>
      </c>
      <c r="C445" s="14" t="s">
        <v>14</v>
      </c>
      <c r="D445" s="14"/>
      <c r="E445" s="15"/>
      <c r="F445" s="16">
        <f t="shared" si="30"/>
        <v>0</v>
      </c>
      <c r="G445">
        <f t="shared" si="31"/>
        <v>0</v>
      </c>
    </row>
    <row r="446" spans="1:7" hidden="1" x14ac:dyDescent="0.25">
      <c r="A446" s="43" t="s">
        <v>1872</v>
      </c>
      <c r="B446" s="111" t="s">
        <v>1852</v>
      </c>
      <c r="C446" s="14" t="s">
        <v>14</v>
      </c>
      <c r="D446" s="14"/>
      <c r="E446" s="15"/>
      <c r="F446" s="16">
        <f t="shared" si="30"/>
        <v>0</v>
      </c>
      <c r="G446">
        <f t="shared" si="31"/>
        <v>0</v>
      </c>
    </row>
    <row r="447" spans="1:7" hidden="1" x14ac:dyDescent="0.25">
      <c r="A447" s="43" t="s">
        <v>1873</v>
      </c>
      <c r="B447" s="81" t="s">
        <v>1853</v>
      </c>
      <c r="C447" s="14" t="s">
        <v>14</v>
      </c>
      <c r="D447" s="14"/>
      <c r="E447" s="15"/>
      <c r="F447" s="16">
        <f t="shared" si="30"/>
        <v>0</v>
      </c>
      <c r="G447">
        <f t="shared" si="31"/>
        <v>0</v>
      </c>
    </row>
    <row r="448" spans="1:7" hidden="1" x14ac:dyDescent="0.25">
      <c r="A448" s="43" t="s">
        <v>1874</v>
      </c>
      <c r="B448" s="111" t="s">
        <v>1854</v>
      </c>
      <c r="C448" s="14" t="s">
        <v>14</v>
      </c>
      <c r="D448" s="14"/>
      <c r="E448" s="15"/>
      <c r="F448" s="16">
        <f t="shared" si="30"/>
        <v>0</v>
      </c>
      <c r="G448">
        <f t="shared" si="31"/>
        <v>0</v>
      </c>
    </row>
    <row r="449" spans="1:7" hidden="1" x14ac:dyDescent="0.25">
      <c r="A449" s="43" t="s">
        <v>1875</v>
      </c>
      <c r="B449" s="81" t="s">
        <v>1855</v>
      </c>
      <c r="C449" s="14" t="s">
        <v>14</v>
      </c>
      <c r="D449" s="14"/>
      <c r="E449" s="15"/>
      <c r="F449" s="16">
        <f t="shared" si="30"/>
        <v>0</v>
      </c>
      <c r="G449">
        <f t="shared" si="31"/>
        <v>0</v>
      </c>
    </row>
    <row r="450" spans="1:7" hidden="1" x14ac:dyDescent="0.25">
      <c r="A450" s="43" t="s">
        <v>1876</v>
      </c>
      <c r="B450" s="81" t="s">
        <v>1856</v>
      </c>
      <c r="C450" s="14" t="s">
        <v>14</v>
      </c>
      <c r="D450" s="14"/>
      <c r="E450" s="15"/>
      <c r="F450" s="16">
        <f t="shared" si="30"/>
        <v>0</v>
      </c>
      <c r="G450">
        <f t="shared" si="31"/>
        <v>0</v>
      </c>
    </row>
    <row r="451" spans="1:7" hidden="1" x14ac:dyDescent="0.25">
      <c r="A451" s="43" t="s">
        <v>1877</v>
      </c>
      <c r="B451" s="81" t="s">
        <v>1857</v>
      </c>
      <c r="C451" s="14" t="s">
        <v>14</v>
      </c>
      <c r="D451" s="14"/>
      <c r="E451" s="15"/>
      <c r="F451" s="16">
        <f t="shared" si="30"/>
        <v>0</v>
      </c>
      <c r="G451">
        <f t="shared" si="31"/>
        <v>0</v>
      </c>
    </row>
    <row r="452" spans="1:7" hidden="1" x14ac:dyDescent="0.25">
      <c r="A452" s="43" t="s">
        <v>1878</v>
      </c>
      <c r="B452" s="111" t="s">
        <v>1858</v>
      </c>
      <c r="C452" s="14" t="s">
        <v>14</v>
      </c>
      <c r="D452" s="14"/>
      <c r="E452" s="15"/>
      <c r="F452" s="16">
        <f t="shared" si="30"/>
        <v>0</v>
      </c>
      <c r="G452">
        <f t="shared" si="31"/>
        <v>0</v>
      </c>
    </row>
    <row r="453" spans="1:7" hidden="1" x14ac:dyDescent="0.25">
      <c r="A453" s="43" t="s">
        <v>1879</v>
      </c>
      <c r="B453" s="111" t="s">
        <v>1859</v>
      </c>
      <c r="C453" s="14" t="s">
        <v>14</v>
      </c>
      <c r="D453" s="14"/>
      <c r="E453" s="15"/>
      <c r="F453" s="16">
        <f t="shared" si="30"/>
        <v>0</v>
      </c>
      <c r="G453">
        <f t="shared" si="31"/>
        <v>0</v>
      </c>
    </row>
    <row r="454" spans="1:7" hidden="1" x14ac:dyDescent="0.25">
      <c r="A454" s="43" t="s">
        <v>1880</v>
      </c>
      <c r="B454" s="111" t="s">
        <v>1860</v>
      </c>
      <c r="C454" s="14" t="s">
        <v>14</v>
      </c>
      <c r="D454" s="14"/>
      <c r="E454" s="15"/>
      <c r="F454" s="16">
        <f t="shared" si="30"/>
        <v>0</v>
      </c>
      <c r="G454">
        <f t="shared" si="31"/>
        <v>0</v>
      </c>
    </row>
    <row r="455" spans="1:7" hidden="1" x14ac:dyDescent="0.25">
      <c r="A455" s="43" t="s">
        <v>1881</v>
      </c>
      <c r="B455" s="111" t="s">
        <v>1861</v>
      </c>
      <c r="C455" s="14" t="s">
        <v>14</v>
      </c>
      <c r="D455" s="14"/>
      <c r="E455" s="15"/>
      <c r="F455" s="16">
        <f t="shared" si="30"/>
        <v>0</v>
      </c>
      <c r="G455">
        <f t="shared" si="31"/>
        <v>0</v>
      </c>
    </row>
    <row r="456" spans="1:7" hidden="1" x14ac:dyDescent="0.25">
      <c r="A456" s="44" t="s">
        <v>1882</v>
      </c>
      <c r="B456" s="80" t="s">
        <v>1884</v>
      </c>
      <c r="C456" s="14"/>
      <c r="D456" s="14"/>
      <c r="E456" s="15"/>
      <c r="F456" s="16"/>
      <c r="G456">
        <f t="shared" si="31"/>
        <v>0</v>
      </c>
    </row>
    <row r="457" spans="1:7" hidden="1" x14ac:dyDescent="0.25">
      <c r="A457" s="43" t="s">
        <v>1883</v>
      </c>
      <c r="B457" s="81" t="s">
        <v>1885</v>
      </c>
      <c r="C457" s="14" t="s">
        <v>14</v>
      </c>
      <c r="D457" s="14"/>
      <c r="E457" s="15"/>
      <c r="F457" s="16">
        <f t="shared" si="30"/>
        <v>0</v>
      </c>
      <c r="G457">
        <f t="shared" ref="G457:G520" si="32">+IF(F457&lt;&gt;0,1,0)</f>
        <v>0</v>
      </c>
    </row>
    <row r="458" spans="1:7" hidden="1" x14ac:dyDescent="0.25">
      <c r="A458" s="43" t="s">
        <v>1905</v>
      </c>
      <c r="B458" s="81" t="s">
        <v>1886</v>
      </c>
      <c r="C458" s="14" t="s">
        <v>14</v>
      </c>
      <c r="D458" s="14"/>
      <c r="E458" s="15"/>
      <c r="F458" s="16">
        <f t="shared" ref="F458:F476" si="33">+D458*E458</f>
        <v>0</v>
      </c>
      <c r="G458">
        <f t="shared" si="32"/>
        <v>0</v>
      </c>
    </row>
    <row r="459" spans="1:7" hidden="1" x14ac:dyDescent="0.25">
      <c r="A459" s="43" t="s">
        <v>1906</v>
      </c>
      <c r="B459" s="81" t="s">
        <v>1887</v>
      </c>
      <c r="C459" s="14" t="s">
        <v>14</v>
      </c>
      <c r="D459" s="14"/>
      <c r="E459" s="15"/>
      <c r="F459" s="16">
        <f t="shared" si="33"/>
        <v>0</v>
      </c>
      <c r="G459">
        <f t="shared" si="32"/>
        <v>0</v>
      </c>
    </row>
    <row r="460" spans="1:7" hidden="1" x14ac:dyDescent="0.25">
      <c r="A460" s="43" t="s">
        <v>1907</v>
      </c>
      <c r="B460" s="81" t="s">
        <v>1888</v>
      </c>
      <c r="C460" s="14" t="s">
        <v>14</v>
      </c>
      <c r="D460" s="14"/>
      <c r="E460" s="15"/>
      <c r="F460" s="16">
        <f t="shared" si="33"/>
        <v>0</v>
      </c>
      <c r="G460">
        <f t="shared" si="32"/>
        <v>0</v>
      </c>
    </row>
    <row r="461" spans="1:7" hidden="1" x14ac:dyDescent="0.25">
      <c r="A461" s="43" t="s">
        <v>1908</v>
      </c>
      <c r="B461" s="81" t="s">
        <v>1889</v>
      </c>
      <c r="C461" s="14" t="s">
        <v>14</v>
      </c>
      <c r="D461" s="14"/>
      <c r="E461" s="15"/>
      <c r="F461" s="16">
        <f t="shared" si="33"/>
        <v>0</v>
      </c>
      <c r="G461">
        <f t="shared" si="32"/>
        <v>0</v>
      </c>
    </row>
    <row r="462" spans="1:7" hidden="1" x14ac:dyDescent="0.25">
      <c r="A462" s="43" t="s">
        <v>1909</v>
      </c>
      <c r="B462" s="111" t="s">
        <v>1890</v>
      </c>
      <c r="C462" s="14" t="s">
        <v>14</v>
      </c>
      <c r="D462" s="14"/>
      <c r="E462" s="15"/>
      <c r="F462" s="16">
        <f t="shared" si="33"/>
        <v>0</v>
      </c>
      <c r="G462">
        <f t="shared" si="32"/>
        <v>0</v>
      </c>
    </row>
    <row r="463" spans="1:7" hidden="1" x14ac:dyDescent="0.25">
      <c r="A463" s="43" t="s">
        <v>1910</v>
      </c>
      <c r="B463" s="111" t="s">
        <v>1891</v>
      </c>
      <c r="C463" s="14" t="s">
        <v>14</v>
      </c>
      <c r="D463" s="14"/>
      <c r="E463" s="15"/>
      <c r="F463" s="16">
        <f t="shared" si="33"/>
        <v>0</v>
      </c>
      <c r="G463">
        <f t="shared" si="32"/>
        <v>0</v>
      </c>
    </row>
    <row r="464" spans="1:7" hidden="1" x14ac:dyDescent="0.25">
      <c r="A464" s="43" t="s">
        <v>1911</v>
      </c>
      <c r="B464" s="81" t="s">
        <v>1892</v>
      </c>
      <c r="C464" s="14" t="s">
        <v>14</v>
      </c>
      <c r="D464" s="14"/>
      <c r="E464" s="15"/>
      <c r="F464" s="16">
        <f t="shared" si="33"/>
        <v>0</v>
      </c>
      <c r="G464">
        <f t="shared" si="32"/>
        <v>0</v>
      </c>
    </row>
    <row r="465" spans="1:7" hidden="1" x14ac:dyDescent="0.25">
      <c r="A465" s="43" t="s">
        <v>1912</v>
      </c>
      <c r="B465" s="111" t="s">
        <v>1893</v>
      </c>
      <c r="C465" s="14" t="s">
        <v>14</v>
      </c>
      <c r="D465" s="14"/>
      <c r="E465" s="15"/>
      <c r="F465" s="16">
        <f t="shared" si="33"/>
        <v>0</v>
      </c>
      <c r="G465">
        <f t="shared" si="32"/>
        <v>0</v>
      </c>
    </row>
    <row r="466" spans="1:7" hidden="1" x14ac:dyDescent="0.25">
      <c r="A466" s="43" t="s">
        <v>1913</v>
      </c>
      <c r="B466" s="81" t="s">
        <v>1894</v>
      </c>
      <c r="C466" s="14" t="s">
        <v>14</v>
      </c>
      <c r="D466" s="14"/>
      <c r="E466" s="15"/>
      <c r="F466" s="16">
        <f t="shared" si="33"/>
        <v>0</v>
      </c>
      <c r="G466">
        <f t="shared" si="32"/>
        <v>0</v>
      </c>
    </row>
    <row r="467" spans="1:7" hidden="1" x14ac:dyDescent="0.25">
      <c r="A467" s="43" t="s">
        <v>1914</v>
      </c>
      <c r="B467" s="111" t="s">
        <v>1895</v>
      </c>
      <c r="C467" s="14" t="s">
        <v>14</v>
      </c>
      <c r="D467" s="14"/>
      <c r="E467" s="15"/>
      <c r="F467" s="16">
        <f t="shared" si="33"/>
        <v>0</v>
      </c>
      <c r="G467">
        <f t="shared" si="32"/>
        <v>0</v>
      </c>
    </row>
    <row r="468" spans="1:7" hidden="1" x14ac:dyDescent="0.25">
      <c r="A468" s="43" t="s">
        <v>1915</v>
      </c>
      <c r="B468" s="81" t="s">
        <v>1896</v>
      </c>
      <c r="C468" s="14" t="s">
        <v>14</v>
      </c>
      <c r="D468" s="14"/>
      <c r="E468" s="15"/>
      <c r="F468" s="16">
        <f t="shared" si="33"/>
        <v>0</v>
      </c>
      <c r="G468">
        <f t="shared" si="32"/>
        <v>0</v>
      </c>
    </row>
    <row r="469" spans="1:7" hidden="1" x14ac:dyDescent="0.25">
      <c r="A469" s="43" t="s">
        <v>1916</v>
      </c>
      <c r="B469" s="111" t="s">
        <v>1897</v>
      </c>
      <c r="C469" s="14" t="s">
        <v>14</v>
      </c>
      <c r="D469" s="14"/>
      <c r="E469" s="15"/>
      <c r="F469" s="16">
        <f t="shared" si="33"/>
        <v>0</v>
      </c>
      <c r="G469">
        <f t="shared" si="32"/>
        <v>0</v>
      </c>
    </row>
    <row r="470" spans="1:7" hidden="1" x14ac:dyDescent="0.25">
      <c r="A470" s="43" t="s">
        <v>1917</v>
      </c>
      <c r="B470" s="81" t="s">
        <v>1898</v>
      </c>
      <c r="C470" s="14" t="s">
        <v>14</v>
      </c>
      <c r="D470" s="14"/>
      <c r="E470" s="15"/>
      <c r="F470" s="16">
        <f t="shared" si="33"/>
        <v>0</v>
      </c>
      <c r="G470">
        <f t="shared" si="32"/>
        <v>0</v>
      </c>
    </row>
    <row r="471" spans="1:7" hidden="1" x14ac:dyDescent="0.25">
      <c r="A471" s="43" t="s">
        <v>1918</v>
      </c>
      <c r="B471" s="81" t="s">
        <v>1899</v>
      </c>
      <c r="C471" s="14" t="s">
        <v>14</v>
      </c>
      <c r="D471" s="14"/>
      <c r="E471" s="15"/>
      <c r="F471" s="16">
        <f t="shared" si="33"/>
        <v>0</v>
      </c>
      <c r="G471">
        <f t="shared" si="32"/>
        <v>0</v>
      </c>
    </row>
    <row r="472" spans="1:7" hidden="1" x14ac:dyDescent="0.25">
      <c r="A472" s="43" t="s">
        <v>1919</v>
      </c>
      <c r="B472" s="81" t="s">
        <v>1900</v>
      </c>
      <c r="C472" s="14" t="s">
        <v>14</v>
      </c>
      <c r="D472" s="14"/>
      <c r="E472" s="15"/>
      <c r="F472" s="16">
        <f t="shared" si="33"/>
        <v>0</v>
      </c>
      <c r="G472">
        <f t="shared" si="32"/>
        <v>0</v>
      </c>
    </row>
    <row r="473" spans="1:7" hidden="1" x14ac:dyDescent="0.25">
      <c r="A473" s="43" t="s">
        <v>1920</v>
      </c>
      <c r="B473" s="111" t="s">
        <v>1901</v>
      </c>
      <c r="C473" s="14" t="s">
        <v>14</v>
      </c>
      <c r="D473" s="14"/>
      <c r="E473" s="15"/>
      <c r="F473" s="16">
        <f t="shared" si="33"/>
        <v>0</v>
      </c>
      <c r="G473">
        <f t="shared" si="32"/>
        <v>0</v>
      </c>
    </row>
    <row r="474" spans="1:7" hidden="1" x14ac:dyDescent="0.25">
      <c r="A474" s="43" t="s">
        <v>1921</v>
      </c>
      <c r="B474" s="111" t="s">
        <v>1902</v>
      </c>
      <c r="C474" s="14" t="s">
        <v>14</v>
      </c>
      <c r="D474" s="14"/>
      <c r="E474" s="15"/>
      <c r="F474" s="16">
        <f t="shared" si="33"/>
        <v>0</v>
      </c>
      <c r="G474">
        <f t="shared" si="32"/>
        <v>0</v>
      </c>
    </row>
    <row r="475" spans="1:7" hidden="1" x14ac:dyDescent="0.25">
      <c r="A475" s="43" t="s">
        <v>1922</v>
      </c>
      <c r="B475" s="111" t="s">
        <v>1903</v>
      </c>
      <c r="C475" s="14" t="s">
        <v>14</v>
      </c>
      <c r="D475" s="14"/>
      <c r="E475" s="15"/>
      <c r="F475" s="16">
        <f t="shared" si="33"/>
        <v>0</v>
      </c>
      <c r="G475">
        <f t="shared" si="32"/>
        <v>0</v>
      </c>
    </row>
    <row r="476" spans="1:7" hidden="1" x14ac:dyDescent="0.25">
      <c r="A476" s="43" t="s">
        <v>1923</v>
      </c>
      <c r="B476" s="111" t="s">
        <v>1904</v>
      </c>
      <c r="C476" s="14" t="s">
        <v>14</v>
      </c>
      <c r="D476" s="14"/>
      <c r="E476" s="15"/>
      <c r="F476" s="16">
        <f t="shared" si="33"/>
        <v>0</v>
      </c>
      <c r="G476">
        <f t="shared" si="32"/>
        <v>0</v>
      </c>
    </row>
    <row r="477" spans="1:7" hidden="1" x14ac:dyDescent="0.25">
      <c r="A477" s="61" t="s">
        <v>1943</v>
      </c>
      <c r="B477" s="62" t="s">
        <v>953</v>
      </c>
      <c r="C477" s="63"/>
      <c r="D477" s="14"/>
      <c r="E477" s="15"/>
      <c r="F477" s="16"/>
      <c r="G477">
        <f t="shared" si="32"/>
        <v>0</v>
      </c>
    </row>
    <row r="478" spans="1:7" hidden="1" x14ac:dyDescent="0.25">
      <c r="A478" s="78" t="s">
        <v>1944</v>
      </c>
      <c r="B478" s="79" t="s">
        <v>1945</v>
      </c>
      <c r="C478" s="26"/>
      <c r="D478" s="14"/>
      <c r="E478" s="15"/>
      <c r="F478" s="16"/>
      <c r="G478">
        <f t="shared" si="32"/>
        <v>0</v>
      </c>
    </row>
    <row r="479" spans="1:7" hidden="1" x14ac:dyDescent="0.25">
      <c r="A479" s="78" t="s">
        <v>1948</v>
      </c>
      <c r="B479" s="79" t="s">
        <v>1947</v>
      </c>
      <c r="C479" s="26"/>
      <c r="D479" s="14"/>
      <c r="E479" s="15"/>
      <c r="F479" s="16"/>
      <c r="G479">
        <f t="shared" si="32"/>
        <v>0</v>
      </c>
    </row>
    <row r="480" spans="1:7" hidden="1" x14ac:dyDescent="0.25">
      <c r="A480" s="85" t="s">
        <v>1949</v>
      </c>
      <c r="B480" s="88" t="s">
        <v>1950</v>
      </c>
      <c r="C480" s="26" t="s">
        <v>37</v>
      </c>
      <c r="D480" s="14"/>
      <c r="E480" s="15"/>
      <c r="F480" s="16">
        <f t="shared" ref="F480:F494" si="34">+D480*E480</f>
        <v>0</v>
      </c>
      <c r="G480">
        <f t="shared" si="32"/>
        <v>0</v>
      </c>
    </row>
    <row r="481" spans="1:7" hidden="1" x14ac:dyDescent="0.25">
      <c r="A481" s="85" t="s">
        <v>1966</v>
      </c>
      <c r="B481" s="88" t="s">
        <v>1964</v>
      </c>
      <c r="C481" s="26" t="s">
        <v>37</v>
      </c>
      <c r="D481" s="14"/>
      <c r="E481" s="15"/>
      <c r="F481" s="16">
        <f t="shared" si="34"/>
        <v>0</v>
      </c>
      <c r="G481">
        <f t="shared" si="32"/>
        <v>0</v>
      </c>
    </row>
    <row r="482" spans="1:7" hidden="1" x14ac:dyDescent="0.25">
      <c r="A482" s="85" t="s">
        <v>1967</v>
      </c>
      <c r="B482" s="88" t="s">
        <v>1951</v>
      </c>
      <c r="C482" s="26" t="s">
        <v>37</v>
      </c>
      <c r="D482" s="14"/>
      <c r="E482" s="15"/>
      <c r="F482" s="16">
        <f t="shared" si="34"/>
        <v>0</v>
      </c>
      <c r="G482">
        <f t="shared" si="32"/>
        <v>0</v>
      </c>
    </row>
    <row r="483" spans="1:7" hidden="1" x14ac:dyDescent="0.25">
      <c r="A483" s="85" t="s">
        <v>1968</v>
      </c>
      <c r="B483" s="88" t="s">
        <v>1952</v>
      </c>
      <c r="C483" s="26" t="s">
        <v>37</v>
      </c>
      <c r="D483" s="14"/>
      <c r="E483" s="15"/>
      <c r="F483" s="16">
        <f t="shared" si="34"/>
        <v>0</v>
      </c>
      <c r="G483">
        <f t="shared" si="32"/>
        <v>0</v>
      </c>
    </row>
    <row r="484" spans="1:7" hidden="1" x14ac:dyDescent="0.25">
      <c r="A484" s="85" t="s">
        <v>1969</v>
      </c>
      <c r="B484" s="113" t="s">
        <v>1953</v>
      </c>
      <c r="C484" s="26" t="s">
        <v>37</v>
      </c>
      <c r="D484" s="14"/>
      <c r="E484" s="15"/>
      <c r="F484" s="16">
        <f t="shared" si="34"/>
        <v>0</v>
      </c>
      <c r="G484">
        <f t="shared" si="32"/>
        <v>0</v>
      </c>
    </row>
    <row r="485" spans="1:7" hidden="1" x14ac:dyDescent="0.25">
      <c r="A485" s="85" t="s">
        <v>1970</v>
      </c>
      <c r="B485" s="113" t="s">
        <v>1955</v>
      </c>
      <c r="C485" s="26" t="s">
        <v>37</v>
      </c>
      <c r="D485" s="14"/>
      <c r="E485" s="15"/>
      <c r="F485" s="16">
        <f t="shared" si="34"/>
        <v>0</v>
      </c>
      <c r="G485">
        <f t="shared" si="32"/>
        <v>0</v>
      </c>
    </row>
    <row r="486" spans="1:7" hidden="1" x14ac:dyDescent="0.25">
      <c r="A486" s="85" t="s">
        <v>1971</v>
      </c>
      <c r="B486" s="88" t="s">
        <v>1954</v>
      </c>
      <c r="C486" s="26" t="s">
        <v>37</v>
      </c>
      <c r="D486" s="14"/>
      <c r="E486" s="15"/>
      <c r="F486" s="16">
        <f t="shared" si="34"/>
        <v>0</v>
      </c>
      <c r="G486">
        <f t="shared" si="32"/>
        <v>0</v>
      </c>
    </row>
    <row r="487" spans="1:7" hidden="1" x14ac:dyDescent="0.25">
      <c r="A487" s="85" t="s">
        <v>1972</v>
      </c>
      <c r="B487" s="113" t="s">
        <v>1956</v>
      </c>
      <c r="C487" s="26" t="s">
        <v>37</v>
      </c>
      <c r="D487" s="14"/>
      <c r="E487" s="15"/>
      <c r="F487" s="16">
        <f t="shared" si="34"/>
        <v>0</v>
      </c>
      <c r="G487">
        <f t="shared" si="32"/>
        <v>0</v>
      </c>
    </row>
    <row r="488" spans="1:7" hidden="1" x14ac:dyDescent="0.25">
      <c r="A488" s="85" t="s">
        <v>1973</v>
      </c>
      <c r="B488" s="88" t="s">
        <v>1957</v>
      </c>
      <c r="C488" s="26" t="s">
        <v>37</v>
      </c>
      <c r="D488" s="14"/>
      <c r="E488" s="15"/>
      <c r="F488" s="16">
        <f t="shared" si="34"/>
        <v>0</v>
      </c>
      <c r="G488">
        <f t="shared" si="32"/>
        <v>0</v>
      </c>
    </row>
    <row r="489" spans="1:7" hidden="1" x14ac:dyDescent="0.25">
      <c r="A489" s="85" t="s">
        <v>1974</v>
      </c>
      <c r="B489" s="113" t="s">
        <v>1958</v>
      </c>
      <c r="C489" s="26" t="s">
        <v>37</v>
      </c>
      <c r="D489" s="14"/>
      <c r="E489" s="15"/>
      <c r="F489" s="16">
        <f t="shared" si="34"/>
        <v>0</v>
      </c>
      <c r="G489">
        <f t="shared" si="32"/>
        <v>0</v>
      </c>
    </row>
    <row r="490" spans="1:7" hidden="1" x14ac:dyDescent="0.25">
      <c r="A490" s="85" t="s">
        <v>1975</v>
      </c>
      <c r="B490" s="88" t="s">
        <v>1959</v>
      </c>
      <c r="C490" s="26" t="s">
        <v>37</v>
      </c>
      <c r="D490" s="14"/>
      <c r="E490" s="15"/>
      <c r="F490" s="16">
        <f t="shared" si="34"/>
        <v>0</v>
      </c>
      <c r="G490">
        <f t="shared" si="32"/>
        <v>0</v>
      </c>
    </row>
    <row r="491" spans="1:7" hidden="1" x14ac:dyDescent="0.25">
      <c r="A491" s="85" t="s">
        <v>1976</v>
      </c>
      <c r="B491" s="113" t="s">
        <v>1960</v>
      </c>
      <c r="C491" s="26" t="s">
        <v>37</v>
      </c>
      <c r="D491" s="14"/>
      <c r="E491" s="15"/>
      <c r="F491" s="16">
        <f t="shared" si="34"/>
        <v>0</v>
      </c>
      <c r="G491">
        <f t="shared" si="32"/>
        <v>0</v>
      </c>
    </row>
    <row r="492" spans="1:7" hidden="1" x14ac:dyDescent="0.25">
      <c r="A492" s="85" t="s">
        <v>1977</v>
      </c>
      <c r="B492" s="88" t="s">
        <v>1961</v>
      </c>
      <c r="C492" s="26" t="s">
        <v>37</v>
      </c>
      <c r="D492" s="14"/>
      <c r="E492" s="15"/>
      <c r="F492" s="16">
        <f t="shared" si="34"/>
        <v>0</v>
      </c>
      <c r="G492">
        <f t="shared" si="32"/>
        <v>0</v>
      </c>
    </row>
    <row r="493" spans="1:7" hidden="1" x14ac:dyDescent="0.25">
      <c r="A493" s="85" t="s">
        <v>1978</v>
      </c>
      <c r="B493" s="88" t="s">
        <v>1962</v>
      </c>
      <c r="C493" s="26" t="s">
        <v>37</v>
      </c>
      <c r="D493" s="14"/>
      <c r="E493" s="15"/>
      <c r="F493" s="16">
        <f t="shared" si="34"/>
        <v>0</v>
      </c>
      <c r="G493">
        <f t="shared" si="32"/>
        <v>0</v>
      </c>
    </row>
    <row r="494" spans="1:7" hidden="1" x14ac:dyDescent="0.25">
      <c r="A494" s="85" t="s">
        <v>1979</v>
      </c>
      <c r="B494" s="88" t="s">
        <v>1963</v>
      </c>
      <c r="C494" s="26" t="s">
        <v>37</v>
      </c>
      <c r="D494" s="14"/>
      <c r="E494" s="15"/>
      <c r="F494" s="16">
        <f t="shared" si="34"/>
        <v>0</v>
      </c>
      <c r="G494">
        <f t="shared" si="32"/>
        <v>0</v>
      </c>
    </row>
    <row r="495" spans="1:7" hidden="1" x14ac:dyDescent="0.25">
      <c r="A495" s="78" t="s">
        <v>1946</v>
      </c>
      <c r="B495" s="79" t="s">
        <v>1965</v>
      </c>
      <c r="C495" s="26"/>
      <c r="D495" s="14"/>
      <c r="E495" s="15"/>
      <c r="F495" s="16"/>
      <c r="G495">
        <f t="shared" si="32"/>
        <v>0</v>
      </c>
    </row>
    <row r="496" spans="1:7" hidden="1" x14ac:dyDescent="0.25">
      <c r="A496" s="85" t="s">
        <v>1980</v>
      </c>
      <c r="B496" s="88" t="s">
        <v>1950</v>
      </c>
      <c r="C496" s="26" t="s">
        <v>37</v>
      </c>
      <c r="D496" s="14"/>
      <c r="E496" s="15"/>
      <c r="F496" s="16">
        <f t="shared" ref="F496:F510" si="35">+D496*E496</f>
        <v>0</v>
      </c>
      <c r="G496">
        <f t="shared" si="32"/>
        <v>0</v>
      </c>
    </row>
    <row r="497" spans="1:7" hidden="1" x14ac:dyDescent="0.25">
      <c r="A497" s="85" t="s">
        <v>1981</v>
      </c>
      <c r="B497" s="88" t="s">
        <v>1964</v>
      </c>
      <c r="C497" s="26" t="s">
        <v>37</v>
      </c>
      <c r="D497" s="14"/>
      <c r="E497" s="15"/>
      <c r="F497" s="16">
        <f t="shared" si="35"/>
        <v>0</v>
      </c>
      <c r="G497">
        <f t="shared" si="32"/>
        <v>0</v>
      </c>
    </row>
    <row r="498" spans="1:7" hidden="1" x14ac:dyDescent="0.25">
      <c r="A498" s="85" t="s">
        <v>1982</v>
      </c>
      <c r="B498" s="88" t="s">
        <v>1951</v>
      </c>
      <c r="C498" s="26" t="s">
        <v>37</v>
      </c>
      <c r="D498" s="14"/>
      <c r="E498" s="15"/>
      <c r="F498" s="16">
        <f t="shared" si="35"/>
        <v>0</v>
      </c>
      <c r="G498">
        <f t="shared" si="32"/>
        <v>0</v>
      </c>
    </row>
    <row r="499" spans="1:7" hidden="1" x14ac:dyDescent="0.25">
      <c r="A499" s="85" t="s">
        <v>1983</v>
      </c>
      <c r="B499" s="88" t="s">
        <v>1952</v>
      </c>
      <c r="C499" s="26" t="s">
        <v>37</v>
      </c>
      <c r="D499" s="14"/>
      <c r="E499" s="15"/>
      <c r="F499" s="16">
        <f t="shared" si="35"/>
        <v>0</v>
      </c>
      <c r="G499">
        <f t="shared" si="32"/>
        <v>0</v>
      </c>
    </row>
    <row r="500" spans="1:7" hidden="1" x14ac:dyDescent="0.25">
      <c r="A500" s="85" t="s">
        <v>1984</v>
      </c>
      <c r="B500" s="113" t="s">
        <v>1953</v>
      </c>
      <c r="C500" s="26" t="s">
        <v>37</v>
      </c>
      <c r="D500" s="14"/>
      <c r="E500" s="15"/>
      <c r="F500" s="16">
        <f t="shared" si="35"/>
        <v>0</v>
      </c>
      <c r="G500">
        <f t="shared" si="32"/>
        <v>0</v>
      </c>
    </row>
    <row r="501" spans="1:7" hidden="1" x14ac:dyDescent="0.25">
      <c r="A501" s="85" t="s">
        <v>1985</v>
      </c>
      <c r="B501" s="113" t="s">
        <v>1955</v>
      </c>
      <c r="C501" s="26" t="s">
        <v>37</v>
      </c>
      <c r="D501" s="14"/>
      <c r="E501" s="15"/>
      <c r="F501" s="16">
        <f t="shared" si="35"/>
        <v>0</v>
      </c>
      <c r="G501">
        <f t="shared" si="32"/>
        <v>0</v>
      </c>
    </row>
    <row r="502" spans="1:7" hidden="1" x14ac:dyDescent="0.25">
      <c r="A502" s="85" t="s">
        <v>1986</v>
      </c>
      <c r="B502" s="88" t="s">
        <v>1954</v>
      </c>
      <c r="C502" s="26" t="s">
        <v>37</v>
      </c>
      <c r="D502" s="14"/>
      <c r="E502" s="15"/>
      <c r="F502" s="16">
        <f t="shared" si="35"/>
        <v>0</v>
      </c>
      <c r="G502">
        <f t="shared" si="32"/>
        <v>0</v>
      </c>
    </row>
    <row r="503" spans="1:7" hidden="1" x14ac:dyDescent="0.25">
      <c r="A503" s="85" t="s">
        <v>1987</v>
      </c>
      <c r="B503" s="113" t="s">
        <v>1956</v>
      </c>
      <c r="C503" s="26" t="s">
        <v>37</v>
      </c>
      <c r="D503" s="14"/>
      <c r="E503" s="15"/>
      <c r="F503" s="16">
        <f t="shared" si="35"/>
        <v>0</v>
      </c>
      <c r="G503">
        <f t="shared" si="32"/>
        <v>0</v>
      </c>
    </row>
    <row r="504" spans="1:7" hidden="1" x14ac:dyDescent="0.25">
      <c r="A504" s="85" t="s">
        <v>1988</v>
      </c>
      <c r="B504" s="88" t="s">
        <v>1957</v>
      </c>
      <c r="C504" s="26" t="s">
        <v>37</v>
      </c>
      <c r="D504" s="14"/>
      <c r="E504" s="15"/>
      <c r="F504" s="16">
        <f t="shared" si="35"/>
        <v>0</v>
      </c>
      <c r="G504">
        <f t="shared" si="32"/>
        <v>0</v>
      </c>
    </row>
    <row r="505" spans="1:7" hidden="1" x14ac:dyDescent="0.25">
      <c r="A505" s="85" t="s">
        <v>1989</v>
      </c>
      <c r="B505" s="113" t="s">
        <v>1958</v>
      </c>
      <c r="C505" s="26" t="s">
        <v>37</v>
      </c>
      <c r="D505" s="14"/>
      <c r="E505" s="15"/>
      <c r="F505" s="16">
        <f t="shared" si="35"/>
        <v>0</v>
      </c>
      <c r="G505">
        <f t="shared" si="32"/>
        <v>0</v>
      </c>
    </row>
    <row r="506" spans="1:7" hidden="1" x14ac:dyDescent="0.25">
      <c r="A506" s="85" t="s">
        <v>1990</v>
      </c>
      <c r="B506" s="88" t="s">
        <v>1959</v>
      </c>
      <c r="C506" s="26" t="s">
        <v>37</v>
      </c>
      <c r="D506" s="14"/>
      <c r="E506" s="15"/>
      <c r="F506" s="16">
        <f t="shared" si="35"/>
        <v>0</v>
      </c>
      <c r="G506">
        <f t="shared" si="32"/>
        <v>0</v>
      </c>
    </row>
    <row r="507" spans="1:7" hidden="1" x14ac:dyDescent="0.25">
      <c r="A507" s="85" t="s">
        <v>1991</v>
      </c>
      <c r="B507" s="113" t="s">
        <v>1960</v>
      </c>
      <c r="C507" s="26" t="s">
        <v>37</v>
      </c>
      <c r="D507" s="14"/>
      <c r="E507" s="15"/>
      <c r="F507" s="16">
        <f t="shared" si="35"/>
        <v>0</v>
      </c>
      <c r="G507">
        <f t="shared" si="32"/>
        <v>0</v>
      </c>
    </row>
    <row r="508" spans="1:7" hidden="1" x14ac:dyDescent="0.25">
      <c r="A508" s="85" t="s">
        <v>1992</v>
      </c>
      <c r="B508" s="88" t="s">
        <v>1961</v>
      </c>
      <c r="C508" s="26" t="s">
        <v>37</v>
      </c>
      <c r="D508" s="14"/>
      <c r="E508" s="15"/>
      <c r="F508" s="16">
        <f t="shared" si="35"/>
        <v>0</v>
      </c>
      <c r="G508">
        <f t="shared" si="32"/>
        <v>0</v>
      </c>
    </row>
    <row r="509" spans="1:7" hidden="1" x14ac:dyDescent="0.25">
      <c r="A509" s="85" t="s">
        <v>1993</v>
      </c>
      <c r="B509" s="88" t="s">
        <v>1962</v>
      </c>
      <c r="C509" s="26" t="s">
        <v>37</v>
      </c>
      <c r="D509" s="14"/>
      <c r="E509" s="15"/>
      <c r="F509" s="16">
        <f t="shared" si="35"/>
        <v>0</v>
      </c>
      <c r="G509">
        <f t="shared" si="32"/>
        <v>0</v>
      </c>
    </row>
    <row r="510" spans="1:7" hidden="1" x14ac:dyDescent="0.25">
      <c r="A510" s="85" t="s">
        <v>1994</v>
      </c>
      <c r="B510" s="88" t="s">
        <v>1963</v>
      </c>
      <c r="C510" s="26" t="s">
        <v>37</v>
      </c>
      <c r="D510" s="14"/>
      <c r="E510" s="15"/>
      <c r="F510" s="16">
        <f t="shared" si="35"/>
        <v>0</v>
      </c>
      <c r="G510">
        <f t="shared" si="32"/>
        <v>0</v>
      </c>
    </row>
    <row r="511" spans="1:7" hidden="1" x14ac:dyDescent="0.25">
      <c r="A511" s="78" t="s">
        <v>1995</v>
      </c>
      <c r="B511" s="79" t="s">
        <v>1996</v>
      </c>
      <c r="C511" s="26"/>
      <c r="D511" s="14"/>
      <c r="E511" s="15"/>
      <c r="F511" s="16"/>
      <c r="G511">
        <f t="shared" si="32"/>
        <v>0</v>
      </c>
    </row>
    <row r="512" spans="1:7" hidden="1" x14ac:dyDescent="0.25">
      <c r="A512" s="85" t="s">
        <v>2012</v>
      </c>
      <c r="B512" s="88" t="s">
        <v>1997</v>
      </c>
      <c r="C512" s="26" t="s">
        <v>37</v>
      </c>
      <c r="D512" s="14"/>
      <c r="E512" s="15"/>
      <c r="F512" s="16">
        <f t="shared" ref="F512:F526" si="36">+D512*E512</f>
        <v>0</v>
      </c>
      <c r="G512">
        <f t="shared" si="32"/>
        <v>0</v>
      </c>
    </row>
    <row r="513" spans="1:7" hidden="1" x14ac:dyDescent="0.25">
      <c r="A513" s="85" t="s">
        <v>2013</v>
      </c>
      <c r="B513" s="88" t="s">
        <v>1998</v>
      </c>
      <c r="C513" s="26" t="s">
        <v>37</v>
      </c>
      <c r="D513" s="14"/>
      <c r="E513" s="15"/>
      <c r="F513" s="16">
        <f t="shared" si="36"/>
        <v>0</v>
      </c>
      <c r="G513">
        <f t="shared" si="32"/>
        <v>0</v>
      </c>
    </row>
    <row r="514" spans="1:7" hidden="1" x14ac:dyDescent="0.25">
      <c r="A514" s="85" t="s">
        <v>2014</v>
      </c>
      <c r="B514" s="88" t="s">
        <v>1999</v>
      </c>
      <c r="C514" s="26" t="s">
        <v>37</v>
      </c>
      <c r="D514" s="14"/>
      <c r="E514" s="15"/>
      <c r="F514" s="16">
        <f t="shared" si="36"/>
        <v>0</v>
      </c>
      <c r="G514">
        <f t="shared" si="32"/>
        <v>0</v>
      </c>
    </row>
    <row r="515" spans="1:7" hidden="1" x14ac:dyDescent="0.25">
      <c r="A515" s="85" t="s">
        <v>2015</v>
      </c>
      <c r="B515" s="88" t="s">
        <v>2000</v>
      </c>
      <c r="C515" s="26" t="s">
        <v>37</v>
      </c>
      <c r="D515" s="14"/>
      <c r="E515" s="15"/>
      <c r="F515" s="16">
        <f t="shared" si="36"/>
        <v>0</v>
      </c>
      <c r="G515">
        <f t="shared" si="32"/>
        <v>0</v>
      </c>
    </row>
    <row r="516" spans="1:7" hidden="1" x14ac:dyDescent="0.25">
      <c r="A516" s="85" t="s">
        <v>2016</v>
      </c>
      <c r="B516" s="113" t="s">
        <v>2001</v>
      </c>
      <c r="C516" s="26" t="s">
        <v>37</v>
      </c>
      <c r="D516" s="14"/>
      <c r="E516" s="15"/>
      <c r="F516" s="16">
        <f t="shared" si="36"/>
        <v>0</v>
      </c>
      <c r="G516">
        <f t="shared" si="32"/>
        <v>0</v>
      </c>
    </row>
    <row r="517" spans="1:7" hidden="1" x14ac:dyDescent="0.25">
      <c r="A517" s="85" t="s">
        <v>2017</v>
      </c>
      <c r="B517" s="113" t="s">
        <v>2002</v>
      </c>
      <c r="C517" s="26" t="s">
        <v>37</v>
      </c>
      <c r="D517" s="14"/>
      <c r="E517" s="15"/>
      <c r="F517" s="16">
        <f t="shared" si="36"/>
        <v>0</v>
      </c>
      <c r="G517">
        <f t="shared" si="32"/>
        <v>0</v>
      </c>
    </row>
    <row r="518" spans="1:7" hidden="1" x14ac:dyDescent="0.25">
      <c r="A518" s="85" t="s">
        <v>2018</v>
      </c>
      <c r="B518" s="88" t="s">
        <v>2003</v>
      </c>
      <c r="C518" s="26" t="s">
        <v>37</v>
      </c>
      <c r="D518" s="14"/>
      <c r="E518" s="15"/>
      <c r="F518" s="16">
        <f t="shared" si="36"/>
        <v>0</v>
      </c>
      <c r="G518">
        <f t="shared" si="32"/>
        <v>0</v>
      </c>
    </row>
    <row r="519" spans="1:7" hidden="1" x14ac:dyDescent="0.25">
      <c r="A519" s="85" t="s">
        <v>2019</v>
      </c>
      <c r="B519" s="113" t="s">
        <v>2004</v>
      </c>
      <c r="C519" s="26" t="s">
        <v>37</v>
      </c>
      <c r="D519" s="14"/>
      <c r="E519" s="15"/>
      <c r="F519" s="16">
        <f t="shared" si="36"/>
        <v>0</v>
      </c>
      <c r="G519">
        <f t="shared" si="32"/>
        <v>0</v>
      </c>
    </row>
    <row r="520" spans="1:7" hidden="1" x14ac:dyDescent="0.25">
      <c r="A520" s="85" t="s">
        <v>2020</v>
      </c>
      <c r="B520" s="88" t="s">
        <v>2005</v>
      </c>
      <c r="C520" s="26" t="s">
        <v>37</v>
      </c>
      <c r="D520" s="14"/>
      <c r="E520" s="15"/>
      <c r="F520" s="16">
        <f t="shared" si="36"/>
        <v>0</v>
      </c>
      <c r="G520">
        <f t="shared" si="32"/>
        <v>0</v>
      </c>
    </row>
    <row r="521" spans="1:7" hidden="1" x14ac:dyDescent="0.25">
      <c r="A521" s="85" t="s">
        <v>2021</v>
      </c>
      <c r="B521" s="113" t="s">
        <v>2006</v>
      </c>
      <c r="C521" s="26" t="s">
        <v>37</v>
      </c>
      <c r="D521" s="14"/>
      <c r="E521" s="15"/>
      <c r="F521" s="16">
        <f t="shared" si="36"/>
        <v>0</v>
      </c>
      <c r="G521">
        <f t="shared" ref="G521:G584" si="37">+IF(F521&lt;&gt;0,1,0)</f>
        <v>0</v>
      </c>
    </row>
    <row r="522" spans="1:7" hidden="1" x14ac:dyDescent="0.25">
      <c r="A522" s="85" t="s">
        <v>2022</v>
      </c>
      <c r="B522" s="88" t="s">
        <v>2007</v>
      </c>
      <c r="C522" s="26" t="s">
        <v>37</v>
      </c>
      <c r="D522" s="14"/>
      <c r="E522" s="15"/>
      <c r="F522" s="16">
        <f t="shared" si="36"/>
        <v>0</v>
      </c>
      <c r="G522">
        <f t="shared" si="37"/>
        <v>0</v>
      </c>
    </row>
    <row r="523" spans="1:7" hidden="1" x14ac:dyDescent="0.25">
      <c r="A523" s="85" t="s">
        <v>2023</v>
      </c>
      <c r="B523" s="113" t="s">
        <v>2008</v>
      </c>
      <c r="C523" s="26" t="s">
        <v>37</v>
      </c>
      <c r="D523" s="14"/>
      <c r="E523" s="15"/>
      <c r="F523" s="16">
        <f t="shared" si="36"/>
        <v>0</v>
      </c>
      <c r="G523">
        <f t="shared" si="37"/>
        <v>0</v>
      </c>
    </row>
    <row r="524" spans="1:7" hidden="1" x14ac:dyDescent="0.25">
      <c r="A524" s="85" t="s">
        <v>2024</v>
      </c>
      <c r="B524" s="88" t="s">
        <v>2009</v>
      </c>
      <c r="C524" s="26" t="s">
        <v>37</v>
      </c>
      <c r="D524" s="14"/>
      <c r="E524" s="15"/>
      <c r="F524" s="16">
        <f t="shared" si="36"/>
        <v>0</v>
      </c>
      <c r="G524">
        <f t="shared" si="37"/>
        <v>0</v>
      </c>
    </row>
    <row r="525" spans="1:7" hidden="1" x14ac:dyDescent="0.25">
      <c r="A525" s="85" t="s">
        <v>2025</v>
      </c>
      <c r="B525" s="88" t="s">
        <v>2010</v>
      </c>
      <c r="C525" s="26" t="s">
        <v>37</v>
      </c>
      <c r="D525" s="14"/>
      <c r="E525" s="15"/>
      <c r="F525" s="16">
        <f t="shared" si="36"/>
        <v>0</v>
      </c>
      <c r="G525">
        <f t="shared" si="37"/>
        <v>0</v>
      </c>
    </row>
    <row r="526" spans="1:7" hidden="1" x14ac:dyDescent="0.25">
      <c r="A526" s="85" t="s">
        <v>2026</v>
      </c>
      <c r="B526" s="88" t="s">
        <v>2011</v>
      </c>
      <c r="C526" s="26" t="s">
        <v>37</v>
      </c>
      <c r="D526" s="14"/>
      <c r="E526" s="15"/>
      <c r="F526" s="16">
        <f t="shared" si="36"/>
        <v>0</v>
      </c>
      <c r="G526">
        <f t="shared" si="37"/>
        <v>0</v>
      </c>
    </row>
    <row r="527" spans="1:7" hidden="1" x14ac:dyDescent="0.25">
      <c r="A527" s="78" t="s">
        <v>2027</v>
      </c>
      <c r="B527" s="79" t="s">
        <v>2028</v>
      </c>
      <c r="C527" s="26"/>
      <c r="D527" s="14"/>
      <c r="E527" s="15"/>
      <c r="F527" s="16"/>
      <c r="G527">
        <f t="shared" si="37"/>
        <v>0</v>
      </c>
    </row>
    <row r="528" spans="1:7" hidden="1" x14ac:dyDescent="0.25">
      <c r="A528" s="85" t="s">
        <v>2049</v>
      </c>
      <c r="B528" s="88" t="s">
        <v>1997</v>
      </c>
      <c r="C528" s="26" t="s">
        <v>37</v>
      </c>
      <c r="D528" s="14"/>
      <c r="E528" s="15"/>
      <c r="F528" s="16">
        <f t="shared" ref="F528:F542" si="38">+D528*E528</f>
        <v>0</v>
      </c>
      <c r="G528">
        <f t="shared" si="37"/>
        <v>0</v>
      </c>
    </row>
    <row r="529" spans="1:7" hidden="1" x14ac:dyDescent="0.25">
      <c r="A529" s="85" t="s">
        <v>2050</v>
      </c>
      <c r="B529" s="88" t="s">
        <v>1998</v>
      </c>
      <c r="C529" s="26" t="s">
        <v>37</v>
      </c>
      <c r="D529" s="14"/>
      <c r="E529" s="15"/>
      <c r="F529" s="16">
        <f t="shared" si="38"/>
        <v>0</v>
      </c>
      <c r="G529">
        <f t="shared" si="37"/>
        <v>0</v>
      </c>
    </row>
    <row r="530" spans="1:7" hidden="1" x14ac:dyDescent="0.25">
      <c r="A530" s="85" t="s">
        <v>2051</v>
      </c>
      <c r="B530" s="88" t="s">
        <v>1999</v>
      </c>
      <c r="C530" s="26" t="s">
        <v>37</v>
      </c>
      <c r="D530" s="14"/>
      <c r="E530" s="15"/>
      <c r="F530" s="16">
        <f t="shared" si="38"/>
        <v>0</v>
      </c>
      <c r="G530">
        <f t="shared" si="37"/>
        <v>0</v>
      </c>
    </row>
    <row r="531" spans="1:7" hidden="1" x14ac:dyDescent="0.25">
      <c r="A531" s="85" t="s">
        <v>2052</v>
      </c>
      <c r="B531" s="88" t="s">
        <v>2000</v>
      </c>
      <c r="C531" s="26" t="s">
        <v>37</v>
      </c>
      <c r="D531" s="14"/>
      <c r="E531" s="15"/>
      <c r="F531" s="16">
        <f t="shared" si="38"/>
        <v>0</v>
      </c>
      <c r="G531">
        <f t="shared" si="37"/>
        <v>0</v>
      </c>
    </row>
    <row r="532" spans="1:7" hidden="1" x14ac:dyDescent="0.25">
      <c r="A532" s="85" t="s">
        <v>2053</v>
      </c>
      <c r="B532" s="113" t="s">
        <v>2001</v>
      </c>
      <c r="C532" s="26" t="s">
        <v>37</v>
      </c>
      <c r="D532" s="14"/>
      <c r="E532" s="15"/>
      <c r="F532" s="16">
        <f t="shared" si="38"/>
        <v>0</v>
      </c>
      <c r="G532">
        <f t="shared" si="37"/>
        <v>0</v>
      </c>
    </row>
    <row r="533" spans="1:7" hidden="1" x14ac:dyDescent="0.25">
      <c r="A533" s="85" t="s">
        <v>2054</v>
      </c>
      <c r="B533" s="113" t="s">
        <v>2002</v>
      </c>
      <c r="C533" s="26" t="s">
        <v>37</v>
      </c>
      <c r="D533" s="14"/>
      <c r="E533" s="15"/>
      <c r="F533" s="16">
        <f t="shared" si="38"/>
        <v>0</v>
      </c>
      <c r="G533">
        <f t="shared" si="37"/>
        <v>0</v>
      </c>
    </row>
    <row r="534" spans="1:7" hidden="1" x14ac:dyDescent="0.25">
      <c r="A534" s="85" t="s">
        <v>2055</v>
      </c>
      <c r="B534" s="88" t="s">
        <v>2003</v>
      </c>
      <c r="C534" s="26" t="s">
        <v>37</v>
      </c>
      <c r="D534" s="14"/>
      <c r="E534" s="15"/>
      <c r="F534" s="16">
        <f t="shared" si="38"/>
        <v>0</v>
      </c>
      <c r="G534">
        <f t="shared" si="37"/>
        <v>0</v>
      </c>
    </row>
    <row r="535" spans="1:7" hidden="1" x14ac:dyDescent="0.25">
      <c r="A535" s="85" t="s">
        <v>2056</v>
      </c>
      <c r="B535" s="113" t="s">
        <v>2004</v>
      </c>
      <c r="C535" s="26" t="s">
        <v>37</v>
      </c>
      <c r="D535" s="14"/>
      <c r="E535" s="15"/>
      <c r="F535" s="16">
        <f t="shared" si="38"/>
        <v>0</v>
      </c>
      <c r="G535">
        <f t="shared" si="37"/>
        <v>0</v>
      </c>
    </row>
    <row r="536" spans="1:7" hidden="1" x14ac:dyDescent="0.25">
      <c r="A536" s="85" t="s">
        <v>2057</v>
      </c>
      <c r="B536" s="88" t="s">
        <v>2005</v>
      </c>
      <c r="C536" s="26" t="s">
        <v>37</v>
      </c>
      <c r="D536" s="14"/>
      <c r="E536" s="15"/>
      <c r="F536" s="16">
        <f t="shared" si="38"/>
        <v>0</v>
      </c>
      <c r="G536">
        <f t="shared" si="37"/>
        <v>0</v>
      </c>
    </row>
    <row r="537" spans="1:7" hidden="1" x14ac:dyDescent="0.25">
      <c r="A537" s="85" t="s">
        <v>2058</v>
      </c>
      <c r="B537" s="113" t="s">
        <v>2006</v>
      </c>
      <c r="C537" s="26" t="s">
        <v>37</v>
      </c>
      <c r="D537" s="14"/>
      <c r="E537" s="15"/>
      <c r="F537" s="16">
        <f t="shared" si="38"/>
        <v>0</v>
      </c>
      <c r="G537">
        <f t="shared" si="37"/>
        <v>0</v>
      </c>
    </row>
    <row r="538" spans="1:7" hidden="1" x14ac:dyDescent="0.25">
      <c r="A538" s="85" t="s">
        <v>2059</v>
      </c>
      <c r="B538" s="88" t="s">
        <v>2007</v>
      </c>
      <c r="C538" s="26" t="s">
        <v>37</v>
      </c>
      <c r="D538" s="14"/>
      <c r="E538" s="15"/>
      <c r="F538" s="16">
        <f t="shared" si="38"/>
        <v>0</v>
      </c>
      <c r="G538">
        <f t="shared" si="37"/>
        <v>0</v>
      </c>
    </row>
    <row r="539" spans="1:7" hidden="1" x14ac:dyDescent="0.25">
      <c r="A539" s="85" t="s">
        <v>2060</v>
      </c>
      <c r="B539" s="113" t="s">
        <v>2008</v>
      </c>
      <c r="C539" s="26" t="s">
        <v>37</v>
      </c>
      <c r="D539" s="14"/>
      <c r="E539" s="15"/>
      <c r="F539" s="16">
        <f t="shared" si="38"/>
        <v>0</v>
      </c>
      <c r="G539">
        <f t="shared" si="37"/>
        <v>0</v>
      </c>
    </row>
    <row r="540" spans="1:7" hidden="1" x14ac:dyDescent="0.25">
      <c r="A540" s="85" t="s">
        <v>2061</v>
      </c>
      <c r="B540" s="88" t="s">
        <v>2009</v>
      </c>
      <c r="C540" s="26" t="s">
        <v>37</v>
      </c>
      <c r="D540" s="14"/>
      <c r="E540" s="15"/>
      <c r="F540" s="16">
        <f t="shared" si="38"/>
        <v>0</v>
      </c>
      <c r="G540">
        <f t="shared" si="37"/>
        <v>0</v>
      </c>
    </row>
    <row r="541" spans="1:7" hidden="1" x14ac:dyDescent="0.25">
      <c r="A541" s="85" t="s">
        <v>2062</v>
      </c>
      <c r="B541" s="88" t="s">
        <v>2010</v>
      </c>
      <c r="C541" s="26" t="s">
        <v>37</v>
      </c>
      <c r="D541" s="14"/>
      <c r="E541" s="15"/>
      <c r="F541" s="16">
        <f t="shared" si="38"/>
        <v>0</v>
      </c>
      <c r="G541">
        <f t="shared" si="37"/>
        <v>0</v>
      </c>
    </row>
    <row r="542" spans="1:7" hidden="1" x14ac:dyDescent="0.25">
      <c r="A542" s="85" t="s">
        <v>2063</v>
      </c>
      <c r="B542" s="88" t="s">
        <v>2011</v>
      </c>
      <c r="C542" s="26" t="s">
        <v>37</v>
      </c>
      <c r="D542" s="14"/>
      <c r="E542" s="15"/>
      <c r="F542" s="16">
        <f t="shared" si="38"/>
        <v>0</v>
      </c>
      <c r="G542">
        <f t="shared" si="37"/>
        <v>0</v>
      </c>
    </row>
    <row r="543" spans="1:7" hidden="1" x14ac:dyDescent="0.25">
      <c r="A543" s="78" t="s">
        <v>2029</v>
      </c>
      <c r="B543" s="79" t="s">
        <v>2030</v>
      </c>
      <c r="C543" s="26"/>
      <c r="D543" s="14"/>
      <c r="E543" s="15"/>
      <c r="F543" s="16"/>
      <c r="G543">
        <f t="shared" si="37"/>
        <v>0</v>
      </c>
    </row>
    <row r="544" spans="1:7" hidden="1" x14ac:dyDescent="0.25">
      <c r="A544" s="78" t="s">
        <v>2031</v>
      </c>
      <c r="B544" s="79" t="s">
        <v>2047</v>
      </c>
      <c r="C544" s="26"/>
      <c r="D544" s="14"/>
      <c r="E544" s="15"/>
      <c r="F544" s="16"/>
      <c r="G544">
        <f t="shared" si="37"/>
        <v>0</v>
      </c>
    </row>
    <row r="545" spans="1:7" hidden="1" x14ac:dyDescent="0.25">
      <c r="A545" s="85" t="s">
        <v>2048</v>
      </c>
      <c r="B545" s="88" t="s">
        <v>2032</v>
      </c>
      <c r="C545" s="26" t="s">
        <v>37</v>
      </c>
      <c r="D545" s="14"/>
      <c r="E545" s="15"/>
      <c r="F545" s="16">
        <f t="shared" ref="F545:F575" si="39">+D545*E545</f>
        <v>0</v>
      </c>
      <c r="G545">
        <f t="shared" si="37"/>
        <v>0</v>
      </c>
    </row>
    <row r="546" spans="1:7" hidden="1" x14ac:dyDescent="0.25">
      <c r="A546" s="85" t="s">
        <v>2064</v>
      </c>
      <c r="B546" s="113" t="s">
        <v>2033</v>
      </c>
      <c r="C546" s="26" t="s">
        <v>37</v>
      </c>
      <c r="D546" s="14"/>
      <c r="E546" s="15"/>
      <c r="F546" s="16">
        <f t="shared" si="39"/>
        <v>0</v>
      </c>
      <c r="G546">
        <f t="shared" si="37"/>
        <v>0</v>
      </c>
    </row>
    <row r="547" spans="1:7" hidden="1" x14ac:dyDescent="0.25">
      <c r="A547" s="85" t="s">
        <v>2065</v>
      </c>
      <c r="B547" s="88" t="s">
        <v>2034</v>
      </c>
      <c r="C547" s="26" t="s">
        <v>37</v>
      </c>
      <c r="D547" s="14"/>
      <c r="E547" s="15"/>
      <c r="F547" s="16">
        <f t="shared" si="39"/>
        <v>0</v>
      </c>
      <c r="G547">
        <f t="shared" si="37"/>
        <v>0</v>
      </c>
    </row>
    <row r="548" spans="1:7" hidden="1" x14ac:dyDescent="0.25">
      <c r="A548" s="85" t="s">
        <v>2066</v>
      </c>
      <c r="B548" s="88" t="s">
        <v>2035</v>
      </c>
      <c r="C548" s="26" t="s">
        <v>37</v>
      </c>
      <c r="D548" s="14"/>
      <c r="E548" s="15"/>
      <c r="F548" s="16">
        <f t="shared" si="39"/>
        <v>0</v>
      </c>
      <c r="G548">
        <f t="shared" si="37"/>
        <v>0</v>
      </c>
    </row>
    <row r="549" spans="1:7" hidden="1" x14ac:dyDescent="0.25">
      <c r="A549" s="85" t="s">
        <v>2067</v>
      </c>
      <c r="B549" s="113" t="s">
        <v>2036</v>
      </c>
      <c r="C549" s="26" t="s">
        <v>37</v>
      </c>
      <c r="D549" s="14"/>
      <c r="E549" s="15"/>
      <c r="F549" s="16">
        <f t="shared" si="39"/>
        <v>0</v>
      </c>
      <c r="G549">
        <f t="shared" si="37"/>
        <v>0</v>
      </c>
    </row>
    <row r="550" spans="1:7" hidden="1" x14ac:dyDescent="0.25">
      <c r="A550" s="85" t="s">
        <v>2068</v>
      </c>
      <c r="B550" s="113" t="s">
        <v>2037</v>
      </c>
      <c r="C550" s="26" t="s">
        <v>37</v>
      </c>
      <c r="D550" s="14"/>
      <c r="E550" s="15"/>
      <c r="F550" s="16">
        <f t="shared" si="39"/>
        <v>0</v>
      </c>
      <c r="G550">
        <f t="shared" si="37"/>
        <v>0</v>
      </c>
    </row>
    <row r="551" spans="1:7" hidden="1" x14ac:dyDescent="0.25">
      <c r="A551" s="85" t="s">
        <v>2069</v>
      </c>
      <c r="B551" s="88" t="s">
        <v>2038</v>
      </c>
      <c r="C551" s="26" t="s">
        <v>37</v>
      </c>
      <c r="D551" s="14"/>
      <c r="E551" s="15"/>
      <c r="F551" s="16">
        <f t="shared" si="39"/>
        <v>0</v>
      </c>
      <c r="G551">
        <f t="shared" si="37"/>
        <v>0</v>
      </c>
    </row>
    <row r="552" spans="1:7" hidden="1" x14ac:dyDescent="0.25">
      <c r="A552" s="85" t="s">
        <v>2070</v>
      </c>
      <c r="B552" s="113" t="s">
        <v>2039</v>
      </c>
      <c r="C552" s="26" t="s">
        <v>37</v>
      </c>
      <c r="D552" s="14"/>
      <c r="E552" s="15"/>
      <c r="F552" s="16">
        <f t="shared" si="39"/>
        <v>0</v>
      </c>
      <c r="G552">
        <f t="shared" si="37"/>
        <v>0</v>
      </c>
    </row>
    <row r="553" spans="1:7" hidden="1" x14ac:dyDescent="0.25">
      <c r="A553" s="85" t="s">
        <v>2071</v>
      </c>
      <c r="B553" s="88" t="s">
        <v>2040</v>
      </c>
      <c r="C553" s="26" t="s">
        <v>37</v>
      </c>
      <c r="D553" s="14"/>
      <c r="E553" s="15"/>
      <c r="F553" s="16">
        <f t="shared" si="39"/>
        <v>0</v>
      </c>
      <c r="G553">
        <f t="shared" si="37"/>
        <v>0</v>
      </c>
    </row>
    <row r="554" spans="1:7" hidden="1" x14ac:dyDescent="0.25">
      <c r="A554" s="85" t="s">
        <v>2072</v>
      </c>
      <c r="B554" s="113" t="s">
        <v>2041</v>
      </c>
      <c r="C554" s="26" t="s">
        <v>37</v>
      </c>
      <c r="D554" s="14"/>
      <c r="E554" s="15"/>
      <c r="F554" s="16">
        <f t="shared" si="39"/>
        <v>0</v>
      </c>
      <c r="G554">
        <f t="shared" si="37"/>
        <v>0</v>
      </c>
    </row>
    <row r="555" spans="1:7" hidden="1" x14ac:dyDescent="0.25">
      <c r="A555" s="85" t="s">
        <v>2073</v>
      </c>
      <c r="B555" s="88" t="s">
        <v>2042</v>
      </c>
      <c r="C555" s="26" t="s">
        <v>37</v>
      </c>
      <c r="D555" s="14"/>
      <c r="E555" s="15"/>
      <c r="F555" s="16">
        <f t="shared" si="39"/>
        <v>0</v>
      </c>
      <c r="G555">
        <f t="shared" si="37"/>
        <v>0</v>
      </c>
    </row>
    <row r="556" spans="1:7" hidden="1" x14ac:dyDescent="0.25">
      <c r="A556" s="85" t="s">
        <v>2074</v>
      </c>
      <c r="B556" s="113" t="s">
        <v>2043</v>
      </c>
      <c r="C556" s="26" t="s">
        <v>37</v>
      </c>
      <c r="D556" s="14"/>
      <c r="E556" s="15"/>
      <c r="F556" s="16">
        <f t="shared" si="39"/>
        <v>0</v>
      </c>
      <c r="G556">
        <f t="shared" si="37"/>
        <v>0</v>
      </c>
    </row>
    <row r="557" spans="1:7" hidden="1" x14ac:dyDescent="0.25">
      <c r="A557" s="85" t="s">
        <v>2075</v>
      </c>
      <c r="B557" s="88" t="s">
        <v>2044</v>
      </c>
      <c r="C557" s="26" t="s">
        <v>37</v>
      </c>
      <c r="D557" s="14"/>
      <c r="E557" s="15"/>
      <c r="F557" s="16">
        <f t="shared" si="39"/>
        <v>0</v>
      </c>
      <c r="G557">
        <f t="shared" si="37"/>
        <v>0</v>
      </c>
    </row>
    <row r="558" spans="1:7" hidden="1" x14ac:dyDescent="0.25">
      <c r="A558" s="85" t="s">
        <v>2076</v>
      </c>
      <c r="B558" s="88" t="s">
        <v>2045</v>
      </c>
      <c r="C558" s="26" t="s">
        <v>37</v>
      </c>
      <c r="D558" s="14"/>
      <c r="E558" s="15"/>
      <c r="F558" s="16">
        <f t="shared" si="39"/>
        <v>0</v>
      </c>
      <c r="G558">
        <f t="shared" si="37"/>
        <v>0</v>
      </c>
    </row>
    <row r="559" spans="1:7" hidden="1" x14ac:dyDescent="0.25">
      <c r="A559" s="85" t="s">
        <v>2077</v>
      </c>
      <c r="B559" s="88" t="s">
        <v>2046</v>
      </c>
      <c r="C559" s="26" t="s">
        <v>37</v>
      </c>
      <c r="D559" s="14"/>
      <c r="E559" s="15"/>
      <c r="F559" s="16">
        <f t="shared" si="39"/>
        <v>0</v>
      </c>
      <c r="G559">
        <f t="shared" si="37"/>
        <v>0</v>
      </c>
    </row>
    <row r="560" spans="1:7" hidden="1" x14ac:dyDescent="0.25">
      <c r="A560" s="78" t="s">
        <v>2079</v>
      </c>
      <c r="B560" s="79" t="s">
        <v>2078</v>
      </c>
      <c r="C560" s="26" t="s">
        <v>37</v>
      </c>
      <c r="D560" s="14"/>
      <c r="E560" s="15"/>
      <c r="F560" s="16">
        <f t="shared" si="39"/>
        <v>0</v>
      </c>
      <c r="G560">
        <f t="shared" si="37"/>
        <v>0</v>
      </c>
    </row>
    <row r="561" spans="1:7" hidden="1" x14ac:dyDescent="0.25">
      <c r="A561" s="85" t="s">
        <v>2080</v>
      </c>
      <c r="B561" s="88" t="s">
        <v>2032</v>
      </c>
      <c r="C561" s="26" t="s">
        <v>37</v>
      </c>
      <c r="D561" s="14"/>
      <c r="E561" s="15"/>
      <c r="F561" s="16">
        <f t="shared" si="39"/>
        <v>0</v>
      </c>
      <c r="G561">
        <f t="shared" si="37"/>
        <v>0</v>
      </c>
    </row>
    <row r="562" spans="1:7" hidden="1" x14ac:dyDescent="0.25">
      <c r="A562" s="85" t="s">
        <v>2081</v>
      </c>
      <c r="B562" s="113" t="s">
        <v>2033</v>
      </c>
      <c r="C562" s="26" t="s">
        <v>37</v>
      </c>
      <c r="D562" s="14"/>
      <c r="E562" s="15"/>
      <c r="F562" s="16">
        <f t="shared" si="39"/>
        <v>0</v>
      </c>
      <c r="G562">
        <f t="shared" si="37"/>
        <v>0</v>
      </c>
    </row>
    <row r="563" spans="1:7" hidden="1" x14ac:dyDescent="0.25">
      <c r="A563" s="85" t="s">
        <v>2082</v>
      </c>
      <c r="B563" s="88" t="s">
        <v>2034</v>
      </c>
      <c r="C563" s="26" t="s">
        <v>37</v>
      </c>
      <c r="D563" s="14"/>
      <c r="E563" s="15"/>
      <c r="F563" s="16">
        <f t="shared" si="39"/>
        <v>0</v>
      </c>
      <c r="G563">
        <f t="shared" si="37"/>
        <v>0</v>
      </c>
    </row>
    <row r="564" spans="1:7" hidden="1" x14ac:dyDescent="0.25">
      <c r="A564" s="85" t="s">
        <v>2083</v>
      </c>
      <c r="B564" s="88" t="s">
        <v>2035</v>
      </c>
      <c r="C564" s="26" t="s">
        <v>37</v>
      </c>
      <c r="D564" s="14"/>
      <c r="E564" s="15"/>
      <c r="F564" s="16">
        <f t="shared" si="39"/>
        <v>0</v>
      </c>
      <c r="G564">
        <f t="shared" si="37"/>
        <v>0</v>
      </c>
    </row>
    <row r="565" spans="1:7" hidden="1" x14ac:dyDescent="0.25">
      <c r="A565" s="85" t="s">
        <v>2084</v>
      </c>
      <c r="B565" s="113" t="s">
        <v>2036</v>
      </c>
      <c r="C565" s="26" t="s">
        <v>37</v>
      </c>
      <c r="D565" s="14"/>
      <c r="E565" s="15"/>
      <c r="F565" s="16">
        <f t="shared" si="39"/>
        <v>0</v>
      </c>
      <c r="G565">
        <f t="shared" si="37"/>
        <v>0</v>
      </c>
    </row>
    <row r="566" spans="1:7" hidden="1" x14ac:dyDescent="0.25">
      <c r="A566" s="85" t="s">
        <v>2085</v>
      </c>
      <c r="B566" s="113" t="s">
        <v>2037</v>
      </c>
      <c r="C566" s="26" t="s">
        <v>37</v>
      </c>
      <c r="D566" s="14"/>
      <c r="E566" s="15"/>
      <c r="F566" s="16">
        <f t="shared" si="39"/>
        <v>0</v>
      </c>
      <c r="G566">
        <f t="shared" si="37"/>
        <v>0</v>
      </c>
    </row>
    <row r="567" spans="1:7" hidden="1" x14ac:dyDescent="0.25">
      <c r="A567" s="85" t="s">
        <v>2086</v>
      </c>
      <c r="B567" s="88" t="s">
        <v>2038</v>
      </c>
      <c r="C567" s="26" t="s">
        <v>37</v>
      </c>
      <c r="D567" s="14"/>
      <c r="E567" s="15"/>
      <c r="F567" s="16">
        <f t="shared" si="39"/>
        <v>0</v>
      </c>
      <c r="G567">
        <f t="shared" si="37"/>
        <v>0</v>
      </c>
    </row>
    <row r="568" spans="1:7" hidden="1" x14ac:dyDescent="0.25">
      <c r="A568" s="85" t="s">
        <v>2087</v>
      </c>
      <c r="B568" s="113" t="s">
        <v>2039</v>
      </c>
      <c r="C568" s="26" t="s">
        <v>37</v>
      </c>
      <c r="D568" s="14"/>
      <c r="E568" s="15"/>
      <c r="F568" s="16">
        <f t="shared" si="39"/>
        <v>0</v>
      </c>
      <c r="G568">
        <f t="shared" si="37"/>
        <v>0</v>
      </c>
    </row>
    <row r="569" spans="1:7" hidden="1" x14ac:dyDescent="0.25">
      <c r="A569" s="85" t="s">
        <v>2088</v>
      </c>
      <c r="B569" s="88" t="s">
        <v>2040</v>
      </c>
      <c r="C569" s="26" t="s">
        <v>37</v>
      </c>
      <c r="D569" s="14"/>
      <c r="E569" s="15"/>
      <c r="F569" s="16">
        <f t="shared" si="39"/>
        <v>0</v>
      </c>
      <c r="G569">
        <f t="shared" si="37"/>
        <v>0</v>
      </c>
    </row>
    <row r="570" spans="1:7" hidden="1" x14ac:dyDescent="0.25">
      <c r="A570" s="85" t="s">
        <v>2089</v>
      </c>
      <c r="B570" s="113" t="s">
        <v>2041</v>
      </c>
      <c r="C570" s="26" t="s">
        <v>37</v>
      </c>
      <c r="D570" s="14"/>
      <c r="E570" s="15"/>
      <c r="F570" s="16">
        <f t="shared" si="39"/>
        <v>0</v>
      </c>
      <c r="G570">
        <f t="shared" si="37"/>
        <v>0</v>
      </c>
    </row>
    <row r="571" spans="1:7" hidden="1" x14ac:dyDescent="0.25">
      <c r="A571" s="85" t="s">
        <v>2090</v>
      </c>
      <c r="B571" s="88" t="s">
        <v>2042</v>
      </c>
      <c r="C571" s="26" t="s">
        <v>37</v>
      </c>
      <c r="D571" s="14"/>
      <c r="E571" s="15"/>
      <c r="F571" s="16">
        <f t="shared" si="39"/>
        <v>0</v>
      </c>
      <c r="G571">
        <f t="shared" si="37"/>
        <v>0</v>
      </c>
    </row>
    <row r="572" spans="1:7" hidden="1" x14ac:dyDescent="0.25">
      <c r="A572" s="85" t="s">
        <v>2091</v>
      </c>
      <c r="B572" s="113" t="s">
        <v>2043</v>
      </c>
      <c r="C572" s="26" t="s">
        <v>37</v>
      </c>
      <c r="D572" s="14"/>
      <c r="E572" s="15"/>
      <c r="F572" s="16">
        <f t="shared" si="39"/>
        <v>0</v>
      </c>
      <c r="G572">
        <f t="shared" si="37"/>
        <v>0</v>
      </c>
    </row>
    <row r="573" spans="1:7" hidden="1" x14ac:dyDescent="0.25">
      <c r="A573" s="85" t="s">
        <v>2092</v>
      </c>
      <c r="B573" s="88" t="s">
        <v>2044</v>
      </c>
      <c r="C573" s="26" t="s">
        <v>37</v>
      </c>
      <c r="D573" s="14"/>
      <c r="E573" s="15"/>
      <c r="F573" s="16">
        <f t="shared" si="39"/>
        <v>0</v>
      </c>
      <c r="G573">
        <f t="shared" si="37"/>
        <v>0</v>
      </c>
    </row>
    <row r="574" spans="1:7" hidden="1" x14ac:dyDescent="0.25">
      <c r="A574" s="85" t="s">
        <v>2093</v>
      </c>
      <c r="B574" s="88" t="s">
        <v>2045</v>
      </c>
      <c r="C574" s="26" t="s">
        <v>37</v>
      </c>
      <c r="D574" s="14"/>
      <c r="E574" s="15"/>
      <c r="F574" s="16">
        <f t="shared" si="39"/>
        <v>0</v>
      </c>
      <c r="G574">
        <f t="shared" si="37"/>
        <v>0</v>
      </c>
    </row>
    <row r="575" spans="1:7" hidden="1" x14ac:dyDescent="0.25">
      <c r="A575" s="85" t="s">
        <v>2094</v>
      </c>
      <c r="B575" s="88" t="s">
        <v>2046</v>
      </c>
      <c r="C575" s="26" t="s">
        <v>37</v>
      </c>
      <c r="D575" s="14"/>
      <c r="E575" s="15"/>
      <c r="F575" s="16">
        <f t="shared" si="39"/>
        <v>0</v>
      </c>
      <c r="G575">
        <f t="shared" si="37"/>
        <v>0</v>
      </c>
    </row>
    <row r="576" spans="1:7" hidden="1" x14ac:dyDescent="0.25">
      <c r="A576" s="85" t="s">
        <v>2096</v>
      </c>
      <c r="B576" s="79" t="s">
        <v>2095</v>
      </c>
      <c r="C576" s="26"/>
      <c r="D576" s="14"/>
      <c r="E576" s="15"/>
      <c r="F576" s="16"/>
      <c r="G576">
        <f t="shared" si="37"/>
        <v>0</v>
      </c>
    </row>
    <row r="577" spans="1:7" hidden="1" x14ac:dyDescent="0.25">
      <c r="A577" s="78" t="s">
        <v>2098</v>
      </c>
      <c r="B577" s="79" t="s">
        <v>2097</v>
      </c>
      <c r="C577" s="26"/>
      <c r="D577" s="14"/>
      <c r="E577" s="15"/>
      <c r="F577" s="16"/>
      <c r="G577">
        <f t="shared" si="37"/>
        <v>0</v>
      </c>
    </row>
    <row r="578" spans="1:7" hidden="1" x14ac:dyDescent="0.25">
      <c r="A578" s="85" t="s">
        <v>2099</v>
      </c>
      <c r="B578" s="88" t="s">
        <v>2100</v>
      </c>
      <c r="C578" s="26" t="s">
        <v>37</v>
      </c>
      <c r="D578" s="14"/>
      <c r="E578" s="15"/>
      <c r="F578" s="16">
        <f t="shared" ref="F578:F592" si="40">+D578*E578</f>
        <v>0</v>
      </c>
      <c r="G578">
        <f t="shared" si="37"/>
        <v>0</v>
      </c>
    </row>
    <row r="579" spans="1:7" hidden="1" x14ac:dyDescent="0.25">
      <c r="A579" s="85" t="s">
        <v>2116</v>
      </c>
      <c r="B579" s="88" t="s">
        <v>2101</v>
      </c>
      <c r="C579" s="26" t="s">
        <v>37</v>
      </c>
      <c r="D579" s="14"/>
      <c r="E579" s="15"/>
      <c r="F579" s="16">
        <f t="shared" si="40"/>
        <v>0</v>
      </c>
      <c r="G579">
        <f t="shared" si="37"/>
        <v>0</v>
      </c>
    </row>
    <row r="580" spans="1:7" hidden="1" x14ac:dyDescent="0.25">
      <c r="A580" s="85" t="s">
        <v>2117</v>
      </c>
      <c r="B580" s="88" t="s">
        <v>2102</v>
      </c>
      <c r="C580" s="26" t="s">
        <v>37</v>
      </c>
      <c r="D580" s="14"/>
      <c r="E580" s="15"/>
      <c r="F580" s="16">
        <f t="shared" si="40"/>
        <v>0</v>
      </c>
      <c r="G580">
        <f t="shared" si="37"/>
        <v>0</v>
      </c>
    </row>
    <row r="581" spans="1:7" hidden="1" x14ac:dyDescent="0.25">
      <c r="A581" s="85" t="s">
        <v>2118</v>
      </c>
      <c r="B581" s="88" t="s">
        <v>2103</v>
      </c>
      <c r="C581" s="26" t="s">
        <v>37</v>
      </c>
      <c r="D581" s="14"/>
      <c r="E581" s="15"/>
      <c r="F581" s="16">
        <f t="shared" si="40"/>
        <v>0</v>
      </c>
      <c r="G581">
        <f t="shared" si="37"/>
        <v>0</v>
      </c>
    </row>
    <row r="582" spans="1:7" hidden="1" x14ac:dyDescent="0.25">
      <c r="A582" s="85" t="s">
        <v>2119</v>
      </c>
      <c r="B582" s="88" t="s">
        <v>2105</v>
      </c>
      <c r="C582" s="26" t="s">
        <v>37</v>
      </c>
      <c r="D582" s="14"/>
      <c r="E582" s="15"/>
      <c r="F582" s="16">
        <f t="shared" si="40"/>
        <v>0</v>
      </c>
      <c r="G582">
        <f t="shared" si="37"/>
        <v>0</v>
      </c>
    </row>
    <row r="583" spans="1:7" hidden="1" x14ac:dyDescent="0.25">
      <c r="A583" s="85" t="s">
        <v>2120</v>
      </c>
      <c r="B583" s="88" t="s">
        <v>2104</v>
      </c>
      <c r="C583" s="26" t="s">
        <v>37</v>
      </c>
      <c r="D583" s="14"/>
      <c r="E583" s="15"/>
      <c r="F583" s="16">
        <f t="shared" si="40"/>
        <v>0</v>
      </c>
      <c r="G583">
        <f t="shared" si="37"/>
        <v>0</v>
      </c>
    </row>
    <row r="584" spans="1:7" hidden="1" x14ac:dyDescent="0.25">
      <c r="A584" s="85" t="s">
        <v>2121</v>
      </c>
      <c r="B584" s="88" t="s">
        <v>2106</v>
      </c>
      <c r="C584" s="26" t="s">
        <v>37</v>
      </c>
      <c r="D584" s="14"/>
      <c r="E584" s="15"/>
      <c r="F584" s="16">
        <f t="shared" si="40"/>
        <v>0</v>
      </c>
      <c r="G584">
        <f t="shared" si="37"/>
        <v>0</v>
      </c>
    </row>
    <row r="585" spans="1:7" hidden="1" x14ac:dyDescent="0.25">
      <c r="A585" s="85" t="s">
        <v>2122</v>
      </c>
      <c r="B585" s="88" t="s">
        <v>2107</v>
      </c>
      <c r="C585" s="26" t="s">
        <v>37</v>
      </c>
      <c r="D585" s="14"/>
      <c r="E585" s="15"/>
      <c r="F585" s="16">
        <f t="shared" si="40"/>
        <v>0</v>
      </c>
      <c r="G585">
        <f t="shared" ref="G585:G610" si="41">+IF(F585&lt;&gt;0,1,0)</f>
        <v>0</v>
      </c>
    </row>
    <row r="586" spans="1:7" hidden="1" x14ac:dyDescent="0.25">
      <c r="A586" s="85" t="s">
        <v>2123</v>
      </c>
      <c r="B586" s="88" t="s">
        <v>2108</v>
      </c>
      <c r="C586" s="26" t="s">
        <v>37</v>
      </c>
      <c r="D586" s="14"/>
      <c r="E586" s="15"/>
      <c r="F586" s="16">
        <f t="shared" si="40"/>
        <v>0</v>
      </c>
      <c r="G586">
        <f t="shared" si="41"/>
        <v>0</v>
      </c>
    </row>
    <row r="587" spans="1:7" hidden="1" x14ac:dyDescent="0.25">
      <c r="A587" s="85" t="s">
        <v>2124</v>
      </c>
      <c r="B587" s="88" t="s">
        <v>2109</v>
      </c>
      <c r="C587" s="26" t="s">
        <v>37</v>
      </c>
      <c r="D587" s="14"/>
      <c r="E587" s="15"/>
      <c r="F587" s="16">
        <f t="shared" si="40"/>
        <v>0</v>
      </c>
      <c r="G587">
        <f t="shared" si="41"/>
        <v>0</v>
      </c>
    </row>
    <row r="588" spans="1:7" hidden="1" x14ac:dyDescent="0.25">
      <c r="A588" s="85" t="s">
        <v>2125</v>
      </c>
      <c r="B588" s="88" t="s">
        <v>2110</v>
      </c>
      <c r="C588" s="26" t="s">
        <v>37</v>
      </c>
      <c r="D588" s="14"/>
      <c r="E588" s="15"/>
      <c r="F588" s="16">
        <f t="shared" si="40"/>
        <v>0</v>
      </c>
      <c r="G588">
        <f t="shared" si="41"/>
        <v>0</v>
      </c>
    </row>
    <row r="589" spans="1:7" hidden="1" x14ac:dyDescent="0.25">
      <c r="A589" s="85" t="s">
        <v>2126</v>
      </c>
      <c r="B589" s="88" t="s">
        <v>2111</v>
      </c>
      <c r="C589" s="26" t="s">
        <v>37</v>
      </c>
      <c r="D589" s="14"/>
      <c r="E589" s="15"/>
      <c r="F589" s="16">
        <f t="shared" si="40"/>
        <v>0</v>
      </c>
      <c r="G589">
        <f t="shared" si="41"/>
        <v>0</v>
      </c>
    </row>
    <row r="590" spans="1:7" hidden="1" x14ac:dyDescent="0.25">
      <c r="A590" s="85" t="s">
        <v>2127</v>
      </c>
      <c r="B590" s="88" t="s">
        <v>2112</v>
      </c>
      <c r="C590" s="26" t="s">
        <v>37</v>
      </c>
      <c r="D590" s="14"/>
      <c r="E590" s="15"/>
      <c r="F590" s="16">
        <f t="shared" si="40"/>
        <v>0</v>
      </c>
      <c r="G590">
        <f t="shared" si="41"/>
        <v>0</v>
      </c>
    </row>
    <row r="591" spans="1:7" hidden="1" x14ac:dyDescent="0.25">
      <c r="A591" s="85" t="s">
        <v>2128</v>
      </c>
      <c r="B591" s="88" t="s">
        <v>2113</v>
      </c>
      <c r="C591" s="26" t="s">
        <v>37</v>
      </c>
      <c r="D591" s="14"/>
      <c r="E591" s="15"/>
      <c r="F591" s="16">
        <f t="shared" si="40"/>
        <v>0</v>
      </c>
      <c r="G591">
        <f t="shared" si="41"/>
        <v>0</v>
      </c>
    </row>
    <row r="592" spans="1:7" hidden="1" x14ac:dyDescent="0.25">
      <c r="A592" s="85" t="s">
        <v>2129</v>
      </c>
      <c r="B592" s="88" t="s">
        <v>2114</v>
      </c>
      <c r="C592" s="26" t="s">
        <v>37</v>
      </c>
      <c r="D592" s="14"/>
      <c r="E592" s="15"/>
      <c r="F592" s="16">
        <f t="shared" si="40"/>
        <v>0</v>
      </c>
      <c r="G592">
        <f t="shared" si="41"/>
        <v>0</v>
      </c>
    </row>
    <row r="593" spans="1:7" hidden="1" x14ac:dyDescent="0.25">
      <c r="A593" s="78" t="s">
        <v>2130</v>
      </c>
      <c r="B593" s="79" t="s">
        <v>2115</v>
      </c>
      <c r="C593" s="26"/>
      <c r="D593" s="14"/>
      <c r="E593" s="15"/>
      <c r="F593" s="16"/>
      <c r="G593">
        <f t="shared" si="41"/>
        <v>0</v>
      </c>
    </row>
    <row r="594" spans="1:7" hidden="1" x14ac:dyDescent="0.25">
      <c r="A594" s="85" t="s">
        <v>2131</v>
      </c>
      <c r="B594" s="88" t="s">
        <v>2100</v>
      </c>
      <c r="C594" s="26" t="s">
        <v>37</v>
      </c>
      <c r="D594" s="14"/>
      <c r="E594" s="15"/>
      <c r="F594" s="16">
        <f t="shared" ref="F594:F608" si="42">+D594*E594</f>
        <v>0</v>
      </c>
      <c r="G594">
        <f t="shared" si="41"/>
        <v>0</v>
      </c>
    </row>
    <row r="595" spans="1:7" hidden="1" x14ac:dyDescent="0.25">
      <c r="A595" s="85" t="s">
        <v>2132</v>
      </c>
      <c r="B595" s="88" t="s">
        <v>2101</v>
      </c>
      <c r="C595" s="26" t="s">
        <v>37</v>
      </c>
      <c r="D595" s="14"/>
      <c r="E595" s="15"/>
      <c r="F595" s="16">
        <f t="shared" si="42"/>
        <v>0</v>
      </c>
      <c r="G595">
        <f t="shared" si="41"/>
        <v>0</v>
      </c>
    </row>
    <row r="596" spans="1:7" hidden="1" x14ac:dyDescent="0.25">
      <c r="A596" s="85" t="s">
        <v>2133</v>
      </c>
      <c r="B596" s="88" t="s">
        <v>2102</v>
      </c>
      <c r="C596" s="26" t="s">
        <v>37</v>
      </c>
      <c r="D596" s="14"/>
      <c r="E596" s="15"/>
      <c r="F596" s="16">
        <f t="shared" si="42"/>
        <v>0</v>
      </c>
      <c r="G596">
        <f t="shared" si="41"/>
        <v>0</v>
      </c>
    </row>
    <row r="597" spans="1:7" hidden="1" x14ac:dyDescent="0.25">
      <c r="A597" s="85" t="s">
        <v>2134</v>
      </c>
      <c r="B597" s="88" t="s">
        <v>2103</v>
      </c>
      <c r="C597" s="26" t="s">
        <v>37</v>
      </c>
      <c r="D597" s="14"/>
      <c r="E597" s="15"/>
      <c r="F597" s="16">
        <f t="shared" si="42"/>
        <v>0</v>
      </c>
      <c r="G597">
        <f t="shared" si="41"/>
        <v>0</v>
      </c>
    </row>
    <row r="598" spans="1:7" hidden="1" x14ac:dyDescent="0.25">
      <c r="A598" s="85" t="s">
        <v>2135</v>
      </c>
      <c r="B598" s="88" t="s">
        <v>2105</v>
      </c>
      <c r="C598" s="26" t="s">
        <v>37</v>
      </c>
      <c r="D598" s="14"/>
      <c r="E598" s="15"/>
      <c r="F598" s="16">
        <f t="shared" si="42"/>
        <v>0</v>
      </c>
      <c r="G598">
        <f t="shared" si="41"/>
        <v>0</v>
      </c>
    </row>
    <row r="599" spans="1:7" hidden="1" x14ac:dyDescent="0.25">
      <c r="A599" s="85" t="s">
        <v>2136</v>
      </c>
      <c r="B599" s="88" t="s">
        <v>2104</v>
      </c>
      <c r="C599" s="26" t="s">
        <v>37</v>
      </c>
      <c r="D599" s="14"/>
      <c r="E599" s="15"/>
      <c r="F599" s="16">
        <f t="shared" si="42"/>
        <v>0</v>
      </c>
      <c r="G599">
        <f t="shared" si="41"/>
        <v>0</v>
      </c>
    </row>
    <row r="600" spans="1:7" hidden="1" x14ac:dyDescent="0.25">
      <c r="A600" s="85" t="s">
        <v>2137</v>
      </c>
      <c r="B600" s="88" t="s">
        <v>2106</v>
      </c>
      <c r="C600" s="26" t="s">
        <v>37</v>
      </c>
      <c r="D600" s="14"/>
      <c r="E600" s="15"/>
      <c r="F600" s="16">
        <f t="shared" si="42"/>
        <v>0</v>
      </c>
      <c r="G600">
        <f t="shared" si="41"/>
        <v>0</v>
      </c>
    </row>
    <row r="601" spans="1:7" hidden="1" x14ac:dyDescent="0.25">
      <c r="A601" s="85" t="s">
        <v>2138</v>
      </c>
      <c r="B601" s="88" t="s">
        <v>2107</v>
      </c>
      <c r="C601" s="26" t="s">
        <v>37</v>
      </c>
      <c r="D601" s="14"/>
      <c r="E601" s="15"/>
      <c r="F601" s="16">
        <f t="shared" si="42"/>
        <v>0</v>
      </c>
      <c r="G601">
        <f t="shared" si="41"/>
        <v>0</v>
      </c>
    </row>
    <row r="602" spans="1:7" hidden="1" x14ac:dyDescent="0.25">
      <c r="A602" s="85" t="s">
        <v>2139</v>
      </c>
      <c r="B602" s="88" t="s">
        <v>2108</v>
      </c>
      <c r="C602" s="26" t="s">
        <v>37</v>
      </c>
      <c r="D602" s="14"/>
      <c r="E602" s="15"/>
      <c r="F602" s="16">
        <f t="shared" si="42"/>
        <v>0</v>
      </c>
      <c r="G602">
        <f t="shared" si="41"/>
        <v>0</v>
      </c>
    </row>
    <row r="603" spans="1:7" hidden="1" x14ac:dyDescent="0.25">
      <c r="A603" s="85" t="s">
        <v>2140</v>
      </c>
      <c r="B603" s="88" t="s">
        <v>2109</v>
      </c>
      <c r="C603" s="26" t="s">
        <v>37</v>
      </c>
      <c r="D603" s="14"/>
      <c r="E603" s="15"/>
      <c r="F603" s="16">
        <f t="shared" si="42"/>
        <v>0</v>
      </c>
      <c r="G603">
        <f t="shared" si="41"/>
        <v>0</v>
      </c>
    </row>
    <row r="604" spans="1:7" hidden="1" x14ac:dyDescent="0.25">
      <c r="A604" s="85" t="s">
        <v>2141</v>
      </c>
      <c r="B604" s="88" t="s">
        <v>2110</v>
      </c>
      <c r="C604" s="26" t="s">
        <v>37</v>
      </c>
      <c r="D604" s="14"/>
      <c r="E604" s="15"/>
      <c r="F604" s="16">
        <f t="shared" si="42"/>
        <v>0</v>
      </c>
      <c r="G604">
        <f t="shared" si="41"/>
        <v>0</v>
      </c>
    </row>
    <row r="605" spans="1:7" hidden="1" x14ac:dyDescent="0.25">
      <c r="A605" s="85" t="s">
        <v>2142</v>
      </c>
      <c r="B605" s="88" t="s">
        <v>2111</v>
      </c>
      <c r="C605" s="26" t="s">
        <v>37</v>
      </c>
      <c r="D605" s="14"/>
      <c r="E605" s="15"/>
      <c r="F605" s="16">
        <f t="shared" si="42"/>
        <v>0</v>
      </c>
      <c r="G605">
        <f t="shared" si="41"/>
        <v>0</v>
      </c>
    </row>
    <row r="606" spans="1:7" hidden="1" x14ac:dyDescent="0.25">
      <c r="A606" s="85" t="s">
        <v>2143</v>
      </c>
      <c r="B606" s="88" t="s">
        <v>2112</v>
      </c>
      <c r="C606" s="26" t="s">
        <v>37</v>
      </c>
      <c r="D606" s="14"/>
      <c r="E606" s="15"/>
      <c r="F606" s="16">
        <f t="shared" si="42"/>
        <v>0</v>
      </c>
      <c r="G606">
        <f t="shared" si="41"/>
        <v>0</v>
      </c>
    </row>
    <row r="607" spans="1:7" hidden="1" x14ac:dyDescent="0.25">
      <c r="A607" s="85" t="s">
        <v>2144</v>
      </c>
      <c r="B607" s="88" t="s">
        <v>2113</v>
      </c>
      <c r="C607" s="26" t="s">
        <v>37</v>
      </c>
      <c r="D607" s="14"/>
      <c r="E607" s="15"/>
      <c r="F607" s="16">
        <f t="shared" si="42"/>
        <v>0</v>
      </c>
      <c r="G607">
        <f t="shared" si="41"/>
        <v>0</v>
      </c>
    </row>
    <row r="608" spans="1:7" hidden="1" x14ac:dyDescent="0.25">
      <c r="A608" s="85" t="s">
        <v>2145</v>
      </c>
      <c r="B608" s="88" t="s">
        <v>2114</v>
      </c>
      <c r="C608" s="26" t="s">
        <v>37</v>
      </c>
      <c r="D608" s="14"/>
      <c r="E608" s="15"/>
      <c r="F608" s="16">
        <f t="shared" si="42"/>
        <v>0</v>
      </c>
      <c r="G608">
        <f t="shared" si="41"/>
        <v>0</v>
      </c>
    </row>
    <row r="609" spans="1:7" hidden="1" x14ac:dyDescent="0.25">
      <c r="A609" s="44" t="s">
        <v>954</v>
      </c>
      <c r="B609" s="80" t="s">
        <v>2146</v>
      </c>
      <c r="C609" s="26"/>
      <c r="D609" s="14"/>
      <c r="E609" s="15"/>
      <c r="F609" s="16"/>
      <c r="G609">
        <f t="shared" si="41"/>
        <v>0</v>
      </c>
    </row>
    <row r="610" spans="1:7" hidden="1" x14ac:dyDescent="0.25">
      <c r="A610" s="78" t="s">
        <v>2157</v>
      </c>
      <c r="B610" s="79" t="s">
        <v>2147</v>
      </c>
      <c r="C610" s="26"/>
      <c r="D610" s="14"/>
      <c r="E610" s="15"/>
      <c r="F610" s="16"/>
      <c r="G610">
        <f t="shared" si="41"/>
        <v>0</v>
      </c>
    </row>
    <row r="611" spans="1:7" hidden="1" x14ac:dyDescent="0.25">
      <c r="A611" s="85" t="s">
        <v>2158</v>
      </c>
      <c r="B611" s="88" t="s">
        <v>2148</v>
      </c>
      <c r="C611" s="26" t="s">
        <v>37</v>
      </c>
      <c r="D611" s="14"/>
      <c r="E611" s="15"/>
      <c r="F611" s="16">
        <f t="shared" ref="F611:F619" si="43">+D611*E611</f>
        <v>0</v>
      </c>
      <c r="G611">
        <f>+IF(F611&lt;&gt;0,1,0)</f>
        <v>0</v>
      </c>
    </row>
    <row r="612" spans="1:7" hidden="1" x14ac:dyDescent="0.25">
      <c r="A612" s="85" t="s">
        <v>2159</v>
      </c>
      <c r="B612" s="88" t="s">
        <v>2149</v>
      </c>
      <c r="C612" s="26" t="s">
        <v>37</v>
      </c>
      <c r="D612" s="14"/>
      <c r="E612" s="15"/>
      <c r="F612" s="16">
        <f t="shared" si="43"/>
        <v>0</v>
      </c>
      <c r="G612">
        <f t="shared" ref="G612:G675" si="44">+IF(F612&lt;&gt;0,1,0)</f>
        <v>0</v>
      </c>
    </row>
    <row r="613" spans="1:7" hidden="1" x14ac:dyDescent="0.25">
      <c r="A613" s="85" t="s">
        <v>2160</v>
      </c>
      <c r="B613" s="88" t="s">
        <v>2150</v>
      </c>
      <c r="C613" s="26" t="s">
        <v>37</v>
      </c>
      <c r="D613" s="14"/>
      <c r="E613" s="15"/>
      <c r="F613" s="16">
        <f t="shared" si="43"/>
        <v>0</v>
      </c>
      <c r="G613">
        <f t="shared" si="44"/>
        <v>0</v>
      </c>
    </row>
    <row r="614" spans="1:7" hidden="1" x14ac:dyDescent="0.25">
      <c r="A614" s="85" t="s">
        <v>2161</v>
      </c>
      <c r="B614" s="88" t="s">
        <v>2151</v>
      </c>
      <c r="C614" s="26" t="s">
        <v>37</v>
      </c>
      <c r="D614" s="14"/>
      <c r="E614" s="15"/>
      <c r="F614" s="16">
        <f t="shared" si="43"/>
        <v>0</v>
      </c>
      <c r="G614">
        <f t="shared" si="44"/>
        <v>0</v>
      </c>
    </row>
    <row r="615" spans="1:7" hidden="1" x14ac:dyDescent="0.25">
      <c r="A615" s="85" t="s">
        <v>2162</v>
      </c>
      <c r="B615" s="88" t="s">
        <v>2152</v>
      </c>
      <c r="C615" s="26" t="s">
        <v>37</v>
      </c>
      <c r="D615" s="14"/>
      <c r="E615" s="15"/>
      <c r="F615" s="16">
        <f t="shared" si="43"/>
        <v>0</v>
      </c>
      <c r="G615">
        <f t="shared" si="44"/>
        <v>0</v>
      </c>
    </row>
    <row r="616" spans="1:7" hidden="1" x14ac:dyDescent="0.25">
      <c r="A616" s="85" t="s">
        <v>2163</v>
      </c>
      <c r="B616" s="88" t="s">
        <v>2153</v>
      </c>
      <c r="C616" s="26" t="s">
        <v>37</v>
      </c>
      <c r="D616" s="14"/>
      <c r="E616" s="15"/>
      <c r="F616" s="16">
        <f t="shared" si="43"/>
        <v>0</v>
      </c>
      <c r="G616">
        <f t="shared" si="44"/>
        <v>0</v>
      </c>
    </row>
    <row r="617" spans="1:7" hidden="1" x14ac:dyDescent="0.25">
      <c r="A617" s="85" t="s">
        <v>2164</v>
      </c>
      <c r="B617" s="88" t="s">
        <v>2154</v>
      </c>
      <c r="C617" s="26" t="s">
        <v>37</v>
      </c>
      <c r="D617" s="14"/>
      <c r="E617" s="15"/>
      <c r="F617" s="16">
        <f t="shared" si="43"/>
        <v>0</v>
      </c>
      <c r="G617">
        <f t="shared" si="44"/>
        <v>0</v>
      </c>
    </row>
    <row r="618" spans="1:7" hidden="1" x14ac:dyDescent="0.25">
      <c r="A618" s="85" t="s">
        <v>2165</v>
      </c>
      <c r="B618" s="88" t="s">
        <v>2155</v>
      </c>
      <c r="C618" s="26" t="s">
        <v>37</v>
      </c>
      <c r="D618" s="14"/>
      <c r="E618" s="15"/>
      <c r="F618" s="16">
        <f t="shared" si="43"/>
        <v>0</v>
      </c>
      <c r="G618">
        <f t="shared" si="44"/>
        <v>0</v>
      </c>
    </row>
    <row r="619" spans="1:7" hidden="1" x14ac:dyDescent="0.25">
      <c r="A619" s="85" t="s">
        <v>2166</v>
      </c>
      <c r="B619" s="88" t="s">
        <v>2156</v>
      </c>
      <c r="C619" s="26" t="s">
        <v>37</v>
      </c>
      <c r="D619" s="14"/>
      <c r="E619" s="15"/>
      <c r="F619" s="16">
        <f t="shared" si="43"/>
        <v>0</v>
      </c>
      <c r="G619">
        <f t="shared" si="44"/>
        <v>0</v>
      </c>
    </row>
    <row r="620" spans="1:7" hidden="1" x14ac:dyDescent="0.25">
      <c r="A620" s="78" t="s">
        <v>955</v>
      </c>
      <c r="B620" s="79" t="s">
        <v>2167</v>
      </c>
      <c r="C620" s="26"/>
      <c r="D620" s="14"/>
      <c r="E620" s="15"/>
      <c r="F620" s="16"/>
      <c r="G620">
        <f t="shared" si="44"/>
        <v>0</v>
      </c>
    </row>
    <row r="621" spans="1:7" hidden="1" x14ac:dyDescent="0.25">
      <c r="A621" s="85" t="s">
        <v>2168</v>
      </c>
      <c r="B621" s="88" t="s">
        <v>2148</v>
      </c>
      <c r="C621" s="26" t="s">
        <v>37</v>
      </c>
      <c r="D621" s="14"/>
      <c r="E621" s="15"/>
      <c r="F621" s="16">
        <f t="shared" ref="F621:F629" si="45">+D621*E621</f>
        <v>0</v>
      </c>
      <c r="G621">
        <f t="shared" si="44"/>
        <v>0</v>
      </c>
    </row>
    <row r="622" spans="1:7" hidden="1" x14ac:dyDescent="0.25">
      <c r="A622" s="85" t="s">
        <v>2169</v>
      </c>
      <c r="B622" s="88" t="s">
        <v>2149</v>
      </c>
      <c r="C622" s="26" t="s">
        <v>37</v>
      </c>
      <c r="D622" s="14"/>
      <c r="E622" s="15"/>
      <c r="F622" s="16">
        <f t="shared" si="45"/>
        <v>0</v>
      </c>
      <c r="G622">
        <f t="shared" si="44"/>
        <v>0</v>
      </c>
    </row>
    <row r="623" spans="1:7" hidden="1" x14ac:dyDescent="0.25">
      <c r="A623" s="85" t="s">
        <v>956</v>
      </c>
      <c r="B623" s="88" t="s">
        <v>2150</v>
      </c>
      <c r="C623" s="26" t="s">
        <v>37</v>
      </c>
      <c r="D623" s="14"/>
      <c r="E623" s="15"/>
      <c r="F623" s="16">
        <f t="shared" si="45"/>
        <v>0</v>
      </c>
      <c r="G623">
        <f t="shared" si="44"/>
        <v>0</v>
      </c>
    </row>
    <row r="624" spans="1:7" hidden="1" x14ac:dyDescent="0.25">
      <c r="A624" s="85" t="s">
        <v>2170</v>
      </c>
      <c r="B624" s="88" t="s">
        <v>2151</v>
      </c>
      <c r="C624" s="26" t="s">
        <v>37</v>
      </c>
      <c r="D624" s="14"/>
      <c r="E624" s="15"/>
      <c r="F624" s="16">
        <f t="shared" si="45"/>
        <v>0</v>
      </c>
      <c r="G624">
        <f t="shared" si="44"/>
        <v>0</v>
      </c>
    </row>
    <row r="625" spans="1:7" hidden="1" x14ac:dyDescent="0.25">
      <c r="A625" s="85" t="s">
        <v>2171</v>
      </c>
      <c r="B625" s="88" t="s">
        <v>2152</v>
      </c>
      <c r="C625" s="26" t="s">
        <v>37</v>
      </c>
      <c r="D625" s="14"/>
      <c r="E625" s="15"/>
      <c r="F625" s="16">
        <f t="shared" si="45"/>
        <v>0</v>
      </c>
      <c r="G625">
        <f t="shared" si="44"/>
        <v>0</v>
      </c>
    </row>
    <row r="626" spans="1:7" hidden="1" x14ac:dyDescent="0.25">
      <c r="A626" s="85" t="s">
        <v>2172</v>
      </c>
      <c r="B626" s="88" t="s">
        <v>2153</v>
      </c>
      <c r="C626" s="26" t="s">
        <v>37</v>
      </c>
      <c r="D626" s="14"/>
      <c r="E626" s="15"/>
      <c r="F626" s="16">
        <f t="shared" si="45"/>
        <v>0</v>
      </c>
      <c r="G626">
        <f t="shared" si="44"/>
        <v>0</v>
      </c>
    </row>
    <row r="627" spans="1:7" hidden="1" x14ac:dyDescent="0.25">
      <c r="A627" s="85" t="s">
        <v>2173</v>
      </c>
      <c r="B627" s="88" t="s">
        <v>2154</v>
      </c>
      <c r="C627" s="26" t="s">
        <v>37</v>
      </c>
      <c r="D627" s="14"/>
      <c r="E627" s="15"/>
      <c r="F627" s="16">
        <f t="shared" si="45"/>
        <v>0</v>
      </c>
      <c r="G627">
        <f t="shared" si="44"/>
        <v>0</v>
      </c>
    </row>
    <row r="628" spans="1:7" hidden="1" x14ac:dyDescent="0.25">
      <c r="A628" s="85" t="s">
        <v>2174</v>
      </c>
      <c r="B628" s="88" t="s">
        <v>2155</v>
      </c>
      <c r="C628" s="26" t="s">
        <v>37</v>
      </c>
      <c r="D628" s="14"/>
      <c r="E628" s="15"/>
      <c r="F628" s="16">
        <f t="shared" si="45"/>
        <v>0</v>
      </c>
      <c r="G628">
        <f t="shared" si="44"/>
        <v>0</v>
      </c>
    </row>
    <row r="629" spans="1:7" hidden="1" x14ac:dyDescent="0.25">
      <c r="A629" s="85" t="s">
        <v>2175</v>
      </c>
      <c r="B629" s="88" t="s">
        <v>2156</v>
      </c>
      <c r="C629" s="26" t="s">
        <v>37</v>
      </c>
      <c r="D629" s="14"/>
      <c r="E629" s="15"/>
      <c r="F629" s="16">
        <f t="shared" si="45"/>
        <v>0</v>
      </c>
      <c r="G629">
        <f t="shared" si="44"/>
        <v>0</v>
      </c>
    </row>
    <row r="630" spans="1:7" hidden="1" x14ac:dyDescent="0.25">
      <c r="A630" s="78" t="s">
        <v>2176</v>
      </c>
      <c r="B630" s="79" t="s">
        <v>2177</v>
      </c>
      <c r="C630" s="26"/>
      <c r="D630" s="14"/>
      <c r="E630" s="15"/>
      <c r="F630" s="16"/>
      <c r="G630">
        <f t="shared" si="44"/>
        <v>0</v>
      </c>
    </row>
    <row r="631" spans="1:7" hidden="1" x14ac:dyDescent="0.25">
      <c r="A631" s="85" t="s">
        <v>2178</v>
      </c>
      <c r="B631" s="88" t="s">
        <v>2179</v>
      </c>
      <c r="C631" s="26" t="s">
        <v>37</v>
      </c>
      <c r="D631" s="14"/>
      <c r="E631" s="15"/>
      <c r="F631" s="16">
        <f t="shared" ref="F631:F651" si="46">+D631*E631</f>
        <v>0</v>
      </c>
      <c r="G631">
        <f t="shared" si="44"/>
        <v>0</v>
      </c>
    </row>
    <row r="632" spans="1:7" hidden="1" x14ac:dyDescent="0.25">
      <c r="A632" s="85" t="s">
        <v>2189</v>
      </c>
      <c r="B632" s="88" t="s">
        <v>2180</v>
      </c>
      <c r="C632" s="26" t="s">
        <v>37</v>
      </c>
      <c r="D632" s="14"/>
      <c r="E632" s="15"/>
      <c r="F632" s="16">
        <f t="shared" si="46"/>
        <v>0</v>
      </c>
      <c r="G632">
        <f t="shared" si="44"/>
        <v>0</v>
      </c>
    </row>
    <row r="633" spans="1:7" hidden="1" x14ac:dyDescent="0.25">
      <c r="A633" s="85" t="s">
        <v>2190</v>
      </c>
      <c r="B633" s="88" t="s">
        <v>2181</v>
      </c>
      <c r="C633" s="26" t="s">
        <v>37</v>
      </c>
      <c r="D633" s="14"/>
      <c r="E633" s="15"/>
      <c r="F633" s="16">
        <f t="shared" si="46"/>
        <v>0</v>
      </c>
      <c r="G633">
        <f t="shared" si="44"/>
        <v>0</v>
      </c>
    </row>
    <row r="634" spans="1:7" hidden="1" x14ac:dyDescent="0.25">
      <c r="A634" s="85" t="s">
        <v>2191</v>
      </c>
      <c r="B634" s="88" t="s">
        <v>2182</v>
      </c>
      <c r="C634" s="26" t="s">
        <v>37</v>
      </c>
      <c r="D634" s="14"/>
      <c r="E634" s="15"/>
      <c r="F634" s="16">
        <f t="shared" si="46"/>
        <v>0</v>
      </c>
      <c r="G634">
        <f t="shared" si="44"/>
        <v>0</v>
      </c>
    </row>
    <row r="635" spans="1:7" hidden="1" x14ac:dyDescent="0.25">
      <c r="A635" s="85" t="s">
        <v>2192</v>
      </c>
      <c r="B635" s="88" t="s">
        <v>2183</v>
      </c>
      <c r="C635" s="26" t="s">
        <v>37</v>
      </c>
      <c r="D635" s="14"/>
      <c r="E635" s="15"/>
      <c r="F635" s="16">
        <f t="shared" si="46"/>
        <v>0</v>
      </c>
      <c r="G635">
        <f t="shared" si="44"/>
        <v>0</v>
      </c>
    </row>
    <row r="636" spans="1:7" hidden="1" x14ac:dyDescent="0.25">
      <c r="A636" s="85" t="s">
        <v>2193</v>
      </c>
      <c r="B636" s="88" t="s">
        <v>2184</v>
      </c>
      <c r="C636" s="26" t="s">
        <v>37</v>
      </c>
      <c r="D636" s="14"/>
      <c r="E636" s="15"/>
      <c r="F636" s="16">
        <f t="shared" si="46"/>
        <v>0</v>
      </c>
      <c r="G636">
        <f t="shared" si="44"/>
        <v>0</v>
      </c>
    </row>
    <row r="637" spans="1:7" hidden="1" x14ac:dyDescent="0.25">
      <c r="A637" s="85" t="s">
        <v>2194</v>
      </c>
      <c r="B637" s="88" t="s">
        <v>2185</v>
      </c>
      <c r="C637" s="26" t="s">
        <v>37</v>
      </c>
      <c r="D637" s="14"/>
      <c r="E637" s="15"/>
      <c r="F637" s="16">
        <f t="shared" si="46"/>
        <v>0</v>
      </c>
      <c r="G637">
        <f t="shared" si="44"/>
        <v>0</v>
      </c>
    </row>
    <row r="638" spans="1:7" hidden="1" x14ac:dyDescent="0.25">
      <c r="A638" s="85" t="s">
        <v>2195</v>
      </c>
      <c r="B638" s="88" t="s">
        <v>2186</v>
      </c>
      <c r="C638" s="26" t="s">
        <v>37</v>
      </c>
      <c r="D638" s="14"/>
      <c r="E638" s="15"/>
      <c r="F638" s="16">
        <f t="shared" si="46"/>
        <v>0</v>
      </c>
      <c r="G638">
        <f t="shared" si="44"/>
        <v>0</v>
      </c>
    </row>
    <row r="639" spans="1:7" hidden="1" x14ac:dyDescent="0.25">
      <c r="A639" s="85" t="s">
        <v>2196</v>
      </c>
      <c r="B639" s="88" t="s">
        <v>2187</v>
      </c>
      <c r="C639" s="26" t="s">
        <v>37</v>
      </c>
      <c r="D639" s="14"/>
      <c r="E639" s="15"/>
      <c r="F639" s="16">
        <f t="shared" si="46"/>
        <v>0</v>
      </c>
      <c r="G639">
        <f t="shared" si="44"/>
        <v>0</v>
      </c>
    </row>
    <row r="640" spans="1:7" hidden="1" x14ac:dyDescent="0.25">
      <c r="A640" s="85" t="s">
        <v>2197</v>
      </c>
      <c r="B640" s="88" t="s">
        <v>2188</v>
      </c>
      <c r="C640" s="26" t="s">
        <v>37</v>
      </c>
      <c r="D640" s="14"/>
      <c r="E640" s="15"/>
      <c r="F640" s="16">
        <f t="shared" si="46"/>
        <v>0</v>
      </c>
      <c r="G640">
        <f t="shared" si="44"/>
        <v>0</v>
      </c>
    </row>
    <row r="641" spans="1:7" hidden="1" x14ac:dyDescent="0.25">
      <c r="A641" s="78" t="s">
        <v>2198</v>
      </c>
      <c r="B641" s="79" t="s">
        <v>2199</v>
      </c>
      <c r="C641" s="14"/>
      <c r="D641" s="14"/>
      <c r="E641" s="15"/>
      <c r="F641" s="16"/>
      <c r="G641">
        <f t="shared" si="44"/>
        <v>0</v>
      </c>
    </row>
    <row r="642" spans="1:7" hidden="1" x14ac:dyDescent="0.25">
      <c r="A642" s="85" t="s">
        <v>2200</v>
      </c>
      <c r="B642" s="88" t="s">
        <v>2201</v>
      </c>
      <c r="C642" s="26" t="s">
        <v>37</v>
      </c>
      <c r="D642" s="14"/>
      <c r="E642" s="15"/>
      <c r="F642" s="16">
        <f t="shared" si="46"/>
        <v>0</v>
      </c>
      <c r="G642">
        <f t="shared" si="44"/>
        <v>0</v>
      </c>
    </row>
    <row r="643" spans="1:7" hidden="1" x14ac:dyDescent="0.25">
      <c r="A643" s="85" t="s">
        <v>2211</v>
      </c>
      <c r="B643" s="88" t="s">
        <v>2202</v>
      </c>
      <c r="C643" s="26" t="s">
        <v>37</v>
      </c>
      <c r="D643" s="14"/>
      <c r="E643" s="15"/>
      <c r="F643" s="16">
        <f t="shared" si="46"/>
        <v>0</v>
      </c>
      <c r="G643">
        <f t="shared" si="44"/>
        <v>0</v>
      </c>
    </row>
    <row r="644" spans="1:7" hidden="1" x14ac:dyDescent="0.25">
      <c r="A644" s="85" t="s">
        <v>2212</v>
      </c>
      <c r="B644" s="88" t="s">
        <v>2203</v>
      </c>
      <c r="C644" s="26" t="s">
        <v>37</v>
      </c>
      <c r="D644" s="14"/>
      <c r="E644" s="15"/>
      <c r="F644" s="16">
        <f t="shared" si="46"/>
        <v>0</v>
      </c>
      <c r="G644">
        <f t="shared" si="44"/>
        <v>0</v>
      </c>
    </row>
    <row r="645" spans="1:7" hidden="1" x14ac:dyDescent="0.25">
      <c r="A645" s="85" t="s">
        <v>2213</v>
      </c>
      <c r="B645" s="88" t="s">
        <v>2204</v>
      </c>
      <c r="C645" s="26" t="s">
        <v>37</v>
      </c>
      <c r="D645" s="14"/>
      <c r="E645" s="15"/>
      <c r="F645" s="16">
        <f t="shared" si="46"/>
        <v>0</v>
      </c>
      <c r="G645">
        <f t="shared" si="44"/>
        <v>0</v>
      </c>
    </row>
    <row r="646" spans="1:7" hidden="1" x14ac:dyDescent="0.25">
      <c r="A646" s="85" t="s">
        <v>2214</v>
      </c>
      <c r="B646" s="88" t="s">
        <v>2205</v>
      </c>
      <c r="C646" s="26" t="s">
        <v>37</v>
      </c>
      <c r="D646" s="14"/>
      <c r="E646" s="15"/>
      <c r="F646" s="16">
        <f t="shared" si="46"/>
        <v>0</v>
      </c>
      <c r="G646">
        <f t="shared" si="44"/>
        <v>0</v>
      </c>
    </row>
    <row r="647" spans="1:7" hidden="1" x14ac:dyDescent="0.25">
      <c r="A647" s="85" t="s">
        <v>2215</v>
      </c>
      <c r="B647" s="88" t="s">
        <v>2206</v>
      </c>
      <c r="C647" s="26" t="s">
        <v>37</v>
      </c>
      <c r="D647" s="14"/>
      <c r="E647" s="15"/>
      <c r="F647" s="16">
        <f t="shared" si="46"/>
        <v>0</v>
      </c>
      <c r="G647">
        <f t="shared" si="44"/>
        <v>0</v>
      </c>
    </row>
    <row r="648" spans="1:7" hidden="1" x14ac:dyDescent="0.25">
      <c r="A648" s="85" t="s">
        <v>2216</v>
      </c>
      <c r="B648" s="88" t="s">
        <v>2207</v>
      </c>
      <c r="C648" s="26" t="s">
        <v>37</v>
      </c>
      <c r="D648" s="14"/>
      <c r="E648" s="15"/>
      <c r="F648" s="16">
        <f t="shared" si="46"/>
        <v>0</v>
      </c>
      <c r="G648">
        <f t="shared" si="44"/>
        <v>0</v>
      </c>
    </row>
    <row r="649" spans="1:7" hidden="1" x14ac:dyDescent="0.25">
      <c r="A649" s="85" t="s">
        <v>2217</v>
      </c>
      <c r="B649" s="88" t="s">
        <v>2208</v>
      </c>
      <c r="C649" s="26" t="s">
        <v>37</v>
      </c>
      <c r="D649" s="14"/>
      <c r="E649" s="15"/>
      <c r="F649" s="16">
        <f t="shared" si="46"/>
        <v>0</v>
      </c>
      <c r="G649">
        <f t="shared" si="44"/>
        <v>0</v>
      </c>
    </row>
    <row r="650" spans="1:7" hidden="1" x14ac:dyDescent="0.25">
      <c r="A650" s="85" t="s">
        <v>2218</v>
      </c>
      <c r="B650" s="88" t="s">
        <v>2210</v>
      </c>
      <c r="C650" s="26" t="s">
        <v>37</v>
      </c>
      <c r="D650" s="14"/>
      <c r="E650" s="15"/>
      <c r="F650" s="16">
        <f t="shared" si="46"/>
        <v>0</v>
      </c>
      <c r="G650">
        <f t="shared" si="44"/>
        <v>0</v>
      </c>
    </row>
    <row r="651" spans="1:7" hidden="1" x14ac:dyDescent="0.25">
      <c r="A651" s="85" t="s">
        <v>2219</v>
      </c>
      <c r="B651" s="88" t="s">
        <v>2209</v>
      </c>
      <c r="C651" s="26" t="s">
        <v>37</v>
      </c>
      <c r="D651" s="14"/>
      <c r="E651" s="15"/>
      <c r="F651" s="16">
        <f t="shared" si="46"/>
        <v>0</v>
      </c>
      <c r="G651">
        <f t="shared" si="44"/>
        <v>0</v>
      </c>
    </row>
    <row r="652" spans="1:7" hidden="1" x14ac:dyDescent="0.25">
      <c r="A652" s="78" t="s">
        <v>2220</v>
      </c>
      <c r="B652" s="79" t="s">
        <v>2222</v>
      </c>
      <c r="C652" s="14"/>
      <c r="D652" s="14"/>
      <c r="E652" s="15"/>
      <c r="F652" s="16"/>
      <c r="G652">
        <f t="shared" si="44"/>
        <v>0</v>
      </c>
    </row>
    <row r="653" spans="1:7" hidden="1" x14ac:dyDescent="0.25">
      <c r="A653" s="78" t="s">
        <v>2221</v>
      </c>
      <c r="B653" s="79" t="s">
        <v>2223</v>
      </c>
      <c r="C653" s="14"/>
      <c r="D653" s="14"/>
      <c r="E653" s="15"/>
      <c r="F653" s="16"/>
      <c r="G653">
        <f t="shared" si="44"/>
        <v>0</v>
      </c>
    </row>
    <row r="654" spans="1:7" hidden="1" x14ac:dyDescent="0.25">
      <c r="A654" s="85" t="s">
        <v>2224</v>
      </c>
      <c r="B654" s="88" t="s">
        <v>1951</v>
      </c>
      <c r="C654" s="26" t="s">
        <v>37</v>
      </c>
      <c r="D654" s="14"/>
      <c r="E654" s="15"/>
      <c r="F654" s="16">
        <f>+D654*E654</f>
        <v>0</v>
      </c>
      <c r="G654">
        <f t="shared" si="44"/>
        <v>0</v>
      </c>
    </row>
    <row r="655" spans="1:7" hidden="1" x14ac:dyDescent="0.25">
      <c r="A655" s="85" t="s">
        <v>2225</v>
      </c>
      <c r="B655" s="88" t="s">
        <v>1952</v>
      </c>
      <c r="C655" s="26" t="s">
        <v>37</v>
      </c>
      <c r="D655" s="14"/>
      <c r="E655" s="15"/>
      <c r="F655" s="16">
        <f>+D655*E655</f>
        <v>0</v>
      </c>
      <c r="G655">
        <f t="shared" si="44"/>
        <v>0</v>
      </c>
    </row>
    <row r="656" spans="1:7" hidden="1" x14ac:dyDescent="0.25">
      <c r="A656" s="85" t="s">
        <v>2226</v>
      </c>
      <c r="B656" s="88" t="s">
        <v>1954</v>
      </c>
      <c r="C656" s="26" t="s">
        <v>37</v>
      </c>
      <c r="D656" s="14"/>
      <c r="E656" s="15"/>
      <c r="F656" s="16">
        <f>+D656*E656</f>
        <v>0</v>
      </c>
      <c r="G656">
        <f t="shared" si="44"/>
        <v>0</v>
      </c>
    </row>
    <row r="657" spans="1:7" hidden="1" x14ac:dyDescent="0.25">
      <c r="A657" s="85" t="s">
        <v>2227</v>
      </c>
      <c r="B657" s="88" t="s">
        <v>1957</v>
      </c>
      <c r="C657" s="26" t="s">
        <v>37</v>
      </c>
      <c r="D657" s="14"/>
      <c r="E657" s="15"/>
      <c r="F657" s="16">
        <f>+D657*E657</f>
        <v>0</v>
      </c>
      <c r="G657">
        <f t="shared" si="44"/>
        <v>0</v>
      </c>
    </row>
    <row r="658" spans="1:7" hidden="1" x14ac:dyDescent="0.25">
      <c r="A658" s="78" t="s">
        <v>2228</v>
      </c>
      <c r="B658" s="79" t="s">
        <v>2229</v>
      </c>
      <c r="C658" s="14"/>
      <c r="D658" s="14"/>
      <c r="E658" s="15"/>
      <c r="F658" s="16"/>
      <c r="G658">
        <f t="shared" si="44"/>
        <v>0</v>
      </c>
    </row>
    <row r="659" spans="1:7" hidden="1" x14ac:dyDescent="0.25">
      <c r="A659" s="85" t="s">
        <v>2230</v>
      </c>
      <c r="B659" s="88" t="s">
        <v>1999</v>
      </c>
      <c r="C659" s="26" t="s">
        <v>37</v>
      </c>
      <c r="D659" s="14"/>
      <c r="E659" s="15"/>
      <c r="F659" s="16">
        <f>+D659*E659</f>
        <v>0</v>
      </c>
      <c r="G659">
        <f t="shared" si="44"/>
        <v>0</v>
      </c>
    </row>
    <row r="660" spans="1:7" hidden="1" x14ac:dyDescent="0.25">
      <c r="A660" s="85" t="s">
        <v>2231</v>
      </c>
      <c r="B660" s="88" t="s">
        <v>2000</v>
      </c>
      <c r="C660" s="26" t="s">
        <v>37</v>
      </c>
      <c r="D660" s="14"/>
      <c r="E660" s="15"/>
      <c r="F660" s="16">
        <f>+D660*E660</f>
        <v>0</v>
      </c>
      <c r="G660">
        <f t="shared" si="44"/>
        <v>0</v>
      </c>
    </row>
    <row r="661" spans="1:7" hidden="1" x14ac:dyDescent="0.25">
      <c r="A661" s="85" t="s">
        <v>2232</v>
      </c>
      <c r="B661" s="88" t="s">
        <v>2003</v>
      </c>
      <c r="C661" s="26" t="s">
        <v>37</v>
      </c>
      <c r="D661" s="14"/>
      <c r="E661" s="15"/>
      <c r="F661" s="16">
        <f>+D661*E661</f>
        <v>0</v>
      </c>
      <c r="G661">
        <f t="shared" si="44"/>
        <v>0</v>
      </c>
    </row>
    <row r="662" spans="1:7" hidden="1" x14ac:dyDescent="0.25">
      <c r="A662" s="85" t="s">
        <v>2233</v>
      </c>
      <c r="B662" s="88" t="s">
        <v>2005</v>
      </c>
      <c r="C662" s="26" t="s">
        <v>37</v>
      </c>
      <c r="D662" s="14"/>
      <c r="E662" s="15"/>
      <c r="F662" s="16">
        <f>+D662*E662</f>
        <v>0</v>
      </c>
      <c r="G662">
        <f t="shared" si="44"/>
        <v>0</v>
      </c>
    </row>
    <row r="663" spans="1:7" hidden="1" x14ac:dyDescent="0.25">
      <c r="A663" s="78" t="s">
        <v>2234</v>
      </c>
      <c r="B663" s="79" t="s">
        <v>2235</v>
      </c>
      <c r="C663" s="14"/>
      <c r="D663" s="14"/>
      <c r="E663" s="15"/>
      <c r="F663" s="16"/>
      <c r="G663">
        <f t="shared" si="44"/>
        <v>0</v>
      </c>
    </row>
    <row r="664" spans="1:7" hidden="1" x14ac:dyDescent="0.25">
      <c r="A664" s="85" t="s">
        <v>2236</v>
      </c>
      <c r="B664" s="88" t="s">
        <v>2032</v>
      </c>
      <c r="C664" s="26" t="s">
        <v>37</v>
      </c>
      <c r="D664" s="14"/>
      <c r="E664" s="15"/>
      <c r="F664" s="16">
        <f>+D664*E664</f>
        <v>0</v>
      </c>
      <c r="G664">
        <f t="shared" si="44"/>
        <v>0</v>
      </c>
    </row>
    <row r="665" spans="1:7" hidden="1" x14ac:dyDescent="0.25">
      <c r="A665" s="85" t="s">
        <v>2237</v>
      </c>
      <c r="B665" s="88" t="s">
        <v>2034</v>
      </c>
      <c r="C665" s="26" t="s">
        <v>37</v>
      </c>
      <c r="D665" s="14"/>
      <c r="E665" s="15"/>
      <c r="F665" s="16">
        <f>+D665*E665</f>
        <v>0</v>
      </c>
      <c r="G665">
        <f t="shared" si="44"/>
        <v>0</v>
      </c>
    </row>
    <row r="666" spans="1:7" hidden="1" x14ac:dyDescent="0.25">
      <c r="A666" s="85" t="s">
        <v>2238</v>
      </c>
      <c r="B666" s="88" t="s">
        <v>2035</v>
      </c>
      <c r="C666" s="26" t="s">
        <v>37</v>
      </c>
      <c r="D666" s="14"/>
      <c r="E666" s="15"/>
      <c r="F666" s="16">
        <f>+D666*E666</f>
        <v>0</v>
      </c>
      <c r="G666">
        <f t="shared" si="44"/>
        <v>0</v>
      </c>
    </row>
    <row r="667" spans="1:7" hidden="1" x14ac:dyDescent="0.25">
      <c r="A667" s="85" t="s">
        <v>2239</v>
      </c>
      <c r="B667" s="88" t="s">
        <v>2038</v>
      </c>
      <c r="C667" s="26" t="s">
        <v>37</v>
      </c>
      <c r="D667" s="14"/>
      <c r="E667" s="15"/>
      <c r="F667" s="16">
        <f>+D667*E667</f>
        <v>0</v>
      </c>
      <c r="G667">
        <f t="shared" si="44"/>
        <v>0</v>
      </c>
    </row>
    <row r="668" spans="1:7" hidden="1" x14ac:dyDescent="0.25">
      <c r="A668" s="85" t="s">
        <v>2240</v>
      </c>
      <c r="B668" s="88" t="s">
        <v>2040</v>
      </c>
      <c r="C668" s="26" t="s">
        <v>37</v>
      </c>
      <c r="D668" s="14"/>
      <c r="E668" s="15"/>
      <c r="F668" s="16">
        <f>+D668*E668</f>
        <v>0</v>
      </c>
      <c r="G668">
        <f t="shared" si="44"/>
        <v>0</v>
      </c>
    </row>
    <row r="669" spans="1:7" hidden="1" x14ac:dyDescent="0.25">
      <c r="A669" s="78" t="s">
        <v>2242</v>
      </c>
      <c r="B669" s="79" t="s">
        <v>2241</v>
      </c>
      <c r="C669" s="14"/>
      <c r="D669" s="14"/>
      <c r="E669" s="15"/>
      <c r="F669" s="16"/>
      <c r="G669">
        <f t="shared" si="44"/>
        <v>0</v>
      </c>
    </row>
    <row r="670" spans="1:7" hidden="1" x14ac:dyDescent="0.25">
      <c r="A670" s="85" t="s">
        <v>2243</v>
      </c>
      <c r="B670" s="88" t="s">
        <v>2101</v>
      </c>
      <c r="C670" s="26" t="s">
        <v>37</v>
      </c>
      <c r="D670" s="14"/>
      <c r="E670" s="15"/>
      <c r="F670" s="16">
        <f>+D670*E670</f>
        <v>0</v>
      </c>
      <c r="G670">
        <f t="shared" si="44"/>
        <v>0</v>
      </c>
    </row>
    <row r="671" spans="1:7" hidden="1" x14ac:dyDescent="0.25">
      <c r="A671" s="85" t="s">
        <v>2244</v>
      </c>
      <c r="B671" s="88" t="s">
        <v>2103</v>
      </c>
      <c r="C671" s="26" t="s">
        <v>37</v>
      </c>
      <c r="D671" s="14"/>
      <c r="E671" s="15"/>
      <c r="F671" s="16">
        <f>+D671*E671</f>
        <v>0</v>
      </c>
      <c r="G671">
        <f t="shared" si="44"/>
        <v>0</v>
      </c>
    </row>
    <row r="672" spans="1:7" hidden="1" x14ac:dyDescent="0.25">
      <c r="A672" s="85" t="s">
        <v>2245</v>
      </c>
      <c r="B672" s="88" t="s">
        <v>2104</v>
      </c>
      <c r="C672" s="26" t="s">
        <v>37</v>
      </c>
      <c r="D672" s="14"/>
      <c r="E672" s="15"/>
      <c r="F672" s="16">
        <f>+D672*E672</f>
        <v>0</v>
      </c>
      <c r="G672">
        <f t="shared" si="44"/>
        <v>0</v>
      </c>
    </row>
    <row r="673" spans="1:7" hidden="1" x14ac:dyDescent="0.25">
      <c r="A673" s="85" t="s">
        <v>2246</v>
      </c>
      <c r="B673" s="88" t="s">
        <v>2107</v>
      </c>
      <c r="C673" s="26" t="s">
        <v>37</v>
      </c>
      <c r="D673" s="14"/>
      <c r="E673" s="15"/>
      <c r="F673" s="16">
        <f>+D673*E673</f>
        <v>0</v>
      </c>
      <c r="G673">
        <f t="shared" si="44"/>
        <v>0</v>
      </c>
    </row>
    <row r="674" spans="1:7" hidden="1" x14ac:dyDescent="0.25">
      <c r="A674" s="78" t="s">
        <v>2247</v>
      </c>
      <c r="B674" s="79" t="s">
        <v>2268</v>
      </c>
      <c r="C674" s="14"/>
      <c r="D674" s="14"/>
      <c r="E674" s="15"/>
      <c r="F674" s="16"/>
      <c r="G674">
        <f t="shared" si="44"/>
        <v>0</v>
      </c>
    </row>
    <row r="675" spans="1:7" hidden="1" x14ac:dyDescent="0.25">
      <c r="A675" s="85" t="s">
        <v>2248</v>
      </c>
      <c r="B675" s="88" t="s">
        <v>2249</v>
      </c>
      <c r="C675" s="26" t="s">
        <v>37</v>
      </c>
      <c r="D675" s="14"/>
      <c r="E675" s="15"/>
      <c r="F675" s="16">
        <f t="shared" ref="F675:F684" si="47">+D675*E675</f>
        <v>0</v>
      </c>
      <c r="G675">
        <f t="shared" si="44"/>
        <v>0</v>
      </c>
    </row>
    <row r="676" spans="1:7" hidden="1" x14ac:dyDescent="0.25">
      <c r="A676" s="85" t="s">
        <v>2259</v>
      </c>
      <c r="B676" s="88" t="s">
        <v>2250</v>
      </c>
      <c r="C676" s="26" t="s">
        <v>37</v>
      </c>
      <c r="D676" s="14"/>
      <c r="E676" s="15"/>
      <c r="F676" s="16">
        <f t="shared" si="47"/>
        <v>0</v>
      </c>
      <c r="G676">
        <f t="shared" ref="G676:G739" si="48">+IF(F676&lt;&gt;0,1,0)</f>
        <v>0</v>
      </c>
    </row>
    <row r="677" spans="1:7" hidden="1" x14ac:dyDescent="0.25">
      <c r="A677" s="85" t="s">
        <v>2260</v>
      </c>
      <c r="B677" s="88" t="s">
        <v>2251</v>
      </c>
      <c r="C677" s="26" t="s">
        <v>37</v>
      </c>
      <c r="D677" s="14"/>
      <c r="E677" s="15"/>
      <c r="F677" s="16">
        <f t="shared" si="47"/>
        <v>0</v>
      </c>
      <c r="G677">
        <f t="shared" si="48"/>
        <v>0</v>
      </c>
    </row>
    <row r="678" spans="1:7" hidden="1" x14ac:dyDescent="0.25">
      <c r="A678" s="85" t="s">
        <v>2261</v>
      </c>
      <c r="B678" s="88" t="s">
        <v>2252</v>
      </c>
      <c r="C678" s="26" t="s">
        <v>37</v>
      </c>
      <c r="D678" s="14"/>
      <c r="E678" s="15"/>
      <c r="F678" s="16">
        <f t="shared" si="47"/>
        <v>0</v>
      </c>
      <c r="G678">
        <f t="shared" si="48"/>
        <v>0</v>
      </c>
    </row>
    <row r="679" spans="1:7" hidden="1" x14ac:dyDescent="0.25">
      <c r="A679" s="85" t="s">
        <v>2262</v>
      </c>
      <c r="B679" s="88" t="s">
        <v>2253</v>
      </c>
      <c r="C679" s="26" t="s">
        <v>37</v>
      </c>
      <c r="D679" s="14"/>
      <c r="E679" s="15"/>
      <c r="F679" s="16">
        <f t="shared" si="47"/>
        <v>0</v>
      </c>
      <c r="G679">
        <f t="shared" si="48"/>
        <v>0</v>
      </c>
    </row>
    <row r="680" spans="1:7" hidden="1" x14ac:dyDescent="0.25">
      <c r="A680" s="85" t="s">
        <v>2263</v>
      </c>
      <c r="B680" s="88" t="s">
        <v>2254</v>
      </c>
      <c r="C680" s="26" t="s">
        <v>37</v>
      </c>
      <c r="D680" s="14"/>
      <c r="E680" s="15"/>
      <c r="F680" s="16">
        <f t="shared" si="47"/>
        <v>0</v>
      </c>
      <c r="G680">
        <f t="shared" si="48"/>
        <v>0</v>
      </c>
    </row>
    <row r="681" spans="1:7" hidden="1" x14ac:dyDescent="0.25">
      <c r="A681" s="85" t="s">
        <v>2264</v>
      </c>
      <c r="B681" s="88" t="s">
        <v>2255</v>
      </c>
      <c r="C681" s="26" t="s">
        <v>37</v>
      </c>
      <c r="D681" s="14"/>
      <c r="E681" s="15"/>
      <c r="F681" s="16">
        <f t="shared" si="47"/>
        <v>0</v>
      </c>
      <c r="G681">
        <f t="shared" si="48"/>
        <v>0</v>
      </c>
    </row>
    <row r="682" spans="1:7" hidden="1" x14ac:dyDescent="0.25">
      <c r="A682" s="85" t="s">
        <v>2265</v>
      </c>
      <c r="B682" s="88" t="s">
        <v>2256</v>
      </c>
      <c r="C682" s="26" t="s">
        <v>37</v>
      </c>
      <c r="D682" s="14"/>
      <c r="E682" s="15"/>
      <c r="F682" s="16">
        <f t="shared" si="47"/>
        <v>0</v>
      </c>
      <c r="G682">
        <f t="shared" si="48"/>
        <v>0</v>
      </c>
    </row>
    <row r="683" spans="1:7" hidden="1" x14ac:dyDescent="0.25">
      <c r="A683" s="85" t="s">
        <v>2266</v>
      </c>
      <c r="B683" s="88" t="s">
        <v>2257</v>
      </c>
      <c r="C683" s="26" t="s">
        <v>37</v>
      </c>
      <c r="D683" s="14"/>
      <c r="E683" s="15"/>
      <c r="F683" s="16">
        <f t="shared" si="47"/>
        <v>0</v>
      </c>
      <c r="G683">
        <f t="shared" si="48"/>
        <v>0</v>
      </c>
    </row>
    <row r="684" spans="1:7" hidden="1" x14ac:dyDescent="0.25">
      <c r="A684" s="85" t="s">
        <v>2267</v>
      </c>
      <c r="B684" s="88" t="s">
        <v>2258</v>
      </c>
      <c r="C684" s="26" t="s">
        <v>37</v>
      </c>
      <c r="D684" s="14"/>
      <c r="E684" s="15"/>
      <c r="F684" s="16">
        <f t="shared" si="47"/>
        <v>0</v>
      </c>
      <c r="G684">
        <f t="shared" si="48"/>
        <v>0</v>
      </c>
    </row>
    <row r="685" spans="1:7" hidden="1" x14ac:dyDescent="0.25">
      <c r="A685" s="78" t="s">
        <v>2269</v>
      </c>
      <c r="B685" s="79" t="s">
        <v>2270</v>
      </c>
      <c r="C685" s="14"/>
      <c r="D685" s="14"/>
      <c r="E685" s="15"/>
      <c r="F685" s="16"/>
      <c r="G685">
        <f t="shared" si="48"/>
        <v>0</v>
      </c>
    </row>
    <row r="686" spans="1:7" hidden="1" x14ac:dyDescent="0.25">
      <c r="A686" s="85" t="s">
        <v>2271</v>
      </c>
      <c r="B686" s="88" t="s">
        <v>2272</v>
      </c>
      <c r="C686" s="14" t="s">
        <v>37</v>
      </c>
      <c r="D686" s="14"/>
      <c r="E686" s="15"/>
      <c r="F686" s="16">
        <f t="shared" ref="F686:F710" si="49">+D686*E686</f>
        <v>0</v>
      </c>
      <c r="G686">
        <f t="shared" si="48"/>
        <v>0</v>
      </c>
    </row>
    <row r="687" spans="1:7" hidden="1" x14ac:dyDescent="0.25">
      <c r="A687" s="85" t="s">
        <v>2297</v>
      </c>
      <c r="B687" s="88" t="s">
        <v>2273</v>
      </c>
      <c r="C687" s="14" t="s">
        <v>37</v>
      </c>
      <c r="D687" s="14"/>
      <c r="E687" s="15"/>
      <c r="F687" s="16">
        <f t="shared" si="49"/>
        <v>0</v>
      </c>
      <c r="G687">
        <f t="shared" si="48"/>
        <v>0</v>
      </c>
    </row>
    <row r="688" spans="1:7" hidden="1" x14ac:dyDescent="0.25">
      <c r="A688" s="85" t="s">
        <v>2298</v>
      </c>
      <c r="B688" s="88" t="s">
        <v>2274</v>
      </c>
      <c r="C688" s="14" t="s">
        <v>37</v>
      </c>
      <c r="D688" s="14"/>
      <c r="E688" s="15"/>
      <c r="F688" s="16">
        <f t="shared" si="49"/>
        <v>0</v>
      </c>
      <c r="G688">
        <f t="shared" si="48"/>
        <v>0</v>
      </c>
    </row>
    <row r="689" spans="1:7" hidden="1" x14ac:dyDescent="0.25">
      <c r="A689" s="85" t="s">
        <v>2299</v>
      </c>
      <c r="B689" s="88" t="s">
        <v>2275</v>
      </c>
      <c r="C689" s="14" t="s">
        <v>37</v>
      </c>
      <c r="D689" s="14"/>
      <c r="E689" s="15"/>
      <c r="F689" s="16">
        <f t="shared" si="49"/>
        <v>0</v>
      </c>
      <c r="G689">
        <f t="shared" si="48"/>
        <v>0</v>
      </c>
    </row>
    <row r="690" spans="1:7" hidden="1" x14ac:dyDescent="0.25">
      <c r="A690" s="85" t="s">
        <v>2300</v>
      </c>
      <c r="B690" s="88" t="s">
        <v>2276</v>
      </c>
      <c r="C690" s="14" t="s">
        <v>37</v>
      </c>
      <c r="D690" s="14"/>
      <c r="E690" s="15"/>
      <c r="F690" s="16">
        <f t="shared" si="49"/>
        <v>0</v>
      </c>
      <c r="G690">
        <f t="shared" si="48"/>
        <v>0</v>
      </c>
    </row>
    <row r="691" spans="1:7" hidden="1" x14ac:dyDescent="0.25">
      <c r="A691" s="85" t="s">
        <v>2301</v>
      </c>
      <c r="B691" s="88" t="s">
        <v>2277</v>
      </c>
      <c r="C691" s="14" t="s">
        <v>37</v>
      </c>
      <c r="D691" s="14"/>
      <c r="E691" s="15"/>
      <c r="F691" s="16">
        <f t="shared" si="49"/>
        <v>0</v>
      </c>
      <c r="G691">
        <f t="shared" si="48"/>
        <v>0</v>
      </c>
    </row>
    <row r="692" spans="1:7" hidden="1" x14ac:dyDescent="0.25">
      <c r="A692" s="85" t="s">
        <v>2302</v>
      </c>
      <c r="B692" s="88" t="s">
        <v>2279</v>
      </c>
      <c r="C692" s="14" t="s">
        <v>37</v>
      </c>
      <c r="D692" s="14"/>
      <c r="E692" s="15"/>
      <c r="F692" s="16">
        <f t="shared" si="49"/>
        <v>0</v>
      </c>
      <c r="G692">
        <f t="shared" si="48"/>
        <v>0</v>
      </c>
    </row>
    <row r="693" spans="1:7" hidden="1" x14ac:dyDescent="0.25">
      <c r="A693" s="85" t="s">
        <v>2303</v>
      </c>
      <c r="B693" s="88" t="s">
        <v>2278</v>
      </c>
      <c r="C693" s="14" t="s">
        <v>37</v>
      </c>
      <c r="D693" s="14"/>
      <c r="E693" s="15"/>
      <c r="F693" s="16">
        <f t="shared" si="49"/>
        <v>0</v>
      </c>
      <c r="G693">
        <f t="shared" si="48"/>
        <v>0</v>
      </c>
    </row>
    <row r="694" spans="1:7" hidden="1" x14ac:dyDescent="0.25">
      <c r="A694" s="85" t="s">
        <v>2304</v>
      </c>
      <c r="B694" s="88" t="s">
        <v>2280</v>
      </c>
      <c r="C694" s="14" t="s">
        <v>37</v>
      </c>
      <c r="D694" s="14"/>
      <c r="E694" s="15"/>
      <c r="F694" s="16">
        <f t="shared" si="49"/>
        <v>0</v>
      </c>
      <c r="G694">
        <f t="shared" si="48"/>
        <v>0</v>
      </c>
    </row>
    <row r="695" spans="1:7" hidden="1" x14ac:dyDescent="0.25">
      <c r="A695" s="85" t="s">
        <v>2305</v>
      </c>
      <c r="B695" s="88" t="s">
        <v>2281</v>
      </c>
      <c r="C695" s="14" t="s">
        <v>37</v>
      </c>
      <c r="D695" s="14"/>
      <c r="E695" s="15"/>
      <c r="F695" s="16">
        <f t="shared" si="49"/>
        <v>0</v>
      </c>
      <c r="G695">
        <f t="shared" si="48"/>
        <v>0</v>
      </c>
    </row>
    <row r="696" spans="1:7" hidden="1" x14ac:dyDescent="0.25">
      <c r="A696" s="85" t="s">
        <v>2306</v>
      </c>
      <c r="B696" s="88" t="s">
        <v>2282</v>
      </c>
      <c r="C696" s="14" t="s">
        <v>37</v>
      </c>
      <c r="D696" s="14"/>
      <c r="E696" s="15"/>
      <c r="F696" s="16">
        <f t="shared" si="49"/>
        <v>0</v>
      </c>
      <c r="G696">
        <f t="shared" si="48"/>
        <v>0</v>
      </c>
    </row>
    <row r="697" spans="1:7" hidden="1" x14ac:dyDescent="0.25">
      <c r="A697" s="85" t="s">
        <v>2307</v>
      </c>
      <c r="B697" s="88" t="s">
        <v>2283</v>
      </c>
      <c r="C697" s="14" t="s">
        <v>37</v>
      </c>
      <c r="D697" s="14"/>
      <c r="E697" s="15"/>
      <c r="F697" s="16">
        <f t="shared" si="49"/>
        <v>0</v>
      </c>
      <c r="G697">
        <f t="shared" si="48"/>
        <v>0</v>
      </c>
    </row>
    <row r="698" spans="1:7" hidden="1" x14ac:dyDescent="0.25">
      <c r="A698" s="85" t="s">
        <v>2308</v>
      </c>
      <c r="B698" s="88" t="s">
        <v>2284</v>
      </c>
      <c r="C698" s="14" t="s">
        <v>37</v>
      </c>
      <c r="D698" s="14"/>
      <c r="E698" s="15"/>
      <c r="F698" s="16">
        <f t="shared" si="49"/>
        <v>0</v>
      </c>
      <c r="G698">
        <f t="shared" si="48"/>
        <v>0</v>
      </c>
    </row>
    <row r="699" spans="1:7" hidden="1" x14ac:dyDescent="0.25">
      <c r="A699" s="85" t="s">
        <v>2309</v>
      </c>
      <c r="B699" s="88" t="s">
        <v>2285</v>
      </c>
      <c r="C699" s="14" t="s">
        <v>37</v>
      </c>
      <c r="D699" s="14"/>
      <c r="E699" s="15"/>
      <c r="F699" s="16">
        <f t="shared" si="49"/>
        <v>0</v>
      </c>
      <c r="G699">
        <f t="shared" si="48"/>
        <v>0</v>
      </c>
    </row>
    <row r="700" spans="1:7" hidden="1" x14ac:dyDescent="0.25">
      <c r="A700" s="85" t="s">
        <v>2310</v>
      </c>
      <c r="B700" s="88" t="s">
        <v>2286</v>
      </c>
      <c r="C700" s="14" t="s">
        <v>37</v>
      </c>
      <c r="D700" s="14"/>
      <c r="E700" s="15"/>
      <c r="F700" s="16">
        <f t="shared" si="49"/>
        <v>0</v>
      </c>
      <c r="G700">
        <f t="shared" si="48"/>
        <v>0</v>
      </c>
    </row>
    <row r="701" spans="1:7" hidden="1" x14ac:dyDescent="0.25">
      <c r="A701" s="85" t="s">
        <v>2311</v>
      </c>
      <c r="B701" s="88" t="s">
        <v>2287</v>
      </c>
      <c r="C701" s="14" t="s">
        <v>37</v>
      </c>
      <c r="D701" s="14"/>
      <c r="E701" s="15"/>
      <c r="F701" s="16">
        <f t="shared" si="49"/>
        <v>0</v>
      </c>
      <c r="G701">
        <f t="shared" si="48"/>
        <v>0</v>
      </c>
    </row>
    <row r="702" spans="1:7" hidden="1" x14ac:dyDescent="0.25">
      <c r="A702" s="85" t="s">
        <v>2312</v>
      </c>
      <c r="B702" s="88" t="s">
        <v>2288</v>
      </c>
      <c r="C702" s="14" t="s">
        <v>37</v>
      </c>
      <c r="D702" s="14"/>
      <c r="E702" s="15"/>
      <c r="F702" s="16">
        <f t="shared" si="49"/>
        <v>0</v>
      </c>
      <c r="G702">
        <f t="shared" si="48"/>
        <v>0</v>
      </c>
    </row>
    <row r="703" spans="1:7" hidden="1" x14ac:dyDescent="0.25">
      <c r="A703" s="85" t="s">
        <v>2313</v>
      </c>
      <c r="B703" s="88" t="s">
        <v>2289</v>
      </c>
      <c r="C703" s="14" t="s">
        <v>37</v>
      </c>
      <c r="D703" s="14"/>
      <c r="E703" s="15"/>
      <c r="F703" s="16">
        <f t="shared" si="49"/>
        <v>0</v>
      </c>
      <c r="G703">
        <f t="shared" si="48"/>
        <v>0</v>
      </c>
    </row>
    <row r="704" spans="1:7" hidden="1" x14ac:dyDescent="0.25">
      <c r="A704" s="85" t="s">
        <v>2314</v>
      </c>
      <c r="B704" s="88" t="s">
        <v>2290</v>
      </c>
      <c r="C704" s="14" t="s">
        <v>37</v>
      </c>
      <c r="D704" s="14"/>
      <c r="E704" s="15"/>
      <c r="F704" s="16">
        <f t="shared" si="49"/>
        <v>0</v>
      </c>
      <c r="G704">
        <f t="shared" si="48"/>
        <v>0</v>
      </c>
    </row>
    <row r="705" spans="1:7" hidden="1" x14ac:dyDescent="0.25">
      <c r="A705" s="85" t="s">
        <v>2315</v>
      </c>
      <c r="B705" s="88" t="s">
        <v>2291</v>
      </c>
      <c r="C705" s="14" t="s">
        <v>37</v>
      </c>
      <c r="D705" s="14"/>
      <c r="E705" s="15"/>
      <c r="F705" s="16">
        <f t="shared" si="49"/>
        <v>0</v>
      </c>
      <c r="G705">
        <f t="shared" si="48"/>
        <v>0</v>
      </c>
    </row>
    <row r="706" spans="1:7" hidden="1" x14ac:dyDescent="0.25">
      <c r="A706" s="85" t="s">
        <v>2316</v>
      </c>
      <c r="B706" s="88" t="s">
        <v>2293</v>
      </c>
      <c r="C706" s="14" t="s">
        <v>37</v>
      </c>
      <c r="D706" s="14"/>
      <c r="E706" s="15"/>
      <c r="F706" s="16">
        <f t="shared" si="49"/>
        <v>0</v>
      </c>
      <c r="G706">
        <f t="shared" si="48"/>
        <v>0</v>
      </c>
    </row>
    <row r="707" spans="1:7" hidden="1" x14ac:dyDescent="0.25">
      <c r="A707" s="85" t="s">
        <v>2317</v>
      </c>
      <c r="B707" s="88" t="s">
        <v>2292</v>
      </c>
      <c r="C707" s="14" t="s">
        <v>37</v>
      </c>
      <c r="D707" s="14"/>
      <c r="E707" s="15"/>
      <c r="F707" s="16">
        <f t="shared" si="49"/>
        <v>0</v>
      </c>
      <c r="G707">
        <f t="shared" si="48"/>
        <v>0</v>
      </c>
    </row>
    <row r="708" spans="1:7" hidden="1" x14ac:dyDescent="0.25">
      <c r="A708" s="85" t="s">
        <v>2318</v>
      </c>
      <c r="B708" s="88" t="s">
        <v>2294</v>
      </c>
      <c r="C708" s="14" t="s">
        <v>37</v>
      </c>
      <c r="D708" s="14"/>
      <c r="E708" s="15"/>
      <c r="F708" s="16">
        <f t="shared" si="49"/>
        <v>0</v>
      </c>
      <c r="G708">
        <f t="shared" si="48"/>
        <v>0</v>
      </c>
    </row>
    <row r="709" spans="1:7" hidden="1" x14ac:dyDescent="0.25">
      <c r="A709" s="85" t="s">
        <v>2319</v>
      </c>
      <c r="B709" s="88" t="s">
        <v>2295</v>
      </c>
      <c r="C709" s="14" t="s">
        <v>37</v>
      </c>
      <c r="D709" s="14"/>
      <c r="E709" s="15"/>
      <c r="F709" s="16">
        <f t="shared" si="49"/>
        <v>0</v>
      </c>
      <c r="G709">
        <f t="shared" si="48"/>
        <v>0</v>
      </c>
    </row>
    <row r="710" spans="1:7" hidden="1" x14ac:dyDescent="0.25">
      <c r="A710" s="85" t="s">
        <v>2320</v>
      </c>
      <c r="B710" s="88" t="s">
        <v>2296</v>
      </c>
      <c r="C710" s="14" t="s">
        <v>37</v>
      </c>
      <c r="D710" s="14"/>
      <c r="E710" s="15"/>
      <c r="F710" s="16">
        <f t="shared" si="49"/>
        <v>0</v>
      </c>
      <c r="G710">
        <f t="shared" si="48"/>
        <v>0</v>
      </c>
    </row>
    <row r="711" spans="1:7" hidden="1" x14ac:dyDescent="0.25">
      <c r="A711" s="61" t="s">
        <v>2321</v>
      </c>
      <c r="B711" s="62" t="s">
        <v>2322</v>
      </c>
      <c r="C711" s="63"/>
      <c r="D711" s="14"/>
      <c r="E711" s="15"/>
      <c r="F711" s="16"/>
      <c r="G711">
        <f t="shared" si="48"/>
        <v>0</v>
      </c>
    </row>
    <row r="712" spans="1:7" hidden="1" x14ac:dyDescent="0.25">
      <c r="A712" s="85" t="s">
        <v>2323</v>
      </c>
      <c r="B712" s="88" t="s">
        <v>2324</v>
      </c>
      <c r="C712" s="14" t="s">
        <v>14</v>
      </c>
      <c r="D712" s="14"/>
      <c r="E712" s="15"/>
      <c r="F712" s="16">
        <f t="shared" ref="F712:F728" si="50">+D712*E712</f>
        <v>0</v>
      </c>
      <c r="G712">
        <f t="shared" si="48"/>
        <v>0</v>
      </c>
    </row>
    <row r="713" spans="1:7" hidden="1" x14ac:dyDescent="0.25">
      <c r="A713" s="85" t="s">
        <v>2336</v>
      </c>
      <c r="B713" s="88" t="s">
        <v>2325</v>
      </c>
      <c r="C713" s="14" t="s">
        <v>14</v>
      </c>
      <c r="D713" s="14"/>
      <c r="E713" s="15"/>
      <c r="F713" s="16">
        <f t="shared" si="50"/>
        <v>0</v>
      </c>
      <c r="G713">
        <f t="shared" si="48"/>
        <v>0</v>
      </c>
    </row>
    <row r="714" spans="1:7" hidden="1" x14ac:dyDescent="0.25">
      <c r="A714" s="85" t="s">
        <v>2337</v>
      </c>
      <c r="B714" s="88" t="s">
        <v>2326</v>
      </c>
      <c r="C714" s="14" t="s">
        <v>14</v>
      </c>
      <c r="D714" s="14"/>
      <c r="E714" s="15"/>
      <c r="F714" s="16">
        <f t="shared" si="50"/>
        <v>0</v>
      </c>
      <c r="G714">
        <f t="shared" si="48"/>
        <v>0</v>
      </c>
    </row>
    <row r="715" spans="1:7" hidden="1" x14ac:dyDescent="0.25">
      <c r="A715" s="85" t="s">
        <v>2338</v>
      </c>
      <c r="B715" s="88" t="s">
        <v>2327</v>
      </c>
      <c r="C715" s="14" t="s">
        <v>14</v>
      </c>
      <c r="D715" s="14"/>
      <c r="E715" s="15"/>
      <c r="F715" s="16">
        <f t="shared" si="50"/>
        <v>0</v>
      </c>
      <c r="G715">
        <f t="shared" si="48"/>
        <v>0</v>
      </c>
    </row>
    <row r="716" spans="1:7" hidden="1" x14ac:dyDescent="0.25">
      <c r="A716" s="85" t="s">
        <v>2339</v>
      </c>
      <c r="B716" s="88" t="s">
        <v>2328</v>
      </c>
      <c r="C716" s="14" t="s">
        <v>14</v>
      </c>
      <c r="D716" s="14"/>
      <c r="E716" s="15"/>
      <c r="F716" s="16">
        <f t="shared" si="50"/>
        <v>0</v>
      </c>
      <c r="G716">
        <f t="shared" si="48"/>
        <v>0</v>
      </c>
    </row>
    <row r="717" spans="1:7" hidden="1" x14ac:dyDescent="0.25">
      <c r="A717" s="85" t="s">
        <v>2340</v>
      </c>
      <c r="B717" s="88" t="s">
        <v>2329</v>
      </c>
      <c r="C717" s="14" t="s">
        <v>14</v>
      </c>
      <c r="D717" s="14"/>
      <c r="E717" s="15"/>
      <c r="F717" s="16">
        <f t="shared" si="50"/>
        <v>0</v>
      </c>
      <c r="G717">
        <f t="shared" si="48"/>
        <v>0</v>
      </c>
    </row>
    <row r="718" spans="1:7" hidden="1" x14ac:dyDescent="0.25">
      <c r="A718" s="85" t="s">
        <v>2341</v>
      </c>
      <c r="B718" s="88" t="s">
        <v>2330</v>
      </c>
      <c r="C718" s="14" t="s">
        <v>14</v>
      </c>
      <c r="D718" s="14"/>
      <c r="E718" s="15"/>
      <c r="F718" s="16">
        <f t="shared" si="50"/>
        <v>0</v>
      </c>
      <c r="G718">
        <f t="shared" si="48"/>
        <v>0</v>
      </c>
    </row>
    <row r="719" spans="1:7" hidden="1" x14ac:dyDescent="0.25">
      <c r="A719" s="85" t="s">
        <v>2342</v>
      </c>
      <c r="B719" s="88" t="s">
        <v>2331</v>
      </c>
      <c r="C719" s="14" t="s">
        <v>14</v>
      </c>
      <c r="D719" s="14"/>
      <c r="E719" s="15"/>
      <c r="F719" s="16">
        <f t="shared" si="50"/>
        <v>0</v>
      </c>
      <c r="G719">
        <f t="shared" si="48"/>
        <v>0</v>
      </c>
    </row>
    <row r="720" spans="1:7" hidden="1" x14ac:dyDescent="0.25">
      <c r="A720" s="85" t="s">
        <v>2343</v>
      </c>
      <c r="B720" s="88" t="s">
        <v>2332</v>
      </c>
      <c r="C720" s="14" t="s">
        <v>14</v>
      </c>
      <c r="D720" s="14"/>
      <c r="E720" s="15"/>
      <c r="F720" s="16">
        <f t="shared" si="50"/>
        <v>0</v>
      </c>
      <c r="G720">
        <f t="shared" si="48"/>
        <v>0</v>
      </c>
    </row>
    <row r="721" spans="1:7" hidden="1" x14ac:dyDescent="0.25">
      <c r="A721" s="85" t="s">
        <v>2344</v>
      </c>
      <c r="B721" s="88" t="s">
        <v>2333</v>
      </c>
      <c r="C721" s="14" t="s">
        <v>14</v>
      </c>
      <c r="D721" s="14"/>
      <c r="E721" s="15"/>
      <c r="F721" s="16">
        <f t="shared" si="50"/>
        <v>0</v>
      </c>
      <c r="G721">
        <f t="shared" si="48"/>
        <v>0</v>
      </c>
    </row>
    <row r="722" spans="1:7" hidden="1" x14ac:dyDescent="0.25">
      <c r="A722" s="85" t="s">
        <v>2345</v>
      </c>
      <c r="B722" s="88" t="s">
        <v>2334</v>
      </c>
      <c r="C722" s="14" t="s">
        <v>14</v>
      </c>
      <c r="D722" s="14"/>
      <c r="E722" s="15"/>
      <c r="F722" s="16">
        <f t="shared" si="50"/>
        <v>0</v>
      </c>
      <c r="G722">
        <f t="shared" si="48"/>
        <v>0</v>
      </c>
    </row>
    <row r="723" spans="1:7" hidden="1" x14ac:dyDescent="0.25">
      <c r="A723" s="85" t="s">
        <v>2346</v>
      </c>
      <c r="B723" s="88" t="s">
        <v>2335</v>
      </c>
      <c r="C723" s="14" t="s">
        <v>14</v>
      </c>
      <c r="D723" s="14"/>
      <c r="E723" s="15"/>
      <c r="F723" s="16">
        <f t="shared" si="50"/>
        <v>0</v>
      </c>
      <c r="G723">
        <f t="shared" si="48"/>
        <v>0</v>
      </c>
    </row>
    <row r="724" spans="1:7" hidden="1" x14ac:dyDescent="0.25">
      <c r="A724" s="85" t="s">
        <v>2348</v>
      </c>
      <c r="B724" s="88" t="s">
        <v>2350</v>
      </c>
      <c r="C724" s="14" t="s">
        <v>14</v>
      </c>
      <c r="D724" s="14"/>
      <c r="E724" s="15"/>
      <c r="F724" s="16">
        <f t="shared" si="50"/>
        <v>0</v>
      </c>
      <c r="G724">
        <f t="shared" si="48"/>
        <v>0</v>
      </c>
    </row>
    <row r="725" spans="1:7" hidden="1" x14ac:dyDescent="0.25">
      <c r="A725" s="85" t="s">
        <v>2349</v>
      </c>
      <c r="B725" s="88" t="s">
        <v>2351</v>
      </c>
      <c r="C725" s="14" t="s">
        <v>14</v>
      </c>
      <c r="D725" s="14"/>
      <c r="E725" s="15"/>
      <c r="F725" s="16">
        <f t="shared" si="50"/>
        <v>0</v>
      </c>
      <c r="G725">
        <f t="shared" si="48"/>
        <v>0</v>
      </c>
    </row>
    <row r="726" spans="1:7" hidden="1" x14ac:dyDescent="0.25">
      <c r="A726" s="85" t="s">
        <v>2352</v>
      </c>
      <c r="B726" s="88" t="s">
        <v>2354</v>
      </c>
      <c r="C726" s="14" t="s">
        <v>14</v>
      </c>
      <c r="D726" s="14"/>
      <c r="E726" s="15"/>
      <c r="F726" s="16">
        <f t="shared" si="50"/>
        <v>0</v>
      </c>
      <c r="G726">
        <f t="shared" si="48"/>
        <v>0</v>
      </c>
    </row>
    <row r="727" spans="1:7" hidden="1" x14ac:dyDescent="0.25">
      <c r="A727" s="85" t="s">
        <v>2353</v>
      </c>
      <c r="B727" s="88" t="s">
        <v>2355</v>
      </c>
      <c r="C727" s="14" t="s">
        <v>14</v>
      </c>
      <c r="D727" s="14"/>
      <c r="E727" s="15"/>
      <c r="F727" s="16">
        <f t="shared" si="50"/>
        <v>0</v>
      </c>
      <c r="G727">
        <f t="shared" si="48"/>
        <v>0</v>
      </c>
    </row>
    <row r="728" spans="1:7" hidden="1" x14ac:dyDescent="0.25">
      <c r="A728" s="85" t="s">
        <v>2357</v>
      </c>
      <c r="B728" s="88" t="s">
        <v>2356</v>
      </c>
      <c r="C728" s="14" t="s">
        <v>14</v>
      </c>
      <c r="D728" s="14"/>
      <c r="E728" s="15"/>
      <c r="F728" s="16">
        <f t="shared" si="50"/>
        <v>0</v>
      </c>
      <c r="G728">
        <f t="shared" si="48"/>
        <v>0</v>
      </c>
    </row>
    <row r="729" spans="1:7" hidden="1" x14ac:dyDescent="0.25">
      <c r="A729" s="61" t="s">
        <v>2359</v>
      </c>
      <c r="B729" s="62" t="s">
        <v>2358</v>
      </c>
      <c r="C729" s="64"/>
      <c r="D729" s="14"/>
      <c r="E729" s="15"/>
      <c r="F729" s="16"/>
      <c r="G729">
        <f t="shared" si="48"/>
        <v>0</v>
      </c>
    </row>
    <row r="730" spans="1:7" hidden="1" x14ac:dyDescent="0.25">
      <c r="A730" s="78" t="s">
        <v>2360</v>
      </c>
      <c r="B730" s="79" t="s">
        <v>2361</v>
      </c>
      <c r="C730" s="14"/>
      <c r="D730" s="14"/>
      <c r="E730" s="15"/>
      <c r="F730" s="16"/>
      <c r="G730">
        <f t="shared" si="48"/>
        <v>0</v>
      </c>
    </row>
    <row r="731" spans="1:7" hidden="1" x14ac:dyDescent="0.25">
      <c r="A731" s="85" t="s">
        <v>2362</v>
      </c>
      <c r="B731" s="88" t="s">
        <v>2363</v>
      </c>
      <c r="C731" s="26" t="s">
        <v>37</v>
      </c>
      <c r="D731" s="14"/>
      <c r="E731" s="15"/>
      <c r="F731" s="16">
        <f t="shared" ref="F731:F741" si="51">+D731*E731</f>
        <v>0</v>
      </c>
      <c r="G731">
        <f t="shared" si="48"/>
        <v>0</v>
      </c>
    </row>
    <row r="732" spans="1:7" hidden="1" x14ac:dyDescent="0.25">
      <c r="A732" s="85" t="s">
        <v>2374</v>
      </c>
      <c r="B732" s="88" t="s">
        <v>2364</v>
      </c>
      <c r="C732" s="26" t="s">
        <v>37</v>
      </c>
      <c r="D732" s="14"/>
      <c r="E732" s="15"/>
      <c r="F732" s="16">
        <f t="shared" si="51"/>
        <v>0</v>
      </c>
      <c r="G732">
        <f t="shared" si="48"/>
        <v>0</v>
      </c>
    </row>
    <row r="733" spans="1:7" hidden="1" x14ac:dyDescent="0.25">
      <c r="A733" s="85" t="s">
        <v>2375</v>
      </c>
      <c r="B733" s="88" t="s">
        <v>2365</v>
      </c>
      <c r="C733" s="26" t="s">
        <v>37</v>
      </c>
      <c r="D733" s="14"/>
      <c r="E733" s="15"/>
      <c r="F733" s="16">
        <f t="shared" si="51"/>
        <v>0</v>
      </c>
      <c r="G733">
        <f t="shared" si="48"/>
        <v>0</v>
      </c>
    </row>
    <row r="734" spans="1:7" hidden="1" x14ac:dyDescent="0.25">
      <c r="A734" s="85" t="s">
        <v>2376</v>
      </c>
      <c r="B734" s="88" t="s">
        <v>2366</v>
      </c>
      <c r="C734" s="26" t="s">
        <v>37</v>
      </c>
      <c r="D734" s="14"/>
      <c r="E734" s="15"/>
      <c r="F734" s="16">
        <f t="shared" si="51"/>
        <v>0</v>
      </c>
      <c r="G734">
        <f t="shared" si="48"/>
        <v>0</v>
      </c>
    </row>
    <row r="735" spans="1:7" hidden="1" x14ac:dyDescent="0.25">
      <c r="A735" s="85" t="s">
        <v>2377</v>
      </c>
      <c r="B735" s="88" t="s">
        <v>2367</v>
      </c>
      <c r="C735" s="26" t="s">
        <v>37</v>
      </c>
      <c r="D735" s="14"/>
      <c r="E735" s="15"/>
      <c r="F735" s="16">
        <f t="shared" si="51"/>
        <v>0</v>
      </c>
      <c r="G735">
        <f t="shared" si="48"/>
        <v>0</v>
      </c>
    </row>
    <row r="736" spans="1:7" hidden="1" x14ac:dyDescent="0.25">
      <c r="A736" s="85" t="s">
        <v>2378</v>
      </c>
      <c r="B736" s="88" t="s">
        <v>2368</v>
      </c>
      <c r="C736" s="26" t="s">
        <v>37</v>
      </c>
      <c r="D736" s="14"/>
      <c r="E736" s="15"/>
      <c r="F736" s="16">
        <f t="shared" si="51"/>
        <v>0</v>
      </c>
      <c r="G736">
        <f t="shared" si="48"/>
        <v>0</v>
      </c>
    </row>
    <row r="737" spans="1:7" hidden="1" x14ac:dyDescent="0.25">
      <c r="A737" s="85" t="s">
        <v>2379</v>
      </c>
      <c r="B737" s="88" t="s">
        <v>2369</v>
      </c>
      <c r="C737" s="26" t="s">
        <v>37</v>
      </c>
      <c r="D737" s="14"/>
      <c r="E737" s="15"/>
      <c r="F737" s="16">
        <f t="shared" si="51"/>
        <v>0</v>
      </c>
      <c r="G737">
        <f t="shared" si="48"/>
        <v>0</v>
      </c>
    </row>
    <row r="738" spans="1:7" hidden="1" x14ac:dyDescent="0.25">
      <c r="A738" s="85" t="s">
        <v>2380</v>
      </c>
      <c r="B738" s="88" t="s">
        <v>2370</v>
      </c>
      <c r="C738" s="26" t="s">
        <v>37</v>
      </c>
      <c r="D738" s="14"/>
      <c r="E738" s="15"/>
      <c r="F738" s="16">
        <f t="shared" si="51"/>
        <v>0</v>
      </c>
      <c r="G738">
        <f t="shared" si="48"/>
        <v>0</v>
      </c>
    </row>
    <row r="739" spans="1:7" hidden="1" x14ac:dyDescent="0.25">
      <c r="A739" s="85" t="s">
        <v>2381</v>
      </c>
      <c r="B739" s="88" t="s">
        <v>2371</v>
      </c>
      <c r="C739" s="26" t="s">
        <v>37</v>
      </c>
      <c r="D739" s="14"/>
      <c r="E739" s="15"/>
      <c r="F739" s="16">
        <f t="shared" si="51"/>
        <v>0</v>
      </c>
      <c r="G739">
        <f t="shared" si="48"/>
        <v>0</v>
      </c>
    </row>
    <row r="740" spans="1:7" hidden="1" x14ac:dyDescent="0.25">
      <c r="A740" s="85" t="s">
        <v>2382</v>
      </c>
      <c r="B740" s="88" t="s">
        <v>2372</v>
      </c>
      <c r="C740" s="26" t="s">
        <v>37</v>
      </c>
      <c r="D740" s="14"/>
      <c r="E740" s="15"/>
      <c r="F740" s="16">
        <f t="shared" si="51"/>
        <v>0</v>
      </c>
      <c r="G740">
        <f t="shared" ref="G740:G803" si="52">+IF(F740&lt;&gt;0,1,0)</f>
        <v>0</v>
      </c>
    </row>
    <row r="741" spans="1:7" hidden="1" x14ac:dyDescent="0.25">
      <c r="A741" s="85" t="s">
        <v>2383</v>
      </c>
      <c r="B741" s="88" t="s">
        <v>2373</v>
      </c>
      <c r="C741" s="26" t="s">
        <v>37</v>
      </c>
      <c r="D741" s="14"/>
      <c r="E741" s="15"/>
      <c r="F741" s="16">
        <f t="shared" si="51"/>
        <v>0</v>
      </c>
      <c r="G741">
        <f t="shared" si="52"/>
        <v>0</v>
      </c>
    </row>
    <row r="742" spans="1:7" hidden="1" x14ac:dyDescent="0.25">
      <c r="A742" s="85" t="s">
        <v>2385</v>
      </c>
      <c r="B742" s="79" t="s">
        <v>2384</v>
      </c>
      <c r="C742" s="26"/>
      <c r="D742" s="14"/>
      <c r="E742" s="15"/>
      <c r="F742" s="16"/>
      <c r="G742">
        <f t="shared" si="52"/>
        <v>0</v>
      </c>
    </row>
    <row r="743" spans="1:7" hidden="1" x14ac:dyDescent="0.25">
      <c r="A743" s="85" t="s">
        <v>2386</v>
      </c>
      <c r="B743" s="88" t="s">
        <v>2363</v>
      </c>
      <c r="C743" s="26" t="s">
        <v>37</v>
      </c>
      <c r="D743" s="14"/>
      <c r="E743" s="15"/>
      <c r="F743" s="16">
        <f t="shared" ref="F743:F753" si="53">+D743*E743</f>
        <v>0</v>
      </c>
      <c r="G743">
        <f t="shared" si="52"/>
        <v>0</v>
      </c>
    </row>
    <row r="744" spans="1:7" hidden="1" x14ac:dyDescent="0.25">
      <c r="A744" s="85" t="s">
        <v>2387</v>
      </c>
      <c r="B744" s="88" t="s">
        <v>2364</v>
      </c>
      <c r="C744" s="26" t="s">
        <v>37</v>
      </c>
      <c r="D744" s="14"/>
      <c r="E744" s="15"/>
      <c r="F744" s="16">
        <f t="shared" si="53"/>
        <v>0</v>
      </c>
      <c r="G744">
        <f t="shared" si="52"/>
        <v>0</v>
      </c>
    </row>
    <row r="745" spans="1:7" hidden="1" x14ac:dyDescent="0.25">
      <c r="A745" s="85" t="s">
        <v>2388</v>
      </c>
      <c r="B745" s="88" t="s">
        <v>2365</v>
      </c>
      <c r="C745" s="26" t="s">
        <v>37</v>
      </c>
      <c r="D745" s="14"/>
      <c r="E745" s="15"/>
      <c r="F745" s="16">
        <f t="shared" si="53"/>
        <v>0</v>
      </c>
      <c r="G745">
        <f t="shared" si="52"/>
        <v>0</v>
      </c>
    </row>
    <row r="746" spans="1:7" hidden="1" x14ac:dyDescent="0.25">
      <c r="A746" s="85" t="s">
        <v>2389</v>
      </c>
      <c r="B746" s="88" t="s">
        <v>2366</v>
      </c>
      <c r="C746" s="26" t="s">
        <v>37</v>
      </c>
      <c r="D746" s="14"/>
      <c r="E746" s="15"/>
      <c r="F746" s="16">
        <f t="shared" si="53"/>
        <v>0</v>
      </c>
      <c r="G746">
        <f t="shared" si="52"/>
        <v>0</v>
      </c>
    </row>
    <row r="747" spans="1:7" hidden="1" x14ac:dyDescent="0.25">
      <c r="A747" s="85" t="s">
        <v>2390</v>
      </c>
      <c r="B747" s="88" t="s">
        <v>2367</v>
      </c>
      <c r="C747" s="26" t="s">
        <v>37</v>
      </c>
      <c r="D747" s="14"/>
      <c r="E747" s="15"/>
      <c r="F747" s="16">
        <f t="shared" si="53"/>
        <v>0</v>
      </c>
      <c r="G747">
        <f t="shared" si="52"/>
        <v>0</v>
      </c>
    </row>
    <row r="748" spans="1:7" hidden="1" x14ac:dyDescent="0.25">
      <c r="A748" s="85" t="s">
        <v>2391</v>
      </c>
      <c r="B748" s="88" t="s">
        <v>2368</v>
      </c>
      <c r="C748" s="26" t="s">
        <v>37</v>
      </c>
      <c r="D748" s="14"/>
      <c r="E748" s="15"/>
      <c r="F748" s="16">
        <f t="shared" si="53"/>
        <v>0</v>
      </c>
      <c r="G748">
        <f t="shared" si="52"/>
        <v>0</v>
      </c>
    </row>
    <row r="749" spans="1:7" hidden="1" x14ac:dyDescent="0.25">
      <c r="A749" s="85" t="s">
        <v>2392</v>
      </c>
      <c r="B749" s="88" t="s">
        <v>2369</v>
      </c>
      <c r="C749" s="26" t="s">
        <v>37</v>
      </c>
      <c r="D749" s="14"/>
      <c r="E749" s="15"/>
      <c r="F749" s="16">
        <f t="shared" si="53"/>
        <v>0</v>
      </c>
      <c r="G749">
        <f t="shared" si="52"/>
        <v>0</v>
      </c>
    </row>
    <row r="750" spans="1:7" hidden="1" x14ac:dyDescent="0.25">
      <c r="A750" s="85" t="s">
        <v>2393</v>
      </c>
      <c r="B750" s="88" t="s">
        <v>2370</v>
      </c>
      <c r="C750" s="26" t="s">
        <v>37</v>
      </c>
      <c r="D750" s="14"/>
      <c r="E750" s="15"/>
      <c r="F750" s="16">
        <f t="shared" si="53"/>
        <v>0</v>
      </c>
      <c r="G750">
        <f t="shared" si="52"/>
        <v>0</v>
      </c>
    </row>
    <row r="751" spans="1:7" hidden="1" x14ac:dyDescent="0.25">
      <c r="A751" s="85" t="s">
        <v>2394</v>
      </c>
      <c r="B751" s="88" t="s">
        <v>2371</v>
      </c>
      <c r="C751" s="26" t="s">
        <v>37</v>
      </c>
      <c r="D751" s="14"/>
      <c r="E751" s="15"/>
      <c r="F751" s="16">
        <f t="shared" si="53"/>
        <v>0</v>
      </c>
      <c r="G751">
        <f t="shared" si="52"/>
        <v>0</v>
      </c>
    </row>
    <row r="752" spans="1:7" hidden="1" x14ac:dyDescent="0.25">
      <c r="A752" s="85" t="s">
        <v>2395</v>
      </c>
      <c r="B752" s="88" t="s">
        <v>2372</v>
      </c>
      <c r="C752" s="26" t="s">
        <v>37</v>
      </c>
      <c r="D752" s="14"/>
      <c r="E752" s="15"/>
      <c r="F752" s="16">
        <f t="shared" si="53"/>
        <v>0</v>
      </c>
      <c r="G752">
        <f t="shared" si="52"/>
        <v>0</v>
      </c>
    </row>
    <row r="753" spans="1:7" hidden="1" x14ac:dyDescent="0.25">
      <c r="A753" s="85" t="s">
        <v>2396</v>
      </c>
      <c r="B753" s="88" t="s">
        <v>2373</v>
      </c>
      <c r="C753" s="26" t="s">
        <v>37</v>
      </c>
      <c r="D753" s="14"/>
      <c r="E753" s="15"/>
      <c r="F753" s="16">
        <f t="shared" si="53"/>
        <v>0</v>
      </c>
      <c r="G753">
        <f t="shared" si="52"/>
        <v>0</v>
      </c>
    </row>
    <row r="754" spans="1:7" hidden="1" x14ac:dyDescent="0.25">
      <c r="A754" s="78" t="s">
        <v>2398</v>
      </c>
      <c r="B754" s="79" t="s">
        <v>2397</v>
      </c>
      <c r="C754" s="26"/>
      <c r="D754" s="14"/>
      <c r="E754" s="15"/>
      <c r="F754" s="16"/>
      <c r="G754">
        <f t="shared" si="52"/>
        <v>0</v>
      </c>
    </row>
    <row r="755" spans="1:7" hidden="1" x14ac:dyDescent="0.25">
      <c r="A755" s="85" t="s">
        <v>2416</v>
      </c>
      <c r="B755" s="88" t="s">
        <v>2399</v>
      </c>
      <c r="C755" s="26" t="s">
        <v>37</v>
      </c>
      <c r="D755" s="14"/>
      <c r="E755" s="15"/>
      <c r="F755" s="16">
        <f t="shared" ref="F755:F784" si="54">+D755*E755</f>
        <v>0</v>
      </c>
      <c r="G755">
        <f t="shared" si="52"/>
        <v>0</v>
      </c>
    </row>
    <row r="756" spans="1:7" hidden="1" x14ac:dyDescent="0.25">
      <c r="A756" s="85" t="s">
        <v>2417</v>
      </c>
      <c r="B756" s="88" t="s">
        <v>2400</v>
      </c>
      <c r="C756" s="26" t="s">
        <v>37</v>
      </c>
      <c r="D756" s="14"/>
      <c r="E756" s="15"/>
      <c r="F756" s="16">
        <f t="shared" si="54"/>
        <v>0</v>
      </c>
      <c r="G756">
        <f t="shared" si="52"/>
        <v>0</v>
      </c>
    </row>
    <row r="757" spans="1:7" hidden="1" x14ac:dyDescent="0.25">
      <c r="A757" s="85" t="s">
        <v>2418</v>
      </c>
      <c r="B757" s="88" t="s">
        <v>2401</v>
      </c>
      <c r="C757" s="26" t="s">
        <v>37</v>
      </c>
      <c r="D757" s="14"/>
      <c r="E757" s="15"/>
      <c r="F757" s="16">
        <f t="shared" si="54"/>
        <v>0</v>
      </c>
      <c r="G757">
        <f t="shared" si="52"/>
        <v>0</v>
      </c>
    </row>
    <row r="758" spans="1:7" hidden="1" x14ac:dyDescent="0.25">
      <c r="A758" s="85" t="s">
        <v>2419</v>
      </c>
      <c r="B758" s="88" t="s">
        <v>2402</v>
      </c>
      <c r="C758" s="26" t="s">
        <v>37</v>
      </c>
      <c r="D758" s="14"/>
      <c r="E758" s="15"/>
      <c r="F758" s="16">
        <f t="shared" si="54"/>
        <v>0</v>
      </c>
      <c r="G758">
        <f t="shared" si="52"/>
        <v>0</v>
      </c>
    </row>
    <row r="759" spans="1:7" hidden="1" x14ac:dyDescent="0.25">
      <c r="A759" s="85" t="s">
        <v>2420</v>
      </c>
      <c r="B759" s="88" t="s">
        <v>2405</v>
      </c>
      <c r="C759" s="26" t="s">
        <v>37</v>
      </c>
      <c r="D759" s="14"/>
      <c r="E759" s="15"/>
      <c r="F759" s="16">
        <f t="shared" si="54"/>
        <v>0</v>
      </c>
      <c r="G759">
        <f t="shared" si="52"/>
        <v>0</v>
      </c>
    </row>
    <row r="760" spans="1:7" hidden="1" x14ac:dyDescent="0.25">
      <c r="A760" s="85" t="s">
        <v>2421</v>
      </c>
      <c r="B760" s="88" t="s">
        <v>2403</v>
      </c>
      <c r="C760" s="26" t="s">
        <v>37</v>
      </c>
      <c r="D760" s="14"/>
      <c r="E760" s="15"/>
      <c r="F760" s="16">
        <f t="shared" si="54"/>
        <v>0</v>
      </c>
      <c r="G760">
        <f t="shared" si="52"/>
        <v>0</v>
      </c>
    </row>
    <row r="761" spans="1:7" hidden="1" x14ac:dyDescent="0.25">
      <c r="A761" s="85" t="s">
        <v>2422</v>
      </c>
      <c r="B761" s="88" t="s">
        <v>2404</v>
      </c>
      <c r="C761" s="26" t="s">
        <v>37</v>
      </c>
      <c r="D761" s="14"/>
      <c r="E761" s="15"/>
      <c r="F761" s="16">
        <f t="shared" si="54"/>
        <v>0</v>
      </c>
      <c r="G761">
        <f t="shared" si="52"/>
        <v>0</v>
      </c>
    </row>
    <row r="762" spans="1:7" hidden="1" x14ac:dyDescent="0.25">
      <c r="A762" s="85" t="s">
        <v>2423</v>
      </c>
      <c r="B762" s="88" t="s">
        <v>2406</v>
      </c>
      <c r="C762" s="26" t="s">
        <v>37</v>
      </c>
      <c r="D762" s="14"/>
      <c r="E762" s="15"/>
      <c r="F762" s="16">
        <f t="shared" si="54"/>
        <v>0</v>
      </c>
      <c r="G762">
        <f t="shared" si="52"/>
        <v>0</v>
      </c>
    </row>
    <row r="763" spans="1:7" hidden="1" x14ac:dyDescent="0.25">
      <c r="A763" s="85" t="s">
        <v>2424</v>
      </c>
      <c r="B763" s="88" t="s">
        <v>2407</v>
      </c>
      <c r="C763" s="26" t="s">
        <v>37</v>
      </c>
      <c r="D763" s="14"/>
      <c r="E763" s="15"/>
      <c r="F763" s="16">
        <f t="shared" si="54"/>
        <v>0</v>
      </c>
      <c r="G763">
        <f t="shared" si="52"/>
        <v>0</v>
      </c>
    </row>
    <row r="764" spans="1:7" hidden="1" x14ac:dyDescent="0.25">
      <c r="A764" s="85" t="s">
        <v>2425</v>
      </c>
      <c r="B764" s="88" t="s">
        <v>2408</v>
      </c>
      <c r="C764" s="26" t="s">
        <v>37</v>
      </c>
      <c r="D764" s="14"/>
      <c r="E764" s="15"/>
      <c r="F764" s="16">
        <f t="shared" si="54"/>
        <v>0</v>
      </c>
      <c r="G764">
        <f t="shared" si="52"/>
        <v>0</v>
      </c>
    </row>
    <row r="765" spans="1:7" hidden="1" x14ac:dyDescent="0.25">
      <c r="A765" s="85" t="s">
        <v>2426</v>
      </c>
      <c r="B765" s="88" t="s">
        <v>2409</v>
      </c>
      <c r="C765" s="26" t="s">
        <v>37</v>
      </c>
      <c r="D765" s="14"/>
      <c r="E765" s="15"/>
      <c r="F765" s="16">
        <f t="shared" si="54"/>
        <v>0</v>
      </c>
      <c r="G765">
        <f t="shared" si="52"/>
        <v>0</v>
      </c>
    </row>
    <row r="766" spans="1:7" hidden="1" x14ac:dyDescent="0.25">
      <c r="A766" s="85" t="s">
        <v>2427</v>
      </c>
      <c r="B766" s="88" t="s">
        <v>2410</v>
      </c>
      <c r="C766" s="26" t="s">
        <v>37</v>
      </c>
      <c r="D766" s="14"/>
      <c r="E766" s="15"/>
      <c r="F766" s="16">
        <f t="shared" si="54"/>
        <v>0</v>
      </c>
      <c r="G766">
        <f t="shared" si="52"/>
        <v>0</v>
      </c>
    </row>
    <row r="767" spans="1:7" hidden="1" x14ac:dyDescent="0.25">
      <c r="A767" s="85" t="s">
        <v>2428</v>
      </c>
      <c r="B767" s="88" t="s">
        <v>2411</v>
      </c>
      <c r="C767" s="26" t="s">
        <v>37</v>
      </c>
      <c r="D767" s="14"/>
      <c r="E767" s="15"/>
      <c r="F767" s="16">
        <f t="shared" si="54"/>
        <v>0</v>
      </c>
      <c r="G767">
        <f t="shared" si="52"/>
        <v>0</v>
      </c>
    </row>
    <row r="768" spans="1:7" hidden="1" x14ac:dyDescent="0.25">
      <c r="A768" s="85" t="s">
        <v>2429</v>
      </c>
      <c r="B768" s="88" t="s">
        <v>2412</v>
      </c>
      <c r="C768" s="26" t="s">
        <v>37</v>
      </c>
      <c r="D768" s="14"/>
      <c r="E768" s="15"/>
      <c r="F768" s="16">
        <f t="shared" si="54"/>
        <v>0</v>
      </c>
      <c r="G768">
        <f t="shared" si="52"/>
        <v>0</v>
      </c>
    </row>
    <row r="769" spans="1:7" hidden="1" x14ac:dyDescent="0.25">
      <c r="A769" s="85" t="s">
        <v>2430</v>
      </c>
      <c r="B769" s="88" t="s">
        <v>2413</v>
      </c>
      <c r="C769" s="26" t="s">
        <v>37</v>
      </c>
      <c r="D769" s="14"/>
      <c r="E769" s="15"/>
      <c r="F769" s="16">
        <f t="shared" si="54"/>
        <v>0</v>
      </c>
      <c r="G769">
        <f t="shared" si="52"/>
        <v>0</v>
      </c>
    </row>
    <row r="770" spans="1:7" hidden="1" x14ac:dyDescent="0.25">
      <c r="A770" s="85" t="s">
        <v>2431</v>
      </c>
      <c r="B770" s="88" t="s">
        <v>2414</v>
      </c>
      <c r="C770" s="26" t="s">
        <v>37</v>
      </c>
      <c r="D770" s="14"/>
      <c r="E770" s="15"/>
      <c r="F770" s="16">
        <f t="shared" si="54"/>
        <v>0</v>
      </c>
      <c r="G770">
        <f t="shared" si="52"/>
        <v>0</v>
      </c>
    </row>
    <row r="771" spans="1:7" hidden="1" x14ac:dyDescent="0.25">
      <c r="A771" s="85" t="s">
        <v>2432</v>
      </c>
      <c r="B771" s="88" t="s">
        <v>2415</v>
      </c>
      <c r="C771" s="26" t="s">
        <v>37</v>
      </c>
      <c r="D771" s="14"/>
      <c r="E771" s="15"/>
      <c r="F771" s="16">
        <f t="shared" si="54"/>
        <v>0</v>
      </c>
      <c r="G771">
        <f t="shared" si="52"/>
        <v>0</v>
      </c>
    </row>
    <row r="772" spans="1:7" hidden="1" x14ac:dyDescent="0.25">
      <c r="A772" s="85" t="s">
        <v>2441</v>
      </c>
      <c r="B772" s="88" t="s">
        <v>2433</v>
      </c>
      <c r="C772" s="26" t="s">
        <v>37</v>
      </c>
      <c r="D772" s="14"/>
      <c r="E772" s="15"/>
      <c r="F772" s="16">
        <f t="shared" si="54"/>
        <v>0</v>
      </c>
      <c r="G772">
        <f t="shared" si="52"/>
        <v>0</v>
      </c>
    </row>
    <row r="773" spans="1:7" hidden="1" x14ac:dyDescent="0.25">
      <c r="A773" s="85" t="s">
        <v>2442</v>
      </c>
      <c r="B773" s="88" t="s">
        <v>2434</v>
      </c>
      <c r="C773" s="26" t="s">
        <v>37</v>
      </c>
      <c r="D773" s="14"/>
      <c r="E773" s="15"/>
      <c r="F773" s="16">
        <f t="shared" si="54"/>
        <v>0</v>
      </c>
      <c r="G773">
        <f t="shared" si="52"/>
        <v>0</v>
      </c>
    </row>
    <row r="774" spans="1:7" hidden="1" x14ac:dyDescent="0.25">
      <c r="A774" s="85" t="s">
        <v>2443</v>
      </c>
      <c r="B774" s="88" t="s">
        <v>2435</v>
      </c>
      <c r="C774" s="26" t="s">
        <v>37</v>
      </c>
      <c r="D774" s="14"/>
      <c r="E774" s="15"/>
      <c r="F774" s="16">
        <f t="shared" si="54"/>
        <v>0</v>
      </c>
      <c r="G774">
        <f t="shared" si="52"/>
        <v>0</v>
      </c>
    </row>
    <row r="775" spans="1:7" hidden="1" x14ac:dyDescent="0.25">
      <c r="A775" s="85" t="s">
        <v>2444</v>
      </c>
      <c r="B775" s="88" t="s">
        <v>2436</v>
      </c>
      <c r="C775" s="26" t="s">
        <v>37</v>
      </c>
      <c r="D775" s="14"/>
      <c r="E775" s="15"/>
      <c r="F775" s="16">
        <f t="shared" si="54"/>
        <v>0</v>
      </c>
      <c r="G775">
        <f t="shared" si="52"/>
        <v>0</v>
      </c>
    </row>
    <row r="776" spans="1:7" hidden="1" x14ac:dyDescent="0.25">
      <c r="A776" s="85" t="s">
        <v>2445</v>
      </c>
      <c r="B776" s="88" t="s">
        <v>2437</v>
      </c>
      <c r="C776" s="26" t="s">
        <v>37</v>
      </c>
      <c r="D776" s="14"/>
      <c r="E776" s="15"/>
      <c r="F776" s="16">
        <f t="shared" si="54"/>
        <v>0</v>
      </c>
      <c r="G776">
        <f t="shared" si="52"/>
        <v>0</v>
      </c>
    </row>
    <row r="777" spans="1:7" hidden="1" x14ac:dyDescent="0.25">
      <c r="A777" s="85" t="s">
        <v>2446</v>
      </c>
      <c r="B777" s="88" t="s">
        <v>2438</v>
      </c>
      <c r="C777" s="26" t="s">
        <v>37</v>
      </c>
      <c r="D777" s="14"/>
      <c r="E777" s="15"/>
      <c r="F777" s="16">
        <f t="shared" si="54"/>
        <v>0</v>
      </c>
      <c r="G777">
        <f t="shared" si="52"/>
        <v>0</v>
      </c>
    </row>
    <row r="778" spans="1:7" hidden="1" x14ac:dyDescent="0.25">
      <c r="A778" s="85" t="s">
        <v>2447</v>
      </c>
      <c r="B778" s="88" t="s">
        <v>2439</v>
      </c>
      <c r="C778" s="26" t="s">
        <v>37</v>
      </c>
      <c r="D778" s="14"/>
      <c r="E778" s="15"/>
      <c r="F778" s="16">
        <f t="shared" si="54"/>
        <v>0</v>
      </c>
      <c r="G778">
        <f t="shared" si="52"/>
        <v>0</v>
      </c>
    </row>
    <row r="779" spans="1:7" hidden="1" x14ac:dyDescent="0.25">
      <c r="A779" s="85" t="s">
        <v>2448</v>
      </c>
      <c r="B779" s="88" t="s">
        <v>2440</v>
      </c>
      <c r="C779" s="26" t="s">
        <v>37</v>
      </c>
      <c r="D779" s="14"/>
      <c r="E779" s="15"/>
      <c r="F779" s="16">
        <f t="shared" si="54"/>
        <v>0</v>
      </c>
      <c r="G779">
        <f t="shared" si="52"/>
        <v>0</v>
      </c>
    </row>
    <row r="780" spans="1:7" hidden="1" x14ac:dyDescent="0.25">
      <c r="A780" s="85" t="s">
        <v>2454</v>
      </c>
      <c r="B780" s="88" t="s">
        <v>2449</v>
      </c>
      <c r="C780" s="26" t="s">
        <v>37</v>
      </c>
      <c r="D780" s="14"/>
      <c r="E780" s="15"/>
      <c r="F780" s="16">
        <f t="shared" si="54"/>
        <v>0</v>
      </c>
      <c r="G780">
        <f t="shared" si="52"/>
        <v>0</v>
      </c>
    </row>
    <row r="781" spans="1:7" hidden="1" x14ac:dyDescent="0.25">
      <c r="A781" s="85" t="s">
        <v>2455</v>
      </c>
      <c r="B781" s="88" t="s">
        <v>2450</v>
      </c>
      <c r="C781" s="26" t="s">
        <v>37</v>
      </c>
      <c r="D781" s="14"/>
      <c r="E781" s="15"/>
      <c r="F781" s="16">
        <f t="shared" si="54"/>
        <v>0</v>
      </c>
      <c r="G781">
        <f t="shared" si="52"/>
        <v>0</v>
      </c>
    </row>
    <row r="782" spans="1:7" hidden="1" x14ac:dyDescent="0.25">
      <c r="A782" s="85" t="s">
        <v>2456</v>
      </c>
      <c r="B782" s="88" t="s">
        <v>2451</v>
      </c>
      <c r="C782" s="26" t="s">
        <v>37</v>
      </c>
      <c r="D782" s="14"/>
      <c r="E782" s="15"/>
      <c r="F782" s="16">
        <f t="shared" si="54"/>
        <v>0</v>
      </c>
      <c r="G782">
        <f t="shared" si="52"/>
        <v>0</v>
      </c>
    </row>
    <row r="783" spans="1:7" hidden="1" x14ac:dyDescent="0.25">
      <c r="A783" s="85" t="s">
        <v>2457</v>
      </c>
      <c r="B783" s="88" t="s">
        <v>2452</v>
      </c>
      <c r="C783" s="26" t="s">
        <v>37</v>
      </c>
      <c r="D783" s="14"/>
      <c r="E783" s="15"/>
      <c r="F783" s="16">
        <f t="shared" si="54"/>
        <v>0</v>
      </c>
      <c r="G783">
        <f t="shared" si="52"/>
        <v>0</v>
      </c>
    </row>
    <row r="784" spans="1:7" hidden="1" x14ac:dyDescent="0.25">
      <c r="A784" s="85" t="s">
        <v>2458</v>
      </c>
      <c r="B784" s="88" t="s">
        <v>2453</v>
      </c>
      <c r="C784" s="26" t="s">
        <v>37</v>
      </c>
      <c r="D784" s="14"/>
      <c r="E784" s="15"/>
      <c r="F784" s="16">
        <f t="shared" si="54"/>
        <v>0</v>
      </c>
      <c r="G784">
        <f t="shared" si="52"/>
        <v>0</v>
      </c>
    </row>
    <row r="785" spans="1:7" hidden="1" x14ac:dyDescent="0.25">
      <c r="A785" s="78" t="s">
        <v>2459</v>
      </c>
      <c r="B785" s="79" t="s">
        <v>2461</v>
      </c>
      <c r="C785" s="26"/>
      <c r="D785" s="14"/>
      <c r="E785" s="15"/>
      <c r="F785" s="16"/>
      <c r="G785">
        <f t="shared" si="52"/>
        <v>0</v>
      </c>
    </row>
    <row r="786" spans="1:7" hidden="1" x14ac:dyDescent="0.25">
      <c r="A786" s="85" t="s">
        <v>2460</v>
      </c>
      <c r="B786" s="303" t="s">
        <v>2462</v>
      </c>
      <c r="C786" s="26" t="s">
        <v>37</v>
      </c>
      <c r="D786" s="14"/>
      <c r="E786" s="15"/>
      <c r="F786" s="16">
        <f t="shared" ref="F786:F804" si="55">+D786*E786</f>
        <v>0</v>
      </c>
      <c r="G786">
        <f t="shared" si="52"/>
        <v>0</v>
      </c>
    </row>
    <row r="787" spans="1:7" hidden="1" x14ac:dyDescent="0.25">
      <c r="A787" s="85" t="s">
        <v>2481</v>
      </c>
      <c r="B787" s="303" t="s">
        <v>2463</v>
      </c>
      <c r="C787" s="26" t="s">
        <v>37</v>
      </c>
      <c r="D787" s="14"/>
      <c r="E787" s="15"/>
      <c r="F787" s="16">
        <f t="shared" si="55"/>
        <v>0</v>
      </c>
      <c r="G787">
        <f t="shared" si="52"/>
        <v>0</v>
      </c>
    </row>
    <row r="788" spans="1:7" hidden="1" x14ac:dyDescent="0.25">
      <c r="A788" s="85" t="s">
        <v>2482</v>
      </c>
      <c r="B788" s="304" t="s">
        <v>2464</v>
      </c>
      <c r="C788" s="26" t="s">
        <v>37</v>
      </c>
      <c r="D788" s="14"/>
      <c r="E788" s="15"/>
      <c r="F788" s="16">
        <f t="shared" si="55"/>
        <v>0</v>
      </c>
      <c r="G788">
        <f t="shared" si="52"/>
        <v>0</v>
      </c>
    </row>
    <row r="789" spans="1:7" hidden="1" x14ac:dyDescent="0.25">
      <c r="A789" s="85" t="s">
        <v>2483</v>
      </c>
      <c r="B789" s="304" t="s">
        <v>2465</v>
      </c>
      <c r="C789" s="26" t="s">
        <v>37</v>
      </c>
      <c r="D789" s="14"/>
      <c r="E789" s="15"/>
      <c r="F789" s="16">
        <f t="shared" si="55"/>
        <v>0</v>
      </c>
      <c r="G789">
        <f t="shared" si="52"/>
        <v>0</v>
      </c>
    </row>
    <row r="790" spans="1:7" hidden="1" x14ac:dyDescent="0.25">
      <c r="A790" s="85" t="s">
        <v>2484</v>
      </c>
      <c r="B790" s="304" t="s">
        <v>2466</v>
      </c>
      <c r="C790" s="26" t="s">
        <v>37</v>
      </c>
      <c r="D790" s="14"/>
      <c r="E790" s="15"/>
      <c r="F790" s="16">
        <f t="shared" si="55"/>
        <v>0</v>
      </c>
      <c r="G790">
        <f t="shared" si="52"/>
        <v>0</v>
      </c>
    </row>
    <row r="791" spans="1:7" hidden="1" x14ac:dyDescent="0.25">
      <c r="A791" s="85" t="s">
        <v>2485</v>
      </c>
      <c r="B791" s="304" t="s">
        <v>2467</v>
      </c>
      <c r="C791" s="26" t="s">
        <v>37</v>
      </c>
      <c r="D791" s="14"/>
      <c r="E791" s="15"/>
      <c r="F791" s="16">
        <f t="shared" si="55"/>
        <v>0</v>
      </c>
      <c r="G791">
        <f t="shared" si="52"/>
        <v>0</v>
      </c>
    </row>
    <row r="792" spans="1:7" hidden="1" x14ac:dyDescent="0.25">
      <c r="A792" s="85" t="s">
        <v>2486</v>
      </c>
      <c r="B792" s="304" t="s">
        <v>2468</v>
      </c>
      <c r="C792" s="26" t="s">
        <v>37</v>
      </c>
      <c r="D792" s="14"/>
      <c r="E792" s="15"/>
      <c r="F792" s="16">
        <f t="shared" si="55"/>
        <v>0</v>
      </c>
      <c r="G792">
        <f t="shared" si="52"/>
        <v>0</v>
      </c>
    </row>
    <row r="793" spans="1:7" hidden="1" x14ac:dyDescent="0.25">
      <c r="A793" s="85" t="s">
        <v>2487</v>
      </c>
      <c r="B793" s="304" t="s">
        <v>2470</v>
      </c>
      <c r="C793" s="26" t="s">
        <v>37</v>
      </c>
      <c r="D793" s="14"/>
      <c r="E793" s="15"/>
      <c r="F793" s="16">
        <f t="shared" si="55"/>
        <v>0</v>
      </c>
      <c r="G793">
        <f t="shared" si="52"/>
        <v>0</v>
      </c>
    </row>
    <row r="794" spans="1:7" hidden="1" x14ac:dyDescent="0.25">
      <c r="A794" s="85" t="s">
        <v>2488</v>
      </c>
      <c r="B794" s="304" t="s">
        <v>2469</v>
      </c>
      <c r="C794" s="26" t="s">
        <v>37</v>
      </c>
      <c r="D794" s="14"/>
      <c r="E794" s="15"/>
      <c r="F794" s="16">
        <f t="shared" si="55"/>
        <v>0</v>
      </c>
      <c r="G794">
        <f t="shared" si="52"/>
        <v>0</v>
      </c>
    </row>
    <row r="795" spans="1:7" hidden="1" x14ac:dyDescent="0.25">
      <c r="A795" s="85" t="s">
        <v>2489</v>
      </c>
      <c r="B795" s="304" t="s">
        <v>2471</v>
      </c>
      <c r="C795" s="26" t="s">
        <v>37</v>
      </c>
      <c r="D795" s="14"/>
      <c r="E795" s="15"/>
      <c r="F795" s="16">
        <f t="shared" si="55"/>
        <v>0</v>
      </c>
      <c r="G795">
        <f t="shared" si="52"/>
        <v>0</v>
      </c>
    </row>
    <row r="796" spans="1:7" hidden="1" x14ac:dyDescent="0.25">
      <c r="A796" s="85" t="s">
        <v>2490</v>
      </c>
      <c r="B796" s="304" t="s">
        <v>2472</v>
      </c>
      <c r="C796" s="26" t="s">
        <v>37</v>
      </c>
      <c r="D796" s="14"/>
      <c r="E796" s="15"/>
      <c r="F796" s="16">
        <f t="shared" si="55"/>
        <v>0</v>
      </c>
      <c r="G796">
        <f t="shared" si="52"/>
        <v>0</v>
      </c>
    </row>
    <row r="797" spans="1:7" hidden="1" x14ac:dyDescent="0.25">
      <c r="A797" s="85" t="s">
        <v>2491</v>
      </c>
      <c r="B797" s="304" t="s">
        <v>2473</v>
      </c>
      <c r="C797" s="26" t="s">
        <v>37</v>
      </c>
      <c r="D797" s="14"/>
      <c r="E797" s="15"/>
      <c r="F797" s="16">
        <f t="shared" si="55"/>
        <v>0</v>
      </c>
      <c r="G797">
        <f t="shared" si="52"/>
        <v>0</v>
      </c>
    </row>
    <row r="798" spans="1:7" hidden="1" x14ac:dyDescent="0.25">
      <c r="A798" s="85" t="s">
        <v>2492</v>
      </c>
      <c r="B798" s="304" t="s">
        <v>2474</v>
      </c>
      <c r="C798" s="26" t="s">
        <v>37</v>
      </c>
      <c r="D798" s="14"/>
      <c r="E798" s="15"/>
      <c r="F798" s="16">
        <f t="shared" si="55"/>
        <v>0</v>
      </c>
      <c r="G798">
        <f t="shared" si="52"/>
        <v>0</v>
      </c>
    </row>
    <row r="799" spans="1:7" hidden="1" x14ac:dyDescent="0.25">
      <c r="A799" s="85" t="s">
        <v>2493</v>
      </c>
      <c r="B799" s="304" t="s">
        <v>2475</v>
      </c>
      <c r="C799" s="26" t="s">
        <v>37</v>
      </c>
      <c r="D799" s="14"/>
      <c r="E799" s="15"/>
      <c r="F799" s="16">
        <f t="shared" si="55"/>
        <v>0</v>
      </c>
      <c r="G799">
        <f t="shared" si="52"/>
        <v>0</v>
      </c>
    </row>
    <row r="800" spans="1:7" hidden="1" x14ac:dyDescent="0.25">
      <c r="A800" s="85" t="s">
        <v>2494</v>
      </c>
      <c r="B800" s="304" t="s">
        <v>2476</v>
      </c>
      <c r="C800" s="26" t="s">
        <v>37</v>
      </c>
      <c r="D800" s="14"/>
      <c r="E800" s="15"/>
      <c r="F800" s="16">
        <f t="shared" si="55"/>
        <v>0</v>
      </c>
      <c r="G800">
        <f t="shared" si="52"/>
        <v>0</v>
      </c>
    </row>
    <row r="801" spans="1:7" hidden="1" x14ac:dyDescent="0.25">
      <c r="A801" s="85" t="s">
        <v>2495</v>
      </c>
      <c r="B801" s="304" t="s">
        <v>2477</v>
      </c>
      <c r="C801" s="26" t="s">
        <v>37</v>
      </c>
      <c r="D801" s="14"/>
      <c r="E801" s="15"/>
      <c r="F801" s="16">
        <f t="shared" si="55"/>
        <v>0</v>
      </c>
      <c r="G801">
        <f t="shared" si="52"/>
        <v>0</v>
      </c>
    </row>
    <row r="802" spans="1:7" hidden="1" x14ac:dyDescent="0.25">
      <c r="A802" s="85" t="s">
        <v>2496</v>
      </c>
      <c r="B802" s="303" t="s">
        <v>2478</v>
      </c>
      <c r="C802" s="26" t="s">
        <v>37</v>
      </c>
      <c r="D802" s="14"/>
      <c r="E802" s="15"/>
      <c r="F802" s="16">
        <f t="shared" si="55"/>
        <v>0</v>
      </c>
      <c r="G802">
        <f t="shared" si="52"/>
        <v>0</v>
      </c>
    </row>
    <row r="803" spans="1:7" hidden="1" x14ac:dyDescent="0.25">
      <c r="A803" s="85" t="s">
        <v>2497</v>
      </c>
      <c r="B803" s="303" t="s">
        <v>2479</v>
      </c>
      <c r="C803" s="26" t="s">
        <v>37</v>
      </c>
      <c r="D803" s="14"/>
      <c r="E803" s="15"/>
      <c r="F803" s="16">
        <f t="shared" si="55"/>
        <v>0</v>
      </c>
      <c r="G803">
        <f t="shared" si="52"/>
        <v>0</v>
      </c>
    </row>
    <row r="804" spans="1:7" hidden="1" x14ac:dyDescent="0.25">
      <c r="A804" s="85" t="s">
        <v>2498</v>
      </c>
      <c r="B804" s="303" t="s">
        <v>2480</v>
      </c>
      <c r="C804" s="26" t="s">
        <v>37</v>
      </c>
      <c r="D804" s="14"/>
      <c r="E804" s="15"/>
      <c r="F804" s="16">
        <f t="shared" si="55"/>
        <v>0</v>
      </c>
      <c r="G804">
        <f t="shared" ref="G804:G867" si="56">+IF(F804&lt;&gt;0,1,0)</f>
        <v>0</v>
      </c>
    </row>
    <row r="805" spans="1:7" hidden="1" x14ac:dyDescent="0.25">
      <c r="A805" s="78" t="s">
        <v>2499</v>
      </c>
      <c r="B805" s="79" t="s">
        <v>2500</v>
      </c>
      <c r="C805" s="26"/>
      <c r="D805" s="14"/>
      <c r="E805" s="15"/>
      <c r="F805" s="16"/>
      <c r="G805">
        <f t="shared" si="56"/>
        <v>0</v>
      </c>
    </row>
    <row r="806" spans="1:7" hidden="1" x14ac:dyDescent="0.25">
      <c r="A806" s="78" t="s">
        <v>2501</v>
      </c>
      <c r="B806" s="79" t="s">
        <v>2502</v>
      </c>
      <c r="C806" s="26"/>
      <c r="D806" s="14"/>
      <c r="E806" s="15"/>
      <c r="F806" s="16"/>
      <c r="G806">
        <f t="shared" si="56"/>
        <v>0</v>
      </c>
    </row>
    <row r="807" spans="1:7" hidden="1" x14ac:dyDescent="0.25">
      <c r="A807" s="85" t="s">
        <v>2512</v>
      </c>
      <c r="B807" s="88" t="s">
        <v>2503</v>
      </c>
      <c r="C807" s="26" t="s">
        <v>37</v>
      </c>
      <c r="D807" s="14"/>
      <c r="E807" s="15"/>
      <c r="F807" s="16">
        <f t="shared" ref="F807:F817" si="57">+D807*E807</f>
        <v>0</v>
      </c>
      <c r="G807">
        <f t="shared" si="56"/>
        <v>0</v>
      </c>
    </row>
    <row r="808" spans="1:7" hidden="1" x14ac:dyDescent="0.25">
      <c r="A808" s="85" t="s">
        <v>2513</v>
      </c>
      <c r="B808" s="88" t="s">
        <v>2504</v>
      </c>
      <c r="C808" s="26" t="s">
        <v>37</v>
      </c>
      <c r="D808" s="14"/>
      <c r="E808" s="15"/>
      <c r="F808" s="16">
        <f t="shared" si="57"/>
        <v>0</v>
      </c>
      <c r="G808">
        <f t="shared" si="56"/>
        <v>0</v>
      </c>
    </row>
    <row r="809" spans="1:7" hidden="1" x14ac:dyDescent="0.25">
      <c r="A809" s="85" t="s">
        <v>2514</v>
      </c>
      <c r="B809" s="88" t="s">
        <v>2505</v>
      </c>
      <c r="C809" s="26" t="s">
        <v>37</v>
      </c>
      <c r="D809" s="14"/>
      <c r="E809" s="15"/>
      <c r="F809" s="16">
        <f t="shared" si="57"/>
        <v>0</v>
      </c>
      <c r="G809">
        <f t="shared" si="56"/>
        <v>0</v>
      </c>
    </row>
    <row r="810" spans="1:7" hidden="1" x14ac:dyDescent="0.25">
      <c r="A810" s="85" t="s">
        <v>2515</v>
      </c>
      <c r="B810" s="88" t="s">
        <v>2506</v>
      </c>
      <c r="C810" s="26" t="s">
        <v>37</v>
      </c>
      <c r="D810" s="14"/>
      <c r="E810" s="15"/>
      <c r="F810" s="16">
        <f t="shared" si="57"/>
        <v>0</v>
      </c>
      <c r="G810">
        <f t="shared" si="56"/>
        <v>0</v>
      </c>
    </row>
    <row r="811" spans="1:7" hidden="1" x14ac:dyDescent="0.25">
      <c r="A811" s="85" t="s">
        <v>2516</v>
      </c>
      <c r="B811" s="88" t="s">
        <v>2507</v>
      </c>
      <c r="C811" s="26" t="s">
        <v>37</v>
      </c>
      <c r="D811" s="14"/>
      <c r="E811" s="15"/>
      <c r="F811" s="16">
        <f t="shared" si="57"/>
        <v>0</v>
      </c>
      <c r="G811">
        <f t="shared" si="56"/>
        <v>0</v>
      </c>
    </row>
    <row r="812" spans="1:7" hidden="1" x14ac:dyDescent="0.25">
      <c r="A812" s="85" t="s">
        <v>2517</v>
      </c>
      <c r="B812" s="88" t="s">
        <v>2508</v>
      </c>
      <c r="C812" s="26" t="s">
        <v>37</v>
      </c>
      <c r="D812" s="14"/>
      <c r="E812" s="15"/>
      <c r="F812" s="16">
        <f t="shared" si="57"/>
        <v>0</v>
      </c>
      <c r="G812">
        <f t="shared" si="56"/>
        <v>0</v>
      </c>
    </row>
    <row r="813" spans="1:7" hidden="1" x14ac:dyDescent="0.25">
      <c r="A813" s="85" t="s">
        <v>2518</v>
      </c>
      <c r="B813" s="88" t="s">
        <v>2509</v>
      </c>
      <c r="C813" s="26" t="s">
        <v>37</v>
      </c>
      <c r="D813" s="14"/>
      <c r="E813" s="15"/>
      <c r="F813" s="16">
        <f t="shared" si="57"/>
        <v>0</v>
      </c>
      <c r="G813">
        <f t="shared" si="56"/>
        <v>0</v>
      </c>
    </row>
    <row r="814" spans="1:7" hidden="1" x14ac:dyDescent="0.25">
      <c r="A814" s="85" t="s">
        <v>2519</v>
      </c>
      <c r="B814" s="88" t="s">
        <v>2510</v>
      </c>
      <c r="C814" s="26" t="s">
        <v>37</v>
      </c>
      <c r="D814" s="14"/>
      <c r="E814" s="15"/>
      <c r="F814" s="16">
        <f t="shared" si="57"/>
        <v>0</v>
      </c>
      <c r="G814">
        <f t="shared" si="56"/>
        <v>0</v>
      </c>
    </row>
    <row r="815" spans="1:7" hidden="1" x14ac:dyDescent="0.25">
      <c r="A815" s="85" t="s">
        <v>2520</v>
      </c>
      <c r="B815" s="88" t="s">
        <v>2511</v>
      </c>
      <c r="C815" s="26" t="s">
        <v>37</v>
      </c>
      <c r="D815" s="14"/>
      <c r="E815" s="15"/>
      <c r="F815" s="16">
        <f t="shared" si="57"/>
        <v>0</v>
      </c>
      <c r="G815">
        <f t="shared" si="56"/>
        <v>0</v>
      </c>
    </row>
    <row r="816" spans="1:7" hidden="1" x14ac:dyDescent="0.25">
      <c r="A816" s="85" t="s">
        <v>2521</v>
      </c>
      <c r="B816" s="88" t="s">
        <v>2524</v>
      </c>
      <c r="C816" s="26" t="s">
        <v>37</v>
      </c>
      <c r="D816" s="14"/>
      <c r="E816" s="15"/>
      <c r="F816" s="16">
        <f t="shared" si="57"/>
        <v>0</v>
      </c>
      <c r="G816">
        <f t="shared" si="56"/>
        <v>0</v>
      </c>
    </row>
    <row r="817" spans="1:7" hidden="1" x14ac:dyDescent="0.25">
      <c r="A817" s="85" t="s">
        <v>2522</v>
      </c>
      <c r="B817" s="88" t="s">
        <v>2525</v>
      </c>
      <c r="C817" s="26" t="s">
        <v>37</v>
      </c>
      <c r="D817" s="14"/>
      <c r="E817" s="15"/>
      <c r="F817" s="16">
        <f t="shared" si="57"/>
        <v>0</v>
      </c>
      <c r="G817">
        <f t="shared" si="56"/>
        <v>0</v>
      </c>
    </row>
    <row r="818" spans="1:7" hidden="1" x14ac:dyDescent="0.25">
      <c r="A818" s="78" t="s">
        <v>2523</v>
      </c>
      <c r="B818" s="79" t="s">
        <v>2526</v>
      </c>
      <c r="C818" s="26"/>
      <c r="D818" s="14"/>
      <c r="E818" s="15"/>
      <c r="F818" s="16"/>
      <c r="G818">
        <f t="shared" si="56"/>
        <v>0</v>
      </c>
    </row>
    <row r="819" spans="1:7" hidden="1" x14ac:dyDescent="0.25">
      <c r="A819" s="85" t="s">
        <v>2512</v>
      </c>
      <c r="B819" s="88" t="s">
        <v>2527</v>
      </c>
      <c r="C819" s="26" t="s">
        <v>37</v>
      </c>
      <c r="D819" s="14"/>
      <c r="E819" s="15"/>
      <c r="F819" s="16">
        <f t="shared" ref="F819:F829" si="58">+D819*E819</f>
        <v>0</v>
      </c>
      <c r="G819">
        <f t="shared" si="56"/>
        <v>0</v>
      </c>
    </row>
    <row r="820" spans="1:7" hidden="1" x14ac:dyDescent="0.25">
      <c r="A820" s="85" t="s">
        <v>2513</v>
      </c>
      <c r="B820" s="88" t="s">
        <v>2537</v>
      </c>
      <c r="C820" s="26" t="s">
        <v>37</v>
      </c>
      <c r="D820" s="14"/>
      <c r="E820" s="15"/>
      <c r="F820" s="16">
        <f t="shared" si="58"/>
        <v>0</v>
      </c>
      <c r="G820">
        <f t="shared" si="56"/>
        <v>0</v>
      </c>
    </row>
    <row r="821" spans="1:7" hidden="1" x14ac:dyDescent="0.25">
      <c r="A821" s="85" t="s">
        <v>2514</v>
      </c>
      <c r="B821" s="88" t="s">
        <v>2528</v>
      </c>
      <c r="C821" s="26" t="s">
        <v>37</v>
      </c>
      <c r="D821" s="14"/>
      <c r="E821" s="15"/>
      <c r="F821" s="16">
        <f t="shared" si="58"/>
        <v>0</v>
      </c>
      <c r="G821">
        <f t="shared" si="56"/>
        <v>0</v>
      </c>
    </row>
    <row r="822" spans="1:7" hidden="1" x14ac:dyDescent="0.25">
      <c r="A822" s="85" t="s">
        <v>2515</v>
      </c>
      <c r="B822" s="88" t="s">
        <v>2529</v>
      </c>
      <c r="C822" s="26" t="s">
        <v>37</v>
      </c>
      <c r="D822" s="14"/>
      <c r="E822" s="15"/>
      <c r="F822" s="16">
        <f t="shared" si="58"/>
        <v>0</v>
      </c>
      <c r="G822">
        <f t="shared" si="56"/>
        <v>0</v>
      </c>
    </row>
    <row r="823" spans="1:7" hidden="1" x14ac:dyDescent="0.25">
      <c r="A823" s="85" t="s">
        <v>2516</v>
      </c>
      <c r="B823" s="88" t="s">
        <v>2530</v>
      </c>
      <c r="C823" s="26" t="s">
        <v>37</v>
      </c>
      <c r="D823" s="14"/>
      <c r="E823" s="15"/>
      <c r="F823" s="16">
        <f t="shared" si="58"/>
        <v>0</v>
      </c>
      <c r="G823">
        <f t="shared" si="56"/>
        <v>0</v>
      </c>
    </row>
    <row r="824" spans="1:7" hidden="1" x14ac:dyDescent="0.25">
      <c r="A824" s="85" t="s">
        <v>2517</v>
      </c>
      <c r="B824" s="88" t="s">
        <v>2531</v>
      </c>
      <c r="C824" s="26" t="s">
        <v>37</v>
      </c>
      <c r="D824" s="14"/>
      <c r="E824" s="15"/>
      <c r="F824" s="16">
        <f t="shared" si="58"/>
        <v>0</v>
      </c>
      <c r="G824">
        <f t="shared" si="56"/>
        <v>0</v>
      </c>
    </row>
    <row r="825" spans="1:7" hidden="1" x14ac:dyDescent="0.25">
      <c r="A825" s="85" t="s">
        <v>2518</v>
      </c>
      <c r="B825" s="88" t="s">
        <v>2532</v>
      </c>
      <c r="C825" s="26" t="s">
        <v>37</v>
      </c>
      <c r="D825" s="14"/>
      <c r="E825" s="15"/>
      <c r="F825" s="16">
        <f t="shared" si="58"/>
        <v>0</v>
      </c>
      <c r="G825">
        <f t="shared" si="56"/>
        <v>0</v>
      </c>
    </row>
    <row r="826" spans="1:7" hidden="1" x14ac:dyDescent="0.25">
      <c r="A826" s="85" t="s">
        <v>2519</v>
      </c>
      <c r="B826" s="88" t="s">
        <v>2533</v>
      </c>
      <c r="C826" s="26" t="s">
        <v>37</v>
      </c>
      <c r="D826" s="14"/>
      <c r="E826" s="15"/>
      <c r="F826" s="16">
        <f t="shared" si="58"/>
        <v>0</v>
      </c>
      <c r="G826">
        <f t="shared" si="56"/>
        <v>0</v>
      </c>
    </row>
    <row r="827" spans="1:7" hidden="1" x14ac:dyDescent="0.25">
      <c r="A827" s="85" t="s">
        <v>2520</v>
      </c>
      <c r="B827" s="88" t="s">
        <v>2534</v>
      </c>
      <c r="C827" s="26" t="s">
        <v>37</v>
      </c>
      <c r="D827" s="14"/>
      <c r="E827" s="15"/>
      <c r="F827" s="16">
        <f t="shared" si="58"/>
        <v>0</v>
      </c>
      <c r="G827">
        <f t="shared" si="56"/>
        <v>0</v>
      </c>
    </row>
    <row r="828" spans="1:7" hidden="1" x14ac:dyDescent="0.25">
      <c r="A828" s="85" t="s">
        <v>2521</v>
      </c>
      <c r="B828" s="88" t="s">
        <v>2535</v>
      </c>
      <c r="C828" s="26" t="s">
        <v>37</v>
      </c>
      <c r="D828" s="14"/>
      <c r="E828" s="15"/>
      <c r="F828" s="16">
        <f t="shared" si="58"/>
        <v>0</v>
      </c>
      <c r="G828">
        <f t="shared" si="56"/>
        <v>0</v>
      </c>
    </row>
    <row r="829" spans="1:7" hidden="1" x14ac:dyDescent="0.25">
      <c r="A829" s="85" t="s">
        <v>2522</v>
      </c>
      <c r="B829" s="88" t="s">
        <v>2536</v>
      </c>
      <c r="C829" s="26" t="s">
        <v>37</v>
      </c>
      <c r="D829" s="14"/>
      <c r="E829" s="15"/>
      <c r="F829" s="16">
        <f t="shared" si="58"/>
        <v>0</v>
      </c>
      <c r="G829">
        <f t="shared" si="56"/>
        <v>0</v>
      </c>
    </row>
    <row r="830" spans="1:7" x14ac:dyDescent="0.25">
      <c r="A830" s="78" t="s">
        <v>2538</v>
      </c>
      <c r="B830" s="79" t="s">
        <v>2539</v>
      </c>
      <c r="C830" s="26"/>
      <c r="D830" s="14"/>
      <c r="E830" s="15"/>
      <c r="F830" s="16"/>
      <c r="G830">
        <v>1</v>
      </c>
    </row>
    <row r="831" spans="1:7" hidden="1" x14ac:dyDescent="0.25">
      <c r="A831" s="85" t="s">
        <v>2540</v>
      </c>
      <c r="B831" s="88" t="s">
        <v>2541</v>
      </c>
      <c r="C831" s="26" t="s">
        <v>14</v>
      </c>
      <c r="D831" s="14"/>
      <c r="E831" s="15"/>
      <c r="F831" s="16">
        <f t="shared" ref="F831:F842" si="59">+D831*E831</f>
        <v>0</v>
      </c>
      <c r="G831">
        <f t="shared" si="56"/>
        <v>0</v>
      </c>
    </row>
    <row r="832" spans="1:7" hidden="1" x14ac:dyDescent="0.25">
      <c r="A832" s="85" t="s">
        <v>888</v>
      </c>
      <c r="B832" s="88" t="s">
        <v>2542</v>
      </c>
      <c r="C832" s="26" t="s">
        <v>14</v>
      </c>
      <c r="D832" s="14"/>
      <c r="E832" s="15"/>
      <c r="F832" s="16">
        <f t="shared" si="59"/>
        <v>0</v>
      </c>
      <c r="G832">
        <f t="shared" si="56"/>
        <v>0</v>
      </c>
    </row>
    <row r="833" spans="1:7" hidden="1" x14ac:dyDescent="0.25">
      <c r="A833" s="85" t="s">
        <v>2553</v>
      </c>
      <c r="B833" s="88" t="s">
        <v>2543</v>
      </c>
      <c r="C833" s="26" t="s">
        <v>14</v>
      </c>
      <c r="D833" s="14"/>
      <c r="E833" s="15"/>
      <c r="F833" s="16">
        <f t="shared" si="59"/>
        <v>0</v>
      </c>
      <c r="G833">
        <f t="shared" si="56"/>
        <v>0</v>
      </c>
    </row>
    <row r="834" spans="1:7" hidden="1" x14ac:dyDescent="0.25">
      <c r="A834" s="85" t="s">
        <v>2554</v>
      </c>
      <c r="B834" s="88" t="s">
        <v>2544</v>
      </c>
      <c r="C834" s="26" t="s">
        <v>14</v>
      </c>
      <c r="D834" s="14"/>
      <c r="E834" s="15"/>
      <c r="F834" s="16">
        <f t="shared" si="59"/>
        <v>0</v>
      </c>
      <c r="G834">
        <f t="shared" si="56"/>
        <v>0</v>
      </c>
    </row>
    <row r="835" spans="1:7" hidden="1" x14ac:dyDescent="0.25">
      <c r="A835" s="85" t="s">
        <v>2555</v>
      </c>
      <c r="B835" s="88" t="s">
        <v>2545</v>
      </c>
      <c r="C835" s="26" t="s">
        <v>14</v>
      </c>
      <c r="D835" s="14"/>
      <c r="E835" s="15"/>
      <c r="F835" s="16">
        <f t="shared" si="59"/>
        <v>0</v>
      </c>
      <c r="G835">
        <f t="shared" si="56"/>
        <v>0</v>
      </c>
    </row>
    <row r="836" spans="1:7" x14ac:dyDescent="0.25">
      <c r="A836" s="85" t="s">
        <v>2556</v>
      </c>
      <c r="B836" s="88" t="s">
        <v>6541</v>
      </c>
      <c r="C836" s="26" t="s">
        <v>14</v>
      </c>
      <c r="D836" s="14">
        <v>88</v>
      </c>
      <c r="E836" s="15">
        <f>+SUM!H834</f>
        <v>474110</v>
      </c>
      <c r="F836" s="16">
        <f t="shared" si="59"/>
        <v>41721680</v>
      </c>
      <c r="G836">
        <v>1</v>
      </c>
    </row>
    <row r="837" spans="1:7" hidden="1" x14ac:dyDescent="0.25">
      <c r="A837" s="85" t="s">
        <v>2557</v>
      </c>
      <c r="B837" s="88" t="s">
        <v>2547</v>
      </c>
      <c r="C837" s="26" t="s">
        <v>14</v>
      </c>
      <c r="D837" s="14"/>
      <c r="E837" s="15"/>
      <c r="F837" s="16">
        <f t="shared" si="59"/>
        <v>0</v>
      </c>
      <c r="G837">
        <f t="shared" si="56"/>
        <v>0</v>
      </c>
    </row>
    <row r="838" spans="1:7" hidden="1" x14ac:dyDescent="0.25">
      <c r="A838" s="85" t="s">
        <v>2558</v>
      </c>
      <c r="B838" s="88" t="s">
        <v>2548</v>
      </c>
      <c r="C838" s="26" t="s">
        <v>14</v>
      </c>
      <c r="D838" s="14"/>
      <c r="E838" s="15">
        <f>+SUM!H836</f>
        <v>592637.5</v>
      </c>
      <c r="F838" s="16">
        <f t="shared" si="59"/>
        <v>0</v>
      </c>
      <c r="G838">
        <f t="shared" si="56"/>
        <v>0</v>
      </c>
    </row>
    <row r="839" spans="1:7" hidden="1" x14ac:dyDescent="0.25">
      <c r="A839" s="85" t="s">
        <v>2559</v>
      </c>
      <c r="B839" s="88" t="s">
        <v>2549</v>
      </c>
      <c r="C839" s="26" t="s">
        <v>14</v>
      </c>
      <c r="D839" s="14"/>
      <c r="E839" s="15"/>
      <c r="F839" s="16">
        <f t="shared" si="59"/>
        <v>0</v>
      </c>
      <c r="G839">
        <f t="shared" si="56"/>
        <v>0</v>
      </c>
    </row>
    <row r="840" spans="1:7" hidden="1" x14ac:dyDescent="0.25">
      <c r="A840" s="85" t="s">
        <v>957</v>
      </c>
      <c r="B840" s="88" t="s">
        <v>2550</v>
      </c>
      <c r="C840" s="26" t="s">
        <v>14</v>
      </c>
      <c r="D840" s="14"/>
      <c r="E840" s="15"/>
      <c r="F840" s="16">
        <f t="shared" si="59"/>
        <v>0</v>
      </c>
      <c r="G840">
        <f t="shared" si="56"/>
        <v>0</v>
      </c>
    </row>
    <row r="841" spans="1:7" hidden="1" x14ac:dyDescent="0.25">
      <c r="A841" s="85" t="s">
        <v>2560</v>
      </c>
      <c r="B841" s="88" t="s">
        <v>2551</v>
      </c>
      <c r="C841" s="26" t="s">
        <v>14</v>
      </c>
      <c r="D841" s="14"/>
      <c r="E841" s="15"/>
      <c r="F841" s="16">
        <f t="shared" si="59"/>
        <v>0</v>
      </c>
      <c r="G841">
        <f t="shared" si="56"/>
        <v>0</v>
      </c>
    </row>
    <row r="842" spans="1:7" hidden="1" x14ac:dyDescent="0.25">
      <c r="A842" s="85" t="s">
        <v>2561</v>
      </c>
      <c r="B842" s="88" t="s">
        <v>2552</v>
      </c>
      <c r="C842" s="26" t="s">
        <v>14</v>
      </c>
      <c r="D842" s="14"/>
      <c r="E842" s="15"/>
      <c r="F842" s="16">
        <f t="shared" si="59"/>
        <v>0</v>
      </c>
      <c r="G842">
        <f t="shared" si="56"/>
        <v>0</v>
      </c>
    </row>
    <row r="843" spans="1:7" hidden="1" x14ac:dyDescent="0.25">
      <c r="A843" s="78" t="s">
        <v>2564</v>
      </c>
      <c r="B843" s="79" t="s">
        <v>2563</v>
      </c>
      <c r="C843" s="26"/>
      <c r="D843" s="14"/>
      <c r="E843" s="15"/>
      <c r="F843" s="16"/>
      <c r="G843">
        <f t="shared" si="56"/>
        <v>0</v>
      </c>
    </row>
    <row r="844" spans="1:7" hidden="1" x14ac:dyDescent="0.25">
      <c r="A844" s="85" t="s">
        <v>2562</v>
      </c>
      <c r="B844" s="88" t="s">
        <v>2565</v>
      </c>
      <c r="C844" s="26" t="s">
        <v>37</v>
      </c>
      <c r="D844" s="14"/>
      <c r="E844" s="15"/>
      <c r="F844" s="16">
        <f t="shared" ref="F844:F907" si="60">+D844*E844</f>
        <v>0</v>
      </c>
      <c r="G844">
        <f t="shared" si="56"/>
        <v>0</v>
      </c>
    </row>
    <row r="845" spans="1:7" hidden="1" x14ac:dyDescent="0.25">
      <c r="A845" s="85" t="s">
        <v>2575</v>
      </c>
      <c r="B845" s="88" t="s">
        <v>2566</v>
      </c>
      <c r="C845" s="26" t="s">
        <v>37</v>
      </c>
      <c r="D845" s="14"/>
      <c r="E845" s="15"/>
      <c r="F845" s="16">
        <f t="shared" si="60"/>
        <v>0</v>
      </c>
      <c r="G845">
        <f t="shared" si="56"/>
        <v>0</v>
      </c>
    </row>
    <row r="846" spans="1:7" hidden="1" x14ac:dyDescent="0.25">
      <c r="A846" s="85" t="s">
        <v>2576</v>
      </c>
      <c r="B846" s="88" t="s">
        <v>2567</v>
      </c>
      <c r="C846" s="26" t="s">
        <v>37</v>
      </c>
      <c r="D846" s="14"/>
      <c r="E846" s="15"/>
      <c r="F846" s="16">
        <f t="shared" si="60"/>
        <v>0</v>
      </c>
      <c r="G846">
        <f t="shared" si="56"/>
        <v>0</v>
      </c>
    </row>
    <row r="847" spans="1:7" hidden="1" x14ac:dyDescent="0.25">
      <c r="A847" s="85" t="s">
        <v>2577</v>
      </c>
      <c r="B847" s="88" t="s">
        <v>2568</v>
      </c>
      <c r="C847" s="26" t="s">
        <v>37</v>
      </c>
      <c r="D847" s="14"/>
      <c r="E847" s="15"/>
      <c r="F847" s="16">
        <f t="shared" si="60"/>
        <v>0</v>
      </c>
      <c r="G847">
        <f t="shared" si="56"/>
        <v>0</v>
      </c>
    </row>
    <row r="848" spans="1:7" hidden="1" x14ac:dyDescent="0.25">
      <c r="A848" s="85" t="s">
        <v>2578</v>
      </c>
      <c r="B848" s="88" t="s">
        <v>2569</v>
      </c>
      <c r="C848" s="26" t="s">
        <v>37</v>
      </c>
      <c r="D848" s="14"/>
      <c r="E848" s="15"/>
      <c r="F848" s="16">
        <f t="shared" si="60"/>
        <v>0</v>
      </c>
      <c r="G848">
        <f t="shared" si="56"/>
        <v>0</v>
      </c>
    </row>
    <row r="849" spans="1:7" hidden="1" x14ac:dyDescent="0.25">
      <c r="A849" s="85" t="s">
        <v>2579</v>
      </c>
      <c r="B849" s="88" t="s">
        <v>2570</v>
      </c>
      <c r="C849" s="26" t="s">
        <v>37</v>
      </c>
      <c r="D849" s="14"/>
      <c r="E849" s="15"/>
      <c r="F849" s="16">
        <f t="shared" si="60"/>
        <v>0</v>
      </c>
      <c r="G849">
        <f t="shared" si="56"/>
        <v>0</v>
      </c>
    </row>
    <row r="850" spans="1:7" hidden="1" x14ac:dyDescent="0.25">
      <c r="A850" s="85" t="s">
        <v>2580</v>
      </c>
      <c r="B850" s="88" t="s">
        <v>2571</v>
      </c>
      <c r="C850" s="26" t="s">
        <v>37</v>
      </c>
      <c r="D850" s="14"/>
      <c r="E850" s="15"/>
      <c r="F850" s="16">
        <f t="shared" si="60"/>
        <v>0</v>
      </c>
      <c r="G850">
        <f t="shared" si="56"/>
        <v>0</v>
      </c>
    </row>
    <row r="851" spans="1:7" hidden="1" x14ac:dyDescent="0.25">
      <c r="A851" s="85" t="s">
        <v>2581</v>
      </c>
      <c r="B851" s="88" t="s">
        <v>2572</v>
      </c>
      <c r="C851" s="26" t="s">
        <v>37</v>
      </c>
      <c r="D851" s="14"/>
      <c r="E851" s="15"/>
      <c r="F851" s="16">
        <f t="shared" si="60"/>
        <v>0</v>
      </c>
      <c r="G851">
        <f t="shared" si="56"/>
        <v>0</v>
      </c>
    </row>
    <row r="852" spans="1:7" hidden="1" x14ac:dyDescent="0.25">
      <c r="A852" s="85" t="s">
        <v>2582</v>
      </c>
      <c r="B852" s="88" t="s">
        <v>2573</v>
      </c>
      <c r="C852" s="26" t="s">
        <v>37</v>
      </c>
      <c r="D852" s="14"/>
      <c r="E852" s="15"/>
      <c r="F852" s="16">
        <f t="shared" si="60"/>
        <v>0</v>
      </c>
      <c r="G852">
        <f t="shared" si="56"/>
        <v>0</v>
      </c>
    </row>
    <row r="853" spans="1:7" hidden="1" x14ac:dyDescent="0.25">
      <c r="A853" s="85" t="s">
        <v>2583</v>
      </c>
      <c r="B853" s="88" t="s">
        <v>2574</v>
      </c>
      <c r="C853" s="26" t="s">
        <v>37</v>
      </c>
      <c r="D853" s="14"/>
      <c r="E853" s="15"/>
      <c r="F853" s="16">
        <f t="shared" si="60"/>
        <v>0</v>
      </c>
      <c r="G853">
        <f t="shared" si="56"/>
        <v>0</v>
      </c>
    </row>
    <row r="854" spans="1:7" hidden="1" x14ac:dyDescent="0.25">
      <c r="A854" s="85" t="s">
        <v>2584</v>
      </c>
      <c r="B854" s="88" t="s">
        <v>2624</v>
      </c>
      <c r="C854" s="26" t="s">
        <v>37</v>
      </c>
      <c r="D854" s="14"/>
      <c r="E854" s="15"/>
      <c r="F854" s="16">
        <f t="shared" si="60"/>
        <v>0</v>
      </c>
      <c r="G854">
        <f t="shared" si="56"/>
        <v>0</v>
      </c>
    </row>
    <row r="855" spans="1:7" hidden="1" x14ac:dyDescent="0.25">
      <c r="A855" s="85" t="s">
        <v>2585</v>
      </c>
      <c r="B855" s="88" t="s">
        <v>2625</v>
      </c>
      <c r="C855" s="26" t="s">
        <v>37</v>
      </c>
      <c r="D855" s="14"/>
      <c r="E855" s="15"/>
      <c r="F855" s="16">
        <f t="shared" si="60"/>
        <v>0</v>
      </c>
      <c r="G855">
        <f t="shared" si="56"/>
        <v>0</v>
      </c>
    </row>
    <row r="856" spans="1:7" hidden="1" x14ac:dyDescent="0.25">
      <c r="A856" s="85" t="s">
        <v>2586</v>
      </c>
      <c r="B856" s="88" t="s">
        <v>2626</v>
      </c>
      <c r="C856" s="26" t="s">
        <v>37</v>
      </c>
      <c r="D856" s="14"/>
      <c r="E856" s="15"/>
      <c r="F856" s="16">
        <f t="shared" si="60"/>
        <v>0</v>
      </c>
      <c r="G856">
        <f t="shared" si="56"/>
        <v>0</v>
      </c>
    </row>
    <row r="857" spans="1:7" hidden="1" x14ac:dyDescent="0.25">
      <c r="A857" s="85" t="s">
        <v>2587</v>
      </c>
      <c r="B857" s="88" t="s">
        <v>2627</v>
      </c>
      <c r="C857" s="26" t="s">
        <v>37</v>
      </c>
      <c r="D857" s="14"/>
      <c r="E857" s="15"/>
      <c r="F857" s="16">
        <f t="shared" si="60"/>
        <v>0</v>
      </c>
      <c r="G857">
        <f t="shared" si="56"/>
        <v>0</v>
      </c>
    </row>
    <row r="858" spans="1:7" hidden="1" x14ac:dyDescent="0.25">
      <c r="A858" s="85" t="s">
        <v>2588</v>
      </c>
      <c r="B858" s="88" t="s">
        <v>2628</v>
      </c>
      <c r="C858" s="26" t="s">
        <v>37</v>
      </c>
      <c r="D858" s="14"/>
      <c r="E858" s="15"/>
      <c r="F858" s="16">
        <f t="shared" si="60"/>
        <v>0</v>
      </c>
      <c r="G858">
        <f t="shared" si="56"/>
        <v>0</v>
      </c>
    </row>
    <row r="859" spans="1:7" hidden="1" x14ac:dyDescent="0.25">
      <c r="A859" s="85" t="s">
        <v>2589</v>
      </c>
      <c r="B859" s="88" t="s">
        <v>2629</v>
      </c>
      <c r="C859" s="26" t="s">
        <v>37</v>
      </c>
      <c r="D859" s="14"/>
      <c r="E859" s="15"/>
      <c r="F859" s="16">
        <f t="shared" si="60"/>
        <v>0</v>
      </c>
      <c r="G859">
        <f t="shared" si="56"/>
        <v>0</v>
      </c>
    </row>
    <row r="860" spans="1:7" hidden="1" x14ac:dyDescent="0.25">
      <c r="A860" s="85" t="s">
        <v>2590</v>
      </c>
      <c r="B860" s="88" t="s">
        <v>2630</v>
      </c>
      <c r="C860" s="26" t="s">
        <v>37</v>
      </c>
      <c r="D860" s="14"/>
      <c r="E860" s="15"/>
      <c r="F860" s="16">
        <f t="shared" si="60"/>
        <v>0</v>
      </c>
      <c r="G860">
        <f t="shared" si="56"/>
        <v>0</v>
      </c>
    </row>
    <row r="861" spans="1:7" hidden="1" x14ac:dyDescent="0.25">
      <c r="A861" s="85" t="s">
        <v>2591</v>
      </c>
      <c r="B861" s="88" t="s">
        <v>2631</v>
      </c>
      <c r="C861" s="26" t="s">
        <v>37</v>
      </c>
      <c r="D861" s="14"/>
      <c r="E861" s="15"/>
      <c r="F861" s="16">
        <f t="shared" si="60"/>
        <v>0</v>
      </c>
      <c r="G861">
        <f t="shared" si="56"/>
        <v>0</v>
      </c>
    </row>
    <row r="862" spans="1:7" hidden="1" x14ac:dyDescent="0.25">
      <c r="A862" s="85" t="s">
        <v>2592</v>
      </c>
      <c r="B862" s="88" t="s">
        <v>2632</v>
      </c>
      <c r="C862" s="26" t="s">
        <v>37</v>
      </c>
      <c r="D862" s="14"/>
      <c r="E862" s="15"/>
      <c r="F862" s="16">
        <f t="shared" si="60"/>
        <v>0</v>
      </c>
      <c r="G862">
        <f t="shared" si="56"/>
        <v>0</v>
      </c>
    </row>
    <row r="863" spans="1:7" hidden="1" x14ac:dyDescent="0.25">
      <c r="A863" s="85" t="s">
        <v>2593</v>
      </c>
      <c r="B863" s="88" t="s">
        <v>2633</v>
      </c>
      <c r="C863" s="26" t="s">
        <v>37</v>
      </c>
      <c r="D863" s="14"/>
      <c r="E863" s="15"/>
      <c r="F863" s="16">
        <f t="shared" si="60"/>
        <v>0</v>
      </c>
      <c r="G863">
        <f t="shared" si="56"/>
        <v>0</v>
      </c>
    </row>
    <row r="864" spans="1:7" hidden="1" x14ac:dyDescent="0.25">
      <c r="A864" s="85" t="s">
        <v>2644</v>
      </c>
      <c r="B864" s="88" t="s">
        <v>2634</v>
      </c>
      <c r="C864" s="26" t="s">
        <v>37</v>
      </c>
      <c r="D864" s="14"/>
      <c r="E864" s="15"/>
      <c r="F864" s="16">
        <f t="shared" si="60"/>
        <v>0</v>
      </c>
      <c r="G864">
        <f t="shared" si="56"/>
        <v>0</v>
      </c>
    </row>
    <row r="865" spans="1:7" hidden="1" x14ac:dyDescent="0.25">
      <c r="A865" s="85" t="s">
        <v>2645</v>
      </c>
      <c r="B865" s="88" t="s">
        <v>2635</v>
      </c>
      <c r="C865" s="26" t="s">
        <v>37</v>
      </c>
      <c r="D865" s="14"/>
      <c r="E865" s="15"/>
      <c r="F865" s="16">
        <f t="shared" si="60"/>
        <v>0</v>
      </c>
      <c r="G865">
        <f t="shared" si="56"/>
        <v>0</v>
      </c>
    </row>
    <row r="866" spans="1:7" hidden="1" x14ac:dyDescent="0.25">
      <c r="A866" s="85" t="s">
        <v>2646</v>
      </c>
      <c r="B866" s="88" t="s">
        <v>2636</v>
      </c>
      <c r="C866" s="26" t="s">
        <v>37</v>
      </c>
      <c r="D866" s="14"/>
      <c r="E866" s="15"/>
      <c r="F866" s="16">
        <f t="shared" si="60"/>
        <v>0</v>
      </c>
      <c r="G866">
        <f t="shared" si="56"/>
        <v>0</v>
      </c>
    </row>
    <row r="867" spans="1:7" hidden="1" x14ac:dyDescent="0.25">
      <c r="A867" s="85" t="s">
        <v>2647</v>
      </c>
      <c r="B867" s="88" t="s">
        <v>2637</v>
      </c>
      <c r="C867" s="26" t="s">
        <v>37</v>
      </c>
      <c r="D867" s="14"/>
      <c r="E867" s="15"/>
      <c r="F867" s="16">
        <f t="shared" si="60"/>
        <v>0</v>
      </c>
      <c r="G867">
        <f t="shared" si="56"/>
        <v>0</v>
      </c>
    </row>
    <row r="868" spans="1:7" hidden="1" x14ac:dyDescent="0.25">
      <c r="A868" s="85" t="s">
        <v>2648</v>
      </c>
      <c r="B868" s="88" t="s">
        <v>2638</v>
      </c>
      <c r="C868" s="26" t="s">
        <v>37</v>
      </c>
      <c r="D868" s="14"/>
      <c r="E868" s="15"/>
      <c r="F868" s="16">
        <f t="shared" si="60"/>
        <v>0</v>
      </c>
      <c r="G868">
        <f t="shared" ref="G868:G931" si="61">+IF(F868&lt;&gt;0,1,0)</f>
        <v>0</v>
      </c>
    </row>
    <row r="869" spans="1:7" hidden="1" x14ac:dyDescent="0.25">
      <c r="A869" s="85" t="s">
        <v>2649</v>
      </c>
      <c r="B869" s="88" t="s">
        <v>2639</v>
      </c>
      <c r="C869" s="26" t="s">
        <v>37</v>
      </c>
      <c r="D869" s="14"/>
      <c r="E869" s="15"/>
      <c r="F869" s="16">
        <f t="shared" si="60"/>
        <v>0</v>
      </c>
      <c r="G869">
        <f t="shared" si="61"/>
        <v>0</v>
      </c>
    </row>
    <row r="870" spans="1:7" hidden="1" x14ac:dyDescent="0.25">
      <c r="A870" s="85" t="s">
        <v>2650</v>
      </c>
      <c r="B870" s="88" t="s">
        <v>2640</v>
      </c>
      <c r="C870" s="26" t="s">
        <v>37</v>
      </c>
      <c r="D870" s="14"/>
      <c r="E870" s="15"/>
      <c r="F870" s="16">
        <f t="shared" si="60"/>
        <v>0</v>
      </c>
      <c r="G870">
        <f t="shared" si="61"/>
        <v>0</v>
      </c>
    </row>
    <row r="871" spans="1:7" hidden="1" x14ac:dyDescent="0.25">
      <c r="A871" s="85" t="s">
        <v>2651</v>
      </c>
      <c r="B871" s="88" t="s">
        <v>2641</v>
      </c>
      <c r="C871" s="26" t="s">
        <v>37</v>
      </c>
      <c r="D871" s="14"/>
      <c r="E871" s="15"/>
      <c r="F871" s="16">
        <f t="shared" si="60"/>
        <v>0</v>
      </c>
      <c r="G871">
        <f t="shared" si="61"/>
        <v>0</v>
      </c>
    </row>
    <row r="872" spans="1:7" hidden="1" x14ac:dyDescent="0.25">
      <c r="A872" s="85" t="s">
        <v>2652</v>
      </c>
      <c r="B872" s="88" t="s">
        <v>2642</v>
      </c>
      <c r="C872" s="26" t="s">
        <v>37</v>
      </c>
      <c r="D872" s="14"/>
      <c r="E872" s="15"/>
      <c r="F872" s="16">
        <f t="shared" si="60"/>
        <v>0</v>
      </c>
      <c r="G872">
        <f t="shared" si="61"/>
        <v>0</v>
      </c>
    </row>
    <row r="873" spans="1:7" hidden="1" x14ac:dyDescent="0.25">
      <c r="A873" s="85" t="s">
        <v>2653</v>
      </c>
      <c r="B873" s="88" t="s">
        <v>2643</v>
      </c>
      <c r="C873" s="26" t="s">
        <v>37</v>
      </c>
      <c r="D873" s="14"/>
      <c r="E873" s="15"/>
      <c r="F873" s="16">
        <f t="shared" si="60"/>
        <v>0</v>
      </c>
      <c r="G873">
        <f t="shared" si="61"/>
        <v>0</v>
      </c>
    </row>
    <row r="874" spans="1:7" hidden="1" x14ac:dyDescent="0.25">
      <c r="A874" s="85" t="s">
        <v>2654</v>
      </c>
      <c r="B874" s="88" t="s">
        <v>2604</v>
      </c>
      <c r="C874" s="26" t="s">
        <v>37</v>
      </c>
      <c r="D874" s="14"/>
      <c r="E874" s="15"/>
      <c r="F874" s="16">
        <f t="shared" si="60"/>
        <v>0</v>
      </c>
      <c r="G874">
        <f t="shared" si="61"/>
        <v>0</v>
      </c>
    </row>
    <row r="875" spans="1:7" hidden="1" x14ac:dyDescent="0.25">
      <c r="A875" s="85" t="s">
        <v>2655</v>
      </c>
      <c r="B875" s="88" t="s">
        <v>2605</v>
      </c>
      <c r="C875" s="26" t="s">
        <v>37</v>
      </c>
      <c r="D875" s="14"/>
      <c r="E875" s="15"/>
      <c r="F875" s="16">
        <f t="shared" si="60"/>
        <v>0</v>
      </c>
      <c r="G875">
        <f t="shared" si="61"/>
        <v>0</v>
      </c>
    </row>
    <row r="876" spans="1:7" hidden="1" x14ac:dyDescent="0.25">
      <c r="A876" s="85" t="s">
        <v>2656</v>
      </c>
      <c r="B876" s="88" t="s">
        <v>2606</v>
      </c>
      <c r="C876" s="26" t="s">
        <v>37</v>
      </c>
      <c r="D876" s="14"/>
      <c r="E876" s="15"/>
      <c r="F876" s="16">
        <f t="shared" si="60"/>
        <v>0</v>
      </c>
      <c r="G876">
        <f t="shared" si="61"/>
        <v>0</v>
      </c>
    </row>
    <row r="877" spans="1:7" hidden="1" x14ac:dyDescent="0.25">
      <c r="A877" s="85" t="s">
        <v>2657</v>
      </c>
      <c r="B877" s="88" t="s">
        <v>2607</v>
      </c>
      <c r="C877" s="26" t="s">
        <v>37</v>
      </c>
      <c r="D877" s="14"/>
      <c r="E877" s="15"/>
      <c r="F877" s="16">
        <f t="shared" si="60"/>
        <v>0</v>
      </c>
      <c r="G877">
        <f t="shared" si="61"/>
        <v>0</v>
      </c>
    </row>
    <row r="878" spans="1:7" hidden="1" x14ac:dyDescent="0.25">
      <c r="A878" s="85" t="s">
        <v>2658</v>
      </c>
      <c r="B878" s="88" t="s">
        <v>2608</v>
      </c>
      <c r="C878" s="26" t="s">
        <v>37</v>
      </c>
      <c r="D878" s="14"/>
      <c r="E878" s="15"/>
      <c r="F878" s="16">
        <f t="shared" si="60"/>
        <v>0</v>
      </c>
      <c r="G878">
        <f t="shared" si="61"/>
        <v>0</v>
      </c>
    </row>
    <row r="879" spans="1:7" hidden="1" x14ac:dyDescent="0.25">
      <c r="A879" s="85" t="s">
        <v>2659</v>
      </c>
      <c r="B879" s="88" t="s">
        <v>2609</v>
      </c>
      <c r="C879" s="26" t="s">
        <v>37</v>
      </c>
      <c r="D879" s="14"/>
      <c r="E879" s="15"/>
      <c r="F879" s="16">
        <f t="shared" si="60"/>
        <v>0</v>
      </c>
      <c r="G879">
        <f t="shared" si="61"/>
        <v>0</v>
      </c>
    </row>
    <row r="880" spans="1:7" hidden="1" x14ac:dyDescent="0.25">
      <c r="A880" s="85" t="s">
        <v>2660</v>
      </c>
      <c r="B880" s="88" t="s">
        <v>2610</v>
      </c>
      <c r="C880" s="26" t="s">
        <v>37</v>
      </c>
      <c r="D880" s="14"/>
      <c r="E880" s="15"/>
      <c r="F880" s="16">
        <f t="shared" si="60"/>
        <v>0</v>
      </c>
      <c r="G880">
        <f t="shared" si="61"/>
        <v>0</v>
      </c>
    </row>
    <row r="881" spans="1:7" hidden="1" x14ac:dyDescent="0.25">
      <c r="A881" s="85" t="s">
        <v>2661</v>
      </c>
      <c r="B881" s="88" t="s">
        <v>2611</v>
      </c>
      <c r="C881" s="26" t="s">
        <v>37</v>
      </c>
      <c r="D881" s="14"/>
      <c r="E881" s="15"/>
      <c r="F881" s="16">
        <f t="shared" si="60"/>
        <v>0</v>
      </c>
      <c r="G881">
        <f t="shared" si="61"/>
        <v>0</v>
      </c>
    </row>
    <row r="882" spans="1:7" hidden="1" x14ac:dyDescent="0.25">
      <c r="A882" s="85" t="s">
        <v>2662</v>
      </c>
      <c r="B882" s="88" t="s">
        <v>2612</v>
      </c>
      <c r="C882" s="26" t="s">
        <v>37</v>
      </c>
      <c r="D882" s="14"/>
      <c r="E882" s="15"/>
      <c r="F882" s="16">
        <f t="shared" si="60"/>
        <v>0</v>
      </c>
      <c r="G882">
        <f t="shared" si="61"/>
        <v>0</v>
      </c>
    </row>
    <row r="883" spans="1:7" hidden="1" x14ac:dyDescent="0.25">
      <c r="A883" s="85" t="s">
        <v>2663</v>
      </c>
      <c r="B883" s="88" t="s">
        <v>2613</v>
      </c>
      <c r="C883" s="26" t="s">
        <v>37</v>
      </c>
      <c r="D883" s="14"/>
      <c r="E883" s="15"/>
      <c r="F883" s="16">
        <f t="shared" si="60"/>
        <v>0</v>
      </c>
      <c r="G883">
        <f t="shared" si="61"/>
        <v>0</v>
      </c>
    </row>
    <row r="884" spans="1:7" hidden="1" x14ac:dyDescent="0.25">
      <c r="A884" s="85" t="s">
        <v>2664</v>
      </c>
      <c r="B884" s="88" t="s">
        <v>2614</v>
      </c>
      <c r="C884" s="26" t="s">
        <v>37</v>
      </c>
      <c r="D884" s="14"/>
      <c r="E884" s="15"/>
      <c r="F884" s="16">
        <f t="shared" si="60"/>
        <v>0</v>
      </c>
      <c r="G884">
        <f t="shared" si="61"/>
        <v>0</v>
      </c>
    </row>
    <row r="885" spans="1:7" hidden="1" x14ac:dyDescent="0.25">
      <c r="A885" s="85" t="s">
        <v>2665</v>
      </c>
      <c r="B885" s="88" t="s">
        <v>2615</v>
      </c>
      <c r="C885" s="26" t="s">
        <v>37</v>
      </c>
      <c r="D885" s="14"/>
      <c r="E885" s="15"/>
      <c r="F885" s="16">
        <f t="shared" si="60"/>
        <v>0</v>
      </c>
      <c r="G885">
        <f t="shared" si="61"/>
        <v>0</v>
      </c>
    </row>
    <row r="886" spans="1:7" hidden="1" x14ac:dyDescent="0.25">
      <c r="A886" s="85" t="s">
        <v>2666</v>
      </c>
      <c r="B886" s="88" t="s">
        <v>2616</v>
      </c>
      <c r="C886" s="26" t="s">
        <v>37</v>
      </c>
      <c r="D886" s="14"/>
      <c r="E886" s="15"/>
      <c r="F886" s="16">
        <f t="shared" si="60"/>
        <v>0</v>
      </c>
      <c r="G886">
        <f t="shared" si="61"/>
        <v>0</v>
      </c>
    </row>
    <row r="887" spans="1:7" hidden="1" x14ac:dyDescent="0.25">
      <c r="A887" s="85" t="s">
        <v>2667</v>
      </c>
      <c r="B887" s="88" t="s">
        <v>2617</v>
      </c>
      <c r="C887" s="26" t="s">
        <v>37</v>
      </c>
      <c r="D887" s="14"/>
      <c r="E887" s="15"/>
      <c r="F887" s="16">
        <f t="shared" si="60"/>
        <v>0</v>
      </c>
      <c r="G887">
        <f t="shared" si="61"/>
        <v>0</v>
      </c>
    </row>
    <row r="888" spans="1:7" hidden="1" x14ac:dyDescent="0.25">
      <c r="A888" s="85" t="s">
        <v>2668</v>
      </c>
      <c r="B888" s="88" t="s">
        <v>2618</v>
      </c>
      <c r="C888" s="26" t="s">
        <v>37</v>
      </c>
      <c r="D888" s="14"/>
      <c r="E888" s="15"/>
      <c r="F888" s="16">
        <f t="shared" si="60"/>
        <v>0</v>
      </c>
      <c r="G888">
        <f t="shared" si="61"/>
        <v>0</v>
      </c>
    </row>
    <row r="889" spans="1:7" hidden="1" x14ac:dyDescent="0.25">
      <c r="A889" s="85" t="s">
        <v>2669</v>
      </c>
      <c r="B889" s="88" t="s">
        <v>2619</v>
      </c>
      <c r="C889" s="26" t="s">
        <v>37</v>
      </c>
      <c r="D889" s="14"/>
      <c r="E889" s="15"/>
      <c r="F889" s="16">
        <f t="shared" si="60"/>
        <v>0</v>
      </c>
      <c r="G889">
        <f t="shared" si="61"/>
        <v>0</v>
      </c>
    </row>
    <row r="890" spans="1:7" hidden="1" x14ac:dyDescent="0.25">
      <c r="A890" s="85" t="s">
        <v>2670</v>
      </c>
      <c r="B890" s="88" t="s">
        <v>2620</v>
      </c>
      <c r="C890" s="26" t="s">
        <v>37</v>
      </c>
      <c r="D890" s="14"/>
      <c r="E890" s="15"/>
      <c r="F890" s="16">
        <f t="shared" si="60"/>
        <v>0</v>
      </c>
      <c r="G890">
        <f t="shared" si="61"/>
        <v>0</v>
      </c>
    </row>
    <row r="891" spans="1:7" hidden="1" x14ac:dyDescent="0.25">
      <c r="A891" s="85" t="s">
        <v>2671</v>
      </c>
      <c r="B891" s="88" t="s">
        <v>2621</v>
      </c>
      <c r="C891" s="26" t="s">
        <v>37</v>
      </c>
      <c r="D891" s="14"/>
      <c r="E891" s="15"/>
      <c r="F891" s="16">
        <f t="shared" si="60"/>
        <v>0</v>
      </c>
      <c r="G891">
        <f t="shared" si="61"/>
        <v>0</v>
      </c>
    </row>
    <row r="892" spans="1:7" hidden="1" x14ac:dyDescent="0.25">
      <c r="A892" s="85" t="s">
        <v>2672</v>
      </c>
      <c r="B892" s="88" t="s">
        <v>2622</v>
      </c>
      <c r="C892" s="26" t="s">
        <v>37</v>
      </c>
      <c r="D892" s="14"/>
      <c r="E892" s="15"/>
      <c r="F892" s="16">
        <f t="shared" si="60"/>
        <v>0</v>
      </c>
      <c r="G892">
        <f t="shared" si="61"/>
        <v>0</v>
      </c>
    </row>
    <row r="893" spans="1:7" hidden="1" x14ac:dyDescent="0.25">
      <c r="A893" s="85" t="s">
        <v>2673</v>
      </c>
      <c r="B893" s="88" t="s">
        <v>2623</v>
      </c>
      <c r="C893" s="26" t="s">
        <v>37</v>
      </c>
      <c r="D893" s="14"/>
      <c r="E893" s="15"/>
      <c r="F893" s="16">
        <f t="shared" si="60"/>
        <v>0</v>
      </c>
      <c r="G893">
        <f t="shared" si="61"/>
        <v>0</v>
      </c>
    </row>
    <row r="894" spans="1:7" hidden="1" x14ac:dyDescent="0.25">
      <c r="A894" s="85" t="s">
        <v>2674</v>
      </c>
      <c r="B894" s="88" t="s">
        <v>2595</v>
      </c>
      <c r="C894" s="26" t="s">
        <v>37</v>
      </c>
      <c r="D894" s="14"/>
      <c r="E894" s="15"/>
      <c r="F894" s="16">
        <f t="shared" si="60"/>
        <v>0</v>
      </c>
      <c r="G894">
        <f t="shared" si="61"/>
        <v>0</v>
      </c>
    </row>
    <row r="895" spans="1:7" hidden="1" x14ac:dyDescent="0.25">
      <c r="A895" s="85" t="s">
        <v>2675</v>
      </c>
      <c r="B895" s="88" t="s">
        <v>2596</v>
      </c>
      <c r="C895" s="26" t="s">
        <v>37</v>
      </c>
      <c r="D895" s="14"/>
      <c r="E895" s="15"/>
      <c r="F895" s="16">
        <f t="shared" si="60"/>
        <v>0</v>
      </c>
      <c r="G895">
        <f t="shared" si="61"/>
        <v>0</v>
      </c>
    </row>
    <row r="896" spans="1:7" hidden="1" x14ac:dyDescent="0.25">
      <c r="A896" s="85" t="s">
        <v>2676</v>
      </c>
      <c r="B896" s="88" t="s">
        <v>2597</v>
      </c>
      <c r="C896" s="26" t="s">
        <v>37</v>
      </c>
      <c r="D896" s="14"/>
      <c r="E896" s="15"/>
      <c r="F896" s="16">
        <f t="shared" si="60"/>
        <v>0</v>
      </c>
      <c r="G896">
        <f t="shared" si="61"/>
        <v>0</v>
      </c>
    </row>
    <row r="897" spans="1:7" hidden="1" x14ac:dyDescent="0.25">
      <c r="A897" s="85" t="s">
        <v>2677</v>
      </c>
      <c r="B897" s="88" t="s">
        <v>2598</v>
      </c>
      <c r="C897" s="26" t="s">
        <v>37</v>
      </c>
      <c r="D897" s="14"/>
      <c r="E897" s="15"/>
      <c r="F897" s="16">
        <f t="shared" si="60"/>
        <v>0</v>
      </c>
      <c r="G897">
        <f t="shared" si="61"/>
        <v>0</v>
      </c>
    </row>
    <row r="898" spans="1:7" hidden="1" x14ac:dyDescent="0.25">
      <c r="A898" s="85" t="s">
        <v>2678</v>
      </c>
      <c r="B898" s="88" t="s">
        <v>2599</v>
      </c>
      <c r="C898" s="26" t="s">
        <v>37</v>
      </c>
      <c r="D898" s="14"/>
      <c r="E898" s="15"/>
      <c r="F898" s="16">
        <f t="shared" si="60"/>
        <v>0</v>
      </c>
      <c r="G898">
        <f t="shared" si="61"/>
        <v>0</v>
      </c>
    </row>
    <row r="899" spans="1:7" hidden="1" x14ac:dyDescent="0.25">
      <c r="A899" s="85" t="s">
        <v>2679</v>
      </c>
      <c r="B899" s="88" t="s">
        <v>2600</v>
      </c>
      <c r="C899" s="26" t="s">
        <v>37</v>
      </c>
      <c r="D899" s="14"/>
      <c r="E899" s="15"/>
      <c r="F899" s="16">
        <f t="shared" si="60"/>
        <v>0</v>
      </c>
      <c r="G899">
        <f t="shared" si="61"/>
        <v>0</v>
      </c>
    </row>
    <row r="900" spans="1:7" hidden="1" x14ac:dyDescent="0.25">
      <c r="A900" s="85" t="s">
        <v>2680</v>
      </c>
      <c r="B900" s="88" t="s">
        <v>2601</v>
      </c>
      <c r="C900" s="26" t="s">
        <v>37</v>
      </c>
      <c r="D900" s="14"/>
      <c r="E900" s="15"/>
      <c r="F900" s="16">
        <f t="shared" si="60"/>
        <v>0</v>
      </c>
      <c r="G900">
        <f t="shared" si="61"/>
        <v>0</v>
      </c>
    </row>
    <row r="901" spans="1:7" hidden="1" x14ac:dyDescent="0.25">
      <c r="A901" s="85" t="s">
        <v>2681</v>
      </c>
      <c r="B901" s="88" t="s">
        <v>2602</v>
      </c>
      <c r="C901" s="26" t="s">
        <v>37</v>
      </c>
      <c r="D901" s="14"/>
      <c r="E901" s="15"/>
      <c r="F901" s="16">
        <f t="shared" si="60"/>
        <v>0</v>
      </c>
      <c r="G901">
        <f t="shared" si="61"/>
        <v>0</v>
      </c>
    </row>
    <row r="902" spans="1:7" hidden="1" x14ac:dyDescent="0.25">
      <c r="A902" s="85" t="s">
        <v>2682</v>
      </c>
      <c r="B902" s="88" t="s">
        <v>2603</v>
      </c>
      <c r="C902" s="26" t="s">
        <v>37</v>
      </c>
      <c r="D902" s="14"/>
      <c r="E902" s="15"/>
      <c r="F902" s="16">
        <f t="shared" si="60"/>
        <v>0</v>
      </c>
      <c r="G902">
        <f t="shared" si="61"/>
        <v>0</v>
      </c>
    </row>
    <row r="903" spans="1:7" hidden="1" x14ac:dyDescent="0.25">
      <c r="A903" s="85" t="s">
        <v>2683</v>
      </c>
      <c r="B903" s="88" t="s">
        <v>2594</v>
      </c>
      <c r="C903" s="26" t="s">
        <v>37</v>
      </c>
      <c r="D903" s="14"/>
      <c r="E903" s="15"/>
      <c r="F903" s="16">
        <f t="shared" si="60"/>
        <v>0</v>
      </c>
      <c r="G903">
        <f t="shared" si="61"/>
        <v>0</v>
      </c>
    </row>
    <row r="904" spans="1:7" hidden="1" x14ac:dyDescent="0.25">
      <c r="A904" s="85" t="s">
        <v>2684</v>
      </c>
      <c r="B904" s="88" t="s">
        <v>2692</v>
      </c>
      <c r="C904" s="26" t="s">
        <v>37</v>
      </c>
      <c r="D904" s="14"/>
      <c r="E904" s="15"/>
      <c r="F904" s="16">
        <f t="shared" si="60"/>
        <v>0</v>
      </c>
      <c r="G904">
        <f t="shared" si="61"/>
        <v>0</v>
      </c>
    </row>
    <row r="905" spans="1:7" hidden="1" x14ac:dyDescent="0.25">
      <c r="A905" s="85" t="s">
        <v>2685</v>
      </c>
      <c r="B905" s="88" t="s">
        <v>2690</v>
      </c>
      <c r="C905" s="26" t="s">
        <v>37</v>
      </c>
      <c r="D905" s="14"/>
      <c r="E905" s="15"/>
      <c r="F905" s="16">
        <f t="shared" si="60"/>
        <v>0</v>
      </c>
      <c r="G905">
        <f t="shared" si="61"/>
        <v>0</v>
      </c>
    </row>
    <row r="906" spans="1:7" hidden="1" x14ac:dyDescent="0.25">
      <c r="A906" s="85" t="s">
        <v>2686</v>
      </c>
      <c r="B906" s="88" t="s">
        <v>2694</v>
      </c>
      <c r="C906" s="26" t="s">
        <v>37</v>
      </c>
      <c r="D906" s="14"/>
      <c r="E906" s="15"/>
      <c r="F906" s="16">
        <f t="shared" si="60"/>
        <v>0</v>
      </c>
      <c r="G906">
        <f t="shared" si="61"/>
        <v>0</v>
      </c>
    </row>
    <row r="907" spans="1:7" hidden="1" x14ac:dyDescent="0.25">
      <c r="A907" s="85" t="s">
        <v>2687</v>
      </c>
      <c r="B907" s="88" t="s">
        <v>2691</v>
      </c>
      <c r="C907" s="26" t="s">
        <v>37</v>
      </c>
      <c r="D907" s="14"/>
      <c r="E907" s="15"/>
      <c r="F907" s="16">
        <f t="shared" si="60"/>
        <v>0</v>
      </c>
      <c r="G907">
        <f t="shared" si="61"/>
        <v>0</v>
      </c>
    </row>
    <row r="908" spans="1:7" hidden="1" x14ac:dyDescent="0.25">
      <c r="A908" s="85" t="s">
        <v>2688</v>
      </c>
      <c r="B908" s="88" t="s">
        <v>2697</v>
      </c>
      <c r="C908" s="26" t="s">
        <v>37</v>
      </c>
      <c r="D908" s="14"/>
      <c r="E908" s="15"/>
      <c r="F908" s="16">
        <f t="shared" ref="F908:F962" si="62">+D908*E908</f>
        <v>0</v>
      </c>
      <c r="G908">
        <f t="shared" si="61"/>
        <v>0</v>
      </c>
    </row>
    <row r="909" spans="1:7" hidden="1" x14ac:dyDescent="0.25">
      <c r="A909" s="85" t="s">
        <v>2689</v>
      </c>
      <c r="B909" s="88" t="s">
        <v>2698</v>
      </c>
      <c r="C909" s="26" t="s">
        <v>37</v>
      </c>
      <c r="D909" s="14"/>
      <c r="E909" s="15"/>
      <c r="F909" s="16">
        <f t="shared" si="62"/>
        <v>0</v>
      </c>
      <c r="G909">
        <f t="shared" si="61"/>
        <v>0</v>
      </c>
    </row>
    <row r="910" spans="1:7" hidden="1" x14ac:dyDescent="0.25">
      <c r="A910" s="85" t="s">
        <v>2700</v>
      </c>
      <c r="B910" s="88" t="s">
        <v>2699</v>
      </c>
      <c r="C910" s="26" t="s">
        <v>37</v>
      </c>
      <c r="D910" s="14"/>
      <c r="E910" s="15"/>
      <c r="F910" s="16">
        <f t="shared" si="62"/>
        <v>0</v>
      </c>
      <c r="G910">
        <f t="shared" si="61"/>
        <v>0</v>
      </c>
    </row>
    <row r="911" spans="1:7" hidden="1" x14ac:dyDescent="0.25">
      <c r="A911" s="85" t="s">
        <v>2701</v>
      </c>
      <c r="B911" s="88" t="s">
        <v>2696</v>
      </c>
      <c r="C911" s="26" t="s">
        <v>37</v>
      </c>
      <c r="D911" s="14"/>
      <c r="E911" s="15"/>
      <c r="F911" s="16">
        <f t="shared" si="62"/>
        <v>0</v>
      </c>
      <c r="G911">
        <f t="shared" si="61"/>
        <v>0</v>
      </c>
    </row>
    <row r="912" spans="1:7" hidden="1" x14ac:dyDescent="0.25">
      <c r="A912" s="85" t="s">
        <v>2702</v>
      </c>
      <c r="B912" s="88" t="s">
        <v>2695</v>
      </c>
      <c r="C912" s="26" t="s">
        <v>37</v>
      </c>
      <c r="D912" s="14"/>
      <c r="E912" s="15"/>
      <c r="F912" s="16">
        <f t="shared" si="62"/>
        <v>0</v>
      </c>
      <c r="G912">
        <f t="shared" si="61"/>
        <v>0</v>
      </c>
    </row>
    <row r="913" spans="1:7" hidden="1" x14ac:dyDescent="0.25">
      <c r="A913" s="85" t="s">
        <v>2703</v>
      </c>
      <c r="B913" s="88" t="s">
        <v>2693</v>
      </c>
      <c r="C913" s="26" t="s">
        <v>37</v>
      </c>
      <c r="D913" s="14"/>
      <c r="E913" s="15"/>
      <c r="F913" s="16">
        <f t="shared" si="62"/>
        <v>0</v>
      </c>
      <c r="G913">
        <f t="shared" si="61"/>
        <v>0</v>
      </c>
    </row>
    <row r="914" spans="1:7" hidden="1" x14ac:dyDescent="0.25">
      <c r="A914" s="85" t="s">
        <v>2734</v>
      </c>
      <c r="B914" s="88" t="s">
        <v>2704</v>
      </c>
      <c r="C914" s="26" t="s">
        <v>37</v>
      </c>
      <c r="D914" s="14"/>
      <c r="E914" s="15"/>
      <c r="F914" s="16">
        <f t="shared" si="62"/>
        <v>0</v>
      </c>
      <c r="G914">
        <f t="shared" si="61"/>
        <v>0</v>
      </c>
    </row>
    <row r="915" spans="1:7" hidden="1" x14ac:dyDescent="0.25">
      <c r="A915" s="85" t="s">
        <v>2735</v>
      </c>
      <c r="B915" s="88" t="s">
        <v>2705</v>
      </c>
      <c r="C915" s="26" t="s">
        <v>37</v>
      </c>
      <c r="D915" s="14"/>
      <c r="E915" s="15"/>
      <c r="F915" s="16">
        <f t="shared" si="62"/>
        <v>0</v>
      </c>
      <c r="G915">
        <f t="shared" si="61"/>
        <v>0</v>
      </c>
    </row>
    <row r="916" spans="1:7" hidden="1" x14ac:dyDescent="0.25">
      <c r="A916" s="85" t="s">
        <v>2736</v>
      </c>
      <c r="B916" s="88" t="s">
        <v>2706</v>
      </c>
      <c r="C916" s="26" t="s">
        <v>37</v>
      </c>
      <c r="D916" s="14"/>
      <c r="E916" s="15"/>
      <c r="F916" s="16">
        <f t="shared" si="62"/>
        <v>0</v>
      </c>
      <c r="G916">
        <f t="shared" si="61"/>
        <v>0</v>
      </c>
    </row>
    <row r="917" spans="1:7" hidden="1" x14ac:dyDescent="0.25">
      <c r="A917" s="85" t="s">
        <v>2737</v>
      </c>
      <c r="B917" s="88" t="s">
        <v>2707</v>
      </c>
      <c r="C917" s="26" t="s">
        <v>37</v>
      </c>
      <c r="D917" s="14"/>
      <c r="E917" s="15"/>
      <c r="F917" s="16">
        <f t="shared" si="62"/>
        <v>0</v>
      </c>
      <c r="G917">
        <f t="shared" si="61"/>
        <v>0</v>
      </c>
    </row>
    <row r="918" spans="1:7" hidden="1" x14ac:dyDescent="0.25">
      <c r="A918" s="85" t="s">
        <v>2738</v>
      </c>
      <c r="B918" s="88" t="s">
        <v>2708</v>
      </c>
      <c r="C918" s="26" t="s">
        <v>37</v>
      </c>
      <c r="D918" s="14"/>
      <c r="E918" s="15"/>
      <c r="F918" s="16">
        <f t="shared" si="62"/>
        <v>0</v>
      </c>
      <c r="G918">
        <f t="shared" si="61"/>
        <v>0</v>
      </c>
    </row>
    <row r="919" spans="1:7" hidden="1" x14ac:dyDescent="0.25">
      <c r="A919" s="85" t="s">
        <v>2739</v>
      </c>
      <c r="B919" s="88" t="s">
        <v>6296</v>
      </c>
      <c r="C919" s="26" t="s">
        <v>37</v>
      </c>
      <c r="D919" s="14"/>
      <c r="E919" s="15">
        <f>+SUM!H917</f>
        <v>5261721</v>
      </c>
      <c r="F919" s="16">
        <f t="shared" si="62"/>
        <v>0</v>
      </c>
      <c r="G919">
        <f t="shared" si="61"/>
        <v>0</v>
      </c>
    </row>
    <row r="920" spans="1:7" hidden="1" x14ac:dyDescent="0.25">
      <c r="A920" s="85" t="s">
        <v>2740</v>
      </c>
      <c r="B920" s="88" t="s">
        <v>6297</v>
      </c>
      <c r="C920" s="26" t="s">
        <v>37</v>
      </c>
      <c r="D920" s="14"/>
      <c r="E920" s="15"/>
      <c r="F920" s="16">
        <f t="shared" si="62"/>
        <v>0</v>
      </c>
      <c r="G920">
        <f t="shared" si="61"/>
        <v>0</v>
      </c>
    </row>
    <row r="921" spans="1:7" hidden="1" x14ac:dyDescent="0.25">
      <c r="A921" s="85" t="s">
        <v>2741</v>
      </c>
      <c r="B921" s="88" t="s">
        <v>2709</v>
      </c>
      <c r="C921" s="26" t="s">
        <v>37</v>
      </c>
      <c r="D921" s="14"/>
      <c r="E921" s="15"/>
      <c r="F921" s="16">
        <f t="shared" si="62"/>
        <v>0</v>
      </c>
      <c r="G921">
        <f t="shared" si="61"/>
        <v>0</v>
      </c>
    </row>
    <row r="922" spans="1:7" hidden="1" x14ac:dyDescent="0.25">
      <c r="A922" s="85" t="s">
        <v>2742</v>
      </c>
      <c r="B922" s="88" t="s">
        <v>2710</v>
      </c>
      <c r="C922" s="26" t="s">
        <v>37</v>
      </c>
      <c r="D922" s="14"/>
      <c r="E922" s="15"/>
      <c r="F922" s="16">
        <f t="shared" si="62"/>
        <v>0</v>
      </c>
      <c r="G922">
        <f t="shared" si="61"/>
        <v>0</v>
      </c>
    </row>
    <row r="923" spans="1:7" hidden="1" x14ac:dyDescent="0.25">
      <c r="A923" s="85" t="s">
        <v>2743</v>
      </c>
      <c r="B923" s="88" t="s">
        <v>2711</v>
      </c>
      <c r="C923" s="26" t="s">
        <v>37</v>
      </c>
      <c r="D923" s="14"/>
      <c r="E923" s="15"/>
      <c r="F923" s="16">
        <f t="shared" si="62"/>
        <v>0</v>
      </c>
      <c r="G923">
        <f t="shared" si="61"/>
        <v>0</v>
      </c>
    </row>
    <row r="924" spans="1:7" hidden="1" x14ac:dyDescent="0.25">
      <c r="A924" s="85" t="s">
        <v>2744</v>
      </c>
      <c r="B924" s="88" t="s">
        <v>2712</v>
      </c>
      <c r="C924" s="26" t="s">
        <v>37</v>
      </c>
      <c r="D924" s="14"/>
      <c r="E924" s="15"/>
      <c r="F924" s="16">
        <f t="shared" si="62"/>
        <v>0</v>
      </c>
      <c r="G924">
        <f t="shared" si="61"/>
        <v>0</v>
      </c>
    </row>
    <row r="925" spans="1:7" hidden="1" x14ac:dyDescent="0.25">
      <c r="A925" s="85" t="s">
        <v>2745</v>
      </c>
      <c r="B925" s="88" t="s">
        <v>2713</v>
      </c>
      <c r="C925" s="26" t="s">
        <v>37</v>
      </c>
      <c r="D925" s="14"/>
      <c r="E925" s="15"/>
      <c r="F925" s="16">
        <f t="shared" si="62"/>
        <v>0</v>
      </c>
      <c r="G925">
        <f t="shared" si="61"/>
        <v>0</v>
      </c>
    </row>
    <row r="926" spans="1:7" hidden="1" x14ac:dyDescent="0.25">
      <c r="A926" s="85" t="s">
        <v>2746</v>
      </c>
      <c r="B926" s="88" t="s">
        <v>2714</v>
      </c>
      <c r="C926" s="26" t="s">
        <v>37</v>
      </c>
      <c r="D926" s="14"/>
      <c r="E926" s="15"/>
      <c r="F926" s="16">
        <f t="shared" si="62"/>
        <v>0</v>
      </c>
      <c r="G926">
        <f t="shared" si="61"/>
        <v>0</v>
      </c>
    </row>
    <row r="927" spans="1:7" hidden="1" x14ac:dyDescent="0.25">
      <c r="A927" s="85" t="s">
        <v>2747</v>
      </c>
      <c r="B927" s="88" t="s">
        <v>2715</v>
      </c>
      <c r="C927" s="26" t="s">
        <v>37</v>
      </c>
      <c r="D927" s="14"/>
      <c r="E927" s="15"/>
      <c r="F927" s="16">
        <f t="shared" si="62"/>
        <v>0</v>
      </c>
      <c r="G927">
        <f t="shared" si="61"/>
        <v>0</v>
      </c>
    </row>
    <row r="928" spans="1:7" hidden="1" x14ac:dyDescent="0.25">
      <c r="A928" s="85" t="s">
        <v>2748</v>
      </c>
      <c r="B928" s="88" t="s">
        <v>2716</v>
      </c>
      <c r="C928" s="26" t="s">
        <v>37</v>
      </c>
      <c r="D928" s="14"/>
      <c r="E928" s="15"/>
      <c r="F928" s="16">
        <f t="shared" si="62"/>
        <v>0</v>
      </c>
      <c r="G928">
        <f t="shared" si="61"/>
        <v>0</v>
      </c>
    </row>
    <row r="929" spans="1:7" hidden="1" x14ac:dyDescent="0.25">
      <c r="A929" s="85" t="s">
        <v>2749</v>
      </c>
      <c r="B929" s="88" t="s">
        <v>2717</v>
      </c>
      <c r="C929" s="26" t="s">
        <v>37</v>
      </c>
      <c r="D929" s="14"/>
      <c r="E929" s="15"/>
      <c r="F929" s="16">
        <f t="shared" si="62"/>
        <v>0</v>
      </c>
      <c r="G929">
        <f t="shared" si="61"/>
        <v>0</v>
      </c>
    </row>
    <row r="930" spans="1:7" hidden="1" x14ac:dyDescent="0.25">
      <c r="A930" s="85" t="s">
        <v>2750</v>
      </c>
      <c r="B930" s="88" t="s">
        <v>2718</v>
      </c>
      <c r="C930" s="26" t="s">
        <v>37</v>
      </c>
      <c r="D930" s="14"/>
      <c r="E930" s="15"/>
      <c r="F930" s="16">
        <f t="shared" si="62"/>
        <v>0</v>
      </c>
      <c r="G930">
        <f t="shared" si="61"/>
        <v>0</v>
      </c>
    </row>
    <row r="931" spans="1:7" hidden="1" x14ac:dyDescent="0.25">
      <c r="A931" s="85" t="s">
        <v>2751</v>
      </c>
      <c r="B931" s="88" t="s">
        <v>2719</v>
      </c>
      <c r="C931" s="26" t="s">
        <v>37</v>
      </c>
      <c r="D931" s="14"/>
      <c r="E931" s="15"/>
      <c r="F931" s="16">
        <f t="shared" si="62"/>
        <v>0</v>
      </c>
      <c r="G931">
        <f t="shared" si="61"/>
        <v>0</v>
      </c>
    </row>
    <row r="932" spans="1:7" hidden="1" x14ac:dyDescent="0.25">
      <c r="A932" s="85" t="s">
        <v>2752</v>
      </c>
      <c r="B932" s="88" t="s">
        <v>2720</v>
      </c>
      <c r="C932" s="26" t="s">
        <v>37</v>
      </c>
      <c r="D932" s="14"/>
      <c r="E932" s="15"/>
      <c r="F932" s="16">
        <f t="shared" si="62"/>
        <v>0</v>
      </c>
      <c r="G932">
        <f t="shared" ref="G932:G995" si="63">+IF(F932&lt;&gt;0,1,0)</f>
        <v>0</v>
      </c>
    </row>
    <row r="933" spans="1:7" hidden="1" x14ac:dyDescent="0.25">
      <c r="A933" s="85" t="s">
        <v>2753</v>
      </c>
      <c r="B933" s="88" t="s">
        <v>2721</v>
      </c>
      <c r="C933" s="26" t="s">
        <v>37</v>
      </c>
      <c r="D933" s="14"/>
      <c r="E933" s="15"/>
      <c r="F933" s="16">
        <f t="shared" si="62"/>
        <v>0</v>
      </c>
      <c r="G933">
        <f t="shared" si="63"/>
        <v>0</v>
      </c>
    </row>
    <row r="934" spans="1:7" hidden="1" x14ac:dyDescent="0.25">
      <c r="A934" s="85" t="s">
        <v>2754</v>
      </c>
      <c r="B934" s="88" t="s">
        <v>2722</v>
      </c>
      <c r="C934" s="26" t="s">
        <v>37</v>
      </c>
      <c r="D934" s="14"/>
      <c r="E934" s="15"/>
      <c r="F934" s="16">
        <f t="shared" si="62"/>
        <v>0</v>
      </c>
      <c r="G934">
        <f t="shared" si="63"/>
        <v>0</v>
      </c>
    </row>
    <row r="935" spans="1:7" hidden="1" x14ac:dyDescent="0.25">
      <c r="A935" s="85" t="s">
        <v>2755</v>
      </c>
      <c r="B935" s="88" t="s">
        <v>2723</v>
      </c>
      <c r="C935" s="26" t="s">
        <v>37</v>
      </c>
      <c r="D935" s="14"/>
      <c r="E935" s="15"/>
      <c r="F935" s="16">
        <f t="shared" si="62"/>
        <v>0</v>
      </c>
      <c r="G935">
        <f t="shared" si="63"/>
        <v>0</v>
      </c>
    </row>
    <row r="936" spans="1:7" hidden="1" x14ac:dyDescent="0.25">
      <c r="A936" s="85" t="s">
        <v>2756</v>
      </c>
      <c r="B936" s="88" t="s">
        <v>2724</v>
      </c>
      <c r="C936" s="26" t="s">
        <v>37</v>
      </c>
      <c r="D936" s="14"/>
      <c r="E936" s="15"/>
      <c r="F936" s="16">
        <f t="shared" si="62"/>
        <v>0</v>
      </c>
      <c r="G936">
        <f t="shared" si="63"/>
        <v>0</v>
      </c>
    </row>
    <row r="937" spans="1:7" hidden="1" x14ac:dyDescent="0.25">
      <c r="A937" s="85" t="s">
        <v>2757</v>
      </c>
      <c r="B937" s="88" t="s">
        <v>2725</v>
      </c>
      <c r="C937" s="26" t="s">
        <v>37</v>
      </c>
      <c r="D937" s="14"/>
      <c r="E937" s="15"/>
      <c r="F937" s="16">
        <f t="shared" si="62"/>
        <v>0</v>
      </c>
      <c r="G937">
        <f t="shared" si="63"/>
        <v>0</v>
      </c>
    </row>
    <row r="938" spans="1:7" hidden="1" x14ac:dyDescent="0.25">
      <c r="A938" s="85" t="s">
        <v>2758</v>
      </c>
      <c r="B938" s="88" t="s">
        <v>2726</v>
      </c>
      <c r="C938" s="26" t="s">
        <v>37</v>
      </c>
      <c r="D938" s="14"/>
      <c r="E938" s="15"/>
      <c r="F938" s="16">
        <f t="shared" si="62"/>
        <v>0</v>
      </c>
      <c r="G938">
        <f t="shared" si="63"/>
        <v>0</v>
      </c>
    </row>
    <row r="939" spans="1:7" hidden="1" x14ac:dyDescent="0.25">
      <c r="A939" s="85" t="s">
        <v>2759</v>
      </c>
      <c r="B939" s="88" t="s">
        <v>2727</v>
      </c>
      <c r="C939" s="26" t="s">
        <v>37</v>
      </c>
      <c r="D939" s="14"/>
      <c r="E939" s="15"/>
      <c r="F939" s="16">
        <f t="shared" si="62"/>
        <v>0</v>
      </c>
      <c r="G939">
        <f t="shared" si="63"/>
        <v>0</v>
      </c>
    </row>
    <row r="940" spans="1:7" hidden="1" x14ac:dyDescent="0.25">
      <c r="A940" s="85" t="s">
        <v>2760</v>
      </c>
      <c r="B940" s="88" t="s">
        <v>2728</v>
      </c>
      <c r="C940" s="26" t="s">
        <v>37</v>
      </c>
      <c r="D940" s="14"/>
      <c r="E940" s="15"/>
      <c r="F940" s="16">
        <f t="shared" si="62"/>
        <v>0</v>
      </c>
      <c r="G940">
        <f t="shared" si="63"/>
        <v>0</v>
      </c>
    </row>
    <row r="941" spans="1:7" hidden="1" x14ac:dyDescent="0.25">
      <c r="A941" s="85" t="s">
        <v>2761</v>
      </c>
      <c r="B941" s="88" t="s">
        <v>2729</v>
      </c>
      <c r="C941" s="26" t="s">
        <v>37</v>
      </c>
      <c r="D941" s="14"/>
      <c r="E941" s="15"/>
      <c r="F941" s="16">
        <f t="shared" si="62"/>
        <v>0</v>
      </c>
      <c r="G941">
        <f t="shared" si="63"/>
        <v>0</v>
      </c>
    </row>
    <row r="942" spans="1:7" hidden="1" x14ac:dyDescent="0.25">
      <c r="A942" s="85" t="s">
        <v>2762</v>
      </c>
      <c r="B942" s="88" t="s">
        <v>2730</v>
      </c>
      <c r="C942" s="26" t="s">
        <v>37</v>
      </c>
      <c r="D942" s="14"/>
      <c r="E942" s="15"/>
      <c r="F942" s="16">
        <f t="shared" si="62"/>
        <v>0</v>
      </c>
      <c r="G942">
        <f t="shared" si="63"/>
        <v>0</v>
      </c>
    </row>
    <row r="943" spans="1:7" hidden="1" x14ac:dyDescent="0.25">
      <c r="A943" s="85" t="s">
        <v>2763</v>
      </c>
      <c r="B943" s="88" t="s">
        <v>2731</v>
      </c>
      <c r="C943" s="26" t="s">
        <v>37</v>
      </c>
      <c r="D943" s="14"/>
      <c r="E943" s="15"/>
      <c r="F943" s="16">
        <f t="shared" si="62"/>
        <v>0</v>
      </c>
      <c r="G943">
        <f t="shared" si="63"/>
        <v>0</v>
      </c>
    </row>
    <row r="944" spans="1:7" hidden="1" x14ac:dyDescent="0.25">
      <c r="A944" s="85" t="s">
        <v>2764</v>
      </c>
      <c r="B944" s="88" t="s">
        <v>2732</v>
      </c>
      <c r="C944" s="26" t="s">
        <v>37</v>
      </c>
      <c r="D944" s="14"/>
      <c r="E944" s="15"/>
      <c r="F944" s="16">
        <f t="shared" si="62"/>
        <v>0</v>
      </c>
      <c r="G944">
        <f t="shared" si="63"/>
        <v>0</v>
      </c>
    </row>
    <row r="945" spans="1:7" hidden="1" x14ac:dyDescent="0.25">
      <c r="A945" s="85" t="s">
        <v>2765</v>
      </c>
      <c r="B945" s="88" t="s">
        <v>2781</v>
      </c>
      <c r="C945" s="26" t="s">
        <v>37</v>
      </c>
      <c r="D945" s="14"/>
      <c r="E945" s="15"/>
      <c r="F945" s="16">
        <f t="shared" si="62"/>
        <v>0</v>
      </c>
      <c r="G945">
        <f t="shared" si="63"/>
        <v>0</v>
      </c>
    </row>
    <row r="946" spans="1:7" hidden="1" x14ac:dyDescent="0.25">
      <c r="A946" s="85" t="s">
        <v>2766</v>
      </c>
      <c r="B946" s="88" t="s">
        <v>2733</v>
      </c>
      <c r="C946" s="26" t="s">
        <v>37</v>
      </c>
      <c r="D946" s="14"/>
      <c r="E946" s="15"/>
      <c r="F946" s="16">
        <f t="shared" si="62"/>
        <v>0</v>
      </c>
      <c r="G946">
        <f t="shared" si="63"/>
        <v>0</v>
      </c>
    </row>
    <row r="947" spans="1:7" hidden="1" x14ac:dyDescent="0.25">
      <c r="A947" s="85" t="s">
        <v>2767</v>
      </c>
      <c r="B947" s="88" t="s">
        <v>2775</v>
      </c>
      <c r="C947" s="26" t="s">
        <v>37</v>
      </c>
      <c r="D947" s="14"/>
      <c r="E947" s="15"/>
      <c r="F947" s="16">
        <f t="shared" si="62"/>
        <v>0</v>
      </c>
      <c r="G947">
        <f t="shared" si="63"/>
        <v>0</v>
      </c>
    </row>
    <row r="948" spans="1:7" hidden="1" x14ac:dyDescent="0.25">
      <c r="A948" s="85" t="s">
        <v>2768</v>
      </c>
      <c r="B948" s="88" t="s">
        <v>2774</v>
      </c>
      <c r="C948" s="26" t="s">
        <v>37</v>
      </c>
      <c r="D948" s="14"/>
      <c r="E948" s="15"/>
      <c r="F948" s="16">
        <f t="shared" si="62"/>
        <v>0</v>
      </c>
      <c r="G948">
        <f t="shared" si="63"/>
        <v>0</v>
      </c>
    </row>
    <row r="949" spans="1:7" hidden="1" x14ac:dyDescent="0.25">
      <c r="A949" s="85" t="s">
        <v>2769</v>
      </c>
      <c r="B949" s="88" t="s">
        <v>2780</v>
      </c>
      <c r="C949" s="26" t="s">
        <v>37</v>
      </c>
      <c r="D949" s="14"/>
      <c r="E949" s="15"/>
      <c r="F949" s="16">
        <f t="shared" si="62"/>
        <v>0</v>
      </c>
      <c r="G949">
        <f t="shared" si="63"/>
        <v>0</v>
      </c>
    </row>
    <row r="950" spans="1:7" hidden="1" x14ac:dyDescent="0.25">
      <c r="A950" s="85" t="s">
        <v>2770</v>
      </c>
      <c r="B950" s="88" t="s">
        <v>2776</v>
      </c>
      <c r="C950" s="26" t="s">
        <v>37</v>
      </c>
      <c r="D950" s="14"/>
      <c r="E950" s="15"/>
      <c r="F950" s="16">
        <f t="shared" si="62"/>
        <v>0</v>
      </c>
      <c r="G950">
        <f t="shared" si="63"/>
        <v>0</v>
      </c>
    </row>
    <row r="951" spans="1:7" hidden="1" x14ac:dyDescent="0.25">
      <c r="A951" s="85" t="s">
        <v>2771</v>
      </c>
      <c r="B951" s="88" t="s">
        <v>2777</v>
      </c>
      <c r="C951" s="26" t="s">
        <v>37</v>
      </c>
      <c r="D951" s="14"/>
      <c r="E951" s="15"/>
      <c r="F951" s="16">
        <f t="shared" si="62"/>
        <v>0</v>
      </c>
      <c r="G951">
        <f t="shared" si="63"/>
        <v>0</v>
      </c>
    </row>
    <row r="952" spans="1:7" hidden="1" x14ac:dyDescent="0.25">
      <c r="A952" s="85" t="s">
        <v>2772</v>
      </c>
      <c r="B952" s="88" t="s">
        <v>2778</v>
      </c>
      <c r="C952" s="26" t="s">
        <v>37</v>
      </c>
      <c r="D952" s="14"/>
      <c r="E952" s="15"/>
      <c r="F952" s="16">
        <f t="shared" si="62"/>
        <v>0</v>
      </c>
      <c r="G952">
        <f t="shared" si="63"/>
        <v>0</v>
      </c>
    </row>
    <row r="953" spans="1:7" hidden="1" x14ac:dyDescent="0.25">
      <c r="A953" s="85" t="s">
        <v>2773</v>
      </c>
      <c r="B953" s="88" t="s">
        <v>2779</v>
      </c>
      <c r="C953" s="26" t="s">
        <v>37</v>
      </c>
      <c r="D953" s="14"/>
      <c r="E953" s="15"/>
      <c r="F953" s="16">
        <f t="shared" si="62"/>
        <v>0</v>
      </c>
      <c r="G953">
        <f t="shared" si="63"/>
        <v>0</v>
      </c>
    </row>
    <row r="954" spans="1:7" hidden="1" x14ac:dyDescent="0.25">
      <c r="A954" s="85" t="s">
        <v>2791</v>
      </c>
      <c r="B954" s="88" t="s">
        <v>2783</v>
      </c>
      <c r="C954" s="26" t="s">
        <v>37</v>
      </c>
      <c r="D954" s="14"/>
      <c r="E954" s="15"/>
      <c r="F954" s="16">
        <f t="shared" si="62"/>
        <v>0</v>
      </c>
      <c r="G954">
        <f t="shared" si="63"/>
        <v>0</v>
      </c>
    </row>
    <row r="955" spans="1:7" hidden="1" x14ac:dyDescent="0.25">
      <c r="A955" s="85" t="s">
        <v>2792</v>
      </c>
      <c r="B955" s="88" t="s">
        <v>2784</v>
      </c>
      <c r="C955" s="26" t="s">
        <v>37</v>
      </c>
      <c r="D955" s="14"/>
      <c r="E955" s="15"/>
      <c r="F955" s="16">
        <f t="shared" si="62"/>
        <v>0</v>
      </c>
      <c r="G955">
        <f t="shared" si="63"/>
        <v>0</v>
      </c>
    </row>
    <row r="956" spans="1:7" hidden="1" x14ac:dyDescent="0.25">
      <c r="A956" s="85" t="s">
        <v>2793</v>
      </c>
      <c r="B956" s="88" t="s">
        <v>2785</v>
      </c>
      <c r="C956" s="26" t="s">
        <v>37</v>
      </c>
      <c r="D956" s="14"/>
      <c r="E956" s="15"/>
      <c r="F956" s="16">
        <f t="shared" si="62"/>
        <v>0</v>
      </c>
      <c r="G956">
        <f t="shared" si="63"/>
        <v>0</v>
      </c>
    </row>
    <row r="957" spans="1:7" hidden="1" x14ac:dyDescent="0.25">
      <c r="A957" s="85" t="s">
        <v>2794</v>
      </c>
      <c r="B957" s="88" t="s">
        <v>2786</v>
      </c>
      <c r="C957" s="26" t="s">
        <v>37</v>
      </c>
      <c r="D957" s="14"/>
      <c r="E957" s="15"/>
      <c r="F957" s="16">
        <f t="shared" si="62"/>
        <v>0</v>
      </c>
      <c r="G957">
        <f t="shared" si="63"/>
        <v>0</v>
      </c>
    </row>
    <row r="958" spans="1:7" hidden="1" x14ac:dyDescent="0.25">
      <c r="A958" s="85" t="s">
        <v>2795</v>
      </c>
      <c r="B958" s="88" t="s">
        <v>2787</v>
      </c>
      <c r="C958" s="26" t="s">
        <v>37</v>
      </c>
      <c r="D958" s="14"/>
      <c r="E958" s="15"/>
      <c r="F958" s="16">
        <f t="shared" si="62"/>
        <v>0</v>
      </c>
      <c r="G958">
        <f t="shared" si="63"/>
        <v>0</v>
      </c>
    </row>
    <row r="959" spans="1:7" hidden="1" x14ac:dyDescent="0.25">
      <c r="A959" s="85" t="s">
        <v>2796</v>
      </c>
      <c r="B959" s="88" t="s">
        <v>2788</v>
      </c>
      <c r="C959" s="26" t="s">
        <v>37</v>
      </c>
      <c r="D959" s="14"/>
      <c r="E959" s="15"/>
      <c r="F959" s="16">
        <f t="shared" si="62"/>
        <v>0</v>
      </c>
      <c r="G959">
        <f t="shared" si="63"/>
        <v>0</v>
      </c>
    </row>
    <row r="960" spans="1:7" hidden="1" x14ac:dyDescent="0.25">
      <c r="A960" s="85" t="s">
        <v>2797</v>
      </c>
      <c r="B960" s="88" t="s">
        <v>2789</v>
      </c>
      <c r="C960" s="26" t="s">
        <v>37</v>
      </c>
      <c r="D960" s="14"/>
      <c r="E960" s="15"/>
      <c r="F960" s="16">
        <f t="shared" si="62"/>
        <v>0</v>
      </c>
      <c r="G960">
        <f t="shared" si="63"/>
        <v>0</v>
      </c>
    </row>
    <row r="961" spans="1:7" hidden="1" x14ac:dyDescent="0.25">
      <c r="A961" s="85" t="s">
        <v>2798</v>
      </c>
      <c r="B961" s="88" t="s">
        <v>2790</v>
      </c>
      <c r="C961" s="26" t="s">
        <v>37</v>
      </c>
      <c r="D961" s="14"/>
      <c r="E961" s="15"/>
      <c r="F961" s="16">
        <f t="shared" si="62"/>
        <v>0</v>
      </c>
      <c r="G961">
        <f t="shared" si="63"/>
        <v>0</v>
      </c>
    </row>
    <row r="962" spans="1:7" hidden="1" x14ac:dyDescent="0.25">
      <c r="A962" s="85" t="s">
        <v>2799</v>
      </c>
      <c r="B962" s="88" t="s">
        <v>2782</v>
      </c>
      <c r="C962" s="26" t="s">
        <v>37</v>
      </c>
      <c r="D962" s="14"/>
      <c r="E962" s="15"/>
      <c r="F962" s="16">
        <f t="shared" si="62"/>
        <v>0</v>
      </c>
      <c r="G962">
        <f t="shared" si="63"/>
        <v>0</v>
      </c>
    </row>
    <row r="963" spans="1:7" x14ac:dyDescent="0.25">
      <c r="A963" s="61" t="s">
        <v>958</v>
      </c>
      <c r="B963" s="62" t="s">
        <v>959</v>
      </c>
      <c r="C963" s="63"/>
      <c r="D963" s="63"/>
      <c r="E963" s="460"/>
      <c r="F963" s="461"/>
      <c r="G963">
        <v>1</v>
      </c>
    </row>
    <row r="964" spans="1:7" hidden="1" x14ac:dyDescent="0.25">
      <c r="A964" s="44" t="s">
        <v>960</v>
      </c>
      <c r="B964" s="80" t="s">
        <v>961</v>
      </c>
      <c r="C964" s="14"/>
      <c r="D964" s="14"/>
      <c r="E964" s="15"/>
      <c r="F964" s="16"/>
      <c r="G964">
        <f t="shared" si="63"/>
        <v>0</v>
      </c>
    </row>
    <row r="965" spans="1:7" hidden="1" x14ac:dyDescent="0.25">
      <c r="A965" s="44" t="s">
        <v>2801</v>
      </c>
      <c r="B965" s="80" t="s">
        <v>2800</v>
      </c>
      <c r="C965" s="14"/>
      <c r="D965" s="14"/>
      <c r="E965" s="15"/>
      <c r="F965" s="16"/>
      <c r="G965">
        <f t="shared" si="63"/>
        <v>0</v>
      </c>
    </row>
    <row r="966" spans="1:7" hidden="1" x14ac:dyDescent="0.25">
      <c r="A966" s="43" t="s">
        <v>2829</v>
      </c>
      <c r="B966" s="81" t="s">
        <v>2802</v>
      </c>
      <c r="C966" s="26" t="s">
        <v>37</v>
      </c>
      <c r="D966" s="14"/>
      <c r="E966" s="15"/>
      <c r="F966" s="16">
        <f t="shared" ref="F966:F1030" si="64">+D966*E966</f>
        <v>0</v>
      </c>
      <c r="G966">
        <f t="shared" si="63"/>
        <v>0</v>
      </c>
    </row>
    <row r="967" spans="1:7" hidden="1" x14ac:dyDescent="0.25">
      <c r="A967" s="43" t="s">
        <v>2830</v>
      </c>
      <c r="B967" s="81" t="s">
        <v>2803</v>
      </c>
      <c r="C967" s="26" t="s">
        <v>37</v>
      </c>
      <c r="D967" s="14"/>
      <c r="E967" s="15"/>
      <c r="F967" s="16">
        <f t="shared" si="64"/>
        <v>0</v>
      </c>
      <c r="G967">
        <f t="shared" si="63"/>
        <v>0</v>
      </c>
    </row>
    <row r="968" spans="1:7" hidden="1" x14ac:dyDescent="0.25">
      <c r="A968" s="43" t="s">
        <v>2831</v>
      </c>
      <c r="B968" s="81" t="s">
        <v>2804</v>
      </c>
      <c r="C968" s="26" t="s">
        <v>37</v>
      </c>
      <c r="D968" s="14"/>
      <c r="E968" s="15"/>
      <c r="F968" s="16">
        <f t="shared" si="64"/>
        <v>0</v>
      </c>
      <c r="G968">
        <f t="shared" si="63"/>
        <v>0</v>
      </c>
    </row>
    <row r="969" spans="1:7" hidden="1" x14ac:dyDescent="0.25">
      <c r="A969" s="43" t="s">
        <v>2832</v>
      </c>
      <c r="B969" s="81" t="s">
        <v>2805</v>
      </c>
      <c r="C969" s="26" t="s">
        <v>37</v>
      </c>
      <c r="D969" s="14"/>
      <c r="E969" s="15"/>
      <c r="F969" s="16">
        <f t="shared" si="64"/>
        <v>0</v>
      </c>
      <c r="G969">
        <f t="shared" si="63"/>
        <v>0</v>
      </c>
    </row>
    <row r="970" spans="1:7" hidden="1" x14ac:dyDescent="0.25">
      <c r="A970" s="43" t="s">
        <v>2833</v>
      </c>
      <c r="B970" s="81" t="s">
        <v>2806</v>
      </c>
      <c r="C970" s="26" t="s">
        <v>37</v>
      </c>
      <c r="D970" s="14"/>
      <c r="E970" s="15"/>
      <c r="F970" s="16">
        <f t="shared" si="64"/>
        <v>0</v>
      </c>
      <c r="G970">
        <f t="shared" si="63"/>
        <v>0</v>
      </c>
    </row>
    <row r="971" spans="1:7" hidden="1" x14ac:dyDescent="0.25">
      <c r="A971" s="43" t="s">
        <v>2834</v>
      </c>
      <c r="B971" s="81" t="s">
        <v>2807</v>
      </c>
      <c r="C971" s="26" t="s">
        <v>37</v>
      </c>
      <c r="D971" s="14"/>
      <c r="E971" s="15"/>
      <c r="F971" s="16">
        <f t="shared" si="64"/>
        <v>0</v>
      </c>
      <c r="G971">
        <f t="shared" si="63"/>
        <v>0</v>
      </c>
    </row>
    <row r="972" spans="1:7" hidden="1" x14ac:dyDescent="0.25">
      <c r="A972" s="43" t="s">
        <v>2835</v>
      </c>
      <c r="B972" s="81" t="s">
        <v>2808</v>
      </c>
      <c r="C972" s="26" t="s">
        <v>37</v>
      </c>
      <c r="D972" s="14"/>
      <c r="E972" s="15"/>
      <c r="F972" s="16">
        <f t="shared" si="64"/>
        <v>0</v>
      </c>
      <c r="G972">
        <f t="shared" si="63"/>
        <v>0</v>
      </c>
    </row>
    <row r="973" spans="1:7" hidden="1" x14ac:dyDescent="0.25">
      <c r="A973" s="43" t="s">
        <v>2836</v>
      </c>
      <c r="B973" s="81" t="s">
        <v>2809</v>
      </c>
      <c r="C973" s="26" t="s">
        <v>37</v>
      </c>
      <c r="D973" s="14"/>
      <c r="E973" s="15"/>
      <c r="F973" s="16">
        <f t="shared" si="64"/>
        <v>0</v>
      </c>
      <c r="G973">
        <f t="shared" si="63"/>
        <v>0</v>
      </c>
    </row>
    <row r="974" spans="1:7" hidden="1" x14ac:dyDescent="0.25">
      <c r="A974" s="43" t="s">
        <v>2837</v>
      </c>
      <c r="B974" s="81" t="s">
        <v>2810</v>
      </c>
      <c r="C974" s="26" t="s">
        <v>37</v>
      </c>
      <c r="D974" s="14"/>
      <c r="E974" s="15"/>
      <c r="F974" s="16">
        <f t="shared" si="64"/>
        <v>0</v>
      </c>
      <c r="G974">
        <f t="shared" si="63"/>
        <v>0</v>
      </c>
    </row>
    <row r="975" spans="1:7" hidden="1" x14ac:dyDescent="0.25">
      <c r="A975" s="43" t="s">
        <v>2838</v>
      </c>
      <c r="B975" s="81" t="s">
        <v>2811</v>
      </c>
      <c r="C975" s="26" t="s">
        <v>37</v>
      </c>
      <c r="D975" s="14"/>
      <c r="E975" s="15"/>
      <c r="F975" s="16">
        <f t="shared" si="64"/>
        <v>0</v>
      </c>
      <c r="G975">
        <f t="shared" si="63"/>
        <v>0</v>
      </c>
    </row>
    <row r="976" spans="1:7" hidden="1" x14ac:dyDescent="0.25">
      <c r="A976" s="43" t="s">
        <v>2839</v>
      </c>
      <c r="B976" s="81" t="s">
        <v>2812</v>
      </c>
      <c r="C976" s="26" t="s">
        <v>37</v>
      </c>
      <c r="D976" s="14"/>
      <c r="E976" s="15"/>
      <c r="F976" s="16">
        <f t="shared" si="64"/>
        <v>0</v>
      </c>
      <c r="G976">
        <f t="shared" si="63"/>
        <v>0</v>
      </c>
    </row>
    <row r="977" spans="1:7" hidden="1" x14ac:dyDescent="0.25">
      <c r="A977" s="43" t="s">
        <v>2840</v>
      </c>
      <c r="B977" s="81" t="s">
        <v>2813</v>
      </c>
      <c r="C977" s="26" t="s">
        <v>37</v>
      </c>
      <c r="D977" s="14"/>
      <c r="E977" s="15"/>
      <c r="F977" s="16">
        <f t="shared" si="64"/>
        <v>0</v>
      </c>
      <c r="G977">
        <f t="shared" si="63"/>
        <v>0</v>
      </c>
    </row>
    <row r="978" spans="1:7" hidden="1" x14ac:dyDescent="0.25">
      <c r="A978" s="43" t="s">
        <v>2841</v>
      </c>
      <c r="B978" s="81" t="s">
        <v>2814</v>
      </c>
      <c r="C978" s="26" t="s">
        <v>37</v>
      </c>
      <c r="D978" s="14"/>
      <c r="E978" s="15"/>
      <c r="F978" s="16">
        <f t="shared" si="64"/>
        <v>0</v>
      </c>
      <c r="G978">
        <f t="shared" si="63"/>
        <v>0</v>
      </c>
    </row>
    <row r="979" spans="1:7" hidden="1" x14ac:dyDescent="0.25">
      <c r="A979" s="43" t="s">
        <v>2842</v>
      </c>
      <c r="B979" s="81" t="s">
        <v>2815</v>
      </c>
      <c r="C979" s="26" t="s">
        <v>37</v>
      </c>
      <c r="D979" s="14"/>
      <c r="E979" s="15"/>
      <c r="F979" s="16">
        <f t="shared" si="64"/>
        <v>0</v>
      </c>
      <c r="G979">
        <f t="shared" si="63"/>
        <v>0</v>
      </c>
    </row>
    <row r="980" spans="1:7" hidden="1" x14ac:dyDescent="0.25">
      <c r="A980" s="43" t="s">
        <v>2843</v>
      </c>
      <c r="B980" s="81" t="s">
        <v>2816</v>
      </c>
      <c r="C980" s="26" t="s">
        <v>37</v>
      </c>
      <c r="D980" s="14"/>
      <c r="E980" s="15"/>
      <c r="F980" s="16">
        <f t="shared" si="64"/>
        <v>0</v>
      </c>
      <c r="G980">
        <f t="shared" si="63"/>
        <v>0</v>
      </c>
    </row>
    <row r="981" spans="1:7" hidden="1" x14ac:dyDescent="0.25">
      <c r="A981" s="43" t="s">
        <v>2844</v>
      </c>
      <c r="B981" s="81" t="s">
        <v>2817</v>
      </c>
      <c r="C981" s="26" t="s">
        <v>37</v>
      </c>
      <c r="D981" s="14"/>
      <c r="E981" s="15"/>
      <c r="F981" s="16">
        <f t="shared" si="64"/>
        <v>0</v>
      </c>
      <c r="G981">
        <f t="shared" si="63"/>
        <v>0</v>
      </c>
    </row>
    <row r="982" spans="1:7" hidden="1" x14ac:dyDescent="0.25">
      <c r="A982" s="43" t="s">
        <v>2845</v>
      </c>
      <c r="B982" s="81" t="s">
        <v>2818</v>
      </c>
      <c r="C982" s="26" t="s">
        <v>37</v>
      </c>
      <c r="D982" s="14"/>
      <c r="E982" s="15"/>
      <c r="F982" s="16">
        <f t="shared" si="64"/>
        <v>0</v>
      </c>
      <c r="G982">
        <f t="shared" si="63"/>
        <v>0</v>
      </c>
    </row>
    <row r="983" spans="1:7" x14ac:dyDescent="0.25">
      <c r="A983" s="43" t="s">
        <v>2846</v>
      </c>
      <c r="B983" s="81" t="s">
        <v>2819</v>
      </c>
      <c r="C983" s="26" t="s">
        <v>37</v>
      </c>
      <c r="D983" s="14">
        <v>21</v>
      </c>
      <c r="E983" s="15">
        <f>+SUM!H982</f>
        <v>1047331</v>
      </c>
      <c r="F983" s="16">
        <f t="shared" si="64"/>
        <v>21993951</v>
      </c>
      <c r="G983">
        <f t="shared" si="63"/>
        <v>1</v>
      </c>
    </row>
    <row r="984" spans="1:7" hidden="1" x14ac:dyDescent="0.25">
      <c r="A984" s="43" t="s">
        <v>2847</v>
      </c>
      <c r="B984" s="81" t="s">
        <v>2820</v>
      </c>
      <c r="C984" s="26" t="s">
        <v>37</v>
      </c>
      <c r="D984" s="14"/>
      <c r="E984" s="15">
        <f>+SUM!H983</f>
        <v>1100934</v>
      </c>
      <c r="F984" s="16">
        <f t="shared" si="64"/>
        <v>0</v>
      </c>
      <c r="G984">
        <f t="shared" si="63"/>
        <v>0</v>
      </c>
    </row>
    <row r="985" spans="1:7" hidden="1" x14ac:dyDescent="0.25">
      <c r="A985" s="43" t="s">
        <v>2848</v>
      </c>
      <c r="B985" s="81" t="s">
        <v>2821</v>
      </c>
      <c r="C985" s="26" t="s">
        <v>37</v>
      </c>
      <c r="D985" s="14"/>
      <c r="E985" s="15">
        <f>+SUM!H984</f>
        <v>1283736</v>
      </c>
      <c r="F985" s="16">
        <f t="shared" si="64"/>
        <v>0</v>
      </c>
      <c r="G985">
        <f t="shared" si="63"/>
        <v>0</v>
      </c>
    </row>
    <row r="986" spans="1:7" hidden="1" x14ac:dyDescent="0.25">
      <c r="A986" s="43" t="s">
        <v>2849</v>
      </c>
      <c r="B986" s="81" t="s">
        <v>2822</v>
      </c>
      <c r="C986" s="26" t="s">
        <v>37</v>
      </c>
      <c r="D986" s="14"/>
      <c r="E986" s="15">
        <f>+SUM!H985</f>
        <v>1417058</v>
      </c>
      <c r="F986" s="16">
        <f t="shared" si="64"/>
        <v>0</v>
      </c>
      <c r="G986">
        <f t="shared" si="63"/>
        <v>0</v>
      </c>
    </row>
    <row r="987" spans="1:7" hidden="1" x14ac:dyDescent="0.25">
      <c r="A987" s="43" t="s">
        <v>2850</v>
      </c>
      <c r="B987" s="81" t="s">
        <v>2823</v>
      </c>
      <c r="C987" s="26" t="s">
        <v>37</v>
      </c>
      <c r="D987" s="14"/>
      <c r="E987" s="15">
        <f>+SUM!H986</f>
        <v>1467913</v>
      </c>
      <c r="F987" s="16">
        <f t="shared" si="64"/>
        <v>0</v>
      </c>
      <c r="G987">
        <f t="shared" si="63"/>
        <v>0</v>
      </c>
    </row>
    <row r="988" spans="1:7" hidden="1" x14ac:dyDescent="0.25">
      <c r="A988" s="43" t="s">
        <v>2851</v>
      </c>
      <c r="B988" s="81" t="s">
        <v>2827</v>
      </c>
      <c r="C988" s="26" t="s">
        <v>37</v>
      </c>
      <c r="D988" s="14"/>
      <c r="E988" s="15">
        <f>+SUM!H987</f>
        <v>1503648</v>
      </c>
      <c r="F988" s="16">
        <f t="shared" si="64"/>
        <v>0</v>
      </c>
      <c r="G988">
        <f t="shared" si="63"/>
        <v>0</v>
      </c>
    </row>
    <row r="989" spans="1:7" hidden="1" x14ac:dyDescent="0.25">
      <c r="A989" s="43" t="s">
        <v>2852</v>
      </c>
      <c r="B989" s="81" t="s">
        <v>2824</v>
      </c>
      <c r="C989" s="26" t="s">
        <v>37</v>
      </c>
      <c r="D989" s="14"/>
      <c r="E989" s="15">
        <f>+SUM!H988</f>
        <v>1833516</v>
      </c>
      <c r="F989" s="16">
        <f t="shared" si="64"/>
        <v>0</v>
      </c>
      <c r="G989">
        <f t="shared" si="63"/>
        <v>0</v>
      </c>
    </row>
    <row r="990" spans="1:7" hidden="1" x14ac:dyDescent="0.25">
      <c r="A990" s="43" t="s">
        <v>2853</v>
      </c>
      <c r="B990" s="81" t="s">
        <v>2825</v>
      </c>
      <c r="C990" s="26" t="s">
        <v>37</v>
      </c>
      <c r="D990" s="14"/>
      <c r="E990" s="15">
        <f>+SUM!H989</f>
        <v>2017693</v>
      </c>
      <c r="F990" s="16">
        <f t="shared" si="64"/>
        <v>0</v>
      </c>
      <c r="G990">
        <f t="shared" si="63"/>
        <v>0</v>
      </c>
    </row>
    <row r="991" spans="1:7" hidden="1" x14ac:dyDescent="0.25">
      <c r="A991" s="43" t="s">
        <v>2854</v>
      </c>
      <c r="B991" s="81" t="s">
        <v>2826</v>
      </c>
      <c r="C991" s="26" t="s">
        <v>37</v>
      </c>
      <c r="D991" s="14"/>
      <c r="E991" s="15">
        <f>+SUM!H990</f>
        <v>2384671</v>
      </c>
      <c r="F991" s="16">
        <f t="shared" si="64"/>
        <v>0</v>
      </c>
      <c r="G991">
        <f t="shared" si="63"/>
        <v>0</v>
      </c>
    </row>
    <row r="992" spans="1:7" hidden="1" x14ac:dyDescent="0.25">
      <c r="A992" s="43" t="s">
        <v>2855</v>
      </c>
      <c r="B992" s="81" t="s">
        <v>2828</v>
      </c>
      <c r="C992" s="26" t="s">
        <v>37</v>
      </c>
      <c r="D992" s="14"/>
      <c r="E992" s="15">
        <f>+SUM!H991</f>
        <v>2751649</v>
      </c>
      <c r="F992" s="16">
        <f t="shared" si="64"/>
        <v>0</v>
      </c>
      <c r="G992">
        <f t="shared" si="63"/>
        <v>0</v>
      </c>
    </row>
    <row r="993" spans="1:7" hidden="1" x14ac:dyDescent="0.25">
      <c r="A993" s="43" t="s">
        <v>2856</v>
      </c>
      <c r="B993" s="81" t="s">
        <v>2871</v>
      </c>
      <c r="C993" s="26" t="s">
        <v>37</v>
      </c>
      <c r="D993" s="14"/>
      <c r="E993" s="15">
        <f>+SUM!H992</f>
        <v>2028688</v>
      </c>
      <c r="F993" s="16">
        <f t="shared" si="64"/>
        <v>0</v>
      </c>
      <c r="G993">
        <f t="shared" si="63"/>
        <v>0</v>
      </c>
    </row>
    <row r="994" spans="1:7" x14ac:dyDescent="0.25">
      <c r="A994" s="43" t="s">
        <v>2857</v>
      </c>
      <c r="B994" s="81" t="s">
        <v>2872</v>
      </c>
      <c r="C994" s="26" t="s">
        <v>37</v>
      </c>
      <c r="D994" s="14">
        <v>54</v>
      </c>
      <c r="E994" s="15">
        <f>+SUM!H993</f>
        <v>2109781</v>
      </c>
      <c r="F994" s="16">
        <f t="shared" si="64"/>
        <v>113928174</v>
      </c>
      <c r="G994">
        <f t="shared" si="63"/>
        <v>1</v>
      </c>
    </row>
    <row r="995" spans="1:7" hidden="1" x14ac:dyDescent="0.25">
      <c r="A995" s="43" t="s">
        <v>2858</v>
      </c>
      <c r="B995" s="81" t="s">
        <v>2873</v>
      </c>
      <c r="C995" s="26" t="s">
        <v>37</v>
      </c>
      <c r="D995" s="14"/>
      <c r="E995" s="15"/>
      <c r="F995" s="16">
        <f t="shared" si="64"/>
        <v>0</v>
      </c>
      <c r="G995">
        <f t="shared" si="63"/>
        <v>0</v>
      </c>
    </row>
    <row r="996" spans="1:7" hidden="1" x14ac:dyDescent="0.25">
      <c r="A996" s="43" t="s">
        <v>2859</v>
      </c>
      <c r="B996" s="81" t="s">
        <v>2874</v>
      </c>
      <c r="C996" s="26" t="s">
        <v>37</v>
      </c>
      <c r="D996" s="14"/>
      <c r="E996" s="15"/>
      <c r="F996" s="16">
        <f t="shared" si="64"/>
        <v>0</v>
      </c>
      <c r="G996">
        <f t="shared" ref="G996:G1059" si="65">+IF(F996&lt;&gt;0,1,0)</f>
        <v>0</v>
      </c>
    </row>
    <row r="997" spans="1:7" hidden="1" x14ac:dyDescent="0.25">
      <c r="A997" s="43" t="s">
        <v>2860</v>
      </c>
      <c r="B997" s="81" t="s">
        <v>2875</v>
      </c>
      <c r="C997" s="26" t="s">
        <v>37</v>
      </c>
      <c r="D997" s="14"/>
      <c r="E997" s="15"/>
      <c r="F997" s="16">
        <f t="shared" si="64"/>
        <v>0</v>
      </c>
      <c r="G997">
        <f t="shared" si="65"/>
        <v>0</v>
      </c>
    </row>
    <row r="998" spans="1:7" hidden="1" x14ac:dyDescent="0.25">
      <c r="A998" s="43" t="s">
        <v>2861</v>
      </c>
      <c r="B998" s="81" t="s">
        <v>2876</v>
      </c>
      <c r="C998" s="26" t="s">
        <v>37</v>
      </c>
      <c r="D998" s="14"/>
      <c r="E998" s="15"/>
      <c r="F998" s="16">
        <f t="shared" si="64"/>
        <v>0</v>
      </c>
      <c r="G998">
        <f t="shared" si="65"/>
        <v>0</v>
      </c>
    </row>
    <row r="999" spans="1:7" hidden="1" x14ac:dyDescent="0.25">
      <c r="A999" s="43" t="s">
        <v>2862</v>
      </c>
      <c r="B999" s="81" t="s">
        <v>2877</v>
      </c>
      <c r="C999" s="26" t="s">
        <v>37</v>
      </c>
      <c r="D999" s="14"/>
      <c r="E999" s="15"/>
      <c r="F999" s="16">
        <f t="shared" si="64"/>
        <v>0</v>
      </c>
      <c r="G999">
        <f t="shared" si="65"/>
        <v>0</v>
      </c>
    </row>
    <row r="1000" spans="1:7" hidden="1" x14ac:dyDescent="0.25">
      <c r="A1000" s="43" t="s">
        <v>2863</v>
      </c>
      <c r="B1000" s="81" t="s">
        <v>2878</v>
      </c>
      <c r="C1000" s="26" t="s">
        <v>37</v>
      </c>
      <c r="D1000" s="14"/>
      <c r="E1000" s="15"/>
      <c r="F1000" s="16">
        <f t="shared" si="64"/>
        <v>0</v>
      </c>
      <c r="G1000">
        <f t="shared" si="65"/>
        <v>0</v>
      </c>
    </row>
    <row r="1001" spans="1:7" hidden="1" x14ac:dyDescent="0.25">
      <c r="A1001" s="43" t="s">
        <v>2864</v>
      </c>
      <c r="B1001" s="81" t="s">
        <v>2879</v>
      </c>
      <c r="C1001" s="26" t="s">
        <v>37</v>
      </c>
      <c r="D1001" s="14"/>
      <c r="E1001" s="15"/>
      <c r="F1001" s="16">
        <f t="shared" si="64"/>
        <v>0</v>
      </c>
      <c r="G1001">
        <f t="shared" si="65"/>
        <v>0</v>
      </c>
    </row>
    <row r="1002" spans="1:7" hidden="1" x14ac:dyDescent="0.25">
      <c r="A1002" s="43" t="s">
        <v>2865</v>
      </c>
      <c r="B1002" s="81" t="s">
        <v>2880</v>
      </c>
      <c r="C1002" s="26" t="s">
        <v>37</v>
      </c>
      <c r="D1002" s="14"/>
      <c r="E1002" s="15"/>
      <c r="F1002" s="16">
        <f t="shared" si="64"/>
        <v>0</v>
      </c>
      <c r="G1002">
        <f t="shared" si="65"/>
        <v>0</v>
      </c>
    </row>
    <row r="1003" spans="1:7" hidden="1" x14ac:dyDescent="0.25">
      <c r="A1003" s="43" t="s">
        <v>2866</v>
      </c>
      <c r="B1003" s="81" t="s">
        <v>2881</v>
      </c>
      <c r="C1003" s="26" t="s">
        <v>37</v>
      </c>
      <c r="D1003" s="14"/>
      <c r="E1003" s="15"/>
      <c r="F1003" s="16">
        <f t="shared" si="64"/>
        <v>0</v>
      </c>
      <c r="G1003">
        <f t="shared" si="65"/>
        <v>0</v>
      </c>
    </row>
    <row r="1004" spans="1:7" hidden="1" x14ac:dyDescent="0.25">
      <c r="A1004" s="43" t="s">
        <v>2867</v>
      </c>
      <c r="B1004" s="81" t="s">
        <v>2882</v>
      </c>
      <c r="C1004" s="26" t="s">
        <v>37</v>
      </c>
      <c r="D1004" s="14"/>
      <c r="E1004" s="15"/>
      <c r="F1004" s="16">
        <f t="shared" si="64"/>
        <v>0</v>
      </c>
      <c r="G1004">
        <f t="shared" si="65"/>
        <v>0</v>
      </c>
    </row>
    <row r="1005" spans="1:7" hidden="1" x14ac:dyDescent="0.25">
      <c r="A1005" s="43" t="s">
        <v>2868</v>
      </c>
      <c r="B1005" s="81" t="s">
        <v>2883</v>
      </c>
      <c r="C1005" s="26" t="s">
        <v>37</v>
      </c>
      <c r="D1005" s="14"/>
      <c r="E1005" s="15"/>
      <c r="F1005" s="16">
        <f t="shared" si="64"/>
        <v>0</v>
      </c>
      <c r="G1005">
        <f t="shared" si="65"/>
        <v>0</v>
      </c>
    </row>
    <row r="1006" spans="1:7" hidden="1" x14ac:dyDescent="0.25">
      <c r="A1006" s="43" t="s">
        <v>2869</v>
      </c>
      <c r="B1006" s="81" t="s">
        <v>2884</v>
      </c>
      <c r="C1006" s="26" t="s">
        <v>37</v>
      </c>
      <c r="D1006" s="14"/>
      <c r="E1006" s="15"/>
      <c r="F1006" s="16">
        <f t="shared" si="64"/>
        <v>0</v>
      </c>
      <c r="G1006">
        <f t="shared" si="65"/>
        <v>0</v>
      </c>
    </row>
    <row r="1007" spans="1:7" hidden="1" x14ac:dyDescent="0.25">
      <c r="A1007" s="43" t="s">
        <v>2870</v>
      </c>
      <c r="B1007" s="81" t="s">
        <v>2896</v>
      </c>
      <c r="C1007" s="26" t="s">
        <v>37</v>
      </c>
      <c r="D1007" s="14"/>
      <c r="E1007" s="15"/>
      <c r="F1007" s="16">
        <f t="shared" si="64"/>
        <v>0</v>
      </c>
      <c r="G1007">
        <f t="shared" si="65"/>
        <v>0</v>
      </c>
    </row>
    <row r="1008" spans="1:7" hidden="1" x14ac:dyDescent="0.25">
      <c r="A1008" s="43" t="s">
        <v>2891</v>
      </c>
      <c r="B1008" s="81" t="s">
        <v>2886</v>
      </c>
      <c r="C1008" s="26" t="s">
        <v>37</v>
      </c>
      <c r="D1008" s="14"/>
      <c r="E1008" s="15"/>
      <c r="F1008" s="16">
        <f t="shared" si="64"/>
        <v>0</v>
      </c>
      <c r="G1008">
        <f t="shared" si="65"/>
        <v>0</v>
      </c>
    </row>
    <row r="1009" spans="1:7" hidden="1" x14ac:dyDescent="0.25">
      <c r="A1009" s="43" t="s">
        <v>2892</v>
      </c>
      <c r="B1009" s="81" t="s">
        <v>2885</v>
      </c>
      <c r="C1009" s="26" t="s">
        <v>37</v>
      </c>
      <c r="D1009" s="14"/>
      <c r="E1009" s="15"/>
      <c r="F1009" s="16">
        <f t="shared" si="64"/>
        <v>0</v>
      </c>
      <c r="G1009">
        <f t="shared" si="65"/>
        <v>0</v>
      </c>
    </row>
    <row r="1010" spans="1:7" hidden="1" x14ac:dyDescent="0.25">
      <c r="A1010" s="43" t="s">
        <v>2893</v>
      </c>
      <c r="B1010" s="81" t="s">
        <v>2887</v>
      </c>
      <c r="C1010" s="26" t="s">
        <v>37</v>
      </c>
      <c r="D1010" s="14"/>
      <c r="E1010" s="15"/>
      <c r="F1010" s="16">
        <f t="shared" si="64"/>
        <v>0</v>
      </c>
      <c r="G1010">
        <f t="shared" si="65"/>
        <v>0</v>
      </c>
    </row>
    <row r="1011" spans="1:7" hidden="1" x14ac:dyDescent="0.25">
      <c r="A1011" s="43" t="s">
        <v>2894</v>
      </c>
      <c r="B1011" s="81" t="s">
        <v>2888</v>
      </c>
      <c r="C1011" s="26" t="s">
        <v>37</v>
      </c>
      <c r="D1011" s="14"/>
      <c r="E1011" s="15"/>
      <c r="F1011" s="16">
        <f t="shared" si="64"/>
        <v>0</v>
      </c>
      <c r="G1011">
        <f t="shared" si="65"/>
        <v>0</v>
      </c>
    </row>
    <row r="1012" spans="1:7" hidden="1" x14ac:dyDescent="0.25">
      <c r="A1012" s="43" t="s">
        <v>2895</v>
      </c>
      <c r="B1012" s="81" t="s">
        <v>2889</v>
      </c>
      <c r="C1012" s="26" t="s">
        <v>37</v>
      </c>
      <c r="D1012" s="14"/>
      <c r="E1012" s="15"/>
      <c r="F1012" s="16">
        <f t="shared" si="64"/>
        <v>0</v>
      </c>
      <c r="G1012">
        <f t="shared" si="65"/>
        <v>0</v>
      </c>
    </row>
    <row r="1013" spans="1:7" hidden="1" x14ac:dyDescent="0.25">
      <c r="A1013" s="43" t="s">
        <v>2897</v>
      </c>
      <c r="B1013" s="81" t="s">
        <v>2890</v>
      </c>
      <c r="C1013" s="26" t="s">
        <v>37</v>
      </c>
      <c r="D1013" s="14"/>
      <c r="E1013" s="15"/>
      <c r="F1013" s="16">
        <f t="shared" si="64"/>
        <v>0</v>
      </c>
      <c r="G1013">
        <f t="shared" si="65"/>
        <v>0</v>
      </c>
    </row>
    <row r="1014" spans="1:7" hidden="1" x14ac:dyDescent="0.25">
      <c r="A1014" s="43" t="s">
        <v>2913</v>
      </c>
      <c r="B1014" s="81" t="s">
        <v>2898</v>
      </c>
      <c r="C1014" s="26" t="s">
        <v>37</v>
      </c>
      <c r="D1014" s="14"/>
      <c r="E1014" s="15"/>
      <c r="F1014" s="16">
        <f t="shared" si="64"/>
        <v>0</v>
      </c>
      <c r="G1014">
        <f t="shared" si="65"/>
        <v>0</v>
      </c>
    </row>
    <row r="1015" spans="1:7" hidden="1" x14ac:dyDescent="0.25">
      <c r="A1015" s="43" t="s">
        <v>2914</v>
      </c>
      <c r="B1015" s="81" t="s">
        <v>2899</v>
      </c>
      <c r="C1015" s="26" t="s">
        <v>37</v>
      </c>
      <c r="D1015" s="14"/>
      <c r="E1015" s="15"/>
      <c r="F1015" s="16">
        <f t="shared" si="64"/>
        <v>0</v>
      </c>
      <c r="G1015">
        <f t="shared" si="65"/>
        <v>0</v>
      </c>
    </row>
    <row r="1016" spans="1:7" hidden="1" x14ac:dyDescent="0.25">
      <c r="A1016" s="43" t="s">
        <v>2915</v>
      </c>
      <c r="B1016" s="81" t="s">
        <v>2900</v>
      </c>
      <c r="C1016" s="26" t="s">
        <v>37</v>
      </c>
      <c r="D1016" s="14"/>
      <c r="E1016" s="15"/>
      <c r="F1016" s="16">
        <f t="shared" si="64"/>
        <v>0</v>
      </c>
      <c r="G1016">
        <f t="shared" si="65"/>
        <v>0</v>
      </c>
    </row>
    <row r="1017" spans="1:7" hidden="1" x14ac:dyDescent="0.25">
      <c r="A1017" s="43" t="s">
        <v>2916</v>
      </c>
      <c r="B1017" s="81" t="s">
        <v>2901</v>
      </c>
      <c r="C1017" s="26" t="s">
        <v>37</v>
      </c>
      <c r="D1017" s="14"/>
      <c r="E1017" s="15"/>
      <c r="F1017" s="16">
        <f t="shared" si="64"/>
        <v>0</v>
      </c>
      <c r="G1017">
        <f t="shared" si="65"/>
        <v>0</v>
      </c>
    </row>
    <row r="1018" spans="1:7" hidden="1" x14ac:dyDescent="0.25">
      <c r="A1018" s="43" t="s">
        <v>2917</v>
      </c>
      <c r="B1018" s="81" t="s">
        <v>2902</v>
      </c>
      <c r="C1018" s="26" t="s">
        <v>37</v>
      </c>
      <c r="D1018" s="14"/>
      <c r="E1018" s="15"/>
      <c r="F1018" s="16">
        <f t="shared" si="64"/>
        <v>0</v>
      </c>
      <c r="G1018">
        <f t="shared" si="65"/>
        <v>0</v>
      </c>
    </row>
    <row r="1019" spans="1:7" hidden="1" x14ac:dyDescent="0.25">
      <c r="A1019" s="43" t="s">
        <v>2918</v>
      </c>
      <c r="B1019" s="81" t="s">
        <v>2903</v>
      </c>
      <c r="C1019" s="26" t="s">
        <v>37</v>
      </c>
      <c r="D1019" s="14"/>
      <c r="E1019" s="15"/>
      <c r="F1019" s="16">
        <f t="shared" si="64"/>
        <v>0</v>
      </c>
      <c r="G1019">
        <f t="shared" si="65"/>
        <v>0</v>
      </c>
    </row>
    <row r="1020" spans="1:7" hidden="1" x14ac:dyDescent="0.25">
      <c r="A1020" s="43" t="s">
        <v>2919</v>
      </c>
      <c r="B1020" s="81" t="s">
        <v>2904</v>
      </c>
      <c r="C1020" s="26" t="s">
        <v>37</v>
      </c>
      <c r="D1020" s="14"/>
      <c r="E1020" s="15"/>
      <c r="F1020" s="16">
        <f t="shared" si="64"/>
        <v>0</v>
      </c>
      <c r="G1020">
        <f t="shared" si="65"/>
        <v>0</v>
      </c>
    </row>
    <row r="1021" spans="1:7" hidden="1" x14ac:dyDescent="0.25">
      <c r="A1021" s="43" t="s">
        <v>2920</v>
      </c>
      <c r="B1021" s="81" t="s">
        <v>2905</v>
      </c>
      <c r="C1021" s="26" t="s">
        <v>37</v>
      </c>
      <c r="D1021" s="14"/>
      <c r="E1021" s="15"/>
      <c r="F1021" s="16">
        <f t="shared" si="64"/>
        <v>0</v>
      </c>
      <c r="G1021">
        <f t="shared" si="65"/>
        <v>0</v>
      </c>
    </row>
    <row r="1022" spans="1:7" hidden="1" x14ac:dyDescent="0.25">
      <c r="A1022" s="43" t="s">
        <v>2921</v>
      </c>
      <c r="B1022" s="81" t="s">
        <v>2906</v>
      </c>
      <c r="C1022" s="26" t="s">
        <v>37</v>
      </c>
      <c r="D1022" s="14"/>
      <c r="E1022" s="15"/>
      <c r="F1022" s="16">
        <f t="shared" si="64"/>
        <v>0</v>
      </c>
      <c r="G1022">
        <f t="shared" si="65"/>
        <v>0</v>
      </c>
    </row>
    <row r="1023" spans="1:7" hidden="1" x14ac:dyDescent="0.25">
      <c r="A1023" s="43" t="s">
        <v>2922</v>
      </c>
      <c r="B1023" s="81" t="s">
        <v>2907</v>
      </c>
      <c r="C1023" s="26" t="s">
        <v>37</v>
      </c>
      <c r="D1023" s="14"/>
      <c r="E1023" s="15"/>
      <c r="F1023" s="16">
        <f t="shared" si="64"/>
        <v>0</v>
      </c>
      <c r="G1023">
        <f t="shared" si="65"/>
        <v>0</v>
      </c>
    </row>
    <row r="1024" spans="1:7" hidden="1" x14ac:dyDescent="0.25">
      <c r="A1024" s="43" t="s">
        <v>2923</v>
      </c>
      <c r="B1024" s="81" t="s">
        <v>2908</v>
      </c>
      <c r="C1024" s="26" t="s">
        <v>37</v>
      </c>
      <c r="D1024" s="14"/>
      <c r="E1024" s="15"/>
      <c r="F1024" s="16">
        <f t="shared" si="64"/>
        <v>0</v>
      </c>
      <c r="G1024">
        <f t="shared" si="65"/>
        <v>0</v>
      </c>
    </row>
    <row r="1025" spans="1:7" hidden="1" x14ac:dyDescent="0.25">
      <c r="A1025" s="43" t="s">
        <v>2924</v>
      </c>
      <c r="B1025" s="81" t="s">
        <v>2909</v>
      </c>
      <c r="C1025" s="26" t="s">
        <v>37</v>
      </c>
      <c r="D1025" s="14"/>
      <c r="E1025" s="15"/>
      <c r="F1025" s="16">
        <f t="shared" si="64"/>
        <v>0</v>
      </c>
      <c r="G1025">
        <f t="shared" si="65"/>
        <v>0</v>
      </c>
    </row>
    <row r="1026" spans="1:7" hidden="1" x14ac:dyDescent="0.25">
      <c r="A1026" s="43" t="s">
        <v>2925</v>
      </c>
      <c r="B1026" s="81" t="s">
        <v>2910</v>
      </c>
      <c r="C1026" s="26" t="s">
        <v>37</v>
      </c>
      <c r="D1026" s="14"/>
      <c r="E1026" s="15"/>
      <c r="F1026" s="16">
        <f t="shared" si="64"/>
        <v>0</v>
      </c>
      <c r="G1026">
        <f t="shared" si="65"/>
        <v>0</v>
      </c>
    </row>
    <row r="1027" spans="1:7" hidden="1" x14ac:dyDescent="0.25">
      <c r="A1027" s="43" t="s">
        <v>2926</v>
      </c>
      <c r="B1027" s="81" t="s">
        <v>2911</v>
      </c>
      <c r="C1027" s="26" t="s">
        <v>37</v>
      </c>
      <c r="D1027" s="14"/>
      <c r="E1027" s="15"/>
      <c r="F1027" s="16">
        <f t="shared" si="64"/>
        <v>0</v>
      </c>
      <c r="G1027">
        <f t="shared" si="65"/>
        <v>0</v>
      </c>
    </row>
    <row r="1028" spans="1:7" hidden="1" x14ac:dyDescent="0.25">
      <c r="A1028" s="43" t="s">
        <v>2927</v>
      </c>
      <c r="B1028" s="81" t="s">
        <v>2912</v>
      </c>
      <c r="C1028" s="26" t="s">
        <v>37</v>
      </c>
      <c r="D1028" s="14"/>
      <c r="E1028" s="15"/>
      <c r="F1028" s="16">
        <f t="shared" si="64"/>
        <v>0</v>
      </c>
      <c r="G1028">
        <f t="shared" si="65"/>
        <v>0</v>
      </c>
    </row>
    <row r="1029" spans="1:7" hidden="1" x14ac:dyDescent="0.25">
      <c r="A1029" s="44" t="s">
        <v>962</v>
      </c>
      <c r="B1029" s="80" t="s">
        <v>2929</v>
      </c>
      <c r="C1029" s="26"/>
      <c r="D1029" s="14"/>
      <c r="E1029" s="15"/>
      <c r="F1029" s="16"/>
      <c r="G1029">
        <f t="shared" si="65"/>
        <v>0</v>
      </c>
    </row>
    <row r="1030" spans="1:7" hidden="1" x14ac:dyDescent="0.25">
      <c r="A1030" s="43" t="s">
        <v>963</v>
      </c>
      <c r="B1030" s="81" t="s">
        <v>2928</v>
      </c>
      <c r="C1030" s="26" t="s">
        <v>37</v>
      </c>
      <c r="D1030" s="14"/>
      <c r="E1030" s="15"/>
      <c r="F1030" s="16">
        <f t="shared" si="64"/>
        <v>0</v>
      </c>
      <c r="G1030">
        <f t="shared" si="65"/>
        <v>0</v>
      </c>
    </row>
    <row r="1031" spans="1:7" hidden="1" x14ac:dyDescent="0.25">
      <c r="A1031" s="43" t="s">
        <v>964</v>
      </c>
      <c r="B1031" s="81" t="s">
        <v>2990</v>
      </c>
      <c r="C1031" s="26" t="s">
        <v>37</v>
      </c>
      <c r="D1031" s="14"/>
      <c r="E1031" s="15"/>
      <c r="F1031" s="16">
        <f t="shared" ref="F1031:F1092" si="66">+D1031*E1031</f>
        <v>0</v>
      </c>
      <c r="G1031">
        <f t="shared" si="65"/>
        <v>0</v>
      </c>
    </row>
    <row r="1032" spans="1:7" hidden="1" x14ac:dyDescent="0.25">
      <c r="A1032" s="43" t="s">
        <v>965</v>
      </c>
      <c r="B1032" s="81" t="s">
        <v>2991</v>
      </c>
      <c r="C1032" s="26" t="s">
        <v>37</v>
      </c>
      <c r="D1032" s="14"/>
      <c r="E1032" s="15"/>
      <c r="F1032" s="16">
        <f t="shared" si="66"/>
        <v>0</v>
      </c>
      <c r="G1032">
        <f t="shared" si="65"/>
        <v>0</v>
      </c>
    </row>
    <row r="1033" spans="1:7" hidden="1" x14ac:dyDescent="0.25">
      <c r="A1033" s="43" t="s">
        <v>2930</v>
      </c>
      <c r="B1033" s="81" t="s">
        <v>2992</v>
      </c>
      <c r="C1033" s="26" t="s">
        <v>37</v>
      </c>
      <c r="D1033" s="14"/>
      <c r="E1033" s="15"/>
      <c r="F1033" s="16">
        <f t="shared" si="66"/>
        <v>0</v>
      </c>
      <c r="G1033">
        <f t="shared" si="65"/>
        <v>0</v>
      </c>
    </row>
    <row r="1034" spans="1:7" hidden="1" x14ac:dyDescent="0.25">
      <c r="A1034" s="43" t="s">
        <v>2931</v>
      </c>
      <c r="B1034" s="81" t="s">
        <v>2993</v>
      </c>
      <c r="C1034" s="26" t="s">
        <v>37</v>
      </c>
      <c r="D1034" s="14"/>
      <c r="E1034" s="15"/>
      <c r="F1034" s="16">
        <f t="shared" si="66"/>
        <v>0</v>
      </c>
      <c r="G1034">
        <f t="shared" si="65"/>
        <v>0</v>
      </c>
    </row>
    <row r="1035" spans="1:7" hidden="1" x14ac:dyDescent="0.25">
      <c r="A1035" s="43" t="s">
        <v>966</v>
      </c>
      <c r="B1035" s="81" t="s">
        <v>2994</v>
      </c>
      <c r="C1035" s="26" t="s">
        <v>37</v>
      </c>
      <c r="D1035" s="14"/>
      <c r="E1035" s="15"/>
      <c r="F1035" s="16">
        <f t="shared" si="66"/>
        <v>0</v>
      </c>
      <c r="G1035">
        <f t="shared" si="65"/>
        <v>0</v>
      </c>
    </row>
    <row r="1036" spans="1:7" hidden="1" x14ac:dyDescent="0.25">
      <c r="A1036" s="43" t="s">
        <v>967</v>
      </c>
      <c r="B1036" s="81" t="s">
        <v>2995</v>
      </c>
      <c r="C1036" s="26" t="s">
        <v>37</v>
      </c>
      <c r="D1036" s="14"/>
      <c r="E1036" s="15"/>
      <c r="F1036" s="16">
        <f t="shared" si="66"/>
        <v>0</v>
      </c>
      <c r="G1036">
        <f t="shared" si="65"/>
        <v>0</v>
      </c>
    </row>
    <row r="1037" spans="1:7" hidden="1" x14ac:dyDescent="0.25">
      <c r="A1037" s="43" t="s">
        <v>2932</v>
      </c>
      <c r="B1037" s="81" t="s">
        <v>2996</v>
      </c>
      <c r="C1037" s="26" t="s">
        <v>37</v>
      </c>
      <c r="D1037" s="14"/>
      <c r="E1037" s="15"/>
      <c r="F1037" s="16">
        <f t="shared" si="66"/>
        <v>0</v>
      </c>
      <c r="G1037">
        <f t="shared" si="65"/>
        <v>0</v>
      </c>
    </row>
    <row r="1038" spans="1:7" hidden="1" x14ac:dyDescent="0.25">
      <c r="A1038" s="43" t="s">
        <v>968</v>
      </c>
      <c r="B1038" s="81" t="s">
        <v>2997</v>
      </c>
      <c r="C1038" s="26" t="s">
        <v>37</v>
      </c>
      <c r="D1038" s="14"/>
      <c r="E1038" s="15"/>
      <c r="F1038" s="16">
        <f t="shared" si="66"/>
        <v>0</v>
      </c>
      <c r="G1038">
        <f t="shared" si="65"/>
        <v>0</v>
      </c>
    </row>
    <row r="1039" spans="1:7" hidden="1" x14ac:dyDescent="0.25">
      <c r="A1039" s="43" t="s">
        <v>969</v>
      </c>
      <c r="B1039" s="81" t="s">
        <v>2998</v>
      </c>
      <c r="C1039" s="26" t="s">
        <v>37</v>
      </c>
      <c r="D1039" s="14"/>
      <c r="E1039" s="15"/>
      <c r="F1039" s="16">
        <f t="shared" si="66"/>
        <v>0</v>
      </c>
      <c r="G1039">
        <f t="shared" si="65"/>
        <v>0</v>
      </c>
    </row>
    <row r="1040" spans="1:7" hidden="1" x14ac:dyDescent="0.25">
      <c r="A1040" s="43" t="s">
        <v>970</v>
      </c>
      <c r="B1040" s="81" t="s">
        <v>2999</v>
      </c>
      <c r="C1040" s="26" t="s">
        <v>37</v>
      </c>
      <c r="D1040" s="14"/>
      <c r="E1040" s="15"/>
      <c r="F1040" s="16">
        <f t="shared" si="66"/>
        <v>0</v>
      </c>
      <c r="G1040">
        <f t="shared" si="65"/>
        <v>0</v>
      </c>
    </row>
    <row r="1041" spans="1:7" hidden="1" x14ac:dyDescent="0.25">
      <c r="A1041" s="43" t="s">
        <v>971</v>
      </c>
      <c r="B1041" s="81" t="s">
        <v>3000</v>
      </c>
      <c r="C1041" s="26" t="s">
        <v>37</v>
      </c>
      <c r="D1041" s="14"/>
      <c r="E1041" s="15"/>
      <c r="F1041" s="16">
        <f t="shared" si="66"/>
        <v>0</v>
      </c>
      <c r="G1041">
        <f t="shared" si="65"/>
        <v>0</v>
      </c>
    </row>
    <row r="1042" spans="1:7" hidden="1" x14ac:dyDescent="0.25">
      <c r="A1042" s="43" t="s">
        <v>2933</v>
      </c>
      <c r="B1042" s="81" t="s">
        <v>3001</v>
      </c>
      <c r="C1042" s="26" t="s">
        <v>37</v>
      </c>
      <c r="D1042" s="14"/>
      <c r="E1042" s="15"/>
      <c r="F1042" s="16">
        <f t="shared" si="66"/>
        <v>0</v>
      </c>
      <c r="G1042">
        <f t="shared" si="65"/>
        <v>0</v>
      </c>
    </row>
    <row r="1043" spans="1:7" hidden="1" x14ac:dyDescent="0.25">
      <c r="A1043" s="43" t="s">
        <v>2934</v>
      </c>
      <c r="B1043" s="81" t="s">
        <v>3002</v>
      </c>
      <c r="C1043" s="26" t="s">
        <v>37</v>
      </c>
      <c r="D1043" s="14"/>
      <c r="E1043" s="15"/>
      <c r="F1043" s="16">
        <f t="shared" si="66"/>
        <v>0</v>
      </c>
      <c r="G1043">
        <f t="shared" si="65"/>
        <v>0</v>
      </c>
    </row>
    <row r="1044" spans="1:7" hidden="1" x14ac:dyDescent="0.25">
      <c r="A1044" s="43" t="s">
        <v>2935</v>
      </c>
      <c r="B1044" s="81" t="s">
        <v>3003</v>
      </c>
      <c r="C1044" s="26" t="s">
        <v>37</v>
      </c>
      <c r="D1044" s="14"/>
      <c r="E1044" s="15"/>
      <c r="F1044" s="16">
        <f t="shared" si="66"/>
        <v>0</v>
      </c>
      <c r="G1044">
        <f t="shared" si="65"/>
        <v>0</v>
      </c>
    </row>
    <row r="1045" spans="1:7" hidden="1" x14ac:dyDescent="0.25">
      <c r="A1045" s="43" t="s">
        <v>2936</v>
      </c>
      <c r="B1045" s="81" t="s">
        <v>3004</v>
      </c>
      <c r="C1045" s="26" t="s">
        <v>37</v>
      </c>
      <c r="D1045" s="14"/>
      <c r="E1045" s="15"/>
      <c r="F1045" s="16">
        <f t="shared" si="66"/>
        <v>0</v>
      </c>
      <c r="G1045">
        <f t="shared" si="65"/>
        <v>0</v>
      </c>
    </row>
    <row r="1046" spans="1:7" hidden="1" x14ac:dyDescent="0.25">
      <c r="A1046" s="43" t="s">
        <v>2937</v>
      </c>
      <c r="B1046" s="81" t="s">
        <v>3005</v>
      </c>
      <c r="C1046" s="26" t="s">
        <v>37</v>
      </c>
      <c r="D1046" s="14"/>
      <c r="E1046" s="15"/>
      <c r="F1046" s="16">
        <f t="shared" si="66"/>
        <v>0</v>
      </c>
      <c r="G1046">
        <f t="shared" si="65"/>
        <v>0</v>
      </c>
    </row>
    <row r="1047" spans="1:7" hidden="1" x14ac:dyDescent="0.25">
      <c r="A1047" s="43" t="s">
        <v>2938</v>
      </c>
      <c r="B1047" s="81" t="s">
        <v>3006</v>
      </c>
      <c r="C1047" s="26" t="s">
        <v>37</v>
      </c>
      <c r="D1047" s="14"/>
      <c r="E1047" s="15"/>
      <c r="F1047" s="16">
        <f t="shared" si="66"/>
        <v>0</v>
      </c>
      <c r="G1047">
        <f t="shared" si="65"/>
        <v>0</v>
      </c>
    </row>
    <row r="1048" spans="1:7" hidden="1" x14ac:dyDescent="0.25">
      <c r="A1048" s="43" t="s">
        <v>2939</v>
      </c>
      <c r="B1048" s="81" t="s">
        <v>3007</v>
      </c>
      <c r="C1048" s="26" t="s">
        <v>37</v>
      </c>
      <c r="D1048" s="14"/>
      <c r="E1048" s="15"/>
      <c r="F1048" s="16">
        <f t="shared" si="66"/>
        <v>0</v>
      </c>
      <c r="G1048">
        <f t="shared" si="65"/>
        <v>0</v>
      </c>
    </row>
    <row r="1049" spans="1:7" hidden="1" x14ac:dyDescent="0.25">
      <c r="A1049" s="43" t="s">
        <v>2940</v>
      </c>
      <c r="B1049" s="81" t="s">
        <v>3008</v>
      </c>
      <c r="C1049" s="26" t="s">
        <v>37</v>
      </c>
      <c r="D1049" s="14"/>
      <c r="E1049" s="15"/>
      <c r="F1049" s="16">
        <f t="shared" si="66"/>
        <v>0</v>
      </c>
      <c r="G1049">
        <f t="shared" si="65"/>
        <v>0</v>
      </c>
    </row>
    <row r="1050" spans="1:7" hidden="1" x14ac:dyDescent="0.25">
      <c r="A1050" s="43" t="s">
        <v>2941</v>
      </c>
      <c r="B1050" s="81" t="s">
        <v>3009</v>
      </c>
      <c r="C1050" s="26" t="s">
        <v>37</v>
      </c>
      <c r="D1050" s="14"/>
      <c r="E1050" s="15"/>
      <c r="F1050" s="16">
        <f t="shared" si="66"/>
        <v>0</v>
      </c>
      <c r="G1050">
        <f t="shared" si="65"/>
        <v>0</v>
      </c>
    </row>
    <row r="1051" spans="1:7" hidden="1" x14ac:dyDescent="0.25">
      <c r="A1051" s="43" t="s">
        <v>2942</v>
      </c>
      <c r="B1051" s="81" t="s">
        <v>3010</v>
      </c>
      <c r="C1051" s="26" t="s">
        <v>37</v>
      </c>
      <c r="D1051" s="14"/>
      <c r="E1051" s="15"/>
      <c r="F1051" s="16">
        <f t="shared" si="66"/>
        <v>0</v>
      </c>
      <c r="G1051">
        <f t="shared" si="65"/>
        <v>0</v>
      </c>
    </row>
    <row r="1052" spans="1:7" hidden="1" x14ac:dyDescent="0.25">
      <c r="A1052" s="43" t="s">
        <v>2943</v>
      </c>
      <c r="B1052" s="81" t="s">
        <v>3011</v>
      </c>
      <c r="C1052" s="26" t="s">
        <v>37</v>
      </c>
      <c r="D1052" s="14"/>
      <c r="E1052" s="15"/>
      <c r="F1052" s="16">
        <f t="shared" si="66"/>
        <v>0</v>
      </c>
      <c r="G1052">
        <f t="shared" si="65"/>
        <v>0</v>
      </c>
    </row>
    <row r="1053" spans="1:7" hidden="1" x14ac:dyDescent="0.25">
      <c r="A1053" s="43" t="s">
        <v>2944</v>
      </c>
      <c r="B1053" s="81" t="s">
        <v>3012</v>
      </c>
      <c r="C1053" s="26" t="s">
        <v>37</v>
      </c>
      <c r="D1053" s="14"/>
      <c r="E1053" s="15"/>
      <c r="F1053" s="16">
        <f t="shared" si="66"/>
        <v>0</v>
      </c>
      <c r="G1053">
        <f t="shared" si="65"/>
        <v>0</v>
      </c>
    </row>
    <row r="1054" spans="1:7" hidden="1" x14ac:dyDescent="0.25">
      <c r="A1054" s="43" t="s">
        <v>2945</v>
      </c>
      <c r="B1054" s="81" t="s">
        <v>3013</v>
      </c>
      <c r="C1054" s="26" t="s">
        <v>37</v>
      </c>
      <c r="D1054" s="14"/>
      <c r="E1054" s="15"/>
      <c r="F1054" s="16">
        <f t="shared" si="66"/>
        <v>0</v>
      </c>
      <c r="G1054">
        <f t="shared" si="65"/>
        <v>0</v>
      </c>
    </row>
    <row r="1055" spans="1:7" hidden="1" x14ac:dyDescent="0.25">
      <c r="A1055" s="43" t="s">
        <v>972</v>
      </c>
      <c r="B1055" s="81" t="s">
        <v>3014</v>
      </c>
      <c r="C1055" s="26" t="s">
        <v>37</v>
      </c>
      <c r="D1055" s="14"/>
      <c r="E1055" s="15"/>
      <c r="F1055" s="16">
        <f t="shared" si="66"/>
        <v>0</v>
      </c>
      <c r="G1055">
        <f t="shared" si="65"/>
        <v>0</v>
      </c>
    </row>
    <row r="1056" spans="1:7" hidden="1" x14ac:dyDescent="0.25">
      <c r="A1056" s="43" t="s">
        <v>973</v>
      </c>
      <c r="B1056" s="81" t="s">
        <v>3015</v>
      </c>
      <c r="C1056" s="26" t="s">
        <v>37</v>
      </c>
      <c r="D1056" s="14"/>
      <c r="E1056" s="15"/>
      <c r="F1056" s="16">
        <f t="shared" si="66"/>
        <v>0</v>
      </c>
      <c r="G1056">
        <f t="shared" si="65"/>
        <v>0</v>
      </c>
    </row>
    <row r="1057" spans="1:7" hidden="1" x14ac:dyDescent="0.25">
      <c r="A1057" s="43" t="s">
        <v>2946</v>
      </c>
      <c r="B1057" s="81" t="s">
        <v>2989</v>
      </c>
      <c r="C1057" s="26" t="s">
        <v>37</v>
      </c>
      <c r="D1057" s="14"/>
      <c r="E1057" s="15"/>
      <c r="F1057" s="16">
        <f t="shared" si="66"/>
        <v>0</v>
      </c>
      <c r="G1057">
        <f t="shared" si="65"/>
        <v>0</v>
      </c>
    </row>
    <row r="1058" spans="1:7" hidden="1" x14ac:dyDescent="0.25">
      <c r="A1058" s="43" t="s">
        <v>2947</v>
      </c>
      <c r="B1058" s="81" t="s">
        <v>2987</v>
      </c>
      <c r="C1058" s="26" t="s">
        <v>37</v>
      </c>
      <c r="D1058" s="14"/>
      <c r="E1058" s="15"/>
      <c r="F1058" s="16">
        <f t="shared" si="66"/>
        <v>0</v>
      </c>
      <c r="G1058">
        <f t="shared" si="65"/>
        <v>0</v>
      </c>
    </row>
    <row r="1059" spans="1:7" hidden="1" x14ac:dyDescent="0.25">
      <c r="A1059" s="43" t="s">
        <v>2948</v>
      </c>
      <c r="B1059" s="81" t="s">
        <v>2988</v>
      </c>
      <c r="C1059" s="26" t="s">
        <v>37</v>
      </c>
      <c r="D1059" s="14"/>
      <c r="E1059" s="15"/>
      <c r="F1059" s="16">
        <f t="shared" si="66"/>
        <v>0</v>
      </c>
      <c r="G1059">
        <f t="shared" si="65"/>
        <v>0</v>
      </c>
    </row>
    <row r="1060" spans="1:7" hidden="1" x14ac:dyDescent="0.25">
      <c r="A1060" s="43" t="s">
        <v>2949</v>
      </c>
      <c r="B1060" s="81" t="s">
        <v>3016</v>
      </c>
      <c r="C1060" s="26" t="s">
        <v>37</v>
      </c>
      <c r="D1060" s="14"/>
      <c r="E1060" s="15"/>
      <c r="F1060" s="16">
        <f t="shared" si="66"/>
        <v>0</v>
      </c>
      <c r="G1060">
        <f t="shared" ref="G1060:G1123" si="67">+IF(F1060&lt;&gt;0,1,0)</f>
        <v>0</v>
      </c>
    </row>
    <row r="1061" spans="1:7" hidden="1" x14ac:dyDescent="0.25">
      <c r="A1061" s="43" t="s">
        <v>2950</v>
      </c>
      <c r="B1061" s="81" t="s">
        <v>3017</v>
      </c>
      <c r="C1061" s="26" t="s">
        <v>37</v>
      </c>
      <c r="D1061" s="14"/>
      <c r="E1061" s="15"/>
      <c r="F1061" s="16">
        <f t="shared" si="66"/>
        <v>0</v>
      </c>
      <c r="G1061">
        <f t="shared" si="67"/>
        <v>0</v>
      </c>
    </row>
    <row r="1062" spans="1:7" hidden="1" x14ac:dyDescent="0.25">
      <c r="A1062" s="43" t="s">
        <v>2951</v>
      </c>
      <c r="B1062" s="81" t="s">
        <v>3018</v>
      </c>
      <c r="C1062" s="26" t="s">
        <v>37</v>
      </c>
      <c r="D1062" s="14"/>
      <c r="E1062" s="15"/>
      <c r="F1062" s="16">
        <f t="shared" si="66"/>
        <v>0</v>
      </c>
      <c r="G1062">
        <f t="shared" si="67"/>
        <v>0</v>
      </c>
    </row>
    <row r="1063" spans="1:7" hidden="1" x14ac:dyDescent="0.25">
      <c r="A1063" s="43" t="s">
        <v>2952</v>
      </c>
      <c r="B1063" s="81" t="s">
        <v>3019</v>
      </c>
      <c r="C1063" s="26" t="s">
        <v>37</v>
      </c>
      <c r="D1063" s="14"/>
      <c r="E1063" s="15"/>
      <c r="F1063" s="16">
        <f t="shared" si="66"/>
        <v>0</v>
      </c>
      <c r="G1063">
        <f t="shared" si="67"/>
        <v>0</v>
      </c>
    </row>
    <row r="1064" spans="1:7" hidden="1" x14ac:dyDescent="0.25">
      <c r="A1064" s="43" t="s">
        <v>2953</v>
      </c>
      <c r="B1064" s="81" t="s">
        <v>3020</v>
      </c>
      <c r="C1064" s="26" t="s">
        <v>37</v>
      </c>
      <c r="D1064" s="14"/>
      <c r="E1064" s="15"/>
      <c r="F1064" s="16">
        <f t="shared" si="66"/>
        <v>0</v>
      </c>
      <c r="G1064">
        <f t="shared" si="67"/>
        <v>0</v>
      </c>
    </row>
    <row r="1065" spans="1:7" hidden="1" x14ac:dyDescent="0.25">
      <c r="A1065" s="43" t="s">
        <v>2954</v>
      </c>
      <c r="B1065" s="81" t="s">
        <v>3021</v>
      </c>
      <c r="C1065" s="26" t="s">
        <v>37</v>
      </c>
      <c r="D1065" s="14"/>
      <c r="E1065" s="15"/>
      <c r="F1065" s="16">
        <f t="shared" si="66"/>
        <v>0</v>
      </c>
      <c r="G1065">
        <f t="shared" si="67"/>
        <v>0</v>
      </c>
    </row>
    <row r="1066" spans="1:7" hidden="1" x14ac:dyDescent="0.25">
      <c r="A1066" s="43" t="s">
        <v>2955</v>
      </c>
      <c r="B1066" s="81" t="s">
        <v>3022</v>
      </c>
      <c r="C1066" s="26" t="s">
        <v>37</v>
      </c>
      <c r="D1066" s="14"/>
      <c r="E1066" s="15"/>
      <c r="F1066" s="16">
        <f t="shared" si="66"/>
        <v>0</v>
      </c>
      <c r="G1066">
        <f t="shared" si="67"/>
        <v>0</v>
      </c>
    </row>
    <row r="1067" spans="1:7" hidden="1" x14ac:dyDescent="0.25">
      <c r="A1067" s="43" t="s">
        <v>2956</v>
      </c>
      <c r="B1067" s="81" t="s">
        <v>3023</v>
      </c>
      <c r="C1067" s="26" t="s">
        <v>37</v>
      </c>
      <c r="D1067" s="14"/>
      <c r="E1067" s="15"/>
      <c r="F1067" s="16">
        <f t="shared" si="66"/>
        <v>0</v>
      </c>
      <c r="G1067">
        <f t="shared" si="67"/>
        <v>0</v>
      </c>
    </row>
    <row r="1068" spans="1:7" hidden="1" x14ac:dyDescent="0.25">
      <c r="A1068" s="43" t="s">
        <v>2957</v>
      </c>
      <c r="B1068" s="81" t="s">
        <v>3024</v>
      </c>
      <c r="C1068" s="26" t="s">
        <v>37</v>
      </c>
      <c r="D1068" s="14"/>
      <c r="E1068" s="15"/>
      <c r="F1068" s="16">
        <f t="shared" si="66"/>
        <v>0</v>
      </c>
      <c r="G1068">
        <f t="shared" si="67"/>
        <v>0</v>
      </c>
    </row>
    <row r="1069" spans="1:7" hidden="1" x14ac:dyDescent="0.25">
      <c r="A1069" s="43" t="s">
        <v>2958</v>
      </c>
      <c r="B1069" s="81" t="s">
        <v>3025</v>
      </c>
      <c r="C1069" s="26" t="s">
        <v>37</v>
      </c>
      <c r="D1069" s="14"/>
      <c r="E1069" s="15"/>
      <c r="F1069" s="16">
        <f t="shared" si="66"/>
        <v>0</v>
      </c>
      <c r="G1069">
        <f t="shared" si="67"/>
        <v>0</v>
      </c>
    </row>
    <row r="1070" spans="1:7" hidden="1" x14ac:dyDescent="0.25">
      <c r="A1070" s="43" t="s">
        <v>2959</v>
      </c>
      <c r="B1070" s="81" t="s">
        <v>3026</v>
      </c>
      <c r="C1070" s="26" t="s">
        <v>37</v>
      </c>
      <c r="D1070" s="14"/>
      <c r="E1070" s="15"/>
      <c r="F1070" s="16">
        <f t="shared" si="66"/>
        <v>0</v>
      </c>
      <c r="G1070">
        <f t="shared" si="67"/>
        <v>0</v>
      </c>
    </row>
    <row r="1071" spans="1:7" hidden="1" x14ac:dyDescent="0.25">
      <c r="A1071" s="43" t="s">
        <v>2960</v>
      </c>
      <c r="B1071" s="81" t="s">
        <v>3027</v>
      </c>
      <c r="C1071" s="26" t="s">
        <v>37</v>
      </c>
      <c r="D1071" s="14"/>
      <c r="E1071" s="15"/>
      <c r="F1071" s="16">
        <f t="shared" si="66"/>
        <v>0</v>
      </c>
      <c r="G1071">
        <f t="shared" si="67"/>
        <v>0</v>
      </c>
    </row>
    <row r="1072" spans="1:7" hidden="1" x14ac:dyDescent="0.25">
      <c r="A1072" s="43" t="s">
        <v>2961</v>
      </c>
      <c r="B1072" s="81" t="s">
        <v>3028</v>
      </c>
      <c r="C1072" s="26" t="s">
        <v>37</v>
      </c>
      <c r="D1072" s="14"/>
      <c r="E1072" s="15"/>
      <c r="F1072" s="16">
        <f t="shared" si="66"/>
        <v>0</v>
      </c>
      <c r="G1072">
        <f t="shared" si="67"/>
        <v>0</v>
      </c>
    </row>
    <row r="1073" spans="1:7" hidden="1" x14ac:dyDescent="0.25">
      <c r="A1073" s="43" t="s">
        <v>2962</v>
      </c>
      <c r="B1073" s="81" t="s">
        <v>3029</v>
      </c>
      <c r="C1073" s="26" t="s">
        <v>37</v>
      </c>
      <c r="D1073" s="14"/>
      <c r="E1073" s="15"/>
      <c r="F1073" s="16">
        <f t="shared" si="66"/>
        <v>0</v>
      </c>
      <c r="G1073">
        <f t="shared" si="67"/>
        <v>0</v>
      </c>
    </row>
    <row r="1074" spans="1:7" hidden="1" x14ac:dyDescent="0.25">
      <c r="A1074" s="43" t="s">
        <v>2963</v>
      </c>
      <c r="B1074" s="81" t="s">
        <v>3030</v>
      </c>
      <c r="C1074" s="26" t="s">
        <v>37</v>
      </c>
      <c r="D1074" s="14"/>
      <c r="E1074" s="15"/>
      <c r="F1074" s="16">
        <f t="shared" si="66"/>
        <v>0</v>
      </c>
      <c r="G1074">
        <f t="shared" si="67"/>
        <v>0</v>
      </c>
    </row>
    <row r="1075" spans="1:7" hidden="1" x14ac:dyDescent="0.25">
      <c r="A1075" s="43" t="s">
        <v>2964</v>
      </c>
      <c r="B1075" s="81" t="s">
        <v>3031</v>
      </c>
      <c r="C1075" s="26" t="s">
        <v>37</v>
      </c>
      <c r="D1075" s="14"/>
      <c r="E1075" s="15"/>
      <c r="F1075" s="16">
        <f t="shared" si="66"/>
        <v>0</v>
      </c>
      <c r="G1075">
        <f t="shared" si="67"/>
        <v>0</v>
      </c>
    </row>
    <row r="1076" spans="1:7" hidden="1" x14ac:dyDescent="0.25">
      <c r="A1076" s="43" t="s">
        <v>2965</v>
      </c>
      <c r="B1076" s="81" t="s">
        <v>3032</v>
      </c>
      <c r="C1076" s="26" t="s">
        <v>37</v>
      </c>
      <c r="D1076" s="14"/>
      <c r="E1076" s="15"/>
      <c r="F1076" s="16">
        <f t="shared" si="66"/>
        <v>0</v>
      </c>
      <c r="G1076">
        <f t="shared" si="67"/>
        <v>0</v>
      </c>
    </row>
    <row r="1077" spans="1:7" hidden="1" x14ac:dyDescent="0.25">
      <c r="A1077" s="43" t="s">
        <v>2966</v>
      </c>
      <c r="B1077" s="81" t="s">
        <v>3033</v>
      </c>
      <c r="C1077" s="26" t="s">
        <v>37</v>
      </c>
      <c r="D1077" s="14"/>
      <c r="E1077" s="15"/>
      <c r="F1077" s="16">
        <f t="shared" si="66"/>
        <v>0</v>
      </c>
      <c r="G1077">
        <f t="shared" si="67"/>
        <v>0</v>
      </c>
    </row>
    <row r="1078" spans="1:7" hidden="1" x14ac:dyDescent="0.25">
      <c r="A1078" s="43" t="s">
        <v>2967</v>
      </c>
      <c r="B1078" s="81" t="s">
        <v>3034</v>
      </c>
      <c r="C1078" s="26" t="s">
        <v>37</v>
      </c>
      <c r="D1078" s="14"/>
      <c r="E1078" s="15"/>
      <c r="F1078" s="16">
        <f t="shared" si="66"/>
        <v>0</v>
      </c>
      <c r="G1078">
        <f t="shared" si="67"/>
        <v>0</v>
      </c>
    </row>
    <row r="1079" spans="1:7" hidden="1" x14ac:dyDescent="0.25">
      <c r="A1079" s="43" t="s">
        <v>2968</v>
      </c>
      <c r="B1079" s="81" t="s">
        <v>3035</v>
      </c>
      <c r="C1079" s="26" t="s">
        <v>37</v>
      </c>
      <c r="D1079" s="14"/>
      <c r="E1079" s="15"/>
      <c r="F1079" s="16">
        <f t="shared" si="66"/>
        <v>0</v>
      </c>
      <c r="G1079">
        <f t="shared" si="67"/>
        <v>0</v>
      </c>
    </row>
    <row r="1080" spans="1:7" hidden="1" x14ac:dyDescent="0.25">
      <c r="A1080" s="43" t="s">
        <v>2969</v>
      </c>
      <c r="B1080" s="81" t="s">
        <v>3036</v>
      </c>
      <c r="C1080" s="26" t="s">
        <v>37</v>
      </c>
      <c r="D1080" s="14"/>
      <c r="E1080" s="15"/>
      <c r="F1080" s="16">
        <f t="shared" si="66"/>
        <v>0</v>
      </c>
      <c r="G1080">
        <f t="shared" si="67"/>
        <v>0</v>
      </c>
    </row>
    <row r="1081" spans="1:7" hidden="1" x14ac:dyDescent="0.25">
      <c r="A1081" s="43" t="s">
        <v>2970</v>
      </c>
      <c r="B1081" s="81" t="s">
        <v>3037</v>
      </c>
      <c r="C1081" s="26" t="s">
        <v>37</v>
      </c>
      <c r="D1081" s="14"/>
      <c r="E1081" s="15"/>
      <c r="F1081" s="16">
        <f t="shared" si="66"/>
        <v>0</v>
      </c>
      <c r="G1081">
        <f t="shared" si="67"/>
        <v>0</v>
      </c>
    </row>
    <row r="1082" spans="1:7" hidden="1" x14ac:dyDescent="0.25">
      <c r="A1082" s="43" t="s">
        <v>2971</v>
      </c>
      <c r="B1082" s="81" t="s">
        <v>3038</v>
      </c>
      <c r="C1082" s="26" t="s">
        <v>37</v>
      </c>
      <c r="D1082" s="14"/>
      <c r="E1082" s="15"/>
      <c r="F1082" s="16">
        <f t="shared" si="66"/>
        <v>0</v>
      </c>
      <c r="G1082">
        <f t="shared" si="67"/>
        <v>0</v>
      </c>
    </row>
    <row r="1083" spans="1:7" hidden="1" x14ac:dyDescent="0.25">
      <c r="A1083" s="43" t="s">
        <v>2972</v>
      </c>
      <c r="B1083" s="81" t="s">
        <v>3039</v>
      </c>
      <c r="C1083" s="26" t="s">
        <v>37</v>
      </c>
      <c r="D1083" s="14"/>
      <c r="E1083" s="15"/>
      <c r="F1083" s="16">
        <f t="shared" si="66"/>
        <v>0</v>
      </c>
      <c r="G1083">
        <f t="shared" si="67"/>
        <v>0</v>
      </c>
    </row>
    <row r="1084" spans="1:7" hidden="1" x14ac:dyDescent="0.25">
      <c r="A1084" s="43" t="s">
        <v>2973</v>
      </c>
      <c r="B1084" s="81" t="s">
        <v>3040</v>
      </c>
      <c r="C1084" s="26" t="s">
        <v>37</v>
      </c>
      <c r="D1084" s="14"/>
      <c r="E1084" s="15"/>
      <c r="F1084" s="16">
        <f t="shared" si="66"/>
        <v>0</v>
      </c>
      <c r="G1084">
        <f t="shared" si="67"/>
        <v>0</v>
      </c>
    </row>
    <row r="1085" spans="1:7" hidden="1" x14ac:dyDescent="0.25">
      <c r="A1085" s="43" t="s">
        <v>2974</v>
      </c>
      <c r="B1085" s="81" t="s">
        <v>3041</v>
      </c>
      <c r="C1085" s="26" t="s">
        <v>37</v>
      </c>
      <c r="D1085" s="14"/>
      <c r="E1085" s="15"/>
      <c r="F1085" s="16">
        <f t="shared" si="66"/>
        <v>0</v>
      </c>
      <c r="G1085">
        <f t="shared" si="67"/>
        <v>0</v>
      </c>
    </row>
    <row r="1086" spans="1:7" hidden="1" x14ac:dyDescent="0.25">
      <c r="A1086" s="43" t="s">
        <v>2975</v>
      </c>
      <c r="B1086" s="81" t="s">
        <v>3042</v>
      </c>
      <c r="C1086" s="26" t="s">
        <v>37</v>
      </c>
      <c r="D1086" s="14"/>
      <c r="E1086" s="15"/>
      <c r="F1086" s="16">
        <f t="shared" si="66"/>
        <v>0</v>
      </c>
      <c r="G1086">
        <f t="shared" si="67"/>
        <v>0</v>
      </c>
    </row>
    <row r="1087" spans="1:7" hidden="1" x14ac:dyDescent="0.25">
      <c r="A1087" s="43" t="s">
        <v>2976</v>
      </c>
      <c r="B1087" s="81" t="s">
        <v>3044</v>
      </c>
      <c r="C1087" s="26" t="s">
        <v>37</v>
      </c>
      <c r="D1087" s="14"/>
      <c r="E1087" s="15"/>
      <c r="F1087" s="16">
        <f t="shared" si="66"/>
        <v>0</v>
      </c>
      <c r="G1087">
        <f t="shared" si="67"/>
        <v>0</v>
      </c>
    </row>
    <row r="1088" spans="1:7" hidden="1" x14ac:dyDescent="0.25">
      <c r="A1088" s="43" t="s">
        <v>2977</v>
      </c>
      <c r="B1088" s="81" t="s">
        <v>3045</v>
      </c>
      <c r="C1088" s="26" t="s">
        <v>37</v>
      </c>
      <c r="D1088" s="14"/>
      <c r="E1088" s="15"/>
      <c r="F1088" s="16">
        <f t="shared" si="66"/>
        <v>0</v>
      </c>
      <c r="G1088">
        <f t="shared" si="67"/>
        <v>0</v>
      </c>
    </row>
    <row r="1089" spans="1:7" hidden="1" x14ac:dyDescent="0.25">
      <c r="A1089" s="43" t="s">
        <v>2978</v>
      </c>
      <c r="B1089" s="81" t="s">
        <v>3046</v>
      </c>
      <c r="C1089" s="26" t="s">
        <v>37</v>
      </c>
      <c r="D1089" s="14"/>
      <c r="E1089" s="15"/>
      <c r="F1089" s="16">
        <f t="shared" si="66"/>
        <v>0</v>
      </c>
      <c r="G1089">
        <f t="shared" si="67"/>
        <v>0</v>
      </c>
    </row>
    <row r="1090" spans="1:7" hidden="1" x14ac:dyDescent="0.25">
      <c r="A1090" s="43" t="s">
        <v>2979</v>
      </c>
      <c r="B1090" s="81" t="s">
        <v>3047</v>
      </c>
      <c r="C1090" s="26" t="s">
        <v>37</v>
      </c>
      <c r="D1090" s="14"/>
      <c r="E1090" s="15"/>
      <c r="F1090" s="16">
        <f t="shared" si="66"/>
        <v>0</v>
      </c>
      <c r="G1090">
        <f t="shared" si="67"/>
        <v>0</v>
      </c>
    </row>
    <row r="1091" spans="1:7" hidden="1" x14ac:dyDescent="0.25">
      <c r="A1091" s="43" t="s">
        <v>2980</v>
      </c>
      <c r="B1091" s="81" t="s">
        <v>3043</v>
      </c>
      <c r="C1091" s="26" t="s">
        <v>37</v>
      </c>
      <c r="D1091" s="14"/>
      <c r="E1091" s="15"/>
      <c r="F1091" s="16">
        <f t="shared" si="66"/>
        <v>0</v>
      </c>
      <c r="G1091">
        <f t="shared" si="67"/>
        <v>0</v>
      </c>
    </row>
    <row r="1092" spans="1:7" hidden="1" x14ac:dyDescent="0.25">
      <c r="A1092" s="43" t="s">
        <v>2981</v>
      </c>
      <c r="B1092" s="81" t="s">
        <v>2986</v>
      </c>
      <c r="C1092" s="26" t="s">
        <v>37</v>
      </c>
      <c r="D1092" s="14"/>
      <c r="E1092" s="15"/>
      <c r="F1092" s="16">
        <f t="shared" si="66"/>
        <v>0</v>
      </c>
      <c r="G1092">
        <f t="shared" si="67"/>
        <v>0</v>
      </c>
    </row>
    <row r="1093" spans="1:7" hidden="1" x14ac:dyDescent="0.25">
      <c r="A1093" s="44" t="s">
        <v>2983</v>
      </c>
      <c r="B1093" s="80" t="s">
        <v>2984</v>
      </c>
      <c r="C1093" s="26"/>
      <c r="D1093" s="14"/>
      <c r="E1093" s="15"/>
      <c r="F1093" s="16"/>
      <c r="G1093">
        <f t="shared" si="67"/>
        <v>0</v>
      </c>
    </row>
    <row r="1094" spans="1:7" hidden="1" x14ac:dyDescent="0.25">
      <c r="A1094" s="43" t="s">
        <v>2982</v>
      </c>
      <c r="B1094" s="81" t="s">
        <v>2985</v>
      </c>
      <c r="C1094" s="26" t="s">
        <v>37</v>
      </c>
      <c r="D1094" s="14"/>
      <c r="E1094" s="15"/>
      <c r="F1094" s="16">
        <f t="shared" ref="F1094:F1156" si="68">+D1094*E1094</f>
        <v>0</v>
      </c>
      <c r="G1094">
        <f t="shared" si="67"/>
        <v>0</v>
      </c>
    </row>
    <row r="1095" spans="1:7" hidden="1" x14ac:dyDescent="0.25">
      <c r="A1095" s="43" t="s">
        <v>3084</v>
      </c>
      <c r="B1095" s="81" t="s">
        <v>3048</v>
      </c>
      <c r="C1095" s="26" t="s">
        <v>37</v>
      </c>
      <c r="D1095" s="14"/>
      <c r="E1095" s="15"/>
      <c r="F1095" s="16">
        <f t="shared" si="68"/>
        <v>0</v>
      </c>
      <c r="G1095">
        <f t="shared" si="67"/>
        <v>0</v>
      </c>
    </row>
    <row r="1096" spans="1:7" hidden="1" x14ac:dyDescent="0.25">
      <c r="A1096" s="43" t="s">
        <v>3085</v>
      </c>
      <c r="B1096" s="81" t="s">
        <v>3049</v>
      </c>
      <c r="C1096" s="26" t="s">
        <v>37</v>
      </c>
      <c r="D1096" s="14"/>
      <c r="E1096" s="15"/>
      <c r="F1096" s="16">
        <f t="shared" si="68"/>
        <v>0</v>
      </c>
      <c r="G1096">
        <f t="shared" si="67"/>
        <v>0</v>
      </c>
    </row>
    <row r="1097" spans="1:7" hidden="1" x14ac:dyDescent="0.25">
      <c r="A1097" s="43" t="s">
        <v>3086</v>
      </c>
      <c r="B1097" s="81" t="s">
        <v>3050</v>
      </c>
      <c r="C1097" s="26" t="s">
        <v>37</v>
      </c>
      <c r="D1097" s="14"/>
      <c r="E1097" s="15"/>
      <c r="F1097" s="16">
        <f t="shared" si="68"/>
        <v>0</v>
      </c>
      <c r="G1097">
        <f t="shared" si="67"/>
        <v>0</v>
      </c>
    </row>
    <row r="1098" spans="1:7" hidden="1" x14ac:dyDescent="0.25">
      <c r="A1098" s="43" t="s">
        <v>3087</v>
      </c>
      <c r="B1098" s="81" t="s">
        <v>3051</v>
      </c>
      <c r="C1098" s="26" t="s">
        <v>37</v>
      </c>
      <c r="D1098" s="14"/>
      <c r="E1098" s="15"/>
      <c r="F1098" s="16">
        <f t="shared" si="68"/>
        <v>0</v>
      </c>
      <c r="G1098">
        <f t="shared" si="67"/>
        <v>0</v>
      </c>
    </row>
    <row r="1099" spans="1:7" hidden="1" x14ac:dyDescent="0.25">
      <c r="A1099" s="43" t="s">
        <v>3088</v>
      </c>
      <c r="B1099" s="81" t="s">
        <v>3052</v>
      </c>
      <c r="C1099" s="26" t="s">
        <v>37</v>
      </c>
      <c r="D1099" s="14"/>
      <c r="E1099" s="15"/>
      <c r="F1099" s="16">
        <f t="shared" si="68"/>
        <v>0</v>
      </c>
      <c r="G1099">
        <f t="shared" si="67"/>
        <v>0</v>
      </c>
    </row>
    <row r="1100" spans="1:7" hidden="1" x14ac:dyDescent="0.25">
      <c r="A1100" s="43" t="s">
        <v>3089</v>
      </c>
      <c r="B1100" s="81" t="s">
        <v>3053</v>
      </c>
      <c r="C1100" s="26" t="s">
        <v>37</v>
      </c>
      <c r="D1100" s="14"/>
      <c r="E1100" s="15"/>
      <c r="F1100" s="16">
        <f t="shared" si="68"/>
        <v>0</v>
      </c>
      <c r="G1100">
        <f t="shared" si="67"/>
        <v>0</v>
      </c>
    </row>
    <row r="1101" spans="1:7" hidden="1" x14ac:dyDescent="0.25">
      <c r="A1101" s="43" t="s">
        <v>3090</v>
      </c>
      <c r="B1101" s="81" t="s">
        <v>3054</v>
      </c>
      <c r="C1101" s="26" t="s">
        <v>37</v>
      </c>
      <c r="D1101" s="14"/>
      <c r="E1101" s="15"/>
      <c r="F1101" s="16">
        <f t="shared" si="68"/>
        <v>0</v>
      </c>
      <c r="G1101">
        <f t="shared" si="67"/>
        <v>0</v>
      </c>
    </row>
    <row r="1102" spans="1:7" hidden="1" x14ac:dyDescent="0.25">
      <c r="A1102" s="43" t="s">
        <v>3091</v>
      </c>
      <c r="B1102" s="81" t="s">
        <v>3055</v>
      </c>
      <c r="C1102" s="26" t="s">
        <v>37</v>
      </c>
      <c r="D1102" s="14"/>
      <c r="E1102" s="15"/>
      <c r="F1102" s="16">
        <f t="shared" si="68"/>
        <v>0</v>
      </c>
      <c r="G1102">
        <f t="shared" si="67"/>
        <v>0</v>
      </c>
    </row>
    <row r="1103" spans="1:7" hidden="1" x14ac:dyDescent="0.25">
      <c r="A1103" s="43" t="s">
        <v>3092</v>
      </c>
      <c r="B1103" s="81" t="s">
        <v>3056</v>
      </c>
      <c r="C1103" s="26" t="s">
        <v>37</v>
      </c>
      <c r="D1103" s="14"/>
      <c r="E1103" s="15"/>
      <c r="F1103" s="16">
        <f t="shared" si="68"/>
        <v>0</v>
      </c>
      <c r="G1103">
        <f t="shared" si="67"/>
        <v>0</v>
      </c>
    </row>
    <row r="1104" spans="1:7" hidden="1" x14ac:dyDescent="0.25">
      <c r="A1104" s="43" t="s">
        <v>3093</v>
      </c>
      <c r="B1104" s="81" t="s">
        <v>3057</v>
      </c>
      <c r="C1104" s="26" t="s">
        <v>37</v>
      </c>
      <c r="D1104" s="14"/>
      <c r="E1104" s="15"/>
      <c r="F1104" s="16">
        <f t="shared" si="68"/>
        <v>0</v>
      </c>
      <c r="G1104">
        <f t="shared" si="67"/>
        <v>0</v>
      </c>
    </row>
    <row r="1105" spans="1:7" hidden="1" x14ac:dyDescent="0.25">
      <c r="A1105" s="43" t="s">
        <v>3094</v>
      </c>
      <c r="B1105" s="81" t="s">
        <v>3058</v>
      </c>
      <c r="C1105" s="26" t="s">
        <v>37</v>
      </c>
      <c r="D1105" s="14"/>
      <c r="E1105" s="15"/>
      <c r="F1105" s="16">
        <f t="shared" si="68"/>
        <v>0</v>
      </c>
      <c r="G1105">
        <f t="shared" si="67"/>
        <v>0</v>
      </c>
    </row>
    <row r="1106" spans="1:7" hidden="1" x14ac:dyDescent="0.25">
      <c r="A1106" s="43" t="s">
        <v>3095</v>
      </c>
      <c r="B1106" s="81" t="s">
        <v>3059</v>
      </c>
      <c r="C1106" s="26" t="s">
        <v>37</v>
      </c>
      <c r="D1106" s="14"/>
      <c r="E1106" s="15"/>
      <c r="F1106" s="16">
        <f t="shared" si="68"/>
        <v>0</v>
      </c>
      <c r="G1106">
        <f t="shared" si="67"/>
        <v>0</v>
      </c>
    </row>
    <row r="1107" spans="1:7" hidden="1" x14ac:dyDescent="0.25">
      <c r="A1107" s="43" t="s">
        <v>3096</v>
      </c>
      <c r="B1107" s="81" t="s">
        <v>3060</v>
      </c>
      <c r="C1107" s="26" t="s">
        <v>37</v>
      </c>
      <c r="D1107" s="14"/>
      <c r="E1107" s="15"/>
      <c r="F1107" s="16">
        <f t="shared" si="68"/>
        <v>0</v>
      </c>
      <c r="G1107">
        <f t="shared" si="67"/>
        <v>0</v>
      </c>
    </row>
    <row r="1108" spans="1:7" hidden="1" x14ac:dyDescent="0.25">
      <c r="A1108" s="43" t="s">
        <v>3097</v>
      </c>
      <c r="B1108" s="81" t="s">
        <v>3061</v>
      </c>
      <c r="C1108" s="26" t="s">
        <v>37</v>
      </c>
      <c r="D1108" s="14"/>
      <c r="E1108" s="15"/>
      <c r="F1108" s="16">
        <f t="shared" si="68"/>
        <v>0</v>
      </c>
      <c r="G1108">
        <f t="shared" si="67"/>
        <v>0</v>
      </c>
    </row>
    <row r="1109" spans="1:7" hidden="1" x14ac:dyDescent="0.25">
      <c r="A1109" s="43" t="s">
        <v>3098</v>
      </c>
      <c r="B1109" s="81" t="s">
        <v>3062</v>
      </c>
      <c r="C1109" s="26" t="s">
        <v>37</v>
      </c>
      <c r="D1109" s="14"/>
      <c r="E1109" s="15"/>
      <c r="F1109" s="16">
        <f t="shared" si="68"/>
        <v>0</v>
      </c>
      <c r="G1109">
        <f t="shared" si="67"/>
        <v>0</v>
      </c>
    </row>
    <row r="1110" spans="1:7" hidden="1" x14ac:dyDescent="0.25">
      <c r="A1110" s="43" t="s">
        <v>3099</v>
      </c>
      <c r="B1110" s="81" t="s">
        <v>3063</v>
      </c>
      <c r="C1110" s="26" t="s">
        <v>37</v>
      </c>
      <c r="D1110" s="14"/>
      <c r="E1110" s="15"/>
      <c r="F1110" s="16">
        <f t="shared" si="68"/>
        <v>0</v>
      </c>
      <c r="G1110">
        <f t="shared" si="67"/>
        <v>0</v>
      </c>
    </row>
    <row r="1111" spans="1:7" hidden="1" x14ac:dyDescent="0.25">
      <c r="A1111" s="43" t="s">
        <v>3100</v>
      </c>
      <c r="B1111" s="81" t="s">
        <v>3064</v>
      </c>
      <c r="C1111" s="26" t="s">
        <v>37</v>
      </c>
      <c r="D1111" s="14"/>
      <c r="E1111" s="15"/>
      <c r="F1111" s="16">
        <f t="shared" si="68"/>
        <v>0</v>
      </c>
      <c r="G1111">
        <f t="shared" si="67"/>
        <v>0</v>
      </c>
    </row>
    <row r="1112" spans="1:7" hidden="1" x14ac:dyDescent="0.25">
      <c r="A1112" s="43" t="s">
        <v>3101</v>
      </c>
      <c r="B1112" s="81" t="s">
        <v>3065</v>
      </c>
      <c r="C1112" s="26" t="s">
        <v>37</v>
      </c>
      <c r="D1112" s="14"/>
      <c r="E1112" s="15"/>
      <c r="F1112" s="16">
        <f t="shared" si="68"/>
        <v>0</v>
      </c>
      <c r="G1112">
        <f t="shared" si="67"/>
        <v>0</v>
      </c>
    </row>
    <row r="1113" spans="1:7" hidden="1" x14ac:dyDescent="0.25">
      <c r="A1113" s="43" t="s">
        <v>3102</v>
      </c>
      <c r="B1113" s="81" t="s">
        <v>3066</v>
      </c>
      <c r="C1113" s="26" t="s">
        <v>37</v>
      </c>
      <c r="D1113" s="14"/>
      <c r="E1113" s="15"/>
      <c r="F1113" s="16">
        <f t="shared" si="68"/>
        <v>0</v>
      </c>
      <c r="G1113">
        <f t="shared" si="67"/>
        <v>0</v>
      </c>
    </row>
    <row r="1114" spans="1:7" hidden="1" x14ac:dyDescent="0.25">
      <c r="A1114" s="43" t="s">
        <v>3103</v>
      </c>
      <c r="B1114" s="81" t="s">
        <v>3067</v>
      </c>
      <c r="C1114" s="26" t="s">
        <v>37</v>
      </c>
      <c r="D1114" s="14"/>
      <c r="E1114" s="15"/>
      <c r="F1114" s="16">
        <f t="shared" si="68"/>
        <v>0</v>
      </c>
      <c r="G1114">
        <f t="shared" si="67"/>
        <v>0</v>
      </c>
    </row>
    <row r="1115" spans="1:7" hidden="1" x14ac:dyDescent="0.25">
      <c r="A1115" s="43" t="s">
        <v>3104</v>
      </c>
      <c r="B1115" s="81" t="s">
        <v>3068</v>
      </c>
      <c r="C1115" s="26" t="s">
        <v>37</v>
      </c>
      <c r="D1115" s="14"/>
      <c r="E1115" s="15"/>
      <c r="F1115" s="16">
        <f t="shared" si="68"/>
        <v>0</v>
      </c>
      <c r="G1115">
        <f t="shared" si="67"/>
        <v>0</v>
      </c>
    </row>
    <row r="1116" spans="1:7" hidden="1" x14ac:dyDescent="0.25">
      <c r="A1116" s="43" t="s">
        <v>3105</v>
      </c>
      <c r="B1116" s="81" t="s">
        <v>3069</v>
      </c>
      <c r="C1116" s="26" t="s">
        <v>37</v>
      </c>
      <c r="D1116" s="14"/>
      <c r="E1116" s="15"/>
      <c r="F1116" s="16">
        <f t="shared" si="68"/>
        <v>0</v>
      </c>
      <c r="G1116">
        <f t="shared" si="67"/>
        <v>0</v>
      </c>
    </row>
    <row r="1117" spans="1:7" hidden="1" x14ac:dyDescent="0.25">
      <c r="A1117" s="43" t="s">
        <v>3106</v>
      </c>
      <c r="B1117" s="81" t="s">
        <v>3070</v>
      </c>
      <c r="C1117" s="26" t="s">
        <v>37</v>
      </c>
      <c r="D1117" s="14"/>
      <c r="E1117" s="15"/>
      <c r="F1117" s="16">
        <f t="shared" si="68"/>
        <v>0</v>
      </c>
      <c r="G1117">
        <f t="shared" si="67"/>
        <v>0</v>
      </c>
    </row>
    <row r="1118" spans="1:7" hidden="1" x14ac:dyDescent="0.25">
      <c r="A1118" s="43" t="s">
        <v>3107</v>
      </c>
      <c r="B1118" s="81" t="s">
        <v>3071</v>
      </c>
      <c r="C1118" s="26" t="s">
        <v>37</v>
      </c>
      <c r="D1118" s="14"/>
      <c r="E1118" s="15"/>
      <c r="F1118" s="16">
        <f t="shared" si="68"/>
        <v>0</v>
      </c>
      <c r="G1118">
        <f t="shared" si="67"/>
        <v>0</v>
      </c>
    </row>
    <row r="1119" spans="1:7" hidden="1" x14ac:dyDescent="0.25">
      <c r="A1119" s="43" t="s">
        <v>3108</v>
      </c>
      <c r="B1119" s="81" t="s">
        <v>3072</v>
      </c>
      <c r="C1119" s="26" t="s">
        <v>37</v>
      </c>
      <c r="D1119" s="14"/>
      <c r="E1119" s="15"/>
      <c r="F1119" s="16">
        <f t="shared" si="68"/>
        <v>0</v>
      </c>
      <c r="G1119">
        <f t="shared" si="67"/>
        <v>0</v>
      </c>
    </row>
    <row r="1120" spans="1:7" hidden="1" x14ac:dyDescent="0.25">
      <c r="A1120" s="43" t="s">
        <v>3109</v>
      </c>
      <c r="B1120" s="81" t="s">
        <v>3073</v>
      </c>
      <c r="C1120" s="26" t="s">
        <v>37</v>
      </c>
      <c r="D1120" s="14"/>
      <c r="E1120" s="15"/>
      <c r="F1120" s="16">
        <f t="shared" si="68"/>
        <v>0</v>
      </c>
      <c r="G1120">
        <f t="shared" si="67"/>
        <v>0</v>
      </c>
    </row>
    <row r="1121" spans="1:7" hidden="1" x14ac:dyDescent="0.25">
      <c r="A1121" s="43" t="s">
        <v>3110</v>
      </c>
      <c r="B1121" s="81" t="s">
        <v>3074</v>
      </c>
      <c r="C1121" s="26" t="s">
        <v>37</v>
      </c>
      <c r="D1121" s="14"/>
      <c r="E1121" s="15"/>
      <c r="F1121" s="16">
        <f t="shared" si="68"/>
        <v>0</v>
      </c>
      <c r="G1121">
        <f t="shared" si="67"/>
        <v>0</v>
      </c>
    </row>
    <row r="1122" spans="1:7" hidden="1" x14ac:dyDescent="0.25">
      <c r="A1122" s="43" t="s">
        <v>3111</v>
      </c>
      <c r="B1122" s="81" t="s">
        <v>3075</v>
      </c>
      <c r="C1122" s="26" t="s">
        <v>37</v>
      </c>
      <c r="D1122" s="14"/>
      <c r="E1122" s="15"/>
      <c r="F1122" s="16">
        <f t="shared" si="68"/>
        <v>0</v>
      </c>
      <c r="G1122">
        <f t="shared" si="67"/>
        <v>0</v>
      </c>
    </row>
    <row r="1123" spans="1:7" hidden="1" x14ac:dyDescent="0.25">
      <c r="A1123" s="43" t="s">
        <v>3112</v>
      </c>
      <c r="B1123" s="81" t="s">
        <v>3076</v>
      </c>
      <c r="C1123" s="26" t="s">
        <v>37</v>
      </c>
      <c r="D1123" s="14"/>
      <c r="E1123" s="15"/>
      <c r="F1123" s="16">
        <f t="shared" si="68"/>
        <v>0</v>
      </c>
      <c r="G1123">
        <f t="shared" si="67"/>
        <v>0</v>
      </c>
    </row>
    <row r="1124" spans="1:7" hidden="1" x14ac:dyDescent="0.25">
      <c r="A1124" s="43" t="s">
        <v>3113</v>
      </c>
      <c r="B1124" s="81" t="s">
        <v>3077</v>
      </c>
      <c r="C1124" s="26" t="s">
        <v>37</v>
      </c>
      <c r="D1124" s="14"/>
      <c r="E1124" s="15"/>
      <c r="F1124" s="16">
        <f t="shared" si="68"/>
        <v>0</v>
      </c>
      <c r="G1124">
        <f t="shared" ref="G1124:G1187" si="69">+IF(F1124&lt;&gt;0,1,0)</f>
        <v>0</v>
      </c>
    </row>
    <row r="1125" spans="1:7" hidden="1" x14ac:dyDescent="0.25">
      <c r="A1125" s="43" t="s">
        <v>3114</v>
      </c>
      <c r="B1125" s="81" t="s">
        <v>3078</v>
      </c>
      <c r="C1125" s="26" t="s">
        <v>37</v>
      </c>
      <c r="D1125" s="14"/>
      <c r="E1125" s="15"/>
      <c r="F1125" s="16">
        <f t="shared" si="68"/>
        <v>0</v>
      </c>
      <c r="G1125">
        <f t="shared" si="69"/>
        <v>0</v>
      </c>
    </row>
    <row r="1126" spans="1:7" hidden="1" x14ac:dyDescent="0.25">
      <c r="A1126" s="43" t="s">
        <v>3115</v>
      </c>
      <c r="B1126" s="81" t="s">
        <v>3079</v>
      </c>
      <c r="C1126" s="26" t="s">
        <v>37</v>
      </c>
      <c r="D1126" s="14"/>
      <c r="E1126" s="15"/>
      <c r="F1126" s="16">
        <f t="shared" si="68"/>
        <v>0</v>
      </c>
      <c r="G1126">
        <f t="shared" si="69"/>
        <v>0</v>
      </c>
    </row>
    <row r="1127" spans="1:7" hidden="1" x14ac:dyDescent="0.25">
      <c r="A1127" s="43" t="s">
        <v>3116</v>
      </c>
      <c r="B1127" s="81" t="s">
        <v>3080</v>
      </c>
      <c r="C1127" s="26" t="s">
        <v>37</v>
      </c>
      <c r="D1127" s="14"/>
      <c r="E1127" s="15"/>
      <c r="F1127" s="16">
        <f t="shared" si="68"/>
        <v>0</v>
      </c>
      <c r="G1127">
        <f t="shared" si="69"/>
        <v>0</v>
      </c>
    </row>
    <row r="1128" spans="1:7" hidden="1" x14ac:dyDescent="0.25">
      <c r="A1128" s="43" t="s">
        <v>3117</v>
      </c>
      <c r="B1128" s="81" t="s">
        <v>3081</v>
      </c>
      <c r="C1128" s="26" t="s">
        <v>37</v>
      </c>
      <c r="D1128" s="14"/>
      <c r="E1128" s="15"/>
      <c r="F1128" s="16">
        <f t="shared" si="68"/>
        <v>0</v>
      </c>
      <c r="G1128">
        <f t="shared" si="69"/>
        <v>0</v>
      </c>
    </row>
    <row r="1129" spans="1:7" hidden="1" x14ac:dyDescent="0.25">
      <c r="A1129" s="43" t="s">
        <v>3118</v>
      </c>
      <c r="B1129" s="81" t="s">
        <v>3082</v>
      </c>
      <c r="C1129" s="26" t="s">
        <v>37</v>
      </c>
      <c r="D1129" s="14"/>
      <c r="E1129" s="15"/>
      <c r="F1129" s="16">
        <f t="shared" si="68"/>
        <v>0</v>
      </c>
      <c r="G1129">
        <f t="shared" si="69"/>
        <v>0</v>
      </c>
    </row>
    <row r="1130" spans="1:7" hidden="1" x14ac:dyDescent="0.25">
      <c r="A1130" s="43" t="s">
        <v>3119</v>
      </c>
      <c r="B1130" s="81" t="s">
        <v>3083</v>
      </c>
      <c r="C1130" s="26" t="s">
        <v>37</v>
      </c>
      <c r="D1130" s="14"/>
      <c r="E1130" s="15"/>
      <c r="F1130" s="16">
        <f t="shared" si="68"/>
        <v>0</v>
      </c>
      <c r="G1130">
        <f t="shared" si="69"/>
        <v>0</v>
      </c>
    </row>
    <row r="1131" spans="1:7" hidden="1" x14ac:dyDescent="0.25">
      <c r="A1131" s="43" t="s">
        <v>3120</v>
      </c>
      <c r="B1131" s="81" t="s">
        <v>3148</v>
      </c>
      <c r="C1131" s="26" t="s">
        <v>37</v>
      </c>
      <c r="D1131" s="14"/>
      <c r="E1131" s="15"/>
      <c r="F1131" s="16">
        <f t="shared" si="68"/>
        <v>0</v>
      </c>
      <c r="G1131">
        <f t="shared" si="69"/>
        <v>0</v>
      </c>
    </row>
    <row r="1132" spans="1:7" hidden="1" x14ac:dyDescent="0.25">
      <c r="A1132" s="43" t="s">
        <v>3121</v>
      </c>
      <c r="B1132" s="81" t="s">
        <v>3149</v>
      </c>
      <c r="C1132" s="26" t="s">
        <v>37</v>
      </c>
      <c r="D1132" s="14"/>
      <c r="E1132" s="15"/>
      <c r="F1132" s="16">
        <f t="shared" si="68"/>
        <v>0</v>
      </c>
      <c r="G1132">
        <f t="shared" si="69"/>
        <v>0</v>
      </c>
    </row>
    <row r="1133" spans="1:7" hidden="1" x14ac:dyDescent="0.25">
      <c r="A1133" s="43" t="s">
        <v>3122</v>
      </c>
      <c r="B1133" s="81" t="s">
        <v>3150</v>
      </c>
      <c r="C1133" s="26" t="s">
        <v>37</v>
      </c>
      <c r="D1133" s="14"/>
      <c r="E1133" s="15"/>
      <c r="F1133" s="16">
        <f t="shared" si="68"/>
        <v>0</v>
      </c>
      <c r="G1133">
        <f t="shared" si="69"/>
        <v>0</v>
      </c>
    </row>
    <row r="1134" spans="1:7" hidden="1" x14ac:dyDescent="0.25">
      <c r="A1134" s="43" t="s">
        <v>3123</v>
      </c>
      <c r="B1134" s="81" t="s">
        <v>3151</v>
      </c>
      <c r="C1134" s="26" t="s">
        <v>37</v>
      </c>
      <c r="D1134" s="14"/>
      <c r="E1134" s="15"/>
      <c r="F1134" s="16">
        <f t="shared" si="68"/>
        <v>0</v>
      </c>
      <c r="G1134">
        <f t="shared" si="69"/>
        <v>0</v>
      </c>
    </row>
    <row r="1135" spans="1:7" hidden="1" x14ac:dyDescent="0.25">
      <c r="A1135" s="43" t="s">
        <v>3124</v>
      </c>
      <c r="B1135" s="81" t="s">
        <v>3152</v>
      </c>
      <c r="C1135" s="26" t="s">
        <v>37</v>
      </c>
      <c r="D1135" s="14"/>
      <c r="E1135" s="15"/>
      <c r="F1135" s="16">
        <f t="shared" si="68"/>
        <v>0</v>
      </c>
      <c r="G1135">
        <f t="shared" si="69"/>
        <v>0</v>
      </c>
    </row>
    <row r="1136" spans="1:7" hidden="1" x14ac:dyDescent="0.25">
      <c r="A1136" s="43" t="s">
        <v>3125</v>
      </c>
      <c r="B1136" s="81" t="s">
        <v>3153</v>
      </c>
      <c r="C1136" s="26" t="s">
        <v>37</v>
      </c>
      <c r="D1136" s="14"/>
      <c r="E1136" s="15"/>
      <c r="F1136" s="16">
        <f t="shared" si="68"/>
        <v>0</v>
      </c>
      <c r="G1136">
        <f t="shared" si="69"/>
        <v>0</v>
      </c>
    </row>
    <row r="1137" spans="1:7" hidden="1" x14ac:dyDescent="0.25">
      <c r="A1137" s="43" t="s">
        <v>3126</v>
      </c>
      <c r="B1137" s="81" t="s">
        <v>3167</v>
      </c>
      <c r="C1137" s="26" t="s">
        <v>37</v>
      </c>
      <c r="D1137" s="14"/>
      <c r="E1137" s="15"/>
      <c r="F1137" s="16">
        <f t="shared" si="68"/>
        <v>0</v>
      </c>
      <c r="G1137">
        <f t="shared" si="69"/>
        <v>0</v>
      </c>
    </row>
    <row r="1138" spans="1:7" hidden="1" x14ac:dyDescent="0.25">
      <c r="A1138" s="43" t="s">
        <v>3127</v>
      </c>
      <c r="B1138" s="81" t="s">
        <v>3168</v>
      </c>
      <c r="C1138" s="26" t="s">
        <v>37</v>
      </c>
      <c r="D1138" s="14"/>
      <c r="E1138" s="15"/>
      <c r="F1138" s="16">
        <f t="shared" si="68"/>
        <v>0</v>
      </c>
      <c r="G1138">
        <f t="shared" si="69"/>
        <v>0</v>
      </c>
    </row>
    <row r="1139" spans="1:7" hidden="1" x14ac:dyDescent="0.25">
      <c r="A1139" s="43" t="s">
        <v>3128</v>
      </c>
      <c r="B1139" s="81" t="s">
        <v>3169</v>
      </c>
      <c r="C1139" s="26" t="s">
        <v>37</v>
      </c>
      <c r="D1139" s="14"/>
      <c r="E1139" s="15"/>
      <c r="F1139" s="16">
        <f t="shared" si="68"/>
        <v>0</v>
      </c>
      <c r="G1139">
        <f t="shared" si="69"/>
        <v>0</v>
      </c>
    </row>
    <row r="1140" spans="1:7" hidden="1" x14ac:dyDescent="0.25">
      <c r="A1140" s="43" t="s">
        <v>3129</v>
      </c>
      <c r="B1140" s="81" t="s">
        <v>3170</v>
      </c>
      <c r="C1140" s="26" t="s">
        <v>37</v>
      </c>
      <c r="D1140" s="14"/>
      <c r="E1140" s="15"/>
      <c r="F1140" s="16">
        <f t="shared" si="68"/>
        <v>0</v>
      </c>
      <c r="G1140">
        <f t="shared" si="69"/>
        <v>0</v>
      </c>
    </row>
    <row r="1141" spans="1:7" hidden="1" x14ac:dyDescent="0.25">
      <c r="A1141" s="43" t="s">
        <v>3130</v>
      </c>
      <c r="B1141" s="81" t="s">
        <v>3171</v>
      </c>
      <c r="C1141" s="26" t="s">
        <v>37</v>
      </c>
      <c r="D1141" s="14"/>
      <c r="E1141" s="15"/>
      <c r="F1141" s="16">
        <f t="shared" si="68"/>
        <v>0</v>
      </c>
      <c r="G1141">
        <f t="shared" si="69"/>
        <v>0</v>
      </c>
    </row>
    <row r="1142" spans="1:7" hidden="1" x14ac:dyDescent="0.25">
      <c r="A1142" s="43" t="s">
        <v>3131</v>
      </c>
      <c r="B1142" s="81" t="s">
        <v>3160</v>
      </c>
      <c r="C1142" s="26" t="s">
        <v>37</v>
      </c>
      <c r="D1142" s="14"/>
      <c r="E1142" s="15"/>
      <c r="F1142" s="16">
        <f t="shared" si="68"/>
        <v>0</v>
      </c>
      <c r="G1142">
        <f t="shared" si="69"/>
        <v>0</v>
      </c>
    </row>
    <row r="1143" spans="1:7" hidden="1" x14ac:dyDescent="0.25">
      <c r="A1143" s="43" t="s">
        <v>3132</v>
      </c>
      <c r="B1143" s="81" t="s">
        <v>3161</v>
      </c>
      <c r="C1143" s="26" t="s">
        <v>37</v>
      </c>
      <c r="D1143" s="14"/>
      <c r="E1143" s="15"/>
      <c r="F1143" s="16">
        <f t="shared" si="68"/>
        <v>0</v>
      </c>
      <c r="G1143">
        <f t="shared" si="69"/>
        <v>0</v>
      </c>
    </row>
    <row r="1144" spans="1:7" hidden="1" x14ac:dyDescent="0.25">
      <c r="A1144" s="43" t="s">
        <v>3133</v>
      </c>
      <c r="B1144" s="81" t="s">
        <v>3162</v>
      </c>
      <c r="C1144" s="26" t="s">
        <v>37</v>
      </c>
      <c r="D1144" s="14"/>
      <c r="E1144" s="15"/>
      <c r="F1144" s="16">
        <f t="shared" si="68"/>
        <v>0</v>
      </c>
      <c r="G1144">
        <f t="shared" si="69"/>
        <v>0</v>
      </c>
    </row>
    <row r="1145" spans="1:7" hidden="1" x14ac:dyDescent="0.25">
      <c r="A1145" s="43" t="s">
        <v>3134</v>
      </c>
      <c r="B1145" s="81" t="s">
        <v>3163</v>
      </c>
      <c r="C1145" s="26" t="s">
        <v>37</v>
      </c>
      <c r="D1145" s="14"/>
      <c r="E1145" s="15"/>
      <c r="F1145" s="16">
        <f t="shared" si="68"/>
        <v>0</v>
      </c>
      <c r="G1145">
        <f t="shared" si="69"/>
        <v>0</v>
      </c>
    </row>
    <row r="1146" spans="1:7" hidden="1" x14ac:dyDescent="0.25">
      <c r="A1146" s="43" t="s">
        <v>3135</v>
      </c>
      <c r="B1146" s="81" t="s">
        <v>3164</v>
      </c>
      <c r="C1146" s="26" t="s">
        <v>37</v>
      </c>
      <c r="D1146" s="14"/>
      <c r="E1146" s="15"/>
      <c r="F1146" s="16">
        <f t="shared" si="68"/>
        <v>0</v>
      </c>
      <c r="G1146">
        <f t="shared" si="69"/>
        <v>0</v>
      </c>
    </row>
    <row r="1147" spans="1:7" hidden="1" x14ac:dyDescent="0.25">
      <c r="A1147" s="43" t="s">
        <v>3136</v>
      </c>
      <c r="B1147" s="81" t="s">
        <v>3165</v>
      </c>
      <c r="C1147" s="26" t="s">
        <v>37</v>
      </c>
      <c r="D1147" s="14"/>
      <c r="E1147" s="15"/>
      <c r="F1147" s="16">
        <f t="shared" si="68"/>
        <v>0</v>
      </c>
      <c r="G1147">
        <f t="shared" si="69"/>
        <v>0</v>
      </c>
    </row>
    <row r="1148" spans="1:7" hidden="1" x14ac:dyDescent="0.25">
      <c r="A1148" s="43" t="s">
        <v>3137</v>
      </c>
      <c r="B1148" s="81" t="s">
        <v>3166</v>
      </c>
      <c r="C1148" s="26" t="s">
        <v>37</v>
      </c>
      <c r="D1148" s="14"/>
      <c r="E1148" s="15"/>
      <c r="F1148" s="16">
        <f t="shared" si="68"/>
        <v>0</v>
      </c>
      <c r="G1148">
        <f t="shared" si="69"/>
        <v>0</v>
      </c>
    </row>
    <row r="1149" spans="1:7" hidden="1" x14ac:dyDescent="0.25">
      <c r="A1149" s="43" t="s">
        <v>3138</v>
      </c>
      <c r="B1149" s="81" t="s">
        <v>3154</v>
      </c>
      <c r="C1149" s="26" t="s">
        <v>37</v>
      </c>
      <c r="D1149" s="14"/>
      <c r="E1149" s="15"/>
      <c r="F1149" s="16">
        <f t="shared" si="68"/>
        <v>0</v>
      </c>
      <c r="G1149">
        <f t="shared" si="69"/>
        <v>0</v>
      </c>
    </row>
    <row r="1150" spans="1:7" hidden="1" x14ac:dyDescent="0.25">
      <c r="A1150" s="43" t="s">
        <v>3139</v>
      </c>
      <c r="B1150" s="81" t="s">
        <v>3155</v>
      </c>
      <c r="C1150" s="26" t="s">
        <v>37</v>
      </c>
      <c r="D1150" s="14"/>
      <c r="E1150" s="15"/>
      <c r="F1150" s="16">
        <f t="shared" si="68"/>
        <v>0</v>
      </c>
      <c r="G1150">
        <f t="shared" si="69"/>
        <v>0</v>
      </c>
    </row>
    <row r="1151" spans="1:7" hidden="1" x14ac:dyDescent="0.25">
      <c r="A1151" s="43" t="s">
        <v>3140</v>
      </c>
      <c r="B1151" s="81" t="s">
        <v>3156</v>
      </c>
      <c r="C1151" s="26" t="s">
        <v>37</v>
      </c>
      <c r="D1151" s="14"/>
      <c r="E1151" s="15"/>
      <c r="F1151" s="16">
        <f t="shared" si="68"/>
        <v>0</v>
      </c>
      <c r="G1151">
        <f t="shared" si="69"/>
        <v>0</v>
      </c>
    </row>
    <row r="1152" spans="1:7" hidden="1" x14ac:dyDescent="0.25">
      <c r="A1152" s="43" t="s">
        <v>3141</v>
      </c>
      <c r="B1152" s="81" t="s">
        <v>3157</v>
      </c>
      <c r="C1152" s="26" t="s">
        <v>37</v>
      </c>
      <c r="D1152" s="14"/>
      <c r="E1152" s="15"/>
      <c r="F1152" s="16">
        <f t="shared" si="68"/>
        <v>0</v>
      </c>
      <c r="G1152">
        <f t="shared" si="69"/>
        <v>0</v>
      </c>
    </row>
    <row r="1153" spans="1:7" hidden="1" x14ac:dyDescent="0.25">
      <c r="A1153" s="43" t="s">
        <v>3142</v>
      </c>
      <c r="B1153" s="81" t="s">
        <v>3158</v>
      </c>
      <c r="C1153" s="26" t="s">
        <v>37</v>
      </c>
      <c r="D1153" s="14"/>
      <c r="E1153" s="15"/>
      <c r="F1153" s="16">
        <f t="shared" si="68"/>
        <v>0</v>
      </c>
      <c r="G1153">
        <f t="shared" si="69"/>
        <v>0</v>
      </c>
    </row>
    <row r="1154" spans="1:7" hidden="1" x14ac:dyDescent="0.25">
      <c r="A1154" s="43" t="s">
        <v>3143</v>
      </c>
      <c r="B1154" s="81" t="s">
        <v>3159</v>
      </c>
      <c r="C1154" s="26" t="s">
        <v>37</v>
      </c>
      <c r="D1154" s="14"/>
      <c r="E1154" s="15"/>
      <c r="F1154" s="16">
        <f t="shared" si="68"/>
        <v>0</v>
      </c>
      <c r="G1154">
        <f t="shared" si="69"/>
        <v>0</v>
      </c>
    </row>
    <row r="1155" spans="1:7" hidden="1" x14ac:dyDescent="0.25">
      <c r="A1155" s="43" t="s">
        <v>3144</v>
      </c>
      <c r="B1155" s="81" t="s">
        <v>3146</v>
      </c>
      <c r="C1155" s="26" t="s">
        <v>37</v>
      </c>
      <c r="D1155" s="14"/>
      <c r="E1155" s="15"/>
      <c r="F1155" s="16">
        <f t="shared" si="68"/>
        <v>0</v>
      </c>
      <c r="G1155">
        <f t="shared" si="69"/>
        <v>0</v>
      </c>
    </row>
    <row r="1156" spans="1:7" hidden="1" x14ac:dyDescent="0.25">
      <c r="A1156" s="43" t="s">
        <v>3145</v>
      </c>
      <c r="B1156" s="81" t="s">
        <v>3147</v>
      </c>
      <c r="C1156" s="26" t="s">
        <v>37</v>
      </c>
      <c r="D1156" s="14"/>
      <c r="E1156" s="15"/>
      <c r="F1156" s="16">
        <f t="shared" si="68"/>
        <v>0</v>
      </c>
      <c r="G1156">
        <f t="shared" si="69"/>
        <v>0</v>
      </c>
    </row>
    <row r="1157" spans="1:7" hidden="1" x14ac:dyDescent="0.25">
      <c r="A1157" s="44" t="s">
        <v>3172</v>
      </c>
      <c r="B1157" s="80" t="s">
        <v>974</v>
      </c>
      <c r="C1157" s="26" t="s">
        <v>37</v>
      </c>
      <c r="D1157" s="14"/>
      <c r="E1157" s="15"/>
      <c r="F1157" s="16"/>
      <c r="G1157">
        <f t="shared" si="69"/>
        <v>0</v>
      </c>
    </row>
    <row r="1158" spans="1:7" hidden="1" x14ac:dyDescent="0.25">
      <c r="A1158" s="44" t="s">
        <v>3173</v>
      </c>
      <c r="B1158" s="80" t="s">
        <v>3174</v>
      </c>
      <c r="C1158" s="26" t="s">
        <v>37</v>
      </c>
      <c r="D1158" s="14"/>
      <c r="E1158" s="15"/>
      <c r="F1158" s="16"/>
      <c r="G1158">
        <f t="shared" si="69"/>
        <v>0</v>
      </c>
    </row>
    <row r="1159" spans="1:7" hidden="1" x14ac:dyDescent="0.25">
      <c r="A1159" s="43" t="s">
        <v>3226</v>
      </c>
      <c r="B1159" s="81" t="s">
        <v>3175</v>
      </c>
      <c r="C1159" s="26" t="s">
        <v>37</v>
      </c>
      <c r="D1159" s="14"/>
      <c r="E1159" s="15"/>
      <c r="F1159" s="16">
        <f t="shared" ref="F1159:F1209" si="70">+D1159*E1159</f>
        <v>0</v>
      </c>
      <c r="G1159">
        <f t="shared" si="69"/>
        <v>0</v>
      </c>
    </row>
    <row r="1160" spans="1:7" hidden="1" x14ac:dyDescent="0.25">
      <c r="A1160" s="43" t="s">
        <v>3227</v>
      </c>
      <c r="B1160" s="81" t="s">
        <v>3176</v>
      </c>
      <c r="C1160" s="26" t="s">
        <v>37</v>
      </c>
      <c r="D1160" s="14"/>
      <c r="E1160" s="15"/>
      <c r="F1160" s="16">
        <f t="shared" si="70"/>
        <v>0</v>
      </c>
      <c r="G1160">
        <f t="shared" si="69"/>
        <v>0</v>
      </c>
    </row>
    <row r="1161" spans="1:7" hidden="1" x14ac:dyDescent="0.25">
      <c r="A1161" s="43" t="s">
        <v>3228</v>
      </c>
      <c r="B1161" s="81" t="s">
        <v>3177</v>
      </c>
      <c r="C1161" s="26" t="s">
        <v>37</v>
      </c>
      <c r="D1161" s="14"/>
      <c r="E1161" s="15"/>
      <c r="F1161" s="16">
        <f t="shared" si="70"/>
        <v>0</v>
      </c>
      <c r="G1161">
        <f t="shared" si="69"/>
        <v>0</v>
      </c>
    </row>
    <row r="1162" spans="1:7" hidden="1" x14ac:dyDescent="0.25">
      <c r="A1162" s="43" t="s">
        <v>3229</v>
      </c>
      <c r="B1162" s="81" t="s">
        <v>3178</v>
      </c>
      <c r="C1162" s="26" t="s">
        <v>37</v>
      </c>
      <c r="D1162" s="14"/>
      <c r="E1162" s="15"/>
      <c r="F1162" s="16">
        <f t="shared" si="70"/>
        <v>0</v>
      </c>
      <c r="G1162">
        <f t="shared" si="69"/>
        <v>0</v>
      </c>
    </row>
    <row r="1163" spans="1:7" hidden="1" x14ac:dyDescent="0.25">
      <c r="A1163" s="43" t="s">
        <v>3230</v>
      </c>
      <c r="B1163" s="81" t="s">
        <v>3179</v>
      </c>
      <c r="C1163" s="26" t="s">
        <v>37</v>
      </c>
      <c r="D1163" s="14"/>
      <c r="E1163" s="15"/>
      <c r="F1163" s="16">
        <f t="shared" si="70"/>
        <v>0</v>
      </c>
      <c r="G1163">
        <f t="shared" si="69"/>
        <v>0</v>
      </c>
    </row>
    <row r="1164" spans="1:7" hidden="1" x14ac:dyDescent="0.25">
      <c r="A1164" s="43" t="s">
        <v>3231</v>
      </c>
      <c r="B1164" s="81" t="s">
        <v>3180</v>
      </c>
      <c r="C1164" s="26" t="s">
        <v>37</v>
      </c>
      <c r="D1164" s="14"/>
      <c r="E1164" s="15"/>
      <c r="F1164" s="16">
        <f t="shared" si="70"/>
        <v>0</v>
      </c>
      <c r="G1164">
        <f t="shared" si="69"/>
        <v>0</v>
      </c>
    </row>
    <row r="1165" spans="1:7" hidden="1" x14ac:dyDescent="0.25">
      <c r="A1165" s="43" t="s">
        <v>3232</v>
      </c>
      <c r="B1165" s="81" t="s">
        <v>3181</v>
      </c>
      <c r="C1165" s="26" t="s">
        <v>37</v>
      </c>
      <c r="D1165" s="14"/>
      <c r="E1165" s="15"/>
      <c r="F1165" s="16">
        <f t="shared" si="70"/>
        <v>0</v>
      </c>
      <c r="G1165">
        <f t="shared" si="69"/>
        <v>0</v>
      </c>
    </row>
    <row r="1166" spans="1:7" hidden="1" x14ac:dyDescent="0.25">
      <c r="A1166" s="43" t="s">
        <v>3233</v>
      </c>
      <c r="B1166" s="81" t="s">
        <v>3182</v>
      </c>
      <c r="C1166" s="26" t="s">
        <v>37</v>
      </c>
      <c r="D1166" s="14"/>
      <c r="E1166" s="15"/>
      <c r="F1166" s="16">
        <f t="shared" si="70"/>
        <v>0</v>
      </c>
      <c r="G1166">
        <f t="shared" si="69"/>
        <v>0</v>
      </c>
    </row>
    <row r="1167" spans="1:7" hidden="1" x14ac:dyDescent="0.25">
      <c r="A1167" s="43" t="s">
        <v>3234</v>
      </c>
      <c r="B1167" s="81" t="s">
        <v>3183</v>
      </c>
      <c r="C1167" s="26" t="s">
        <v>37</v>
      </c>
      <c r="D1167" s="14"/>
      <c r="E1167" s="15"/>
      <c r="F1167" s="16">
        <f t="shared" si="70"/>
        <v>0</v>
      </c>
      <c r="G1167">
        <f t="shared" si="69"/>
        <v>0</v>
      </c>
    </row>
    <row r="1168" spans="1:7" hidden="1" x14ac:dyDescent="0.25">
      <c r="A1168" s="43" t="s">
        <v>3235</v>
      </c>
      <c r="B1168" s="81" t="s">
        <v>3184</v>
      </c>
      <c r="C1168" s="26" t="s">
        <v>37</v>
      </c>
      <c r="D1168" s="14"/>
      <c r="E1168" s="15"/>
      <c r="F1168" s="16">
        <f t="shared" si="70"/>
        <v>0</v>
      </c>
      <c r="G1168">
        <f t="shared" si="69"/>
        <v>0</v>
      </c>
    </row>
    <row r="1169" spans="1:7" hidden="1" x14ac:dyDescent="0.25">
      <c r="A1169" s="43" t="s">
        <v>3236</v>
      </c>
      <c r="B1169" s="81" t="s">
        <v>3185</v>
      </c>
      <c r="C1169" s="26" t="s">
        <v>37</v>
      </c>
      <c r="D1169" s="14"/>
      <c r="E1169" s="15"/>
      <c r="F1169" s="16">
        <f t="shared" si="70"/>
        <v>0</v>
      </c>
      <c r="G1169">
        <f t="shared" si="69"/>
        <v>0</v>
      </c>
    </row>
    <row r="1170" spans="1:7" hidden="1" x14ac:dyDescent="0.25">
      <c r="A1170" s="43" t="s">
        <v>3237</v>
      </c>
      <c r="B1170" s="81" t="s">
        <v>3186</v>
      </c>
      <c r="C1170" s="26" t="s">
        <v>37</v>
      </c>
      <c r="D1170" s="14"/>
      <c r="E1170" s="15"/>
      <c r="F1170" s="16">
        <f t="shared" si="70"/>
        <v>0</v>
      </c>
      <c r="G1170">
        <f t="shared" si="69"/>
        <v>0</v>
      </c>
    </row>
    <row r="1171" spans="1:7" hidden="1" x14ac:dyDescent="0.25">
      <c r="A1171" s="43" t="s">
        <v>3238</v>
      </c>
      <c r="B1171" s="81" t="s">
        <v>3187</v>
      </c>
      <c r="C1171" s="26" t="s">
        <v>37</v>
      </c>
      <c r="D1171" s="14"/>
      <c r="E1171" s="15"/>
      <c r="F1171" s="16">
        <f t="shared" si="70"/>
        <v>0</v>
      </c>
      <c r="G1171">
        <f t="shared" si="69"/>
        <v>0</v>
      </c>
    </row>
    <row r="1172" spans="1:7" hidden="1" x14ac:dyDescent="0.25">
      <c r="A1172" s="43" t="s">
        <v>3239</v>
      </c>
      <c r="B1172" s="81" t="s">
        <v>3188</v>
      </c>
      <c r="C1172" s="26" t="s">
        <v>37</v>
      </c>
      <c r="D1172" s="14"/>
      <c r="E1172" s="15"/>
      <c r="F1172" s="16">
        <f t="shared" si="70"/>
        <v>0</v>
      </c>
      <c r="G1172">
        <f t="shared" si="69"/>
        <v>0</v>
      </c>
    </row>
    <row r="1173" spans="1:7" hidden="1" x14ac:dyDescent="0.25">
      <c r="A1173" s="43" t="s">
        <v>3240</v>
      </c>
      <c r="B1173" s="81" t="s">
        <v>3189</v>
      </c>
      <c r="C1173" s="26" t="s">
        <v>37</v>
      </c>
      <c r="D1173" s="14"/>
      <c r="E1173" s="15"/>
      <c r="F1173" s="16">
        <f t="shared" si="70"/>
        <v>0</v>
      </c>
      <c r="G1173">
        <f t="shared" si="69"/>
        <v>0</v>
      </c>
    </row>
    <row r="1174" spans="1:7" hidden="1" x14ac:dyDescent="0.25">
      <c r="A1174" s="43" t="s">
        <v>3241</v>
      </c>
      <c r="B1174" s="81" t="s">
        <v>3190</v>
      </c>
      <c r="C1174" s="26" t="s">
        <v>37</v>
      </c>
      <c r="D1174" s="14"/>
      <c r="E1174" s="15"/>
      <c r="F1174" s="16">
        <f t="shared" si="70"/>
        <v>0</v>
      </c>
      <c r="G1174">
        <f t="shared" si="69"/>
        <v>0</v>
      </c>
    </row>
    <row r="1175" spans="1:7" hidden="1" x14ac:dyDescent="0.25">
      <c r="A1175" s="43" t="s">
        <v>3242</v>
      </c>
      <c r="B1175" s="81" t="s">
        <v>3191</v>
      </c>
      <c r="C1175" s="26" t="s">
        <v>37</v>
      </c>
      <c r="D1175" s="14"/>
      <c r="E1175" s="15"/>
      <c r="F1175" s="16">
        <f t="shared" si="70"/>
        <v>0</v>
      </c>
      <c r="G1175">
        <f t="shared" si="69"/>
        <v>0</v>
      </c>
    </row>
    <row r="1176" spans="1:7" hidden="1" x14ac:dyDescent="0.25">
      <c r="A1176" s="43" t="s">
        <v>3243</v>
      </c>
      <c r="B1176" s="81" t="s">
        <v>3192</v>
      </c>
      <c r="C1176" s="26" t="s">
        <v>37</v>
      </c>
      <c r="D1176" s="14"/>
      <c r="E1176" s="15"/>
      <c r="F1176" s="16">
        <f t="shared" si="70"/>
        <v>0</v>
      </c>
      <c r="G1176">
        <f t="shared" si="69"/>
        <v>0</v>
      </c>
    </row>
    <row r="1177" spans="1:7" hidden="1" x14ac:dyDescent="0.25">
      <c r="A1177" s="43" t="s">
        <v>3244</v>
      </c>
      <c r="B1177" s="81" t="s">
        <v>3193</v>
      </c>
      <c r="C1177" s="26" t="s">
        <v>37</v>
      </c>
      <c r="D1177" s="14"/>
      <c r="E1177" s="15"/>
      <c r="F1177" s="16">
        <f t="shared" si="70"/>
        <v>0</v>
      </c>
      <c r="G1177">
        <f t="shared" si="69"/>
        <v>0</v>
      </c>
    </row>
    <row r="1178" spans="1:7" hidden="1" x14ac:dyDescent="0.25">
      <c r="A1178" s="43" t="s">
        <v>3245</v>
      </c>
      <c r="B1178" s="81" t="s">
        <v>3194</v>
      </c>
      <c r="C1178" s="26" t="s">
        <v>37</v>
      </c>
      <c r="D1178" s="14"/>
      <c r="E1178" s="15"/>
      <c r="F1178" s="16">
        <f t="shared" si="70"/>
        <v>0</v>
      </c>
      <c r="G1178">
        <f t="shared" si="69"/>
        <v>0</v>
      </c>
    </row>
    <row r="1179" spans="1:7" hidden="1" x14ac:dyDescent="0.25">
      <c r="A1179" s="43" t="s">
        <v>3246</v>
      </c>
      <c r="B1179" s="81" t="s">
        <v>3195</v>
      </c>
      <c r="C1179" s="26" t="s">
        <v>37</v>
      </c>
      <c r="D1179" s="14"/>
      <c r="E1179" s="15"/>
      <c r="F1179" s="16">
        <f t="shared" si="70"/>
        <v>0</v>
      </c>
      <c r="G1179">
        <f t="shared" si="69"/>
        <v>0</v>
      </c>
    </row>
    <row r="1180" spans="1:7" hidden="1" x14ac:dyDescent="0.25">
      <c r="A1180" s="43" t="s">
        <v>3247</v>
      </c>
      <c r="B1180" s="81" t="s">
        <v>3196</v>
      </c>
      <c r="C1180" s="26" t="s">
        <v>37</v>
      </c>
      <c r="D1180" s="14"/>
      <c r="E1180" s="15"/>
      <c r="F1180" s="16">
        <f t="shared" si="70"/>
        <v>0</v>
      </c>
      <c r="G1180">
        <f t="shared" si="69"/>
        <v>0</v>
      </c>
    </row>
    <row r="1181" spans="1:7" hidden="1" x14ac:dyDescent="0.25">
      <c r="A1181" s="43" t="s">
        <v>3248</v>
      </c>
      <c r="B1181" s="81" t="s">
        <v>3197</v>
      </c>
      <c r="C1181" s="26" t="s">
        <v>37</v>
      </c>
      <c r="D1181" s="14"/>
      <c r="E1181" s="15"/>
      <c r="F1181" s="16">
        <f t="shared" si="70"/>
        <v>0</v>
      </c>
      <c r="G1181">
        <f t="shared" si="69"/>
        <v>0</v>
      </c>
    </row>
    <row r="1182" spans="1:7" hidden="1" x14ac:dyDescent="0.25">
      <c r="A1182" s="43" t="s">
        <v>3249</v>
      </c>
      <c r="B1182" s="81" t="s">
        <v>3198</v>
      </c>
      <c r="C1182" s="26" t="s">
        <v>37</v>
      </c>
      <c r="D1182" s="14"/>
      <c r="E1182" s="15"/>
      <c r="F1182" s="16">
        <f t="shared" si="70"/>
        <v>0</v>
      </c>
      <c r="G1182">
        <f t="shared" si="69"/>
        <v>0</v>
      </c>
    </row>
    <row r="1183" spans="1:7" x14ac:dyDescent="0.25">
      <c r="A1183" s="43" t="s">
        <v>3250</v>
      </c>
      <c r="B1183" s="81" t="s">
        <v>3199</v>
      </c>
      <c r="C1183" s="26" t="s">
        <v>37</v>
      </c>
      <c r="D1183" s="14">
        <v>8</v>
      </c>
      <c r="E1183" s="15">
        <f>+SUM!H1182</f>
        <v>1903613</v>
      </c>
      <c r="F1183" s="16">
        <f t="shared" si="70"/>
        <v>15228904</v>
      </c>
      <c r="G1183">
        <f t="shared" si="69"/>
        <v>1</v>
      </c>
    </row>
    <row r="1184" spans="1:7" hidden="1" x14ac:dyDescent="0.25">
      <c r="A1184" s="43" t="s">
        <v>3251</v>
      </c>
      <c r="B1184" s="81" t="s">
        <v>3200</v>
      </c>
      <c r="C1184" s="26" t="s">
        <v>37</v>
      </c>
      <c r="D1184" s="14"/>
      <c r="E1184" s="15"/>
      <c r="F1184" s="16">
        <f t="shared" si="70"/>
        <v>0</v>
      </c>
      <c r="G1184">
        <f t="shared" si="69"/>
        <v>0</v>
      </c>
    </row>
    <row r="1185" spans="1:7" hidden="1" x14ac:dyDescent="0.25">
      <c r="A1185" s="43" t="s">
        <v>3252</v>
      </c>
      <c r="B1185" s="81" t="s">
        <v>3201</v>
      </c>
      <c r="C1185" s="26" t="s">
        <v>37</v>
      </c>
      <c r="D1185" s="14"/>
      <c r="E1185" s="15"/>
      <c r="F1185" s="16">
        <f t="shared" si="70"/>
        <v>0</v>
      </c>
      <c r="G1185">
        <f t="shared" si="69"/>
        <v>0</v>
      </c>
    </row>
    <row r="1186" spans="1:7" hidden="1" x14ac:dyDescent="0.25">
      <c r="A1186" s="43" t="s">
        <v>3253</v>
      </c>
      <c r="B1186" s="81" t="s">
        <v>3202</v>
      </c>
      <c r="C1186" s="26" t="s">
        <v>37</v>
      </c>
      <c r="D1186" s="14"/>
      <c r="E1186" s="15"/>
      <c r="F1186" s="16">
        <f t="shared" si="70"/>
        <v>0</v>
      </c>
      <c r="G1186">
        <f t="shared" si="69"/>
        <v>0</v>
      </c>
    </row>
    <row r="1187" spans="1:7" hidden="1" x14ac:dyDescent="0.25">
      <c r="A1187" s="43" t="s">
        <v>3254</v>
      </c>
      <c r="B1187" s="81" t="s">
        <v>3203</v>
      </c>
      <c r="C1187" s="26" t="s">
        <v>37</v>
      </c>
      <c r="D1187" s="14"/>
      <c r="E1187" s="15"/>
      <c r="F1187" s="16">
        <f t="shared" si="70"/>
        <v>0</v>
      </c>
      <c r="G1187">
        <f t="shared" si="69"/>
        <v>0</v>
      </c>
    </row>
    <row r="1188" spans="1:7" hidden="1" x14ac:dyDescent="0.25">
      <c r="A1188" s="43" t="s">
        <v>3255</v>
      </c>
      <c r="B1188" s="81" t="s">
        <v>3204</v>
      </c>
      <c r="C1188" s="26" t="s">
        <v>37</v>
      </c>
      <c r="D1188" s="14"/>
      <c r="E1188" s="15"/>
      <c r="F1188" s="16">
        <f t="shared" si="70"/>
        <v>0</v>
      </c>
      <c r="G1188">
        <f t="shared" ref="G1188:G1251" si="71">+IF(F1188&lt;&gt;0,1,0)</f>
        <v>0</v>
      </c>
    </row>
    <row r="1189" spans="1:7" hidden="1" x14ac:dyDescent="0.25">
      <c r="A1189" s="43" t="s">
        <v>3256</v>
      </c>
      <c r="B1189" s="81" t="s">
        <v>3206</v>
      </c>
      <c r="C1189" s="26" t="s">
        <v>37</v>
      </c>
      <c r="D1189" s="14"/>
      <c r="E1189" s="15"/>
      <c r="F1189" s="16">
        <f t="shared" si="70"/>
        <v>0</v>
      </c>
      <c r="G1189">
        <f t="shared" si="71"/>
        <v>0</v>
      </c>
    </row>
    <row r="1190" spans="1:7" hidden="1" x14ac:dyDescent="0.25">
      <c r="A1190" s="43" t="s">
        <v>3257</v>
      </c>
      <c r="B1190" s="81" t="s">
        <v>3205</v>
      </c>
      <c r="C1190" s="26" t="s">
        <v>37</v>
      </c>
      <c r="D1190" s="14"/>
      <c r="E1190" s="15"/>
      <c r="F1190" s="16">
        <f t="shared" si="70"/>
        <v>0</v>
      </c>
      <c r="G1190">
        <f t="shared" si="71"/>
        <v>0</v>
      </c>
    </row>
    <row r="1191" spans="1:7" hidden="1" x14ac:dyDescent="0.25">
      <c r="A1191" s="43" t="s">
        <v>3258</v>
      </c>
      <c r="B1191" s="81" t="s">
        <v>3207</v>
      </c>
      <c r="C1191" s="26" t="s">
        <v>37</v>
      </c>
      <c r="D1191" s="14"/>
      <c r="E1191" s="15"/>
      <c r="F1191" s="16">
        <f t="shared" si="70"/>
        <v>0</v>
      </c>
      <c r="G1191">
        <f t="shared" si="71"/>
        <v>0</v>
      </c>
    </row>
    <row r="1192" spans="1:7" hidden="1" x14ac:dyDescent="0.25">
      <c r="A1192" s="43" t="s">
        <v>3259</v>
      </c>
      <c r="B1192" s="81" t="s">
        <v>3208</v>
      </c>
      <c r="C1192" s="26" t="s">
        <v>37</v>
      </c>
      <c r="D1192" s="14"/>
      <c r="E1192" s="15"/>
      <c r="F1192" s="16">
        <f t="shared" si="70"/>
        <v>0</v>
      </c>
      <c r="G1192">
        <f t="shared" si="71"/>
        <v>0</v>
      </c>
    </row>
    <row r="1193" spans="1:7" hidden="1" x14ac:dyDescent="0.25">
      <c r="A1193" s="43" t="s">
        <v>3260</v>
      </c>
      <c r="B1193" s="81" t="s">
        <v>3209</v>
      </c>
      <c r="C1193" s="26" t="s">
        <v>37</v>
      </c>
      <c r="D1193" s="14"/>
      <c r="E1193" s="15"/>
      <c r="F1193" s="16">
        <f t="shared" si="70"/>
        <v>0</v>
      </c>
      <c r="G1193">
        <f t="shared" si="71"/>
        <v>0</v>
      </c>
    </row>
    <row r="1194" spans="1:7" hidden="1" x14ac:dyDescent="0.25">
      <c r="A1194" s="43" t="s">
        <v>3261</v>
      </c>
      <c r="B1194" s="81" t="s">
        <v>3210</v>
      </c>
      <c r="C1194" s="26" t="s">
        <v>37</v>
      </c>
      <c r="D1194" s="14"/>
      <c r="E1194" s="15"/>
      <c r="F1194" s="16">
        <f t="shared" si="70"/>
        <v>0</v>
      </c>
      <c r="G1194">
        <f t="shared" si="71"/>
        <v>0</v>
      </c>
    </row>
    <row r="1195" spans="1:7" hidden="1" x14ac:dyDescent="0.25">
      <c r="A1195" s="43" t="s">
        <v>3262</v>
      </c>
      <c r="B1195" s="81" t="s">
        <v>3211</v>
      </c>
      <c r="C1195" s="26" t="s">
        <v>37</v>
      </c>
      <c r="D1195" s="14"/>
      <c r="E1195" s="15"/>
      <c r="F1195" s="16">
        <f t="shared" si="70"/>
        <v>0</v>
      </c>
      <c r="G1195">
        <f t="shared" si="71"/>
        <v>0</v>
      </c>
    </row>
    <row r="1196" spans="1:7" hidden="1" x14ac:dyDescent="0.25">
      <c r="A1196" s="43" t="s">
        <v>3263</v>
      </c>
      <c r="B1196" s="81" t="s">
        <v>3219</v>
      </c>
      <c r="C1196" s="26" t="s">
        <v>37</v>
      </c>
      <c r="D1196" s="14"/>
      <c r="E1196" s="15"/>
      <c r="F1196" s="16">
        <f t="shared" si="70"/>
        <v>0</v>
      </c>
      <c r="G1196">
        <f t="shared" si="71"/>
        <v>0</v>
      </c>
    </row>
    <row r="1197" spans="1:7" hidden="1" x14ac:dyDescent="0.25">
      <c r="A1197" s="43" t="s">
        <v>3264</v>
      </c>
      <c r="B1197" s="81" t="s">
        <v>3220</v>
      </c>
      <c r="C1197" s="26" t="s">
        <v>37</v>
      </c>
      <c r="D1197" s="14"/>
      <c r="E1197" s="15"/>
      <c r="F1197" s="16">
        <f t="shared" si="70"/>
        <v>0</v>
      </c>
      <c r="G1197">
        <f t="shared" si="71"/>
        <v>0</v>
      </c>
    </row>
    <row r="1198" spans="1:7" hidden="1" x14ac:dyDescent="0.25">
      <c r="A1198" s="43" t="s">
        <v>3265</v>
      </c>
      <c r="B1198" s="81" t="s">
        <v>3221</v>
      </c>
      <c r="C1198" s="26" t="s">
        <v>37</v>
      </c>
      <c r="D1198" s="14"/>
      <c r="E1198" s="15"/>
      <c r="F1198" s="16">
        <f t="shared" si="70"/>
        <v>0</v>
      </c>
      <c r="G1198">
        <f t="shared" si="71"/>
        <v>0</v>
      </c>
    </row>
    <row r="1199" spans="1:7" hidden="1" x14ac:dyDescent="0.25">
      <c r="A1199" s="43" t="s">
        <v>3266</v>
      </c>
      <c r="B1199" s="81" t="s">
        <v>3222</v>
      </c>
      <c r="C1199" s="26" t="s">
        <v>37</v>
      </c>
      <c r="D1199" s="14"/>
      <c r="E1199" s="15"/>
      <c r="F1199" s="16">
        <f t="shared" si="70"/>
        <v>0</v>
      </c>
      <c r="G1199">
        <f t="shared" si="71"/>
        <v>0</v>
      </c>
    </row>
    <row r="1200" spans="1:7" hidden="1" x14ac:dyDescent="0.25">
      <c r="A1200" s="43" t="s">
        <v>3267</v>
      </c>
      <c r="B1200" s="81" t="s">
        <v>3223</v>
      </c>
      <c r="C1200" s="26" t="s">
        <v>37</v>
      </c>
      <c r="D1200" s="14"/>
      <c r="E1200" s="15"/>
      <c r="F1200" s="16">
        <f t="shared" si="70"/>
        <v>0</v>
      </c>
      <c r="G1200">
        <f t="shared" si="71"/>
        <v>0</v>
      </c>
    </row>
    <row r="1201" spans="1:7" hidden="1" x14ac:dyDescent="0.25">
      <c r="A1201" s="43" t="s">
        <v>3268</v>
      </c>
      <c r="B1201" s="81" t="s">
        <v>3224</v>
      </c>
      <c r="C1201" s="26" t="s">
        <v>37</v>
      </c>
      <c r="D1201" s="14"/>
      <c r="E1201" s="15"/>
      <c r="F1201" s="16">
        <f t="shared" si="70"/>
        <v>0</v>
      </c>
      <c r="G1201">
        <f t="shared" si="71"/>
        <v>0</v>
      </c>
    </row>
    <row r="1202" spans="1:7" hidden="1" x14ac:dyDescent="0.25">
      <c r="A1202" s="43" t="s">
        <v>3269</v>
      </c>
      <c r="B1202" s="81" t="s">
        <v>3225</v>
      </c>
      <c r="C1202" s="26" t="s">
        <v>37</v>
      </c>
      <c r="D1202" s="14"/>
      <c r="E1202" s="15"/>
      <c r="F1202" s="16">
        <f t="shared" si="70"/>
        <v>0</v>
      </c>
      <c r="G1202">
        <f t="shared" si="71"/>
        <v>0</v>
      </c>
    </row>
    <row r="1203" spans="1:7" hidden="1" x14ac:dyDescent="0.25">
      <c r="A1203" s="43" t="s">
        <v>3270</v>
      </c>
      <c r="B1203" s="81" t="s">
        <v>3217</v>
      </c>
      <c r="C1203" s="26" t="s">
        <v>37</v>
      </c>
      <c r="D1203" s="14"/>
      <c r="E1203" s="15"/>
      <c r="F1203" s="16">
        <f t="shared" si="70"/>
        <v>0</v>
      </c>
      <c r="G1203">
        <f t="shared" si="71"/>
        <v>0</v>
      </c>
    </row>
    <row r="1204" spans="1:7" hidden="1" x14ac:dyDescent="0.25">
      <c r="A1204" s="43" t="s">
        <v>3271</v>
      </c>
      <c r="B1204" s="81" t="s">
        <v>3218</v>
      </c>
      <c r="C1204" s="26" t="s">
        <v>37</v>
      </c>
      <c r="D1204" s="14"/>
      <c r="E1204" s="15"/>
      <c r="F1204" s="16">
        <f t="shared" si="70"/>
        <v>0</v>
      </c>
      <c r="G1204">
        <f t="shared" si="71"/>
        <v>0</v>
      </c>
    </row>
    <row r="1205" spans="1:7" hidden="1" x14ac:dyDescent="0.25">
      <c r="A1205" s="43" t="s">
        <v>3272</v>
      </c>
      <c r="B1205" s="81" t="s">
        <v>3216</v>
      </c>
      <c r="C1205" s="26" t="s">
        <v>37</v>
      </c>
      <c r="D1205" s="14"/>
      <c r="E1205" s="15"/>
      <c r="F1205" s="16">
        <f t="shared" si="70"/>
        <v>0</v>
      </c>
      <c r="G1205">
        <f t="shared" si="71"/>
        <v>0</v>
      </c>
    </row>
    <row r="1206" spans="1:7" hidden="1" x14ac:dyDescent="0.25">
      <c r="A1206" s="43" t="s">
        <v>3273</v>
      </c>
      <c r="B1206" s="81" t="s">
        <v>3215</v>
      </c>
      <c r="C1206" s="26" t="s">
        <v>37</v>
      </c>
      <c r="D1206" s="14"/>
      <c r="E1206" s="15"/>
      <c r="F1206" s="16">
        <f t="shared" si="70"/>
        <v>0</v>
      </c>
      <c r="G1206">
        <f t="shared" si="71"/>
        <v>0</v>
      </c>
    </row>
    <row r="1207" spans="1:7" hidden="1" x14ac:dyDescent="0.25">
      <c r="A1207" s="43" t="s">
        <v>3274</v>
      </c>
      <c r="B1207" s="81" t="s">
        <v>3214</v>
      </c>
      <c r="C1207" s="26" t="s">
        <v>37</v>
      </c>
      <c r="D1207" s="14"/>
      <c r="E1207" s="15"/>
      <c r="F1207" s="16">
        <f t="shared" si="70"/>
        <v>0</v>
      </c>
      <c r="G1207">
        <f t="shared" si="71"/>
        <v>0</v>
      </c>
    </row>
    <row r="1208" spans="1:7" hidden="1" x14ac:dyDescent="0.25">
      <c r="A1208" s="43" t="s">
        <v>3275</v>
      </c>
      <c r="B1208" s="81" t="s">
        <v>3213</v>
      </c>
      <c r="C1208" s="26" t="s">
        <v>37</v>
      </c>
      <c r="D1208" s="14"/>
      <c r="E1208" s="15"/>
      <c r="F1208" s="16">
        <f t="shared" si="70"/>
        <v>0</v>
      </c>
      <c r="G1208">
        <f t="shared" si="71"/>
        <v>0</v>
      </c>
    </row>
    <row r="1209" spans="1:7" hidden="1" x14ac:dyDescent="0.25">
      <c r="A1209" s="43" t="s">
        <v>3276</v>
      </c>
      <c r="B1209" s="81" t="s">
        <v>3212</v>
      </c>
      <c r="C1209" s="26" t="s">
        <v>37</v>
      </c>
      <c r="D1209" s="14"/>
      <c r="E1209" s="15"/>
      <c r="F1209" s="16">
        <f t="shared" si="70"/>
        <v>0</v>
      </c>
      <c r="G1209">
        <f t="shared" si="71"/>
        <v>0</v>
      </c>
    </row>
    <row r="1210" spans="1:7" hidden="1" x14ac:dyDescent="0.25">
      <c r="A1210" s="44" t="s">
        <v>3277</v>
      </c>
      <c r="B1210" s="80" t="s">
        <v>3278</v>
      </c>
      <c r="C1210" s="26" t="s">
        <v>37</v>
      </c>
      <c r="D1210" s="14"/>
      <c r="E1210" s="15"/>
      <c r="F1210" s="16"/>
      <c r="G1210">
        <f t="shared" si="71"/>
        <v>0</v>
      </c>
    </row>
    <row r="1211" spans="1:7" hidden="1" x14ac:dyDescent="0.25">
      <c r="A1211" s="43" t="s">
        <v>3308</v>
      </c>
      <c r="B1211" s="81" t="s">
        <v>3279</v>
      </c>
      <c r="C1211" s="26" t="s">
        <v>37</v>
      </c>
      <c r="D1211" s="14"/>
      <c r="E1211" s="15"/>
      <c r="F1211" s="16">
        <f t="shared" ref="F1211:F1261" si="72">+D1211*E1211</f>
        <v>0</v>
      </c>
      <c r="G1211">
        <f t="shared" si="71"/>
        <v>0</v>
      </c>
    </row>
    <row r="1212" spans="1:7" hidden="1" x14ac:dyDescent="0.25">
      <c r="A1212" s="43" t="s">
        <v>3309</v>
      </c>
      <c r="B1212" s="81" t="s">
        <v>3280</v>
      </c>
      <c r="C1212" s="26" t="s">
        <v>37</v>
      </c>
      <c r="D1212" s="14"/>
      <c r="E1212" s="15"/>
      <c r="F1212" s="16">
        <f t="shared" si="72"/>
        <v>0</v>
      </c>
      <c r="G1212">
        <f t="shared" si="71"/>
        <v>0</v>
      </c>
    </row>
    <row r="1213" spans="1:7" hidden="1" x14ac:dyDescent="0.25">
      <c r="A1213" s="43" t="s">
        <v>3310</v>
      </c>
      <c r="B1213" s="81" t="s">
        <v>3281</v>
      </c>
      <c r="C1213" s="26" t="s">
        <v>37</v>
      </c>
      <c r="D1213" s="14"/>
      <c r="E1213" s="15"/>
      <c r="F1213" s="16">
        <f t="shared" si="72"/>
        <v>0</v>
      </c>
      <c r="G1213">
        <f t="shared" si="71"/>
        <v>0</v>
      </c>
    </row>
    <row r="1214" spans="1:7" hidden="1" x14ac:dyDescent="0.25">
      <c r="A1214" s="43" t="s">
        <v>3311</v>
      </c>
      <c r="B1214" s="81" t="s">
        <v>3282</v>
      </c>
      <c r="C1214" s="26" t="s">
        <v>37</v>
      </c>
      <c r="D1214" s="14"/>
      <c r="E1214" s="15"/>
      <c r="F1214" s="16">
        <f t="shared" si="72"/>
        <v>0</v>
      </c>
      <c r="G1214">
        <f t="shared" si="71"/>
        <v>0</v>
      </c>
    </row>
    <row r="1215" spans="1:7" hidden="1" x14ac:dyDescent="0.25">
      <c r="A1215" s="43" t="s">
        <v>3312</v>
      </c>
      <c r="B1215" s="81" t="s">
        <v>3283</v>
      </c>
      <c r="C1215" s="26" t="s">
        <v>37</v>
      </c>
      <c r="D1215" s="14"/>
      <c r="E1215" s="15"/>
      <c r="F1215" s="16">
        <f t="shared" si="72"/>
        <v>0</v>
      </c>
      <c r="G1215">
        <f t="shared" si="71"/>
        <v>0</v>
      </c>
    </row>
    <row r="1216" spans="1:7" hidden="1" x14ac:dyDescent="0.25">
      <c r="A1216" s="43" t="s">
        <v>3313</v>
      </c>
      <c r="B1216" s="81" t="s">
        <v>3284</v>
      </c>
      <c r="C1216" s="26" t="s">
        <v>37</v>
      </c>
      <c r="D1216" s="14"/>
      <c r="E1216" s="15"/>
      <c r="F1216" s="16">
        <f t="shared" si="72"/>
        <v>0</v>
      </c>
      <c r="G1216">
        <f t="shared" si="71"/>
        <v>0</v>
      </c>
    </row>
    <row r="1217" spans="1:7" hidden="1" x14ac:dyDescent="0.25">
      <c r="A1217" s="43" t="s">
        <v>3314</v>
      </c>
      <c r="B1217" s="81" t="s">
        <v>3285</v>
      </c>
      <c r="C1217" s="26" t="s">
        <v>37</v>
      </c>
      <c r="D1217" s="14"/>
      <c r="E1217" s="15"/>
      <c r="F1217" s="16">
        <f t="shared" si="72"/>
        <v>0</v>
      </c>
      <c r="G1217">
        <f t="shared" si="71"/>
        <v>0</v>
      </c>
    </row>
    <row r="1218" spans="1:7" hidden="1" x14ac:dyDescent="0.25">
      <c r="A1218" s="43" t="s">
        <v>3315</v>
      </c>
      <c r="B1218" s="81" t="s">
        <v>3286</v>
      </c>
      <c r="C1218" s="26" t="s">
        <v>37</v>
      </c>
      <c r="D1218" s="14"/>
      <c r="E1218" s="15"/>
      <c r="F1218" s="16">
        <f t="shared" si="72"/>
        <v>0</v>
      </c>
      <c r="G1218">
        <f t="shared" si="71"/>
        <v>0</v>
      </c>
    </row>
    <row r="1219" spans="1:7" hidden="1" x14ac:dyDescent="0.25">
      <c r="A1219" s="43" t="s">
        <v>3316</v>
      </c>
      <c r="B1219" s="81" t="s">
        <v>3295</v>
      </c>
      <c r="C1219" s="26" t="s">
        <v>37</v>
      </c>
      <c r="D1219" s="14"/>
      <c r="E1219" s="15"/>
      <c r="F1219" s="16">
        <f t="shared" si="72"/>
        <v>0</v>
      </c>
      <c r="G1219">
        <f t="shared" si="71"/>
        <v>0</v>
      </c>
    </row>
    <row r="1220" spans="1:7" hidden="1" x14ac:dyDescent="0.25">
      <c r="A1220" s="43" t="s">
        <v>3317</v>
      </c>
      <c r="B1220" s="81" t="s">
        <v>3296</v>
      </c>
      <c r="C1220" s="26" t="s">
        <v>37</v>
      </c>
      <c r="D1220" s="14"/>
      <c r="E1220" s="15"/>
      <c r="F1220" s="16">
        <f t="shared" si="72"/>
        <v>0</v>
      </c>
      <c r="G1220">
        <f t="shared" si="71"/>
        <v>0</v>
      </c>
    </row>
    <row r="1221" spans="1:7" hidden="1" x14ac:dyDescent="0.25">
      <c r="A1221" s="43" t="s">
        <v>3318</v>
      </c>
      <c r="B1221" s="81" t="s">
        <v>3297</v>
      </c>
      <c r="C1221" s="26" t="s">
        <v>37</v>
      </c>
      <c r="D1221" s="14"/>
      <c r="E1221" s="15"/>
      <c r="F1221" s="16">
        <f t="shared" si="72"/>
        <v>0</v>
      </c>
      <c r="G1221">
        <f t="shared" si="71"/>
        <v>0</v>
      </c>
    </row>
    <row r="1222" spans="1:7" hidden="1" x14ac:dyDescent="0.25">
      <c r="A1222" s="43" t="s">
        <v>3319</v>
      </c>
      <c r="B1222" s="81" t="s">
        <v>3298</v>
      </c>
      <c r="C1222" s="26" t="s">
        <v>37</v>
      </c>
      <c r="D1222" s="14"/>
      <c r="E1222" s="15"/>
      <c r="F1222" s="16">
        <f t="shared" si="72"/>
        <v>0</v>
      </c>
      <c r="G1222">
        <f t="shared" si="71"/>
        <v>0</v>
      </c>
    </row>
    <row r="1223" spans="1:7" hidden="1" x14ac:dyDescent="0.25">
      <c r="A1223" s="43" t="s">
        <v>3320</v>
      </c>
      <c r="B1223" s="81" t="s">
        <v>3299</v>
      </c>
      <c r="C1223" s="26" t="s">
        <v>37</v>
      </c>
      <c r="D1223" s="14"/>
      <c r="E1223" s="15"/>
      <c r="F1223" s="16">
        <f t="shared" si="72"/>
        <v>0</v>
      </c>
      <c r="G1223">
        <f t="shared" si="71"/>
        <v>0</v>
      </c>
    </row>
    <row r="1224" spans="1:7" hidden="1" x14ac:dyDescent="0.25">
      <c r="A1224" s="43" t="s">
        <v>3321</v>
      </c>
      <c r="B1224" s="81" t="s">
        <v>3300</v>
      </c>
      <c r="C1224" s="26" t="s">
        <v>37</v>
      </c>
      <c r="D1224" s="14"/>
      <c r="E1224" s="15"/>
      <c r="F1224" s="16">
        <f t="shared" si="72"/>
        <v>0</v>
      </c>
      <c r="G1224">
        <f t="shared" si="71"/>
        <v>0</v>
      </c>
    </row>
    <row r="1225" spans="1:7" hidden="1" x14ac:dyDescent="0.25">
      <c r="A1225" s="43" t="s">
        <v>3322</v>
      </c>
      <c r="B1225" s="81" t="s">
        <v>3301</v>
      </c>
      <c r="C1225" s="26" t="s">
        <v>37</v>
      </c>
      <c r="D1225" s="14"/>
      <c r="E1225" s="15"/>
      <c r="F1225" s="16">
        <f t="shared" si="72"/>
        <v>0</v>
      </c>
      <c r="G1225">
        <f t="shared" si="71"/>
        <v>0</v>
      </c>
    </row>
    <row r="1226" spans="1:7" hidden="1" x14ac:dyDescent="0.25">
      <c r="A1226" s="43" t="s">
        <v>3323</v>
      </c>
      <c r="B1226" s="81" t="s">
        <v>3302</v>
      </c>
      <c r="C1226" s="26" t="s">
        <v>37</v>
      </c>
      <c r="D1226" s="14"/>
      <c r="E1226" s="15"/>
      <c r="F1226" s="16">
        <f t="shared" si="72"/>
        <v>0</v>
      </c>
      <c r="G1226">
        <f t="shared" si="71"/>
        <v>0</v>
      </c>
    </row>
    <row r="1227" spans="1:7" hidden="1" x14ac:dyDescent="0.25">
      <c r="A1227" s="43" t="s">
        <v>3324</v>
      </c>
      <c r="B1227" s="81" t="s">
        <v>3303</v>
      </c>
      <c r="C1227" s="26" t="s">
        <v>37</v>
      </c>
      <c r="D1227" s="14"/>
      <c r="E1227" s="15"/>
      <c r="F1227" s="16">
        <f t="shared" si="72"/>
        <v>0</v>
      </c>
      <c r="G1227">
        <f t="shared" si="71"/>
        <v>0</v>
      </c>
    </row>
    <row r="1228" spans="1:7" hidden="1" x14ac:dyDescent="0.25">
      <c r="A1228" s="43" t="s">
        <v>3325</v>
      </c>
      <c r="B1228" s="81" t="s">
        <v>3304</v>
      </c>
      <c r="C1228" s="26" t="s">
        <v>37</v>
      </c>
      <c r="D1228" s="14"/>
      <c r="E1228" s="15"/>
      <c r="F1228" s="16">
        <f t="shared" si="72"/>
        <v>0</v>
      </c>
      <c r="G1228">
        <f t="shared" si="71"/>
        <v>0</v>
      </c>
    </row>
    <row r="1229" spans="1:7" hidden="1" x14ac:dyDescent="0.25">
      <c r="A1229" s="43" t="s">
        <v>3326</v>
      </c>
      <c r="B1229" s="81" t="s">
        <v>3305</v>
      </c>
      <c r="C1229" s="26" t="s">
        <v>37</v>
      </c>
      <c r="D1229" s="14"/>
      <c r="E1229" s="15"/>
      <c r="F1229" s="16">
        <f t="shared" si="72"/>
        <v>0</v>
      </c>
      <c r="G1229">
        <f t="shared" si="71"/>
        <v>0</v>
      </c>
    </row>
    <row r="1230" spans="1:7" hidden="1" x14ac:dyDescent="0.25">
      <c r="A1230" s="43" t="s">
        <v>3327</v>
      </c>
      <c r="B1230" s="81" t="s">
        <v>3306</v>
      </c>
      <c r="C1230" s="26" t="s">
        <v>37</v>
      </c>
      <c r="D1230" s="14"/>
      <c r="E1230" s="15"/>
      <c r="F1230" s="16">
        <f t="shared" si="72"/>
        <v>0</v>
      </c>
      <c r="G1230">
        <f t="shared" si="71"/>
        <v>0</v>
      </c>
    </row>
    <row r="1231" spans="1:7" hidden="1" x14ac:dyDescent="0.25">
      <c r="A1231" s="43" t="s">
        <v>3328</v>
      </c>
      <c r="B1231" s="81" t="s">
        <v>3307</v>
      </c>
      <c r="C1231" s="26" t="s">
        <v>37</v>
      </c>
      <c r="D1231" s="14"/>
      <c r="E1231" s="15"/>
      <c r="F1231" s="16">
        <f t="shared" si="72"/>
        <v>0</v>
      </c>
      <c r="G1231">
        <f t="shared" si="71"/>
        <v>0</v>
      </c>
    </row>
    <row r="1232" spans="1:7" hidden="1" x14ac:dyDescent="0.25">
      <c r="A1232" s="43" t="s">
        <v>3329</v>
      </c>
      <c r="B1232" s="81" t="s">
        <v>3359</v>
      </c>
      <c r="C1232" s="26" t="s">
        <v>37</v>
      </c>
      <c r="D1232" s="14"/>
      <c r="E1232" s="15"/>
      <c r="F1232" s="16">
        <f t="shared" si="72"/>
        <v>0</v>
      </c>
      <c r="G1232">
        <f t="shared" si="71"/>
        <v>0</v>
      </c>
    </row>
    <row r="1233" spans="1:7" hidden="1" x14ac:dyDescent="0.25">
      <c r="A1233" s="43" t="s">
        <v>3330</v>
      </c>
      <c r="B1233" s="81" t="s">
        <v>3360</v>
      </c>
      <c r="C1233" s="26" t="s">
        <v>37</v>
      </c>
      <c r="D1233" s="14"/>
      <c r="E1233" s="15"/>
      <c r="F1233" s="16">
        <f t="shared" si="72"/>
        <v>0</v>
      </c>
      <c r="G1233">
        <f t="shared" si="71"/>
        <v>0</v>
      </c>
    </row>
    <row r="1234" spans="1:7" hidden="1" x14ac:dyDescent="0.25">
      <c r="A1234" s="43" t="s">
        <v>3331</v>
      </c>
      <c r="B1234" s="81" t="s">
        <v>3362</v>
      </c>
      <c r="C1234" s="26" t="s">
        <v>37</v>
      </c>
      <c r="D1234" s="14"/>
      <c r="E1234" s="15"/>
      <c r="F1234" s="16">
        <f t="shared" si="72"/>
        <v>0</v>
      </c>
      <c r="G1234">
        <f t="shared" si="71"/>
        <v>0</v>
      </c>
    </row>
    <row r="1235" spans="1:7" hidden="1" x14ac:dyDescent="0.25">
      <c r="A1235" s="43" t="s">
        <v>3332</v>
      </c>
      <c r="B1235" s="81" t="s">
        <v>3361</v>
      </c>
      <c r="C1235" s="26" t="s">
        <v>37</v>
      </c>
      <c r="D1235" s="14"/>
      <c r="E1235" s="15"/>
      <c r="F1235" s="16">
        <f t="shared" si="72"/>
        <v>0</v>
      </c>
      <c r="G1235">
        <f t="shared" si="71"/>
        <v>0</v>
      </c>
    </row>
    <row r="1236" spans="1:7" hidden="1" x14ac:dyDescent="0.25">
      <c r="A1236" s="43" t="s">
        <v>3333</v>
      </c>
      <c r="B1236" s="81" t="s">
        <v>3363</v>
      </c>
      <c r="C1236" s="26" t="s">
        <v>37</v>
      </c>
      <c r="D1236" s="14"/>
      <c r="E1236" s="15"/>
      <c r="F1236" s="16">
        <f t="shared" si="72"/>
        <v>0</v>
      </c>
      <c r="G1236">
        <f t="shared" si="71"/>
        <v>0</v>
      </c>
    </row>
    <row r="1237" spans="1:7" hidden="1" x14ac:dyDescent="0.25">
      <c r="A1237" s="43" t="s">
        <v>3334</v>
      </c>
      <c r="B1237" s="81" t="s">
        <v>3370</v>
      </c>
      <c r="C1237" s="26" t="s">
        <v>37</v>
      </c>
      <c r="D1237" s="14"/>
      <c r="E1237" s="15"/>
      <c r="F1237" s="16">
        <f t="shared" si="72"/>
        <v>0</v>
      </c>
      <c r="G1237">
        <f t="shared" si="71"/>
        <v>0</v>
      </c>
    </row>
    <row r="1238" spans="1:7" hidden="1" x14ac:dyDescent="0.25">
      <c r="A1238" s="43" t="s">
        <v>3335</v>
      </c>
      <c r="B1238" s="81" t="s">
        <v>3371</v>
      </c>
      <c r="C1238" s="26" t="s">
        <v>37</v>
      </c>
      <c r="D1238" s="14"/>
      <c r="E1238" s="15"/>
      <c r="F1238" s="16">
        <f t="shared" si="72"/>
        <v>0</v>
      </c>
      <c r="G1238">
        <f t="shared" si="71"/>
        <v>0</v>
      </c>
    </row>
    <row r="1239" spans="1:7" hidden="1" x14ac:dyDescent="0.25">
      <c r="A1239" s="43" t="s">
        <v>3336</v>
      </c>
      <c r="B1239" s="81" t="s">
        <v>3372</v>
      </c>
      <c r="C1239" s="26" t="s">
        <v>37</v>
      </c>
      <c r="D1239" s="14"/>
      <c r="E1239" s="15"/>
      <c r="F1239" s="16">
        <f t="shared" si="72"/>
        <v>0</v>
      </c>
      <c r="G1239">
        <f t="shared" si="71"/>
        <v>0</v>
      </c>
    </row>
    <row r="1240" spans="1:7" hidden="1" x14ac:dyDescent="0.25">
      <c r="A1240" s="43" t="s">
        <v>3337</v>
      </c>
      <c r="B1240" s="81" t="s">
        <v>3373</v>
      </c>
      <c r="C1240" s="26" t="s">
        <v>37</v>
      </c>
      <c r="D1240" s="14"/>
      <c r="E1240" s="15"/>
      <c r="F1240" s="16">
        <f t="shared" si="72"/>
        <v>0</v>
      </c>
      <c r="G1240">
        <f t="shared" si="71"/>
        <v>0</v>
      </c>
    </row>
    <row r="1241" spans="1:7" hidden="1" x14ac:dyDescent="0.25">
      <c r="A1241" s="43" t="s">
        <v>3338</v>
      </c>
      <c r="B1241" s="81" t="s">
        <v>3374</v>
      </c>
      <c r="C1241" s="26" t="s">
        <v>37</v>
      </c>
      <c r="D1241" s="14"/>
      <c r="E1241" s="15"/>
      <c r="F1241" s="16">
        <f t="shared" si="72"/>
        <v>0</v>
      </c>
      <c r="G1241">
        <f t="shared" si="71"/>
        <v>0</v>
      </c>
    </row>
    <row r="1242" spans="1:7" hidden="1" x14ac:dyDescent="0.25">
      <c r="A1242" s="43" t="s">
        <v>3339</v>
      </c>
      <c r="B1242" s="81" t="s">
        <v>3375</v>
      </c>
      <c r="C1242" s="26" t="s">
        <v>37</v>
      </c>
      <c r="D1242" s="14"/>
      <c r="E1242" s="15"/>
      <c r="F1242" s="16">
        <f t="shared" si="72"/>
        <v>0</v>
      </c>
      <c r="G1242">
        <f t="shared" si="71"/>
        <v>0</v>
      </c>
    </row>
    <row r="1243" spans="1:7" hidden="1" x14ac:dyDescent="0.25">
      <c r="A1243" s="43" t="s">
        <v>3340</v>
      </c>
      <c r="B1243" s="81" t="s">
        <v>3376</v>
      </c>
      <c r="C1243" s="26" t="s">
        <v>37</v>
      </c>
      <c r="D1243" s="14"/>
      <c r="E1243" s="15"/>
      <c r="F1243" s="16">
        <f t="shared" si="72"/>
        <v>0</v>
      </c>
      <c r="G1243">
        <f t="shared" si="71"/>
        <v>0</v>
      </c>
    </row>
    <row r="1244" spans="1:7" hidden="1" x14ac:dyDescent="0.25">
      <c r="A1244" s="43" t="s">
        <v>3341</v>
      </c>
      <c r="B1244" s="81" t="s">
        <v>3377</v>
      </c>
      <c r="C1244" s="26" t="s">
        <v>37</v>
      </c>
      <c r="D1244" s="14"/>
      <c r="E1244" s="15"/>
      <c r="F1244" s="16">
        <f t="shared" si="72"/>
        <v>0</v>
      </c>
      <c r="G1244">
        <f t="shared" si="71"/>
        <v>0</v>
      </c>
    </row>
    <row r="1245" spans="1:7" hidden="1" x14ac:dyDescent="0.25">
      <c r="A1245" s="43" t="s">
        <v>3342</v>
      </c>
      <c r="B1245" s="81" t="s">
        <v>3378</v>
      </c>
      <c r="C1245" s="26" t="s">
        <v>37</v>
      </c>
      <c r="D1245" s="14"/>
      <c r="E1245" s="15"/>
      <c r="F1245" s="16">
        <f t="shared" si="72"/>
        <v>0</v>
      </c>
      <c r="G1245">
        <f t="shared" si="71"/>
        <v>0</v>
      </c>
    </row>
    <row r="1246" spans="1:7" hidden="1" x14ac:dyDescent="0.25">
      <c r="A1246" s="43" t="s">
        <v>3343</v>
      </c>
      <c r="B1246" s="81" t="s">
        <v>3379</v>
      </c>
      <c r="C1246" s="26" t="s">
        <v>37</v>
      </c>
      <c r="D1246" s="14"/>
      <c r="E1246" s="15"/>
      <c r="F1246" s="16">
        <f t="shared" si="72"/>
        <v>0</v>
      </c>
      <c r="G1246">
        <f t="shared" si="71"/>
        <v>0</v>
      </c>
    </row>
    <row r="1247" spans="1:7" hidden="1" x14ac:dyDescent="0.25">
      <c r="A1247" s="43" t="s">
        <v>3344</v>
      </c>
      <c r="B1247" s="81" t="s">
        <v>3380</v>
      </c>
      <c r="C1247" s="26" t="s">
        <v>37</v>
      </c>
      <c r="D1247" s="14"/>
      <c r="E1247" s="15"/>
      <c r="F1247" s="16">
        <f t="shared" si="72"/>
        <v>0</v>
      </c>
      <c r="G1247">
        <f t="shared" si="71"/>
        <v>0</v>
      </c>
    </row>
    <row r="1248" spans="1:7" hidden="1" x14ac:dyDescent="0.25">
      <c r="A1248" s="43" t="s">
        <v>3345</v>
      </c>
      <c r="B1248" s="81" t="s">
        <v>3369</v>
      </c>
      <c r="C1248" s="26" t="s">
        <v>37</v>
      </c>
      <c r="D1248" s="14"/>
      <c r="E1248" s="15"/>
      <c r="F1248" s="16">
        <f t="shared" si="72"/>
        <v>0</v>
      </c>
      <c r="G1248">
        <f t="shared" si="71"/>
        <v>0</v>
      </c>
    </row>
    <row r="1249" spans="1:7" hidden="1" x14ac:dyDescent="0.25">
      <c r="A1249" s="43" t="s">
        <v>3346</v>
      </c>
      <c r="B1249" s="81" t="s">
        <v>3364</v>
      </c>
      <c r="C1249" s="26" t="s">
        <v>37</v>
      </c>
      <c r="D1249" s="14"/>
      <c r="E1249" s="15"/>
      <c r="F1249" s="16">
        <f t="shared" si="72"/>
        <v>0</v>
      </c>
      <c r="G1249">
        <f t="shared" si="71"/>
        <v>0</v>
      </c>
    </row>
    <row r="1250" spans="1:7" hidden="1" x14ac:dyDescent="0.25">
      <c r="A1250" s="43" t="s">
        <v>3347</v>
      </c>
      <c r="B1250" s="81" t="s">
        <v>3365</v>
      </c>
      <c r="C1250" s="26" t="s">
        <v>37</v>
      </c>
      <c r="D1250" s="14"/>
      <c r="E1250" s="15"/>
      <c r="F1250" s="16">
        <f t="shared" si="72"/>
        <v>0</v>
      </c>
      <c r="G1250">
        <f t="shared" si="71"/>
        <v>0</v>
      </c>
    </row>
    <row r="1251" spans="1:7" hidden="1" x14ac:dyDescent="0.25">
      <c r="A1251" s="43" t="s">
        <v>3348</v>
      </c>
      <c r="B1251" s="81" t="s">
        <v>3366</v>
      </c>
      <c r="C1251" s="26" t="s">
        <v>37</v>
      </c>
      <c r="D1251" s="14"/>
      <c r="E1251" s="15"/>
      <c r="F1251" s="16">
        <f t="shared" si="72"/>
        <v>0</v>
      </c>
      <c r="G1251">
        <f t="shared" si="71"/>
        <v>0</v>
      </c>
    </row>
    <row r="1252" spans="1:7" hidden="1" x14ac:dyDescent="0.25">
      <c r="A1252" s="43" t="s">
        <v>3349</v>
      </c>
      <c r="B1252" s="81" t="s">
        <v>3367</v>
      </c>
      <c r="C1252" s="26" t="s">
        <v>37</v>
      </c>
      <c r="D1252" s="14"/>
      <c r="E1252" s="15"/>
      <c r="F1252" s="16">
        <f t="shared" si="72"/>
        <v>0</v>
      </c>
      <c r="G1252">
        <f t="shared" ref="G1252:G1315" si="73">+IF(F1252&lt;&gt;0,1,0)</f>
        <v>0</v>
      </c>
    </row>
    <row r="1253" spans="1:7" hidden="1" x14ac:dyDescent="0.25">
      <c r="A1253" s="43" t="s">
        <v>3350</v>
      </c>
      <c r="B1253" s="81" t="s">
        <v>3368</v>
      </c>
      <c r="C1253" s="26" t="s">
        <v>37</v>
      </c>
      <c r="D1253" s="14"/>
      <c r="E1253" s="15"/>
      <c r="F1253" s="16">
        <f t="shared" si="72"/>
        <v>0</v>
      </c>
      <c r="G1253">
        <f t="shared" si="73"/>
        <v>0</v>
      </c>
    </row>
    <row r="1254" spans="1:7" hidden="1" x14ac:dyDescent="0.25">
      <c r="A1254" s="43" t="s">
        <v>3351</v>
      </c>
      <c r="B1254" s="81" t="s">
        <v>3294</v>
      </c>
      <c r="C1254" s="26" t="s">
        <v>37</v>
      </c>
      <c r="D1254" s="14"/>
      <c r="E1254" s="15"/>
      <c r="F1254" s="16">
        <f t="shared" si="72"/>
        <v>0</v>
      </c>
      <c r="G1254">
        <f t="shared" si="73"/>
        <v>0</v>
      </c>
    </row>
    <row r="1255" spans="1:7" hidden="1" x14ac:dyDescent="0.25">
      <c r="A1255" s="43" t="s">
        <v>3352</v>
      </c>
      <c r="B1255" s="81" t="s">
        <v>3293</v>
      </c>
      <c r="C1255" s="26" t="s">
        <v>37</v>
      </c>
      <c r="D1255" s="14"/>
      <c r="E1255" s="15"/>
      <c r="F1255" s="16">
        <f t="shared" si="72"/>
        <v>0</v>
      </c>
      <c r="G1255">
        <f t="shared" si="73"/>
        <v>0</v>
      </c>
    </row>
    <row r="1256" spans="1:7" hidden="1" x14ac:dyDescent="0.25">
      <c r="A1256" s="43" t="s">
        <v>3353</v>
      </c>
      <c r="B1256" s="81" t="s">
        <v>3292</v>
      </c>
      <c r="C1256" s="26" t="s">
        <v>37</v>
      </c>
      <c r="D1256" s="14"/>
      <c r="E1256" s="15"/>
      <c r="F1256" s="16">
        <f t="shared" si="72"/>
        <v>0</v>
      </c>
      <c r="G1256">
        <f t="shared" si="73"/>
        <v>0</v>
      </c>
    </row>
    <row r="1257" spans="1:7" hidden="1" x14ac:dyDescent="0.25">
      <c r="A1257" s="43" t="s">
        <v>3354</v>
      </c>
      <c r="B1257" s="81" t="s">
        <v>3291</v>
      </c>
      <c r="C1257" s="26" t="s">
        <v>37</v>
      </c>
      <c r="D1257" s="14"/>
      <c r="E1257" s="15"/>
      <c r="F1257" s="16">
        <f t="shared" si="72"/>
        <v>0</v>
      </c>
      <c r="G1257">
        <f t="shared" si="73"/>
        <v>0</v>
      </c>
    </row>
    <row r="1258" spans="1:7" hidden="1" x14ac:dyDescent="0.25">
      <c r="A1258" s="43" t="s">
        <v>3355</v>
      </c>
      <c r="B1258" s="81" t="s">
        <v>3290</v>
      </c>
      <c r="C1258" s="26" t="s">
        <v>37</v>
      </c>
      <c r="D1258" s="14"/>
      <c r="E1258" s="15"/>
      <c r="F1258" s="16">
        <f t="shared" si="72"/>
        <v>0</v>
      </c>
      <c r="G1258">
        <f t="shared" si="73"/>
        <v>0</v>
      </c>
    </row>
    <row r="1259" spans="1:7" hidden="1" x14ac:dyDescent="0.25">
      <c r="A1259" s="43" t="s">
        <v>3356</v>
      </c>
      <c r="B1259" s="81" t="s">
        <v>3289</v>
      </c>
      <c r="C1259" s="26" t="s">
        <v>37</v>
      </c>
      <c r="D1259" s="14"/>
      <c r="E1259" s="15"/>
      <c r="F1259" s="16">
        <f t="shared" si="72"/>
        <v>0</v>
      </c>
      <c r="G1259">
        <f t="shared" si="73"/>
        <v>0</v>
      </c>
    </row>
    <row r="1260" spans="1:7" hidden="1" x14ac:dyDescent="0.25">
      <c r="A1260" s="43" t="s">
        <v>3357</v>
      </c>
      <c r="B1260" s="81" t="s">
        <v>3288</v>
      </c>
      <c r="C1260" s="26" t="s">
        <v>37</v>
      </c>
      <c r="D1260" s="14"/>
      <c r="E1260" s="15"/>
      <c r="F1260" s="16">
        <f t="shared" si="72"/>
        <v>0</v>
      </c>
      <c r="G1260">
        <f t="shared" si="73"/>
        <v>0</v>
      </c>
    </row>
    <row r="1261" spans="1:7" hidden="1" x14ac:dyDescent="0.25">
      <c r="A1261" s="43" t="s">
        <v>3358</v>
      </c>
      <c r="B1261" s="81" t="s">
        <v>3287</v>
      </c>
      <c r="C1261" s="26" t="s">
        <v>37</v>
      </c>
      <c r="D1261" s="14"/>
      <c r="E1261" s="15"/>
      <c r="F1261" s="16">
        <f t="shared" si="72"/>
        <v>0</v>
      </c>
      <c r="G1261">
        <f t="shared" si="73"/>
        <v>0</v>
      </c>
    </row>
    <row r="1262" spans="1:7" hidden="1" x14ac:dyDescent="0.25">
      <c r="A1262" s="44" t="s">
        <v>3433</v>
      </c>
      <c r="B1262" s="80" t="s">
        <v>3432</v>
      </c>
      <c r="C1262" s="26" t="s">
        <v>37</v>
      </c>
      <c r="D1262" s="14"/>
      <c r="E1262" s="15"/>
      <c r="F1262" s="16"/>
      <c r="G1262">
        <f t="shared" si="73"/>
        <v>0</v>
      </c>
    </row>
    <row r="1263" spans="1:7" hidden="1" x14ac:dyDescent="0.25">
      <c r="A1263" s="43" t="s">
        <v>3434</v>
      </c>
      <c r="B1263" s="81" t="s">
        <v>3381</v>
      </c>
      <c r="C1263" s="26" t="s">
        <v>37</v>
      </c>
      <c r="D1263" s="14"/>
      <c r="E1263" s="15"/>
      <c r="F1263" s="16">
        <f t="shared" ref="F1263:F1326" si="74">+D1263*E1263</f>
        <v>0</v>
      </c>
      <c r="G1263">
        <f t="shared" si="73"/>
        <v>0</v>
      </c>
    </row>
    <row r="1264" spans="1:7" hidden="1" x14ac:dyDescent="0.25">
      <c r="A1264" s="43" t="s">
        <v>3435</v>
      </c>
      <c r="B1264" s="81" t="s">
        <v>3382</v>
      </c>
      <c r="C1264" s="26" t="s">
        <v>37</v>
      </c>
      <c r="D1264" s="14"/>
      <c r="E1264" s="15"/>
      <c r="F1264" s="16">
        <f t="shared" si="74"/>
        <v>0</v>
      </c>
      <c r="G1264">
        <f t="shared" si="73"/>
        <v>0</v>
      </c>
    </row>
    <row r="1265" spans="1:7" hidden="1" x14ac:dyDescent="0.25">
      <c r="A1265" s="43" t="s">
        <v>3436</v>
      </c>
      <c r="B1265" s="81" t="s">
        <v>3383</v>
      </c>
      <c r="C1265" s="26" t="s">
        <v>37</v>
      </c>
      <c r="D1265" s="14"/>
      <c r="E1265" s="15"/>
      <c r="F1265" s="16">
        <f t="shared" si="74"/>
        <v>0</v>
      </c>
      <c r="G1265">
        <f t="shared" si="73"/>
        <v>0</v>
      </c>
    </row>
    <row r="1266" spans="1:7" hidden="1" x14ac:dyDescent="0.25">
      <c r="A1266" s="43" t="s">
        <v>3437</v>
      </c>
      <c r="B1266" s="81" t="s">
        <v>3384</v>
      </c>
      <c r="C1266" s="26" t="s">
        <v>37</v>
      </c>
      <c r="D1266" s="14"/>
      <c r="E1266" s="15"/>
      <c r="F1266" s="16">
        <f t="shared" si="74"/>
        <v>0</v>
      </c>
      <c r="G1266">
        <f t="shared" si="73"/>
        <v>0</v>
      </c>
    </row>
    <row r="1267" spans="1:7" hidden="1" x14ac:dyDescent="0.25">
      <c r="A1267" s="43" t="s">
        <v>3438</v>
      </c>
      <c r="B1267" s="81" t="s">
        <v>3385</v>
      </c>
      <c r="C1267" s="26" t="s">
        <v>37</v>
      </c>
      <c r="D1267" s="14"/>
      <c r="E1267" s="15"/>
      <c r="F1267" s="16">
        <f t="shared" si="74"/>
        <v>0</v>
      </c>
      <c r="G1267">
        <f t="shared" si="73"/>
        <v>0</v>
      </c>
    </row>
    <row r="1268" spans="1:7" hidden="1" x14ac:dyDescent="0.25">
      <c r="A1268" s="43" t="s">
        <v>3439</v>
      </c>
      <c r="B1268" s="81" t="s">
        <v>3386</v>
      </c>
      <c r="C1268" s="26" t="s">
        <v>37</v>
      </c>
      <c r="D1268" s="14"/>
      <c r="E1268" s="15"/>
      <c r="F1268" s="16">
        <f t="shared" si="74"/>
        <v>0</v>
      </c>
      <c r="G1268">
        <f t="shared" si="73"/>
        <v>0</v>
      </c>
    </row>
    <row r="1269" spans="1:7" hidden="1" x14ac:dyDescent="0.25">
      <c r="A1269" s="43" t="s">
        <v>3440</v>
      </c>
      <c r="B1269" s="81" t="s">
        <v>3387</v>
      </c>
      <c r="C1269" s="26" t="s">
        <v>37</v>
      </c>
      <c r="D1269" s="14"/>
      <c r="E1269" s="15"/>
      <c r="F1269" s="16">
        <f t="shared" si="74"/>
        <v>0</v>
      </c>
      <c r="G1269">
        <f t="shared" si="73"/>
        <v>0</v>
      </c>
    </row>
    <row r="1270" spans="1:7" hidden="1" x14ac:dyDescent="0.25">
      <c r="A1270" s="43" t="s">
        <v>3441</v>
      </c>
      <c r="B1270" s="81" t="s">
        <v>3388</v>
      </c>
      <c r="C1270" s="26" t="s">
        <v>37</v>
      </c>
      <c r="D1270" s="14"/>
      <c r="E1270" s="15"/>
      <c r="F1270" s="16">
        <f t="shared" si="74"/>
        <v>0</v>
      </c>
      <c r="G1270">
        <f t="shared" si="73"/>
        <v>0</v>
      </c>
    </row>
    <row r="1271" spans="1:7" hidden="1" x14ac:dyDescent="0.25">
      <c r="A1271" s="43" t="s">
        <v>3442</v>
      </c>
      <c r="B1271" s="81" t="s">
        <v>3389</v>
      </c>
      <c r="C1271" s="26" t="s">
        <v>37</v>
      </c>
      <c r="D1271" s="14"/>
      <c r="E1271" s="15"/>
      <c r="F1271" s="16">
        <f t="shared" si="74"/>
        <v>0</v>
      </c>
      <c r="G1271">
        <f t="shared" si="73"/>
        <v>0</v>
      </c>
    </row>
    <row r="1272" spans="1:7" hidden="1" x14ac:dyDescent="0.25">
      <c r="A1272" s="43" t="s">
        <v>3443</v>
      </c>
      <c r="B1272" s="81" t="s">
        <v>3390</v>
      </c>
      <c r="C1272" s="26" t="s">
        <v>37</v>
      </c>
      <c r="D1272" s="14"/>
      <c r="E1272" s="15"/>
      <c r="F1272" s="16">
        <f t="shared" si="74"/>
        <v>0</v>
      </c>
      <c r="G1272">
        <f t="shared" si="73"/>
        <v>0</v>
      </c>
    </row>
    <row r="1273" spans="1:7" hidden="1" x14ac:dyDescent="0.25">
      <c r="A1273" s="43" t="s">
        <v>3444</v>
      </c>
      <c r="B1273" s="81" t="s">
        <v>3391</v>
      </c>
      <c r="C1273" s="26" t="s">
        <v>37</v>
      </c>
      <c r="D1273" s="14"/>
      <c r="E1273" s="15"/>
      <c r="F1273" s="16">
        <f t="shared" si="74"/>
        <v>0</v>
      </c>
      <c r="G1273">
        <f t="shared" si="73"/>
        <v>0</v>
      </c>
    </row>
    <row r="1274" spans="1:7" hidden="1" x14ac:dyDescent="0.25">
      <c r="A1274" s="43" t="s">
        <v>3445</v>
      </c>
      <c r="B1274" s="81" t="s">
        <v>3392</v>
      </c>
      <c r="C1274" s="26" t="s">
        <v>37</v>
      </c>
      <c r="D1274" s="14"/>
      <c r="E1274" s="15"/>
      <c r="F1274" s="16">
        <f t="shared" si="74"/>
        <v>0</v>
      </c>
      <c r="G1274">
        <f t="shared" si="73"/>
        <v>0</v>
      </c>
    </row>
    <row r="1275" spans="1:7" hidden="1" x14ac:dyDescent="0.25">
      <c r="A1275" s="43" t="s">
        <v>3446</v>
      </c>
      <c r="B1275" s="81" t="s">
        <v>3393</v>
      </c>
      <c r="C1275" s="26" t="s">
        <v>37</v>
      </c>
      <c r="D1275" s="14"/>
      <c r="E1275" s="15"/>
      <c r="F1275" s="16">
        <f t="shared" si="74"/>
        <v>0</v>
      </c>
      <c r="G1275">
        <f t="shared" si="73"/>
        <v>0</v>
      </c>
    </row>
    <row r="1276" spans="1:7" hidden="1" x14ac:dyDescent="0.25">
      <c r="A1276" s="43" t="s">
        <v>3447</v>
      </c>
      <c r="B1276" s="81" t="s">
        <v>3394</v>
      </c>
      <c r="C1276" s="26" t="s">
        <v>37</v>
      </c>
      <c r="D1276" s="14"/>
      <c r="E1276" s="15"/>
      <c r="F1276" s="16">
        <f t="shared" si="74"/>
        <v>0</v>
      </c>
      <c r="G1276">
        <f t="shared" si="73"/>
        <v>0</v>
      </c>
    </row>
    <row r="1277" spans="1:7" hidden="1" x14ac:dyDescent="0.25">
      <c r="A1277" s="43" t="s">
        <v>3448</v>
      </c>
      <c r="B1277" s="81" t="s">
        <v>3395</v>
      </c>
      <c r="C1277" s="26" t="s">
        <v>37</v>
      </c>
      <c r="D1277" s="14"/>
      <c r="E1277" s="15"/>
      <c r="F1277" s="16">
        <f t="shared" si="74"/>
        <v>0</v>
      </c>
      <c r="G1277">
        <f t="shared" si="73"/>
        <v>0</v>
      </c>
    </row>
    <row r="1278" spans="1:7" hidden="1" x14ac:dyDescent="0.25">
      <c r="A1278" s="43" t="s">
        <v>3449</v>
      </c>
      <c r="B1278" s="81" t="s">
        <v>3396</v>
      </c>
      <c r="C1278" s="26" t="s">
        <v>37</v>
      </c>
      <c r="D1278" s="14"/>
      <c r="E1278" s="15"/>
      <c r="F1278" s="16">
        <f t="shared" si="74"/>
        <v>0</v>
      </c>
      <c r="G1278">
        <f t="shared" si="73"/>
        <v>0</v>
      </c>
    </row>
    <row r="1279" spans="1:7" hidden="1" x14ac:dyDescent="0.25">
      <c r="A1279" s="43" t="s">
        <v>3450</v>
      </c>
      <c r="B1279" s="81" t="s">
        <v>3397</v>
      </c>
      <c r="C1279" s="26" t="s">
        <v>37</v>
      </c>
      <c r="D1279" s="14"/>
      <c r="E1279" s="15"/>
      <c r="F1279" s="16">
        <f t="shared" si="74"/>
        <v>0</v>
      </c>
      <c r="G1279">
        <f t="shared" si="73"/>
        <v>0</v>
      </c>
    </row>
    <row r="1280" spans="1:7" hidden="1" x14ac:dyDescent="0.25">
      <c r="A1280" s="43" t="s">
        <v>3451</v>
      </c>
      <c r="B1280" s="81" t="s">
        <v>3398</v>
      </c>
      <c r="C1280" s="26" t="s">
        <v>37</v>
      </c>
      <c r="D1280" s="14"/>
      <c r="E1280" s="15"/>
      <c r="F1280" s="16">
        <f t="shared" si="74"/>
        <v>0</v>
      </c>
      <c r="G1280">
        <f t="shared" si="73"/>
        <v>0</v>
      </c>
    </row>
    <row r="1281" spans="1:7" hidden="1" x14ac:dyDescent="0.25">
      <c r="A1281" s="43" t="s">
        <v>3452</v>
      </c>
      <c r="B1281" s="81" t="s">
        <v>3399</v>
      </c>
      <c r="C1281" s="26" t="s">
        <v>37</v>
      </c>
      <c r="D1281" s="14"/>
      <c r="E1281" s="15"/>
      <c r="F1281" s="16">
        <f t="shared" si="74"/>
        <v>0</v>
      </c>
      <c r="G1281">
        <f t="shared" si="73"/>
        <v>0</v>
      </c>
    </row>
    <row r="1282" spans="1:7" hidden="1" x14ac:dyDescent="0.25">
      <c r="A1282" s="43" t="s">
        <v>3453</v>
      </c>
      <c r="B1282" s="81" t="s">
        <v>3400</v>
      </c>
      <c r="C1282" s="26" t="s">
        <v>37</v>
      </c>
      <c r="D1282" s="14"/>
      <c r="E1282" s="15"/>
      <c r="F1282" s="16">
        <f t="shared" si="74"/>
        <v>0</v>
      </c>
      <c r="G1282">
        <f t="shared" si="73"/>
        <v>0</v>
      </c>
    </row>
    <row r="1283" spans="1:7" hidden="1" x14ac:dyDescent="0.25">
      <c r="A1283" s="43" t="s">
        <v>3454</v>
      </c>
      <c r="B1283" s="81" t="s">
        <v>3401</v>
      </c>
      <c r="C1283" s="26" t="s">
        <v>37</v>
      </c>
      <c r="D1283" s="14"/>
      <c r="E1283" s="15"/>
      <c r="F1283" s="16">
        <f t="shared" si="74"/>
        <v>0</v>
      </c>
      <c r="G1283">
        <f t="shared" si="73"/>
        <v>0</v>
      </c>
    </row>
    <row r="1284" spans="1:7" hidden="1" x14ac:dyDescent="0.25">
      <c r="A1284" s="43" t="s">
        <v>3455</v>
      </c>
      <c r="B1284" s="81" t="s">
        <v>3402</v>
      </c>
      <c r="C1284" s="26" t="s">
        <v>37</v>
      </c>
      <c r="D1284" s="14"/>
      <c r="E1284" s="15"/>
      <c r="F1284" s="16">
        <f t="shared" si="74"/>
        <v>0</v>
      </c>
      <c r="G1284">
        <f t="shared" si="73"/>
        <v>0</v>
      </c>
    </row>
    <row r="1285" spans="1:7" hidden="1" x14ac:dyDescent="0.25">
      <c r="A1285" s="43" t="s">
        <v>3456</v>
      </c>
      <c r="B1285" s="81" t="s">
        <v>3403</v>
      </c>
      <c r="C1285" s="26" t="s">
        <v>37</v>
      </c>
      <c r="D1285" s="14"/>
      <c r="E1285" s="15"/>
      <c r="F1285" s="16">
        <f t="shared" si="74"/>
        <v>0</v>
      </c>
      <c r="G1285">
        <f t="shared" si="73"/>
        <v>0</v>
      </c>
    </row>
    <row r="1286" spans="1:7" hidden="1" x14ac:dyDescent="0.25">
      <c r="A1286" s="43" t="s">
        <v>3457</v>
      </c>
      <c r="B1286" s="81" t="s">
        <v>3404</v>
      </c>
      <c r="C1286" s="26" t="s">
        <v>37</v>
      </c>
      <c r="D1286" s="14"/>
      <c r="E1286" s="15"/>
      <c r="F1286" s="16">
        <f t="shared" si="74"/>
        <v>0</v>
      </c>
      <c r="G1286">
        <f t="shared" si="73"/>
        <v>0</v>
      </c>
    </row>
    <row r="1287" spans="1:7" hidden="1" x14ac:dyDescent="0.25">
      <c r="A1287" s="43" t="s">
        <v>3458</v>
      </c>
      <c r="B1287" s="81" t="s">
        <v>3405</v>
      </c>
      <c r="C1287" s="26" t="s">
        <v>37</v>
      </c>
      <c r="D1287" s="14"/>
      <c r="E1287" s="15"/>
      <c r="F1287" s="16">
        <f t="shared" si="74"/>
        <v>0</v>
      </c>
      <c r="G1287">
        <f t="shared" si="73"/>
        <v>0</v>
      </c>
    </row>
    <row r="1288" spans="1:7" hidden="1" x14ac:dyDescent="0.25">
      <c r="A1288" s="43" t="s">
        <v>3459</v>
      </c>
      <c r="B1288" s="81" t="s">
        <v>3406</v>
      </c>
      <c r="C1288" s="26" t="s">
        <v>37</v>
      </c>
      <c r="D1288" s="14"/>
      <c r="E1288" s="15"/>
      <c r="F1288" s="16">
        <f t="shared" si="74"/>
        <v>0</v>
      </c>
      <c r="G1288">
        <f t="shared" si="73"/>
        <v>0</v>
      </c>
    </row>
    <row r="1289" spans="1:7" hidden="1" x14ac:dyDescent="0.25">
      <c r="A1289" s="43" t="s">
        <v>3460</v>
      </c>
      <c r="B1289" s="81" t="s">
        <v>3407</v>
      </c>
      <c r="C1289" s="26" t="s">
        <v>37</v>
      </c>
      <c r="D1289" s="14"/>
      <c r="E1289" s="15"/>
      <c r="F1289" s="16">
        <f t="shared" si="74"/>
        <v>0</v>
      </c>
      <c r="G1289">
        <f t="shared" si="73"/>
        <v>0</v>
      </c>
    </row>
    <row r="1290" spans="1:7" hidden="1" x14ac:dyDescent="0.25">
      <c r="A1290" s="43" t="s">
        <v>3461</v>
      </c>
      <c r="B1290" s="81" t="s">
        <v>3408</v>
      </c>
      <c r="C1290" s="26" t="s">
        <v>37</v>
      </c>
      <c r="D1290" s="14"/>
      <c r="E1290" s="15"/>
      <c r="F1290" s="16">
        <f t="shared" si="74"/>
        <v>0</v>
      </c>
      <c r="G1290">
        <f t="shared" si="73"/>
        <v>0</v>
      </c>
    </row>
    <row r="1291" spans="1:7" hidden="1" x14ac:dyDescent="0.25">
      <c r="A1291" s="43" t="s">
        <v>3462</v>
      </c>
      <c r="B1291" s="81" t="s">
        <v>3409</v>
      </c>
      <c r="C1291" s="26" t="s">
        <v>37</v>
      </c>
      <c r="D1291" s="14"/>
      <c r="E1291" s="15"/>
      <c r="F1291" s="16">
        <f t="shared" si="74"/>
        <v>0</v>
      </c>
      <c r="G1291">
        <f t="shared" si="73"/>
        <v>0</v>
      </c>
    </row>
    <row r="1292" spans="1:7" hidden="1" x14ac:dyDescent="0.25">
      <c r="A1292" s="43" t="s">
        <v>3463</v>
      </c>
      <c r="B1292" s="81" t="s">
        <v>3410</v>
      </c>
      <c r="C1292" s="26" t="s">
        <v>37</v>
      </c>
      <c r="D1292" s="14"/>
      <c r="E1292" s="15"/>
      <c r="F1292" s="16">
        <f t="shared" si="74"/>
        <v>0</v>
      </c>
      <c r="G1292">
        <f t="shared" si="73"/>
        <v>0</v>
      </c>
    </row>
    <row r="1293" spans="1:7" hidden="1" x14ac:dyDescent="0.25">
      <c r="A1293" s="43" t="s">
        <v>3464</v>
      </c>
      <c r="B1293" s="81" t="s">
        <v>3411</v>
      </c>
      <c r="C1293" s="26" t="s">
        <v>37</v>
      </c>
      <c r="D1293" s="14"/>
      <c r="E1293" s="15"/>
      <c r="F1293" s="16">
        <f t="shared" si="74"/>
        <v>0</v>
      </c>
      <c r="G1293">
        <f t="shared" si="73"/>
        <v>0</v>
      </c>
    </row>
    <row r="1294" spans="1:7" hidden="1" x14ac:dyDescent="0.25">
      <c r="A1294" s="43" t="s">
        <v>3465</v>
      </c>
      <c r="B1294" s="81" t="s">
        <v>3412</v>
      </c>
      <c r="C1294" s="26" t="s">
        <v>37</v>
      </c>
      <c r="D1294" s="14"/>
      <c r="E1294" s="15"/>
      <c r="F1294" s="16">
        <f t="shared" si="74"/>
        <v>0</v>
      </c>
      <c r="G1294">
        <f t="shared" si="73"/>
        <v>0</v>
      </c>
    </row>
    <row r="1295" spans="1:7" hidden="1" x14ac:dyDescent="0.25">
      <c r="A1295" s="43" t="s">
        <v>3466</v>
      </c>
      <c r="B1295" s="81" t="s">
        <v>3413</v>
      </c>
      <c r="C1295" s="26" t="s">
        <v>37</v>
      </c>
      <c r="D1295" s="14"/>
      <c r="E1295" s="15"/>
      <c r="F1295" s="16">
        <f t="shared" si="74"/>
        <v>0</v>
      </c>
      <c r="G1295">
        <f t="shared" si="73"/>
        <v>0</v>
      </c>
    </row>
    <row r="1296" spans="1:7" hidden="1" x14ac:dyDescent="0.25">
      <c r="A1296" s="43" t="s">
        <v>3467</v>
      </c>
      <c r="B1296" s="81" t="s">
        <v>3414</v>
      </c>
      <c r="C1296" s="26" t="s">
        <v>37</v>
      </c>
      <c r="D1296" s="14"/>
      <c r="E1296" s="15"/>
      <c r="F1296" s="16">
        <f t="shared" si="74"/>
        <v>0</v>
      </c>
      <c r="G1296">
        <f t="shared" si="73"/>
        <v>0</v>
      </c>
    </row>
    <row r="1297" spans="1:7" hidden="1" x14ac:dyDescent="0.25">
      <c r="A1297" s="43" t="s">
        <v>3468</v>
      </c>
      <c r="B1297" s="81" t="s">
        <v>3415</v>
      </c>
      <c r="C1297" s="26" t="s">
        <v>37</v>
      </c>
      <c r="D1297" s="14"/>
      <c r="E1297" s="15"/>
      <c r="F1297" s="16">
        <f t="shared" si="74"/>
        <v>0</v>
      </c>
      <c r="G1297">
        <f t="shared" si="73"/>
        <v>0</v>
      </c>
    </row>
    <row r="1298" spans="1:7" hidden="1" x14ac:dyDescent="0.25">
      <c r="A1298" s="43" t="s">
        <v>3469</v>
      </c>
      <c r="B1298" s="81" t="s">
        <v>3416</v>
      </c>
      <c r="C1298" s="26" t="s">
        <v>37</v>
      </c>
      <c r="D1298" s="14"/>
      <c r="E1298" s="15"/>
      <c r="F1298" s="16">
        <f t="shared" si="74"/>
        <v>0</v>
      </c>
      <c r="G1298">
        <f t="shared" si="73"/>
        <v>0</v>
      </c>
    </row>
    <row r="1299" spans="1:7" hidden="1" x14ac:dyDescent="0.25">
      <c r="A1299" s="43" t="s">
        <v>3470</v>
      </c>
      <c r="B1299" s="81" t="s">
        <v>3417</v>
      </c>
      <c r="C1299" s="26" t="s">
        <v>37</v>
      </c>
      <c r="D1299" s="14"/>
      <c r="E1299" s="15"/>
      <c r="F1299" s="16">
        <f t="shared" si="74"/>
        <v>0</v>
      </c>
      <c r="G1299">
        <f t="shared" si="73"/>
        <v>0</v>
      </c>
    </row>
    <row r="1300" spans="1:7" hidden="1" x14ac:dyDescent="0.25">
      <c r="A1300" s="43" t="s">
        <v>3471</v>
      </c>
      <c r="B1300" s="81" t="s">
        <v>3418</v>
      </c>
      <c r="C1300" s="26" t="s">
        <v>37</v>
      </c>
      <c r="D1300" s="14"/>
      <c r="E1300" s="15"/>
      <c r="F1300" s="16">
        <f t="shared" si="74"/>
        <v>0</v>
      </c>
      <c r="G1300">
        <f t="shared" si="73"/>
        <v>0</v>
      </c>
    </row>
    <row r="1301" spans="1:7" hidden="1" x14ac:dyDescent="0.25">
      <c r="A1301" s="43" t="s">
        <v>3472</v>
      </c>
      <c r="B1301" s="81" t="s">
        <v>3419</v>
      </c>
      <c r="C1301" s="26" t="s">
        <v>37</v>
      </c>
      <c r="D1301" s="14"/>
      <c r="E1301" s="15"/>
      <c r="F1301" s="16">
        <f t="shared" si="74"/>
        <v>0</v>
      </c>
      <c r="G1301">
        <f t="shared" si="73"/>
        <v>0</v>
      </c>
    </row>
    <row r="1302" spans="1:7" hidden="1" x14ac:dyDescent="0.25">
      <c r="A1302" s="43" t="s">
        <v>3473</v>
      </c>
      <c r="B1302" s="81" t="s">
        <v>3420</v>
      </c>
      <c r="C1302" s="26" t="s">
        <v>37</v>
      </c>
      <c r="D1302" s="14"/>
      <c r="E1302" s="15"/>
      <c r="F1302" s="16">
        <f t="shared" si="74"/>
        <v>0</v>
      </c>
      <c r="G1302">
        <f t="shared" si="73"/>
        <v>0</v>
      </c>
    </row>
    <row r="1303" spans="1:7" hidden="1" x14ac:dyDescent="0.25">
      <c r="A1303" s="43" t="s">
        <v>3474</v>
      </c>
      <c r="B1303" s="81" t="s">
        <v>3421</v>
      </c>
      <c r="C1303" s="26" t="s">
        <v>37</v>
      </c>
      <c r="D1303" s="14"/>
      <c r="E1303" s="15"/>
      <c r="F1303" s="16">
        <f t="shared" si="74"/>
        <v>0</v>
      </c>
      <c r="G1303">
        <f t="shared" si="73"/>
        <v>0</v>
      </c>
    </row>
    <row r="1304" spans="1:7" hidden="1" x14ac:dyDescent="0.25">
      <c r="A1304" s="43" t="s">
        <v>3475</v>
      </c>
      <c r="B1304" s="81" t="s">
        <v>3422</v>
      </c>
      <c r="C1304" s="26" t="s">
        <v>37</v>
      </c>
      <c r="D1304" s="14"/>
      <c r="E1304" s="15"/>
      <c r="F1304" s="16">
        <f t="shared" si="74"/>
        <v>0</v>
      </c>
      <c r="G1304">
        <f t="shared" si="73"/>
        <v>0</v>
      </c>
    </row>
    <row r="1305" spans="1:7" hidden="1" x14ac:dyDescent="0.25">
      <c r="A1305" s="43" t="s">
        <v>3476</v>
      </c>
      <c r="B1305" s="81" t="s">
        <v>3423</v>
      </c>
      <c r="C1305" s="26" t="s">
        <v>37</v>
      </c>
      <c r="D1305" s="14"/>
      <c r="E1305" s="15"/>
      <c r="F1305" s="16">
        <f t="shared" si="74"/>
        <v>0</v>
      </c>
      <c r="G1305">
        <f t="shared" si="73"/>
        <v>0</v>
      </c>
    </row>
    <row r="1306" spans="1:7" hidden="1" x14ac:dyDescent="0.25">
      <c r="A1306" s="43" t="s">
        <v>3477</v>
      </c>
      <c r="B1306" s="81" t="s">
        <v>3424</v>
      </c>
      <c r="C1306" s="26" t="s">
        <v>37</v>
      </c>
      <c r="D1306" s="14"/>
      <c r="E1306" s="15"/>
      <c r="F1306" s="16">
        <f t="shared" si="74"/>
        <v>0</v>
      </c>
      <c r="G1306">
        <f t="shared" si="73"/>
        <v>0</v>
      </c>
    </row>
    <row r="1307" spans="1:7" hidden="1" x14ac:dyDescent="0.25">
      <c r="A1307" s="43" t="s">
        <v>3478</v>
      </c>
      <c r="B1307" s="81" t="s">
        <v>3425</v>
      </c>
      <c r="C1307" s="26" t="s">
        <v>37</v>
      </c>
      <c r="D1307" s="14"/>
      <c r="E1307" s="15"/>
      <c r="F1307" s="16">
        <f t="shared" si="74"/>
        <v>0</v>
      </c>
      <c r="G1307">
        <f t="shared" si="73"/>
        <v>0</v>
      </c>
    </row>
    <row r="1308" spans="1:7" hidden="1" x14ac:dyDescent="0.25">
      <c r="A1308" s="43" t="s">
        <v>3479</v>
      </c>
      <c r="B1308" s="81" t="s">
        <v>3426</v>
      </c>
      <c r="C1308" s="26" t="s">
        <v>37</v>
      </c>
      <c r="D1308" s="14"/>
      <c r="E1308" s="15"/>
      <c r="F1308" s="16">
        <f t="shared" si="74"/>
        <v>0</v>
      </c>
      <c r="G1308">
        <f t="shared" si="73"/>
        <v>0</v>
      </c>
    </row>
    <row r="1309" spans="1:7" hidden="1" x14ac:dyDescent="0.25">
      <c r="A1309" s="43" t="s">
        <v>3480</v>
      </c>
      <c r="B1309" s="81" t="s">
        <v>3427</v>
      </c>
      <c r="C1309" s="26" t="s">
        <v>37</v>
      </c>
      <c r="D1309" s="14"/>
      <c r="E1309" s="15"/>
      <c r="F1309" s="16">
        <f t="shared" si="74"/>
        <v>0</v>
      </c>
      <c r="G1309">
        <f t="shared" si="73"/>
        <v>0</v>
      </c>
    </row>
    <row r="1310" spans="1:7" hidden="1" x14ac:dyDescent="0.25">
      <c r="A1310" s="43" t="s">
        <v>3481</v>
      </c>
      <c r="B1310" s="81" t="s">
        <v>3428</v>
      </c>
      <c r="C1310" s="26" t="s">
        <v>37</v>
      </c>
      <c r="D1310" s="14"/>
      <c r="E1310" s="15"/>
      <c r="F1310" s="16">
        <f t="shared" si="74"/>
        <v>0</v>
      </c>
      <c r="G1310">
        <f t="shared" si="73"/>
        <v>0</v>
      </c>
    </row>
    <row r="1311" spans="1:7" hidden="1" x14ac:dyDescent="0.25">
      <c r="A1311" s="43" t="s">
        <v>3482</v>
      </c>
      <c r="B1311" s="81" t="s">
        <v>3429</v>
      </c>
      <c r="C1311" s="26" t="s">
        <v>37</v>
      </c>
      <c r="D1311" s="14"/>
      <c r="E1311" s="15"/>
      <c r="F1311" s="16">
        <f t="shared" si="74"/>
        <v>0</v>
      </c>
      <c r="G1311">
        <f t="shared" si="73"/>
        <v>0</v>
      </c>
    </row>
    <row r="1312" spans="1:7" hidden="1" x14ac:dyDescent="0.25">
      <c r="A1312" s="43" t="s">
        <v>3483</v>
      </c>
      <c r="B1312" s="81" t="s">
        <v>3430</v>
      </c>
      <c r="C1312" s="26" t="s">
        <v>37</v>
      </c>
      <c r="D1312" s="14"/>
      <c r="E1312" s="15"/>
      <c r="F1312" s="16">
        <f t="shared" si="74"/>
        <v>0</v>
      </c>
      <c r="G1312">
        <f t="shared" si="73"/>
        <v>0</v>
      </c>
    </row>
    <row r="1313" spans="1:7" hidden="1" x14ac:dyDescent="0.25">
      <c r="A1313" s="43" t="s">
        <v>3484</v>
      </c>
      <c r="B1313" s="81" t="s">
        <v>3431</v>
      </c>
      <c r="C1313" s="26" t="s">
        <v>37</v>
      </c>
      <c r="D1313" s="14"/>
      <c r="E1313" s="15"/>
      <c r="F1313" s="16">
        <f t="shared" si="74"/>
        <v>0</v>
      </c>
      <c r="G1313">
        <f t="shared" si="73"/>
        <v>0</v>
      </c>
    </row>
    <row r="1314" spans="1:7" hidden="1" x14ac:dyDescent="0.25">
      <c r="A1314" s="78" t="s">
        <v>3485</v>
      </c>
      <c r="B1314" s="80" t="s">
        <v>5716</v>
      </c>
      <c r="C1314" s="26" t="s">
        <v>37</v>
      </c>
      <c r="D1314" s="14"/>
      <c r="E1314" s="15"/>
      <c r="F1314" s="16"/>
      <c r="G1314">
        <f t="shared" si="73"/>
        <v>0</v>
      </c>
    </row>
    <row r="1315" spans="1:7" hidden="1" x14ac:dyDescent="0.25">
      <c r="A1315" s="85" t="s">
        <v>3488</v>
      </c>
      <c r="B1315" s="81" t="s">
        <v>3384</v>
      </c>
      <c r="C1315" s="26" t="s">
        <v>37</v>
      </c>
      <c r="D1315" s="14"/>
      <c r="E1315" s="15"/>
      <c r="F1315" s="16">
        <f t="shared" si="74"/>
        <v>0</v>
      </c>
      <c r="G1315">
        <f t="shared" si="73"/>
        <v>0</v>
      </c>
    </row>
    <row r="1316" spans="1:7" hidden="1" x14ac:dyDescent="0.25">
      <c r="A1316" s="85" t="s">
        <v>3489</v>
      </c>
      <c r="B1316" s="81" t="s">
        <v>3487</v>
      </c>
      <c r="C1316" s="26" t="s">
        <v>37</v>
      </c>
      <c r="D1316" s="14"/>
      <c r="E1316" s="15"/>
      <c r="F1316" s="16">
        <f t="shared" si="74"/>
        <v>0</v>
      </c>
      <c r="G1316">
        <f t="shared" ref="G1316:G1379" si="75">+IF(F1316&lt;&gt;0,1,0)</f>
        <v>0</v>
      </c>
    </row>
    <row r="1317" spans="1:7" hidden="1" x14ac:dyDescent="0.25">
      <c r="A1317" s="85" t="s">
        <v>3490</v>
      </c>
      <c r="B1317" s="81" t="s">
        <v>3385</v>
      </c>
      <c r="C1317" s="26" t="s">
        <v>37</v>
      </c>
      <c r="D1317" s="14"/>
      <c r="E1317" s="15"/>
      <c r="F1317" s="16">
        <f t="shared" si="74"/>
        <v>0</v>
      </c>
      <c r="G1317">
        <f t="shared" si="75"/>
        <v>0</v>
      </c>
    </row>
    <row r="1318" spans="1:7" hidden="1" x14ac:dyDescent="0.25">
      <c r="A1318" s="85" t="s">
        <v>3491</v>
      </c>
      <c r="B1318" s="81" t="s">
        <v>3386</v>
      </c>
      <c r="C1318" s="26" t="s">
        <v>37</v>
      </c>
      <c r="D1318" s="14"/>
      <c r="E1318" s="15"/>
      <c r="F1318" s="16">
        <f t="shared" si="74"/>
        <v>0</v>
      </c>
      <c r="G1318">
        <f t="shared" si="75"/>
        <v>0</v>
      </c>
    </row>
    <row r="1319" spans="1:7" hidden="1" x14ac:dyDescent="0.25">
      <c r="A1319" s="85" t="s">
        <v>3492</v>
      </c>
      <c r="B1319" s="81" t="s">
        <v>3389</v>
      </c>
      <c r="C1319" s="26" t="s">
        <v>37</v>
      </c>
      <c r="D1319" s="14"/>
      <c r="E1319" s="15"/>
      <c r="F1319" s="16">
        <f t="shared" si="74"/>
        <v>0</v>
      </c>
      <c r="G1319">
        <f t="shared" si="75"/>
        <v>0</v>
      </c>
    </row>
    <row r="1320" spans="1:7" hidden="1" x14ac:dyDescent="0.25">
      <c r="A1320" s="85" t="s">
        <v>3493</v>
      </c>
      <c r="B1320" s="81" t="s">
        <v>3390</v>
      </c>
      <c r="C1320" s="26" t="s">
        <v>37</v>
      </c>
      <c r="D1320" s="14"/>
      <c r="E1320" s="15"/>
      <c r="F1320" s="16">
        <f t="shared" si="74"/>
        <v>0</v>
      </c>
      <c r="G1320">
        <f t="shared" si="75"/>
        <v>0</v>
      </c>
    </row>
    <row r="1321" spans="1:7" hidden="1" x14ac:dyDescent="0.25">
      <c r="A1321" s="85" t="s">
        <v>3494</v>
      </c>
      <c r="B1321" s="81" t="s">
        <v>3393</v>
      </c>
      <c r="C1321" s="26" t="s">
        <v>37</v>
      </c>
      <c r="D1321" s="14"/>
      <c r="E1321" s="15"/>
      <c r="F1321" s="16">
        <f t="shared" si="74"/>
        <v>0</v>
      </c>
      <c r="G1321">
        <f t="shared" si="75"/>
        <v>0</v>
      </c>
    </row>
    <row r="1322" spans="1:7" hidden="1" x14ac:dyDescent="0.25">
      <c r="A1322" s="85" t="s">
        <v>3495</v>
      </c>
      <c r="B1322" s="81" t="s">
        <v>3394</v>
      </c>
      <c r="C1322" s="26" t="s">
        <v>37</v>
      </c>
      <c r="D1322" s="14"/>
      <c r="E1322" s="15"/>
      <c r="F1322" s="16">
        <f t="shared" si="74"/>
        <v>0</v>
      </c>
      <c r="G1322">
        <f t="shared" si="75"/>
        <v>0</v>
      </c>
    </row>
    <row r="1323" spans="1:7" hidden="1" x14ac:dyDescent="0.25">
      <c r="A1323" s="85" t="s">
        <v>3496</v>
      </c>
      <c r="B1323" s="81" t="s">
        <v>3395</v>
      </c>
      <c r="C1323" s="26" t="s">
        <v>37</v>
      </c>
      <c r="D1323" s="14"/>
      <c r="E1323" s="15"/>
      <c r="F1323" s="16">
        <f t="shared" si="74"/>
        <v>0</v>
      </c>
      <c r="G1323">
        <f t="shared" si="75"/>
        <v>0</v>
      </c>
    </row>
    <row r="1324" spans="1:7" hidden="1" x14ac:dyDescent="0.25">
      <c r="A1324" s="85" t="s">
        <v>3497</v>
      </c>
      <c r="B1324" s="81" t="s">
        <v>3398</v>
      </c>
      <c r="C1324" s="26" t="s">
        <v>37</v>
      </c>
      <c r="D1324" s="14"/>
      <c r="E1324" s="15"/>
      <c r="F1324" s="16">
        <f t="shared" si="74"/>
        <v>0</v>
      </c>
      <c r="G1324">
        <f t="shared" si="75"/>
        <v>0</v>
      </c>
    </row>
    <row r="1325" spans="1:7" hidden="1" x14ac:dyDescent="0.25">
      <c r="A1325" s="85" t="s">
        <v>3498</v>
      </c>
      <c r="B1325" s="81" t="s">
        <v>3400</v>
      </c>
      <c r="C1325" s="26" t="s">
        <v>37</v>
      </c>
      <c r="D1325" s="14"/>
      <c r="E1325" s="15"/>
      <c r="F1325" s="16">
        <f t="shared" si="74"/>
        <v>0</v>
      </c>
      <c r="G1325">
        <f t="shared" si="75"/>
        <v>0</v>
      </c>
    </row>
    <row r="1326" spans="1:7" hidden="1" x14ac:dyDescent="0.25">
      <c r="A1326" s="85" t="s">
        <v>3499</v>
      </c>
      <c r="B1326" s="81" t="s">
        <v>3404</v>
      </c>
      <c r="C1326" s="26" t="s">
        <v>37</v>
      </c>
      <c r="D1326" s="14"/>
      <c r="E1326" s="15"/>
      <c r="F1326" s="16">
        <f t="shared" si="74"/>
        <v>0</v>
      </c>
      <c r="G1326">
        <f t="shared" si="75"/>
        <v>0</v>
      </c>
    </row>
    <row r="1327" spans="1:7" hidden="1" x14ac:dyDescent="0.25">
      <c r="A1327" s="85" t="s">
        <v>3500</v>
      </c>
      <c r="B1327" s="81" t="s">
        <v>3406</v>
      </c>
      <c r="C1327" s="26" t="s">
        <v>37</v>
      </c>
      <c r="D1327" s="14"/>
      <c r="E1327" s="15"/>
      <c r="F1327" s="16">
        <f t="shared" ref="F1327:F1332" si="76">+D1327*E1327</f>
        <v>0</v>
      </c>
      <c r="G1327">
        <f t="shared" si="75"/>
        <v>0</v>
      </c>
    </row>
    <row r="1328" spans="1:7" hidden="1" x14ac:dyDescent="0.25">
      <c r="A1328" s="85" t="s">
        <v>3501</v>
      </c>
      <c r="B1328" s="81" t="s">
        <v>3408</v>
      </c>
      <c r="C1328" s="26" t="s">
        <v>37</v>
      </c>
      <c r="D1328" s="14"/>
      <c r="E1328" s="15"/>
      <c r="F1328" s="16">
        <f t="shared" si="76"/>
        <v>0</v>
      </c>
      <c r="G1328">
        <f t="shared" si="75"/>
        <v>0</v>
      </c>
    </row>
    <row r="1329" spans="1:7" hidden="1" x14ac:dyDescent="0.25">
      <c r="A1329" s="85" t="s">
        <v>3502</v>
      </c>
      <c r="B1329" s="81" t="s">
        <v>3420</v>
      </c>
      <c r="C1329" s="26" t="s">
        <v>37</v>
      </c>
      <c r="D1329" s="14"/>
      <c r="E1329" s="15"/>
      <c r="F1329" s="16">
        <f t="shared" si="76"/>
        <v>0</v>
      </c>
      <c r="G1329">
        <f t="shared" si="75"/>
        <v>0</v>
      </c>
    </row>
    <row r="1330" spans="1:7" hidden="1" x14ac:dyDescent="0.25">
      <c r="A1330" s="85" t="s">
        <v>3503</v>
      </c>
      <c r="B1330" s="81" t="s">
        <v>3421</v>
      </c>
      <c r="C1330" s="26" t="s">
        <v>37</v>
      </c>
      <c r="D1330" s="14"/>
      <c r="E1330" s="15"/>
      <c r="F1330" s="16">
        <f t="shared" si="76"/>
        <v>0</v>
      </c>
      <c r="G1330">
        <f t="shared" si="75"/>
        <v>0</v>
      </c>
    </row>
    <row r="1331" spans="1:7" hidden="1" x14ac:dyDescent="0.25">
      <c r="A1331" s="85" t="s">
        <v>3504</v>
      </c>
      <c r="B1331" s="81" t="s">
        <v>3425</v>
      </c>
      <c r="C1331" s="26" t="s">
        <v>37</v>
      </c>
      <c r="D1331" s="14"/>
      <c r="E1331" s="15"/>
      <c r="F1331" s="16">
        <f t="shared" si="76"/>
        <v>0</v>
      </c>
      <c r="G1331">
        <f t="shared" si="75"/>
        <v>0</v>
      </c>
    </row>
    <row r="1332" spans="1:7" hidden="1" x14ac:dyDescent="0.25">
      <c r="A1332" s="85" t="s">
        <v>3505</v>
      </c>
      <c r="B1332" s="81" t="s">
        <v>3428</v>
      </c>
      <c r="C1332" s="26" t="s">
        <v>37</v>
      </c>
      <c r="D1332" s="14"/>
      <c r="E1332" s="15"/>
      <c r="F1332" s="16">
        <f t="shared" si="76"/>
        <v>0</v>
      </c>
      <c r="G1332">
        <f t="shared" si="75"/>
        <v>0</v>
      </c>
    </row>
    <row r="1333" spans="1:7" x14ac:dyDescent="0.25">
      <c r="A1333" s="78" t="s">
        <v>975</v>
      </c>
      <c r="B1333" s="80" t="s">
        <v>3506</v>
      </c>
      <c r="C1333" s="26"/>
      <c r="D1333" s="14"/>
      <c r="E1333" s="15"/>
      <c r="F1333" s="16"/>
      <c r="G1333">
        <v>1</v>
      </c>
    </row>
    <row r="1334" spans="1:7" x14ac:dyDescent="0.25">
      <c r="A1334" s="78" t="s">
        <v>3507</v>
      </c>
      <c r="B1334" s="79" t="s">
        <v>3545</v>
      </c>
      <c r="C1334" s="26"/>
      <c r="D1334" s="14"/>
      <c r="E1334" s="15"/>
      <c r="F1334" s="16"/>
      <c r="G1334">
        <v>1</v>
      </c>
    </row>
    <row r="1335" spans="1:7" hidden="1" x14ac:dyDescent="0.25">
      <c r="A1335" s="85" t="s">
        <v>3508</v>
      </c>
      <c r="B1335" s="88" t="s">
        <v>3511</v>
      </c>
      <c r="C1335" s="26" t="s">
        <v>37</v>
      </c>
      <c r="D1335" s="14"/>
      <c r="E1335" s="15"/>
      <c r="F1335" s="16">
        <f t="shared" ref="F1335:F1346" si="77">+D1335*E1335</f>
        <v>0</v>
      </c>
      <c r="G1335">
        <f t="shared" si="75"/>
        <v>0</v>
      </c>
    </row>
    <row r="1336" spans="1:7" hidden="1" x14ac:dyDescent="0.25">
      <c r="A1336" s="85" t="s">
        <v>3521</v>
      </c>
      <c r="B1336" s="88" t="s">
        <v>3512</v>
      </c>
      <c r="C1336" s="26" t="s">
        <v>37</v>
      </c>
      <c r="D1336" s="14"/>
      <c r="E1336" s="15"/>
      <c r="F1336" s="16">
        <f t="shared" si="77"/>
        <v>0</v>
      </c>
      <c r="G1336">
        <f t="shared" si="75"/>
        <v>0</v>
      </c>
    </row>
    <row r="1337" spans="1:7" hidden="1" x14ac:dyDescent="0.25">
      <c r="A1337" s="85" t="s">
        <v>3522</v>
      </c>
      <c r="B1337" s="88" t="s">
        <v>3510</v>
      </c>
      <c r="C1337" s="26" t="s">
        <v>37</v>
      </c>
      <c r="D1337" s="14"/>
      <c r="E1337" s="15"/>
      <c r="F1337" s="16">
        <f t="shared" si="77"/>
        <v>0</v>
      </c>
      <c r="G1337">
        <f t="shared" si="75"/>
        <v>0</v>
      </c>
    </row>
    <row r="1338" spans="1:7" hidden="1" x14ac:dyDescent="0.25">
      <c r="A1338" s="85" t="s">
        <v>3523</v>
      </c>
      <c r="B1338" s="88" t="s">
        <v>3514</v>
      </c>
      <c r="C1338" s="26" t="s">
        <v>37</v>
      </c>
      <c r="D1338" s="14"/>
      <c r="E1338" s="15"/>
      <c r="F1338" s="16">
        <f t="shared" si="77"/>
        <v>0</v>
      </c>
      <c r="G1338">
        <f t="shared" si="75"/>
        <v>0</v>
      </c>
    </row>
    <row r="1339" spans="1:7" hidden="1" x14ac:dyDescent="0.25">
      <c r="A1339" s="85" t="s">
        <v>3524</v>
      </c>
      <c r="B1339" s="88" t="s">
        <v>3513</v>
      </c>
      <c r="C1339" s="26" t="s">
        <v>37</v>
      </c>
      <c r="D1339" s="14"/>
      <c r="E1339" s="15"/>
      <c r="F1339" s="16">
        <f t="shared" si="77"/>
        <v>0</v>
      </c>
      <c r="G1339">
        <f t="shared" si="75"/>
        <v>0</v>
      </c>
    </row>
    <row r="1340" spans="1:7" x14ac:dyDescent="0.25">
      <c r="A1340" s="85" t="s">
        <v>3525</v>
      </c>
      <c r="B1340" s="88" t="s">
        <v>3515</v>
      </c>
      <c r="C1340" s="26" t="s">
        <v>37</v>
      </c>
      <c r="D1340" s="14">
        <v>3</v>
      </c>
      <c r="E1340" s="15">
        <f>+SUM!H1339</f>
        <v>1300230</v>
      </c>
      <c r="F1340" s="16">
        <f t="shared" si="77"/>
        <v>3900690</v>
      </c>
      <c r="G1340">
        <f t="shared" si="75"/>
        <v>1</v>
      </c>
    </row>
    <row r="1341" spans="1:7" hidden="1" x14ac:dyDescent="0.25">
      <c r="A1341" s="85" t="s">
        <v>3526</v>
      </c>
      <c r="B1341" s="88" t="s">
        <v>3516</v>
      </c>
      <c r="C1341" s="26" t="s">
        <v>37</v>
      </c>
      <c r="D1341" s="14"/>
      <c r="E1341" s="15">
        <f>+SUM!H1340</f>
        <v>1517393</v>
      </c>
      <c r="F1341" s="16">
        <f t="shared" si="77"/>
        <v>0</v>
      </c>
      <c r="G1341">
        <f t="shared" si="75"/>
        <v>0</v>
      </c>
    </row>
    <row r="1342" spans="1:7" x14ac:dyDescent="0.25">
      <c r="A1342" s="85" t="s">
        <v>3527</v>
      </c>
      <c r="B1342" s="88" t="s">
        <v>3517</v>
      </c>
      <c r="C1342" s="26" t="s">
        <v>37</v>
      </c>
      <c r="D1342" s="14">
        <v>4</v>
      </c>
      <c r="E1342" s="15">
        <f>+SUM!H1341</f>
        <v>2376424</v>
      </c>
      <c r="F1342" s="16">
        <f t="shared" si="77"/>
        <v>9505696</v>
      </c>
      <c r="G1342">
        <f t="shared" si="75"/>
        <v>1</v>
      </c>
    </row>
    <row r="1343" spans="1:7" hidden="1" x14ac:dyDescent="0.25">
      <c r="A1343" s="85" t="s">
        <v>3528</v>
      </c>
      <c r="B1343" s="88" t="s">
        <v>3518</v>
      </c>
      <c r="C1343" s="26" t="s">
        <v>37</v>
      </c>
      <c r="D1343" s="14"/>
      <c r="E1343" s="15">
        <f>+SUM!H1342</f>
        <v>3334416</v>
      </c>
      <c r="F1343" s="16">
        <f t="shared" si="77"/>
        <v>0</v>
      </c>
      <c r="G1343">
        <f t="shared" si="75"/>
        <v>0</v>
      </c>
    </row>
    <row r="1344" spans="1:7" hidden="1" x14ac:dyDescent="0.25">
      <c r="A1344" s="85" t="s">
        <v>3529</v>
      </c>
      <c r="B1344" s="88" t="s">
        <v>3519</v>
      </c>
      <c r="C1344" s="26" t="s">
        <v>37</v>
      </c>
      <c r="D1344" s="14"/>
      <c r="E1344" s="15">
        <f>+SUM!H1343</f>
        <v>3999650</v>
      </c>
      <c r="F1344" s="16">
        <f t="shared" si="77"/>
        <v>0</v>
      </c>
      <c r="G1344">
        <f t="shared" si="75"/>
        <v>0</v>
      </c>
    </row>
    <row r="1345" spans="1:7" hidden="1" x14ac:dyDescent="0.25">
      <c r="A1345" s="85" t="s">
        <v>3530</v>
      </c>
      <c r="B1345" s="88" t="s">
        <v>3520</v>
      </c>
      <c r="C1345" s="26" t="s">
        <v>37</v>
      </c>
      <c r="D1345" s="14"/>
      <c r="E1345" s="15">
        <f>+SUM!H1344</f>
        <v>5000249</v>
      </c>
      <c r="F1345" s="16">
        <f t="shared" si="77"/>
        <v>0</v>
      </c>
      <c r="G1345">
        <f t="shared" si="75"/>
        <v>0</v>
      </c>
    </row>
    <row r="1346" spans="1:7" hidden="1" x14ac:dyDescent="0.25">
      <c r="A1346" s="85" t="s">
        <v>3531</v>
      </c>
      <c r="B1346" s="88" t="s">
        <v>3509</v>
      </c>
      <c r="C1346" s="26" t="s">
        <v>37</v>
      </c>
      <c r="D1346" s="14"/>
      <c r="E1346" s="15">
        <f>+SUM!H1345</f>
        <v>6424179</v>
      </c>
      <c r="F1346" s="16">
        <f t="shared" si="77"/>
        <v>0</v>
      </c>
      <c r="G1346">
        <f t="shared" si="75"/>
        <v>0</v>
      </c>
    </row>
    <row r="1347" spans="1:7" x14ac:dyDescent="0.25">
      <c r="A1347" s="78" t="s">
        <v>3532</v>
      </c>
      <c r="B1347" s="79" t="s">
        <v>3546</v>
      </c>
      <c r="C1347" s="26"/>
      <c r="D1347" s="14"/>
      <c r="E1347" s="15"/>
      <c r="F1347" s="16"/>
      <c r="G1347">
        <v>1</v>
      </c>
    </row>
    <row r="1348" spans="1:7" hidden="1" x14ac:dyDescent="0.25">
      <c r="A1348" s="85" t="s">
        <v>3533</v>
      </c>
      <c r="B1348" s="88" t="s">
        <v>3511</v>
      </c>
      <c r="C1348" s="26" t="s">
        <v>37</v>
      </c>
      <c r="D1348" s="14"/>
      <c r="E1348" s="15">
        <f>+SUM!H1347</f>
        <v>92088</v>
      </c>
      <c r="F1348" s="16">
        <f t="shared" ref="F1348:F1359" si="78">+D1348*E1348</f>
        <v>0</v>
      </c>
      <c r="G1348">
        <f t="shared" si="75"/>
        <v>0</v>
      </c>
    </row>
    <row r="1349" spans="1:7" hidden="1" x14ac:dyDescent="0.25">
      <c r="A1349" s="85" t="s">
        <v>3534</v>
      </c>
      <c r="B1349" s="88" t="s">
        <v>3512</v>
      </c>
      <c r="C1349" s="26" t="s">
        <v>37</v>
      </c>
      <c r="D1349" s="14"/>
      <c r="E1349" s="15">
        <f>+SUM!H1348</f>
        <v>114079</v>
      </c>
      <c r="F1349" s="16">
        <f t="shared" si="78"/>
        <v>0</v>
      </c>
      <c r="G1349">
        <f t="shared" si="75"/>
        <v>0</v>
      </c>
    </row>
    <row r="1350" spans="1:7" hidden="1" x14ac:dyDescent="0.25">
      <c r="A1350" s="85" t="s">
        <v>3535</v>
      </c>
      <c r="B1350" s="88" t="s">
        <v>3510</v>
      </c>
      <c r="C1350" s="26" t="s">
        <v>37</v>
      </c>
      <c r="D1350" s="14"/>
      <c r="E1350" s="15">
        <f>+SUM!H1349</f>
        <v>142943</v>
      </c>
      <c r="F1350" s="16">
        <f t="shared" si="78"/>
        <v>0</v>
      </c>
      <c r="G1350">
        <f t="shared" si="75"/>
        <v>0</v>
      </c>
    </row>
    <row r="1351" spans="1:7" hidden="1" x14ac:dyDescent="0.25">
      <c r="A1351" s="85" t="s">
        <v>3536</v>
      </c>
      <c r="B1351" s="88" t="s">
        <v>3514</v>
      </c>
      <c r="C1351" s="26" t="s">
        <v>37</v>
      </c>
      <c r="D1351" s="14"/>
      <c r="E1351" s="15">
        <f>+SUM!H1350</f>
        <v>306502</v>
      </c>
      <c r="F1351" s="16">
        <f t="shared" si="78"/>
        <v>0</v>
      </c>
      <c r="G1351">
        <f t="shared" si="75"/>
        <v>0</v>
      </c>
    </row>
    <row r="1352" spans="1:7" hidden="1" x14ac:dyDescent="0.25">
      <c r="A1352" s="85" t="s">
        <v>3537</v>
      </c>
      <c r="B1352" s="88" t="s">
        <v>3513</v>
      </c>
      <c r="C1352" s="26" t="s">
        <v>37</v>
      </c>
      <c r="D1352" s="14"/>
      <c r="E1352" s="15">
        <f>+SUM!H1351</f>
        <v>667983</v>
      </c>
      <c r="F1352" s="16">
        <f t="shared" si="78"/>
        <v>0</v>
      </c>
      <c r="G1352">
        <f t="shared" si="75"/>
        <v>0</v>
      </c>
    </row>
    <row r="1353" spans="1:7" x14ac:dyDescent="0.25">
      <c r="A1353" s="85" t="s">
        <v>3538</v>
      </c>
      <c r="B1353" s="88" t="s">
        <v>3515</v>
      </c>
      <c r="C1353" s="26" t="s">
        <v>37</v>
      </c>
      <c r="D1353" s="14">
        <v>34</v>
      </c>
      <c r="E1353" s="15">
        <f>+SUM!H1352</f>
        <v>1100934</v>
      </c>
      <c r="F1353" s="16">
        <f t="shared" si="78"/>
        <v>37431756</v>
      </c>
      <c r="G1353">
        <f t="shared" si="75"/>
        <v>1</v>
      </c>
    </row>
    <row r="1354" spans="1:7" hidden="1" x14ac:dyDescent="0.25">
      <c r="A1354" s="85" t="s">
        <v>3539</v>
      </c>
      <c r="B1354" s="88" t="s">
        <v>3516</v>
      </c>
      <c r="C1354" s="26" t="s">
        <v>37</v>
      </c>
      <c r="D1354" s="14"/>
      <c r="E1354" s="15">
        <f>+SUM!H1353</f>
        <v>1168283</v>
      </c>
      <c r="F1354" s="16">
        <f t="shared" si="78"/>
        <v>0</v>
      </c>
      <c r="G1354">
        <f t="shared" si="75"/>
        <v>0</v>
      </c>
    </row>
    <row r="1355" spans="1:7" x14ac:dyDescent="0.25">
      <c r="A1355" s="85" t="s">
        <v>3540</v>
      </c>
      <c r="B1355" s="88" t="s">
        <v>3517</v>
      </c>
      <c r="C1355" s="26" t="s">
        <v>37</v>
      </c>
      <c r="D1355" s="14">
        <v>26</v>
      </c>
      <c r="E1355" s="15">
        <f>+SUM!H1354</f>
        <v>1682327</v>
      </c>
      <c r="F1355" s="16">
        <f t="shared" si="78"/>
        <v>43740502</v>
      </c>
      <c r="G1355">
        <f t="shared" si="75"/>
        <v>1</v>
      </c>
    </row>
    <row r="1356" spans="1:7" hidden="1" x14ac:dyDescent="0.25">
      <c r="A1356" s="85" t="s">
        <v>3541</v>
      </c>
      <c r="B1356" s="88" t="s">
        <v>3518</v>
      </c>
      <c r="C1356" s="26" t="s">
        <v>37</v>
      </c>
      <c r="D1356" s="14"/>
      <c r="E1356" s="15">
        <f>+SUM!H1355</f>
        <v>2500125</v>
      </c>
      <c r="F1356" s="16">
        <f t="shared" si="78"/>
        <v>0</v>
      </c>
      <c r="G1356">
        <f t="shared" si="75"/>
        <v>0</v>
      </c>
    </row>
    <row r="1357" spans="1:7" hidden="1" x14ac:dyDescent="0.25">
      <c r="A1357" s="85" t="s">
        <v>3542</v>
      </c>
      <c r="B1357" s="88" t="s">
        <v>3519</v>
      </c>
      <c r="C1357" s="26" t="s">
        <v>37</v>
      </c>
      <c r="D1357" s="14"/>
      <c r="E1357" s="15">
        <f>+SUM!H1356</f>
        <v>3334416</v>
      </c>
      <c r="F1357" s="16">
        <f t="shared" si="78"/>
        <v>0</v>
      </c>
      <c r="G1357">
        <f t="shared" si="75"/>
        <v>0</v>
      </c>
    </row>
    <row r="1358" spans="1:7" hidden="1" x14ac:dyDescent="0.25">
      <c r="A1358" s="85" t="s">
        <v>3543</v>
      </c>
      <c r="B1358" s="88" t="s">
        <v>3520</v>
      </c>
      <c r="C1358" s="26" t="s">
        <v>37</v>
      </c>
      <c r="D1358" s="14"/>
      <c r="E1358" s="15">
        <f>+SUM!H1357</f>
        <v>4828443</v>
      </c>
      <c r="F1358" s="16">
        <f t="shared" si="78"/>
        <v>0</v>
      </c>
      <c r="G1358">
        <f t="shared" si="75"/>
        <v>0</v>
      </c>
    </row>
    <row r="1359" spans="1:7" hidden="1" x14ac:dyDescent="0.25">
      <c r="A1359" s="85" t="s">
        <v>3544</v>
      </c>
      <c r="B1359" s="88" t="s">
        <v>3509</v>
      </c>
      <c r="C1359" s="26" t="s">
        <v>37</v>
      </c>
      <c r="D1359" s="14"/>
      <c r="E1359" s="15">
        <f>+SUM!H1358</f>
        <v>5434575</v>
      </c>
      <c r="F1359" s="16">
        <f t="shared" si="78"/>
        <v>0</v>
      </c>
      <c r="G1359">
        <f t="shared" si="75"/>
        <v>0</v>
      </c>
    </row>
    <row r="1360" spans="1:7" hidden="1" x14ac:dyDescent="0.25">
      <c r="A1360" s="78" t="s">
        <v>976</v>
      </c>
      <c r="B1360" s="79" t="s">
        <v>3547</v>
      </c>
      <c r="C1360" s="26"/>
      <c r="D1360" s="14"/>
      <c r="E1360" s="15"/>
      <c r="F1360" s="16"/>
      <c r="G1360">
        <v>0</v>
      </c>
    </row>
    <row r="1361" spans="1:7" hidden="1" x14ac:dyDescent="0.25">
      <c r="A1361" s="85" t="s">
        <v>3548</v>
      </c>
      <c r="B1361" s="88" t="s">
        <v>3511</v>
      </c>
      <c r="C1361" s="26" t="s">
        <v>37</v>
      </c>
      <c r="D1361" s="14"/>
      <c r="E1361" s="15">
        <f>+SUM!H1360</f>
        <v>72846</v>
      </c>
      <c r="F1361" s="16">
        <f t="shared" ref="F1361:F1372" si="79">+D1361*E1361</f>
        <v>0</v>
      </c>
      <c r="G1361">
        <f t="shared" si="75"/>
        <v>0</v>
      </c>
    </row>
    <row r="1362" spans="1:7" hidden="1" x14ac:dyDescent="0.25">
      <c r="A1362" s="85" t="s">
        <v>3549</v>
      </c>
      <c r="B1362" s="88" t="s">
        <v>3512</v>
      </c>
      <c r="C1362" s="26" t="s">
        <v>37</v>
      </c>
      <c r="D1362" s="14"/>
      <c r="E1362" s="15">
        <f>+SUM!H1361</f>
        <v>131947</v>
      </c>
      <c r="F1362" s="16">
        <f t="shared" si="79"/>
        <v>0</v>
      </c>
      <c r="G1362">
        <f t="shared" si="75"/>
        <v>0</v>
      </c>
    </row>
    <row r="1363" spans="1:7" hidden="1" x14ac:dyDescent="0.25">
      <c r="A1363" s="85" t="s">
        <v>3550</v>
      </c>
      <c r="B1363" s="88" t="s">
        <v>3510</v>
      </c>
      <c r="C1363" s="26" t="s">
        <v>37</v>
      </c>
      <c r="D1363" s="14"/>
      <c r="E1363" s="15">
        <f>+SUM!H1362</f>
        <v>162185</v>
      </c>
      <c r="F1363" s="16">
        <f t="shared" si="79"/>
        <v>0</v>
      </c>
      <c r="G1363">
        <f t="shared" si="75"/>
        <v>0</v>
      </c>
    </row>
    <row r="1364" spans="1:7" hidden="1" x14ac:dyDescent="0.25">
      <c r="A1364" s="85" t="s">
        <v>3551</v>
      </c>
      <c r="B1364" s="88" t="s">
        <v>3514</v>
      </c>
      <c r="C1364" s="26" t="s">
        <v>37</v>
      </c>
      <c r="D1364" s="14"/>
      <c r="E1364" s="15">
        <f>+SUM!H1363</f>
        <v>262520</v>
      </c>
      <c r="F1364" s="16">
        <f t="shared" si="79"/>
        <v>0</v>
      </c>
      <c r="G1364">
        <f t="shared" si="75"/>
        <v>0</v>
      </c>
    </row>
    <row r="1365" spans="1:7" x14ac:dyDescent="0.25">
      <c r="A1365" s="85" t="s">
        <v>3552</v>
      </c>
      <c r="B1365" s="88" t="s">
        <v>3513</v>
      </c>
      <c r="C1365" s="26" t="s">
        <v>37</v>
      </c>
      <c r="D1365" s="14">
        <v>80</v>
      </c>
      <c r="E1365" s="15">
        <f>+SUM!H1364</f>
        <v>427454</v>
      </c>
      <c r="F1365" s="16">
        <f t="shared" si="79"/>
        <v>34196320</v>
      </c>
      <c r="G1365">
        <f t="shared" si="75"/>
        <v>1</v>
      </c>
    </row>
    <row r="1366" spans="1:7" hidden="1" x14ac:dyDescent="0.25">
      <c r="A1366" s="85" t="s">
        <v>3553</v>
      </c>
      <c r="B1366" s="88" t="s">
        <v>3515</v>
      </c>
      <c r="C1366" s="26" t="s">
        <v>37</v>
      </c>
      <c r="D1366" s="14"/>
      <c r="E1366" s="15">
        <f>+SUM!H1365</f>
        <v>982732</v>
      </c>
      <c r="F1366" s="16">
        <f t="shared" si="79"/>
        <v>0</v>
      </c>
      <c r="G1366">
        <f t="shared" si="75"/>
        <v>0</v>
      </c>
    </row>
    <row r="1367" spans="1:7" x14ac:dyDescent="0.25">
      <c r="A1367" s="85" t="s">
        <v>977</v>
      </c>
      <c r="B1367" s="88" t="s">
        <v>3516</v>
      </c>
      <c r="C1367" s="26" t="s">
        <v>37</v>
      </c>
      <c r="D1367" s="14">
        <v>112</v>
      </c>
      <c r="E1367" s="15">
        <f>+SUM!H1366</f>
        <v>1250750</v>
      </c>
      <c r="F1367" s="16">
        <f t="shared" si="79"/>
        <v>140084000</v>
      </c>
      <c r="G1367">
        <f t="shared" si="75"/>
        <v>1</v>
      </c>
    </row>
    <row r="1368" spans="1:7" hidden="1" x14ac:dyDescent="0.25">
      <c r="A1368" s="85" t="s">
        <v>3554</v>
      </c>
      <c r="B1368" s="88" t="s">
        <v>3517</v>
      </c>
      <c r="C1368" s="26" t="s">
        <v>37</v>
      </c>
      <c r="D1368" s="14"/>
      <c r="E1368" s="15">
        <f>+SUM!H1367</f>
        <v>1584741</v>
      </c>
      <c r="F1368" s="16">
        <f t="shared" si="79"/>
        <v>0</v>
      </c>
      <c r="G1368">
        <f t="shared" si="75"/>
        <v>0</v>
      </c>
    </row>
    <row r="1369" spans="1:7" hidden="1" x14ac:dyDescent="0.25">
      <c r="A1369" s="85" t="s">
        <v>3555</v>
      </c>
      <c r="B1369" s="88" t="s">
        <v>3518</v>
      </c>
      <c r="C1369" s="26" t="s">
        <v>37</v>
      </c>
      <c r="D1369" s="14"/>
      <c r="E1369" s="15">
        <f>+SUM!H1368</f>
        <v>2083666</v>
      </c>
      <c r="F1369" s="16">
        <f t="shared" si="79"/>
        <v>0</v>
      </c>
      <c r="G1369">
        <f t="shared" si="75"/>
        <v>0</v>
      </c>
    </row>
    <row r="1370" spans="1:7" hidden="1" x14ac:dyDescent="0.25">
      <c r="A1370" s="85" t="s">
        <v>3556</v>
      </c>
      <c r="B1370" s="88" t="s">
        <v>3519</v>
      </c>
      <c r="C1370" s="26" t="s">
        <v>37</v>
      </c>
      <c r="D1370" s="14"/>
      <c r="E1370" s="15">
        <f>+SUM!H1369</f>
        <v>2982557</v>
      </c>
      <c r="F1370" s="16">
        <f t="shared" si="79"/>
        <v>0</v>
      </c>
      <c r="G1370">
        <f t="shared" si="75"/>
        <v>0</v>
      </c>
    </row>
    <row r="1371" spans="1:7" hidden="1" x14ac:dyDescent="0.25">
      <c r="A1371" s="85" t="s">
        <v>3557</v>
      </c>
      <c r="B1371" s="88" t="s">
        <v>3520</v>
      </c>
      <c r="C1371" s="26" t="s">
        <v>37</v>
      </c>
      <c r="D1371" s="14"/>
      <c r="E1371" s="15">
        <f>+SUM!H1370</f>
        <v>5284760</v>
      </c>
      <c r="F1371" s="16">
        <f t="shared" si="79"/>
        <v>0</v>
      </c>
      <c r="G1371">
        <f t="shared" si="75"/>
        <v>0</v>
      </c>
    </row>
    <row r="1372" spans="1:7" hidden="1" x14ac:dyDescent="0.25">
      <c r="A1372" s="85" t="s">
        <v>3558</v>
      </c>
      <c r="B1372" s="88" t="s">
        <v>3509</v>
      </c>
      <c r="C1372" s="26" t="s">
        <v>37</v>
      </c>
      <c r="D1372" s="14"/>
      <c r="E1372" s="15">
        <f>+SUM!H1371</f>
        <v>4970011</v>
      </c>
      <c r="F1372" s="16">
        <f t="shared" si="79"/>
        <v>0</v>
      </c>
      <c r="G1372">
        <f t="shared" si="75"/>
        <v>0</v>
      </c>
    </row>
    <row r="1373" spans="1:7" x14ac:dyDescent="0.25">
      <c r="A1373" s="78" t="s">
        <v>978</v>
      </c>
      <c r="B1373" s="79" t="s">
        <v>3570</v>
      </c>
      <c r="C1373" s="26"/>
      <c r="D1373" s="14"/>
      <c r="E1373" s="15"/>
      <c r="F1373" s="16"/>
      <c r="G1373">
        <v>1</v>
      </c>
    </row>
    <row r="1374" spans="1:7" hidden="1" x14ac:dyDescent="0.25">
      <c r="A1374" s="85" t="s">
        <v>3559</v>
      </c>
      <c r="B1374" s="88" t="s">
        <v>3511</v>
      </c>
      <c r="C1374" s="26" t="s">
        <v>37</v>
      </c>
      <c r="D1374" s="14"/>
      <c r="E1374" s="15">
        <f>+SUM!H1373</f>
        <v>65974</v>
      </c>
      <c r="F1374" s="16">
        <f t="shared" ref="F1374:F1385" si="80">+D1374*E1374</f>
        <v>0</v>
      </c>
      <c r="G1374">
        <f t="shared" si="75"/>
        <v>0</v>
      </c>
    </row>
    <row r="1375" spans="1:7" hidden="1" x14ac:dyDescent="0.25">
      <c r="A1375" s="85" t="s">
        <v>3560</v>
      </c>
      <c r="B1375" s="88" t="s">
        <v>3512</v>
      </c>
      <c r="C1375" s="26" t="s">
        <v>37</v>
      </c>
      <c r="D1375" s="14"/>
      <c r="E1375" s="15">
        <f>+SUM!H1374</f>
        <v>109956</v>
      </c>
      <c r="F1375" s="16">
        <f t="shared" si="80"/>
        <v>0</v>
      </c>
      <c r="G1375">
        <f t="shared" si="75"/>
        <v>0</v>
      </c>
    </row>
    <row r="1376" spans="1:7" hidden="1" x14ac:dyDescent="0.25">
      <c r="A1376" s="85" t="s">
        <v>3561</v>
      </c>
      <c r="B1376" s="88" t="s">
        <v>3510</v>
      </c>
      <c r="C1376" s="26" t="s">
        <v>37</v>
      </c>
      <c r="D1376" s="14"/>
      <c r="E1376" s="15">
        <f>+SUM!H1375</f>
        <v>131947</v>
      </c>
      <c r="F1376" s="16">
        <f t="shared" si="80"/>
        <v>0</v>
      </c>
      <c r="G1376">
        <f t="shared" si="75"/>
        <v>0</v>
      </c>
    </row>
    <row r="1377" spans="1:7" hidden="1" x14ac:dyDescent="0.25">
      <c r="A1377" s="85" t="s">
        <v>3562</v>
      </c>
      <c r="B1377" s="88" t="s">
        <v>3514</v>
      </c>
      <c r="C1377" s="26" t="s">
        <v>37</v>
      </c>
      <c r="D1377" s="14"/>
      <c r="E1377" s="15">
        <f>+SUM!H1376</f>
        <v>251524</v>
      </c>
      <c r="F1377" s="16">
        <f t="shared" si="80"/>
        <v>0</v>
      </c>
      <c r="G1377">
        <f t="shared" si="75"/>
        <v>0</v>
      </c>
    </row>
    <row r="1378" spans="1:7" hidden="1" x14ac:dyDescent="0.25">
      <c r="A1378" s="85" t="s">
        <v>3563</v>
      </c>
      <c r="B1378" s="88" t="s">
        <v>3513</v>
      </c>
      <c r="C1378" s="26" t="s">
        <v>37</v>
      </c>
      <c r="D1378" s="14"/>
      <c r="E1378" s="15">
        <f>+SUM!H1377</f>
        <v>417833</v>
      </c>
      <c r="F1378" s="16">
        <f t="shared" si="80"/>
        <v>0</v>
      </c>
      <c r="G1378">
        <f t="shared" si="75"/>
        <v>0</v>
      </c>
    </row>
    <row r="1379" spans="1:7" x14ac:dyDescent="0.25">
      <c r="A1379" s="85" t="s">
        <v>3564</v>
      </c>
      <c r="B1379" s="88" t="s">
        <v>3515</v>
      </c>
      <c r="C1379" s="26" t="s">
        <v>37</v>
      </c>
      <c r="D1379" s="14">
        <v>127</v>
      </c>
      <c r="E1379" s="15">
        <f>+SUM!H1378</f>
        <v>751824</v>
      </c>
      <c r="F1379" s="16">
        <f t="shared" si="80"/>
        <v>95481648</v>
      </c>
      <c r="G1379">
        <f t="shared" si="75"/>
        <v>1</v>
      </c>
    </row>
    <row r="1380" spans="1:7" hidden="1" x14ac:dyDescent="0.25">
      <c r="A1380" s="85" t="s">
        <v>3565</v>
      </c>
      <c r="B1380" s="88" t="s">
        <v>3516</v>
      </c>
      <c r="C1380" s="26" t="s">
        <v>37</v>
      </c>
      <c r="D1380" s="14"/>
      <c r="E1380" s="15">
        <f>+SUM!H1379</f>
        <v>1084441</v>
      </c>
      <c r="F1380" s="16">
        <f t="shared" si="80"/>
        <v>0</v>
      </c>
      <c r="G1380">
        <f t="shared" ref="G1380:G1443" si="81">+IF(F1380&lt;&gt;0,1,0)</f>
        <v>0</v>
      </c>
    </row>
    <row r="1381" spans="1:7" x14ac:dyDescent="0.25">
      <c r="A1381" s="85" t="s">
        <v>3566</v>
      </c>
      <c r="B1381" s="88" t="s">
        <v>3517</v>
      </c>
      <c r="C1381" s="26" t="s">
        <v>37</v>
      </c>
      <c r="D1381" s="14">
        <v>181</v>
      </c>
      <c r="E1381" s="15">
        <f>+SUM!H1380</f>
        <v>1584741</v>
      </c>
      <c r="F1381" s="16">
        <f t="shared" si="80"/>
        <v>286838121</v>
      </c>
      <c r="G1381">
        <f t="shared" si="81"/>
        <v>1</v>
      </c>
    </row>
    <row r="1382" spans="1:7" hidden="1" x14ac:dyDescent="0.25">
      <c r="A1382" s="85" t="s">
        <v>3567</v>
      </c>
      <c r="B1382" s="88" t="s">
        <v>3518</v>
      </c>
      <c r="C1382" s="26" t="s">
        <v>37</v>
      </c>
      <c r="D1382" s="14"/>
      <c r="E1382" s="15">
        <f>+SUM!H1381</f>
        <v>2083666</v>
      </c>
      <c r="F1382" s="16">
        <f t="shared" si="80"/>
        <v>0</v>
      </c>
      <c r="G1382">
        <f t="shared" si="81"/>
        <v>0</v>
      </c>
    </row>
    <row r="1383" spans="1:7" hidden="1" x14ac:dyDescent="0.25">
      <c r="A1383" s="85" t="s">
        <v>3568</v>
      </c>
      <c r="B1383" s="88" t="s">
        <v>3519</v>
      </c>
      <c r="C1383" s="26" t="s">
        <v>37</v>
      </c>
      <c r="D1383" s="14"/>
      <c r="E1383" s="15">
        <f>+SUM!H1382</f>
        <v>2909711</v>
      </c>
      <c r="F1383" s="16">
        <f t="shared" si="80"/>
        <v>0</v>
      </c>
      <c r="G1383">
        <f t="shared" si="81"/>
        <v>0</v>
      </c>
    </row>
    <row r="1384" spans="1:7" hidden="1" x14ac:dyDescent="0.25">
      <c r="A1384" s="85" t="s">
        <v>3569</v>
      </c>
      <c r="B1384" s="88" t="s">
        <v>3520</v>
      </c>
      <c r="C1384" s="26" t="s">
        <v>37</v>
      </c>
      <c r="D1384" s="14"/>
      <c r="E1384" s="15">
        <f>+SUM!H1383</f>
        <v>3976284</v>
      </c>
      <c r="F1384" s="16">
        <f t="shared" si="80"/>
        <v>0</v>
      </c>
      <c r="G1384">
        <f t="shared" si="81"/>
        <v>0</v>
      </c>
    </row>
    <row r="1385" spans="1:7" hidden="1" x14ac:dyDescent="0.25">
      <c r="A1385" s="85" t="s">
        <v>3571</v>
      </c>
      <c r="B1385" s="88" t="s">
        <v>3509</v>
      </c>
      <c r="C1385" s="26" t="s">
        <v>37</v>
      </c>
      <c r="D1385" s="14"/>
      <c r="E1385" s="15">
        <f>+SUM!H1384</f>
        <v>4027139</v>
      </c>
      <c r="F1385" s="16">
        <f t="shared" si="80"/>
        <v>0</v>
      </c>
      <c r="G1385">
        <f t="shared" si="81"/>
        <v>0</v>
      </c>
    </row>
    <row r="1386" spans="1:7" hidden="1" x14ac:dyDescent="0.25">
      <c r="A1386" s="78" t="s">
        <v>3576</v>
      </c>
      <c r="B1386" s="79" t="s">
        <v>3572</v>
      </c>
      <c r="C1386" s="26"/>
      <c r="D1386" s="14"/>
      <c r="E1386" s="15"/>
      <c r="F1386" s="16"/>
      <c r="G1386">
        <f t="shared" si="81"/>
        <v>0</v>
      </c>
    </row>
    <row r="1387" spans="1:7" hidden="1" x14ac:dyDescent="0.25">
      <c r="A1387" s="85" t="s">
        <v>3577</v>
      </c>
      <c r="B1387" s="88" t="s">
        <v>3511</v>
      </c>
      <c r="C1387" s="26" t="s">
        <v>37</v>
      </c>
      <c r="D1387" s="14"/>
      <c r="E1387" s="15"/>
      <c r="F1387" s="16">
        <f t="shared" ref="F1387:F1398" si="82">+D1387*E1387</f>
        <v>0</v>
      </c>
      <c r="G1387">
        <f t="shared" si="81"/>
        <v>0</v>
      </c>
    </row>
    <row r="1388" spans="1:7" hidden="1" x14ac:dyDescent="0.25">
      <c r="A1388" s="85" t="s">
        <v>3578</v>
      </c>
      <c r="B1388" s="88" t="s">
        <v>3512</v>
      </c>
      <c r="C1388" s="26" t="s">
        <v>37</v>
      </c>
      <c r="D1388" s="14"/>
      <c r="E1388" s="15"/>
      <c r="F1388" s="16">
        <f t="shared" si="82"/>
        <v>0</v>
      </c>
      <c r="G1388">
        <f t="shared" si="81"/>
        <v>0</v>
      </c>
    </row>
    <row r="1389" spans="1:7" hidden="1" x14ac:dyDescent="0.25">
      <c r="A1389" s="85" t="s">
        <v>3579</v>
      </c>
      <c r="B1389" s="88" t="s">
        <v>3510</v>
      </c>
      <c r="C1389" s="26" t="s">
        <v>37</v>
      </c>
      <c r="D1389" s="14"/>
      <c r="E1389" s="15"/>
      <c r="F1389" s="16">
        <f t="shared" si="82"/>
        <v>0</v>
      </c>
      <c r="G1389">
        <f t="shared" si="81"/>
        <v>0</v>
      </c>
    </row>
    <row r="1390" spans="1:7" hidden="1" x14ac:dyDescent="0.25">
      <c r="A1390" s="85" t="s">
        <v>3580</v>
      </c>
      <c r="B1390" s="88" t="s">
        <v>3514</v>
      </c>
      <c r="C1390" s="26" t="s">
        <v>37</v>
      </c>
      <c r="D1390" s="14"/>
      <c r="E1390" s="15"/>
      <c r="F1390" s="16">
        <f t="shared" si="82"/>
        <v>0</v>
      </c>
      <c r="G1390">
        <f t="shared" si="81"/>
        <v>0</v>
      </c>
    </row>
    <row r="1391" spans="1:7" hidden="1" x14ac:dyDescent="0.25">
      <c r="A1391" s="85" t="s">
        <v>3581</v>
      </c>
      <c r="B1391" s="88" t="s">
        <v>3513</v>
      </c>
      <c r="C1391" s="26" t="s">
        <v>37</v>
      </c>
      <c r="D1391" s="14"/>
      <c r="E1391" s="15"/>
      <c r="F1391" s="16">
        <f t="shared" si="82"/>
        <v>0</v>
      </c>
      <c r="G1391">
        <f t="shared" si="81"/>
        <v>0</v>
      </c>
    </row>
    <row r="1392" spans="1:7" hidden="1" x14ac:dyDescent="0.25">
      <c r="A1392" s="85" t="s">
        <v>3582</v>
      </c>
      <c r="B1392" s="88" t="s">
        <v>3515</v>
      </c>
      <c r="C1392" s="26" t="s">
        <v>37</v>
      </c>
      <c r="D1392" s="14"/>
      <c r="E1392" s="15"/>
      <c r="F1392" s="16">
        <f t="shared" si="82"/>
        <v>0</v>
      </c>
      <c r="G1392">
        <f t="shared" si="81"/>
        <v>0</v>
      </c>
    </row>
    <row r="1393" spans="1:7" hidden="1" x14ac:dyDescent="0.25">
      <c r="A1393" s="85" t="s">
        <v>3583</v>
      </c>
      <c r="B1393" s="88" t="s">
        <v>3516</v>
      </c>
      <c r="C1393" s="26" t="s">
        <v>37</v>
      </c>
      <c r="D1393" s="14"/>
      <c r="E1393" s="15"/>
      <c r="F1393" s="16">
        <f t="shared" si="82"/>
        <v>0</v>
      </c>
      <c r="G1393">
        <f t="shared" si="81"/>
        <v>0</v>
      </c>
    </row>
    <row r="1394" spans="1:7" hidden="1" x14ac:dyDescent="0.25">
      <c r="A1394" s="85" t="s">
        <v>3584</v>
      </c>
      <c r="B1394" s="88" t="s">
        <v>3517</v>
      </c>
      <c r="C1394" s="26" t="s">
        <v>37</v>
      </c>
      <c r="D1394" s="14"/>
      <c r="E1394" s="15"/>
      <c r="F1394" s="16">
        <f t="shared" si="82"/>
        <v>0</v>
      </c>
      <c r="G1394">
        <f t="shared" si="81"/>
        <v>0</v>
      </c>
    </row>
    <row r="1395" spans="1:7" hidden="1" x14ac:dyDescent="0.25">
      <c r="A1395" s="85" t="s">
        <v>3585</v>
      </c>
      <c r="B1395" s="88" t="s">
        <v>3518</v>
      </c>
      <c r="C1395" s="26" t="s">
        <v>37</v>
      </c>
      <c r="D1395" s="14"/>
      <c r="E1395" s="15"/>
      <c r="F1395" s="16">
        <f t="shared" si="82"/>
        <v>0</v>
      </c>
      <c r="G1395">
        <f t="shared" si="81"/>
        <v>0</v>
      </c>
    </row>
    <row r="1396" spans="1:7" hidden="1" x14ac:dyDescent="0.25">
      <c r="A1396" s="85" t="s">
        <v>3586</v>
      </c>
      <c r="B1396" s="88" t="s">
        <v>3519</v>
      </c>
      <c r="C1396" s="26" t="s">
        <v>37</v>
      </c>
      <c r="D1396" s="14"/>
      <c r="E1396" s="15"/>
      <c r="F1396" s="16">
        <f t="shared" si="82"/>
        <v>0</v>
      </c>
      <c r="G1396">
        <f t="shared" si="81"/>
        <v>0</v>
      </c>
    </row>
    <row r="1397" spans="1:7" hidden="1" x14ac:dyDescent="0.25">
      <c r="A1397" s="85" t="s">
        <v>3587</v>
      </c>
      <c r="B1397" s="88" t="s">
        <v>3520</v>
      </c>
      <c r="C1397" s="26" t="s">
        <v>37</v>
      </c>
      <c r="D1397" s="14"/>
      <c r="E1397" s="15"/>
      <c r="F1397" s="16">
        <f t="shared" si="82"/>
        <v>0</v>
      </c>
      <c r="G1397">
        <f t="shared" si="81"/>
        <v>0</v>
      </c>
    </row>
    <row r="1398" spans="1:7" hidden="1" x14ac:dyDescent="0.25">
      <c r="A1398" s="85" t="s">
        <v>3588</v>
      </c>
      <c r="B1398" s="88" t="s">
        <v>3509</v>
      </c>
      <c r="C1398" s="26" t="s">
        <v>37</v>
      </c>
      <c r="D1398" s="14"/>
      <c r="E1398" s="15"/>
      <c r="F1398" s="16">
        <f t="shared" si="82"/>
        <v>0</v>
      </c>
      <c r="G1398">
        <f t="shared" si="81"/>
        <v>0</v>
      </c>
    </row>
    <row r="1399" spans="1:7" hidden="1" x14ac:dyDescent="0.25">
      <c r="A1399" s="78" t="s">
        <v>3589</v>
      </c>
      <c r="B1399" s="79" t="s">
        <v>3573</v>
      </c>
      <c r="C1399" s="26"/>
      <c r="D1399" s="14"/>
      <c r="E1399" s="15"/>
      <c r="F1399" s="16"/>
      <c r="G1399">
        <f t="shared" si="81"/>
        <v>0</v>
      </c>
    </row>
    <row r="1400" spans="1:7" hidden="1" x14ac:dyDescent="0.25">
      <c r="A1400" s="85" t="s">
        <v>3590</v>
      </c>
      <c r="B1400" s="88" t="s">
        <v>3511</v>
      </c>
      <c r="C1400" s="26" t="s">
        <v>37</v>
      </c>
      <c r="D1400" s="14"/>
      <c r="E1400" s="15"/>
      <c r="F1400" s="16">
        <f t="shared" ref="F1400:F1411" si="83">+D1400*E1400</f>
        <v>0</v>
      </c>
      <c r="G1400">
        <f t="shared" si="81"/>
        <v>0</v>
      </c>
    </row>
    <row r="1401" spans="1:7" hidden="1" x14ac:dyDescent="0.25">
      <c r="A1401" s="85" t="s">
        <v>3591</v>
      </c>
      <c r="B1401" s="88" t="s">
        <v>3512</v>
      </c>
      <c r="C1401" s="26" t="s">
        <v>37</v>
      </c>
      <c r="D1401" s="14"/>
      <c r="E1401" s="15"/>
      <c r="F1401" s="16">
        <f t="shared" si="83"/>
        <v>0</v>
      </c>
      <c r="G1401">
        <f t="shared" si="81"/>
        <v>0</v>
      </c>
    </row>
    <row r="1402" spans="1:7" hidden="1" x14ac:dyDescent="0.25">
      <c r="A1402" s="85" t="s">
        <v>3592</v>
      </c>
      <c r="B1402" s="88" t="s">
        <v>3510</v>
      </c>
      <c r="C1402" s="26" t="s">
        <v>37</v>
      </c>
      <c r="D1402" s="14"/>
      <c r="E1402" s="15"/>
      <c r="F1402" s="16">
        <f t="shared" si="83"/>
        <v>0</v>
      </c>
      <c r="G1402">
        <f t="shared" si="81"/>
        <v>0</v>
      </c>
    </row>
    <row r="1403" spans="1:7" hidden="1" x14ac:dyDescent="0.25">
      <c r="A1403" s="85" t="s">
        <v>3593</v>
      </c>
      <c r="B1403" s="88" t="s">
        <v>3514</v>
      </c>
      <c r="C1403" s="26" t="s">
        <v>37</v>
      </c>
      <c r="D1403" s="14"/>
      <c r="E1403" s="15"/>
      <c r="F1403" s="16">
        <f t="shared" si="83"/>
        <v>0</v>
      </c>
      <c r="G1403">
        <f t="shared" si="81"/>
        <v>0</v>
      </c>
    </row>
    <row r="1404" spans="1:7" hidden="1" x14ac:dyDescent="0.25">
      <c r="A1404" s="85" t="s">
        <v>3594</v>
      </c>
      <c r="B1404" s="88" t="s">
        <v>3513</v>
      </c>
      <c r="C1404" s="26" t="s">
        <v>37</v>
      </c>
      <c r="D1404" s="14"/>
      <c r="E1404" s="15"/>
      <c r="F1404" s="16">
        <f t="shared" si="83"/>
        <v>0</v>
      </c>
      <c r="G1404">
        <f t="shared" si="81"/>
        <v>0</v>
      </c>
    </row>
    <row r="1405" spans="1:7" hidden="1" x14ac:dyDescent="0.25">
      <c r="A1405" s="85" t="s">
        <v>979</v>
      </c>
      <c r="B1405" s="88" t="s">
        <v>3515</v>
      </c>
      <c r="C1405" s="26" t="s">
        <v>37</v>
      </c>
      <c r="D1405" s="14"/>
      <c r="E1405" s="15"/>
      <c r="F1405" s="16">
        <f t="shared" si="83"/>
        <v>0</v>
      </c>
      <c r="G1405">
        <f t="shared" si="81"/>
        <v>0</v>
      </c>
    </row>
    <row r="1406" spans="1:7" hidden="1" x14ac:dyDescent="0.25">
      <c r="A1406" s="85" t="s">
        <v>980</v>
      </c>
      <c r="B1406" s="88" t="s">
        <v>3516</v>
      </c>
      <c r="C1406" s="26" t="s">
        <v>37</v>
      </c>
      <c r="D1406" s="14"/>
      <c r="E1406" s="15"/>
      <c r="F1406" s="16">
        <f t="shared" si="83"/>
        <v>0</v>
      </c>
      <c r="G1406">
        <f t="shared" si="81"/>
        <v>0</v>
      </c>
    </row>
    <row r="1407" spans="1:7" hidden="1" x14ac:dyDescent="0.25">
      <c r="A1407" s="85" t="s">
        <v>3595</v>
      </c>
      <c r="B1407" s="88" t="s">
        <v>3517</v>
      </c>
      <c r="C1407" s="26" t="s">
        <v>37</v>
      </c>
      <c r="D1407" s="14"/>
      <c r="E1407" s="15"/>
      <c r="F1407" s="16">
        <f t="shared" si="83"/>
        <v>0</v>
      </c>
      <c r="G1407">
        <f t="shared" si="81"/>
        <v>0</v>
      </c>
    </row>
    <row r="1408" spans="1:7" hidden="1" x14ac:dyDescent="0.25">
      <c r="A1408" s="85" t="s">
        <v>3596</v>
      </c>
      <c r="B1408" s="88" t="s">
        <v>3518</v>
      </c>
      <c r="C1408" s="26" t="s">
        <v>37</v>
      </c>
      <c r="D1408" s="14"/>
      <c r="E1408" s="15"/>
      <c r="F1408" s="16">
        <f t="shared" si="83"/>
        <v>0</v>
      </c>
      <c r="G1408">
        <f t="shared" si="81"/>
        <v>0</v>
      </c>
    </row>
    <row r="1409" spans="1:7" hidden="1" x14ac:dyDescent="0.25">
      <c r="A1409" s="85" t="s">
        <v>3597</v>
      </c>
      <c r="B1409" s="88" t="s">
        <v>3519</v>
      </c>
      <c r="C1409" s="26" t="s">
        <v>37</v>
      </c>
      <c r="D1409" s="14"/>
      <c r="E1409" s="15"/>
      <c r="F1409" s="16">
        <f t="shared" si="83"/>
        <v>0</v>
      </c>
      <c r="G1409">
        <f t="shared" si="81"/>
        <v>0</v>
      </c>
    </row>
    <row r="1410" spans="1:7" hidden="1" x14ac:dyDescent="0.25">
      <c r="A1410" s="85" t="s">
        <v>3598</v>
      </c>
      <c r="B1410" s="88" t="s">
        <v>3520</v>
      </c>
      <c r="C1410" s="26" t="s">
        <v>37</v>
      </c>
      <c r="D1410" s="14"/>
      <c r="E1410" s="15"/>
      <c r="F1410" s="16">
        <f t="shared" si="83"/>
        <v>0</v>
      </c>
      <c r="G1410">
        <f t="shared" si="81"/>
        <v>0</v>
      </c>
    </row>
    <row r="1411" spans="1:7" hidden="1" x14ac:dyDescent="0.25">
      <c r="A1411" s="85" t="s">
        <v>3599</v>
      </c>
      <c r="B1411" s="88" t="s">
        <v>3509</v>
      </c>
      <c r="C1411" s="26" t="s">
        <v>37</v>
      </c>
      <c r="D1411" s="14"/>
      <c r="E1411" s="15"/>
      <c r="F1411" s="16">
        <f t="shared" si="83"/>
        <v>0</v>
      </c>
      <c r="G1411">
        <f t="shared" si="81"/>
        <v>0</v>
      </c>
    </row>
    <row r="1412" spans="1:7" hidden="1" x14ac:dyDescent="0.25">
      <c r="A1412" s="78" t="s">
        <v>981</v>
      </c>
      <c r="B1412" s="79" t="s">
        <v>3574</v>
      </c>
      <c r="C1412" s="26"/>
      <c r="D1412" s="14"/>
      <c r="E1412" s="15"/>
      <c r="F1412" s="16"/>
      <c r="G1412">
        <f t="shared" si="81"/>
        <v>0</v>
      </c>
    </row>
    <row r="1413" spans="1:7" hidden="1" x14ac:dyDescent="0.25">
      <c r="A1413" s="85" t="s">
        <v>3600</v>
      </c>
      <c r="B1413" s="88" t="s">
        <v>3511</v>
      </c>
      <c r="C1413" s="26" t="s">
        <v>37</v>
      </c>
      <c r="D1413" s="14"/>
      <c r="E1413" s="15"/>
      <c r="F1413" s="16">
        <f t="shared" ref="F1413:F1424" si="84">+D1413*E1413</f>
        <v>0</v>
      </c>
      <c r="G1413">
        <f t="shared" si="81"/>
        <v>0</v>
      </c>
    </row>
    <row r="1414" spans="1:7" hidden="1" x14ac:dyDescent="0.25">
      <c r="A1414" s="85" t="s">
        <v>3601</v>
      </c>
      <c r="B1414" s="88" t="s">
        <v>3512</v>
      </c>
      <c r="C1414" s="26" t="s">
        <v>37</v>
      </c>
      <c r="D1414" s="14"/>
      <c r="E1414" s="15"/>
      <c r="F1414" s="16">
        <f t="shared" si="84"/>
        <v>0</v>
      </c>
      <c r="G1414">
        <f t="shared" si="81"/>
        <v>0</v>
      </c>
    </row>
    <row r="1415" spans="1:7" hidden="1" x14ac:dyDescent="0.25">
      <c r="A1415" s="85" t="s">
        <v>3602</v>
      </c>
      <c r="B1415" s="88" t="s">
        <v>3510</v>
      </c>
      <c r="C1415" s="26" t="s">
        <v>37</v>
      </c>
      <c r="D1415" s="14"/>
      <c r="E1415" s="15"/>
      <c r="F1415" s="16">
        <f t="shared" si="84"/>
        <v>0</v>
      </c>
      <c r="G1415">
        <f t="shared" si="81"/>
        <v>0</v>
      </c>
    </row>
    <row r="1416" spans="1:7" hidden="1" x14ac:dyDescent="0.25">
      <c r="A1416" s="85" t="s">
        <v>3603</v>
      </c>
      <c r="B1416" s="88" t="s">
        <v>3514</v>
      </c>
      <c r="C1416" s="26" t="s">
        <v>37</v>
      </c>
      <c r="D1416" s="14"/>
      <c r="E1416" s="15"/>
      <c r="F1416" s="16">
        <f t="shared" si="84"/>
        <v>0</v>
      </c>
      <c r="G1416">
        <f t="shared" si="81"/>
        <v>0</v>
      </c>
    </row>
    <row r="1417" spans="1:7" hidden="1" x14ac:dyDescent="0.25">
      <c r="A1417" s="85" t="s">
        <v>3604</v>
      </c>
      <c r="B1417" s="88" t="s">
        <v>3513</v>
      </c>
      <c r="C1417" s="26" t="s">
        <v>37</v>
      </c>
      <c r="D1417" s="14"/>
      <c r="E1417" s="15"/>
      <c r="F1417" s="16">
        <f t="shared" si="84"/>
        <v>0</v>
      </c>
      <c r="G1417">
        <f t="shared" si="81"/>
        <v>0</v>
      </c>
    </row>
    <row r="1418" spans="1:7" hidden="1" x14ac:dyDescent="0.25">
      <c r="A1418" s="85" t="s">
        <v>3605</v>
      </c>
      <c r="B1418" s="88" t="s">
        <v>3515</v>
      </c>
      <c r="C1418" s="26" t="s">
        <v>37</v>
      </c>
      <c r="D1418" s="14"/>
      <c r="E1418" s="15"/>
      <c r="F1418" s="16">
        <f t="shared" si="84"/>
        <v>0</v>
      </c>
      <c r="G1418">
        <f t="shared" si="81"/>
        <v>0</v>
      </c>
    </row>
    <row r="1419" spans="1:7" hidden="1" x14ac:dyDescent="0.25">
      <c r="A1419" s="85" t="s">
        <v>982</v>
      </c>
      <c r="B1419" s="88" t="s">
        <v>3516</v>
      </c>
      <c r="C1419" s="26" t="s">
        <v>37</v>
      </c>
      <c r="D1419" s="14"/>
      <c r="E1419" s="15"/>
      <c r="F1419" s="16">
        <f t="shared" si="84"/>
        <v>0</v>
      </c>
      <c r="G1419">
        <f t="shared" si="81"/>
        <v>0</v>
      </c>
    </row>
    <row r="1420" spans="1:7" hidden="1" x14ac:dyDescent="0.25">
      <c r="A1420" s="85" t="s">
        <v>3606</v>
      </c>
      <c r="B1420" s="88" t="s">
        <v>3517</v>
      </c>
      <c r="C1420" s="26" t="s">
        <v>37</v>
      </c>
      <c r="D1420" s="14"/>
      <c r="E1420" s="15"/>
      <c r="F1420" s="16">
        <f t="shared" si="84"/>
        <v>0</v>
      </c>
      <c r="G1420">
        <f t="shared" si="81"/>
        <v>0</v>
      </c>
    </row>
    <row r="1421" spans="1:7" hidden="1" x14ac:dyDescent="0.25">
      <c r="A1421" s="85" t="s">
        <v>3607</v>
      </c>
      <c r="B1421" s="88" t="s">
        <v>3518</v>
      </c>
      <c r="C1421" s="26" t="s">
        <v>37</v>
      </c>
      <c r="D1421" s="14"/>
      <c r="E1421" s="15"/>
      <c r="F1421" s="16">
        <f t="shared" si="84"/>
        <v>0</v>
      </c>
      <c r="G1421">
        <f t="shared" si="81"/>
        <v>0</v>
      </c>
    </row>
    <row r="1422" spans="1:7" hidden="1" x14ac:dyDescent="0.25">
      <c r="A1422" s="85" t="s">
        <v>3608</v>
      </c>
      <c r="B1422" s="88" t="s">
        <v>3519</v>
      </c>
      <c r="C1422" s="26" t="s">
        <v>37</v>
      </c>
      <c r="D1422" s="14"/>
      <c r="E1422" s="15"/>
      <c r="F1422" s="16">
        <f t="shared" si="84"/>
        <v>0</v>
      </c>
      <c r="G1422">
        <f t="shared" si="81"/>
        <v>0</v>
      </c>
    </row>
    <row r="1423" spans="1:7" hidden="1" x14ac:dyDescent="0.25">
      <c r="A1423" s="85" t="s">
        <v>3609</v>
      </c>
      <c r="B1423" s="88" t="s">
        <v>3520</v>
      </c>
      <c r="C1423" s="26" t="s">
        <v>37</v>
      </c>
      <c r="D1423" s="14"/>
      <c r="E1423" s="15"/>
      <c r="F1423" s="16">
        <f t="shared" si="84"/>
        <v>0</v>
      </c>
      <c r="G1423">
        <f t="shared" si="81"/>
        <v>0</v>
      </c>
    </row>
    <row r="1424" spans="1:7" hidden="1" x14ac:dyDescent="0.25">
      <c r="A1424" s="85" t="s">
        <v>3610</v>
      </c>
      <c r="B1424" s="88" t="s">
        <v>3509</v>
      </c>
      <c r="C1424" s="26" t="s">
        <v>37</v>
      </c>
      <c r="D1424" s="14"/>
      <c r="E1424" s="15"/>
      <c r="F1424" s="16">
        <f t="shared" si="84"/>
        <v>0</v>
      </c>
      <c r="G1424">
        <f t="shared" si="81"/>
        <v>0</v>
      </c>
    </row>
    <row r="1425" spans="1:7" hidden="1" x14ac:dyDescent="0.25">
      <c r="A1425" s="78" t="s">
        <v>983</v>
      </c>
      <c r="B1425" s="79" t="s">
        <v>3575</v>
      </c>
      <c r="C1425" s="26"/>
      <c r="D1425" s="14"/>
      <c r="E1425" s="15"/>
      <c r="F1425" s="16"/>
      <c r="G1425">
        <f t="shared" si="81"/>
        <v>0</v>
      </c>
    </row>
    <row r="1426" spans="1:7" hidden="1" x14ac:dyDescent="0.25">
      <c r="A1426" s="85" t="s">
        <v>3611</v>
      </c>
      <c r="B1426" s="88" t="s">
        <v>3511</v>
      </c>
      <c r="C1426" s="26" t="s">
        <v>37</v>
      </c>
      <c r="D1426" s="14"/>
      <c r="E1426" s="15"/>
      <c r="F1426" s="16">
        <f t="shared" ref="F1426:F1437" si="85">+D1426*E1426</f>
        <v>0</v>
      </c>
      <c r="G1426">
        <f t="shared" si="81"/>
        <v>0</v>
      </c>
    </row>
    <row r="1427" spans="1:7" hidden="1" x14ac:dyDescent="0.25">
      <c r="A1427" s="85" t="s">
        <v>3612</v>
      </c>
      <c r="B1427" s="88" t="s">
        <v>3512</v>
      </c>
      <c r="C1427" s="26" t="s">
        <v>37</v>
      </c>
      <c r="D1427" s="14"/>
      <c r="E1427" s="15"/>
      <c r="F1427" s="16">
        <f t="shared" si="85"/>
        <v>0</v>
      </c>
      <c r="G1427">
        <f t="shared" si="81"/>
        <v>0</v>
      </c>
    </row>
    <row r="1428" spans="1:7" hidden="1" x14ac:dyDescent="0.25">
      <c r="A1428" s="85" t="s">
        <v>3613</v>
      </c>
      <c r="B1428" s="88" t="s">
        <v>3510</v>
      </c>
      <c r="C1428" s="26" t="s">
        <v>37</v>
      </c>
      <c r="D1428" s="14"/>
      <c r="E1428" s="15"/>
      <c r="F1428" s="16">
        <f t="shared" si="85"/>
        <v>0</v>
      </c>
      <c r="G1428">
        <f t="shared" si="81"/>
        <v>0</v>
      </c>
    </row>
    <row r="1429" spans="1:7" hidden="1" x14ac:dyDescent="0.25">
      <c r="A1429" s="85" t="s">
        <v>3614</v>
      </c>
      <c r="B1429" s="88" t="s">
        <v>3514</v>
      </c>
      <c r="C1429" s="26" t="s">
        <v>37</v>
      </c>
      <c r="D1429" s="14"/>
      <c r="E1429" s="15"/>
      <c r="F1429" s="16">
        <f t="shared" si="85"/>
        <v>0</v>
      </c>
      <c r="G1429">
        <f t="shared" si="81"/>
        <v>0</v>
      </c>
    </row>
    <row r="1430" spans="1:7" hidden="1" x14ac:dyDescent="0.25">
      <c r="A1430" s="85" t="s">
        <v>3615</v>
      </c>
      <c r="B1430" s="88" t="s">
        <v>3513</v>
      </c>
      <c r="C1430" s="26" t="s">
        <v>37</v>
      </c>
      <c r="D1430" s="14"/>
      <c r="E1430" s="15"/>
      <c r="F1430" s="16">
        <f t="shared" si="85"/>
        <v>0</v>
      </c>
      <c r="G1430">
        <f t="shared" si="81"/>
        <v>0</v>
      </c>
    </row>
    <row r="1431" spans="1:7" hidden="1" x14ac:dyDescent="0.25">
      <c r="A1431" s="85" t="s">
        <v>3616</v>
      </c>
      <c r="B1431" s="88" t="s">
        <v>3515</v>
      </c>
      <c r="C1431" s="26" t="s">
        <v>37</v>
      </c>
      <c r="D1431" s="14"/>
      <c r="E1431" s="15"/>
      <c r="F1431" s="16">
        <f t="shared" si="85"/>
        <v>0</v>
      </c>
      <c r="G1431">
        <f t="shared" si="81"/>
        <v>0</v>
      </c>
    </row>
    <row r="1432" spans="1:7" hidden="1" x14ac:dyDescent="0.25">
      <c r="A1432" s="85" t="s">
        <v>984</v>
      </c>
      <c r="B1432" s="88" t="s">
        <v>3516</v>
      </c>
      <c r="C1432" s="26" t="s">
        <v>37</v>
      </c>
      <c r="D1432" s="14"/>
      <c r="E1432" s="15"/>
      <c r="F1432" s="16">
        <f t="shared" si="85"/>
        <v>0</v>
      </c>
      <c r="G1432">
        <f t="shared" si="81"/>
        <v>0</v>
      </c>
    </row>
    <row r="1433" spans="1:7" hidden="1" x14ac:dyDescent="0.25">
      <c r="A1433" s="85" t="s">
        <v>3617</v>
      </c>
      <c r="B1433" s="88" t="s">
        <v>3517</v>
      </c>
      <c r="C1433" s="26" t="s">
        <v>37</v>
      </c>
      <c r="D1433" s="14"/>
      <c r="E1433" s="15"/>
      <c r="F1433" s="16">
        <f t="shared" si="85"/>
        <v>0</v>
      </c>
      <c r="G1433">
        <f t="shared" si="81"/>
        <v>0</v>
      </c>
    </row>
    <row r="1434" spans="1:7" hidden="1" x14ac:dyDescent="0.25">
      <c r="A1434" s="85" t="s">
        <v>3618</v>
      </c>
      <c r="B1434" s="88" t="s">
        <v>3518</v>
      </c>
      <c r="C1434" s="26" t="s">
        <v>37</v>
      </c>
      <c r="D1434" s="14"/>
      <c r="E1434" s="15"/>
      <c r="F1434" s="16">
        <f t="shared" si="85"/>
        <v>0</v>
      </c>
      <c r="G1434">
        <f t="shared" si="81"/>
        <v>0</v>
      </c>
    </row>
    <row r="1435" spans="1:7" hidden="1" x14ac:dyDescent="0.25">
      <c r="A1435" s="85" t="s">
        <v>3619</v>
      </c>
      <c r="B1435" s="88" t="s">
        <v>3519</v>
      </c>
      <c r="C1435" s="26" t="s">
        <v>37</v>
      </c>
      <c r="D1435" s="14"/>
      <c r="E1435" s="15"/>
      <c r="F1435" s="16">
        <f t="shared" si="85"/>
        <v>0</v>
      </c>
      <c r="G1435">
        <f t="shared" si="81"/>
        <v>0</v>
      </c>
    </row>
    <row r="1436" spans="1:7" hidden="1" x14ac:dyDescent="0.25">
      <c r="A1436" s="85" t="s">
        <v>3620</v>
      </c>
      <c r="B1436" s="88" t="s">
        <v>3520</v>
      </c>
      <c r="C1436" s="26" t="s">
        <v>37</v>
      </c>
      <c r="D1436" s="14"/>
      <c r="E1436" s="15"/>
      <c r="F1436" s="16">
        <f t="shared" si="85"/>
        <v>0</v>
      </c>
      <c r="G1436">
        <f t="shared" si="81"/>
        <v>0</v>
      </c>
    </row>
    <row r="1437" spans="1:7" hidden="1" x14ac:dyDescent="0.25">
      <c r="A1437" s="85" t="s">
        <v>3621</v>
      </c>
      <c r="B1437" s="88" t="s">
        <v>3509</v>
      </c>
      <c r="C1437" s="26" t="s">
        <v>37</v>
      </c>
      <c r="D1437" s="14"/>
      <c r="E1437" s="15"/>
      <c r="F1437" s="16">
        <f t="shared" si="85"/>
        <v>0</v>
      </c>
      <c r="G1437">
        <f t="shared" si="81"/>
        <v>0</v>
      </c>
    </row>
    <row r="1438" spans="1:7" hidden="1" x14ac:dyDescent="0.25">
      <c r="A1438" s="78" t="s">
        <v>985</v>
      </c>
      <c r="B1438" s="79" t="s">
        <v>3632</v>
      </c>
      <c r="C1438" s="26"/>
      <c r="D1438" s="14"/>
      <c r="E1438" s="15"/>
      <c r="F1438" s="16"/>
      <c r="G1438">
        <f t="shared" si="81"/>
        <v>0</v>
      </c>
    </row>
    <row r="1439" spans="1:7" hidden="1" x14ac:dyDescent="0.25">
      <c r="A1439" s="85" t="s">
        <v>986</v>
      </c>
      <c r="B1439" s="88" t="s">
        <v>3511</v>
      </c>
      <c r="C1439" s="26" t="s">
        <v>37</v>
      </c>
      <c r="D1439" s="14"/>
      <c r="E1439" s="15"/>
      <c r="F1439" s="16">
        <f t="shared" ref="F1439:F1450" si="86">+D1439*E1439</f>
        <v>0</v>
      </c>
      <c r="G1439">
        <f t="shared" si="81"/>
        <v>0</v>
      </c>
    </row>
    <row r="1440" spans="1:7" hidden="1" x14ac:dyDescent="0.25">
      <c r="A1440" s="85" t="s">
        <v>987</v>
      </c>
      <c r="B1440" s="88" t="s">
        <v>3512</v>
      </c>
      <c r="C1440" s="26" t="s">
        <v>37</v>
      </c>
      <c r="D1440" s="14"/>
      <c r="E1440" s="15"/>
      <c r="F1440" s="16">
        <f t="shared" si="86"/>
        <v>0</v>
      </c>
      <c r="G1440">
        <f t="shared" si="81"/>
        <v>0</v>
      </c>
    </row>
    <row r="1441" spans="1:7" hidden="1" x14ac:dyDescent="0.25">
      <c r="A1441" s="85" t="s">
        <v>3622</v>
      </c>
      <c r="B1441" s="88" t="s">
        <v>3510</v>
      </c>
      <c r="C1441" s="26" t="s">
        <v>37</v>
      </c>
      <c r="D1441" s="14"/>
      <c r="E1441" s="15"/>
      <c r="F1441" s="16">
        <f t="shared" si="86"/>
        <v>0</v>
      </c>
      <c r="G1441">
        <f t="shared" si="81"/>
        <v>0</v>
      </c>
    </row>
    <row r="1442" spans="1:7" hidden="1" x14ac:dyDescent="0.25">
      <c r="A1442" s="85" t="s">
        <v>3623</v>
      </c>
      <c r="B1442" s="88" t="s">
        <v>3514</v>
      </c>
      <c r="C1442" s="26" t="s">
        <v>37</v>
      </c>
      <c r="D1442" s="14"/>
      <c r="E1442" s="15"/>
      <c r="F1442" s="16">
        <f t="shared" si="86"/>
        <v>0</v>
      </c>
      <c r="G1442">
        <f t="shared" si="81"/>
        <v>0</v>
      </c>
    </row>
    <row r="1443" spans="1:7" hidden="1" x14ac:dyDescent="0.25">
      <c r="A1443" s="85" t="s">
        <v>3624</v>
      </c>
      <c r="B1443" s="88" t="s">
        <v>3513</v>
      </c>
      <c r="C1443" s="26" t="s">
        <v>37</v>
      </c>
      <c r="D1443" s="14"/>
      <c r="E1443" s="15"/>
      <c r="F1443" s="16">
        <f t="shared" si="86"/>
        <v>0</v>
      </c>
      <c r="G1443">
        <f t="shared" si="81"/>
        <v>0</v>
      </c>
    </row>
    <row r="1444" spans="1:7" hidden="1" x14ac:dyDescent="0.25">
      <c r="A1444" s="85" t="s">
        <v>3625</v>
      </c>
      <c r="B1444" s="88" t="s">
        <v>3515</v>
      </c>
      <c r="C1444" s="26" t="s">
        <v>37</v>
      </c>
      <c r="D1444" s="14"/>
      <c r="E1444" s="15"/>
      <c r="F1444" s="16">
        <f t="shared" si="86"/>
        <v>0</v>
      </c>
      <c r="G1444">
        <f t="shared" ref="G1444:G1507" si="87">+IF(F1444&lt;&gt;0,1,0)</f>
        <v>0</v>
      </c>
    </row>
    <row r="1445" spans="1:7" hidden="1" x14ac:dyDescent="0.25">
      <c r="A1445" s="85" t="s">
        <v>3626</v>
      </c>
      <c r="B1445" s="88" t="s">
        <v>3516</v>
      </c>
      <c r="C1445" s="26" t="s">
        <v>37</v>
      </c>
      <c r="D1445" s="14"/>
      <c r="E1445" s="15"/>
      <c r="F1445" s="16">
        <f t="shared" si="86"/>
        <v>0</v>
      </c>
      <c r="G1445">
        <f t="shared" si="87"/>
        <v>0</v>
      </c>
    </row>
    <row r="1446" spans="1:7" hidden="1" x14ac:dyDescent="0.25">
      <c r="A1446" s="85" t="s">
        <v>3627</v>
      </c>
      <c r="B1446" s="88" t="s">
        <v>3517</v>
      </c>
      <c r="C1446" s="26" t="s">
        <v>37</v>
      </c>
      <c r="D1446" s="14"/>
      <c r="E1446" s="15">
        <f>+SUM!H1445</f>
        <v>3322046</v>
      </c>
      <c r="F1446" s="16">
        <f t="shared" si="86"/>
        <v>0</v>
      </c>
      <c r="G1446">
        <f t="shared" si="87"/>
        <v>0</v>
      </c>
    </row>
    <row r="1447" spans="1:7" hidden="1" x14ac:dyDescent="0.25">
      <c r="A1447" s="85" t="s">
        <v>3628</v>
      </c>
      <c r="B1447" s="88" t="s">
        <v>3518</v>
      </c>
      <c r="C1447" s="26" t="s">
        <v>37</v>
      </c>
      <c r="D1447" s="14"/>
      <c r="E1447" s="15"/>
      <c r="F1447" s="16">
        <f t="shared" si="86"/>
        <v>0</v>
      </c>
      <c r="G1447">
        <f t="shared" si="87"/>
        <v>0</v>
      </c>
    </row>
    <row r="1448" spans="1:7" hidden="1" x14ac:dyDescent="0.25">
      <c r="A1448" s="85" t="s">
        <v>3629</v>
      </c>
      <c r="B1448" s="88" t="s">
        <v>3519</v>
      </c>
      <c r="C1448" s="26" t="s">
        <v>37</v>
      </c>
      <c r="D1448" s="14"/>
      <c r="E1448" s="15"/>
      <c r="F1448" s="16">
        <f t="shared" si="86"/>
        <v>0</v>
      </c>
      <c r="G1448">
        <f t="shared" si="87"/>
        <v>0</v>
      </c>
    </row>
    <row r="1449" spans="1:7" hidden="1" x14ac:dyDescent="0.25">
      <c r="A1449" s="85" t="s">
        <v>3630</v>
      </c>
      <c r="B1449" s="88" t="s">
        <v>3520</v>
      </c>
      <c r="C1449" s="26" t="s">
        <v>37</v>
      </c>
      <c r="D1449" s="14"/>
      <c r="E1449" s="15"/>
      <c r="F1449" s="16">
        <f t="shared" si="86"/>
        <v>0</v>
      </c>
      <c r="G1449">
        <f t="shared" si="87"/>
        <v>0</v>
      </c>
    </row>
    <row r="1450" spans="1:7" hidden="1" x14ac:dyDescent="0.25">
      <c r="A1450" s="85" t="s">
        <v>3631</v>
      </c>
      <c r="B1450" s="88" t="s">
        <v>3509</v>
      </c>
      <c r="C1450" s="26" t="s">
        <v>37</v>
      </c>
      <c r="D1450" s="14"/>
      <c r="E1450" s="15"/>
      <c r="F1450" s="16">
        <f t="shared" si="86"/>
        <v>0</v>
      </c>
      <c r="G1450">
        <f t="shared" si="87"/>
        <v>0</v>
      </c>
    </row>
    <row r="1451" spans="1:7" hidden="1" x14ac:dyDescent="0.25">
      <c r="A1451" s="78" t="s">
        <v>988</v>
      </c>
      <c r="B1451" s="79" t="s">
        <v>3633</v>
      </c>
      <c r="C1451" s="26"/>
      <c r="D1451" s="14"/>
      <c r="E1451" s="15"/>
      <c r="F1451" s="16"/>
      <c r="G1451">
        <f t="shared" si="87"/>
        <v>0</v>
      </c>
    </row>
    <row r="1452" spans="1:7" hidden="1" x14ac:dyDescent="0.25">
      <c r="A1452" s="85" t="s">
        <v>989</v>
      </c>
      <c r="B1452" s="88" t="s">
        <v>3511</v>
      </c>
      <c r="C1452" s="26" t="s">
        <v>37</v>
      </c>
      <c r="D1452" s="14"/>
      <c r="E1452" s="15"/>
      <c r="F1452" s="16">
        <f t="shared" ref="F1452:F1463" si="88">+D1452*E1452</f>
        <v>0</v>
      </c>
      <c r="G1452">
        <f t="shared" si="87"/>
        <v>0</v>
      </c>
    </row>
    <row r="1453" spans="1:7" hidden="1" x14ac:dyDescent="0.25">
      <c r="A1453" s="85" t="s">
        <v>3634</v>
      </c>
      <c r="B1453" s="88" t="s">
        <v>3512</v>
      </c>
      <c r="C1453" s="26" t="s">
        <v>37</v>
      </c>
      <c r="D1453" s="14"/>
      <c r="E1453" s="15"/>
      <c r="F1453" s="16">
        <f t="shared" si="88"/>
        <v>0</v>
      </c>
      <c r="G1453">
        <f t="shared" si="87"/>
        <v>0</v>
      </c>
    </row>
    <row r="1454" spans="1:7" hidden="1" x14ac:dyDescent="0.25">
      <c r="A1454" s="85" t="s">
        <v>3635</v>
      </c>
      <c r="B1454" s="88" t="s">
        <v>3510</v>
      </c>
      <c r="C1454" s="26" t="s">
        <v>37</v>
      </c>
      <c r="D1454" s="14"/>
      <c r="E1454" s="15"/>
      <c r="F1454" s="16">
        <f t="shared" si="88"/>
        <v>0</v>
      </c>
      <c r="G1454">
        <f t="shared" si="87"/>
        <v>0</v>
      </c>
    </row>
    <row r="1455" spans="1:7" hidden="1" x14ac:dyDescent="0.25">
      <c r="A1455" s="85" t="s">
        <v>3636</v>
      </c>
      <c r="B1455" s="88" t="s">
        <v>3514</v>
      </c>
      <c r="C1455" s="26" t="s">
        <v>37</v>
      </c>
      <c r="D1455" s="14"/>
      <c r="E1455" s="15"/>
      <c r="F1455" s="16">
        <f t="shared" si="88"/>
        <v>0</v>
      </c>
      <c r="G1455">
        <f t="shared" si="87"/>
        <v>0</v>
      </c>
    </row>
    <row r="1456" spans="1:7" hidden="1" x14ac:dyDescent="0.25">
      <c r="A1456" s="85" t="s">
        <v>3637</v>
      </c>
      <c r="B1456" s="88" t="s">
        <v>3513</v>
      </c>
      <c r="C1456" s="26" t="s">
        <v>37</v>
      </c>
      <c r="D1456" s="14"/>
      <c r="E1456" s="15"/>
      <c r="F1456" s="16">
        <f t="shared" si="88"/>
        <v>0</v>
      </c>
      <c r="G1456">
        <f t="shared" si="87"/>
        <v>0</v>
      </c>
    </row>
    <row r="1457" spans="1:7" hidden="1" x14ac:dyDescent="0.25">
      <c r="A1457" s="85" t="s">
        <v>3638</v>
      </c>
      <c r="B1457" s="88" t="s">
        <v>3515</v>
      </c>
      <c r="C1457" s="26" t="s">
        <v>37</v>
      </c>
      <c r="D1457" s="14"/>
      <c r="E1457" s="15"/>
      <c r="F1457" s="16">
        <f t="shared" si="88"/>
        <v>0</v>
      </c>
      <c r="G1457">
        <f t="shared" si="87"/>
        <v>0</v>
      </c>
    </row>
    <row r="1458" spans="1:7" hidden="1" x14ac:dyDescent="0.25">
      <c r="A1458" s="85" t="s">
        <v>3639</v>
      </c>
      <c r="B1458" s="88" t="s">
        <v>3516</v>
      </c>
      <c r="C1458" s="26" t="s">
        <v>37</v>
      </c>
      <c r="D1458" s="14"/>
      <c r="E1458" s="15"/>
      <c r="F1458" s="16">
        <f t="shared" si="88"/>
        <v>0</v>
      </c>
      <c r="G1458">
        <f t="shared" si="87"/>
        <v>0</v>
      </c>
    </row>
    <row r="1459" spans="1:7" hidden="1" x14ac:dyDescent="0.25">
      <c r="A1459" s="85" t="s">
        <v>3640</v>
      </c>
      <c r="B1459" s="88" t="s">
        <v>3517</v>
      </c>
      <c r="C1459" s="26" t="s">
        <v>37</v>
      </c>
      <c r="D1459" s="14"/>
      <c r="E1459" s="15"/>
      <c r="F1459" s="16">
        <f t="shared" si="88"/>
        <v>0</v>
      </c>
      <c r="G1459">
        <f t="shared" si="87"/>
        <v>0</v>
      </c>
    </row>
    <row r="1460" spans="1:7" hidden="1" x14ac:dyDescent="0.25">
      <c r="A1460" s="85" t="s">
        <v>3641</v>
      </c>
      <c r="B1460" s="88" t="s">
        <v>3518</v>
      </c>
      <c r="C1460" s="26" t="s">
        <v>37</v>
      </c>
      <c r="D1460" s="14"/>
      <c r="E1460" s="15"/>
      <c r="F1460" s="16">
        <f t="shared" si="88"/>
        <v>0</v>
      </c>
      <c r="G1460">
        <f t="shared" si="87"/>
        <v>0</v>
      </c>
    </row>
    <row r="1461" spans="1:7" hidden="1" x14ac:dyDescent="0.25">
      <c r="A1461" s="85" t="s">
        <v>3642</v>
      </c>
      <c r="B1461" s="88" t="s">
        <v>3519</v>
      </c>
      <c r="C1461" s="26" t="s">
        <v>37</v>
      </c>
      <c r="D1461" s="14"/>
      <c r="E1461" s="15"/>
      <c r="F1461" s="16">
        <f t="shared" si="88"/>
        <v>0</v>
      </c>
      <c r="G1461">
        <f t="shared" si="87"/>
        <v>0</v>
      </c>
    </row>
    <row r="1462" spans="1:7" hidden="1" x14ac:dyDescent="0.25">
      <c r="A1462" s="85" t="s">
        <v>3643</v>
      </c>
      <c r="B1462" s="88" t="s">
        <v>3520</v>
      </c>
      <c r="C1462" s="26" t="s">
        <v>37</v>
      </c>
      <c r="D1462" s="14"/>
      <c r="E1462" s="15"/>
      <c r="F1462" s="16">
        <f t="shared" si="88"/>
        <v>0</v>
      </c>
      <c r="G1462">
        <f t="shared" si="87"/>
        <v>0</v>
      </c>
    </row>
    <row r="1463" spans="1:7" hidden="1" x14ac:dyDescent="0.25">
      <c r="A1463" s="85" t="s">
        <v>3644</v>
      </c>
      <c r="B1463" s="88" t="s">
        <v>3509</v>
      </c>
      <c r="C1463" s="26" t="s">
        <v>37</v>
      </c>
      <c r="D1463" s="14"/>
      <c r="E1463" s="15"/>
      <c r="F1463" s="16">
        <f t="shared" si="88"/>
        <v>0</v>
      </c>
      <c r="G1463">
        <f t="shared" si="87"/>
        <v>0</v>
      </c>
    </row>
    <row r="1464" spans="1:7" hidden="1" x14ac:dyDescent="0.25">
      <c r="A1464" s="78" t="s">
        <v>3645</v>
      </c>
      <c r="B1464" s="79" t="s">
        <v>3647</v>
      </c>
      <c r="C1464" s="26"/>
      <c r="D1464" s="14"/>
      <c r="E1464" s="15"/>
      <c r="F1464" s="16"/>
      <c r="G1464">
        <f t="shared" si="87"/>
        <v>0</v>
      </c>
    </row>
    <row r="1465" spans="1:7" hidden="1" x14ac:dyDescent="0.25">
      <c r="A1465" s="85" t="s">
        <v>3646</v>
      </c>
      <c r="B1465" s="88" t="s">
        <v>3511</v>
      </c>
      <c r="C1465" s="26" t="s">
        <v>37</v>
      </c>
      <c r="D1465" s="14"/>
      <c r="E1465" s="15"/>
      <c r="F1465" s="16">
        <f t="shared" ref="F1465:F1476" si="89">+D1465*E1465</f>
        <v>0</v>
      </c>
      <c r="G1465">
        <f t="shared" si="87"/>
        <v>0</v>
      </c>
    </row>
    <row r="1466" spans="1:7" hidden="1" x14ac:dyDescent="0.25">
      <c r="A1466" s="85" t="s">
        <v>3648</v>
      </c>
      <c r="B1466" s="88" t="s">
        <v>3512</v>
      </c>
      <c r="C1466" s="26" t="s">
        <v>37</v>
      </c>
      <c r="D1466" s="14"/>
      <c r="E1466" s="15"/>
      <c r="F1466" s="16">
        <f t="shared" si="89"/>
        <v>0</v>
      </c>
      <c r="G1466">
        <f t="shared" si="87"/>
        <v>0</v>
      </c>
    </row>
    <row r="1467" spans="1:7" hidden="1" x14ac:dyDescent="0.25">
      <c r="A1467" s="85" t="s">
        <v>3649</v>
      </c>
      <c r="B1467" s="88" t="s">
        <v>3510</v>
      </c>
      <c r="C1467" s="26" t="s">
        <v>37</v>
      </c>
      <c r="D1467" s="14"/>
      <c r="E1467" s="15"/>
      <c r="F1467" s="16">
        <f t="shared" si="89"/>
        <v>0</v>
      </c>
      <c r="G1467">
        <f t="shared" si="87"/>
        <v>0</v>
      </c>
    </row>
    <row r="1468" spans="1:7" hidden="1" x14ac:dyDescent="0.25">
      <c r="A1468" s="85" t="s">
        <v>3650</v>
      </c>
      <c r="B1468" s="88" t="s">
        <v>3514</v>
      </c>
      <c r="C1468" s="26" t="s">
        <v>37</v>
      </c>
      <c r="D1468" s="14"/>
      <c r="E1468" s="15"/>
      <c r="F1468" s="16">
        <f t="shared" si="89"/>
        <v>0</v>
      </c>
      <c r="G1468">
        <f t="shared" si="87"/>
        <v>0</v>
      </c>
    </row>
    <row r="1469" spans="1:7" hidden="1" x14ac:dyDescent="0.25">
      <c r="A1469" s="85" t="s">
        <v>3651</v>
      </c>
      <c r="B1469" s="88" t="s">
        <v>3513</v>
      </c>
      <c r="C1469" s="26" t="s">
        <v>37</v>
      </c>
      <c r="D1469" s="14"/>
      <c r="E1469" s="15"/>
      <c r="F1469" s="16">
        <f t="shared" si="89"/>
        <v>0</v>
      </c>
      <c r="G1469">
        <f t="shared" si="87"/>
        <v>0</v>
      </c>
    </row>
    <row r="1470" spans="1:7" hidden="1" x14ac:dyDescent="0.25">
      <c r="A1470" s="85" t="s">
        <v>3652</v>
      </c>
      <c r="B1470" s="88" t="s">
        <v>3515</v>
      </c>
      <c r="C1470" s="26" t="s">
        <v>37</v>
      </c>
      <c r="D1470" s="14"/>
      <c r="E1470" s="15"/>
      <c r="F1470" s="16">
        <f t="shared" si="89"/>
        <v>0</v>
      </c>
      <c r="G1470">
        <f t="shared" si="87"/>
        <v>0</v>
      </c>
    </row>
    <row r="1471" spans="1:7" hidden="1" x14ac:dyDescent="0.25">
      <c r="A1471" s="85" t="s">
        <v>3653</v>
      </c>
      <c r="B1471" s="88" t="s">
        <v>3516</v>
      </c>
      <c r="C1471" s="26" t="s">
        <v>37</v>
      </c>
      <c r="D1471" s="14"/>
      <c r="E1471" s="15"/>
      <c r="F1471" s="16">
        <f t="shared" si="89"/>
        <v>0</v>
      </c>
      <c r="G1471">
        <f t="shared" si="87"/>
        <v>0</v>
      </c>
    </row>
    <row r="1472" spans="1:7" hidden="1" x14ac:dyDescent="0.25">
      <c r="A1472" s="85" t="s">
        <v>3654</v>
      </c>
      <c r="B1472" s="88" t="s">
        <v>3517</v>
      </c>
      <c r="C1472" s="26" t="s">
        <v>37</v>
      </c>
      <c r="D1472" s="14"/>
      <c r="E1472" s="15"/>
      <c r="F1472" s="16">
        <f t="shared" si="89"/>
        <v>0</v>
      </c>
      <c r="G1472">
        <f t="shared" si="87"/>
        <v>0</v>
      </c>
    </row>
    <row r="1473" spans="1:7" hidden="1" x14ac:dyDescent="0.25">
      <c r="A1473" s="85" t="s">
        <v>3655</v>
      </c>
      <c r="B1473" s="88" t="s">
        <v>3518</v>
      </c>
      <c r="C1473" s="26" t="s">
        <v>37</v>
      </c>
      <c r="D1473" s="14"/>
      <c r="E1473" s="15"/>
      <c r="F1473" s="16">
        <f t="shared" si="89"/>
        <v>0</v>
      </c>
      <c r="G1473">
        <f t="shared" si="87"/>
        <v>0</v>
      </c>
    </row>
    <row r="1474" spans="1:7" hidden="1" x14ac:dyDescent="0.25">
      <c r="A1474" s="85" t="s">
        <v>3656</v>
      </c>
      <c r="B1474" s="88" t="s">
        <v>3519</v>
      </c>
      <c r="C1474" s="26" t="s">
        <v>37</v>
      </c>
      <c r="D1474" s="14"/>
      <c r="E1474" s="15"/>
      <c r="F1474" s="16">
        <f t="shared" si="89"/>
        <v>0</v>
      </c>
      <c r="G1474">
        <f t="shared" si="87"/>
        <v>0</v>
      </c>
    </row>
    <row r="1475" spans="1:7" hidden="1" x14ac:dyDescent="0.25">
      <c r="A1475" s="85" t="s">
        <v>3657</v>
      </c>
      <c r="B1475" s="88" t="s">
        <v>3520</v>
      </c>
      <c r="C1475" s="26" t="s">
        <v>37</v>
      </c>
      <c r="D1475" s="14"/>
      <c r="E1475" s="15"/>
      <c r="F1475" s="16">
        <f t="shared" si="89"/>
        <v>0</v>
      </c>
      <c r="G1475">
        <f t="shared" si="87"/>
        <v>0</v>
      </c>
    </row>
    <row r="1476" spans="1:7" hidden="1" x14ac:dyDescent="0.25">
      <c r="A1476" s="85" t="s">
        <v>3658</v>
      </c>
      <c r="B1476" s="88" t="s">
        <v>3509</v>
      </c>
      <c r="C1476" s="26" t="s">
        <v>37</v>
      </c>
      <c r="D1476" s="14"/>
      <c r="E1476" s="15"/>
      <c r="F1476" s="16">
        <f t="shared" si="89"/>
        <v>0</v>
      </c>
      <c r="G1476">
        <f t="shared" si="87"/>
        <v>0</v>
      </c>
    </row>
    <row r="1477" spans="1:7" hidden="1" x14ac:dyDescent="0.25">
      <c r="A1477" s="78" t="s">
        <v>3659</v>
      </c>
      <c r="B1477" s="79" t="s">
        <v>3661</v>
      </c>
      <c r="C1477" s="26"/>
      <c r="D1477" s="14"/>
      <c r="E1477" s="15"/>
      <c r="F1477" s="16"/>
      <c r="G1477">
        <f t="shared" si="87"/>
        <v>0</v>
      </c>
    </row>
    <row r="1478" spans="1:7" hidden="1" x14ac:dyDescent="0.25">
      <c r="A1478" s="85" t="s">
        <v>3660</v>
      </c>
      <c r="B1478" s="88" t="s">
        <v>3511</v>
      </c>
      <c r="C1478" s="26" t="s">
        <v>37</v>
      </c>
      <c r="D1478" s="14"/>
      <c r="E1478" s="15"/>
      <c r="F1478" s="16">
        <f t="shared" ref="F1478:F1489" si="90">+D1478*E1478</f>
        <v>0</v>
      </c>
      <c r="G1478">
        <f t="shared" si="87"/>
        <v>0</v>
      </c>
    </row>
    <row r="1479" spans="1:7" hidden="1" x14ac:dyDescent="0.25">
      <c r="A1479" s="85" t="s">
        <v>3662</v>
      </c>
      <c r="B1479" s="88" t="s">
        <v>3512</v>
      </c>
      <c r="C1479" s="26" t="s">
        <v>37</v>
      </c>
      <c r="D1479" s="14"/>
      <c r="E1479" s="15"/>
      <c r="F1479" s="16">
        <f t="shared" si="90"/>
        <v>0</v>
      </c>
      <c r="G1479">
        <f t="shared" si="87"/>
        <v>0</v>
      </c>
    </row>
    <row r="1480" spans="1:7" hidden="1" x14ac:dyDescent="0.25">
      <c r="A1480" s="85" t="s">
        <v>3663</v>
      </c>
      <c r="B1480" s="88" t="s">
        <v>3510</v>
      </c>
      <c r="C1480" s="26" t="s">
        <v>37</v>
      </c>
      <c r="D1480" s="14"/>
      <c r="E1480" s="15"/>
      <c r="F1480" s="16">
        <f t="shared" si="90"/>
        <v>0</v>
      </c>
      <c r="G1480">
        <f t="shared" si="87"/>
        <v>0</v>
      </c>
    </row>
    <row r="1481" spans="1:7" hidden="1" x14ac:dyDescent="0.25">
      <c r="A1481" s="85" t="s">
        <v>3664</v>
      </c>
      <c r="B1481" s="88" t="s">
        <v>3514</v>
      </c>
      <c r="C1481" s="26" t="s">
        <v>37</v>
      </c>
      <c r="D1481" s="14"/>
      <c r="E1481" s="15"/>
      <c r="F1481" s="16">
        <f t="shared" si="90"/>
        <v>0</v>
      </c>
      <c r="G1481">
        <f t="shared" si="87"/>
        <v>0</v>
      </c>
    </row>
    <row r="1482" spans="1:7" hidden="1" x14ac:dyDescent="0.25">
      <c r="A1482" s="85" t="s">
        <v>3665</v>
      </c>
      <c r="B1482" s="88" t="s">
        <v>3513</v>
      </c>
      <c r="C1482" s="26" t="s">
        <v>37</v>
      </c>
      <c r="D1482" s="14"/>
      <c r="E1482" s="15"/>
      <c r="F1482" s="16">
        <f t="shared" si="90"/>
        <v>0</v>
      </c>
      <c r="G1482">
        <f t="shared" si="87"/>
        <v>0</v>
      </c>
    </row>
    <row r="1483" spans="1:7" hidden="1" x14ac:dyDescent="0.25">
      <c r="A1483" s="85" t="s">
        <v>3666</v>
      </c>
      <c r="B1483" s="88" t="s">
        <v>3515</v>
      </c>
      <c r="C1483" s="26" t="s">
        <v>37</v>
      </c>
      <c r="D1483" s="14"/>
      <c r="E1483" s="15"/>
      <c r="F1483" s="16">
        <f t="shared" si="90"/>
        <v>0</v>
      </c>
      <c r="G1483">
        <f t="shared" si="87"/>
        <v>0</v>
      </c>
    </row>
    <row r="1484" spans="1:7" hidden="1" x14ac:dyDescent="0.25">
      <c r="A1484" s="85" t="s">
        <v>3667</v>
      </c>
      <c r="B1484" s="88" t="s">
        <v>3516</v>
      </c>
      <c r="C1484" s="26" t="s">
        <v>37</v>
      </c>
      <c r="D1484" s="14"/>
      <c r="E1484" s="15"/>
      <c r="F1484" s="16">
        <f t="shared" si="90"/>
        <v>0</v>
      </c>
      <c r="G1484">
        <f t="shared" si="87"/>
        <v>0</v>
      </c>
    </row>
    <row r="1485" spans="1:7" hidden="1" x14ac:dyDescent="0.25">
      <c r="A1485" s="85" t="s">
        <v>3668</v>
      </c>
      <c r="B1485" s="88" t="s">
        <v>3517</v>
      </c>
      <c r="C1485" s="26" t="s">
        <v>37</v>
      </c>
      <c r="D1485" s="14"/>
      <c r="E1485" s="15"/>
      <c r="F1485" s="16">
        <f t="shared" si="90"/>
        <v>0</v>
      </c>
      <c r="G1485">
        <f t="shared" si="87"/>
        <v>0</v>
      </c>
    </row>
    <row r="1486" spans="1:7" hidden="1" x14ac:dyDescent="0.25">
      <c r="A1486" s="85" t="s">
        <v>3669</v>
      </c>
      <c r="B1486" s="88" t="s">
        <v>3518</v>
      </c>
      <c r="C1486" s="26" t="s">
        <v>37</v>
      </c>
      <c r="D1486" s="14"/>
      <c r="E1486" s="15"/>
      <c r="F1486" s="16">
        <f t="shared" si="90"/>
        <v>0</v>
      </c>
      <c r="G1486">
        <f t="shared" si="87"/>
        <v>0</v>
      </c>
    </row>
    <row r="1487" spans="1:7" hidden="1" x14ac:dyDescent="0.25">
      <c r="A1487" s="85" t="s">
        <v>3670</v>
      </c>
      <c r="B1487" s="88" t="s">
        <v>3519</v>
      </c>
      <c r="C1487" s="26" t="s">
        <v>37</v>
      </c>
      <c r="D1487" s="14"/>
      <c r="E1487" s="15"/>
      <c r="F1487" s="16">
        <f t="shared" si="90"/>
        <v>0</v>
      </c>
      <c r="G1487">
        <f t="shared" si="87"/>
        <v>0</v>
      </c>
    </row>
    <row r="1488" spans="1:7" hidden="1" x14ac:dyDescent="0.25">
      <c r="A1488" s="85" t="s">
        <v>3671</v>
      </c>
      <c r="B1488" s="88" t="s">
        <v>3520</v>
      </c>
      <c r="C1488" s="26" t="s">
        <v>37</v>
      </c>
      <c r="D1488" s="14"/>
      <c r="E1488" s="15"/>
      <c r="F1488" s="16">
        <f t="shared" si="90"/>
        <v>0</v>
      </c>
      <c r="G1488">
        <f t="shared" si="87"/>
        <v>0</v>
      </c>
    </row>
    <row r="1489" spans="1:7" hidden="1" x14ac:dyDescent="0.25">
      <c r="A1489" s="85" t="s">
        <v>3672</v>
      </c>
      <c r="B1489" s="88" t="s">
        <v>3509</v>
      </c>
      <c r="C1489" s="26" t="s">
        <v>37</v>
      </c>
      <c r="D1489" s="14"/>
      <c r="E1489" s="15"/>
      <c r="F1489" s="16">
        <f t="shared" si="90"/>
        <v>0</v>
      </c>
      <c r="G1489">
        <f t="shared" si="87"/>
        <v>0</v>
      </c>
    </row>
    <row r="1490" spans="1:7" hidden="1" x14ac:dyDescent="0.25">
      <c r="A1490" s="78" t="s">
        <v>3673</v>
      </c>
      <c r="B1490" s="79" t="s">
        <v>3674</v>
      </c>
      <c r="C1490" s="26"/>
      <c r="D1490" s="14"/>
      <c r="E1490" s="15"/>
      <c r="F1490" s="16"/>
      <c r="G1490">
        <f t="shared" si="87"/>
        <v>0</v>
      </c>
    </row>
    <row r="1491" spans="1:7" hidden="1" x14ac:dyDescent="0.25">
      <c r="A1491" s="78" t="s">
        <v>3675</v>
      </c>
      <c r="B1491" s="79" t="s">
        <v>3676</v>
      </c>
      <c r="C1491" s="26"/>
      <c r="D1491" s="14"/>
      <c r="E1491" s="15"/>
      <c r="F1491" s="16"/>
      <c r="G1491">
        <f t="shared" si="87"/>
        <v>0</v>
      </c>
    </row>
    <row r="1492" spans="1:7" hidden="1" x14ac:dyDescent="0.25">
      <c r="A1492" s="85" t="s">
        <v>3738</v>
      </c>
      <c r="B1492" s="81" t="s">
        <v>3677</v>
      </c>
      <c r="C1492" s="26" t="s">
        <v>37</v>
      </c>
      <c r="D1492" s="14"/>
      <c r="E1492" s="15"/>
      <c r="F1492" s="16">
        <f t="shared" ref="F1492:F1551" si="91">+D1492*E1492</f>
        <v>0</v>
      </c>
      <c r="G1492">
        <f t="shared" si="87"/>
        <v>0</v>
      </c>
    </row>
    <row r="1493" spans="1:7" hidden="1" x14ac:dyDescent="0.25">
      <c r="A1493" s="85" t="s">
        <v>3739</v>
      </c>
      <c r="B1493" s="81" t="s">
        <v>3678</v>
      </c>
      <c r="C1493" s="26" t="s">
        <v>37</v>
      </c>
      <c r="D1493" s="14"/>
      <c r="E1493" s="15"/>
      <c r="F1493" s="16">
        <f t="shared" si="91"/>
        <v>0</v>
      </c>
      <c r="G1493">
        <f t="shared" si="87"/>
        <v>0</v>
      </c>
    </row>
    <row r="1494" spans="1:7" hidden="1" x14ac:dyDescent="0.25">
      <c r="A1494" s="85" t="s">
        <v>3740</v>
      </c>
      <c r="B1494" s="81" t="s">
        <v>3679</v>
      </c>
      <c r="C1494" s="26" t="s">
        <v>37</v>
      </c>
      <c r="D1494" s="14"/>
      <c r="E1494" s="15"/>
      <c r="F1494" s="16">
        <f t="shared" si="91"/>
        <v>0</v>
      </c>
      <c r="G1494">
        <f t="shared" si="87"/>
        <v>0</v>
      </c>
    </row>
    <row r="1495" spans="1:7" hidden="1" x14ac:dyDescent="0.25">
      <c r="A1495" s="85" t="s">
        <v>3741</v>
      </c>
      <c r="B1495" s="81" t="s">
        <v>3680</v>
      </c>
      <c r="C1495" s="26" t="s">
        <v>37</v>
      </c>
      <c r="D1495" s="14"/>
      <c r="E1495" s="15"/>
      <c r="F1495" s="16">
        <f t="shared" si="91"/>
        <v>0</v>
      </c>
      <c r="G1495">
        <f t="shared" si="87"/>
        <v>0</v>
      </c>
    </row>
    <row r="1496" spans="1:7" hidden="1" x14ac:dyDescent="0.25">
      <c r="A1496" s="85" t="s">
        <v>3742</v>
      </c>
      <c r="B1496" s="81" t="s">
        <v>3681</v>
      </c>
      <c r="C1496" s="26" t="s">
        <v>37</v>
      </c>
      <c r="D1496" s="14"/>
      <c r="E1496" s="15"/>
      <c r="F1496" s="16">
        <f t="shared" si="91"/>
        <v>0</v>
      </c>
      <c r="G1496">
        <f t="shared" si="87"/>
        <v>0</v>
      </c>
    </row>
    <row r="1497" spans="1:7" hidden="1" x14ac:dyDescent="0.25">
      <c r="A1497" s="85" t="s">
        <v>3743</v>
      </c>
      <c r="B1497" s="81" t="s">
        <v>3682</v>
      </c>
      <c r="C1497" s="26" t="s">
        <v>37</v>
      </c>
      <c r="D1497" s="14"/>
      <c r="E1497" s="15"/>
      <c r="F1497" s="16">
        <f t="shared" si="91"/>
        <v>0</v>
      </c>
      <c r="G1497">
        <f t="shared" si="87"/>
        <v>0</v>
      </c>
    </row>
    <row r="1498" spans="1:7" hidden="1" x14ac:dyDescent="0.25">
      <c r="A1498" s="85" t="s">
        <v>3744</v>
      </c>
      <c r="B1498" s="81" t="s">
        <v>3683</v>
      </c>
      <c r="C1498" s="26" t="s">
        <v>37</v>
      </c>
      <c r="D1498" s="14"/>
      <c r="E1498" s="15"/>
      <c r="F1498" s="16">
        <f t="shared" si="91"/>
        <v>0</v>
      </c>
      <c r="G1498">
        <f t="shared" si="87"/>
        <v>0</v>
      </c>
    </row>
    <row r="1499" spans="1:7" hidden="1" x14ac:dyDescent="0.25">
      <c r="A1499" s="85" t="s">
        <v>3745</v>
      </c>
      <c r="B1499" s="81" t="s">
        <v>3684</v>
      </c>
      <c r="C1499" s="26" t="s">
        <v>37</v>
      </c>
      <c r="D1499" s="14"/>
      <c r="E1499" s="15"/>
      <c r="F1499" s="16">
        <f t="shared" si="91"/>
        <v>0</v>
      </c>
      <c r="G1499">
        <f t="shared" si="87"/>
        <v>0</v>
      </c>
    </row>
    <row r="1500" spans="1:7" hidden="1" x14ac:dyDescent="0.25">
      <c r="A1500" s="85" t="s">
        <v>3746</v>
      </c>
      <c r="B1500" s="81" t="s">
        <v>3685</v>
      </c>
      <c r="C1500" s="26" t="s">
        <v>37</v>
      </c>
      <c r="D1500" s="14"/>
      <c r="E1500" s="15"/>
      <c r="F1500" s="16">
        <f t="shared" si="91"/>
        <v>0</v>
      </c>
      <c r="G1500">
        <f t="shared" si="87"/>
        <v>0</v>
      </c>
    </row>
    <row r="1501" spans="1:7" hidden="1" x14ac:dyDescent="0.25">
      <c r="A1501" s="85" t="s">
        <v>3747</v>
      </c>
      <c r="B1501" s="81" t="s">
        <v>3686</v>
      </c>
      <c r="C1501" s="26" t="s">
        <v>37</v>
      </c>
      <c r="D1501" s="14"/>
      <c r="E1501" s="15"/>
      <c r="F1501" s="16">
        <f t="shared" si="91"/>
        <v>0</v>
      </c>
      <c r="G1501">
        <f t="shared" si="87"/>
        <v>0</v>
      </c>
    </row>
    <row r="1502" spans="1:7" hidden="1" x14ac:dyDescent="0.25">
      <c r="A1502" s="85" t="s">
        <v>3748</v>
      </c>
      <c r="B1502" s="81" t="s">
        <v>3687</v>
      </c>
      <c r="C1502" s="26" t="s">
        <v>37</v>
      </c>
      <c r="D1502" s="14"/>
      <c r="E1502" s="15"/>
      <c r="F1502" s="16">
        <f t="shared" si="91"/>
        <v>0</v>
      </c>
      <c r="G1502">
        <f t="shared" si="87"/>
        <v>0</v>
      </c>
    </row>
    <row r="1503" spans="1:7" hidden="1" x14ac:dyDescent="0.25">
      <c r="A1503" s="85" t="s">
        <v>3749</v>
      </c>
      <c r="B1503" s="81" t="s">
        <v>3688</v>
      </c>
      <c r="C1503" s="26" t="s">
        <v>37</v>
      </c>
      <c r="D1503" s="14"/>
      <c r="E1503" s="15"/>
      <c r="F1503" s="16">
        <f t="shared" si="91"/>
        <v>0</v>
      </c>
      <c r="G1503">
        <f t="shared" si="87"/>
        <v>0</v>
      </c>
    </row>
    <row r="1504" spans="1:7" hidden="1" x14ac:dyDescent="0.25">
      <c r="A1504" s="85" t="s">
        <v>3750</v>
      </c>
      <c r="B1504" s="81" t="s">
        <v>3689</v>
      </c>
      <c r="C1504" s="26" t="s">
        <v>37</v>
      </c>
      <c r="D1504" s="14"/>
      <c r="E1504" s="15"/>
      <c r="F1504" s="16">
        <f t="shared" si="91"/>
        <v>0</v>
      </c>
      <c r="G1504">
        <f t="shared" si="87"/>
        <v>0</v>
      </c>
    </row>
    <row r="1505" spans="1:7" hidden="1" x14ac:dyDescent="0.25">
      <c r="A1505" s="85" t="s">
        <v>3751</v>
      </c>
      <c r="B1505" s="81" t="s">
        <v>3690</v>
      </c>
      <c r="C1505" s="26" t="s">
        <v>37</v>
      </c>
      <c r="D1505" s="14"/>
      <c r="E1505" s="15"/>
      <c r="F1505" s="16">
        <f t="shared" si="91"/>
        <v>0</v>
      </c>
      <c r="G1505">
        <f t="shared" si="87"/>
        <v>0</v>
      </c>
    </row>
    <row r="1506" spans="1:7" hidden="1" x14ac:dyDescent="0.25">
      <c r="A1506" s="85" t="s">
        <v>3752</v>
      </c>
      <c r="B1506" s="81" t="s">
        <v>3691</v>
      </c>
      <c r="C1506" s="26" t="s">
        <v>37</v>
      </c>
      <c r="D1506" s="14"/>
      <c r="E1506" s="15"/>
      <c r="F1506" s="16">
        <f t="shared" si="91"/>
        <v>0</v>
      </c>
      <c r="G1506">
        <f t="shared" si="87"/>
        <v>0</v>
      </c>
    </row>
    <row r="1507" spans="1:7" hidden="1" x14ac:dyDescent="0.25">
      <c r="A1507" s="85" t="s">
        <v>3753</v>
      </c>
      <c r="B1507" s="81" t="s">
        <v>3692</v>
      </c>
      <c r="C1507" s="26" t="s">
        <v>37</v>
      </c>
      <c r="D1507" s="14"/>
      <c r="E1507" s="15"/>
      <c r="F1507" s="16">
        <f t="shared" si="91"/>
        <v>0</v>
      </c>
      <c r="G1507">
        <f t="shared" si="87"/>
        <v>0</v>
      </c>
    </row>
    <row r="1508" spans="1:7" hidden="1" x14ac:dyDescent="0.25">
      <c r="A1508" s="85" t="s">
        <v>3754</v>
      </c>
      <c r="B1508" s="81" t="s">
        <v>3693</v>
      </c>
      <c r="C1508" s="26" t="s">
        <v>37</v>
      </c>
      <c r="D1508" s="14"/>
      <c r="E1508" s="15"/>
      <c r="F1508" s="16">
        <f t="shared" si="91"/>
        <v>0</v>
      </c>
      <c r="G1508">
        <f t="shared" ref="G1508:G1571" si="92">+IF(F1508&lt;&gt;0,1,0)</f>
        <v>0</v>
      </c>
    </row>
    <row r="1509" spans="1:7" hidden="1" x14ac:dyDescent="0.25">
      <c r="A1509" s="85" t="s">
        <v>3755</v>
      </c>
      <c r="B1509" s="81" t="s">
        <v>3694</v>
      </c>
      <c r="C1509" s="26" t="s">
        <v>37</v>
      </c>
      <c r="D1509" s="14"/>
      <c r="E1509" s="15"/>
      <c r="F1509" s="16">
        <f t="shared" si="91"/>
        <v>0</v>
      </c>
      <c r="G1509">
        <f t="shared" si="92"/>
        <v>0</v>
      </c>
    </row>
    <row r="1510" spans="1:7" hidden="1" x14ac:dyDescent="0.25">
      <c r="A1510" s="85" t="s">
        <v>3756</v>
      </c>
      <c r="B1510" s="81" t="s">
        <v>3695</v>
      </c>
      <c r="C1510" s="26" t="s">
        <v>37</v>
      </c>
      <c r="D1510" s="14"/>
      <c r="E1510" s="15"/>
      <c r="F1510" s="16">
        <f t="shared" si="91"/>
        <v>0</v>
      </c>
      <c r="G1510">
        <f t="shared" si="92"/>
        <v>0</v>
      </c>
    </row>
    <row r="1511" spans="1:7" hidden="1" x14ac:dyDescent="0.25">
      <c r="A1511" s="85" t="s">
        <v>3757</v>
      </c>
      <c r="B1511" s="81" t="s">
        <v>3696</v>
      </c>
      <c r="C1511" s="26" t="s">
        <v>37</v>
      </c>
      <c r="D1511" s="14"/>
      <c r="E1511" s="15"/>
      <c r="F1511" s="16">
        <f t="shared" si="91"/>
        <v>0</v>
      </c>
      <c r="G1511">
        <f t="shared" si="92"/>
        <v>0</v>
      </c>
    </row>
    <row r="1512" spans="1:7" hidden="1" x14ac:dyDescent="0.25">
      <c r="A1512" s="85" t="s">
        <v>3758</v>
      </c>
      <c r="B1512" s="81" t="s">
        <v>3697</v>
      </c>
      <c r="C1512" s="26" t="s">
        <v>37</v>
      </c>
      <c r="D1512" s="14"/>
      <c r="E1512" s="15"/>
      <c r="F1512" s="16">
        <f t="shared" si="91"/>
        <v>0</v>
      </c>
      <c r="G1512">
        <f t="shared" si="92"/>
        <v>0</v>
      </c>
    </row>
    <row r="1513" spans="1:7" hidden="1" x14ac:dyDescent="0.25">
      <c r="A1513" s="85" t="s">
        <v>3759</v>
      </c>
      <c r="B1513" s="81" t="s">
        <v>3698</v>
      </c>
      <c r="C1513" s="26" t="s">
        <v>37</v>
      </c>
      <c r="D1513" s="14"/>
      <c r="E1513" s="15"/>
      <c r="F1513" s="16">
        <f t="shared" si="91"/>
        <v>0</v>
      </c>
      <c r="G1513">
        <f t="shared" si="92"/>
        <v>0</v>
      </c>
    </row>
    <row r="1514" spans="1:7" hidden="1" x14ac:dyDescent="0.25">
      <c r="A1514" s="85" t="s">
        <v>3760</v>
      </c>
      <c r="B1514" s="81" t="s">
        <v>3699</v>
      </c>
      <c r="C1514" s="26" t="s">
        <v>37</v>
      </c>
      <c r="D1514" s="14"/>
      <c r="E1514" s="15"/>
      <c r="F1514" s="16">
        <f t="shared" si="91"/>
        <v>0</v>
      </c>
      <c r="G1514">
        <f t="shared" si="92"/>
        <v>0</v>
      </c>
    </row>
    <row r="1515" spans="1:7" hidden="1" x14ac:dyDescent="0.25">
      <c r="A1515" s="85" t="s">
        <v>3761</v>
      </c>
      <c r="B1515" s="81" t="s">
        <v>3700</v>
      </c>
      <c r="C1515" s="26" t="s">
        <v>37</v>
      </c>
      <c r="D1515" s="14"/>
      <c r="E1515" s="15"/>
      <c r="F1515" s="16">
        <f t="shared" si="91"/>
        <v>0</v>
      </c>
      <c r="G1515">
        <f t="shared" si="92"/>
        <v>0</v>
      </c>
    </row>
    <row r="1516" spans="1:7" hidden="1" x14ac:dyDescent="0.25">
      <c r="A1516" s="85" t="s">
        <v>3762</v>
      </c>
      <c r="B1516" s="81" t="s">
        <v>3701</v>
      </c>
      <c r="C1516" s="26" t="s">
        <v>37</v>
      </c>
      <c r="D1516" s="14"/>
      <c r="E1516" s="15"/>
      <c r="F1516" s="16">
        <f t="shared" si="91"/>
        <v>0</v>
      </c>
      <c r="G1516">
        <f t="shared" si="92"/>
        <v>0</v>
      </c>
    </row>
    <row r="1517" spans="1:7" hidden="1" x14ac:dyDescent="0.25">
      <c r="A1517" s="85" t="s">
        <v>3763</v>
      </c>
      <c r="B1517" s="81" t="s">
        <v>3702</v>
      </c>
      <c r="C1517" s="26" t="s">
        <v>37</v>
      </c>
      <c r="D1517" s="14"/>
      <c r="E1517" s="15"/>
      <c r="F1517" s="16">
        <f t="shared" si="91"/>
        <v>0</v>
      </c>
      <c r="G1517">
        <f t="shared" si="92"/>
        <v>0</v>
      </c>
    </row>
    <row r="1518" spans="1:7" hidden="1" x14ac:dyDescent="0.25">
      <c r="A1518" s="85" t="s">
        <v>3764</v>
      </c>
      <c r="B1518" s="81" t="s">
        <v>3703</v>
      </c>
      <c r="C1518" s="26" t="s">
        <v>37</v>
      </c>
      <c r="D1518" s="14"/>
      <c r="E1518" s="15"/>
      <c r="F1518" s="16">
        <f t="shared" si="91"/>
        <v>0</v>
      </c>
      <c r="G1518">
        <f t="shared" si="92"/>
        <v>0</v>
      </c>
    </row>
    <row r="1519" spans="1:7" hidden="1" x14ac:dyDescent="0.25">
      <c r="A1519" s="85" t="s">
        <v>3765</v>
      </c>
      <c r="B1519" s="81" t="s">
        <v>3704</v>
      </c>
      <c r="C1519" s="26" t="s">
        <v>37</v>
      </c>
      <c r="D1519" s="14"/>
      <c r="E1519" s="15"/>
      <c r="F1519" s="16">
        <f t="shared" si="91"/>
        <v>0</v>
      </c>
      <c r="G1519">
        <f t="shared" si="92"/>
        <v>0</v>
      </c>
    </row>
    <row r="1520" spans="1:7" hidden="1" x14ac:dyDescent="0.25">
      <c r="A1520" s="85" t="s">
        <v>3766</v>
      </c>
      <c r="B1520" s="81" t="s">
        <v>3705</v>
      </c>
      <c r="C1520" s="26" t="s">
        <v>37</v>
      </c>
      <c r="D1520" s="14"/>
      <c r="E1520" s="15"/>
      <c r="F1520" s="16">
        <f t="shared" si="91"/>
        <v>0</v>
      </c>
      <c r="G1520">
        <f t="shared" si="92"/>
        <v>0</v>
      </c>
    </row>
    <row r="1521" spans="1:7" hidden="1" x14ac:dyDescent="0.25">
      <c r="A1521" s="85" t="s">
        <v>3767</v>
      </c>
      <c r="B1521" s="81" t="s">
        <v>3706</v>
      </c>
      <c r="C1521" s="26" t="s">
        <v>37</v>
      </c>
      <c r="D1521" s="14"/>
      <c r="E1521" s="15"/>
      <c r="F1521" s="16">
        <f t="shared" si="91"/>
        <v>0</v>
      </c>
      <c r="G1521">
        <f t="shared" si="92"/>
        <v>0</v>
      </c>
    </row>
    <row r="1522" spans="1:7" hidden="1" x14ac:dyDescent="0.25">
      <c r="A1522" s="85" t="s">
        <v>3768</v>
      </c>
      <c r="B1522" s="81" t="s">
        <v>3707</v>
      </c>
      <c r="C1522" s="26" t="s">
        <v>37</v>
      </c>
      <c r="D1522" s="14"/>
      <c r="E1522" s="15"/>
      <c r="F1522" s="16">
        <f t="shared" si="91"/>
        <v>0</v>
      </c>
      <c r="G1522">
        <f t="shared" si="92"/>
        <v>0</v>
      </c>
    </row>
    <row r="1523" spans="1:7" hidden="1" x14ac:dyDescent="0.25">
      <c r="A1523" s="85" t="s">
        <v>3769</v>
      </c>
      <c r="B1523" s="81" t="s">
        <v>3708</v>
      </c>
      <c r="C1523" s="26" t="s">
        <v>37</v>
      </c>
      <c r="D1523" s="14"/>
      <c r="E1523" s="15"/>
      <c r="F1523" s="16">
        <f t="shared" si="91"/>
        <v>0</v>
      </c>
      <c r="G1523">
        <f t="shared" si="92"/>
        <v>0</v>
      </c>
    </row>
    <row r="1524" spans="1:7" hidden="1" x14ac:dyDescent="0.25">
      <c r="A1524" s="85" t="s">
        <v>3770</v>
      </c>
      <c r="B1524" s="81" t="s">
        <v>3709</v>
      </c>
      <c r="C1524" s="26" t="s">
        <v>37</v>
      </c>
      <c r="D1524" s="14"/>
      <c r="E1524" s="15"/>
      <c r="F1524" s="16">
        <f t="shared" si="91"/>
        <v>0</v>
      </c>
      <c r="G1524">
        <f t="shared" si="92"/>
        <v>0</v>
      </c>
    </row>
    <row r="1525" spans="1:7" hidden="1" x14ac:dyDescent="0.25">
      <c r="A1525" s="85" t="s">
        <v>3771</v>
      </c>
      <c r="B1525" s="81" t="s">
        <v>3710</v>
      </c>
      <c r="C1525" s="26" t="s">
        <v>37</v>
      </c>
      <c r="D1525" s="14"/>
      <c r="E1525" s="15"/>
      <c r="F1525" s="16">
        <f t="shared" si="91"/>
        <v>0</v>
      </c>
      <c r="G1525">
        <f t="shared" si="92"/>
        <v>0</v>
      </c>
    </row>
    <row r="1526" spans="1:7" hidden="1" x14ac:dyDescent="0.25">
      <c r="A1526" s="85" t="s">
        <v>3772</v>
      </c>
      <c r="B1526" s="81" t="s">
        <v>3711</v>
      </c>
      <c r="C1526" s="26" t="s">
        <v>37</v>
      </c>
      <c r="D1526" s="14"/>
      <c r="E1526" s="15"/>
      <c r="F1526" s="16">
        <f t="shared" si="91"/>
        <v>0</v>
      </c>
      <c r="G1526">
        <f t="shared" si="92"/>
        <v>0</v>
      </c>
    </row>
    <row r="1527" spans="1:7" hidden="1" x14ac:dyDescent="0.25">
      <c r="A1527" s="85" t="s">
        <v>3773</v>
      </c>
      <c r="B1527" s="81" t="s">
        <v>3712</v>
      </c>
      <c r="C1527" s="26" t="s">
        <v>37</v>
      </c>
      <c r="D1527" s="14"/>
      <c r="E1527" s="15"/>
      <c r="F1527" s="16">
        <f t="shared" si="91"/>
        <v>0</v>
      </c>
      <c r="G1527">
        <f t="shared" si="92"/>
        <v>0</v>
      </c>
    </row>
    <row r="1528" spans="1:7" hidden="1" x14ac:dyDescent="0.25">
      <c r="A1528" s="85" t="s">
        <v>3774</v>
      </c>
      <c r="B1528" s="81" t="s">
        <v>3713</v>
      </c>
      <c r="C1528" s="26" t="s">
        <v>37</v>
      </c>
      <c r="D1528" s="14"/>
      <c r="E1528" s="15"/>
      <c r="F1528" s="16">
        <f t="shared" si="91"/>
        <v>0</v>
      </c>
      <c r="G1528">
        <f t="shared" si="92"/>
        <v>0</v>
      </c>
    </row>
    <row r="1529" spans="1:7" hidden="1" x14ac:dyDescent="0.25">
      <c r="A1529" s="85" t="s">
        <v>3775</v>
      </c>
      <c r="B1529" s="81" t="s">
        <v>3714</v>
      </c>
      <c r="C1529" s="26" t="s">
        <v>37</v>
      </c>
      <c r="D1529" s="14"/>
      <c r="E1529" s="15"/>
      <c r="F1529" s="16">
        <f t="shared" si="91"/>
        <v>0</v>
      </c>
      <c r="G1529">
        <f t="shared" si="92"/>
        <v>0</v>
      </c>
    </row>
    <row r="1530" spans="1:7" hidden="1" x14ac:dyDescent="0.25">
      <c r="A1530" s="85" t="s">
        <v>3776</v>
      </c>
      <c r="B1530" s="81" t="s">
        <v>3715</v>
      </c>
      <c r="C1530" s="26" t="s">
        <v>37</v>
      </c>
      <c r="D1530" s="14"/>
      <c r="E1530" s="15"/>
      <c r="F1530" s="16">
        <f t="shared" si="91"/>
        <v>0</v>
      </c>
      <c r="G1530">
        <f t="shared" si="92"/>
        <v>0</v>
      </c>
    </row>
    <row r="1531" spans="1:7" hidden="1" x14ac:dyDescent="0.25">
      <c r="A1531" s="85" t="s">
        <v>3777</v>
      </c>
      <c r="B1531" s="81" t="s">
        <v>3716</v>
      </c>
      <c r="C1531" s="26" t="s">
        <v>37</v>
      </c>
      <c r="D1531" s="14"/>
      <c r="E1531" s="15"/>
      <c r="F1531" s="16">
        <f t="shared" si="91"/>
        <v>0</v>
      </c>
      <c r="G1531">
        <f t="shared" si="92"/>
        <v>0</v>
      </c>
    </row>
    <row r="1532" spans="1:7" hidden="1" x14ac:dyDescent="0.25">
      <c r="A1532" s="85" t="s">
        <v>3778</v>
      </c>
      <c r="B1532" s="81" t="s">
        <v>3726</v>
      </c>
      <c r="C1532" s="26" t="s">
        <v>37</v>
      </c>
      <c r="D1532" s="14"/>
      <c r="E1532" s="15"/>
      <c r="F1532" s="16">
        <f t="shared" si="91"/>
        <v>0</v>
      </c>
      <c r="G1532">
        <f t="shared" si="92"/>
        <v>0</v>
      </c>
    </row>
    <row r="1533" spans="1:7" hidden="1" x14ac:dyDescent="0.25">
      <c r="A1533" s="85" t="s">
        <v>3779</v>
      </c>
      <c r="B1533" s="81" t="s">
        <v>3717</v>
      </c>
      <c r="C1533" s="26" t="s">
        <v>37</v>
      </c>
      <c r="D1533" s="14"/>
      <c r="E1533" s="15"/>
      <c r="F1533" s="16">
        <f t="shared" si="91"/>
        <v>0</v>
      </c>
      <c r="G1533">
        <f t="shared" si="92"/>
        <v>0</v>
      </c>
    </row>
    <row r="1534" spans="1:7" hidden="1" x14ac:dyDescent="0.25">
      <c r="A1534" s="85" t="s">
        <v>3780</v>
      </c>
      <c r="B1534" s="81" t="s">
        <v>3718</v>
      </c>
      <c r="C1534" s="26" t="s">
        <v>37</v>
      </c>
      <c r="D1534" s="14"/>
      <c r="E1534" s="15"/>
      <c r="F1534" s="16">
        <f t="shared" si="91"/>
        <v>0</v>
      </c>
      <c r="G1534">
        <f t="shared" si="92"/>
        <v>0</v>
      </c>
    </row>
    <row r="1535" spans="1:7" hidden="1" x14ac:dyDescent="0.25">
      <c r="A1535" s="85" t="s">
        <v>3781</v>
      </c>
      <c r="B1535" s="81" t="s">
        <v>3719</v>
      </c>
      <c r="C1535" s="26" t="s">
        <v>37</v>
      </c>
      <c r="D1535" s="14"/>
      <c r="E1535" s="15"/>
      <c r="F1535" s="16">
        <f t="shared" si="91"/>
        <v>0</v>
      </c>
      <c r="G1535">
        <f t="shared" si="92"/>
        <v>0</v>
      </c>
    </row>
    <row r="1536" spans="1:7" hidden="1" x14ac:dyDescent="0.25">
      <c r="A1536" s="85" t="s">
        <v>3782</v>
      </c>
      <c r="B1536" s="81" t="s">
        <v>3720</v>
      </c>
      <c r="C1536" s="26" t="s">
        <v>37</v>
      </c>
      <c r="D1536" s="14"/>
      <c r="E1536" s="15"/>
      <c r="F1536" s="16">
        <f t="shared" si="91"/>
        <v>0</v>
      </c>
      <c r="G1536">
        <f t="shared" si="92"/>
        <v>0</v>
      </c>
    </row>
    <row r="1537" spans="1:7" hidden="1" x14ac:dyDescent="0.25">
      <c r="A1537" s="85" t="s">
        <v>3783</v>
      </c>
      <c r="B1537" s="81" t="s">
        <v>3721</v>
      </c>
      <c r="C1537" s="26" t="s">
        <v>37</v>
      </c>
      <c r="D1537" s="14"/>
      <c r="E1537" s="15"/>
      <c r="F1537" s="16">
        <f t="shared" si="91"/>
        <v>0</v>
      </c>
      <c r="G1537">
        <f t="shared" si="92"/>
        <v>0</v>
      </c>
    </row>
    <row r="1538" spans="1:7" hidden="1" x14ac:dyDescent="0.25">
      <c r="A1538" s="85" t="s">
        <v>3784</v>
      </c>
      <c r="B1538" s="81" t="s">
        <v>3722</v>
      </c>
      <c r="C1538" s="26" t="s">
        <v>37</v>
      </c>
      <c r="D1538" s="14"/>
      <c r="E1538" s="15"/>
      <c r="F1538" s="16">
        <f t="shared" si="91"/>
        <v>0</v>
      </c>
      <c r="G1538">
        <f t="shared" si="92"/>
        <v>0</v>
      </c>
    </row>
    <row r="1539" spans="1:7" hidden="1" x14ac:dyDescent="0.25">
      <c r="A1539" s="85" t="s">
        <v>3785</v>
      </c>
      <c r="B1539" s="81" t="s">
        <v>3723</v>
      </c>
      <c r="C1539" s="26" t="s">
        <v>37</v>
      </c>
      <c r="D1539" s="14"/>
      <c r="E1539" s="15"/>
      <c r="F1539" s="16">
        <f t="shared" si="91"/>
        <v>0</v>
      </c>
      <c r="G1539">
        <f t="shared" si="92"/>
        <v>0</v>
      </c>
    </row>
    <row r="1540" spans="1:7" hidden="1" x14ac:dyDescent="0.25">
      <c r="A1540" s="85" t="s">
        <v>3786</v>
      </c>
      <c r="B1540" s="81" t="s">
        <v>3724</v>
      </c>
      <c r="C1540" s="26" t="s">
        <v>37</v>
      </c>
      <c r="D1540" s="14"/>
      <c r="E1540" s="15"/>
      <c r="F1540" s="16">
        <f t="shared" si="91"/>
        <v>0</v>
      </c>
      <c r="G1540">
        <f t="shared" si="92"/>
        <v>0</v>
      </c>
    </row>
    <row r="1541" spans="1:7" hidden="1" x14ac:dyDescent="0.25">
      <c r="A1541" s="85" t="s">
        <v>3787</v>
      </c>
      <c r="B1541" s="81" t="s">
        <v>3725</v>
      </c>
      <c r="C1541" s="26" t="s">
        <v>37</v>
      </c>
      <c r="D1541" s="14"/>
      <c r="E1541" s="15"/>
      <c r="F1541" s="16">
        <f t="shared" si="91"/>
        <v>0</v>
      </c>
      <c r="G1541">
        <f t="shared" si="92"/>
        <v>0</v>
      </c>
    </row>
    <row r="1542" spans="1:7" hidden="1" x14ac:dyDescent="0.25">
      <c r="A1542" s="85" t="s">
        <v>3788</v>
      </c>
      <c r="B1542" s="81" t="s">
        <v>3727</v>
      </c>
      <c r="C1542" s="26" t="s">
        <v>37</v>
      </c>
      <c r="D1542" s="14"/>
      <c r="E1542" s="15"/>
      <c r="F1542" s="16">
        <f t="shared" si="91"/>
        <v>0</v>
      </c>
      <c r="G1542">
        <f t="shared" si="92"/>
        <v>0</v>
      </c>
    </row>
    <row r="1543" spans="1:7" hidden="1" x14ac:dyDescent="0.25">
      <c r="A1543" s="85" t="s">
        <v>3789</v>
      </c>
      <c r="B1543" s="81" t="s">
        <v>3728</v>
      </c>
      <c r="C1543" s="26" t="s">
        <v>37</v>
      </c>
      <c r="D1543" s="14"/>
      <c r="E1543" s="15"/>
      <c r="F1543" s="16">
        <f t="shared" si="91"/>
        <v>0</v>
      </c>
      <c r="G1543">
        <f t="shared" si="92"/>
        <v>0</v>
      </c>
    </row>
    <row r="1544" spans="1:7" hidden="1" x14ac:dyDescent="0.25">
      <c r="A1544" s="85" t="s">
        <v>3790</v>
      </c>
      <c r="B1544" s="81" t="s">
        <v>3729</v>
      </c>
      <c r="C1544" s="26" t="s">
        <v>37</v>
      </c>
      <c r="D1544" s="14"/>
      <c r="E1544" s="15"/>
      <c r="F1544" s="16">
        <f t="shared" si="91"/>
        <v>0</v>
      </c>
      <c r="G1544">
        <f t="shared" si="92"/>
        <v>0</v>
      </c>
    </row>
    <row r="1545" spans="1:7" hidden="1" x14ac:dyDescent="0.25">
      <c r="A1545" s="85" t="s">
        <v>3791</v>
      </c>
      <c r="B1545" s="81" t="s">
        <v>3730</v>
      </c>
      <c r="C1545" s="26" t="s">
        <v>37</v>
      </c>
      <c r="D1545" s="14"/>
      <c r="E1545" s="15"/>
      <c r="F1545" s="16">
        <f t="shared" si="91"/>
        <v>0</v>
      </c>
      <c r="G1545">
        <f t="shared" si="92"/>
        <v>0</v>
      </c>
    </row>
    <row r="1546" spans="1:7" hidden="1" x14ac:dyDescent="0.25">
      <c r="A1546" s="85" t="s">
        <v>3792</v>
      </c>
      <c r="B1546" s="81" t="s">
        <v>3731</v>
      </c>
      <c r="C1546" s="26" t="s">
        <v>37</v>
      </c>
      <c r="D1546" s="14"/>
      <c r="E1546" s="15"/>
      <c r="F1546" s="16">
        <f t="shared" si="91"/>
        <v>0</v>
      </c>
      <c r="G1546">
        <f t="shared" si="92"/>
        <v>0</v>
      </c>
    </row>
    <row r="1547" spans="1:7" hidden="1" x14ac:dyDescent="0.25">
      <c r="A1547" s="85" t="s">
        <v>3793</v>
      </c>
      <c r="B1547" s="81" t="s">
        <v>3732</v>
      </c>
      <c r="C1547" s="26" t="s">
        <v>37</v>
      </c>
      <c r="D1547" s="14"/>
      <c r="E1547" s="15"/>
      <c r="F1547" s="16">
        <f t="shared" si="91"/>
        <v>0</v>
      </c>
      <c r="G1547">
        <f t="shared" si="92"/>
        <v>0</v>
      </c>
    </row>
    <row r="1548" spans="1:7" hidden="1" x14ac:dyDescent="0.25">
      <c r="A1548" s="85" t="s">
        <v>3794</v>
      </c>
      <c r="B1548" s="81" t="s">
        <v>3733</v>
      </c>
      <c r="C1548" s="26" t="s">
        <v>37</v>
      </c>
      <c r="D1548" s="14"/>
      <c r="E1548" s="15"/>
      <c r="F1548" s="16">
        <f t="shared" si="91"/>
        <v>0</v>
      </c>
      <c r="G1548">
        <f t="shared" si="92"/>
        <v>0</v>
      </c>
    </row>
    <row r="1549" spans="1:7" hidden="1" x14ac:dyDescent="0.25">
      <c r="A1549" s="85" t="s">
        <v>3795</v>
      </c>
      <c r="B1549" s="81" t="s">
        <v>3734</v>
      </c>
      <c r="C1549" s="26" t="s">
        <v>37</v>
      </c>
      <c r="D1549" s="14"/>
      <c r="E1549" s="15"/>
      <c r="F1549" s="16">
        <f t="shared" si="91"/>
        <v>0</v>
      </c>
      <c r="G1549">
        <f t="shared" si="92"/>
        <v>0</v>
      </c>
    </row>
    <row r="1550" spans="1:7" hidden="1" x14ac:dyDescent="0.25">
      <c r="A1550" s="85" t="s">
        <v>3796</v>
      </c>
      <c r="B1550" s="81" t="s">
        <v>3735</v>
      </c>
      <c r="C1550" s="26" t="s">
        <v>37</v>
      </c>
      <c r="D1550" s="14"/>
      <c r="E1550" s="15"/>
      <c r="F1550" s="16">
        <f t="shared" si="91"/>
        <v>0</v>
      </c>
      <c r="G1550">
        <f t="shared" si="92"/>
        <v>0</v>
      </c>
    </row>
    <row r="1551" spans="1:7" hidden="1" x14ac:dyDescent="0.25">
      <c r="A1551" s="85" t="s">
        <v>3918</v>
      </c>
      <c r="B1551" s="81" t="s">
        <v>3736</v>
      </c>
      <c r="C1551" s="26" t="s">
        <v>37</v>
      </c>
      <c r="D1551" s="14"/>
      <c r="E1551" s="15"/>
      <c r="F1551" s="16">
        <f t="shared" si="91"/>
        <v>0</v>
      </c>
      <c r="G1551">
        <f t="shared" si="92"/>
        <v>0</v>
      </c>
    </row>
    <row r="1552" spans="1:7" hidden="1" x14ac:dyDescent="0.25">
      <c r="A1552" s="78" t="s">
        <v>3797</v>
      </c>
      <c r="B1552" s="80" t="s">
        <v>3737</v>
      </c>
      <c r="C1552" s="26"/>
      <c r="D1552" s="14"/>
      <c r="E1552" s="15"/>
      <c r="F1552" s="16"/>
      <c r="G1552">
        <f t="shared" si="92"/>
        <v>0</v>
      </c>
    </row>
    <row r="1553" spans="1:7" hidden="1" x14ac:dyDescent="0.25">
      <c r="A1553" s="85" t="s">
        <v>3798</v>
      </c>
      <c r="B1553" s="81" t="s">
        <v>3799</v>
      </c>
      <c r="C1553" s="26" t="s">
        <v>37</v>
      </c>
      <c r="D1553" s="14"/>
      <c r="E1553" s="15"/>
      <c r="F1553" s="16">
        <f t="shared" ref="F1553:F1616" si="93">+D1553*E1553</f>
        <v>0</v>
      </c>
      <c r="G1553">
        <f t="shared" si="92"/>
        <v>0</v>
      </c>
    </row>
    <row r="1554" spans="1:7" hidden="1" x14ac:dyDescent="0.25">
      <c r="A1554" s="85" t="s">
        <v>3859</v>
      </c>
      <c r="B1554" s="81" t="s">
        <v>3800</v>
      </c>
      <c r="C1554" s="26" t="s">
        <v>37</v>
      </c>
      <c r="D1554" s="14"/>
      <c r="E1554" s="15"/>
      <c r="F1554" s="16">
        <f t="shared" si="93"/>
        <v>0</v>
      </c>
      <c r="G1554">
        <f t="shared" si="92"/>
        <v>0</v>
      </c>
    </row>
    <row r="1555" spans="1:7" hidden="1" x14ac:dyDescent="0.25">
      <c r="A1555" s="85" t="s">
        <v>3860</v>
      </c>
      <c r="B1555" s="81" t="s">
        <v>3801</v>
      </c>
      <c r="C1555" s="26" t="s">
        <v>37</v>
      </c>
      <c r="D1555" s="14"/>
      <c r="E1555" s="15"/>
      <c r="F1555" s="16">
        <f t="shared" si="93"/>
        <v>0</v>
      </c>
      <c r="G1555">
        <f t="shared" si="92"/>
        <v>0</v>
      </c>
    </row>
    <row r="1556" spans="1:7" hidden="1" x14ac:dyDescent="0.25">
      <c r="A1556" s="85" t="s">
        <v>3861</v>
      </c>
      <c r="B1556" s="81" t="s">
        <v>3802</v>
      </c>
      <c r="C1556" s="26" t="s">
        <v>37</v>
      </c>
      <c r="D1556" s="14"/>
      <c r="E1556" s="15"/>
      <c r="F1556" s="16">
        <f t="shared" si="93"/>
        <v>0</v>
      </c>
      <c r="G1556">
        <f t="shared" si="92"/>
        <v>0</v>
      </c>
    </row>
    <row r="1557" spans="1:7" hidden="1" x14ac:dyDescent="0.25">
      <c r="A1557" s="85" t="s">
        <v>3862</v>
      </c>
      <c r="B1557" s="81" t="s">
        <v>3803</v>
      </c>
      <c r="C1557" s="26" t="s">
        <v>37</v>
      </c>
      <c r="D1557" s="14"/>
      <c r="E1557" s="15"/>
      <c r="F1557" s="16">
        <f t="shared" si="93"/>
        <v>0</v>
      </c>
      <c r="G1557">
        <f t="shared" si="92"/>
        <v>0</v>
      </c>
    </row>
    <row r="1558" spans="1:7" hidden="1" x14ac:dyDescent="0.25">
      <c r="A1558" s="85" t="s">
        <v>3863</v>
      </c>
      <c r="B1558" s="81" t="s">
        <v>3804</v>
      </c>
      <c r="C1558" s="26" t="s">
        <v>37</v>
      </c>
      <c r="D1558" s="14"/>
      <c r="E1558" s="15"/>
      <c r="F1558" s="16">
        <f t="shared" si="93"/>
        <v>0</v>
      </c>
      <c r="G1558">
        <f t="shared" si="92"/>
        <v>0</v>
      </c>
    </row>
    <row r="1559" spans="1:7" hidden="1" x14ac:dyDescent="0.25">
      <c r="A1559" s="85" t="s">
        <v>3864</v>
      </c>
      <c r="B1559" s="81" t="s">
        <v>3805</v>
      </c>
      <c r="C1559" s="26" t="s">
        <v>37</v>
      </c>
      <c r="D1559" s="14"/>
      <c r="E1559" s="15"/>
      <c r="F1559" s="16">
        <f t="shared" si="93"/>
        <v>0</v>
      </c>
      <c r="G1559">
        <f t="shared" si="92"/>
        <v>0</v>
      </c>
    </row>
    <row r="1560" spans="1:7" hidden="1" x14ac:dyDescent="0.25">
      <c r="A1560" s="85" t="s">
        <v>3865</v>
      </c>
      <c r="B1560" s="81" t="s">
        <v>3806</v>
      </c>
      <c r="C1560" s="26" t="s">
        <v>37</v>
      </c>
      <c r="D1560" s="14"/>
      <c r="E1560" s="15"/>
      <c r="F1560" s="16">
        <f t="shared" si="93"/>
        <v>0</v>
      </c>
      <c r="G1560">
        <f t="shared" si="92"/>
        <v>0</v>
      </c>
    </row>
    <row r="1561" spans="1:7" hidden="1" x14ac:dyDescent="0.25">
      <c r="A1561" s="85" t="s">
        <v>3866</v>
      </c>
      <c r="B1561" s="81" t="s">
        <v>3807</v>
      </c>
      <c r="C1561" s="26" t="s">
        <v>37</v>
      </c>
      <c r="D1561" s="14"/>
      <c r="E1561" s="15"/>
      <c r="F1561" s="16">
        <f t="shared" si="93"/>
        <v>0</v>
      </c>
      <c r="G1561">
        <f t="shared" si="92"/>
        <v>0</v>
      </c>
    </row>
    <row r="1562" spans="1:7" hidden="1" x14ac:dyDescent="0.25">
      <c r="A1562" s="85" t="s">
        <v>3867</v>
      </c>
      <c r="B1562" s="81" t="s">
        <v>3808</v>
      </c>
      <c r="C1562" s="26" t="s">
        <v>37</v>
      </c>
      <c r="D1562" s="14"/>
      <c r="E1562" s="15"/>
      <c r="F1562" s="16">
        <f t="shared" si="93"/>
        <v>0</v>
      </c>
      <c r="G1562">
        <f t="shared" si="92"/>
        <v>0</v>
      </c>
    </row>
    <row r="1563" spans="1:7" hidden="1" x14ac:dyDescent="0.25">
      <c r="A1563" s="85" t="s">
        <v>3868</v>
      </c>
      <c r="B1563" s="81" t="s">
        <v>3809</v>
      </c>
      <c r="C1563" s="26" t="s">
        <v>37</v>
      </c>
      <c r="D1563" s="14"/>
      <c r="E1563" s="15"/>
      <c r="F1563" s="16">
        <f t="shared" si="93"/>
        <v>0</v>
      </c>
      <c r="G1563">
        <f t="shared" si="92"/>
        <v>0</v>
      </c>
    </row>
    <row r="1564" spans="1:7" hidden="1" x14ac:dyDescent="0.25">
      <c r="A1564" s="85" t="s">
        <v>3869</v>
      </c>
      <c r="B1564" s="81" t="s">
        <v>3810</v>
      </c>
      <c r="C1564" s="26" t="s">
        <v>37</v>
      </c>
      <c r="D1564" s="14"/>
      <c r="E1564" s="15"/>
      <c r="F1564" s="16">
        <f t="shared" si="93"/>
        <v>0</v>
      </c>
      <c r="G1564">
        <f t="shared" si="92"/>
        <v>0</v>
      </c>
    </row>
    <row r="1565" spans="1:7" hidden="1" x14ac:dyDescent="0.25">
      <c r="A1565" s="85" t="s">
        <v>3870</v>
      </c>
      <c r="B1565" s="81" t="s">
        <v>3811</v>
      </c>
      <c r="C1565" s="26" t="s">
        <v>37</v>
      </c>
      <c r="D1565" s="14"/>
      <c r="E1565" s="15"/>
      <c r="F1565" s="16">
        <f t="shared" si="93"/>
        <v>0</v>
      </c>
      <c r="G1565">
        <f t="shared" si="92"/>
        <v>0</v>
      </c>
    </row>
    <row r="1566" spans="1:7" hidden="1" x14ac:dyDescent="0.25">
      <c r="A1566" s="85" t="s">
        <v>3871</v>
      </c>
      <c r="B1566" s="81" t="s">
        <v>3812</v>
      </c>
      <c r="C1566" s="26" t="s">
        <v>37</v>
      </c>
      <c r="D1566" s="14"/>
      <c r="E1566" s="15"/>
      <c r="F1566" s="16">
        <f t="shared" si="93"/>
        <v>0</v>
      </c>
      <c r="G1566">
        <f t="shared" si="92"/>
        <v>0</v>
      </c>
    </row>
    <row r="1567" spans="1:7" hidden="1" x14ac:dyDescent="0.25">
      <c r="A1567" s="85" t="s">
        <v>3872</v>
      </c>
      <c r="B1567" s="81" t="s">
        <v>3813</v>
      </c>
      <c r="C1567" s="26" t="s">
        <v>37</v>
      </c>
      <c r="D1567" s="14"/>
      <c r="E1567" s="15"/>
      <c r="F1567" s="16">
        <f t="shared" si="93"/>
        <v>0</v>
      </c>
      <c r="G1567">
        <f t="shared" si="92"/>
        <v>0</v>
      </c>
    </row>
    <row r="1568" spans="1:7" hidden="1" x14ac:dyDescent="0.25">
      <c r="A1568" s="85" t="s">
        <v>3873</v>
      </c>
      <c r="B1568" s="81" t="s">
        <v>3814</v>
      </c>
      <c r="C1568" s="26" t="s">
        <v>37</v>
      </c>
      <c r="D1568" s="14"/>
      <c r="E1568" s="15"/>
      <c r="F1568" s="16">
        <f t="shared" si="93"/>
        <v>0</v>
      </c>
      <c r="G1568">
        <f t="shared" si="92"/>
        <v>0</v>
      </c>
    </row>
    <row r="1569" spans="1:7" hidden="1" x14ac:dyDescent="0.25">
      <c r="A1569" s="85" t="s">
        <v>3874</v>
      </c>
      <c r="B1569" s="81" t="s">
        <v>3815</v>
      </c>
      <c r="C1569" s="26" t="s">
        <v>37</v>
      </c>
      <c r="D1569" s="14"/>
      <c r="E1569" s="15"/>
      <c r="F1569" s="16">
        <f t="shared" si="93"/>
        <v>0</v>
      </c>
      <c r="G1569">
        <f t="shared" si="92"/>
        <v>0</v>
      </c>
    </row>
    <row r="1570" spans="1:7" hidden="1" x14ac:dyDescent="0.25">
      <c r="A1570" s="85" t="s">
        <v>3875</v>
      </c>
      <c r="B1570" s="81" t="s">
        <v>3816</v>
      </c>
      <c r="C1570" s="26" t="s">
        <v>37</v>
      </c>
      <c r="D1570" s="14"/>
      <c r="E1570" s="15"/>
      <c r="F1570" s="16">
        <f t="shared" si="93"/>
        <v>0</v>
      </c>
      <c r="G1570">
        <f t="shared" si="92"/>
        <v>0</v>
      </c>
    </row>
    <row r="1571" spans="1:7" hidden="1" x14ac:dyDescent="0.25">
      <c r="A1571" s="85" t="s">
        <v>3876</v>
      </c>
      <c r="B1571" s="81" t="s">
        <v>3817</v>
      </c>
      <c r="C1571" s="26" t="s">
        <v>37</v>
      </c>
      <c r="D1571" s="14"/>
      <c r="E1571" s="15"/>
      <c r="F1571" s="16">
        <f t="shared" si="93"/>
        <v>0</v>
      </c>
      <c r="G1571">
        <f t="shared" si="92"/>
        <v>0</v>
      </c>
    </row>
    <row r="1572" spans="1:7" hidden="1" x14ac:dyDescent="0.25">
      <c r="A1572" s="85" t="s">
        <v>3877</v>
      </c>
      <c r="B1572" s="81" t="s">
        <v>3818</v>
      </c>
      <c r="C1572" s="26" t="s">
        <v>37</v>
      </c>
      <c r="D1572" s="14"/>
      <c r="E1572" s="15"/>
      <c r="F1572" s="16">
        <f t="shared" si="93"/>
        <v>0</v>
      </c>
      <c r="G1572">
        <f t="shared" ref="G1572:G1635" si="94">+IF(F1572&lt;&gt;0,1,0)</f>
        <v>0</v>
      </c>
    </row>
    <row r="1573" spans="1:7" hidden="1" x14ac:dyDescent="0.25">
      <c r="A1573" s="85" t="s">
        <v>3878</v>
      </c>
      <c r="B1573" s="81" t="s">
        <v>3819</v>
      </c>
      <c r="C1573" s="26" t="s">
        <v>37</v>
      </c>
      <c r="D1573" s="14"/>
      <c r="E1573" s="15"/>
      <c r="F1573" s="16">
        <f t="shared" si="93"/>
        <v>0</v>
      </c>
      <c r="G1573">
        <f t="shared" si="94"/>
        <v>0</v>
      </c>
    </row>
    <row r="1574" spans="1:7" hidden="1" x14ac:dyDescent="0.25">
      <c r="A1574" s="85" t="s">
        <v>3879</v>
      </c>
      <c r="B1574" s="81" t="s">
        <v>3820</v>
      </c>
      <c r="C1574" s="26" t="s">
        <v>37</v>
      </c>
      <c r="D1574" s="14"/>
      <c r="E1574" s="15"/>
      <c r="F1574" s="16">
        <f t="shared" si="93"/>
        <v>0</v>
      </c>
      <c r="G1574">
        <f t="shared" si="94"/>
        <v>0</v>
      </c>
    </row>
    <row r="1575" spans="1:7" hidden="1" x14ac:dyDescent="0.25">
      <c r="A1575" s="85" t="s">
        <v>3880</v>
      </c>
      <c r="B1575" s="81" t="s">
        <v>3821</v>
      </c>
      <c r="C1575" s="26" t="s">
        <v>37</v>
      </c>
      <c r="D1575" s="14"/>
      <c r="E1575" s="15"/>
      <c r="F1575" s="16">
        <f t="shared" si="93"/>
        <v>0</v>
      </c>
      <c r="G1575">
        <f t="shared" si="94"/>
        <v>0</v>
      </c>
    </row>
    <row r="1576" spans="1:7" hidden="1" x14ac:dyDescent="0.25">
      <c r="A1576" s="85" t="s">
        <v>3881</v>
      </c>
      <c r="B1576" s="81" t="s">
        <v>3822</v>
      </c>
      <c r="C1576" s="26" t="s">
        <v>37</v>
      </c>
      <c r="D1576" s="14"/>
      <c r="E1576" s="15"/>
      <c r="F1576" s="16">
        <f t="shared" si="93"/>
        <v>0</v>
      </c>
      <c r="G1576">
        <f t="shared" si="94"/>
        <v>0</v>
      </c>
    </row>
    <row r="1577" spans="1:7" hidden="1" x14ac:dyDescent="0.25">
      <c r="A1577" s="85" t="s">
        <v>3882</v>
      </c>
      <c r="B1577" s="81" t="s">
        <v>3823</v>
      </c>
      <c r="C1577" s="26" t="s">
        <v>37</v>
      </c>
      <c r="D1577" s="14"/>
      <c r="E1577" s="15"/>
      <c r="F1577" s="16">
        <f t="shared" si="93"/>
        <v>0</v>
      </c>
      <c r="G1577">
        <f t="shared" si="94"/>
        <v>0</v>
      </c>
    </row>
    <row r="1578" spans="1:7" hidden="1" x14ac:dyDescent="0.25">
      <c r="A1578" s="85" t="s">
        <v>3883</v>
      </c>
      <c r="B1578" s="81" t="s">
        <v>3824</v>
      </c>
      <c r="C1578" s="26" t="s">
        <v>37</v>
      </c>
      <c r="D1578" s="14"/>
      <c r="E1578" s="15"/>
      <c r="F1578" s="16">
        <f t="shared" si="93"/>
        <v>0</v>
      </c>
      <c r="G1578">
        <f t="shared" si="94"/>
        <v>0</v>
      </c>
    </row>
    <row r="1579" spans="1:7" hidden="1" x14ac:dyDescent="0.25">
      <c r="A1579" s="85" t="s">
        <v>3884</v>
      </c>
      <c r="B1579" s="81" t="s">
        <v>3825</v>
      </c>
      <c r="C1579" s="26" t="s">
        <v>37</v>
      </c>
      <c r="D1579" s="14"/>
      <c r="E1579" s="15"/>
      <c r="F1579" s="16">
        <f t="shared" si="93"/>
        <v>0</v>
      </c>
      <c r="G1579">
        <f t="shared" si="94"/>
        <v>0</v>
      </c>
    </row>
    <row r="1580" spans="1:7" hidden="1" x14ac:dyDescent="0.25">
      <c r="A1580" s="85" t="s">
        <v>3885</v>
      </c>
      <c r="B1580" s="81" t="s">
        <v>3826</v>
      </c>
      <c r="C1580" s="26" t="s">
        <v>37</v>
      </c>
      <c r="D1580" s="14"/>
      <c r="E1580" s="15"/>
      <c r="F1580" s="16">
        <f t="shared" si="93"/>
        <v>0</v>
      </c>
      <c r="G1580">
        <f t="shared" si="94"/>
        <v>0</v>
      </c>
    </row>
    <row r="1581" spans="1:7" hidden="1" x14ac:dyDescent="0.25">
      <c r="A1581" s="85" t="s">
        <v>3886</v>
      </c>
      <c r="B1581" s="81" t="s">
        <v>3827</v>
      </c>
      <c r="C1581" s="26" t="s">
        <v>37</v>
      </c>
      <c r="D1581" s="14"/>
      <c r="E1581" s="15"/>
      <c r="F1581" s="16">
        <f t="shared" si="93"/>
        <v>0</v>
      </c>
      <c r="G1581">
        <f t="shared" si="94"/>
        <v>0</v>
      </c>
    </row>
    <row r="1582" spans="1:7" hidden="1" x14ac:dyDescent="0.25">
      <c r="A1582" s="85" t="s">
        <v>3887</v>
      </c>
      <c r="B1582" s="81" t="s">
        <v>3828</v>
      </c>
      <c r="C1582" s="26" t="s">
        <v>37</v>
      </c>
      <c r="D1582" s="14"/>
      <c r="E1582" s="15"/>
      <c r="F1582" s="16">
        <f t="shared" si="93"/>
        <v>0</v>
      </c>
      <c r="G1582">
        <f t="shared" si="94"/>
        <v>0</v>
      </c>
    </row>
    <row r="1583" spans="1:7" hidden="1" x14ac:dyDescent="0.25">
      <c r="A1583" s="85" t="s">
        <v>3888</v>
      </c>
      <c r="B1583" s="81" t="s">
        <v>3829</v>
      </c>
      <c r="C1583" s="26" t="s">
        <v>37</v>
      </c>
      <c r="D1583" s="14"/>
      <c r="E1583" s="15"/>
      <c r="F1583" s="16">
        <f t="shared" si="93"/>
        <v>0</v>
      </c>
      <c r="G1583">
        <f t="shared" si="94"/>
        <v>0</v>
      </c>
    </row>
    <row r="1584" spans="1:7" hidden="1" x14ac:dyDescent="0.25">
      <c r="A1584" s="85" t="s">
        <v>3889</v>
      </c>
      <c r="B1584" s="81" t="s">
        <v>3830</v>
      </c>
      <c r="C1584" s="26" t="s">
        <v>37</v>
      </c>
      <c r="D1584" s="14"/>
      <c r="E1584" s="15"/>
      <c r="F1584" s="16">
        <f t="shared" si="93"/>
        <v>0</v>
      </c>
      <c r="G1584">
        <f t="shared" si="94"/>
        <v>0</v>
      </c>
    </row>
    <row r="1585" spans="1:7" hidden="1" x14ac:dyDescent="0.25">
      <c r="A1585" s="85" t="s">
        <v>3890</v>
      </c>
      <c r="B1585" s="81" t="s">
        <v>3831</v>
      </c>
      <c r="C1585" s="26" t="s">
        <v>37</v>
      </c>
      <c r="D1585" s="14"/>
      <c r="E1585" s="15"/>
      <c r="F1585" s="16">
        <f t="shared" si="93"/>
        <v>0</v>
      </c>
      <c r="G1585">
        <f t="shared" si="94"/>
        <v>0</v>
      </c>
    </row>
    <row r="1586" spans="1:7" hidden="1" x14ac:dyDescent="0.25">
      <c r="A1586" s="85" t="s">
        <v>3891</v>
      </c>
      <c r="B1586" s="81" t="s">
        <v>3832</v>
      </c>
      <c r="C1586" s="26" t="s">
        <v>37</v>
      </c>
      <c r="D1586" s="14"/>
      <c r="E1586" s="15"/>
      <c r="F1586" s="16">
        <f t="shared" si="93"/>
        <v>0</v>
      </c>
      <c r="G1586">
        <f t="shared" si="94"/>
        <v>0</v>
      </c>
    </row>
    <row r="1587" spans="1:7" hidden="1" x14ac:dyDescent="0.25">
      <c r="A1587" s="85" t="s">
        <v>3892</v>
      </c>
      <c r="B1587" s="81" t="s">
        <v>3833</v>
      </c>
      <c r="C1587" s="26" t="s">
        <v>37</v>
      </c>
      <c r="D1587" s="14"/>
      <c r="E1587" s="15"/>
      <c r="F1587" s="16">
        <f t="shared" si="93"/>
        <v>0</v>
      </c>
      <c r="G1587">
        <f t="shared" si="94"/>
        <v>0</v>
      </c>
    </row>
    <row r="1588" spans="1:7" hidden="1" x14ac:dyDescent="0.25">
      <c r="A1588" s="85" t="s">
        <v>3893</v>
      </c>
      <c r="B1588" s="81" t="s">
        <v>3834</v>
      </c>
      <c r="C1588" s="26" t="s">
        <v>37</v>
      </c>
      <c r="D1588" s="14"/>
      <c r="E1588" s="15"/>
      <c r="F1588" s="16">
        <f t="shared" si="93"/>
        <v>0</v>
      </c>
      <c r="G1588">
        <f t="shared" si="94"/>
        <v>0</v>
      </c>
    </row>
    <row r="1589" spans="1:7" hidden="1" x14ac:dyDescent="0.25">
      <c r="A1589" s="85" t="s">
        <v>3894</v>
      </c>
      <c r="B1589" s="81" t="s">
        <v>3835</v>
      </c>
      <c r="C1589" s="26" t="s">
        <v>37</v>
      </c>
      <c r="D1589" s="14"/>
      <c r="E1589" s="15"/>
      <c r="F1589" s="16">
        <f t="shared" si="93"/>
        <v>0</v>
      </c>
      <c r="G1589">
        <f t="shared" si="94"/>
        <v>0</v>
      </c>
    </row>
    <row r="1590" spans="1:7" hidden="1" x14ac:dyDescent="0.25">
      <c r="A1590" s="85" t="s">
        <v>3895</v>
      </c>
      <c r="B1590" s="81" t="s">
        <v>3836</v>
      </c>
      <c r="C1590" s="26" t="s">
        <v>37</v>
      </c>
      <c r="D1590" s="14"/>
      <c r="E1590" s="15"/>
      <c r="F1590" s="16">
        <f t="shared" si="93"/>
        <v>0</v>
      </c>
      <c r="G1590">
        <f t="shared" si="94"/>
        <v>0</v>
      </c>
    </row>
    <row r="1591" spans="1:7" hidden="1" x14ac:dyDescent="0.25">
      <c r="A1591" s="85" t="s">
        <v>3896</v>
      </c>
      <c r="B1591" s="81" t="s">
        <v>3837</v>
      </c>
      <c r="C1591" s="26" t="s">
        <v>37</v>
      </c>
      <c r="D1591" s="14"/>
      <c r="E1591" s="15"/>
      <c r="F1591" s="16">
        <f t="shared" si="93"/>
        <v>0</v>
      </c>
      <c r="G1591">
        <f t="shared" si="94"/>
        <v>0</v>
      </c>
    </row>
    <row r="1592" spans="1:7" hidden="1" x14ac:dyDescent="0.25">
      <c r="A1592" s="85" t="s">
        <v>3897</v>
      </c>
      <c r="B1592" s="81" t="s">
        <v>3838</v>
      </c>
      <c r="C1592" s="26" t="s">
        <v>37</v>
      </c>
      <c r="D1592" s="14"/>
      <c r="E1592" s="15"/>
      <c r="F1592" s="16">
        <f t="shared" si="93"/>
        <v>0</v>
      </c>
      <c r="G1592">
        <f t="shared" si="94"/>
        <v>0</v>
      </c>
    </row>
    <row r="1593" spans="1:7" hidden="1" x14ac:dyDescent="0.25">
      <c r="A1593" s="85" t="s">
        <v>3898</v>
      </c>
      <c r="B1593" s="81" t="s">
        <v>3839</v>
      </c>
      <c r="C1593" s="26" t="s">
        <v>37</v>
      </c>
      <c r="D1593" s="14"/>
      <c r="E1593" s="15"/>
      <c r="F1593" s="16">
        <f t="shared" si="93"/>
        <v>0</v>
      </c>
      <c r="G1593">
        <f t="shared" si="94"/>
        <v>0</v>
      </c>
    </row>
    <row r="1594" spans="1:7" hidden="1" x14ac:dyDescent="0.25">
      <c r="A1594" s="85" t="s">
        <v>3899</v>
      </c>
      <c r="B1594" s="81" t="s">
        <v>3840</v>
      </c>
      <c r="C1594" s="26" t="s">
        <v>37</v>
      </c>
      <c r="D1594" s="14"/>
      <c r="E1594" s="15"/>
      <c r="F1594" s="16">
        <f t="shared" si="93"/>
        <v>0</v>
      </c>
      <c r="G1594">
        <f t="shared" si="94"/>
        <v>0</v>
      </c>
    </row>
    <row r="1595" spans="1:7" hidden="1" x14ac:dyDescent="0.25">
      <c r="A1595" s="85" t="s">
        <v>3900</v>
      </c>
      <c r="B1595" s="81" t="s">
        <v>3843</v>
      </c>
      <c r="C1595" s="26" t="s">
        <v>37</v>
      </c>
      <c r="D1595" s="14"/>
      <c r="E1595" s="15"/>
      <c r="F1595" s="16">
        <f t="shared" si="93"/>
        <v>0</v>
      </c>
      <c r="G1595">
        <f t="shared" si="94"/>
        <v>0</v>
      </c>
    </row>
    <row r="1596" spans="1:7" hidden="1" x14ac:dyDescent="0.25">
      <c r="A1596" s="85" t="s">
        <v>3901</v>
      </c>
      <c r="B1596" s="81" t="s">
        <v>3844</v>
      </c>
      <c r="C1596" s="26" t="s">
        <v>37</v>
      </c>
      <c r="D1596" s="14"/>
      <c r="E1596" s="15"/>
      <c r="F1596" s="16">
        <f t="shared" si="93"/>
        <v>0</v>
      </c>
      <c r="G1596">
        <f t="shared" si="94"/>
        <v>0</v>
      </c>
    </row>
    <row r="1597" spans="1:7" hidden="1" x14ac:dyDescent="0.25">
      <c r="A1597" s="85" t="s">
        <v>3902</v>
      </c>
      <c r="B1597" s="81" t="s">
        <v>3845</v>
      </c>
      <c r="C1597" s="26" t="s">
        <v>37</v>
      </c>
      <c r="D1597" s="14"/>
      <c r="E1597" s="15"/>
      <c r="F1597" s="16">
        <f t="shared" si="93"/>
        <v>0</v>
      </c>
      <c r="G1597">
        <f t="shared" si="94"/>
        <v>0</v>
      </c>
    </row>
    <row r="1598" spans="1:7" hidden="1" x14ac:dyDescent="0.25">
      <c r="A1598" s="85" t="s">
        <v>3903</v>
      </c>
      <c r="B1598" s="81" t="s">
        <v>3841</v>
      </c>
      <c r="C1598" s="26" t="s">
        <v>37</v>
      </c>
      <c r="D1598" s="14"/>
      <c r="E1598" s="15"/>
      <c r="F1598" s="16">
        <f t="shared" si="93"/>
        <v>0</v>
      </c>
      <c r="G1598">
        <f t="shared" si="94"/>
        <v>0</v>
      </c>
    </row>
    <row r="1599" spans="1:7" hidden="1" x14ac:dyDescent="0.25">
      <c r="A1599" s="85" t="s">
        <v>3904</v>
      </c>
      <c r="B1599" s="81" t="s">
        <v>3846</v>
      </c>
      <c r="C1599" s="26" t="s">
        <v>37</v>
      </c>
      <c r="D1599" s="14"/>
      <c r="E1599" s="15"/>
      <c r="F1599" s="16">
        <f t="shared" si="93"/>
        <v>0</v>
      </c>
      <c r="G1599">
        <f t="shared" si="94"/>
        <v>0</v>
      </c>
    </row>
    <row r="1600" spans="1:7" hidden="1" x14ac:dyDescent="0.25">
      <c r="A1600" s="85" t="s">
        <v>3905</v>
      </c>
      <c r="B1600" s="81" t="s">
        <v>3847</v>
      </c>
      <c r="C1600" s="26" t="s">
        <v>37</v>
      </c>
      <c r="D1600" s="14"/>
      <c r="E1600" s="15"/>
      <c r="F1600" s="16">
        <f t="shared" si="93"/>
        <v>0</v>
      </c>
      <c r="G1600">
        <f t="shared" si="94"/>
        <v>0</v>
      </c>
    </row>
    <row r="1601" spans="1:7" hidden="1" x14ac:dyDescent="0.25">
      <c r="A1601" s="85" t="s">
        <v>3906</v>
      </c>
      <c r="B1601" s="81" t="s">
        <v>3848</v>
      </c>
      <c r="C1601" s="26" t="s">
        <v>37</v>
      </c>
      <c r="D1601" s="14"/>
      <c r="E1601" s="15"/>
      <c r="F1601" s="16">
        <f t="shared" si="93"/>
        <v>0</v>
      </c>
      <c r="G1601">
        <f t="shared" si="94"/>
        <v>0</v>
      </c>
    </row>
    <row r="1602" spans="1:7" hidden="1" x14ac:dyDescent="0.25">
      <c r="A1602" s="85" t="s">
        <v>3907</v>
      </c>
      <c r="B1602" s="81" t="s">
        <v>3849</v>
      </c>
      <c r="C1602" s="26" t="s">
        <v>37</v>
      </c>
      <c r="D1602" s="14"/>
      <c r="E1602" s="15"/>
      <c r="F1602" s="16">
        <f t="shared" si="93"/>
        <v>0</v>
      </c>
      <c r="G1602">
        <f t="shared" si="94"/>
        <v>0</v>
      </c>
    </row>
    <row r="1603" spans="1:7" hidden="1" x14ac:dyDescent="0.25">
      <c r="A1603" s="85" t="s">
        <v>3908</v>
      </c>
      <c r="B1603" s="81" t="s">
        <v>3850</v>
      </c>
      <c r="C1603" s="26" t="s">
        <v>37</v>
      </c>
      <c r="D1603" s="14"/>
      <c r="E1603" s="15"/>
      <c r="F1603" s="16">
        <f t="shared" si="93"/>
        <v>0</v>
      </c>
      <c r="G1603">
        <f t="shared" si="94"/>
        <v>0</v>
      </c>
    </row>
    <row r="1604" spans="1:7" hidden="1" x14ac:dyDescent="0.25">
      <c r="A1604" s="85" t="s">
        <v>3909</v>
      </c>
      <c r="B1604" s="81" t="s">
        <v>3851</v>
      </c>
      <c r="C1604" s="26" t="s">
        <v>37</v>
      </c>
      <c r="D1604" s="14"/>
      <c r="E1604" s="15"/>
      <c r="F1604" s="16">
        <f t="shared" si="93"/>
        <v>0</v>
      </c>
      <c r="G1604">
        <f t="shared" si="94"/>
        <v>0</v>
      </c>
    </row>
    <row r="1605" spans="1:7" hidden="1" x14ac:dyDescent="0.25">
      <c r="A1605" s="85" t="s">
        <v>3910</v>
      </c>
      <c r="B1605" s="81" t="s">
        <v>3842</v>
      </c>
      <c r="C1605" s="26" t="s">
        <v>37</v>
      </c>
      <c r="D1605" s="14"/>
      <c r="E1605" s="15"/>
      <c r="F1605" s="16">
        <f t="shared" si="93"/>
        <v>0</v>
      </c>
      <c r="G1605">
        <f t="shared" si="94"/>
        <v>0</v>
      </c>
    </row>
    <row r="1606" spans="1:7" hidden="1" x14ac:dyDescent="0.25">
      <c r="A1606" s="85" t="s">
        <v>3911</v>
      </c>
      <c r="B1606" s="81" t="s">
        <v>3852</v>
      </c>
      <c r="C1606" s="26" t="s">
        <v>37</v>
      </c>
      <c r="D1606" s="14"/>
      <c r="E1606" s="15"/>
      <c r="F1606" s="16">
        <f t="shared" si="93"/>
        <v>0</v>
      </c>
      <c r="G1606">
        <f t="shared" si="94"/>
        <v>0</v>
      </c>
    </row>
    <row r="1607" spans="1:7" hidden="1" x14ac:dyDescent="0.25">
      <c r="A1607" s="85" t="s">
        <v>3912</v>
      </c>
      <c r="B1607" s="81" t="s">
        <v>3853</v>
      </c>
      <c r="C1607" s="26" t="s">
        <v>37</v>
      </c>
      <c r="D1607" s="14"/>
      <c r="E1607" s="15"/>
      <c r="F1607" s="16">
        <f t="shared" si="93"/>
        <v>0</v>
      </c>
      <c r="G1607">
        <f t="shared" si="94"/>
        <v>0</v>
      </c>
    </row>
    <row r="1608" spans="1:7" hidden="1" x14ac:dyDescent="0.25">
      <c r="A1608" s="85" t="s">
        <v>3913</v>
      </c>
      <c r="B1608" s="81" t="s">
        <v>3854</v>
      </c>
      <c r="C1608" s="26" t="s">
        <v>37</v>
      </c>
      <c r="D1608" s="14"/>
      <c r="E1608" s="15"/>
      <c r="F1608" s="16">
        <f t="shared" si="93"/>
        <v>0</v>
      </c>
      <c r="G1608">
        <f t="shared" si="94"/>
        <v>0</v>
      </c>
    </row>
    <row r="1609" spans="1:7" hidden="1" x14ac:dyDescent="0.25">
      <c r="A1609" s="85" t="s">
        <v>3914</v>
      </c>
      <c r="B1609" s="81" t="s">
        <v>3855</v>
      </c>
      <c r="C1609" s="26" t="s">
        <v>37</v>
      </c>
      <c r="D1609" s="14"/>
      <c r="E1609" s="15"/>
      <c r="F1609" s="16">
        <f t="shared" si="93"/>
        <v>0</v>
      </c>
      <c r="G1609">
        <f t="shared" si="94"/>
        <v>0</v>
      </c>
    </row>
    <row r="1610" spans="1:7" hidden="1" x14ac:dyDescent="0.25">
      <c r="A1610" s="85" t="s">
        <v>3915</v>
      </c>
      <c r="B1610" s="81" t="s">
        <v>3856</v>
      </c>
      <c r="C1610" s="26" t="s">
        <v>37</v>
      </c>
      <c r="D1610" s="14"/>
      <c r="E1610" s="15"/>
      <c r="F1610" s="16">
        <f t="shared" si="93"/>
        <v>0</v>
      </c>
      <c r="G1610">
        <f t="shared" si="94"/>
        <v>0</v>
      </c>
    </row>
    <row r="1611" spans="1:7" hidden="1" x14ac:dyDescent="0.25">
      <c r="A1611" s="85" t="s">
        <v>3916</v>
      </c>
      <c r="B1611" s="81" t="s">
        <v>3857</v>
      </c>
      <c r="C1611" s="26" t="s">
        <v>37</v>
      </c>
      <c r="D1611" s="14"/>
      <c r="E1611" s="15"/>
      <c r="F1611" s="16">
        <f t="shared" si="93"/>
        <v>0</v>
      </c>
      <c r="G1611">
        <f t="shared" si="94"/>
        <v>0</v>
      </c>
    </row>
    <row r="1612" spans="1:7" hidden="1" x14ac:dyDescent="0.25">
      <c r="A1612" s="85" t="s">
        <v>3917</v>
      </c>
      <c r="B1612" s="81" t="s">
        <v>3858</v>
      </c>
      <c r="C1612" s="26" t="s">
        <v>37</v>
      </c>
      <c r="D1612" s="14"/>
      <c r="E1612" s="15"/>
      <c r="F1612" s="16">
        <f t="shared" si="93"/>
        <v>0</v>
      </c>
      <c r="G1612">
        <f t="shared" si="94"/>
        <v>0</v>
      </c>
    </row>
    <row r="1613" spans="1:7" hidden="1" x14ac:dyDescent="0.25">
      <c r="A1613" s="78" t="s">
        <v>3921</v>
      </c>
      <c r="B1613" s="79" t="s">
        <v>3919</v>
      </c>
      <c r="C1613" s="26"/>
      <c r="D1613" s="14"/>
      <c r="E1613" s="15"/>
      <c r="F1613" s="16"/>
      <c r="G1613">
        <f t="shared" si="94"/>
        <v>0</v>
      </c>
    </row>
    <row r="1614" spans="1:7" hidden="1" x14ac:dyDescent="0.25">
      <c r="A1614" s="85" t="s">
        <v>991</v>
      </c>
      <c r="B1614" s="81" t="s">
        <v>3920</v>
      </c>
      <c r="C1614" s="26" t="s">
        <v>37</v>
      </c>
      <c r="D1614" s="14"/>
      <c r="E1614" s="15"/>
      <c r="F1614" s="16">
        <f t="shared" si="93"/>
        <v>0</v>
      </c>
      <c r="G1614">
        <f t="shared" si="94"/>
        <v>0</v>
      </c>
    </row>
    <row r="1615" spans="1:7" hidden="1" x14ac:dyDescent="0.25">
      <c r="A1615" s="85" t="s">
        <v>992</v>
      </c>
      <c r="B1615" s="81" t="s">
        <v>3980</v>
      </c>
      <c r="C1615" s="26" t="s">
        <v>37</v>
      </c>
      <c r="D1615" s="14"/>
      <c r="E1615" s="15"/>
      <c r="F1615" s="16">
        <f t="shared" si="93"/>
        <v>0</v>
      </c>
      <c r="G1615">
        <f t="shared" si="94"/>
        <v>0</v>
      </c>
    </row>
    <row r="1616" spans="1:7" hidden="1" x14ac:dyDescent="0.25">
      <c r="A1616" s="85" t="s">
        <v>3922</v>
      </c>
      <c r="B1616" s="81" t="s">
        <v>3981</v>
      </c>
      <c r="C1616" s="26" t="s">
        <v>37</v>
      </c>
      <c r="D1616" s="14"/>
      <c r="E1616" s="15"/>
      <c r="F1616" s="16">
        <f t="shared" si="93"/>
        <v>0</v>
      </c>
      <c r="G1616">
        <f t="shared" si="94"/>
        <v>0</v>
      </c>
    </row>
    <row r="1617" spans="1:7" hidden="1" x14ac:dyDescent="0.25">
      <c r="A1617" s="85" t="s">
        <v>3923</v>
      </c>
      <c r="B1617" s="81" t="s">
        <v>3982</v>
      </c>
      <c r="C1617" s="26" t="s">
        <v>37</v>
      </c>
      <c r="D1617" s="14"/>
      <c r="E1617" s="15"/>
      <c r="F1617" s="16">
        <f t="shared" ref="F1617:F1673" si="95">+D1617*E1617</f>
        <v>0</v>
      </c>
      <c r="G1617">
        <f t="shared" si="94"/>
        <v>0</v>
      </c>
    </row>
    <row r="1618" spans="1:7" hidden="1" x14ac:dyDescent="0.25">
      <c r="A1618" s="85" t="s">
        <v>3924</v>
      </c>
      <c r="B1618" s="81" t="s">
        <v>3983</v>
      </c>
      <c r="C1618" s="26" t="s">
        <v>37</v>
      </c>
      <c r="D1618" s="14"/>
      <c r="E1618" s="15"/>
      <c r="F1618" s="16">
        <f t="shared" si="95"/>
        <v>0</v>
      </c>
      <c r="G1618">
        <f t="shared" si="94"/>
        <v>0</v>
      </c>
    </row>
    <row r="1619" spans="1:7" hidden="1" x14ac:dyDescent="0.25">
      <c r="A1619" s="85" t="s">
        <v>3925</v>
      </c>
      <c r="B1619" s="81" t="s">
        <v>3984</v>
      </c>
      <c r="C1619" s="26" t="s">
        <v>37</v>
      </c>
      <c r="D1619" s="14"/>
      <c r="E1619" s="15"/>
      <c r="F1619" s="16">
        <f t="shared" si="95"/>
        <v>0</v>
      </c>
      <c r="G1619">
        <f t="shared" si="94"/>
        <v>0</v>
      </c>
    </row>
    <row r="1620" spans="1:7" hidden="1" x14ac:dyDescent="0.25">
      <c r="A1620" s="85" t="s">
        <v>3926</v>
      </c>
      <c r="B1620" s="81" t="s">
        <v>3985</v>
      </c>
      <c r="C1620" s="26" t="s">
        <v>37</v>
      </c>
      <c r="D1620" s="14"/>
      <c r="E1620" s="15"/>
      <c r="F1620" s="16">
        <f t="shared" si="95"/>
        <v>0</v>
      </c>
      <c r="G1620">
        <f t="shared" si="94"/>
        <v>0</v>
      </c>
    </row>
    <row r="1621" spans="1:7" hidden="1" x14ac:dyDescent="0.25">
      <c r="A1621" s="85" t="s">
        <v>3927</v>
      </c>
      <c r="B1621" s="81" t="s">
        <v>3986</v>
      </c>
      <c r="C1621" s="26" t="s">
        <v>37</v>
      </c>
      <c r="D1621" s="14"/>
      <c r="E1621" s="15"/>
      <c r="F1621" s="16">
        <f t="shared" si="95"/>
        <v>0</v>
      </c>
      <c r="G1621">
        <f t="shared" si="94"/>
        <v>0</v>
      </c>
    </row>
    <row r="1622" spans="1:7" hidden="1" x14ac:dyDescent="0.25">
      <c r="A1622" s="85" t="s">
        <v>3928</v>
      </c>
      <c r="B1622" s="81" t="s">
        <v>3987</v>
      </c>
      <c r="C1622" s="26" t="s">
        <v>37</v>
      </c>
      <c r="D1622" s="14"/>
      <c r="E1622" s="15"/>
      <c r="F1622" s="16">
        <f t="shared" si="95"/>
        <v>0</v>
      </c>
      <c r="G1622">
        <f t="shared" si="94"/>
        <v>0</v>
      </c>
    </row>
    <row r="1623" spans="1:7" hidden="1" x14ac:dyDescent="0.25">
      <c r="A1623" s="85" t="s">
        <v>3929</v>
      </c>
      <c r="B1623" s="81" t="s">
        <v>3988</v>
      </c>
      <c r="C1623" s="26" t="s">
        <v>37</v>
      </c>
      <c r="D1623" s="14"/>
      <c r="E1623" s="15"/>
      <c r="F1623" s="16">
        <f t="shared" si="95"/>
        <v>0</v>
      </c>
      <c r="G1623">
        <f t="shared" si="94"/>
        <v>0</v>
      </c>
    </row>
    <row r="1624" spans="1:7" hidden="1" x14ac:dyDescent="0.25">
      <c r="A1624" s="85" t="s">
        <v>3930</v>
      </c>
      <c r="B1624" s="81" t="s">
        <v>3989</v>
      </c>
      <c r="C1624" s="26" t="s">
        <v>37</v>
      </c>
      <c r="D1624" s="14"/>
      <c r="E1624" s="15"/>
      <c r="F1624" s="16">
        <f t="shared" si="95"/>
        <v>0</v>
      </c>
      <c r="G1624">
        <f t="shared" si="94"/>
        <v>0</v>
      </c>
    </row>
    <row r="1625" spans="1:7" hidden="1" x14ac:dyDescent="0.25">
      <c r="A1625" s="85" t="s">
        <v>3931</v>
      </c>
      <c r="B1625" s="81" t="s">
        <v>3990</v>
      </c>
      <c r="C1625" s="26" t="s">
        <v>37</v>
      </c>
      <c r="D1625" s="14"/>
      <c r="E1625" s="15"/>
      <c r="F1625" s="16">
        <f t="shared" si="95"/>
        <v>0</v>
      </c>
      <c r="G1625">
        <f t="shared" si="94"/>
        <v>0</v>
      </c>
    </row>
    <row r="1626" spans="1:7" hidden="1" x14ac:dyDescent="0.25">
      <c r="A1626" s="85" t="s">
        <v>3932</v>
      </c>
      <c r="B1626" s="81" t="s">
        <v>3991</v>
      </c>
      <c r="C1626" s="26" t="s">
        <v>37</v>
      </c>
      <c r="D1626" s="14"/>
      <c r="E1626" s="15"/>
      <c r="F1626" s="16">
        <f t="shared" si="95"/>
        <v>0</v>
      </c>
      <c r="G1626">
        <f t="shared" si="94"/>
        <v>0</v>
      </c>
    </row>
    <row r="1627" spans="1:7" hidden="1" x14ac:dyDescent="0.25">
      <c r="A1627" s="85" t="s">
        <v>3933</v>
      </c>
      <c r="B1627" s="81" t="s">
        <v>3992</v>
      </c>
      <c r="C1627" s="26" t="s">
        <v>37</v>
      </c>
      <c r="D1627" s="14"/>
      <c r="E1627" s="15"/>
      <c r="F1627" s="16">
        <f t="shared" si="95"/>
        <v>0</v>
      </c>
      <c r="G1627">
        <f t="shared" si="94"/>
        <v>0</v>
      </c>
    </row>
    <row r="1628" spans="1:7" hidden="1" x14ac:dyDescent="0.25">
      <c r="A1628" s="85" t="s">
        <v>3934</v>
      </c>
      <c r="B1628" s="81" t="s">
        <v>3993</v>
      </c>
      <c r="C1628" s="26" t="s">
        <v>37</v>
      </c>
      <c r="D1628" s="14"/>
      <c r="E1628" s="15"/>
      <c r="F1628" s="16">
        <f t="shared" si="95"/>
        <v>0</v>
      </c>
      <c r="G1628">
        <f t="shared" si="94"/>
        <v>0</v>
      </c>
    </row>
    <row r="1629" spans="1:7" hidden="1" x14ac:dyDescent="0.25">
      <c r="A1629" s="85" t="s">
        <v>3935</v>
      </c>
      <c r="B1629" s="81" t="s">
        <v>3994</v>
      </c>
      <c r="C1629" s="26" t="s">
        <v>37</v>
      </c>
      <c r="D1629" s="14"/>
      <c r="E1629" s="15"/>
      <c r="F1629" s="16">
        <f t="shared" si="95"/>
        <v>0</v>
      </c>
      <c r="G1629">
        <f t="shared" si="94"/>
        <v>0</v>
      </c>
    </row>
    <row r="1630" spans="1:7" hidden="1" x14ac:dyDescent="0.25">
      <c r="A1630" s="85" t="s">
        <v>3936</v>
      </c>
      <c r="B1630" s="81" t="s">
        <v>3995</v>
      </c>
      <c r="C1630" s="26" t="s">
        <v>37</v>
      </c>
      <c r="D1630" s="14"/>
      <c r="E1630" s="15"/>
      <c r="F1630" s="16">
        <f t="shared" si="95"/>
        <v>0</v>
      </c>
      <c r="G1630">
        <f t="shared" si="94"/>
        <v>0</v>
      </c>
    </row>
    <row r="1631" spans="1:7" hidden="1" x14ac:dyDescent="0.25">
      <c r="A1631" s="85" t="s">
        <v>3937</v>
      </c>
      <c r="B1631" s="81" t="s">
        <v>3996</v>
      </c>
      <c r="C1631" s="26" t="s">
        <v>37</v>
      </c>
      <c r="D1631" s="14"/>
      <c r="E1631" s="15"/>
      <c r="F1631" s="16">
        <f t="shared" si="95"/>
        <v>0</v>
      </c>
      <c r="G1631">
        <f t="shared" si="94"/>
        <v>0</v>
      </c>
    </row>
    <row r="1632" spans="1:7" hidden="1" x14ac:dyDescent="0.25">
      <c r="A1632" s="85" t="s">
        <v>3938</v>
      </c>
      <c r="B1632" s="81" t="s">
        <v>3997</v>
      </c>
      <c r="C1632" s="26" t="s">
        <v>37</v>
      </c>
      <c r="D1632" s="14"/>
      <c r="E1632" s="15"/>
      <c r="F1632" s="16">
        <f t="shared" si="95"/>
        <v>0</v>
      </c>
      <c r="G1632">
        <f t="shared" si="94"/>
        <v>0</v>
      </c>
    </row>
    <row r="1633" spans="1:7" hidden="1" x14ac:dyDescent="0.25">
      <c r="A1633" s="85" t="s">
        <v>3939</v>
      </c>
      <c r="B1633" s="81" t="s">
        <v>3998</v>
      </c>
      <c r="C1633" s="26" t="s">
        <v>37</v>
      </c>
      <c r="D1633" s="14"/>
      <c r="E1633" s="15"/>
      <c r="F1633" s="16">
        <f t="shared" si="95"/>
        <v>0</v>
      </c>
      <c r="G1633">
        <f t="shared" si="94"/>
        <v>0</v>
      </c>
    </row>
    <row r="1634" spans="1:7" hidden="1" x14ac:dyDescent="0.25">
      <c r="A1634" s="85" t="s">
        <v>3940</v>
      </c>
      <c r="B1634" s="81" t="s">
        <v>3999</v>
      </c>
      <c r="C1634" s="26" t="s">
        <v>37</v>
      </c>
      <c r="D1634" s="14"/>
      <c r="E1634" s="15"/>
      <c r="F1634" s="16">
        <f t="shared" si="95"/>
        <v>0</v>
      </c>
      <c r="G1634">
        <f t="shared" si="94"/>
        <v>0</v>
      </c>
    </row>
    <row r="1635" spans="1:7" hidden="1" x14ac:dyDescent="0.25">
      <c r="A1635" s="85" t="s">
        <v>3941</v>
      </c>
      <c r="B1635" s="81" t="s">
        <v>4000</v>
      </c>
      <c r="C1635" s="26" t="s">
        <v>37</v>
      </c>
      <c r="D1635" s="14"/>
      <c r="E1635" s="15"/>
      <c r="F1635" s="16">
        <f t="shared" si="95"/>
        <v>0</v>
      </c>
      <c r="G1635">
        <f t="shared" si="94"/>
        <v>0</v>
      </c>
    </row>
    <row r="1636" spans="1:7" hidden="1" x14ac:dyDescent="0.25">
      <c r="A1636" s="85" t="s">
        <v>3942</v>
      </c>
      <c r="B1636" s="81" t="s">
        <v>4001</v>
      </c>
      <c r="C1636" s="26" t="s">
        <v>37</v>
      </c>
      <c r="D1636" s="14"/>
      <c r="E1636" s="15"/>
      <c r="F1636" s="16">
        <f t="shared" si="95"/>
        <v>0</v>
      </c>
      <c r="G1636">
        <f t="shared" ref="G1636:G1699" si="96">+IF(F1636&lt;&gt;0,1,0)</f>
        <v>0</v>
      </c>
    </row>
    <row r="1637" spans="1:7" hidden="1" x14ac:dyDescent="0.25">
      <c r="A1637" s="85" t="s">
        <v>3943</v>
      </c>
      <c r="B1637" s="81" t="s">
        <v>4002</v>
      </c>
      <c r="C1637" s="26" t="s">
        <v>37</v>
      </c>
      <c r="D1637" s="14"/>
      <c r="E1637" s="15"/>
      <c r="F1637" s="16">
        <f t="shared" si="95"/>
        <v>0</v>
      </c>
      <c r="G1637">
        <f t="shared" si="96"/>
        <v>0</v>
      </c>
    </row>
    <row r="1638" spans="1:7" hidden="1" x14ac:dyDescent="0.25">
      <c r="A1638" s="85" t="s">
        <v>3944</v>
      </c>
      <c r="B1638" s="81" t="s">
        <v>4003</v>
      </c>
      <c r="C1638" s="26" t="s">
        <v>37</v>
      </c>
      <c r="D1638" s="14"/>
      <c r="E1638" s="15"/>
      <c r="F1638" s="16">
        <f t="shared" si="95"/>
        <v>0</v>
      </c>
      <c r="G1638">
        <f t="shared" si="96"/>
        <v>0</v>
      </c>
    </row>
    <row r="1639" spans="1:7" hidden="1" x14ac:dyDescent="0.25">
      <c r="A1639" s="85" t="s">
        <v>3945</v>
      </c>
      <c r="B1639" s="81" t="s">
        <v>4004</v>
      </c>
      <c r="C1639" s="26" t="s">
        <v>37</v>
      </c>
      <c r="D1639" s="14"/>
      <c r="E1639" s="15"/>
      <c r="F1639" s="16">
        <f t="shared" si="95"/>
        <v>0</v>
      </c>
      <c r="G1639">
        <f t="shared" si="96"/>
        <v>0</v>
      </c>
    </row>
    <row r="1640" spans="1:7" hidden="1" x14ac:dyDescent="0.25">
      <c r="A1640" s="85" t="s">
        <v>3946</v>
      </c>
      <c r="B1640" s="81" t="s">
        <v>4005</v>
      </c>
      <c r="C1640" s="26" t="s">
        <v>37</v>
      </c>
      <c r="D1640" s="14"/>
      <c r="E1640" s="15"/>
      <c r="F1640" s="16">
        <f t="shared" si="95"/>
        <v>0</v>
      </c>
      <c r="G1640">
        <f t="shared" si="96"/>
        <v>0</v>
      </c>
    </row>
    <row r="1641" spans="1:7" hidden="1" x14ac:dyDescent="0.25">
      <c r="A1641" s="85" t="s">
        <v>3947</v>
      </c>
      <c r="B1641" s="81" t="s">
        <v>4006</v>
      </c>
      <c r="C1641" s="26" t="s">
        <v>37</v>
      </c>
      <c r="D1641" s="14"/>
      <c r="E1641" s="15"/>
      <c r="F1641" s="16">
        <f t="shared" si="95"/>
        <v>0</v>
      </c>
      <c r="G1641">
        <f t="shared" si="96"/>
        <v>0</v>
      </c>
    </row>
    <row r="1642" spans="1:7" hidden="1" x14ac:dyDescent="0.25">
      <c r="A1642" s="85" t="s">
        <v>3948</v>
      </c>
      <c r="B1642" s="81" t="s">
        <v>4007</v>
      </c>
      <c r="C1642" s="26" t="s">
        <v>37</v>
      </c>
      <c r="D1642" s="14"/>
      <c r="E1642" s="15"/>
      <c r="F1642" s="16">
        <f t="shared" si="95"/>
        <v>0</v>
      </c>
      <c r="G1642">
        <f t="shared" si="96"/>
        <v>0</v>
      </c>
    </row>
    <row r="1643" spans="1:7" hidden="1" x14ac:dyDescent="0.25">
      <c r="A1643" s="85" t="s">
        <v>3949</v>
      </c>
      <c r="B1643" s="81" t="s">
        <v>4008</v>
      </c>
      <c r="C1643" s="26" t="s">
        <v>37</v>
      </c>
      <c r="D1643" s="14"/>
      <c r="E1643" s="15"/>
      <c r="F1643" s="16">
        <f t="shared" si="95"/>
        <v>0</v>
      </c>
      <c r="G1643">
        <f t="shared" si="96"/>
        <v>0</v>
      </c>
    </row>
    <row r="1644" spans="1:7" hidden="1" x14ac:dyDescent="0.25">
      <c r="A1644" s="85" t="s">
        <v>3950</v>
      </c>
      <c r="B1644" s="81" t="s">
        <v>4009</v>
      </c>
      <c r="C1644" s="26" t="s">
        <v>37</v>
      </c>
      <c r="D1644" s="14"/>
      <c r="E1644" s="15"/>
      <c r="F1644" s="16">
        <f t="shared" si="95"/>
        <v>0</v>
      </c>
      <c r="G1644">
        <f t="shared" si="96"/>
        <v>0</v>
      </c>
    </row>
    <row r="1645" spans="1:7" hidden="1" x14ac:dyDescent="0.25">
      <c r="A1645" s="85" t="s">
        <v>3951</v>
      </c>
      <c r="B1645" s="81" t="s">
        <v>4010</v>
      </c>
      <c r="C1645" s="26" t="s">
        <v>37</v>
      </c>
      <c r="D1645" s="14"/>
      <c r="E1645" s="15"/>
      <c r="F1645" s="16">
        <f t="shared" si="95"/>
        <v>0</v>
      </c>
      <c r="G1645">
        <f t="shared" si="96"/>
        <v>0</v>
      </c>
    </row>
    <row r="1646" spans="1:7" hidden="1" x14ac:dyDescent="0.25">
      <c r="A1646" s="85" t="s">
        <v>3952</v>
      </c>
      <c r="B1646" s="81" t="s">
        <v>4011</v>
      </c>
      <c r="C1646" s="26" t="s">
        <v>37</v>
      </c>
      <c r="D1646" s="14"/>
      <c r="E1646" s="15"/>
      <c r="F1646" s="16">
        <f t="shared" si="95"/>
        <v>0</v>
      </c>
      <c r="G1646">
        <f t="shared" si="96"/>
        <v>0</v>
      </c>
    </row>
    <row r="1647" spans="1:7" hidden="1" x14ac:dyDescent="0.25">
      <c r="A1647" s="85" t="s">
        <v>3953</v>
      </c>
      <c r="B1647" s="81" t="s">
        <v>4012</v>
      </c>
      <c r="C1647" s="26" t="s">
        <v>37</v>
      </c>
      <c r="D1647" s="14"/>
      <c r="E1647" s="15"/>
      <c r="F1647" s="16">
        <f t="shared" si="95"/>
        <v>0</v>
      </c>
      <c r="G1647">
        <f t="shared" si="96"/>
        <v>0</v>
      </c>
    </row>
    <row r="1648" spans="1:7" hidden="1" x14ac:dyDescent="0.25">
      <c r="A1648" s="85" t="s">
        <v>3954</v>
      </c>
      <c r="B1648" s="81" t="s">
        <v>4013</v>
      </c>
      <c r="C1648" s="26" t="s">
        <v>37</v>
      </c>
      <c r="D1648" s="14"/>
      <c r="E1648" s="15"/>
      <c r="F1648" s="16">
        <f t="shared" si="95"/>
        <v>0</v>
      </c>
      <c r="G1648">
        <f t="shared" si="96"/>
        <v>0</v>
      </c>
    </row>
    <row r="1649" spans="1:7" hidden="1" x14ac:dyDescent="0.25">
      <c r="A1649" s="85" t="s">
        <v>3955</v>
      </c>
      <c r="B1649" s="81" t="s">
        <v>4014</v>
      </c>
      <c r="C1649" s="26" t="s">
        <v>37</v>
      </c>
      <c r="D1649" s="14"/>
      <c r="E1649" s="15"/>
      <c r="F1649" s="16">
        <f t="shared" si="95"/>
        <v>0</v>
      </c>
      <c r="G1649">
        <f t="shared" si="96"/>
        <v>0</v>
      </c>
    </row>
    <row r="1650" spans="1:7" hidden="1" x14ac:dyDescent="0.25">
      <c r="A1650" s="85" t="s">
        <v>3956</v>
      </c>
      <c r="B1650" s="81" t="s">
        <v>4015</v>
      </c>
      <c r="C1650" s="26" t="s">
        <v>37</v>
      </c>
      <c r="D1650" s="14"/>
      <c r="E1650" s="15"/>
      <c r="F1650" s="16">
        <f t="shared" si="95"/>
        <v>0</v>
      </c>
      <c r="G1650">
        <f t="shared" si="96"/>
        <v>0</v>
      </c>
    </row>
    <row r="1651" spans="1:7" hidden="1" x14ac:dyDescent="0.25">
      <c r="A1651" s="85" t="s">
        <v>3957</v>
      </c>
      <c r="B1651" s="81" t="s">
        <v>4016</v>
      </c>
      <c r="C1651" s="26" t="s">
        <v>37</v>
      </c>
      <c r="D1651" s="14"/>
      <c r="E1651" s="15"/>
      <c r="F1651" s="16">
        <f t="shared" si="95"/>
        <v>0</v>
      </c>
      <c r="G1651">
        <f t="shared" si="96"/>
        <v>0</v>
      </c>
    </row>
    <row r="1652" spans="1:7" hidden="1" x14ac:dyDescent="0.25">
      <c r="A1652" s="85" t="s">
        <v>3958</v>
      </c>
      <c r="B1652" s="81" t="s">
        <v>4017</v>
      </c>
      <c r="C1652" s="26" t="s">
        <v>37</v>
      </c>
      <c r="D1652" s="14"/>
      <c r="E1652" s="15"/>
      <c r="F1652" s="16">
        <f t="shared" si="95"/>
        <v>0</v>
      </c>
      <c r="G1652">
        <f t="shared" si="96"/>
        <v>0</v>
      </c>
    </row>
    <row r="1653" spans="1:7" hidden="1" x14ac:dyDescent="0.25">
      <c r="A1653" s="85" t="s">
        <v>3959</v>
      </c>
      <c r="B1653" s="81" t="s">
        <v>4018</v>
      </c>
      <c r="C1653" s="26" t="s">
        <v>37</v>
      </c>
      <c r="D1653" s="14"/>
      <c r="E1653" s="15"/>
      <c r="F1653" s="16">
        <f t="shared" si="95"/>
        <v>0</v>
      </c>
      <c r="G1653">
        <f t="shared" si="96"/>
        <v>0</v>
      </c>
    </row>
    <row r="1654" spans="1:7" hidden="1" x14ac:dyDescent="0.25">
      <c r="A1654" s="85" t="s">
        <v>3960</v>
      </c>
      <c r="B1654" s="81" t="s">
        <v>4019</v>
      </c>
      <c r="C1654" s="26" t="s">
        <v>37</v>
      </c>
      <c r="D1654" s="14"/>
      <c r="E1654" s="15"/>
      <c r="F1654" s="16">
        <f t="shared" si="95"/>
        <v>0</v>
      </c>
      <c r="G1654">
        <f t="shared" si="96"/>
        <v>0</v>
      </c>
    </row>
    <row r="1655" spans="1:7" hidden="1" x14ac:dyDescent="0.25">
      <c r="A1655" s="85" t="s">
        <v>3961</v>
      </c>
      <c r="B1655" s="81" t="s">
        <v>4020</v>
      </c>
      <c r="C1655" s="26" t="s">
        <v>37</v>
      </c>
      <c r="D1655" s="14"/>
      <c r="E1655" s="15"/>
      <c r="F1655" s="16">
        <f t="shared" si="95"/>
        <v>0</v>
      </c>
      <c r="G1655">
        <f t="shared" si="96"/>
        <v>0</v>
      </c>
    </row>
    <row r="1656" spans="1:7" hidden="1" x14ac:dyDescent="0.25">
      <c r="A1656" s="85" t="s">
        <v>3962</v>
      </c>
      <c r="B1656" s="81" t="s">
        <v>4021</v>
      </c>
      <c r="C1656" s="26" t="s">
        <v>37</v>
      </c>
      <c r="D1656" s="14"/>
      <c r="E1656" s="15"/>
      <c r="F1656" s="16">
        <f t="shared" si="95"/>
        <v>0</v>
      </c>
      <c r="G1656">
        <f t="shared" si="96"/>
        <v>0</v>
      </c>
    </row>
    <row r="1657" spans="1:7" hidden="1" x14ac:dyDescent="0.25">
      <c r="A1657" s="85" t="s">
        <v>3963</v>
      </c>
      <c r="B1657" s="81" t="s">
        <v>4022</v>
      </c>
      <c r="C1657" s="26" t="s">
        <v>37</v>
      </c>
      <c r="D1657" s="14"/>
      <c r="E1657" s="15"/>
      <c r="F1657" s="16">
        <f t="shared" si="95"/>
        <v>0</v>
      </c>
      <c r="G1657">
        <f t="shared" si="96"/>
        <v>0</v>
      </c>
    </row>
    <row r="1658" spans="1:7" hidden="1" x14ac:dyDescent="0.25">
      <c r="A1658" s="85" t="s">
        <v>3964</v>
      </c>
      <c r="B1658" s="81" t="s">
        <v>4023</v>
      </c>
      <c r="C1658" s="26" t="s">
        <v>37</v>
      </c>
      <c r="D1658" s="14"/>
      <c r="E1658" s="15"/>
      <c r="F1658" s="16">
        <f t="shared" si="95"/>
        <v>0</v>
      </c>
      <c r="G1658">
        <f t="shared" si="96"/>
        <v>0</v>
      </c>
    </row>
    <row r="1659" spans="1:7" hidden="1" x14ac:dyDescent="0.25">
      <c r="A1659" s="85" t="s">
        <v>3965</v>
      </c>
      <c r="B1659" s="81" t="s">
        <v>4024</v>
      </c>
      <c r="C1659" s="26" t="s">
        <v>37</v>
      </c>
      <c r="D1659" s="14"/>
      <c r="E1659" s="15"/>
      <c r="F1659" s="16">
        <f t="shared" si="95"/>
        <v>0</v>
      </c>
      <c r="G1659">
        <f t="shared" si="96"/>
        <v>0</v>
      </c>
    </row>
    <row r="1660" spans="1:7" hidden="1" x14ac:dyDescent="0.25">
      <c r="A1660" s="85" t="s">
        <v>3966</v>
      </c>
      <c r="B1660" s="81" t="s">
        <v>4025</v>
      </c>
      <c r="C1660" s="26" t="s">
        <v>37</v>
      </c>
      <c r="D1660" s="14"/>
      <c r="E1660" s="15"/>
      <c r="F1660" s="16">
        <f t="shared" si="95"/>
        <v>0</v>
      </c>
      <c r="G1660">
        <f t="shared" si="96"/>
        <v>0</v>
      </c>
    </row>
    <row r="1661" spans="1:7" hidden="1" x14ac:dyDescent="0.25">
      <c r="A1661" s="85" t="s">
        <v>3967</v>
      </c>
      <c r="B1661" s="81" t="s">
        <v>4026</v>
      </c>
      <c r="C1661" s="26" t="s">
        <v>37</v>
      </c>
      <c r="D1661" s="14"/>
      <c r="E1661" s="15"/>
      <c r="F1661" s="16">
        <f t="shared" si="95"/>
        <v>0</v>
      </c>
      <c r="G1661">
        <f t="shared" si="96"/>
        <v>0</v>
      </c>
    </row>
    <row r="1662" spans="1:7" hidden="1" x14ac:dyDescent="0.25">
      <c r="A1662" s="85" t="s">
        <v>3968</v>
      </c>
      <c r="B1662" s="81" t="s">
        <v>4027</v>
      </c>
      <c r="C1662" s="26" t="s">
        <v>37</v>
      </c>
      <c r="D1662" s="14"/>
      <c r="E1662" s="15"/>
      <c r="F1662" s="16">
        <f t="shared" si="95"/>
        <v>0</v>
      </c>
      <c r="G1662">
        <f t="shared" si="96"/>
        <v>0</v>
      </c>
    </row>
    <row r="1663" spans="1:7" hidden="1" x14ac:dyDescent="0.25">
      <c r="A1663" s="85" t="s">
        <v>3969</v>
      </c>
      <c r="B1663" s="81" t="s">
        <v>4028</v>
      </c>
      <c r="C1663" s="26" t="s">
        <v>37</v>
      </c>
      <c r="D1663" s="14"/>
      <c r="E1663" s="15"/>
      <c r="F1663" s="16">
        <f t="shared" si="95"/>
        <v>0</v>
      </c>
      <c r="G1663">
        <f t="shared" si="96"/>
        <v>0</v>
      </c>
    </row>
    <row r="1664" spans="1:7" hidden="1" x14ac:dyDescent="0.25">
      <c r="A1664" s="85" t="s">
        <v>3970</v>
      </c>
      <c r="B1664" s="81" t="s">
        <v>4029</v>
      </c>
      <c r="C1664" s="26" t="s">
        <v>37</v>
      </c>
      <c r="D1664" s="14"/>
      <c r="E1664" s="15"/>
      <c r="F1664" s="16">
        <f t="shared" si="95"/>
        <v>0</v>
      </c>
      <c r="G1664">
        <f t="shared" si="96"/>
        <v>0</v>
      </c>
    </row>
    <row r="1665" spans="1:7" hidden="1" x14ac:dyDescent="0.25">
      <c r="A1665" s="85" t="s">
        <v>3971</v>
      </c>
      <c r="B1665" s="81" t="s">
        <v>4030</v>
      </c>
      <c r="C1665" s="26" t="s">
        <v>37</v>
      </c>
      <c r="D1665" s="14"/>
      <c r="E1665" s="15"/>
      <c r="F1665" s="16">
        <f t="shared" si="95"/>
        <v>0</v>
      </c>
      <c r="G1665">
        <f t="shared" si="96"/>
        <v>0</v>
      </c>
    </row>
    <row r="1666" spans="1:7" hidden="1" x14ac:dyDescent="0.25">
      <c r="A1666" s="85" t="s">
        <v>3972</v>
      </c>
      <c r="B1666" s="81" t="s">
        <v>4031</v>
      </c>
      <c r="C1666" s="26" t="s">
        <v>37</v>
      </c>
      <c r="D1666" s="14"/>
      <c r="E1666" s="15"/>
      <c r="F1666" s="16">
        <f t="shared" si="95"/>
        <v>0</v>
      </c>
      <c r="G1666">
        <f t="shared" si="96"/>
        <v>0</v>
      </c>
    </row>
    <row r="1667" spans="1:7" hidden="1" x14ac:dyDescent="0.25">
      <c r="A1667" s="85" t="s">
        <v>3973</v>
      </c>
      <c r="B1667" s="81" t="s">
        <v>4032</v>
      </c>
      <c r="C1667" s="26" t="s">
        <v>37</v>
      </c>
      <c r="D1667" s="14"/>
      <c r="E1667" s="15"/>
      <c r="F1667" s="16">
        <f t="shared" si="95"/>
        <v>0</v>
      </c>
      <c r="G1667">
        <f t="shared" si="96"/>
        <v>0</v>
      </c>
    </row>
    <row r="1668" spans="1:7" hidden="1" x14ac:dyDescent="0.25">
      <c r="A1668" s="85" t="s">
        <v>3974</v>
      </c>
      <c r="B1668" s="81" t="s">
        <v>4033</v>
      </c>
      <c r="C1668" s="26" t="s">
        <v>37</v>
      </c>
      <c r="D1668" s="14"/>
      <c r="E1668" s="15"/>
      <c r="F1668" s="16">
        <f t="shared" si="95"/>
        <v>0</v>
      </c>
      <c r="G1668">
        <f t="shared" si="96"/>
        <v>0</v>
      </c>
    </row>
    <row r="1669" spans="1:7" hidden="1" x14ac:dyDescent="0.25">
      <c r="A1669" s="85" t="s">
        <v>3975</v>
      </c>
      <c r="B1669" s="81" t="s">
        <v>4034</v>
      </c>
      <c r="C1669" s="26" t="s">
        <v>37</v>
      </c>
      <c r="D1669" s="14"/>
      <c r="E1669" s="15"/>
      <c r="F1669" s="16">
        <f t="shared" si="95"/>
        <v>0</v>
      </c>
      <c r="G1669">
        <f t="shared" si="96"/>
        <v>0</v>
      </c>
    </row>
    <row r="1670" spans="1:7" hidden="1" x14ac:dyDescent="0.25">
      <c r="A1670" s="85" t="s">
        <v>3976</v>
      </c>
      <c r="B1670" s="81" t="s">
        <v>4035</v>
      </c>
      <c r="C1670" s="26" t="s">
        <v>37</v>
      </c>
      <c r="D1670" s="14"/>
      <c r="E1670" s="15"/>
      <c r="F1670" s="16">
        <f t="shared" si="95"/>
        <v>0</v>
      </c>
      <c r="G1670">
        <f t="shared" si="96"/>
        <v>0</v>
      </c>
    </row>
    <row r="1671" spans="1:7" hidden="1" x14ac:dyDescent="0.25">
      <c r="A1671" s="85" t="s">
        <v>3977</v>
      </c>
      <c r="B1671" s="81" t="s">
        <v>4036</v>
      </c>
      <c r="C1671" s="26" t="s">
        <v>37</v>
      </c>
      <c r="D1671" s="14"/>
      <c r="E1671" s="15"/>
      <c r="F1671" s="16">
        <f t="shared" si="95"/>
        <v>0</v>
      </c>
      <c r="G1671">
        <f t="shared" si="96"/>
        <v>0</v>
      </c>
    </row>
    <row r="1672" spans="1:7" hidden="1" x14ac:dyDescent="0.25">
      <c r="A1672" s="85" t="s">
        <v>3978</v>
      </c>
      <c r="B1672" s="81" t="s">
        <v>4037</v>
      </c>
      <c r="C1672" s="26" t="s">
        <v>37</v>
      </c>
      <c r="D1672" s="14"/>
      <c r="E1672" s="15"/>
      <c r="F1672" s="16">
        <f t="shared" si="95"/>
        <v>0</v>
      </c>
      <c r="G1672">
        <f t="shared" si="96"/>
        <v>0</v>
      </c>
    </row>
    <row r="1673" spans="1:7" hidden="1" x14ac:dyDescent="0.25">
      <c r="A1673" s="85" t="s">
        <v>3979</v>
      </c>
      <c r="B1673" s="81" t="s">
        <v>4038</v>
      </c>
      <c r="C1673" s="26" t="s">
        <v>37</v>
      </c>
      <c r="D1673" s="14"/>
      <c r="E1673" s="15"/>
      <c r="F1673" s="16">
        <f t="shared" si="95"/>
        <v>0</v>
      </c>
      <c r="G1673">
        <f t="shared" si="96"/>
        <v>0</v>
      </c>
    </row>
    <row r="1674" spans="1:7" hidden="1" x14ac:dyDescent="0.25">
      <c r="A1674" s="78" t="s">
        <v>994</v>
      </c>
      <c r="B1674" s="79" t="s">
        <v>4039</v>
      </c>
      <c r="C1674" s="26"/>
      <c r="D1674" s="14"/>
      <c r="E1674" s="15"/>
      <c r="F1674" s="16"/>
      <c r="G1674">
        <f t="shared" si="96"/>
        <v>0</v>
      </c>
    </row>
    <row r="1675" spans="1:7" hidden="1" x14ac:dyDescent="0.25">
      <c r="A1675" s="78" t="s">
        <v>545</v>
      </c>
      <c r="B1675" s="79" t="s">
        <v>4100</v>
      </c>
      <c r="C1675" s="26"/>
      <c r="D1675" s="14"/>
      <c r="E1675" s="15"/>
      <c r="F1675" s="16"/>
      <c r="G1675">
        <f t="shared" si="96"/>
        <v>0</v>
      </c>
    </row>
    <row r="1676" spans="1:7" hidden="1" x14ac:dyDescent="0.25">
      <c r="A1676" s="85" t="s">
        <v>4099</v>
      </c>
      <c r="B1676" s="81" t="s">
        <v>4040</v>
      </c>
      <c r="C1676" s="26" t="s">
        <v>37</v>
      </c>
      <c r="D1676" s="14"/>
      <c r="E1676" s="15"/>
      <c r="F1676" s="16">
        <f t="shared" ref="F1676:F1739" si="97">+D1676*E1676</f>
        <v>0</v>
      </c>
      <c r="G1676">
        <f t="shared" si="96"/>
        <v>0</v>
      </c>
    </row>
    <row r="1677" spans="1:7" hidden="1" x14ac:dyDescent="0.25">
      <c r="A1677" s="85" t="s">
        <v>4101</v>
      </c>
      <c r="B1677" s="81" t="s">
        <v>4041</v>
      </c>
      <c r="C1677" s="26" t="s">
        <v>37</v>
      </c>
      <c r="D1677" s="14"/>
      <c r="E1677" s="15"/>
      <c r="F1677" s="16">
        <f t="shared" si="97"/>
        <v>0</v>
      </c>
      <c r="G1677">
        <f t="shared" si="96"/>
        <v>0</v>
      </c>
    </row>
    <row r="1678" spans="1:7" hidden="1" x14ac:dyDescent="0.25">
      <c r="A1678" s="85" t="s">
        <v>4102</v>
      </c>
      <c r="B1678" s="81" t="s">
        <v>4042</v>
      </c>
      <c r="C1678" s="26" t="s">
        <v>37</v>
      </c>
      <c r="D1678" s="14"/>
      <c r="E1678" s="15"/>
      <c r="F1678" s="16">
        <f t="shared" si="97"/>
        <v>0</v>
      </c>
      <c r="G1678">
        <f t="shared" si="96"/>
        <v>0</v>
      </c>
    </row>
    <row r="1679" spans="1:7" hidden="1" x14ac:dyDescent="0.25">
      <c r="A1679" s="85" t="s">
        <v>4103</v>
      </c>
      <c r="B1679" s="81" t="s">
        <v>4043</v>
      </c>
      <c r="C1679" s="26" t="s">
        <v>37</v>
      </c>
      <c r="D1679" s="14"/>
      <c r="E1679" s="15"/>
      <c r="F1679" s="16">
        <f t="shared" si="97"/>
        <v>0</v>
      </c>
      <c r="G1679">
        <f t="shared" si="96"/>
        <v>0</v>
      </c>
    </row>
    <row r="1680" spans="1:7" hidden="1" x14ac:dyDescent="0.25">
      <c r="A1680" s="85" t="s">
        <v>4104</v>
      </c>
      <c r="B1680" s="81" t="s">
        <v>4044</v>
      </c>
      <c r="C1680" s="26" t="s">
        <v>37</v>
      </c>
      <c r="D1680" s="14"/>
      <c r="E1680" s="15"/>
      <c r="F1680" s="16">
        <f t="shared" si="97"/>
        <v>0</v>
      </c>
      <c r="G1680">
        <f t="shared" si="96"/>
        <v>0</v>
      </c>
    </row>
    <row r="1681" spans="1:7" hidden="1" x14ac:dyDescent="0.25">
      <c r="A1681" s="85" t="s">
        <v>4105</v>
      </c>
      <c r="B1681" s="81" t="s">
        <v>4076</v>
      </c>
      <c r="C1681" s="26" t="s">
        <v>37</v>
      </c>
      <c r="D1681" s="14"/>
      <c r="E1681" s="15"/>
      <c r="F1681" s="16">
        <f t="shared" si="97"/>
        <v>0</v>
      </c>
      <c r="G1681">
        <f t="shared" si="96"/>
        <v>0</v>
      </c>
    </row>
    <row r="1682" spans="1:7" hidden="1" x14ac:dyDescent="0.25">
      <c r="A1682" s="85" t="s">
        <v>4106</v>
      </c>
      <c r="B1682" s="81" t="s">
        <v>4077</v>
      </c>
      <c r="C1682" s="26" t="s">
        <v>37</v>
      </c>
      <c r="D1682" s="14"/>
      <c r="E1682" s="15"/>
      <c r="F1682" s="16">
        <f t="shared" si="97"/>
        <v>0</v>
      </c>
      <c r="G1682">
        <f t="shared" si="96"/>
        <v>0</v>
      </c>
    </row>
    <row r="1683" spans="1:7" hidden="1" x14ac:dyDescent="0.25">
      <c r="A1683" s="85" t="s">
        <v>4107</v>
      </c>
      <c r="B1683" s="81" t="s">
        <v>4078</v>
      </c>
      <c r="C1683" s="26" t="s">
        <v>37</v>
      </c>
      <c r="D1683" s="14"/>
      <c r="E1683" s="15"/>
      <c r="F1683" s="16">
        <f t="shared" si="97"/>
        <v>0</v>
      </c>
      <c r="G1683">
        <f t="shared" si="96"/>
        <v>0</v>
      </c>
    </row>
    <row r="1684" spans="1:7" hidden="1" x14ac:dyDescent="0.25">
      <c r="A1684" s="85" t="s">
        <v>4108</v>
      </c>
      <c r="B1684" s="81" t="s">
        <v>4079</v>
      </c>
      <c r="C1684" s="26" t="s">
        <v>37</v>
      </c>
      <c r="D1684" s="14"/>
      <c r="E1684" s="15"/>
      <c r="F1684" s="16">
        <f t="shared" si="97"/>
        <v>0</v>
      </c>
      <c r="G1684">
        <f t="shared" si="96"/>
        <v>0</v>
      </c>
    </row>
    <row r="1685" spans="1:7" hidden="1" x14ac:dyDescent="0.25">
      <c r="A1685" s="85" t="s">
        <v>4109</v>
      </c>
      <c r="B1685" s="81" t="s">
        <v>4080</v>
      </c>
      <c r="C1685" s="26" t="s">
        <v>37</v>
      </c>
      <c r="D1685" s="14"/>
      <c r="E1685" s="15"/>
      <c r="F1685" s="16">
        <f t="shared" si="97"/>
        <v>0</v>
      </c>
      <c r="G1685">
        <f t="shared" si="96"/>
        <v>0</v>
      </c>
    </row>
    <row r="1686" spans="1:7" hidden="1" x14ac:dyDescent="0.25">
      <c r="A1686" s="85" t="s">
        <v>4110</v>
      </c>
      <c r="B1686" s="81" t="s">
        <v>4081</v>
      </c>
      <c r="C1686" s="26" t="s">
        <v>37</v>
      </c>
      <c r="D1686" s="14"/>
      <c r="E1686" s="15"/>
      <c r="F1686" s="16">
        <f t="shared" si="97"/>
        <v>0</v>
      </c>
      <c r="G1686">
        <f t="shared" si="96"/>
        <v>0</v>
      </c>
    </row>
    <row r="1687" spans="1:7" hidden="1" x14ac:dyDescent="0.25">
      <c r="A1687" s="85" t="s">
        <v>4111</v>
      </c>
      <c r="B1687" s="81" t="s">
        <v>4082</v>
      </c>
      <c r="C1687" s="26" t="s">
        <v>37</v>
      </c>
      <c r="D1687" s="14"/>
      <c r="E1687" s="15"/>
      <c r="F1687" s="16">
        <f t="shared" si="97"/>
        <v>0</v>
      </c>
      <c r="G1687">
        <f t="shared" si="96"/>
        <v>0</v>
      </c>
    </row>
    <row r="1688" spans="1:7" hidden="1" x14ac:dyDescent="0.25">
      <c r="A1688" s="85" t="s">
        <v>4112</v>
      </c>
      <c r="B1688" s="81" t="s">
        <v>4083</v>
      </c>
      <c r="C1688" s="26" t="s">
        <v>37</v>
      </c>
      <c r="D1688" s="14"/>
      <c r="E1688" s="15"/>
      <c r="F1688" s="16">
        <f t="shared" si="97"/>
        <v>0</v>
      </c>
      <c r="G1688">
        <f t="shared" si="96"/>
        <v>0</v>
      </c>
    </row>
    <row r="1689" spans="1:7" hidden="1" x14ac:dyDescent="0.25">
      <c r="A1689" s="85" t="s">
        <v>4113</v>
      </c>
      <c r="B1689" s="81" t="s">
        <v>4084</v>
      </c>
      <c r="C1689" s="26" t="s">
        <v>37</v>
      </c>
      <c r="D1689" s="14"/>
      <c r="E1689" s="15"/>
      <c r="F1689" s="16">
        <f t="shared" si="97"/>
        <v>0</v>
      </c>
      <c r="G1689">
        <f t="shared" si="96"/>
        <v>0</v>
      </c>
    </row>
    <row r="1690" spans="1:7" hidden="1" x14ac:dyDescent="0.25">
      <c r="A1690" s="85" t="s">
        <v>4114</v>
      </c>
      <c r="B1690" s="81" t="s">
        <v>4085</v>
      </c>
      <c r="C1690" s="26" t="s">
        <v>37</v>
      </c>
      <c r="D1690" s="14"/>
      <c r="E1690" s="15"/>
      <c r="F1690" s="16">
        <f t="shared" si="97"/>
        <v>0</v>
      </c>
      <c r="G1690">
        <f t="shared" si="96"/>
        <v>0</v>
      </c>
    </row>
    <row r="1691" spans="1:7" hidden="1" x14ac:dyDescent="0.25">
      <c r="A1691" s="85" t="s">
        <v>4115</v>
      </c>
      <c r="B1691" s="81" t="s">
        <v>4086</v>
      </c>
      <c r="C1691" s="26" t="s">
        <v>37</v>
      </c>
      <c r="D1691" s="14"/>
      <c r="E1691" s="15"/>
      <c r="F1691" s="16">
        <f t="shared" si="97"/>
        <v>0</v>
      </c>
      <c r="G1691">
        <f t="shared" si="96"/>
        <v>0</v>
      </c>
    </row>
    <row r="1692" spans="1:7" hidden="1" x14ac:dyDescent="0.25">
      <c r="A1692" s="85" t="s">
        <v>4116</v>
      </c>
      <c r="B1692" s="81" t="s">
        <v>4087</v>
      </c>
      <c r="C1692" s="26" t="s">
        <v>37</v>
      </c>
      <c r="D1692" s="14"/>
      <c r="E1692" s="15"/>
      <c r="F1692" s="16">
        <f t="shared" si="97"/>
        <v>0</v>
      </c>
      <c r="G1692">
        <f t="shared" si="96"/>
        <v>0</v>
      </c>
    </row>
    <row r="1693" spans="1:7" hidden="1" x14ac:dyDescent="0.25">
      <c r="A1693" s="85" t="s">
        <v>4117</v>
      </c>
      <c r="B1693" s="81" t="s">
        <v>4088</v>
      </c>
      <c r="C1693" s="26" t="s">
        <v>37</v>
      </c>
      <c r="D1693" s="14"/>
      <c r="E1693" s="15"/>
      <c r="F1693" s="16">
        <f t="shared" si="97"/>
        <v>0</v>
      </c>
      <c r="G1693">
        <f t="shared" si="96"/>
        <v>0</v>
      </c>
    </row>
    <row r="1694" spans="1:7" hidden="1" x14ac:dyDescent="0.25">
      <c r="A1694" s="85" t="s">
        <v>4118</v>
      </c>
      <c r="B1694" s="81" t="s">
        <v>4089</v>
      </c>
      <c r="C1694" s="26" t="s">
        <v>37</v>
      </c>
      <c r="D1694" s="14"/>
      <c r="E1694" s="15"/>
      <c r="F1694" s="16">
        <f t="shared" si="97"/>
        <v>0</v>
      </c>
      <c r="G1694">
        <f t="shared" si="96"/>
        <v>0</v>
      </c>
    </row>
    <row r="1695" spans="1:7" hidden="1" x14ac:dyDescent="0.25">
      <c r="A1695" s="85" t="s">
        <v>4119</v>
      </c>
      <c r="B1695" s="81" t="s">
        <v>4090</v>
      </c>
      <c r="C1695" s="26" t="s">
        <v>37</v>
      </c>
      <c r="D1695" s="14"/>
      <c r="E1695" s="15"/>
      <c r="F1695" s="16">
        <f t="shared" si="97"/>
        <v>0</v>
      </c>
      <c r="G1695">
        <f t="shared" si="96"/>
        <v>0</v>
      </c>
    </row>
    <row r="1696" spans="1:7" hidden="1" x14ac:dyDescent="0.25">
      <c r="A1696" s="85" t="s">
        <v>4120</v>
      </c>
      <c r="B1696" s="81" t="s">
        <v>4091</v>
      </c>
      <c r="C1696" s="26" t="s">
        <v>37</v>
      </c>
      <c r="D1696" s="14"/>
      <c r="E1696" s="15"/>
      <c r="F1696" s="16">
        <f t="shared" si="97"/>
        <v>0</v>
      </c>
      <c r="G1696">
        <f t="shared" si="96"/>
        <v>0</v>
      </c>
    </row>
    <row r="1697" spans="1:7" hidden="1" x14ac:dyDescent="0.25">
      <c r="A1697" s="85" t="s">
        <v>4121</v>
      </c>
      <c r="B1697" s="81" t="s">
        <v>4092</v>
      </c>
      <c r="C1697" s="26" t="s">
        <v>37</v>
      </c>
      <c r="D1697" s="14"/>
      <c r="E1697" s="15"/>
      <c r="F1697" s="16">
        <f t="shared" si="97"/>
        <v>0</v>
      </c>
      <c r="G1697">
        <f t="shared" si="96"/>
        <v>0</v>
      </c>
    </row>
    <row r="1698" spans="1:7" hidden="1" x14ac:dyDescent="0.25">
      <c r="A1698" s="85" t="s">
        <v>4122</v>
      </c>
      <c r="B1698" s="81" t="s">
        <v>4093</v>
      </c>
      <c r="C1698" s="26" t="s">
        <v>37</v>
      </c>
      <c r="D1698" s="14"/>
      <c r="E1698" s="15"/>
      <c r="F1698" s="16">
        <f t="shared" si="97"/>
        <v>0</v>
      </c>
      <c r="G1698">
        <f t="shared" si="96"/>
        <v>0</v>
      </c>
    </row>
    <row r="1699" spans="1:7" hidden="1" x14ac:dyDescent="0.25">
      <c r="A1699" s="85" t="s">
        <v>4123</v>
      </c>
      <c r="B1699" s="81" t="s">
        <v>4094</v>
      </c>
      <c r="C1699" s="26" t="s">
        <v>37</v>
      </c>
      <c r="D1699" s="14"/>
      <c r="E1699" s="15"/>
      <c r="F1699" s="16">
        <f t="shared" si="97"/>
        <v>0</v>
      </c>
      <c r="G1699">
        <f t="shared" si="96"/>
        <v>0</v>
      </c>
    </row>
    <row r="1700" spans="1:7" hidden="1" x14ac:dyDescent="0.25">
      <c r="A1700" s="85" t="s">
        <v>4124</v>
      </c>
      <c r="B1700" s="81" t="s">
        <v>4095</v>
      </c>
      <c r="C1700" s="26" t="s">
        <v>37</v>
      </c>
      <c r="D1700" s="14"/>
      <c r="E1700" s="15"/>
      <c r="F1700" s="16">
        <f t="shared" si="97"/>
        <v>0</v>
      </c>
      <c r="G1700">
        <f t="shared" ref="G1700:G1763" si="98">+IF(F1700&lt;&gt;0,1,0)</f>
        <v>0</v>
      </c>
    </row>
    <row r="1701" spans="1:7" hidden="1" x14ac:dyDescent="0.25">
      <c r="A1701" s="85" t="s">
        <v>4125</v>
      </c>
      <c r="B1701" s="81" t="s">
        <v>4096</v>
      </c>
      <c r="C1701" s="26" t="s">
        <v>37</v>
      </c>
      <c r="D1701" s="14"/>
      <c r="E1701" s="15"/>
      <c r="F1701" s="16">
        <f t="shared" si="97"/>
        <v>0</v>
      </c>
      <c r="G1701">
        <f t="shared" si="98"/>
        <v>0</v>
      </c>
    </row>
    <row r="1702" spans="1:7" hidden="1" x14ac:dyDescent="0.25">
      <c r="A1702" s="85" t="s">
        <v>4126</v>
      </c>
      <c r="B1702" s="81" t="s">
        <v>4097</v>
      </c>
      <c r="C1702" s="26" t="s">
        <v>37</v>
      </c>
      <c r="D1702" s="14"/>
      <c r="E1702" s="15"/>
      <c r="F1702" s="16">
        <f t="shared" si="97"/>
        <v>0</v>
      </c>
      <c r="G1702">
        <f t="shared" si="98"/>
        <v>0</v>
      </c>
    </row>
    <row r="1703" spans="1:7" hidden="1" x14ac:dyDescent="0.25">
      <c r="A1703" s="85" t="s">
        <v>4127</v>
      </c>
      <c r="B1703" s="81" t="s">
        <v>4098</v>
      </c>
      <c r="C1703" s="26" t="s">
        <v>37</v>
      </c>
      <c r="D1703" s="14"/>
      <c r="E1703" s="15"/>
      <c r="F1703" s="16">
        <f t="shared" si="97"/>
        <v>0</v>
      </c>
      <c r="G1703">
        <f t="shared" si="98"/>
        <v>0</v>
      </c>
    </row>
    <row r="1704" spans="1:7" hidden="1" x14ac:dyDescent="0.25">
      <c r="A1704" s="85" t="s">
        <v>4128</v>
      </c>
      <c r="B1704" s="81" t="s">
        <v>4071</v>
      </c>
      <c r="C1704" s="26" t="s">
        <v>37</v>
      </c>
      <c r="D1704" s="14"/>
      <c r="E1704" s="15"/>
      <c r="F1704" s="16">
        <f t="shared" si="97"/>
        <v>0</v>
      </c>
      <c r="G1704">
        <f t="shared" si="98"/>
        <v>0</v>
      </c>
    </row>
    <row r="1705" spans="1:7" hidden="1" x14ac:dyDescent="0.25">
      <c r="A1705" s="85" t="s">
        <v>4129</v>
      </c>
      <c r="B1705" s="81" t="s">
        <v>4072</v>
      </c>
      <c r="C1705" s="26" t="s">
        <v>37</v>
      </c>
      <c r="D1705" s="14"/>
      <c r="E1705" s="15"/>
      <c r="F1705" s="16">
        <f t="shared" si="97"/>
        <v>0</v>
      </c>
      <c r="G1705">
        <f t="shared" si="98"/>
        <v>0</v>
      </c>
    </row>
    <row r="1706" spans="1:7" hidden="1" x14ac:dyDescent="0.25">
      <c r="A1706" s="85" t="s">
        <v>4130</v>
      </c>
      <c r="B1706" s="81" t="s">
        <v>4073</v>
      </c>
      <c r="C1706" s="26" t="s">
        <v>37</v>
      </c>
      <c r="D1706" s="14"/>
      <c r="E1706" s="15"/>
      <c r="F1706" s="16">
        <f t="shared" si="97"/>
        <v>0</v>
      </c>
      <c r="G1706">
        <f t="shared" si="98"/>
        <v>0</v>
      </c>
    </row>
    <row r="1707" spans="1:7" hidden="1" x14ac:dyDescent="0.25">
      <c r="A1707" s="85" t="s">
        <v>4131</v>
      </c>
      <c r="B1707" s="81" t="s">
        <v>4074</v>
      </c>
      <c r="C1707" s="26" t="s">
        <v>37</v>
      </c>
      <c r="D1707" s="14"/>
      <c r="E1707" s="15"/>
      <c r="F1707" s="16">
        <f t="shared" si="97"/>
        <v>0</v>
      </c>
      <c r="G1707">
        <f t="shared" si="98"/>
        <v>0</v>
      </c>
    </row>
    <row r="1708" spans="1:7" hidden="1" x14ac:dyDescent="0.25">
      <c r="A1708" s="85" t="s">
        <v>4132</v>
      </c>
      <c r="B1708" s="81" t="s">
        <v>4075</v>
      </c>
      <c r="C1708" s="26" t="s">
        <v>37</v>
      </c>
      <c r="D1708" s="14"/>
      <c r="E1708" s="15"/>
      <c r="F1708" s="16">
        <f t="shared" si="97"/>
        <v>0</v>
      </c>
      <c r="G1708">
        <f t="shared" si="98"/>
        <v>0</v>
      </c>
    </row>
    <row r="1709" spans="1:7" hidden="1" x14ac:dyDescent="0.25">
      <c r="A1709" s="85" t="s">
        <v>4133</v>
      </c>
      <c r="B1709" s="81" t="s">
        <v>4047</v>
      </c>
      <c r="C1709" s="26" t="s">
        <v>37</v>
      </c>
      <c r="D1709" s="14"/>
      <c r="E1709" s="15"/>
      <c r="F1709" s="16">
        <f t="shared" si="97"/>
        <v>0</v>
      </c>
      <c r="G1709">
        <f t="shared" si="98"/>
        <v>0</v>
      </c>
    </row>
    <row r="1710" spans="1:7" hidden="1" x14ac:dyDescent="0.25">
      <c r="A1710" s="85" t="s">
        <v>4134</v>
      </c>
      <c r="B1710" s="81" t="s">
        <v>4048</v>
      </c>
      <c r="C1710" s="26" t="s">
        <v>37</v>
      </c>
      <c r="D1710" s="14"/>
      <c r="E1710" s="15"/>
      <c r="F1710" s="16">
        <f t="shared" si="97"/>
        <v>0</v>
      </c>
      <c r="G1710">
        <f t="shared" si="98"/>
        <v>0</v>
      </c>
    </row>
    <row r="1711" spans="1:7" hidden="1" x14ac:dyDescent="0.25">
      <c r="A1711" s="85" t="s">
        <v>4135</v>
      </c>
      <c r="B1711" s="81" t="s">
        <v>4049</v>
      </c>
      <c r="C1711" s="26" t="s">
        <v>37</v>
      </c>
      <c r="D1711" s="14"/>
      <c r="E1711" s="15"/>
      <c r="F1711" s="16">
        <f t="shared" si="97"/>
        <v>0</v>
      </c>
      <c r="G1711">
        <f t="shared" si="98"/>
        <v>0</v>
      </c>
    </row>
    <row r="1712" spans="1:7" hidden="1" x14ac:dyDescent="0.25">
      <c r="A1712" s="85" t="s">
        <v>4136</v>
      </c>
      <c r="B1712" s="81" t="s">
        <v>4050</v>
      </c>
      <c r="C1712" s="26" t="s">
        <v>37</v>
      </c>
      <c r="D1712" s="14"/>
      <c r="E1712" s="15"/>
      <c r="F1712" s="16">
        <f t="shared" si="97"/>
        <v>0</v>
      </c>
      <c r="G1712">
        <f t="shared" si="98"/>
        <v>0</v>
      </c>
    </row>
    <row r="1713" spans="1:7" hidden="1" x14ac:dyDescent="0.25">
      <c r="A1713" s="85" t="s">
        <v>4137</v>
      </c>
      <c r="B1713" s="81" t="s">
        <v>4064</v>
      </c>
      <c r="C1713" s="26" t="s">
        <v>37</v>
      </c>
      <c r="D1713" s="14"/>
      <c r="E1713" s="15"/>
      <c r="F1713" s="16">
        <f t="shared" si="97"/>
        <v>0</v>
      </c>
      <c r="G1713">
        <f t="shared" si="98"/>
        <v>0</v>
      </c>
    </row>
    <row r="1714" spans="1:7" hidden="1" x14ac:dyDescent="0.25">
      <c r="A1714" s="85" t="s">
        <v>4138</v>
      </c>
      <c r="B1714" s="81" t="s">
        <v>4065</v>
      </c>
      <c r="C1714" s="26" t="s">
        <v>37</v>
      </c>
      <c r="D1714" s="14"/>
      <c r="E1714" s="15"/>
      <c r="F1714" s="16">
        <f t="shared" si="97"/>
        <v>0</v>
      </c>
      <c r="G1714">
        <f t="shared" si="98"/>
        <v>0</v>
      </c>
    </row>
    <row r="1715" spans="1:7" hidden="1" x14ac:dyDescent="0.25">
      <c r="A1715" s="85" t="s">
        <v>4139</v>
      </c>
      <c r="B1715" s="81" t="s">
        <v>4066</v>
      </c>
      <c r="C1715" s="26" t="s">
        <v>37</v>
      </c>
      <c r="D1715" s="14"/>
      <c r="E1715" s="15"/>
      <c r="F1715" s="16">
        <f t="shared" si="97"/>
        <v>0</v>
      </c>
      <c r="G1715">
        <f t="shared" si="98"/>
        <v>0</v>
      </c>
    </row>
    <row r="1716" spans="1:7" hidden="1" x14ac:dyDescent="0.25">
      <c r="A1716" s="85" t="s">
        <v>4140</v>
      </c>
      <c r="B1716" s="81" t="s">
        <v>4067</v>
      </c>
      <c r="C1716" s="26" t="s">
        <v>37</v>
      </c>
      <c r="D1716" s="14"/>
      <c r="E1716" s="15"/>
      <c r="F1716" s="16">
        <f t="shared" si="97"/>
        <v>0</v>
      </c>
      <c r="G1716">
        <f t="shared" si="98"/>
        <v>0</v>
      </c>
    </row>
    <row r="1717" spans="1:7" hidden="1" x14ac:dyDescent="0.25">
      <c r="A1717" s="85" t="s">
        <v>4141</v>
      </c>
      <c r="B1717" s="81" t="s">
        <v>4068</v>
      </c>
      <c r="C1717" s="26" t="s">
        <v>37</v>
      </c>
      <c r="D1717" s="14"/>
      <c r="E1717" s="15"/>
      <c r="F1717" s="16">
        <f t="shared" si="97"/>
        <v>0</v>
      </c>
      <c r="G1717">
        <f t="shared" si="98"/>
        <v>0</v>
      </c>
    </row>
    <row r="1718" spans="1:7" hidden="1" x14ac:dyDescent="0.25">
      <c r="A1718" s="85" t="s">
        <v>4142</v>
      </c>
      <c r="B1718" s="81" t="s">
        <v>4069</v>
      </c>
      <c r="C1718" s="26" t="s">
        <v>37</v>
      </c>
      <c r="D1718" s="14"/>
      <c r="E1718" s="15"/>
      <c r="F1718" s="16">
        <f t="shared" si="97"/>
        <v>0</v>
      </c>
      <c r="G1718">
        <f t="shared" si="98"/>
        <v>0</v>
      </c>
    </row>
    <row r="1719" spans="1:7" hidden="1" x14ac:dyDescent="0.25">
      <c r="A1719" s="85" t="s">
        <v>4143</v>
      </c>
      <c r="B1719" s="81" t="s">
        <v>4070</v>
      </c>
      <c r="C1719" s="26" t="s">
        <v>37</v>
      </c>
      <c r="D1719" s="14"/>
      <c r="E1719" s="15"/>
      <c r="F1719" s="16">
        <f t="shared" si="97"/>
        <v>0</v>
      </c>
      <c r="G1719">
        <f t="shared" si="98"/>
        <v>0</v>
      </c>
    </row>
    <row r="1720" spans="1:7" hidden="1" x14ac:dyDescent="0.25">
      <c r="A1720" s="85" t="s">
        <v>4144</v>
      </c>
      <c r="B1720" s="81" t="s">
        <v>4051</v>
      </c>
      <c r="C1720" s="26" t="s">
        <v>37</v>
      </c>
      <c r="D1720" s="14"/>
      <c r="E1720" s="15"/>
      <c r="F1720" s="16">
        <f t="shared" si="97"/>
        <v>0</v>
      </c>
      <c r="G1720">
        <f t="shared" si="98"/>
        <v>0</v>
      </c>
    </row>
    <row r="1721" spans="1:7" hidden="1" x14ac:dyDescent="0.25">
      <c r="A1721" s="85" t="s">
        <v>4145</v>
      </c>
      <c r="B1721" s="81" t="s">
        <v>4052</v>
      </c>
      <c r="C1721" s="26" t="s">
        <v>37</v>
      </c>
      <c r="D1721" s="14"/>
      <c r="E1721" s="15"/>
      <c r="F1721" s="16">
        <f t="shared" si="97"/>
        <v>0</v>
      </c>
      <c r="G1721">
        <f t="shared" si="98"/>
        <v>0</v>
      </c>
    </row>
    <row r="1722" spans="1:7" hidden="1" x14ac:dyDescent="0.25">
      <c r="A1722" s="85" t="s">
        <v>4146</v>
      </c>
      <c r="B1722" s="81" t="s">
        <v>4053</v>
      </c>
      <c r="C1722" s="26" t="s">
        <v>37</v>
      </c>
      <c r="D1722" s="14"/>
      <c r="E1722" s="15"/>
      <c r="F1722" s="16">
        <f t="shared" si="97"/>
        <v>0</v>
      </c>
      <c r="G1722">
        <f t="shared" si="98"/>
        <v>0</v>
      </c>
    </row>
    <row r="1723" spans="1:7" hidden="1" x14ac:dyDescent="0.25">
      <c r="A1723" s="85" t="s">
        <v>4147</v>
      </c>
      <c r="B1723" s="81" t="s">
        <v>4054</v>
      </c>
      <c r="C1723" s="26" t="s">
        <v>37</v>
      </c>
      <c r="D1723" s="14"/>
      <c r="E1723" s="15"/>
      <c r="F1723" s="16">
        <f t="shared" si="97"/>
        <v>0</v>
      </c>
      <c r="G1723">
        <f t="shared" si="98"/>
        <v>0</v>
      </c>
    </row>
    <row r="1724" spans="1:7" hidden="1" x14ac:dyDescent="0.25">
      <c r="A1724" s="85" t="s">
        <v>4148</v>
      </c>
      <c r="B1724" s="81" t="s">
        <v>4055</v>
      </c>
      <c r="C1724" s="26" t="s">
        <v>37</v>
      </c>
      <c r="D1724" s="14"/>
      <c r="E1724" s="15"/>
      <c r="F1724" s="16">
        <f t="shared" si="97"/>
        <v>0</v>
      </c>
      <c r="G1724">
        <f t="shared" si="98"/>
        <v>0</v>
      </c>
    </row>
    <row r="1725" spans="1:7" hidden="1" x14ac:dyDescent="0.25">
      <c r="A1725" s="85" t="s">
        <v>4149</v>
      </c>
      <c r="B1725" s="81" t="s">
        <v>4056</v>
      </c>
      <c r="C1725" s="26" t="s">
        <v>37</v>
      </c>
      <c r="D1725" s="14"/>
      <c r="E1725" s="15"/>
      <c r="F1725" s="16">
        <f t="shared" si="97"/>
        <v>0</v>
      </c>
      <c r="G1725">
        <f t="shared" si="98"/>
        <v>0</v>
      </c>
    </row>
    <row r="1726" spans="1:7" hidden="1" x14ac:dyDescent="0.25">
      <c r="A1726" s="85" t="s">
        <v>4150</v>
      </c>
      <c r="B1726" s="81" t="s">
        <v>4057</v>
      </c>
      <c r="C1726" s="26" t="s">
        <v>37</v>
      </c>
      <c r="D1726" s="14"/>
      <c r="E1726" s="15"/>
      <c r="F1726" s="16">
        <f t="shared" si="97"/>
        <v>0</v>
      </c>
      <c r="G1726">
        <f t="shared" si="98"/>
        <v>0</v>
      </c>
    </row>
    <row r="1727" spans="1:7" hidden="1" x14ac:dyDescent="0.25">
      <c r="A1727" s="85" t="s">
        <v>4151</v>
      </c>
      <c r="B1727" s="81" t="s">
        <v>4058</v>
      </c>
      <c r="C1727" s="26" t="s">
        <v>37</v>
      </c>
      <c r="D1727" s="14"/>
      <c r="E1727" s="15"/>
      <c r="F1727" s="16">
        <f t="shared" si="97"/>
        <v>0</v>
      </c>
      <c r="G1727">
        <f t="shared" si="98"/>
        <v>0</v>
      </c>
    </row>
    <row r="1728" spans="1:7" hidden="1" x14ac:dyDescent="0.25">
      <c r="A1728" s="85" t="s">
        <v>4152</v>
      </c>
      <c r="B1728" s="81" t="s">
        <v>4059</v>
      </c>
      <c r="C1728" s="26" t="s">
        <v>37</v>
      </c>
      <c r="D1728" s="14"/>
      <c r="E1728" s="15"/>
      <c r="F1728" s="16">
        <f t="shared" si="97"/>
        <v>0</v>
      </c>
      <c r="G1728">
        <f t="shared" si="98"/>
        <v>0</v>
      </c>
    </row>
    <row r="1729" spans="1:7" hidden="1" x14ac:dyDescent="0.25">
      <c r="A1729" s="85" t="s">
        <v>4153</v>
      </c>
      <c r="B1729" s="81" t="s">
        <v>4060</v>
      </c>
      <c r="C1729" s="26" t="s">
        <v>37</v>
      </c>
      <c r="D1729" s="14"/>
      <c r="E1729" s="15"/>
      <c r="F1729" s="16">
        <f t="shared" si="97"/>
        <v>0</v>
      </c>
      <c r="G1729">
        <f t="shared" si="98"/>
        <v>0</v>
      </c>
    </row>
    <row r="1730" spans="1:7" hidden="1" x14ac:dyDescent="0.25">
      <c r="A1730" s="85" t="s">
        <v>4154</v>
      </c>
      <c r="B1730" s="81" t="s">
        <v>4061</v>
      </c>
      <c r="C1730" s="26" t="s">
        <v>37</v>
      </c>
      <c r="D1730" s="14"/>
      <c r="E1730" s="15"/>
      <c r="F1730" s="16">
        <f t="shared" si="97"/>
        <v>0</v>
      </c>
      <c r="G1730">
        <f t="shared" si="98"/>
        <v>0</v>
      </c>
    </row>
    <row r="1731" spans="1:7" hidden="1" x14ac:dyDescent="0.25">
      <c r="A1731" s="85" t="s">
        <v>4155</v>
      </c>
      <c r="B1731" s="81" t="s">
        <v>4062</v>
      </c>
      <c r="C1731" s="26" t="s">
        <v>37</v>
      </c>
      <c r="D1731" s="14"/>
      <c r="E1731" s="15"/>
      <c r="F1731" s="16">
        <f t="shared" si="97"/>
        <v>0</v>
      </c>
      <c r="G1731">
        <f t="shared" si="98"/>
        <v>0</v>
      </c>
    </row>
    <row r="1732" spans="1:7" hidden="1" x14ac:dyDescent="0.25">
      <c r="A1732" s="85" t="s">
        <v>4156</v>
      </c>
      <c r="B1732" s="81" t="s">
        <v>4063</v>
      </c>
      <c r="C1732" s="26" t="s">
        <v>37</v>
      </c>
      <c r="D1732" s="14"/>
      <c r="E1732" s="15"/>
      <c r="F1732" s="16">
        <f t="shared" si="97"/>
        <v>0</v>
      </c>
      <c r="G1732">
        <f t="shared" si="98"/>
        <v>0</v>
      </c>
    </row>
    <row r="1733" spans="1:7" hidden="1" x14ac:dyDescent="0.25">
      <c r="A1733" s="85" t="s">
        <v>4157</v>
      </c>
      <c r="B1733" s="81" t="s">
        <v>4046</v>
      </c>
      <c r="C1733" s="26" t="s">
        <v>37</v>
      </c>
      <c r="D1733" s="14"/>
      <c r="E1733" s="15"/>
      <c r="F1733" s="16">
        <f t="shared" si="97"/>
        <v>0</v>
      </c>
      <c r="G1733">
        <f t="shared" si="98"/>
        <v>0</v>
      </c>
    </row>
    <row r="1734" spans="1:7" hidden="1" x14ac:dyDescent="0.25">
      <c r="A1734" s="85" t="s">
        <v>4158</v>
      </c>
      <c r="B1734" s="81" t="s">
        <v>4045</v>
      </c>
      <c r="C1734" s="26" t="s">
        <v>37</v>
      </c>
      <c r="D1734" s="14"/>
      <c r="E1734" s="15"/>
      <c r="F1734" s="16">
        <f t="shared" si="97"/>
        <v>0</v>
      </c>
      <c r="G1734">
        <f t="shared" si="98"/>
        <v>0</v>
      </c>
    </row>
    <row r="1735" spans="1:7" hidden="1" x14ac:dyDescent="0.25">
      <c r="A1735" s="85" t="s">
        <v>551</v>
      </c>
      <c r="B1735" s="79" t="s">
        <v>4159</v>
      </c>
      <c r="C1735" s="26"/>
      <c r="D1735" s="14"/>
      <c r="E1735" s="15"/>
      <c r="F1735" s="16"/>
      <c r="G1735">
        <f t="shared" si="98"/>
        <v>0</v>
      </c>
    </row>
    <row r="1736" spans="1:7" hidden="1" x14ac:dyDescent="0.25">
      <c r="A1736" s="85" t="s">
        <v>553</v>
      </c>
      <c r="B1736" s="81" t="s">
        <v>4160</v>
      </c>
      <c r="C1736" s="26" t="s">
        <v>37</v>
      </c>
      <c r="D1736" s="14"/>
      <c r="E1736" s="15"/>
      <c r="F1736" s="16">
        <f t="shared" si="97"/>
        <v>0</v>
      </c>
      <c r="G1736">
        <f t="shared" si="98"/>
        <v>0</v>
      </c>
    </row>
    <row r="1737" spans="1:7" hidden="1" x14ac:dyDescent="0.25">
      <c r="A1737" s="85" t="s">
        <v>554</v>
      </c>
      <c r="B1737" s="81" t="s">
        <v>4161</v>
      </c>
      <c r="C1737" s="26" t="s">
        <v>37</v>
      </c>
      <c r="D1737" s="14"/>
      <c r="E1737" s="15"/>
      <c r="F1737" s="16">
        <f t="shared" si="97"/>
        <v>0</v>
      </c>
      <c r="G1737">
        <f t="shared" si="98"/>
        <v>0</v>
      </c>
    </row>
    <row r="1738" spans="1:7" hidden="1" x14ac:dyDescent="0.25">
      <c r="A1738" s="85" t="s">
        <v>555</v>
      </c>
      <c r="B1738" s="81" t="s">
        <v>4162</v>
      </c>
      <c r="C1738" s="26" t="s">
        <v>37</v>
      </c>
      <c r="D1738" s="14"/>
      <c r="E1738" s="15"/>
      <c r="F1738" s="16">
        <f t="shared" si="97"/>
        <v>0</v>
      </c>
      <c r="G1738">
        <f t="shared" si="98"/>
        <v>0</v>
      </c>
    </row>
    <row r="1739" spans="1:7" hidden="1" x14ac:dyDescent="0.25">
      <c r="A1739" s="85" t="s">
        <v>556</v>
      </c>
      <c r="B1739" s="81" t="s">
        <v>4163</v>
      </c>
      <c r="C1739" s="26" t="s">
        <v>37</v>
      </c>
      <c r="D1739" s="14"/>
      <c r="E1739" s="15"/>
      <c r="F1739" s="16">
        <f t="shared" si="97"/>
        <v>0</v>
      </c>
      <c r="G1739">
        <f t="shared" si="98"/>
        <v>0</v>
      </c>
    </row>
    <row r="1740" spans="1:7" hidden="1" x14ac:dyDescent="0.25">
      <c r="A1740" s="85" t="s">
        <v>557</v>
      </c>
      <c r="B1740" s="81" t="s">
        <v>4164</v>
      </c>
      <c r="C1740" s="26" t="s">
        <v>37</v>
      </c>
      <c r="D1740" s="14"/>
      <c r="E1740" s="15"/>
      <c r="F1740" s="16">
        <f t="shared" ref="F1740:F1803" si="99">+D1740*E1740</f>
        <v>0</v>
      </c>
      <c r="G1740">
        <f t="shared" si="98"/>
        <v>0</v>
      </c>
    </row>
    <row r="1741" spans="1:7" hidden="1" x14ac:dyDescent="0.25">
      <c r="A1741" s="85" t="s">
        <v>558</v>
      </c>
      <c r="B1741" s="81" t="s">
        <v>4165</v>
      </c>
      <c r="C1741" s="26" t="s">
        <v>37</v>
      </c>
      <c r="D1741" s="14"/>
      <c r="E1741" s="15"/>
      <c r="F1741" s="16">
        <f t="shared" si="99"/>
        <v>0</v>
      </c>
      <c r="G1741">
        <f t="shared" si="98"/>
        <v>0</v>
      </c>
    </row>
    <row r="1742" spans="1:7" hidden="1" x14ac:dyDescent="0.25">
      <c r="A1742" s="85" t="s">
        <v>559</v>
      </c>
      <c r="B1742" s="81" t="s">
        <v>4166</v>
      </c>
      <c r="C1742" s="26" t="s">
        <v>37</v>
      </c>
      <c r="D1742" s="14"/>
      <c r="E1742" s="15"/>
      <c r="F1742" s="16">
        <f t="shared" si="99"/>
        <v>0</v>
      </c>
      <c r="G1742">
        <f t="shared" si="98"/>
        <v>0</v>
      </c>
    </row>
    <row r="1743" spans="1:7" hidden="1" x14ac:dyDescent="0.25">
      <c r="A1743" s="85" t="s">
        <v>4219</v>
      </c>
      <c r="B1743" s="81" t="s">
        <v>4167</v>
      </c>
      <c r="C1743" s="26" t="s">
        <v>37</v>
      </c>
      <c r="D1743" s="14"/>
      <c r="E1743" s="15"/>
      <c r="F1743" s="16">
        <f t="shared" si="99"/>
        <v>0</v>
      </c>
      <c r="G1743">
        <f t="shared" si="98"/>
        <v>0</v>
      </c>
    </row>
    <row r="1744" spans="1:7" hidden="1" x14ac:dyDescent="0.25">
      <c r="A1744" s="85" t="s">
        <v>4220</v>
      </c>
      <c r="B1744" s="81" t="s">
        <v>4168</v>
      </c>
      <c r="C1744" s="26" t="s">
        <v>37</v>
      </c>
      <c r="D1744" s="14"/>
      <c r="E1744" s="15"/>
      <c r="F1744" s="16">
        <f t="shared" si="99"/>
        <v>0</v>
      </c>
      <c r="G1744">
        <f t="shared" si="98"/>
        <v>0</v>
      </c>
    </row>
    <row r="1745" spans="1:7" hidden="1" x14ac:dyDescent="0.25">
      <c r="A1745" s="85" t="s">
        <v>4221</v>
      </c>
      <c r="B1745" s="81" t="s">
        <v>4169</v>
      </c>
      <c r="C1745" s="26" t="s">
        <v>37</v>
      </c>
      <c r="D1745" s="14"/>
      <c r="E1745" s="15"/>
      <c r="F1745" s="16">
        <f t="shared" si="99"/>
        <v>0</v>
      </c>
      <c r="G1745">
        <f t="shared" si="98"/>
        <v>0</v>
      </c>
    </row>
    <row r="1746" spans="1:7" hidden="1" x14ac:dyDescent="0.25">
      <c r="A1746" s="85" t="s">
        <v>4222</v>
      </c>
      <c r="B1746" s="81" t="s">
        <v>4170</v>
      </c>
      <c r="C1746" s="26" t="s">
        <v>37</v>
      </c>
      <c r="D1746" s="14"/>
      <c r="E1746" s="15"/>
      <c r="F1746" s="16">
        <f t="shared" si="99"/>
        <v>0</v>
      </c>
      <c r="G1746">
        <f t="shared" si="98"/>
        <v>0</v>
      </c>
    </row>
    <row r="1747" spans="1:7" hidden="1" x14ac:dyDescent="0.25">
      <c r="A1747" s="85" t="s">
        <v>4223</v>
      </c>
      <c r="B1747" s="81" t="s">
        <v>4171</v>
      </c>
      <c r="C1747" s="26" t="s">
        <v>37</v>
      </c>
      <c r="D1747" s="14"/>
      <c r="E1747" s="15"/>
      <c r="F1747" s="16">
        <f t="shared" si="99"/>
        <v>0</v>
      </c>
      <c r="G1747">
        <f t="shared" si="98"/>
        <v>0</v>
      </c>
    </row>
    <row r="1748" spans="1:7" hidden="1" x14ac:dyDescent="0.25">
      <c r="A1748" s="85" t="s">
        <v>4224</v>
      </c>
      <c r="B1748" s="81" t="s">
        <v>4172</v>
      </c>
      <c r="C1748" s="26" t="s">
        <v>37</v>
      </c>
      <c r="D1748" s="14"/>
      <c r="E1748" s="15"/>
      <c r="F1748" s="16">
        <f t="shared" si="99"/>
        <v>0</v>
      </c>
      <c r="G1748">
        <f t="shared" si="98"/>
        <v>0</v>
      </c>
    </row>
    <row r="1749" spans="1:7" hidden="1" x14ac:dyDescent="0.25">
      <c r="A1749" s="85" t="s">
        <v>4225</v>
      </c>
      <c r="B1749" s="81" t="s">
        <v>4173</v>
      </c>
      <c r="C1749" s="26" t="s">
        <v>37</v>
      </c>
      <c r="D1749" s="14"/>
      <c r="E1749" s="15"/>
      <c r="F1749" s="16">
        <f t="shared" si="99"/>
        <v>0</v>
      </c>
      <c r="G1749">
        <f t="shared" si="98"/>
        <v>0</v>
      </c>
    </row>
    <row r="1750" spans="1:7" hidden="1" x14ac:dyDescent="0.25">
      <c r="A1750" s="85" t="s">
        <v>4226</v>
      </c>
      <c r="B1750" s="81" t="s">
        <v>4174</v>
      </c>
      <c r="C1750" s="26" t="s">
        <v>37</v>
      </c>
      <c r="D1750" s="14"/>
      <c r="E1750" s="15"/>
      <c r="F1750" s="16">
        <f t="shared" si="99"/>
        <v>0</v>
      </c>
      <c r="G1750">
        <f t="shared" si="98"/>
        <v>0</v>
      </c>
    </row>
    <row r="1751" spans="1:7" hidden="1" x14ac:dyDescent="0.25">
      <c r="A1751" s="85" t="s">
        <v>4227</v>
      </c>
      <c r="B1751" s="81" t="s">
        <v>4175</v>
      </c>
      <c r="C1751" s="26" t="s">
        <v>37</v>
      </c>
      <c r="D1751" s="14"/>
      <c r="E1751" s="15"/>
      <c r="F1751" s="16">
        <f t="shared" si="99"/>
        <v>0</v>
      </c>
      <c r="G1751">
        <f t="shared" si="98"/>
        <v>0</v>
      </c>
    </row>
    <row r="1752" spans="1:7" hidden="1" x14ac:dyDescent="0.25">
      <c r="A1752" s="85" t="s">
        <v>4228</v>
      </c>
      <c r="B1752" s="81" t="s">
        <v>4176</v>
      </c>
      <c r="C1752" s="26" t="s">
        <v>37</v>
      </c>
      <c r="D1752" s="14"/>
      <c r="E1752" s="15"/>
      <c r="F1752" s="16">
        <f t="shared" si="99"/>
        <v>0</v>
      </c>
      <c r="G1752">
        <f t="shared" si="98"/>
        <v>0</v>
      </c>
    </row>
    <row r="1753" spans="1:7" hidden="1" x14ac:dyDescent="0.25">
      <c r="A1753" s="85" t="s">
        <v>4229</v>
      </c>
      <c r="B1753" s="81" t="s">
        <v>4177</v>
      </c>
      <c r="C1753" s="26" t="s">
        <v>37</v>
      </c>
      <c r="D1753" s="14"/>
      <c r="E1753" s="15"/>
      <c r="F1753" s="16">
        <f t="shared" si="99"/>
        <v>0</v>
      </c>
      <c r="G1753">
        <f t="shared" si="98"/>
        <v>0</v>
      </c>
    </row>
    <row r="1754" spans="1:7" hidden="1" x14ac:dyDescent="0.25">
      <c r="A1754" s="85" t="s">
        <v>4230</v>
      </c>
      <c r="B1754" s="81" t="s">
        <v>4178</v>
      </c>
      <c r="C1754" s="26" t="s">
        <v>37</v>
      </c>
      <c r="D1754" s="14"/>
      <c r="E1754" s="15"/>
      <c r="F1754" s="16">
        <f t="shared" si="99"/>
        <v>0</v>
      </c>
      <c r="G1754">
        <f t="shared" si="98"/>
        <v>0</v>
      </c>
    </row>
    <row r="1755" spans="1:7" hidden="1" x14ac:dyDescent="0.25">
      <c r="A1755" s="85" t="s">
        <v>4231</v>
      </c>
      <c r="B1755" s="81" t="s">
        <v>4179</v>
      </c>
      <c r="C1755" s="26" t="s">
        <v>37</v>
      </c>
      <c r="D1755" s="14"/>
      <c r="E1755" s="15"/>
      <c r="F1755" s="16">
        <f t="shared" si="99"/>
        <v>0</v>
      </c>
      <c r="G1755">
        <f t="shared" si="98"/>
        <v>0</v>
      </c>
    </row>
    <row r="1756" spans="1:7" hidden="1" x14ac:dyDescent="0.25">
      <c r="A1756" s="85" t="s">
        <v>4232</v>
      </c>
      <c r="B1756" s="81" t="s">
        <v>4180</v>
      </c>
      <c r="C1756" s="26" t="s">
        <v>37</v>
      </c>
      <c r="D1756" s="14"/>
      <c r="E1756" s="15"/>
      <c r="F1756" s="16">
        <f t="shared" si="99"/>
        <v>0</v>
      </c>
      <c r="G1756">
        <f t="shared" si="98"/>
        <v>0</v>
      </c>
    </row>
    <row r="1757" spans="1:7" hidden="1" x14ac:dyDescent="0.25">
      <c r="A1757" s="85" t="s">
        <v>4233</v>
      </c>
      <c r="B1757" s="81" t="s">
        <v>4181</v>
      </c>
      <c r="C1757" s="26" t="s">
        <v>37</v>
      </c>
      <c r="D1757" s="14"/>
      <c r="E1757" s="15"/>
      <c r="F1757" s="16">
        <f t="shared" si="99"/>
        <v>0</v>
      </c>
      <c r="G1757">
        <f t="shared" si="98"/>
        <v>0</v>
      </c>
    </row>
    <row r="1758" spans="1:7" hidden="1" x14ac:dyDescent="0.25">
      <c r="A1758" s="85" t="s">
        <v>4234</v>
      </c>
      <c r="B1758" s="81" t="s">
        <v>4182</v>
      </c>
      <c r="C1758" s="26" t="s">
        <v>37</v>
      </c>
      <c r="D1758" s="14"/>
      <c r="E1758" s="15"/>
      <c r="F1758" s="16">
        <f t="shared" si="99"/>
        <v>0</v>
      </c>
      <c r="G1758">
        <f t="shared" si="98"/>
        <v>0</v>
      </c>
    </row>
    <row r="1759" spans="1:7" hidden="1" x14ac:dyDescent="0.25">
      <c r="A1759" s="85" t="s">
        <v>4235</v>
      </c>
      <c r="B1759" s="81" t="s">
        <v>4183</v>
      </c>
      <c r="C1759" s="26" t="s">
        <v>37</v>
      </c>
      <c r="D1759" s="14"/>
      <c r="E1759" s="15"/>
      <c r="F1759" s="16">
        <f t="shared" si="99"/>
        <v>0</v>
      </c>
      <c r="G1759">
        <f t="shared" si="98"/>
        <v>0</v>
      </c>
    </row>
    <row r="1760" spans="1:7" hidden="1" x14ac:dyDescent="0.25">
      <c r="A1760" s="85" t="s">
        <v>4236</v>
      </c>
      <c r="B1760" s="81" t="s">
        <v>4184</v>
      </c>
      <c r="C1760" s="26" t="s">
        <v>37</v>
      </c>
      <c r="D1760" s="14"/>
      <c r="E1760" s="15"/>
      <c r="F1760" s="16">
        <f t="shared" si="99"/>
        <v>0</v>
      </c>
      <c r="G1760">
        <f t="shared" si="98"/>
        <v>0</v>
      </c>
    </row>
    <row r="1761" spans="1:7" hidden="1" x14ac:dyDescent="0.25">
      <c r="A1761" s="85" t="s">
        <v>4237</v>
      </c>
      <c r="B1761" s="81" t="s">
        <v>4185</v>
      </c>
      <c r="C1761" s="26" t="s">
        <v>37</v>
      </c>
      <c r="D1761" s="14"/>
      <c r="E1761" s="15"/>
      <c r="F1761" s="16">
        <f t="shared" si="99"/>
        <v>0</v>
      </c>
      <c r="G1761">
        <f t="shared" si="98"/>
        <v>0</v>
      </c>
    </row>
    <row r="1762" spans="1:7" hidden="1" x14ac:dyDescent="0.25">
      <c r="A1762" s="85" t="s">
        <v>4238</v>
      </c>
      <c r="B1762" s="81" t="s">
        <v>4186</v>
      </c>
      <c r="C1762" s="26" t="s">
        <v>37</v>
      </c>
      <c r="D1762" s="14"/>
      <c r="E1762" s="15"/>
      <c r="F1762" s="16">
        <f t="shared" si="99"/>
        <v>0</v>
      </c>
      <c r="G1762">
        <f t="shared" si="98"/>
        <v>0</v>
      </c>
    </row>
    <row r="1763" spans="1:7" hidden="1" x14ac:dyDescent="0.25">
      <c r="A1763" s="85" t="s">
        <v>4239</v>
      </c>
      <c r="B1763" s="81" t="s">
        <v>4187</v>
      </c>
      <c r="C1763" s="26" t="s">
        <v>37</v>
      </c>
      <c r="D1763" s="14"/>
      <c r="E1763" s="15"/>
      <c r="F1763" s="16">
        <f t="shared" si="99"/>
        <v>0</v>
      </c>
      <c r="G1763">
        <f t="shared" si="98"/>
        <v>0</v>
      </c>
    </row>
    <row r="1764" spans="1:7" hidden="1" x14ac:dyDescent="0.25">
      <c r="A1764" s="85" t="s">
        <v>4240</v>
      </c>
      <c r="B1764" s="81" t="s">
        <v>4188</v>
      </c>
      <c r="C1764" s="26" t="s">
        <v>37</v>
      </c>
      <c r="D1764" s="14"/>
      <c r="E1764" s="15"/>
      <c r="F1764" s="16">
        <f t="shared" si="99"/>
        <v>0</v>
      </c>
      <c r="G1764">
        <f t="shared" ref="G1764:G1827" si="100">+IF(F1764&lt;&gt;0,1,0)</f>
        <v>0</v>
      </c>
    </row>
    <row r="1765" spans="1:7" hidden="1" x14ac:dyDescent="0.25">
      <c r="A1765" s="85" t="s">
        <v>4241</v>
      </c>
      <c r="B1765" s="81" t="s">
        <v>4189</v>
      </c>
      <c r="C1765" s="26" t="s">
        <v>37</v>
      </c>
      <c r="D1765" s="14"/>
      <c r="E1765" s="15"/>
      <c r="F1765" s="16">
        <f t="shared" si="99"/>
        <v>0</v>
      </c>
      <c r="G1765">
        <f t="shared" si="100"/>
        <v>0</v>
      </c>
    </row>
    <row r="1766" spans="1:7" hidden="1" x14ac:dyDescent="0.25">
      <c r="A1766" s="85" t="s">
        <v>4242</v>
      </c>
      <c r="B1766" s="81" t="s">
        <v>4190</v>
      </c>
      <c r="C1766" s="26" t="s">
        <v>37</v>
      </c>
      <c r="D1766" s="14"/>
      <c r="E1766" s="15"/>
      <c r="F1766" s="16">
        <f t="shared" si="99"/>
        <v>0</v>
      </c>
      <c r="G1766">
        <f t="shared" si="100"/>
        <v>0</v>
      </c>
    </row>
    <row r="1767" spans="1:7" hidden="1" x14ac:dyDescent="0.25">
      <c r="A1767" s="85" t="s">
        <v>4243</v>
      </c>
      <c r="B1767" s="81" t="s">
        <v>4191</v>
      </c>
      <c r="C1767" s="26" t="s">
        <v>37</v>
      </c>
      <c r="D1767" s="14"/>
      <c r="E1767" s="15"/>
      <c r="F1767" s="16">
        <f t="shared" si="99"/>
        <v>0</v>
      </c>
      <c r="G1767">
        <f t="shared" si="100"/>
        <v>0</v>
      </c>
    </row>
    <row r="1768" spans="1:7" hidden="1" x14ac:dyDescent="0.25">
      <c r="A1768" s="85" t="s">
        <v>4244</v>
      </c>
      <c r="B1768" s="81" t="s">
        <v>4192</v>
      </c>
      <c r="C1768" s="26" t="s">
        <v>37</v>
      </c>
      <c r="D1768" s="14"/>
      <c r="E1768" s="15"/>
      <c r="F1768" s="16">
        <f t="shared" si="99"/>
        <v>0</v>
      </c>
      <c r="G1768">
        <f t="shared" si="100"/>
        <v>0</v>
      </c>
    </row>
    <row r="1769" spans="1:7" hidden="1" x14ac:dyDescent="0.25">
      <c r="A1769" s="85" t="s">
        <v>4245</v>
      </c>
      <c r="B1769" s="81" t="s">
        <v>4193</v>
      </c>
      <c r="C1769" s="26" t="s">
        <v>37</v>
      </c>
      <c r="D1769" s="14"/>
      <c r="E1769" s="15"/>
      <c r="F1769" s="16">
        <f t="shared" si="99"/>
        <v>0</v>
      </c>
      <c r="G1769">
        <f t="shared" si="100"/>
        <v>0</v>
      </c>
    </row>
    <row r="1770" spans="1:7" hidden="1" x14ac:dyDescent="0.25">
      <c r="A1770" s="85" t="s">
        <v>4246</v>
      </c>
      <c r="B1770" s="81" t="s">
        <v>4194</v>
      </c>
      <c r="C1770" s="26" t="s">
        <v>37</v>
      </c>
      <c r="D1770" s="14"/>
      <c r="E1770" s="15"/>
      <c r="F1770" s="16">
        <f t="shared" si="99"/>
        <v>0</v>
      </c>
      <c r="G1770">
        <f t="shared" si="100"/>
        <v>0</v>
      </c>
    </row>
    <row r="1771" spans="1:7" hidden="1" x14ac:dyDescent="0.25">
      <c r="A1771" s="85" t="s">
        <v>4247</v>
      </c>
      <c r="B1771" s="81" t="s">
        <v>4195</v>
      </c>
      <c r="C1771" s="26" t="s">
        <v>37</v>
      </c>
      <c r="D1771" s="14"/>
      <c r="E1771" s="15"/>
      <c r="F1771" s="16">
        <f t="shared" si="99"/>
        <v>0</v>
      </c>
      <c r="G1771">
        <f t="shared" si="100"/>
        <v>0</v>
      </c>
    </row>
    <row r="1772" spans="1:7" hidden="1" x14ac:dyDescent="0.25">
      <c r="A1772" s="85" t="s">
        <v>4248</v>
      </c>
      <c r="B1772" s="81" t="s">
        <v>4196</v>
      </c>
      <c r="C1772" s="26" t="s">
        <v>37</v>
      </c>
      <c r="D1772" s="14"/>
      <c r="E1772" s="15"/>
      <c r="F1772" s="16">
        <f t="shared" si="99"/>
        <v>0</v>
      </c>
      <c r="G1772">
        <f t="shared" si="100"/>
        <v>0</v>
      </c>
    </row>
    <row r="1773" spans="1:7" hidden="1" x14ac:dyDescent="0.25">
      <c r="A1773" s="85" t="s">
        <v>4249</v>
      </c>
      <c r="B1773" s="81" t="s">
        <v>4197</v>
      </c>
      <c r="C1773" s="26" t="s">
        <v>37</v>
      </c>
      <c r="D1773" s="14"/>
      <c r="E1773" s="15"/>
      <c r="F1773" s="16">
        <f t="shared" si="99"/>
        <v>0</v>
      </c>
      <c r="G1773">
        <f t="shared" si="100"/>
        <v>0</v>
      </c>
    </row>
    <row r="1774" spans="1:7" hidden="1" x14ac:dyDescent="0.25">
      <c r="A1774" s="85" t="s">
        <v>4250</v>
      </c>
      <c r="B1774" s="81" t="s">
        <v>4198</v>
      </c>
      <c r="C1774" s="26" t="s">
        <v>37</v>
      </c>
      <c r="D1774" s="14"/>
      <c r="E1774" s="15"/>
      <c r="F1774" s="16">
        <f t="shared" si="99"/>
        <v>0</v>
      </c>
      <c r="G1774">
        <f t="shared" si="100"/>
        <v>0</v>
      </c>
    </row>
    <row r="1775" spans="1:7" hidden="1" x14ac:dyDescent="0.25">
      <c r="A1775" s="85" t="s">
        <v>4251</v>
      </c>
      <c r="B1775" s="81" t="s">
        <v>4199</v>
      </c>
      <c r="C1775" s="26" t="s">
        <v>37</v>
      </c>
      <c r="D1775" s="14"/>
      <c r="E1775" s="15"/>
      <c r="F1775" s="16">
        <f t="shared" si="99"/>
        <v>0</v>
      </c>
      <c r="G1775">
        <f t="shared" si="100"/>
        <v>0</v>
      </c>
    </row>
    <row r="1776" spans="1:7" hidden="1" x14ac:dyDescent="0.25">
      <c r="A1776" s="85" t="s">
        <v>4252</v>
      </c>
      <c r="B1776" s="81" t="s">
        <v>4200</v>
      </c>
      <c r="C1776" s="26" t="s">
        <v>37</v>
      </c>
      <c r="D1776" s="14"/>
      <c r="E1776" s="15"/>
      <c r="F1776" s="16">
        <f t="shared" si="99"/>
        <v>0</v>
      </c>
      <c r="G1776">
        <f t="shared" si="100"/>
        <v>0</v>
      </c>
    </row>
    <row r="1777" spans="1:7" hidden="1" x14ac:dyDescent="0.25">
      <c r="A1777" s="85" t="s">
        <v>4253</v>
      </c>
      <c r="B1777" s="81" t="s">
        <v>4201</v>
      </c>
      <c r="C1777" s="26" t="s">
        <v>37</v>
      </c>
      <c r="D1777" s="14"/>
      <c r="E1777" s="15"/>
      <c r="F1777" s="16">
        <f t="shared" si="99"/>
        <v>0</v>
      </c>
      <c r="G1777">
        <f t="shared" si="100"/>
        <v>0</v>
      </c>
    </row>
    <row r="1778" spans="1:7" hidden="1" x14ac:dyDescent="0.25">
      <c r="A1778" s="85" t="s">
        <v>4254</v>
      </c>
      <c r="B1778" s="81" t="s">
        <v>4202</v>
      </c>
      <c r="C1778" s="26" t="s">
        <v>37</v>
      </c>
      <c r="D1778" s="14"/>
      <c r="E1778" s="15"/>
      <c r="F1778" s="16">
        <f t="shared" si="99"/>
        <v>0</v>
      </c>
      <c r="G1778">
        <f t="shared" si="100"/>
        <v>0</v>
      </c>
    </row>
    <row r="1779" spans="1:7" hidden="1" x14ac:dyDescent="0.25">
      <c r="A1779" s="85" t="s">
        <v>4255</v>
      </c>
      <c r="B1779" s="81" t="s">
        <v>4203</v>
      </c>
      <c r="C1779" s="26" t="s">
        <v>37</v>
      </c>
      <c r="D1779" s="14"/>
      <c r="E1779" s="15"/>
      <c r="F1779" s="16">
        <f t="shared" si="99"/>
        <v>0</v>
      </c>
      <c r="G1779">
        <f t="shared" si="100"/>
        <v>0</v>
      </c>
    </row>
    <row r="1780" spans="1:7" hidden="1" x14ac:dyDescent="0.25">
      <c r="A1780" s="85" t="s">
        <v>4256</v>
      </c>
      <c r="B1780" s="81" t="s">
        <v>4204</v>
      </c>
      <c r="C1780" s="26" t="s">
        <v>37</v>
      </c>
      <c r="D1780" s="14"/>
      <c r="E1780" s="15"/>
      <c r="F1780" s="16">
        <f t="shared" si="99"/>
        <v>0</v>
      </c>
      <c r="G1780">
        <f t="shared" si="100"/>
        <v>0</v>
      </c>
    </row>
    <row r="1781" spans="1:7" hidden="1" x14ac:dyDescent="0.25">
      <c r="A1781" s="85" t="s">
        <v>4257</v>
      </c>
      <c r="B1781" s="81" t="s">
        <v>4205</v>
      </c>
      <c r="C1781" s="26" t="s">
        <v>37</v>
      </c>
      <c r="D1781" s="14"/>
      <c r="E1781" s="15"/>
      <c r="F1781" s="16">
        <f t="shared" si="99"/>
        <v>0</v>
      </c>
      <c r="G1781">
        <f t="shared" si="100"/>
        <v>0</v>
      </c>
    </row>
    <row r="1782" spans="1:7" hidden="1" x14ac:dyDescent="0.25">
      <c r="A1782" s="85" t="s">
        <v>4258</v>
      </c>
      <c r="B1782" s="81" t="s">
        <v>4206</v>
      </c>
      <c r="C1782" s="26" t="s">
        <v>37</v>
      </c>
      <c r="D1782" s="14"/>
      <c r="E1782" s="15"/>
      <c r="F1782" s="16">
        <f t="shared" si="99"/>
        <v>0</v>
      </c>
      <c r="G1782">
        <f t="shared" si="100"/>
        <v>0</v>
      </c>
    </row>
    <row r="1783" spans="1:7" hidden="1" x14ac:dyDescent="0.25">
      <c r="A1783" s="85" t="s">
        <v>4259</v>
      </c>
      <c r="B1783" s="81" t="s">
        <v>4207</v>
      </c>
      <c r="C1783" s="26" t="s">
        <v>37</v>
      </c>
      <c r="D1783" s="14"/>
      <c r="E1783" s="15"/>
      <c r="F1783" s="16">
        <f t="shared" si="99"/>
        <v>0</v>
      </c>
      <c r="G1783">
        <f t="shared" si="100"/>
        <v>0</v>
      </c>
    </row>
    <row r="1784" spans="1:7" hidden="1" x14ac:dyDescent="0.25">
      <c r="A1784" s="85" t="s">
        <v>4260</v>
      </c>
      <c r="B1784" s="81" t="s">
        <v>4208</v>
      </c>
      <c r="C1784" s="26" t="s">
        <v>37</v>
      </c>
      <c r="D1784" s="14"/>
      <c r="E1784" s="15"/>
      <c r="F1784" s="16">
        <f t="shared" si="99"/>
        <v>0</v>
      </c>
      <c r="G1784">
        <f t="shared" si="100"/>
        <v>0</v>
      </c>
    </row>
    <row r="1785" spans="1:7" hidden="1" x14ac:dyDescent="0.25">
      <c r="A1785" s="85" t="s">
        <v>4261</v>
      </c>
      <c r="B1785" s="81" t="s">
        <v>4209</v>
      </c>
      <c r="C1785" s="26" t="s">
        <v>37</v>
      </c>
      <c r="D1785" s="14"/>
      <c r="E1785" s="15"/>
      <c r="F1785" s="16">
        <f t="shared" si="99"/>
        <v>0</v>
      </c>
      <c r="G1785">
        <f t="shared" si="100"/>
        <v>0</v>
      </c>
    </row>
    <row r="1786" spans="1:7" hidden="1" x14ac:dyDescent="0.25">
      <c r="A1786" s="85" t="s">
        <v>4262</v>
      </c>
      <c r="B1786" s="81" t="s">
        <v>4210</v>
      </c>
      <c r="C1786" s="26" t="s">
        <v>37</v>
      </c>
      <c r="D1786" s="14"/>
      <c r="E1786" s="15"/>
      <c r="F1786" s="16">
        <f t="shared" si="99"/>
        <v>0</v>
      </c>
      <c r="G1786">
        <f t="shared" si="100"/>
        <v>0</v>
      </c>
    </row>
    <row r="1787" spans="1:7" hidden="1" x14ac:dyDescent="0.25">
      <c r="A1787" s="85" t="s">
        <v>4263</v>
      </c>
      <c r="B1787" s="81" t="s">
        <v>4211</v>
      </c>
      <c r="C1787" s="26" t="s">
        <v>37</v>
      </c>
      <c r="D1787" s="14"/>
      <c r="E1787" s="15"/>
      <c r="F1787" s="16">
        <f t="shared" si="99"/>
        <v>0</v>
      </c>
      <c r="G1787">
        <f t="shared" si="100"/>
        <v>0</v>
      </c>
    </row>
    <row r="1788" spans="1:7" hidden="1" x14ac:dyDescent="0.25">
      <c r="A1788" s="85" t="s">
        <v>4264</v>
      </c>
      <c r="B1788" s="81" t="s">
        <v>4212</v>
      </c>
      <c r="C1788" s="26" t="s">
        <v>37</v>
      </c>
      <c r="D1788" s="14"/>
      <c r="E1788" s="15"/>
      <c r="F1788" s="16">
        <f t="shared" si="99"/>
        <v>0</v>
      </c>
      <c r="G1788">
        <f t="shared" si="100"/>
        <v>0</v>
      </c>
    </row>
    <row r="1789" spans="1:7" hidden="1" x14ac:dyDescent="0.25">
      <c r="A1789" s="85" t="s">
        <v>4265</v>
      </c>
      <c r="B1789" s="81" t="s">
        <v>4213</v>
      </c>
      <c r="C1789" s="26" t="s">
        <v>37</v>
      </c>
      <c r="D1789" s="14"/>
      <c r="E1789" s="15"/>
      <c r="F1789" s="16">
        <f t="shared" si="99"/>
        <v>0</v>
      </c>
      <c r="G1789">
        <f t="shared" si="100"/>
        <v>0</v>
      </c>
    </row>
    <row r="1790" spans="1:7" hidden="1" x14ac:dyDescent="0.25">
      <c r="A1790" s="85" t="s">
        <v>4266</v>
      </c>
      <c r="B1790" s="81" t="s">
        <v>4214</v>
      </c>
      <c r="C1790" s="26" t="s">
        <v>37</v>
      </c>
      <c r="D1790" s="14"/>
      <c r="E1790" s="15"/>
      <c r="F1790" s="16">
        <f t="shared" si="99"/>
        <v>0</v>
      </c>
      <c r="G1790">
        <f t="shared" si="100"/>
        <v>0</v>
      </c>
    </row>
    <row r="1791" spans="1:7" hidden="1" x14ac:dyDescent="0.25">
      <c r="A1791" s="85" t="s">
        <v>4267</v>
      </c>
      <c r="B1791" s="81" t="s">
        <v>4215</v>
      </c>
      <c r="C1791" s="26" t="s">
        <v>37</v>
      </c>
      <c r="D1791" s="14"/>
      <c r="E1791" s="15"/>
      <c r="F1791" s="16">
        <f t="shared" si="99"/>
        <v>0</v>
      </c>
      <c r="G1791">
        <f t="shared" si="100"/>
        <v>0</v>
      </c>
    </row>
    <row r="1792" spans="1:7" hidden="1" x14ac:dyDescent="0.25">
      <c r="A1792" s="85" t="s">
        <v>4268</v>
      </c>
      <c r="B1792" s="81" t="s">
        <v>4216</v>
      </c>
      <c r="C1792" s="26" t="s">
        <v>37</v>
      </c>
      <c r="D1792" s="14"/>
      <c r="E1792" s="15"/>
      <c r="F1792" s="16">
        <f t="shared" si="99"/>
        <v>0</v>
      </c>
      <c r="G1792">
        <f t="shared" si="100"/>
        <v>0</v>
      </c>
    </row>
    <row r="1793" spans="1:7" hidden="1" x14ac:dyDescent="0.25">
      <c r="A1793" s="85" t="s">
        <v>4269</v>
      </c>
      <c r="B1793" s="81" t="s">
        <v>4217</v>
      </c>
      <c r="C1793" s="26" t="s">
        <v>37</v>
      </c>
      <c r="D1793" s="14"/>
      <c r="E1793" s="15"/>
      <c r="F1793" s="16">
        <f t="shared" si="99"/>
        <v>0</v>
      </c>
      <c r="G1793">
        <f t="shared" si="100"/>
        <v>0</v>
      </c>
    </row>
    <row r="1794" spans="1:7" hidden="1" x14ac:dyDescent="0.25">
      <c r="A1794" s="85" t="s">
        <v>4270</v>
      </c>
      <c r="B1794" s="81" t="s">
        <v>4218</v>
      </c>
      <c r="C1794" s="26" t="s">
        <v>37</v>
      </c>
      <c r="D1794" s="14"/>
      <c r="E1794" s="15"/>
      <c r="F1794" s="16">
        <f t="shared" si="99"/>
        <v>0</v>
      </c>
      <c r="G1794">
        <f t="shared" si="100"/>
        <v>0</v>
      </c>
    </row>
    <row r="1795" spans="1:7" hidden="1" x14ac:dyDescent="0.25">
      <c r="A1795" s="78" t="s">
        <v>996</v>
      </c>
      <c r="B1795" s="79" t="s">
        <v>4271</v>
      </c>
      <c r="C1795" s="26"/>
      <c r="D1795" s="14"/>
      <c r="E1795" s="15"/>
      <c r="F1795" s="16"/>
      <c r="G1795">
        <f t="shared" si="100"/>
        <v>0</v>
      </c>
    </row>
    <row r="1796" spans="1:7" hidden="1" x14ac:dyDescent="0.25">
      <c r="A1796" s="85" t="s">
        <v>4331</v>
      </c>
      <c r="B1796" s="81" t="s">
        <v>4272</v>
      </c>
      <c r="C1796" s="26" t="s">
        <v>37</v>
      </c>
      <c r="D1796" s="14"/>
      <c r="E1796" s="15"/>
      <c r="F1796" s="16">
        <f t="shared" si="99"/>
        <v>0</v>
      </c>
      <c r="G1796">
        <f t="shared" si="100"/>
        <v>0</v>
      </c>
    </row>
    <row r="1797" spans="1:7" hidden="1" x14ac:dyDescent="0.25">
      <c r="A1797" s="85" t="s">
        <v>4332</v>
      </c>
      <c r="B1797" s="81" t="s">
        <v>4273</v>
      </c>
      <c r="C1797" s="26" t="s">
        <v>37</v>
      </c>
      <c r="D1797" s="14"/>
      <c r="E1797" s="15"/>
      <c r="F1797" s="16">
        <f t="shared" si="99"/>
        <v>0</v>
      </c>
      <c r="G1797">
        <f t="shared" si="100"/>
        <v>0</v>
      </c>
    </row>
    <row r="1798" spans="1:7" hidden="1" x14ac:dyDescent="0.25">
      <c r="A1798" s="85" t="s">
        <v>4333</v>
      </c>
      <c r="B1798" s="81" t="s">
        <v>4274</v>
      </c>
      <c r="C1798" s="26" t="s">
        <v>37</v>
      </c>
      <c r="D1798" s="14"/>
      <c r="E1798" s="15"/>
      <c r="F1798" s="16">
        <f t="shared" si="99"/>
        <v>0</v>
      </c>
      <c r="G1798">
        <f t="shared" si="100"/>
        <v>0</v>
      </c>
    </row>
    <row r="1799" spans="1:7" hidden="1" x14ac:dyDescent="0.25">
      <c r="A1799" s="85" t="s">
        <v>4334</v>
      </c>
      <c r="B1799" s="81" t="s">
        <v>4275</v>
      </c>
      <c r="C1799" s="26" t="s">
        <v>37</v>
      </c>
      <c r="D1799" s="14"/>
      <c r="E1799" s="15"/>
      <c r="F1799" s="16">
        <f t="shared" si="99"/>
        <v>0</v>
      </c>
      <c r="G1799">
        <f t="shared" si="100"/>
        <v>0</v>
      </c>
    </row>
    <row r="1800" spans="1:7" hidden="1" x14ac:dyDescent="0.25">
      <c r="A1800" s="85" t="s">
        <v>4335</v>
      </c>
      <c r="B1800" s="81" t="s">
        <v>4276</v>
      </c>
      <c r="C1800" s="26" t="s">
        <v>37</v>
      </c>
      <c r="D1800" s="14"/>
      <c r="E1800" s="15"/>
      <c r="F1800" s="16">
        <f t="shared" si="99"/>
        <v>0</v>
      </c>
      <c r="G1800">
        <f t="shared" si="100"/>
        <v>0</v>
      </c>
    </row>
    <row r="1801" spans="1:7" hidden="1" x14ac:dyDescent="0.25">
      <c r="A1801" s="85" t="s">
        <v>4336</v>
      </c>
      <c r="B1801" s="81" t="s">
        <v>4277</v>
      </c>
      <c r="C1801" s="26" t="s">
        <v>37</v>
      </c>
      <c r="D1801" s="14"/>
      <c r="E1801" s="15"/>
      <c r="F1801" s="16">
        <f t="shared" si="99"/>
        <v>0</v>
      </c>
      <c r="G1801">
        <f t="shared" si="100"/>
        <v>0</v>
      </c>
    </row>
    <row r="1802" spans="1:7" hidden="1" x14ac:dyDescent="0.25">
      <c r="A1802" s="85" t="s">
        <v>4337</v>
      </c>
      <c r="B1802" s="81" t="s">
        <v>4278</v>
      </c>
      <c r="C1802" s="26" t="s">
        <v>37</v>
      </c>
      <c r="D1802" s="14"/>
      <c r="E1802" s="15"/>
      <c r="F1802" s="16">
        <f t="shared" si="99"/>
        <v>0</v>
      </c>
      <c r="G1802">
        <f t="shared" si="100"/>
        <v>0</v>
      </c>
    </row>
    <row r="1803" spans="1:7" hidden="1" x14ac:dyDescent="0.25">
      <c r="A1803" s="85" t="s">
        <v>4338</v>
      </c>
      <c r="B1803" s="81" t="s">
        <v>4279</v>
      </c>
      <c r="C1803" s="26" t="s">
        <v>37</v>
      </c>
      <c r="D1803" s="14"/>
      <c r="E1803" s="15"/>
      <c r="F1803" s="16">
        <f t="shared" si="99"/>
        <v>0</v>
      </c>
      <c r="G1803">
        <f t="shared" si="100"/>
        <v>0</v>
      </c>
    </row>
    <row r="1804" spans="1:7" hidden="1" x14ac:dyDescent="0.25">
      <c r="A1804" s="85" t="s">
        <v>4339</v>
      </c>
      <c r="B1804" s="81" t="s">
        <v>4280</v>
      </c>
      <c r="C1804" s="26" t="s">
        <v>37</v>
      </c>
      <c r="D1804" s="14"/>
      <c r="E1804" s="15"/>
      <c r="F1804" s="16">
        <f t="shared" ref="F1804:F1854" si="101">+D1804*E1804</f>
        <v>0</v>
      </c>
      <c r="G1804">
        <f t="shared" si="100"/>
        <v>0</v>
      </c>
    </row>
    <row r="1805" spans="1:7" hidden="1" x14ac:dyDescent="0.25">
      <c r="A1805" s="85" t="s">
        <v>4340</v>
      </c>
      <c r="B1805" s="81" t="s">
        <v>4281</v>
      </c>
      <c r="C1805" s="26" t="s">
        <v>37</v>
      </c>
      <c r="D1805" s="14"/>
      <c r="E1805" s="15"/>
      <c r="F1805" s="16">
        <f t="shared" si="101"/>
        <v>0</v>
      </c>
      <c r="G1805">
        <f t="shared" si="100"/>
        <v>0</v>
      </c>
    </row>
    <row r="1806" spans="1:7" hidden="1" x14ac:dyDescent="0.25">
      <c r="A1806" s="85" t="s">
        <v>4341</v>
      </c>
      <c r="B1806" s="81" t="s">
        <v>4282</v>
      </c>
      <c r="C1806" s="26" t="s">
        <v>37</v>
      </c>
      <c r="D1806" s="14"/>
      <c r="E1806" s="15"/>
      <c r="F1806" s="16">
        <f t="shared" si="101"/>
        <v>0</v>
      </c>
      <c r="G1806">
        <f t="shared" si="100"/>
        <v>0</v>
      </c>
    </row>
    <row r="1807" spans="1:7" hidden="1" x14ac:dyDescent="0.25">
      <c r="A1807" s="85" t="s">
        <v>4342</v>
      </c>
      <c r="B1807" s="81" t="s">
        <v>4283</v>
      </c>
      <c r="C1807" s="26" t="s">
        <v>37</v>
      </c>
      <c r="D1807" s="14"/>
      <c r="E1807" s="15"/>
      <c r="F1807" s="16">
        <f t="shared" si="101"/>
        <v>0</v>
      </c>
      <c r="G1807">
        <f t="shared" si="100"/>
        <v>0</v>
      </c>
    </row>
    <row r="1808" spans="1:7" hidden="1" x14ac:dyDescent="0.25">
      <c r="A1808" s="85" t="s">
        <v>4343</v>
      </c>
      <c r="B1808" s="81" t="s">
        <v>4284</v>
      </c>
      <c r="C1808" s="26" t="s">
        <v>37</v>
      </c>
      <c r="D1808" s="14"/>
      <c r="E1808" s="15"/>
      <c r="F1808" s="16">
        <f t="shared" si="101"/>
        <v>0</v>
      </c>
      <c r="G1808">
        <f t="shared" si="100"/>
        <v>0</v>
      </c>
    </row>
    <row r="1809" spans="1:7" hidden="1" x14ac:dyDescent="0.25">
      <c r="A1809" s="85" t="s">
        <v>4344</v>
      </c>
      <c r="B1809" s="81" t="s">
        <v>4285</v>
      </c>
      <c r="C1809" s="26" t="s">
        <v>37</v>
      </c>
      <c r="D1809" s="14"/>
      <c r="E1809" s="15"/>
      <c r="F1809" s="16">
        <f t="shared" si="101"/>
        <v>0</v>
      </c>
      <c r="G1809">
        <f t="shared" si="100"/>
        <v>0</v>
      </c>
    </row>
    <row r="1810" spans="1:7" hidden="1" x14ac:dyDescent="0.25">
      <c r="A1810" s="85" t="s">
        <v>4345</v>
      </c>
      <c r="B1810" s="81" t="s">
        <v>4286</v>
      </c>
      <c r="C1810" s="26" t="s">
        <v>37</v>
      </c>
      <c r="D1810" s="14"/>
      <c r="E1810" s="15"/>
      <c r="F1810" s="16">
        <f t="shared" si="101"/>
        <v>0</v>
      </c>
      <c r="G1810">
        <f t="shared" si="100"/>
        <v>0</v>
      </c>
    </row>
    <row r="1811" spans="1:7" hidden="1" x14ac:dyDescent="0.25">
      <c r="A1811" s="85" t="s">
        <v>4346</v>
      </c>
      <c r="B1811" s="81" t="s">
        <v>4287</v>
      </c>
      <c r="C1811" s="26" t="s">
        <v>37</v>
      </c>
      <c r="D1811" s="14"/>
      <c r="E1811" s="15"/>
      <c r="F1811" s="16">
        <f t="shared" si="101"/>
        <v>0</v>
      </c>
      <c r="G1811">
        <f t="shared" si="100"/>
        <v>0</v>
      </c>
    </row>
    <row r="1812" spans="1:7" hidden="1" x14ac:dyDescent="0.25">
      <c r="A1812" s="85" t="s">
        <v>4347</v>
      </c>
      <c r="B1812" s="81" t="s">
        <v>4288</v>
      </c>
      <c r="C1812" s="26" t="s">
        <v>37</v>
      </c>
      <c r="D1812" s="14"/>
      <c r="E1812" s="15"/>
      <c r="F1812" s="16">
        <f t="shared" si="101"/>
        <v>0</v>
      </c>
      <c r="G1812">
        <f t="shared" si="100"/>
        <v>0</v>
      </c>
    </row>
    <row r="1813" spans="1:7" hidden="1" x14ac:dyDescent="0.25">
      <c r="A1813" s="85" t="s">
        <v>4348</v>
      </c>
      <c r="B1813" s="81" t="s">
        <v>4289</v>
      </c>
      <c r="C1813" s="26" t="s">
        <v>37</v>
      </c>
      <c r="D1813" s="14"/>
      <c r="E1813" s="15"/>
      <c r="F1813" s="16">
        <f t="shared" si="101"/>
        <v>0</v>
      </c>
      <c r="G1813">
        <f t="shared" si="100"/>
        <v>0</v>
      </c>
    </row>
    <row r="1814" spans="1:7" hidden="1" x14ac:dyDescent="0.25">
      <c r="A1814" s="85" t="s">
        <v>4349</v>
      </c>
      <c r="B1814" s="81" t="s">
        <v>4290</v>
      </c>
      <c r="C1814" s="26" t="s">
        <v>37</v>
      </c>
      <c r="D1814" s="14"/>
      <c r="E1814" s="15"/>
      <c r="F1814" s="16">
        <f t="shared" si="101"/>
        <v>0</v>
      </c>
      <c r="G1814">
        <f t="shared" si="100"/>
        <v>0</v>
      </c>
    </row>
    <row r="1815" spans="1:7" hidden="1" x14ac:dyDescent="0.25">
      <c r="A1815" s="85" t="s">
        <v>4350</v>
      </c>
      <c r="B1815" s="81" t="s">
        <v>4291</v>
      </c>
      <c r="C1815" s="26" t="s">
        <v>37</v>
      </c>
      <c r="D1815" s="14"/>
      <c r="E1815" s="15"/>
      <c r="F1815" s="16">
        <f t="shared" si="101"/>
        <v>0</v>
      </c>
      <c r="G1815">
        <f t="shared" si="100"/>
        <v>0</v>
      </c>
    </row>
    <row r="1816" spans="1:7" hidden="1" x14ac:dyDescent="0.25">
      <c r="A1816" s="85" t="s">
        <v>4351</v>
      </c>
      <c r="B1816" s="81" t="s">
        <v>4292</v>
      </c>
      <c r="C1816" s="26" t="s">
        <v>37</v>
      </c>
      <c r="D1816" s="14"/>
      <c r="E1816" s="15"/>
      <c r="F1816" s="16">
        <f t="shared" si="101"/>
        <v>0</v>
      </c>
      <c r="G1816">
        <f t="shared" si="100"/>
        <v>0</v>
      </c>
    </row>
    <row r="1817" spans="1:7" hidden="1" x14ac:dyDescent="0.25">
      <c r="A1817" s="85" t="s">
        <v>4352</v>
      </c>
      <c r="B1817" s="81" t="s">
        <v>4293</v>
      </c>
      <c r="C1817" s="26" t="s">
        <v>37</v>
      </c>
      <c r="D1817" s="14"/>
      <c r="E1817" s="15"/>
      <c r="F1817" s="16">
        <f t="shared" si="101"/>
        <v>0</v>
      </c>
      <c r="G1817">
        <f t="shared" si="100"/>
        <v>0</v>
      </c>
    </row>
    <row r="1818" spans="1:7" hidden="1" x14ac:dyDescent="0.25">
      <c r="A1818" s="85" t="s">
        <v>4353</v>
      </c>
      <c r="B1818" s="81" t="s">
        <v>4294</v>
      </c>
      <c r="C1818" s="26" t="s">
        <v>37</v>
      </c>
      <c r="D1818" s="14"/>
      <c r="E1818" s="15"/>
      <c r="F1818" s="16">
        <f t="shared" si="101"/>
        <v>0</v>
      </c>
      <c r="G1818">
        <f t="shared" si="100"/>
        <v>0</v>
      </c>
    </row>
    <row r="1819" spans="1:7" hidden="1" x14ac:dyDescent="0.25">
      <c r="A1819" s="85" t="s">
        <v>4354</v>
      </c>
      <c r="B1819" s="81" t="s">
        <v>4295</v>
      </c>
      <c r="C1819" s="26" t="s">
        <v>37</v>
      </c>
      <c r="D1819" s="14"/>
      <c r="E1819" s="15"/>
      <c r="F1819" s="16">
        <f t="shared" si="101"/>
        <v>0</v>
      </c>
      <c r="G1819">
        <f t="shared" si="100"/>
        <v>0</v>
      </c>
    </row>
    <row r="1820" spans="1:7" hidden="1" x14ac:dyDescent="0.25">
      <c r="A1820" s="85" t="s">
        <v>4355</v>
      </c>
      <c r="B1820" s="81" t="s">
        <v>4296</v>
      </c>
      <c r="C1820" s="26" t="s">
        <v>37</v>
      </c>
      <c r="D1820" s="14"/>
      <c r="E1820" s="15"/>
      <c r="F1820" s="16">
        <f t="shared" si="101"/>
        <v>0</v>
      </c>
      <c r="G1820">
        <f t="shared" si="100"/>
        <v>0</v>
      </c>
    </row>
    <row r="1821" spans="1:7" hidden="1" x14ac:dyDescent="0.25">
      <c r="A1821" s="85" t="s">
        <v>4356</v>
      </c>
      <c r="B1821" s="81" t="s">
        <v>4297</v>
      </c>
      <c r="C1821" s="26" t="s">
        <v>37</v>
      </c>
      <c r="D1821" s="14"/>
      <c r="E1821" s="15"/>
      <c r="F1821" s="16">
        <f t="shared" si="101"/>
        <v>0</v>
      </c>
      <c r="G1821">
        <f t="shared" si="100"/>
        <v>0</v>
      </c>
    </row>
    <row r="1822" spans="1:7" hidden="1" x14ac:dyDescent="0.25">
      <c r="A1822" s="85" t="s">
        <v>4357</v>
      </c>
      <c r="B1822" s="81" t="s">
        <v>4298</v>
      </c>
      <c r="C1822" s="26" t="s">
        <v>37</v>
      </c>
      <c r="D1822" s="14"/>
      <c r="E1822" s="15"/>
      <c r="F1822" s="16">
        <f t="shared" si="101"/>
        <v>0</v>
      </c>
      <c r="G1822">
        <f t="shared" si="100"/>
        <v>0</v>
      </c>
    </row>
    <row r="1823" spans="1:7" hidden="1" x14ac:dyDescent="0.25">
      <c r="A1823" s="85" t="s">
        <v>4358</v>
      </c>
      <c r="B1823" s="81" t="s">
        <v>4299</v>
      </c>
      <c r="C1823" s="26" t="s">
        <v>37</v>
      </c>
      <c r="D1823" s="14"/>
      <c r="E1823" s="15"/>
      <c r="F1823" s="16">
        <f t="shared" si="101"/>
        <v>0</v>
      </c>
      <c r="G1823">
        <f t="shared" si="100"/>
        <v>0</v>
      </c>
    </row>
    <row r="1824" spans="1:7" hidden="1" x14ac:dyDescent="0.25">
      <c r="A1824" s="85" t="s">
        <v>4359</v>
      </c>
      <c r="B1824" s="81" t="s">
        <v>4300</v>
      </c>
      <c r="C1824" s="26" t="s">
        <v>37</v>
      </c>
      <c r="D1824" s="14"/>
      <c r="E1824" s="15"/>
      <c r="F1824" s="16">
        <f t="shared" si="101"/>
        <v>0</v>
      </c>
      <c r="G1824">
        <f t="shared" si="100"/>
        <v>0</v>
      </c>
    </row>
    <row r="1825" spans="1:7" hidden="1" x14ac:dyDescent="0.25">
      <c r="A1825" s="85" t="s">
        <v>4360</v>
      </c>
      <c r="B1825" s="81" t="s">
        <v>4301</v>
      </c>
      <c r="C1825" s="26" t="s">
        <v>37</v>
      </c>
      <c r="D1825" s="14"/>
      <c r="E1825" s="15"/>
      <c r="F1825" s="16">
        <f t="shared" si="101"/>
        <v>0</v>
      </c>
      <c r="G1825">
        <f t="shared" si="100"/>
        <v>0</v>
      </c>
    </row>
    <row r="1826" spans="1:7" hidden="1" x14ac:dyDescent="0.25">
      <c r="A1826" s="85" t="s">
        <v>4361</v>
      </c>
      <c r="B1826" s="81" t="s">
        <v>4302</v>
      </c>
      <c r="C1826" s="26" t="s">
        <v>37</v>
      </c>
      <c r="D1826" s="14"/>
      <c r="E1826" s="15"/>
      <c r="F1826" s="16">
        <f t="shared" si="101"/>
        <v>0</v>
      </c>
      <c r="G1826">
        <f t="shared" si="100"/>
        <v>0</v>
      </c>
    </row>
    <row r="1827" spans="1:7" hidden="1" x14ac:dyDescent="0.25">
      <c r="A1827" s="85" t="s">
        <v>4362</v>
      </c>
      <c r="B1827" s="81" t="s">
        <v>4303</v>
      </c>
      <c r="C1827" s="26" t="s">
        <v>37</v>
      </c>
      <c r="D1827" s="14"/>
      <c r="E1827" s="15"/>
      <c r="F1827" s="16">
        <f t="shared" si="101"/>
        <v>0</v>
      </c>
      <c r="G1827">
        <f t="shared" si="100"/>
        <v>0</v>
      </c>
    </row>
    <row r="1828" spans="1:7" hidden="1" x14ac:dyDescent="0.25">
      <c r="A1828" s="85" t="s">
        <v>4363</v>
      </c>
      <c r="B1828" s="81" t="s">
        <v>4304</v>
      </c>
      <c r="C1828" s="26" t="s">
        <v>37</v>
      </c>
      <c r="D1828" s="14"/>
      <c r="E1828" s="15"/>
      <c r="F1828" s="16">
        <f t="shared" si="101"/>
        <v>0</v>
      </c>
      <c r="G1828">
        <f t="shared" ref="G1828:G1891" si="102">+IF(F1828&lt;&gt;0,1,0)</f>
        <v>0</v>
      </c>
    </row>
    <row r="1829" spans="1:7" hidden="1" x14ac:dyDescent="0.25">
      <c r="A1829" s="85" t="s">
        <v>4364</v>
      </c>
      <c r="B1829" s="81" t="s">
        <v>4305</v>
      </c>
      <c r="C1829" s="26" t="s">
        <v>37</v>
      </c>
      <c r="D1829" s="14"/>
      <c r="E1829" s="15"/>
      <c r="F1829" s="16">
        <f t="shared" si="101"/>
        <v>0</v>
      </c>
      <c r="G1829">
        <f t="shared" si="102"/>
        <v>0</v>
      </c>
    </row>
    <row r="1830" spans="1:7" hidden="1" x14ac:dyDescent="0.25">
      <c r="A1830" s="85" t="s">
        <v>4365</v>
      </c>
      <c r="B1830" s="81" t="s">
        <v>4306</v>
      </c>
      <c r="C1830" s="26" t="s">
        <v>37</v>
      </c>
      <c r="D1830" s="14"/>
      <c r="E1830" s="15"/>
      <c r="F1830" s="16">
        <f t="shared" si="101"/>
        <v>0</v>
      </c>
      <c r="G1830">
        <f t="shared" si="102"/>
        <v>0</v>
      </c>
    </row>
    <row r="1831" spans="1:7" hidden="1" x14ac:dyDescent="0.25">
      <c r="A1831" s="85" t="s">
        <v>4366</v>
      </c>
      <c r="B1831" s="81" t="s">
        <v>4307</v>
      </c>
      <c r="C1831" s="26" t="s">
        <v>37</v>
      </c>
      <c r="D1831" s="14"/>
      <c r="E1831" s="15"/>
      <c r="F1831" s="16">
        <f t="shared" si="101"/>
        <v>0</v>
      </c>
      <c r="G1831">
        <f t="shared" si="102"/>
        <v>0</v>
      </c>
    </row>
    <row r="1832" spans="1:7" hidden="1" x14ac:dyDescent="0.25">
      <c r="A1832" s="85" t="s">
        <v>4367</v>
      </c>
      <c r="B1832" s="81" t="s">
        <v>4308</v>
      </c>
      <c r="C1832" s="26" t="s">
        <v>37</v>
      </c>
      <c r="D1832" s="14"/>
      <c r="E1832" s="15"/>
      <c r="F1832" s="16">
        <f t="shared" si="101"/>
        <v>0</v>
      </c>
      <c r="G1832">
        <f t="shared" si="102"/>
        <v>0</v>
      </c>
    </row>
    <row r="1833" spans="1:7" hidden="1" x14ac:dyDescent="0.25">
      <c r="A1833" s="85" t="s">
        <v>4368</v>
      </c>
      <c r="B1833" s="81" t="s">
        <v>4309</v>
      </c>
      <c r="C1833" s="26" t="s">
        <v>37</v>
      </c>
      <c r="D1833" s="14"/>
      <c r="E1833" s="15"/>
      <c r="F1833" s="16">
        <f t="shared" si="101"/>
        <v>0</v>
      </c>
      <c r="G1833">
        <f t="shared" si="102"/>
        <v>0</v>
      </c>
    </row>
    <row r="1834" spans="1:7" hidden="1" x14ac:dyDescent="0.25">
      <c r="A1834" s="85" t="s">
        <v>4369</v>
      </c>
      <c r="B1834" s="81" t="s">
        <v>4310</v>
      </c>
      <c r="C1834" s="26" t="s">
        <v>37</v>
      </c>
      <c r="D1834" s="14"/>
      <c r="E1834" s="15"/>
      <c r="F1834" s="16">
        <f t="shared" si="101"/>
        <v>0</v>
      </c>
      <c r="G1834">
        <f t="shared" si="102"/>
        <v>0</v>
      </c>
    </row>
    <row r="1835" spans="1:7" hidden="1" x14ac:dyDescent="0.25">
      <c r="A1835" s="85" t="s">
        <v>4370</v>
      </c>
      <c r="B1835" s="81" t="s">
        <v>4311</v>
      </c>
      <c r="C1835" s="26" t="s">
        <v>37</v>
      </c>
      <c r="D1835" s="14"/>
      <c r="E1835" s="15"/>
      <c r="F1835" s="16">
        <f t="shared" si="101"/>
        <v>0</v>
      </c>
      <c r="G1835">
        <f t="shared" si="102"/>
        <v>0</v>
      </c>
    </row>
    <row r="1836" spans="1:7" hidden="1" x14ac:dyDescent="0.25">
      <c r="A1836" s="85" t="s">
        <v>4371</v>
      </c>
      <c r="B1836" s="81" t="s">
        <v>4312</v>
      </c>
      <c r="C1836" s="26" t="s">
        <v>37</v>
      </c>
      <c r="D1836" s="14"/>
      <c r="E1836" s="15"/>
      <c r="F1836" s="16">
        <f t="shared" si="101"/>
        <v>0</v>
      </c>
      <c r="G1836">
        <f t="shared" si="102"/>
        <v>0</v>
      </c>
    </row>
    <row r="1837" spans="1:7" hidden="1" x14ac:dyDescent="0.25">
      <c r="A1837" s="85" t="s">
        <v>4372</v>
      </c>
      <c r="B1837" s="81" t="s">
        <v>4313</v>
      </c>
      <c r="C1837" s="26" t="s">
        <v>37</v>
      </c>
      <c r="D1837" s="14"/>
      <c r="E1837" s="15"/>
      <c r="F1837" s="16">
        <f t="shared" si="101"/>
        <v>0</v>
      </c>
      <c r="G1837">
        <f t="shared" si="102"/>
        <v>0</v>
      </c>
    </row>
    <row r="1838" spans="1:7" hidden="1" x14ac:dyDescent="0.25">
      <c r="A1838" s="85" t="s">
        <v>4373</v>
      </c>
      <c r="B1838" s="81" t="s">
        <v>4314</v>
      </c>
      <c r="C1838" s="26" t="s">
        <v>37</v>
      </c>
      <c r="D1838" s="14"/>
      <c r="E1838" s="15"/>
      <c r="F1838" s="16">
        <f t="shared" si="101"/>
        <v>0</v>
      </c>
      <c r="G1838">
        <f t="shared" si="102"/>
        <v>0</v>
      </c>
    </row>
    <row r="1839" spans="1:7" hidden="1" x14ac:dyDescent="0.25">
      <c r="A1839" s="85" t="s">
        <v>4374</v>
      </c>
      <c r="B1839" s="81" t="s">
        <v>4315</v>
      </c>
      <c r="C1839" s="26" t="s">
        <v>37</v>
      </c>
      <c r="D1839" s="14"/>
      <c r="E1839" s="15"/>
      <c r="F1839" s="16">
        <f t="shared" si="101"/>
        <v>0</v>
      </c>
      <c r="G1839">
        <f t="shared" si="102"/>
        <v>0</v>
      </c>
    </row>
    <row r="1840" spans="1:7" hidden="1" x14ac:dyDescent="0.25">
      <c r="A1840" s="85" t="s">
        <v>4375</v>
      </c>
      <c r="B1840" s="81" t="s">
        <v>4316</v>
      </c>
      <c r="C1840" s="26" t="s">
        <v>37</v>
      </c>
      <c r="D1840" s="14"/>
      <c r="E1840" s="15"/>
      <c r="F1840" s="16">
        <f t="shared" si="101"/>
        <v>0</v>
      </c>
      <c r="G1840">
        <f t="shared" si="102"/>
        <v>0</v>
      </c>
    </row>
    <row r="1841" spans="1:7" hidden="1" x14ac:dyDescent="0.25">
      <c r="A1841" s="85" t="s">
        <v>4376</v>
      </c>
      <c r="B1841" s="81" t="s">
        <v>4317</v>
      </c>
      <c r="C1841" s="26" t="s">
        <v>37</v>
      </c>
      <c r="D1841" s="14"/>
      <c r="E1841" s="15"/>
      <c r="F1841" s="16">
        <f t="shared" si="101"/>
        <v>0</v>
      </c>
      <c r="G1841">
        <f t="shared" si="102"/>
        <v>0</v>
      </c>
    </row>
    <row r="1842" spans="1:7" hidden="1" x14ac:dyDescent="0.25">
      <c r="A1842" s="85" t="s">
        <v>4377</v>
      </c>
      <c r="B1842" s="81" t="s">
        <v>4318</v>
      </c>
      <c r="C1842" s="26" t="s">
        <v>37</v>
      </c>
      <c r="D1842" s="14"/>
      <c r="E1842" s="15"/>
      <c r="F1842" s="16">
        <f t="shared" si="101"/>
        <v>0</v>
      </c>
      <c r="G1842">
        <f t="shared" si="102"/>
        <v>0</v>
      </c>
    </row>
    <row r="1843" spans="1:7" hidden="1" x14ac:dyDescent="0.25">
      <c r="A1843" s="85" t="s">
        <v>4378</v>
      </c>
      <c r="B1843" s="81" t="s">
        <v>4319</v>
      </c>
      <c r="C1843" s="26" t="s">
        <v>37</v>
      </c>
      <c r="D1843" s="14"/>
      <c r="E1843" s="15"/>
      <c r="F1843" s="16">
        <f t="shared" si="101"/>
        <v>0</v>
      </c>
      <c r="G1843">
        <f t="shared" si="102"/>
        <v>0</v>
      </c>
    </row>
    <row r="1844" spans="1:7" hidden="1" x14ac:dyDescent="0.25">
      <c r="A1844" s="85" t="s">
        <v>4379</v>
      </c>
      <c r="B1844" s="81" t="s">
        <v>4320</v>
      </c>
      <c r="C1844" s="26" t="s">
        <v>37</v>
      </c>
      <c r="D1844" s="14"/>
      <c r="E1844" s="15"/>
      <c r="F1844" s="16">
        <f t="shared" si="101"/>
        <v>0</v>
      </c>
      <c r="G1844">
        <f t="shared" si="102"/>
        <v>0</v>
      </c>
    </row>
    <row r="1845" spans="1:7" hidden="1" x14ac:dyDescent="0.25">
      <c r="A1845" s="85" t="s">
        <v>4380</v>
      </c>
      <c r="B1845" s="81" t="s">
        <v>4321</v>
      </c>
      <c r="C1845" s="26" t="s">
        <v>37</v>
      </c>
      <c r="D1845" s="14"/>
      <c r="E1845" s="15"/>
      <c r="F1845" s="16">
        <f t="shared" si="101"/>
        <v>0</v>
      </c>
      <c r="G1845">
        <f t="shared" si="102"/>
        <v>0</v>
      </c>
    </row>
    <row r="1846" spans="1:7" hidden="1" x14ac:dyDescent="0.25">
      <c r="A1846" s="85" t="s">
        <v>4381</v>
      </c>
      <c r="B1846" s="81" t="s">
        <v>4322</v>
      </c>
      <c r="C1846" s="26" t="s">
        <v>37</v>
      </c>
      <c r="D1846" s="14"/>
      <c r="E1846" s="15"/>
      <c r="F1846" s="16">
        <f t="shared" si="101"/>
        <v>0</v>
      </c>
      <c r="G1846">
        <f t="shared" si="102"/>
        <v>0</v>
      </c>
    </row>
    <row r="1847" spans="1:7" hidden="1" x14ac:dyDescent="0.25">
      <c r="A1847" s="85" t="s">
        <v>4382</v>
      </c>
      <c r="B1847" s="81" t="s">
        <v>4323</v>
      </c>
      <c r="C1847" s="26" t="s">
        <v>37</v>
      </c>
      <c r="D1847" s="14"/>
      <c r="E1847" s="15"/>
      <c r="F1847" s="16">
        <f t="shared" si="101"/>
        <v>0</v>
      </c>
      <c r="G1847">
        <f t="shared" si="102"/>
        <v>0</v>
      </c>
    </row>
    <row r="1848" spans="1:7" hidden="1" x14ac:dyDescent="0.25">
      <c r="A1848" s="85" t="s">
        <v>4383</v>
      </c>
      <c r="B1848" s="81" t="s">
        <v>4324</v>
      </c>
      <c r="C1848" s="26" t="s">
        <v>37</v>
      </c>
      <c r="D1848" s="14"/>
      <c r="E1848" s="15"/>
      <c r="F1848" s="16">
        <f t="shared" si="101"/>
        <v>0</v>
      </c>
      <c r="G1848">
        <f t="shared" si="102"/>
        <v>0</v>
      </c>
    </row>
    <row r="1849" spans="1:7" hidden="1" x14ac:dyDescent="0.25">
      <c r="A1849" s="85" t="s">
        <v>4384</v>
      </c>
      <c r="B1849" s="81" t="s">
        <v>4325</v>
      </c>
      <c r="C1849" s="26" t="s">
        <v>37</v>
      </c>
      <c r="D1849" s="14"/>
      <c r="E1849" s="15"/>
      <c r="F1849" s="16">
        <f t="shared" si="101"/>
        <v>0</v>
      </c>
      <c r="G1849">
        <f t="shared" si="102"/>
        <v>0</v>
      </c>
    </row>
    <row r="1850" spans="1:7" hidden="1" x14ac:dyDescent="0.25">
      <c r="A1850" s="85" t="s">
        <v>4385</v>
      </c>
      <c r="B1850" s="81" t="s">
        <v>4326</v>
      </c>
      <c r="C1850" s="26" t="s">
        <v>37</v>
      </c>
      <c r="D1850" s="14"/>
      <c r="E1850" s="15"/>
      <c r="F1850" s="16">
        <f t="shared" si="101"/>
        <v>0</v>
      </c>
      <c r="G1850">
        <f t="shared" si="102"/>
        <v>0</v>
      </c>
    </row>
    <row r="1851" spans="1:7" hidden="1" x14ac:dyDescent="0.25">
      <c r="A1851" s="85" t="s">
        <v>4386</v>
      </c>
      <c r="B1851" s="81" t="s">
        <v>4327</v>
      </c>
      <c r="C1851" s="26" t="s">
        <v>37</v>
      </c>
      <c r="D1851" s="14"/>
      <c r="E1851" s="15"/>
      <c r="F1851" s="16">
        <f t="shared" si="101"/>
        <v>0</v>
      </c>
      <c r="G1851">
        <f t="shared" si="102"/>
        <v>0</v>
      </c>
    </row>
    <row r="1852" spans="1:7" hidden="1" x14ac:dyDescent="0.25">
      <c r="A1852" s="85" t="s">
        <v>4387</v>
      </c>
      <c r="B1852" s="81" t="s">
        <v>4328</v>
      </c>
      <c r="C1852" s="26" t="s">
        <v>37</v>
      </c>
      <c r="D1852" s="14"/>
      <c r="E1852" s="15"/>
      <c r="F1852" s="16">
        <f t="shared" si="101"/>
        <v>0</v>
      </c>
      <c r="G1852">
        <f t="shared" si="102"/>
        <v>0</v>
      </c>
    </row>
    <row r="1853" spans="1:7" hidden="1" x14ac:dyDescent="0.25">
      <c r="A1853" s="85" t="s">
        <v>4388</v>
      </c>
      <c r="B1853" s="81" t="s">
        <v>4329</v>
      </c>
      <c r="C1853" s="26" t="s">
        <v>37</v>
      </c>
      <c r="D1853" s="14"/>
      <c r="E1853" s="15"/>
      <c r="F1853" s="16">
        <f t="shared" si="101"/>
        <v>0</v>
      </c>
      <c r="G1853">
        <f t="shared" si="102"/>
        <v>0</v>
      </c>
    </row>
    <row r="1854" spans="1:7" hidden="1" x14ac:dyDescent="0.25">
      <c r="A1854" s="85" t="s">
        <v>4389</v>
      </c>
      <c r="B1854" s="81" t="s">
        <v>4330</v>
      </c>
      <c r="C1854" s="26" t="s">
        <v>37</v>
      </c>
      <c r="D1854" s="14"/>
      <c r="E1854" s="15"/>
      <c r="F1854" s="16">
        <f t="shared" si="101"/>
        <v>0</v>
      </c>
      <c r="G1854">
        <f t="shared" si="102"/>
        <v>0</v>
      </c>
    </row>
    <row r="1855" spans="1:7" hidden="1" x14ac:dyDescent="0.25">
      <c r="A1855" s="78" t="s">
        <v>4390</v>
      </c>
      <c r="B1855" s="80" t="s">
        <v>4391</v>
      </c>
      <c r="C1855" s="26"/>
      <c r="D1855" s="14"/>
      <c r="E1855" s="15"/>
      <c r="F1855" s="16"/>
      <c r="G1855">
        <f t="shared" si="102"/>
        <v>0</v>
      </c>
    </row>
    <row r="1856" spans="1:7" hidden="1" x14ac:dyDescent="0.25">
      <c r="A1856" s="85" t="s">
        <v>4393</v>
      </c>
      <c r="B1856" s="80" t="s">
        <v>4392</v>
      </c>
      <c r="C1856" s="26"/>
      <c r="D1856" s="14"/>
      <c r="E1856" s="15"/>
      <c r="F1856" s="16"/>
      <c r="G1856">
        <f t="shared" si="102"/>
        <v>0</v>
      </c>
    </row>
    <row r="1857" spans="1:7" hidden="1" x14ac:dyDescent="0.25">
      <c r="A1857" s="85" t="s">
        <v>4394</v>
      </c>
      <c r="B1857" s="81" t="s">
        <v>4398</v>
      </c>
      <c r="C1857" s="26" t="s">
        <v>37</v>
      </c>
      <c r="D1857" s="14"/>
      <c r="E1857" s="15"/>
      <c r="F1857" s="16">
        <f t="shared" ref="F1857:F1868" si="103">+D1857*E1857</f>
        <v>0</v>
      </c>
      <c r="G1857">
        <f t="shared" si="102"/>
        <v>0</v>
      </c>
    </row>
    <row r="1858" spans="1:7" hidden="1" x14ac:dyDescent="0.25">
      <c r="A1858" s="85" t="s">
        <v>4422</v>
      </c>
      <c r="B1858" s="81" t="s">
        <v>4399</v>
      </c>
      <c r="C1858" s="26" t="s">
        <v>37</v>
      </c>
      <c r="D1858" s="14"/>
      <c r="E1858" s="15"/>
      <c r="F1858" s="16">
        <f t="shared" si="103"/>
        <v>0</v>
      </c>
      <c r="G1858">
        <f t="shared" si="102"/>
        <v>0</v>
      </c>
    </row>
    <row r="1859" spans="1:7" hidden="1" x14ac:dyDescent="0.25">
      <c r="A1859" s="85" t="s">
        <v>4423</v>
      </c>
      <c r="B1859" s="81" t="s">
        <v>4400</v>
      </c>
      <c r="C1859" s="26" t="s">
        <v>37</v>
      </c>
      <c r="D1859" s="14"/>
      <c r="E1859" s="15"/>
      <c r="F1859" s="16">
        <f t="shared" si="103"/>
        <v>0</v>
      </c>
      <c r="G1859">
        <f t="shared" si="102"/>
        <v>0</v>
      </c>
    </row>
    <row r="1860" spans="1:7" hidden="1" x14ac:dyDescent="0.25">
      <c r="A1860" s="85" t="s">
        <v>4424</v>
      </c>
      <c r="B1860" s="81" t="s">
        <v>4401</v>
      </c>
      <c r="C1860" s="26" t="s">
        <v>37</v>
      </c>
      <c r="D1860" s="14"/>
      <c r="E1860" s="15"/>
      <c r="F1860" s="16">
        <f t="shared" si="103"/>
        <v>0</v>
      </c>
      <c r="G1860">
        <f t="shared" si="102"/>
        <v>0</v>
      </c>
    </row>
    <row r="1861" spans="1:7" hidden="1" x14ac:dyDescent="0.25">
      <c r="A1861" s="85" t="s">
        <v>4425</v>
      </c>
      <c r="B1861" s="81" t="s">
        <v>4402</v>
      </c>
      <c r="C1861" s="26" t="s">
        <v>37</v>
      </c>
      <c r="D1861" s="14"/>
      <c r="E1861" s="15"/>
      <c r="F1861" s="16">
        <f t="shared" si="103"/>
        <v>0</v>
      </c>
      <c r="G1861">
        <f t="shared" si="102"/>
        <v>0</v>
      </c>
    </row>
    <row r="1862" spans="1:7" hidden="1" x14ac:dyDescent="0.25">
      <c r="A1862" s="85" t="s">
        <v>4426</v>
      </c>
      <c r="B1862" s="81" t="s">
        <v>4403</v>
      </c>
      <c r="C1862" s="26" t="s">
        <v>37</v>
      </c>
      <c r="D1862" s="14"/>
      <c r="E1862" s="15"/>
      <c r="F1862" s="16">
        <f t="shared" si="103"/>
        <v>0</v>
      </c>
      <c r="G1862">
        <f t="shared" si="102"/>
        <v>0</v>
      </c>
    </row>
    <row r="1863" spans="1:7" hidden="1" x14ac:dyDescent="0.25">
      <c r="A1863" s="85" t="s">
        <v>4427</v>
      </c>
      <c r="B1863" s="81" t="s">
        <v>4404</v>
      </c>
      <c r="C1863" s="26" t="s">
        <v>37</v>
      </c>
      <c r="D1863" s="14"/>
      <c r="E1863" s="15"/>
      <c r="F1863" s="16">
        <f t="shared" si="103"/>
        <v>0</v>
      </c>
      <c r="G1863">
        <f t="shared" si="102"/>
        <v>0</v>
      </c>
    </row>
    <row r="1864" spans="1:7" hidden="1" x14ac:dyDescent="0.25">
      <c r="A1864" s="85" t="s">
        <v>4428</v>
      </c>
      <c r="B1864" s="81" t="s">
        <v>4405</v>
      </c>
      <c r="C1864" s="26" t="s">
        <v>37</v>
      </c>
      <c r="D1864" s="14"/>
      <c r="E1864" s="15"/>
      <c r="F1864" s="16">
        <f t="shared" si="103"/>
        <v>0</v>
      </c>
      <c r="G1864">
        <f t="shared" si="102"/>
        <v>0</v>
      </c>
    </row>
    <row r="1865" spans="1:7" hidden="1" x14ac:dyDescent="0.25">
      <c r="A1865" s="85" t="s">
        <v>4429</v>
      </c>
      <c r="B1865" s="81" t="s">
        <v>4406</v>
      </c>
      <c r="C1865" s="26" t="s">
        <v>37</v>
      </c>
      <c r="D1865" s="14"/>
      <c r="E1865" s="15"/>
      <c r="F1865" s="16">
        <f t="shared" si="103"/>
        <v>0</v>
      </c>
      <c r="G1865">
        <f t="shared" si="102"/>
        <v>0</v>
      </c>
    </row>
    <row r="1866" spans="1:7" hidden="1" x14ac:dyDescent="0.25">
      <c r="A1866" s="85" t="s">
        <v>4430</v>
      </c>
      <c r="B1866" s="81" t="s">
        <v>4407</v>
      </c>
      <c r="C1866" s="26" t="s">
        <v>37</v>
      </c>
      <c r="D1866" s="14"/>
      <c r="E1866" s="15"/>
      <c r="F1866" s="16">
        <f t="shared" si="103"/>
        <v>0</v>
      </c>
      <c r="G1866">
        <f t="shared" si="102"/>
        <v>0</v>
      </c>
    </row>
    <row r="1867" spans="1:7" hidden="1" x14ac:dyDescent="0.25">
      <c r="A1867" s="85" t="s">
        <v>4431</v>
      </c>
      <c r="B1867" s="81" t="s">
        <v>4408</v>
      </c>
      <c r="C1867" s="26" t="s">
        <v>37</v>
      </c>
      <c r="D1867" s="14"/>
      <c r="E1867" s="15"/>
      <c r="F1867" s="16">
        <f t="shared" si="103"/>
        <v>0</v>
      </c>
      <c r="G1867">
        <f t="shared" si="102"/>
        <v>0</v>
      </c>
    </row>
    <row r="1868" spans="1:7" hidden="1" x14ac:dyDescent="0.25">
      <c r="A1868" s="85" t="s">
        <v>4432</v>
      </c>
      <c r="B1868" s="81" t="s">
        <v>4395</v>
      </c>
      <c r="C1868" s="26" t="s">
        <v>37</v>
      </c>
      <c r="D1868" s="14"/>
      <c r="E1868" s="15"/>
      <c r="F1868" s="16">
        <f t="shared" si="103"/>
        <v>0</v>
      </c>
      <c r="G1868">
        <f t="shared" si="102"/>
        <v>0</v>
      </c>
    </row>
    <row r="1869" spans="1:7" hidden="1" x14ac:dyDescent="0.25">
      <c r="A1869" s="78" t="s">
        <v>4410</v>
      </c>
      <c r="B1869" s="80" t="s">
        <v>4409</v>
      </c>
      <c r="C1869" s="26"/>
      <c r="D1869" s="14"/>
      <c r="E1869" s="15"/>
      <c r="F1869" s="16"/>
      <c r="G1869">
        <f t="shared" si="102"/>
        <v>0</v>
      </c>
    </row>
    <row r="1870" spans="1:7" hidden="1" x14ac:dyDescent="0.25">
      <c r="A1870" s="85" t="s">
        <v>4411</v>
      </c>
      <c r="B1870" s="81" t="s">
        <v>4397</v>
      </c>
      <c r="C1870" s="26" t="s">
        <v>37</v>
      </c>
      <c r="D1870" s="14"/>
      <c r="E1870" s="15"/>
      <c r="F1870" s="16">
        <f t="shared" ref="F1870:F1881" si="104">+D1870*E1870</f>
        <v>0</v>
      </c>
      <c r="G1870">
        <f t="shared" si="102"/>
        <v>0</v>
      </c>
    </row>
    <row r="1871" spans="1:7" hidden="1" x14ac:dyDescent="0.25">
      <c r="A1871" s="85" t="s">
        <v>4412</v>
      </c>
      <c r="B1871" s="81" t="s">
        <v>4434</v>
      </c>
      <c r="C1871" s="26" t="s">
        <v>37</v>
      </c>
      <c r="D1871" s="14"/>
      <c r="E1871" s="15"/>
      <c r="F1871" s="16">
        <f t="shared" si="104"/>
        <v>0</v>
      </c>
      <c r="G1871">
        <f t="shared" si="102"/>
        <v>0</v>
      </c>
    </row>
    <row r="1872" spans="1:7" hidden="1" x14ac:dyDescent="0.25">
      <c r="A1872" s="85" t="s">
        <v>4413</v>
      </c>
      <c r="B1872" s="81" t="s">
        <v>4435</v>
      </c>
      <c r="C1872" s="26" t="s">
        <v>37</v>
      </c>
      <c r="D1872" s="14"/>
      <c r="E1872" s="15"/>
      <c r="F1872" s="16">
        <f t="shared" si="104"/>
        <v>0</v>
      </c>
      <c r="G1872">
        <f t="shared" si="102"/>
        <v>0</v>
      </c>
    </row>
    <row r="1873" spans="1:7" hidden="1" x14ac:dyDescent="0.25">
      <c r="A1873" s="85" t="s">
        <v>4414</v>
      </c>
      <c r="B1873" s="81" t="s">
        <v>4436</v>
      </c>
      <c r="C1873" s="26" t="s">
        <v>37</v>
      </c>
      <c r="D1873" s="14"/>
      <c r="E1873" s="15"/>
      <c r="F1873" s="16">
        <f t="shared" si="104"/>
        <v>0</v>
      </c>
      <c r="G1873">
        <f t="shared" si="102"/>
        <v>0</v>
      </c>
    </row>
    <row r="1874" spans="1:7" hidden="1" x14ac:dyDescent="0.25">
      <c r="A1874" s="85" t="s">
        <v>4415</v>
      </c>
      <c r="B1874" s="81" t="s">
        <v>4437</v>
      </c>
      <c r="C1874" s="26" t="s">
        <v>37</v>
      </c>
      <c r="D1874" s="14"/>
      <c r="E1874" s="15"/>
      <c r="F1874" s="16">
        <f t="shared" si="104"/>
        <v>0</v>
      </c>
      <c r="G1874">
        <f t="shared" si="102"/>
        <v>0</v>
      </c>
    </row>
    <row r="1875" spans="1:7" hidden="1" x14ac:dyDescent="0.25">
      <c r="A1875" s="85" t="s">
        <v>4416</v>
      </c>
      <c r="B1875" s="81" t="s">
        <v>4438</v>
      </c>
      <c r="C1875" s="26" t="s">
        <v>37</v>
      </c>
      <c r="D1875" s="14"/>
      <c r="E1875" s="15"/>
      <c r="F1875" s="16">
        <f t="shared" si="104"/>
        <v>0</v>
      </c>
      <c r="G1875">
        <f t="shared" si="102"/>
        <v>0</v>
      </c>
    </row>
    <row r="1876" spans="1:7" hidden="1" x14ac:dyDescent="0.25">
      <c r="A1876" s="85" t="s">
        <v>4417</v>
      </c>
      <c r="B1876" s="81" t="s">
        <v>4439</v>
      </c>
      <c r="C1876" s="26" t="s">
        <v>37</v>
      </c>
      <c r="D1876" s="14"/>
      <c r="E1876" s="15"/>
      <c r="F1876" s="16">
        <f t="shared" si="104"/>
        <v>0</v>
      </c>
      <c r="G1876">
        <f t="shared" si="102"/>
        <v>0</v>
      </c>
    </row>
    <row r="1877" spans="1:7" hidden="1" x14ac:dyDescent="0.25">
      <c r="A1877" s="85" t="s">
        <v>4418</v>
      </c>
      <c r="B1877" s="81" t="s">
        <v>4440</v>
      </c>
      <c r="C1877" s="26" t="s">
        <v>37</v>
      </c>
      <c r="D1877" s="14"/>
      <c r="E1877" s="15"/>
      <c r="F1877" s="16">
        <f t="shared" si="104"/>
        <v>0</v>
      </c>
      <c r="G1877">
        <f t="shared" si="102"/>
        <v>0</v>
      </c>
    </row>
    <row r="1878" spans="1:7" hidden="1" x14ac:dyDescent="0.25">
      <c r="A1878" s="85" t="s">
        <v>4419</v>
      </c>
      <c r="B1878" s="81" t="s">
        <v>4441</v>
      </c>
      <c r="C1878" s="26" t="s">
        <v>37</v>
      </c>
      <c r="D1878" s="14"/>
      <c r="E1878" s="15"/>
      <c r="F1878" s="16">
        <f t="shared" si="104"/>
        <v>0</v>
      </c>
      <c r="G1878">
        <f t="shared" si="102"/>
        <v>0</v>
      </c>
    </row>
    <row r="1879" spans="1:7" hidden="1" x14ac:dyDescent="0.25">
      <c r="A1879" s="85" t="s">
        <v>4420</v>
      </c>
      <c r="B1879" s="81" t="s">
        <v>4442</v>
      </c>
      <c r="C1879" s="26" t="s">
        <v>37</v>
      </c>
      <c r="D1879" s="14"/>
      <c r="E1879" s="15"/>
      <c r="F1879" s="16">
        <f t="shared" si="104"/>
        <v>0</v>
      </c>
      <c r="G1879">
        <f t="shared" si="102"/>
        <v>0</v>
      </c>
    </row>
    <row r="1880" spans="1:7" hidden="1" x14ac:dyDescent="0.25">
      <c r="A1880" s="85" t="s">
        <v>4421</v>
      </c>
      <c r="B1880" s="81" t="s">
        <v>4443</v>
      </c>
      <c r="C1880" s="26" t="s">
        <v>37</v>
      </c>
      <c r="D1880" s="14"/>
      <c r="E1880" s="15"/>
      <c r="F1880" s="16">
        <f t="shared" si="104"/>
        <v>0</v>
      </c>
      <c r="G1880">
        <f t="shared" si="102"/>
        <v>0</v>
      </c>
    </row>
    <row r="1881" spans="1:7" hidden="1" x14ac:dyDescent="0.25">
      <c r="A1881" s="85" t="s">
        <v>4433</v>
      </c>
      <c r="B1881" s="81" t="s">
        <v>4396</v>
      </c>
      <c r="C1881" s="26" t="s">
        <v>37</v>
      </c>
      <c r="D1881" s="14"/>
      <c r="E1881" s="15"/>
      <c r="F1881" s="16">
        <f t="shared" si="104"/>
        <v>0</v>
      </c>
      <c r="G1881">
        <f t="shared" si="102"/>
        <v>0</v>
      </c>
    </row>
    <row r="1882" spans="1:7" x14ac:dyDescent="0.25">
      <c r="A1882" s="78" t="s">
        <v>4444</v>
      </c>
      <c r="B1882" s="80" t="s">
        <v>990</v>
      </c>
      <c r="C1882" s="26"/>
      <c r="D1882" s="14"/>
      <c r="E1882" s="15"/>
      <c r="F1882" s="16"/>
      <c r="G1882">
        <v>1</v>
      </c>
    </row>
    <row r="1883" spans="1:7" hidden="1" x14ac:dyDescent="0.25">
      <c r="A1883" s="78" t="s">
        <v>4445</v>
      </c>
      <c r="B1883" s="80" t="s">
        <v>4446</v>
      </c>
      <c r="C1883" s="26"/>
      <c r="D1883" s="14"/>
      <c r="E1883" s="15"/>
      <c r="F1883" s="16"/>
      <c r="G1883">
        <f t="shared" si="102"/>
        <v>0</v>
      </c>
    </row>
    <row r="1884" spans="1:7" hidden="1" x14ac:dyDescent="0.25">
      <c r="A1884" s="85" t="s">
        <v>4458</v>
      </c>
      <c r="B1884" s="81" t="s">
        <v>4447</v>
      </c>
      <c r="C1884" s="26" t="s">
        <v>37</v>
      </c>
      <c r="D1884" s="14"/>
      <c r="E1884" s="15"/>
      <c r="F1884" s="16">
        <f t="shared" ref="F1884:F1895" si="105">+D1884*E1884</f>
        <v>0</v>
      </c>
      <c r="G1884">
        <f t="shared" si="102"/>
        <v>0</v>
      </c>
    </row>
    <row r="1885" spans="1:7" hidden="1" x14ac:dyDescent="0.25">
      <c r="A1885" s="85" t="s">
        <v>4459</v>
      </c>
      <c r="B1885" s="81" t="s">
        <v>4497</v>
      </c>
      <c r="C1885" s="26" t="s">
        <v>37</v>
      </c>
      <c r="D1885" s="14"/>
      <c r="E1885" s="15"/>
      <c r="F1885" s="16">
        <f t="shared" si="105"/>
        <v>0</v>
      </c>
      <c r="G1885">
        <f t="shared" si="102"/>
        <v>0</v>
      </c>
    </row>
    <row r="1886" spans="1:7" hidden="1" x14ac:dyDescent="0.25">
      <c r="A1886" s="85" t="s">
        <v>4460</v>
      </c>
      <c r="B1886" s="81" t="s">
        <v>4448</v>
      </c>
      <c r="C1886" s="26" t="s">
        <v>37</v>
      </c>
      <c r="D1886" s="14"/>
      <c r="E1886" s="15"/>
      <c r="F1886" s="16">
        <f t="shared" si="105"/>
        <v>0</v>
      </c>
      <c r="G1886">
        <f t="shared" si="102"/>
        <v>0</v>
      </c>
    </row>
    <row r="1887" spans="1:7" hidden="1" x14ac:dyDescent="0.25">
      <c r="A1887" s="85" t="s">
        <v>4461</v>
      </c>
      <c r="B1887" s="81" t="s">
        <v>4449</v>
      </c>
      <c r="C1887" s="26" t="s">
        <v>37</v>
      </c>
      <c r="D1887" s="14"/>
      <c r="E1887" s="15"/>
      <c r="F1887" s="16">
        <f t="shared" si="105"/>
        <v>0</v>
      </c>
      <c r="G1887">
        <f t="shared" si="102"/>
        <v>0</v>
      </c>
    </row>
    <row r="1888" spans="1:7" hidden="1" x14ac:dyDescent="0.25">
      <c r="A1888" s="85" t="s">
        <v>4462</v>
      </c>
      <c r="B1888" s="81" t="s">
        <v>4450</v>
      </c>
      <c r="C1888" s="26" t="s">
        <v>37</v>
      </c>
      <c r="D1888" s="14"/>
      <c r="E1888" s="15"/>
      <c r="F1888" s="16">
        <f t="shared" si="105"/>
        <v>0</v>
      </c>
      <c r="G1888">
        <f t="shared" si="102"/>
        <v>0</v>
      </c>
    </row>
    <row r="1889" spans="1:7" hidden="1" x14ac:dyDescent="0.25">
      <c r="A1889" s="85" t="s">
        <v>4463</v>
      </c>
      <c r="B1889" s="81" t="s">
        <v>4451</v>
      </c>
      <c r="C1889" s="26" t="s">
        <v>37</v>
      </c>
      <c r="D1889" s="14"/>
      <c r="E1889" s="15"/>
      <c r="F1889" s="16">
        <f t="shared" si="105"/>
        <v>0</v>
      </c>
      <c r="G1889">
        <f t="shared" si="102"/>
        <v>0</v>
      </c>
    </row>
    <row r="1890" spans="1:7" hidden="1" x14ac:dyDescent="0.25">
      <c r="A1890" s="85" t="s">
        <v>4464</v>
      </c>
      <c r="B1890" s="81" t="s">
        <v>4452</v>
      </c>
      <c r="C1890" s="26" t="s">
        <v>37</v>
      </c>
      <c r="D1890" s="14"/>
      <c r="E1890" s="15"/>
      <c r="F1890" s="16">
        <f t="shared" si="105"/>
        <v>0</v>
      </c>
      <c r="G1890">
        <f t="shared" si="102"/>
        <v>0</v>
      </c>
    </row>
    <row r="1891" spans="1:7" hidden="1" x14ac:dyDescent="0.25">
      <c r="A1891" s="85" t="s">
        <v>4465</v>
      </c>
      <c r="B1891" s="81" t="s">
        <v>4453</v>
      </c>
      <c r="C1891" s="26" t="s">
        <v>37</v>
      </c>
      <c r="D1891" s="14"/>
      <c r="E1891" s="15"/>
      <c r="F1891" s="16">
        <f t="shared" si="105"/>
        <v>0</v>
      </c>
      <c r="G1891">
        <f t="shared" si="102"/>
        <v>0</v>
      </c>
    </row>
    <row r="1892" spans="1:7" hidden="1" x14ac:dyDescent="0.25">
      <c r="A1892" s="85" t="s">
        <v>4466</v>
      </c>
      <c r="B1892" s="81" t="s">
        <v>4454</v>
      </c>
      <c r="C1892" s="26" t="s">
        <v>37</v>
      </c>
      <c r="D1892" s="14"/>
      <c r="E1892" s="15"/>
      <c r="F1892" s="16">
        <f t="shared" si="105"/>
        <v>0</v>
      </c>
      <c r="G1892">
        <f t="shared" ref="G1892:G1956" si="106">+IF(F1892&lt;&gt;0,1,0)</f>
        <v>0</v>
      </c>
    </row>
    <row r="1893" spans="1:7" hidden="1" x14ac:dyDescent="0.25">
      <c r="A1893" s="85" t="s">
        <v>4467</v>
      </c>
      <c r="B1893" s="81" t="s">
        <v>4455</v>
      </c>
      <c r="C1893" s="26" t="s">
        <v>37</v>
      </c>
      <c r="D1893" s="14"/>
      <c r="E1893" s="15"/>
      <c r="F1893" s="16">
        <f t="shared" si="105"/>
        <v>0</v>
      </c>
      <c r="G1893">
        <f t="shared" si="106"/>
        <v>0</v>
      </c>
    </row>
    <row r="1894" spans="1:7" hidden="1" x14ac:dyDescent="0.25">
      <c r="A1894" s="85" t="s">
        <v>4468</v>
      </c>
      <c r="B1894" s="81" t="s">
        <v>4456</v>
      </c>
      <c r="C1894" s="26" t="s">
        <v>37</v>
      </c>
      <c r="D1894" s="14"/>
      <c r="E1894" s="15"/>
      <c r="F1894" s="16">
        <f t="shared" si="105"/>
        <v>0</v>
      </c>
      <c r="G1894">
        <f t="shared" si="106"/>
        <v>0</v>
      </c>
    </row>
    <row r="1895" spans="1:7" hidden="1" x14ac:dyDescent="0.25">
      <c r="A1895" s="85" t="s">
        <v>4469</v>
      </c>
      <c r="B1895" s="81" t="s">
        <v>4457</v>
      </c>
      <c r="C1895" s="26" t="s">
        <v>37</v>
      </c>
      <c r="D1895" s="14"/>
      <c r="E1895" s="15"/>
      <c r="F1895" s="16">
        <f t="shared" si="105"/>
        <v>0</v>
      </c>
      <c r="G1895">
        <f t="shared" si="106"/>
        <v>0</v>
      </c>
    </row>
    <row r="1896" spans="1:7" hidden="1" x14ac:dyDescent="0.25">
      <c r="A1896" s="78" t="s">
        <v>4470</v>
      </c>
      <c r="B1896" s="80" t="s">
        <v>4483</v>
      </c>
      <c r="C1896" s="26"/>
      <c r="D1896" s="14"/>
      <c r="E1896" s="15"/>
      <c r="F1896" s="16"/>
      <c r="G1896">
        <f t="shared" si="106"/>
        <v>0</v>
      </c>
    </row>
    <row r="1897" spans="1:7" hidden="1" x14ac:dyDescent="0.25">
      <c r="A1897" s="85" t="s">
        <v>4471</v>
      </c>
      <c r="B1897" s="81" t="s">
        <v>4485</v>
      </c>
      <c r="C1897" s="26" t="s">
        <v>37</v>
      </c>
      <c r="D1897" s="14"/>
      <c r="E1897" s="15"/>
      <c r="F1897" s="16">
        <f t="shared" ref="F1897:F1908" si="107">+D1897*E1897</f>
        <v>0</v>
      </c>
      <c r="G1897">
        <f t="shared" si="106"/>
        <v>0</v>
      </c>
    </row>
    <row r="1898" spans="1:7" hidden="1" x14ac:dyDescent="0.25">
      <c r="A1898" s="85" t="s">
        <v>4472</v>
      </c>
      <c r="B1898" s="81" t="s">
        <v>4486</v>
      </c>
      <c r="C1898" s="26" t="s">
        <v>37</v>
      </c>
      <c r="D1898" s="14"/>
      <c r="E1898" s="15"/>
      <c r="F1898" s="16">
        <f t="shared" si="107"/>
        <v>0</v>
      </c>
      <c r="G1898">
        <f t="shared" si="106"/>
        <v>0</v>
      </c>
    </row>
    <row r="1899" spans="1:7" hidden="1" x14ac:dyDescent="0.25">
      <c r="A1899" s="85" t="s">
        <v>4473</v>
      </c>
      <c r="B1899" s="81" t="s">
        <v>4487</v>
      </c>
      <c r="C1899" s="26" t="s">
        <v>37</v>
      </c>
      <c r="D1899" s="14"/>
      <c r="E1899" s="15"/>
      <c r="F1899" s="16">
        <f t="shared" si="107"/>
        <v>0</v>
      </c>
      <c r="G1899">
        <f t="shared" si="106"/>
        <v>0</v>
      </c>
    </row>
    <row r="1900" spans="1:7" hidden="1" x14ac:dyDescent="0.25">
      <c r="A1900" s="85" t="s">
        <v>4474</v>
      </c>
      <c r="B1900" s="81" t="s">
        <v>4488</v>
      </c>
      <c r="C1900" s="26" t="s">
        <v>37</v>
      </c>
      <c r="D1900" s="14"/>
      <c r="E1900" s="15"/>
      <c r="F1900" s="16">
        <f t="shared" si="107"/>
        <v>0</v>
      </c>
      <c r="G1900">
        <f t="shared" si="106"/>
        <v>0</v>
      </c>
    </row>
    <row r="1901" spans="1:7" hidden="1" x14ac:dyDescent="0.25">
      <c r="A1901" s="85" t="s">
        <v>4475</v>
      </c>
      <c r="B1901" s="81" t="s">
        <v>4489</v>
      </c>
      <c r="C1901" s="26" t="s">
        <v>37</v>
      </c>
      <c r="D1901" s="14"/>
      <c r="E1901" s="15"/>
      <c r="F1901" s="16">
        <f t="shared" si="107"/>
        <v>0</v>
      </c>
      <c r="G1901">
        <f t="shared" si="106"/>
        <v>0</v>
      </c>
    </row>
    <row r="1902" spans="1:7" hidden="1" x14ac:dyDescent="0.25">
      <c r="A1902" s="85" t="s">
        <v>4476</v>
      </c>
      <c r="B1902" s="81" t="s">
        <v>4490</v>
      </c>
      <c r="C1902" s="26" t="s">
        <v>37</v>
      </c>
      <c r="D1902" s="14"/>
      <c r="E1902" s="15"/>
      <c r="F1902" s="16">
        <f t="shared" si="107"/>
        <v>0</v>
      </c>
      <c r="G1902">
        <f t="shared" si="106"/>
        <v>0</v>
      </c>
    </row>
    <row r="1903" spans="1:7" hidden="1" x14ac:dyDescent="0.25">
      <c r="A1903" s="85" t="s">
        <v>4477</v>
      </c>
      <c r="B1903" s="81" t="s">
        <v>4491</v>
      </c>
      <c r="C1903" s="26" t="s">
        <v>37</v>
      </c>
      <c r="D1903" s="14"/>
      <c r="E1903" s="15"/>
      <c r="F1903" s="16">
        <f t="shared" si="107"/>
        <v>0</v>
      </c>
      <c r="G1903">
        <f t="shared" si="106"/>
        <v>0</v>
      </c>
    </row>
    <row r="1904" spans="1:7" hidden="1" x14ac:dyDescent="0.25">
      <c r="A1904" s="85" t="s">
        <v>4478</v>
      </c>
      <c r="B1904" s="81" t="s">
        <v>4492</v>
      </c>
      <c r="C1904" s="26" t="s">
        <v>37</v>
      </c>
      <c r="D1904" s="14"/>
      <c r="E1904" s="15"/>
      <c r="F1904" s="16">
        <f t="shared" si="107"/>
        <v>0</v>
      </c>
      <c r="G1904">
        <f t="shared" si="106"/>
        <v>0</v>
      </c>
    </row>
    <row r="1905" spans="1:7" hidden="1" x14ac:dyDescent="0.25">
      <c r="A1905" s="85" t="s">
        <v>4479</v>
      </c>
      <c r="B1905" s="81" t="s">
        <v>4493</v>
      </c>
      <c r="C1905" s="26" t="s">
        <v>37</v>
      </c>
      <c r="D1905" s="14"/>
      <c r="E1905" s="15"/>
      <c r="F1905" s="16">
        <f t="shared" si="107"/>
        <v>0</v>
      </c>
      <c r="G1905">
        <f t="shared" si="106"/>
        <v>0</v>
      </c>
    </row>
    <row r="1906" spans="1:7" hidden="1" x14ac:dyDescent="0.25">
      <c r="A1906" s="85" t="s">
        <v>4480</v>
      </c>
      <c r="B1906" s="81" t="s">
        <v>4494</v>
      </c>
      <c r="C1906" s="26" t="s">
        <v>37</v>
      </c>
      <c r="D1906" s="14"/>
      <c r="E1906" s="15"/>
      <c r="F1906" s="16">
        <f t="shared" si="107"/>
        <v>0</v>
      </c>
      <c r="G1906">
        <f t="shared" si="106"/>
        <v>0</v>
      </c>
    </row>
    <row r="1907" spans="1:7" hidden="1" x14ac:dyDescent="0.25">
      <c r="A1907" s="85" t="s">
        <v>4481</v>
      </c>
      <c r="B1907" s="81" t="s">
        <v>4495</v>
      </c>
      <c r="C1907" s="26" t="s">
        <v>37</v>
      </c>
      <c r="D1907" s="14"/>
      <c r="E1907" s="15"/>
      <c r="F1907" s="16">
        <f t="shared" si="107"/>
        <v>0</v>
      </c>
      <c r="G1907">
        <f t="shared" si="106"/>
        <v>0</v>
      </c>
    </row>
    <row r="1908" spans="1:7" hidden="1" x14ac:dyDescent="0.25">
      <c r="A1908" s="85" t="s">
        <v>4482</v>
      </c>
      <c r="B1908" s="122" t="s">
        <v>4484</v>
      </c>
      <c r="C1908" s="26" t="s">
        <v>37</v>
      </c>
      <c r="D1908" s="14"/>
      <c r="E1908" s="15"/>
      <c r="F1908" s="16">
        <f t="shared" si="107"/>
        <v>0</v>
      </c>
      <c r="G1908">
        <f t="shared" si="106"/>
        <v>0</v>
      </c>
    </row>
    <row r="1909" spans="1:7" hidden="1" x14ac:dyDescent="0.25">
      <c r="A1909" s="78" t="s">
        <v>4496</v>
      </c>
      <c r="B1909" s="80" t="s">
        <v>4511</v>
      </c>
      <c r="C1909" s="26"/>
      <c r="D1909" s="14"/>
      <c r="E1909" s="15"/>
      <c r="F1909" s="16"/>
      <c r="G1909">
        <f t="shared" si="106"/>
        <v>0</v>
      </c>
    </row>
    <row r="1910" spans="1:7" hidden="1" x14ac:dyDescent="0.25">
      <c r="A1910" s="85" t="s">
        <v>4498</v>
      </c>
      <c r="B1910" s="81" t="s">
        <v>4512</v>
      </c>
      <c r="C1910" s="26" t="s">
        <v>37</v>
      </c>
      <c r="D1910" s="14"/>
      <c r="E1910" s="15"/>
      <c r="F1910" s="16">
        <f t="shared" ref="F1910:F1921" si="108">+D1910*E1910</f>
        <v>0</v>
      </c>
      <c r="G1910">
        <f t="shared" si="106"/>
        <v>0</v>
      </c>
    </row>
    <row r="1911" spans="1:7" hidden="1" x14ac:dyDescent="0.25">
      <c r="A1911" s="85" t="s">
        <v>4499</v>
      </c>
      <c r="B1911" s="81" t="s">
        <v>4513</v>
      </c>
      <c r="C1911" s="26" t="s">
        <v>37</v>
      </c>
      <c r="D1911" s="14"/>
      <c r="E1911" s="15"/>
      <c r="F1911" s="16">
        <f t="shared" si="108"/>
        <v>0</v>
      </c>
      <c r="G1911">
        <f t="shared" si="106"/>
        <v>0</v>
      </c>
    </row>
    <row r="1912" spans="1:7" hidden="1" x14ac:dyDescent="0.25">
      <c r="A1912" s="85" t="s">
        <v>4500</v>
      </c>
      <c r="B1912" s="81" t="s">
        <v>4514</v>
      </c>
      <c r="C1912" s="26" t="s">
        <v>37</v>
      </c>
      <c r="D1912" s="14"/>
      <c r="E1912" s="15"/>
      <c r="F1912" s="16">
        <f t="shared" si="108"/>
        <v>0</v>
      </c>
      <c r="G1912">
        <f t="shared" si="106"/>
        <v>0</v>
      </c>
    </row>
    <row r="1913" spans="1:7" hidden="1" x14ac:dyDescent="0.25">
      <c r="A1913" s="85" t="s">
        <v>4501</v>
      </c>
      <c r="B1913" s="81" t="s">
        <v>4515</v>
      </c>
      <c r="C1913" s="26" t="s">
        <v>37</v>
      </c>
      <c r="D1913" s="14"/>
      <c r="E1913" s="15"/>
      <c r="F1913" s="16">
        <f t="shared" si="108"/>
        <v>0</v>
      </c>
      <c r="G1913">
        <f t="shared" si="106"/>
        <v>0</v>
      </c>
    </row>
    <row r="1914" spans="1:7" hidden="1" x14ac:dyDescent="0.25">
      <c r="A1914" s="85" t="s">
        <v>4502</v>
      </c>
      <c r="B1914" s="81" t="s">
        <v>4516</v>
      </c>
      <c r="C1914" s="26" t="s">
        <v>37</v>
      </c>
      <c r="D1914" s="14"/>
      <c r="E1914" s="15"/>
      <c r="F1914" s="16">
        <f t="shared" si="108"/>
        <v>0</v>
      </c>
      <c r="G1914">
        <f t="shared" si="106"/>
        <v>0</v>
      </c>
    </row>
    <row r="1915" spans="1:7" hidden="1" x14ac:dyDescent="0.25">
      <c r="A1915" s="85" t="s">
        <v>4503</v>
      </c>
      <c r="B1915" s="81" t="s">
        <v>4517</v>
      </c>
      <c r="C1915" s="26" t="s">
        <v>37</v>
      </c>
      <c r="D1915" s="14"/>
      <c r="E1915" s="15"/>
      <c r="F1915" s="16">
        <f t="shared" si="108"/>
        <v>0</v>
      </c>
      <c r="G1915">
        <f t="shared" si="106"/>
        <v>0</v>
      </c>
    </row>
    <row r="1916" spans="1:7" hidden="1" x14ac:dyDescent="0.25">
      <c r="A1916" s="85" t="s">
        <v>4504</v>
      </c>
      <c r="B1916" s="81" t="s">
        <v>4518</v>
      </c>
      <c r="C1916" s="26" t="s">
        <v>37</v>
      </c>
      <c r="D1916" s="14"/>
      <c r="E1916" s="15"/>
      <c r="F1916" s="16">
        <f t="shared" si="108"/>
        <v>0</v>
      </c>
      <c r="G1916">
        <f t="shared" si="106"/>
        <v>0</v>
      </c>
    </row>
    <row r="1917" spans="1:7" hidden="1" x14ac:dyDescent="0.25">
      <c r="A1917" s="85" t="s">
        <v>4505</v>
      </c>
      <c r="B1917" s="81" t="s">
        <v>4519</v>
      </c>
      <c r="C1917" s="26" t="s">
        <v>37</v>
      </c>
      <c r="D1917" s="14"/>
      <c r="E1917" s="15"/>
      <c r="F1917" s="16">
        <f t="shared" si="108"/>
        <v>0</v>
      </c>
      <c r="G1917">
        <f t="shared" si="106"/>
        <v>0</v>
      </c>
    </row>
    <row r="1918" spans="1:7" hidden="1" x14ac:dyDescent="0.25">
      <c r="A1918" s="85" t="s">
        <v>4506</v>
      </c>
      <c r="B1918" s="81" t="s">
        <v>4520</v>
      </c>
      <c r="C1918" s="26" t="s">
        <v>37</v>
      </c>
      <c r="D1918" s="14"/>
      <c r="E1918" s="15"/>
      <c r="F1918" s="16">
        <f t="shared" si="108"/>
        <v>0</v>
      </c>
      <c r="G1918">
        <f t="shared" si="106"/>
        <v>0</v>
      </c>
    </row>
    <row r="1919" spans="1:7" hidden="1" x14ac:dyDescent="0.25">
      <c r="A1919" s="85" t="s">
        <v>4507</v>
      </c>
      <c r="B1919" s="81" t="s">
        <v>4521</v>
      </c>
      <c r="C1919" s="26" t="s">
        <v>37</v>
      </c>
      <c r="D1919" s="14"/>
      <c r="E1919" s="15"/>
      <c r="F1919" s="16">
        <f t="shared" si="108"/>
        <v>0</v>
      </c>
      <c r="G1919">
        <f t="shared" si="106"/>
        <v>0</v>
      </c>
    </row>
    <row r="1920" spans="1:7" hidden="1" x14ac:dyDescent="0.25">
      <c r="A1920" s="85" t="s">
        <v>4508</v>
      </c>
      <c r="B1920" s="81" t="s">
        <v>4522</v>
      </c>
      <c r="C1920" s="26" t="s">
        <v>37</v>
      </c>
      <c r="D1920" s="14"/>
      <c r="E1920" s="15"/>
      <c r="F1920" s="16">
        <f t="shared" si="108"/>
        <v>0</v>
      </c>
      <c r="G1920">
        <f t="shared" si="106"/>
        <v>0</v>
      </c>
    </row>
    <row r="1921" spans="1:7" hidden="1" x14ac:dyDescent="0.25">
      <c r="A1921" s="85" t="s">
        <v>4509</v>
      </c>
      <c r="B1921" s="123" t="s">
        <v>4523</v>
      </c>
      <c r="C1921" s="26" t="s">
        <v>37</v>
      </c>
      <c r="D1921" s="14"/>
      <c r="E1921" s="15"/>
      <c r="F1921" s="16">
        <f t="shared" si="108"/>
        <v>0</v>
      </c>
      <c r="G1921">
        <f t="shared" si="106"/>
        <v>0</v>
      </c>
    </row>
    <row r="1922" spans="1:7" hidden="1" x14ac:dyDescent="0.25">
      <c r="A1922" s="78" t="s">
        <v>4510</v>
      </c>
      <c r="B1922" s="80" t="s">
        <v>4535</v>
      </c>
      <c r="C1922" s="26"/>
      <c r="D1922" s="14"/>
      <c r="E1922" s="15"/>
      <c r="F1922" s="16"/>
      <c r="G1922">
        <f t="shared" si="106"/>
        <v>0</v>
      </c>
    </row>
    <row r="1923" spans="1:7" hidden="1" x14ac:dyDescent="0.25">
      <c r="A1923" s="85" t="s">
        <v>4536</v>
      </c>
      <c r="B1923" s="81" t="s">
        <v>4524</v>
      </c>
      <c r="C1923" s="26" t="s">
        <v>37</v>
      </c>
      <c r="D1923" s="14"/>
      <c r="E1923" s="15"/>
      <c r="F1923" s="16">
        <f t="shared" ref="F1923:F1933" si="109">+D1923*E1923</f>
        <v>0</v>
      </c>
      <c r="G1923">
        <f t="shared" si="106"/>
        <v>0</v>
      </c>
    </row>
    <row r="1924" spans="1:7" hidden="1" x14ac:dyDescent="0.25">
      <c r="A1924" s="85" t="s">
        <v>4537</v>
      </c>
      <c r="B1924" s="81" t="s">
        <v>4525</v>
      </c>
      <c r="C1924" s="26" t="s">
        <v>37</v>
      </c>
      <c r="D1924" s="14"/>
      <c r="E1924" s="15"/>
      <c r="F1924" s="16">
        <f t="shared" si="109"/>
        <v>0</v>
      </c>
      <c r="G1924">
        <f t="shared" si="106"/>
        <v>0</v>
      </c>
    </row>
    <row r="1925" spans="1:7" hidden="1" x14ac:dyDescent="0.25">
      <c r="A1925" s="85" t="s">
        <v>4538</v>
      </c>
      <c r="B1925" s="81" t="s">
        <v>4526</v>
      </c>
      <c r="C1925" s="26" t="s">
        <v>37</v>
      </c>
      <c r="D1925" s="14"/>
      <c r="E1925" s="15"/>
      <c r="F1925" s="16">
        <f t="shared" si="109"/>
        <v>0</v>
      </c>
      <c r="G1925">
        <f t="shared" si="106"/>
        <v>0</v>
      </c>
    </row>
    <row r="1926" spans="1:7" hidden="1" x14ac:dyDescent="0.25">
      <c r="A1926" s="85" t="s">
        <v>4539</v>
      </c>
      <c r="B1926" s="81" t="s">
        <v>4527</v>
      </c>
      <c r="C1926" s="26" t="s">
        <v>37</v>
      </c>
      <c r="D1926" s="14"/>
      <c r="E1926" s="15"/>
      <c r="F1926" s="16">
        <f t="shared" si="109"/>
        <v>0</v>
      </c>
      <c r="G1926">
        <f t="shared" si="106"/>
        <v>0</v>
      </c>
    </row>
    <row r="1927" spans="1:7" hidden="1" x14ac:dyDescent="0.25">
      <c r="A1927" s="85" t="s">
        <v>4540</v>
      </c>
      <c r="B1927" s="81" t="s">
        <v>4528</v>
      </c>
      <c r="C1927" s="26" t="s">
        <v>37</v>
      </c>
      <c r="D1927" s="14"/>
      <c r="E1927" s="15"/>
      <c r="F1927" s="16">
        <f t="shared" si="109"/>
        <v>0</v>
      </c>
      <c r="G1927">
        <f t="shared" si="106"/>
        <v>0</v>
      </c>
    </row>
    <row r="1928" spans="1:7" hidden="1" x14ac:dyDescent="0.25">
      <c r="A1928" s="85" t="s">
        <v>4541</v>
      </c>
      <c r="B1928" s="81" t="s">
        <v>4529</v>
      </c>
      <c r="C1928" s="26" t="s">
        <v>37</v>
      </c>
      <c r="D1928" s="14"/>
      <c r="E1928" s="15"/>
      <c r="F1928" s="16">
        <f t="shared" si="109"/>
        <v>0</v>
      </c>
      <c r="G1928">
        <f t="shared" si="106"/>
        <v>0</v>
      </c>
    </row>
    <row r="1929" spans="1:7" hidden="1" x14ac:dyDescent="0.25">
      <c r="A1929" s="85" t="s">
        <v>4542</v>
      </c>
      <c r="B1929" s="81" t="s">
        <v>4530</v>
      </c>
      <c r="C1929" s="26" t="s">
        <v>37</v>
      </c>
      <c r="D1929" s="14"/>
      <c r="E1929" s="15"/>
      <c r="F1929" s="16">
        <f t="shared" si="109"/>
        <v>0</v>
      </c>
      <c r="G1929">
        <f t="shared" si="106"/>
        <v>0</v>
      </c>
    </row>
    <row r="1930" spans="1:7" hidden="1" x14ac:dyDescent="0.25">
      <c r="A1930" s="85" t="s">
        <v>4543</v>
      </c>
      <c r="B1930" s="81" t="s">
        <v>4531</v>
      </c>
      <c r="C1930" s="26" t="s">
        <v>37</v>
      </c>
      <c r="D1930" s="14"/>
      <c r="E1930" s="15"/>
      <c r="F1930" s="16">
        <f t="shared" si="109"/>
        <v>0</v>
      </c>
      <c r="G1930">
        <f t="shared" si="106"/>
        <v>0</v>
      </c>
    </row>
    <row r="1931" spans="1:7" hidden="1" x14ac:dyDescent="0.25">
      <c r="A1931" s="85" t="s">
        <v>4544</v>
      </c>
      <c r="B1931" s="81" t="s">
        <v>4532</v>
      </c>
      <c r="C1931" s="26" t="s">
        <v>37</v>
      </c>
      <c r="D1931" s="14"/>
      <c r="E1931" s="15"/>
      <c r="F1931" s="16">
        <f t="shared" si="109"/>
        <v>0</v>
      </c>
      <c r="G1931">
        <f t="shared" si="106"/>
        <v>0</v>
      </c>
    </row>
    <row r="1932" spans="1:7" hidden="1" x14ac:dyDescent="0.25">
      <c r="A1932" s="85" t="s">
        <v>4545</v>
      </c>
      <c r="B1932" s="81" t="s">
        <v>4533</v>
      </c>
      <c r="C1932" s="26" t="s">
        <v>37</v>
      </c>
      <c r="D1932" s="14"/>
      <c r="E1932" s="15"/>
      <c r="F1932" s="16">
        <f t="shared" si="109"/>
        <v>0</v>
      </c>
      <c r="G1932">
        <f t="shared" si="106"/>
        <v>0</v>
      </c>
    </row>
    <row r="1933" spans="1:7" hidden="1" x14ac:dyDescent="0.25">
      <c r="A1933" s="85" t="s">
        <v>4546</v>
      </c>
      <c r="B1933" s="81" t="s">
        <v>4534</v>
      </c>
      <c r="C1933" s="26" t="s">
        <v>37</v>
      </c>
      <c r="D1933" s="14"/>
      <c r="E1933" s="15"/>
      <c r="F1933" s="16">
        <f t="shared" si="109"/>
        <v>0</v>
      </c>
      <c r="G1933">
        <f t="shared" si="106"/>
        <v>0</v>
      </c>
    </row>
    <row r="1934" spans="1:7" x14ac:dyDescent="0.25">
      <c r="A1934" s="78" t="s">
        <v>4547</v>
      </c>
      <c r="B1934" s="80" t="s">
        <v>4548</v>
      </c>
      <c r="C1934" s="26"/>
      <c r="D1934" s="14"/>
      <c r="E1934" s="15"/>
      <c r="F1934" s="16"/>
      <c r="G1934">
        <v>1</v>
      </c>
    </row>
    <row r="1935" spans="1:7" x14ac:dyDescent="0.25">
      <c r="A1935" s="78" t="s">
        <v>4549</v>
      </c>
      <c r="B1935" s="80" t="s">
        <v>4550</v>
      </c>
      <c r="C1935" s="26"/>
      <c r="D1935" s="14"/>
      <c r="E1935" s="15"/>
      <c r="F1935" s="16"/>
      <c r="G1935">
        <v>1</v>
      </c>
    </row>
    <row r="1936" spans="1:7" hidden="1" x14ac:dyDescent="0.25">
      <c r="A1936" s="85" t="s">
        <v>4563</v>
      </c>
      <c r="B1936" s="81" t="s">
        <v>4551</v>
      </c>
      <c r="C1936" s="26" t="s">
        <v>37</v>
      </c>
      <c r="D1936" s="14"/>
      <c r="E1936" s="15"/>
      <c r="F1936" s="16">
        <f t="shared" ref="F1936:F1948" si="110">+D1936*E1936</f>
        <v>0</v>
      </c>
      <c r="G1936">
        <f t="shared" si="106"/>
        <v>0</v>
      </c>
    </row>
    <row r="1937" spans="1:7" hidden="1" x14ac:dyDescent="0.25">
      <c r="A1937" s="85" t="s">
        <v>4564</v>
      </c>
      <c r="B1937" s="81" t="s">
        <v>4552</v>
      </c>
      <c r="C1937" s="26" t="s">
        <v>37</v>
      </c>
      <c r="D1937" s="14"/>
      <c r="E1937" s="15"/>
      <c r="F1937" s="16">
        <f t="shared" si="110"/>
        <v>0</v>
      </c>
      <c r="G1937">
        <f t="shared" si="106"/>
        <v>0</v>
      </c>
    </row>
    <row r="1938" spans="1:7" hidden="1" x14ac:dyDescent="0.25">
      <c r="A1938" s="85" t="s">
        <v>4565</v>
      </c>
      <c r="B1938" s="81" t="s">
        <v>4553</v>
      </c>
      <c r="C1938" s="26" t="s">
        <v>37</v>
      </c>
      <c r="D1938" s="14"/>
      <c r="E1938" s="15"/>
      <c r="F1938" s="16">
        <f t="shared" si="110"/>
        <v>0</v>
      </c>
      <c r="G1938">
        <f t="shared" si="106"/>
        <v>0</v>
      </c>
    </row>
    <row r="1939" spans="1:7" hidden="1" x14ac:dyDescent="0.25">
      <c r="A1939" s="85" t="s">
        <v>4566</v>
      </c>
      <c r="B1939" s="81" t="s">
        <v>4554</v>
      </c>
      <c r="C1939" s="26" t="s">
        <v>37</v>
      </c>
      <c r="D1939" s="14"/>
      <c r="E1939" s="15"/>
      <c r="F1939" s="16">
        <f t="shared" si="110"/>
        <v>0</v>
      </c>
      <c r="G1939">
        <f t="shared" si="106"/>
        <v>0</v>
      </c>
    </row>
    <row r="1940" spans="1:7" hidden="1" x14ac:dyDescent="0.25">
      <c r="A1940" s="85" t="s">
        <v>4567</v>
      </c>
      <c r="B1940" s="81" t="s">
        <v>4555</v>
      </c>
      <c r="C1940" s="26" t="s">
        <v>37</v>
      </c>
      <c r="D1940" s="14"/>
      <c r="E1940" s="15"/>
      <c r="F1940" s="16">
        <f t="shared" si="110"/>
        <v>0</v>
      </c>
      <c r="G1940">
        <f t="shared" si="106"/>
        <v>0</v>
      </c>
    </row>
    <row r="1941" spans="1:7" hidden="1" x14ac:dyDescent="0.25">
      <c r="A1941" s="85" t="s">
        <v>4568</v>
      </c>
      <c r="B1941" s="81" t="s">
        <v>4556</v>
      </c>
      <c r="C1941" s="26" t="s">
        <v>37</v>
      </c>
      <c r="D1941" s="14"/>
      <c r="E1941" s="15"/>
      <c r="F1941" s="16">
        <f t="shared" si="110"/>
        <v>0</v>
      </c>
      <c r="G1941">
        <f t="shared" si="106"/>
        <v>0</v>
      </c>
    </row>
    <row r="1942" spans="1:7" hidden="1" x14ac:dyDescent="0.25">
      <c r="A1942" s="85" t="s">
        <v>4569</v>
      </c>
      <c r="B1942" s="81" t="s">
        <v>4557</v>
      </c>
      <c r="C1942" s="26" t="s">
        <v>37</v>
      </c>
      <c r="D1942" s="14"/>
      <c r="E1942" s="15"/>
      <c r="F1942" s="16">
        <f t="shared" si="110"/>
        <v>0</v>
      </c>
      <c r="G1942">
        <f t="shared" si="106"/>
        <v>0</v>
      </c>
    </row>
    <row r="1943" spans="1:7" x14ac:dyDescent="0.25">
      <c r="A1943" s="85" t="s">
        <v>4570</v>
      </c>
      <c r="B1943" s="81" t="s">
        <v>4558</v>
      </c>
      <c r="C1943" s="26" t="s">
        <v>37</v>
      </c>
      <c r="D1943" s="14">
        <v>360</v>
      </c>
      <c r="E1943" s="15">
        <f>+SUM!H1942</f>
        <v>277639</v>
      </c>
      <c r="F1943" s="16">
        <f t="shared" si="110"/>
        <v>99950040</v>
      </c>
      <c r="G1943">
        <f t="shared" si="106"/>
        <v>1</v>
      </c>
    </row>
    <row r="1944" spans="1:7" hidden="1" x14ac:dyDescent="0.25">
      <c r="A1944" s="85" t="s">
        <v>4571</v>
      </c>
      <c r="B1944" s="81" t="s">
        <v>4559</v>
      </c>
      <c r="C1944" s="26" t="s">
        <v>37</v>
      </c>
      <c r="D1944" s="14"/>
      <c r="E1944" s="15">
        <f>+SUM!H1943</f>
        <v>287260</v>
      </c>
      <c r="F1944" s="16">
        <f t="shared" si="110"/>
        <v>0</v>
      </c>
      <c r="G1944">
        <f t="shared" si="106"/>
        <v>0</v>
      </c>
    </row>
    <row r="1945" spans="1:7" hidden="1" x14ac:dyDescent="0.25">
      <c r="A1945" s="85" t="s">
        <v>4572</v>
      </c>
      <c r="B1945" s="81" t="s">
        <v>4560</v>
      </c>
      <c r="C1945" s="26" t="s">
        <v>37</v>
      </c>
      <c r="D1945" s="14"/>
      <c r="E1945" s="15">
        <f>+SUM!H1944</f>
        <v>481058</v>
      </c>
      <c r="F1945" s="16">
        <f t="shared" si="110"/>
        <v>0</v>
      </c>
      <c r="G1945">
        <f t="shared" si="106"/>
        <v>0</v>
      </c>
    </row>
    <row r="1946" spans="1:7" hidden="1" x14ac:dyDescent="0.25">
      <c r="A1946" s="85" t="s">
        <v>4573</v>
      </c>
      <c r="B1946" s="81" t="s">
        <v>4562</v>
      </c>
      <c r="C1946" s="26" t="s">
        <v>37</v>
      </c>
      <c r="D1946" s="14"/>
      <c r="E1946" s="15">
        <f>+SUM!H1945</f>
        <v>492053</v>
      </c>
      <c r="F1946" s="16">
        <f t="shared" si="110"/>
        <v>0</v>
      </c>
      <c r="G1946">
        <f t="shared" si="106"/>
        <v>0</v>
      </c>
    </row>
    <row r="1947" spans="1:7" hidden="1" x14ac:dyDescent="0.25">
      <c r="A1947" s="85" t="s">
        <v>4574</v>
      </c>
      <c r="B1947" s="81" t="s">
        <v>4561</v>
      </c>
      <c r="C1947" s="26" t="s">
        <v>37</v>
      </c>
      <c r="D1947" s="14"/>
      <c r="E1947" s="15">
        <f>+SUM!H1946</f>
        <v>547031</v>
      </c>
      <c r="F1947" s="16">
        <f t="shared" si="110"/>
        <v>0</v>
      </c>
      <c r="G1947">
        <f t="shared" si="106"/>
        <v>0</v>
      </c>
    </row>
    <row r="1948" spans="1:7" x14ac:dyDescent="0.25">
      <c r="A1948" s="85" t="s">
        <v>6547</v>
      </c>
      <c r="B1948" s="81" t="s">
        <v>6545</v>
      </c>
      <c r="C1948" s="26" t="s">
        <v>37</v>
      </c>
      <c r="D1948" s="14">
        <v>470</v>
      </c>
      <c r="E1948" s="15">
        <f>+SUM!H1947</f>
        <v>634996</v>
      </c>
      <c r="F1948" s="16">
        <f t="shared" si="110"/>
        <v>298448120</v>
      </c>
      <c r="G1948">
        <f t="shared" si="106"/>
        <v>1</v>
      </c>
    </row>
    <row r="1949" spans="1:7" hidden="1" x14ac:dyDescent="0.25">
      <c r="A1949" s="78" t="s">
        <v>4575</v>
      </c>
      <c r="B1949" s="80" t="s">
        <v>4576</v>
      </c>
      <c r="C1949" s="26"/>
      <c r="D1949" s="14"/>
      <c r="E1949" s="15">
        <f>+SUM!H1949</f>
        <v>0</v>
      </c>
      <c r="F1949" s="16"/>
      <c r="G1949">
        <f t="shared" si="106"/>
        <v>0</v>
      </c>
    </row>
    <row r="1950" spans="1:7" hidden="1" x14ac:dyDescent="0.25">
      <c r="A1950" s="85" t="s">
        <v>4590</v>
      </c>
      <c r="B1950" s="81" t="s">
        <v>4577</v>
      </c>
      <c r="C1950" s="26" t="s">
        <v>37</v>
      </c>
      <c r="D1950" s="14"/>
      <c r="E1950" s="15">
        <f>+SUM!H1950</f>
        <v>82467</v>
      </c>
      <c r="F1950" s="16">
        <f t="shared" ref="F1950:F1961" si="111">+D1950*E1950</f>
        <v>0</v>
      </c>
      <c r="G1950">
        <f t="shared" si="106"/>
        <v>0</v>
      </c>
    </row>
    <row r="1951" spans="1:7" hidden="1" x14ac:dyDescent="0.25">
      <c r="A1951" s="85" t="s">
        <v>4591</v>
      </c>
      <c r="B1951" s="81" t="s">
        <v>4578</v>
      </c>
      <c r="C1951" s="26" t="s">
        <v>37</v>
      </c>
      <c r="D1951" s="14"/>
      <c r="E1951" s="15">
        <f>+SUM!H1951</f>
        <v>100335</v>
      </c>
      <c r="F1951" s="16">
        <f t="shared" si="111"/>
        <v>0</v>
      </c>
      <c r="G1951">
        <f t="shared" si="106"/>
        <v>0</v>
      </c>
    </row>
    <row r="1952" spans="1:7" hidden="1" x14ac:dyDescent="0.25">
      <c r="A1952" s="85" t="s">
        <v>4592</v>
      </c>
      <c r="B1952" s="81" t="s">
        <v>4579</v>
      </c>
      <c r="C1952" s="26" t="s">
        <v>37</v>
      </c>
      <c r="D1952" s="14"/>
      <c r="E1952" s="15">
        <f>+SUM!H1952</f>
        <v>118203</v>
      </c>
      <c r="F1952" s="16">
        <f t="shared" si="111"/>
        <v>0</v>
      </c>
      <c r="G1952">
        <f t="shared" si="106"/>
        <v>0</v>
      </c>
    </row>
    <row r="1953" spans="1:7" hidden="1" x14ac:dyDescent="0.25">
      <c r="A1953" s="85" t="s">
        <v>4593</v>
      </c>
      <c r="B1953" s="81" t="s">
        <v>4580</v>
      </c>
      <c r="C1953" s="26" t="s">
        <v>37</v>
      </c>
      <c r="D1953" s="14"/>
      <c r="E1953" s="15">
        <f>+SUM!H1953</f>
        <v>163560</v>
      </c>
      <c r="F1953" s="16">
        <f t="shared" si="111"/>
        <v>0</v>
      </c>
      <c r="G1953">
        <f t="shared" si="106"/>
        <v>0</v>
      </c>
    </row>
    <row r="1954" spans="1:7" hidden="1" x14ac:dyDescent="0.25">
      <c r="A1954" s="85" t="s">
        <v>4594</v>
      </c>
      <c r="B1954" s="81" t="s">
        <v>4581</v>
      </c>
      <c r="C1954" s="26" t="s">
        <v>37</v>
      </c>
      <c r="D1954" s="14"/>
      <c r="E1954" s="15">
        <f>+SUM!H1954</f>
        <v>218538</v>
      </c>
      <c r="F1954" s="16">
        <f t="shared" si="111"/>
        <v>0</v>
      </c>
      <c r="G1954">
        <f t="shared" si="106"/>
        <v>0</v>
      </c>
    </row>
    <row r="1955" spans="1:7" hidden="1" x14ac:dyDescent="0.25">
      <c r="A1955" s="85" t="s">
        <v>4595</v>
      </c>
      <c r="B1955" s="81" t="s">
        <v>4582</v>
      </c>
      <c r="C1955" s="26" t="s">
        <v>37</v>
      </c>
      <c r="D1955" s="14"/>
      <c r="E1955" s="15">
        <f>+SUM!H1955</f>
        <v>258397</v>
      </c>
      <c r="F1955" s="16">
        <f t="shared" si="111"/>
        <v>0</v>
      </c>
      <c r="G1955">
        <f t="shared" si="106"/>
        <v>0</v>
      </c>
    </row>
    <row r="1956" spans="1:7" hidden="1" x14ac:dyDescent="0.25">
      <c r="A1956" s="85" t="s">
        <v>4596</v>
      </c>
      <c r="B1956" s="81" t="s">
        <v>4583</v>
      </c>
      <c r="C1956" s="26" t="s">
        <v>37</v>
      </c>
      <c r="D1956" s="14"/>
      <c r="E1956" s="15">
        <f>+SUM!H1956</f>
        <v>269392</v>
      </c>
      <c r="F1956" s="16">
        <f t="shared" si="111"/>
        <v>0</v>
      </c>
      <c r="G1956">
        <f t="shared" si="106"/>
        <v>0</v>
      </c>
    </row>
    <row r="1957" spans="1:7" hidden="1" x14ac:dyDescent="0.25">
      <c r="A1957" s="85" t="s">
        <v>4597</v>
      </c>
      <c r="B1957" s="81" t="s">
        <v>4584</v>
      </c>
      <c r="C1957" s="26" t="s">
        <v>37</v>
      </c>
      <c r="D1957" s="14"/>
      <c r="E1957" s="15">
        <f>+SUM!H1957</f>
        <v>481058</v>
      </c>
      <c r="F1957" s="16">
        <f t="shared" si="111"/>
        <v>0</v>
      </c>
      <c r="G1957">
        <f t="shared" ref="G1957:G2021" si="112">+IF(F1957&lt;&gt;0,1,0)</f>
        <v>0</v>
      </c>
    </row>
    <row r="1958" spans="1:7" hidden="1" x14ac:dyDescent="0.25">
      <c r="A1958" s="85" t="s">
        <v>4598</v>
      </c>
      <c r="B1958" s="81" t="s">
        <v>4585</v>
      </c>
      <c r="C1958" s="26" t="s">
        <v>37</v>
      </c>
      <c r="D1958" s="14"/>
      <c r="E1958" s="15">
        <f>+SUM!H1958</f>
        <v>558027</v>
      </c>
      <c r="F1958" s="16">
        <f t="shared" si="111"/>
        <v>0</v>
      </c>
      <c r="G1958">
        <f t="shared" si="112"/>
        <v>0</v>
      </c>
    </row>
    <row r="1959" spans="1:7" hidden="1" x14ac:dyDescent="0.25">
      <c r="A1959" s="85" t="s">
        <v>4599</v>
      </c>
      <c r="B1959" s="81" t="s">
        <v>4586</v>
      </c>
      <c r="C1959" s="26" t="s">
        <v>37</v>
      </c>
      <c r="D1959" s="14"/>
      <c r="E1959" s="15">
        <f>+SUM!H1959</f>
        <v>678978</v>
      </c>
      <c r="F1959" s="16">
        <f t="shared" si="111"/>
        <v>0</v>
      </c>
      <c r="G1959">
        <f t="shared" si="112"/>
        <v>0</v>
      </c>
    </row>
    <row r="1960" spans="1:7" hidden="1" x14ac:dyDescent="0.25">
      <c r="A1960" s="85" t="s">
        <v>4600</v>
      </c>
      <c r="B1960" s="81" t="s">
        <v>4587</v>
      </c>
      <c r="C1960" s="26" t="s">
        <v>37</v>
      </c>
      <c r="D1960" s="14"/>
      <c r="E1960" s="15">
        <f>+SUM!H1960</f>
        <v>700970</v>
      </c>
      <c r="F1960" s="16">
        <f t="shared" si="111"/>
        <v>0</v>
      </c>
      <c r="G1960">
        <f t="shared" si="112"/>
        <v>0</v>
      </c>
    </row>
    <row r="1961" spans="1:7" hidden="1" x14ac:dyDescent="0.25">
      <c r="A1961" s="85" t="s">
        <v>4601</v>
      </c>
      <c r="B1961" s="81" t="s">
        <v>4588</v>
      </c>
      <c r="C1961" s="26" t="s">
        <v>37</v>
      </c>
      <c r="D1961" s="14"/>
      <c r="E1961" s="15">
        <f>+SUM!H1961</f>
        <v>743577</v>
      </c>
      <c r="F1961" s="16">
        <f t="shared" si="111"/>
        <v>0</v>
      </c>
      <c r="G1961">
        <f t="shared" si="112"/>
        <v>0</v>
      </c>
    </row>
    <row r="1962" spans="1:7" hidden="1" x14ac:dyDescent="0.25">
      <c r="A1962" s="85" t="s">
        <v>6548</v>
      </c>
      <c r="B1962" s="81" t="s">
        <v>6546</v>
      </c>
      <c r="C1962" s="26" t="s">
        <v>37</v>
      </c>
      <c r="D1962" s="14"/>
      <c r="E1962" s="15"/>
      <c r="F1962" s="16"/>
    </row>
    <row r="1963" spans="1:7" x14ac:dyDescent="0.25">
      <c r="A1963" s="78" t="s">
        <v>4589</v>
      </c>
      <c r="B1963" s="80" t="s">
        <v>993</v>
      </c>
      <c r="C1963" s="14"/>
      <c r="D1963" s="14"/>
      <c r="E1963" s="15">
        <f>+SUM!H1964</f>
        <v>0</v>
      </c>
      <c r="F1963" s="16"/>
      <c r="G1963">
        <v>1</v>
      </c>
    </row>
    <row r="1964" spans="1:7" x14ac:dyDescent="0.25">
      <c r="A1964" s="78" t="s">
        <v>4603</v>
      </c>
      <c r="B1964" s="80" t="s">
        <v>4602</v>
      </c>
      <c r="C1964" s="14"/>
      <c r="D1964" s="14"/>
      <c r="E1964" s="15">
        <f>+SUM!H1965</f>
        <v>0</v>
      </c>
      <c r="F1964" s="16"/>
      <c r="G1964">
        <v>1</v>
      </c>
    </row>
    <row r="1965" spans="1:7" hidden="1" x14ac:dyDescent="0.25">
      <c r="A1965" s="85" t="s">
        <v>4604</v>
      </c>
      <c r="B1965" s="81" t="s">
        <v>4605</v>
      </c>
      <c r="C1965" s="26" t="s">
        <v>37</v>
      </c>
      <c r="D1965" s="14"/>
      <c r="E1965" s="15">
        <f>+SUM!H1966</f>
        <v>63225</v>
      </c>
      <c r="F1965" s="16">
        <f t="shared" ref="F1965:F1976" si="113">+D1965*E1965</f>
        <v>0</v>
      </c>
      <c r="G1965">
        <f t="shared" si="112"/>
        <v>0</v>
      </c>
    </row>
    <row r="1966" spans="1:7" hidden="1" x14ac:dyDescent="0.25">
      <c r="A1966" s="85" t="s">
        <v>4616</v>
      </c>
      <c r="B1966" s="81" t="s">
        <v>4606</v>
      </c>
      <c r="C1966" s="26" t="s">
        <v>37</v>
      </c>
      <c r="D1966" s="14"/>
      <c r="E1966" s="15">
        <f>+SUM!H1967</f>
        <v>109956</v>
      </c>
      <c r="F1966" s="16">
        <f t="shared" si="113"/>
        <v>0</v>
      </c>
      <c r="G1966">
        <f t="shared" si="112"/>
        <v>0</v>
      </c>
    </row>
    <row r="1967" spans="1:7" x14ac:dyDescent="0.25">
      <c r="A1967" s="85" t="s">
        <v>4617</v>
      </c>
      <c r="B1967" s="81" t="s">
        <v>4606</v>
      </c>
      <c r="C1967" s="26" t="s">
        <v>37</v>
      </c>
      <c r="D1967" s="14">
        <v>17</v>
      </c>
      <c r="E1967" s="15">
        <f>+SUM!H1968</f>
        <v>142943</v>
      </c>
      <c r="F1967" s="16">
        <f t="shared" si="113"/>
        <v>2430031</v>
      </c>
      <c r="G1967">
        <f t="shared" si="112"/>
        <v>1</v>
      </c>
    </row>
    <row r="1968" spans="1:7" hidden="1" x14ac:dyDescent="0.25">
      <c r="A1968" s="85" t="s">
        <v>4618</v>
      </c>
      <c r="B1968" s="81" t="s">
        <v>4607</v>
      </c>
      <c r="C1968" s="26" t="s">
        <v>37</v>
      </c>
      <c r="D1968" s="14"/>
      <c r="E1968" s="15"/>
      <c r="F1968" s="16">
        <f t="shared" si="113"/>
        <v>0</v>
      </c>
      <c r="G1968">
        <f t="shared" si="112"/>
        <v>0</v>
      </c>
    </row>
    <row r="1969" spans="1:7" hidden="1" x14ac:dyDescent="0.25">
      <c r="A1969" s="85" t="s">
        <v>4619</v>
      </c>
      <c r="B1969" s="81" t="s">
        <v>4608</v>
      </c>
      <c r="C1969" s="26" t="s">
        <v>37</v>
      </c>
      <c r="D1969" s="14"/>
      <c r="E1969" s="15"/>
      <c r="F1969" s="16">
        <f t="shared" si="113"/>
        <v>0</v>
      </c>
      <c r="G1969">
        <f t="shared" si="112"/>
        <v>0</v>
      </c>
    </row>
    <row r="1970" spans="1:7" hidden="1" x14ac:dyDescent="0.25">
      <c r="A1970" s="85" t="s">
        <v>4620</v>
      </c>
      <c r="B1970" s="81" t="s">
        <v>4609</v>
      </c>
      <c r="C1970" s="26" t="s">
        <v>37</v>
      </c>
      <c r="D1970" s="14"/>
      <c r="E1970" s="15"/>
      <c r="F1970" s="16">
        <f t="shared" si="113"/>
        <v>0</v>
      </c>
      <c r="G1970">
        <f t="shared" si="112"/>
        <v>0</v>
      </c>
    </row>
    <row r="1971" spans="1:7" hidden="1" x14ac:dyDescent="0.25">
      <c r="A1971" s="85" t="s">
        <v>4621</v>
      </c>
      <c r="B1971" s="81" t="s">
        <v>4610</v>
      </c>
      <c r="C1971" s="26" t="s">
        <v>37</v>
      </c>
      <c r="D1971" s="14"/>
      <c r="E1971" s="15"/>
      <c r="F1971" s="16">
        <f t="shared" si="113"/>
        <v>0</v>
      </c>
      <c r="G1971">
        <f t="shared" si="112"/>
        <v>0</v>
      </c>
    </row>
    <row r="1972" spans="1:7" hidden="1" x14ac:dyDescent="0.25">
      <c r="A1972" s="85" t="s">
        <v>4622</v>
      </c>
      <c r="B1972" s="81" t="s">
        <v>4611</v>
      </c>
      <c r="C1972" s="26" t="s">
        <v>37</v>
      </c>
      <c r="D1972" s="14"/>
      <c r="E1972" s="15"/>
      <c r="F1972" s="16">
        <f t="shared" si="113"/>
        <v>0</v>
      </c>
      <c r="G1972">
        <f t="shared" si="112"/>
        <v>0</v>
      </c>
    </row>
    <row r="1973" spans="1:7" hidden="1" x14ac:dyDescent="0.25">
      <c r="A1973" s="85" t="s">
        <v>4623</v>
      </c>
      <c r="B1973" s="81" t="s">
        <v>4612</v>
      </c>
      <c r="C1973" s="26" t="s">
        <v>37</v>
      </c>
      <c r="D1973" s="14"/>
      <c r="E1973" s="15"/>
      <c r="F1973" s="16">
        <f t="shared" si="113"/>
        <v>0</v>
      </c>
      <c r="G1973">
        <f t="shared" si="112"/>
        <v>0</v>
      </c>
    </row>
    <row r="1974" spans="1:7" hidden="1" x14ac:dyDescent="0.25">
      <c r="A1974" s="85" t="s">
        <v>4624</v>
      </c>
      <c r="B1974" s="81" t="s">
        <v>4613</v>
      </c>
      <c r="C1974" s="26" t="s">
        <v>37</v>
      </c>
      <c r="D1974" s="14"/>
      <c r="E1974" s="15"/>
      <c r="F1974" s="16">
        <f t="shared" si="113"/>
        <v>0</v>
      </c>
      <c r="G1974">
        <f t="shared" si="112"/>
        <v>0</v>
      </c>
    </row>
    <row r="1975" spans="1:7" hidden="1" x14ac:dyDescent="0.25">
      <c r="A1975" s="85" t="s">
        <v>4625</v>
      </c>
      <c r="B1975" s="81" t="s">
        <v>4614</v>
      </c>
      <c r="C1975" s="26" t="s">
        <v>37</v>
      </c>
      <c r="D1975" s="14"/>
      <c r="E1975" s="15"/>
      <c r="F1975" s="16">
        <f t="shared" si="113"/>
        <v>0</v>
      </c>
      <c r="G1975">
        <f t="shared" si="112"/>
        <v>0</v>
      </c>
    </row>
    <row r="1976" spans="1:7" hidden="1" x14ac:dyDescent="0.25">
      <c r="A1976" s="85" t="s">
        <v>4626</v>
      </c>
      <c r="B1976" s="81" t="s">
        <v>4615</v>
      </c>
      <c r="C1976" s="26" t="s">
        <v>37</v>
      </c>
      <c r="D1976" s="14"/>
      <c r="E1976" s="15"/>
      <c r="F1976" s="16">
        <f t="shared" si="113"/>
        <v>0</v>
      </c>
      <c r="G1976">
        <f t="shared" si="112"/>
        <v>0</v>
      </c>
    </row>
    <row r="1977" spans="1:7" hidden="1" x14ac:dyDescent="0.25">
      <c r="A1977" s="78" t="s">
        <v>4627</v>
      </c>
      <c r="B1977" s="80" t="s">
        <v>4628</v>
      </c>
      <c r="C1977" s="14"/>
      <c r="D1977" s="14"/>
      <c r="E1977" s="15"/>
      <c r="F1977" s="16"/>
      <c r="G1977">
        <f t="shared" si="112"/>
        <v>0</v>
      </c>
    </row>
    <row r="1978" spans="1:7" hidden="1" x14ac:dyDescent="0.25">
      <c r="A1978" s="85" t="s">
        <v>4640</v>
      </c>
      <c r="B1978" s="81" t="s">
        <v>4629</v>
      </c>
      <c r="C1978" s="26" t="s">
        <v>37</v>
      </c>
      <c r="D1978" s="14"/>
      <c r="E1978" s="15"/>
      <c r="F1978" s="16">
        <f t="shared" ref="F1978:F1989" si="114">+D1978*E1978</f>
        <v>0</v>
      </c>
      <c r="G1978">
        <f t="shared" si="112"/>
        <v>0</v>
      </c>
    </row>
    <row r="1979" spans="1:7" hidden="1" x14ac:dyDescent="0.25">
      <c r="A1979" s="85" t="s">
        <v>4641</v>
      </c>
      <c r="B1979" s="81" t="s">
        <v>4630</v>
      </c>
      <c r="C1979" s="26" t="s">
        <v>37</v>
      </c>
      <c r="D1979" s="14"/>
      <c r="E1979" s="15"/>
      <c r="F1979" s="16">
        <f t="shared" si="114"/>
        <v>0</v>
      </c>
      <c r="G1979">
        <f t="shared" si="112"/>
        <v>0</v>
      </c>
    </row>
    <row r="1980" spans="1:7" hidden="1" x14ac:dyDescent="0.25">
      <c r="A1980" s="85" t="s">
        <v>4642</v>
      </c>
      <c r="B1980" s="81" t="s">
        <v>4630</v>
      </c>
      <c r="C1980" s="26" t="s">
        <v>37</v>
      </c>
      <c r="D1980" s="14"/>
      <c r="E1980" s="15"/>
      <c r="F1980" s="16">
        <f t="shared" si="114"/>
        <v>0</v>
      </c>
      <c r="G1980">
        <f t="shared" si="112"/>
        <v>0</v>
      </c>
    </row>
    <row r="1981" spans="1:7" hidden="1" x14ac:dyDescent="0.25">
      <c r="A1981" s="85" t="s">
        <v>4643</v>
      </c>
      <c r="B1981" s="81" t="s">
        <v>4631</v>
      </c>
      <c r="C1981" s="26" t="s">
        <v>37</v>
      </c>
      <c r="D1981" s="14"/>
      <c r="E1981" s="15"/>
      <c r="F1981" s="16">
        <f t="shared" si="114"/>
        <v>0</v>
      </c>
      <c r="G1981">
        <f t="shared" si="112"/>
        <v>0</v>
      </c>
    </row>
    <row r="1982" spans="1:7" hidden="1" x14ac:dyDescent="0.25">
      <c r="A1982" s="85" t="s">
        <v>4644</v>
      </c>
      <c r="B1982" s="81" t="s">
        <v>4632</v>
      </c>
      <c r="C1982" s="26" t="s">
        <v>37</v>
      </c>
      <c r="D1982" s="14"/>
      <c r="E1982" s="15"/>
      <c r="F1982" s="16">
        <f t="shared" si="114"/>
        <v>0</v>
      </c>
      <c r="G1982">
        <f t="shared" si="112"/>
        <v>0</v>
      </c>
    </row>
    <row r="1983" spans="1:7" hidden="1" x14ac:dyDescent="0.25">
      <c r="A1983" s="85" t="s">
        <v>4645</v>
      </c>
      <c r="B1983" s="81" t="s">
        <v>4633</v>
      </c>
      <c r="C1983" s="26" t="s">
        <v>37</v>
      </c>
      <c r="D1983" s="14"/>
      <c r="E1983" s="15"/>
      <c r="F1983" s="16">
        <f t="shared" si="114"/>
        <v>0</v>
      </c>
      <c r="G1983">
        <f t="shared" si="112"/>
        <v>0</v>
      </c>
    </row>
    <row r="1984" spans="1:7" hidden="1" x14ac:dyDescent="0.25">
      <c r="A1984" s="85" t="s">
        <v>4646</v>
      </c>
      <c r="B1984" s="81" t="s">
        <v>4634</v>
      </c>
      <c r="C1984" s="26" t="s">
        <v>37</v>
      </c>
      <c r="D1984" s="14"/>
      <c r="E1984" s="15"/>
      <c r="F1984" s="16">
        <f t="shared" si="114"/>
        <v>0</v>
      </c>
      <c r="G1984">
        <f t="shared" si="112"/>
        <v>0</v>
      </c>
    </row>
    <row r="1985" spans="1:7" hidden="1" x14ac:dyDescent="0.25">
      <c r="A1985" s="85" t="s">
        <v>4647</v>
      </c>
      <c r="B1985" s="81" t="s">
        <v>4635</v>
      </c>
      <c r="C1985" s="26" t="s">
        <v>37</v>
      </c>
      <c r="D1985" s="14"/>
      <c r="E1985" s="15"/>
      <c r="F1985" s="16">
        <f t="shared" si="114"/>
        <v>0</v>
      </c>
      <c r="G1985">
        <f t="shared" si="112"/>
        <v>0</v>
      </c>
    </row>
    <row r="1986" spans="1:7" hidden="1" x14ac:dyDescent="0.25">
      <c r="A1986" s="85" t="s">
        <v>4648</v>
      </c>
      <c r="B1986" s="81" t="s">
        <v>4636</v>
      </c>
      <c r="C1986" s="26" t="s">
        <v>37</v>
      </c>
      <c r="D1986" s="14"/>
      <c r="E1986" s="15"/>
      <c r="F1986" s="16">
        <f t="shared" si="114"/>
        <v>0</v>
      </c>
      <c r="G1986">
        <f t="shared" si="112"/>
        <v>0</v>
      </c>
    </row>
    <row r="1987" spans="1:7" hidden="1" x14ac:dyDescent="0.25">
      <c r="A1987" s="85" t="s">
        <v>4649</v>
      </c>
      <c r="B1987" s="81" t="s">
        <v>4637</v>
      </c>
      <c r="C1987" s="26" t="s">
        <v>37</v>
      </c>
      <c r="D1987" s="14"/>
      <c r="E1987" s="15"/>
      <c r="F1987" s="16">
        <f t="shared" si="114"/>
        <v>0</v>
      </c>
      <c r="G1987">
        <f t="shared" si="112"/>
        <v>0</v>
      </c>
    </row>
    <row r="1988" spans="1:7" hidden="1" x14ac:dyDescent="0.25">
      <c r="A1988" s="85" t="s">
        <v>4650</v>
      </c>
      <c r="B1988" s="81" t="s">
        <v>4638</v>
      </c>
      <c r="C1988" s="26" t="s">
        <v>37</v>
      </c>
      <c r="D1988" s="14"/>
      <c r="E1988" s="15"/>
      <c r="F1988" s="16">
        <f t="shared" si="114"/>
        <v>0</v>
      </c>
      <c r="G1988">
        <f t="shared" si="112"/>
        <v>0</v>
      </c>
    </row>
    <row r="1989" spans="1:7" hidden="1" x14ac:dyDescent="0.25">
      <c r="A1989" s="85" t="s">
        <v>4651</v>
      </c>
      <c r="B1989" s="81" t="s">
        <v>4639</v>
      </c>
      <c r="C1989" s="26" t="s">
        <v>37</v>
      </c>
      <c r="D1989" s="14"/>
      <c r="E1989" s="15"/>
      <c r="F1989" s="16">
        <f t="shared" si="114"/>
        <v>0</v>
      </c>
      <c r="G1989">
        <f t="shared" si="112"/>
        <v>0</v>
      </c>
    </row>
    <row r="1990" spans="1:7" hidden="1" x14ac:dyDescent="0.25">
      <c r="A1990" s="78" t="s">
        <v>4660</v>
      </c>
      <c r="B1990" s="80" t="s">
        <v>4671</v>
      </c>
      <c r="C1990" s="14"/>
      <c r="D1990" s="14"/>
      <c r="E1990" s="15"/>
      <c r="F1990" s="16"/>
      <c r="G1990">
        <f t="shared" si="112"/>
        <v>0</v>
      </c>
    </row>
    <row r="1991" spans="1:7" hidden="1" x14ac:dyDescent="0.25">
      <c r="A1991" s="85" t="s">
        <v>4661</v>
      </c>
      <c r="B1991" s="81" t="s">
        <v>4652</v>
      </c>
      <c r="C1991" s="26" t="s">
        <v>37</v>
      </c>
      <c r="D1991" s="14"/>
      <c r="E1991" s="15"/>
      <c r="F1991" s="16">
        <f t="shared" ref="F1991:F1997" si="115">+D1991*E1991</f>
        <v>0</v>
      </c>
      <c r="G1991">
        <f t="shared" si="112"/>
        <v>0</v>
      </c>
    </row>
    <row r="1992" spans="1:7" hidden="1" x14ac:dyDescent="0.25">
      <c r="A1992" s="85" t="s">
        <v>4662</v>
      </c>
      <c r="B1992" s="81" t="s">
        <v>4653</v>
      </c>
      <c r="C1992" s="26" t="s">
        <v>37</v>
      </c>
      <c r="D1992" s="14"/>
      <c r="E1992" s="15"/>
      <c r="F1992" s="16">
        <f t="shared" si="115"/>
        <v>0</v>
      </c>
      <c r="G1992">
        <f t="shared" si="112"/>
        <v>0</v>
      </c>
    </row>
    <row r="1993" spans="1:7" hidden="1" x14ac:dyDescent="0.25">
      <c r="A1993" s="85" t="s">
        <v>4663</v>
      </c>
      <c r="B1993" s="81" t="s">
        <v>4654</v>
      </c>
      <c r="C1993" s="26" t="s">
        <v>37</v>
      </c>
      <c r="D1993" s="14"/>
      <c r="E1993" s="15"/>
      <c r="F1993" s="16">
        <f t="shared" si="115"/>
        <v>0</v>
      </c>
      <c r="G1993">
        <f t="shared" si="112"/>
        <v>0</v>
      </c>
    </row>
    <row r="1994" spans="1:7" hidden="1" x14ac:dyDescent="0.25">
      <c r="A1994" s="85" t="s">
        <v>4664</v>
      </c>
      <c r="B1994" s="81" t="s">
        <v>4655</v>
      </c>
      <c r="C1994" s="26" t="s">
        <v>37</v>
      </c>
      <c r="D1994" s="14"/>
      <c r="E1994" s="15"/>
      <c r="F1994" s="16">
        <f t="shared" si="115"/>
        <v>0</v>
      </c>
      <c r="G1994">
        <f t="shared" si="112"/>
        <v>0</v>
      </c>
    </row>
    <row r="1995" spans="1:7" hidden="1" x14ac:dyDescent="0.25">
      <c r="A1995" s="85" t="s">
        <v>4665</v>
      </c>
      <c r="B1995" s="81" t="s">
        <v>4656</v>
      </c>
      <c r="C1995" s="26" t="s">
        <v>37</v>
      </c>
      <c r="D1995" s="14"/>
      <c r="E1995" s="15"/>
      <c r="F1995" s="16">
        <f t="shared" si="115"/>
        <v>0</v>
      </c>
      <c r="G1995">
        <f t="shared" si="112"/>
        <v>0</v>
      </c>
    </row>
    <row r="1996" spans="1:7" hidden="1" x14ac:dyDescent="0.25">
      <c r="A1996" s="85" t="s">
        <v>4666</v>
      </c>
      <c r="B1996" s="81" t="s">
        <v>4657</v>
      </c>
      <c r="C1996" s="26" t="s">
        <v>37</v>
      </c>
      <c r="D1996" s="14"/>
      <c r="E1996" s="15"/>
      <c r="F1996" s="16">
        <f t="shared" si="115"/>
        <v>0</v>
      </c>
      <c r="G1996">
        <f t="shared" si="112"/>
        <v>0</v>
      </c>
    </row>
    <row r="1997" spans="1:7" hidden="1" x14ac:dyDescent="0.25">
      <c r="A1997" s="85" t="s">
        <v>4667</v>
      </c>
      <c r="B1997" s="81" t="s">
        <v>4658</v>
      </c>
      <c r="C1997" s="26" t="s">
        <v>37</v>
      </c>
      <c r="D1997" s="14"/>
      <c r="E1997" s="15"/>
      <c r="F1997" s="16">
        <f t="shared" si="115"/>
        <v>0</v>
      </c>
      <c r="G1997">
        <f t="shared" si="112"/>
        <v>0</v>
      </c>
    </row>
    <row r="1998" spans="1:7" hidden="1" x14ac:dyDescent="0.25">
      <c r="A1998" s="78" t="s">
        <v>4668</v>
      </c>
      <c r="B1998" s="80" t="s">
        <v>995</v>
      </c>
      <c r="C1998" s="14"/>
      <c r="D1998" s="14"/>
      <c r="E1998" s="15"/>
      <c r="F1998" s="16"/>
      <c r="G1998">
        <f t="shared" si="112"/>
        <v>0</v>
      </c>
    </row>
    <row r="1999" spans="1:7" hidden="1" x14ac:dyDescent="0.25">
      <c r="A1999" s="78" t="s">
        <v>4669</v>
      </c>
      <c r="B1999" s="80" t="s">
        <v>4670</v>
      </c>
      <c r="C1999" s="14"/>
      <c r="D1999" s="14"/>
      <c r="E1999" s="15"/>
      <c r="F1999" s="16"/>
      <c r="G1999">
        <f t="shared" si="112"/>
        <v>0</v>
      </c>
    </row>
    <row r="2000" spans="1:7" hidden="1" x14ac:dyDescent="0.25">
      <c r="A2000" s="78" t="s">
        <v>4672</v>
      </c>
      <c r="B2000" s="80" t="s">
        <v>4673</v>
      </c>
      <c r="C2000" s="14"/>
      <c r="D2000" s="14"/>
      <c r="E2000" s="15"/>
      <c r="F2000" s="16"/>
      <c r="G2000">
        <f t="shared" si="112"/>
        <v>0</v>
      </c>
    </row>
    <row r="2001" spans="1:7" hidden="1" x14ac:dyDescent="0.25">
      <c r="A2001" s="85" t="s">
        <v>4674</v>
      </c>
      <c r="B2001" s="81" t="s">
        <v>4683</v>
      </c>
      <c r="C2001" s="26" t="s">
        <v>37</v>
      </c>
      <c r="D2001" s="14"/>
      <c r="E2001" s="15"/>
      <c r="F2001" s="16">
        <f t="shared" ref="F2001:F2007" si="116">+D2001*E2001</f>
        <v>0</v>
      </c>
      <c r="G2001">
        <f t="shared" si="112"/>
        <v>0</v>
      </c>
    </row>
    <row r="2002" spans="1:7" hidden="1" x14ac:dyDescent="0.25">
      <c r="A2002" s="85" t="s">
        <v>4675</v>
      </c>
      <c r="B2002" s="81" t="s">
        <v>4684</v>
      </c>
      <c r="C2002" s="26" t="s">
        <v>37</v>
      </c>
      <c r="D2002" s="14"/>
      <c r="E2002" s="15"/>
      <c r="F2002" s="16">
        <f t="shared" si="116"/>
        <v>0</v>
      </c>
      <c r="G2002">
        <f t="shared" si="112"/>
        <v>0</v>
      </c>
    </row>
    <row r="2003" spans="1:7" hidden="1" x14ac:dyDescent="0.25">
      <c r="A2003" s="85" t="s">
        <v>4676</v>
      </c>
      <c r="B2003" s="81" t="s">
        <v>4685</v>
      </c>
      <c r="C2003" s="26" t="s">
        <v>37</v>
      </c>
      <c r="D2003" s="14"/>
      <c r="E2003" s="15"/>
      <c r="F2003" s="16">
        <f t="shared" si="116"/>
        <v>0</v>
      </c>
      <c r="G2003">
        <f t="shared" si="112"/>
        <v>0</v>
      </c>
    </row>
    <row r="2004" spans="1:7" hidden="1" x14ac:dyDescent="0.25">
      <c r="A2004" s="85" t="s">
        <v>4677</v>
      </c>
      <c r="B2004" s="81" t="s">
        <v>4686</v>
      </c>
      <c r="C2004" s="26" t="s">
        <v>37</v>
      </c>
      <c r="D2004" s="14"/>
      <c r="E2004" s="15"/>
      <c r="F2004" s="16">
        <f t="shared" si="116"/>
        <v>0</v>
      </c>
      <c r="G2004">
        <f t="shared" si="112"/>
        <v>0</v>
      </c>
    </row>
    <row r="2005" spans="1:7" hidden="1" x14ac:dyDescent="0.25">
      <c r="A2005" s="85" t="s">
        <v>4678</v>
      </c>
      <c r="B2005" s="81" t="s">
        <v>4687</v>
      </c>
      <c r="C2005" s="26" t="s">
        <v>37</v>
      </c>
      <c r="D2005" s="14"/>
      <c r="E2005" s="15"/>
      <c r="F2005" s="16">
        <f t="shared" si="116"/>
        <v>0</v>
      </c>
      <c r="G2005">
        <f t="shared" si="112"/>
        <v>0</v>
      </c>
    </row>
    <row r="2006" spans="1:7" hidden="1" x14ac:dyDescent="0.25">
      <c r="A2006" s="85" t="s">
        <v>4679</v>
      </c>
      <c r="B2006" s="81" t="s">
        <v>4688</v>
      </c>
      <c r="C2006" s="26" t="s">
        <v>37</v>
      </c>
      <c r="D2006" s="14"/>
      <c r="E2006" s="15"/>
      <c r="F2006" s="16">
        <f t="shared" si="116"/>
        <v>0</v>
      </c>
      <c r="G2006">
        <f t="shared" si="112"/>
        <v>0</v>
      </c>
    </row>
    <row r="2007" spans="1:7" hidden="1" x14ac:dyDescent="0.25">
      <c r="A2007" s="85" t="s">
        <v>4680</v>
      </c>
      <c r="B2007" s="81" t="s">
        <v>4689</v>
      </c>
      <c r="C2007" s="26" t="s">
        <v>37</v>
      </c>
      <c r="D2007" s="14"/>
      <c r="E2007" s="15"/>
      <c r="F2007" s="16">
        <f t="shared" si="116"/>
        <v>0</v>
      </c>
      <c r="G2007">
        <f t="shared" si="112"/>
        <v>0</v>
      </c>
    </row>
    <row r="2008" spans="1:7" hidden="1" x14ac:dyDescent="0.25">
      <c r="A2008" s="78" t="s">
        <v>4682</v>
      </c>
      <c r="B2008" s="80" t="s">
        <v>4681</v>
      </c>
      <c r="C2008" s="14"/>
      <c r="D2008" s="14"/>
      <c r="E2008" s="15"/>
      <c r="F2008" s="16"/>
      <c r="G2008">
        <f t="shared" si="112"/>
        <v>0</v>
      </c>
    </row>
    <row r="2009" spans="1:7" hidden="1" x14ac:dyDescent="0.25">
      <c r="A2009" s="85" t="s">
        <v>4690</v>
      </c>
      <c r="B2009" s="81" t="s">
        <v>4683</v>
      </c>
      <c r="C2009" s="26" t="s">
        <v>37</v>
      </c>
      <c r="D2009" s="14"/>
      <c r="E2009" s="15"/>
      <c r="F2009" s="16">
        <f t="shared" ref="F2009:F2015" si="117">+D2009*E2009</f>
        <v>0</v>
      </c>
      <c r="G2009">
        <f t="shared" si="112"/>
        <v>0</v>
      </c>
    </row>
    <row r="2010" spans="1:7" hidden="1" x14ac:dyDescent="0.25">
      <c r="A2010" s="85" t="s">
        <v>4691</v>
      </c>
      <c r="B2010" s="81" t="s">
        <v>4684</v>
      </c>
      <c r="C2010" s="26" t="s">
        <v>37</v>
      </c>
      <c r="D2010" s="14"/>
      <c r="E2010" s="15"/>
      <c r="F2010" s="16">
        <f t="shared" si="117"/>
        <v>0</v>
      </c>
      <c r="G2010">
        <f t="shared" si="112"/>
        <v>0</v>
      </c>
    </row>
    <row r="2011" spans="1:7" hidden="1" x14ac:dyDescent="0.25">
      <c r="A2011" s="85" t="s">
        <v>4692</v>
      </c>
      <c r="B2011" s="81" t="s">
        <v>4685</v>
      </c>
      <c r="C2011" s="26" t="s">
        <v>37</v>
      </c>
      <c r="D2011" s="14"/>
      <c r="E2011" s="15"/>
      <c r="F2011" s="16">
        <f t="shared" si="117"/>
        <v>0</v>
      </c>
      <c r="G2011">
        <f t="shared" si="112"/>
        <v>0</v>
      </c>
    </row>
    <row r="2012" spans="1:7" hidden="1" x14ac:dyDescent="0.25">
      <c r="A2012" s="85" t="s">
        <v>4693</v>
      </c>
      <c r="B2012" s="81" t="s">
        <v>4686</v>
      </c>
      <c r="C2012" s="26" t="s">
        <v>37</v>
      </c>
      <c r="D2012" s="14"/>
      <c r="E2012" s="15"/>
      <c r="F2012" s="16">
        <f t="shared" si="117"/>
        <v>0</v>
      </c>
      <c r="G2012">
        <f t="shared" si="112"/>
        <v>0</v>
      </c>
    </row>
    <row r="2013" spans="1:7" hidden="1" x14ac:dyDescent="0.25">
      <c r="A2013" s="85" t="s">
        <v>4694</v>
      </c>
      <c r="B2013" s="81" t="s">
        <v>4687</v>
      </c>
      <c r="C2013" s="26" t="s">
        <v>37</v>
      </c>
      <c r="D2013" s="14"/>
      <c r="E2013" s="15"/>
      <c r="F2013" s="16">
        <f t="shared" si="117"/>
        <v>0</v>
      </c>
      <c r="G2013">
        <f t="shared" si="112"/>
        <v>0</v>
      </c>
    </row>
    <row r="2014" spans="1:7" hidden="1" x14ac:dyDescent="0.25">
      <c r="A2014" s="85" t="s">
        <v>4695</v>
      </c>
      <c r="B2014" s="81" t="s">
        <v>4688</v>
      </c>
      <c r="C2014" s="26" t="s">
        <v>37</v>
      </c>
      <c r="D2014" s="14"/>
      <c r="E2014" s="15"/>
      <c r="F2014" s="16">
        <f t="shared" si="117"/>
        <v>0</v>
      </c>
      <c r="G2014">
        <f t="shared" si="112"/>
        <v>0</v>
      </c>
    </row>
    <row r="2015" spans="1:7" hidden="1" x14ac:dyDescent="0.25">
      <c r="A2015" s="85" t="s">
        <v>4696</v>
      </c>
      <c r="B2015" s="81" t="s">
        <v>4689</v>
      </c>
      <c r="C2015" s="26" t="s">
        <v>37</v>
      </c>
      <c r="D2015" s="14"/>
      <c r="E2015" s="15"/>
      <c r="F2015" s="16">
        <f t="shared" si="117"/>
        <v>0</v>
      </c>
      <c r="G2015">
        <f t="shared" si="112"/>
        <v>0</v>
      </c>
    </row>
    <row r="2016" spans="1:7" hidden="1" x14ac:dyDescent="0.25">
      <c r="A2016" s="78" t="s">
        <v>4699</v>
      </c>
      <c r="B2016" s="80" t="s">
        <v>4697</v>
      </c>
      <c r="C2016" s="14"/>
      <c r="D2016" s="14"/>
      <c r="E2016" s="15"/>
      <c r="F2016" s="16"/>
      <c r="G2016">
        <f t="shared" si="112"/>
        <v>0</v>
      </c>
    </row>
    <row r="2017" spans="1:7" hidden="1" x14ac:dyDescent="0.25">
      <c r="A2017" s="85" t="s">
        <v>4698</v>
      </c>
      <c r="B2017" s="81" t="s">
        <v>4683</v>
      </c>
      <c r="C2017" s="26" t="s">
        <v>37</v>
      </c>
      <c r="D2017" s="14"/>
      <c r="E2017" s="15"/>
      <c r="F2017" s="16">
        <f t="shared" ref="F2017:F2023" si="118">+D2017*E2017</f>
        <v>0</v>
      </c>
      <c r="G2017">
        <f t="shared" si="112"/>
        <v>0</v>
      </c>
    </row>
    <row r="2018" spans="1:7" hidden="1" x14ac:dyDescent="0.25">
      <c r="A2018" s="85" t="s">
        <v>4700</v>
      </c>
      <c r="B2018" s="81" t="s">
        <v>4684</v>
      </c>
      <c r="C2018" s="26" t="s">
        <v>37</v>
      </c>
      <c r="D2018" s="14"/>
      <c r="E2018" s="15"/>
      <c r="F2018" s="16">
        <f t="shared" si="118"/>
        <v>0</v>
      </c>
      <c r="G2018">
        <f t="shared" si="112"/>
        <v>0</v>
      </c>
    </row>
    <row r="2019" spans="1:7" hidden="1" x14ac:dyDescent="0.25">
      <c r="A2019" s="85" t="s">
        <v>4701</v>
      </c>
      <c r="B2019" s="81" t="s">
        <v>4685</v>
      </c>
      <c r="C2019" s="26" t="s">
        <v>37</v>
      </c>
      <c r="D2019" s="14"/>
      <c r="E2019" s="15"/>
      <c r="F2019" s="16">
        <f t="shared" si="118"/>
        <v>0</v>
      </c>
      <c r="G2019">
        <f t="shared" si="112"/>
        <v>0</v>
      </c>
    </row>
    <row r="2020" spans="1:7" hidden="1" x14ac:dyDescent="0.25">
      <c r="A2020" s="85" t="s">
        <v>4702</v>
      </c>
      <c r="B2020" s="81" t="s">
        <v>4686</v>
      </c>
      <c r="C2020" s="26" t="s">
        <v>37</v>
      </c>
      <c r="D2020" s="14"/>
      <c r="E2020" s="15"/>
      <c r="F2020" s="16">
        <f t="shared" si="118"/>
        <v>0</v>
      </c>
      <c r="G2020">
        <f t="shared" si="112"/>
        <v>0</v>
      </c>
    </row>
    <row r="2021" spans="1:7" hidden="1" x14ac:dyDescent="0.25">
      <c r="A2021" s="85" t="s">
        <v>4703</v>
      </c>
      <c r="B2021" s="81" t="s">
        <v>4687</v>
      </c>
      <c r="C2021" s="26" t="s">
        <v>37</v>
      </c>
      <c r="D2021" s="14"/>
      <c r="E2021" s="15"/>
      <c r="F2021" s="16">
        <f t="shared" si="118"/>
        <v>0</v>
      </c>
      <c r="G2021">
        <f t="shared" si="112"/>
        <v>0</v>
      </c>
    </row>
    <row r="2022" spans="1:7" hidden="1" x14ac:dyDescent="0.25">
      <c r="A2022" s="85" t="s">
        <v>4704</v>
      </c>
      <c r="B2022" s="81" t="s">
        <v>4688</v>
      </c>
      <c r="C2022" s="26" t="s">
        <v>37</v>
      </c>
      <c r="D2022" s="14"/>
      <c r="E2022" s="15"/>
      <c r="F2022" s="16">
        <f t="shared" si="118"/>
        <v>0</v>
      </c>
      <c r="G2022">
        <f t="shared" ref="G2022:G2085" si="119">+IF(F2022&lt;&gt;0,1,0)</f>
        <v>0</v>
      </c>
    </row>
    <row r="2023" spans="1:7" hidden="1" x14ac:dyDescent="0.25">
      <c r="A2023" s="85" t="s">
        <v>4705</v>
      </c>
      <c r="B2023" s="81" t="s">
        <v>4689</v>
      </c>
      <c r="C2023" s="26" t="s">
        <v>37</v>
      </c>
      <c r="D2023" s="14"/>
      <c r="E2023" s="15"/>
      <c r="F2023" s="16">
        <f t="shared" si="118"/>
        <v>0</v>
      </c>
      <c r="G2023">
        <f t="shared" si="119"/>
        <v>0</v>
      </c>
    </row>
    <row r="2024" spans="1:7" hidden="1" x14ac:dyDescent="0.25">
      <c r="A2024" s="78" t="s">
        <v>4706</v>
      </c>
      <c r="B2024" s="80" t="s">
        <v>4707</v>
      </c>
      <c r="C2024" s="14"/>
      <c r="D2024" s="14"/>
      <c r="E2024" s="15"/>
      <c r="F2024" s="16"/>
      <c r="G2024">
        <f t="shared" si="119"/>
        <v>0</v>
      </c>
    </row>
    <row r="2025" spans="1:7" hidden="1" x14ac:dyDescent="0.25">
      <c r="A2025" s="85" t="s">
        <v>4715</v>
      </c>
      <c r="B2025" s="81" t="s">
        <v>4708</v>
      </c>
      <c r="C2025" s="26" t="s">
        <v>37</v>
      </c>
      <c r="D2025" s="14"/>
      <c r="E2025" s="15"/>
      <c r="F2025" s="16">
        <f t="shared" ref="F2025:F2031" si="120">+D2025*E2025</f>
        <v>0</v>
      </c>
      <c r="G2025">
        <f t="shared" si="119"/>
        <v>0</v>
      </c>
    </row>
    <row r="2026" spans="1:7" hidden="1" x14ac:dyDescent="0.25">
      <c r="A2026" s="85" t="s">
        <v>4716</v>
      </c>
      <c r="B2026" s="81" t="s">
        <v>4709</v>
      </c>
      <c r="C2026" s="26" t="s">
        <v>37</v>
      </c>
      <c r="D2026" s="14"/>
      <c r="E2026" s="15"/>
      <c r="F2026" s="16">
        <f t="shared" si="120"/>
        <v>0</v>
      </c>
      <c r="G2026">
        <f t="shared" si="119"/>
        <v>0</v>
      </c>
    </row>
    <row r="2027" spans="1:7" hidden="1" x14ac:dyDescent="0.25">
      <c r="A2027" s="85" t="s">
        <v>4717</v>
      </c>
      <c r="B2027" s="81" t="s">
        <v>4710</v>
      </c>
      <c r="C2027" s="26" t="s">
        <v>37</v>
      </c>
      <c r="D2027" s="14"/>
      <c r="E2027" s="15"/>
      <c r="F2027" s="16">
        <f t="shared" si="120"/>
        <v>0</v>
      </c>
      <c r="G2027">
        <f t="shared" si="119"/>
        <v>0</v>
      </c>
    </row>
    <row r="2028" spans="1:7" hidden="1" x14ac:dyDescent="0.25">
      <c r="A2028" s="85" t="s">
        <v>4718</v>
      </c>
      <c r="B2028" s="81" t="s">
        <v>4711</v>
      </c>
      <c r="C2028" s="26" t="s">
        <v>37</v>
      </c>
      <c r="D2028" s="14"/>
      <c r="E2028" s="15"/>
      <c r="F2028" s="16">
        <f t="shared" si="120"/>
        <v>0</v>
      </c>
      <c r="G2028">
        <f t="shared" si="119"/>
        <v>0</v>
      </c>
    </row>
    <row r="2029" spans="1:7" hidden="1" x14ac:dyDescent="0.25">
      <c r="A2029" s="85" t="s">
        <v>4719</v>
      </c>
      <c r="B2029" s="81" t="s">
        <v>4712</v>
      </c>
      <c r="C2029" s="26" t="s">
        <v>37</v>
      </c>
      <c r="D2029" s="14"/>
      <c r="E2029" s="15"/>
      <c r="F2029" s="16">
        <f t="shared" si="120"/>
        <v>0</v>
      </c>
      <c r="G2029">
        <f t="shared" si="119"/>
        <v>0</v>
      </c>
    </row>
    <row r="2030" spans="1:7" hidden="1" x14ac:dyDescent="0.25">
      <c r="A2030" s="85" t="s">
        <v>4720</v>
      </c>
      <c r="B2030" s="81" t="s">
        <v>4713</v>
      </c>
      <c r="C2030" s="26" t="s">
        <v>37</v>
      </c>
      <c r="D2030" s="14"/>
      <c r="E2030" s="15"/>
      <c r="F2030" s="16">
        <f t="shared" si="120"/>
        <v>0</v>
      </c>
      <c r="G2030">
        <f t="shared" si="119"/>
        <v>0</v>
      </c>
    </row>
    <row r="2031" spans="1:7" hidden="1" x14ac:dyDescent="0.25">
      <c r="A2031" s="85" t="s">
        <v>4721</v>
      </c>
      <c r="B2031" s="81" t="s">
        <v>4714</v>
      </c>
      <c r="C2031" s="26" t="s">
        <v>37</v>
      </c>
      <c r="D2031" s="14"/>
      <c r="E2031" s="15"/>
      <c r="F2031" s="16">
        <f t="shared" si="120"/>
        <v>0</v>
      </c>
      <c r="G2031">
        <f t="shared" si="119"/>
        <v>0</v>
      </c>
    </row>
    <row r="2032" spans="1:7" hidden="1" x14ac:dyDescent="0.25">
      <c r="A2032" s="124" t="s">
        <v>4722</v>
      </c>
      <c r="B2032" s="125" t="s">
        <v>4723</v>
      </c>
      <c r="C2032" s="14"/>
      <c r="D2032" s="14"/>
      <c r="E2032" s="15"/>
      <c r="F2032" s="16"/>
      <c r="G2032">
        <f t="shared" si="119"/>
        <v>0</v>
      </c>
    </row>
    <row r="2033" spans="1:7" hidden="1" x14ac:dyDescent="0.25">
      <c r="A2033" s="126" t="s">
        <v>4731</v>
      </c>
      <c r="B2033" s="122" t="s">
        <v>4725</v>
      </c>
      <c r="C2033" s="26" t="s">
        <v>37</v>
      </c>
      <c r="D2033" s="14"/>
      <c r="E2033" s="15"/>
      <c r="F2033" s="16">
        <f t="shared" ref="F2033:F2039" si="121">+D2033*E2033</f>
        <v>0</v>
      </c>
      <c r="G2033">
        <f t="shared" si="119"/>
        <v>0</v>
      </c>
    </row>
    <row r="2034" spans="1:7" hidden="1" x14ac:dyDescent="0.25">
      <c r="A2034" s="126" t="s">
        <v>4732</v>
      </c>
      <c r="B2034" s="122" t="s">
        <v>4724</v>
      </c>
      <c r="C2034" s="26" t="s">
        <v>37</v>
      </c>
      <c r="D2034" s="14"/>
      <c r="E2034" s="15"/>
      <c r="F2034" s="16">
        <f t="shared" si="121"/>
        <v>0</v>
      </c>
      <c r="G2034">
        <f t="shared" si="119"/>
        <v>0</v>
      </c>
    </row>
    <row r="2035" spans="1:7" hidden="1" x14ac:dyDescent="0.25">
      <c r="A2035" s="126" t="s">
        <v>4733</v>
      </c>
      <c r="B2035" s="122" t="s">
        <v>4726</v>
      </c>
      <c r="C2035" s="26" t="s">
        <v>37</v>
      </c>
      <c r="D2035" s="14"/>
      <c r="E2035" s="15"/>
      <c r="F2035" s="16">
        <f t="shared" si="121"/>
        <v>0</v>
      </c>
      <c r="G2035">
        <f t="shared" si="119"/>
        <v>0</v>
      </c>
    </row>
    <row r="2036" spans="1:7" hidden="1" x14ac:dyDescent="0.25">
      <c r="A2036" s="126" t="s">
        <v>4734</v>
      </c>
      <c r="B2036" s="122" t="s">
        <v>4727</v>
      </c>
      <c r="C2036" s="26" t="s">
        <v>37</v>
      </c>
      <c r="D2036" s="14"/>
      <c r="E2036" s="15"/>
      <c r="F2036" s="16">
        <f t="shared" si="121"/>
        <v>0</v>
      </c>
      <c r="G2036">
        <f t="shared" si="119"/>
        <v>0</v>
      </c>
    </row>
    <row r="2037" spans="1:7" hidden="1" x14ac:dyDescent="0.25">
      <c r="A2037" s="126" t="s">
        <v>4735</v>
      </c>
      <c r="B2037" s="122" t="s">
        <v>4728</v>
      </c>
      <c r="C2037" s="26" t="s">
        <v>37</v>
      </c>
      <c r="D2037" s="14"/>
      <c r="E2037" s="15"/>
      <c r="F2037" s="16">
        <f t="shared" si="121"/>
        <v>0</v>
      </c>
      <c r="G2037">
        <f t="shared" si="119"/>
        <v>0</v>
      </c>
    </row>
    <row r="2038" spans="1:7" hidden="1" x14ac:dyDescent="0.25">
      <c r="A2038" s="126" t="s">
        <v>4736</v>
      </c>
      <c r="B2038" s="122" t="s">
        <v>4729</v>
      </c>
      <c r="C2038" s="26" t="s">
        <v>37</v>
      </c>
      <c r="D2038" s="14"/>
      <c r="E2038" s="15"/>
      <c r="F2038" s="16">
        <f t="shared" si="121"/>
        <v>0</v>
      </c>
      <c r="G2038">
        <f t="shared" si="119"/>
        <v>0</v>
      </c>
    </row>
    <row r="2039" spans="1:7" hidden="1" x14ac:dyDescent="0.25">
      <c r="A2039" s="126" t="s">
        <v>4737</v>
      </c>
      <c r="B2039" s="122" t="s">
        <v>4730</v>
      </c>
      <c r="C2039" s="26" t="s">
        <v>37</v>
      </c>
      <c r="D2039" s="14"/>
      <c r="E2039" s="15"/>
      <c r="F2039" s="16">
        <f t="shared" si="121"/>
        <v>0</v>
      </c>
      <c r="G2039">
        <f t="shared" si="119"/>
        <v>0</v>
      </c>
    </row>
    <row r="2040" spans="1:7" x14ac:dyDescent="0.25">
      <c r="A2040" s="61" t="s">
        <v>997</v>
      </c>
      <c r="B2040" s="62" t="s">
        <v>998</v>
      </c>
      <c r="C2040" s="63"/>
      <c r="D2040" s="63"/>
      <c r="E2040" s="460"/>
      <c r="F2040" s="461"/>
      <c r="G2040">
        <v>1</v>
      </c>
    </row>
    <row r="2041" spans="1:7" hidden="1" x14ac:dyDescent="0.25">
      <c r="A2041" s="44" t="s">
        <v>999</v>
      </c>
      <c r="B2041" s="80" t="s">
        <v>4739</v>
      </c>
      <c r="C2041" s="14"/>
      <c r="D2041" s="14"/>
      <c r="E2041" s="15"/>
      <c r="F2041" s="16"/>
      <c r="G2041">
        <f t="shared" si="119"/>
        <v>0</v>
      </c>
    </row>
    <row r="2042" spans="1:7" hidden="1" x14ac:dyDescent="0.25">
      <c r="A2042" s="43" t="s">
        <v>1000</v>
      </c>
      <c r="B2042" s="81" t="s">
        <v>4738</v>
      </c>
      <c r="C2042" s="26" t="s">
        <v>37</v>
      </c>
      <c r="D2042" s="14"/>
      <c r="E2042" s="15"/>
      <c r="F2042" s="16">
        <f t="shared" ref="F2042:F2089" si="122">+D2042*E2042</f>
        <v>0</v>
      </c>
      <c r="G2042">
        <f t="shared" si="119"/>
        <v>0</v>
      </c>
    </row>
    <row r="2043" spans="1:7" hidden="1" x14ac:dyDescent="0.25">
      <c r="A2043" s="43" t="s">
        <v>4745</v>
      </c>
      <c r="B2043" s="81" t="s">
        <v>4740</v>
      </c>
      <c r="C2043" s="26" t="s">
        <v>37</v>
      </c>
      <c r="D2043" s="14"/>
      <c r="E2043" s="15"/>
      <c r="F2043" s="16">
        <f t="shared" si="122"/>
        <v>0</v>
      </c>
      <c r="G2043">
        <f t="shared" si="119"/>
        <v>0</v>
      </c>
    </row>
    <row r="2044" spans="1:7" hidden="1" x14ac:dyDescent="0.25">
      <c r="A2044" s="43" t="s">
        <v>4746</v>
      </c>
      <c r="B2044" s="81" t="s">
        <v>4741</v>
      </c>
      <c r="C2044" s="26" t="s">
        <v>37</v>
      </c>
      <c r="D2044" s="14"/>
      <c r="E2044" s="15"/>
      <c r="F2044" s="16">
        <f t="shared" si="122"/>
        <v>0</v>
      </c>
      <c r="G2044">
        <f t="shared" si="119"/>
        <v>0</v>
      </c>
    </row>
    <row r="2045" spans="1:7" hidden="1" x14ac:dyDescent="0.25">
      <c r="A2045" s="43" t="s">
        <v>4747</v>
      </c>
      <c r="B2045" s="81" t="s">
        <v>4742</v>
      </c>
      <c r="C2045" s="26" t="s">
        <v>37</v>
      </c>
      <c r="D2045" s="14"/>
      <c r="E2045" s="15"/>
      <c r="F2045" s="16">
        <f t="shared" si="122"/>
        <v>0</v>
      </c>
      <c r="G2045">
        <f t="shared" si="119"/>
        <v>0</v>
      </c>
    </row>
    <row r="2046" spans="1:7" hidden="1" x14ac:dyDescent="0.25">
      <c r="A2046" s="43" t="s">
        <v>4748</v>
      </c>
      <c r="B2046" s="81" t="s">
        <v>4744</v>
      </c>
      <c r="C2046" s="26" t="s">
        <v>37</v>
      </c>
      <c r="D2046" s="14"/>
      <c r="E2046" s="15"/>
      <c r="F2046" s="16">
        <f t="shared" si="122"/>
        <v>0</v>
      </c>
      <c r="G2046">
        <f t="shared" si="119"/>
        <v>0</v>
      </c>
    </row>
    <row r="2047" spans="1:7" hidden="1" x14ac:dyDescent="0.25">
      <c r="A2047" s="43" t="s">
        <v>4749</v>
      </c>
      <c r="B2047" s="81" t="s">
        <v>4743</v>
      </c>
      <c r="C2047" s="26" t="s">
        <v>37</v>
      </c>
      <c r="D2047" s="14"/>
      <c r="E2047" s="15"/>
      <c r="F2047" s="16">
        <f t="shared" si="122"/>
        <v>0</v>
      </c>
      <c r="G2047">
        <f t="shared" si="119"/>
        <v>0</v>
      </c>
    </row>
    <row r="2048" spans="1:7" hidden="1" x14ac:dyDescent="0.25">
      <c r="A2048" s="43" t="s">
        <v>1001</v>
      </c>
      <c r="B2048" s="81" t="s">
        <v>4750</v>
      </c>
      <c r="C2048" s="26" t="s">
        <v>37</v>
      </c>
      <c r="D2048" s="14"/>
      <c r="E2048" s="15"/>
      <c r="F2048" s="16">
        <f t="shared" si="122"/>
        <v>0</v>
      </c>
      <c r="G2048">
        <f t="shared" si="119"/>
        <v>0</v>
      </c>
    </row>
    <row r="2049" spans="1:7" hidden="1" x14ac:dyDescent="0.25">
      <c r="A2049" s="43" t="s">
        <v>4777</v>
      </c>
      <c r="B2049" s="81" t="s">
        <v>4751</v>
      </c>
      <c r="C2049" s="26" t="s">
        <v>37</v>
      </c>
      <c r="D2049" s="14"/>
      <c r="E2049" s="15"/>
      <c r="F2049" s="16">
        <f t="shared" si="122"/>
        <v>0</v>
      </c>
      <c r="G2049">
        <f t="shared" si="119"/>
        <v>0</v>
      </c>
    </row>
    <row r="2050" spans="1:7" hidden="1" x14ac:dyDescent="0.25">
      <c r="A2050" s="43" t="s">
        <v>4778</v>
      </c>
      <c r="B2050" s="81" t="s">
        <v>4752</v>
      </c>
      <c r="C2050" s="26" t="s">
        <v>37</v>
      </c>
      <c r="D2050" s="14"/>
      <c r="E2050" s="15"/>
      <c r="F2050" s="16">
        <f t="shared" si="122"/>
        <v>0</v>
      </c>
      <c r="G2050">
        <f t="shared" si="119"/>
        <v>0</v>
      </c>
    </row>
    <row r="2051" spans="1:7" hidden="1" x14ac:dyDescent="0.25">
      <c r="A2051" s="43" t="s">
        <v>4779</v>
      </c>
      <c r="B2051" s="81" t="s">
        <v>4753</v>
      </c>
      <c r="C2051" s="26" t="s">
        <v>37</v>
      </c>
      <c r="D2051" s="14"/>
      <c r="E2051" s="15"/>
      <c r="F2051" s="16">
        <f t="shared" si="122"/>
        <v>0</v>
      </c>
      <c r="G2051">
        <f t="shared" si="119"/>
        <v>0</v>
      </c>
    </row>
    <row r="2052" spans="1:7" hidden="1" x14ac:dyDescent="0.25">
      <c r="A2052" s="43" t="s">
        <v>4780</v>
      </c>
      <c r="B2052" s="81" t="s">
        <v>4754</v>
      </c>
      <c r="C2052" s="26" t="s">
        <v>37</v>
      </c>
      <c r="D2052" s="14"/>
      <c r="E2052" s="15"/>
      <c r="F2052" s="16">
        <f t="shared" si="122"/>
        <v>0</v>
      </c>
      <c r="G2052">
        <f t="shared" si="119"/>
        <v>0</v>
      </c>
    </row>
    <row r="2053" spans="1:7" hidden="1" x14ac:dyDescent="0.25">
      <c r="A2053" s="43" t="s">
        <v>4781</v>
      </c>
      <c r="B2053" s="81" t="s">
        <v>4755</v>
      </c>
      <c r="C2053" s="26" t="s">
        <v>37</v>
      </c>
      <c r="D2053" s="14"/>
      <c r="E2053" s="15"/>
      <c r="F2053" s="16">
        <f t="shared" si="122"/>
        <v>0</v>
      </c>
      <c r="G2053">
        <f t="shared" si="119"/>
        <v>0</v>
      </c>
    </row>
    <row r="2054" spans="1:7" hidden="1" x14ac:dyDescent="0.25">
      <c r="A2054" s="43" t="s">
        <v>1002</v>
      </c>
      <c r="B2054" s="81" t="s">
        <v>4756</v>
      </c>
      <c r="C2054" s="26" t="s">
        <v>37</v>
      </c>
      <c r="D2054" s="14"/>
      <c r="E2054" s="15"/>
      <c r="F2054" s="16">
        <f t="shared" si="122"/>
        <v>0</v>
      </c>
      <c r="G2054">
        <f t="shared" si="119"/>
        <v>0</v>
      </c>
    </row>
    <row r="2055" spans="1:7" hidden="1" x14ac:dyDescent="0.25">
      <c r="A2055" s="43" t="s">
        <v>1003</v>
      </c>
      <c r="B2055" s="81" t="s">
        <v>4757</v>
      </c>
      <c r="C2055" s="26" t="s">
        <v>37</v>
      </c>
      <c r="D2055" s="14"/>
      <c r="E2055" s="15"/>
      <c r="F2055" s="16">
        <f t="shared" si="122"/>
        <v>0</v>
      </c>
      <c r="G2055">
        <f t="shared" si="119"/>
        <v>0</v>
      </c>
    </row>
    <row r="2056" spans="1:7" hidden="1" x14ac:dyDescent="0.25">
      <c r="A2056" s="43" t="s">
        <v>4782</v>
      </c>
      <c r="B2056" s="81" t="s">
        <v>4758</v>
      </c>
      <c r="C2056" s="26" t="s">
        <v>37</v>
      </c>
      <c r="D2056" s="14"/>
      <c r="E2056" s="15"/>
      <c r="F2056" s="16">
        <f t="shared" si="122"/>
        <v>0</v>
      </c>
      <c r="G2056">
        <f t="shared" si="119"/>
        <v>0</v>
      </c>
    </row>
    <row r="2057" spans="1:7" hidden="1" x14ac:dyDescent="0.25">
      <c r="A2057" s="43" t="s">
        <v>4783</v>
      </c>
      <c r="B2057" s="81" t="s">
        <v>4759</v>
      </c>
      <c r="C2057" s="26" t="s">
        <v>37</v>
      </c>
      <c r="D2057" s="14"/>
      <c r="E2057" s="15"/>
      <c r="F2057" s="16">
        <f t="shared" si="122"/>
        <v>0</v>
      </c>
      <c r="G2057">
        <f t="shared" si="119"/>
        <v>0</v>
      </c>
    </row>
    <row r="2058" spans="1:7" hidden="1" x14ac:dyDescent="0.25">
      <c r="A2058" s="43" t="s">
        <v>4784</v>
      </c>
      <c r="B2058" s="81" t="s">
        <v>4760</v>
      </c>
      <c r="C2058" s="26" t="s">
        <v>37</v>
      </c>
      <c r="D2058" s="14"/>
      <c r="E2058" s="15"/>
      <c r="F2058" s="16">
        <f t="shared" si="122"/>
        <v>0</v>
      </c>
      <c r="G2058">
        <f t="shared" si="119"/>
        <v>0</v>
      </c>
    </row>
    <row r="2059" spans="1:7" hidden="1" x14ac:dyDescent="0.25">
      <c r="A2059" s="43" t="s">
        <v>4785</v>
      </c>
      <c r="B2059" s="81" t="s">
        <v>4761</v>
      </c>
      <c r="C2059" s="26" t="s">
        <v>37</v>
      </c>
      <c r="D2059" s="14"/>
      <c r="E2059" s="15"/>
      <c r="F2059" s="16">
        <f t="shared" si="122"/>
        <v>0</v>
      </c>
      <c r="G2059">
        <f t="shared" si="119"/>
        <v>0</v>
      </c>
    </row>
    <row r="2060" spans="1:7" hidden="1" x14ac:dyDescent="0.25">
      <c r="A2060" s="43" t="s">
        <v>4786</v>
      </c>
      <c r="B2060" s="81" t="s">
        <v>4762</v>
      </c>
      <c r="C2060" s="26" t="s">
        <v>37</v>
      </c>
      <c r="D2060" s="14"/>
      <c r="E2060" s="15"/>
      <c r="F2060" s="16">
        <f t="shared" si="122"/>
        <v>0</v>
      </c>
      <c r="G2060">
        <f t="shared" si="119"/>
        <v>0</v>
      </c>
    </row>
    <row r="2061" spans="1:7" hidden="1" x14ac:dyDescent="0.25">
      <c r="A2061" s="43" t="s">
        <v>4787</v>
      </c>
      <c r="B2061" s="81" t="s">
        <v>4763</v>
      </c>
      <c r="C2061" s="26" t="s">
        <v>37</v>
      </c>
      <c r="D2061" s="14"/>
      <c r="E2061" s="15"/>
      <c r="F2061" s="16">
        <f t="shared" si="122"/>
        <v>0</v>
      </c>
      <c r="G2061">
        <f t="shared" si="119"/>
        <v>0</v>
      </c>
    </row>
    <row r="2062" spans="1:7" hidden="1" x14ac:dyDescent="0.25">
      <c r="A2062" s="43" t="s">
        <v>4788</v>
      </c>
      <c r="B2062" s="81" t="s">
        <v>4764</v>
      </c>
      <c r="C2062" s="26" t="s">
        <v>37</v>
      </c>
      <c r="D2062" s="14"/>
      <c r="E2062" s="15"/>
      <c r="F2062" s="16">
        <f t="shared" si="122"/>
        <v>0</v>
      </c>
      <c r="G2062">
        <f t="shared" si="119"/>
        <v>0</v>
      </c>
    </row>
    <row r="2063" spans="1:7" hidden="1" x14ac:dyDescent="0.25">
      <c r="A2063" s="43" t="s">
        <v>4789</v>
      </c>
      <c r="B2063" s="81" t="s">
        <v>4765</v>
      </c>
      <c r="C2063" s="26" t="s">
        <v>37</v>
      </c>
      <c r="D2063" s="14"/>
      <c r="E2063" s="15"/>
      <c r="F2063" s="16">
        <f t="shared" si="122"/>
        <v>0</v>
      </c>
      <c r="G2063">
        <f t="shared" si="119"/>
        <v>0</v>
      </c>
    </row>
    <row r="2064" spans="1:7" hidden="1" x14ac:dyDescent="0.25">
      <c r="A2064" s="43" t="s">
        <v>4790</v>
      </c>
      <c r="B2064" s="81" t="s">
        <v>4766</v>
      </c>
      <c r="C2064" s="26" t="s">
        <v>37</v>
      </c>
      <c r="D2064" s="14"/>
      <c r="E2064" s="15"/>
      <c r="F2064" s="16">
        <f t="shared" si="122"/>
        <v>0</v>
      </c>
      <c r="G2064">
        <f t="shared" si="119"/>
        <v>0</v>
      </c>
    </row>
    <row r="2065" spans="1:7" hidden="1" x14ac:dyDescent="0.25">
      <c r="A2065" s="43" t="s">
        <v>4791</v>
      </c>
      <c r="B2065" s="81" t="s">
        <v>4767</v>
      </c>
      <c r="C2065" s="26" t="s">
        <v>37</v>
      </c>
      <c r="D2065" s="14"/>
      <c r="E2065" s="15"/>
      <c r="F2065" s="16">
        <f t="shared" si="122"/>
        <v>0</v>
      </c>
      <c r="G2065">
        <f t="shared" si="119"/>
        <v>0</v>
      </c>
    </row>
    <row r="2066" spans="1:7" hidden="1" x14ac:dyDescent="0.25">
      <c r="A2066" s="43" t="s">
        <v>1004</v>
      </c>
      <c r="B2066" s="81" t="s">
        <v>4768</v>
      </c>
      <c r="C2066" s="26" t="s">
        <v>37</v>
      </c>
      <c r="D2066" s="14"/>
      <c r="E2066" s="15">
        <f>+SUM!H2061</f>
        <v>490321</v>
      </c>
      <c r="F2066" s="16">
        <f t="shared" si="122"/>
        <v>0</v>
      </c>
      <c r="G2066">
        <f t="shared" si="119"/>
        <v>0</v>
      </c>
    </row>
    <row r="2067" spans="1:7" hidden="1" x14ac:dyDescent="0.25">
      <c r="A2067" s="43" t="s">
        <v>4792</v>
      </c>
      <c r="B2067" s="81" t="s">
        <v>4769</v>
      </c>
      <c r="C2067" s="26" t="s">
        <v>37</v>
      </c>
      <c r="D2067" s="14"/>
      <c r="E2067" s="15">
        <f>+SUM!H2062</f>
        <v>614395</v>
      </c>
      <c r="F2067" s="16">
        <f t="shared" si="122"/>
        <v>0</v>
      </c>
      <c r="G2067">
        <f t="shared" si="119"/>
        <v>0</v>
      </c>
    </row>
    <row r="2068" spans="1:7" hidden="1" x14ac:dyDescent="0.25">
      <c r="A2068" s="43" t="s">
        <v>4793</v>
      </c>
      <c r="B2068" s="81" t="s">
        <v>4770</v>
      </c>
      <c r="C2068" s="26" t="s">
        <v>37</v>
      </c>
      <c r="D2068" s="14"/>
      <c r="E2068" s="15">
        <f>+SUM!H2063</f>
        <v>751192</v>
      </c>
      <c r="F2068" s="16">
        <f t="shared" si="122"/>
        <v>0</v>
      </c>
      <c r="G2068">
        <f t="shared" si="119"/>
        <v>0</v>
      </c>
    </row>
    <row r="2069" spans="1:7" hidden="1" x14ac:dyDescent="0.25">
      <c r="A2069" s="43" t="s">
        <v>4794</v>
      </c>
      <c r="B2069" s="81" t="s">
        <v>4771</v>
      </c>
      <c r="C2069" s="26" t="s">
        <v>37</v>
      </c>
      <c r="D2069" s="14"/>
      <c r="E2069" s="15">
        <f>+SUM!H2064</f>
        <v>653761</v>
      </c>
      <c r="F2069" s="16">
        <f t="shared" si="122"/>
        <v>0</v>
      </c>
      <c r="G2069">
        <f t="shared" si="119"/>
        <v>0</v>
      </c>
    </row>
    <row r="2070" spans="1:7" hidden="1" x14ac:dyDescent="0.25">
      <c r="A2070" s="43" t="s">
        <v>4795</v>
      </c>
      <c r="B2070" s="81" t="s">
        <v>4772</v>
      </c>
      <c r="C2070" s="26" t="s">
        <v>37</v>
      </c>
      <c r="D2070" s="14"/>
      <c r="E2070" s="15">
        <f>+SUM!H2065</f>
        <v>822755</v>
      </c>
      <c r="F2070" s="16">
        <f t="shared" si="122"/>
        <v>0</v>
      </c>
      <c r="G2070">
        <f t="shared" si="119"/>
        <v>0</v>
      </c>
    </row>
    <row r="2071" spans="1:7" hidden="1" x14ac:dyDescent="0.25">
      <c r="A2071" s="43" t="s">
        <v>4796</v>
      </c>
      <c r="B2071" s="81" t="s">
        <v>4774</v>
      </c>
      <c r="C2071" s="26" t="s">
        <v>37</v>
      </c>
      <c r="D2071" s="14"/>
      <c r="E2071" s="15">
        <f>+SUM!H2066</f>
        <v>1008901</v>
      </c>
      <c r="F2071" s="16">
        <f t="shared" si="122"/>
        <v>0</v>
      </c>
      <c r="G2071">
        <f t="shared" si="119"/>
        <v>0</v>
      </c>
    </row>
    <row r="2072" spans="1:7" hidden="1" x14ac:dyDescent="0.25">
      <c r="A2072" s="43" t="s">
        <v>1005</v>
      </c>
      <c r="B2072" s="81" t="s">
        <v>4775</v>
      </c>
      <c r="C2072" s="26" t="s">
        <v>37</v>
      </c>
      <c r="D2072" s="14"/>
      <c r="E2072" s="15">
        <f>+SUM!H2067</f>
        <v>875196</v>
      </c>
      <c r="F2072" s="16">
        <f t="shared" si="122"/>
        <v>0</v>
      </c>
      <c r="G2072">
        <f t="shared" si="119"/>
        <v>0</v>
      </c>
    </row>
    <row r="2073" spans="1:7" hidden="1" x14ac:dyDescent="0.25">
      <c r="A2073" s="43" t="s">
        <v>4797</v>
      </c>
      <c r="B2073" s="81" t="s">
        <v>4776</v>
      </c>
      <c r="C2073" s="26" t="s">
        <v>37</v>
      </c>
      <c r="D2073" s="14"/>
      <c r="E2073" s="15">
        <f>+SUM!H2068</f>
        <v>1111253</v>
      </c>
      <c r="F2073" s="16">
        <f t="shared" si="122"/>
        <v>0</v>
      </c>
      <c r="G2073">
        <f t="shared" si="119"/>
        <v>0</v>
      </c>
    </row>
    <row r="2074" spans="1:7" hidden="1" x14ac:dyDescent="0.25">
      <c r="A2074" s="43" t="s">
        <v>4798</v>
      </c>
      <c r="B2074" s="81" t="s">
        <v>4773</v>
      </c>
      <c r="C2074" s="26" t="s">
        <v>37</v>
      </c>
      <c r="D2074" s="14"/>
      <c r="E2074" s="15">
        <f>+SUM!H2069</f>
        <v>1370789</v>
      </c>
      <c r="F2074" s="16">
        <f t="shared" si="122"/>
        <v>0</v>
      </c>
      <c r="G2074">
        <f t="shared" si="119"/>
        <v>0</v>
      </c>
    </row>
    <row r="2075" spans="1:7" hidden="1" x14ac:dyDescent="0.25">
      <c r="A2075" s="43" t="s">
        <v>4814</v>
      </c>
      <c r="B2075" s="81" t="s">
        <v>4799</v>
      </c>
      <c r="C2075" s="26" t="s">
        <v>37</v>
      </c>
      <c r="D2075" s="14"/>
      <c r="E2075" s="15">
        <f>+SUM!H2070</f>
        <v>1064998</v>
      </c>
      <c r="F2075" s="16">
        <f t="shared" si="122"/>
        <v>0</v>
      </c>
      <c r="G2075">
        <f t="shared" si="119"/>
        <v>0</v>
      </c>
    </row>
    <row r="2076" spans="1:7" hidden="1" x14ac:dyDescent="0.25">
      <c r="A2076" s="43" t="s">
        <v>4815</v>
      </c>
      <c r="B2076" s="81" t="s">
        <v>4800</v>
      </c>
      <c r="C2076" s="26" t="s">
        <v>37</v>
      </c>
      <c r="D2076" s="14"/>
      <c r="E2076" s="15">
        <f>+SUM!H2071</f>
        <v>1367696</v>
      </c>
      <c r="F2076" s="16">
        <f t="shared" si="122"/>
        <v>0</v>
      </c>
      <c r="G2076">
        <f t="shared" si="119"/>
        <v>0</v>
      </c>
    </row>
    <row r="2077" spans="1:7" hidden="1" x14ac:dyDescent="0.25">
      <c r="A2077" s="43" t="s">
        <v>4816</v>
      </c>
      <c r="B2077" s="81" t="s">
        <v>4801</v>
      </c>
      <c r="C2077" s="26" t="s">
        <v>37</v>
      </c>
      <c r="D2077" s="14"/>
      <c r="E2077" s="15">
        <f>+SUM!H2072</f>
        <v>1699778</v>
      </c>
      <c r="F2077" s="16">
        <f t="shared" si="122"/>
        <v>0</v>
      </c>
      <c r="G2077">
        <f t="shared" si="119"/>
        <v>0</v>
      </c>
    </row>
    <row r="2078" spans="1:7" hidden="1" x14ac:dyDescent="0.25">
      <c r="A2078" s="43" t="s">
        <v>1006</v>
      </c>
      <c r="B2078" s="81" t="s">
        <v>4802</v>
      </c>
      <c r="C2078" s="26" t="s">
        <v>37</v>
      </c>
      <c r="D2078" s="14"/>
      <c r="E2078" s="15"/>
      <c r="F2078" s="16">
        <f t="shared" si="122"/>
        <v>0</v>
      </c>
      <c r="G2078">
        <f t="shared" si="119"/>
        <v>0</v>
      </c>
    </row>
    <row r="2079" spans="1:7" hidden="1" x14ac:dyDescent="0.25">
      <c r="A2079" s="43" t="s">
        <v>4817</v>
      </c>
      <c r="B2079" s="81" t="s">
        <v>4803</v>
      </c>
      <c r="C2079" s="26" t="s">
        <v>37</v>
      </c>
      <c r="D2079" s="14"/>
      <c r="E2079" s="15"/>
      <c r="F2079" s="16">
        <f t="shared" si="122"/>
        <v>0</v>
      </c>
      <c r="G2079">
        <f t="shared" si="119"/>
        <v>0</v>
      </c>
    </row>
    <row r="2080" spans="1:7" hidden="1" x14ac:dyDescent="0.25">
      <c r="A2080" s="43" t="s">
        <v>4818</v>
      </c>
      <c r="B2080" s="81" t="s">
        <v>4804</v>
      </c>
      <c r="C2080" s="26" t="s">
        <v>37</v>
      </c>
      <c r="D2080" s="14"/>
      <c r="E2080" s="15"/>
      <c r="F2080" s="16">
        <f t="shared" si="122"/>
        <v>0</v>
      </c>
      <c r="G2080">
        <f t="shared" si="119"/>
        <v>0</v>
      </c>
    </row>
    <row r="2081" spans="1:7" hidden="1" x14ac:dyDescent="0.25">
      <c r="A2081" s="43" t="s">
        <v>4819</v>
      </c>
      <c r="B2081" s="81" t="s">
        <v>4805</v>
      </c>
      <c r="C2081" s="26" t="s">
        <v>37</v>
      </c>
      <c r="D2081" s="14"/>
      <c r="E2081" s="15"/>
      <c r="F2081" s="16">
        <f t="shared" si="122"/>
        <v>0</v>
      </c>
      <c r="G2081">
        <f t="shared" si="119"/>
        <v>0</v>
      </c>
    </row>
    <row r="2082" spans="1:7" hidden="1" x14ac:dyDescent="0.25">
      <c r="A2082" s="43" t="s">
        <v>4820</v>
      </c>
      <c r="B2082" s="81" t="s">
        <v>4806</v>
      </c>
      <c r="C2082" s="26" t="s">
        <v>37</v>
      </c>
      <c r="D2082" s="14"/>
      <c r="E2082" s="15"/>
      <c r="F2082" s="16">
        <f t="shared" si="122"/>
        <v>0</v>
      </c>
      <c r="G2082">
        <f t="shared" si="119"/>
        <v>0</v>
      </c>
    </row>
    <row r="2083" spans="1:7" hidden="1" x14ac:dyDescent="0.25">
      <c r="A2083" s="43" t="s">
        <v>4821</v>
      </c>
      <c r="B2083" s="81" t="s">
        <v>4807</v>
      </c>
      <c r="C2083" s="26" t="s">
        <v>37</v>
      </c>
      <c r="D2083" s="14"/>
      <c r="E2083" s="15"/>
      <c r="F2083" s="16">
        <f t="shared" si="122"/>
        <v>0</v>
      </c>
      <c r="G2083">
        <f t="shared" si="119"/>
        <v>0</v>
      </c>
    </row>
    <row r="2084" spans="1:7" hidden="1" x14ac:dyDescent="0.25">
      <c r="A2084" s="43" t="s">
        <v>4822</v>
      </c>
      <c r="B2084" s="81" t="s">
        <v>4808</v>
      </c>
      <c r="C2084" s="26" t="s">
        <v>37</v>
      </c>
      <c r="D2084" s="14"/>
      <c r="E2084" s="15"/>
      <c r="F2084" s="16">
        <f t="shared" si="122"/>
        <v>0</v>
      </c>
      <c r="G2084">
        <f t="shared" si="119"/>
        <v>0</v>
      </c>
    </row>
    <row r="2085" spans="1:7" hidden="1" x14ac:dyDescent="0.25">
      <c r="A2085" s="43" t="s">
        <v>4823</v>
      </c>
      <c r="B2085" s="81" t="s">
        <v>4809</v>
      </c>
      <c r="C2085" s="26" t="s">
        <v>37</v>
      </c>
      <c r="D2085" s="14"/>
      <c r="E2085" s="15"/>
      <c r="F2085" s="16">
        <f t="shared" si="122"/>
        <v>0</v>
      </c>
      <c r="G2085">
        <f t="shared" si="119"/>
        <v>0</v>
      </c>
    </row>
    <row r="2086" spans="1:7" hidden="1" x14ac:dyDescent="0.25">
      <c r="A2086" s="43" t="s">
        <v>4824</v>
      </c>
      <c r="B2086" s="81" t="s">
        <v>4810</v>
      </c>
      <c r="C2086" s="26" t="s">
        <v>37</v>
      </c>
      <c r="D2086" s="14"/>
      <c r="E2086" s="15"/>
      <c r="F2086" s="16">
        <f t="shared" si="122"/>
        <v>0</v>
      </c>
      <c r="G2086">
        <f t="shared" ref="G2086:G2149" si="123">+IF(F2086&lt;&gt;0,1,0)</f>
        <v>0</v>
      </c>
    </row>
    <row r="2087" spans="1:7" hidden="1" x14ac:dyDescent="0.25">
      <c r="A2087" s="43" t="s">
        <v>4825</v>
      </c>
      <c r="B2087" s="81" t="s">
        <v>4811</v>
      </c>
      <c r="C2087" s="26" t="s">
        <v>37</v>
      </c>
      <c r="D2087" s="14"/>
      <c r="E2087" s="15"/>
      <c r="F2087" s="16">
        <f t="shared" si="122"/>
        <v>0</v>
      </c>
      <c r="G2087">
        <f t="shared" si="123"/>
        <v>0</v>
      </c>
    </row>
    <row r="2088" spans="1:7" hidden="1" x14ac:dyDescent="0.25">
      <c r="A2088" s="43" t="s">
        <v>4826</v>
      </c>
      <c r="B2088" s="81" t="s">
        <v>4812</v>
      </c>
      <c r="C2088" s="26" t="s">
        <v>37</v>
      </c>
      <c r="D2088" s="14"/>
      <c r="E2088" s="15"/>
      <c r="F2088" s="16">
        <f t="shared" si="122"/>
        <v>0</v>
      </c>
      <c r="G2088">
        <f t="shared" si="123"/>
        <v>0</v>
      </c>
    </row>
    <row r="2089" spans="1:7" hidden="1" x14ac:dyDescent="0.25">
      <c r="A2089" s="43" t="s">
        <v>4827</v>
      </c>
      <c r="B2089" s="81" t="s">
        <v>4813</v>
      </c>
      <c r="C2089" s="26" t="s">
        <v>37</v>
      </c>
      <c r="D2089" s="14"/>
      <c r="E2089" s="15"/>
      <c r="F2089" s="16">
        <f t="shared" si="122"/>
        <v>0</v>
      </c>
      <c r="G2089">
        <f t="shared" si="123"/>
        <v>0</v>
      </c>
    </row>
    <row r="2090" spans="1:7" hidden="1" x14ac:dyDescent="0.25">
      <c r="A2090" s="44" t="s">
        <v>1007</v>
      </c>
      <c r="B2090" s="80" t="s">
        <v>4828</v>
      </c>
      <c r="C2090" s="14"/>
      <c r="D2090" s="14"/>
      <c r="E2090" s="15"/>
      <c r="F2090" s="16"/>
      <c r="G2090">
        <f t="shared" si="123"/>
        <v>0</v>
      </c>
    </row>
    <row r="2091" spans="1:7" hidden="1" x14ac:dyDescent="0.25">
      <c r="A2091" s="43" t="s">
        <v>4877</v>
      </c>
      <c r="B2091" s="81" t="s">
        <v>4829</v>
      </c>
      <c r="C2091" s="26" t="s">
        <v>37</v>
      </c>
      <c r="D2091" s="14"/>
      <c r="E2091" s="15"/>
      <c r="F2091" s="16">
        <f t="shared" ref="F2091:F2138" si="124">+D2091*E2091</f>
        <v>0</v>
      </c>
      <c r="G2091">
        <f t="shared" si="123"/>
        <v>0</v>
      </c>
    </row>
    <row r="2092" spans="1:7" hidden="1" x14ac:dyDescent="0.25">
      <c r="A2092" s="43" t="s">
        <v>4878</v>
      </c>
      <c r="B2092" s="81" t="s">
        <v>4830</v>
      </c>
      <c r="C2092" s="26" t="s">
        <v>37</v>
      </c>
      <c r="D2092" s="14"/>
      <c r="E2092" s="15"/>
      <c r="F2092" s="16">
        <f t="shared" si="124"/>
        <v>0</v>
      </c>
      <c r="G2092">
        <f t="shared" si="123"/>
        <v>0</v>
      </c>
    </row>
    <row r="2093" spans="1:7" hidden="1" x14ac:dyDescent="0.25">
      <c r="A2093" s="43" t="s">
        <v>1008</v>
      </c>
      <c r="B2093" s="81" t="s">
        <v>4831</v>
      </c>
      <c r="C2093" s="26" t="s">
        <v>37</v>
      </c>
      <c r="D2093" s="14"/>
      <c r="E2093" s="15"/>
      <c r="F2093" s="16">
        <f t="shared" si="124"/>
        <v>0</v>
      </c>
      <c r="G2093">
        <f t="shared" si="123"/>
        <v>0</v>
      </c>
    </row>
    <row r="2094" spans="1:7" hidden="1" x14ac:dyDescent="0.25">
      <c r="A2094" s="43" t="s">
        <v>1009</v>
      </c>
      <c r="B2094" s="81" t="s">
        <v>4832</v>
      </c>
      <c r="C2094" s="26" t="s">
        <v>37</v>
      </c>
      <c r="D2094" s="14"/>
      <c r="E2094" s="15"/>
      <c r="F2094" s="16">
        <f t="shared" si="124"/>
        <v>0</v>
      </c>
      <c r="G2094">
        <f t="shared" si="123"/>
        <v>0</v>
      </c>
    </row>
    <row r="2095" spans="1:7" hidden="1" x14ac:dyDescent="0.25">
      <c r="A2095" s="43" t="s">
        <v>4879</v>
      </c>
      <c r="B2095" s="81" t="s">
        <v>4833</v>
      </c>
      <c r="C2095" s="26" t="s">
        <v>37</v>
      </c>
      <c r="D2095" s="14"/>
      <c r="E2095" s="15"/>
      <c r="F2095" s="16">
        <f t="shared" si="124"/>
        <v>0</v>
      </c>
      <c r="G2095">
        <f t="shared" si="123"/>
        <v>0</v>
      </c>
    </row>
    <row r="2096" spans="1:7" hidden="1" x14ac:dyDescent="0.25">
      <c r="A2096" s="43" t="s">
        <v>4880</v>
      </c>
      <c r="B2096" s="81" t="s">
        <v>4849</v>
      </c>
      <c r="C2096" s="26" t="s">
        <v>37</v>
      </c>
      <c r="D2096" s="14"/>
      <c r="E2096" s="15"/>
      <c r="F2096" s="16">
        <f t="shared" si="124"/>
        <v>0</v>
      </c>
      <c r="G2096">
        <f t="shared" si="123"/>
        <v>0</v>
      </c>
    </row>
    <row r="2097" spans="1:7" hidden="1" x14ac:dyDescent="0.25">
      <c r="A2097" s="43" t="s">
        <v>4881</v>
      </c>
      <c r="B2097" s="81" t="s">
        <v>4834</v>
      </c>
      <c r="C2097" s="26" t="s">
        <v>37</v>
      </c>
      <c r="D2097" s="14"/>
      <c r="E2097" s="15"/>
      <c r="F2097" s="16">
        <f t="shared" si="124"/>
        <v>0</v>
      </c>
      <c r="G2097">
        <f t="shared" si="123"/>
        <v>0</v>
      </c>
    </row>
    <row r="2098" spans="1:7" hidden="1" x14ac:dyDescent="0.25">
      <c r="A2098" s="43" t="s">
        <v>4882</v>
      </c>
      <c r="B2098" s="81" t="s">
        <v>4835</v>
      </c>
      <c r="C2098" s="26" t="s">
        <v>37</v>
      </c>
      <c r="D2098" s="14"/>
      <c r="E2098" s="15"/>
      <c r="F2098" s="16">
        <f t="shared" si="124"/>
        <v>0</v>
      </c>
      <c r="G2098">
        <f t="shared" si="123"/>
        <v>0</v>
      </c>
    </row>
    <row r="2099" spans="1:7" hidden="1" x14ac:dyDescent="0.25">
      <c r="A2099" s="43" t="s">
        <v>4883</v>
      </c>
      <c r="B2099" s="81" t="s">
        <v>4836</v>
      </c>
      <c r="C2099" s="26" t="s">
        <v>37</v>
      </c>
      <c r="D2099" s="14"/>
      <c r="E2099" s="15"/>
      <c r="F2099" s="16">
        <f t="shared" si="124"/>
        <v>0</v>
      </c>
      <c r="G2099">
        <f t="shared" si="123"/>
        <v>0</v>
      </c>
    </row>
    <row r="2100" spans="1:7" hidden="1" x14ac:dyDescent="0.25">
      <c r="A2100" s="43" t="s">
        <v>4884</v>
      </c>
      <c r="B2100" s="81" t="s">
        <v>4837</v>
      </c>
      <c r="C2100" s="26" t="s">
        <v>37</v>
      </c>
      <c r="D2100" s="14"/>
      <c r="E2100" s="15"/>
      <c r="F2100" s="16">
        <f t="shared" si="124"/>
        <v>0</v>
      </c>
      <c r="G2100">
        <f t="shared" si="123"/>
        <v>0</v>
      </c>
    </row>
    <row r="2101" spans="1:7" hidden="1" x14ac:dyDescent="0.25">
      <c r="A2101" s="43" t="s">
        <v>4885</v>
      </c>
      <c r="B2101" s="81" t="s">
        <v>4838</v>
      </c>
      <c r="C2101" s="26" t="s">
        <v>37</v>
      </c>
      <c r="D2101" s="14"/>
      <c r="E2101" s="15"/>
      <c r="F2101" s="16">
        <f t="shared" si="124"/>
        <v>0</v>
      </c>
      <c r="G2101">
        <f t="shared" si="123"/>
        <v>0</v>
      </c>
    </row>
    <row r="2102" spans="1:7" hidden="1" x14ac:dyDescent="0.25">
      <c r="A2102" s="43" t="s">
        <v>4886</v>
      </c>
      <c r="B2102" s="81" t="s">
        <v>4850</v>
      </c>
      <c r="C2102" s="26" t="s">
        <v>37</v>
      </c>
      <c r="D2102" s="14"/>
      <c r="E2102" s="15"/>
      <c r="F2102" s="16">
        <f t="shared" si="124"/>
        <v>0</v>
      </c>
      <c r="G2102">
        <f t="shared" si="123"/>
        <v>0</v>
      </c>
    </row>
    <row r="2103" spans="1:7" hidden="1" x14ac:dyDescent="0.25">
      <c r="A2103" s="43" t="s">
        <v>4887</v>
      </c>
      <c r="B2103" s="81" t="s">
        <v>4839</v>
      </c>
      <c r="C2103" s="26" t="s">
        <v>37</v>
      </c>
      <c r="D2103" s="14"/>
      <c r="E2103" s="15"/>
      <c r="F2103" s="16">
        <f t="shared" si="124"/>
        <v>0</v>
      </c>
      <c r="G2103">
        <f t="shared" si="123"/>
        <v>0</v>
      </c>
    </row>
    <row r="2104" spans="1:7" hidden="1" x14ac:dyDescent="0.25">
      <c r="A2104" s="43" t="s">
        <v>4888</v>
      </c>
      <c r="B2104" s="81" t="s">
        <v>4840</v>
      </c>
      <c r="C2104" s="26" t="s">
        <v>37</v>
      </c>
      <c r="D2104" s="14"/>
      <c r="E2104" s="15"/>
      <c r="F2104" s="16">
        <f t="shared" si="124"/>
        <v>0</v>
      </c>
      <c r="G2104">
        <f t="shared" si="123"/>
        <v>0</v>
      </c>
    </row>
    <row r="2105" spans="1:7" hidden="1" x14ac:dyDescent="0.25">
      <c r="A2105" s="43" t="s">
        <v>4889</v>
      </c>
      <c r="B2105" s="81" t="s">
        <v>4841</v>
      </c>
      <c r="C2105" s="26" t="s">
        <v>37</v>
      </c>
      <c r="D2105" s="14"/>
      <c r="E2105" s="15"/>
      <c r="F2105" s="16">
        <f t="shared" si="124"/>
        <v>0</v>
      </c>
      <c r="G2105">
        <f t="shared" si="123"/>
        <v>0</v>
      </c>
    </row>
    <row r="2106" spans="1:7" hidden="1" x14ac:dyDescent="0.25">
      <c r="A2106" s="43" t="s">
        <v>4890</v>
      </c>
      <c r="B2106" s="81" t="s">
        <v>4842</v>
      </c>
      <c r="C2106" s="26" t="s">
        <v>37</v>
      </c>
      <c r="D2106" s="14"/>
      <c r="E2106" s="15"/>
      <c r="F2106" s="16">
        <f t="shared" si="124"/>
        <v>0</v>
      </c>
      <c r="G2106">
        <f t="shared" si="123"/>
        <v>0</v>
      </c>
    </row>
    <row r="2107" spans="1:7" hidden="1" x14ac:dyDescent="0.25">
      <c r="A2107" s="43" t="s">
        <v>4891</v>
      </c>
      <c r="B2107" s="81" t="s">
        <v>4843</v>
      </c>
      <c r="C2107" s="26" t="s">
        <v>37</v>
      </c>
      <c r="D2107" s="14"/>
      <c r="E2107" s="15"/>
      <c r="F2107" s="16">
        <f t="shared" si="124"/>
        <v>0</v>
      </c>
      <c r="G2107">
        <f t="shared" si="123"/>
        <v>0</v>
      </c>
    </row>
    <row r="2108" spans="1:7" hidden="1" x14ac:dyDescent="0.25">
      <c r="A2108" s="43" t="s">
        <v>4892</v>
      </c>
      <c r="B2108" s="81" t="s">
        <v>4851</v>
      </c>
      <c r="C2108" s="26" t="s">
        <v>37</v>
      </c>
      <c r="D2108" s="14"/>
      <c r="E2108" s="15"/>
      <c r="F2108" s="16">
        <f t="shared" si="124"/>
        <v>0</v>
      </c>
      <c r="G2108">
        <f t="shared" si="123"/>
        <v>0</v>
      </c>
    </row>
    <row r="2109" spans="1:7" hidden="1" x14ac:dyDescent="0.25">
      <c r="A2109" s="43" t="s">
        <v>4893</v>
      </c>
      <c r="B2109" s="81" t="s">
        <v>4844</v>
      </c>
      <c r="C2109" s="26" t="s">
        <v>37</v>
      </c>
      <c r="D2109" s="14"/>
      <c r="E2109" s="15"/>
      <c r="F2109" s="16">
        <f t="shared" si="124"/>
        <v>0</v>
      </c>
      <c r="G2109">
        <f t="shared" si="123"/>
        <v>0</v>
      </c>
    </row>
    <row r="2110" spans="1:7" hidden="1" x14ac:dyDescent="0.25">
      <c r="A2110" s="43" t="s">
        <v>4894</v>
      </c>
      <c r="B2110" s="81" t="s">
        <v>4845</v>
      </c>
      <c r="C2110" s="26" t="s">
        <v>37</v>
      </c>
      <c r="D2110" s="14"/>
      <c r="E2110" s="15"/>
      <c r="F2110" s="16">
        <f t="shared" si="124"/>
        <v>0</v>
      </c>
      <c r="G2110">
        <f t="shared" si="123"/>
        <v>0</v>
      </c>
    </row>
    <row r="2111" spans="1:7" hidden="1" x14ac:dyDescent="0.25">
      <c r="A2111" s="43" t="s">
        <v>4895</v>
      </c>
      <c r="B2111" s="81" t="s">
        <v>4846</v>
      </c>
      <c r="C2111" s="26" t="s">
        <v>37</v>
      </c>
      <c r="D2111" s="14"/>
      <c r="E2111" s="15"/>
      <c r="F2111" s="16">
        <f t="shared" si="124"/>
        <v>0</v>
      </c>
      <c r="G2111">
        <f t="shared" si="123"/>
        <v>0</v>
      </c>
    </row>
    <row r="2112" spans="1:7" hidden="1" x14ac:dyDescent="0.25">
      <c r="A2112" s="43" t="s">
        <v>1010</v>
      </c>
      <c r="B2112" s="81" t="s">
        <v>4847</v>
      </c>
      <c r="C2112" s="26" t="s">
        <v>37</v>
      </c>
      <c r="D2112" s="14"/>
      <c r="E2112" s="15"/>
      <c r="F2112" s="16">
        <f t="shared" si="124"/>
        <v>0</v>
      </c>
      <c r="G2112">
        <f t="shared" si="123"/>
        <v>0</v>
      </c>
    </row>
    <row r="2113" spans="1:7" hidden="1" x14ac:dyDescent="0.25">
      <c r="A2113" s="43" t="s">
        <v>4896</v>
      </c>
      <c r="B2113" s="81" t="s">
        <v>4848</v>
      </c>
      <c r="C2113" s="26" t="s">
        <v>37</v>
      </c>
      <c r="D2113" s="14"/>
      <c r="E2113" s="15"/>
      <c r="F2113" s="16">
        <f t="shared" si="124"/>
        <v>0</v>
      </c>
      <c r="G2113">
        <f t="shared" si="123"/>
        <v>0</v>
      </c>
    </row>
    <row r="2114" spans="1:7" hidden="1" x14ac:dyDescent="0.25">
      <c r="A2114" s="43" t="s">
        <v>4897</v>
      </c>
      <c r="B2114" s="81" t="s">
        <v>4852</v>
      </c>
      <c r="C2114" s="26" t="s">
        <v>37</v>
      </c>
      <c r="D2114" s="14"/>
      <c r="E2114" s="15"/>
      <c r="F2114" s="16">
        <f t="shared" si="124"/>
        <v>0</v>
      </c>
      <c r="G2114">
        <f t="shared" si="123"/>
        <v>0</v>
      </c>
    </row>
    <row r="2115" spans="1:7" hidden="1" x14ac:dyDescent="0.25">
      <c r="A2115" s="43" t="s">
        <v>4898</v>
      </c>
      <c r="B2115" s="81" t="s">
        <v>4853</v>
      </c>
      <c r="C2115" s="26" t="s">
        <v>37</v>
      </c>
      <c r="D2115" s="14"/>
      <c r="E2115" s="15"/>
      <c r="F2115" s="16">
        <f t="shared" si="124"/>
        <v>0</v>
      </c>
      <c r="G2115">
        <f t="shared" si="123"/>
        <v>0</v>
      </c>
    </row>
    <row r="2116" spans="1:7" hidden="1" x14ac:dyDescent="0.25">
      <c r="A2116" s="43" t="s">
        <v>4899</v>
      </c>
      <c r="B2116" s="81" t="s">
        <v>4854</v>
      </c>
      <c r="C2116" s="26" t="s">
        <v>37</v>
      </c>
      <c r="D2116" s="14"/>
      <c r="E2116" s="15"/>
      <c r="F2116" s="16">
        <f t="shared" si="124"/>
        <v>0</v>
      </c>
      <c r="G2116">
        <f t="shared" si="123"/>
        <v>0</v>
      </c>
    </row>
    <row r="2117" spans="1:7" hidden="1" x14ac:dyDescent="0.25">
      <c r="A2117" s="43" t="s">
        <v>4900</v>
      </c>
      <c r="B2117" s="81" t="s">
        <v>4855</v>
      </c>
      <c r="C2117" s="26" t="s">
        <v>37</v>
      </c>
      <c r="D2117" s="14"/>
      <c r="E2117" s="15"/>
      <c r="F2117" s="16">
        <f t="shared" si="124"/>
        <v>0</v>
      </c>
      <c r="G2117">
        <f t="shared" si="123"/>
        <v>0</v>
      </c>
    </row>
    <row r="2118" spans="1:7" hidden="1" x14ac:dyDescent="0.25">
      <c r="A2118" s="43" t="s">
        <v>4901</v>
      </c>
      <c r="B2118" s="81" t="s">
        <v>4856</v>
      </c>
      <c r="C2118" s="26" t="s">
        <v>37</v>
      </c>
      <c r="D2118" s="14"/>
      <c r="E2118" s="15"/>
      <c r="F2118" s="16">
        <f t="shared" si="124"/>
        <v>0</v>
      </c>
      <c r="G2118">
        <f t="shared" si="123"/>
        <v>0</v>
      </c>
    </row>
    <row r="2119" spans="1:7" hidden="1" x14ac:dyDescent="0.25">
      <c r="A2119" s="43" t="s">
        <v>4902</v>
      </c>
      <c r="B2119" s="81" t="s">
        <v>4857</v>
      </c>
      <c r="C2119" s="26" t="s">
        <v>37</v>
      </c>
      <c r="D2119" s="14"/>
      <c r="E2119" s="15"/>
      <c r="F2119" s="16">
        <f t="shared" si="124"/>
        <v>0</v>
      </c>
      <c r="G2119">
        <f t="shared" si="123"/>
        <v>0</v>
      </c>
    </row>
    <row r="2120" spans="1:7" hidden="1" x14ac:dyDescent="0.25">
      <c r="A2120" s="43" t="s">
        <v>4903</v>
      </c>
      <c r="B2120" s="81" t="s">
        <v>4858</v>
      </c>
      <c r="C2120" s="26" t="s">
        <v>37</v>
      </c>
      <c r="D2120" s="14"/>
      <c r="E2120" s="15"/>
      <c r="F2120" s="16">
        <f t="shared" si="124"/>
        <v>0</v>
      </c>
      <c r="G2120">
        <f t="shared" si="123"/>
        <v>0</v>
      </c>
    </row>
    <row r="2121" spans="1:7" hidden="1" x14ac:dyDescent="0.25">
      <c r="A2121" s="43" t="s">
        <v>4904</v>
      </c>
      <c r="B2121" s="81" t="s">
        <v>4859</v>
      </c>
      <c r="C2121" s="26" t="s">
        <v>37</v>
      </c>
      <c r="D2121" s="14"/>
      <c r="E2121" s="15"/>
      <c r="F2121" s="16">
        <f t="shared" si="124"/>
        <v>0</v>
      </c>
      <c r="G2121">
        <f t="shared" si="123"/>
        <v>0</v>
      </c>
    </row>
    <row r="2122" spans="1:7" hidden="1" x14ac:dyDescent="0.25">
      <c r="A2122" s="43" t="s">
        <v>4905</v>
      </c>
      <c r="B2122" s="81" t="s">
        <v>4860</v>
      </c>
      <c r="C2122" s="26" t="s">
        <v>37</v>
      </c>
      <c r="D2122" s="14"/>
      <c r="E2122" s="15"/>
      <c r="F2122" s="16">
        <f t="shared" si="124"/>
        <v>0</v>
      </c>
      <c r="G2122">
        <f t="shared" si="123"/>
        <v>0</v>
      </c>
    </row>
    <row r="2123" spans="1:7" hidden="1" x14ac:dyDescent="0.25">
      <c r="A2123" s="43" t="s">
        <v>4906</v>
      </c>
      <c r="B2123" s="81" t="s">
        <v>4861</v>
      </c>
      <c r="C2123" s="26" t="s">
        <v>37</v>
      </c>
      <c r="D2123" s="14"/>
      <c r="E2123" s="15"/>
      <c r="F2123" s="16">
        <f t="shared" si="124"/>
        <v>0</v>
      </c>
      <c r="G2123">
        <f t="shared" si="123"/>
        <v>0</v>
      </c>
    </row>
    <row r="2124" spans="1:7" hidden="1" x14ac:dyDescent="0.25">
      <c r="A2124" s="43" t="s">
        <v>4907</v>
      </c>
      <c r="B2124" s="81" t="s">
        <v>4862</v>
      </c>
      <c r="C2124" s="26" t="s">
        <v>37</v>
      </c>
      <c r="D2124" s="14"/>
      <c r="E2124" s="15"/>
      <c r="F2124" s="16">
        <f t="shared" si="124"/>
        <v>0</v>
      </c>
      <c r="G2124">
        <f t="shared" si="123"/>
        <v>0</v>
      </c>
    </row>
    <row r="2125" spans="1:7" hidden="1" x14ac:dyDescent="0.25">
      <c r="A2125" s="43" t="s">
        <v>4908</v>
      </c>
      <c r="B2125" s="81" t="s">
        <v>4863</v>
      </c>
      <c r="C2125" s="26" t="s">
        <v>37</v>
      </c>
      <c r="D2125" s="14"/>
      <c r="E2125" s="15"/>
      <c r="F2125" s="16">
        <f t="shared" si="124"/>
        <v>0</v>
      </c>
      <c r="G2125">
        <f t="shared" si="123"/>
        <v>0</v>
      </c>
    </row>
    <row r="2126" spans="1:7" hidden="1" x14ac:dyDescent="0.25">
      <c r="A2126" s="43" t="s">
        <v>4909</v>
      </c>
      <c r="B2126" s="81" t="s">
        <v>4864</v>
      </c>
      <c r="C2126" s="26" t="s">
        <v>37</v>
      </c>
      <c r="D2126" s="14"/>
      <c r="E2126" s="15"/>
      <c r="F2126" s="16">
        <f t="shared" si="124"/>
        <v>0</v>
      </c>
      <c r="G2126">
        <f t="shared" si="123"/>
        <v>0</v>
      </c>
    </row>
    <row r="2127" spans="1:7" hidden="1" x14ac:dyDescent="0.25">
      <c r="A2127" s="43" t="s">
        <v>4910</v>
      </c>
      <c r="B2127" s="81" t="s">
        <v>4865</v>
      </c>
      <c r="C2127" s="26" t="s">
        <v>37</v>
      </c>
      <c r="D2127" s="14"/>
      <c r="E2127" s="15"/>
      <c r="F2127" s="16">
        <f t="shared" si="124"/>
        <v>0</v>
      </c>
      <c r="G2127">
        <f t="shared" si="123"/>
        <v>0</v>
      </c>
    </row>
    <row r="2128" spans="1:7" hidden="1" x14ac:dyDescent="0.25">
      <c r="A2128" s="43" t="s">
        <v>4911</v>
      </c>
      <c r="B2128" s="81" t="s">
        <v>4866</v>
      </c>
      <c r="C2128" s="26" t="s">
        <v>37</v>
      </c>
      <c r="D2128" s="14"/>
      <c r="E2128" s="15"/>
      <c r="F2128" s="16">
        <f t="shared" si="124"/>
        <v>0</v>
      </c>
      <c r="G2128">
        <f t="shared" si="123"/>
        <v>0</v>
      </c>
    </row>
    <row r="2129" spans="1:7" hidden="1" x14ac:dyDescent="0.25">
      <c r="A2129" s="43" t="s">
        <v>4912</v>
      </c>
      <c r="B2129" s="81" t="s">
        <v>4867</v>
      </c>
      <c r="C2129" s="26" t="s">
        <v>37</v>
      </c>
      <c r="D2129" s="14"/>
      <c r="E2129" s="15"/>
      <c r="F2129" s="16">
        <f t="shared" si="124"/>
        <v>0</v>
      </c>
      <c r="G2129">
        <f t="shared" si="123"/>
        <v>0</v>
      </c>
    </row>
    <row r="2130" spans="1:7" hidden="1" x14ac:dyDescent="0.25">
      <c r="A2130" s="43" t="s">
        <v>4913</v>
      </c>
      <c r="B2130" s="81" t="s">
        <v>4868</v>
      </c>
      <c r="C2130" s="26" t="s">
        <v>37</v>
      </c>
      <c r="D2130" s="14"/>
      <c r="E2130" s="15"/>
      <c r="F2130" s="16">
        <f t="shared" si="124"/>
        <v>0</v>
      </c>
      <c r="G2130">
        <f t="shared" si="123"/>
        <v>0</v>
      </c>
    </row>
    <row r="2131" spans="1:7" hidden="1" x14ac:dyDescent="0.25">
      <c r="A2131" s="43" t="s">
        <v>4914</v>
      </c>
      <c r="B2131" s="81" t="s">
        <v>4869</v>
      </c>
      <c r="C2131" s="26" t="s">
        <v>37</v>
      </c>
      <c r="D2131" s="14"/>
      <c r="E2131" s="15"/>
      <c r="F2131" s="16">
        <f t="shared" si="124"/>
        <v>0</v>
      </c>
      <c r="G2131">
        <f t="shared" si="123"/>
        <v>0</v>
      </c>
    </row>
    <row r="2132" spans="1:7" hidden="1" x14ac:dyDescent="0.25">
      <c r="A2132" s="43" t="s">
        <v>4915</v>
      </c>
      <c r="B2132" s="81" t="s">
        <v>4870</v>
      </c>
      <c r="C2132" s="26" t="s">
        <v>37</v>
      </c>
      <c r="D2132" s="14"/>
      <c r="E2132" s="15"/>
      <c r="F2132" s="16">
        <f t="shared" si="124"/>
        <v>0</v>
      </c>
      <c r="G2132">
        <f t="shared" si="123"/>
        <v>0</v>
      </c>
    </row>
    <row r="2133" spans="1:7" hidden="1" x14ac:dyDescent="0.25">
      <c r="A2133" s="43" t="s">
        <v>4916</v>
      </c>
      <c r="B2133" s="81" t="s">
        <v>4871</v>
      </c>
      <c r="C2133" s="26" t="s">
        <v>37</v>
      </c>
      <c r="D2133" s="14"/>
      <c r="E2133" s="15"/>
      <c r="F2133" s="16">
        <f t="shared" si="124"/>
        <v>0</v>
      </c>
      <c r="G2133">
        <f t="shared" si="123"/>
        <v>0</v>
      </c>
    </row>
    <row r="2134" spans="1:7" hidden="1" x14ac:dyDescent="0.25">
      <c r="A2134" s="43" t="s">
        <v>4917</v>
      </c>
      <c r="B2134" s="81" t="s">
        <v>4872</v>
      </c>
      <c r="C2134" s="26" t="s">
        <v>37</v>
      </c>
      <c r="D2134" s="14"/>
      <c r="E2134" s="15"/>
      <c r="F2134" s="16">
        <f t="shared" si="124"/>
        <v>0</v>
      </c>
      <c r="G2134">
        <f t="shared" si="123"/>
        <v>0</v>
      </c>
    </row>
    <row r="2135" spans="1:7" hidden="1" x14ac:dyDescent="0.25">
      <c r="A2135" s="43" t="s">
        <v>4918</v>
      </c>
      <c r="B2135" s="81" t="s">
        <v>4873</v>
      </c>
      <c r="C2135" s="26" t="s">
        <v>37</v>
      </c>
      <c r="D2135" s="14"/>
      <c r="E2135" s="15"/>
      <c r="F2135" s="16">
        <f t="shared" si="124"/>
        <v>0</v>
      </c>
      <c r="G2135">
        <f t="shared" si="123"/>
        <v>0</v>
      </c>
    </row>
    <row r="2136" spans="1:7" hidden="1" x14ac:dyDescent="0.25">
      <c r="A2136" s="43" t="s">
        <v>4919</v>
      </c>
      <c r="B2136" s="81" t="s">
        <v>4874</v>
      </c>
      <c r="C2136" s="26" t="s">
        <v>37</v>
      </c>
      <c r="D2136" s="14"/>
      <c r="E2136" s="15"/>
      <c r="F2136" s="16">
        <f t="shared" si="124"/>
        <v>0</v>
      </c>
      <c r="G2136">
        <f t="shared" si="123"/>
        <v>0</v>
      </c>
    </row>
    <row r="2137" spans="1:7" hidden="1" x14ac:dyDescent="0.25">
      <c r="A2137" s="43" t="s">
        <v>4920</v>
      </c>
      <c r="B2137" s="81" t="s">
        <v>4875</v>
      </c>
      <c r="C2137" s="26" t="s">
        <v>37</v>
      </c>
      <c r="D2137" s="14"/>
      <c r="E2137" s="15"/>
      <c r="F2137" s="16">
        <f t="shared" si="124"/>
        <v>0</v>
      </c>
      <c r="G2137">
        <f t="shared" si="123"/>
        <v>0</v>
      </c>
    </row>
    <row r="2138" spans="1:7" hidden="1" x14ac:dyDescent="0.25">
      <c r="A2138" s="43" t="s">
        <v>4921</v>
      </c>
      <c r="B2138" s="81" t="s">
        <v>4876</v>
      </c>
      <c r="C2138" s="26" t="s">
        <v>37</v>
      </c>
      <c r="D2138" s="14"/>
      <c r="E2138" s="15"/>
      <c r="F2138" s="16">
        <f t="shared" si="124"/>
        <v>0</v>
      </c>
      <c r="G2138">
        <f t="shared" si="123"/>
        <v>0</v>
      </c>
    </row>
    <row r="2139" spans="1:7" hidden="1" x14ac:dyDescent="0.25">
      <c r="A2139" s="44" t="s">
        <v>4922</v>
      </c>
      <c r="B2139" s="80" t="s">
        <v>4923</v>
      </c>
      <c r="C2139" s="14"/>
      <c r="D2139" s="14"/>
      <c r="E2139" s="15"/>
      <c r="F2139" s="16"/>
      <c r="G2139">
        <f t="shared" si="123"/>
        <v>0</v>
      </c>
    </row>
    <row r="2140" spans="1:7" hidden="1" x14ac:dyDescent="0.25">
      <c r="A2140" s="44" t="s">
        <v>999</v>
      </c>
      <c r="B2140" s="80" t="s">
        <v>4941</v>
      </c>
      <c r="C2140" s="14"/>
      <c r="D2140" s="14"/>
      <c r="E2140" s="15"/>
      <c r="F2140" s="16"/>
      <c r="G2140">
        <f t="shared" si="123"/>
        <v>0</v>
      </c>
    </row>
    <row r="2141" spans="1:7" hidden="1" x14ac:dyDescent="0.25">
      <c r="A2141" s="43" t="s">
        <v>1000</v>
      </c>
      <c r="B2141" s="81" t="s">
        <v>4942</v>
      </c>
      <c r="C2141" s="26" t="s">
        <v>37</v>
      </c>
      <c r="D2141" s="14"/>
      <c r="E2141" s="15"/>
      <c r="F2141" s="16">
        <f>+D2141*E2141</f>
        <v>0</v>
      </c>
      <c r="G2141">
        <f t="shared" si="123"/>
        <v>0</v>
      </c>
    </row>
    <row r="2142" spans="1:7" hidden="1" x14ac:dyDescent="0.25">
      <c r="A2142" s="43" t="s">
        <v>4745</v>
      </c>
      <c r="B2142" s="81" t="s">
        <v>4943</v>
      </c>
      <c r="C2142" s="26" t="s">
        <v>37</v>
      </c>
      <c r="D2142" s="14"/>
      <c r="E2142" s="15"/>
      <c r="F2142" s="16">
        <f>+D2142*E2142</f>
        <v>0</v>
      </c>
      <c r="G2142">
        <f t="shared" si="123"/>
        <v>0</v>
      </c>
    </row>
    <row r="2143" spans="1:7" hidden="1" x14ac:dyDescent="0.25">
      <c r="A2143" s="44" t="s">
        <v>1007</v>
      </c>
      <c r="B2143" s="80" t="s">
        <v>4924</v>
      </c>
      <c r="C2143" s="14"/>
      <c r="D2143" s="14"/>
      <c r="E2143" s="15"/>
      <c r="F2143" s="16"/>
      <c r="G2143">
        <f t="shared" si="123"/>
        <v>0</v>
      </c>
    </row>
    <row r="2144" spans="1:7" hidden="1" x14ac:dyDescent="0.25">
      <c r="A2144" s="43" t="s">
        <v>4877</v>
      </c>
      <c r="B2144" s="81" t="s">
        <v>4925</v>
      </c>
      <c r="C2144" s="26" t="s">
        <v>37</v>
      </c>
      <c r="D2144" s="14"/>
      <c r="E2144" s="15"/>
      <c r="F2144" s="16">
        <f>+D2144*E2144</f>
        <v>0</v>
      </c>
      <c r="G2144">
        <f t="shared" si="123"/>
        <v>0</v>
      </c>
    </row>
    <row r="2145" spans="1:7" hidden="1" x14ac:dyDescent="0.25">
      <c r="A2145" s="43" t="s">
        <v>4878</v>
      </c>
      <c r="B2145" s="81" t="s">
        <v>4926</v>
      </c>
      <c r="C2145" s="26" t="s">
        <v>37</v>
      </c>
      <c r="D2145" s="14"/>
      <c r="E2145" s="15"/>
      <c r="F2145" s="16">
        <f>+D2145*E2145</f>
        <v>0</v>
      </c>
      <c r="G2145">
        <f t="shared" si="123"/>
        <v>0</v>
      </c>
    </row>
    <row r="2146" spans="1:7" hidden="1" x14ac:dyDescent="0.25">
      <c r="A2146" s="43" t="s">
        <v>1008</v>
      </c>
      <c r="B2146" s="81" t="s">
        <v>4927</v>
      </c>
      <c r="C2146" s="26" t="s">
        <v>37</v>
      </c>
      <c r="D2146" s="14"/>
      <c r="E2146" s="15"/>
      <c r="F2146" s="16">
        <f>+D2146*E2146</f>
        <v>0</v>
      </c>
      <c r="G2146">
        <f t="shared" si="123"/>
        <v>0</v>
      </c>
    </row>
    <row r="2147" spans="1:7" hidden="1" x14ac:dyDescent="0.25">
      <c r="A2147" s="43" t="s">
        <v>1009</v>
      </c>
      <c r="B2147" s="81" t="s">
        <v>4928</v>
      </c>
      <c r="C2147" s="26" t="s">
        <v>37</v>
      </c>
      <c r="D2147" s="14"/>
      <c r="E2147" s="15"/>
      <c r="F2147" s="16">
        <f>+D2147*E2147</f>
        <v>0</v>
      </c>
      <c r="G2147">
        <f t="shared" si="123"/>
        <v>0</v>
      </c>
    </row>
    <row r="2148" spans="1:7" hidden="1" x14ac:dyDescent="0.25">
      <c r="A2148" s="44" t="s">
        <v>4922</v>
      </c>
      <c r="B2148" s="80" t="s">
        <v>4929</v>
      </c>
      <c r="C2148" s="14"/>
      <c r="D2148" s="14"/>
      <c r="E2148" s="15"/>
      <c r="F2148" s="16"/>
      <c r="G2148">
        <f t="shared" si="123"/>
        <v>0</v>
      </c>
    </row>
    <row r="2149" spans="1:7" hidden="1" x14ac:dyDescent="0.25">
      <c r="A2149" s="43" t="s">
        <v>4934</v>
      </c>
      <c r="B2149" s="81" t="s">
        <v>4930</v>
      </c>
      <c r="C2149" s="26" t="s">
        <v>37</v>
      </c>
      <c r="D2149" s="14"/>
      <c r="E2149" s="15"/>
      <c r="F2149" s="16">
        <f>+D2149*E2149</f>
        <v>0</v>
      </c>
      <c r="G2149">
        <f t="shared" si="123"/>
        <v>0</v>
      </c>
    </row>
    <row r="2150" spans="1:7" hidden="1" x14ac:dyDescent="0.25">
      <c r="A2150" s="43" t="s">
        <v>4935</v>
      </c>
      <c r="B2150" s="81" t="s">
        <v>4931</v>
      </c>
      <c r="C2150" s="26" t="s">
        <v>37</v>
      </c>
      <c r="D2150" s="14"/>
      <c r="E2150" s="15"/>
      <c r="F2150" s="16">
        <f>+D2150*E2150</f>
        <v>0</v>
      </c>
      <c r="G2150">
        <f t="shared" ref="G2150:G2213" si="125">+IF(F2150&lt;&gt;0,1,0)</f>
        <v>0</v>
      </c>
    </row>
    <row r="2151" spans="1:7" hidden="1" x14ac:dyDescent="0.25">
      <c r="A2151" s="43" t="s">
        <v>4936</v>
      </c>
      <c r="B2151" s="81" t="s">
        <v>4932</v>
      </c>
      <c r="C2151" s="26" t="s">
        <v>37</v>
      </c>
      <c r="D2151" s="14"/>
      <c r="E2151" s="15"/>
      <c r="F2151" s="16">
        <f>+D2151*E2151</f>
        <v>0</v>
      </c>
      <c r="G2151">
        <f t="shared" si="125"/>
        <v>0</v>
      </c>
    </row>
    <row r="2152" spans="1:7" hidden="1" x14ac:dyDescent="0.25">
      <c r="A2152" s="43" t="s">
        <v>4937</v>
      </c>
      <c r="B2152" s="81" t="s">
        <v>4933</v>
      </c>
      <c r="C2152" s="26" t="s">
        <v>37</v>
      </c>
      <c r="D2152" s="14"/>
      <c r="E2152" s="15"/>
      <c r="F2152" s="16">
        <f>+D2152*E2152</f>
        <v>0</v>
      </c>
      <c r="G2152">
        <f t="shared" si="125"/>
        <v>0</v>
      </c>
    </row>
    <row r="2153" spans="1:7" hidden="1" x14ac:dyDescent="0.25">
      <c r="A2153" s="44" t="s">
        <v>4938</v>
      </c>
      <c r="B2153" s="80" t="s">
        <v>4939</v>
      </c>
      <c r="C2153" s="14"/>
      <c r="D2153" s="14"/>
      <c r="E2153" s="15"/>
      <c r="F2153" s="16"/>
      <c r="G2153">
        <f t="shared" si="125"/>
        <v>0</v>
      </c>
    </row>
    <row r="2154" spans="1:7" hidden="1" x14ac:dyDescent="0.25">
      <c r="A2154" s="44" t="s">
        <v>4940</v>
      </c>
      <c r="B2154" s="80" t="s">
        <v>4950</v>
      </c>
      <c r="C2154" s="14"/>
      <c r="D2154" s="14"/>
      <c r="E2154" s="15"/>
      <c r="F2154" s="16"/>
      <c r="G2154">
        <f t="shared" si="125"/>
        <v>0</v>
      </c>
    </row>
    <row r="2155" spans="1:7" hidden="1" x14ac:dyDescent="0.25">
      <c r="A2155" s="43" t="s">
        <v>1014</v>
      </c>
      <c r="B2155" s="81" t="s">
        <v>4944</v>
      </c>
      <c r="C2155" s="26" t="s">
        <v>37</v>
      </c>
      <c r="D2155" s="14"/>
      <c r="E2155" s="15"/>
      <c r="F2155" s="16">
        <f>+D2155*E2155</f>
        <v>0</v>
      </c>
      <c r="G2155">
        <f t="shared" si="125"/>
        <v>0</v>
      </c>
    </row>
    <row r="2156" spans="1:7" hidden="1" x14ac:dyDescent="0.25">
      <c r="A2156" s="43" t="s">
        <v>1021</v>
      </c>
      <c r="B2156" s="81" t="s">
        <v>4945</v>
      </c>
      <c r="C2156" s="26" t="s">
        <v>37</v>
      </c>
      <c r="D2156" s="14"/>
      <c r="E2156" s="15"/>
      <c r="F2156" s="16">
        <f>+D2156*E2156</f>
        <v>0</v>
      </c>
      <c r="G2156">
        <f t="shared" si="125"/>
        <v>0</v>
      </c>
    </row>
    <row r="2157" spans="1:7" hidden="1" x14ac:dyDescent="0.25">
      <c r="A2157" s="44" t="s">
        <v>1029</v>
      </c>
      <c r="B2157" s="80" t="s">
        <v>4949</v>
      </c>
      <c r="C2157" s="14"/>
      <c r="D2157" s="14"/>
      <c r="E2157" s="15"/>
      <c r="F2157" s="16"/>
      <c r="G2157">
        <f t="shared" si="125"/>
        <v>0</v>
      </c>
    </row>
    <row r="2158" spans="1:7" hidden="1" x14ac:dyDescent="0.25">
      <c r="A2158" s="43" t="s">
        <v>1030</v>
      </c>
      <c r="B2158" s="81" t="s">
        <v>4946</v>
      </c>
      <c r="C2158" s="26" t="s">
        <v>37</v>
      </c>
      <c r="D2158" s="14"/>
      <c r="E2158" s="15"/>
      <c r="F2158" s="16">
        <f>+D2158*E2158</f>
        <v>0</v>
      </c>
      <c r="G2158">
        <f t="shared" si="125"/>
        <v>0</v>
      </c>
    </row>
    <row r="2159" spans="1:7" hidden="1" x14ac:dyDescent="0.25">
      <c r="A2159" s="43" t="s">
        <v>4952</v>
      </c>
      <c r="B2159" s="81" t="s">
        <v>4947</v>
      </c>
      <c r="C2159" s="26" t="s">
        <v>37</v>
      </c>
      <c r="D2159" s="14"/>
      <c r="E2159" s="15"/>
      <c r="F2159" s="16">
        <f>+D2159*E2159</f>
        <v>0</v>
      </c>
      <c r="G2159">
        <f t="shared" si="125"/>
        <v>0</v>
      </c>
    </row>
    <row r="2160" spans="1:7" hidden="1" x14ac:dyDescent="0.25">
      <c r="A2160" s="43" t="s">
        <v>4953</v>
      </c>
      <c r="B2160" s="81" t="s">
        <v>4944</v>
      </c>
      <c r="C2160" s="26" t="s">
        <v>37</v>
      </c>
      <c r="D2160" s="14"/>
      <c r="E2160" s="15"/>
      <c r="F2160" s="16">
        <f>+D2160*E2160</f>
        <v>0</v>
      </c>
      <c r="G2160">
        <f t="shared" si="125"/>
        <v>0</v>
      </c>
    </row>
    <row r="2161" spans="1:7" hidden="1" x14ac:dyDescent="0.25">
      <c r="A2161" s="43" t="s">
        <v>4954</v>
      </c>
      <c r="B2161" s="81" t="s">
        <v>4948</v>
      </c>
      <c r="C2161" s="26" t="s">
        <v>37</v>
      </c>
      <c r="D2161" s="14"/>
      <c r="E2161" s="15"/>
      <c r="F2161" s="16">
        <f>+D2161*E2161</f>
        <v>0</v>
      </c>
      <c r="G2161">
        <f t="shared" si="125"/>
        <v>0</v>
      </c>
    </row>
    <row r="2162" spans="1:7" hidden="1" x14ac:dyDescent="0.25">
      <c r="A2162" s="44" t="s">
        <v>1035</v>
      </c>
      <c r="B2162" s="80" t="s">
        <v>4951</v>
      </c>
      <c r="C2162" s="14"/>
      <c r="D2162" s="14"/>
      <c r="E2162" s="15"/>
      <c r="F2162" s="16"/>
      <c r="G2162">
        <f t="shared" si="125"/>
        <v>0</v>
      </c>
    </row>
    <row r="2163" spans="1:7" hidden="1" x14ac:dyDescent="0.25">
      <c r="A2163" s="43" t="s">
        <v>4955</v>
      </c>
      <c r="B2163" s="81" t="s">
        <v>4947</v>
      </c>
      <c r="C2163" s="26" t="s">
        <v>37</v>
      </c>
      <c r="D2163" s="14"/>
      <c r="E2163" s="15"/>
      <c r="F2163" s="16">
        <f>+D2163*E2163</f>
        <v>0</v>
      </c>
      <c r="G2163">
        <f t="shared" si="125"/>
        <v>0</v>
      </c>
    </row>
    <row r="2164" spans="1:7" hidden="1" x14ac:dyDescent="0.25">
      <c r="A2164" s="44" t="s">
        <v>1011</v>
      </c>
      <c r="B2164" s="80" t="s">
        <v>1012</v>
      </c>
      <c r="C2164" s="14"/>
      <c r="D2164" s="14"/>
      <c r="E2164" s="15"/>
      <c r="F2164" s="16"/>
      <c r="G2164">
        <f t="shared" si="125"/>
        <v>0</v>
      </c>
    </row>
    <row r="2165" spans="1:7" hidden="1" x14ac:dyDescent="0.25">
      <c r="A2165" s="44" t="s">
        <v>1013</v>
      </c>
      <c r="B2165" s="80" t="s">
        <v>4956</v>
      </c>
      <c r="C2165" s="14"/>
      <c r="D2165" s="14"/>
      <c r="E2165" s="15"/>
      <c r="F2165" s="16"/>
      <c r="G2165">
        <f t="shared" si="125"/>
        <v>0</v>
      </c>
    </row>
    <row r="2166" spans="1:7" hidden="1" x14ac:dyDescent="0.25">
      <c r="A2166" s="44" t="s">
        <v>1014</v>
      </c>
      <c r="B2166" s="89" t="s">
        <v>4957</v>
      </c>
      <c r="C2166" s="14"/>
      <c r="D2166" s="14"/>
      <c r="E2166" s="15"/>
      <c r="F2166" s="16"/>
      <c r="G2166">
        <f t="shared" si="125"/>
        <v>0</v>
      </c>
    </row>
    <row r="2167" spans="1:7" hidden="1" x14ac:dyDescent="0.25">
      <c r="A2167" s="43" t="s">
        <v>4969</v>
      </c>
      <c r="B2167" s="81" t="s">
        <v>4958</v>
      </c>
      <c r="C2167" s="14" t="s">
        <v>37</v>
      </c>
      <c r="D2167" s="14"/>
      <c r="E2167" s="15"/>
      <c r="F2167" s="16">
        <f t="shared" ref="F2167:F2177" si="126">+D2167*E2167</f>
        <v>0</v>
      </c>
      <c r="G2167">
        <f t="shared" si="125"/>
        <v>0</v>
      </c>
    </row>
    <row r="2168" spans="1:7" hidden="1" x14ac:dyDescent="0.25">
      <c r="A2168" s="43" t="s">
        <v>1015</v>
      </c>
      <c r="B2168" s="81" t="s">
        <v>4959</v>
      </c>
      <c r="C2168" s="14" t="s">
        <v>37</v>
      </c>
      <c r="D2168" s="14"/>
      <c r="E2168" s="15"/>
      <c r="F2168" s="16">
        <f t="shared" si="126"/>
        <v>0</v>
      </c>
      <c r="G2168">
        <f t="shared" si="125"/>
        <v>0</v>
      </c>
    </row>
    <row r="2169" spans="1:7" hidden="1" x14ac:dyDescent="0.25">
      <c r="A2169" s="43" t="s">
        <v>1016</v>
      </c>
      <c r="B2169" s="81" t="s">
        <v>4960</v>
      </c>
      <c r="C2169" s="14" t="s">
        <v>37</v>
      </c>
      <c r="D2169" s="14"/>
      <c r="E2169" s="15"/>
      <c r="F2169" s="16">
        <f t="shared" si="126"/>
        <v>0</v>
      </c>
      <c r="G2169">
        <f t="shared" si="125"/>
        <v>0</v>
      </c>
    </row>
    <row r="2170" spans="1:7" hidden="1" x14ac:dyDescent="0.25">
      <c r="A2170" s="43" t="s">
        <v>1017</v>
      </c>
      <c r="B2170" s="81" t="s">
        <v>4961</v>
      </c>
      <c r="C2170" s="14" t="s">
        <v>37</v>
      </c>
      <c r="D2170" s="14"/>
      <c r="E2170" s="15"/>
      <c r="F2170" s="16">
        <f t="shared" si="126"/>
        <v>0</v>
      </c>
      <c r="G2170">
        <f t="shared" si="125"/>
        <v>0</v>
      </c>
    </row>
    <row r="2171" spans="1:7" hidden="1" x14ac:dyDescent="0.25">
      <c r="A2171" s="43" t="s">
        <v>1018</v>
      </c>
      <c r="B2171" s="81" t="s">
        <v>4962</v>
      </c>
      <c r="C2171" s="14" t="s">
        <v>37</v>
      </c>
      <c r="D2171" s="14"/>
      <c r="E2171" s="15">
        <f>+SUM!H2166</f>
        <v>1786946</v>
      </c>
      <c r="F2171" s="16">
        <f t="shared" si="126"/>
        <v>0</v>
      </c>
      <c r="G2171">
        <f t="shared" si="125"/>
        <v>0</v>
      </c>
    </row>
    <row r="2172" spans="1:7" hidden="1" x14ac:dyDescent="0.25">
      <c r="A2172" s="43" t="s">
        <v>1019</v>
      </c>
      <c r="B2172" s="81" t="s">
        <v>4963</v>
      </c>
      <c r="C2172" s="14" t="s">
        <v>37</v>
      </c>
      <c r="D2172" s="14"/>
      <c r="E2172" s="15"/>
      <c r="F2172" s="16">
        <f t="shared" si="126"/>
        <v>0</v>
      </c>
      <c r="G2172">
        <f t="shared" si="125"/>
        <v>0</v>
      </c>
    </row>
    <row r="2173" spans="1:7" hidden="1" x14ac:dyDescent="0.25">
      <c r="A2173" s="43" t="s">
        <v>1020</v>
      </c>
      <c r="B2173" s="81" t="s">
        <v>4964</v>
      </c>
      <c r="C2173" s="14" t="s">
        <v>37</v>
      </c>
      <c r="D2173" s="14"/>
      <c r="E2173" s="15"/>
      <c r="F2173" s="16">
        <f t="shared" si="126"/>
        <v>0</v>
      </c>
      <c r="G2173">
        <f t="shared" si="125"/>
        <v>0</v>
      </c>
    </row>
    <row r="2174" spans="1:7" hidden="1" x14ac:dyDescent="0.25">
      <c r="A2174" s="43" t="s">
        <v>4970</v>
      </c>
      <c r="B2174" s="81" t="s">
        <v>4965</v>
      </c>
      <c r="C2174" s="14" t="s">
        <v>37</v>
      </c>
      <c r="D2174" s="14"/>
      <c r="E2174" s="15"/>
      <c r="F2174" s="16">
        <f t="shared" si="126"/>
        <v>0</v>
      </c>
      <c r="G2174">
        <f t="shared" si="125"/>
        <v>0</v>
      </c>
    </row>
    <row r="2175" spans="1:7" hidden="1" x14ac:dyDescent="0.25">
      <c r="A2175" s="43" t="s">
        <v>4971</v>
      </c>
      <c r="B2175" s="81" t="s">
        <v>4966</v>
      </c>
      <c r="C2175" s="14" t="s">
        <v>37</v>
      </c>
      <c r="D2175" s="14"/>
      <c r="E2175" s="15"/>
      <c r="F2175" s="16">
        <f t="shared" si="126"/>
        <v>0</v>
      </c>
      <c r="G2175">
        <f t="shared" si="125"/>
        <v>0</v>
      </c>
    </row>
    <row r="2176" spans="1:7" hidden="1" x14ac:dyDescent="0.25">
      <c r="A2176" s="43" t="s">
        <v>4972</v>
      </c>
      <c r="B2176" s="81" t="s">
        <v>4967</v>
      </c>
      <c r="C2176" s="14" t="s">
        <v>37</v>
      </c>
      <c r="D2176" s="14"/>
      <c r="E2176" s="15"/>
      <c r="F2176" s="16">
        <f t="shared" si="126"/>
        <v>0</v>
      </c>
      <c r="G2176">
        <f t="shared" si="125"/>
        <v>0</v>
      </c>
    </row>
    <row r="2177" spans="1:7" hidden="1" x14ac:dyDescent="0.25">
      <c r="A2177" s="43" t="s">
        <v>4973</v>
      </c>
      <c r="B2177" s="81" t="s">
        <v>4968</v>
      </c>
      <c r="C2177" s="14" t="s">
        <v>37</v>
      </c>
      <c r="D2177" s="14"/>
      <c r="E2177" s="15"/>
      <c r="F2177" s="16">
        <f t="shared" si="126"/>
        <v>0</v>
      </c>
      <c r="G2177">
        <f t="shared" si="125"/>
        <v>0</v>
      </c>
    </row>
    <row r="2178" spans="1:7" hidden="1" x14ac:dyDescent="0.25">
      <c r="A2178" s="44" t="s">
        <v>1021</v>
      </c>
      <c r="B2178" s="89" t="s">
        <v>4974</v>
      </c>
      <c r="C2178" s="14"/>
      <c r="D2178" s="14"/>
      <c r="E2178" s="15"/>
      <c r="F2178" s="16"/>
      <c r="G2178">
        <f t="shared" si="125"/>
        <v>0</v>
      </c>
    </row>
    <row r="2179" spans="1:7" hidden="1" x14ac:dyDescent="0.25">
      <c r="A2179" s="43" t="s">
        <v>1022</v>
      </c>
      <c r="B2179" s="81" t="s">
        <v>4975</v>
      </c>
      <c r="C2179" s="14" t="s">
        <v>37</v>
      </c>
      <c r="D2179" s="14"/>
      <c r="E2179" s="15"/>
      <c r="F2179" s="16">
        <f t="shared" ref="F2179:F2189" si="127">+D2179*E2179</f>
        <v>0</v>
      </c>
      <c r="G2179">
        <f t="shared" si="125"/>
        <v>0</v>
      </c>
    </row>
    <row r="2180" spans="1:7" hidden="1" x14ac:dyDescent="0.25">
      <c r="A2180" s="43" t="s">
        <v>4985</v>
      </c>
      <c r="B2180" s="81" t="s">
        <v>4976</v>
      </c>
      <c r="C2180" s="14" t="s">
        <v>37</v>
      </c>
      <c r="D2180" s="14"/>
      <c r="E2180" s="15"/>
      <c r="F2180" s="16">
        <f t="shared" si="127"/>
        <v>0</v>
      </c>
      <c r="G2180">
        <f t="shared" si="125"/>
        <v>0</v>
      </c>
    </row>
    <row r="2181" spans="1:7" hidden="1" x14ac:dyDescent="0.25">
      <c r="A2181" s="43" t="s">
        <v>4986</v>
      </c>
      <c r="B2181" s="81" t="s">
        <v>4977</v>
      </c>
      <c r="C2181" s="14" t="s">
        <v>37</v>
      </c>
      <c r="D2181" s="14"/>
      <c r="E2181" s="15"/>
      <c r="F2181" s="16">
        <f t="shared" si="127"/>
        <v>0</v>
      </c>
      <c r="G2181">
        <f t="shared" si="125"/>
        <v>0</v>
      </c>
    </row>
    <row r="2182" spans="1:7" hidden="1" x14ac:dyDescent="0.25">
      <c r="A2182" s="43" t="s">
        <v>4987</v>
      </c>
      <c r="B2182" s="81" t="s">
        <v>5053</v>
      </c>
      <c r="C2182" s="14" t="s">
        <v>37</v>
      </c>
      <c r="D2182" s="14"/>
      <c r="E2182" s="15"/>
      <c r="F2182" s="16">
        <f t="shared" si="127"/>
        <v>0</v>
      </c>
      <c r="G2182">
        <f t="shared" si="125"/>
        <v>0</v>
      </c>
    </row>
    <row r="2183" spans="1:7" hidden="1" x14ac:dyDescent="0.25">
      <c r="A2183" s="43" t="s">
        <v>4988</v>
      </c>
      <c r="B2183" s="81" t="s">
        <v>4984</v>
      </c>
      <c r="C2183" s="14" t="s">
        <v>37</v>
      </c>
      <c r="D2183" s="14"/>
      <c r="E2183" s="15"/>
      <c r="F2183" s="16">
        <f t="shared" si="127"/>
        <v>0</v>
      </c>
      <c r="G2183">
        <f t="shared" si="125"/>
        <v>0</v>
      </c>
    </row>
    <row r="2184" spans="1:7" hidden="1" x14ac:dyDescent="0.25">
      <c r="A2184" s="43" t="s">
        <v>4989</v>
      </c>
      <c r="B2184" s="81" t="s">
        <v>4978</v>
      </c>
      <c r="C2184" s="14" t="s">
        <v>37</v>
      </c>
      <c r="D2184" s="14"/>
      <c r="E2184" s="15"/>
      <c r="F2184" s="16">
        <f t="shared" si="127"/>
        <v>0</v>
      </c>
      <c r="G2184">
        <f t="shared" si="125"/>
        <v>0</v>
      </c>
    </row>
    <row r="2185" spans="1:7" hidden="1" x14ac:dyDescent="0.25">
      <c r="A2185" s="43" t="s">
        <v>4990</v>
      </c>
      <c r="B2185" s="81" t="s">
        <v>4979</v>
      </c>
      <c r="C2185" s="14" t="s">
        <v>37</v>
      </c>
      <c r="D2185" s="14"/>
      <c r="E2185" s="15"/>
      <c r="F2185" s="16">
        <f t="shared" si="127"/>
        <v>0</v>
      </c>
      <c r="G2185">
        <f t="shared" si="125"/>
        <v>0</v>
      </c>
    </row>
    <row r="2186" spans="1:7" hidden="1" x14ac:dyDescent="0.25">
      <c r="A2186" s="43" t="s">
        <v>4991</v>
      </c>
      <c r="B2186" s="81" t="s">
        <v>4980</v>
      </c>
      <c r="C2186" s="26" t="s">
        <v>37</v>
      </c>
      <c r="D2186" s="14"/>
      <c r="E2186" s="15"/>
      <c r="F2186" s="16">
        <f t="shared" si="127"/>
        <v>0</v>
      </c>
      <c r="G2186">
        <f t="shared" si="125"/>
        <v>0</v>
      </c>
    </row>
    <row r="2187" spans="1:7" hidden="1" x14ac:dyDescent="0.25">
      <c r="A2187" s="43" t="s">
        <v>4992</v>
      </c>
      <c r="B2187" s="81" t="s">
        <v>4981</v>
      </c>
      <c r="C2187" s="26" t="s">
        <v>37</v>
      </c>
      <c r="D2187" s="14"/>
      <c r="E2187" s="15"/>
      <c r="F2187" s="16">
        <f t="shared" si="127"/>
        <v>0</v>
      </c>
      <c r="G2187">
        <f t="shared" si="125"/>
        <v>0</v>
      </c>
    </row>
    <row r="2188" spans="1:7" hidden="1" x14ac:dyDescent="0.25">
      <c r="A2188" s="43" t="s">
        <v>4993</v>
      </c>
      <c r="B2188" s="81" t="s">
        <v>4982</v>
      </c>
      <c r="C2188" s="26" t="s">
        <v>37</v>
      </c>
      <c r="D2188" s="14"/>
      <c r="E2188" s="15"/>
      <c r="F2188" s="16">
        <f t="shared" si="127"/>
        <v>0</v>
      </c>
      <c r="G2188">
        <f t="shared" si="125"/>
        <v>0</v>
      </c>
    </row>
    <row r="2189" spans="1:7" hidden="1" x14ac:dyDescent="0.25">
      <c r="A2189" s="43" t="s">
        <v>4994</v>
      </c>
      <c r="B2189" s="81" t="s">
        <v>4983</v>
      </c>
      <c r="C2189" s="26" t="s">
        <v>37</v>
      </c>
      <c r="D2189" s="14"/>
      <c r="E2189" s="15"/>
      <c r="F2189" s="16">
        <f t="shared" si="127"/>
        <v>0</v>
      </c>
      <c r="G2189">
        <f t="shared" si="125"/>
        <v>0</v>
      </c>
    </row>
    <row r="2190" spans="1:7" hidden="1" x14ac:dyDescent="0.25">
      <c r="A2190" s="44" t="s">
        <v>5066</v>
      </c>
      <c r="B2190" s="80" t="s">
        <v>5052</v>
      </c>
      <c r="C2190" s="14"/>
      <c r="D2190" s="14"/>
      <c r="E2190" s="15"/>
      <c r="F2190" s="16"/>
      <c r="G2190">
        <f t="shared" si="125"/>
        <v>0</v>
      </c>
    </row>
    <row r="2191" spans="1:7" hidden="1" x14ac:dyDescent="0.25">
      <c r="A2191" s="44" t="s">
        <v>1030</v>
      </c>
      <c r="B2191" s="89" t="s">
        <v>4957</v>
      </c>
      <c r="C2191" s="14"/>
      <c r="D2191" s="14"/>
      <c r="E2191" s="15"/>
      <c r="F2191" s="16"/>
      <c r="G2191">
        <f t="shared" si="125"/>
        <v>0</v>
      </c>
    </row>
    <row r="2192" spans="1:7" hidden="1" x14ac:dyDescent="0.25">
      <c r="A2192" s="43" t="s">
        <v>5003</v>
      </c>
      <c r="B2192" s="81" t="s">
        <v>5054</v>
      </c>
      <c r="C2192" s="26" t="s">
        <v>37</v>
      </c>
      <c r="D2192" s="14"/>
      <c r="E2192" s="15"/>
      <c r="F2192" s="16">
        <f t="shared" ref="F2192:F2202" si="128">+D2192*E2192</f>
        <v>0</v>
      </c>
      <c r="G2192">
        <f t="shared" si="125"/>
        <v>0</v>
      </c>
    </row>
    <row r="2193" spans="1:7" hidden="1" x14ac:dyDescent="0.25">
      <c r="A2193" s="43" t="s">
        <v>1023</v>
      </c>
      <c r="B2193" s="81" t="s">
        <v>5055</v>
      </c>
      <c r="C2193" s="26" t="s">
        <v>37</v>
      </c>
      <c r="D2193" s="14"/>
      <c r="E2193" s="15"/>
      <c r="F2193" s="16">
        <f t="shared" si="128"/>
        <v>0</v>
      </c>
      <c r="G2193">
        <f t="shared" si="125"/>
        <v>0</v>
      </c>
    </row>
    <row r="2194" spans="1:7" hidden="1" x14ac:dyDescent="0.25">
      <c r="A2194" s="43" t="s">
        <v>1024</v>
      </c>
      <c r="B2194" s="81" t="s">
        <v>5056</v>
      </c>
      <c r="C2194" s="26" t="s">
        <v>37</v>
      </c>
      <c r="D2194" s="14"/>
      <c r="E2194" s="15"/>
      <c r="F2194" s="16">
        <f t="shared" si="128"/>
        <v>0</v>
      </c>
      <c r="G2194">
        <f t="shared" si="125"/>
        <v>0</v>
      </c>
    </row>
    <row r="2195" spans="1:7" hidden="1" x14ac:dyDescent="0.25">
      <c r="A2195" s="43" t="s">
        <v>1025</v>
      </c>
      <c r="B2195" s="81" t="s">
        <v>5057</v>
      </c>
      <c r="C2195" s="26" t="s">
        <v>37</v>
      </c>
      <c r="D2195" s="14"/>
      <c r="E2195" s="15"/>
      <c r="F2195" s="16">
        <f t="shared" si="128"/>
        <v>0</v>
      </c>
      <c r="G2195">
        <f t="shared" si="125"/>
        <v>0</v>
      </c>
    </row>
    <row r="2196" spans="1:7" hidden="1" x14ac:dyDescent="0.25">
      <c r="A2196" s="43" t="s">
        <v>1026</v>
      </c>
      <c r="B2196" s="81" t="s">
        <v>5058</v>
      </c>
      <c r="C2196" s="26" t="s">
        <v>37</v>
      </c>
      <c r="D2196" s="14"/>
      <c r="E2196" s="15"/>
      <c r="F2196" s="16">
        <f t="shared" si="128"/>
        <v>0</v>
      </c>
      <c r="G2196">
        <f t="shared" si="125"/>
        <v>0</v>
      </c>
    </row>
    <row r="2197" spans="1:7" hidden="1" x14ac:dyDescent="0.25">
      <c r="A2197" s="43" t="s">
        <v>1027</v>
      </c>
      <c r="B2197" s="81" t="s">
        <v>5059</v>
      </c>
      <c r="C2197" s="26" t="s">
        <v>37</v>
      </c>
      <c r="D2197" s="14"/>
      <c r="E2197" s="15"/>
      <c r="F2197" s="16">
        <f t="shared" si="128"/>
        <v>0</v>
      </c>
      <c r="G2197">
        <f t="shared" si="125"/>
        <v>0</v>
      </c>
    </row>
    <row r="2198" spans="1:7" hidden="1" x14ac:dyDescent="0.25">
      <c r="A2198" s="43" t="s">
        <v>1028</v>
      </c>
      <c r="B2198" s="81" t="s">
        <v>5060</v>
      </c>
      <c r="C2198" s="26" t="s">
        <v>37</v>
      </c>
      <c r="D2198" s="14"/>
      <c r="E2198" s="15"/>
      <c r="F2198" s="16">
        <f t="shared" si="128"/>
        <v>0</v>
      </c>
      <c r="G2198">
        <f t="shared" si="125"/>
        <v>0</v>
      </c>
    </row>
    <row r="2199" spans="1:7" hidden="1" x14ac:dyDescent="0.25">
      <c r="A2199" s="43" t="s">
        <v>5004</v>
      </c>
      <c r="B2199" s="81" t="s">
        <v>5061</v>
      </c>
      <c r="C2199" s="26" t="s">
        <v>37</v>
      </c>
      <c r="D2199" s="14"/>
      <c r="E2199" s="15"/>
      <c r="F2199" s="16">
        <f t="shared" si="128"/>
        <v>0</v>
      </c>
      <c r="G2199">
        <f t="shared" si="125"/>
        <v>0</v>
      </c>
    </row>
    <row r="2200" spans="1:7" hidden="1" x14ac:dyDescent="0.25">
      <c r="A2200" s="43" t="s">
        <v>5067</v>
      </c>
      <c r="B2200" s="81" t="s">
        <v>5062</v>
      </c>
      <c r="C2200" s="26" t="s">
        <v>37</v>
      </c>
      <c r="D2200" s="14"/>
      <c r="E2200" s="15"/>
      <c r="F2200" s="16">
        <f t="shared" si="128"/>
        <v>0</v>
      </c>
      <c r="G2200">
        <f t="shared" si="125"/>
        <v>0</v>
      </c>
    </row>
    <row r="2201" spans="1:7" hidden="1" x14ac:dyDescent="0.25">
      <c r="A2201" s="43" t="s">
        <v>5068</v>
      </c>
      <c r="B2201" s="81" t="s">
        <v>5063</v>
      </c>
      <c r="C2201" s="26" t="s">
        <v>37</v>
      </c>
      <c r="D2201" s="14"/>
      <c r="E2201" s="15"/>
      <c r="F2201" s="16">
        <f t="shared" si="128"/>
        <v>0</v>
      </c>
      <c r="G2201">
        <f t="shared" si="125"/>
        <v>0</v>
      </c>
    </row>
    <row r="2202" spans="1:7" hidden="1" x14ac:dyDescent="0.25">
      <c r="A2202" s="43" t="s">
        <v>5069</v>
      </c>
      <c r="B2202" s="81" t="s">
        <v>5064</v>
      </c>
      <c r="C2202" s="26" t="s">
        <v>37</v>
      </c>
      <c r="D2202" s="14"/>
      <c r="E2202" s="15"/>
      <c r="F2202" s="16">
        <f t="shared" si="128"/>
        <v>0</v>
      </c>
      <c r="G2202">
        <f t="shared" si="125"/>
        <v>0</v>
      </c>
    </row>
    <row r="2203" spans="1:7" hidden="1" x14ac:dyDescent="0.25">
      <c r="A2203" s="44" t="s">
        <v>4952</v>
      </c>
      <c r="B2203" s="89" t="s">
        <v>4974</v>
      </c>
      <c r="C2203" s="14"/>
      <c r="D2203" s="14"/>
      <c r="E2203" s="15"/>
      <c r="F2203" s="16"/>
      <c r="G2203">
        <f t="shared" si="125"/>
        <v>0</v>
      </c>
    </row>
    <row r="2204" spans="1:7" hidden="1" x14ac:dyDescent="0.25">
      <c r="A2204" s="43" t="s">
        <v>5070</v>
      </c>
      <c r="B2204" s="81" t="s">
        <v>5054</v>
      </c>
      <c r="C2204" s="26" t="s">
        <v>37</v>
      </c>
      <c r="D2204" s="14"/>
      <c r="E2204" s="15"/>
      <c r="F2204" s="16">
        <f t="shared" ref="F2204:F2215" si="129">+D2204*E2204</f>
        <v>0</v>
      </c>
      <c r="G2204">
        <f t="shared" si="125"/>
        <v>0</v>
      </c>
    </row>
    <row r="2205" spans="1:7" hidden="1" x14ac:dyDescent="0.25">
      <c r="A2205" s="43" t="s">
        <v>5011</v>
      </c>
      <c r="B2205" s="81" t="s">
        <v>5055</v>
      </c>
      <c r="C2205" s="26" t="s">
        <v>37</v>
      </c>
      <c r="D2205" s="14"/>
      <c r="E2205" s="15"/>
      <c r="F2205" s="16">
        <f t="shared" si="129"/>
        <v>0</v>
      </c>
      <c r="G2205">
        <f t="shared" si="125"/>
        <v>0</v>
      </c>
    </row>
    <row r="2206" spans="1:7" hidden="1" x14ac:dyDescent="0.25">
      <c r="A2206" s="43" t="s">
        <v>5012</v>
      </c>
      <c r="B2206" s="81" t="s">
        <v>5056</v>
      </c>
      <c r="C2206" s="26" t="s">
        <v>37</v>
      </c>
      <c r="D2206" s="14"/>
      <c r="E2206" s="15"/>
      <c r="F2206" s="16">
        <f t="shared" si="129"/>
        <v>0</v>
      </c>
      <c r="G2206">
        <f t="shared" si="125"/>
        <v>0</v>
      </c>
    </row>
    <row r="2207" spans="1:7" hidden="1" x14ac:dyDescent="0.25">
      <c r="A2207" s="43" t="s">
        <v>5013</v>
      </c>
      <c r="B2207" s="81" t="s">
        <v>5057</v>
      </c>
      <c r="C2207" s="26" t="s">
        <v>37</v>
      </c>
      <c r="D2207" s="14"/>
      <c r="E2207" s="15"/>
      <c r="F2207" s="16">
        <f t="shared" si="129"/>
        <v>0</v>
      </c>
      <c r="G2207">
        <f t="shared" si="125"/>
        <v>0</v>
      </c>
    </row>
    <row r="2208" spans="1:7" hidden="1" x14ac:dyDescent="0.25">
      <c r="A2208" s="43" t="s">
        <v>1034</v>
      </c>
      <c r="B2208" s="81" t="s">
        <v>5058</v>
      </c>
      <c r="C2208" s="26" t="s">
        <v>37</v>
      </c>
      <c r="D2208" s="14"/>
      <c r="E2208" s="15"/>
      <c r="F2208" s="16">
        <f t="shared" si="129"/>
        <v>0</v>
      </c>
      <c r="G2208">
        <f t="shared" si="125"/>
        <v>0</v>
      </c>
    </row>
    <row r="2209" spans="1:7" hidden="1" x14ac:dyDescent="0.25">
      <c r="A2209" s="43" t="s">
        <v>1033</v>
      </c>
      <c r="B2209" s="81" t="s">
        <v>5059</v>
      </c>
      <c r="C2209" s="26" t="s">
        <v>37</v>
      </c>
      <c r="D2209" s="14"/>
      <c r="E2209" s="15"/>
      <c r="F2209" s="16">
        <f t="shared" si="129"/>
        <v>0</v>
      </c>
      <c r="G2209">
        <f t="shared" si="125"/>
        <v>0</v>
      </c>
    </row>
    <row r="2210" spans="1:7" hidden="1" x14ac:dyDescent="0.25">
      <c r="A2210" s="43" t="s">
        <v>5071</v>
      </c>
      <c r="B2210" s="81" t="s">
        <v>5060</v>
      </c>
      <c r="C2210" s="26" t="s">
        <v>37</v>
      </c>
      <c r="D2210" s="14"/>
      <c r="E2210" s="15"/>
      <c r="F2210" s="16">
        <f t="shared" si="129"/>
        <v>0</v>
      </c>
      <c r="G2210">
        <f t="shared" si="125"/>
        <v>0</v>
      </c>
    </row>
    <row r="2211" spans="1:7" hidden="1" x14ac:dyDescent="0.25">
      <c r="A2211" s="43" t="s">
        <v>5072</v>
      </c>
      <c r="B2211" s="81" t="s">
        <v>5061</v>
      </c>
      <c r="C2211" s="26" t="s">
        <v>37</v>
      </c>
      <c r="D2211" s="14"/>
      <c r="E2211" s="15"/>
      <c r="F2211" s="16">
        <f t="shared" si="129"/>
        <v>0</v>
      </c>
      <c r="G2211">
        <f t="shared" si="125"/>
        <v>0</v>
      </c>
    </row>
    <row r="2212" spans="1:7" hidden="1" x14ac:dyDescent="0.25">
      <c r="A2212" s="43" t="s">
        <v>5073</v>
      </c>
      <c r="B2212" s="81" t="s">
        <v>5062</v>
      </c>
      <c r="C2212" s="26" t="s">
        <v>37</v>
      </c>
      <c r="D2212" s="14"/>
      <c r="E2212" s="15"/>
      <c r="F2212" s="16">
        <f t="shared" si="129"/>
        <v>0</v>
      </c>
      <c r="G2212">
        <f t="shared" si="125"/>
        <v>0</v>
      </c>
    </row>
    <row r="2213" spans="1:7" hidden="1" x14ac:dyDescent="0.25">
      <c r="A2213" s="43" t="s">
        <v>5074</v>
      </c>
      <c r="B2213" s="81" t="s">
        <v>5063</v>
      </c>
      <c r="C2213" s="26" t="s">
        <v>37</v>
      </c>
      <c r="D2213" s="14"/>
      <c r="E2213" s="15"/>
      <c r="F2213" s="16">
        <f t="shared" si="129"/>
        <v>0</v>
      </c>
      <c r="G2213">
        <f t="shared" si="125"/>
        <v>0</v>
      </c>
    </row>
    <row r="2214" spans="1:7" hidden="1" x14ac:dyDescent="0.25">
      <c r="A2214" s="43" t="s">
        <v>5075</v>
      </c>
      <c r="B2214" s="81" t="s">
        <v>5064</v>
      </c>
      <c r="C2214" s="26" t="s">
        <v>37</v>
      </c>
      <c r="D2214" s="14"/>
      <c r="E2214" s="15"/>
      <c r="F2214" s="16">
        <f t="shared" si="129"/>
        <v>0</v>
      </c>
      <c r="G2214">
        <f t="shared" ref="G2214:G2277" si="130">+IF(F2214&lt;&gt;0,1,0)</f>
        <v>0</v>
      </c>
    </row>
    <row r="2215" spans="1:7" hidden="1" x14ac:dyDescent="0.25">
      <c r="A2215" s="43" t="s">
        <v>5076</v>
      </c>
      <c r="B2215" s="81" t="s">
        <v>5065</v>
      </c>
      <c r="C2215" s="26" t="s">
        <v>37</v>
      </c>
      <c r="D2215" s="14"/>
      <c r="E2215" s="15"/>
      <c r="F2215" s="16">
        <f t="shared" si="129"/>
        <v>0</v>
      </c>
      <c r="G2215">
        <f t="shared" si="130"/>
        <v>0</v>
      </c>
    </row>
    <row r="2216" spans="1:7" hidden="1" x14ac:dyDescent="0.25">
      <c r="A2216" s="44" t="s">
        <v>4955</v>
      </c>
      <c r="B2216" s="80" t="s">
        <v>5077</v>
      </c>
      <c r="C2216" s="14"/>
      <c r="D2216" s="14"/>
      <c r="E2216" s="15"/>
      <c r="F2216" s="16"/>
      <c r="G2216">
        <f t="shared" si="130"/>
        <v>0</v>
      </c>
    </row>
    <row r="2217" spans="1:7" hidden="1" x14ac:dyDescent="0.25">
      <c r="A2217" s="43" t="s">
        <v>5022</v>
      </c>
      <c r="B2217" s="81" t="s">
        <v>5078</v>
      </c>
      <c r="C2217" s="26" t="s">
        <v>37</v>
      </c>
      <c r="D2217" s="14"/>
      <c r="E2217" s="15"/>
      <c r="F2217" s="16">
        <f t="shared" ref="F2217:F2222" si="131">+D2217*E2217</f>
        <v>0</v>
      </c>
      <c r="G2217">
        <f t="shared" si="130"/>
        <v>0</v>
      </c>
    </row>
    <row r="2218" spans="1:7" hidden="1" x14ac:dyDescent="0.25">
      <c r="A2218" s="43" t="s">
        <v>5091</v>
      </c>
      <c r="B2218" s="81" t="s">
        <v>5079</v>
      </c>
      <c r="C2218" s="26" t="s">
        <v>37</v>
      </c>
      <c r="D2218" s="14"/>
      <c r="E2218" s="15"/>
      <c r="F2218" s="16">
        <f t="shared" si="131"/>
        <v>0</v>
      </c>
      <c r="G2218">
        <f t="shared" si="130"/>
        <v>0</v>
      </c>
    </row>
    <row r="2219" spans="1:7" hidden="1" x14ac:dyDescent="0.25">
      <c r="A2219" s="43" t="s">
        <v>5092</v>
      </c>
      <c r="B2219" s="81" t="s">
        <v>5080</v>
      </c>
      <c r="C2219" s="26" t="s">
        <v>37</v>
      </c>
      <c r="D2219" s="14"/>
      <c r="E2219" s="15"/>
      <c r="F2219" s="16">
        <f t="shared" si="131"/>
        <v>0</v>
      </c>
      <c r="G2219">
        <f t="shared" si="130"/>
        <v>0</v>
      </c>
    </row>
    <row r="2220" spans="1:7" hidden="1" x14ac:dyDescent="0.25">
      <c r="A2220" s="43" t="s">
        <v>5093</v>
      </c>
      <c r="B2220" s="81" t="s">
        <v>5081</v>
      </c>
      <c r="C2220" s="26" t="s">
        <v>37</v>
      </c>
      <c r="D2220" s="14"/>
      <c r="E2220" s="15"/>
      <c r="F2220" s="16">
        <f t="shared" si="131"/>
        <v>0</v>
      </c>
      <c r="G2220">
        <f t="shared" si="130"/>
        <v>0</v>
      </c>
    </row>
    <row r="2221" spans="1:7" hidden="1" x14ac:dyDescent="0.25">
      <c r="A2221" s="43" t="s">
        <v>5094</v>
      </c>
      <c r="B2221" s="81" t="s">
        <v>5082</v>
      </c>
      <c r="C2221" s="26" t="s">
        <v>37</v>
      </c>
      <c r="D2221" s="14"/>
      <c r="E2221" s="15"/>
      <c r="F2221" s="16">
        <f t="shared" si="131"/>
        <v>0</v>
      </c>
      <c r="G2221">
        <f t="shared" si="130"/>
        <v>0</v>
      </c>
    </row>
    <row r="2222" spans="1:7" hidden="1" x14ac:dyDescent="0.25">
      <c r="A2222" s="43" t="s">
        <v>5095</v>
      </c>
      <c r="B2222" s="81" t="s">
        <v>5083</v>
      </c>
      <c r="C2222" s="26" t="s">
        <v>37</v>
      </c>
      <c r="D2222" s="14"/>
      <c r="E2222" s="15"/>
      <c r="F2222" s="16">
        <f t="shared" si="131"/>
        <v>0</v>
      </c>
      <c r="G2222">
        <f t="shared" si="130"/>
        <v>0</v>
      </c>
    </row>
    <row r="2223" spans="1:7" hidden="1" x14ac:dyDescent="0.25">
      <c r="A2223" s="44" t="s">
        <v>5023</v>
      </c>
      <c r="B2223" s="80" t="s">
        <v>5084</v>
      </c>
      <c r="C2223" s="14"/>
      <c r="D2223" s="14"/>
      <c r="E2223" s="15"/>
      <c r="F2223" s="16"/>
      <c r="G2223">
        <f t="shared" si="130"/>
        <v>0</v>
      </c>
    </row>
    <row r="2224" spans="1:7" hidden="1" x14ac:dyDescent="0.25">
      <c r="A2224" s="43" t="s">
        <v>5096</v>
      </c>
      <c r="B2224" s="81" t="s">
        <v>5085</v>
      </c>
      <c r="C2224" s="26" t="s">
        <v>37</v>
      </c>
      <c r="D2224" s="14"/>
      <c r="E2224" s="15"/>
      <c r="F2224" s="16">
        <f t="shared" ref="F2224:F2229" si="132">+D2224*E2224</f>
        <v>0</v>
      </c>
      <c r="G2224">
        <f t="shared" si="130"/>
        <v>0</v>
      </c>
    </row>
    <row r="2225" spans="1:7" hidden="1" x14ac:dyDescent="0.25">
      <c r="A2225" s="43" t="s">
        <v>5097</v>
      </c>
      <c r="B2225" s="81" t="s">
        <v>5086</v>
      </c>
      <c r="C2225" s="26" t="s">
        <v>37</v>
      </c>
      <c r="D2225" s="14"/>
      <c r="E2225" s="15"/>
      <c r="F2225" s="16">
        <f t="shared" si="132"/>
        <v>0</v>
      </c>
      <c r="G2225">
        <f t="shared" si="130"/>
        <v>0</v>
      </c>
    </row>
    <row r="2226" spans="1:7" hidden="1" x14ac:dyDescent="0.25">
      <c r="A2226" s="43" t="s">
        <v>5098</v>
      </c>
      <c r="B2226" s="81" t="s">
        <v>5087</v>
      </c>
      <c r="C2226" s="26" t="s">
        <v>37</v>
      </c>
      <c r="D2226" s="14"/>
      <c r="E2226" s="15"/>
      <c r="F2226" s="16">
        <f t="shared" si="132"/>
        <v>0</v>
      </c>
      <c r="G2226">
        <f t="shared" si="130"/>
        <v>0</v>
      </c>
    </row>
    <row r="2227" spans="1:7" hidden="1" x14ac:dyDescent="0.25">
      <c r="A2227" s="43" t="s">
        <v>5099</v>
      </c>
      <c r="B2227" s="81" t="s">
        <v>5088</v>
      </c>
      <c r="C2227" s="26" t="s">
        <v>37</v>
      </c>
      <c r="D2227" s="14"/>
      <c r="E2227" s="15"/>
      <c r="F2227" s="16">
        <f t="shared" si="132"/>
        <v>0</v>
      </c>
      <c r="G2227">
        <f t="shared" si="130"/>
        <v>0</v>
      </c>
    </row>
    <row r="2228" spans="1:7" hidden="1" x14ac:dyDescent="0.25">
      <c r="A2228" s="43" t="s">
        <v>5100</v>
      </c>
      <c r="B2228" s="81" t="s">
        <v>5089</v>
      </c>
      <c r="C2228" s="26" t="s">
        <v>37</v>
      </c>
      <c r="D2228" s="14"/>
      <c r="E2228" s="15"/>
      <c r="F2228" s="16">
        <f t="shared" si="132"/>
        <v>0</v>
      </c>
      <c r="G2228">
        <f t="shared" si="130"/>
        <v>0</v>
      </c>
    </row>
    <row r="2229" spans="1:7" hidden="1" x14ac:dyDescent="0.25">
      <c r="A2229" s="43" t="s">
        <v>5101</v>
      </c>
      <c r="B2229" s="81" t="s">
        <v>5090</v>
      </c>
      <c r="C2229" s="26" t="s">
        <v>37</v>
      </c>
      <c r="D2229" s="14"/>
      <c r="E2229" s="15"/>
      <c r="F2229" s="16">
        <f t="shared" si="132"/>
        <v>0</v>
      </c>
      <c r="G2229">
        <f t="shared" si="130"/>
        <v>0</v>
      </c>
    </row>
    <row r="2230" spans="1:7" hidden="1" x14ac:dyDescent="0.25">
      <c r="A2230" s="44" t="s">
        <v>5025</v>
      </c>
      <c r="B2230" s="80" t="s">
        <v>4995</v>
      </c>
      <c r="C2230" s="14"/>
      <c r="D2230" s="14"/>
      <c r="E2230" s="15"/>
      <c r="F2230" s="16"/>
      <c r="G2230">
        <f t="shared" si="130"/>
        <v>0</v>
      </c>
    </row>
    <row r="2231" spans="1:7" hidden="1" x14ac:dyDescent="0.25">
      <c r="A2231" s="44" t="s">
        <v>5034</v>
      </c>
      <c r="B2231" s="80" t="s">
        <v>4996</v>
      </c>
      <c r="C2231" s="14"/>
      <c r="D2231" s="14"/>
      <c r="E2231" s="15"/>
      <c r="F2231" s="16"/>
      <c r="G2231">
        <f t="shared" si="130"/>
        <v>0</v>
      </c>
    </row>
    <row r="2232" spans="1:7" hidden="1" x14ac:dyDescent="0.25">
      <c r="A2232" s="43" t="s">
        <v>5102</v>
      </c>
      <c r="B2232" s="81" t="s">
        <v>4997</v>
      </c>
      <c r="C2232" s="26" t="s">
        <v>37</v>
      </c>
      <c r="D2232" s="14"/>
      <c r="E2232" s="15"/>
      <c r="F2232" s="16">
        <f t="shared" ref="F2232:F2239" si="133">+D2232*E2232</f>
        <v>0</v>
      </c>
      <c r="G2232">
        <f t="shared" si="130"/>
        <v>0</v>
      </c>
    </row>
    <row r="2233" spans="1:7" hidden="1" x14ac:dyDescent="0.25">
      <c r="A2233" s="43" t="s">
        <v>5103</v>
      </c>
      <c r="B2233" s="81" t="s">
        <v>4998</v>
      </c>
      <c r="C2233" s="26" t="s">
        <v>37</v>
      </c>
      <c r="D2233" s="14"/>
      <c r="E2233" s="15"/>
      <c r="F2233" s="16">
        <f t="shared" si="133"/>
        <v>0</v>
      </c>
      <c r="G2233">
        <f t="shared" si="130"/>
        <v>0</v>
      </c>
    </row>
    <row r="2234" spans="1:7" hidden="1" x14ac:dyDescent="0.25">
      <c r="A2234" s="43" t="s">
        <v>5104</v>
      </c>
      <c r="B2234" s="81" t="s">
        <v>4999</v>
      </c>
      <c r="C2234" s="26" t="s">
        <v>37</v>
      </c>
      <c r="D2234" s="14"/>
      <c r="E2234" s="15"/>
      <c r="F2234" s="16">
        <f t="shared" si="133"/>
        <v>0</v>
      </c>
      <c r="G2234">
        <f t="shared" si="130"/>
        <v>0</v>
      </c>
    </row>
    <row r="2235" spans="1:7" hidden="1" x14ac:dyDescent="0.25">
      <c r="A2235" s="43" t="s">
        <v>5105</v>
      </c>
      <c r="B2235" s="81" t="s">
        <v>1031</v>
      </c>
      <c r="C2235" s="26" t="s">
        <v>37</v>
      </c>
      <c r="D2235" s="14"/>
      <c r="E2235" s="15"/>
      <c r="F2235" s="16">
        <f t="shared" si="133"/>
        <v>0</v>
      </c>
      <c r="G2235">
        <f t="shared" si="130"/>
        <v>0</v>
      </c>
    </row>
    <row r="2236" spans="1:7" hidden="1" x14ac:dyDescent="0.25">
      <c r="A2236" s="43" t="s">
        <v>5106</v>
      </c>
      <c r="B2236" s="81" t="s">
        <v>1032</v>
      </c>
      <c r="C2236" s="26" t="s">
        <v>37</v>
      </c>
      <c r="D2236" s="14"/>
      <c r="E2236" s="15"/>
      <c r="F2236" s="16">
        <f t="shared" si="133"/>
        <v>0</v>
      </c>
      <c r="G2236">
        <f t="shared" si="130"/>
        <v>0</v>
      </c>
    </row>
    <row r="2237" spans="1:7" hidden="1" x14ac:dyDescent="0.25">
      <c r="A2237" s="43" t="s">
        <v>5107</v>
      </c>
      <c r="B2237" s="81" t="s">
        <v>5000</v>
      </c>
      <c r="C2237" s="26" t="s">
        <v>37</v>
      </c>
      <c r="D2237" s="14"/>
      <c r="E2237" s="15"/>
      <c r="F2237" s="16">
        <f t="shared" si="133"/>
        <v>0</v>
      </c>
      <c r="G2237">
        <f t="shared" si="130"/>
        <v>0</v>
      </c>
    </row>
    <row r="2238" spans="1:7" hidden="1" x14ac:dyDescent="0.25">
      <c r="A2238" s="43" t="s">
        <v>5108</v>
      </c>
      <c r="B2238" s="81" t="s">
        <v>5001</v>
      </c>
      <c r="C2238" s="26" t="s">
        <v>37</v>
      </c>
      <c r="D2238" s="14"/>
      <c r="E2238" s="15"/>
      <c r="F2238" s="16">
        <f t="shared" si="133"/>
        <v>0</v>
      </c>
      <c r="G2238">
        <f t="shared" si="130"/>
        <v>0</v>
      </c>
    </row>
    <row r="2239" spans="1:7" hidden="1" x14ac:dyDescent="0.25">
      <c r="A2239" s="43" t="s">
        <v>5109</v>
      </c>
      <c r="B2239" s="81" t="s">
        <v>5002</v>
      </c>
      <c r="C2239" s="26" t="s">
        <v>37</v>
      </c>
      <c r="D2239" s="14"/>
      <c r="E2239" s="15"/>
      <c r="F2239" s="16">
        <f t="shared" si="133"/>
        <v>0</v>
      </c>
      <c r="G2239">
        <f t="shared" si="130"/>
        <v>0</v>
      </c>
    </row>
    <row r="2240" spans="1:7" hidden="1" x14ac:dyDescent="0.25">
      <c r="A2240" s="44" t="s">
        <v>5110</v>
      </c>
      <c r="B2240" s="80" t="s">
        <v>5005</v>
      </c>
      <c r="C2240" s="14"/>
      <c r="D2240" s="14"/>
      <c r="E2240" s="15"/>
      <c r="F2240" s="16"/>
      <c r="G2240">
        <f t="shared" si="130"/>
        <v>0</v>
      </c>
    </row>
    <row r="2241" spans="1:7" hidden="1" x14ac:dyDescent="0.25">
      <c r="A2241" s="43" t="s">
        <v>5111</v>
      </c>
      <c r="B2241" s="81" t="s">
        <v>5006</v>
      </c>
      <c r="C2241" s="26" t="s">
        <v>37</v>
      </c>
      <c r="D2241" s="14"/>
      <c r="E2241" s="15"/>
      <c r="F2241" s="16">
        <f>+D2241*E2241</f>
        <v>0</v>
      </c>
      <c r="G2241">
        <f t="shared" si="130"/>
        <v>0</v>
      </c>
    </row>
    <row r="2242" spans="1:7" hidden="1" x14ac:dyDescent="0.25">
      <c r="A2242" s="43" t="s">
        <v>5112</v>
      </c>
      <c r="B2242" s="81" t="s">
        <v>5007</v>
      </c>
      <c r="C2242" s="26" t="s">
        <v>37</v>
      </c>
      <c r="D2242" s="14"/>
      <c r="E2242" s="15"/>
      <c r="F2242" s="16">
        <f>+D2242*E2242</f>
        <v>0</v>
      </c>
      <c r="G2242">
        <f t="shared" si="130"/>
        <v>0</v>
      </c>
    </row>
    <row r="2243" spans="1:7" hidden="1" x14ac:dyDescent="0.25">
      <c r="A2243" s="43" t="s">
        <v>5113</v>
      </c>
      <c r="B2243" s="81" t="s">
        <v>5008</v>
      </c>
      <c r="C2243" s="26" t="s">
        <v>37</v>
      </c>
      <c r="D2243" s="14"/>
      <c r="E2243" s="15"/>
      <c r="F2243" s="16">
        <f>+D2243*E2243</f>
        <v>0</v>
      </c>
      <c r="G2243">
        <f t="shared" si="130"/>
        <v>0</v>
      </c>
    </row>
    <row r="2244" spans="1:7" hidden="1" x14ac:dyDescent="0.25">
      <c r="A2244" s="43" t="s">
        <v>5114</v>
      </c>
      <c r="B2244" s="81" t="s">
        <v>5009</v>
      </c>
      <c r="C2244" s="26" t="s">
        <v>37</v>
      </c>
      <c r="D2244" s="14"/>
      <c r="E2244" s="15"/>
      <c r="F2244" s="16">
        <f>+D2244*E2244</f>
        <v>0</v>
      </c>
      <c r="G2244">
        <f t="shared" si="130"/>
        <v>0</v>
      </c>
    </row>
    <row r="2245" spans="1:7" hidden="1" x14ac:dyDescent="0.25">
      <c r="A2245" s="43" t="s">
        <v>5115</v>
      </c>
      <c r="B2245" s="81" t="s">
        <v>5010</v>
      </c>
      <c r="C2245" s="26" t="s">
        <v>37</v>
      </c>
      <c r="D2245" s="14"/>
      <c r="E2245" s="15"/>
      <c r="F2245" s="16">
        <f>+D2245*E2245</f>
        <v>0</v>
      </c>
      <c r="G2245">
        <f t="shared" si="130"/>
        <v>0</v>
      </c>
    </row>
    <row r="2246" spans="1:7" hidden="1" x14ac:dyDescent="0.25">
      <c r="A2246" s="44" t="s">
        <v>1036</v>
      </c>
      <c r="B2246" s="80" t="s">
        <v>5016</v>
      </c>
      <c r="C2246" s="14"/>
      <c r="D2246" s="14"/>
      <c r="E2246" s="15"/>
      <c r="F2246" s="16"/>
      <c r="G2246">
        <f t="shared" si="130"/>
        <v>0</v>
      </c>
    </row>
    <row r="2247" spans="1:7" hidden="1" x14ac:dyDescent="0.25">
      <c r="A2247" s="43" t="s">
        <v>5048</v>
      </c>
      <c r="B2247" s="81" t="s">
        <v>5017</v>
      </c>
      <c r="C2247" s="26" t="s">
        <v>37</v>
      </c>
      <c r="D2247" s="14"/>
      <c r="E2247" s="15"/>
      <c r="F2247" s="16">
        <f t="shared" ref="F2247:F2252" si="134">+D2247*E2247</f>
        <v>0</v>
      </c>
      <c r="G2247">
        <f t="shared" si="130"/>
        <v>0</v>
      </c>
    </row>
    <row r="2248" spans="1:7" hidden="1" x14ac:dyDescent="0.25">
      <c r="A2248" s="43" t="s">
        <v>1038</v>
      </c>
      <c r="B2248" s="81" t="s">
        <v>5018</v>
      </c>
      <c r="C2248" s="26" t="s">
        <v>37</v>
      </c>
      <c r="D2248" s="14"/>
      <c r="E2248" s="15"/>
      <c r="F2248" s="16">
        <f t="shared" si="134"/>
        <v>0</v>
      </c>
      <c r="G2248">
        <f t="shared" si="130"/>
        <v>0</v>
      </c>
    </row>
    <row r="2249" spans="1:7" hidden="1" x14ac:dyDescent="0.25">
      <c r="A2249" s="43" t="s">
        <v>1045</v>
      </c>
      <c r="B2249" s="81" t="s">
        <v>5019</v>
      </c>
      <c r="C2249" s="26" t="s">
        <v>37</v>
      </c>
      <c r="D2249" s="14"/>
      <c r="E2249" s="15"/>
      <c r="F2249" s="16">
        <f t="shared" si="134"/>
        <v>0</v>
      </c>
      <c r="G2249">
        <f t="shared" si="130"/>
        <v>0</v>
      </c>
    </row>
    <row r="2250" spans="1:7" hidden="1" x14ac:dyDescent="0.25">
      <c r="A2250" s="43" t="s">
        <v>5049</v>
      </c>
      <c r="B2250" s="81" t="s">
        <v>5024</v>
      </c>
      <c r="C2250" s="26" t="s">
        <v>37</v>
      </c>
      <c r="D2250" s="14"/>
      <c r="E2250" s="15"/>
      <c r="F2250" s="16">
        <f t="shared" si="134"/>
        <v>0</v>
      </c>
      <c r="G2250">
        <f t="shared" si="130"/>
        <v>0</v>
      </c>
    </row>
    <row r="2251" spans="1:7" hidden="1" x14ac:dyDescent="0.25">
      <c r="A2251" s="43" t="s">
        <v>5050</v>
      </c>
      <c r="B2251" s="81" t="s">
        <v>5020</v>
      </c>
      <c r="C2251" s="26" t="s">
        <v>37</v>
      </c>
      <c r="D2251" s="14"/>
      <c r="E2251" s="15"/>
      <c r="F2251" s="16">
        <f t="shared" si="134"/>
        <v>0</v>
      </c>
      <c r="G2251">
        <f t="shared" si="130"/>
        <v>0</v>
      </c>
    </row>
    <row r="2252" spans="1:7" hidden="1" x14ac:dyDescent="0.25">
      <c r="A2252" s="43" t="s">
        <v>5051</v>
      </c>
      <c r="B2252" s="81" t="s">
        <v>5021</v>
      </c>
      <c r="C2252" s="26" t="s">
        <v>37</v>
      </c>
      <c r="D2252" s="14"/>
      <c r="E2252" s="15"/>
      <c r="F2252" s="16">
        <f t="shared" si="134"/>
        <v>0</v>
      </c>
      <c r="G2252">
        <f t="shared" si="130"/>
        <v>0</v>
      </c>
    </row>
    <row r="2253" spans="1:7" hidden="1" x14ac:dyDescent="0.25">
      <c r="A2253" s="44" t="s">
        <v>1054</v>
      </c>
      <c r="B2253" s="80" t="s">
        <v>5026</v>
      </c>
      <c r="C2253" s="14"/>
      <c r="D2253" s="14"/>
      <c r="E2253" s="15"/>
      <c r="F2253" s="16"/>
      <c r="G2253">
        <f t="shared" si="130"/>
        <v>0</v>
      </c>
    </row>
    <row r="2254" spans="1:7" hidden="1" x14ac:dyDescent="0.25">
      <c r="A2254" s="43" t="s">
        <v>1055</v>
      </c>
      <c r="B2254" s="81" t="s">
        <v>5027</v>
      </c>
      <c r="C2254" s="26" t="s">
        <v>37</v>
      </c>
      <c r="D2254" s="14"/>
      <c r="E2254" s="15"/>
      <c r="F2254" s="16">
        <f t="shared" ref="F2254:F2260" si="135">+D2254*E2254</f>
        <v>0</v>
      </c>
      <c r="G2254">
        <f t="shared" si="130"/>
        <v>0</v>
      </c>
    </row>
    <row r="2255" spans="1:7" hidden="1" x14ac:dyDescent="0.25">
      <c r="A2255" s="43" t="s">
        <v>1056</v>
      </c>
      <c r="B2255" s="81" t="s">
        <v>5028</v>
      </c>
      <c r="C2255" s="26" t="s">
        <v>37</v>
      </c>
      <c r="D2255" s="14"/>
      <c r="E2255" s="15"/>
      <c r="F2255" s="16">
        <f t="shared" si="135"/>
        <v>0</v>
      </c>
      <c r="G2255">
        <f t="shared" si="130"/>
        <v>0</v>
      </c>
    </row>
    <row r="2256" spans="1:7" hidden="1" x14ac:dyDescent="0.25">
      <c r="A2256" s="43" t="s">
        <v>1057</v>
      </c>
      <c r="B2256" s="81" t="s">
        <v>5029</v>
      </c>
      <c r="C2256" s="26" t="s">
        <v>37</v>
      </c>
      <c r="D2256" s="14"/>
      <c r="E2256" s="15"/>
      <c r="F2256" s="16">
        <f t="shared" si="135"/>
        <v>0</v>
      </c>
      <c r="G2256">
        <f t="shared" si="130"/>
        <v>0</v>
      </c>
    </row>
    <row r="2257" spans="1:7" hidden="1" x14ac:dyDescent="0.25">
      <c r="A2257" s="43" t="s">
        <v>5116</v>
      </c>
      <c r="B2257" s="81" t="s">
        <v>5030</v>
      </c>
      <c r="C2257" s="26" t="s">
        <v>37</v>
      </c>
      <c r="D2257" s="14"/>
      <c r="E2257" s="15"/>
      <c r="F2257" s="16">
        <f t="shared" si="135"/>
        <v>0</v>
      </c>
      <c r="G2257">
        <f t="shared" si="130"/>
        <v>0</v>
      </c>
    </row>
    <row r="2258" spans="1:7" hidden="1" x14ac:dyDescent="0.25">
      <c r="A2258" s="43" t="s">
        <v>5117</v>
      </c>
      <c r="B2258" s="81" t="s">
        <v>5031</v>
      </c>
      <c r="C2258" s="26" t="s">
        <v>37</v>
      </c>
      <c r="D2258" s="14"/>
      <c r="E2258" s="15"/>
      <c r="F2258" s="16">
        <f t="shared" si="135"/>
        <v>0</v>
      </c>
      <c r="G2258">
        <f t="shared" si="130"/>
        <v>0</v>
      </c>
    </row>
    <row r="2259" spans="1:7" hidden="1" x14ac:dyDescent="0.25">
      <c r="A2259" s="43" t="s">
        <v>5118</v>
      </c>
      <c r="B2259" s="81" t="s">
        <v>5032</v>
      </c>
      <c r="C2259" s="26" t="s">
        <v>37</v>
      </c>
      <c r="D2259" s="14"/>
      <c r="E2259" s="15"/>
      <c r="F2259" s="16">
        <f t="shared" si="135"/>
        <v>0</v>
      </c>
      <c r="G2259">
        <f t="shared" si="130"/>
        <v>0</v>
      </c>
    </row>
    <row r="2260" spans="1:7" hidden="1" x14ac:dyDescent="0.25">
      <c r="A2260" s="43" t="s">
        <v>5120</v>
      </c>
      <c r="B2260" s="81" t="s">
        <v>5033</v>
      </c>
      <c r="C2260" s="26" t="s">
        <v>37</v>
      </c>
      <c r="D2260" s="14"/>
      <c r="E2260" s="15"/>
      <c r="F2260" s="16">
        <f t="shared" si="135"/>
        <v>0</v>
      </c>
      <c r="G2260">
        <f t="shared" si="130"/>
        <v>0</v>
      </c>
    </row>
    <row r="2261" spans="1:7" hidden="1" x14ac:dyDescent="0.25">
      <c r="A2261" s="44" t="s">
        <v>1059</v>
      </c>
      <c r="B2261" s="80" t="s">
        <v>5047</v>
      </c>
      <c r="C2261" s="14"/>
      <c r="D2261" s="14"/>
      <c r="E2261" s="15"/>
      <c r="F2261" s="16"/>
      <c r="G2261">
        <f t="shared" si="130"/>
        <v>0</v>
      </c>
    </row>
    <row r="2262" spans="1:7" hidden="1" x14ac:dyDescent="0.25">
      <c r="A2262" s="43" t="s">
        <v>5119</v>
      </c>
      <c r="B2262" s="81" t="s">
        <v>5035</v>
      </c>
      <c r="C2262" s="26" t="s">
        <v>37</v>
      </c>
      <c r="D2262" s="14"/>
      <c r="E2262" s="15"/>
      <c r="F2262" s="16">
        <f t="shared" ref="F2262:F2273" si="136">+D2262*E2262</f>
        <v>0</v>
      </c>
      <c r="G2262">
        <f t="shared" si="130"/>
        <v>0</v>
      </c>
    </row>
    <row r="2263" spans="1:7" hidden="1" x14ac:dyDescent="0.25">
      <c r="A2263" s="43" t="s">
        <v>5121</v>
      </c>
      <c r="B2263" s="81" t="s">
        <v>5036</v>
      </c>
      <c r="C2263" s="26" t="s">
        <v>37</v>
      </c>
      <c r="D2263" s="14"/>
      <c r="E2263" s="15"/>
      <c r="F2263" s="16">
        <f t="shared" si="136"/>
        <v>0</v>
      </c>
      <c r="G2263">
        <f t="shared" si="130"/>
        <v>0</v>
      </c>
    </row>
    <row r="2264" spans="1:7" hidden="1" x14ac:dyDescent="0.25">
      <c r="A2264" s="43" t="s">
        <v>5122</v>
      </c>
      <c r="B2264" s="81" t="s">
        <v>5037</v>
      </c>
      <c r="C2264" s="26" t="s">
        <v>37</v>
      </c>
      <c r="D2264" s="14"/>
      <c r="E2264" s="15"/>
      <c r="F2264" s="16">
        <f t="shared" si="136"/>
        <v>0</v>
      </c>
      <c r="G2264">
        <f t="shared" si="130"/>
        <v>0</v>
      </c>
    </row>
    <row r="2265" spans="1:7" hidden="1" x14ac:dyDescent="0.25">
      <c r="A2265" s="43" t="s">
        <v>5123</v>
      </c>
      <c r="B2265" s="81" t="s">
        <v>5038</v>
      </c>
      <c r="C2265" s="26" t="s">
        <v>37</v>
      </c>
      <c r="D2265" s="14"/>
      <c r="E2265" s="15"/>
      <c r="F2265" s="16">
        <f t="shared" si="136"/>
        <v>0</v>
      </c>
      <c r="G2265">
        <f t="shared" si="130"/>
        <v>0</v>
      </c>
    </row>
    <row r="2266" spans="1:7" hidden="1" x14ac:dyDescent="0.25">
      <c r="A2266" s="43" t="s">
        <v>5124</v>
      </c>
      <c r="B2266" s="81" t="s">
        <v>5039</v>
      </c>
      <c r="C2266" s="26" t="s">
        <v>37</v>
      </c>
      <c r="D2266" s="14"/>
      <c r="E2266" s="15"/>
      <c r="F2266" s="16">
        <f t="shared" si="136"/>
        <v>0</v>
      </c>
      <c r="G2266">
        <f t="shared" si="130"/>
        <v>0</v>
      </c>
    </row>
    <row r="2267" spans="1:7" hidden="1" x14ac:dyDescent="0.25">
      <c r="A2267" s="43" t="s">
        <v>5125</v>
      </c>
      <c r="B2267" s="81" t="s">
        <v>5040</v>
      </c>
      <c r="C2267" s="26" t="s">
        <v>37</v>
      </c>
      <c r="D2267" s="14"/>
      <c r="E2267" s="15"/>
      <c r="F2267" s="16">
        <f t="shared" si="136"/>
        <v>0</v>
      </c>
      <c r="G2267">
        <f t="shared" si="130"/>
        <v>0</v>
      </c>
    </row>
    <row r="2268" spans="1:7" hidden="1" x14ac:dyDescent="0.25">
      <c r="A2268" s="43" t="s">
        <v>5126</v>
      </c>
      <c r="B2268" s="81" t="s">
        <v>5041</v>
      </c>
      <c r="C2268" s="26" t="s">
        <v>37</v>
      </c>
      <c r="D2268" s="14"/>
      <c r="E2268" s="15"/>
      <c r="F2268" s="16">
        <f t="shared" si="136"/>
        <v>0</v>
      </c>
      <c r="G2268">
        <f t="shared" si="130"/>
        <v>0</v>
      </c>
    </row>
    <row r="2269" spans="1:7" hidden="1" x14ac:dyDescent="0.25">
      <c r="A2269" s="43" t="s">
        <v>5127</v>
      </c>
      <c r="B2269" s="81" t="s">
        <v>5042</v>
      </c>
      <c r="C2269" s="26" t="s">
        <v>37</v>
      </c>
      <c r="D2269" s="14"/>
      <c r="E2269" s="15"/>
      <c r="F2269" s="16">
        <f t="shared" si="136"/>
        <v>0</v>
      </c>
      <c r="G2269">
        <f t="shared" si="130"/>
        <v>0</v>
      </c>
    </row>
    <row r="2270" spans="1:7" hidden="1" x14ac:dyDescent="0.25">
      <c r="A2270" s="43" t="s">
        <v>5128</v>
      </c>
      <c r="B2270" s="81" t="s">
        <v>5043</v>
      </c>
      <c r="C2270" s="26" t="s">
        <v>37</v>
      </c>
      <c r="D2270" s="14"/>
      <c r="E2270" s="15"/>
      <c r="F2270" s="16">
        <f t="shared" si="136"/>
        <v>0</v>
      </c>
      <c r="G2270">
        <f t="shared" si="130"/>
        <v>0</v>
      </c>
    </row>
    <row r="2271" spans="1:7" hidden="1" x14ac:dyDescent="0.25">
      <c r="A2271" s="43" t="s">
        <v>5129</v>
      </c>
      <c r="B2271" s="81" t="s">
        <v>5044</v>
      </c>
      <c r="C2271" s="26" t="s">
        <v>37</v>
      </c>
      <c r="D2271" s="14"/>
      <c r="E2271" s="15"/>
      <c r="F2271" s="16">
        <f t="shared" si="136"/>
        <v>0</v>
      </c>
      <c r="G2271">
        <f t="shared" si="130"/>
        <v>0</v>
      </c>
    </row>
    <row r="2272" spans="1:7" hidden="1" x14ac:dyDescent="0.25">
      <c r="A2272" s="43" t="s">
        <v>5130</v>
      </c>
      <c r="B2272" s="81" t="s">
        <v>5045</v>
      </c>
      <c r="C2272" s="26" t="s">
        <v>37</v>
      </c>
      <c r="D2272" s="14"/>
      <c r="E2272" s="15"/>
      <c r="F2272" s="16">
        <f t="shared" si="136"/>
        <v>0</v>
      </c>
      <c r="G2272">
        <f t="shared" si="130"/>
        <v>0</v>
      </c>
    </row>
    <row r="2273" spans="1:7" hidden="1" x14ac:dyDescent="0.25">
      <c r="A2273" s="43" t="s">
        <v>5131</v>
      </c>
      <c r="B2273" s="81" t="s">
        <v>5046</v>
      </c>
      <c r="C2273" s="26" t="s">
        <v>37</v>
      </c>
      <c r="D2273" s="14"/>
      <c r="E2273" s="15"/>
      <c r="F2273" s="16">
        <f t="shared" si="136"/>
        <v>0</v>
      </c>
      <c r="G2273">
        <f t="shared" si="130"/>
        <v>0</v>
      </c>
    </row>
    <row r="2274" spans="1:7" hidden="1" x14ac:dyDescent="0.25">
      <c r="A2274" s="44" t="s">
        <v>1060</v>
      </c>
      <c r="B2274" s="80" t="s">
        <v>5132</v>
      </c>
      <c r="C2274" s="14"/>
      <c r="D2274" s="14"/>
      <c r="E2274" s="15"/>
      <c r="F2274" s="16"/>
      <c r="G2274">
        <f t="shared" si="130"/>
        <v>0</v>
      </c>
    </row>
    <row r="2275" spans="1:7" hidden="1" x14ac:dyDescent="0.25">
      <c r="A2275" s="43" t="s">
        <v>5139</v>
      </c>
      <c r="B2275" s="81" t="s">
        <v>5133</v>
      </c>
      <c r="C2275" s="26" t="s">
        <v>37</v>
      </c>
      <c r="D2275" s="14"/>
      <c r="E2275" s="15"/>
      <c r="F2275" s="16">
        <f t="shared" ref="F2275:F2280" si="137">+D2275*E2275</f>
        <v>0</v>
      </c>
      <c r="G2275">
        <f t="shared" si="130"/>
        <v>0</v>
      </c>
    </row>
    <row r="2276" spans="1:7" hidden="1" x14ac:dyDescent="0.25">
      <c r="A2276" s="43" t="s">
        <v>5140</v>
      </c>
      <c r="B2276" s="81" t="s">
        <v>5134</v>
      </c>
      <c r="C2276" s="26" t="s">
        <v>37</v>
      </c>
      <c r="D2276" s="14"/>
      <c r="E2276" s="15"/>
      <c r="F2276" s="16">
        <f t="shared" si="137"/>
        <v>0</v>
      </c>
      <c r="G2276">
        <f t="shared" si="130"/>
        <v>0</v>
      </c>
    </row>
    <row r="2277" spans="1:7" hidden="1" x14ac:dyDescent="0.25">
      <c r="A2277" s="43" t="s">
        <v>5141</v>
      </c>
      <c r="B2277" s="81" t="s">
        <v>5135</v>
      </c>
      <c r="C2277" s="26" t="s">
        <v>37</v>
      </c>
      <c r="D2277" s="14"/>
      <c r="E2277" s="15"/>
      <c r="F2277" s="16">
        <f t="shared" si="137"/>
        <v>0</v>
      </c>
      <c r="G2277">
        <f t="shared" si="130"/>
        <v>0</v>
      </c>
    </row>
    <row r="2278" spans="1:7" hidden="1" x14ac:dyDescent="0.25">
      <c r="A2278" s="43" t="s">
        <v>5142</v>
      </c>
      <c r="B2278" s="81" t="s">
        <v>5136</v>
      </c>
      <c r="C2278" s="26" t="s">
        <v>37</v>
      </c>
      <c r="D2278" s="14"/>
      <c r="E2278" s="15"/>
      <c r="F2278" s="16">
        <f t="shared" si="137"/>
        <v>0</v>
      </c>
      <c r="G2278">
        <f t="shared" ref="G2278:G2341" si="138">+IF(F2278&lt;&gt;0,1,0)</f>
        <v>0</v>
      </c>
    </row>
    <row r="2279" spans="1:7" hidden="1" x14ac:dyDescent="0.25">
      <c r="A2279" s="43" t="s">
        <v>5143</v>
      </c>
      <c r="B2279" s="81" t="s">
        <v>5137</v>
      </c>
      <c r="C2279" s="26" t="s">
        <v>37</v>
      </c>
      <c r="D2279" s="14"/>
      <c r="E2279" s="15"/>
      <c r="F2279" s="16">
        <f t="shared" si="137"/>
        <v>0</v>
      </c>
      <c r="G2279">
        <f t="shared" si="138"/>
        <v>0</v>
      </c>
    </row>
    <row r="2280" spans="1:7" hidden="1" x14ac:dyDescent="0.25">
      <c r="A2280" s="43" t="s">
        <v>5144</v>
      </c>
      <c r="B2280" s="81" t="s">
        <v>5138</v>
      </c>
      <c r="C2280" s="26" t="s">
        <v>37</v>
      </c>
      <c r="D2280" s="14"/>
      <c r="E2280" s="15"/>
      <c r="F2280" s="16">
        <f t="shared" si="137"/>
        <v>0</v>
      </c>
      <c r="G2280">
        <f t="shared" si="138"/>
        <v>0</v>
      </c>
    </row>
    <row r="2281" spans="1:7" hidden="1" x14ac:dyDescent="0.25">
      <c r="A2281" s="44" t="s">
        <v>1058</v>
      </c>
      <c r="B2281" s="80" t="s">
        <v>5145</v>
      </c>
      <c r="C2281" s="14"/>
      <c r="D2281" s="14"/>
      <c r="E2281" s="15"/>
      <c r="F2281" s="16"/>
      <c r="G2281">
        <f t="shared" si="138"/>
        <v>0</v>
      </c>
    </row>
    <row r="2282" spans="1:7" hidden="1" x14ac:dyDescent="0.25">
      <c r="A2282" s="43" t="s">
        <v>5152</v>
      </c>
      <c r="B2282" s="81" t="s">
        <v>5146</v>
      </c>
      <c r="C2282" s="26" t="s">
        <v>37</v>
      </c>
      <c r="D2282" s="14"/>
      <c r="E2282" s="15"/>
      <c r="F2282" s="16">
        <f t="shared" ref="F2282:F2287" si="139">+D2282*E2282</f>
        <v>0</v>
      </c>
      <c r="G2282">
        <f t="shared" si="138"/>
        <v>0</v>
      </c>
    </row>
    <row r="2283" spans="1:7" hidden="1" x14ac:dyDescent="0.25">
      <c r="A2283" s="43" t="s">
        <v>5153</v>
      </c>
      <c r="B2283" s="81" t="s">
        <v>5147</v>
      </c>
      <c r="C2283" s="26" t="s">
        <v>37</v>
      </c>
      <c r="D2283" s="14"/>
      <c r="E2283" s="15"/>
      <c r="F2283" s="16">
        <f t="shared" si="139"/>
        <v>0</v>
      </c>
      <c r="G2283">
        <f t="shared" si="138"/>
        <v>0</v>
      </c>
    </row>
    <row r="2284" spans="1:7" hidden="1" x14ac:dyDescent="0.25">
      <c r="A2284" s="43" t="s">
        <v>5154</v>
      </c>
      <c r="B2284" s="81" t="s">
        <v>5148</v>
      </c>
      <c r="C2284" s="26" t="s">
        <v>37</v>
      </c>
      <c r="D2284" s="14"/>
      <c r="E2284" s="15"/>
      <c r="F2284" s="16">
        <f t="shared" si="139"/>
        <v>0</v>
      </c>
      <c r="G2284">
        <f t="shared" si="138"/>
        <v>0</v>
      </c>
    </row>
    <row r="2285" spans="1:7" hidden="1" x14ac:dyDescent="0.25">
      <c r="A2285" s="43" t="s">
        <v>5155</v>
      </c>
      <c r="B2285" s="81" t="s">
        <v>5149</v>
      </c>
      <c r="C2285" s="26" t="s">
        <v>37</v>
      </c>
      <c r="D2285" s="14"/>
      <c r="E2285" s="15"/>
      <c r="F2285" s="16">
        <f t="shared" si="139"/>
        <v>0</v>
      </c>
      <c r="G2285">
        <f t="shared" si="138"/>
        <v>0</v>
      </c>
    </row>
    <row r="2286" spans="1:7" hidden="1" x14ac:dyDescent="0.25">
      <c r="A2286" s="43" t="s">
        <v>5156</v>
      </c>
      <c r="B2286" s="81" t="s">
        <v>5150</v>
      </c>
      <c r="C2286" s="26" t="s">
        <v>37</v>
      </c>
      <c r="D2286" s="14"/>
      <c r="E2286" s="15"/>
      <c r="F2286" s="16">
        <f t="shared" si="139"/>
        <v>0</v>
      </c>
      <c r="G2286">
        <f t="shared" si="138"/>
        <v>0</v>
      </c>
    </row>
    <row r="2287" spans="1:7" hidden="1" x14ac:dyDescent="0.25">
      <c r="A2287" s="43" t="s">
        <v>5157</v>
      </c>
      <c r="B2287" s="81" t="s">
        <v>5151</v>
      </c>
      <c r="C2287" s="26" t="s">
        <v>37</v>
      </c>
      <c r="D2287" s="14"/>
      <c r="E2287" s="15"/>
      <c r="F2287" s="16">
        <f t="shared" si="139"/>
        <v>0</v>
      </c>
      <c r="G2287">
        <f t="shared" si="138"/>
        <v>0</v>
      </c>
    </row>
    <row r="2288" spans="1:7" hidden="1" x14ac:dyDescent="0.25">
      <c r="A2288" s="44" t="s">
        <v>5159</v>
      </c>
      <c r="B2288" s="80" t="s">
        <v>5158</v>
      </c>
      <c r="C2288" s="14"/>
      <c r="D2288" s="14"/>
      <c r="E2288" s="15"/>
      <c r="F2288" s="16"/>
      <c r="G2288">
        <f t="shared" si="138"/>
        <v>0</v>
      </c>
    </row>
    <row r="2289" spans="1:7" hidden="1" x14ac:dyDescent="0.25">
      <c r="A2289" s="43" t="s">
        <v>5160</v>
      </c>
      <c r="B2289" s="81" t="s">
        <v>5167</v>
      </c>
      <c r="C2289" s="26" t="s">
        <v>37</v>
      </c>
      <c r="D2289" s="14"/>
      <c r="E2289" s="15"/>
      <c r="F2289" s="16">
        <f t="shared" ref="F2289:F2295" si="140">+D2289*E2289</f>
        <v>0</v>
      </c>
      <c r="G2289">
        <f t="shared" si="138"/>
        <v>0</v>
      </c>
    </row>
    <row r="2290" spans="1:7" hidden="1" x14ac:dyDescent="0.25">
      <c r="A2290" s="43" t="s">
        <v>5161</v>
      </c>
      <c r="B2290" s="81" t="s">
        <v>5168</v>
      </c>
      <c r="C2290" s="26" t="s">
        <v>37</v>
      </c>
      <c r="D2290" s="14"/>
      <c r="E2290" s="15"/>
      <c r="F2290" s="16">
        <f t="shared" si="140"/>
        <v>0</v>
      </c>
      <c r="G2290">
        <f t="shared" si="138"/>
        <v>0</v>
      </c>
    </row>
    <row r="2291" spans="1:7" hidden="1" x14ac:dyDescent="0.25">
      <c r="A2291" s="43" t="s">
        <v>5162</v>
      </c>
      <c r="B2291" s="81" t="s">
        <v>5169</v>
      </c>
      <c r="C2291" s="26" t="s">
        <v>37</v>
      </c>
      <c r="D2291" s="14"/>
      <c r="E2291" s="15"/>
      <c r="F2291" s="16">
        <f t="shared" si="140"/>
        <v>0</v>
      </c>
      <c r="G2291">
        <f t="shared" si="138"/>
        <v>0</v>
      </c>
    </row>
    <row r="2292" spans="1:7" hidden="1" x14ac:dyDescent="0.25">
      <c r="A2292" s="43" t="s">
        <v>5163</v>
      </c>
      <c r="B2292" s="81" t="s">
        <v>5170</v>
      </c>
      <c r="C2292" s="26" t="s">
        <v>37</v>
      </c>
      <c r="D2292" s="14"/>
      <c r="E2292" s="15"/>
      <c r="F2292" s="16">
        <f t="shared" si="140"/>
        <v>0</v>
      </c>
      <c r="G2292">
        <f t="shared" si="138"/>
        <v>0</v>
      </c>
    </row>
    <row r="2293" spans="1:7" hidden="1" x14ac:dyDescent="0.25">
      <c r="A2293" s="43" t="s">
        <v>5164</v>
      </c>
      <c r="B2293" s="81" t="s">
        <v>5171</v>
      </c>
      <c r="C2293" s="26" t="s">
        <v>37</v>
      </c>
      <c r="D2293" s="14"/>
      <c r="E2293" s="15"/>
      <c r="F2293" s="16">
        <f t="shared" si="140"/>
        <v>0</v>
      </c>
      <c r="G2293">
        <f t="shared" si="138"/>
        <v>0</v>
      </c>
    </row>
    <row r="2294" spans="1:7" hidden="1" x14ac:dyDescent="0.25">
      <c r="A2294" s="43" t="s">
        <v>5165</v>
      </c>
      <c r="B2294" s="81" t="s">
        <v>5172</v>
      </c>
      <c r="C2294" s="26" t="s">
        <v>37</v>
      </c>
      <c r="D2294" s="14"/>
      <c r="E2294" s="15"/>
      <c r="F2294" s="16">
        <f t="shared" si="140"/>
        <v>0</v>
      </c>
      <c r="G2294">
        <f t="shared" si="138"/>
        <v>0</v>
      </c>
    </row>
    <row r="2295" spans="1:7" hidden="1" x14ac:dyDescent="0.25">
      <c r="A2295" s="43" t="s">
        <v>5166</v>
      </c>
      <c r="B2295" s="81" t="s">
        <v>5173</v>
      </c>
      <c r="C2295" s="26" t="s">
        <v>37</v>
      </c>
      <c r="D2295" s="14"/>
      <c r="E2295" s="15"/>
      <c r="F2295" s="16">
        <f t="shared" si="140"/>
        <v>0</v>
      </c>
      <c r="G2295">
        <f t="shared" si="138"/>
        <v>0</v>
      </c>
    </row>
    <row r="2296" spans="1:7" hidden="1" x14ac:dyDescent="0.25">
      <c r="A2296" s="44" t="s">
        <v>5174</v>
      </c>
      <c r="B2296" s="80" t="s">
        <v>5175</v>
      </c>
      <c r="C2296" s="14"/>
      <c r="D2296" s="14"/>
      <c r="E2296" s="15"/>
      <c r="F2296" s="16"/>
      <c r="G2296">
        <f t="shared" si="138"/>
        <v>0</v>
      </c>
    </row>
    <row r="2297" spans="1:7" hidden="1" x14ac:dyDescent="0.25">
      <c r="A2297" s="43" t="s">
        <v>5183</v>
      </c>
      <c r="B2297" s="81" t="s">
        <v>5176</v>
      </c>
      <c r="C2297" s="26" t="s">
        <v>37</v>
      </c>
      <c r="D2297" s="14"/>
      <c r="E2297" s="15"/>
      <c r="F2297" s="16">
        <f t="shared" ref="F2297:F2303" si="141">+D2297*E2297</f>
        <v>0</v>
      </c>
      <c r="G2297">
        <f t="shared" si="138"/>
        <v>0</v>
      </c>
    </row>
    <row r="2298" spans="1:7" hidden="1" x14ac:dyDescent="0.25">
      <c r="A2298" s="43" t="s">
        <v>5184</v>
      </c>
      <c r="B2298" s="81" t="s">
        <v>5177</v>
      </c>
      <c r="C2298" s="26" t="s">
        <v>37</v>
      </c>
      <c r="D2298" s="14"/>
      <c r="E2298" s="15"/>
      <c r="F2298" s="16">
        <f t="shared" si="141"/>
        <v>0</v>
      </c>
      <c r="G2298">
        <f t="shared" si="138"/>
        <v>0</v>
      </c>
    </row>
    <row r="2299" spans="1:7" hidden="1" x14ac:dyDescent="0.25">
      <c r="A2299" s="43" t="s">
        <v>5185</v>
      </c>
      <c r="B2299" s="81" t="s">
        <v>5178</v>
      </c>
      <c r="C2299" s="26" t="s">
        <v>37</v>
      </c>
      <c r="D2299" s="14"/>
      <c r="E2299" s="15"/>
      <c r="F2299" s="16">
        <f t="shared" si="141"/>
        <v>0</v>
      </c>
      <c r="G2299">
        <f t="shared" si="138"/>
        <v>0</v>
      </c>
    </row>
    <row r="2300" spans="1:7" hidden="1" x14ac:dyDescent="0.25">
      <c r="A2300" s="43" t="s">
        <v>5186</v>
      </c>
      <c r="B2300" s="81" t="s">
        <v>5179</v>
      </c>
      <c r="C2300" s="26" t="s">
        <v>37</v>
      </c>
      <c r="D2300" s="14"/>
      <c r="E2300" s="15"/>
      <c r="F2300" s="16">
        <f t="shared" si="141"/>
        <v>0</v>
      </c>
      <c r="G2300">
        <f t="shared" si="138"/>
        <v>0</v>
      </c>
    </row>
    <row r="2301" spans="1:7" hidden="1" x14ac:dyDescent="0.25">
      <c r="A2301" s="43" t="s">
        <v>5187</v>
      </c>
      <c r="B2301" s="81" t="s">
        <v>5180</v>
      </c>
      <c r="C2301" s="26" t="s">
        <v>37</v>
      </c>
      <c r="D2301" s="14"/>
      <c r="E2301" s="15"/>
      <c r="F2301" s="16">
        <f t="shared" si="141"/>
        <v>0</v>
      </c>
      <c r="G2301">
        <f t="shared" si="138"/>
        <v>0</v>
      </c>
    </row>
    <row r="2302" spans="1:7" hidden="1" x14ac:dyDescent="0.25">
      <c r="A2302" s="43" t="s">
        <v>5188</v>
      </c>
      <c r="B2302" s="81" t="s">
        <v>5182</v>
      </c>
      <c r="C2302" s="26" t="s">
        <v>37</v>
      </c>
      <c r="D2302" s="14"/>
      <c r="E2302" s="15"/>
      <c r="F2302" s="16">
        <f t="shared" si="141"/>
        <v>0</v>
      </c>
      <c r="G2302">
        <f t="shared" si="138"/>
        <v>0</v>
      </c>
    </row>
    <row r="2303" spans="1:7" hidden="1" x14ac:dyDescent="0.25">
      <c r="A2303" s="43" t="s">
        <v>5189</v>
      </c>
      <c r="B2303" s="81" t="s">
        <v>5181</v>
      </c>
      <c r="C2303" s="26" t="s">
        <v>37</v>
      </c>
      <c r="D2303" s="14"/>
      <c r="E2303" s="15"/>
      <c r="F2303" s="16">
        <f t="shared" si="141"/>
        <v>0</v>
      </c>
      <c r="G2303">
        <f t="shared" si="138"/>
        <v>0</v>
      </c>
    </row>
    <row r="2304" spans="1:7" hidden="1" x14ac:dyDescent="0.25">
      <c r="A2304" s="44" t="s">
        <v>5190</v>
      </c>
      <c r="B2304" s="80" t="s">
        <v>5191</v>
      </c>
      <c r="C2304" s="14"/>
      <c r="D2304" s="14"/>
      <c r="E2304" s="15"/>
      <c r="F2304" s="16"/>
      <c r="G2304">
        <f t="shared" si="138"/>
        <v>0</v>
      </c>
    </row>
    <row r="2305" spans="1:7" hidden="1" x14ac:dyDescent="0.25">
      <c r="A2305" s="43" t="s">
        <v>5203</v>
      </c>
      <c r="B2305" s="81" t="s">
        <v>5192</v>
      </c>
      <c r="C2305" s="26" t="s">
        <v>37</v>
      </c>
      <c r="D2305" s="14"/>
      <c r="E2305" s="15"/>
      <c r="F2305" s="16">
        <f t="shared" ref="F2305:F2316" si="142">+D2305*E2305</f>
        <v>0</v>
      </c>
      <c r="G2305">
        <f t="shared" si="138"/>
        <v>0</v>
      </c>
    </row>
    <row r="2306" spans="1:7" hidden="1" x14ac:dyDescent="0.25">
      <c r="A2306" s="43" t="s">
        <v>5204</v>
      </c>
      <c r="B2306" s="81" t="s">
        <v>5193</v>
      </c>
      <c r="C2306" s="26" t="s">
        <v>37</v>
      </c>
      <c r="D2306" s="14"/>
      <c r="E2306" s="15"/>
      <c r="F2306" s="16">
        <f t="shared" si="142"/>
        <v>0</v>
      </c>
      <c r="G2306">
        <f t="shared" si="138"/>
        <v>0</v>
      </c>
    </row>
    <row r="2307" spans="1:7" hidden="1" x14ac:dyDescent="0.25">
      <c r="A2307" s="43" t="s">
        <v>5205</v>
      </c>
      <c r="B2307" s="81" t="s">
        <v>5194</v>
      </c>
      <c r="C2307" s="26" t="s">
        <v>37</v>
      </c>
      <c r="D2307" s="14"/>
      <c r="E2307" s="15"/>
      <c r="F2307" s="16">
        <f t="shared" si="142"/>
        <v>0</v>
      </c>
      <c r="G2307">
        <f t="shared" si="138"/>
        <v>0</v>
      </c>
    </row>
    <row r="2308" spans="1:7" hidden="1" x14ac:dyDescent="0.25">
      <c r="A2308" s="43" t="s">
        <v>5206</v>
      </c>
      <c r="B2308" s="81" t="s">
        <v>5195</v>
      </c>
      <c r="C2308" s="26" t="s">
        <v>37</v>
      </c>
      <c r="D2308" s="14"/>
      <c r="E2308" s="15"/>
      <c r="F2308" s="16">
        <f t="shared" si="142"/>
        <v>0</v>
      </c>
      <c r="G2308">
        <f t="shared" si="138"/>
        <v>0</v>
      </c>
    </row>
    <row r="2309" spans="1:7" hidden="1" x14ac:dyDescent="0.25">
      <c r="A2309" s="43" t="s">
        <v>5207</v>
      </c>
      <c r="B2309" s="81" t="s">
        <v>5196</v>
      </c>
      <c r="C2309" s="26" t="s">
        <v>37</v>
      </c>
      <c r="D2309" s="14"/>
      <c r="E2309" s="15"/>
      <c r="F2309" s="16">
        <f t="shared" si="142"/>
        <v>0</v>
      </c>
      <c r="G2309">
        <f t="shared" si="138"/>
        <v>0</v>
      </c>
    </row>
    <row r="2310" spans="1:7" hidden="1" x14ac:dyDescent="0.25">
      <c r="A2310" s="43" t="s">
        <v>5208</v>
      </c>
      <c r="B2310" s="81" t="s">
        <v>5197</v>
      </c>
      <c r="C2310" s="26" t="s">
        <v>37</v>
      </c>
      <c r="D2310" s="14"/>
      <c r="E2310" s="15"/>
      <c r="F2310" s="16">
        <f t="shared" si="142"/>
        <v>0</v>
      </c>
      <c r="G2310">
        <f t="shared" si="138"/>
        <v>0</v>
      </c>
    </row>
    <row r="2311" spans="1:7" hidden="1" x14ac:dyDescent="0.25">
      <c r="A2311" s="43" t="s">
        <v>5209</v>
      </c>
      <c r="B2311" s="81" t="s">
        <v>5198</v>
      </c>
      <c r="C2311" s="26" t="s">
        <v>37</v>
      </c>
      <c r="D2311" s="14"/>
      <c r="E2311" s="15"/>
      <c r="F2311" s="16">
        <f t="shared" si="142"/>
        <v>0</v>
      </c>
      <c r="G2311">
        <f t="shared" si="138"/>
        <v>0</v>
      </c>
    </row>
    <row r="2312" spans="1:7" hidden="1" x14ac:dyDescent="0.25">
      <c r="A2312" s="43" t="s">
        <v>5210</v>
      </c>
      <c r="B2312" s="81" t="s">
        <v>5199</v>
      </c>
      <c r="C2312" s="26" t="s">
        <v>37</v>
      </c>
      <c r="D2312" s="14"/>
      <c r="E2312" s="15"/>
      <c r="F2312" s="16">
        <f t="shared" si="142"/>
        <v>0</v>
      </c>
      <c r="G2312">
        <f t="shared" si="138"/>
        <v>0</v>
      </c>
    </row>
    <row r="2313" spans="1:7" hidden="1" x14ac:dyDescent="0.25">
      <c r="A2313" s="43" t="s">
        <v>5211</v>
      </c>
      <c r="B2313" s="81" t="s">
        <v>5200</v>
      </c>
      <c r="C2313" s="26" t="s">
        <v>37</v>
      </c>
      <c r="D2313" s="14"/>
      <c r="E2313" s="15"/>
      <c r="F2313" s="16">
        <f t="shared" si="142"/>
        <v>0</v>
      </c>
      <c r="G2313">
        <f t="shared" si="138"/>
        <v>0</v>
      </c>
    </row>
    <row r="2314" spans="1:7" hidden="1" x14ac:dyDescent="0.25">
      <c r="A2314" s="43" t="s">
        <v>5212</v>
      </c>
      <c r="B2314" s="81" t="s">
        <v>5201</v>
      </c>
      <c r="C2314" s="26" t="s">
        <v>37</v>
      </c>
      <c r="D2314" s="14"/>
      <c r="E2314" s="15"/>
      <c r="F2314" s="16">
        <f t="shared" si="142"/>
        <v>0</v>
      </c>
      <c r="G2314">
        <f t="shared" si="138"/>
        <v>0</v>
      </c>
    </row>
    <row r="2315" spans="1:7" hidden="1" x14ac:dyDescent="0.25">
      <c r="A2315" s="43" t="s">
        <v>5213</v>
      </c>
      <c r="B2315" s="81" t="s">
        <v>5202</v>
      </c>
      <c r="C2315" s="26" t="s">
        <v>37</v>
      </c>
      <c r="D2315" s="14"/>
      <c r="E2315" s="15"/>
      <c r="F2315" s="16">
        <f t="shared" si="142"/>
        <v>0</v>
      </c>
      <c r="G2315">
        <f t="shared" si="138"/>
        <v>0</v>
      </c>
    </row>
    <row r="2316" spans="1:7" hidden="1" x14ac:dyDescent="0.25">
      <c r="A2316" s="43" t="s">
        <v>5230</v>
      </c>
      <c r="B2316" s="81" t="s">
        <v>5231</v>
      </c>
      <c r="C2316" s="26" t="s">
        <v>37</v>
      </c>
      <c r="D2316" s="14"/>
      <c r="E2316" s="15"/>
      <c r="F2316" s="16">
        <f t="shared" si="142"/>
        <v>0</v>
      </c>
      <c r="G2316">
        <f t="shared" si="138"/>
        <v>0</v>
      </c>
    </row>
    <row r="2317" spans="1:7" hidden="1" x14ac:dyDescent="0.25">
      <c r="A2317" s="44" t="s">
        <v>5214</v>
      </c>
      <c r="B2317" s="80" t="s">
        <v>5215</v>
      </c>
      <c r="C2317" s="14"/>
      <c r="D2317" s="14"/>
      <c r="E2317" s="15"/>
      <c r="F2317" s="16"/>
      <c r="G2317">
        <f t="shared" si="138"/>
        <v>0</v>
      </c>
    </row>
    <row r="2318" spans="1:7" hidden="1" x14ac:dyDescent="0.25">
      <c r="A2318" s="43" t="s">
        <v>5223</v>
      </c>
      <c r="B2318" s="81" t="s">
        <v>5216</v>
      </c>
      <c r="C2318" s="26" t="s">
        <v>37</v>
      </c>
      <c r="D2318" s="14"/>
      <c r="E2318" s="15"/>
      <c r="F2318" s="16">
        <f t="shared" ref="F2318:F2329" si="143">+D2318*E2318</f>
        <v>0</v>
      </c>
      <c r="G2318">
        <f t="shared" si="138"/>
        <v>0</v>
      </c>
    </row>
    <row r="2319" spans="1:7" hidden="1" x14ac:dyDescent="0.25">
      <c r="A2319" s="43" t="s">
        <v>5224</v>
      </c>
      <c r="B2319" s="81" t="s">
        <v>5217</v>
      </c>
      <c r="C2319" s="26" t="s">
        <v>37</v>
      </c>
      <c r="D2319" s="14"/>
      <c r="E2319" s="15"/>
      <c r="F2319" s="16">
        <f t="shared" si="143"/>
        <v>0</v>
      </c>
      <c r="G2319">
        <f t="shared" si="138"/>
        <v>0</v>
      </c>
    </row>
    <row r="2320" spans="1:7" hidden="1" x14ac:dyDescent="0.25">
      <c r="A2320" s="43" t="s">
        <v>5225</v>
      </c>
      <c r="B2320" s="81" t="s">
        <v>5218</v>
      </c>
      <c r="C2320" s="26" t="s">
        <v>37</v>
      </c>
      <c r="D2320" s="14"/>
      <c r="E2320" s="15"/>
      <c r="F2320" s="16">
        <f t="shared" si="143"/>
        <v>0</v>
      </c>
      <c r="G2320">
        <f t="shared" si="138"/>
        <v>0</v>
      </c>
    </row>
    <row r="2321" spans="1:7" hidden="1" x14ac:dyDescent="0.25">
      <c r="A2321" s="43" t="s">
        <v>5226</v>
      </c>
      <c r="B2321" s="81" t="s">
        <v>5219</v>
      </c>
      <c r="C2321" s="26" t="s">
        <v>37</v>
      </c>
      <c r="D2321" s="14"/>
      <c r="E2321" s="15"/>
      <c r="F2321" s="16">
        <f t="shared" si="143"/>
        <v>0</v>
      </c>
      <c r="G2321">
        <f t="shared" si="138"/>
        <v>0</v>
      </c>
    </row>
    <row r="2322" spans="1:7" hidden="1" x14ac:dyDescent="0.25">
      <c r="A2322" s="43" t="s">
        <v>5227</v>
      </c>
      <c r="B2322" s="81" t="s">
        <v>5220</v>
      </c>
      <c r="C2322" s="26" t="s">
        <v>37</v>
      </c>
      <c r="D2322" s="14"/>
      <c r="E2322" s="15"/>
      <c r="F2322" s="16">
        <f t="shared" si="143"/>
        <v>0</v>
      </c>
      <c r="G2322">
        <f t="shared" si="138"/>
        <v>0</v>
      </c>
    </row>
    <row r="2323" spans="1:7" hidden="1" x14ac:dyDescent="0.25">
      <c r="A2323" s="43" t="s">
        <v>5228</v>
      </c>
      <c r="B2323" s="81" t="s">
        <v>5221</v>
      </c>
      <c r="C2323" s="26" t="s">
        <v>37</v>
      </c>
      <c r="D2323" s="14"/>
      <c r="E2323" s="15"/>
      <c r="F2323" s="16">
        <f t="shared" si="143"/>
        <v>0</v>
      </c>
      <c r="G2323">
        <f t="shared" si="138"/>
        <v>0</v>
      </c>
    </row>
    <row r="2324" spans="1:7" hidden="1" x14ac:dyDescent="0.25">
      <c r="A2324" s="43" t="s">
        <v>5229</v>
      </c>
      <c r="B2324" s="81" t="s">
        <v>5222</v>
      </c>
      <c r="C2324" s="26" t="s">
        <v>37</v>
      </c>
      <c r="D2324" s="14"/>
      <c r="E2324" s="15"/>
      <c r="F2324" s="16">
        <f t="shared" si="143"/>
        <v>0</v>
      </c>
      <c r="G2324">
        <f t="shared" si="138"/>
        <v>0</v>
      </c>
    </row>
    <row r="2325" spans="1:7" hidden="1" x14ac:dyDescent="0.25">
      <c r="A2325" s="43" t="s">
        <v>5232</v>
      </c>
      <c r="B2325" s="122" t="s">
        <v>5237</v>
      </c>
      <c r="C2325" s="26" t="s">
        <v>37</v>
      </c>
      <c r="D2325" s="14"/>
      <c r="E2325" s="15"/>
      <c r="F2325" s="16">
        <f t="shared" si="143"/>
        <v>0</v>
      </c>
      <c r="G2325">
        <f t="shared" si="138"/>
        <v>0</v>
      </c>
    </row>
    <row r="2326" spans="1:7" hidden="1" x14ac:dyDescent="0.25">
      <c r="A2326" s="43" t="s">
        <v>5233</v>
      </c>
      <c r="B2326" s="122" t="s">
        <v>5238</v>
      </c>
      <c r="C2326" s="26" t="s">
        <v>37</v>
      </c>
      <c r="D2326" s="14"/>
      <c r="E2326" s="15"/>
      <c r="F2326" s="16">
        <f t="shared" si="143"/>
        <v>0</v>
      </c>
      <c r="G2326">
        <f t="shared" si="138"/>
        <v>0</v>
      </c>
    </row>
    <row r="2327" spans="1:7" hidden="1" x14ac:dyDescent="0.25">
      <c r="A2327" s="43" t="s">
        <v>5234</v>
      </c>
      <c r="B2327" s="122" t="s">
        <v>5239</v>
      </c>
      <c r="C2327" s="26" t="s">
        <v>37</v>
      </c>
      <c r="D2327" s="14"/>
      <c r="E2327" s="15"/>
      <c r="F2327" s="16">
        <f t="shared" si="143"/>
        <v>0</v>
      </c>
      <c r="G2327">
        <f t="shared" si="138"/>
        <v>0</v>
      </c>
    </row>
    <row r="2328" spans="1:7" hidden="1" x14ac:dyDescent="0.25">
      <c r="A2328" s="43" t="s">
        <v>5235</v>
      </c>
      <c r="B2328" s="122" t="s">
        <v>5240</v>
      </c>
      <c r="C2328" s="26" t="s">
        <v>37</v>
      </c>
      <c r="D2328" s="14"/>
      <c r="E2328" s="15"/>
      <c r="F2328" s="16">
        <f t="shared" si="143"/>
        <v>0</v>
      </c>
      <c r="G2328">
        <f t="shared" si="138"/>
        <v>0</v>
      </c>
    </row>
    <row r="2329" spans="1:7" hidden="1" x14ac:dyDescent="0.25">
      <c r="A2329" s="43" t="s">
        <v>5236</v>
      </c>
      <c r="B2329" s="122" t="s">
        <v>5241</v>
      </c>
      <c r="C2329" s="26" t="s">
        <v>37</v>
      </c>
      <c r="D2329" s="14"/>
      <c r="E2329" s="15"/>
      <c r="F2329" s="16">
        <f t="shared" si="143"/>
        <v>0</v>
      </c>
      <c r="G2329">
        <f t="shared" si="138"/>
        <v>0</v>
      </c>
    </row>
    <row r="2330" spans="1:7" hidden="1" x14ac:dyDescent="0.25">
      <c r="A2330" s="44" t="s">
        <v>5242</v>
      </c>
      <c r="B2330" s="80" t="s">
        <v>5243</v>
      </c>
      <c r="C2330" s="14"/>
      <c r="D2330" s="14"/>
      <c r="E2330" s="15"/>
      <c r="F2330" s="16"/>
      <c r="G2330">
        <f t="shared" si="138"/>
        <v>0</v>
      </c>
    </row>
    <row r="2331" spans="1:7" hidden="1" x14ac:dyDescent="0.25">
      <c r="A2331" s="43" t="s">
        <v>5252</v>
      </c>
      <c r="B2331" s="81" t="s">
        <v>5246</v>
      </c>
      <c r="C2331" s="26" t="s">
        <v>37</v>
      </c>
      <c r="D2331" s="14"/>
      <c r="E2331" s="15"/>
      <c r="F2331" s="16">
        <f t="shared" ref="F2331:F2338" si="144">+D2331*E2331</f>
        <v>0</v>
      </c>
      <c r="G2331">
        <f t="shared" si="138"/>
        <v>0</v>
      </c>
    </row>
    <row r="2332" spans="1:7" hidden="1" x14ac:dyDescent="0.25">
      <c r="A2332" s="43" t="s">
        <v>5253</v>
      </c>
      <c r="B2332" s="81" t="s">
        <v>5245</v>
      </c>
      <c r="C2332" s="26" t="s">
        <v>37</v>
      </c>
      <c r="D2332" s="14"/>
      <c r="E2332" s="15"/>
      <c r="F2332" s="16">
        <f t="shared" si="144"/>
        <v>0</v>
      </c>
      <c r="G2332">
        <f t="shared" si="138"/>
        <v>0</v>
      </c>
    </row>
    <row r="2333" spans="1:7" hidden="1" x14ac:dyDescent="0.25">
      <c r="A2333" s="43" t="s">
        <v>5254</v>
      </c>
      <c r="B2333" s="81" t="s">
        <v>5244</v>
      </c>
      <c r="C2333" s="26" t="s">
        <v>37</v>
      </c>
      <c r="D2333" s="14"/>
      <c r="E2333" s="15"/>
      <c r="F2333" s="16">
        <f t="shared" si="144"/>
        <v>0</v>
      </c>
      <c r="G2333">
        <f t="shared" si="138"/>
        <v>0</v>
      </c>
    </row>
    <row r="2334" spans="1:7" hidden="1" x14ac:dyDescent="0.25">
      <c r="A2334" s="43" t="s">
        <v>5255</v>
      </c>
      <c r="B2334" s="81" t="s">
        <v>5247</v>
      </c>
      <c r="C2334" s="26" t="s">
        <v>37</v>
      </c>
      <c r="D2334" s="14"/>
      <c r="E2334" s="15"/>
      <c r="F2334" s="16">
        <f t="shared" si="144"/>
        <v>0</v>
      </c>
      <c r="G2334">
        <f t="shared" si="138"/>
        <v>0</v>
      </c>
    </row>
    <row r="2335" spans="1:7" hidden="1" x14ac:dyDescent="0.25">
      <c r="A2335" s="43" t="s">
        <v>5256</v>
      </c>
      <c r="B2335" s="81" t="s">
        <v>5248</v>
      </c>
      <c r="C2335" s="26" t="s">
        <v>37</v>
      </c>
      <c r="D2335" s="14"/>
      <c r="E2335" s="15"/>
      <c r="F2335" s="16">
        <f t="shared" si="144"/>
        <v>0</v>
      </c>
      <c r="G2335">
        <f t="shared" si="138"/>
        <v>0</v>
      </c>
    </row>
    <row r="2336" spans="1:7" hidden="1" x14ac:dyDescent="0.25">
      <c r="A2336" s="43" t="s">
        <v>5257</v>
      </c>
      <c r="B2336" s="81" t="s">
        <v>5249</v>
      </c>
      <c r="C2336" s="26" t="s">
        <v>37</v>
      </c>
      <c r="D2336" s="14"/>
      <c r="E2336" s="15"/>
      <c r="F2336" s="16">
        <f t="shared" si="144"/>
        <v>0</v>
      </c>
      <c r="G2336">
        <f t="shared" si="138"/>
        <v>0</v>
      </c>
    </row>
    <row r="2337" spans="1:7" hidden="1" x14ac:dyDescent="0.25">
      <c r="A2337" s="43" t="s">
        <v>5258</v>
      </c>
      <c r="B2337" s="81" t="s">
        <v>5250</v>
      </c>
      <c r="C2337" s="26" t="s">
        <v>37</v>
      </c>
      <c r="D2337" s="14"/>
      <c r="E2337" s="15"/>
      <c r="F2337" s="16">
        <f t="shared" si="144"/>
        <v>0</v>
      </c>
      <c r="G2337">
        <f t="shared" si="138"/>
        <v>0</v>
      </c>
    </row>
    <row r="2338" spans="1:7" hidden="1" x14ac:dyDescent="0.25">
      <c r="A2338" s="43" t="s">
        <v>5259</v>
      </c>
      <c r="B2338" s="81" t="s">
        <v>5251</v>
      </c>
      <c r="C2338" s="26" t="s">
        <v>37</v>
      </c>
      <c r="D2338" s="14"/>
      <c r="E2338" s="15"/>
      <c r="F2338" s="16">
        <f t="shared" si="144"/>
        <v>0</v>
      </c>
      <c r="G2338">
        <f t="shared" si="138"/>
        <v>0</v>
      </c>
    </row>
    <row r="2339" spans="1:7" hidden="1" x14ac:dyDescent="0.25">
      <c r="A2339" s="44" t="s">
        <v>5260</v>
      </c>
      <c r="B2339" s="80" t="s">
        <v>1037</v>
      </c>
      <c r="C2339" s="14"/>
      <c r="D2339" s="14"/>
      <c r="E2339" s="15"/>
      <c r="F2339" s="16"/>
      <c r="G2339">
        <f t="shared" si="138"/>
        <v>0</v>
      </c>
    </row>
    <row r="2340" spans="1:7" hidden="1" x14ac:dyDescent="0.25">
      <c r="A2340" s="44" t="s">
        <v>5261</v>
      </c>
      <c r="B2340" s="80" t="s">
        <v>5262</v>
      </c>
      <c r="C2340" s="14"/>
      <c r="D2340" s="14"/>
      <c r="E2340" s="15"/>
      <c r="F2340" s="16"/>
      <c r="G2340">
        <f t="shared" si="138"/>
        <v>0</v>
      </c>
    </row>
    <row r="2341" spans="1:7" hidden="1" x14ac:dyDescent="0.25">
      <c r="A2341" s="43" t="s">
        <v>5279</v>
      </c>
      <c r="B2341" s="81" t="s">
        <v>5265</v>
      </c>
      <c r="C2341" s="26" t="s">
        <v>37</v>
      </c>
      <c r="D2341" s="14"/>
      <c r="E2341" s="15"/>
      <c r="F2341" s="16">
        <f t="shared" ref="F2341:F2355" si="145">+D2341*E2341</f>
        <v>0</v>
      </c>
      <c r="G2341">
        <f t="shared" si="138"/>
        <v>0</v>
      </c>
    </row>
    <row r="2342" spans="1:7" hidden="1" x14ac:dyDescent="0.25">
      <c r="A2342" s="43" t="s">
        <v>5280</v>
      </c>
      <c r="B2342" s="81" t="s">
        <v>1040</v>
      </c>
      <c r="C2342" s="26" t="s">
        <v>37</v>
      </c>
      <c r="D2342" s="14"/>
      <c r="E2342" s="15"/>
      <c r="F2342" s="16">
        <f t="shared" si="145"/>
        <v>0</v>
      </c>
      <c r="G2342">
        <f t="shared" ref="G2342:G2405" si="146">+IF(F2342&lt;&gt;0,1,0)</f>
        <v>0</v>
      </c>
    </row>
    <row r="2343" spans="1:7" hidden="1" x14ac:dyDescent="0.25">
      <c r="A2343" s="43" t="s">
        <v>5281</v>
      </c>
      <c r="B2343" s="81" t="s">
        <v>1042</v>
      </c>
      <c r="C2343" s="26" t="s">
        <v>37</v>
      </c>
      <c r="D2343" s="14"/>
      <c r="E2343" s="15"/>
      <c r="F2343" s="16">
        <f t="shared" si="145"/>
        <v>0</v>
      </c>
      <c r="G2343">
        <f t="shared" si="146"/>
        <v>0</v>
      </c>
    </row>
    <row r="2344" spans="1:7" hidden="1" x14ac:dyDescent="0.25">
      <c r="A2344" s="43" t="s">
        <v>5282</v>
      </c>
      <c r="B2344" s="81" t="s">
        <v>5266</v>
      </c>
      <c r="C2344" s="26" t="s">
        <v>37</v>
      </c>
      <c r="D2344" s="14"/>
      <c r="E2344" s="15"/>
      <c r="F2344" s="16">
        <f t="shared" si="145"/>
        <v>0</v>
      </c>
      <c r="G2344">
        <f t="shared" si="146"/>
        <v>0</v>
      </c>
    </row>
    <row r="2345" spans="1:7" hidden="1" x14ac:dyDescent="0.25">
      <c r="A2345" s="43" t="s">
        <v>5283</v>
      </c>
      <c r="B2345" s="81" t="s">
        <v>1044</v>
      </c>
      <c r="C2345" s="26" t="s">
        <v>37</v>
      </c>
      <c r="D2345" s="14"/>
      <c r="E2345" s="15"/>
      <c r="F2345" s="16">
        <f t="shared" si="145"/>
        <v>0</v>
      </c>
      <c r="G2345">
        <f t="shared" si="146"/>
        <v>0</v>
      </c>
    </row>
    <row r="2346" spans="1:7" hidden="1" x14ac:dyDescent="0.25">
      <c r="A2346" s="43" t="s">
        <v>5284</v>
      </c>
      <c r="B2346" s="81" t="s">
        <v>5269</v>
      </c>
      <c r="C2346" s="26" t="s">
        <v>37</v>
      </c>
      <c r="D2346" s="14"/>
      <c r="E2346" s="15"/>
      <c r="F2346" s="16">
        <f t="shared" si="145"/>
        <v>0</v>
      </c>
      <c r="G2346">
        <f t="shared" si="146"/>
        <v>0</v>
      </c>
    </row>
    <row r="2347" spans="1:7" hidden="1" x14ac:dyDescent="0.25">
      <c r="A2347" s="43" t="s">
        <v>5285</v>
      </c>
      <c r="B2347" s="81" t="s">
        <v>5270</v>
      </c>
      <c r="C2347" s="26" t="s">
        <v>37</v>
      </c>
      <c r="D2347" s="14"/>
      <c r="E2347" s="15"/>
      <c r="F2347" s="16">
        <f t="shared" si="145"/>
        <v>0</v>
      </c>
      <c r="G2347">
        <f t="shared" si="146"/>
        <v>0</v>
      </c>
    </row>
    <row r="2348" spans="1:7" hidden="1" x14ac:dyDescent="0.25">
      <c r="A2348" s="43" t="s">
        <v>5286</v>
      </c>
      <c r="B2348" s="81" t="s">
        <v>5271</v>
      </c>
      <c r="C2348" s="26" t="s">
        <v>37</v>
      </c>
      <c r="D2348" s="14"/>
      <c r="E2348" s="15"/>
      <c r="F2348" s="16">
        <f t="shared" si="145"/>
        <v>0</v>
      </c>
      <c r="G2348">
        <f t="shared" si="146"/>
        <v>0</v>
      </c>
    </row>
    <row r="2349" spans="1:7" hidden="1" x14ac:dyDescent="0.25">
      <c r="A2349" s="43" t="s">
        <v>5287</v>
      </c>
      <c r="B2349" s="81" t="s">
        <v>5272</v>
      </c>
      <c r="C2349" s="26" t="s">
        <v>37</v>
      </c>
      <c r="D2349" s="14"/>
      <c r="E2349" s="15"/>
      <c r="F2349" s="16">
        <f t="shared" si="145"/>
        <v>0</v>
      </c>
      <c r="G2349">
        <f t="shared" si="146"/>
        <v>0</v>
      </c>
    </row>
    <row r="2350" spans="1:7" hidden="1" x14ac:dyDescent="0.25">
      <c r="A2350" s="43" t="s">
        <v>5288</v>
      </c>
      <c r="B2350" s="81" t="s">
        <v>5273</v>
      </c>
      <c r="C2350" s="26" t="s">
        <v>37</v>
      </c>
      <c r="D2350" s="14"/>
      <c r="E2350" s="15"/>
      <c r="F2350" s="16">
        <f t="shared" si="145"/>
        <v>0</v>
      </c>
      <c r="G2350">
        <f t="shared" si="146"/>
        <v>0</v>
      </c>
    </row>
    <row r="2351" spans="1:7" hidden="1" x14ac:dyDescent="0.25">
      <c r="A2351" s="43" t="s">
        <v>5289</v>
      </c>
      <c r="B2351" s="81" t="s">
        <v>5274</v>
      </c>
      <c r="C2351" s="26" t="s">
        <v>37</v>
      </c>
      <c r="D2351" s="14"/>
      <c r="E2351" s="15"/>
      <c r="F2351" s="16">
        <f t="shared" si="145"/>
        <v>0</v>
      </c>
      <c r="G2351">
        <f t="shared" si="146"/>
        <v>0</v>
      </c>
    </row>
    <row r="2352" spans="1:7" hidden="1" x14ac:dyDescent="0.25">
      <c r="A2352" s="43" t="s">
        <v>5290</v>
      </c>
      <c r="B2352" s="81" t="s">
        <v>5275</v>
      </c>
      <c r="C2352" s="26" t="s">
        <v>37</v>
      </c>
      <c r="D2352" s="14"/>
      <c r="E2352" s="15"/>
      <c r="F2352" s="16">
        <f t="shared" si="145"/>
        <v>0</v>
      </c>
      <c r="G2352">
        <f t="shared" si="146"/>
        <v>0</v>
      </c>
    </row>
    <row r="2353" spans="1:7" hidden="1" x14ac:dyDescent="0.25">
      <c r="A2353" s="43" t="s">
        <v>5291</v>
      </c>
      <c r="B2353" s="81" t="s">
        <v>5276</v>
      </c>
      <c r="C2353" s="26" t="s">
        <v>37</v>
      </c>
      <c r="D2353" s="14"/>
      <c r="E2353" s="15"/>
      <c r="F2353" s="16">
        <f t="shared" si="145"/>
        <v>0</v>
      </c>
      <c r="G2353">
        <f t="shared" si="146"/>
        <v>0</v>
      </c>
    </row>
    <row r="2354" spans="1:7" hidden="1" x14ac:dyDescent="0.25">
      <c r="A2354" s="43" t="s">
        <v>5292</v>
      </c>
      <c r="B2354" s="81" t="s">
        <v>5277</v>
      </c>
      <c r="C2354" s="26" t="s">
        <v>37</v>
      </c>
      <c r="D2354" s="14"/>
      <c r="E2354" s="15"/>
      <c r="F2354" s="16">
        <f t="shared" si="145"/>
        <v>0</v>
      </c>
      <c r="G2354">
        <f t="shared" si="146"/>
        <v>0</v>
      </c>
    </row>
    <row r="2355" spans="1:7" hidden="1" x14ac:dyDescent="0.25">
      <c r="A2355" s="43" t="s">
        <v>5293</v>
      </c>
      <c r="B2355" s="81" t="s">
        <v>5278</v>
      </c>
      <c r="C2355" s="26" t="s">
        <v>37</v>
      </c>
      <c r="D2355" s="14"/>
      <c r="E2355" s="15"/>
      <c r="F2355" s="16">
        <f t="shared" si="145"/>
        <v>0</v>
      </c>
      <c r="G2355">
        <f t="shared" si="146"/>
        <v>0</v>
      </c>
    </row>
    <row r="2356" spans="1:7" hidden="1" x14ac:dyDescent="0.25">
      <c r="A2356" s="44" t="s">
        <v>5267</v>
      </c>
      <c r="B2356" s="80" t="s">
        <v>5263</v>
      </c>
      <c r="C2356" s="14"/>
      <c r="D2356" s="14"/>
      <c r="E2356" s="15"/>
      <c r="F2356" s="16"/>
      <c r="G2356">
        <f t="shared" si="146"/>
        <v>0</v>
      </c>
    </row>
    <row r="2357" spans="1:7" hidden="1" x14ac:dyDescent="0.25">
      <c r="A2357" s="43" t="s">
        <v>5309</v>
      </c>
      <c r="B2357" s="81" t="s">
        <v>5294</v>
      </c>
      <c r="C2357" s="26" t="s">
        <v>37</v>
      </c>
      <c r="D2357" s="14"/>
      <c r="E2357" s="15"/>
      <c r="F2357" s="16">
        <f t="shared" ref="F2357:F2371" si="147">+D2357*E2357</f>
        <v>0</v>
      </c>
      <c r="G2357">
        <f t="shared" si="146"/>
        <v>0</v>
      </c>
    </row>
    <row r="2358" spans="1:7" hidden="1" x14ac:dyDescent="0.25">
      <c r="A2358" s="43" t="s">
        <v>1039</v>
      </c>
      <c r="B2358" s="81" t="s">
        <v>5295</v>
      </c>
      <c r="C2358" s="26" t="s">
        <v>37</v>
      </c>
      <c r="D2358" s="14"/>
      <c r="E2358" s="15"/>
      <c r="F2358" s="16">
        <f t="shared" si="147"/>
        <v>0</v>
      </c>
      <c r="G2358">
        <f t="shared" si="146"/>
        <v>0</v>
      </c>
    </row>
    <row r="2359" spans="1:7" hidden="1" x14ac:dyDescent="0.25">
      <c r="A2359" s="43" t="s">
        <v>1041</v>
      </c>
      <c r="B2359" s="81" t="s">
        <v>5296</v>
      </c>
      <c r="C2359" s="26" t="s">
        <v>37</v>
      </c>
      <c r="D2359" s="14"/>
      <c r="E2359" s="15"/>
      <c r="F2359" s="16">
        <f t="shared" si="147"/>
        <v>0</v>
      </c>
      <c r="G2359">
        <f t="shared" si="146"/>
        <v>0</v>
      </c>
    </row>
    <row r="2360" spans="1:7" hidden="1" x14ac:dyDescent="0.25">
      <c r="A2360" s="43" t="s">
        <v>1043</v>
      </c>
      <c r="B2360" s="81" t="s">
        <v>5297</v>
      </c>
      <c r="C2360" s="26" t="s">
        <v>37</v>
      </c>
      <c r="D2360" s="14"/>
      <c r="E2360" s="15"/>
      <c r="F2360" s="16">
        <f t="shared" si="147"/>
        <v>0</v>
      </c>
      <c r="G2360">
        <f t="shared" si="146"/>
        <v>0</v>
      </c>
    </row>
    <row r="2361" spans="1:7" hidden="1" x14ac:dyDescent="0.25">
      <c r="A2361" s="43" t="s">
        <v>5310</v>
      </c>
      <c r="B2361" s="81" t="s">
        <v>5298</v>
      </c>
      <c r="C2361" s="26" t="s">
        <v>37</v>
      </c>
      <c r="D2361" s="14"/>
      <c r="E2361" s="15"/>
      <c r="F2361" s="16">
        <f t="shared" si="147"/>
        <v>0</v>
      </c>
      <c r="G2361">
        <f t="shared" si="146"/>
        <v>0</v>
      </c>
    </row>
    <row r="2362" spans="1:7" hidden="1" x14ac:dyDescent="0.25">
      <c r="A2362" s="43" t="s">
        <v>5311</v>
      </c>
      <c r="B2362" s="81" t="s">
        <v>5299</v>
      </c>
      <c r="C2362" s="26" t="s">
        <v>37</v>
      </c>
      <c r="D2362" s="14"/>
      <c r="E2362" s="15"/>
      <c r="F2362" s="16">
        <f t="shared" si="147"/>
        <v>0</v>
      </c>
      <c r="G2362">
        <f t="shared" si="146"/>
        <v>0</v>
      </c>
    </row>
    <row r="2363" spans="1:7" hidden="1" x14ac:dyDescent="0.25">
      <c r="A2363" s="43" t="s">
        <v>5312</v>
      </c>
      <c r="B2363" s="81" t="s">
        <v>5300</v>
      </c>
      <c r="C2363" s="26" t="s">
        <v>37</v>
      </c>
      <c r="D2363" s="14"/>
      <c r="E2363" s="15"/>
      <c r="F2363" s="16">
        <f t="shared" si="147"/>
        <v>0</v>
      </c>
      <c r="G2363">
        <f t="shared" si="146"/>
        <v>0</v>
      </c>
    </row>
    <row r="2364" spans="1:7" hidden="1" x14ac:dyDescent="0.25">
      <c r="A2364" s="43" t="s">
        <v>5313</v>
      </c>
      <c r="B2364" s="81" t="s">
        <v>5301</v>
      </c>
      <c r="C2364" s="26" t="s">
        <v>37</v>
      </c>
      <c r="D2364" s="14"/>
      <c r="E2364" s="15"/>
      <c r="F2364" s="16">
        <f t="shared" si="147"/>
        <v>0</v>
      </c>
      <c r="G2364">
        <f t="shared" si="146"/>
        <v>0</v>
      </c>
    </row>
    <row r="2365" spans="1:7" hidden="1" x14ac:dyDescent="0.25">
      <c r="A2365" s="43" t="s">
        <v>5314</v>
      </c>
      <c r="B2365" s="81" t="s">
        <v>5302</v>
      </c>
      <c r="C2365" s="26" t="s">
        <v>37</v>
      </c>
      <c r="D2365" s="14"/>
      <c r="E2365" s="15"/>
      <c r="F2365" s="16">
        <f t="shared" si="147"/>
        <v>0</v>
      </c>
      <c r="G2365">
        <f t="shared" si="146"/>
        <v>0</v>
      </c>
    </row>
    <row r="2366" spans="1:7" hidden="1" x14ac:dyDescent="0.25">
      <c r="A2366" s="43" t="s">
        <v>5315</v>
      </c>
      <c r="B2366" s="81" t="s">
        <v>5303</v>
      </c>
      <c r="C2366" s="26" t="s">
        <v>37</v>
      </c>
      <c r="D2366" s="14"/>
      <c r="E2366" s="15"/>
      <c r="F2366" s="16">
        <f t="shared" si="147"/>
        <v>0</v>
      </c>
      <c r="G2366">
        <f t="shared" si="146"/>
        <v>0</v>
      </c>
    </row>
    <row r="2367" spans="1:7" hidden="1" x14ac:dyDescent="0.25">
      <c r="A2367" s="43" t="s">
        <v>5316</v>
      </c>
      <c r="B2367" s="81" t="s">
        <v>5304</v>
      </c>
      <c r="C2367" s="26" t="s">
        <v>37</v>
      </c>
      <c r="D2367" s="14"/>
      <c r="E2367" s="15"/>
      <c r="F2367" s="16">
        <f t="shared" si="147"/>
        <v>0</v>
      </c>
      <c r="G2367">
        <f t="shared" si="146"/>
        <v>0</v>
      </c>
    </row>
    <row r="2368" spans="1:7" hidden="1" x14ac:dyDescent="0.25">
      <c r="A2368" s="43" t="s">
        <v>5317</v>
      </c>
      <c r="B2368" s="81" t="s">
        <v>5305</v>
      </c>
      <c r="C2368" s="26" t="s">
        <v>37</v>
      </c>
      <c r="D2368" s="14"/>
      <c r="E2368" s="15"/>
      <c r="F2368" s="16">
        <f t="shared" si="147"/>
        <v>0</v>
      </c>
      <c r="G2368">
        <f t="shared" si="146"/>
        <v>0</v>
      </c>
    </row>
    <row r="2369" spans="1:7" hidden="1" x14ac:dyDescent="0.25">
      <c r="A2369" s="43" t="s">
        <v>5318</v>
      </c>
      <c r="B2369" s="81" t="s">
        <v>5306</v>
      </c>
      <c r="C2369" s="26" t="s">
        <v>37</v>
      </c>
      <c r="D2369" s="14"/>
      <c r="E2369" s="15"/>
      <c r="F2369" s="16">
        <f t="shared" si="147"/>
        <v>0</v>
      </c>
      <c r="G2369">
        <f t="shared" si="146"/>
        <v>0</v>
      </c>
    </row>
    <row r="2370" spans="1:7" hidden="1" x14ac:dyDescent="0.25">
      <c r="A2370" s="43" t="s">
        <v>5319</v>
      </c>
      <c r="B2370" s="81" t="s">
        <v>5307</v>
      </c>
      <c r="C2370" s="26" t="s">
        <v>37</v>
      </c>
      <c r="D2370" s="14"/>
      <c r="E2370" s="15"/>
      <c r="F2370" s="16">
        <f t="shared" si="147"/>
        <v>0</v>
      </c>
      <c r="G2370">
        <f t="shared" si="146"/>
        <v>0</v>
      </c>
    </row>
    <row r="2371" spans="1:7" hidden="1" x14ac:dyDescent="0.25">
      <c r="A2371" s="43" t="s">
        <v>5320</v>
      </c>
      <c r="B2371" s="81" t="s">
        <v>5308</v>
      </c>
      <c r="C2371" s="26" t="s">
        <v>37</v>
      </c>
      <c r="D2371" s="14"/>
      <c r="E2371" s="15"/>
      <c r="F2371" s="16">
        <f t="shared" si="147"/>
        <v>0</v>
      </c>
      <c r="G2371">
        <f t="shared" si="146"/>
        <v>0</v>
      </c>
    </row>
    <row r="2372" spans="1:7" hidden="1" x14ac:dyDescent="0.25">
      <c r="A2372" s="44" t="s">
        <v>5268</v>
      </c>
      <c r="B2372" s="80" t="s">
        <v>1046</v>
      </c>
      <c r="C2372" s="14"/>
      <c r="D2372" s="14"/>
      <c r="E2372" s="15"/>
      <c r="F2372" s="16"/>
      <c r="G2372">
        <f t="shared" si="146"/>
        <v>0</v>
      </c>
    </row>
    <row r="2373" spans="1:7" hidden="1" x14ac:dyDescent="0.25">
      <c r="A2373" s="43" t="s">
        <v>5324</v>
      </c>
      <c r="B2373" s="81" t="s">
        <v>1047</v>
      </c>
      <c r="C2373" s="14" t="s">
        <v>37</v>
      </c>
      <c r="D2373" s="14"/>
      <c r="E2373" s="15"/>
      <c r="F2373" s="16">
        <f t="shared" ref="F2373:F2383" si="148">+D2373*E2373</f>
        <v>0</v>
      </c>
      <c r="G2373">
        <f t="shared" si="146"/>
        <v>0</v>
      </c>
    </row>
    <row r="2374" spans="1:7" hidden="1" x14ac:dyDescent="0.25">
      <c r="A2374" s="43" t="s">
        <v>5325</v>
      </c>
      <c r="B2374" s="81" t="s">
        <v>5321</v>
      </c>
      <c r="C2374" s="14" t="s">
        <v>14</v>
      </c>
      <c r="D2374" s="14"/>
      <c r="E2374" s="15"/>
      <c r="F2374" s="16">
        <f t="shared" si="148"/>
        <v>0</v>
      </c>
      <c r="G2374">
        <f t="shared" si="146"/>
        <v>0</v>
      </c>
    </row>
    <row r="2375" spans="1:7" hidden="1" x14ac:dyDescent="0.25">
      <c r="A2375" s="43" t="s">
        <v>5326</v>
      </c>
      <c r="B2375" s="81" t="s">
        <v>1048</v>
      </c>
      <c r="C2375" s="14" t="s">
        <v>14</v>
      </c>
      <c r="D2375" s="14"/>
      <c r="E2375" s="15"/>
      <c r="F2375" s="16">
        <f t="shared" si="148"/>
        <v>0</v>
      </c>
      <c r="G2375">
        <f t="shared" si="146"/>
        <v>0</v>
      </c>
    </row>
    <row r="2376" spans="1:7" hidden="1" x14ac:dyDescent="0.25">
      <c r="A2376" s="43" t="s">
        <v>5327</v>
      </c>
      <c r="B2376" s="81" t="s">
        <v>1049</v>
      </c>
      <c r="C2376" s="14" t="s">
        <v>14</v>
      </c>
      <c r="D2376" s="14"/>
      <c r="E2376" s="15"/>
      <c r="F2376" s="16">
        <f t="shared" si="148"/>
        <v>0</v>
      </c>
      <c r="G2376">
        <f t="shared" si="146"/>
        <v>0</v>
      </c>
    </row>
    <row r="2377" spans="1:7" hidden="1" x14ac:dyDescent="0.25">
      <c r="A2377" s="43" t="s">
        <v>5328</v>
      </c>
      <c r="B2377" s="81" t="s">
        <v>1050</v>
      </c>
      <c r="C2377" s="14" t="s">
        <v>14</v>
      </c>
      <c r="D2377" s="14"/>
      <c r="E2377" s="15"/>
      <c r="F2377" s="16">
        <f t="shared" si="148"/>
        <v>0</v>
      </c>
      <c r="G2377">
        <f t="shared" si="146"/>
        <v>0</v>
      </c>
    </row>
    <row r="2378" spans="1:7" hidden="1" x14ac:dyDescent="0.25">
      <c r="A2378" s="43" t="s">
        <v>5329</v>
      </c>
      <c r="B2378" s="81" t="s">
        <v>1051</v>
      </c>
      <c r="C2378" s="14" t="s">
        <v>37</v>
      </c>
      <c r="D2378" s="14"/>
      <c r="E2378" s="15"/>
      <c r="F2378" s="16">
        <f t="shared" si="148"/>
        <v>0</v>
      </c>
      <c r="G2378">
        <f t="shared" si="146"/>
        <v>0</v>
      </c>
    </row>
    <row r="2379" spans="1:7" hidden="1" x14ac:dyDescent="0.25">
      <c r="A2379" s="43" t="s">
        <v>5330</v>
      </c>
      <c r="B2379" s="81" t="s">
        <v>1052</v>
      </c>
      <c r="C2379" s="14" t="s">
        <v>37</v>
      </c>
      <c r="D2379" s="14"/>
      <c r="E2379" s="15"/>
      <c r="F2379" s="16">
        <f t="shared" si="148"/>
        <v>0</v>
      </c>
      <c r="G2379">
        <f t="shared" si="146"/>
        <v>0</v>
      </c>
    </row>
    <row r="2380" spans="1:7" hidden="1" x14ac:dyDescent="0.25">
      <c r="A2380" s="43" t="s">
        <v>5331</v>
      </c>
      <c r="B2380" s="81" t="s">
        <v>5323</v>
      </c>
      <c r="C2380" s="14" t="s">
        <v>37</v>
      </c>
      <c r="D2380" s="14"/>
      <c r="E2380" s="15"/>
      <c r="F2380" s="16">
        <f t="shared" si="148"/>
        <v>0</v>
      </c>
      <c r="G2380">
        <f t="shared" si="146"/>
        <v>0</v>
      </c>
    </row>
    <row r="2381" spans="1:7" hidden="1" x14ac:dyDescent="0.25">
      <c r="A2381" s="43" t="s">
        <v>5332</v>
      </c>
      <c r="B2381" s="81" t="s">
        <v>5264</v>
      </c>
      <c r="C2381" s="14" t="s">
        <v>37</v>
      </c>
      <c r="D2381" s="14"/>
      <c r="E2381" s="15"/>
      <c r="F2381" s="16">
        <f t="shared" si="148"/>
        <v>0</v>
      </c>
      <c r="G2381">
        <f t="shared" si="146"/>
        <v>0</v>
      </c>
    </row>
    <row r="2382" spans="1:7" hidden="1" x14ac:dyDescent="0.25">
      <c r="A2382" s="43" t="s">
        <v>5333</v>
      </c>
      <c r="B2382" s="81" t="s">
        <v>1053</v>
      </c>
      <c r="C2382" s="14" t="s">
        <v>37</v>
      </c>
      <c r="D2382" s="14"/>
      <c r="E2382" s="15"/>
      <c r="F2382" s="16">
        <f t="shared" si="148"/>
        <v>0</v>
      </c>
      <c r="G2382">
        <f t="shared" si="146"/>
        <v>0</v>
      </c>
    </row>
    <row r="2383" spans="1:7" hidden="1" x14ac:dyDescent="0.25">
      <c r="A2383" s="43" t="s">
        <v>5334</v>
      </c>
      <c r="B2383" s="81" t="s">
        <v>5322</v>
      </c>
      <c r="C2383" s="14" t="s">
        <v>37</v>
      </c>
      <c r="D2383" s="14"/>
      <c r="E2383" s="15"/>
      <c r="F2383" s="16">
        <f t="shared" si="148"/>
        <v>0</v>
      </c>
      <c r="G2383">
        <f t="shared" si="146"/>
        <v>0</v>
      </c>
    </row>
    <row r="2384" spans="1:7" hidden="1" x14ac:dyDescent="0.25">
      <c r="A2384" s="44" t="s">
        <v>1061</v>
      </c>
      <c r="B2384" s="80" t="s">
        <v>5335</v>
      </c>
      <c r="C2384" s="14"/>
      <c r="D2384" s="14"/>
      <c r="E2384" s="15"/>
      <c r="F2384" s="16"/>
      <c r="G2384">
        <f t="shared" si="146"/>
        <v>0</v>
      </c>
    </row>
    <row r="2385" spans="1:7" hidden="1" x14ac:dyDescent="0.25">
      <c r="A2385" s="43" t="s">
        <v>1062</v>
      </c>
      <c r="B2385" s="81" t="s">
        <v>5369</v>
      </c>
      <c r="C2385" s="26" t="s">
        <v>37</v>
      </c>
      <c r="D2385" s="14"/>
      <c r="E2385" s="15"/>
      <c r="F2385" s="16">
        <f t="shared" ref="F2385:F2396" si="149">+D2385*E2385</f>
        <v>0</v>
      </c>
      <c r="G2385">
        <f t="shared" si="146"/>
        <v>0</v>
      </c>
    </row>
    <row r="2386" spans="1:7" hidden="1" x14ac:dyDescent="0.25">
      <c r="A2386" s="43" t="s">
        <v>1063</v>
      </c>
      <c r="B2386" s="81" t="s">
        <v>5336</v>
      </c>
      <c r="C2386" s="26" t="s">
        <v>37</v>
      </c>
      <c r="D2386" s="14"/>
      <c r="E2386" s="15"/>
      <c r="F2386" s="16">
        <f t="shared" si="149"/>
        <v>0</v>
      </c>
      <c r="G2386">
        <f t="shared" si="146"/>
        <v>0</v>
      </c>
    </row>
    <row r="2387" spans="1:7" hidden="1" x14ac:dyDescent="0.25">
      <c r="A2387" s="43" t="s">
        <v>5343</v>
      </c>
      <c r="B2387" s="81" t="s">
        <v>5337</v>
      </c>
      <c r="C2387" s="26" t="s">
        <v>37</v>
      </c>
      <c r="D2387" s="14"/>
      <c r="E2387" s="15"/>
      <c r="F2387" s="16">
        <f t="shared" si="149"/>
        <v>0</v>
      </c>
      <c r="G2387">
        <f t="shared" si="146"/>
        <v>0</v>
      </c>
    </row>
    <row r="2388" spans="1:7" hidden="1" x14ac:dyDescent="0.25">
      <c r="A2388" s="43" t="s">
        <v>5344</v>
      </c>
      <c r="B2388" s="81" t="s">
        <v>5338</v>
      </c>
      <c r="C2388" s="26" t="s">
        <v>37</v>
      </c>
      <c r="D2388" s="14"/>
      <c r="E2388" s="15"/>
      <c r="F2388" s="16">
        <f t="shared" si="149"/>
        <v>0</v>
      </c>
      <c r="G2388">
        <f t="shared" si="146"/>
        <v>0</v>
      </c>
    </row>
    <row r="2389" spans="1:7" hidden="1" x14ac:dyDescent="0.25">
      <c r="A2389" s="43" t="s">
        <v>5345</v>
      </c>
      <c r="B2389" s="81" t="s">
        <v>5339</v>
      </c>
      <c r="C2389" s="26" t="s">
        <v>37</v>
      </c>
      <c r="D2389" s="14"/>
      <c r="E2389" s="15"/>
      <c r="F2389" s="16">
        <f t="shared" si="149"/>
        <v>0</v>
      </c>
      <c r="G2389">
        <f t="shared" si="146"/>
        <v>0</v>
      </c>
    </row>
    <row r="2390" spans="1:7" hidden="1" x14ac:dyDescent="0.25">
      <c r="A2390" s="43" t="s">
        <v>5346</v>
      </c>
      <c r="B2390" s="81" t="s">
        <v>5340</v>
      </c>
      <c r="C2390" s="26" t="s">
        <v>37</v>
      </c>
      <c r="D2390" s="14"/>
      <c r="E2390" s="15"/>
      <c r="F2390" s="16">
        <f t="shared" si="149"/>
        <v>0</v>
      </c>
      <c r="G2390">
        <f t="shared" si="146"/>
        <v>0</v>
      </c>
    </row>
    <row r="2391" spans="1:7" hidden="1" x14ac:dyDescent="0.25">
      <c r="A2391" s="43" t="s">
        <v>5347</v>
      </c>
      <c r="B2391" s="81" t="s">
        <v>5341</v>
      </c>
      <c r="C2391" s="26" t="s">
        <v>37</v>
      </c>
      <c r="D2391" s="14"/>
      <c r="E2391" s="15"/>
      <c r="F2391" s="16">
        <f t="shared" si="149"/>
        <v>0</v>
      </c>
      <c r="G2391">
        <f t="shared" si="146"/>
        <v>0</v>
      </c>
    </row>
    <row r="2392" spans="1:7" hidden="1" x14ac:dyDescent="0.25">
      <c r="A2392" s="43" t="s">
        <v>5374</v>
      </c>
      <c r="B2392" s="81" t="s">
        <v>5342</v>
      </c>
      <c r="C2392" s="26" t="s">
        <v>37</v>
      </c>
      <c r="D2392" s="14"/>
      <c r="E2392" s="15"/>
      <c r="F2392" s="16">
        <f t="shared" si="149"/>
        <v>0</v>
      </c>
      <c r="G2392">
        <f t="shared" si="146"/>
        <v>0</v>
      </c>
    </row>
    <row r="2393" spans="1:7" hidden="1" x14ac:dyDescent="0.25">
      <c r="A2393" s="43" t="s">
        <v>5375</v>
      </c>
      <c r="B2393" s="81" t="s">
        <v>5370</v>
      </c>
      <c r="C2393" s="26" t="s">
        <v>37</v>
      </c>
      <c r="D2393" s="14"/>
      <c r="E2393" s="15"/>
      <c r="F2393" s="16">
        <f t="shared" si="149"/>
        <v>0</v>
      </c>
      <c r="G2393">
        <f t="shared" si="146"/>
        <v>0</v>
      </c>
    </row>
    <row r="2394" spans="1:7" hidden="1" x14ac:dyDescent="0.25">
      <c r="A2394" s="43" t="s">
        <v>5376</v>
      </c>
      <c r="B2394" s="81" t="s">
        <v>5371</v>
      </c>
      <c r="C2394" s="26" t="s">
        <v>37</v>
      </c>
      <c r="D2394" s="14"/>
      <c r="E2394" s="15"/>
      <c r="F2394" s="16">
        <f t="shared" si="149"/>
        <v>0</v>
      </c>
      <c r="G2394">
        <f t="shared" si="146"/>
        <v>0</v>
      </c>
    </row>
    <row r="2395" spans="1:7" hidden="1" x14ac:dyDescent="0.25">
      <c r="A2395" s="43" t="s">
        <v>5377</v>
      </c>
      <c r="B2395" s="81" t="s">
        <v>5372</v>
      </c>
      <c r="C2395" s="26" t="s">
        <v>37</v>
      </c>
      <c r="D2395" s="14"/>
      <c r="E2395" s="15"/>
      <c r="F2395" s="16">
        <f t="shared" si="149"/>
        <v>0</v>
      </c>
      <c r="G2395">
        <f t="shared" si="146"/>
        <v>0</v>
      </c>
    </row>
    <row r="2396" spans="1:7" hidden="1" x14ac:dyDescent="0.25">
      <c r="A2396" s="43" t="s">
        <v>5378</v>
      </c>
      <c r="B2396" s="81" t="s">
        <v>5373</v>
      </c>
      <c r="C2396" s="26" t="s">
        <v>37</v>
      </c>
      <c r="D2396" s="14"/>
      <c r="E2396" s="15"/>
      <c r="F2396" s="16">
        <f t="shared" si="149"/>
        <v>0</v>
      </c>
      <c r="G2396">
        <f t="shared" si="146"/>
        <v>0</v>
      </c>
    </row>
    <row r="2397" spans="1:7" hidden="1" x14ac:dyDescent="0.25">
      <c r="A2397" s="44" t="s">
        <v>5348</v>
      </c>
      <c r="B2397" s="80" t="s">
        <v>563</v>
      </c>
      <c r="C2397" s="14"/>
      <c r="D2397" s="14"/>
      <c r="E2397" s="15"/>
      <c r="F2397" s="16"/>
      <c r="G2397">
        <f t="shared" si="146"/>
        <v>0</v>
      </c>
    </row>
    <row r="2398" spans="1:7" hidden="1" x14ac:dyDescent="0.25">
      <c r="A2398" s="44" t="s">
        <v>5349</v>
      </c>
      <c r="B2398" s="80" t="s">
        <v>5350</v>
      </c>
      <c r="C2398" s="14"/>
      <c r="D2398" s="14"/>
      <c r="E2398" s="15"/>
      <c r="F2398" s="16"/>
      <c r="G2398">
        <f t="shared" si="146"/>
        <v>0</v>
      </c>
    </row>
    <row r="2399" spans="1:7" hidden="1" x14ac:dyDescent="0.25">
      <c r="A2399" s="43" t="s">
        <v>5356</v>
      </c>
      <c r="B2399" s="81" t="s">
        <v>5351</v>
      </c>
      <c r="C2399" s="14" t="s">
        <v>37</v>
      </c>
      <c r="D2399" s="14"/>
      <c r="E2399" s="15"/>
      <c r="F2399" s="16">
        <f>+D2399*E2399</f>
        <v>0</v>
      </c>
      <c r="G2399">
        <f t="shared" si="146"/>
        <v>0</v>
      </c>
    </row>
    <row r="2400" spans="1:7" hidden="1" x14ac:dyDescent="0.25">
      <c r="A2400" s="43" t="s">
        <v>5357</v>
      </c>
      <c r="B2400" s="81" t="s">
        <v>5352</v>
      </c>
      <c r="C2400" s="14" t="s">
        <v>37</v>
      </c>
      <c r="D2400" s="14"/>
      <c r="E2400" s="15"/>
      <c r="F2400" s="16">
        <f>+D2400*E2400</f>
        <v>0</v>
      </c>
      <c r="G2400">
        <f t="shared" si="146"/>
        <v>0</v>
      </c>
    </row>
    <row r="2401" spans="1:7" hidden="1" x14ac:dyDescent="0.25">
      <c r="A2401" s="43" t="s">
        <v>5358</v>
      </c>
      <c r="B2401" s="81" t="s">
        <v>5353</v>
      </c>
      <c r="C2401" s="14" t="s">
        <v>37</v>
      </c>
      <c r="D2401" s="14"/>
      <c r="E2401" s="15"/>
      <c r="F2401" s="16">
        <f>+D2401*E2401</f>
        <v>0</v>
      </c>
      <c r="G2401">
        <f t="shared" si="146"/>
        <v>0</v>
      </c>
    </row>
    <row r="2402" spans="1:7" hidden="1" x14ac:dyDescent="0.25">
      <c r="A2402" s="43" t="s">
        <v>5359</v>
      </c>
      <c r="B2402" s="81" t="s">
        <v>5354</v>
      </c>
      <c r="C2402" s="14" t="s">
        <v>37</v>
      </c>
      <c r="D2402" s="14"/>
      <c r="E2402" s="15"/>
      <c r="F2402" s="16">
        <f>+D2402*E2402</f>
        <v>0</v>
      </c>
      <c r="G2402">
        <f t="shared" si="146"/>
        <v>0</v>
      </c>
    </row>
    <row r="2403" spans="1:7" hidden="1" x14ac:dyDescent="0.25">
      <c r="A2403" s="43" t="s">
        <v>5360</v>
      </c>
      <c r="B2403" s="81" t="s">
        <v>5355</v>
      </c>
      <c r="C2403" s="14" t="s">
        <v>37</v>
      </c>
      <c r="D2403" s="14"/>
      <c r="E2403" s="15"/>
      <c r="F2403" s="16">
        <f>+D2403*E2403</f>
        <v>0</v>
      </c>
      <c r="G2403">
        <f t="shared" si="146"/>
        <v>0</v>
      </c>
    </row>
    <row r="2404" spans="1:7" hidden="1" x14ac:dyDescent="0.25">
      <c r="A2404" s="44" t="s">
        <v>5349</v>
      </c>
      <c r="B2404" s="80" t="s">
        <v>5361</v>
      </c>
      <c r="C2404" s="14"/>
      <c r="D2404" s="14"/>
      <c r="E2404" s="15"/>
      <c r="F2404" s="16"/>
      <c r="G2404">
        <f t="shared" si="146"/>
        <v>0</v>
      </c>
    </row>
    <row r="2405" spans="1:7" hidden="1" x14ac:dyDescent="0.25">
      <c r="A2405" s="43" t="s">
        <v>5363</v>
      </c>
      <c r="B2405" s="81" t="s">
        <v>5351</v>
      </c>
      <c r="C2405" s="14" t="s">
        <v>37</v>
      </c>
      <c r="D2405" s="14"/>
      <c r="E2405" s="15"/>
      <c r="F2405" s="16">
        <f>+D2405*E2405</f>
        <v>0</v>
      </c>
      <c r="G2405">
        <f t="shared" si="146"/>
        <v>0</v>
      </c>
    </row>
    <row r="2406" spans="1:7" hidden="1" x14ac:dyDescent="0.25">
      <c r="A2406" s="43" t="s">
        <v>5364</v>
      </c>
      <c r="B2406" s="81" t="s">
        <v>5352</v>
      </c>
      <c r="C2406" s="14" t="s">
        <v>37</v>
      </c>
      <c r="D2406" s="14"/>
      <c r="E2406" s="15"/>
      <c r="F2406" s="16">
        <f>+D2406*E2406</f>
        <v>0</v>
      </c>
      <c r="G2406">
        <f t="shared" ref="G2406:G2428" si="150">+IF(F2406&lt;&gt;0,1,0)</f>
        <v>0</v>
      </c>
    </row>
    <row r="2407" spans="1:7" hidden="1" x14ac:dyDescent="0.25">
      <c r="A2407" s="43" t="s">
        <v>5365</v>
      </c>
      <c r="B2407" s="81" t="s">
        <v>5353</v>
      </c>
      <c r="C2407" s="14" t="s">
        <v>37</v>
      </c>
      <c r="D2407" s="14"/>
      <c r="E2407" s="15"/>
      <c r="F2407" s="16">
        <f>+D2407*E2407</f>
        <v>0</v>
      </c>
      <c r="G2407">
        <f t="shared" si="150"/>
        <v>0</v>
      </c>
    </row>
    <row r="2408" spans="1:7" hidden="1" x14ac:dyDescent="0.25">
      <c r="A2408" s="43" t="s">
        <v>4659</v>
      </c>
      <c r="B2408" s="80" t="s">
        <v>5362</v>
      </c>
      <c r="C2408" s="14"/>
      <c r="D2408" s="14"/>
      <c r="E2408" s="15"/>
      <c r="F2408" s="16"/>
      <c r="G2408">
        <f t="shared" si="150"/>
        <v>0</v>
      </c>
    </row>
    <row r="2409" spans="1:7" hidden="1" x14ac:dyDescent="0.25">
      <c r="A2409" s="43" t="s">
        <v>5366</v>
      </c>
      <c r="B2409" s="81" t="s">
        <v>5351</v>
      </c>
      <c r="C2409" s="14" t="s">
        <v>37</v>
      </c>
      <c r="D2409" s="14"/>
      <c r="E2409" s="15"/>
      <c r="F2409" s="16">
        <f>+D2409*E2409</f>
        <v>0</v>
      </c>
      <c r="G2409">
        <f t="shared" si="150"/>
        <v>0</v>
      </c>
    </row>
    <row r="2410" spans="1:7" hidden="1" x14ac:dyDescent="0.25">
      <c r="A2410" s="43" t="s">
        <v>5367</v>
      </c>
      <c r="B2410" s="81" t="s">
        <v>5352</v>
      </c>
      <c r="C2410" s="14" t="s">
        <v>37</v>
      </c>
      <c r="D2410" s="14"/>
      <c r="E2410" s="15"/>
      <c r="F2410" s="16">
        <f>+D2410*E2410</f>
        <v>0</v>
      </c>
      <c r="G2410">
        <f t="shared" si="150"/>
        <v>0</v>
      </c>
    </row>
    <row r="2411" spans="1:7" hidden="1" x14ac:dyDescent="0.25">
      <c r="A2411" s="43" t="s">
        <v>5368</v>
      </c>
      <c r="B2411" s="81" t="s">
        <v>5353</v>
      </c>
      <c r="C2411" s="14" t="s">
        <v>37</v>
      </c>
      <c r="D2411" s="14"/>
      <c r="E2411" s="15"/>
      <c r="F2411" s="16">
        <f>+D2411*E2411</f>
        <v>0</v>
      </c>
      <c r="G2411">
        <f t="shared" si="150"/>
        <v>0</v>
      </c>
    </row>
    <row r="2412" spans="1:7" hidden="1" x14ac:dyDescent="0.25">
      <c r="A2412" s="306" t="s">
        <v>5387</v>
      </c>
      <c r="B2412" s="307" t="s">
        <v>4723</v>
      </c>
      <c r="C2412" s="308"/>
      <c r="D2412" s="14"/>
      <c r="E2412" s="15"/>
      <c r="F2412" s="16"/>
      <c r="G2412">
        <f t="shared" si="150"/>
        <v>0</v>
      </c>
    </row>
    <row r="2413" spans="1:7" hidden="1" x14ac:dyDescent="0.25">
      <c r="A2413" s="313" t="s">
        <v>5389</v>
      </c>
      <c r="B2413" s="123" t="s">
        <v>4725</v>
      </c>
      <c r="C2413" s="308" t="s">
        <v>37</v>
      </c>
      <c r="D2413" s="14"/>
      <c r="E2413" s="15"/>
      <c r="F2413" s="16"/>
      <c r="G2413">
        <f t="shared" si="150"/>
        <v>0</v>
      </c>
    </row>
    <row r="2414" spans="1:7" hidden="1" x14ac:dyDescent="0.25">
      <c r="A2414" s="313" t="s">
        <v>5717</v>
      </c>
      <c r="B2414" s="123" t="s">
        <v>4724</v>
      </c>
      <c r="C2414" s="308" t="s">
        <v>37</v>
      </c>
      <c r="D2414" s="14"/>
      <c r="E2414" s="15"/>
      <c r="F2414" s="16"/>
      <c r="G2414">
        <f t="shared" si="150"/>
        <v>0</v>
      </c>
    </row>
    <row r="2415" spans="1:7" hidden="1" x14ac:dyDescent="0.25">
      <c r="A2415" s="313" t="s">
        <v>5718</v>
      </c>
      <c r="B2415" s="123" t="s">
        <v>4726</v>
      </c>
      <c r="C2415" s="308" t="s">
        <v>37</v>
      </c>
      <c r="D2415" s="14"/>
      <c r="E2415" s="15"/>
      <c r="F2415" s="16"/>
      <c r="G2415">
        <f t="shared" si="150"/>
        <v>0</v>
      </c>
    </row>
    <row r="2416" spans="1:7" hidden="1" x14ac:dyDescent="0.25">
      <c r="A2416" s="313" t="s">
        <v>5719</v>
      </c>
      <c r="B2416" s="123" t="s">
        <v>4727</v>
      </c>
      <c r="C2416" s="308" t="s">
        <v>37</v>
      </c>
      <c r="D2416" s="14"/>
      <c r="E2416" s="15"/>
      <c r="F2416" s="16"/>
      <c r="G2416">
        <f t="shared" si="150"/>
        <v>0</v>
      </c>
    </row>
    <row r="2417" spans="1:7" hidden="1" x14ac:dyDescent="0.25">
      <c r="A2417" s="313" t="s">
        <v>5720</v>
      </c>
      <c r="B2417" s="123" t="s">
        <v>4728</v>
      </c>
      <c r="C2417" s="308" t="s">
        <v>37</v>
      </c>
      <c r="D2417" s="14"/>
      <c r="E2417" s="15"/>
      <c r="F2417" s="16"/>
      <c r="G2417">
        <f t="shared" si="150"/>
        <v>0</v>
      </c>
    </row>
    <row r="2418" spans="1:7" hidden="1" x14ac:dyDescent="0.25">
      <c r="A2418" s="313" t="s">
        <v>5721</v>
      </c>
      <c r="B2418" s="123" t="s">
        <v>4729</v>
      </c>
      <c r="C2418" s="308" t="s">
        <v>37</v>
      </c>
      <c r="D2418" s="14"/>
      <c r="E2418" s="15"/>
      <c r="F2418" s="16"/>
      <c r="G2418">
        <f t="shared" si="150"/>
        <v>0</v>
      </c>
    </row>
    <row r="2419" spans="1:7" hidden="1" x14ac:dyDescent="0.25">
      <c r="A2419" s="313" t="s">
        <v>5722</v>
      </c>
      <c r="B2419" s="123" t="s">
        <v>4730</v>
      </c>
      <c r="C2419" s="308" t="s">
        <v>37</v>
      </c>
      <c r="D2419" s="14"/>
      <c r="E2419" s="15"/>
      <c r="F2419" s="16"/>
      <c r="G2419">
        <f t="shared" si="150"/>
        <v>0</v>
      </c>
    </row>
    <row r="2420" spans="1:7" x14ac:dyDescent="0.25">
      <c r="A2420" s="44" t="s">
        <v>5723</v>
      </c>
      <c r="B2420" s="80" t="s">
        <v>5388</v>
      </c>
      <c r="C2420" s="14"/>
      <c r="D2420" s="14"/>
      <c r="E2420" s="15"/>
      <c r="F2420" s="16"/>
      <c r="G2420">
        <v>1</v>
      </c>
    </row>
    <row r="2421" spans="1:7" ht="15.75" thickBot="1" x14ac:dyDescent="0.3">
      <c r="A2421" s="43" t="s">
        <v>5724</v>
      </c>
      <c r="B2421" s="81" t="s">
        <v>6379</v>
      </c>
      <c r="C2421" s="14" t="s">
        <v>37</v>
      </c>
      <c r="D2421" s="14">
        <v>428</v>
      </c>
      <c r="E2421" s="15">
        <f>+SUM!H2419</f>
        <v>913859</v>
      </c>
      <c r="F2421" s="16">
        <f t="shared" ref="F2421:F2426" si="151">+D2421*E2421</f>
        <v>391131652</v>
      </c>
      <c r="G2421">
        <f t="shared" si="150"/>
        <v>1</v>
      </c>
    </row>
    <row r="2422" spans="1:7" ht="15.75" hidden="1" thickBot="1" x14ac:dyDescent="0.3">
      <c r="A2422" s="43" t="s">
        <v>6417</v>
      </c>
      <c r="B2422" s="81" t="s">
        <v>6416</v>
      </c>
      <c r="C2422" s="14" t="s">
        <v>37</v>
      </c>
      <c r="D2422" s="14">
        <v>900</v>
      </c>
      <c r="E2422" s="15"/>
      <c r="F2422" s="16">
        <f t="shared" si="151"/>
        <v>0</v>
      </c>
      <c r="G2422">
        <f t="shared" si="150"/>
        <v>0</v>
      </c>
    </row>
    <row r="2423" spans="1:7" ht="15.75" hidden="1" thickBot="1" x14ac:dyDescent="0.3">
      <c r="A2423" s="43" t="s">
        <v>6418</v>
      </c>
      <c r="B2423" s="81" t="s">
        <v>6416</v>
      </c>
      <c r="C2423" s="14" t="s">
        <v>37</v>
      </c>
      <c r="D2423" s="14">
        <v>912</v>
      </c>
      <c r="E2423" s="15"/>
      <c r="F2423" s="16">
        <f t="shared" si="151"/>
        <v>0</v>
      </c>
      <c r="G2423">
        <f t="shared" si="150"/>
        <v>0</v>
      </c>
    </row>
    <row r="2424" spans="1:7" ht="15.75" hidden="1" thickBot="1" x14ac:dyDescent="0.3">
      <c r="A2424" s="43" t="s">
        <v>5727</v>
      </c>
      <c r="B2424" s="81" t="s">
        <v>5392</v>
      </c>
      <c r="C2424" s="14" t="s">
        <v>37</v>
      </c>
      <c r="D2424" s="14"/>
      <c r="E2424" s="15"/>
      <c r="F2424" s="16">
        <f t="shared" si="151"/>
        <v>0</v>
      </c>
      <c r="G2424">
        <f t="shared" si="150"/>
        <v>0</v>
      </c>
    </row>
    <row r="2425" spans="1:7" ht="15.75" hidden="1" thickBot="1" x14ac:dyDescent="0.3">
      <c r="A2425" s="43" t="s">
        <v>5728</v>
      </c>
      <c r="B2425" s="81" t="s">
        <v>5393</v>
      </c>
      <c r="C2425" s="14" t="s">
        <v>37</v>
      </c>
      <c r="D2425" s="14"/>
      <c r="E2425" s="15"/>
      <c r="F2425" s="16">
        <f t="shared" si="151"/>
        <v>0</v>
      </c>
      <c r="G2425">
        <f t="shared" si="150"/>
        <v>0</v>
      </c>
    </row>
    <row r="2426" spans="1:7" ht="15.75" hidden="1" thickBot="1" x14ac:dyDescent="0.3">
      <c r="A2426" s="43" t="s">
        <v>5729</v>
      </c>
      <c r="B2426" s="81" t="s">
        <v>5394</v>
      </c>
      <c r="C2426" s="14" t="s">
        <v>37</v>
      </c>
      <c r="D2426" s="14"/>
      <c r="E2426" s="15"/>
      <c r="F2426" s="16">
        <f t="shared" si="151"/>
        <v>0</v>
      </c>
      <c r="G2426">
        <f t="shared" si="150"/>
        <v>0</v>
      </c>
    </row>
    <row r="2427" spans="1:7" ht="15.75" hidden="1" thickBot="1" x14ac:dyDescent="0.3">
      <c r="G2427">
        <f t="shared" si="150"/>
        <v>0</v>
      </c>
    </row>
    <row r="2428" spans="1:7" ht="15.75" thickBot="1" x14ac:dyDescent="0.3">
      <c r="B2428" s="2458" t="s">
        <v>5396</v>
      </c>
      <c r="C2428" s="2458"/>
      <c r="D2428" s="2458"/>
      <c r="E2428" s="2459"/>
      <c r="F2428" s="34">
        <f>SUM(F9:F2426)</f>
        <v>1636011285</v>
      </c>
      <c r="G2428">
        <f t="shared" si="150"/>
        <v>1</v>
      </c>
    </row>
  </sheetData>
  <autoFilter ref="A7:G2428">
    <filterColumn colId="6">
      <filters>
        <filter val="1"/>
      </filters>
    </filterColumn>
  </autoFilter>
  <mergeCells count="5">
    <mergeCell ref="A1:F1"/>
    <mergeCell ref="A2:F2"/>
    <mergeCell ref="A4:F4"/>
    <mergeCell ref="A5:F5"/>
    <mergeCell ref="B2428:E2428"/>
  </mergeCells>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G606"/>
  <sheetViews>
    <sheetView workbookViewId="0">
      <selection sqref="A1:F1"/>
    </sheetView>
  </sheetViews>
  <sheetFormatPr baseColWidth="10" defaultRowHeight="15" x14ac:dyDescent="0.25"/>
  <cols>
    <col min="2" max="2" width="51.5703125" customWidth="1"/>
    <col min="3" max="3" width="8.42578125" customWidth="1"/>
    <col min="5" max="5" width="12.42578125" bestFit="1" customWidth="1"/>
    <col min="6" max="6" width="22.140625" customWidth="1"/>
  </cols>
  <sheetData>
    <row r="1" spans="1:7" ht="18.75" x14ac:dyDescent="0.25">
      <c r="A1" s="2462" t="s">
        <v>0</v>
      </c>
      <c r="B1" s="2462"/>
      <c r="C1" s="2462"/>
      <c r="D1" s="2462"/>
      <c r="E1" s="2462"/>
      <c r="F1" s="2462"/>
      <c r="G1" s="1"/>
    </row>
    <row r="2" spans="1:7" ht="18.75" customHeight="1" x14ac:dyDescent="0.25">
      <c r="A2" s="2463" t="s">
        <v>6313</v>
      </c>
      <c r="B2" s="2463"/>
      <c r="C2" s="2463"/>
      <c r="D2" s="2463"/>
      <c r="E2" s="2463"/>
      <c r="F2" s="2463"/>
      <c r="G2" s="1"/>
    </row>
    <row r="3" spans="1:7" ht="15.75" x14ac:dyDescent="0.25">
      <c r="A3" s="2464"/>
      <c r="B3" s="2464"/>
      <c r="C3" s="2464"/>
      <c r="D3" s="2464"/>
      <c r="E3" s="2464"/>
      <c r="F3" s="2464"/>
      <c r="G3" s="1"/>
    </row>
    <row r="4" spans="1:7" ht="15.75" customHeight="1" x14ac:dyDescent="0.25">
      <c r="A4" s="2278" t="s">
        <v>6415</v>
      </c>
      <c r="B4" s="2278"/>
      <c r="C4" s="2278"/>
      <c r="D4" s="2278"/>
      <c r="E4" s="2278"/>
      <c r="F4" s="2278"/>
      <c r="G4" s="1"/>
    </row>
    <row r="5" spans="1:7" ht="15.75" customHeight="1" x14ac:dyDescent="0.25">
      <c r="A5" s="2278" t="s">
        <v>2</v>
      </c>
      <c r="B5" s="2278"/>
      <c r="C5" s="2278"/>
      <c r="D5" s="2278"/>
      <c r="E5" s="2278"/>
      <c r="F5" s="2278"/>
    </row>
    <row r="6" spans="1:7" ht="16.5" thickBot="1" x14ac:dyDescent="0.3">
      <c r="A6" s="599"/>
      <c r="B6" s="599"/>
      <c r="C6" s="599"/>
      <c r="D6" s="599"/>
      <c r="E6" s="599"/>
      <c r="F6" s="599"/>
    </row>
    <row r="7" spans="1:7" ht="15.75" thickBot="1" x14ac:dyDescent="0.3">
      <c r="A7" s="4" t="s">
        <v>3</v>
      </c>
      <c r="B7" s="5" t="s">
        <v>4</v>
      </c>
      <c r="C7" s="5" t="s">
        <v>5</v>
      </c>
      <c r="D7" s="5" t="s">
        <v>6</v>
      </c>
      <c r="E7" s="6" t="s">
        <v>7</v>
      </c>
      <c r="F7" s="7" t="s">
        <v>8</v>
      </c>
      <c r="G7" s="8"/>
    </row>
    <row r="8" spans="1:7" x14ac:dyDescent="0.25">
      <c r="A8" s="316">
        <v>1</v>
      </c>
      <c r="B8" s="317" t="s">
        <v>9</v>
      </c>
      <c r="C8" s="9"/>
      <c r="D8" s="9"/>
      <c r="E8" s="10"/>
      <c r="F8" s="11"/>
      <c r="G8" s="8">
        <v>1</v>
      </c>
    </row>
    <row r="9" spans="1:7" x14ac:dyDescent="0.25">
      <c r="A9" s="12" t="s">
        <v>10</v>
      </c>
      <c r="B9" s="13" t="s">
        <v>11</v>
      </c>
      <c r="C9" s="14"/>
      <c r="D9" s="14"/>
      <c r="E9" s="15"/>
      <c r="F9" s="16"/>
      <c r="G9" s="8">
        <v>1</v>
      </c>
    </row>
    <row r="10" spans="1:7" x14ac:dyDescent="0.25">
      <c r="A10" s="17" t="s">
        <v>12</v>
      </c>
      <c r="B10" s="18" t="s">
        <v>13</v>
      </c>
      <c r="C10" s="14" t="s">
        <v>14</v>
      </c>
      <c r="D10" s="14"/>
      <c r="E10" s="15">
        <f>+'APU CAP 1-2'!H56</f>
        <v>1717</v>
      </c>
      <c r="F10" s="16">
        <f>+D10*E10</f>
        <v>0</v>
      </c>
      <c r="G10" s="8">
        <f>+IF(F10&lt;&gt;0,1,0)</f>
        <v>0</v>
      </c>
    </row>
    <row r="11" spans="1:7" hidden="1" x14ac:dyDescent="0.25">
      <c r="A11" s="17" t="s">
        <v>15</v>
      </c>
      <c r="B11" s="18" t="s">
        <v>16</v>
      </c>
      <c r="C11" s="14" t="s">
        <v>17</v>
      </c>
      <c r="D11" s="14"/>
      <c r="E11" s="15">
        <f>+'APU CAP 1-2'!H110</f>
        <v>2283</v>
      </c>
      <c r="F11" s="16">
        <f>+D11*E11</f>
        <v>0</v>
      </c>
      <c r="G11" s="8">
        <f t="shared" ref="G11:G74" si="0">+IF(F11&lt;&gt;0,1,0)</f>
        <v>0</v>
      </c>
    </row>
    <row r="12" spans="1:7" hidden="1" x14ac:dyDescent="0.25">
      <c r="A12" s="17" t="s">
        <v>5427</v>
      </c>
      <c r="B12" s="18" t="s">
        <v>5624</v>
      </c>
      <c r="C12" s="14" t="s">
        <v>17</v>
      </c>
      <c r="D12" s="14"/>
      <c r="E12" s="15">
        <f>+'APU CAP 1-2'!H332</f>
        <v>0</v>
      </c>
      <c r="F12" s="16">
        <f>+D12*E12</f>
        <v>0</v>
      </c>
      <c r="G12" s="8">
        <f t="shared" si="0"/>
        <v>0</v>
      </c>
    </row>
    <row r="13" spans="1:7" hidden="1" x14ac:dyDescent="0.25">
      <c r="A13" s="12" t="s">
        <v>18</v>
      </c>
      <c r="B13" s="13" t="s">
        <v>19</v>
      </c>
      <c r="C13" s="14"/>
      <c r="D13" s="14"/>
      <c r="E13" s="15"/>
      <c r="F13" s="16"/>
      <c r="G13" s="8">
        <f t="shared" si="0"/>
        <v>0</v>
      </c>
    </row>
    <row r="14" spans="1:7" hidden="1" x14ac:dyDescent="0.25">
      <c r="A14" s="12" t="s">
        <v>20</v>
      </c>
      <c r="B14" s="13" t="s">
        <v>21</v>
      </c>
      <c r="C14" s="14"/>
      <c r="D14" s="14"/>
      <c r="E14" s="15"/>
      <c r="F14" s="16"/>
      <c r="G14" s="8">
        <f t="shared" si="0"/>
        <v>0</v>
      </c>
    </row>
    <row r="15" spans="1:7" hidden="1" x14ac:dyDescent="0.25">
      <c r="A15" s="17" t="s">
        <v>49</v>
      </c>
      <c r="B15" s="18" t="s">
        <v>48</v>
      </c>
      <c r="C15" s="14" t="s">
        <v>37</v>
      </c>
      <c r="D15" s="14"/>
      <c r="E15" s="15">
        <f>+'APU CAP 1-2'!H387</f>
        <v>0</v>
      </c>
      <c r="F15" s="16">
        <f t="shared" ref="F15:F27" si="1">+D15*E15</f>
        <v>0</v>
      </c>
      <c r="G15" s="8">
        <f t="shared" si="0"/>
        <v>0</v>
      </c>
    </row>
    <row r="16" spans="1:7" hidden="1" x14ac:dyDescent="0.25">
      <c r="A16" s="17" t="s">
        <v>50</v>
      </c>
      <c r="B16" s="18" t="s">
        <v>47</v>
      </c>
      <c r="C16" s="14" t="s">
        <v>37</v>
      </c>
      <c r="D16" s="14"/>
      <c r="E16" s="15">
        <f>+'APU CAP 1-2'!H442</f>
        <v>0</v>
      </c>
      <c r="F16" s="16">
        <f t="shared" si="1"/>
        <v>0</v>
      </c>
      <c r="G16" s="8">
        <f t="shared" si="0"/>
        <v>0</v>
      </c>
    </row>
    <row r="17" spans="1:7" hidden="1" x14ac:dyDescent="0.25">
      <c r="A17" s="17" t="s">
        <v>51</v>
      </c>
      <c r="B17" s="18" t="s">
        <v>52</v>
      </c>
      <c r="C17" s="14" t="s">
        <v>37</v>
      </c>
      <c r="D17" s="14"/>
      <c r="E17" s="15">
        <f>+'APU CAP 1-2'!H497</f>
        <v>0</v>
      </c>
      <c r="F17" s="16">
        <f t="shared" si="1"/>
        <v>0</v>
      </c>
      <c r="G17" s="8">
        <f t="shared" si="0"/>
        <v>0</v>
      </c>
    </row>
    <row r="18" spans="1:7" ht="25.5" hidden="1" x14ac:dyDescent="0.25">
      <c r="A18" s="17" t="s">
        <v>65</v>
      </c>
      <c r="B18" s="25" t="s">
        <v>66</v>
      </c>
      <c r="C18" s="14" t="s">
        <v>37</v>
      </c>
      <c r="D18" s="14"/>
      <c r="E18" s="15">
        <f>+'APU CAP 1-2'!H552</f>
        <v>0</v>
      </c>
      <c r="F18" s="16">
        <f t="shared" si="1"/>
        <v>0</v>
      </c>
      <c r="G18" s="8">
        <f t="shared" si="0"/>
        <v>0</v>
      </c>
    </row>
    <row r="19" spans="1:7" hidden="1" x14ac:dyDescent="0.25">
      <c r="A19" s="17" t="s">
        <v>53</v>
      </c>
      <c r="B19" s="18" t="s">
        <v>54</v>
      </c>
      <c r="C19" s="14" t="s">
        <v>37</v>
      </c>
      <c r="D19" s="14"/>
      <c r="E19" s="15">
        <f>+'APU CAP 1-2'!H603</f>
        <v>0</v>
      </c>
      <c r="F19" s="16">
        <f t="shared" si="1"/>
        <v>0</v>
      </c>
      <c r="G19" s="8">
        <f t="shared" si="0"/>
        <v>0</v>
      </c>
    </row>
    <row r="20" spans="1:7" hidden="1" x14ac:dyDescent="0.25">
      <c r="A20" s="17" t="s">
        <v>22</v>
      </c>
      <c r="B20" s="18" t="s">
        <v>23</v>
      </c>
      <c r="C20" s="14" t="s">
        <v>14</v>
      </c>
      <c r="D20" s="14"/>
      <c r="E20" s="15">
        <f>+'APU CAP 1-2'!H657</f>
        <v>0</v>
      </c>
      <c r="F20" s="16">
        <f t="shared" si="1"/>
        <v>0</v>
      </c>
      <c r="G20" s="8">
        <f t="shared" si="0"/>
        <v>0</v>
      </c>
    </row>
    <row r="21" spans="1:7" hidden="1" x14ac:dyDescent="0.25">
      <c r="A21" s="17" t="s">
        <v>55</v>
      </c>
      <c r="B21" s="18" t="s">
        <v>59</v>
      </c>
      <c r="C21" s="14" t="s">
        <v>37</v>
      </c>
      <c r="D21" s="14"/>
      <c r="E21" s="15"/>
      <c r="F21" s="16">
        <f t="shared" si="1"/>
        <v>0</v>
      </c>
      <c r="G21" s="8">
        <f t="shared" si="0"/>
        <v>0</v>
      </c>
    </row>
    <row r="22" spans="1:7" hidden="1" x14ac:dyDescent="0.25">
      <c r="A22" s="17" t="s">
        <v>56</v>
      </c>
      <c r="B22" s="18" t="s">
        <v>5645</v>
      </c>
      <c r="C22" s="14" t="s">
        <v>37</v>
      </c>
      <c r="D22" s="14"/>
      <c r="E22" s="15">
        <f>+'APU CAP 1-2'!H716</f>
        <v>0</v>
      </c>
      <c r="F22" s="16">
        <f t="shared" si="1"/>
        <v>0</v>
      </c>
      <c r="G22" s="8">
        <f t="shared" si="0"/>
        <v>0</v>
      </c>
    </row>
    <row r="23" spans="1:7" hidden="1" x14ac:dyDescent="0.25">
      <c r="A23" s="17" t="s">
        <v>57</v>
      </c>
      <c r="B23" s="18" t="s">
        <v>60</v>
      </c>
      <c r="C23" s="14" t="s">
        <v>14</v>
      </c>
      <c r="D23" s="14"/>
      <c r="E23" s="441">
        <f>+'APU CAP 1-2'!H932</f>
        <v>0</v>
      </c>
      <c r="F23" s="16">
        <f t="shared" si="1"/>
        <v>0</v>
      </c>
      <c r="G23" s="8">
        <f t="shared" si="0"/>
        <v>0</v>
      </c>
    </row>
    <row r="24" spans="1:7" hidden="1" x14ac:dyDescent="0.25">
      <c r="A24" s="17" t="s">
        <v>58</v>
      </c>
      <c r="B24" s="18" t="s">
        <v>61</v>
      </c>
      <c r="C24" s="14" t="s">
        <v>37</v>
      </c>
      <c r="D24" s="14"/>
      <c r="E24" s="15"/>
      <c r="F24" s="16">
        <f t="shared" si="1"/>
        <v>0</v>
      </c>
      <c r="G24" s="8">
        <f t="shared" si="0"/>
        <v>0</v>
      </c>
    </row>
    <row r="25" spans="1:7" hidden="1" x14ac:dyDescent="0.25">
      <c r="A25" s="17" t="s">
        <v>67</v>
      </c>
      <c r="B25" s="18" t="s">
        <v>62</v>
      </c>
      <c r="C25" s="14" t="s">
        <v>37</v>
      </c>
      <c r="D25" s="14"/>
      <c r="E25" s="15"/>
      <c r="F25" s="16">
        <f t="shared" si="1"/>
        <v>0</v>
      </c>
      <c r="G25" s="8">
        <f t="shared" si="0"/>
        <v>0</v>
      </c>
    </row>
    <row r="26" spans="1:7" hidden="1" x14ac:dyDescent="0.25">
      <c r="A26" s="17" t="s">
        <v>68</v>
      </c>
      <c r="B26" s="18" t="s">
        <v>63</v>
      </c>
      <c r="C26" s="14" t="s">
        <v>37</v>
      </c>
      <c r="D26" s="14"/>
      <c r="E26" s="15"/>
      <c r="F26" s="16">
        <f t="shared" si="1"/>
        <v>0</v>
      </c>
      <c r="G26" s="8">
        <f t="shared" si="0"/>
        <v>0</v>
      </c>
    </row>
    <row r="27" spans="1:7" hidden="1" x14ac:dyDescent="0.25">
      <c r="A27" s="17" t="s">
        <v>69</v>
      </c>
      <c r="B27" s="18" t="s">
        <v>64</v>
      </c>
      <c r="C27" s="14" t="s">
        <v>37</v>
      </c>
      <c r="D27" s="14"/>
      <c r="E27" s="15"/>
      <c r="F27" s="16">
        <f t="shared" si="1"/>
        <v>0</v>
      </c>
      <c r="G27" s="8">
        <f t="shared" si="0"/>
        <v>0</v>
      </c>
    </row>
    <row r="28" spans="1:7" x14ac:dyDescent="0.25">
      <c r="A28" s="2454" t="s">
        <v>24</v>
      </c>
      <c r="B28" s="2455"/>
      <c r="C28" s="2455"/>
      <c r="D28" s="2455"/>
      <c r="E28" s="2455"/>
      <c r="F28" s="19">
        <f>SUM(F10:F27)</f>
        <v>0</v>
      </c>
      <c r="G28" s="8">
        <f t="shared" si="0"/>
        <v>0</v>
      </c>
    </row>
    <row r="29" spans="1:7" x14ac:dyDescent="0.25">
      <c r="A29" s="20">
        <v>2</v>
      </c>
      <c r="B29" s="21" t="s">
        <v>5757</v>
      </c>
      <c r="C29" s="22"/>
      <c r="D29" s="22"/>
      <c r="E29" s="23"/>
      <c r="F29" s="24"/>
      <c r="G29" s="8">
        <v>1</v>
      </c>
    </row>
    <row r="30" spans="1:7" hidden="1" x14ac:dyDescent="0.25">
      <c r="A30" s="12" t="s">
        <v>25</v>
      </c>
      <c r="B30" s="13" t="s">
        <v>6261</v>
      </c>
      <c r="C30" s="14"/>
      <c r="D30" s="14"/>
      <c r="E30" s="15"/>
      <c r="F30" s="16"/>
      <c r="G30" s="8">
        <f t="shared" si="0"/>
        <v>0</v>
      </c>
    </row>
    <row r="31" spans="1:7" x14ac:dyDescent="0.25">
      <c r="A31" s="17" t="s">
        <v>26</v>
      </c>
      <c r="B31" s="25" t="s">
        <v>5758</v>
      </c>
      <c r="C31" s="14" t="s">
        <v>27</v>
      </c>
      <c r="D31" s="14">
        <v>30</v>
      </c>
      <c r="E31" s="15">
        <f>+'APU CAP 1-2'!H1150</f>
        <v>22263</v>
      </c>
      <c r="F31" s="16">
        <f>+D31*E31</f>
        <v>667890</v>
      </c>
      <c r="G31" s="8">
        <f t="shared" si="0"/>
        <v>1</v>
      </c>
    </row>
    <row r="32" spans="1:7" hidden="1" x14ac:dyDescent="0.25">
      <c r="A32" s="17" t="s">
        <v>89</v>
      </c>
      <c r="B32" s="25" t="s">
        <v>5759</v>
      </c>
      <c r="C32" s="14" t="s">
        <v>27</v>
      </c>
      <c r="D32" s="14"/>
      <c r="E32" s="15">
        <f>+'APU CAP 1-2'!H1205</f>
        <v>33442</v>
      </c>
      <c r="F32" s="16">
        <f>+D32*E32</f>
        <v>0</v>
      </c>
      <c r="G32" s="8">
        <f t="shared" si="0"/>
        <v>0</v>
      </c>
    </row>
    <row r="33" spans="1:7" hidden="1" x14ac:dyDescent="0.25">
      <c r="A33" s="17" t="s">
        <v>90</v>
      </c>
      <c r="B33" s="25" t="s">
        <v>5760</v>
      </c>
      <c r="C33" s="14" t="s">
        <v>27</v>
      </c>
      <c r="D33" s="14"/>
      <c r="E33" s="15">
        <f>+'APU CAP 1-2'!H1262</f>
        <v>0</v>
      </c>
      <c r="F33" s="16">
        <f>+D33*E33</f>
        <v>0</v>
      </c>
      <c r="G33" s="8">
        <f t="shared" si="0"/>
        <v>0</v>
      </c>
    </row>
    <row r="34" spans="1:7" hidden="1" x14ac:dyDescent="0.25">
      <c r="A34" s="12" t="s">
        <v>94</v>
      </c>
      <c r="B34" s="13" t="s">
        <v>6262</v>
      </c>
      <c r="C34" s="14"/>
      <c r="D34" s="14"/>
      <c r="E34" s="15"/>
      <c r="F34" s="16"/>
      <c r="G34" s="8">
        <f t="shared" si="0"/>
        <v>0</v>
      </c>
    </row>
    <row r="35" spans="1:7" ht="25.5" hidden="1" x14ac:dyDescent="0.25">
      <c r="A35" s="17" t="s">
        <v>95</v>
      </c>
      <c r="B35" s="25" t="s">
        <v>91</v>
      </c>
      <c r="C35" s="14" t="s">
        <v>27</v>
      </c>
      <c r="D35" s="14"/>
      <c r="E35" s="15">
        <f>+'APU CAP 1-2'!H1317</f>
        <v>0</v>
      </c>
      <c r="F35" s="16">
        <f>+D35*E35</f>
        <v>0</v>
      </c>
      <c r="G35" s="8">
        <f t="shared" si="0"/>
        <v>0</v>
      </c>
    </row>
    <row r="36" spans="1:7" ht="25.5" hidden="1" x14ac:dyDescent="0.25">
      <c r="A36" s="17" t="s">
        <v>96</v>
      </c>
      <c r="B36" s="25" t="s">
        <v>92</v>
      </c>
      <c r="C36" s="14" t="s">
        <v>27</v>
      </c>
      <c r="D36" s="14"/>
      <c r="E36" s="15">
        <f>+'APU CAP 1-2'!H1372</f>
        <v>0</v>
      </c>
      <c r="F36" s="16">
        <f>+D36*E36</f>
        <v>0</v>
      </c>
      <c r="G36" s="8">
        <f t="shared" si="0"/>
        <v>0</v>
      </c>
    </row>
    <row r="37" spans="1:7" ht="25.5" hidden="1" x14ac:dyDescent="0.25">
      <c r="A37" s="17" t="s">
        <v>97</v>
      </c>
      <c r="B37" s="25" t="s">
        <v>93</v>
      </c>
      <c r="C37" s="14" t="s">
        <v>27</v>
      </c>
      <c r="D37" s="14"/>
      <c r="E37" s="15">
        <f>+'APU CAP 1-2'!H1427</f>
        <v>0</v>
      </c>
      <c r="F37" s="16">
        <f>+D37*E37</f>
        <v>0</v>
      </c>
      <c r="G37" s="8">
        <f t="shared" si="0"/>
        <v>0</v>
      </c>
    </row>
    <row r="38" spans="1:7" hidden="1" x14ac:dyDescent="0.25">
      <c r="A38" s="12" t="s">
        <v>5990</v>
      </c>
      <c r="B38" s="46" t="s">
        <v>864</v>
      </c>
      <c r="C38" s="14"/>
      <c r="D38" s="14"/>
      <c r="E38" s="15"/>
      <c r="F38" s="16"/>
      <c r="G38" s="8">
        <f t="shared" si="0"/>
        <v>0</v>
      </c>
    </row>
    <row r="39" spans="1:7" ht="25.5" x14ac:dyDescent="0.25">
      <c r="A39" s="17" t="s">
        <v>101</v>
      </c>
      <c r="B39" s="25" t="s">
        <v>131</v>
      </c>
      <c r="C39" s="14" t="s">
        <v>27</v>
      </c>
      <c r="D39" s="14">
        <f>1790+336</f>
        <v>2126</v>
      </c>
      <c r="E39" s="15">
        <f>+'APU CAP 1-2'!H1645</f>
        <v>14094</v>
      </c>
      <c r="F39" s="16">
        <f>+D39*E39</f>
        <v>29963844</v>
      </c>
      <c r="G39" s="8">
        <f t="shared" si="0"/>
        <v>1</v>
      </c>
    </row>
    <row r="40" spans="1:7" ht="25.5" hidden="1" x14ac:dyDescent="0.25">
      <c r="A40" s="17" t="s">
        <v>105</v>
      </c>
      <c r="B40" s="25" t="s">
        <v>132</v>
      </c>
      <c r="C40" s="14" t="s">
        <v>27</v>
      </c>
      <c r="D40" s="14"/>
      <c r="E40" s="15">
        <f>+'APU CAP 1-2'!H1702</f>
        <v>0</v>
      </c>
      <c r="F40" s="16">
        <f>+D40*E40</f>
        <v>0</v>
      </c>
      <c r="G40" s="8">
        <f t="shared" si="0"/>
        <v>0</v>
      </c>
    </row>
    <row r="41" spans="1:7" x14ac:dyDescent="0.25">
      <c r="A41" s="12" t="s">
        <v>116</v>
      </c>
      <c r="B41" s="25" t="s">
        <v>133</v>
      </c>
      <c r="C41" s="14" t="s">
        <v>27</v>
      </c>
      <c r="D41" s="14">
        <v>112</v>
      </c>
      <c r="E41" s="15">
        <f>+'APU CAP 1-2'!H1755</f>
        <v>156265</v>
      </c>
      <c r="F41" s="16">
        <f>+D41*E41</f>
        <v>17501680</v>
      </c>
      <c r="G41" s="8">
        <f t="shared" si="0"/>
        <v>1</v>
      </c>
    </row>
    <row r="42" spans="1:7" x14ac:dyDescent="0.25">
      <c r="A42" s="12" t="s">
        <v>117</v>
      </c>
      <c r="B42" s="46" t="s">
        <v>100</v>
      </c>
      <c r="C42" s="14"/>
      <c r="D42" s="14"/>
      <c r="E42" s="15"/>
      <c r="F42" s="16"/>
      <c r="G42" s="8">
        <v>1</v>
      </c>
    </row>
    <row r="43" spans="1:7" hidden="1" x14ac:dyDescent="0.25">
      <c r="A43" s="17" t="s">
        <v>118</v>
      </c>
      <c r="B43" s="18" t="s">
        <v>103</v>
      </c>
      <c r="C43" s="14" t="s">
        <v>27</v>
      </c>
      <c r="D43" s="14"/>
      <c r="E43" s="15">
        <f>+'APU CAP 1-2'!H1810</f>
        <v>63025</v>
      </c>
      <c r="F43" s="16">
        <f t="shared" ref="F43:F61" si="2">+D43*E43</f>
        <v>0</v>
      </c>
      <c r="G43" s="8">
        <f t="shared" si="0"/>
        <v>0</v>
      </c>
    </row>
    <row r="44" spans="1:7" hidden="1" x14ac:dyDescent="0.25">
      <c r="A44" s="17" t="s">
        <v>119</v>
      </c>
      <c r="B44" s="18" t="s">
        <v>102</v>
      </c>
      <c r="C44" s="14" t="s">
        <v>27</v>
      </c>
      <c r="D44" s="14"/>
      <c r="E44" s="15">
        <f>+'APU CAP 1-2'!H1867</f>
        <v>0</v>
      </c>
      <c r="F44" s="16">
        <f t="shared" si="2"/>
        <v>0</v>
      </c>
      <c r="G44" s="8">
        <f t="shared" si="0"/>
        <v>0</v>
      </c>
    </row>
    <row r="45" spans="1:7" hidden="1" x14ac:dyDescent="0.25">
      <c r="A45" s="17" t="s">
        <v>120</v>
      </c>
      <c r="B45" s="18" t="s">
        <v>104</v>
      </c>
      <c r="C45" s="14" t="s">
        <v>27</v>
      </c>
      <c r="D45" s="14"/>
      <c r="E45" s="15">
        <f>+'APU CAP 1-2'!H1922</f>
        <v>0</v>
      </c>
      <c r="F45" s="16">
        <f t="shared" si="2"/>
        <v>0</v>
      </c>
      <c r="G45" s="8">
        <f t="shared" si="0"/>
        <v>0</v>
      </c>
    </row>
    <row r="46" spans="1:7" ht="25.5" hidden="1" x14ac:dyDescent="0.25">
      <c r="A46" s="17" t="s">
        <v>6294</v>
      </c>
      <c r="B46" s="601" t="s">
        <v>6308</v>
      </c>
      <c r="C46" s="14" t="s">
        <v>146</v>
      </c>
      <c r="D46" s="14"/>
      <c r="E46" s="15">
        <f>+'APU CAP 1-2'!X1810</f>
        <v>43691</v>
      </c>
      <c r="F46" s="16">
        <f t="shared" si="2"/>
        <v>0</v>
      </c>
      <c r="G46" s="8">
        <f t="shared" si="0"/>
        <v>0</v>
      </c>
    </row>
    <row r="47" spans="1:7" x14ac:dyDescent="0.25">
      <c r="A47" s="17" t="s">
        <v>121</v>
      </c>
      <c r="B47" s="25" t="s">
        <v>106</v>
      </c>
      <c r="C47" s="14" t="s">
        <v>27</v>
      </c>
      <c r="D47" s="14">
        <v>96</v>
      </c>
      <c r="E47" s="15">
        <f>+'APU CAP 1-2'!H1975</f>
        <v>83236</v>
      </c>
      <c r="F47" s="16">
        <f t="shared" si="2"/>
        <v>7990656</v>
      </c>
      <c r="G47" s="8">
        <f t="shared" si="0"/>
        <v>1</v>
      </c>
    </row>
    <row r="48" spans="1:7" hidden="1" x14ac:dyDescent="0.25">
      <c r="A48" s="17" t="s">
        <v>122</v>
      </c>
      <c r="B48" s="25" t="s">
        <v>107</v>
      </c>
      <c r="C48" s="14" t="s">
        <v>27</v>
      </c>
      <c r="D48" s="14"/>
      <c r="E48" s="15">
        <f>+'APU CAP 1-2'!H2032</f>
        <v>0</v>
      </c>
      <c r="F48" s="16">
        <f t="shared" si="2"/>
        <v>0</v>
      </c>
      <c r="G48" s="8">
        <f t="shared" si="0"/>
        <v>0</v>
      </c>
    </row>
    <row r="49" spans="1:7" hidden="1" x14ac:dyDescent="0.25">
      <c r="A49" s="17" t="s">
        <v>123</v>
      </c>
      <c r="B49" s="25" t="s">
        <v>5683</v>
      </c>
      <c r="C49" s="14" t="s">
        <v>27</v>
      </c>
      <c r="D49" s="14"/>
      <c r="E49" s="15">
        <f>+'APU CAP 1-2'!H2087</f>
        <v>0</v>
      </c>
      <c r="F49" s="16">
        <f t="shared" si="2"/>
        <v>0</v>
      </c>
      <c r="G49" s="8">
        <f t="shared" si="0"/>
        <v>0</v>
      </c>
    </row>
    <row r="50" spans="1:7" hidden="1" x14ac:dyDescent="0.25">
      <c r="A50" s="17" t="s">
        <v>124</v>
      </c>
      <c r="B50" s="25" t="s">
        <v>108</v>
      </c>
      <c r="C50" s="14" t="s">
        <v>109</v>
      </c>
      <c r="D50" s="14"/>
      <c r="E50" s="15">
        <f>+'APU CAP 1-2'!H2142</f>
        <v>0</v>
      </c>
      <c r="F50" s="16">
        <f t="shared" si="2"/>
        <v>0</v>
      </c>
      <c r="G50" s="8">
        <f t="shared" si="0"/>
        <v>0</v>
      </c>
    </row>
    <row r="51" spans="1:7" hidden="1" x14ac:dyDescent="0.25">
      <c r="A51" s="17" t="s">
        <v>125</v>
      </c>
      <c r="B51" s="25" t="s">
        <v>110</v>
      </c>
      <c r="C51" s="14" t="s">
        <v>27</v>
      </c>
      <c r="D51" s="14"/>
      <c r="E51" s="15">
        <f>+'APU CAP 1-2'!H2197</f>
        <v>0</v>
      </c>
      <c r="F51" s="16">
        <f t="shared" si="2"/>
        <v>0</v>
      </c>
      <c r="G51" s="8">
        <f t="shared" si="0"/>
        <v>0</v>
      </c>
    </row>
    <row r="52" spans="1:7" hidden="1" x14ac:dyDescent="0.25">
      <c r="A52" s="17" t="s">
        <v>126</v>
      </c>
      <c r="B52" s="25" t="s">
        <v>111</v>
      </c>
      <c r="C52" s="14" t="s">
        <v>14</v>
      </c>
      <c r="D52" s="14"/>
      <c r="E52" s="15">
        <f>+'APU CAP 1-2'!H2252</f>
        <v>0</v>
      </c>
      <c r="F52" s="16">
        <f t="shared" si="2"/>
        <v>0</v>
      </c>
      <c r="G52" s="8">
        <f t="shared" si="0"/>
        <v>0</v>
      </c>
    </row>
    <row r="53" spans="1:7" hidden="1" x14ac:dyDescent="0.25">
      <c r="A53" s="17" t="s">
        <v>127</v>
      </c>
      <c r="B53" s="25" t="s">
        <v>112</v>
      </c>
      <c r="C53" s="14" t="s">
        <v>14</v>
      </c>
      <c r="D53" s="14"/>
      <c r="E53" s="15">
        <f>+'APU CAP 1-2'!H2307</f>
        <v>0</v>
      </c>
      <c r="F53" s="16">
        <f t="shared" si="2"/>
        <v>0</v>
      </c>
      <c r="G53" s="8">
        <f t="shared" si="0"/>
        <v>0</v>
      </c>
    </row>
    <row r="54" spans="1:7" ht="25.5" hidden="1" x14ac:dyDescent="0.25">
      <c r="A54" s="17" t="s">
        <v>128</v>
      </c>
      <c r="B54" s="25" t="s">
        <v>113</v>
      </c>
      <c r="C54" s="14" t="s">
        <v>14</v>
      </c>
      <c r="D54" s="14"/>
      <c r="E54" s="15">
        <f>+'APU CAP 1-2'!H2362</f>
        <v>0</v>
      </c>
      <c r="F54" s="16">
        <f t="shared" si="2"/>
        <v>0</v>
      </c>
      <c r="G54" s="8">
        <f t="shared" si="0"/>
        <v>0</v>
      </c>
    </row>
    <row r="55" spans="1:7" ht="25.5" hidden="1" x14ac:dyDescent="0.25">
      <c r="A55" s="17" t="s">
        <v>129</v>
      </c>
      <c r="B55" s="25" t="s">
        <v>115</v>
      </c>
      <c r="C55" s="14" t="s">
        <v>14</v>
      </c>
      <c r="D55" s="14"/>
      <c r="E55" s="15">
        <f>+'APU CAP 1-2'!H2417</f>
        <v>0</v>
      </c>
      <c r="F55" s="16">
        <f t="shared" si="2"/>
        <v>0</v>
      </c>
      <c r="G55" s="8">
        <f t="shared" si="0"/>
        <v>0</v>
      </c>
    </row>
    <row r="56" spans="1:7" ht="25.5" hidden="1" x14ac:dyDescent="0.25">
      <c r="A56" s="17" t="s">
        <v>130</v>
      </c>
      <c r="B56" s="25" t="s">
        <v>114</v>
      </c>
      <c r="C56" s="14" t="s">
        <v>14</v>
      </c>
      <c r="D56" s="14"/>
      <c r="E56" s="15">
        <f>+'APU CAP 1-2'!H2472</f>
        <v>0</v>
      </c>
      <c r="F56" s="16">
        <f t="shared" si="2"/>
        <v>0</v>
      </c>
      <c r="G56" s="8">
        <f t="shared" si="0"/>
        <v>0</v>
      </c>
    </row>
    <row r="57" spans="1:7" x14ac:dyDescent="0.25">
      <c r="A57" s="12" t="s">
        <v>134</v>
      </c>
      <c r="B57" s="46" t="s">
        <v>6314</v>
      </c>
      <c r="C57" s="14"/>
      <c r="D57" s="14"/>
      <c r="E57" s="15"/>
      <c r="F57" s="16"/>
      <c r="G57" s="8">
        <v>1</v>
      </c>
    </row>
    <row r="58" spans="1:7" hidden="1" x14ac:dyDescent="0.25">
      <c r="A58" s="17" t="s">
        <v>136</v>
      </c>
      <c r="B58" s="25" t="s">
        <v>6315</v>
      </c>
      <c r="C58" s="14" t="s">
        <v>14</v>
      </c>
      <c r="D58" s="14"/>
      <c r="E58" s="15"/>
      <c r="F58" s="16">
        <f t="shared" si="2"/>
        <v>0</v>
      </c>
      <c r="G58" s="8">
        <f t="shared" si="0"/>
        <v>0</v>
      </c>
    </row>
    <row r="59" spans="1:7" hidden="1" x14ac:dyDescent="0.25">
      <c r="A59" s="17" t="s">
        <v>138</v>
      </c>
      <c r="B59" s="25" t="s">
        <v>6316</v>
      </c>
      <c r="C59" s="14" t="s">
        <v>14</v>
      </c>
      <c r="D59" s="14"/>
      <c r="E59" s="15"/>
      <c r="F59" s="16">
        <f t="shared" si="2"/>
        <v>0</v>
      </c>
      <c r="G59" s="8">
        <f t="shared" si="0"/>
        <v>0</v>
      </c>
    </row>
    <row r="60" spans="1:7" x14ac:dyDescent="0.25">
      <c r="A60" s="17" t="s">
        <v>139</v>
      </c>
      <c r="B60" s="25" t="s">
        <v>6317</v>
      </c>
      <c r="C60" s="14" t="s">
        <v>14</v>
      </c>
      <c r="D60" s="14">
        <v>1865</v>
      </c>
      <c r="E60" s="15">
        <f>+'APU CAP 1-2'!P2415</f>
        <v>30227</v>
      </c>
      <c r="F60" s="16">
        <f t="shared" si="2"/>
        <v>56373355</v>
      </c>
      <c r="G60" s="8">
        <f t="shared" si="0"/>
        <v>1</v>
      </c>
    </row>
    <row r="61" spans="1:7" x14ac:dyDescent="0.25">
      <c r="A61" s="17">
        <v>2.8</v>
      </c>
      <c r="B61" s="25" t="s">
        <v>6318</v>
      </c>
      <c r="C61" s="14" t="s">
        <v>37</v>
      </c>
      <c r="D61" s="14">
        <v>58</v>
      </c>
      <c r="E61" s="15">
        <f>+'APU CAP 1-2'!P2470</f>
        <v>64898</v>
      </c>
      <c r="F61" s="16">
        <f t="shared" si="2"/>
        <v>3764084</v>
      </c>
      <c r="G61" s="8">
        <f t="shared" si="0"/>
        <v>1</v>
      </c>
    </row>
    <row r="62" spans="1:7" x14ac:dyDescent="0.25">
      <c r="A62" s="2454" t="s">
        <v>841</v>
      </c>
      <c r="B62" s="2455"/>
      <c r="C62" s="2455"/>
      <c r="D62" s="2455"/>
      <c r="E62" s="2455"/>
      <c r="F62" s="19">
        <f>SUM(F31:F61)</f>
        <v>116261509</v>
      </c>
      <c r="G62" s="8">
        <f t="shared" si="0"/>
        <v>1</v>
      </c>
    </row>
    <row r="63" spans="1:7" hidden="1" x14ac:dyDescent="0.25">
      <c r="A63" s="12" t="s">
        <v>134</v>
      </c>
      <c r="B63" s="13" t="s">
        <v>135</v>
      </c>
      <c r="C63" s="598"/>
      <c r="D63" s="598"/>
      <c r="E63" s="598"/>
      <c r="F63" s="19"/>
      <c r="G63" s="8">
        <f t="shared" si="0"/>
        <v>0</v>
      </c>
    </row>
    <row r="64" spans="1:7" hidden="1" x14ac:dyDescent="0.25">
      <c r="A64" s="17" t="s">
        <v>136</v>
      </c>
      <c r="B64" s="18" t="s">
        <v>137</v>
      </c>
      <c r="C64" s="14" t="s">
        <v>146</v>
      </c>
      <c r="D64" s="598"/>
      <c r="E64" s="442">
        <f>+'APU CAP 1-2'!H2527</f>
        <v>0</v>
      </c>
      <c r="F64" s="16">
        <f>+D64*E64</f>
        <v>0</v>
      </c>
      <c r="G64" s="8">
        <f t="shared" si="0"/>
        <v>0</v>
      </c>
    </row>
    <row r="65" spans="1:7" hidden="1" x14ac:dyDescent="0.25">
      <c r="A65" s="17" t="s">
        <v>138</v>
      </c>
      <c r="B65" s="18" t="s">
        <v>141</v>
      </c>
      <c r="C65" s="14" t="s">
        <v>146</v>
      </c>
      <c r="D65" s="598"/>
      <c r="E65" s="442">
        <f>+'APU CAP 1-2'!H2582</f>
        <v>0</v>
      </c>
      <c r="F65" s="16">
        <f>+D65*E65</f>
        <v>0</v>
      </c>
      <c r="G65" s="8">
        <f t="shared" si="0"/>
        <v>0</v>
      </c>
    </row>
    <row r="66" spans="1:7" hidden="1" x14ac:dyDescent="0.25">
      <c r="A66" s="17" t="s">
        <v>139</v>
      </c>
      <c r="B66" s="18" t="s">
        <v>142</v>
      </c>
      <c r="C66" s="14" t="s">
        <v>146</v>
      </c>
      <c r="D66" s="598"/>
      <c r="E66" s="442">
        <f>+'APU CAP 1-2'!H2637</f>
        <v>0</v>
      </c>
      <c r="F66" s="16">
        <f>+D66*E66</f>
        <v>0</v>
      </c>
      <c r="G66" s="8">
        <f t="shared" si="0"/>
        <v>0</v>
      </c>
    </row>
    <row r="67" spans="1:7" hidden="1" x14ac:dyDescent="0.25">
      <c r="A67" s="17" t="s">
        <v>140</v>
      </c>
      <c r="B67" s="18" t="s">
        <v>143</v>
      </c>
      <c r="C67" s="14" t="s">
        <v>146</v>
      </c>
      <c r="D67" s="598"/>
      <c r="E67" s="442">
        <f>+'APU CAP 1-2'!H2692</f>
        <v>0</v>
      </c>
      <c r="F67" s="16">
        <f>+D67*E67</f>
        <v>0</v>
      </c>
      <c r="G67" s="8">
        <f t="shared" si="0"/>
        <v>0</v>
      </c>
    </row>
    <row r="68" spans="1:7" hidden="1" x14ac:dyDescent="0.25">
      <c r="A68" s="17" t="s">
        <v>144</v>
      </c>
      <c r="B68" s="18" t="s">
        <v>145</v>
      </c>
      <c r="C68" s="14" t="s">
        <v>146</v>
      </c>
      <c r="D68" s="598"/>
      <c r="E68" s="442">
        <f>+'APU CAP 1-2'!P2692</f>
        <v>0</v>
      </c>
      <c r="F68" s="16">
        <f>+D68*E68</f>
        <v>0</v>
      </c>
      <c r="G68" s="8">
        <f t="shared" si="0"/>
        <v>0</v>
      </c>
    </row>
    <row r="69" spans="1:7" hidden="1" x14ac:dyDescent="0.25">
      <c r="A69" s="2454" t="s">
        <v>840</v>
      </c>
      <c r="B69" s="2455"/>
      <c r="C69" s="2455"/>
      <c r="D69" s="2455"/>
      <c r="E69" s="2455"/>
      <c r="F69" s="19">
        <f>SUM(F64:F68)</f>
        <v>0</v>
      </c>
      <c r="G69" s="8">
        <f t="shared" si="0"/>
        <v>0</v>
      </c>
    </row>
    <row r="70" spans="1:7" x14ac:dyDescent="0.25">
      <c r="A70" s="12" t="s">
        <v>28</v>
      </c>
      <c r="B70" s="13" t="s">
        <v>29</v>
      </c>
      <c r="C70" s="14"/>
      <c r="D70" s="14"/>
      <c r="E70" s="15"/>
      <c r="F70" s="16"/>
      <c r="G70" s="8">
        <v>1</v>
      </c>
    </row>
    <row r="71" spans="1:7" ht="25.5" x14ac:dyDescent="0.25">
      <c r="A71" s="17" t="s">
        <v>147</v>
      </c>
      <c r="B71" s="25" t="s">
        <v>148</v>
      </c>
      <c r="C71" s="14" t="s">
        <v>27</v>
      </c>
      <c r="D71" s="14">
        <v>1462</v>
      </c>
      <c r="E71" s="15">
        <f>+'APU CAP 1-2'!H2745</f>
        <v>11097</v>
      </c>
      <c r="F71" s="16">
        <f t="shared" ref="F71:F79" si="3">+D71*E71</f>
        <v>16223814</v>
      </c>
      <c r="G71" s="8">
        <f t="shared" si="0"/>
        <v>1</v>
      </c>
    </row>
    <row r="72" spans="1:7" x14ac:dyDescent="0.25">
      <c r="A72" s="17" t="s">
        <v>149</v>
      </c>
      <c r="B72" s="18" t="s">
        <v>150</v>
      </c>
      <c r="C72" s="14" t="s">
        <v>27</v>
      </c>
      <c r="D72" s="14">
        <v>373</v>
      </c>
      <c r="E72" s="15">
        <f>+'APU CAP 1-2'!H2800</f>
        <v>62337</v>
      </c>
      <c r="F72" s="16">
        <f t="shared" si="3"/>
        <v>23251701</v>
      </c>
      <c r="G72" s="8">
        <f t="shared" si="0"/>
        <v>1</v>
      </c>
    </row>
    <row r="73" spans="1:7" hidden="1" x14ac:dyDescent="0.25">
      <c r="A73" s="17" t="s">
        <v>153</v>
      </c>
      <c r="B73" s="18" t="s">
        <v>151</v>
      </c>
      <c r="C73" s="14" t="s">
        <v>27</v>
      </c>
      <c r="D73" s="14"/>
      <c r="E73" s="15">
        <f>+'APU CAP 1-2'!H2855</f>
        <v>134000</v>
      </c>
      <c r="F73" s="16">
        <f t="shared" si="3"/>
        <v>0</v>
      </c>
      <c r="G73" s="8">
        <f t="shared" si="0"/>
        <v>0</v>
      </c>
    </row>
    <row r="74" spans="1:7" hidden="1" x14ac:dyDescent="0.25">
      <c r="A74" s="17" t="s">
        <v>154</v>
      </c>
      <c r="B74" s="18" t="s">
        <v>152</v>
      </c>
      <c r="C74" s="14" t="s">
        <v>27</v>
      </c>
      <c r="D74" s="14"/>
      <c r="E74" s="15">
        <f>+'APU CAP 1-2'!H2910</f>
        <v>141125</v>
      </c>
      <c r="F74" s="16">
        <f t="shared" si="3"/>
        <v>0</v>
      </c>
      <c r="G74" s="8">
        <f t="shared" si="0"/>
        <v>0</v>
      </c>
    </row>
    <row r="75" spans="1:7" x14ac:dyDescent="0.25">
      <c r="A75" s="17" t="s">
        <v>155</v>
      </c>
      <c r="B75" s="18" t="s">
        <v>158</v>
      </c>
      <c r="C75" s="14" t="s">
        <v>27</v>
      </c>
      <c r="D75" s="14">
        <v>140</v>
      </c>
      <c r="E75" s="15">
        <f>+'APU CAP 1-2'!H2965</f>
        <v>80534</v>
      </c>
      <c r="F75" s="16">
        <f t="shared" si="3"/>
        <v>11274760</v>
      </c>
      <c r="G75" s="8">
        <f t="shared" ref="G75:G138" si="4">+IF(F75&lt;&gt;0,1,0)</f>
        <v>1</v>
      </c>
    </row>
    <row r="76" spans="1:7" hidden="1" x14ac:dyDescent="0.25">
      <c r="A76" s="17" t="s">
        <v>156</v>
      </c>
      <c r="B76" s="18" t="s">
        <v>159</v>
      </c>
      <c r="C76" s="14" t="s">
        <v>27</v>
      </c>
      <c r="D76" s="14"/>
      <c r="E76" s="15">
        <f>+'APU CAP 1-2'!H3020</f>
        <v>103566</v>
      </c>
      <c r="F76" s="16">
        <f t="shared" si="3"/>
        <v>0</v>
      </c>
      <c r="G76" s="8">
        <f t="shared" si="4"/>
        <v>0</v>
      </c>
    </row>
    <row r="77" spans="1:7" hidden="1" x14ac:dyDescent="0.25">
      <c r="A77" s="17" t="s">
        <v>157</v>
      </c>
      <c r="B77" s="18" t="s">
        <v>169</v>
      </c>
      <c r="C77" s="14" t="s">
        <v>27</v>
      </c>
      <c r="D77" s="14"/>
      <c r="E77" s="15">
        <f>+'APU CAP 1-2'!H3075</f>
        <v>107316</v>
      </c>
      <c r="F77" s="16">
        <f t="shared" si="3"/>
        <v>0</v>
      </c>
      <c r="G77" s="8">
        <f t="shared" si="4"/>
        <v>0</v>
      </c>
    </row>
    <row r="78" spans="1:7" hidden="1" x14ac:dyDescent="0.25">
      <c r="A78" s="17" t="s">
        <v>160</v>
      </c>
      <c r="B78" s="18" t="s">
        <v>161</v>
      </c>
      <c r="C78" s="14" t="s">
        <v>27</v>
      </c>
      <c r="D78" s="14"/>
      <c r="E78" s="15"/>
      <c r="F78" s="16">
        <f t="shared" si="3"/>
        <v>0</v>
      </c>
      <c r="G78" s="8">
        <f t="shared" si="4"/>
        <v>0</v>
      </c>
    </row>
    <row r="79" spans="1:7" ht="25.5" x14ac:dyDescent="0.25">
      <c r="A79" s="17" t="s">
        <v>30</v>
      </c>
      <c r="B79" s="25" t="s">
        <v>6319</v>
      </c>
      <c r="C79" s="14" t="s">
        <v>27</v>
      </c>
      <c r="D79" s="14">
        <f>+D39+D41+D47-D71</f>
        <v>872</v>
      </c>
      <c r="E79" s="15">
        <f>+'APU CAP 1-2'!H3185</f>
        <v>14194</v>
      </c>
      <c r="F79" s="16">
        <f t="shared" si="3"/>
        <v>12377168</v>
      </c>
      <c r="G79" s="8">
        <f t="shared" si="4"/>
        <v>1</v>
      </c>
    </row>
    <row r="80" spans="1:7" x14ac:dyDescent="0.25">
      <c r="A80" s="2454" t="s">
        <v>31</v>
      </c>
      <c r="B80" s="2455"/>
      <c r="C80" s="2455"/>
      <c r="D80" s="2455"/>
      <c r="E80" s="2455"/>
      <c r="F80" s="19">
        <f>SUM(F71:F79)</f>
        <v>63127443</v>
      </c>
      <c r="G80" s="8">
        <f t="shared" si="4"/>
        <v>1</v>
      </c>
    </row>
    <row r="81" spans="1:7" hidden="1" x14ac:dyDescent="0.25">
      <c r="A81" s="329" t="s">
        <v>162</v>
      </c>
      <c r="B81" s="13" t="s">
        <v>163</v>
      </c>
      <c r="C81" s="14"/>
      <c r="D81" s="14"/>
      <c r="E81" s="18"/>
      <c r="F81" s="45"/>
      <c r="G81" s="8">
        <f t="shared" si="4"/>
        <v>0</v>
      </c>
    </row>
    <row r="82" spans="1:7" hidden="1" x14ac:dyDescent="0.25">
      <c r="A82" s="17" t="s">
        <v>164</v>
      </c>
      <c r="B82" s="18" t="s">
        <v>165</v>
      </c>
      <c r="C82" s="14" t="s">
        <v>27</v>
      </c>
      <c r="D82" s="14"/>
      <c r="E82" s="443">
        <f>+'APU CAP 1-2'!H3238</f>
        <v>102425.96153846153</v>
      </c>
      <c r="F82" s="16">
        <f t="shared" ref="F82:F92" si="5">+D82*E82</f>
        <v>0</v>
      </c>
      <c r="G82" s="8">
        <f t="shared" si="4"/>
        <v>0</v>
      </c>
    </row>
    <row r="83" spans="1:7" hidden="1" x14ac:dyDescent="0.25">
      <c r="A83" s="17" t="s">
        <v>171</v>
      </c>
      <c r="B83" s="18" t="s">
        <v>166</v>
      </c>
      <c r="C83" s="14" t="s">
        <v>27</v>
      </c>
      <c r="D83" s="14"/>
      <c r="E83" s="443">
        <f>+'APU CAP 1-2'!H3293</f>
        <v>45880</v>
      </c>
      <c r="F83" s="16">
        <f t="shared" si="5"/>
        <v>0</v>
      </c>
      <c r="G83" s="8">
        <f t="shared" si="4"/>
        <v>0</v>
      </c>
    </row>
    <row r="84" spans="1:7" hidden="1" x14ac:dyDescent="0.25">
      <c r="A84" s="17" t="s">
        <v>172</v>
      </c>
      <c r="B84" s="18" t="s">
        <v>167</v>
      </c>
      <c r="C84" s="14" t="s">
        <v>27</v>
      </c>
      <c r="D84" s="14"/>
      <c r="E84" s="443">
        <f>+'APU CAP 1-2'!H3348</f>
        <v>89975.294117647063</v>
      </c>
      <c r="F84" s="16">
        <f t="shared" si="5"/>
        <v>0</v>
      </c>
      <c r="G84" s="8">
        <f t="shared" si="4"/>
        <v>0</v>
      </c>
    </row>
    <row r="85" spans="1:7" hidden="1" x14ac:dyDescent="0.25">
      <c r="A85" s="17" t="s">
        <v>173</v>
      </c>
      <c r="B85" s="18" t="s">
        <v>168</v>
      </c>
      <c r="C85" s="14" t="s">
        <v>27</v>
      </c>
      <c r="D85" s="14"/>
      <c r="E85" s="443">
        <f>+'APU CAP 1-2'!H3403</f>
        <v>26738.666666666668</v>
      </c>
      <c r="F85" s="16">
        <f t="shared" si="5"/>
        <v>0</v>
      </c>
      <c r="G85" s="8">
        <f t="shared" si="4"/>
        <v>0</v>
      </c>
    </row>
    <row r="86" spans="1:7" hidden="1" x14ac:dyDescent="0.25">
      <c r="A86" s="17" t="s">
        <v>174</v>
      </c>
      <c r="B86" s="18" t="s">
        <v>170</v>
      </c>
      <c r="C86" s="14" t="s">
        <v>27</v>
      </c>
      <c r="D86" s="14"/>
      <c r="E86" s="443">
        <f>+'APU CAP 1-2'!H3458</f>
        <v>26738.666666666668</v>
      </c>
      <c r="F86" s="16">
        <f t="shared" si="5"/>
        <v>0</v>
      </c>
      <c r="G86" s="8">
        <f t="shared" si="4"/>
        <v>0</v>
      </c>
    </row>
    <row r="87" spans="1:7" hidden="1" x14ac:dyDescent="0.25">
      <c r="A87" s="17" t="s">
        <v>179</v>
      </c>
      <c r="B87" s="18" t="s">
        <v>175</v>
      </c>
      <c r="C87" s="14" t="s">
        <v>14</v>
      </c>
      <c r="D87" s="14"/>
      <c r="E87" s="443">
        <f>+'APU CAP 1-2'!H3513</f>
        <v>10992.083333333332</v>
      </c>
      <c r="F87" s="16">
        <f t="shared" si="5"/>
        <v>0</v>
      </c>
      <c r="G87" s="8">
        <f t="shared" si="4"/>
        <v>0</v>
      </c>
    </row>
    <row r="88" spans="1:7" hidden="1" x14ac:dyDescent="0.25">
      <c r="A88" s="17" t="s">
        <v>180</v>
      </c>
      <c r="B88" s="18" t="s">
        <v>176</v>
      </c>
      <c r="C88" s="14" t="s">
        <v>14</v>
      </c>
      <c r="D88" s="14"/>
      <c r="E88" s="443">
        <f>+'APU CAP 1-2'!H3568</f>
        <v>16317</v>
      </c>
      <c r="F88" s="16">
        <f t="shared" si="5"/>
        <v>0</v>
      </c>
      <c r="G88" s="8">
        <f t="shared" si="4"/>
        <v>0</v>
      </c>
    </row>
    <row r="89" spans="1:7" hidden="1" x14ac:dyDescent="0.25">
      <c r="A89" s="17" t="s">
        <v>181</v>
      </c>
      <c r="B89" s="18" t="s">
        <v>177</v>
      </c>
      <c r="C89" s="14" t="s">
        <v>14</v>
      </c>
      <c r="D89" s="14"/>
      <c r="E89" s="443">
        <f>+'APU CAP 1-2'!H3623</f>
        <v>20072.5</v>
      </c>
      <c r="F89" s="16">
        <f t="shared" si="5"/>
        <v>0</v>
      </c>
      <c r="G89" s="8">
        <f t="shared" si="4"/>
        <v>0</v>
      </c>
    </row>
    <row r="90" spans="1:7" hidden="1" x14ac:dyDescent="0.25">
      <c r="A90" s="17" t="s">
        <v>182</v>
      </c>
      <c r="B90" s="18" t="s">
        <v>178</v>
      </c>
      <c r="C90" s="14" t="s">
        <v>14</v>
      </c>
      <c r="D90" s="14"/>
      <c r="E90" s="443">
        <f>+'APU CAP 1-2'!H3678</f>
        <v>26331.666666666668</v>
      </c>
      <c r="F90" s="16">
        <f t="shared" si="5"/>
        <v>0</v>
      </c>
      <c r="G90" s="8">
        <f t="shared" si="4"/>
        <v>0</v>
      </c>
    </row>
    <row r="91" spans="1:7" hidden="1" x14ac:dyDescent="0.25">
      <c r="A91" s="17" t="s">
        <v>183</v>
      </c>
      <c r="B91" s="18" t="s">
        <v>184</v>
      </c>
      <c r="C91" s="14" t="s">
        <v>14</v>
      </c>
      <c r="D91" s="14"/>
      <c r="E91" s="443">
        <f>+'APU CAP 1-2'!H3733</f>
        <v>35150</v>
      </c>
      <c r="F91" s="16">
        <f t="shared" si="5"/>
        <v>0</v>
      </c>
      <c r="G91" s="8">
        <f t="shared" si="4"/>
        <v>0</v>
      </c>
    </row>
    <row r="92" spans="1:7" hidden="1" x14ac:dyDescent="0.25">
      <c r="A92" s="17" t="s">
        <v>185</v>
      </c>
      <c r="B92" s="18" t="s">
        <v>186</v>
      </c>
      <c r="C92" s="14" t="s">
        <v>146</v>
      </c>
      <c r="D92" s="14"/>
      <c r="E92" s="443">
        <f>+'APU CAP 1-2'!H3788</f>
        <v>1631.7</v>
      </c>
      <c r="F92" s="16">
        <f t="shared" si="5"/>
        <v>0</v>
      </c>
      <c r="G92" s="8">
        <f t="shared" si="4"/>
        <v>0</v>
      </c>
    </row>
    <row r="93" spans="1:7" hidden="1" x14ac:dyDescent="0.25">
      <c r="A93" s="2454" t="s">
        <v>839</v>
      </c>
      <c r="B93" s="2455"/>
      <c r="C93" s="2455"/>
      <c r="D93" s="2455"/>
      <c r="E93" s="2455"/>
      <c r="F93" s="45">
        <f>SUM(F82:F92)</f>
        <v>0</v>
      </c>
      <c r="G93" s="8">
        <f t="shared" si="4"/>
        <v>0</v>
      </c>
    </row>
    <row r="94" spans="1:7" x14ac:dyDescent="0.25">
      <c r="A94" s="20">
        <v>3</v>
      </c>
      <c r="B94" s="21" t="s">
        <v>32</v>
      </c>
      <c r="C94" s="22"/>
      <c r="D94" s="22"/>
      <c r="E94" s="23"/>
      <c r="F94" s="24"/>
      <c r="G94" s="8">
        <v>1</v>
      </c>
    </row>
    <row r="95" spans="1:7" hidden="1" x14ac:dyDescent="0.25">
      <c r="A95" s="12" t="s">
        <v>33</v>
      </c>
      <c r="B95" s="13" t="s">
        <v>34</v>
      </c>
      <c r="C95" s="14"/>
      <c r="D95" s="14"/>
      <c r="E95" s="15"/>
      <c r="F95" s="16"/>
      <c r="G95" s="8">
        <f t="shared" si="4"/>
        <v>0</v>
      </c>
    </row>
    <row r="96" spans="1:7" hidden="1" x14ac:dyDescent="0.25">
      <c r="A96" s="12" t="s">
        <v>187</v>
      </c>
      <c r="B96" s="13" t="s">
        <v>188</v>
      </c>
      <c r="C96" s="14"/>
      <c r="D96" s="14"/>
      <c r="E96" s="15"/>
      <c r="F96" s="16"/>
      <c r="G96" s="8">
        <f t="shared" si="4"/>
        <v>0</v>
      </c>
    </row>
    <row r="97" spans="1:7" hidden="1" x14ac:dyDescent="0.25">
      <c r="A97" s="17" t="s">
        <v>189</v>
      </c>
      <c r="B97" s="18" t="s">
        <v>193</v>
      </c>
      <c r="C97" s="14" t="s">
        <v>14</v>
      </c>
      <c r="D97" s="14"/>
      <c r="E97" s="15">
        <f>+'APU CAP 3'!H51</f>
        <v>3788.6967006</v>
      </c>
      <c r="F97" s="16">
        <f t="shared" ref="F97:F106" si="6">+D97*E97</f>
        <v>0</v>
      </c>
      <c r="G97" s="8">
        <f t="shared" si="4"/>
        <v>0</v>
      </c>
    </row>
    <row r="98" spans="1:7" hidden="1" x14ac:dyDescent="0.25">
      <c r="A98" s="17" t="s">
        <v>190</v>
      </c>
      <c r="B98" s="18" t="s">
        <v>194</v>
      </c>
      <c r="C98" s="14" t="s">
        <v>14</v>
      </c>
      <c r="D98" s="14"/>
      <c r="E98" s="15">
        <f>+'APU CAP 3'!H51</f>
        <v>3788.6967006</v>
      </c>
      <c r="F98" s="16">
        <f t="shared" si="6"/>
        <v>0</v>
      </c>
      <c r="G98" s="8">
        <f t="shared" si="4"/>
        <v>0</v>
      </c>
    </row>
    <row r="99" spans="1:7" hidden="1" x14ac:dyDescent="0.25">
      <c r="A99" s="17" t="s">
        <v>191</v>
      </c>
      <c r="B99" s="18" t="s">
        <v>195</v>
      </c>
      <c r="C99" s="14" t="s">
        <v>14</v>
      </c>
      <c r="D99" s="14"/>
      <c r="E99" s="15">
        <f>+'APU CAP 3'!H105</f>
        <v>5173</v>
      </c>
      <c r="F99" s="16">
        <f t="shared" si="6"/>
        <v>0</v>
      </c>
      <c r="G99" s="8">
        <f t="shared" si="4"/>
        <v>0</v>
      </c>
    </row>
    <row r="100" spans="1:7" hidden="1" x14ac:dyDescent="0.25">
      <c r="A100" s="17" t="s">
        <v>192</v>
      </c>
      <c r="B100" s="18" t="s">
        <v>196</v>
      </c>
      <c r="C100" s="14" t="s">
        <v>14</v>
      </c>
      <c r="D100" s="14"/>
      <c r="E100" s="15">
        <f>+'APU CAP 3'!H105</f>
        <v>5173</v>
      </c>
      <c r="F100" s="16">
        <f t="shared" si="6"/>
        <v>0</v>
      </c>
      <c r="G100" s="8">
        <f t="shared" si="4"/>
        <v>0</v>
      </c>
    </row>
    <row r="101" spans="1:7" hidden="1" x14ac:dyDescent="0.25">
      <c r="A101" s="17" t="s">
        <v>220</v>
      </c>
      <c r="B101" s="18" t="s">
        <v>221</v>
      </c>
      <c r="C101" s="14" t="s">
        <v>14</v>
      </c>
      <c r="D101" s="14"/>
      <c r="E101" s="15"/>
      <c r="F101" s="16">
        <f t="shared" si="6"/>
        <v>0</v>
      </c>
      <c r="G101" s="8">
        <f t="shared" si="4"/>
        <v>0</v>
      </c>
    </row>
    <row r="102" spans="1:7" hidden="1" x14ac:dyDescent="0.25">
      <c r="A102" s="17" t="s">
        <v>225</v>
      </c>
      <c r="B102" s="18" t="s">
        <v>5991</v>
      </c>
      <c r="C102" s="14" t="s">
        <v>14</v>
      </c>
      <c r="D102" s="14"/>
      <c r="E102" s="15"/>
      <c r="F102" s="16">
        <f t="shared" si="6"/>
        <v>0</v>
      </c>
      <c r="G102" s="8">
        <f t="shared" si="4"/>
        <v>0</v>
      </c>
    </row>
    <row r="103" spans="1:7" hidden="1" x14ac:dyDescent="0.25">
      <c r="A103" s="17" t="s">
        <v>226</v>
      </c>
      <c r="B103" s="18" t="s">
        <v>223</v>
      </c>
      <c r="C103" s="14" t="s">
        <v>14</v>
      </c>
      <c r="D103" s="14"/>
      <c r="E103" s="15"/>
      <c r="F103" s="16">
        <f t="shared" si="6"/>
        <v>0</v>
      </c>
      <c r="G103" s="8">
        <f t="shared" si="4"/>
        <v>0</v>
      </c>
    </row>
    <row r="104" spans="1:7" hidden="1" x14ac:dyDescent="0.25">
      <c r="A104" s="17" t="s">
        <v>227</v>
      </c>
      <c r="B104" s="18" t="s">
        <v>224</v>
      </c>
      <c r="C104" s="14" t="s">
        <v>14</v>
      </c>
      <c r="D104" s="14"/>
      <c r="E104" s="15"/>
      <c r="F104" s="16">
        <f t="shared" si="6"/>
        <v>0</v>
      </c>
      <c r="G104" s="8">
        <f t="shared" si="4"/>
        <v>0</v>
      </c>
    </row>
    <row r="105" spans="1:7" hidden="1" x14ac:dyDescent="0.25">
      <c r="A105" s="17" t="s">
        <v>228</v>
      </c>
      <c r="B105" s="18" t="s">
        <v>222</v>
      </c>
      <c r="C105" s="14" t="s">
        <v>14</v>
      </c>
      <c r="D105" s="14"/>
      <c r="E105" s="15"/>
      <c r="F105" s="16">
        <f t="shared" si="6"/>
        <v>0</v>
      </c>
      <c r="G105" s="8">
        <f t="shared" si="4"/>
        <v>0</v>
      </c>
    </row>
    <row r="106" spans="1:7" hidden="1" x14ac:dyDescent="0.25">
      <c r="A106" s="17" t="s">
        <v>229</v>
      </c>
      <c r="B106" s="18" t="s">
        <v>230</v>
      </c>
      <c r="C106" s="14" t="s">
        <v>14</v>
      </c>
      <c r="D106" s="14"/>
      <c r="E106" s="15">
        <f>+'APU CAP 3'!H159</f>
        <v>462</v>
      </c>
      <c r="F106" s="16">
        <f t="shared" si="6"/>
        <v>0</v>
      </c>
      <c r="G106" s="8">
        <f t="shared" si="4"/>
        <v>0</v>
      </c>
    </row>
    <row r="107" spans="1:7" hidden="1" x14ac:dyDescent="0.25">
      <c r="A107" s="12" t="s">
        <v>35</v>
      </c>
      <c r="B107" s="13" t="s">
        <v>36</v>
      </c>
      <c r="C107" s="14"/>
      <c r="D107" s="26"/>
      <c r="E107" s="15"/>
      <c r="F107" s="16"/>
      <c r="G107" s="8">
        <f t="shared" si="4"/>
        <v>0</v>
      </c>
    </row>
    <row r="108" spans="1:7" hidden="1" x14ac:dyDescent="0.25">
      <c r="A108" s="17" t="s">
        <v>406</v>
      </c>
      <c r="B108" s="18" t="s">
        <v>208</v>
      </c>
      <c r="C108" s="14" t="s">
        <v>14</v>
      </c>
      <c r="D108" s="26"/>
      <c r="E108" s="15">
        <f>+'APU CAP 3'!H213</f>
        <v>3247</v>
      </c>
      <c r="F108" s="16">
        <f t="shared" ref="F108:F120" si="7">+D108*E108</f>
        <v>0</v>
      </c>
      <c r="G108" s="8">
        <f t="shared" si="4"/>
        <v>0</v>
      </c>
    </row>
    <row r="109" spans="1:7" hidden="1" x14ac:dyDescent="0.25">
      <c r="A109" s="17" t="s">
        <v>407</v>
      </c>
      <c r="B109" s="18" t="s">
        <v>405</v>
      </c>
      <c r="C109" s="14" t="s">
        <v>14</v>
      </c>
      <c r="D109" s="26"/>
      <c r="E109" s="15">
        <f>+'APU CAP 3'!H213</f>
        <v>3247</v>
      </c>
      <c r="F109" s="16">
        <f t="shared" si="7"/>
        <v>0</v>
      </c>
      <c r="G109" s="8">
        <f t="shared" si="4"/>
        <v>0</v>
      </c>
    </row>
    <row r="110" spans="1:7" hidden="1" x14ac:dyDescent="0.25">
      <c r="A110" s="17" t="s">
        <v>197</v>
      </c>
      <c r="B110" s="18" t="s">
        <v>209</v>
      </c>
      <c r="C110" s="14" t="s">
        <v>14</v>
      </c>
      <c r="D110" s="26"/>
      <c r="E110" s="15">
        <f>+'APU CAP 3'!P213</f>
        <v>3933</v>
      </c>
      <c r="F110" s="16">
        <f t="shared" si="7"/>
        <v>0</v>
      </c>
      <c r="G110" s="8">
        <f t="shared" si="4"/>
        <v>0</v>
      </c>
    </row>
    <row r="111" spans="1:7" hidden="1" x14ac:dyDescent="0.25">
      <c r="A111" s="17" t="s">
        <v>198</v>
      </c>
      <c r="B111" s="18" t="s">
        <v>210</v>
      </c>
      <c r="C111" s="14" t="s">
        <v>14</v>
      </c>
      <c r="D111" s="26"/>
      <c r="E111" s="15">
        <f>+'APU CAP 3'!X213</f>
        <v>4802</v>
      </c>
      <c r="F111" s="16">
        <f t="shared" si="7"/>
        <v>0</v>
      </c>
      <c r="G111" s="8">
        <f t="shared" si="4"/>
        <v>0</v>
      </c>
    </row>
    <row r="112" spans="1:7" hidden="1" x14ac:dyDescent="0.25">
      <c r="A112" s="17" t="s">
        <v>199</v>
      </c>
      <c r="B112" s="18" t="s">
        <v>211</v>
      </c>
      <c r="C112" s="14" t="s">
        <v>14</v>
      </c>
      <c r="D112" s="26"/>
      <c r="E112" s="15">
        <f>+'APU CAP 3'!H267</f>
        <v>8019</v>
      </c>
      <c r="F112" s="16">
        <f t="shared" si="7"/>
        <v>0</v>
      </c>
      <c r="G112" s="8">
        <f t="shared" si="4"/>
        <v>0</v>
      </c>
    </row>
    <row r="113" spans="1:7" hidden="1" x14ac:dyDescent="0.25">
      <c r="A113" s="17" t="s">
        <v>200</v>
      </c>
      <c r="B113" s="18" t="s">
        <v>212</v>
      </c>
      <c r="C113" s="14" t="s">
        <v>14</v>
      </c>
      <c r="D113" s="26"/>
      <c r="E113" s="15">
        <f>+'APU CAP 3'!P267</f>
        <v>10956</v>
      </c>
      <c r="F113" s="16">
        <f t="shared" si="7"/>
        <v>0</v>
      </c>
      <c r="G113" s="8">
        <f t="shared" si="4"/>
        <v>0</v>
      </c>
    </row>
    <row r="114" spans="1:7" hidden="1" x14ac:dyDescent="0.25">
      <c r="A114" s="17" t="s">
        <v>201</v>
      </c>
      <c r="B114" s="18" t="s">
        <v>213</v>
      </c>
      <c r="C114" s="14" t="s">
        <v>14</v>
      </c>
      <c r="D114" s="26"/>
      <c r="E114" s="15">
        <f>+'APU CAP 3'!H321</f>
        <v>13725</v>
      </c>
      <c r="F114" s="16">
        <f t="shared" si="7"/>
        <v>0</v>
      </c>
      <c r="G114" s="8">
        <f t="shared" si="4"/>
        <v>0</v>
      </c>
    </row>
    <row r="115" spans="1:7" hidden="1" x14ac:dyDescent="0.25">
      <c r="A115" s="17" t="s">
        <v>202</v>
      </c>
      <c r="B115" s="18" t="s">
        <v>214</v>
      </c>
      <c r="C115" s="14" t="s">
        <v>14</v>
      </c>
      <c r="D115" s="26"/>
      <c r="E115" s="15">
        <f>+'APU CAP 3'!P321</f>
        <v>16500</v>
      </c>
      <c r="F115" s="16">
        <f t="shared" si="7"/>
        <v>0</v>
      </c>
      <c r="G115" s="8">
        <f t="shared" si="4"/>
        <v>0</v>
      </c>
    </row>
    <row r="116" spans="1:7" hidden="1" x14ac:dyDescent="0.25">
      <c r="A116" s="17" t="s">
        <v>203</v>
      </c>
      <c r="B116" s="18" t="s">
        <v>215</v>
      </c>
      <c r="C116" s="14" t="s">
        <v>14</v>
      </c>
      <c r="D116" s="26"/>
      <c r="E116" s="15">
        <f>+'APU CAP 3'!H375</f>
        <v>20256</v>
      </c>
      <c r="F116" s="16">
        <f t="shared" si="7"/>
        <v>0</v>
      </c>
      <c r="G116" s="8">
        <f t="shared" si="4"/>
        <v>0</v>
      </c>
    </row>
    <row r="117" spans="1:7" hidden="1" x14ac:dyDescent="0.25">
      <c r="A117" s="17" t="s">
        <v>204</v>
      </c>
      <c r="B117" s="18" t="s">
        <v>216</v>
      </c>
      <c r="C117" s="14" t="s">
        <v>14</v>
      </c>
      <c r="D117" s="26"/>
      <c r="E117" s="15">
        <f>+'APU CAP 3'!P375</f>
        <v>23506</v>
      </c>
      <c r="F117" s="16">
        <f t="shared" si="7"/>
        <v>0</v>
      </c>
      <c r="G117" s="8">
        <f t="shared" si="4"/>
        <v>0</v>
      </c>
    </row>
    <row r="118" spans="1:7" hidden="1" x14ac:dyDescent="0.25">
      <c r="A118" s="17" t="s">
        <v>205</v>
      </c>
      <c r="B118" s="18" t="s">
        <v>217</v>
      </c>
      <c r="C118" s="14" t="s">
        <v>14</v>
      </c>
      <c r="D118" s="26"/>
      <c r="E118" s="15">
        <f>+'APU CAP 3'!H429</f>
        <v>28370</v>
      </c>
      <c r="F118" s="16">
        <f t="shared" si="7"/>
        <v>0</v>
      </c>
      <c r="G118" s="8">
        <f t="shared" si="4"/>
        <v>0</v>
      </c>
    </row>
    <row r="119" spans="1:7" hidden="1" x14ac:dyDescent="0.25">
      <c r="A119" s="17" t="s">
        <v>206</v>
      </c>
      <c r="B119" s="18" t="s">
        <v>218</v>
      </c>
      <c r="C119" s="14" t="s">
        <v>14</v>
      </c>
      <c r="D119" s="26"/>
      <c r="E119" s="15">
        <f>+'APU CAP 3'!P429</f>
        <v>35037</v>
      </c>
      <c r="F119" s="16">
        <f t="shared" si="7"/>
        <v>0</v>
      </c>
      <c r="G119" s="8">
        <f t="shared" si="4"/>
        <v>0</v>
      </c>
    </row>
    <row r="120" spans="1:7" hidden="1" x14ac:dyDescent="0.25">
      <c r="A120" s="17" t="s">
        <v>207</v>
      </c>
      <c r="B120" s="18" t="s">
        <v>219</v>
      </c>
      <c r="C120" s="14" t="s">
        <v>14</v>
      </c>
      <c r="D120" s="26"/>
      <c r="E120" s="15"/>
      <c r="F120" s="16">
        <f t="shared" si="7"/>
        <v>0</v>
      </c>
      <c r="G120" s="8">
        <f t="shared" si="4"/>
        <v>0</v>
      </c>
    </row>
    <row r="121" spans="1:7" hidden="1" x14ac:dyDescent="0.25">
      <c r="A121" s="12" t="s">
        <v>231</v>
      </c>
      <c r="B121" s="13" t="s">
        <v>232</v>
      </c>
      <c r="C121" s="14"/>
      <c r="D121" s="26"/>
      <c r="E121" s="15"/>
      <c r="F121" s="16"/>
      <c r="G121" s="8">
        <f t="shared" si="4"/>
        <v>0</v>
      </c>
    </row>
    <row r="122" spans="1:7" hidden="1" x14ac:dyDescent="0.25">
      <c r="A122" s="17" t="s">
        <v>233</v>
      </c>
      <c r="B122" s="18" t="s">
        <v>236</v>
      </c>
      <c r="C122" s="14" t="s">
        <v>37</v>
      </c>
      <c r="D122" s="26"/>
      <c r="E122" s="15">
        <f>+'APU CAP 3'!H483</f>
        <v>8497</v>
      </c>
      <c r="F122" s="16">
        <f t="shared" ref="F122:F127" si="8">+D122*E122</f>
        <v>0</v>
      </c>
      <c r="G122" s="8">
        <f t="shared" si="4"/>
        <v>0</v>
      </c>
    </row>
    <row r="123" spans="1:7" hidden="1" x14ac:dyDescent="0.25">
      <c r="A123" s="17" t="s">
        <v>234</v>
      </c>
      <c r="B123" s="18" t="s">
        <v>237</v>
      </c>
      <c r="C123" s="14" t="s">
        <v>37</v>
      </c>
      <c r="D123" s="26"/>
      <c r="E123" s="15">
        <f>+'APU CAP 3'!H537</f>
        <v>10839</v>
      </c>
      <c r="F123" s="16">
        <f t="shared" si="8"/>
        <v>0</v>
      </c>
      <c r="G123" s="8">
        <f t="shared" si="4"/>
        <v>0</v>
      </c>
    </row>
    <row r="124" spans="1:7" hidden="1" x14ac:dyDescent="0.25">
      <c r="A124" s="17" t="s">
        <v>235</v>
      </c>
      <c r="B124" s="18" t="s">
        <v>238</v>
      </c>
      <c r="C124" s="14" t="s">
        <v>37</v>
      </c>
      <c r="D124" s="26"/>
      <c r="E124" s="15">
        <f>+'APU CAP 3'!H591</f>
        <v>17536</v>
      </c>
      <c r="F124" s="16">
        <f t="shared" si="8"/>
        <v>0</v>
      </c>
      <c r="G124" s="8">
        <f t="shared" si="4"/>
        <v>0</v>
      </c>
    </row>
    <row r="125" spans="1:7" hidden="1" x14ac:dyDescent="0.25">
      <c r="A125" s="17" t="s">
        <v>5761</v>
      </c>
      <c r="B125" s="18" t="s">
        <v>5763</v>
      </c>
      <c r="C125" s="14" t="s">
        <v>37</v>
      </c>
      <c r="D125" s="26"/>
      <c r="E125" s="15"/>
      <c r="F125" s="16">
        <f t="shared" si="8"/>
        <v>0</v>
      </c>
      <c r="G125" s="8">
        <f t="shared" si="4"/>
        <v>0</v>
      </c>
    </row>
    <row r="126" spans="1:7" hidden="1" x14ac:dyDescent="0.25">
      <c r="A126" s="17" t="s">
        <v>5762</v>
      </c>
      <c r="B126" s="18" t="s">
        <v>5764</v>
      </c>
      <c r="C126" s="14" t="s">
        <v>37</v>
      </c>
      <c r="D126" s="26"/>
      <c r="E126" s="15"/>
      <c r="F126" s="16">
        <f t="shared" si="8"/>
        <v>0</v>
      </c>
      <c r="G126" s="8">
        <f t="shared" si="4"/>
        <v>0</v>
      </c>
    </row>
    <row r="127" spans="1:7" hidden="1" x14ac:dyDescent="0.25">
      <c r="A127" s="17" t="s">
        <v>5765</v>
      </c>
      <c r="B127" s="18" t="s">
        <v>5766</v>
      </c>
      <c r="C127" s="14" t="s">
        <v>37</v>
      </c>
      <c r="D127" s="26"/>
      <c r="E127" s="15"/>
      <c r="F127" s="16">
        <f t="shared" si="8"/>
        <v>0</v>
      </c>
      <c r="G127" s="8">
        <f t="shared" si="4"/>
        <v>0</v>
      </c>
    </row>
    <row r="128" spans="1:7" hidden="1" x14ac:dyDescent="0.25">
      <c r="A128" s="12" t="s">
        <v>239</v>
      </c>
      <c r="B128" s="13" t="s">
        <v>240</v>
      </c>
      <c r="C128" s="14"/>
      <c r="D128" s="26"/>
      <c r="E128" s="15"/>
      <c r="F128" s="16"/>
      <c r="G128" s="8">
        <f t="shared" si="4"/>
        <v>0</v>
      </c>
    </row>
    <row r="129" spans="1:7" hidden="1" x14ac:dyDescent="0.25">
      <c r="A129" s="17" t="s">
        <v>241</v>
      </c>
      <c r="B129" s="18" t="s">
        <v>1924</v>
      </c>
      <c r="C129" s="14" t="s">
        <v>14</v>
      </c>
      <c r="D129" s="26"/>
      <c r="E129" s="15">
        <f>+'APU CAP 3'!H645</f>
        <v>11850</v>
      </c>
      <c r="F129" s="16">
        <f t="shared" ref="F129:F149" si="9">+D129*E129</f>
        <v>0</v>
      </c>
      <c r="G129" s="8">
        <f t="shared" si="4"/>
        <v>0</v>
      </c>
    </row>
    <row r="130" spans="1:7" hidden="1" x14ac:dyDescent="0.25">
      <c r="A130" s="17" t="s">
        <v>253</v>
      </c>
      <c r="B130" s="18" t="s">
        <v>242</v>
      </c>
      <c r="C130" s="14" t="s">
        <v>14</v>
      </c>
      <c r="D130" s="26"/>
      <c r="E130" s="15">
        <f>+E129</f>
        <v>11850</v>
      </c>
      <c r="F130" s="16">
        <f t="shared" si="9"/>
        <v>0</v>
      </c>
      <c r="G130" s="8">
        <f t="shared" si="4"/>
        <v>0</v>
      </c>
    </row>
    <row r="131" spans="1:7" hidden="1" x14ac:dyDescent="0.25">
      <c r="A131" s="17" t="s">
        <v>254</v>
      </c>
      <c r="B131" s="18" t="s">
        <v>243</v>
      </c>
      <c r="C131" s="14" t="s">
        <v>14</v>
      </c>
      <c r="D131" s="26"/>
      <c r="E131" s="15">
        <f>+E129</f>
        <v>11850</v>
      </c>
      <c r="F131" s="16">
        <f t="shared" si="9"/>
        <v>0</v>
      </c>
      <c r="G131" s="8">
        <f t="shared" si="4"/>
        <v>0</v>
      </c>
    </row>
    <row r="132" spans="1:7" hidden="1" x14ac:dyDescent="0.25">
      <c r="A132" s="17" t="s">
        <v>255</v>
      </c>
      <c r="B132" s="18" t="s">
        <v>244</v>
      </c>
      <c r="C132" s="14" t="s">
        <v>14</v>
      </c>
      <c r="D132" s="26"/>
      <c r="E132" s="15">
        <f>+E129</f>
        <v>11850</v>
      </c>
      <c r="F132" s="16">
        <f t="shared" si="9"/>
        <v>0</v>
      </c>
      <c r="G132" s="8">
        <f t="shared" si="4"/>
        <v>0</v>
      </c>
    </row>
    <row r="133" spans="1:7" hidden="1" x14ac:dyDescent="0.25">
      <c r="A133" s="17" t="s">
        <v>256</v>
      </c>
      <c r="B133" s="18" t="s">
        <v>245</v>
      </c>
      <c r="C133" s="14" t="s">
        <v>14</v>
      </c>
      <c r="D133" s="26"/>
      <c r="E133" s="15">
        <f>+E129</f>
        <v>11850</v>
      </c>
      <c r="F133" s="16">
        <f t="shared" si="9"/>
        <v>0</v>
      </c>
      <c r="G133" s="8">
        <f t="shared" si="4"/>
        <v>0</v>
      </c>
    </row>
    <row r="134" spans="1:7" hidden="1" x14ac:dyDescent="0.25">
      <c r="A134" s="17" t="s">
        <v>257</v>
      </c>
      <c r="B134" s="18" t="s">
        <v>246</v>
      </c>
      <c r="C134" s="14" t="s">
        <v>14</v>
      </c>
      <c r="D134" s="26"/>
      <c r="E134" s="15">
        <f>+E129</f>
        <v>11850</v>
      </c>
      <c r="F134" s="16">
        <f t="shared" si="9"/>
        <v>0</v>
      </c>
      <c r="G134" s="8">
        <f t="shared" si="4"/>
        <v>0</v>
      </c>
    </row>
    <row r="135" spans="1:7" hidden="1" x14ac:dyDescent="0.25">
      <c r="A135" s="17" t="s">
        <v>258</v>
      </c>
      <c r="B135" s="18" t="s">
        <v>1925</v>
      </c>
      <c r="C135" s="14" t="s">
        <v>14</v>
      </c>
      <c r="D135" s="26"/>
      <c r="E135" s="15">
        <f>+'APU CAP 3'!P645</f>
        <v>15182</v>
      </c>
      <c r="F135" s="16">
        <f t="shared" si="9"/>
        <v>0</v>
      </c>
      <c r="G135" s="8">
        <f t="shared" si="4"/>
        <v>0</v>
      </c>
    </row>
    <row r="136" spans="1:7" hidden="1" x14ac:dyDescent="0.25">
      <c r="A136" s="17" t="s">
        <v>259</v>
      </c>
      <c r="B136" s="18" t="s">
        <v>1926</v>
      </c>
      <c r="C136" s="14" t="s">
        <v>14</v>
      </c>
      <c r="D136" s="26"/>
      <c r="E136" s="15">
        <f>+E135</f>
        <v>15182</v>
      </c>
      <c r="F136" s="16">
        <f t="shared" si="9"/>
        <v>0</v>
      </c>
      <c r="G136" s="8">
        <f t="shared" si="4"/>
        <v>0</v>
      </c>
    </row>
    <row r="137" spans="1:7" hidden="1" x14ac:dyDescent="0.25">
      <c r="A137" s="17" t="s">
        <v>260</v>
      </c>
      <c r="B137" s="18" t="s">
        <v>247</v>
      </c>
      <c r="C137" s="14" t="s">
        <v>14</v>
      </c>
      <c r="D137" s="26"/>
      <c r="E137" s="15">
        <f>+'APU CAP 3'!H699</f>
        <v>21692</v>
      </c>
      <c r="F137" s="16">
        <f t="shared" si="9"/>
        <v>0</v>
      </c>
      <c r="G137" s="8">
        <f t="shared" si="4"/>
        <v>0</v>
      </c>
    </row>
    <row r="138" spans="1:7" hidden="1" x14ac:dyDescent="0.25">
      <c r="A138" s="17" t="s">
        <v>261</v>
      </c>
      <c r="B138" s="18" t="s">
        <v>1927</v>
      </c>
      <c r="C138" s="14" t="s">
        <v>14</v>
      </c>
      <c r="D138" s="26"/>
      <c r="E138" s="15">
        <f>+E137</f>
        <v>21692</v>
      </c>
      <c r="F138" s="16">
        <f t="shared" si="9"/>
        <v>0</v>
      </c>
      <c r="G138" s="8">
        <f t="shared" si="4"/>
        <v>0</v>
      </c>
    </row>
    <row r="139" spans="1:7" hidden="1" x14ac:dyDescent="0.25">
      <c r="A139" s="17" t="s">
        <v>262</v>
      </c>
      <c r="B139" s="18" t="s">
        <v>248</v>
      </c>
      <c r="C139" s="14" t="s">
        <v>14</v>
      </c>
      <c r="D139" s="26"/>
      <c r="E139" s="15">
        <f>+E137</f>
        <v>21692</v>
      </c>
      <c r="F139" s="16">
        <f t="shared" si="9"/>
        <v>0</v>
      </c>
      <c r="G139" s="8">
        <f t="shared" ref="G139:G202" si="10">+IF(F139&lt;&gt;0,1,0)</f>
        <v>0</v>
      </c>
    </row>
    <row r="140" spans="1:7" hidden="1" x14ac:dyDescent="0.25">
      <c r="A140" s="17" t="s">
        <v>1933</v>
      </c>
      <c r="B140" s="18" t="s">
        <v>1928</v>
      </c>
      <c r="C140" s="14" t="s">
        <v>14</v>
      </c>
      <c r="D140" s="26"/>
      <c r="E140" s="15"/>
      <c r="F140" s="16">
        <f t="shared" si="9"/>
        <v>0</v>
      </c>
      <c r="G140" s="8">
        <f t="shared" si="10"/>
        <v>0</v>
      </c>
    </row>
    <row r="141" spans="1:7" hidden="1" x14ac:dyDescent="0.25">
      <c r="A141" s="17" t="s">
        <v>1934</v>
      </c>
      <c r="B141" s="18" t="s">
        <v>249</v>
      </c>
      <c r="C141" s="14" t="s">
        <v>14</v>
      </c>
      <c r="D141" s="26"/>
      <c r="E141" s="15"/>
      <c r="F141" s="16">
        <f t="shared" si="9"/>
        <v>0</v>
      </c>
      <c r="G141" s="8">
        <f t="shared" si="10"/>
        <v>0</v>
      </c>
    </row>
    <row r="142" spans="1:7" hidden="1" x14ac:dyDescent="0.25">
      <c r="A142" s="17" t="s">
        <v>1935</v>
      </c>
      <c r="B142" s="18" t="s">
        <v>1929</v>
      </c>
      <c r="C142" s="14" t="s">
        <v>14</v>
      </c>
      <c r="D142" s="26"/>
      <c r="E142" s="15"/>
      <c r="F142" s="16">
        <f t="shared" si="9"/>
        <v>0</v>
      </c>
      <c r="G142" s="8">
        <f t="shared" si="10"/>
        <v>0</v>
      </c>
    </row>
    <row r="143" spans="1:7" hidden="1" x14ac:dyDescent="0.25">
      <c r="A143" s="17" t="s">
        <v>1936</v>
      </c>
      <c r="B143" s="18" t="s">
        <v>250</v>
      </c>
      <c r="C143" s="14" t="s">
        <v>14</v>
      </c>
      <c r="D143" s="26"/>
      <c r="E143" s="15"/>
      <c r="F143" s="16">
        <f t="shared" si="9"/>
        <v>0</v>
      </c>
      <c r="G143" s="8">
        <f t="shared" si="10"/>
        <v>0</v>
      </c>
    </row>
    <row r="144" spans="1:7" hidden="1" x14ac:dyDescent="0.25">
      <c r="A144" s="17" t="s">
        <v>1937</v>
      </c>
      <c r="B144" s="18" t="s">
        <v>251</v>
      </c>
      <c r="C144" s="14" t="s">
        <v>14</v>
      </c>
      <c r="D144" s="26"/>
      <c r="E144" s="15"/>
      <c r="F144" s="16">
        <f t="shared" si="9"/>
        <v>0</v>
      </c>
      <c r="G144" s="8">
        <f t="shared" si="10"/>
        <v>0</v>
      </c>
    </row>
    <row r="145" spans="1:7" hidden="1" x14ac:dyDescent="0.25">
      <c r="A145" s="17" t="s">
        <v>1938</v>
      </c>
      <c r="B145" s="18" t="s">
        <v>252</v>
      </c>
      <c r="C145" s="14" t="s">
        <v>14</v>
      </c>
      <c r="D145" s="26"/>
      <c r="E145" s="15"/>
      <c r="F145" s="16">
        <f t="shared" si="9"/>
        <v>0</v>
      </c>
      <c r="G145" s="8">
        <f t="shared" si="10"/>
        <v>0</v>
      </c>
    </row>
    <row r="146" spans="1:7" hidden="1" x14ac:dyDescent="0.25">
      <c r="A146" s="17" t="s">
        <v>1939</v>
      </c>
      <c r="B146" s="18" t="s">
        <v>1930</v>
      </c>
      <c r="C146" s="14" t="s">
        <v>14</v>
      </c>
      <c r="D146" s="26"/>
      <c r="E146" s="15"/>
      <c r="F146" s="16">
        <f t="shared" si="9"/>
        <v>0</v>
      </c>
      <c r="G146" s="8">
        <f t="shared" si="10"/>
        <v>0</v>
      </c>
    </row>
    <row r="147" spans="1:7" hidden="1" x14ac:dyDescent="0.25">
      <c r="A147" s="17" t="s">
        <v>1940</v>
      </c>
      <c r="B147" s="18" t="s">
        <v>1931</v>
      </c>
      <c r="C147" s="14" t="s">
        <v>14</v>
      </c>
      <c r="D147" s="26"/>
      <c r="E147" s="15"/>
      <c r="F147" s="16">
        <f t="shared" si="9"/>
        <v>0</v>
      </c>
      <c r="G147" s="8">
        <f t="shared" si="10"/>
        <v>0</v>
      </c>
    </row>
    <row r="148" spans="1:7" hidden="1" x14ac:dyDescent="0.25">
      <c r="A148" s="17" t="s">
        <v>1941</v>
      </c>
      <c r="B148" s="18" t="s">
        <v>1932</v>
      </c>
      <c r="C148" s="14" t="s">
        <v>14</v>
      </c>
      <c r="D148" s="26"/>
      <c r="E148" s="15"/>
      <c r="F148" s="16">
        <f t="shared" si="9"/>
        <v>0</v>
      </c>
      <c r="G148" s="8">
        <f t="shared" si="10"/>
        <v>0</v>
      </c>
    </row>
    <row r="149" spans="1:7" hidden="1" x14ac:dyDescent="0.25">
      <c r="A149" s="17" t="s">
        <v>1942</v>
      </c>
      <c r="B149" s="18" t="s">
        <v>2347</v>
      </c>
      <c r="C149" s="14" t="s">
        <v>14</v>
      </c>
      <c r="D149" s="26"/>
      <c r="E149" s="15"/>
      <c r="F149" s="16">
        <f t="shared" si="9"/>
        <v>0</v>
      </c>
      <c r="G149" s="8">
        <f t="shared" si="10"/>
        <v>0</v>
      </c>
    </row>
    <row r="150" spans="1:7" hidden="1" x14ac:dyDescent="0.25">
      <c r="A150" s="12" t="s">
        <v>263</v>
      </c>
      <c r="B150" s="13" t="s">
        <v>264</v>
      </c>
      <c r="C150" s="14"/>
      <c r="D150" s="26"/>
      <c r="E150" s="15"/>
      <c r="F150" s="16"/>
      <c r="G150" s="8">
        <f t="shared" si="10"/>
        <v>0</v>
      </c>
    </row>
    <row r="151" spans="1:7" hidden="1" x14ac:dyDescent="0.25">
      <c r="A151" s="12" t="s">
        <v>265</v>
      </c>
      <c r="B151" s="13" t="s">
        <v>266</v>
      </c>
      <c r="C151" s="14"/>
      <c r="D151" s="26"/>
      <c r="E151" s="15"/>
      <c r="F151" s="16"/>
      <c r="G151" s="8">
        <f t="shared" si="10"/>
        <v>0</v>
      </c>
    </row>
    <row r="152" spans="1:7" hidden="1" x14ac:dyDescent="0.25">
      <c r="A152" s="17" t="s">
        <v>267</v>
      </c>
      <c r="B152" s="18" t="s">
        <v>5767</v>
      </c>
      <c r="C152" s="14" t="s">
        <v>37</v>
      </c>
      <c r="D152" s="26"/>
      <c r="E152" s="15">
        <f>+'APU CAP 3'!H753</f>
        <v>24616</v>
      </c>
      <c r="F152" s="16">
        <f>+D152*E152</f>
        <v>0</v>
      </c>
      <c r="G152" s="8">
        <f t="shared" si="10"/>
        <v>0</v>
      </c>
    </row>
    <row r="153" spans="1:7" hidden="1" x14ac:dyDescent="0.25">
      <c r="A153" s="17" t="s">
        <v>268</v>
      </c>
      <c r="B153" s="18" t="s">
        <v>5768</v>
      </c>
      <c r="C153" s="14" t="s">
        <v>37</v>
      </c>
      <c r="D153" s="26"/>
      <c r="E153" s="15">
        <f>+'APU CAP 3'!H807</f>
        <v>36092</v>
      </c>
      <c r="F153" s="16">
        <f>+D153*E153</f>
        <v>0</v>
      </c>
      <c r="G153" s="8">
        <f t="shared" si="10"/>
        <v>0</v>
      </c>
    </row>
    <row r="154" spans="1:7" hidden="1" x14ac:dyDescent="0.25">
      <c r="A154" s="17" t="s">
        <v>269</v>
      </c>
      <c r="B154" s="18" t="s">
        <v>5770</v>
      </c>
      <c r="C154" s="14" t="s">
        <v>37</v>
      </c>
      <c r="D154" s="26"/>
      <c r="E154" s="15"/>
      <c r="F154" s="16">
        <f>+D154*E154</f>
        <v>0</v>
      </c>
      <c r="G154" s="8">
        <f t="shared" si="10"/>
        <v>0</v>
      </c>
    </row>
    <row r="155" spans="1:7" hidden="1" x14ac:dyDescent="0.25">
      <c r="A155" s="17" t="s">
        <v>270</v>
      </c>
      <c r="B155" s="18" t="s">
        <v>5769</v>
      </c>
      <c r="C155" s="14" t="s">
        <v>37</v>
      </c>
      <c r="D155" s="26"/>
      <c r="E155" s="15"/>
      <c r="F155" s="16">
        <f>+D155*E155</f>
        <v>0</v>
      </c>
      <c r="G155" s="8">
        <f t="shared" si="10"/>
        <v>0</v>
      </c>
    </row>
    <row r="156" spans="1:7" hidden="1" x14ac:dyDescent="0.25">
      <c r="A156" s="17" t="s">
        <v>5771</v>
      </c>
      <c r="B156" s="18" t="s">
        <v>5769</v>
      </c>
      <c r="C156" s="14" t="s">
        <v>37</v>
      </c>
      <c r="D156" s="26"/>
      <c r="E156" s="15"/>
      <c r="F156" s="16">
        <f>+D156*E156</f>
        <v>0</v>
      </c>
      <c r="G156" s="8">
        <f t="shared" si="10"/>
        <v>0</v>
      </c>
    </row>
    <row r="157" spans="1:7" hidden="1" x14ac:dyDescent="0.25">
      <c r="A157" s="12" t="s">
        <v>272</v>
      </c>
      <c r="B157" s="13" t="s">
        <v>271</v>
      </c>
      <c r="C157" s="14"/>
      <c r="D157" s="26"/>
      <c r="E157" s="15"/>
      <c r="F157" s="16"/>
      <c r="G157" s="8">
        <f t="shared" si="10"/>
        <v>0</v>
      </c>
    </row>
    <row r="158" spans="1:7" hidden="1" x14ac:dyDescent="0.25">
      <c r="A158" s="17" t="s">
        <v>273</v>
      </c>
      <c r="B158" s="18" t="s">
        <v>5767</v>
      </c>
      <c r="C158" s="14" t="s">
        <v>37</v>
      </c>
      <c r="D158" s="26"/>
      <c r="E158" s="15">
        <f>+'APU CAP 3'!H861</f>
        <v>20671</v>
      </c>
      <c r="F158" s="16">
        <f>+D158*E158</f>
        <v>0</v>
      </c>
      <c r="G158" s="8">
        <f t="shared" si="10"/>
        <v>0</v>
      </c>
    </row>
    <row r="159" spans="1:7" hidden="1" x14ac:dyDescent="0.25">
      <c r="A159" s="17" t="s">
        <v>274</v>
      </c>
      <c r="B159" s="18" t="s">
        <v>5768</v>
      </c>
      <c r="C159" s="14" t="s">
        <v>37</v>
      </c>
      <c r="D159" s="26"/>
      <c r="E159" s="15">
        <f>+'APU CAP 3'!H915</f>
        <v>25671</v>
      </c>
      <c r="F159" s="16">
        <f>+D159*E159</f>
        <v>0</v>
      </c>
      <c r="G159" s="8">
        <f t="shared" si="10"/>
        <v>0</v>
      </c>
    </row>
    <row r="160" spans="1:7" hidden="1" x14ac:dyDescent="0.25">
      <c r="A160" s="17" t="s">
        <v>275</v>
      </c>
      <c r="B160" s="18" t="s">
        <v>5770</v>
      </c>
      <c r="C160" s="14" t="s">
        <v>37</v>
      </c>
      <c r="D160" s="26"/>
      <c r="E160" s="15"/>
      <c r="F160" s="16">
        <f>+D160*E160</f>
        <v>0</v>
      </c>
      <c r="G160" s="8">
        <f t="shared" si="10"/>
        <v>0</v>
      </c>
    </row>
    <row r="161" spans="1:7" hidden="1" x14ac:dyDescent="0.25">
      <c r="A161" s="17" t="s">
        <v>276</v>
      </c>
      <c r="B161" s="18" t="s">
        <v>5769</v>
      </c>
      <c r="C161" s="14" t="s">
        <v>37</v>
      </c>
      <c r="D161" s="26"/>
      <c r="E161" s="15"/>
      <c r="F161" s="16">
        <f>+D161*E161</f>
        <v>0</v>
      </c>
      <c r="G161" s="8">
        <f t="shared" si="10"/>
        <v>0</v>
      </c>
    </row>
    <row r="162" spans="1:7" hidden="1" x14ac:dyDescent="0.25">
      <c r="A162" s="17" t="s">
        <v>5772</v>
      </c>
      <c r="B162" s="18" t="s">
        <v>5769</v>
      </c>
      <c r="C162" s="14" t="s">
        <v>37</v>
      </c>
      <c r="D162" s="26"/>
      <c r="E162" s="15"/>
      <c r="F162" s="16">
        <f>+D162*E162</f>
        <v>0</v>
      </c>
      <c r="G162" s="8">
        <f t="shared" si="10"/>
        <v>0</v>
      </c>
    </row>
    <row r="163" spans="1:7" hidden="1" x14ac:dyDescent="0.25">
      <c r="A163" s="12" t="s">
        <v>2323</v>
      </c>
      <c r="B163" s="13" t="s">
        <v>5773</v>
      </c>
      <c r="C163" s="14"/>
      <c r="D163" s="26"/>
      <c r="E163" s="15"/>
      <c r="F163" s="16"/>
      <c r="G163" s="8">
        <f t="shared" si="10"/>
        <v>0</v>
      </c>
    </row>
    <row r="164" spans="1:7" hidden="1" x14ac:dyDescent="0.25">
      <c r="A164" s="17" t="s">
        <v>5797</v>
      </c>
      <c r="B164" s="18" t="s">
        <v>5774</v>
      </c>
      <c r="C164" s="14" t="s">
        <v>14</v>
      </c>
      <c r="D164" s="26"/>
      <c r="E164" s="15">
        <f>+E115</f>
        <v>16500</v>
      </c>
      <c r="F164" s="16">
        <f t="shared" ref="F164:F184" si="11">+D164*E164</f>
        <v>0</v>
      </c>
      <c r="G164" s="8">
        <f t="shared" si="10"/>
        <v>0</v>
      </c>
    </row>
    <row r="165" spans="1:7" hidden="1" x14ac:dyDescent="0.25">
      <c r="A165" s="17" t="s">
        <v>5798</v>
      </c>
      <c r="B165" s="18" t="s">
        <v>5775</v>
      </c>
      <c r="C165" s="14" t="s">
        <v>14</v>
      </c>
      <c r="D165" s="26"/>
      <c r="E165" s="15">
        <f>+E116</f>
        <v>20256</v>
      </c>
      <c r="F165" s="16">
        <f t="shared" si="11"/>
        <v>0</v>
      </c>
      <c r="G165" s="8">
        <f t="shared" si="10"/>
        <v>0</v>
      </c>
    </row>
    <row r="166" spans="1:7" hidden="1" x14ac:dyDescent="0.25">
      <c r="A166" s="17" t="s">
        <v>5799</v>
      </c>
      <c r="B166" s="18" t="s">
        <v>5776</v>
      </c>
      <c r="C166" s="14" t="s">
        <v>14</v>
      </c>
      <c r="D166" s="26"/>
      <c r="E166" s="15">
        <f>+E117</f>
        <v>23506</v>
      </c>
      <c r="F166" s="16">
        <f t="shared" si="11"/>
        <v>0</v>
      </c>
      <c r="G166" s="8">
        <f t="shared" si="10"/>
        <v>0</v>
      </c>
    </row>
    <row r="167" spans="1:7" hidden="1" x14ac:dyDescent="0.25">
      <c r="A167" s="17" t="s">
        <v>5800</v>
      </c>
      <c r="B167" s="18" t="s">
        <v>5777</v>
      </c>
      <c r="C167" s="14" t="s">
        <v>14</v>
      </c>
      <c r="D167" s="26"/>
      <c r="E167" s="15">
        <f>+E118</f>
        <v>28370</v>
      </c>
      <c r="F167" s="16">
        <f t="shared" si="11"/>
        <v>0</v>
      </c>
      <c r="G167" s="8">
        <f t="shared" si="10"/>
        <v>0</v>
      </c>
    </row>
    <row r="168" spans="1:7" hidden="1" x14ac:dyDescent="0.25">
      <c r="A168" s="17" t="s">
        <v>5801</v>
      </c>
      <c r="B168" s="18" t="s">
        <v>5778</v>
      </c>
      <c r="C168" s="14" t="s">
        <v>14</v>
      </c>
      <c r="D168" s="26"/>
      <c r="E168" s="15">
        <f>+E119</f>
        <v>35037</v>
      </c>
      <c r="F168" s="16">
        <f t="shared" si="11"/>
        <v>0</v>
      </c>
      <c r="G168" s="8">
        <f t="shared" si="10"/>
        <v>0</v>
      </c>
    </row>
    <row r="169" spans="1:7" hidden="1" x14ac:dyDescent="0.25">
      <c r="A169" s="17" t="s">
        <v>5802</v>
      </c>
      <c r="B169" s="18" t="s">
        <v>5779</v>
      </c>
      <c r="C169" s="14" t="s">
        <v>14</v>
      </c>
      <c r="D169" s="26"/>
      <c r="E169" s="15"/>
      <c r="F169" s="16">
        <f t="shared" si="11"/>
        <v>0</v>
      </c>
      <c r="G169" s="8">
        <f t="shared" si="10"/>
        <v>0</v>
      </c>
    </row>
    <row r="170" spans="1:7" hidden="1" x14ac:dyDescent="0.25">
      <c r="A170" s="17" t="s">
        <v>5803</v>
      </c>
      <c r="B170" s="18" t="s">
        <v>5780</v>
      </c>
      <c r="C170" s="14" t="s">
        <v>14</v>
      </c>
      <c r="D170" s="26"/>
      <c r="E170" s="15"/>
      <c r="F170" s="16">
        <f t="shared" si="11"/>
        <v>0</v>
      </c>
      <c r="G170" s="8">
        <f t="shared" si="10"/>
        <v>0</v>
      </c>
    </row>
    <row r="171" spans="1:7" hidden="1" x14ac:dyDescent="0.25">
      <c r="A171" s="17" t="s">
        <v>5804</v>
      </c>
      <c r="B171" s="18" t="s">
        <v>5781</v>
      </c>
      <c r="C171" s="14" t="s">
        <v>14</v>
      </c>
      <c r="D171" s="26"/>
      <c r="E171" s="15"/>
      <c r="F171" s="16">
        <f t="shared" si="11"/>
        <v>0</v>
      </c>
      <c r="G171" s="8">
        <f t="shared" si="10"/>
        <v>0</v>
      </c>
    </row>
    <row r="172" spans="1:7" hidden="1" x14ac:dyDescent="0.25">
      <c r="A172" s="17" t="s">
        <v>5805</v>
      </c>
      <c r="B172" s="18" t="s">
        <v>5782</v>
      </c>
      <c r="C172" s="14" t="s">
        <v>14</v>
      </c>
      <c r="D172" s="26"/>
      <c r="E172" s="15"/>
      <c r="F172" s="16">
        <f t="shared" si="11"/>
        <v>0</v>
      </c>
      <c r="G172" s="8">
        <f t="shared" si="10"/>
        <v>0</v>
      </c>
    </row>
    <row r="173" spans="1:7" hidden="1" x14ac:dyDescent="0.25">
      <c r="A173" s="17" t="s">
        <v>5806</v>
      </c>
      <c r="B173" s="18" t="s">
        <v>5783</v>
      </c>
      <c r="C173" s="14" t="s">
        <v>14</v>
      </c>
      <c r="D173" s="26"/>
      <c r="E173" s="15"/>
      <c r="F173" s="16">
        <f t="shared" si="11"/>
        <v>0</v>
      </c>
      <c r="G173" s="8">
        <f t="shared" si="10"/>
        <v>0</v>
      </c>
    </row>
    <row r="174" spans="1:7" hidden="1" x14ac:dyDescent="0.25">
      <c r="A174" s="17" t="s">
        <v>5807</v>
      </c>
      <c r="B174" s="18" t="s">
        <v>5784</v>
      </c>
      <c r="C174" s="14" t="s">
        <v>14</v>
      </c>
      <c r="D174" s="26"/>
      <c r="E174" s="15"/>
      <c r="F174" s="16">
        <f t="shared" si="11"/>
        <v>0</v>
      </c>
      <c r="G174" s="8">
        <f t="shared" si="10"/>
        <v>0</v>
      </c>
    </row>
    <row r="175" spans="1:7" hidden="1" x14ac:dyDescent="0.25">
      <c r="A175" s="17" t="s">
        <v>5808</v>
      </c>
      <c r="B175" s="18" t="s">
        <v>5785</v>
      </c>
      <c r="C175" s="14" t="s">
        <v>14</v>
      </c>
      <c r="D175" s="26"/>
      <c r="E175" s="15"/>
      <c r="F175" s="16">
        <f t="shared" si="11"/>
        <v>0</v>
      </c>
      <c r="G175" s="8">
        <f t="shared" si="10"/>
        <v>0</v>
      </c>
    </row>
    <row r="176" spans="1:7" hidden="1" x14ac:dyDescent="0.25">
      <c r="A176" s="17" t="s">
        <v>5809</v>
      </c>
      <c r="B176" s="18" t="s">
        <v>5786</v>
      </c>
      <c r="C176" s="14" t="s">
        <v>14</v>
      </c>
      <c r="D176" s="26"/>
      <c r="E176" s="15"/>
      <c r="F176" s="16">
        <f t="shared" si="11"/>
        <v>0</v>
      </c>
      <c r="G176" s="8">
        <f t="shared" si="10"/>
        <v>0</v>
      </c>
    </row>
    <row r="177" spans="1:7" hidden="1" x14ac:dyDescent="0.25">
      <c r="A177" s="17" t="s">
        <v>5810</v>
      </c>
      <c r="B177" s="18" t="s">
        <v>5788</v>
      </c>
      <c r="C177" s="14" t="s">
        <v>14</v>
      </c>
      <c r="D177" s="26"/>
      <c r="E177" s="15"/>
      <c r="F177" s="16">
        <f t="shared" si="11"/>
        <v>0</v>
      </c>
      <c r="G177" s="8">
        <f t="shared" si="10"/>
        <v>0</v>
      </c>
    </row>
    <row r="178" spans="1:7" hidden="1" x14ac:dyDescent="0.25">
      <c r="A178" s="17" t="s">
        <v>5811</v>
      </c>
      <c r="B178" s="18" t="s">
        <v>5787</v>
      </c>
      <c r="C178" s="14" t="s">
        <v>14</v>
      </c>
      <c r="D178" s="26"/>
      <c r="E178" s="15"/>
      <c r="F178" s="16">
        <f t="shared" si="11"/>
        <v>0</v>
      </c>
      <c r="G178" s="8">
        <f t="shared" si="10"/>
        <v>0</v>
      </c>
    </row>
    <row r="179" spans="1:7" hidden="1" x14ac:dyDescent="0.25">
      <c r="A179" s="17" t="s">
        <v>5812</v>
      </c>
      <c r="B179" s="18" t="s">
        <v>5789</v>
      </c>
      <c r="C179" s="14" t="s">
        <v>14</v>
      </c>
      <c r="D179" s="26"/>
      <c r="E179" s="15"/>
      <c r="F179" s="16">
        <f t="shared" si="11"/>
        <v>0</v>
      </c>
      <c r="G179" s="8">
        <f t="shared" si="10"/>
        <v>0</v>
      </c>
    </row>
    <row r="180" spans="1:7" hidden="1" x14ac:dyDescent="0.25">
      <c r="A180" s="17" t="s">
        <v>5813</v>
      </c>
      <c r="B180" s="18" t="s">
        <v>5790</v>
      </c>
      <c r="C180" s="14" t="s">
        <v>14</v>
      </c>
      <c r="D180" s="26"/>
      <c r="E180" s="15"/>
      <c r="F180" s="16">
        <f t="shared" si="11"/>
        <v>0</v>
      </c>
      <c r="G180" s="8">
        <f t="shared" si="10"/>
        <v>0</v>
      </c>
    </row>
    <row r="181" spans="1:7" hidden="1" x14ac:dyDescent="0.25">
      <c r="A181" s="17" t="s">
        <v>5814</v>
      </c>
      <c r="B181" s="18" t="s">
        <v>5791</v>
      </c>
      <c r="C181" s="14" t="s">
        <v>14</v>
      </c>
      <c r="D181" s="26"/>
      <c r="E181" s="15"/>
      <c r="F181" s="16">
        <f t="shared" si="11"/>
        <v>0</v>
      </c>
      <c r="G181" s="8">
        <f t="shared" si="10"/>
        <v>0</v>
      </c>
    </row>
    <row r="182" spans="1:7" hidden="1" x14ac:dyDescent="0.25">
      <c r="A182" s="17" t="s">
        <v>5815</v>
      </c>
      <c r="B182" s="18" t="s">
        <v>5792</v>
      </c>
      <c r="C182" s="14" t="s">
        <v>14</v>
      </c>
      <c r="D182" s="26"/>
      <c r="E182" s="15"/>
      <c r="F182" s="16">
        <f t="shared" si="11"/>
        <v>0</v>
      </c>
      <c r="G182" s="8">
        <f t="shared" si="10"/>
        <v>0</v>
      </c>
    </row>
    <row r="183" spans="1:7" hidden="1" x14ac:dyDescent="0.25">
      <c r="A183" s="17" t="s">
        <v>5816</v>
      </c>
      <c r="B183" s="18" t="s">
        <v>5793</v>
      </c>
      <c r="C183" s="14" t="s">
        <v>14</v>
      </c>
      <c r="D183" s="26"/>
      <c r="E183" s="15"/>
      <c r="F183" s="16">
        <f t="shared" si="11"/>
        <v>0</v>
      </c>
      <c r="G183" s="8">
        <f t="shared" si="10"/>
        <v>0</v>
      </c>
    </row>
    <row r="184" spans="1:7" hidden="1" x14ac:dyDescent="0.25">
      <c r="A184" s="17" t="s">
        <v>5817</v>
      </c>
      <c r="B184" s="18" t="s">
        <v>5794</v>
      </c>
      <c r="C184" s="14" t="s">
        <v>14</v>
      </c>
      <c r="D184" s="26"/>
      <c r="E184" s="15"/>
      <c r="F184" s="16">
        <f t="shared" si="11"/>
        <v>0</v>
      </c>
      <c r="G184" s="8">
        <f t="shared" si="10"/>
        <v>0</v>
      </c>
    </row>
    <row r="185" spans="1:7" hidden="1" x14ac:dyDescent="0.25">
      <c r="A185" s="17" t="s">
        <v>2336</v>
      </c>
      <c r="B185" s="13" t="s">
        <v>5795</v>
      </c>
      <c r="C185" s="14"/>
      <c r="D185" s="26"/>
      <c r="E185" s="15"/>
      <c r="F185" s="16"/>
      <c r="G185" s="8">
        <f t="shared" si="10"/>
        <v>0</v>
      </c>
    </row>
    <row r="186" spans="1:7" hidden="1" x14ac:dyDescent="0.25">
      <c r="A186" s="17" t="s">
        <v>5818</v>
      </c>
      <c r="B186" s="18" t="s">
        <v>5796</v>
      </c>
      <c r="C186" s="14" t="s">
        <v>37</v>
      </c>
      <c r="D186" s="26"/>
      <c r="E186" s="15"/>
      <c r="F186" s="16">
        <f t="shared" ref="F186:F206" si="12">+D186*E186</f>
        <v>0</v>
      </c>
      <c r="G186" s="8">
        <f t="shared" si="10"/>
        <v>0</v>
      </c>
    </row>
    <row r="187" spans="1:7" hidden="1" x14ac:dyDescent="0.25">
      <c r="A187" s="17" t="s">
        <v>5819</v>
      </c>
      <c r="B187" s="18" t="s">
        <v>5839</v>
      </c>
      <c r="C187" s="14" t="s">
        <v>37</v>
      </c>
      <c r="D187" s="26"/>
      <c r="E187" s="15"/>
      <c r="F187" s="16">
        <f t="shared" si="12"/>
        <v>0</v>
      </c>
      <c r="G187" s="8">
        <f t="shared" si="10"/>
        <v>0</v>
      </c>
    </row>
    <row r="188" spans="1:7" hidden="1" x14ac:dyDescent="0.25">
      <c r="A188" s="17" t="s">
        <v>5820</v>
      </c>
      <c r="B188" s="18" t="s">
        <v>5840</v>
      </c>
      <c r="C188" s="14" t="s">
        <v>37</v>
      </c>
      <c r="D188" s="26"/>
      <c r="E188" s="15"/>
      <c r="F188" s="16">
        <f t="shared" si="12"/>
        <v>0</v>
      </c>
      <c r="G188" s="8">
        <f t="shared" si="10"/>
        <v>0</v>
      </c>
    </row>
    <row r="189" spans="1:7" hidden="1" x14ac:dyDescent="0.25">
      <c r="A189" s="17" t="s">
        <v>5821</v>
      </c>
      <c r="B189" s="18" t="s">
        <v>5841</v>
      </c>
      <c r="C189" s="14" t="s">
        <v>37</v>
      </c>
      <c r="D189" s="26"/>
      <c r="E189" s="15"/>
      <c r="F189" s="16">
        <f t="shared" si="12"/>
        <v>0</v>
      </c>
      <c r="G189" s="8">
        <f t="shared" si="10"/>
        <v>0</v>
      </c>
    </row>
    <row r="190" spans="1:7" hidden="1" x14ac:dyDescent="0.25">
      <c r="A190" s="17" t="s">
        <v>5822</v>
      </c>
      <c r="B190" s="18" t="s">
        <v>5842</v>
      </c>
      <c r="C190" s="14" t="s">
        <v>37</v>
      </c>
      <c r="D190" s="26"/>
      <c r="E190" s="15"/>
      <c r="F190" s="16">
        <f t="shared" si="12"/>
        <v>0</v>
      </c>
      <c r="G190" s="8">
        <f t="shared" si="10"/>
        <v>0</v>
      </c>
    </row>
    <row r="191" spans="1:7" hidden="1" x14ac:dyDescent="0.25">
      <c r="A191" s="17" t="s">
        <v>5823</v>
      </c>
      <c r="B191" s="18" t="s">
        <v>5843</v>
      </c>
      <c r="C191" s="14" t="s">
        <v>37</v>
      </c>
      <c r="D191" s="26"/>
      <c r="E191" s="15"/>
      <c r="F191" s="16">
        <f t="shared" si="12"/>
        <v>0</v>
      </c>
      <c r="G191" s="8">
        <f t="shared" si="10"/>
        <v>0</v>
      </c>
    </row>
    <row r="192" spans="1:7" hidden="1" x14ac:dyDescent="0.25">
      <c r="A192" s="17" t="s">
        <v>5824</v>
      </c>
      <c r="B192" s="18" t="s">
        <v>5844</v>
      </c>
      <c r="C192" s="14" t="s">
        <v>37</v>
      </c>
      <c r="D192" s="26"/>
      <c r="E192" s="15"/>
      <c r="F192" s="16">
        <f t="shared" si="12"/>
        <v>0</v>
      </c>
      <c r="G192" s="8">
        <f t="shared" si="10"/>
        <v>0</v>
      </c>
    </row>
    <row r="193" spans="1:7" hidden="1" x14ac:dyDescent="0.25">
      <c r="A193" s="17" t="s">
        <v>5825</v>
      </c>
      <c r="B193" s="18" t="s">
        <v>5845</v>
      </c>
      <c r="C193" s="14" t="s">
        <v>37</v>
      </c>
      <c r="D193" s="26"/>
      <c r="E193" s="15"/>
      <c r="F193" s="16">
        <f t="shared" si="12"/>
        <v>0</v>
      </c>
      <c r="G193" s="8">
        <f t="shared" si="10"/>
        <v>0</v>
      </c>
    </row>
    <row r="194" spans="1:7" hidden="1" x14ac:dyDescent="0.25">
      <c r="A194" s="17" t="s">
        <v>5826</v>
      </c>
      <c r="B194" s="18" t="s">
        <v>5846</v>
      </c>
      <c r="C194" s="14" t="s">
        <v>37</v>
      </c>
      <c r="D194" s="26"/>
      <c r="E194" s="15"/>
      <c r="F194" s="16">
        <f t="shared" si="12"/>
        <v>0</v>
      </c>
      <c r="G194" s="8">
        <f t="shared" si="10"/>
        <v>0</v>
      </c>
    </row>
    <row r="195" spans="1:7" hidden="1" x14ac:dyDescent="0.25">
      <c r="A195" s="17" t="s">
        <v>5827</v>
      </c>
      <c r="B195" s="18" t="s">
        <v>5847</v>
      </c>
      <c r="C195" s="14" t="s">
        <v>37</v>
      </c>
      <c r="D195" s="26"/>
      <c r="E195" s="15"/>
      <c r="F195" s="16">
        <f t="shared" si="12"/>
        <v>0</v>
      </c>
      <c r="G195" s="8">
        <f t="shared" si="10"/>
        <v>0</v>
      </c>
    </row>
    <row r="196" spans="1:7" hidden="1" x14ac:dyDescent="0.25">
      <c r="A196" s="17" t="s">
        <v>5828</v>
      </c>
      <c r="B196" s="18" t="s">
        <v>5848</v>
      </c>
      <c r="C196" s="14" t="s">
        <v>37</v>
      </c>
      <c r="D196" s="26"/>
      <c r="E196" s="15"/>
      <c r="F196" s="16">
        <f t="shared" si="12"/>
        <v>0</v>
      </c>
      <c r="G196" s="8">
        <f t="shared" si="10"/>
        <v>0</v>
      </c>
    </row>
    <row r="197" spans="1:7" hidden="1" x14ac:dyDescent="0.25">
      <c r="A197" s="17" t="s">
        <v>5829</v>
      </c>
      <c r="B197" s="18" t="s">
        <v>5849</v>
      </c>
      <c r="C197" s="14" t="s">
        <v>37</v>
      </c>
      <c r="D197" s="26"/>
      <c r="E197" s="15"/>
      <c r="F197" s="16">
        <f t="shared" si="12"/>
        <v>0</v>
      </c>
      <c r="G197" s="8">
        <f t="shared" si="10"/>
        <v>0</v>
      </c>
    </row>
    <row r="198" spans="1:7" hidden="1" x14ac:dyDescent="0.25">
      <c r="A198" s="17" t="s">
        <v>5830</v>
      </c>
      <c r="B198" s="18" t="s">
        <v>5850</v>
      </c>
      <c r="C198" s="14" t="s">
        <v>37</v>
      </c>
      <c r="D198" s="26"/>
      <c r="E198" s="15"/>
      <c r="F198" s="16">
        <f t="shared" si="12"/>
        <v>0</v>
      </c>
      <c r="G198" s="8">
        <f t="shared" si="10"/>
        <v>0</v>
      </c>
    </row>
    <row r="199" spans="1:7" hidden="1" x14ac:dyDescent="0.25">
      <c r="A199" s="17" t="s">
        <v>5831</v>
      </c>
      <c r="B199" s="18" t="s">
        <v>5851</v>
      </c>
      <c r="C199" s="14" t="s">
        <v>37</v>
      </c>
      <c r="D199" s="26"/>
      <c r="E199" s="15"/>
      <c r="F199" s="16">
        <f t="shared" si="12"/>
        <v>0</v>
      </c>
      <c r="G199" s="8">
        <f t="shared" si="10"/>
        <v>0</v>
      </c>
    </row>
    <row r="200" spans="1:7" hidden="1" x14ac:dyDescent="0.25">
      <c r="A200" s="17" t="s">
        <v>5832</v>
      </c>
      <c r="B200" s="18" t="s">
        <v>5852</v>
      </c>
      <c r="C200" s="14" t="s">
        <v>37</v>
      </c>
      <c r="D200" s="26"/>
      <c r="E200" s="15"/>
      <c r="F200" s="16">
        <f t="shared" si="12"/>
        <v>0</v>
      </c>
      <c r="G200" s="8">
        <f t="shared" si="10"/>
        <v>0</v>
      </c>
    </row>
    <row r="201" spans="1:7" hidden="1" x14ac:dyDescent="0.25">
      <c r="A201" s="17" t="s">
        <v>5833</v>
      </c>
      <c r="B201" s="18" t="s">
        <v>5853</v>
      </c>
      <c r="C201" s="14" t="s">
        <v>37</v>
      </c>
      <c r="D201" s="26"/>
      <c r="E201" s="15"/>
      <c r="F201" s="16">
        <f t="shared" si="12"/>
        <v>0</v>
      </c>
      <c r="G201" s="8">
        <f t="shared" si="10"/>
        <v>0</v>
      </c>
    </row>
    <row r="202" spans="1:7" hidden="1" x14ac:dyDescent="0.25">
      <c r="A202" s="17" t="s">
        <v>5834</v>
      </c>
      <c r="B202" s="18" t="s">
        <v>5854</v>
      </c>
      <c r="C202" s="14" t="s">
        <v>37</v>
      </c>
      <c r="D202" s="26"/>
      <c r="E202" s="15"/>
      <c r="F202" s="16">
        <f t="shared" si="12"/>
        <v>0</v>
      </c>
      <c r="G202" s="8">
        <f t="shared" si="10"/>
        <v>0</v>
      </c>
    </row>
    <row r="203" spans="1:7" hidden="1" x14ac:dyDescent="0.25">
      <c r="A203" s="17" t="s">
        <v>5835</v>
      </c>
      <c r="B203" s="18" t="s">
        <v>5855</v>
      </c>
      <c r="C203" s="14" t="s">
        <v>37</v>
      </c>
      <c r="D203" s="26"/>
      <c r="E203" s="15"/>
      <c r="F203" s="16">
        <f t="shared" si="12"/>
        <v>0</v>
      </c>
      <c r="G203" s="8">
        <f t="shared" ref="G203:G266" si="13">+IF(F203&lt;&gt;0,1,0)</f>
        <v>0</v>
      </c>
    </row>
    <row r="204" spans="1:7" hidden="1" x14ac:dyDescent="0.25">
      <c r="A204" s="17" t="s">
        <v>5836</v>
      </c>
      <c r="B204" s="18" t="s">
        <v>5856</v>
      </c>
      <c r="C204" s="14" t="s">
        <v>37</v>
      </c>
      <c r="D204" s="26"/>
      <c r="E204" s="15"/>
      <c r="F204" s="16">
        <f t="shared" si="12"/>
        <v>0</v>
      </c>
      <c r="G204" s="8">
        <f t="shared" si="13"/>
        <v>0</v>
      </c>
    </row>
    <row r="205" spans="1:7" hidden="1" x14ac:dyDescent="0.25">
      <c r="A205" s="17" t="s">
        <v>5837</v>
      </c>
      <c r="B205" s="18" t="s">
        <v>5857</v>
      </c>
      <c r="C205" s="14" t="s">
        <v>37</v>
      </c>
      <c r="D205" s="26"/>
      <c r="E205" s="15"/>
      <c r="F205" s="16">
        <f t="shared" si="12"/>
        <v>0</v>
      </c>
      <c r="G205" s="8">
        <f t="shared" si="13"/>
        <v>0</v>
      </c>
    </row>
    <row r="206" spans="1:7" hidden="1" x14ac:dyDescent="0.25">
      <c r="A206" s="17" t="s">
        <v>5838</v>
      </c>
      <c r="B206" s="18" t="s">
        <v>5858</v>
      </c>
      <c r="C206" s="14" t="s">
        <v>37</v>
      </c>
      <c r="D206" s="26"/>
      <c r="E206" s="15"/>
      <c r="F206" s="16">
        <f t="shared" si="12"/>
        <v>0</v>
      </c>
      <c r="G206" s="8">
        <f t="shared" si="13"/>
        <v>0</v>
      </c>
    </row>
    <row r="207" spans="1:7" hidden="1" x14ac:dyDescent="0.25">
      <c r="A207" s="12" t="s">
        <v>277</v>
      </c>
      <c r="B207" s="13" t="s">
        <v>278</v>
      </c>
      <c r="C207" s="14"/>
      <c r="D207" s="26"/>
      <c r="E207" s="15"/>
      <c r="F207" s="16"/>
      <c r="G207" s="8">
        <f t="shared" si="13"/>
        <v>0</v>
      </c>
    </row>
    <row r="208" spans="1:7" hidden="1" x14ac:dyDescent="0.25">
      <c r="A208" s="17" t="s">
        <v>279</v>
      </c>
      <c r="B208" s="25" t="s">
        <v>285</v>
      </c>
      <c r="C208" s="14" t="s">
        <v>14</v>
      </c>
      <c r="D208" s="26"/>
      <c r="E208" s="15">
        <f>+'APU CAP 3'!H969</f>
        <v>1920</v>
      </c>
      <c r="F208" s="16">
        <f t="shared" ref="F208:F224" si="14">+D208*E208</f>
        <v>0</v>
      </c>
      <c r="G208" s="8">
        <f t="shared" si="13"/>
        <v>0</v>
      </c>
    </row>
    <row r="209" spans="1:7" hidden="1" x14ac:dyDescent="0.25">
      <c r="A209" s="17" t="s">
        <v>297</v>
      </c>
      <c r="B209" s="25" t="s">
        <v>280</v>
      </c>
      <c r="C209" s="14" t="s">
        <v>14</v>
      </c>
      <c r="D209" s="26"/>
      <c r="E209" s="15">
        <f>+E208</f>
        <v>1920</v>
      </c>
      <c r="F209" s="16">
        <f t="shared" si="14"/>
        <v>0</v>
      </c>
      <c r="G209" s="8">
        <f t="shared" si="13"/>
        <v>0</v>
      </c>
    </row>
    <row r="210" spans="1:7" hidden="1" x14ac:dyDescent="0.25">
      <c r="A210" s="17" t="s">
        <v>298</v>
      </c>
      <c r="B210" s="25" t="s">
        <v>281</v>
      </c>
      <c r="C210" s="14" t="s">
        <v>14</v>
      </c>
      <c r="D210" s="26"/>
      <c r="E210" s="15">
        <f>+E208</f>
        <v>1920</v>
      </c>
      <c r="F210" s="16">
        <f t="shared" si="14"/>
        <v>0</v>
      </c>
      <c r="G210" s="8">
        <f t="shared" si="13"/>
        <v>0</v>
      </c>
    </row>
    <row r="211" spans="1:7" hidden="1" x14ac:dyDescent="0.25">
      <c r="A211" s="17" t="s">
        <v>299</v>
      </c>
      <c r="B211" s="25" t="s">
        <v>282</v>
      </c>
      <c r="C211" s="14" t="s">
        <v>14</v>
      </c>
      <c r="D211" s="26"/>
      <c r="E211" s="15">
        <f>+E208</f>
        <v>1920</v>
      </c>
      <c r="F211" s="16">
        <f t="shared" si="14"/>
        <v>0</v>
      </c>
      <c r="G211" s="8">
        <f t="shared" si="13"/>
        <v>0</v>
      </c>
    </row>
    <row r="212" spans="1:7" hidden="1" x14ac:dyDescent="0.25">
      <c r="A212" s="17" t="s">
        <v>300</v>
      </c>
      <c r="B212" s="25" t="s">
        <v>283</v>
      </c>
      <c r="C212" s="14" t="s">
        <v>14</v>
      </c>
      <c r="D212" s="26"/>
      <c r="E212" s="15">
        <f>+'APU CAP 3'!H1023</f>
        <v>2352</v>
      </c>
      <c r="F212" s="16">
        <f t="shared" si="14"/>
        <v>0</v>
      </c>
      <c r="G212" s="8">
        <f t="shared" si="13"/>
        <v>0</v>
      </c>
    </row>
    <row r="213" spans="1:7" hidden="1" x14ac:dyDescent="0.25">
      <c r="A213" s="17" t="s">
        <v>301</v>
      </c>
      <c r="B213" s="25" t="s">
        <v>286</v>
      </c>
      <c r="C213" s="14" t="s">
        <v>14</v>
      </c>
      <c r="D213" s="26"/>
      <c r="E213" s="15">
        <f>+E212</f>
        <v>2352</v>
      </c>
      <c r="F213" s="16">
        <f t="shared" si="14"/>
        <v>0</v>
      </c>
      <c r="G213" s="8">
        <f t="shared" si="13"/>
        <v>0</v>
      </c>
    </row>
    <row r="214" spans="1:7" hidden="1" x14ac:dyDescent="0.25">
      <c r="A214" s="17" t="s">
        <v>302</v>
      </c>
      <c r="B214" s="25" t="s">
        <v>284</v>
      </c>
      <c r="C214" s="14" t="s">
        <v>14</v>
      </c>
      <c r="D214" s="26"/>
      <c r="E214" s="15">
        <f>+E212</f>
        <v>2352</v>
      </c>
      <c r="F214" s="16">
        <f t="shared" si="14"/>
        <v>0</v>
      </c>
      <c r="G214" s="8">
        <f t="shared" si="13"/>
        <v>0</v>
      </c>
    </row>
    <row r="215" spans="1:7" hidden="1" x14ac:dyDescent="0.25">
      <c r="A215" s="17" t="s">
        <v>303</v>
      </c>
      <c r="B215" s="25" t="s">
        <v>287</v>
      </c>
      <c r="C215" s="14" t="s">
        <v>14</v>
      </c>
      <c r="D215" s="26"/>
      <c r="E215" s="15">
        <f>+'APU CAP 3'!H1077</f>
        <v>3674</v>
      </c>
      <c r="F215" s="16">
        <f t="shared" si="14"/>
        <v>0</v>
      </c>
      <c r="G215" s="8">
        <f t="shared" si="13"/>
        <v>0</v>
      </c>
    </row>
    <row r="216" spans="1:7" hidden="1" x14ac:dyDescent="0.25">
      <c r="A216" s="17" t="s">
        <v>304</v>
      </c>
      <c r="B216" s="25" t="s">
        <v>288</v>
      </c>
      <c r="C216" s="14" t="s">
        <v>14</v>
      </c>
      <c r="D216" s="26"/>
      <c r="E216" s="15">
        <f>+E215</f>
        <v>3674</v>
      </c>
      <c r="F216" s="16">
        <f t="shared" si="14"/>
        <v>0</v>
      </c>
      <c r="G216" s="8">
        <f t="shared" si="13"/>
        <v>0</v>
      </c>
    </row>
    <row r="217" spans="1:7" hidden="1" x14ac:dyDescent="0.25">
      <c r="A217" s="17" t="s">
        <v>305</v>
      </c>
      <c r="B217" s="25" t="s">
        <v>289</v>
      </c>
      <c r="C217" s="14" t="s">
        <v>14</v>
      </c>
      <c r="D217" s="26"/>
      <c r="E217" s="15">
        <f>+E215</f>
        <v>3674</v>
      </c>
      <c r="F217" s="16">
        <f t="shared" si="14"/>
        <v>0</v>
      </c>
      <c r="G217" s="8">
        <f t="shared" si="13"/>
        <v>0</v>
      </c>
    </row>
    <row r="218" spans="1:7" hidden="1" x14ac:dyDescent="0.25">
      <c r="A218" s="17" t="s">
        <v>306</v>
      </c>
      <c r="B218" s="25" t="s">
        <v>290</v>
      </c>
      <c r="C218" s="14" t="s">
        <v>14</v>
      </c>
      <c r="D218" s="26"/>
      <c r="E218" s="15">
        <f>+'APU CAP 3'!H1131</f>
        <v>5520</v>
      </c>
      <c r="F218" s="16">
        <f t="shared" si="14"/>
        <v>0</v>
      </c>
      <c r="G218" s="8">
        <f t="shared" si="13"/>
        <v>0</v>
      </c>
    </row>
    <row r="219" spans="1:7" hidden="1" x14ac:dyDescent="0.25">
      <c r="A219" s="17" t="s">
        <v>307</v>
      </c>
      <c r="B219" s="25" t="s">
        <v>291</v>
      </c>
      <c r="C219" s="14" t="s">
        <v>14</v>
      </c>
      <c r="D219" s="26"/>
      <c r="E219" s="15"/>
      <c r="F219" s="16">
        <f t="shared" si="14"/>
        <v>0</v>
      </c>
      <c r="G219" s="8">
        <f t="shared" si="13"/>
        <v>0</v>
      </c>
    </row>
    <row r="220" spans="1:7" hidden="1" x14ac:dyDescent="0.25">
      <c r="A220" s="17" t="s">
        <v>308</v>
      </c>
      <c r="B220" s="25" t="s">
        <v>292</v>
      </c>
      <c r="C220" s="14" t="s">
        <v>14</v>
      </c>
      <c r="D220" s="26"/>
      <c r="E220" s="15"/>
      <c r="F220" s="16">
        <f t="shared" si="14"/>
        <v>0</v>
      </c>
      <c r="G220" s="8">
        <f t="shared" si="13"/>
        <v>0</v>
      </c>
    </row>
    <row r="221" spans="1:7" hidden="1" x14ac:dyDescent="0.25">
      <c r="A221" s="17" t="s">
        <v>309</v>
      </c>
      <c r="B221" s="25" t="s">
        <v>293</v>
      </c>
      <c r="C221" s="14" t="s">
        <v>14</v>
      </c>
      <c r="D221" s="26"/>
      <c r="E221" s="15"/>
      <c r="F221" s="16">
        <f t="shared" si="14"/>
        <v>0</v>
      </c>
      <c r="G221" s="8">
        <f t="shared" si="13"/>
        <v>0</v>
      </c>
    </row>
    <row r="222" spans="1:7" hidden="1" x14ac:dyDescent="0.25">
      <c r="A222" s="17" t="s">
        <v>310</v>
      </c>
      <c r="B222" s="25" t="s">
        <v>294</v>
      </c>
      <c r="C222" s="14" t="s">
        <v>14</v>
      </c>
      <c r="D222" s="26"/>
      <c r="E222" s="15"/>
      <c r="F222" s="16">
        <f t="shared" si="14"/>
        <v>0</v>
      </c>
      <c r="G222" s="8">
        <f t="shared" si="13"/>
        <v>0</v>
      </c>
    </row>
    <row r="223" spans="1:7" hidden="1" x14ac:dyDescent="0.25">
      <c r="A223" s="17" t="s">
        <v>311</v>
      </c>
      <c r="B223" s="25" t="s">
        <v>295</v>
      </c>
      <c r="C223" s="14" t="s">
        <v>14</v>
      </c>
      <c r="D223" s="26"/>
      <c r="E223" s="15"/>
      <c r="F223" s="16">
        <f t="shared" si="14"/>
        <v>0</v>
      </c>
      <c r="G223" s="8">
        <f t="shared" si="13"/>
        <v>0</v>
      </c>
    </row>
    <row r="224" spans="1:7" hidden="1" x14ac:dyDescent="0.25">
      <c r="A224" s="17" t="s">
        <v>312</v>
      </c>
      <c r="B224" s="25" t="s">
        <v>296</v>
      </c>
      <c r="C224" s="14" t="s">
        <v>14</v>
      </c>
      <c r="D224" s="26"/>
      <c r="E224" s="15"/>
      <c r="F224" s="16">
        <f t="shared" si="14"/>
        <v>0</v>
      </c>
      <c r="G224" s="8">
        <f t="shared" si="13"/>
        <v>0</v>
      </c>
    </row>
    <row r="225" spans="1:7" hidden="1" x14ac:dyDescent="0.25">
      <c r="A225" s="12" t="s">
        <v>313</v>
      </c>
      <c r="B225" s="13" t="s">
        <v>314</v>
      </c>
      <c r="C225" s="14"/>
      <c r="D225" s="26"/>
      <c r="E225" s="15"/>
      <c r="F225" s="16"/>
      <c r="G225" s="8">
        <f t="shared" si="13"/>
        <v>0</v>
      </c>
    </row>
    <row r="226" spans="1:7" hidden="1" x14ac:dyDescent="0.25">
      <c r="A226" s="17" t="s">
        <v>324</v>
      </c>
      <c r="B226" s="25" t="s">
        <v>315</v>
      </c>
      <c r="C226" s="14" t="s">
        <v>37</v>
      </c>
      <c r="D226" s="26"/>
      <c r="E226" s="15">
        <f>+'APU CAP 3'!H1185</f>
        <v>1636</v>
      </c>
      <c r="F226" s="16">
        <f t="shared" ref="F226:F234" si="15">+D226*E226</f>
        <v>0</v>
      </c>
      <c r="G226" s="8">
        <f t="shared" si="13"/>
        <v>0</v>
      </c>
    </row>
    <row r="227" spans="1:7" hidden="1" x14ac:dyDescent="0.25">
      <c r="A227" s="17" t="s">
        <v>325</v>
      </c>
      <c r="B227" s="25" t="s">
        <v>316</v>
      </c>
      <c r="C227" s="14" t="s">
        <v>37</v>
      </c>
      <c r="D227" s="26"/>
      <c r="E227" s="15">
        <f>+'APU CAP 3'!H1239</f>
        <v>2150</v>
      </c>
      <c r="F227" s="16">
        <f t="shared" si="15"/>
        <v>0</v>
      </c>
      <c r="G227" s="8">
        <f t="shared" si="13"/>
        <v>0</v>
      </c>
    </row>
    <row r="228" spans="1:7" hidden="1" x14ac:dyDescent="0.25">
      <c r="A228" s="17" t="s">
        <v>326</v>
      </c>
      <c r="B228" s="25" t="s">
        <v>317</v>
      </c>
      <c r="C228" s="14" t="s">
        <v>37</v>
      </c>
      <c r="D228" s="26"/>
      <c r="E228" s="15">
        <f>+'APU CAP 3'!H1239</f>
        <v>2150</v>
      </c>
      <c r="F228" s="16">
        <f t="shared" si="15"/>
        <v>0</v>
      </c>
      <c r="G228" s="8">
        <f t="shared" si="13"/>
        <v>0</v>
      </c>
    </row>
    <row r="229" spans="1:7" hidden="1" x14ac:dyDescent="0.25">
      <c r="A229" s="17" t="s">
        <v>327</v>
      </c>
      <c r="B229" s="25" t="s">
        <v>318</v>
      </c>
      <c r="C229" s="14" t="s">
        <v>37</v>
      </c>
      <c r="D229" s="26"/>
      <c r="E229" s="15">
        <f>+'APU CAP 3'!H1293</f>
        <v>3178</v>
      </c>
      <c r="F229" s="16">
        <f t="shared" si="15"/>
        <v>0</v>
      </c>
      <c r="G229" s="8">
        <f t="shared" si="13"/>
        <v>0</v>
      </c>
    </row>
    <row r="230" spans="1:7" hidden="1" x14ac:dyDescent="0.25">
      <c r="A230" s="17" t="s">
        <v>328</v>
      </c>
      <c r="B230" s="25" t="s">
        <v>319</v>
      </c>
      <c r="C230" s="14" t="s">
        <v>37</v>
      </c>
      <c r="D230" s="26"/>
      <c r="E230" s="15">
        <f>+'APU CAP 3'!H1347</f>
        <v>6261</v>
      </c>
      <c r="F230" s="16">
        <f t="shared" si="15"/>
        <v>0</v>
      </c>
      <c r="G230" s="8">
        <f t="shared" si="13"/>
        <v>0</v>
      </c>
    </row>
    <row r="231" spans="1:7" hidden="1" x14ac:dyDescent="0.25">
      <c r="A231" s="17" t="s">
        <v>329</v>
      </c>
      <c r="B231" s="25" t="s">
        <v>320</v>
      </c>
      <c r="C231" s="14" t="s">
        <v>37</v>
      </c>
      <c r="D231" s="26"/>
      <c r="E231" s="15"/>
      <c r="F231" s="16">
        <f t="shared" si="15"/>
        <v>0</v>
      </c>
      <c r="G231" s="8">
        <f t="shared" si="13"/>
        <v>0</v>
      </c>
    </row>
    <row r="232" spans="1:7" hidden="1" x14ac:dyDescent="0.25">
      <c r="A232" s="17" t="s">
        <v>330</v>
      </c>
      <c r="B232" s="25" t="s">
        <v>321</v>
      </c>
      <c r="C232" s="14" t="s">
        <v>37</v>
      </c>
      <c r="D232" s="26"/>
      <c r="E232" s="15"/>
      <c r="F232" s="16">
        <f t="shared" si="15"/>
        <v>0</v>
      </c>
      <c r="G232" s="8">
        <f t="shared" si="13"/>
        <v>0</v>
      </c>
    </row>
    <row r="233" spans="1:7" hidden="1" x14ac:dyDescent="0.25">
      <c r="A233" s="17" t="s">
        <v>331</v>
      </c>
      <c r="B233" s="25" t="s">
        <v>322</v>
      </c>
      <c r="C233" s="14" t="s">
        <v>37</v>
      </c>
      <c r="D233" s="26"/>
      <c r="E233" s="15"/>
      <c r="F233" s="16">
        <f t="shared" si="15"/>
        <v>0</v>
      </c>
      <c r="G233" s="8">
        <f t="shared" si="13"/>
        <v>0</v>
      </c>
    </row>
    <row r="234" spans="1:7" hidden="1" x14ac:dyDescent="0.25">
      <c r="A234" s="17" t="s">
        <v>332</v>
      </c>
      <c r="B234" s="25" t="s">
        <v>323</v>
      </c>
      <c r="C234" s="14" t="s">
        <v>37</v>
      </c>
      <c r="D234" s="26"/>
      <c r="E234" s="15"/>
      <c r="F234" s="16">
        <f t="shared" si="15"/>
        <v>0</v>
      </c>
      <c r="G234" s="8">
        <f t="shared" si="13"/>
        <v>0</v>
      </c>
    </row>
    <row r="235" spans="1:7" x14ac:dyDescent="0.25">
      <c r="A235" s="12" t="s">
        <v>333</v>
      </c>
      <c r="B235" s="46" t="s">
        <v>334</v>
      </c>
      <c r="C235" s="14"/>
      <c r="D235" s="26"/>
      <c r="E235" s="15"/>
      <c r="F235" s="16"/>
      <c r="G235" s="8">
        <v>1</v>
      </c>
    </row>
    <row r="236" spans="1:7" x14ac:dyDescent="0.25">
      <c r="A236" s="12" t="s">
        <v>355</v>
      </c>
      <c r="B236" s="46" t="s">
        <v>6542</v>
      </c>
      <c r="C236" s="14"/>
      <c r="D236" s="26"/>
      <c r="E236" s="15"/>
      <c r="F236" s="16"/>
      <c r="G236" s="8">
        <v>1</v>
      </c>
    </row>
    <row r="237" spans="1:7" hidden="1" x14ac:dyDescent="0.25">
      <c r="A237" s="17" t="s">
        <v>356</v>
      </c>
      <c r="B237" s="25" t="s">
        <v>336</v>
      </c>
      <c r="C237" s="14" t="s">
        <v>14</v>
      </c>
      <c r="D237" s="26"/>
      <c r="E237" s="15">
        <f>+'APU CAP 3'!H1401</f>
        <v>2913</v>
      </c>
      <c r="F237" s="16">
        <f t="shared" ref="F237:F255" si="16">+D237*E237</f>
        <v>0</v>
      </c>
      <c r="G237" s="8">
        <f t="shared" si="13"/>
        <v>0</v>
      </c>
    </row>
    <row r="238" spans="1:7" hidden="1" x14ac:dyDescent="0.25">
      <c r="A238" s="17" t="s">
        <v>357</v>
      </c>
      <c r="B238" s="25" t="s">
        <v>337</v>
      </c>
      <c r="C238" s="14" t="s">
        <v>14</v>
      </c>
      <c r="D238" s="26"/>
      <c r="E238" s="15">
        <f>+'APU CAP 3'!P1401</f>
        <v>4197</v>
      </c>
      <c r="F238" s="16">
        <f t="shared" si="16"/>
        <v>0</v>
      </c>
      <c r="G238" s="8">
        <f t="shared" si="13"/>
        <v>0</v>
      </c>
    </row>
    <row r="239" spans="1:7" hidden="1" x14ac:dyDescent="0.25">
      <c r="A239" s="17" t="s">
        <v>358</v>
      </c>
      <c r="B239" s="25" t="s">
        <v>338</v>
      </c>
      <c r="C239" s="14" t="s">
        <v>14</v>
      </c>
      <c r="D239" s="26"/>
      <c r="E239" s="15">
        <f>+'APU CAP 3'!X1401</f>
        <v>5342</v>
      </c>
      <c r="F239" s="16">
        <f t="shared" si="16"/>
        <v>0</v>
      </c>
      <c r="G239" s="8">
        <f t="shared" si="13"/>
        <v>0</v>
      </c>
    </row>
    <row r="240" spans="1:7" hidden="1" x14ac:dyDescent="0.25">
      <c r="A240" s="17" t="s">
        <v>359</v>
      </c>
      <c r="B240" s="25" t="s">
        <v>339</v>
      </c>
      <c r="C240" s="14" t="s">
        <v>14</v>
      </c>
      <c r="D240" s="26"/>
      <c r="E240" s="15"/>
      <c r="F240" s="16">
        <f t="shared" si="16"/>
        <v>0</v>
      </c>
      <c r="G240" s="8">
        <f t="shared" si="13"/>
        <v>0</v>
      </c>
    </row>
    <row r="241" spans="1:7" hidden="1" x14ac:dyDescent="0.25">
      <c r="A241" s="17" t="s">
        <v>360</v>
      </c>
      <c r="B241" s="25" t="s">
        <v>340</v>
      </c>
      <c r="C241" s="14" t="s">
        <v>14</v>
      </c>
      <c r="D241" s="26"/>
      <c r="E241" s="15">
        <f>+'APU CAP 3'!H1455</f>
        <v>8630</v>
      </c>
      <c r="F241" s="16">
        <f t="shared" si="16"/>
        <v>0</v>
      </c>
      <c r="G241" s="8">
        <f t="shared" si="13"/>
        <v>0</v>
      </c>
    </row>
    <row r="242" spans="1:7" hidden="1" x14ac:dyDescent="0.25">
      <c r="A242" s="17" t="s">
        <v>361</v>
      </c>
      <c r="B242" s="25" t="s">
        <v>341</v>
      </c>
      <c r="C242" s="14" t="s">
        <v>14</v>
      </c>
      <c r="D242" s="26"/>
      <c r="E242" s="15">
        <f>+'APU CAP 3'!P1455</f>
        <v>11285</v>
      </c>
      <c r="F242" s="16">
        <f t="shared" si="16"/>
        <v>0</v>
      </c>
      <c r="G242" s="8">
        <f t="shared" si="13"/>
        <v>0</v>
      </c>
    </row>
    <row r="243" spans="1:7" hidden="1" x14ac:dyDescent="0.25">
      <c r="A243" s="17" t="s">
        <v>362</v>
      </c>
      <c r="B243" s="25" t="s">
        <v>342</v>
      </c>
      <c r="C243" s="14" t="s">
        <v>14</v>
      </c>
      <c r="D243" s="26"/>
      <c r="E243" s="15">
        <f>+'APU CAP 3'!X1455</f>
        <v>15169</v>
      </c>
      <c r="F243" s="16">
        <f t="shared" si="16"/>
        <v>0</v>
      </c>
      <c r="G243" s="8">
        <f t="shared" si="13"/>
        <v>0</v>
      </c>
    </row>
    <row r="244" spans="1:7" hidden="1" x14ac:dyDescent="0.25">
      <c r="A244" s="17" t="s">
        <v>363</v>
      </c>
      <c r="B244" s="25" t="s">
        <v>343</v>
      </c>
      <c r="C244" s="14" t="s">
        <v>14</v>
      </c>
      <c r="D244" s="26"/>
      <c r="E244" s="15">
        <f>+'APU CAP 3'!H1509</f>
        <v>24053</v>
      </c>
      <c r="F244" s="16">
        <f t="shared" si="16"/>
        <v>0</v>
      </c>
      <c r="G244" s="8">
        <f t="shared" si="13"/>
        <v>0</v>
      </c>
    </row>
    <row r="245" spans="1:7" ht="25.5" x14ac:dyDescent="0.25">
      <c r="A245" s="17" t="s">
        <v>364</v>
      </c>
      <c r="B245" s="25" t="s">
        <v>6543</v>
      </c>
      <c r="C245" s="14" t="s">
        <v>14</v>
      </c>
      <c r="D245" s="26">
        <v>1865</v>
      </c>
      <c r="E245" s="15">
        <v>210000</v>
      </c>
      <c r="F245" s="16">
        <f t="shared" si="16"/>
        <v>391650000</v>
      </c>
      <c r="G245" s="8">
        <f t="shared" si="13"/>
        <v>1</v>
      </c>
    </row>
    <row r="246" spans="1:7" hidden="1" x14ac:dyDescent="0.25">
      <c r="A246" s="17" t="s">
        <v>365</v>
      </c>
      <c r="B246" s="25" t="s">
        <v>345</v>
      </c>
      <c r="C246" s="14" t="s">
        <v>14</v>
      </c>
      <c r="D246" s="26"/>
      <c r="E246" s="15">
        <f>+'APU CAP 3'!X1509</f>
        <v>33693</v>
      </c>
      <c r="F246" s="16">
        <f t="shared" si="16"/>
        <v>0</v>
      </c>
      <c r="G246" s="8">
        <f t="shared" si="13"/>
        <v>0</v>
      </c>
    </row>
    <row r="247" spans="1:7" hidden="1" x14ac:dyDescent="0.25">
      <c r="A247" s="17" t="s">
        <v>366</v>
      </c>
      <c r="B247" s="25" t="s">
        <v>346</v>
      </c>
      <c r="C247" s="14" t="s">
        <v>14</v>
      </c>
      <c r="D247" s="26"/>
      <c r="E247" s="15">
        <f>+'APU CAP 3'!H1563</f>
        <v>41671</v>
      </c>
      <c r="F247" s="16">
        <f t="shared" si="16"/>
        <v>0</v>
      </c>
      <c r="G247" s="8">
        <f t="shared" si="13"/>
        <v>0</v>
      </c>
    </row>
    <row r="248" spans="1:7" hidden="1" x14ac:dyDescent="0.25">
      <c r="A248" s="17" t="s">
        <v>367</v>
      </c>
      <c r="B248" s="25" t="s">
        <v>347</v>
      </c>
      <c r="C248" s="14" t="s">
        <v>14</v>
      </c>
      <c r="D248" s="26"/>
      <c r="E248" s="15">
        <f>+'APU CAP 3'!P1563</f>
        <v>48370</v>
      </c>
      <c r="F248" s="16">
        <f t="shared" si="16"/>
        <v>0</v>
      </c>
      <c r="G248" s="8">
        <f t="shared" si="13"/>
        <v>0</v>
      </c>
    </row>
    <row r="249" spans="1:7" hidden="1" x14ac:dyDescent="0.25">
      <c r="A249" s="17" t="s">
        <v>368</v>
      </c>
      <c r="B249" s="25" t="s">
        <v>348</v>
      </c>
      <c r="C249" s="14" t="s">
        <v>14</v>
      </c>
      <c r="D249" s="26"/>
      <c r="E249" s="15"/>
      <c r="F249" s="16">
        <f t="shared" si="16"/>
        <v>0</v>
      </c>
      <c r="G249" s="8">
        <f t="shared" si="13"/>
        <v>0</v>
      </c>
    </row>
    <row r="250" spans="1:7" hidden="1" x14ac:dyDescent="0.25">
      <c r="A250" s="17" t="s">
        <v>369</v>
      </c>
      <c r="B250" s="25" t="s">
        <v>349</v>
      </c>
      <c r="C250" s="14" t="s">
        <v>14</v>
      </c>
      <c r="D250" s="26"/>
      <c r="E250" s="15"/>
      <c r="F250" s="16">
        <f t="shared" si="16"/>
        <v>0</v>
      </c>
      <c r="G250" s="8">
        <f t="shared" si="13"/>
        <v>0</v>
      </c>
    </row>
    <row r="251" spans="1:7" hidden="1" x14ac:dyDescent="0.25">
      <c r="A251" s="17" t="s">
        <v>370</v>
      </c>
      <c r="B251" s="25" t="s">
        <v>350</v>
      </c>
      <c r="C251" s="14" t="s">
        <v>14</v>
      </c>
      <c r="D251" s="26"/>
      <c r="E251" s="15"/>
      <c r="F251" s="16">
        <f t="shared" si="16"/>
        <v>0</v>
      </c>
      <c r="G251" s="8">
        <f t="shared" si="13"/>
        <v>0</v>
      </c>
    </row>
    <row r="252" spans="1:7" hidden="1" x14ac:dyDescent="0.25">
      <c r="A252" s="17" t="s">
        <v>371</v>
      </c>
      <c r="B252" s="25" t="s">
        <v>351</v>
      </c>
      <c r="C252" s="14" t="s">
        <v>14</v>
      </c>
      <c r="D252" s="26"/>
      <c r="E252" s="15"/>
      <c r="F252" s="16">
        <f t="shared" si="16"/>
        <v>0</v>
      </c>
      <c r="G252" s="8">
        <f t="shared" si="13"/>
        <v>0</v>
      </c>
    </row>
    <row r="253" spans="1:7" hidden="1" x14ac:dyDescent="0.25">
      <c r="A253" s="17" t="s">
        <v>372</v>
      </c>
      <c r="B253" s="25" t="s">
        <v>352</v>
      </c>
      <c r="C253" s="14" t="s">
        <v>14</v>
      </c>
      <c r="D253" s="26"/>
      <c r="E253" s="15"/>
      <c r="F253" s="16">
        <f t="shared" si="16"/>
        <v>0</v>
      </c>
      <c r="G253" s="8">
        <f t="shared" si="13"/>
        <v>0</v>
      </c>
    </row>
    <row r="254" spans="1:7" hidden="1" x14ac:dyDescent="0.25">
      <c r="A254" s="17" t="s">
        <v>373</v>
      </c>
      <c r="B254" s="25" t="s">
        <v>353</v>
      </c>
      <c r="C254" s="14" t="s">
        <v>14</v>
      </c>
      <c r="D254" s="26"/>
      <c r="E254" s="15"/>
      <c r="F254" s="16">
        <f t="shared" si="16"/>
        <v>0</v>
      </c>
      <c r="G254" s="8">
        <f t="shared" si="13"/>
        <v>0</v>
      </c>
    </row>
    <row r="255" spans="1:7" hidden="1" x14ac:dyDescent="0.25">
      <c r="A255" s="17" t="s">
        <v>374</v>
      </c>
      <c r="B255" s="25" t="s">
        <v>354</v>
      </c>
      <c r="C255" s="14" t="s">
        <v>14</v>
      </c>
      <c r="D255" s="26"/>
      <c r="E255" s="15"/>
      <c r="F255" s="16">
        <f t="shared" si="16"/>
        <v>0</v>
      </c>
      <c r="G255" s="8">
        <f t="shared" si="13"/>
        <v>0</v>
      </c>
    </row>
    <row r="256" spans="1:7" hidden="1" x14ac:dyDescent="0.25">
      <c r="A256" s="12" t="s">
        <v>375</v>
      </c>
      <c r="B256" s="46" t="s">
        <v>6320</v>
      </c>
      <c r="C256" s="14"/>
      <c r="D256" s="26"/>
      <c r="E256" s="15"/>
      <c r="F256" s="16"/>
      <c r="G256" s="8">
        <f t="shared" si="13"/>
        <v>0</v>
      </c>
    </row>
    <row r="257" spans="1:7" hidden="1" x14ac:dyDescent="0.25">
      <c r="A257" s="17" t="s">
        <v>376</v>
      </c>
      <c r="B257" s="25" t="s">
        <v>336</v>
      </c>
      <c r="C257" s="14" t="s">
        <v>14</v>
      </c>
      <c r="D257" s="26"/>
      <c r="E257" s="471">
        <f t="shared" ref="E257:E262" si="17">+E238</f>
        <v>4197</v>
      </c>
      <c r="F257" s="16">
        <f t="shared" ref="F257:F275" si="18">+D257*E257</f>
        <v>0</v>
      </c>
      <c r="G257" s="8">
        <f t="shared" si="13"/>
        <v>0</v>
      </c>
    </row>
    <row r="258" spans="1:7" hidden="1" x14ac:dyDescent="0.25">
      <c r="A258" s="17" t="s">
        <v>377</v>
      </c>
      <c r="B258" s="25" t="s">
        <v>337</v>
      </c>
      <c r="C258" s="14" t="s">
        <v>14</v>
      </c>
      <c r="D258" s="26"/>
      <c r="E258" s="471">
        <f t="shared" si="17"/>
        <v>5342</v>
      </c>
      <c r="F258" s="16">
        <f t="shared" si="18"/>
        <v>0</v>
      </c>
      <c r="G258" s="8">
        <f t="shared" si="13"/>
        <v>0</v>
      </c>
    </row>
    <row r="259" spans="1:7" hidden="1" x14ac:dyDescent="0.25">
      <c r="A259" s="17" t="s">
        <v>378</v>
      </c>
      <c r="B259" s="25" t="s">
        <v>338</v>
      </c>
      <c r="C259" s="14" t="s">
        <v>14</v>
      </c>
      <c r="D259" s="26"/>
      <c r="E259" s="471">
        <f t="shared" si="17"/>
        <v>0</v>
      </c>
      <c r="F259" s="16">
        <f t="shared" si="18"/>
        <v>0</v>
      </c>
      <c r="G259" s="8">
        <f t="shared" si="13"/>
        <v>0</v>
      </c>
    </row>
    <row r="260" spans="1:7" hidden="1" x14ac:dyDescent="0.25">
      <c r="A260" s="17" t="s">
        <v>379</v>
      </c>
      <c r="B260" s="25" t="s">
        <v>339</v>
      </c>
      <c r="C260" s="14" t="s">
        <v>14</v>
      </c>
      <c r="D260" s="26"/>
      <c r="E260" s="471">
        <f t="shared" si="17"/>
        <v>8630</v>
      </c>
      <c r="F260" s="16">
        <f t="shared" si="18"/>
        <v>0</v>
      </c>
      <c r="G260" s="8">
        <f t="shared" si="13"/>
        <v>0</v>
      </c>
    </row>
    <row r="261" spans="1:7" hidden="1" x14ac:dyDescent="0.25">
      <c r="A261" s="17" t="s">
        <v>380</v>
      </c>
      <c r="B261" s="25" t="s">
        <v>340</v>
      </c>
      <c r="C261" s="14" t="s">
        <v>14</v>
      </c>
      <c r="D261" s="26"/>
      <c r="E261" s="471">
        <f t="shared" si="17"/>
        <v>11285</v>
      </c>
      <c r="F261" s="16">
        <f t="shared" si="18"/>
        <v>0</v>
      </c>
      <c r="G261" s="8">
        <f t="shared" si="13"/>
        <v>0</v>
      </c>
    </row>
    <row r="262" spans="1:7" hidden="1" x14ac:dyDescent="0.25">
      <c r="A262" s="17" t="s">
        <v>381</v>
      </c>
      <c r="B262" s="25" t="s">
        <v>341</v>
      </c>
      <c r="C262" s="14" t="s">
        <v>14</v>
      </c>
      <c r="D262" s="26"/>
      <c r="E262" s="471">
        <f t="shared" si="17"/>
        <v>15169</v>
      </c>
      <c r="F262" s="16">
        <f t="shared" si="18"/>
        <v>0</v>
      </c>
      <c r="G262" s="8">
        <f t="shared" si="13"/>
        <v>0</v>
      </c>
    </row>
    <row r="263" spans="1:7" hidden="1" x14ac:dyDescent="0.25">
      <c r="A263" s="17" t="s">
        <v>382</v>
      </c>
      <c r="B263" s="25" t="s">
        <v>342</v>
      </c>
      <c r="C263" s="14" t="s">
        <v>14</v>
      </c>
      <c r="D263" s="26"/>
      <c r="E263" s="471">
        <f t="shared" ref="E263:E268" si="19">+E244</f>
        <v>24053</v>
      </c>
      <c r="F263" s="16">
        <f t="shared" si="18"/>
        <v>0</v>
      </c>
      <c r="G263" s="8">
        <f t="shared" si="13"/>
        <v>0</v>
      </c>
    </row>
    <row r="264" spans="1:7" hidden="1" x14ac:dyDescent="0.25">
      <c r="A264" s="17" t="s">
        <v>383</v>
      </c>
      <c r="B264" s="25" t="s">
        <v>343</v>
      </c>
      <c r="C264" s="14" t="s">
        <v>14</v>
      </c>
      <c r="D264" s="26"/>
      <c r="E264" s="471">
        <f t="shared" si="19"/>
        <v>210000</v>
      </c>
      <c r="F264" s="16">
        <f t="shared" si="18"/>
        <v>0</v>
      </c>
      <c r="G264" s="8">
        <f t="shared" si="13"/>
        <v>0</v>
      </c>
    </row>
    <row r="265" spans="1:7" hidden="1" x14ac:dyDescent="0.25">
      <c r="A265" s="17" t="s">
        <v>384</v>
      </c>
      <c r="B265" s="25" t="s">
        <v>344</v>
      </c>
      <c r="C265" s="14" t="s">
        <v>14</v>
      </c>
      <c r="D265" s="26"/>
      <c r="E265" s="471">
        <f t="shared" si="19"/>
        <v>33693</v>
      </c>
      <c r="F265" s="16">
        <f t="shared" si="18"/>
        <v>0</v>
      </c>
      <c r="G265" s="8">
        <f t="shared" si="13"/>
        <v>0</v>
      </c>
    </row>
    <row r="266" spans="1:7" hidden="1" x14ac:dyDescent="0.25">
      <c r="A266" s="17" t="s">
        <v>385</v>
      </c>
      <c r="B266" s="25" t="s">
        <v>345</v>
      </c>
      <c r="C266" s="14" t="s">
        <v>14</v>
      </c>
      <c r="D266" s="26"/>
      <c r="E266" s="471">
        <f t="shared" si="19"/>
        <v>41671</v>
      </c>
      <c r="F266" s="16">
        <f t="shared" si="18"/>
        <v>0</v>
      </c>
      <c r="G266" s="8">
        <f t="shared" si="13"/>
        <v>0</v>
      </c>
    </row>
    <row r="267" spans="1:7" hidden="1" x14ac:dyDescent="0.25">
      <c r="A267" s="17" t="s">
        <v>386</v>
      </c>
      <c r="B267" s="25" t="s">
        <v>346</v>
      </c>
      <c r="C267" s="14" t="s">
        <v>14</v>
      </c>
      <c r="D267" s="26"/>
      <c r="E267" s="471">
        <f t="shared" si="19"/>
        <v>48370</v>
      </c>
      <c r="F267" s="16">
        <f t="shared" si="18"/>
        <v>0</v>
      </c>
      <c r="G267" s="8">
        <f t="shared" ref="G267:G330" si="20">+IF(F267&lt;&gt;0,1,0)</f>
        <v>0</v>
      </c>
    </row>
    <row r="268" spans="1:7" hidden="1" x14ac:dyDescent="0.25">
      <c r="A268" s="17" t="s">
        <v>387</v>
      </c>
      <c r="B268" s="25" t="s">
        <v>347</v>
      </c>
      <c r="C268" s="14" t="s">
        <v>14</v>
      </c>
      <c r="D268" s="26"/>
      <c r="E268" s="471">
        <f t="shared" si="19"/>
        <v>0</v>
      </c>
      <c r="F268" s="16">
        <f t="shared" si="18"/>
        <v>0</v>
      </c>
      <c r="G268" s="8">
        <f t="shared" si="20"/>
        <v>0</v>
      </c>
    </row>
    <row r="269" spans="1:7" hidden="1" x14ac:dyDescent="0.25">
      <c r="A269" s="17" t="s">
        <v>388</v>
      </c>
      <c r="B269" s="25" t="s">
        <v>348</v>
      </c>
      <c r="C269" s="14" t="s">
        <v>14</v>
      </c>
      <c r="D269" s="26"/>
      <c r="E269" s="15"/>
      <c r="F269" s="16">
        <f t="shared" si="18"/>
        <v>0</v>
      </c>
      <c r="G269" s="8">
        <f t="shared" si="20"/>
        <v>0</v>
      </c>
    </row>
    <row r="270" spans="1:7" hidden="1" x14ac:dyDescent="0.25">
      <c r="A270" s="17" t="s">
        <v>389</v>
      </c>
      <c r="B270" s="25" t="s">
        <v>349</v>
      </c>
      <c r="C270" s="14" t="s">
        <v>14</v>
      </c>
      <c r="D270" s="26"/>
      <c r="E270" s="15"/>
      <c r="F270" s="16">
        <f t="shared" si="18"/>
        <v>0</v>
      </c>
      <c r="G270" s="8">
        <f t="shared" si="20"/>
        <v>0</v>
      </c>
    </row>
    <row r="271" spans="1:7" hidden="1" x14ac:dyDescent="0.25">
      <c r="A271" s="17" t="s">
        <v>390</v>
      </c>
      <c r="B271" s="25" t="s">
        <v>350</v>
      </c>
      <c r="C271" s="14" t="s">
        <v>14</v>
      </c>
      <c r="D271" s="26"/>
      <c r="E271" s="15"/>
      <c r="F271" s="16">
        <f t="shared" si="18"/>
        <v>0</v>
      </c>
      <c r="G271" s="8">
        <f t="shared" si="20"/>
        <v>0</v>
      </c>
    </row>
    <row r="272" spans="1:7" hidden="1" x14ac:dyDescent="0.25">
      <c r="A272" s="17" t="s">
        <v>391</v>
      </c>
      <c r="B272" s="25" t="s">
        <v>351</v>
      </c>
      <c r="C272" s="14" t="s">
        <v>14</v>
      </c>
      <c r="D272" s="26"/>
      <c r="E272" s="15"/>
      <c r="F272" s="16">
        <f t="shared" si="18"/>
        <v>0</v>
      </c>
      <c r="G272" s="8">
        <f t="shared" si="20"/>
        <v>0</v>
      </c>
    </row>
    <row r="273" spans="1:7" hidden="1" x14ac:dyDescent="0.25">
      <c r="A273" s="17" t="s">
        <v>392</v>
      </c>
      <c r="B273" s="25" t="s">
        <v>352</v>
      </c>
      <c r="C273" s="14" t="s">
        <v>14</v>
      </c>
      <c r="D273" s="26"/>
      <c r="E273" s="15"/>
      <c r="F273" s="16">
        <f t="shared" si="18"/>
        <v>0</v>
      </c>
      <c r="G273" s="8">
        <f t="shared" si="20"/>
        <v>0</v>
      </c>
    </row>
    <row r="274" spans="1:7" hidden="1" x14ac:dyDescent="0.25">
      <c r="A274" s="17" t="s">
        <v>393</v>
      </c>
      <c r="B274" s="25" t="s">
        <v>353</v>
      </c>
      <c r="C274" s="14" t="s">
        <v>14</v>
      </c>
      <c r="D274" s="26"/>
      <c r="E274" s="15"/>
      <c r="F274" s="16">
        <f t="shared" si="18"/>
        <v>0</v>
      </c>
      <c r="G274" s="8">
        <f t="shared" si="20"/>
        <v>0</v>
      </c>
    </row>
    <row r="275" spans="1:7" hidden="1" x14ac:dyDescent="0.25">
      <c r="A275" s="17" t="s">
        <v>394</v>
      </c>
      <c r="B275" s="25" t="s">
        <v>354</v>
      </c>
      <c r="C275" s="14" t="s">
        <v>14</v>
      </c>
      <c r="D275" s="26"/>
      <c r="E275" s="15"/>
      <c r="F275" s="16">
        <f t="shared" si="18"/>
        <v>0</v>
      </c>
      <c r="G275" s="8">
        <f t="shared" si="20"/>
        <v>0</v>
      </c>
    </row>
    <row r="276" spans="1:7" x14ac:dyDescent="0.25">
      <c r="A276" s="12" t="s">
        <v>395</v>
      </c>
      <c r="B276" s="46" t="s">
        <v>396</v>
      </c>
      <c r="C276" s="14"/>
      <c r="D276" s="26"/>
      <c r="E276" s="15"/>
      <c r="F276" s="16"/>
      <c r="G276" s="8">
        <v>1</v>
      </c>
    </row>
    <row r="277" spans="1:7" hidden="1" x14ac:dyDescent="0.25">
      <c r="A277" s="17" t="s">
        <v>397</v>
      </c>
      <c r="B277" s="49" t="s">
        <v>6195</v>
      </c>
      <c r="C277" s="14" t="s">
        <v>37</v>
      </c>
      <c r="D277" s="26"/>
      <c r="E277" s="15"/>
      <c r="F277" s="16">
        <f t="shared" ref="F277:F288" si="21">+D277*E277</f>
        <v>0</v>
      </c>
      <c r="G277" s="8">
        <f t="shared" si="20"/>
        <v>0</v>
      </c>
    </row>
    <row r="278" spans="1:7" hidden="1" x14ac:dyDescent="0.25">
      <c r="A278" s="17" t="s">
        <v>398</v>
      </c>
      <c r="B278" s="49" t="s">
        <v>6196</v>
      </c>
      <c r="C278" s="14" t="s">
        <v>37</v>
      </c>
      <c r="D278" s="26"/>
      <c r="E278" s="15"/>
      <c r="F278" s="16">
        <f t="shared" si="21"/>
        <v>0</v>
      </c>
      <c r="G278" s="8">
        <f t="shared" si="20"/>
        <v>0</v>
      </c>
    </row>
    <row r="279" spans="1:7" hidden="1" x14ac:dyDescent="0.25">
      <c r="A279" s="17" t="s">
        <v>399</v>
      </c>
      <c r="B279" s="49" t="s">
        <v>6197</v>
      </c>
      <c r="C279" s="14" t="s">
        <v>37</v>
      </c>
      <c r="D279" s="26"/>
      <c r="E279" s="15"/>
      <c r="F279" s="16">
        <f t="shared" si="21"/>
        <v>0</v>
      </c>
      <c r="G279" s="8">
        <f t="shared" si="20"/>
        <v>0</v>
      </c>
    </row>
    <row r="280" spans="1:7" hidden="1" x14ac:dyDescent="0.25">
      <c r="A280" s="17" t="s">
        <v>400</v>
      </c>
      <c r="B280" s="49" t="s">
        <v>6198</v>
      </c>
      <c r="C280" s="14" t="s">
        <v>37</v>
      </c>
      <c r="D280" s="26"/>
      <c r="E280" s="15">
        <f>+'APU CAP 3'!H1671</f>
        <v>18913</v>
      </c>
      <c r="F280" s="16">
        <f t="shared" si="21"/>
        <v>0</v>
      </c>
      <c r="G280" s="8">
        <f t="shared" si="20"/>
        <v>0</v>
      </c>
    </row>
    <row r="281" spans="1:7" hidden="1" x14ac:dyDescent="0.25">
      <c r="A281" s="17" t="s">
        <v>401</v>
      </c>
      <c r="B281" s="49" t="s">
        <v>6199</v>
      </c>
      <c r="C281" s="14" t="s">
        <v>37</v>
      </c>
      <c r="D281" s="26"/>
      <c r="E281" s="15">
        <f>+'APU CAP 3'!P1671</f>
        <v>21310</v>
      </c>
      <c r="F281" s="16">
        <f t="shared" si="21"/>
        <v>0</v>
      </c>
      <c r="G281" s="8">
        <f t="shared" si="20"/>
        <v>0</v>
      </c>
    </row>
    <row r="282" spans="1:7" hidden="1" x14ac:dyDescent="0.25">
      <c r="A282" s="17" t="s">
        <v>402</v>
      </c>
      <c r="B282" s="49" t="s">
        <v>6200</v>
      </c>
      <c r="C282" s="14" t="s">
        <v>37</v>
      </c>
      <c r="D282" s="26"/>
      <c r="E282" s="15">
        <f>+'APU CAP 3'!X1671</f>
        <v>24906</v>
      </c>
      <c r="F282" s="16">
        <f t="shared" si="21"/>
        <v>0</v>
      </c>
      <c r="G282" s="8">
        <f t="shared" si="20"/>
        <v>0</v>
      </c>
    </row>
    <row r="283" spans="1:7" hidden="1" x14ac:dyDescent="0.25">
      <c r="A283" s="17" t="s">
        <v>403</v>
      </c>
      <c r="B283" s="49" t="s">
        <v>6201</v>
      </c>
      <c r="C283" s="14" t="s">
        <v>37</v>
      </c>
      <c r="D283" s="26"/>
      <c r="E283" s="15">
        <f>+'APU CAP 3'!H1725</f>
        <v>36089</v>
      </c>
      <c r="F283" s="16">
        <f t="shared" si="21"/>
        <v>0</v>
      </c>
      <c r="G283" s="8">
        <f t="shared" si="20"/>
        <v>0</v>
      </c>
    </row>
    <row r="284" spans="1:7" x14ac:dyDescent="0.25">
      <c r="A284" s="17" t="s">
        <v>6207</v>
      </c>
      <c r="B284" s="49" t="s">
        <v>6202</v>
      </c>
      <c r="C284" s="14" t="s">
        <v>37</v>
      </c>
      <c r="D284" s="26">
        <v>6</v>
      </c>
      <c r="E284" s="15">
        <f>+E245*2</f>
        <v>420000</v>
      </c>
      <c r="F284" s="16">
        <f t="shared" si="21"/>
        <v>2520000</v>
      </c>
      <c r="G284" s="8">
        <f t="shared" si="20"/>
        <v>1</v>
      </c>
    </row>
    <row r="285" spans="1:7" hidden="1" x14ac:dyDescent="0.25">
      <c r="A285" s="17" t="s">
        <v>6208</v>
      </c>
      <c r="B285" s="49" t="s">
        <v>6203</v>
      </c>
      <c r="C285" s="14" t="s">
        <v>37</v>
      </c>
      <c r="D285" s="26"/>
      <c r="E285" s="15">
        <f>+'APU CAP 3'!X1725</f>
        <v>46678</v>
      </c>
      <c r="F285" s="16">
        <f t="shared" si="21"/>
        <v>0</v>
      </c>
      <c r="G285" s="8">
        <f t="shared" si="20"/>
        <v>0</v>
      </c>
    </row>
    <row r="286" spans="1:7" hidden="1" x14ac:dyDescent="0.25">
      <c r="A286" s="17" t="s">
        <v>6209</v>
      </c>
      <c r="B286" s="49" t="s">
        <v>6204</v>
      </c>
      <c r="C286" s="14" t="s">
        <v>37</v>
      </c>
      <c r="D286" s="26"/>
      <c r="E286" s="15"/>
      <c r="F286" s="16">
        <f t="shared" si="21"/>
        <v>0</v>
      </c>
      <c r="G286" s="8">
        <f t="shared" si="20"/>
        <v>0</v>
      </c>
    </row>
    <row r="287" spans="1:7" hidden="1" x14ac:dyDescent="0.25">
      <c r="A287" s="17" t="s">
        <v>6210</v>
      </c>
      <c r="B287" s="49" t="s">
        <v>6205</v>
      </c>
      <c r="C287" s="14" t="s">
        <v>37</v>
      </c>
      <c r="D287" s="26"/>
      <c r="E287" s="15"/>
      <c r="F287" s="16">
        <f t="shared" si="21"/>
        <v>0</v>
      </c>
      <c r="G287" s="8">
        <f t="shared" si="20"/>
        <v>0</v>
      </c>
    </row>
    <row r="288" spans="1:7" hidden="1" x14ac:dyDescent="0.25">
      <c r="A288" s="17" t="s">
        <v>6211</v>
      </c>
      <c r="B288" s="49" t="s">
        <v>6206</v>
      </c>
      <c r="C288" s="14" t="s">
        <v>37</v>
      </c>
      <c r="D288" s="26"/>
      <c r="E288" s="15"/>
      <c r="F288" s="16">
        <f t="shared" si="21"/>
        <v>0</v>
      </c>
      <c r="G288" s="8">
        <f t="shared" si="20"/>
        <v>0</v>
      </c>
    </row>
    <row r="289" spans="1:7" hidden="1" x14ac:dyDescent="0.25">
      <c r="A289" s="12" t="s">
        <v>38</v>
      </c>
      <c r="B289" s="13" t="s">
        <v>404</v>
      </c>
      <c r="C289" s="14"/>
      <c r="D289" s="14"/>
      <c r="E289" s="15"/>
      <c r="F289" s="16"/>
      <c r="G289" s="8">
        <f t="shared" si="20"/>
        <v>0</v>
      </c>
    </row>
    <row r="290" spans="1:7" hidden="1" x14ac:dyDescent="0.25">
      <c r="A290" s="27" t="s">
        <v>39</v>
      </c>
      <c r="B290" s="28" t="s">
        <v>6065</v>
      </c>
      <c r="C290" s="26"/>
      <c r="D290" s="26"/>
      <c r="E290" s="29"/>
      <c r="F290" s="30"/>
      <c r="G290" s="8">
        <f t="shared" si="20"/>
        <v>0</v>
      </c>
    </row>
    <row r="291" spans="1:7" hidden="1" x14ac:dyDescent="0.25">
      <c r="A291" s="31" t="s">
        <v>408</v>
      </c>
      <c r="B291" s="32" t="s">
        <v>6212</v>
      </c>
      <c r="C291" s="26" t="s">
        <v>37</v>
      </c>
      <c r="D291" s="26"/>
      <c r="E291" s="29">
        <f>+'APU CAP 3'!H1779</f>
        <v>72446</v>
      </c>
      <c r="F291" s="16">
        <f t="shared" ref="F291:F306" si="22">+D291*E291</f>
        <v>0</v>
      </c>
      <c r="G291" s="8">
        <f t="shared" si="20"/>
        <v>0</v>
      </c>
    </row>
    <row r="292" spans="1:7" hidden="1" x14ac:dyDescent="0.25">
      <c r="A292" s="31" t="s">
        <v>409</v>
      </c>
      <c r="B292" s="32" t="s">
        <v>6213</v>
      </c>
      <c r="C292" s="26" t="s">
        <v>37</v>
      </c>
      <c r="D292" s="26"/>
      <c r="E292" s="29">
        <f>+'APU CAP 3'!H1833</f>
        <v>77036</v>
      </c>
      <c r="F292" s="16">
        <f t="shared" si="22"/>
        <v>0</v>
      </c>
      <c r="G292" s="8">
        <f t="shared" si="20"/>
        <v>0</v>
      </c>
    </row>
    <row r="293" spans="1:7" hidden="1" x14ac:dyDescent="0.25">
      <c r="A293" s="31" t="s">
        <v>40</v>
      </c>
      <c r="B293" s="32" t="s">
        <v>6066</v>
      </c>
      <c r="C293" s="26" t="s">
        <v>37</v>
      </c>
      <c r="D293" s="26"/>
      <c r="E293" s="29">
        <f>+'APU CAP 3'!P1887</f>
        <v>129880</v>
      </c>
      <c r="F293" s="16">
        <f t="shared" si="22"/>
        <v>0</v>
      </c>
      <c r="G293" s="8">
        <f t="shared" si="20"/>
        <v>0</v>
      </c>
    </row>
    <row r="294" spans="1:7" hidden="1" x14ac:dyDescent="0.25">
      <c r="A294" s="31" t="s">
        <v>410</v>
      </c>
      <c r="B294" s="32" t="s">
        <v>6067</v>
      </c>
      <c r="C294" s="26" t="s">
        <v>37</v>
      </c>
      <c r="D294" s="26"/>
      <c r="E294" s="29"/>
      <c r="F294" s="16">
        <f t="shared" si="22"/>
        <v>0</v>
      </c>
      <c r="G294" s="8">
        <f t="shared" si="20"/>
        <v>0</v>
      </c>
    </row>
    <row r="295" spans="1:7" hidden="1" x14ac:dyDescent="0.25">
      <c r="A295" s="31" t="s">
        <v>411</v>
      </c>
      <c r="B295" s="32" t="s">
        <v>6069</v>
      </c>
      <c r="C295" s="26" t="s">
        <v>37</v>
      </c>
      <c r="D295" s="26"/>
      <c r="E295" s="29"/>
      <c r="F295" s="16">
        <f t="shared" si="22"/>
        <v>0</v>
      </c>
      <c r="G295" s="8">
        <f t="shared" si="20"/>
        <v>0</v>
      </c>
    </row>
    <row r="296" spans="1:7" hidden="1" x14ac:dyDescent="0.25">
      <c r="A296" s="31" t="s">
        <v>412</v>
      </c>
      <c r="B296" s="32" t="s">
        <v>6068</v>
      </c>
      <c r="C296" s="26" t="s">
        <v>37</v>
      </c>
      <c r="D296" s="26"/>
      <c r="E296" s="29"/>
      <c r="F296" s="16">
        <f t="shared" si="22"/>
        <v>0</v>
      </c>
      <c r="G296" s="8">
        <f t="shared" si="20"/>
        <v>0</v>
      </c>
    </row>
    <row r="297" spans="1:7" hidden="1" x14ac:dyDescent="0.25">
      <c r="A297" s="31" t="s">
        <v>413</v>
      </c>
      <c r="B297" s="32" t="s">
        <v>6070</v>
      </c>
      <c r="C297" s="26" t="s">
        <v>37</v>
      </c>
      <c r="D297" s="26"/>
      <c r="E297" s="29"/>
      <c r="F297" s="16">
        <f t="shared" si="22"/>
        <v>0</v>
      </c>
      <c r="G297" s="8">
        <f t="shared" si="20"/>
        <v>0</v>
      </c>
    </row>
    <row r="298" spans="1:7" hidden="1" x14ac:dyDescent="0.25">
      <c r="A298" s="31" t="s">
        <v>414</v>
      </c>
      <c r="B298" s="32" t="s">
        <v>6071</v>
      </c>
      <c r="C298" s="26" t="s">
        <v>37</v>
      </c>
      <c r="D298" s="26"/>
      <c r="E298" s="29"/>
      <c r="F298" s="16">
        <f t="shared" si="22"/>
        <v>0</v>
      </c>
      <c r="G298" s="8">
        <f t="shared" si="20"/>
        <v>0</v>
      </c>
    </row>
    <row r="299" spans="1:7" hidden="1" x14ac:dyDescent="0.25">
      <c r="A299" s="31" t="s">
        <v>415</v>
      </c>
      <c r="B299" s="32" t="s">
        <v>6214</v>
      </c>
      <c r="C299" s="26" t="s">
        <v>37</v>
      </c>
      <c r="D299" s="26"/>
      <c r="E299" s="29">
        <f>+'APU CAP 3'!H1887</f>
        <v>118326</v>
      </c>
      <c r="F299" s="16">
        <f t="shared" si="22"/>
        <v>0</v>
      </c>
      <c r="G299" s="8">
        <f t="shared" si="20"/>
        <v>0</v>
      </c>
    </row>
    <row r="300" spans="1:7" hidden="1" x14ac:dyDescent="0.25">
      <c r="A300" s="31" t="s">
        <v>416</v>
      </c>
      <c r="B300" s="32" t="s">
        <v>6215</v>
      </c>
      <c r="C300" s="26" t="s">
        <v>37</v>
      </c>
      <c r="D300" s="26"/>
      <c r="E300" s="29">
        <f>+'APU CAP 3'!H1941</f>
        <v>171706</v>
      </c>
      <c r="F300" s="16">
        <f t="shared" si="22"/>
        <v>0</v>
      </c>
      <c r="G300" s="8">
        <f t="shared" si="20"/>
        <v>0</v>
      </c>
    </row>
    <row r="301" spans="1:7" hidden="1" x14ac:dyDescent="0.25">
      <c r="A301" s="31" t="s">
        <v>417</v>
      </c>
      <c r="B301" s="32" t="s">
        <v>6072</v>
      </c>
      <c r="C301" s="26" t="s">
        <v>37</v>
      </c>
      <c r="D301" s="26"/>
      <c r="E301" s="29"/>
      <c r="F301" s="16">
        <f t="shared" si="22"/>
        <v>0</v>
      </c>
      <c r="G301" s="8">
        <f t="shared" si="20"/>
        <v>0</v>
      </c>
    </row>
    <row r="302" spans="1:7" hidden="1" x14ac:dyDescent="0.25">
      <c r="A302" s="31" t="s">
        <v>418</v>
      </c>
      <c r="B302" s="32" t="s">
        <v>6073</v>
      </c>
      <c r="C302" s="26" t="s">
        <v>37</v>
      </c>
      <c r="D302" s="26"/>
      <c r="E302" s="29"/>
      <c r="F302" s="16">
        <f t="shared" si="22"/>
        <v>0</v>
      </c>
      <c r="G302" s="8">
        <f t="shared" si="20"/>
        <v>0</v>
      </c>
    </row>
    <row r="303" spans="1:7" hidden="1" x14ac:dyDescent="0.25">
      <c r="A303" s="31" t="s">
        <v>419</v>
      </c>
      <c r="B303" s="32" t="s">
        <v>6074</v>
      </c>
      <c r="C303" s="26" t="s">
        <v>37</v>
      </c>
      <c r="D303" s="26"/>
      <c r="E303" s="29"/>
      <c r="F303" s="16">
        <f t="shared" si="22"/>
        <v>0</v>
      </c>
      <c r="G303" s="8">
        <f t="shared" si="20"/>
        <v>0</v>
      </c>
    </row>
    <row r="304" spans="1:7" hidden="1" x14ac:dyDescent="0.25">
      <c r="A304" s="31" t="s">
        <v>420</v>
      </c>
      <c r="B304" s="32" t="s">
        <v>6075</v>
      </c>
      <c r="C304" s="26" t="s">
        <v>37</v>
      </c>
      <c r="D304" s="26"/>
      <c r="E304" s="29"/>
      <c r="F304" s="16">
        <f t="shared" si="22"/>
        <v>0</v>
      </c>
      <c r="G304" s="8">
        <f t="shared" si="20"/>
        <v>0</v>
      </c>
    </row>
    <row r="305" spans="1:7" hidden="1" x14ac:dyDescent="0.25">
      <c r="A305" s="31" t="s">
        <v>421</v>
      </c>
      <c r="B305" s="32" t="s">
        <v>6076</v>
      </c>
      <c r="C305" s="26" t="s">
        <v>37</v>
      </c>
      <c r="D305" s="26"/>
      <c r="E305" s="29"/>
      <c r="F305" s="16">
        <f t="shared" si="22"/>
        <v>0</v>
      </c>
      <c r="G305" s="8">
        <f t="shared" si="20"/>
        <v>0</v>
      </c>
    </row>
    <row r="306" spans="1:7" hidden="1" x14ac:dyDescent="0.25">
      <c r="A306" s="31" t="s">
        <v>422</v>
      </c>
      <c r="B306" s="32" t="s">
        <v>6077</v>
      </c>
      <c r="C306" s="26" t="s">
        <v>37</v>
      </c>
      <c r="D306" s="26"/>
      <c r="E306" s="29"/>
      <c r="F306" s="16">
        <f t="shared" si="22"/>
        <v>0</v>
      </c>
      <c r="G306" s="8">
        <f t="shared" si="20"/>
        <v>0</v>
      </c>
    </row>
    <row r="307" spans="1:7" hidden="1" x14ac:dyDescent="0.25">
      <c r="A307" s="27" t="s">
        <v>6078</v>
      </c>
      <c r="B307" s="455" t="s">
        <v>6079</v>
      </c>
      <c r="C307" s="26"/>
      <c r="D307" s="26"/>
      <c r="E307" s="456"/>
      <c r="F307" s="457"/>
      <c r="G307" s="8">
        <f t="shared" si="20"/>
        <v>0</v>
      </c>
    </row>
    <row r="308" spans="1:7" hidden="1" x14ac:dyDescent="0.25">
      <c r="A308" s="31" t="s">
        <v>6080</v>
      </c>
      <c r="B308" s="32" t="s">
        <v>6081</v>
      </c>
      <c r="C308" s="26" t="s">
        <v>37</v>
      </c>
      <c r="D308" s="26"/>
      <c r="E308" s="456">
        <f>+'APU CAP 3'!P1779</f>
        <v>72446</v>
      </c>
      <c r="F308" s="457">
        <f t="shared" ref="F308:F327" si="23">+D308*E308</f>
        <v>0</v>
      </c>
      <c r="G308" s="8">
        <f t="shared" si="20"/>
        <v>0</v>
      </c>
    </row>
    <row r="309" spans="1:7" hidden="1" x14ac:dyDescent="0.25">
      <c r="A309" s="31" t="s">
        <v>6082</v>
      </c>
      <c r="B309" s="32" t="s">
        <v>6083</v>
      </c>
      <c r="C309" s="26" t="s">
        <v>37</v>
      </c>
      <c r="D309" s="26"/>
      <c r="E309" s="456">
        <f>+'APU CAP 3'!P1833</f>
        <v>79036</v>
      </c>
      <c r="F309" s="457">
        <f t="shared" si="23"/>
        <v>0</v>
      </c>
      <c r="G309" s="8">
        <f t="shared" si="20"/>
        <v>0</v>
      </c>
    </row>
    <row r="310" spans="1:7" hidden="1" x14ac:dyDescent="0.25">
      <c r="A310" s="31" t="s">
        <v>6084</v>
      </c>
      <c r="B310" s="32" t="s">
        <v>6085</v>
      </c>
      <c r="C310" s="26" t="s">
        <v>37</v>
      </c>
      <c r="D310" s="26"/>
      <c r="E310" s="456">
        <f>+'APU CAP 3'!P1887</f>
        <v>129880</v>
      </c>
      <c r="F310" s="457">
        <f t="shared" si="23"/>
        <v>0</v>
      </c>
      <c r="G310" s="8">
        <f t="shared" si="20"/>
        <v>0</v>
      </c>
    </row>
    <row r="311" spans="1:7" hidden="1" x14ac:dyDescent="0.25">
      <c r="A311" s="31" t="s">
        <v>6086</v>
      </c>
      <c r="B311" s="32" t="s">
        <v>6087</v>
      </c>
      <c r="C311" s="26" t="s">
        <v>37</v>
      </c>
      <c r="D311" s="26"/>
      <c r="E311" s="456"/>
      <c r="F311" s="457">
        <f t="shared" si="23"/>
        <v>0</v>
      </c>
      <c r="G311" s="8">
        <f t="shared" si="20"/>
        <v>0</v>
      </c>
    </row>
    <row r="312" spans="1:7" hidden="1" x14ac:dyDescent="0.25">
      <c r="A312" s="31" t="s">
        <v>6088</v>
      </c>
      <c r="B312" s="32" t="s">
        <v>6089</v>
      </c>
      <c r="C312" s="26" t="s">
        <v>37</v>
      </c>
      <c r="D312" s="26"/>
      <c r="E312" s="456">
        <f>+'APU CAP 3'!X1779</f>
        <v>75036</v>
      </c>
      <c r="F312" s="457">
        <f t="shared" si="23"/>
        <v>0</v>
      </c>
      <c r="G312" s="8">
        <f t="shared" si="20"/>
        <v>0</v>
      </c>
    </row>
    <row r="313" spans="1:7" hidden="1" x14ac:dyDescent="0.25">
      <c r="A313" s="31" t="s">
        <v>6090</v>
      </c>
      <c r="B313" s="32" t="s">
        <v>6091</v>
      </c>
      <c r="C313" s="26" t="s">
        <v>37</v>
      </c>
      <c r="D313" s="26"/>
      <c r="E313" s="456">
        <f>+'APU CAP 3'!X1833</f>
        <v>87510</v>
      </c>
      <c r="F313" s="457">
        <f t="shared" si="23"/>
        <v>0</v>
      </c>
      <c r="G313" s="8">
        <f t="shared" si="20"/>
        <v>0</v>
      </c>
    </row>
    <row r="314" spans="1:7" hidden="1" x14ac:dyDescent="0.25">
      <c r="A314" s="31" t="s">
        <v>6092</v>
      </c>
      <c r="B314" s="32" t="s">
        <v>6093</v>
      </c>
      <c r="C314" s="26" t="s">
        <v>37</v>
      </c>
      <c r="D314" s="26"/>
      <c r="E314" s="456">
        <f>+'APU CAP 3'!X1887</f>
        <v>157302</v>
      </c>
      <c r="F314" s="457">
        <f t="shared" si="23"/>
        <v>0</v>
      </c>
      <c r="G314" s="8">
        <f t="shared" si="20"/>
        <v>0</v>
      </c>
    </row>
    <row r="315" spans="1:7" hidden="1" x14ac:dyDescent="0.25">
      <c r="A315" s="31" t="s">
        <v>6094</v>
      </c>
      <c r="B315" s="32" t="s">
        <v>6095</v>
      </c>
      <c r="C315" s="26" t="s">
        <v>37</v>
      </c>
      <c r="D315" s="26"/>
      <c r="E315" s="456"/>
      <c r="F315" s="457">
        <f t="shared" si="23"/>
        <v>0</v>
      </c>
      <c r="G315" s="8">
        <f t="shared" si="20"/>
        <v>0</v>
      </c>
    </row>
    <row r="316" spans="1:7" hidden="1" x14ac:dyDescent="0.25">
      <c r="A316" s="31" t="s">
        <v>6096</v>
      </c>
      <c r="B316" s="32" t="s">
        <v>6097</v>
      </c>
      <c r="C316" s="26" t="s">
        <v>37</v>
      </c>
      <c r="D316" s="26"/>
      <c r="E316" s="456">
        <f>+'APU CAP 3'!AF1779</f>
        <v>87510</v>
      </c>
      <c r="F316" s="457">
        <f t="shared" si="23"/>
        <v>0</v>
      </c>
      <c r="G316" s="8">
        <f t="shared" si="20"/>
        <v>0</v>
      </c>
    </row>
    <row r="317" spans="1:7" hidden="1" x14ac:dyDescent="0.25">
      <c r="A317" s="31" t="s">
        <v>6098</v>
      </c>
      <c r="B317" s="32" t="s">
        <v>6099</v>
      </c>
      <c r="C317" s="26" t="s">
        <v>37</v>
      </c>
      <c r="D317" s="26"/>
      <c r="E317" s="456">
        <f>+'APU CAP 3'!AF1833</f>
        <v>103458</v>
      </c>
      <c r="F317" s="457">
        <f t="shared" si="23"/>
        <v>0</v>
      </c>
      <c r="G317" s="8">
        <f t="shared" si="20"/>
        <v>0</v>
      </c>
    </row>
    <row r="318" spans="1:7" hidden="1" x14ac:dyDescent="0.25">
      <c r="A318" s="31" t="s">
        <v>6100</v>
      </c>
      <c r="B318" s="32" t="s">
        <v>6101</v>
      </c>
      <c r="C318" s="26" t="s">
        <v>37</v>
      </c>
      <c r="D318" s="26"/>
      <c r="E318" s="456">
        <f>+'APU CAP 3'!AF1887</f>
        <v>177250</v>
      </c>
      <c r="F318" s="457">
        <f t="shared" si="23"/>
        <v>0</v>
      </c>
      <c r="G318" s="8">
        <f t="shared" si="20"/>
        <v>0</v>
      </c>
    </row>
    <row r="319" spans="1:7" hidden="1" x14ac:dyDescent="0.25">
      <c r="A319" s="31" t="s">
        <v>6102</v>
      </c>
      <c r="B319" s="32" t="s">
        <v>6103</v>
      </c>
      <c r="C319" s="26" t="s">
        <v>37</v>
      </c>
      <c r="D319" s="26"/>
      <c r="E319" s="456"/>
      <c r="F319" s="457">
        <f t="shared" si="23"/>
        <v>0</v>
      </c>
      <c r="G319" s="8">
        <f t="shared" si="20"/>
        <v>0</v>
      </c>
    </row>
    <row r="320" spans="1:7" hidden="1" x14ac:dyDescent="0.25">
      <c r="A320" s="31" t="s">
        <v>6104</v>
      </c>
      <c r="B320" s="32" t="s">
        <v>6105</v>
      </c>
      <c r="C320" s="26" t="s">
        <v>37</v>
      </c>
      <c r="D320" s="26"/>
      <c r="E320" s="456">
        <f>+'APU CAP 3'!AN1779</f>
        <v>103458</v>
      </c>
      <c r="F320" s="457">
        <f t="shared" si="23"/>
        <v>0</v>
      </c>
      <c r="G320" s="8">
        <f t="shared" si="20"/>
        <v>0</v>
      </c>
    </row>
    <row r="321" spans="1:7" hidden="1" x14ac:dyDescent="0.25">
      <c r="A321" s="31" t="s">
        <v>6106</v>
      </c>
      <c r="B321" s="32" t="s">
        <v>6107</v>
      </c>
      <c r="C321" s="26" t="s">
        <v>37</v>
      </c>
      <c r="D321" s="26"/>
      <c r="E321" s="456">
        <f>+'APU CAP 3'!AN1833</f>
        <v>127380</v>
      </c>
      <c r="F321" s="457">
        <f t="shared" si="23"/>
        <v>0</v>
      </c>
      <c r="G321" s="8">
        <f t="shared" si="20"/>
        <v>0</v>
      </c>
    </row>
    <row r="322" spans="1:7" hidden="1" x14ac:dyDescent="0.25">
      <c r="A322" s="31" t="s">
        <v>6108</v>
      </c>
      <c r="B322" s="32" t="s">
        <v>6109</v>
      </c>
      <c r="C322" s="26" t="s">
        <v>37</v>
      </c>
      <c r="D322" s="26"/>
      <c r="E322" s="456">
        <f>+'APU CAP 3'!AN1887</f>
        <v>205935</v>
      </c>
      <c r="F322" s="457">
        <f t="shared" si="23"/>
        <v>0</v>
      </c>
      <c r="G322" s="8">
        <f t="shared" si="20"/>
        <v>0</v>
      </c>
    </row>
    <row r="323" spans="1:7" hidden="1" x14ac:dyDescent="0.25">
      <c r="A323" s="31" t="s">
        <v>6110</v>
      </c>
      <c r="B323" s="32" t="s">
        <v>6111</v>
      </c>
      <c r="C323" s="26" t="s">
        <v>37</v>
      </c>
      <c r="D323" s="26"/>
      <c r="E323" s="456"/>
      <c r="F323" s="457">
        <f t="shared" si="23"/>
        <v>0</v>
      </c>
      <c r="G323" s="8">
        <f t="shared" si="20"/>
        <v>0</v>
      </c>
    </row>
    <row r="324" spans="1:7" hidden="1" x14ac:dyDescent="0.25">
      <c r="A324" s="31" t="s">
        <v>6112</v>
      </c>
      <c r="B324" s="32" t="s">
        <v>6113</v>
      </c>
      <c r="C324" s="26" t="s">
        <v>37</v>
      </c>
      <c r="D324" s="26"/>
      <c r="E324" s="456">
        <f>+'APU CAP 3'!AV1779</f>
        <v>127380</v>
      </c>
      <c r="F324" s="457">
        <f t="shared" si="23"/>
        <v>0</v>
      </c>
      <c r="G324" s="8">
        <f t="shared" si="20"/>
        <v>0</v>
      </c>
    </row>
    <row r="325" spans="1:7" hidden="1" x14ac:dyDescent="0.25">
      <c r="A325" s="31" t="s">
        <v>6114</v>
      </c>
      <c r="B325" s="32" t="s">
        <v>6115</v>
      </c>
      <c r="C325" s="26" t="s">
        <v>37</v>
      </c>
      <c r="D325" s="26"/>
      <c r="E325" s="456">
        <f>+'APU CAP 3'!AV1833</f>
        <v>152302</v>
      </c>
      <c r="F325" s="457">
        <f t="shared" si="23"/>
        <v>0</v>
      </c>
      <c r="G325" s="8">
        <f t="shared" si="20"/>
        <v>0</v>
      </c>
    </row>
    <row r="326" spans="1:7" hidden="1" x14ac:dyDescent="0.25">
      <c r="A326" s="31" t="s">
        <v>6116</v>
      </c>
      <c r="B326" s="32" t="s">
        <v>6117</v>
      </c>
      <c r="C326" s="26" t="s">
        <v>37</v>
      </c>
      <c r="D326" s="26"/>
      <c r="E326" s="456">
        <f>+'APU CAP 3'!AV1887</f>
        <v>291065</v>
      </c>
      <c r="F326" s="457">
        <f t="shared" si="23"/>
        <v>0</v>
      </c>
      <c r="G326" s="8">
        <f t="shared" si="20"/>
        <v>0</v>
      </c>
    </row>
    <row r="327" spans="1:7" hidden="1" x14ac:dyDescent="0.25">
      <c r="A327" s="31" t="s">
        <v>6118</v>
      </c>
      <c r="B327" s="32" t="s">
        <v>6119</v>
      </c>
      <c r="C327" s="26" t="s">
        <v>37</v>
      </c>
      <c r="D327" s="26"/>
      <c r="E327" s="456"/>
      <c r="F327" s="457">
        <f t="shared" si="23"/>
        <v>0</v>
      </c>
      <c r="G327" s="8">
        <f t="shared" si="20"/>
        <v>0</v>
      </c>
    </row>
    <row r="328" spans="1:7" hidden="1" x14ac:dyDescent="0.25">
      <c r="A328" s="27" t="s">
        <v>423</v>
      </c>
      <c r="B328" s="48" t="s">
        <v>424</v>
      </c>
      <c r="C328" s="26"/>
      <c r="D328" s="26"/>
      <c r="E328" s="29"/>
      <c r="F328" s="30"/>
      <c r="G328" s="8">
        <f t="shared" si="20"/>
        <v>0</v>
      </c>
    </row>
    <row r="329" spans="1:7" hidden="1" x14ac:dyDescent="0.25">
      <c r="A329" s="31" t="s">
        <v>425</v>
      </c>
      <c r="B329" s="47" t="s">
        <v>429</v>
      </c>
      <c r="C329" s="26" t="s">
        <v>37</v>
      </c>
      <c r="D329" s="26"/>
      <c r="E329" s="29"/>
      <c r="F329" s="16">
        <f>+D329*E329</f>
        <v>0</v>
      </c>
      <c r="G329" s="8">
        <f t="shared" si="20"/>
        <v>0</v>
      </c>
    </row>
    <row r="330" spans="1:7" hidden="1" x14ac:dyDescent="0.25">
      <c r="A330" s="31" t="s">
        <v>430</v>
      </c>
      <c r="B330" s="47" t="s">
        <v>426</v>
      </c>
      <c r="C330" s="26" t="s">
        <v>37</v>
      </c>
      <c r="D330" s="26"/>
      <c r="E330" s="29">
        <f>+'APU CAP 3'!H2049</f>
        <v>207729</v>
      </c>
      <c r="F330" s="16">
        <f>+D330*E330</f>
        <v>0</v>
      </c>
      <c r="G330" s="8">
        <f t="shared" si="20"/>
        <v>0</v>
      </c>
    </row>
    <row r="331" spans="1:7" hidden="1" x14ac:dyDescent="0.25">
      <c r="A331" s="31" t="s">
        <v>431</v>
      </c>
      <c r="B331" s="47" t="s">
        <v>427</v>
      </c>
      <c r="C331" s="26" t="s">
        <v>37</v>
      </c>
      <c r="D331" s="26"/>
      <c r="E331" s="29"/>
      <c r="F331" s="16">
        <f>+D331*E331</f>
        <v>0</v>
      </c>
      <c r="G331" s="8">
        <f t="shared" ref="G331:G394" si="24">+IF(F331&lt;&gt;0,1,0)</f>
        <v>0</v>
      </c>
    </row>
    <row r="332" spans="1:7" hidden="1" x14ac:dyDescent="0.25">
      <c r="A332" s="31" t="s">
        <v>432</v>
      </c>
      <c r="B332" s="47" t="s">
        <v>428</v>
      </c>
      <c r="C332" s="26" t="s">
        <v>37</v>
      </c>
      <c r="D332" s="26"/>
      <c r="E332" s="29">
        <f>+'APU CAP 3'!H1995</f>
        <v>275719</v>
      </c>
      <c r="F332" s="16">
        <f>+D332*E332</f>
        <v>0</v>
      </c>
      <c r="G332" s="8">
        <f t="shared" si="24"/>
        <v>0</v>
      </c>
    </row>
    <row r="333" spans="1:7" hidden="1" x14ac:dyDescent="0.25">
      <c r="A333" s="27" t="s">
        <v>41</v>
      </c>
      <c r="B333" s="48" t="s">
        <v>444</v>
      </c>
      <c r="C333" s="26"/>
      <c r="D333" s="26"/>
      <c r="E333" s="29"/>
      <c r="F333" s="30"/>
      <c r="G333" s="8">
        <f t="shared" si="24"/>
        <v>0</v>
      </c>
    </row>
    <row r="334" spans="1:7" hidden="1" x14ac:dyDescent="0.25">
      <c r="A334" s="12" t="s">
        <v>445</v>
      </c>
      <c r="B334" s="13" t="s">
        <v>452</v>
      </c>
      <c r="C334" s="14"/>
      <c r="D334" s="14"/>
      <c r="E334" s="15"/>
      <c r="F334" s="16"/>
      <c r="G334" s="8">
        <f t="shared" si="24"/>
        <v>0</v>
      </c>
    </row>
    <row r="335" spans="1:7" hidden="1" x14ac:dyDescent="0.25">
      <c r="A335" s="17" t="s">
        <v>446</v>
      </c>
      <c r="B335" s="18" t="s">
        <v>433</v>
      </c>
      <c r="C335" s="26" t="s">
        <v>37</v>
      </c>
      <c r="D335" s="14"/>
      <c r="E335" s="15">
        <f>+'APU CAP 3'!H2103</f>
        <v>43956</v>
      </c>
      <c r="F335" s="16">
        <f t="shared" ref="F335:F340" si="25">+D335*E335</f>
        <v>0</v>
      </c>
      <c r="G335" s="8">
        <f t="shared" si="24"/>
        <v>0</v>
      </c>
    </row>
    <row r="336" spans="1:7" hidden="1" x14ac:dyDescent="0.25">
      <c r="A336" s="17" t="s">
        <v>447</v>
      </c>
      <c r="B336" s="18" t="s">
        <v>439</v>
      </c>
      <c r="C336" s="26" t="s">
        <v>37</v>
      </c>
      <c r="D336" s="14"/>
      <c r="E336" s="15">
        <f>+'APU CAP 3'!H2157</f>
        <v>71359</v>
      </c>
      <c r="F336" s="16">
        <f t="shared" si="25"/>
        <v>0</v>
      </c>
      <c r="G336" s="8">
        <f t="shared" si="24"/>
        <v>0</v>
      </c>
    </row>
    <row r="337" spans="1:7" hidden="1" x14ac:dyDescent="0.25">
      <c r="A337" s="17" t="s">
        <v>448</v>
      </c>
      <c r="B337" s="18" t="s">
        <v>440</v>
      </c>
      <c r="C337" s="26" t="s">
        <v>37</v>
      </c>
      <c r="D337" s="14"/>
      <c r="E337" s="15">
        <f>+'APU CAP 3'!H2211</f>
        <v>145566</v>
      </c>
      <c r="F337" s="16">
        <f t="shared" si="25"/>
        <v>0</v>
      </c>
      <c r="G337" s="8">
        <f t="shared" si="24"/>
        <v>0</v>
      </c>
    </row>
    <row r="338" spans="1:7" hidden="1" x14ac:dyDescent="0.25">
      <c r="A338" s="17" t="s">
        <v>449</v>
      </c>
      <c r="B338" s="18" t="s">
        <v>441</v>
      </c>
      <c r="C338" s="26" t="s">
        <v>37</v>
      </c>
      <c r="D338" s="14"/>
      <c r="E338" s="15"/>
      <c r="F338" s="16">
        <f t="shared" si="25"/>
        <v>0</v>
      </c>
      <c r="G338" s="8">
        <f t="shared" si="24"/>
        <v>0</v>
      </c>
    </row>
    <row r="339" spans="1:7" hidden="1" x14ac:dyDescent="0.25">
      <c r="A339" s="17" t="s">
        <v>450</v>
      </c>
      <c r="B339" s="18" t="s">
        <v>442</v>
      </c>
      <c r="C339" s="26" t="s">
        <v>37</v>
      </c>
      <c r="D339" s="14"/>
      <c r="E339" s="15"/>
      <c r="F339" s="16">
        <f t="shared" si="25"/>
        <v>0</v>
      </c>
      <c r="G339" s="8">
        <f t="shared" si="24"/>
        <v>0</v>
      </c>
    </row>
    <row r="340" spans="1:7" hidden="1" x14ac:dyDescent="0.25">
      <c r="A340" s="17" t="s">
        <v>451</v>
      </c>
      <c r="B340" s="18" t="s">
        <v>443</v>
      </c>
      <c r="C340" s="26" t="s">
        <v>37</v>
      </c>
      <c r="D340" s="14"/>
      <c r="E340" s="15"/>
      <c r="F340" s="16">
        <f t="shared" si="25"/>
        <v>0</v>
      </c>
      <c r="G340" s="8">
        <f t="shared" si="24"/>
        <v>0</v>
      </c>
    </row>
    <row r="341" spans="1:7" hidden="1" x14ac:dyDescent="0.25">
      <c r="A341" s="12" t="s">
        <v>434</v>
      </c>
      <c r="B341" s="13" t="s">
        <v>453</v>
      </c>
      <c r="C341" s="14"/>
      <c r="D341" s="14"/>
      <c r="E341" s="15"/>
      <c r="F341" s="16"/>
      <c r="G341" s="8">
        <f t="shared" si="24"/>
        <v>0</v>
      </c>
    </row>
    <row r="342" spans="1:7" hidden="1" x14ac:dyDescent="0.25">
      <c r="A342" s="17" t="s">
        <v>454</v>
      </c>
      <c r="B342" s="18" t="s">
        <v>455</v>
      </c>
      <c r="C342" s="26" t="s">
        <v>37</v>
      </c>
      <c r="D342" s="14"/>
      <c r="E342" s="15">
        <f>+'APU CAP 3'!H2373</f>
        <v>15985</v>
      </c>
      <c r="F342" s="16">
        <f>+D342*E342</f>
        <v>0</v>
      </c>
      <c r="G342" s="8">
        <f t="shared" si="24"/>
        <v>0</v>
      </c>
    </row>
    <row r="343" spans="1:7" hidden="1" x14ac:dyDescent="0.25">
      <c r="A343" s="17" t="s">
        <v>457</v>
      </c>
      <c r="B343" s="18" t="s">
        <v>456</v>
      </c>
      <c r="C343" s="26" t="s">
        <v>37</v>
      </c>
      <c r="D343" s="14"/>
      <c r="E343" s="15">
        <f>+'APU CAP 3'!H2427</f>
        <v>16063</v>
      </c>
      <c r="F343" s="16">
        <f>+D343*E343</f>
        <v>0</v>
      </c>
      <c r="G343" s="8">
        <f t="shared" si="24"/>
        <v>0</v>
      </c>
    </row>
    <row r="344" spans="1:7" hidden="1" x14ac:dyDescent="0.25">
      <c r="A344" s="12" t="s">
        <v>435</v>
      </c>
      <c r="B344" s="13" t="s">
        <v>458</v>
      </c>
      <c r="C344" s="14"/>
      <c r="D344" s="14"/>
      <c r="E344" s="15"/>
      <c r="F344" s="16"/>
      <c r="G344" s="8">
        <f t="shared" si="24"/>
        <v>0</v>
      </c>
    </row>
    <row r="345" spans="1:7" hidden="1" x14ac:dyDescent="0.25">
      <c r="A345" s="17" t="s">
        <v>462</v>
      </c>
      <c r="B345" s="18" t="s">
        <v>459</v>
      </c>
      <c r="C345" s="26" t="s">
        <v>37</v>
      </c>
      <c r="D345" s="14"/>
      <c r="E345" s="15"/>
      <c r="F345" s="16">
        <f>+D345*E345</f>
        <v>0</v>
      </c>
      <c r="G345" s="8">
        <f t="shared" si="24"/>
        <v>0</v>
      </c>
    </row>
    <row r="346" spans="1:7" hidden="1" x14ac:dyDescent="0.25">
      <c r="A346" s="17" t="s">
        <v>463</v>
      </c>
      <c r="B346" s="18" t="s">
        <v>460</v>
      </c>
      <c r="C346" s="26" t="s">
        <v>37</v>
      </c>
      <c r="D346" s="14"/>
      <c r="E346" s="15"/>
      <c r="F346" s="16">
        <f>+D346*E346</f>
        <v>0</v>
      </c>
      <c r="G346" s="8">
        <f t="shared" si="24"/>
        <v>0</v>
      </c>
    </row>
    <row r="347" spans="1:7" hidden="1" x14ac:dyDescent="0.25">
      <c r="A347" s="17" t="s">
        <v>464</v>
      </c>
      <c r="B347" s="18" t="s">
        <v>461</v>
      </c>
      <c r="C347" s="26" t="s">
        <v>37</v>
      </c>
      <c r="D347" s="14"/>
      <c r="E347" s="15"/>
      <c r="F347" s="16">
        <f>+D347*E347</f>
        <v>0</v>
      </c>
      <c r="G347" s="8">
        <f t="shared" si="24"/>
        <v>0</v>
      </c>
    </row>
    <row r="348" spans="1:7" hidden="1" x14ac:dyDescent="0.25">
      <c r="A348" s="12" t="s">
        <v>436</v>
      </c>
      <c r="B348" s="13" t="s">
        <v>42</v>
      </c>
      <c r="C348" s="14"/>
      <c r="D348" s="14"/>
      <c r="E348" s="15"/>
      <c r="F348" s="16"/>
      <c r="G348" s="8">
        <f t="shared" si="24"/>
        <v>0</v>
      </c>
    </row>
    <row r="349" spans="1:7" hidden="1" x14ac:dyDescent="0.25">
      <c r="A349" s="17" t="s">
        <v>465</v>
      </c>
      <c r="B349" s="18" t="s">
        <v>466</v>
      </c>
      <c r="C349" s="26" t="s">
        <v>37</v>
      </c>
      <c r="D349" s="14"/>
      <c r="E349" s="15">
        <f>+'APU CAP 3'!H2643</f>
        <v>91711</v>
      </c>
      <c r="F349" s="16">
        <f>+D349*E349</f>
        <v>0</v>
      </c>
      <c r="G349" s="8">
        <f t="shared" si="24"/>
        <v>0</v>
      </c>
    </row>
    <row r="350" spans="1:7" hidden="1" x14ac:dyDescent="0.25">
      <c r="A350" s="17" t="s">
        <v>469</v>
      </c>
      <c r="B350" s="18" t="s">
        <v>467</v>
      </c>
      <c r="C350" s="26" t="s">
        <v>37</v>
      </c>
      <c r="D350" s="14"/>
      <c r="E350" s="15">
        <f>+'APU CAP 3'!H2697</f>
        <v>144818</v>
      </c>
      <c r="F350" s="16">
        <f>+D350*E350</f>
        <v>0</v>
      </c>
      <c r="G350" s="8">
        <f t="shared" si="24"/>
        <v>0</v>
      </c>
    </row>
    <row r="351" spans="1:7" hidden="1" x14ac:dyDescent="0.25">
      <c r="A351" s="17" t="s">
        <v>470</v>
      </c>
      <c r="B351" s="18" t="s">
        <v>468</v>
      </c>
      <c r="C351" s="26" t="s">
        <v>37</v>
      </c>
      <c r="D351" s="14"/>
      <c r="E351" s="15">
        <f>+'APU CAP 3'!H2751</f>
        <v>202673</v>
      </c>
      <c r="F351" s="16">
        <f>+D351*E351</f>
        <v>0</v>
      </c>
      <c r="G351" s="8">
        <f t="shared" si="24"/>
        <v>0</v>
      </c>
    </row>
    <row r="352" spans="1:7" hidden="1" x14ac:dyDescent="0.25">
      <c r="A352" s="12" t="s">
        <v>437</v>
      </c>
      <c r="B352" s="13" t="s">
        <v>471</v>
      </c>
      <c r="C352" s="14"/>
      <c r="D352" s="14"/>
      <c r="E352" s="15"/>
      <c r="F352" s="16"/>
      <c r="G352" s="8">
        <f t="shared" si="24"/>
        <v>0</v>
      </c>
    </row>
    <row r="353" spans="1:7" hidden="1" x14ac:dyDescent="0.25">
      <c r="A353" s="17" t="s">
        <v>472</v>
      </c>
      <c r="B353" s="18" t="s">
        <v>475</v>
      </c>
      <c r="C353" s="26" t="s">
        <v>37</v>
      </c>
      <c r="D353" s="14"/>
      <c r="E353" s="15">
        <f>+'APU CAP 3'!H2805</f>
        <v>343915</v>
      </c>
      <c r="F353" s="16">
        <f>+D353*E353</f>
        <v>0</v>
      </c>
      <c r="G353" s="8">
        <f t="shared" si="24"/>
        <v>0</v>
      </c>
    </row>
    <row r="354" spans="1:7" hidden="1" x14ac:dyDescent="0.25">
      <c r="A354" s="17" t="s">
        <v>473</v>
      </c>
      <c r="B354" s="18" t="s">
        <v>476</v>
      </c>
      <c r="C354" s="26" t="s">
        <v>37</v>
      </c>
      <c r="D354" s="14"/>
      <c r="E354" s="15">
        <f>+'APU CAP 3'!H2859</f>
        <v>403528</v>
      </c>
      <c r="F354" s="16">
        <f>+D354*E354</f>
        <v>0</v>
      </c>
      <c r="G354" s="8">
        <f t="shared" si="24"/>
        <v>0</v>
      </c>
    </row>
    <row r="355" spans="1:7" hidden="1" x14ac:dyDescent="0.25">
      <c r="A355" s="17" t="s">
        <v>474</v>
      </c>
      <c r="B355" s="18" t="s">
        <v>477</v>
      </c>
      <c r="C355" s="26" t="s">
        <v>37</v>
      </c>
      <c r="D355" s="14"/>
      <c r="E355" s="15">
        <f>+'APU CAP 3'!H2913</f>
        <v>604509</v>
      </c>
      <c r="F355" s="16">
        <f>+D355*E355</f>
        <v>0</v>
      </c>
      <c r="G355" s="8">
        <f t="shared" si="24"/>
        <v>0</v>
      </c>
    </row>
    <row r="356" spans="1:7" hidden="1" x14ac:dyDescent="0.25">
      <c r="A356" s="12" t="s">
        <v>438</v>
      </c>
      <c r="B356" s="13" t="s">
        <v>478</v>
      </c>
      <c r="C356" s="14"/>
      <c r="D356" s="14"/>
      <c r="E356" s="15"/>
      <c r="F356" s="16"/>
      <c r="G356" s="8">
        <f t="shared" si="24"/>
        <v>0</v>
      </c>
    </row>
    <row r="357" spans="1:7" hidden="1" x14ac:dyDescent="0.25">
      <c r="A357" s="17" t="s">
        <v>480</v>
      </c>
      <c r="B357" s="18" t="s">
        <v>479</v>
      </c>
      <c r="C357" s="26" t="s">
        <v>37</v>
      </c>
      <c r="D357" s="14"/>
      <c r="E357" s="15">
        <f>+'APU CAP 3'!H2967</f>
        <v>75906</v>
      </c>
      <c r="F357" s="16">
        <f>+D357*E357</f>
        <v>0</v>
      </c>
      <c r="G357" s="8">
        <f t="shared" si="24"/>
        <v>0</v>
      </c>
    </row>
    <row r="358" spans="1:7" hidden="1" x14ac:dyDescent="0.25">
      <c r="A358" s="17" t="s">
        <v>483</v>
      </c>
      <c r="B358" s="18" t="s">
        <v>481</v>
      </c>
      <c r="C358" s="26" t="s">
        <v>37</v>
      </c>
      <c r="D358" s="14"/>
      <c r="E358" s="15">
        <f>+'APU CAP 3'!H3021</f>
        <v>84714</v>
      </c>
      <c r="F358" s="16">
        <f>+D358*E358</f>
        <v>0</v>
      </c>
      <c r="G358" s="8">
        <f t="shared" si="24"/>
        <v>0</v>
      </c>
    </row>
    <row r="359" spans="1:7" hidden="1" x14ac:dyDescent="0.25">
      <c r="A359" s="17" t="s">
        <v>484</v>
      </c>
      <c r="B359" s="18" t="s">
        <v>482</v>
      </c>
      <c r="C359" s="26" t="s">
        <v>37</v>
      </c>
      <c r="D359" s="14"/>
      <c r="E359" s="15">
        <f>+'APU CAP 3'!H3075</f>
        <v>105559</v>
      </c>
      <c r="F359" s="16">
        <f>+D359*E359</f>
        <v>0</v>
      </c>
      <c r="G359" s="8">
        <f t="shared" si="24"/>
        <v>0</v>
      </c>
    </row>
    <row r="360" spans="1:7" hidden="1" x14ac:dyDescent="0.25">
      <c r="A360" s="17" t="s">
        <v>6120</v>
      </c>
      <c r="B360" s="18" t="s">
        <v>6121</v>
      </c>
      <c r="C360" s="26" t="s">
        <v>37</v>
      </c>
      <c r="D360" s="14"/>
      <c r="E360" s="441"/>
      <c r="F360" s="457">
        <f>+D360*E360</f>
        <v>0</v>
      </c>
      <c r="G360" s="8">
        <f t="shared" si="24"/>
        <v>0</v>
      </c>
    </row>
    <row r="361" spans="1:7" hidden="1" x14ac:dyDescent="0.25">
      <c r="A361" s="12" t="s">
        <v>500</v>
      </c>
      <c r="B361" s="13" t="s">
        <v>520</v>
      </c>
      <c r="C361" s="14"/>
      <c r="D361" s="14"/>
      <c r="E361" s="15"/>
      <c r="F361" s="16"/>
      <c r="G361" s="8">
        <f t="shared" si="24"/>
        <v>0</v>
      </c>
    </row>
    <row r="362" spans="1:7" hidden="1" x14ac:dyDescent="0.25">
      <c r="A362" s="17" t="s">
        <v>502</v>
      </c>
      <c r="B362" s="18" t="s">
        <v>494</v>
      </c>
      <c r="C362" s="26" t="s">
        <v>37</v>
      </c>
      <c r="D362" s="14"/>
      <c r="E362" s="15"/>
      <c r="F362" s="16">
        <f t="shared" ref="F362:F367" si="26">+D362*E362</f>
        <v>0</v>
      </c>
      <c r="G362" s="8">
        <f t="shared" si="24"/>
        <v>0</v>
      </c>
    </row>
    <row r="363" spans="1:7" hidden="1" x14ac:dyDescent="0.25">
      <c r="A363" s="17" t="s">
        <v>503</v>
      </c>
      <c r="B363" s="18" t="s">
        <v>493</v>
      </c>
      <c r="C363" s="26" t="s">
        <v>37</v>
      </c>
      <c r="D363" s="14"/>
      <c r="E363" s="15"/>
      <c r="F363" s="16">
        <f t="shared" si="26"/>
        <v>0</v>
      </c>
      <c r="G363" s="8">
        <f t="shared" si="24"/>
        <v>0</v>
      </c>
    </row>
    <row r="364" spans="1:7" hidden="1" x14ac:dyDescent="0.25">
      <c r="A364" s="17" t="s">
        <v>504</v>
      </c>
      <c r="B364" s="18" t="s">
        <v>495</v>
      </c>
      <c r="C364" s="26" t="s">
        <v>37</v>
      </c>
      <c r="D364" s="14"/>
      <c r="E364" s="15"/>
      <c r="F364" s="16">
        <f t="shared" si="26"/>
        <v>0</v>
      </c>
      <c r="G364" s="8">
        <f t="shared" si="24"/>
        <v>0</v>
      </c>
    </row>
    <row r="365" spans="1:7" hidden="1" x14ac:dyDescent="0.25">
      <c r="A365" s="17" t="s">
        <v>505</v>
      </c>
      <c r="B365" s="18" t="s">
        <v>496</v>
      </c>
      <c r="C365" s="26" t="s">
        <v>37</v>
      </c>
      <c r="D365" s="14"/>
      <c r="E365" s="15"/>
      <c r="F365" s="16">
        <f t="shared" si="26"/>
        <v>0</v>
      </c>
      <c r="G365" s="8">
        <f t="shared" si="24"/>
        <v>0</v>
      </c>
    </row>
    <row r="366" spans="1:7" hidden="1" x14ac:dyDescent="0.25">
      <c r="A366" s="17" t="s">
        <v>506</v>
      </c>
      <c r="B366" s="18" t="s">
        <v>497</v>
      </c>
      <c r="C366" s="26" t="s">
        <v>37</v>
      </c>
      <c r="D366" s="14"/>
      <c r="E366" s="15"/>
      <c r="F366" s="16">
        <f t="shared" si="26"/>
        <v>0</v>
      </c>
      <c r="G366" s="8">
        <f t="shared" si="24"/>
        <v>0</v>
      </c>
    </row>
    <row r="367" spans="1:7" hidden="1" x14ac:dyDescent="0.25">
      <c r="A367" s="17" t="s">
        <v>507</v>
      </c>
      <c r="B367" s="18" t="s">
        <v>498</v>
      </c>
      <c r="C367" s="26" t="s">
        <v>37</v>
      </c>
      <c r="D367" s="14"/>
      <c r="E367" s="15"/>
      <c r="F367" s="16">
        <f t="shared" si="26"/>
        <v>0</v>
      </c>
      <c r="G367" s="8">
        <f t="shared" si="24"/>
        <v>0</v>
      </c>
    </row>
    <row r="368" spans="1:7" hidden="1" x14ac:dyDescent="0.25">
      <c r="A368" s="12" t="s">
        <v>499</v>
      </c>
      <c r="B368" s="13" t="s">
        <v>513</v>
      </c>
      <c r="C368" s="26"/>
      <c r="D368" s="14"/>
      <c r="E368" s="15"/>
      <c r="F368" s="16"/>
      <c r="G368" s="8">
        <f t="shared" si="24"/>
        <v>0</v>
      </c>
    </row>
    <row r="369" spans="1:7" hidden="1" x14ac:dyDescent="0.25">
      <c r="A369" s="17" t="s">
        <v>501</v>
      </c>
      <c r="B369" s="18" t="s">
        <v>514</v>
      </c>
      <c r="C369" s="26" t="s">
        <v>37</v>
      </c>
      <c r="D369" s="14"/>
      <c r="E369" s="15"/>
      <c r="F369" s="16">
        <f t="shared" ref="F369:F374" si="27">+D369*E369</f>
        <v>0</v>
      </c>
      <c r="G369" s="8">
        <f t="shared" si="24"/>
        <v>0</v>
      </c>
    </row>
    <row r="370" spans="1:7" hidden="1" x14ac:dyDescent="0.25">
      <c r="A370" s="17" t="s">
        <v>508</v>
      </c>
      <c r="B370" s="18" t="s">
        <v>516</v>
      </c>
      <c r="C370" s="26" t="s">
        <v>37</v>
      </c>
      <c r="D370" s="14"/>
      <c r="E370" s="15"/>
      <c r="F370" s="16">
        <f t="shared" si="27"/>
        <v>0</v>
      </c>
      <c r="G370" s="8">
        <f t="shared" si="24"/>
        <v>0</v>
      </c>
    </row>
    <row r="371" spans="1:7" hidden="1" x14ac:dyDescent="0.25">
      <c r="A371" s="17" t="s">
        <v>509</v>
      </c>
      <c r="B371" s="18" t="s">
        <v>517</v>
      </c>
      <c r="C371" s="26" t="s">
        <v>37</v>
      </c>
      <c r="D371" s="14"/>
      <c r="E371" s="15"/>
      <c r="F371" s="16">
        <f t="shared" si="27"/>
        <v>0</v>
      </c>
      <c r="G371" s="8">
        <f t="shared" si="24"/>
        <v>0</v>
      </c>
    </row>
    <row r="372" spans="1:7" hidden="1" x14ac:dyDescent="0.25">
      <c r="A372" s="17" t="s">
        <v>510</v>
      </c>
      <c r="B372" s="18" t="s">
        <v>518</v>
      </c>
      <c r="C372" s="26" t="s">
        <v>37</v>
      </c>
      <c r="D372" s="14"/>
      <c r="E372" s="15"/>
      <c r="F372" s="16">
        <f t="shared" si="27"/>
        <v>0</v>
      </c>
      <c r="G372" s="8">
        <f t="shared" si="24"/>
        <v>0</v>
      </c>
    </row>
    <row r="373" spans="1:7" hidden="1" x14ac:dyDescent="0.25">
      <c r="A373" s="17" t="s">
        <v>511</v>
      </c>
      <c r="B373" s="18" t="s">
        <v>519</v>
      </c>
      <c r="C373" s="26" t="s">
        <v>37</v>
      </c>
      <c r="D373" s="14"/>
      <c r="E373" s="15"/>
      <c r="F373" s="16">
        <f t="shared" si="27"/>
        <v>0</v>
      </c>
      <c r="G373" s="8">
        <f t="shared" si="24"/>
        <v>0</v>
      </c>
    </row>
    <row r="374" spans="1:7" hidden="1" x14ac:dyDescent="0.25">
      <c r="A374" s="17" t="s">
        <v>512</v>
      </c>
      <c r="B374" s="18" t="s">
        <v>515</v>
      </c>
      <c r="C374" s="26" t="s">
        <v>37</v>
      </c>
      <c r="D374" s="14"/>
      <c r="E374" s="15"/>
      <c r="F374" s="16">
        <f t="shared" si="27"/>
        <v>0</v>
      </c>
      <c r="G374" s="8">
        <f t="shared" si="24"/>
        <v>0</v>
      </c>
    </row>
    <row r="375" spans="1:7" hidden="1" x14ac:dyDescent="0.25">
      <c r="A375" s="12" t="s">
        <v>485</v>
      </c>
      <c r="B375" s="13" t="s">
        <v>486</v>
      </c>
      <c r="C375" s="14"/>
      <c r="D375" s="14"/>
      <c r="E375" s="15"/>
      <c r="F375" s="16"/>
      <c r="G375" s="8">
        <f t="shared" si="24"/>
        <v>0</v>
      </c>
    </row>
    <row r="376" spans="1:7" hidden="1" x14ac:dyDescent="0.25">
      <c r="A376" s="17" t="s">
        <v>488</v>
      </c>
      <c r="B376" s="18" t="s">
        <v>487</v>
      </c>
      <c r="C376" s="26" t="s">
        <v>37</v>
      </c>
      <c r="D376" s="14"/>
      <c r="E376" s="15">
        <f>+'APU CAP 3'!H2265</f>
        <v>9961</v>
      </c>
      <c r="F376" s="16">
        <f>+D376*E376</f>
        <v>0</v>
      </c>
      <c r="G376" s="8">
        <f t="shared" si="24"/>
        <v>0</v>
      </c>
    </row>
    <row r="377" spans="1:7" hidden="1" x14ac:dyDescent="0.25">
      <c r="A377" s="17" t="s">
        <v>489</v>
      </c>
      <c r="B377" s="18" t="s">
        <v>491</v>
      </c>
      <c r="C377" s="26" t="s">
        <v>37</v>
      </c>
      <c r="D377" s="14"/>
      <c r="E377" s="15">
        <f>+'APU CAP 3'!H2319</f>
        <v>12475</v>
      </c>
      <c r="F377" s="16">
        <f>+D377*E377</f>
        <v>0</v>
      </c>
      <c r="G377" s="8">
        <f t="shared" si="24"/>
        <v>0</v>
      </c>
    </row>
    <row r="378" spans="1:7" hidden="1" x14ac:dyDescent="0.25">
      <c r="A378" s="17" t="s">
        <v>490</v>
      </c>
      <c r="B378" s="18" t="s">
        <v>492</v>
      </c>
      <c r="C378" s="26" t="s">
        <v>37</v>
      </c>
      <c r="D378" s="14"/>
      <c r="E378" s="15"/>
      <c r="F378" s="16">
        <f>+D378*E378</f>
        <v>0</v>
      </c>
      <c r="G378" s="8">
        <f t="shared" si="24"/>
        <v>0</v>
      </c>
    </row>
    <row r="379" spans="1:7" hidden="1" x14ac:dyDescent="0.25">
      <c r="A379" s="12" t="s">
        <v>521</v>
      </c>
      <c r="B379" s="13" t="s">
        <v>522</v>
      </c>
      <c r="C379" s="26" t="s">
        <v>37</v>
      </c>
      <c r="D379" s="14"/>
      <c r="E379" s="15"/>
      <c r="F379" s="16">
        <f>+D379*E379</f>
        <v>0</v>
      </c>
      <c r="G379" s="8">
        <f t="shared" si="24"/>
        <v>0</v>
      </c>
    </row>
    <row r="380" spans="1:7" ht="51" hidden="1" x14ac:dyDescent="0.25">
      <c r="A380" s="12" t="s">
        <v>5014</v>
      </c>
      <c r="B380" s="46" t="s">
        <v>541</v>
      </c>
      <c r="C380" s="14"/>
      <c r="D380" s="14"/>
      <c r="E380" s="15"/>
      <c r="F380" s="16"/>
      <c r="G380" s="8">
        <f t="shared" si="24"/>
        <v>0</v>
      </c>
    </row>
    <row r="381" spans="1:7" hidden="1" x14ac:dyDescent="0.25">
      <c r="A381" s="17" t="s">
        <v>546</v>
      </c>
      <c r="B381" s="18" t="s">
        <v>6216</v>
      </c>
      <c r="C381" s="26" t="s">
        <v>37</v>
      </c>
      <c r="D381" s="14"/>
      <c r="E381" s="15">
        <f>+'APU CAP 3'!H2481</f>
        <v>937045</v>
      </c>
      <c r="F381" s="16">
        <f>+D381*E381</f>
        <v>0</v>
      </c>
      <c r="G381" s="8">
        <f t="shared" si="24"/>
        <v>0</v>
      </c>
    </row>
    <row r="382" spans="1:7" hidden="1" x14ac:dyDescent="0.25">
      <c r="A382" s="17" t="s">
        <v>547</v>
      </c>
      <c r="B382" s="18" t="s">
        <v>6217</v>
      </c>
      <c r="C382" s="26" t="s">
        <v>37</v>
      </c>
      <c r="D382" s="14"/>
      <c r="E382" s="15">
        <f>+'APU CAP 3'!H2535</f>
        <v>831572</v>
      </c>
      <c r="F382" s="16">
        <f>+D382*E382</f>
        <v>0</v>
      </c>
      <c r="G382" s="8">
        <f t="shared" si="24"/>
        <v>0</v>
      </c>
    </row>
    <row r="383" spans="1:7" hidden="1" x14ac:dyDescent="0.25">
      <c r="A383" s="17" t="s">
        <v>548</v>
      </c>
      <c r="B383" s="18" t="s">
        <v>6218</v>
      </c>
      <c r="C383" s="26" t="s">
        <v>37</v>
      </c>
      <c r="D383" s="14"/>
      <c r="E383" s="15">
        <f>+'APU CAP 3'!H2589</f>
        <v>1620647</v>
      </c>
      <c r="F383" s="16">
        <f>+D383*E383</f>
        <v>0</v>
      </c>
      <c r="G383" s="8">
        <f t="shared" si="24"/>
        <v>0</v>
      </c>
    </row>
    <row r="384" spans="1:7" hidden="1" x14ac:dyDescent="0.25">
      <c r="A384" s="17" t="s">
        <v>549</v>
      </c>
      <c r="B384" s="18" t="s">
        <v>523</v>
      </c>
      <c r="C384" s="26" t="s">
        <v>37</v>
      </c>
      <c r="D384" s="14"/>
      <c r="E384" s="15"/>
      <c r="F384" s="16">
        <f>+D384*E384</f>
        <v>0</v>
      </c>
      <c r="G384" s="8">
        <f t="shared" si="24"/>
        <v>0</v>
      </c>
    </row>
    <row r="385" spans="1:7" hidden="1" x14ac:dyDescent="0.25">
      <c r="A385" s="17" t="s">
        <v>550</v>
      </c>
      <c r="B385" s="18" t="s">
        <v>524</v>
      </c>
      <c r="C385" s="26" t="s">
        <v>37</v>
      </c>
      <c r="D385" s="14"/>
      <c r="E385" s="15"/>
      <c r="F385" s="16">
        <f>+D385*E385</f>
        <v>0</v>
      </c>
      <c r="G385" s="8">
        <f t="shared" si="24"/>
        <v>0</v>
      </c>
    </row>
    <row r="386" spans="1:7" hidden="1" x14ac:dyDescent="0.25">
      <c r="A386" s="12" t="s">
        <v>5015</v>
      </c>
      <c r="B386" s="13" t="s">
        <v>552</v>
      </c>
      <c r="C386" s="26"/>
      <c r="D386" s="14"/>
      <c r="E386" s="15"/>
      <c r="F386" s="16"/>
      <c r="G386" s="8">
        <f t="shared" si="24"/>
        <v>0</v>
      </c>
    </row>
    <row r="387" spans="1:7" hidden="1" x14ac:dyDescent="0.25">
      <c r="A387" s="17" t="s">
        <v>553</v>
      </c>
      <c r="B387" s="18" t="s">
        <v>5861</v>
      </c>
      <c r="C387" s="26" t="s">
        <v>37</v>
      </c>
      <c r="D387" s="14"/>
      <c r="E387" s="15"/>
      <c r="F387" s="16">
        <f t="shared" ref="F387:F392" si="28">+D387*E387</f>
        <v>0</v>
      </c>
      <c r="G387" s="8">
        <f t="shared" si="24"/>
        <v>0</v>
      </c>
    </row>
    <row r="388" spans="1:7" hidden="1" x14ac:dyDescent="0.25">
      <c r="A388" s="17" t="s">
        <v>554</v>
      </c>
      <c r="B388" s="18" t="s">
        <v>5862</v>
      </c>
      <c r="C388" s="26" t="s">
        <v>37</v>
      </c>
      <c r="D388" s="14"/>
      <c r="E388" s="15"/>
      <c r="F388" s="16">
        <f t="shared" si="28"/>
        <v>0</v>
      </c>
      <c r="G388" s="8">
        <f t="shared" si="24"/>
        <v>0</v>
      </c>
    </row>
    <row r="389" spans="1:7" hidden="1" x14ac:dyDescent="0.25">
      <c r="A389" s="17" t="s">
        <v>555</v>
      </c>
      <c r="B389" s="18" t="s">
        <v>5863</v>
      </c>
      <c r="C389" s="26" t="s">
        <v>37</v>
      </c>
      <c r="D389" s="14"/>
      <c r="E389" s="15"/>
      <c r="F389" s="16">
        <f t="shared" si="28"/>
        <v>0</v>
      </c>
      <c r="G389" s="8">
        <f t="shared" si="24"/>
        <v>0</v>
      </c>
    </row>
    <row r="390" spans="1:7" hidden="1" x14ac:dyDescent="0.25">
      <c r="A390" s="17" t="s">
        <v>556</v>
      </c>
      <c r="B390" s="18" t="s">
        <v>5864</v>
      </c>
      <c r="C390" s="26" t="s">
        <v>37</v>
      </c>
      <c r="D390" s="14"/>
      <c r="E390" s="15">
        <f>+'APU CAP 3'!Q3075</f>
        <v>389092</v>
      </c>
      <c r="F390" s="16">
        <f t="shared" si="28"/>
        <v>0</v>
      </c>
      <c r="G390" s="8">
        <f t="shared" si="24"/>
        <v>0</v>
      </c>
    </row>
    <row r="391" spans="1:7" hidden="1" x14ac:dyDescent="0.25">
      <c r="A391" s="17" t="s">
        <v>557</v>
      </c>
      <c r="B391" s="18" t="s">
        <v>5865</v>
      </c>
      <c r="C391" s="26" t="s">
        <v>37</v>
      </c>
      <c r="D391" s="14"/>
      <c r="E391" s="15"/>
      <c r="F391" s="16">
        <f t="shared" si="28"/>
        <v>0</v>
      </c>
      <c r="G391" s="8">
        <f t="shared" si="24"/>
        <v>0</v>
      </c>
    </row>
    <row r="392" spans="1:7" hidden="1" x14ac:dyDescent="0.25">
      <c r="A392" s="17" t="s">
        <v>558</v>
      </c>
      <c r="B392" s="18" t="s">
        <v>5866</v>
      </c>
      <c r="C392" s="26" t="s">
        <v>37</v>
      </c>
      <c r="D392" s="14"/>
      <c r="E392" s="15"/>
      <c r="F392" s="16">
        <f t="shared" si="28"/>
        <v>0</v>
      </c>
      <c r="G392" s="8">
        <f t="shared" si="24"/>
        <v>0</v>
      </c>
    </row>
    <row r="393" spans="1:7" hidden="1" x14ac:dyDescent="0.25">
      <c r="A393" s="12" t="s">
        <v>525</v>
      </c>
      <c r="B393" s="13" t="s">
        <v>526</v>
      </c>
      <c r="C393" s="14"/>
      <c r="D393" s="14"/>
      <c r="E393" s="15"/>
      <c r="F393" s="16"/>
      <c r="G393" s="8">
        <f t="shared" si="24"/>
        <v>0</v>
      </c>
    </row>
    <row r="394" spans="1:7" hidden="1" x14ac:dyDescent="0.25">
      <c r="A394" s="17" t="s">
        <v>527</v>
      </c>
      <c r="B394" s="18" t="s">
        <v>528</v>
      </c>
      <c r="C394" s="26" t="s">
        <v>37</v>
      </c>
      <c r="D394" s="14"/>
      <c r="E394" s="15"/>
      <c r="F394" s="16">
        <f t="shared" ref="F394:F404" si="29">+D394*E394</f>
        <v>0</v>
      </c>
      <c r="G394" s="8">
        <f t="shared" si="24"/>
        <v>0</v>
      </c>
    </row>
    <row r="395" spans="1:7" hidden="1" x14ac:dyDescent="0.25">
      <c r="A395" s="17" t="s">
        <v>529</v>
      </c>
      <c r="B395" s="18" t="s">
        <v>540</v>
      </c>
      <c r="C395" s="26" t="s">
        <v>37</v>
      </c>
      <c r="D395" s="14"/>
      <c r="E395" s="15"/>
      <c r="F395" s="16">
        <f t="shared" si="29"/>
        <v>0</v>
      </c>
      <c r="G395" s="8">
        <f t="shared" ref="G395:G458" si="30">+IF(F395&lt;&gt;0,1,0)</f>
        <v>0</v>
      </c>
    </row>
    <row r="396" spans="1:7" hidden="1" x14ac:dyDescent="0.25">
      <c r="A396" s="17" t="s">
        <v>530</v>
      </c>
      <c r="B396" s="18" t="s">
        <v>535</v>
      </c>
      <c r="C396" s="26" t="s">
        <v>37</v>
      </c>
      <c r="D396" s="14"/>
      <c r="E396" s="15"/>
      <c r="F396" s="16">
        <f t="shared" si="29"/>
        <v>0</v>
      </c>
      <c r="G396" s="8">
        <f t="shared" si="30"/>
        <v>0</v>
      </c>
    </row>
    <row r="397" spans="1:7" hidden="1" x14ac:dyDescent="0.25">
      <c r="A397" s="17" t="s">
        <v>531</v>
      </c>
      <c r="B397" s="18" t="s">
        <v>536</v>
      </c>
      <c r="C397" s="26" t="s">
        <v>37</v>
      </c>
      <c r="D397" s="14"/>
      <c r="E397" s="15"/>
      <c r="F397" s="16">
        <f t="shared" si="29"/>
        <v>0</v>
      </c>
      <c r="G397" s="8">
        <f t="shared" si="30"/>
        <v>0</v>
      </c>
    </row>
    <row r="398" spans="1:7" hidden="1" x14ac:dyDescent="0.25">
      <c r="A398" s="17" t="s">
        <v>532</v>
      </c>
      <c r="B398" s="18" t="s">
        <v>537</v>
      </c>
      <c r="C398" s="26" t="s">
        <v>37</v>
      </c>
      <c r="D398" s="14"/>
      <c r="E398" s="15"/>
      <c r="F398" s="16">
        <f t="shared" si="29"/>
        <v>0</v>
      </c>
      <c r="G398" s="8">
        <f t="shared" si="30"/>
        <v>0</v>
      </c>
    </row>
    <row r="399" spans="1:7" hidden="1" x14ac:dyDescent="0.25">
      <c r="A399" s="17" t="s">
        <v>533</v>
      </c>
      <c r="B399" s="18" t="s">
        <v>538</v>
      </c>
      <c r="C399" s="26" t="s">
        <v>37</v>
      </c>
      <c r="D399" s="14"/>
      <c r="E399" s="15"/>
      <c r="F399" s="16">
        <f t="shared" si="29"/>
        <v>0</v>
      </c>
      <c r="G399" s="8">
        <f t="shared" si="30"/>
        <v>0</v>
      </c>
    </row>
    <row r="400" spans="1:7" hidden="1" x14ac:dyDescent="0.25">
      <c r="A400" s="17" t="s">
        <v>534</v>
      </c>
      <c r="B400" s="18" t="s">
        <v>539</v>
      </c>
      <c r="C400" s="26" t="s">
        <v>37</v>
      </c>
      <c r="D400" s="14"/>
      <c r="E400" s="15"/>
      <c r="F400" s="16">
        <f t="shared" si="29"/>
        <v>0</v>
      </c>
      <c r="G400" s="8">
        <f t="shared" si="30"/>
        <v>0</v>
      </c>
    </row>
    <row r="401" spans="1:7" hidden="1" x14ac:dyDescent="0.25">
      <c r="A401" s="17" t="s">
        <v>5383</v>
      </c>
      <c r="B401" s="18" t="s">
        <v>5379</v>
      </c>
      <c r="C401" s="26" t="s">
        <v>37</v>
      </c>
      <c r="D401" s="14"/>
      <c r="E401" s="15"/>
      <c r="F401" s="16">
        <f t="shared" si="29"/>
        <v>0</v>
      </c>
      <c r="G401" s="8">
        <f t="shared" si="30"/>
        <v>0</v>
      </c>
    </row>
    <row r="402" spans="1:7" hidden="1" x14ac:dyDescent="0.25">
      <c r="A402" s="17" t="s">
        <v>5384</v>
      </c>
      <c r="B402" s="18" t="s">
        <v>5380</v>
      </c>
      <c r="C402" s="26" t="s">
        <v>37</v>
      </c>
      <c r="D402" s="14"/>
      <c r="E402" s="15"/>
      <c r="F402" s="16">
        <f t="shared" si="29"/>
        <v>0</v>
      </c>
      <c r="G402" s="8">
        <f t="shared" si="30"/>
        <v>0</v>
      </c>
    </row>
    <row r="403" spans="1:7" hidden="1" x14ac:dyDescent="0.25">
      <c r="A403" s="17" t="s">
        <v>5385</v>
      </c>
      <c r="B403" s="18" t="s">
        <v>5381</v>
      </c>
      <c r="C403" s="26" t="s">
        <v>37</v>
      </c>
      <c r="D403" s="14"/>
      <c r="E403" s="15"/>
      <c r="F403" s="16">
        <f t="shared" si="29"/>
        <v>0</v>
      </c>
      <c r="G403" s="8">
        <f t="shared" si="30"/>
        <v>0</v>
      </c>
    </row>
    <row r="404" spans="1:7" hidden="1" x14ac:dyDescent="0.25">
      <c r="A404" s="17" t="s">
        <v>5386</v>
      </c>
      <c r="B404" s="18" t="s">
        <v>5382</v>
      </c>
      <c r="C404" s="26" t="s">
        <v>37</v>
      </c>
      <c r="D404" s="14"/>
      <c r="E404" s="15"/>
      <c r="F404" s="16">
        <f t="shared" si="29"/>
        <v>0</v>
      </c>
      <c r="G404" s="8">
        <f t="shared" si="30"/>
        <v>0</v>
      </c>
    </row>
    <row r="405" spans="1:7" hidden="1" x14ac:dyDescent="0.25">
      <c r="A405" s="12" t="s">
        <v>542</v>
      </c>
      <c r="B405" s="13" t="s">
        <v>543</v>
      </c>
      <c r="C405" s="14"/>
      <c r="D405" s="14"/>
      <c r="E405" s="15"/>
      <c r="F405" s="16"/>
      <c r="G405" s="8">
        <f t="shared" si="30"/>
        <v>0</v>
      </c>
    </row>
    <row r="406" spans="1:7" hidden="1" x14ac:dyDescent="0.25">
      <c r="A406" s="17" t="s">
        <v>544</v>
      </c>
      <c r="B406" s="13" t="s">
        <v>563</v>
      </c>
      <c r="C406" s="14"/>
      <c r="D406" s="14"/>
      <c r="E406" s="15"/>
      <c r="F406" s="16"/>
      <c r="G406" s="8">
        <f t="shared" si="30"/>
        <v>0</v>
      </c>
    </row>
    <row r="407" spans="1:7" hidden="1" x14ac:dyDescent="0.25">
      <c r="A407" s="17" t="s">
        <v>564</v>
      </c>
      <c r="B407" s="18" t="s">
        <v>560</v>
      </c>
      <c r="C407" s="26" t="s">
        <v>37</v>
      </c>
      <c r="D407" s="14"/>
      <c r="E407" s="15"/>
      <c r="F407" s="16">
        <f>+D407*E407</f>
        <v>0</v>
      </c>
      <c r="G407" s="8">
        <f t="shared" si="30"/>
        <v>0</v>
      </c>
    </row>
    <row r="408" spans="1:7" hidden="1" x14ac:dyDescent="0.25">
      <c r="A408" s="17" t="s">
        <v>565</v>
      </c>
      <c r="B408" s="18" t="s">
        <v>561</v>
      </c>
      <c r="C408" s="26" t="s">
        <v>37</v>
      </c>
      <c r="D408" s="14"/>
      <c r="E408" s="15"/>
      <c r="F408" s="16">
        <f>+D408*E408</f>
        <v>0</v>
      </c>
      <c r="G408" s="8">
        <f t="shared" si="30"/>
        <v>0</v>
      </c>
    </row>
    <row r="409" spans="1:7" hidden="1" x14ac:dyDescent="0.25">
      <c r="A409" s="17" t="s">
        <v>566</v>
      </c>
      <c r="B409" s="18" t="s">
        <v>562</v>
      </c>
      <c r="C409" s="26" t="s">
        <v>37</v>
      </c>
      <c r="D409" s="14"/>
      <c r="E409" s="15"/>
      <c r="F409" s="16">
        <f>+D409*E409</f>
        <v>0</v>
      </c>
      <c r="G409" s="8">
        <f t="shared" si="30"/>
        <v>0</v>
      </c>
    </row>
    <row r="410" spans="1:7" hidden="1" x14ac:dyDescent="0.25">
      <c r="A410" s="12" t="s">
        <v>43</v>
      </c>
      <c r="B410" s="13" t="s">
        <v>44</v>
      </c>
      <c r="C410" s="14"/>
      <c r="D410" s="14"/>
      <c r="E410" s="15"/>
      <c r="F410" s="16"/>
      <c r="G410" s="8">
        <f t="shared" si="30"/>
        <v>0</v>
      </c>
    </row>
    <row r="411" spans="1:7" hidden="1" x14ac:dyDescent="0.25">
      <c r="A411" s="12" t="s">
        <v>567</v>
      </c>
      <c r="B411" s="13" t="s">
        <v>573</v>
      </c>
      <c r="C411" s="14"/>
      <c r="D411" s="14"/>
      <c r="E411" s="15"/>
      <c r="F411" s="16"/>
      <c r="G411" s="8">
        <f t="shared" si="30"/>
        <v>0</v>
      </c>
    </row>
    <row r="412" spans="1:7" hidden="1" x14ac:dyDescent="0.25">
      <c r="A412" s="17" t="s">
        <v>574</v>
      </c>
      <c r="B412" s="18" t="s">
        <v>569</v>
      </c>
      <c r="C412" s="14" t="s">
        <v>37</v>
      </c>
      <c r="D412" s="14"/>
      <c r="E412" s="15"/>
      <c r="F412" s="16">
        <f>+D412*E412</f>
        <v>0</v>
      </c>
      <c r="G412" s="8">
        <f t="shared" si="30"/>
        <v>0</v>
      </c>
    </row>
    <row r="413" spans="1:7" hidden="1" x14ac:dyDescent="0.25">
      <c r="A413" s="17" t="s">
        <v>575</v>
      </c>
      <c r="B413" s="18" t="s">
        <v>568</v>
      </c>
      <c r="C413" s="14" t="s">
        <v>37</v>
      </c>
      <c r="D413" s="14"/>
      <c r="E413" s="15"/>
      <c r="F413" s="16">
        <f>+D413*E413</f>
        <v>0</v>
      </c>
      <c r="G413" s="8">
        <f t="shared" si="30"/>
        <v>0</v>
      </c>
    </row>
    <row r="414" spans="1:7" hidden="1" x14ac:dyDescent="0.25">
      <c r="A414" s="17" t="s">
        <v>576</v>
      </c>
      <c r="B414" s="18" t="s">
        <v>571</v>
      </c>
      <c r="C414" s="14" t="s">
        <v>37</v>
      </c>
      <c r="D414" s="14"/>
      <c r="E414" s="15"/>
      <c r="F414" s="16">
        <f>+D414*E414</f>
        <v>0</v>
      </c>
      <c r="G414" s="8">
        <f t="shared" si="30"/>
        <v>0</v>
      </c>
    </row>
    <row r="415" spans="1:7" hidden="1" x14ac:dyDescent="0.25">
      <c r="A415" s="17" t="s">
        <v>577</v>
      </c>
      <c r="B415" s="18" t="s">
        <v>570</v>
      </c>
      <c r="C415" s="14" t="s">
        <v>37</v>
      </c>
      <c r="D415" s="14"/>
      <c r="E415" s="15"/>
      <c r="F415" s="16">
        <f>+D415*E415</f>
        <v>0</v>
      </c>
      <c r="G415" s="8">
        <f t="shared" si="30"/>
        <v>0</v>
      </c>
    </row>
    <row r="416" spans="1:7" hidden="1" x14ac:dyDescent="0.25">
      <c r="A416" s="17" t="s">
        <v>578</v>
      </c>
      <c r="B416" s="18" t="s">
        <v>572</v>
      </c>
      <c r="C416" s="14" t="s">
        <v>37</v>
      </c>
      <c r="D416" s="14"/>
      <c r="E416" s="15"/>
      <c r="F416" s="16">
        <f>+D416*E416</f>
        <v>0</v>
      </c>
      <c r="G416" s="8">
        <f t="shared" si="30"/>
        <v>0</v>
      </c>
    </row>
    <row r="417" spans="1:7" x14ac:dyDescent="0.25">
      <c r="A417" s="2454" t="s">
        <v>45</v>
      </c>
      <c r="B417" s="2455"/>
      <c r="C417" s="2455"/>
      <c r="D417" s="2455"/>
      <c r="E417" s="2455"/>
      <c r="F417" s="19">
        <f>SUM(F95:F416)</f>
        <v>394170000</v>
      </c>
      <c r="G417" s="8">
        <f t="shared" si="30"/>
        <v>1</v>
      </c>
    </row>
    <row r="418" spans="1:7" x14ac:dyDescent="0.25">
      <c r="A418" s="20">
        <v>5</v>
      </c>
      <c r="B418" s="319" t="s">
        <v>579</v>
      </c>
      <c r="C418" s="22"/>
      <c r="D418" s="22"/>
      <c r="E418" s="23"/>
      <c r="F418" s="24"/>
      <c r="G418" s="8">
        <v>1</v>
      </c>
    </row>
    <row r="419" spans="1:7" x14ac:dyDescent="0.25">
      <c r="A419" s="12" t="s">
        <v>580</v>
      </c>
      <c r="B419" s="46" t="s">
        <v>581</v>
      </c>
      <c r="C419" s="14"/>
      <c r="D419" s="14"/>
      <c r="E419" s="15"/>
      <c r="F419" s="16"/>
      <c r="G419" s="8">
        <v>1</v>
      </c>
    </row>
    <row r="420" spans="1:7" hidden="1" x14ac:dyDescent="0.25">
      <c r="A420" s="31" t="s">
        <v>594</v>
      </c>
      <c r="B420" s="320" t="s">
        <v>582</v>
      </c>
      <c r="C420" s="26" t="s">
        <v>583</v>
      </c>
      <c r="D420" s="26"/>
      <c r="E420" s="29">
        <f>+'APU CAP 5'!P106</f>
        <v>352371.33333333331</v>
      </c>
      <c r="F420" s="16">
        <f t="shared" ref="F420:F425" si="31">+D420*E420</f>
        <v>0</v>
      </c>
      <c r="G420" s="8">
        <f t="shared" si="30"/>
        <v>0</v>
      </c>
    </row>
    <row r="421" spans="1:7" hidden="1" x14ac:dyDescent="0.25">
      <c r="A421" s="31" t="s">
        <v>604</v>
      </c>
      <c r="B421" s="320" t="s">
        <v>599</v>
      </c>
      <c r="C421" s="26" t="s">
        <v>583</v>
      </c>
      <c r="D421" s="26"/>
      <c r="E421" s="29">
        <f>+'APU CAP 5'!P160</f>
        <v>378551.33333333331</v>
      </c>
      <c r="F421" s="16">
        <f t="shared" si="31"/>
        <v>0</v>
      </c>
      <c r="G421" s="8">
        <f t="shared" si="30"/>
        <v>0</v>
      </c>
    </row>
    <row r="422" spans="1:7" hidden="1" x14ac:dyDescent="0.25">
      <c r="A422" s="31" t="s">
        <v>595</v>
      </c>
      <c r="B422" s="320" t="s">
        <v>600</v>
      </c>
      <c r="C422" s="26" t="s">
        <v>583</v>
      </c>
      <c r="D422" s="26"/>
      <c r="E422" s="29">
        <f>+'APU CAP 5'!P214</f>
        <v>439122</v>
      </c>
      <c r="F422" s="16">
        <f t="shared" si="31"/>
        <v>0</v>
      </c>
      <c r="G422" s="8">
        <f t="shared" si="30"/>
        <v>0</v>
      </c>
    </row>
    <row r="423" spans="1:7" x14ac:dyDescent="0.25">
      <c r="A423" s="31" t="s">
        <v>596</v>
      </c>
      <c r="B423" s="330" t="s">
        <v>601</v>
      </c>
      <c r="C423" s="26" t="s">
        <v>583</v>
      </c>
      <c r="D423" s="26">
        <v>20</v>
      </c>
      <c r="E423" s="29">
        <f>+'APU CAP 5'!P268</f>
        <v>498359.00000000006</v>
      </c>
      <c r="F423" s="16">
        <f t="shared" si="31"/>
        <v>9967180.0000000019</v>
      </c>
      <c r="G423" s="8">
        <f t="shared" si="30"/>
        <v>1</v>
      </c>
    </row>
    <row r="424" spans="1:7" hidden="1" x14ac:dyDescent="0.25">
      <c r="A424" s="31" t="s">
        <v>597</v>
      </c>
      <c r="B424" s="320" t="s">
        <v>602</v>
      </c>
      <c r="C424" s="26" t="s">
        <v>583</v>
      </c>
      <c r="D424" s="26"/>
      <c r="E424" s="29">
        <f>+'APU CAP 5'!P322</f>
        <v>540227.4444444445</v>
      </c>
      <c r="F424" s="16">
        <f t="shared" si="31"/>
        <v>0</v>
      </c>
      <c r="G424" s="8">
        <f t="shared" si="30"/>
        <v>0</v>
      </c>
    </row>
    <row r="425" spans="1:7" hidden="1" x14ac:dyDescent="0.25">
      <c r="A425" s="31" t="s">
        <v>598</v>
      </c>
      <c r="B425" s="320" t="s">
        <v>603</v>
      </c>
      <c r="C425" s="26" t="s">
        <v>583</v>
      </c>
      <c r="D425" s="26"/>
      <c r="E425" s="29">
        <f>+'APU CAP 5'!P376</f>
        <v>560249</v>
      </c>
      <c r="F425" s="16">
        <f t="shared" si="31"/>
        <v>0</v>
      </c>
      <c r="G425" s="8">
        <f t="shared" si="30"/>
        <v>0</v>
      </c>
    </row>
    <row r="426" spans="1:7" hidden="1" x14ac:dyDescent="0.25">
      <c r="A426" s="27" t="s">
        <v>584</v>
      </c>
      <c r="B426" s="321" t="s">
        <v>585</v>
      </c>
      <c r="C426" s="26"/>
      <c r="D426" s="26"/>
      <c r="E426" s="29"/>
      <c r="F426" s="16"/>
      <c r="G426" s="8">
        <f t="shared" si="30"/>
        <v>0</v>
      </c>
    </row>
    <row r="427" spans="1:7" hidden="1" x14ac:dyDescent="0.25">
      <c r="A427" s="27" t="s">
        <v>586</v>
      </c>
      <c r="B427" s="321" t="s">
        <v>587</v>
      </c>
      <c r="C427" s="26"/>
      <c r="D427" s="26"/>
      <c r="E427" s="29"/>
      <c r="F427" s="16"/>
      <c r="G427" s="8">
        <f t="shared" si="30"/>
        <v>0</v>
      </c>
    </row>
    <row r="428" spans="1:7" hidden="1" x14ac:dyDescent="0.25">
      <c r="A428" s="31" t="s">
        <v>605</v>
      </c>
      <c r="B428" s="320" t="s">
        <v>606</v>
      </c>
      <c r="C428" s="26" t="s">
        <v>583</v>
      </c>
      <c r="D428" s="26"/>
      <c r="E428" s="29">
        <f>+'APU CAP 5'!H430</f>
        <v>517604.00000000006</v>
      </c>
      <c r="F428" s="16">
        <f t="shared" ref="F428:F436" si="32">+D428*E428</f>
        <v>0</v>
      </c>
      <c r="G428" s="8">
        <f t="shared" si="30"/>
        <v>0</v>
      </c>
    </row>
    <row r="429" spans="1:7" hidden="1" x14ac:dyDescent="0.25">
      <c r="A429" s="31" t="s">
        <v>613</v>
      </c>
      <c r="B429" s="320" t="s">
        <v>607</v>
      </c>
      <c r="C429" s="26" t="s">
        <v>583</v>
      </c>
      <c r="D429" s="26"/>
      <c r="E429" s="29">
        <f>+'APU CAP 5'!P430</f>
        <v>620040.71428571432</v>
      </c>
      <c r="F429" s="16">
        <f t="shared" si="32"/>
        <v>0</v>
      </c>
      <c r="G429" s="8">
        <f t="shared" si="30"/>
        <v>0</v>
      </c>
    </row>
    <row r="430" spans="1:7" hidden="1" x14ac:dyDescent="0.25">
      <c r="A430" s="31" t="s">
        <v>614</v>
      </c>
      <c r="B430" s="320" t="s">
        <v>608</v>
      </c>
      <c r="C430" s="26" t="s">
        <v>583</v>
      </c>
      <c r="D430" s="26"/>
      <c r="E430" s="29">
        <f>+'APU CAP 5'!X430</f>
        <v>739215.5</v>
      </c>
      <c r="F430" s="16">
        <f t="shared" si="32"/>
        <v>0</v>
      </c>
      <c r="G430" s="8">
        <f t="shared" si="30"/>
        <v>0</v>
      </c>
    </row>
    <row r="431" spans="1:7" hidden="1" x14ac:dyDescent="0.25">
      <c r="A431" s="31" t="s">
        <v>615</v>
      </c>
      <c r="B431" s="320" t="s">
        <v>609</v>
      </c>
      <c r="C431" s="26" t="s">
        <v>583</v>
      </c>
      <c r="D431" s="26"/>
      <c r="E431" s="29">
        <f>+'APU CAP 5'!H430</f>
        <v>517604.00000000006</v>
      </c>
      <c r="F431" s="16">
        <f t="shared" si="32"/>
        <v>0</v>
      </c>
      <c r="G431" s="8">
        <f t="shared" si="30"/>
        <v>0</v>
      </c>
    </row>
    <row r="432" spans="1:7" hidden="1" x14ac:dyDescent="0.25">
      <c r="A432" s="31" t="s">
        <v>616</v>
      </c>
      <c r="B432" s="320" t="s">
        <v>610</v>
      </c>
      <c r="C432" s="26" t="s">
        <v>583</v>
      </c>
      <c r="D432" s="26"/>
      <c r="E432" s="29">
        <f>+'APU CAP 5'!P430</f>
        <v>620040.71428571432</v>
      </c>
      <c r="F432" s="16">
        <f t="shared" si="32"/>
        <v>0</v>
      </c>
      <c r="G432" s="8">
        <f t="shared" si="30"/>
        <v>0</v>
      </c>
    </row>
    <row r="433" spans="1:7" hidden="1" x14ac:dyDescent="0.25">
      <c r="A433" s="31" t="s">
        <v>617</v>
      </c>
      <c r="B433" s="320" t="s">
        <v>611</v>
      </c>
      <c r="C433" s="26" t="s">
        <v>583</v>
      </c>
      <c r="D433" s="26"/>
      <c r="E433" s="29">
        <f>+'APU CAP 5'!X430</f>
        <v>739215.5</v>
      </c>
      <c r="F433" s="16">
        <f t="shared" si="32"/>
        <v>0</v>
      </c>
      <c r="G433" s="8">
        <f t="shared" si="30"/>
        <v>0</v>
      </c>
    </row>
    <row r="434" spans="1:7" hidden="1" x14ac:dyDescent="0.25">
      <c r="A434" s="31" t="s">
        <v>618</v>
      </c>
      <c r="B434" s="320" t="s">
        <v>612</v>
      </c>
      <c r="C434" s="26" t="s">
        <v>583</v>
      </c>
      <c r="D434" s="26"/>
      <c r="E434" s="29">
        <f>+'APU CAP 5'!X430</f>
        <v>739215.5</v>
      </c>
      <c r="F434" s="16">
        <f t="shared" si="32"/>
        <v>0</v>
      </c>
      <c r="G434" s="8">
        <f t="shared" si="30"/>
        <v>0</v>
      </c>
    </row>
    <row r="435" spans="1:7" hidden="1" x14ac:dyDescent="0.25">
      <c r="A435" s="31" t="s">
        <v>619</v>
      </c>
      <c r="B435" s="320" t="s">
        <v>620</v>
      </c>
      <c r="C435" s="26" t="s">
        <v>583</v>
      </c>
      <c r="D435" s="26"/>
      <c r="E435" s="29">
        <f>+'APU CAP 5'!P430</f>
        <v>620040.71428571432</v>
      </c>
      <c r="F435" s="16">
        <f t="shared" si="32"/>
        <v>0</v>
      </c>
      <c r="G435" s="8">
        <f t="shared" si="30"/>
        <v>0</v>
      </c>
    </row>
    <row r="436" spans="1:7" hidden="1" x14ac:dyDescent="0.25">
      <c r="A436" s="31" t="s">
        <v>621</v>
      </c>
      <c r="B436" s="320" t="s">
        <v>671</v>
      </c>
      <c r="C436" s="26" t="s">
        <v>583</v>
      </c>
      <c r="D436" s="26"/>
      <c r="E436" s="29"/>
      <c r="F436" s="16">
        <f t="shared" si="32"/>
        <v>0</v>
      </c>
      <c r="G436" s="8">
        <f t="shared" si="30"/>
        <v>0</v>
      </c>
    </row>
    <row r="437" spans="1:7" hidden="1" x14ac:dyDescent="0.25">
      <c r="A437" s="27" t="s">
        <v>622</v>
      </c>
      <c r="B437" s="321" t="s">
        <v>633</v>
      </c>
      <c r="C437" s="26"/>
      <c r="D437" s="26"/>
      <c r="E437" s="29"/>
      <c r="F437" s="16"/>
      <c r="G437" s="8">
        <f t="shared" si="30"/>
        <v>0</v>
      </c>
    </row>
    <row r="438" spans="1:7" hidden="1" x14ac:dyDescent="0.25">
      <c r="A438" s="31" t="s">
        <v>623</v>
      </c>
      <c r="B438" s="320" t="s">
        <v>606</v>
      </c>
      <c r="C438" s="26" t="s">
        <v>583</v>
      </c>
      <c r="D438" s="26"/>
      <c r="E438" s="29">
        <f>+'APU CAP 5'!H484</f>
        <v>556223</v>
      </c>
      <c r="F438" s="16">
        <f t="shared" ref="F438:F446" si="33">+D438*E438</f>
        <v>0</v>
      </c>
      <c r="G438" s="8">
        <f t="shared" si="30"/>
        <v>0</v>
      </c>
    </row>
    <row r="439" spans="1:7" hidden="1" x14ac:dyDescent="0.25">
      <c r="A439" s="31" t="s">
        <v>624</v>
      </c>
      <c r="B439" s="320" t="s">
        <v>607</v>
      </c>
      <c r="C439" s="26" t="s">
        <v>583</v>
      </c>
      <c r="D439" s="26"/>
      <c r="E439" s="29">
        <f>+'APU CAP 5'!P484</f>
        <v>658659.71428571432</v>
      </c>
      <c r="F439" s="16">
        <f t="shared" si="33"/>
        <v>0</v>
      </c>
      <c r="G439" s="8">
        <f t="shared" si="30"/>
        <v>0</v>
      </c>
    </row>
    <row r="440" spans="1:7" hidden="1" x14ac:dyDescent="0.25">
      <c r="A440" s="31" t="s">
        <v>625</v>
      </c>
      <c r="B440" s="320" t="s">
        <v>608</v>
      </c>
      <c r="C440" s="26" t="s">
        <v>583</v>
      </c>
      <c r="D440" s="26"/>
      <c r="E440" s="29">
        <f>+'APU CAP 5'!X484</f>
        <v>776934.5</v>
      </c>
      <c r="F440" s="16">
        <f t="shared" si="33"/>
        <v>0</v>
      </c>
      <c r="G440" s="8">
        <f t="shared" si="30"/>
        <v>0</v>
      </c>
    </row>
    <row r="441" spans="1:7" hidden="1" x14ac:dyDescent="0.25">
      <c r="A441" s="31" t="s">
        <v>626</v>
      </c>
      <c r="B441" s="320" t="s">
        <v>609</v>
      </c>
      <c r="C441" s="26" t="s">
        <v>583</v>
      </c>
      <c r="D441" s="26"/>
      <c r="E441" s="29">
        <f>+'APU CAP 5'!H484</f>
        <v>556223</v>
      </c>
      <c r="F441" s="16">
        <f t="shared" si="33"/>
        <v>0</v>
      </c>
      <c r="G441" s="8">
        <f t="shared" si="30"/>
        <v>0</v>
      </c>
    </row>
    <row r="442" spans="1:7" hidden="1" x14ac:dyDescent="0.25">
      <c r="A442" s="31" t="s">
        <v>627</v>
      </c>
      <c r="B442" s="320" t="s">
        <v>610</v>
      </c>
      <c r="C442" s="26" t="s">
        <v>583</v>
      </c>
      <c r="D442" s="26"/>
      <c r="E442" s="29">
        <f>+'APU CAP 5'!P484</f>
        <v>658659.71428571432</v>
      </c>
      <c r="F442" s="16">
        <f t="shared" si="33"/>
        <v>0</v>
      </c>
      <c r="G442" s="8">
        <f t="shared" si="30"/>
        <v>0</v>
      </c>
    </row>
    <row r="443" spans="1:7" hidden="1" x14ac:dyDescent="0.25">
      <c r="A443" s="31" t="s">
        <v>628</v>
      </c>
      <c r="B443" s="320" t="s">
        <v>611</v>
      </c>
      <c r="C443" s="26" t="s">
        <v>583</v>
      </c>
      <c r="D443" s="26"/>
      <c r="E443" s="29">
        <f>+'APU CAP 5'!X484</f>
        <v>776934.5</v>
      </c>
      <c r="F443" s="16">
        <f t="shared" si="33"/>
        <v>0</v>
      </c>
      <c r="G443" s="8">
        <f t="shared" si="30"/>
        <v>0</v>
      </c>
    </row>
    <row r="444" spans="1:7" hidden="1" x14ac:dyDescent="0.25">
      <c r="A444" s="31" t="s">
        <v>629</v>
      </c>
      <c r="B444" s="320" t="s">
        <v>612</v>
      </c>
      <c r="C444" s="26" t="s">
        <v>583</v>
      </c>
      <c r="D444" s="26"/>
      <c r="E444" s="29">
        <f>+'APU CAP 5'!X484</f>
        <v>776934.5</v>
      </c>
      <c r="F444" s="16">
        <f t="shared" si="33"/>
        <v>0</v>
      </c>
      <c r="G444" s="8">
        <f t="shared" si="30"/>
        <v>0</v>
      </c>
    </row>
    <row r="445" spans="1:7" hidden="1" x14ac:dyDescent="0.25">
      <c r="A445" s="31" t="s">
        <v>630</v>
      </c>
      <c r="B445" s="320" t="s">
        <v>620</v>
      </c>
      <c r="C445" s="26" t="s">
        <v>583</v>
      </c>
      <c r="D445" s="26"/>
      <c r="E445" s="29">
        <f>+'APU CAP 5'!P484</f>
        <v>658659.71428571432</v>
      </c>
      <c r="F445" s="16">
        <f t="shared" si="33"/>
        <v>0</v>
      </c>
      <c r="G445" s="8">
        <f t="shared" si="30"/>
        <v>0</v>
      </c>
    </row>
    <row r="446" spans="1:7" hidden="1" x14ac:dyDescent="0.25">
      <c r="A446" s="31" t="s">
        <v>631</v>
      </c>
      <c r="B446" s="320" t="s">
        <v>671</v>
      </c>
      <c r="C446" s="26" t="s">
        <v>583</v>
      </c>
      <c r="D446" s="26"/>
      <c r="E446" s="29"/>
      <c r="F446" s="16">
        <f t="shared" si="33"/>
        <v>0</v>
      </c>
      <c r="G446" s="8">
        <f t="shared" si="30"/>
        <v>0</v>
      </c>
    </row>
    <row r="447" spans="1:7" hidden="1" x14ac:dyDescent="0.25">
      <c r="A447" s="27" t="s">
        <v>634</v>
      </c>
      <c r="B447" s="321" t="s">
        <v>632</v>
      </c>
      <c r="C447" s="26"/>
      <c r="D447" s="26"/>
      <c r="E447" s="29"/>
      <c r="F447" s="16"/>
      <c r="G447" s="8">
        <f t="shared" si="30"/>
        <v>0</v>
      </c>
    </row>
    <row r="448" spans="1:7" hidden="1" x14ac:dyDescent="0.25">
      <c r="A448" s="31" t="s">
        <v>635</v>
      </c>
      <c r="B448" s="320" t="s">
        <v>606</v>
      </c>
      <c r="C448" s="26" t="s">
        <v>583</v>
      </c>
      <c r="D448" s="26"/>
      <c r="E448" s="29">
        <f>+'APU CAP 5'!H538</f>
        <v>554067</v>
      </c>
      <c r="F448" s="16">
        <f t="shared" ref="F448:F456" si="34">+D448*E448</f>
        <v>0</v>
      </c>
      <c r="G448" s="8">
        <f t="shared" si="30"/>
        <v>0</v>
      </c>
    </row>
    <row r="449" spans="1:7" hidden="1" x14ac:dyDescent="0.25">
      <c r="A449" s="31" t="s">
        <v>636</v>
      </c>
      <c r="B449" s="320" t="s">
        <v>607</v>
      </c>
      <c r="C449" s="26" t="s">
        <v>583</v>
      </c>
      <c r="D449" s="26"/>
      <c r="E449" s="29">
        <f>+'APU CAP 5'!P538</f>
        <v>669769.71428571432</v>
      </c>
      <c r="F449" s="16">
        <f t="shared" si="34"/>
        <v>0</v>
      </c>
      <c r="G449" s="8">
        <f t="shared" si="30"/>
        <v>0</v>
      </c>
    </row>
    <row r="450" spans="1:7" hidden="1" x14ac:dyDescent="0.25">
      <c r="A450" s="31" t="s">
        <v>637</v>
      </c>
      <c r="B450" s="320" t="s">
        <v>608</v>
      </c>
      <c r="C450" s="26" t="s">
        <v>583</v>
      </c>
      <c r="D450" s="26"/>
      <c r="E450" s="29">
        <f>+'APU CAP 5'!X538</f>
        <v>808892.5</v>
      </c>
      <c r="F450" s="16">
        <f t="shared" si="34"/>
        <v>0</v>
      </c>
      <c r="G450" s="8">
        <f t="shared" si="30"/>
        <v>0</v>
      </c>
    </row>
    <row r="451" spans="1:7" hidden="1" x14ac:dyDescent="0.25">
      <c r="A451" s="31" t="s">
        <v>638</v>
      </c>
      <c r="B451" s="320" t="s">
        <v>609</v>
      </c>
      <c r="C451" s="26" t="s">
        <v>583</v>
      </c>
      <c r="D451" s="26"/>
      <c r="E451" s="29">
        <f>+'APU CAP 5'!H538</f>
        <v>554067</v>
      </c>
      <c r="F451" s="16">
        <f t="shared" si="34"/>
        <v>0</v>
      </c>
      <c r="G451" s="8">
        <f t="shared" si="30"/>
        <v>0</v>
      </c>
    </row>
    <row r="452" spans="1:7" hidden="1" x14ac:dyDescent="0.25">
      <c r="A452" s="31" t="s">
        <v>639</v>
      </c>
      <c r="B452" s="320" t="s">
        <v>610</v>
      </c>
      <c r="C452" s="26" t="s">
        <v>583</v>
      </c>
      <c r="D452" s="26"/>
      <c r="E452" s="29">
        <f>+'APU CAP 5'!P538</f>
        <v>669769.71428571432</v>
      </c>
      <c r="F452" s="16">
        <f t="shared" si="34"/>
        <v>0</v>
      </c>
      <c r="G452" s="8">
        <f t="shared" si="30"/>
        <v>0</v>
      </c>
    </row>
    <row r="453" spans="1:7" hidden="1" x14ac:dyDescent="0.25">
      <c r="A453" s="31" t="s">
        <v>640</v>
      </c>
      <c r="B453" s="320" t="s">
        <v>611</v>
      </c>
      <c r="C453" s="26" t="s">
        <v>583</v>
      </c>
      <c r="D453" s="26"/>
      <c r="E453" s="29">
        <f>+'APU CAP 5'!X538</f>
        <v>808892.5</v>
      </c>
      <c r="F453" s="16">
        <f t="shared" si="34"/>
        <v>0</v>
      </c>
      <c r="G453" s="8">
        <f t="shared" si="30"/>
        <v>0</v>
      </c>
    </row>
    <row r="454" spans="1:7" hidden="1" x14ac:dyDescent="0.25">
      <c r="A454" s="31" t="s">
        <v>641</v>
      </c>
      <c r="B454" s="320" t="s">
        <v>612</v>
      </c>
      <c r="C454" s="26" t="s">
        <v>583</v>
      </c>
      <c r="D454" s="26"/>
      <c r="E454" s="29">
        <f>+'APU CAP 5'!X538</f>
        <v>808892.5</v>
      </c>
      <c r="F454" s="16">
        <f t="shared" si="34"/>
        <v>0</v>
      </c>
      <c r="G454" s="8">
        <f t="shared" si="30"/>
        <v>0</v>
      </c>
    </row>
    <row r="455" spans="1:7" hidden="1" x14ac:dyDescent="0.25">
      <c r="A455" s="31" t="s">
        <v>642</v>
      </c>
      <c r="B455" s="320" t="s">
        <v>620</v>
      </c>
      <c r="C455" s="26" t="s">
        <v>583</v>
      </c>
      <c r="D455" s="26"/>
      <c r="E455" s="29">
        <f>+'APU CAP 5'!P538</f>
        <v>669769.71428571432</v>
      </c>
      <c r="F455" s="16">
        <f t="shared" si="34"/>
        <v>0</v>
      </c>
      <c r="G455" s="8">
        <f t="shared" si="30"/>
        <v>0</v>
      </c>
    </row>
    <row r="456" spans="1:7" hidden="1" x14ac:dyDescent="0.25">
      <c r="A456" s="31" t="s">
        <v>643</v>
      </c>
      <c r="B456" s="320" t="s">
        <v>671</v>
      </c>
      <c r="C456" s="26" t="s">
        <v>583</v>
      </c>
      <c r="D456" s="26"/>
      <c r="E456" s="29"/>
      <c r="F456" s="16">
        <f t="shared" si="34"/>
        <v>0</v>
      </c>
      <c r="G456" s="8">
        <f t="shared" si="30"/>
        <v>0</v>
      </c>
    </row>
    <row r="457" spans="1:7" hidden="1" x14ac:dyDescent="0.25">
      <c r="A457" s="27" t="s">
        <v>634</v>
      </c>
      <c r="B457" s="321" t="s">
        <v>6122</v>
      </c>
      <c r="C457" s="26"/>
      <c r="D457" s="26"/>
      <c r="E457" s="456"/>
      <c r="F457" s="457"/>
      <c r="G457" s="8">
        <f t="shared" si="30"/>
        <v>0</v>
      </c>
    </row>
    <row r="458" spans="1:7" hidden="1" x14ac:dyDescent="0.25">
      <c r="A458" s="31" t="s">
        <v>635</v>
      </c>
      <c r="B458" s="320" t="s">
        <v>606</v>
      </c>
      <c r="C458" s="26" t="s">
        <v>583</v>
      </c>
      <c r="D458" s="26"/>
      <c r="E458" s="456">
        <f>+'APU CAP 5'!H592</f>
        <v>609251.25</v>
      </c>
      <c r="F458" s="457">
        <f t="shared" ref="F458:F466" si="35">+D458*E458</f>
        <v>0</v>
      </c>
      <c r="G458" s="8">
        <f t="shared" si="30"/>
        <v>0</v>
      </c>
    </row>
    <row r="459" spans="1:7" hidden="1" x14ac:dyDescent="0.25">
      <c r="A459" s="31" t="s">
        <v>636</v>
      </c>
      <c r="B459" s="320" t="s">
        <v>607</v>
      </c>
      <c r="C459" s="26" t="s">
        <v>583</v>
      </c>
      <c r="D459" s="26"/>
      <c r="E459" s="456">
        <f>+'APU CAP 5'!P592</f>
        <v>740638</v>
      </c>
      <c r="F459" s="457">
        <f t="shared" si="35"/>
        <v>0</v>
      </c>
      <c r="G459" s="8">
        <f t="shared" ref="G459:G522" si="36">+IF(F459&lt;&gt;0,1,0)</f>
        <v>0</v>
      </c>
    </row>
    <row r="460" spans="1:7" hidden="1" x14ac:dyDescent="0.25">
      <c r="A460" s="31" t="s">
        <v>637</v>
      </c>
      <c r="B460" s="320" t="s">
        <v>608</v>
      </c>
      <c r="C460" s="26" t="s">
        <v>583</v>
      </c>
      <c r="D460" s="26"/>
      <c r="E460" s="456">
        <f>+'APU CAP 5'!X592</f>
        <v>932246.5</v>
      </c>
      <c r="F460" s="457">
        <f t="shared" si="35"/>
        <v>0</v>
      </c>
      <c r="G460" s="8">
        <f t="shared" si="36"/>
        <v>0</v>
      </c>
    </row>
    <row r="461" spans="1:7" hidden="1" x14ac:dyDescent="0.25">
      <c r="A461" s="31" t="s">
        <v>638</v>
      </c>
      <c r="B461" s="320" t="s">
        <v>609</v>
      </c>
      <c r="C461" s="26" t="s">
        <v>583</v>
      </c>
      <c r="D461" s="26"/>
      <c r="E461" s="456">
        <f>+'APU CAP 5'!H592</f>
        <v>609251.25</v>
      </c>
      <c r="F461" s="457">
        <f t="shared" si="35"/>
        <v>0</v>
      </c>
      <c r="G461" s="8">
        <f t="shared" si="36"/>
        <v>0</v>
      </c>
    </row>
    <row r="462" spans="1:7" hidden="1" x14ac:dyDescent="0.25">
      <c r="A462" s="31" t="s">
        <v>639</v>
      </c>
      <c r="B462" s="320" t="s">
        <v>610</v>
      </c>
      <c r="C462" s="26" t="s">
        <v>583</v>
      </c>
      <c r="D462" s="26"/>
      <c r="E462" s="456">
        <f>+'APU CAP 5'!P592</f>
        <v>740638</v>
      </c>
      <c r="F462" s="457">
        <f t="shared" si="35"/>
        <v>0</v>
      </c>
      <c r="G462" s="8">
        <f t="shared" si="36"/>
        <v>0</v>
      </c>
    </row>
    <row r="463" spans="1:7" hidden="1" x14ac:dyDescent="0.25">
      <c r="A463" s="31" t="s">
        <v>640</v>
      </c>
      <c r="B463" s="320" t="s">
        <v>611</v>
      </c>
      <c r="C463" s="26" t="s">
        <v>583</v>
      </c>
      <c r="D463" s="26"/>
      <c r="E463" s="456">
        <f>+'APU CAP 5'!X592</f>
        <v>932246.5</v>
      </c>
      <c r="F463" s="457">
        <f t="shared" si="35"/>
        <v>0</v>
      </c>
      <c r="G463" s="8">
        <f t="shared" si="36"/>
        <v>0</v>
      </c>
    </row>
    <row r="464" spans="1:7" hidden="1" x14ac:dyDescent="0.25">
      <c r="A464" s="31" t="s">
        <v>641</v>
      </c>
      <c r="B464" s="320" t="s">
        <v>612</v>
      </c>
      <c r="C464" s="26" t="s">
        <v>583</v>
      </c>
      <c r="D464" s="26"/>
      <c r="E464" s="456">
        <f>+'APU CAP 5'!X592</f>
        <v>932246.5</v>
      </c>
      <c r="F464" s="457">
        <f t="shared" si="35"/>
        <v>0</v>
      </c>
      <c r="G464" s="8">
        <f t="shared" si="36"/>
        <v>0</v>
      </c>
    </row>
    <row r="465" spans="1:7" hidden="1" x14ac:dyDescent="0.25">
      <c r="A465" s="31" t="s">
        <v>642</v>
      </c>
      <c r="B465" s="320" t="s">
        <v>620</v>
      </c>
      <c r="C465" s="26" t="s">
        <v>583</v>
      </c>
      <c r="D465" s="26"/>
      <c r="E465" s="456">
        <f>+'APU CAP 5'!P592</f>
        <v>740638</v>
      </c>
      <c r="F465" s="457">
        <f t="shared" si="35"/>
        <v>0</v>
      </c>
      <c r="G465" s="8">
        <f t="shared" si="36"/>
        <v>0</v>
      </c>
    </row>
    <row r="466" spans="1:7" hidden="1" x14ac:dyDescent="0.25">
      <c r="A466" s="31" t="s">
        <v>643</v>
      </c>
      <c r="B466" s="320" t="s">
        <v>671</v>
      </c>
      <c r="C466" s="26" t="s">
        <v>583</v>
      </c>
      <c r="D466" s="26"/>
      <c r="E466" s="456"/>
      <c r="F466" s="457">
        <f t="shared" si="35"/>
        <v>0</v>
      </c>
      <c r="G466" s="8">
        <f t="shared" si="36"/>
        <v>0</v>
      </c>
    </row>
    <row r="467" spans="1:7" hidden="1" x14ac:dyDescent="0.25">
      <c r="A467" s="27" t="s">
        <v>644</v>
      </c>
      <c r="B467" s="321" t="s">
        <v>645</v>
      </c>
      <c r="C467" s="26"/>
      <c r="D467" s="26"/>
      <c r="E467" s="29"/>
      <c r="F467" s="16"/>
      <c r="G467" s="8">
        <f t="shared" si="36"/>
        <v>0</v>
      </c>
    </row>
    <row r="468" spans="1:7" hidden="1" x14ac:dyDescent="0.25">
      <c r="A468" s="27" t="s">
        <v>646</v>
      </c>
      <c r="B468" s="321" t="s">
        <v>649</v>
      </c>
      <c r="C468" s="26"/>
      <c r="D468" s="26"/>
      <c r="E468" s="29"/>
      <c r="F468" s="16"/>
      <c r="G468" s="8">
        <f t="shared" si="36"/>
        <v>0</v>
      </c>
    </row>
    <row r="469" spans="1:7" hidden="1" x14ac:dyDescent="0.25">
      <c r="A469" s="31" t="s">
        <v>647</v>
      </c>
      <c r="B469" s="320" t="s">
        <v>650</v>
      </c>
      <c r="C469" s="26" t="s">
        <v>683</v>
      </c>
      <c r="D469" s="26"/>
      <c r="E469" s="29"/>
      <c r="F469" s="16">
        <f>+D469*E469</f>
        <v>0</v>
      </c>
      <c r="G469" s="8">
        <f t="shared" si="36"/>
        <v>0</v>
      </c>
    </row>
    <row r="470" spans="1:7" hidden="1" x14ac:dyDescent="0.25">
      <c r="A470" s="31" t="s">
        <v>648</v>
      </c>
      <c r="B470" s="320" t="s">
        <v>651</v>
      </c>
      <c r="C470" s="26" t="s">
        <v>683</v>
      </c>
      <c r="D470" s="26"/>
      <c r="E470" s="29"/>
      <c r="F470" s="16">
        <f>+D470*E470</f>
        <v>0</v>
      </c>
      <c r="G470" s="8">
        <f t="shared" si="36"/>
        <v>0</v>
      </c>
    </row>
    <row r="471" spans="1:7" x14ac:dyDescent="0.25">
      <c r="A471" s="27" t="s">
        <v>588</v>
      </c>
      <c r="B471" s="321" t="s">
        <v>652</v>
      </c>
      <c r="C471" s="26"/>
      <c r="D471" s="26"/>
      <c r="E471" s="29"/>
      <c r="F471" s="16"/>
      <c r="G471" s="8">
        <v>1</v>
      </c>
    </row>
    <row r="472" spans="1:7" x14ac:dyDescent="0.25">
      <c r="A472" s="31" t="s">
        <v>589</v>
      </c>
      <c r="B472" s="320" t="s">
        <v>590</v>
      </c>
      <c r="C472" s="26" t="s">
        <v>591</v>
      </c>
      <c r="D472" s="26">
        <f>50*D423</f>
        <v>1000</v>
      </c>
      <c r="E472" s="29">
        <f>+'APU CAP 5'!H970</f>
        <v>3455</v>
      </c>
      <c r="F472" s="16">
        <f>+D472*E472</f>
        <v>3455000</v>
      </c>
      <c r="G472" s="8">
        <f t="shared" si="36"/>
        <v>1</v>
      </c>
    </row>
    <row r="473" spans="1:7" hidden="1" x14ac:dyDescent="0.25">
      <c r="A473" s="27" t="s">
        <v>653</v>
      </c>
      <c r="B473" s="321" t="s">
        <v>654</v>
      </c>
      <c r="C473" s="26"/>
      <c r="D473" s="26"/>
      <c r="E473" s="29"/>
      <c r="F473" s="16"/>
      <c r="G473" s="8">
        <f t="shared" si="36"/>
        <v>0</v>
      </c>
    </row>
    <row r="474" spans="1:7" hidden="1" x14ac:dyDescent="0.25">
      <c r="A474" s="31" t="s">
        <v>5859</v>
      </c>
      <c r="B474" s="320" t="s">
        <v>655</v>
      </c>
      <c r="C474" s="26" t="s">
        <v>591</v>
      </c>
      <c r="D474" s="26"/>
      <c r="E474" s="29">
        <f>+'APU CAP 5'!P970</f>
        <v>3322</v>
      </c>
      <c r="F474" s="16">
        <f>+D474*E474</f>
        <v>0</v>
      </c>
      <c r="G474" s="8">
        <f t="shared" si="36"/>
        <v>0</v>
      </c>
    </row>
    <row r="475" spans="1:7" hidden="1" x14ac:dyDescent="0.25">
      <c r="A475" s="31" t="s">
        <v>5860</v>
      </c>
      <c r="B475" s="320" t="s">
        <v>656</v>
      </c>
      <c r="C475" s="26" t="s">
        <v>591</v>
      </c>
      <c r="D475" s="26"/>
      <c r="E475" s="29">
        <f>+'APU CAP 5'!X970</f>
        <v>4037</v>
      </c>
      <c r="F475" s="16">
        <f>+D475*E475</f>
        <v>0</v>
      </c>
      <c r="G475" s="8">
        <f t="shared" si="36"/>
        <v>0</v>
      </c>
    </row>
    <row r="476" spans="1:7" hidden="1" x14ac:dyDescent="0.25">
      <c r="A476" s="27" t="s">
        <v>657</v>
      </c>
      <c r="B476" s="321" t="s">
        <v>658</v>
      </c>
      <c r="C476" s="26"/>
      <c r="D476" s="26"/>
      <c r="E476" s="29"/>
      <c r="F476" s="16"/>
      <c r="G476" s="8">
        <f t="shared" si="36"/>
        <v>0</v>
      </c>
    </row>
    <row r="477" spans="1:7" hidden="1" x14ac:dyDescent="0.25">
      <c r="A477" s="31" t="s">
        <v>659</v>
      </c>
      <c r="B477" s="320" t="s">
        <v>660</v>
      </c>
      <c r="C477" s="26" t="s">
        <v>591</v>
      </c>
      <c r="D477" s="26"/>
      <c r="E477" s="29">
        <f>+'APU CAP 5'!H1024</f>
        <v>68668</v>
      </c>
      <c r="F477" s="16">
        <f>+D477*E477</f>
        <v>0</v>
      </c>
      <c r="G477" s="8">
        <f t="shared" si="36"/>
        <v>0</v>
      </c>
    </row>
    <row r="478" spans="1:7" hidden="1" x14ac:dyDescent="0.25">
      <c r="A478" s="31" t="s">
        <v>664</v>
      </c>
      <c r="B478" s="320" t="s">
        <v>661</v>
      </c>
      <c r="C478" s="26" t="s">
        <v>591</v>
      </c>
      <c r="D478" s="26"/>
      <c r="E478" s="29">
        <f>+'APU CAP 5'!H1078</f>
        <v>8894</v>
      </c>
      <c r="F478" s="16">
        <f>+D478*E478</f>
        <v>0</v>
      </c>
      <c r="G478" s="8">
        <f t="shared" si="36"/>
        <v>0</v>
      </c>
    </row>
    <row r="479" spans="1:7" hidden="1" x14ac:dyDescent="0.25">
      <c r="A479" s="31" t="s">
        <v>665</v>
      </c>
      <c r="B479" s="320" t="s">
        <v>662</v>
      </c>
      <c r="C479" s="26" t="s">
        <v>591</v>
      </c>
      <c r="D479" s="26"/>
      <c r="E479" s="29">
        <f>+'APU CAP 5'!H1132</f>
        <v>9723</v>
      </c>
      <c r="F479" s="16">
        <f>+D479*E479</f>
        <v>0</v>
      </c>
      <c r="G479" s="8">
        <f t="shared" si="36"/>
        <v>0</v>
      </c>
    </row>
    <row r="480" spans="1:7" hidden="1" x14ac:dyDescent="0.25">
      <c r="A480" s="31" t="s">
        <v>666</v>
      </c>
      <c r="B480" s="320" t="s">
        <v>663</v>
      </c>
      <c r="C480" s="26" t="s">
        <v>591</v>
      </c>
      <c r="D480" s="26"/>
      <c r="E480" s="29">
        <f>+'APU CAP 5'!H1186</f>
        <v>6166</v>
      </c>
      <c r="F480" s="16">
        <f>+D480*E480</f>
        <v>0</v>
      </c>
      <c r="G480" s="8">
        <f t="shared" si="36"/>
        <v>0</v>
      </c>
    </row>
    <row r="481" spans="1:7" hidden="1" x14ac:dyDescent="0.25">
      <c r="A481" s="27" t="s">
        <v>592</v>
      </c>
      <c r="B481" s="321" t="s">
        <v>593</v>
      </c>
      <c r="C481" s="26"/>
      <c r="D481" s="26"/>
      <c r="E481" s="29"/>
      <c r="F481" s="16"/>
      <c r="G481" s="8">
        <f t="shared" si="36"/>
        <v>0</v>
      </c>
    </row>
    <row r="482" spans="1:7" hidden="1" x14ac:dyDescent="0.25">
      <c r="A482" s="17" t="s">
        <v>667</v>
      </c>
      <c r="B482" s="18" t="s">
        <v>669</v>
      </c>
      <c r="C482" s="14" t="s">
        <v>14</v>
      </c>
      <c r="D482" s="14"/>
      <c r="E482" s="15">
        <f>+'APU CAP 5'!H1240</f>
        <v>31320</v>
      </c>
      <c r="F482" s="16">
        <f>+D482*E482</f>
        <v>0</v>
      </c>
      <c r="G482" s="8">
        <f t="shared" si="36"/>
        <v>0</v>
      </c>
    </row>
    <row r="483" spans="1:7" hidden="1" x14ac:dyDescent="0.25">
      <c r="A483" s="17" t="s">
        <v>668</v>
      </c>
      <c r="B483" s="18" t="s">
        <v>670</v>
      </c>
      <c r="C483" s="14" t="s">
        <v>14</v>
      </c>
      <c r="D483" s="14"/>
      <c r="E483" s="15">
        <f>+'APU CAP 5'!H1294</f>
        <v>48291</v>
      </c>
      <c r="F483" s="16">
        <f>+D483*E483</f>
        <v>0</v>
      </c>
      <c r="G483" s="8">
        <f t="shared" si="36"/>
        <v>0</v>
      </c>
    </row>
    <row r="484" spans="1:7" x14ac:dyDescent="0.25">
      <c r="A484" s="2454" t="s">
        <v>842</v>
      </c>
      <c r="B484" s="2455"/>
      <c r="C484" s="2455"/>
      <c r="D484" s="2455"/>
      <c r="E484" s="2455"/>
      <c r="F484" s="19">
        <f>SUM(F420:F483)</f>
        <v>13422180.000000002</v>
      </c>
      <c r="G484" s="8">
        <f t="shared" si="36"/>
        <v>1</v>
      </c>
    </row>
    <row r="485" spans="1:7" hidden="1" x14ac:dyDescent="0.25">
      <c r="A485" s="458">
        <v>6</v>
      </c>
      <c r="B485" s="459" t="s">
        <v>5867</v>
      </c>
      <c r="C485" s="63"/>
      <c r="D485" s="63"/>
      <c r="E485" s="460"/>
      <c r="F485" s="461"/>
      <c r="G485" s="8">
        <f t="shared" si="36"/>
        <v>0</v>
      </c>
    </row>
    <row r="486" spans="1:7" hidden="1" x14ac:dyDescent="0.25">
      <c r="A486" s="12" t="s">
        <v>673</v>
      </c>
      <c r="B486" s="13" t="s">
        <v>672</v>
      </c>
      <c r="C486" s="14"/>
      <c r="D486" s="14"/>
      <c r="E486" s="15"/>
      <c r="F486" s="16"/>
      <c r="G486" s="8">
        <f t="shared" si="36"/>
        <v>0</v>
      </c>
    </row>
    <row r="487" spans="1:7" hidden="1" x14ac:dyDescent="0.25">
      <c r="A487" s="12" t="s">
        <v>674</v>
      </c>
      <c r="B487" s="13" t="s">
        <v>811</v>
      </c>
      <c r="C487" s="14"/>
      <c r="D487" s="14"/>
      <c r="E487" s="15"/>
      <c r="F487" s="16"/>
      <c r="G487" s="8">
        <f t="shared" si="36"/>
        <v>0</v>
      </c>
    </row>
    <row r="488" spans="1:7" hidden="1" x14ac:dyDescent="0.25">
      <c r="A488" s="17" t="s">
        <v>812</v>
      </c>
      <c r="B488" s="18" t="s">
        <v>675</v>
      </c>
      <c r="C488" s="26" t="s">
        <v>683</v>
      </c>
      <c r="D488" s="14"/>
      <c r="E488" s="15">
        <f>+'APU CAP 6'!H272</f>
        <v>33748</v>
      </c>
      <c r="F488" s="16">
        <f>+D488*E488</f>
        <v>0</v>
      </c>
      <c r="G488" s="8">
        <f t="shared" si="36"/>
        <v>0</v>
      </c>
    </row>
    <row r="489" spans="1:7" hidden="1" x14ac:dyDescent="0.25">
      <c r="A489" s="12" t="s">
        <v>679</v>
      </c>
      <c r="B489" s="13" t="s">
        <v>5868</v>
      </c>
      <c r="C489" s="14"/>
      <c r="D489" s="14"/>
      <c r="E489" s="15"/>
      <c r="F489" s="16"/>
      <c r="G489" s="8">
        <f t="shared" si="36"/>
        <v>0</v>
      </c>
    </row>
    <row r="490" spans="1:7" hidden="1" x14ac:dyDescent="0.25">
      <c r="A490" s="17" t="s">
        <v>680</v>
      </c>
      <c r="B490" s="18" t="s">
        <v>678</v>
      </c>
      <c r="C490" s="26" t="s">
        <v>683</v>
      </c>
      <c r="D490" s="14"/>
      <c r="E490" s="15">
        <f>+'APU CAP 6'!H218</f>
        <v>28791</v>
      </c>
      <c r="F490" s="16">
        <f>+D490*E490</f>
        <v>0</v>
      </c>
      <c r="G490" s="8">
        <f t="shared" si="36"/>
        <v>0</v>
      </c>
    </row>
    <row r="491" spans="1:7" hidden="1" x14ac:dyDescent="0.25">
      <c r="A491" s="17" t="s">
        <v>681</v>
      </c>
      <c r="B491" s="18" t="s">
        <v>676</v>
      </c>
      <c r="C491" s="26" t="s">
        <v>683</v>
      </c>
      <c r="D491" s="14"/>
      <c r="E491" s="15">
        <f>+'APU CAP 6'!P218</f>
        <v>47712</v>
      </c>
      <c r="F491" s="16">
        <f>+D491*E491</f>
        <v>0</v>
      </c>
      <c r="G491" s="8">
        <f t="shared" si="36"/>
        <v>0</v>
      </c>
    </row>
    <row r="492" spans="1:7" hidden="1" x14ac:dyDescent="0.25">
      <c r="A492" s="17" t="s">
        <v>682</v>
      </c>
      <c r="B492" s="18" t="s">
        <v>677</v>
      </c>
      <c r="C492" s="26" t="s">
        <v>683</v>
      </c>
      <c r="D492" s="14"/>
      <c r="E492" s="15">
        <f>+'APU CAP 6'!X218</f>
        <v>88919</v>
      </c>
      <c r="F492" s="16">
        <f>+D492*E492</f>
        <v>0</v>
      </c>
      <c r="G492" s="8">
        <f t="shared" si="36"/>
        <v>0</v>
      </c>
    </row>
    <row r="493" spans="1:7" hidden="1" x14ac:dyDescent="0.25">
      <c r="A493" s="12" t="s">
        <v>684</v>
      </c>
      <c r="B493" s="13" t="s">
        <v>685</v>
      </c>
      <c r="C493" s="14"/>
      <c r="D493" s="14"/>
      <c r="E493" s="15"/>
      <c r="F493" s="16"/>
      <c r="G493" s="8">
        <f t="shared" si="36"/>
        <v>0</v>
      </c>
    </row>
    <row r="494" spans="1:7" hidden="1" x14ac:dyDescent="0.25">
      <c r="A494" s="17" t="s">
        <v>686</v>
      </c>
      <c r="B494" s="18" t="s">
        <v>676</v>
      </c>
      <c r="C494" s="26" t="s">
        <v>683</v>
      </c>
      <c r="D494" s="14"/>
      <c r="E494" s="15">
        <f>+'APU CAP 6'!H380</f>
        <v>64942</v>
      </c>
      <c r="F494" s="16">
        <f>+D494*E494</f>
        <v>0</v>
      </c>
      <c r="G494" s="8">
        <f t="shared" si="36"/>
        <v>0</v>
      </c>
    </row>
    <row r="495" spans="1:7" hidden="1" x14ac:dyDescent="0.25">
      <c r="A495" s="17" t="s">
        <v>687</v>
      </c>
      <c r="B495" s="18" t="s">
        <v>677</v>
      </c>
      <c r="C495" s="26" t="s">
        <v>683</v>
      </c>
      <c r="D495" s="14"/>
      <c r="E495" s="15">
        <f>+'APU CAP 6'!P380</f>
        <v>71108</v>
      </c>
      <c r="F495" s="16">
        <f>+D495*E495</f>
        <v>0</v>
      </c>
      <c r="G495" s="8">
        <f t="shared" si="36"/>
        <v>0</v>
      </c>
    </row>
    <row r="496" spans="1:7" hidden="1" x14ac:dyDescent="0.25">
      <c r="A496" s="12" t="s">
        <v>690</v>
      </c>
      <c r="B496" s="13" t="s">
        <v>688</v>
      </c>
      <c r="C496" s="14"/>
      <c r="D496" s="14"/>
      <c r="E496" s="15"/>
      <c r="F496" s="16"/>
      <c r="G496" s="8">
        <f t="shared" si="36"/>
        <v>0</v>
      </c>
    </row>
    <row r="497" spans="1:7" hidden="1" x14ac:dyDescent="0.25">
      <c r="A497" s="17" t="s">
        <v>689</v>
      </c>
      <c r="B497" s="18" t="s">
        <v>676</v>
      </c>
      <c r="C497" s="26" t="s">
        <v>683</v>
      </c>
      <c r="D497" s="14"/>
      <c r="E497" s="15">
        <f>+'APU CAP 6'!H326</f>
        <v>58048</v>
      </c>
      <c r="F497" s="16">
        <f>+D497*E497</f>
        <v>0</v>
      </c>
      <c r="G497" s="8">
        <f t="shared" si="36"/>
        <v>0</v>
      </c>
    </row>
    <row r="498" spans="1:7" hidden="1" x14ac:dyDescent="0.25">
      <c r="A498" s="17" t="s">
        <v>691</v>
      </c>
      <c r="B498" s="18" t="s">
        <v>677</v>
      </c>
      <c r="C498" s="26" t="s">
        <v>683</v>
      </c>
      <c r="D498" s="14"/>
      <c r="E498" s="15">
        <f>+'APU CAP 6'!P326</f>
        <v>105480</v>
      </c>
      <c r="F498" s="16">
        <f>+D498*E498</f>
        <v>0</v>
      </c>
      <c r="G498" s="8">
        <f t="shared" si="36"/>
        <v>0</v>
      </c>
    </row>
    <row r="499" spans="1:7" hidden="1" x14ac:dyDescent="0.25">
      <c r="A499" s="12" t="s">
        <v>693</v>
      </c>
      <c r="B499" s="13" t="s">
        <v>692</v>
      </c>
      <c r="C499" s="14"/>
      <c r="D499" s="14"/>
      <c r="E499" s="15"/>
      <c r="F499" s="16"/>
      <c r="G499" s="8">
        <f t="shared" si="36"/>
        <v>0</v>
      </c>
    </row>
    <row r="500" spans="1:7" hidden="1" x14ac:dyDescent="0.25">
      <c r="A500" s="17" t="s">
        <v>694</v>
      </c>
      <c r="B500" s="18" t="s">
        <v>695</v>
      </c>
      <c r="C500" s="26" t="s">
        <v>683</v>
      </c>
      <c r="D500" s="14"/>
      <c r="E500" s="15">
        <f>+'APU CAP 6'!H434</f>
        <v>14826</v>
      </c>
      <c r="F500" s="16">
        <f>+D500*E500</f>
        <v>0</v>
      </c>
      <c r="G500" s="8">
        <f t="shared" si="36"/>
        <v>0</v>
      </c>
    </row>
    <row r="501" spans="1:7" hidden="1" x14ac:dyDescent="0.25">
      <c r="A501" s="17" t="s">
        <v>698</v>
      </c>
      <c r="B501" s="18" t="s">
        <v>696</v>
      </c>
      <c r="C501" s="26" t="s">
        <v>683</v>
      </c>
      <c r="D501" s="14"/>
      <c r="E501" s="15">
        <f>+'APU CAP 6'!H434</f>
        <v>14826</v>
      </c>
      <c r="F501" s="16">
        <f>+D501*E501</f>
        <v>0</v>
      </c>
      <c r="G501" s="8">
        <f t="shared" si="36"/>
        <v>0</v>
      </c>
    </row>
    <row r="502" spans="1:7" hidden="1" x14ac:dyDescent="0.25">
      <c r="A502" s="17" t="s">
        <v>699</v>
      </c>
      <c r="B502" s="18" t="s">
        <v>697</v>
      </c>
      <c r="C502" s="26" t="s">
        <v>683</v>
      </c>
      <c r="D502" s="14"/>
      <c r="E502" s="15">
        <f>+'APU CAP 6'!H488</f>
        <v>17633</v>
      </c>
      <c r="F502" s="16">
        <f>+D502*E502</f>
        <v>0</v>
      </c>
      <c r="G502" s="8">
        <f t="shared" si="36"/>
        <v>0</v>
      </c>
    </row>
    <row r="503" spans="1:7" hidden="1" x14ac:dyDescent="0.25">
      <c r="A503" s="17" t="s">
        <v>700</v>
      </c>
      <c r="B503" s="18" t="s">
        <v>5730</v>
      </c>
      <c r="C503" s="26" t="s">
        <v>701</v>
      </c>
      <c r="D503" s="14"/>
      <c r="E503" s="15">
        <f>+'APU CAP 6'!H542</f>
        <v>844381</v>
      </c>
      <c r="F503" s="16">
        <f>+D503*E503</f>
        <v>0</v>
      </c>
      <c r="G503" s="8">
        <f t="shared" si="36"/>
        <v>0</v>
      </c>
    </row>
    <row r="504" spans="1:7" hidden="1" x14ac:dyDescent="0.25">
      <c r="A504" s="12" t="s">
        <v>703</v>
      </c>
      <c r="B504" s="13" t="s">
        <v>702</v>
      </c>
      <c r="C504" s="14"/>
      <c r="D504" s="14"/>
      <c r="E504" s="15"/>
      <c r="F504" s="16"/>
      <c r="G504" s="8">
        <f t="shared" si="36"/>
        <v>0</v>
      </c>
    </row>
    <row r="505" spans="1:7" hidden="1" x14ac:dyDescent="0.25">
      <c r="A505" s="12" t="s">
        <v>705</v>
      </c>
      <c r="B505" s="13" t="s">
        <v>704</v>
      </c>
      <c r="C505" s="14"/>
      <c r="D505" s="14"/>
      <c r="E505" s="15"/>
      <c r="F505" s="16"/>
      <c r="G505" s="8">
        <f t="shared" si="36"/>
        <v>0</v>
      </c>
    </row>
    <row r="506" spans="1:7" hidden="1" x14ac:dyDescent="0.25">
      <c r="A506" s="17" t="s">
        <v>706</v>
      </c>
      <c r="B506" s="18" t="s">
        <v>709</v>
      </c>
      <c r="C506" s="26" t="s">
        <v>683</v>
      </c>
      <c r="D506" s="14"/>
      <c r="E506" s="15">
        <f>+'APU CAP 6'!H596</f>
        <v>40122</v>
      </c>
      <c r="F506" s="16">
        <f>+D506*E506</f>
        <v>0</v>
      </c>
      <c r="G506" s="8">
        <f t="shared" si="36"/>
        <v>0</v>
      </c>
    </row>
    <row r="507" spans="1:7" hidden="1" x14ac:dyDescent="0.25">
      <c r="A507" s="17" t="s">
        <v>710</v>
      </c>
      <c r="B507" s="18" t="s">
        <v>707</v>
      </c>
      <c r="C507" s="26" t="s">
        <v>683</v>
      </c>
      <c r="D507" s="14"/>
      <c r="E507" s="15">
        <f>+'APU CAP 6'!P596</f>
        <v>49572</v>
      </c>
      <c r="F507" s="16">
        <f>+D507*E507</f>
        <v>0</v>
      </c>
      <c r="G507" s="8">
        <f t="shared" si="36"/>
        <v>0</v>
      </c>
    </row>
    <row r="508" spans="1:7" hidden="1" x14ac:dyDescent="0.25">
      <c r="A508" s="17" t="s">
        <v>711</v>
      </c>
      <c r="B508" s="18" t="s">
        <v>708</v>
      </c>
      <c r="C508" s="26" t="s">
        <v>683</v>
      </c>
      <c r="D508" s="14"/>
      <c r="E508" s="15">
        <f>+'APU CAP 6'!X596</f>
        <v>53124</v>
      </c>
      <c r="F508" s="16">
        <f>+D508*E508</f>
        <v>0</v>
      </c>
      <c r="G508" s="8">
        <f t="shared" si="36"/>
        <v>0</v>
      </c>
    </row>
    <row r="509" spans="1:7" hidden="1" x14ac:dyDescent="0.25">
      <c r="A509" s="17" t="s">
        <v>714</v>
      </c>
      <c r="B509" s="18" t="s">
        <v>813</v>
      </c>
      <c r="C509" s="26" t="s">
        <v>683</v>
      </c>
      <c r="D509" s="14"/>
      <c r="E509" s="471">
        <f>+'APU CAP 6'!AF596</f>
        <v>41574</v>
      </c>
      <c r="F509" s="16">
        <f>+D509*E509</f>
        <v>0</v>
      </c>
      <c r="G509" s="8">
        <f t="shared" si="36"/>
        <v>0</v>
      </c>
    </row>
    <row r="510" spans="1:7" hidden="1" x14ac:dyDescent="0.25">
      <c r="A510" s="12" t="s">
        <v>712</v>
      </c>
      <c r="B510" s="13" t="s">
        <v>713</v>
      </c>
      <c r="C510" s="132"/>
      <c r="D510" s="14"/>
      <c r="E510" s="15"/>
      <c r="F510" s="16"/>
      <c r="G510" s="8">
        <f t="shared" si="36"/>
        <v>0</v>
      </c>
    </row>
    <row r="511" spans="1:7" hidden="1" x14ac:dyDescent="0.25">
      <c r="A511" s="17" t="s">
        <v>715</v>
      </c>
      <c r="B511" s="18" t="s">
        <v>716</v>
      </c>
      <c r="C511" s="26" t="s">
        <v>683</v>
      </c>
      <c r="D511" s="14"/>
      <c r="E511" s="15">
        <f>+'APU CAP 6'!H650</f>
        <v>39539</v>
      </c>
      <c r="F511" s="16">
        <f>+D511*E511</f>
        <v>0</v>
      </c>
      <c r="G511" s="8">
        <f t="shared" si="36"/>
        <v>0</v>
      </c>
    </row>
    <row r="512" spans="1:7" hidden="1" x14ac:dyDescent="0.25">
      <c r="A512" s="17" t="s">
        <v>717</v>
      </c>
      <c r="B512" s="18" t="s">
        <v>718</v>
      </c>
      <c r="C512" s="26" t="s">
        <v>683</v>
      </c>
      <c r="D512" s="14"/>
      <c r="E512" s="15">
        <f>+'APU CAP 6'!P650</f>
        <v>7770</v>
      </c>
      <c r="F512" s="16">
        <f>+D512*E512</f>
        <v>0</v>
      </c>
      <c r="G512" s="8">
        <f t="shared" si="36"/>
        <v>0</v>
      </c>
    </row>
    <row r="513" spans="1:7" hidden="1" x14ac:dyDescent="0.25">
      <c r="A513" s="12" t="s">
        <v>719</v>
      </c>
      <c r="B513" s="13" t="s">
        <v>720</v>
      </c>
      <c r="C513" s="132"/>
      <c r="D513" s="14"/>
      <c r="E513" s="15"/>
      <c r="F513" s="16"/>
      <c r="G513" s="8">
        <f t="shared" si="36"/>
        <v>0</v>
      </c>
    </row>
    <row r="514" spans="1:7" hidden="1" x14ac:dyDescent="0.25">
      <c r="A514" s="17" t="s">
        <v>721</v>
      </c>
      <c r="B514" s="18" t="s">
        <v>743</v>
      </c>
      <c r="C514" s="14" t="s">
        <v>37</v>
      </c>
      <c r="D514" s="14"/>
      <c r="E514" s="15">
        <f>+'APU CAP 6'!H704</f>
        <v>105787.4</v>
      </c>
      <c r="F514" s="16">
        <f>+D514*E514</f>
        <v>0</v>
      </c>
      <c r="G514" s="8">
        <f t="shared" si="36"/>
        <v>0</v>
      </c>
    </row>
    <row r="515" spans="1:7" hidden="1" x14ac:dyDescent="0.25">
      <c r="A515" s="17" t="s">
        <v>723</v>
      </c>
      <c r="B515" s="18" t="s">
        <v>722</v>
      </c>
      <c r="C515" s="14" t="s">
        <v>37</v>
      </c>
      <c r="D515" s="14"/>
      <c r="E515" s="15">
        <f>+'APU CAP 6'!H758</f>
        <v>51791.000000000007</v>
      </c>
      <c r="F515" s="16">
        <f>+D515*E515</f>
        <v>0</v>
      </c>
      <c r="G515" s="8">
        <f t="shared" si="36"/>
        <v>0</v>
      </c>
    </row>
    <row r="516" spans="1:7" hidden="1" x14ac:dyDescent="0.25">
      <c r="A516" s="17" t="s">
        <v>724</v>
      </c>
      <c r="B516" s="18" t="s">
        <v>744</v>
      </c>
      <c r="C516" s="14" t="s">
        <v>37</v>
      </c>
      <c r="D516" s="14"/>
      <c r="E516" s="15">
        <f>+'APU CAP 6'!H812</f>
        <v>70662.600000000006</v>
      </c>
      <c r="F516" s="16">
        <f>+D516*E516</f>
        <v>0</v>
      </c>
      <c r="G516" s="8">
        <f t="shared" si="36"/>
        <v>0</v>
      </c>
    </row>
    <row r="517" spans="1:7" hidden="1" x14ac:dyDescent="0.25">
      <c r="A517" s="12" t="s">
        <v>725</v>
      </c>
      <c r="B517" s="13" t="s">
        <v>726</v>
      </c>
      <c r="C517" s="14"/>
      <c r="D517" s="14"/>
      <c r="E517" s="15"/>
      <c r="F517" s="16"/>
      <c r="G517" s="8">
        <f t="shared" si="36"/>
        <v>0</v>
      </c>
    </row>
    <row r="518" spans="1:7" hidden="1" x14ac:dyDescent="0.25">
      <c r="A518" s="17" t="s">
        <v>727</v>
      </c>
      <c r="B518" s="18" t="s">
        <v>728</v>
      </c>
      <c r="C518" s="14" t="s">
        <v>37</v>
      </c>
      <c r="D518" s="14"/>
      <c r="E518" s="15">
        <f>+'APU CAP 6'!H920</f>
        <v>163961</v>
      </c>
      <c r="F518" s="16">
        <f>+D518*E518</f>
        <v>0</v>
      </c>
      <c r="G518" s="8">
        <f t="shared" si="36"/>
        <v>0</v>
      </c>
    </row>
    <row r="519" spans="1:7" hidden="1" x14ac:dyDescent="0.25">
      <c r="A519" s="17" t="s">
        <v>731</v>
      </c>
      <c r="B519" s="18" t="s">
        <v>729</v>
      </c>
      <c r="C519" s="14" t="s">
        <v>37</v>
      </c>
      <c r="D519" s="14"/>
      <c r="E519" s="15">
        <f>+'APU CAP 6'!H866</f>
        <v>225481</v>
      </c>
      <c r="F519" s="16">
        <f>+D519*E519</f>
        <v>0</v>
      </c>
      <c r="G519" s="8">
        <f t="shared" si="36"/>
        <v>0</v>
      </c>
    </row>
    <row r="520" spans="1:7" hidden="1" x14ac:dyDescent="0.25">
      <c r="A520" s="17" t="s">
        <v>732</v>
      </c>
      <c r="B520" s="18" t="s">
        <v>730</v>
      </c>
      <c r="C520" s="14" t="s">
        <v>37</v>
      </c>
      <c r="D520" s="14"/>
      <c r="E520" s="15">
        <f>+'APU CAP 6'!P866</f>
        <v>188096</v>
      </c>
      <c r="F520" s="16">
        <f>+D520*E520</f>
        <v>0</v>
      </c>
      <c r="G520" s="8">
        <f t="shared" si="36"/>
        <v>0</v>
      </c>
    </row>
    <row r="521" spans="1:7" hidden="1" x14ac:dyDescent="0.25">
      <c r="A521" s="17" t="s">
        <v>733</v>
      </c>
      <c r="B521" s="18" t="s">
        <v>5869</v>
      </c>
      <c r="C521" s="14" t="s">
        <v>37</v>
      </c>
      <c r="D521" s="14"/>
      <c r="E521" s="15">
        <f>+'APU CAP 6'!H974</f>
        <v>178771</v>
      </c>
      <c r="F521" s="16">
        <f>+D521*E521</f>
        <v>0</v>
      </c>
      <c r="G521" s="8">
        <f t="shared" si="36"/>
        <v>0</v>
      </c>
    </row>
    <row r="522" spans="1:7" hidden="1" x14ac:dyDescent="0.25">
      <c r="A522" s="17" t="s">
        <v>734</v>
      </c>
      <c r="B522" s="18" t="s">
        <v>735</v>
      </c>
      <c r="C522" s="14" t="s">
        <v>37</v>
      </c>
      <c r="D522" s="14"/>
      <c r="E522" s="15">
        <f>+'APU CAP 6'!H1028</f>
        <v>146447</v>
      </c>
      <c r="F522" s="16">
        <f>+D522*E522</f>
        <v>0</v>
      </c>
      <c r="G522" s="8">
        <f t="shared" si="36"/>
        <v>0</v>
      </c>
    </row>
    <row r="523" spans="1:7" hidden="1" x14ac:dyDescent="0.25">
      <c r="A523" s="12" t="s">
        <v>736</v>
      </c>
      <c r="B523" s="13" t="s">
        <v>737</v>
      </c>
      <c r="C523" s="132"/>
      <c r="D523" s="14"/>
      <c r="E523" s="15"/>
      <c r="F523" s="16"/>
      <c r="G523" s="8">
        <f t="shared" ref="G523:G586" si="37">+IF(F523&lt;&gt;0,1,0)</f>
        <v>0</v>
      </c>
    </row>
    <row r="524" spans="1:7" ht="25.5" hidden="1" x14ac:dyDescent="0.25">
      <c r="A524" s="17" t="s">
        <v>738</v>
      </c>
      <c r="B524" s="25" t="s">
        <v>5873</v>
      </c>
      <c r="C524" s="14" t="s">
        <v>37</v>
      </c>
      <c r="D524" s="14"/>
      <c r="E524" s="15">
        <f>+'APU CAP 6'!H1082</f>
        <v>388363.625</v>
      </c>
      <c r="F524" s="16">
        <f>+D524*E524</f>
        <v>0</v>
      </c>
      <c r="G524" s="8">
        <f t="shared" si="37"/>
        <v>0</v>
      </c>
    </row>
    <row r="525" spans="1:7" ht="25.5" hidden="1" x14ac:dyDescent="0.25">
      <c r="A525" s="17" t="s">
        <v>739</v>
      </c>
      <c r="B525" s="25" t="s">
        <v>740</v>
      </c>
      <c r="C525" s="14" t="s">
        <v>37</v>
      </c>
      <c r="D525" s="14"/>
      <c r="E525" s="15"/>
      <c r="F525" s="16">
        <f>+D525*E525</f>
        <v>0</v>
      </c>
      <c r="G525" s="8">
        <f t="shared" si="37"/>
        <v>0</v>
      </c>
    </row>
    <row r="526" spans="1:7" hidden="1" x14ac:dyDescent="0.25">
      <c r="A526" s="12" t="s">
        <v>741</v>
      </c>
      <c r="B526" s="13" t="s">
        <v>742</v>
      </c>
      <c r="C526" s="132"/>
      <c r="D526" s="14"/>
      <c r="E526" s="15"/>
      <c r="F526" s="16"/>
      <c r="G526" s="8">
        <f t="shared" si="37"/>
        <v>0</v>
      </c>
    </row>
    <row r="527" spans="1:7" ht="25.5" hidden="1" x14ac:dyDescent="0.25">
      <c r="A527" s="17" t="s">
        <v>745</v>
      </c>
      <c r="B527" s="25" t="s">
        <v>5872</v>
      </c>
      <c r="C527" s="14" t="s">
        <v>37</v>
      </c>
      <c r="D527" s="14"/>
      <c r="E527" s="15">
        <f>+'APU CAP 6'!H1460</f>
        <v>652620</v>
      </c>
      <c r="F527" s="16">
        <f>+D527*E527</f>
        <v>0</v>
      </c>
      <c r="G527" s="8">
        <f t="shared" si="37"/>
        <v>0</v>
      </c>
    </row>
    <row r="528" spans="1:7" ht="25.5" hidden="1" x14ac:dyDescent="0.25">
      <c r="A528" s="17" t="s">
        <v>746</v>
      </c>
      <c r="B528" s="25" t="s">
        <v>5870</v>
      </c>
      <c r="C528" s="14" t="s">
        <v>37</v>
      </c>
      <c r="D528" s="14"/>
      <c r="E528" s="15">
        <f>+'APU CAP 6'!P1460</f>
        <v>2197467</v>
      </c>
      <c r="F528" s="16">
        <f>+D528*E528</f>
        <v>0</v>
      </c>
      <c r="G528" s="8">
        <f t="shared" si="37"/>
        <v>0</v>
      </c>
    </row>
    <row r="529" spans="1:7" hidden="1" x14ac:dyDescent="0.25">
      <c r="A529" s="17" t="s">
        <v>747</v>
      </c>
      <c r="B529" s="18" t="s">
        <v>5871</v>
      </c>
      <c r="C529" s="26" t="s">
        <v>683</v>
      </c>
      <c r="D529" s="14"/>
      <c r="E529" s="15">
        <f>+'APU CAP 6'!H1514</f>
        <v>208373</v>
      </c>
      <c r="F529" s="16">
        <f>+D529*E529</f>
        <v>0</v>
      </c>
      <c r="G529" s="8">
        <f t="shared" si="37"/>
        <v>0</v>
      </c>
    </row>
    <row r="530" spans="1:7" hidden="1" x14ac:dyDescent="0.25">
      <c r="A530" s="12" t="s">
        <v>748</v>
      </c>
      <c r="B530" s="13" t="s">
        <v>749</v>
      </c>
      <c r="C530" s="132"/>
      <c r="D530" s="14"/>
      <c r="E530" s="15"/>
      <c r="F530" s="16"/>
      <c r="G530" s="8">
        <f t="shared" si="37"/>
        <v>0</v>
      </c>
    </row>
    <row r="531" spans="1:7" hidden="1" x14ac:dyDescent="0.25">
      <c r="A531" s="17" t="s">
        <v>750</v>
      </c>
      <c r="B531" s="18" t="s">
        <v>751</v>
      </c>
      <c r="C531" s="14" t="s">
        <v>591</v>
      </c>
      <c r="D531" s="14"/>
      <c r="E531" s="15"/>
      <c r="F531" s="16">
        <f>+D531*E531</f>
        <v>0</v>
      </c>
      <c r="G531" s="8">
        <f t="shared" si="37"/>
        <v>0</v>
      </c>
    </row>
    <row r="532" spans="1:7" hidden="1" x14ac:dyDescent="0.25">
      <c r="A532" s="17" t="s">
        <v>752</v>
      </c>
      <c r="B532" s="18" t="s">
        <v>757</v>
      </c>
      <c r="C532" s="26" t="s">
        <v>683</v>
      </c>
      <c r="D532" s="14"/>
      <c r="E532" s="15"/>
      <c r="F532" s="16">
        <f>+D532*E532</f>
        <v>0</v>
      </c>
      <c r="G532" s="8">
        <f t="shared" si="37"/>
        <v>0</v>
      </c>
    </row>
    <row r="533" spans="1:7" hidden="1" x14ac:dyDescent="0.25">
      <c r="A533" s="12" t="s">
        <v>753</v>
      </c>
      <c r="B533" s="13" t="s">
        <v>754</v>
      </c>
      <c r="C533" s="14"/>
      <c r="D533" s="14"/>
      <c r="E533" s="15"/>
      <c r="F533" s="16"/>
      <c r="G533" s="8">
        <f t="shared" si="37"/>
        <v>0</v>
      </c>
    </row>
    <row r="534" spans="1:7" hidden="1" x14ac:dyDescent="0.25">
      <c r="A534" s="17" t="s">
        <v>755</v>
      </c>
      <c r="B534" s="18" t="s">
        <v>756</v>
      </c>
      <c r="C534" s="26" t="s">
        <v>683</v>
      </c>
      <c r="D534" s="14"/>
      <c r="E534" s="15"/>
      <c r="F534" s="16">
        <f>+D534*E534</f>
        <v>0</v>
      </c>
      <c r="G534" s="8">
        <f t="shared" si="37"/>
        <v>0</v>
      </c>
    </row>
    <row r="535" spans="1:7" hidden="1" x14ac:dyDescent="0.25">
      <c r="A535" s="17" t="s">
        <v>758</v>
      </c>
      <c r="B535" s="18" t="s">
        <v>759</v>
      </c>
      <c r="C535" s="26" t="s">
        <v>683</v>
      </c>
      <c r="D535" s="14"/>
      <c r="E535" s="15"/>
      <c r="F535" s="16">
        <f>+D535*E535</f>
        <v>0</v>
      </c>
      <c r="G535" s="8">
        <f t="shared" si="37"/>
        <v>0</v>
      </c>
    </row>
    <row r="536" spans="1:7" hidden="1" x14ac:dyDescent="0.25">
      <c r="A536" s="12" t="s">
        <v>760</v>
      </c>
      <c r="B536" s="13" t="s">
        <v>5874</v>
      </c>
      <c r="C536" s="14"/>
      <c r="D536" s="14"/>
      <c r="E536" s="15"/>
      <c r="F536" s="16"/>
      <c r="G536" s="8">
        <f t="shared" si="37"/>
        <v>0</v>
      </c>
    </row>
    <row r="537" spans="1:7" hidden="1" x14ac:dyDescent="0.25">
      <c r="A537" s="12" t="s">
        <v>761</v>
      </c>
      <c r="B537" s="13" t="s">
        <v>763</v>
      </c>
      <c r="C537" s="132"/>
      <c r="D537" s="14"/>
      <c r="E537" s="15"/>
      <c r="F537" s="16"/>
      <c r="G537" s="8">
        <f t="shared" si="37"/>
        <v>0</v>
      </c>
    </row>
    <row r="538" spans="1:7" hidden="1" x14ac:dyDescent="0.25">
      <c r="A538" s="17" t="s">
        <v>764</v>
      </c>
      <c r="B538" s="18" t="s">
        <v>5875</v>
      </c>
      <c r="C538" s="14" t="s">
        <v>14</v>
      </c>
      <c r="D538" s="14"/>
      <c r="E538" s="15"/>
      <c r="F538" s="16">
        <f>+D538*E538</f>
        <v>0</v>
      </c>
      <c r="G538" s="8">
        <f t="shared" si="37"/>
        <v>0</v>
      </c>
    </row>
    <row r="539" spans="1:7" hidden="1" x14ac:dyDescent="0.25">
      <c r="A539" s="17" t="s">
        <v>765</v>
      </c>
      <c r="B539" s="18" t="s">
        <v>766</v>
      </c>
      <c r="C539" s="14" t="s">
        <v>14</v>
      </c>
      <c r="D539" s="14"/>
      <c r="E539" s="15"/>
      <c r="F539" s="16">
        <f>+D539*E539</f>
        <v>0</v>
      </c>
      <c r="G539" s="8">
        <f t="shared" si="37"/>
        <v>0</v>
      </c>
    </row>
    <row r="540" spans="1:7" hidden="1" x14ac:dyDescent="0.25">
      <c r="A540" s="17" t="s">
        <v>767</v>
      </c>
      <c r="B540" s="18" t="s">
        <v>5876</v>
      </c>
      <c r="C540" s="14" t="s">
        <v>14</v>
      </c>
      <c r="D540" s="14"/>
      <c r="E540" s="15"/>
      <c r="F540" s="16">
        <f>+D540*E540</f>
        <v>0</v>
      </c>
      <c r="G540" s="8">
        <f t="shared" si="37"/>
        <v>0</v>
      </c>
    </row>
    <row r="541" spans="1:7" hidden="1" x14ac:dyDescent="0.25">
      <c r="A541" s="12" t="s">
        <v>762</v>
      </c>
      <c r="B541" s="13" t="s">
        <v>771</v>
      </c>
      <c r="C541" s="14"/>
      <c r="D541" s="14"/>
      <c r="E541" s="15"/>
      <c r="F541" s="16"/>
      <c r="G541" s="8">
        <f t="shared" si="37"/>
        <v>0</v>
      </c>
    </row>
    <row r="542" spans="1:7" hidden="1" x14ac:dyDescent="0.25">
      <c r="A542" s="17" t="s">
        <v>768</v>
      </c>
      <c r="B542" s="18" t="s">
        <v>5878</v>
      </c>
      <c r="C542" s="14" t="s">
        <v>14</v>
      </c>
      <c r="D542" s="14"/>
      <c r="E542" s="15"/>
      <c r="F542" s="16">
        <f>+D542*E542</f>
        <v>0</v>
      </c>
      <c r="G542" s="8">
        <f t="shared" si="37"/>
        <v>0</v>
      </c>
    </row>
    <row r="543" spans="1:7" hidden="1" x14ac:dyDescent="0.25">
      <c r="A543" s="17" t="s">
        <v>769</v>
      </c>
      <c r="B543" s="18" t="s">
        <v>770</v>
      </c>
      <c r="C543" s="14" t="s">
        <v>14</v>
      </c>
      <c r="D543" s="14"/>
      <c r="E543" s="15"/>
      <c r="F543" s="16">
        <f>+D543*E543</f>
        <v>0</v>
      </c>
      <c r="G543" s="8">
        <f t="shared" si="37"/>
        <v>0</v>
      </c>
    </row>
    <row r="544" spans="1:7" ht="25.5" hidden="1" x14ac:dyDescent="0.25">
      <c r="A544" s="12" t="s">
        <v>772</v>
      </c>
      <c r="B544" s="25" t="s">
        <v>5877</v>
      </c>
      <c r="C544" s="26" t="s">
        <v>683</v>
      </c>
      <c r="D544" s="14"/>
      <c r="E544" s="15"/>
      <c r="F544" s="16">
        <f>+D544*E544</f>
        <v>0</v>
      </c>
      <c r="G544" s="8">
        <f t="shared" si="37"/>
        <v>0</v>
      </c>
    </row>
    <row r="545" spans="1:7" hidden="1" x14ac:dyDescent="0.25">
      <c r="A545" s="2454" t="s">
        <v>843</v>
      </c>
      <c r="B545" s="2455"/>
      <c r="C545" s="2455"/>
      <c r="D545" s="2455"/>
      <c r="E545" s="2455"/>
      <c r="F545" s="16"/>
      <c r="G545" s="8">
        <f t="shared" si="37"/>
        <v>0</v>
      </c>
    </row>
    <row r="546" spans="1:7" x14ac:dyDescent="0.25">
      <c r="A546" s="458">
        <v>7</v>
      </c>
      <c r="B546" s="459" t="s">
        <v>773</v>
      </c>
      <c r="C546" s="63"/>
      <c r="D546" s="63"/>
      <c r="E546" s="460"/>
      <c r="F546" s="461"/>
      <c r="G546" s="8">
        <v>1</v>
      </c>
    </row>
    <row r="547" spans="1:7" hidden="1" x14ac:dyDescent="0.25">
      <c r="A547" s="12" t="s">
        <v>774</v>
      </c>
      <c r="B547" s="13" t="s">
        <v>788</v>
      </c>
      <c r="C547" s="14"/>
      <c r="D547" s="14"/>
      <c r="E547" s="15"/>
      <c r="F547" s="16"/>
      <c r="G547" s="8">
        <f t="shared" si="37"/>
        <v>0</v>
      </c>
    </row>
    <row r="548" spans="1:7" hidden="1" x14ac:dyDescent="0.25">
      <c r="A548" s="17" t="s">
        <v>778</v>
      </c>
      <c r="B548" s="18" t="s">
        <v>775</v>
      </c>
      <c r="C548" s="26" t="s">
        <v>701</v>
      </c>
      <c r="D548" s="14"/>
      <c r="E548" s="15">
        <f>+'APU CAP 7'!P51</f>
        <v>513977</v>
      </c>
      <c r="F548" s="16">
        <f>+D548*E548</f>
        <v>0</v>
      </c>
      <c r="G548" s="8">
        <f t="shared" si="37"/>
        <v>0</v>
      </c>
    </row>
    <row r="549" spans="1:7" hidden="1" x14ac:dyDescent="0.25">
      <c r="A549" s="17" t="s">
        <v>779</v>
      </c>
      <c r="B549" s="18" t="s">
        <v>776</v>
      </c>
      <c r="C549" s="26" t="s">
        <v>701</v>
      </c>
      <c r="D549" s="14"/>
      <c r="E549" s="15">
        <f>+'APU CAP 7'!P105</f>
        <v>543457</v>
      </c>
      <c r="F549" s="16">
        <f>+D549*E549</f>
        <v>0</v>
      </c>
      <c r="G549" s="8">
        <f t="shared" si="37"/>
        <v>0</v>
      </c>
    </row>
    <row r="550" spans="1:7" hidden="1" x14ac:dyDescent="0.25">
      <c r="A550" s="17" t="s">
        <v>780</v>
      </c>
      <c r="B550" s="18" t="s">
        <v>777</v>
      </c>
      <c r="C550" s="26" t="s">
        <v>701</v>
      </c>
      <c r="D550" s="14"/>
      <c r="E550" s="15">
        <f>+'APU CAP 7'!P159</f>
        <v>562778</v>
      </c>
      <c r="F550" s="16">
        <f>+D550*E550</f>
        <v>0</v>
      </c>
      <c r="G550" s="8">
        <f t="shared" si="37"/>
        <v>0</v>
      </c>
    </row>
    <row r="551" spans="1:7" hidden="1" x14ac:dyDescent="0.25">
      <c r="A551" s="12" t="s">
        <v>781</v>
      </c>
      <c r="B551" s="13" t="s">
        <v>789</v>
      </c>
      <c r="C551" s="14"/>
      <c r="D551" s="14"/>
      <c r="E551" s="15"/>
      <c r="F551" s="16"/>
      <c r="G551" s="8">
        <f t="shared" si="37"/>
        <v>0</v>
      </c>
    </row>
    <row r="552" spans="1:7" hidden="1" x14ac:dyDescent="0.25">
      <c r="A552" s="17" t="s">
        <v>782</v>
      </c>
      <c r="B552" s="18" t="s">
        <v>787</v>
      </c>
      <c r="C552" s="26" t="s">
        <v>701</v>
      </c>
      <c r="D552" s="14"/>
      <c r="E552" s="15">
        <f>+'APU CAP 7'!P321</f>
        <v>435599</v>
      </c>
      <c r="F552" s="16">
        <f>+D552*E552</f>
        <v>0</v>
      </c>
      <c r="G552" s="8">
        <f t="shared" si="37"/>
        <v>0</v>
      </c>
    </row>
    <row r="553" spans="1:7" x14ac:dyDescent="0.25">
      <c r="A553" s="17" t="s">
        <v>784</v>
      </c>
      <c r="B553" s="18" t="s">
        <v>783</v>
      </c>
      <c r="C553" s="26" t="s">
        <v>701</v>
      </c>
      <c r="D553" s="14">
        <v>96</v>
      </c>
      <c r="E553" s="15">
        <f>+'APU CAP 7'!P213</f>
        <v>448853</v>
      </c>
      <c r="F553" s="16">
        <f>+D553*E553</f>
        <v>43089888</v>
      </c>
      <c r="G553" s="8">
        <f t="shared" si="37"/>
        <v>1</v>
      </c>
    </row>
    <row r="554" spans="1:7" hidden="1" x14ac:dyDescent="0.25">
      <c r="A554" s="17" t="s">
        <v>785</v>
      </c>
      <c r="B554" s="18" t="s">
        <v>786</v>
      </c>
      <c r="C554" s="26" t="s">
        <v>701</v>
      </c>
      <c r="D554" s="14"/>
      <c r="E554" s="15">
        <f>+'APU CAP 7'!P267</f>
        <v>458210</v>
      </c>
      <c r="F554" s="16">
        <f>+D554*E554</f>
        <v>0</v>
      </c>
      <c r="G554" s="8">
        <f t="shared" si="37"/>
        <v>0</v>
      </c>
    </row>
    <row r="555" spans="1:7" hidden="1" x14ac:dyDescent="0.25">
      <c r="A555" s="17" t="s">
        <v>797</v>
      </c>
      <c r="B555" s="18" t="s">
        <v>798</v>
      </c>
      <c r="C555" s="26" t="s">
        <v>683</v>
      </c>
      <c r="D555" s="14"/>
      <c r="E555" s="15"/>
      <c r="F555" s="16">
        <f>+D555*E555</f>
        <v>0</v>
      </c>
      <c r="G555" s="8">
        <f t="shared" si="37"/>
        <v>0</v>
      </c>
    </row>
    <row r="556" spans="1:7" hidden="1" x14ac:dyDescent="0.25">
      <c r="A556" s="12" t="s">
        <v>790</v>
      </c>
      <c r="B556" s="13" t="s">
        <v>791</v>
      </c>
      <c r="C556" s="14"/>
      <c r="D556" s="14"/>
      <c r="E556" s="15"/>
      <c r="F556" s="16"/>
      <c r="G556" s="8">
        <f t="shared" si="37"/>
        <v>0</v>
      </c>
    </row>
    <row r="557" spans="1:7" hidden="1" x14ac:dyDescent="0.25">
      <c r="A557" s="17" t="s">
        <v>792</v>
      </c>
      <c r="B557" s="18" t="s">
        <v>795</v>
      </c>
      <c r="C557" s="26" t="s">
        <v>683</v>
      </c>
      <c r="D557" s="14"/>
      <c r="E557" s="15">
        <f>+'APU CAP 7'!H429</f>
        <v>44478</v>
      </c>
      <c r="F557" s="16">
        <f>+D557*E557</f>
        <v>0</v>
      </c>
      <c r="G557" s="8">
        <f t="shared" si="37"/>
        <v>0</v>
      </c>
    </row>
    <row r="558" spans="1:7" hidden="1" x14ac:dyDescent="0.25">
      <c r="A558" s="17" t="s">
        <v>793</v>
      </c>
      <c r="B558" s="18" t="s">
        <v>6260</v>
      </c>
      <c r="C558" s="26" t="s">
        <v>683</v>
      </c>
      <c r="D558" s="14"/>
      <c r="E558" s="15">
        <f>+'APU CAP 7'!H483</f>
        <v>59916</v>
      </c>
      <c r="F558" s="16">
        <f>+D558*E558</f>
        <v>0</v>
      </c>
      <c r="G558" s="8">
        <f t="shared" si="37"/>
        <v>0</v>
      </c>
    </row>
    <row r="559" spans="1:7" hidden="1" x14ac:dyDescent="0.25">
      <c r="A559" s="17" t="s">
        <v>794</v>
      </c>
      <c r="B559" s="18" t="s">
        <v>796</v>
      </c>
      <c r="C559" s="26" t="s">
        <v>683</v>
      </c>
      <c r="D559" s="14"/>
      <c r="E559" s="15">
        <f>+'APU CAP 7'!H537</f>
        <v>64115</v>
      </c>
      <c r="F559" s="16">
        <f>+D559*E559</f>
        <v>0</v>
      </c>
      <c r="G559" s="8">
        <f t="shared" si="37"/>
        <v>0</v>
      </c>
    </row>
    <row r="560" spans="1:7" hidden="1" x14ac:dyDescent="0.25">
      <c r="A560" s="17" t="s">
        <v>799</v>
      </c>
      <c r="B560" s="18" t="s">
        <v>800</v>
      </c>
      <c r="C560" s="26" t="s">
        <v>683</v>
      </c>
      <c r="D560" s="14"/>
      <c r="E560" s="15">
        <f>+'APU CAP 7'!H375</f>
        <v>62525</v>
      </c>
      <c r="F560" s="16">
        <f>+D560*E560</f>
        <v>0</v>
      </c>
      <c r="G560" s="8">
        <f t="shared" si="37"/>
        <v>0</v>
      </c>
    </row>
    <row r="561" spans="1:7" hidden="1" x14ac:dyDescent="0.25">
      <c r="A561" s="12" t="s">
        <v>801</v>
      </c>
      <c r="B561" s="13" t="s">
        <v>802</v>
      </c>
      <c r="C561" s="14"/>
      <c r="D561" s="14"/>
      <c r="E561" s="15"/>
      <c r="F561" s="16"/>
      <c r="G561" s="8">
        <f t="shared" si="37"/>
        <v>0</v>
      </c>
    </row>
    <row r="562" spans="1:7" hidden="1" x14ac:dyDescent="0.25">
      <c r="A562" s="17" t="s">
        <v>807</v>
      </c>
      <c r="B562" s="18" t="s">
        <v>803</v>
      </c>
      <c r="C562" s="14" t="s">
        <v>14</v>
      </c>
      <c r="D562" s="14"/>
      <c r="E562" s="15"/>
      <c r="F562" s="16">
        <f>+D562*E562</f>
        <v>0</v>
      </c>
      <c r="G562" s="8">
        <f t="shared" si="37"/>
        <v>0</v>
      </c>
    </row>
    <row r="563" spans="1:7" hidden="1" x14ac:dyDescent="0.25">
      <c r="A563" s="17" t="s">
        <v>808</v>
      </c>
      <c r="B563" s="18" t="s">
        <v>804</v>
      </c>
      <c r="C563" s="14" t="s">
        <v>14</v>
      </c>
      <c r="D563" s="14"/>
      <c r="E563" s="15">
        <f>+'APU CAP 7'!P591</f>
        <v>36513</v>
      </c>
      <c r="F563" s="16">
        <f>+D563*E563</f>
        <v>0</v>
      </c>
      <c r="G563" s="8">
        <f t="shared" si="37"/>
        <v>0</v>
      </c>
    </row>
    <row r="564" spans="1:7" hidden="1" x14ac:dyDescent="0.25">
      <c r="A564" s="17" t="s">
        <v>809</v>
      </c>
      <c r="B564" s="18" t="s">
        <v>805</v>
      </c>
      <c r="C564" s="14" t="s">
        <v>14</v>
      </c>
      <c r="D564" s="14"/>
      <c r="E564" s="15">
        <f>+'APU CAP 7'!P645</f>
        <v>46626</v>
      </c>
      <c r="F564" s="16">
        <f>+D564*E564</f>
        <v>0</v>
      </c>
      <c r="G564" s="8">
        <f t="shared" si="37"/>
        <v>0</v>
      </c>
    </row>
    <row r="565" spans="1:7" hidden="1" x14ac:dyDescent="0.25">
      <c r="A565" s="17" t="s">
        <v>810</v>
      </c>
      <c r="B565" s="18" t="s">
        <v>806</v>
      </c>
      <c r="C565" s="14" t="s">
        <v>14</v>
      </c>
      <c r="D565" s="14"/>
      <c r="E565" s="15"/>
      <c r="F565" s="16">
        <f>+D565*E565</f>
        <v>0</v>
      </c>
      <c r="G565" s="8">
        <f t="shared" si="37"/>
        <v>0</v>
      </c>
    </row>
    <row r="566" spans="1:7" hidden="1" x14ac:dyDescent="0.25">
      <c r="A566" s="12" t="s">
        <v>845</v>
      </c>
      <c r="B566" s="13" t="s">
        <v>846</v>
      </c>
      <c r="C566" s="14"/>
      <c r="D566" s="14"/>
      <c r="E566" s="15"/>
      <c r="F566" s="16"/>
      <c r="G566" s="8">
        <f t="shared" si="37"/>
        <v>0</v>
      </c>
    </row>
    <row r="567" spans="1:7" hidden="1" x14ac:dyDescent="0.25">
      <c r="A567" s="12" t="s">
        <v>847</v>
      </c>
      <c r="B567" s="13" t="s">
        <v>848</v>
      </c>
      <c r="C567" s="14"/>
      <c r="D567" s="14"/>
      <c r="E567" s="15"/>
      <c r="F567" s="16"/>
      <c r="G567" s="8">
        <f t="shared" si="37"/>
        <v>0</v>
      </c>
    </row>
    <row r="568" spans="1:7" ht="25.5" hidden="1" x14ac:dyDescent="0.25">
      <c r="A568" s="17" t="s">
        <v>849</v>
      </c>
      <c r="B568" s="25" t="s">
        <v>5879</v>
      </c>
      <c r="C568" s="14" t="s">
        <v>14</v>
      </c>
      <c r="D568" s="14"/>
      <c r="E568" s="15"/>
      <c r="F568" s="16">
        <f>+D568*E568</f>
        <v>0</v>
      </c>
      <c r="G568" s="8">
        <f t="shared" si="37"/>
        <v>0</v>
      </c>
    </row>
    <row r="569" spans="1:7" ht="38.25" hidden="1" x14ac:dyDescent="0.25">
      <c r="A569" s="17" t="s">
        <v>850</v>
      </c>
      <c r="B569" s="25" t="s">
        <v>5880</v>
      </c>
      <c r="C569" s="14" t="s">
        <v>14</v>
      </c>
      <c r="D569" s="14"/>
      <c r="E569" s="15"/>
      <c r="F569" s="16">
        <f>+D569*E569</f>
        <v>0</v>
      </c>
      <c r="G569" s="8">
        <f t="shared" si="37"/>
        <v>0</v>
      </c>
    </row>
    <row r="570" spans="1:7" hidden="1" x14ac:dyDescent="0.25">
      <c r="A570" s="17" t="s">
        <v>851</v>
      </c>
      <c r="B570" s="25" t="s">
        <v>853</v>
      </c>
      <c r="C570" s="14" t="s">
        <v>37</v>
      </c>
      <c r="D570" s="14"/>
      <c r="E570" s="15"/>
      <c r="F570" s="16">
        <f>+D570*E570</f>
        <v>0</v>
      </c>
      <c r="G570" s="8">
        <f t="shared" si="37"/>
        <v>0</v>
      </c>
    </row>
    <row r="571" spans="1:7" hidden="1" x14ac:dyDescent="0.25">
      <c r="A571" s="17" t="s">
        <v>852</v>
      </c>
      <c r="B571" s="25" t="s">
        <v>854</v>
      </c>
      <c r="C571" s="14" t="s">
        <v>37</v>
      </c>
      <c r="D571" s="14"/>
      <c r="E571" s="15"/>
      <c r="F571" s="16">
        <f>+D571*E571</f>
        <v>0</v>
      </c>
      <c r="G571" s="8">
        <f t="shared" si="37"/>
        <v>0</v>
      </c>
    </row>
    <row r="572" spans="1:7" hidden="1" x14ac:dyDescent="0.25">
      <c r="A572" s="12" t="s">
        <v>855</v>
      </c>
      <c r="B572" s="13" t="s">
        <v>856</v>
      </c>
      <c r="C572" s="14"/>
      <c r="D572" s="14"/>
      <c r="E572" s="15"/>
      <c r="F572" s="16"/>
      <c r="G572" s="8">
        <f t="shared" si="37"/>
        <v>0</v>
      </c>
    </row>
    <row r="573" spans="1:7" hidden="1" x14ac:dyDescent="0.25">
      <c r="A573" s="17" t="s">
        <v>857</v>
      </c>
      <c r="B573" s="18" t="s">
        <v>858</v>
      </c>
      <c r="C573" s="26" t="s">
        <v>683</v>
      </c>
      <c r="D573" s="14"/>
      <c r="E573" s="15"/>
      <c r="F573" s="16">
        <f>+D573*E573</f>
        <v>0</v>
      </c>
      <c r="G573" s="8">
        <f t="shared" si="37"/>
        <v>0</v>
      </c>
    </row>
    <row r="574" spans="1:7" hidden="1" x14ac:dyDescent="0.25">
      <c r="A574" s="17" t="s">
        <v>859</v>
      </c>
      <c r="B574" s="18" t="s">
        <v>860</v>
      </c>
      <c r="C574" s="14" t="s">
        <v>37</v>
      </c>
      <c r="D574" s="14"/>
      <c r="E574" s="15"/>
      <c r="F574" s="16">
        <f>+D574*E574</f>
        <v>0</v>
      </c>
      <c r="G574" s="8">
        <f t="shared" si="37"/>
        <v>0</v>
      </c>
    </row>
    <row r="575" spans="1:7" hidden="1" x14ac:dyDescent="0.25">
      <c r="A575" s="17" t="s">
        <v>861</v>
      </c>
      <c r="B575" s="18" t="s">
        <v>862</v>
      </c>
      <c r="C575" s="14" t="s">
        <v>37</v>
      </c>
      <c r="D575" s="14"/>
      <c r="E575" s="15"/>
      <c r="F575" s="16">
        <f>+D575*E575</f>
        <v>0</v>
      </c>
      <c r="G575" s="8">
        <f t="shared" si="37"/>
        <v>0</v>
      </c>
    </row>
    <row r="576" spans="1:7" x14ac:dyDescent="0.25">
      <c r="A576" s="2454" t="s">
        <v>863</v>
      </c>
      <c r="B576" s="2455"/>
      <c r="C576" s="2455"/>
      <c r="D576" s="2455"/>
      <c r="E576" s="2455"/>
      <c r="F576" s="19">
        <f>SUM(F548:F575)</f>
        <v>43089888</v>
      </c>
      <c r="G576" s="8">
        <f t="shared" si="37"/>
        <v>1</v>
      </c>
    </row>
    <row r="577" spans="1:7" x14ac:dyDescent="0.25">
      <c r="A577" s="458">
        <v>8</v>
      </c>
      <c r="B577" s="459" t="s">
        <v>6321</v>
      </c>
      <c r="C577" s="63"/>
      <c r="D577" s="63"/>
      <c r="E577" s="460"/>
      <c r="F577" s="461"/>
      <c r="G577" s="8">
        <v>1</v>
      </c>
    </row>
    <row r="578" spans="1:7" hidden="1" x14ac:dyDescent="0.25">
      <c r="A578" s="17" t="s">
        <v>814</v>
      </c>
      <c r="B578" s="13" t="s">
        <v>815</v>
      </c>
      <c r="C578" s="14"/>
      <c r="D578" s="14"/>
      <c r="E578" s="15"/>
      <c r="F578" s="16"/>
      <c r="G578" s="8">
        <f t="shared" si="37"/>
        <v>0</v>
      </c>
    </row>
    <row r="579" spans="1:7" hidden="1" x14ac:dyDescent="0.25">
      <c r="A579" s="17" t="s">
        <v>816</v>
      </c>
      <c r="B579" s="18" t="s">
        <v>819</v>
      </c>
      <c r="C579" s="26" t="s">
        <v>701</v>
      </c>
      <c r="D579" s="14"/>
      <c r="E579" s="15">
        <f>+'APU CAP 6'!H56</f>
        <v>843393</v>
      </c>
      <c r="F579" s="16">
        <f>+D579*E579</f>
        <v>0</v>
      </c>
      <c r="G579" s="8">
        <f t="shared" si="37"/>
        <v>0</v>
      </c>
    </row>
    <row r="580" spans="1:7" hidden="1" x14ac:dyDescent="0.25">
      <c r="A580" s="17" t="s">
        <v>817</v>
      </c>
      <c r="B580" s="18" t="s">
        <v>821</v>
      </c>
      <c r="C580" s="26" t="s">
        <v>701</v>
      </c>
      <c r="D580" s="14"/>
      <c r="E580" s="15">
        <f>+'APU CAP 6'!H110</f>
        <v>828993</v>
      </c>
      <c r="F580" s="16">
        <f>+D580*E580</f>
        <v>0</v>
      </c>
      <c r="G580" s="8">
        <f t="shared" si="37"/>
        <v>0</v>
      </c>
    </row>
    <row r="581" spans="1:7" hidden="1" x14ac:dyDescent="0.25">
      <c r="A581" s="17" t="s">
        <v>818</v>
      </c>
      <c r="B581" s="18" t="s">
        <v>820</v>
      </c>
      <c r="C581" s="26" t="s">
        <v>701</v>
      </c>
      <c r="D581" s="14"/>
      <c r="E581" s="15">
        <f>+'APU CAP 6'!H164</f>
        <v>933393</v>
      </c>
      <c r="F581" s="16">
        <f>+D581*E581</f>
        <v>0</v>
      </c>
      <c r="G581" s="8">
        <f t="shared" si="37"/>
        <v>0</v>
      </c>
    </row>
    <row r="582" spans="1:7" hidden="1" x14ac:dyDescent="0.25">
      <c r="A582" s="12" t="s">
        <v>822</v>
      </c>
      <c r="B582" s="13" t="s">
        <v>823</v>
      </c>
      <c r="C582" s="14"/>
      <c r="D582" s="14"/>
      <c r="E582" s="15"/>
      <c r="F582" s="16"/>
      <c r="G582" s="8">
        <f t="shared" si="37"/>
        <v>0</v>
      </c>
    </row>
    <row r="583" spans="1:7" hidden="1" x14ac:dyDescent="0.25">
      <c r="A583" s="17" t="s">
        <v>829</v>
      </c>
      <c r="B583" s="18" t="s">
        <v>824</v>
      </c>
      <c r="C583" s="14" t="s">
        <v>37</v>
      </c>
      <c r="D583" s="14"/>
      <c r="E583" s="15">
        <f>+'APU CAP 8'!H47</f>
        <v>42295</v>
      </c>
      <c r="F583" s="16">
        <f t="shared" ref="F583:F588" si="38">+D583*E583</f>
        <v>0</v>
      </c>
      <c r="G583" s="8">
        <f t="shared" si="37"/>
        <v>0</v>
      </c>
    </row>
    <row r="584" spans="1:7" hidden="1" x14ac:dyDescent="0.25">
      <c r="A584" s="17" t="s">
        <v>830</v>
      </c>
      <c r="B584" s="18" t="s">
        <v>825</v>
      </c>
      <c r="C584" s="14" t="s">
        <v>14</v>
      </c>
      <c r="D584" s="14"/>
      <c r="E584" s="15"/>
      <c r="F584" s="16">
        <f t="shared" si="38"/>
        <v>0</v>
      </c>
      <c r="G584" s="8">
        <f t="shared" si="37"/>
        <v>0</v>
      </c>
    </row>
    <row r="585" spans="1:7" hidden="1" x14ac:dyDescent="0.25">
      <c r="A585" s="17" t="s">
        <v>831</v>
      </c>
      <c r="B585" s="18" t="s">
        <v>826</v>
      </c>
      <c r="C585" s="14" t="s">
        <v>14</v>
      </c>
      <c r="D585" s="14"/>
      <c r="E585" s="15">
        <f>+'APU CAP 6'!H1298</f>
        <v>216755</v>
      </c>
      <c r="F585" s="16">
        <f t="shared" si="38"/>
        <v>0</v>
      </c>
      <c r="G585" s="8">
        <f t="shared" si="37"/>
        <v>0</v>
      </c>
    </row>
    <row r="586" spans="1:7" ht="25.5" hidden="1" x14ac:dyDescent="0.25">
      <c r="A586" s="17" t="s">
        <v>832</v>
      </c>
      <c r="B586" s="25" t="s">
        <v>827</v>
      </c>
      <c r="C586" s="14" t="s">
        <v>14</v>
      </c>
      <c r="D586" s="14"/>
      <c r="E586" s="15">
        <f>+'APU CAP 6'!H1352</f>
        <v>183033</v>
      </c>
      <c r="F586" s="16">
        <f t="shared" si="38"/>
        <v>0</v>
      </c>
      <c r="G586" s="8">
        <f t="shared" si="37"/>
        <v>0</v>
      </c>
    </row>
    <row r="587" spans="1:7" hidden="1" x14ac:dyDescent="0.25">
      <c r="A587" s="17" t="s">
        <v>833</v>
      </c>
      <c r="B587" s="18" t="s">
        <v>828</v>
      </c>
      <c r="C587" s="26" t="s">
        <v>683</v>
      </c>
      <c r="D587" s="14"/>
      <c r="E587" s="15">
        <f>+'APU CAP 6'!P1298</f>
        <v>339447</v>
      </c>
      <c r="F587" s="16">
        <f t="shared" si="38"/>
        <v>0</v>
      </c>
      <c r="G587" s="8">
        <f t="shared" ref="G587:G606" si="39">+IF(F587&lt;&gt;0,1,0)</f>
        <v>0</v>
      </c>
    </row>
    <row r="588" spans="1:7" hidden="1" x14ac:dyDescent="0.25">
      <c r="A588" s="17" t="s">
        <v>834</v>
      </c>
      <c r="B588" s="592" t="s">
        <v>6295</v>
      </c>
      <c r="C588" s="14" t="s">
        <v>37</v>
      </c>
      <c r="D588" s="14"/>
      <c r="E588" s="15">
        <f>+'APU CAP 8'!H151</f>
        <v>35914</v>
      </c>
      <c r="F588" s="16">
        <f t="shared" si="38"/>
        <v>0</v>
      </c>
      <c r="G588" s="8">
        <f t="shared" si="39"/>
        <v>0</v>
      </c>
    </row>
    <row r="589" spans="1:7" x14ac:dyDescent="0.25">
      <c r="A589" s="12" t="s">
        <v>835</v>
      </c>
      <c r="B589" s="13" t="s">
        <v>6401</v>
      </c>
      <c r="C589" s="14"/>
      <c r="D589" s="14"/>
      <c r="E589" s="15"/>
      <c r="F589" s="16"/>
      <c r="G589" s="8">
        <v>1</v>
      </c>
    </row>
    <row r="590" spans="1:7" hidden="1" x14ac:dyDescent="0.25">
      <c r="A590" s="17" t="s">
        <v>836</v>
      </c>
      <c r="B590" s="18" t="s">
        <v>6403</v>
      </c>
      <c r="C590" s="14" t="s">
        <v>6406</v>
      </c>
      <c r="D590" s="14"/>
      <c r="E590" s="15"/>
      <c r="F590" s="16">
        <f>+D590*E590</f>
        <v>0</v>
      </c>
      <c r="G590" s="8">
        <f t="shared" si="39"/>
        <v>0</v>
      </c>
    </row>
    <row r="591" spans="1:7" hidden="1" x14ac:dyDescent="0.25">
      <c r="A591" s="17" t="s">
        <v>837</v>
      </c>
      <c r="B591" s="18" t="s">
        <v>6402</v>
      </c>
      <c r="C591" s="14" t="s">
        <v>6406</v>
      </c>
      <c r="D591" s="14"/>
      <c r="E591" s="15"/>
      <c r="F591" s="16">
        <f>+D591*E591</f>
        <v>0</v>
      </c>
      <c r="G591" s="8">
        <f t="shared" si="39"/>
        <v>0</v>
      </c>
    </row>
    <row r="592" spans="1:7" x14ac:dyDescent="0.25">
      <c r="A592" s="17" t="s">
        <v>838</v>
      </c>
      <c r="B592" s="18" t="s">
        <v>6404</v>
      </c>
      <c r="C592" s="14" t="s">
        <v>6406</v>
      </c>
      <c r="D592" s="14">
        <f>1865*6</f>
        <v>11190</v>
      </c>
      <c r="E592" s="15">
        <f>+'APU CAP 8'!H688</f>
        <v>3619</v>
      </c>
      <c r="F592" s="16">
        <f>+D592*E592</f>
        <v>40496610</v>
      </c>
      <c r="G592" s="8">
        <f t="shared" si="39"/>
        <v>1</v>
      </c>
    </row>
    <row r="593" spans="1:7" x14ac:dyDescent="0.25">
      <c r="A593" s="17"/>
      <c r="B593" s="18" t="s">
        <v>6405</v>
      </c>
      <c r="C593" s="14" t="s">
        <v>6407</v>
      </c>
      <c r="D593" s="14">
        <f>58*6</f>
        <v>348</v>
      </c>
      <c r="E593" s="15">
        <f>+'APU CAP 8'!H742</f>
        <v>2935</v>
      </c>
      <c r="F593" s="16">
        <f>+D593*E593</f>
        <v>1021380</v>
      </c>
      <c r="G593" s="8">
        <f t="shared" si="39"/>
        <v>1</v>
      </c>
    </row>
    <row r="594" spans="1:7" hidden="1" x14ac:dyDescent="0.25">
      <c r="A594" s="12" t="s">
        <v>6322</v>
      </c>
      <c r="B594" s="13" t="s">
        <v>6329</v>
      </c>
      <c r="C594" s="14"/>
      <c r="D594" s="14"/>
      <c r="E594" s="15"/>
      <c r="F594" s="16"/>
      <c r="G594" s="8">
        <f t="shared" si="39"/>
        <v>0</v>
      </c>
    </row>
    <row r="595" spans="1:7" hidden="1" x14ac:dyDescent="0.25">
      <c r="A595" s="17" t="s">
        <v>6323</v>
      </c>
      <c r="B595" s="18" t="s">
        <v>6330</v>
      </c>
      <c r="C595" s="14" t="s">
        <v>37</v>
      </c>
      <c r="D595" s="14"/>
      <c r="E595" s="15">
        <f>+'APU CAP 8'!H205</f>
        <v>85996</v>
      </c>
      <c r="F595" s="16">
        <f t="shared" ref="F595:F600" si="40">+D595*E595</f>
        <v>0</v>
      </c>
      <c r="G595" s="8">
        <f t="shared" si="39"/>
        <v>0</v>
      </c>
    </row>
    <row r="596" spans="1:7" hidden="1" x14ac:dyDescent="0.25">
      <c r="A596" s="17" t="s">
        <v>6324</v>
      </c>
      <c r="B596" s="18" t="s">
        <v>6331</v>
      </c>
      <c r="C596" s="14" t="s">
        <v>37</v>
      </c>
      <c r="D596" s="14"/>
      <c r="E596" s="15">
        <f>+'APU CAP 8'!H259</f>
        <v>102712</v>
      </c>
      <c r="F596" s="16">
        <f t="shared" si="40"/>
        <v>0</v>
      </c>
      <c r="G596" s="8">
        <f t="shared" si="39"/>
        <v>0</v>
      </c>
    </row>
    <row r="597" spans="1:7" hidden="1" x14ac:dyDescent="0.25">
      <c r="A597" s="17" t="s">
        <v>6325</v>
      </c>
      <c r="B597" s="18" t="s">
        <v>6335</v>
      </c>
      <c r="C597" s="14" t="s">
        <v>37</v>
      </c>
      <c r="D597" s="14"/>
      <c r="E597" s="15"/>
      <c r="F597" s="16"/>
      <c r="G597" s="8">
        <f t="shared" si="39"/>
        <v>0</v>
      </c>
    </row>
    <row r="598" spans="1:7" hidden="1" x14ac:dyDescent="0.25">
      <c r="A598" s="17" t="s">
        <v>6332</v>
      </c>
      <c r="B598" s="18" t="s">
        <v>6336</v>
      </c>
      <c r="C598" s="14" t="s">
        <v>37</v>
      </c>
      <c r="D598" s="14"/>
      <c r="E598" s="15"/>
      <c r="F598" s="16"/>
      <c r="G598" s="8">
        <f t="shared" si="39"/>
        <v>0</v>
      </c>
    </row>
    <row r="599" spans="1:7" hidden="1" x14ac:dyDescent="0.25">
      <c r="A599" s="17" t="s">
        <v>6333</v>
      </c>
      <c r="B599" s="18"/>
      <c r="C599" s="14"/>
      <c r="D599" s="14"/>
      <c r="E599" s="15"/>
      <c r="F599" s="16"/>
      <c r="G599" s="8">
        <f t="shared" si="39"/>
        <v>0</v>
      </c>
    </row>
    <row r="600" spans="1:7" hidden="1" x14ac:dyDescent="0.25">
      <c r="A600" s="17" t="s">
        <v>6334</v>
      </c>
      <c r="B600" s="18"/>
      <c r="C600" s="14" t="s">
        <v>37</v>
      </c>
      <c r="D600" s="14"/>
      <c r="E600" s="15"/>
      <c r="F600" s="16">
        <f t="shared" si="40"/>
        <v>0</v>
      </c>
      <c r="G600" s="8">
        <f t="shared" si="39"/>
        <v>0</v>
      </c>
    </row>
    <row r="601" spans="1:7" ht="15.75" thickBot="1" x14ac:dyDescent="0.3">
      <c r="A601" s="2456" t="s">
        <v>844</v>
      </c>
      <c r="B601" s="2457"/>
      <c r="C601" s="2457"/>
      <c r="D601" s="2457"/>
      <c r="E601" s="2457"/>
      <c r="F601" s="322">
        <f>SUM(F579:F600)</f>
        <v>41517990</v>
      </c>
      <c r="G601" s="8">
        <f t="shared" si="39"/>
        <v>1</v>
      </c>
    </row>
    <row r="602" spans="1:7" ht="15.75" thickBot="1" x14ac:dyDescent="0.3">
      <c r="A602" s="33"/>
      <c r="B602" s="2458" t="s">
        <v>5415</v>
      </c>
      <c r="C602" s="2458"/>
      <c r="D602" s="2458"/>
      <c r="E602" s="2459"/>
      <c r="F602" s="34">
        <f>+F28+F62+F69+F80+F93+F417+F484+F545+F576+F601</f>
        <v>671589010</v>
      </c>
      <c r="G602" s="8">
        <f t="shared" si="39"/>
        <v>1</v>
      </c>
    </row>
    <row r="603" spans="1:7" ht="15.75" hidden="1" thickBot="1" x14ac:dyDescent="0.3">
      <c r="A603" s="35"/>
      <c r="B603" s="36"/>
      <c r="C603" s="35"/>
      <c r="D603" s="328"/>
      <c r="E603" s="38"/>
      <c r="F603" s="38"/>
      <c r="G603" s="8">
        <f t="shared" si="39"/>
        <v>0</v>
      </c>
    </row>
    <row r="604" spans="1:7" ht="16.5" thickBot="1" x14ac:dyDescent="0.3">
      <c r="A604" s="39"/>
      <c r="B604" s="2460" t="s">
        <v>46</v>
      </c>
      <c r="C604" s="2460"/>
      <c r="D604" s="2460"/>
      <c r="E604" s="2461"/>
      <c r="F604" s="40">
        <f>+F602+'Pto Sum LAP'!F2426</f>
        <v>1793314239.3</v>
      </c>
      <c r="G604" s="8">
        <f t="shared" si="39"/>
        <v>1</v>
      </c>
    </row>
    <row r="605" spans="1:7" ht="15.75" hidden="1" thickBot="1" x14ac:dyDescent="0.3">
      <c r="A605" s="35"/>
      <c r="B605" s="36"/>
      <c r="C605" s="35"/>
      <c r="D605" s="328"/>
      <c r="E605" s="38"/>
      <c r="F605" s="38"/>
      <c r="G605" s="8">
        <f t="shared" si="39"/>
        <v>0</v>
      </c>
    </row>
    <row r="606" spans="1:7" ht="15.75" hidden="1" thickBot="1" x14ac:dyDescent="0.3">
      <c r="G606" s="8">
        <f t="shared" si="39"/>
        <v>0</v>
      </c>
    </row>
  </sheetData>
  <autoFilter ref="A7:G606">
    <filterColumn colId="6">
      <filters>
        <filter val="1"/>
      </filters>
    </filterColumn>
  </autoFilter>
  <mergeCells count="17">
    <mergeCell ref="A545:E545"/>
    <mergeCell ref="A576:E576"/>
    <mergeCell ref="A601:E601"/>
    <mergeCell ref="B602:E602"/>
    <mergeCell ref="B604:E604"/>
    <mergeCell ref="A484:E484"/>
    <mergeCell ref="A1:F1"/>
    <mergeCell ref="A2:F2"/>
    <mergeCell ref="A3:F3"/>
    <mergeCell ref="A4:F4"/>
    <mergeCell ref="A5:F5"/>
    <mergeCell ref="A28:E28"/>
    <mergeCell ref="A62:E62"/>
    <mergeCell ref="A69:E69"/>
    <mergeCell ref="A80:E80"/>
    <mergeCell ref="A93:E93"/>
    <mergeCell ref="A417:E417"/>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G2426"/>
  <sheetViews>
    <sheetView workbookViewId="0">
      <selection sqref="A1:F1"/>
    </sheetView>
  </sheetViews>
  <sheetFormatPr baseColWidth="10" defaultRowHeight="15" x14ac:dyDescent="0.25"/>
  <cols>
    <col min="2" max="2" width="57.5703125" customWidth="1"/>
    <col min="6" max="6" width="15.7109375" customWidth="1"/>
  </cols>
  <sheetData>
    <row r="1" spans="1:7" ht="18.75" x14ac:dyDescent="0.25">
      <c r="A1" s="2462" t="s">
        <v>0</v>
      </c>
      <c r="B1" s="2462"/>
      <c r="C1" s="2462"/>
      <c r="D1" s="2462"/>
      <c r="E1" s="2462"/>
      <c r="F1" s="2462"/>
      <c r="G1" s="1"/>
    </row>
    <row r="2" spans="1:7" ht="18.75" x14ac:dyDescent="0.25">
      <c r="A2" s="2463" t="s">
        <v>1</v>
      </c>
      <c r="B2" s="2463"/>
      <c r="C2" s="2463"/>
      <c r="D2" s="2463"/>
      <c r="E2" s="2463"/>
      <c r="F2" s="2463"/>
      <c r="G2" s="1"/>
    </row>
    <row r="3" spans="1:7" x14ac:dyDescent="0.25">
      <c r="A3" s="2"/>
      <c r="B3" s="2"/>
      <c r="C3" s="2"/>
      <c r="D3" s="1"/>
      <c r="E3" s="1"/>
      <c r="F3" s="1"/>
      <c r="G3" s="1"/>
    </row>
    <row r="4" spans="1:7" ht="15.75" x14ac:dyDescent="0.25">
      <c r="A4" s="2278"/>
      <c r="B4" s="2278"/>
      <c r="C4" s="2278"/>
      <c r="D4" s="2278"/>
      <c r="E4" s="2278"/>
      <c r="F4" s="2278"/>
      <c r="G4" s="1"/>
    </row>
    <row r="5" spans="1:7" ht="15.75" x14ac:dyDescent="0.25">
      <c r="A5" s="2278" t="s">
        <v>5398</v>
      </c>
      <c r="B5" s="2278"/>
      <c r="C5" s="2278"/>
      <c r="D5" s="2278"/>
      <c r="E5" s="2278"/>
      <c r="F5" s="2278"/>
    </row>
    <row r="6" spans="1:7" ht="16.5" thickBot="1" x14ac:dyDescent="0.3">
      <c r="A6" s="599"/>
      <c r="B6" s="599"/>
      <c r="C6" s="599"/>
      <c r="D6" s="599"/>
      <c r="E6" s="599"/>
      <c r="F6" s="599"/>
    </row>
    <row r="7" spans="1:7" ht="15.75" thickBot="1" x14ac:dyDescent="0.3">
      <c r="A7" s="4" t="s">
        <v>3</v>
      </c>
      <c r="B7" s="5" t="s">
        <v>4</v>
      </c>
      <c r="C7" s="5" t="s">
        <v>5</v>
      </c>
      <c r="D7" s="5" t="s">
        <v>6</v>
      </c>
      <c r="E7" s="6" t="s">
        <v>7</v>
      </c>
      <c r="F7" s="7" t="s">
        <v>8</v>
      </c>
      <c r="G7" s="8"/>
    </row>
    <row r="8" spans="1:7" x14ac:dyDescent="0.25">
      <c r="A8" s="57">
        <v>3</v>
      </c>
      <c r="B8" s="58" t="s">
        <v>32</v>
      </c>
      <c r="C8" s="9"/>
      <c r="D8" s="9"/>
      <c r="E8" s="10"/>
      <c r="F8" s="11"/>
      <c r="G8" s="8">
        <v>1</v>
      </c>
    </row>
    <row r="9" spans="1:7" hidden="1" x14ac:dyDescent="0.25">
      <c r="A9" s="78" t="s">
        <v>871</v>
      </c>
      <c r="B9" s="79" t="s">
        <v>872</v>
      </c>
      <c r="C9" s="26"/>
      <c r="D9" s="14"/>
      <c r="E9" s="15"/>
      <c r="F9" s="16"/>
    </row>
    <row r="10" spans="1:7" hidden="1" x14ac:dyDescent="0.25">
      <c r="A10" s="65" t="s">
        <v>873</v>
      </c>
      <c r="B10" s="66" t="s">
        <v>1078</v>
      </c>
      <c r="C10" s="67"/>
      <c r="D10" s="14"/>
      <c r="E10" s="15"/>
      <c r="F10" s="16"/>
      <c r="G10">
        <f t="shared" ref="G10:G72" si="0">+IF(F10&lt;&gt;0,1,0)</f>
        <v>0</v>
      </c>
    </row>
    <row r="11" spans="1:7" hidden="1" x14ac:dyDescent="0.25">
      <c r="A11" s="65" t="s">
        <v>1077</v>
      </c>
      <c r="B11" s="66" t="s">
        <v>1079</v>
      </c>
      <c r="C11" s="67"/>
      <c r="D11" s="14"/>
      <c r="E11" s="15"/>
      <c r="F11" s="16"/>
      <c r="G11">
        <f t="shared" si="0"/>
        <v>0</v>
      </c>
    </row>
    <row r="12" spans="1:7" hidden="1" x14ac:dyDescent="0.25">
      <c r="A12" s="71" t="s">
        <v>1082</v>
      </c>
      <c r="B12" s="72" t="s">
        <v>1080</v>
      </c>
      <c r="C12" s="67" t="s">
        <v>14</v>
      </c>
      <c r="D12" s="14"/>
      <c r="E12" s="15"/>
      <c r="F12" s="16">
        <f>+D12*E12</f>
        <v>0</v>
      </c>
      <c r="G12">
        <f t="shared" si="0"/>
        <v>0</v>
      </c>
    </row>
    <row r="13" spans="1:7" hidden="1" x14ac:dyDescent="0.25">
      <c r="A13" s="65" t="s">
        <v>1081</v>
      </c>
      <c r="B13" s="66" t="s">
        <v>1083</v>
      </c>
      <c r="C13" s="67"/>
      <c r="D13" s="14"/>
      <c r="E13" s="15"/>
      <c r="F13" s="16"/>
      <c r="G13">
        <f t="shared" si="0"/>
        <v>0</v>
      </c>
    </row>
    <row r="14" spans="1:7" hidden="1" x14ac:dyDescent="0.25">
      <c r="A14" s="65" t="s">
        <v>1089</v>
      </c>
      <c r="B14" s="72" t="s">
        <v>1084</v>
      </c>
      <c r="C14" s="67" t="s">
        <v>14</v>
      </c>
      <c r="D14" s="14"/>
      <c r="E14" s="15"/>
      <c r="F14" s="16">
        <f>+D14*E14</f>
        <v>0</v>
      </c>
      <c r="G14">
        <f t="shared" si="0"/>
        <v>0</v>
      </c>
    </row>
    <row r="15" spans="1:7" hidden="1" x14ac:dyDescent="0.25">
      <c r="A15" s="65" t="s">
        <v>1088</v>
      </c>
      <c r="B15" s="66" t="s">
        <v>1085</v>
      </c>
      <c r="C15" s="67"/>
      <c r="D15" s="14"/>
      <c r="E15" s="15"/>
      <c r="F15" s="16"/>
      <c r="G15">
        <f t="shared" si="0"/>
        <v>0</v>
      </c>
    </row>
    <row r="16" spans="1:7" hidden="1" x14ac:dyDescent="0.25">
      <c r="A16" s="71" t="s">
        <v>1090</v>
      </c>
      <c r="B16" s="72" t="s">
        <v>1087</v>
      </c>
      <c r="C16" s="67" t="s">
        <v>14</v>
      </c>
      <c r="D16" s="14"/>
      <c r="E16" s="15"/>
      <c r="F16" s="16">
        <f>+D16*E16</f>
        <v>0</v>
      </c>
      <c r="G16">
        <f t="shared" si="0"/>
        <v>0</v>
      </c>
    </row>
    <row r="17" spans="1:7" hidden="1" x14ac:dyDescent="0.25">
      <c r="A17" s="71" t="s">
        <v>1091</v>
      </c>
      <c r="B17" s="72" t="s">
        <v>1086</v>
      </c>
      <c r="C17" s="67" t="s">
        <v>14</v>
      </c>
      <c r="D17" s="14"/>
      <c r="E17" s="15"/>
      <c r="F17" s="16">
        <f>+D17*E17</f>
        <v>0</v>
      </c>
      <c r="G17">
        <f t="shared" si="0"/>
        <v>0</v>
      </c>
    </row>
    <row r="18" spans="1:7" hidden="1" x14ac:dyDescent="0.25">
      <c r="A18" s="65" t="s">
        <v>874</v>
      </c>
      <c r="B18" s="66" t="s">
        <v>875</v>
      </c>
      <c r="C18" s="67"/>
      <c r="D18" s="14"/>
      <c r="E18" s="15"/>
      <c r="F18" s="16"/>
      <c r="G18">
        <f t="shared" si="0"/>
        <v>0</v>
      </c>
    </row>
    <row r="19" spans="1:7" hidden="1" x14ac:dyDescent="0.25">
      <c r="A19" s="71" t="s">
        <v>1093</v>
      </c>
      <c r="B19" s="72" t="s">
        <v>1096</v>
      </c>
      <c r="C19" s="67" t="s">
        <v>14</v>
      </c>
      <c r="D19" s="14"/>
      <c r="E19" s="15"/>
      <c r="F19" s="16">
        <f>+D19*E19</f>
        <v>0</v>
      </c>
      <c r="G19">
        <f t="shared" si="0"/>
        <v>0</v>
      </c>
    </row>
    <row r="20" spans="1:7" hidden="1" x14ac:dyDescent="0.25">
      <c r="A20" s="71" t="s">
        <v>876</v>
      </c>
      <c r="B20" s="72" t="s">
        <v>1092</v>
      </c>
      <c r="C20" s="67" t="s">
        <v>14</v>
      </c>
      <c r="D20" s="14"/>
      <c r="E20" s="15"/>
      <c r="F20" s="16">
        <f>+D20*E20</f>
        <v>0</v>
      </c>
      <c r="G20">
        <f t="shared" si="0"/>
        <v>0</v>
      </c>
    </row>
    <row r="21" spans="1:7" hidden="1" x14ac:dyDescent="0.25">
      <c r="A21" s="71" t="s">
        <v>1094</v>
      </c>
      <c r="B21" s="72" t="s">
        <v>1097</v>
      </c>
      <c r="C21" s="67" t="s">
        <v>14</v>
      </c>
      <c r="D21" s="14"/>
      <c r="E21" s="15"/>
      <c r="F21" s="16">
        <f>+D21*E21</f>
        <v>0</v>
      </c>
      <c r="G21">
        <f t="shared" si="0"/>
        <v>0</v>
      </c>
    </row>
    <row r="22" spans="1:7" hidden="1" x14ac:dyDescent="0.25">
      <c r="A22" s="71" t="s">
        <v>1095</v>
      </c>
      <c r="B22" s="72" t="s">
        <v>1098</v>
      </c>
      <c r="C22" s="67" t="s">
        <v>14</v>
      </c>
      <c r="D22" s="14"/>
      <c r="E22" s="15"/>
      <c r="F22" s="16">
        <f>+D22*E22</f>
        <v>0</v>
      </c>
      <c r="G22">
        <f t="shared" si="0"/>
        <v>0</v>
      </c>
    </row>
    <row r="23" spans="1:7" hidden="1" x14ac:dyDescent="0.25">
      <c r="A23" s="78" t="s">
        <v>877</v>
      </c>
      <c r="B23" s="79" t="s">
        <v>878</v>
      </c>
      <c r="C23" s="26"/>
      <c r="D23" s="14"/>
      <c r="E23" s="15"/>
      <c r="F23" s="16"/>
      <c r="G23">
        <f t="shared" si="0"/>
        <v>0</v>
      </c>
    </row>
    <row r="24" spans="1:7" hidden="1" x14ac:dyDescent="0.25">
      <c r="A24" s="44" t="s">
        <v>879</v>
      </c>
      <c r="B24" s="80" t="s">
        <v>880</v>
      </c>
      <c r="C24" s="14"/>
      <c r="D24" s="14"/>
      <c r="E24" s="15"/>
      <c r="F24" s="16"/>
      <c r="G24">
        <f t="shared" si="0"/>
        <v>0</v>
      </c>
    </row>
    <row r="25" spans="1:7" hidden="1" x14ac:dyDescent="0.25">
      <c r="A25" s="43" t="s">
        <v>881</v>
      </c>
      <c r="B25" s="81" t="s">
        <v>1099</v>
      </c>
      <c r="C25" s="14" t="s">
        <v>14</v>
      </c>
      <c r="D25" s="14"/>
      <c r="E25" s="15"/>
      <c r="F25" s="16">
        <f t="shared" ref="F25:F37" si="1">+D25*E25</f>
        <v>0</v>
      </c>
      <c r="G25">
        <f t="shared" si="0"/>
        <v>0</v>
      </c>
    </row>
    <row r="26" spans="1:7" hidden="1" x14ac:dyDescent="0.25">
      <c r="A26" s="43" t="s">
        <v>1100</v>
      </c>
      <c r="B26" s="81" t="s">
        <v>1102</v>
      </c>
      <c r="C26" s="14" t="s">
        <v>14</v>
      </c>
      <c r="D26" s="14"/>
      <c r="E26" s="15"/>
      <c r="F26" s="16">
        <f t="shared" si="1"/>
        <v>0</v>
      </c>
      <c r="G26">
        <f t="shared" si="0"/>
        <v>0</v>
      </c>
    </row>
    <row r="27" spans="1:7" hidden="1" x14ac:dyDescent="0.25">
      <c r="A27" s="43" t="s">
        <v>882</v>
      </c>
      <c r="B27" s="81" t="s">
        <v>1103</v>
      </c>
      <c r="C27" s="14" t="s">
        <v>14</v>
      </c>
      <c r="D27" s="14"/>
      <c r="E27" s="15"/>
      <c r="F27" s="16">
        <f t="shared" si="1"/>
        <v>0</v>
      </c>
      <c r="G27">
        <f t="shared" si="0"/>
        <v>0</v>
      </c>
    </row>
    <row r="28" spans="1:7" hidden="1" x14ac:dyDescent="0.25">
      <c r="A28" s="43" t="s">
        <v>1101</v>
      </c>
      <c r="B28" s="81" t="s">
        <v>1104</v>
      </c>
      <c r="C28" s="14" t="s">
        <v>14</v>
      </c>
      <c r="D28" s="14"/>
      <c r="E28" s="15"/>
      <c r="F28" s="16">
        <f t="shared" si="1"/>
        <v>0</v>
      </c>
      <c r="G28">
        <f t="shared" si="0"/>
        <v>0</v>
      </c>
    </row>
    <row r="29" spans="1:7" hidden="1" x14ac:dyDescent="0.25">
      <c r="A29" s="43" t="s">
        <v>883</v>
      </c>
      <c r="B29" s="81" t="s">
        <v>1105</v>
      </c>
      <c r="C29" s="14" t="s">
        <v>14</v>
      </c>
      <c r="D29" s="14"/>
      <c r="E29" s="15"/>
      <c r="F29" s="16">
        <f t="shared" si="1"/>
        <v>0</v>
      </c>
      <c r="G29">
        <f t="shared" si="0"/>
        <v>0</v>
      </c>
    </row>
    <row r="30" spans="1:7" hidden="1" x14ac:dyDescent="0.25">
      <c r="A30" s="43" t="s">
        <v>884</v>
      </c>
      <c r="B30" s="81" t="s">
        <v>1106</v>
      </c>
      <c r="C30" s="14" t="s">
        <v>14</v>
      </c>
      <c r="D30" s="14"/>
      <c r="E30" s="15"/>
      <c r="F30" s="16">
        <f t="shared" si="1"/>
        <v>0</v>
      </c>
      <c r="G30">
        <f t="shared" si="0"/>
        <v>0</v>
      </c>
    </row>
    <row r="31" spans="1:7" hidden="1" x14ac:dyDescent="0.25">
      <c r="A31" s="43" t="s">
        <v>885</v>
      </c>
      <c r="B31" s="81" t="s">
        <v>1107</v>
      </c>
      <c r="C31" s="14" t="s">
        <v>14</v>
      </c>
      <c r="D31" s="14"/>
      <c r="E31" s="15"/>
      <c r="F31" s="16">
        <f t="shared" si="1"/>
        <v>0</v>
      </c>
      <c r="G31">
        <f t="shared" si="0"/>
        <v>0</v>
      </c>
    </row>
    <row r="32" spans="1:7" hidden="1" x14ac:dyDescent="0.25">
      <c r="A32" s="43" t="s">
        <v>886</v>
      </c>
      <c r="B32" s="81" t="s">
        <v>1108</v>
      </c>
      <c r="C32" s="14" t="s">
        <v>14</v>
      </c>
      <c r="D32" s="14"/>
      <c r="E32" s="15"/>
      <c r="F32" s="16">
        <f t="shared" si="1"/>
        <v>0</v>
      </c>
      <c r="G32">
        <f t="shared" si="0"/>
        <v>0</v>
      </c>
    </row>
    <row r="33" spans="1:7" hidden="1" x14ac:dyDescent="0.25">
      <c r="A33" s="43" t="s">
        <v>1109</v>
      </c>
      <c r="B33" s="81" t="s">
        <v>1113</v>
      </c>
      <c r="C33" s="14" t="s">
        <v>14</v>
      </c>
      <c r="D33" s="14"/>
      <c r="E33" s="15"/>
      <c r="F33" s="16">
        <f t="shared" si="1"/>
        <v>0</v>
      </c>
      <c r="G33">
        <f t="shared" si="0"/>
        <v>0</v>
      </c>
    </row>
    <row r="34" spans="1:7" hidden="1" x14ac:dyDescent="0.25">
      <c r="A34" s="43" t="s">
        <v>1110</v>
      </c>
      <c r="B34" s="81" t="s">
        <v>1114</v>
      </c>
      <c r="C34" s="14" t="s">
        <v>14</v>
      </c>
      <c r="D34" s="14"/>
      <c r="E34" s="15"/>
      <c r="F34" s="16">
        <f t="shared" si="1"/>
        <v>0</v>
      </c>
      <c r="G34">
        <f t="shared" si="0"/>
        <v>0</v>
      </c>
    </row>
    <row r="35" spans="1:7" hidden="1" x14ac:dyDescent="0.25">
      <c r="A35" s="43" t="s">
        <v>1111</v>
      </c>
      <c r="B35" s="81" t="s">
        <v>1115</v>
      </c>
      <c r="C35" s="14" t="s">
        <v>14</v>
      </c>
      <c r="D35" s="14"/>
      <c r="E35" s="15"/>
      <c r="F35" s="16">
        <f t="shared" si="1"/>
        <v>0</v>
      </c>
      <c r="G35">
        <f t="shared" si="0"/>
        <v>0</v>
      </c>
    </row>
    <row r="36" spans="1:7" hidden="1" x14ac:dyDescent="0.25">
      <c r="A36" s="43" t="s">
        <v>1112</v>
      </c>
      <c r="B36" s="81" t="s">
        <v>1116</v>
      </c>
      <c r="C36" s="14" t="s">
        <v>14</v>
      </c>
      <c r="D36" s="14"/>
      <c r="E36" s="15"/>
      <c r="F36" s="16">
        <f t="shared" si="1"/>
        <v>0</v>
      </c>
      <c r="G36">
        <f t="shared" si="0"/>
        <v>0</v>
      </c>
    </row>
    <row r="37" spans="1:7" hidden="1" x14ac:dyDescent="0.25">
      <c r="A37" s="43" t="s">
        <v>1117</v>
      </c>
      <c r="B37" s="81" t="s">
        <v>1118</v>
      </c>
      <c r="C37" s="14" t="s">
        <v>14</v>
      </c>
      <c r="D37" s="14"/>
      <c r="E37" s="15"/>
      <c r="F37" s="16">
        <f t="shared" si="1"/>
        <v>0</v>
      </c>
      <c r="G37">
        <f t="shared" si="0"/>
        <v>0</v>
      </c>
    </row>
    <row r="38" spans="1:7" hidden="1" x14ac:dyDescent="0.25">
      <c r="A38" s="44" t="s">
        <v>1119</v>
      </c>
      <c r="B38" s="80" t="s">
        <v>1148</v>
      </c>
      <c r="C38" s="14"/>
      <c r="D38" s="14"/>
      <c r="E38" s="15"/>
      <c r="F38" s="16"/>
      <c r="G38">
        <f t="shared" si="0"/>
        <v>0</v>
      </c>
    </row>
    <row r="39" spans="1:7" hidden="1" x14ac:dyDescent="0.25">
      <c r="A39" s="43" t="s">
        <v>1120</v>
      </c>
      <c r="B39" s="81" t="s">
        <v>1121</v>
      </c>
      <c r="C39" s="14" t="s">
        <v>14</v>
      </c>
      <c r="D39" s="14"/>
      <c r="E39" s="15"/>
      <c r="F39" s="16">
        <f t="shared" ref="F39:F77" si="2">+D39*E39</f>
        <v>0</v>
      </c>
      <c r="G39">
        <f t="shared" si="0"/>
        <v>0</v>
      </c>
    </row>
    <row r="40" spans="1:7" hidden="1" x14ac:dyDescent="0.25">
      <c r="A40" s="43" t="s">
        <v>1134</v>
      </c>
      <c r="B40" s="81" t="s">
        <v>1122</v>
      </c>
      <c r="C40" s="14" t="s">
        <v>14</v>
      </c>
      <c r="D40" s="14"/>
      <c r="E40" s="15"/>
      <c r="F40" s="16">
        <f t="shared" si="2"/>
        <v>0</v>
      </c>
      <c r="G40">
        <f t="shared" si="0"/>
        <v>0</v>
      </c>
    </row>
    <row r="41" spans="1:7" hidden="1" x14ac:dyDescent="0.25">
      <c r="A41" s="43" t="s">
        <v>1135</v>
      </c>
      <c r="B41" s="81" t="s">
        <v>1123</v>
      </c>
      <c r="C41" s="14" t="s">
        <v>14</v>
      </c>
      <c r="D41" s="14"/>
      <c r="E41" s="15"/>
      <c r="F41" s="16">
        <f t="shared" si="2"/>
        <v>0</v>
      </c>
      <c r="G41">
        <f t="shared" si="0"/>
        <v>0</v>
      </c>
    </row>
    <row r="42" spans="1:7" hidden="1" x14ac:dyDescent="0.25">
      <c r="A42" s="43" t="s">
        <v>1136</v>
      </c>
      <c r="B42" s="81" t="s">
        <v>1124</v>
      </c>
      <c r="C42" s="14" t="s">
        <v>14</v>
      </c>
      <c r="D42" s="14"/>
      <c r="E42" s="15"/>
      <c r="F42" s="16">
        <f t="shared" si="2"/>
        <v>0</v>
      </c>
      <c r="G42">
        <f t="shared" si="0"/>
        <v>0</v>
      </c>
    </row>
    <row r="43" spans="1:7" hidden="1" x14ac:dyDescent="0.25">
      <c r="A43" s="43" t="s">
        <v>1137</v>
      </c>
      <c r="B43" s="81" t="s">
        <v>1125</v>
      </c>
      <c r="C43" s="14" t="s">
        <v>14</v>
      </c>
      <c r="D43" s="14"/>
      <c r="E43" s="15"/>
      <c r="F43" s="16">
        <f t="shared" si="2"/>
        <v>0</v>
      </c>
      <c r="G43">
        <f t="shared" si="0"/>
        <v>0</v>
      </c>
    </row>
    <row r="44" spans="1:7" hidden="1" x14ac:dyDescent="0.25">
      <c r="A44" s="43" t="s">
        <v>1138</v>
      </c>
      <c r="B44" s="81" t="s">
        <v>1126</v>
      </c>
      <c r="C44" s="14" t="s">
        <v>14</v>
      </c>
      <c r="D44" s="14"/>
      <c r="E44" s="15"/>
      <c r="F44" s="16">
        <f t="shared" si="2"/>
        <v>0</v>
      </c>
      <c r="G44">
        <f t="shared" si="0"/>
        <v>0</v>
      </c>
    </row>
    <row r="45" spans="1:7" hidden="1" x14ac:dyDescent="0.25">
      <c r="A45" s="43" t="s">
        <v>1139</v>
      </c>
      <c r="B45" s="81" t="s">
        <v>1127</v>
      </c>
      <c r="C45" s="14" t="s">
        <v>14</v>
      </c>
      <c r="D45" s="14"/>
      <c r="E45" s="15"/>
      <c r="F45" s="16">
        <f t="shared" si="2"/>
        <v>0</v>
      </c>
      <c r="G45">
        <f t="shared" si="0"/>
        <v>0</v>
      </c>
    </row>
    <row r="46" spans="1:7" hidden="1" x14ac:dyDescent="0.25">
      <c r="A46" s="43" t="s">
        <v>1140</v>
      </c>
      <c r="B46" s="81" t="s">
        <v>1128</v>
      </c>
      <c r="C46" s="14" t="s">
        <v>14</v>
      </c>
      <c r="D46" s="14"/>
      <c r="E46" s="15"/>
      <c r="F46" s="16">
        <f t="shared" si="2"/>
        <v>0</v>
      </c>
      <c r="G46">
        <f t="shared" si="0"/>
        <v>0</v>
      </c>
    </row>
    <row r="47" spans="1:7" hidden="1" x14ac:dyDescent="0.25">
      <c r="A47" s="43" t="s">
        <v>1141</v>
      </c>
      <c r="B47" s="81" t="s">
        <v>1129</v>
      </c>
      <c r="C47" s="14" t="s">
        <v>14</v>
      </c>
      <c r="D47" s="14"/>
      <c r="E47" s="15"/>
      <c r="F47" s="16">
        <f t="shared" si="2"/>
        <v>0</v>
      </c>
      <c r="G47">
        <f t="shared" si="0"/>
        <v>0</v>
      </c>
    </row>
    <row r="48" spans="1:7" hidden="1" x14ac:dyDescent="0.25">
      <c r="A48" s="43" t="s">
        <v>1142</v>
      </c>
      <c r="B48" s="81" t="s">
        <v>1130</v>
      </c>
      <c r="C48" s="14" t="s">
        <v>14</v>
      </c>
      <c r="D48" s="14"/>
      <c r="E48" s="15"/>
      <c r="F48" s="16">
        <f t="shared" si="2"/>
        <v>0</v>
      </c>
      <c r="G48">
        <f t="shared" si="0"/>
        <v>0</v>
      </c>
    </row>
    <row r="49" spans="1:7" hidden="1" x14ac:dyDescent="0.25">
      <c r="A49" s="43" t="s">
        <v>1143</v>
      </c>
      <c r="B49" s="81" t="s">
        <v>1131</v>
      </c>
      <c r="C49" s="14" t="s">
        <v>14</v>
      </c>
      <c r="D49" s="14"/>
      <c r="E49" s="15"/>
      <c r="F49" s="16">
        <f t="shared" si="2"/>
        <v>0</v>
      </c>
      <c r="G49">
        <f t="shared" si="0"/>
        <v>0</v>
      </c>
    </row>
    <row r="50" spans="1:7" hidden="1" x14ac:dyDescent="0.25">
      <c r="A50" s="43" t="s">
        <v>1144</v>
      </c>
      <c r="B50" s="81" t="s">
        <v>1133</v>
      </c>
      <c r="C50" s="14" t="s">
        <v>14</v>
      </c>
      <c r="D50" s="14"/>
      <c r="E50" s="15"/>
      <c r="F50" s="16">
        <f t="shared" si="2"/>
        <v>0</v>
      </c>
      <c r="G50">
        <f t="shared" si="0"/>
        <v>0</v>
      </c>
    </row>
    <row r="51" spans="1:7" hidden="1" x14ac:dyDescent="0.25">
      <c r="A51" s="43" t="s">
        <v>1145</v>
      </c>
      <c r="B51" s="81" t="s">
        <v>1132</v>
      </c>
      <c r="C51" s="14" t="s">
        <v>14</v>
      </c>
      <c r="D51" s="14"/>
      <c r="E51" s="15"/>
      <c r="F51" s="16">
        <f t="shared" si="2"/>
        <v>0</v>
      </c>
      <c r="G51">
        <f t="shared" si="0"/>
        <v>0</v>
      </c>
    </row>
    <row r="52" spans="1:7" hidden="1" x14ac:dyDescent="0.25">
      <c r="A52" s="44" t="s">
        <v>1146</v>
      </c>
      <c r="B52" s="80" t="s">
        <v>1149</v>
      </c>
      <c r="C52" s="14"/>
      <c r="D52" s="14"/>
      <c r="E52" s="15"/>
      <c r="F52" s="16"/>
      <c r="G52">
        <f t="shared" si="0"/>
        <v>0</v>
      </c>
    </row>
    <row r="53" spans="1:7" hidden="1" x14ac:dyDescent="0.25">
      <c r="A53" s="43" t="s">
        <v>1147</v>
      </c>
      <c r="B53" s="81" t="s">
        <v>1150</v>
      </c>
      <c r="C53" s="14" t="s">
        <v>14</v>
      </c>
      <c r="D53" s="14"/>
      <c r="E53" s="15"/>
      <c r="F53" s="16">
        <f t="shared" si="2"/>
        <v>0</v>
      </c>
      <c r="G53">
        <f t="shared" si="0"/>
        <v>0</v>
      </c>
    </row>
    <row r="54" spans="1:7" hidden="1" x14ac:dyDescent="0.25">
      <c r="A54" s="43" t="s">
        <v>1164</v>
      </c>
      <c r="B54" s="81" t="s">
        <v>1151</v>
      </c>
      <c r="C54" s="14" t="s">
        <v>14</v>
      </c>
      <c r="D54" s="14"/>
      <c r="E54" s="15"/>
      <c r="F54" s="16">
        <f t="shared" si="2"/>
        <v>0</v>
      </c>
      <c r="G54">
        <f t="shared" si="0"/>
        <v>0</v>
      </c>
    </row>
    <row r="55" spans="1:7" hidden="1" x14ac:dyDescent="0.25">
      <c r="A55" s="43" t="s">
        <v>1165</v>
      </c>
      <c r="B55" s="81" t="s">
        <v>1152</v>
      </c>
      <c r="C55" s="14" t="s">
        <v>14</v>
      </c>
      <c r="D55" s="14"/>
      <c r="E55" s="15"/>
      <c r="F55" s="16">
        <f t="shared" si="2"/>
        <v>0</v>
      </c>
      <c r="G55">
        <f t="shared" si="0"/>
        <v>0</v>
      </c>
    </row>
    <row r="56" spans="1:7" hidden="1" x14ac:dyDescent="0.25">
      <c r="A56" s="43" t="s">
        <v>1166</v>
      </c>
      <c r="B56" s="81" t="s">
        <v>1153</v>
      </c>
      <c r="C56" s="14" t="s">
        <v>14</v>
      </c>
      <c r="D56" s="14"/>
      <c r="E56" s="15"/>
      <c r="F56" s="16">
        <f t="shared" si="2"/>
        <v>0</v>
      </c>
      <c r="G56">
        <f t="shared" si="0"/>
        <v>0</v>
      </c>
    </row>
    <row r="57" spans="1:7" hidden="1" x14ac:dyDescent="0.25">
      <c r="A57" s="43" t="s">
        <v>1167</v>
      </c>
      <c r="B57" s="81" t="s">
        <v>1154</v>
      </c>
      <c r="C57" s="14" t="s">
        <v>14</v>
      </c>
      <c r="D57" s="14"/>
      <c r="E57" s="15"/>
      <c r="F57" s="16">
        <f t="shared" si="2"/>
        <v>0</v>
      </c>
      <c r="G57">
        <f t="shared" si="0"/>
        <v>0</v>
      </c>
    </row>
    <row r="58" spans="1:7" hidden="1" x14ac:dyDescent="0.25">
      <c r="A58" s="43" t="s">
        <v>1168</v>
      </c>
      <c r="B58" s="81" t="s">
        <v>1155</v>
      </c>
      <c r="C58" s="14" t="s">
        <v>14</v>
      </c>
      <c r="D58" s="14"/>
      <c r="E58" s="15"/>
      <c r="F58" s="16">
        <f t="shared" si="2"/>
        <v>0</v>
      </c>
      <c r="G58">
        <f t="shared" si="0"/>
        <v>0</v>
      </c>
    </row>
    <row r="59" spans="1:7" hidden="1" x14ac:dyDescent="0.25">
      <c r="A59" s="43" t="s">
        <v>1169</v>
      </c>
      <c r="B59" s="81" t="s">
        <v>1156</v>
      </c>
      <c r="C59" s="14" t="s">
        <v>14</v>
      </c>
      <c r="D59" s="14"/>
      <c r="E59" s="15"/>
      <c r="F59" s="16">
        <f t="shared" si="2"/>
        <v>0</v>
      </c>
      <c r="G59">
        <f t="shared" si="0"/>
        <v>0</v>
      </c>
    </row>
    <row r="60" spans="1:7" hidden="1" x14ac:dyDescent="0.25">
      <c r="A60" s="43" t="s">
        <v>1170</v>
      </c>
      <c r="B60" s="81" t="s">
        <v>1157</v>
      </c>
      <c r="C60" s="14" t="s">
        <v>14</v>
      </c>
      <c r="D60" s="14"/>
      <c r="E60" s="15"/>
      <c r="F60" s="16">
        <f t="shared" si="2"/>
        <v>0</v>
      </c>
      <c r="G60">
        <f t="shared" si="0"/>
        <v>0</v>
      </c>
    </row>
    <row r="61" spans="1:7" hidden="1" x14ac:dyDescent="0.25">
      <c r="A61" s="43" t="s">
        <v>1171</v>
      </c>
      <c r="B61" s="81" t="s">
        <v>1158</v>
      </c>
      <c r="C61" s="14" t="s">
        <v>14</v>
      </c>
      <c r="D61" s="14"/>
      <c r="E61" s="15"/>
      <c r="F61" s="16">
        <f t="shared" si="2"/>
        <v>0</v>
      </c>
      <c r="G61">
        <f t="shared" si="0"/>
        <v>0</v>
      </c>
    </row>
    <row r="62" spans="1:7" hidden="1" x14ac:dyDescent="0.25">
      <c r="A62" s="43" t="s">
        <v>1172</v>
      </c>
      <c r="B62" s="81" t="s">
        <v>1159</v>
      </c>
      <c r="C62" s="14" t="s">
        <v>14</v>
      </c>
      <c r="D62" s="14"/>
      <c r="E62" s="15"/>
      <c r="F62" s="16">
        <f t="shared" si="2"/>
        <v>0</v>
      </c>
      <c r="G62">
        <f t="shared" si="0"/>
        <v>0</v>
      </c>
    </row>
    <row r="63" spans="1:7" hidden="1" x14ac:dyDescent="0.25">
      <c r="A63" s="43" t="s">
        <v>1173</v>
      </c>
      <c r="B63" s="81" t="s">
        <v>1160</v>
      </c>
      <c r="C63" s="14" t="s">
        <v>14</v>
      </c>
      <c r="D63" s="14"/>
      <c r="E63" s="15"/>
      <c r="F63" s="16">
        <f t="shared" si="2"/>
        <v>0</v>
      </c>
      <c r="G63">
        <f t="shared" si="0"/>
        <v>0</v>
      </c>
    </row>
    <row r="64" spans="1:7" hidden="1" x14ac:dyDescent="0.25">
      <c r="A64" s="44" t="s">
        <v>1162</v>
      </c>
      <c r="B64" s="80" t="s">
        <v>1161</v>
      </c>
      <c r="C64" s="14"/>
      <c r="D64" s="14"/>
      <c r="E64" s="15"/>
      <c r="F64" s="16"/>
      <c r="G64">
        <f t="shared" si="0"/>
        <v>0</v>
      </c>
    </row>
    <row r="65" spans="1:7" hidden="1" x14ac:dyDescent="0.25">
      <c r="A65" s="43" t="s">
        <v>1163</v>
      </c>
      <c r="B65" s="81" t="s">
        <v>1183</v>
      </c>
      <c r="C65" s="14" t="s">
        <v>14</v>
      </c>
      <c r="D65" s="14"/>
      <c r="E65" s="15"/>
      <c r="F65" s="16">
        <f t="shared" si="2"/>
        <v>0</v>
      </c>
      <c r="G65">
        <f t="shared" si="0"/>
        <v>0</v>
      </c>
    </row>
    <row r="66" spans="1:7" hidden="1" x14ac:dyDescent="0.25">
      <c r="A66" s="43" t="s">
        <v>1174</v>
      </c>
      <c r="B66" s="81" t="s">
        <v>1184</v>
      </c>
      <c r="C66" s="14" t="s">
        <v>14</v>
      </c>
      <c r="D66" s="14"/>
      <c r="E66" s="15"/>
      <c r="F66" s="16">
        <f t="shared" si="2"/>
        <v>0</v>
      </c>
      <c r="G66">
        <f t="shared" si="0"/>
        <v>0</v>
      </c>
    </row>
    <row r="67" spans="1:7" hidden="1" x14ac:dyDescent="0.25">
      <c r="A67" s="43" t="s">
        <v>1175</v>
      </c>
      <c r="B67" s="81" t="s">
        <v>1185</v>
      </c>
      <c r="C67" s="14" t="s">
        <v>14</v>
      </c>
      <c r="D67" s="14"/>
      <c r="E67" s="15">
        <f>+SUM!H65</f>
        <v>84090</v>
      </c>
      <c r="F67" s="16">
        <f t="shared" si="2"/>
        <v>0</v>
      </c>
      <c r="G67">
        <f t="shared" si="0"/>
        <v>0</v>
      </c>
    </row>
    <row r="68" spans="1:7" hidden="1" x14ac:dyDescent="0.25">
      <c r="A68" s="43" t="s">
        <v>1176</v>
      </c>
      <c r="B68" s="81" t="s">
        <v>1186</v>
      </c>
      <c r="C68" s="14" t="s">
        <v>14</v>
      </c>
      <c r="D68" s="14"/>
      <c r="E68" s="15">
        <f>+SUM!H66</f>
        <v>131496</v>
      </c>
      <c r="F68" s="16">
        <f t="shared" si="2"/>
        <v>0</v>
      </c>
      <c r="G68">
        <f t="shared" si="0"/>
        <v>0</v>
      </c>
    </row>
    <row r="69" spans="1:7" hidden="1" x14ac:dyDescent="0.25">
      <c r="A69" s="43" t="s">
        <v>1177</v>
      </c>
      <c r="B69" s="81" t="s">
        <v>1187</v>
      </c>
      <c r="C69" s="14" t="s">
        <v>14</v>
      </c>
      <c r="D69" s="14"/>
      <c r="E69" s="15"/>
      <c r="F69" s="16">
        <f t="shared" si="2"/>
        <v>0</v>
      </c>
      <c r="G69">
        <f t="shared" si="0"/>
        <v>0</v>
      </c>
    </row>
    <row r="70" spans="1:7" hidden="1" x14ac:dyDescent="0.25">
      <c r="A70" s="43" t="s">
        <v>1178</v>
      </c>
      <c r="B70" s="81" t="s">
        <v>1188</v>
      </c>
      <c r="C70" s="14" t="s">
        <v>14</v>
      </c>
      <c r="D70" s="14"/>
      <c r="E70" s="15"/>
      <c r="F70" s="16">
        <f t="shared" si="2"/>
        <v>0</v>
      </c>
      <c r="G70">
        <f t="shared" si="0"/>
        <v>0</v>
      </c>
    </row>
    <row r="71" spans="1:7" hidden="1" x14ac:dyDescent="0.25">
      <c r="A71" s="43" t="s">
        <v>1179</v>
      </c>
      <c r="B71" s="81" t="s">
        <v>1189</v>
      </c>
      <c r="C71" s="14" t="s">
        <v>14</v>
      </c>
      <c r="D71" s="14"/>
      <c r="E71" s="15"/>
      <c r="F71" s="16">
        <f t="shared" si="2"/>
        <v>0</v>
      </c>
      <c r="G71">
        <f t="shared" si="0"/>
        <v>0</v>
      </c>
    </row>
    <row r="72" spans="1:7" hidden="1" x14ac:dyDescent="0.25">
      <c r="A72" s="43" t="s">
        <v>1180</v>
      </c>
      <c r="B72" s="81" t="s">
        <v>1190</v>
      </c>
      <c r="C72" s="14" t="s">
        <v>14</v>
      </c>
      <c r="D72" s="14"/>
      <c r="E72" s="15"/>
      <c r="F72" s="16">
        <f t="shared" si="2"/>
        <v>0</v>
      </c>
      <c r="G72">
        <f t="shared" si="0"/>
        <v>0</v>
      </c>
    </row>
    <row r="73" spans="1:7" hidden="1" x14ac:dyDescent="0.25">
      <c r="A73" s="43" t="s">
        <v>1181</v>
      </c>
      <c r="B73" s="81" t="s">
        <v>1191</v>
      </c>
      <c r="C73" s="14" t="s">
        <v>14</v>
      </c>
      <c r="D73" s="14"/>
      <c r="E73" s="15"/>
      <c r="F73" s="16">
        <f t="shared" si="2"/>
        <v>0</v>
      </c>
      <c r="G73">
        <f t="shared" ref="G73:G136" si="3">+IF(F73&lt;&gt;0,1,0)</f>
        <v>0</v>
      </c>
    </row>
    <row r="74" spans="1:7" hidden="1" x14ac:dyDescent="0.25">
      <c r="A74" s="43" t="s">
        <v>1182</v>
      </c>
      <c r="B74" s="81" t="s">
        <v>1192</v>
      </c>
      <c r="C74" s="14" t="s">
        <v>14</v>
      </c>
      <c r="D74" s="14"/>
      <c r="E74" s="15"/>
      <c r="F74" s="16">
        <f t="shared" si="2"/>
        <v>0</v>
      </c>
      <c r="G74">
        <f t="shared" si="3"/>
        <v>0</v>
      </c>
    </row>
    <row r="75" spans="1:7" hidden="1" x14ac:dyDescent="0.25">
      <c r="A75" s="44" t="s">
        <v>1193</v>
      </c>
      <c r="B75" s="80" t="s">
        <v>887</v>
      </c>
      <c r="C75" s="14"/>
      <c r="D75" s="14"/>
      <c r="E75" s="15"/>
      <c r="F75" s="16"/>
      <c r="G75">
        <f t="shared" si="3"/>
        <v>0</v>
      </c>
    </row>
    <row r="76" spans="1:7" hidden="1" x14ac:dyDescent="0.25">
      <c r="A76" s="43" t="s">
        <v>1196</v>
      </c>
      <c r="B76" s="81" t="s">
        <v>1194</v>
      </c>
      <c r="C76" s="14" t="s">
        <v>14</v>
      </c>
      <c r="D76" s="14"/>
      <c r="E76" s="15"/>
      <c r="F76" s="16">
        <f t="shared" si="2"/>
        <v>0</v>
      </c>
      <c r="G76">
        <f t="shared" si="3"/>
        <v>0</v>
      </c>
    </row>
    <row r="77" spans="1:7" hidden="1" x14ac:dyDescent="0.25">
      <c r="A77" s="43" t="s">
        <v>1197</v>
      </c>
      <c r="B77" s="81" t="s">
        <v>1195</v>
      </c>
      <c r="C77" s="14" t="s">
        <v>14</v>
      </c>
      <c r="D77" s="14"/>
      <c r="E77" s="15"/>
      <c r="F77" s="16">
        <f t="shared" si="2"/>
        <v>0</v>
      </c>
      <c r="G77">
        <f t="shared" si="3"/>
        <v>0</v>
      </c>
    </row>
    <row r="78" spans="1:7" hidden="1" x14ac:dyDescent="0.25">
      <c r="A78" s="44" t="s">
        <v>1675</v>
      </c>
      <c r="B78" s="80" t="s">
        <v>1676</v>
      </c>
      <c r="C78" s="14"/>
      <c r="D78" s="14"/>
      <c r="E78" s="15"/>
      <c r="F78" s="16"/>
      <c r="G78">
        <f t="shared" si="3"/>
        <v>0</v>
      </c>
    </row>
    <row r="79" spans="1:7" hidden="1" x14ac:dyDescent="0.25">
      <c r="A79" s="44" t="s">
        <v>1678</v>
      </c>
      <c r="B79" s="80" t="s">
        <v>1677</v>
      </c>
      <c r="C79" s="14"/>
      <c r="D79" s="14"/>
      <c r="E79" s="15"/>
      <c r="F79" s="16"/>
      <c r="G79">
        <f t="shared" si="3"/>
        <v>0</v>
      </c>
    </row>
    <row r="80" spans="1:7" hidden="1" x14ac:dyDescent="0.25">
      <c r="A80" s="43" t="s">
        <v>1679</v>
      </c>
      <c r="B80" s="81" t="s">
        <v>1682</v>
      </c>
      <c r="C80" s="14" t="s">
        <v>14</v>
      </c>
      <c r="D80" s="14"/>
      <c r="E80" s="15"/>
      <c r="F80" s="16">
        <f>+D80*E80</f>
        <v>0</v>
      </c>
      <c r="G80">
        <f t="shared" si="3"/>
        <v>0</v>
      </c>
    </row>
    <row r="81" spans="1:7" hidden="1" x14ac:dyDescent="0.25">
      <c r="A81" s="43" t="s">
        <v>1684</v>
      </c>
      <c r="B81" s="81" t="s">
        <v>1683</v>
      </c>
      <c r="C81" s="14" t="s">
        <v>14</v>
      </c>
      <c r="D81" s="14"/>
      <c r="E81" s="15"/>
      <c r="F81" s="16">
        <f>+D81*E81</f>
        <v>0</v>
      </c>
      <c r="G81">
        <f t="shared" si="3"/>
        <v>0</v>
      </c>
    </row>
    <row r="82" spans="1:7" hidden="1" x14ac:dyDescent="0.25">
      <c r="A82" s="43" t="s">
        <v>1685</v>
      </c>
      <c r="B82" s="81" t="s">
        <v>1680</v>
      </c>
      <c r="C82" s="14" t="s">
        <v>14</v>
      </c>
      <c r="D82" s="14"/>
      <c r="E82" s="15"/>
      <c r="F82" s="16">
        <f>+D82*E82</f>
        <v>0</v>
      </c>
      <c r="G82">
        <f t="shared" si="3"/>
        <v>0</v>
      </c>
    </row>
    <row r="83" spans="1:7" hidden="1" x14ac:dyDescent="0.25">
      <c r="A83" s="43" t="s">
        <v>1686</v>
      </c>
      <c r="B83" s="81" t="s">
        <v>1681</v>
      </c>
      <c r="C83" s="14" t="s">
        <v>14</v>
      </c>
      <c r="D83" s="14"/>
      <c r="E83" s="15"/>
      <c r="F83" s="16">
        <f>+D83*E83</f>
        <v>0</v>
      </c>
      <c r="G83">
        <f t="shared" si="3"/>
        <v>0</v>
      </c>
    </row>
    <row r="84" spans="1:7" hidden="1" x14ac:dyDescent="0.25">
      <c r="A84" s="44" t="s">
        <v>1687</v>
      </c>
      <c r="B84" s="80" t="s">
        <v>1688</v>
      </c>
      <c r="C84" s="14"/>
      <c r="D84" s="14"/>
      <c r="E84" s="15"/>
      <c r="F84" s="16"/>
      <c r="G84">
        <f t="shared" si="3"/>
        <v>0</v>
      </c>
    </row>
    <row r="85" spans="1:7" hidden="1" x14ac:dyDescent="0.25">
      <c r="A85" s="43" t="s">
        <v>1693</v>
      </c>
      <c r="B85" s="81" t="s">
        <v>1689</v>
      </c>
      <c r="C85" s="14" t="s">
        <v>14</v>
      </c>
      <c r="D85" s="14"/>
      <c r="E85" s="15"/>
      <c r="F85" s="16">
        <f>+D85*E85</f>
        <v>0</v>
      </c>
      <c r="G85">
        <f t="shared" si="3"/>
        <v>0</v>
      </c>
    </row>
    <row r="86" spans="1:7" hidden="1" x14ac:dyDescent="0.25">
      <c r="A86" s="43" t="s">
        <v>1694</v>
      </c>
      <c r="B86" s="81" t="s">
        <v>1690</v>
      </c>
      <c r="C86" s="14" t="s">
        <v>14</v>
      </c>
      <c r="D86" s="14"/>
      <c r="E86" s="15"/>
      <c r="F86" s="16">
        <f>+D86*E86</f>
        <v>0</v>
      </c>
      <c r="G86">
        <f t="shared" si="3"/>
        <v>0</v>
      </c>
    </row>
    <row r="87" spans="1:7" hidden="1" x14ac:dyDescent="0.25">
      <c r="A87" s="43" t="s">
        <v>1695</v>
      </c>
      <c r="B87" s="81" t="s">
        <v>1691</v>
      </c>
      <c r="C87" s="14" t="s">
        <v>14</v>
      </c>
      <c r="D87" s="14"/>
      <c r="E87" s="15"/>
      <c r="F87" s="16">
        <f>+D87*E87</f>
        <v>0</v>
      </c>
      <c r="G87">
        <f t="shared" si="3"/>
        <v>0</v>
      </c>
    </row>
    <row r="88" spans="1:7" hidden="1" x14ac:dyDescent="0.25">
      <c r="A88" s="43" t="s">
        <v>1696</v>
      </c>
      <c r="B88" s="81" t="s">
        <v>1692</v>
      </c>
      <c r="C88" s="14" t="s">
        <v>14</v>
      </c>
      <c r="D88" s="14"/>
      <c r="E88" s="15"/>
      <c r="F88" s="16">
        <f>+D88*E88</f>
        <v>0</v>
      </c>
      <c r="G88">
        <f t="shared" si="3"/>
        <v>0</v>
      </c>
    </row>
    <row r="89" spans="1:7" hidden="1" x14ac:dyDescent="0.25">
      <c r="A89" s="44" t="s">
        <v>1697</v>
      </c>
      <c r="B89" s="80" t="s">
        <v>1698</v>
      </c>
      <c r="C89" s="14"/>
      <c r="D89" s="14"/>
      <c r="E89" s="15"/>
      <c r="F89" s="16"/>
      <c r="G89">
        <f t="shared" si="3"/>
        <v>0</v>
      </c>
    </row>
    <row r="90" spans="1:7" hidden="1" x14ac:dyDescent="0.25">
      <c r="A90" s="43" t="s">
        <v>1707</v>
      </c>
      <c r="B90" s="81" t="s">
        <v>1699</v>
      </c>
      <c r="C90" s="14" t="s">
        <v>14</v>
      </c>
      <c r="D90" s="14"/>
      <c r="E90" s="15"/>
      <c r="F90" s="16">
        <f t="shared" ref="F90:F97" si="4">+D90*E90</f>
        <v>0</v>
      </c>
      <c r="G90">
        <f t="shared" si="3"/>
        <v>0</v>
      </c>
    </row>
    <row r="91" spans="1:7" hidden="1" x14ac:dyDescent="0.25">
      <c r="A91" s="43" t="s">
        <v>1708</v>
      </c>
      <c r="B91" s="81" t="s">
        <v>1700</v>
      </c>
      <c r="C91" s="14" t="s">
        <v>14</v>
      </c>
      <c r="D91" s="14"/>
      <c r="E91" s="15"/>
      <c r="F91" s="16">
        <f t="shared" si="4"/>
        <v>0</v>
      </c>
      <c r="G91">
        <f t="shared" si="3"/>
        <v>0</v>
      </c>
    </row>
    <row r="92" spans="1:7" hidden="1" x14ac:dyDescent="0.25">
      <c r="A92" s="43" t="s">
        <v>1709</v>
      </c>
      <c r="B92" s="81" t="s">
        <v>1701</v>
      </c>
      <c r="C92" s="14" t="s">
        <v>14</v>
      </c>
      <c r="D92" s="14"/>
      <c r="E92" s="15"/>
      <c r="F92" s="16">
        <f t="shared" si="4"/>
        <v>0</v>
      </c>
      <c r="G92">
        <f t="shared" si="3"/>
        <v>0</v>
      </c>
    </row>
    <row r="93" spans="1:7" hidden="1" x14ac:dyDescent="0.25">
      <c r="A93" s="43" t="s">
        <v>1710</v>
      </c>
      <c r="B93" s="81" t="s">
        <v>1702</v>
      </c>
      <c r="C93" s="14" t="s">
        <v>14</v>
      </c>
      <c r="D93" s="14"/>
      <c r="E93" s="15"/>
      <c r="F93" s="16">
        <f t="shared" si="4"/>
        <v>0</v>
      </c>
      <c r="G93">
        <f t="shared" si="3"/>
        <v>0</v>
      </c>
    </row>
    <row r="94" spans="1:7" hidden="1" x14ac:dyDescent="0.25">
      <c r="A94" s="43" t="s">
        <v>1711</v>
      </c>
      <c r="B94" s="81" t="s">
        <v>1703</v>
      </c>
      <c r="C94" s="14" t="s">
        <v>14</v>
      </c>
      <c r="D94" s="14"/>
      <c r="E94" s="15"/>
      <c r="F94" s="16">
        <f t="shared" si="4"/>
        <v>0</v>
      </c>
      <c r="G94">
        <f t="shared" si="3"/>
        <v>0</v>
      </c>
    </row>
    <row r="95" spans="1:7" hidden="1" x14ac:dyDescent="0.25">
      <c r="A95" s="43" t="s">
        <v>1712</v>
      </c>
      <c r="B95" s="81" t="s">
        <v>1705</v>
      </c>
      <c r="C95" s="14" t="s">
        <v>14</v>
      </c>
      <c r="D95" s="14"/>
      <c r="E95" s="15"/>
      <c r="F95" s="16">
        <f t="shared" si="4"/>
        <v>0</v>
      </c>
      <c r="G95">
        <f t="shared" si="3"/>
        <v>0</v>
      </c>
    </row>
    <row r="96" spans="1:7" hidden="1" x14ac:dyDescent="0.25">
      <c r="A96" s="43" t="s">
        <v>1713</v>
      </c>
      <c r="B96" s="81" t="s">
        <v>1704</v>
      </c>
      <c r="C96" s="14" t="s">
        <v>14</v>
      </c>
      <c r="D96" s="14"/>
      <c r="E96" s="15"/>
      <c r="F96" s="16">
        <f t="shared" si="4"/>
        <v>0</v>
      </c>
      <c r="G96">
        <f t="shared" si="3"/>
        <v>0</v>
      </c>
    </row>
    <row r="97" spans="1:7" hidden="1" x14ac:dyDescent="0.25">
      <c r="A97" s="43" t="s">
        <v>1714</v>
      </c>
      <c r="B97" s="81" t="s">
        <v>1706</v>
      </c>
      <c r="C97" s="14" t="s">
        <v>14</v>
      </c>
      <c r="D97" s="14"/>
      <c r="E97" s="15"/>
      <c r="F97" s="16">
        <f t="shared" si="4"/>
        <v>0</v>
      </c>
      <c r="G97">
        <f t="shared" si="3"/>
        <v>0</v>
      </c>
    </row>
    <row r="98" spans="1:7" hidden="1" x14ac:dyDescent="0.25">
      <c r="A98" s="44" t="s">
        <v>1198</v>
      </c>
      <c r="B98" s="80" t="s">
        <v>1199</v>
      </c>
      <c r="C98" s="14"/>
      <c r="D98" s="14"/>
      <c r="E98" s="15"/>
      <c r="F98" s="16"/>
      <c r="G98">
        <f t="shared" si="3"/>
        <v>0</v>
      </c>
    </row>
    <row r="99" spans="1:7" hidden="1" x14ac:dyDescent="0.25">
      <c r="A99" s="44" t="s">
        <v>889</v>
      </c>
      <c r="B99" s="80" t="s">
        <v>890</v>
      </c>
      <c r="C99" s="14"/>
      <c r="D99" s="14"/>
      <c r="E99" s="15"/>
      <c r="F99" s="16"/>
      <c r="G99">
        <f t="shared" si="3"/>
        <v>0</v>
      </c>
    </row>
    <row r="100" spans="1:7" hidden="1" x14ac:dyDescent="0.25">
      <c r="A100" s="65" t="s">
        <v>891</v>
      </c>
      <c r="B100" s="66" t="s">
        <v>892</v>
      </c>
      <c r="C100" s="67"/>
      <c r="D100" s="14"/>
      <c r="E100" s="15"/>
      <c r="F100" s="16"/>
      <c r="G100">
        <f t="shared" si="3"/>
        <v>0</v>
      </c>
    </row>
    <row r="101" spans="1:7" hidden="1" x14ac:dyDescent="0.25">
      <c r="A101" s="65" t="s">
        <v>893</v>
      </c>
      <c r="B101" s="66" t="s">
        <v>894</v>
      </c>
      <c r="C101" s="67"/>
      <c r="D101" s="14"/>
      <c r="E101" s="15"/>
      <c r="F101" s="16"/>
      <c r="G101">
        <f t="shared" si="3"/>
        <v>0</v>
      </c>
    </row>
    <row r="102" spans="1:7" hidden="1" x14ac:dyDescent="0.25">
      <c r="A102" s="71" t="s">
        <v>1200</v>
      </c>
      <c r="B102" s="72" t="s">
        <v>1204</v>
      </c>
      <c r="C102" s="67" t="s">
        <v>37</v>
      </c>
      <c r="D102" s="14"/>
      <c r="E102" s="15"/>
      <c r="F102" s="16">
        <f>+D102*E102</f>
        <v>0</v>
      </c>
      <c r="G102">
        <f t="shared" si="3"/>
        <v>0</v>
      </c>
    </row>
    <row r="103" spans="1:7" hidden="1" x14ac:dyDescent="0.25">
      <c r="A103" s="71" t="s">
        <v>1201</v>
      </c>
      <c r="B103" s="72" t="s">
        <v>1205</v>
      </c>
      <c r="C103" s="67" t="s">
        <v>37</v>
      </c>
      <c r="D103" s="14"/>
      <c r="E103" s="15"/>
      <c r="F103" s="16">
        <f>+D103*E103</f>
        <v>0</v>
      </c>
      <c r="G103">
        <f t="shared" si="3"/>
        <v>0</v>
      </c>
    </row>
    <row r="104" spans="1:7" hidden="1" x14ac:dyDescent="0.25">
      <c r="A104" s="71" t="s">
        <v>895</v>
      </c>
      <c r="B104" s="72" t="s">
        <v>896</v>
      </c>
      <c r="C104" s="67" t="s">
        <v>37</v>
      </c>
      <c r="D104" s="14"/>
      <c r="E104" s="15"/>
      <c r="F104" s="16">
        <f>+D104*E104</f>
        <v>0</v>
      </c>
      <c r="G104">
        <f t="shared" si="3"/>
        <v>0</v>
      </c>
    </row>
    <row r="105" spans="1:7" hidden="1" x14ac:dyDescent="0.25">
      <c r="A105" s="71" t="s">
        <v>1202</v>
      </c>
      <c r="B105" s="72" t="s">
        <v>1206</v>
      </c>
      <c r="C105" s="67" t="s">
        <v>37</v>
      </c>
      <c r="D105" s="14"/>
      <c r="E105" s="15"/>
      <c r="F105" s="16">
        <f>+D105*E105</f>
        <v>0</v>
      </c>
      <c r="G105">
        <f t="shared" si="3"/>
        <v>0</v>
      </c>
    </row>
    <row r="106" spans="1:7" hidden="1" x14ac:dyDescent="0.25">
      <c r="A106" s="71" t="s">
        <v>1203</v>
      </c>
      <c r="B106" s="72" t="s">
        <v>1207</v>
      </c>
      <c r="C106" s="67" t="s">
        <v>37</v>
      </c>
      <c r="D106" s="14"/>
      <c r="E106" s="15"/>
      <c r="F106" s="16">
        <f>+D106*E106</f>
        <v>0</v>
      </c>
      <c r="G106">
        <f t="shared" si="3"/>
        <v>0</v>
      </c>
    </row>
    <row r="107" spans="1:7" hidden="1" x14ac:dyDescent="0.25">
      <c r="A107" s="65" t="s">
        <v>1208</v>
      </c>
      <c r="B107" s="66" t="s">
        <v>1210</v>
      </c>
      <c r="C107" s="67"/>
      <c r="D107" s="14"/>
      <c r="E107" s="15"/>
      <c r="F107" s="16"/>
      <c r="G107">
        <f t="shared" si="3"/>
        <v>0</v>
      </c>
    </row>
    <row r="108" spans="1:7" hidden="1" x14ac:dyDescent="0.25">
      <c r="A108" s="71" t="s">
        <v>1209</v>
      </c>
      <c r="B108" s="72" t="s">
        <v>1215</v>
      </c>
      <c r="C108" s="67" t="s">
        <v>37</v>
      </c>
      <c r="D108" s="14"/>
      <c r="E108" s="15"/>
      <c r="F108" s="16">
        <f>+D108*E108</f>
        <v>0</v>
      </c>
      <c r="G108">
        <f t="shared" si="3"/>
        <v>0</v>
      </c>
    </row>
    <row r="109" spans="1:7" hidden="1" x14ac:dyDescent="0.25">
      <c r="A109" s="71" t="s">
        <v>1211</v>
      </c>
      <c r="B109" s="72" t="s">
        <v>1216</v>
      </c>
      <c r="C109" s="67" t="s">
        <v>37</v>
      </c>
      <c r="D109" s="14"/>
      <c r="E109" s="15"/>
      <c r="F109" s="16">
        <f>+D109*E109</f>
        <v>0</v>
      </c>
      <c r="G109">
        <f t="shared" si="3"/>
        <v>0</v>
      </c>
    </row>
    <row r="110" spans="1:7" hidden="1" x14ac:dyDescent="0.25">
      <c r="A110" s="71" t="s">
        <v>1212</v>
      </c>
      <c r="B110" s="72" t="s">
        <v>1217</v>
      </c>
      <c r="C110" s="67" t="s">
        <v>37</v>
      </c>
      <c r="D110" s="14"/>
      <c r="E110" s="15"/>
      <c r="F110" s="16">
        <f>+D110*E110</f>
        <v>0</v>
      </c>
      <c r="G110">
        <f t="shared" si="3"/>
        <v>0</v>
      </c>
    </row>
    <row r="111" spans="1:7" hidden="1" x14ac:dyDescent="0.25">
      <c r="A111" s="71" t="s">
        <v>1213</v>
      </c>
      <c r="B111" s="72" t="s">
        <v>1218</v>
      </c>
      <c r="C111" s="67" t="s">
        <v>37</v>
      </c>
      <c r="D111" s="14"/>
      <c r="E111" s="15"/>
      <c r="F111" s="16">
        <f>+D111*E111</f>
        <v>0</v>
      </c>
      <c r="G111">
        <f t="shared" si="3"/>
        <v>0</v>
      </c>
    </row>
    <row r="112" spans="1:7" hidden="1" x14ac:dyDescent="0.25">
      <c r="A112" s="71" t="s">
        <v>1214</v>
      </c>
      <c r="B112" s="72" t="s">
        <v>1219</v>
      </c>
      <c r="C112" s="67" t="s">
        <v>37</v>
      </c>
      <c r="D112" s="14"/>
      <c r="E112" s="15"/>
      <c r="F112" s="16">
        <f>+D112*E112</f>
        <v>0</v>
      </c>
      <c r="G112">
        <f t="shared" si="3"/>
        <v>0</v>
      </c>
    </row>
    <row r="113" spans="1:7" hidden="1" x14ac:dyDescent="0.25">
      <c r="A113" s="44" t="s">
        <v>897</v>
      </c>
      <c r="B113" s="80" t="s">
        <v>898</v>
      </c>
      <c r="C113" s="14"/>
      <c r="D113" s="14"/>
      <c r="E113" s="15"/>
      <c r="F113" s="16"/>
      <c r="G113">
        <f t="shared" si="3"/>
        <v>0</v>
      </c>
    </row>
    <row r="114" spans="1:7" hidden="1" x14ac:dyDescent="0.25">
      <c r="A114" s="44" t="s">
        <v>899</v>
      </c>
      <c r="B114" s="80" t="s">
        <v>900</v>
      </c>
      <c r="C114" s="14"/>
      <c r="D114" s="14"/>
      <c r="E114" s="15"/>
      <c r="F114" s="16"/>
      <c r="G114">
        <f t="shared" si="3"/>
        <v>0</v>
      </c>
    </row>
    <row r="115" spans="1:7" hidden="1" x14ac:dyDescent="0.25">
      <c r="A115" s="43" t="s">
        <v>1227</v>
      </c>
      <c r="B115" s="81" t="s">
        <v>1221</v>
      </c>
      <c r="C115" s="14" t="s">
        <v>902</v>
      </c>
      <c r="D115" s="14"/>
      <c r="E115" s="15"/>
      <c r="F115" s="16">
        <f t="shared" ref="F115:F122" si="5">+D115*E115</f>
        <v>0</v>
      </c>
      <c r="G115">
        <f t="shared" si="3"/>
        <v>0</v>
      </c>
    </row>
    <row r="116" spans="1:7" hidden="1" x14ac:dyDescent="0.25">
      <c r="A116" s="43" t="s">
        <v>901</v>
      </c>
      <c r="B116" s="81" t="s">
        <v>1220</v>
      </c>
      <c r="C116" s="14" t="s">
        <v>902</v>
      </c>
      <c r="D116" s="14"/>
      <c r="E116" s="15"/>
      <c r="F116" s="16">
        <f t="shared" si="5"/>
        <v>0</v>
      </c>
      <c r="G116">
        <f t="shared" si="3"/>
        <v>0</v>
      </c>
    </row>
    <row r="117" spans="1:7" hidden="1" x14ac:dyDescent="0.25">
      <c r="A117" s="43" t="s">
        <v>903</v>
      </c>
      <c r="B117" s="81" t="s">
        <v>1262</v>
      </c>
      <c r="C117" s="14" t="s">
        <v>902</v>
      </c>
      <c r="D117" s="14"/>
      <c r="E117" s="15"/>
      <c r="F117" s="16">
        <f t="shared" si="5"/>
        <v>0</v>
      </c>
      <c r="G117">
        <f t="shared" si="3"/>
        <v>0</v>
      </c>
    </row>
    <row r="118" spans="1:7" hidden="1" x14ac:dyDescent="0.25">
      <c r="A118" s="43" t="s">
        <v>904</v>
      </c>
      <c r="B118" s="81" t="s">
        <v>1222</v>
      </c>
      <c r="C118" s="14" t="s">
        <v>902</v>
      </c>
      <c r="D118" s="14"/>
      <c r="E118" s="15"/>
      <c r="F118" s="16">
        <f t="shared" si="5"/>
        <v>0</v>
      </c>
      <c r="G118">
        <f t="shared" si="3"/>
        <v>0</v>
      </c>
    </row>
    <row r="119" spans="1:7" hidden="1" x14ac:dyDescent="0.25">
      <c r="A119" s="43" t="s">
        <v>905</v>
      </c>
      <c r="B119" s="81" t="s">
        <v>1223</v>
      </c>
      <c r="C119" s="14" t="s">
        <v>902</v>
      </c>
      <c r="D119" s="14"/>
      <c r="E119" s="15"/>
      <c r="F119" s="16">
        <f t="shared" si="5"/>
        <v>0</v>
      </c>
      <c r="G119">
        <f t="shared" si="3"/>
        <v>0</v>
      </c>
    </row>
    <row r="120" spans="1:7" hidden="1" x14ac:dyDescent="0.25">
      <c r="A120" s="43" t="s">
        <v>906</v>
      </c>
      <c r="B120" s="81" t="s">
        <v>1224</v>
      </c>
      <c r="C120" s="14" t="s">
        <v>902</v>
      </c>
      <c r="D120" s="14"/>
      <c r="E120" s="15">
        <f>+SUM!H118</f>
        <v>908339</v>
      </c>
      <c r="F120" s="16">
        <f t="shared" si="5"/>
        <v>0</v>
      </c>
      <c r="G120">
        <f t="shared" si="3"/>
        <v>0</v>
      </c>
    </row>
    <row r="121" spans="1:7" hidden="1" x14ac:dyDescent="0.25">
      <c r="A121" s="43" t="s">
        <v>907</v>
      </c>
      <c r="B121" s="81" t="s">
        <v>1225</v>
      </c>
      <c r="C121" s="14" t="s">
        <v>902</v>
      </c>
      <c r="D121" s="14"/>
      <c r="E121" s="15"/>
      <c r="F121" s="16">
        <f t="shared" si="5"/>
        <v>0</v>
      </c>
      <c r="G121">
        <f t="shared" si="3"/>
        <v>0</v>
      </c>
    </row>
    <row r="122" spans="1:7" hidden="1" x14ac:dyDescent="0.25">
      <c r="A122" s="43" t="s">
        <v>908</v>
      </c>
      <c r="B122" s="81" t="s">
        <v>1226</v>
      </c>
      <c r="C122" s="14" t="s">
        <v>902</v>
      </c>
      <c r="D122" s="14"/>
      <c r="E122" s="15"/>
      <c r="F122" s="16">
        <f t="shared" si="5"/>
        <v>0</v>
      </c>
      <c r="G122">
        <f t="shared" si="3"/>
        <v>0</v>
      </c>
    </row>
    <row r="123" spans="1:7" hidden="1" x14ac:dyDescent="0.25">
      <c r="A123" s="44" t="s">
        <v>909</v>
      </c>
      <c r="B123" s="80" t="s">
        <v>910</v>
      </c>
      <c r="C123" s="14"/>
      <c r="D123" s="14"/>
      <c r="E123" s="15"/>
      <c r="F123" s="16"/>
      <c r="G123">
        <f t="shared" si="3"/>
        <v>0</v>
      </c>
    </row>
    <row r="124" spans="1:7" hidden="1" x14ac:dyDescent="0.25">
      <c r="A124" s="43" t="s">
        <v>911</v>
      </c>
      <c r="B124" s="81" t="s">
        <v>1228</v>
      </c>
      <c r="C124" s="14" t="s">
        <v>902</v>
      </c>
      <c r="D124" s="14"/>
      <c r="E124" s="15"/>
      <c r="F124" s="16">
        <f t="shared" ref="F124:F131" si="6">+D124*E124</f>
        <v>0</v>
      </c>
      <c r="G124">
        <f t="shared" si="3"/>
        <v>0</v>
      </c>
    </row>
    <row r="125" spans="1:7" hidden="1" x14ac:dyDescent="0.25">
      <c r="A125" s="43" t="s">
        <v>1235</v>
      </c>
      <c r="B125" s="81" t="s">
        <v>1229</v>
      </c>
      <c r="C125" s="14" t="s">
        <v>37</v>
      </c>
      <c r="D125" s="14"/>
      <c r="E125" s="15"/>
      <c r="F125" s="16">
        <f t="shared" si="6"/>
        <v>0</v>
      </c>
      <c r="G125">
        <f t="shared" si="3"/>
        <v>0</v>
      </c>
    </row>
    <row r="126" spans="1:7" hidden="1" x14ac:dyDescent="0.25">
      <c r="A126" s="43" t="s">
        <v>912</v>
      </c>
      <c r="B126" s="81" t="s">
        <v>1265</v>
      </c>
      <c r="C126" s="14" t="s">
        <v>37</v>
      </c>
      <c r="D126" s="14"/>
      <c r="E126" s="15"/>
      <c r="F126" s="16">
        <f t="shared" si="6"/>
        <v>0</v>
      </c>
      <c r="G126">
        <f t="shared" si="3"/>
        <v>0</v>
      </c>
    </row>
    <row r="127" spans="1:7" hidden="1" x14ac:dyDescent="0.25">
      <c r="A127" s="43" t="s">
        <v>913</v>
      </c>
      <c r="B127" s="81" t="s">
        <v>1230</v>
      </c>
      <c r="C127" s="14" t="s">
        <v>37</v>
      </c>
      <c r="D127" s="14"/>
      <c r="E127" s="15"/>
      <c r="F127" s="16">
        <f t="shared" si="6"/>
        <v>0</v>
      </c>
      <c r="G127">
        <f t="shared" si="3"/>
        <v>0</v>
      </c>
    </row>
    <row r="128" spans="1:7" hidden="1" x14ac:dyDescent="0.25">
      <c r="A128" s="43" t="s">
        <v>914</v>
      </c>
      <c r="B128" s="81" t="s">
        <v>1231</v>
      </c>
      <c r="C128" s="14" t="s">
        <v>37</v>
      </c>
      <c r="D128" s="14"/>
      <c r="E128" s="15"/>
      <c r="F128" s="16">
        <f t="shared" si="6"/>
        <v>0</v>
      </c>
      <c r="G128">
        <f t="shared" si="3"/>
        <v>0</v>
      </c>
    </row>
    <row r="129" spans="1:7" hidden="1" x14ac:dyDescent="0.25">
      <c r="A129" s="43" t="s">
        <v>915</v>
      </c>
      <c r="B129" s="81" t="s">
        <v>1232</v>
      </c>
      <c r="C129" s="14" t="s">
        <v>37</v>
      </c>
      <c r="D129" s="14"/>
      <c r="E129" s="15"/>
      <c r="F129" s="16">
        <f t="shared" si="6"/>
        <v>0</v>
      </c>
      <c r="G129">
        <f t="shared" si="3"/>
        <v>0</v>
      </c>
    </row>
    <row r="130" spans="1:7" hidden="1" x14ac:dyDescent="0.25">
      <c r="A130" s="43" t="s">
        <v>916</v>
      </c>
      <c r="B130" s="81" t="s">
        <v>1233</v>
      </c>
      <c r="C130" s="14" t="s">
        <v>37</v>
      </c>
      <c r="D130" s="14"/>
      <c r="E130" s="15"/>
      <c r="F130" s="16">
        <f t="shared" si="6"/>
        <v>0</v>
      </c>
      <c r="G130">
        <f t="shared" si="3"/>
        <v>0</v>
      </c>
    </row>
    <row r="131" spans="1:7" hidden="1" x14ac:dyDescent="0.25">
      <c r="A131" s="43" t="s">
        <v>917</v>
      </c>
      <c r="B131" s="81" t="s">
        <v>1234</v>
      </c>
      <c r="C131" s="14" t="s">
        <v>37</v>
      </c>
      <c r="D131" s="14"/>
      <c r="E131" s="15"/>
      <c r="F131" s="16">
        <f t="shared" si="6"/>
        <v>0</v>
      </c>
      <c r="G131">
        <f t="shared" si="3"/>
        <v>0</v>
      </c>
    </row>
    <row r="132" spans="1:7" hidden="1" x14ac:dyDescent="0.25">
      <c r="A132" s="44" t="s">
        <v>918</v>
      </c>
      <c r="B132" s="80" t="s">
        <v>919</v>
      </c>
      <c r="C132" s="14"/>
      <c r="D132" s="14"/>
      <c r="E132" s="15"/>
      <c r="F132" s="16"/>
      <c r="G132">
        <f t="shared" si="3"/>
        <v>0</v>
      </c>
    </row>
    <row r="133" spans="1:7" hidden="1" x14ac:dyDescent="0.25">
      <c r="A133" s="43" t="s">
        <v>920</v>
      </c>
      <c r="B133" s="81" t="s">
        <v>1236</v>
      </c>
      <c r="C133" s="14" t="s">
        <v>37</v>
      </c>
      <c r="D133" s="14"/>
      <c r="E133" s="15"/>
      <c r="F133" s="16">
        <f t="shared" ref="F133:F140" si="7">+D133*E133</f>
        <v>0</v>
      </c>
      <c r="G133">
        <f t="shared" si="3"/>
        <v>0</v>
      </c>
    </row>
    <row r="134" spans="1:7" hidden="1" x14ac:dyDescent="0.25">
      <c r="A134" s="43" t="s">
        <v>1250</v>
      </c>
      <c r="B134" s="81" t="s">
        <v>1237</v>
      </c>
      <c r="C134" s="14" t="s">
        <v>37</v>
      </c>
      <c r="D134" s="14"/>
      <c r="E134" s="15"/>
      <c r="F134" s="16">
        <f t="shared" si="7"/>
        <v>0</v>
      </c>
      <c r="G134">
        <f t="shared" si="3"/>
        <v>0</v>
      </c>
    </row>
    <row r="135" spans="1:7" hidden="1" x14ac:dyDescent="0.25">
      <c r="A135" s="43" t="s">
        <v>921</v>
      </c>
      <c r="B135" s="81" t="s">
        <v>1263</v>
      </c>
      <c r="C135" s="14" t="s">
        <v>37</v>
      </c>
      <c r="D135" s="14"/>
      <c r="E135" s="15"/>
      <c r="F135" s="16">
        <f t="shared" si="7"/>
        <v>0</v>
      </c>
      <c r="G135">
        <f t="shared" si="3"/>
        <v>0</v>
      </c>
    </row>
    <row r="136" spans="1:7" hidden="1" x14ac:dyDescent="0.25">
      <c r="A136" s="43" t="s">
        <v>922</v>
      </c>
      <c r="B136" s="81" t="s">
        <v>1238</v>
      </c>
      <c r="C136" s="14" t="s">
        <v>37</v>
      </c>
      <c r="D136" s="14"/>
      <c r="E136" s="15"/>
      <c r="F136" s="16">
        <f t="shared" si="7"/>
        <v>0</v>
      </c>
      <c r="G136">
        <f t="shared" si="3"/>
        <v>0</v>
      </c>
    </row>
    <row r="137" spans="1:7" hidden="1" x14ac:dyDescent="0.25">
      <c r="A137" s="43" t="s">
        <v>923</v>
      </c>
      <c r="B137" s="81" t="s">
        <v>1239</v>
      </c>
      <c r="C137" s="14" t="s">
        <v>37</v>
      </c>
      <c r="D137" s="14"/>
      <c r="E137" s="15"/>
      <c r="F137" s="16">
        <f t="shared" si="7"/>
        <v>0</v>
      </c>
      <c r="G137">
        <f t="shared" ref="G137:G200" si="8">+IF(F137&lt;&gt;0,1,0)</f>
        <v>0</v>
      </c>
    </row>
    <row r="138" spans="1:7" hidden="1" x14ac:dyDescent="0.25">
      <c r="A138" s="43" t="s">
        <v>924</v>
      </c>
      <c r="B138" s="81" t="s">
        <v>1240</v>
      </c>
      <c r="C138" s="14" t="s">
        <v>37</v>
      </c>
      <c r="D138" s="14"/>
      <c r="E138" s="15"/>
      <c r="F138" s="16">
        <f t="shared" si="7"/>
        <v>0</v>
      </c>
      <c r="G138">
        <f t="shared" si="8"/>
        <v>0</v>
      </c>
    </row>
    <row r="139" spans="1:7" hidden="1" x14ac:dyDescent="0.25">
      <c r="A139" s="43" t="s">
        <v>925</v>
      </c>
      <c r="B139" s="81" t="s">
        <v>1241</v>
      </c>
      <c r="C139" s="14" t="s">
        <v>37</v>
      </c>
      <c r="D139" s="14"/>
      <c r="E139" s="15"/>
      <c r="F139" s="16">
        <f t="shared" si="7"/>
        <v>0</v>
      </c>
      <c r="G139">
        <f t="shared" si="8"/>
        <v>0</v>
      </c>
    </row>
    <row r="140" spans="1:7" hidden="1" x14ac:dyDescent="0.25">
      <c r="A140" s="43" t="s">
        <v>926</v>
      </c>
      <c r="B140" s="81" t="s">
        <v>1242</v>
      </c>
      <c r="C140" s="14" t="s">
        <v>37</v>
      </c>
      <c r="D140" s="14"/>
      <c r="E140" s="15"/>
      <c r="F140" s="16">
        <f t="shared" si="7"/>
        <v>0</v>
      </c>
      <c r="G140">
        <f t="shared" si="8"/>
        <v>0</v>
      </c>
    </row>
    <row r="141" spans="1:7" hidden="1" x14ac:dyDescent="0.25">
      <c r="A141" s="44" t="s">
        <v>927</v>
      </c>
      <c r="B141" s="80" t="s">
        <v>928</v>
      </c>
      <c r="C141" s="14"/>
      <c r="D141" s="14"/>
      <c r="E141" s="15"/>
      <c r="F141" s="16"/>
      <c r="G141">
        <f t="shared" si="8"/>
        <v>0</v>
      </c>
    </row>
    <row r="142" spans="1:7" hidden="1" x14ac:dyDescent="0.25">
      <c r="A142" s="43" t="s">
        <v>929</v>
      </c>
      <c r="B142" s="81" t="s">
        <v>1243</v>
      </c>
      <c r="C142" s="14" t="s">
        <v>37</v>
      </c>
      <c r="D142" s="14"/>
      <c r="E142" s="15"/>
      <c r="F142" s="16">
        <f t="shared" ref="F142:F168" si="9">+D142*E142</f>
        <v>0</v>
      </c>
      <c r="G142">
        <f t="shared" si="8"/>
        <v>0</v>
      </c>
    </row>
    <row r="143" spans="1:7" hidden="1" x14ac:dyDescent="0.25">
      <c r="A143" s="43" t="s">
        <v>1251</v>
      </c>
      <c r="B143" s="81" t="s">
        <v>1244</v>
      </c>
      <c r="C143" s="14" t="s">
        <v>37</v>
      </c>
      <c r="D143" s="14"/>
      <c r="E143" s="15"/>
      <c r="F143" s="16">
        <f t="shared" si="9"/>
        <v>0</v>
      </c>
      <c r="G143">
        <f t="shared" si="8"/>
        <v>0</v>
      </c>
    </row>
    <row r="144" spans="1:7" hidden="1" x14ac:dyDescent="0.25">
      <c r="A144" s="43" t="s">
        <v>930</v>
      </c>
      <c r="B144" s="81" t="s">
        <v>1264</v>
      </c>
      <c r="C144" s="14" t="s">
        <v>37</v>
      </c>
      <c r="D144" s="14"/>
      <c r="E144" s="15"/>
      <c r="F144" s="16">
        <f t="shared" si="9"/>
        <v>0</v>
      </c>
      <c r="G144">
        <f t="shared" si="8"/>
        <v>0</v>
      </c>
    </row>
    <row r="145" spans="1:7" hidden="1" x14ac:dyDescent="0.25">
      <c r="A145" s="43" t="s">
        <v>931</v>
      </c>
      <c r="B145" s="81" t="s">
        <v>1245</v>
      </c>
      <c r="C145" s="14" t="s">
        <v>37</v>
      </c>
      <c r="D145" s="14"/>
      <c r="E145" s="15"/>
      <c r="F145" s="16">
        <f t="shared" si="9"/>
        <v>0</v>
      </c>
      <c r="G145">
        <f t="shared" si="8"/>
        <v>0</v>
      </c>
    </row>
    <row r="146" spans="1:7" hidden="1" x14ac:dyDescent="0.25">
      <c r="A146" s="43" t="s">
        <v>932</v>
      </c>
      <c r="B146" s="81" t="s">
        <v>1246</v>
      </c>
      <c r="C146" s="14" t="s">
        <v>37</v>
      </c>
      <c r="D146" s="14"/>
      <c r="E146" s="15"/>
      <c r="F146" s="16">
        <f t="shared" si="9"/>
        <v>0</v>
      </c>
      <c r="G146">
        <f t="shared" si="8"/>
        <v>0</v>
      </c>
    </row>
    <row r="147" spans="1:7" hidden="1" x14ac:dyDescent="0.25">
      <c r="A147" s="43" t="s">
        <v>933</v>
      </c>
      <c r="B147" s="81" t="s">
        <v>1247</v>
      </c>
      <c r="C147" s="14" t="s">
        <v>37</v>
      </c>
      <c r="D147" s="14"/>
      <c r="E147" s="15"/>
      <c r="F147" s="16">
        <f t="shared" si="9"/>
        <v>0</v>
      </c>
      <c r="G147">
        <f t="shared" si="8"/>
        <v>0</v>
      </c>
    </row>
    <row r="148" spans="1:7" hidden="1" x14ac:dyDescent="0.25">
      <c r="A148" s="43" t="s">
        <v>934</v>
      </c>
      <c r="B148" s="81" t="s">
        <v>1248</v>
      </c>
      <c r="C148" s="14" t="s">
        <v>37</v>
      </c>
      <c r="D148" s="14"/>
      <c r="E148" s="15"/>
      <c r="F148" s="16">
        <f t="shared" si="9"/>
        <v>0</v>
      </c>
      <c r="G148">
        <f t="shared" si="8"/>
        <v>0</v>
      </c>
    </row>
    <row r="149" spans="1:7" hidden="1" x14ac:dyDescent="0.25">
      <c r="A149" s="43" t="s">
        <v>935</v>
      </c>
      <c r="B149" s="81" t="s">
        <v>1249</v>
      </c>
      <c r="C149" s="14" t="s">
        <v>37</v>
      </c>
      <c r="D149" s="14"/>
      <c r="E149" s="15"/>
      <c r="F149" s="16">
        <f t="shared" si="9"/>
        <v>0</v>
      </c>
      <c r="G149">
        <f t="shared" si="8"/>
        <v>0</v>
      </c>
    </row>
    <row r="150" spans="1:7" hidden="1" x14ac:dyDescent="0.25">
      <c r="A150" s="44" t="s">
        <v>1252</v>
      </c>
      <c r="B150" s="80" t="s">
        <v>1253</v>
      </c>
      <c r="C150" s="14"/>
      <c r="D150" s="14"/>
      <c r="E150" s="15"/>
      <c r="F150" s="16"/>
      <c r="G150">
        <f t="shared" si="8"/>
        <v>0</v>
      </c>
    </row>
    <row r="151" spans="1:7" hidden="1" x14ac:dyDescent="0.25">
      <c r="A151" s="43" t="s">
        <v>1257</v>
      </c>
      <c r="B151" s="81" t="s">
        <v>1254</v>
      </c>
      <c r="C151" s="14" t="s">
        <v>37</v>
      </c>
      <c r="D151" s="14"/>
      <c r="E151" s="15"/>
      <c r="F151" s="16">
        <f t="shared" si="9"/>
        <v>0</v>
      </c>
      <c r="G151">
        <f t="shared" si="8"/>
        <v>0</v>
      </c>
    </row>
    <row r="152" spans="1:7" hidden="1" x14ac:dyDescent="0.25">
      <c r="A152" s="43" t="s">
        <v>1258</v>
      </c>
      <c r="B152" s="81" t="s">
        <v>1255</v>
      </c>
      <c r="C152" s="14" t="s">
        <v>37</v>
      </c>
      <c r="D152" s="14"/>
      <c r="E152" s="15"/>
      <c r="F152" s="16">
        <f t="shared" si="9"/>
        <v>0</v>
      </c>
      <c r="G152">
        <f t="shared" si="8"/>
        <v>0</v>
      </c>
    </row>
    <row r="153" spans="1:7" hidden="1" x14ac:dyDescent="0.25">
      <c r="A153" s="43" t="s">
        <v>1259</v>
      </c>
      <c r="B153" s="81" t="s">
        <v>1256</v>
      </c>
      <c r="C153" s="14" t="s">
        <v>37</v>
      </c>
      <c r="D153" s="14"/>
      <c r="E153" s="15"/>
      <c r="F153" s="16">
        <f t="shared" si="9"/>
        <v>0</v>
      </c>
      <c r="G153">
        <f t="shared" si="8"/>
        <v>0</v>
      </c>
    </row>
    <row r="154" spans="1:7" hidden="1" x14ac:dyDescent="0.25">
      <c r="A154" s="44" t="s">
        <v>1261</v>
      </c>
      <c r="B154" s="80" t="s">
        <v>1260</v>
      </c>
      <c r="C154" s="14"/>
      <c r="D154" s="14"/>
      <c r="E154" s="15"/>
      <c r="F154" s="16"/>
      <c r="G154">
        <f t="shared" si="8"/>
        <v>0</v>
      </c>
    </row>
    <row r="155" spans="1:7" hidden="1" x14ac:dyDescent="0.25">
      <c r="A155" s="43" t="s">
        <v>1273</v>
      </c>
      <c r="B155" s="81" t="s">
        <v>1266</v>
      </c>
      <c r="C155" s="14" t="s">
        <v>37</v>
      </c>
      <c r="D155" s="14"/>
      <c r="E155" s="15"/>
      <c r="F155" s="16">
        <f t="shared" si="9"/>
        <v>0</v>
      </c>
      <c r="G155">
        <f t="shared" si="8"/>
        <v>0</v>
      </c>
    </row>
    <row r="156" spans="1:7" hidden="1" x14ac:dyDescent="0.25">
      <c r="A156" s="43" t="s">
        <v>1274</v>
      </c>
      <c r="B156" s="81" t="s">
        <v>1267</v>
      </c>
      <c r="C156" s="14" t="s">
        <v>37</v>
      </c>
      <c r="D156" s="14"/>
      <c r="E156" s="15"/>
      <c r="F156" s="16">
        <f t="shared" si="9"/>
        <v>0</v>
      </c>
      <c r="G156">
        <f t="shared" si="8"/>
        <v>0</v>
      </c>
    </row>
    <row r="157" spans="1:7" hidden="1" x14ac:dyDescent="0.25">
      <c r="A157" s="43" t="s">
        <v>1275</v>
      </c>
      <c r="B157" s="81" t="s">
        <v>1268</v>
      </c>
      <c r="C157" s="14" t="s">
        <v>37</v>
      </c>
      <c r="D157" s="14"/>
      <c r="E157" s="15"/>
      <c r="F157" s="16">
        <f t="shared" si="9"/>
        <v>0</v>
      </c>
      <c r="G157">
        <f t="shared" si="8"/>
        <v>0</v>
      </c>
    </row>
    <row r="158" spans="1:7" hidden="1" x14ac:dyDescent="0.25">
      <c r="A158" s="43" t="s">
        <v>1276</v>
      </c>
      <c r="B158" s="81" t="s">
        <v>1269</v>
      </c>
      <c r="C158" s="14" t="s">
        <v>37</v>
      </c>
      <c r="D158" s="14"/>
      <c r="E158" s="15"/>
      <c r="F158" s="16">
        <f t="shared" si="9"/>
        <v>0</v>
      </c>
      <c r="G158">
        <f t="shared" si="8"/>
        <v>0</v>
      </c>
    </row>
    <row r="159" spans="1:7" hidden="1" x14ac:dyDescent="0.25">
      <c r="A159" s="43" t="s">
        <v>1277</v>
      </c>
      <c r="B159" s="81" t="s">
        <v>1270</v>
      </c>
      <c r="C159" s="14" t="s">
        <v>37</v>
      </c>
      <c r="D159" s="14"/>
      <c r="E159" s="15"/>
      <c r="F159" s="16">
        <f t="shared" si="9"/>
        <v>0</v>
      </c>
      <c r="G159">
        <f t="shared" si="8"/>
        <v>0</v>
      </c>
    </row>
    <row r="160" spans="1:7" hidden="1" x14ac:dyDescent="0.25">
      <c r="A160" s="43" t="s">
        <v>1278</v>
      </c>
      <c r="B160" s="81" t="s">
        <v>1271</v>
      </c>
      <c r="C160" s="14" t="s">
        <v>37</v>
      </c>
      <c r="D160" s="14"/>
      <c r="E160" s="15"/>
      <c r="F160" s="16">
        <f t="shared" si="9"/>
        <v>0</v>
      </c>
      <c r="G160">
        <f t="shared" si="8"/>
        <v>0</v>
      </c>
    </row>
    <row r="161" spans="1:7" hidden="1" x14ac:dyDescent="0.25">
      <c r="A161" s="43" t="s">
        <v>1279</v>
      </c>
      <c r="B161" s="81" t="s">
        <v>1272</v>
      </c>
      <c r="C161" s="14" t="s">
        <v>37</v>
      </c>
      <c r="D161" s="14"/>
      <c r="E161" s="15"/>
      <c r="F161" s="16">
        <f t="shared" si="9"/>
        <v>0</v>
      </c>
      <c r="G161">
        <f t="shared" si="8"/>
        <v>0</v>
      </c>
    </row>
    <row r="162" spans="1:7" hidden="1" x14ac:dyDescent="0.25">
      <c r="A162" s="44" t="s">
        <v>1280</v>
      </c>
      <c r="B162" s="80" t="s">
        <v>1281</v>
      </c>
      <c r="C162" s="14"/>
      <c r="D162" s="14"/>
      <c r="E162" s="15"/>
      <c r="F162" s="16"/>
      <c r="G162">
        <f t="shared" si="8"/>
        <v>0</v>
      </c>
    </row>
    <row r="163" spans="1:7" hidden="1" x14ac:dyDescent="0.25">
      <c r="A163" s="43" t="s">
        <v>1288</v>
      </c>
      <c r="B163" s="81" t="s">
        <v>1282</v>
      </c>
      <c r="C163" s="14" t="s">
        <v>37</v>
      </c>
      <c r="D163" s="14"/>
      <c r="E163" s="15"/>
      <c r="F163" s="16">
        <f t="shared" si="9"/>
        <v>0</v>
      </c>
      <c r="G163">
        <f t="shared" si="8"/>
        <v>0</v>
      </c>
    </row>
    <row r="164" spans="1:7" hidden="1" x14ac:dyDescent="0.25">
      <c r="A164" s="43" t="s">
        <v>1275</v>
      </c>
      <c r="B164" s="81" t="s">
        <v>1283</v>
      </c>
      <c r="C164" s="14" t="s">
        <v>37</v>
      </c>
      <c r="D164" s="14"/>
      <c r="E164" s="15"/>
      <c r="F164" s="16">
        <f t="shared" si="9"/>
        <v>0</v>
      </c>
      <c r="G164">
        <f t="shared" si="8"/>
        <v>0</v>
      </c>
    </row>
    <row r="165" spans="1:7" hidden="1" x14ac:dyDescent="0.25">
      <c r="A165" s="43" t="s">
        <v>1276</v>
      </c>
      <c r="B165" s="81" t="s">
        <v>1284</v>
      </c>
      <c r="C165" s="14" t="s">
        <v>37</v>
      </c>
      <c r="D165" s="14"/>
      <c r="E165" s="15"/>
      <c r="F165" s="16">
        <f t="shared" si="9"/>
        <v>0</v>
      </c>
      <c r="G165">
        <f t="shared" si="8"/>
        <v>0</v>
      </c>
    </row>
    <row r="166" spans="1:7" hidden="1" x14ac:dyDescent="0.25">
      <c r="A166" s="43" t="s">
        <v>1277</v>
      </c>
      <c r="B166" s="81" t="s">
        <v>1285</v>
      </c>
      <c r="C166" s="14" t="s">
        <v>37</v>
      </c>
      <c r="D166" s="14"/>
      <c r="E166" s="15"/>
      <c r="F166" s="16">
        <f t="shared" si="9"/>
        <v>0</v>
      </c>
      <c r="G166">
        <f t="shared" si="8"/>
        <v>0</v>
      </c>
    </row>
    <row r="167" spans="1:7" hidden="1" x14ac:dyDescent="0.25">
      <c r="A167" s="43" t="s">
        <v>1278</v>
      </c>
      <c r="B167" s="81" t="s">
        <v>1286</v>
      </c>
      <c r="C167" s="14" t="s">
        <v>37</v>
      </c>
      <c r="D167" s="14"/>
      <c r="E167" s="15"/>
      <c r="F167" s="16">
        <f t="shared" si="9"/>
        <v>0</v>
      </c>
      <c r="G167">
        <f t="shared" si="8"/>
        <v>0</v>
      </c>
    </row>
    <row r="168" spans="1:7" hidden="1" x14ac:dyDescent="0.25">
      <c r="A168" s="43" t="s">
        <v>1279</v>
      </c>
      <c r="B168" s="81" t="s">
        <v>1287</v>
      </c>
      <c r="C168" s="14" t="s">
        <v>37</v>
      </c>
      <c r="D168" s="14"/>
      <c r="E168" s="15"/>
      <c r="F168" s="16">
        <f t="shared" si="9"/>
        <v>0</v>
      </c>
      <c r="G168">
        <f t="shared" si="8"/>
        <v>0</v>
      </c>
    </row>
    <row r="169" spans="1:7" hidden="1" x14ac:dyDescent="0.25">
      <c r="A169" s="44" t="s">
        <v>1289</v>
      </c>
      <c r="B169" s="80" t="s">
        <v>1290</v>
      </c>
      <c r="C169" s="14"/>
      <c r="D169" s="14"/>
      <c r="E169" s="15"/>
      <c r="F169" s="16"/>
      <c r="G169">
        <f t="shared" si="8"/>
        <v>0</v>
      </c>
    </row>
    <row r="170" spans="1:7" hidden="1" x14ac:dyDescent="0.25">
      <c r="A170" s="44" t="s">
        <v>1291</v>
      </c>
      <c r="B170" s="80" t="s">
        <v>1294</v>
      </c>
      <c r="C170" s="14"/>
      <c r="D170" s="14"/>
      <c r="E170" s="15"/>
      <c r="F170" s="16"/>
      <c r="G170">
        <f t="shared" si="8"/>
        <v>0</v>
      </c>
    </row>
    <row r="171" spans="1:7" hidden="1" x14ac:dyDescent="0.25">
      <c r="A171" s="43" t="s">
        <v>1292</v>
      </c>
      <c r="B171" s="81" t="s">
        <v>1293</v>
      </c>
      <c r="C171" s="14" t="s">
        <v>37</v>
      </c>
      <c r="D171" s="14"/>
      <c r="E171" s="15"/>
      <c r="F171" s="16">
        <f t="shared" ref="F171:F182" si="10">+D171*E171</f>
        <v>0</v>
      </c>
      <c r="G171">
        <f t="shared" si="8"/>
        <v>0</v>
      </c>
    </row>
    <row r="172" spans="1:7" hidden="1" x14ac:dyDescent="0.25">
      <c r="A172" s="43" t="s">
        <v>1303</v>
      </c>
      <c r="B172" s="81" t="s">
        <v>1295</v>
      </c>
      <c r="C172" s="14" t="s">
        <v>37</v>
      </c>
      <c r="D172" s="14"/>
      <c r="E172" s="15"/>
      <c r="F172" s="16">
        <f t="shared" si="10"/>
        <v>0</v>
      </c>
      <c r="G172">
        <f t="shared" si="8"/>
        <v>0</v>
      </c>
    </row>
    <row r="173" spans="1:7" hidden="1" x14ac:dyDescent="0.25">
      <c r="A173" s="43" t="s">
        <v>1304</v>
      </c>
      <c r="B173" s="81" t="s">
        <v>1296</v>
      </c>
      <c r="C173" s="14" t="s">
        <v>37</v>
      </c>
      <c r="D173" s="14"/>
      <c r="E173" s="15"/>
      <c r="F173" s="16">
        <f t="shared" si="10"/>
        <v>0</v>
      </c>
      <c r="G173">
        <f t="shared" si="8"/>
        <v>0</v>
      </c>
    </row>
    <row r="174" spans="1:7" hidden="1" x14ac:dyDescent="0.25">
      <c r="A174" s="43" t="s">
        <v>1305</v>
      </c>
      <c r="B174" s="81" t="s">
        <v>1297</v>
      </c>
      <c r="C174" s="14" t="s">
        <v>37</v>
      </c>
      <c r="D174" s="14"/>
      <c r="E174" s="15"/>
      <c r="F174" s="16">
        <f t="shared" si="10"/>
        <v>0</v>
      </c>
      <c r="G174">
        <f t="shared" si="8"/>
        <v>0</v>
      </c>
    </row>
    <row r="175" spans="1:7" hidden="1" x14ac:dyDescent="0.25">
      <c r="A175" s="43" t="s">
        <v>1306</v>
      </c>
      <c r="B175" s="81" t="s">
        <v>1298</v>
      </c>
      <c r="C175" s="14" t="s">
        <v>37</v>
      </c>
      <c r="D175" s="14"/>
      <c r="E175" s="15"/>
      <c r="F175" s="16">
        <f t="shared" si="10"/>
        <v>0</v>
      </c>
      <c r="G175">
        <f t="shared" si="8"/>
        <v>0</v>
      </c>
    </row>
    <row r="176" spans="1:7" hidden="1" x14ac:dyDescent="0.25">
      <c r="A176" s="43" t="s">
        <v>1307</v>
      </c>
      <c r="B176" s="81" t="s">
        <v>1299</v>
      </c>
      <c r="C176" s="14" t="s">
        <v>37</v>
      </c>
      <c r="D176" s="14"/>
      <c r="E176" s="15"/>
      <c r="F176" s="16">
        <f t="shared" si="10"/>
        <v>0</v>
      </c>
      <c r="G176">
        <f t="shared" si="8"/>
        <v>0</v>
      </c>
    </row>
    <row r="177" spans="1:7" hidden="1" x14ac:dyDescent="0.25">
      <c r="A177" s="43" t="s">
        <v>1308</v>
      </c>
      <c r="B177" s="81" t="s">
        <v>1300</v>
      </c>
      <c r="C177" s="14" t="s">
        <v>37</v>
      </c>
      <c r="D177" s="14"/>
      <c r="E177" s="15"/>
      <c r="F177" s="16">
        <f t="shared" si="10"/>
        <v>0</v>
      </c>
      <c r="G177">
        <f t="shared" si="8"/>
        <v>0</v>
      </c>
    </row>
    <row r="178" spans="1:7" hidden="1" x14ac:dyDescent="0.25">
      <c r="A178" s="43" t="s">
        <v>1309</v>
      </c>
      <c r="B178" s="81" t="s">
        <v>1301</v>
      </c>
      <c r="C178" s="14" t="s">
        <v>37</v>
      </c>
      <c r="D178" s="14"/>
      <c r="E178" s="15"/>
      <c r="F178" s="16">
        <f t="shared" si="10"/>
        <v>0</v>
      </c>
      <c r="G178">
        <f t="shared" si="8"/>
        <v>0</v>
      </c>
    </row>
    <row r="179" spans="1:7" hidden="1" x14ac:dyDescent="0.25">
      <c r="A179" s="43" t="s">
        <v>1310</v>
      </c>
      <c r="B179" s="81" t="s">
        <v>1302</v>
      </c>
      <c r="C179" s="14" t="s">
        <v>37</v>
      </c>
      <c r="D179" s="14"/>
      <c r="E179" s="15"/>
      <c r="F179" s="16">
        <f t="shared" si="10"/>
        <v>0</v>
      </c>
      <c r="G179">
        <f t="shared" si="8"/>
        <v>0</v>
      </c>
    </row>
    <row r="180" spans="1:7" hidden="1" x14ac:dyDescent="0.25">
      <c r="A180" s="43" t="s">
        <v>1314</v>
      </c>
      <c r="B180" s="81" t="s">
        <v>1311</v>
      </c>
      <c r="C180" s="14" t="s">
        <v>37</v>
      </c>
      <c r="D180" s="14"/>
      <c r="E180" s="15"/>
      <c r="F180" s="16">
        <f t="shared" si="10"/>
        <v>0</v>
      </c>
      <c r="G180">
        <f t="shared" si="8"/>
        <v>0</v>
      </c>
    </row>
    <row r="181" spans="1:7" hidden="1" x14ac:dyDescent="0.25">
      <c r="A181" s="43" t="s">
        <v>1315</v>
      </c>
      <c r="B181" s="81" t="s">
        <v>1312</v>
      </c>
      <c r="C181" s="14" t="s">
        <v>37</v>
      </c>
      <c r="D181" s="14"/>
      <c r="E181" s="15"/>
      <c r="F181" s="16">
        <f t="shared" si="10"/>
        <v>0</v>
      </c>
      <c r="G181">
        <f t="shared" si="8"/>
        <v>0</v>
      </c>
    </row>
    <row r="182" spans="1:7" hidden="1" x14ac:dyDescent="0.25">
      <c r="A182" s="43" t="s">
        <v>1316</v>
      </c>
      <c r="B182" s="81" t="s">
        <v>1313</v>
      </c>
      <c r="C182" s="14" t="s">
        <v>37</v>
      </c>
      <c r="D182" s="14"/>
      <c r="E182" s="15"/>
      <c r="F182" s="16">
        <f t="shared" si="10"/>
        <v>0</v>
      </c>
      <c r="G182">
        <f t="shared" si="8"/>
        <v>0</v>
      </c>
    </row>
    <row r="183" spans="1:7" hidden="1" x14ac:dyDescent="0.25">
      <c r="A183" s="44" t="s">
        <v>1317</v>
      </c>
      <c r="B183" s="80" t="s">
        <v>1318</v>
      </c>
      <c r="C183" s="14"/>
      <c r="D183" s="14"/>
      <c r="E183" s="15"/>
      <c r="F183" s="16"/>
      <c r="G183">
        <f t="shared" si="8"/>
        <v>0</v>
      </c>
    </row>
    <row r="184" spans="1:7" hidden="1" x14ac:dyDescent="0.25">
      <c r="A184" s="43" t="s">
        <v>1326</v>
      </c>
      <c r="B184" s="81" t="s">
        <v>1320</v>
      </c>
      <c r="C184" s="14" t="s">
        <v>37</v>
      </c>
      <c r="D184" s="14"/>
      <c r="E184" s="15"/>
      <c r="F184" s="16">
        <f t="shared" ref="F184:F201" si="11">+D184*E184</f>
        <v>0</v>
      </c>
      <c r="G184">
        <f t="shared" si="8"/>
        <v>0</v>
      </c>
    </row>
    <row r="185" spans="1:7" hidden="1" x14ac:dyDescent="0.25">
      <c r="A185" s="43" t="s">
        <v>1327</v>
      </c>
      <c r="B185" s="81" t="s">
        <v>1319</v>
      </c>
      <c r="C185" s="14" t="s">
        <v>37</v>
      </c>
      <c r="D185" s="14"/>
      <c r="E185" s="15"/>
      <c r="F185" s="16">
        <f t="shared" si="11"/>
        <v>0</v>
      </c>
      <c r="G185">
        <f t="shared" si="8"/>
        <v>0</v>
      </c>
    </row>
    <row r="186" spans="1:7" hidden="1" x14ac:dyDescent="0.25">
      <c r="A186" s="43" t="s">
        <v>1328</v>
      </c>
      <c r="B186" s="81" t="s">
        <v>1321</v>
      </c>
      <c r="C186" s="14" t="s">
        <v>37</v>
      </c>
      <c r="D186" s="14"/>
      <c r="E186" s="15"/>
      <c r="F186" s="16">
        <f t="shared" si="11"/>
        <v>0</v>
      </c>
      <c r="G186">
        <f t="shared" si="8"/>
        <v>0</v>
      </c>
    </row>
    <row r="187" spans="1:7" hidden="1" x14ac:dyDescent="0.25">
      <c r="A187" s="43" t="s">
        <v>1329</v>
      </c>
      <c r="B187" s="81" t="s">
        <v>1322</v>
      </c>
      <c r="C187" s="14" t="s">
        <v>37</v>
      </c>
      <c r="D187" s="14"/>
      <c r="E187" s="15"/>
      <c r="F187" s="16">
        <f t="shared" si="11"/>
        <v>0</v>
      </c>
      <c r="G187">
        <f t="shared" si="8"/>
        <v>0</v>
      </c>
    </row>
    <row r="188" spans="1:7" hidden="1" x14ac:dyDescent="0.25">
      <c r="A188" s="43" t="s">
        <v>1330</v>
      </c>
      <c r="B188" s="81" t="s">
        <v>1323</v>
      </c>
      <c r="C188" s="14" t="s">
        <v>37</v>
      </c>
      <c r="D188" s="14"/>
      <c r="E188" s="15"/>
      <c r="F188" s="16">
        <f t="shared" si="11"/>
        <v>0</v>
      </c>
      <c r="G188">
        <f t="shared" si="8"/>
        <v>0</v>
      </c>
    </row>
    <row r="189" spans="1:7" hidden="1" x14ac:dyDescent="0.25">
      <c r="A189" s="43" t="s">
        <v>1331</v>
      </c>
      <c r="B189" s="81" t="s">
        <v>1324</v>
      </c>
      <c r="C189" s="14" t="s">
        <v>37</v>
      </c>
      <c r="D189" s="14"/>
      <c r="E189" s="15"/>
      <c r="F189" s="16">
        <f t="shared" si="11"/>
        <v>0</v>
      </c>
      <c r="G189">
        <f t="shared" si="8"/>
        <v>0</v>
      </c>
    </row>
    <row r="190" spans="1:7" hidden="1" x14ac:dyDescent="0.25">
      <c r="A190" s="43" t="s">
        <v>1332</v>
      </c>
      <c r="B190" s="81" t="s">
        <v>1325</v>
      </c>
      <c r="C190" s="14" t="s">
        <v>37</v>
      </c>
      <c r="D190" s="14"/>
      <c r="E190" s="15">
        <f>+SUM!H188</f>
        <v>1306434</v>
      </c>
      <c r="F190" s="16">
        <f t="shared" si="11"/>
        <v>0</v>
      </c>
      <c r="G190">
        <f t="shared" si="8"/>
        <v>0</v>
      </c>
    </row>
    <row r="191" spans="1:7" hidden="1" x14ac:dyDescent="0.25">
      <c r="A191" s="43" t="s">
        <v>1333</v>
      </c>
      <c r="B191" s="81" t="s">
        <v>1336</v>
      </c>
      <c r="C191" s="14" t="s">
        <v>37</v>
      </c>
      <c r="D191" s="14"/>
      <c r="E191" s="15"/>
      <c r="F191" s="16">
        <f t="shared" si="11"/>
        <v>0</v>
      </c>
      <c r="G191">
        <f t="shared" si="8"/>
        <v>0</v>
      </c>
    </row>
    <row r="192" spans="1:7" hidden="1" x14ac:dyDescent="0.25">
      <c r="A192" s="43" t="s">
        <v>1334</v>
      </c>
      <c r="B192" s="81" t="s">
        <v>1337</v>
      </c>
      <c r="C192" s="14" t="s">
        <v>37</v>
      </c>
      <c r="D192" s="14"/>
      <c r="E192" s="15"/>
      <c r="F192" s="16">
        <f t="shared" si="11"/>
        <v>0</v>
      </c>
      <c r="G192">
        <f t="shared" si="8"/>
        <v>0</v>
      </c>
    </row>
    <row r="193" spans="1:7" hidden="1" x14ac:dyDescent="0.25">
      <c r="A193" s="43" t="s">
        <v>1335</v>
      </c>
      <c r="B193" s="81" t="s">
        <v>1338</v>
      </c>
      <c r="C193" s="14" t="s">
        <v>37</v>
      </c>
      <c r="D193" s="14"/>
      <c r="E193" s="15"/>
      <c r="F193" s="16">
        <f t="shared" si="11"/>
        <v>0</v>
      </c>
      <c r="G193">
        <f t="shared" si="8"/>
        <v>0</v>
      </c>
    </row>
    <row r="194" spans="1:7" hidden="1" x14ac:dyDescent="0.25">
      <c r="A194" s="43" t="s">
        <v>1347</v>
      </c>
      <c r="B194" s="81" t="s">
        <v>1339</v>
      </c>
      <c r="C194" s="14" t="s">
        <v>37</v>
      </c>
      <c r="D194" s="14"/>
      <c r="E194" s="15"/>
      <c r="F194" s="16">
        <f t="shared" si="11"/>
        <v>0</v>
      </c>
      <c r="G194">
        <f t="shared" si="8"/>
        <v>0</v>
      </c>
    </row>
    <row r="195" spans="1:7" hidden="1" x14ac:dyDescent="0.25">
      <c r="A195" s="43" t="s">
        <v>1348</v>
      </c>
      <c r="B195" s="81" t="s">
        <v>1340</v>
      </c>
      <c r="C195" s="14" t="s">
        <v>37</v>
      </c>
      <c r="D195" s="14"/>
      <c r="E195" s="15"/>
      <c r="F195" s="16">
        <f t="shared" si="11"/>
        <v>0</v>
      </c>
      <c r="G195">
        <f t="shared" si="8"/>
        <v>0</v>
      </c>
    </row>
    <row r="196" spans="1:7" hidden="1" x14ac:dyDescent="0.25">
      <c r="A196" s="43" t="s">
        <v>1349</v>
      </c>
      <c r="B196" s="81" t="s">
        <v>1341</v>
      </c>
      <c r="C196" s="14" t="s">
        <v>37</v>
      </c>
      <c r="D196" s="14"/>
      <c r="E196" s="15"/>
      <c r="F196" s="16">
        <f t="shared" si="11"/>
        <v>0</v>
      </c>
      <c r="G196">
        <f t="shared" si="8"/>
        <v>0</v>
      </c>
    </row>
    <row r="197" spans="1:7" hidden="1" x14ac:dyDescent="0.25">
      <c r="A197" s="43" t="s">
        <v>1350</v>
      </c>
      <c r="B197" s="81" t="s">
        <v>1342</v>
      </c>
      <c r="C197" s="14" t="s">
        <v>37</v>
      </c>
      <c r="D197" s="14"/>
      <c r="E197" s="15"/>
      <c r="F197" s="16">
        <f t="shared" si="11"/>
        <v>0</v>
      </c>
      <c r="G197">
        <f t="shared" si="8"/>
        <v>0</v>
      </c>
    </row>
    <row r="198" spans="1:7" hidden="1" x14ac:dyDescent="0.25">
      <c r="A198" s="43" t="s">
        <v>1351</v>
      </c>
      <c r="B198" s="81" t="s">
        <v>1343</v>
      </c>
      <c r="C198" s="14" t="s">
        <v>37</v>
      </c>
      <c r="D198" s="14"/>
      <c r="E198" s="15"/>
      <c r="F198" s="16">
        <f t="shared" si="11"/>
        <v>0</v>
      </c>
      <c r="G198">
        <f t="shared" si="8"/>
        <v>0</v>
      </c>
    </row>
    <row r="199" spans="1:7" hidden="1" x14ac:dyDescent="0.25">
      <c r="A199" s="43" t="s">
        <v>1352</v>
      </c>
      <c r="B199" s="81" t="s">
        <v>1344</v>
      </c>
      <c r="C199" s="14" t="s">
        <v>37</v>
      </c>
      <c r="D199" s="14"/>
      <c r="E199" s="15"/>
      <c r="F199" s="16">
        <f t="shared" si="11"/>
        <v>0</v>
      </c>
      <c r="G199">
        <f t="shared" si="8"/>
        <v>0</v>
      </c>
    </row>
    <row r="200" spans="1:7" hidden="1" x14ac:dyDescent="0.25">
      <c r="A200" s="43" t="s">
        <v>1353</v>
      </c>
      <c r="B200" s="81" t="s">
        <v>1346</v>
      </c>
      <c r="C200" s="14" t="s">
        <v>37</v>
      </c>
      <c r="D200" s="14"/>
      <c r="E200" s="15"/>
      <c r="F200" s="16">
        <f t="shared" si="11"/>
        <v>0</v>
      </c>
      <c r="G200">
        <f t="shared" si="8"/>
        <v>0</v>
      </c>
    </row>
    <row r="201" spans="1:7" hidden="1" x14ac:dyDescent="0.25">
      <c r="A201" s="43" t="s">
        <v>1354</v>
      </c>
      <c r="B201" s="81" t="s">
        <v>1345</v>
      </c>
      <c r="C201" s="14" t="s">
        <v>37</v>
      </c>
      <c r="D201" s="14"/>
      <c r="E201" s="15"/>
      <c r="F201" s="16">
        <f t="shared" si="11"/>
        <v>0</v>
      </c>
      <c r="G201">
        <f t="shared" ref="G201:G264" si="12">+IF(F201&lt;&gt;0,1,0)</f>
        <v>0</v>
      </c>
    </row>
    <row r="202" spans="1:7" hidden="1" x14ac:dyDescent="0.25">
      <c r="A202" s="44" t="s">
        <v>936</v>
      </c>
      <c r="B202" s="80" t="s">
        <v>1355</v>
      </c>
      <c r="C202" s="14"/>
      <c r="D202" s="14"/>
      <c r="E202" s="15"/>
      <c r="F202" s="16"/>
      <c r="G202">
        <f t="shared" si="12"/>
        <v>0</v>
      </c>
    </row>
    <row r="203" spans="1:7" hidden="1" x14ac:dyDescent="0.25">
      <c r="A203" s="43" t="s">
        <v>1366</v>
      </c>
      <c r="B203" s="81" t="s">
        <v>1356</v>
      </c>
      <c r="C203" s="14" t="s">
        <v>37</v>
      </c>
      <c r="D203" s="14"/>
      <c r="E203" s="15"/>
      <c r="F203" s="16">
        <f t="shared" ref="F203:F211" si="13">+D203*E203</f>
        <v>0</v>
      </c>
      <c r="G203">
        <f t="shared" si="12"/>
        <v>0</v>
      </c>
    </row>
    <row r="204" spans="1:7" hidden="1" x14ac:dyDescent="0.25">
      <c r="A204" s="43" t="s">
        <v>1367</v>
      </c>
      <c r="B204" s="81" t="s">
        <v>1357</v>
      </c>
      <c r="C204" s="14" t="s">
        <v>37</v>
      </c>
      <c r="D204" s="14"/>
      <c r="E204" s="15"/>
      <c r="F204" s="16">
        <f t="shared" si="13"/>
        <v>0</v>
      </c>
      <c r="G204">
        <f t="shared" si="12"/>
        <v>0</v>
      </c>
    </row>
    <row r="205" spans="1:7" hidden="1" x14ac:dyDescent="0.25">
      <c r="A205" s="43" t="s">
        <v>1368</v>
      </c>
      <c r="B205" s="81" t="s">
        <v>1359</v>
      </c>
      <c r="C205" s="14" t="s">
        <v>37</v>
      </c>
      <c r="D205" s="14"/>
      <c r="E205" s="15"/>
      <c r="F205" s="16">
        <f t="shared" si="13"/>
        <v>0</v>
      </c>
      <c r="G205">
        <f t="shared" si="12"/>
        <v>0</v>
      </c>
    </row>
    <row r="206" spans="1:7" hidden="1" x14ac:dyDescent="0.25">
      <c r="A206" s="43" t="s">
        <v>1369</v>
      </c>
      <c r="B206" s="81" t="s">
        <v>1358</v>
      </c>
      <c r="C206" s="14" t="s">
        <v>37</v>
      </c>
      <c r="D206" s="14"/>
      <c r="E206" s="15"/>
      <c r="F206" s="16">
        <f t="shared" si="13"/>
        <v>0</v>
      </c>
      <c r="G206">
        <f t="shared" si="12"/>
        <v>0</v>
      </c>
    </row>
    <row r="207" spans="1:7" hidden="1" x14ac:dyDescent="0.25">
      <c r="A207" s="43" t="s">
        <v>1370</v>
      </c>
      <c r="B207" s="81" t="s">
        <v>1360</v>
      </c>
      <c r="C207" s="14" t="s">
        <v>37</v>
      </c>
      <c r="D207" s="14"/>
      <c r="E207" s="15"/>
      <c r="F207" s="16">
        <f t="shared" si="13"/>
        <v>0</v>
      </c>
      <c r="G207">
        <f t="shared" si="12"/>
        <v>0</v>
      </c>
    </row>
    <row r="208" spans="1:7" hidden="1" x14ac:dyDescent="0.25">
      <c r="A208" s="43" t="s">
        <v>1371</v>
      </c>
      <c r="B208" s="81" t="s">
        <v>1361</v>
      </c>
      <c r="C208" s="14" t="s">
        <v>37</v>
      </c>
      <c r="D208" s="14"/>
      <c r="E208" s="15"/>
      <c r="F208" s="16">
        <f t="shared" si="13"/>
        <v>0</v>
      </c>
      <c r="G208">
        <f t="shared" si="12"/>
        <v>0</v>
      </c>
    </row>
    <row r="209" spans="1:7" hidden="1" x14ac:dyDescent="0.25">
      <c r="A209" s="43" t="s">
        <v>1372</v>
      </c>
      <c r="B209" s="81" t="s">
        <v>1362</v>
      </c>
      <c r="C209" s="14" t="s">
        <v>37</v>
      </c>
      <c r="D209" s="14"/>
      <c r="E209" s="15"/>
      <c r="F209" s="16">
        <f t="shared" si="13"/>
        <v>0</v>
      </c>
      <c r="G209">
        <f t="shared" si="12"/>
        <v>0</v>
      </c>
    </row>
    <row r="210" spans="1:7" hidden="1" x14ac:dyDescent="0.25">
      <c r="A210" s="43" t="s">
        <v>1373</v>
      </c>
      <c r="B210" s="81" t="s">
        <v>1363</v>
      </c>
      <c r="C210" s="14" t="s">
        <v>37</v>
      </c>
      <c r="D210" s="14"/>
      <c r="E210" s="15"/>
      <c r="F210" s="16">
        <f t="shared" si="13"/>
        <v>0</v>
      </c>
      <c r="G210">
        <f t="shared" si="12"/>
        <v>0</v>
      </c>
    </row>
    <row r="211" spans="1:7" hidden="1" x14ac:dyDescent="0.25">
      <c r="A211" s="43" t="s">
        <v>1374</v>
      </c>
      <c r="B211" s="81" t="s">
        <v>1364</v>
      </c>
      <c r="C211" s="14" t="s">
        <v>37</v>
      </c>
      <c r="D211" s="14"/>
      <c r="E211" s="15"/>
      <c r="F211" s="16">
        <f t="shared" si="13"/>
        <v>0</v>
      </c>
      <c r="G211">
        <f t="shared" si="12"/>
        <v>0</v>
      </c>
    </row>
    <row r="212" spans="1:7" hidden="1" x14ac:dyDescent="0.25">
      <c r="A212" s="44" t="s">
        <v>938</v>
      </c>
      <c r="B212" s="80" t="s">
        <v>1375</v>
      </c>
      <c r="C212" s="14"/>
      <c r="D212" s="14"/>
      <c r="E212" s="15"/>
      <c r="F212" s="16"/>
      <c r="G212">
        <f t="shared" si="12"/>
        <v>0</v>
      </c>
    </row>
    <row r="213" spans="1:7" hidden="1" x14ac:dyDescent="0.25">
      <c r="A213" s="43" t="s">
        <v>939</v>
      </c>
      <c r="B213" s="303" t="s">
        <v>1397</v>
      </c>
      <c r="C213" s="14" t="s">
        <v>37</v>
      </c>
      <c r="D213" s="14"/>
      <c r="E213" s="15"/>
      <c r="F213" s="16">
        <f t="shared" ref="F213:F234" si="14">+D213*E213</f>
        <v>0</v>
      </c>
      <c r="G213">
        <f t="shared" si="12"/>
        <v>0</v>
      </c>
    </row>
    <row r="214" spans="1:7" hidden="1" x14ac:dyDescent="0.25">
      <c r="A214" s="43" t="s">
        <v>940</v>
      </c>
      <c r="B214" s="303" t="s">
        <v>1398</v>
      </c>
      <c r="C214" s="14" t="s">
        <v>37</v>
      </c>
      <c r="D214" s="14"/>
      <c r="E214" s="15"/>
      <c r="F214" s="16">
        <f t="shared" si="14"/>
        <v>0</v>
      </c>
      <c r="G214">
        <f t="shared" si="12"/>
        <v>0</v>
      </c>
    </row>
    <row r="215" spans="1:7" hidden="1" x14ac:dyDescent="0.25">
      <c r="A215" s="43" t="s">
        <v>1376</v>
      </c>
      <c r="B215" s="303" t="s">
        <v>1396</v>
      </c>
      <c r="C215" s="14" t="s">
        <v>37</v>
      </c>
      <c r="D215" s="14"/>
      <c r="E215" s="15"/>
      <c r="F215" s="16">
        <f t="shared" si="14"/>
        <v>0</v>
      </c>
      <c r="G215">
        <f t="shared" si="12"/>
        <v>0</v>
      </c>
    </row>
    <row r="216" spans="1:7" hidden="1" x14ac:dyDescent="0.25">
      <c r="A216" s="43" t="s">
        <v>1377</v>
      </c>
      <c r="B216" s="304" t="s">
        <v>1402</v>
      </c>
      <c r="C216" s="14" t="s">
        <v>37</v>
      </c>
      <c r="D216" s="14"/>
      <c r="E216" s="15"/>
      <c r="F216" s="16">
        <f t="shared" si="14"/>
        <v>0</v>
      </c>
      <c r="G216">
        <f t="shared" si="12"/>
        <v>0</v>
      </c>
    </row>
    <row r="217" spans="1:7" hidden="1" x14ac:dyDescent="0.25">
      <c r="A217" s="43" t="s">
        <v>1378</v>
      </c>
      <c r="B217" s="304" t="s">
        <v>1403</v>
      </c>
      <c r="C217" s="14" t="s">
        <v>37</v>
      </c>
      <c r="D217" s="14"/>
      <c r="E217" s="15"/>
      <c r="F217" s="16">
        <f t="shared" si="14"/>
        <v>0</v>
      </c>
      <c r="G217">
        <f t="shared" si="12"/>
        <v>0</v>
      </c>
    </row>
    <row r="218" spans="1:7" hidden="1" x14ac:dyDescent="0.25">
      <c r="A218" s="43" t="s">
        <v>1379</v>
      </c>
      <c r="B218" s="304" t="s">
        <v>1404</v>
      </c>
      <c r="C218" s="14" t="s">
        <v>37</v>
      </c>
      <c r="D218" s="14"/>
      <c r="E218" s="15"/>
      <c r="F218" s="16">
        <f t="shared" si="14"/>
        <v>0</v>
      </c>
      <c r="G218">
        <f t="shared" si="12"/>
        <v>0</v>
      </c>
    </row>
    <row r="219" spans="1:7" hidden="1" x14ac:dyDescent="0.25">
      <c r="A219" s="43" t="s">
        <v>1380</v>
      </c>
      <c r="B219" s="304" t="s">
        <v>1405</v>
      </c>
      <c r="C219" s="14" t="s">
        <v>37</v>
      </c>
      <c r="D219" s="14"/>
      <c r="E219" s="15"/>
      <c r="F219" s="16">
        <f t="shared" si="14"/>
        <v>0</v>
      </c>
      <c r="G219">
        <f t="shared" si="12"/>
        <v>0</v>
      </c>
    </row>
    <row r="220" spans="1:7" hidden="1" x14ac:dyDescent="0.25">
      <c r="A220" s="43" t="s">
        <v>1381</v>
      </c>
      <c r="B220" s="304" t="s">
        <v>1406</v>
      </c>
      <c r="C220" s="14" t="s">
        <v>37</v>
      </c>
      <c r="D220" s="14"/>
      <c r="E220" s="15"/>
      <c r="F220" s="16">
        <f t="shared" si="14"/>
        <v>0</v>
      </c>
      <c r="G220">
        <f t="shared" si="12"/>
        <v>0</v>
      </c>
    </row>
    <row r="221" spans="1:7" hidden="1" x14ac:dyDescent="0.25">
      <c r="A221" s="43" t="s">
        <v>1382</v>
      </c>
      <c r="B221" s="304" t="s">
        <v>1407</v>
      </c>
      <c r="C221" s="14" t="s">
        <v>37</v>
      </c>
      <c r="D221" s="14"/>
      <c r="E221" s="15"/>
      <c r="F221" s="16">
        <f t="shared" si="14"/>
        <v>0</v>
      </c>
      <c r="G221">
        <f t="shared" si="12"/>
        <v>0</v>
      </c>
    </row>
    <row r="222" spans="1:7" hidden="1" x14ac:dyDescent="0.25">
      <c r="A222" s="43" t="s">
        <v>1383</v>
      </c>
      <c r="B222" s="304" t="s">
        <v>1411</v>
      </c>
      <c r="C222" s="14" t="s">
        <v>37</v>
      </c>
      <c r="D222" s="14"/>
      <c r="E222" s="15"/>
      <c r="F222" s="16">
        <f t="shared" si="14"/>
        <v>0</v>
      </c>
      <c r="G222">
        <f t="shared" si="12"/>
        <v>0</v>
      </c>
    </row>
    <row r="223" spans="1:7" hidden="1" x14ac:dyDescent="0.25">
      <c r="A223" s="43" t="s">
        <v>1384</v>
      </c>
      <c r="B223" s="303" t="s">
        <v>1415</v>
      </c>
      <c r="C223" s="14" t="s">
        <v>37</v>
      </c>
      <c r="D223" s="14"/>
      <c r="E223" s="15"/>
      <c r="F223" s="16">
        <f t="shared" si="14"/>
        <v>0</v>
      </c>
      <c r="G223">
        <f t="shared" si="12"/>
        <v>0</v>
      </c>
    </row>
    <row r="224" spans="1:7" hidden="1" x14ac:dyDescent="0.25">
      <c r="A224" s="43" t="s">
        <v>1385</v>
      </c>
      <c r="B224" s="303" t="s">
        <v>1412</v>
      </c>
      <c r="C224" s="14" t="s">
        <v>37</v>
      </c>
      <c r="D224" s="14"/>
      <c r="E224" s="15"/>
      <c r="F224" s="16">
        <f t="shared" si="14"/>
        <v>0</v>
      </c>
      <c r="G224">
        <f t="shared" si="12"/>
        <v>0</v>
      </c>
    </row>
    <row r="225" spans="1:7" hidden="1" x14ac:dyDescent="0.25">
      <c r="A225" s="43" t="s">
        <v>1386</v>
      </c>
      <c r="B225" s="303" t="s">
        <v>1413</v>
      </c>
      <c r="C225" s="14" t="s">
        <v>37</v>
      </c>
      <c r="D225" s="14"/>
      <c r="E225" s="15"/>
      <c r="F225" s="16">
        <f t="shared" si="14"/>
        <v>0</v>
      </c>
      <c r="G225">
        <f t="shared" si="12"/>
        <v>0</v>
      </c>
    </row>
    <row r="226" spans="1:7" hidden="1" x14ac:dyDescent="0.25">
      <c r="A226" s="43" t="s">
        <v>1387</v>
      </c>
      <c r="B226" s="303" t="s">
        <v>1416</v>
      </c>
      <c r="C226" s="14" t="s">
        <v>37</v>
      </c>
      <c r="D226" s="14"/>
      <c r="E226" s="15"/>
      <c r="F226" s="16">
        <f t="shared" si="14"/>
        <v>0</v>
      </c>
      <c r="G226">
        <f t="shared" si="12"/>
        <v>0</v>
      </c>
    </row>
    <row r="227" spans="1:7" hidden="1" x14ac:dyDescent="0.25">
      <c r="A227" s="43" t="s">
        <v>1388</v>
      </c>
      <c r="B227" s="303" t="s">
        <v>1414</v>
      </c>
      <c r="C227" s="14" t="s">
        <v>37</v>
      </c>
      <c r="D227" s="14"/>
      <c r="E227" s="15"/>
      <c r="F227" s="16">
        <f t="shared" si="14"/>
        <v>0</v>
      </c>
      <c r="G227">
        <f t="shared" si="12"/>
        <v>0</v>
      </c>
    </row>
    <row r="228" spans="1:7" hidden="1" x14ac:dyDescent="0.25">
      <c r="A228" s="43" t="s">
        <v>1389</v>
      </c>
      <c r="B228" s="304" t="s">
        <v>1417</v>
      </c>
      <c r="C228" s="14" t="s">
        <v>37</v>
      </c>
      <c r="D228" s="14"/>
      <c r="E228" s="15"/>
      <c r="F228" s="16">
        <f t="shared" si="14"/>
        <v>0</v>
      </c>
      <c r="G228">
        <f t="shared" si="12"/>
        <v>0</v>
      </c>
    </row>
    <row r="229" spans="1:7" hidden="1" x14ac:dyDescent="0.25">
      <c r="A229" s="43" t="s">
        <v>1390</v>
      </c>
      <c r="B229" s="304" t="s">
        <v>1410</v>
      </c>
      <c r="C229" s="14" t="s">
        <v>37</v>
      </c>
      <c r="D229" s="14"/>
      <c r="E229" s="15"/>
      <c r="F229" s="16">
        <f t="shared" si="14"/>
        <v>0</v>
      </c>
      <c r="G229">
        <f t="shared" si="12"/>
        <v>0</v>
      </c>
    </row>
    <row r="230" spans="1:7" hidden="1" x14ac:dyDescent="0.25">
      <c r="A230" s="43" t="s">
        <v>1391</v>
      </c>
      <c r="B230" s="303" t="s">
        <v>1408</v>
      </c>
      <c r="C230" s="14" t="s">
        <v>37</v>
      </c>
      <c r="D230" s="14"/>
      <c r="E230" s="15"/>
      <c r="F230" s="16">
        <f t="shared" si="14"/>
        <v>0</v>
      </c>
      <c r="G230">
        <f t="shared" si="12"/>
        <v>0</v>
      </c>
    </row>
    <row r="231" spans="1:7" hidden="1" x14ac:dyDescent="0.25">
      <c r="A231" s="43" t="s">
        <v>1392</v>
      </c>
      <c r="B231" s="304" t="s">
        <v>1409</v>
      </c>
      <c r="C231" s="14" t="s">
        <v>37</v>
      </c>
      <c r="D231" s="14"/>
      <c r="E231" s="15"/>
      <c r="F231" s="16">
        <f t="shared" si="14"/>
        <v>0</v>
      </c>
      <c r="G231">
        <f t="shared" si="12"/>
        <v>0</v>
      </c>
    </row>
    <row r="232" spans="1:7" hidden="1" x14ac:dyDescent="0.25">
      <c r="A232" s="43" t="s">
        <v>1393</v>
      </c>
      <c r="B232" s="303" t="s">
        <v>1399</v>
      </c>
      <c r="C232" s="14" t="s">
        <v>37</v>
      </c>
      <c r="D232" s="14"/>
      <c r="E232" s="15"/>
      <c r="F232" s="16">
        <f t="shared" si="14"/>
        <v>0</v>
      </c>
      <c r="G232">
        <f t="shared" si="12"/>
        <v>0</v>
      </c>
    </row>
    <row r="233" spans="1:7" hidden="1" x14ac:dyDescent="0.25">
      <c r="A233" s="43" t="s">
        <v>1394</v>
      </c>
      <c r="B233" s="304" t="s">
        <v>1400</v>
      </c>
      <c r="C233" s="14" t="s">
        <v>37</v>
      </c>
      <c r="D233" s="14"/>
      <c r="E233" s="15"/>
      <c r="F233" s="16">
        <f t="shared" si="14"/>
        <v>0</v>
      </c>
      <c r="G233">
        <f t="shared" si="12"/>
        <v>0</v>
      </c>
    </row>
    <row r="234" spans="1:7" hidden="1" x14ac:dyDescent="0.25">
      <c r="A234" s="43" t="s">
        <v>1395</v>
      </c>
      <c r="B234" s="303" t="s">
        <v>1401</v>
      </c>
      <c r="C234" s="14" t="s">
        <v>37</v>
      </c>
      <c r="D234" s="14"/>
      <c r="E234" s="15"/>
      <c r="F234" s="16">
        <f t="shared" si="14"/>
        <v>0</v>
      </c>
      <c r="G234">
        <f t="shared" si="12"/>
        <v>0</v>
      </c>
    </row>
    <row r="235" spans="1:7" hidden="1" x14ac:dyDescent="0.25">
      <c r="A235" s="44" t="s">
        <v>1365</v>
      </c>
      <c r="B235" s="80" t="s">
        <v>1454</v>
      </c>
      <c r="C235" s="14"/>
      <c r="D235" s="14"/>
      <c r="E235" s="15"/>
      <c r="F235" s="16"/>
      <c r="G235">
        <f t="shared" si="12"/>
        <v>0</v>
      </c>
    </row>
    <row r="236" spans="1:7" hidden="1" x14ac:dyDescent="0.25">
      <c r="A236" s="43" t="s">
        <v>1418</v>
      </c>
      <c r="B236" s="303" t="s">
        <v>1435</v>
      </c>
      <c r="C236" s="14" t="s">
        <v>37</v>
      </c>
      <c r="D236" s="14"/>
      <c r="E236" s="15"/>
      <c r="F236" s="16">
        <f t="shared" ref="F236:F252" si="15">+D236*E236</f>
        <v>0</v>
      </c>
      <c r="G236">
        <f t="shared" si="12"/>
        <v>0</v>
      </c>
    </row>
    <row r="237" spans="1:7" hidden="1" x14ac:dyDescent="0.25">
      <c r="A237" s="43" t="s">
        <v>1419</v>
      </c>
      <c r="B237" s="303" t="s">
        <v>1442</v>
      </c>
      <c r="C237" s="14" t="s">
        <v>37</v>
      </c>
      <c r="D237" s="14"/>
      <c r="E237" s="15"/>
      <c r="F237" s="16">
        <f t="shared" si="15"/>
        <v>0</v>
      </c>
      <c r="G237">
        <f t="shared" si="12"/>
        <v>0</v>
      </c>
    </row>
    <row r="238" spans="1:7" hidden="1" x14ac:dyDescent="0.25">
      <c r="A238" s="43" t="s">
        <v>1420</v>
      </c>
      <c r="B238" s="304" t="s">
        <v>1450</v>
      </c>
      <c r="C238" s="14" t="s">
        <v>37</v>
      </c>
      <c r="D238" s="14"/>
      <c r="E238" s="15"/>
      <c r="F238" s="16">
        <f t="shared" si="15"/>
        <v>0</v>
      </c>
      <c r="G238">
        <f t="shared" si="12"/>
        <v>0</v>
      </c>
    </row>
    <row r="239" spans="1:7" hidden="1" x14ac:dyDescent="0.25">
      <c r="A239" s="43" t="s">
        <v>1421</v>
      </c>
      <c r="B239" s="304" t="s">
        <v>1451</v>
      </c>
      <c r="C239" s="14" t="s">
        <v>37</v>
      </c>
      <c r="D239" s="14"/>
      <c r="E239" s="15"/>
      <c r="F239" s="16">
        <f t="shared" si="15"/>
        <v>0</v>
      </c>
      <c r="G239">
        <f t="shared" si="12"/>
        <v>0</v>
      </c>
    </row>
    <row r="240" spans="1:7" hidden="1" x14ac:dyDescent="0.25">
      <c r="A240" s="43" t="s">
        <v>1422</v>
      </c>
      <c r="B240" s="304" t="s">
        <v>1447</v>
      </c>
      <c r="C240" s="14" t="s">
        <v>37</v>
      </c>
      <c r="D240" s="14"/>
      <c r="E240" s="15"/>
      <c r="F240" s="16">
        <f t="shared" si="15"/>
        <v>0</v>
      </c>
      <c r="G240">
        <f t="shared" si="12"/>
        <v>0</v>
      </c>
    </row>
    <row r="241" spans="1:7" hidden="1" x14ac:dyDescent="0.25">
      <c r="A241" s="43" t="s">
        <v>1423</v>
      </c>
      <c r="B241" s="304" t="s">
        <v>1448</v>
      </c>
      <c r="C241" s="14" t="s">
        <v>37</v>
      </c>
      <c r="D241" s="14"/>
      <c r="E241" s="15"/>
      <c r="F241" s="16">
        <f t="shared" si="15"/>
        <v>0</v>
      </c>
      <c r="G241">
        <f t="shared" si="12"/>
        <v>0</v>
      </c>
    </row>
    <row r="242" spans="1:7" hidden="1" x14ac:dyDescent="0.25">
      <c r="A242" s="43" t="s">
        <v>1424</v>
      </c>
      <c r="B242" s="304" t="s">
        <v>1449</v>
      </c>
      <c r="C242" s="14" t="s">
        <v>37</v>
      </c>
      <c r="D242" s="14"/>
      <c r="E242" s="15"/>
      <c r="F242" s="16">
        <f t="shared" si="15"/>
        <v>0</v>
      </c>
      <c r="G242">
        <f t="shared" si="12"/>
        <v>0</v>
      </c>
    </row>
    <row r="243" spans="1:7" hidden="1" x14ac:dyDescent="0.25">
      <c r="A243" s="43" t="s">
        <v>1425</v>
      </c>
      <c r="B243" s="304" t="s">
        <v>1444</v>
      </c>
      <c r="C243" s="14" t="s">
        <v>37</v>
      </c>
      <c r="D243" s="14"/>
      <c r="E243" s="15"/>
      <c r="F243" s="16">
        <f t="shared" si="15"/>
        <v>0</v>
      </c>
      <c r="G243">
        <f t="shared" si="12"/>
        <v>0</v>
      </c>
    </row>
    <row r="244" spans="1:7" hidden="1" x14ac:dyDescent="0.25">
      <c r="A244" s="43" t="s">
        <v>1426</v>
      </c>
      <c r="B244" s="304" t="s">
        <v>1445</v>
      </c>
      <c r="C244" s="14" t="s">
        <v>37</v>
      </c>
      <c r="D244" s="14"/>
      <c r="E244" s="15"/>
      <c r="F244" s="16">
        <f t="shared" si="15"/>
        <v>0</v>
      </c>
      <c r="G244">
        <f t="shared" si="12"/>
        <v>0</v>
      </c>
    </row>
    <row r="245" spans="1:7" hidden="1" x14ac:dyDescent="0.25">
      <c r="A245" s="43" t="s">
        <v>1427</v>
      </c>
      <c r="B245" s="304" t="s">
        <v>1446</v>
      </c>
      <c r="C245" s="14" t="s">
        <v>37</v>
      </c>
      <c r="D245" s="14"/>
      <c r="E245" s="15"/>
      <c r="F245" s="16">
        <f t="shared" si="15"/>
        <v>0</v>
      </c>
      <c r="G245">
        <f t="shared" si="12"/>
        <v>0</v>
      </c>
    </row>
    <row r="246" spans="1:7" hidden="1" x14ac:dyDescent="0.25">
      <c r="A246" s="43" t="s">
        <v>1428</v>
      </c>
      <c r="B246" s="304" t="s">
        <v>1443</v>
      </c>
      <c r="C246" s="14" t="s">
        <v>37</v>
      </c>
      <c r="D246" s="14"/>
      <c r="E246" s="15"/>
      <c r="F246" s="16">
        <f t="shared" si="15"/>
        <v>0</v>
      </c>
      <c r="G246">
        <f t="shared" si="12"/>
        <v>0</v>
      </c>
    </row>
    <row r="247" spans="1:7" hidden="1" x14ac:dyDescent="0.25">
      <c r="A247" s="43" t="s">
        <v>1429</v>
      </c>
      <c r="B247" s="304" t="s">
        <v>1441</v>
      </c>
      <c r="C247" s="14" t="s">
        <v>37</v>
      </c>
      <c r="D247" s="14"/>
      <c r="E247" s="15"/>
      <c r="F247" s="16">
        <f t="shared" si="15"/>
        <v>0</v>
      </c>
      <c r="G247">
        <f t="shared" si="12"/>
        <v>0</v>
      </c>
    </row>
    <row r="248" spans="1:7" hidden="1" x14ac:dyDescent="0.25">
      <c r="A248" s="43" t="s">
        <v>1430</v>
      </c>
      <c r="B248" s="304" t="s">
        <v>1440</v>
      </c>
      <c r="C248" s="14" t="s">
        <v>37</v>
      </c>
      <c r="D248" s="14"/>
      <c r="E248" s="15"/>
      <c r="F248" s="16">
        <f t="shared" si="15"/>
        <v>0</v>
      </c>
      <c r="G248">
        <f t="shared" si="12"/>
        <v>0</v>
      </c>
    </row>
    <row r="249" spans="1:7" hidden="1" x14ac:dyDescent="0.25">
      <c r="A249" s="43" t="s">
        <v>1431</v>
      </c>
      <c r="B249" s="304" t="s">
        <v>1439</v>
      </c>
      <c r="C249" s="14" t="s">
        <v>37</v>
      </c>
      <c r="D249" s="14"/>
      <c r="E249" s="15"/>
      <c r="F249" s="16">
        <f t="shared" si="15"/>
        <v>0</v>
      </c>
      <c r="G249">
        <f t="shared" si="12"/>
        <v>0</v>
      </c>
    </row>
    <row r="250" spans="1:7" hidden="1" x14ac:dyDescent="0.25">
      <c r="A250" s="43" t="s">
        <v>1432</v>
      </c>
      <c r="B250" s="304" t="s">
        <v>1438</v>
      </c>
      <c r="C250" s="14" t="s">
        <v>37</v>
      </c>
      <c r="D250" s="14"/>
      <c r="E250" s="15"/>
      <c r="F250" s="16">
        <f t="shared" si="15"/>
        <v>0</v>
      </c>
      <c r="G250">
        <f t="shared" si="12"/>
        <v>0</v>
      </c>
    </row>
    <row r="251" spans="1:7" hidden="1" x14ac:dyDescent="0.25">
      <c r="A251" s="43" t="s">
        <v>1433</v>
      </c>
      <c r="B251" s="304" t="s">
        <v>1437</v>
      </c>
      <c r="C251" s="14" t="s">
        <v>37</v>
      </c>
      <c r="D251" s="14"/>
      <c r="E251" s="15"/>
      <c r="F251" s="16">
        <f t="shared" si="15"/>
        <v>0</v>
      </c>
      <c r="G251">
        <f t="shared" si="12"/>
        <v>0</v>
      </c>
    </row>
    <row r="252" spans="1:7" hidden="1" x14ac:dyDescent="0.25">
      <c r="A252" s="43" t="s">
        <v>1434</v>
      </c>
      <c r="B252" s="303" t="s">
        <v>1436</v>
      </c>
      <c r="C252" s="14" t="s">
        <v>37</v>
      </c>
      <c r="D252" s="14"/>
      <c r="E252" s="15"/>
      <c r="F252" s="16">
        <f t="shared" si="15"/>
        <v>0</v>
      </c>
      <c r="G252">
        <f t="shared" si="12"/>
        <v>0</v>
      </c>
    </row>
    <row r="253" spans="1:7" hidden="1" x14ac:dyDescent="0.25">
      <c r="A253" s="44" t="s">
        <v>941</v>
      </c>
      <c r="B253" s="305" t="s">
        <v>1452</v>
      </c>
      <c r="C253" s="14"/>
      <c r="D253" s="14"/>
      <c r="E253" s="15"/>
      <c r="F253" s="16"/>
      <c r="G253">
        <f t="shared" si="12"/>
        <v>0</v>
      </c>
    </row>
    <row r="254" spans="1:7" hidden="1" x14ac:dyDescent="0.25">
      <c r="A254" s="44" t="s">
        <v>943</v>
      </c>
      <c r="B254" s="305" t="s">
        <v>1453</v>
      </c>
      <c r="C254" s="14"/>
      <c r="D254" s="14"/>
      <c r="E254" s="15"/>
      <c r="F254" s="16"/>
      <c r="G254">
        <f t="shared" si="12"/>
        <v>0</v>
      </c>
    </row>
    <row r="255" spans="1:7" hidden="1" x14ac:dyDescent="0.25">
      <c r="A255" s="43" t="s">
        <v>1456</v>
      </c>
      <c r="B255" s="303" t="s">
        <v>1457</v>
      </c>
      <c r="C255" s="14" t="s">
        <v>37</v>
      </c>
      <c r="D255" s="14"/>
      <c r="E255" s="15"/>
      <c r="F255" s="16">
        <f>+D255*E255</f>
        <v>0</v>
      </c>
      <c r="G255">
        <f t="shared" si="12"/>
        <v>0</v>
      </c>
    </row>
    <row r="256" spans="1:7" hidden="1" x14ac:dyDescent="0.25">
      <c r="A256" s="43" t="s">
        <v>1461</v>
      </c>
      <c r="B256" s="303" t="s">
        <v>1458</v>
      </c>
      <c r="C256" s="14" t="s">
        <v>37</v>
      </c>
      <c r="D256" s="14"/>
      <c r="E256" s="15"/>
      <c r="F256" s="16">
        <f>+D256*E256</f>
        <v>0</v>
      </c>
      <c r="G256">
        <f t="shared" si="12"/>
        <v>0</v>
      </c>
    </row>
    <row r="257" spans="1:7" hidden="1" x14ac:dyDescent="0.25">
      <c r="A257" s="43" t="s">
        <v>1462</v>
      </c>
      <c r="B257" s="303" t="s">
        <v>1459</v>
      </c>
      <c r="C257" s="14" t="s">
        <v>37</v>
      </c>
      <c r="D257" s="14"/>
      <c r="E257" s="15"/>
      <c r="F257" s="16">
        <f>+D257*E257</f>
        <v>0</v>
      </c>
      <c r="G257">
        <f t="shared" si="12"/>
        <v>0</v>
      </c>
    </row>
    <row r="258" spans="1:7" hidden="1" x14ac:dyDescent="0.25">
      <c r="A258" s="43" t="s">
        <v>1463</v>
      </c>
      <c r="B258" s="303" t="s">
        <v>1460</v>
      </c>
      <c r="C258" s="14" t="s">
        <v>37</v>
      </c>
      <c r="D258" s="14"/>
      <c r="E258" s="15">
        <f>+SUM!H256</f>
        <v>329351</v>
      </c>
      <c r="F258" s="16">
        <f>+D258*E258</f>
        <v>0</v>
      </c>
      <c r="G258">
        <f t="shared" si="12"/>
        <v>0</v>
      </c>
    </row>
    <row r="259" spans="1:7" hidden="1" x14ac:dyDescent="0.25">
      <c r="A259" s="44" t="s">
        <v>1455</v>
      </c>
      <c r="B259" s="305" t="s">
        <v>1474</v>
      </c>
      <c r="C259" s="14"/>
      <c r="D259" s="14"/>
      <c r="E259" s="15"/>
      <c r="F259" s="16"/>
      <c r="G259">
        <f t="shared" si="12"/>
        <v>0</v>
      </c>
    </row>
    <row r="260" spans="1:7" hidden="1" x14ac:dyDescent="0.25">
      <c r="A260" s="43" t="s">
        <v>1476</v>
      </c>
      <c r="B260" s="303" t="s">
        <v>1464</v>
      </c>
      <c r="C260" s="14" t="s">
        <v>37</v>
      </c>
      <c r="D260" s="14"/>
      <c r="E260" s="15"/>
      <c r="F260" s="16">
        <f t="shared" ref="F260:F268" si="16">+D260*E260</f>
        <v>0</v>
      </c>
      <c r="G260">
        <f t="shared" si="12"/>
        <v>0</v>
      </c>
    </row>
    <row r="261" spans="1:7" hidden="1" x14ac:dyDescent="0.25">
      <c r="A261" s="43" t="s">
        <v>1477</v>
      </c>
      <c r="B261" s="303" t="s">
        <v>1465</v>
      </c>
      <c r="C261" s="14" t="s">
        <v>37</v>
      </c>
      <c r="D261" s="14"/>
      <c r="E261" s="15"/>
      <c r="F261" s="16">
        <f t="shared" si="16"/>
        <v>0</v>
      </c>
      <c r="G261">
        <f t="shared" si="12"/>
        <v>0</v>
      </c>
    </row>
    <row r="262" spans="1:7" hidden="1" x14ac:dyDescent="0.25">
      <c r="A262" s="43" t="s">
        <v>1478</v>
      </c>
      <c r="B262" s="303" t="s">
        <v>1466</v>
      </c>
      <c r="C262" s="14" t="s">
        <v>37</v>
      </c>
      <c r="D262" s="14"/>
      <c r="E262" s="15"/>
      <c r="F262" s="16">
        <f t="shared" si="16"/>
        <v>0</v>
      </c>
      <c r="G262">
        <f t="shared" si="12"/>
        <v>0</v>
      </c>
    </row>
    <row r="263" spans="1:7" hidden="1" x14ac:dyDescent="0.25">
      <c r="A263" s="43" t="s">
        <v>1479</v>
      </c>
      <c r="B263" s="303" t="s">
        <v>1467</v>
      </c>
      <c r="C263" s="14" t="s">
        <v>37</v>
      </c>
      <c r="D263" s="14"/>
      <c r="E263" s="15"/>
      <c r="F263" s="16">
        <f t="shared" si="16"/>
        <v>0</v>
      </c>
      <c r="G263">
        <f t="shared" si="12"/>
        <v>0</v>
      </c>
    </row>
    <row r="264" spans="1:7" hidden="1" x14ac:dyDescent="0.25">
      <c r="A264" s="43" t="s">
        <v>1480</v>
      </c>
      <c r="B264" s="303" t="s">
        <v>1468</v>
      </c>
      <c r="C264" s="14" t="s">
        <v>37</v>
      </c>
      <c r="D264" s="14"/>
      <c r="E264" s="15"/>
      <c r="F264" s="16">
        <f t="shared" si="16"/>
        <v>0</v>
      </c>
      <c r="G264">
        <f t="shared" si="12"/>
        <v>0</v>
      </c>
    </row>
    <row r="265" spans="1:7" hidden="1" x14ac:dyDescent="0.25">
      <c r="A265" s="43" t="s">
        <v>1481</v>
      </c>
      <c r="B265" s="303" t="s">
        <v>1469</v>
      </c>
      <c r="C265" s="14" t="s">
        <v>37</v>
      </c>
      <c r="D265" s="14"/>
      <c r="E265" s="15"/>
      <c r="F265" s="16">
        <f t="shared" si="16"/>
        <v>0</v>
      </c>
      <c r="G265">
        <f t="shared" ref="G265:G328" si="17">+IF(F265&lt;&gt;0,1,0)</f>
        <v>0</v>
      </c>
    </row>
    <row r="266" spans="1:7" hidden="1" x14ac:dyDescent="0.25">
      <c r="A266" s="43" t="s">
        <v>1482</v>
      </c>
      <c r="B266" s="303" t="s">
        <v>1470</v>
      </c>
      <c r="C266" s="14" t="s">
        <v>37</v>
      </c>
      <c r="D266" s="14"/>
      <c r="E266" s="15"/>
      <c r="F266" s="16">
        <f t="shared" si="16"/>
        <v>0</v>
      </c>
      <c r="G266">
        <f t="shared" si="17"/>
        <v>0</v>
      </c>
    </row>
    <row r="267" spans="1:7" hidden="1" x14ac:dyDescent="0.25">
      <c r="A267" s="43" t="s">
        <v>1483</v>
      </c>
      <c r="B267" s="303" t="s">
        <v>1471</v>
      </c>
      <c r="C267" s="14" t="s">
        <v>37</v>
      </c>
      <c r="D267" s="14"/>
      <c r="E267" s="15"/>
      <c r="F267" s="16">
        <f t="shared" si="16"/>
        <v>0</v>
      </c>
      <c r="G267">
        <f t="shared" si="17"/>
        <v>0</v>
      </c>
    </row>
    <row r="268" spans="1:7" hidden="1" x14ac:dyDescent="0.25">
      <c r="A268" s="43" t="s">
        <v>1484</v>
      </c>
      <c r="B268" s="303" t="s">
        <v>1472</v>
      </c>
      <c r="C268" s="14" t="s">
        <v>37</v>
      </c>
      <c r="D268" s="14"/>
      <c r="E268" s="15"/>
      <c r="F268" s="16">
        <f t="shared" si="16"/>
        <v>0</v>
      </c>
      <c r="G268">
        <f t="shared" si="17"/>
        <v>0</v>
      </c>
    </row>
    <row r="269" spans="1:7" hidden="1" x14ac:dyDescent="0.25">
      <c r="A269" s="44" t="s">
        <v>1475</v>
      </c>
      <c r="B269" s="305" t="s">
        <v>1473</v>
      </c>
      <c r="C269" s="14"/>
      <c r="D269" s="14"/>
      <c r="E269" s="15"/>
      <c r="F269" s="16"/>
      <c r="G269">
        <f t="shared" si="17"/>
        <v>0</v>
      </c>
    </row>
    <row r="270" spans="1:7" hidden="1" x14ac:dyDescent="0.25">
      <c r="A270" s="43" t="s">
        <v>1485</v>
      </c>
      <c r="B270" s="303" t="s">
        <v>1486</v>
      </c>
      <c r="C270" s="14" t="s">
        <v>37</v>
      </c>
      <c r="D270" s="14"/>
      <c r="E270" s="15"/>
      <c r="F270" s="16">
        <f t="shared" ref="F270:F278" si="18">+D270*E270</f>
        <v>0</v>
      </c>
      <c r="G270">
        <f t="shared" si="17"/>
        <v>0</v>
      </c>
    </row>
    <row r="271" spans="1:7" hidden="1" x14ac:dyDescent="0.25">
      <c r="A271" s="43" t="s">
        <v>1495</v>
      </c>
      <c r="B271" s="303" t="s">
        <v>1487</v>
      </c>
      <c r="C271" s="14" t="s">
        <v>37</v>
      </c>
      <c r="D271" s="14"/>
      <c r="E271" s="15"/>
      <c r="F271" s="16">
        <f t="shared" si="18"/>
        <v>0</v>
      </c>
      <c r="G271">
        <f t="shared" si="17"/>
        <v>0</v>
      </c>
    </row>
    <row r="272" spans="1:7" hidden="1" x14ac:dyDescent="0.25">
      <c r="A272" s="43" t="s">
        <v>1496</v>
      </c>
      <c r="B272" s="303" t="s">
        <v>1488</v>
      </c>
      <c r="C272" s="14" t="s">
        <v>37</v>
      </c>
      <c r="D272" s="14"/>
      <c r="E272" s="15"/>
      <c r="F272" s="16">
        <f t="shared" si="18"/>
        <v>0</v>
      </c>
      <c r="G272">
        <f t="shared" si="17"/>
        <v>0</v>
      </c>
    </row>
    <row r="273" spans="1:7" hidden="1" x14ac:dyDescent="0.25">
      <c r="A273" s="43" t="s">
        <v>1497</v>
      </c>
      <c r="B273" s="303" t="s">
        <v>1489</v>
      </c>
      <c r="C273" s="14" t="s">
        <v>37</v>
      </c>
      <c r="D273" s="14"/>
      <c r="E273" s="15"/>
      <c r="F273" s="16">
        <f t="shared" si="18"/>
        <v>0</v>
      </c>
      <c r="G273">
        <f t="shared" si="17"/>
        <v>0</v>
      </c>
    </row>
    <row r="274" spans="1:7" hidden="1" x14ac:dyDescent="0.25">
      <c r="A274" s="43" t="s">
        <v>1498</v>
      </c>
      <c r="B274" s="303" t="s">
        <v>1490</v>
      </c>
      <c r="C274" s="14" t="s">
        <v>37</v>
      </c>
      <c r="D274" s="14"/>
      <c r="E274" s="15"/>
      <c r="F274" s="16">
        <f t="shared" si="18"/>
        <v>0</v>
      </c>
      <c r="G274">
        <f t="shared" si="17"/>
        <v>0</v>
      </c>
    </row>
    <row r="275" spans="1:7" hidden="1" x14ac:dyDescent="0.25">
      <c r="A275" s="43" t="s">
        <v>1499</v>
      </c>
      <c r="B275" s="303" t="s">
        <v>1491</v>
      </c>
      <c r="C275" s="14" t="s">
        <v>37</v>
      </c>
      <c r="D275" s="14"/>
      <c r="E275" s="15"/>
      <c r="F275" s="16">
        <f t="shared" si="18"/>
        <v>0</v>
      </c>
      <c r="G275">
        <f t="shared" si="17"/>
        <v>0</v>
      </c>
    </row>
    <row r="276" spans="1:7" hidden="1" x14ac:dyDescent="0.25">
      <c r="A276" s="43" t="s">
        <v>1500</v>
      </c>
      <c r="B276" s="303" t="s">
        <v>1492</v>
      </c>
      <c r="C276" s="14" t="s">
        <v>37</v>
      </c>
      <c r="D276" s="14"/>
      <c r="E276" s="15"/>
      <c r="F276" s="16">
        <f t="shared" si="18"/>
        <v>0</v>
      </c>
      <c r="G276">
        <f t="shared" si="17"/>
        <v>0</v>
      </c>
    </row>
    <row r="277" spans="1:7" hidden="1" x14ac:dyDescent="0.25">
      <c r="A277" s="43" t="s">
        <v>1501</v>
      </c>
      <c r="B277" s="303" t="s">
        <v>1493</v>
      </c>
      <c r="C277" s="14" t="s">
        <v>37</v>
      </c>
      <c r="D277" s="14"/>
      <c r="E277" s="15"/>
      <c r="F277" s="16">
        <f t="shared" si="18"/>
        <v>0</v>
      </c>
      <c r="G277">
        <f t="shared" si="17"/>
        <v>0</v>
      </c>
    </row>
    <row r="278" spans="1:7" hidden="1" x14ac:dyDescent="0.25">
      <c r="A278" s="43" t="s">
        <v>1502</v>
      </c>
      <c r="B278" s="303" t="s">
        <v>1494</v>
      </c>
      <c r="C278" s="14" t="s">
        <v>37</v>
      </c>
      <c r="D278" s="14"/>
      <c r="E278" s="15"/>
      <c r="F278" s="16">
        <f t="shared" si="18"/>
        <v>0</v>
      </c>
      <c r="G278">
        <f t="shared" si="17"/>
        <v>0</v>
      </c>
    </row>
    <row r="279" spans="1:7" hidden="1" x14ac:dyDescent="0.25">
      <c r="A279" s="44" t="s">
        <v>1503</v>
      </c>
      <c r="B279" s="305" t="s">
        <v>1526</v>
      </c>
      <c r="C279" s="14"/>
      <c r="D279" s="14"/>
      <c r="E279" s="15"/>
      <c r="F279" s="16"/>
      <c r="G279">
        <f t="shared" si="17"/>
        <v>0</v>
      </c>
    </row>
    <row r="280" spans="1:7" hidden="1" x14ac:dyDescent="0.25">
      <c r="A280" s="43" t="s">
        <v>1515</v>
      </c>
      <c r="B280" s="303" t="s">
        <v>1504</v>
      </c>
      <c r="C280" s="14" t="s">
        <v>37</v>
      </c>
      <c r="D280" s="14"/>
      <c r="E280" s="15"/>
      <c r="F280" s="16">
        <f t="shared" ref="F280:F290" si="19">+D280*E280</f>
        <v>0</v>
      </c>
      <c r="G280">
        <f t="shared" si="17"/>
        <v>0</v>
      </c>
    </row>
    <row r="281" spans="1:7" hidden="1" x14ac:dyDescent="0.25">
      <c r="A281" s="43" t="s">
        <v>1516</v>
      </c>
      <c r="B281" s="303" t="s">
        <v>1505</v>
      </c>
      <c r="C281" s="14" t="s">
        <v>37</v>
      </c>
      <c r="D281" s="14"/>
      <c r="E281" s="15"/>
      <c r="F281" s="16">
        <f t="shared" si="19"/>
        <v>0</v>
      </c>
      <c r="G281">
        <f t="shared" si="17"/>
        <v>0</v>
      </c>
    </row>
    <row r="282" spans="1:7" hidden="1" x14ac:dyDescent="0.25">
      <c r="A282" s="43" t="s">
        <v>1517</v>
      </c>
      <c r="B282" s="303" t="s">
        <v>1506</v>
      </c>
      <c r="C282" s="14" t="s">
        <v>37</v>
      </c>
      <c r="D282" s="14"/>
      <c r="E282" s="15"/>
      <c r="F282" s="16">
        <f t="shared" si="19"/>
        <v>0</v>
      </c>
      <c r="G282">
        <f t="shared" si="17"/>
        <v>0</v>
      </c>
    </row>
    <row r="283" spans="1:7" hidden="1" x14ac:dyDescent="0.25">
      <c r="A283" s="43" t="s">
        <v>1518</v>
      </c>
      <c r="B283" s="303" t="s">
        <v>1507</v>
      </c>
      <c r="C283" s="14" t="s">
        <v>37</v>
      </c>
      <c r="D283" s="14"/>
      <c r="E283" s="15"/>
      <c r="F283" s="16">
        <f t="shared" si="19"/>
        <v>0</v>
      </c>
      <c r="G283">
        <f t="shared" si="17"/>
        <v>0</v>
      </c>
    </row>
    <row r="284" spans="1:7" hidden="1" x14ac:dyDescent="0.25">
      <c r="A284" s="43" t="s">
        <v>1519</v>
      </c>
      <c r="B284" s="303" t="s">
        <v>1508</v>
      </c>
      <c r="C284" s="14" t="s">
        <v>37</v>
      </c>
      <c r="D284" s="14"/>
      <c r="E284" s="15"/>
      <c r="F284" s="16">
        <f t="shared" si="19"/>
        <v>0</v>
      </c>
      <c r="G284">
        <f t="shared" si="17"/>
        <v>0</v>
      </c>
    </row>
    <row r="285" spans="1:7" hidden="1" x14ac:dyDescent="0.25">
      <c r="A285" s="43" t="s">
        <v>1520</v>
      </c>
      <c r="B285" s="303" t="s">
        <v>1509</v>
      </c>
      <c r="C285" s="14" t="s">
        <v>37</v>
      </c>
      <c r="D285" s="14"/>
      <c r="E285" s="15"/>
      <c r="F285" s="16">
        <f t="shared" si="19"/>
        <v>0</v>
      </c>
      <c r="G285">
        <f t="shared" si="17"/>
        <v>0</v>
      </c>
    </row>
    <row r="286" spans="1:7" hidden="1" x14ac:dyDescent="0.25">
      <c r="A286" s="43" t="s">
        <v>1521</v>
      </c>
      <c r="B286" s="303" t="s">
        <v>1510</v>
      </c>
      <c r="C286" s="14" t="s">
        <v>37</v>
      </c>
      <c r="D286" s="14"/>
      <c r="E286" s="15"/>
      <c r="F286" s="16">
        <f t="shared" si="19"/>
        <v>0</v>
      </c>
      <c r="G286">
        <f t="shared" si="17"/>
        <v>0</v>
      </c>
    </row>
    <row r="287" spans="1:7" hidden="1" x14ac:dyDescent="0.25">
      <c r="A287" s="43" t="s">
        <v>1522</v>
      </c>
      <c r="B287" s="303" t="s">
        <v>1511</v>
      </c>
      <c r="C287" s="14" t="s">
        <v>37</v>
      </c>
      <c r="D287" s="14"/>
      <c r="E287" s="15"/>
      <c r="F287" s="16">
        <f t="shared" si="19"/>
        <v>0</v>
      </c>
      <c r="G287">
        <f t="shared" si="17"/>
        <v>0</v>
      </c>
    </row>
    <row r="288" spans="1:7" hidden="1" x14ac:dyDescent="0.25">
      <c r="A288" s="43" t="s">
        <v>1523</v>
      </c>
      <c r="B288" s="303" t="s">
        <v>1512</v>
      </c>
      <c r="C288" s="14" t="s">
        <v>37</v>
      </c>
      <c r="D288" s="14"/>
      <c r="E288" s="15"/>
      <c r="F288" s="16">
        <f t="shared" si="19"/>
        <v>0</v>
      </c>
      <c r="G288">
        <f t="shared" si="17"/>
        <v>0</v>
      </c>
    </row>
    <row r="289" spans="1:7" hidden="1" x14ac:dyDescent="0.25">
      <c r="A289" s="43" t="s">
        <v>1524</v>
      </c>
      <c r="B289" s="303" t="s">
        <v>1513</v>
      </c>
      <c r="C289" s="14" t="s">
        <v>37</v>
      </c>
      <c r="D289" s="14"/>
      <c r="E289" s="15"/>
      <c r="F289" s="16">
        <f t="shared" si="19"/>
        <v>0</v>
      </c>
      <c r="G289">
        <f t="shared" si="17"/>
        <v>0</v>
      </c>
    </row>
    <row r="290" spans="1:7" hidden="1" x14ac:dyDescent="0.25">
      <c r="A290" s="43" t="s">
        <v>1525</v>
      </c>
      <c r="B290" s="303" t="s">
        <v>1514</v>
      </c>
      <c r="C290" s="14" t="s">
        <v>37</v>
      </c>
      <c r="D290" s="14"/>
      <c r="E290" s="15"/>
      <c r="F290" s="16">
        <f t="shared" si="19"/>
        <v>0</v>
      </c>
      <c r="G290">
        <f t="shared" si="17"/>
        <v>0</v>
      </c>
    </row>
    <row r="291" spans="1:7" hidden="1" x14ac:dyDescent="0.25">
      <c r="A291" s="44" t="s">
        <v>944</v>
      </c>
      <c r="B291" s="305" t="s">
        <v>937</v>
      </c>
      <c r="C291" s="14"/>
      <c r="D291" s="14"/>
      <c r="E291" s="15"/>
      <c r="F291" s="16"/>
      <c r="G291">
        <f t="shared" si="17"/>
        <v>0</v>
      </c>
    </row>
    <row r="292" spans="1:7" hidden="1" x14ac:dyDescent="0.25">
      <c r="A292" s="44" t="s">
        <v>945</v>
      </c>
      <c r="B292" s="305" t="s">
        <v>1527</v>
      </c>
      <c r="C292" s="14"/>
      <c r="D292" s="14"/>
      <c r="E292" s="15"/>
      <c r="F292" s="16"/>
      <c r="G292">
        <f t="shared" si="17"/>
        <v>0</v>
      </c>
    </row>
    <row r="293" spans="1:7" hidden="1" x14ac:dyDescent="0.25">
      <c r="A293" s="43" t="s">
        <v>1531</v>
      </c>
      <c r="B293" s="303" t="s">
        <v>1541</v>
      </c>
      <c r="C293" s="14" t="s">
        <v>37</v>
      </c>
      <c r="D293" s="14"/>
      <c r="E293" s="15"/>
      <c r="F293" s="16">
        <f t="shared" ref="F293:F301" si="20">+D293*E293</f>
        <v>0</v>
      </c>
      <c r="G293">
        <f t="shared" si="17"/>
        <v>0</v>
      </c>
    </row>
    <row r="294" spans="1:7" hidden="1" x14ac:dyDescent="0.25">
      <c r="A294" s="43" t="s">
        <v>1532</v>
      </c>
      <c r="B294" s="303" t="s">
        <v>1542</v>
      </c>
      <c r="C294" s="14" t="s">
        <v>37</v>
      </c>
      <c r="D294" s="14"/>
      <c r="E294" s="15"/>
      <c r="F294" s="16">
        <f t="shared" si="20"/>
        <v>0</v>
      </c>
      <c r="G294">
        <f t="shared" si="17"/>
        <v>0</v>
      </c>
    </row>
    <row r="295" spans="1:7" hidden="1" x14ac:dyDescent="0.25">
      <c r="A295" s="43" t="s">
        <v>1533</v>
      </c>
      <c r="B295" s="303" t="s">
        <v>1543</v>
      </c>
      <c r="C295" s="14" t="s">
        <v>37</v>
      </c>
      <c r="D295" s="14"/>
      <c r="E295" s="15"/>
      <c r="F295" s="16">
        <f t="shared" si="20"/>
        <v>0</v>
      </c>
      <c r="G295">
        <f t="shared" si="17"/>
        <v>0</v>
      </c>
    </row>
    <row r="296" spans="1:7" hidden="1" x14ac:dyDescent="0.25">
      <c r="A296" s="43" t="s">
        <v>1534</v>
      </c>
      <c r="B296" s="303" t="s">
        <v>1544</v>
      </c>
      <c r="C296" s="14" t="s">
        <v>37</v>
      </c>
      <c r="D296" s="14"/>
      <c r="E296" s="15"/>
      <c r="F296" s="16">
        <f t="shared" si="20"/>
        <v>0</v>
      </c>
      <c r="G296">
        <f t="shared" si="17"/>
        <v>0</v>
      </c>
    </row>
    <row r="297" spans="1:7" hidden="1" x14ac:dyDescent="0.25">
      <c r="A297" s="43" t="s">
        <v>1535</v>
      </c>
      <c r="B297" s="303" t="s">
        <v>1545</v>
      </c>
      <c r="C297" s="14" t="s">
        <v>37</v>
      </c>
      <c r="D297" s="14"/>
      <c r="E297" s="15"/>
      <c r="F297" s="16">
        <f t="shared" si="20"/>
        <v>0</v>
      </c>
      <c r="G297">
        <f t="shared" si="17"/>
        <v>0</v>
      </c>
    </row>
    <row r="298" spans="1:7" hidden="1" x14ac:dyDescent="0.25">
      <c r="A298" s="43" t="s">
        <v>1536</v>
      </c>
      <c r="B298" s="303" t="s">
        <v>1546</v>
      </c>
      <c r="C298" s="14" t="s">
        <v>37</v>
      </c>
      <c r="D298" s="14"/>
      <c r="E298" s="15"/>
      <c r="F298" s="16">
        <f t="shared" si="20"/>
        <v>0</v>
      </c>
      <c r="G298">
        <f t="shared" si="17"/>
        <v>0</v>
      </c>
    </row>
    <row r="299" spans="1:7" hidden="1" x14ac:dyDescent="0.25">
      <c r="A299" s="43" t="s">
        <v>1537</v>
      </c>
      <c r="B299" s="303" t="s">
        <v>1547</v>
      </c>
      <c r="C299" s="14" t="s">
        <v>37</v>
      </c>
      <c r="D299" s="14"/>
      <c r="E299" s="15"/>
      <c r="F299" s="16">
        <f t="shared" si="20"/>
        <v>0</v>
      </c>
      <c r="G299">
        <f t="shared" si="17"/>
        <v>0</v>
      </c>
    </row>
    <row r="300" spans="1:7" hidden="1" x14ac:dyDescent="0.25">
      <c r="A300" s="43" t="s">
        <v>1538</v>
      </c>
      <c r="B300" s="303" t="s">
        <v>1548</v>
      </c>
      <c r="C300" s="14" t="s">
        <v>37</v>
      </c>
      <c r="D300" s="14"/>
      <c r="E300" s="15"/>
      <c r="F300" s="16">
        <f t="shared" si="20"/>
        <v>0</v>
      </c>
      <c r="G300">
        <f t="shared" si="17"/>
        <v>0</v>
      </c>
    </row>
    <row r="301" spans="1:7" hidden="1" x14ac:dyDescent="0.25">
      <c r="A301" s="43" t="s">
        <v>1539</v>
      </c>
      <c r="B301" s="303" t="s">
        <v>1549</v>
      </c>
      <c r="C301" s="14" t="s">
        <v>37</v>
      </c>
      <c r="D301" s="14"/>
      <c r="E301" s="15"/>
      <c r="F301" s="16">
        <f t="shared" si="20"/>
        <v>0</v>
      </c>
      <c r="G301">
        <f t="shared" si="17"/>
        <v>0</v>
      </c>
    </row>
    <row r="302" spans="1:7" hidden="1" x14ac:dyDescent="0.25">
      <c r="A302" s="44" t="s">
        <v>1528</v>
      </c>
      <c r="B302" s="305" t="s">
        <v>1530</v>
      </c>
      <c r="C302" s="14"/>
      <c r="D302" s="14"/>
      <c r="E302" s="15"/>
      <c r="F302" s="16"/>
      <c r="G302">
        <f t="shared" si="17"/>
        <v>0</v>
      </c>
    </row>
    <row r="303" spans="1:7" hidden="1" x14ac:dyDescent="0.25">
      <c r="A303" s="43" t="s">
        <v>1540</v>
      </c>
      <c r="B303" s="303" t="s">
        <v>1550</v>
      </c>
      <c r="C303" s="14" t="s">
        <v>37</v>
      </c>
      <c r="D303" s="14"/>
      <c r="E303" s="15"/>
      <c r="F303" s="16">
        <f t="shared" ref="F303:F311" si="21">+D303*E303</f>
        <v>0</v>
      </c>
      <c r="G303">
        <f t="shared" si="17"/>
        <v>0</v>
      </c>
    </row>
    <row r="304" spans="1:7" hidden="1" x14ac:dyDescent="0.25">
      <c r="A304" s="43" t="s">
        <v>1559</v>
      </c>
      <c r="B304" s="303" t="s">
        <v>1551</v>
      </c>
      <c r="C304" s="14" t="s">
        <v>37</v>
      </c>
      <c r="D304" s="14"/>
      <c r="E304" s="15"/>
      <c r="F304" s="16">
        <f t="shared" si="21"/>
        <v>0</v>
      </c>
      <c r="G304">
        <f t="shared" si="17"/>
        <v>0</v>
      </c>
    </row>
    <row r="305" spans="1:7" hidden="1" x14ac:dyDescent="0.25">
      <c r="A305" s="43" t="s">
        <v>1560</v>
      </c>
      <c r="B305" s="303" t="s">
        <v>1552</v>
      </c>
      <c r="C305" s="14" t="s">
        <v>37</v>
      </c>
      <c r="D305" s="14"/>
      <c r="E305" s="15"/>
      <c r="F305" s="16">
        <f t="shared" si="21"/>
        <v>0</v>
      </c>
      <c r="G305">
        <f t="shared" si="17"/>
        <v>0</v>
      </c>
    </row>
    <row r="306" spans="1:7" hidden="1" x14ac:dyDescent="0.25">
      <c r="A306" s="43" t="s">
        <v>1561</v>
      </c>
      <c r="B306" s="303" t="s">
        <v>1553</v>
      </c>
      <c r="C306" s="14" t="s">
        <v>37</v>
      </c>
      <c r="D306" s="14"/>
      <c r="E306" s="15"/>
      <c r="F306" s="16">
        <f t="shared" si="21"/>
        <v>0</v>
      </c>
      <c r="G306">
        <f t="shared" si="17"/>
        <v>0</v>
      </c>
    </row>
    <row r="307" spans="1:7" hidden="1" x14ac:dyDescent="0.25">
      <c r="A307" s="43" t="s">
        <v>1562</v>
      </c>
      <c r="B307" s="303" t="s">
        <v>1554</v>
      </c>
      <c r="C307" s="14" t="s">
        <v>37</v>
      </c>
      <c r="D307" s="14"/>
      <c r="E307" s="15"/>
      <c r="F307" s="16">
        <f t="shared" si="21"/>
        <v>0</v>
      </c>
      <c r="G307">
        <f t="shared" si="17"/>
        <v>0</v>
      </c>
    </row>
    <row r="308" spans="1:7" hidden="1" x14ac:dyDescent="0.25">
      <c r="A308" s="43" t="s">
        <v>1563</v>
      </c>
      <c r="B308" s="303" t="s">
        <v>1555</v>
      </c>
      <c r="C308" s="14" t="s">
        <v>37</v>
      </c>
      <c r="D308" s="14"/>
      <c r="E308" s="15"/>
      <c r="F308" s="16">
        <f t="shared" si="21"/>
        <v>0</v>
      </c>
      <c r="G308">
        <f t="shared" si="17"/>
        <v>0</v>
      </c>
    </row>
    <row r="309" spans="1:7" hidden="1" x14ac:dyDescent="0.25">
      <c r="A309" s="43" t="s">
        <v>1564</v>
      </c>
      <c r="B309" s="303" t="s">
        <v>1556</v>
      </c>
      <c r="C309" s="14" t="s">
        <v>37</v>
      </c>
      <c r="D309" s="14"/>
      <c r="E309" s="15"/>
      <c r="F309" s="16">
        <f t="shared" si="21"/>
        <v>0</v>
      </c>
      <c r="G309">
        <f t="shared" si="17"/>
        <v>0</v>
      </c>
    </row>
    <row r="310" spans="1:7" hidden="1" x14ac:dyDescent="0.25">
      <c r="A310" s="43" t="s">
        <v>1565</v>
      </c>
      <c r="B310" s="303" t="s">
        <v>1557</v>
      </c>
      <c r="C310" s="14" t="s">
        <v>37</v>
      </c>
      <c r="D310" s="14"/>
      <c r="E310" s="15"/>
      <c r="F310" s="16">
        <f t="shared" si="21"/>
        <v>0</v>
      </c>
      <c r="G310">
        <f t="shared" si="17"/>
        <v>0</v>
      </c>
    </row>
    <row r="311" spans="1:7" hidden="1" x14ac:dyDescent="0.25">
      <c r="A311" s="43" t="s">
        <v>1566</v>
      </c>
      <c r="B311" s="303" t="s">
        <v>1558</v>
      </c>
      <c r="C311" s="14" t="s">
        <v>37</v>
      </c>
      <c r="D311" s="14"/>
      <c r="E311" s="15"/>
      <c r="F311" s="16">
        <f t="shared" si="21"/>
        <v>0</v>
      </c>
      <c r="G311">
        <f t="shared" si="17"/>
        <v>0</v>
      </c>
    </row>
    <row r="312" spans="1:7" hidden="1" x14ac:dyDescent="0.25">
      <c r="A312" s="65" t="s">
        <v>1529</v>
      </c>
      <c r="B312" s="66" t="s">
        <v>1640</v>
      </c>
      <c r="C312" s="67"/>
      <c r="D312" s="14"/>
      <c r="E312" s="15"/>
      <c r="F312" s="16"/>
      <c r="G312">
        <f t="shared" si="17"/>
        <v>0</v>
      </c>
    </row>
    <row r="313" spans="1:7" hidden="1" x14ac:dyDescent="0.25">
      <c r="A313" s="71" t="s">
        <v>939</v>
      </c>
      <c r="B313" s="83" t="s">
        <v>1567</v>
      </c>
      <c r="C313" s="67" t="s">
        <v>37</v>
      </c>
      <c r="D313" s="14"/>
      <c r="E313" s="15"/>
      <c r="F313" s="16">
        <f>+D313*E313</f>
        <v>0</v>
      </c>
      <c r="G313">
        <f t="shared" si="17"/>
        <v>0</v>
      </c>
    </row>
    <row r="314" spans="1:7" hidden="1" x14ac:dyDescent="0.25">
      <c r="A314" s="71" t="s">
        <v>940</v>
      </c>
      <c r="B314" s="83" t="s">
        <v>1568</v>
      </c>
      <c r="C314" s="67" t="s">
        <v>37</v>
      </c>
      <c r="D314" s="14"/>
      <c r="E314" s="15"/>
      <c r="F314" s="16">
        <f>+D314*E314</f>
        <v>0</v>
      </c>
      <c r="G314">
        <f t="shared" si="17"/>
        <v>0</v>
      </c>
    </row>
    <row r="315" spans="1:7" hidden="1" x14ac:dyDescent="0.25">
      <c r="A315" s="71" t="s">
        <v>1376</v>
      </c>
      <c r="B315" s="83" t="s">
        <v>1638</v>
      </c>
      <c r="C315" s="67" t="s">
        <v>37</v>
      </c>
      <c r="D315" s="14"/>
      <c r="E315" s="15"/>
      <c r="F315" s="16">
        <f>+D315*E315</f>
        <v>0</v>
      </c>
      <c r="G315">
        <f t="shared" si="17"/>
        <v>0</v>
      </c>
    </row>
    <row r="316" spans="1:7" hidden="1" x14ac:dyDescent="0.25">
      <c r="A316" s="71" t="s">
        <v>1377</v>
      </c>
      <c r="B316" s="83" t="s">
        <v>1639</v>
      </c>
      <c r="C316" s="67" t="s">
        <v>37</v>
      </c>
      <c r="D316" s="14"/>
      <c r="E316" s="15"/>
      <c r="F316" s="16">
        <f>+D316*E316</f>
        <v>0</v>
      </c>
      <c r="G316">
        <f t="shared" si="17"/>
        <v>0</v>
      </c>
    </row>
    <row r="317" spans="1:7" hidden="1" x14ac:dyDescent="0.25">
      <c r="A317" s="65" t="s">
        <v>946</v>
      </c>
      <c r="B317" s="84" t="s">
        <v>942</v>
      </c>
      <c r="C317" s="67"/>
      <c r="D317" s="14"/>
      <c r="E317" s="15"/>
      <c r="F317" s="16"/>
      <c r="G317">
        <f t="shared" si="17"/>
        <v>0</v>
      </c>
    </row>
    <row r="318" spans="1:7" hidden="1" x14ac:dyDescent="0.25">
      <c r="A318" s="65" t="s">
        <v>947</v>
      </c>
      <c r="B318" s="84" t="s">
        <v>1569</v>
      </c>
      <c r="C318" s="67"/>
      <c r="D318" s="14"/>
      <c r="E318" s="15"/>
      <c r="F318" s="16"/>
      <c r="G318">
        <f t="shared" si="17"/>
        <v>0</v>
      </c>
    </row>
    <row r="319" spans="1:7" hidden="1" x14ac:dyDescent="0.25">
      <c r="A319" s="71" t="s">
        <v>1579</v>
      </c>
      <c r="B319" s="83" t="s">
        <v>1571</v>
      </c>
      <c r="C319" s="14" t="s">
        <v>37</v>
      </c>
      <c r="D319" s="14"/>
      <c r="E319" s="15"/>
      <c r="F319" s="16">
        <f t="shared" ref="F319:F327" si="22">+D319*E319</f>
        <v>0</v>
      </c>
      <c r="G319">
        <f t="shared" si="17"/>
        <v>0</v>
      </c>
    </row>
    <row r="320" spans="1:7" hidden="1" x14ac:dyDescent="0.25">
      <c r="A320" s="71" t="s">
        <v>1580</v>
      </c>
      <c r="B320" s="83" t="s">
        <v>1572</v>
      </c>
      <c r="C320" s="14" t="s">
        <v>37</v>
      </c>
      <c r="D320" s="14"/>
      <c r="E320" s="15"/>
      <c r="F320" s="16">
        <f t="shared" si="22"/>
        <v>0</v>
      </c>
      <c r="G320">
        <f t="shared" si="17"/>
        <v>0</v>
      </c>
    </row>
    <row r="321" spans="1:7" hidden="1" x14ac:dyDescent="0.25">
      <c r="A321" s="71" t="s">
        <v>1581</v>
      </c>
      <c r="B321" s="83" t="s">
        <v>1570</v>
      </c>
      <c r="C321" s="14" t="s">
        <v>37</v>
      </c>
      <c r="D321" s="14"/>
      <c r="E321" s="15"/>
      <c r="F321" s="16">
        <f t="shared" si="22"/>
        <v>0</v>
      </c>
      <c r="G321">
        <f t="shared" si="17"/>
        <v>0</v>
      </c>
    </row>
    <row r="322" spans="1:7" hidden="1" x14ac:dyDescent="0.25">
      <c r="A322" s="71" t="s">
        <v>1582</v>
      </c>
      <c r="B322" s="83" t="s">
        <v>1573</v>
      </c>
      <c r="C322" s="14" t="s">
        <v>37</v>
      </c>
      <c r="D322" s="14"/>
      <c r="E322" s="15"/>
      <c r="F322" s="16">
        <f t="shared" si="22"/>
        <v>0</v>
      </c>
      <c r="G322">
        <f t="shared" si="17"/>
        <v>0</v>
      </c>
    </row>
    <row r="323" spans="1:7" hidden="1" x14ac:dyDescent="0.25">
      <c r="A323" s="71" t="s">
        <v>1583</v>
      </c>
      <c r="B323" s="83" t="s">
        <v>1574</v>
      </c>
      <c r="C323" s="14" t="s">
        <v>37</v>
      </c>
      <c r="D323" s="14"/>
      <c r="E323" s="15"/>
      <c r="F323" s="16">
        <f t="shared" si="22"/>
        <v>0</v>
      </c>
      <c r="G323">
        <f t="shared" si="17"/>
        <v>0</v>
      </c>
    </row>
    <row r="324" spans="1:7" hidden="1" x14ac:dyDescent="0.25">
      <c r="A324" s="71" t="s">
        <v>1584</v>
      </c>
      <c r="B324" s="83" t="s">
        <v>1575</v>
      </c>
      <c r="C324" s="14" t="s">
        <v>37</v>
      </c>
      <c r="D324" s="14"/>
      <c r="E324" s="15"/>
      <c r="F324" s="16">
        <f t="shared" si="22"/>
        <v>0</v>
      </c>
      <c r="G324">
        <f t="shared" si="17"/>
        <v>0</v>
      </c>
    </row>
    <row r="325" spans="1:7" hidden="1" x14ac:dyDescent="0.25">
      <c r="A325" s="71" t="s">
        <v>1585</v>
      </c>
      <c r="B325" s="83" t="s">
        <v>1576</v>
      </c>
      <c r="C325" s="14" t="s">
        <v>37</v>
      </c>
      <c r="D325" s="14"/>
      <c r="E325" s="15"/>
      <c r="F325" s="16">
        <f t="shared" si="22"/>
        <v>0</v>
      </c>
      <c r="G325">
        <f t="shared" si="17"/>
        <v>0</v>
      </c>
    </row>
    <row r="326" spans="1:7" hidden="1" x14ac:dyDescent="0.25">
      <c r="A326" s="71" t="s">
        <v>1586</v>
      </c>
      <c r="B326" s="83" t="s">
        <v>1577</v>
      </c>
      <c r="C326" s="14" t="s">
        <v>37</v>
      </c>
      <c r="D326" s="14"/>
      <c r="E326" s="15"/>
      <c r="F326" s="16">
        <f t="shared" si="22"/>
        <v>0</v>
      </c>
      <c r="G326">
        <f t="shared" si="17"/>
        <v>0</v>
      </c>
    </row>
    <row r="327" spans="1:7" hidden="1" x14ac:dyDescent="0.25">
      <c r="A327" s="71" t="s">
        <v>1649</v>
      </c>
      <c r="B327" s="83" t="s">
        <v>1578</v>
      </c>
      <c r="C327" s="14" t="s">
        <v>37</v>
      </c>
      <c r="D327" s="14"/>
      <c r="E327" s="15"/>
      <c r="F327" s="16">
        <f t="shared" si="22"/>
        <v>0</v>
      </c>
      <c r="G327">
        <f t="shared" si="17"/>
        <v>0</v>
      </c>
    </row>
    <row r="328" spans="1:7" hidden="1" x14ac:dyDescent="0.25">
      <c r="A328" s="65" t="s">
        <v>1642</v>
      </c>
      <c r="B328" s="84" t="s">
        <v>1641</v>
      </c>
      <c r="C328" s="67"/>
      <c r="D328" s="14"/>
      <c r="E328" s="15"/>
      <c r="F328" s="16"/>
      <c r="G328">
        <f t="shared" si="17"/>
        <v>0</v>
      </c>
    </row>
    <row r="329" spans="1:7" hidden="1" x14ac:dyDescent="0.25">
      <c r="A329" s="43" t="s">
        <v>1596</v>
      </c>
      <c r="B329" s="83" t="s">
        <v>1643</v>
      </c>
      <c r="C329" s="14" t="s">
        <v>37</v>
      </c>
      <c r="D329" s="14"/>
      <c r="E329" s="15"/>
      <c r="F329" s="16">
        <f t="shared" ref="F329:F334" si="23">+D329*E329</f>
        <v>0</v>
      </c>
      <c r="G329">
        <f t="shared" ref="G329:G392" si="24">+IF(F329&lt;&gt;0,1,0)</f>
        <v>0</v>
      </c>
    </row>
    <row r="330" spans="1:7" hidden="1" x14ac:dyDescent="0.25">
      <c r="A330" s="43" t="s">
        <v>1597</v>
      </c>
      <c r="B330" s="83" t="s">
        <v>1644</v>
      </c>
      <c r="C330" s="14" t="s">
        <v>37</v>
      </c>
      <c r="D330" s="14"/>
      <c r="E330" s="15"/>
      <c r="F330" s="16">
        <f t="shared" si="23"/>
        <v>0</v>
      </c>
      <c r="G330">
        <f t="shared" si="24"/>
        <v>0</v>
      </c>
    </row>
    <row r="331" spans="1:7" hidden="1" x14ac:dyDescent="0.25">
      <c r="A331" s="43" t="s">
        <v>1598</v>
      </c>
      <c r="B331" s="83" t="s">
        <v>1648</v>
      </c>
      <c r="C331" s="14" t="s">
        <v>37</v>
      </c>
      <c r="D331" s="14"/>
      <c r="E331" s="15"/>
      <c r="F331" s="16">
        <f t="shared" si="23"/>
        <v>0</v>
      </c>
      <c r="G331">
        <f t="shared" si="24"/>
        <v>0</v>
      </c>
    </row>
    <row r="332" spans="1:7" hidden="1" x14ac:dyDescent="0.25">
      <c r="A332" s="43" t="s">
        <v>1599</v>
      </c>
      <c r="B332" s="83" t="s">
        <v>1645</v>
      </c>
      <c r="C332" s="14" t="s">
        <v>37</v>
      </c>
      <c r="D332" s="14"/>
      <c r="E332" s="15"/>
      <c r="F332" s="16">
        <f t="shared" si="23"/>
        <v>0</v>
      </c>
      <c r="G332">
        <f t="shared" si="24"/>
        <v>0</v>
      </c>
    </row>
    <row r="333" spans="1:7" hidden="1" x14ac:dyDescent="0.25">
      <c r="A333" s="43" t="s">
        <v>1600</v>
      </c>
      <c r="B333" s="83" t="s">
        <v>1646</v>
      </c>
      <c r="C333" s="14" t="s">
        <v>37</v>
      </c>
      <c r="D333" s="14"/>
      <c r="E333" s="15"/>
      <c r="F333" s="16">
        <f t="shared" si="23"/>
        <v>0</v>
      </c>
      <c r="G333">
        <f t="shared" si="24"/>
        <v>0</v>
      </c>
    </row>
    <row r="334" spans="1:7" hidden="1" x14ac:dyDescent="0.25">
      <c r="A334" s="43" t="s">
        <v>1601</v>
      </c>
      <c r="B334" s="83" t="s">
        <v>1647</v>
      </c>
      <c r="C334" s="14" t="s">
        <v>37</v>
      </c>
      <c r="D334" s="14"/>
      <c r="E334" s="15"/>
      <c r="F334" s="16">
        <f t="shared" si="23"/>
        <v>0</v>
      </c>
      <c r="G334">
        <f t="shared" si="24"/>
        <v>0</v>
      </c>
    </row>
    <row r="335" spans="1:7" hidden="1" x14ac:dyDescent="0.25">
      <c r="A335" s="44" t="s">
        <v>1650</v>
      </c>
      <c r="B335" s="80" t="s">
        <v>1587</v>
      </c>
      <c r="C335" s="14"/>
      <c r="D335" s="14"/>
      <c r="E335" s="15"/>
      <c r="F335" s="16"/>
      <c r="G335">
        <f t="shared" si="24"/>
        <v>0</v>
      </c>
    </row>
    <row r="336" spans="1:7" hidden="1" x14ac:dyDescent="0.25">
      <c r="A336" s="43" t="s">
        <v>1602</v>
      </c>
      <c r="B336" s="81" t="s">
        <v>1588</v>
      </c>
      <c r="C336" s="14" t="s">
        <v>37</v>
      </c>
      <c r="D336" s="14"/>
      <c r="E336" s="15"/>
      <c r="F336" s="16">
        <f t="shared" ref="F336:F343" si="25">+D336*E336</f>
        <v>0</v>
      </c>
      <c r="G336">
        <f t="shared" si="24"/>
        <v>0</v>
      </c>
    </row>
    <row r="337" spans="1:7" hidden="1" x14ac:dyDescent="0.25">
      <c r="A337" s="43" t="s">
        <v>1610</v>
      </c>
      <c r="B337" s="81" t="s">
        <v>1618</v>
      </c>
      <c r="C337" s="14" t="s">
        <v>37</v>
      </c>
      <c r="D337" s="14"/>
      <c r="E337" s="15"/>
      <c r="F337" s="16">
        <f t="shared" si="25"/>
        <v>0</v>
      </c>
      <c r="G337">
        <f t="shared" si="24"/>
        <v>0</v>
      </c>
    </row>
    <row r="338" spans="1:7" hidden="1" x14ac:dyDescent="0.25">
      <c r="A338" s="43" t="s">
        <v>1611</v>
      </c>
      <c r="B338" s="81" t="s">
        <v>1589</v>
      </c>
      <c r="C338" s="14" t="s">
        <v>37</v>
      </c>
      <c r="D338" s="14"/>
      <c r="E338" s="15"/>
      <c r="F338" s="16">
        <f t="shared" si="25"/>
        <v>0</v>
      </c>
      <c r="G338">
        <f t="shared" si="24"/>
        <v>0</v>
      </c>
    </row>
    <row r="339" spans="1:7" hidden="1" x14ac:dyDescent="0.25">
      <c r="A339" s="43" t="s">
        <v>1612</v>
      </c>
      <c r="B339" s="81" t="s">
        <v>1590</v>
      </c>
      <c r="C339" s="14" t="s">
        <v>37</v>
      </c>
      <c r="D339" s="14"/>
      <c r="E339" s="15"/>
      <c r="F339" s="16">
        <f t="shared" si="25"/>
        <v>0</v>
      </c>
      <c r="G339">
        <f t="shared" si="24"/>
        <v>0</v>
      </c>
    </row>
    <row r="340" spans="1:7" hidden="1" x14ac:dyDescent="0.25">
      <c r="A340" s="43" t="s">
        <v>1613</v>
      </c>
      <c r="B340" s="81" t="s">
        <v>1591</v>
      </c>
      <c r="C340" s="14" t="s">
        <v>37</v>
      </c>
      <c r="D340" s="14"/>
      <c r="E340" s="15"/>
      <c r="F340" s="16">
        <f t="shared" si="25"/>
        <v>0</v>
      </c>
      <c r="G340">
        <f t="shared" si="24"/>
        <v>0</v>
      </c>
    </row>
    <row r="341" spans="1:7" hidden="1" x14ac:dyDescent="0.25">
      <c r="A341" s="43" t="s">
        <v>1614</v>
      </c>
      <c r="B341" s="81" t="s">
        <v>1592</v>
      </c>
      <c r="C341" s="14" t="s">
        <v>37</v>
      </c>
      <c r="D341" s="14"/>
      <c r="E341" s="15"/>
      <c r="F341" s="16">
        <f t="shared" si="25"/>
        <v>0</v>
      </c>
      <c r="G341">
        <f t="shared" si="24"/>
        <v>0</v>
      </c>
    </row>
    <row r="342" spans="1:7" hidden="1" x14ac:dyDescent="0.25">
      <c r="A342" s="43" t="s">
        <v>1615</v>
      </c>
      <c r="B342" s="81" t="s">
        <v>1593</v>
      </c>
      <c r="C342" s="14" t="s">
        <v>37</v>
      </c>
      <c r="D342" s="14"/>
      <c r="E342" s="15"/>
      <c r="F342" s="16">
        <f t="shared" si="25"/>
        <v>0</v>
      </c>
      <c r="G342">
        <f t="shared" si="24"/>
        <v>0</v>
      </c>
    </row>
    <row r="343" spans="1:7" hidden="1" x14ac:dyDescent="0.25">
      <c r="A343" s="43" t="s">
        <v>1620</v>
      </c>
      <c r="B343" s="81" t="s">
        <v>1594</v>
      </c>
      <c r="C343" s="14" t="s">
        <v>37</v>
      </c>
      <c r="D343" s="14"/>
      <c r="E343" s="15"/>
      <c r="F343" s="16">
        <f t="shared" si="25"/>
        <v>0</v>
      </c>
      <c r="G343">
        <f t="shared" si="24"/>
        <v>0</v>
      </c>
    </row>
    <row r="344" spans="1:7" hidden="1" x14ac:dyDescent="0.25">
      <c r="A344" s="78" t="s">
        <v>1616</v>
      </c>
      <c r="B344" s="80" t="s">
        <v>1595</v>
      </c>
      <c r="C344" s="14"/>
      <c r="D344" s="14"/>
      <c r="E344" s="15"/>
      <c r="F344" s="16"/>
      <c r="G344">
        <f t="shared" si="24"/>
        <v>0</v>
      </c>
    </row>
    <row r="345" spans="1:7" hidden="1" x14ac:dyDescent="0.25">
      <c r="A345" s="85" t="s">
        <v>1621</v>
      </c>
      <c r="B345" s="81" t="s">
        <v>1603</v>
      </c>
      <c r="C345" s="14" t="s">
        <v>37</v>
      </c>
      <c r="D345" s="14"/>
      <c r="E345" s="15"/>
      <c r="F345" s="16">
        <f t="shared" ref="F345:F353" si="26">+D345*E345</f>
        <v>0</v>
      </c>
      <c r="G345">
        <f t="shared" si="24"/>
        <v>0</v>
      </c>
    </row>
    <row r="346" spans="1:7" hidden="1" x14ac:dyDescent="0.25">
      <c r="A346" s="85" t="s">
        <v>1622</v>
      </c>
      <c r="B346" s="81" t="s">
        <v>1619</v>
      </c>
      <c r="C346" s="14" t="s">
        <v>37</v>
      </c>
      <c r="D346" s="14"/>
      <c r="E346" s="15"/>
      <c r="F346" s="16">
        <f t="shared" si="26"/>
        <v>0</v>
      </c>
      <c r="G346">
        <f t="shared" si="24"/>
        <v>0</v>
      </c>
    </row>
    <row r="347" spans="1:7" hidden="1" x14ac:dyDescent="0.25">
      <c r="A347" s="85" t="s">
        <v>1623</v>
      </c>
      <c r="B347" s="81" t="s">
        <v>1604</v>
      </c>
      <c r="C347" s="14" t="s">
        <v>37</v>
      </c>
      <c r="D347" s="14"/>
      <c r="E347" s="15"/>
      <c r="F347" s="16">
        <f t="shared" si="26"/>
        <v>0</v>
      </c>
      <c r="G347">
        <f t="shared" si="24"/>
        <v>0</v>
      </c>
    </row>
    <row r="348" spans="1:7" hidden="1" x14ac:dyDescent="0.25">
      <c r="A348" s="85" t="s">
        <v>1624</v>
      </c>
      <c r="B348" s="81" t="s">
        <v>1605</v>
      </c>
      <c r="C348" s="14" t="s">
        <v>37</v>
      </c>
      <c r="D348" s="14"/>
      <c r="E348" s="15"/>
      <c r="F348" s="16">
        <f t="shared" si="26"/>
        <v>0</v>
      </c>
      <c r="G348">
        <f t="shared" si="24"/>
        <v>0</v>
      </c>
    </row>
    <row r="349" spans="1:7" hidden="1" x14ac:dyDescent="0.25">
      <c r="A349" s="85" t="s">
        <v>1625</v>
      </c>
      <c r="B349" s="81" t="s">
        <v>1606</v>
      </c>
      <c r="C349" s="14" t="s">
        <v>37</v>
      </c>
      <c r="D349" s="14"/>
      <c r="E349" s="15"/>
      <c r="F349" s="16">
        <f t="shared" si="26"/>
        <v>0</v>
      </c>
      <c r="G349">
        <f t="shared" si="24"/>
        <v>0</v>
      </c>
    </row>
    <row r="350" spans="1:7" hidden="1" x14ac:dyDescent="0.25">
      <c r="A350" s="85" t="s">
        <v>1626</v>
      </c>
      <c r="B350" s="81" t="s">
        <v>1607</v>
      </c>
      <c r="C350" s="14" t="s">
        <v>37</v>
      </c>
      <c r="D350" s="14"/>
      <c r="E350" s="15"/>
      <c r="F350" s="16">
        <f t="shared" si="26"/>
        <v>0</v>
      </c>
      <c r="G350">
        <f t="shared" si="24"/>
        <v>0</v>
      </c>
    </row>
    <row r="351" spans="1:7" hidden="1" x14ac:dyDescent="0.25">
      <c r="A351" s="85" t="s">
        <v>1627</v>
      </c>
      <c r="B351" s="81" t="s">
        <v>1609</v>
      </c>
      <c r="C351" s="14" t="s">
        <v>37</v>
      </c>
      <c r="D351" s="14"/>
      <c r="E351" s="15"/>
      <c r="F351" s="16">
        <f t="shared" si="26"/>
        <v>0</v>
      </c>
      <c r="G351">
        <f t="shared" si="24"/>
        <v>0</v>
      </c>
    </row>
    <row r="352" spans="1:7" hidden="1" x14ac:dyDescent="0.25">
      <c r="A352" s="85" t="s">
        <v>1628</v>
      </c>
      <c r="B352" s="81" t="s">
        <v>1608</v>
      </c>
      <c r="C352" s="14" t="s">
        <v>37</v>
      </c>
      <c r="D352" s="14"/>
      <c r="E352" s="15"/>
      <c r="F352" s="16">
        <f t="shared" si="26"/>
        <v>0</v>
      </c>
      <c r="G352">
        <f t="shared" si="24"/>
        <v>0</v>
      </c>
    </row>
    <row r="353" spans="1:7" hidden="1" x14ac:dyDescent="0.25">
      <c r="A353" s="110" t="s">
        <v>1652</v>
      </c>
      <c r="B353" s="109" t="s">
        <v>1637</v>
      </c>
      <c r="C353" s="14" t="s">
        <v>37</v>
      </c>
      <c r="D353" s="14"/>
      <c r="E353" s="15"/>
      <c r="F353" s="16">
        <f t="shared" si="26"/>
        <v>0</v>
      </c>
      <c r="G353">
        <f t="shared" si="24"/>
        <v>0</v>
      </c>
    </row>
    <row r="354" spans="1:7" hidden="1" x14ac:dyDescent="0.25">
      <c r="A354" s="78" t="s">
        <v>1651</v>
      </c>
      <c r="B354" s="80" t="s">
        <v>1617</v>
      </c>
      <c r="C354" s="14"/>
      <c r="D354" s="14"/>
      <c r="E354" s="15"/>
      <c r="F354" s="16"/>
      <c r="G354">
        <f t="shared" si="24"/>
        <v>0</v>
      </c>
    </row>
    <row r="355" spans="1:7" hidden="1" x14ac:dyDescent="0.25">
      <c r="A355" s="85" t="s">
        <v>1653</v>
      </c>
      <c r="B355" s="81" t="s">
        <v>1629</v>
      </c>
      <c r="C355" s="14" t="s">
        <v>37</v>
      </c>
      <c r="D355" s="14"/>
      <c r="E355" s="15"/>
      <c r="F355" s="16">
        <f t="shared" ref="F355:F362" si="27">+D355*E355</f>
        <v>0</v>
      </c>
      <c r="G355">
        <f t="shared" si="24"/>
        <v>0</v>
      </c>
    </row>
    <row r="356" spans="1:7" hidden="1" x14ac:dyDescent="0.25">
      <c r="A356" s="85" t="s">
        <v>1654</v>
      </c>
      <c r="B356" s="81" t="s">
        <v>1630</v>
      </c>
      <c r="C356" s="14" t="s">
        <v>37</v>
      </c>
      <c r="D356" s="14"/>
      <c r="E356" s="15"/>
      <c r="F356" s="16">
        <f t="shared" si="27"/>
        <v>0</v>
      </c>
      <c r="G356">
        <f t="shared" si="24"/>
        <v>0</v>
      </c>
    </row>
    <row r="357" spans="1:7" hidden="1" x14ac:dyDescent="0.25">
      <c r="A357" s="85" t="s">
        <v>1655</v>
      </c>
      <c r="B357" s="81" t="s">
        <v>1631</v>
      </c>
      <c r="C357" s="14" t="s">
        <v>37</v>
      </c>
      <c r="D357" s="14"/>
      <c r="E357" s="15"/>
      <c r="F357" s="16">
        <f t="shared" si="27"/>
        <v>0</v>
      </c>
      <c r="G357">
        <f t="shared" si="24"/>
        <v>0</v>
      </c>
    </row>
    <row r="358" spans="1:7" hidden="1" x14ac:dyDescent="0.25">
      <c r="A358" s="85" t="s">
        <v>1656</v>
      </c>
      <c r="B358" s="81" t="s">
        <v>1632</v>
      </c>
      <c r="C358" s="14" t="s">
        <v>37</v>
      </c>
      <c r="D358" s="14"/>
      <c r="E358" s="15"/>
      <c r="F358" s="16">
        <f t="shared" si="27"/>
        <v>0</v>
      </c>
      <c r="G358">
        <f t="shared" si="24"/>
        <v>0</v>
      </c>
    </row>
    <row r="359" spans="1:7" hidden="1" x14ac:dyDescent="0.25">
      <c r="A359" s="85" t="s">
        <v>1657</v>
      </c>
      <c r="B359" s="81" t="s">
        <v>1633</v>
      </c>
      <c r="C359" s="14" t="s">
        <v>37</v>
      </c>
      <c r="D359" s="14"/>
      <c r="E359" s="15"/>
      <c r="F359" s="16">
        <f t="shared" si="27"/>
        <v>0</v>
      </c>
      <c r="G359">
        <f t="shared" si="24"/>
        <v>0</v>
      </c>
    </row>
    <row r="360" spans="1:7" hidden="1" x14ac:dyDescent="0.25">
      <c r="A360" s="85" t="s">
        <v>1658</v>
      </c>
      <c r="B360" s="81" t="s">
        <v>1634</v>
      </c>
      <c r="C360" s="14" t="s">
        <v>37</v>
      </c>
      <c r="D360" s="14"/>
      <c r="E360" s="15"/>
      <c r="F360" s="16">
        <f t="shared" si="27"/>
        <v>0</v>
      </c>
      <c r="G360">
        <f t="shared" si="24"/>
        <v>0</v>
      </c>
    </row>
    <row r="361" spans="1:7" hidden="1" x14ac:dyDescent="0.25">
      <c r="A361" s="85" t="s">
        <v>1659</v>
      </c>
      <c r="B361" s="81" t="s">
        <v>1635</v>
      </c>
      <c r="C361" s="14" t="s">
        <v>37</v>
      </c>
      <c r="D361" s="14"/>
      <c r="E361" s="15"/>
      <c r="F361" s="16">
        <f t="shared" si="27"/>
        <v>0</v>
      </c>
      <c r="G361">
        <f t="shared" si="24"/>
        <v>0</v>
      </c>
    </row>
    <row r="362" spans="1:7" hidden="1" x14ac:dyDescent="0.25">
      <c r="A362" s="85" t="s">
        <v>1660</v>
      </c>
      <c r="B362" s="81" t="s">
        <v>1636</v>
      </c>
      <c r="C362" s="14" t="s">
        <v>37</v>
      </c>
      <c r="D362" s="14"/>
      <c r="E362" s="15"/>
      <c r="F362" s="16">
        <f t="shared" si="27"/>
        <v>0</v>
      </c>
      <c r="G362">
        <f t="shared" si="24"/>
        <v>0</v>
      </c>
    </row>
    <row r="363" spans="1:7" hidden="1" x14ac:dyDescent="0.25">
      <c r="A363" s="78" t="s">
        <v>1661</v>
      </c>
      <c r="B363" s="80" t="s">
        <v>1662</v>
      </c>
      <c r="C363" s="14"/>
      <c r="D363" s="14"/>
      <c r="E363" s="15"/>
      <c r="F363" s="16"/>
      <c r="G363">
        <f t="shared" si="24"/>
        <v>0</v>
      </c>
    </row>
    <row r="364" spans="1:7" hidden="1" x14ac:dyDescent="0.25">
      <c r="A364" s="85" t="s">
        <v>1663</v>
      </c>
      <c r="B364" s="81" t="s">
        <v>1664</v>
      </c>
      <c r="C364" s="14" t="s">
        <v>37</v>
      </c>
      <c r="D364" s="14"/>
      <c r="E364" s="15"/>
      <c r="F364" s="16">
        <f t="shared" ref="F364:F369" si="28">+D364*E364</f>
        <v>0</v>
      </c>
      <c r="G364">
        <f t="shared" si="24"/>
        <v>0</v>
      </c>
    </row>
    <row r="365" spans="1:7" hidden="1" x14ac:dyDescent="0.25">
      <c r="A365" s="85" t="s">
        <v>1670</v>
      </c>
      <c r="B365" s="81" t="s">
        <v>1665</v>
      </c>
      <c r="C365" s="14" t="s">
        <v>37</v>
      </c>
      <c r="D365" s="14"/>
      <c r="E365" s="15"/>
      <c r="F365" s="16">
        <f t="shared" si="28"/>
        <v>0</v>
      </c>
      <c r="G365">
        <f t="shared" si="24"/>
        <v>0</v>
      </c>
    </row>
    <row r="366" spans="1:7" hidden="1" x14ac:dyDescent="0.25">
      <c r="A366" s="85" t="s">
        <v>1671</v>
      </c>
      <c r="B366" s="81" t="s">
        <v>1666</v>
      </c>
      <c r="C366" s="14" t="s">
        <v>37</v>
      </c>
      <c r="D366" s="14"/>
      <c r="E366" s="15"/>
      <c r="F366" s="16">
        <f t="shared" si="28"/>
        <v>0</v>
      </c>
      <c r="G366">
        <f t="shared" si="24"/>
        <v>0</v>
      </c>
    </row>
    <row r="367" spans="1:7" hidden="1" x14ac:dyDescent="0.25">
      <c r="A367" s="85" t="s">
        <v>1672</v>
      </c>
      <c r="B367" s="81" t="s">
        <v>1667</v>
      </c>
      <c r="C367" s="14" t="s">
        <v>37</v>
      </c>
      <c r="D367" s="14"/>
      <c r="E367" s="15"/>
      <c r="F367" s="16">
        <f t="shared" si="28"/>
        <v>0</v>
      </c>
      <c r="G367">
        <f t="shared" si="24"/>
        <v>0</v>
      </c>
    </row>
    <row r="368" spans="1:7" hidden="1" x14ac:dyDescent="0.25">
      <c r="A368" s="85" t="s">
        <v>1673</v>
      </c>
      <c r="B368" s="81" t="s">
        <v>1668</v>
      </c>
      <c r="C368" s="14" t="s">
        <v>37</v>
      </c>
      <c r="D368" s="14"/>
      <c r="E368" s="15"/>
      <c r="F368" s="16">
        <f t="shared" si="28"/>
        <v>0</v>
      </c>
      <c r="G368">
        <f t="shared" si="24"/>
        <v>0</v>
      </c>
    </row>
    <row r="369" spans="1:7" hidden="1" x14ac:dyDescent="0.25">
      <c r="A369" s="85" t="s">
        <v>1674</v>
      </c>
      <c r="B369" s="81" t="s">
        <v>1669</v>
      </c>
      <c r="C369" s="14" t="s">
        <v>37</v>
      </c>
      <c r="D369" s="14"/>
      <c r="E369" s="15"/>
      <c r="F369" s="16">
        <f t="shared" si="28"/>
        <v>0</v>
      </c>
      <c r="G369">
        <f t="shared" si="24"/>
        <v>0</v>
      </c>
    </row>
    <row r="370" spans="1:7" hidden="1" x14ac:dyDescent="0.25">
      <c r="A370" s="61" t="s">
        <v>948</v>
      </c>
      <c r="B370" s="62" t="s">
        <v>949</v>
      </c>
      <c r="C370" s="63"/>
      <c r="D370" s="14"/>
      <c r="E370" s="15"/>
      <c r="F370" s="16"/>
      <c r="G370">
        <f t="shared" si="24"/>
        <v>0</v>
      </c>
    </row>
    <row r="371" spans="1:7" hidden="1" x14ac:dyDescent="0.25">
      <c r="A371" s="44" t="s">
        <v>950</v>
      </c>
      <c r="B371" s="80" t="s">
        <v>1715</v>
      </c>
      <c r="C371" s="14"/>
      <c r="D371" s="14"/>
      <c r="E371" s="15"/>
      <c r="F371" s="16"/>
      <c r="G371">
        <f t="shared" si="24"/>
        <v>0</v>
      </c>
    </row>
    <row r="372" spans="1:7" hidden="1" x14ac:dyDescent="0.25">
      <c r="A372" s="43" t="s">
        <v>1716</v>
      </c>
      <c r="B372" s="112" t="s">
        <v>1726</v>
      </c>
      <c r="C372" s="14" t="s">
        <v>14</v>
      </c>
      <c r="D372" s="14"/>
      <c r="E372" s="15"/>
      <c r="F372" s="16">
        <f t="shared" ref="F372:F391" si="29">+D372*E372</f>
        <v>0</v>
      </c>
      <c r="G372">
        <f t="shared" si="24"/>
        <v>0</v>
      </c>
    </row>
    <row r="373" spans="1:7" hidden="1" x14ac:dyDescent="0.25">
      <c r="A373" s="43" t="s">
        <v>1717</v>
      </c>
      <c r="B373" s="112" t="s">
        <v>1727</v>
      </c>
      <c r="C373" s="14" t="s">
        <v>14</v>
      </c>
      <c r="D373" s="14"/>
      <c r="E373" s="15"/>
      <c r="F373" s="16">
        <f t="shared" si="29"/>
        <v>0</v>
      </c>
      <c r="G373">
        <f t="shared" si="24"/>
        <v>0</v>
      </c>
    </row>
    <row r="374" spans="1:7" hidden="1" x14ac:dyDescent="0.25">
      <c r="A374" s="43" t="s">
        <v>951</v>
      </c>
      <c r="B374" s="112" t="s">
        <v>1728</v>
      </c>
      <c r="C374" s="14" t="s">
        <v>14</v>
      </c>
      <c r="D374" s="14"/>
      <c r="E374" s="15"/>
      <c r="F374" s="16">
        <f t="shared" si="29"/>
        <v>0</v>
      </c>
      <c r="G374">
        <f t="shared" si="24"/>
        <v>0</v>
      </c>
    </row>
    <row r="375" spans="1:7" hidden="1" x14ac:dyDescent="0.25">
      <c r="A375" s="43" t="s">
        <v>1718</v>
      </c>
      <c r="B375" s="81" t="s">
        <v>1729</v>
      </c>
      <c r="C375" s="14" t="s">
        <v>14</v>
      </c>
      <c r="D375" s="14"/>
      <c r="E375" s="15"/>
      <c r="F375" s="16">
        <f t="shared" si="29"/>
        <v>0</v>
      </c>
      <c r="G375">
        <f t="shared" si="24"/>
        <v>0</v>
      </c>
    </row>
    <row r="376" spans="1:7" hidden="1" x14ac:dyDescent="0.25">
      <c r="A376" s="43" t="s">
        <v>1719</v>
      </c>
      <c r="B376" s="81" t="s">
        <v>1730</v>
      </c>
      <c r="C376" s="14" t="s">
        <v>14</v>
      </c>
      <c r="D376" s="14"/>
      <c r="E376" s="15"/>
      <c r="F376" s="16">
        <f t="shared" si="29"/>
        <v>0</v>
      </c>
      <c r="G376">
        <f t="shared" si="24"/>
        <v>0</v>
      </c>
    </row>
    <row r="377" spans="1:7" hidden="1" x14ac:dyDescent="0.25">
      <c r="A377" s="43" t="s">
        <v>952</v>
      </c>
      <c r="B377" s="111" t="s">
        <v>1784</v>
      </c>
      <c r="C377" s="14" t="s">
        <v>14</v>
      </c>
      <c r="D377" s="14"/>
      <c r="E377" s="15"/>
      <c r="F377" s="16">
        <f t="shared" si="29"/>
        <v>0</v>
      </c>
      <c r="G377">
        <f t="shared" si="24"/>
        <v>0</v>
      </c>
    </row>
    <row r="378" spans="1:7" hidden="1" x14ac:dyDescent="0.25">
      <c r="A378" s="43" t="s">
        <v>1720</v>
      </c>
      <c r="B378" s="111" t="s">
        <v>1785</v>
      </c>
      <c r="C378" s="14" t="s">
        <v>14</v>
      </c>
      <c r="D378" s="14"/>
      <c r="E378" s="15"/>
      <c r="F378" s="16">
        <f t="shared" si="29"/>
        <v>0</v>
      </c>
      <c r="G378">
        <f t="shared" si="24"/>
        <v>0</v>
      </c>
    </row>
    <row r="379" spans="1:7" hidden="1" x14ac:dyDescent="0.25">
      <c r="A379" s="43" t="s">
        <v>1721</v>
      </c>
      <c r="B379" s="81" t="s">
        <v>1731</v>
      </c>
      <c r="C379" s="14" t="s">
        <v>14</v>
      </c>
      <c r="D379" s="14"/>
      <c r="E379" s="15"/>
      <c r="F379" s="16">
        <f t="shared" si="29"/>
        <v>0</v>
      </c>
      <c r="G379">
        <f t="shared" si="24"/>
        <v>0</v>
      </c>
    </row>
    <row r="380" spans="1:7" hidden="1" x14ac:dyDescent="0.25">
      <c r="A380" s="43" t="s">
        <v>1722</v>
      </c>
      <c r="B380" s="111" t="s">
        <v>1786</v>
      </c>
      <c r="C380" s="14" t="s">
        <v>14</v>
      </c>
      <c r="D380" s="14"/>
      <c r="E380" s="15"/>
      <c r="F380" s="16">
        <f t="shared" si="29"/>
        <v>0</v>
      </c>
      <c r="G380">
        <f t="shared" si="24"/>
        <v>0</v>
      </c>
    </row>
    <row r="381" spans="1:7" hidden="1" x14ac:dyDescent="0.25">
      <c r="A381" s="43" t="s">
        <v>1723</v>
      </c>
      <c r="B381" s="81" t="s">
        <v>1732</v>
      </c>
      <c r="C381" s="14" t="s">
        <v>14</v>
      </c>
      <c r="D381" s="14"/>
      <c r="E381" s="15"/>
      <c r="F381" s="16">
        <f t="shared" si="29"/>
        <v>0</v>
      </c>
      <c r="G381">
        <f t="shared" si="24"/>
        <v>0</v>
      </c>
    </row>
    <row r="382" spans="1:7" hidden="1" x14ac:dyDescent="0.25">
      <c r="A382" s="43" t="s">
        <v>1724</v>
      </c>
      <c r="B382" s="111" t="s">
        <v>1787</v>
      </c>
      <c r="C382" s="14" t="s">
        <v>14</v>
      </c>
      <c r="D382" s="14"/>
      <c r="E382" s="15"/>
      <c r="F382" s="16">
        <f t="shared" si="29"/>
        <v>0</v>
      </c>
      <c r="G382">
        <f t="shared" si="24"/>
        <v>0</v>
      </c>
    </row>
    <row r="383" spans="1:7" hidden="1" x14ac:dyDescent="0.25">
      <c r="A383" s="43" t="s">
        <v>1793</v>
      </c>
      <c r="B383" s="81" t="s">
        <v>1733</v>
      </c>
      <c r="C383" s="14" t="s">
        <v>14</v>
      </c>
      <c r="D383" s="14"/>
      <c r="E383" s="15"/>
      <c r="F383" s="16">
        <f t="shared" si="29"/>
        <v>0</v>
      </c>
      <c r="G383">
        <f t="shared" si="24"/>
        <v>0</v>
      </c>
    </row>
    <row r="384" spans="1:7" hidden="1" x14ac:dyDescent="0.25">
      <c r="A384" s="43" t="s">
        <v>1794</v>
      </c>
      <c r="B384" s="111" t="s">
        <v>1788</v>
      </c>
      <c r="C384" s="14" t="s">
        <v>14</v>
      </c>
      <c r="D384" s="14"/>
      <c r="E384" s="15"/>
      <c r="F384" s="16">
        <f t="shared" si="29"/>
        <v>0</v>
      </c>
      <c r="G384">
        <f t="shared" si="24"/>
        <v>0</v>
      </c>
    </row>
    <row r="385" spans="1:7" hidden="1" x14ac:dyDescent="0.25">
      <c r="A385" s="43" t="s">
        <v>1795</v>
      </c>
      <c r="B385" s="81" t="s">
        <v>1734</v>
      </c>
      <c r="C385" s="14" t="s">
        <v>14</v>
      </c>
      <c r="D385" s="14"/>
      <c r="E385" s="15"/>
      <c r="F385" s="16">
        <f t="shared" si="29"/>
        <v>0</v>
      </c>
      <c r="G385">
        <f t="shared" si="24"/>
        <v>0</v>
      </c>
    </row>
    <row r="386" spans="1:7" hidden="1" x14ac:dyDescent="0.25">
      <c r="A386" s="43" t="s">
        <v>1796</v>
      </c>
      <c r="B386" s="81" t="s">
        <v>1735</v>
      </c>
      <c r="C386" s="14" t="s">
        <v>14</v>
      </c>
      <c r="D386" s="14"/>
      <c r="E386" s="15"/>
      <c r="F386" s="16">
        <f t="shared" si="29"/>
        <v>0</v>
      </c>
      <c r="G386">
        <f t="shared" si="24"/>
        <v>0</v>
      </c>
    </row>
    <row r="387" spans="1:7" hidden="1" x14ac:dyDescent="0.25">
      <c r="A387" s="43" t="s">
        <v>1797</v>
      </c>
      <c r="B387" s="81" t="s">
        <v>1736</v>
      </c>
      <c r="C387" s="14" t="s">
        <v>14</v>
      </c>
      <c r="D387" s="14"/>
      <c r="E387" s="15"/>
      <c r="F387" s="16">
        <f t="shared" si="29"/>
        <v>0</v>
      </c>
      <c r="G387">
        <f t="shared" si="24"/>
        <v>0</v>
      </c>
    </row>
    <row r="388" spans="1:7" hidden="1" x14ac:dyDescent="0.25">
      <c r="A388" s="43" t="s">
        <v>1798</v>
      </c>
      <c r="B388" s="111" t="s">
        <v>1789</v>
      </c>
      <c r="C388" s="14" t="s">
        <v>14</v>
      </c>
      <c r="D388" s="14"/>
      <c r="E388" s="15"/>
      <c r="F388" s="16">
        <f t="shared" si="29"/>
        <v>0</v>
      </c>
      <c r="G388">
        <f t="shared" si="24"/>
        <v>0</v>
      </c>
    </row>
    <row r="389" spans="1:7" hidden="1" x14ac:dyDescent="0.25">
      <c r="A389" s="43" t="s">
        <v>1799</v>
      </c>
      <c r="B389" s="111" t="s">
        <v>1790</v>
      </c>
      <c r="C389" s="14" t="s">
        <v>14</v>
      </c>
      <c r="D389" s="14"/>
      <c r="E389" s="15"/>
      <c r="F389" s="16">
        <f t="shared" si="29"/>
        <v>0</v>
      </c>
      <c r="G389">
        <f t="shared" si="24"/>
        <v>0</v>
      </c>
    </row>
    <row r="390" spans="1:7" hidden="1" x14ac:dyDescent="0.25">
      <c r="A390" s="43" t="s">
        <v>1800</v>
      </c>
      <c r="B390" s="111" t="s">
        <v>1791</v>
      </c>
      <c r="C390" s="14" t="s">
        <v>14</v>
      </c>
      <c r="D390" s="14"/>
      <c r="E390" s="15"/>
      <c r="F390" s="16">
        <f t="shared" si="29"/>
        <v>0</v>
      </c>
      <c r="G390">
        <f t="shared" si="24"/>
        <v>0</v>
      </c>
    </row>
    <row r="391" spans="1:7" hidden="1" x14ac:dyDescent="0.25">
      <c r="A391" s="43" t="s">
        <v>1801</v>
      </c>
      <c r="B391" s="111" t="s">
        <v>1792</v>
      </c>
      <c r="C391" s="14" t="s">
        <v>14</v>
      </c>
      <c r="D391" s="14"/>
      <c r="E391" s="15"/>
      <c r="F391" s="16">
        <f t="shared" si="29"/>
        <v>0</v>
      </c>
      <c r="G391">
        <f t="shared" si="24"/>
        <v>0</v>
      </c>
    </row>
    <row r="392" spans="1:7" hidden="1" x14ac:dyDescent="0.25">
      <c r="A392" s="44" t="s">
        <v>1748</v>
      </c>
      <c r="B392" s="80" t="s">
        <v>1725</v>
      </c>
      <c r="C392" s="14"/>
      <c r="D392" s="14"/>
      <c r="E392" s="15"/>
      <c r="F392" s="16"/>
      <c r="G392">
        <f t="shared" si="24"/>
        <v>0</v>
      </c>
    </row>
    <row r="393" spans="1:7" hidden="1" x14ac:dyDescent="0.25">
      <c r="A393" s="43" t="s">
        <v>1749</v>
      </c>
      <c r="B393" s="112" t="s">
        <v>1737</v>
      </c>
      <c r="C393" s="14" t="s">
        <v>14</v>
      </c>
      <c r="D393" s="14"/>
      <c r="E393" s="15"/>
      <c r="F393" s="16">
        <f t="shared" ref="F393:F457" si="30">+D393*E393</f>
        <v>0</v>
      </c>
      <c r="G393">
        <f t="shared" ref="G393:G456" si="31">+IF(F393&lt;&gt;0,1,0)</f>
        <v>0</v>
      </c>
    </row>
    <row r="394" spans="1:7" hidden="1" x14ac:dyDescent="0.25">
      <c r="A394" s="43" t="s">
        <v>1750</v>
      </c>
      <c r="B394" s="112" t="s">
        <v>1738</v>
      </c>
      <c r="C394" s="14" t="s">
        <v>14</v>
      </c>
      <c r="D394" s="14"/>
      <c r="E394" s="15"/>
      <c r="F394" s="16">
        <f t="shared" si="30"/>
        <v>0</v>
      </c>
      <c r="G394">
        <f t="shared" si="31"/>
        <v>0</v>
      </c>
    </row>
    <row r="395" spans="1:7" hidden="1" x14ac:dyDescent="0.25">
      <c r="A395" s="43" t="s">
        <v>1751</v>
      </c>
      <c r="B395" s="112" t="s">
        <v>1739</v>
      </c>
      <c r="C395" s="14" t="s">
        <v>14</v>
      </c>
      <c r="D395" s="14"/>
      <c r="E395" s="15"/>
      <c r="F395" s="16">
        <f t="shared" si="30"/>
        <v>0</v>
      </c>
      <c r="G395">
        <f t="shared" si="31"/>
        <v>0</v>
      </c>
    </row>
    <row r="396" spans="1:7" hidden="1" x14ac:dyDescent="0.25">
      <c r="A396" s="43" t="s">
        <v>1752</v>
      </c>
      <c r="B396" s="81" t="s">
        <v>1740</v>
      </c>
      <c r="C396" s="14" t="s">
        <v>14</v>
      </c>
      <c r="D396" s="14"/>
      <c r="E396" s="15"/>
      <c r="F396" s="16">
        <f t="shared" si="30"/>
        <v>0</v>
      </c>
      <c r="G396">
        <f t="shared" si="31"/>
        <v>0</v>
      </c>
    </row>
    <row r="397" spans="1:7" hidden="1" x14ac:dyDescent="0.25">
      <c r="A397" s="43" t="s">
        <v>1753</v>
      </c>
      <c r="B397" s="81" t="s">
        <v>1741</v>
      </c>
      <c r="C397" s="14" t="s">
        <v>14</v>
      </c>
      <c r="D397" s="14"/>
      <c r="E397" s="15"/>
      <c r="F397" s="16">
        <f t="shared" si="30"/>
        <v>0</v>
      </c>
      <c r="G397">
        <f t="shared" si="31"/>
        <v>0</v>
      </c>
    </row>
    <row r="398" spans="1:7" hidden="1" x14ac:dyDescent="0.25">
      <c r="A398" s="43" t="s">
        <v>1754</v>
      </c>
      <c r="B398" s="111" t="s">
        <v>1802</v>
      </c>
      <c r="C398" s="14" t="s">
        <v>14</v>
      </c>
      <c r="D398" s="14"/>
      <c r="E398" s="15"/>
      <c r="F398" s="16">
        <f t="shared" si="30"/>
        <v>0</v>
      </c>
      <c r="G398">
        <f t="shared" si="31"/>
        <v>0</v>
      </c>
    </row>
    <row r="399" spans="1:7" hidden="1" x14ac:dyDescent="0.25">
      <c r="A399" s="43" t="s">
        <v>1755</v>
      </c>
      <c r="B399" s="111" t="s">
        <v>1803</v>
      </c>
      <c r="C399" s="14" t="s">
        <v>14</v>
      </c>
      <c r="D399" s="14"/>
      <c r="E399" s="15"/>
      <c r="F399" s="16">
        <f t="shared" si="30"/>
        <v>0</v>
      </c>
      <c r="G399">
        <f t="shared" si="31"/>
        <v>0</v>
      </c>
    </row>
    <row r="400" spans="1:7" hidden="1" x14ac:dyDescent="0.25">
      <c r="A400" s="43" t="s">
        <v>1756</v>
      </c>
      <c r="B400" s="81" t="s">
        <v>1742</v>
      </c>
      <c r="C400" s="14" t="s">
        <v>14</v>
      </c>
      <c r="D400" s="14"/>
      <c r="E400" s="15"/>
      <c r="F400" s="16">
        <f t="shared" si="30"/>
        <v>0</v>
      </c>
      <c r="G400">
        <f t="shared" si="31"/>
        <v>0</v>
      </c>
    </row>
    <row r="401" spans="1:7" hidden="1" x14ac:dyDescent="0.25">
      <c r="A401" s="43" t="s">
        <v>1757</v>
      </c>
      <c r="B401" s="111" t="s">
        <v>1804</v>
      </c>
      <c r="C401" s="14" t="s">
        <v>14</v>
      </c>
      <c r="D401" s="14"/>
      <c r="E401" s="15"/>
      <c r="F401" s="16">
        <f t="shared" si="30"/>
        <v>0</v>
      </c>
      <c r="G401">
        <f t="shared" si="31"/>
        <v>0</v>
      </c>
    </row>
    <row r="402" spans="1:7" hidden="1" x14ac:dyDescent="0.25">
      <c r="A402" s="43" t="s">
        <v>1758</v>
      </c>
      <c r="B402" s="81" t="s">
        <v>1743</v>
      </c>
      <c r="C402" s="14" t="s">
        <v>14</v>
      </c>
      <c r="D402" s="14"/>
      <c r="E402" s="15"/>
      <c r="F402" s="16">
        <f t="shared" si="30"/>
        <v>0</v>
      </c>
      <c r="G402">
        <f t="shared" si="31"/>
        <v>0</v>
      </c>
    </row>
    <row r="403" spans="1:7" hidden="1" x14ac:dyDescent="0.25">
      <c r="A403" s="43" t="s">
        <v>1759</v>
      </c>
      <c r="B403" s="111" t="s">
        <v>1805</v>
      </c>
      <c r="C403" s="14" t="s">
        <v>14</v>
      </c>
      <c r="D403" s="14"/>
      <c r="E403" s="15"/>
      <c r="F403" s="16">
        <f t="shared" si="30"/>
        <v>0</v>
      </c>
      <c r="G403">
        <f t="shared" si="31"/>
        <v>0</v>
      </c>
    </row>
    <row r="404" spans="1:7" hidden="1" x14ac:dyDescent="0.25">
      <c r="A404" s="43" t="s">
        <v>1831</v>
      </c>
      <c r="B404" s="81" t="s">
        <v>1744</v>
      </c>
      <c r="C404" s="14" t="s">
        <v>14</v>
      </c>
      <c r="D404" s="14"/>
      <c r="E404" s="15"/>
      <c r="F404" s="16">
        <f t="shared" si="30"/>
        <v>0</v>
      </c>
      <c r="G404">
        <f t="shared" si="31"/>
        <v>0</v>
      </c>
    </row>
    <row r="405" spans="1:7" hidden="1" x14ac:dyDescent="0.25">
      <c r="A405" s="43" t="s">
        <v>1832</v>
      </c>
      <c r="B405" s="111" t="s">
        <v>1818</v>
      </c>
      <c r="C405" s="14" t="s">
        <v>14</v>
      </c>
      <c r="D405" s="14"/>
      <c r="E405" s="15"/>
      <c r="F405" s="16">
        <f t="shared" si="30"/>
        <v>0</v>
      </c>
      <c r="G405">
        <f t="shared" si="31"/>
        <v>0</v>
      </c>
    </row>
    <row r="406" spans="1:7" hidden="1" x14ac:dyDescent="0.25">
      <c r="A406" s="43" t="s">
        <v>1833</v>
      </c>
      <c r="B406" s="81" t="s">
        <v>1745</v>
      </c>
      <c r="C406" s="14" t="s">
        <v>14</v>
      </c>
      <c r="D406" s="14"/>
      <c r="E406" s="15"/>
      <c r="F406" s="16">
        <f t="shared" si="30"/>
        <v>0</v>
      </c>
      <c r="G406">
        <f t="shared" si="31"/>
        <v>0</v>
      </c>
    </row>
    <row r="407" spans="1:7" hidden="1" x14ac:dyDescent="0.25">
      <c r="A407" s="43" t="s">
        <v>1834</v>
      </c>
      <c r="B407" s="81" t="s">
        <v>1746</v>
      </c>
      <c r="C407" s="14" t="s">
        <v>14</v>
      </c>
      <c r="D407" s="14"/>
      <c r="E407" s="15"/>
      <c r="F407" s="16">
        <f t="shared" si="30"/>
        <v>0</v>
      </c>
      <c r="G407">
        <f t="shared" si="31"/>
        <v>0</v>
      </c>
    </row>
    <row r="408" spans="1:7" hidden="1" x14ac:dyDescent="0.25">
      <c r="A408" s="43" t="s">
        <v>1835</v>
      </c>
      <c r="B408" s="81" t="s">
        <v>1747</v>
      </c>
      <c r="C408" s="14" t="s">
        <v>14</v>
      </c>
      <c r="D408" s="14"/>
      <c r="E408" s="15"/>
      <c r="F408" s="16">
        <f t="shared" si="30"/>
        <v>0</v>
      </c>
      <c r="G408">
        <f t="shared" si="31"/>
        <v>0</v>
      </c>
    </row>
    <row r="409" spans="1:7" hidden="1" x14ac:dyDescent="0.25">
      <c r="A409" s="43" t="s">
        <v>1836</v>
      </c>
      <c r="B409" s="111" t="s">
        <v>1806</v>
      </c>
      <c r="C409" s="14" t="s">
        <v>14</v>
      </c>
      <c r="D409" s="14"/>
      <c r="E409" s="15"/>
      <c r="F409" s="16">
        <f t="shared" si="30"/>
        <v>0</v>
      </c>
      <c r="G409">
        <f t="shared" si="31"/>
        <v>0</v>
      </c>
    </row>
    <row r="410" spans="1:7" hidden="1" x14ac:dyDescent="0.25">
      <c r="A410" s="43" t="s">
        <v>1837</v>
      </c>
      <c r="B410" s="111" t="s">
        <v>1807</v>
      </c>
      <c r="C410" s="14" t="s">
        <v>14</v>
      </c>
      <c r="D410" s="14"/>
      <c r="E410" s="15"/>
      <c r="F410" s="16">
        <f t="shared" si="30"/>
        <v>0</v>
      </c>
      <c r="G410">
        <f t="shared" si="31"/>
        <v>0</v>
      </c>
    </row>
    <row r="411" spans="1:7" hidden="1" x14ac:dyDescent="0.25">
      <c r="A411" s="43" t="s">
        <v>1838</v>
      </c>
      <c r="B411" s="111" t="s">
        <v>1808</v>
      </c>
      <c r="C411" s="14" t="s">
        <v>14</v>
      </c>
      <c r="D411" s="14"/>
      <c r="E411" s="15"/>
      <c r="F411" s="16">
        <f t="shared" si="30"/>
        <v>0</v>
      </c>
      <c r="G411">
        <f t="shared" si="31"/>
        <v>0</v>
      </c>
    </row>
    <row r="412" spans="1:7" hidden="1" x14ac:dyDescent="0.25">
      <c r="A412" s="43" t="s">
        <v>1839</v>
      </c>
      <c r="B412" s="111" t="s">
        <v>1809</v>
      </c>
      <c r="C412" s="14" t="s">
        <v>14</v>
      </c>
      <c r="D412" s="14"/>
      <c r="E412" s="15"/>
      <c r="F412" s="16">
        <f t="shared" si="30"/>
        <v>0</v>
      </c>
      <c r="G412">
        <f t="shared" si="31"/>
        <v>0</v>
      </c>
    </row>
    <row r="413" spans="1:7" hidden="1" x14ac:dyDescent="0.25">
      <c r="A413" s="44" t="s">
        <v>1760</v>
      </c>
      <c r="B413" s="80" t="s">
        <v>1783</v>
      </c>
      <c r="C413" s="14"/>
      <c r="D413" s="14"/>
      <c r="E413" s="15"/>
      <c r="F413" s="16"/>
      <c r="G413">
        <f t="shared" si="31"/>
        <v>0</v>
      </c>
    </row>
    <row r="414" spans="1:7" hidden="1" x14ac:dyDescent="0.25">
      <c r="A414" s="43" t="s">
        <v>1761</v>
      </c>
      <c r="B414" s="111" t="s">
        <v>1816</v>
      </c>
      <c r="C414" s="14" t="s">
        <v>14</v>
      </c>
      <c r="D414" s="14"/>
      <c r="E414" s="15"/>
      <c r="F414" s="16">
        <f t="shared" si="30"/>
        <v>0</v>
      </c>
      <c r="G414">
        <f t="shared" si="31"/>
        <v>0</v>
      </c>
    </row>
    <row r="415" spans="1:7" hidden="1" x14ac:dyDescent="0.25">
      <c r="A415" s="43" t="s">
        <v>1773</v>
      </c>
      <c r="B415" s="81" t="s">
        <v>1762</v>
      </c>
      <c r="C415" s="14" t="s">
        <v>14</v>
      </c>
      <c r="D415" s="14"/>
      <c r="E415" s="15"/>
      <c r="F415" s="16">
        <f t="shared" si="30"/>
        <v>0</v>
      </c>
      <c r="G415">
        <f t="shared" si="31"/>
        <v>0</v>
      </c>
    </row>
    <row r="416" spans="1:7" hidden="1" x14ac:dyDescent="0.25">
      <c r="A416" s="43" t="s">
        <v>1774</v>
      </c>
      <c r="B416" s="81" t="s">
        <v>1763</v>
      </c>
      <c r="C416" s="14" t="s">
        <v>14</v>
      </c>
      <c r="D416" s="14"/>
      <c r="E416" s="15"/>
      <c r="F416" s="16">
        <f t="shared" si="30"/>
        <v>0</v>
      </c>
      <c r="G416">
        <f t="shared" si="31"/>
        <v>0</v>
      </c>
    </row>
    <row r="417" spans="1:7" hidden="1" x14ac:dyDescent="0.25">
      <c r="A417" s="43" t="s">
        <v>1775</v>
      </c>
      <c r="B417" s="81" t="s">
        <v>1764</v>
      </c>
      <c r="C417" s="14" t="s">
        <v>14</v>
      </c>
      <c r="D417" s="14"/>
      <c r="E417" s="15"/>
      <c r="F417" s="16">
        <f t="shared" si="30"/>
        <v>0</v>
      </c>
      <c r="G417">
        <f t="shared" si="31"/>
        <v>0</v>
      </c>
    </row>
    <row r="418" spans="1:7" hidden="1" x14ac:dyDescent="0.25">
      <c r="A418" s="43" t="s">
        <v>1776</v>
      </c>
      <c r="B418" s="81" t="s">
        <v>1765</v>
      </c>
      <c r="C418" s="14" t="s">
        <v>14</v>
      </c>
      <c r="D418" s="14"/>
      <c r="E418" s="15"/>
      <c r="F418" s="16">
        <f t="shared" si="30"/>
        <v>0</v>
      </c>
      <c r="G418">
        <f t="shared" si="31"/>
        <v>0</v>
      </c>
    </row>
    <row r="419" spans="1:7" hidden="1" x14ac:dyDescent="0.25">
      <c r="A419" s="43" t="s">
        <v>1777</v>
      </c>
      <c r="B419" s="81" t="s">
        <v>1766</v>
      </c>
      <c r="C419" s="14" t="s">
        <v>14</v>
      </c>
      <c r="D419" s="14"/>
      <c r="E419" s="15"/>
      <c r="F419" s="16">
        <f t="shared" si="30"/>
        <v>0</v>
      </c>
      <c r="G419">
        <f t="shared" si="31"/>
        <v>0</v>
      </c>
    </row>
    <row r="420" spans="1:7" hidden="1" x14ac:dyDescent="0.25">
      <c r="A420" s="43" t="s">
        <v>1778</v>
      </c>
      <c r="B420" s="111" t="s">
        <v>1814</v>
      </c>
      <c r="C420" s="14" t="s">
        <v>14</v>
      </c>
      <c r="D420" s="14"/>
      <c r="E420" s="15"/>
      <c r="F420" s="16">
        <f t="shared" si="30"/>
        <v>0</v>
      </c>
      <c r="G420">
        <f t="shared" si="31"/>
        <v>0</v>
      </c>
    </row>
    <row r="421" spans="1:7" hidden="1" x14ac:dyDescent="0.25">
      <c r="A421" s="43" t="s">
        <v>1779</v>
      </c>
      <c r="B421" s="111" t="s">
        <v>1815</v>
      </c>
      <c r="C421" s="14" t="s">
        <v>14</v>
      </c>
      <c r="D421" s="14"/>
      <c r="E421" s="15"/>
      <c r="F421" s="16">
        <f t="shared" si="30"/>
        <v>0</v>
      </c>
      <c r="G421">
        <f t="shared" si="31"/>
        <v>0</v>
      </c>
    </row>
    <row r="422" spans="1:7" hidden="1" x14ac:dyDescent="0.25">
      <c r="A422" s="43" t="s">
        <v>1780</v>
      </c>
      <c r="B422" s="81" t="s">
        <v>1767</v>
      </c>
      <c r="C422" s="14" t="s">
        <v>14</v>
      </c>
      <c r="D422" s="14"/>
      <c r="E422" s="15"/>
      <c r="F422" s="16">
        <f t="shared" si="30"/>
        <v>0</v>
      </c>
      <c r="G422">
        <f t="shared" si="31"/>
        <v>0</v>
      </c>
    </row>
    <row r="423" spans="1:7" hidden="1" x14ac:dyDescent="0.25">
      <c r="A423" s="43" t="s">
        <v>1781</v>
      </c>
      <c r="B423" s="111" t="s">
        <v>1817</v>
      </c>
      <c r="C423" s="14" t="s">
        <v>14</v>
      </c>
      <c r="D423" s="14"/>
      <c r="E423" s="15"/>
      <c r="F423" s="16">
        <f t="shared" si="30"/>
        <v>0</v>
      </c>
      <c r="G423">
        <f t="shared" si="31"/>
        <v>0</v>
      </c>
    </row>
    <row r="424" spans="1:7" hidden="1" x14ac:dyDescent="0.25">
      <c r="A424" s="43" t="s">
        <v>1782</v>
      </c>
      <c r="B424" s="81" t="s">
        <v>1768</v>
      </c>
      <c r="C424" s="14" t="s">
        <v>14</v>
      </c>
      <c r="D424" s="14"/>
      <c r="E424" s="15"/>
      <c r="F424" s="16">
        <f t="shared" si="30"/>
        <v>0</v>
      </c>
      <c r="G424">
        <f t="shared" si="31"/>
        <v>0</v>
      </c>
    </row>
    <row r="425" spans="1:7" hidden="1" x14ac:dyDescent="0.25">
      <c r="A425" s="43" t="s">
        <v>1821</v>
      </c>
      <c r="B425" s="111" t="s">
        <v>1820</v>
      </c>
      <c r="C425" s="14" t="s">
        <v>14</v>
      </c>
      <c r="D425" s="14"/>
      <c r="E425" s="15"/>
      <c r="F425" s="16">
        <f t="shared" si="30"/>
        <v>0</v>
      </c>
      <c r="G425">
        <f t="shared" si="31"/>
        <v>0</v>
      </c>
    </row>
    <row r="426" spans="1:7" hidden="1" x14ac:dyDescent="0.25">
      <c r="A426" s="43" t="s">
        <v>1822</v>
      </c>
      <c r="B426" s="81" t="s">
        <v>1769</v>
      </c>
      <c r="C426" s="14" t="s">
        <v>14</v>
      </c>
      <c r="D426" s="14"/>
      <c r="E426" s="15"/>
      <c r="F426" s="16">
        <f t="shared" si="30"/>
        <v>0</v>
      </c>
      <c r="G426">
        <f t="shared" si="31"/>
        <v>0</v>
      </c>
    </row>
    <row r="427" spans="1:7" hidden="1" x14ac:dyDescent="0.25">
      <c r="A427" s="43" t="s">
        <v>1823</v>
      </c>
      <c r="B427" s="111" t="s">
        <v>1819</v>
      </c>
      <c r="C427" s="14" t="s">
        <v>14</v>
      </c>
      <c r="D427" s="14"/>
      <c r="E427" s="15"/>
      <c r="F427" s="16">
        <f t="shared" si="30"/>
        <v>0</v>
      </c>
      <c r="G427">
        <f t="shared" si="31"/>
        <v>0</v>
      </c>
    </row>
    <row r="428" spans="1:7" hidden="1" x14ac:dyDescent="0.25">
      <c r="A428" s="43" t="s">
        <v>1824</v>
      </c>
      <c r="B428" s="81" t="s">
        <v>1770</v>
      </c>
      <c r="C428" s="14" t="s">
        <v>14</v>
      </c>
      <c r="D428" s="14"/>
      <c r="E428" s="15"/>
      <c r="F428" s="16">
        <f t="shared" si="30"/>
        <v>0</v>
      </c>
      <c r="G428">
        <f t="shared" si="31"/>
        <v>0</v>
      </c>
    </row>
    <row r="429" spans="1:7" hidden="1" x14ac:dyDescent="0.25">
      <c r="A429" s="43" t="s">
        <v>1825</v>
      </c>
      <c r="B429" s="81" t="s">
        <v>1771</v>
      </c>
      <c r="C429" s="14" t="s">
        <v>14</v>
      </c>
      <c r="D429" s="14"/>
      <c r="E429" s="15"/>
      <c r="F429" s="16">
        <f t="shared" si="30"/>
        <v>0</v>
      </c>
      <c r="G429">
        <f t="shared" si="31"/>
        <v>0</v>
      </c>
    </row>
    <row r="430" spans="1:7" hidden="1" x14ac:dyDescent="0.25">
      <c r="A430" s="43" t="s">
        <v>1826</v>
      </c>
      <c r="B430" s="81" t="s">
        <v>1772</v>
      </c>
      <c r="C430" s="14" t="s">
        <v>14</v>
      </c>
      <c r="D430" s="14"/>
      <c r="E430" s="15"/>
      <c r="F430" s="16">
        <f t="shared" si="30"/>
        <v>0</v>
      </c>
      <c r="G430">
        <f t="shared" si="31"/>
        <v>0</v>
      </c>
    </row>
    <row r="431" spans="1:7" hidden="1" x14ac:dyDescent="0.25">
      <c r="A431" s="43" t="s">
        <v>1827</v>
      </c>
      <c r="B431" s="111" t="s">
        <v>1810</v>
      </c>
      <c r="C431" s="14" t="s">
        <v>14</v>
      </c>
      <c r="D431" s="14"/>
      <c r="E431" s="15"/>
      <c r="F431" s="16">
        <f t="shared" si="30"/>
        <v>0</v>
      </c>
      <c r="G431">
        <f t="shared" si="31"/>
        <v>0</v>
      </c>
    </row>
    <row r="432" spans="1:7" hidden="1" x14ac:dyDescent="0.25">
      <c r="A432" s="43" t="s">
        <v>1828</v>
      </c>
      <c r="B432" s="111" t="s">
        <v>1811</v>
      </c>
      <c r="C432" s="14" t="s">
        <v>14</v>
      </c>
      <c r="D432" s="14"/>
      <c r="E432" s="15"/>
      <c r="F432" s="16">
        <f t="shared" si="30"/>
        <v>0</v>
      </c>
      <c r="G432">
        <f t="shared" si="31"/>
        <v>0</v>
      </c>
    </row>
    <row r="433" spans="1:7" hidden="1" x14ac:dyDescent="0.25">
      <c r="A433" s="43" t="s">
        <v>1829</v>
      </c>
      <c r="B433" s="111" t="s">
        <v>1812</v>
      </c>
      <c r="C433" s="14" t="s">
        <v>14</v>
      </c>
      <c r="D433" s="14"/>
      <c r="E433" s="15"/>
      <c r="F433" s="16">
        <f t="shared" si="30"/>
        <v>0</v>
      </c>
      <c r="G433">
        <f t="shared" si="31"/>
        <v>0</v>
      </c>
    </row>
    <row r="434" spans="1:7" hidden="1" x14ac:dyDescent="0.25">
      <c r="A434" s="43" t="s">
        <v>1830</v>
      </c>
      <c r="B434" s="111" t="s">
        <v>1813</v>
      </c>
      <c r="C434" s="14" t="s">
        <v>14</v>
      </c>
      <c r="D434" s="14"/>
      <c r="E434" s="15"/>
      <c r="F434" s="16">
        <f t="shared" si="30"/>
        <v>0</v>
      </c>
      <c r="G434">
        <f t="shared" si="31"/>
        <v>0</v>
      </c>
    </row>
    <row r="435" spans="1:7" hidden="1" x14ac:dyDescent="0.25">
      <c r="A435" s="44" t="s">
        <v>1840</v>
      </c>
      <c r="B435" s="80" t="s">
        <v>1841</v>
      </c>
      <c r="C435" s="14"/>
      <c r="D435" s="14"/>
      <c r="E435" s="15"/>
      <c r="F435" s="16"/>
      <c r="G435">
        <f t="shared" si="31"/>
        <v>0</v>
      </c>
    </row>
    <row r="436" spans="1:7" hidden="1" x14ac:dyDescent="0.25">
      <c r="A436" s="43" t="s">
        <v>1862</v>
      </c>
      <c r="B436" s="81" t="s">
        <v>1842</v>
      </c>
      <c r="C436" s="14" t="s">
        <v>14</v>
      </c>
      <c r="D436" s="14"/>
      <c r="E436" s="15"/>
      <c r="F436" s="16">
        <f t="shared" si="30"/>
        <v>0</v>
      </c>
      <c r="G436">
        <f t="shared" si="31"/>
        <v>0</v>
      </c>
    </row>
    <row r="437" spans="1:7" hidden="1" x14ac:dyDescent="0.25">
      <c r="A437" s="43" t="s">
        <v>1863</v>
      </c>
      <c r="B437" s="81" t="s">
        <v>1843</v>
      </c>
      <c r="C437" s="14" t="s">
        <v>14</v>
      </c>
      <c r="D437" s="14"/>
      <c r="E437" s="15"/>
      <c r="F437" s="16">
        <f t="shared" si="30"/>
        <v>0</v>
      </c>
      <c r="G437">
        <f t="shared" si="31"/>
        <v>0</v>
      </c>
    </row>
    <row r="438" spans="1:7" hidden="1" x14ac:dyDescent="0.25">
      <c r="A438" s="43" t="s">
        <v>1864</v>
      </c>
      <c r="B438" s="81" t="s">
        <v>1844</v>
      </c>
      <c r="C438" s="14" t="s">
        <v>14</v>
      </c>
      <c r="D438" s="14"/>
      <c r="E438" s="15"/>
      <c r="F438" s="16">
        <f t="shared" si="30"/>
        <v>0</v>
      </c>
      <c r="G438">
        <f t="shared" si="31"/>
        <v>0</v>
      </c>
    </row>
    <row r="439" spans="1:7" hidden="1" x14ac:dyDescent="0.25">
      <c r="A439" s="43" t="s">
        <v>1865</v>
      </c>
      <c r="B439" s="81" t="s">
        <v>1845</v>
      </c>
      <c r="C439" s="14" t="s">
        <v>14</v>
      </c>
      <c r="D439" s="14"/>
      <c r="E439" s="15"/>
      <c r="F439" s="16">
        <f t="shared" si="30"/>
        <v>0</v>
      </c>
      <c r="G439">
        <f t="shared" si="31"/>
        <v>0</v>
      </c>
    </row>
    <row r="440" spans="1:7" hidden="1" x14ac:dyDescent="0.25">
      <c r="A440" s="43" t="s">
        <v>1866</v>
      </c>
      <c r="B440" s="81" t="s">
        <v>1846</v>
      </c>
      <c r="C440" s="14" t="s">
        <v>14</v>
      </c>
      <c r="D440" s="14"/>
      <c r="E440" s="15"/>
      <c r="F440" s="16">
        <f t="shared" si="30"/>
        <v>0</v>
      </c>
      <c r="G440">
        <f t="shared" si="31"/>
        <v>0</v>
      </c>
    </row>
    <row r="441" spans="1:7" hidden="1" x14ac:dyDescent="0.25">
      <c r="A441" s="43" t="s">
        <v>1867</v>
      </c>
      <c r="B441" s="111" t="s">
        <v>1847</v>
      </c>
      <c r="C441" s="14" t="s">
        <v>14</v>
      </c>
      <c r="D441" s="14"/>
      <c r="E441" s="15"/>
      <c r="F441" s="16">
        <f t="shared" si="30"/>
        <v>0</v>
      </c>
      <c r="G441">
        <f t="shared" si="31"/>
        <v>0</v>
      </c>
    </row>
    <row r="442" spans="1:7" hidden="1" x14ac:dyDescent="0.25">
      <c r="A442" s="43" t="s">
        <v>1868</v>
      </c>
      <c r="B442" s="111" t="s">
        <v>1848</v>
      </c>
      <c r="C442" s="14" t="s">
        <v>14</v>
      </c>
      <c r="D442" s="14"/>
      <c r="E442" s="15"/>
      <c r="F442" s="16">
        <f t="shared" si="30"/>
        <v>0</v>
      </c>
      <c r="G442">
        <f t="shared" si="31"/>
        <v>0</v>
      </c>
    </row>
    <row r="443" spans="1:7" hidden="1" x14ac:dyDescent="0.25">
      <c r="A443" s="43" t="s">
        <v>1869</v>
      </c>
      <c r="B443" s="81" t="s">
        <v>1849</v>
      </c>
      <c r="C443" s="14" t="s">
        <v>14</v>
      </c>
      <c r="D443" s="14"/>
      <c r="E443" s="15"/>
      <c r="F443" s="16">
        <f t="shared" si="30"/>
        <v>0</v>
      </c>
      <c r="G443">
        <f t="shared" si="31"/>
        <v>0</v>
      </c>
    </row>
    <row r="444" spans="1:7" hidden="1" x14ac:dyDescent="0.25">
      <c r="A444" s="43" t="s">
        <v>1870</v>
      </c>
      <c r="B444" s="111" t="s">
        <v>1850</v>
      </c>
      <c r="C444" s="14" t="s">
        <v>14</v>
      </c>
      <c r="D444" s="14"/>
      <c r="E444" s="15"/>
      <c r="F444" s="16">
        <f t="shared" si="30"/>
        <v>0</v>
      </c>
      <c r="G444">
        <f t="shared" si="31"/>
        <v>0</v>
      </c>
    </row>
    <row r="445" spans="1:7" hidden="1" x14ac:dyDescent="0.25">
      <c r="A445" s="43" t="s">
        <v>1871</v>
      </c>
      <c r="B445" s="81" t="s">
        <v>1851</v>
      </c>
      <c r="C445" s="14" t="s">
        <v>14</v>
      </c>
      <c r="D445" s="14"/>
      <c r="E445" s="15"/>
      <c r="F445" s="16">
        <f t="shared" si="30"/>
        <v>0</v>
      </c>
      <c r="G445">
        <f t="shared" si="31"/>
        <v>0</v>
      </c>
    </row>
    <row r="446" spans="1:7" hidden="1" x14ac:dyDescent="0.25">
      <c r="A446" s="43" t="s">
        <v>1872</v>
      </c>
      <c r="B446" s="111" t="s">
        <v>1852</v>
      </c>
      <c r="C446" s="14" t="s">
        <v>14</v>
      </c>
      <c r="D446" s="14"/>
      <c r="E446" s="15"/>
      <c r="F446" s="16">
        <f t="shared" si="30"/>
        <v>0</v>
      </c>
      <c r="G446">
        <f t="shared" si="31"/>
        <v>0</v>
      </c>
    </row>
    <row r="447" spans="1:7" hidden="1" x14ac:dyDescent="0.25">
      <c r="A447" s="43" t="s">
        <v>1873</v>
      </c>
      <c r="B447" s="81" t="s">
        <v>1853</v>
      </c>
      <c r="C447" s="14" t="s">
        <v>14</v>
      </c>
      <c r="D447" s="14"/>
      <c r="E447" s="15"/>
      <c r="F447" s="16">
        <f t="shared" si="30"/>
        <v>0</v>
      </c>
      <c r="G447">
        <f t="shared" si="31"/>
        <v>0</v>
      </c>
    </row>
    <row r="448" spans="1:7" hidden="1" x14ac:dyDescent="0.25">
      <c r="A448" s="43" t="s">
        <v>1874</v>
      </c>
      <c r="B448" s="111" t="s">
        <v>1854</v>
      </c>
      <c r="C448" s="14" t="s">
        <v>14</v>
      </c>
      <c r="D448" s="14"/>
      <c r="E448" s="15"/>
      <c r="F448" s="16">
        <f t="shared" si="30"/>
        <v>0</v>
      </c>
      <c r="G448">
        <f t="shared" si="31"/>
        <v>0</v>
      </c>
    </row>
    <row r="449" spans="1:7" hidden="1" x14ac:dyDescent="0.25">
      <c r="A449" s="43" t="s">
        <v>1875</v>
      </c>
      <c r="B449" s="81" t="s">
        <v>1855</v>
      </c>
      <c r="C449" s="14" t="s">
        <v>14</v>
      </c>
      <c r="D449" s="14"/>
      <c r="E449" s="15"/>
      <c r="F449" s="16">
        <f t="shared" si="30"/>
        <v>0</v>
      </c>
      <c r="G449">
        <f t="shared" si="31"/>
        <v>0</v>
      </c>
    </row>
    <row r="450" spans="1:7" hidden="1" x14ac:dyDescent="0.25">
      <c r="A450" s="43" t="s">
        <v>1876</v>
      </c>
      <c r="B450" s="81" t="s">
        <v>1856</v>
      </c>
      <c r="C450" s="14" t="s">
        <v>14</v>
      </c>
      <c r="D450" s="14"/>
      <c r="E450" s="15"/>
      <c r="F450" s="16">
        <f t="shared" si="30"/>
        <v>0</v>
      </c>
      <c r="G450">
        <f t="shared" si="31"/>
        <v>0</v>
      </c>
    </row>
    <row r="451" spans="1:7" hidden="1" x14ac:dyDescent="0.25">
      <c r="A451" s="43" t="s">
        <v>1877</v>
      </c>
      <c r="B451" s="81" t="s">
        <v>1857</v>
      </c>
      <c r="C451" s="14" t="s">
        <v>14</v>
      </c>
      <c r="D451" s="14"/>
      <c r="E451" s="15"/>
      <c r="F451" s="16">
        <f t="shared" si="30"/>
        <v>0</v>
      </c>
      <c r="G451">
        <f t="shared" si="31"/>
        <v>0</v>
      </c>
    </row>
    <row r="452" spans="1:7" hidden="1" x14ac:dyDescent="0.25">
      <c r="A452" s="43" t="s">
        <v>1878</v>
      </c>
      <c r="B452" s="111" t="s">
        <v>1858</v>
      </c>
      <c r="C452" s="14" t="s">
        <v>14</v>
      </c>
      <c r="D452" s="14"/>
      <c r="E452" s="15"/>
      <c r="F452" s="16">
        <f t="shared" si="30"/>
        <v>0</v>
      </c>
      <c r="G452">
        <f t="shared" si="31"/>
        <v>0</v>
      </c>
    </row>
    <row r="453" spans="1:7" hidden="1" x14ac:dyDescent="0.25">
      <c r="A453" s="43" t="s">
        <v>1879</v>
      </c>
      <c r="B453" s="111" t="s">
        <v>1859</v>
      </c>
      <c r="C453" s="14" t="s">
        <v>14</v>
      </c>
      <c r="D453" s="14"/>
      <c r="E453" s="15"/>
      <c r="F453" s="16">
        <f t="shared" si="30"/>
        <v>0</v>
      </c>
      <c r="G453">
        <f t="shared" si="31"/>
        <v>0</v>
      </c>
    </row>
    <row r="454" spans="1:7" hidden="1" x14ac:dyDescent="0.25">
      <c r="A454" s="43" t="s">
        <v>1880</v>
      </c>
      <c r="B454" s="111" t="s">
        <v>1860</v>
      </c>
      <c r="C454" s="14" t="s">
        <v>14</v>
      </c>
      <c r="D454" s="14"/>
      <c r="E454" s="15"/>
      <c r="F454" s="16">
        <f t="shared" si="30"/>
        <v>0</v>
      </c>
      <c r="G454">
        <f t="shared" si="31"/>
        <v>0</v>
      </c>
    </row>
    <row r="455" spans="1:7" hidden="1" x14ac:dyDescent="0.25">
      <c r="A455" s="43" t="s">
        <v>1881</v>
      </c>
      <c r="B455" s="111" t="s">
        <v>1861</v>
      </c>
      <c r="C455" s="14" t="s">
        <v>14</v>
      </c>
      <c r="D455" s="14"/>
      <c r="E455" s="15"/>
      <c r="F455" s="16">
        <f t="shared" si="30"/>
        <v>0</v>
      </c>
      <c r="G455">
        <f t="shared" si="31"/>
        <v>0</v>
      </c>
    </row>
    <row r="456" spans="1:7" hidden="1" x14ac:dyDescent="0.25">
      <c r="A456" s="44" t="s">
        <v>1882</v>
      </c>
      <c r="B456" s="80" t="s">
        <v>1884</v>
      </c>
      <c r="C456" s="14"/>
      <c r="D456" s="14"/>
      <c r="E456" s="15"/>
      <c r="F456" s="16"/>
      <c r="G456">
        <f t="shared" si="31"/>
        <v>0</v>
      </c>
    </row>
    <row r="457" spans="1:7" hidden="1" x14ac:dyDescent="0.25">
      <c r="A457" s="43" t="s">
        <v>1883</v>
      </c>
      <c r="B457" s="81" t="s">
        <v>1885</v>
      </c>
      <c r="C457" s="14" t="s">
        <v>14</v>
      </c>
      <c r="D457" s="14"/>
      <c r="E457" s="15"/>
      <c r="F457" s="16">
        <f t="shared" si="30"/>
        <v>0</v>
      </c>
      <c r="G457">
        <f t="shared" ref="G457:G520" si="32">+IF(F457&lt;&gt;0,1,0)</f>
        <v>0</v>
      </c>
    </row>
    <row r="458" spans="1:7" hidden="1" x14ac:dyDescent="0.25">
      <c r="A458" s="43" t="s">
        <v>1905</v>
      </c>
      <c r="B458" s="81" t="s">
        <v>1886</v>
      </c>
      <c r="C458" s="14" t="s">
        <v>14</v>
      </c>
      <c r="D458" s="14"/>
      <c r="E458" s="15"/>
      <c r="F458" s="16">
        <f t="shared" ref="F458:F476" si="33">+D458*E458</f>
        <v>0</v>
      </c>
      <c r="G458">
        <f t="shared" si="32"/>
        <v>0</v>
      </c>
    </row>
    <row r="459" spans="1:7" hidden="1" x14ac:dyDescent="0.25">
      <c r="A459" s="43" t="s">
        <v>1906</v>
      </c>
      <c r="B459" s="81" t="s">
        <v>1887</v>
      </c>
      <c r="C459" s="14" t="s">
        <v>14</v>
      </c>
      <c r="D459" s="14"/>
      <c r="E459" s="15"/>
      <c r="F459" s="16">
        <f t="shared" si="33"/>
        <v>0</v>
      </c>
      <c r="G459">
        <f t="shared" si="32"/>
        <v>0</v>
      </c>
    </row>
    <row r="460" spans="1:7" hidden="1" x14ac:dyDescent="0.25">
      <c r="A460" s="43" t="s">
        <v>1907</v>
      </c>
      <c r="B460" s="81" t="s">
        <v>1888</v>
      </c>
      <c r="C460" s="14" t="s">
        <v>14</v>
      </c>
      <c r="D460" s="14"/>
      <c r="E460" s="15"/>
      <c r="F460" s="16">
        <f t="shared" si="33"/>
        <v>0</v>
      </c>
      <c r="G460">
        <f t="shared" si="32"/>
        <v>0</v>
      </c>
    </row>
    <row r="461" spans="1:7" hidden="1" x14ac:dyDescent="0.25">
      <c r="A461" s="43" t="s">
        <v>1908</v>
      </c>
      <c r="B461" s="81" t="s">
        <v>1889</v>
      </c>
      <c r="C461" s="14" t="s">
        <v>14</v>
      </c>
      <c r="D461" s="14"/>
      <c r="E461" s="15"/>
      <c r="F461" s="16">
        <f t="shared" si="33"/>
        <v>0</v>
      </c>
      <c r="G461">
        <f t="shared" si="32"/>
        <v>0</v>
      </c>
    </row>
    <row r="462" spans="1:7" hidden="1" x14ac:dyDescent="0.25">
      <c r="A462" s="43" t="s">
        <v>1909</v>
      </c>
      <c r="B462" s="111" t="s">
        <v>1890</v>
      </c>
      <c r="C462" s="14" t="s">
        <v>14</v>
      </c>
      <c r="D462" s="14"/>
      <c r="E462" s="15"/>
      <c r="F462" s="16">
        <f t="shared" si="33"/>
        <v>0</v>
      </c>
      <c r="G462">
        <f t="shared" si="32"/>
        <v>0</v>
      </c>
    </row>
    <row r="463" spans="1:7" hidden="1" x14ac:dyDescent="0.25">
      <c r="A463" s="43" t="s">
        <v>1910</v>
      </c>
      <c r="B463" s="111" t="s">
        <v>1891</v>
      </c>
      <c r="C463" s="14" t="s">
        <v>14</v>
      </c>
      <c r="D463" s="14"/>
      <c r="E463" s="15"/>
      <c r="F463" s="16">
        <f t="shared" si="33"/>
        <v>0</v>
      </c>
      <c r="G463">
        <f t="shared" si="32"/>
        <v>0</v>
      </c>
    </row>
    <row r="464" spans="1:7" hidden="1" x14ac:dyDescent="0.25">
      <c r="A464" s="43" t="s">
        <v>1911</v>
      </c>
      <c r="B464" s="81" t="s">
        <v>1892</v>
      </c>
      <c r="C464" s="14" t="s">
        <v>14</v>
      </c>
      <c r="D464" s="14"/>
      <c r="E464" s="15"/>
      <c r="F464" s="16">
        <f t="shared" si="33"/>
        <v>0</v>
      </c>
      <c r="G464">
        <f t="shared" si="32"/>
        <v>0</v>
      </c>
    </row>
    <row r="465" spans="1:7" hidden="1" x14ac:dyDescent="0.25">
      <c r="A465" s="43" t="s">
        <v>1912</v>
      </c>
      <c r="B465" s="111" t="s">
        <v>1893</v>
      </c>
      <c r="C465" s="14" t="s">
        <v>14</v>
      </c>
      <c r="D465" s="14"/>
      <c r="E465" s="15"/>
      <c r="F465" s="16">
        <f t="shared" si="33"/>
        <v>0</v>
      </c>
      <c r="G465">
        <f t="shared" si="32"/>
        <v>0</v>
      </c>
    </row>
    <row r="466" spans="1:7" hidden="1" x14ac:dyDescent="0.25">
      <c r="A466" s="43" t="s">
        <v>1913</v>
      </c>
      <c r="B466" s="81" t="s">
        <v>1894</v>
      </c>
      <c r="C466" s="14" t="s">
        <v>14</v>
      </c>
      <c r="D466" s="14"/>
      <c r="E466" s="15"/>
      <c r="F466" s="16">
        <f t="shared" si="33"/>
        <v>0</v>
      </c>
      <c r="G466">
        <f t="shared" si="32"/>
        <v>0</v>
      </c>
    </row>
    <row r="467" spans="1:7" hidden="1" x14ac:dyDescent="0.25">
      <c r="A467" s="43" t="s">
        <v>1914</v>
      </c>
      <c r="B467" s="111" t="s">
        <v>1895</v>
      </c>
      <c r="C467" s="14" t="s">
        <v>14</v>
      </c>
      <c r="D467" s="14"/>
      <c r="E467" s="15"/>
      <c r="F467" s="16">
        <f t="shared" si="33"/>
        <v>0</v>
      </c>
      <c r="G467">
        <f t="shared" si="32"/>
        <v>0</v>
      </c>
    </row>
    <row r="468" spans="1:7" hidden="1" x14ac:dyDescent="0.25">
      <c r="A468" s="43" t="s">
        <v>1915</v>
      </c>
      <c r="B468" s="81" t="s">
        <v>1896</v>
      </c>
      <c r="C468" s="14" t="s">
        <v>14</v>
      </c>
      <c r="D468" s="14"/>
      <c r="E468" s="15"/>
      <c r="F468" s="16">
        <f t="shared" si="33"/>
        <v>0</v>
      </c>
      <c r="G468">
        <f t="shared" si="32"/>
        <v>0</v>
      </c>
    </row>
    <row r="469" spans="1:7" hidden="1" x14ac:dyDescent="0.25">
      <c r="A469" s="43" t="s">
        <v>1916</v>
      </c>
      <c r="B469" s="111" t="s">
        <v>1897</v>
      </c>
      <c r="C469" s="14" t="s">
        <v>14</v>
      </c>
      <c r="D469" s="14"/>
      <c r="E469" s="15"/>
      <c r="F469" s="16">
        <f t="shared" si="33"/>
        <v>0</v>
      </c>
      <c r="G469">
        <f t="shared" si="32"/>
        <v>0</v>
      </c>
    </row>
    <row r="470" spans="1:7" hidden="1" x14ac:dyDescent="0.25">
      <c r="A470" s="43" t="s">
        <v>1917</v>
      </c>
      <c r="B470" s="81" t="s">
        <v>1898</v>
      </c>
      <c r="C470" s="14" t="s">
        <v>14</v>
      </c>
      <c r="D470" s="14"/>
      <c r="E470" s="15"/>
      <c r="F470" s="16">
        <f t="shared" si="33"/>
        <v>0</v>
      </c>
      <c r="G470">
        <f t="shared" si="32"/>
        <v>0</v>
      </c>
    </row>
    <row r="471" spans="1:7" hidden="1" x14ac:dyDescent="0.25">
      <c r="A471" s="43" t="s">
        <v>1918</v>
      </c>
      <c r="B471" s="81" t="s">
        <v>1899</v>
      </c>
      <c r="C471" s="14" t="s">
        <v>14</v>
      </c>
      <c r="D471" s="14"/>
      <c r="E471" s="15"/>
      <c r="F471" s="16">
        <f t="shared" si="33"/>
        <v>0</v>
      </c>
      <c r="G471">
        <f t="shared" si="32"/>
        <v>0</v>
      </c>
    </row>
    <row r="472" spans="1:7" hidden="1" x14ac:dyDescent="0.25">
      <c r="A472" s="43" t="s">
        <v>1919</v>
      </c>
      <c r="B472" s="81" t="s">
        <v>1900</v>
      </c>
      <c r="C472" s="14" t="s">
        <v>14</v>
      </c>
      <c r="D472" s="14"/>
      <c r="E472" s="15"/>
      <c r="F472" s="16">
        <f t="shared" si="33"/>
        <v>0</v>
      </c>
      <c r="G472">
        <f t="shared" si="32"/>
        <v>0</v>
      </c>
    </row>
    <row r="473" spans="1:7" hidden="1" x14ac:dyDescent="0.25">
      <c r="A473" s="43" t="s">
        <v>1920</v>
      </c>
      <c r="B473" s="111" t="s">
        <v>1901</v>
      </c>
      <c r="C473" s="14" t="s">
        <v>14</v>
      </c>
      <c r="D473" s="14"/>
      <c r="E473" s="15"/>
      <c r="F473" s="16">
        <f t="shared" si="33"/>
        <v>0</v>
      </c>
      <c r="G473">
        <f t="shared" si="32"/>
        <v>0</v>
      </c>
    </row>
    <row r="474" spans="1:7" hidden="1" x14ac:dyDescent="0.25">
      <c r="A474" s="43" t="s">
        <v>1921</v>
      </c>
      <c r="B474" s="111" t="s">
        <v>1902</v>
      </c>
      <c r="C474" s="14" t="s">
        <v>14</v>
      </c>
      <c r="D474" s="14"/>
      <c r="E474" s="15"/>
      <c r="F474" s="16">
        <f t="shared" si="33"/>
        <v>0</v>
      </c>
      <c r="G474">
        <f t="shared" si="32"/>
        <v>0</v>
      </c>
    </row>
    <row r="475" spans="1:7" hidden="1" x14ac:dyDescent="0.25">
      <c r="A475" s="43" t="s">
        <v>1922</v>
      </c>
      <c r="B475" s="111" t="s">
        <v>1903</v>
      </c>
      <c r="C475" s="14" t="s">
        <v>14</v>
      </c>
      <c r="D475" s="14"/>
      <c r="E475" s="15"/>
      <c r="F475" s="16">
        <f t="shared" si="33"/>
        <v>0</v>
      </c>
      <c r="G475">
        <f t="shared" si="32"/>
        <v>0</v>
      </c>
    </row>
    <row r="476" spans="1:7" hidden="1" x14ac:dyDescent="0.25">
      <c r="A476" s="43" t="s">
        <v>1923</v>
      </c>
      <c r="B476" s="111" t="s">
        <v>1904</v>
      </c>
      <c r="C476" s="14" t="s">
        <v>14</v>
      </c>
      <c r="D476" s="14"/>
      <c r="E476" s="15"/>
      <c r="F476" s="16">
        <f t="shared" si="33"/>
        <v>0</v>
      </c>
      <c r="G476">
        <f t="shared" si="32"/>
        <v>0</v>
      </c>
    </row>
    <row r="477" spans="1:7" hidden="1" x14ac:dyDescent="0.25">
      <c r="A477" s="61" t="s">
        <v>1943</v>
      </c>
      <c r="B477" s="62" t="s">
        <v>953</v>
      </c>
      <c r="C477" s="63"/>
      <c r="D477" s="14"/>
      <c r="E477" s="15"/>
      <c r="F477" s="16"/>
      <c r="G477">
        <f t="shared" si="32"/>
        <v>0</v>
      </c>
    </row>
    <row r="478" spans="1:7" hidden="1" x14ac:dyDescent="0.25">
      <c r="A478" s="78" t="s">
        <v>1944</v>
      </c>
      <c r="B478" s="79" t="s">
        <v>1945</v>
      </c>
      <c r="C478" s="26"/>
      <c r="D478" s="14"/>
      <c r="E478" s="15"/>
      <c r="F478" s="16"/>
      <c r="G478">
        <f t="shared" si="32"/>
        <v>0</v>
      </c>
    </row>
    <row r="479" spans="1:7" hidden="1" x14ac:dyDescent="0.25">
      <c r="A479" s="78" t="s">
        <v>1948</v>
      </c>
      <c r="B479" s="79" t="s">
        <v>1947</v>
      </c>
      <c r="C479" s="26"/>
      <c r="D479" s="14"/>
      <c r="E479" s="15"/>
      <c r="F479" s="16"/>
      <c r="G479">
        <f t="shared" si="32"/>
        <v>0</v>
      </c>
    </row>
    <row r="480" spans="1:7" hidden="1" x14ac:dyDescent="0.25">
      <c r="A480" s="85" t="s">
        <v>1949</v>
      </c>
      <c r="B480" s="88" t="s">
        <v>1950</v>
      </c>
      <c r="C480" s="26" t="s">
        <v>37</v>
      </c>
      <c r="D480" s="14"/>
      <c r="E480" s="15"/>
      <c r="F480" s="16">
        <f t="shared" ref="F480:F494" si="34">+D480*E480</f>
        <v>0</v>
      </c>
      <c r="G480">
        <f t="shared" si="32"/>
        <v>0</v>
      </c>
    </row>
    <row r="481" spans="1:7" hidden="1" x14ac:dyDescent="0.25">
      <c r="A481" s="85" t="s">
        <v>1966</v>
      </c>
      <c r="B481" s="88" t="s">
        <v>1964</v>
      </c>
      <c r="C481" s="26" t="s">
        <v>37</v>
      </c>
      <c r="D481" s="14"/>
      <c r="E481" s="15"/>
      <c r="F481" s="16">
        <f t="shared" si="34"/>
        <v>0</v>
      </c>
      <c r="G481">
        <f t="shared" si="32"/>
        <v>0</v>
      </c>
    </row>
    <row r="482" spans="1:7" hidden="1" x14ac:dyDescent="0.25">
      <c r="A482" s="85" t="s">
        <v>1967</v>
      </c>
      <c r="B482" s="88" t="s">
        <v>1951</v>
      </c>
      <c r="C482" s="26" t="s">
        <v>37</v>
      </c>
      <c r="D482" s="14"/>
      <c r="E482" s="15"/>
      <c r="F482" s="16">
        <f t="shared" si="34"/>
        <v>0</v>
      </c>
      <c r="G482">
        <f t="shared" si="32"/>
        <v>0</v>
      </c>
    </row>
    <row r="483" spans="1:7" hidden="1" x14ac:dyDescent="0.25">
      <c r="A483" s="85" t="s">
        <v>1968</v>
      </c>
      <c r="B483" s="88" t="s">
        <v>1952</v>
      </c>
      <c r="C483" s="26" t="s">
        <v>37</v>
      </c>
      <c r="D483" s="14"/>
      <c r="E483" s="15"/>
      <c r="F483" s="16">
        <f t="shared" si="34"/>
        <v>0</v>
      </c>
      <c r="G483">
        <f t="shared" si="32"/>
        <v>0</v>
      </c>
    </row>
    <row r="484" spans="1:7" hidden="1" x14ac:dyDescent="0.25">
      <c r="A484" s="85" t="s">
        <v>1969</v>
      </c>
      <c r="B484" s="113" t="s">
        <v>1953</v>
      </c>
      <c r="C484" s="26" t="s">
        <v>37</v>
      </c>
      <c r="D484" s="14"/>
      <c r="E484" s="15"/>
      <c r="F484" s="16">
        <f t="shared" si="34"/>
        <v>0</v>
      </c>
      <c r="G484">
        <f t="shared" si="32"/>
        <v>0</v>
      </c>
    </row>
    <row r="485" spans="1:7" hidden="1" x14ac:dyDescent="0.25">
      <c r="A485" s="85" t="s">
        <v>1970</v>
      </c>
      <c r="B485" s="113" t="s">
        <v>1955</v>
      </c>
      <c r="C485" s="26" t="s">
        <v>37</v>
      </c>
      <c r="D485" s="14"/>
      <c r="E485" s="15"/>
      <c r="F485" s="16">
        <f t="shared" si="34"/>
        <v>0</v>
      </c>
      <c r="G485">
        <f t="shared" si="32"/>
        <v>0</v>
      </c>
    </row>
    <row r="486" spans="1:7" hidden="1" x14ac:dyDescent="0.25">
      <c r="A486" s="85" t="s">
        <v>1971</v>
      </c>
      <c r="B486" s="88" t="s">
        <v>1954</v>
      </c>
      <c r="C486" s="26" t="s">
        <v>37</v>
      </c>
      <c r="D486" s="14"/>
      <c r="E486" s="15"/>
      <c r="F486" s="16">
        <f t="shared" si="34"/>
        <v>0</v>
      </c>
      <c r="G486">
        <f t="shared" si="32"/>
        <v>0</v>
      </c>
    </row>
    <row r="487" spans="1:7" hidden="1" x14ac:dyDescent="0.25">
      <c r="A487" s="85" t="s">
        <v>1972</v>
      </c>
      <c r="B487" s="113" t="s">
        <v>1956</v>
      </c>
      <c r="C487" s="26" t="s">
        <v>37</v>
      </c>
      <c r="D487" s="14"/>
      <c r="E487" s="15"/>
      <c r="F487" s="16">
        <f t="shared" si="34"/>
        <v>0</v>
      </c>
      <c r="G487">
        <f t="shared" si="32"/>
        <v>0</v>
      </c>
    </row>
    <row r="488" spans="1:7" hidden="1" x14ac:dyDescent="0.25">
      <c r="A488" s="85" t="s">
        <v>1973</v>
      </c>
      <c r="B488" s="88" t="s">
        <v>1957</v>
      </c>
      <c r="C488" s="26" t="s">
        <v>37</v>
      </c>
      <c r="D488" s="14"/>
      <c r="E488" s="15"/>
      <c r="F488" s="16">
        <f t="shared" si="34"/>
        <v>0</v>
      </c>
      <c r="G488">
        <f t="shared" si="32"/>
        <v>0</v>
      </c>
    </row>
    <row r="489" spans="1:7" hidden="1" x14ac:dyDescent="0.25">
      <c r="A489" s="85" t="s">
        <v>1974</v>
      </c>
      <c r="B489" s="113" t="s">
        <v>1958</v>
      </c>
      <c r="C489" s="26" t="s">
        <v>37</v>
      </c>
      <c r="D489" s="14"/>
      <c r="E489" s="15"/>
      <c r="F489" s="16">
        <f t="shared" si="34"/>
        <v>0</v>
      </c>
      <c r="G489">
        <f t="shared" si="32"/>
        <v>0</v>
      </c>
    </row>
    <row r="490" spans="1:7" hidden="1" x14ac:dyDescent="0.25">
      <c r="A490" s="85" t="s">
        <v>1975</v>
      </c>
      <c r="B490" s="88" t="s">
        <v>1959</v>
      </c>
      <c r="C490" s="26" t="s">
        <v>37</v>
      </c>
      <c r="D490" s="14"/>
      <c r="E490" s="15"/>
      <c r="F490" s="16">
        <f t="shared" si="34"/>
        <v>0</v>
      </c>
      <c r="G490">
        <f t="shared" si="32"/>
        <v>0</v>
      </c>
    </row>
    <row r="491" spans="1:7" hidden="1" x14ac:dyDescent="0.25">
      <c r="A491" s="85" t="s">
        <v>1976</v>
      </c>
      <c r="B491" s="113" t="s">
        <v>1960</v>
      </c>
      <c r="C491" s="26" t="s">
        <v>37</v>
      </c>
      <c r="D491" s="14"/>
      <c r="E491" s="15"/>
      <c r="F491" s="16">
        <f t="shared" si="34"/>
        <v>0</v>
      </c>
      <c r="G491">
        <f t="shared" si="32"/>
        <v>0</v>
      </c>
    </row>
    <row r="492" spans="1:7" hidden="1" x14ac:dyDescent="0.25">
      <c r="A492" s="85" t="s">
        <v>1977</v>
      </c>
      <c r="B492" s="88" t="s">
        <v>1961</v>
      </c>
      <c r="C492" s="26" t="s">
        <v>37</v>
      </c>
      <c r="D492" s="14"/>
      <c r="E492" s="15"/>
      <c r="F492" s="16">
        <f t="shared" si="34"/>
        <v>0</v>
      </c>
      <c r="G492">
        <f t="shared" si="32"/>
        <v>0</v>
      </c>
    </row>
    <row r="493" spans="1:7" hidden="1" x14ac:dyDescent="0.25">
      <c r="A493" s="85" t="s">
        <v>1978</v>
      </c>
      <c r="B493" s="88" t="s">
        <v>1962</v>
      </c>
      <c r="C493" s="26" t="s">
        <v>37</v>
      </c>
      <c r="D493" s="14"/>
      <c r="E493" s="15"/>
      <c r="F493" s="16">
        <f t="shared" si="34"/>
        <v>0</v>
      </c>
      <c r="G493">
        <f t="shared" si="32"/>
        <v>0</v>
      </c>
    </row>
    <row r="494" spans="1:7" hidden="1" x14ac:dyDescent="0.25">
      <c r="A494" s="85" t="s">
        <v>1979</v>
      </c>
      <c r="B494" s="88" t="s">
        <v>1963</v>
      </c>
      <c r="C494" s="26" t="s">
        <v>37</v>
      </c>
      <c r="D494" s="14"/>
      <c r="E494" s="15"/>
      <c r="F494" s="16">
        <f t="shared" si="34"/>
        <v>0</v>
      </c>
      <c r="G494">
        <f t="shared" si="32"/>
        <v>0</v>
      </c>
    </row>
    <row r="495" spans="1:7" hidden="1" x14ac:dyDescent="0.25">
      <c r="A495" s="78" t="s">
        <v>1946</v>
      </c>
      <c r="B495" s="79" t="s">
        <v>1965</v>
      </c>
      <c r="C495" s="26"/>
      <c r="D495" s="14"/>
      <c r="E495" s="15"/>
      <c r="F495" s="16"/>
      <c r="G495">
        <f t="shared" si="32"/>
        <v>0</v>
      </c>
    </row>
    <row r="496" spans="1:7" hidden="1" x14ac:dyDescent="0.25">
      <c r="A496" s="85" t="s">
        <v>1980</v>
      </c>
      <c r="B496" s="88" t="s">
        <v>1950</v>
      </c>
      <c r="C496" s="26" t="s">
        <v>37</v>
      </c>
      <c r="D496" s="14"/>
      <c r="E496" s="15"/>
      <c r="F496" s="16">
        <f t="shared" ref="F496:F510" si="35">+D496*E496</f>
        <v>0</v>
      </c>
      <c r="G496">
        <f t="shared" si="32"/>
        <v>0</v>
      </c>
    </row>
    <row r="497" spans="1:7" hidden="1" x14ac:dyDescent="0.25">
      <c r="A497" s="85" t="s">
        <v>1981</v>
      </c>
      <c r="B497" s="88" t="s">
        <v>1964</v>
      </c>
      <c r="C497" s="26" t="s">
        <v>37</v>
      </c>
      <c r="D497" s="14"/>
      <c r="E497" s="15"/>
      <c r="F497" s="16">
        <f t="shared" si="35"/>
        <v>0</v>
      </c>
      <c r="G497">
        <f t="shared" si="32"/>
        <v>0</v>
      </c>
    </row>
    <row r="498" spans="1:7" hidden="1" x14ac:dyDescent="0.25">
      <c r="A498" s="85" t="s">
        <v>1982</v>
      </c>
      <c r="B498" s="88" t="s">
        <v>1951</v>
      </c>
      <c r="C498" s="26" t="s">
        <v>37</v>
      </c>
      <c r="D498" s="14"/>
      <c r="E498" s="15"/>
      <c r="F498" s="16">
        <f t="shared" si="35"/>
        <v>0</v>
      </c>
      <c r="G498">
        <f t="shared" si="32"/>
        <v>0</v>
      </c>
    </row>
    <row r="499" spans="1:7" hidden="1" x14ac:dyDescent="0.25">
      <c r="A499" s="85" t="s">
        <v>1983</v>
      </c>
      <c r="B499" s="88" t="s">
        <v>1952</v>
      </c>
      <c r="C499" s="26" t="s">
        <v>37</v>
      </c>
      <c r="D499" s="14"/>
      <c r="E499" s="15"/>
      <c r="F499" s="16">
        <f t="shared" si="35"/>
        <v>0</v>
      </c>
      <c r="G499">
        <f t="shared" si="32"/>
        <v>0</v>
      </c>
    </row>
    <row r="500" spans="1:7" hidden="1" x14ac:dyDescent="0.25">
      <c r="A500" s="85" t="s">
        <v>1984</v>
      </c>
      <c r="B500" s="113" t="s">
        <v>1953</v>
      </c>
      <c r="C500" s="26" t="s">
        <v>37</v>
      </c>
      <c r="D500" s="14"/>
      <c r="E500" s="15"/>
      <c r="F500" s="16">
        <f t="shared" si="35"/>
        <v>0</v>
      </c>
      <c r="G500">
        <f t="shared" si="32"/>
        <v>0</v>
      </c>
    </row>
    <row r="501" spans="1:7" hidden="1" x14ac:dyDescent="0.25">
      <c r="A501" s="85" t="s">
        <v>1985</v>
      </c>
      <c r="B501" s="113" t="s">
        <v>1955</v>
      </c>
      <c r="C501" s="26" t="s">
        <v>37</v>
      </c>
      <c r="D501" s="14"/>
      <c r="E501" s="15"/>
      <c r="F501" s="16">
        <f t="shared" si="35"/>
        <v>0</v>
      </c>
      <c r="G501">
        <f t="shared" si="32"/>
        <v>0</v>
      </c>
    </row>
    <row r="502" spans="1:7" hidden="1" x14ac:dyDescent="0.25">
      <c r="A502" s="85" t="s">
        <v>1986</v>
      </c>
      <c r="B502" s="88" t="s">
        <v>1954</v>
      </c>
      <c r="C502" s="26" t="s">
        <v>37</v>
      </c>
      <c r="D502" s="14"/>
      <c r="E502" s="15"/>
      <c r="F502" s="16">
        <f t="shared" si="35"/>
        <v>0</v>
      </c>
      <c r="G502">
        <f t="shared" si="32"/>
        <v>0</v>
      </c>
    </row>
    <row r="503" spans="1:7" hidden="1" x14ac:dyDescent="0.25">
      <c r="A503" s="85" t="s">
        <v>1987</v>
      </c>
      <c r="B503" s="113" t="s">
        <v>1956</v>
      </c>
      <c r="C503" s="26" t="s">
        <v>37</v>
      </c>
      <c r="D503" s="14"/>
      <c r="E503" s="15"/>
      <c r="F503" s="16">
        <f t="shared" si="35"/>
        <v>0</v>
      </c>
      <c r="G503">
        <f t="shared" si="32"/>
        <v>0</v>
      </c>
    </row>
    <row r="504" spans="1:7" hidden="1" x14ac:dyDescent="0.25">
      <c r="A504" s="85" t="s">
        <v>1988</v>
      </c>
      <c r="B504" s="88" t="s">
        <v>1957</v>
      </c>
      <c r="C504" s="26" t="s">
        <v>37</v>
      </c>
      <c r="D504" s="14"/>
      <c r="E504" s="15"/>
      <c r="F504" s="16">
        <f t="shared" si="35"/>
        <v>0</v>
      </c>
      <c r="G504">
        <f t="shared" si="32"/>
        <v>0</v>
      </c>
    </row>
    <row r="505" spans="1:7" hidden="1" x14ac:dyDescent="0.25">
      <c r="A505" s="85" t="s">
        <v>1989</v>
      </c>
      <c r="B505" s="113" t="s">
        <v>1958</v>
      </c>
      <c r="C505" s="26" t="s">
        <v>37</v>
      </c>
      <c r="D505" s="14"/>
      <c r="E505" s="15"/>
      <c r="F505" s="16">
        <f t="shared" si="35"/>
        <v>0</v>
      </c>
      <c r="G505">
        <f t="shared" si="32"/>
        <v>0</v>
      </c>
    </row>
    <row r="506" spans="1:7" hidden="1" x14ac:dyDescent="0.25">
      <c r="A506" s="85" t="s">
        <v>1990</v>
      </c>
      <c r="B506" s="88" t="s">
        <v>1959</v>
      </c>
      <c r="C506" s="26" t="s">
        <v>37</v>
      </c>
      <c r="D506" s="14"/>
      <c r="E506" s="15"/>
      <c r="F506" s="16">
        <f t="shared" si="35"/>
        <v>0</v>
      </c>
      <c r="G506">
        <f t="shared" si="32"/>
        <v>0</v>
      </c>
    </row>
    <row r="507" spans="1:7" hidden="1" x14ac:dyDescent="0.25">
      <c r="A507" s="85" t="s">
        <v>1991</v>
      </c>
      <c r="B507" s="113" t="s">
        <v>1960</v>
      </c>
      <c r="C507" s="26" t="s">
        <v>37</v>
      </c>
      <c r="D507" s="14"/>
      <c r="E507" s="15"/>
      <c r="F507" s="16">
        <f t="shared" si="35"/>
        <v>0</v>
      </c>
      <c r="G507">
        <f t="shared" si="32"/>
        <v>0</v>
      </c>
    </row>
    <row r="508" spans="1:7" hidden="1" x14ac:dyDescent="0.25">
      <c r="A508" s="85" t="s">
        <v>1992</v>
      </c>
      <c r="B508" s="88" t="s">
        <v>1961</v>
      </c>
      <c r="C508" s="26" t="s">
        <v>37</v>
      </c>
      <c r="D508" s="14"/>
      <c r="E508" s="15"/>
      <c r="F508" s="16">
        <f t="shared" si="35"/>
        <v>0</v>
      </c>
      <c r="G508">
        <f t="shared" si="32"/>
        <v>0</v>
      </c>
    </row>
    <row r="509" spans="1:7" hidden="1" x14ac:dyDescent="0.25">
      <c r="A509" s="85" t="s">
        <v>1993</v>
      </c>
      <c r="B509" s="88" t="s">
        <v>1962</v>
      </c>
      <c r="C509" s="26" t="s">
        <v>37</v>
      </c>
      <c r="D509" s="14"/>
      <c r="E509" s="15"/>
      <c r="F509" s="16">
        <f t="shared" si="35"/>
        <v>0</v>
      </c>
      <c r="G509">
        <f t="shared" si="32"/>
        <v>0</v>
      </c>
    </row>
    <row r="510" spans="1:7" hidden="1" x14ac:dyDescent="0.25">
      <c r="A510" s="85" t="s">
        <v>1994</v>
      </c>
      <c r="B510" s="88" t="s">
        <v>1963</v>
      </c>
      <c r="C510" s="26" t="s">
        <v>37</v>
      </c>
      <c r="D510" s="14"/>
      <c r="E510" s="15"/>
      <c r="F510" s="16">
        <f t="shared" si="35"/>
        <v>0</v>
      </c>
      <c r="G510">
        <f t="shared" si="32"/>
        <v>0</v>
      </c>
    </row>
    <row r="511" spans="1:7" hidden="1" x14ac:dyDescent="0.25">
      <c r="A511" s="78" t="s">
        <v>1995</v>
      </c>
      <c r="B511" s="79" t="s">
        <v>1996</v>
      </c>
      <c r="C511" s="26"/>
      <c r="D511" s="14"/>
      <c r="E511" s="15"/>
      <c r="F511" s="16"/>
      <c r="G511">
        <f t="shared" si="32"/>
        <v>0</v>
      </c>
    </row>
    <row r="512" spans="1:7" hidden="1" x14ac:dyDescent="0.25">
      <c r="A512" s="85" t="s">
        <v>2012</v>
      </c>
      <c r="B512" s="88" t="s">
        <v>1997</v>
      </c>
      <c r="C512" s="26" t="s">
        <v>37</v>
      </c>
      <c r="D512" s="14"/>
      <c r="E512" s="15"/>
      <c r="F512" s="16">
        <f t="shared" ref="F512:F526" si="36">+D512*E512</f>
        <v>0</v>
      </c>
      <c r="G512">
        <f t="shared" si="32"/>
        <v>0</v>
      </c>
    </row>
    <row r="513" spans="1:7" hidden="1" x14ac:dyDescent="0.25">
      <c r="A513" s="85" t="s">
        <v>2013</v>
      </c>
      <c r="B513" s="88" t="s">
        <v>1998</v>
      </c>
      <c r="C513" s="26" t="s">
        <v>37</v>
      </c>
      <c r="D513" s="14"/>
      <c r="E513" s="15"/>
      <c r="F513" s="16">
        <f t="shared" si="36"/>
        <v>0</v>
      </c>
      <c r="G513">
        <f t="shared" si="32"/>
        <v>0</v>
      </c>
    </row>
    <row r="514" spans="1:7" hidden="1" x14ac:dyDescent="0.25">
      <c r="A514" s="85" t="s">
        <v>2014</v>
      </c>
      <c r="B514" s="88" t="s">
        <v>1999</v>
      </c>
      <c r="C514" s="26" t="s">
        <v>37</v>
      </c>
      <c r="D514" s="14"/>
      <c r="E514" s="15"/>
      <c r="F514" s="16">
        <f t="shared" si="36"/>
        <v>0</v>
      </c>
      <c r="G514">
        <f t="shared" si="32"/>
        <v>0</v>
      </c>
    </row>
    <row r="515" spans="1:7" hidden="1" x14ac:dyDescent="0.25">
      <c r="A515" s="85" t="s">
        <v>2015</v>
      </c>
      <c r="B515" s="88" t="s">
        <v>2000</v>
      </c>
      <c r="C515" s="26" t="s">
        <v>37</v>
      </c>
      <c r="D515" s="14"/>
      <c r="E515" s="15"/>
      <c r="F515" s="16">
        <f t="shared" si="36"/>
        <v>0</v>
      </c>
      <c r="G515">
        <f t="shared" si="32"/>
        <v>0</v>
      </c>
    </row>
    <row r="516" spans="1:7" hidden="1" x14ac:dyDescent="0.25">
      <c r="A516" s="85" t="s">
        <v>2016</v>
      </c>
      <c r="B516" s="113" t="s">
        <v>2001</v>
      </c>
      <c r="C516" s="26" t="s">
        <v>37</v>
      </c>
      <c r="D516" s="14"/>
      <c r="E516" s="15"/>
      <c r="F516" s="16">
        <f t="shared" si="36"/>
        <v>0</v>
      </c>
      <c r="G516">
        <f t="shared" si="32"/>
        <v>0</v>
      </c>
    </row>
    <row r="517" spans="1:7" hidden="1" x14ac:dyDescent="0.25">
      <c r="A517" s="85" t="s">
        <v>2017</v>
      </c>
      <c r="B517" s="113" t="s">
        <v>2002</v>
      </c>
      <c r="C517" s="26" t="s">
        <v>37</v>
      </c>
      <c r="D517" s="14"/>
      <c r="E517" s="15"/>
      <c r="F517" s="16">
        <f t="shared" si="36"/>
        <v>0</v>
      </c>
      <c r="G517">
        <f t="shared" si="32"/>
        <v>0</v>
      </c>
    </row>
    <row r="518" spans="1:7" hidden="1" x14ac:dyDescent="0.25">
      <c r="A518" s="85" t="s">
        <v>2018</v>
      </c>
      <c r="B518" s="88" t="s">
        <v>2003</v>
      </c>
      <c r="C518" s="26" t="s">
        <v>37</v>
      </c>
      <c r="D518" s="14"/>
      <c r="E518" s="15"/>
      <c r="F518" s="16">
        <f t="shared" si="36"/>
        <v>0</v>
      </c>
      <c r="G518">
        <f t="shared" si="32"/>
        <v>0</v>
      </c>
    </row>
    <row r="519" spans="1:7" hidden="1" x14ac:dyDescent="0.25">
      <c r="A519" s="85" t="s">
        <v>2019</v>
      </c>
      <c r="B519" s="113" t="s">
        <v>2004</v>
      </c>
      <c r="C519" s="26" t="s">
        <v>37</v>
      </c>
      <c r="D519" s="14"/>
      <c r="E519" s="15"/>
      <c r="F519" s="16">
        <f t="shared" si="36"/>
        <v>0</v>
      </c>
      <c r="G519">
        <f t="shared" si="32"/>
        <v>0</v>
      </c>
    </row>
    <row r="520" spans="1:7" hidden="1" x14ac:dyDescent="0.25">
      <c r="A520" s="85" t="s">
        <v>2020</v>
      </c>
      <c r="B520" s="88" t="s">
        <v>2005</v>
      </c>
      <c r="C520" s="26" t="s">
        <v>37</v>
      </c>
      <c r="D520" s="14"/>
      <c r="E520" s="15"/>
      <c r="F520" s="16">
        <f t="shared" si="36"/>
        <v>0</v>
      </c>
      <c r="G520">
        <f t="shared" si="32"/>
        <v>0</v>
      </c>
    </row>
    <row r="521" spans="1:7" hidden="1" x14ac:dyDescent="0.25">
      <c r="A521" s="85" t="s">
        <v>2021</v>
      </c>
      <c r="B521" s="113" t="s">
        <v>2006</v>
      </c>
      <c r="C521" s="26" t="s">
        <v>37</v>
      </c>
      <c r="D521" s="14"/>
      <c r="E521" s="15"/>
      <c r="F521" s="16">
        <f t="shared" si="36"/>
        <v>0</v>
      </c>
      <c r="G521">
        <f t="shared" ref="G521:G584" si="37">+IF(F521&lt;&gt;0,1,0)</f>
        <v>0</v>
      </c>
    </row>
    <row r="522" spans="1:7" hidden="1" x14ac:dyDescent="0.25">
      <c r="A522" s="85" t="s">
        <v>2022</v>
      </c>
      <c r="B522" s="88" t="s">
        <v>2007</v>
      </c>
      <c r="C522" s="26" t="s">
        <v>37</v>
      </c>
      <c r="D522" s="14"/>
      <c r="E522" s="15"/>
      <c r="F522" s="16">
        <f t="shared" si="36"/>
        <v>0</v>
      </c>
      <c r="G522">
        <f t="shared" si="37"/>
        <v>0</v>
      </c>
    </row>
    <row r="523" spans="1:7" hidden="1" x14ac:dyDescent="0.25">
      <c r="A523" s="85" t="s">
        <v>2023</v>
      </c>
      <c r="B523" s="113" t="s">
        <v>2008</v>
      </c>
      <c r="C523" s="26" t="s">
        <v>37</v>
      </c>
      <c r="D523" s="14"/>
      <c r="E523" s="15"/>
      <c r="F523" s="16">
        <f t="shared" si="36"/>
        <v>0</v>
      </c>
      <c r="G523">
        <f t="shared" si="37"/>
        <v>0</v>
      </c>
    </row>
    <row r="524" spans="1:7" hidden="1" x14ac:dyDescent="0.25">
      <c r="A524" s="85" t="s">
        <v>2024</v>
      </c>
      <c r="B524" s="88" t="s">
        <v>2009</v>
      </c>
      <c r="C524" s="26" t="s">
        <v>37</v>
      </c>
      <c r="D524" s="14"/>
      <c r="E524" s="15"/>
      <c r="F524" s="16">
        <f t="shared" si="36"/>
        <v>0</v>
      </c>
      <c r="G524">
        <f t="shared" si="37"/>
        <v>0</v>
      </c>
    </row>
    <row r="525" spans="1:7" hidden="1" x14ac:dyDescent="0.25">
      <c r="A525" s="85" t="s">
        <v>2025</v>
      </c>
      <c r="B525" s="88" t="s">
        <v>2010</v>
      </c>
      <c r="C525" s="26" t="s">
        <v>37</v>
      </c>
      <c r="D525" s="14"/>
      <c r="E525" s="15"/>
      <c r="F525" s="16">
        <f t="shared" si="36"/>
        <v>0</v>
      </c>
      <c r="G525">
        <f t="shared" si="37"/>
        <v>0</v>
      </c>
    </row>
    <row r="526" spans="1:7" hidden="1" x14ac:dyDescent="0.25">
      <c r="A526" s="85" t="s">
        <v>2026</v>
      </c>
      <c r="B526" s="88" t="s">
        <v>2011</v>
      </c>
      <c r="C526" s="26" t="s">
        <v>37</v>
      </c>
      <c r="D526" s="14"/>
      <c r="E526" s="15"/>
      <c r="F526" s="16">
        <f t="shared" si="36"/>
        <v>0</v>
      </c>
      <c r="G526">
        <f t="shared" si="37"/>
        <v>0</v>
      </c>
    </row>
    <row r="527" spans="1:7" hidden="1" x14ac:dyDescent="0.25">
      <c r="A527" s="78" t="s">
        <v>2027</v>
      </c>
      <c r="B527" s="79" t="s">
        <v>2028</v>
      </c>
      <c r="C527" s="26"/>
      <c r="D527" s="14"/>
      <c r="E527" s="15"/>
      <c r="F527" s="16"/>
      <c r="G527">
        <f t="shared" si="37"/>
        <v>0</v>
      </c>
    </row>
    <row r="528" spans="1:7" hidden="1" x14ac:dyDescent="0.25">
      <c r="A528" s="85" t="s">
        <v>2049</v>
      </c>
      <c r="B528" s="88" t="s">
        <v>1997</v>
      </c>
      <c r="C528" s="26" t="s">
        <v>37</v>
      </c>
      <c r="D528" s="14"/>
      <c r="E528" s="15"/>
      <c r="F528" s="16">
        <f t="shared" ref="F528:F542" si="38">+D528*E528</f>
        <v>0</v>
      </c>
      <c r="G528">
        <f t="shared" si="37"/>
        <v>0</v>
      </c>
    </row>
    <row r="529" spans="1:7" hidden="1" x14ac:dyDescent="0.25">
      <c r="A529" s="85" t="s">
        <v>2050</v>
      </c>
      <c r="B529" s="88" t="s">
        <v>1998</v>
      </c>
      <c r="C529" s="26" t="s">
        <v>37</v>
      </c>
      <c r="D529" s="14"/>
      <c r="E529" s="15"/>
      <c r="F529" s="16">
        <f t="shared" si="38"/>
        <v>0</v>
      </c>
      <c r="G529">
        <f t="shared" si="37"/>
        <v>0</v>
      </c>
    </row>
    <row r="530" spans="1:7" hidden="1" x14ac:dyDescent="0.25">
      <c r="A530" s="85" t="s">
        <v>2051</v>
      </c>
      <c r="B530" s="88" t="s">
        <v>1999</v>
      </c>
      <c r="C530" s="26" t="s">
        <v>37</v>
      </c>
      <c r="D530" s="14"/>
      <c r="E530" s="15"/>
      <c r="F530" s="16">
        <f t="shared" si="38"/>
        <v>0</v>
      </c>
      <c r="G530">
        <f t="shared" si="37"/>
        <v>0</v>
      </c>
    </row>
    <row r="531" spans="1:7" hidden="1" x14ac:dyDescent="0.25">
      <c r="A531" s="85" t="s">
        <v>2052</v>
      </c>
      <c r="B531" s="88" t="s">
        <v>2000</v>
      </c>
      <c r="C531" s="26" t="s">
        <v>37</v>
      </c>
      <c r="D531" s="14"/>
      <c r="E531" s="15"/>
      <c r="F531" s="16">
        <f t="shared" si="38"/>
        <v>0</v>
      </c>
      <c r="G531">
        <f t="shared" si="37"/>
        <v>0</v>
      </c>
    </row>
    <row r="532" spans="1:7" hidden="1" x14ac:dyDescent="0.25">
      <c r="A532" s="85" t="s">
        <v>2053</v>
      </c>
      <c r="B532" s="113" t="s">
        <v>2001</v>
      </c>
      <c r="C532" s="26" t="s">
        <v>37</v>
      </c>
      <c r="D532" s="14"/>
      <c r="E532" s="15"/>
      <c r="F532" s="16">
        <f t="shared" si="38"/>
        <v>0</v>
      </c>
      <c r="G532">
        <f t="shared" si="37"/>
        <v>0</v>
      </c>
    </row>
    <row r="533" spans="1:7" hidden="1" x14ac:dyDescent="0.25">
      <c r="A533" s="85" t="s">
        <v>2054</v>
      </c>
      <c r="B533" s="113" t="s">
        <v>2002</v>
      </c>
      <c r="C533" s="26" t="s">
        <v>37</v>
      </c>
      <c r="D533" s="14"/>
      <c r="E533" s="15"/>
      <c r="F533" s="16">
        <f t="shared" si="38"/>
        <v>0</v>
      </c>
      <c r="G533">
        <f t="shared" si="37"/>
        <v>0</v>
      </c>
    </row>
    <row r="534" spans="1:7" hidden="1" x14ac:dyDescent="0.25">
      <c r="A534" s="85" t="s">
        <v>2055</v>
      </c>
      <c r="B534" s="88" t="s">
        <v>2003</v>
      </c>
      <c r="C534" s="26" t="s">
        <v>37</v>
      </c>
      <c r="D534" s="14"/>
      <c r="E534" s="15"/>
      <c r="F534" s="16">
        <f t="shared" si="38"/>
        <v>0</v>
      </c>
      <c r="G534">
        <f t="shared" si="37"/>
        <v>0</v>
      </c>
    </row>
    <row r="535" spans="1:7" hidden="1" x14ac:dyDescent="0.25">
      <c r="A535" s="85" t="s">
        <v>2056</v>
      </c>
      <c r="B535" s="113" t="s">
        <v>2004</v>
      </c>
      <c r="C535" s="26" t="s">
        <v>37</v>
      </c>
      <c r="D535" s="14"/>
      <c r="E535" s="15"/>
      <c r="F535" s="16">
        <f t="shared" si="38"/>
        <v>0</v>
      </c>
      <c r="G535">
        <f t="shared" si="37"/>
        <v>0</v>
      </c>
    </row>
    <row r="536" spans="1:7" hidden="1" x14ac:dyDescent="0.25">
      <c r="A536" s="85" t="s">
        <v>2057</v>
      </c>
      <c r="B536" s="88" t="s">
        <v>2005</v>
      </c>
      <c r="C536" s="26" t="s">
        <v>37</v>
      </c>
      <c r="D536" s="14"/>
      <c r="E536" s="15"/>
      <c r="F536" s="16">
        <f t="shared" si="38"/>
        <v>0</v>
      </c>
      <c r="G536">
        <f t="shared" si="37"/>
        <v>0</v>
      </c>
    </row>
    <row r="537" spans="1:7" hidden="1" x14ac:dyDescent="0.25">
      <c r="A537" s="85" t="s">
        <v>2058</v>
      </c>
      <c r="B537" s="113" t="s">
        <v>2006</v>
      </c>
      <c r="C537" s="26" t="s">
        <v>37</v>
      </c>
      <c r="D537" s="14"/>
      <c r="E537" s="15"/>
      <c r="F537" s="16">
        <f t="shared" si="38"/>
        <v>0</v>
      </c>
      <c r="G537">
        <f t="shared" si="37"/>
        <v>0</v>
      </c>
    </row>
    <row r="538" spans="1:7" hidden="1" x14ac:dyDescent="0.25">
      <c r="A538" s="85" t="s">
        <v>2059</v>
      </c>
      <c r="B538" s="88" t="s">
        <v>2007</v>
      </c>
      <c r="C538" s="26" t="s">
        <v>37</v>
      </c>
      <c r="D538" s="14"/>
      <c r="E538" s="15"/>
      <c r="F538" s="16">
        <f t="shared" si="38"/>
        <v>0</v>
      </c>
      <c r="G538">
        <f t="shared" si="37"/>
        <v>0</v>
      </c>
    </row>
    <row r="539" spans="1:7" hidden="1" x14ac:dyDescent="0.25">
      <c r="A539" s="85" t="s">
        <v>2060</v>
      </c>
      <c r="B539" s="113" t="s">
        <v>2008</v>
      </c>
      <c r="C539" s="26" t="s">
        <v>37</v>
      </c>
      <c r="D539" s="14"/>
      <c r="E539" s="15"/>
      <c r="F539" s="16">
        <f t="shared" si="38"/>
        <v>0</v>
      </c>
      <c r="G539">
        <f t="shared" si="37"/>
        <v>0</v>
      </c>
    </row>
    <row r="540" spans="1:7" hidden="1" x14ac:dyDescent="0.25">
      <c r="A540" s="85" t="s">
        <v>2061</v>
      </c>
      <c r="B540" s="88" t="s">
        <v>2009</v>
      </c>
      <c r="C540" s="26" t="s">
        <v>37</v>
      </c>
      <c r="D540" s="14"/>
      <c r="E540" s="15"/>
      <c r="F540" s="16">
        <f t="shared" si="38"/>
        <v>0</v>
      </c>
      <c r="G540">
        <f t="shared" si="37"/>
        <v>0</v>
      </c>
    </row>
    <row r="541" spans="1:7" hidden="1" x14ac:dyDescent="0.25">
      <c r="A541" s="85" t="s">
        <v>2062</v>
      </c>
      <c r="B541" s="88" t="s">
        <v>2010</v>
      </c>
      <c r="C541" s="26" t="s">
        <v>37</v>
      </c>
      <c r="D541" s="14"/>
      <c r="E541" s="15"/>
      <c r="F541" s="16">
        <f t="shared" si="38"/>
        <v>0</v>
      </c>
      <c r="G541">
        <f t="shared" si="37"/>
        <v>0</v>
      </c>
    </row>
    <row r="542" spans="1:7" hidden="1" x14ac:dyDescent="0.25">
      <c r="A542" s="85" t="s">
        <v>2063</v>
      </c>
      <c r="B542" s="88" t="s">
        <v>2011</v>
      </c>
      <c r="C542" s="26" t="s">
        <v>37</v>
      </c>
      <c r="D542" s="14"/>
      <c r="E542" s="15"/>
      <c r="F542" s="16">
        <f t="shared" si="38"/>
        <v>0</v>
      </c>
      <c r="G542">
        <f t="shared" si="37"/>
        <v>0</v>
      </c>
    </row>
    <row r="543" spans="1:7" hidden="1" x14ac:dyDescent="0.25">
      <c r="A543" s="78" t="s">
        <v>2029</v>
      </c>
      <c r="B543" s="79" t="s">
        <v>2030</v>
      </c>
      <c r="C543" s="26"/>
      <c r="D543" s="14"/>
      <c r="E543" s="15"/>
      <c r="F543" s="16"/>
      <c r="G543">
        <f t="shared" si="37"/>
        <v>0</v>
      </c>
    </row>
    <row r="544" spans="1:7" hidden="1" x14ac:dyDescent="0.25">
      <c r="A544" s="78" t="s">
        <v>2031</v>
      </c>
      <c r="B544" s="79" t="s">
        <v>2047</v>
      </c>
      <c r="C544" s="26"/>
      <c r="D544" s="14"/>
      <c r="E544" s="15"/>
      <c r="F544" s="16"/>
      <c r="G544">
        <f t="shared" si="37"/>
        <v>0</v>
      </c>
    </row>
    <row r="545" spans="1:7" hidden="1" x14ac:dyDescent="0.25">
      <c r="A545" s="85" t="s">
        <v>2048</v>
      </c>
      <c r="B545" s="88" t="s">
        <v>2032</v>
      </c>
      <c r="C545" s="26" t="s">
        <v>37</v>
      </c>
      <c r="D545" s="14"/>
      <c r="E545" s="15"/>
      <c r="F545" s="16">
        <f t="shared" ref="F545:F575" si="39">+D545*E545</f>
        <v>0</v>
      </c>
      <c r="G545">
        <f t="shared" si="37"/>
        <v>0</v>
      </c>
    </row>
    <row r="546" spans="1:7" hidden="1" x14ac:dyDescent="0.25">
      <c r="A546" s="85" t="s">
        <v>2064</v>
      </c>
      <c r="B546" s="113" t="s">
        <v>2033</v>
      </c>
      <c r="C546" s="26" t="s">
        <v>37</v>
      </c>
      <c r="D546" s="14"/>
      <c r="E546" s="15"/>
      <c r="F546" s="16">
        <f t="shared" si="39"/>
        <v>0</v>
      </c>
      <c r="G546">
        <f t="shared" si="37"/>
        <v>0</v>
      </c>
    </row>
    <row r="547" spans="1:7" hidden="1" x14ac:dyDescent="0.25">
      <c r="A547" s="85" t="s">
        <v>2065</v>
      </c>
      <c r="B547" s="88" t="s">
        <v>2034</v>
      </c>
      <c r="C547" s="26" t="s">
        <v>37</v>
      </c>
      <c r="D547" s="14"/>
      <c r="E547" s="15"/>
      <c r="F547" s="16">
        <f t="shared" si="39"/>
        <v>0</v>
      </c>
      <c r="G547">
        <f t="shared" si="37"/>
        <v>0</v>
      </c>
    </row>
    <row r="548" spans="1:7" hidden="1" x14ac:dyDescent="0.25">
      <c r="A548" s="85" t="s">
        <v>2066</v>
      </c>
      <c r="B548" s="88" t="s">
        <v>2035</v>
      </c>
      <c r="C548" s="26" t="s">
        <v>37</v>
      </c>
      <c r="D548" s="14"/>
      <c r="E548" s="15"/>
      <c r="F548" s="16">
        <f t="shared" si="39"/>
        <v>0</v>
      </c>
      <c r="G548">
        <f t="shared" si="37"/>
        <v>0</v>
      </c>
    </row>
    <row r="549" spans="1:7" hidden="1" x14ac:dyDescent="0.25">
      <c r="A549" s="85" t="s">
        <v>2067</v>
      </c>
      <c r="B549" s="113" t="s">
        <v>2036</v>
      </c>
      <c r="C549" s="26" t="s">
        <v>37</v>
      </c>
      <c r="D549" s="14"/>
      <c r="E549" s="15"/>
      <c r="F549" s="16">
        <f t="shared" si="39"/>
        <v>0</v>
      </c>
      <c r="G549">
        <f t="shared" si="37"/>
        <v>0</v>
      </c>
    </row>
    <row r="550" spans="1:7" hidden="1" x14ac:dyDescent="0.25">
      <c r="A550" s="85" t="s">
        <v>2068</v>
      </c>
      <c r="B550" s="113" t="s">
        <v>2037</v>
      </c>
      <c r="C550" s="26" t="s">
        <v>37</v>
      </c>
      <c r="D550" s="14"/>
      <c r="E550" s="15"/>
      <c r="F550" s="16">
        <f t="shared" si="39"/>
        <v>0</v>
      </c>
      <c r="G550">
        <f t="shared" si="37"/>
        <v>0</v>
      </c>
    </row>
    <row r="551" spans="1:7" hidden="1" x14ac:dyDescent="0.25">
      <c r="A551" s="85" t="s">
        <v>2069</v>
      </c>
      <c r="B551" s="88" t="s">
        <v>2038</v>
      </c>
      <c r="C551" s="26" t="s">
        <v>37</v>
      </c>
      <c r="D551" s="14"/>
      <c r="E551" s="15"/>
      <c r="F551" s="16">
        <f t="shared" si="39"/>
        <v>0</v>
      </c>
      <c r="G551">
        <f t="shared" si="37"/>
        <v>0</v>
      </c>
    </row>
    <row r="552" spans="1:7" hidden="1" x14ac:dyDescent="0.25">
      <c r="A552" s="85" t="s">
        <v>2070</v>
      </c>
      <c r="B552" s="113" t="s">
        <v>2039</v>
      </c>
      <c r="C552" s="26" t="s">
        <v>37</v>
      </c>
      <c r="D552" s="14"/>
      <c r="E552" s="15"/>
      <c r="F552" s="16">
        <f t="shared" si="39"/>
        <v>0</v>
      </c>
      <c r="G552">
        <f t="shared" si="37"/>
        <v>0</v>
      </c>
    </row>
    <row r="553" spans="1:7" hidden="1" x14ac:dyDescent="0.25">
      <c r="A553" s="85" t="s">
        <v>2071</v>
      </c>
      <c r="B553" s="88" t="s">
        <v>2040</v>
      </c>
      <c r="C553" s="26" t="s">
        <v>37</v>
      </c>
      <c r="D553" s="14"/>
      <c r="E553" s="15"/>
      <c r="F553" s="16">
        <f t="shared" si="39"/>
        <v>0</v>
      </c>
      <c r="G553">
        <f t="shared" si="37"/>
        <v>0</v>
      </c>
    </row>
    <row r="554" spans="1:7" hidden="1" x14ac:dyDescent="0.25">
      <c r="A554" s="85" t="s">
        <v>2072</v>
      </c>
      <c r="B554" s="113" t="s">
        <v>2041</v>
      </c>
      <c r="C554" s="26" t="s">
        <v>37</v>
      </c>
      <c r="D554" s="14"/>
      <c r="E554" s="15"/>
      <c r="F554" s="16">
        <f t="shared" si="39"/>
        <v>0</v>
      </c>
      <c r="G554">
        <f t="shared" si="37"/>
        <v>0</v>
      </c>
    </row>
    <row r="555" spans="1:7" hidden="1" x14ac:dyDescent="0.25">
      <c r="A555" s="85" t="s">
        <v>2073</v>
      </c>
      <c r="B555" s="88" t="s">
        <v>2042</v>
      </c>
      <c r="C555" s="26" t="s">
        <v>37</v>
      </c>
      <c r="D555" s="14"/>
      <c r="E555" s="15"/>
      <c r="F555" s="16">
        <f t="shared" si="39"/>
        <v>0</v>
      </c>
      <c r="G555">
        <f t="shared" si="37"/>
        <v>0</v>
      </c>
    </row>
    <row r="556" spans="1:7" hidden="1" x14ac:dyDescent="0.25">
      <c r="A556" s="85" t="s">
        <v>2074</v>
      </c>
      <c r="B556" s="113" t="s">
        <v>2043</v>
      </c>
      <c r="C556" s="26" t="s">
        <v>37</v>
      </c>
      <c r="D556" s="14"/>
      <c r="E556" s="15"/>
      <c r="F556" s="16">
        <f t="shared" si="39"/>
        <v>0</v>
      </c>
      <c r="G556">
        <f t="shared" si="37"/>
        <v>0</v>
      </c>
    </row>
    <row r="557" spans="1:7" hidden="1" x14ac:dyDescent="0.25">
      <c r="A557" s="85" t="s">
        <v>2075</v>
      </c>
      <c r="B557" s="88" t="s">
        <v>2044</v>
      </c>
      <c r="C557" s="26" t="s">
        <v>37</v>
      </c>
      <c r="D557" s="14"/>
      <c r="E557" s="15"/>
      <c r="F557" s="16">
        <f t="shared" si="39"/>
        <v>0</v>
      </c>
      <c r="G557">
        <f t="shared" si="37"/>
        <v>0</v>
      </c>
    </row>
    <row r="558" spans="1:7" hidden="1" x14ac:dyDescent="0.25">
      <c r="A558" s="85" t="s">
        <v>2076</v>
      </c>
      <c r="B558" s="88" t="s">
        <v>2045</v>
      </c>
      <c r="C558" s="26" t="s">
        <v>37</v>
      </c>
      <c r="D558" s="14"/>
      <c r="E558" s="15"/>
      <c r="F558" s="16">
        <f t="shared" si="39"/>
        <v>0</v>
      </c>
      <c r="G558">
        <f t="shared" si="37"/>
        <v>0</v>
      </c>
    </row>
    <row r="559" spans="1:7" hidden="1" x14ac:dyDescent="0.25">
      <c r="A559" s="85" t="s">
        <v>2077</v>
      </c>
      <c r="B559" s="88" t="s">
        <v>2046</v>
      </c>
      <c r="C559" s="26" t="s">
        <v>37</v>
      </c>
      <c r="D559" s="14"/>
      <c r="E559" s="15"/>
      <c r="F559" s="16">
        <f t="shared" si="39"/>
        <v>0</v>
      </c>
      <c r="G559">
        <f t="shared" si="37"/>
        <v>0</v>
      </c>
    </row>
    <row r="560" spans="1:7" hidden="1" x14ac:dyDescent="0.25">
      <c r="A560" s="78" t="s">
        <v>2079</v>
      </c>
      <c r="B560" s="79" t="s">
        <v>2078</v>
      </c>
      <c r="C560" s="26" t="s">
        <v>37</v>
      </c>
      <c r="D560" s="14"/>
      <c r="E560" s="15"/>
      <c r="F560" s="16">
        <f t="shared" si="39"/>
        <v>0</v>
      </c>
      <c r="G560">
        <f t="shared" si="37"/>
        <v>0</v>
      </c>
    </row>
    <row r="561" spans="1:7" hidden="1" x14ac:dyDescent="0.25">
      <c r="A561" s="85" t="s">
        <v>2080</v>
      </c>
      <c r="B561" s="88" t="s">
        <v>2032</v>
      </c>
      <c r="C561" s="26" t="s">
        <v>37</v>
      </c>
      <c r="D561" s="14"/>
      <c r="E561" s="15"/>
      <c r="F561" s="16">
        <f t="shared" si="39"/>
        <v>0</v>
      </c>
      <c r="G561">
        <f t="shared" si="37"/>
        <v>0</v>
      </c>
    </row>
    <row r="562" spans="1:7" hidden="1" x14ac:dyDescent="0.25">
      <c r="A562" s="85" t="s">
        <v>2081</v>
      </c>
      <c r="B562" s="113" t="s">
        <v>2033</v>
      </c>
      <c r="C562" s="26" t="s">
        <v>37</v>
      </c>
      <c r="D562" s="14"/>
      <c r="E562" s="15"/>
      <c r="F562" s="16">
        <f t="shared" si="39"/>
        <v>0</v>
      </c>
      <c r="G562">
        <f t="shared" si="37"/>
        <v>0</v>
      </c>
    </row>
    <row r="563" spans="1:7" hidden="1" x14ac:dyDescent="0.25">
      <c r="A563" s="85" t="s">
        <v>2082</v>
      </c>
      <c r="B563" s="88" t="s">
        <v>2034</v>
      </c>
      <c r="C563" s="26" t="s">
        <v>37</v>
      </c>
      <c r="D563" s="14"/>
      <c r="E563" s="15"/>
      <c r="F563" s="16">
        <f t="shared" si="39"/>
        <v>0</v>
      </c>
      <c r="G563">
        <f t="shared" si="37"/>
        <v>0</v>
      </c>
    </row>
    <row r="564" spans="1:7" hidden="1" x14ac:dyDescent="0.25">
      <c r="A564" s="85" t="s">
        <v>2083</v>
      </c>
      <c r="B564" s="88" t="s">
        <v>2035</v>
      </c>
      <c r="C564" s="26" t="s">
        <v>37</v>
      </c>
      <c r="D564" s="14"/>
      <c r="E564" s="15"/>
      <c r="F564" s="16">
        <f t="shared" si="39"/>
        <v>0</v>
      </c>
      <c r="G564">
        <f t="shared" si="37"/>
        <v>0</v>
      </c>
    </row>
    <row r="565" spans="1:7" hidden="1" x14ac:dyDescent="0.25">
      <c r="A565" s="85" t="s">
        <v>2084</v>
      </c>
      <c r="B565" s="113" t="s">
        <v>2036</v>
      </c>
      <c r="C565" s="26" t="s">
        <v>37</v>
      </c>
      <c r="D565" s="14"/>
      <c r="E565" s="15"/>
      <c r="F565" s="16">
        <f t="shared" si="39"/>
        <v>0</v>
      </c>
      <c r="G565">
        <f t="shared" si="37"/>
        <v>0</v>
      </c>
    </row>
    <row r="566" spans="1:7" hidden="1" x14ac:dyDescent="0.25">
      <c r="A566" s="85" t="s">
        <v>2085</v>
      </c>
      <c r="B566" s="113" t="s">
        <v>2037</v>
      </c>
      <c r="C566" s="26" t="s">
        <v>37</v>
      </c>
      <c r="D566" s="14"/>
      <c r="E566" s="15"/>
      <c r="F566" s="16">
        <f t="shared" si="39"/>
        <v>0</v>
      </c>
      <c r="G566">
        <f t="shared" si="37"/>
        <v>0</v>
      </c>
    </row>
    <row r="567" spans="1:7" hidden="1" x14ac:dyDescent="0.25">
      <c r="A567" s="85" t="s">
        <v>2086</v>
      </c>
      <c r="B567" s="88" t="s">
        <v>2038</v>
      </c>
      <c r="C567" s="26" t="s">
        <v>37</v>
      </c>
      <c r="D567" s="14"/>
      <c r="E567" s="15"/>
      <c r="F567" s="16">
        <f t="shared" si="39"/>
        <v>0</v>
      </c>
      <c r="G567">
        <f t="shared" si="37"/>
        <v>0</v>
      </c>
    </row>
    <row r="568" spans="1:7" hidden="1" x14ac:dyDescent="0.25">
      <c r="A568" s="85" t="s">
        <v>2087</v>
      </c>
      <c r="B568" s="113" t="s">
        <v>2039</v>
      </c>
      <c r="C568" s="26" t="s">
        <v>37</v>
      </c>
      <c r="D568" s="14"/>
      <c r="E568" s="15"/>
      <c r="F568" s="16">
        <f t="shared" si="39"/>
        <v>0</v>
      </c>
      <c r="G568">
        <f t="shared" si="37"/>
        <v>0</v>
      </c>
    </row>
    <row r="569" spans="1:7" hidden="1" x14ac:dyDescent="0.25">
      <c r="A569" s="85" t="s">
        <v>2088</v>
      </c>
      <c r="B569" s="88" t="s">
        <v>2040</v>
      </c>
      <c r="C569" s="26" t="s">
        <v>37</v>
      </c>
      <c r="D569" s="14"/>
      <c r="E569" s="15"/>
      <c r="F569" s="16">
        <f t="shared" si="39"/>
        <v>0</v>
      </c>
      <c r="G569">
        <f t="shared" si="37"/>
        <v>0</v>
      </c>
    </row>
    <row r="570" spans="1:7" hidden="1" x14ac:dyDescent="0.25">
      <c r="A570" s="85" t="s">
        <v>2089</v>
      </c>
      <c r="B570" s="113" t="s">
        <v>2041</v>
      </c>
      <c r="C570" s="26" t="s">
        <v>37</v>
      </c>
      <c r="D570" s="14"/>
      <c r="E570" s="15"/>
      <c r="F570" s="16">
        <f t="shared" si="39"/>
        <v>0</v>
      </c>
      <c r="G570">
        <f t="shared" si="37"/>
        <v>0</v>
      </c>
    </row>
    <row r="571" spans="1:7" hidden="1" x14ac:dyDescent="0.25">
      <c r="A571" s="85" t="s">
        <v>2090</v>
      </c>
      <c r="B571" s="88" t="s">
        <v>2042</v>
      </c>
      <c r="C571" s="26" t="s">
        <v>37</v>
      </c>
      <c r="D571" s="14"/>
      <c r="E571" s="15"/>
      <c r="F571" s="16">
        <f t="shared" si="39"/>
        <v>0</v>
      </c>
      <c r="G571">
        <f t="shared" si="37"/>
        <v>0</v>
      </c>
    </row>
    <row r="572" spans="1:7" hidden="1" x14ac:dyDescent="0.25">
      <c r="A572" s="85" t="s">
        <v>2091</v>
      </c>
      <c r="B572" s="113" t="s">
        <v>2043</v>
      </c>
      <c r="C572" s="26" t="s">
        <v>37</v>
      </c>
      <c r="D572" s="14"/>
      <c r="E572" s="15"/>
      <c r="F572" s="16">
        <f t="shared" si="39"/>
        <v>0</v>
      </c>
      <c r="G572">
        <f t="shared" si="37"/>
        <v>0</v>
      </c>
    </row>
    <row r="573" spans="1:7" hidden="1" x14ac:dyDescent="0.25">
      <c r="A573" s="85" t="s">
        <v>2092</v>
      </c>
      <c r="B573" s="88" t="s">
        <v>2044</v>
      </c>
      <c r="C573" s="26" t="s">
        <v>37</v>
      </c>
      <c r="D573" s="14"/>
      <c r="E573" s="15"/>
      <c r="F573" s="16">
        <f t="shared" si="39"/>
        <v>0</v>
      </c>
      <c r="G573">
        <f t="shared" si="37"/>
        <v>0</v>
      </c>
    </row>
    <row r="574" spans="1:7" hidden="1" x14ac:dyDescent="0.25">
      <c r="A574" s="85" t="s">
        <v>2093</v>
      </c>
      <c r="B574" s="88" t="s">
        <v>2045</v>
      </c>
      <c r="C574" s="26" t="s">
        <v>37</v>
      </c>
      <c r="D574" s="14"/>
      <c r="E574" s="15"/>
      <c r="F574" s="16">
        <f t="shared" si="39"/>
        <v>0</v>
      </c>
      <c r="G574">
        <f t="shared" si="37"/>
        <v>0</v>
      </c>
    </row>
    <row r="575" spans="1:7" hidden="1" x14ac:dyDescent="0.25">
      <c r="A575" s="85" t="s">
        <v>2094</v>
      </c>
      <c r="B575" s="88" t="s">
        <v>2046</v>
      </c>
      <c r="C575" s="26" t="s">
        <v>37</v>
      </c>
      <c r="D575" s="14"/>
      <c r="E575" s="15"/>
      <c r="F575" s="16">
        <f t="shared" si="39"/>
        <v>0</v>
      </c>
      <c r="G575">
        <f t="shared" si="37"/>
        <v>0</v>
      </c>
    </row>
    <row r="576" spans="1:7" hidden="1" x14ac:dyDescent="0.25">
      <c r="A576" s="85" t="s">
        <v>2096</v>
      </c>
      <c r="B576" s="79" t="s">
        <v>2095</v>
      </c>
      <c r="C576" s="26"/>
      <c r="D576" s="14"/>
      <c r="E576" s="15"/>
      <c r="F576" s="16"/>
      <c r="G576">
        <f t="shared" si="37"/>
        <v>0</v>
      </c>
    </row>
    <row r="577" spans="1:7" hidden="1" x14ac:dyDescent="0.25">
      <c r="A577" s="78" t="s">
        <v>2098</v>
      </c>
      <c r="B577" s="79" t="s">
        <v>2097</v>
      </c>
      <c r="C577" s="26"/>
      <c r="D577" s="14"/>
      <c r="E577" s="15"/>
      <c r="F577" s="16"/>
      <c r="G577">
        <f t="shared" si="37"/>
        <v>0</v>
      </c>
    </row>
    <row r="578" spans="1:7" hidden="1" x14ac:dyDescent="0.25">
      <c r="A578" s="85" t="s">
        <v>2099</v>
      </c>
      <c r="B578" s="88" t="s">
        <v>2100</v>
      </c>
      <c r="C578" s="26" t="s">
        <v>37</v>
      </c>
      <c r="D578" s="14"/>
      <c r="E578" s="15"/>
      <c r="F578" s="16">
        <f t="shared" ref="F578:F592" si="40">+D578*E578</f>
        <v>0</v>
      </c>
      <c r="G578">
        <f t="shared" si="37"/>
        <v>0</v>
      </c>
    </row>
    <row r="579" spans="1:7" hidden="1" x14ac:dyDescent="0.25">
      <c r="A579" s="85" t="s">
        <v>2116</v>
      </c>
      <c r="B579" s="88" t="s">
        <v>2101</v>
      </c>
      <c r="C579" s="26" t="s">
        <v>37</v>
      </c>
      <c r="D579" s="14"/>
      <c r="E579" s="15"/>
      <c r="F579" s="16">
        <f t="shared" si="40"/>
        <v>0</v>
      </c>
      <c r="G579">
        <f t="shared" si="37"/>
        <v>0</v>
      </c>
    </row>
    <row r="580" spans="1:7" hidden="1" x14ac:dyDescent="0.25">
      <c r="A580" s="85" t="s">
        <v>2117</v>
      </c>
      <c r="B580" s="88" t="s">
        <v>2102</v>
      </c>
      <c r="C580" s="26" t="s">
        <v>37</v>
      </c>
      <c r="D580" s="14"/>
      <c r="E580" s="15"/>
      <c r="F580" s="16">
        <f t="shared" si="40"/>
        <v>0</v>
      </c>
      <c r="G580">
        <f t="shared" si="37"/>
        <v>0</v>
      </c>
    </row>
    <row r="581" spans="1:7" hidden="1" x14ac:dyDescent="0.25">
      <c r="A581" s="85" t="s">
        <v>2118</v>
      </c>
      <c r="B581" s="88" t="s">
        <v>2103</v>
      </c>
      <c r="C581" s="26" t="s">
        <v>37</v>
      </c>
      <c r="D581" s="14"/>
      <c r="E581" s="15"/>
      <c r="F581" s="16">
        <f t="shared" si="40"/>
        <v>0</v>
      </c>
      <c r="G581">
        <f t="shared" si="37"/>
        <v>0</v>
      </c>
    </row>
    <row r="582" spans="1:7" hidden="1" x14ac:dyDescent="0.25">
      <c r="A582" s="85" t="s">
        <v>2119</v>
      </c>
      <c r="B582" s="88" t="s">
        <v>2105</v>
      </c>
      <c r="C582" s="26" t="s">
        <v>37</v>
      </c>
      <c r="D582" s="14"/>
      <c r="E582" s="15"/>
      <c r="F582" s="16">
        <f t="shared" si="40"/>
        <v>0</v>
      </c>
      <c r="G582">
        <f t="shared" si="37"/>
        <v>0</v>
      </c>
    </row>
    <row r="583" spans="1:7" hidden="1" x14ac:dyDescent="0.25">
      <c r="A583" s="85" t="s">
        <v>2120</v>
      </c>
      <c r="B583" s="88" t="s">
        <v>2104</v>
      </c>
      <c r="C583" s="26" t="s">
        <v>37</v>
      </c>
      <c r="D583" s="14"/>
      <c r="E583" s="15"/>
      <c r="F583" s="16">
        <f t="shared" si="40"/>
        <v>0</v>
      </c>
      <c r="G583">
        <f t="shared" si="37"/>
        <v>0</v>
      </c>
    </row>
    <row r="584" spans="1:7" hidden="1" x14ac:dyDescent="0.25">
      <c r="A584" s="85" t="s">
        <v>2121</v>
      </c>
      <c r="B584" s="88" t="s">
        <v>2106</v>
      </c>
      <c r="C584" s="26" t="s">
        <v>37</v>
      </c>
      <c r="D584" s="14"/>
      <c r="E584" s="15"/>
      <c r="F584" s="16">
        <f t="shared" si="40"/>
        <v>0</v>
      </c>
      <c r="G584">
        <f t="shared" si="37"/>
        <v>0</v>
      </c>
    </row>
    <row r="585" spans="1:7" hidden="1" x14ac:dyDescent="0.25">
      <c r="A585" s="85" t="s">
        <v>2122</v>
      </c>
      <c r="B585" s="88" t="s">
        <v>2107</v>
      </c>
      <c r="C585" s="26" t="s">
        <v>37</v>
      </c>
      <c r="D585" s="14"/>
      <c r="E585" s="15"/>
      <c r="F585" s="16">
        <f t="shared" si="40"/>
        <v>0</v>
      </c>
      <c r="G585">
        <f t="shared" ref="G585:G610" si="41">+IF(F585&lt;&gt;0,1,0)</f>
        <v>0</v>
      </c>
    </row>
    <row r="586" spans="1:7" hidden="1" x14ac:dyDescent="0.25">
      <c r="A586" s="85" t="s">
        <v>2123</v>
      </c>
      <c r="B586" s="88" t="s">
        <v>2108</v>
      </c>
      <c r="C586" s="26" t="s">
        <v>37</v>
      </c>
      <c r="D586" s="14"/>
      <c r="E586" s="15"/>
      <c r="F586" s="16">
        <f t="shared" si="40"/>
        <v>0</v>
      </c>
      <c r="G586">
        <f t="shared" si="41"/>
        <v>0</v>
      </c>
    </row>
    <row r="587" spans="1:7" hidden="1" x14ac:dyDescent="0.25">
      <c r="A587" s="85" t="s">
        <v>2124</v>
      </c>
      <c r="B587" s="88" t="s">
        <v>2109</v>
      </c>
      <c r="C587" s="26" t="s">
        <v>37</v>
      </c>
      <c r="D587" s="14"/>
      <c r="E587" s="15"/>
      <c r="F587" s="16">
        <f t="shared" si="40"/>
        <v>0</v>
      </c>
      <c r="G587">
        <f t="shared" si="41"/>
        <v>0</v>
      </c>
    </row>
    <row r="588" spans="1:7" hidden="1" x14ac:dyDescent="0.25">
      <c r="A588" s="85" t="s">
        <v>2125</v>
      </c>
      <c r="B588" s="88" t="s">
        <v>2110</v>
      </c>
      <c r="C588" s="26" t="s">
        <v>37</v>
      </c>
      <c r="D588" s="14"/>
      <c r="E588" s="15"/>
      <c r="F588" s="16">
        <f t="shared" si="40"/>
        <v>0</v>
      </c>
      <c r="G588">
        <f t="shared" si="41"/>
        <v>0</v>
      </c>
    </row>
    <row r="589" spans="1:7" hidden="1" x14ac:dyDescent="0.25">
      <c r="A589" s="85" t="s">
        <v>2126</v>
      </c>
      <c r="B589" s="88" t="s">
        <v>2111</v>
      </c>
      <c r="C589" s="26" t="s">
        <v>37</v>
      </c>
      <c r="D589" s="14"/>
      <c r="E589" s="15"/>
      <c r="F589" s="16">
        <f t="shared" si="40"/>
        <v>0</v>
      </c>
      <c r="G589">
        <f t="shared" si="41"/>
        <v>0</v>
      </c>
    </row>
    <row r="590" spans="1:7" hidden="1" x14ac:dyDescent="0.25">
      <c r="A590" s="85" t="s">
        <v>2127</v>
      </c>
      <c r="B590" s="88" t="s">
        <v>2112</v>
      </c>
      <c r="C590" s="26" t="s">
        <v>37</v>
      </c>
      <c r="D590" s="14"/>
      <c r="E590" s="15"/>
      <c r="F590" s="16">
        <f t="shared" si="40"/>
        <v>0</v>
      </c>
      <c r="G590">
        <f t="shared" si="41"/>
        <v>0</v>
      </c>
    </row>
    <row r="591" spans="1:7" hidden="1" x14ac:dyDescent="0.25">
      <c r="A591" s="85" t="s">
        <v>2128</v>
      </c>
      <c r="B591" s="88" t="s">
        <v>2113</v>
      </c>
      <c r="C591" s="26" t="s">
        <v>37</v>
      </c>
      <c r="D591" s="14"/>
      <c r="E591" s="15"/>
      <c r="F591" s="16">
        <f t="shared" si="40"/>
        <v>0</v>
      </c>
      <c r="G591">
        <f t="shared" si="41"/>
        <v>0</v>
      </c>
    </row>
    <row r="592" spans="1:7" hidden="1" x14ac:dyDescent="0.25">
      <c r="A592" s="85" t="s">
        <v>2129</v>
      </c>
      <c r="B592" s="88" t="s">
        <v>2114</v>
      </c>
      <c r="C592" s="26" t="s">
        <v>37</v>
      </c>
      <c r="D592" s="14"/>
      <c r="E592" s="15"/>
      <c r="F592" s="16">
        <f t="shared" si="40"/>
        <v>0</v>
      </c>
      <c r="G592">
        <f t="shared" si="41"/>
        <v>0</v>
      </c>
    </row>
    <row r="593" spans="1:7" hidden="1" x14ac:dyDescent="0.25">
      <c r="A593" s="78" t="s">
        <v>2130</v>
      </c>
      <c r="B593" s="79" t="s">
        <v>2115</v>
      </c>
      <c r="C593" s="26"/>
      <c r="D593" s="14"/>
      <c r="E593" s="15"/>
      <c r="F593" s="16"/>
      <c r="G593">
        <f t="shared" si="41"/>
        <v>0</v>
      </c>
    </row>
    <row r="594" spans="1:7" hidden="1" x14ac:dyDescent="0.25">
      <c r="A594" s="85" t="s">
        <v>2131</v>
      </c>
      <c r="B594" s="88" t="s">
        <v>2100</v>
      </c>
      <c r="C594" s="26" t="s">
        <v>37</v>
      </c>
      <c r="D594" s="14"/>
      <c r="E594" s="15"/>
      <c r="F594" s="16">
        <f t="shared" ref="F594:F608" si="42">+D594*E594</f>
        <v>0</v>
      </c>
      <c r="G594">
        <f t="shared" si="41"/>
        <v>0</v>
      </c>
    </row>
    <row r="595" spans="1:7" hidden="1" x14ac:dyDescent="0.25">
      <c r="A595" s="85" t="s">
        <v>2132</v>
      </c>
      <c r="B595" s="88" t="s">
        <v>2101</v>
      </c>
      <c r="C595" s="26" t="s">
        <v>37</v>
      </c>
      <c r="D595" s="14"/>
      <c r="E595" s="15"/>
      <c r="F595" s="16">
        <f t="shared" si="42"/>
        <v>0</v>
      </c>
      <c r="G595">
        <f t="shared" si="41"/>
        <v>0</v>
      </c>
    </row>
    <row r="596" spans="1:7" hidden="1" x14ac:dyDescent="0.25">
      <c r="A596" s="85" t="s">
        <v>2133</v>
      </c>
      <c r="B596" s="88" t="s">
        <v>2102</v>
      </c>
      <c r="C596" s="26" t="s">
        <v>37</v>
      </c>
      <c r="D596" s="14"/>
      <c r="E596" s="15"/>
      <c r="F596" s="16">
        <f t="shared" si="42"/>
        <v>0</v>
      </c>
      <c r="G596">
        <f t="shared" si="41"/>
        <v>0</v>
      </c>
    </row>
    <row r="597" spans="1:7" hidden="1" x14ac:dyDescent="0.25">
      <c r="A597" s="85" t="s">
        <v>2134</v>
      </c>
      <c r="B597" s="88" t="s">
        <v>2103</v>
      </c>
      <c r="C597" s="26" t="s">
        <v>37</v>
      </c>
      <c r="D597" s="14"/>
      <c r="E597" s="15"/>
      <c r="F597" s="16">
        <f t="shared" si="42"/>
        <v>0</v>
      </c>
      <c r="G597">
        <f t="shared" si="41"/>
        <v>0</v>
      </c>
    </row>
    <row r="598" spans="1:7" hidden="1" x14ac:dyDescent="0.25">
      <c r="A598" s="85" t="s">
        <v>2135</v>
      </c>
      <c r="B598" s="88" t="s">
        <v>2105</v>
      </c>
      <c r="C598" s="26" t="s">
        <v>37</v>
      </c>
      <c r="D598" s="14"/>
      <c r="E598" s="15"/>
      <c r="F598" s="16">
        <f t="shared" si="42"/>
        <v>0</v>
      </c>
      <c r="G598">
        <f t="shared" si="41"/>
        <v>0</v>
      </c>
    </row>
    <row r="599" spans="1:7" hidden="1" x14ac:dyDescent="0.25">
      <c r="A599" s="85" t="s">
        <v>2136</v>
      </c>
      <c r="B599" s="88" t="s">
        <v>2104</v>
      </c>
      <c r="C599" s="26" t="s">
        <v>37</v>
      </c>
      <c r="D599" s="14"/>
      <c r="E599" s="15"/>
      <c r="F599" s="16">
        <f t="shared" si="42"/>
        <v>0</v>
      </c>
      <c r="G599">
        <f t="shared" si="41"/>
        <v>0</v>
      </c>
    </row>
    <row r="600" spans="1:7" hidden="1" x14ac:dyDescent="0.25">
      <c r="A600" s="85" t="s">
        <v>2137</v>
      </c>
      <c r="B600" s="88" t="s">
        <v>2106</v>
      </c>
      <c r="C600" s="26" t="s">
        <v>37</v>
      </c>
      <c r="D600" s="14"/>
      <c r="E600" s="15"/>
      <c r="F600" s="16">
        <f t="shared" si="42"/>
        <v>0</v>
      </c>
      <c r="G600">
        <f t="shared" si="41"/>
        <v>0</v>
      </c>
    </row>
    <row r="601" spans="1:7" hidden="1" x14ac:dyDescent="0.25">
      <c r="A601" s="85" t="s">
        <v>2138</v>
      </c>
      <c r="B601" s="88" t="s">
        <v>2107</v>
      </c>
      <c r="C601" s="26" t="s">
        <v>37</v>
      </c>
      <c r="D601" s="14"/>
      <c r="E601" s="15"/>
      <c r="F601" s="16">
        <f t="shared" si="42"/>
        <v>0</v>
      </c>
      <c r="G601">
        <f t="shared" si="41"/>
        <v>0</v>
      </c>
    </row>
    <row r="602" spans="1:7" hidden="1" x14ac:dyDescent="0.25">
      <c r="A602" s="85" t="s">
        <v>2139</v>
      </c>
      <c r="B602" s="88" t="s">
        <v>2108</v>
      </c>
      <c r="C602" s="26" t="s">
        <v>37</v>
      </c>
      <c r="D602" s="14"/>
      <c r="E602" s="15"/>
      <c r="F602" s="16">
        <f t="shared" si="42"/>
        <v>0</v>
      </c>
      <c r="G602">
        <f t="shared" si="41"/>
        <v>0</v>
      </c>
    </row>
    <row r="603" spans="1:7" hidden="1" x14ac:dyDescent="0.25">
      <c r="A603" s="85" t="s">
        <v>2140</v>
      </c>
      <c r="B603" s="88" t="s">
        <v>2109</v>
      </c>
      <c r="C603" s="26" t="s">
        <v>37</v>
      </c>
      <c r="D603" s="14"/>
      <c r="E603" s="15"/>
      <c r="F603" s="16">
        <f t="shared" si="42"/>
        <v>0</v>
      </c>
      <c r="G603">
        <f t="shared" si="41"/>
        <v>0</v>
      </c>
    </row>
    <row r="604" spans="1:7" hidden="1" x14ac:dyDescent="0.25">
      <c r="A604" s="85" t="s">
        <v>2141</v>
      </c>
      <c r="B604" s="88" t="s">
        <v>2110</v>
      </c>
      <c r="C604" s="26" t="s">
        <v>37</v>
      </c>
      <c r="D604" s="14"/>
      <c r="E604" s="15"/>
      <c r="F604" s="16">
        <f t="shared" si="42"/>
        <v>0</v>
      </c>
      <c r="G604">
        <f t="shared" si="41"/>
        <v>0</v>
      </c>
    </row>
    <row r="605" spans="1:7" hidden="1" x14ac:dyDescent="0.25">
      <c r="A605" s="85" t="s">
        <v>2142</v>
      </c>
      <c r="B605" s="88" t="s">
        <v>2111</v>
      </c>
      <c r="C605" s="26" t="s">
        <v>37</v>
      </c>
      <c r="D605" s="14"/>
      <c r="E605" s="15"/>
      <c r="F605" s="16">
        <f t="shared" si="42"/>
        <v>0</v>
      </c>
      <c r="G605">
        <f t="shared" si="41"/>
        <v>0</v>
      </c>
    </row>
    <row r="606" spans="1:7" hidden="1" x14ac:dyDescent="0.25">
      <c r="A606" s="85" t="s">
        <v>2143</v>
      </c>
      <c r="B606" s="88" t="s">
        <v>2112</v>
      </c>
      <c r="C606" s="26" t="s">
        <v>37</v>
      </c>
      <c r="D606" s="14"/>
      <c r="E606" s="15"/>
      <c r="F606" s="16">
        <f t="shared" si="42"/>
        <v>0</v>
      </c>
      <c r="G606">
        <f t="shared" si="41"/>
        <v>0</v>
      </c>
    </row>
    <row r="607" spans="1:7" hidden="1" x14ac:dyDescent="0.25">
      <c r="A607" s="85" t="s">
        <v>2144</v>
      </c>
      <c r="B607" s="88" t="s">
        <v>2113</v>
      </c>
      <c r="C607" s="26" t="s">
        <v>37</v>
      </c>
      <c r="D607" s="14"/>
      <c r="E607" s="15"/>
      <c r="F607" s="16">
        <f t="shared" si="42"/>
        <v>0</v>
      </c>
      <c r="G607">
        <f t="shared" si="41"/>
        <v>0</v>
      </c>
    </row>
    <row r="608" spans="1:7" hidden="1" x14ac:dyDescent="0.25">
      <c r="A608" s="85" t="s">
        <v>2145</v>
      </c>
      <c r="B608" s="88" t="s">
        <v>2114</v>
      </c>
      <c r="C608" s="26" t="s">
        <v>37</v>
      </c>
      <c r="D608" s="14"/>
      <c r="E608" s="15"/>
      <c r="F608" s="16">
        <f t="shared" si="42"/>
        <v>0</v>
      </c>
      <c r="G608">
        <f t="shared" si="41"/>
        <v>0</v>
      </c>
    </row>
    <row r="609" spans="1:7" hidden="1" x14ac:dyDescent="0.25">
      <c r="A609" s="44" t="s">
        <v>954</v>
      </c>
      <c r="B609" s="80" t="s">
        <v>2146</v>
      </c>
      <c r="C609" s="26"/>
      <c r="D609" s="14"/>
      <c r="E609" s="15"/>
      <c r="F609" s="16"/>
      <c r="G609">
        <f t="shared" si="41"/>
        <v>0</v>
      </c>
    </row>
    <row r="610" spans="1:7" hidden="1" x14ac:dyDescent="0.25">
      <c r="A610" s="78" t="s">
        <v>2157</v>
      </c>
      <c r="B610" s="79" t="s">
        <v>2147</v>
      </c>
      <c r="C610" s="26"/>
      <c r="D610" s="14"/>
      <c r="E610" s="15"/>
      <c r="F610" s="16"/>
      <c r="G610">
        <f t="shared" si="41"/>
        <v>0</v>
      </c>
    </row>
    <row r="611" spans="1:7" hidden="1" x14ac:dyDescent="0.25">
      <c r="A611" s="85" t="s">
        <v>2158</v>
      </c>
      <c r="B611" s="88" t="s">
        <v>2148</v>
      </c>
      <c r="C611" s="26" t="s">
        <v>37</v>
      </c>
      <c r="D611" s="14"/>
      <c r="E611" s="15"/>
      <c r="F611" s="16">
        <f t="shared" ref="F611:F619" si="43">+D611*E611</f>
        <v>0</v>
      </c>
      <c r="G611">
        <f>+IF(F611&lt;&gt;0,1,0)</f>
        <v>0</v>
      </c>
    </row>
    <row r="612" spans="1:7" hidden="1" x14ac:dyDescent="0.25">
      <c r="A612" s="85" t="s">
        <v>2159</v>
      </c>
      <c r="B612" s="88" t="s">
        <v>2149</v>
      </c>
      <c r="C612" s="26" t="s">
        <v>37</v>
      </c>
      <c r="D612" s="14"/>
      <c r="E612" s="15"/>
      <c r="F612" s="16">
        <f t="shared" si="43"/>
        <v>0</v>
      </c>
      <c r="G612">
        <f t="shared" ref="G612:G675" si="44">+IF(F612&lt;&gt;0,1,0)</f>
        <v>0</v>
      </c>
    </row>
    <row r="613" spans="1:7" hidden="1" x14ac:dyDescent="0.25">
      <c r="A613" s="85" t="s">
        <v>2160</v>
      </c>
      <c r="B613" s="88" t="s">
        <v>2150</v>
      </c>
      <c r="C613" s="26" t="s">
        <v>37</v>
      </c>
      <c r="D613" s="14"/>
      <c r="E613" s="15"/>
      <c r="F613" s="16">
        <f t="shared" si="43"/>
        <v>0</v>
      </c>
      <c r="G613">
        <f t="shared" si="44"/>
        <v>0</v>
      </c>
    </row>
    <row r="614" spans="1:7" hidden="1" x14ac:dyDescent="0.25">
      <c r="A614" s="85" t="s">
        <v>2161</v>
      </c>
      <c r="B614" s="88" t="s">
        <v>2151</v>
      </c>
      <c r="C614" s="26" t="s">
        <v>37</v>
      </c>
      <c r="D614" s="14"/>
      <c r="E614" s="15"/>
      <c r="F614" s="16">
        <f t="shared" si="43"/>
        <v>0</v>
      </c>
      <c r="G614">
        <f t="shared" si="44"/>
        <v>0</v>
      </c>
    </row>
    <row r="615" spans="1:7" hidden="1" x14ac:dyDescent="0.25">
      <c r="A615" s="85" t="s">
        <v>2162</v>
      </c>
      <c r="B615" s="88" t="s">
        <v>2152</v>
      </c>
      <c r="C615" s="26" t="s">
        <v>37</v>
      </c>
      <c r="D615" s="14"/>
      <c r="E615" s="15"/>
      <c r="F615" s="16">
        <f t="shared" si="43"/>
        <v>0</v>
      </c>
      <c r="G615">
        <f t="shared" si="44"/>
        <v>0</v>
      </c>
    </row>
    <row r="616" spans="1:7" hidden="1" x14ac:dyDescent="0.25">
      <c r="A616" s="85" t="s">
        <v>2163</v>
      </c>
      <c r="B616" s="88" t="s">
        <v>2153</v>
      </c>
      <c r="C616" s="26" t="s">
        <v>37</v>
      </c>
      <c r="D616" s="14"/>
      <c r="E616" s="15"/>
      <c r="F616" s="16">
        <f t="shared" si="43"/>
        <v>0</v>
      </c>
      <c r="G616">
        <f t="shared" si="44"/>
        <v>0</v>
      </c>
    </row>
    <row r="617" spans="1:7" hidden="1" x14ac:dyDescent="0.25">
      <c r="A617" s="85" t="s">
        <v>2164</v>
      </c>
      <c r="B617" s="88" t="s">
        <v>2154</v>
      </c>
      <c r="C617" s="26" t="s">
        <v>37</v>
      </c>
      <c r="D617" s="14"/>
      <c r="E617" s="15"/>
      <c r="F617" s="16">
        <f t="shared" si="43"/>
        <v>0</v>
      </c>
      <c r="G617">
        <f t="shared" si="44"/>
        <v>0</v>
      </c>
    </row>
    <row r="618" spans="1:7" hidden="1" x14ac:dyDescent="0.25">
      <c r="A618" s="85" t="s">
        <v>2165</v>
      </c>
      <c r="B618" s="88" t="s">
        <v>2155</v>
      </c>
      <c r="C618" s="26" t="s">
        <v>37</v>
      </c>
      <c r="D618" s="14"/>
      <c r="E618" s="15"/>
      <c r="F618" s="16">
        <f t="shared" si="43"/>
        <v>0</v>
      </c>
      <c r="G618">
        <f t="shared" si="44"/>
        <v>0</v>
      </c>
    </row>
    <row r="619" spans="1:7" hidden="1" x14ac:dyDescent="0.25">
      <c r="A619" s="85" t="s">
        <v>2166</v>
      </c>
      <c r="B619" s="88" t="s">
        <v>2156</v>
      </c>
      <c r="C619" s="26" t="s">
        <v>37</v>
      </c>
      <c r="D619" s="14"/>
      <c r="E619" s="15"/>
      <c r="F619" s="16">
        <f t="shared" si="43"/>
        <v>0</v>
      </c>
      <c r="G619">
        <f t="shared" si="44"/>
        <v>0</v>
      </c>
    </row>
    <row r="620" spans="1:7" hidden="1" x14ac:dyDescent="0.25">
      <c r="A620" s="78" t="s">
        <v>955</v>
      </c>
      <c r="B620" s="79" t="s">
        <v>2167</v>
      </c>
      <c r="C620" s="26"/>
      <c r="D620" s="14"/>
      <c r="E620" s="15"/>
      <c r="F620" s="16"/>
      <c r="G620">
        <f t="shared" si="44"/>
        <v>0</v>
      </c>
    </row>
    <row r="621" spans="1:7" hidden="1" x14ac:dyDescent="0.25">
      <c r="A621" s="85" t="s">
        <v>2168</v>
      </c>
      <c r="B621" s="88" t="s">
        <v>2148</v>
      </c>
      <c r="C621" s="26" t="s">
        <v>37</v>
      </c>
      <c r="D621" s="14"/>
      <c r="E621" s="15"/>
      <c r="F621" s="16">
        <f t="shared" ref="F621:F629" si="45">+D621*E621</f>
        <v>0</v>
      </c>
      <c r="G621">
        <f t="shared" si="44"/>
        <v>0</v>
      </c>
    </row>
    <row r="622" spans="1:7" hidden="1" x14ac:dyDescent="0.25">
      <c r="A622" s="85" t="s">
        <v>2169</v>
      </c>
      <c r="B622" s="88" t="s">
        <v>2149</v>
      </c>
      <c r="C622" s="26" t="s">
        <v>37</v>
      </c>
      <c r="D622" s="14"/>
      <c r="E622" s="15"/>
      <c r="F622" s="16">
        <f t="shared" si="45"/>
        <v>0</v>
      </c>
      <c r="G622">
        <f t="shared" si="44"/>
        <v>0</v>
      </c>
    </row>
    <row r="623" spans="1:7" hidden="1" x14ac:dyDescent="0.25">
      <c r="A623" s="85" t="s">
        <v>956</v>
      </c>
      <c r="B623" s="88" t="s">
        <v>2150</v>
      </c>
      <c r="C623" s="26" t="s">
        <v>37</v>
      </c>
      <c r="D623" s="14"/>
      <c r="E623" s="15"/>
      <c r="F623" s="16">
        <f t="shared" si="45"/>
        <v>0</v>
      </c>
      <c r="G623">
        <f t="shared" si="44"/>
        <v>0</v>
      </c>
    </row>
    <row r="624" spans="1:7" hidden="1" x14ac:dyDescent="0.25">
      <c r="A624" s="85" t="s">
        <v>2170</v>
      </c>
      <c r="B624" s="88" t="s">
        <v>2151</v>
      </c>
      <c r="C624" s="26" t="s">
        <v>37</v>
      </c>
      <c r="D624" s="14"/>
      <c r="E624" s="15"/>
      <c r="F624" s="16">
        <f t="shared" si="45"/>
        <v>0</v>
      </c>
      <c r="G624">
        <f t="shared" si="44"/>
        <v>0</v>
      </c>
    </row>
    <row r="625" spans="1:7" hidden="1" x14ac:dyDescent="0.25">
      <c r="A625" s="85" t="s">
        <v>2171</v>
      </c>
      <c r="B625" s="88" t="s">
        <v>2152</v>
      </c>
      <c r="C625" s="26" t="s">
        <v>37</v>
      </c>
      <c r="D625" s="14"/>
      <c r="E625" s="15"/>
      <c r="F625" s="16">
        <f t="shared" si="45"/>
        <v>0</v>
      </c>
      <c r="G625">
        <f t="shared" si="44"/>
        <v>0</v>
      </c>
    </row>
    <row r="626" spans="1:7" hidden="1" x14ac:dyDescent="0.25">
      <c r="A626" s="85" t="s">
        <v>2172</v>
      </c>
      <c r="B626" s="88" t="s">
        <v>2153</v>
      </c>
      <c r="C626" s="26" t="s">
        <v>37</v>
      </c>
      <c r="D626" s="14"/>
      <c r="E626" s="15"/>
      <c r="F626" s="16">
        <f t="shared" si="45"/>
        <v>0</v>
      </c>
      <c r="G626">
        <f t="shared" si="44"/>
        <v>0</v>
      </c>
    </row>
    <row r="627" spans="1:7" hidden="1" x14ac:dyDescent="0.25">
      <c r="A627" s="85" t="s">
        <v>2173</v>
      </c>
      <c r="B627" s="88" t="s">
        <v>2154</v>
      </c>
      <c r="C627" s="26" t="s">
        <v>37</v>
      </c>
      <c r="D627" s="14"/>
      <c r="E627" s="15"/>
      <c r="F627" s="16">
        <f t="shared" si="45"/>
        <v>0</v>
      </c>
      <c r="G627">
        <f t="shared" si="44"/>
        <v>0</v>
      </c>
    </row>
    <row r="628" spans="1:7" hidden="1" x14ac:dyDescent="0.25">
      <c r="A628" s="85" t="s">
        <v>2174</v>
      </c>
      <c r="B628" s="88" t="s">
        <v>2155</v>
      </c>
      <c r="C628" s="26" t="s">
        <v>37</v>
      </c>
      <c r="D628" s="14"/>
      <c r="E628" s="15"/>
      <c r="F628" s="16">
        <f t="shared" si="45"/>
        <v>0</v>
      </c>
      <c r="G628">
        <f t="shared" si="44"/>
        <v>0</v>
      </c>
    </row>
    <row r="629" spans="1:7" hidden="1" x14ac:dyDescent="0.25">
      <c r="A629" s="85" t="s">
        <v>2175</v>
      </c>
      <c r="B629" s="88" t="s">
        <v>2156</v>
      </c>
      <c r="C629" s="26" t="s">
        <v>37</v>
      </c>
      <c r="D629" s="14"/>
      <c r="E629" s="15"/>
      <c r="F629" s="16">
        <f t="shared" si="45"/>
        <v>0</v>
      </c>
      <c r="G629">
        <f t="shared" si="44"/>
        <v>0</v>
      </c>
    </row>
    <row r="630" spans="1:7" hidden="1" x14ac:dyDescent="0.25">
      <c r="A630" s="78" t="s">
        <v>2176</v>
      </c>
      <c r="B630" s="79" t="s">
        <v>2177</v>
      </c>
      <c r="C630" s="26"/>
      <c r="D630" s="14"/>
      <c r="E630" s="15"/>
      <c r="F630" s="16"/>
      <c r="G630">
        <f t="shared" si="44"/>
        <v>0</v>
      </c>
    </row>
    <row r="631" spans="1:7" hidden="1" x14ac:dyDescent="0.25">
      <c r="A631" s="85" t="s">
        <v>2178</v>
      </c>
      <c r="B631" s="88" t="s">
        <v>2179</v>
      </c>
      <c r="C631" s="26" t="s">
        <v>37</v>
      </c>
      <c r="D631" s="14"/>
      <c r="E631" s="15"/>
      <c r="F631" s="16">
        <f t="shared" ref="F631:F651" si="46">+D631*E631</f>
        <v>0</v>
      </c>
      <c r="G631">
        <f t="shared" si="44"/>
        <v>0</v>
      </c>
    </row>
    <row r="632" spans="1:7" hidden="1" x14ac:dyDescent="0.25">
      <c r="A632" s="85" t="s">
        <v>2189</v>
      </c>
      <c r="B632" s="88" t="s">
        <v>2180</v>
      </c>
      <c r="C632" s="26" t="s">
        <v>37</v>
      </c>
      <c r="D632" s="14"/>
      <c r="E632" s="15"/>
      <c r="F632" s="16">
        <f t="shared" si="46"/>
        <v>0</v>
      </c>
      <c r="G632">
        <f t="shared" si="44"/>
        <v>0</v>
      </c>
    </row>
    <row r="633" spans="1:7" hidden="1" x14ac:dyDescent="0.25">
      <c r="A633" s="85" t="s">
        <v>2190</v>
      </c>
      <c r="B633" s="88" t="s">
        <v>2181</v>
      </c>
      <c r="C633" s="26" t="s">
        <v>37</v>
      </c>
      <c r="D633" s="14"/>
      <c r="E633" s="15"/>
      <c r="F633" s="16">
        <f t="shared" si="46"/>
        <v>0</v>
      </c>
      <c r="G633">
        <f t="shared" si="44"/>
        <v>0</v>
      </c>
    </row>
    <row r="634" spans="1:7" hidden="1" x14ac:dyDescent="0.25">
      <c r="A634" s="85" t="s">
        <v>2191</v>
      </c>
      <c r="B634" s="88" t="s">
        <v>2182</v>
      </c>
      <c r="C634" s="26" t="s">
        <v>37</v>
      </c>
      <c r="D634" s="14"/>
      <c r="E634" s="15"/>
      <c r="F634" s="16">
        <f t="shared" si="46"/>
        <v>0</v>
      </c>
      <c r="G634">
        <f t="shared" si="44"/>
        <v>0</v>
      </c>
    </row>
    <row r="635" spans="1:7" hidden="1" x14ac:dyDescent="0.25">
      <c r="A635" s="85" t="s">
        <v>2192</v>
      </c>
      <c r="B635" s="88" t="s">
        <v>2183</v>
      </c>
      <c r="C635" s="26" t="s">
        <v>37</v>
      </c>
      <c r="D635" s="14"/>
      <c r="E635" s="15"/>
      <c r="F635" s="16">
        <f t="shared" si="46"/>
        <v>0</v>
      </c>
      <c r="G635">
        <f t="shared" si="44"/>
        <v>0</v>
      </c>
    </row>
    <row r="636" spans="1:7" hidden="1" x14ac:dyDescent="0.25">
      <c r="A636" s="85" t="s">
        <v>2193</v>
      </c>
      <c r="B636" s="88" t="s">
        <v>2184</v>
      </c>
      <c r="C636" s="26" t="s">
        <v>37</v>
      </c>
      <c r="D636" s="14"/>
      <c r="E636" s="15"/>
      <c r="F636" s="16">
        <f t="shared" si="46"/>
        <v>0</v>
      </c>
      <c r="G636">
        <f t="shared" si="44"/>
        <v>0</v>
      </c>
    </row>
    <row r="637" spans="1:7" hidden="1" x14ac:dyDescent="0.25">
      <c r="A637" s="85" t="s">
        <v>2194</v>
      </c>
      <c r="B637" s="88" t="s">
        <v>2185</v>
      </c>
      <c r="C637" s="26" t="s">
        <v>37</v>
      </c>
      <c r="D637" s="14"/>
      <c r="E637" s="15"/>
      <c r="F637" s="16">
        <f t="shared" si="46"/>
        <v>0</v>
      </c>
      <c r="G637">
        <f t="shared" si="44"/>
        <v>0</v>
      </c>
    </row>
    <row r="638" spans="1:7" hidden="1" x14ac:dyDescent="0.25">
      <c r="A638" s="85" t="s">
        <v>2195</v>
      </c>
      <c r="B638" s="88" t="s">
        <v>2186</v>
      </c>
      <c r="C638" s="26" t="s">
        <v>37</v>
      </c>
      <c r="D638" s="14"/>
      <c r="E638" s="15"/>
      <c r="F638" s="16">
        <f t="shared" si="46"/>
        <v>0</v>
      </c>
      <c r="G638">
        <f t="shared" si="44"/>
        <v>0</v>
      </c>
    </row>
    <row r="639" spans="1:7" hidden="1" x14ac:dyDescent="0.25">
      <c r="A639" s="85" t="s">
        <v>2196</v>
      </c>
      <c r="B639" s="88" t="s">
        <v>2187</v>
      </c>
      <c r="C639" s="26" t="s">
        <v>37</v>
      </c>
      <c r="D639" s="14"/>
      <c r="E639" s="15"/>
      <c r="F639" s="16">
        <f t="shared" si="46"/>
        <v>0</v>
      </c>
      <c r="G639">
        <f t="shared" si="44"/>
        <v>0</v>
      </c>
    </row>
    <row r="640" spans="1:7" hidden="1" x14ac:dyDescent="0.25">
      <c r="A640" s="85" t="s">
        <v>2197</v>
      </c>
      <c r="B640" s="88" t="s">
        <v>2188</v>
      </c>
      <c r="C640" s="26" t="s">
        <v>37</v>
      </c>
      <c r="D640" s="14"/>
      <c r="E640" s="15"/>
      <c r="F640" s="16">
        <f t="shared" si="46"/>
        <v>0</v>
      </c>
      <c r="G640">
        <f t="shared" si="44"/>
        <v>0</v>
      </c>
    </row>
    <row r="641" spans="1:7" hidden="1" x14ac:dyDescent="0.25">
      <c r="A641" s="78" t="s">
        <v>2198</v>
      </c>
      <c r="B641" s="79" t="s">
        <v>2199</v>
      </c>
      <c r="C641" s="14"/>
      <c r="D641" s="14"/>
      <c r="E641" s="15"/>
      <c r="F641" s="16"/>
      <c r="G641">
        <f t="shared" si="44"/>
        <v>0</v>
      </c>
    </row>
    <row r="642" spans="1:7" hidden="1" x14ac:dyDescent="0.25">
      <c r="A642" s="85" t="s">
        <v>2200</v>
      </c>
      <c r="B642" s="88" t="s">
        <v>2201</v>
      </c>
      <c r="C642" s="26" t="s">
        <v>37</v>
      </c>
      <c r="D642" s="14"/>
      <c r="E642" s="15"/>
      <c r="F642" s="16">
        <f t="shared" si="46"/>
        <v>0</v>
      </c>
      <c r="G642">
        <f t="shared" si="44"/>
        <v>0</v>
      </c>
    </row>
    <row r="643" spans="1:7" hidden="1" x14ac:dyDescent="0.25">
      <c r="A643" s="85" t="s">
        <v>2211</v>
      </c>
      <c r="B643" s="88" t="s">
        <v>2202</v>
      </c>
      <c r="C643" s="26" t="s">
        <v>37</v>
      </c>
      <c r="D643" s="14"/>
      <c r="E643" s="15"/>
      <c r="F643" s="16">
        <f t="shared" si="46"/>
        <v>0</v>
      </c>
      <c r="G643">
        <f t="shared" si="44"/>
        <v>0</v>
      </c>
    </row>
    <row r="644" spans="1:7" hidden="1" x14ac:dyDescent="0.25">
      <c r="A644" s="85" t="s">
        <v>2212</v>
      </c>
      <c r="B644" s="88" t="s">
        <v>2203</v>
      </c>
      <c r="C644" s="26" t="s">
        <v>37</v>
      </c>
      <c r="D644" s="14"/>
      <c r="E644" s="15"/>
      <c r="F644" s="16">
        <f t="shared" si="46"/>
        <v>0</v>
      </c>
      <c r="G644">
        <f t="shared" si="44"/>
        <v>0</v>
      </c>
    </row>
    <row r="645" spans="1:7" hidden="1" x14ac:dyDescent="0.25">
      <c r="A645" s="85" t="s">
        <v>2213</v>
      </c>
      <c r="B645" s="88" t="s">
        <v>2204</v>
      </c>
      <c r="C645" s="26" t="s">
        <v>37</v>
      </c>
      <c r="D645" s="14"/>
      <c r="E645" s="15"/>
      <c r="F645" s="16">
        <f t="shared" si="46"/>
        <v>0</v>
      </c>
      <c r="G645">
        <f t="shared" si="44"/>
        <v>0</v>
      </c>
    </row>
    <row r="646" spans="1:7" hidden="1" x14ac:dyDescent="0.25">
      <c r="A646" s="85" t="s">
        <v>2214</v>
      </c>
      <c r="B646" s="88" t="s">
        <v>2205</v>
      </c>
      <c r="C646" s="26" t="s">
        <v>37</v>
      </c>
      <c r="D646" s="14"/>
      <c r="E646" s="15"/>
      <c r="F646" s="16">
        <f t="shared" si="46"/>
        <v>0</v>
      </c>
      <c r="G646">
        <f t="shared" si="44"/>
        <v>0</v>
      </c>
    </row>
    <row r="647" spans="1:7" hidden="1" x14ac:dyDescent="0.25">
      <c r="A647" s="85" t="s">
        <v>2215</v>
      </c>
      <c r="B647" s="88" t="s">
        <v>2206</v>
      </c>
      <c r="C647" s="26" t="s">
        <v>37</v>
      </c>
      <c r="D647" s="14"/>
      <c r="E647" s="15"/>
      <c r="F647" s="16">
        <f t="shared" si="46"/>
        <v>0</v>
      </c>
      <c r="G647">
        <f t="shared" si="44"/>
        <v>0</v>
      </c>
    </row>
    <row r="648" spans="1:7" hidden="1" x14ac:dyDescent="0.25">
      <c r="A648" s="85" t="s">
        <v>2216</v>
      </c>
      <c r="B648" s="88" t="s">
        <v>2207</v>
      </c>
      <c r="C648" s="26" t="s">
        <v>37</v>
      </c>
      <c r="D648" s="14"/>
      <c r="E648" s="15"/>
      <c r="F648" s="16">
        <f t="shared" si="46"/>
        <v>0</v>
      </c>
      <c r="G648">
        <f t="shared" si="44"/>
        <v>0</v>
      </c>
    </row>
    <row r="649" spans="1:7" hidden="1" x14ac:dyDescent="0.25">
      <c r="A649" s="85" t="s">
        <v>2217</v>
      </c>
      <c r="B649" s="88" t="s">
        <v>2208</v>
      </c>
      <c r="C649" s="26" t="s">
        <v>37</v>
      </c>
      <c r="D649" s="14"/>
      <c r="E649" s="15"/>
      <c r="F649" s="16">
        <f t="shared" si="46"/>
        <v>0</v>
      </c>
      <c r="G649">
        <f t="shared" si="44"/>
        <v>0</v>
      </c>
    </row>
    <row r="650" spans="1:7" hidden="1" x14ac:dyDescent="0.25">
      <c r="A650" s="85" t="s">
        <v>2218</v>
      </c>
      <c r="B650" s="88" t="s">
        <v>2210</v>
      </c>
      <c r="C650" s="26" t="s">
        <v>37</v>
      </c>
      <c r="D650" s="14"/>
      <c r="E650" s="15"/>
      <c r="F650" s="16">
        <f t="shared" si="46"/>
        <v>0</v>
      </c>
      <c r="G650">
        <f t="shared" si="44"/>
        <v>0</v>
      </c>
    </row>
    <row r="651" spans="1:7" hidden="1" x14ac:dyDescent="0.25">
      <c r="A651" s="85" t="s">
        <v>2219</v>
      </c>
      <c r="B651" s="88" t="s">
        <v>2209</v>
      </c>
      <c r="C651" s="26" t="s">
        <v>37</v>
      </c>
      <c r="D651" s="14"/>
      <c r="E651" s="15"/>
      <c r="F651" s="16">
        <f t="shared" si="46"/>
        <v>0</v>
      </c>
      <c r="G651">
        <f t="shared" si="44"/>
        <v>0</v>
      </c>
    </row>
    <row r="652" spans="1:7" hidden="1" x14ac:dyDescent="0.25">
      <c r="A652" s="78" t="s">
        <v>2220</v>
      </c>
      <c r="B652" s="79" t="s">
        <v>2222</v>
      </c>
      <c r="C652" s="14"/>
      <c r="D652" s="14"/>
      <c r="E652" s="15"/>
      <c r="F652" s="16"/>
      <c r="G652">
        <f t="shared" si="44"/>
        <v>0</v>
      </c>
    </row>
    <row r="653" spans="1:7" hidden="1" x14ac:dyDescent="0.25">
      <c r="A653" s="78" t="s">
        <v>2221</v>
      </c>
      <c r="B653" s="79" t="s">
        <v>2223</v>
      </c>
      <c r="C653" s="14"/>
      <c r="D653" s="14"/>
      <c r="E653" s="15"/>
      <c r="F653" s="16"/>
      <c r="G653">
        <f t="shared" si="44"/>
        <v>0</v>
      </c>
    </row>
    <row r="654" spans="1:7" hidden="1" x14ac:dyDescent="0.25">
      <c r="A654" s="85" t="s">
        <v>2224</v>
      </c>
      <c r="B654" s="88" t="s">
        <v>1951</v>
      </c>
      <c r="C654" s="26" t="s">
        <v>37</v>
      </c>
      <c r="D654" s="14"/>
      <c r="E654" s="15"/>
      <c r="F654" s="16">
        <f>+D654*E654</f>
        <v>0</v>
      </c>
      <c r="G654">
        <f t="shared" si="44"/>
        <v>0</v>
      </c>
    </row>
    <row r="655" spans="1:7" hidden="1" x14ac:dyDescent="0.25">
      <c r="A655" s="85" t="s">
        <v>2225</v>
      </c>
      <c r="B655" s="88" t="s">
        <v>1952</v>
      </c>
      <c r="C655" s="26" t="s">
        <v>37</v>
      </c>
      <c r="D655" s="14"/>
      <c r="E655" s="15"/>
      <c r="F655" s="16">
        <f>+D655*E655</f>
        <v>0</v>
      </c>
      <c r="G655">
        <f t="shared" si="44"/>
        <v>0</v>
      </c>
    </row>
    <row r="656" spans="1:7" hidden="1" x14ac:dyDescent="0.25">
      <c r="A656" s="85" t="s">
        <v>2226</v>
      </c>
      <c r="B656" s="88" t="s">
        <v>1954</v>
      </c>
      <c r="C656" s="26" t="s">
        <v>37</v>
      </c>
      <c r="D656" s="14"/>
      <c r="E656" s="15"/>
      <c r="F656" s="16">
        <f>+D656*E656</f>
        <v>0</v>
      </c>
      <c r="G656">
        <f t="shared" si="44"/>
        <v>0</v>
      </c>
    </row>
    <row r="657" spans="1:7" hidden="1" x14ac:dyDescent="0.25">
      <c r="A657" s="85" t="s">
        <v>2227</v>
      </c>
      <c r="B657" s="88" t="s">
        <v>1957</v>
      </c>
      <c r="C657" s="26" t="s">
        <v>37</v>
      </c>
      <c r="D657" s="14"/>
      <c r="E657" s="15"/>
      <c r="F657" s="16">
        <f>+D657*E657</f>
        <v>0</v>
      </c>
      <c r="G657">
        <f t="shared" si="44"/>
        <v>0</v>
      </c>
    </row>
    <row r="658" spans="1:7" hidden="1" x14ac:dyDescent="0.25">
      <c r="A658" s="78" t="s">
        <v>2228</v>
      </c>
      <c r="B658" s="79" t="s">
        <v>2229</v>
      </c>
      <c r="C658" s="14"/>
      <c r="D658" s="14"/>
      <c r="E658" s="15"/>
      <c r="F658" s="16"/>
      <c r="G658">
        <f t="shared" si="44"/>
        <v>0</v>
      </c>
    </row>
    <row r="659" spans="1:7" hidden="1" x14ac:dyDescent="0.25">
      <c r="A659" s="85" t="s">
        <v>2230</v>
      </c>
      <c r="B659" s="88" t="s">
        <v>1999</v>
      </c>
      <c r="C659" s="26" t="s">
        <v>37</v>
      </c>
      <c r="D659" s="14"/>
      <c r="E659" s="15"/>
      <c r="F659" s="16">
        <f>+D659*E659</f>
        <v>0</v>
      </c>
      <c r="G659">
        <f t="shared" si="44"/>
        <v>0</v>
      </c>
    </row>
    <row r="660" spans="1:7" hidden="1" x14ac:dyDescent="0.25">
      <c r="A660" s="85" t="s">
        <v>2231</v>
      </c>
      <c r="B660" s="88" t="s">
        <v>2000</v>
      </c>
      <c r="C660" s="26" t="s">
        <v>37</v>
      </c>
      <c r="D660" s="14"/>
      <c r="E660" s="15"/>
      <c r="F660" s="16">
        <f>+D660*E660</f>
        <v>0</v>
      </c>
      <c r="G660">
        <f t="shared" si="44"/>
        <v>0</v>
      </c>
    </row>
    <row r="661" spans="1:7" hidden="1" x14ac:dyDescent="0.25">
      <c r="A661" s="85" t="s">
        <v>2232</v>
      </c>
      <c r="B661" s="88" t="s">
        <v>2003</v>
      </c>
      <c r="C661" s="26" t="s">
        <v>37</v>
      </c>
      <c r="D661" s="14"/>
      <c r="E661" s="15"/>
      <c r="F661" s="16">
        <f>+D661*E661</f>
        <v>0</v>
      </c>
      <c r="G661">
        <f t="shared" si="44"/>
        <v>0</v>
      </c>
    </row>
    <row r="662" spans="1:7" hidden="1" x14ac:dyDescent="0.25">
      <c r="A662" s="85" t="s">
        <v>2233</v>
      </c>
      <c r="B662" s="88" t="s">
        <v>2005</v>
      </c>
      <c r="C662" s="26" t="s">
        <v>37</v>
      </c>
      <c r="D662" s="14"/>
      <c r="E662" s="15"/>
      <c r="F662" s="16">
        <f>+D662*E662</f>
        <v>0</v>
      </c>
      <c r="G662">
        <f t="shared" si="44"/>
        <v>0</v>
      </c>
    </row>
    <row r="663" spans="1:7" hidden="1" x14ac:dyDescent="0.25">
      <c r="A663" s="78" t="s">
        <v>2234</v>
      </c>
      <c r="B663" s="79" t="s">
        <v>2235</v>
      </c>
      <c r="C663" s="14"/>
      <c r="D663" s="14"/>
      <c r="E663" s="15"/>
      <c r="F663" s="16"/>
      <c r="G663">
        <f t="shared" si="44"/>
        <v>0</v>
      </c>
    </row>
    <row r="664" spans="1:7" hidden="1" x14ac:dyDescent="0.25">
      <c r="A664" s="85" t="s">
        <v>2236</v>
      </c>
      <c r="B664" s="88" t="s">
        <v>2032</v>
      </c>
      <c r="C664" s="26" t="s">
        <v>37</v>
      </c>
      <c r="D664" s="14"/>
      <c r="E664" s="15"/>
      <c r="F664" s="16">
        <f>+D664*E664</f>
        <v>0</v>
      </c>
      <c r="G664">
        <f t="shared" si="44"/>
        <v>0</v>
      </c>
    </row>
    <row r="665" spans="1:7" hidden="1" x14ac:dyDescent="0.25">
      <c r="A665" s="85" t="s">
        <v>2237</v>
      </c>
      <c r="B665" s="88" t="s">
        <v>2034</v>
      </c>
      <c r="C665" s="26" t="s">
        <v>37</v>
      </c>
      <c r="D665" s="14"/>
      <c r="E665" s="15"/>
      <c r="F665" s="16">
        <f>+D665*E665</f>
        <v>0</v>
      </c>
      <c r="G665">
        <f t="shared" si="44"/>
        <v>0</v>
      </c>
    </row>
    <row r="666" spans="1:7" hidden="1" x14ac:dyDescent="0.25">
      <c r="A666" s="85" t="s">
        <v>2238</v>
      </c>
      <c r="B666" s="88" t="s">
        <v>2035</v>
      </c>
      <c r="C666" s="26" t="s">
        <v>37</v>
      </c>
      <c r="D666" s="14"/>
      <c r="E666" s="15"/>
      <c r="F666" s="16">
        <f>+D666*E666</f>
        <v>0</v>
      </c>
      <c r="G666">
        <f t="shared" si="44"/>
        <v>0</v>
      </c>
    </row>
    <row r="667" spans="1:7" hidden="1" x14ac:dyDescent="0.25">
      <c r="A667" s="85" t="s">
        <v>2239</v>
      </c>
      <c r="B667" s="88" t="s">
        <v>2038</v>
      </c>
      <c r="C667" s="26" t="s">
        <v>37</v>
      </c>
      <c r="D667" s="14"/>
      <c r="E667" s="15"/>
      <c r="F667" s="16">
        <f>+D667*E667</f>
        <v>0</v>
      </c>
      <c r="G667">
        <f t="shared" si="44"/>
        <v>0</v>
      </c>
    </row>
    <row r="668" spans="1:7" hidden="1" x14ac:dyDescent="0.25">
      <c r="A668" s="85" t="s">
        <v>2240</v>
      </c>
      <c r="B668" s="88" t="s">
        <v>2040</v>
      </c>
      <c r="C668" s="26" t="s">
        <v>37</v>
      </c>
      <c r="D668" s="14"/>
      <c r="E668" s="15"/>
      <c r="F668" s="16">
        <f>+D668*E668</f>
        <v>0</v>
      </c>
      <c r="G668">
        <f t="shared" si="44"/>
        <v>0</v>
      </c>
    </row>
    <row r="669" spans="1:7" hidden="1" x14ac:dyDescent="0.25">
      <c r="A669" s="78" t="s">
        <v>2242</v>
      </c>
      <c r="B669" s="79" t="s">
        <v>2241</v>
      </c>
      <c r="C669" s="14"/>
      <c r="D669" s="14"/>
      <c r="E669" s="15"/>
      <c r="F669" s="16"/>
      <c r="G669">
        <f t="shared" si="44"/>
        <v>0</v>
      </c>
    </row>
    <row r="670" spans="1:7" hidden="1" x14ac:dyDescent="0.25">
      <c r="A670" s="85" t="s">
        <v>2243</v>
      </c>
      <c r="B670" s="88" t="s">
        <v>2101</v>
      </c>
      <c r="C670" s="26" t="s">
        <v>37</v>
      </c>
      <c r="D670" s="14"/>
      <c r="E670" s="15"/>
      <c r="F670" s="16">
        <f>+D670*E670</f>
        <v>0</v>
      </c>
      <c r="G670">
        <f t="shared" si="44"/>
        <v>0</v>
      </c>
    </row>
    <row r="671" spans="1:7" hidden="1" x14ac:dyDescent="0.25">
      <c r="A671" s="85" t="s">
        <v>2244</v>
      </c>
      <c r="B671" s="88" t="s">
        <v>2103</v>
      </c>
      <c r="C671" s="26" t="s">
        <v>37</v>
      </c>
      <c r="D671" s="14"/>
      <c r="E671" s="15"/>
      <c r="F671" s="16">
        <f>+D671*E671</f>
        <v>0</v>
      </c>
      <c r="G671">
        <f t="shared" si="44"/>
        <v>0</v>
      </c>
    </row>
    <row r="672" spans="1:7" hidden="1" x14ac:dyDescent="0.25">
      <c r="A672" s="85" t="s">
        <v>2245</v>
      </c>
      <c r="B672" s="88" t="s">
        <v>2104</v>
      </c>
      <c r="C672" s="26" t="s">
        <v>37</v>
      </c>
      <c r="D672" s="14"/>
      <c r="E672" s="15"/>
      <c r="F672" s="16">
        <f>+D672*E672</f>
        <v>0</v>
      </c>
      <c r="G672">
        <f t="shared" si="44"/>
        <v>0</v>
      </c>
    </row>
    <row r="673" spans="1:7" hidden="1" x14ac:dyDescent="0.25">
      <c r="A673" s="85" t="s">
        <v>2246</v>
      </c>
      <c r="B673" s="88" t="s">
        <v>2107</v>
      </c>
      <c r="C673" s="26" t="s">
        <v>37</v>
      </c>
      <c r="D673" s="14"/>
      <c r="E673" s="15"/>
      <c r="F673" s="16">
        <f>+D673*E673</f>
        <v>0</v>
      </c>
      <c r="G673">
        <f t="shared" si="44"/>
        <v>0</v>
      </c>
    </row>
    <row r="674" spans="1:7" hidden="1" x14ac:dyDescent="0.25">
      <c r="A674" s="78" t="s">
        <v>2247</v>
      </c>
      <c r="B674" s="79" t="s">
        <v>2268</v>
      </c>
      <c r="C674" s="14"/>
      <c r="D674" s="14"/>
      <c r="E674" s="15"/>
      <c r="F674" s="16"/>
      <c r="G674">
        <f t="shared" si="44"/>
        <v>0</v>
      </c>
    </row>
    <row r="675" spans="1:7" hidden="1" x14ac:dyDescent="0.25">
      <c r="A675" s="85" t="s">
        <v>2248</v>
      </c>
      <c r="B675" s="88" t="s">
        <v>2249</v>
      </c>
      <c r="C675" s="26" t="s">
        <v>37</v>
      </c>
      <c r="D675" s="14"/>
      <c r="E675" s="15"/>
      <c r="F675" s="16">
        <f t="shared" ref="F675:F684" si="47">+D675*E675</f>
        <v>0</v>
      </c>
      <c r="G675">
        <f t="shared" si="44"/>
        <v>0</v>
      </c>
    </row>
    <row r="676" spans="1:7" hidden="1" x14ac:dyDescent="0.25">
      <c r="A676" s="85" t="s">
        <v>2259</v>
      </c>
      <c r="B676" s="88" t="s">
        <v>2250</v>
      </c>
      <c r="C676" s="26" t="s">
        <v>37</v>
      </c>
      <c r="D676" s="14"/>
      <c r="E676" s="15"/>
      <c r="F676" s="16">
        <f t="shared" si="47"/>
        <v>0</v>
      </c>
      <c r="G676">
        <f t="shared" ref="G676:G739" si="48">+IF(F676&lt;&gt;0,1,0)</f>
        <v>0</v>
      </c>
    </row>
    <row r="677" spans="1:7" hidden="1" x14ac:dyDescent="0.25">
      <c r="A677" s="85" t="s">
        <v>2260</v>
      </c>
      <c r="B677" s="88" t="s">
        <v>2251</v>
      </c>
      <c r="C677" s="26" t="s">
        <v>37</v>
      </c>
      <c r="D677" s="14"/>
      <c r="E677" s="15"/>
      <c r="F677" s="16">
        <f t="shared" si="47"/>
        <v>0</v>
      </c>
      <c r="G677">
        <f t="shared" si="48"/>
        <v>0</v>
      </c>
    </row>
    <row r="678" spans="1:7" hidden="1" x14ac:dyDescent="0.25">
      <c r="A678" s="85" t="s">
        <v>2261</v>
      </c>
      <c r="B678" s="88" t="s">
        <v>2252</v>
      </c>
      <c r="C678" s="26" t="s">
        <v>37</v>
      </c>
      <c r="D678" s="14"/>
      <c r="E678" s="15"/>
      <c r="F678" s="16">
        <f t="shared" si="47"/>
        <v>0</v>
      </c>
      <c r="G678">
        <f t="shared" si="48"/>
        <v>0</v>
      </c>
    </row>
    <row r="679" spans="1:7" hidden="1" x14ac:dyDescent="0.25">
      <c r="A679" s="85" t="s">
        <v>2262</v>
      </c>
      <c r="B679" s="88" t="s">
        <v>2253</v>
      </c>
      <c r="C679" s="26" t="s">
        <v>37</v>
      </c>
      <c r="D679" s="14"/>
      <c r="E679" s="15"/>
      <c r="F679" s="16">
        <f t="shared" si="47"/>
        <v>0</v>
      </c>
      <c r="G679">
        <f t="shared" si="48"/>
        <v>0</v>
      </c>
    </row>
    <row r="680" spans="1:7" hidden="1" x14ac:dyDescent="0.25">
      <c r="A680" s="85" t="s">
        <v>2263</v>
      </c>
      <c r="B680" s="88" t="s">
        <v>2254</v>
      </c>
      <c r="C680" s="26" t="s">
        <v>37</v>
      </c>
      <c r="D680" s="14"/>
      <c r="E680" s="15"/>
      <c r="F680" s="16">
        <f t="shared" si="47"/>
        <v>0</v>
      </c>
      <c r="G680">
        <f t="shared" si="48"/>
        <v>0</v>
      </c>
    </row>
    <row r="681" spans="1:7" hidden="1" x14ac:dyDescent="0.25">
      <c r="A681" s="85" t="s">
        <v>2264</v>
      </c>
      <c r="B681" s="88" t="s">
        <v>2255</v>
      </c>
      <c r="C681" s="26" t="s">
        <v>37</v>
      </c>
      <c r="D681" s="14"/>
      <c r="E681" s="15"/>
      <c r="F681" s="16">
        <f t="shared" si="47"/>
        <v>0</v>
      </c>
      <c r="G681">
        <f t="shared" si="48"/>
        <v>0</v>
      </c>
    </row>
    <row r="682" spans="1:7" hidden="1" x14ac:dyDescent="0.25">
      <c r="A682" s="85" t="s">
        <v>2265</v>
      </c>
      <c r="B682" s="88" t="s">
        <v>2256</v>
      </c>
      <c r="C682" s="26" t="s">
        <v>37</v>
      </c>
      <c r="D682" s="14"/>
      <c r="E682" s="15"/>
      <c r="F682" s="16">
        <f t="shared" si="47"/>
        <v>0</v>
      </c>
      <c r="G682">
        <f t="shared" si="48"/>
        <v>0</v>
      </c>
    </row>
    <row r="683" spans="1:7" hidden="1" x14ac:dyDescent="0.25">
      <c r="A683" s="85" t="s">
        <v>2266</v>
      </c>
      <c r="B683" s="88" t="s">
        <v>2257</v>
      </c>
      <c r="C683" s="26" t="s">
        <v>37</v>
      </c>
      <c r="D683" s="14"/>
      <c r="E683" s="15"/>
      <c r="F683" s="16">
        <f t="shared" si="47"/>
        <v>0</v>
      </c>
      <c r="G683">
        <f t="shared" si="48"/>
        <v>0</v>
      </c>
    </row>
    <row r="684" spans="1:7" hidden="1" x14ac:dyDescent="0.25">
      <c r="A684" s="85" t="s">
        <v>2267</v>
      </c>
      <c r="B684" s="88" t="s">
        <v>2258</v>
      </c>
      <c r="C684" s="26" t="s">
        <v>37</v>
      </c>
      <c r="D684" s="14"/>
      <c r="E684" s="15"/>
      <c r="F684" s="16">
        <f t="shared" si="47"/>
        <v>0</v>
      </c>
      <c r="G684">
        <f t="shared" si="48"/>
        <v>0</v>
      </c>
    </row>
    <row r="685" spans="1:7" hidden="1" x14ac:dyDescent="0.25">
      <c r="A685" s="78" t="s">
        <v>2269</v>
      </c>
      <c r="B685" s="79" t="s">
        <v>2270</v>
      </c>
      <c r="C685" s="14"/>
      <c r="D685" s="14"/>
      <c r="E685" s="15"/>
      <c r="F685" s="16"/>
      <c r="G685">
        <f t="shared" si="48"/>
        <v>0</v>
      </c>
    </row>
    <row r="686" spans="1:7" hidden="1" x14ac:dyDescent="0.25">
      <c r="A686" s="85" t="s">
        <v>2271</v>
      </c>
      <c r="B686" s="88" t="s">
        <v>2272</v>
      </c>
      <c r="C686" s="14" t="s">
        <v>37</v>
      </c>
      <c r="D686" s="14"/>
      <c r="E686" s="15"/>
      <c r="F686" s="16">
        <f t="shared" ref="F686:F710" si="49">+D686*E686</f>
        <v>0</v>
      </c>
      <c r="G686">
        <f t="shared" si="48"/>
        <v>0</v>
      </c>
    </row>
    <row r="687" spans="1:7" hidden="1" x14ac:dyDescent="0.25">
      <c r="A687" s="85" t="s">
        <v>2297</v>
      </c>
      <c r="B687" s="88" t="s">
        <v>2273</v>
      </c>
      <c r="C687" s="14" t="s">
        <v>37</v>
      </c>
      <c r="D687" s="14"/>
      <c r="E687" s="15"/>
      <c r="F687" s="16">
        <f t="shared" si="49"/>
        <v>0</v>
      </c>
      <c r="G687">
        <f t="shared" si="48"/>
        <v>0</v>
      </c>
    </row>
    <row r="688" spans="1:7" hidden="1" x14ac:dyDescent="0.25">
      <c r="A688" s="85" t="s">
        <v>2298</v>
      </c>
      <c r="B688" s="88" t="s">
        <v>2274</v>
      </c>
      <c r="C688" s="14" t="s">
        <v>37</v>
      </c>
      <c r="D688" s="14"/>
      <c r="E688" s="15"/>
      <c r="F688" s="16">
        <f t="shared" si="49"/>
        <v>0</v>
      </c>
      <c r="G688">
        <f t="shared" si="48"/>
        <v>0</v>
      </c>
    </row>
    <row r="689" spans="1:7" hidden="1" x14ac:dyDescent="0.25">
      <c r="A689" s="85" t="s">
        <v>2299</v>
      </c>
      <c r="B689" s="88" t="s">
        <v>2275</v>
      </c>
      <c r="C689" s="14" t="s">
        <v>37</v>
      </c>
      <c r="D689" s="14"/>
      <c r="E689" s="15"/>
      <c r="F689" s="16">
        <f t="shared" si="49"/>
        <v>0</v>
      </c>
      <c r="G689">
        <f t="shared" si="48"/>
        <v>0</v>
      </c>
    </row>
    <row r="690" spans="1:7" hidden="1" x14ac:dyDescent="0.25">
      <c r="A690" s="85" t="s">
        <v>2300</v>
      </c>
      <c r="B690" s="88" t="s">
        <v>2276</v>
      </c>
      <c r="C690" s="14" t="s">
        <v>37</v>
      </c>
      <c r="D690" s="14"/>
      <c r="E690" s="15"/>
      <c r="F690" s="16">
        <f t="shared" si="49"/>
        <v>0</v>
      </c>
      <c r="G690">
        <f t="shared" si="48"/>
        <v>0</v>
      </c>
    </row>
    <row r="691" spans="1:7" hidden="1" x14ac:dyDescent="0.25">
      <c r="A691" s="85" t="s">
        <v>2301</v>
      </c>
      <c r="B691" s="88" t="s">
        <v>2277</v>
      </c>
      <c r="C691" s="14" t="s">
        <v>37</v>
      </c>
      <c r="D691" s="14"/>
      <c r="E691" s="15"/>
      <c r="F691" s="16">
        <f t="shared" si="49"/>
        <v>0</v>
      </c>
      <c r="G691">
        <f t="shared" si="48"/>
        <v>0</v>
      </c>
    </row>
    <row r="692" spans="1:7" hidden="1" x14ac:dyDescent="0.25">
      <c r="A692" s="85" t="s">
        <v>2302</v>
      </c>
      <c r="B692" s="88" t="s">
        <v>2279</v>
      </c>
      <c r="C692" s="14" t="s">
        <v>37</v>
      </c>
      <c r="D692" s="14"/>
      <c r="E692" s="15"/>
      <c r="F692" s="16">
        <f t="shared" si="49"/>
        <v>0</v>
      </c>
      <c r="G692">
        <f t="shared" si="48"/>
        <v>0</v>
      </c>
    </row>
    <row r="693" spans="1:7" hidden="1" x14ac:dyDescent="0.25">
      <c r="A693" s="85" t="s">
        <v>2303</v>
      </c>
      <c r="B693" s="88" t="s">
        <v>2278</v>
      </c>
      <c r="C693" s="14" t="s">
        <v>37</v>
      </c>
      <c r="D693" s="14"/>
      <c r="E693" s="15"/>
      <c r="F693" s="16">
        <f t="shared" si="49"/>
        <v>0</v>
      </c>
      <c r="G693">
        <f t="shared" si="48"/>
        <v>0</v>
      </c>
    </row>
    <row r="694" spans="1:7" hidden="1" x14ac:dyDescent="0.25">
      <c r="A694" s="85" t="s">
        <v>2304</v>
      </c>
      <c r="B694" s="88" t="s">
        <v>2280</v>
      </c>
      <c r="C694" s="14" t="s">
        <v>37</v>
      </c>
      <c r="D694" s="14"/>
      <c r="E694" s="15"/>
      <c r="F694" s="16">
        <f t="shared" si="49"/>
        <v>0</v>
      </c>
      <c r="G694">
        <f t="shared" si="48"/>
        <v>0</v>
      </c>
    </row>
    <row r="695" spans="1:7" hidden="1" x14ac:dyDescent="0.25">
      <c r="A695" s="85" t="s">
        <v>2305</v>
      </c>
      <c r="B695" s="88" t="s">
        <v>2281</v>
      </c>
      <c r="C695" s="14" t="s">
        <v>37</v>
      </c>
      <c r="D695" s="14"/>
      <c r="E695" s="15"/>
      <c r="F695" s="16">
        <f t="shared" si="49"/>
        <v>0</v>
      </c>
      <c r="G695">
        <f t="shared" si="48"/>
        <v>0</v>
      </c>
    </row>
    <row r="696" spans="1:7" hidden="1" x14ac:dyDescent="0.25">
      <c r="A696" s="85" t="s">
        <v>2306</v>
      </c>
      <c r="B696" s="88" t="s">
        <v>2282</v>
      </c>
      <c r="C696" s="14" t="s">
        <v>37</v>
      </c>
      <c r="D696" s="14"/>
      <c r="E696" s="15"/>
      <c r="F696" s="16">
        <f t="shared" si="49"/>
        <v>0</v>
      </c>
      <c r="G696">
        <f t="shared" si="48"/>
        <v>0</v>
      </c>
    </row>
    <row r="697" spans="1:7" hidden="1" x14ac:dyDescent="0.25">
      <c r="A697" s="85" t="s">
        <v>2307</v>
      </c>
      <c r="B697" s="88" t="s">
        <v>2283</v>
      </c>
      <c r="C697" s="14" t="s">
        <v>37</v>
      </c>
      <c r="D697" s="14"/>
      <c r="E697" s="15"/>
      <c r="F697" s="16">
        <f t="shared" si="49"/>
        <v>0</v>
      </c>
      <c r="G697">
        <f t="shared" si="48"/>
        <v>0</v>
      </c>
    </row>
    <row r="698" spans="1:7" hidden="1" x14ac:dyDescent="0.25">
      <c r="A698" s="85" t="s">
        <v>2308</v>
      </c>
      <c r="B698" s="88" t="s">
        <v>2284</v>
      </c>
      <c r="C698" s="14" t="s">
        <v>37</v>
      </c>
      <c r="D698" s="14"/>
      <c r="E698" s="15"/>
      <c r="F698" s="16">
        <f t="shared" si="49"/>
        <v>0</v>
      </c>
      <c r="G698">
        <f t="shared" si="48"/>
        <v>0</v>
      </c>
    </row>
    <row r="699" spans="1:7" hidden="1" x14ac:dyDescent="0.25">
      <c r="A699" s="85" t="s">
        <v>2309</v>
      </c>
      <c r="B699" s="88" t="s">
        <v>2285</v>
      </c>
      <c r="C699" s="14" t="s">
        <v>37</v>
      </c>
      <c r="D699" s="14"/>
      <c r="E699" s="15"/>
      <c r="F699" s="16">
        <f t="shared" si="49"/>
        <v>0</v>
      </c>
      <c r="G699">
        <f t="shared" si="48"/>
        <v>0</v>
      </c>
    </row>
    <row r="700" spans="1:7" hidden="1" x14ac:dyDescent="0.25">
      <c r="A700" s="85" t="s">
        <v>2310</v>
      </c>
      <c r="B700" s="88" t="s">
        <v>2286</v>
      </c>
      <c r="C700" s="14" t="s">
        <v>37</v>
      </c>
      <c r="D700" s="14"/>
      <c r="E700" s="15"/>
      <c r="F700" s="16">
        <f t="shared" si="49"/>
        <v>0</v>
      </c>
      <c r="G700">
        <f t="shared" si="48"/>
        <v>0</v>
      </c>
    </row>
    <row r="701" spans="1:7" hidden="1" x14ac:dyDescent="0.25">
      <c r="A701" s="85" t="s">
        <v>2311</v>
      </c>
      <c r="B701" s="88" t="s">
        <v>2287</v>
      </c>
      <c r="C701" s="14" t="s">
        <v>37</v>
      </c>
      <c r="D701" s="14"/>
      <c r="E701" s="15"/>
      <c r="F701" s="16">
        <f t="shared" si="49"/>
        <v>0</v>
      </c>
      <c r="G701">
        <f t="shared" si="48"/>
        <v>0</v>
      </c>
    </row>
    <row r="702" spans="1:7" hidden="1" x14ac:dyDescent="0.25">
      <c r="A702" s="85" t="s">
        <v>2312</v>
      </c>
      <c r="B702" s="88" t="s">
        <v>2288</v>
      </c>
      <c r="C702" s="14" t="s">
        <v>37</v>
      </c>
      <c r="D702" s="14"/>
      <c r="E702" s="15"/>
      <c r="F702" s="16">
        <f t="shared" si="49"/>
        <v>0</v>
      </c>
      <c r="G702">
        <f t="shared" si="48"/>
        <v>0</v>
      </c>
    </row>
    <row r="703" spans="1:7" hidden="1" x14ac:dyDescent="0.25">
      <c r="A703" s="85" t="s">
        <v>2313</v>
      </c>
      <c r="B703" s="88" t="s">
        <v>2289</v>
      </c>
      <c r="C703" s="14" t="s">
        <v>37</v>
      </c>
      <c r="D703" s="14"/>
      <c r="E703" s="15"/>
      <c r="F703" s="16">
        <f t="shared" si="49"/>
        <v>0</v>
      </c>
      <c r="G703">
        <f t="shared" si="48"/>
        <v>0</v>
      </c>
    </row>
    <row r="704" spans="1:7" hidden="1" x14ac:dyDescent="0.25">
      <c r="A704" s="85" t="s">
        <v>2314</v>
      </c>
      <c r="B704" s="88" t="s">
        <v>2290</v>
      </c>
      <c r="C704" s="14" t="s">
        <v>37</v>
      </c>
      <c r="D704" s="14"/>
      <c r="E704" s="15"/>
      <c r="F704" s="16">
        <f t="shared" si="49"/>
        <v>0</v>
      </c>
      <c r="G704">
        <f t="shared" si="48"/>
        <v>0</v>
      </c>
    </row>
    <row r="705" spans="1:7" hidden="1" x14ac:dyDescent="0.25">
      <c r="A705" s="85" t="s">
        <v>2315</v>
      </c>
      <c r="B705" s="88" t="s">
        <v>2291</v>
      </c>
      <c r="C705" s="14" t="s">
        <v>37</v>
      </c>
      <c r="D705" s="14"/>
      <c r="E705" s="15"/>
      <c r="F705" s="16">
        <f t="shared" si="49"/>
        <v>0</v>
      </c>
      <c r="G705">
        <f t="shared" si="48"/>
        <v>0</v>
      </c>
    </row>
    <row r="706" spans="1:7" hidden="1" x14ac:dyDescent="0.25">
      <c r="A706" s="85" t="s">
        <v>2316</v>
      </c>
      <c r="B706" s="88" t="s">
        <v>2293</v>
      </c>
      <c r="C706" s="14" t="s">
        <v>37</v>
      </c>
      <c r="D706" s="14"/>
      <c r="E706" s="15"/>
      <c r="F706" s="16">
        <f t="shared" si="49"/>
        <v>0</v>
      </c>
      <c r="G706">
        <f t="shared" si="48"/>
        <v>0</v>
      </c>
    </row>
    <row r="707" spans="1:7" hidden="1" x14ac:dyDescent="0.25">
      <c r="A707" s="85" t="s">
        <v>2317</v>
      </c>
      <c r="B707" s="88" t="s">
        <v>2292</v>
      </c>
      <c r="C707" s="14" t="s">
        <v>37</v>
      </c>
      <c r="D707" s="14"/>
      <c r="E707" s="15"/>
      <c r="F707" s="16">
        <f t="shared" si="49"/>
        <v>0</v>
      </c>
      <c r="G707">
        <f t="shared" si="48"/>
        <v>0</v>
      </c>
    </row>
    <row r="708" spans="1:7" hidden="1" x14ac:dyDescent="0.25">
      <c r="A708" s="85" t="s">
        <v>2318</v>
      </c>
      <c r="B708" s="88" t="s">
        <v>2294</v>
      </c>
      <c r="C708" s="14" t="s">
        <v>37</v>
      </c>
      <c r="D708" s="14"/>
      <c r="E708" s="15"/>
      <c r="F708" s="16">
        <f t="shared" si="49"/>
        <v>0</v>
      </c>
      <c r="G708">
        <f t="shared" si="48"/>
        <v>0</v>
      </c>
    </row>
    <row r="709" spans="1:7" hidden="1" x14ac:dyDescent="0.25">
      <c r="A709" s="85" t="s">
        <v>2319</v>
      </c>
      <c r="B709" s="88" t="s">
        <v>2295</v>
      </c>
      <c r="C709" s="14" t="s">
        <v>37</v>
      </c>
      <c r="D709" s="14"/>
      <c r="E709" s="15"/>
      <c r="F709" s="16">
        <f t="shared" si="49"/>
        <v>0</v>
      </c>
      <c r="G709">
        <f t="shared" si="48"/>
        <v>0</v>
      </c>
    </row>
    <row r="710" spans="1:7" hidden="1" x14ac:dyDescent="0.25">
      <c r="A710" s="85" t="s">
        <v>2320</v>
      </c>
      <c r="B710" s="88" t="s">
        <v>2296</v>
      </c>
      <c r="C710" s="14" t="s">
        <v>37</v>
      </c>
      <c r="D710" s="14"/>
      <c r="E710" s="15"/>
      <c r="F710" s="16">
        <f t="shared" si="49"/>
        <v>0</v>
      </c>
      <c r="G710">
        <f t="shared" si="48"/>
        <v>0</v>
      </c>
    </row>
    <row r="711" spans="1:7" hidden="1" x14ac:dyDescent="0.25">
      <c r="A711" s="61" t="s">
        <v>2321</v>
      </c>
      <c r="B711" s="62" t="s">
        <v>2322</v>
      </c>
      <c r="C711" s="63"/>
      <c r="D711" s="14"/>
      <c r="E711" s="15"/>
      <c r="F711" s="16"/>
      <c r="G711">
        <f t="shared" si="48"/>
        <v>0</v>
      </c>
    </row>
    <row r="712" spans="1:7" hidden="1" x14ac:dyDescent="0.25">
      <c r="A712" s="85" t="s">
        <v>2323</v>
      </c>
      <c r="B712" s="88" t="s">
        <v>2324</v>
      </c>
      <c r="C712" s="14" t="s">
        <v>14</v>
      </c>
      <c r="D712" s="14"/>
      <c r="E712" s="15"/>
      <c r="F712" s="16">
        <f t="shared" ref="F712:F728" si="50">+D712*E712</f>
        <v>0</v>
      </c>
      <c r="G712">
        <f t="shared" si="48"/>
        <v>0</v>
      </c>
    </row>
    <row r="713" spans="1:7" hidden="1" x14ac:dyDescent="0.25">
      <c r="A713" s="85" t="s">
        <v>2336</v>
      </c>
      <c r="B713" s="88" t="s">
        <v>2325</v>
      </c>
      <c r="C713" s="14" t="s">
        <v>14</v>
      </c>
      <c r="D713" s="14"/>
      <c r="E713" s="15"/>
      <c r="F713" s="16">
        <f t="shared" si="50"/>
        <v>0</v>
      </c>
      <c r="G713">
        <f t="shared" si="48"/>
        <v>0</v>
      </c>
    </row>
    <row r="714" spans="1:7" hidden="1" x14ac:dyDescent="0.25">
      <c r="A714" s="85" t="s">
        <v>2337</v>
      </c>
      <c r="B714" s="88" t="s">
        <v>2326</v>
      </c>
      <c r="C714" s="14" t="s">
        <v>14</v>
      </c>
      <c r="D714" s="14"/>
      <c r="E714" s="15"/>
      <c r="F714" s="16">
        <f t="shared" si="50"/>
        <v>0</v>
      </c>
      <c r="G714">
        <f t="shared" si="48"/>
        <v>0</v>
      </c>
    </row>
    <row r="715" spans="1:7" hidden="1" x14ac:dyDescent="0.25">
      <c r="A715" s="85" t="s">
        <v>2338</v>
      </c>
      <c r="B715" s="88" t="s">
        <v>2327</v>
      </c>
      <c r="C715" s="14" t="s">
        <v>14</v>
      </c>
      <c r="D715" s="14"/>
      <c r="E715" s="15"/>
      <c r="F715" s="16">
        <f t="shared" si="50"/>
        <v>0</v>
      </c>
      <c r="G715">
        <f t="shared" si="48"/>
        <v>0</v>
      </c>
    </row>
    <row r="716" spans="1:7" hidden="1" x14ac:dyDescent="0.25">
      <c r="A716" s="85" t="s">
        <v>2339</v>
      </c>
      <c r="B716" s="88" t="s">
        <v>2328</v>
      </c>
      <c r="C716" s="14" t="s">
        <v>14</v>
      </c>
      <c r="D716" s="14"/>
      <c r="E716" s="15"/>
      <c r="F716" s="16">
        <f t="shared" si="50"/>
        <v>0</v>
      </c>
      <c r="G716">
        <f t="shared" si="48"/>
        <v>0</v>
      </c>
    </row>
    <row r="717" spans="1:7" hidden="1" x14ac:dyDescent="0.25">
      <c r="A717" s="85" t="s">
        <v>2340</v>
      </c>
      <c r="B717" s="88" t="s">
        <v>2329</v>
      </c>
      <c r="C717" s="14" t="s">
        <v>14</v>
      </c>
      <c r="D717" s="14"/>
      <c r="E717" s="15"/>
      <c r="F717" s="16">
        <f t="shared" si="50"/>
        <v>0</v>
      </c>
      <c r="G717">
        <f t="shared" si="48"/>
        <v>0</v>
      </c>
    </row>
    <row r="718" spans="1:7" hidden="1" x14ac:dyDescent="0.25">
      <c r="A718" s="85" t="s">
        <v>2341</v>
      </c>
      <c r="B718" s="88" t="s">
        <v>2330</v>
      </c>
      <c r="C718" s="14" t="s">
        <v>14</v>
      </c>
      <c r="D718" s="14"/>
      <c r="E718" s="15"/>
      <c r="F718" s="16">
        <f t="shared" si="50"/>
        <v>0</v>
      </c>
      <c r="G718">
        <f t="shared" si="48"/>
        <v>0</v>
      </c>
    </row>
    <row r="719" spans="1:7" hidden="1" x14ac:dyDescent="0.25">
      <c r="A719" s="85" t="s">
        <v>2342</v>
      </c>
      <c r="B719" s="88" t="s">
        <v>2331</v>
      </c>
      <c r="C719" s="14" t="s">
        <v>14</v>
      </c>
      <c r="D719" s="14"/>
      <c r="E719" s="15"/>
      <c r="F719" s="16">
        <f t="shared" si="50"/>
        <v>0</v>
      </c>
      <c r="G719">
        <f t="shared" si="48"/>
        <v>0</v>
      </c>
    </row>
    <row r="720" spans="1:7" hidden="1" x14ac:dyDescent="0.25">
      <c r="A720" s="85" t="s">
        <v>2343</v>
      </c>
      <c r="B720" s="88" t="s">
        <v>2332</v>
      </c>
      <c r="C720" s="14" t="s">
        <v>14</v>
      </c>
      <c r="D720" s="14"/>
      <c r="E720" s="15"/>
      <c r="F720" s="16">
        <f t="shared" si="50"/>
        <v>0</v>
      </c>
      <c r="G720">
        <f t="shared" si="48"/>
        <v>0</v>
      </c>
    </row>
    <row r="721" spans="1:7" hidden="1" x14ac:dyDescent="0.25">
      <c r="A721" s="85" t="s">
        <v>2344</v>
      </c>
      <c r="B721" s="88" t="s">
        <v>2333</v>
      </c>
      <c r="C721" s="14" t="s">
        <v>14</v>
      </c>
      <c r="D721" s="14"/>
      <c r="E721" s="15"/>
      <c r="F721" s="16">
        <f t="shared" si="50"/>
        <v>0</v>
      </c>
      <c r="G721">
        <f t="shared" si="48"/>
        <v>0</v>
      </c>
    </row>
    <row r="722" spans="1:7" hidden="1" x14ac:dyDescent="0.25">
      <c r="A722" s="85" t="s">
        <v>2345</v>
      </c>
      <c r="B722" s="88" t="s">
        <v>2334</v>
      </c>
      <c r="C722" s="14" t="s">
        <v>14</v>
      </c>
      <c r="D722" s="14"/>
      <c r="E722" s="15"/>
      <c r="F722" s="16">
        <f t="shared" si="50"/>
        <v>0</v>
      </c>
      <c r="G722">
        <f t="shared" si="48"/>
        <v>0</v>
      </c>
    </row>
    <row r="723" spans="1:7" hidden="1" x14ac:dyDescent="0.25">
      <c r="A723" s="85" t="s">
        <v>2346</v>
      </c>
      <c r="B723" s="88" t="s">
        <v>2335</v>
      </c>
      <c r="C723" s="14" t="s">
        <v>14</v>
      </c>
      <c r="D723" s="14"/>
      <c r="E723" s="15"/>
      <c r="F723" s="16">
        <f t="shared" si="50"/>
        <v>0</v>
      </c>
      <c r="G723">
        <f t="shared" si="48"/>
        <v>0</v>
      </c>
    </row>
    <row r="724" spans="1:7" hidden="1" x14ac:dyDescent="0.25">
      <c r="A724" s="85" t="s">
        <v>2348</v>
      </c>
      <c r="B724" s="88" t="s">
        <v>2350</v>
      </c>
      <c r="C724" s="14" t="s">
        <v>14</v>
      </c>
      <c r="D724" s="14"/>
      <c r="E724" s="15"/>
      <c r="F724" s="16">
        <f t="shared" si="50"/>
        <v>0</v>
      </c>
      <c r="G724">
        <f t="shared" si="48"/>
        <v>0</v>
      </c>
    </row>
    <row r="725" spans="1:7" hidden="1" x14ac:dyDescent="0.25">
      <c r="A725" s="85" t="s">
        <v>2349</v>
      </c>
      <c r="B725" s="88" t="s">
        <v>2351</v>
      </c>
      <c r="C725" s="14" t="s">
        <v>14</v>
      </c>
      <c r="D725" s="14"/>
      <c r="E725" s="15"/>
      <c r="F725" s="16">
        <f t="shared" si="50"/>
        <v>0</v>
      </c>
      <c r="G725">
        <f t="shared" si="48"/>
        <v>0</v>
      </c>
    </row>
    <row r="726" spans="1:7" hidden="1" x14ac:dyDescent="0.25">
      <c r="A726" s="85" t="s">
        <v>2352</v>
      </c>
      <c r="B726" s="88" t="s">
        <v>2354</v>
      </c>
      <c r="C726" s="14" t="s">
        <v>14</v>
      </c>
      <c r="D726" s="14"/>
      <c r="E726" s="15"/>
      <c r="F726" s="16">
        <f t="shared" si="50"/>
        <v>0</v>
      </c>
      <c r="G726">
        <f t="shared" si="48"/>
        <v>0</v>
      </c>
    </row>
    <row r="727" spans="1:7" hidden="1" x14ac:dyDescent="0.25">
      <c r="A727" s="85" t="s">
        <v>2353</v>
      </c>
      <c r="B727" s="88" t="s">
        <v>2355</v>
      </c>
      <c r="C727" s="14" t="s">
        <v>14</v>
      </c>
      <c r="D727" s="14"/>
      <c r="E727" s="15"/>
      <c r="F727" s="16">
        <f t="shared" si="50"/>
        <v>0</v>
      </c>
      <c r="G727">
        <f t="shared" si="48"/>
        <v>0</v>
      </c>
    </row>
    <row r="728" spans="1:7" hidden="1" x14ac:dyDescent="0.25">
      <c r="A728" s="85" t="s">
        <v>2357</v>
      </c>
      <c r="B728" s="88" t="s">
        <v>2356</v>
      </c>
      <c r="C728" s="14" t="s">
        <v>14</v>
      </c>
      <c r="D728" s="14"/>
      <c r="E728" s="15"/>
      <c r="F728" s="16">
        <f t="shared" si="50"/>
        <v>0</v>
      </c>
      <c r="G728">
        <f t="shared" si="48"/>
        <v>0</v>
      </c>
    </row>
    <row r="729" spans="1:7" hidden="1" x14ac:dyDescent="0.25">
      <c r="A729" s="61" t="s">
        <v>2359</v>
      </c>
      <c r="B729" s="62" t="s">
        <v>2358</v>
      </c>
      <c r="C729" s="64"/>
      <c r="D729" s="14"/>
      <c r="E729" s="15"/>
      <c r="F729" s="16"/>
      <c r="G729">
        <f t="shared" si="48"/>
        <v>0</v>
      </c>
    </row>
    <row r="730" spans="1:7" hidden="1" x14ac:dyDescent="0.25">
      <c r="A730" s="78" t="s">
        <v>2360</v>
      </c>
      <c r="B730" s="79" t="s">
        <v>2361</v>
      </c>
      <c r="C730" s="14"/>
      <c r="D730" s="14"/>
      <c r="E730" s="15"/>
      <c r="F730" s="16"/>
      <c r="G730">
        <f t="shared" si="48"/>
        <v>0</v>
      </c>
    </row>
    <row r="731" spans="1:7" hidden="1" x14ac:dyDescent="0.25">
      <c r="A731" s="85" t="s">
        <v>2362</v>
      </c>
      <c r="B731" s="88" t="s">
        <v>2363</v>
      </c>
      <c r="C731" s="26" t="s">
        <v>37</v>
      </c>
      <c r="D731" s="14"/>
      <c r="E731" s="15"/>
      <c r="F731" s="16">
        <f t="shared" ref="F731:F741" si="51">+D731*E731</f>
        <v>0</v>
      </c>
      <c r="G731">
        <f t="shared" si="48"/>
        <v>0</v>
      </c>
    </row>
    <row r="732" spans="1:7" hidden="1" x14ac:dyDescent="0.25">
      <c r="A732" s="85" t="s">
        <v>2374</v>
      </c>
      <c r="B732" s="88" t="s">
        <v>2364</v>
      </c>
      <c r="C732" s="26" t="s">
        <v>37</v>
      </c>
      <c r="D732" s="14"/>
      <c r="E732" s="15"/>
      <c r="F732" s="16">
        <f t="shared" si="51"/>
        <v>0</v>
      </c>
      <c r="G732">
        <f t="shared" si="48"/>
        <v>0</v>
      </c>
    </row>
    <row r="733" spans="1:7" hidden="1" x14ac:dyDescent="0.25">
      <c r="A733" s="85" t="s">
        <v>2375</v>
      </c>
      <c r="B733" s="88" t="s">
        <v>2365</v>
      </c>
      <c r="C733" s="26" t="s">
        <v>37</v>
      </c>
      <c r="D733" s="14"/>
      <c r="E733" s="15"/>
      <c r="F733" s="16">
        <f t="shared" si="51"/>
        <v>0</v>
      </c>
      <c r="G733">
        <f t="shared" si="48"/>
        <v>0</v>
      </c>
    </row>
    <row r="734" spans="1:7" hidden="1" x14ac:dyDescent="0.25">
      <c r="A734" s="85" t="s">
        <v>2376</v>
      </c>
      <c r="B734" s="88" t="s">
        <v>2366</v>
      </c>
      <c r="C734" s="26" t="s">
        <v>37</v>
      </c>
      <c r="D734" s="14"/>
      <c r="E734" s="15"/>
      <c r="F734" s="16">
        <f t="shared" si="51"/>
        <v>0</v>
      </c>
      <c r="G734">
        <f t="shared" si="48"/>
        <v>0</v>
      </c>
    </row>
    <row r="735" spans="1:7" hidden="1" x14ac:dyDescent="0.25">
      <c r="A735" s="85" t="s">
        <v>2377</v>
      </c>
      <c r="B735" s="88" t="s">
        <v>2367</v>
      </c>
      <c r="C735" s="26" t="s">
        <v>37</v>
      </c>
      <c r="D735" s="14"/>
      <c r="E735" s="15"/>
      <c r="F735" s="16">
        <f t="shared" si="51"/>
        <v>0</v>
      </c>
      <c r="G735">
        <f t="shared" si="48"/>
        <v>0</v>
      </c>
    </row>
    <row r="736" spans="1:7" hidden="1" x14ac:dyDescent="0.25">
      <c r="A736" s="85" t="s">
        <v>2378</v>
      </c>
      <c r="B736" s="88" t="s">
        <v>2368</v>
      </c>
      <c r="C736" s="26" t="s">
        <v>37</v>
      </c>
      <c r="D736" s="14"/>
      <c r="E736" s="15"/>
      <c r="F736" s="16">
        <f t="shared" si="51"/>
        <v>0</v>
      </c>
      <c r="G736">
        <f t="shared" si="48"/>
        <v>0</v>
      </c>
    </row>
    <row r="737" spans="1:7" hidden="1" x14ac:dyDescent="0.25">
      <c r="A737" s="85" t="s">
        <v>2379</v>
      </c>
      <c r="B737" s="88" t="s">
        <v>2369</v>
      </c>
      <c r="C737" s="26" t="s">
        <v>37</v>
      </c>
      <c r="D737" s="14"/>
      <c r="E737" s="15"/>
      <c r="F737" s="16">
        <f t="shared" si="51"/>
        <v>0</v>
      </c>
      <c r="G737">
        <f t="shared" si="48"/>
        <v>0</v>
      </c>
    </row>
    <row r="738" spans="1:7" hidden="1" x14ac:dyDescent="0.25">
      <c r="A738" s="85" t="s">
        <v>2380</v>
      </c>
      <c r="B738" s="88" t="s">
        <v>2370</v>
      </c>
      <c r="C738" s="26" t="s">
        <v>37</v>
      </c>
      <c r="D738" s="14"/>
      <c r="E738" s="15"/>
      <c r="F738" s="16">
        <f t="shared" si="51"/>
        <v>0</v>
      </c>
      <c r="G738">
        <f t="shared" si="48"/>
        <v>0</v>
      </c>
    </row>
    <row r="739" spans="1:7" hidden="1" x14ac:dyDescent="0.25">
      <c r="A739" s="85" t="s">
        <v>2381</v>
      </c>
      <c r="B739" s="88" t="s">
        <v>2371</v>
      </c>
      <c r="C739" s="26" t="s">
        <v>37</v>
      </c>
      <c r="D739" s="14"/>
      <c r="E739" s="15"/>
      <c r="F739" s="16">
        <f t="shared" si="51"/>
        <v>0</v>
      </c>
      <c r="G739">
        <f t="shared" si="48"/>
        <v>0</v>
      </c>
    </row>
    <row r="740" spans="1:7" hidden="1" x14ac:dyDescent="0.25">
      <c r="A740" s="85" t="s">
        <v>2382</v>
      </c>
      <c r="B740" s="88" t="s">
        <v>2372</v>
      </c>
      <c r="C740" s="26" t="s">
        <v>37</v>
      </c>
      <c r="D740" s="14"/>
      <c r="E740" s="15"/>
      <c r="F740" s="16">
        <f t="shared" si="51"/>
        <v>0</v>
      </c>
      <c r="G740">
        <f t="shared" ref="G740:G803" si="52">+IF(F740&lt;&gt;0,1,0)</f>
        <v>0</v>
      </c>
    </row>
    <row r="741" spans="1:7" hidden="1" x14ac:dyDescent="0.25">
      <c r="A741" s="85" t="s">
        <v>2383</v>
      </c>
      <c r="B741" s="88" t="s">
        <v>2373</v>
      </c>
      <c r="C741" s="26" t="s">
        <v>37</v>
      </c>
      <c r="D741" s="14"/>
      <c r="E741" s="15"/>
      <c r="F741" s="16">
        <f t="shared" si="51"/>
        <v>0</v>
      </c>
      <c r="G741">
        <f t="shared" si="52"/>
        <v>0</v>
      </c>
    </row>
    <row r="742" spans="1:7" hidden="1" x14ac:dyDescent="0.25">
      <c r="A742" s="85" t="s">
        <v>2385</v>
      </c>
      <c r="B742" s="79" t="s">
        <v>2384</v>
      </c>
      <c r="C742" s="26"/>
      <c r="D742" s="14"/>
      <c r="E742" s="15"/>
      <c r="F742" s="16"/>
      <c r="G742">
        <f t="shared" si="52"/>
        <v>0</v>
      </c>
    </row>
    <row r="743" spans="1:7" hidden="1" x14ac:dyDescent="0.25">
      <c r="A743" s="85" t="s">
        <v>2386</v>
      </c>
      <c r="B743" s="88" t="s">
        <v>2363</v>
      </c>
      <c r="C743" s="26" t="s">
        <v>37</v>
      </c>
      <c r="D743" s="14"/>
      <c r="E743" s="15"/>
      <c r="F743" s="16">
        <f t="shared" ref="F743:F753" si="53">+D743*E743</f>
        <v>0</v>
      </c>
      <c r="G743">
        <f t="shared" si="52"/>
        <v>0</v>
      </c>
    </row>
    <row r="744" spans="1:7" hidden="1" x14ac:dyDescent="0.25">
      <c r="A744" s="85" t="s">
        <v>2387</v>
      </c>
      <c r="B744" s="88" t="s">
        <v>2364</v>
      </c>
      <c r="C744" s="26" t="s">
        <v>37</v>
      </c>
      <c r="D744" s="14"/>
      <c r="E744" s="15"/>
      <c r="F744" s="16">
        <f t="shared" si="53"/>
        <v>0</v>
      </c>
      <c r="G744">
        <f t="shared" si="52"/>
        <v>0</v>
      </c>
    </row>
    <row r="745" spans="1:7" hidden="1" x14ac:dyDescent="0.25">
      <c r="A745" s="85" t="s">
        <v>2388</v>
      </c>
      <c r="B745" s="88" t="s">
        <v>2365</v>
      </c>
      <c r="C745" s="26" t="s">
        <v>37</v>
      </c>
      <c r="D745" s="14"/>
      <c r="E745" s="15"/>
      <c r="F745" s="16">
        <f t="shared" si="53"/>
        <v>0</v>
      </c>
      <c r="G745">
        <f t="shared" si="52"/>
        <v>0</v>
      </c>
    </row>
    <row r="746" spans="1:7" hidden="1" x14ac:dyDescent="0.25">
      <c r="A746" s="85" t="s">
        <v>2389</v>
      </c>
      <c r="B746" s="88" t="s">
        <v>2366</v>
      </c>
      <c r="C746" s="26" t="s">
        <v>37</v>
      </c>
      <c r="D746" s="14"/>
      <c r="E746" s="15"/>
      <c r="F746" s="16">
        <f t="shared" si="53"/>
        <v>0</v>
      </c>
      <c r="G746">
        <f t="shared" si="52"/>
        <v>0</v>
      </c>
    </row>
    <row r="747" spans="1:7" hidden="1" x14ac:dyDescent="0.25">
      <c r="A747" s="85" t="s">
        <v>2390</v>
      </c>
      <c r="B747" s="88" t="s">
        <v>2367</v>
      </c>
      <c r="C747" s="26" t="s">
        <v>37</v>
      </c>
      <c r="D747" s="14"/>
      <c r="E747" s="15"/>
      <c r="F747" s="16">
        <f t="shared" si="53"/>
        <v>0</v>
      </c>
      <c r="G747">
        <f t="shared" si="52"/>
        <v>0</v>
      </c>
    </row>
    <row r="748" spans="1:7" hidden="1" x14ac:dyDescent="0.25">
      <c r="A748" s="85" t="s">
        <v>2391</v>
      </c>
      <c r="B748" s="88" t="s">
        <v>2368</v>
      </c>
      <c r="C748" s="26" t="s">
        <v>37</v>
      </c>
      <c r="D748" s="14"/>
      <c r="E748" s="15"/>
      <c r="F748" s="16">
        <f t="shared" si="53"/>
        <v>0</v>
      </c>
      <c r="G748">
        <f t="shared" si="52"/>
        <v>0</v>
      </c>
    </row>
    <row r="749" spans="1:7" hidden="1" x14ac:dyDescent="0.25">
      <c r="A749" s="85" t="s">
        <v>2392</v>
      </c>
      <c r="B749" s="88" t="s">
        <v>2369</v>
      </c>
      <c r="C749" s="26" t="s">
        <v>37</v>
      </c>
      <c r="D749" s="14"/>
      <c r="E749" s="15"/>
      <c r="F749" s="16">
        <f t="shared" si="53"/>
        <v>0</v>
      </c>
      <c r="G749">
        <f t="shared" si="52"/>
        <v>0</v>
      </c>
    </row>
    <row r="750" spans="1:7" hidden="1" x14ac:dyDescent="0.25">
      <c r="A750" s="85" t="s">
        <v>2393</v>
      </c>
      <c r="B750" s="88" t="s">
        <v>2370</v>
      </c>
      <c r="C750" s="26" t="s">
        <v>37</v>
      </c>
      <c r="D750" s="14"/>
      <c r="E750" s="15"/>
      <c r="F750" s="16">
        <f t="shared" si="53"/>
        <v>0</v>
      </c>
      <c r="G750">
        <f t="shared" si="52"/>
        <v>0</v>
      </c>
    </row>
    <row r="751" spans="1:7" hidden="1" x14ac:dyDescent="0.25">
      <c r="A751" s="85" t="s">
        <v>2394</v>
      </c>
      <c r="B751" s="88" t="s">
        <v>2371</v>
      </c>
      <c r="C751" s="26" t="s">
        <v>37</v>
      </c>
      <c r="D751" s="14"/>
      <c r="E751" s="15"/>
      <c r="F751" s="16">
        <f t="shared" si="53"/>
        <v>0</v>
      </c>
      <c r="G751">
        <f t="shared" si="52"/>
        <v>0</v>
      </c>
    </row>
    <row r="752" spans="1:7" hidden="1" x14ac:dyDescent="0.25">
      <c r="A752" s="85" t="s">
        <v>2395</v>
      </c>
      <c r="B752" s="88" t="s">
        <v>2372</v>
      </c>
      <c r="C752" s="26" t="s">
        <v>37</v>
      </c>
      <c r="D752" s="14"/>
      <c r="E752" s="15"/>
      <c r="F752" s="16">
        <f t="shared" si="53"/>
        <v>0</v>
      </c>
      <c r="G752">
        <f t="shared" si="52"/>
        <v>0</v>
      </c>
    </row>
    <row r="753" spans="1:7" hidden="1" x14ac:dyDescent="0.25">
      <c r="A753" s="85" t="s">
        <v>2396</v>
      </c>
      <c r="B753" s="88" t="s">
        <v>2373</v>
      </c>
      <c r="C753" s="26" t="s">
        <v>37</v>
      </c>
      <c r="D753" s="14"/>
      <c r="E753" s="15"/>
      <c r="F753" s="16">
        <f t="shared" si="53"/>
        <v>0</v>
      </c>
      <c r="G753">
        <f t="shared" si="52"/>
        <v>0</v>
      </c>
    </row>
    <row r="754" spans="1:7" hidden="1" x14ac:dyDescent="0.25">
      <c r="A754" s="78" t="s">
        <v>2398</v>
      </c>
      <c r="B754" s="79" t="s">
        <v>2397</v>
      </c>
      <c r="C754" s="26"/>
      <c r="D754" s="14"/>
      <c r="E754" s="15"/>
      <c r="F754" s="16"/>
      <c r="G754">
        <f t="shared" si="52"/>
        <v>0</v>
      </c>
    </row>
    <row r="755" spans="1:7" hidden="1" x14ac:dyDescent="0.25">
      <c r="A755" s="85" t="s">
        <v>2416</v>
      </c>
      <c r="B755" s="88" t="s">
        <v>2399</v>
      </c>
      <c r="C755" s="26" t="s">
        <v>37</v>
      </c>
      <c r="D755" s="14"/>
      <c r="E755" s="15"/>
      <c r="F755" s="16">
        <f t="shared" ref="F755:F784" si="54">+D755*E755</f>
        <v>0</v>
      </c>
      <c r="G755">
        <f t="shared" si="52"/>
        <v>0</v>
      </c>
    </row>
    <row r="756" spans="1:7" hidden="1" x14ac:dyDescent="0.25">
      <c r="A756" s="85" t="s">
        <v>2417</v>
      </c>
      <c r="B756" s="88" t="s">
        <v>2400</v>
      </c>
      <c r="C756" s="26" t="s">
        <v>37</v>
      </c>
      <c r="D756" s="14"/>
      <c r="E756" s="15"/>
      <c r="F756" s="16">
        <f t="shared" si="54"/>
        <v>0</v>
      </c>
      <c r="G756">
        <f t="shared" si="52"/>
        <v>0</v>
      </c>
    </row>
    <row r="757" spans="1:7" hidden="1" x14ac:dyDescent="0.25">
      <c r="A757" s="85" t="s">
        <v>2418</v>
      </c>
      <c r="B757" s="88" t="s">
        <v>2401</v>
      </c>
      <c r="C757" s="26" t="s">
        <v>37</v>
      </c>
      <c r="D757" s="14"/>
      <c r="E757" s="15"/>
      <c r="F757" s="16">
        <f t="shared" si="54"/>
        <v>0</v>
      </c>
      <c r="G757">
        <f t="shared" si="52"/>
        <v>0</v>
      </c>
    </row>
    <row r="758" spans="1:7" hidden="1" x14ac:dyDescent="0.25">
      <c r="A758" s="85" t="s">
        <v>2419</v>
      </c>
      <c r="B758" s="88" t="s">
        <v>2402</v>
      </c>
      <c r="C758" s="26" t="s">
        <v>37</v>
      </c>
      <c r="D758" s="14"/>
      <c r="E758" s="15"/>
      <c r="F758" s="16">
        <f t="shared" si="54"/>
        <v>0</v>
      </c>
      <c r="G758">
        <f t="shared" si="52"/>
        <v>0</v>
      </c>
    </row>
    <row r="759" spans="1:7" hidden="1" x14ac:dyDescent="0.25">
      <c r="A759" s="85" t="s">
        <v>2420</v>
      </c>
      <c r="B759" s="88" t="s">
        <v>2405</v>
      </c>
      <c r="C759" s="26" t="s">
        <v>37</v>
      </c>
      <c r="D759" s="14"/>
      <c r="E759" s="15"/>
      <c r="F759" s="16">
        <f t="shared" si="54"/>
        <v>0</v>
      </c>
      <c r="G759">
        <f t="shared" si="52"/>
        <v>0</v>
      </c>
    </row>
    <row r="760" spans="1:7" hidden="1" x14ac:dyDescent="0.25">
      <c r="A760" s="85" t="s">
        <v>2421</v>
      </c>
      <c r="B760" s="88" t="s">
        <v>2403</v>
      </c>
      <c r="C760" s="26" t="s">
        <v>37</v>
      </c>
      <c r="D760" s="14"/>
      <c r="E760" s="15"/>
      <c r="F760" s="16">
        <f t="shared" si="54"/>
        <v>0</v>
      </c>
      <c r="G760">
        <f t="shared" si="52"/>
        <v>0</v>
      </c>
    </row>
    <row r="761" spans="1:7" hidden="1" x14ac:dyDescent="0.25">
      <c r="A761" s="85" t="s">
        <v>2422</v>
      </c>
      <c r="B761" s="88" t="s">
        <v>2404</v>
      </c>
      <c r="C761" s="26" t="s">
        <v>37</v>
      </c>
      <c r="D761" s="14"/>
      <c r="E761" s="15"/>
      <c r="F761" s="16">
        <f t="shared" si="54"/>
        <v>0</v>
      </c>
      <c r="G761">
        <f t="shared" si="52"/>
        <v>0</v>
      </c>
    </row>
    <row r="762" spans="1:7" hidden="1" x14ac:dyDescent="0.25">
      <c r="A762" s="85" t="s">
        <v>2423</v>
      </c>
      <c r="B762" s="88" t="s">
        <v>2406</v>
      </c>
      <c r="C762" s="26" t="s">
        <v>37</v>
      </c>
      <c r="D762" s="14"/>
      <c r="E762" s="15"/>
      <c r="F762" s="16">
        <f t="shared" si="54"/>
        <v>0</v>
      </c>
      <c r="G762">
        <f t="shared" si="52"/>
        <v>0</v>
      </c>
    </row>
    <row r="763" spans="1:7" hidden="1" x14ac:dyDescent="0.25">
      <c r="A763" s="85" t="s">
        <v>2424</v>
      </c>
      <c r="B763" s="88" t="s">
        <v>2407</v>
      </c>
      <c r="C763" s="26" t="s">
        <v>37</v>
      </c>
      <c r="D763" s="14"/>
      <c r="E763" s="15"/>
      <c r="F763" s="16">
        <f t="shared" si="54"/>
        <v>0</v>
      </c>
      <c r="G763">
        <f t="shared" si="52"/>
        <v>0</v>
      </c>
    </row>
    <row r="764" spans="1:7" hidden="1" x14ac:dyDescent="0.25">
      <c r="A764" s="85" t="s">
        <v>2425</v>
      </c>
      <c r="B764" s="88" t="s">
        <v>2408</v>
      </c>
      <c r="C764" s="26" t="s">
        <v>37</v>
      </c>
      <c r="D764" s="14"/>
      <c r="E764" s="15"/>
      <c r="F764" s="16">
        <f t="shared" si="54"/>
        <v>0</v>
      </c>
      <c r="G764">
        <f t="shared" si="52"/>
        <v>0</v>
      </c>
    </row>
    <row r="765" spans="1:7" hidden="1" x14ac:dyDescent="0.25">
      <c r="A765" s="85" t="s">
        <v>2426</v>
      </c>
      <c r="B765" s="88" t="s">
        <v>2409</v>
      </c>
      <c r="C765" s="26" t="s">
        <v>37</v>
      </c>
      <c r="D765" s="14"/>
      <c r="E765" s="15"/>
      <c r="F765" s="16">
        <f t="shared" si="54"/>
        <v>0</v>
      </c>
      <c r="G765">
        <f t="shared" si="52"/>
        <v>0</v>
      </c>
    </row>
    <row r="766" spans="1:7" hidden="1" x14ac:dyDescent="0.25">
      <c r="A766" s="85" t="s">
        <v>2427</v>
      </c>
      <c r="B766" s="88" t="s">
        <v>2410</v>
      </c>
      <c r="C766" s="26" t="s">
        <v>37</v>
      </c>
      <c r="D766" s="14"/>
      <c r="E766" s="15"/>
      <c r="F766" s="16">
        <f t="shared" si="54"/>
        <v>0</v>
      </c>
      <c r="G766">
        <f t="shared" si="52"/>
        <v>0</v>
      </c>
    </row>
    <row r="767" spans="1:7" hidden="1" x14ac:dyDescent="0.25">
      <c r="A767" s="85" t="s">
        <v>2428</v>
      </c>
      <c r="B767" s="88" t="s">
        <v>2411</v>
      </c>
      <c r="C767" s="26" t="s">
        <v>37</v>
      </c>
      <c r="D767" s="14"/>
      <c r="E767" s="15"/>
      <c r="F767" s="16">
        <f t="shared" si="54"/>
        <v>0</v>
      </c>
      <c r="G767">
        <f t="shared" si="52"/>
        <v>0</v>
      </c>
    </row>
    <row r="768" spans="1:7" hidden="1" x14ac:dyDescent="0.25">
      <c r="A768" s="85" t="s">
        <v>2429</v>
      </c>
      <c r="B768" s="88" t="s">
        <v>2412</v>
      </c>
      <c r="C768" s="26" t="s">
        <v>37</v>
      </c>
      <c r="D768" s="14"/>
      <c r="E768" s="15"/>
      <c r="F768" s="16">
        <f t="shared" si="54"/>
        <v>0</v>
      </c>
      <c r="G768">
        <f t="shared" si="52"/>
        <v>0</v>
      </c>
    </row>
    <row r="769" spans="1:7" hidden="1" x14ac:dyDescent="0.25">
      <c r="A769" s="85" t="s">
        <v>2430</v>
      </c>
      <c r="B769" s="88" t="s">
        <v>2413</v>
      </c>
      <c r="C769" s="26" t="s">
        <v>37</v>
      </c>
      <c r="D769" s="14"/>
      <c r="E769" s="15"/>
      <c r="F769" s="16">
        <f t="shared" si="54"/>
        <v>0</v>
      </c>
      <c r="G769">
        <f t="shared" si="52"/>
        <v>0</v>
      </c>
    </row>
    <row r="770" spans="1:7" hidden="1" x14ac:dyDescent="0.25">
      <c r="A770" s="85" t="s">
        <v>2431</v>
      </c>
      <c r="B770" s="88" t="s">
        <v>2414</v>
      </c>
      <c r="C770" s="26" t="s">
        <v>37</v>
      </c>
      <c r="D770" s="14"/>
      <c r="E770" s="15"/>
      <c r="F770" s="16">
        <f t="shared" si="54"/>
        <v>0</v>
      </c>
      <c r="G770">
        <f t="shared" si="52"/>
        <v>0</v>
      </c>
    </row>
    <row r="771" spans="1:7" hidden="1" x14ac:dyDescent="0.25">
      <c r="A771" s="85" t="s">
        <v>2432</v>
      </c>
      <c r="B771" s="88" t="s">
        <v>2415</v>
      </c>
      <c r="C771" s="26" t="s">
        <v>37</v>
      </c>
      <c r="D771" s="14"/>
      <c r="E771" s="15"/>
      <c r="F771" s="16">
        <f t="shared" si="54"/>
        <v>0</v>
      </c>
      <c r="G771">
        <f t="shared" si="52"/>
        <v>0</v>
      </c>
    </row>
    <row r="772" spans="1:7" hidden="1" x14ac:dyDescent="0.25">
      <c r="A772" s="85" t="s">
        <v>2441</v>
      </c>
      <c r="B772" s="88" t="s">
        <v>2433</v>
      </c>
      <c r="C772" s="26" t="s">
        <v>37</v>
      </c>
      <c r="D772" s="14"/>
      <c r="E772" s="15"/>
      <c r="F772" s="16">
        <f t="shared" si="54"/>
        <v>0</v>
      </c>
      <c r="G772">
        <f t="shared" si="52"/>
        <v>0</v>
      </c>
    </row>
    <row r="773" spans="1:7" hidden="1" x14ac:dyDescent="0.25">
      <c r="A773" s="85" t="s">
        <v>2442</v>
      </c>
      <c r="B773" s="88" t="s">
        <v>2434</v>
      </c>
      <c r="C773" s="26" t="s">
        <v>37</v>
      </c>
      <c r="D773" s="14"/>
      <c r="E773" s="15"/>
      <c r="F773" s="16">
        <f t="shared" si="54"/>
        <v>0</v>
      </c>
      <c r="G773">
        <f t="shared" si="52"/>
        <v>0</v>
      </c>
    </row>
    <row r="774" spans="1:7" hidden="1" x14ac:dyDescent="0.25">
      <c r="A774" s="85" t="s">
        <v>2443</v>
      </c>
      <c r="B774" s="88" t="s">
        <v>2435</v>
      </c>
      <c r="C774" s="26" t="s">
        <v>37</v>
      </c>
      <c r="D774" s="14"/>
      <c r="E774" s="15"/>
      <c r="F774" s="16">
        <f t="shared" si="54"/>
        <v>0</v>
      </c>
      <c r="G774">
        <f t="shared" si="52"/>
        <v>0</v>
      </c>
    </row>
    <row r="775" spans="1:7" hidden="1" x14ac:dyDescent="0.25">
      <c r="A775" s="85" t="s">
        <v>2444</v>
      </c>
      <c r="B775" s="88" t="s">
        <v>2436</v>
      </c>
      <c r="C775" s="26" t="s">
        <v>37</v>
      </c>
      <c r="D775" s="14"/>
      <c r="E775" s="15"/>
      <c r="F775" s="16">
        <f t="shared" si="54"/>
        <v>0</v>
      </c>
      <c r="G775">
        <f t="shared" si="52"/>
        <v>0</v>
      </c>
    </row>
    <row r="776" spans="1:7" hidden="1" x14ac:dyDescent="0.25">
      <c r="A776" s="85" t="s">
        <v>2445</v>
      </c>
      <c r="B776" s="88" t="s">
        <v>2437</v>
      </c>
      <c r="C776" s="26" t="s">
        <v>37</v>
      </c>
      <c r="D776" s="14"/>
      <c r="E776" s="15"/>
      <c r="F776" s="16">
        <f t="shared" si="54"/>
        <v>0</v>
      </c>
      <c r="G776">
        <f t="shared" si="52"/>
        <v>0</v>
      </c>
    </row>
    <row r="777" spans="1:7" hidden="1" x14ac:dyDescent="0.25">
      <c r="A777" s="85" t="s">
        <v>2446</v>
      </c>
      <c r="B777" s="88" t="s">
        <v>2438</v>
      </c>
      <c r="C777" s="26" t="s">
        <v>37</v>
      </c>
      <c r="D777" s="14"/>
      <c r="E777" s="15"/>
      <c r="F777" s="16">
        <f t="shared" si="54"/>
        <v>0</v>
      </c>
      <c r="G777">
        <f t="shared" si="52"/>
        <v>0</v>
      </c>
    </row>
    <row r="778" spans="1:7" hidden="1" x14ac:dyDescent="0.25">
      <c r="A778" s="85" t="s">
        <v>2447</v>
      </c>
      <c r="B778" s="88" t="s">
        <v>2439</v>
      </c>
      <c r="C778" s="26" t="s">
        <v>37</v>
      </c>
      <c r="D778" s="14"/>
      <c r="E778" s="15"/>
      <c r="F778" s="16">
        <f t="shared" si="54"/>
        <v>0</v>
      </c>
      <c r="G778">
        <f t="shared" si="52"/>
        <v>0</v>
      </c>
    </row>
    <row r="779" spans="1:7" hidden="1" x14ac:dyDescent="0.25">
      <c r="A779" s="85" t="s">
        <v>2448</v>
      </c>
      <c r="B779" s="88" t="s">
        <v>2440</v>
      </c>
      <c r="C779" s="26" t="s">
        <v>37</v>
      </c>
      <c r="D779" s="14"/>
      <c r="E779" s="15"/>
      <c r="F779" s="16">
        <f t="shared" si="54"/>
        <v>0</v>
      </c>
      <c r="G779">
        <f t="shared" si="52"/>
        <v>0</v>
      </c>
    </row>
    <row r="780" spans="1:7" hidden="1" x14ac:dyDescent="0.25">
      <c r="A780" s="85" t="s">
        <v>2454</v>
      </c>
      <c r="B780" s="88" t="s">
        <v>2449</v>
      </c>
      <c r="C780" s="26" t="s">
        <v>37</v>
      </c>
      <c r="D780" s="14"/>
      <c r="E780" s="15"/>
      <c r="F780" s="16">
        <f t="shared" si="54"/>
        <v>0</v>
      </c>
      <c r="G780">
        <f t="shared" si="52"/>
        <v>0</v>
      </c>
    </row>
    <row r="781" spans="1:7" hidden="1" x14ac:dyDescent="0.25">
      <c r="A781" s="85" t="s">
        <v>2455</v>
      </c>
      <c r="B781" s="88" t="s">
        <v>2450</v>
      </c>
      <c r="C781" s="26" t="s">
        <v>37</v>
      </c>
      <c r="D781" s="14"/>
      <c r="E781" s="15"/>
      <c r="F781" s="16">
        <f t="shared" si="54"/>
        <v>0</v>
      </c>
      <c r="G781">
        <f t="shared" si="52"/>
        <v>0</v>
      </c>
    </row>
    <row r="782" spans="1:7" hidden="1" x14ac:dyDescent="0.25">
      <c r="A782" s="85" t="s">
        <v>2456</v>
      </c>
      <c r="B782" s="88" t="s">
        <v>2451</v>
      </c>
      <c r="C782" s="26" t="s">
        <v>37</v>
      </c>
      <c r="D782" s="14"/>
      <c r="E782" s="15"/>
      <c r="F782" s="16">
        <f t="shared" si="54"/>
        <v>0</v>
      </c>
      <c r="G782">
        <f t="shared" si="52"/>
        <v>0</v>
      </c>
    </row>
    <row r="783" spans="1:7" hidden="1" x14ac:dyDescent="0.25">
      <c r="A783" s="85" t="s">
        <v>2457</v>
      </c>
      <c r="B783" s="88" t="s">
        <v>2452</v>
      </c>
      <c r="C783" s="26" t="s">
        <v>37</v>
      </c>
      <c r="D783" s="14"/>
      <c r="E783" s="15"/>
      <c r="F783" s="16">
        <f t="shared" si="54"/>
        <v>0</v>
      </c>
      <c r="G783">
        <f t="shared" si="52"/>
        <v>0</v>
      </c>
    </row>
    <row r="784" spans="1:7" hidden="1" x14ac:dyDescent="0.25">
      <c r="A784" s="85" t="s">
        <v>2458</v>
      </c>
      <c r="B784" s="88" t="s">
        <v>2453</v>
      </c>
      <c r="C784" s="26" t="s">
        <v>37</v>
      </c>
      <c r="D784" s="14"/>
      <c r="E784" s="15"/>
      <c r="F784" s="16">
        <f t="shared" si="54"/>
        <v>0</v>
      </c>
      <c r="G784">
        <f t="shared" si="52"/>
        <v>0</v>
      </c>
    </row>
    <row r="785" spans="1:7" hidden="1" x14ac:dyDescent="0.25">
      <c r="A785" s="78" t="s">
        <v>2459</v>
      </c>
      <c r="B785" s="79" t="s">
        <v>2461</v>
      </c>
      <c r="C785" s="26"/>
      <c r="D785" s="14"/>
      <c r="E785" s="15"/>
      <c r="F785" s="16"/>
      <c r="G785">
        <f t="shared" si="52"/>
        <v>0</v>
      </c>
    </row>
    <row r="786" spans="1:7" hidden="1" x14ac:dyDescent="0.25">
      <c r="A786" s="85" t="s">
        <v>2460</v>
      </c>
      <c r="B786" s="303" t="s">
        <v>2462</v>
      </c>
      <c r="C786" s="26" t="s">
        <v>37</v>
      </c>
      <c r="D786" s="14"/>
      <c r="E786" s="15"/>
      <c r="F786" s="16">
        <f t="shared" ref="F786:F804" si="55">+D786*E786</f>
        <v>0</v>
      </c>
      <c r="G786">
        <f t="shared" si="52"/>
        <v>0</v>
      </c>
    </row>
    <row r="787" spans="1:7" hidden="1" x14ac:dyDescent="0.25">
      <c r="A787" s="85" t="s">
        <v>2481</v>
      </c>
      <c r="B787" s="303" t="s">
        <v>2463</v>
      </c>
      <c r="C787" s="26" t="s">
        <v>37</v>
      </c>
      <c r="D787" s="14"/>
      <c r="E787" s="15"/>
      <c r="F787" s="16">
        <f t="shared" si="55"/>
        <v>0</v>
      </c>
      <c r="G787">
        <f t="shared" si="52"/>
        <v>0</v>
      </c>
    </row>
    <row r="788" spans="1:7" hidden="1" x14ac:dyDescent="0.25">
      <c r="A788" s="85" t="s">
        <v>2482</v>
      </c>
      <c r="B788" s="304" t="s">
        <v>2464</v>
      </c>
      <c r="C788" s="26" t="s">
        <v>37</v>
      </c>
      <c r="D788" s="14"/>
      <c r="E788" s="15"/>
      <c r="F788" s="16">
        <f t="shared" si="55"/>
        <v>0</v>
      </c>
      <c r="G788">
        <f t="shared" si="52"/>
        <v>0</v>
      </c>
    </row>
    <row r="789" spans="1:7" hidden="1" x14ac:dyDescent="0.25">
      <c r="A789" s="85" t="s">
        <v>2483</v>
      </c>
      <c r="B789" s="304" t="s">
        <v>2465</v>
      </c>
      <c r="C789" s="26" t="s">
        <v>37</v>
      </c>
      <c r="D789" s="14"/>
      <c r="E789" s="15"/>
      <c r="F789" s="16">
        <f t="shared" si="55"/>
        <v>0</v>
      </c>
      <c r="G789">
        <f t="shared" si="52"/>
        <v>0</v>
      </c>
    </row>
    <row r="790" spans="1:7" hidden="1" x14ac:dyDescent="0.25">
      <c r="A790" s="85" t="s">
        <v>2484</v>
      </c>
      <c r="B790" s="304" t="s">
        <v>2466</v>
      </c>
      <c r="C790" s="26" t="s">
        <v>37</v>
      </c>
      <c r="D790" s="14"/>
      <c r="E790" s="15"/>
      <c r="F790" s="16">
        <f t="shared" si="55"/>
        <v>0</v>
      </c>
      <c r="G790">
        <f t="shared" si="52"/>
        <v>0</v>
      </c>
    </row>
    <row r="791" spans="1:7" hidden="1" x14ac:dyDescent="0.25">
      <c r="A791" s="85" t="s">
        <v>2485</v>
      </c>
      <c r="B791" s="304" t="s">
        <v>2467</v>
      </c>
      <c r="C791" s="26" t="s">
        <v>37</v>
      </c>
      <c r="D791" s="14"/>
      <c r="E791" s="15"/>
      <c r="F791" s="16">
        <f t="shared" si="55"/>
        <v>0</v>
      </c>
      <c r="G791">
        <f t="shared" si="52"/>
        <v>0</v>
      </c>
    </row>
    <row r="792" spans="1:7" hidden="1" x14ac:dyDescent="0.25">
      <c r="A792" s="85" t="s">
        <v>2486</v>
      </c>
      <c r="B792" s="304" t="s">
        <v>2468</v>
      </c>
      <c r="C792" s="26" t="s">
        <v>37</v>
      </c>
      <c r="D792" s="14"/>
      <c r="E792" s="15"/>
      <c r="F792" s="16">
        <f t="shared" si="55"/>
        <v>0</v>
      </c>
      <c r="G792">
        <f t="shared" si="52"/>
        <v>0</v>
      </c>
    </row>
    <row r="793" spans="1:7" hidden="1" x14ac:dyDescent="0.25">
      <c r="A793" s="85" t="s">
        <v>2487</v>
      </c>
      <c r="B793" s="304" t="s">
        <v>2470</v>
      </c>
      <c r="C793" s="26" t="s">
        <v>37</v>
      </c>
      <c r="D793" s="14"/>
      <c r="E793" s="15"/>
      <c r="F793" s="16">
        <f t="shared" si="55"/>
        <v>0</v>
      </c>
      <c r="G793">
        <f t="shared" si="52"/>
        <v>0</v>
      </c>
    </row>
    <row r="794" spans="1:7" hidden="1" x14ac:dyDescent="0.25">
      <c r="A794" s="85" t="s">
        <v>2488</v>
      </c>
      <c r="B794" s="304" t="s">
        <v>2469</v>
      </c>
      <c r="C794" s="26" t="s">
        <v>37</v>
      </c>
      <c r="D794" s="14"/>
      <c r="E794" s="15"/>
      <c r="F794" s="16">
        <f t="shared" si="55"/>
        <v>0</v>
      </c>
      <c r="G794">
        <f t="shared" si="52"/>
        <v>0</v>
      </c>
    </row>
    <row r="795" spans="1:7" hidden="1" x14ac:dyDescent="0.25">
      <c r="A795" s="85" t="s">
        <v>2489</v>
      </c>
      <c r="B795" s="304" t="s">
        <v>2471</v>
      </c>
      <c r="C795" s="26" t="s">
        <v>37</v>
      </c>
      <c r="D795" s="14"/>
      <c r="E795" s="15"/>
      <c r="F795" s="16">
        <f t="shared" si="55"/>
        <v>0</v>
      </c>
      <c r="G795">
        <f t="shared" si="52"/>
        <v>0</v>
      </c>
    </row>
    <row r="796" spans="1:7" hidden="1" x14ac:dyDescent="0.25">
      <c r="A796" s="85" t="s">
        <v>2490</v>
      </c>
      <c r="B796" s="304" t="s">
        <v>2472</v>
      </c>
      <c r="C796" s="26" t="s">
        <v>37</v>
      </c>
      <c r="D796" s="14"/>
      <c r="E796" s="15"/>
      <c r="F796" s="16">
        <f t="shared" si="55"/>
        <v>0</v>
      </c>
      <c r="G796">
        <f t="shared" si="52"/>
        <v>0</v>
      </c>
    </row>
    <row r="797" spans="1:7" hidden="1" x14ac:dyDescent="0.25">
      <c r="A797" s="85" t="s">
        <v>2491</v>
      </c>
      <c r="B797" s="304" t="s">
        <v>2473</v>
      </c>
      <c r="C797" s="26" t="s">
        <v>37</v>
      </c>
      <c r="D797" s="14"/>
      <c r="E797" s="15"/>
      <c r="F797" s="16">
        <f t="shared" si="55"/>
        <v>0</v>
      </c>
      <c r="G797">
        <f t="shared" si="52"/>
        <v>0</v>
      </c>
    </row>
    <row r="798" spans="1:7" hidden="1" x14ac:dyDescent="0.25">
      <c r="A798" s="85" t="s">
        <v>2492</v>
      </c>
      <c r="B798" s="304" t="s">
        <v>2474</v>
      </c>
      <c r="C798" s="26" t="s">
        <v>37</v>
      </c>
      <c r="D798" s="14"/>
      <c r="E798" s="15"/>
      <c r="F798" s="16">
        <f t="shared" si="55"/>
        <v>0</v>
      </c>
      <c r="G798">
        <f t="shared" si="52"/>
        <v>0</v>
      </c>
    </row>
    <row r="799" spans="1:7" hidden="1" x14ac:dyDescent="0.25">
      <c r="A799" s="85" t="s">
        <v>2493</v>
      </c>
      <c r="B799" s="304" t="s">
        <v>2475</v>
      </c>
      <c r="C799" s="26" t="s">
        <v>37</v>
      </c>
      <c r="D799" s="14"/>
      <c r="E799" s="15"/>
      <c r="F799" s="16">
        <f t="shared" si="55"/>
        <v>0</v>
      </c>
      <c r="G799">
        <f t="shared" si="52"/>
        <v>0</v>
      </c>
    </row>
    <row r="800" spans="1:7" hidden="1" x14ac:dyDescent="0.25">
      <c r="A800" s="85" t="s">
        <v>2494</v>
      </c>
      <c r="B800" s="304" t="s">
        <v>2476</v>
      </c>
      <c r="C800" s="26" t="s">
        <v>37</v>
      </c>
      <c r="D800" s="14"/>
      <c r="E800" s="15"/>
      <c r="F800" s="16">
        <f t="shared" si="55"/>
        <v>0</v>
      </c>
      <c r="G800">
        <f t="shared" si="52"/>
        <v>0</v>
      </c>
    </row>
    <row r="801" spans="1:7" hidden="1" x14ac:dyDescent="0.25">
      <c r="A801" s="85" t="s">
        <v>2495</v>
      </c>
      <c r="B801" s="304" t="s">
        <v>2477</v>
      </c>
      <c r="C801" s="26" t="s">
        <v>37</v>
      </c>
      <c r="D801" s="14"/>
      <c r="E801" s="15"/>
      <c r="F801" s="16">
        <f t="shared" si="55"/>
        <v>0</v>
      </c>
      <c r="G801">
        <f t="shared" si="52"/>
        <v>0</v>
      </c>
    </row>
    <row r="802" spans="1:7" hidden="1" x14ac:dyDescent="0.25">
      <c r="A802" s="85" t="s">
        <v>2496</v>
      </c>
      <c r="B802" s="303" t="s">
        <v>2478</v>
      </c>
      <c r="C802" s="26" t="s">
        <v>37</v>
      </c>
      <c r="D802" s="14"/>
      <c r="E802" s="15"/>
      <c r="F802" s="16">
        <f t="shared" si="55"/>
        <v>0</v>
      </c>
      <c r="G802">
        <f t="shared" si="52"/>
        <v>0</v>
      </c>
    </row>
    <row r="803" spans="1:7" hidden="1" x14ac:dyDescent="0.25">
      <c r="A803" s="85" t="s">
        <v>2497</v>
      </c>
      <c r="B803" s="303" t="s">
        <v>2479</v>
      </c>
      <c r="C803" s="26" t="s">
        <v>37</v>
      </c>
      <c r="D803" s="14"/>
      <c r="E803" s="15"/>
      <c r="F803" s="16">
        <f t="shared" si="55"/>
        <v>0</v>
      </c>
      <c r="G803">
        <f t="shared" si="52"/>
        <v>0</v>
      </c>
    </row>
    <row r="804" spans="1:7" hidden="1" x14ac:dyDescent="0.25">
      <c r="A804" s="85" t="s">
        <v>2498</v>
      </c>
      <c r="B804" s="303" t="s">
        <v>2480</v>
      </c>
      <c r="C804" s="26" t="s">
        <v>37</v>
      </c>
      <c r="D804" s="14"/>
      <c r="E804" s="15"/>
      <c r="F804" s="16">
        <f t="shared" si="55"/>
        <v>0</v>
      </c>
      <c r="G804">
        <f t="shared" ref="G804:G867" si="56">+IF(F804&lt;&gt;0,1,0)</f>
        <v>0</v>
      </c>
    </row>
    <row r="805" spans="1:7" hidden="1" x14ac:dyDescent="0.25">
      <c r="A805" s="78" t="s">
        <v>2499</v>
      </c>
      <c r="B805" s="79" t="s">
        <v>2500</v>
      </c>
      <c r="C805" s="26"/>
      <c r="D805" s="14"/>
      <c r="E805" s="15"/>
      <c r="F805" s="16"/>
      <c r="G805">
        <f t="shared" si="56"/>
        <v>0</v>
      </c>
    </row>
    <row r="806" spans="1:7" hidden="1" x14ac:dyDescent="0.25">
      <c r="A806" s="78" t="s">
        <v>2501</v>
      </c>
      <c r="B806" s="79" t="s">
        <v>2502</v>
      </c>
      <c r="C806" s="26"/>
      <c r="D806" s="14"/>
      <c r="E806" s="15"/>
      <c r="F806" s="16"/>
      <c r="G806">
        <f t="shared" si="56"/>
        <v>0</v>
      </c>
    </row>
    <row r="807" spans="1:7" hidden="1" x14ac:dyDescent="0.25">
      <c r="A807" s="85" t="s">
        <v>2512</v>
      </c>
      <c r="B807" s="88" t="s">
        <v>2503</v>
      </c>
      <c r="C807" s="26" t="s">
        <v>37</v>
      </c>
      <c r="D807" s="14"/>
      <c r="E807" s="15"/>
      <c r="F807" s="16">
        <f t="shared" ref="F807:F817" si="57">+D807*E807</f>
        <v>0</v>
      </c>
      <c r="G807">
        <f t="shared" si="56"/>
        <v>0</v>
      </c>
    </row>
    <row r="808" spans="1:7" hidden="1" x14ac:dyDescent="0.25">
      <c r="A808" s="85" t="s">
        <v>2513</v>
      </c>
      <c r="B808" s="88" t="s">
        <v>2504</v>
      </c>
      <c r="C808" s="26" t="s">
        <v>37</v>
      </c>
      <c r="D808" s="14"/>
      <c r="E808" s="15"/>
      <c r="F808" s="16">
        <f t="shared" si="57"/>
        <v>0</v>
      </c>
      <c r="G808">
        <f t="shared" si="56"/>
        <v>0</v>
      </c>
    </row>
    <row r="809" spans="1:7" hidden="1" x14ac:dyDescent="0.25">
      <c r="A809" s="85" t="s">
        <v>2514</v>
      </c>
      <c r="B809" s="88" t="s">
        <v>2505</v>
      </c>
      <c r="C809" s="26" t="s">
        <v>37</v>
      </c>
      <c r="D809" s="14"/>
      <c r="E809" s="15"/>
      <c r="F809" s="16">
        <f t="shared" si="57"/>
        <v>0</v>
      </c>
      <c r="G809">
        <f t="shared" si="56"/>
        <v>0</v>
      </c>
    </row>
    <row r="810" spans="1:7" hidden="1" x14ac:dyDescent="0.25">
      <c r="A810" s="85" t="s">
        <v>2515</v>
      </c>
      <c r="B810" s="88" t="s">
        <v>2506</v>
      </c>
      <c r="C810" s="26" t="s">
        <v>37</v>
      </c>
      <c r="D810" s="14"/>
      <c r="E810" s="15"/>
      <c r="F810" s="16">
        <f t="shared" si="57"/>
        <v>0</v>
      </c>
      <c r="G810">
        <f t="shared" si="56"/>
        <v>0</v>
      </c>
    </row>
    <row r="811" spans="1:7" hidden="1" x14ac:dyDescent="0.25">
      <c r="A811" s="85" t="s">
        <v>2516</v>
      </c>
      <c r="B811" s="88" t="s">
        <v>2507</v>
      </c>
      <c r="C811" s="26" t="s">
        <v>37</v>
      </c>
      <c r="D811" s="14"/>
      <c r="E811" s="15"/>
      <c r="F811" s="16">
        <f t="shared" si="57"/>
        <v>0</v>
      </c>
      <c r="G811">
        <f t="shared" si="56"/>
        <v>0</v>
      </c>
    </row>
    <row r="812" spans="1:7" hidden="1" x14ac:dyDescent="0.25">
      <c r="A812" s="85" t="s">
        <v>2517</v>
      </c>
      <c r="B812" s="88" t="s">
        <v>2508</v>
      </c>
      <c r="C812" s="26" t="s">
        <v>37</v>
      </c>
      <c r="D812" s="14"/>
      <c r="E812" s="15"/>
      <c r="F812" s="16">
        <f t="shared" si="57"/>
        <v>0</v>
      </c>
      <c r="G812">
        <f t="shared" si="56"/>
        <v>0</v>
      </c>
    </row>
    <row r="813" spans="1:7" hidden="1" x14ac:dyDescent="0.25">
      <c r="A813" s="85" t="s">
        <v>2518</v>
      </c>
      <c r="B813" s="88" t="s">
        <v>2509</v>
      </c>
      <c r="C813" s="26" t="s">
        <v>37</v>
      </c>
      <c r="D813" s="14"/>
      <c r="E813" s="15"/>
      <c r="F813" s="16">
        <f t="shared" si="57"/>
        <v>0</v>
      </c>
      <c r="G813">
        <f t="shared" si="56"/>
        <v>0</v>
      </c>
    </row>
    <row r="814" spans="1:7" hidden="1" x14ac:dyDescent="0.25">
      <c r="A814" s="85" t="s">
        <v>2519</v>
      </c>
      <c r="B814" s="88" t="s">
        <v>2510</v>
      </c>
      <c r="C814" s="26" t="s">
        <v>37</v>
      </c>
      <c r="D814" s="14"/>
      <c r="E814" s="15"/>
      <c r="F814" s="16">
        <f t="shared" si="57"/>
        <v>0</v>
      </c>
      <c r="G814">
        <f t="shared" si="56"/>
        <v>0</v>
      </c>
    </row>
    <row r="815" spans="1:7" hidden="1" x14ac:dyDescent="0.25">
      <c r="A815" s="85" t="s">
        <v>2520</v>
      </c>
      <c r="B815" s="88" t="s">
        <v>2511</v>
      </c>
      <c r="C815" s="26" t="s">
        <v>37</v>
      </c>
      <c r="D815" s="14"/>
      <c r="E815" s="15"/>
      <c r="F815" s="16">
        <f t="shared" si="57"/>
        <v>0</v>
      </c>
      <c r="G815">
        <f t="shared" si="56"/>
        <v>0</v>
      </c>
    </row>
    <row r="816" spans="1:7" hidden="1" x14ac:dyDescent="0.25">
      <c r="A816" s="85" t="s">
        <v>2521</v>
      </c>
      <c r="B816" s="88" t="s">
        <v>2524</v>
      </c>
      <c r="C816" s="26" t="s">
        <v>37</v>
      </c>
      <c r="D816" s="14"/>
      <c r="E816" s="15"/>
      <c r="F816" s="16">
        <f t="shared" si="57"/>
        <v>0</v>
      </c>
      <c r="G816">
        <f t="shared" si="56"/>
        <v>0</v>
      </c>
    </row>
    <row r="817" spans="1:7" hidden="1" x14ac:dyDescent="0.25">
      <c r="A817" s="85" t="s">
        <v>2522</v>
      </c>
      <c r="B817" s="88" t="s">
        <v>2525</v>
      </c>
      <c r="C817" s="26" t="s">
        <v>37</v>
      </c>
      <c r="D817" s="14"/>
      <c r="E817" s="15"/>
      <c r="F817" s="16">
        <f t="shared" si="57"/>
        <v>0</v>
      </c>
      <c r="G817">
        <f t="shared" si="56"/>
        <v>0</v>
      </c>
    </row>
    <row r="818" spans="1:7" hidden="1" x14ac:dyDescent="0.25">
      <c r="A818" s="78" t="s">
        <v>2523</v>
      </c>
      <c r="B818" s="79" t="s">
        <v>2526</v>
      </c>
      <c r="C818" s="26"/>
      <c r="D818" s="14"/>
      <c r="E818" s="15"/>
      <c r="F818" s="16"/>
      <c r="G818">
        <f t="shared" si="56"/>
        <v>0</v>
      </c>
    </row>
    <row r="819" spans="1:7" hidden="1" x14ac:dyDescent="0.25">
      <c r="A819" s="85" t="s">
        <v>2512</v>
      </c>
      <c r="B819" s="88" t="s">
        <v>2527</v>
      </c>
      <c r="C819" s="26" t="s">
        <v>37</v>
      </c>
      <c r="D819" s="14"/>
      <c r="E819" s="15"/>
      <c r="F819" s="16">
        <f t="shared" ref="F819:F829" si="58">+D819*E819</f>
        <v>0</v>
      </c>
      <c r="G819">
        <f t="shared" si="56"/>
        <v>0</v>
      </c>
    </row>
    <row r="820" spans="1:7" hidden="1" x14ac:dyDescent="0.25">
      <c r="A820" s="85" t="s">
        <v>2513</v>
      </c>
      <c r="B820" s="88" t="s">
        <v>2537</v>
      </c>
      <c r="C820" s="26" t="s">
        <v>37</v>
      </c>
      <c r="D820" s="14"/>
      <c r="E820" s="15"/>
      <c r="F820" s="16">
        <f t="shared" si="58"/>
        <v>0</v>
      </c>
      <c r="G820">
        <f t="shared" si="56"/>
        <v>0</v>
      </c>
    </row>
    <row r="821" spans="1:7" hidden="1" x14ac:dyDescent="0.25">
      <c r="A821" s="85" t="s">
        <v>2514</v>
      </c>
      <c r="B821" s="88" t="s">
        <v>2528</v>
      </c>
      <c r="C821" s="26" t="s">
        <v>37</v>
      </c>
      <c r="D821" s="14"/>
      <c r="E821" s="15"/>
      <c r="F821" s="16">
        <f t="shared" si="58"/>
        <v>0</v>
      </c>
      <c r="G821">
        <f t="shared" si="56"/>
        <v>0</v>
      </c>
    </row>
    <row r="822" spans="1:7" hidden="1" x14ac:dyDescent="0.25">
      <c r="A822" s="85" t="s">
        <v>2515</v>
      </c>
      <c r="B822" s="88" t="s">
        <v>2529</v>
      </c>
      <c r="C822" s="26" t="s">
        <v>37</v>
      </c>
      <c r="D822" s="14"/>
      <c r="E822" s="15"/>
      <c r="F822" s="16">
        <f t="shared" si="58"/>
        <v>0</v>
      </c>
      <c r="G822">
        <f t="shared" si="56"/>
        <v>0</v>
      </c>
    </row>
    <row r="823" spans="1:7" hidden="1" x14ac:dyDescent="0.25">
      <c r="A823" s="85" t="s">
        <v>2516</v>
      </c>
      <c r="B823" s="88" t="s">
        <v>2530</v>
      </c>
      <c r="C823" s="26" t="s">
        <v>37</v>
      </c>
      <c r="D823" s="14"/>
      <c r="E823" s="15"/>
      <c r="F823" s="16">
        <f t="shared" si="58"/>
        <v>0</v>
      </c>
      <c r="G823">
        <f t="shared" si="56"/>
        <v>0</v>
      </c>
    </row>
    <row r="824" spans="1:7" hidden="1" x14ac:dyDescent="0.25">
      <c r="A824" s="85" t="s">
        <v>2517</v>
      </c>
      <c r="B824" s="88" t="s">
        <v>2531</v>
      </c>
      <c r="C824" s="26" t="s">
        <v>37</v>
      </c>
      <c r="D824" s="14"/>
      <c r="E824" s="15"/>
      <c r="F824" s="16">
        <f t="shared" si="58"/>
        <v>0</v>
      </c>
      <c r="G824">
        <f t="shared" si="56"/>
        <v>0</v>
      </c>
    </row>
    <row r="825" spans="1:7" hidden="1" x14ac:dyDescent="0.25">
      <c r="A825" s="85" t="s">
        <v>2518</v>
      </c>
      <c r="B825" s="88" t="s">
        <v>2532</v>
      </c>
      <c r="C825" s="26" t="s">
        <v>37</v>
      </c>
      <c r="D825" s="14"/>
      <c r="E825" s="15"/>
      <c r="F825" s="16">
        <f t="shared" si="58"/>
        <v>0</v>
      </c>
      <c r="G825">
        <f t="shared" si="56"/>
        <v>0</v>
      </c>
    </row>
    <row r="826" spans="1:7" hidden="1" x14ac:dyDescent="0.25">
      <c r="A826" s="85" t="s">
        <v>2519</v>
      </c>
      <c r="B826" s="88" t="s">
        <v>2533</v>
      </c>
      <c r="C826" s="26" t="s">
        <v>37</v>
      </c>
      <c r="D826" s="14"/>
      <c r="E826" s="15"/>
      <c r="F826" s="16">
        <f t="shared" si="58"/>
        <v>0</v>
      </c>
      <c r="G826">
        <f t="shared" si="56"/>
        <v>0</v>
      </c>
    </row>
    <row r="827" spans="1:7" hidden="1" x14ac:dyDescent="0.25">
      <c r="A827" s="85" t="s">
        <v>2520</v>
      </c>
      <c r="B827" s="88" t="s">
        <v>2534</v>
      </c>
      <c r="C827" s="26" t="s">
        <v>37</v>
      </c>
      <c r="D827" s="14"/>
      <c r="E827" s="15"/>
      <c r="F827" s="16">
        <f t="shared" si="58"/>
        <v>0</v>
      </c>
      <c r="G827">
        <f t="shared" si="56"/>
        <v>0</v>
      </c>
    </row>
    <row r="828" spans="1:7" hidden="1" x14ac:dyDescent="0.25">
      <c r="A828" s="85" t="s">
        <v>2521</v>
      </c>
      <c r="B828" s="88" t="s">
        <v>2535</v>
      </c>
      <c r="C828" s="26" t="s">
        <v>37</v>
      </c>
      <c r="D828" s="14"/>
      <c r="E828" s="15"/>
      <c r="F828" s="16">
        <f t="shared" si="58"/>
        <v>0</v>
      </c>
      <c r="G828">
        <f t="shared" si="56"/>
        <v>0</v>
      </c>
    </row>
    <row r="829" spans="1:7" hidden="1" x14ac:dyDescent="0.25">
      <c r="A829" s="85" t="s">
        <v>2522</v>
      </c>
      <c r="B829" s="88" t="s">
        <v>2536</v>
      </c>
      <c r="C829" s="26" t="s">
        <v>37</v>
      </c>
      <c r="D829" s="14"/>
      <c r="E829" s="15"/>
      <c r="F829" s="16">
        <f t="shared" si="58"/>
        <v>0</v>
      </c>
      <c r="G829">
        <f t="shared" si="56"/>
        <v>0</v>
      </c>
    </row>
    <row r="830" spans="1:7" x14ac:dyDescent="0.25">
      <c r="A830" s="78" t="s">
        <v>2538</v>
      </c>
      <c r="B830" s="79" t="s">
        <v>2539</v>
      </c>
      <c r="C830" s="26"/>
      <c r="D830" s="14"/>
      <c r="E830" s="15"/>
      <c r="F830" s="16"/>
      <c r="G830">
        <v>1</v>
      </c>
    </row>
    <row r="831" spans="1:7" hidden="1" x14ac:dyDescent="0.25">
      <c r="A831" s="85" t="s">
        <v>2540</v>
      </c>
      <c r="B831" s="88" t="s">
        <v>2541</v>
      </c>
      <c r="C831" s="26" t="s">
        <v>14</v>
      </c>
      <c r="D831" s="14"/>
      <c r="E831" s="15"/>
      <c r="F831" s="16">
        <f t="shared" ref="F831:F842" si="59">+D831*E831</f>
        <v>0</v>
      </c>
      <c r="G831">
        <f t="shared" si="56"/>
        <v>0</v>
      </c>
    </row>
    <row r="832" spans="1:7" hidden="1" x14ac:dyDescent="0.25">
      <c r="A832" s="85" t="s">
        <v>888</v>
      </c>
      <c r="B832" s="88" t="s">
        <v>2542</v>
      </c>
      <c r="C832" s="26" t="s">
        <v>14</v>
      </c>
      <c r="D832" s="14"/>
      <c r="E832" s="15"/>
      <c r="F832" s="16">
        <f t="shared" si="59"/>
        <v>0</v>
      </c>
      <c r="G832">
        <f t="shared" si="56"/>
        <v>0</v>
      </c>
    </row>
    <row r="833" spans="1:7" hidden="1" x14ac:dyDescent="0.25">
      <c r="A833" s="85" t="s">
        <v>2553</v>
      </c>
      <c r="B833" s="88" t="s">
        <v>2543</v>
      </c>
      <c r="C833" s="26" t="s">
        <v>14</v>
      </c>
      <c r="D833" s="14"/>
      <c r="E833" s="15"/>
      <c r="F833" s="16">
        <f t="shared" si="59"/>
        <v>0</v>
      </c>
      <c r="G833">
        <f t="shared" si="56"/>
        <v>0</v>
      </c>
    </row>
    <row r="834" spans="1:7" hidden="1" x14ac:dyDescent="0.25">
      <c r="A834" s="85" t="s">
        <v>2554</v>
      </c>
      <c r="B834" s="88" t="s">
        <v>2544</v>
      </c>
      <c r="C834" s="26" t="s">
        <v>14</v>
      </c>
      <c r="D834" s="14"/>
      <c r="E834" s="15"/>
      <c r="F834" s="16">
        <f t="shared" si="59"/>
        <v>0</v>
      </c>
      <c r="G834">
        <f t="shared" si="56"/>
        <v>0</v>
      </c>
    </row>
    <row r="835" spans="1:7" hidden="1" x14ac:dyDescent="0.25">
      <c r="A835" s="85" t="s">
        <v>2555</v>
      </c>
      <c r="B835" s="88" t="s">
        <v>2545</v>
      </c>
      <c r="C835" s="26" t="s">
        <v>14</v>
      </c>
      <c r="D835" s="14"/>
      <c r="E835" s="15"/>
      <c r="F835" s="16">
        <f t="shared" si="59"/>
        <v>0</v>
      </c>
      <c r="G835">
        <f t="shared" si="56"/>
        <v>0</v>
      </c>
    </row>
    <row r="836" spans="1:7" hidden="1" x14ac:dyDescent="0.25">
      <c r="A836" s="85" t="s">
        <v>2556</v>
      </c>
      <c r="B836" s="88" t="s">
        <v>2546</v>
      </c>
      <c r="C836" s="26" t="s">
        <v>14</v>
      </c>
      <c r="D836" s="14"/>
      <c r="E836" s="15"/>
      <c r="F836" s="16">
        <f t="shared" si="59"/>
        <v>0</v>
      </c>
      <c r="G836">
        <f t="shared" si="56"/>
        <v>0</v>
      </c>
    </row>
    <row r="837" spans="1:7" hidden="1" x14ac:dyDescent="0.25">
      <c r="A837" s="85" t="s">
        <v>2557</v>
      </c>
      <c r="B837" s="88" t="s">
        <v>2547</v>
      </c>
      <c r="C837" s="26" t="s">
        <v>14</v>
      </c>
      <c r="D837" s="14"/>
      <c r="E837" s="15"/>
      <c r="F837" s="16">
        <f t="shared" si="59"/>
        <v>0</v>
      </c>
      <c r="G837">
        <f t="shared" si="56"/>
        <v>0</v>
      </c>
    </row>
    <row r="838" spans="1:7" x14ac:dyDescent="0.25">
      <c r="A838" s="85" t="s">
        <v>2558</v>
      </c>
      <c r="B838" s="88" t="s">
        <v>6544</v>
      </c>
      <c r="C838" s="26" t="s">
        <v>14</v>
      </c>
      <c r="D838" s="14">
        <v>1865</v>
      </c>
      <c r="E838" s="15">
        <f>+SUM!H836</f>
        <v>592637.5</v>
      </c>
      <c r="F838" s="16">
        <f t="shared" si="59"/>
        <v>1105268937.5</v>
      </c>
      <c r="G838">
        <f t="shared" si="56"/>
        <v>1</v>
      </c>
    </row>
    <row r="839" spans="1:7" hidden="1" x14ac:dyDescent="0.25">
      <c r="A839" s="85" t="s">
        <v>2559</v>
      </c>
      <c r="B839" s="88" t="s">
        <v>2549</v>
      </c>
      <c r="C839" s="26" t="s">
        <v>14</v>
      </c>
      <c r="D839" s="14"/>
      <c r="E839" s="15"/>
      <c r="F839" s="16">
        <f t="shared" si="59"/>
        <v>0</v>
      </c>
      <c r="G839">
        <f t="shared" si="56"/>
        <v>0</v>
      </c>
    </row>
    <row r="840" spans="1:7" hidden="1" x14ac:dyDescent="0.25">
      <c r="A840" s="85" t="s">
        <v>957</v>
      </c>
      <c r="B840" s="88" t="s">
        <v>2550</v>
      </c>
      <c r="C840" s="26" t="s">
        <v>14</v>
      </c>
      <c r="D840" s="14"/>
      <c r="E840" s="15"/>
      <c r="F840" s="16">
        <f t="shared" si="59"/>
        <v>0</v>
      </c>
      <c r="G840">
        <f t="shared" si="56"/>
        <v>0</v>
      </c>
    </row>
    <row r="841" spans="1:7" hidden="1" x14ac:dyDescent="0.25">
      <c r="A841" s="85" t="s">
        <v>2560</v>
      </c>
      <c r="B841" s="88" t="s">
        <v>2551</v>
      </c>
      <c r="C841" s="26" t="s">
        <v>14</v>
      </c>
      <c r="D841" s="14"/>
      <c r="E841" s="15"/>
      <c r="F841" s="16">
        <f t="shared" si="59"/>
        <v>0</v>
      </c>
      <c r="G841">
        <f t="shared" si="56"/>
        <v>0</v>
      </c>
    </row>
    <row r="842" spans="1:7" hidden="1" x14ac:dyDescent="0.25">
      <c r="A842" s="85" t="s">
        <v>2561</v>
      </c>
      <c r="B842" s="88" t="s">
        <v>2552</v>
      </c>
      <c r="C842" s="26" t="s">
        <v>14</v>
      </c>
      <c r="D842" s="14"/>
      <c r="E842" s="15"/>
      <c r="F842" s="16">
        <f t="shared" si="59"/>
        <v>0</v>
      </c>
      <c r="G842">
        <f t="shared" si="56"/>
        <v>0</v>
      </c>
    </row>
    <row r="843" spans="1:7" hidden="1" x14ac:dyDescent="0.25">
      <c r="A843" s="78" t="s">
        <v>2564</v>
      </c>
      <c r="B843" s="79" t="s">
        <v>2563</v>
      </c>
      <c r="C843" s="26"/>
      <c r="D843" s="14"/>
      <c r="E843" s="15"/>
      <c r="F843" s="16"/>
      <c r="G843">
        <f t="shared" si="56"/>
        <v>0</v>
      </c>
    </row>
    <row r="844" spans="1:7" hidden="1" x14ac:dyDescent="0.25">
      <c r="A844" s="85" t="s">
        <v>2562</v>
      </c>
      <c r="B844" s="88" t="s">
        <v>2565</v>
      </c>
      <c r="C844" s="26" t="s">
        <v>37</v>
      </c>
      <c r="D844" s="14"/>
      <c r="E844" s="15"/>
      <c r="F844" s="16">
        <f t="shared" ref="F844:F907" si="60">+D844*E844</f>
        <v>0</v>
      </c>
      <c r="G844">
        <f t="shared" si="56"/>
        <v>0</v>
      </c>
    </row>
    <row r="845" spans="1:7" hidden="1" x14ac:dyDescent="0.25">
      <c r="A845" s="85" t="s">
        <v>2575</v>
      </c>
      <c r="B845" s="88" t="s">
        <v>2566</v>
      </c>
      <c r="C845" s="26" t="s">
        <v>37</v>
      </c>
      <c r="D845" s="14"/>
      <c r="E845" s="15"/>
      <c r="F845" s="16">
        <f t="shared" si="60"/>
        <v>0</v>
      </c>
      <c r="G845">
        <f t="shared" si="56"/>
        <v>0</v>
      </c>
    </row>
    <row r="846" spans="1:7" hidden="1" x14ac:dyDescent="0.25">
      <c r="A846" s="85" t="s">
        <v>2576</v>
      </c>
      <c r="B846" s="88" t="s">
        <v>2567</v>
      </c>
      <c r="C846" s="26" t="s">
        <v>37</v>
      </c>
      <c r="D846" s="14"/>
      <c r="E846" s="15"/>
      <c r="F846" s="16">
        <f t="shared" si="60"/>
        <v>0</v>
      </c>
      <c r="G846">
        <f t="shared" si="56"/>
        <v>0</v>
      </c>
    </row>
    <row r="847" spans="1:7" hidden="1" x14ac:dyDescent="0.25">
      <c r="A847" s="85" t="s">
        <v>2577</v>
      </c>
      <c r="B847" s="88" t="s">
        <v>2568</v>
      </c>
      <c r="C847" s="26" t="s">
        <v>37</v>
      </c>
      <c r="D847" s="14"/>
      <c r="E847" s="15"/>
      <c r="F847" s="16">
        <f t="shared" si="60"/>
        <v>0</v>
      </c>
      <c r="G847">
        <f t="shared" si="56"/>
        <v>0</v>
      </c>
    </row>
    <row r="848" spans="1:7" hidden="1" x14ac:dyDescent="0.25">
      <c r="A848" s="85" t="s">
        <v>2578</v>
      </c>
      <c r="B848" s="88" t="s">
        <v>2569</v>
      </c>
      <c r="C848" s="26" t="s">
        <v>37</v>
      </c>
      <c r="D848" s="14"/>
      <c r="E848" s="15"/>
      <c r="F848" s="16">
        <f t="shared" si="60"/>
        <v>0</v>
      </c>
      <c r="G848">
        <f t="shared" si="56"/>
        <v>0</v>
      </c>
    </row>
    <row r="849" spans="1:7" hidden="1" x14ac:dyDescent="0.25">
      <c r="A849" s="85" t="s">
        <v>2579</v>
      </c>
      <c r="B849" s="88" t="s">
        <v>2570</v>
      </c>
      <c r="C849" s="26" t="s">
        <v>37</v>
      </c>
      <c r="D849" s="14"/>
      <c r="E849" s="15"/>
      <c r="F849" s="16">
        <f t="shared" si="60"/>
        <v>0</v>
      </c>
      <c r="G849">
        <f t="shared" si="56"/>
        <v>0</v>
      </c>
    </row>
    <row r="850" spans="1:7" hidden="1" x14ac:dyDescent="0.25">
      <c r="A850" s="85" t="s">
        <v>2580</v>
      </c>
      <c r="B850" s="88" t="s">
        <v>2571</v>
      </c>
      <c r="C850" s="26" t="s">
        <v>37</v>
      </c>
      <c r="D850" s="14"/>
      <c r="E850" s="15"/>
      <c r="F850" s="16">
        <f t="shared" si="60"/>
        <v>0</v>
      </c>
      <c r="G850">
        <f t="shared" si="56"/>
        <v>0</v>
      </c>
    </row>
    <row r="851" spans="1:7" hidden="1" x14ac:dyDescent="0.25">
      <c r="A851" s="85" t="s">
        <v>2581</v>
      </c>
      <c r="B851" s="88" t="s">
        <v>2572</v>
      </c>
      <c r="C851" s="26" t="s">
        <v>37</v>
      </c>
      <c r="D851" s="14"/>
      <c r="E851" s="15"/>
      <c r="F851" s="16">
        <f t="shared" si="60"/>
        <v>0</v>
      </c>
      <c r="G851">
        <f t="shared" si="56"/>
        <v>0</v>
      </c>
    </row>
    <row r="852" spans="1:7" hidden="1" x14ac:dyDescent="0.25">
      <c r="A852" s="85" t="s">
        <v>2582</v>
      </c>
      <c r="B852" s="88" t="s">
        <v>2573</v>
      </c>
      <c r="C852" s="26" t="s">
        <v>37</v>
      </c>
      <c r="D852" s="14"/>
      <c r="E852" s="15"/>
      <c r="F852" s="16">
        <f t="shared" si="60"/>
        <v>0</v>
      </c>
      <c r="G852">
        <f t="shared" si="56"/>
        <v>0</v>
      </c>
    </row>
    <row r="853" spans="1:7" hidden="1" x14ac:dyDescent="0.25">
      <c r="A853" s="85" t="s">
        <v>2583</v>
      </c>
      <c r="B853" s="88" t="s">
        <v>2574</v>
      </c>
      <c r="C853" s="26" t="s">
        <v>37</v>
      </c>
      <c r="D853" s="14"/>
      <c r="E853" s="15"/>
      <c r="F853" s="16">
        <f t="shared" si="60"/>
        <v>0</v>
      </c>
      <c r="G853">
        <f t="shared" si="56"/>
        <v>0</v>
      </c>
    </row>
    <row r="854" spans="1:7" hidden="1" x14ac:dyDescent="0.25">
      <c r="A854" s="85" t="s">
        <v>2584</v>
      </c>
      <c r="B854" s="88" t="s">
        <v>2624</v>
      </c>
      <c r="C854" s="26" t="s">
        <v>37</v>
      </c>
      <c r="D854" s="14"/>
      <c r="E854" s="15"/>
      <c r="F854" s="16">
        <f t="shared" si="60"/>
        <v>0</v>
      </c>
      <c r="G854">
        <f t="shared" si="56"/>
        <v>0</v>
      </c>
    </row>
    <row r="855" spans="1:7" hidden="1" x14ac:dyDescent="0.25">
      <c r="A855" s="85" t="s">
        <v>2585</v>
      </c>
      <c r="B855" s="88" t="s">
        <v>2625</v>
      </c>
      <c r="C855" s="26" t="s">
        <v>37</v>
      </c>
      <c r="D855" s="14"/>
      <c r="E855" s="15"/>
      <c r="F855" s="16">
        <f t="shared" si="60"/>
        <v>0</v>
      </c>
      <c r="G855">
        <f t="shared" si="56"/>
        <v>0</v>
      </c>
    </row>
    <row r="856" spans="1:7" hidden="1" x14ac:dyDescent="0.25">
      <c r="A856" s="85" t="s">
        <v>2586</v>
      </c>
      <c r="B856" s="88" t="s">
        <v>2626</v>
      </c>
      <c r="C856" s="26" t="s">
        <v>37</v>
      </c>
      <c r="D856" s="14"/>
      <c r="E856" s="15"/>
      <c r="F856" s="16">
        <f t="shared" si="60"/>
        <v>0</v>
      </c>
      <c r="G856">
        <f t="shared" si="56"/>
        <v>0</v>
      </c>
    </row>
    <row r="857" spans="1:7" hidden="1" x14ac:dyDescent="0.25">
      <c r="A857" s="85" t="s">
        <v>2587</v>
      </c>
      <c r="B857" s="88" t="s">
        <v>2627</v>
      </c>
      <c r="C857" s="26" t="s">
        <v>37</v>
      </c>
      <c r="D857" s="14"/>
      <c r="E857" s="15"/>
      <c r="F857" s="16">
        <f t="shared" si="60"/>
        <v>0</v>
      </c>
      <c r="G857">
        <f t="shared" si="56"/>
        <v>0</v>
      </c>
    </row>
    <row r="858" spans="1:7" hidden="1" x14ac:dyDescent="0.25">
      <c r="A858" s="85" t="s">
        <v>2588</v>
      </c>
      <c r="B858" s="88" t="s">
        <v>2628</v>
      </c>
      <c r="C858" s="26" t="s">
        <v>37</v>
      </c>
      <c r="D858" s="14"/>
      <c r="E858" s="15"/>
      <c r="F858" s="16">
        <f t="shared" si="60"/>
        <v>0</v>
      </c>
      <c r="G858">
        <f t="shared" si="56"/>
        <v>0</v>
      </c>
    </row>
    <row r="859" spans="1:7" hidden="1" x14ac:dyDescent="0.25">
      <c r="A859" s="85" t="s">
        <v>2589</v>
      </c>
      <c r="B859" s="88" t="s">
        <v>2629</v>
      </c>
      <c r="C859" s="26" t="s">
        <v>37</v>
      </c>
      <c r="D859" s="14"/>
      <c r="E859" s="15"/>
      <c r="F859" s="16">
        <f t="shared" si="60"/>
        <v>0</v>
      </c>
      <c r="G859">
        <f t="shared" si="56"/>
        <v>0</v>
      </c>
    </row>
    <row r="860" spans="1:7" hidden="1" x14ac:dyDescent="0.25">
      <c r="A860" s="85" t="s">
        <v>2590</v>
      </c>
      <c r="B860" s="88" t="s">
        <v>2630</v>
      </c>
      <c r="C860" s="26" t="s">
        <v>37</v>
      </c>
      <c r="D860" s="14"/>
      <c r="E860" s="15"/>
      <c r="F860" s="16">
        <f t="shared" si="60"/>
        <v>0</v>
      </c>
      <c r="G860">
        <f t="shared" si="56"/>
        <v>0</v>
      </c>
    </row>
    <row r="861" spans="1:7" hidden="1" x14ac:dyDescent="0.25">
      <c r="A861" s="85" t="s">
        <v>2591</v>
      </c>
      <c r="B861" s="88" t="s">
        <v>2631</v>
      </c>
      <c r="C861" s="26" t="s">
        <v>37</v>
      </c>
      <c r="D861" s="14"/>
      <c r="E861" s="15"/>
      <c r="F861" s="16">
        <f t="shared" si="60"/>
        <v>0</v>
      </c>
      <c r="G861">
        <f t="shared" si="56"/>
        <v>0</v>
      </c>
    </row>
    <row r="862" spans="1:7" hidden="1" x14ac:dyDescent="0.25">
      <c r="A862" s="85" t="s">
        <v>2592</v>
      </c>
      <c r="B862" s="88" t="s">
        <v>2632</v>
      </c>
      <c r="C862" s="26" t="s">
        <v>37</v>
      </c>
      <c r="D862" s="14"/>
      <c r="E862" s="15"/>
      <c r="F862" s="16">
        <f t="shared" si="60"/>
        <v>0</v>
      </c>
      <c r="G862">
        <f t="shared" si="56"/>
        <v>0</v>
      </c>
    </row>
    <row r="863" spans="1:7" hidden="1" x14ac:dyDescent="0.25">
      <c r="A863" s="85" t="s">
        <v>2593</v>
      </c>
      <c r="B863" s="88" t="s">
        <v>2633</v>
      </c>
      <c r="C863" s="26" t="s">
        <v>37</v>
      </c>
      <c r="D863" s="14"/>
      <c r="E863" s="15"/>
      <c r="F863" s="16">
        <f t="shared" si="60"/>
        <v>0</v>
      </c>
      <c r="G863">
        <f t="shared" si="56"/>
        <v>0</v>
      </c>
    </row>
    <row r="864" spans="1:7" hidden="1" x14ac:dyDescent="0.25">
      <c r="A864" s="85" t="s">
        <v>2644</v>
      </c>
      <c r="B864" s="88" t="s">
        <v>2634</v>
      </c>
      <c r="C864" s="26" t="s">
        <v>37</v>
      </c>
      <c r="D864" s="14"/>
      <c r="E864" s="15"/>
      <c r="F864" s="16">
        <f t="shared" si="60"/>
        <v>0</v>
      </c>
      <c r="G864">
        <f t="shared" si="56"/>
        <v>0</v>
      </c>
    </row>
    <row r="865" spans="1:7" hidden="1" x14ac:dyDescent="0.25">
      <c r="A865" s="85" t="s">
        <v>2645</v>
      </c>
      <c r="B865" s="88" t="s">
        <v>2635</v>
      </c>
      <c r="C865" s="26" t="s">
        <v>37</v>
      </c>
      <c r="D865" s="14"/>
      <c r="E865" s="15"/>
      <c r="F865" s="16">
        <f t="shared" si="60"/>
        <v>0</v>
      </c>
      <c r="G865">
        <f t="shared" si="56"/>
        <v>0</v>
      </c>
    </row>
    <row r="866" spans="1:7" hidden="1" x14ac:dyDescent="0.25">
      <c r="A866" s="85" t="s">
        <v>2646</v>
      </c>
      <c r="B866" s="88" t="s">
        <v>2636</v>
      </c>
      <c r="C866" s="26" t="s">
        <v>37</v>
      </c>
      <c r="D866" s="14"/>
      <c r="E866" s="15"/>
      <c r="F866" s="16">
        <f t="shared" si="60"/>
        <v>0</v>
      </c>
      <c r="G866">
        <f t="shared" si="56"/>
        <v>0</v>
      </c>
    </row>
    <row r="867" spans="1:7" hidden="1" x14ac:dyDescent="0.25">
      <c r="A867" s="85" t="s">
        <v>2647</v>
      </c>
      <c r="B867" s="88" t="s">
        <v>2637</v>
      </c>
      <c r="C867" s="26" t="s">
        <v>37</v>
      </c>
      <c r="D867" s="14"/>
      <c r="E867" s="15"/>
      <c r="F867" s="16">
        <f t="shared" si="60"/>
        <v>0</v>
      </c>
      <c r="G867">
        <f t="shared" si="56"/>
        <v>0</v>
      </c>
    </row>
    <row r="868" spans="1:7" hidden="1" x14ac:dyDescent="0.25">
      <c r="A868" s="85" t="s">
        <v>2648</v>
      </c>
      <c r="B868" s="88" t="s">
        <v>2638</v>
      </c>
      <c r="C868" s="26" t="s">
        <v>37</v>
      </c>
      <c r="D868" s="14"/>
      <c r="E868" s="15"/>
      <c r="F868" s="16">
        <f t="shared" si="60"/>
        <v>0</v>
      </c>
      <c r="G868">
        <f t="shared" ref="G868:G931" si="61">+IF(F868&lt;&gt;0,1,0)</f>
        <v>0</v>
      </c>
    </row>
    <row r="869" spans="1:7" hidden="1" x14ac:dyDescent="0.25">
      <c r="A869" s="85" t="s">
        <v>2649</v>
      </c>
      <c r="B869" s="88" t="s">
        <v>2639</v>
      </c>
      <c r="C869" s="26" t="s">
        <v>37</v>
      </c>
      <c r="D869" s="14"/>
      <c r="E869" s="15"/>
      <c r="F869" s="16">
        <f t="shared" si="60"/>
        <v>0</v>
      </c>
      <c r="G869">
        <f t="shared" si="61"/>
        <v>0</v>
      </c>
    </row>
    <row r="870" spans="1:7" hidden="1" x14ac:dyDescent="0.25">
      <c r="A870" s="85" t="s">
        <v>2650</v>
      </c>
      <c r="B870" s="88" t="s">
        <v>2640</v>
      </c>
      <c r="C870" s="26" t="s">
        <v>37</v>
      </c>
      <c r="D870" s="14"/>
      <c r="E870" s="15"/>
      <c r="F870" s="16">
        <f t="shared" si="60"/>
        <v>0</v>
      </c>
      <c r="G870">
        <f t="shared" si="61"/>
        <v>0</v>
      </c>
    </row>
    <row r="871" spans="1:7" hidden="1" x14ac:dyDescent="0.25">
      <c r="A871" s="85" t="s">
        <v>2651</v>
      </c>
      <c r="B871" s="88" t="s">
        <v>2641</v>
      </c>
      <c r="C871" s="26" t="s">
        <v>37</v>
      </c>
      <c r="D871" s="14"/>
      <c r="E871" s="15"/>
      <c r="F871" s="16">
        <f t="shared" si="60"/>
        <v>0</v>
      </c>
      <c r="G871">
        <f t="shared" si="61"/>
        <v>0</v>
      </c>
    </row>
    <row r="872" spans="1:7" hidden="1" x14ac:dyDescent="0.25">
      <c r="A872" s="85" t="s">
        <v>2652</v>
      </c>
      <c r="B872" s="88" t="s">
        <v>2642</v>
      </c>
      <c r="C872" s="26" t="s">
        <v>37</v>
      </c>
      <c r="D872" s="14"/>
      <c r="E872" s="15"/>
      <c r="F872" s="16">
        <f t="shared" si="60"/>
        <v>0</v>
      </c>
      <c r="G872">
        <f t="shared" si="61"/>
        <v>0</v>
      </c>
    </row>
    <row r="873" spans="1:7" hidden="1" x14ac:dyDescent="0.25">
      <c r="A873" s="85" t="s">
        <v>2653</v>
      </c>
      <c r="B873" s="88" t="s">
        <v>2643</v>
      </c>
      <c r="C873" s="26" t="s">
        <v>37</v>
      </c>
      <c r="D873" s="14"/>
      <c r="E873" s="15"/>
      <c r="F873" s="16">
        <f t="shared" si="60"/>
        <v>0</v>
      </c>
      <c r="G873">
        <f t="shared" si="61"/>
        <v>0</v>
      </c>
    </row>
    <row r="874" spans="1:7" hidden="1" x14ac:dyDescent="0.25">
      <c r="A874" s="85" t="s">
        <v>2654</v>
      </c>
      <c r="B874" s="88" t="s">
        <v>2604</v>
      </c>
      <c r="C874" s="26" t="s">
        <v>37</v>
      </c>
      <c r="D874" s="14"/>
      <c r="E874" s="15"/>
      <c r="F874" s="16">
        <f t="shared" si="60"/>
        <v>0</v>
      </c>
      <c r="G874">
        <f t="shared" si="61"/>
        <v>0</v>
      </c>
    </row>
    <row r="875" spans="1:7" hidden="1" x14ac:dyDescent="0.25">
      <c r="A875" s="85" t="s">
        <v>2655</v>
      </c>
      <c r="B875" s="88" t="s">
        <v>2605</v>
      </c>
      <c r="C875" s="26" t="s">
        <v>37</v>
      </c>
      <c r="D875" s="14"/>
      <c r="E875" s="15"/>
      <c r="F875" s="16">
        <f t="shared" si="60"/>
        <v>0</v>
      </c>
      <c r="G875">
        <f t="shared" si="61"/>
        <v>0</v>
      </c>
    </row>
    <row r="876" spans="1:7" hidden="1" x14ac:dyDescent="0.25">
      <c r="A876" s="85" t="s">
        <v>2656</v>
      </c>
      <c r="B876" s="88" t="s">
        <v>2606</v>
      </c>
      <c r="C876" s="26" t="s">
        <v>37</v>
      </c>
      <c r="D876" s="14"/>
      <c r="E876" s="15"/>
      <c r="F876" s="16">
        <f t="shared" si="60"/>
        <v>0</v>
      </c>
      <c r="G876">
        <f t="shared" si="61"/>
        <v>0</v>
      </c>
    </row>
    <row r="877" spans="1:7" hidden="1" x14ac:dyDescent="0.25">
      <c r="A877" s="85" t="s">
        <v>2657</v>
      </c>
      <c r="B877" s="88" t="s">
        <v>2607</v>
      </c>
      <c r="C877" s="26" t="s">
        <v>37</v>
      </c>
      <c r="D877" s="14"/>
      <c r="E877" s="15"/>
      <c r="F877" s="16">
        <f t="shared" si="60"/>
        <v>0</v>
      </c>
      <c r="G877">
        <f t="shared" si="61"/>
        <v>0</v>
      </c>
    </row>
    <row r="878" spans="1:7" hidden="1" x14ac:dyDescent="0.25">
      <c r="A878" s="85" t="s">
        <v>2658</v>
      </c>
      <c r="B878" s="88" t="s">
        <v>2608</v>
      </c>
      <c r="C878" s="26" t="s">
        <v>37</v>
      </c>
      <c r="D878" s="14"/>
      <c r="E878" s="15"/>
      <c r="F878" s="16">
        <f t="shared" si="60"/>
        <v>0</v>
      </c>
      <c r="G878">
        <f t="shared" si="61"/>
        <v>0</v>
      </c>
    </row>
    <row r="879" spans="1:7" hidden="1" x14ac:dyDescent="0.25">
      <c r="A879" s="85" t="s">
        <v>2659</v>
      </c>
      <c r="B879" s="88" t="s">
        <v>2609</v>
      </c>
      <c r="C879" s="26" t="s">
        <v>37</v>
      </c>
      <c r="D879" s="14"/>
      <c r="E879" s="15"/>
      <c r="F879" s="16">
        <f t="shared" si="60"/>
        <v>0</v>
      </c>
      <c r="G879">
        <f t="shared" si="61"/>
        <v>0</v>
      </c>
    </row>
    <row r="880" spans="1:7" hidden="1" x14ac:dyDescent="0.25">
      <c r="A880" s="85" t="s">
        <v>2660</v>
      </c>
      <c r="B880" s="88" t="s">
        <v>2610</v>
      </c>
      <c r="C880" s="26" t="s">
        <v>37</v>
      </c>
      <c r="D880" s="14"/>
      <c r="E880" s="15"/>
      <c r="F880" s="16">
        <f t="shared" si="60"/>
        <v>0</v>
      </c>
      <c r="G880">
        <f t="shared" si="61"/>
        <v>0</v>
      </c>
    </row>
    <row r="881" spans="1:7" hidden="1" x14ac:dyDescent="0.25">
      <c r="A881" s="85" t="s">
        <v>2661</v>
      </c>
      <c r="B881" s="88" t="s">
        <v>2611</v>
      </c>
      <c r="C881" s="26" t="s">
        <v>37</v>
      </c>
      <c r="D881" s="14"/>
      <c r="E881" s="15"/>
      <c r="F881" s="16">
        <f t="shared" si="60"/>
        <v>0</v>
      </c>
      <c r="G881">
        <f t="shared" si="61"/>
        <v>0</v>
      </c>
    </row>
    <row r="882" spans="1:7" hidden="1" x14ac:dyDescent="0.25">
      <c r="A882" s="85" t="s">
        <v>2662</v>
      </c>
      <c r="B882" s="88" t="s">
        <v>2612</v>
      </c>
      <c r="C882" s="26" t="s">
        <v>37</v>
      </c>
      <c r="D882" s="14"/>
      <c r="E882" s="15"/>
      <c r="F882" s="16">
        <f t="shared" si="60"/>
        <v>0</v>
      </c>
      <c r="G882">
        <f t="shared" si="61"/>
        <v>0</v>
      </c>
    </row>
    <row r="883" spans="1:7" hidden="1" x14ac:dyDescent="0.25">
      <c r="A883" s="85" t="s">
        <v>2663</v>
      </c>
      <c r="B883" s="88" t="s">
        <v>2613</v>
      </c>
      <c r="C883" s="26" t="s">
        <v>37</v>
      </c>
      <c r="D883" s="14"/>
      <c r="E883" s="15"/>
      <c r="F883" s="16">
        <f t="shared" si="60"/>
        <v>0</v>
      </c>
      <c r="G883">
        <f t="shared" si="61"/>
        <v>0</v>
      </c>
    </row>
    <row r="884" spans="1:7" hidden="1" x14ac:dyDescent="0.25">
      <c r="A884" s="85" t="s">
        <v>2664</v>
      </c>
      <c r="B884" s="88" t="s">
        <v>2614</v>
      </c>
      <c r="C884" s="26" t="s">
        <v>37</v>
      </c>
      <c r="D884" s="14"/>
      <c r="E884" s="15"/>
      <c r="F884" s="16">
        <f t="shared" si="60"/>
        <v>0</v>
      </c>
      <c r="G884">
        <f t="shared" si="61"/>
        <v>0</v>
      </c>
    </row>
    <row r="885" spans="1:7" hidden="1" x14ac:dyDescent="0.25">
      <c r="A885" s="85" t="s">
        <v>2665</v>
      </c>
      <c r="B885" s="88" t="s">
        <v>2615</v>
      </c>
      <c r="C885" s="26" t="s">
        <v>37</v>
      </c>
      <c r="D885" s="14"/>
      <c r="E885" s="15"/>
      <c r="F885" s="16">
        <f t="shared" si="60"/>
        <v>0</v>
      </c>
      <c r="G885">
        <f t="shared" si="61"/>
        <v>0</v>
      </c>
    </row>
    <row r="886" spans="1:7" hidden="1" x14ac:dyDescent="0.25">
      <c r="A886" s="85" t="s">
        <v>2666</v>
      </c>
      <c r="B886" s="88" t="s">
        <v>2616</v>
      </c>
      <c r="C886" s="26" t="s">
        <v>37</v>
      </c>
      <c r="D886" s="14"/>
      <c r="E886" s="15"/>
      <c r="F886" s="16">
        <f t="shared" si="60"/>
        <v>0</v>
      </c>
      <c r="G886">
        <f t="shared" si="61"/>
        <v>0</v>
      </c>
    </row>
    <row r="887" spans="1:7" hidden="1" x14ac:dyDescent="0.25">
      <c r="A887" s="85" t="s">
        <v>2667</v>
      </c>
      <c r="B887" s="88" t="s">
        <v>2617</v>
      </c>
      <c r="C887" s="26" t="s">
        <v>37</v>
      </c>
      <c r="D887" s="14"/>
      <c r="E887" s="15"/>
      <c r="F887" s="16">
        <f t="shared" si="60"/>
        <v>0</v>
      </c>
      <c r="G887">
        <f t="shared" si="61"/>
        <v>0</v>
      </c>
    </row>
    <row r="888" spans="1:7" hidden="1" x14ac:dyDescent="0.25">
      <c r="A888" s="85" t="s">
        <v>2668</v>
      </c>
      <c r="B888" s="88" t="s">
        <v>2618</v>
      </c>
      <c r="C888" s="26" t="s">
        <v>37</v>
      </c>
      <c r="D888" s="14"/>
      <c r="E888" s="15"/>
      <c r="F888" s="16">
        <f t="shared" si="60"/>
        <v>0</v>
      </c>
      <c r="G888">
        <f t="shared" si="61"/>
        <v>0</v>
      </c>
    </row>
    <row r="889" spans="1:7" hidden="1" x14ac:dyDescent="0.25">
      <c r="A889" s="85" t="s">
        <v>2669</v>
      </c>
      <c r="B889" s="88" t="s">
        <v>2619</v>
      </c>
      <c r="C889" s="26" t="s">
        <v>37</v>
      </c>
      <c r="D889" s="14"/>
      <c r="E889" s="15"/>
      <c r="F889" s="16">
        <f t="shared" si="60"/>
        <v>0</v>
      </c>
      <c r="G889">
        <f t="shared" si="61"/>
        <v>0</v>
      </c>
    </row>
    <row r="890" spans="1:7" hidden="1" x14ac:dyDescent="0.25">
      <c r="A890" s="85" t="s">
        <v>2670</v>
      </c>
      <c r="B890" s="88" t="s">
        <v>2620</v>
      </c>
      <c r="C890" s="26" t="s">
        <v>37</v>
      </c>
      <c r="D890" s="14"/>
      <c r="E890" s="15"/>
      <c r="F890" s="16">
        <f t="shared" si="60"/>
        <v>0</v>
      </c>
      <c r="G890">
        <f t="shared" si="61"/>
        <v>0</v>
      </c>
    </row>
    <row r="891" spans="1:7" hidden="1" x14ac:dyDescent="0.25">
      <c r="A891" s="85" t="s">
        <v>2671</v>
      </c>
      <c r="B891" s="88" t="s">
        <v>2621</v>
      </c>
      <c r="C891" s="26" t="s">
        <v>37</v>
      </c>
      <c r="D891" s="14"/>
      <c r="E891" s="15"/>
      <c r="F891" s="16">
        <f t="shared" si="60"/>
        <v>0</v>
      </c>
      <c r="G891">
        <f t="shared" si="61"/>
        <v>0</v>
      </c>
    </row>
    <row r="892" spans="1:7" hidden="1" x14ac:dyDescent="0.25">
      <c r="A892" s="85" t="s">
        <v>2672</v>
      </c>
      <c r="B892" s="88" t="s">
        <v>2622</v>
      </c>
      <c r="C892" s="26" t="s">
        <v>37</v>
      </c>
      <c r="D892" s="14"/>
      <c r="E892" s="15"/>
      <c r="F892" s="16">
        <f t="shared" si="60"/>
        <v>0</v>
      </c>
      <c r="G892">
        <f t="shared" si="61"/>
        <v>0</v>
      </c>
    </row>
    <row r="893" spans="1:7" hidden="1" x14ac:dyDescent="0.25">
      <c r="A893" s="85" t="s">
        <v>2673</v>
      </c>
      <c r="B893" s="88" t="s">
        <v>2623</v>
      </c>
      <c r="C893" s="26" t="s">
        <v>37</v>
      </c>
      <c r="D893" s="14"/>
      <c r="E893" s="15"/>
      <c r="F893" s="16">
        <f t="shared" si="60"/>
        <v>0</v>
      </c>
      <c r="G893">
        <f t="shared" si="61"/>
        <v>0</v>
      </c>
    </row>
    <row r="894" spans="1:7" hidden="1" x14ac:dyDescent="0.25">
      <c r="A894" s="85" t="s">
        <v>2674</v>
      </c>
      <c r="B894" s="88" t="s">
        <v>2595</v>
      </c>
      <c r="C894" s="26" t="s">
        <v>37</v>
      </c>
      <c r="D894" s="14"/>
      <c r="E894" s="15"/>
      <c r="F894" s="16">
        <f t="shared" si="60"/>
        <v>0</v>
      </c>
      <c r="G894">
        <f t="shared" si="61"/>
        <v>0</v>
      </c>
    </row>
    <row r="895" spans="1:7" hidden="1" x14ac:dyDescent="0.25">
      <c r="A895" s="85" t="s">
        <v>2675</v>
      </c>
      <c r="B895" s="88" t="s">
        <v>2596</v>
      </c>
      <c r="C895" s="26" t="s">
        <v>37</v>
      </c>
      <c r="D895" s="14"/>
      <c r="E895" s="15"/>
      <c r="F895" s="16">
        <f t="shared" si="60"/>
        <v>0</v>
      </c>
      <c r="G895">
        <f t="shared" si="61"/>
        <v>0</v>
      </c>
    </row>
    <row r="896" spans="1:7" hidden="1" x14ac:dyDescent="0.25">
      <c r="A896" s="85" t="s">
        <v>2676</v>
      </c>
      <c r="B896" s="88" t="s">
        <v>2597</v>
      </c>
      <c r="C896" s="26" t="s">
        <v>37</v>
      </c>
      <c r="D896" s="14"/>
      <c r="E896" s="15"/>
      <c r="F896" s="16">
        <f t="shared" si="60"/>
        <v>0</v>
      </c>
      <c r="G896">
        <f t="shared" si="61"/>
        <v>0</v>
      </c>
    </row>
    <row r="897" spans="1:7" hidden="1" x14ac:dyDescent="0.25">
      <c r="A897" s="85" t="s">
        <v>2677</v>
      </c>
      <c r="B897" s="88" t="s">
        <v>2598</v>
      </c>
      <c r="C897" s="26" t="s">
        <v>37</v>
      </c>
      <c r="D897" s="14"/>
      <c r="E897" s="15"/>
      <c r="F897" s="16">
        <f t="shared" si="60"/>
        <v>0</v>
      </c>
      <c r="G897">
        <f t="shared" si="61"/>
        <v>0</v>
      </c>
    </row>
    <row r="898" spans="1:7" hidden="1" x14ac:dyDescent="0.25">
      <c r="A898" s="85" t="s">
        <v>2678</v>
      </c>
      <c r="B898" s="88" t="s">
        <v>2599</v>
      </c>
      <c r="C898" s="26" t="s">
        <v>37</v>
      </c>
      <c r="D898" s="14"/>
      <c r="E898" s="15"/>
      <c r="F898" s="16">
        <f t="shared" si="60"/>
        <v>0</v>
      </c>
      <c r="G898">
        <f t="shared" si="61"/>
        <v>0</v>
      </c>
    </row>
    <row r="899" spans="1:7" hidden="1" x14ac:dyDescent="0.25">
      <c r="A899" s="85" t="s">
        <v>2679</v>
      </c>
      <c r="B899" s="88" t="s">
        <v>2600</v>
      </c>
      <c r="C899" s="26" t="s">
        <v>37</v>
      </c>
      <c r="D899" s="14"/>
      <c r="E899" s="15"/>
      <c r="F899" s="16">
        <f t="shared" si="60"/>
        <v>0</v>
      </c>
      <c r="G899">
        <f t="shared" si="61"/>
        <v>0</v>
      </c>
    </row>
    <row r="900" spans="1:7" hidden="1" x14ac:dyDescent="0.25">
      <c r="A900" s="85" t="s">
        <v>2680</v>
      </c>
      <c r="B900" s="88" t="s">
        <v>2601</v>
      </c>
      <c r="C900" s="26" t="s">
        <v>37</v>
      </c>
      <c r="D900" s="14"/>
      <c r="E900" s="15"/>
      <c r="F900" s="16">
        <f t="shared" si="60"/>
        <v>0</v>
      </c>
      <c r="G900">
        <f t="shared" si="61"/>
        <v>0</v>
      </c>
    </row>
    <row r="901" spans="1:7" hidden="1" x14ac:dyDescent="0.25">
      <c r="A901" s="85" t="s">
        <v>2681</v>
      </c>
      <c r="B901" s="88" t="s">
        <v>2602</v>
      </c>
      <c r="C901" s="26" t="s">
        <v>37</v>
      </c>
      <c r="D901" s="14"/>
      <c r="E901" s="15"/>
      <c r="F901" s="16">
        <f t="shared" si="60"/>
        <v>0</v>
      </c>
      <c r="G901">
        <f t="shared" si="61"/>
        <v>0</v>
      </c>
    </row>
    <row r="902" spans="1:7" hidden="1" x14ac:dyDescent="0.25">
      <c r="A902" s="85" t="s">
        <v>2682</v>
      </c>
      <c r="B902" s="88" t="s">
        <v>2603</v>
      </c>
      <c r="C902" s="26" t="s">
        <v>37</v>
      </c>
      <c r="D902" s="14"/>
      <c r="E902" s="15"/>
      <c r="F902" s="16">
        <f t="shared" si="60"/>
        <v>0</v>
      </c>
      <c r="G902">
        <f t="shared" si="61"/>
        <v>0</v>
      </c>
    </row>
    <row r="903" spans="1:7" hidden="1" x14ac:dyDescent="0.25">
      <c r="A903" s="85" t="s">
        <v>2683</v>
      </c>
      <c r="B903" s="88" t="s">
        <v>2594</v>
      </c>
      <c r="C903" s="26" t="s">
        <v>37</v>
      </c>
      <c r="D903" s="14"/>
      <c r="E903" s="15"/>
      <c r="F903" s="16">
        <f t="shared" si="60"/>
        <v>0</v>
      </c>
      <c r="G903">
        <f t="shared" si="61"/>
        <v>0</v>
      </c>
    </row>
    <row r="904" spans="1:7" hidden="1" x14ac:dyDescent="0.25">
      <c r="A904" s="85" t="s">
        <v>2684</v>
      </c>
      <c r="B904" s="88" t="s">
        <v>2692</v>
      </c>
      <c r="C904" s="26" t="s">
        <v>37</v>
      </c>
      <c r="D904" s="14"/>
      <c r="E904" s="15"/>
      <c r="F904" s="16">
        <f t="shared" si="60"/>
        <v>0</v>
      </c>
      <c r="G904">
        <f t="shared" si="61"/>
        <v>0</v>
      </c>
    </row>
    <row r="905" spans="1:7" hidden="1" x14ac:dyDescent="0.25">
      <c r="A905" s="85" t="s">
        <v>2685</v>
      </c>
      <c r="B905" s="88" t="s">
        <v>2690</v>
      </c>
      <c r="C905" s="26" t="s">
        <v>37</v>
      </c>
      <c r="D905" s="14"/>
      <c r="E905" s="15"/>
      <c r="F905" s="16">
        <f t="shared" si="60"/>
        <v>0</v>
      </c>
      <c r="G905">
        <f t="shared" si="61"/>
        <v>0</v>
      </c>
    </row>
    <row r="906" spans="1:7" hidden="1" x14ac:dyDescent="0.25">
      <c r="A906" s="85" t="s">
        <v>2686</v>
      </c>
      <c r="B906" s="88" t="s">
        <v>2694</v>
      </c>
      <c r="C906" s="26" t="s">
        <v>37</v>
      </c>
      <c r="D906" s="14"/>
      <c r="E906" s="15"/>
      <c r="F906" s="16">
        <f t="shared" si="60"/>
        <v>0</v>
      </c>
      <c r="G906">
        <f t="shared" si="61"/>
        <v>0</v>
      </c>
    </row>
    <row r="907" spans="1:7" hidden="1" x14ac:dyDescent="0.25">
      <c r="A907" s="85" t="s">
        <v>2687</v>
      </c>
      <c r="B907" s="88" t="s">
        <v>2691</v>
      </c>
      <c r="C907" s="26" t="s">
        <v>37</v>
      </c>
      <c r="D907" s="14"/>
      <c r="E907" s="15"/>
      <c r="F907" s="16">
        <f t="shared" si="60"/>
        <v>0</v>
      </c>
      <c r="G907">
        <f t="shared" si="61"/>
        <v>0</v>
      </c>
    </row>
    <row r="908" spans="1:7" hidden="1" x14ac:dyDescent="0.25">
      <c r="A908" s="85" t="s">
        <v>2688</v>
      </c>
      <c r="B908" s="88" t="s">
        <v>2697</v>
      </c>
      <c r="C908" s="26" t="s">
        <v>37</v>
      </c>
      <c r="D908" s="14"/>
      <c r="E908" s="15"/>
      <c r="F908" s="16">
        <f t="shared" ref="F908:F962" si="62">+D908*E908</f>
        <v>0</v>
      </c>
      <c r="G908">
        <f t="shared" si="61"/>
        <v>0</v>
      </c>
    </row>
    <row r="909" spans="1:7" hidden="1" x14ac:dyDescent="0.25">
      <c r="A909" s="85" t="s">
        <v>2689</v>
      </c>
      <c r="B909" s="88" t="s">
        <v>2698</v>
      </c>
      <c r="C909" s="26" t="s">
        <v>37</v>
      </c>
      <c r="D909" s="14"/>
      <c r="E909" s="15"/>
      <c r="F909" s="16">
        <f t="shared" si="62"/>
        <v>0</v>
      </c>
      <c r="G909">
        <f t="shared" si="61"/>
        <v>0</v>
      </c>
    </row>
    <row r="910" spans="1:7" hidden="1" x14ac:dyDescent="0.25">
      <c r="A910" s="85" t="s">
        <v>2700</v>
      </c>
      <c r="B910" s="88" t="s">
        <v>2699</v>
      </c>
      <c r="C910" s="26" t="s">
        <v>37</v>
      </c>
      <c r="D910" s="14"/>
      <c r="E910" s="15"/>
      <c r="F910" s="16">
        <f t="shared" si="62"/>
        <v>0</v>
      </c>
      <c r="G910">
        <f t="shared" si="61"/>
        <v>0</v>
      </c>
    </row>
    <row r="911" spans="1:7" hidden="1" x14ac:dyDescent="0.25">
      <c r="A911" s="85" t="s">
        <v>2701</v>
      </c>
      <c r="B911" s="88" t="s">
        <v>2696</v>
      </c>
      <c r="C911" s="26" t="s">
        <v>37</v>
      </c>
      <c r="D911" s="14"/>
      <c r="E911" s="15"/>
      <c r="F911" s="16">
        <f t="shared" si="62"/>
        <v>0</v>
      </c>
      <c r="G911">
        <f t="shared" si="61"/>
        <v>0</v>
      </c>
    </row>
    <row r="912" spans="1:7" hidden="1" x14ac:dyDescent="0.25">
      <c r="A912" s="85" t="s">
        <v>2702</v>
      </c>
      <c r="B912" s="88" t="s">
        <v>2695</v>
      </c>
      <c r="C912" s="26" t="s">
        <v>37</v>
      </c>
      <c r="D912" s="14"/>
      <c r="E912" s="15"/>
      <c r="F912" s="16">
        <f t="shared" si="62"/>
        <v>0</v>
      </c>
      <c r="G912">
        <f t="shared" si="61"/>
        <v>0</v>
      </c>
    </row>
    <row r="913" spans="1:7" hidden="1" x14ac:dyDescent="0.25">
      <c r="A913" s="85" t="s">
        <v>2703</v>
      </c>
      <c r="B913" s="88" t="s">
        <v>2693</v>
      </c>
      <c r="C913" s="26" t="s">
        <v>37</v>
      </c>
      <c r="D913" s="14"/>
      <c r="E913" s="15"/>
      <c r="F913" s="16">
        <f t="shared" si="62"/>
        <v>0</v>
      </c>
      <c r="G913">
        <f t="shared" si="61"/>
        <v>0</v>
      </c>
    </row>
    <row r="914" spans="1:7" hidden="1" x14ac:dyDescent="0.25">
      <c r="A914" s="85" t="s">
        <v>2734</v>
      </c>
      <c r="B914" s="88" t="s">
        <v>2704</v>
      </c>
      <c r="C914" s="26" t="s">
        <v>37</v>
      </c>
      <c r="D914" s="14"/>
      <c r="E914" s="15"/>
      <c r="F914" s="16">
        <f t="shared" si="62"/>
        <v>0</v>
      </c>
      <c r="G914">
        <f t="shared" si="61"/>
        <v>0</v>
      </c>
    </row>
    <row r="915" spans="1:7" hidden="1" x14ac:dyDescent="0.25">
      <c r="A915" s="85" t="s">
        <v>2735</v>
      </c>
      <c r="B915" s="88" t="s">
        <v>2705</v>
      </c>
      <c r="C915" s="26" t="s">
        <v>37</v>
      </c>
      <c r="D915" s="14"/>
      <c r="E915" s="15"/>
      <c r="F915" s="16">
        <f t="shared" si="62"/>
        <v>0</v>
      </c>
      <c r="G915">
        <f t="shared" si="61"/>
        <v>0</v>
      </c>
    </row>
    <row r="916" spans="1:7" hidden="1" x14ac:dyDescent="0.25">
      <c r="A916" s="85" t="s">
        <v>2736</v>
      </c>
      <c r="B916" s="88" t="s">
        <v>2706</v>
      </c>
      <c r="C916" s="26" t="s">
        <v>37</v>
      </c>
      <c r="D916" s="14"/>
      <c r="E916" s="15"/>
      <c r="F916" s="16">
        <f t="shared" si="62"/>
        <v>0</v>
      </c>
      <c r="G916">
        <f t="shared" si="61"/>
        <v>0</v>
      </c>
    </row>
    <row r="917" spans="1:7" hidden="1" x14ac:dyDescent="0.25">
      <c r="A917" s="85" t="s">
        <v>2737</v>
      </c>
      <c r="B917" s="88" t="s">
        <v>2707</v>
      </c>
      <c r="C917" s="26" t="s">
        <v>37</v>
      </c>
      <c r="D917" s="14"/>
      <c r="E917" s="15"/>
      <c r="F917" s="16">
        <f t="shared" si="62"/>
        <v>0</v>
      </c>
      <c r="G917">
        <f t="shared" si="61"/>
        <v>0</v>
      </c>
    </row>
    <row r="918" spans="1:7" hidden="1" x14ac:dyDescent="0.25">
      <c r="A918" s="85" t="s">
        <v>2738</v>
      </c>
      <c r="B918" s="88" t="s">
        <v>2708</v>
      </c>
      <c r="C918" s="26" t="s">
        <v>37</v>
      </c>
      <c r="D918" s="14"/>
      <c r="E918" s="15"/>
      <c r="F918" s="16">
        <f t="shared" si="62"/>
        <v>0</v>
      </c>
      <c r="G918">
        <f t="shared" si="61"/>
        <v>0</v>
      </c>
    </row>
    <row r="919" spans="1:7" hidden="1" x14ac:dyDescent="0.25">
      <c r="A919" s="85" t="s">
        <v>2739</v>
      </c>
      <c r="B919" s="88" t="s">
        <v>6296</v>
      </c>
      <c r="C919" s="26" t="s">
        <v>37</v>
      </c>
      <c r="D919" s="14"/>
      <c r="E919" s="15">
        <f>+SUM!H917</f>
        <v>5261721</v>
      </c>
      <c r="F919" s="16">
        <f t="shared" si="62"/>
        <v>0</v>
      </c>
      <c r="G919">
        <f t="shared" si="61"/>
        <v>0</v>
      </c>
    </row>
    <row r="920" spans="1:7" hidden="1" x14ac:dyDescent="0.25">
      <c r="A920" s="85" t="s">
        <v>2740</v>
      </c>
      <c r="B920" s="88" t="s">
        <v>6297</v>
      </c>
      <c r="C920" s="26" t="s">
        <v>37</v>
      </c>
      <c r="D920" s="14"/>
      <c r="E920" s="15"/>
      <c r="F920" s="16">
        <f t="shared" si="62"/>
        <v>0</v>
      </c>
      <c r="G920">
        <f t="shared" si="61"/>
        <v>0</v>
      </c>
    </row>
    <row r="921" spans="1:7" hidden="1" x14ac:dyDescent="0.25">
      <c r="A921" s="85" t="s">
        <v>2741</v>
      </c>
      <c r="B921" s="88" t="s">
        <v>2709</v>
      </c>
      <c r="C921" s="26" t="s">
        <v>37</v>
      </c>
      <c r="D921" s="14"/>
      <c r="E921" s="15"/>
      <c r="F921" s="16">
        <f t="shared" si="62"/>
        <v>0</v>
      </c>
      <c r="G921">
        <f t="shared" si="61"/>
        <v>0</v>
      </c>
    </row>
    <row r="922" spans="1:7" hidden="1" x14ac:dyDescent="0.25">
      <c r="A922" s="85" t="s">
        <v>2742</v>
      </c>
      <c r="B922" s="88" t="s">
        <v>2710</v>
      </c>
      <c r="C922" s="26" t="s">
        <v>37</v>
      </c>
      <c r="D922" s="14"/>
      <c r="E922" s="15"/>
      <c r="F922" s="16">
        <f t="shared" si="62"/>
        <v>0</v>
      </c>
      <c r="G922">
        <f t="shared" si="61"/>
        <v>0</v>
      </c>
    </row>
    <row r="923" spans="1:7" hidden="1" x14ac:dyDescent="0.25">
      <c r="A923" s="85" t="s">
        <v>2743</v>
      </c>
      <c r="B923" s="88" t="s">
        <v>2711</v>
      </c>
      <c r="C923" s="26" t="s">
        <v>37</v>
      </c>
      <c r="D923" s="14"/>
      <c r="E923" s="15"/>
      <c r="F923" s="16">
        <f t="shared" si="62"/>
        <v>0</v>
      </c>
      <c r="G923">
        <f t="shared" si="61"/>
        <v>0</v>
      </c>
    </row>
    <row r="924" spans="1:7" hidden="1" x14ac:dyDescent="0.25">
      <c r="A924" s="85" t="s">
        <v>2744</v>
      </c>
      <c r="B924" s="88" t="s">
        <v>2712</v>
      </c>
      <c r="C924" s="26" t="s">
        <v>37</v>
      </c>
      <c r="D924" s="14"/>
      <c r="E924" s="15"/>
      <c r="F924" s="16">
        <f t="shared" si="62"/>
        <v>0</v>
      </c>
      <c r="G924">
        <f t="shared" si="61"/>
        <v>0</v>
      </c>
    </row>
    <row r="925" spans="1:7" hidden="1" x14ac:dyDescent="0.25">
      <c r="A925" s="85" t="s">
        <v>2745</v>
      </c>
      <c r="B925" s="88" t="s">
        <v>2713</v>
      </c>
      <c r="C925" s="26" t="s">
        <v>37</v>
      </c>
      <c r="D925" s="14"/>
      <c r="E925" s="15"/>
      <c r="F925" s="16">
        <f t="shared" si="62"/>
        <v>0</v>
      </c>
      <c r="G925">
        <f t="shared" si="61"/>
        <v>0</v>
      </c>
    </row>
    <row r="926" spans="1:7" hidden="1" x14ac:dyDescent="0.25">
      <c r="A926" s="85" t="s">
        <v>2746</v>
      </c>
      <c r="B926" s="88" t="s">
        <v>2714</v>
      </c>
      <c r="C926" s="26" t="s">
        <v>37</v>
      </c>
      <c r="D926" s="14"/>
      <c r="E926" s="15"/>
      <c r="F926" s="16">
        <f t="shared" si="62"/>
        <v>0</v>
      </c>
      <c r="G926">
        <f t="shared" si="61"/>
        <v>0</v>
      </c>
    </row>
    <row r="927" spans="1:7" hidden="1" x14ac:dyDescent="0.25">
      <c r="A927" s="85" t="s">
        <v>2747</v>
      </c>
      <c r="B927" s="88" t="s">
        <v>2715</v>
      </c>
      <c r="C927" s="26" t="s">
        <v>37</v>
      </c>
      <c r="D927" s="14"/>
      <c r="E927" s="15"/>
      <c r="F927" s="16">
        <f t="shared" si="62"/>
        <v>0</v>
      </c>
      <c r="G927">
        <f t="shared" si="61"/>
        <v>0</v>
      </c>
    </row>
    <row r="928" spans="1:7" hidden="1" x14ac:dyDescent="0.25">
      <c r="A928" s="85" t="s">
        <v>2748</v>
      </c>
      <c r="B928" s="88" t="s">
        <v>2716</v>
      </c>
      <c r="C928" s="26" t="s">
        <v>37</v>
      </c>
      <c r="D928" s="14"/>
      <c r="E928" s="15"/>
      <c r="F928" s="16">
        <f t="shared" si="62"/>
        <v>0</v>
      </c>
      <c r="G928">
        <f t="shared" si="61"/>
        <v>0</v>
      </c>
    </row>
    <row r="929" spans="1:7" hidden="1" x14ac:dyDescent="0.25">
      <c r="A929" s="85" t="s">
        <v>2749</v>
      </c>
      <c r="B929" s="88" t="s">
        <v>2717</v>
      </c>
      <c r="C929" s="26" t="s">
        <v>37</v>
      </c>
      <c r="D929" s="14"/>
      <c r="E929" s="15"/>
      <c r="F929" s="16">
        <f t="shared" si="62"/>
        <v>0</v>
      </c>
      <c r="G929">
        <f t="shared" si="61"/>
        <v>0</v>
      </c>
    </row>
    <row r="930" spans="1:7" hidden="1" x14ac:dyDescent="0.25">
      <c r="A930" s="85" t="s">
        <v>2750</v>
      </c>
      <c r="B930" s="88" t="s">
        <v>2718</v>
      </c>
      <c r="C930" s="26" t="s">
        <v>37</v>
      </c>
      <c r="D930" s="14"/>
      <c r="E930" s="15"/>
      <c r="F930" s="16">
        <f t="shared" si="62"/>
        <v>0</v>
      </c>
      <c r="G930">
        <f t="shared" si="61"/>
        <v>0</v>
      </c>
    </row>
    <row r="931" spans="1:7" hidden="1" x14ac:dyDescent="0.25">
      <c r="A931" s="85" t="s">
        <v>2751</v>
      </c>
      <c r="B931" s="88" t="s">
        <v>2719</v>
      </c>
      <c r="C931" s="26" t="s">
        <v>37</v>
      </c>
      <c r="D931" s="14"/>
      <c r="E931" s="15"/>
      <c r="F931" s="16">
        <f t="shared" si="62"/>
        <v>0</v>
      </c>
      <c r="G931">
        <f t="shared" si="61"/>
        <v>0</v>
      </c>
    </row>
    <row r="932" spans="1:7" hidden="1" x14ac:dyDescent="0.25">
      <c r="A932" s="85" t="s">
        <v>2752</v>
      </c>
      <c r="B932" s="88" t="s">
        <v>2720</v>
      </c>
      <c r="C932" s="26" t="s">
        <v>37</v>
      </c>
      <c r="D932" s="14"/>
      <c r="E932" s="15"/>
      <c r="F932" s="16">
        <f t="shared" si="62"/>
        <v>0</v>
      </c>
      <c r="G932">
        <f t="shared" ref="G932:G995" si="63">+IF(F932&lt;&gt;0,1,0)</f>
        <v>0</v>
      </c>
    </row>
    <row r="933" spans="1:7" hidden="1" x14ac:dyDescent="0.25">
      <c r="A933" s="85" t="s">
        <v>2753</v>
      </c>
      <c r="B933" s="88" t="s">
        <v>2721</v>
      </c>
      <c r="C933" s="26" t="s">
        <v>37</v>
      </c>
      <c r="D933" s="14"/>
      <c r="E933" s="15"/>
      <c r="F933" s="16">
        <f t="shared" si="62"/>
        <v>0</v>
      </c>
      <c r="G933">
        <f t="shared" si="63"/>
        <v>0</v>
      </c>
    </row>
    <row r="934" spans="1:7" hidden="1" x14ac:dyDescent="0.25">
      <c r="A934" s="85" t="s">
        <v>2754</v>
      </c>
      <c r="B934" s="88" t="s">
        <v>2722</v>
      </c>
      <c r="C934" s="26" t="s">
        <v>37</v>
      </c>
      <c r="D934" s="14"/>
      <c r="E934" s="15"/>
      <c r="F934" s="16">
        <f t="shared" si="62"/>
        <v>0</v>
      </c>
      <c r="G934">
        <f t="shared" si="63"/>
        <v>0</v>
      </c>
    </row>
    <row r="935" spans="1:7" hidden="1" x14ac:dyDescent="0.25">
      <c r="A935" s="85" t="s">
        <v>2755</v>
      </c>
      <c r="B935" s="88" t="s">
        <v>2723</v>
      </c>
      <c r="C935" s="26" t="s">
        <v>37</v>
      </c>
      <c r="D935" s="14"/>
      <c r="E935" s="15"/>
      <c r="F935" s="16">
        <f t="shared" si="62"/>
        <v>0</v>
      </c>
      <c r="G935">
        <f t="shared" si="63"/>
        <v>0</v>
      </c>
    </row>
    <row r="936" spans="1:7" hidden="1" x14ac:dyDescent="0.25">
      <c r="A936" s="85" t="s">
        <v>2756</v>
      </c>
      <c r="B936" s="88" t="s">
        <v>2724</v>
      </c>
      <c r="C936" s="26" t="s">
        <v>37</v>
      </c>
      <c r="D936" s="14"/>
      <c r="E936" s="15"/>
      <c r="F936" s="16">
        <f t="shared" si="62"/>
        <v>0</v>
      </c>
      <c r="G936">
        <f t="shared" si="63"/>
        <v>0</v>
      </c>
    </row>
    <row r="937" spans="1:7" hidden="1" x14ac:dyDescent="0.25">
      <c r="A937" s="85" t="s">
        <v>2757</v>
      </c>
      <c r="B937" s="88" t="s">
        <v>2725</v>
      </c>
      <c r="C937" s="26" t="s">
        <v>37</v>
      </c>
      <c r="D937" s="14"/>
      <c r="E937" s="15"/>
      <c r="F937" s="16">
        <f t="shared" si="62"/>
        <v>0</v>
      </c>
      <c r="G937">
        <f t="shared" si="63"/>
        <v>0</v>
      </c>
    </row>
    <row r="938" spans="1:7" hidden="1" x14ac:dyDescent="0.25">
      <c r="A938" s="85" t="s">
        <v>2758</v>
      </c>
      <c r="B938" s="88" t="s">
        <v>2726</v>
      </c>
      <c r="C938" s="26" t="s">
        <v>37</v>
      </c>
      <c r="D938" s="14"/>
      <c r="E938" s="15"/>
      <c r="F938" s="16">
        <f t="shared" si="62"/>
        <v>0</v>
      </c>
      <c r="G938">
        <f t="shared" si="63"/>
        <v>0</v>
      </c>
    </row>
    <row r="939" spans="1:7" hidden="1" x14ac:dyDescent="0.25">
      <c r="A939" s="85" t="s">
        <v>2759</v>
      </c>
      <c r="B939" s="88" t="s">
        <v>2727</v>
      </c>
      <c r="C939" s="26" t="s">
        <v>37</v>
      </c>
      <c r="D939" s="14"/>
      <c r="E939" s="15"/>
      <c r="F939" s="16">
        <f t="shared" si="62"/>
        <v>0</v>
      </c>
      <c r="G939">
        <f t="shared" si="63"/>
        <v>0</v>
      </c>
    </row>
    <row r="940" spans="1:7" hidden="1" x14ac:dyDescent="0.25">
      <c r="A940" s="85" t="s">
        <v>2760</v>
      </c>
      <c r="B940" s="88" t="s">
        <v>2728</v>
      </c>
      <c r="C940" s="26" t="s">
        <v>37</v>
      </c>
      <c r="D940" s="14"/>
      <c r="E940" s="15"/>
      <c r="F940" s="16">
        <f t="shared" si="62"/>
        <v>0</v>
      </c>
      <c r="G940">
        <f t="shared" si="63"/>
        <v>0</v>
      </c>
    </row>
    <row r="941" spans="1:7" hidden="1" x14ac:dyDescent="0.25">
      <c r="A941" s="85" t="s">
        <v>2761</v>
      </c>
      <c r="B941" s="88" t="s">
        <v>2729</v>
      </c>
      <c r="C941" s="26" t="s">
        <v>37</v>
      </c>
      <c r="D941" s="14"/>
      <c r="E941" s="15"/>
      <c r="F941" s="16">
        <f t="shared" si="62"/>
        <v>0</v>
      </c>
      <c r="G941">
        <f t="shared" si="63"/>
        <v>0</v>
      </c>
    </row>
    <row r="942" spans="1:7" hidden="1" x14ac:dyDescent="0.25">
      <c r="A942" s="85" t="s">
        <v>2762</v>
      </c>
      <c r="B942" s="88" t="s">
        <v>2730</v>
      </c>
      <c r="C942" s="26" t="s">
        <v>37</v>
      </c>
      <c r="D942" s="14"/>
      <c r="E942" s="15"/>
      <c r="F942" s="16">
        <f t="shared" si="62"/>
        <v>0</v>
      </c>
      <c r="G942">
        <f t="shared" si="63"/>
        <v>0</v>
      </c>
    </row>
    <row r="943" spans="1:7" hidden="1" x14ac:dyDescent="0.25">
      <c r="A943" s="85" t="s">
        <v>2763</v>
      </c>
      <c r="B943" s="88" t="s">
        <v>2731</v>
      </c>
      <c r="C943" s="26" t="s">
        <v>37</v>
      </c>
      <c r="D943" s="14"/>
      <c r="E943" s="15"/>
      <c r="F943" s="16">
        <f t="shared" si="62"/>
        <v>0</v>
      </c>
      <c r="G943">
        <f t="shared" si="63"/>
        <v>0</v>
      </c>
    </row>
    <row r="944" spans="1:7" hidden="1" x14ac:dyDescent="0.25">
      <c r="A944" s="85" t="s">
        <v>2764</v>
      </c>
      <c r="B944" s="88" t="s">
        <v>2732</v>
      </c>
      <c r="C944" s="26" t="s">
        <v>37</v>
      </c>
      <c r="D944" s="14"/>
      <c r="E944" s="15"/>
      <c r="F944" s="16">
        <f t="shared" si="62"/>
        <v>0</v>
      </c>
      <c r="G944">
        <f t="shared" si="63"/>
        <v>0</v>
      </c>
    </row>
    <row r="945" spans="1:7" hidden="1" x14ac:dyDescent="0.25">
      <c r="A945" s="85" t="s">
        <v>2765</v>
      </c>
      <c r="B945" s="88" t="s">
        <v>2781</v>
      </c>
      <c r="C945" s="26" t="s">
        <v>37</v>
      </c>
      <c r="D945" s="14"/>
      <c r="E945" s="15"/>
      <c r="F945" s="16">
        <f t="shared" si="62"/>
        <v>0</v>
      </c>
      <c r="G945">
        <f t="shared" si="63"/>
        <v>0</v>
      </c>
    </row>
    <row r="946" spans="1:7" hidden="1" x14ac:dyDescent="0.25">
      <c r="A946" s="85" t="s">
        <v>2766</v>
      </c>
      <c r="B946" s="88" t="s">
        <v>2733</v>
      </c>
      <c r="C946" s="26" t="s">
        <v>37</v>
      </c>
      <c r="D946" s="14"/>
      <c r="E946" s="15"/>
      <c r="F946" s="16">
        <f t="shared" si="62"/>
        <v>0</v>
      </c>
      <c r="G946">
        <f t="shared" si="63"/>
        <v>0</v>
      </c>
    </row>
    <row r="947" spans="1:7" hidden="1" x14ac:dyDescent="0.25">
      <c r="A947" s="85" t="s">
        <v>2767</v>
      </c>
      <c r="B947" s="88" t="s">
        <v>2775</v>
      </c>
      <c r="C947" s="26" t="s">
        <v>37</v>
      </c>
      <c r="D947" s="14"/>
      <c r="E947" s="15"/>
      <c r="F947" s="16">
        <f t="shared" si="62"/>
        <v>0</v>
      </c>
      <c r="G947">
        <f t="shared" si="63"/>
        <v>0</v>
      </c>
    </row>
    <row r="948" spans="1:7" hidden="1" x14ac:dyDescent="0.25">
      <c r="A948" s="85" t="s">
        <v>2768</v>
      </c>
      <c r="B948" s="88" t="s">
        <v>2774</v>
      </c>
      <c r="C948" s="26" t="s">
        <v>37</v>
      </c>
      <c r="D948" s="14"/>
      <c r="E948" s="15"/>
      <c r="F948" s="16">
        <f t="shared" si="62"/>
        <v>0</v>
      </c>
      <c r="G948">
        <f t="shared" si="63"/>
        <v>0</v>
      </c>
    </row>
    <row r="949" spans="1:7" hidden="1" x14ac:dyDescent="0.25">
      <c r="A949" s="85" t="s">
        <v>2769</v>
      </c>
      <c r="B949" s="88" t="s">
        <v>2780</v>
      </c>
      <c r="C949" s="26" t="s">
        <v>37</v>
      </c>
      <c r="D949" s="14"/>
      <c r="E949" s="15"/>
      <c r="F949" s="16">
        <f t="shared" si="62"/>
        <v>0</v>
      </c>
      <c r="G949">
        <f t="shared" si="63"/>
        <v>0</v>
      </c>
    </row>
    <row r="950" spans="1:7" hidden="1" x14ac:dyDescent="0.25">
      <c r="A950" s="85" t="s">
        <v>2770</v>
      </c>
      <c r="B950" s="88" t="s">
        <v>2776</v>
      </c>
      <c r="C950" s="26" t="s">
        <v>37</v>
      </c>
      <c r="D950" s="14"/>
      <c r="E950" s="15"/>
      <c r="F950" s="16">
        <f t="shared" si="62"/>
        <v>0</v>
      </c>
      <c r="G950">
        <f t="shared" si="63"/>
        <v>0</v>
      </c>
    </row>
    <row r="951" spans="1:7" hidden="1" x14ac:dyDescent="0.25">
      <c r="A951" s="85" t="s">
        <v>2771</v>
      </c>
      <c r="B951" s="88" t="s">
        <v>2777</v>
      </c>
      <c r="C951" s="26" t="s">
        <v>37</v>
      </c>
      <c r="D951" s="14"/>
      <c r="E951" s="15"/>
      <c r="F951" s="16">
        <f t="shared" si="62"/>
        <v>0</v>
      </c>
      <c r="G951">
        <f t="shared" si="63"/>
        <v>0</v>
      </c>
    </row>
    <row r="952" spans="1:7" hidden="1" x14ac:dyDescent="0.25">
      <c r="A952" s="85" t="s">
        <v>2772</v>
      </c>
      <c r="B952" s="88" t="s">
        <v>2778</v>
      </c>
      <c r="C952" s="26" t="s">
        <v>37</v>
      </c>
      <c r="D952" s="14"/>
      <c r="E952" s="15"/>
      <c r="F952" s="16">
        <f t="shared" si="62"/>
        <v>0</v>
      </c>
      <c r="G952">
        <f t="shared" si="63"/>
        <v>0</v>
      </c>
    </row>
    <row r="953" spans="1:7" hidden="1" x14ac:dyDescent="0.25">
      <c r="A953" s="85" t="s">
        <v>2773</v>
      </c>
      <c r="B953" s="88" t="s">
        <v>2779</v>
      </c>
      <c r="C953" s="26" t="s">
        <v>37</v>
      </c>
      <c r="D953" s="14"/>
      <c r="E953" s="15"/>
      <c r="F953" s="16">
        <f t="shared" si="62"/>
        <v>0</v>
      </c>
      <c r="G953">
        <f t="shared" si="63"/>
        <v>0</v>
      </c>
    </row>
    <row r="954" spans="1:7" hidden="1" x14ac:dyDescent="0.25">
      <c r="A954" s="85" t="s">
        <v>2791</v>
      </c>
      <c r="B954" s="88" t="s">
        <v>2783</v>
      </c>
      <c r="C954" s="26" t="s">
        <v>37</v>
      </c>
      <c r="D954" s="14"/>
      <c r="E954" s="15"/>
      <c r="F954" s="16">
        <f t="shared" si="62"/>
        <v>0</v>
      </c>
      <c r="G954">
        <f t="shared" si="63"/>
        <v>0</v>
      </c>
    </row>
    <row r="955" spans="1:7" hidden="1" x14ac:dyDescent="0.25">
      <c r="A955" s="85" t="s">
        <v>2792</v>
      </c>
      <c r="B955" s="88" t="s">
        <v>2784</v>
      </c>
      <c r="C955" s="26" t="s">
        <v>37</v>
      </c>
      <c r="D955" s="14"/>
      <c r="E955" s="15"/>
      <c r="F955" s="16">
        <f t="shared" si="62"/>
        <v>0</v>
      </c>
      <c r="G955">
        <f t="shared" si="63"/>
        <v>0</v>
      </c>
    </row>
    <row r="956" spans="1:7" hidden="1" x14ac:dyDescent="0.25">
      <c r="A956" s="85" t="s">
        <v>2793</v>
      </c>
      <c r="B956" s="88" t="s">
        <v>2785</v>
      </c>
      <c r="C956" s="26" t="s">
        <v>37</v>
      </c>
      <c r="D956" s="14"/>
      <c r="E956" s="15"/>
      <c r="F956" s="16">
        <f t="shared" si="62"/>
        <v>0</v>
      </c>
      <c r="G956">
        <f t="shared" si="63"/>
        <v>0</v>
      </c>
    </row>
    <row r="957" spans="1:7" hidden="1" x14ac:dyDescent="0.25">
      <c r="A957" s="85" t="s">
        <v>2794</v>
      </c>
      <c r="B957" s="88" t="s">
        <v>2786</v>
      </c>
      <c r="C957" s="26" t="s">
        <v>37</v>
      </c>
      <c r="D957" s="14"/>
      <c r="E957" s="15"/>
      <c r="F957" s="16">
        <f t="shared" si="62"/>
        <v>0</v>
      </c>
      <c r="G957">
        <f t="shared" si="63"/>
        <v>0</v>
      </c>
    </row>
    <row r="958" spans="1:7" hidden="1" x14ac:dyDescent="0.25">
      <c r="A958" s="85" t="s">
        <v>2795</v>
      </c>
      <c r="B958" s="88" t="s">
        <v>2787</v>
      </c>
      <c r="C958" s="26" t="s">
        <v>37</v>
      </c>
      <c r="D958" s="14"/>
      <c r="E958" s="15"/>
      <c r="F958" s="16">
        <f t="shared" si="62"/>
        <v>0</v>
      </c>
      <c r="G958">
        <f t="shared" si="63"/>
        <v>0</v>
      </c>
    </row>
    <row r="959" spans="1:7" hidden="1" x14ac:dyDescent="0.25">
      <c r="A959" s="85" t="s">
        <v>2796</v>
      </c>
      <c r="B959" s="88" t="s">
        <v>2788</v>
      </c>
      <c r="C959" s="26" t="s">
        <v>37</v>
      </c>
      <c r="D959" s="14"/>
      <c r="E959" s="15"/>
      <c r="F959" s="16">
        <f t="shared" si="62"/>
        <v>0</v>
      </c>
      <c r="G959">
        <f t="shared" si="63"/>
        <v>0</v>
      </c>
    </row>
    <row r="960" spans="1:7" hidden="1" x14ac:dyDescent="0.25">
      <c r="A960" s="85" t="s">
        <v>2797</v>
      </c>
      <c r="B960" s="88" t="s">
        <v>2789</v>
      </c>
      <c r="C960" s="26" t="s">
        <v>37</v>
      </c>
      <c r="D960" s="14"/>
      <c r="E960" s="15"/>
      <c r="F960" s="16">
        <f t="shared" si="62"/>
        <v>0</v>
      </c>
      <c r="G960">
        <f t="shared" si="63"/>
        <v>0</v>
      </c>
    </row>
    <row r="961" spans="1:7" hidden="1" x14ac:dyDescent="0.25">
      <c r="A961" s="85" t="s">
        <v>2798</v>
      </c>
      <c r="B961" s="88" t="s">
        <v>2790</v>
      </c>
      <c r="C961" s="26" t="s">
        <v>37</v>
      </c>
      <c r="D961" s="14"/>
      <c r="E961" s="15"/>
      <c r="F961" s="16">
        <f t="shared" si="62"/>
        <v>0</v>
      </c>
      <c r="G961">
        <f t="shared" si="63"/>
        <v>0</v>
      </c>
    </row>
    <row r="962" spans="1:7" hidden="1" x14ac:dyDescent="0.25">
      <c r="A962" s="85" t="s">
        <v>2799</v>
      </c>
      <c r="B962" s="88" t="s">
        <v>2782</v>
      </c>
      <c r="C962" s="26" t="s">
        <v>37</v>
      </c>
      <c r="D962" s="14"/>
      <c r="E962" s="15"/>
      <c r="F962" s="16">
        <f t="shared" si="62"/>
        <v>0</v>
      </c>
      <c r="G962">
        <f t="shared" si="63"/>
        <v>0</v>
      </c>
    </row>
    <row r="963" spans="1:7" x14ac:dyDescent="0.25">
      <c r="A963" s="61" t="s">
        <v>958</v>
      </c>
      <c r="B963" s="62" t="s">
        <v>959</v>
      </c>
      <c r="C963" s="63"/>
      <c r="D963" s="63"/>
      <c r="E963" s="460"/>
      <c r="F963" s="461"/>
      <c r="G963">
        <v>1</v>
      </c>
    </row>
    <row r="964" spans="1:7" hidden="1" x14ac:dyDescent="0.25">
      <c r="A964" s="44" t="s">
        <v>960</v>
      </c>
      <c r="B964" s="80" t="s">
        <v>961</v>
      </c>
      <c r="C964" s="14"/>
      <c r="D964" s="14"/>
      <c r="E964" s="15"/>
      <c r="F964" s="16"/>
      <c r="G964">
        <f t="shared" si="63"/>
        <v>0</v>
      </c>
    </row>
    <row r="965" spans="1:7" hidden="1" x14ac:dyDescent="0.25">
      <c r="A965" s="44" t="s">
        <v>2801</v>
      </c>
      <c r="B965" s="80" t="s">
        <v>2800</v>
      </c>
      <c r="C965" s="14"/>
      <c r="D965" s="14"/>
      <c r="E965" s="15"/>
      <c r="F965" s="16"/>
      <c r="G965">
        <f t="shared" si="63"/>
        <v>0</v>
      </c>
    </row>
    <row r="966" spans="1:7" hidden="1" x14ac:dyDescent="0.25">
      <c r="A966" s="43" t="s">
        <v>2829</v>
      </c>
      <c r="B966" s="81" t="s">
        <v>2802</v>
      </c>
      <c r="C966" s="26" t="s">
        <v>37</v>
      </c>
      <c r="D966" s="14"/>
      <c r="E966" s="15"/>
      <c r="F966" s="16">
        <f t="shared" ref="F966:F1030" si="64">+D966*E966</f>
        <v>0</v>
      </c>
      <c r="G966">
        <f t="shared" si="63"/>
        <v>0</v>
      </c>
    </row>
    <row r="967" spans="1:7" hidden="1" x14ac:dyDescent="0.25">
      <c r="A967" s="43" t="s">
        <v>2830</v>
      </c>
      <c r="B967" s="81" t="s">
        <v>2803</v>
      </c>
      <c r="C967" s="26" t="s">
        <v>37</v>
      </c>
      <c r="D967" s="14"/>
      <c r="E967" s="15"/>
      <c r="F967" s="16">
        <f t="shared" si="64"/>
        <v>0</v>
      </c>
      <c r="G967">
        <f t="shared" si="63"/>
        <v>0</v>
      </c>
    </row>
    <row r="968" spans="1:7" hidden="1" x14ac:dyDescent="0.25">
      <c r="A968" s="43" t="s">
        <v>2831</v>
      </c>
      <c r="B968" s="81" t="s">
        <v>2804</v>
      </c>
      <c r="C968" s="26" t="s">
        <v>37</v>
      </c>
      <c r="D968" s="14"/>
      <c r="E968" s="15"/>
      <c r="F968" s="16">
        <f t="shared" si="64"/>
        <v>0</v>
      </c>
      <c r="G968">
        <f t="shared" si="63"/>
        <v>0</v>
      </c>
    </row>
    <row r="969" spans="1:7" hidden="1" x14ac:dyDescent="0.25">
      <c r="A969" s="43" t="s">
        <v>2832</v>
      </c>
      <c r="B969" s="81" t="s">
        <v>2805</v>
      </c>
      <c r="C969" s="26" t="s">
        <v>37</v>
      </c>
      <c r="D969" s="14"/>
      <c r="E969" s="15"/>
      <c r="F969" s="16">
        <f t="shared" si="64"/>
        <v>0</v>
      </c>
      <c r="G969">
        <f t="shared" si="63"/>
        <v>0</v>
      </c>
    </row>
    <row r="970" spans="1:7" hidden="1" x14ac:dyDescent="0.25">
      <c r="A970" s="43" t="s">
        <v>2833</v>
      </c>
      <c r="B970" s="81" t="s">
        <v>2806</v>
      </c>
      <c r="C970" s="26" t="s">
        <v>37</v>
      </c>
      <c r="D970" s="14"/>
      <c r="E970" s="15"/>
      <c r="F970" s="16">
        <f t="shared" si="64"/>
        <v>0</v>
      </c>
      <c r="G970">
        <f t="shared" si="63"/>
        <v>0</v>
      </c>
    </row>
    <row r="971" spans="1:7" hidden="1" x14ac:dyDescent="0.25">
      <c r="A971" s="43" t="s">
        <v>2834</v>
      </c>
      <c r="B971" s="81" t="s">
        <v>2807</v>
      </c>
      <c r="C971" s="26" t="s">
        <v>37</v>
      </c>
      <c r="D971" s="14"/>
      <c r="E971" s="15"/>
      <c r="F971" s="16">
        <f t="shared" si="64"/>
        <v>0</v>
      </c>
      <c r="G971">
        <f t="shared" si="63"/>
        <v>0</v>
      </c>
    </row>
    <row r="972" spans="1:7" hidden="1" x14ac:dyDescent="0.25">
      <c r="A972" s="43" t="s">
        <v>2835</v>
      </c>
      <c r="B972" s="81" t="s">
        <v>2808</v>
      </c>
      <c r="C972" s="26" t="s">
        <v>37</v>
      </c>
      <c r="D972" s="14"/>
      <c r="E972" s="15"/>
      <c r="F972" s="16">
        <f t="shared" si="64"/>
        <v>0</v>
      </c>
      <c r="G972">
        <f t="shared" si="63"/>
        <v>0</v>
      </c>
    </row>
    <row r="973" spans="1:7" hidden="1" x14ac:dyDescent="0.25">
      <c r="A973" s="43" t="s">
        <v>2836</v>
      </c>
      <c r="B973" s="81" t="s">
        <v>2809</v>
      </c>
      <c r="C973" s="26" t="s">
        <v>37</v>
      </c>
      <c r="D973" s="14"/>
      <c r="E973" s="15"/>
      <c r="F973" s="16">
        <f t="shared" si="64"/>
        <v>0</v>
      </c>
      <c r="G973">
        <f t="shared" si="63"/>
        <v>0</v>
      </c>
    </row>
    <row r="974" spans="1:7" hidden="1" x14ac:dyDescent="0.25">
      <c r="A974" s="43" t="s">
        <v>2837</v>
      </c>
      <c r="B974" s="81" t="s">
        <v>2810</v>
      </c>
      <c r="C974" s="26" t="s">
        <v>37</v>
      </c>
      <c r="D974" s="14"/>
      <c r="E974" s="15"/>
      <c r="F974" s="16">
        <f t="shared" si="64"/>
        <v>0</v>
      </c>
      <c r="G974">
        <f t="shared" si="63"/>
        <v>0</v>
      </c>
    </row>
    <row r="975" spans="1:7" hidden="1" x14ac:dyDescent="0.25">
      <c r="A975" s="43" t="s">
        <v>2838</v>
      </c>
      <c r="B975" s="81" t="s">
        <v>2811</v>
      </c>
      <c r="C975" s="26" t="s">
        <v>37</v>
      </c>
      <c r="D975" s="14"/>
      <c r="E975" s="15"/>
      <c r="F975" s="16">
        <f t="shared" si="64"/>
        <v>0</v>
      </c>
      <c r="G975">
        <f t="shared" si="63"/>
        <v>0</v>
      </c>
    </row>
    <row r="976" spans="1:7" hidden="1" x14ac:dyDescent="0.25">
      <c r="A976" s="43" t="s">
        <v>2839</v>
      </c>
      <c r="B976" s="81" t="s">
        <v>2812</v>
      </c>
      <c r="C976" s="26" t="s">
        <v>37</v>
      </c>
      <c r="D976" s="14"/>
      <c r="E976" s="15"/>
      <c r="F976" s="16">
        <f t="shared" si="64"/>
        <v>0</v>
      </c>
      <c r="G976">
        <f t="shared" si="63"/>
        <v>0</v>
      </c>
    </row>
    <row r="977" spans="1:7" hidden="1" x14ac:dyDescent="0.25">
      <c r="A977" s="43" t="s">
        <v>2840</v>
      </c>
      <c r="B977" s="81" t="s">
        <v>2813</v>
      </c>
      <c r="C977" s="26" t="s">
        <v>37</v>
      </c>
      <c r="D977" s="14"/>
      <c r="E977" s="15"/>
      <c r="F977" s="16">
        <f t="shared" si="64"/>
        <v>0</v>
      </c>
      <c r="G977">
        <f t="shared" si="63"/>
        <v>0</v>
      </c>
    </row>
    <row r="978" spans="1:7" hidden="1" x14ac:dyDescent="0.25">
      <c r="A978" s="43" t="s">
        <v>2841</v>
      </c>
      <c r="B978" s="81" t="s">
        <v>2814</v>
      </c>
      <c r="C978" s="26" t="s">
        <v>37</v>
      </c>
      <c r="D978" s="14"/>
      <c r="E978" s="15"/>
      <c r="F978" s="16">
        <f t="shared" si="64"/>
        <v>0</v>
      </c>
      <c r="G978">
        <f t="shared" si="63"/>
        <v>0</v>
      </c>
    </row>
    <row r="979" spans="1:7" hidden="1" x14ac:dyDescent="0.25">
      <c r="A979" s="43" t="s">
        <v>2842</v>
      </c>
      <c r="B979" s="81" t="s">
        <v>2815</v>
      </c>
      <c r="C979" s="26" t="s">
        <v>37</v>
      </c>
      <c r="D979" s="14"/>
      <c r="E979" s="15"/>
      <c r="F979" s="16">
        <f t="shared" si="64"/>
        <v>0</v>
      </c>
      <c r="G979">
        <f t="shared" si="63"/>
        <v>0</v>
      </c>
    </row>
    <row r="980" spans="1:7" hidden="1" x14ac:dyDescent="0.25">
      <c r="A980" s="43" t="s">
        <v>2843</v>
      </c>
      <c r="B980" s="81" t="s">
        <v>2816</v>
      </c>
      <c r="C980" s="26" t="s">
        <v>37</v>
      </c>
      <c r="D980" s="14"/>
      <c r="E980" s="15"/>
      <c r="F980" s="16">
        <f t="shared" si="64"/>
        <v>0</v>
      </c>
      <c r="G980">
        <f t="shared" si="63"/>
        <v>0</v>
      </c>
    </row>
    <row r="981" spans="1:7" hidden="1" x14ac:dyDescent="0.25">
      <c r="A981" s="43" t="s">
        <v>2844</v>
      </c>
      <c r="B981" s="81" t="s">
        <v>2817</v>
      </c>
      <c r="C981" s="26" t="s">
        <v>37</v>
      </c>
      <c r="D981" s="14"/>
      <c r="E981" s="15"/>
      <c r="F981" s="16">
        <f t="shared" si="64"/>
        <v>0</v>
      </c>
      <c r="G981">
        <f t="shared" si="63"/>
        <v>0</v>
      </c>
    </row>
    <row r="982" spans="1:7" hidden="1" x14ac:dyDescent="0.25">
      <c r="A982" s="43" t="s">
        <v>2845</v>
      </c>
      <c r="B982" s="81" t="s">
        <v>2818</v>
      </c>
      <c r="C982" s="26" t="s">
        <v>37</v>
      </c>
      <c r="D982" s="14"/>
      <c r="E982" s="15"/>
      <c r="F982" s="16">
        <f t="shared" si="64"/>
        <v>0</v>
      </c>
      <c r="G982">
        <f t="shared" si="63"/>
        <v>0</v>
      </c>
    </row>
    <row r="983" spans="1:7" hidden="1" x14ac:dyDescent="0.25">
      <c r="A983" s="43" t="s">
        <v>2846</v>
      </c>
      <c r="B983" s="81" t="s">
        <v>2819</v>
      </c>
      <c r="C983" s="26" t="s">
        <v>37</v>
      </c>
      <c r="D983" s="14"/>
      <c r="E983" s="15">
        <f>+SUM!H982</f>
        <v>1047331</v>
      </c>
      <c r="F983" s="16">
        <f t="shared" si="64"/>
        <v>0</v>
      </c>
      <c r="G983">
        <f t="shared" si="63"/>
        <v>0</v>
      </c>
    </row>
    <row r="984" spans="1:7" hidden="1" x14ac:dyDescent="0.25">
      <c r="A984" s="43" t="s">
        <v>2847</v>
      </c>
      <c r="B984" s="81" t="s">
        <v>2820</v>
      </c>
      <c r="C984" s="26" t="s">
        <v>37</v>
      </c>
      <c r="D984" s="14"/>
      <c r="E984" s="15">
        <f>+SUM!H983</f>
        <v>1100934</v>
      </c>
      <c r="F984" s="16">
        <f t="shared" si="64"/>
        <v>0</v>
      </c>
      <c r="G984">
        <f t="shared" si="63"/>
        <v>0</v>
      </c>
    </row>
    <row r="985" spans="1:7" hidden="1" x14ac:dyDescent="0.25">
      <c r="A985" s="43" t="s">
        <v>2848</v>
      </c>
      <c r="B985" s="81" t="s">
        <v>2821</v>
      </c>
      <c r="C985" s="26" t="s">
        <v>37</v>
      </c>
      <c r="D985" s="14"/>
      <c r="E985" s="15">
        <f>+SUM!H984</f>
        <v>1283736</v>
      </c>
      <c r="F985" s="16">
        <f t="shared" si="64"/>
        <v>0</v>
      </c>
      <c r="G985">
        <f t="shared" si="63"/>
        <v>0</v>
      </c>
    </row>
    <row r="986" spans="1:7" hidden="1" x14ac:dyDescent="0.25">
      <c r="A986" s="43" t="s">
        <v>2849</v>
      </c>
      <c r="B986" s="81" t="s">
        <v>2822</v>
      </c>
      <c r="C986" s="26" t="s">
        <v>37</v>
      </c>
      <c r="D986" s="14"/>
      <c r="E986" s="15">
        <f>+SUM!H985</f>
        <v>1417058</v>
      </c>
      <c r="F986" s="16">
        <f t="shared" si="64"/>
        <v>0</v>
      </c>
      <c r="G986">
        <f t="shared" si="63"/>
        <v>0</v>
      </c>
    </row>
    <row r="987" spans="1:7" hidden="1" x14ac:dyDescent="0.25">
      <c r="A987" s="43" t="s">
        <v>2850</v>
      </c>
      <c r="B987" s="81" t="s">
        <v>2823</v>
      </c>
      <c r="C987" s="26" t="s">
        <v>37</v>
      </c>
      <c r="D987" s="14"/>
      <c r="E987" s="15">
        <f>+SUM!H986</f>
        <v>1467913</v>
      </c>
      <c r="F987" s="16">
        <f t="shared" si="64"/>
        <v>0</v>
      </c>
      <c r="G987">
        <f t="shared" si="63"/>
        <v>0</v>
      </c>
    </row>
    <row r="988" spans="1:7" hidden="1" x14ac:dyDescent="0.25">
      <c r="A988" s="43" t="s">
        <v>2851</v>
      </c>
      <c r="B988" s="81" t="s">
        <v>2827</v>
      </c>
      <c r="C988" s="26" t="s">
        <v>37</v>
      </c>
      <c r="D988" s="14"/>
      <c r="E988" s="15">
        <f>+SUM!H987</f>
        <v>1503648</v>
      </c>
      <c r="F988" s="16">
        <f t="shared" si="64"/>
        <v>0</v>
      </c>
      <c r="G988">
        <f t="shared" si="63"/>
        <v>0</v>
      </c>
    </row>
    <row r="989" spans="1:7" hidden="1" x14ac:dyDescent="0.25">
      <c r="A989" s="43" t="s">
        <v>2852</v>
      </c>
      <c r="B989" s="81" t="s">
        <v>2824</v>
      </c>
      <c r="C989" s="26" t="s">
        <v>37</v>
      </c>
      <c r="D989" s="14"/>
      <c r="E989" s="15">
        <f>+SUM!H988</f>
        <v>1833516</v>
      </c>
      <c r="F989" s="16">
        <f t="shared" si="64"/>
        <v>0</v>
      </c>
      <c r="G989">
        <f t="shared" si="63"/>
        <v>0</v>
      </c>
    </row>
    <row r="990" spans="1:7" hidden="1" x14ac:dyDescent="0.25">
      <c r="A990" s="43" t="s">
        <v>2853</v>
      </c>
      <c r="B990" s="81" t="s">
        <v>2825</v>
      </c>
      <c r="C990" s="26" t="s">
        <v>37</v>
      </c>
      <c r="D990" s="14"/>
      <c r="E990" s="15">
        <f>+SUM!H989</f>
        <v>2017693</v>
      </c>
      <c r="F990" s="16">
        <f t="shared" si="64"/>
        <v>0</v>
      </c>
      <c r="G990">
        <f t="shared" si="63"/>
        <v>0</v>
      </c>
    </row>
    <row r="991" spans="1:7" hidden="1" x14ac:dyDescent="0.25">
      <c r="A991" s="43" t="s">
        <v>2854</v>
      </c>
      <c r="B991" s="81" t="s">
        <v>2826</v>
      </c>
      <c r="C991" s="26" t="s">
        <v>37</v>
      </c>
      <c r="D991" s="14"/>
      <c r="E991" s="15">
        <f>+SUM!H990</f>
        <v>2384671</v>
      </c>
      <c r="F991" s="16">
        <f t="shared" si="64"/>
        <v>0</v>
      </c>
      <c r="G991">
        <f t="shared" si="63"/>
        <v>0</v>
      </c>
    </row>
    <row r="992" spans="1:7" hidden="1" x14ac:dyDescent="0.25">
      <c r="A992" s="43" t="s">
        <v>2855</v>
      </c>
      <c r="B992" s="81" t="s">
        <v>2828</v>
      </c>
      <c r="C992" s="26" t="s">
        <v>37</v>
      </c>
      <c r="D992" s="14"/>
      <c r="E992" s="15">
        <f>+SUM!H991</f>
        <v>2751649</v>
      </c>
      <c r="F992" s="16">
        <f t="shared" si="64"/>
        <v>0</v>
      </c>
      <c r="G992">
        <f t="shared" si="63"/>
        <v>0</v>
      </c>
    </row>
    <row r="993" spans="1:7" hidden="1" x14ac:dyDescent="0.25">
      <c r="A993" s="43" t="s">
        <v>2856</v>
      </c>
      <c r="B993" s="81" t="s">
        <v>2871</v>
      </c>
      <c r="C993" s="26" t="s">
        <v>37</v>
      </c>
      <c r="D993" s="14"/>
      <c r="E993" s="15">
        <f>+SUM!H992</f>
        <v>2028688</v>
      </c>
      <c r="F993" s="16">
        <f t="shared" si="64"/>
        <v>0</v>
      </c>
      <c r="G993">
        <f t="shared" si="63"/>
        <v>0</v>
      </c>
    </row>
    <row r="994" spans="1:7" ht="15.75" thickBot="1" x14ac:dyDescent="0.3">
      <c r="A994" s="43" t="s">
        <v>2857</v>
      </c>
      <c r="B994" s="81" t="s">
        <v>6549</v>
      </c>
      <c r="C994" s="26" t="s">
        <v>37</v>
      </c>
      <c r="D994" s="14">
        <v>6</v>
      </c>
      <c r="E994" s="15">
        <f>+SUM!H993*1.3</f>
        <v>2742715.3000000003</v>
      </c>
      <c r="F994" s="16">
        <f t="shared" si="64"/>
        <v>16456291.800000001</v>
      </c>
      <c r="G994">
        <f t="shared" si="63"/>
        <v>1</v>
      </c>
    </row>
    <row r="995" spans="1:7" ht="15.75" hidden="1" thickBot="1" x14ac:dyDescent="0.3">
      <c r="A995" s="43" t="s">
        <v>2858</v>
      </c>
      <c r="B995" s="81" t="s">
        <v>2873</v>
      </c>
      <c r="C995" s="26" t="s">
        <v>37</v>
      </c>
      <c r="D995" s="14"/>
      <c r="E995" s="15"/>
      <c r="F995" s="16">
        <f t="shared" si="64"/>
        <v>0</v>
      </c>
      <c r="G995">
        <f t="shared" si="63"/>
        <v>0</v>
      </c>
    </row>
    <row r="996" spans="1:7" ht="15.75" hidden="1" thickBot="1" x14ac:dyDescent="0.3">
      <c r="A996" s="43" t="s">
        <v>2859</v>
      </c>
      <c r="B996" s="81" t="s">
        <v>2874</v>
      </c>
      <c r="C996" s="26" t="s">
        <v>37</v>
      </c>
      <c r="D996" s="14"/>
      <c r="E996" s="15"/>
      <c r="F996" s="16">
        <f t="shared" si="64"/>
        <v>0</v>
      </c>
      <c r="G996">
        <f t="shared" ref="G996:G1059" si="65">+IF(F996&lt;&gt;0,1,0)</f>
        <v>0</v>
      </c>
    </row>
    <row r="997" spans="1:7" ht="15.75" hidden="1" thickBot="1" x14ac:dyDescent="0.3">
      <c r="A997" s="43" t="s">
        <v>2860</v>
      </c>
      <c r="B997" s="81" t="s">
        <v>2875</v>
      </c>
      <c r="C997" s="26" t="s">
        <v>37</v>
      </c>
      <c r="D997" s="14"/>
      <c r="E997" s="15"/>
      <c r="F997" s="16">
        <f t="shared" si="64"/>
        <v>0</v>
      </c>
      <c r="G997">
        <f t="shared" si="65"/>
        <v>0</v>
      </c>
    </row>
    <row r="998" spans="1:7" ht="15.75" hidden="1" thickBot="1" x14ac:dyDescent="0.3">
      <c r="A998" s="43" t="s">
        <v>2861</v>
      </c>
      <c r="B998" s="81" t="s">
        <v>2876</v>
      </c>
      <c r="C998" s="26" t="s">
        <v>37</v>
      </c>
      <c r="D998" s="14"/>
      <c r="E998" s="15"/>
      <c r="F998" s="16">
        <f t="shared" si="64"/>
        <v>0</v>
      </c>
      <c r="G998">
        <f t="shared" si="65"/>
        <v>0</v>
      </c>
    </row>
    <row r="999" spans="1:7" ht="15.75" hidden="1" thickBot="1" x14ac:dyDescent="0.3">
      <c r="A999" s="43" t="s">
        <v>2862</v>
      </c>
      <c r="B999" s="81" t="s">
        <v>2877</v>
      </c>
      <c r="C999" s="26" t="s">
        <v>37</v>
      </c>
      <c r="D999" s="14"/>
      <c r="E999" s="15"/>
      <c r="F999" s="16">
        <f t="shared" si="64"/>
        <v>0</v>
      </c>
      <c r="G999">
        <f t="shared" si="65"/>
        <v>0</v>
      </c>
    </row>
    <row r="1000" spans="1:7" ht="15.75" hidden="1" thickBot="1" x14ac:dyDescent="0.3">
      <c r="A1000" s="43" t="s">
        <v>2863</v>
      </c>
      <c r="B1000" s="81" t="s">
        <v>2878</v>
      </c>
      <c r="C1000" s="26" t="s">
        <v>37</v>
      </c>
      <c r="D1000" s="14"/>
      <c r="E1000" s="15"/>
      <c r="F1000" s="16">
        <f t="shared" si="64"/>
        <v>0</v>
      </c>
      <c r="G1000">
        <f t="shared" si="65"/>
        <v>0</v>
      </c>
    </row>
    <row r="1001" spans="1:7" ht="15.75" hidden="1" thickBot="1" x14ac:dyDescent="0.3">
      <c r="A1001" s="43" t="s">
        <v>2864</v>
      </c>
      <c r="B1001" s="81" t="s">
        <v>2879</v>
      </c>
      <c r="C1001" s="26" t="s">
        <v>37</v>
      </c>
      <c r="D1001" s="14"/>
      <c r="E1001" s="15"/>
      <c r="F1001" s="16">
        <f t="shared" si="64"/>
        <v>0</v>
      </c>
      <c r="G1001">
        <f t="shared" si="65"/>
        <v>0</v>
      </c>
    </row>
    <row r="1002" spans="1:7" ht="15.75" hidden="1" thickBot="1" x14ac:dyDescent="0.3">
      <c r="A1002" s="43" t="s">
        <v>2865</v>
      </c>
      <c r="B1002" s="81" t="s">
        <v>2880</v>
      </c>
      <c r="C1002" s="26" t="s">
        <v>37</v>
      </c>
      <c r="D1002" s="14"/>
      <c r="E1002" s="15"/>
      <c r="F1002" s="16">
        <f t="shared" si="64"/>
        <v>0</v>
      </c>
      <c r="G1002">
        <f t="shared" si="65"/>
        <v>0</v>
      </c>
    </row>
    <row r="1003" spans="1:7" ht="15.75" hidden="1" thickBot="1" x14ac:dyDescent="0.3">
      <c r="A1003" s="43" t="s">
        <v>2866</v>
      </c>
      <c r="B1003" s="81" t="s">
        <v>2881</v>
      </c>
      <c r="C1003" s="26" t="s">
        <v>37</v>
      </c>
      <c r="D1003" s="14"/>
      <c r="E1003" s="15"/>
      <c r="F1003" s="16">
        <f t="shared" si="64"/>
        <v>0</v>
      </c>
      <c r="G1003">
        <f t="shared" si="65"/>
        <v>0</v>
      </c>
    </row>
    <row r="1004" spans="1:7" ht="15.75" hidden="1" thickBot="1" x14ac:dyDescent="0.3">
      <c r="A1004" s="43" t="s">
        <v>2867</v>
      </c>
      <c r="B1004" s="81" t="s">
        <v>2882</v>
      </c>
      <c r="C1004" s="26" t="s">
        <v>37</v>
      </c>
      <c r="D1004" s="14"/>
      <c r="E1004" s="15"/>
      <c r="F1004" s="16">
        <f t="shared" si="64"/>
        <v>0</v>
      </c>
      <c r="G1004">
        <f t="shared" si="65"/>
        <v>0</v>
      </c>
    </row>
    <row r="1005" spans="1:7" ht="15.75" hidden="1" thickBot="1" x14ac:dyDescent="0.3">
      <c r="A1005" s="43" t="s">
        <v>2868</v>
      </c>
      <c r="B1005" s="81" t="s">
        <v>2883</v>
      </c>
      <c r="C1005" s="26" t="s">
        <v>37</v>
      </c>
      <c r="D1005" s="14"/>
      <c r="E1005" s="15"/>
      <c r="F1005" s="16">
        <f t="shared" si="64"/>
        <v>0</v>
      </c>
      <c r="G1005">
        <f t="shared" si="65"/>
        <v>0</v>
      </c>
    </row>
    <row r="1006" spans="1:7" ht="15.75" hidden="1" thickBot="1" x14ac:dyDescent="0.3">
      <c r="A1006" s="43" t="s">
        <v>2869</v>
      </c>
      <c r="B1006" s="81" t="s">
        <v>2884</v>
      </c>
      <c r="C1006" s="26" t="s">
        <v>37</v>
      </c>
      <c r="D1006" s="14"/>
      <c r="E1006" s="15"/>
      <c r="F1006" s="16">
        <f t="shared" si="64"/>
        <v>0</v>
      </c>
      <c r="G1006">
        <f t="shared" si="65"/>
        <v>0</v>
      </c>
    </row>
    <row r="1007" spans="1:7" ht="15.75" hidden="1" thickBot="1" x14ac:dyDescent="0.3">
      <c r="A1007" s="43" t="s">
        <v>2870</v>
      </c>
      <c r="B1007" s="81" t="s">
        <v>2896</v>
      </c>
      <c r="C1007" s="26" t="s">
        <v>37</v>
      </c>
      <c r="D1007" s="14"/>
      <c r="E1007" s="15"/>
      <c r="F1007" s="16">
        <f t="shared" si="64"/>
        <v>0</v>
      </c>
      <c r="G1007">
        <f t="shared" si="65"/>
        <v>0</v>
      </c>
    </row>
    <row r="1008" spans="1:7" ht="15.75" hidden="1" thickBot="1" x14ac:dyDescent="0.3">
      <c r="A1008" s="43" t="s">
        <v>2891</v>
      </c>
      <c r="B1008" s="81" t="s">
        <v>2886</v>
      </c>
      <c r="C1008" s="26" t="s">
        <v>37</v>
      </c>
      <c r="D1008" s="14"/>
      <c r="E1008" s="15"/>
      <c r="F1008" s="16">
        <f t="shared" si="64"/>
        <v>0</v>
      </c>
      <c r="G1008">
        <f t="shared" si="65"/>
        <v>0</v>
      </c>
    </row>
    <row r="1009" spans="1:7" ht="15.75" hidden="1" thickBot="1" x14ac:dyDescent="0.3">
      <c r="A1009" s="43" t="s">
        <v>2892</v>
      </c>
      <c r="B1009" s="81" t="s">
        <v>2885</v>
      </c>
      <c r="C1009" s="26" t="s">
        <v>37</v>
      </c>
      <c r="D1009" s="14"/>
      <c r="E1009" s="15"/>
      <c r="F1009" s="16">
        <f t="shared" si="64"/>
        <v>0</v>
      </c>
      <c r="G1009">
        <f t="shared" si="65"/>
        <v>0</v>
      </c>
    </row>
    <row r="1010" spans="1:7" ht="15.75" hidden="1" thickBot="1" x14ac:dyDescent="0.3">
      <c r="A1010" s="43" t="s">
        <v>2893</v>
      </c>
      <c r="B1010" s="81" t="s">
        <v>2887</v>
      </c>
      <c r="C1010" s="26" t="s">
        <v>37</v>
      </c>
      <c r="D1010" s="14"/>
      <c r="E1010" s="15"/>
      <c r="F1010" s="16">
        <f t="shared" si="64"/>
        <v>0</v>
      </c>
      <c r="G1010">
        <f t="shared" si="65"/>
        <v>0</v>
      </c>
    </row>
    <row r="1011" spans="1:7" ht="15.75" hidden="1" thickBot="1" x14ac:dyDescent="0.3">
      <c r="A1011" s="43" t="s">
        <v>2894</v>
      </c>
      <c r="B1011" s="81" t="s">
        <v>2888</v>
      </c>
      <c r="C1011" s="26" t="s">
        <v>37</v>
      </c>
      <c r="D1011" s="14"/>
      <c r="E1011" s="15"/>
      <c r="F1011" s="16">
        <f t="shared" si="64"/>
        <v>0</v>
      </c>
      <c r="G1011">
        <f t="shared" si="65"/>
        <v>0</v>
      </c>
    </row>
    <row r="1012" spans="1:7" ht="15.75" hidden="1" thickBot="1" x14ac:dyDescent="0.3">
      <c r="A1012" s="43" t="s">
        <v>2895</v>
      </c>
      <c r="B1012" s="81" t="s">
        <v>2889</v>
      </c>
      <c r="C1012" s="26" t="s">
        <v>37</v>
      </c>
      <c r="D1012" s="14"/>
      <c r="E1012" s="15"/>
      <c r="F1012" s="16">
        <f t="shared" si="64"/>
        <v>0</v>
      </c>
      <c r="G1012">
        <f t="shared" si="65"/>
        <v>0</v>
      </c>
    </row>
    <row r="1013" spans="1:7" ht="15.75" hidden="1" thickBot="1" x14ac:dyDescent="0.3">
      <c r="A1013" s="43" t="s">
        <v>2897</v>
      </c>
      <c r="B1013" s="81" t="s">
        <v>2890</v>
      </c>
      <c r="C1013" s="26" t="s">
        <v>37</v>
      </c>
      <c r="D1013" s="14"/>
      <c r="E1013" s="15"/>
      <c r="F1013" s="16">
        <f t="shared" si="64"/>
        <v>0</v>
      </c>
      <c r="G1013">
        <f t="shared" si="65"/>
        <v>0</v>
      </c>
    </row>
    <row r="1014" spans="1:7" ht="15.75" hidden="1" thickBot="1" x14ac:dyDescent="0.3">
      <c r="A1014" s="43" t="s">
        <v>2913</v>
      </c>
      <c r="B1014" s="81" t="s">
        <v>2898</v>
      </c>
      <c r="C1014" s="26" t="s">
        <v>37</v>
      </c>
      <c r="D1014" s="14"/>
      <c r="E1014" s="15"/>
      <c r="F1014" s="16">
        <f t="shared" si="64"/>
        <v>0</v>
      </c>
      <c r="G1014">
        <f t="shared" si="65"/>
        <v>0</v>
      </c>
    </row>
    <row r="1015" spans="1:7" ht="15.75" hidden="1" thickBot="1" x14ac:dyDescent="0.3">
      <c r="A1015" s="43" t="s">
        <v>2914</v>
      </c>
      <c r="B1015" s="81" t="s">
        <v>2899</v>
      </c>
      <c r="C1015" s="26" t="s">
        <v>37</v>
      </c>
      <c r="D1015" s="14"/>
      <c r="E1015" s="15"/>
      <c r="F1015" s="16">
        <f t="shared" si="64"/>
        <v>0</v>
      </c>
      <c r="G1015">
        <f t="shared" si="65"/>
        <v>0</v>
      </c>
    </row>
    <row r="1016" spans="1:7" ht="15.75" hidden="1" thickBot="1" x14ac:dyDescent="0.3">
      <c r="A1016" s="43" t="s">
        <v>2915</v>
      </c>
      <c r="B1016" s="81" t="s">
        <v>2900</v>
      </c>
      <c r="C1016" s="26" t="s">
        <v>37</v>
      </c>
      <c r="D1016" s="14"/>
      <c r="E1016" s="15"/>
      <c r="F1016" s="16">
        <f t="shared" si="64"/>
        <v>0</v>
      </c>
      <c r="G1016">
        <f t="shared" si="65"/>
        <v>0</v>
      </c>
    </row>
    <row r="1017" spans="1:7" ht="15.75" hidden="1" thickBot="1" x14ac:dyDescent="0.3">
      <c r="A1017" s="43" t="s">
        <v>2916</v>
      </c>
      <c r="B1017" s="81" t="s">
        <v>2901</v>
      </c>
      <c r="C1017" s="26" t="s">
        <v>37</v>
      </c>
      <c r="D1017" s="14"/>
      <c r="E1017" s="15"/>
      <c r="F1017" s="16">
        <f t="shared" si="64"/>
        <v>0</v>
      </c>
      <c r="G1017">
        <f t="shared" si="65"/>
        <v>0</v>
      </c>
    </row>
    <row r="1018" spans="1:7" ht="15.75" hidden="1" thickBot="1" x14ac:dyDescent="0.3">
      <c r="A1018" s="43" t="s">
        <v>2917</v>
      </c>
      <c r="B1018" s="81" t="s">
        <v>2902</v>
      </c>
      <c r="C1018" s="26" t="s">
        <v>37</v>
      </c>
      <c r="D1018" s="14"/>
      <c r="E1018" s="15"/>
      <c r="F1018" s="16">
        <f t="shared" si="64"/>
        <v>0</v>
      </c>
      <c r="G1018">
        <f t="shared" si="65"/>
        <v>0</v>
      </c>
    </row>
    <row r="1019" spans="1:7" ht="15.75" hidden="1" thickBot="1" x14ac:dyDescent="0.3">
      <c r="A1019" s="43" t="s">
        <v>2918</v>
      </c>
      <c r="B1019" s="81" t="s">
        <v>2903</v>
      </c>
      <c r="C1019" s="26" t="s">
        <v>37</v>
      </c>
      <c r="D1019" s="14"/>
      <c r="E1019" s="15"/>
      <c r="F1019" s="16">
        <f t="shared" si="64"/>
        <v>0</v>
      </c>
      <c r="G1019">
        <f t="shared" si="65"/>
        <v>0</v>
      </c>
    </row>
    <row r="1020" spans="1:7" ht="15.75" hidden="1" thickBot="1" x14ac:dyDescent="0.3">
      <c r="A1020" s="43" t="s">
        <v>2919</v>
      </c>
      <c r="B1020" s="81" t="s">
        <v>2904</v>
      </c>
      <c r="C1020" s="26" t="s">
        <v>37</v>
      </c>
      <c r="D1020" s="14"/>
      <c r="E1020" s="15"/>
      <c r="F1020" s="16">
        <f t="shared" si="64"/>
        <v>0</v>
      </c>
      <c r="G1020">
        <f t="shared" si="65"/>
        <v>0</v>
      </c>
    </row>
    <row r="1021" spans="1:7" ht="15.75" hidden="1" thickBot="1" x14ac:dyDescent="0.3">
      <c r="A1021" s="43" t="s">
        <v>2920</v>
      </c>
      <c r="B1021" s="81" t="s">
        <v>2905</v>
      </c>
      <c r="C1021" s="26" t="s">
        <v>37</v>
      </c>
      <c r="D1021" s="14"/>
      <c r="E1021" s="15"/>
      <c r="F1021" s="16">
        <f t="shared" si="64"/>
        <v>0</v>
      </c>
      <c r="G1021">
        <f t="shared" si="65"/>
        <v>0</v>
      </c>
    </row>
    <row r="1022" spans="1:7" ht="15.75" hidden="1" thickBot="1" x14ac:dyDescent="0.3">
      <c r="A1022" s="43" t="s">
        <v>2921</v>
      </c>
      <c r="B1022" s="81" t="s">
        <v>2906</v>
      </c>
      <c r="C1022" s="26" t="s">
        <v>37</v>
      </c>
      <c r="D1022" s="14"/>
      <c r="E1022" s="15"/>
      <c r="F1022" s="16">
        <f t="shared" si="64"/>
        <v>0</v>
      </c>
      <c r="G1022">
        <f t="shared" si="65"/>
        <v>0</v>
      </c>
    </row>
    <row r="1023" spans="1:7" ht="15.75" hidden="1" thickBot="1" x14ac:dyDescent="0.3">
      <c r="A1023" s="43" t="s">
        <v>2922</v>
      </c>
      <c r="B1023" s="81" t="s">
        <v>2907</v>
      </c>
      <c r="C1023" s="26" t="s">
        <v>37</v>
      </c>
      <c r="D1023" s="14"/>
      <c r="E1023" s="15"/>
      <c r="F1023" s="16">
        <f t="shared" si="64"/>
        <v>0</v>
      </c>
      <c r="G1023">
        <f t="shared" si="65"/>
        <v>0</v>
      </c>
    </row>
    <row r="1024" spans="1:7" ht="15.75" hidden="1" thickBot="1" x14ac:dyDescent="0.3">
      <c r="A1024" s="43" t="s">
        <v>2923</v>
      </c>
      <c r="B1024" s="81" t="s">
        <v>2908</v>
      </c>
      <c r="C1024" s="26" t="s">
        <v>37</v>
      </c>
      <c r="D1024" s="14"/>
      <c r="E1024" s="15"/>
      <c r="F1024" s="16">
        <f t="shared" si="64"/>
        <v>0</v>
      </c>
      <c r="G1024">
        <f t="shared" si="65"/>
        <v>0</v>
      </c>
    </row>
    <row r="1025" spans="1:7" ht="15.75" hidden="1" thickBot="1" x14ac:dyDescent="0.3">
      <c r="A1025" s="43" t="s">
        <v>2924</v>
      </c>
      <c r="B1025" s="81" t="s">
        <v>2909</v>
      </c>
      <c r="C1025" s="26" t="s">
        <v>37</v>
      </c>
      <c r="D1025" s="14"/>
      <c r="E1025" s="15"/>
      <c r="F1025" s="16">
        <f t="shared" si="64"/>
        <v>0</v>
      </c>
      <c r="G1025">
        <f t="shared" si="65"/>
        <v>0</v>
      </c>
    </row>
    <row r="1026" spans="1:7" ht="15.75" hidden="1" thickBot="1" x14ac:dyDescent="0.3">
      <c r="A1026" s="43" t="s">
        <v>2925</v>
      </c>
      <c r="B1026" s="81" t="s">
        <v>2910</v>
      </c>
      <c r="C1026" s="26" t="s">
        <v>37</v>
      </c>
      <c r="D1026" s="14"/>
      <c r="E1026" s="15"/>
      <c r="F1026" s="16">
        <f t="shared" si="64"/>
        <v>0</v>
      </c>
      <c r="G1026">
        <f t="shared" si="65"/>
        <v>0</v>
      </c>
    </row>
    <row r="1027" spans="1:7" ht="15.75" hidden="1" thickBot="1" x14ac:dyDescent="0.3">
      <c r="A1027" s="43" t="s">
        <v>2926</v>
      </c>
      <c r="B1027" s="81" t="s">
        <v>2911</v>
      </c>
      <c r="C1027" s="26" t="s">
        <v>37</v>
      </c>
      <c r="D1027" s="14"/>
      <c r="E1027" s="15"/>
      <c r="F1027" s="16">
        <f t="shared" si="64"/>
        <v>0</v>
      </c>
      <c r="G1027">
        <f t="shared" si="65"/>
        <v>0</v>
      </c>
    </row>
    <row r="1028" spans="1:7" ht="15.75" hidden="1" thickBot="1" x14ac:dyDescent="0.3">
      <c r="A1028" s="43" t="s">
        <v>2927</v>
      </c>
      <c r="B1028" s="81" t="s">
        <v>2912</v>
      </c>
      <c r="C1028" s="26" t="s">
        <v>37</v>
      </c>
      <c r="D1028" s="14"/>
      <c r="E1028" s="15"/>
      <c r="F1028" s="16">
        <f t="shared" si="64"/>
        <v>0</v>
      </c>
      <c r="G1028">
        <f t="shared" si="65"/>
        <v>0</v>
      </c>
    </row>
    <row r="1029" spans="1:7" ht="15.75" hidden="1" thickBot="1" x14ac:dyDescent="0.3">
      <c r="A1029" s="44" t="s">
        <v>962</v>
      </c>
      <c r="B1029" s="80" t="s">
        <v>2929</v>
      </c>
      <c r="C1029" s="26"/>
      <c r="D1029" s="14"/>
      <c r="E1029" s="15"/>
      <c r="F1029" s="16"/>
      <c r="G1029">
        <f t="shared" si="65"/>
        <v>0</v>
      </c>
    </row>
    <row r="1030" spans="1:7" ht="15.75" hidden="1" thickBot="1" x14ac:dyDescent="0.3">
      <c r="A1030" s="43" t="s">
        <v>963</v>
      </c>
      <c r="B1030" s="81" t="s">
        <v>2928</v>
      </c>
      <c r="C1030" s="26" t="s">
        <v>37</v>
      </c>
      <c r="D1030" s="14"/>
      <c r="E1030" s="15"/>
      <c r="F1030" s="16">
        <f t="shared" si="64"/>
        <v>0</v>
      </c>
      <c r="G1030">
        <f t="shared" si="65"/>
        <v>0</v>
      </c>
    </row>
    <row r="1031" spans="1:7" ht="15.75" hidden="1" thickBot="1" x14ac:dyDescent="0.3">
      <c r="A1031" s="43" t="s">
        <v>964</v>
      </c>
      <c r="B1031" s="81" t="s">
        <v>2990</v>
      </c>
      <c r="C1031" s="26" t="s">
        <v>37</v>
      </c>
      <c r="D1031" s="14"/>
      <c r="E1031" s="15"/>
      <c r="F1031" s="16">
        <f t="shared" ref="F1031:F1092" si="66">+D1031*E1031</f>
        <v>0</v>
      </c>
      <c r="G1031">
        <f t="shared" si="65"/>
        <v>0</v>
      </c>
    </row>
    <row r="1032" spans="1:7" ht="15.75" hidden="1" thickBot="1" x14ac:dyDescent="0.3">
      <c r="A1032" s="43" t="s">
        <v>965</v>
      </c>
      <c r="B1032" s="81" t="s">
        <v>2991</v>
      </c>
      <c r="C1032" s="26" t="s">
        <v>37</v>
      </c>
      <c r="D1032" s="14"/>
      <c r="E1032" s="15"/>
      <c r="F1032" s="16">
        <f t="shared" si="66"/>
        <v>0</v>
      </c>
      <c r="G1032">
        <f t="shared" si="65"/>
        <v>0</v>
      </c>
    </row>
    <row r="1033" spans="1:7" ht="15.75" hidden="1" thickBot="1" x14ac:dyDescent="0.3">
      <c r="A1033" s="43" t="s">
        <v>2930</v>
      </c>
      <c r="B1033" s="81" t="s">
        <v>2992</v>
      </c>
      <c r="C1033" s="26" t="s">
        <v>37</v>
      </c>
      <c r="D1033" s="14"/>
      <c r="E1033" s="15"/>
      <c r="F1033" s="16">
        <f t="shared" si="66"/>
        <v>0</v>
      </c>
      <c r="G1033">
        <f t="shared" si="65"/>
        <v>0</v>
      </c>
    </row>
    <row r="1034" spans="1:7" ht="15.75" hidden="1" thickBot="1" x14ac:dyDescent="0.3">
      <c r="A1034" s="43" t="s">
        <v>2931</v>
      </c>
      <c r="B1034" s="81" t="s">
        <v>2993</v>
      </c>
      <c r="C1034" s="26" t="s">
        <v>37</v>
      </c>
      <c r="D1034" s="14"/>
      <c r="E1034" s="15"/>
      <c r="F1034" s="16">
        <f t="shared" si="66"/>
        <v>0</v>
      </c>
      <c r="G1034">
        <f t="shared" si="65"/>
        <v>0</v>
      </c>
    </row>
    <row r="1035" spans="1:7" ht="15.75" hidden="1" thickBot="1" x14ac:dyDescent="0.3">
      <c r="A1035" s="43" t="s">
        <v>966</v>
      </c>
      <c r="B1035" s="81" t="s">
        <v>2994</v>
      </c>
      <c r="C1035" s="26" t="s">
        <v>37</v>
      </c>
      <c r="D1035" s="14"/>
      <c r="E1035" s="15"/>
      <c r="F1035" s="16">
        <f t="shared" si="66"/>
        <v>0</v>
      </c>
      <c r="G1035">
        <f t="shared" si="65"/>
        <v>0</v>
      </c>
    </row>
    <row r="1036" spans="1:7" ht="15.75" hidden="1" thickBot="1" x14ac:dyDescent="0.3">
      <c r="A1036" s="43" t="s">
        <v>967</v>
      </c>
      <c r="B1036" s="81" t="s">
        <v>2995</v>
      </c>
      <c r="C1036" s="26" t="s">
        <v>37</v>
      </c>
      <c r="D1036" s="14"/>
      <c r="E1036" s="15"/>
      <c r="F1036" s="16">
        <f t="shared" si="66"/>
        <v>0</v>
      </c>
      <c r="G1036">
        <f t="shared" si="65"/>
        <v>0</v>
      </c>
    </row>
    <row r="1037" spans="1:7" ht="15.75" hidden="1" thickBot="1" x14ac:dyDescent="0.3">
      <c r="A1037" s="43" t="s">
        <v>2932</v>
      </c>
      <c r="B1037" s="81" t="s">
        <v>2996</v>
      </c>
      <c r="C1037" s="26" t="s">
        <v>37</v>
      </c>
      <c r="D1037" s="14"/>
      <c r="E1037" s="15"/>
      <c r="F1037" s="16">
        <f t="shared" si="66"/>
        <v>0</v>
      </c>
      <c r="G1037">
        <f t="shared" si="65"/>
        <v>0</v>
      </c>
    </row>
    <row r="1038" spans="1:7" ht="15.75" hidden="1" thickBot="1" x14ac:dyDescent="0.3">
      <c r="A1038" s="43" t="s">
        <v>968</v>
      </c>
      <c r="B1038" s="81" t="s">
        <v>2997</v>
      </c>
      <c r="C1038" s="26" t="s">
        <v>37</v>
      </c>
      <c r="D1038" s="14"/>
      <c r="E1038" s="15"/>
      <c r="F1038" s="16">
        <f t="shared" si="66"/>
        <v>0</v>
      </c>
      <c r="G1038">
        <f t="shared" si="65"/>
        <v>0</v>
      </c>
    </row>
    <row r="1039" spans="1:7" ht="15.75" hidden="1" thickBot="1" x14ac:dyDescent="0.3">
      <c r="A1039" s="43" t="s">
        <v>969</v>
      </c>
      <c r="B1039" s="81" t="s">
        <v>2998</v>
      </c>
      <c r="C1039" s="26" t="s">
        <v>37</v>
      </c>
      <c r="D1039" s="14"/>
      <c r="E1039" s="15"/>
      <c r="F1039" s="16">
        <f t="shared" si="66"/>
        <v>0</v>
      </c>
      <c r="G1039">
        <f t="shared" si="65"/>
        <v>0</v>
      </c>
    </row>
    <row r="1040" spans="1:7" ht="15.75" hidden="1" thickBot="1" x14ac:dyDescent="0.3">
      <c r="A1040" s="43" t="s">
        <v>970</v>
      </c>
      <c r="B1040" s="81" t="s">
        <v>2999</v>
      </c>
      <c r="C1040" s="26" t="s">
        <v>37</v>
      </c>
      <c r="D1040" s="14"/>
      <c r="E1040" s="15"/>
      <c r="F1040" s="16">
        <f t="shared" si="66"/>
        <v>0</v>
      </c>
      <c r="G1040">
        <f t="shared" si="65"/>
        <v>0</v>
      </c>
    </row>
    <row r="1041" spans="1:7" ht="15.75" hidden="1" thickBot="1" x14ac:dyDescent="0.3">
      <c r="A1041" s="43" t="s">
        <v>971</v>
      </c>
      <c r="B1041" s="81" t="s">
        <v>3000</v>
      </c>
      <c r="C1041" s="26" t="s">
        <v>37</v>
      </c>
      <c r="D1041" s="14"/>
      <c r="E1041" s="15"/>
      <c r="F1041" s="16">
        <f t="shared" si="66"/>
        <v>0</v>
      </c>
      <c r="G1041">
        <f t="shared" si="65"/>
        <v>0</v>
      </c>
    </row>
    <row r="1042" spans="1:7" ht="15.75" hidden="1" thickBot="1" x14ac:dyDescent="0.3">
      <c r="A1042" s="43" t="s">
        <v>2933</v>
      </c>
      <c r="B1042" s="81" t="s">
        <v>3001</v>
      </c>
      <c r="C1042" s="26" t="s">
        <v>37</v>
      </c>
      <c r="D1042" s="14"/>
      <c r="E1042" s="15"/>
      <c r="F1042" s="16">
        <f t="shared" si="66"/>
        <v>0</v>
      </c>
      <c r="G1042">
        <f t="shared" si="65"/>
        <v>0</v>
      </c>
    </row>
    <row r="1043" spans="1:7" ht="15.75" hidden="1" thickBot="1" x14ac:dyDescent="0.3">
      <c r="A1043" s="43" t="s">
        <v>2934</v>
      </c>
      <c r="B1043" s="81" t="s">
        <v>3002</v>
      </c>
      <c r="C1043" s="26" t="s">
        <v>37</v>
      </c>
      <c r="D1043" s="14"/>
      <c r="E1043" s="15"/>
      <c r="F1043" s="16">
        <f t="shared" si="66"/>
        <v>0</v>
      </c>
      <c r="G1043">
        <f t="shared" si="65"/>
        <v>0</v>
      </c>
    </row>
    <row r="1044" spans="1:7" ht="15.75" hidden="1" thickBot="1" x14ac:dyDescent="0.3">
      <c r="A1044" s="43" t="s">
        <v>2935</v>
      </c>
      <c r="B1044" s="81" t="s">
        <v>3003</v>
      </c>
      <c r="C1044" s="26" t="s">
        <v>37</v>
      </c>
      <c r="D1044" s="14"/>
      <c r="E1044" s="15"/>
      <c r="F1044" s="16">
        <f t="shared" si="66"/>
        <v>0</v>
      </c>
      <c r="G1044">
        <f t="shared" si="65"/>
        <v>0</v>
      </c>
    </row>
    <row r="1045" spans="1:7" ht="15.75" hidden="1" thickBot="1" x14ac:dyDescent="0.3">
      <c r="A1045" s="43" t="s">
        <v>2936</v>
      </c>
      <c r="B1045" s="81" t="s">
        <v>3004</v>
      </c>
      <c r="C1045" s="26" t="s">
        <v>37</v>
      </c>
      <c r="D1045" s="14"/>
      <c r="E1045" s="15"/>
      <c r="F1045" s="16">
        <f t="shared" si="66"/>
        <v>0</v>
      </c>
      <c r="G1045">
        <f t="shared" si="65"/>
        <v>0</v>
      </c>
    </row>
    <row r="1046" spans="1:7" ht="15.75" hidden="1" thickBot="1" x14ac:dyDescent="0.3">
      <c r="A1046" s="43" t="s">
        <v>2937</v>
      </c>
      <c r="B1046" s="81" t="s">
        <v>3005</v>
      </c>
      <c r="C1046" s="26" t="s">
        <v>37</v>
      </c>
      <c r="D1046" s="14"/>
      <c r="E1046" s="15"/>
      <c r="F1046" s="16">
        <f t="shared" si="66"/>
        <v>0</v>
      </c>
      <c r="G1046">
        <f t="shared" si="65"/>
        <v>0</v>
      </c>
    </row>
    <row r="1047" spans="1:7" ht="15.75" hidden="1" thickBot="1" x14ac:dyDescent="0.3">
      <c r="A1047" s="43" t="s">
        <v>2938</v>
      </c>
      <c r="B1047" s="81" t="s">
        <v>3006</v>
      </c>
      <c r="C1047" s="26" t="s">
        <v>37</v>
      </c>
      <c r="D1047" s="14"/>
      <c r="E1047" s="15"/>
      <c r="F1047" s="16">
        <f t="shared" si="66"/>
        <v>0</v>
      </c>
      <c r="G1047">
        <f t="shared" si="65"/>
        <v>0</v>
      </c>
    </row>
    <row r="1048" spans="1:7" ht="15.75" hidden="1" thickBot="1" x14ac:dyDescent="0.3">
      <c r="A1048" s="43" t="s">
        <v>2939</v>
      </c>
      <c r="B1048" s="81" t="s">
        <v>3007</v>
      </c>
      <c r="C1048" s="26" t="s">
        <v>37</v>
      </c>
      <c r="D1048" s="14"/>
      <c r="E1048" s="15"/>
      <c r="F1048" s="16">
        <f t="shared" si="66"/>
        <v>0</v>
      </c>
      <c r="G1048">
        <f t="shared" si="65"/>
        <v>0</v>
      </c>
    </row>
    <row r="1049" spans="1:7" ht="15.75" hidden="1" thickBot="1" x14ac:dyDescent="0.3">
      <c r="A1049" s="43" t="s">
        <v>2940</v>
      </c>
      <c r="B1049" s="81" t="s">
        <v>3008</v>
      </c>
      <c r="C1049" s="26" t="s">
        <v>37</v>
      </c>
      <c r="D1049" s="14"/>
      <c r="E1049" s="15"/>
      <c r="F1049" s="16">
        <f t="shared" si="66"/>
        <v>0</v>
      </c>
      <c r="G1049">
        <f t="shared" si="65"/>
        <v>0</v>
      </c>
    </row>
    <row r="1050" spans="1:7" ht="15.75" hidden="1" thickBot="1" x14ac:dyDescent="0.3">
      <c r="A1050" s="43" t="s">
        <v>2941</v>
      </c>
      <c r="B1050" s="81" t="s">
        <v>3009</v>
      </c>
      <c r="C1050" s="26" t="s">
        <v>37</v>
      </c>
      <c r="D1050" s="14"/>
      <c r="E1050" s="15"/>
      <c r="F1050" s="16">
        <f t="shared" si="66"/>
        <v>0</v>
      </c>
      <c r="G1050">
        <f t="shared" si="65"/>
        <v>0</v>
      </c>
    </row>
    <row r="1051" spans="1:7" ht="15.75" hidden="1" thickBot="1" x14ac:dyDescent="0.3">
      <c r="A1051" s="43" t="s">
        <v>2942</v>
      </c>
      <c r="B1051" s="81" t="s">
        <v>3010</v>
      </c>
      <c r="C1051" s="26" t="s">
        <v>37</v>
      </c>
      <c r="D1051" s="14"/>
      <c r="E1051" s="15"/>
      <c r="F1051" s="16">
        <f t="shared" si="66"/>
        <v>0</v>
      </c>
      <c r="G1051">
        <f t="shared" si="65"/>
        <v>0</v>
      </c>
    </row>
    <row r="1052" spans="1:7" ht="15.75" hidden="1" thickBot="1" x14ac:dyDescent="0.3">
      <c r="A1052" s="43" t="s">
        <v>2943</v>
      </c>
      <c r="B1052" s="81" t="s">
        <v>3011</v>
      </c>
      <c r="C1052" s="26" t="s">
        <v>37</v>
      </c>
      <c r="D1052" s="14"/>
      <c r="E1052" s="15"/>
      <c r="F1052" s="16">
        <f t="shared" si="66"/>
        <v>0</v>
      </c>
      <c r="G1052">
        <f t="shared" si="65"/>
        <v>0</v>
      </c>
    </row>
    <row r="1053" spans="1:7" ht="15.75" hidden="1" thickBot="1" x14ac:dyDescent="0.3">
      <c r="A1053" s="43" t="s">
        <v>2944</v>
      </c>
      <c r="B1053" s="81" t="s">
        <v>3012</v>
      </c>
      <c r="C1053" s="26" t="s">
        <v>37</v>
      </c>
      <c r="D1053" s="14"/>
      <c r="E1053" s="15"/>
      <c r="F1053" s="16">
        <f t="shared" si="66"/>
        <v>0</v>
      </c>
      <c r="G1053">
        <f t="shared" si="65"/>
        <v>0</v>
      </c>
    </row>
    <row r="1054" spans="1:7" ht="15.75" hidden="1" thickBot="1" x14ac:dyDescent="0.3">
      <c r="A1054" s="43" t="s">
        <v>2945</v>
      </c>
      <c r="B1054" s="81" t="s">
        <v>3013</v>
      </c>
      <c r="C1054" s="26" t="s">
        <v>37</v>
      </c>
      <c r="D1054" s="14"/>
      <c r="E1054" s="15"/>
      <c r="F1054" s="16">
        <f t="shared" si="66"/>
        <v>0</v>
      </c>
      <c r="G1054">
        <f t="shared" si="65"/>
        <v>0</v>
      </c>
    </row>
    <row r="1055" spans="1:7" ht="15.75" hidden="1" thickBot="1" x14ac:dyDescent="0.3">
      <c r="A1055" s="43" t="s">
        <v>972</v>
      </c>
      <c r="B1055" s="81" t="s">
        <v>3014</v>
      </c>
      <c r="C1055" s="26" t="s">
        <v>37</v>
      </c>
      <c r="D1055" s="14"/>
      <c r="E1055" s="15"/>
      <c r="F1055" s="16">
        <f t="shared" si="66"/>
        <v>0</v>
      </c>
      <c r="G1055">
        <f t="shared" si="65"/>
        <v>0</v>
      </c>
    </row>
    <row r="1056" spans="1:7" ht="15.75" hidden="1" thickBot="1" x14ac:dyDescent="0.3">
      <c r="A1056" s="43" t="s">
        <v>973</v>
      </c>
      <c r="B1056" s="81" t="s">
        <v>3015</v>
      </c>
      <c r="C1056" s="26" t="s">
        <v>37</v>
      </c>
      <c r="D1056" s="14"/>
      <c r="E1056" s="15"/>
      <c r="F1056" s="16">
        <f t="shared" si="66"/>
        <v>0</v>
      </c>
      <c r="G1056">
        <f t="shared" si="65"/>
        <v>0</v>
      </c>
    </row>
    <row r="1057" spans="1:7" ht="15.75" hidden="1" thickBot="1" x14ac:dyDescent="0.3">
      <c r="A1057" s="43" t="s">
        <v>2946</v>
      </c>
      <c r="B1057" s="81" t="s">
        <v>2989</v>
      </c>
      <c r="C1057" s="26" t="s">
        <v>37</v>
      </c>
      <c r="D1057" s="14"/>
      <c r="E1057" s="15"/>
      <c r="F1057" s="16">
        <f t="shared" si="66"/>
        <v>0</v>
      </c>
      <c r="G1057">
        <f t="shared" si="65"/>
        <v>0</v>
      </c>
    </row>
    <row r="1058" spans="1:7" ht="15.75" hidden="1" thickBot="1" x14ac:dyDescent="0.3">
      <c r="A1058" s="43" t="s">
        <v>2947</v>
      </c>
      <c r="B1058" s="81" t="s">
        <v>2987</v>
      </c>
      <c r="C1058" s="26" t="s">
        <v>37</v>
      </c>
      <c r="D1058" s="14"/>
      <c r="E1058" s="15"/>
      <c r="F1058" s="16">
        <f t="shared" si="66"/>
        <v>0</v>
      </c>
      <c r="G1058">
        <f t="shared" si="65"/>
        <v>0</v>
      </c>
    </row>
    <row r="1059" spans="1:7" ht="15.75" hidden="1" thickBot="1" x14ac:dyDescent="0.3">
      <c r="A1059" s="43" t="s">
        <v>2948</v>
      </c>
      <c r="B1059" s="81" t="s">
        <v>2988</v>
      </c>
      <c r="C1059" s="26" t="s">
        <v>37</v>
      </c>
      <c r="D1059" s="14"/>
      <c r="E1059" s="15"/>
      <c r="F1059" s="16">
        <f t="shared" si="66"/>
        <v>0</v>
      </c>
      <c r="G1059">
        <f t="shared" si="65"/>
        <v>0</v>
      </c>
    </row>
    <row r="1060" spans="1:7" ht="15.75" hidden="1" thickBot="1" x14ac:dyDescent="0.3">
      <c r="A1060" s="43" t="s">
        <v>2949</v>
      </c>
      <c r="B1060" s="81" t="s">
        <v>3016</v>
      </c>
      <c r="C1060" s="26" t="s">
        <v>37</v>
      </c>
      <c r="D1060" s="14"/>
      <c r="E1060" s="15"/>
      <c r="F1060" s="16">
        <f t="shared" si="66"/>
        <v>0</v>
      </c>
      <c r="G1060">
        <f t="shared" ref="G1060:G1123" si="67">+IF(F1060&lt;&gt;0,1,0)</f>
        <v>0</v>
      </c>
    </row>
    <row r="1061" spans="1:7" ht="15.75" hidden="1" thickBot="1" x14ac:dyDescent="0.3">
      <c r="A1061" s="43" t="s">
        <v>2950</v>
      </c>
      <c r="B1061" s="81" t="s">
        <v>3017</v>
      </c>
      <c r="C1061" s="26" t="s">
        <v>37</v>
      </c>
      <c r="D1061" s="14"/>
      <c r="E1061" s="15"/>
      <c r="F1061" s="16">
        <f t="shared" si="66"/>
        <v>0</v>
      </c>
      <c r="G1061">
        <f t="shared" si="67"/>
        <v>0</v>
      </c>
    </row>
    <row r="1062" spans="1:7" ht="15.75" hidden="1" thickBot="1" x14ac:dyDescent="0.3">
      <c r="A1062" s="43" t="s">
        <v>2951</v>
      </c>
      <c r="B1062" s="81" t="s">
        <v>3018</v>
      </c>
      <c r="C1062" s="26" t="s">
        <v>37</v>
      </c>
      <c r="D1062" s="14"/>
      <c r="E1062" s="15"/>
      <c r="F1062" s="16">
        <f t="shared" si="66"/>
        <v>0</v>
      </c>
      <c r="G1062">
        <f t="shared" si="67"/>
        <v>0</v>
      </c>
    </row>
    <row r="1063" spans="1:7" ht="15.75" hidden="1" thickBot="1" x14ac:dyDescent="0.3">
      <c r="A1063" s="43" t="s">
        <v>2952</v>
      </c>
      <c r="B1063" s="81" t="s">
        <v>3019</v>
      </c>
      <c r="C1063" s="26" t="s">
        <v>37</v>
      </c>
      <c r="D1063" s="14"/>
      <c r="E1063" s="15"/>
      <c r="F1063" s="16">
        <f t="shared" si="66"/>
        <v>0</v>
      </c>
      <c r="G1063">
        <f t="shared" si="67"/>
        <v>0</v>
      </c>
    </row>
    <row r="1064" spans="1:7" ht="15.75" hidden="1" thickBot="1" x14ac:dyDescent="0.3">
      <c r="A1064" s="43" t="s">
        <v>2953</v>
      </c>
      <c r="B1064" s="81" t="s">
        <v>3020</v>
      </c>
      <c r="C1064" s="26" t="s">
        <v>37</v>
      </c>
      <c r="D1064" s="14"/>
      <c r="E1064" s="15"/>
      <c r="F1064" s="16">
        <f t="shared" si="66"/>
        <v>0</v>
      </c>
      <c r="G1064">
        <f t="shared" si="67"/>
        <v>0</v>
      </c>
    </row>
    <row r="1065" spans="1:7" ht="15.75" hidden="1" thickBot="1" x14ac:dyDescent="0.3">
      <c r="A1065" s="43" t="s">
        <v>2954</v>
      </c>
      <c r="B1065" s="81" t="s">
        <v>3021</v>
      </c>
      <c r="C1065" s="26" t="s">
        <v>37</v>
      </c>
      <c r="D1065" s="14"/>
      <c r="E1065" s="15"/>
      <c r="F1065" s="16">
        <f t="shared" si="66"/>
        <v>0</v>
      </c>
      <c r="G1065">
        <f t="shared" si="67"/>
        <v>0</v>
      </c>
    </row>
    <row r="1066" spans="1:7" ht="15.75" hidden="1" thickBot="1" x14ac:dyDescent="0.3">
      <c r="A1066" s="43" t="s">
        <v>2955</v>
      </c>
      <c r="B1066" s="81" t="s">
        <v>3022</v>
      </c>
      <c r="C1066" s="26" t="s">
        <v>37</v>
      </c>
      <c r="D1066" s="14"/>
      <c r="E1066" s="15"/>
      <c r="F1066" s="16">
        <f t="shared" si="66"/>
        <v>0</v>
      </c>
      <c r="G1066">
        <f t="shared" si="67"/>
        <v>0</v>
      </c>
    </row>
    <row r="1067" spans="1:7" ht="15.75" hidden="1" thickBot="1" x14ac:dyDescent="0.3">
      <c r="A1067" s="43" t="s">
        <v>2956</v>
      </c>
      <c r="B1067" s="81" t="s">
        <v>3023</v>
      </c>
      <c r="C1067" s="26" t="s">
        <v>37</v>
      </c>
      <c r="D1067" s="14"/>
      <c r="E1067" s="15"/>
      <c r="F1067" s="16">
        <f t="shared" si="66"/>
        <v>0</v>
      </c>
      <c r="G1067">
        <f t="shared" si="67"/>
        <v>0</v>
      </c>
    </row>
    <row r="1068" spans="1:7" ht="15.75" hidden="1" thickBot="1" x14ac:dyDescent="0.3">
      <c r="A1068" s="43" t="s">
        <v>2957</v>
      </c>
      <c r="B1068" s="81" t="s">
        <v>3024</v>
      </c>
      <c r="C1068" s="26" t="s">
        <v>37</v>
      </c>
      <c r="D1068" s="14"/>
      <c r="E1068" s="15"/>
      <c r="F1068" s="16">
        <f t="shared" si="66"/>
        <v>0</v>
      </c>
      <c r="G1068">
        <f t="shared" si="67"/>
        <v>0</v>
      </c>
    </row>
    <row r="1069" spans="1:7" ht="15.75" hidden="1" thickBot="1" x14ac:dyDescent="0.3">
      <c r="A1069" s="43" t="s">
        <v>2958</v>
      </c>
      <c r="B1069" s="81" t="s">
        <v>3025</v>
      </c>
      <c r="C1069" s="26" t="s">
        <v>37</v>
      </c>
      <c r="D1069" s="14"/>
      <c r="E1069" s="15"/>
      <c r="F1069" s="16">
        <f t="shared" si="66"/>
        <v>0</v>
      </c>
      <c r="G1069">
        <f t="shared" si="67"/>
        <v>0</v>
      </c>
    </row>
    <row r="1070" spans="1:7" ht="15.75" hidden="1" thickBot="1" x14ac:dyDescent="0.3">
      <c r="A1070" s="43" t="s">
        <v>2959</v>
      </c>
      <c r="B1070" s="81" t="s">
        <v>3026</v>
      </c>
      <c r="C1070" s="26" t="s">
        <v>37</v>
      </c>
      <c r="D1070" s="14"/>
      <c r="E1070" s="15"/>
      <c r="F1070" s="16">
        <f t="shared" si="66"/>
        <v>0</v>
      </c>
      <c r="G1070">
        <f t="shared" si="67"/>
        <v>0</v>
      </c>
    </row>
    <row r="1071" spans="1:7" ht="15.75" hidden="1" thickBot="1" x14ac:dyDescent="0.3">
      <c r="A1071" s="43" t="s">
        <v>2960</v>
      </c>
      <c r="B1071" s="81" t="s">
        <v>3027</v>
      </c>
      <c r="C1071" s="26" t="s">
        <v>37</v>
      </c>
      <c r="D1071" s="14"/>
      <c r="E1071" s="15"/>
      <c r="F1071" s="16">
        <f t="shared" si="66"/>
        <v>0</v>
      </c>
      <c r="G1071">
        <f t="shared" si="67"/>
        <v>0</v>
      </c>
    </row>
    <row r="1072" spans="1:7" ht="15.75" hidden="1" thickBot="1" x14ac:dyDescent="0.3">
      <c r="A1072" s="43" t="s">
        <v>2961</v>
      </c>
      <c r="B1072" s="81" t="s">
        <v>3028</v>
      </c>
      <c r="C1072" s="26" t="s">
        <v>37</v>
      </c>
      <c r="D1072" s="14"/>
      <c r="E1072" s="15"/>
      <c r="F1072" s="16">
        <f t="shared" si="66"/>
        <v>0</v>
      </c>
      <c r="G1072">
        <f t="shared" si="67"/>
        <v>0</v>
      </c>
    </row>
    <row r="1073" spans="1:7" ht="15.75" hidden="1" thickBot="1" x14ac:dyDescent="0.3">
      <c r="A1073" s="43" t="s">
        <v>2962</v>
      </c>
      <c r="B1073" s="81" t="s">
        <v>3029</v>
      </c>
      <c r="C1073" s="26" t="s">
        <v>37</v>
      </c>
      <c r="D1073" s="14"/>
      <c r="E1073" s="15"/>
      <c r="F1073" s="16">
        <f t="shared" si="66"/>
        <v>0</v>
      </c>
      <c r="G1073">
        <f t="shared" si="67"/>
        <v>0</v>
      </c>
    </row>
    <row r="1074" spans="1:7" ht="15.75" hidden="1" thickBot="1" x14ac:dyDescent="0.3">
      <c r="A1074" s="43" t="s">
        <v>2963</v>
      </c>
      <c r="B1074" s="81" t="s">
        <v>3030</v>
      </c>
      <c r="C1074" s="26" t="s">
        <v>37</v>
      </c>
      <c r="D1074" s="14"/>
      <c r="E1074" s="15"/>
      <c r="F1074" s="16">
        <f t="shared" si="66"/>
        <v>0</v>
      </c>
      <c r="G1074">
        <f t="shared" si="67"/>
        <v>0</v>
      </c>
    </row>
    <row r="1075" spans="1:7" ht="15.75" hidden="1" thickBot="1" x14ac:dyDescent="0.3">
      <c r="A1075" s="43" t="s">
        <v>2964</v>
      </c>
      <c r="B1075" s="81" t="s">
        <v>3031</v>
      </c>
      <c r="C1075" s="26" t="s">
        <v>37</v>
      </c>
      <c r="D1075" s="14"/>
      <c r="E1075" s="15"/>
      <c r="F1075" s="16">
        <f t="shared" si="66"/>
        <v>0</v>
      </c>
      <c r="G1075">
        <f t="shared" si="67"/>
        <v>0</v>
      </c>
    </row>
    <row r="1076" spans="1:7" ht="15.75" hidden="1" thickBot="1" x14ac:dyDescent="0.3">
      <c r="A1076" s="43" t="s">
        <v>2965</v>
      </c>
      <c r="B1076" s="81" t="s">
        <v>3032</v>
      </c>
      <c r="C1076" s="26" t="s">
        <v>37</v>
      </c>
      <c r="D1076" s="14"/>
      <c r="E1076" s="15"/>
      <c r="F1076" s="16">
        <f t="shared" si="66"/>
        <v>0</v>
      </c>
      <c r="G1076">
        <f t="shared" si="67"/>
        <v>0</v>
      </c>
    </row>
    <row r="1077" spans="1:7" ht="15.75" hidden="1" thickBot="1" x14ac:dyDescent="0.3">
      <c r="A1077" s="43" t="s">
        <v>2966</v>
      </c>
      <c r="B1077" s="81" t="s">
        <v>3033</v>
      </c>
      <c r="C1077" s="26" t="s">
        <v>37</v>
      </c>
      <c r="D1077" s="14"/>
      <c r="E1077" s="15"/>
      <c r="F1077" s="16">
        <f t="shared" si="66"/>
        <v>0</v>
      </c>
      <c r="G1077">
        <f t="shared" si="67"/>
        <v>0</v>
      </c>
    </row>
    <row r="1078" spans="1:7" ht="15.75" hidden="1" thickBot="1" x14ac:dyDescent="0.3">
      <c r="A1078" s="43" t="s">
        <v>2967</v>
      </c>
      <c r="B1078" s="81" t="s">
        <v>3034</v>
      </c>
      <c r="C1078" s="26" t="s">
        <v>37</v>
      </c>
      <c r="D1078" s="14"/>
      <c r="E1078" s="15"/>
      <c r="F1078" s="16">
        <f t="shared" si="66"/>
        <v>0</v>
      </c>
      <c r="G1078">
        <f t="shared" si="67"/>
        <v>0</v>
      </c>
    </row>
    <row r="1079" spans="1:7" ht="15.75" hidden="1" thickBot="1" x14ac:dyDescent="0.3">
      <c r="A1079" s="43" t="s">
        <v>2968</v>
      </c>
      <c r="B1079" s="81" t="s">
        <v>3035</v>
      </c>
      <c r="C1079" s="26" t="s">
        <v>37</v>
      </c>
      <c r="D1079" s="14"/>
      <c r="E1079" s="15"/>
      <c r="F1079" s="16">
        <f t="shared" si="66"/>
        <v>0</v>
      </c>
      <c r="G1079">
        <f t="shared" si="67"/>
        <v>0</v>
      </c>
    </row>
    <row r="1080" spans="1:7" ht="15.75" hidden="1" thickBot="1" x14ac:dyDescent="0.3">
      <c r="A1080" s="43" t="s">
        <v>2969</v>
      </c>
      <c r="B1080" s="81" t="s">
        <v>3036</v>
      </c>
      <c r="C1080" s="26" t="s">
        <v>37</v>
      </c>
      <c r="D1080" s="14"/>
      <c r="E1080" s="15"/>
      <c r="F1080" s="16">
        <f t="shared" si="66"/>
        <v>0</v>
      </c>
      <c r="G1080">
        <f t="shared" si="67"/>
        <v>0</v>
      </c>
    </row>
    <row r="1081" spans="1:7" ht="15.75" hidden="1" thickBot="1" x14ac:dyDescent="0.3">
      <c r="A1081" s="43" t="s">
        <v>2970</v>
      </c>
      <c r="B1081" s="81" t="s">
        <v>3037</v>
      </c>
      <c r="C1081" s="26" t="s">
        <v>37</v>
      </c>
      <c r="D1081" s="14"/>
      <c r="E1081" s="15"/>
      <c r="F1081" s="16">
        <f t="shared" si="66"/>
        <v>0</v>
      </c>
      <c r="G1081">
        <f t="shared" si="67"/>
        <v>0</v>
      </c>
    </row>
    <row r="1082" spans="1:7" ht="15.75" hidden="1" thickBot="1" x14ac:dyDescent="0.3">
      <c r="A1082" s="43" t="s">
        <v>2971</v>
      </c>
      <c r="B1082" s="81" t="s">
        <v>3038</v>
      </c>
      <c r="C1082" s="26" t="s">
        <v>37</v>
      </c>
      <c r="D1082" s="14"/>
      <c r="E1082" s="15"/>
      <c r="F1082" s="16">
        <f t="shared" si="66"/>
        <v>0</v>
      </c>
      <c r="G1082">
        <f t="shared" si="67"/>
        <v>0</v>
      </c>
    </row>
    <row r="1083" spans="1:7" ht="15.75" hidden="1" thickBot="1" x14ac:dyDescent="0.3">
      <c r="A1083" s="43" t="s">
        <v>2972</v>
      </c>
      <c r="B1083" s="81" t="s">
        <v>3039</v>
      </c>
      <c r="C1083" s="26" t="s">
        <v>37</v>
      </c>
      <c r="D1083" s="14"/>
      <c r="E1083" s="15"/>
      <c r="F1083" s="16">
        <f t="shared" si="66"/>
        <v>0</v>
      </c>
      <c r="G1083">
        <f t="shared" si="67"/>
        <v>0</v>
      </c>
    </row>
    <row r="1084" spans="1:7" ht="15.75" hidden="1" thickBot="1" x14ac:dyDescent="0.3">
      <c r="A1084" s="43" t="s">
        <v>2973</v>
      </c>
      <c r="B1084" s="81" t="s">
        <v>3040</v>
      </c>
      <c r="C1084" s="26" t="s">
        <v>37</v>
      </c>
      <c r="D1084" s="14"/>
      <c r="E1084" s="15"/>
      <c r="F1084" s="16">
        <f t="shared" si="66"/>
        <v>0</v>
      </c>
      <c r="G1084">
        <f t="shared" si="67"/>
        <v>0</v>
      </c>
    </row>
    <row r="1085" spans="1:7" ht="15.75" hidden="1" thickBot="1" x14ac:dyDescent="0.3">
      <c r="A1085" s="43" t="s">
        <v>2974</v>
      </c>
      <c r="B1085" s="81" t="s">
        <v>3041</v>
      </c>
      <c r="C1085" s="26" t="s">
        <v>37</v>
      </c>
      <c r="D1085" s="14"/>
      <c r="E1085" s="15"/>
      <c r="F1085" s="16">
        <f t="shared" si="66"/>
        <v>0</v>
      </c>
      <c r="G1085">
        <f t="shared" si="67"/>
        <v>0</v>
      </c>
    </row>
    <row r="1086" spans="1:7" ht="15.75" hidden="1" thickBot="1" x14ac:dyDescent="0.3">
      <c r="A1086" s="43" t="s">
        <v>2975</v>
      </c>
      <c r="B1086" s="81" t="s">
        <v>3042</v>
      </c>
      <c r="C1086" s="26" t="s">
        <v>37</v>
      </c>
      <c r="D1086" s="14"/>
      <c r="E1086" s="15"/>
      <c r="F1086" s="16">
        <f t="shared" si="66"/>
        <v>0</v>
      </c>
      <c r="G1086">
        <f t="shared" si="67"/>
        <v>0</v>
      </c>
    </row>
    <row r="1087" spans="1:7" ht="15.75" hidden="1" thickBot="1" x14ac:dyDescent="0.3">
      <c r="A1087" s="43" t="s">
        <v>2976</v>
      </c>
      <c r="B1087" s="81" t="s">
        <v>3044</v>
      </c>
      <c r="C1087" s="26" t="s">
        <v>37</v>
      </c>
      <c r="D1087" s="14"/>
      <c r="E1087" s="15"/>
      <c r="F1087" s="16">
        <f t="shared" si="66"/>
        <v>0</v>
      </c>
      <c r="G1087">
        <f t="shared" si="67"/>
        <v>0</v>
      </c>
    </row>
    <row r="1088" spans="1:7" ht="15.75" hidden="1" thickBot="1" x14ac:dyDescent="0.3">
      <c r="A1088" s="43" t="s">
        <v>2977</v>
      </c>
      <c r="B1088" s="81" t="s">
        <v>3045</v>
      </c>
      <c r="C1088" s="26" t="s">
        <v>37</v>
      </c>
      <c r="D1088" s="14"/>
      <c r="E1088" s="15"/>
      <c r="F1088" s="16">
        <f t="shared" si="66"/>
        <v>0</v>
      </c>
      <c r="G1088">
        <f t="shared" si="67"/>
        <v>0</v>
      </c>
    </row>
    <row r="1089" spans="1:7" ht="15.75" hidden="1" thickBot="1" x14ac:dyDescent="0.3">
      <c r="A1089" s="43" t="s">
        <v>2978</v>
      </c>
      <c r="B1089" s="81" t="s">
        <v>3046</v>
      </c>
      <c r="C1089" s="26" t="s">
        <v>37</v>
      </c>
      <c r="D1089" s="14"/>
      <c r="E1089" s="15"/>
      <c r="F1089" s="16">
        <f t="shared" si="66"/>
        <v>0</v>
      </c>
      <c r="G1089">
        <f t="shared" si="67"/>
        <v>0</v>
      </c>
    </row>
    <row r="1090" spans="1:7" ht="15.75" hidden="1" thickBot="1" x14ac:dyDescent="0.3">
      <c r="A1090" s="43" t="s">
        <v>2979</v>
      </c>
      <c r="B1090" s="81" t="s">
        <v>3047</v>
      </c>
      <c r="C1090" s="26" t="s">
        <v>37</v>
      </c>
      <c r="D1090" s="14"/>
      <c r="E1090" s="15"/>
      <c r="F1090" s="16">
        <f t="shared" si="66"/>
        <v>0</v>
      </c>
      <c r="G1090">
        <f t="shared" si="67"/>
        <v>0</v>
      </c>
    </row>
    <row r="1091" spans="1:7" ht="15.75" hidden="1" thickBot="1" x14ac:dyDescent="0.3">
      <c r="A1091" s="43" t="s">
        <v>2980</v>
      </c>
      <c r="B1091" s="81" t="s">
        <v>3043</v>
      </c>
      <c r="C1091" s="26" t="s">
        <v>37</v>
      </c>
      <c r="D1091" s="14"/>
      <c r="E1091" s="15"/>
      <c r="F1091" s="16">
        <f t="shared" si="66"/>
        <v>0</v>
      </c>
      <c r="G1091">
        <f t="shared" si="67"/>
        <v>0</v>
      </c>
    </row>
    <row r="1092" spans="1:7" ht="15.75" hidden="1" thickBot="1" x14ac:dyDescent="0.3">
      <c r="A1092" s="43" t="s">
        <v>2981</v>
      </c>
      <c r="B1092" s="81" t="s">
        <v>2986</v>
      </c>
      <c r="C1092" s="26" t="s">
        <v>37</v>
      </c>
      <c r="D1092" s="14"/>
      <c r="E1092" s="15"/>
      <c r="F1092" s="16">
        <f t="shared" si="66"/>
        <v>0</v>
      </c>
      <c r="G1092">
        <f t="shared" si="67"/>
        <v>0</v>
      </c>
    </row>
    <row r="1093" spans="1:7" ht="15.75" hidden="1" thickBot="1" x14ac:dyDescent="0.3">
      <c r="A1093" s="44" t="s">
        <v>2983</v>
      </c>
      <c r="B1093" s="80" t="s">
        <v>2984</v>
      </c>
      <c r="C1093" s="26"/>
      <c r="D1093" s="14"/>
      <c r="E1093" s="15"/>
      <c r="F1093" s="16"/>
      <c r="G1093">
        <f t="shared" si="67"/>
        <v>0</v>
      </c>
    </row>
    <row r="1094" spans="1:7" ht="15.75" hidden="1" thickBot="1" x14ac:dyDescent="0.3">
      <c r="A1094" s="43" t="s">
        <v>2982</v>
      </c>
      <c r="B1094" s="81" t="s">
        <v>2985</v>
      </c>
      <c r="C1094" s="26" t="s">
        <v>37</v>
      </c>
      <c r="D1094" s="14"/>
      <c r="E1094" s="15"/>
      <c r="F1094" s="16">
        <f t="shared" ref="F1094:F1156" si="68">+D1094*E1094</f>
        <v>0</v>
      </c>
      <c r="G1094">
        <f t="shared" si="67"/>
        <v>0</v>
      </c>
    </row>
    <row r="1095" spans="1:7" ht="15.75" hidden="1" thickBot="1" x14ac:dyDescent="0.3">
      <c r="A1095" s="43" t="s">
        <v>3084</v>
      </c>
      <c r="B1095" s="81" t="s">
        <v>3048</v>
      </c>
      <c r="C1095" s="26" t="s">
        <v>37</v>
      </c>
      <c r="D1095" s="14"/>
      <c r="E1095" s="15"/>
      <c r="F1095" s="16">
        <f t="shared" si="68"/>
        <v>0</v>
      </c>
      <c r="G1095">
        <f t="shared" si="67"/>
        <v>0</v>
      </c>
    </row>
    <row r="1096" spans="1:7" ht="15.75" hidden="1" thickBot="1" x14ac:dyDescent="0.3">
      <c r="A1096" s="43" t="s">
        <v>3085</v>
      </c>
      <c r="B1096" s="81" t="s">
        <v>3049</v>
      </c>
      <c r="C1096" s="26" t="s">
        <v>37</v>
      </c>
      <c r="D1096" s="14"/>
      <c r="E1096" s="15"/>
      <c r="F1096" s="16">
        <f t="shared" si="68"/>
        <v>0</v>
      </c>
      <c r="G1096">
        <f t="shared" si="67"/>
        <v>0</v>
      </c>
    </row>
    <row r="1097" spans="1:7" ht="15.75" hidden="1" thickBot="1" x14ac:dyDescent="0.3">
      <c r="A1097" s="43" t="s">
        <v>3086</v>
      </c>
      <c r="B1097" s="81" t="s">
        <v>3050</v>
      </c>
      <c r="C1097" s="26" t="s">
        <v>37</v>
      </c>
      <c r="D1097" s="14"/>
      <c r="E1097" s="15"/>
      <c r="F1097" s="16">
        <f t="shared" si="68"/>
        <v>0</v>
      </c>
      <c r="G1097">
        <f t="shared" si="67"/>
        <v>0</v>
      </c>
    </row>
    <row r="1098" spans="1:7" ht="15.75" hidden="1" thickBot="1" x14ac:dyDescent="0.3">
      <c r="A1098" s="43" t="s">
        <v>3087</v>
      </c>
      <c r="B1098" s="81" t="s">
        <v>3051</v>
      </c>
      <c r="C1098" s="26" t="s">
        <v>37</v>
      </c>
      <c r="D1098" s="14"/>
      <c r="E1098" s="15"/>
      <c r="F1098" s="16">
        <f t="shared" si="68"/>
        <v>0</v>
      </c>
      <c r="G1098">
        <f t="shared" si="67"/>
        <v>0</v>
      </c>
    </row>
    <row r="1099" spans="1:7" ht="15.75" hidden="1" thickBot="1" x14ac:dyDescent="0.3">
      <c r="A1099" s="43" t="s">
        <v>3088</v>
      </c>
      <c r="B1099" s="81" t="s">
        <v>3052</v>
      </c>
      <c r="C1099" s="26" t="s">
        <v>37</v>
      </c>
      <c r="D1099" s="14"/>
      <c r="E1099" s="15"/>
      <c r="F1099" s="16">
        <f t="shared" si="68"/>
        <v>0</v>
      </c>
      <c r="G1099">
        <f t="shared" si="67"/>
        <v>0</v>
      </c>
    </row>
    <row r="1100" spans="1:7" ht="15.75" hidden="1" thickBot="1" x14ac:dyDescent="0.3">
      <c r="A1100" s="43" t="s">
        <v>3089</v>
      </c>
      <c r="B1100" s="81" t="s">
        <v>3053</v>
      </c>
      <c r="C1100" s="26" t="s">
        <v>37</v>
      </c>
      <c r="D1100" s="14"/>
      <c r="E1100" s="15"/>
      <c r="F1100" s="16">
        <f t="shared" si="68"/>
        <v>0</v>
      </c>
      <c r="G1100">
        <f t="shared" si="67"/>
        <v>0</v>
      </c>
    </row>
    <row r="1101" spans="1:7" ht="15.75" hidden="1" thickBot="1" x14ac:dyDescent="0.3">
      <c r="A1101" s="43" t="s">
        <v>3090</v>
      </c>
      <c r="B1101" s="81" t="s">
        <v>3054</v>
      </c>
      <c r="C1101" s="26" t="s">
        <v>37</v>
      </c>
      <c r="D1101" s="14"/>
      <c r="E1101" s="15"/>
      <c r="F1101" s="16">
        <f t="shared" si="68"/>
        <v>0</v>
      </c>
      <c r="G1101">
        <f t="shared" si="67"/>
        <v>0</v>
      </c>
    </row>
    <row r="1102" spans="1:7" ht="15.75" hidden="1" thickBot="1" x14ac:dyDescent="0.3">
      <c r="A1102" s="43" t="s">
        <v>3091</v>
      </c>
      <c r="B1102" s="81" t="s">
        <v>3055</v>
      </c>
      <c r="C1102" s="26" t="s">
        <v>37</v>
      </c>
      <c r="D1102" s="14"/>
      <c r="E1102" s="15"/>
      <c r="F1102" s="16">
        <f t="shared" si="68"/>
        <v>0</v>
      </c>
      <c r="G1102">
        <f t="shared" si="67"/>
        <v>0</v>
      </c>
    </row>
    <row r="1103" spans="1:7" ht="15.75" hidden="1" thickBot="1" x14ac:dyDescent="0.3">
      <c r="A1103" s="43" t="s">
        <v>3092</v>
      </c>
      <c r="B1103" s="81" t="s">
        <v>3056</v>
      </c>
      <c r="C1103" s="26" t="s">
        <v>37</v>
      </c>
      <c r="D1103" s="14"/>
      <c r="E1103" s="15"/>
      <c r="F1103" s="16">
        <f t="shared" si="68"/>
        <v>0</v>
      </c>
      <c r="G1103">
        <f t="shared" si="67"/>
        <v>0</v>
      </c>
    </row>
    <row r="1104" spans="1:7" ht="15.75" hidden="1" thickBot="1" x14ac:dyDescent="0.3">
      <c r="A1104" s="43" t="s">
        <v>3093</v>
      </c>
      <c r="B1104" s="81" t="s">
        <v>3057</v>
      </c>
      <c r="C1104" s="26" t="s">
        <v>37</v>
      </c>
      <c r="D1104" s="14"/>
      <c r="E1104" s="15"/>
      <c r="F1104" s="16">
        <f t="shared" si="68"/>
        <v>0</v>
      </c>
      <c r="G1104">
        <f t="shared" si="67"/>
        <v>0</v>
      </c>
    </row>
    <row r="1105" spans="1:7" ht="15.75" hidden="1" thickBot="1" x14ac:dyDescent="0.3">
      <c r="A1105" s="43" t="s">
        <v>3094</v>
      </c>
      <c r="B1105" s="81" t="s">
        <v>3058</v>
      </c>
      <c r="C1105" s="26" t="s">
        <v>37</v>
      </c>
      <c r="D1105" s="14"/>
      <c r="E1105" s="15"/>
      <c r="F1105" s="16">
        <f t="shared" si="68"/>
        <v>0</v>
      </c>
      <c r="G1105">
        <f t="shared" si="67"/>
        <v>0</v>
      </c>
    </row>
    <row r="1106" spans="1:7" ht="15.75" hidden="1" thickBot="1" x14ac:dyDescent="0.3">
      <c r="A1106" s="43" t="s">
        <v>3095</v>
      </c>
      <c r="B1106" s="81" t="s">
        <v>3059</v>
      </c>
      <c r="C1106" s="26" t="s">
        <v>37</v>
      </c>
      <c r="D1106" s="14"/>
      <c r="E1106" s="15"/>
      <c r="F1106" s="16">
        <f t="shared" si="68"/>
        <v>0</v>
      </c>
      <c r="G1106">
        <f t="shared" si="67"/>
        <v>0</v>
      </c>
    </row>
    <row r="1107" spans="1:7" ht="15.75" hidden="1" thickBot="1" x14ac:dyDescent="0.3">
      <c r="A1107" s="43" t="s">
        <v>3096</v>
      </c>
      <c r="B1107" s="81" t="s">
        <v>3060</v>
      </c>
      <c r="C1107" s="26" t="s">
        <v>37</v>
      </c>
      <c r="D1107" s="14"/>
      <c r="E1107" s="15"/>
      <c r="F1107" s="16">
        <f t="shared" si="68"/>
        <v>0</v>
      </c>
      <c r="G1107">
        <f t="shared" si="67"/>
        <v>0</v>
      </c>
    </row>
    <row r="1108" spans="1:7" ht="15.75" hidden="1" thickBot="1" x14ac:dyDescent="0.3">
      <c r="A1108" s="43" t="s">
        <v>3097</v>
      </c>
      <c r="B1108" s="81" t="s">
        <v>3061</v>
      </c>
      <c r="C1108" s="26" t="s">
        <v>37</v>
      </c>
      <c r="D1108" s="14"/>
      <c r="E1108" s="15"/>
      <c r="F1108" s="16">
        <f t="shared" si="68"/>
        <v>0</v>
      </c>
      <c r="G1108">
        <f t="shared" si="67"/>
        <v>0</v>
      </c>
    </row>
    <row r="1109" spans="1:7" ht="15.75" hidden="1" thickBot="1" x14ac:dyDescent="0.3">
      <c r="A1109" s="43" t="s">
        <v>3098</v>
      </c>
      <c r="B1109" s="81" t="s">
        <v>3062</v>
      </c>
      <c r="C1109" s="26" t="s">
        <v>37</v>
      </c>
      <c r="D1109" s="14"/>
      <c r="E1109" s="15"/>
      <c r="F1109" s="16">
        <f t="shared" si="68"/>
        <v>0</v>
      </c>
      <c r="G1109">
        <f t="shared" si="67"/>
        <v>0</v>
      </c>
    </row>
    <row r="1110" spans="1:7" ht="15.75" hidden="1" thickBot="1" x14ac:dyDescent="0.3">
      <c r="A1110" s="43" t="s">
        <v>3099</v>
      </c>
      <c r="B1110" s="81" t="s">
        <v>3063</v>
      </c>
      <c r="C1110" s="26" t="s">
        <v>37</v>
      </c>
      <c r="D1110" s="14"/>
      <c r="E1110" s="15"/>
      <c r="F1110" s="16">
        <f t="shared" si="68"/>
        <v>0</v>
      </c>
      <c r="G1110">
        <f t="shared" si="67"/>
        <v>0</v>
      </c>
    </row>
    <row r="1111" spans="1:7" ht="15.75" hidden="1" thickBot="1" x14ac:dyDescent="0.3">
      <c r="A1111" s="43" t="s">
        <v>3100</v>
      </c>
      <c r="B1111" s="81" t="s">
        <v>3064</v>
      </c>
      <c r="C1111" s="26" t="s">
        <v>37</v>
      </c>
      <c r="D1111" s="14"/>
      <c r="E1111" s="15"/>
      <c r="F1111" s="16">
        <f t="shared" si="68"/>
        <v>0</v>
      </c>
      <c r="G1111">
        <f t="shared" si="67"/>
        <v>0</v>
      </c>
    </row>
    <row r="1112" spans="1:7" ht="15.75" hidden="1" thickBot="1" x14ac:dyDescent="0.3">
      <c r="A1112" s="43" t="s">
        <v>3101</v>
      </c>
      <c r="B1112" s="81" t="s">
        <v>3065</v>
      </c>
      <c r="C1112" s="26" t="s">
        <v>37</v>
      </c>
      <c r="D1112" s="14"/>
      <c r="E1112" s="15"/>
      <c r="F1112" s="16">
        <f t="shared" si="68"/>
        <v>0</v>
      </c>
      <c r="G1112">
        <f t="shared" si="67"/>
        <v>0</v>
      </c>
    </row>
    <row r="1113" spans="1:7" ht="15.75" hidden="1" thickBot="1" x14ac:dyDescent="0.3">
      <c r="A1113" s="43" t="s">
        <v>3102</v>
      </c>
      <c r="B1113" s="81" t="s">
        <v>3066</v>
      </c>
      <c r="C1113" s="26" t="s">
        <v>37</v>
      </c>
      <c r="D1113" s="14"/>
      <c r="E1113" s="15"/>
      <c r="F1113" s="16">
        <f t="shared" si="68"/>
        <v>0</v>
      </c>
      <c r="G1113">
        <f t="shared" si="67"/>
        <v>0</v>
      </c>
    </row>
    <row r="1114" spans="1:7" ht="15.75" hidden="1" thickBot="1" x14ac:dyDescent="0.3">
      <c r="A1114" s="43" t="s">
        <v>3103</v>
      </c>
      <c r="B1114" s="81" t="s">
        <v>3067</v>
      </c>
      <c r="C1114" s="26" t="s">
        <v>37</v>
      </c>
      <c r="D1114" s="14"/>
      <c r="E1114" s="15"/>
      <c r="F1114" s="16">
        <f t="shared" si="68"/>
        <v>0</v>
      </c>
      <c r="G1114">
        <f t="shared" si="67"/>
        <v>0</v>
      </c>
    </row>
    <row r="1115" spans="1:7" ht="15.75" hidden="1" thickBot="1" x14ac:dyDescent="0.3">
      <c r="A1115" s="43" t="s">
        <v>3104</v>
      </c>
      <c r="B1115" s="81" t="s">
        <v>3068</v>
      </c>
      <c r="C1115" s="26" t="s">
        <v>37</v>
      </c>
      <c r="D1115" s="14"/>
      <c r="E1115" s="15"/>
      <c r="F1115" s="16">
        <f t="shared" si="68"/>
        <v>0</v>
      </c>
      <c r="G1115">
        <f t="shared" si="67"/>
        <v>0</v>
      </c>
    </row>
    <row r="1116" spans="1:7" ht="15.75" hidden="1" thickBot="1" x14ac:dyDescent="0.3">
      <c r="A1116" s="43" t="s">
        <v>3105</v>
      </c>
      <c r="B1116" s="81" t="s">
        <v>3069</v>
      </c>
      <c r="C1116" s="26" t="s">
        <v>37</v>
      </c>
      <c r="D1116" s="14"/>
      <c r="E1116" s="15"/>
      <c r="F1116" s="16">
        <f t="shared" si="68"/>
        <v>0</v>
      </c>
      <c r="G1116">
        <f t="shared" si="67"/>
        <v>0</v>
      </c>
    </row>
    <row r="1117" spans="1:7" ht="15.75" hidden="1" thickBot="1" x14ac:dyDescent="0.3">
      <c r="A1117" s="43" t="s">
        <v>3106</v>
      </c>
      <c r="B1117" s="81" t="s">
        <v>3070</v>
      </c>
      <c r="C1117" s="26" t="s">
        <v>37</v>
      </c>
      <c r="D1117" s="14"/>
      <c r="E1117" s="15"/>
      <c r="F1117" s="16">
        <f t="shared" si="68"/>
        <v>0</v>
      </c>
      <c r="G1117">
        <f t="shared" si="67"/>
        <v>0</v>
      </c>
    </row>
    <row r="1118" spans="1:7" ht="15.75" hidden="1" thickBot="1" x14ac:dyDescent="0.3">
      <c r="A1118" s="43" t="s">
        <v>3107</v>
      </c>
      <c r="B1118" s="81" t="s">
        <v>3071</v>
      </c>
      <c r="C1118" s="26" t="s">
        <v>37</v>
      </c>
      <c r="D1118" s="14"/>
      <c r="E1118" s="15"/>
      <c r="F1118" s="16">
        <f t="shared" si="68"/>
        <v>0</v>
      </c>
      <c r="G1118">
        <f t="shared" si="67"/>
        <v>0</v>
      </c>
    </row>
    <row r="1119" spans="1:7" ht="15.75" hidden="1" thickBot="1" x14ac:dyDescent="0.3">
      <c r="A1119" s="43" t="s">
        <v>3108</v>
      </c>
      <c r="B1119" s="81" t="s">
        <v>3072</v>
      </c>
      <c r="C1119" s="26" t="s">
        <v>37</v>
      </c>
      <c r="D1119" s="14"/>
      <c r="E1119" s="15"/>
      <c r="F1119" s="16">
        <f t="shared" si="68"/>
        <v>0</v>
      </c>
      <c r="G1119">
        <f t="shared" si="67"/>
        <v>0</v>
      </c>
    </row>
    <row r="1120" spans="1:7" ht="15.75" hidden="1" thickBot="1" x14ac:dyDescent="0.3">
      <c r="A1120" s="43" t="s">
        <v>3109</v>
      </c>
      <c r="B1120" s="81" t="s">
        <v>3073</v>
      </c>
      <c r="C1120" s="26" t="s">
        <v>37</v>
      </c>
      <c r="D1120" s="14"/>
      <c r="E1120" s="15"/>
      <c r="F1120" s="16">
        <f t="shared" si="68"/>
        <v>0</v>
      </c>
      <c r="G1120">
        <f t="shared" si="67"/>
        <v>0</v>
      </c>
    </row>
    <row r="1121" spans="1:7" ht="15.75" hidden="1" thickBot="1" x14ac:dyDescent="0.3">
      <c r="A1121" s="43" t="s">
        <v>3110</v>
      </c>
      <c r="B1121" s="81" t="s">
        <v>3074</v>
      </c>
      <c r="C1121" s="26" t="s">
        <v>37</v>
      </c>
      <c r="D1121" s="14"/>
      <c r="E1121" s="15"/>
      <c r="F1121" s="16">
        <f t="shared" si="68"/>
        <v>0</v>
      </c>
      <c r="G1121">
        <f t="shared" si="67"/>
        <v>0</v>
      </c>
    </row>
    <row r="1122" spans="1:7" ht="15.75" hidden="1" thickBot="1" x14ac:dyDescent="0.3">
      <c r="A1122" s="43" t="s">
        <v>3111</v>
      </c>
      <c r="B1122" s="81" t="s">
        <v>3075</v>
      </c>
      <c r="C1122" s="26" t="s">
        <v>37</v>
      </c>
      <c r="D1122" s="14"/>
      <c r="E1122" s="15"/>
      <c r="F1122" s="16">
        <f t="shared" si="68"/>
        <v>0</v>
      </c>
      <c r="G1122">
        <f t="shared" si="67"/>
        <v>0</v>
      </c>
    </row>
    <row r="1123" spans="1:7" ht="15.75" hidden="1" thickBot="1" x14ac:dyDescent="0.3">
      <c r="A1123" s="43" t="s">
        <v>3112</v>
      </c>
      <c r="B1123" s="81" t="s">
        <v>3076</v>
      </c>
      <c r="C1123" s="26" t="s">
        <v>37</v>
      </c>
      <c r="D1123" s="14"/>
      <c r="E1123" s="15"/>
      <c r="F1123" s="16">
        <f t="shared" si="68"/>
        <v>0</v>
      </c>
      <c r="G1123">
        <f t="shared" si="67"/>
        <v>0</v>
      </c>
    </row>
    <row r="1124" spans="1:7" ht="15.75" hidden="1" thickBot="1" x14ac:dyDescent="0.3">
      <c r="A1124" s="43" t="s">
        <v>3113</v>
      </c>
      <c r="B1124" s="81" t="s">
        <v>3077</v>
      </c>
      <c r="C1124" s="26" t="s">
        <v>37</v>
      </c>
      <c r="D1124" s="14"/>
      <c r="E1124" s="15"/>
      <c r="F1124" s="16">
        <f t="shared" si="68"/>
        <v>0</v>
      </c>
      <c r="G1124">
        <f t="shared" ref="G1124:G1187" si="69">+IF(F1124&lt;&gt;0,1,0)</f>
        <v>0</v>
      </c>
    </row>
    <row r="1125" spans="1:7" ht="15.75" hidden="1" thickBot="1" x14ac:dyDescent="0.3">
      <c r="A1125" s="43" t="s">
        <v>3114</v>
      </c>
      <c r="B1125" s="81" t="s">
        <v>3078</v>
      </c>
      <c r="C1125" s="26" t="s">
        <v>37</v>
      </c>
      <c r="D1125" s="14"/>
      <c r="E1125" s="15"/>
      <c r="F1125" s="16">
        <f t="shared" si="68"/>
        <v>0</v>
      </c>
      <c r="G1125">
        <f t="shared" si="69"/>
        <v>0</v>
      </c>
    </row>
    <row r="1126" spans="1:7" ht="15.75" hidden="1" thickBot="1" x14ac:dyDescent="0.3">
      <c r="A1126" s="43" t="s">
        <v>3115</v>
      </c>
      <c r="B1126" s="81" t="s">
        <v>3079</v>
      </c>
      <c r="C1126" s="26" t="s">
        <v>37</v>
      </c>
      <c r="D1126" s="14"/>
      <c r="E1126" s="15"/>
      <c r="F1126" s="16">
        <f t="shared" si="68"/>
        <v>0</v>
      </c>
      <c r="G1126">
        <f t="shared" si="69"/>
        <v>0</v>
      </c>
    </row>
    <row r="1127" spans="1:7" ht="15.75" hidden="1" thickBot="1" x14ac:dyDescent="0.3">
      <c r="A1127" s="43" t="s">
        <v>3116</v>
      </c>
      <c r="B1127" s="81" t="s">
        <v>3080</v>
      </c>
      <c r="C1127" s="26" t="s">
        <v>37</v>
      </c>
      <c r="D1127" s="14"/>
      <c r="E1127" s="15"/>
      <c r="F1127" s="16">
        <f t="shared" si="68"/>
        <v>0</v>
      </c>
      <c r="G1127">
        <f t="shared" si="69"/>
        <v>0</v>
      </c>
    </row>
    <row r="1128" spans="1:7" ht="15.75" hidden="1" thickBot="1" x14ac:dyDescent="0.3">
      <c r="A1128" s="43" t="s">
        <v>3117</v>
      </c>
      <c r="B1128" s="81" t="s">
        <v>3081</v>
      </c>
      <c r="C1128" s="26" t="s">
        <v>37</v>
      </c>
      <c r="D1128" s="14"/>
      <c r="E1128" s="15"/>
      <c r="F1128" s="16">
        <f t="shared" si="68"/>
        <v>0</v>
      </c>
      <c r="G1128">
        <f t="shared" si="69"/>
        <v>0</v>
      </c>
    </row>
    <row r="1129" spans="1:7" ht="15.75" hidden="1" thickBot="1" x14ac:dyDescent="0.3">
      <c r="A1129" s="43" t="s">
        <v>3118</v>
      </c>
      <c r="B1129" s="81" t="s">
        <v>3082</v>
      </c>
      <c r="C1129" s="26" t="s">
        <v>37</v>
      </c>
      <c r="D1129" s="14"/>
      <c r="E1129" s="15"/>
      <c r="F1129" s="16">
        <f t="shared" si="68"/>
        <v>0</v>
      </c>
      <c r="G1129">
        <f t="shared" si="69"/>
        <v>0</v>
      </c>
    </row>
    <row r="1130" spans="1:7" ht="15.75" hidden="1" thickBot="1" x14ac:dyDescent="0.3">
      <c r="A1130" s="43" t="s">
        <v>3119</v>
      </c>
      <c r="B1130" s="81" t="s">
        <v>3083</v>
      </c>
      <c r="C1130" s="26" t="s">
        <v>37</v>
      </c>
      <c r="D1130" s="14"/>
      <c r="E1130" s="15"/>
      <c r="F1130" s="16">
        <f t="shared" si="68"/>
        <v>0</v>
      </c>
      <c r="G1130">
        <f t="shared" si="69"/>
        <v>0</v>
      </c>
    </row>
    <row r="1131" spans="1:7" ht="15.75" hidden="1" thickBot="1" x14ac:dyDescent="0.3">
      <c r="A1131" s="43" t="s">
        <v>3120</v>
      </c>
      <c r="B1131" s="81" t="s">
        <v>3148</v>
      </c>
      <c r="C1131" s="26" t="s">
        <v>37</v>
      </c>
      <c r="D1131" s="14"/>
      <c r="E1131" s="15"/>
      <c r="F1131" s="16">
        <f t="shared" si="68"/>
        <v>0</v>
      </c>
      <c r="G1131">
        <f t="shared" si="69"/>
        <v>0</v>
      </c>
    </row>
    <row r="1132" spans="1:7" ht="15.75" hidden="1" thickBot="1" x14ac:dyDescent="0.3">
      <c r="A1132" s="43" t="s">
        <v>3121</v>
      </c>
      <c r="B1132" s="81" t="s">
        <v>3149</v>
      </c>
      <c r="C1132" s="26" t="s">
        <v>37</v>
      </c>
      <c r="D1132" s="14"/>
      <c r="E1132" s="15"/>
      <c r="F1132" s="16">
        <f t="shared" si="68"/>
        <v>0</v>
      </c>
      <c r="G1132">
        <f t="shared" si="69"/>
        <v>0</v>
      </c>
    </row>
    <row r="1133" spans="1:7" ht="15.75" hidden="1" thickBot="1" x14ac:dyDescent="0.3">
      <c r="A1133" s="43" t="s">
        <v>3122</v>
      </c>
      <c r="B1133" s="81" t="s">
        <v>3150</v>
      </c>
      <c r="C1133" s="26" t="s">
        <v>37</v>
      </c>
      <c r="D1133" s="14"/>
      <c r="E1133" s="15"/>
      <c r="F1133" s="16">
        <f t="shared" si="68"/>
        <v>0</v>
      </c>
      <c r="G1133">
        <f t="shared" si="69"/>
        <v>0</v>
      </c>
    </row>
    <row r="1134" spans="1:7" ht="15.75" hidden="1" thickBot="1" x14ac:dyDescent="0.3">
      <c r="A1134" s="43" t="s">
        <v>3123</v>
      </c>
      <c r="B1134" s="81" t="s">
        <v>3151</v>
      </c>
      <c r="C1134" s="26" t="s">
        <v>37</v>
      </c>
      <c r="D1134" s="14"/>
      <c r="E1134" s="15"/>
      <c r="F1134" s="16">
        <f t="shared" si="68"/>
        <v>0</v>
      </c>
      <c r="G1134">
        <f t="shared" si="69"/>
        <v>0</v>
      </c>
    </row>
    <row r="1135" spans="1:7" ht="15.75" hidden="1" thickBot="1" x14ac:dyDescent="0.3">
      <c r="A1135" s="43" t="s">
        <v>3124</v>
      </c>
      <c r="B1135" s="81" t="s">
        <v>3152</v>
      </c>
      <c r="C1135" s="26" t="s">
        <v>37</v>
      </c>
      <c r="D1135" s="14"/>
      <c r="E1135" s="15"/>
      <c r="F1135" s="16">
        <f t="shared" si="68"/>
        <v>0</v>
      </c>
      <c r="G1135">
        <f t="shared" si="69"/>
        <v>0</v>
      </c>
    </row>
    <row r="1136" spans="1:7" ht="15.75" hidden="1" thickBot="1" x14ac:dyDescent="0.3">
      <c r="A1136" s="43" t="s">
        <v>3125</v>
      </c>
      <c r="B1136" s="81" t="s">
        <v>3153</v>
      </c>
      <c r="C1136" s="26" t="s">
        <v>37</v>
      </c>
      <c r="D1136" s="14"/>
      <c r="E1136" s="15"/>
      <c r="F1136" s="16">
        <f t="shared" si="68"/>
        <v>0</v>
      </c>
      <c r="G1136">
        <f t="shared" si="69"/>
        <v>0</v>
      </c>
    </row>
    <row r="1137" spans="1:7" ht="15.75" hidden="1" thickBot="1" x14ac:dyDescent="0.3">
      <c r="A1137" s="43" t="s">
        <v>3126</v>
      </c>
      <c r="B1137" s="81" t="s">
        <v>3167</v>
      </c>
      <c r="C1137" s="26" t="s">
        <v>37</v>
      </c>
      <c r="D1137" s="14"/>
      <c r="E1137" s="15"/>
      <c r="F1137" s="16">
        <f t="shared" si="68"/>
        <v>0</v>
      </c>
      <c r="G1137">
        <f t="shared" si="69"/>
        <v>0</v>
      </c>
    </row>
    <row r="1138" spans="1:7" ht="15.75" hidden="1" thickBot="1" x14ac:dyDescent="0.3">
      <c r="A1138" s="43" t="s">
        <v>3127</v>
      </c>
      <c r="B1138" s="81" t="s">
        <v>3168</v>
      </c>
      <c r="C1138" s="26" t="s">
        <v>37</v>
      </c>
      <c r="D1138" s="14"/>
      <c r="E1138" s="15"/>
      <c r="F1138" s="16">
        <f t="shared" si="68"/>
        <v>0</v>
      </c>
      <c r="G1138">
        <f t="shared" si="69"/>
        <v>0</v>
      </c>
    </row>
    <row r="1139" spans="1:7" ht="15.75" hidden="1" thickBot="1" x14ac:dyDescent="0.3">
      <c r="A1139" s="43" t="s">
        <v>3128</v>
      </c>
      <c r="B1139" s="81" t="s">
        <v>3169</v>
      </c>
      <c r="C1139" s="26" t="s">
        <v>37</v>
      </c>
      <c r="D1139" s="14"/>
      <c r="E1139" s="15"/>
      <c r="F1139" s="16">
        <f t="shared" si="68"/>
        <v>0</v>
      </c>
      <c r="G1139">
        <f t="shared" si="69"/>
        <v>0</v>
      </c>
    </row>
    <row r="1140" spans="1:7" ht="15.75" hidden="1" thickBot="1" x14ac:dyDescent="0.3">
      <c r="A1140" s="43" t="s">
        <v>3129</v>
      </c>
      <c r="B1140" s="81" t="s">
        <v>3170</v>
      </c>
      <c r="C1140" s="26" t="s">
        <v>37</v>
      </c>
      <c r="D1140" s="14"/>
      <c r="E1140" s="15"/>
      <c r="F1140" s="16">
        <f t="shared" si="68"/>
        <v>0</v>
      </c>
      <c r="G1140">
        <f t="shared" si="69"/>
        <v>0</v>
      </c>
    </row>
    <row r="1141" spans="1:7" ht="15.75" hidden="1" thickBot="1" x14ac:dyDescent="0.3">
      <c r="A1141" s="43" t="s">
        <v>3130</v>
      </c>
      <c r="B1141" s="81" t="s">
        <v>3171</v>
      </c>
      <c r="C1141" s="26" t="s">
        <v>37</v>
      </c>
      <c r="D1141" s="14"/>
      <c r="E1141" s="15"/>
      <c r="F1141" s="16">
        <f t="shared" si="68"/>
        <v>0</v>
      </c>
      <c r="G1141">
        <f t="shared" si="69"/>
        <v>0</v>
      </c>
    </row>
    <row r="1142" spans="1:7" ht="15.75" hidden="1" thickBot="1" x14ac:dyDescent="0.3">
      <c r="A1142" s="43" t="s">
        <v>3131</v>
      </c>
      <c r="B1142" s="81" t="s">
        <v>3160</v>
      </c>
      <c r="C1142" s="26" t="s">
        <v>37</v>
      </c>
      <c r="D1142" s="14"/>
      <c r="E1142" s="15"/>
      <c r="F1142" s="16">
        <f t="shared" si="68"/>
        <v>0</v>
      </c>
      <c r="G1142">
        <f t="shared" si="69"/>
        <v>0</v>
      </c>
    </row>
    <row r="1143" spans="1:7" ht="15.75" hidden="1" thickBot="1" x14ac:dyDescent="0.3">
      <c r="A1143" s="43" t="s">
        <v>3132</v>
      </c>
      <c r="B1143" s="81" t="s">
        <v>3161</v>
      </c>
      <c r="C1143" s="26" t="s">
        <v>37</v>
      </c>
      <c r="D1143" s="14"/>
      <c r="E1143" s="15"/>
      <c r="F1143" s="16">
        <f t="shared" si="68"/>
        <v>0</v>
      </c>
      <c r="G1143">
        <f t="shared" si="69"/>
        <v>0</v>
      </c>
    </row>
    <row r="1144" spans="1:7" ht="15.75" hidden="1" thickBot="1" x14ac:dyDescent="0.3">
      <c r="A1144" s="43" t="s">
        <v>3133</v>
      </c>
      <c r="B1144" s="81" t="s">
        <v>3162</v>
      </c>
      <c r="C1144" s="26" t="s">
        <v>37</v>
      </c>
      <c r="D1144" s="14"/>
      <c r="E1144" s="15"/>
      <c r="F1144" s="16">
        <f t="shared" si="68"/>
        <v>0</v>
      </c>
      <c r="G1144">
        <f t="shared" si="69"/>
        <v>0</v>
      </c>
    </row>
    <row r="1145" spans="1:7" ht="15.75" hidden="1" thickBot="1" x14ac:dyDescent="0.3">
      <c r="A1145" s="43" t="s">
        <v>3134</v>
      </c>
      <c r="B1145" s="81" t="s">
        <v>3163</v>
      </c>
      <c r="C1145" s="26" t="s">
        <v>37</v>
      </c>
      <c r="D1145" s="14"/>
      <c r="E1145" s="15"/>
      <c r="F1145" s="16">
        <f t="shared" si="68"/>
        <v>0</v>
      </c>
      <c r="G1145">
        <f t="shared" si="69"/>
        <v>0</v>
      </c>
    </row>
    <row r="1146" spans="1:7" ht="15.75" hidden="1" thickBot="1" x14ac:dyDescent="0.3">
      <c r="A1146" s="43" t="s">
        <v>3135</v>
      </c>
      <c r="B1146" s="81" t="s">
        <v>3164</v>
      </c>
      <c r="C1146" s="26" t="s">
        <v>37</v>
      </c>
      <c r="D1146" s="14"/>
      <c r="E1146" s="15"/>
      <c r="F1146" s="16">
        <f t="shared" si="68"/>
        <v>0</v>
      </c>
      <c r="G1146">
        <f t="shared" si="69"/>
        <v>0</v>
      </c>
    </row>
    <row r="1147" spans="1:7" ht="15.75" hidden="1" thickBot="1" x14ac:dyDescent="0.3">
      <c r="A1147" s="43" t="s">
        <v>3136</v>
      </c>
      <c r="B1147" s="81" t="s">
        <v>3165</v>
      </c>
      <c r="C1147" s="26" t="s">
        <v>37</v>
      </c>
      <c r="D1147" s="14"/>
      <c r="E1147" s="15"/>
      <c r="F1147" s="16">
        <f t="shared" si="68"/>
        <v>0</v>
      </c>
      <c r="G1147">
        <f t="shared" si="69"/>
        <v>0</v>
      </c>
    </row>
    <row r="1148" spans="1:7" ht="15.75" hidden="1" thickBot="1" x14ac:dyDescent="0.3">
      <c r="A1148" s="43" t="s">
        <v>3137</v>
      </c>
      <c r="B1148" s="81" t="s">
        <v>3166</v>
      </c>
      <c r="C1148" s="26" t="s">
        <v>37</v>
      </c>
      <c r="D1148" s="14"/>
      <c r="E1148" s="15"/>
      <c r="F1148" s="16">
        <f t="shared" si="68"/>
        <v>0</v>
      </c>
      <c r="G1148">
        <f t="shared" si="69"/>
        <v>0</v>
      </c>
    </row>
    <row r="1149" spans="1:7" ht="15.75" hidden="1" thickBot="1" x14ac:dyDescent="0.3">
      <c r="A1149" s="43" t="s">
        <v>3138</v>
      </c>
      <c r="B1149" s="81" t="s">
        <v>3154</v>
      </c>
      <c r="C1149" s="26" t="s">
        <v>37</v>
      </c>
      <c r="D1149" s="14"/>
      <c r="E1149" s="15"/>
      <c r="F1149" s="16">
        <f t="shared" si="68"/>
        <v>0</v>
      </c>
      <c r="G1149">
        <f t="shared" si="69"/>
        <v>0</v>
      </c>
    </row>
    <row r="1150" spans="1:7" ht="15.75" hidden="1" thickBot="1" x14ac:dyDescent="0.3">
      <c r="A1150" s="43" t="s">
        <v>3139</v>
      </c>
      <c r="B1150" s="81" t="s">
        <v>3155</v>
      </c>
      <c r="C1150" s="26" t="s">
        <v>37</v>
      </c>
      <c r="D1150" s="14"/>
      <c r="E1150" s="15"/>
      <c r="F1150" s="16">
        <f t="shared" si="68"/>
        <v>0</v>
      </c>
      <c r="G1150">
        <f t="shared" si="69"/>
        <v>0</v>
      </c>
    </row>
    <row r="1151" spans="1:7" ht="15.75" hidden="1" thickBot="1" x14ac:dyDescent="0.3">
      <c r="A1151" s="43" t="s">
        <v>3140</v>
      </c>
      <c r="B1151" s="81" t="s">
        <v>3156</v>
      </c>
      <c r="C1151" s="26" t="s">
        <v>37</v>
      </c>
      <c r="D1151" s="14"/>
      <c r="E1151" s="15"/>
      <c r="F1151" s="16">
        <f t="shared" si="68"/>
        <v>0</v>
      </c>
      <c r="G1151">
        <f t="shared" si="69"/>
        <v>0</v>
      </c>
    </row>
    <row r="1152" spans="1:7" ht="15.75" hidden="1" thickBot="1" x14ac:dyDescent="0.3">
      <c r="A1152" s="43" t="s">
        <v>3141</v>
      </c>
      <c r="B1152" s="81" t="s">
        <v>3157</v>
      </c>
      <c r="C1152" s="26" t="s">
        <v>37</v>
      </c>
      <c r="D1152" s="14"/>
      <c r="E1152" s="15"/>
      <c r="F1152" s="16">
        <f t="shared" si="68"/>
        <v>0</v>
      </c>
      <c r="G1152">
        <f t="shared" si="69"/>
        <v>0</v>
      </c>
    </row>
    <row r="1153" spans="1:7" ht="15.75" hidden="1" thickBot="1" x14ac:dyDescent="0.3">
      <c r="A1153" s="43" t="s">
        <v>3142</v>
      </c>
      <c r="B1153" s="81" t="s">
        <v>3158</v>
      </c>
      <c r="C1153" s="26" t="s">
        <v>37</v>
      </c>
      <c r="D1153" s="14"/>
      <c r="E1153" s="15"/>
      <c r="F1153" s="16">
        <f t="shared" si="68"/>
        <v>0</v>
      </c>
      <c r="G1153">
        <f t="shared" si="69"/>
        <v>0</v>
      </c>
    </row>
    <row r="1154" spans="1:7" ht="15.75" hidden="1" thickBot="1" x14ac:dyDescent="0.3">
      <c r="A1154" s="43" t="s">
        <v>3143</v>
      </c>
      <c r="B1154" s="81" t="s">
        <v>3159</v>
      </c>
      <c r="C1154" s="26" t="s">
        <v>37</v>
      </c>
      <c r="D1154" s="14"/>
      <c r="E1154" s="15"/>
      <c r="F1154" s="16">
        <f t="shared" si="68"/>
        <v>0</v>
      </c>
      <c r="G1154">
        <f t="shared" si="69"/>
        <v>0</v>
      </c>
    </row>
    <row r="1155" spans="1:7" ht="15.75" hidden="1" thickBot="1" x14ac:dyDescent="0.3">
      <c r="A1155" s="43" t="s">
        <v>3144</v>
      </c>
      <c r="B1155" s="81" t="s">
        <v>3146</v>
      </c>
      <c r="C1155" s="26" t="s">
        <v>37</v>
      </c>
      <c r="D1155" s="14"/>
      <c r="E1155" s="15"/>
      <c r="F1155" s="16">
        <f t="shared" si="68"/>
        <v>0</v>
      </c>
      <c r="G1155">
        <f t="shared" si="69"/>
        <v>0</v>
      </c>
    </row>
    <row r="1156" spans="1:7" ht="15.75" hidden="1" thickBot="1" x14ac:dyDescent="0.3">
      <c r="A1156" s="43" t="s">
        <v>3145</v>
      </c>
      <c r="B1156" s="81" t="s">
        <v>3147</v>
      </c>
      <c r="C1156" s="26" t="s">
        <v>37</v>
      </c>
      <c r="D1156" s="14"/>
      <c r="E1156" s="15"/>
      <c r="F1156" s="16">
        <f t="shared" si="68"/>
        <v>0</v>
      </c>
      <c r="G1156">
        <f t="shared" si="69"/>
        <v>0</v>
      </c>
    </row>
    <row r="1157" spans="1:7" ht="15.75" hidden="1" thickBot="1" x14ac:dyDescent="0.3">
      <c r="A1157" s="44" t="s">
        <v>3172</v>
      </c>
      <c r="B1157" s="80" t="s">
        <v>974</v>
      </c>
      <c r="C1157" s="26" t="s">
        <v>37</v>
      </c>
      <c r="D1157" s="14"/>
      <c r="E1157" s="15"/>
      <c r="F1157" s="16"/>
      <c r="G1157">
        <f t="shared" si="69"/>
        <v>0</v>
      </c>
    </row>
    <row r="1158" spans="1:7" ht="15.75" hidden="1" thickBot="1" x14ac:dyDescent="0.3">
      <c r="A1158" s="44" t="s">
        <v>3173</v>
      </c>
      <c r="B1158" s="80" t="s">
        <v>3174</v>
      </c>
      <c r="C1158" s="26" t="s">
        <v>37</v>
      </c>
      <c r="D1158" s="14"/>
      <c r="E1158" s="15"/>
      <c r="F1158" s="16"/>
      <c r="G1158">
        <f t="shared" si="69"/>
        <v>0</v>
      </c>
    </row>
    <row r="1159" spans="1:7" ht="15.75" hidden="1" thickBot="1" x14ac:dyDescent="0.3">
      <c r="A1159" s="43" t="s">
        <v>3226</v>
      </c>
      <c r="B1159" s="81" t="s">
        <v>3175</v>
      </c>
      <c r="C1159" s="26" t="s">
        <v>37</v>
      </c>
      <c r="D1159" s="14"/>
      <c r="E1159" s="15"/>
      <c r="F1159" s="16">
        <f t="shared" ref="F1159:F1209" si="70">+D1159*E1159</f>
        <v>0</v>
      </c>
      <c r="G1159">
        <f t="shared" si="69"/>
        <v>0</v>
      </c>
    </row>
    <row r="1160" spans="1:7" ht="15.75" hidden="1" thickBot="1" x14ac:dyDescent="0.3">
      <c r="A1160" s="43" t="s">
        <v>3227</v>
      </c>
      <c r="B1160" s="81" t="s">
        <v>3176</v>
      </c>
      <c r="C1160" s="26" t="s">
        <v>37</v>
      </c>
      <c r="D1160" s="14"/>
      <c r="E1160" s="15"/>
      <c r="F1160" s="16">
        <f t="shared" si="70"/>
        <v>0</v>
      </c>
      <c r="G1160">
        <f t="shared" si="69"/>
        <v>0</v>
      </c>
    </row>
    <row r="1161" spans="1:7" ht="15.75" hidden="1" thickBot="1" x14ac:dyDescent="0.3">
      <c r="A1161" s="43" t="s">
        <v>3228</v>
      </c>
      <c r="B1161" s="81" t="s">
        <v>3177</v>
      </c>
      <c r="C1161" s="26" t="s">
        <v>37</v>
      </c>
      <c r="D1161" s="14"/>
      <c r="E1161" s="15"/>
      <c r="F1161" s="16">
        <f t="shared" si="70"/>
        <v>0</v>
      </c>
      <c r="G1161">
        <f t="shared" si="69"/>
        <v>0</v>
      </c>
    </row>
    <row r="1162" spans="1:7" ht="15.75" hidden="1" thickBot="1" x14ac:dyDescent="0.3">
      <c r="A1162" s="43" t="s">
        <v>3229</v>
      </c>
      <c r="B1162" s="81" t="s">
        <v>3178</v>
      </c>
      <c r="C1162" s="26" t="s">
        <v>37</v>
      </c>
      <c r="D1162" s="14"/>
      <c r="E1162" s="15"/>
      <c r="F1162" s="16">
        <f t="shared" si="70"/>
        <v>0</v>
      </c>
      <c r="G1162">
        <f t="shared" si="69"/>
        <v>0</v>
      </c>
    </row>
    <row r="1163" spans="1:7" ht="15.75" hidden="1" thickBot="1" x14ac:dyDescent="0.3">
      <c r="A1163" s="43" t="s">
        <v>3230</v>
      </c>
      <c r="B1163" s="81" t="s">
        <v>3179</v>
      </c>
      <c r="C1163" s="26" t="s">
        <v>37</v>
      </c>
      <c r="D1163" s="14"/>
      <c r="E1163" s="15"/>
      <c r="F1163" s="16">
        <f t="shared" si="70"/>
        <v>0</v>
      </c>
      <c r="G1163">
        <f t="shared" si="69"/>
        <v>0</v>
      </c>
    </row>
    <row r="1164" spans="1:7" ht="15.75" hidden="1" thickBot="1" x14ac:dyDescent="0.3">
      <c r="A1164" s="43" t="s">
        <v>3231</v>
      </c>
      <c r="B1164" s="81" t="s">
        <v>3180</v>
      </c>
      <c r="C1164" s="26" t="s">
        <v>37</v>
      </c>
      <c r="D1164" s="14"/>
      <c r="E1164" s="15"/>
      <c r="F1164" s="16">
        <f t="shared" si="70"/>
        <v>0</v>
      </c>
      <c r="G1164">
        <f t="shared" si="69"/>
        <v>0</v>
      </c>
    </row>
    <row r="1165" spans="1:7" ht="15.75" hidden="1" thickBot="1" x14ac:dyDescent="0.3">
      <c r="A1165" s="43" t="s">
        <v>3232</v>
      </c>
      <c r="B1165" s="81" t="s">
        <v>3181</v>
      </c>
      <c r="C1165" s="26" t="s">
        <v>37</v>
      </c>
      <c r="D1165" s="14"/>
      <c r="E1165" s="15"/>
      <c r="F1165" s="16">
        <f t="shared" si="70"/>
        <v>0</v>
      </c>
      <c r="G1165">
        <f t="shared" si="69"/>
        <v>0</v>
      </c>
    </row>
    <row r="1166" spans="1:7" ht="15.75" hidden="1" thickBot="1" x14ac:dyDescent="0.3">
      <c r="A1166" s="43" t="s">
        <v>3233</v>
      </c>
      <c r="B1166" s="81" t="s">
        <v>3182</v>
      </c>
      <c r="C1166" s="26" t="s">
        <v>37</v>
      </c>
      <c r="D1166" s="14"/>
      <c r="E1166" s="15"/>
      <c r="F1166" s="16">
        <f t="shared" si="70"/>
        <v>0</v>
      </c>
      <c r="G1166">
        <f t="shared" si="69"/>
        <v>0</v>
      </c>
    </row>
    <row r="1167" spans="1:7" ht="15.75" hidden="1" thickBot="1" x14ac:dyDescent="0.3">
      <c r="A1167" s="43" t="s">
        <v>3234</v>
      </c>
      <c r="B1167" s="81" t="s">
        <v>3183</v>
      </c>
      <c r="C1167" s="26" t="s">
        <v>37</v>
      </c>
      <c r="D1167" s="14"/>
      <c r="E1167" s="15"/>
      <c r="F1167" s="16">
        <f t="shared" si="70"/>
        <v>0</v>
      </c>
      <c r="G1167">
        <f t="shared" si="69"/>
        <v>0</v>
      </c>
    </row>
    <row r="1168" spans="1:7" ht="15.75" hidden="1" thickBot="1" x14ac:dyDescent="0.3">
      <c r="A1168" s="43" t="s">
        <v>3235</v>
      </c>
      <c r="B1168" s="81" t="s">
        <v>3184</v>
      </c>
      <c r="C1168" s="26" t="s">
        <v>37</v>
      </c>
      <c r="D1168" s="14"/>
      <c r="E1168" s="15"/>
      <c r="F1168" s="16">
        <f t="shared" si="70"/>
        <v>0</v>
      </c>
      <c r="G1168">
        <f t="shared" si="69"/>
        <v>0</v>
      </c>
    </row>
    <row r="1169" spans="1:7" ht="15.75" hidden="1" thickBot="1" x14ac:dyDescent="0.3">
      <c r="A1169" s="43" t="s">
        <v>3236</v>
      </c>
      <c r="B1169" s="81" t="s">
        <v>3185</v>
      </c>
      <c r="C1169" s="26" t="s">
        <v>37</v>
      </c>
      <c r="D1169" s="14"/>
      <c r="E1169" s="15"/>
      <c r="F1169" s="16">
        <f t="shared" si="70"/>
        <v>0</v>
      </c>
      <c r="G1169">
        <f t="shared" si="69"/>
        <v>0</v>
      </c>
    </row>
    <row r="1170" spans="1:7" ht="15.75" hidden="1" thickBot="1" x14ac:dyDescent="0.3">
      <c r="A1170" s="43" t="s">
        <v>3237</v>
      </c>
      <c r="B1170" s="81" t="s">
        <v>3186</v>
      </c>
      <c r="C1170" s="26" t="s">
        <v>37</v>
      </c>
      <c r="D1170" s="14"/>
      <c r="E1170" s="15"/>
      <c r="F1170" s="16">
        <f t="shared" si="70"/>
        <v>0</v>
      </c>
      <c r="G1170">
        <f t="shared" si="69"/>
        <v>0</v>
      </c>
    </row>
    <row r="1171" spans="1:7" ht="15.75" hidden="1" thickBot="1" x14ac:dyDescent="0.3">
      <c r="A1171" s="43" t="s">
        <v>3238</v>
      </c>
      <c r="B1171" s="81" t="s">
        <v>3187</v>
      </c>
      <c r="C1171" s="26" t="s">
        <v>37</v>
      </c>
      <c r="D1171" s="14"/>
      <c r="E1171" s="15"/>
      <c r="F1171" s="16">
        <f t="shared" si="70"/>
        <v>0</v>
      </c>
      <c r="G1171">
        <f t="shared" si="69"/>
        <v>0</v>
      </c>
    </row>
    <row r="1172" spans="1:7" ht="15.75" hidden="1" thickBot="1" x14ac:dyDescent="0.3">
      <c r="A1172" s="43" t="s">
        <v>3239</v>
      </c>
      <c r="B1172" s="81" t="s">
        <v>3188</v>
      </c>
      <c r="C1172" s="26" t="s">
        <v>37</v>
      </c>
      <c r="D1172" s="14"/>
      <c r="E1172" s="15"/>
      <c r="F1172" s="16">
        <f t="shared" si="70"/>
        <v>0</v>
      </c>
      <c r="G1172">
        <f t="shared" si="69"/>
        <v>0</v>
      </c>
    </row>
    <row r="1173" spans="1:7" ht="15.75" hidden="1" thickBot="1" x14ac:dyDescent="0.3">
      <c r="A1173" s="43" t="s">
        <v>3240</v>
      </c>
      <c r="B1173" s="81" t="s">
        <v>3189</v>
      </c>
      <c r="C1173" s="26" t="s">
        <v>37</v>
      </c>
      <c r="D1173" s="14"/>
      <c r="E1173" s="15"/>
      <c r="F1173" s="16">
        <f t="shared" si="70"/>
        <v>0</v>
      </c>
      <c r="G1173">
        <f t="shared" si="69"/>
        <v>0</v>
      </c>
    </row>
    <row r="1174" spans="1:7" ht="15.75" hidden="1" thickBot="1" x14ac:dyDescent="0.3">
      <c r="A1174" s="43" t="s">
        <v>3241</v>
      </c>
      <c r="B1174" s="81" t="s">
        <v>3190</v>
      </c>
      <c r="C1174" s="26" t="s">
        <v>37</v>
      </c>
      <c r="D1174" s="14"/>
      <c r="E1174" s="15"/>
      <c r="F1174" s="16">
        <f t="shared" si="70"/>
        <v>0</v>
      </c>
      <c r="G1174">
        <f t="shared" si="69"/>
        <v>0</v>
      </c>
    </row>
    <row r="1175" spans="1:7" ht="15.75" hidden="1" thickBot="1" x14ac:dyDescent="0.3">
      <c r="A1175" s="43" t="s">
        <v>3242</v>
      </c>
      <c r="B1175" s="81" t="s">
        <v>3191</v>
      </c>
      <c r="C1175" s="26" t="s">
        <v>37</v>
      </c>
      <c r="D1175" s="14"/>
      <c r="E1175" s="15"/>
      <c r="F1175" s="16">
        <f t="shared" si="70"/>
        <v>0</v>
      </c>
      <c r="G1175">
        <f t="shared" si="69"/>
        <v>0</v>
      </c>
    </row>
    <row r="1176" spans="1:7" ht="15.75" hidden="1" thickBot="1" x14ac:dyDescent="0.3">
      <c r="A1176" s="43" t="s">
        <v>3243</v>
      </c>
      <c r="B1176" s="81" t="s">
        <v>3192</v>
      </c>
      <c r="C1176" s="26" t="s">
        <v>37</v>
      </c>
      <c r="D1176" s="14"/>
      <c r="E1176" s="15"/>
      <c r="F1176" s="16">
        <f t="shared" si="70"/>
        <v>0</v>
      </c>
      <c r="G1176">
        <f t="shared" si="69"/>
        <v>0</v>
      </c>
    </row>
    <row r="1177" spans="1:7" ht="15.75" hidden="1" thickBot="1" x14ac:dyDescent="0.3">
      <c r="A1177" s="43" t="s">
        <v>3244</v>
      </c>
      <c r="B1177" s="81" t="s">
        <v>3193</v>
      </c>
      <c r="C1177" s="26" t="s">
        <v>37</v>
      </c>
      <c r="D1177" s="14"/>
      <c r="E1177" s="15"/>
      <c r="F1177" s="16">
        <f t="shared" si="70"/>
        <v>0</v>
      </c>
      <c r="G1177">
        <f t="shared" si="69"/>
        <v>0</v>
      </c>
    </row>
    <row r="1178" spans="1:7" ht="15.75" hidden="1" thickBot="1" x14ac:dyDescent="0.3">
      <c r="A1178" s="43" t="s">
        <v>3245</v>
      </c>
      <c r="B1178" s="81" t="s">
        <v>3194</v>
      </c>
      <c r="C1178" s="26" t="s">
        <v>37</v>
      </c>
      <c r="D1178" s="14"/>
      <c r="E1178" s="15"/>
      <c r="F1178" s="16">
        <f t="shared" si="70"/>
        <v>0</v>
      </c>
      <c r="G1178">
        <f t="shared" si="69"/>
        <v>0</v>
      </c>
    </row>
    <row r="1179" spans="1:7" ht="15.75" hidden="1" thickBot="1" x14ac:dyDescent="0.3">
      <c r="A1179" s="43" t="s">
        <v>3246</v>
      </c>
      <c r="B1179" s="81" t="s">
        <v>3195</v>
      </c>
      <c r="C1179" s="26" t="s">
        <v>37</v>
      </c>
      <c r="D1179" s="14"/>
      <c r="E1179" s="15"/>
      <c r="F1179" s="16">
        <f t="shared" si="70"/>
        <v>0</v>
      </c>
      <c r="G1179">
        <f t="shared" si="69"/>
        <v>0</v>
      </c>
    </row>
    <row r="1180" spans="1:7" ht="15.75" hidden="1" thickBot="1" x14ac:dyDescent="0.3">
      <c r="A1180" s="43" t="s">
        <v>3247</v>
      </c>
      <c r="B1180" s="81" t="s">
        <v>3196</v>
      </c>
      <c r="C1180" s="26" t="s">
        <v>37</v>
      </c>
      <c r="D1180" s="14"/>
      <c r="E1180" s="15"/>
      <c r="F1180" s="16">
        <f t="shared" si="70"/>
        <v>0</v>
      </c>
      <c r="G1180">
        <f t="shared" si="69"/>
        <v>0</v>
      </c>
    </row>
    <row r="1181" spans="1:7" ht="15.75" hidden="1" thickBot="1" x14ac:dyDescent="0.3">
      <c r="A1181" s="43" t="s">
        <v>3248</v>
      </c>
      <c r="B1181" s="81" t="s">
        <v>3197</v>
      </c>
      <c r="C1181" s="26" t="s">
        <v>37</v>
      </c>
      <c r="D1181" s="14"/>
      <c r="E1181" s="15"/>
      <c r="F1181" s="16">
        <f t="shared" si="70"/>
        <v>0</v>
      </c>
      <c r="G1181">
        <f t="shared" si="69"/>
        <v>0</v>
      </c>
    </row>
    <row r="1182" spans="1:7" ht="15.75" hidden="1" thickBot="1" x14ac:dyDescent="0.3">
      <c r="A1182" s="43" t="s">
        <v>3249</v>
      </c>
      <c r="B1182" s="81" t="s">
        <v>3198</v>
      </c>
      <c r="C1182" s="26" t="s">
        <v>37</v>
      </c>
      <c r="D1182" s="14"/>
      <c r="E1182" s="15"/>
      <c r="F1182" s="16">
        <f t="shared" si="70"/>
        <v>0</v>
      </c>
      <c r="G1182">
        <f t="shared" si="69"/>
        <v>0</v>
      </c>
    </row>
    <row r="1183" spans="1:7" ht="15.75" hidden="1" thickBot="1" x14ac:dyDescent="0.3">
      <c r="A1183" s="43" t="s">
        <v>3250</v>
      </c>
      <c r="B1183" s="81" t="s">
        <v>3199</v>
      </c>
      <c r="C1183" s="26" t="s">
        <v>37</v>
      </c>
      <c r="D1183" s="14"/>
      <c r="E1183" s="15">
        <f>+SUM!H1182</f>
        <v>1903613</v>
      </c>
      <c r="F1183" s="16">
        <f t="shared" si="70"/>
        <v>0</v>
      </c>
      <c r="G1183">
        <f t="shared" si="69"/>
        <v>0</v>
      </c>
    </row>
    <row r="1184" spans="1:7" ht="15.75" hidden="1" thickBot="1" x14ac:dyDescent="0.3">
      <c r="A1184" s="43" t="s">
        <v>3251</v>
      </c>
      <c r="B1184" s="81" t="s">
        <v>3200</v>
      </c>
      <c r="C1184" s="26" t="s">
        <v>37</v>
      </c>
      <c r="D1184" s="14"/>
      <c r="E1184" s="15"/>
      <c r="F1184" s="16">
        <f t="shared" si="70"/>
        <v>0</v>
      </c>
      <c r="G1184">
        <f t="shared" si="69"/>
        <v>0</v>
      </c>
    </row>
    <row r="1185" spans="1:7" ht="15.75" hidden="1" thickBot="1" x14ac:dyDescent="0.3">
      <c r="A1185" s="43" t="s">
        <v>3252</v>
      </c>
      <c r="B1185" s="81" t="s">
        <v>3201</v>
      </c>
      <c r="C1185" s="26" t="s">
        <v>37</v>
      </c>
      <c r="D1185" s="14"/>
      <c r="E1185" s="15"/>
      <c r="F1185" s="16">
        <f t="shared" si="70"/>
        <v>0</v>
      </c>
      <c r="G1185">
        <f t="shared" si="69"/>
        <v>0</v>
      </c>
    </row>
    <row r="1186" spans="1:7" ht="15.75" hidden="1" thickBot="1" x14ac:dyDescent="0.3">
      <c r="A1186" s="43" t="s">
        <v>3253</v>
      </c>
      <c r="B1186" s="81" t="s">
        <v>3202</v>
      </c>
      <c r="C1186" s="26" t="s">
        <v>37</v>
      </c>
      <c r="D1186" s="14"/>
      <c r="E1186" s="15"/>
      <c r="F1186" s="16">
        <f t="shared" si="70"/>
        <v>0</v>
      </c>
      <c r="G1186">
        <f t="shared" si="69"/>
        <v>0</v>
      </c>
    </row>
    <row r="1187" spans="1:7" ht="15.75" hidden="1" thickBot="1" x14ac:dyDescent="0.3">
      <c r="A1187" s="43" t="s">
        <v>3254</v>
      </c>
      <c r="B1187" s="81" t="s">
        <v>3203</v>
      </c>
      <c r="C1187" s="26" t="s">
        <v>37</v>
      </c>
      <c r="D1187" s="14"/>
      <c r="E1187" s="15"/>
      <c r="F1187" s="16">
        <f t="shared" si="70"/>
        <v>0</v>
      </c>
      <c r="G1187">
        <f t="shared" si="69"/>
        <v>0</v>
      </c>
    </row>
    <row r="1188" spans="1:7" ht="15.75" hidden="1" thickBot="1" x14ac:dyDescent="0.3">
      <c r="A1188" s="43" t="s">
        <v>3255</v>
      </c>
      <c r="B1188" s="81" t="s">
        <v>3204</v>
      </c>
      <c r="C1188" s="26" t="s">
        <v>37</v>
      </c>
      <c r="D1188" s="14"/>
      <c r="E1188" s="15"/>
      <c r="F1188" s="16">
        <f t="shared" si="70"/>
        <v>0</v>
      </c>
      <c r="G1188">
        <f t="shared" ref="G1188:G1251" si="71">+IF(F1188&lt;&gt;0,1,0)</f>
        <v>0</v>
      </c>
    </row>
    <row r="1189" spans="1:7" ht="15.75" hidden="1" thickBot="1" x14ac:dyDescent="0.3">
      <c r="A1189" s="43" t="s">
        <v>3256</v>
      </c>
      <c r="B1189" s="81" t="s">
        <v>3206</v>
      </c>
      <c r="C1189" s="26" t="s">
        <v>37</v>
      </c>
      <c r="D1189" s="14"/>
      <c r="E1189" s="15"/>
      <c r="F1189" s="16">
        <f t="shared" si="70"/>
        <v>0</v>
      </c>
      <c r="G1189">
        <f t="shared" si="71"/>
        <v>0</v>
      </c>
    </row>
    <row r="1190" spans="1:7" ht="15.75" hidden="1" thickBot="1" x14ac:dyDescent="0.3">
      <c r="A1190" s="43" t="s">
        <v>3257</v>
      </c>
      <c r="B1190" s="81" t="s">
        <v>3205</v>
      </c>
      <c r="C1190" s="26" t="s">
        <v>37</v>
      </c>
      <c r="D1190" s="14"/>
      <c r="E1190" s="15"/>
      <c r="F1190" s="16">
        <f t="shared" si="70"/>
        <v>0</v>
      </c>
      <c r="G1190">
        <f t="shared" si="71"/>
        <v>0</v>
      </c>
    </row>
    <row r="1191" spans="1:7" ht="15.75" hidden="1" thickBot="1" x14ac:dyDescent="0.3">
      <c r="A1191" s="43" t="s">
        <v>3258</v>
      </c>
      <c r="B1191" s="81" t="s">
        <v>3207</v>
      </c>
      <c r="C1191" s="26" t="s">
        <v>37</v>
      </c>
      <c r="D1191" s="14"/>
      <c r="E1191" s="15"/>
      <c r="F1191" s="16">
        <f t="shared" si="70"/>
        <v>0</v>
      </c>
      <c r="G1191">
        <f t="shared" si="71"/>
        <v>0</v>
      </c>
    </row>
    <row r="1192" spans="1:7" ht="15.75" hidden="1" thickBot="1" x14ac:dyDescent="0.3">
      <c r="A1192" s="43" t="s">
        <v>3259</v>
      </c>
      <c r="B1192" s="81" t="s">
        <v>3208</v>
      </c>
      <c r="C1192" s="26" t="s">
        <v>37</v>
      </c>
      <c r="D1192" s="14"/>
      <c r="E1192" s="15"/>
      <c r="F1192" s="16">
        <f t="shared" si="70"/>
        <v>0</v>
      </c>
      <c r="G1192">
        <f t="shared" si="71"/>
        <v>0</v>
      </c>
    </row>
    <row r="1193" spans="1:7" ht="15.75" hidden="1" thickBot="1" x14ac:dyDescent="0.3">
      <c r="A1193" s="43" t="s">
        <v>3260</v>
      </c>
      <c r="B1193" s="81" t="s">
        <v>3209</v>
      </c>
      <c r="C1193" s="26" t="s">
        <v>37</v>
      </c>
      <c r="D1193" s="14"/>
      <c r="E1193" s="15"/>
      <c r="F1193" s="16">
        <f t="shared" si="70"/>
        <v>0</v>
      </c>
      <c r="G1193">
        <f t="shared" si="71"/>
        <v>0</v>
      </c>
    </row>
    <row r="1194" spans="1:7" ht="15.75" hidden="1" thickBot="1" x14ac:dyDescent="0.3">
      <c r="A1194" s="43" t="s">
        <v>3261</v>
      </c>
      <c r="B1194" s="81" t="s">
        <v>3210</v>
      </c>
      <c r="C1194" s="26" t="s">
        <v>37</v>
      </c>
      <c r="D1194" s="14"/>
      <c r="E1194" s="15"/>
      <c r="F1194" s="16">
        <f t="shared" si="70"/>
        <v>0</v>
      </c>
      <c r="G1194">
        <f t="shared" si="71"/>
        <v>0</v>
      </c>
    </row>
    <row r="1195" spans="1:7" ht="15.75" hidden="1" thickBot="1" x14ac:dyDescent="0.3">
      <c r="A1195" s="43" t="s">
        <v>3262</v>
      </c>
      <c r="B1195" s="81" t="s">
        <v>3211</v>
      </c>
      <c r="C1195" s="26" t="s">
        <v>37</v>
      </c>
      <c r="D1195" s="14"/>
      <c r="E1195" s="15"/>
      <c r="F1195" s="16">
        <f t="shared" si="70"/>
        <v>0</v>
      </c>
      <c r="G1195">
        <f t="shared" si="71"/>
        <v>0</v>
      </c>
    </row>
    <row r="1196" spans="1:7" ht="15.75" hidden="1" thickBot="1" x14ac:dyDescent="0.3">
      <c r="A1196" s="43" t="s">
        <v>3263</v>
      </c>
      <c r="B1196" s="81" t="s">
        <v>3219</v>
      </c>
      <c r="C1196" s="26" t="s">
        <v>37</v>
      </c>
      <c r="D1196" s="14"/>
      <c r="E1196" s="15"/>
      <c r="F1196" s="16">
        <f t="shared" si="70"/>
        <v>0</v>
      </c>
      <c r="G1196">
        <f t="shared" si="71"/>
        <v>0</v>
      </c>
    </row>
    <row r="1197" spans="1:7" ht="15.75" hidden="1" thickBot="1" x14ac:dyDescent="0.3">
      <c r="A1197" s="43" t="s">
        <v>3264</v>
      </c>
      <c r="B1197" s="81" t="s">
        <v>3220</v>
      </c>
      <c r="C1197" s="26" t="s">
        <v>37</v>
      </c>
      <c r="D1197" s="14"/>
      <c r="E1197" s="15"/>
      <c r="F1197" s="16">
        <f t="shared" si="70"/>
        <v>0</v>
      </c>
      <c r="G1197">
        <f t="shared" si="71"/>
        <v>0</v>
      </c>
    </row>
    <row r="1198" spans="1:7" ht="15.75" hidden="1" thickBot="1" x14ac:dyDescent="0.3">
      <c r="A1198" s="43" t="s">
        <v>3265</v>
      </c>
      <c r="B1198" s="81" t="s">
        <v>3221</v>
      </c>
      <c r="C1198" s="26" t="s">
        <v>37</v>
      </c>
      <c r="D1198" s="14"/>
      <c r="E1198" s="15"/>
      <c r="F1198" s="16">
        <f t="shared" si="70"/>
        <v>0</v>
      </c>
      <c r="G1198">
        <f t="shared" si="71"/>
        <v>0</v>
      </c>
    </row>
    <row r="1199" spans="1:7" ht="15.75" hidden="1" thickBot="1" x14ac:dyDescent="0.3">
      <c r="A1199" s="43" t="s">
        <v>3266</v>
      </c>
      <c r="B1199" s="81" t="s">
        <v>3222</v>
      </c>
      <c r="C1199" s="26" t="s">
        <v>37</v>
      </c>
      <c r="D1199" s="14"/>
      <c r="E1199" s="15"/>
      <c r="F1199" s="16">
        <f t="shared" si="70"/>
        <v>0</v>
      </c>
      <c r="G1199">
        <f t="shared" si="71"/>
        <v>0</v>
      </c>
    </row>
    <row r="1200" spans="1:7" ht="15.75" hidden="1" thickBot="1" x14ac:dyDescent="0.3">
      <c r="A1200" s="43" t="s">
        <v>3267</v>
      </c>
      <c r="B1200" s="81" t="s">
        <v>3223</v>
      </c>
      <c r="C1200" s="26" t="s">
        <v>37</v>
      </c>
      <c r="D1200" s="14"/>
      <c r="E1200" s="15"/>
      <c r="F1200" s="16">
        <f t="shared" si="70"/>
        <v>0</v>
      </c>
      <c r="G1200">
        <f t="shared" si="71"/>
        <v>0</v>
      </c>
    </row>
    <row r="1201" spans="1:7" ht="15.75" hidden="1" thickBot="1" x14ac:dyDescent="0.3">
      <c r="A1201" s="43" t="s">
        <v>3268</v>
      </c>
      <c r="B1201" s="81" t="s">
        <v>3224</v>
      </c>
      <c r="C1201" s="26" t="s">
        <v>37</v>
      </c>
      <c r="D1201" s="14"/>
      <c r="E1201" s="15"/>
      <c r="F1201" s="16">
        <f t="shared" si="70"/>
        <v>0</v>
      </c>
      <c r="G1201">
        <f t="shared" si="71"/>
        <v>0</v>
      </c>
    </row>
    <row r="1202" spans="1:7" ht="15.75" hidden="1" thickBot="1" x14ac:dyDescent="0.3">
      <c r="A1202" s="43" t="s">
        <v>3269</v>
      </c>
      <c r="B1202" s="81" t="s">
        <v>3225</v>
      </c>
      <c r="C1202" s="26" t="s">
        <v>37</v>
      </c>
      <c r="D1202" s="14"/>
      <c r="E1202" s="15"/>
      <c r="F1202" s="16">
        <f t="shared" si="70"/>
        <v>0</v>
      </c>
      <c r="G1202">
        <f t="shared" si="71"/>
        <v>0</v>
      </c>
    </row>
    <row r="1203" spans="1:7" ht="15.75" hidden="1" thickBot="1" x14ac:dyDescent="0.3">
      <c r="A1203" s="43" t="s">
        <v>3270</v>
      </c>
      <c r="B1203" s="81" t="s">
        <v>3217</v>
      </c>
      <c r="C1203" s="26" t="s">
        <v>37</v>
      </c>
      <c r="D1203" s="14"/>
      <c r="E1203" s="15"/>
      <c r="F1203" s="16">
        <f t="shared" si="70"/>
        <v>0</v>
      </c>
      <c r="G1203">
        <f t="shared" si="71"/>
        <v>0</v>
      </c>
    </row>
    <row r="1204" spans="1:7" ht="15.75" hidden="1" thickBot="1" x14ac:dyDescent="0.3">
      <c r="A1204" s="43" t="s">
        <v>3271</v>
      </c>
      <c r="B1204" s="81" t="s">
        <v>3218</v>
      </c>
      <c r="C1204" s="26" t="s">
        <v>37</v>
      </c>
      <c r="D1204" s="14"/>
      <c r="E1204" s="15"/>
      <c r="F1204" s="16">
        <f t="shared" si="70"/>
        <v>0</v>
      </c>
      <c r="G1204">
        <f t="shared" si="71"/>
        <v>0</v>
      </c>
    </row>
    <row r="1205" spans="1:7" ht="15.75" hidden="1" thickBot="1" x14ac:dyDescent="0.3">
      <c r="A1205" s="43" t="s">
        <v>3272</v>
      </c>
      <c r="B1205" s="81" t="s">
        <v>3216</v>
      </c>
      <c r="C1205" s="26" t="s">
        <v>37</v>
      </c>
      <c r="D1205" s="14"/>
      <c r="E1205" s="15"/>
      <c r="F1205" s="16">
        <f t="shared" si="70"/>
        <v>0</v>
      </c>
      <c r="G1205">
        <f t="shared" si="71"/>
        <v>0</v>
      </c>
    </row>
    <row r="1206" spans="1:7" ht="15.75" hidden="1" thickBot="1" x14ac:dyDescent="0.3">
      <c r="A1206" s="43" t="s">
        <v>3273</v>
      </c>
      <c r="B1206" s="81" t="s">
        <v>3215</v>
      </c>
      <c r="C1206" s="26" t="s">
        <v>37</v>
      </c>
      <c r="D1206" s="14"/>
      <c r="E1206" s="15"/>
      <c r="F1206" s="16">
        <f t="shared" si="70"/>
        <v>0</v>
      </c>
      <c r="G1206">
        <f t="shared" si="71"/>
        <v>0</v>
      </c>
    </row>
    <row r="1207" spans="1:7" ht="15.75" hidden="1" thickBot="1" x14ac:dyDescent="0.3">
      <c r="A1207" s="43" t="s">
        <v>3274</v>
      </c>
      <c r="B1207" s="81" t="s">
        <v>3214</v>
      </c>
      <c r="C1207" s="26" t="s">
        <v>37</v>
      </c>
      <c r="D1207" s="14"/>
      <c r="E1207" s="15"/>
      <c r="F1207" s="16">
        <f t="shared" si="70"/>
        <v>0</v>
      </c>
      <c r="G1207">
        <f t="shared" si="71"/>
        <v>0</v>
      </c>
    </row>
    <row r="1208" spans="1:7" ht="15.75" hidden="1" thickBot="1" x14ac:dyDescent="0.3">
      <c r="A1208" s="43" t="s">
        <v>3275</v>
      </c>
      <c r="B1208" s="81" t="s">
        <v>3213</v>
      </c>
      <c r="C1208" s="26" t="s">
        <v>37</v>
      </c>
      <c r="D1208" s="14"/>
      <c r="E1208" s="15"/>
      <c r="F1208" s="16">
        <f t="shared" si="70"/>
        <v>0</v>
      </c>
      <c r="G1208">
        <f t="shared" si="71"/>
        <v>0</v>
      </c>
    </row>
    <row r="1209" spans="1:7" ht="15.75" hidden="1" thickBot="1" x14ac:dyDescent="0.3">
      <c r="A1209" s="43" t="s">
        <v>3276</v>
      </c>
      <c r="B1209" s="81" t="s">
        <v>3212</v>
      </c>
      <c r="C1209" s="26" t="s">
        <v>37</v>
      </c>
      <c r="D1209" s="14"/>
      <c r="E1209" s="15"/>
      <c r="F1209" s="16">
        <f t="shared" si="70"/>
        <v>0</v>
      </c>
      <c r="G1209">
        <f t="shared" si="71"/>
        <v>0</v>
      </c>
    </row>
    <row r="1210" spans="1:7" ht="15.75" hidden="1" thickBot="1" x14ac:dyDescent="0.3">
      <c r="A1210" s="44" t="s">
        <v>3277</v>
      </c>
      <c r="B1210" s="80" t="s">
        <v>3278</v>
      </c>
      <c r="C1210" s="26" t="s">
        <v>37</v>
      </c>
      <c r="D1210" s="14"/>
      <c r="E1210" s="15"/>
      <c r="F1210" s="16"/>
      <c r="G1210">
        <f t="shared" si="71"/>
        <v>0</v>
      </c>
    </row>
    <row r="1211" spans="1:7" ht="15.75" hidden="1" thickBot="1" x14ac:dyDescent="0.3">
      <c r="A1211" s="43" t="s">
        <v>3308</v>
      </c>
      <c r="B1211" s="81" t="s">
        <v>3279</v>
      </c>
      <c r="C1211" s="26" t="s">
        <v>37</v>
      </c>
      <c r="D1211" s="14"/>
      <c r="E1211" s="15"/>
      <c r="F1211" s="16">
        <f t="shared" ref="F1211:F1261" si="72">+D1211*E1211</f>
        <v>0</v>
      </c>
      <c r="G1211">
        <f t="shared" si="71"/>
        <v>0</v>
      </c>
    </row>
    <row r="1212" spans="1:7" ht="15.75" hidden="1" thickBot="1" x14ac:dyDescent="0.3">
      <c r="A1212" s="43" t="s">
        <v>3309</v>
      </c>
      <c r="B1212" s="81" t="s">
        <v>3280</v>
      </c>
      <c r="C1212" s="26" t="s">
        <v>37</v>
      </c>
      <c r="D1212" s="14"/>
      <c r="E1212" s="15"/>
      <c r="F1212" s="16">
        <f t="shared" si="72"/>
        <v>0</v>
      </c>
      <c r="G1212">
        <f t="shared" si="71"/>
        <v>0</v>
      </c>
    </row>
    <row r="1213" spans="1:7" ht="15.75" hidden="1" thickBot="1" x14ac:dyDescent="0.3">
      <c r="A1213" s="43" t="s">
        <v>3310</v>
      </c>
      <c r="B1213" s="81" t="s">
        <v>3281</v>
      </c>
      <c r="C1213" s="26" t="s">
        <v>37</v>
      </c>
      <c r="D1213" s="14"/>
      <c r="E1213" s="15"/>
      <c r="F1213" s="16">
        <f t="shared" si="72"/>
        <v>0</v>
      </c>
      <c r="G1213">
        <f t="shared" si="71"/>
        <v>0</v>
      </c>
    </row>
    <row r="1214" spans="1:7" ht="15.75" hidden="1" thickBot="1" x14ac:dyDescent="0.3">
      <c r="A1214" s="43" t="s">
        <v>3311</v>
      </c>
      <c r="B1214" s="81" t="s">
        <v>3282</v>
      </c>
      <c r="C1214" s="26" t="s">
        <v>37</v>
      </c>
      <c r="D1214" s="14"/>
      <c r="E1214" s="15"/>
      <c r="F1214" s="16">
        <f t="shared" si="72"/>
        <v>0</v>
      </c>
      <c r="G1214">
        <f t="shared" si="71"/>
        <v>0</v>
      </c>
    </row>
    <row r="1215" spans="1:7" ht="15.75" hidden="1" thickBot="1" x14ac:dyDescent="0.3">
      <c r="A1215" s="43" t="s">
        <v>3312</v>
      </c>
      <c r="B1215" s="81" t="s">
        <v>3283</v>
      </c>
      <c r="C1215" s="26" t="s">
        <v>37</v>
      </c>
      <c r="D1215" s="14"/>
      <c r="E1215" s="15"/>
      <c r="F1215" s="16">
        <f t="shared" si="72"/>
        <v>0</v>
      </c>
      <c r="G1215">
        <f t="shared" si="71"/>
        <v>0</v>
      </c>
    </row>
    <row r="1216" spans="1:7" ht="15.75" hidden="1" thickBot="1" x14ac:dyDescent="0.3">
      <c r="A1216" s="43" t="s">
        <v>3313</v>
      </c>
      <c r="B1216" s="81" t="s">
        <v>3284</v>
      </c>
      <c r="C1216" s="26" t="s">
        <v>37</v>
      </c>
      <c r="D1216" s="14"/>
      <c r="E1216" s="15"/>
      <c r="F1216" s="16">
        <f t="shared" si="72"/>
        <v>0</v>
      </c>
      <c r="G1216">
        <f t="shared" si="71"/>
        <v>0</v>
      </c>
    </row>
    <row r="1217" spans="1:7" ht="15.75" hidden="1" thickBot="1" x14ac:dyDescent="0.3">
      <c r="A1217" s="43" t="s">
        <v>3314</v>
      </c>
      <c r="B1217" s="81" t="s">
        <v>3285</v>
      </c>
      <c r="C1217" s="26" t="s">
        <v>37</v>
      </c>
      <c r="D1217" s="14"/>
      <c r="E1217" s="15"/>
      <c r="F1217" s="16">
        <f t="shared" si="72"/>
        <v>0</v>
      </c>
      <c r="G1217">
        <f t="shared" si="71"/>
        <v>0</v>
      </c>
    </row>
    <row r="1218" spans="1:7" ht="15.75" hidden="1" thickBot="1" x14ac:dyDescent="0.3">
      <c r="A1218" s="43" t="s">
        <v>3315</v>
      </c>
      <c r="B1218" s="81" t="s">
        <v>3286</v>
      </c>
      <c r="C1218" s="26" t="s">
        <v>37</v>
      </c>
      <c r="D1218" s="14"/>
      <c r="E1218" s="15"/>
      <c r="F1218" s="16">
        <f t="shared" si="72"/>
        <v>0</v>
      </c>
      <c r="G1218">
        <f t="shared" si="71"/>
        <v>0</v>
      </c>
    </row>
    <row r="1219" spans="1:7" ht="15.75" hidden="1" thickBot="1" x14ac:dyDescent="0.3">
      <c r="A1219" s="43" t="s">
        <v>3316</v>
      </c>
      <c r="B1219" s="81" t="s">
        <v>3295</v>
      </c>
      <c r="C1219" s="26" t="s">
        <v>37</v>
      </c>
      <c r="D1219" s="14"/>
      <c r="E1219" s="15"/>
      <c r="F1219" s="16">
        <f t="shared" si="72"/>
        <v>0</v>
      </c>
      <c r="G1219">
        <f t="shared" si="71"/>
        <v>0</v>
      </c>
    </row>
    <row r="1220" spans="1:7" ht="15.75" hidden="1" thickBot="1" x14ac:dyDescent="0.3">
      <c r="A1220" s="43" t="s">
        <v>3317</v>
      </c>
      <c r="B1220" s="81" t="s">
        <v>3296</v>
      </c>
      <c r="C1220" s="26" t="s">
        <v>37</v>
      </c>
      <c r="D1220" s="14"/>
      <c r="E1220" s="15"/>
      <c r="F1220" s="16">
        <f t="shared" si="72"/>
        <v>0</v>
      </c>
      <c r="G1220">
        <f t="shared" si="71"/>
        <v>0</v>
      </c>
    </row>
    <row r="1221" spans="1:7" ht="15.75" hidden="1" thickBot="1" x14ac:dyDescent="0.3">
      <c r="A1221" s="43" t="s">
        <v>3318</v>
      </c>
      <c r="B1221" s="81" t="s">
        <v>3297</v>
      </c>
      <c r="C1221" s="26" t="s">
        <v>37</v>
      </c>
      <c r="D1221" s="14"/>
      <c r="E1221" s="15"/>
      <c r="F1221" s="16">
        <f t="shared" si="72"/>
        <v>0</v>
      </c>
      <c r="G1221">
        <f t="shared" si="71"/>
        <v>0</v>
      </c>
    </row>
    <row r="1222" spans="1:7" ht="15.75" hidden="1" thickBot="1" x14ac:dyDescent="0.3">
      <c r="A1222" s="43" t="s">
        <v>3319</v>
      </c>
      <c r="B1222" s="81" t="s">
        <v>3298</v>
      </c>
      <c r="C1222" s="26" t="s">
        <v>37</v>
      </c>
      <c r="D1222" s="14"/>
      <c r="E1222" s="15"/>
      <c r="F1222" s="16">
        <f t="shared" si="72"/>
        <v>0</v>
      </c>
      <c r="G1222">
        <f t="shared" si="71"/>
        <v>0</v>
      </c>
    </row>
    <row r="1223" spans="1:7" ht="15.75" hidden="1" thickBot="1" x14ac:dyDescent="0.3">
      <c r="A1223" s="43" t="s">
        <v>3320</v>
      </c>
      <c r="B1223" s="81" t="s">
        <v>3299</v>
      </c>
      <c r="C1223" s="26" t="s">
        <v>37</v>
      </c>
      <c r="D1223" s="14"/>
      <c r="E1223" s="15"/>
      <c r="F1223" s="16">
        <f t="shared" si="72"/>
        <v>0</v>
      </c>
      <c r="G1223">
        <f t="shared" si="71"/>
        <v>0</v>
      </c>
    </row>
    <row r="1224" spans="1:7" ht="15.75" hidden="1" thickBot="1" x14ac:dyDescent="0.3">
      <c r="A1224" s="43" t="s">
        <v>3321</v>
      </c>
      <c r="B1224" s="81" t="s">
        <v>3300</v>
      </c>
      <c r="C1224" s="26" t="s">
        <v>37</v>
      </c>
      <c r="D1224" s="14"/>
      <c r="E1224" s="15"/>
      <c r="F1224" s="16">
        <f t="shared" si="72"/>
        <v>0</v>
      </c>
      <c r="G1224">
        <f t="shared" si="71"/>
        <v>0</v>
      </c>
    </row>
    <row r="1225" spans="1:7" ht="15.75" hidden="1" thickBot="1" x14ac:dyDescent="0.3">
      <c r="A1225" s="43" t="s">
        <v>3322</v>
      </c>
      <c r="B1225" s="81" t="s">
        <v>3301</v>
      </c>
      <c r="C1225" s="26" t="s">
        <v>37</v>
      </c>
      <c r="D1225" s="14"/>
      <c r="E1225" s="15"/>
      <c r="F1225" s="16">
        <f t="shared" si="72"/>
        <v>0</v>
      </c>
      <c r="G1225">
        <f t="shared" si="71"/>
        <v>0</v>
      </c>
    </row>
    <row r="1226" spans="1:7" ht="15.75" hidden="1" thickBot="1" x14ac:dyDescent="0.3">
      <c r="A1226" s="43" t="s">
        <v>3323</v>
      </c>
      <c r="B1226" s="81" t="s">
        <v>3302</v>
      </c>
      <c r="C1226" s="26" t="s">
        <v>37</v>
      </c>
      <c r="D1226" s="14"/>
      <c r="E1226" s="15"/>
      <c r="F1226" s="16">
        <f t="shared" si="72"/>
        <v>0</v>
      </c>
      <c r="G1226">
        <f t="shared" si="71"/>
        <v>0</v>
      </c>
    </row>
    <row r="1227" spans="1:7" ht="15.75" hidden="1" thickBot="1" x14ac:dyDescent="0.3">
      <c r="A1227" s="43" t="s">
        <v>3324</v>
      </c>
      <c r="B1227" s="81" t="s">
        <v>3303</v>
      </c>
      <c r="C1227" s="26" t="s">
        <v>37</v>
      </c>
      <c r="D1227" s="14"/>
      <c r="E1227" s="15"/>
      <c r="F1227" s="16">
        <f t="shared" si="72"/>
        <v>0</v>
      </c>
      <c r="G1227">
        <f t="shared" si="71"/>
        <v>0</v>
      </c>
    </row>
    <row r="1228" spans="1:7" ht="15.75" hidden="1" thickBot="1" x14ac:dyDescent="0.3">
      <c r="A1228" s="43" t="s">
        <v>3325</v>
      </c>
      <c r="B1228" s="81" t="s">
        <v>3304</v>
      </c>
      <c r="C1228" s="26" t="s">
        <v>37</v>
      </c>
      <c r="D1228" s="14"/>
      <c r="E1228" s="15"/>
      <c r="F1228" s="16">
        <f t="shared" si="72"/>
        <v>0</v>
      </c>
      <c r="G1228">
        <f t="shared" si="71"/>
        <v>0</v>
      </c>
    </row>
    <row r="1229" spans="1:7" ht="15.75" hidden="1" thickBot="1" x14ac:dyDescent="0.3">
      <c r="A1229" s="43" t="s">
        <v>3326</v>
      </c>
      <c r="B1229" s="81" t="s">
        <v>3305</v>
      </c>
      <c r="C1229" s="26" t="s">
        <v>37</v>
      </c>
      <c r="D1229" s="14"/>
      <c r="E1229" s="15"/>
      <c r="F1229" s="16">
        <f t="shared" si="72"/>
        <v>0</v>
      </c>
      <c r="G1229">
        <f t="shared" si="71"/>
        <v>0</v>
      </c>
    </row>
    <row r="1230" spans="1:7" ht="15.75" hidden="1" thickBot="1" x14ac:dyDescent="0.3">
      <c r="A1230" s="43" t="s">
        <v>3327</v>
      </c>
      <c r="B1230" s="81" t="s">
        <v>3306</v>
      </c>
      <c r="C1230" s="26" t="s">
        <v>37</v>
      </c>
      <c r="D1230" s="14"/>
      <c r="E1230" s="15"/>
      <c r="F1230" s="16">
        <f t="shared" si="72"/>
        <v>0</v>
      </c>
      <c r="G1230">
        <f t="shared" si="71"/>
        <v>0</v>
      </c>
    </row>
    <row r="1231" spans="1:7" ht="15.75" hidden="1" thickBot="1" x14ac:dyDescent="0.3">
      <c r="A1231" s="43" t="s">
        <v>3328</v>
      </c>
      <c r="B1231" s="81" t="s">
        <v>3307</v>
      </c>
      <c r="C1231" s="26" t="s">
        <v>37</v>
      </c>
      <c r="D1231" s="14"/>
      <c r="E1231" s="15"/>
      <c r="F1231" s="16">
        <f t="shared" si="72"/>
        <v>0</v>
      </c>
      <c r="G1231">
        <f t="shared" si="71"/>
        <v>0</v>
      </c>
    </row>
    <row r="1232" spans="1:7" ht="15.75" hidden="1" thickBot="1" x14ac:dyDescent="0.3">
      <c r="A1232" s="43" t="s">
        <v>3329</v>
      </c>
      <c r="B1232" s="81" t="s">
        <v>3359</v>
      </c>
      <c r="C1232" s="26" t="s">
        <v>37</v>
      </c>
      <c r="D1232" s="14"/>
      <c r="E1232" s="15"/>
      <c r="F1232" s="16">
        <f t="shared" si="72"/>
        <v>0</v>
      </c>
      <c r="G1232">
        <f t="shared" si="71"/>
        <v>0</v>
      </c>
    </row>
    <row r="1233" spans="1:7" ht="15.75" hidden="1" thickBot="1" x14ac:dyDescent="0.3">
      <c r="A1233" s="43" t="s">
        <v>3330</v>
      </c>
      <c r="B1233" s="81" t="s">
        <v>3360</v>
      </c>
      <c r="C1233" s="26" t="s">
        <v>37</v>
      </c>
      <c r="D1233" s="14"/>
      <c r="E1233" s="15"/>
      <c r="F1233" s="16">
        <f t="shared" si="72"/>
        <v>0</v>
      </c>
      <c r="G1233">
        <f t="shared" si="71"/>
        <v>0</v>
      </c>
    </row>
    <row r="1234" spans="1:7" ht="15.75" hidden="1" thickBot="1" x14ac:dyDescent="0.3">
      <c r="A1234" s="43" t="s">
        <v>3331</v>
      </c>
      <c r="B1234" s="81" t="s">
        <v>3362</v>
      </c>
      <c r="C1234" s="26" t="s">
        <v>37</v>
      </c>
      <c r="D1234" s="14"/>
      <c r="E1234" s="15"/>
      <c r="F1234" s="16">
        <f t="shared" si="72"/>
        <v>0</v>
      </c>
      <c r="G1234">
        <f t="shared" si="71"/>
        <v>0</v>
      </c>
    </row>
    <row r="1235" spans="1:7" ht="15.75" hidden="1" thickBot="1" x14ac:dyDescent="0.3">
      <c r="A1235" s="43" t="s">
        <v>3332</v>
      </c>
      <c r="B1235" s="81" t="s">
        <v>3361</v>
      </c>
      <c r="C1235" s="26" t="s">
        <v>37</v>
      </c>
      <c r="D1235" s="14"/>
      <c r="E1235" s="15"/>
      <c r="F1235" s="16">
        <f t="shared" si="72"/>
        <v>0</v>
      </c>
      <c r="G1235">
        <f t="shared" si="71"/>
        <v>0</v>
      </c>
    </row>
    <row r="1236" spans="1:7" ht="15.75" hidden="1" thickBot="1" x14ac:dyDescent="0.3">
      <c r="A1236" s="43" t="s">
        <v>3333</v>
      </c>
      <c r="B1236" s="81" t="s">
        <v>3363</v>
      </c>
      <c r="C1236" s="26" t="s">
        <v>37</v>
      </c>
      <c r="D1236" s="14"/>
      <c r="E1236" s="15"/>
      <c r="F1236" s="16">
        <f t="shared" si="72"/>
        <v>0</v>
      </c>
      <c r="G1236">
        <f t="shared" si="71"/>
        <v>0</v>
      </c>
    </row>
    <row r="1237" spans="1:7" ht="15.75" hidden="1" thickBot="1" x14ac:dyDescent="0.3">
      <c r="A1237" s="43" t="s">
        <v>3334</v>
      </c>
      <c r="B1237" s="81" t="s">
        <v>3370</v>
      </c>
      <c r="C1237" s="26" t="s">
        <v>37</v>
      </c>
      <c r="D1237" s="14"/>
      <c r="E1237" s="15"/>
      <c r="F1237" s="16">
        <f t="shared" si="72"/>
        <v>0</v>
      </c>
      <c r="G1237">
        <f t="shared" si="71"/>
        <v>0</v>
      </c>
    </row>
    <row r="1238" spans="1:7" ht="15.75" hidden="1" thickBot="1" x14ac:dyDescent="0.3">
      <c r="A1238" s="43" t="s">
        <v>3335</v>
      </c>
      <c r="B1238" s="81" t="s">
        <v>3371</v>
      </c>
      <c r="C1238" s="26" t="s">
        <v>37</v>
      </c>
      <c r="D1238" s="14"/>
      <c r="E1238" s="15"/>
      <c r="F1238" s="16">
        <f t="shared" si="72"/>
        <v>0</v>
      </c>
      <c r="G1238">
        <f t="shared" si="71"/>
        <v>0</v>
      </c>
    </row>
    <row r="1239" spans="1:7" ht="15.75" hidden="1" thickBot="1" x14ac:dyDescent="0.3">
      <c r="A1239" s="43" t="s">
        <v>3336</v>
      </c>
      <c r="B1239" s="81" t="s">
        <v>3372</v>
      </c>
      <c r="C1239" s="26" t="s">
        <v>37</v>
      </c>
      <c r="D1239" s="14"/>
      <c r="E1239" s="15"/>
      <c r="F1239" s="16">
        <f t="shared" si="72"/>
        <v>0</v>
      </c>
      <c r="G1239">
        <f t="shared" si="71"/>
        <v>0</v>
      </c>
    </row>
    <row r="1240" spans="1:7" ht="15.75" hidden="1" thickBot="1" x14ac:dyDescent="0.3">
      <c r="A1240" s="43" t="s">
        <v>3337</v>
      </c>
      <c r="B1240" s="81" t="s">
        <v>3373</v>
      </c>
      <c r="C1240" s="26" t="s">
        <v>37</v>
      </c>
      <c r="D1240" s="14"/>
      <c r="E1240" s="15"/>
      <c r="F1240" s="16">
        <f t="shared" si="72"/>
        <v>0</v>
      </c>
      <c r="G1240">
        <f t="shared" si="71"/>
        <v>0</v>
      </c>
    </row>
    <row r="1241" spans="1:7" ht="15.75" hidden="1" thickBot="1" x14ac:dyDescent="0.3">
      <c r="A1241" s="43" t="s">
        <v>3338</v>
      </c>
      <c r="B1241" s="81" t="s">
        <v>3374</v>
      </c>
      <c r="C1241" s="26" t="s">
        <v>37</v>
      </c>
      <c r="D1241" s="14"/>
      <c r="E1241" s="15"/>
      <c r="F1241" s="16">
        <f t="shared" si="72"/>
        <v>0</v>
      </c>
      <c r="G1241">
        <f t="shared" si="71"/>
        <v>0</v>
      </c>
    </row>
    <row r="1242" spans="1:7" ht="15.75" hidden="1" thickBot="1" x14ac:dyDescent="0.3">
      <c r="A1242" s="43" t="s">
        <v>3339</v>
      </c>
      <c r="B1242" s="81" t="s">
        <v>3375</v>
      </c>
      <c r="C1242" s="26" t="s">
        <v>37</v>
      </c>
      <c r="D1242" s="14"/>
      <c r="E1242" s="15"/>
      <c r="F1242" s="16">
        <f t="shared" si="72"/>
        <v>0</v>
      </c>
      <c r="G1242">
        <f t="shared" si="71"/>
        <v>0</v>
      </c>
    </row>
    <row r="1243" spans="1:7" ht="15.75" hidden="1" thickBot="1" x14ac:dyDescent="0.3">
      <c r="A1243" s="43" t="s">
        <v>3340</v>
      </c>
      <c r="B1243" s="81" t="s">
        <v>3376</v>
      </c>
      <c r="C1243" s="26" t="s">
        <v>37</v>
      </c>
      <c r="D1243" s="14"/>
      <c r="E1243" s="15"/>
      <c r="F1243" s="16">
        <f t="shared" si="72"/>
        <v>0</v>
      </c>
      <c r="G1243">
        <f t="shared" si="71"/>
        <v>0</v>
      </c>
    </row>
    <row r="1244" spans="1:7" ht="15.75" hidden="1" thickBot="1" x14ac:dyDescent="0.3">
      <c r="A1244" s="43" t="s">
        <v>3341</v>
      </c>
      <c r="B1244" s="81" t="s">
        <v>3377</v>
      </c>
      <c r="C1244" s="26" t="s">
        <v>37</v>
      </c>
      <c r="D1244" s="14"/>
      <c r="E1244" s="15"/>
      <c r="F1244" s="16">
        <f t="shared" si="72"/>
        <v>0</v>
      </c>
      <c r="G1244">
        <f t="shared" si="71"/>
        <v>0</v>
      </c>
    </row>
    <row r="1245" spans="1:7" ht="15.75" hidden="1" thickBot="1" x14ac:dyDescent="0.3">
      <c r="A1245" s="43" t="s">
        <v>3342</v>
      </c>
      <c r="B1245" s="81" t="s">
        <v>3378</v>
      </c>
      <c r="C1245" s="26" t="s">
        <v>37</v>
      </c>
      <c r="D1245" s="14"/>
      <c r="E1245" s="15"/>
      <c r="F1245" s="16">
        <f t="shared" si="72"/>
        <v>0</v>
      </c>
      <c r="G1245">
        <f t="shared" si="71"/>
        <v>0</v>
      </c>
    </row>
    <row r="1246" spans="1:7" ht="15.75" hidden="1" thickBot="1" x14ac:dyDescent="0.3">
      <c r="A1246" s="43" t="s">
        <v>3343</v>
      </c>
      <c r="B1246" s="81" t="s">
        <v>3379</v>
      </c>
      <c r="C1246" s="26" t="s">
        <v>37</v>
      </c>
      <c r="D1246" s="14"/>
      <c r="E1246" s="15"/>
      <c r="F1246" s="16">
        <f t="shared" si="72"/>
        <v>0</v>
      </c>
      <c r="G1246">
        <f t="shared" si="71"/>
        <v>0</v>
      </c>
    </row>
    <row r="1247" spans="1:7" ht="15.75" hidden="1" thickBot="1" x14ac:dyDescent="0.3">
      <c r="A1247" s="43" t="s">
        <v>3344</v>
      </c>
      <c r="B1247" s="81" t="s">
        <v>3380</v>
      </c>
      <c r="C1247" s="26" t="s">
        <v>37</v>
      </c>
      <c r="D1247" s="14"/>
      <c r="E1247" s="15"/>
      <c r="F1247" s="16">
        <f t="shared" si="72"/>
        <v>0</v>
      </c>
      <c r="G1247">
        <f t="shared" si="71"/>
        <v>0</v>
      </c>
    </row>
    <row r="1248" spans="1:7" ht="15.75" hidden="1" thickBot="1" x14ac:dyDescent="0.3">
      <c r="A1248" s="43" t="s">
        <v>3345</v>
      </c>
      <c r="B1248" s="81" t="s">
        <v>3369</v>
      </c>
      <c r="C1248" s="26" t="s">
        <v>37</v>
      </c>
      <c r="D1248" s="14"/>
      <c r="E1248" s="15"/>
      <c r="F1248" s="16">
        <f t="shared" si="72"/>
        <v>0</v>
      </c>
      <c r="G1248">
        <f t="shared" si="71"/>
        <v>0</v>
      </c>
    </row>
    <row r="1249" spans="1:7" ht="15.75" hidden="1" thickBot="1" x14ac:dyDescent="0.3">
      <c r="A1249" s="43" t="s">
        <v>3346</v>
      </c>
      <c r="B1249" s="81" t="s">
        <v>3364</v>
      </c>
      <c r="C1249" s="26" t="s">
        <v>37</v>
      </c>
      <c r="D1249" s="14"/>
      <c r="E1249" s="15"/>
      <c r="F1249" s="16">
        <f t="shared" si="72"/>
        <v>0</v>
      </c>
      <c r="G1249">
        <f t="shared" si="71"/>
        <v>0</v>
      </c>
    </row>
    <row r="1250" spans="1:7" ht="15.75" hidden="1" thickBot="1" x14ac:dyDescent="0.3">
      <c r="A1250" s="43" t="s">
        <v>3347</v>
      </c>
      <c r="B1250" s="81" t="s">
        <v>3365</v>
      </c>
      <c r="C1250" s="26" t="s">
        <v>37</v>
      </c>
      <c r="D1250" s="14"/>
      <c r="E1250" s="15"/>
      <c r="F1250" s="16">
        <f t="shared" si="72"/>
        <v>0</v>
      </c>
      <c r="G1250">
        <f t="shared" si="71"/>
        <v>0</v>
      </c>
    </row>
    <row r="1251" spans="1:7" ht="15.75" hidden="1" thickBot="1" x14ac:dyDescent="0.3">
      <c r="A1251" s="43" t="s">
        <v>3348</v>
      </c>
      <c r="B1251" s="81" t="s">
        <v>3366</v>
      </c>
      <c r="C1251" s="26" t="s">
        <v>37</v>
      </c>
      <c r="D1251" s="14"/>
      <c r="E1251" s="15"/>
      <c r="F1251" s="16">
        <f t="shared" si="72"/>
        <v>0</v>
      </c>
      <c r="G1251">
        <f t="shared" si="71"/>
        <v>0</v>
      </c>
    </row>
    <row r="1252" spans="1:7" ht="15.75" hidden="1" thickBot="1" x14ac:dyDescent="0.3">
      <c r="A1252" s="43" t="s">
        <v>3349</v>
      </c>
      <c r="B1252" s="81" t="s">
        <v>3367</v>
      </c>
      <c r="C1252" s="26" t="s">
        <v>37</v>
      </c>
      <c r="D1252" s="14"/>
      <c r="E1252" s="15"/>
      <c r="F1252" s="16">
        <f t="shared" si="72"/>
        <v>0</v>
      </c>
      <c r="G1252">
        <f t="shared" ref="G1252:G1315" si="73">+IF(F1252&lt;&gt;0,1,0)</f>
        <v>0</v>
      </c>
    </row>
    <row r="1253" spans="1:7" ht="15.75" hidden="1" thickBot="1" x14ac:dyDescent="0.3">
      <c r="A1253" s="43" t="s">
        <v>3350</v>
      </c>
      <c r="B1253" s="81" t="s">
        <v>3368</v>
      </c>
      <c r="C1253" s="26" t="s">
        <v>37</v>
      </c>
      <c r="D1253" s="14"/>
      <c r="E1253" s="15"/>
      <c r="F1253" s="16">
        <f t="shared" si="72"/>
        <v>0</v>
      </c>
      <c r="G1253">
        <f t="shared" si="73"/>
        <v>0</v>
      </c>
    </row>
    <row r="1254" spans="1:7" ht="15.75" hidden="1" thickBot="1" x14ac:dyDescent="0.3">
      <c r="A1254" s="43" t="s">
        <v>3351</v>
      </c>
      <c r="B1254" s="81" t="s">
        <v>3294</v>
      </c>
      <c r="C1254" s="26" t="s">
        <v>37</v>
      </c>
      <c r="D1254" s="14"/>
      <c r="E1254" s="15"/>
      <c r="F1254" s="16">
        <f t="shared" si="72"/>
        <v>0</v>
      </c>
      <c r="G1254">
        <f t="shared" si="73"/>
        <v>0</v>
      </c>
    </row>
    <row r="1255" spans="1:7" ht="15.75" hidden="1" thickBot="1" x14ac:dyDescent="0.3">
      <c r="A1255" s="43" t="s">
        <v>3352</v>
      </c>
      <c r="B1255" s="81" t="s">
        <v>3293</v>
      </c>
      <c r="C1255" s="26" t="s">
        <v>37</v>
      </c>
      <c r="D1255" s="14"/>
      <c r="E1255" s="15"/>
      <c r="F1255" s="16">
        <f t="shared" si="72"/>
        <v>0</v>
      </c>
      <c r="G1255">
        <f t="shared" si="73"/>
        <v>0</v>
      </c>
    </row>
    <row r="1256" spans="1:7" ht="15.75" hidden="1" thickBot="1" x14ac:dyDescent="0.3">
      <c r="A1256" s="43" t="s">
        <v>3353</v>
      </c>
      <c r="B1256" s="81" t="s">
        <v>3292</v>
      </c>
      <c r="C1256" s="26" t="s">
        <v>37</v>
      </c>
      <c r="D1256" s="14"/>
      <c r="E1256" s="15"/>
      <c r="F1256" s="16">
        <f t="shared" si="72"/>
        <v>0</v>
      </c>
      <c r="G1256">
        <f t="shared" si="73"/>
        <v>0</v>
      </c>
    </row>
    <row r="1257" spans="1:7" ht="15.75" hidden="1" thickBot="1" x14ac:dyDescent="0.3">
      <c r="A1257" s="43" t="s">
        <v>3354</v>
      </c>
      <c r="B1257" s="81" t="s">
        <v>3291</v>
      </c>
      <c r="C1257" s="26" t="s">
        <v>37</v>
      </c>
      <c r="D1257" s="14"/>
      <c r="E1257" s="15"/>
      <c r="F1257" s="16">
        <f t="shared" si="72"/>
        <v>0</v>
      </c>
      <c r="G1257">
        <f t="shared" si="73"/>
        <v>0</v>
      </c>
    </row>
    <row r="1258" spans="1:7" ht="15.75" hidden="1" thickBot="1" x14ac:dyDescent="0.3">
      <c r="A1258" s="43" t="s">
        <v>3355</v>
      </c>
      <c r="B1258" s="81" t="s">
        <v>3290</v>
      </c>
      <c r="C1258" s="26" t="s">
        <v>37</v>
      </c>
      <c r="D1258" s="14"/>
      <c r="E1258" s="15"/>
      <c r="F1258" s="16">
        <f t="shared" si="72"/>
        <v>0</v>
      </c>
      <c r="G1258">
        <f t="shared" si="73"/>
        <v>0</v>
      </c>
    </row>
    <row r="1259" spans="1:7" ht="15.75" hidden="1" thickBot="1" x14ac:dyDescent="0.3">
      <c r="A1259" s="43" t="s">
        <v>3356</v>
      </c>
      <c r="B1259" s="81" t="s">
        <v>3289</v>
      </c>
      <c r="C1259" s="26" t="s">
        <v>37</v>
      </c>
      <c r="D1259" s="14"/>
      <c r="E1259" s="15"/>
      <c r="F1259" s="16">
        <f t="shared" si="72"/>
        <v>0</v>
      </c>
      <c r="G1259">
        <f t="shared" si="73"/>
        <v>0</v>
      </c>
    </row>
    <row r="1260" spans="1:7" ht="15.75" hidden="1" thickBot="1" x14ac:dyDescent="0.3">
      <c r="A1260" s="43" t="s">
        <v>3357</v>
      </c>
      <c r="B1260" s="81" t="s">
        <v>3288</v>
      </c>
      <c r="C1260" s="26" t="s">
        <v>37</v>
      </c>
      <c r="D1260" s="14"/>
      <c r="E1260" s="15"/>
      <c r="F1260" s="16">
        <f t="shared" si="72"/>
        <v>0</v>
      </c>
      <c r="G1260">
        <f t="shared" si="73"/>
        <v>0</v>
      </c>
    </row>
    <row r="1261" spans="1:7" ht="15.75" hidden="1" thickBot="1" x14ac:dyDescent="0.3">
      <c r="A1261" s="43" t="s">
        <v>3358</v>
      </c>
      <c r="B1261" s="81" t="s">
        <v>3287</v>
      </c>
      <c r="C1261" s="26" t="s">
        <v>37</v>
      </c>
      <c r="D1261" s="14"/>
      <c r="E1261" s="15"/>
      <c r="F1261" s="16">
        <f t="shared" si="72"/>
        <v>0</v>
      </c>
      <c r="G1261">
        <f t="shared" si="73"/>
        <v>0</v>
      </c>
    </row>
    <row r="1262" spans="1:7" ht="15.75" hidden="1" thickBot="1" x14ac:dyDescent="0.3">
      <c r="A1262" s="44" t="s">
        <v>3433</v>
      </c>
      <c r="B1262" s="80" t="s">
        <v>3432</v>
      </c>
      <c r="C1262" s="26" t="s">
        <v>37</v>
      </c>
      <c r="D1262" s="14"/>
      <c r="E1262" s="15"/>
      <c r="F1262" s="16"/>
      <c r="G1262">
        <f t="shared" si="73"/>
        <v>0</v>
      </c>
    </row>
    <row r="1263" spans="1:7" ht="15.75" hidden="1" thickBot="1" x14ac:dyDescent="0.3">
      <c r="A1263" s="43" t="s">
        <v>3434</v>
      </c>
      <c r="B1263" s="81" t="s">
        <v>3381</v>
      </c>
      <c r="C1263" s="26" t="s">
        <v>37</v>
      </c>
      <c r="D1263" s="14"/>
      <c r="E1263" s="15"/>
      <c r="F1263" s="16">
        <f t="shared" ref="F1263:F1326" si="74">+D1263*E1263</f>
        <v>0</v>
      </c>
      <c r="G1263">
        <f t="shared" si="73"/>
        <v>0</v>
      </c>
    </row>
    <row r="1264" spans="1:7" ht="15.75" hidden="1" thickBot="1" x14ac:dyDescent="0.3">
      <c r="A1264" s="43" t="s">
        <v>3435</v>
      </c>
      <c r="B1264" s="81" t="s">
        <v>3382</v>
      </c>
      <c r="C1264" s="26" t="s">
        <v>37</v>
      </c>
      <c r="D1264" s="14"/>
      <c r="E1264" s="15"/>
      <c r="F1264" s="16">
        <f t="shared" si="74"/>
        <v>0</v>
      </c>
      <c r="G1264">
        <f t="shared" si="73"/>
        <v>0</v>
      </c>
    </row>
    <row r="1265" spans="1:7" ht="15.75" hidden="1" thickBot="1" x14ac:dyDescent="0.3">
      <c r="A1265" s="43" t="s">
        <v>3436</v>
      </c>
      <c r="B1265" s="81" t="s">
        <v>3383</v>
      </c>
      <c r="C1265" s="26" t="s">
        <v>37</v>
      </c>
      <c r="D1265" s="14"/>
      <c r="E1265" s="15"/>
      <c r="F1265" s="16">
        <f t="shared" si="74"/>
        <v>0</v>
      </c>
      <c r="G1265">
        <f t="shared" si="73"/>
        <v>0</v>
      </c>
    </row>
    <row r="1266" spans="1:7" ht="15.75" hidden="1" thickBot="1" x14ac:dyDescent="0.3">
      <c r="A1266" s="43" t="s">
        <v>3437</v>
      </c>
      <c r="B1266" s="81" t="s">
        <v>3384</v>
      </c>
      <c r="C1266" s="26" t="s">
        <v>37</v>
      </c>
      <c r="D1266" s="14"/>
      <c r="E1266" s="15"/>
      <c r="F1266" s="16">
        <f t="shared" si="74"/>
        <v>0</v>
      </c>
      <c r="G1266">
        <f t="shared" si="73"/>
        <v>0</v>
      </c>
    </row>
    <row r="1267" spans="1:7" ht="15.75" hidden="1" thickBot="1" x14ac:dyDescent="0.3">
      <c r="A1267" s="43" t="s">
        <v>3438</v>
      </c>
      <c r="B1267" s="81" t="s">
        <v>3385</v>
      </c>
      <c r="C1267" s="26" t="s">
        <v>37</v>
      </c>
      <c r="D1267" s="14"/>
      <c r="E1267" s="15"/>
      <c r="F1267" s="16">
        <f t="shared" si="74"/>
        <v>0</v>
      </c>
      <c r="G1267">
        <f t="shared" si="73"/>
        <v>0</v>
      </c>
    </row>
    <row r="1268" spans="1:7" ht="15.75" hidden="1" thickBot="1" x14ac:dyDescent="0.3">
      <c r="A1268" s="43" t="s">
        <v>3439</v>
      </c>
      <c r="B1268" s="81" t="s">
        <v>3386</v>
      </c>
      <c r="C1268" s="26" t="s">
        <v>37</v>
      </c>
      <c r="D1268" s="14"/>
      <c r="E1268" s="15"/>
      <c r="F1268" s="16">
        <f t="shared" si="74"/>
        <v>0</v>
      </c>
      <c r="G1268">
        <f t="shared" si="73"/>
        <v>0</v>
      </c>
    </row>
    <row r="1269" spans="1:7" ht="15.75" hidden="1" thickBot="1" x14ac:dyDescent="0.3">
      <c r="A1269" s="43" t="s">
        <v>3440</v>
      </c>
      <c r="B1269" s="81" t="s">
        <v>3387</v>
      </c>
      <c r="C1269" s="26" t="s">
        <v>37</v>
      </c>
      <c r="D1269" s="14"/>
      <c r="E1269" s="15"/>
      <c r="F1269" s="16">
        <f t="shared" si="74"/>
        <v>0</v>
      </c>
      <c r="G1269">
        <f t="shared" si="73"/>
        <v>0</v>
      </c>
    </row>
    <row r="1270" spans="1:7" ht="15.75" hidden="1" thickBot="1" x14ac:dyDescent="0.3">
      <c r="A1270" s="43" t="s">
        <v>3441</v>
      </c>
      <c r="B1270" s="81" t="s">
        <v>3388</v>
      </c>
      <c r="C1270" s="26" t="s">
        <v>37</v>
      </c>
      <c r="D1270" s="14"/>
      <c r="E1270" s="15"/>
      <c r="F1270" s="16">
        <f t="shared" si="74"/>
        <v>0</v>
      </c>
      <c r="G1270">
        <f t="shared" si="73"/>
        <v>0</v>
      </c>
    </row>
    <row r="1271" spans="1:7" ht="15.75" hidden="1" thickBot="1" x14ac:dyDescent="0.3">
      <c r="A1271" s="43" t="s">
        <v>3442</v>
      </c>
      <c r="B1271" s="81" t="s">
        <v>3389</v>
      </c>
      <c r="C1271" s="26" t="s">
        <v>37</v>
      </c>
      <c r="D1271" s="14"/>
      <c r="E1271" s="15"/>
      <c r="F1271" s="16">
        <f t="shared" si="74"/>
        <v>0</v>
      </c>
      <c r="G1271">
        <f t="shared" si="73"/>
        <v>0</v>
      </c>
    </row>
    <row r="1272" spans="1:7" ht="15.75" hidden="1" thickBot="1" x14ac:dyDescent="0.3">
      <c r="A1272" s="43" t="s">
        <v>3443</v>
      </c>
      <c r="B1272" s="81" t="s">
        <v>3390</v>
      </c>
      <c r="C1272" s="26" t="s">
        <v>37</v>
      </c>
      <c r="D1272" s="14"/>
      <c r="E1272" s="15"/>
      <c r="F1272" s="16">
        <f t="shared" si="74"/>
        <v>0</v>
      </c>
      <c r="G1272">
        <f t="shared" si="73"/>
        <v>0</v>
      </c>
    </row>
    <row r="1273" spans="1:7" ht="15.75" hidden="1" thickBot="1" x14ac:dyDescent="0.3">
      <c r="A1273" s="43" t="s">
        <v>3444</v>
      </c>
      <c r="B1273" s="81" t="s">
        <v>3391</v>
      </c>
      <c r="C1273" s="26" t="s">
        <v>37</v>
      </c>
      <c r="D1273" s="14"/>
      <c r="E1273" s="15"/>
      <c r="F1273" s="16">
        <f t="shared" si="74"/>
        <v>0</v>
      </c>
      <c r="G1273">
        <f t="shared" si="73"/>
        <v>0</v>
      </c>
    </row>
    <row r="1274" spans="1:7" ht="15.75" hidden="1" thickBot="1" x14ac:dyDescent="0.3">
      <c r="A1274" s="43" t="s">
        <v>3445</v>
      </c>
      <c r="B1274" s="81" t="s">
        <v>3392</v>
      </c>
      <c r="C1274" s="26" t="s">
        <v>37</v>
      </c>
      <c r="D1274" s="14"/>
      <c r="E1274" s="15"/>
      <c r="F1274" s="16">
        <f t="shared" si="74"/>
        <v>0</v>
      </c>
      <c r="G1274">
        <f t="shared" si="73"/>
        <v>0</v>
      </c>
    </row>
    <row r="1275" spans="1:7" ht="15.75" hidden="1" thickBot="1" x14ac:dyDescent="0.3">
      <c r="A1275" s="43" t="s">
        <v>3446</v>
      </c>
      <c r="B1275" s="81" t="s">
        <v>3393</v>
      </c>
      <c r="C1275" s="26" t="s">
        <v>37</v>
      </c>
      <c r="D1275" s="14"/>
      <c r="E1275" s="15"/>
      <c r="F1275" s="16">
        <f t="shared" si="74"/>
        <v>0</v>
      </c>
      <c r="G1275">
        <f t="shared" si="73"/>
        <v>0</v>
      </c>
    </row>
    <row r="1276" spans="1:7" ht="15.75" hidden="1" thickBot="1" x14ac:dyDescent="0.3">
      <c r="A1276" s="43" t="s">
        <v>3447</v>
      </c>
      <c r="B1276" s="81" t="s">
        <v>3394</v>
      </c>
      <c r="C1276" s="26" t="s">
        <v>37</v>
      </c>
      <c r="D1276" s="14"/>
      <c r="E1276" s="15"/>
      <c r="F1276" s="16">
        <f t="shared" si="74"/>
        <v>0</v>
      </c>
      <c r="G1276">
        <f t="shared" si="73"/>
        <v>0</v>
      </c>
    </row>
    <row r="1277" spans="1:7" ht="15.75" hidden="1" thickBot="1" x14ac:dyDescent="0.3">
      <c r="A1277" s="43" t="s">
        <v>3448</v>
      </c>
      <c r="B1277" s="81" t="s">
        <v>3395</v>
      </c>
      <c r="C1277" s="26" t="s">
        <v>37</v>
      </c>
      <c r="D1277" s="14"/>
      <c r="E1277" s="15"/>
      <c r="F1277" s="16">
        <f t="shared" si="74"/>
        <v>0</v>
      </c>
      <c r="G1277">
        <f t="shared" si="73"/>
        <v>0</v>
      </c>
    </row>
    <row r="1278" spans="1:7" ht="15.75" hidden="1" thickBot="1" x14ac:dyDescent="0.3">
      <c r="A1278" s="43" t="s">
        <v>3449</v>
      </c>
      <c r="B1278" s="81" t="s">
        <v>3396</v>
      </c>
      <c r="C1278" s="26" t="s">
        <v>37</v>
      </c>
      <c r="D1278" s="14"/>
      <c r="E1278" s="15"/>
      <c r="F1278" s="16">
        <f t="shared" si="74"/>
        <v>0</v>
      </c>
      <c r="G1278">
        <f t="shared" si="73"/>
        <v>0</v>
      </c>
    </row>
    <row r="1279" spans="1:7" ht="15.75" hidden="1" thickBot="1" x14ac:dyDescent="0.3">
      <c r="A1279" s="43" t="s">
        <v>3450</v>
      </c>
      <c r="B1279" s="81" t="s">
        <v>3397</v>
      </c>
      <c r="C1279" s="26" t="s">
        <v>37</v>
      </c>
      <c r="D1279" s="14"/>
      <c r="E1279" s="15"/>
      <c r="F1279" s="16">
        <f t="shared" si="74"/>
        <v>0</v>
      </c>
      <c r="G1279">
        <f t="shared" si="73"/>
        <v>0</v>
      </c>
    </row>
    <row r="1280" spans="1:7" ht="15.75" hidden="1" thickBot="1" x14ac:dyDescent="0.3">
      <c r="A1280" s="43" t="s">
        <v>3451</v>
      </c>
      <c r="B1280" s="81" t="s">
        <v>3398</v>
      </c>
      <c r="C1280" s="26" t="s">
        <v>37</v>
      </c>
      <c r="D1280" s="14"/>
      <c r="E1280" s="15"/>
      <c r="F1280" s="16">
        <f t="shared" si="74"/>
        <v>0</v>
      </c>
      <c r="G1280">
        <f t="shared" si="73"/>
        <v>0</v>
      </c>
    </row>
    <row r="1281" spans="1:7" ht="15.75" hidden="1" thickBot="1" x14ac:dyDescent="0.3">
      <c r="A1281" s="43" t="s">
        <v>3452</v>
      </c>
      <c r="B1281" s="81" t="s">
        <v>3399</v>
      </c>
      <c r="C1281" s="26" t="s">
        <v>37</v>
      </c>
      <c r="D1281" s="14"/>
      <c r="E1281" s="15"/>
      <c r="F1281" s="16">
        <f t="shared" si="74"/>
        <v>0</v>
      </c>
      <c r="G1281">
        <f t="shared" si="73"/>
        <v>0</v>
      </c>
    </row>
    <row r="1282" spans="1:7" ht="15.75" hidden="1" thickBot="1" x14ac:dyDescent="0.3">
      <c r="A1282" s="43" t="s">
        <v>3453</v>
      </c>
      <c r="B1282" s="81" t="s">
        <v>3400</v>
      </c>
      <c r="C1282" s="26" t="s">
        <v>37</v>
      </c>
      <c r="D1282" s="14"/>
      <c r="E1282" s="15"/>
      <c r="F1282" s="16">
        <f t="shared" si="74"/>
        <v>0</v>
      </c>
      <c r="G1282">
        <f t="shared" si="73"/>
        <v>0</v>
      </c>
    </row>
    <row r="1283" spans="1:7" ht="15.75" hidden="1" thickBot="1" x14ac:dyDescent="0.3">
      <c r="A1283" s="43" t="s">
        <v>3454</v>
      </c>
      <c r="B1283" s="81" t="s">
        <v>3401</v>
      </c>
      <c r="C1283" s="26" t="s">
        <v>37</v>
      </c>
      <c r="D1283" s="14"/>
      <c r="E1283" s="15"/>
      <c r="F1283" s="16">
        <f t="shared" si="74"/>
        <v>0</v>
      </c>
      <c r="G1283">
        <f t="shared" si="73"/>
        <v>0</v>
      </c>
    </row>
    <row r="1284" spans="1:7" ht="15.75" hidden="1" thickBot="1" x14ac:dyDescent="0.3">
      <c r="A1284" s="43" t="s">
        <v>3455</v>
      </c>
      <c r="B1284" s="81" t="s">
        <v>3402</v>
      </c>
      <c r="C1284" s="26" t="s">
        <v>37</v>
      </c>
      <c r="D1284" s="14"/>
      <c r="E1284" s="15"/>
      <c r="F1284" s="16">
        <f t="shared" si="74"/>
        <v>0</v>
      </c>
      <c r="G1284">
        <f t="shared" si="73"/>
        <v>0</v>
      </c>
    </row>
    <row r="1285" spans="1:7" ht="15.75" hidden="1" thickBot="1" x14ac:dyDescent="0.3">
      <c r="A1285" s="43" t="s">
        <v>3456</v>
      </c>
      <c r="B1285" s="81" t="s">
        <v>3403</v>
      </c>
      <c r="C1285" s="26" t="s">
        <v>37</v>
      </c>
      <c r="D1285" s="14"/>
      <c r="E1285" s="15"/>
      <c r="F1285" s="16">
        <f t="shared" si="74"/>
        <v>0</v>
      </c>
      <c r="G1285">
        <f t="shared" si="73"/>
        <v>0</v>
      </c>
    </row>
    <row r="1286" spans="1:7" ht="15.75" hidden="1" thickBot="1" x14ac:dyDescent="0.3">
      <c r="A1286" s="43" t="s">
        <v>3457</v>
      </c>
      <c r="B1286" s="81" t="s">
        <v>3404</v>
      </c>
      <c r="C1286" s="26" t="s">
        <v>37</v>
      </c>
      <c r="D1286" s="14"/>
      <c r="E1286" s="15"/>
      <c r="F1286" s="16">
        <f t="shared" si="74"/>
        <v>0</v>
      </c>
      <c r="G1286">
        <f t="shared" si="73"/>
        <v>0</v>
      </c>
    </row>
    <row r="1287" spans="1:7" ht="15.75" hidden="1" thickBot="1" x14ac:dyDescent="0.3">
      <c r="A1287" s="43" t="s">
        <v>3458</v>
      </c>
      <c r="B1287" s="81" t="s">
        <v>3405</v>
      </c>
      <c r="C1287" s="26" t="s">
        <v>37</v>
      </c>
      <c r="D1287" s="14"/>
      <c r="E1287" s="15"/>
      <c r="F1287" s="16">
        <f t="shared" si="74"/>
        <v>0</v>
      </c>
      <c r="G1287">
        <f t="shared" si="73"/>
        <v>0</v>
      </c>
    </row>
    <row r="1288" spans="1:7" ht="15.75" hidden="1" thickBot="1" x14ac:dyDescent="0.3">
      <c r="A1288" s="43" t="s">
        <v>3459</v>
      </c>
      <c r="B1288" s="81" t="s">
        <v>3406</v>
      </c>
      <c r="C1288" s="26" t="s">
        <v>37</v>
      </c>
      <c r="D1288" s="14"/>
      <c r="E1288" s="15"/>
      <c r="F1288" s="16">
        <f t="shared" si="74"/>
        <v>0</v>
      </c>
      <c r="G1288">
        <f t="shared" si="73"/>
        <v>0</v>
      </c>
    </row>
    <row r="1289" spans="1:7" ht="15.75" hidden="1" thickBot="1" x14ac:dyDescent="0.3">
      <c r="A1289" s="43" t="s">
        <v>3460</v>
      </c>
      <c r="B1289" s="81" t="s">
        <v>3407</v>
      </c>
      <c r="C1289" s="26" t="s">
        <v>37</v>
      </c>
      <c r="D1289" s="14"/>
      <c r="E1289" s="15"/>
      <c r="F1289" s="16">
        <f t="shared" si="74"/>
        <v>0</v>
      </c>
      <c r="G1289">
        <f t="shared" si="73"/>
        <v>0</v>
      </c>
    </row>
    <row r="1290" spans="1:7" ht="15.75" hidden="1" thickBot="1" x14ac:dyDescent="0.3">
      <c r="A1290" s="43" t="s">
        <v>3461</v>
      </c>
      <c r="B1290" s="81" t="s">
        <v>3408</v>
      </c>
      <c r="C1290" s="26" t="s">
        <v>37</v>
      </c>
      <c r="D1290" s="14"/>
      <c r="E1290" s="15"/>
      <c r="F1290" s="16">
        <f t="shared" si="74"/>
        <v>0</v>
      </c>
      <c r="G1290">
        <f t="shared" si="73"/>
        <v>0</v>
      </c>
    </row>
    <row r="1291" spans="1:7" ht="15.75" hidden="1" thickBot="1" x14ac:dyDescent="0.3">
      <c r="A1291" s="43" t="s">
        <v>3462</v>
      </c>
      <c r="B1291" s="81" t="s">
        <v>3409</v>
      </c>
      <c r="C1291" s="26" t="s">
        <v>37</v>
      </c>
      <c r="D1291" s="14"/>
      <c r="E1291" s="15"/>
      <c r="F1291" s="16">
        <f t="shared" si="74"/>
        <v>0</v>
      </c>
      <c r="G1291">
        <f t="shared" si="73"/>
        <v>0</v>
      </c>
    </row>
    <row r="1292" spans="1:7" ht="15.75" hidden="1" thickBot="1" x14ac:dyDescent="0.3">
      <c r="A1292" s="43" t="s">
        <v>3463</v>
      </c>
      <c r="B1292" s="81" t="s">
        <v>3410</v>
      </c>
      <c r="C1292" s="26" t="s">
        <v>37</v>
      </c>
      <c r="D1292" s="14"/>
      <c r="E1292" s="15"/>
      <c r="F1292" s="16">
        <f t="shared" si="74"/>
        <v>0</v>
      </c>
      <c r="G1292">
        <f t="shared" si="73"/>
        <v>0</v>
      </c>
    </row>
    <row r="1293" spans="1:7" ht="15.75" hidden="1" thickBot="1" x14ac:dyDescent="0.3">
      <c r="A1293" s="43" t="s">
        <v>3464</v>
      </c>
      <c r="B1293" s="81" t="s">
        <v>3411</v>
      </c>
      <c r="C1293" s="26" t="s">
        <v>37</v>
      </c>
      <c r="D1293" s="14"/>
      <c r="E1293" s="15"/>
      <c r="F1293" s="16">
        <f t="shared" si="74"/>
        <v>0</v>
      </c>
      <c r="G1293">
        <f t="shared" si="73"/>
        <v>0</v>
      </c>
    </row>
    <row r="1294" spans="1:7" ht="15.75" hidden="1" thickBot="1" x14ac:dyDescent="0.3">
      <c r="A1294" s="43" t="s">
        <v>3465</v>
      </c>
      <c r="B1294" s="81" t="s">
        <v>3412</v>
      </c>
      <c r="C1294" s="26" t="s">
        <v>37</v>
      </c>
      <c r="D1294" s="14"/>
      <c r="E1294" s="15"/>
      <c r="F1294" s="16">
        <f t="shared" si="74"/>
        <v>0</v>
      </c>
      <c r="G1294">
        <f t="shared" si="73"/>
        <v>0</v>
      </c>
    </row>
    <row r="1295" spans="1:7" ht="15.75" hidden="1" thickBot="1" x14ac:dyDescent="0.3">
      <c r="A1295" s="43" t="s">
        <v>3466</v>
      </c>
      <c r="B1295" s="81" t="s">
        <v>3413</v>
      </c>
      <c r="C1295" s="26" t="s">
        <v>37</v>
      </c>
      <c r="D1295" s="14"/>
      <c r="E1295" s="15"/>
      <c r="F1295" s="16">
        <f t="shared" si="74"/>
        <v>0</v>
      </c>
      <c r="G1295">
        <f t="shared" si="73"/>
        <v>0</v>
      </c>
    </row>
    <row r="1296" spans="1:7" ht="15.75" hidden="1" thickBot="1" x14ac:dyDescent="0.3">
      <c r="A1296" s="43" t="s">
        <v>3467</v>
      </c>
      <c r="B1296" s="81" t="s">
        <v>3414</v>
      </c>
      <c r="C1296" s="26" t="s">
        <v>37</v>
      </c>
      <c r="D1296" s="14"/>
      <c r="E1296" s="15"/>
      <c r="F1296" s="16">
        <f t="shared" si="74"/>
        <v>0</v>
      </c>
      <c r="G1296">
        <f t="shared" si="73"/>
        <v>0</v>
      </c>
    </row>
    <row r="1297" spans="1:7" ht="15.75" hidden="1" thickBot="1" x14ac:dyDescent="0.3">
      <c r="A1297" s="43" t="s">
        <v>3468</v>
      </c>
      <c r="B1297" s="81" t="s">
        <v>3415</v>
      </c>
      <c r="C1297" s="26" t="s">
        <v>37</v>
      </c>
      <c r="D1297" s="14"/>
      <c r="E1297" s="15"/>
      <c r="F1297" s="16">
        <f t="shared" si="74"/>
        <v>0</v>
      </c>
      <c r="G1297">
        <f t="shared" si="73"/>
        <v>0</v>
      </c>
    </row>
    <row r="1298" spans="1:7" ht="15.75" hidden="1" thickBot="1" x14ac:dyDescent="0.3">
      <c r="A1298" s="43" t="s">
        <v>3469</v>
      </c>
      <c r="B1298" s="81" t="s">
        <v>3416</v>
      </c>
      <c r="C1298" s="26" t="s">
        <v>37</v>
      </c>
      <c r="D1298" s="14"/>
      <c r="E1298" s="15"/>
      <c r="F1298" s="16">
        <f t="shared" si="74"/>
        <v>0</v>
      </c>
      <c r="G1298">
        <f t="shared" si="73"/>
        <v>0</v>
      </c>
    </row>
    <row r="1299" spans="1:7" ht="15.75" hidden="1" thickBot="1" x14ac:dyDescent="0.3">
      <c r="A1299" s="43" t="s">
        <v>3470</v>
      </c>
      <c r="B1299" s="81" t="s">
        <v>3417</v>
      </c>
      <c r="C1299" s="26" t="s">
        <v>37</v>
      </c>
      <c r="D1299" s="14"/>
      <c r="E1299" s="15"/>
      <c r="F1299" s="16">
        <f t="shared" si="74"/>
        <v>0</v>
      </c>
      <c r="G1299">
        <f t="shared" si="73"/>
        <v>0</v>
      </c>
    </row>
    <row r="1300" spans="1:7" ht="15.75" hidden="1" thickBot="1" x14ac:dyDescent="0.3">
      <c r="A1300" s="43" t="s">
        <v>3471</v>
      </c>
      <c r="B1300" s="81" t="s">
        <v>3418</v>
      </c>
      <c r="C1300" s="26" t="s">
        <v>37</v>
      </c>
      <c r="D1300" s="14"/>
      <c r="E1300" s="15"/>
      <c r="F1300" s="16">
        <f t="shared" si="74"/>
        <v>0</v>
      </c>
      <c r="G1300">
        <f t="shared" si="73"/>
        <v>0</v>
      </c>
    </row>
    <row r="1301" spans="1:7" ht="15.75" hidden="1" thickBot="1" x14ac:dyDescent="0.3">
      <c r="A1301" s="43" t="s">
        <v>3472</v>
      </c>
      <c r="B1301" s="81" t="s">
        <v>3419</v>
      </c>
      <c r="C1301" s="26" t="s">
        <v>37</v>
      </c>
      <c r="D1301" s="14"/>
      <c r="E1301" s="15"/>
      <c r="F1301" s="16">
        <f t="shared" si="74"/>
        <v>0</v>
      </c>
      <c r="G1301">
        <f t="shared" si="73"/>
        <v>0</v>
      </c>
    </row>
    <row r="1302" spans="1:7" ht="15.75" hidden="1" thickBot="1" x14ac:dyDescent="0.3">
      <c r="A1302" s="43" t="s">
        <v>3473</v>
      </c>
      <c r="B1302" s="81" t="s">
        <v>3420</v>
      </c>
      <c r="C1302" s="26" t="s">
        <v>37</v>
      </c>
      <c r="D1302" s="14"/>
      <c r="E1302" s="15"/>
      <c r="F1302" s="16">
        <f t="shared" si="74"/>
        <v>0</v>
      </c>
      <c r="G1302">
        <f t="shared" si="73"/>
        <v>0</v>
      </c>
    </row>
    <row r="1303" spans="1:7" ht="15.75" hidden="1" thickBot="1" x14ac:dyDescent="0.3">
      <c r="A1303" s="43" t="s">
        <v>3474</v>
      </c>
      <c r="B1303" s="81" t="s">
        <v>3421</v>
      </c>
      <c r="C1303" s="26" t="s">
        <v>37</v>
      </c>
      <c r="D1303" s="14"/>
      <c r="E1303" s="15"/>
      <c r="F1303" s="16">
        <f t="shared" si="74"/>
        <v>0</v>
      </c>
      <c r="G1303">
        <f t="shared" si="73"/>
        <v>0</v>
      </c>
    </row>
    <row r="1304" spans="1:7" ht="15.75" hidden="1" thickBot="1" x14ac:dyDescent="0.3">
      <c r="A1304" s="43" t="s">
        <v>3475</v>
      </c>
      <c r="B1304" s="81" t="s">
        <v>3422</v>
      </c>
      <c r="C1304" s="26" t="s">
        <v>37</v>
      </c>
      <c r="D1304" s="14"/>
      <c r="E1304" s="15"/>
      <c r="F1304" s="16">
        <f t="shared" si="74"/>
        <v>0</v>
      </c>
      <c r="G1304">
        <f t="shared" si="73"/>
        <v>0</v>
      </c>
    </row>
    <row r="1305" spans="1:7" ht="15.75" hidden="1" thickBot="1" x14ac:dyDescent="0.3">
      <c r="A1305" s="43" t="s">
        <v>3476</v>
      </c>
      <c r="B1305" s="81" t="s">
        <v>3423</v>
      </c>
      <c r="C1305" s="26" t="s">
        <v>37</v>
      </c>
      <c r="D1305" s="14"/>
      <c r="E1305" s="15"/>
      <c r="F1305" s="16">
        <f t="shared" si="74"/>
        <v>0</v>
      </c>
      <c r="G1305">
        <f t="shared" si="73"/>
        <v>0</v>
      </c>
    </row>
    <row r="1306" spans="1:7" ht="15.75" hidden="1" thickBot="1" x14ac:dyDescent="0.3">
      <c r="A1306" s="43" t="s">
        <v>3477</v>
      </c>
      <c r="B1306" s="81" t="s">
        <v>3424</v>
      </c>
      <c r="C1306" s="26" t="s">
        <v>37</v>
      </c>
      <c r="D1306" s="14"/>
      <c r="E1306" s="15"/>
      <c r="F1306" s="16">
        <f t="shared" si="74"/>
        <v>0</v>
      </c>
      <c r="G1306">
        <f t="shared" si="73"/>
        <v>0</v>
      </c>
    </row>
    <row r="1307" spans="1:7" ht="15.75" hidden="1" thickBot="1" x14ac:dyDescent="0.3">
      <c r="A1307" s="43" t="s">
        <v>3478</v>
      </c>
      <c r="B1307" s="81" t="s">
        <v>3425</v>
      </c>
      <c r="C1307" s="26" t="s">
        <v>37</v>
      </c>
      <c r="D1307" s="14"/>
      <c r="E1307" s="15"/>
      <c r="F1307" s="16">
        <f t="shared" si="74"/>
        <v>0</v>
      </c>
      <c r="G1307">
        <f t="shared" si="73"/>
        <v>0</v>
      </c>
    </row>
    <row r="1308" spans="1:7" ht="15.75" hidden="1" thickBot="1" x14ac:dyDescent="0.3">
      <c r="A1308" s="43" t="s">
        <v>3479</v>
      </c>
      <c r="B1308" s="81" t="s">
        <v>3426</v>
      </c>
      <c r="C1308" s="26" t="s">
        <v>37</v>
      </c>
      <c r="D1308" s="14"/>
      <c r="E1308" s="15"/>
      <c r="F1308" s="16">
        <f t="shared" si="74"/>
        <v>0</v>
      </c>
      <c r="G1308">
        <f t="shared" si="73"/>
        <v>0</v>
      </c>
    </row>
    <row r="1309" spans="1:7" ht="15.75" hidden="1" thickBot="1" x14ac:dyDescent="0.3">
      <c r="A1309" s="43" t="s">
        <v>3480</v>
      </c>
      <c r="B1309" s="81" t="s">
        <v>3427</v>
      </c>
      <c r="C1309" s="26" t="s">
        <v>37</v>
      </c>
      <c r="D1309" s="14"/>
      <c r="E1309" s="15"/>
      <c r="F1309" s="16">
        <f t="shared" si="74"/>
        <v>0</v>
      </c>
      <c r="G1309">
        <f t="shared" si="73"/>
        <v>0</v>
      </c>
    </row>
    <row r="1310" spans="1:7" ht="15.75" hidden="1" thickBot="1" x14ac:dyDescent="0.3">
      <c r="A1310" s="43" t="s">
        <v>3481</v>
      </c>
      <c r="B1310" s="81" t="s">
        <v>3428</v>
      </c>
      <c r="C1310" s="26" t="s">
        <v>37</v>
      </c>
      <c r="D1310" s="14"/>
      <c r="E1310" s="15"/>
      <c r="F1310" s="16">
        <f t="shared" si="74"/>
        <v>0</v>
      </c>
      <c r="G1310">
        <f t="shared" si="73"/>
        <v>0</v>
      </c>
    </row>
    <row r="1311" spans="1:7" ht="15.75" hidden="1" thickBot="1" x14ac:dyDescent="0.3">
      <c r="A1311" s="43" t="s">
        <v>3482</v>
      </c>
      <c r="B1311" s="81" t="s">
        <v>3429</v>
      </c>
      <c r="C1311" s="26" t="s">
        <v>37</v>
      </c>
      <c r="D1311" s="14"/>
      <c r="E1311" s="15"/>
      <c r="F1311" s="16">
        <f t="shared" si="74"/>
        <v>0</v>
      </c>
      <c r="G1311">
        <f t="shared" si="73"/>
        <v>0</v>
      </c>
    </row>
    <row r="1312" spans="1:7" ht="15.75" hidden="1" thickBot="1" x14ac:dyDescent="0.3">
      <c r="A1312" s="43" t="s">
        <v>3483</v>
      </c>
      <c r="B1312" s="81" t="s">
        <v>3430</v>
      </c>
      <c r="C1312" s="26" t="s">
        <v>37</v>
      </c>
      <c r="D1312" s="14"/>
      <c r="E1312" s="15"/>
      <c r="F1312" s="16">
        <f t="shared" si="74"/>
        <v>0</v>
      </c>
      <c r="G1312">
        <f t="shared" si="73"/>
        <v>0</v>
      </c>
    </row>
    <row r="1313" spans="1:7" ht="15.75" hidden="1" thickBot="1" x14ac:dyDescent="0.3">
      <c r="A1313" s="43" t="s">
        <v>3484</v>
      </c>
      <c r="B1313" s="81" t="s">
        <v>3431</v>
      </c>
      <c r="C1313" s="26" t="s">
        <v>37</v>
      </c>
      <c r="D1313" s="14"/>
      <c r="E1313" s="15"/>
      <c r="F1313" s="16">
        <f t="shared" si="74"/>
        <v>0</v>
      </c>
      <c r="G1313">
        <f t="shared" si="73"/>
        <v>0</v>
      </c>
    </row>
    <row r="1314" spans="1:7" ht="15.75" hidden="1" thickBot="1" x14ac:dyDescent="0.3">
      <c r="A1314" s="78" t="s">
        <v>3485</v>
      </c>
      <c r="B1314" s="80" t="s">
        <v>5716</v>
      </c>
      <c r="C1314" s="26" t="s">
        <v>37</v>
      </c>
      <c r="D1314" s="14"/>
      <c r="E1314" s="15"/>
      <c r="F1314" s="16"/>
      <c r="G1314">
        <f t="shared" si="73"/>
        <v>0</v>
      </c>
    </row>
    <row r="1315" spans="1:7" ht="15.75" hidden="1" thickBot="1" x14ac:dyDescent="0.3">
      <c r="A1315" s="85" t="s">
        <v>3488</v>
      </c>
      <c r="B1315" s="81" t="s">
        <v>3384</v>
      </c>
      <c r="C1315" s="26" t="s">
        <v>37</v>
      </c>
      <c r="D1315" s="14"/>
      <c r="E1315" s="15"/>
      <c r="F1315" s="16">
        <f t="shared" si="74"/>
        <v>0</v>
      </c>
      <c r="G1315">
        <f t="shared" si="73"/>
        <v>0</v>
      </c>
    </row>
    <row r="1316" spans="1:7" ht="15.75" hidden="1" thickBot="1" x14ac:dyDescent="0.3">
      <c r="A1316" s="85" t="s">
        <v>3489</v>
      </c>
      <c r="B1316" s="81" t="s">
        <v>3487</v>
      </c>
      <c r="C1316" s="26" t="s">
        <v>37</v>
      </c>
      <c r="D1316" s="14"/>
      <c r="E1316" s="15"/>
      <c r="F1316" s="16">
        <f t="shared" si="74"/>
        <v>0</v>
      </c>
      <c r="G1316">
        <f t="shared" ref="G1316:G1379" si="75">+IF(F1316&lt;&gt;0,1,0)</f>
        <v>0</v>
      </c>
    </row>
    <row r="1317" spans="1:7" ht="15.75" hidden="1" thickBot="1" x14ac:dyDescent="0.3">
      <c r="A1317" s="85" t="s">
        <v>3490</v>
      </c>
      <c r="B1317" s="81" t="s">
        <v>3385</v>
      </c>
      <c r="C1317" s="26" t="s">
        <v>37</v>
      </c>
      <c r="D1317" s="14"/>
      <c r="E1317" s="15"/>
      <c r="F1317" s="16">
        <f t="shared" si="74"/>
        <v>0</v>
      </c>
      <c r="G1317">
        <f t="shared" si="75"/>
        <v>0</v>
      </c>
    </row>
    <row r="1318" spans="1:7" ht="15.75" hidden="1" thickBot="1" x14ac:dyDescent="0.3">
      <c r="A1318" s="85" t="s">
        <v>3491</v>
      </c>
      <c r="B1318" s="81" t="s">
        <v>3386</v>
      </c>
      <c r="C1318" s="26" t="s">
        <v>37</v>
      </c>
      <c r="D1318" s="14"/>
      <c r="E1318" s="15"/>
      <c r="F1318" s="16">
        <f t="shared" si="74"/>
        <v>0</v>
      </c>
      <c r="G1318">
        <f t="shared" si="75"/>
        <v>0</v>
      </c>
    </row>
    <row r="1319" spans="1:7" ht="15.75" hidden="1" thickBot="1" x14ac:dyDescent="0.3">
      <c r="A1319" s="85" t="s">
        <v>3492</v>
      </c>
      <c r="B1319" s="81" t="s">
        <v>3389</v>
      </c>
      <c r="C1319" s="26" t="s">
        <v>37</v>
      </c>
      <c r="D1319" s="14"/>
      <c r="E1319" s="15"/>
      <c r="F1319" s="16">
        <f t="shared" si="74"/>
        <v>0</v>
      </c>
      <c r="G1319">
        <f t="shared" si="75"/>
        <v>0</v>
      </c>
    </row>
    <row r="1320" spans="1:7" ht="15.75" hidden="1" thickBot="1" x14ac:dyDescent="0.3">
      <c r="A1320" s="85" t="s">
        <v>3493</v>
      </c>
      <c r="B1320" s="81" t="s">
        <v>3390</v>
      </c>
      <c r="C1320" s="26" t="s">
        <v>37</v>
      </c>
      <c r="D1320" s="14"/>
      <c r="E1320" s="15"/>
      <c r="F1320" s="16">
        <f t="shared" si="74"/>
        <v>0</v>
      </c>
      <c r="G1320">
        <f t="shared" si="75"/>
        <v>0</v>
      </c>
    </row>
    <row r="1321" spans="1:7" ht="15.75" hidden="1" thickBot="1" x14ac:dyDescent="0.3">
      <c r="A1321" s="85" t="s">
        <v>3494</v>
      </c>
      <c r="B1321" s="81" t="s">
        <v>3393</v>
      </c>
      <c r="C1321" s="26" t="s">
        <v>37</v>
      </c>
      <c r="D1321" s="14"/>
      <c r="E1321" s="15"/>
      <c r="F1321" s="16">
        <f t="shared" si="74"/>
        <v>0</v>
      </c>
      <c r="G1321">
        <f t="shared" si="75"/>
        <v>0</v>
      </c>
    </row>
    <row r="1322" spans="1:7" ht="15.75" hidden="1" thickBot="1" x14ac:dyDescent="0.3">
      <c r="A1322" s="85" t="s">
        <v>3495</v>
      </c>
      <c r="B1322" s="81" t="s">
        <v>3394</v>
      </c>
      <c r="C1322" s="26" t="s">
        <v>37</v>
      </c>
      <c r="D1322" s="14"/>
      <c r="E1322" s="15"/>
      <c r="F1322" s="16">
        <f t="shared" si="74"/>
        <v>0</v>
      </c>
      <c r="G1322">
        <f t="shared" si="75"/>
        <v>0</v>
      </c>
    </row>
    <row r="1323" spans="1:7" ht="15.75" hidden="1" thickBot="1" x14ac:dyDescent="0.3">
      <c r="A1323" s="85" t="s">
        <v>3496</v>
      </c>
      <c r="B1323" s="81" t="s">
        <v>3395</v>
      </c>
      <c r="C1323" s="26" t="s">
        <v>37</v>
      </c>
      <c r="D1323" s="14"/>
      <c r="E1323" s="15"/>
      <c r="F1323" s="16">
        <f t="shared" si="74"/>
        <v>0</v>
      </c>
      <c r="G1323">
        <f t="shared" si="75"/>
        <v>0</v>
      </c>
    </row>
    <row r="1324" spans="1:7" ht="15.75" hidden="1" thickBot="1" x14ac:dyDescent="0.3">
      <c r="A1324" s="85" t="s">
        <v>3497</v>
      </c>
      <c r="B1324" s="81" t="s">
        <v>3398</v>
      </c>
      <c r="C1324" s="26" t="s">
        <v>37</v>
      </c>
      <c r="D1324" s="14"/>
      <c r="E1324" s="15"/>
      <c r="F1324" s="16">
        <f t="shared" si="74"/>
        <v>0</v>
      </c>
      <c r="G1324">
        <f t="shared" si="75"/>
        <v>0</v>
      </c>
    </row>
    <row r="1325" spans="1:7" ht="15.75" hidden="1" thickBot="1" x14ac:dyDescent="0.3">
      <c r="A1325" s="85" t="s">
        <v>3498</v>
      </c>
      <c r="B1325" s="81" t="s">
        <v>3400</v>
      </c>
      <c r="C1325" s="26" t="s">
        <v>37</v>
      </c>
      <c r="D1325" s="14"/>
      <c r="E1325" s="15"/>
      <c r="F1325" s="16">
        <f t="shared" si="74"/>
        <v>0</v>
      </c>
      <c r="G1325">
        <f t="shared" si="75"/>
        <v>0</v>
      </c>
    </row>
    <row r="1326" spans="1:7" ht="15.75" hidden="1" thickBot="1" x14ac:dyDescent="0.3">
      <c r="A1326" s="85" t="s">
        <v>3499</v>
      </c>
      <c r="B1326" s="81" t="s">
        <v>3404</v>
      </c>
      <c r="C1326" s="26" t="s">
        <v>37</v>
      </c>
      <c r="D1326" s="14"/>
      <c r="E1326" s="15"/>
      <c r="F1326" s="16">
        <f t="shared" si="74"/>
        <v>0</v>
      </c>
      <c r="G1326">
        <f t="shared" si="75"/>
        <v>0</v>
      </c>
    </row>
    <row r="1327" spans="1:7" ht="15.75" hidden="1" thickBot="1" x14ac:dyDescent="0.3">
      <c r="A1327" s="85" t="s">
        <v>3500</v>
      </c>
      <c r="B1327" s="81" t="s">
        <v>3406</v>
      </c>
      <c r="C1327" s="26" t="s">
        <v>37</v>
      </c>
      <c r="D1327" s="14"/>
      <c r="E1327" s="15"/>
      <c r="F1327" s="16">
        <f t="shared" ref="F1327:F1332" si="76">+D1327*E1327</f>
        <v>0</v>
      </c>
      <c r="G1327">
        <f t="shared" si="75"/>
        <v>0</v>
      </c>
    </row>
    <row r="1328" spans="1:7" ht="15.75" hidden="1" thickBot="1" x14ac:dyDescent="0.3">
      <c r="A1328" s="85" t="s">
        <v>3501</v>
      </c>
      <c r="B1328" s="81" t="s">
        <v>3408</v>
      </c>
      <c r="C1328" s="26" t="s">
        <v>37</v>
      </c>
      <c r="D1328" s="14"/>
      <c r="E1328" s="15"/>
      <c r="F1328" s="16">
        <f t="shared" si="76"/>
        <v>0</v>
      </c>
      <c r="G1328">
        <f t="shared" si="75"/>
        <v>0</v>
      </c>
    </row>
    <row r="1329" spans="1:7" ht="15.75" hidden="1" thickBot="1" x14ac:dyDescent="0.3">
      <c r="A1329" s="85" t="s">
        <v>3502</v>
      </c>
      <c r="B1329" s="81" t="s">
        <v>3420</v>
      </c>
      <c r="C1329" s="26" t="s">
        <v>37</v>
      </c>
      <c r="D1329" s="14"/>
      <c r="E1329" s="15"/>
      <c r="F1329" s="16">
        <f t="shared" si="76"/>
        <v>0</v>
      </c>
      <c r="G1329">
        <f t="shared" si="75"/>
        <v>0</v>
      </c>
    </row>
    <row r="1330" spans="1:7" ht="15.75" hidden="1" thickBot="1" x14ac:dyDescent="0.3">
      <c r="A1330" s="85" t="s">
        <v>3503</v>
      </c>
      <c r="B1330" s="81" t="s">
        <v>3421</v>
      </c>
      <c r="C1330" s="26" t="s">
        <v>37</v>
      </c>
      <c r="D1330" s="14"/>
      <c r="E1330" s="15"/>
      <c r="F1330" s="16">
        <f t="shared" si="76"/>
        <v>0</v>
      </c>
      <c r="G1330">
        <f t="shared" si="75"/>
        <v>0</v>
      </c>
    </row>
    <row r="1331" spans="1:7" ht="15.75" hidden="1" thickBot="1" x14ac:dyDescent="0.3">
      <c r="A1331" s="85" t="s">
        <v>3504</v>
      </c>
      <c r="B1331" s="81" t="s">
        <v>3425</v>
      </c>
      <c r="C1331" s="26" t="s">
        <v>37</v>
      </c>
      <c r="D1331" s="14"/>
      <c r="E1331" s="15"/>
      <c r="F1331" s="16">
        <f t="shared" si="76"/>
        <v>0</v>
      </c>
      <c r="G1331">
        <f t="shared" si="75"/>
        <v>0</v>
      </c>
    </row>
    <row r="1332" spans="1:7" ht="15.75" hidden="1" thickBot="1" x14ac:dyDescent="0.3">
      <c r="A1332" s="85" t="s">
        <v>3505</v>
      </c>
      <c r="B1332" s="81" t="s">
        <v>3428</v>
      </c>
      <c r="C1332" s="26" t="s">
        <v>37</v>
      </c>
      <c r="D1332" s="14"/>
      <c r="E1332" s="15"/>
      <c r="F1332" s="16">
        <f t="shared" si="76"/>
        <v>0</v>
      </c>
      <c r="G1332">
        <f t="shared" si="75"/>
        <v>0</v>
      </c>
    </row>
    <row r="1333" spans="1:7" ht="15.75" hidden="1" thickBot="1" x14ac:dyDescent="0.3">
      <c r="A1333" s="78" t="s">
        <v>975</v>
      </c>
      <c r="B1333" s="80" t="s">
        <v>3506</v>
      </c>
      <c r="C1333" s="26"/>
      <c r="D1333" s="14"/>
      <c r="E1333" s="15"/>
      <c r="F1333" s="16"/>
      <c r="G1333">
        <f t="shared" si="75"/>
        <v>0</v>
      </c>
    </row>
    <row r="1334" spans="1:7" ht="15.75" hidden="1" thickBot="1" x14ac:dyDescent="0.3">
      <c r="A1334" s="78" t="s">
        <v>3507</v>
      </c>
      <c r="B1334" s="79" t="s">
        <v>3545</v>
      </c>
      <c r="C1334" s="26"/>
      <c r="D1334" s="14"/>
      <c r="E1334" s="15"/>
      <c r="F1334" s="16"/>
      <c r="G1334">
        <f t="shared" si="75"/>
        <v>0</v>
      </c>
    </row>
    <row r="1335" spans="1:7" ht="15.75" hidden="1" thickBot="1" x14ac:dyDescent="0.3">
      <c r="A1335" s="85" t="s">
        <v>3508</v>
      </c>
      <c r="B1335" s="88" t="s">
        <v>3511</v>
      </c>
      <c r="C1335" s="26" t="s">
        <v>37</v>
      </c>
      <c r="D1335" s="14"/>
      <c r="E1335" s="15"/>
      <c r="F1335" s="16">
        <f t="shared" ref="F1335:F1346" si="77">+D1335*E1335</f>
        <v>0</v>
      </c>
      <c r="G1335">
        <f t="shared" si="75"/>
        <v>0</v>
      </c>
    </row>
    <row r="1336" spans="1:7" ht="15.75" hidden="1" thickBot="1" x14ac:dyDescent="0.3">
      <c r="A1336" s="85" t="s">
        <v>3521</v>
      </c>
      <c r="B1336" s="88" t="s">
        <v>3512</v>
      </c>
      <c r="C1336" s="26" t="s">
        <v>37</v>
      </c>
      <c r="D1336" s="14"/>
      <c r="E1336" s="15"/>
      <c r="F1336" s="16">
        <f t="shared" si="77"/>
        <v>0</v>
      </c>
      <c r="G1336">
        <f t="shared" si="75"/>
        <v>0</v>
      </c>
    </row>
    <row r="1337" spans="1:7" ht="15.75" hidden="1" thickBot="1" x14ac:dyDescent="0.3">
      <c r="A1337" s="85" t="s">
        <v>3522</v>
      </c>
      <c r="B1337" s="88" t="s">
        <v>3510</v>
      </c>
      <c r="C1337" s="26" t="s">
        <v>37</v>
      </c>
      <c r="D1337" s="14"/>
      <c r="E1337" s="15"/>
      <c r="F1337" s="16">
        <f t="shared" si="77"/>
        <v>0</v>
      </c>
      <c r="G1337">
        <f t="shared" si="75"/>
        <v>0</v>
      </c>
    </row>
    <row r="1338" spans="1:7" ht="15.75" hidden="1" thickBot="1" x14ac:dyDescent="0.3">
      <c r="A1338" s="85" t="s">
        <v>3523</v>
      </c>
      <c r="B1338" s="88" t="s">
        <v>3514</v>
      </c>
      <c r="C1338" s="26" t="s">
        <v>37</v>
      </c>
      <c r="D1338" s="14"/>
      <c r="E1338" s="15"/>
      <c r="F1338" s="16">
        <f t="shared" si="77"/>
        <v>0</v>
      </c>
      <c r="G1338">
        <f t="shared" si="75"/>
        <v>0</v>
      </c>
    </row>
    <row r="1339" spans="1:7" ht="15.75" hidden="1" thickBot="1" x14ac:dyDescent="0.3">
      <c r="A1339" s="85" t="s">
        <v>3524</v>
      </c>
      <c r="B1339" s="88" t="s">
        <v>3513</v>
      </c>
      <c r="C1339" s="26" t="s">
        <v>37</v>
      </c>
      <c r="D1339" s="14"/>
      <c r="E1339" s="15"/>
      <c r="F1339" s="16">
        <f t="shared" si="77"/>
        <v>0</v>
      </c>
      <c r="G1339">
        <f t="shared" si="75"/>
        <v>0</v>
      </c>
    </row>
    <row r="1340" spans="1:7" ht="15.75" hidden="1" thickBot="1" x14ac:dyDescent="0.3">
      <c r="A1340" s="85" t="s">
        <v>3525</v>
      </c>
      <c r="B1340" s="88" t="s">
        <v>3515</v>
      </c>
      <c r="C1340" s="26" t="s">
        <v>37</v>
      </c>
      <c r="D1340" s="14"/>
      <c r="E1340" s="15">
        <f>+SUM!H1339</f>
        <v>1300230</v>
      </c>
      <c r="F1340" s="16">
        <f t="shared" si="77"/>
        <v>0</v>
      </c>
      <c r="G1340">
        <f t="shared" si="75"/>
        <v>0</v>
      </c>
    </row>
    <row r="1341" spans="1:7" ht="15.75" hidden="1" thickBot="1" x14ac:dyDescent="0.3">
      <c r="A1341" s="85" t="s">
        <v>3526</v>
      </c>
      <c r="B1341" s="88" t="s">
        <v>3516</v>
      </c>
      <c r="C1341" s="26" t="s">
        <v>37</v>
      </c>
      <c r="D1341" s="14"/>
      <c r="E1341" s="15">
        <f>+SUM!H1340</f>
        <v>1517393</v>
      </c>
      <c r="F1341" s="16">
        <f t="shared" si="77"/>
        <v>0</v>
      </c>
      <c r="G1341">
        <f t="shared" si="75"/>
        <v>0</v>
      </c>
    </row>
    <row r="1342" spans="1:7" ht="15.75" hidden="1" thickBot="1" x14ac:dyDescent="0.3">
      <c r="A1342" s="85" t="s">
        <v>3527</v>
      </c>
      <c r="B1342" s="88" t="s">
        <v>3517</v>
      </c>
      <c r="C1342" s="26" t="s">
        <v>37</v>
      </c>
      <c r="D1342" s="14"/>
      <c r="E1342" s="15">
        <f>+SUM!H1341</f>
        <v>2376424</v>
      </c>
      <c r="F1342" s="16">
        <f t="shared" si="77"/>
        <v>0</v>
      </c>
      <c r="G1342">
        <f t="shared" si="75"/>
        <v>0</v>
      </c>
    </row>
    <row r="1343" spans="1:7" ht="15.75" hidden="1" thickBot="1" x14ac:dyDescent="0.3">
      <c r="A1343" s="85" t="s">
        <v>3528</v>
      </c>
      <c r="B1343" s="88" t="s">
        <v>3518</v>
      </c>
      <c r="C1343" s="26" t="s">
        <v>37</v>
      </c>
      <c r="D1343" s="14"/>
      <c r="E1343" s="15">
        <f>+SUM!H1342</f>
        <v>3334416</v>
      </c>
      <c r="F1343" s="16">
        <f t="shared" si="77"/>
        <v>0</v>
      </c>
      <c r="G1343">
        <f t="shared" si="75"/>
        <v>0</v>
      </c>
    </row>
    <row r="1344" spans="1:7" ht="15.75" hidden="1" thickBot="1" x14ac:dyDescent="0.3">
      <c r="A1344" s="85" t="s">
        <v>3529</v>
      </c>
      <c r="B1344" s="88" t="s">
        <v>3519</v>
      </c>
      <c r="C1344" s="26" t="s">
        <v>37</v>
      </c>
      <c r="D1344" s="14"/>
      <c r="E1344" s="15">
        <f>+SUM!H1343</f>
        <v>3999650</v>
      </c>
      <c r="F1344" s="16">
        <f t="shared" si="77"/>
        <v>0</v>
      </c>
      <c r="G1344">
        <f t="shared" si="75"/>
        <v>0</v>
      </c>
    </row>
    <row r="1345" spans="1:7" ht="15.75" hidden="1" thickBot="1" x14ac:dyDescent="0.3">
      <c r="A1345" s="85" t="s">
        <v>3530</v>
      </c>
      <c r="B1345" s="88" t="s">
        <v>3520</v>
      </c>
      <c r="C1345" s="26" t="s">
        <v>37</v>
      </c>
      <c r="D1345" s="14"/>
      <c r="E1345" s="15">
        <f>+SUM!H1344</f>
        <v>5000249</v>
      </c>
      <c r="F1345" s="16">
        <f t="shared" si="77"/>
        <v>0</v>
      </c>
      <c r="G1345">
        <f t="shared" si="75"/>
        <v>0</v>
      </c>
    </row>
    <row r="1346" spans="1:7" ht="15.75" hidden="1" thickBot="1" x14ac:dyDescent="0.3">
      <c r="A1346" s="85" t="s">
        <v>3531</v>
      </c>
      <c r="B1346" s="88" t="s">
        <v>3509</v>
      </c>
      <c r="C1346" s="26" t="s">
        <v>37</v>
      </c>
      <c r="D1346" s="14"/>
      <c r="E1346" s="15">
        <f>+SUM!H1345</f>
        <v>6424179</v>
      </c>
      <c r="F1346" s="16">
        <f t="shared" si="77"/>
        <v>0</v>
      </c>
      <c r="G1346">
        <f t="shared" si="75"/>
        <v>0</v>
      </c>
    </row>
    <row r="1347" spans="1:7" ht="15.75" hidden="1" thickBot="1" x14ac:dyDescent="0.3">
      <c r="A1347" s="78" t="s">
        <v>3532</v>
      </c>
      <c r="B1347" s="79" t="s">
        <v>3546</v>
      </c>
      <c r="C1347" s="26"/>
      <c r="D1347" s="14"/>
      <c r="E1347" s="15">
        <f>+SUM!H1346</f>
        <v>0</v>
      </c>
      <c r="F1347" s="16"/>
      <c r="G1347">
        <f t="shared" si="75"/>
        <v>0</v>
      </c>
    </row>
    <row r="1348" spans="1:7" ht="15.75" hidden="1" thickBot="1" x14ac:dyDescent="0.3">
      <c r="A1348" s="85" t="s">
        <v>3533</v>
      </c>
      <c r="B1348" s="88" t="s">
        <v>3511</v>
      </c>
      <c r="C1348" s="26" t="s">
        <v>37</v>
      </c>
      <c r="D1348" s="14"/>
      <c r="E1348" s="15">
        <f>+SUM!H1347</f>
        <v>92088</v>
      </c>
      <c r="F1348" s="16">
        <f t="shared" ref="F1348:F1359" si="78">+D1348*E1348</f>
        <v>0</v>
      </c>
      <c r="G1348">
        <f t="shared" si="75"/>
        <v>0</v>
      </c>
    </row>
    <row r="1349" spans="1:7" ht="15.75" hidden="1" thickBot="1" x14ac:dyDescent="0.3">
      <c r="A1349" s="85" t="s">
        <v>3534</v>
      </c>
      <c r="B1349" s="88" t="s">
        <v>3512</v>
      </c>
      <c r="C1349" s="26" t="s">
        <v>37</v>
      </c>
      <c r="D1349" s="14"/>
      <c r="E1349" s="15">
        <f>+SUM!H1348</f>
        <v>114079</v>
      </c>
      <c r="F1349" s="16">
        <f t="shared" si="78"/>
        <v>0</v>
      </c>
      <c r="G1349">
        <f t="shared" si="75"/>
        <v>0</v>
      </c>
    </row>
    <row r="1350" spans="1:7" ht="15.75" hidden="1" thickBot="1" x14ac:dyDescent="0.3">
      <c r="A1350" s="85" t="s">
        <v>3535</v>
      </c>
      <c r="B1350" s="88" t="s">
        <v>3510</v>
      </c>
      <c r="C1350" s="26" t="s">
        <v>37</v>
      </c>
      <c r="D1350" s="14"/>
      <c r="E1350" s="15">
        <f>+SUM!H1349</f>
        <v>142943</v>
      </c>
      <c r="F1350" s="16">
        <f t="shared" si="78"/>
        <v>0</v>
      </c>
      <c r="G1350">
        <f t="shared" si="75"/>
        <v>0</v>
      </c>
    </row>
    <row r="1351" spans="1:7" ht="15.75" hidden="1" thickBot="1" x14ac:dyDescent="0.3">
      <c r="A1351" s="85" t="s">
        <v>3536</v>
      </c>
      <c r="B1351" s="88" t="s">
        <v>3514</v>
      </c>
      <c r="C1351" s="26" t="s">
        <v>37</v>
      </c>
      <c r="D1351" s="14"/>
      <c r="E1351" s="15">
        <f>+SUM!H1350</f>
        <v>306502</v>
      </c>
      <c r="F1351" s="16">
        <f t="shared" si="78"/>
        <v>0</v>
      </c>
      <c r="G1351">
        <f t="shared" si="75"/>
        <v>0</v>
      </c>
    </row>
    <row r="1352" spans="1:7" ht="15.75" hidden="1" thickBot="1" x14ac:dyDescent="0.3">
      <c r="A1352" s="85" t="s">
        <v>3537</v>
      </c>
      <c r="B1352" s="88" t="s">
        <v>3513</v>
      </c>
      <c r="C1352" s="26" t="s">
        <v>37</v>
      </c>
      <c r="D1352" s="14"/>
      <c r="E1352" s="15">
        <f>+SUM!H1351</f>
        <v>667983</v>
      </c>
      <c r="F1352" s="16">
        <f t="shared" si="78"/>
        <v>0</v>
      </c>
      <c r="G1352">
        <f t="shared" si="75"/>
        <v>0</v>
      </c>
    </row>
    <row r="1353" spans="1:7" ht="15.75" hidden="1" thickBot="1" x14ac:dyDescent="0.3">
      <c r="A1353" s="85" t="s">
        <v>3538</v>
      </c>
      <c r="B1353" s="88" t="s">
        <v>3515</v>
      </c>
      <c r="C1353" s="26" t="s">
        <v>37</v>
      </c>
      <c r="D1353" s="14"/>
      <c r="E1353" s="15">
        <f>+SUM!H1352</f>
        <v>1100934</v>
      </c>
      <c r="F1353" s="16">
        <f t="shared" si="78"/>
        <v>0</v>
      </c>
      <c r="G1353">
        <f t="shared" si="75"/>
        <v>0</v>
      </c>
    </row>
    <row r="1354" spans="1:7" ht="15.75" hidden="1" thickBot="1" x14ac:dyDescent="0.3">
      <c r="A1354" s="85" t="s">
        <v>3539</v>
      </c>
      <c r="B1354" s="88" t="s">
        <v>3516</v>
      </c>
      <c r="C1354" s="26" t="s">
        <v>37</v>
      </c>
      <c r="D1354" s="14"/>
      <c r="E1354" s="15">
        <f>+SUM!H1353</f>
        <v>1168283</v>
      </c>
      <c r="F1354" s="16">
        <f t="shared" si="78"/>
        <v>0</v>
      </c>
      <c r="G1354">
        <f t="shared" si="75"/>
        <v>0</v>
      </c>
    </row>
    <row r="1355" spans="1:7" ht="15.75" hidden="1" thickBot="1" x14ac:dyDescent="0.3">
      <c r="A1355" s="85" t="s">
        <v>3540</v>
      </c>
      <c r="B1355" s="88" t="s">
        <v>3517</v>
      </c>
      <c r="C1355" s="26" t="s">
        <v>37</v>
      </c>
      <c r="D1355" s="14"/>
      <c r="E1355" s="15">
        <f>+SUM!H1354</f>
        <v>1682327</v>
      </c>
      <c r="F1355" s="16">
        <f t="shared" si="78"/>
        <v>0</v>
      </c>
      <c r="G1355">
        <f t="shared" si="75"/>
        <v>0</v>
      </c>
    </row>
    <row r="1356" spans="1:7" ht="15.75" hidden="1" thickBot="1" x14ac:dyDescent="0.3">
      <c r="A1356" s="85" t="s">
        <v>3541</v>
      </c>
      <c r="B1356" s="88" t="s">
        <v>3518</v>
      </c>
      <c r="C1356" s="26" t="s">
        <v>37</v>
      </c>
      <c r="D1356" s="14"/>
      <c r="E1356" s="15">
        <f>+SUM!H1355</f>
        <v>2500125</v>
      </c>
      <c r="F1356" s="16">
        <f t="shared" si="78"/>
        <v>0</v>
      </c>
      <c r="G1356">
        <f t="shared" si="75"/>
        <v>0</v>
      </c>
    </row>
    <row r="1357" spans="1:7" ht="15.75" hidden="1" thickBot="1" x14ac:dyDescent="0.3">
      <c r="A1357" s="85" t="s">
        <v>3542</v>
      </c>
      <c r="B1357" s="88" t="s">
        <v>3519</v>
      </c>
      <c r="C1357" s="26" t="s">
        <v>37</v>
      </c>
      <c r="D1357" s="14"/>
      <c r="E1357" s="15">
        <f>+SUM!H1356</f>
        <v>3334416</v>
      </c>
      <c r="F1357" s="16">
        <f t="shared" si="78"/>
        <v>0</v>
      </c>
      <c r="G1357">
        <f t="shared" si="75"/>
        <v>0</v>
      </c>
    </row>
    <row r="1358" spans="1:7" ht="15.75" hidden="1" thickBot="1" x14ac:dyDescent="0.3">
      <c r="A1358" s="85" t="s">
        <v>3543</v>
      </c>
      <c r="B1358" s="88" t="s">
        <v>3520</v>
      </c>
      <c r="C1358" s="26" t="s">
        <v>37</v>
      </c>
      <c r="D1358" s="14"/>
      <c r="E1358" s="15">
        <f>+SUM!H1357</f>
        <v>4828443</v>
      </c>
      <c r="F1358" s="16">
        <f t="shared" si="78"/>
        <v>0</v>
      </c>
      <c r="G1358">
        <f t="shared" si="75"/>
        <v>0</v>
      </c>
    </row>
    <row r="1359" spans="1:7" ht="15.75" hidden="1" thickBot="1" x14ac:dyDescent="0.3">
      <c r="A1359" s="85" t="s">
        <v>3544</v>
      </c>
      <c r="B1359" s="88" t="s">
        <v>3509</v>
      </c>
      <c r="C1359" s="26" t="s">
        <v>37</v>
      </c>
      <c r="D1359" s="14"/>
      <c r="E1359" s="15">
        <f>+SUM!H1358</f>
        <v>5434575</v>
      </c>
      <c r="F1359" s="16">
        <f t="shared" si="78"/>
        <v>0</v>
      </c>
      <c r="G1359">
        <f t="shared" si="75"/>
        <v>0</v>
      </c>
    </row>
    <row r="1360" spans="1:7" ht="15.75" hidden="1" thickBot="1" x14ac:dyDescent="0.3">
      <c r="A1360" s="78" t="s">
        <v>976</v>
      </c>
      <c r="B1360" s="79" t="s">
        <v>3547</v>
      </c>
      <c r="C1360" s="26"/>
      <c r="D1360" s="14"/>
      <c r="E1360" s="15">
        <f>+SUM!H1359</f>
        <v>0</v>
      </c>
      <c r="F1360" s="16"/>
      <c r="G1360">
        <f t="shared" si="75"/>
        <v>0</v>
      </c>
    </row>
    <row r="1361" spans="1:7" ht="15.75" hidden="1" thickBot="1" x14ac:dyDescent="0.3">
      <c r="A1361" s="85" t="s">
        <v>3548</v>
      </c>
      <c r="B1361" s="88" t="s">
        <v>3511</v>
      </c>
      <c r="C1361" s="26" t="s">
        <v>37</v>
      </c>
      <c r="D1361" s="14"/>
      <c r="E1361" s="15">
        <f>+SUM!H1360</f>
        <v>72846</v>
      </c>
      <c r="F1361" s="16">
        <f t="shared" ref="F1361:F1372" si="79">+D1361*E1361</f>
        <v>0</v>
      </c>
      <c r="G1361">
        <f t="shared" si="75"/>
        <v>0</v>
      </c>
    </row>
    <row r="1362" spans="1:7" ht="15.75" hidden="1" thickBot="1" x14ac:dyDescent="0.3">
      <c r="A1362" s="85" t="s">
        <v>3549</v>
      </c>
      <c r="B1362" s="88" t="s">
        <v>3512</v>
      </c>
      <c r="C1362" s="26" t="s">
        <v>37</v>
      </c>
      <c r="D1362" s="14"/>
      <c r="E1362" s="15">
        <f>+SUM!H1361</f>
        <v>131947</v>
      </c>
      <c r="F1362" s="16">
        <f t="shared" si="79"/>
        <v>0</v>
      </c>
      <c r="G1362">
        <f t="shared" si="75"/>
        <v>0</v>
      </c>
    </row>
    <row r="1363" spans="1:7" ht="15.75" hidden="1" thickBot="1" x14ac:dyDescent="0.3">
      <c r="A1363" s="85" t="s">
        <v>3550</v>
      </c>
      <c r="B1363" s="88" t="s">
        <v>3510</v>
      </c>
      <c r="C1363" s="26" t="s">
        <v>37</v>
      </c>
      <c r="D1363" s="14"/>
      <c r="E1363" s="15">
        <f>+SUM!H1362</f>
        <v>162185</v>
      </c>
      <c r="F1363" s="16">
        <f t="shared" si="79"/>
        <v>0</v>
      </c>
      <c r="G1363">
        <f t="shared" si="75"/>
        <v>0</v>
      </c>
    </row>
    <row r="1364" spans="1:7" ht="15.75" hidden="1" thickBot="1" x14ac:dyDescent="0.3">
      <c r="A1364" s="85" t="s">
        <v>3551</v>
      </c>
      <c r="B1364" s="88" t="s">
        <v>3514</v>
      </c>
      <c r="C1364" s="26" t="s">
        <v>37</v>
      </c>
      <c r="D1364" s="14"/>
      <c r="E1364" s="15">
        <f>+SUM!H1363</f>
        <v>262520</v>
      </c>
      <c r="F1364" s="16">
        <f t="shared" si="79"/>
        <v>0</v>
      </c>
      <c r="G1364">
        <f t="shared" si="75"/>
        <v>0</v>
      </c>
    </row>
    <row r="1365" spans="1:7" ht="15.75" hidden="1" thickBot="1" x14ac:dyDescent="0.3">
      <c r="A1365" s="85" t="s">
        <v>3552</v>
      </c>
      <c r="B1365" s="88" t="s">
        <v>3513</v>
      </c>
      <c r="C1365" s="26" t="s">
        <v>37</v>
      </c>
      <c r="D1365" s="14"/>
      <c r="E1365" s="15">
        <f>+SUM!H1364</f>
        <v>427454</v>
      </c>
      <c r="F1365" s="16">
        <f t="shared" si="79"/>
        <v>0</v>
      </c>
      <c r="G1365">
        <f t="shared" si="75"/>
        <v>0</v>
      </c>
    </row>
    <row r="1366" spans="1:7" ht="15.75" hidden="1" thickBot="1" x14ac:dyDescent="0.3">
      <c r="A1366" s="85" t="s">
        <v>3553</v>
      </c>
      <c r="B1366" s="88" t="s">
        <v>3515</v>
      </c>
      <c r="C1366" s="26" t="s">
        <v>37</v>
      </c>
      <c r="D1366" s="14"/>
      <c r="E1366" s="15">
        <f>+SUM!H1365</f>
        <v>982732</v>
      </c>
      <c r="F1366" s="16">
        <f t="shared" si="79"/>
        <v>0</v>
      </c>
      <c r="G1366">
        <f t="shared" si="75"/>
        <v>0</v>
      </c>
    </row>
    <row r="1367" spans="1:7" ht="15.75" hidden="1" thickBot="1" x14ac:dyDescent="0.3">
      <c r="A1367" s="85" t="s">
        <v>977</v>
      </c>
      <c r="B1367" s="88" t="s">
        <v>3516</v>
      </c>
      <c r="C1367" s="26" t="s">
        <v>37</v>
      </c>
      <c r="D1367" s="14"/>
      <c r="E1367" s="15">
        <f>+SUM!H1366</f>
        <v>1250750</v>
      </c>
      <c r="F1367" s="16">
        <f t="shared" si="79"/>
        <v>0</v>
      </c>
      <c r="G1367">
        <f t="shared" si="75"/>
        <v>0</v>
      </c>
    </row>
    <row r="1368" spans="1:7" ht="15.75" hidden="1" thickBot="1" x14ac:dyDescent="0.3">
      <c r="A1368" s="85" t="s">
        <v>3554</v>
      </c>
      <c r="B1368" s="88" t="s">
        <v>3517</v>
      </c>
      <c r="C1368" s="26" t="s">
        <v>37</v>
      </c>
      <c r="D1368" s="14"/>
      <c r="E1368" s="15">
        <f>+SUM!H1367</f>
        <v>1584741</v>
      </c>
      <c r="F1368" s="16">
        <f t="shared" si="79"/>
        <v>0</v>
      </c>
      <c r="G1368">
        <f t="shared" si="75"/>
        <v>0</v>
      </c>
    </row>
    <row r="1369" spans="1:7" ht="15.75" hidden="1" thickBot="1" x14ac:dyDescent="0.3">
      <c r="A1369" s="85" t="s">
        <v>3555</v>
      </c>
      <c r="B1369" s="88" t="s">
        <v>3518</v>
      </c>
      <c r="C1369" s="26" t="s">
        <v>37</v>
      </c>
      <c r="D1369" s="14"/>
      <c r="E1369" s="15">
        <f>+SUM!H1368</f>
        <v>2083666</v>
      </c>
      <c r="F1369" s="16">
        <f t="shared" si="79"/>
        <v>0</v>
      </c>
      <c r="G1369">
        <f t="shared" si="75"/>
        <v>0</v>
      </c>
    </row>
    <row r="1370" spans="1:7" ht="15.75" hidden="1" thickBot="1" x14ac:dyDescent="0.3">
      <c r="A1370" s="85" t="s">
        <v>3556</v>
      </c>
      <c r="B1370" s="88" t="s">
        <v>3519</v>
      </c>
      <c r="C1370" s="26" t="s">
        <v>37</v>
      </c>
      <c r="D1370" s="14"/>
      <c r="E1370" s="15">
        <f>+SUM!H1369</f>
        <v>2982557</v>
      </c>
      <c r="F1370" s="16">
        <f t="shared" si="79"/>
        <v>0</v>
      </c>
      <c r="G1370">
        <f t="shared" si="75"/>
        <v>0</v>
      </c>
    </row>
    <row r="1371" spans="1:7" ht="15.75" hidden="1" thickBot="1" x14ac:dyDescent="0.3">
      <c r="A1371" s="85" t="s">
        <v>3557</v>
      </c>
      <c r="B1371" s="88" t="s">
        <v>3520</v>
      </c>
      <c r="C1371" s="26" t="s">
        <v>37</v>
      </c>
      <c r="D1371" s="14"/>
      <c r="E1371" s="15">
        <f>+SUM!H1370</f>
        <v>5284760</v>
      </c>
      <c r="F1371" s="16">
        <f t="shared" si="79"/>
        <v>0</v>
      </c>
      <c r="G1371">
        <f t="shared" si="75"/>
        <v>0</v>
      </c>
    </row>
    <row r="1372" spans="1:7" ht="15.75" hidden="1" thickBot="1" x14ac:dyDescent="0.3">
      <c r="A1372" s="85" t="s">
        <v>3558</v>
      </c>
      <c r="B1372" s="88" t="s">
        <v>3509</v>
      </c>
      <c r="C1372" s="26" t="s">
        <v>37</v>
      </c>
      <c r="D1372" s="14"/>
      <c r="E1372" s="15">
        <f>+SUM!H1371</f>
        <v>4970011</v>
      </c>
      <c r="F1372" s="16">
        <f t="shared" si="79"/>
        <v>0</v>
      </c>
      <c r="G1372">
        <f t="shared" si="75"/>
        <v>0</v>
      </c>
    </row>
    <row r="1373" spans="1:7" ht="15.75" hidden="1" thickBot="1" x14ac:dyDescent="0.3">
      <c r="A1373" s="78" t="s">
        <v>978</v>
      </c>
      <c r="B1373" s="79" t="s">
        <v>3570</v>
      </c>
      <c r="C1373" s="26"/>
      <c r="D1373" s="14"/>
      <c r="E1373" s="15">
        <f>+SUM!H1372</f>
        <v>0</v>
      </c>
      <c r="F1373" s="16"/>
    </row>
    <row r="1374" spans="1:7" ht="15.75" hidden="1" thickBot="1" x14ac:dyDescent="0.3">
      <c r="A1374" s="85" t="s">
        <v>3559</v>
      </c>
      <c r="B1374" s="88" t="s">
        <v>3511</v>
      </c>
      <c r="C1374" s="26" t="s">
        <v>37</v>
      </c>
      <c r="D1374" s="14"/>
      <c r="E1374" s="15">
        <f>+SUM!H1373</f>
        <v>65974</v>
      </c>
      <c r="F1374" s="16">
        <f t="shared" ref="F1374:F1385" si="80">+D1374*E1374</f>
        <v>0</v>
      </c>
      <c r="G1374">
        <f t="shared" si="75"/>
        <v>0</v>
      </c>
    </row>
    <row r="1375" spans="1:7" ht="15.75" hidden="1" thickBot="1" x14ac:dyDescent="0.3">
      <c r="A1375" s="85" t="s">
        <v>3560</v>
      </c>
      <c r="B1375" s="88" t="s">
        <v>3512</v>
      </c>
      <c r="C1375" s="26" t="s">
        <v>37</v>
      </c>
      <c r="D1375" s="14"/>
      <c r="E1375" s="15">
        <f>+SUM!H1374</f>
        <v>109956</v>
      </c>
      <c r="F1375" s="16">
        <f t="shared" si="80"/>
        <v>0</v>
      </c>
      <c r="G1375">
        <f t="shared" si="75"/>
        <v>0</v>
      </c>
    </row>
    <row r="1376" spans="1:7" ht="15.75" hidden="1" thickBot="1" x14ac:dyDescent="0.3">
      <c r="A1376" s="85" t="s">
        <v>3561</v>
      </c>
      <c r="B1376" s="88" t="s">
        <v>3510</v>
      </c>
      <c r="C1376" s="26" t="s">
        <v>37</v>
      </c>
      <c r="D1376" s="14"/>
      <c r="E1376" s="15">
        <f>+SUM!H1375</f>
        <v>131947</v>
      </c>
      <c r="F1376" s="16">
        <f t="shared" si="80"/>
        <v>0</v>
      </c>
      <c r="G1376">
        <f t="shared" si="75"/>
        <v>0</v>
      </c>
    </row>
    <row r="1377" spans="1:7" ht="15.75" hidden="1" thickBot="1" x14ac:dyDescent="0.3">
      <c r="A1377" s="85" t="s">
        <v>3562</v>
      </c>
      <c r="B1377" s="88" t="s">
        <v>3514</v>
      </c>
      <c r="C1377" s="26" t="s">
        <v>37</v>
      </c>
      <c r="D1377" s="14"/>
      <c r="E1377" s="15">
        <f>+SUM!H1376</f>
        <v>251524</v>
      </c>
      <c r="F1377" s="16">
        <f t="shared" si="80"/>
        <v>0</v>
      </c>
      <c r="G1377">
        <f t="shared" si="75"/>
        <v>0</v>
      </c>
    </row>
    <row r="1378" spans="1:7" ht="15.75" hidden="1" thickBot="1" x14ac:dyDescent="0.3">
      <c r="A1378" s="85" t="s">
        <v>3563</v>
      </c>
      <c r="B1378" s="88" t="s">
        <v>3513</v>
      </c>
      <c r="C1378" s="26" t="s">
        <v>37</v>
      </c>
      <c r="D1378" s="14"/>
      <c r="E1378" s="15">
        <f>+SUM!H1377</f>
        <v>417833</v>
      </c>
      <c r="F1378" s="16">
        <f t="shared" si="80"/>
        <v>0</v>
      </c>
      <c r="G1378">
        <f t="shared" si="75"/>
        <v>0</v>
      </c>
    </row>
    <row r="1379" spans="1:7" ht="15.75" hidden="1" thickBot="1" x14ac:dyDescent="0.3">
      <c r="A1379" s="85" t="s">
        <v>3564</v>
      </c>
      <c r="B1379" s="88" t="s">
        <v>3515</v>
      </c>
      <c r="C1379" s="26" t="s">
        <v>37</v>
      </c>
      <c r="D1379" s="14"/>
      <c r="E1379" s="15">
        <f>+SUM!H1378</f>
        <v>751824</v>
      </c>
      <c r="F1379" s="16">
        <f t="shared" si="80"/>
        <v>0</v>
      </c>
      <c r="G1379">
        <f t="shared" si="75"/>
        <v>0</v>
      </c>
    </row>
    <row r="1380" spans="1:7" ht="15.75" hidden="1" thickBot="1" x14ac:dyDescent="0.3">
      <c r="A1380" s="85" t="s">
        <v>3565</v>
      </c>
      <c r="B1380" s="88" t="s">
        <v>3516</v>
      </c>
      <c r="C1380" s="26" t="s">
        <v>37</v>
      </c>
      <c r="D1380" s="14"/>
      <c r="E1380" s="15">
        <f>+SUM!H1379</f>
        <v>1084441</v>
      </c>
      <c r="F1380" s="16">
        <f t="shared" si="80"/>
        <v>0</v>
      </c>
      <c r="G1380">
        <f t="shared" ref="G1380:G1443" si="81">+IF(F1380&lt;&gt;0,1,0)</f>
        <v>0</v>
      </c>
    </row>
    <row r="1381" spans="1:7" ht="15.75" hidden="1" thickBot="1" x14ac:dyDescent="0.3">
      <c r="A1381" s="85" t="s">
        <v>3566</v>
      </c>
      <c r="B1381" s="88" t="s">
        <v>3517</v>
      </c>
      <c r="C1381" s="26" t="s">
        <v>37</v>
      </c>
      <c r="D1381" s="14"/>
      <c r="E1381" s="15">
        <f>+SUM!H1380</f>
        <v>1584741</v>
      </c>
      <c r="F1381" s="16">
        <f t="shared" si="80"/>
        <v>0</v>
      </c>
      <c r="G1381">
        <f t="shared" si="81"/>
        <v>0</v>
      </c>
    </row>
    <row r="1382" spans="1:7" ht="15.75" hidden="1" thickBot="1" x14ac:dyDescent="0.3">
      <c r="A1382" s="85" t="s">
        <v>3567</v>
      </c>
      <c r="B1382" s="88" t="s">
        <v>3518</v>
      </c>
      <c r="C1382" s="26" t="s">
        <v>37</v>
      </c>
      <c r="D1382" s="14"/>
      <c r="E1382" s="15">
        <f>+SUM!H1381</f>
        <v>2083666</v>
      </c>
      <c r="F1382" s="16">
        <f t="shared" si="80"/>
        <v>0</v>
      </c>
      <c r="G1382">
        <f t="shared" si="81"/>
        <v>0</v>
      </c>
    </row>
    <row r="1383" spans="1:7" ht="15.75" hidden="1" thickBot="1" x14ac:dyDescent="0.3">
      <c r="A1383" s="85" t="s">
        <v>3568</v>
      </c>
      <c r="B1383" s="88" t="s">
        <v>3519</v>
      </c>
      <c r="C1383" s="26" t="s">
        <v>37</v>
      </c>
      <c r="D1383" s="14"/>
      <c r="E1383" s="15">
        <f>+SUM!H1382</f>
        <v>2909711</v>
      </c>
      <c r="F1383" s="16">
        <f t="shared" si="80"/>
        <v>0</v>
      </c>
      <c r="G1383">
        <f t="shared" si="81"/>
        <v>0</v>
      </c>
    </row>
    <row r="1384" spans="1:7" ht="15.75" hidden="1" thickBot="1" x14ac:dyDescent="0.3">
      <c r="A1384" s="85" t="s">
        <v>3569</v>
      </c>
      <c r="B1384" s="88" t="s">
        <v>3520</v>
      </c>
      <c r="C1384" s="26" t="s">
        <v>37</v>
      </c>
      <c r="D1384" s="14"/>
      <c r="E1384" s="15">
        <f>+SUM!H1383</f>
        <v>3976284</v>
      </c>
      <c r="F1384" s="16">
        <f t="shared" si="80"/>
        <v>0</v>
      </c>
      <c r="G1384">
        <f t="shared" si="81"/>
        <v>0</v>
      </c>
    </row>
    <row r="1385" spans="1:7" ht="15.75" hidden="1" thickBot="1" x14ac:dyDescent="0.3">
      <c r="A1385" s="85" t="s">
        <v>3571</v>
      </c>
      <c r="B1385" s="88" t="s">
        <v>3509</v>
      </c>
      <c r="C1385" s="26" t="s">
        <v>37</v>
      </c>
      <c r="D1385" s="14"/>
      <c r="E1385" s="15">
        <f>+SUM!H1384</f>
        <v>4027139</v>
      </c>
      <c r="F1385" s="16">
        <f t="shared" si="80"/>
        <v>0</v>
      </c>
      <c r="G1385">
        <f t="shared" si="81"/>
        <v>0</v>
      </c>
    </row>
    <row r="1386" spans="1:7" ht="15.75" hidden="1" thickBot="1" x14ac:dyDescent="0.3">
      <c r="A1386" s="78" t="s">
        <v>3576</v>
      </c>
      <c r="B1386" s="79" t="s">
        <v>3572</v>
      </c>
      <c r="C1386" s="26"/>
      <c r="D1386" s="14"/>
      <c r="E1386" s="15"/>
      <c r="F1386" s="16"/>
      <c r="G1386">
        <f t="shared" si="81"/>
        <v>0</v>
      </c>
    </row>
    <row r="1387" spans="1:7" ht="15.75" hidden="1" thickBot="1" x14ac:dyDescent="0.3">
      <c r="A1387" s="85" t="s">
        <v>3577</v>
      </c>
      <c r="B1387" s="88" t="s">
        <v>3511</v>
      </c>
      <c r="C1387" s="26" t="s">
        <v>37</v>
      </c>
      <c r="D1387" s="14"/>
      <c r="E1387" s="15"/>
      <c r="F1387" s="16">
        <f t="shared" ref="F1387:F1398" si="82">+D1387*E1387</f>
        <v>0</v>
      </c>
      <c r="G1387">
        <f t="shared" si="81"/>
        <v>0</v>
      </c>
    </row>
    <row r="1388" spans="1:7" ht="15.75" hidden="1" thickBot="1" x14ac:dyDescent="0.3">
      <c r="A1388" s="85" t="s">
        <v>3578</v>
      </c>
      <c r="B1388" s="88" t="s">
        <v>3512</v>
      </c>
      <c r="C1388" s="26" t="s">
        <v>37</v>
      </c>
      <c r="D1388" s="14"/>
      <c r="E1388" s="15"/>
      <c r="F1388" s="16">
        <f t="shared" si="82"/>
        <v>0</v>
      </c>
      <c r="G1388">
        <f t="shared" si="81"/>
        <v>0</v>
      </c>
    </row>
    <row r="1389" spans="1:7" ht="15.75" hidden="1" thickBot="1" x14ac:dyDescent="0.3">
      <c r="A1389" s="85" t="s">
        <v>3579</v>
      </c>
      <c r="B1389" s="88" t="s">
        <v>3510</v>
      </c>
      <c r="C1389" s="26" t="s">
        <v>37</v>
      </c>
      <c r="D1389" s="14"/>
      <c r="E1389" s="15"/>
      <c r="F1389" s="16">
        <f t="shared" si="82"/>
        <v>0</v>
      </c>
      <c r="G1389">
        <f t="shared" si="81"/>
        <v>0</v>
      </c>
    </row>
    <row r="1390" spans="1:7" ht="15.75" hidden="1" thickBot="1" x14ac:dyDescent="0.3">
      <c r="A1390" s="85" t="s">
        <v>3580</v>
      </c>
      <c r="B1390" s="88" t="s">
        <v>3514</v>
      </c>
      <c r="C1390" s="26" t="s">
        <v>37</v>
      </c>
      <c r="D1390" s="14"/>
      <c r="E1390" s="15"/>
      <c r="F1390" s="16">
        <f t="shared" si="82"/>
        <v>0</v>
      </c>
      <c r="G1390">
        <f t="shared" si="81"/>
        <v>0</v>
      </c>
    </row>
    <row r="1391" spans="1:7" ht="15.75" hidden="1" thickBot="1" x14ac:dyDescent="0.3">
      <c r="A1391" s="85" t="s">
        <v>3581</v>
      </c>
      <c r="B1391" s="88" t="s">
        <v>3513</v>
      </c>
      <c r="C1391" s="26" t="s">
        <v>37</v>
      </c>
      <c r="D1391" s="14"/>
      <c r="E1391" s="15"/>
      <c r="F1391" s="16">
        <f t="shared" si="82"/>
        <v>0</v>
      </c>
      <c r="G1391">
        <f t="shared" si="81"/>
        <v>0</v>
      </c>
    </row>
    <row r="1392" spans="1:7" ht="15.75" hidden="1" thickBot="1" x14ac:dyDescent="0.3">
      <c r="A1392" s="85" t="s">
        <v>3582</v>
      </c>
      <c r="B1392" s="88" t="s">
        <v>3515</v>
      </c>
      <c r="C1392" s="26" t="s">
        <v>37</v>
      </c>
      <c r="D1392" s="14"/>
      <c r="E1392" s="15"/>
      <c r="F1392" s="16">
        <f t="shared" si="82"/>
        <v>0</v>
      </c>
      <c r="G1392">
        <f t="shared" si="81"/>
        <v>0</v>
      </c>
    </row>
    <row r="1393" spans="1:7" ht="15.75" hidden="1" thickBot="1" x14ac:dyDescent="0.3">
      <c r="A1393" s="85" t="s">
        <v>3583</v>
      </c>
      <c r="B1393" s="88" t="s">
        <v>3516</v>
      </c>
      <c r="C1393" s="26" t="s">
        <v>37</v>
      </c>
      <c r="D1393" s="14"/>
      <c r="E1393" s="15"/>
      <c r="F1393" s="16">
        <f t="shared" si="82"/>
        <v>0</v>
      </c>
      <c r="G1393">
        <f t="shared" si="81"/>
        <v>0</v>
      </c>
    </row>
    <row r="1394" spans="1:7" ht="15.75" hidden="1" thickBot="1" x14ac:dyDescent="0.3">
      <c r="A1394" s="85" t="s">
        <v>3584</v>
      </c>
      <c r="B1394" s="88" t="s">
        <v>3517</v>
      </c>
      <c r="C1394" s="26" t="s">
        <v>37</v>
      </c>
      <c r="D1394" s="14"/>
      <c r="E1394" s="15"/>
      <c r="F1394" s="16">
        <f t="shared" si="82"/>
        <v>0</v>
      </c>
      <c r="G1394">
        <f t="shared" si="81"/>
        <v>0</v>
      </c>
    </row>
    <row r="1395" spans="1:7" ht="15.75" hidden="1" thickBot="1" x14ac:dyDescent="0.3">
      <c r="A1395" s="85" t="s">
        <v>3585</v>
      </c>
      <c r="B1395" s="88" t="s">
        <v>3518</v>
      </c>
      <c r="C1395" s="26" t="s">
        <v>37</v>
      </c>
      <c r="D1395" s="14"/>
      <c r="E1395" s="15"/>
      <c r="F1395" s="16">
        <f t="shared" si="82"/>
        <v>0</v>
      </c>
      <c r="G1395">
        <f t="shared" si="81"/>
        <v>0</v>
      </c>
    </row>
    <row r="1396" spans="1:7" ht="15.75" hidden="1" thickBot="1" x14ac:dyDescent="0.3">
      <c r="A1396" s="85" t="s">
        <v>3586</v>
      </c>
      <c r="B1396" s="88" t="s">
        <v>3519</v>
      </c>
      <c r="C1396" s="26" t="s">
        <v>37</v>
      </c>
      <c r="D1396" s="14"/>
      <c r="E1396" s="15"/>
      <c r="F1396" s="16">
        <f t="shared" si="82"/>
        <v>0</v>
      </c>
      <c r="G1396">
        <f t="shared" si="81"/>
        <v>0</v>
      </c>
    </row>
    <row r="1397" spans="1:7" ht="15.75" hidden="1" thickBot="1" x14ac:dyDescent="0.3">
      <c r="A1397" s="85" t="s">
        <v>3587</v>
      </c>
      <c r="B1397" s="88" t="s">
        <v>3520</v>
      </c>
      <c r="C1397" s="26" t="s">
        <v>37</v>
      </c>
      <c r="D1397" s="14"/>
      <c r="E1397" s="15"/>
      <c r="F1397" s="16">
        <f t="shared" si="82"/>
        <v>0</v>
      </c>
      <c r="G1397">
        <f t="shared" si="81"/>
        <v>0</v>
      </c>
    </row>
    <row r="1398" spans="1:7" ht="15.75" hidden="1" thickBot="1" x14ac:dyDescent="0.3">
      <c r="A1398" s="85" t="s">
        <v>3588</v>
      </c>
      <c r="B1398" s="88" t="s">
        <v>3509</v>
      </c>
      <c r="C1398" s="26" t="s">
        <v>37</v>
      </c>
      <c r="D1398" s="14"/>
      <c r="E1398" s="15"/>
      <c r="F1398" s="16">
        <f t="shared" si="82"/>
        <v>0</v>
      </c>
      <c r="G1398">
        <f t="shared" si="81"/>
        <v>0</v>
      </c>
    </row>
    <row r="1399" spans="1:7" ht="15.75" hidden="1" thickBot="1" x14ac:dyDescent="0.3">
      <c r="A1399" s="78" t="s">
        <v>3589</v>
      </c>
      <c r="B1399" s="79" t="s">
        <v>3573</v>
      </c>
      <c r="C1399" s="26"/>
      <c r="D1399" s="14"/>
      <c r="E1399" s="15"/>
      <c r="F1399" s="16"/>
      <c r="G1399">
        <f t="shared" si="81"/>
        <v>0</v>
      </c>
    </row>
    <row r="1400" spans="1:7" ht="15.75" hidden="1" thickBot="1" x14ac:dyDescent="0.3">
      <c r="A1400" s="85" t="s">
        <v>3590</v>
      </c>
      <c r="B1400" s="88" t="s">
        <v>3511</v>
      </c>
      <c r="C1400" s="26" t="s">
        <v>37</v>
      </c>
      <c r="D1400" s="14"/>
      <c r="E1400" s="15"/>
      <c r="F1400" s="16">
        <f t="shared" ref="F1400:F1411" si="83">+D1400*E1400</f>
        <v>0</v>
      </c>
      <c r="G1400">
        <f t="shared" si="81"/>
        <v>0</v>
      </c>
    </row>
    <row r="1401" spans="1:7" ht="15.75" hidden="1" thickBot="1" x14ac:dyDescent="0.3">
      <c r="A1401" s="85" t="s">
        <v>3591</v>
      </c>
      <c r="B1401" s="88" t="s">
        <v>3512</v>
      </c>
      <c r="C1401" s="26" t="s">
        <v>37</v>
      </c>
      <c r="D1401" s="14"/>
      <c r="E1401" s="15"/>
      <c r="F1401" s="16">
        <f t="shared" si="83"/>
        <v>0</v>
      </c>
      <c r="G1401">
        <f t="shared" si="81"/>
        <v>0</v>
      </c>
    </row>
    <row r="1402" spans="1:7" ht="15.75" hidden="1" thickBot="1" x14ac:dyDescent="0.3">
      <c r="A1402" s="85" t="s">
        <v>3592</v>
      </c>
      <c r="B1402" s="88" t="s">
        <v>3510</v>
      </c>
      <c r="C1402" s="26" t="s">
        <v>37</v>
      </c>
      <c r="D1402" s="14"/>
      <c r="E1402" s="15"/>
      <c r="F1402" s="16">
        <f t="shared" si="83"/>
        <v>0</v>
      </c>
      <c r="G1402">
        <f t="shared" si="81"/>
        <v>0</v>
      </c>
    </row>
    <row r="1403" spans="1:7" ht="15.75" hidden="1" thickBot="1" x14ac:dyDescent="0.3">
      <c r="A1403" s="85" t="s">
        <v>3593</v>
      </c>
      <c r="B1403" s="88" t="s">
        <v>3514</v>
      </c>
      <c r="C1403" s="26" t="s">
        <v>37</v>
      </c>
      <c r="D1403" s="14"/>
      <c r="E1403" s="15"/>
      <c r="F1403" s="16">
        <f t="shared" si="83"/>
        <v>0</v>
      </c>
      <c r="G1403">
        <f t="shared" si="81"/>
        <v>0</v>
      </c>
    </row>
    <row r="1404" spans="1:7" ht="15.75" hidden="1" thickBot="1" x14ac:dyDescent="0.3">
      <c r="A1404" s="85" t="s">
        <v>3594</v>
      </c>
      <c r="B1404" s="88" t="s">
        <v>3513</v>
      </c>
      <c r="C1404" s="26" t="s">
        <v>37</v>
      </c>
      <c r="D1404" s="14"/>
      <c r="E1404" s="15"/>
      <c r="F1404" s="16">
        <f t="shared" si="83"/>
        <v>0</v>
      </c>
      <c r="G1404">
        <f t="shared" si="81"/>
        <v>0</v>
      </c>
    </row>
    <row r="1405" spans="1:7" ht="15.75" hidden="1" thickBot="1" x14ac:dyDescent="0.3">
      <c r="A1405" s="85" t="s">
        <v>979</v>
      </c>
      <c r="B1405" s="88" t="s">
        <v>3515</v>
      </c>
      <c r="C1405" s="26" t="s">
        <v>37</v>
      </c>
      <c r="D1405" s="14"/>
      <c r="E1405" s="15"/>
      <c r="F1405" s="16">
        <f t="shared" si="83"/>
        <v>0</v>
      </c>
      <c r="G1405">
        <f t="shared" si="81"/>
        <v>0</v>
      </c>
    </row>
    <row r="1406" spans="1:7" ht="15.75" hidden="1" thickBot="1" x14ac:dyDescent="0.3">
      <c r="A1406" s="85" t="s">
        <v>980</v>
      </c>
      <c r="B1406" s="88" t="s">
        <v>3516</v>
      </c>
      <c r="C1406" s="26" t="s">
        <v>37</v>
      </c>
      <c r="D1406" s="14"/>
      <c r="E1406" s="15"/>
      <c r="F1406" s="16">
        <f t="shared" si="83"/>
        <v>0</v>
      </c>
      <c r="G1406">
        <f t="shared" si="81"/>
        <v>0</v>
      </c>
    </row>
    <row r="1407" spans="1:7" ht="15.75" hidden="1" thickBot="1" x14ac:dyDescent="0.3">
      <c r="A1407" s="85" t="s">
        <v>3595</v>
      </c>
      <c r="B1407" s="88" t="s">
        <v>3517</v>
      </c>
      <c r="C1407" s="26" t="s">
        <v>37</v>
      </c>
      <c r="D1407" s="14"/>
      <c r="E1407" s="15"/>
      <c r="F1407" s="16">
        <f t="shared" si="83"/>
        <v>0</v>
      </c>
      <c r="G1407">
        <f t="shared" si="81"/>
        <v>0</v>
      </c>
    </row>
    <row r="1408" spans="1:7" ht="15.75" hidden="1" thickBot="1" x14ac:dyDescent="0.3">
      <c r="A1408" s="85" t="s">
        <v>3596</v>
      </c>
      <c r="B1408" s="88" t="s">
        <v>3518</v>
      </c>
      <c r="C1408" s="26" t="s">
        <v>37</v>
      </c>
      <c r="D1408" s="14"/>
      <c r="E1408" s="15"/>
      <c r="F1408" s="16">
        <f t="shared" si="83"/>
        <v>0</v>
      </c>
      <c r="G1408">
        <f t="shared" si="81"/>
        <v>0</v>
      </c>
    </row>
    <row r="1409" spans="1:7" ht="15.75" hidden="1" thickBot="1" x14ac:dyDescent="0.3">
      <c r="A1409" s="85" t="s">
        <v>3597</v>
      </c>
      <c r="B1409" s="88" t="s">
        <v>3519</v>
      </c>
      <c r="C1409" s="26" t="s">
        <v>37</v>
      </c>
      <c r="D1409" s="14"/>
      <c r="E1409" s="15"/>
      <c r="F1409" s="16">
        <f t="shared" si="83"/>
        <v>0</v>
      </c>
      <c r="G1409">
        <f t="shared" si="81"/>
        <v>0</v>
      </c>
    </row>
    <row r="1410" spans="1:7" ht="15.75" hidden="1" thickBot="1" x14ac:dyDescent="0.3">
      <c r="A1410" s="85" t="s">
        <v>3598</v>
      </c>
      <c r="B1410" s="88" t="s">
        <v>3520</v>
      </c>
      <c r="C1410" s="26" t="s">
        <v>37</v>
      </c>
      <c r="D1410" s="14"/>
      <c r="E1410" s="15"/>
      <c r="F1410" s="16">
        <f t="shared" si="83"/>
        <v>0</v>
      </c>
      <c r="G1410">
        <f t="shared" si="81"/>
        <v>0</v>
      </c>
    </row>
    <row r="1411" spans="1:7" ht="15.75" hidden="1" thickBot="1" x14ac:dyDescent="0.3">
      <c r="A1411" s="85" t="s">
        <v>3599</v>
      </c>
      <c r="B1411" s="88" t="s">
        <v>3509</v>
      </c>
      <c r="C1411" s="26" t="s">
        <v>37</v>
      </c>
      <c r="D1411" s="14"/>
      <c r="E1411" s="15"/>
      <c r="F1411" s="16">
        <f t="shared" si="83"/>
        <v>0</v>
      </c>
      <c r="G1411">
        <f t="shared" si="81"/>
        <v>0</v>
      </c>
    </row>
    <row r="1412" spans="1:7" ht="15.75" hidden="1" thickBot="1" x14ac:dyDescent="0.3">
      <c r="A1412" s="78" t="s">
        <v>981</v>
      </c>
      <c r="B1412" s="79" t="s">
        <v>3574</v>
      </c>
      <c r="C1412" s="26"/>
      <c r="D1412" s="14"/>
      <c r="E1412" s="15"/>
      <c r="F1412" s="16"/>
      <c r="G1412">
        <f t="shared" si="81"/>
        <v>0</v>
      </c>
    </row>
    <row r="1413" spans="1:7" ht="15.75" hidden="1" thickBot="1" x14ac:dyDescent="0.3">
      <c r="A1413" s="85" t="s">
        <v>3600</v>
      </c>
      <c r="B1413" s="88" t="s">
        <v>3511</v>
      </c>
      <c r="C1413" s="26" t="s">
        <v>37</v>
      </c>
      <c r="D1413" s="14"/>
      <c r="E1413" s="15"/>
      <c r="F1413" s="16">
        <f t="shared" ref="F1413:F1424" si="84">+D1413*E1413</f>
        <v>0</v>
      </c>
      <c r="G1413">
        <f t="shared" si="81"/>
        <v>0</v>
      </c>
    </row>
    <row r="1414" spans="1:7" ht="15.75" hidden="1" thickBot="1" x14ac:dyDescent="0.3">
      <c r="A1414" s="85" t="s">
        <v>3601</v>
      </c>
      <c r="B1414" s="88" t="s">
        <v>3512</v>
      </c>
      <c r="C1414" s="26" t="s">
        <v>37</v>
      </c>
      <c r="D1414" s="14"/>
      <c r="E1414" s="15"/>
      <c r="F1414" s="16">
        <f t="shared" si="84"/>
        <v>0</v>
      </c>
      <c r="G1414">
        <f t="shared" si="81"/>
        <v>0</v>
      </c>
    </row>
    <row r="1415" spans="1:7" ht="15.75" hidden="1" thickBot="1" x14ac:dyDescent="0.3">
      <c r="A1415" s="85" t="s">
        <v>3602</v>
      </c>
      <c r="B1415" s="88" t="s">
        <v>3510</v>
      </c>
      <c r="C1415" s="26" t="s">
        <v>37</v>
      </c>
      <c r="D1415" s="14"/>
      <c r="E1415" s="15"/>
      <c r="F1415" s="16">
        <f t="shared" si="84"/>
        <v>0</v>
      </c>
      <c r="G1415">
        <f t="shared" si="81"/>
        <v>0</v>
      </c>
    </row>
    <row r="1416" spans="1:7" ht="15.75" hidden="1" thickBot="1" x14ac:dyDescent="0.3">
      <c r="A1416" s="85" t="s">
        <v>3603</v>
      </c>
      <c r="B1416" s="88" t="s">
        <v>3514</v>
      </c>
      <c r="C1416" s="26" t="s">
        <v>37</v>
      </c>
      <c r="D1416" s="14"/>
      <c r="E1416" s="15"/>
      <c r="F1416" s="16">
        <f t="shared" si="84"/>
        <v>0</v>
      </c>
      <c r="G1416">
        <f t="shared" si="81"/>
        <v>0</v>
      </c>
    </row>
    <row r="1417" spans="1:7" ht="15.75" hidden="1" thickBot="1" x14ac:dyDescent="0.3">
      <c r="A1417" s="85" t="s">
        <v>3604</v>
      </c>
      <c r="B1417" s="88" t="s">
        <v>3513</v>
      </c>
      <c r="C1417" s="26" t="s">
        <v>37</v>
      </c>
      <c r="D1417" s="14"/>
      <c r="E1417" s="15"/>
      <c r="F1417" s="16">
        <f t="shared" si="84"/>
        <v>0</v>
      </c>
      <c r="G1417">
        <f t="shared" si="81"/>
        <v>0</v>
      </c>
    </row>
    <row r="1418" spans="1:7" ht="15.75" hidden="1" thickBot="1" x14ac:dyDescent="0.3">
      <c r="A1418" s="85" t="s">
        <v>3605</v>
      </c>
      <c r="B1418" s="88" t="s">
        <v>3515</v>
      </c>
      <c r="C1418" s="26" t="s">
        <v>37</v>
      </c>
      <c r="D1418" s="14"/>
      <c r="E1418" s="15"/>
      <c r="F1418" s="16">
        <f t="shared" si="84"/>
        <v>0</v>
      </c>
      <c r="G1418">
        <f t="shared" si="81"/>
        <v>0</v>
      </c>
    </row>
    <row r="1419" spans="1:7" ht="15.75" hidden="1" thickBot="1" x14ac:dyDescent="0.3">
      <c r="A1419" s="85" t="s">
        <v>982</v>
      </c>
      <c r="B1419" s="88" t="s">
        <v>3516</v>
      </c>
      <c r="C1419" s="26" t="s">
        <v>37</v>
      </c>
      <c r="D1419" s="14"/>
      <c r="E1419" s="15"/>
      <c r="F1419" s="16">
        <f t="shared" si="84"/>
        <v>0</v>
      </c>
      <c r="G1419">
        <f t="shared" si="81"/>
        <v>0</v>
      </c>
    </row>
    <row r="1420" spans="1:7" ht="15.75" hidden="1" thickBot="1" x14ac:dyDescent="0.3">
      <c r="A1420" s="85" t="s">
        <v>3606</v>
      </c>
      <c r="B1420" s="88" t="s">
        <v>3517</v>
      </c>
      <c r="C1420" s="26" t="s">
        <v>37</v>
      </c>
      <c r="D1420" s="14"/>
      <c r="E1420" s="15"/>
      <c r="F1420" s="16">
        <f t="shared" si="84"/>
        <v>0</v>
      </c>
      <c r="G1420">
        <f t="shared" si="81"/>
        <v>0</v>
      </c>
    </row>
    <row r="1421" spans="1:7" ht="15.75" hidden="1" thickBot="1" x14ac:dyDescent="0.3">
      <c r="A1421" s="85" t="s">
        <v>3607</v>
      </c>
      <c r="B1421" s="88" t="s">
        <v>3518</v>
      </c>
      <c r="C1421" s="26" t="s">
        <v>37</v>
      </c>
      <c r="D1421" s="14"/>
      <c r="E1421" s="15"/>
      <c r="F1421" s="16">
        <f t="shared" si="84"/>
        <v>0</v>
      </c>
      <c r="G1421">
        <f t="shared" si="81"/>
        <v>0</v>
      </c>
    </row>
    <row r="1422" spans="1:7" ht="15.75" hidden="1" thickBot="1" x14ac:dyDescent="0.3">
      <c r="A1422" s="85" t="s">
        <v>3608</v>
      </c>
      <c r="B1422" s="88" t="s">
        <v>3519</v>
      </c>
      <c r="C1422" s="26" t="s">
        <v>37</v>
      </c>
      <c r="D1422" s="14"/>
      <c r="E1422" s="15"/>
      <c r="F1422" s="16">
        <f t="shared" si="84"/>
        <v>0</v>
      </c>
      <c r="G1422">
        <f t="shared" si="81"/>
        <v>0</v>
      </c>
    </row>
    <row r="1423" spans="1:7" ht="15.75" hidden="1" thickBot="1" x14ac:dyDescent="0.3">
      <c r="A1423" s="85" t="s">
        <v>3609</v>
      </c>
      <c r="B1423" s="88" t="s">
        <v>3520</v>
      </c>
      <c r="C1423" s="26" t="s">
        <v>37</v>
      </c>
      <c r="D1423" s="14"/>
      <c r="E1423" s="15"/>
      <c r="F1423" s="16">
        <f t="shared" si="84"/>
        <v>0</v>
      </c>
      <c r="G1423">
        <f t="shared" si="81"/>
        <v>0</v>
      </c>
    </row>
    <row r="1424" spans="1:7" ht="15.75" hidden="1" thickBot="1" x14ac:dyDescent="0.3">
      <c r="A1424" s="85" t="s">
        <v>3610</v>
      </c>
      <c r="B1424" s="88" t="s">
        <v>3509</v>
      </c>
      <c r="C1424" s="26" t="s">
        <v>37</v>
      </c>
      <c r="D1424" s="14"/>
      <c r="E1424" s="15"/>
      <c r="F1424" s="16">
        <f t="shared" si="84"/>
        <v>0</v>
      </c>
      <c r="G1424">
        <f t="shared" si="81"/>
        <v>0</v>
      </c>
    </row>
    <row r="1425" spans="1:7" ht="15.75" hidden="1" thickBot="1" x14ac:dyDescent="0.3">
      <c r="A1425" s="78" t="s">
        <v>983</v>
      </c>
      <c r="B1425" s="79" t="s">
        <v>3575</v>
      </c>
      <c r="C1425" s="26"/>
      <c r="D1425" s="14"/>
      <c r="E1425" s="15"/>
      <c r="F1425" s="16"/>
      <c r="G1425">
        <f t="shared" si="81"/>
        <v>0</v>
      </c>
    </row>
    <row r="1426" spans="1:7" ht="15.75" hidden="1" thickBot="1" x14ac:dyDescent="0.3">
      <c r="A1426" s="85" t="s">
        <v>3611</v>
      </c>
      <c r="B1426" s="88" t="s">
        <v>3511</v>
      </c>
      <c r="C1426" s="26" t="s">
        <v>37</v>
      </c>
      <c r="D1426" s="14"/>
      <c r="E1426" s="15"/>
      <c r="F1426" s="16">
        <f t="shared" ref="F1426:F1437" si="85">+D1426*E1426</f>
        <v>0</v>
      </c>
      <c r="G1426">
        <f t="shared" si="81"/>
        <v>0</v>
      </c>
    </row>
    <row r="1427" spans="1:7" ht="15.75" hidden="1" thickBot="1" x14ac:dyDescent="0.3">
      <c r="A1427" s="85" t="s">
        <v>3612</v>
      </c>
      <c r="B1427" s="88" t="s">
        <v>3512</v>
      </c>
      <c r="C1427" s="26" t="s">
        <v>37</v>
      </c>
      <c r="D1427" s="14"/>
      <c r="E1427" s="15"/>
      <c r="F1427" s="16">
        <f t="shared" si="85"/>
        <v>0</v>
      </c>
      <c r="G1427">
        <f t="shared" si="81"/>
        <v>0</v>
      </c>
    </row>
    <row r="1428" spans="1:7" ht="15.75" hidden="1" thickBot="1" x14ac:dyDescent="0.3">
      <c r="A1428" s="85" t="s">
        <v>3613</v>
      </c>
      <c r="B1428" s="88" t="s">
        <v>3510</v>
      </c>
      <c r="C1428" s="26" t="s">
        <v>37</v>
      </c>
      <c r="D1428" s="14"/>
      <c r="E1428" s="15"/>
      <c r="F1428" s="16">
        <f t="shared" si="85"/>
        <v>0</v>
      </c>
      <c r="G1428">
        <f t="shared" si="81"/>
        <v>0</v>
      </c>
    </row>
    <row r="1429" spans="1:7" ht="15.75" hidden="1" thickBot="1" x14ac:dyDescent="0.3">
      <c r="A1429" s="85" t="s">
        <v>3614</v>
      </c>
      <c r="B1429" s="88" t="s">
        <v>3514</v>
      </c>
      <c r="C1429" s="26" t="s">
        <v>37</v>
      </c>
      <c r="D1429" s="14"/>
      <c r="E1429" s="15"/>
      <c r="F1429" s="16">
        <f t="shared" si="85"/>
        <v>0</v>
      </c>
      <c r="G1429">
        <f t="shared" si="81"/>
        <v>0</v>
      </c>
    </row>
    <row r="1430" spans="1:7" ht="15.75" hidden="1" thickBot="1" x14ac:dyDescent="0.3">
      <c r="A1430" s="85" t="s">
        <v>3615</v>
      </c>
      <c r="B1430" s="88" t="s">
        <v>3513</v>
      </c>
      <c r="C1430" s="26" t="s">
        <v>37</v>
      </c>
      <c r="D1430" s="14"/>
      <c r="E1430" s="15"/>
      <c r="F1430" s="16">
        <f t="shared" si="85"/>
        <v>0</v>
      </c>
      <c r="G1430">
        <f t="shared" si="81"/>
        <v>0</v>
      </c>
    </row>
    <row r="1431" spans="1:7" ht="15.75" hidden="1" thickBot="1" x14ac:dyDescent="0.3">
      <c r="A1431" s="85" t="s">
        <v>3616</v>
      </c>
      <c r="B1431" s="88" t="s">
        <v>3515</v>
      </c>
      <c r="C1431" s="26" t="s">
        <v>37</v>
      </c>
      <c r="D1431" s="14"/>
      <c r="E1431" s="15"/>
      <c r="F1431" s="16">
        <f t="shared" si="85"/>
        <v>0</v>
      </c>
      <c r="G1431">
        <f t="shared" si="81"/>
        <v>0</v>
      </c>
    </row>
    <row r="1432" spans="1:7" ht="15.75" hidden="1" thickBot="1" x14ac:dyDescent="0.3">
      <c r="A1432" s="85" t="s">
        <v>984</v>
      </c>
      <c r="B1432" s="88" t="s">
        <v>3516</v>
      </c>
      <c r="C1432" s="26" t="s">
        <v>37</v>
      </c>
      <c r="D1432" s="14"/>
      <c r="E1432" s="15"/>
      <c r="F1432" s="16">
        <f t="shared" si="85"/>
        <v>0</v>
      </c>
      <c r="G1432">
        <f t="shared" si="81"/>
        <v>0</v>
      </c>
    </row>
    <row r="1433" spans="1:7" ht="15.75" hidden="1" thickBot="1" x14ac:dyDescent="0.3">
      <c r="A1433" s="85" t="s">
        <v>3617</v>
      </c>
      <c r="B1433" s="88" t="s">
        <v>3517</v>
      </c>
      <c r="C1433" s="26" t="s">
        <v>37</v>
      </c>
      <c r="D1433" s="14"/>
      <c r="E1433" s="15"/>
      <c r="F1433" s="16">
        <f t="shared" si="85"/>
        <v>0</v>
      </c>
      <c r="G1433">
        <f t="shared" si="81"/>
        <v>0</v>
      </c>
    </row>
    <row r="1434" spans="1:7" ht="15.75" hidden="1" thickBot="1" x14ac:dyDescent="0.3">
      <c r="A1434" s="85" t="s">
        <v>3618</v>
      </c>
      <c r="B1434" s="88" t="s">
        <v>3518</v>
      </c>
      <c r="C1434" s="26" t="s">
        <v>37</v>
      </c>
      <c r="D1434" s="14"/>
      <c r="E1434" s="15"/>
      <c r="F1434" s="16">
        <f t="shared" si="85"/>
        <v>0</v>
      </c>
      <c r="G1434">
        <f t="shared" si="81"/>
        <v>0</v>
      </c>
    </row>
    <row r="1435" spans="1:7" ht="15.75" hidden="1" thickBot="1" x14ac:dyDescent="0.3">
      <c r="A1435" s="85" t="s">
        <v>3619</v>
      </c>
      <c r="B1435" s="88" t="s">
        <v>3519</v>
      </c>
      <c r="C1435" s="26" t="s">
        <v>37</v>
      </c>
      <c r="D1435" s="14"/>
      <c r="E1435" s="15"/>
      <c r="F1435" s="16">
        <f t="shared" si="85"/>
        <v>0</v>
      </c>
      <c r="G1435">
        <f t="shared" si="81"/>
        <v>0</v>
      </c>
    </row>
    <row r="1436" spans="1:7" ht="15.75" hidden="1" thickBot="1" x14ac:dyDescent="0.3">
      <c r="A1436" s="85" t="s">
        <v>3620</v>
      </c>
      <c r="B1436" s="88" t="s">
        <v>3520</v>
      </c>
      <c r="C1436" s="26" t="s">
        <v>37</v>
      </c>
      <c r="D1436" s="14"/>
      <c r="E1436" s="15"/>
      <c r="F1436" s="16">
        <f t="shared" si="85"/>
        <v>0</v>
      </c>
      <c r="G1436">
        <f t="shared" si="81"/>
        <v>0</v>
      </c>
    </row>
    <row r="1437" spans="1:7" ht="15.75" hidden="1" thickBot="1" x14ac:dyDescent="0.3">
      <c r="A1437" s="85" t="s">
        <v>3621</v>
      </c>
      <c r="B1437" s="88" t="s">
        <v>3509</v>
      </c>
      <c r="C1437" s="26" t="s">
        <v>37</v>
      </c>
      <c r="D1437" s="14"/>
      <c r="E1437" s="15"/>
      <c r="F1437" s="16">
        <f t="shared" si="85"/>
        <v>0</v>
      </c>
      <c r="G1437">
        <f t="shared" si="81"/>
        <v>0</v>
      </c>
    </row>
    <row r="1438" spans="1:7" ht="15.75" hidden="1" thickBot="1" x14ac:dyDescent="0.3">
      <c r="A1438" s="78" t="s">
        <v>985</v>
      </c>
      <c r="B1438" s="79" t="s">
        <v>3632</v>
      </c>
      <c r="C1438" s="26"/>
      <c r="D1438" s="14"/>
      <c r="E1438" s="15"/>
      <c r="F1438" s="16"/>
      <c r="G1438">
        <f t="shared" si="81"/>
        <v>0</v>
      </c>
    </row>
    <row r="1439" spans="1:7" ht="15.75" hidden="1" thickBot="1" x14ac:dyDescent="0.3">
      <c r="A1439" s="85" t="s">
        <v>986</v>
      </c>
      <c r="B1439" s="88" t="s">
        <v>3511</v>
      </c>
      <c r="C1439" s="26" t="s">
        <v>37</v>
      </c>
      <c r="D1439" s="14"/>
      <c r="E1439" s="15"/>
      <c r="F1439" s="16">
        <f t="shared" ref="F1439:F1450" si="86">+D1439*E1439</f>
        <v>0</v>
      </c>
      <c r="G1439">
        <f t="shared" si="81"/>
        <v>0</v>
      </c>
    </row>
    <row r="1440" spans="1:7" ht="15.75" hidden="1" thickBot="1" x14ac:dyDescent="0.3">
      <c r="A1440" s="85" t="s">
        <v>987</v>
      </c>
      <c r="B1440" s="88" t="s">
        <v>3512</v>
      </c>
      <c r="C1440" s="26" t="s">
        <v>37</v>
      </c>
      <c r="D1440" s="14"/>
      <c r="E1440" s="15"/>
      <c r="F1440" s="16">
        <f t="shared" si="86"/>
        <v>0</v>
      </c>
      <c r="G1440">
        <f t="shared" si="81"/>
        <v>0</v>
      </c>
    </row>
    <row r="1441" spans="1:7" ht="15.75" hidden="1" thickBot="1" x14ac:dyDescent="0.3">
      <c r="A1441" s="85" t="s">
        <v>3622</v>
      </c>
      <c r="B1441" s="88" t="s">
        <v>3510</v>
      </c>
      <c r="C1441" s="26" t="s">
        <v>37</v>
      </c>
      <c r="D1441" s="14"/>
      <c r="E1441" s="15"/>
      <c r="F1441" s="16">
        <f t="shared" si="86"/>
        <v>0</v>
      </c>
      <c r="G1441">
        <f t="shared" si="81"/>
        <v>0</v>
      </c>
    </row>
    <row r="1442" spans="1:7" ht="15.75" hidden="1" thickBot="1" x14ac:dyDescent="0.3">
      <c r="A1442" s="85" t="s">
        <v>3623</v>
      </c>
      <c r="B1442" s="88" t="s">
        <v>3514</v>
      </c>
      <c r="C1442" s="26" t="s">
        <v>37</v>
      </c>
      <c r="D1442" s="14"/>
      <c r="E1442" s="15"/>
      <c r="F1442" s="16">
        <f t="shared" si="86"/>
        <v>0</v>
      </c>
      <c r="G1442">
        <f t="shared" si="81"/>
        <v>0</v>
      </c>
    </row>
    <row r="1443" spans="1:7" ht="15.75" hidden="1" thickBot="1" x14ac:dyDescent="0.3">
      <c r="A1443" s="85" t="s">
        <v>3624</v>
      </c>
      <c r="B1443" s="88" t="s">
        <v>3513</v>
      </c>
      <c r="C1443" s="26" t="s">
        <v>37</v>
      </c>
      <c r="D1443" s="14"/>
      <c r="E1443" s="15"/>
      <c r="F1443" s="16">
        <f t="shared" si="86"/>
        <v>0</v>
      </c>
      <c r="G1443">
        <f t="shared" si="81"/>
        <v>0</v>
      </c>
    </row>
    <row r="1444" spans="1:7" ht="15.75" hidden="1" thickBot="1" x14ac:dyDescent="0.3">
      <c r="A1444" s="85" t="s">
        <v>3625</v>
      </c>
      <c r="B1444" s="88" t="s">
        <v>3515</v>
      </c>
      <c r="C1444" s="26" t="s">
        <v>37</v>
      </c>
      <c r="D1444" s="14"/>
      <c r="E1444" s="15"/>
      <c r="F1444" s="16">
        <f t="shared" si="86"/>
        <v>0</v>
      </c>
      <c r="G1444">
        <f t="shared" ref="G1444:G1507" si="87">+IF(F1444&lt;&gt;0,1,0)</f>
        <v>0</v>
      </c>
    </row>
    <row r="1445" spans="1:7" ht="15.75" hidden="1" thickBot="1" x14ac:dyDescent="0.3">
      <c r="A1445" s="85" t="s">
        <v>3626</v>
      </c>
      <c r="B1445" s="88" t="s">
        <v>3516</v>
      </c>
      <c r="C1445" s="26" t="s">
        <v>37</v>
      </c>
      <c r="D1445" s="14"/>
      <c r="E1445" s="15"/>
      <c r="F1445" s="16">
        <f t="shared" si="86"/>
        <v>0</v>
      </c>
      <c r="G1445">
        <f t="shared" si="87"/>
        <v>0</v>
      </c>
    </row>
    <row r="1446" spans="1:7" ht="15.75" hidden="1" thickBot="1" x14ac:dyDescent="0.3">
      <c r="A1446" s="85" t="s">
        <v>3627</v>
      </c>
      <c r="B1446" s="88" t="s">
        <v>3517</v>
      </c>
      <c r="C1446" s="26" t="s">
        <v>37</v>
      </c>
      <c r="D1446" s="14"/>
      <c r="E1446" s="15">
        <f>+SUM!H1445</f>
        <v>3322046</v>
      </c>
      <c r="F1446" s="16">
        <f t="shared" si="86"/>
        <v>0</v>
      </c>
      <c r="G1446">
        <f t="shared" si="87"/>
        <v>0</v>
      </c>
    </row>
    <row r="1447" spans="1:7" ht="15.75" hidden="1" thickBot="1" x14ac:dyDescent="0.3">
      <c r="A1447" s="85" t="s">
        <v>3628</v>
      </c>
      <c r="B1447" s="88" t="s">
        <v>3518</v>
      </c>
      <c r="C1447" s="26" t="s">
        <v>37</v>
      </c>
      <c r="D1447" s="14"/>
      <c r="E1447" s="15"/>
      <c r="F1447" s="16">
        <f t="shared" si="86"/>
        <v>0</v>
      </c>
      <c r="G1447">
        <f t="shared" si="87"/>
        <v>0</v>
      </c>
    </row>
    <row r="1448" spans="1:7" ht="15.75" hidden="1" thickBot="1" x14ac:dyDescent="0.3">
      <c r="A1448" s="85" t="s">
        <v>3629</v>
      </c>
      <c r="B1448" s="88" t="s">
        <v>3519</v>
      </c>
      <c r="C1448" s="26" t="s">
        <v>37</v>
      </c>
      <c r="D1448" s="14"/>
      <c r="E1448" s="15"/>
      <c r="F1448" s="16">
        <f t="shared" si="86"/>
        <v>0</v>
      </c>
      <c r="G1448">
        <f t="shared" si="87"/>
        <v>0</v>
      </c>
    </row>
    <row r="1449" spans="1:7" ht="15.75" hidden="1" thickBot="1" x14ac:dyDescent="0.3">
      <c r="A1449" s="85" t="s">
        <v>3630</v>
      </c>
      <c r="B1449" s="88" t="s">
        <v>3520</v>
      </c>
      <c r="C1449" s="26" t="s">
        <v>37</v>
      </c>
      <c r="D1449" s="14"/>
      <c r="E1449" s="15"/>
      <c r="F1449" s="16">
        <f t="shared" si="86"/>
        <v>0</v>
      </c>
      <c r="G1449">
        <f t="shared" si="87"/>
        <v>0</v>
      </c>
    </row>
    <row r="1450" spans="1:7" ht="15.75" hidden="1" thickBot="1" x14ac:dyDescent="0.3">
      <c r="A1450" s="85" t="s">
        <v>3631</v>
      </c>
      <c r="B1450" s="88" t="s">
        <v>3509</v>
      </c>
      <c r="C1450" s="26" t="s">
        <v>37</v>
      </c>
      <c r="D1450" s="14"/>
      <c r="E1450" s="15"/>
      <c r="F1450" s="16">
        <f t="shared" si="86"/>
        <v>0</v>
      </c>
      <c r="G1450">
        <f t="shared" si="87"/>
        <v>0</v>
      </c>
    </row>
    <row r="1451" spans="1:7" ht="15.75" hidden="1" thickBot="1" x14ac:dyDescent="0.3">
      <c r="A1451" s="78" t="s">
        <v>988</v>
      </c>
      <c r="B1451" s="79" t="s">
        <v>3633</v>
      </c>
      <c r="C1451" s="26"/>
      <c r="D1451" s="14"/>
      <c r="E1451" s="15"/>
      <c r="F1451" s="16"/>
      <c r="G1451">
        <f t="shared" si="87"/>
        <v>0</v>
      </c>
    </row>
    <row r="1452" spans="1:7" ht="15.75" hidden="1" thickBot="1" x14ac:dyDescent="0.3">
      <c r="A1452" s="85" t="s">
        <v>989</v>
      </c>
      <c r="B1452" s="88" t="s">
        <v>3511</v>
      </c>
      <c r="C1452" s="26" t="s">
        <v>37</v>
      </c>
      <c r="D1452" s="14"/>
      <c r="E1452" s="15"/>
      <c r="F1452" s="16">
        <f t="shared" ref="F1452:F1463" si="88">+D1452*E1452</f>
        <v>0</v>
      </c>
      <c r="G1452">
        <f t="shared" si="87"/>
        <v>0</v>
      </c>
    </row>
    <row r="1453" spans="1:7" ht="15.75" hidden="1" thickBot="1" x14ac:dyDescent="0.3">
      <c r="A1453" s="85" t="s">
        <v>3634</v>
      </c>
      <c r="B1453" s="88" t="s">
        <v>3512</v>
      </c>
      <c r="C1453" s="26" t="s">
        <v>37</v>
      </c>
      <c r="D1453" s="14"/>
      <c r="E1453" s="15"/>
      <c r="F1453" s="16">
        <f t="shared" si="88"/>
        <v>0</v>
      </c>
      <c r="G1453">
        <f t="shared" si="87"/>
        <v>0</v>
      </c>
    </row>
    <row r="1454" spans="1:7" ht="15.75" hidden="1" thickBot="1" x14ac:dyDescent="0.3">
      <c r="A1454" s="85" t="s">
        <v>3635</v>
      </c>
      <c r="B1454" s="88" t="s">
        <v>3510</v>
      </c>
      <c r="C1454" s="26" t="s">
        <v>37</v>
      </c>
      <c r="D1454" s="14"/>
      <c r="E1454" s="15"/>
      <c r="F1454" s="16">
        <f t="shared" si="88"/>
        <v>0</v>
      </c>
      <c r="G1454">
        <f t="shared" si="87"/>
        <v>0</v>
      </c>
    </row>
    <row r="1455" spans="1:7" ht="15.75" hidden="1" thickBot="1" x14ac:dyDescent="0.3">
      <c r="A1455" s="85" t="s">
        <v>3636</v>
      </c>
      <c r="B1455" s="88" t="s">
        <v>3514</v>
      </c>
      <c r="C1455" s="26" t="s">
        <v>37</v>
      </c>
      <c r="D1455" s="14"/>
      <c r="E1455" s="15"/>
      <c r="F1455" s="16">
        <f t="shared" si="88"/>
        <v>0</v>
      </c>
      <c r="G1455">
        <f t="shared" si="87"/>
        <v>0</v>
      </c>
    </row>
    <row r="1456" spans="1:7" ht="15.75" hidden="1" thickBot="1" x14ac:dyDescent="0.3">
      <c r="A1456" s="85" t="s">
        <v>3637</v>
      </c>
      <c r="B1456" s="88" t="s">
        <v>3513</v>
      </c>
      <c r="C1456" s="26" t="s">
        <v>37</v>
      </c>
      <c r="D1456" s="14"/>
      <c r="E1456" s="15"/>
      <c r="F1456" s="16">
        <f t="shared" si="88"/>
        <v>0</v>
      </c>
      <c r="G1456">
        <f t="shared" si="87"/>
        <v>0</v>
      </c>
    </row>
    <row r="1457" spans="1:7" ht="15.75" hidden="1" thickBot="1" x14ac:dyDescent="0.3">
      <c r="A1457" s="85" t="s">
        <v>3638</v>
      </c>
      <c r="B1457" s="88" t="s">
        <v>3515</v>
      </c>
      <c r="C1457" s="26" t="s">
        <v>37</v>
      </c>
      <c r="D1457" s="14"/>
      <c r="E1457" s="15"/>
      <c r="F1457" s="16">
        <f t="shared" si="88"/>
        <v>0</v>
      </c>
      <c r="G1457">
        <f t="shared" si="87"/>
        <v>0</v>
      </c>
    </row>
    <row r="1458" spans="1:7" ht="15.75" hidden="1" thickBot="1" x14ac:dyDescent="0.3">
      <c r="A1458" s="85" t="s">
        <v>3639</v>
      </c>
      <c r="B1458" s="88" t="s">
        <v>3516</v>
      </c>
      <c r="C1458" s="26" t="s">
        <v>37</v>
      </c>
      <c r="D1458" s="14"/>
      <c r="E1458" s="15"/>
      <c r="F1458" s="16">
        <f t="shared" si="88"/>
        <v>0</v>
      </c>
      <c r="G1458">
        <f t="shared" si="87"/>
        <v>0</v>
      </c>
    </row>
    <row r="1459" spans="1:7" ht="15.75" hidden="1" thickBot="1" x14ac:dyDescent="0.3">
      <c r="A1459" s="85" t="s">
        <v>3640</v>
      </c>
      <c r="B1459" s="88" t="s">
        <v>3517</v>
      </c>
      <c r="C1459" s="26" t="s">
        <v>37</v>
      </c>
      <c r="D1459" s="14"/>
      <c r="E1459" s="15"/>
      <c r="F1459" s="16">
        <f t="shared" si="88"/>
        <v>0</v>
      </c>
      <c r="G1459">
        <f t="shared" si="87"/>
        <v>0</v>
      </c>
    </row>
    <row r="1460" spans="1:7" ht="15.75" hidden="1" thickBot="1" x14ac:dyDescent="0.3">
      <c r="A1460" s="85" t="s">
        <v>3641</v>
      </c>
      <c r="B1460" s="88" t="s">
        <v>3518</v>
      </c>
      <c r="C1460" s="26" t="s">
        <v>37</v>
      </c>
      <c r="D1460" s="14"/>
      <c r="E1460" s="15"/>
      <c r="F1460" s="16">
        <f t="shared" si="88"/>
        <v>0</v>
      </c>
      <c r="G1460">
        <f t="shared" si="87"/>
        <v>0</v>
      </c>
    </row>
    <row r="1461" spans="1:7" ht="15.75" hidden="1" thickBot="1" x14ac:dyDescent="0.3">
      <c r="A1461" s="85" t="s">
        <v>3642</v>
      </c>
      <c r="B1461" s="88" t="s">
        <v>3519</v>
      </c>
      <c r="C1461" s="26" t="s">
        <v>37</v>
      </c>
      <c r="D1461" s="14"/>
      <c r="E1461" s="15"/>
      <c r="F1461" s="16">
        <f t="shared" si="88"/>
        <v>0</v>
      </c>
      <c r="G1461">
        <f t="shared" si="87"/>
        <v>0</v>
      </c>
    </row>
    <row r="1462" spans="1:7" ht="15.75" hidden="1" thickBot="1" x14ac:dyDescent="0.3">
      <c r="A1462" s="85" t="s">
        <v>3643</v>
      </c>
      <c r="B1462" s="88" t="s">
        <v>3520</v>
      </c>
      <c r="C1462" s="26" t="s">
        <v>37</v>
      </c>
      <c r="D1462" s="14"/>
      <c r="E1462" s="15"/>
      <c r="F1462" s="16">
        <f t="shared" si="88"/>
        <v>0</v>
      </c>
      <c r="G1462">
        <f t="shared" si="87"/>
        <v>0</v>
      </c>
    </row>
    <row r="1463" spans="1:7" ht="15.75" hidden="1" thickBot="1" x14ac:dyDescent="0.3">
      <c r="A1463" s="85" t="s">
        <v>3644</v>
      </c>
      <c r="B1463" s="88" t="s">
        <v>3509</v>
      </c>
      <c r="C1463" s="26" t="s">
        <v>37</v>
      </c>
      <c r="D1463" s="14"/>
      <c r="E1463" s="15"/>
      <c r="F1463" s="16">
        <f t="shared" si="88"/>
        <v>0</v>
      </c>
      <c r="G1463">
        <f t="shared" si="87"/>
        <v>0</v>
      </c>
    </row>
    <row r="1464" spans="1:7" ht="15.75" hidden="1" thickBot="1" x14ac:dyDescent="0.3">
      <c r="A1464" s="78" t="s">
        <v>3645</v>
      </c>
      <c r="B1464" s="79" t="s">
        <v>3647</v>
      </c>
      <c r="C1464" s="26"/>
      <c r="D1464" s="14"/>
      <c r="E1464" s="15"/>
      <c r="F1464" s="16"/>
      <c r="G1464">
        <f t="shared" si="87"/>
        <v>0</v>
      </c>
    </row>
    <row r="1465" spans="1:7" ht="15.75" hidden="1" thickBot="1" x14ac:dyDescent="0.3">
      <c r="A1465" s="85" t="s">
        <v>3646</v>
      </c>
      <c r="B1465" s="88" t="s">
        <v>3511</v>
      </c>
      <c r="C1465" s="26" t="s">
        <v>37</v>
      </c>
      <c r="D1465" s="14"/>
      <c r="E1465" s="15"/>
      <c r="F1465" s="16">
        <f t="shared" ref="F1465:F1476" si="89">+D1465*E1465</f>
        <v>0</v>
      </c>
      <c r="G1465">
        <f t="shared" si="87"/>
        <v>0</v>
      </c>
    </row>
    <row r="1466" spans="1:7" ht="15.75" hidden="1" thickBot="1" x14ac:dyDescent="0.3">
      <c r="A1466" s="85" t="s">
        <v>3648</v>
      </c>
      <c r="B1466" s="88" t="s">
        <v>3512</v>
      </c>
      <c r="C1466" s="26" t="s">
        <v>37</v>
      </c>
      <c r="D1466" s="14"/>
      <c r="E1466" s="15"/>
      <c r="F1466" s="16">
        <f t="shared" si="89"/>
        <v>0</v>
      </c>
      <c r="G1466">
        <f t="shared" si="87"/>
        <v>0</v>
      </c>
    </row>
    <row r="1467" spans="1:7" ht="15.75" hidden="1" thickBot="1" x14ac:dyDescent="0.3">
      <c r="A1467" s="85" t="s">
        <v>3649</v>
      </c>
      <c r="B1467" s="88" t="s">
        <v>3510</v>
      </c>
      <c r="C1467" s="26" t="s">
        <v>37</v>
      </c>
      <c r="D1467" s="14"/>
      <c r="E1467" s="15"/>
      <c r="F1467" s="16">
        <f t="shared" si="89"/>
        <v>0</v>
      </c>
      <c r="G1467">
        <f t="shared" si="87"/>
        <v>0</v>
      </c>
    </row>
    <row r="1468" spans="1:7" ht="15.75" hidden="1" thickBot="1" x14ac:dyDescent="0.3">
      <c r="A1468" s="85" t="s">
        <v>3650</v>
      </c>
      <c r="B1468" s="88" t="s">
        <v>3514</v>
      </c>
      <c r="C1468" s="26" t="s">
        <v>37</v>
      </c>
      <c r="D1468" s="14"/>
      <c r="E1468" s="15"/>
      <c r="F1468" s="16">
        <f t="shared" si="89"/>
        <v>0</v>
      </c>
      <c r="G1468">
        <f t="shared" si="87"/>
        <v>0</v>
      </c>
    </row>
    <row r="1469" spans="1:7" ht="15.75" hidden="1" thickBot="1" x14ac:dyDescent="0.3">
      <c r="A1469" s="85" t="s">
        <v>3651</v>
      </c>
      <c r="B1469" s="88" t="s">
        <v>3513</v>
      </c>
      <c r="C1469" s="26" t="s">
        <v>37</v>
      </c>
      <c r="D1469" s="14"/>
      <c r="E1469" s="15"/>
      <c r="F1469" s="16">
        <f t="shared" si="89"/>
        <v>0</v>
      </c>
      <c r="G1469">
        <f t="shared" si="87"/>
        <v>0</v>
      </c>
    </row>
    <row r="1470" spans="1:7" ht="15.75" hidden="1" thickBot="1" x14ac:dyDescent="0.3">
      <c r="A1470" s="85" t="s">
        <v>3652</v>
      </c>
      <c r="B1470" s="88" t="s">
        <v>3515</v>
      </c>
      <c r="C1470" s="26" t="s">
        <v>37</v>
      </c>
      <c r="D1470" s="14"/>
      <c r="E1470" s="15"/>
      <c r="F1470" s="16">
        <f t="shared" si="89"/>
        <v>0</v>
      </c>
      <c r="G1470">
        <f t="shared" si="87"/>
        <v>0</v>
      </c>
    </row>
    <row r="1471" spans="1:7" ht="15.75" hidden="1" thickBot="1" x14ac:dyDescent="0.3">
      <c r="A1471" s="85" t="s">
        <v>3653</v>
      </c>
      <c r="B1471" s="88" t="s">
        <v>3516</v>
      </c>
      <c r="C1471" s="26" t="s">
        <v>37</v>
      </c>
      <c r="D1471" s="14"/>
      <c r="E1471" s="15"/>
      <c r="F1471" s="16">
        <f t="shared" si="89"/>
        <v>0</v>
      </c>
      <c r="G1471">
        <f t="shared" si="87"/>
        <v>0</v>
      </c>
    </row>
    <row r="1472" spans="1:7" ht="15.75" hidden="1" thickBot="1" x14ac:dyDescent="0.3">
      <c r="A1472" s="85" t="s">
        <v>3654</v>
      </c>
      <c r="B1472" s="88" t="s">
        <v>3517</v>
      </c>
      <c r="C1472" s="26" t="s">
        <v>37</v>
      </c>
      <c r="D1472" s="14"/>
      <c r="E1472" s="15"/>
      <c r="F1472" s="16">
        <f t="shared" si="89"/>
        <v>0</v>
      </c>
      <c r="G1472">
        <f t="shared" si="87"/>
        <v>0</v>
      </c>
    </row>
    <row r="1473" spans="1:7" ht="15.75" hidden="1" thickBot="1" x14ac:dyDescent="0.3">
      <c r="A1473" s="85" t="s">
        <v>3655</v>
      </c>
      <c r="B1473" s="88" t="s">
        <v>3518</v>
      </c>
      <c r="C1473" s="26" t="s">
        <v>37</v>
      </c>
      <c r="D1473" s="14"/>
      <c r="E1473" s="15"/>
      <c r="F1473" s="16">
        <f t="shared" si="89"/>
        <v>0</v>
      </c>
      <c r="G1473">
        <f t="shared" si="87"/>
        <v>0</v>
      </c>
    </row>
    <row r="1474" spans="1:7" ht="15.75" hidden="1" thickBot="1" x14ac:dyDescent="0.3">
      <c r="A1474" s="85" t="s">
        <v>3656</v>
      </c>
      <c r="B1474" s="88" t="s">
        <v>3519</v>
      </c>
      <c r="C1474" s="26" t="s">
        <v>37</v>
      </c>
      <c r="D1474" s="14"/>
      <c r="E1474" s="15"/>
      <c r="F1474" s="16">
        <f t="shared" si="89"/>
        <v>0</v>
      </c>
      <c r="G1474">
        <f t="shared" si="87"/>
        <v>0</v>
      </c>
    </row>
    <row r="1475" spans="1:7" ht="15.75" hidden="1" thickBot="1" x14ac:dyDescent="0.3">
      <c r="A1475" s="85" t="s">
        <v>3657</v>
      </c>
      <c r="B1475" s="88" t="s">
        <v>3520</v>
      </c>
      <c r="C1475" s="26" t="s">
        <v>37</v>
      </c>
      <c r="D1475" s="14"/>
      <c r="E1475" s="15"/>
      <c r="F1475" s="16">
        <f t="shared" si="89"/>
        <v>0</v>
      </c>
      <c r="G1475">
        <f t="shared" si="87"/>
        <v>0</v>
      </c>
    </row>
    <row r="1476" spans="1:7" ht="15.75" hidden="1" thickBot="1" x14ac:dyDescent="0.3">
      <c r="A1476" s="85" t="s">
        <v>3658</v>
      </c>
      <c r="B1476" s="88" t="s">
        <v>3509</v>
      </c>
      <c r="C1476" s="26" t="s">
        <v>37</v>
      </c>
      <c r="D1476" s="14"/>
      <c r="E1476" s="15"/>
      <c r="F1476" s="16">
        <f t="shared" si="89"/>
        <v>0</v>
      </c>
      <c r="G1476">
        <f t="shared" si="87"/>
        <v>0</v>
      </c>
    </row>
    <row r="1477" spans="1:7" ht="15.75" hidden="1" thickBot="1" x14ac:dyDescent="0.3">
      <c r="A1477" s="78" t="s">
        <v>3659</v>
      </c>
      <c r="B1477" s="79" t="s">
        <v>3661</v>
      </c>
      <c r="C1477" s="26"/>
      <c r="D1477" s="14"/>
      <c r="E1477" s="15"/>
      <c r="F1477" s="16"/>
      <c r="G1477">
        <f t="shared" si="87"/>
        <v>0</v>
      </c>
    </row>
    <row r="1478" spans="1:7" ht="15.75" hidden="1" thickBot="1" x14ac:dyDescent="0.3">
      <c r="A1478" s="85" t="s">
        <v>3660</v>
      </c>
      <c r="B1478" s="88" t="s">
        <v>3511</v>
      </c>
      <c r="C1478" s="26" t="s">
        <v>37</v>
      </c>
      <c r="D1478" s="14"/>
      <c r="E1478" s="15"/>
      <c r="F1478" s="16">
        <f t="shared" ref="F1478:F1489" si="90">+D1478*E1478</f>
        <v>0</v>
      </c>
      <c r="G1478">
        <f t="shared" si="87"/>
        <v>0</v>
      </c>
    </row>
    <row r="1479" spans="1:7" ht="15.75" hidden="1" thickBot="1" x14ac:dyDescent="0.3">
      <c r="A1479" s="85" t="s">
        <v>3662</v>
      </c>
      <c r="B1479" s="88" t="s">
        <v>3512</v>
      </c>
      <c r="C1479" s="26" t="s">
        <v>37</v>
      </c>
      <c r="D1479" s="14"/>
      <c r="E1479" s="15"/>
      <c r="F1479" s="16">
        <f t="shared" si="90"/>
        <v>0</v>
      </c>
      <c r="G1479">
        <f t="shared" si="87"/>
        <v>0</v>
      </c>
    </row>
    <row r="1480" spans="1:7" ht="15.75" hidden="1" thickBot="1" x14ac:dyDescent="0.3">
      <c r="A1480" s="85" t="s">
        <v>3663</v>
      </c>
      <c r="B1480" s="88" t="s">
        <v>3510</v>
      </c>
      <c r="C1480" s="26" t="s">
        <v>37</v>
      </c>
      <c r="D1480" s="14"/>
      <c r="E1480" s="15"/>
      <c r="F1480" s="16">
        <f t="shared" si="90"/>
        <v>0</v>
      </c>
      <c r="G1480">
        <f t="shared" si="87"/>
        <v>0</v>
      </c>
    </row>
    <row r="1481" spans="1:7" ht="15.75" hidden="1" thickBot="1" x14ac:dyDescent="0.3">
      <c r="A1481" s="85" t="s">
        <v>3664</v>
      </c>
      <c r="B1481" s="88" t="s">
        <v>3514</v>
      </c>
      <c r="C1481" s="26" t="s">
        <v>37</v>
      </c>
      <c r="D1481" s="14"/>
      <c r="E1481" s="15"/>
      <c r="F1481" s="16">
        <f t="shared" si="90"/>
        <v>0</v>
      </c>
      <c r="G1481">
        <f t="shared" si="87"/>
        <v>0</v>
      </c>
    </row>
    <row r="1482" spans="1:7" ht="15.75" hidden="1" thickBot="1" x14ac:dyDescent="0.3">
      <c r="A1482" s="85" t="s">
        <v>3665</v>
      </c>
      <c r="B1482" s="88" t="s">
        <v>3513</v>
      </c>
      <c r="C1482" s="26" t="s">
        <v>37</v>
      </c>
      <c r="D1482" s="14"/>
      <c r="E1482" s="15"/>
      <c r="F1482" s="16">
        <f t="shared" si="90"/>
        <v>0</v>
      </c>
      <c r="G1482">
        <f t="shared" si="87"/>
        <v>0</v>
      </c>
    </row>
    <row r="1483" spans="1:7" ht="15.75" hidden="1" thickBot="1" x14ac:dyDescent="0.3">
      <c r="A1483" s="85" t="s">
        <v>3666</v>
      </c>
      <c r="B1483" s="88" t="s">
        <v>3515</v>
      </c>
      <c r="C1483" s="26" t="s">
        <v>37</v>
      </c>
      <c r="D1483" s="14"/>
      <c r="E1483" s="15"/>
      <c r="F1483" s="16">
        <f t="shared" si="90"/>
        <v>0</v>
      </c>
      <c r="G1483">
        <f t="shared" si="87"/>
        <v>0</v>
      </c>
    </row>
    <row r="1484" spans="1:7" ht="15.75" hidden="1" thickBot="1" x14ac:dyDescent="0.3">
      <c r="A1484" s="85" t="s">
        <v>3667</v>
      </c>
      <c r="B1484" s="88" t="s">
        <v>3516</v>
      </c>
      <c r="C1484" s="26" t="s">
        <v>37</v>
      </c>
      <c r="D1484" s="14"/>
      <c r="E1484" s="15"/>
      <c r="F1484" s="16">
        <f t="shared" si="90"/>
        <v>0</v>
      </c>
      <c r="G1484">
        <f t="shared" si="87"/>
        <v>0</v>
      </c>
    </row>
    <row r="1485" spans="1:7" ht="15.75" hidden="1" thickBot="1" x14ac:dyDescent="0.3">
      <c r="A1485" s="85" t="s">
        <v>3668</v>
      </c>
      <c r="B1485" s="88" t="s">
        <v>3517</v>
      </c>
      <c r="C1485" s="26" t="s">
        <v>37</v>
      </c>
      <c r="D1485" s="14"/>
      <c r="E1485" s="15"/>
      <c r="F1485" s="16">
        <f t="shared" si="90"/>
        <v>0</v>
      </c>
      <c r="G1485">
        <f t="shared" si="87"/>
        <v>0</v>
      </c>
    </row>
    <row r="1486" spans="1:7" ht="15.75" hidden="1" thickBot="1" x14ac:dyDescent="0.3">
      <c r="A1486" s="85" t="s">
        <v>3669</v>
      </c>
      <c r="B1486" s="88" t="s">
        <v>3518</v>
      </c>
      <c r="C1486" s="26" t="s">
        <v>37</v>
      </c>
      <c r="D1486" s="14"/>
      <c r="E1486" s="15"/>
      <c r="F1486" s="16">
        <f t="shared" si="90"/>
        <v>0</v>
      </c>
      <c r="G1486">
        <f t="shared" si="87"/>
        <v>0</v>
      </c>
    </row>
    <row r="1487" spans="1:7" ht="15.75" hidden="1" thickBot="1" x14ac:dyDescent="0.3">
      <c r="A1487" s="85" t="s">
        <v>3670</v>
      </c>
      <c r="B1487" s="88" t="s">
        <v>3519</v>
      </c>
      <c r="C1487" s="26" t="s">
        <v>37</v>
      </c>
      <c r="D1487" s="14"/>
      <c r="E1487" s="15"/>
      <c r="F1487" s="16">
        <f t="shared" si="90"/>
        <v>0</v>
      </c>
      <c r="G1487">
        <f t="shared" si="87"/>
        <v>0</v>
      </c>
    </row>
    <row r="1488" spans="1:7" ht="15.75" hidden="1" thickBot="1" x14ac:dyDescent="0.3">
      <c r="A1488" s="85" t="s">
        <v>3671</v>
      </c>
      <c r="B1488" s="88" t="s">
        <v>3520</v>
      </c>
      <c r="C1488" s="26" t="s">
        <v>37</v>
      </c>
      <c r="D1488" s="14"/>
      <c r="E1488" s="15"/>
      <c r="F1488" s="16">
        <f t="shared" si="90"/>
        <v>0</v>
      </c>
      <c r="G1488">
        <f t="shared" si="87"/>
        <v>0</v>
      </c>
    </row>
    <row r="1489" spans="1:7" ht="15.75" hidden="1" thickBot="1" x14ac:dyDescent="0.3">
      <c r="A1489" s="85" t="s">
        <v>3672</v>
      </c>
      <c r="B1489" s="88" t="s">
        <v>3509</v>
      </c>
      <c r="C1489" s="26" t="s">
        <v>37</v>
      </c>
      <c r="D1489" s="14"/>
      <c r="E1489" s="15"/>
      <c r="F1489" s="16">
        <f t="shared" si="90"/>
        <v>0</v>
      </c>
      <c r="G1489">
        <f t="shared" si="87"/>
        <v>0</v>
      </c>
    </row>
    <row r="1490" spans="1:7" ht="15.75" hidden="1" thickBot="1" x14ac:dyDescent="0.3">
      <c r="A1490" s="78" t="s">
        <v>3673</v>
      </c>
      <c r="B1490" s="79" t="s">
        <v>3674</v>
      </c>
      <c r="C1490" s="26"/>
      <c r="D1490" s="14"/>
      <c r="E1490" s="15"/>
      <c r="F1490" s="16"/>
      <c r="G1490">
        <f t="shared" si="87"/>
        <v>0</v>
      </c>
    </row>
    <row r="1491" spans="1:7" ht="15.75" hidden="1" thickBot="1" x14ac:dyDescent="0.3">
      <c r="A1491" s="78" t="s">
        <v>3675</v>
      </c>
      <c r="B1491" s="79" t="s">
        <v>3676</v>
      </c>
      <c r="C1491" s="26"/>
      <c r="D1491" s="14"/>
      <c r="E1491" s="15"/>
      <c r="F1491" s="16"/>
      <c r="G1491">
        <f t="shared" si="87"/>
        <v>0</v>
      </c>
    </row>
    <row r="1492" spans="1:7" ht="15.75" hidden="1" thickBot="1" x14ac:dyDescent="0.3">
      <c r="A1492" s="85" t="s">
        <v>3738</v>
      </c>
      <c r="B1492" s="81" t="s">
        <v>3677</v>
      </c>
      <c r="C1492" s="26" t="s">
        <v>37</v>
      </c>
      <c r="D1492" s="14"/>
      <c r="E1492" s="15"/>
      <c r="F1492" s="16">
        <f t="shared" ref="F1492:F1551" si="91">+D1492*E1492</f>
        <v>0</v>
      </c>
      <c r="G1492">
        <f t="shared" si="87"/>
        <v>0</v>
      </c>
    </row>
    <row r="1493" spans="1:7" ht="15.75" hidden="1" thickBot="1" x14ac:dyDescent="0.3">
      <c r="A1493" s="85" t="s">
        <v>3739</v>
      </c>
      <c r="B1493" s="81" t="s">
        <v>3678</v>
      </c>
      <c r="C1493" s="26" t="s">
        <v>37</v>
      </c>
      <c r="D1493" s="14"/>
      <c r="E1493" s="15"/>
      <c r="F1493" s="16">
        <f t="shared" si="91"/>
        <v>0</v>
      </c>
      <c r="G1493">
        <f t="shared" si="87"/>
        <v>0</v>
      </c>
    </row>
    <row r="1494" spans="1:7" ht="15.75" hidden="1" thickBot="1" x14ac:dyDescent="0.3">
      <c r="A1494" s="85" t="s">
        <v>3740</v>
      </c>
      <c r="B1494" s="81" t="s">
        <v>3679</v>
      </c>
      <c r="C1494" s="26" t="s">
        <v>37</v>
      </c>
      <c r="D1494" s="14"/>
      <c r="E1494" s="15"/>
      <c r="F1494" s="16">
        <f t="shared" si="91"/>
        <v>0</v>
      </c>
      <c r="G1494">
        <f t="shared" si="87"/>
        <v>0</v>
      </c>
    </row>
    <row r="1495" spans="1:7" ht="15.75" hidden="1" thickBot="1" x14ac:dyDescent="0.3">
      <c r="A1495" s="85" t="s">
        <v>3741</v>
      </c>
      <c r="B1495" s="81" t="s">
        <v>3680</v>
      </c>
      <c r="C1495" s="26" t="s">
        <v>37</v>
      </c>
      <c r="D1495" s="14"/>
      <c r="E1495" s="15"/>
      <c r="F1495" s="16">
        <f t="shared" si="91"/>
        <v>0</v>
      </c>
      <c r="G1495">
        <f t="shared" si="87"/>
        <v>0</v>
      </c>
    </row>
    <row r="1496" spans="1:7" ht="15.75" hidden="1" thickBot="1" x14ac:dyDescent="0.3">
      <c r="A1496" s="85" t="s">
        <v>3742</v>
      </c>
      <c r="B1496" s="81" t="s">
        <v>3681</v>
      </c>
      <c r="C1496" s="26" t="s">
        <v>37</v>
      </c>
      <c r="D1496" s="14"/>
      <c r="E1496" s="15"/>
      <c r="F1496" s="16">
        <f t="shared" si="91"/>
        <v>0</v>
      </c>
      <c r="G1496">
        <f t="shared" si="87"/>
        <v>0</v>
      </c>
    </row>
    <row r="1497" spans="1:7" ht="15.75" hidden="1" thickBot="1" x14ac:dyDescent="0.3">
      <c r="A1497" s="85" t="s">
        <v>3743</v>
      </c>
      <c r="B1497" s="81" t="s">
        <v>3682</v>
      </c>
      <c r="C1497" s="26" t="s">
        <v>37</v>
      </c>
      <c r="D1497" s="14"/>
      <c r="E1497" s="15"/>
      <c r="F1497" s="16">
        <f t="shared" si="91"/>
        <v>0</v>
      </c>
      <c r="G1497">
        <f t="shared" si="87"/>
        <v>0</v>
      </c>
    </row>
    <row r="1498" spans="1:7" ht="15.75" hidden="1" thickBot="1" x14ac:dyDescent="0.3">
      <c r="A1498" s="85" t="s">
        <v>3744</v>
      </c>
      <c r="B1498" s="81" t="s">
        <v>3683</v>
      </c>
      <c r="C1498" s="26" t="s">
        <v>37</v>
      </c>
      <c r="D1498" s="14"/>
      <c r="E1498" s="15"/>
      <c r="F1498" s="16">
        <f t="shared" si="91"/>
        <v>0</v>
      </c>
      <c r="G1498">
        <f t="shared" si="87"/>
        <v>0</v>
      </c>
    </row>
    <row r="1499" spans="1:7" ht="15.75" hidden="1" thickBot="1" x14ac:dyDescent="0.3">
      <c r="A1499" s="85" t="s">
        <v>3745</v>
      </c>
      <c r="B1499" s="81" t="s">
        <v>3684</v>
      </c>
      <c r="C1499" s="26" t="s">
        <v>37</v>
      </c>
      <c r="D1499" s="14"/>
      <c r="E1499" s="15"/>
      <c r="F1499" s="16">
        <f t="shared" si="91"/>
        <v>0</v>
      </c>
      <c r="G1499">
        <f t="shared" si="87"/>
        <v>0</v>
      </c>
    </row>
    <row r="1500" spans="1:7" ht="15.75" hidden="1" thickBot="1" x14ac:dyDescent="0.3">
      <c r="A1500" s="85" t="s">
        <v>3746</v>
      </c>
      <c r="B1500" s="81" t="s">
        <v>3685</v>
      </c>
      <c r="C1500" s="26" t="s">
        <v>37</v>
      </c>
      <c r="D1500" s="14"/>
      <c r="E1500" s="15"/>
      <c r="F1500" s="16">
        <f t="shared" si="91"/>
        <v>0</v>
      </c>
      <c r="G1500">
        <f t="shared" si="87"/>
        <v>0</v>
      </c>
    </row>
    <row r="1501" spans="1:7" ht="15.75" hidden="1" thickBot="1" x14ac:dyDescent="0.3">
      <c r="A1501" s="85" t="s">
        <v>3747</v>
      </c>
      <c r="B1501" s="81" t="s">
        <v>3686</v>
      </c>
      <c r="C1501" s="26" t="s">
        <v>37</v>
      </c>
      <c r="D1501" s="14"/>
      <c r="E1501" s="15"/>
      <c r="F1501" s="16">
        <f t="shared" si="91"/>
        <v>0</v>
      </c>
      <c r="G1501">
        <f t="shared" si="87"/>
        <v>0</v>
      </c>
    </row>
    <row r="1502" spans="1:7" ht="15.75" hidden="1" thickBot="1" x14ac:dyDescent="0.3">
      <c r="A1502" s="85" t="s">
        <v>3748</v>
      </c>
      <c r="B1502" s="81" t="s">
        <v>3687</v>
      </c>
      <c r="C1502" s="26" t="s">
        <v>37</v>
      </c>
      <c r="D1502" s="14"/>
      <c r="E1502" s="15"/>
      <c r="F1502" s="16">
        <f t="shared" si="91"/>
        <v>0</v>
      </c>
      <c r="G1502">
        <f t="shared" si="87"/>
        <v>0</v>
      </c>
    </row>
    <row r="1503" spans="1:7" ht="15.75" hidden="1" thickBot="1" x14ac:dyDescent="0.3">
      <c r="A1503" s="85" t="s">
        <v>3749</v>
      </c>
      <c r="B1503" s="81" t="s">
        <v>3688</v>
      </c>
      <c r="C1503" s="26" t="s">
        <v>37</v>
      </c>
      <c r="D1503" s="14"/>
      <c r="E1503" s="15"/>
      <c r="F1503" s="16">
        <f t="shared" si="91"/>
        <v>0</v>
      </c>
      <c r="G1503">
        <f t="shared" si="87"/>
        <v>0</v>
      </c>
    </row>
    <row r="1504" spans="1:7" ht="15.75" hidden="1" thickBot="1" x14ac:dyDescent="0.3">
      <c r="A1504" s="85" t="s">
        <v>3750</v>
      </c>
      <c r="B1504" s="81" t="s">
        <v>3689</v>
      </c>
      <c r="C1504" s="26" t="s">
        <v>37</v>
      </c>
      <c r="D1504" s="14"/>
      <c r="E1504" s="15"/>
      <c r="F1504" s="16">
        <f t="shared" si="91"/>
        <v>0</v>
      </c>
      <c r="G1504">
        <f t="shared" si="87"/>
        <v>0</v>
      </c>
    </row>
    <row r="1505" spans="1:7" ht="15.75" hidden="1" thickBot="1" x14ac:dyDescent="0.3">
      <c r="A1505" s="85" t="s">
        <v>3751</v>
      </c>
      <c r="B1505" s="81" t="s">
        <v>3690</v>
      </c>
      <c r="C1505" s="26" t="s">
        <v>37</v>
      </c>
      <c r="D1505" s="14"/>
      <c r="E1505" s="15"/>
      <c r="F1505" s="16">
        <f t="shared" si="91"/>
        <v>0</v>
      </c>
      <c r="G1505">
        <f t="shared" si="87"/>
        <v>0</v>
      </c>
    </row>
    <row r="1506" spans="1:7" ht="15.75" hidden="1" thickBot="1" x14ac:dyDescent="0.3">
      <c r="A1506" s="85" t="s">
        <v>3752</v>
      </c>
      <c r="B1506" s="81" t="s">
        <v>3691</v>
      </c>
      <c r="C1506" s="26" t="s">
        <v>37</v>
      </c>
      <c r="D1506" s="14"/>
      <c r="E1506" s="15"/>
      <c r="F1506" s="16">
        <f t="shared" si="91"/>
        <v>0</v>
      </c>
      <c r="G1506">
        <f t="shared" si="87"/>
        <v>0</v>
      </c>
    </row>
    <row r="1507" spans="1:7" ht="15.75" hidden="1" thickBot="1" x14ac:dyDescent="0.3">
      <c r="A1507" s="85" t="s">
        <v>3753</v>
      </c>
      <c r="B1507" s="81" t="s">
        <v>3692</v>
      </c>
      <c r="C1507" s="26" t="s">
        <v>37</v>
      </c>
      <c r="D1507" s="14"/>
      <c r="E1507" s="15"/>
      <c r="F1507" s="16">
        <f t="shared" si="91"/>
        <v>0</v>
      </c>
      <c r="G1507">
        <f t="shared" si="87"/>
        <v>0</v>
      </c>
    </row>
    <row r="1508" spans="1:7" ht="15.75" hidden="1" thickBot="1" x14ac:dyDescent="0.3">
      <c r="A1508" s="85" t="s">
        <v>3754</v>
      </c>
      <c r="B1508" s="81" t="s">
        <v>3693</v>
      </c>
      <c r="C1508" s="26" t="s">
        <v>37</v>
      </c>
      <c r="D1508" s="14"/>
      <c r="E1508" s="15"/>
      <c r="F1508" s="16">
        <f t="shared" si="91"/>
        <v>0</v>
      </c>
      <c r="G1508">
        <f t="shared" ref="G1508:G1571" si="92">+IF(F1508&lt;&gt;0,1,0)</f>
        <v>0</v>
      </c>
    </row>
    <row r="1509" spans="1:7" ht="15.75" hidden="1" thickBot="1" x14ac:dyDescent="0.3">
      <c r="A1509" s="85" t="s">
        <v>3755</v>
      </c>
      <c r="B1509" s="81" t="s">
        <v>3694</v>
      </c>
      <c r="C1509" s="26" t="s">
        <v>37</v>
      </c>
      <c r="D1509" s="14"/>
      <c r="E1509" s="15"/>
      <c r="F1509" s="16">
        <f t="shared" si="91"/>
        <v>0</v>
      </c>
      <c r="G1509">
        <f t="shared" si="92"/>
        <v>0</v>
      </c>
    </row>
    <row r="1510" spans="1:7" ht="15.75" hidden="1" thickBot="1" x14ac:dyDescent="0.3">
      <c r="A1510" s="85" t="s">
        <v>3756</v>
      </c>
      <c r="B1510" s="81" t="s">
        <v>3695</v>
      </c>
      <c r="C1510" s="26" t="s">
        <v>37</v>
      </c>
      <c r="D1510" s="14"/>
      <c r="E1510" s="15"/>
      <c r="F1510" s="16">
        <f t="shared" si="91"/>
        <v>0</v>
      </c>
      <c r="G1510">
        <f t="shared" si="92"/>
        <v>0</v>
      </c>
    </row>
    <row r="1511" spans="1:7" ht="15.75" hidden="1" thickBot="1" x14ac:dyDescent="0.3">
      <c r="A1511" s="85" t="s">
        <v>3757</v>
      </c>
      <c r="B1511" s="81" t="s">
        <v>3696</v>
      </c>
      <c r="C1511" s="26" t="s">
        <v>37</v>
      </c>
      <c r="D1511" s="14"/>
      <c r="E1511" s="15"/>
      <c r="F1511" s="16">
        <f t="shared" si="91"/>
        <v>0</v>
      </c>
      <c r="G1511">
        <f t="shared" si="92"/>
        <v>0</v>
      </c>
    </row>
    <row r="1512" spans="1:7" ht="15.75" hidden="1" thickBot="1" x14ac:dyDescent="0.3">
      <c r="A1512" s="85" t="s">
        <v>3758</v>
      </c>
      <c r="B1512" s="81" t="s">
        <v>3697</v>
      </c>
      <c r="C1512" s="26" t="s">
        <v>37</v>
      </c>
      <c r="D1512" s="14"/>
      <c r="E1512" s="15"/>
      <c r="F1512" s="16">
        <f t="shared" si="91"/>
        <v>0</v>
      </c>
      <c r="G1512">
        <f t="shared" si="92"/>
        <v>0</v>
      </c>
    </row>
    <row r="1513" spans="1:7" ht="15.75" hidden="1" thickBot="1" x14ac:dyDescent="0.3">
      <c r="A1513" s="85" t="s">
        <v>3759</v>
      </c>
      <c r="B1513" s="81" t="s">
        <v>3698</v>
      </c>
      <c r="C1513" s="26" t="s">
        <v>37</v>
      </c>
      <c r="D1513" s="14"/>
      <c r="E1513" s="15"/>
      <c r="F1513" s="16">
        <f t="shared" si="91"/>
        <v>0</v>
      </c>
      <c r="G1513">
        <f t="shared" si="92"/>
        <v>0</v>
      </c>
    </row>
    <row r="1514" spans="1:7" ht="15.75" hidden="1" thickBot="1" x14ac:dyDescent="0.3">
      <c r="A1514" s="85" t="s">
        <v>3760</v>
      </c>
      <c r="B1514" s="81" t="s">
        <v>3699</v>
      </c>
      <c r="C1514" s="26" t="s">
        <v>37</v>
      </c>
      <c r="D1514" s="14"/>
      <c r="E1514" s="15"/>
      <c r="F1514" s="16">
        <f t="shared" si="91"/>
        <v>0</v>
      </c>
      <c r="G1514">
        <f t="shared" si="92"/>
        <v>0</v>
      </c>
    </row>
    <row r="1515" spans="1:7" ht="15.75" hidden="1" thickBot="1" x14ac:dyDescent="0.3">
      <c r="A1515" s="85" t="s">
        <v>3761</v>
      </c>
      <c r="B1515" s="81" t="s">
        <v>3700</v>
      </c>
      <c r="C1515" s="26" t="s">
        <v>37</v>
      </c>
      <c r="D1515" s="14"/>
      <c r="E1515" s="15"/>
      <c r="F1515" s="16">
        <f t="shared" si="91"/>
        <v>0</v>
      </c>
      <c r="G1515">
        <f t="shared" si="92"/>
        <v>0</v>
      </c>
    </row>
    <row r="1516" spans="1:7" ht="15.75" hidden="1" thickBot="1" x14ac:dyDescent="0.3">
      <c r="A1516" s="85" t="s">
        <v>3762</v>
      </c>
      <c r="B1516" s="81" t="s">
        <v>3701</v>
      </c>
      <c r="C1516" s="26" t="s">
        <v>37</v>
      </c>
      <c r="D1516" s="14"/>
      <c r="E1516" s="15"/>
      <c r="F1516" s="16">
        <f t="shared" si="91"/>
        <v>0</v>
      </c>
      <c r="G1516">
        <f t="shared" si="92"/>
        <v>0</v>
      </c>
    </row>
    <row r="1517" spans="1:7" ht="15.75" hidden="1" thickBot="1" x14ac:dyDescent="0.3">
      <c r="A1517" s="85" t="s">
        <v>3763</v>
      </c>
      <c r="B1517" s="81" t="s">
        <v>3702</v>
      </c>
      <c r="C1517" s="26" t="s">
        <v>37</v>
      </c>
      <c r="D1517" s="14"/>
      <c r="E1517" s="15"/>
      <c r="F1517" s="16">
        <f t="shared" si="91"/>
        <v>0</v>
      </c>
      <c r="G1517">
        <f t="shared" si="92"/>
        <v>0</v>
      </c>
    </row>
    <row r="1518" spans="1:7" ht="15.75" hidden="1" thickBot="1" x14ac:dyDescent="0.3">
      <c r="A1518" s="85" t="s">
        <v>3764</v>
      </c>
      <c r="B1518" s="81" t="s">
        <v>3703</v>
      </c>
      <c r="C1518" s="26" t="s">
        <v>37</v>
      </c>
      <c r="D1518" s="14"/>
      <c r="E1518" s="15"/>
      <c r="F1518" s="16">
        <f t="shared" si="91"/>
        <v>0</v>
      </c>
      <c r="G1518">
        <f t="shared" si="92"/>
        <v>0</v>
      </c>
    </row>
    <row r="1519" spans="1:7" ht="15.75" hidden="1" thickBot="1" x14ac:dyDescent="0.3">
      <c r="A1519" s="85" t="s">
        <v>3765</v>
      </c>
      <c r="B1519" s="81" t="s">
        <v>3704</v>
      </c>
      <c r="C1519" s="26" t="s">
        <v>37</v>
      </c>
      <c r="D1519" s="14"/>
      <c r="E1519" s="15"/>
      <c r="F1519" s="16">
        <f t="shared" si="91"/>
        <v>0</v>
      </c>
      <c r="G1519">
        <f t="shared" si="92"/>
        <v>0</v>
      </c>
    </row>
    <row r="1520" spans="1:7" ht="15.75" hidden="1" thickBot="1" x14ac:dyDescent="0.3">
      <c r="A1520" s="85" t="s">
        <v>3766</v>
      </c>
      <c r="B1520" s="81" t="s">
        <v>3705</v>
      </c>
      <c r="C1520" s="26" t="s">
        <v>37</v>
      </c>
      <c r="D1520" s="14"/>
      <c r="E1520" s="15"/>
      <c r="F1520" s="16">
        <f t="shared" si="91"/>
        <v>0</v>
      </c>
      <c r="G1520">
        <f t="shared" si="92"/>
        <v>0</v>
      </c>
    </row>
    <row r="1521" spans="1:7" ht="15.75" hidden="1" thickBot="1" x14ac:dyDescent="0.3">
      <c r="A1521" s="85" t="s">
        <v>3767</v>
      </c>
      <c r="B1521" s="81" t="s">
        <v>3706</v>
      </c>
      <c r="C1521" s="26" t="s">
        <v>37</v>
      </c>
      <c r="D1521" s="14"/>
      <c r="E1521" s="15"/>
      <c r="F1521" s="16">
        <f t="shared" si="91"/>
        <v>0</v>
      </c>
      <c r="G1521">
        <f t="shared" si="92"/>
        <v>0</v>
      </c>
    </row>
    <row r="1522" spans="1:7" ht="15.75" hidden="1" thickBot="1" x14ac:dyDescent="0.3">
      <c r="A1522" s="85" t="s">
        <v>3768</v>
      </c>
      <c r="B1522" s="81" t="s">
        <v>3707</v>
      </c>
      <c r="C1522" s="26" t="s">
        <v>37</v>
      </c>
      <c r="D1522" s="14"/>
      <c r="E1522" s="15"/>
      <c r="F1522" s="16">
        <f t="shared" si="91"/>
        <v>0</v>
      </c>
      <c r="G1522">
        <f t="shared" si="92"/>
        <v>0</v>
      </c>
    </row>
    <row r="1523" spans="1:7" ht="15.75" hidden="1" thickBot="1" x14ac:dyDescent="0.3">
      <c r="A1523" s="85" t="s">
        <v>3769</v>
      </c>
      <c r="B1523" s="81" t="s">
        <v>3708</v>
      </c>
      <c r="C1523" s="26" t="s">
        <v>37</v>
      </c>
      <c r="D1523" s="14"/>
      <c r="E1523" s="15"/>
      <c r="F1523" s="16">
        <f t="shared" si="91"/>
        <v>0</v>
      </c>
      <c r="G1523">
        <f t="shared" si="92"/>
        <v>0</v>
      </c>
    </row>
    <row r="1524" spans="1:7" ht="15.75" hidden="1" thickBot="1" x14ac:dyDescent="0.3">
      <c r="A1524" s="85" t="s">
        <v>3770</v>
      </c>
      <c r="B1524" s="81" t="s">
        <v>3709</v>
      </c>
      <c r="C1524" s="26" t="s">
        <v>37</v>
      </c>
      <c r="D1524" s="14"/>
      <c r="E1524" s="15"/>
      <c r="F1524" s="16">
        <f t="shared" si="91"/>
        <v>0</v>
      </c>
      <c r="G1524">
        <f t="shared" si="92"/>
        <v>0</v>
      </c>
    </row>
    <row r="1525" spans="1:7" ht="15.75" hidden="1" thickBot="1" x14ac:dyDescent="0.3">
      <c r="A1525" s="85" t="s">
        <v>3771</v>
      </c>
      <c r="B1525" s="81" t="s">
        <v>3710</v>
      </c>
      <c r="C1525" s="26" t="s">
        <v>37</v>
      </c>
      <c r="D1525" s="14"/>
      <c r="E1525" s="15"/>
      <c r="F1525" s="16">
        <f t="shared" si="91"/>
        <v>0</v>
      </c>
      <c r="G1525">
        <f t="shared" si="92"/>
        <v>0</v>
      </c>
    </row>
    <row r="1526" spans="1:7" ht="15.75" hidden="1" thickBot="1" x14ac:dyDescent="0.3">
      <c r="A1526" s="85" t="s">
        <v>3772</v>
      </c>
      <c r="B1526" s="81" t="s">
        <v>3711</v>
      </c>
      <c r="C1526" s="26" t="s">
        <v>37</v>
      </c>
      <c r="D1526" s="14"/>
      <c r="E1526" s="15"/>
      <c r="F1526" s="16">
        <f t="shared" si="91"/>
        <v>0</v>
      </c>
      <c r="G1526">
        <f t="shared" si="92"/>
        <v>0</v>
      </c>
    </row>
    <row r="1527" spans="1:7" ht="15.75" hidden="1" thickBot="1" x14ac:dyDescent="0.3">
      <c r="A1527" s="85" t="s">
        <v>3773</v>
      </c>
      <c r="B1527" s="81" t="s">
        <v>3712</v>
      </c>
      <c r="C1527" s="26" t="s">
        <v>37</v>
      </c>
      <c r="D1527" s="14"/>
      <c r="E1527" s="15"/>
      <c r="F1527" s="16">
        <f t="shared" si="91"/>
        <v>0</v>
      </c>
      <c r="G1527">
        <f t="shared" si="92"/>
        <v>0</v>
      </c>
    </row>
    <row r="1528" spans="1:7" ht="15.75" hidden="1" thickBot="1" x14ac:dyDescent="0.3">
      <c r="A1528" s="85" t="s">
        <v>3774</v>
      </c>
      <c r="B1528" s="81" t="s">
        <v>3713</v>
      </c>
      <c r="C1528" s="26" t="s">
        <v>37</v>
      </c>
      <c r="D1528" s="14"/>
      <c r="E1528" s="15"/>
      <c r="F1528" s="16">
        <f t="shared" si="91"/>
        <v>0</v>
      </c>
      <c r="G1528">
        <f t="shared" si="92"/>
        <v>0</v>
      </c>
    </row>
    <row r="1529" spans="1:7" ht="15.75" hidden="1" thickBot="1" x14ac:dyDescent="0.3">
      <c r="A1529" s="85" t="s">
        <v>3775</v>
      </c>
      <c r="B1529" s="81" t="s">
        <v>3714</v>
      </c>
      <c r="C1529" s="26" t="s">
        <v>37</v>
      </c>
      <c r="D1529" s="14"/>
      <c r="E1529" s="15"/>
      <c r="F1529" s="16">
        <f t="shared" si="91"/>
        <v>0</v>
      </c>
      <c r="G1529">
        <f t="shared" si="92"/>
        <v>0</v>
      </c>
    </row>
    <row r="1530" spans="1:7" ht="15.75" hidden="1" thickBot="1" x14ac:dyDescent="0.3">
      <c r="A1530" s="85" t="s">
        <v>3776</v>
      </c>
      <c r="B1530" s="81" t="s">
        <v>3715</v>
      </c>
      <c r="C1530" s="26" t="s">
        <v>37</v>
      </c>
      <c r="D1530" s="14"/>
      <c r="E1530" s="15"/>
      <c r="F1530" s="16">
        <f t="shared" si="91"/>
        <v>0</v>
      </c>
      <c r="G1530">
        <f t="shared" si="92"/>
        <v>0</v>
      </c>
    </row>
    <row r="1531" spans="1:7" ht="15.75" hidden="1" thickBot="1" x14ac:dyDescent="0.3">
      <c r="A1531" s="85" t="s">
        <v>3777</v>
      </c>
      <c r="B1531" s="81" t="s">
        <v>3716</v>
      </c>
      <c r="C1531" s="26" t="s">
        <v>37</v>
      </c>
      <c r="D1531" s="14"/>
      <c r="E1531" s="15"/>
      <c r="F1531" s="16">
        <f t="shared" si="91"/>
        <v>0</v>
      </c>
      <c r="G1531">
        <f t="shared" si="92"/>
        <v>0</v>
      </c>
    </row>
    <row r="1532" spans="1:7" ht="15.75" hidden="1" thickBot="1" x14ac:dyDescent="0.3">
      <c r="A1532" s="85" t="s">
        <v>3778</v>
      </c>
      <c r="B1532" s="81" t="s">
        <v>3726</v>
      </c>
      <c r="C1532" s="26" t="s">
        <v>37</v>
      </c>
      <c r="D1532" s="14"/>
      <c r="E1532" s="15"/>
      <c r="F1532" s="16">
        <f t="shared" si="91"/>
        <v>0</v>
      </c>
      <c r="G1532">
        <f t="shared" si="92"/>
        <v>0</v>
      </c>
    </row>
    <row r="1533" spans="1:7" ht="15.75" hidden="1" thickBot="1" x14ac:dyDescent="0.3">
      <c r="A1533" s="85" t="s">
        <v>3779</v>
      </c>
      <c r="B1533" s="81" t="s">
        <v>3717</v>
      </c>
      <c r="C1533" s="26" t="s">
        <v>37</v>
      </c>
      <c r="D1533" s="14"/>
      <c r="E1533" s="15"/>
      <c r="F1533" s="16">
        <f t="shared" si="91"/>
        <v>0</v>
      </c>
      <c r="G1533">
        <f t="shared" si="92"/>
        <v>0</v>
      </c>
    </row>
    <row r="1534" spans="1:7" ht="15.75" hidden="1" thickBot="1" x14ac:dyDescent="0.3">
      <c r="A1534" s="85" t="s">
        <v>3780</v>
      </c>
      <c r="B1534" s="81" t="s">
        <v>3718</v>
      </c>
      <c r="C1534" s="26" t="s">
        <v>37</v>
      </c>
      <c r="D1534" s="14"/>
      <c r="E1534" s="15"/>
      <c r="F1534" s="16">
        <f t="shared" si="91"/>
        <v>0</v>
      </c>
      <c r="G1534">
        <f t="shared" si="92"/>
        <v>0</v>
      </c>
    </row>
    <row r="1535" spans="1:7" ht="15.75" hidden="1" thickBot="1" x14ac:dyDescent="0.3">
      <c r="A1535" s="85" t="s">
        <v>3781</v>
      </c>
      <c r="B1535" s="81" t="s">
        <v>3719</v>
      </c>
      <c r="C1535" s="26" t="s">
        <v>37</v>
      </c>
      <c r="D1535" s="14"/>
      <c r="E1535" s="15"/>
      <c r="F1535" s="16">
        <f t="shared" si="91"/>
        <v>0</v>
      </c>
      <c r="G1535">
        <f t="shared" si="92"/>
        <v>0</v>
      </c>
    </row>
    <row r="1536" spans="1:7" ht="15.75" hidden="1" thickBot="1" x14ac:dyDescent="0.3">
      <c r="A1536" s="85" t="s">
        <v>3782</v>
      </c>
      <c r="B1536" s="81" t="s">
        <v>3720</v>
      </c>
      <c r="C1536" s="26" t="s">
        <v>37</v>
      </c>
      <c r="D1536" s="14"/>
      <c r="E1536" s="15"/>
      <c r="F1536" s="16">
        <f t="shared" si="91"/>
        <v>0</v>
      </c>
      <c r="G1536">
        <f t="shared" si="92"/>
        <v>0</v>
      </c>
    </row>
    <row r="1537" spans="1:7" ht="15.75" hidden="1" thickBot="1" x14ac:dyDescent="0.3">
      <c r="A1537" s="85" t="s">
        <v>3783</v>
      </c>
      <c r="B1537" s="81" t="s">
        <v>3721</v>
      </c>
      <c r="C1537" s="26" t="s">
        <v>37</v>
      </c>
      <c r="D1537" s="14"/>
      <c r="E1537" s="15"/>
      <c r="F1537" s="16">
        <f t="shared" si="91"/>
        <v>0</v>
      </c>
      <c r="G1537">
        <f t="shared" si="92"/>
        <v>0</v>
      </c>
    </row>
    <row r="1538" spans="1:7" ht="15.75" hidden="1" thickBot="1" x14ac:dyDescent="0.3">
      <c r="A1538" s="85" t="s">
        <v>3784</v>
      </c>
      <c r="B1538" s="81" t="s">
        <v>3722</v>
      </c>
      <c r="C1538" s="26" t="s">
        <v>37</v>
      </c>
      <c r="D1538" s="14"/>
      <c r="E1538" s="15"/>
      <c r="F1538" s="16">
        <f t="shared" si="91"/>
        <v>0</v>
      </c>
      <c r="G1538">
        <f t="shared" si="92"/>
        <v>0</v>
      </c>
    </row>
    <row r="1539" spans="1:7" ht="15.75" hidden="1" thickBot="1" x14ac:dyDescent="0.3">
      <c r="A1539" s="85" t="s">
        <v>3785</v>
      </c>
      <c r="B1539" s="81" t="s">
        <v>3723</v>
      </c>
      <c r="C1539" s="26" t="s">
        <v>37</v>
      </c>
      <c r="D1539" s="14"/>
      <c r="E1539" s="15"/>
      <c r="F1539" s="16">
        <f t="shared" si="91"/>
        <v>0</v>
      </c>
      <c r="G1539">
        <f t="shared" si="92"/>
        <v>0</v>
      </c>
    </row>
    <row r="1540" spans="1:7" ht="15.75" hidden="1" thickBot="1" x14ac:dyDescent="0.3">
      <c r="A1540" s="85" t="s">
        <v>3786</v>
      </c>
      <c r="B1540" s="81" t="s">
        <v>3724</v>
      </c>
      <c r="C1540" s="26" t="s">
        <v>37</v>
      </c>
      <c r="D1540" s="14"/>
      <c r="E1540" s="15"/>
      <c r="F1540" s="16">
        <f t="shared" si="91"/>
        <v>0</v>
      </c>
      <c r="G1540">
        <f t="shared" si="92"/>
        <v>0</v>
      </c>
    </row>
    <row r="1541" spans="1:7" ht="15.75" hidden="1" thickBot="1" x14ac:dyDescent="0.3">
      <c r="A1541" s="85" t="s">
        <v>3787</v>
      </c>
      <c r="B1541" s="81" t="s">
        <v>3725</v>
      </c>
      <c r="C1541" s="26" t="s">
        <v>37</v>
      </c>
      <c r="D1541" s="14"/>
      <c r="E1541" s="15"/>
      <c r="F1541" s="16">
        <f t="shared" si="91"/>
        <v>0</v>
      </c>
      <c r="G1541">
        <f t="shared" si="92"/>
        <v>0</v>
      </c>
    </row>
    <row r="1542" spans="1:7" ht="15.75" hidden="1" thickBot="1" x14ac:dyDescent="0.3">
      <c r="A1542" s="85" t="s">
        <v>3788</v>
      </c>
      <c r="B1542" s="81" t="s">
        <v>3727</v>
      </c>
      <c r="C1542" s="26" t="s">
        <v>37</v>
      </c>
      <c r="D1542" s="14"/>
      <c r="E1542" s="15"/>
      <c r="F1542" s="16">
        <f t="shared" si="91"/>
        <v>0</v>
      </c>
      <c r="G1542">
        <f t="shared" si="92"/>
        <v>0</v>
      </c>
    </row>
    <row r="1543" spans="1:7" ht="15.75" hidden="1" thickBot="1" x14ac:dyDescent="0.3">
      <c r="A1543" s="85" t="s">
        <v>3789</v>
      </c>
      <c r="B1543" s="81" t="s">
        <v>3728</v>
      </c>
      <c r="C1543" s="26" t="s">
        <v>37</v>
      </c>
      <c r="D1543" s="14"/>
      <c r="E1543" s="15"/>
      <c r="F1543" s="16">
        <f t="shared" si="91"/>
        <v>0</v>
      </c>
      <c r="G1543">
        <f t="shared" si="92"/>
        <v>0</v>
      </c>
    </row>
    <row r="1544" spans="1:7" ht="15.75" hidden="1" thickBot="1" x14ac:dyDescent="0.3">
      <c r="A1544" s="85" t="s">
        <v>3790</v>
      </c>
      <c r="B1544" s="81" t="s">
        <v>3729</v>
      </c>
      <c r="C1544" s="26" t="s">
        <v>37</v>
      </c>
      <c r="D1544" s="14"/>
      <c r="E1544" s="15"/>
      <c r="F1544" s="16">
        <f t="shared" si="91"/>
        <v>0</v>
      </c>
      <c r="G1544">
        <f t="shared" si="92"/>
        <v>0</v>
      </c>
    </row>
    <row r="1545" spans="1:7" ht="15.75" hidden="1" thickBot="1" x14ac:dyDescent="0.3">
      <c r="A1545" s="85" t="s">
        <v>3791</v>
      </c>
      <c r="B1545" s="81" t="s">
        <v>3730</v>
      </c>
      <c r="C1545" s="26" t="s">
        <v>37</v>
      </c>
      <c r="D1545" s="14"/>
      <c r="E1545" s="15"/>
      <c r="F1545" s="16">
        <f t="shared" si="91"/>
        <v>0</v>
      </c>
      <c r="G1545">
        <f t="shared" si="92"/>
        <v>0</v>
      </c>
    </row>
    <row r="1546" spans="1:7" ht="15.75" hidden="1" thickBot="1" x14ac:dyDescent="0.3">
      <c r="A1546" s="85" t="s">
        <v>3792</v>
      </c>
      <c r="B1546" s="81" t="s">
        <v>3731</v>
      </c>
      <c r="C1546" s="26" t="s">
        <v>37</v>
      </c>
      <c r="D1546" s="14"/>
      <c r="E1546" s="15"/>
      <c r="F1546" s="16">
        <f t="shared" si="91"/>
        <v>0</v>
      </c>
      <c r="G1546">
        <f t="shared" si="92"/>
        <v>0</v>
      </c>
    </row>
    <row r="1547" spans="1:7" ht="15.75" hidden="1" thickBot="1" x14ac:dyDescent="0.3">
      <c r="A1547" s="85" t="s">
        <v>3793</v>
      </c>
      <c r="B1547" s="81" t="s">
        <v>3732</v>
      </c>
      <c r="C1547" s="26" t="s">
        <v>37</v>
      </c>
      <c r="D1547" s="14"/>
      <c r="E1547" s="15"/>
      <c r="F1547" s="16">
        <f t="shared" si="91"/>
        <v>0</v>
      </c>
      <c r="G1547">
        <f t="shared" si="92"/>
        <v>0</v>
      </c>
    </row>
    <row r="1548" spans="1:7" ht="15.75" hidden="1" thickBot="1" x14ac:dyDescent="0.3">
      <c r="A1548" s="85" t="s">
        <v>3794</v>
      </c>
      <c r="B1548" s="81" t="s">
        <v>3733</v>
      </c>
      <c r="C1548" s="26" t="s">
        <v>37</v>
      </c>
      <c r="D1548" s="14"/>
      <c r="E1548" s="15"/>
      <c r="F1548" s="16">
        <f t="shared" si="91"/>
        <v>0</v>
      </c>
      <c r="G1548">
        <f t="shared" si="92"/>
        <v>0</v>
      </c>
    </row>
    <row r="1549" spans="1:7" ht="15.75" hidden="1" thickBot="1" x14ac:dyDescent="0.3">
      <c r="A1549" s="85" t="s">
        <v>3795</v>
      </c>
      <c r="B1549" s="81" t="s">
        <v>3734</v>
      </c>
      <c r="C1549" s="26" t="s">
        <v>37</v>
      </c>
      <c r="D1549" s="14"/>
      <c r="E1549" s="15"/>
      <c r="F1549" s="16">
        <f t="shared" si="91"/>
        <v>0</v>
      </c>
      <c r="G1549">
        <f t="shared" si="92"/>
        <v>0</v>
      </c>
    </row>
    <row r="1550" spans="1:7" ht="15.75" hidden="1" thickBot="1" x14ac:dyDescent="0.3">
      <c r="A1550" s="85" t="s">
        <v>3796</v>
      </c>
      <c r="B1550" s="81" t="s">
        <v>3735</v>
      </c>
      <c r="C1550" s="26" t="s">
        <v>37</v>
      </c>
      <c r="D1550" s="14"/>
      <c r="E1550" s="15"/>
      <c r="F1550" s="16">
        <f t="shared" si="91"/>
        <v>0</v>
      </c>
      <c r="G1550">
        <f t="shared" si="92"/>
        <v>0</v>
      </c>
    </row>
    <row r="1551" spans="1:7" ht="15.75" hidden="1" thickBot="1" x14ac:dyDescent="0.3">
      <c r="A1551" s="85" t="s">
        <v>3918</v>
      </c>
      <c r="B1551" s="81" t="s">
        <v>3736</v>
      </c>
      <c r="C1551" s="26" t="s">
        <v>37</v>
      </c>
      <c r="D1551" s="14"/>
      <c r="E1551" s="15"/>
      <c r="F1551" s="16">
        <f t="shared" si="91"/>
        <v>0</v>
      </c>
      <c r="G1551">
        <f t="shared" si="92"/>
        <v>0</v>
      </c>
    </row>
    <row r="1552" spans="1:7" ht="15.75" hidden="1" thickBot="1" x14ac:dyDescent="0.3">
      <c r="A1552" s="78" t="s">
        <v>3797</v>
      </c>
      <c r="B1552" s="80" t="s">
        <v>3737</v>
      </c>
      <c r="C1552" s="26"/>
      <c r="D1552" s="14"/>
      <c r="E1552" s="15"/>
      <c r="F1552" s="16"/>
      <c r="G1552">
        <f t="shared" si="92"/>
        <v>0</v>
      </c>
    </row>
    <row r="1553" spans="1:7" ht="15.75" hidden="1" thickBot="1" x14ac:dyDescent="0.3">
      <c r="A1553" s="85" t="s">
        <v>3798</v>
      </c>
      <c r="B1553" s="81" t="s">
        <v>3799</v>
      </c>
      <c r="C1553" s="26" t="s">
        <v>37</v>
      </c>
      <c r="D1553" s="14"/>
      <c r="E1553" s="15"/>
      <c r="F1553" s="16">
        <f t="shared" ref="F1553:F1616" si="93">+D1553*E1553</f>
        <v>0</v>
      </c>
      <c r="G1553">
        <f t="shared" si="92"/>
        <v>0</v>
      </c>
    </row>
    <row r="1554" spans="1:7" ht="15.75" hidden="1" thickBot="1" x14ac:dyDescent="0.3">
      <c r="A1554" s="85" t="s">
        <v>3859</v>
      </c>
      <c r="B1554" s="81" t="s">
        <v>3800</v>
      </c>
      <c r="C1554" s="26" t="s">
        <v>37</v>
      </c>
      <c r="D1554" s="14"/>
      <c r="E1554" s="15"/>
      <c r="F1554" s="16">
        <f t="shared" si="93"/>
        <v>0</v>
      </c>
      <c r="G1554">
        <f t="shared" si="92"/>
        <v>0</v>
      </c>
    </row>
    <row r="1555" spans="1:7" ht="15.75" hidden="1" thickBot="1" x14ac:dyDescent="0.3">
      <c r="A1555" s="85" t="s">
        <v>3860</v>
      </c>
      <c r="B1555" s="81" t="s">
        <v>3801</v>
      </c>
      <c r="C1555" s="26" t="s">
        <v>37</v>
      </c>
      <c r="D1555" s="14"/>
      <c r="E1555" s="15"/>
      <c r="F1555" s="16">
        <f t="shared" si="93"/>
        <v>0</v>
      </c>
      <c r="G1555">
        <f t="shared" si="92"/>
        <v>0</v>
      </c>
    </row>
    <row r="1556" spans="1:7" ht="15.75" hidden="1" thickBot="1" x14ac:dyDescent="0.3">
      <c r="A1556" s="85" t="s">
        <v>3861</v>
      </c>
      <c r="B1556" s="81" t="s">
        <v>3802</v>
      </c>
      <c r="C1556" s="26" t="s">
        <v>37</v>
      </c>
      <c r="D1556" s="14"/>
      <c r="E1556" s="15"/>
      <c r="F1556" s="16">
        <f t="shared" si="93"/>
        <v>0</v>
      </c>
      <c r="G1556">
        <f t="shared" si="92"/>
        <v>0</v>
      </c>
    </row>
    <row r="1557" spans="1:7" ht="15.75" hidden="1" thickBot="1" x14ac:dyDescent="0.3">
      <c r="A1557" s="85" t="s">
        <v>3862</v>
      </c>
      <c r="B1557" s="81" t="s">
        <v>3803</v>
      </c>
      <c r="C1557" s="26" t="s">
        <v>37</v>
      </c>
      <c r="D1557" s="14"/>
      <c r="E1557" s="15"/>
      <c r="F1557" s="16">
        <f t="shared" si="93"/>
        <v>0</v>
      </c>
      <c r="G1557">
        <f t="shared" si="92"/>
        <v>0</v>
      </c>
    </row>
    <row r="1558" spans="1:7" ht="15.75" hidden="1" thickBot="1" x14ac:dyDescent="0.3">
      <c r="A1558" s="85" t="s">
        <v>3863</v>
      </c>
      <c r="B1558" s="81" t="s">
        <v>3804</v>
      </c>
      <c r="C1558" s="26" t="s">
        <v>37</v>
      </c>
      <c r="D1558" s="14"/>
      <c r="E1558" s="15"/>
      <c r="F1558" s="16">
        <f t="shared" si="93"/>
        <v>0</v>
      </c>
      <c r="G1558">
        <f t="shared" si="92"/>
        <v>0</v>
      </c>
    </row>
    <row r="1559" spans="1:7" ht="15.75" hidden="1" thickBot="1" x14ac:dyDescent="0.3">
      <c r="A1559" s="85" t="s">
        <v>3864</v>
      </c>
      <c r="B1559" s="81" t="s">
        <v>3805</v>
      </c>
      <c r="C1559" s="26" t="s">
        <v>37</v>
      </c>
      <c r="D1559" s="14"/>
      <c r="E1559" s="15"/>
      <c r="F1559" s="16">
        <f t="shared" si="93"/>
        <v>0</v>
      </c>
      <c r="G1559">
        <f t="shared" si="92"/>
        <v>0</v>
      </c>
    </row>
    <row r="1560" spans="1:7" ht="15.75" hidden="1" thickBot="1" x14ac:dyDescent="0.3">
      <c r="A1560" s="85" t="s">
        <v>3865</v>
      </c>
      <c r="B1560" s="81" t="s">
        <v>3806</v>
      </c>
      <c r="C1560" s="26" t="s">
        <v>37</v>
      </c>
      <c r="D1560" s="14"/>
      <c r="E1560" s="15"/>
      <c r="F1560" s="16">
        <f t="shared" si="93"/>
        <v>0</v>
      </c>
      <c r="G1560">
        <f t="shared" si="92"/>
        <v>0</v>
      </c>
    </row>
    <row r="1561" spans="1:7" ht="15.75" hidden="1" thickBot="1" x14ac:dyDescent="0.3">
      <c r="A1561" s="85" t="s">
        <v>3866</v>
      </c>
      <c r="B1561" s="81" t="s">
        <v>3807</v>
      </c>
      <c r="C1561" s="26" t="s">
        <v>37</v>
      </c>
      <c r="D1561" s="14"/>
      <c r="E1561" s="15"/>
      <c r="F1561" s="16">
        <f t="shared" si="93"/>
        <v>0</v>
      </c>
      <c r="G1561">
        <f t="shared" si="92"/>
        <v>0</v>
      </c>
    </row>
    <row r="1562" spans="1:7" ht="15.75" hidden="1" thickBot="1" x14ac:dyDescent="0.3">
      <c r="A1562" s="85" t="s">
        <v>3867</v>
      </c>
      <c r="B1562" s="81" t="s">
        <v>3808</v>
      </c>
      <c r="C1562" s="26" t="s">
        <v>37</v>
      </c>
      <c r="D1562" s="14"/>
      <c r="E1562" s="15"/>
      <c r="F1562" s="16">
        <f t="shared" si="93"/>
        <v>0</v>
      </c>
      <c r="G1562">
        <f t="shared" si="92"/>
        <v>0</v>
      </c>
    </row>
    <row r="1563" spans="1:7" ht="15.75" hidden="1" thickBot="1" x14ac:dyDescent="0.3">
      <c r="A1563" s="85" t="s">
        <v>3868</v>
      </c>
      <c r="B1563" s="81" t="s">
        <v>3809</v>
      </c>
      <c r="C1563" s="26" t="s">
        <v>37</v>
      </c>
      <c r="D1563" s="14"/>
      <c r="E1563" s="15"/>
      <c r="F1563" s="16">
        <f t="shared" si="93"/>
        <v>0</v>
      </c>
      <c r="G1563">
        <f t="shared" si="92"/>
        <v>0</v>
      </c>
    </row>
    <row r="1564" spans="1:7" ht="15.75" hidden="1" thickBot="1" x14ac:dyDescent="0.3">
      <c r="A1564" s="85" t="s">
        <v>3869</v>
      </c>
      <c r="B1564" s="81" t="s">
        <v>3810</v>
      </c>
      <c r="C1564" s="26" t="s">
        <v>37</v>
      </c>
      <c r="D1564" s="14"/>
      <c r="E1564" s="15"/>
      <c r="F1564" s="16">
        <f t="shared" si="93"/>
        <v>0</v>
      </c>
      <c r="G1564">
        <f t="shared" si="92"/>
        <v>0</v>
      </c>
    </row>
    <row r="1565" spans="1:7" ht="15.75" hidden="1" thickBot="1" x14ac:dyDescent="0.3">
      <c r="A1565" s="85" t="s">
        <v>3870</v>
      </c>
      <c r="B1565" s="81" t="s">
        <v>3811</v>
      </c>
      <c r="C1565" s="26" t="s">
        <v>37</v>
      </c>
      <c r="D1565" s="14"/>
      <c r="E1565" s="15"/>
      <c r="F1565" s="16">
        <f t="shared" si="93"/>
        <v>0</v>
      </c>
      <c r="G1565">
        <f t="shared" si="92"/>
        <v>0</v>
      </c>
    </row>
    <row r="1566" spans="1:7" ht="15.75" hidden="1" thickBot="1" x14ac:dyDescent="0.3">
      <c r="A1566" s="85" t="s">
        <v>3871</v>
      </c>
      <c r="B1566" s="81" t="s">
        <v>3812</v>
      </c>
      <c r="C1566" s="26" t="s">
        <v>37</v>
      </c>
      <c r="D1566" s="14"/>
      <c r="E1566" s="15"/>
      <c r="F1566" s="16">
        <f t="shared" si="93"/>
        <v>0</v>
      </c>
      <c r="G1566">
        <f t="shared" si="92"/>
        <v>0</v>
      </c>
    </row>
    <row r="1567" spans="1:7" ht="15.75" hidden="1" thickBot="1" x14ac:dyDescent="0.3">
      <c r="A1567" s="85" t="s">
        <v>3872</v>
      </c>
      <c r="B1567" s="81" t="s">
        <v>3813</v>
      </c>
      <c r="C1567" s="26" t="s">
        <v>37</v>
      </c>
      <c r="D1567" s="14"/>
      <c r="E1567" s="15"/>
      <c r="F1567" s="16">
        <f t="shared" si="93"/>
        <v>0</v>
      </c>
      <c r="G1567">
        <f t="shared" si="92"/>
        <v>0</v>
      </c>
    </row>
    <row r="1568" spans="1:7" ht="15.75" hidden="1" thickBot="1" x14ac:dyDescent="0.3">
      <c r="A1568" s="85" t="s">
        <v>3873</v>
      </c>
      <c r="B1568" s="81" t="s">
        <v>3814</v>
      </c>
      <c r="C1568" s="26" t="s">
        <v>37</v>
      </c>
      <c r="D1568" s="14"/>
      <c r="E1568" s="15"/>
      <c r="F1568" s="16">
        <f t="shared" si="93"/>
        <v>0</v>
      </c>
      <c r="G1568">
        <f t="shared" si="92"/>
        <v>0</v>
      </c>
    </row>
    <row r="1569" spans="1:7" ht="15.75" hidden="1" thickBot="1" x14ac:dyDescent="0.3">
      <c r="A1569" s="85" t="s">
        <v>3874</v>
      </c>
      <c r="B1569" s="81" t="s">
        <v>3815</v>
      </c>
      <c r="C1569" s="26" t="s">
        <v>37</v>
      </c>
      <c r="D1569" s="14"/>
      <c r="E1569" s="15"/>
      <c r="F1569" s="16">
        <f t="shared" si="93"/>
        <v>0</v>
      </c>
      <c r="G1569">
        <f t="shared" si="92"/>
        <v>0</v>
      </c>
    </row>
    <row r="1570" spans="1:7" ht="15.75" hidden="1" thickBot="1" x14ac:dyDescent="0.3">
      <c r="A1570" s="85" t="s">
        <v>3875</v>
      </c>
      <c r="B1570" s="81" t="s">
        <v>3816</v>
      </c>
      <c r="C1570" s="26" t="s">
        <v>37</v>
      </c>
      <c r="D1570" s="14"/>
      <c r="E1570" s="15"/>
      <c r="F1570" s="16">
        <f t="shared" si="93"/>
        <v>0</v>
      </c>
      <c r="G1570">
        <f t="shared" si="92"/>
        <v>0</v>
      </c>
    </row>
    <row r="1571" spans="1:7" ht="15.75" hidden="1" thickBot="1" x14ac:dyDescent="0.3">
      <c r="A1571" s="85" t="s">
        <v>3876</v>
      </c>
      <c r="B1571" s="81" t="s">
        <v>3817</v>
      </c>
      <c r="C1571" s="26" t="s">
        <v>37</v>
      </c>
      <c r="D1571" s="14"/>
      <c r="E1571" s="15"/>
      <c r="F1571" s="16">
        <f t="shared" si="93"/>
        <v>0</v>
      </c>
      <c r="G1571">
        <f t="shared" si="92"/>
        <v>0</v>
      </c>
    </row>
    <row r="1572" spans="1:7" ht="15.75" hidden="1" thickBot="1" x14ac:dyDescent="0.3">
      <c r="A1572" s="85" t="s">
        <v>3877</v>
      </c>
      <c r="B1572" s="81" t="s">
        <v>3818</v>
      </c>
      <c r="C1572" s="26" t="s">
        <v>37</v>
      </c>
      <c r="D1572" s="14"/>
      <c r="E1572" s="15"/>
      <c r="F1572" s="16">
        <f t="shared" si="93"/>
        <v>0</v>
      </c>
      <c r="G1572">
        <f t="shared" ref="G1572:G1635" si="94">+IF(F1572&lt;&gt;0,1,0)</f>
        <v>0</v>
      </c>
    </row>
    <row r="1573" spans="1:7" ht="15.75" hidden="1" thickBot="1" x14ac:dyDescent="0.3">
      <c r="A1573" s="85" t="s">
        <v>3878</v>
      </c>
      <c r="B1573" s="81" t="s">
        <v>3819</v>
      </c>
      <c r="C1573" s="26" t="s">
        <v>37</v>
      </c>
      <c r="D1573" s="14"/>
      <c r="E1573" s="15"/>
      <c r="F1573" s="16">
        <f t="shared" si="93"/>
        <v>0</v>
      </c>
      <c r="G1573">
        <f t="shared" si="94"/>
        <v>0</v>
      </c>
    </row>
    <row r="1574" spans="1:7" ht="15.75" hidden="1" thickBot="1" x14ac:dyDescent="0.3">
      <c r="A1574" s="85" t="s">
        <v>3879</v>
      </c>
      <c r="B1574" s="81" t="s">
        <v>3820</v>
      </c>
      <c r="C1574" s="26" t="s">
        <v>37</v>
      </c>
      <c r="D1574" s="14"/>
      <c r="E1574" s="15"/>
      <c r="F1574" s="16">
        <f t="shared" si="93"/>
        <v>0</v>
      </c>
      <c r="G1574">
        <f t="shared" si="94"/>
        <v>0</v>
      </c>
    </row>
    <row r="1575" spans="1:7" ht="15.75" hidden="1" thickBot="1" x14ac:dyDescent="0.3">
      <c r="A1575" s="85" t="s">
        <v>3880</v>
      </c>
      <c r="B1575" s="81" t="s">
        <v>3821</v>
      </c>
      <c r="C1575" s="26" t="s">
        <v>37</v>
      </c>
      <c r="D1575" s="14"/>
      <c r="E1575" s="15"/>
      <c r="F1575" s="16">
        <f t="shared" si="93"/>
        <v>0</v>
      </c>
      <c r="G1575">
        <f t="shared" si="94"/>
        <v>0</v>
      </c>
    </row>
    <row r="1576" spans="1:7" ht="15.75" hidden="1" thickBot="1" x14ac:dyDescent="0.3">
      <c r="A1576" s="85" t="s">
        <v>3881</v>
      </c>
      <c r="B1576" s="81" t="s">
        <v>3822</v>
      </c>
      <c r="C1576" s="26" t="s">
        <v>37</v>
      </c>
      <c r="D1576" s="14"/>
      <c r="E1576" s="15"/>
      <c r="F1576" s="16">
        <f t="shared" si="93"/>
        <v>0</v>
      </c>
      <c r="G1576">
        <f t="shared" si="94"/>
        <v>0</v>
      </c>
    </row>
    <row r="1577" spans="1:7" ht="15.75" hidden="1" thickBot="1" x14ac:dyDescent="0.3">
      <c r="A1577" s="85" t="s">
        <v>3882</v>
      </c>
      <c r="B1577" s="81" t="s">
        <v>3823</v>
      </c>
      <c r="C1577" s="26" t="s">
        <v>37</v>
      </c>
      <c r="D1577" s="14"/>
      <c r="E1577" s="15"/>
      <c r="F1577" s="16">
        <f t="shared" si="93"/>
        <v>0</v>
      </c>
      <c r="G1577">
        <f t="shared" si="94"/>
        <v>0</v>
      </c>
    </row>
    <row r="1578" spans="1:7" ht="15.75" hidden="1" thickBot="1" x14ac:dyDescent="0.3">
      <c r="A1578" s="85" t="s">
        <v>3883</v>
      </c>
      <c r="B1578" s="81" t="s">
        <v>3824</v>
      </c>
      <c r="C1578" s="26" t="s">
        <v>37</v>
      </c>
      <c r="D1578" s="14"/>
      <c r="E1578" s="15"/>
      <c r="F1578" s="16">
        <f t="shared" si="93"/>
        <v>0</v>
      </c>
      <c r="G1578">
        <f t="shared" si="94"/>
        <v>0</v>
      </c>
    </row>
    <row r="1579" spans="1:7" ht="15.75" hidden="1" thickBot="1" x14ac:dyDescent="0.3">
      <c r="A1579" s="85" t="s">
        <v>3884</v>
      </c>
      <c r="B1579" s="81" t="s">
        <v>3825</v>
      </c>
      <c r="C1579" s="26" t="s">
        <v>37</v>
      </c>
      <c r="D1579" s="14"/>
      <c r="E1579" s="15"/>
      <c r="F1579" s="16">
        <f t="shared" si="93"/>
        <v>0</v>
      </c>
      <c r="G1579">
        <f t="shared" si="94"/>
        <v>0</v>
      </c>
    </row>
    <row r="1580" spans="1:7" ht="15.75" hidden="1" thickBot="1" x14ac:dyDescent="0.3">
      <c r="A1580" s="85" t="s">
        <v>3885</v>
      </c>
      <c r="B1580" s="81" t="s">
        <v>3826</v>
      </c>
      <c r="C1580" s="26" t="s">
        <v>37</v>
      </c>
      <c r="D1580" s="14"/>
      <c r="E1580" s="15"/>
      <c r="F1580" s="16">
        <f t="shared" si="93"/>
        <v>0</v>
      </c>
      <c r="G1580">
        <f t="shared" si="94"/>
        <v>0</v>
      </c>
    </row>
    <row r="1581" spans="1:7" ht="15.75" hidden="1" thickBot="1" x14ac:dyDescent="0.3">
      <c r="A1581" s="85" t="s">
        <v>3886</v>
      </c>
      <c r="B1581" s="81" t="s">
        <v>3827</v>
      </c>
      <c r="C1581" s="26" t="s">
        <v>37</v>
      </c>
      <c r="D1581" s="14"/>
      <c r="E1581" s="15"/>
      <c r="F1581" s="16">
        <f t="shared" si="93"/>
        <v>0</v>
      </c>
      <c r="G1581">
        <f t="shared" si="94"/>
        <v>0</v>
      </c>
    </row>
    <row r="1582" spans="1:7" ht="15.75" hidden="1" thickBot="1" x14ac:dyDescent="0.3">
      <c r="A1582" s="85" t="s">
        <v>3887</v>
      </c>
      <c r="B1582" s="81" t="s">
        <v>3828</v>
      </c>
      <c r="C1582" s="26" t="s">
        <v>37</v>
      </c>
      <c r="D1582" s="14"/>
      <c r="E1582" s="15"/>
      <c r="F1582" s="16">
        <f t="shared" si="93"/>
        <v>0</v>
      </c>
      <c r="G1582">
        <f t="shared" si="94"/>
        <v>0</v>
      </c>
    </row>
    <row r="1583" spans="1:7" ht="15.75" hidden="1" thickBot="1" x14ac:dyDescent="0.3">
      <c r="A1583" s="85" t="s">
        <v>3888</v>
      </c>
      <c r="B1583" s="81" t="s">
        <v>3829</v>
      </c>
      <c r="C1583" s="26" t="s">
        <v>37</v>
      </c>
      <c r="D1583" s="14"/>
      <c r="E1583" s="15"/>
      <c r="F1583" s="16">
        <f t="shared" si="93"/>
        <v>0</v>
      </c>
      <c r="G1583">
        <f t="shared" si="94"/>
        <v>0</v>
      </c>
    </row>
    <row r="1584" spans="1:7" ht="15.75" hidden="1" thickBot="1" x14ac:dyDescent="0.3">
      <c r="A1584" s="85" t="s">
        <v>3889</v>
      </c>
      <c r="B1584" s="81" t="s">
        <v>3830</v>
      </c>
      <c r="C1584" s="26" t="s">
        <v>37</v>
      </c>
      <c r="D1584" s="14"/>
      <c r="E1584" s="15"/>
      <c r="F1584" s="16">
        <f t="shared" si="93"/>
        <v>0</v>
      </c>
      <c r="G1584">
        <f t="shared" si="94"/>
        <v>0</v>
      </c>
    </row>
    <row r="1585" spans="1:7" ht="15.75" hidden="1" thickBot="1" x14ac:dyDescent="0.3">
      <c r="A1585" s="85" t="s">
        <v>3890</v>
      </c>
      <c r="B1585" s="81" t="s">
        <v>3831</v>
      </c>
      <c r="C1585" s="26" t="s">
        <v>37</v>
      </c>
      <c r="D1585" s="14"/>
      <c r="E1585" s="15"/>
      <c r="F1585" s="16">
        <f t="shared" si="93"/>
        <v>0</v>
      </c>
      <c r="G1585">
        <f t="shared" si="94"/>
        <v>0</v>
      </c>
    </row>
    <row r="1586" spans="1:7" ht="15.75" hidden="1" thickBot="1" x14ac:dyDescent="0.3">
      <c r="A1586" s="85" t="s">
        <v>3891</v>
      </c>
      <c r="B1586" s="81" t="s">
        <v>3832</v>
      </c>
      <c r="C1586" s="26" t="s">
        <v>37</v>
      </c>
      <c r="D1586" s="14"/>
      <c r="E1586" s="15"/>
      <c r="F1586" s="16">
        <f t="shared" si="93"/>
        <v>0</v>
      </c>
      <c r="G1586">
        <f t="shared" si="94"/>
        <v>0</v>
      </c>
    </row>
    <row r="1587" spans="1:7" ht="15.75" hidden="1" thickBot="1" x14ac:dyDescent="0.3">
      <c r="A1587" s="85" t="s">
        <v>3892</v>
      </c>
      <c r="B1587" s="81" t="s">
        <v>3833</v>
      </c>
      <c r="C1587" s="26" t="s">
        <v>37</v>
      </c>
      <c r="D1587" s="14"/>
      <c r="E1587" s="15"/>
      <c r="F1587" s="16">
        <f t="shared" si="93"/>
        <v>0</v>
      </c>
      <c r="G1587">
        <f t="shared" si="94"/>
        <v>0</v>
      </c>
    </row>
    <row r="1588" spans="1:7" ht="15.75" hidden="1" thickBot="1" x14ac:dyDescent="0.3">
      <c r="A1588" s="85" t="s">
        <v>3893</v>
      </c>
      <c r="B1588" s="81" t="s">
        <v>3834</v>
      </c>
      <c r="C1588" s="26" t="s">
        <v>37</v>
      </c>
      <c r="D1588" s="14"/>
      <c r="E1588" s="15"/>
      <c r="F1588" s="16">
        <f t="shared" si="93"/>
        <v>0</v>
      </c>
      <c r="G1588">
        <f t="shared" si="94"/>
        <v>0</v>
      </c>
    </row>
    <row r="1589" spans="1:7" ht="15.75" hidden="1" thickBot="1" x14ac:dyDescent="0.3">
      <c r="A1589" s="85" t="s">
        <v>3894</v>
      </c>
      <c r="B1589" s="81" t="s">
        <v>3835</v>
      </c>
      <c r="C1589" s="26" t="s">
        <v>37</v>
      </c>
      <c r="D1589" s="14"/>
      <c r="E1589" s="15"/>
      <c r="F1589" s="16">
        <f t="shared" si="93"/>
        <v>0</v>
      </c>
      <c r="G1589">
        <f t="shared" si="94"/>
        <v>0</v>
      </c>
    </row>
    <row r="1590" spans="1:7" ht="15.75" hidden="1" thickBot="1" x14ac:dyDescent="0.3">
      <c r="A1590" s="85" t="s">
        <v>3895</v>
      </c>
      <c r="B1590" s="81" t="s">
        <v>3836</v>
      </c>
      <c r="C1590" s="26" t="s">
        <v>37</v>
      </c>
      <c r="D1590" s="14"/>
      <c r="E1590" s="15"/>
      <c r="F1590" s="16">
        <f t="shared" si="93"/>
        <v>0</v>
      </c>
      <c r="G1590">
        <f t="shared" si="94"/>
        <v>0</v>
      </c>
    </row>
    <row r="1591" spans="1:7" ht="15.75" hidden="1" thickBot="1" x14ac:dyDescent="0.3">
      <c r="A1591" s="85" t="s">
        <v>3896</v>
      </c>
      <c r="B1591" s="81" t="s">
        <v>3837</v>
      </c>
      <c r="C1591" s="26" t="s">
        <v>37</v>
      </c>
      <c r="D1591" s="14"/>
      <c r="E1591" s="15"/>
      <c r="F1591" s="16">
        <f t="shared" si="93"/>
        <v>0</v>
      </c>
      <c r="G1591">
        <f t="shared" si="94"/>
        <v>0</v>
      </c>
    </row>
    <row r="1592" spans="1:7" ht="15.75" hidden="1" thickBot="1" x14ac:dyDescent="0.3">
      <c r="A1592" s="85" t="s">
        <v>3897</v>
      </c>
      <c r="B1592" s="81" t="s">
        <v>3838</v>
      </c>
      <c r="C1592" s="26" t="s">
        <v>37</v>
      </c>
      <c r="D1592" s="14"/>
      <c r="E1592" s="15"/>
      <c r="F1592" s="16">
        <f t="shared" si="93"/>
        <v>0</v>
      </c>
      <c r="G1592">
        <f t="shared" si="94"/>
        <v>0</v>
      </c>
    </row>
    <row r="1593" spans="1:7" ht="15.75" hidden="1" thickBot="1" x14ac:dyDescent="0.3">
      <c r="A1593" s="85" t="s">
        <v>3898</v>
      </c>
      <c r="B1593" s="81" t="s">
        <v>3839</v>
      </c>
      <c r="C1593" s="26" t="s">
        <v>37</v>
      </c>
      <c r="D1593" s="14"/>
      <c r="E1593" s="15"/>
      <c r="F1593" s="16">
        <f t="shared" si="93"/>
        <v>0</v>
      </c>
      <c r="G1593">
        <f t="shared" si="94"/>
        <v>0</v>
      </c>
    </row>
    <row r="1594" spans="1:7" ht="15.75" hidden="1" thickBot="1" x14ac:dyDescent="0.3">
      <c r="A1594" s="85" t="s">
        <v>3899</v>
      </c>
      <c r="B1594" s="81" t="s">
        <v>3840</v>
      </c>
      <c r="C1594" s="26" t="s">
        <v>37</v>
      </c>
      <c r="D1594" s="14"/>
      <c r="E1594" s="15"/>
      <c r="F1594" s="16">
        <f t="shared" si="93"/>
        <v>0</v>
      </c>
      <c r="G1594">
        <f t="shared" si="94"/>
        <v>0</v>
      </c>
    </row>
    <row r="1595" spans="1:7" ht="15.75" hidden="1" thickBot="1" x14ac:dyDescent="0.3">
      <c r="A1595" s="85" t="s">
        <v>3900</v>
      </c>
      <c r="B1595" s="81" t="s">
        <v>3843</v>
      </c>
      <c r="C1595" s="26" t="s">
        <v>37</v>
      </c>
      <c r="D1595" s="14"/>
      <c r="E1595" s="15"/>
      <c r="F1595" s="16">
        <f t="shared" si="93"/>
        <v>0</v>
      </c>
      <c r="G1595">
        <f t="shared" si="94"/>
        <v>0</v>
      </c>
    </row>
    <row r="1596" spans="1:7" ht="15.75" hidden="1" thickBot="1" x14ac:dyDescent="0.3">
      <c r="A1596" s="85" t="s">
        <v>3901</v>
      </c>
      <c r="B1596" s="81" t="s">
        <v>3844</v>
      </c>
      <c r="C1596" s="26" t="s">
        <v>37</v>
      </c>
      <c r="D1596" s="14"/>
      <c r="E1596" s="15"/>
      <c r="F1596" s="16">
        <f t="shared" si="93"/>
        <v>0</v>
      </c>
      <c r="G1596">
        <f t="shared" si="94"/>
        <v>0</v>
      </c>
    </row>
    <row r="1597" spans="1:7" ht="15.75" hidden="1" thickBot="1" x14ac:dyDescent="0.3">
      <c r="A1597" s="85" t="s">
        <v>3902</v>
      </c>
      <c r="B1597" s="81" t="s">
        <v>3845</v>
      </c>
      <c r="C1597" s="26" t="s">
        <v>37</v>
      </c>
      <c r="D1597" s="14"/>
      <c r="E1597" s="15"/>
      <c r="F1597" s="16">
        <f t="shared" si="93"/>
        <v>0</v>
      </c>
      <c r="G1597">
        <f t="shared" si="94"/>
        <v>0</v>
      </c>
    </row>
    <row r="1598" spans="1:7" ht="15.75" hidden="1" thickBot="1" x14ac:dyDescent="0.3">
      <c r="A1598" s="85" t="s">
        <v>3903</v>
      </c>
      <c r="B1598" s="81" t="s">
        <v>3841</v>
      </c>
      <c r="C1598" s="26" t="s">
        <v>37</v>
      </c>
      <c r="D1598" s="14"/>
      <c r="E1598" s="15"/>
      <c r="F1598" s="16">
        <f t="shared" si="93"/>
        <v>0</v>
      </c>
      <c r="G1598">
        <f t="shared" si="94"/>
        <v>0</v>
      </c>
    </row>
    <row r="1599" spans="1:7" ht="15.75" hidden="1" thickBot="1" x14ac:dyDescent="0.3">
      <c r="A1599" s="85" t="s">
        <v>3904</v>
      </c>
      <c r="B1599" s="81" t="s">
        <v>3846</v>
      </c>
      <c r="C1599" s="26" t="s">
        <v>37</v>
      </c>
      <c r="D1599" s="14"/>
      <c r="E1599" s="15"/>
      <c r="F1599" s="16">
        <f t="shared" si="93"/>
        <v>0</v>
      </c>
      <c r="G1599">
        <f t="shared" si="94"/>
        <v>0</v>
      </c>
    </row>
    <row r="1600" spans="1:7" ht="15.75" hidden="1" thickBot="1" x14ac:dyDescent="0.3">
      <c r="A1600" s="85" t="s">
        <v>3905</v>
      </c>
      <c r="B1600" s="81" t="s">
        <v>3847</v>
      </c>
      <c r="C1600" s="26" t="s">
        <v>37</v>
      </c>
      <c r="D1600" s="14"/>
      <c r="E1600" s="15"/>
      <c r="F1600" s="16">
        <f t="shared" si="93"/>
        <v>0</v>
      </c>
      <c r="G1600">
        <f t="shared" si="94"/>
        <v>0</v>
      </c>
    </row>
    <row r="1601" spans="1:7" ht="15.75" hidden="1" thickBot="1" x14ac:dyDescent="0.3">
      <c r="A1601" s="85" t="s">
        <v>3906</v>
      </c>
      <c r="B1601" s="81" t="s">
        <v>3848</v>
      </c>
      <c r="C1601" s="26" t="s">
        <v>37</v>
      </c>
      <c r="D1601" s="14"/>
      <c r="E1601" s="15"/>
      <c r="F1601" s="16">
        <f t="shared" si="93"/>
        <v>0</v>
      </c>
      <c r="G1601">
        <f t="shared" si="94"/>
        <v>0</v>
      </c>
    </row>
    <row r="1602" spans="1:7" ht="15.75" hidden="1" thickBot="1" x14ac:dyDescent="0.3">
      <c r="A1602" s="85" t="s">
        <v>3907</v>
      </c>
      <c r="B1602" s="81" t="s">
        <v>3849</v>
      </c>
      <c r="C1602" s="26" t="s">
        <v>37</v>
      </c>
      <c r="D1602" s="14"/>
      <c r="E1602" s="15"/>
      <c r="F1602" s="16">
        <f t="shared" si="93"/>
        <v>0</v>
      </c>
      <c r="G1602">
        <f t="shared" si="94"/>
        <v>0</v>
      </c>
    </row>
    <row r="1603" spans="1:7" ht="15.75" hidden="1" thickBot="1" x14ac:dyDescent="0.3">
      <c r="A1603" s="85" t="s">
        <v>3908</v>
      </c>
      <c r="B1603" s="81" t="s">
        <v>3850</v>
      </c>
      <c r="C1603" s="26" t="s">
        <v>37</v>
      </c>
      <c r="D1603" s="14"/>
      <c r="E1603" s="15"/>
      <c r="F1603" s="16">
        <f t="shared" si="93"/>
        <v>0</v>
      </c>
      <c r="G1603">
        <f t="shared" si="94"/>
        <v>0</v>
      </c>
    </row>
    <row r="1604" spans="1:7" ht="15.75" hidden="1" thickBot="1" x14ac:dyDescent="0.3">
      <c r="A1604" s="85" t="s">
        <v>3909</v>
      </c>
      <c r="B1604" s="81" t="s">
        <v>3851</v>
      </c>
      <c r="C1604" s="26" t="s">
        <v>37</v>
      </c>
      <c r="D1604" s="14"/>
      <c r="E1604" s="15"/>
      <c r="F1604" s="16">
        <f t="shared" si="93"/>
        <v>0</v>
      </c>
      <c r="G1604">
        <f t="shared" si="94"/>
        <v>0</v>
      </c>
    </row>
    <row r="1605" spans="1:7" ht="15.75" hidden="1" thickBot="1" x14ac:dyDescent="0.3">
      <c r="A1605" s="85" t="s">
        <v>3910</v>
      </c>
      <c r="B1605" s="81" t="s">
        <v>3842</v>
      </c>
      <c r="C1605" s="26" t="s">
        <v>37</v>
      </c>
      <c r="D1605" s="14"/>
      <c r="E1605" s="15"/>
      <c r="F1605" s="16">
        <f t="shared" si="93"/>
        <v>0</v>
      </c>
      <c r="G1605">
        <f t="shared" si="94"/>
        <v>0</v>
      </c>
    </row>
    <row r="1606" spans="1:7" ht="15.75" hidden="1" thickBot="1" x14ac:dyDescent="0.3">
      <c r="A1606" s="85" t="s">
        <v>3911</v>
      </c>
      <c r="B1606" s="81" t="s">
        <v>3852</v>
      </c>
      <c r="C1606" s="26" t="s">
        <v>37</v>
      </c>
      <c r="D1606" s="14"/>
      <c r="E1606" s="15"/>
      <c r="F1606" s="16">
        <f t="shared" si="93"/>
        <v>0</v>
      </c>
      <c r="G1606">
        <f t="shared" si="94"/>
        <v>0</v>
      </c>
    </row>
    <row r="1607" spans="1:7" ht="15.75" hidden="1" thickBot="1" x14ac:dyDescent="0.3">
      <c r="A1607" s="85" t="s">
        <v>3912</v>
      </c>
      <c r="B1607" s="81" t="s">
        <v>3853</v>
      </c>
      <c r="C1607" s="26" t="s">
        <v>37</v>
      </c>
      <c r="D1607" s="14"/>
      <c r="E1607" s="15"/>
      <c r="F1607" s="16">
        <f t="shared" si="93"/>
        <v>0</v>
      </c>
      <c r="G1607">
        <f t="shared" si="94"/>
        <v>0</v>
      </c>
    </row>
    <row r="1608" spans="1:7" ht="15.75" hidden="1" thickBot="1" x14ac:dyDescent="0.3">
      <c r="A1608" s="85" t="s">
        <v>3913</v>
      </c>
      <c r="B1608" s="81" t="s">
        <v>3854</v>
      </c>
      <c r="C1608" s="26" t="s">
        <v>37</v>
      </c>
      <c r="D1608" s="14"/>
      <c r="E1608" s="15"/>
      <c r="F1608" s="16">
        <f t="shared" si="93"/>
        <v>0</v>
      </c>
      <c r="G1608">
        <f t="shared" si="94"/>
        <v>0</v>
      </c>
    </row>
    <row r="1609" spans="1:7" ht="15.75" hidden="1" thickBot="1" x14ac:dyDescent="0.3">
      <c r="A1609" s="85" t="s">
        <v>3914</v>
      </c>
      <c r="B1609" s="81" t="s">
        <v>3855</v>
      </c>
      <c r="C1609" s="26" t="s">
        <v>37</v>
      </c>
      <c r="D1609" s="14"/>
      <c r="E1609" s="15"/>
      <c r="F1609" s="16">
        <f t="shared" si="93"/>
        <v>0</v>
      </c>
      <c r="G1609">
        <f t="shared" si="94"/>
        <v>0</v>
      </c>
    </row>
    <row r="1610" spans="1:7" ht="15.75" hidden="1" thickBot="1" x14ac:dyDescent="0.3">
      <c r="A1610" s="85" t="s">
        <v>3915</v>
      </c>
      <c r="B1610" s="81" t="s">
        <v>3856</v>
      </c>
      <c r="C1610" s="26" t="s">
        <v>37</v>
      </c>
      <c r="D1610" s="14"/>
      <c r="E1610" s="15"/>
      <c r="F1610" s="16">
        <f t="shared" si="93"/>
        <v>0</v>
      </c>
      <c r="G1610">
        <f t="shared" si="94"/>
        <v>0</v>
      </c>
    </row>
    <row r="1611" spans="1:7" ht="15.75" hidden="1" thickBot="1" x14ac:dyDescent="0.3">
      <c r="A1611" s="85" t="s">
        <v>3916</v>
      </c>
      <c r="B1611" s="81" t="s">
        <v>3857</v>
      </c>
      <c r="C1611" s="26" t="s">
        <v>37</v>
      </c>
      <c r="D1611" s="14"/>
      <c r="E1611" s="15"/>
      <c r="F1611" s="16">
        <f t="shared" si="93"/>
        <v>0</v>
      </c>
      <c r="G1611">
        <f t="shared" si="94"/>
        <v>0</v>
      </c>
    </row>
    <row r="1612" spans="1:7" ht="15.75" hidden="1" thickBot="1" x14ac:dyDescent="0.3">
      <c r="A1612" s="85" t="s">
        <v>3917</v>
      </c>
      <c r="B1612" s="81" t="s">
        <v>3858</v>
      </c>
      <c r="C1612" s="26" t="s">
        <v>37</v>
      </c>
      <c r="D1612" s="14"/>
      <c r="E1612" s="15"/>
      <c r="F1612" s="16">
        <f t="shared" si="93"/>
        <v>0</v>
      </c>
      <c r="G1612">
        <f t="shared" si="94"/>
        <v>0</v>
      </c>
    </row>
    <row r="1613" spans="1:7" ht="15.75" hidden="1" thickBot="1" x14ac:dyDescent="0.3">
      <c r="A1613" s="78" t="s">
        <v>3921</v>
      </c>
      <c r="B1613" s="79" t="s">
        <v>3919</v>
      </c>
      <c r="C1613" s="26"/>
      <c r="D1613" s="14"/>
      <c r="E1613" s="15"/>
      <c r="F1613" s="16"/>
      <c r="G1613">
        <f t="shared" si="94"/>
        <v>0</v>
      </c>
    </row>
    <row r="1614" spans="1:7" ht="15.75" hidden="1" thickBot="1" x14ac:dyDescent="0.3">
      <c r="A1614" s="85" t="s">
        <v>991</v>
      </c>
      <c r="B1614" s="81" t="s">
        <v>3920</v>
      </c>
      <c r="C1614" s="26" t="s">
        <v>37</v>
      </c>
      <c r="D1614" s="14"/>
      <c r="E1614" s="15"/>
      <c r="F1614" s="16">
        <f t="shared" si="93"/>
        <v>0</v>
      </c>
      <c r="G1614">
        <f t="shared" si="94"/>
        <v>0</v>
      </c>
    </row>
    <row r="1615" spans="1:7" ht="15.75" hidden="1" thickBot="1" x14ac:dyDescent="0.3">
      <c r="A1615" s="85" t="s">
        <v>992</v>
      </c>
      <c r="B1615" s="81" t="s">
        <v>3980</v>
      </c>
      <c r="C1615" s="26" t="s">
        <v>37</v>
      </c>
      <c r="D1615" s="14"/>
      <c r="E1615" s="15"/>
      <c r="F1615" s="16">
        <f t="shared" si="93"/>
        <v>0</v>
      </c>
      <c r="G1615">
        <f t="shared" si="94"/>
        <v>0</v>
      </c>
    </row>
    <row r="1616" spans="1:7" ht="15.75" hidden="1" thickBot="1" x14ac:dyDescent="0.3">
      <c r="A1616" s="85" t="s">
        <v>3922</v>
      </c>
      <c r="B1616" s="81" t="s">
        <v>3981</v>
      </c>
      <c r="C1616" s="26" t="s">
        <v>37</v>
      </c>
      <c r="D1616" s="14"/>
      <c r="E1616" s="15"/>
      <c r="F1616" s="16">
        <f t="shared" si="93"/>
        <v>0</v>
      </c>
      <c r="G1616">
        <f t="shared" si="94"/>
        <v>0</v>
      </c>
    </row>
    <row r="1617" spans="1:7" ht="15.75" hidden="1" thickBot="1" x14ac:dyDescent="0.3">
      <c r="A1617" s="85" t="s">
        <v>3923</v>
      </c>
      <c r="B1617" s="81" t="s">
        <v>3982</v>
      </c>
      <c r="C1617" s="26" t="s">
        <v>37</v>
      </c>
      <c r="D1617" s="14"/>
      <c r="E1617" s="15"/>
      <c r="F1617" s="16">
        <f t="shared" ref="F1617:F1673" si="95">+D1617*E1617</f>
        <v>0</v>
      </c>
      <c r="G1617">
        <f t="shared" si="94"/>
        <v>0</v>
      </c>
    </row>
    <row r="1618" spans="1:7" ht="15.75" hidden="1" thickBot="1" x14ac:dyDescent="0.3">
      <c r="A1618" s="85" t="s">
        <v>3924</v>
      </c>
      <c r="B1618" s="81" t="s">
        <v>3983</v>
      </c>
      <c r="C1618" s="26" t="s">
        <v>37</v>
      </c>
      <c r="D1618" s="14"/>
      <c r="E1618" s="15"/>
      <c r="F1618" s="16">
        <f t="shared" si="95"/>
        <v>0</v>
      </c>
      <c r="G1618">
        <f t="shared" si="94"/>
        <v>0</v>
      </c>
    </row>
    <row r="1619" spans="1:7" ht="15.75" hidden="1" thickBot="1" x14ac:dyDescent="0.3">
      <c r="A1619" s="85" t="s">
        <v>3925</v>
      </c>
      <c r="B1619" s="81" t="s">
        <v>3984</v>
      </c>
      <c r="C1619" s="26" t="s">
        <v>37</v>
      </c>
      <c r="D1619" s="14"/>
      <c r="E1619" s="15"/>
      <c r="F1619" s="16">
        <f t="shared" si="95"/>
        <v>0</v>
      </c>
      <c r="G1619">
        <f t="shared" si="94"/>
        <v>0</v>
      </c>
    </row>
    <row r="1620" spans="1:7" ht="15.75" hidden="1" thickBot="1" x14ac:dyDescent="0.3">
      <c r="A1620" s="85" t="s">
        <v>3926</v>
      </c>
      <c r="B1620" s="81" t="s">
        <v>3985</v>
      </c>
      <c r="C1620" s="26" t="s">
        <v>37</v>
      </c>
      <c r="D1620" s="14"/>
      <c r="E1620" s="15"/>
      <c r="F1620" s="16">
        <f t="shared" si="95"/>
        <v>0</v>
      </c>
      <c r="G1620">
        <f t="shared" si="94"/>
        <v>0</v>
      </c>
    </row>
    <row r="1621" spans="1:7" ht="15.75" hidden="1" thickBot="1" x14ac:dyDescent="0.3">
      <c r="A1621" s="85" t="s">
        <v>3927</v>
      </c>
      <c r="B1621" s="81" t="s">
        <v>3986</v>
      </c>
      <c r="C1621" s="26" t="s">
        <v>37</v>
      </c>
      <c r="D1621" s="14"/>
      <c r="E1621" s="15"/>
      <c r="F1621" s="16">
        <f t="shared" si="95"/>
        <v>0</v>
      </c>
      <c r="G1621">
        <f t="shared" si="94"/>
        <v>0</v>
      </c>
    </row>
    <row r="1622" spans="1:7" ht="15.75" hidden="1" thickBot="1" x14ac:dyDescent="0.3">
      <c r="A1622" s="85" t="s">
        <v>3928</v>
      </c>
      <c r="B1622" s="81" t="s">
        <v>3987</v>
      </c>
      <c r="C1622" s="26" t="s">
        <v>37</v>
      </c>
      <c r="D1622" s="14"/>
      <c r="E1622" s="15"/>
      <c r="F1622" s="16">
        <f t="shared" si="95"/>
        <v>0</v>
      </c>
      <c r="G1622">
        <f t="shared" si="94"/>
        <v>0</v>
      </c>
    </row>
    <row r="1623" spans="1:7" ht="15.75" hidden="1" thickBot="1" x14ac:dyDescent="0.3">
      <c r="A1623" s="85" t="s">
        <v>3929</v>
      </c>
      <c r="B1623" s="81" t="s">
        <v>3988</v>
      </c>
      <c r="C1623" s="26" t="s">
        <v>37</v>
      </c>
      <c r="D1623" s="14"/>
      <c r="E1623" s="15"/>
      <c r="F1623" s="16">
        <f t="shared" si="95"/>
        <v>0</v>
      </c>
      <c r="G1623">
        <f t="shared" si="94"/>
        <v>0</v>
      </c>
    </row>
    <row r="1624" spans="1:7" ht="15.75" hidden="1" thickBot="1" x14ac:dyDescent="0.3">
      <c r="A1624" s="85" t="s">
        <v>3930</v>
      </c>
      <c r="B1624" s="81" t="s">
        <v>3989</v>
      </c>
      <c r="C1624" s="26" t="s">
        <v>37</v>
      </c>
      <c r="D1624" s="14"/>
      <c r="E1624" s="15"/>
      <c r="F1624" s="16">
        <f t="shared" si="95"/>
        <v>0</v>
      </c>
      <c r="G1624">
        <f t="shared" si="94"/>
        <v>0</v>
      </c>
    </row>
    <row r="1625" spans="1:7" ht="15.75" hidden="1" thickBot="1" x14ac:dyDescent="0.3">
      <c r="A1625" s="85" t="s">
        <v>3931</v>
      </c>
      <c r="B1625" s="81" t="s">
        <v>3990</v>
      </c>
      <c r="C1625" s="26" t="s">
        <v>37</v>
      </c>
      <c r="D1625" s="14"/>
      <c r="E1625" s="15"/>
      <c r="F1625" s="16">
        <f t="shared" si="95"/>
        <v>0</v>
      </c>
      <c r="G1625">
        <f t="shared" si="94"/>
        <v>0</v>
      </c>
    </row>
    <row r="1626" spans="1:7" ht="15.75" hidden="1" thickBot="1" x14ac:dyDescent="0.3">
      <c r="A1626" s="85" t="s">
        <v>3932</v>
      </c>
      <c r="B1626" s="81" t="s">
        <v>3991</v>
      </c>
      <c r="C1626" s="26" t="s">
        <v>37</v>
      </c>
      <c r="D1626" s="14"/>
      <c r="E1626" s="15"/>
      <c r="F1626" s="16">
        <f t="shared" si="95"/>
        <v>0</v>
      </c>
      <c r="G1626">
        <f t="shared" si="94"/>
        <v>0</v>
      </c>
    </row>
    <row r="1627" spans="1:7" ht="15.75" hidden="1" thickBot="1" x14ac:dyDescent="0.3">
      <c r="A1627" s="85" t="s">
        <v>3933</v>
      </c>
      <c r="B1627" s="81" t="s">
        <v>3992</v>
      </c>
      <c r="C1627" s="26" t="s">
        <v>37</v>
      </c>
      <c r="D1627" s="14"/>
      <c r="E1627" s="15"/>
      <c r="F1627" s="16">
        <f t="shared" si="95"/>
        <v>0</v>
      </c>
      <c r="G1627">
        <f t="shared" si="94"/>
        <v>0</v>
      </c>
    </row>
    <row r="1628" spans="1:7" ht="15.75" hidden="1" thickBot="1" x14ac:dyDescent="0.3">
      <c r="A1628" s="85" t="s">
        <v>3934</v>
      </c>
      <c r="B1628" s="81" t="s">
        <v>3993</v>
      </c>
      <c r="C1628" s="26" t="s">
        <v>37</v>
      </c>
      <c r="D1628" s="14"/>
      <c r="E1628" s="15"/>
      <c r="F1628" s="16">
        <f t="shared" si="95"/>
        <v>0</v>
      </c>
      <c r="G1628">
        <f t="shared" si="94"/>
        <v>0</v>
      </c>
    </row>
    <row r="1629" spans="1:7" ht="15.75" hidden="1" thickBot="1" x14ac:dyDescent="0.3">
      <c r="A1629" s="85" t="s">
        <v>3935</v>
      </c>
      <c r="B1629" s="81" t="s">
        <v>3994</v>
      </c>
      <c r="C1629" s="26" t="s">
        <v>37</v>
      </c>
      <c r="D1629" s="14"/>
      <c r="E1629" s="15"/>
      <c r="F1629" s="16">
        <f t="shared" si="95"/>
        <v>0</v>
      </c>
      <c r="G1629">
        <f t="shared" si="94"/>
        <v>0</v>
      </c>
    </row>
    <row r="1630" spans="1:7" ht="15.75" hidden="1" thickBot="1" x14ac:dyDescent="0.3">
      <c r="A1630" s="85" t="s">
        <v>3936</v>
      </c>
      <c r="B1630" s="81" t="s">
        <v>3995</v>
      </c>
      <c r="C1630" s="26" t="s">
        <v>37</v>
      </c>
      <c r="D1630" s="14"/>
      <c r="E1630" s="15"/>
      <c r="F1630" s="16">
        <f t="shared" si="95"/>
        <v>0</v>
      </c>
      <c r="G1630">
        <f t="shared" si="94"/>
        <v>0</v>
      </c>
    </row>
    <row r="1631" spans="1:7" ht="15.75" hidden="1" thickBot="1" x14ac:dyDescent="0.3">
      <c r="A1631" s="85" t="s">
        <v>3937</v>
      </c>
      <c r="B1631" s="81" t="s">
        <v>3996</v>
      </c>
      <c r="C1631" s="26" t="s">
        <v>37</v>
      </c>
      <c r="D1631" s="14"/>
      <c r="E1631" s="15"/>
      <c r="F1631" s="16">
        <f t="shared" si="95"/>
        <v>0</v>
      </c>
      <c r="G1631">
        <f t="shared" si="94"/>
        <v>0</v>
      </c>
    </row>
    <row r="1632" spans="1:7" ht="15.75" hidden="1" thickBot="1" x14ac:dyDescent="0.3">
      <c r="A1632" s="85" t="s">
        <v>3938</v>
      </c>
      <c r="B1632" s="81" t="s">
        <v>3997</v>
      </c>
      <c r="C1632" s="26" t="s">
        <v>37</v>
      </c>
      <c r="D1632" s="14"/>
      <c r="E1632" s="15"/>
      <c r="F1632" s="16">
        <f t="shared" si="95"/>
        <v>0</v>
      </c>
      <c r="G1632">
        <f t="shared" si="94"/>
        <v>0</v>
      </c>
    </row>
    <row r="1633" spans="1:7" ht="15.75" hidden="1" thickBot="1" x14ac:dyDescent="0.3">
      <c r="A1633" s="85" t="s">
        <v>3939</v>
      </c>
      <c r="B1633" s="81" t="s">
        <v>3998</v>
      </c>
      <c r="C1633" s="26" t="s">
        <v>37</v>
      </c>
      <c r="D1633" s="14"/>
      <c r="E1633" s="15"/>
      <c r="F1633" s="16">
        <f t="shared" si="95"/>
        <v>0</v>
      </c>
      <c r="G1633">
        <f t="shared" si="94"/>
        <v>0</v>
      </c>
    </row>
    <row r="1634" spans="1:7" ht="15.75" hidden="1" thickBot="1" x14ac:dyDescent="0.3">
      <c r="A1634" s="85" t="s">
        <v>3940</v>
      </c>
      <c r="B1634" s="81" t="s">
        <v>3999</v>
      </c>
      <c r="C1634" s="26" t="s">
        <v>37</v>
      </c>
      <c r="D1634" s="14"/>
      <c r="E1634" s="15"/>
      <c r="F1634" s="16">
        <f t="shared" si="95"/>
        <v>0</v>
      </c>
      <c r="G1634">
        <f t="shared" si="94"/>
        <v>0</v>
      </c>
    </row>
    <row r="1635" spans="1:7" ht="15.75" hidden="1" thickBot="1" x14ac:dyDescent="0.3">
      <c r="A1635" s="85" t="s">
        <v>3941</v>
      </c>
      <c r="B1635" s="81" t="s">
        <v>4000</v>
      </c>
      <c r="C1635" s="26" t="s">
        <v>37</v>
      </c>
      <c r="D1635" s="14"/>
      <c r="E1635" s="15"/>
      <c r="F1635" s="16">
        <f t="shared" si="95"/>
        <v>0</v>
      </c>
      <c r="G1635">
        <f t="shared" si="94"/>
        <v>0</v>
      </c>
    </row>
    <row r="1636" spans="1:7" ht="15.75" hidden="1" thickBot="1" x14ac:dyDescent="0.3">
      <c r="A1636" s="85" t="s">
        <v>3942</v>
      </c>
      <c r="B1636" s="81" t="s">
        <v>4001</v>
      </c>
      <c r="C1636" s="26" t="s">
        <v>37</v>
      </c>
      <c r="D1636" s="14"/>
      <c r="E1636" s="15"/>
      <c r="F1636" s="16">
        <f t="shared" si="95"/>
        <v>0</v>
      </c>
      <c r="G1636">
        <f t="shared" ref="G1636:G1699" si="96">+IF(F1636&lt;&gt;0,1,0)</f>
        <v>0</v>
      </c>
    </row>
    <row r="1637" spans="1:7" ht="15.75" hidden="1" thickBot="1" x14ac:dyDescent="0.3">
      <c r="A1637" s="85" t="s">
        <v>3943</v>
      </c>
      <c r="B1637" s="81" t="s">
        <v>4002</v>
      </c>
      <c r="C1637" s="26" t="s">
        <v>37</v>
      </c>
      <c r="D1637" s="14"/>
      <c r="E1637" s="15"/>
      <c r="F1637" s="16">
        <f t="shared" si="95"/>
        <v>0</v>
      </c>
      <c r="G1637">
        <f t="shared" si="96"/>
        <v>0</v>
      </c>
    </row>
    <row r="1638" spans="1:7" ht="15.75" hidden="1" thickBot="1" x14ac:dyDescent="0.3">
      <c r="A1638" s="85" t="s">
        <v>3944</v>
      </c>
      <c r="B1638" s="81" t="s">
        <v>4003</v>
      </c>
      <c r="C1638" s="26" t="s">
        <v>37</v>
      </c>
      <c r="D1638" s="14"/>
      <c r="E1638" s="15"/>
      <c r="F1638" s="16">
        <f t="shared" si="95"/>
        <v>0</v>
      </c>
      <c r="G1638">
        <f t="shared" si="96"/>
        <v>0</v>
      </c>
    </row>
    <row r="1639" spans="1:7" ht="15.75" hidden="1" thickBot="1" x14ac:dyDescent="0.3">
      <c r="A1639" s="85" t="s">
        <v>3945</v>
      </c>
      <c r="B1639" s="81" t="s">
        <v>4004</v>
      </c>
      <c r="C1639" s="26" t="s">
        <v>37</v>
      </c>
      <c r="D1639" s="14"/>
      <c r="E1639" s="15"/>
      <c r="F1639" s="16">
        <f t="shared" si="95"/>
        <v>0</v>
      </c>
      <c r="G1639">
        <f t="shared" si="96"/>
        <v>0</v>
      </c>
    </row>
    <row r="1640" spans="1:7" ht="15.75" hidden="1" thickBot="1" x14ac:dyDescent="0.3">
      <c r="A1640" s="85" t="s">
        <v>3946</v>
      </c>
      <c r="B1640" s="81" t="s">
        <v>4005</v>
      </c>
      <c r="C1640" s="26" t="s">
        <v>37</v>
      </c>
      <c r="D1640" s="14"/>
      <c r="E1640" s="15"/>
      <c r="F1640" s="16">
        <f t="shared" si="95"/>
        <v>0</v>
      </c>
      <c r="G1640">
        <f t="shared" si="96"/>
        <v>0</v>
      </c>
    </row>
    <row r="1641" spans="1:7" ht="15.75" hidden="1" thickBot="1" x14ac:dyDescent="0.3">
      <c r="A1641" s="85" t="s">
        <v>3947</v>
      </c>
      <c r="B1641" s="81" t="s">
        <v>4006</v>
      </c>
      <c r="C1641" s="26" t="s">
        <v>37</v>
      </c>
      <c r="D1641" s="14"/>
      <c r="E1641" s="15"/>
      <c r="F1641" s="16">
        <f t="shared" si="95"/>
        <v>0</v>
      </c>
      <c r="G1641">
        <f t="shared" si="96"/>
        <v>0</v>
      </c>
    </row>
    <row r="1642" spans="1:7" ht="15.75" hidden="1" thickBot="1" x14ac:dyDescent="0.3">
      <c r="A1642" s="85" t="s">
        <v>3948</v>
      </c>
      <c r="B1642" s="81" t="s">
        <v>4007</v>
      </c>
      <c r="C1642" s="26" t="s">
        <v>37</v>
      </c>
      <c r="D1642" s="14"/>
      <c r="E1642" s="15"/>
      <c r="F1642" s="16">
        <f t="shared" si="95"/>
        <v>0</v>
      </c>
      <c r="G1642">
        <f t="shared" si="96"/>
        <v>0</v>
      </c>
    </row>
    <row r="1643" spans="1:7" ht="15.75" hidden="1" thickBot="1" x14ac:dyDescent="0.3">
      <c r="A1643" s="85" t="s">
        <v>3949</v>
      </c>
      <c r="B1643" s="81" t="s">
        <v>4008</v>
      </c>
      <c r="C1643" s="26" t="s">
        <v>37</v>
      </c>
      <c r="D1643" s="14"/>
      <c r="E1643" s="15"/>
      <c r="F1643" s="16">
        <f t="shared" si="95"/>
        <v>0</v>
      </c>
      <c r="G1643">
        <f t="shared" si="96"/>
        <v>0</v>
      </c>
    </row>
    <row r="1644" spans="1:7" ht="15.75" hidden="1" thickBot="1" x14ac:dyDescent="0.3">
      <c r="A1644" s="85" t="s">
        <v>3950</v>
      </c>
      <c r="B1644" s="81" t="s">
        <v>4009</v>
      </c>
      <c r="C1644" s="26" t="s">
        <v>37</v>
      </c>
      <c r="D1644" s="14"/>
      <c r="E1644" s="15"/>
      <c r="F1644" s="16">
        <f t="shared" si="95"/>
        <v>0</v>
      </c>
      <c r="G1644">
        <f t="shared" si="96"/>
        <v>0</v>
      </c>
    </row>
    <row r="1645" spans="1:7" ht="15.75" hidden="1" thickBot="1" x14ac:dyDescent="0.3">
      <c r="A1645" s="85" t="s">
        <v>3951</v>
      </c>
      <c r="B1645" s="81" t="s">
        <v>4010</v>
      </c>
      <c r="C1645" s="26" t="s">
        <v>37</v>
      </c>
      <c r="D1645" s="14"/>
      <c r="E1645" s="15"/>
      <c r="F1645" s="16">
        <f t="shared" si="95"/>
        <v>0</v>
      </c>
      <c r="G1645">
        <f t="shared" si="96"/>
        <v>0</v>
      </c>
    </row>
    <row r="1646" spans="1:7" ht="15.75" hidden="1" thickBot="1" x14ac:dyDescent="0.3">
      <c r="A1646" s="85" t="s">
        <v>3952</v>
      </c>
      <c r="B1646" s="81" t="s">
        <v>4011</v>
      </c>
      <c r="C1646" s="26" t="s">
        <v>37</v>
      </c>
      <c r="D1646" s="14"/>
      <c r="E1646" s="15"/>
      <c r="F1646" s="16">
        <f t="shared" si="95"/>
        <v>0</v>
      </c>
      <c r="G1646">
        <f t="shared" si="96"/>
        <v>0</v>
      </c>
    </row>
    <row r="1647" spans="1:7" ht="15.75" hidden="1" thickBot="1" x14ac:dyDescent="0.3">
      <c r="A1647" s="85" t="s">
        <v>3953</v>
      </c>
      <c r="B1647" s="81" t="s">
        <v>4012</v>
      </c>
      <c r="C1647" s="26" t="s">
        <v>37</v>
      </c>
      <c r="D1647" s="14"/>
      <c r="E1647" s="15"/>
      <c r="F1647" s="16">
        <f t="shared" si="95"/>
        <v>0</v>
      </c>
      <c r="G1647">
        <f t="shared" si="96"/>
        <v>0</v>
      </c>
    </row>
    <row r="1648" spans="1:7" ht="15.75" hidden="1" thickBot="1" x14ac:dyDescent="0.3">
      <c r="A1648" s="85" t="s">
        <v>3954</v>
      </c>
      <c r="B1648" s="81" t="s">
        <v>4013</v>
      </c>
      <c r="C1648" s="26" t="s">
        <v>37</v>
      </c>
      <c r="D1648" s="14"/>
      <c r="E1648" s="15"/>
      <c r="F1648" s="16">
        <f t="shared" si="95"/>
        <v>0</v>
      </c>
      <c r="G1648">
        <f t="shared" si="96"/>
        <v>0</v>
      </c>
    </row>
    <row r="1649" spans="1:7" ht="15.75" hidden="1" thickBot="1" x14ac:dyDescent="0.3">
      <c r="A1649" s="85" t="s">
        <v>3955</v>
      </c>
      <c r="B1649" s="81" t="s">
        <v>4014</v>
      </c>
      <c r="C1649" s="26" t="s">
        <v>37</v>
      </c>
      <c r="D1649" s="14"/>
      <c r="E1649" s="15"/>
      <c r="F1649" s="16">
        <f t="shared" si="95"/>
        <v>0</v>
      </c>
      <c r="G1649">
        <f t="shared" si="96"/>
        <v>0</v>
      </c>
    </row>
    <row r="1650" spans="1:7" ht="15.75" hidden="1" thickBot="1" x14ac:dyDescent="0.3">
      <c r="A1650" s="85" t="s">
        <v>3956</v>
      </c>
      <c r="B1650" s="81" t="s">
        <v>4015</v>
      </c>
      <c r="C1650" s="26" t="s">
        <v>37</v>
      </c>
      <c r="D1650" s="14"/>
      <c r="E1650" s="15"/>
      <c r="F1650" s="16">
        <f t="shared" si="95"/>
        <v>0</v>
      </c>
      <c r="G1650">
        <f t="shared" si="96"/>
        <v>0</v>
      </c>
    </row>
    <row r="1651" spans="1:7" ht="15.75" hidden="1" thickBot="1" x14ac:dyDescent="0.3">
      <c r="A1651" s="85" t="s">
        <v>3957</v>
      </c>
      <c r="B1651" s="81" t="s">
        <v>4016</v>
      </c>
      <c r="C1651" s="26" t="s">
        <v>37</v>
      </c>
      <c r="D1651" s="14"/>
      <c r="E1651" s="15"/>
      <c r="F1651" s="16">
        <f t="shared" si="95"/>
        <v>0</v>
      </c>
      <c r="G1651">
        <f t="shared" si="96"/>
        <v>0</v>
      </c>
    </row>
    <row r="1652" spans="1:7" ht="15.75" hidden="1" thickBot="1" x14ac:dyDescent="0.3">
      <c r="A1652" s="85" t="s">
        <v>3958</v>
      </c>
      <c r="B1652" s="81" t="s">
        <v>4017</v>
      </c>
      <c r="C1652" s="26" t="s">
        <v>37</v>
      </c>
      <c r="D1652" s="14"/>
      <c r="E1652" s="15"/>
      <c r="F1652" s="16">
        <f t="shared" si="95"/>
        <v>0</v>
      </c>
      <c r="G1652">
        <f t="shared" si="96"/>
        <v>0</v>
      </c>
    </row>
    <row r="1653" spans="1:7" ht="15.75" hidden="1" thickBot="1" x14ac:dyDescent="0.3">
      <c r="A1653" s="85" t="s">
        <v>3959</v>
      </c>
      <c r="B1653" s="81" t="s">
        <v>4018</v>
      </c>
      <c r="C1653" s="26" t="s">
        <v>37</v>
      </c>
      <c r="D1653" s="14"/>
      <c r="E1653" s="15"/>
      <c r="F1653" s="16">
        <f t="shared" si="95"/>
        <v>0</v>
      </c>
      <c r="G1653">
        <f t="shared" si="96"/>
        <v>0</v>
      </c>
    </row>
    <row r="1654" spans="1:7" ht="15.75" hidden="1" thickBot="1" x14ac:dyDescent="0.3">
      <c r="A1654" s="85" t="s">
        <v>3960</v>
      </c>
      <c r="B1654" s="81" t="s">
        <v>4019</v>
      </c>
      <c r="C1654" s="26" t="s">
        <v>37</v>
      </c>
      <c r="D1654" s="14"/>
      <c r="E1654" s="15"/>
      <c r="F1654" s="16">
        <f t="shared" si="95"/>
        <v>0</v>
      </c>
      <c r="G1654">
        <f t="shared" si="96"/>
        <v>0</v>
      </c>
    </row>
    <row r="1655" spans="1:7" ht="15.75" hidden="1" thickBot="1" x14ac:dyDescent="0.3">
      <c r="A1655" s="85" t="s">
        <v>3961</v>
      </c>
      <c r="B1655" s="81" t="s">
        <v>4020</v>
      </c>
      <c r="C1655" s="26" t="s">
        <v>37</v>
      </c>
      <c r="D1655" s="14"/>
      <c r="E1655" s="15"/>
      <c r="F1655" s="16">
        <f t="shared" si="95"/>
        <v>0</v>
      </c>
      <c r="G1655">
        <f t="shared" si="96"/>
        <v>0</v>
      </c>
    </row>
    <row r="1656" spans="1:7" ht="15.75" hidden="1" thickBot="1" x14ac:dyDescent="0.3">
      <c r="A1656" s="85" t="s">
        <v>3962</v>
      </c>
      <c r="B1656" s="81" t="s">
        <v>4021</v>
      </c>
      <c r="C1656" s="26" t="s">
        <v>37</v>
      </c>
      <c r="D1656" s="14"/>
      <c r="E1656" s="15"/>
      <c r="F1656" s="16">
        <f t="shared" si="95"/>
        <v>0</v>
      </c>
      <c r="G1656">
        <f t="shared" si="96"/>
        <v>0</v>
      </c>
    </row>
    <row r="1657" spans="1:7" ht="15.75" hidden="1" thickBot="1" x14ac:dyDescent="0.3">
      <c r="A1657" s="85" t="s">
        <v>3963</v>
      </c>
      <c r="B1657" s="81" t="s">
        <v>4022</v>
      </c>
      <c r="C1657" s="26" t="s">
        <v>37</v>
      </c>
      <c r="D1657" s="14"/>
      <c r="E1657" s="15"/>
      <c r="F1657" s="16">
        <f t="shared" si="95"/>
        <v>0</v>
      </c>
      <c r="G1657">
        <f t="shared" si="96"/>
        <v>0</v>
      </c>
    </row>
    <row r="1658" spans="1:7" ht="15.75" hidden="1" thickBot="1" x14ac:dyDescent="0.3">
      <c r="A1658" s="85" t="s">
        <v>3964</v>
      </c>
      <c r="B1658" s="81" t="s">
        <v>4023</v>
      </c>
      <c r="C1658" s="26" t="s">
        <v>37</v>
      </c>
      <c r="D1658" s="14"/>
      <c r="E1658" s="15"/>
      <c r="F1658" s="16">
        <f t="shared" si="95"/>
        <v>0</v>
      </c>
      <c r="G1658">
        <f t="shared" si="96"/>
        <v>0</v>
      </c>
    </row>
    <row r="1659" spans="1:7" ht="15.75" hidden="1" thickBot="1" x14ac:dyDescent="0.3">
      <c r="A1659" s="85" t="s">
        <v>3965</v>
      </c>
      <c r="B1659" s="81" t="s">
        <v>4024</v>
      </c>
      <c r="C1659" s="26" t="s">
        <v>37</v>
      </c>
      <c r="D1659" s="14"/>
      <c r="E1659" s="15"/>
      <c r="F1659" s="16">
        <f t="shared" si="95"/>
        <v>0</v>
      </c>
      <c r="G1659">
        <f t="shared" si="96"/>
        <v>0</v>
      </c>
    </row>
    <row r="1660" spans="1:7" ht="15.75" hidden="1" thickBot="1" x14ac:dyDescent="0.3">
      <c r="A1660" s="85" t="s">
        <v>3966</v>
      </c>
      <c r="B1660" s="81" t="s">
        <v>4025</v>
      </c>
      <c r="C1660" s="26" t="s">
        <v>37</v>
      </c>
      <c r="D1660" s="14"/>
      <c r="E1660" s="15"/>
      <c r="F1660" s="16">
        <f t="shared" si="95"/>
        <v>0</v>
      </c>
      <c r="G1660">
        <f t="shared" si="96"/>
        <v>0</v>
      </c>
    </row>
    <row r="1661" spans="1:7" ht="15.75" hidden="1" thickBot="1" x14ac:dyDescent="0.3">
      <c r="A1661" s="85" t="s">
        <v>3967</v>
      </c>
      <c r="B1661" s="81" t="s">
        <v>4026</v>
      </c>
      <c r="C1661" s="26" t="s">
        <v>37</v>
      </c>
      <c r="D1661" s="14"/>
      <c r="E1661" s="15"/>
      <c r="F1661" s="16">
        <f t="shared" si="95"/>
        <v>0</v>
      </c>
      <c r="G1661">
        <f t="shared" si="96"/>
        <v>0</v>
      </c>
    </row>
    <row r="1662" spans="1:7" ht="15.75" hidden="1" thickBot="1" x14ac:dyDescent="0.3">
      <c r="A1662" s="85" t="s">
        <v>3968</v>
      </c>
      <c r="B1662" s="81" t="s">
        <v>4027</v>
      </c>
      <c r="C1662" s="26" t="s">
        <v>37</v>
      </c>
      <c r="D1662" s="14"/>
      <c r="E1662" s="15"/>
      <c r="F1662" s="16">
        <f t="shared" si="95"/>
        <v>0</v>
      </c>
      <c r="G1662">
        <f t="shared" si="96"/>
        <v>0</v>
      </c>
    </row>
    <row r="1663" spans="1:7" ht="15.75" hidden="1" thickBot="1" x14ac:dyDescent="0.3">
      <c r="A1663" s="85" t="s">
        <v>3969</v>
      </c>
      <c r="B1663" s="81" t="s">
        <v>4028</v>
      </c>
      <c r="C1663" s="26" t="s">
        <v>37</v>
      </c>
      <c r="D1663" s="14"/>
      <c r="E1663" s="15"/>
      <c r="F1663" s="16">
        <f t="shared" si="95"/>
        <v>0</v>
      </c>
      <c r="G1663">
        <f t="shared" si="96"/>
        <v>0</v>
      </c>
    </row>
    <row r="1664" spans="1:7" ht="15.75" hidden="1" thickBot="1" x14ac:dyDescent="0.3">
      <c r="A1664" s="85" t="s">
        <v>3970</v>
      </c>
      <c r="B1664" s="81" t="s">
        <v>4029</v>
      </c>
      <c r="C1664" s="26" t="s">
        <v>37</v>
      </c>
      <c r="D1664" s="14"/>
      <c r="E1664" s="15"/>
      <c r="F1664" s="16">
        <f t="shared" si="95"/>
        <v>0</v>
      </c>
      <c r="G1664">
        <f t="shared" si="96"/>
        <v>0</v>
      </c>
    </row>
    <row r="1665" spans="1:7" ht="15.75" hidden="1" thickBot="1" x14ac:dyDescent="0.3">
      <c r="A1665" s="85" t="s">
        <v>3971</v>
      </c>
      <c r="B1665" s="81" t="s">
        <v>4030</v>
      </c>
      <c r="C1665" s="26" t="s">
        <v>37</v>
      </c>
      <c r="D1665" s="14"/>
      <c r="E1665" s="15"/>
      <c r="F1665" s="16">
        <f t="shared" si="95"/>
        <v>0</v>
      </c>
      <c r="G1665">
        <f t="shared" si="96"/>
        <v>0</v>
      </c>
    </row>
    <row r="1666" spans="1:7" ht="15.75" hidden="1" thickBot="1" x14ac:dyDescent="0.3">
      <c r="A1666" s="85" t="s">
        <v>3972</v>
      </c>
      <c r="B1666" s="81" t="s">
        <v>4031</v>
      </c>
      <c r="C1666" s="26" t="s">
        <v>37</v>
      </c>
      <c r="D1666" s="14"/>
      <c r="E1666" s="15"/>
      <c r="F1666" s="16">
        <f t="shared" si="95"/>
        <v>0</v>
      </c>
      <c r="G1666">
        <f t="shared" si="96"/>
        <v>0</v>
      </c>
    </row>
    <row r="1667" spans="1:7" ht="15.75" hidden="1" thickBot="1" x14ac:dyDescent="0.3">
      <c r="A1667" s="85" t="s">
        <v>3973</v>
      </c>
      <c r="B1667" s="81" t="s">
        <v>4032</v>
      </c>
      <c r="C1667" s="26" t="s">
        <v>37</v>
      </c>
      <c r="D1667" s="14"/>
      <c r="E1667" s="15"/>
      <c r="F1667" s="16">
        <f t="shared" si="95"/>
        <v>0</v>
      </c>
      <c r="G1667">
        <f t="shared" si="96"/>
        <v>0</v>
      </c>
    </row>
    <row r="1668" spans="1:7" ht="15.75" hidden="1" thickBot="1" x14ac:dyDescent="0.3">
      <c r="A1668" s="85" t="s">
        <v>3974</v>
      </c>
      <c r="B1668" s="81" t="s">
        <v>4033</v>
      </c>
      <c r="C1668" s="26" t="s">
        <v>37</v>
      </c>
      <c r="D1668" s="14"/>
      <c r="E1668" s="15"/>
      <c r="F1668" s="16">
        <f t="shared" si="95"/>
        <v>0</v>
      </c>
      <c r="G1668">
        <f t="shared" si="96"/>
        <v>0</v>
      </c>
    </row>
    <row r="1669" spans="1:7" ht="15.75" hidden="1" thickBot="1" x14ac:dyDescent="0.3">
      <c r="A1669" s="85" t="s">
        <v>3975</v>
      </c>
      <c r="B1669" s="81" t="s">
        <v>4034</v>
      </c>
      <c r="C1669" s="26" t="s">
        <v>37</v>
      </c>
      <c r="D1669" s="14"/>
      <c r="E1669" s="15"/>
      <c r="F1669" s="16">
        <f t="shared" si="95"/>
        <v>0</v>
      </c>
      <c r="G1669">
        <f t="shared" si="96"/>
        <v>0</v>
      </c>
    </row>
    <row r="1670" spans="1:7" ht="15.75" hidden="1" thickBot="1" x14ac:dyDescent="0.3">
      <c r="A1670" s="85" t="s">
        <v>3976</v>
      </c>
      <c r="B1670" s="81" t="s">
        <v>4035</v>
      </c>
      <c r="C1670" s="26" t="s">
        <v>37</v>
      </c>
      <c r="D1670" s="14"/>
      <c r="E1670" s="15"/>
      <c r="F1670" s="16">
        <f t="shared" si="95"/>
        <v>0</v>
      </c>
      <c r="G1670">
        <f t="shared" si="96"/>
        <v>0</v>
      </c>
    </row>
    <row r="1671" spans="1:7" ht="15.75" hidden="1" thickBot="1" x14ac:dyDescent="0.3">
      <c r="A1671" s="85" t="s">
        <v>3977</v>
      </c>
      <c r="B1671" s="81" t="s">
        <v>4036</v>
      </c>
      <c r="C1671" s="26" t="s">
        <v>37</v>
      </c>
      <c r="D1671" s="14"/>
      <c r="E1671" s="15"/>
      <c r="F1671" s="16">
        <f t="shared" si="95"/>
        <v>0</v>
      </c>
      <c r="G1671">
        <f t="shared" si="96"/>
        <v>0</v>
      </c>
    </row>
    <row r="1672" spans="1:7" ht="15.75" hidden="1" thickBot="1" x14ac:dyDescent="0.3">
      <c r="A1672" s="85" t="s">
        <v>3978</v>
      </c>
      <c r="B1672" s="81" t="s">
        <v>4037</v>
      </c>
      <c r="C1672" s="26" t="s">
        <v>37</v>
      </c>
      <c r="D1672" s="14"/>
      <c r="E1672" s="15"/>
      <c r="F1672" s="16">
        <f t="shared" si="95"/>
        <v>0</v>
      </c>
      <c r="G1672">
        <f t="shared" si="96"/>
        <v>0</v>
      </c>
    </row>
    <row r="1673" spans="1:7" ht="15.75" hidden="1" thickBot="1" x14ac:dyDescent="0.3">
      <c r="A1673" s="85" t="s">
        <v>3979</v>
      </c>
      <c r="B1673" s="81" t="s">
        <v>4038</v>
      </c>
      <c r="C1673" s="26" t="s">
        <v>37</v>
      </c>
      <c r="D1673" s="14"/>
      <c r="E1673" s="15"/>
      <c r="F1673" s="16">
        <f t="shared" si="95"/>
        <v>0</v>
      </c>
      <c r="G1673">
        <f t="shared" si="96"/>
        <v>0</v>
      </c>
    </row>
    <row r="1674" spans="1:7" ht="15.75" hidden="1" thickBot="1" x14ac:dyDescent="0.3">
      <c r="A1674" s="78" t="s">
        <v>994</v>
      </c>
      <c r="B1674" s="79" t="s">
        <v>4039</v>
      </c>
      <c r="C1674" s="26"/>
      <c r="D1674" s="14"/>
      <c r="E1674" s="15"/>
      <c r="F1674" s="16"/>
      <c r="G1674">
        <f t="shared" si="96"/>
        <v>0</v>
      </c>
    </row>
    <row r="1675" spans="1:7" ht="15.75" hidden="1" thickBot="1" x14ac:dyDescent="0.3">
      <c r="A1675" s="78" t="s">
        <v>545</v>
      </c>
      <c r="B1675" s="79" t="s">
        <v>4100</v>
      </c>
      <c r="C1675" s="26"/>
      <c r="D1675" s="14"/>
      <c r="E1675" s="15"/>
      <c r="F1675" s="16"/>
      <c r="G1675">
        <f t="shared" si="96"/>
        <v>0</v>
      </c>
    </row>
    <row r="1676" spans="1:7" ht="15.75" hidden="1" thickBot="1" x14ac:dyDescent="0.3">
      <c r="A1676" s="85" t="s">
        <v>4099</v>
      </c>
      <c r="B1676" s="81" t="s">
        <v>4040</v>
      </c>
      <c r="C1676" s="26" t="s">
        <v>37</v>
      </c>
      <c r="D1676" s="14"/>
      <c r="E1676" s="15"/>
      <c r="F1676" s="16">
        <f t="shared" ref="F1676:F1739" si="97">+D1676*E1676</f>
        <v>0</v>
      </c>
      <c r="G1676">
        <f t="shared" si="96"/>
        <v>0</v>
      </c>
    </row>
    <row r="1677" spans="1:7" ht="15.75" hidden="1" thickBot="1" x14ac:dyDescent="0.3">
      <c r="A1677" s="85" t="s">
        <v>4101</v>
      </c>
      <c r="B1677" s="81" t="s">
        <v>4041</v>
      </c>
      <c r="C1677" s="26" t="s">
        <v>37</v>
      </c>
      <c r="D1677" s="14"/>
      <c r="E1677" s="15"/>
      <c r="F1677" s="16">
        <f t="shared" si="97"/>
        <v>0</v>
      </c>
      <c r="G1677">
        <f t="shared" si="96"/>
        <v>0</v>
      </c>
    </row>
    <row r="1678" spans="1:7" ht="15.75" hidden="1" thickBot="1" x14ac:dyDescent="0.3">
      <c r="A1678" s="85" t="s">
        <v>4102</v>
      </c>
      <c r="B1678" s="81" t="s">
        <v>4042</v>
      </c>
      <c r="C1678" s="26" t="s">
        <v>37</v>
      </c>
      <c r="D1678" s="14"/>
      <c r="E1678" s="15"/>
      <c r="F1678" s="16">
        <f t="shared" si="97"/>
        <v>0</v>
      </c>
      <c r="G1678">
        <f t="shared" si="96"/>
        <v>0</v>
      </c>
    </row>
    <row r="1679" spans="1:7" ht="15.75" hidden="1" thickBot="1" x14ac:dyDescent="0.3">
      <c r="A1679" s="85" t="s">
        <v>4103</v>
      </c>
      <c r="B1679" s="81" t="s">
        <v>4043</v>
      </c>
      <c r="C1679" s="26" t="s">
        <v>37</v>
      </c>
      <c r="D1679" s="14"/>
      <c r="E1679" s="15"/>
      <c r="F1679" s="16">
        <f t="shared" si="97"/>
        <v>0</v>
      </c>
      <c r="G1679">
        <f t="shared" si="96"/>
        <v>0</v>
      </c>
    </row>
    <row r="1680" spans="1:7" ht="15.75" hidden="1" thickBot="1" x14ac:dyDescent="0.3">
      <c r="A1680" s="85" t="s">
        <v>4104</v>
      </c>
      <c r="B1680" s="81" t="s">
        <v>4044</v>
      </c>
      <c r="C1680" s="26" t="s">
        <v>37</v>
      </c>
      <c r="D1680" s="14"/>
      <c r="E1680" s="15"/>
      <c r="F1680" s="16">
        <f t="shared" si="97"/>
        <v>0</v>
      </c>
      <c r="G1680">
        <f t="shared" si="96"/>
        <v>0</v>
      </c>
    </row>
    <row r="1681" spans="1:7" ht="15.75" hidden="1" thickBot="1" x14ac:dyDescent="0.3">
      <c r="A1681" s="85" t="s">
        <v>4105</v>
      </c>
      <c r="B1681" s="81" t="s">
        <v>4076</v>
      </c>
      <c r="C1681" s="26" t="s">
        <v>37</v>
      </c>
      <c r="D1681" s="14"/>
      <c r="E1681" s="15"/>
      <c r="F1681" s="16">
        <f t="shared" si="97"/>
        <v>0</v>
      </c>
      <c r="G1681">
        <f t="shared" si="96"/>
        <v>0</v>
      </c>
    </row>
    <row r="1682" spans="1:7" ht="15.75" hidden="1" thickBot="1" x14ac:dyDescent="0.3">
      <c r="A1682" s="85" t="s">
        <v>4106</v>
      </c>
      <c r="B1682" s="81" t="s">
        <v>4077</v>
      </c>
      <c r="C1682" s="26" t="s">
        <v>37</v>
      </c>
      <c r="D1682" s="14"/>
      <c r="E1682" s="15"/>
      <c r="F1682" s="16">
        <f t="shared" si="97"/>
        <v>0</v>
      </c>
      <c r="G1682">
        <f t="shared" si="96"/>
        <v>0</v>
      </c>
    </row>
    <row r="1683" spans="1:7" ht="15.75" hidden="1" thickBot="1" x14ac:dyDescent="0.3">
      <c r="A1683" s="85" t="s">
        <v>4107</v>
      </c>
      <c r="B1683" s="81" t="s">
        <v>4078</v>
      </c>
      <c r="C1683" s="26" t="s">
        <v>37</v>
      </c>
      <c r="D1683" s="14"/>
      <c r="E1683" s="15"/>
      <c r="F1683" s="16">
        <f t="shared" si="97"/>
        <v>0</v>
      </c>
      <c r="G1683">
        <f t="shared" si="96"/>
        <v>0</v>
      </c>
    </row>
    <row r="1684" spans="1:7" ht="15.75" hidden="1" thickBot="1" x14ac:dyDescent="0.3">
      <c r="A1684" s="85" t="s">
        <v>4108</v>
      </c>
      <c r="B1684" s="81" t="s">
        <v>4079</v>
      </c>
      <c r="C1684" s="26" t="s">
        <v>37</v>
      </c>
      <c r="D1684" s="14"/>
      <c r="E1684" s="15"/>
      <c r="F1684" s="16">
        <f t="shared" si="97"/>
        <v>0</v>
      </c>
      <c r="G1684">
        <f t="shared" si="96"/>
        <v>0</v>
      </c>
    </row>
    <row r="1685" spans="1:7" ht="15.75" hidden="1" thickBot="1" x14ac:dyDescent="0.3">
      <c r="A1685" s="85" t="s">
        <v>4109</v>
      </c>
      <c r="B1685" s="81" t="s">
        <v>4080</v>
      </c>
      <c r="C1685" s="26" t="s">
        <v>37</v>
      </c>
      <c r="D1685" s="14"/>
      <c r="E1685" s="15"/>
      <c r="F1685" s="16">
        <f t="shared" si="97"/>
        <v>0</v>
      </c>
      <c r="G1685">
        <f t="shared" si="96"/>
        <v>0</v>
      </c>
    </row>
    <row r="1686" spans="1:7" ht="15.75" hidden="1" thickBot="1" x14ac:dyDescent="0.3">
      <c r="A1686" s="85" t="s">
        <v>4110</v>
      </c>
      <c r="B1686" s="81" t="s">
        <v>4081</v>
      </c>
      <c r="C1686" s="26" t="s">
        <v>37</v>
      </c>
      <c r="D1686" s="14"/>
      <c r="E1686" s="15"/>
      <c r="F1686" s="16">
        <f t="shared" si="97"/>
        <v>0</v>
      </c>
      <c r="G1686">
        <f t="shared" si="96"/>
        <v>0</v>
      </c>
    </row>
    <row r="1687" spans="1:7" ht="15.75" hidden="1" thickBot="1" x14ac:dyDescent="0.3">
      <c r="A1687" s="85" t="s">
        <v>4111</v>
      </c>
      <c r="B1687" s="81" t="s">
        <v>4082</v>
      </c>
      <c r="C1687" s="26" t="s">
        <v>37</v>
      </c>
      <c r="D1687" s="14"/>
      <c r="E1687" s="15"/>
      <c r="F1687" s="16">
        <f t="shared" si="97"/>
        <v>0</v>
      </c>
      <c r="G1687">
        <f t="shared" si="96"/>
        <v>0</v>
      </c>
    </row>
    <row r="1688" spans="1:7" ht="15.75" hidden="1" thickBot="1" x14ac:dyDescent="0.3">
      <c r="A1688" s="85" t="s">
        <v>4112</v>
      </c>
      <c r="B1688" s="81" t="s">
        <v>4083</v>
      </c>
      <c r="C1688" s="26" t="s">
        <v>37</v>
      </c>
      <c r="D1688" s="14"/>
      <c r="E1688" s="15"/>
      <c r="F1688" s="16">
        <f t="shared" si="97"/>
        <v>0</v>
      </c>
      <c r="G1688">
        <f t="shared" si="96"/>
        <v>0</v>
      </c>
    </row>
    <row r="1689" spans="1:7" ht="15.75" hidden="1" thickBot="1" x14ac:dyDescent="0.3">
      <c r="A1689" s="85" t="s">
        <v>4113</v>
      </c>
      <c r="B1689" s="81" t="s">
        <v>4084</v>
      </c>
      <c r="C1689" s="26" t="s">
        <v>37</v>
      </c>
      <c r="D1689" s="14"/>
      <c r="E1689" s="15"/>
      <c r="F1689" s="16">
        <f t="shared" si="97"/>
        <v>0</v>
      </c>
      <c r="G1689">
        <f t="shared" si="96"/>
        <v>0</v>
      </c>
    </row>
    <row r="1690" spans="1:7" ht="15.75" hidden="1" thickBot="1" x14ac:dyDescent="0.3">
      <c r="A1690" s="85" t="s">
        <v>4114</v>
      </c>
      <c r="B1690" s="81" t="s">
        <v>4085</v>
      </c>
      <c r="C1690" s="26" t="s">
        <v>37</v>
      </c>
      <c r="D1690" s="14"/>
      <c r="E1690" s="15"/>
      <c r="F1690" s="16">
        <f t="shared" si="97"/>
        <v>0</v>
      </c>
      <c r="G1690">
        <f t="shared" si="96"/>
        <v>0</v>
      </c>
    </row>
    <row r="1691" spans="1:7" ht="15.75" hidden="1" thickBot="1" x14ac:dyDescent="0.3">
      <c r="A1691" s="85" t="s">
        <v>4115</v>
      </c>
      <c r="B1691" s="81" t="s">
        <v>4086</v>
      </c>
      <c r="C1691" s="26" t="s">
        <v>37</v>
      </c>
      <c r="D1691" s="14"/>
      <c r="E1691" s="15"/>
      <c r="F1691" s="16">
        <f t="shared" si="97"/>
        <v>0</v>
      </c>
      <c r="G1691">
        <f t="shared" si="96"/>
        <v>0</v>
      </c>
    </row>
    <row r="1692" spans="1:7" ht="15.75" hidden="1" thickBot="1" x14ac:dyDescent="0.3">
      <c r="A1692" s="85" t="s">
        <v>4116</v>
      </c>
      <c r="B1692" s="81" t="s">
        <v>4087</v>
      </c>
      <c r="C1692" s="26" t="s">
        <v>37</v>
      </c>
      <c r="D1692" s="14"/>
      <c r="E1692" s="15"/>
      <c r="F1692" s="16">
        <f t="shared" si="97"/>
        <v>0</v>
      </c>
      <c r="G1692">
        <f t="shared" si="96"/>
        <v>0</v>
      </c>
    </row>
    <row r="1693" spans="1:7" ht="15.75" hidden="1" thickBot="1" x14ac:dyDescent="0.3">
      <c r="A1693" s="85" t="s">
        <v>4117</v>
      </c>
      <c r="B1693" s="81" t="s">
        <v>4088</v>
      </c>
      <c r="C1693" s="26" t="s">
        <v>37</v>
      </c>
      <c r="D1693" s="14"/>
      <c r="E1693" s="15"/>
      <c r="F1693" s="16">
        <f t="shared" si="97"/>
        <v>0</v>
      </c>
      <c r="G1693">
        <f t="shared" si="96"/>
        <v>0</v>
      </c>
    </row>
    <row r="1694" spans="1:7" ht="15.75" hidden="1" thickBot="1" x14ac:dyDescent="0.3">
      <c r="A1694" s="85" t="s">
        <v>4118</v>
      </c>
      <c r="B1694" s="81" t="s">
        <v>4089</v>
      </c>
      <c r="C1694" s="26" t="s">
        <v>37</v>
      </c>
      <c r="D1694" s="14"/>
      <c r="E1694" s="15"/>
      <c r="F1694" s="16">
        <f t="shared" si="97"/>
        <v>0</v>
      </c>
      <c r="G1694">
        <f t="shared" si="96"/>
        <v>0</v>
      </c>
    </row>
    <row r="1695" spans="1:7" ht="15.75" hidden="1" thickBot="1" x14ac:dyDescent="0.3">
      <c r="A1695" s="85" t="s">
        <v>4119</v>
      </c>
      <c r="B1695" s="81" t="s">
        <v>4090</v>
      </c>
      <c r="C1695" s="26" t="s">
        <v>37</v>
      </c>
      <c r="D1695" s="14"/>
      <c r="E1695" s="15"/>
      <c r="F1695" s="16">
        <f t="shared" si="97"/>
        <v>0</v>
      </c>
      <c r="G1695">
        <f t="shared" si="96"/>
        <v>0</v>
      </c>
    </row>
    <row r="1696" spans="1:7" ht="15.75" hidden="1" thickBot="1" x14ac:dyDescent="0.3">
      <c r="A1696" s="85" t="s">
        <v>4120</v>
      </c>
      <c r="B1696" s="81" t="s">
        <v>4091</v>
      </c>
      <c r="C1696" s="26" t="s">
        <v>37</v>
      </c>
      <c r="D1696" s="14"/>
      <c r="E1696" s="15"/>
      <c r="F1696" s="16">
        <f t="shared" si="97"/>
        <v>0</v>
      </c>
      <c r="G1696">
        <f t="shared" si="96"/>
        <v>0</v>
      </c>
    </row>
    <row r="1697" spans="1:7" ht="15.75" hidden="1" thickBot="1" x14ac:dyDescent="0.3">
      <c r="A1697" s="85" t="s">
        <v>4121</v>
      </c>
      <c r="B1697" s="81" t="s">
        <v>4092</v>
      </c>
      <c r="C1697" s="26" t="s">
        <v>37</v>
      </c>
      <c r="D1697" s="14"/>
      <c r="E1697" s="15"/>
      <c r="F1697" s="16">
        <f t="shared" si="97"/>
        <v>0</v>
      </c>
      <c r="G1697">
        <f t="shared" si="96"/>
        <v>0</v>
      </c>
    </row>
    <row r="1698" spans="1:7" ht="15.75" hidden="1" thickBot="1" x14ac:dyDescent="0.3">
      <c r="A1698" s="85" t="s">
        <v>4122</v>
      </c>
      <c r="B1698" s="81" t="s">
        <v>4093</v>
      </c>
      <c r="C1698" s="26" t="s">
        <v>37</v>
      </c>
      <c r="D1698" s="14"/>
      <c r="E1698" s="15"/>
      <c r="F1698" s="16">
        <f t="shared" si="97"/>
        <v>0</v>
      </c>
      <c r="G1698">
        <f t="shared" si="96"/>
        <v>0</v>
      </c>
    </row>
    <row r="1699" spans="1:7" ht="15.75" hidden="1" thickBot="1" x14ac:dyDescent="0.3">
      <c r="A1699" s="85" t="s">
        <v>4123</v>
      </c>
      <c r="B1699" s="81" t="s">
        <v>4094</v>
      </c>
      <c r="C1699" s="26" t="s">
        <v>37</v>
      </c>
      <c r="D1699" s="14"/>
      <c r="E1699" s="15"/>
      <c r="F1699" s="16">
        <f t="shared" si="97"/>
        <v>0</v>
      </c>
      <c r="G1699">
        <f t="shared" si="96"/>
        <v>0</v>
      </c>
    </row>
    <row r="1700" spans="1:7" ht="15.75" hidden="1" thickBot="1" x14ac:dyDescent="0.3">
      <c r="A1700" s="85" t="s">
        <v>4124</v>
      </c>
      <c r="B1700" s="81" t="s">
        <v>4095</v>
      </c>
      <c r="C1700" s="26" t="s">
        <v>37</v>
      </c>
      <c r="D1700" s="14"/>
      <c r="E1700" s="15"/>
      <c r="F1700" s="16">
        <f t="shared" si="97"/>
        <v>0</v>
      </c>
      <c r="G1700">
        <f t="shared" ref="G1700:G1763" si="98">+IF(F1700&lt;&gt;0,1,0)</f>
        <v>0</v>
      </c>
    </row>
    <row r="1701" spans="1:7" ht="15.75" hidden="1" thickBot="1" x14ac:dyDescent="0.3">
      <c r="A1701" s="85" t="s">
        <v>4125</v>
      </c>
      <c r="B1701" s="81" t="s">
        <v>4096</v>
      </c>
      <c r="C1701" s="26" t="s">
        <v>37</v>
      </c>
      <c r="D1701" s="14"/>
      <c r="E1701" s="15"/>
      <c r="F1701" s="16">
        <f t="shared" si="97"/>
        <v>0</v>
      </c>
      <c r="G1701">
        <f t="shared" si="98"/>
        <v>0</v>
      </c>
    </row>
    <row r="1702" spans="1:7" ht="15.75" hidden="1" thickBot="1" x14ac:dyDescent="0.3">
      <c r="A1702" s="85" t="s">
        <v>4126</v>
      </c>
      <c r="B1702" s="81" t="s">
        <v>4097</v>
      </c>
      <c r="C1702" s="26" t="s">
        <v>37</v>
      </c>
      <c r="D1702" s="14"/>
      <c r="E1702" s="15"/>
      <c r="F1702" s="16">
        <f t="shared" si="97"/>
        <v>0</v>
      </c>
      <c r="G1702">
        <f t="shared" si="98"/>
        <v>0</v>
      </c>
    </row>
    <row r="1703" spans="1:7" ht="15.75" hidden="1" thickBot="1" x14ac:dyDescent="0.3">
      <c r="A1703" s="85" t="s">
        <v>4127</v>
      </c>
      <c r="B1703" s="81" t="s">
        <v>4098</v>
      </c>
      <c r="C1703" s="26" t="s">
        <v>37</v>
      </c>
      <c r="D1703" s="14"/>
      <c r="E1703" s="15"/>
      <c r="F1703" s="16">
        <f t="shared" si="97"/>
        <v>0</v>
      </c>
      <c r="G1703">
        <f t="shared" si="98"/>
        <v>0</v>
      </c>
    </row>
    <row r="1704" spans="1:7" ht="15.75" hidden="1" thickBot="1" x14ac:dyDescent="0.3">
      <c r="A1704" s="85" t="s">
        <v>4128</v>
      </c>
      <c r="B1704" s="81" t="s">
        <v>4071</v>
      </c>
      <c r="C1704" s="26" t="s">
        <v>37</v>
      </c>
      <c r="D1704" s="14"/>
      <c r="E1704" s="15"/>
      <c r="F1704" s="16">
        <f t="shared" si="97"/>
        <v>0</v>
      </c>
      <c r="G1704">
        <f t="shared" si="98"/>
        <v>0</v>
      </c>
    </row>
    <row r="1705" spans="1:7" ht="15.75" hidden="1" thickBot="1" x14ac:dyDescent="0.3">
      <c r="A1705" s="85" t="s">
        <v>4129</v>
      </c>
      <c r="B1705" s="81" t="s">
        <v>4072</v>
      </c>
      <c r="C1705" s="26" t="s">
        <v>37</v>
      </c>
      <c r="D1705" s="14"/>
      <c r="E1705" s="15"/>
      <c r="F1705" s="16">
        <f t="shared" si="97"/>
        <v>0</v>
      </c>
      <c r="G1705">
        <f t="shared" si="98"/>
        <v>0</v>
      </c>
    </row>
    <row r="1706" spans="1:7" ht="15.75" hidden="1" thickBot="1" x14ac:dyDescent="0.3">
      <c r="A1706" s="85" t="s">
        <v>4130</v>
      </c>
      <c r="B1706" s="81" t="s">
        <v>4073</v>
      </c>
      <c r="C1706" s="26" t="s">
        <v>37</v>
      </c>
      <c r="D1706" s="14"/>
      <c r="E1706" s="15"/>
      <c r="F1706" s="16">
        <f t="shared" si="97"/>
        <v>0</v>
      </c>
      <c r="G1706">
        <f t="shared" si="98"/>
        <v>0</v>
      </c>
    </row>
    <row r="1707" spans="1:7" ht="15.75" hidden="1" thickBot="1" x14ac:dyDescent="0.3">
      <c r="A1707" s="85" t="s">
        <v>4131</v>
      </c>
      <c r="B1707" s="81" t="s">
        <v>4074</v>
      </c>
      <c r="C1707" s="26" t="s">
        <v>37</v>
      </c>
      <c r="D1707" s="14"/>
      <c r="E1707" s="15"/>
      <c r="F1707" s="16">
        <f t="shared" si="97"/>
        <v>0</v>
      </c>
      <c r="G1707">
        <f t="shared" si="98"/>
        <v>0</v>
      </c>
    </row>
    <row r="1708" spans="1:7" ht="15.75" hidden="1" thickBot="1" x14ac:dyDescent="0.3">
      <c r="A1708" s="85" t="s">
        <v>4132</v>
      </c>
      <c r="B1708" s="81" t="s">
        <v>4075</v>
      </c>
      <c r="C1708" s="26" t="s">
        <v>37</v>
      </c>
      <c r="D1708" s="14"/>
      <c r="E1708" s="15"/>
      <c r="F1708" s="16">
        <f t="shared" si="97"/>
        <v>0</v>
      </c>
      <c r="G1708">
        <f t="shared" si="98"/>
        <v>0</v>
      </c>
    </row>
    <row r="1709" spans="1:7" ht="15.75" hidden="1" thickBot="1" x14ac:dyDescent="0.3">
      <c r="A1709" s="85" t="s">
        <v>4133</v>
      </c>
      <c r="B1709" s="81" t="s">
        <v>4047</v>
      </c>
      <c r="C1709" s="26" t="s">
        <v>37</v>
      </c>
      <c r="D1709" s="14"/>
      <c r="E1709" s="15"/>
      <c r="F1709" s="16">
        <f t="shared" si="97"/>
        <v>0</v>
      </c>
      <c r="G1709">
        <f t="shared" si="98"/>
        <v>0</v>
      </c>
    </row>
    <row r="1710" spans="1:7" ht="15.75" hidden="1" thickBot="1" x14ac:dyDescent="0.3">
      <c r="A1710" s="85" t="s">
        <v>4134</v>
      </c>
      <c r="B1710" s="81" t="s">
        <v>4048</v>
      </c>
      <c r="C1710" s="26" t="s">
        <v>37</v>
      </c>
      <c r="D1710" s="14"/>
      <c r="E1710" s="15"/>
      <c r="F1710" s="16">
        <f t="shared" si="97"/>
        <v>0</v>
      </c>
      <c r="G1710">
        <f t="shared" si="98"/>
        <v>0</v>
      </c>
    </row>
    <row r="1711" spans="1:7" ht="15.75" hidden="1" thickBot="1" x14ac:dyDescent="0.3">
      <c r="A1711" s="85" t="s">
        <v>4135</v>
      </c>
      <c r="B1711" s="81" t="s">
        <v>4049</v>
      </c>
      <c r="C1711" s="26" t="s">
        <v>37</v>
      </c>
      <c r="D1711" s="14"/>
      <c r="E1711" s="15"/>
      <c r="F1711" s="16">
        <f t="shared" si="97"/>
        <v>0</v>
      </c>
      <c r="G1711">
        <f t="shared" si="98"/>
        <v>0</v>
      </c>
    </row>
    <row r="1712" spans="1:7" ht="15.75" hidden="1" thickBot="1" x14ac:dyDescent="0.3">
      <c r="A1712" s="85" t="s">
        <v>4136</v>
      </c>
      <c r="B1712" s="81" t="s">
        <v>4050</v>
      </c>
      <c r="C1712" s="26" t="s">
        <v>37</v>
      </c>
      <c r="D1712" s="14"/>
      <c r="E1712" s="15"/>
      <c r="F1712" s="16">
        <f t="shared" si="97"/>
        <v>0</v>
      </c>
      <c r="G1712">
        <f t="shared" si="98"/>
        <v>0</v>
      </c>
    </row>
    <row r="1713" spans="1:7" ht="15.75" hidden="1" thickBot="1" x14ac:dyDescent="0.3">
      <c r="A1713" s="85" t="s">
        <v>4137</v>
      </c>
      <c r="B1713" s="81" t="s">
        <v>4064</v>
      </c>
      <c r="C1713" s="26" t="s">
        <v>37</v>
      </c>
      <c r="D1713" s="14"/>
      <c r="E1713" s="15"/>
      <c r="F1713" s="16">
        <f t="shared" si="97"/>
        <v>0</v>
      </c>
      <c r="G1713">
        <f t="shared" si="98"/>
        <v>0</v>
      </c>
    </row>
    <row r="1714" spans="1:7" ht="15.75" hidden="1" thickBot="1" x14ac:dyDescent="0.3">
      <c r="A1714" s="85" t="s">
        <v>4138</v>
      </c>
      <c r="B1714" s="81" t="s">
        <v>4065</v>
      </c>
      <c r="C1714" s="26" t="s">
        <v>37</v>
      </c>
      <c r="D1714" s="14"/>
      <c r="E1714" s="15"/>
      <c r="F1714" s="16">
        <f t="shared" si="97"/>
        <v>0</v>
      </c>
      <c r="G1714">
        <f t="shared" si="98"/>
        <v>0</v>
      </c>
    </row>
    <row r="1715" spans="1:7" ht="15.75" hidden="1" thickBot="1" x14ac:dyDescent="0.3">
      <c r="A1715" s="85" t="s">
        <v>4139</v>
      </c>
      <c r="B1715" s="81" t="s">
        <v>4066</v>
      </c>
      <c r="C1715" s="26" t="s">
        <v>37</v>
      </c>
      <c r="D1715" s="14"/>
      <c r="E1715" s="15"/>
      <c r="F1715" s="16">
        <f t="shared" si="97"/>
        <v>0</v>
      </c>
      <c r="G1715">
        <f t="shared" si="98"/>
        <v>0</v>
      </c>
    </row>
    <row r="1716" spans="1:7" ht="15.75" hidden="1" thickBot="1" x14ac:dyDescent="0.3">
      <c r="A1716" s="85" t="s">
        <v>4140</v>
      </c>
      <c r="B1716" s="81" t="s">
        <v>4067</v>
      </c>
      <c r="C1716" s="26" t="s">
        <v>37</v>
      </c>
      <c r="D1716" s="14"/>
      <c r="E1716" s="15"/>
      <c r="F1716" s="16">
        <f t="shared" si="97"/>
        <v>0</v>
      </c>
      <c r="G1716">
        <f t="shared" si="98"/>
        <v>0</v>
      </c>
    </row>
    <row r="1717" spans="1:7" ht="15.75" hidden="1" thickBot="1" x14ac:dyDescent="0.3">
      <c r="A1717" s="85" t="s">
        <v>4141</v>
      </c>
      <c r="B1717" s="81" t="s">
        <v>4068</v>
      </c>
      <c r="C1717" s="26" t="s">
        <v>37</v>
      </c>
      <c r="D1717" s="14"/>
      <c r="E1717" s="15"/>
      <c r="F1717" s="16">
        <f t="shared" si="97"/>
        <v>0</v>
      </c>
      <c r="G1717">
        <f t="shared" si="98"/>
        <v>0</v>
      </c>
    </row>
    <row r="1718" spans="1:7" ht="15.75" hidden="1" thickBot="1" x14ac:dyDescent="0.3">
      <c r="A1718" s="85" t="s">
        <v>4142</v>
      </c>
      <c r="B1718" s="81" t="s">
        <v>4069</v>
      </c>
      <c r="C1718" s="26" t="s">
        <v>37</v>
      </c>
      <c r="D1718" s="14"/>
      <c r="E1718" s="15"/>
      <c r="F1718" s="16">
        <f t="shared" si="97"/>
        <v>0</v>
      </c>
      <c r="G1718">
        <f t="shared" si="98"/>
        <v>0</v>
      </c>
    </row>
    <row r="1719" spans="1:7" ht="15.75" hidden="1" thickBot="1" x14ac:dyDescent="0.3">
      <c r="A1719" s="85" t="s">
        <v>4143</v>
      </c>
      <c r="B1719" s="81" t="s">
        <v>4070</v>
      </c>
      <c r="C1719" s="26" t="s">
        <v>37</v>
      </c>
      <c r="D1719" s="14"/>
      <c r="E1719" s="15"/>
      <c r="F1719" s="16">
        <f t="shared" si="97"/>
        <v>0</v>
      </c>
      <c r="G1719">
        <f t="shared" si="98"/>
        <v>0</v>
      </c>
    </row>
    <row r="1720" spans="1:7" ht="15.75" hidden="1" thickBot="1" x14ac:dyDescent="0.3">
      <c r="A1720" s="85" t="s">
        <v>4144</v>
      </c>
      <c r="B1720" s="81" t="s">
        <v>4051</v>
      </c>
      <c r="C1720" s="26" t="s">
        <v>37</v>
      </c>
      <c r="D1720" s="14"/>
      <c r="E1720" s="15"/>
      <c r="F1720" s="16">
        <f t="shared" si="97"/>
        <v>0</v>
      </c>
      <c r="G1720">
        <f t="shared" si="98"/>
        <v>0</v>
      </c>
    </row>
    <row r="1721" spans="1:7" ht="15.75" hidden="1" thickBot="1" x14ac:dyDescent="0.3">
      <c r="A1721" s="85" t="s">
        <v>4145</v>
      </c>
      <c r="B1721" s="81" t="s">
        <v>4052</v>
      </c>
      <c r="C1721" s="26" t="s">
        <v>37</v>
      </c>
      <c r="D1721" s="14"/>
      <c r="E1721" s="15"/>
      <c r="F1721" s="16">
        <f t="shared" si="97"/>
        <v>0</v>
      </c>
      <c r="G1721">
        <f t="shared" si="98"/>
        <v>0</v>
      </c>
    </row>
    <row r="1722" spans="1:7" ht="15.75" hidden="1" thickBot="1" x14ac:dyDescent="0.3">
      <c r="A1722" s="85" t="s">
        <v>4146</v>
      </c>
      <c r="B1722" s="81" t="s">
        <v>4053</v>
      </c>
      <c r="C1722" s="26" t="s">
        <v>37</v>
      </c>
      <c r="D1722" s="14"/>
      <c r="E1722" s="15"/>
      <c r="F1722" s="16">
        <f t="shared" si="97"/>
        <v>0</v>
      </c>
      <c r="G1722">
        <f t="shared" si="98"/>
        <v>0</v>
      </c>
    </row>
    <row r="1723" spans="1:7" ht="15.75" hidden="1" thickBot="1" x14ac:dyDescent="0.3">
      <c r="A1723" s="85" t="s">
        <v>4147</v>
      </c>
      <c r="B1723" s="81" t="s">
        <v>4054</v>
      </c>
      <c r="C1723" s="26" t="s">
        <v>37</v>
      </c>
      <c r="D1723" s="14"/>
      <c r="E1723" s="15"/>
      <c r="F1723" s="16">
        <f t="shared" si="97"/>
        <v>0</v>
      </c>
      <c r="G1723">
        <f t="shared" si="98"/>
        <v>0</v>
      </c>
    </row>
    <row r="1724" spans="1:7" ht="15.75" hidden="1" thickBot="1" x14ac:dyDescent="0.3">
      <c r="A1724" s="85" t="s">
        <v>4148</v>
      </c>
      <c r="B1724" s="81" t="s">
        <v>4055</v>
      </c>
      <c r="C1724" s="26" t="s">
        <v>37</v>
      </c>
      <c r="D1724" s="14"/>
      <c r="E1724" s="15"/>
      <c r="F1724" s="16">
        <f t="shared" si="97"/>
        <v>0</v>
      </c>
      <c r="G1724">
        <f t="shared" si="98"/>
        <v>0</v>
      </c>
    </row>
    <row r="1725" spans="1:7" ht="15.75" hidden="1" thickBot="1" x14ac:dyDescent="0.3">
      <c r="A1725" s="85" t="s">
        <v>4149</v>
      </c>
      <c r="B1725" s="81" t="s">
        <v>4056</v>
      </c>
      <c r="C1725" s="26" t="s">
        <v>37</v>
      </c>
      <c r="D1725" s="14"/>
      <c r="E1725" s="15"/>
      <c r="F1725" s="16">
        <f t="shared" si="97"/>
        <v>0</v>
      </c>
      <c r="G1725">
        <f t="shared" si="98"/>
        <v>0</v>
      </c>
    </row>
    <row r="1726" spans="1:7" ht="15.75" hidden="1" thickBot="1" x14ac:dyDescent="0.3">
      <c r="A1726" s="85" t="s">
        <v>4150</v>
      </c>
      <c r="B1726" s="81" t="s">
        <v>4057</v>
      </c>
      <c r="C1726" s="26" t="s">
        <v>37</v>
      </c>
      <c r="D1726" s="14"/>
      <c r="E1726" s="15"/>
      <c r="F1726" s="16">
        <f t="shared" si="97"/>
        <v>0</v>
      </c>
      <c r="G1726">
        <f t="shared" si="98"/>
        <v>0</v>
      </c>
    </row>
    <row r="1727" spans="1:7" ht="15.75" hidden="1" thickBot="1" x14ac:dyDescent="0.3">
      <c r="A1727" s="85" t="s">
        <v>4151</v>
      </c>
      <c r="B1727" s="81" t="s">
        <v>4058</v>
      </c>
      <c r="C1727" s="26" t="s">
        <v>37</v>
      </c>
      <c r="D1727" s="14"/>
      <c r="E1727" s="15"/>
      <c r="F1727" s="16">
        <f t="shared" si="97"/>
        <v>0</v>
      </c>
      <c r="G1727">
        <f t="shared" si="98"/>
        <v>0</v>
      </c>
    </row>
    <row r="1728" spans="1:7" ht="15.75" hidden="1" thickBot="1" x14ac:dyDescent="0.3">
      <c r="A1728" s="85" t="s">
        <v>4152</v>
      </c>
      <c r="B1728" s="81" t="s">
        <v>4059</v>
      </c>
      <c r="C1728" s="26" t="s">
        <v>37</v>
      </c>
      <c r="D1728" s="14"/>
      <c r="E1728" s="15"/>
      <c r="F1728" s="16">
        <f t="shared" si="97"/>
        <v>0</v>
      </c>
      <c r="G1728">
        <f t="shared" si="98"/>
        <v>0</v>
      </c>
    </row>
    <row r="1729" spans="1:7" ht="15.75" hidden="1" thickBot="1" x14ac:dyDescent="0.3">
      <c r="A1729" s="85" t="s">
        <v>4153</v>
      </c>
      <c r="B1729" s="81" t="s">
        <v>4060</v>
      </c>
      <c r="C1729" s="26" t="s">
        <v>37</v>
      </c>
      <c r="D1729" s="14"/>
      <c r="E1729" s="15"/>
      <c r="F1729" s="16">
        <f t="shared" si="97"/>
        <v>0</v>
      </c>
      <c r="G1729">
        <f t="shared" si="98"/>
        <v>0</v>
      </c>
    </row>
    <row r="1730" spans="1:7" ht="15.75" hidden="1" thickBot="1" x14ac:dyDescent="0.3">
      <c r="A1730" s="85" t="s">
        <v>4154</v>
      </c>
      <c r="B1730" s="81" t="s">
        <v>4061</v>
      </c>
      <c r="C1730" s="26" t="s">
        <v>37</v>
      </c>
      <c r="D1730" s="14"/>
      <c r="E1730" s="15"/>
      <c r="F1730" s="16">
        <f t="shared" si="97"/>
        <v>0</v>
      </c>
      <c r="G1730">
        <f t="shared" si="98"/>
        <v>0</v>
      </c>
    </row>
    <row r="1731" spans="1:7" ht="15.75" hidden="1" thickBot="1" x14ac:dyDescent="0.3">
      <c r="A1731" s="85" t="s">
        <v>4155</v>
      </c>
      <c r="B1731" s="81" t="s">
        <v>4062</v>
      </c>
      <c r="C1731" s="26" t="s">
        <v>37</v>
      </c>
      <c r="D1731" s="14"/>
      <c r="E1731" s="15"/>
      <c r="F1731" s="16">
        <f t="shared" si="97"/>
        <v>0</v>
      </c>
      <c r="G1731">
        <f t="shared" si="98"/>
        <v>0</v>
      </c>
    </row>
    <row r="1732" spans="1:7" ht="15.75" hidden="1" thickBot="1" x14ac:dyDescent="0.3">
      <c r="A1732" s="85" t="s">
        <v>4156</v>
      </c>
      <c r="B1732" s="81" t="s">
        <v>4063</v>
      </c>
      <c r="C1732" s="26" t="s">
        <v>37</v>
      </c>
      <c r="D1732" s="14"/>
      <c r="E1732" s="15"/>
      <c r="F1732" s="16">
        <f t="shared" si="97"/>
        <v>0</v>
      </c>
      <c r="G1732">
        <f t="shared" si="98"/>
        <v>0</v>
      </c>
    </row>
    <row r="1733" spans="1:7" ht="15.75" hidden="1" thickBot="1" x14ac:dyDescent="0.3">
      <c r="A1733" s="85" t="s">
        <v>4157</v>
      </c>
      <c r="B1733" s="81" t="s">
        <v>4046</v>
      </c>
      <c r="C1733" s="26" t="s">
        <v>37</v>
      </c>
      <c r="D1733" s="14"/>
      <c r="E1733" s="15"/>
      <c r="F1733" s="16">
        <f t="shared" si="97"/>
        <v>0</v>
      </c>
      <c r="G1733">
        <f t="shared" si="98"/>
        <v>0</v>
      </c>
    </row>
    <row r="1734" spans="1:7" ht="15.75" hidden="1" thickBot="1" x14ac:dyDescent="0.3">
      <c r="A1734" s="85" t="s">
        <v>4158</v>
      </c>
      <c r="B1734" s="81" t="s">
        <v>4045</v>
      </c>
      <c r="C1734" s="26" t="s">
        <v>37</v>
      </c>
      <c r="D1734" s="14"/>
      <c r="E1734" s="15"/>
      <c r="F1734" s="16">
        <f t="shared" si="97"/>
        <v>0</v>
      </c>
      <c r="G1734">
        <f t="shared" si="98"/>
        <v>0</v>
      </c>
    </row>
    <row r="1735" spans="1:7" ht="15.75" hidden="1" thickBot="1" x14ac:dyDescent="0.3">
      <c r="A1735" s="85" t="s">
        <v>551</v>
      </c>
      <c r="B1735" s="79" t="s">
        <v>4159</v>
      </c>
      <c r="C1735" s="26"/>
      <c r="D1735" s="14"/>
      <c r="E1735" s="15"/>
      <c r="F1735" s="16"/>
      <c r="G1735">
        <f t="shared" si="98"/>
        <v>0</v>
      </c>
    </row>
    <row r="1736" spans="1:7" ht="15.75" hidden="1" thickBot="1" x14ac:dyDescent="0.3">
      <c r="A1736" s="85" t="s">
        <v>553</v>
      </c>
      <c r="B1736" s="81" t="s">
        <v>4160</v>
      </c>
      <c r="C1736" s="26" t="s">
        <v>37</v>
      </c>
      <c r="D1736" s="14"/>
      <c r="E1736" s="15"/>
      <c r="F1736" s="16">
        <f t="shared" si="97"/>
        <v>0</v>
      </c>
      <c r="G1736">
        <f t="shared" si="98"/>
        <v>0</v>
      </c>
    </row>
    <row r="1737" spans="1:7" ht="15.75" hidden="1" thickBot="1" x14ac:dyDescent="0.3">
      <c r="A1737" s="85" t="s">
        <v>554</v>
      </c>
      <c r="B1737" s="81" t="s">
        <v>4161</v>
      </c>
      <c r="C1737" s="26" t="s">
        <v>37</v>
      </c>
      <c r="D1737" s="14"/>
      <c r="E1737" s="15"/>
      <c r="F1737" s="16">
        <f t="shared" si="97"/>
        <v>0</v>
      </c>
      <c r="G1737">
        <f t="shared" si="98"/>
        <v>0</v>
      </c>
    </row>
    <row r="1738" spans="1:7" ht="15.75" hidden="1" thickBot="1" x14ac:dyDescent="0.3">
      <c r="A1738" s="85" t="s">
        <v>555</v>
      </c>
      <c r="B1738" s="81" t="s">
        <v>4162</v>
      </c>
      <c r="C1738" s="26" t="s">
        <v>37</v>
      </c>
      <c r="D1738" s="14"/>
      <c r="E1738" s="15"/>
      <c r="F1738" s="16">
        <f t="shared" si="97"/>
        <v>0</v>
      </c>
      <c r="G1738">
        <f t="shared" si="98"/>
        <v>0</v>
      </c>
    </row>
    <row r="1739" spans="1:7" ht="15.75" hidden="1" thickBot="1" x14ac:dyDescent="0.3">
      <c r="A1739" s="85" t="s">
        <v>556</v>
      </c>
      <c r="B1739" s="81" t="s">
        <v>4163</v>
      </c>
      <c r="C1739" s="26" t="s">
        <v>37</v>
      </c>
      <c r="D1739" s="14"/>
      <c r="E1739" s="15"/>
      <c r="F1739" s="16">
        <f t="shared" si="97"/>
        <v>0</v>
      </c>
      <c r="G1739">
        <f t="shared" si="98"/>
        <v>0</v>
      </c>
    </row>
    <row r="1740" spans="1:7" ht="15.75" hidden="1" thickBot="1" x14ac:dyDescent="0.3">
      <c r="A1740" s="85" t="s">
        <v>557</v>
      </c>
      <c r="B1740" s="81" t="s">
        <v>4164</v>
      </c>
      <c r="C1740" s="26" t="s">
        <v>37</v>
      </c>
      <c r="D1740" s="14"/>
      <c r="E1740" s="15"/>
      <c r="F1740" s="16">
        <f t="shared" ref="F1740:F1803" si="99">+D1740*E1740</f>
        <v>0</v>
      </c>
      <c r="G1740">
        <f t="shared" si="98"/>
        <v>0</v>
      </c>
    </row>
    <row r="1741" spans="1:7" ht="15.75" hidden="1" thickBot="1" x14ac:dyDescent="0.3">
      <c r="A1741" s="85" t="s">
        <v>558</v>
      </c>
      <c r="B1741" s="81" t="s">
        <v>4165</v>
      </c>
      <c r="C1741" s="26" t="s">
        <v>37</v>
      </c>
      <c r="D1741" s="14"/>
      <c r="E1741" s="15"/>
      <c r="F1741" s="16">
        <f t="shared" si="99"/>
        <v>0</v>
      </c>
      <c r="G1741">
        <f t="shared" si="98"/>
        <v>0</v>
      </c>
    </row>
    <row r="1742" spans="1:7" ht="15.75" hidden="1" thickBot="1" x14ac:dyDescent="0.3">
      <c r="A1742" s="85" t="s">
        <v>559</v>
      </c>
      <c r="B1742" s="81" t="s">
        <v>4166</v>
      </c>
      <c r="C1742" s="26" t="s">
        <v>37</v>
      </c>
      <c r="D1742" s="14"/>
      <c r="E1742" s="15"/>
      <c r="F1742" s="16">
        <f t="shared" si="99"/>
        <v>0</v>
      </c>
      <c r="G1742">
        <f t="shared" si="98"/>
        <v>0</v>
      </c>
    </row>
    <row r="1743" spans="1:7" ht="15.75" hidden="1" thickBot="1" x14ac:dyDescent="0.3">
      <c r="A1743" s="85" t="s">
        <v>4219</v>
      </c>
      <c r="B1743" s="81" t="s">
        <v>4167</v>
      </c>
      <c r="C1743" s="26" t="s">
        <v>37</v>
      </c>
      <c r="D1743" s="14"/>
      <c r="E1743" s="15"/>
      <c r="F1743" s="16">
        <f t="shared" si="99"/>
        <v>0</v>
      </c>
      <c r="G1743">
        <f t="shared" si="98"/>
        <v>0</v>
      </c>
    </row>
    <row r="1744" spans="1:7" ht="15.75" hidden="1" thickBot="1" x14ac:dyDescent="0.3">
      <c r="A1744" s="85" t="s">
        <v>4220</v>
      </c>
      <c r="B1744" s="81" t="s">
        <v>4168</v>
      </c>
      <c r="C1744" s="26" t="s">
        <v>37</v>
      </c>
      <c r="D1744" s="14"/>
      <c r="E1744" s="15"/>
      <c r="F1744" s="16">
        <f t="shared" si="99"/>
        <v>0</v>
      </c>
      <c r="G1744">
        <f t="shared" si="98"/>
        <v>0</v>
      </c>
    </row>
    <row r="1745" spans="1:7" ht="15.75" hidden="1" thickBot="1" x14ac:dyDescent="0.3">
      <c r="A1745" s="85" t="s">
        <v>4221</v>
      </c>
      <c r="B1745" s="81" t="s">
        <v>4169</v>
      </c>
      <c r="C1745" s="26" t="s">
        <v>37</v>
      </c>
      <c r="D1745" s="14"/>
      <c r="E1745" s="15"/>
      <c r="F1745" s="16">
        <f t="shared" si="99"/>
        <v>0</v>
      </c>
      <c r="G1745">
        <f t="shared" si="98"/>
        <v>0</v>
      </c>
    </row>
    <row r="1746" spans="1:7" ht="15.75" hidden="1" thickBot="1" x14ac:dyDescent="0.3">
      <c r="A1746" s="85" t="s">
        <v>4222</v>
      </c>
      <c r="B1746" s="81" t="s">
        <v>4170</v>
      </c>
      <c r="C1746" s="26" t="s">
        <v>37</v>
      </c>
      <c r="D1746" s="14"/>
      <c r="E1746" s="15"/>
      <c r="F1746" s="16">
        <f t="shared" si="99"/>
        <v>0</v>
      </c>
      <c r="G1746">
        <f t="shared" si="98"/>
        <v>0</v>
      </c>
    </row>
    <row r="1747" spans="1:7" ht="15.75" hidden="1" thickBot="1" x14ac:dyDescent="0.3">
      <c r="A1747" s="85" t="s">
        <v>4223</v>
      </c>
      <c r="B1747" s="81" t="s">
        <v>4171</v>
      </c>
      <c r="C1747" s="26" t="s">
        <v>37</v>
      </c>
      <c r="D1747" s="14"/>
      <c r="E1747" s="15"/>
      <c r="F1747" s="16">
        <f t="shared" si="99"/>
        <v>0</v>
      </c>
      <c r="G1747">
        <f t="shared" si="98"/>
        <v>0</v>
      </c>
    </row>
    <row r="1748" spans="1:7" ht="15.75" hidden="1" thickBot="1" x14ac:dyDescent="0.3">
      <c r="A1748" s="85" t="s">
        <v>4224</v>
      </c>
      <c r="B1748" s="81" t="s">
        <v>4172</v>
      </c>
      <c r="C1748" s="26" t="s">
        <v>37</v>
      </c>
      <c r="D1748" s="14"/>
      <c r="E1748" s="15"/>
      <c r="F1748" s="16">
        <f t="shared" si="99"/>
        <v>0</v>
      </c>
      <c r="G1748">
        <f t="shared" si="98"/>
        <v>0</v>
      </c>
    </row>
    <row r="1749" spans="1:7" ht="15.75" hidden="1" thickBot="1" x14ac:dyDescent="0.3">
      <c r="A1749" s="85" t="s">
        <v>4225</v>
      </c>
      <c r="B1749" s="81" t="s">
        <v>4173</v>
      </c>
      <c r="C1749" s="26" t="s">
        <v>37</v>
      </c>
      <c r="D1749" s="14"/>
      <c r="E1749" s="15"/>
      <c r="F1749" s="16">
        <f t="shared" si="99"/>
        <v>0</v>
      </c>
      <c r="G1749">
        <f t="shared" si="98"/>
        <v>0</v>
      </c>
    </row>
    <row r="1750" spans="1:7" ht="15.75" hidden="1" thickBot="1" x14ac:dyDescent="0.3">
      <c r="A1750" s="85" t="s">
        <v>4226</v>
      </c>
      <c r="B1750" s="81" t="s">
        <v>4174</v>
      </c>
      <c r="C1750" s="26" t="s">
        <v>37</v>
      </c>
      <c r="D1750" s="14"/>
      <c r="E1750" s="15"/>
      <c r="F1750" s="16">
        <f t="shared" si="99"/>
        <v>0</v>
      </c>
      <c r="G1750">
        <f t="shared" si="98"/>
        <v>0</v>
      </c>
    </row>
    <row r="1751" spans="1:7" ht="15.75" hidden="1" thickBot="1" x14ac:dyDescent="0.3">
      <c r="A1751" s="85" t="s">
        <v>4227</v>
      </c>
      <c r="B1751" s="81" t="s">
        <v>4175</v>
      </c>
      <c r="C1751" s="26" t="s">
        <v>37</v>
      </c>
      <c r="D1751" s="14"/>
      <c r="E1751" s="15"/>
      <c r="F1751" s="16">
        <f t="shared" si="99"/>
        <v>0</v>
      </c>
      <c r="G1751">
        <f t="shared" si="98"/>
        <v>0</v>
      </c>
    </row>
    <row r="1752" spans="1:7" ht="15.75" hidden="1" thickBot="1" x14ac:dyDescent="0.3">
      <c r="A1752" s="85" t="s">
        <v>4228</v>
      </c>
      <c r="B1752" s="81" t="s">
        <v>4176</v>
      </c>
      <c r="C1752" s="26" t="s">
        <v>37</v>
      </c>
      <c r="D1752" s="14"/>
      <c r="E1752" s="15"/>
      <c r="F1752" s="16">
        <f t="shared" si="99"/>
        <v>0</v>
      </c>
      <c r="G1752">
        <f t="shared" si="98"/>
        <v>0</v>
      </c>
    </row>
    <row r="1753" spans="1:7" ht="15.75" hidden="1" thickBot="1" x14ac:dyDescent="0.3">
      <c r="A1753" s="85" t="s">
        <v>4229</v>
      </c>
      <c r="B1753" s="81" t="s">
        <v>4177</v>
      </c>
      <c r="C1753" s="26" t="s">
        <v>37</v>
      </c>
      <c r="D1753" s="14"/>
      <c r="E1753" s="15"/>
      <c r="F1753" s="16">
        <f t="shared" si="99"/>
        <v>0</v>
      </c>
      <c r="G1753">
        <f t="shared" si="98"/>
        <v>0</v>
      </c>
    </row>
    <row r="1754" spans="1:7" ht="15.75" hidden="1" thickBot="1" x14ac:dyDescent="0.3">
      <c r="A1754" s="85" t="s">
        <v>4230</v>
      </c>
      <c r="B1754" s="81" t="s">
        <v>4178</v>
      </c>
      <c r="C1754" s="26" t="s">
        <v>37</v>
      </c>
      <c r="D1754" s="14"/>
      <c r="E1754" s="15"/>
      <c r="F1754" s="16">
        <f t="shared" si="99"/>
        <v>0</v>
      </c>
      <c r="G1754">
        <f t="shared" si="98"/>
        <v>0</v>
      </c>
    </row>
    <row r="1755" spans="1:7" ht="15.75" hidden="1" thickBot="1" x14ac:dyDescent="0.3">
      <c r="A1755" s="85" t="s">
        <v>4231</v>
      </c>
      <c r="B1755" s="81" t="s">
        <v>4179</v>
      </c>
      <c r="C1755" s="26" t="s">
        <v>37</v>
      </c>
      <c r="D1755" s="14"/>
      <c r="E1755" s="15"/>
      <c r="F1755" s="16">
        <f t="shared" si="99"/>
        <v>0</v>
      </c>
      <c r="G1755">
        <f t="shared" si="98"/>
        <v>0</v>
      </c>
    </row>
    <row r="1756" spans="1:7" ht="15.75" hidden="1" thickBot="1" x14ac:dyDescent="0.3">
      <c r="A1756" s="85" t="s">
        <v>4232</v>
      </c>
      <c r="B1756" s="81" t="s">
        <v>4180</v>
      </c>
      <c r="C1756" s="26" t="s">
        <v>37</v>
      </c>
      <c r="D1756" s="14"/>
      <c r="E1756" s="15"/>
      <c r="F1756" s="16">
        <f t="shared" si="99"/>
        <v>0</v>
      </c>
      <c r="G1756">
        <f t="shared" si="98"/>
        <v>0</v>
      </c>
    </row>
    <row r="1757" spans="1:7" ht="15.75" hidden="1" thickBot="1" x14ac:dyDescent="0.3">
      <c r="A1757" s="85" t="s">
        <v>4233</v>
      </c>
      <c r="B1757" s="81" t="s">
        <v>4181</v>
      </c>
      <c r="C1757" s="26" t="s">
        <v>37</v>
      </c>
      <c r="D1757" s="14"/>
      <c r="E1757" s="15"/>
      <c r="F1757" s="16">
        <f t="shared" si="99"/>
        <v>0</v>
      </c>
      <c r="G1757">
        <f t="shared" si="98"/>
        <v>0</v>
      </c>
    </row>
    <row r="1758" spans="1:7" ht="15.75" hidden="1" thickBot="1" x14ac:dyDescent="0.3">
      <c r="A1758" s="85" t="s">
        <v>4234</v>
      </c>
      <c r="B1758" s="81" t="s">
        <v>4182</v>
      </c>
      <c r="C1758" s="26" t="s">
        <v>37</v>
      </c>
      <c r="D1758" s="14"/>
      <c r="E1758" s="15"/>
      <c r="F1758" s="16">
        <f t="shared" si="99"/>
        <v>0</v>
      </c>
      <c r="G1758">
        <f t="shared" si="98"/>
        <v>0</v>
      </c>
    </row>
    <row r="1759" spans="1:7" ht="15.75" hidden="1" thickBot="1" x14ac:dyDescent="0.3">
      <c r="A1759" s="85" t="s">
        <v>4235</v>
      </c>
      <c r="B1759" s="81" t="s">
        <v>4183</v>
      </c>
      <c r="C1759" s="26" t="s">
        <v>37</v>
      </c>
      <c r="D1759" s="14"/>
      <c r="E1759" s="15"/>
      <c r="F1759" s="16">
        <f t="shared" si="99"/>
        <v>0</v>
      </c>
      <c r="G1759">
        <f t="shared" si="98"/>
        <v>0</v>
      </c>
    </row>
    <row r="1760" spans="1:7" ht="15.75" hidden="1" thickBot="1" x14ac:dyDescent="0.3">
      <c r="A1760" s="85" t="s">
        <v>4236</v>
      </c>
      <c r="B1760" s="81" t="s">
        <v>4184</v>
      </c>
      <c r="C1760" s="26" t="s">
        <v>37</v>
      </c>
      <c r="D1760" s="14"/>
      <c r="E1760" s="15"/>
      <c r="F1760" s="16">
        <f t="shared" si="99"/>
        <v>0</v>
      </c>
      <c r="G1760">
        <f t="shared" si="98"/>
        <v>0</v>
      </c>
    </row>
    <row r="1761" spans="1:7" ht="15.75" hidden="1" thickBot="1" x14ac:dyDescent="0.3">
      <c r="A1761" s="85" t="s">
        <v>4237</v>
      </c>
      <c r="B1761" s="81" t="s">
        <v>4185</v>
      </c>
      <c r="C1761" s="26" t="s">
        <v>37</v>
      </c>
      <c r="D1761" s="14"/>
      <c r="E1761" s="15"/>
      <c r="F1761" s="16">
        <f t="shared" si="99"/>
        <v>0</v>
      </c>
      <c r="G1761">
        <f t="shared" si="98"/>
        <v>0</v>
      </c>
    </row>
    <row r="1762" spans="1:7" ht="15.75" hidden="1" thickBot="1" x14ac:dyDescent="0.3">
      <c r="A1762" s="85" t="s">
        <v>4238</v>
      </c>
      <c r="B1762" s="81" t="s">
        <v>4186</v>
      </c>
      <c r="C1762" s="26" t="s">
        <v>37</v>
      </c>
      <c r="D1762" s="14"/>
      <c r="E1762" s="15"/>
      <c r="F1762" s="16">
        <f t="shared" si="99"/>
        <v>0</v>
      </c>
      <c r="G1762">
        <f t="shared" si="98"/>
        <v>0</v>
      </c>
    </row>
    <row r="1763" spans="1:7" ht="15.75" hidden="1" thickBot="1" x14ac:dyDescent="0.3">
      <c r="A1763" s="85" t="s">
        <v>4239</v>
      </c>
      <c r="B1763" s="81" t="s">
        <v>4187</v>
      </c>
      <c r="C1763" s="26" t="s">
        <v>37</v>
      </c>
      <c r="D1763" s="14"/>
      <c r="E1763" s="15"/>
      <c r="F1763" s="16">
        <f t="shared" si="99"/>
        <v>0</v>
      </c>
      <c r="G1763">
        <f t="shared" si="98"/>
        <v>0</v>
      </c>
    </row>
    <row r="1764" spans="1:7" ht="15.75" hidden="1" thickBot="1" x14ac:dyDescent="0.3">
      <c r="A1764" s="85" t="s">
        <v>4240</v>
      </c>
      <c r="B1764" s="81" t="s">
        <v>4188</v>
      </c>
      <c r="C1764" s="26" t="s">
        <v>37</v>
      </c>
      <c r="D1764" s="14"/>
      <c r="E1764" s="15"/>
      <c r="F1764" s="16">
        <f t="shared" si="99"/>
        <v>0</v>
      </c>
      <c r="G1764">
        <f t="shared" ref="G1764:G1827" si="100">+IF(F1764&lt;&gt;0,1,0)</f>
        <v>0</v>
      </c>
    </row>
    <row r="1765" spans="1:7" ht="15.75" hidden="1" thickBot="1" x14ac:dyDescent="0.3">
      <c r="A1765" s="85" t="s">
        <v>4241</v>
      </c>
      <c r="B1765" s="81" t="s">
        <v>4189</v>
      </c>
      <c r="C1765" s="26" t="s">
        <v>37</v>
      </c>
      <c r="D1765" s="14"/>
      <c r="E1765" s="15"/>
      <c r="F1765" s="16">
        <f t="shared" si="99"/>
        <v>0</v>
      </c>
      <c r="G1765">
        <f t="shared" si="100"/>
        <v>0</v>
      </c>
    </row>
    <row r="1766" spans="1:7" ht="15.75" hidden="1" thickBot="1" x14ac:dyDescent="0.3">
      <c r="A1766" s="85" t="s">
        <v>4242</v>
      </c>
      <c r="B1766" s="81" t="s">
        <v>4190</v>
      </c>
      <c r="C1766" s="26" t="s">
        <v>37</v>
      </c>
      <c r="D1766" s="14"/>
      <c r="E1766" s="15"/>
      <c r="F1766" s="16">
        <f t="shared" si="99"/>
        <v>0</v>
      </c>
      <c r="G1766">
        <f t="shared" si="100"/>
        <v>0</v>
      </c>
    </row>
    <row r="1767" spans="1:7" ht="15.75" hidden="1" thickBot="1" x14ac:dyDescent="0.3">
      <c r="A1767" s="85" t="s">
        <v>4243</v>
      </c>
      <c r="B1767" s="81" t="s">
        <v>4191</v>
      </c>
      <c r="C1767" s="26" t="s">
        <v>37</v>
      </c>
      <c r="D1767" s="14"/>
      <c r="E1767" s="15"/>
      <c r="F1767" s="16">
        <f t="shared" si="99"/>
        <v>0</v>
      </c>
      <c r="G1767">
        <f t="shared" si="100"/>
        <v>0</v>
      </c>
    </row>
    <row r="1768" spans="1:7" ht="15.75" hidden="1" thickBot="1" x14ac:dyDescent="0.3">
      <c r="A1768" s="85" t="s">
        <v>4244</v>
      </c>
      <c r="B1768" s="81" t="s">
        <v>4192</v>
      </c>
      <c r="C1768" s="26" t="s">
        <v>37</v>
      </c>
      <c r="D1768" s="14"/>
      <c r="E1768" s="15"/>
      <c r="F1768" s="16">
        <f t="shared" si="99"/>
        <v>0</v>
      </c>
      <c r="G1768">
        <f t="shared" si="100"/>
        <v>0</v>
      </c>
    </row>
    <row r="1769" spans="1:7" ht="15.75" hidden="1" thickBot="1" x14ac:dyDescent="0.3">
      <c r="A1769" s="85" t="s">
        <v>4245</v>
      </c>
      <c r="B1769" s="81" t="s">
        <v>4193</v>
      </c>
      <c r="C1769" s="26" t="s">
        <v>37</v>
      </c>
      <c r="D1769" s="14"/>
      <c r="E1769" s="15"/>
      <c r="F1769" s="16">
        <f t="shared" si="99"/>
        <v>0</v>
      </c>
      <c r="G1769">
        <f t="shared" si="100"/>
        <v>0</v>
      </c>
    </row>
    <row r="1770" spans="1:7" ht="15.75" hidden="1" thickBot="1" x14ac:dyDescent="0.3">
      <c r="A1770" s="85" t="s">
        <v>4246</v>
      </c>
      <c r="B1770" s="81" t="s">
        <v>4194</v>
      </c>
      <c r="C1770" s="26" t="s">
        <v>37</v>
      </c>
      <c r="D1770" s="14"/>
      <c r="E1770" s="15"/>
      <c r="F1770" s="16">
        <f t="shared" si="99"/>
        <v>0</v>
      </c>
      <c r="G1770">
        <f t="shared" si="100"/>
        <v>0</v>
      </c>
    </row>
    <row r="1771" spans="1:7" ht="15.75" hidden="1" thickBot="1" x14ac:dyDescent="0.3">
      <c r="A1771" s="85" t="s">
        <v>4247</v>
      </c>
      <c r="B1771" s="81" t="s">
        <v>4195</v>
      </c>
      <c r="C1771" s="26" t="s">
        <v>37</v>
      </c>
      <c r="D1771" s="14"/>
      <c r="E1771" s="15"/>
      <c r="F1771" s="16">
        <f t="shared" si="99"/>
        <v>0</v>
      </c>
      <c r="G1771">
        <f t="shared" si="100"/>
        <v>0</v>
      </c>
    </row>
    <row r="1772" spans="1:7" ht="15.75" hidden="1" thickBot="1" x14ac:dyDescent="0.3">
      <c r="A1772" s="85" t="s">
        <v>4248</v>
      </c>
      <c r="B1772" s="81" t="s">
        <v>4196</v>
      </c>
      <c r="C1772" s="26" t="s">
        <v>37</v>
      </c>
      <c r="D1772" s="14"/>
      <c r="E1772" s="15"/>
      <c r="F1772" s="16">
        <f t="shared" si="99"/>
        <v>0</v>
      </c>
      <c r="G1772">
        <f t="shared" si="100"/>
        <v>0</v>
      </c>
    </row>
    <row r="1773" spans="1:7" ht="15.75" hidden="1" thickBot="1" x14ac:dyDescent="0.3">
      <c r="A1773" s="85" t="s">
        <v>4249</v>
      </c>
      <c r="B1773" s="81" t="s">
        <v>4197</v>
      </c>
      <c r="C1773" s="26" t="s">
        <v>37</v>
      </c>
      <c r="D1773" s="14"/>
      <c r="E1773" s="15"/>
      <c r="F1773" s="16">
        <f t="shared" si="99"/>
        <v>0</v>
      </c>
      <c r="G1773">
        <f t="shared" si="100"/>
        <v>0</v>
      </c>
    </row>
    <row r="1774" spans="1:7" ht="15.75" hidden="1" thickBot="1" x14ac:dyDescent="0.3">
      <c r="A1774" s="85" t="s">
        <v>4250</v>
      </c>
      <c r="B1774" s="81" t="s">
        <v>4198</v>
      </c>
      <c r="C1774" s="26" t="s">
        <v>37</v>
      </c>
      <c r="D1774" s="14"/>
      <c r="E1774" s="15"/>
      <c r="F1774" s="16">
        <f t="shared" si="99"/>
        <v>0</v>
      </c>
      <c r="G1774">
        <f t="shared" si="100"/>
        <v>0</v>
      </c>
    </row>
    <row r="1775" spans="1:7" ht="15.75" hidden="1" thickBot="1" x14ac:dyDescent="0.3">
      <c r="A1775" s="85" t="s">
        <v>4251</v>
      </c>
      <c r="B1775" s="81" t="s">
        <v>4199</v>
      </c>
      <c r="C1775" s="26" t="s">
        <v>37</v>
      </c>
      <c r="D1775" s="14"/>
      <c r="E1775" s="15"/>
      <c r="F1775" s="16">
        <f t="shared" si="99"/>
        <v>0</v>
      </c>
      <c r="G1775">
        <f t="shared" si="100"/>
        <v>0</v>
      </c>
    </row>
    <row r="1776" spans="1:7" ht="15.75" hidden="1" thickBot="1" x14ac:dyDescent="0.3">
      <c r="A1776" s="85" t="s">
        <v>4252</v>
      </c>
      <c r="B1776" s="81" t="s">
        <v>4200</v>
      </c>
      <c r="C1776" s="26" t="s">
        <v>37</v>
      </c>
      <c r="D1776" s="14"/>
      <c r="E1776" s="15"/>
      <c r="F1776" s="16">
        <f t="shared" si="99"/>
        <v>0</v>
      </c>
      <c r="G1776">
        <f t="shared" si="100"/>
        <v>0</v>
      </c>
    </row>
    <row r="1777" spans="1:7" ht="15.75" hidden="1" thickBot="1" x14ac:dyDescent="0.3">
      <c r="A1777" s="85" t="s">
        <v>4253</v>
      </c>
      <c r="B1777" s="81" t="s">
        <v>4201</v>
      </c>
      <c r="C1777" s="26" t="s">
        <v>37</v>
      </c>
      <c r="D1777" s="14"/>
      <c r="E1777" s="15"/>
      <c r="F1777" s="16">
        <f t="shared" si="99"/>
        <v>0</v>
      </c>
      <c r="G1777">
        <f t="shared" si="100"/>
        <v>0</v>
      </c>
    </row>
    <row r="1778" spans="1:7" ht="15.75" hidden="1" thickBot="1" x14ac:dyDescent="0.3">
      <c r="A1778" s="85" t="s">
        <v>4254</v>
      </c>
      <c r="B1778" s="81" t="s">
        <v>4202</v>
      </c>
      <c r="C1778" s="26" t="s">
        <v>37</v>
      </c>
      <c r="D1778" s="14"/>
      <c r="E1778" s="15"/>
      <c r="F1778" s="16">
        <f t="shared" si="99"/>
        <v>0</v>
      </c>
      <c r="G1778">
        <f t="shared" si="100"/>
        <v>0</v>
      </c>
    </row>
    <row r="1779" spans="1:7" ht="15.75" hidden="1" thickBot="1" x14ac:dyDescent="0.3">
      <c r="A1779" s="85" t="s">
        <v>4255</v>
      </c>
      <c r="B1779" s="81" t="s">
        <v>4203</v>
      </c>
      <c r="C1779" s="26" t="s">
        <v>37</v>
      </c>
      <c r="D1779" s="14"/>
      <c r="E1779" s="15"/>
      <c r="F1779" s="16">
        <f t="shared" si="99"/>
        <v>0</v>
      </c>
      <c r="G1779">
        <f t="shared" si="100"/>
        <v>0</v>
      </c>
    </row>
    <row r="1780" spans="1:7" ht="15.75" hidden="1" thickBot="1" x14ac:dyDescent="0.3">
      <c r="A1780" s="85" t="s">
        <v>4256</v>
      </c>
      <c r="B1780" s="81" t="s">
        <v>4204</v>
      </c>
      <c r="C1780" s="26" t="s">
        <v>37</v>
      </c>
      <c r="D1780" s="14"/>
      <c r="E1780" s="15"/>
      <c r="F1780" s="16">
        <f t="shared" si="99"/>
        <v>0</v>
      </c>
      <c r="G1780">
        <f t="shared" si="100"/>
        <v>0</v>
      </c>
    </row>
    <row r="1781" spans="1:7" ht="15.75" hidden="1" thickBot="1" x14ac:dyDescent="0.3">
      <c r="A1781" s="85" t="s">
        <v>4257</v>
      </c>
      <c r="B1781" s="81" t="s">
        <v>4205</v>
      </c>
      <c r="C1781" s="26" t="s">
        <v>37</v>
      </c>
      <c r="D1781" s="14"/>
      <c r="E1781" s="15"/>
      <c r="F1781" s="16">
        <f t="shared" si="99"/>
        <v>0</v>
      </c>
      <c r="G1781">
        <f t="shared" si="100"/>
        <v>0</v>
      </c>
    </row>
    <row r="1782" spans="1:7" ht="15.75" hidden="1" thickBot="1" x14ac:dyDescent="0.3">
      <c r="A1782" s="85" t="s">
        <v>4258</v>
      </c>
      <c r="B1782" s="81" t="s">
        <v>4206</v>
      </c>
      <c r="C1782" s="26" t="s">
        <v>37</v>
      </c>
      <c r="D1782" s="14"/>
      <c r="E1782" s="15"/>
      <c r="F1782" s="16">
        <f t="shared" si="99"/>
        <v>0</v>
      </c>
      <c r="G1782">
        <f t="shared" si="100"/>
        <v>0</v>
      </c>
    </row>
    <row r="1783" spans="1:7" ht="15.75" hidden="1" thickBot="1" x14ac:dyDescent="0.3">
      <c r="A1783" s="85" t="s">
        <v>4259</v>
      </c>
      <c r="B1783" s="81" t="s">
        <v>4207</v>
      </c>
      <c r="C1783" s="26" t="s">
        <v>37</v>
      </c>
      <c r="D1783" s="14"/>
      <c r="E1783" s="15"/>
      <c r="F1783" s="16">
        <f t="shared" si="99"/>
        <v>0</v>
      </c>
      <c r="G1783">
        <f t="shared" si="100"/>
        <v>0</v>
      </c>
    </row>
    <row r="1784" spans="1:7" ht="15.75" hidden="1" thickBot="1" x14ac:dyDescent="0.3">
      <c r="A1784" s="85" t="s">
        <v>4260</v>
      </c>
      <c r="B1784" s="81" t="s">
        <v>4208</v>
      </c>
      <c r="C1784" s="26" t="s">
        <v>37</v>
      </c>
      <c r="D1784" s="14"/>
      <c r="E1784" s="15"/>
      <c r="F1784" s="16">
        <f t="shared" si="99"/>
        <v>0</v>
      </c>
      <c r="G1784">
        <f t="shared" si="100"/>
        <v>0</v>
      </c>
    </row>
    <row r="1785" spans="1:7" ht="15.75" hidden="1" thickBot="1" x14ac:dyDescent="0.3">
      <c r="A1785" s="85" t="s">
        <v>4261</v>
      </c>
      <c r="B1785" s="81" t="s">
        <v>4209</v>
      </c>
      <c r="C1785" s="26" t="s">
        <v>37</v>
      </c>
      <c r="D1785" s="14"/>
      <c r="E1785" s="15"/>
      <c r="F1785" s="16">
        <f t="shared" si="99"/>
        <v>0</v>
      </c>
      <c r="G1785">
        <f t="shared" si="100"/>
        <v>0</v>
      </c>
    </row>
    <row r="1786" spans="1:7" ht="15.75" hidden="1" thickBot="1" x14ac:dyDescent="0.3">
      <c r="A1786" s="85" t="s">
        <v>4262</v>
      </c>
      <c r="B1786" s="81" t="s">
        <v>4210</v>
      </c>
      <c r="C1786" s="26" t="s">
        <v>37</v>
      </c>
      <c r="D1786" s="14"/>
      <c r="E1786" s="15"/>
      <c r="F1786" s="16">
        <f t="shared" si="99"/>
        <v>0</v>
      </c>
      <c r="G1786">
        <f t="shared" si="100"/>
        <v>0</v>
      </c>
    </row>
    <row r="1787" spans="1:7" ht="15.75" hidden="1" thickBot="1" x14ac:dyDescent="0.3">
      <c r="A1787" s="85" t="s">
        <v>4263</v>
      </c>
      <c r="B1787" s="81" t="s">
        <v>4211</v>
      </c>
      <c r="C1787" s="26" t="s">
        <v>37</v>
      </c>
      <c r="D1787" s="14"/>
      <c r="E1787" s="15"/>
      <c r="F1787" s="16">
        <f t="shared" si="99"/>
        <v>0</v>
      </c>
      <c r="G1787">
        <f t="shared" si="100"/>
        <v>0</v>
      </c>
    </row>
    <row r="1788" spans="1:7" ht="15.75" hidden="1" thickBot="1" x14ac:dyDescent="0.3">
      <c r="A1788" s="85" t="s">
        <v>4264</v>
      </c>
      <c r="B1788" s="81" t="s">
        <v>4212</v>
      </c>
      <c r="C1788" s="26" t="s">
        <v>37</v>
      </c>
      <c r="D1788" s="14"/>
      <c r="E1788" s="15"/>
      <c r="F1788" s="16">
        <f t="shared" si="99"/>
        <v>0</v>
      </c>
      <c r="G1788">
        <f t="shared" si="100"/>
        <v>0</v>
      </c>
    </row>
    <row r="1789" spans="1:7" ht="15.75" hidden="1" thickBot="1" x14ac:dyDescent="0.3">
      <c r="A1789" s="85" t="s">
        <v>4265</v>
      </c>
      <c r="B1789" s="81" t="s">
        <v>4213</v>
      </c>
      <c r="C1789" s="26" t="s">
        <v>37</v>
      </c>
      <c r="D1789" s="14"/>
      <c r="E1789" s="15"/>
      <c r="F1789" s="16">
        <f t="shared" si="99"/>
        <v>0</v>
      </c>
      <c r="G1789">
        <f t="shared" si="100"/>
        <v>0</v>
      </c>
    </row>
    <row r="1790" spans="1:7" ht="15.75" hidden="1" thickBot="1" x14ac:dyDescent="0.3">
      <c r="A1790" s="85" t="s">
        <v>4266</v>
      </c>
      <c r="B1790" s="81" t="s">
        <v>4214</v>
      </c>
      <c r="C1790" s="26" t="s">
        <v>37</v>
      </c>
      <c r="D1790" s="14"/>
      <c r="E1790" s="15"/>
      <c r="F1790" s="16">
        <f t="shared" si="99"/>
        <v>0</v>
      </c>
      <c r="G1790">
        <f t="shared" si="100"/>
        <v>0</v>
      </c>
    </row>
    <row r="1791" spans="1:7" ht="15.75" hidden="1" thickBot="1" x14ac:dyDescent="0.3">
      <c r="A1791" s="85" t="s">
        <v>4267</v>
      </c>
      <c r="B1791" s="81" t="s">
        <v>4215</v>
      </c>
      <c r="C1791" s="26" t="s">
        <v>37</v>
      </c>
      <c r="D1791" s="14"/>
      <c r="E1791" s="15"/>
      <c r="F1791" s="16">
        <f t="shared" si="99"/>
        <v>0</v>
      </c>
      <c r="G1791">
        <f t="shared" si="100"/>
        <v>0</v>
      </c>
    </row>
    <row r="1792" spans="1:7" ht="15.75" hidden="1" thickBot="1" x14ac:dyDescent="0.3">
      <c r="A1792" s="85" t="s">
        <v>4268</v>
      </c>
      <c r="B1792" s="81" t="s">
        <v>4216</v>
      </c>
      <c r="C1792" s="26" t="s">
        <v>37</v>
      </c>
      <c r="D1792" s="14"/>
      <c r="E1792" s="15"/>
      <c r="F1792" s="16">
        <f t="shared" si="99"/>
        <v>0</v>
      </c>
      <c r="G1792">
        <f t="shared" si="100"/>
        <v>0</v>
      </c>
    </row>
    <row r="1793" spans="1:7" ht="15.75" hidden="1" thickBot="1" x14ac:dyDescent="0.3">
      <c r="A1793" s="85" t="s">
        <v>4269</v>
      </c>
      <c r="B1793" s="81" t="s">
        <v>4217</v>
      </c>
      <c r="C1793" s="26" t="s">
        <v>37</v>
      </c>
      <c r="D1793" s="14"/>
      <c r="E1793" s="15"/>
      <c r="F1793" s="16">
        <f t="shared" si="99"/>
        <v>0</v>
      </c>
      <c r="G1793">
        <f t="shared" si="100"/>
        <v>0</v>
      </c>
    </row>
    <row r="1794" spans="1:7" ht="15.75" hidden="1" thickBot="1" x14ac:dyDescent="0.3">
      <c r="A1794" s="85" t="s">
        <v>4270</v>
      </c>
      <c r="B1794" s="81" t="s">
        <v>4218</v>
      </c>
      <c r="C1794" s="26" t="s">
        <v>37</v>
      </c>
      <c r="D1794" s="14"/>
      <c r="E1794" s="15"/>
      <c r="F1794" s="16">
        <f t="shared" si="99"/>
        <v>0</v>
      </c>
      <c r="G1794">
        <f t="shared" si="100"/>
        <v>0</v>
      </c>
    </row>
    <row r="1795" spans="1:7" ht="15.75" hidden="1" thickBot="1" x14ac:dyDescent="0.3">
      <c r="A1795" s="78" t="s">
        <v>996</v>
      </c>
      <c r="B1795" s="79" t="s">
        <v>4271</v>
      </c>
      <c r="C1795" s="26"/>
      <c r="D1795" s="14"/>
      <c r="E1795" s="15"/>
      <c r="F1795" s="16"/>
      <c r="G1795">
        <f t="shared" si="100"/>
        <v>0</v>
      </c>
    </row>
    <row r="1796" spans="1:7" ht="15.75" hidden="1" thickBot="1" x14ac:dyDescent="0.3">
      <c r="A1796" s="85" t="s">
        <v>4331</v>
      </c>
      <c r="B1796" s="81" t="s">
        <v>4272</v>
      </c>
      <c r="C1796" s="26" t="s">
        <v>37</v>
      </c>
      <c r="D1796" s="14"/>
      <c r="E1796" s="15"/>
      <c r="F1796" s="16">
        <f t="shared" si="99"/>
        <v>0</v>
      </c>
      <c r="G1796">
        <f t="shared" si="100"/>
        <v>0</v>
      </c>
    </row>
    <row r="1797" spans="1:7" ht="15.75" hidden="1" thickBot="1" x14ac:dyDescent="0.3">
      <c r="A1797" s="85" t="s">
        <v>4332</v>
      </c>
      <c r="B1797" s="81" t="s">
        <v>4273</v>
      </c>
      <c r="C1797" s="26" t="s">
        <v>37</v>
      </c>
      <c r="D1797" s="14"/>
      <c r="E1797" s="15"/>
      <c r="F1797" s="16">
        <f t="shared" si="99"/>
        <v>0</v>
      </c>
      <c r="G1797">
        <f t="shared" si="100"/>
        <v>0</v>
      </c>
    </row>
    <row r="1798" spans="1:7" ht="15.75" hidden="1" thickBot="1" x14ac:dyDescent="0.3">
      <c r="A1798" s="85" t="s">
        <v>4333</v>
      </c>
      <c r="B1798" s="81" t="s">
        <v>4274</v>
      </c>
      <c r="C1798" s="26" t="s">
        <v>37</v>
      </c>
      <c r="D1798" s="14"/>
      <c r="E1798" s="15"/>
      <c r="F1798" s="16">
        <f t="shared" si="99"/>
        <v>0</v>
      </c>
      <c r="G1798">
        <f t="shared" si="100"/>
        <v>0</v>
      </c>
    </row>
    <row r="1799" spans="1:7" ht="15.75" hidden="1" thickBot="1" x14ac:dyDescent="0.3">
      <c r="A1799" s="85" t="s">
        <v>4334</v>
      </c>
      <c r="B1799" s="81" t="s">
        <v>4275</v>
      </c>
      <c r="C1799" s="26" t="s">
        <v>37</v>
      </c>
      <c r="D1799" s="14"/>
      <c r="E1799" s="15"/>
      <c r="F1799" s="16">
        <f t="shared" si="99"/>
        <v>0</v>
      </c>
      <c r="G1799">
        <f t="shared" si="100"/>
        <v>0</v>
      </c>
    </row>
    <row r="1800" spans="1:7" ht="15.75" hidden="1" thickBot="1" x14ac:dyDescent="0.3">
      <c r="A1800" s="85" t="s">
        <v>4335</v>
      </c>
      <c r="B1800" s="81" t="s">
        <v>4276</v>
      </c>
      <c r="C1800" s="26" t="s">
        <v>37</v>
      </c>
      <c r="D1800" s="14"/>
      <c r="E1800" s="15"/>
      <c r="F1800" s="16">
        <f t="shared" si="99"/>
        <v>0</v>
      </c>
      <c r="G1800">
        <f t="shared" si="100"/>
        <v>0</v>
      </c>
    </row>
    <row r="1801" spans="1:7" ht="15.75" hidden="1" thickBot="1" x14ac:dyDescent="0.3">
      <c r="A1801" s="85" t="s">
        <v>4336</v>
      </c>
      <c r="B1801" s="81" t="s">
        <v>4277</v>
      </c>
      <c r="C1801" s="26" t="s">
        <v>37</v>
      </c>
      <c r="D1801" s="14"/>
      <c r="E1801" s="15"/>
      <c r="F1801" s="16">
        <f t="shared" si="99"/>
        <v>0</v>
      </c>
      <c r="G1801">
        <f t="shared" si="100"/>
        <v>0</v>
      </c>
    </row>
    <row r="1802" spans="1:7" ht="15.75" hidden="1" thickBot="1" x14ac:dyDescent="0.3">
      <c r="A1802" s="85" t="s">
        <v>4337</v>
      </c>
      <c r="B1802" s="81" t="s">
        <v>4278</v>
      </c>
      <c r="C1802" s="26" t="s">
        <v>37</v>
      </c>
      <c r="D1802" s="14"/>
      <c r="E1802" s="15"/>
      <c r="F1802" s="16">
        <f t="shared" si="99"/>
        <v>0</v>
      </c>
      <c r="G1802">
        <f t="shared" si="100"/>
        <v>0</v>
      </c>
    </row>
    <row r="1803" spans="1:7" ht="15.75" hidden="1" thickBot="1" x14ac:dyDescent="0.3">
      <c r="A1803" s="85" t="s">
        <v>4338</v>
      </c>
      <c r="B1803" s="81" t="s">
        <v>4279</v>
      </c>
      <c r="C1803" s="26" t="s">
        <v>37</v>
      </c>
      <c r="D1803" s="14"/>
      <c r="E1803" s="15"/>
      <c r="F1803" s="16">
        <f t="shared" si="99"/>
        <v>0</v>
      </c>
      <c r="G1803">
        <f t="shared" si="100"/>
        <v>0</v>
      </c>
    </row>
    <row r="1804" spans="1:7" ht="15.75" hidden="1" thickBot="1" x14ac:dyDescent="0.3">
      <c r="A1804" s="85" t="s">
        <v>4339</v>
      </c>
      <c r="B1804" s="81" t="s">
        <v>4280</v>
      </c>
      <c r="C1804" s="26" t="s">
        <v>37</v>
      </c>
      <c r="D1804" s="14"/>
      <c r="E1804" s="15"/>
      <c r="F1804" s="16">
        <f t="shared" ref="F1804:F1854" si="101">+D1804*E1804</f>
        <v>0</v>
      </c>
      <c r="G1804">
        <f t="shared" si="100"/>
        <v>0</v>
      </c>
    </row>
    <row r="1805" spans="1:7" ht="15.75" hidden="1" thickBot="1" x14ac:dyDescent="0.3">
      <c r="A1805" s="85" t="s">
        <v>4340</v>
      </c>
      <c r="B1805" s="81" t="s">
        <v>4281</v>
      </c>
      <c r="C1805" s="26" t="s">
        <v>37</v>
      </c>
      <c r="D1805" s="14"/>
      <c r="E1805" s="15"/>
      <c r="F1805" s="16">
        <f t="shared" si="101"/>
        <v>0</v>
      </c>
      <c r="G1805">
        <f t="shared" si="100"/>
        <v>0</v>
      </c>
    </row>
    <row r="1806" spans="1:7" ht="15.75" hidden="1" thickBot="1" x14ac:dyDescent="0.3">
      <c r="A1806" s="85" t="s">
        <v>4341</v>
      </c>
      <c r="B1806" s="81" t="s">
        <v>4282</v>
      </c>
      <c r="C1806" s="26" t="s">
        <v>37</v>
      </c>
      <c r="D1806" s="14"/>
      <c r="E1806" s="15"/>
      <c r="F1806" s="16">
        <f t="shared" si="101"/>
        <v>0</v>
      </c>
      <c r="G1806">
        <f t="shared" si="100"/>
        <v>0</v>
      </c>
    </row>
    <row r="1807" spans="1:7" ht="15.75" hidden="1" thickBot="1" x14ac:dyDescent="0.3">
      <c r="A1807" s="85" t="s">
        <v>4342</v>
      </c>
      <c r="B1807" s="81" t="s">
        <v>4283</v>
      </c>
      <c r="C1807" s="26" t="s">
        <v>37</v>
      </c>
      <c r="D1807" s="14"/>
      <c r="E1807" s="15"/>
      <c r="F1807" s="16">
        <f t="shared" si="101"/>
        <v>0</v>
      </c>
      <c r="G1807">
        <f t="shared" si="100"/>
        <v>0</v>
      </c>
    </row>
    <row r="1808" spans="1:7" ht="15.75" hidden="1" thickBot="1" x14ac:dyDescent="0.3">
      <c r="A1808" s="85" t="s">
        <v>4343</v>
      </c>
      <c r="B1808" s="81" t="s">
        <v>4284</v>
      </c>
      <c r="C1808" s="26" t="s">
        <v>37</v>
      </c>
      <c r="D1808" s="14"/>
      <c r="E1808" s="15"/>
      <c r="F1808" s="16">
        <f t="shared" si="101"/>
        <v>0</v>
      </c>
      <c r="G1808">
        <f t="shared" si="100"/>
        <v>0</v>
      </c>
    </row>
    <row r="1809" spans="1:7" ht="15.75" hidden="1" thickBot="1" x14ac:dyDescent="0.3">
      <c r="A1809" s="85" t="s">
        <v>4344</v>
      </c>
      <c r="B1809" s="81" t="s">
        <v>4285</v>
      </c>
      <c r="C1809" s="26" t="s">
        <v>37</v>
      </c>
      <c r="D1809" s="14"/>
      <c r="E1809" s="15"/>
      <c r="F1809" s="16">
        <f t="shared" si="101"/>
        <v>0</v>
      </c>
      <c r="G1809">
        <f t="shared" si="100"/>
        <v>0</v>
      </c>
    </row>
    <row r="1810" spans="1:7" ht="15.75" hidden="1" thickBot="1" x14ac:dyDescent="0.3">
      <c r="A1810" s="85" t="s">
        <v>4345</v>
      </c>
      <c r="B1810" s="81" t="s">
        <v>4286</v>
      </c>
      <c r="C1810" s="26" t="s">
        <v>37</v>
      </c>
      <c r="D1810" s="14"/>
      <c r="E1810" s="15"/>
      <c r="F1810" s="16">
        <f t="shared" si="101"/>
        <v>0</v>
      </c>
      <c r="G1810">
        <f t="shared" si="100"/>
        <v>0</v>
      </c>
    </row>
    <row r="1811" spans="1:7" ht="15.75" hidden="1" thickBot="1" x14ac:dyDescent="0.3">
      <c r="A1811" s="85" t="s">
        <v>4346</v>
      </c>
      <c r="B1811" s="81" t="s">
        <v>4287</v>
      </c>
      <c r="C1811" s="26" t="s">
        <v>37</v>
      </c>
      <c r="D1811" s="14"/>
      <c r="E1811" s="15"/>
      <c r="F1811" s="16">
        <f t="shared" si="101"/>
        <v>0</v>
      </c>
      <c r="G1811">
        <f t="shared" si="100"/>
        <v>0</v>
      </c>
    </row>
    <row r="1812" spans="1:7" ht="15.75" hidden="1" thickBot="1" x14ac:dyDescent="0.3">
      <c r="A1812" s="85" t="s">
        <v>4347</v>
      </c>
      <c r="B1812" s="81" t="s">
        <v>4288</v>
      </c>
      <c r="C1812" s="26" t="s">
        <v>37</v>
      </c>
      <c r="D1812" s="14"/>
      <c r="E1812" s="15"/>
      <c r="F1812" s="16">
        <f t="shared" si="101"/>
        <v>0</v>
      </c>
      <c r="G1812">
        <f t="shared" si="100"/>
        <v>0</v>
      </c>
    </row>
    <row r="1813" spans="1:7" ht="15.75" hidden="1" thickBot="1" x14ac:dyDescent="0.3">
      <c r="A1813" s="85" t="s">
        <v>4348</v>
      </c>
      <c r="B1813" s="81" t="s">
        <v>4289</v>
      </c>
      <c r="C1813" s="26" t="s">
        <v>37</v>
      </c>
      <c r="D1813" s="14"/>
      <c r="E1813" s="15"/>
      <c r="F1813" s="16">
        <f t="shared" si="101"/>
        <v>0</v>
      </c>
      <c r="G1813">
        <f t="shared" si="100"/>
        <v>0</v>
      </c>
    </row>
    <row r="1814" spans="1:7" ht="15.75" hidden="1" thickBot="1" x14ac:dyDescent="0.3">
      <c r="A1814" s="85" t="s">
        <v>4349</v>
      </c>
      <c r="B1814" s="81" t="s">
        <v>4290</v>
      </c>
      <c r="C1814" s="26" t="s">
        <v>37</v>
      </c>
      <c r="D1814" s="14"/>
      <c r="E1814" s="15"/>
      <c r="F1814" s="16">
        <f t="shared" si="101"/>
        <v>0</v>
      </c>
      <c r="G1814">
        <f t="shared" si="100"/>
        <v>0</v>
      </c>
    </row>
    <row r="1815" spans="1:7" ht="15.75" hidden="1" thickBot="1" x14ac:dyDescent="0.3">
      <c r="A1815" s="85" t="s">
        <v>4350</v>
      </c>
      <c r="B1815" s="81" t="s">
        <v>4291</v>
      </c>
      <c r="C1815" s="26" t="s">
        <v>37</v>
      </c>
      <c r="D1815" s="14"/>
      <c r="E1815" s="15"/>
      <c r="F1815" s="16">
        <f t="shared" si="101"/>
        <v>0</v>
      </c>
      <c r="G1815">
        <f t="shared" si="100"/>
        <v>0</v>
      </c>
    </row>
    <row r="1816" spans="1:7" ht="15.75" hidden="1" thickBot="1" x14ac:dyDescent="0.3">
      <c r="A1816" s="85" t="s">
        <v>4351</v>
      </c>
      <c r="B1816" s="81" t="s">
        <v>4292</v>
      </c>
      <c r="C1816" s="26" t="s">
        <v>37</v>
      </c>
      <c r="D1816" s="14"/>
      <c r="E1816" s="15"/>
      <c r="F1816" s="16">
        <f t="shared" si="101"/>
        <v>0</v>
      </c>
      <c r="G1816">
        <f t="shared" si="100"/>
        <v>0</v>
      </c>
    </row>
    <row r="1817" spans="1:7" ht="15.75" hidden="1" thickBot="1" x14ac:dyDescent="0.3">
      <c r="A1817" s="85" t="s">
        <v>4352</v>
      </c>
      <c r="B1817" s="81" t="s">
        <v>4293</v>
      </c>
      <c r="C1817" s="26" t="s">
        <v>37</v>
      </c>
      <c r="D1817" s="14"/>
      <c r="E1817" s="15"/>
      <c r="F1817" s="16">
        <f t="shared" si="101"/>
        <v>0</v>
      </c>
      <c r="G1817">
        <f t="shared" si="100"/>
        <v>0</v>
      </c>
    </row>
    <row r="1818" spans="1:7" ht="15.75" hidden="1" thickBot="1" x14ac:dyDescent="0.3">
      <c r="A1818" s="85" t="s">
        <v>4353</v>
      </c>
      <c r="B1818" s="81" t="s">
        <v>4294</v>
      </c>
      <c r="C1818" s="26" t="s">
        <v>37</v>
      </c>
      <c r="D1818" s="14"/>
      <c r="E1818" s="15"/>
      <c r="F1818" s="16">
        <f t="shared" si="101"/>
        <v>0</v>
      </c>
      <c r="G1818">
        <f t="shared" si="100"/>
        <v>0</v>
      </c>
    </row>
    <row r="1819" spans="1:7" ht="15.75" hidden="1" thickBot="1" x14ac:dyDescent="0.3">
      <c r="A1819" s="85" t="s">
        <v>4354</v>
      </c>
      <c r="B1819" s="81" t="s">
        <v>4295</v>
      </c>
      <c r="C1819" s="26" t="s">
        <v>37</v>
      </c>
      <c r="D1819" s="14"/>
      <c r="E1819" s="15"/>
      <c r="F1819" s="16">
        <f t="shared" si="101"/>
        <v>0</v>
      </c>
      <c r="G1819">
        <f t="shared" si="100"/>
        <v>0</v>
      </c>
    </row>
    <row r="1820" spans="1:7" ht="15.75" hidden="1" thickBot="1" x14ac:dyDescent="0.3">
      <c r="A1820" s="85" t="s">
        <v>4355</v>
      </c>
      <c r="B1820" s="81" t="s">
        <v>4296</v>
      </c>
      <c r="C1820" s="26" t="s">
        <v>37</v>
      </c>
      <c r="D1820" s="14"/>
      <c r="E1820" s="15"/>
      <c r="F1820" s="16">
        <f t="shared" si="101"/>
        <v>0</v>
      </c>
      <c r="G1820">
        <f t="shared" si="100"/>
        <v>0</v>
      </c>
    </row>
    <row r="1821" spans="1:7" ht="15.75" hidden="1" thickBot="1" x14ac:dyDescent="0.3">
      <c r="A1821" s="85" t="s">
        <v>4356</v>
      </c>
      <c r="B1821" s="81" t="s">
        <v>4297</v>
      </c>
      <c r="C1821" s="26" t="s">
        <v>37</v>
      </c>
      <c r="D1821" s="14"/>
      <c r="E1821" s="15"/>
      <c r="F1821" s="16">
        <f t="shared" si="101"/>
        <v>0</v>
      </c>
      <c r="G1821">
        <f t="shared" si="100"/>
        <v>0</v>
      </c>
    </row>
    <row r="1822" spans="1:7" ht="15.75" hidden="1" thickBot="1" x14ac:dyDescent="0.3">
      <c r="A1822" s="85" t="s">
        <v>4357</v>
      </c>
      <c r="B1822" s="81" t="s">
        <v>4298</v>
      </c>
      <c r="C1822" s="26" t="s">
        <v>37</v>
      </c>
      <c r="D1822" s="14"/>
      <c r="E1822" s="15"/>
      <c r="F1822" s="16">
        <f t="shared" si="101"/>
        <v>0</v>
      </c>
      <c r="G1822">
        <f t="shared" si="100"/>
        <v>0</v>
      </c>
    </row>
    <row r="1823" spans="1:7" ht="15.75" hidden="1" thickBot="1" x14ac:dyDescent="0.3">
      <c r="A1823" s="85" t="s">
        <v>4358</v>
      </c>
      <c r="B1823" s="81" t="s">
        <v>4299</v>
      </c>
      <c r="C1823" s="26" t="s">
        <v>37</v>
      </c>
      <c r="D1823" s="14"/>
      <c r="E1823" s="15"/>
      <c r="F1823" s="16">
        <f t="shared" si="101"/>
        <v>0</v>
      </c>
      <c r="G1823">
        <f t="shared" si="100"/>
        <v>0</v>
      </c>
    </row>
    <row r="1824" spans="1:7" ht="15.75" hidden="1" thickBot="1" x14ac:dyDescent="0.3">
      <c r="A1824" s="85" t="s">
        <v>4359</v>
      </c>
      <c r="B1824" s="81" t="s">
        <v>4300</v>
      </c>
      <c r="C1824" s="26" t="s">
        <v>37</v>
      </c>
      <c r="D1824" s="14"/>
      <c r="E1824" s="15"/>
      <c r="F1824" s="16">
        <f t="shared" si="101"/>
        <v>0</v>
      </c>
      <c r="G1824">
        <f t="shared" si="100"/>
        <v>0</v>
      </c>
    </row>
    <row r="1825" spans="1:7" ht="15.75" hidden="1" thickBot="1" x14ac:dyDescent="0.3">
      <c r="A1825" s="85" t="s">
        <v>4360</v>
      </c>
      <c r="B1825" s="81" t="s">
        <v>4301</v>
      </c>
      <c r="C1825" s="26" t="s">
        <v>37</v>
      </c>
      <c r="D1825" s="14"/>
      <c r="E1825" s="15"/>
      <c r="F1825" s="16">
        <f t="shared" si="101"/>
        <v>0</v>
      </c>
      <c r="G1825">
        <f t="shared" si="100"/>
        <v>0</v>
      </c>
    </row>
    <row r="1826" spans="1:7" ht="15.75" hidden="1" thickBot="1" x14ac:dyDescent="0.3">
      <c r="A1826" s="85" t="s">
        <v>4361</v>
      </c>
      <c r="B1826" s="81" t="s">
        <v>4302</v>
      </c>
      <c r="C1826" s="26" t="s">
        <v>37</v>
      </c>
      <c r="D1826" s="14"/>
      <c r="E1826" s="15"/>
      <c r="F1826" s="16">
        <f t="shared" si="101"/>
        <v>0</v>
      </c>
      <c r="G1826">
        <f t="shared" si="100"/>
        <v>0</v>
      </c>
    </row>
    <row r="1827" spans="1:7" ht="15.75" hidden="1" thickBot="1" x14ac:dyDescent="0.3">
      <c r="A1827" s="85" t="s">
        <v>4362</v>
      </c>
      <c r="B1827" s="81" t="s">
        <v>4303</v>
      </c>
      <c r="C1827" s="26" t="s">
        <v>37</v>
      </c>
      <c r="D1827" s="14"/>
      <c r="E1827" s="15"/>
      <c r="F1827" s="16">
        <f t="shared" si="101"/>
        <v>0</v>
      </c>
      <c r="G1827">
        <f t="shared" si="100"/>
        <v>0</v>
      </c>
    </row>
    <row r="1828" spans="1:7" ht="15.75" hidden="1" thickBot="1" x14ac:dyDescent="0.3">
      <c r="A1828" s="85" t="s">
        <v>4363</v>
      </c>
      <c r="B1828" s="81" t="s">
        <v>4304</v>
      </c>
      <c r="C1828" s="26" t="s">
        <v>37</v>
      </c>
      <c r="D1828" s="14"/>
      <c r="E1828" s="15"/>
      <c r="F1828" s="16">
        <f t="shared" si="101"/>
        <v>0</v>
      </c>
      <c r="G1828">
        <f t="shared" ref="G1828:G1891" si="102">+IF(F1828&lt;&gt;0,1,0)</f>
        <v>0</v>
      </c>
    </row>
    <row r="1829" spans="1:7" ht="15.75" hidden="1" thickBot="1" x14ac:dyDescent="0.3">
      <c r="A1829" s="85" t="s">
        <v>4364</v>
      </c>
      <c r="B1829" s="81" t="s">
        <v>4305</v>
      </c>
      <c r="C1829" s="26" t="s">
        <v>37</v>
      </c>
      <c r="D1829" s="14"/>
      <c r="E1829" s="15"/>
      <c r="F1829" s="16">
        <f t="shared" si="101"/>
        <v>0</v>
      </c>
      <c r="G1829">
        <f t="shared" si="102"/>
        <v>0</v>
      </c>
    </row>
    <row r="1830" spans="1:7" ht="15.75" hidden="1" thickBot="1" x14ac:dyDescent="0.3">
      <c r="A1830" s="85" t="s">
        <v>4365</v>
      </c>
      <c r="B1830" s="81" t="s">
        <v>4306</v>
      </c>
      <c r="C1830" s="26" t="s">
        <v>37</v>
      </c>
      <c r="D1830" s="14"/>
      <c r="E1830" s="15"/>
      <c r="F1830" s="16">
        <f t="shared" si="101"/>
        <v>0</v>
      </c>
      <c r="G1830">
        <f t="shared" si="102"/>
        <v>0</v>
      </c>
    </row>
    <row r="1831" spans="1:7" ht="15.75" hidden="1" thickBot="1" x14ac:dyDescent="0.3">
      <c r="A1831" s="85" t="s">
        <v>4366</v>
      </c>
      <c r="B1831" s="81" t="s">
        <v>4307</v>
      </c>
      <c r="C1831" s="26" t="s">
        <v>37</v>
      </c>
      <c r="D1831" s="14"/>
      <c r="E1831" s="15"/>
      <c r="F1831" s="16">
        <f t="shared" si="101"/>
        <v>0</v>
      </c>
      <c r="G1831">
        <f t="shared" si="102"/>
        <v>0</v>
      </c>
    </row>
    <row r="1832" spans="1:7" ht="15.75" hidden="1" thickBot="1" x14ac:dyDescent="0.3">
      <c r="A1832" s="85" t="s">
        <v>4367</v>
      </c>
      <c r="B1832" s="81" t="s">
        <v>4308</v>
      </c>
      <c r="C1832" s="26" t="s">
        <v>37</v>
      </c>
      <c r="D1832" s="14"/>
      <c r="E1832" s="15"/>
      <c r="F1832" s="16">
        <f t="shared" si="101"/>
        <v>0</v>
      </c>
      <c r="G1832">
        <f t="shared" si="102"/>
        <v>0</v>
      </c>
    </row>
    <row r="1833" spans="1:7" ht="15.75" hidden="1" thickBot="1" x14ac:dyDescent="0.3">
      <c r="A1833" s="85" t="s">
        <v>4368</v>
      </c>
      <c r="B1833" s="81" t="s">
        <v>4309</v>
      </c>
      <c r="C1833" s="26" t="s">
        <v>37</v>
      </c>
      <c r="D1833" s="14"/>
      <c r="E1833" s="15"/>
      <c r="F1833" s="16">
        <f t="shared" si="101"/>
        <v>0</v>
      </c>
      <c r="G1833">
        <f t="shared" si="102"/>
        <v>0</v>
      </c>
    </row>
    <row r="1834" spans="1:7" ht="15.75" hidden="1" thickBot="1" x14ac:dyDescent="0.3">
      <c r="A1834" s="85" t="s">
        <v>4369</v>
      </c>
      <c r="B1834" s="81" t="s">
        <v>4310</v>
      </c>
      <c r="C1834" s="26" t="s">
        <v>37</v>
      </c>
      <c r="D1834" s="14"/>
      <c r="E1834" s="15"/>
      <c r="F1834" s="16">
        <f t="shared" si="101"/>
        <v>0</v>
      </c>
      <c r="G1834">
        <f t="shared" si="102"/>
        <v>0</v>
      </c>
    </row>
    <row r="1835" spans="1:7" ht="15.75" hidden="1" thickBot="1" x14ac:dyDescent="0.3">
      <c r="A1835" s="85" t="s">
        <v>4370</v>
      </c>
      <c r="B1835" s="81" t="s">
        <v>4311</v>
      </c>
      <c r="C1835" s="26" t="s">
        <v>37</v>
      </c>
      <c r="D1835" s="14"/>
      <c r="E1835" s="15"/>
      <c r="F1835" s="16">
        <f t="shared" si="101"/>
        <v>0</v>
      </c>
      <c r="G1835">
        <f t="shared" si="102"/>
        <v>0</v>
      </c>
    </row>
    <row r="1836" spans="1:7" ht="15.75" hidden="1" thickBot="1" x14ac:dyDescent="0.3">
      <c r="A1836" s="85" t="s">
        <v>4371</v>
      </c>
      <c r="B1836" s="81" t="s">
        <v>4312</v>
      </c>
      <c r="C1836" s="26" t="s">
        <v>37</v>
      </c>
      <c r="D1836" s="14"/>
      <c r="E1836" s="15"/>
      <c r="F1836" s="16">
        <f t="shared" si="101"/>
        <v>0</v>
      </c>
      <c r="G1836">
        <f t="shared" si="102"/>
        <v>0</v>
      </c>
    </row>
    <row r="1837" spans="1:7" ht="15.75" hidden="1" thickBot="1" x14ac:dyDescent="0.3">
      <c r="A1837" s="85" t="s">
        <v>4372</v>
      </c>
      <c r="B1837" s="81" t="s">
        <v>4313</v>
      </c>
      <c r="C1837" s="26" t="s">
        <v>37</v>
      </c>
      <c r="D1837" s="14"/>
      <c r="E1837" s="15"/>
      <c r="F1837" s="16">
        <f t="shared" si="101"/>
        <v>0</v>
      </c>
      <c r="G1837">
        <f t="shared" si="102"/>
        <v>0</v>
      </c>
    </row>
    <row r="1838" spans="1:7" ht="15.75" hidden="1" thickBot="1" x14ac:dyDescent="0.3">
      <c r="A1838" s="85" t="s">
        <v>4373</v>
      </c>
      <c r="B1838" s="81" t="s">
        <v>4314</v>
      </c>
      <c r="C1838" s="26" t="s">
        <v>37</v>
      </c>
      <c r="D1838" s="14"/>
      <c r="E1838" s="15"/>
      <c r="F1838" s="16">
        <f t="shared" si="101"/>
        <v>0</v>
      </c>
      <c r="G1838">
        <f t="shared" si="102"/>
        <v>0</v>
      </c>
    </row>
    <row r="1839" spans="1:7" ht="15.75" hidden="1" thickBot="1" x14ac:dyDescent="0.3">
      <c r="A1839" s="85" t="s">
        <v>4374</v>
      </c>
      <c r="B1839" s="81" t="s">
        <v>4315</v>
      </c>
      <c r="C1839" s="26" t="s">
        <v>37</v>
      </c>
      <c r="D1839" s="14"/>
      <c r="E1839" s="15"/>
      <c r="F1839" s="16">
        <f t="shared" si="101"/>
        <v>0</v>
      </c>
      <c r="G1839">
        <f t="shared" si="102"/>
        <v>0</v>
      </c>
    </row>
    <row r="1840" spans="1:7" ht="15.75" hidden="1" thickBot="1" x14ac:dyDescent="0.3">
      <c r="A1840" s="85" t="s">
        <v>4375</v>
      </c>
      <c r="B1840" s="81" t="s">
        <v>4316</v>
      </c>
      <c r="C1840" s="26" t="s">
        <v>37</v>
      </c>
      <c r="D1840" s="14"/>
      <c r="E1840" s="15"/>
      <c r="F1840" s="16">
        <f t="shared" si="101"/>
        <v>0</v>
      </c>
      <c r="G1840">
        <f t="shared" si="102"/>
        <v>0</v>
      </c>
    </row>
    <row r="1841" spans="1:7" ht="15.75" hidden="1" thickBot="1" x14ac:dyDescent="0.3">
      <c r="A1841" s="85" t="s">
        <v>4376</v>
      </c>
      <c r="B1841" s="81" t="s">
        <v>4317</v>
      </c>
      <c r="C1841" s="26" t="s">
        <v>37</v>
      </c>
      <c r="D1841" s="14"/>
      <c r="E1841" s="15"/>
      <c r="F1841" s="16">
        <f t="shared" si="101"/>
        <v>0</v>
      </c>
      <c r="G1841">
        <f t="shared" si="102"/>
        <v>0</v>
      </c>
    </row>
    <row r="1842" spans="1:7" ht="15.75" hidden="1" thickBot="1" x14ac:dyDescent="0.3">
      <c r="A1842" s="85" t="s">
        <v>4377</v>
      </c>
      <c r="B1842" s="81" t="s">
        <v>4318</v>
      </c>
      <c r="C1842" s="26" t="s">
        <v>37</v>
      </c>
      <c r="D1842" s="14"/>
      <c r="E1842" s="15"/>
      <c r="F1842" s="16">
        <f t="shared" si="101"/>
        <v>0</v>
      </c>
      <c r="G1842">
        <f t="shared" si="102"/>
        <v>0</v>
      </c>
    </row>
    <row r="1843" spans="1:7" ht="15.75" hidden="1" thickBot="1" x14ac:dyDescent="0.3">
      <c r="A1843" s="85" t="s">
        <v>4378</v>
      </c>
      <c r="B1843" s="81" t="s">
        <v>4319</v>
      </c>
      <c r="C1843" s="26" t="s">
        <v>37</v>
      </c>
      <c r="D1843" s="14"/>
      <c r="E1843" s="15"/>
      <c r="F1843" s="16">
        <f t="shared" si="101"/>
        <v>0</v>
      </c>
      <c r="G1843">
        <f t="shared" si="102"/>
        <v>0</v>
      </c>
    </row>
    <row r="1844" spans="1:7" ht="15.75" hidden="1" thickBot="1" x14ac:dyDescent="0.3">
      <c r="A1844" s="85" t="s">
        <v>4379</v>
      </c>
      <c r="B1844" s="81" t="s">
        <v>4320</v>
      </c>
      <c r="C1844" s="26" t="s">
        <v>37</v>
      </c>
      <c r="D1844" s="14"/>
      <c r="E1844" s="15"/>
      <c r="F1844" s="16">
        <f t="shared" si="101"/>
        <v>0</v>
      </c>
      <c r="G1844">
        <f t="shared" si="102"/>
        <v>0</v>
      </c>
    </row>
    <row r="1845" spans="1:7" ht="15.75" hidden="1" thickBot="1" x14ac:dyDescent="0.3">
      <c r="A1845" s="85" t="s">
        <v>4380</v>
      </c>
      <c r="B1845" s="81" t="s">
        <v>4321</v>
      </c>
      <c r="C1845" s="26" t="s">
        <v>37</v>
      </c>
      <c r="D1845" s="14"/>
      <c r="E1845" s="15"/>
      <c r="F1845" s="16">
        <f t="shared" si="101"/>
        <v>0</v>
      </c>
      <c r="G1845">
        <f t="shared" si="102"/>
        <v>0</v>
      </c>
    </row>
    <row r="1846" spans="1:7" ht="15.75" hidden="1" thickBot="1" x14ac:dyDescent="0.3">
      <c r="A1846" s="85" t="s">
        <v>4381</v>
      </c>
      <c r="B1846" s="81" t="s">
        <v>4322</v>
      </c>
      <c r="C1846" s="26" t="s">
        <v>37</v>
      </c>
      <c r="D1846" s="14"/>
      <c r="E1846" s="15"/>
      <c r="F1846" s="16">
        <f t="shared" si="101"/>
        <v>0</v>
      </c>
      <c r="G1846">
        <f t="shared" si="102"/>
        <v>0</v>
      </c>
    </row>
    <row r="1847" spans="1:7" ht="15.75" hidden="1" thickBot="1" x14ac:dyDescent="0.3">
      <c r="A1847" s="85" t="s">
        <v>4382</v>
      </c>
      <c r="B1847" s="81" t="s">
        <v>4323</v>
      </c>
      <c r="C1847" s="26" t="s">
        <v>37</v>
      </c>
      <c r="D1847" s="14"/>
      <c r="E1847" s="15"/>
      <c r="F1847" s="16">
        <f t="shared" si="101"/>
        <v>0</v>
      </c>
      <c r="G1847">
        <f t="shared" si="102"/>
        <v>0</v>
      </c>
    </row>
    <row r="1848" spans="1:7" ht="15.75" hidden="1" thickBot="1" x14ac:dyDescent="0.3">
      <c r="A1848" s="85" t="s">
        <v>4383</v>
      </c>
      <c r="B1848" s="81" t="s">
        <v>4324</v>
      </c>
      <c r="C1848" s="26" t="s">
        <v>37</v>
      </c>
      <c r="D1848" s="14"/>
      <c r="E1848" s="15"/>
      <c r="F1848" s="16">
        <f t="shared" si="101"/>
        <v>0</v>
      </c>
      <c r="G1848">
        <f t="shared" si="102"/>
        <v>0</v>
      </c>
    </row>
    <row r="1849" spans="1:7" ht="15.75" hidden="1" thickBot="1" x14ac:dyDescent="0.3">
      <c r="A1849" s="85" t="s">
        <v>4384</v>
      </c>
      <c r="B1849" s="81" t="s">
        <v>4325</v>
      </c>
      <c r="C1849" s="26" t="s">
        <v>37</v>
      </c>
      <c r="D1849" s="14"/>
      <c r="E1849" s="15"/>
      <c r="F1849" s="16">
        <f t="shared" si="101"/>
        <v>0</v>
      </c>
      <c r="G1849">
        <f t="shared" si="102"/>
        <v>0</v>
      </c>
    </row>
    <row r="1850" spans="1:7" ht="15.75" hidden="1" thickBot="1" x14ac:dyDescent="0.3">
      <c r="A1850" s="85" t="s">
        <v>4385</v>
      </c>
      <c r="B1850" s="81" t="s">
        <v>4326</v>
      </c>
      <c r="C1850" s="26" t="s">
        <v>37</v>
      </c>
      <c r="D1850" s="14"/>
      <c r="E1850" s="15"/>
      <c r="F1850" s="16">
        <f t="shared" si="101"/>
        <v>0</v>
      </c>
      <c r="G1850">
        <f t="shared" si="102"/>
        <v>0</v>
      </c>
    </row>
    <row r="1851" spans="1:7" ht="15.75" hidden="1" thickBot="1" x14ac:dyDescent="0.3">
      <c r="A1851" s="85" t="s">
        <v>4386</v>
      </c>
      <c r="B1851" s="81" t="s">
        <v>4327</v>
      </c>
      <c r="C1851" s="26" t="s">
        <v>37</v>
      </c>
      <c r="D1851" s="14"/>
      <c r="E1851" s="15"/>
      <c r="F1851" s="16">
        <f t="shared" si="101"/>
        <v>0</v>
      </c>
      <c r="G1851">
        <f t="shared" si="102"/>
        <v>0</v>
      </c>
    </row>
    <row r="1852" spans="1:7" ht="15.75" hidden="1" thickBot="1" x14ac:dyDescent="0.3">
      <c r="A1852" s="85" t="s">
        <v>4387</v>
      </c>
      <c r="B1852" s="81" t="s">
        <v>4328</v>
      </c>
      <c r="C1852" s="26" t="s">
        <v>37</v>
      </c>
      <c r="D1852" s="14"/>
      <c r="E1852" s="15"/>
      <c r="F1852" s="16">
        <f t="shared" si="101"/>
        <v>0</v>
      </c>
      <c r="G1852">
        <f t="shared" si="102"/>
        <v>0</v>
      </c>
    </row>
    <row r="1853" spans="1:7" ht="15.75" hidden="1" thickBot="1" x14ac:dyDescent="0.3">
      <c r="A1853" s="85" t="s">
        <v>4388</v>
      </c>
      <c r="B1853" s="81" t="s">
        <v>4329</v>
      </c>
      <c r="C1853" s="26" t="s">
        <v>37</v>
      </c>
      <c r="D1853" s="14"/>
      <c r="E1853" s="15"/>
      <c r="F1853" s="16">
        <f t="shared" si="101"/>
        <v>0</v>
      </c>
      <c r="G1853">
        <f t="shared" si="102"/>
        <v>0</v>
      </c>
    </row>
    <row r="1854" spans="1:7" ht="15.75" hidden="1" thickBot="1" x14ac:dyDescent="0.3">
      <c r="A1854" s="85" t="s">
        <v>4389</v>
      </c>
      <c r="B1854" s="81" t="s">
        <v>4330</v>
      </c>
      <c r="C1854" s="26" t="s">
        <v>37</v>
      </c>
      <c r="D1854" s="14"/>
      <c r="E1854" s="15"/>
      <c r="F1854" s="16">
        <f t="shared" si="101"/>
        <v>0</v>
      </c>
      <c r="G1854">
        <f t="shared" si="102"/>
        <v>0</v>
      </c>
    </row>
    <row r="1855" spans="1:7" ht="15.75" hidden="1" thickBot="1" x14ac:dyDescent="0.3">
      <c r="A1855" s="78" t="s">
        <v>4390</v>
      </c>
      <c r="B1855" s="80" t="s">
        <v>4391</v>
      </c>
      <c r="C1855" s="26"/>
      <c r="D1855" s="14"/>
      <c r="E1855" s="15"/>
      <c r="F1855" s="16"/>
      <c r="G1855">
        <f t="shared" si="102"/>
        <v>0</v>
      </c>
    </row>
    <row r="1856" spans="1:7" ht="15.75" hidden="1" thickBot="1" x14ac:dyDescent="0.3">
      <c r="A1856" s="85" t="s">
        <v>4393</v>
      </c>
      <c r="B1856" s="80" t="s">
        <v>4392</v>
      </c>
      <c r="C1856" s="26"/>
      <c r="D1856" s="14"/>
      <c r="E1856" s="15"/>
      <c r="F1856" s="16"/>
      <c r="G1856">
        <f t="shared" si="102"/>
        <v>0</v>
      </c>
    </row>
    <row r="1857" spans="1:7" ht="15.75" hidden="1" thickBot="1" x14ac:dyDescent="0.3">
      <c r="A1857" s="85" t="s">
        <v>4394</v>
      </c>
      <c r="B1857" s="81" t="s">
        <v>4398</v>
      </c>
      <c r="C1857" s="26" t="s">
        <v>37</v>
      </c>
      <c r="D1857" s="14"/>
      <c r="E1857" s="15"/>
      <c r="F1857" s="16">
        <f t="shared" ref="F1857:F1868" si="103">+D1857*E1857</f>
        <v>0</v>
      </c>
      <c r="G1857">
        <f t="shared" si="102"/>
        <v>0</v>
      </c>
    </row>
    <row r="1858" spans="1:7" ht="15.75" hidden="1" thickBot="1" x14ac:dyDescent="0.3">
      <c r="A1858" s="85" t="s">
        <v>4422</v>
      </c>
      <c r="B1858" s="81" t="s">
        <v>4399</v>
      </c>
      <c r="C1858" s="26" t="s">
        <v>37</v>
      </c>
      <c r="D1858" s="14"/>
      <c r="E1858" s="15"/>
      <c r="F1858" s="16">
        <f t="shared" si="103"/>
        <v>0</v>
      </c>
      <c r="G1858">
        <f t="shared" si="102"/>
        <v>0</v>
      </c>
    </row>
    <row r="1859" spans="1:7" ht="15.75" hidden="1" thickBot="1" x14ac:dyDescent="0.3">
      <c r="A1859" s="85" t="s">
        <v>4423</v>
      </c>
      <c r="B1859" s="81" t="s">
        <v>4400</v>
      </c>
      <c r="C1859" s="26" t="s">
        <v>37</v>
      </c>
      <c r="D1859" s="14"/>
      <c r="E1859" s="15"/>
      <c r="F1859" s="16">
        <f t="shared" si="103"/>
        <v>0</v>
      </c>
      <c r="G1859">
        <f t="shared" si="102"/>
        <v>0</v>
      </c>
    </row>
    <row r="1860" spans="1:7" ht="15.75" hidden="1" thickBot="1" x14ac:dyDescent="0.3">
      <c r="A1860" s="85" t="s">
        <v>4424</v>
      </c>
      <c r="B1860" s="81" t="s">
        <v>4401</v>
      </c>
      <c r="C1860" s="26" t="s">
        <v>37</v>
      </c>
      <c r="D1860" s="14"/>
      <c r="E1860" s="15"/>
      <c r="F1860" s="16">
        <f t="shared" si="103"/>
        <v>0</v>
      </c>
      <c r="G1860">
        <f t="shared" si="102"/>
        <v>0</v>
      </c>
    </row>
    <row r="1861" spans="1:7" ht="15.75" hidden="1" thickBot="1" x14ac:dyDescent="0.3">
      <c r="A1861" s="85" t="s">
        <v>4425</v>
      </c>
      <c r="B1861" s="81" t="s">
        <v>4402</v>
      </c>
      <c r="C1861" s="26" t="s">
        <v>37</v>
      </c>
      <c r="D1861" s="14"/>
      <c r="E1861" s="15"/>
      <c r="F1861" s="16">
        <f t="shared" si="103"/>
        <v>0</v>
      </c>
      <c r="G1861">
        <f t="shared" si="102"/>
        <v>0</v>
      </c>
    </row>
    <row r="1862" spans="1:7" ht="15.75" hidden="1" thickBot="1" x14ac:dyDescent="0.3">
      <c r="A1862" s="85" t="s">
        <v>4426</v>
      </c>
      <c r="B1862" s="81" t="s">
        <v>4403</v>
      </c>
      <c r="C1862" s="26" t="s">
        <v>37</v>
      </c>
      <c r="D1862" s="14"/>
      <c r="E1862" s="15"/>
      <c r="F1862" s="16">
        <f t="shared" si="103"/>
        <v>0</v>
      </c>
      <c r="G1862">
        <f t="shared" si="102"/>
        <v>0</v>
      </c>
    </row>
    <row r="1863" spans="1:7" ht="15.75" hidden="1" thickBot="1" x14ac:dyDescent="0.3">
      <c r="A1863" s="85" t="s">
        <v>4427</v>
      </c>
      <c r="B1863" s="81" t="s">
        <v>4404</v>
      </c>
      <c r="C1863" s="26" t="s">
        <v>37</v>
      </c>
      <c r="D1863" s="14"/>
      <c r="E1863" s="15"/>
      <c r="F1863" s="16">
        <f t="shared" si="103"/>
        <v>0</v>
      </c>
      <c r="G1863">
        <f t="shared" si="102"/>
        <v>0</v>
      </c>
    </row>
    <row r="1864" spans="1:7" ht="15.75" hidden="1" thickBot="1" x14ac:dyDescent="0.3">
      <c r="A1864" s="85" t="s">
        <v>4428</v>
      </c>
      <c r="B1864" s="81" t="s">
        <v>4405</v>
      </c>
      <c r="C1864" s="26" t="s">
        <v>37</v>
      </c>
      <c r="D1864" s="14"/>
      <c r="E1864" s="15"/>
      <c r="F1864" s="16">
        <f t="shared" si="103"/>
        <v>0</v>
      </c>
      <c r="G1864">
        <f t="shared" si="102"/>
        <v>0</v>
      </c>
    </row>
    <row r="1865" spans="1:7" ht="15.75" hidden="1" thickBot="1" x14ac:dyDescent="0.3">
      <c r="A1865" s="85" t="s">
        <v>4429</v>
      </c>
      <c r="B1865" s="81" t="s">
        <v>4406</v>
      </c>
      <c r="C1865" s="26" t="s">
        <v>37</v>
      </c>
      <c r="D1865" s="14"/>
      <c r="E1865" s="15"/>
      <c r="F1865" s="16">
        <f t="shared" si="103"/>
        <v>0</v>
      </c>
      <c r="G1865">
        <f t="shared" si="102"/>
        <v>0</v>
      </c>
    </row>
    <row r="1866" spans="1:7" ht="15.75" hidden="1" thickBot="1" x14ac:dyDescent="0.3">
      <c r="A1866" s="85" t="s">
        <v>4430</v>
      </c>
      <c r="B1866" s="81" t="s">
        <v>4407</v>
      </c>
      <c r="C1866" s="26" t="s">
        <v>37</v>
      </c>
      <c r="D1866" s="14"/>
      <c r="E1866" s="15"/>
      <c r="F1866" s="16">
        <f t="shared" si="103"/>
        <v>0</v>
      </c>
      <c r="G1866">
        <f t="shared" si="102"/>
        <v>0</v>
      </c>
    </row>
    <row r="1867" spans="1:7" ht="15.75" hidden="1" thickBot="1" x14ac:dyDescent="0.3">
      <c r="A1867" s="85" t="s">
        <v>4431</v>
      </c>
      <c r="B1867" s="81" t="s">
        <v>4408</v>
      </c>
      <c r="C1867" s="26" t="s">
        <v>37</v>
      </c>
      <c r="D1867" s="14"/>
      <c r="E1867" s="15"/>
      <c r="F1867" s="16">
        <f t="shared" si="103"/>
        <v>0</v>
      </c>
      <c r="G1867">
        <f t="shared" si="102"/>
        <v>0</v>
      </c>
    </row>
    <row r="1868" spans="1:7" ht="15.75" hidden="1" thickBot="1" x14ac:dyDescent="0.3">
      <c r="A1868" s="85" t="s">
        <v>4432</v>
      </c>
      <c r="B1868" s="81" t="s">
        <v>4395</v>
      </c>
      <c r="C1868" s="26" t="s">
        <v>37</v>
      </c>
      <c r="D1868" s="14"/>
      <c r="E1868" s="15"/>
      <c r="F1868" s="16">
        <f t="shared" si="103"/>
        <v>0</v>
      </c>
      <c r="G1868">
        <f t="shared" si="102"/>
        <v>0</v>
      </c>
    </row>
    <row r="1869" spans="1:7" ht="15.75" hidden="1" thickBot="1" x14ac:dyDescent="0.3">
      <c r="A1869" s="78" t="s">
        <v>4410</v>
      </c>
      <c r="B1869" s="80" t="s">
        <v>4409</v>
      </c>
      <c r="C1869" s="26"/>
      <c r="D1869" s="14"/>
      <c r="E1869" s="15"/>
      <c r="F1869" s="16"/>
      <c r="G1869">
        <f t="shared" si="102"/>
        <v>0</v>
      </c>
    </row>
    <row r="1870" spans="1:7" ht="15.75" hidden="1" thickBot="1" x14ac:dyDescent="0.3">
      <c r="A1870" s="85" t="s">
        <v>4411</v>
      </c>
      <c r="B1870" s="81" t="s">
        <v>4397</v>
      </c>
      <c r="C1870" s="26" t="s">
        <v>37</v>
      </c>
      <c r="D1870" s="14"/>
      <c r="E1870" s="15"/>
      <c r="F1870" s="16">
        <f t="shared" ref="F1870:F1882" si="104">+D1870*E1870</f>
        <v>0</v>
      </c>
      <c r="G1870">
        <f t="shared" si="102"/>
        <v>0</v>
      </c>
    </row>
    <row r="1871" spans="1:7" ht="15.75" hidden="1" thickBot="1" x14ac:dyDescent="0.3">
      <c r="A1871" s="85" t="s">
        <v>4412</v>
      </c>
      <c r="B1871" s="81" t="s">
        <v>4434</v>
      </c>
      <c r="C1871" s="26" t="s">
        <v>37</v>
      </c>
      <c r="D1871" s="14"/>
      <c r="E1871" s="15"/>
      <c r="F1871" s="16">
        <f t="shared" si="104"/>
        <v>0</v>
      </c>
      <c r="G1871">
        <f t="shared" si="102"/>
        <v>0</v>
      </c>
    </row>
    <row r="1872" spans="1:7" ht="15.75" hidden="1" thickBot="1" x14ac:dyDescent="0.3">
      <c r="A1872" s="85" t="s">
        <v>4413</v>
      </c>
      <c r="B1872" s="81" t="s">
        <v>4435</v>
      </c>
      <c r="C1872" s="26" t="s">
        <v>37</v>
      </c>
      <c r="D1872" s="14"/>
      <c r="E1872" s="15"/>
      <c r="F1872" s="16">
        <f t="shared" si="104"/>
        <v>0</v>
      </c>
      <c r="G1872">
        <f t="shared" si="102"/>
        <v>0</v>
      </c>
    </row>
    <row r="1873" spans="1:7" ht="15.75" hidden="1" thickBot="1" x14ac:dyDescent="0.3">
      <c r="A1873" s="85" t="s">
        <v>4414</v>
      </c>
      <c r="B1873" s="81" t="s">
        <v>4436</v>
      </c>
      <c r="C1873" s="26" t="s">
        <v>37</v>
      </c>
      <c r="D1873" s="14"/>
      <c r="E1873" s="15"/>
      <c r="F1873" s="16">
        <f t="shared" si="104"/>
        <v>0</v>
      </c>
      <c r="G1873">
        <f t="shared" si="102"/>
        <v>0</v>
      </c>
    </row>
    <row r="1874" spans="1:7" ht="15.75" hidden="1" thickBot="1" x14ac:dyDescent="0.3">
      <c r="A1874" s="85" t="s">
        <v>4415</v>
      </c>
      <c r="B1874" s="81" t="s">
        <v>4437</v>
      </c>
      <c r="C1874" s="26" t="s">
        <v>37</v>
      </c>
      <c r="D1874" s="14"/>
      <c r="E1874" s="15"/>
      <c r="F1874" s="16">
        <f t="shared" si="104"/>
        <v>0</v>
      </c>
      <c r="G1874">
        <f t="shared" si="102"/>
        <v>0</v>
      </c>
    </row>
    <row r="1875" spans="1:7" ht="15.75" hidden="1" thickBot="1" x14ac:dyDescent="0.3">
      <c r="A1875" s="85" t="s">
        <v>4416</v>
      </c>
      <c r="B1875" s="81" t="s">
        <v>4438</v>
      </c>
      <c r="C1875" s="26" t="s">
        <v>37</v>
      </c>
      <c r="D1875" s="14"/>
      <c r="E1875" s="15"/>
      <c r="F1875" s="16">
        <f t="shared" si="104"/>
        <v>0</v>
      </c>
      <c r="G1875">
        <f t="shared" si="102"/>
        <v>0</v>
      </c>
    </row>
    <row r="1876" spans="1:7" ht="15.75" hidden="1" thickBot="1" x14ac:dyDescent="0.3">
      <c r="A1876" s="85" t="s">
        <v>4417</v>
      </c>
      <c r="B1876" s="81" t="s">
        <v>4439</v>
      </c>
      <c r="C1876" s="26" t="s">
        <v>37</v>
      </c>
      <c r="D1876" s="14"/>
      <c r="E1876" s="15"/>
      <c r="F1876" s="16">
        <f t="shared" si="104"/>
        <v>0</v>
      </c>
      <c r="G1876">
        <f t="shared" si="102"/>
        <v>0</v>
      </c>
    </row>
    <row r="1877" spans="1:7" ht="15.75" hidden="1" thickBot="1" x14ac:dyDescent="0.3">
      <c r="A1877" s="85" t="s">
        <v>4418</v>
      </c>
      <c r="B1877" s="81" t="s">
        <v>4440</v>
      </c>
      <c r="C1877" s="26" t="s">
        <v>37</v>
      </c>
      <c r="D1877" s="14"/>
      <c r="E1877" s="15"/>
      <c r="F1877" s="16">
        <f t="shared" si="104"/>
        <v>0</v>
      </c>
      <c r="G1877">
        <f t="shared" si="102"/>
        <v>0</v>
      </c>
    </row>
    <row r="1878" spans="1:7" ht="15.75" hidden="1" thickBot="1" x14ac:dyDescent="0.3">
      <c r="A1878" s="85" t="s">
        <v>4419</v>
      </c>
      <c r="B1878" s="81" t="s">
        <v>4441</v>
      </c>
      <c r="C1878" s="26" t="s">
        <v>37</v>
      </c>
      <c r="D1878" s="14"/>
      <c r="E1878" s="15"/>
      <c r="F1878" s="16">
        <f t="shared" si="104"/>
        <v>0</v>
      </c>
      <c r="G1878">
        <f t="shared" si="102"/>
        <v>0</v>
      </c>
    </row>
    <row r="1879" spans="1:7" ht="15.75" hidden="1" thickBot="1" x14ac:dyDescent="0.3">
      <c r="A1879" s="85" t="s">
        <v>4420</v>
      </c>
      <c r="B1879" s="81" t="s">
        <v>4442</v>
      </c>
      <c r="C1879" s="26" t="s">
        <v>37</v>
      </c>
      <c r="D1879" s="14"/>
      <c r="E1879" s="15"/>
      <c r="F1879" s="16">
        <f t="shared" si="104"/>
        <v>0</v>
      </c>
      <c r="G1879">
        <f t="shared" si="102"/>
        <v>0</v>
      </c>
    </row>
    <row r="1880" spans="1:7" ht="15.75" hidden="1" thickBot="1" x14ac:dyDescent="0.3">
      <c r="A1880" s="85" t="s">
        <v>4421</v>
      </c>
      <c r="B1880" s="81" t="s">
        <v>4443</v>
      </c>
      <c r="C1880" s="26" t="s">
        <v>37</v>
      </c>
      <c r="D1880" s="14"/>
      <c r="E1880" s="15"/>
      <c r="F1880" s="16">
        <f t="shared" si="104"/>
        <v>0</v>
      </c>
      <c r="G1880">
        <f t="shared" si="102"/>
        <v>0</v>
      </c>
    </row>
    <row r="1881" spans="1:7" ht="15.75" hidden="1" thickBot="1" x14ac:dyDescent="0.3">
      <c r="A1881" s="85" t="s">
        <v>4433</v>
      </c>
      <c r="B1881" s="81" t="s">
        <v>4396</v>
      </c>
      <c r="C1881" s="26" t="s">
        <v>37</v>
      </c>
      <c r="D1881" s="14"/>
      <c r="E1881" s="15"/>
      <c r="F1881" s="16">
        <f t="shared" si="104"/>
        <v>0</v>
      </c>
      <c r="G1881">
        <f t="shared" si="102"/>
        <v>0</v>
      </c>
    </row>
    <row r="1882" spans="1:7" ht="15.75" hidden="1" thickBot="1" x14ac:dyDescent="0.3">
      <c r="A1882" s="78" t="s">
        <v>4444</v>
      </c>
      <c r="B1882" s="80" t="s">
        <v>990</v>
      </c>
      <c r="C1882" s="26" t="s">
        <v>37</v>
      </c>
      <c r="D1882" s="14"/>
      <c r="E1882" s="15"/>
      <c r="F1882" s="16">
        <f t="shared" si="104"/>
        <v>0</v>
      </c>
      <c r="G1882">
        <f t="shared" si="102"/>
        <v>0</v>
      </c>
    </row>
    <row r="1883" spans="1:7" ht="15.75" hidden="1" thickBot="1" x14ac:dyDescent="0.3">
      <c r="A1883" s="78" t="s">
        <v>4445</v>
      </c>
      <c r="B1883" s="80" t="s">
        <v>4446</v>
      </c>
      <c r="C1883" s="26"/>
      <c r="D1883" s="14"/>
      <c r="E1883" s="15"/>
      <c r="F1883" s="16"/>
      <c r="G1883">
        <f t="shared" si="102"/>
        <v>0</v>
      </c>
    </row>
    <row r="1884" spans="1:7" ht="15.75" hidden="1" thickBot="1" x14ac:dyDescent="0.3">
      <c r="A1884" s="85" t="s">
        <v>4458</v>
      </c>
      <c r="B1884" s="81" t="s">
        <v>4447</v>
      </c>
      <c r="C1884" s="26" t="s">
        <v>37</v>
      </c>
      <c r="D1884" s="14"/>
      <c r="E1884" s="15"/>
      <c r="F1884" s="16">
        <f t="shared" ref="F1884:F1895" si="105">+D1884*E1884</f>
        <v>0</v>
      </c>
      <c r="G1884">
        <f t="shared" si="102"/>
        <v>0</v>
      </c>
    </row>
    <row r="1885" spans="1:7" ht="15.75" hidden="1" thickBot="1" x14ac:dyDescent="0.3">
      <c r="A1885" s="85" t="s">
        <v>4459</v>
      </c>
      <c r="B1885" s="81" t="s">
        <v>4497</v>
      </c>
      <c r="C1885" s="26" t="s">
        <v>37</v>
      </c>
      <c r="D1885" s="14"/>
      <c r="E1885" s="15"/>
      <c r="F1885" s="16">
        <f t="shared" si="105"/>
        <v>0</v>
      </c>
      <c r="G1885">
        <f t="shared" si="102"/>
        <v>0</v>
      </c>
    </row>
    <row r="1886" spans="1:7" ht="15.75" hidden="1" thickBot="1" x14ac:dyDescent="0.3">
      <c r="A1886" s="85" t="s">
        <v>4460</v>
      </c>
      <c r="B1886" s="81" t="s">
        <v>4448</v>
      </c>
      <c r="C1886" s="26" t="s">
        <v>37</v>
      </c>
      <c r="D1886" s="14"/>
      <c r="E1886" s="15"/>
      <c r="F1886" s="16">
        <f t="shared" si="105"/>
        <v>0</v>
      </c>
      <c r="G1886">
        <f t="shared" si="102"/>
        <v>0</v>
      </c>
    </row>
    <row r="1887" spans="1:7" ht="15.75" hidden="1" thickBot="1" x14ac:dyDescent="0.3">
      <c r="A1887" s="85" t="s">
        <v>4461</v>
      </c>
      <c r="B1887" s="81" t="s">
        <v>4449</v>
      </c>
      <c r="C1887" s="26" t="s">
        <v>37</v>
      </c>
      <c r="D1887" s="14"/>
      <c r="E1887" s="15"/>
      <c r="F1887" s="16">
        <f t="shared" si="105"/>
        <v>0</v>
      </c>
      <c r="G1887">
        <f t="shared" si="102"/>
        <v>0</v>
      </c>
    </row>
    <row r="1888" spans="1:7" ht="15.75" hidden="1" thickBot="1" x14ac:dyDescent="0.3">
      <c r="A1888" s="85" t="s">
        <v>4462</v>
      </c>
      <c r="B1888" s="81" t="s">
        <v>4450</v>
      </c>
      <c r="C1888" s="26" t="s">
        <v>37</v>
      </c>
      <c r="D1888" s="14"/>
      <c r="E1888" s="15"/>
      <c r="F1888" s="16">
        <f t="shared" si="105"/>
        <v>0</v>
      </c>
      <c r="G1888">
        <f t="shared" si="102"/>
        <v>0</v>
      </c>
    </row>
    <row r="1889" spans="1:7" ht="15.75" hidden="1" thickBot="1" x14ac:dyDescent="0.3">
      <c r="A1889" s="85" t="s">
        <v>4463</v>
      </c>
      <c r="B1889" s="81" t="s">
        <v>4451</v>
      </c>
      <c r="C1889" s="26" t="s">
        <v>37</v>
      </c>
      <c r="D1889" s="14"/>
      <c r="E1889" s="15"/>
      <c r="F1889" s="16">
        <f t="shared" si="105"/>
        <v>0</v>
      </c>
      <c r="G1889">
        <f t="shared" si="102"/>
        <v>0</v>
      </c>
    </row>
    <row r="1890" spans="1:7" ht="15.75" hidden="1" thickBot="1" x14ac:dyDescent="0.3">
      <c r="A1890" s="85" t="s">
        <v>4464</v>
      </c>
      <c r="B1890" s="81" t="s">
        <v>4452</v>
      </c>
      <c r="C1890" s="26" t="s">
        <v>37</v>
      </c>
      <c r="D1890" s="14"/>
      <c r="E1890" s="15"/>
      <c r="F1890" s="16">
        <f t="shared" si="105"/>
        <v>0</v>
      </c>
      <c r="G1890">
        <f t="shared" si="102"/>
        <v>0</v>
      </c>
    </row>
    <row r="1891" spans="1:7" ht="15.75" hidden="1" thickBot="1" x14ac:dyDescent="0.3">
      <c r="A1891" s="85" t="s">
        <v>4465</v>
      </c>
      <c r="B1891" s="81" t="s">
        <v>4453</v>
      </c>
      <c r="C1891" s="26" t="s">
        <v>37</v>
      </c>
      <c r="D1891" s="14"/>
      <c r="E1891" s="15"/>
      <c r="F1891" s="16">
        <f t="shared" si="105"/>
        <v>0</v>
      </c>
      <c r="G1891">
        <f t="shared" si="102"/>
        <v>0</v>
      </c>
    </row>
    <row r="1892" spans="1:7" ht="15.75" hidden="1" thickBot="1" x14ac:dyDescent="0.3">
      <c r="A1892" s="85" t="s">
        <v>4466</v>
      </c>
      <c r="B1892" s="81" t="s">
        <v>4454</v>
      </c>
      <c r="C1892" s="26" t="s">
        <v>37</v>
      </c>
      <c r="D1892" s="14"/>
      <c r="E1892" s="15"/>
      <c r="F1892" s="16">
        <f t="shared" si="105"/>
        <v>0</v>
      </c>
      <c r="G1892">
        <f t="shared" ref="G1892:G1955" si="106">+IF(F1892&lt;&gt;0,1,0)</f>
        <v>0</v>
      </c>
    </row>
    <row r="1893" spans="1:7" ht="15.75" hidden="1" thickBot="1" x14ac:dyDescent="0.3">
      <c r="A1893" s="85" t="s">
        <v>4467</v>
      </c>
      <c r="B1893" s="81" t="s">
        <v>4455</v>
      </c>
      <c r="C1893" s="26" t="s">
        <v>37</v>
      </c>
      <c r="D1893" s="14"/>
      <c r="E1893" s="15"/>
      <c r="F1893" s="16">
        <f t="shared" si="105"/>
        <v>0</v>
      </c>
      <c r="G1893">
        <f t="shared" si="106"/>
        <v>0</v>
      </c>
    </row>
    <row r="1894" spans="1:7" ht="15.75" hidden="1" thickBot="1" x14ac:dyDescent="0.3">
      <c r="A1894" s="85" t="s">
        <v>4468</v>
      </c>
      <c r="B1894" s="81" t="s">
        <v>4456</v>
      </c>
      <c r="C1894" s="26" t="s">
        <v>37</v>
      </c>
      <c r="D1894" s="14"/>
      <c r="E1894" s="15"/>
      <c r="F1894" s="16">
        <f t="shared" si="105"/>
        <v>0</v>
      </c>
      <c r="G1894">
        <f t="shared" si="106"/>
        <v>0</v>
      </c>
    </row>
    <row r="1895" spans="1:7" ht="15.75" hidden="1" thickBot="1" x14ac:dyDescent="0.3">
      <c r="A1895" s="85" t="s">
        <v>4469</v>
      </c>
      <c r="B1895" s="81" t="s">
        <v>4457</v>
      </c>
      <c r="C1895" s="26" t="s">
        <v>37</v>
      </c>
      <c r="D1895" s="14"/>
      <c r="E1895" s="15"/>
      <c r="F1895" s="16">
        <f t="shared" si="105"/>
        <v>0</v>
      </c>
      <c r="G1895">
        <f t="shared" si="106"/>
        <v>0</v>
      </c>
    </row>
    <row r="1896" spans="1:7" ht="15.75" hidden="1" thickBot="1" x14ac:dyDescent="0.3">
      <c r="A1896" s="78" t="s">
        <v>4470</v>
      </c>
      <c r="B1896" s="80" t="s">
        <v>4483</v>
      </c>
      <c r="C1896" s="26"/>
      <c r="D1896" s="14"/>
      <c r="E1896" s="15"/>
      <c r="F1896" s="16"/>
      <c r="G1896">
        <f t="shared" si="106"/>
        <v>0</v>
      </c>
    </row>
    <row r="1897" spans="1:7" ht="15.75" hidden="1" thickBot="1" x14ac:dyDescent="0.3">
      <c r="A1897" s="85" t="s">
        <v>4471</v>
      </c>
      <c r="B1897" s="81" t="s">
        <v>4485</v>
      </c>
      <c r="C1897" s="26" t="s">
        <v>37</v>
      </c>
      <c r="D1897" s="14"/>
      <c r="E1897" s="15"/>
      <c r="F1897" s="16">
        <f t="shared" ref="F1897:F1908" si="107">+D1897*E1897</f>
        <v>0</v>
      </c>
      <c r="G1897">
        <f t="shared" si="106"/>
        <v>0</v>
      </c>
    </row>
    <row r="1898" spans="1:7" ht="15.75" hidden="1" thickBot="1" x14ac:dyDescent="0.3">
      <c r="A1898" s="85" t="s">
        <v>4472</v>
      </c>
      <c r="B1898" s="81" t="s">
        <v>4486</v>
      </c>
      <c r="C1898" s="26" t="s">
        <v>37</v>
      </c>
      <c r="D1898" s="14"/>
      <c r="E1898" s="15"/>
      <c r="F1898" s="16">
        <f t="shared" si="107"/>
        <v>0</v>
      </c>
      <c r="G1898">
        <f t="shared" si="106"/>
        <v>0</v>
      </c>
    </row>
    <row r="1899" spans="1:7" ht="15.75" hidden="1" thickBot="1" x14ac:dyDescent="0.3">
      <c r="A1899" s="85" t="s">
        <v>4473</v>
      </c>
      <c r="B1899" s="81" t="s">
        <v>4487</v>
      </c>
      <c r="C1899" s="26" t="s">
        <v>37</v>
      </c>
      <c r="D1899" s="14"/>
      <c r="E1899" s="15"/>
      <c r="F1899" s="16">
        <f t="shared" si="107"/>
        <v>0</v>
      </c>
      <c r="G1899">
        <f t="shared" si="106"/>
        <v>0</v>
      </c>
    </row>
    <row r="1900" spans="1:7" ht="15.75" hidden="1" thickBot="1" x14ac:dyDescent="0.3">
      <c r="A1900" s="85" t="s">
        <v>4474</v>
      </c>
      <c r="B1900" s="81" t="s">
        <v>4488</v>
      </c>
      <c r="C1900" s="26" t="s">
        <v>37</v>
      </c>
      <c r="D1900" s="14"/>
      <c r="E1900" s="15"/>
      <c r="F1900" s="16">
        <f t="shared" si="107"/>
        <v>0</v>
      </c>
      <c r="G1900">
        <f t="shared" si="106"/>
        <v>0</v>
      </c>
    </row>
    <row r="1901" spans="1:7" ht="15.75" hidden="1" thickBot="1" x14ac:dyDescent="0.3">
      <c r="A1901" s="85" t="s">
        <v>4475</v>
      </c>
      <c r="B1901" s="81" t="s">
        <v>4489</v>
      </c>
      <c r="C1901" s="26" t="s">
        <v>37</v>
      </c>
      <c r="D1901" s="14"/>
      <c r="E1901" s="15"/>
      <c r="F1901" s="16">
        <f t="shared" si="107"/>
        <v>0</v>
      </c>
      <c r="G1901">
        <f t="shared" si="106"/>
        <v>0</v>
      </c>
    </row>
    <row r="1902" spans="1:7" ht="15.75" hidden="1" thickBot="1" x14ac:dyDescent="0.3">
      <c r="A1902" s="85" t="s">
        <v>4476</v>
      </c>
      <c r="B1902" s="81" t="s">
        <v>4490</v>
      </c>
      <c r="C1902" s="26" t="s">
        <v>37</v>
      </c>
      <c r="D1902" s="14"/>
      <c r="E1902" s="15"/>
      <c r="F1902" s="16">
        <f t="shared" si="107"/>
        <v>0</v>
      </c>
      <c r="G1902">
        <f t="shared" si="106"/>
        <v>0</v>
      </c>
    </row>
    <row r="1903" spans="1:7" ht="15.75" hidden="1" thickBot="1" x14ac:dyDescent="0.3">
      <c r="A1903" s="85" t="s">
        <v>4477</v>
      </c>
      <c r="B1903" s="81" t="s">
        <v>4491</v>
      </c>
      <c r="C1903" s="26" t="s">
        <v>37</v>
      </c>
      <c r="D1903" s="14"/>
      <c r="E1903" s="15"/>
      <c r="F1903" s="16">
        <f t="shared" si="107"/>
        <v>0</v>
      </c>
      <c r="G1903">
        <f t="shared" si="106"/>
        <v>0</v>
      </c>
    </row>
    <row r="1904" spans="1:7" ht="15.75" hidden="1" thickBot="1" x14ac:dyDescent="0.3">
      <c r="A1904" s="85" t="s">
        <v>4478</v>
      </c>
      <c r="B1904" s="81" t="s">
        <v>4492</v>
      </c>
      <c r="C1904" s="26" t="s">
        <v>37</v>
      </c>
      <c r="D1904" s="14"/>
      <c r="E1904" s="15"/>
      <c r="F1904" s="16">
        <f t="shared" si="107"/>
        <v>0</v>
      </c>
      <c r="G1904">
        <f t="shared" si="106"/>
        <v>0</v>
      </c>
    </row>
    <row r="1905" spans="1:7" ht="15.75" hidden="1" thickBot="1" x14ac:dyDescent="0.3">
      <c r="A1905" s="85" t="s">
        <v>4479</v>
      </c>
      <c r="B1905" s="81" t="s">
        <v>4493</v>
      </c>
      <c r="C1905" s="26" t="s">
        <v>37</v>
      </c>
      <c r="D1905" s="14"/>
      <c r="E1905" s="15"/>
      <c r="F1905" s="16">
        <f t="shared" si="107"/>
        <v>0</v>
      </c>
      <c r="G1905">
        <f t="shared" si="106"/>
        <v>0</v>
      </c>
    </row>
    <row r="1906" spans="1:7" ht="15.75" hidden="1" thickBot="1" x14ac:dyDescent="0.3">
      <c r="A1906" s="85" t="s">
        <v>4480</v>
      </c>
      <c r="B1906" s="81" t="s">
        <v>4494</v>
      </c>
      <c r="C1906" s="26" t="s">
        <v>37</v>
      </c>
      <c r="D1906" s="14"/>
      <c r="E1906" s="15"/>
      <c r="F1906" s="16">
        <f t="shared" si="107"/>
        <v>0</v>
      </c>
      <c r="G1906">
        <f t="shared" si="106"/>
        <v>0</v>
      </c>
    </row>
    <row r="1907" spans="1:7" ht="15.75" hidden="1" thickBot="1" x14ac:dyDescent="0.3">
      <c r="A1907" s="85" t="s">
        <v>4481</v>
      </c>
      <c r="B1907" s="81" t="s">
        <v>4495</v>
      </c>
      <c r="C1907" s="26" t="s">
        <v>37</v>
      </c>
      <c r="D1907" s="14"/>
      <c r="E1907" s="15"/>
      <c r="F1907" s="16">
        <f t="shared" si="107"/>
        <v>0</v>
      </c>
      <c r="G1907">
        <f t="shared" si="106"/>
        <v>0</v>
      </c>
    </row>
    <row r="1908" spans="1:7" ht="15.75" hidden="1" thickBot="1" x14ac:dyDescent="0.3">
      <c r="A1908" s="85" t="s">
        <v>4482</v>
      </c>
      <c r="B1908" s="122" t="s">
        <v>4484</v>
      </c>
      <c r="C1908" s="26" t="s">
        <v>37</v>
      </c>
      <c r="D1908" s="14"/>
      <c r="E1908" s="15"/>
      <c r="F1908" s="16">
        <f t="shared" si="107"/>
        <v>0</v>
      </c>
      <c r="G1908">
        <f t="shared" si="106"/>
        <v>0</v>
      </c>
    </row>
    <row r="1909" spans="1:7" ht="15.75" hidden="1" thickBot="1" x14ac:dyDescent="0.3">
      <c r="A1909" s="78" t="s">
        <v>4496</v>
      </c>
      <c r="B1909" s="80" t="s">
        <v>4511</v>
      </c>
      <c r="C1909" s="26"/>
      <c r="D1909" s="14"/>
      <c r="E1909" s="15"/>
      <c r="F1909" s="16"/>
      <c r="G1909">
        <f t="shared" si="106"/>
        <v>0</v>
      </c>
    </row>
    <row r="1910" spans="1:7" ht="15.75" hidden="1" thickBot="1" x14ac:dyDescent="0.3">
      <c r="A1910" s="85" t="s">
        <v>4498</v>
      </c>
      <c r="B1910" s="81" t="s">
        <v>4512</v>
      </c>
      <c r="C1910" s="26" t="s">
        <v>37</v>
      </c>
      <c r="D1910" s="14"/>
      <c r="E1910" s="15"/>
      <c r="F1910" s="16">
        <f t="shared" ref="F1910:F1921" si="108">+D1910*E1910</f>
        <v>0</v>
      </c>
      <c r="G1910">
        <f t="shared" si="106"/>
        <v>0</v>
      </c>
    </row>
    <row r="1911" spans="1:7" ht="15.75" hidden="1" thickBot="1" x14ac:dyDescent="0.3">
      <c r="A1911" s="85" t="s">
        <v>4499</v>
      </c>
      <c r="B1911" s="81" t="s">
        <v>4513</v>
      </c>
      <c r="C1911" s="26" t="s">
        <v>37</v>
      </c>
      <c r="D1911" s="14"/>
      <c r="E1911" s="15"/>
      <c r="F1911" s="16">
        <f t="shared" si="108"/>
        <v>0</v>
      </c>
      <c r="G1911">
        <f t="shared" si="106"/>
        <v>0</v>
      </c>
    </row>
    <row r="1912" spans="1:7" ht="15.75" hidden="1" thickBot="1" x14ac:dyDescent="0.3">
      <c r="A1912" s="85" t="s">
        <v>4500</v>
      </c>
      <c r="B1912" s="81" t="s">
        <v>4514</v>
      </c>
      <c r="C1912" s="26" t="s">
        <v>37</v>
      </c>
      <c r="D1912" s="14"/>
      <c r="E1912" s="15"/>
      <c r="F1912" s="16">
        <f t="shared" si="108"/>
        <v>0</v>
      </c>
      <c r="G1912">
        <f t="shared" si="106"/>
        <v>0</v>
      </c>
    </row>
    <row r="1913" spans="1:7" ht="15.75" hidden="1" thickBot="1" x14ac:dyDescent="0.3">
      <c r="A1913" s="85" t="s">
        <v>4501</v>
      </c>
      <c r="B1913" s="81" t="s">
        <v>4515</v>
      </c>
      <c r="C1913" s="26" t="s">
        <v>37</v>
      </c>
      <c r="D1913" s="14"/>
      <c r="E1913" s="15"/>
      <c r="F1913" s="16">
        <f t="shared" si="108"/>
        <v>0</v>
      </c>
      <c r="G1913">
        <f t="shared" si="106"/>
        <v>0</v>
      </c>
    </row>
    <row r="1914" spans="1:7" ht="15.75" hidden="1" thickBot="1" x14ac:dyDescent="0.3">
      <c r="A1914" s="85" t="s">
        <v>4502</v>
      </c>
      <c r="B1914" s="81" t="s">
        <v>4516</v>
      </c>
      <c r="C1914" s="26" t="s">
        <v>37</v>
      </c>
      <c r="D1914" s="14"/>
      <c r="E1914" s="15"/>
      <c r="F1914" s="16">
        <f t="shared" si="108"/>
        <v>0</v>
      </c>
      <c r="G1914">
        <f t="shared" si="106"/>
        <v>0</v>
      </c>
    </row>
    <row r="1915" spans="1:7" ht="15.75" hidden="1" thickBot="1" x14ac:dyDescent="0.3">
      <c r="A1915" s="85" t="s">
        <v>4503</v>
      </c>
      <c r="B1915" s="81" t="s">
        <v>4517</v>
      </c>
      <c r="C1915" s="26" t="s">
        <v>37</v>
      </c>
      <c r="D1915" s="14"/>
      <c r="E1915" s="15"/>
      <c r="F1915" s="16">
        <f t="shared" si="108"/>
        <v>0</v>
      </c>
      <c r="G1915">
        <f t="shared" si="106"/>
        <v>0</v>
      </c>
    </row>
    <row r="1916" spans="1:7" ht="15.75" hidden="1" thickBot="1" x14ac:dyDescent="0.3">
      <c r="A1916" s="85" t="s">
        <v>4504</v>
      </c>
      <c r="B1916" s="81" t="s">
        <v>4518</v>
      </c>
      <c r="C1916" s="26" t="s">
        <v>37</v>
      </c>
      <c r="D1916" s="14"/>
      <c r="E1916" s="15"/>
      <c r="F1916" s="16">
        <f t="shared" si="108"/>
        <v>0</v>
      </c>
      <c r="G1916">
        <f t="shared" si="106"/>
        <v>0</v>
      </c>
    </row>
    <row r="1917" spans="1:7" ht="15.75" hidden="1" thickBot="1" x14ac:dyDescent="0.3">
      <c r="A1917" s="85" t="s">
        <v>4505</v>
      </c>
      <c r="B1917" s="81" t="s">
        <v>4519</v>
      </c>
      <c r="C1917" s="26" t="s">
        <v>37</v>
      </c>
      <c r="D1917" s="14"/>
      <c r="E1917" s="15"/>
      <c r="F1917" s="16">
        <f t="shared" si="108"/>
        <v>0</v>
      </c>
      <c r="G1917">
        <f t="shared" si="106"/>
        <v>0</v>
      </c>
    </row>
    <row r="1918" spans="1:7" ht="15.75" hidden="1" thickBot="1" x14ac:dyDescent="0.3">
      <c r="A1918" s="85" t="s">
        <v>4506</v>
      </c>
      <c r="B1918" s="81" t="s">
        <v>4520</v>
      </c>
      <c r="C1918" s="26" t="s">
        <v>37</v>
      </c>
      <c r="D1918" s="14"/>
      <c r="E1918" s="15"/>
      <c r="F1918" s="16">
        <f t="shared" si="108"/>
        <v>0</v>
      </c>
      <c r="G1918">
        <f t="shared" si="106"/>
        <v>0</v>
      </c>
    </row>
    <row r="1919" spans="1:7" ht="15.75" hidden="1" thickBot="1" x14ac:dyDescent="0.3">
      <c r="A1919" s="85" t="s">
        <v>4507</v>
      </c>
      <c r="B1919" s="81" t="s">
        <v>4521</v>
      </c>
      <c r="C1919" s="26" t="s">
        <v>37</v>
      </c>
      <c r="D1919" s="14"/>
      <c r="E1919" s="15"/>
      <c r="F1919" s="16">
        <f t="shared" si="108"/>
        <v>0</v>
      </c>
      <c r="G1919">
        <f t="shared" si="106"/>
        <v>0</v>
      </c>
    </row>
    <row r="1920" spans="1:7" ht="15.75" hidden="1" thickBot="1" x14ac:dyDescent="0.3">
      <c r="A1920" s="85" t="s">
        <v>4508</v>
      </c>
      <c r="B1920" s="81" t="s">
        <v>4522</v>
      </c>
      <c r="C1920" s="26" t="s">
        <v>37</v>
      </c>
      <c r="D1920" s="14"/>
      <c r="E1920" s="15"/>
      <c r="F1920" s="16">
        <f t="shared" si="108"/>
        <v>0</v>
      </c>
      <c r="G1920">
        <f t="shared" si="106"/>
        <v>0</v>
      </c>
    </row>
    <row r="1921" spans="1:7" ht="15.75" hidden="1" thickBot="1" x14ac:dyDescent="0.3">
      <c r="A1921" s="85" t="s">
        <v>4509</v>
      </c>
      <c r="B1921" s="123" t="s">
        <v>4523</v>
      </c>
      <c r="C1921" s="26" t="s">
        <v>37</v>
      </c>
      <c r="D1921" s="14"/>
      <c r="E1921" s="15"/>
      <c r="F1921" s="16">
        <f t="shared" si="108"/>
        <v>0</v>
      </c>
      <c r="G1921">
        <f t="shared" si="106"/>
        <v>0</v>
      </c>
    </row>
    <row r="1922" spans="1:7" ht="15.75" hidden="1" thickBot="1" x14ac:dyDescent="0.3">
      <c r="A1922" s="78" t="s">
        <v>4510</v>
      </c>
      <c r="B1922" s="80" t="s">
        <v>4535</v>
      </c>
      <c r="C1922" s="26"/>
      <c r="D1922" s="14"/>
      <c r="E1922" s="15"/>
      <c r="F1922" s="16"/>
      <c r="G1922">
        <f t="shared" si="106"/>
        <v>0</v>
      </c>
    </row>
    <row r="1923" spans="1:7" ht="15.75" hidden="1" thickBot="1" x14ac:dyDescent="0.3">
      <c r="A1923" s="85" t="s">
        <v>4536</v>
      </c>
      <c r="B1923" s="81" t="s">
        <v>4524</v>
      </c>
      <c r="C1923" s="26" t="s">
        <v>37</v>
      </c>
      <c r="D1923" s="14"/>
      <c r="E1923" s="15"/>
      <c r="F1923" s="16">
        <f t="shared" ref="F1923:F1933" si="109">+D1923*E1923</f>
        <v>0</v>
      </c>
      <c r="G1923">
        <f t="shared" si="106"/>
        <v>0</v>
      </c>
    </row>
    <row r="1924" spans="1:7" ht="15.75" hidden="1" thickBot="1" x14ac:dyDescent="0.3">
      <c r="A1924" s="85" t="s">
        <v>4537</v>
      </c>
      <c r="B1924" s="81" t="s">
        <v>4525</v>
      </c>
      <c r="C1924" s="26" t="s">
        <v>37</v>
      </c>
      <c r="D1924" s="14"/>
      <c r="E1924" s="15"/>
      <c r="F1924" s="16">
        <f t="shared" si="109"/>
        <v>0</v>
      </c>
      <c r="G1924">
        <f t="shared" si="106"/>
        <v>0</v>
      </c>
    </row>
    <row r="1925" spans="1:7" ht="15.75" hidden="1" thickBot="1" x14ac:dyDescent="0.3">
      <c r="A1925" s="85" t="s">
        <v>4538</v>
      </c>
      <c r="B1925" s="81" t="s">
        <v>4526</v>
      </c>
      <c r="C1925" s="26" t="s">
        <v>37</v>
      </c>
      <c r="D1925" s="14"/>
      <c r="E1925" s="15"/>
      <c r="F1925" s="16">
        <f t="shared" si="109"/>
        <v>0</v>
      </c>
      <c r="G1925">
        <f t="shared" si="106"/>
        <v>0</v>
      </c>
    </row>
    <row r="1926" spans="1:7" ht="15.75" hidden="1" thickBot="1" x14ac:dyDescent="0.3">
      <c r="A1926" s="85" t="s">
        <v>4539</v>
      </c>
      <c r="B1926" s="81" t="s">
        <v>4527</v>
      </c>
      <c r="C1926" s="26" t="s">
        <v>37</v>
      </c>
      <c r="D1926" s="14"/>
      <c r="E1926" s="15"/>
      <c r="F1926" s="16">
        <f t="shared" si="109"/>
        <v>0</v>
      </c>
      <c r="G1926">
        <f t="shared" si="106"/>
        <v>0</v>
      </c>
    </row>
    <row r="1927" spans="1:7" ht="15.75" hidden="1" thickBot="1" x14ac:dyDescent="0.3">
      <c r="A1927" s="85" t="s">
        <v>4540</v>
      </c>
      <c r="B1927" s="81" t="s">
        <v>4528</v>
      </c>
      <c r="C1927" s="26" t="s">
        <v>37</v>
      </c>
      <c r="D1927" s="14"/>
      <c r="E1927" s="15"/>
      <c r="F1927" s="16">
        <f t="shared" si="109"/>
        <v>0</v>
      </c>
      <c r="G1927">
        <f t="shared" si="106"/>
        <v>0</v>
      </c>
    </row>
    <row r="1928" spans="1:7" ht="15.75" hidden="1" thickBot="1" x14ac:dyDescent="0.3">
      <c r="A1928" s="85" t="s">
        <v>4541</v>
      </c>
      <c r="B1928" s="81" t="s">
        <v>4529</v>
      </c>
      <c r="C1928" s="26" t="s">
        <v>37</v>
      </c>
      <c r="D1928" s="14"/>
      <c r="E1928" s="15"/>
      <c r="F1928" s="16">
        <f t="shared" si="109"/>
        <v>0</v>
      </c>
      <c r="G1928">
        <f t="shared" si="106"/>
        <v>0</v>
      </c>
    </row>
    <row r="1929" spans="1:7" ht="15.75" hidden="1" thickBot="1" x14ac:dyDescent="0.3">
      <c r="A1929" s="85" t="s">
        <v>4542</v>
      </c>
      <c r="B1929" s="81" t="s">
        <v>4530</v>
      </c>
      <c r="C1929" s="26" t="s">
        <v>37</v>
      </c>
      <c r="D1929" s="14"/>
      <c r="E1929" s="15"/>
      <c r="F1929" s="16">
        <f t="shared" si="109"/>
        <v>0</v>
      </c>
      <c r="G1929">
        <f t="shared" si="106"/>
        <v>0</v>
      </c>
    </row>
    <row r="1930" spans="1:7" ht="15.75" hidden="1" thickBot="1" x14ac:dyDescent="0.3">
      <c r="A1930" s="85" t="s">
        <v>4543</v>
      </c>
      <c r="B1930" s="81" t="s">
        <v>4531</v>
      </c>
      <c r="C1930" s="26" t="s">
        <v>37</v>
      </c>
      <c r="D1930" s="14"/>
      <c r="E1930" s="15"/>
      <c r="F1930" s="16">
        <f t="shared" si="109"/>
        <v>0</v>
      </c>
      <c r="G1930">
        <f t="shared" si="106"/>
        <v>0</v>
      </c>
    </row>
    <row r="1931" spans="1:7" ht="15.75" hidden="1" thickBot="1" x14ac:dyDescent="0.3">
      <c r="A1931" s="85" t="s">
        <v>4544</v>
      </c>
      <c r="B1931" s="81" t="s">
        <v>4532</v>
      </c>
      <c r="C1931" s="26" t="s">
        <v>37</v>
      </c>
      <c r="D1931" s="14"/>
      <c r="E1931" s="15"/>
      <c r="F1931" s="16">
        <f t="shared" si="109"/>
        <v>0</v>
      </c>
      <c r="G1931">
        <f t="shared" si="106"/>
        <v>0</v>
      </c>
    </row>
    <row r="1932" spans="1:7" ht="15.75" hidden="1" thickBot="1" x14ac:dyDescent="0.3">
      <c r="A1932" s="85" t="s">
        <v>4545</v>
      </c>
      <c r="B1932" s="81" t="s">
        <v>4533</v>
      </c>
      <c r="C1932" s="26" t="s">
        <v>37</v>
      </c>
      <c r="D1932" s="14"/>
      <c r="E1932" s="15"/>
      <c r="F1932" s="16">
        <f t="shared" si="109"/>
        <v>0</v>
      </c>
      <c r="G1932">
        <f t="shared" si="106"/>
        <v>0</v>
      </c>
    </row>
    <row r="1933" spans="1:7" ht="15.75" hidden="1" thickBot="1" x14ac:dyDescent="0.3">
      <c r="A1933" s="85" t="s">
        <v>4546</v>
      </c>
      <c r="B1933" s="81" t="s">
        <v>4534</v>
      </c>
      <c r="C1933" s="26" t="s">
        <v>37</v>
      </c>
      <c r="D1933" s="14"/>
      <c r="E1933" s="15"/>
      <c r="F1933" s="16">
        <f t="shared" si="109"/>
        <v>0</v>
      </c>
      <c r="G1933">
        <f t="shared" si="106"/>
        <v>0</v>
      </c>
    </row>
    <row r="1934" spans="1:7" ht="15.75" hidden="1" thickBot="1" x14ac:dyDescent="0.3">
      <c r="A1934" s="78" t="s">
        <v>4547</v>
      </c>
      <c r="B1934" s="80" t="s">
        <v>4548</v>
      </c>
      <c r="C1934" s="26"/>
      <c r="D1934" s="14"/>
      <c r="E1934" s="15"/>
      <c r="F1934" s="16"/>
      <c r="G1934">
        <f t="shared" si="106"/>
        <v>0</v>
      </c>
    </row>
    <row r="1935" spans="1:7" ht="15.75" hidden="1" thickBot="1" x14ac:dyDescent="0.3">
      <c r="A1935" s="78" t="s">
        <v>4549</v>
      </c>
      <c r="B1935" s="80" t="s">
        <v>4550</v>
      </c>
      <c r="C1935" s="26"/>
      <c r="D1935" s="14"/>
      <c r="E1935" s="15"/>
      <c r="F1935" s="16"/>
      <c r="G1935">
        <f t="shared" si="106"/>
        <v>0</v>
      </c>
    </row>
    <row r="1936" spans="1:7" ht="15.75" hidden="1" thickBot="1" x14ac:dyDescent="0.3">
      <c r="A1936" s="85" t="s">
        <v>4563</v>
      </c>
      <c r="B1936" s="81" t="s">
        <v>4551</v>
      </c>
      <c r="C1936" s="26" t="s">
        <v>37</v>
      </c>
      <c r="D1936" s="14"/>
      <c r="E1936" s="15"/>
      <c r="F1936" s="16">
        <f t="shared" ref="F1936:F1947" si="110">+D1936*E1936</f>
        <v>0</v>
      </c>
      <c r="G1936">
        <f t="shared" si="106"/>
        <v>0</v>
      </c>
    </row>
    <row r="1937" spans="1:7" ht="15.75" hidden="1" thickBot="1" x14ac:dyDescent="0.3">
      <c r="A1937" s="85" t="s">
        <v>4564</v>
      </c>
      <c r="B1937" s="81" t="s">
        <v>4552</v>
      </c>
      <c r="C1937" s="26" t="s">
        <v>37</v>
      </c>
      <c r="D1937" s="14"/>
      <c r="E1937" s="15"/>
      <c r="F1937" s="16">
        <f t="shared" si="110"/>
        <v>0</v>
      </c>
      <c r="G1937">
        <f t="shared" si="106"/>
        <v>0</v>
      </c>
    </row>
    <row r="1938" spans="1:7" ht="15.75" hidden="1" thickBot="1" x14ac:dyDescent="0.3">
      <c r="A1938" s="85" t="s">
        <v>4565</v>
      </c>
      <c r="B1938" s="81" t="s">
        <v>4553</v>
      </c>
      <c r="C1938" s="26" t="s">
        <v>37</v>
      </c>
      <c r="D1938" s="14"/>
      <c r="E1938" s="15"/>
      <c r="F1938" s="16">
        <f t="shared" si="110"/>
        <v>0</v>
      </c>
      <c r="G1938">
        <f t="shared" si="106"/>
        <v>0</v>
      </c>
    </row>
    <row r="1939" spans="1:7" ht="15.75" hidden="1" thickBot="1" x14ac:dyDescent="0.3">
      <c r="A1939" s="85" t="s">
        <v>4566</v>
      </c>
      <c r="B1939" s="81" t="s">
        <v>4554</v>
      </c>
      <c r="C1939" s="26" t="s">
        <v>37</v>
      </c>
      <c r="D1939" s="14"/>
      <c r="E1939" s="15"/>
      <c r="F1939" s="16">
        <f t="shared" si="110"/>
        <v>0</v>
      </c>
      <c r="G1939">
        <f t="shared" si="106"/>
        <v>0</v>
      </c>
    </row>
    <row r="1940" spans="1:7" ht="15.75" hidden="1" thickBot="1" x14ac:dyDescent="0.3">
      <c r="A1940" s="85" t="s">
        <v>4567</v>
      </c>
      <c r="B1940" s="81" t="s">
        <v>4555</v>
      </c>
      <c r="C1940" s="26" t="s">
        <v>37</v>
      </c>
      <c r="D1940" s="14"/>
      <c r="E1940" s="15"/>
      <c r="F1940" s="16">
        <f t="shared" si="110"/>
        <v>0</v>
      </c>
      <c r="G1940">
        <f t="shared" si="106"/>
        <v>0</v>
      </c>
    </row>
    <row r="1941" spans="1:7" ht="15.75" hidden="1" thickBot="1" x14ac:dyDescent="0.3">
      <c r="A1941" s="85" t="s">
        <v>4568</v>
      </c>
      <c r="B1941" s="81" t="s">
        <v>4556</v>
      </c>
      <c r="C1941" s="26" t="s">
        <v>37</v>
      </c>
      <c r="D1941" s="14"/>
      <c r="E1941" s="15"/>
      <c r="F1941" s="16">
        <f t="shared" si="110"/>
        <v>0</v>
      </c>
      <c r="G1941">
        <f t="shared" si="106"/>
        <v>0</v>
      </c>
    </row>
    <row r="1942" spans="1:7" ht="15.75" hidden="1" thickBot="1" x14ac:dyDescent="0.3">
      <c r="A1942" s="85" t="s">
        <v>4569</v>
      </c>
      <c r="B1942" s="81" t="s">
        <v>4557</v>
      </c>
      <c r="C1942" s="26" t="s">
        <v>37</v>
      </c>
      <c r="D1942" s="14"/>
      <c r="E1942" s="15"/>
      <c r="F1942" s="16">
        <f t="shared" si="110"/>
        <v>0</v>
      </c>
      <c r="G1942">
        <f t="shared" si="106"/>
        <v>0</v>
      </c>
    </row>
    <row r="1943" spans="1:7" ht="15.75" hidden="1" thickBot="1" x14ac:dyDescent="0.3">
      <c r="A1943" s="85" t="s">
        <v>4570</v>
      </c>
      <c r="B1943" s="81" t="s">
        <v>4558</v>
      </c>
      <c r="C1943" s="26" t="s">
        <v>37</v>
      </c>
      <c r="D1943" s="14"/>
      <c r="E1943" s="15">
        <f>+SUM!H1942</f>
        <v>277639</v>
      </c>
      <c r="F1943" s="16">
        <f t="shared" si="110"/>
        <v>0</v>
      </c>
      <c r="G1943">
        <f t="shared" si="106"/>
        <v>0</v>
      </c>
    </row>
    <row r="1944" spans="1:7" ht="15.75" hidden="1" thickBot="1" x14ac:dyDescent="0.3">
      <c r="A1944" s="85" t="s">
        <v>4571</v>
      </c>
      <c r="B1944" s="81" t="s">
        <v>4559</v>
      </c>
      <c r="C1944" s="26" t="s">
        <v>37</v>
      </c>
      <c r="D1944" s="14"/>
      <c r="E1944" s="15">
        <f>+SUM!H1943</f>
        <v>287260</v>
      </c>
      <c r="F1944" s="16">
        <f t="shared" si="110"/>
        <v>0</v>
      </c>
      <c r="G1944">
        <f t="shared" si="106"/>
        <v>0</v>
      </c>
    </row>
    <row r="1945" spans="1:7" ht="15.75" hidden="1" thickBot="1" x14ac:dyDescent="0.3">
      <c r="A1945" s="85" t="s">
        <v>4572</v>
      </c>
      <c r="B1945" s="81" t="s">
        <v>4560</v>
      </c>
      <c r="C1945" s="26" t="s">
        <v>37</v>
      </c>
      <c r="D1945" s="14"/>
      <c r="E1945" s="15">
        <f>+SUM!H1944</f>
        <v>481058</v>
      </c>
      <c r="F1945" s="16">
        <f t="shared" si="110"/>
        <v>0</v>
      </c>
      <c r="G1945">
        <f t="shared" si="106"/>
        <v>0</v>
      </c>
    </row>
    <row r="1946" spans="1:7" ht="15.75" hidden="1" thickBot="1" x14ac:dyDescent="0.3">
      <c r="A1946" s="85" t="s">
        <v>4573</v>
      </c>
      <c r="B1946" s="81" t="s">
        <v>4562</v>
      </c>
      <c r="C1946" s="26" t="s">
        <v>37</v>
      </c>
      <c r="D1946" s="14"/>
      <c r="E1946" s="15">
        <f>+SUM!H1945</f>
        <v>492053</v>
      </c>
      <c r="F1946" s="16">
        <f t="shared" si="110"/>
        <v>0</v>
      </c>
      <c r="G1946">
        <f t="shared" si="106"/>
        <v>0</v>
      </c>
    </row>
    <row r="1947" spans="1:7" ht="15.75" hidden="1" thickBot="1" x14ac:dyDescent="0.3">
      <c r="A1947" s="85" t="s">
        <v>4574</v>
      </c>
      <c r="B1947" s="81" t="s">
        <v>4561</v>
      </c>
      <c r="C1947" s="26" t="s">
        <v>37</v>
      </c>
      <c r="D1947" s="14"/>
      <c r="E1947" s="15">
        <f>+SUM!H1946</f>
        <v>547031</v>
      </c>
      <c r="F1947" s="16">
        <f t="shared" si="110"/>
        <v>0</v>
      </c>
      <c r="G1947">
        <f t="shared" si="106"/>
        <v>0</v>
      </c>
    </row>
    <row r="1948" spans="1:7" ht="15.75" hidden="1" thickBot="1" x14ac:dyDescent="0.3">
      <c r="A1948" s="78" t="s">
        <v>4575</v>
      </c>
      <c r="B1948" s="80" t="s">
        <v>4576</v>
      </c>
      <c r="C1948" s="26"/>
      <c r="D1948" s="14"/>
      <c r="E1948" s="15">
        <f>+SUM!H1949</f>
        <v>0</v>
      </c>
      <c r="F1948" s="16"/>
      <c r="G1948">
        <f t="shared" si="106"/>
        <v>0</v>
      </c>
    </row>
    <row r="1949" spans="1:7" ht="15.75" hidden="1" thickBot="1" x14ac:dyDescent="0.3">
      <c r="A1949" s="85" t="s">
        <v>4590</v>
      </c>
      <c r="B1949" s="81" t="s">
        <v>4577</v>
      </c>
      <c r="C1949" s="26" t="s">
        <v>37</v>
      </c>
      <c r="D1949" s="14"/>
      <c r="E1949" s="15">
        <f>+SUM!H1950</f>
        <v>82467</v>
      </c>
      <c r="F1949" s="16">
        <f t="shared" ref="F1949:F1960" si="111">+D1949*E1949</f>
        <v>0</v>
      </c>
      <c r="G1949">
        <f t="shared" si="106"/>
        <v>0</v>
      </c>
    </row>
    <row r="1950" spans="1:7" ht="15.75" hidden="1" thickBot="1" x14ac:dyDescent="0.3">
      <c r="A1950" s="85" t="s">
        <v>4591</v>
      </c>
      <c r="B1950" s="81" t="s">
        <v>4578</v>
      </c>
      <c r="C1950" s="26" t="s">
        <v>37</v>
      </c>
      <c r="D1950" s="14"/>
      <c r="E1950" s="15">
        <f>+SUM!H1951</f>
        <v>100335</v>
      </c>
      <c r="F1950" s="16">
        <f t="shared" si="111"/>
        <v>0</v>
      </c>
      <c r="G1950">
        <f t="shared" si="106"/>
        <v>0</v>
      </c>
    </row>
    <row r="1951" spans="1:7" ht="15.75" hidden="1" thickBot="1" x14ac:dyDescent="0.3">
      <c r="A1951" s="85" t="s">
        <v>4592</v>
      </c>
      <c r="B1951" s="81" t="s">
        <v>4579</v>
      </c>
      <c r="C1951" s="26" t="s">
        <v>37</v>
      </c>
      <c r="D1951" s="14"/>
      <c r="E1951" s="15">
        <f>+SUM!H1952</f>
        <v>118203</v>
      </c>
      <c r="F1951" s="16">
        <f t="shared" si="111"/>
        <v>0</v>
      </c>
      <c r="G1951">
        <f t="shared" si="106"/>
        <v>0</v>
      </c>
    </row>
    <row r="1952" spans="1:7" ht="15.75" hidden="1" thickBot="1" x14ac:dyDescent="0.3">
      <c r="A1952" s="85" t="s">
        <v>4593</v>
      </c>
      <c r="B1952" s="81" t="s">
        <v>4580</v>
      </c>
      <c r="C1952" s="26" t="s">
        <v>37</v>
      </c>
      <c r="D1952" s="14"/>
      <c r="E1952" s="15">
        <f>+SUM!H1953</f>
        <v>163560</v>
      </c>
      <c r="F1952" s="16">
        <f t="shared" si="111"/>
        <v>0</v>
      </c>
      <c r="G1952">
        <f t="shared" si="106"/>
        <v>0</v>
      </c>
    </row>
    <row r="1953" spans="1:7" ht="15.75" hidden="1" thickBot="1" x14ac:dyDescent="0.3">
      <c r="A1953" s="85" t="s">
        <v>4594</v>
      </c>
      <c r="B1953" s="81" t="s">
        <v>4581</v>
      </c>
      <c r="C1953" s="26" t="s">
        <v>37</v>
      </c>
      <c r="D1953" s="14"/>
      <c r="E1953" s="15">
        <f>+SUM!H1954</f>
        <v>218538</v>
      </c>
      <c r="F1953" s="16">
        <f t="shared" si="111"/>
        <v>0</v>
      </c>
      <c r="G1953">
        <f t="shared" si="106"/>
        <v>0</v>
      </c>
    </row>
    <row r="1954" spans="1:7" ht="15.75" hidden="1" thickBot="1" x14ac:dyDescent="0.3">
      <c r="A1954" s="85" t="s">
        <v>4595</v>
      </c>
      <c r="B1954" s="81" t="s">
        <v>4582</v>
      </c>
      <c r="C1954" s="26" t="s">
        <v>37</v>
      </c>
      <c r="D1954" s="14"/>
      <c r="E1954" s="15">
        <f>+SUM!H1955</f>
        <v>258397</v>
      </c>
      <c r="F1954" s="16">
        <f t="shared" si="111"/>
        <v>0</v>
      </c>
      <c r="G1954">
        <f t="shared" si="106"/>
        <v>0</v>
      </c>
    </row>
    <row r="1955" spans="1:7" ht="15.75" hidden="1" thickBot="1" x14ac:dyDescent="0.3">
      <c r="A1955" s="85" t="s">
        <v>4596</v>
      </c>
      <c r="B1955" s="81" t="s">
        <v>4583</v>
      </c>
      <c r="C1955" s="26" t="s">
        <v>37</v>
      </c>
      <c r="D1955" s="14"/>
      <c r="E1955" s="15">
        <f>+SUM!H1956</f>
        <v>269392</v>
      </c>
      <c r="F1955" s="16">
        <f t="shared" si="111"/>
        <v>0</v>
      </c>
      <c r="G1955">
        <f t="shared" si="106"/>
        <v>0</v>
      </c>
    </row>
    <row r="1956" spans="1:7" ht="15.75" hidden="1" thickBot="1" x14ac:dyDescent="0.3">
      <c r="A1956" s="85" t="s">
        <v>4597</v>
      </c>
      <c r="B1956" s="81" t="s">
        <v>4584</v>
      </c>
      <c r="C1956" s="26" t="s">
        <v>37</v>
      </c>
      <c r="D1956" s="14"/>
      <c r="E1956" s="15">
        <f>+SUM!H1957</f>
        <v>481058</v>
      </c>
      <c r="F1956" s="16">
        <f t="shared" si="111"/>
        <v>0</v>
      </c>
      <c r="G1956">
        <f t="shared" ref="G1956:G2019" si="112">+IF(F1956&lt;&gt;0,1,0)</f>
        <v>0</v>
      </c>
    </row>
    <row r="1957" spans="1:7" ht="15.75" hidden="1" thickBot="1" x14ac:dyDescent="0.3">
      <c r="A1957" s="85" t="s">
        <v>4598</v>
      </c>
      <c r="B1957" s="81" t="s">
        <v>4585</v>
      </c>
      <c r="C1957" s="26" t="s">
        <v>37</v>
      </c>
      <c r="D1957" s="14"/>
      <c r="E1957" s="15">
        <f>+SUM!H1958</f>
        <v>558027</v>
      </c>
      <c r="F1957" s="16">
        <f t="shared" si="111"/>
        <v>0</v>
      </c>
      <c r="G1957">
        <f t="shared" si="112"/>
        <v>0</v>
      </c>
    </row>
    <row r="1958" spans="1:7" ht="15.75" hidden="1" thickBot="1" x14ac:dyDescent="0.3">
      <c r="A1958" s="85" t="s">
        <v>4599</v>
      </c>
      <c r="B1958" s="81" t="s">
        <v>4586</v>
      </c>
      <c r="C1958" s="26" t="s">
        <v>37</v>
      </c>
      <c r="D1958" s="14"/>
      <c r="E1958" s="15">
        <f>+SUM!H1959</f>
        <v>678978</v>
      </c>
      <c r="F1958" s="16">
        <f t="shared" si="111"/>
        <v>0</v>
      </c>
      <c r="G1958">
        <f t="shared" si="112"/>
        <v>0</v>
      </c>
    </row>
    <row r="1959" spans="1:7" ht="15.75" hidden="1" thickBot="1" x14ac:dyDescent="0.3">
      <c r="A1959" s="85" t="s">
        <v>4600</v>
      </c>
      <c r="B1959" s="81" t="s">
        <v>4587</v>
      </c>
      <c r="C1959" s="26" t="s">
        <v>37</v>
      </c>
      <c r="D1959" s="14"/>
      <c r="E1959" s="15">
        <f>+SUM!H1960</f>
        <v>700970</v>
      </c>
      <c r="F1959" s="16">
        <f t="shared" si="111"/>
        <v>0</v>
      </c>
      <c r="G1959">
        <f t="shared" si="112"/>
        <v>0</v>
      </c>
    </row>
    <row r="1960" spans="1:7" ht="15.75" hidden="1" thickBot="1" x14ac:dyDescent="0.3">
      <c r="A1960" s="85" t="s">
        <v>4601</v>
      </c>
      <c r="B1960" s="81" t="s">
        <v>4588</v>
      </c>
      <c r="C1960" s="26" t="s">
        <v>37</v>
      </c>
      <c r="D1960" s="14"/>
      <c r="E1960" s="15">
        <f>+SUM!H1961</f>
        <v>743577</v>
      </c>
      <c r="F1960" s="16">
        <f t="shared" si="111"/>
        <v>0</v>
      </c>
      <c r="G1960">
        <f t="shared" si="112"/>
        <v>0</v>
      </c>
    </row>
    <row r="1961" spans="1:7" ht="15.75" hidden="1" thickBot="1" x14ac:dyDescent="0.3">
      <c r="A1961" s="78" t="s">
        <v>4589</v>
      </c>
      <c r="B1961" s="80" t="s">
        <v>993</v>
      </c>
      <c r="C1961" s="14"/>
      <c r="D1961" s="14"/>
      <c r="E1961" s="15">
        <f>+SUM!H1964</f>
        <v>0</v>
      </c>
      <c r="F1961" s="16"/>
      <c r="G1961">
        <f t="shared" si="112"/>
        <v>0</v>
      </c>
    </row>
    <row r="1962" spans="1:7" ht="15.75" hidden="1" thickBot="1" x14ac:dyDescent="0.3">
      <c r="A1962" s="78" t="s">
        <v>4603</v>
      </c>
      <c r="B1962" s="80" t="s">
        <v>4602</v>
      </c>
      <c r="C1962" s="14"/>
      <c r="D1962" s="14"/>
      <c r="E1962" s="15">
        <f>+SUM!H1965</f>
        <v>0</v>
      </c>
      <c r="F1962" s="16"/>
      <c r="G1962">
        <f t="shared" si="112"/>
        <v>0</v>
      </c>
    </row>
    <row r="1963" spans="1:7" ht="15.75" hidden="1" thickBot="1" x14ac:dyDescent="0.3">
      <c r="A1963" s="85" t="s">
        <v>4604</v>
      </c>
      <c r="B1963" s="81" t="s">
        <v>4605</v>
      </c>
      <c r="C1963" s="26" t="s">
        <v>37</v>
      </c>
      <c r="D1963" s="14"/>
      <c r="E1963" s="15">
        <f>+SUM!H1966</f>
        <v>63225</v>
      </c>
      <c r="F1963" s="16">
        <f t="shared" ref="F1963:F1974" si="113">+D1963*E1963</f>
        <v>0</v>
      </c>
      <c r="G1963">
        <f t="shared" si="112"/>
        <v>0</v>
      </c>
    </row>
    <row r="1964" spans="1:7" ht="15.75" hidden="1" thickBot="1" x14ac:dyDescent="0.3">
      <c r="A1964" s="85" t="s">
        <v>4616</v>
      </c>
      <c r="B1964" s="81" t="s">
        <v>4606</v>
      </c>
      <c r="C1964" s="26" t="s">
        <v>37</v>
      </c>
      <c r="D1964" s="14"/>
      <c r="E1964" s="15">
        <f>+SUM!H1967</f>
        <v>109956</v>
      </c>
      <c r="F1964" s="16">
        <f t="shared" si="113"/>
        <v>0</v>
      </c>
      <c r="G1964">
        <f t="shared" si="112"/>
        <v>0</v>
      </c>
    </row>
    <row r="1965" spans="1:7" ht="15.75" hidden="1" thickBot="1" x14ac:dyDescent="0.3">
      <c r="A1965" s="85" t="s">
        <v>4617</v>
      </c>
      <c r="B1965" s="81" t="s">
        <v>4606</v>
      </c>
      <c r="C1965" s="26" t="s">
        <v>37</v>
      </c>
      <c r="D1965" s="14"/>
      <c r="E1965" s="15">
        <f>+SUM!H1968</f>
        <v>142943</v>
      </c>
      <c r="F1965" s="16">
        <f t="shared" si="113"/>
        <v>0</v>
      </c>
      <c r="G1965">
        <f t="shared" si="112"/>
        <v>0</v>
      </c>
    </row>
    <row r="1966" spans="1:7" ht="15.75" hidden="1" thickBot="1" x14ac:dyDescent="0.3">
      <c r="A1966" s="85" t="s">
        <v>4618</v>
      </c>
      <c r="B1966" s="81" t="s">
        <v>4607</v>
      </c>
      <c r="C1966" s="26" t="s">
        <v>37</v>
      </c>
      <c r="D1966" s="14"/>
      <c r="E1966" s="15"/>
      <c r="F1966" s="16">
        <f t="shared" si="113"/>
        <v>0</v>
      </c>
      <c r="G1966">
        <f t="shared" si="112"/>
        <v>0</v>
      </c>
    </row>
    <row r="1967" spans="1:7" ht="15.75" hidden="1" thickBot="1" x14ac:dyDescent="0.3">
      <c r="A1967" s="85" t="s">
        <v>4619</v>
      </c>
      <c r="B1967" s="81" t="s">
        <v>4608</v>
      </c>
      <c r="C1967" s="26" t="s">
        <v>37</v>
      </c>
      <c r="D1967" s="14"/>
      <c r="E1967" s="15"/>
      <c r="F1967" s="16">
        <f t="shared" si="113"/>
        <v>0</v>
      </c>
      <c r="G1967">
        <f t="shared" si="112"/>
        <v>0</v>
      </c>
    </row>
    <row r="1968" spans="1:7" ht="15.75" hidden="1" thickBot="1" x14ac:dyDescent="0.3">
      <c r="A1968" s="85" t="s">
        <v>4620</v>
      </c>
      <c r="B1968" s="81" t="s">
        <v>4609</v>
      </c>
      <c r="C1968" s="26" t="s">
        <v>37</v>
      </c>
      <c r="D1968" s="14"/>
      <c r="E1968" s="15"/>
      <c r="F1968" s="16">
        <f t="shared" si="113"/>
        <v>0</v>
      </c>
      <c r="G1968">
        <f t="shared" si="112"/>
        <v>0</v>
      </c>
    </row>
    <row r="1969" spans="1:7" ht="15.75" hidden="1" thickBot="1" x14ac:dyDescent="0.3">
      <c r="A1969" s="85" t="s">
        <v>4621</v>
      </c>
      <c r="B1969" s="81" t="s">
        <v>4610</v>
      </c>
      <c r="C1969" s="26" t="s">
        <v>37</v>
      </c>
      <c r="D1969" s="14"/>
      <c r="E1969" s="15"/>
      <c r="F1969" s="16">
        <f t="shared" si="113"/>
        <v>0</v>
      </c>
      <c r="G1969">
        <f t="shared" si="112"/>
        <v>0</v>
      </c>
    </row>
    <row r="1970" spans="1:7" ht="15.75" hidden="1" thickBot="1" x14ac:dyDescent="0.3">
      <c r="A1970" s="85" t="s">
        <v>4622</v>
      </c>
      <c r="B1970" s="81" t="s">
        <v>4611</v>
      </c>
      <c r="C1970" s="26" t="s">
        <v>37</v>
      </c>
      <c r="D1970" s="14"/>
      <c r="E1970" s="15"/>
      <c r="F1970" s="16">
        <f t="shared" si="113"/>
        <v>0</v>
      </c>
      <c r="G1970">
        <f t="shared" si="112"/>
        <v>0</v>
      </c>
    </row>
    <row r="1971" spans="1:7" ht="15.75" hidden="1" thickBot="1" x14ac:dyDescent="0.3">
      <c r="A1971" s="85" t="s">
        <v>4623</v>
      </c>
      <c r="B1971" s="81" t="s">
        <v>4612</v>
      </c>
      <c r="C1971" s="26" t="s">
        <v>37</v>
      </c>
      <c r="D1971" s="14"/>
      <c r="E1971" s="15"/>
      <c r="F1971" s="16">
        <f t="shared" si="113"/>
        <v>0</v>
      </c>
      <c r="G1971">
        <f t="shared" si="112"/>
        <v>0</v>
      </c>
    </row>
    <row r="1972" spans="1:7" ht="15.75" hidden="1" thickBot="1" x14ac:dyDescent="0.3">
      <c r="A1972" s="85" t="s">
        <v>4624</v>
      </c>
      <c r="B1972" s="81" t="s">
        <v>4613</v>
      </c>
      <c r="C1972" s="26" t="s">
        <v>37</v>
      </c>
      <c r="D1972" s="14"/>
      <c r="E1972" s="15"/>
      <c r="F1972" s="16">
        <f t="shared" si="113"/>
        <v>0</v>
      </c>
      <c r="G1972">
        <f t="shared" si="112"/>
        <v>0</v>
      </c>
    </row>
    <row r="1973" spans="1:7" ht="15.75" hidden="1" thickBot="1" x14ac:dyDescent="0.3">
      <c r="A1973" s="85" t="s">
        <v>4625</v>
      </c>
      <c r="B1973" s="81" t="s">
        <v>4614</v>
      </c>
      <c r="C1973" s="26" t="s">
        <v>37</v>
      </c>
      <c r="D1973" s="14"/>
      <c r="E1973" s="15"/>
      <c r="F1973" s="16">
        <f t="shared" si="113"/>
        <v>0</v>
      </c>
      <c r="G1973">
        <f t="shared" si="112"/>
        <v>0</v>
      </c>
    </row>
    <row r="1974" spans="1:7" ht="15.75" hidden="1" thickBot="1" x14ac:dyDescent="0.3">
      <c r="A1974" s="85" t="s">
        <v>4626</v>
      </c>
      <c r="B1974" s="81" t="s">
        <v>4615</v>
      </c>
      <c r="C1974" s="26" t="s">
        <v>37</v>
      </c>
      <c r="D1974" s="14"/>
      <c r="E1974" s="15"/>
      <c r="F1974" s="16">
        <f t="shared" si="113"/>
        <v>0</v>
      </c>
      <c r="G1974">
        <f t="shared" si="112"/>
        <v>0</v>
      </c>
    </row>
    <row r="1975" spans="1:7" ht="15.75" hidden="1" thickBot="1" x14ac:dyDescent="0.3">
      <c r="A1975" s="78" t="s">
        <v>4627</v>
      </c>
      <c r="B1975" s="80" t="s">
        <v>4628</v>
      </c>
      <c r="C1975" s="14"/>
      <c r="D1975" s="14"/>
      <c r="E1975" s="15"/>
      <c r="F1975" s="16"/>
      <c r="G1975">
        <f t="shared" si="112"/>
        <v>0</v>
      </c>
    </row>
    <row r="1976" spans="1:7" ht="15.75" hidden="1" thickBot="1" x14ac:dyDescent="0.3">
      <c r="A1976" s="85" t="s">
        <v>4640</v>
      </c>
      <c r="B1976" s="81" t="s">
        <v>4629</v>
      </c>
      <c r="C1976" s="26" t="s">
        <v>37</v>
      </c>
      <c r="D1976" s="14"/>
      <c r="E1976" s="15"/>
      <c r="F1976" s="16">
        <f t="shared" ref="F1976:F1987" si="114">+D1976*E1976</f>
        <v>0</v>
      </c>
      <c r="G1976">
        <f t="shared" si="112"/>
        <v>0</v>
      </c>
    </row>
    <row r="1977" spans="1:7" ht="15.75" hidden="1" thickBot="1" x14ac:dyDescent="0.3">
      <c r="A1977" s="85" t="s">
        <v>4641</v>
      </c>
      <c r="B1977" s="81" t="s">
        <v>4630</v>
      </c>
      <c r="C1977" s="26" t="s">
        <v>37</v>
      </c>
      <c r="D1977" s="14"/>
      <c r="E1977" s="15"/>
      <c r="F1977" s="16">
        <f t="shared" si="114"/>
        <v>0</v>
      </c>
      <c r="G1977">
        <f t="shared" si="112"/>
        <v>0</v>
      </c>
    </row>
    <row r="1978" spans="1:7" ht="15.75" hidden="1" thickBot="1" x14ac:dyDescent="0.3">
      <c r="A1978" s="85" t="s">
        <v>4642</v>
      </c>
      <c r="B1978" s="81" t="s">
        <v>4630</v>
      </c>
      <c r="C1978" s="26" t="s">
        <v>37</v>
      </c>
      <c r="D1978" s="14"/>
      <c r="E1978" s="15"/>
      <c r="F1978" s="16">
        <f t="shared" si="114"/>
        <v>0</v>
      </c>
      <c r="G1978">
        <f t="shared" si="112"/>
        <v>0</v>
      </c>
    </row>
    <row r="1979" spans="1:7" ht="15.75" hidden="1" thickBot="1" x14ac:dyDescent="0.3">
      <c r="A1979" s="85" t="s">
        <v>4643</v>
      </c>
      <c r="B1979" s="81" t="s">
        <v>4631</v>
      </c>
      <c r="C1979" s="26" t="s">
        <v>37</v>
      </c>
      <c r="D1979" s="14"/>
      <c r="E1979" s="15"/>
      <c r="F1979" s="16">
        <f t="shared" si="114"/>
        <v>0</v>
      </c>
      <c r="G1979">
        <f t="shared" si="112"/>
        <v>0</v>
      </c>
    </row>
    <row r="1980" spans="1:7" ht="15.75" hidden="1" thickBot="1" x14ac:dyDescent="0.3">
      <c r="A1980" s="85" t="s">
        <v>4644</v>
      </c>
      <c r="B1980" s="81" t="s">
        <v>4632</v>
      </c>
      <c r="C1980" s="26" t="s">
        <v>37</v>
      </c>
      <c r="D1980" s="14"/>
      <c r="E1980" s="15"/>
      <c r="F1980" s="16">
        <f t="shared" si="114"/>
        <v>0</v>
      </c>
      <c r="G1980">
        <f t="shared" si="112"/>
        <v>0</v>
      </c>
    </row>
    <row r="1981" spans="1:7" ht="15.75" hidden="1" thickBot="1" x14ac:dyDescent="0.3">
      <c r="A1981" s="85" t="s">
        <v>4645</v>
      </c>
      <c r="B1981" s="81" t="s">
        <v>4633</v>
      </c>
      <c r="C1981" s="26" t="s">
        <v>37</v>
      </c>
      <c r="D1981" s="14"/>
      <c r="E1981" s="15"/>
      <c r="F1981" s="16">
        <f t="shared" si="114"/>
        <v>0</v>
      </c>
      <c r="G1981">
        <f t="shared" si="112"/>
        <v>0</v>
      </c>
    </row>
    <row r="1982" spans="1:7" ht="15.75" hidden="1" thickBot="1" x14ac:dyDescent="0.3">
      <c r="A1982" s="85" t="s">
        <v>4646</v>
      </c>
      <c r="B1982" s="81" t="s">
        <v>4634</v>
      </c>
      <c r="C1982" s="26" t="s">
        <v>37</v>
      </c>
      <c r="D1982" s="14"/>
      <c r="E1982" s="15"/>
      <c r="F1982" s="16">
        <f t="shared" si="114"/>
        <v>0</v>
      </c>
      <c r="G1982">
        <f t="shared" si="112"/>
        <v>0</v>
      </c>
    </row>
    <row r="1983" spans="1:7" ht="15.75" hidden="1" thickBot="1" x14ac:dyDescent="0.3">
      <c r="A1983" s="85" t="s">
        <v>4647</v>
      </c>
      <c r="B1983" s="81" t="s">
        <v>4635</v>
      </c>
      <c r="C1983" s="26" t="s">
        <v>37</v>
      </c>
      <c r="D1983" s="14"/>
      <c r="E1983" s="15"/>
      <c r="F1983" s="16">
        <f t="shared" si="114"/>
        <v>0</v>
      </c>
      <c r="G1983">
        <f t="shared" si="112"/>
        <v>0</v>
      </c>
    </row>
    <row r="1984" spans="1:7" ht="15.75" hidden="1" thickBot="1" x14ac:dyDescent="0.3">
      <c r="A1984" s="85" t="s">
        <v>4648</v>
      </c>
      <c r="B1984" s="81" t="s">
        <v>4636</v>
      </c>
      <c r="C1984" s="26" t="s">
        <v>37</v>
      </c>
      <c r="D1984" s="14"/>
      <c r="E1984" s="15"/>
      <c r="F1984" s="16">
        <f t="shared" si="114"/>
        <v>0</v>
      </c>
      <c r="G1984">
        <f t="shared" si="112"/>
        <v>0</v>
      </c>
    </row>
    <row r="1985" spans="1:7" ht="15.75" hidden="1" thickBot="1" x14ac:dyDescent="0.3">
      <c r="A1985" s="85" t="s">
        <v>4649</v>
      </c>
      <c r="B1985" s="81" t="s">
        <v>4637</v>
      </c>
      <c r="C1985" s="26" t="s">
        <v>37</v>
      </c>
      <c r="D1985" s="14"/>
      <c r="E1985" s="15"/>
      <c r="F1985" s="16">
        <f t="shared" si="114"/>
        <v>0</v>
      </c>
      <c r="G1985">
        <f t="shared" si="112"/>
        <v>0</v>
      </c>
    </row>
    <row r="1986" spans="1:7" ht="15.75" hidden="1" thickBot="1" x14ac:dyDescent="0.3">
      <c r="A1986" s="85" t="s">
        <v>4650</v>
      </c>
      <c r="B1986" s="81" t="s">
        <v>4638</v>
      </c>
      <c r="C1986" s="26" t="s">
        <v>37</v>
      </c>
      <c r="D1986" s="14"/>
      <c r="E1986" s="15"/>
      <c r="F1986" s="16">
        <f t="shared" si="114"/>
        <v>0</v>
      </c>
      <c r="G1986">
        <f t="shared" si="112"/>
        <v>0</v>
      </c>
    </row>
    <row r="1987" spans="1:7" ht="15.75" hidden="1" thickBot="1" x14ac:dyDescent="0.3">
      <c r="A1987" s="85" t="s">
        <v>4651</v>
      </c>
      <c r="B1987" s="81" t="s">
        <v>4639</v>
      </c>
      <c r="C1987" s="26" t="s">
        <v>37</v>
      </c>
      <c r="D1987" s="14"/>
      <c r="E1987" s="15"/>
      <c r="F1987" s="16">
        <f t="shared" si="114"/>
        <v>0</v>
      </c>
      <c r="G1987">
        <f t="shared" si="112"/>
        <v>0</v>
      </c>
    </row>
    <row r="1988" spans="1:7" ht="15.75" hidden="1" thickBot="1" x14ac:dyDescent="0.3">
      <c r="A1988" s="78" t="s">
        <v>4660</v>
      </c>
      <c r="B1988" s="80" t="s">
        <v>4671</v>
      </c>
      <c r="C1988" s="14"/>
      <c r="D1988" s="14"/>
      <c r="E1988" s="15"/>
      <c r="F1988" s="16"/>
      <c r="G1988">
        <f t="shared" si="112"/>
        <v>0</v>
      </c>
    </row>
    <row r="1989" spans="1:7" ht="15.75" hidden="1" thickBot="1" x14ac:dyDescent="0.3">
      <c r="A1989" s="85" t="s">
        <v>4661</v>
      </c>
      <c r="B1989" s="81" t="s">
        <v>4652</v>
      </c>
      <c r="C1989" s="26" t="s">
        <v>37</v>
      </c>
      <c r="D1989" s="14"/>
      <c r="E1989" s="15"/>
      <c r="F1989" s="16">
        <f t="shared" ref="F1989:F1995" si="115">+D1989*E1989</f>
        <v>0</v>
      </c>
      <c r="G1989">
        <f t="shared" si="112"/>
        <v>0</v>
      </c>
    </row>
    <row r="1990" spans="1:7" ht="15.75" hidden="1" thickBot="1" x14ac:dyDescent="0.3">
      <c r="A1990" s="85" t="s">
        <v>4662</v>
      </c>
      <c r="B1990" s="81" t="s">
        <v>4653</v>
      </c>
      <c r="C1990" s="26" t="s">
        <v>37</v>
      </c>
      <c r="D1990" s="14"/>
      <c r="E1990" s="15"/>
      <c r="F1990" s="16">
        <f t="shared" si="115"/>
        <v>0</v>
      </c>
      <c r="G1990">
        <f t="shared" si="112"/>
        <v>0</v>
      </c>
    </row>
    <row r="1991" spans="1:7" ht="15.75" hidden="1" thickBot="1" x14ac:dyDescent="0.3">
      <c r="A1991" s="85" t="s">
        <v>4663</v>
      </c>
      <c r="B1991" s="81" t="s">
        <v>4654</v>
      </c>
      <c r="C1991" s="26" t="s">
        <v>37</v>
      </c>
      <c r="D1991" s="14"/>
      <c r="E1991" s="15"/>
      <c r="F1991" s="16">
        <f t="shared" si="115"/>
        <v>0</v>
      </c>
      <c r="G1991">
        <f t="shared" si="112"/>
        <v>0</v>
      </c>
    </row>
    <row r="1992" spans="1:7" ht="15.75" hidden="1" thickBot="1" x14ac:dyDescent="0.3">
      <c r="A1992" s="85" t="s">
        <v>4664</v>
      </c>
      <c r="B1992" s="81" t="s">
        <v>4655</v>
      </c>
      <c r="C1992" s="26" t="s">
        <v>37</v>
      </c>
      <c r="D1992" s="14"/>
      <c r="E1992" s="15"/>
      <c r="F1992" s="16">
        <f t="shared" si="115"/>
        <v>0</v>
      </c>
      <c r="G1992">
        <f t="shared" si="112"/>
        <v>0</v>
      </c>
    </row>
    <row r="1993" spans="1:7" ht="15.75" hidden="1" thickBot="1" x14ac:dyDescent="0.3">
      <c r="A1993" s="85" t="s">
        <v>4665</v>
      </c>
      <c r="B1993" s="81" t="s">
        <v>4656</v>
      </c>
      <c r="C1993" s="26" t="s">
        <v>37</v>
      </c>
      <c r="D1993" s="14"/>
      <c r="E1993" s="15"/>
      <c r="F1993" s="16">
        <f t="shared" si="115"/>
        <v>0</v>
      </c>
      <c r="G1993">
        <f t="shared" si="112"/>
        <v>0</v>
      </c>
    </row>
    <row r="1994" spans="1:7" ht="15.75" hidden="1" thickBot="1" x14ac:dyDescent="0.3">
      <c r="A1994" s="85" t="s">
        <v>4666</v>
      </c>
      <c r="B1994" s="81" t="s">
        <v>4657</v>
      </c>
      <c r="C1994" s="26" t="s">
        <v>37</v>
      </c>
      <c r="D1994" s="14"/>
      <c r="E1994" s="15"/>
      <c r="F1994" s="16">
        <f t="shared" si="115"/>
        <v>0</v>
      </c>
      <c r="G1994">
        <f t="shared" si="112"/>
        <v>0</v>
      </c>
    </row>
    <row r="1995" spans="1:7" ht="15.75" hidden="1" thickBot="1" x14ac:dyDescent="0.3">
      <c r="A1995" s="85" t="s">
        <v>4667</v>
      </c>
      <c r="B1995" s="81" t="s">
        <v>4658</v>
      </c>
      <c r="C1995" s="26" t="s">
        <v>37</v>
      </c>
      <c r="D1995" s="14"/>
      <c r="E1995" s="15"/>
      <c r="F1995" s="16">
        <f t="shared" si="115"/>
        <v>0</v>
      </c>
      <c r="G1995">
        <f t="shared" si="112"/>
        <v>0</v>
      </c>
    </row>
    <row r="1996" spans="1:7" ht="15.75" hidden="1" thickBot="1" x14ac:dyDescent="0.3">
      <c r="A1996" s="78" t="s">
        <v>4668</v>
      </c>
      <c r="B1996" s="80" t="s">
        <v>995</v>
      </c>
      <c r="C1996" s="14"/>
      <c r="D1996" s="14"/>
      <c r="E1996" s="15"/>
      <c r="F1996" s="16"/>
      <c r="G1996">
        <f t="shared" si="112"/>
        <v>0</v>
      </c>
    </row>
    <row r="1997" spans="1:7" ht="15.75" hidden="1" thickBot="1" x14ac:dyDescent="0.3">
      <c r="A1997" s="78" t="s">
        <v>4669</v>
      </c>
      <c r="B1997" s="80" t="s">
        <v>4670</v>
      </c>
      <c r="C1997" s="14"/>
      <c r="D1997" s="14"/>
      <c r="E1997" s="15"/>
      <c r="F1997" s="16"/>
      <c r="G1997">
        <f t="shared" si="112"/>
        <v>0</v>
      </c>
    </row>
    <row r="1998" spans="1:7" ht="15.75" hidden="1" thickBot="1" x14ac:dyDescent="0.3">
      <c r="A1998" s="78" t="s">
        <v>4672</v>
      </c>
      <c r="B1998" s="80" t="s">
        <v>4673</v>
      </c>
      <c r="C1998" s="14"/>
      <c r="D1998" s="14"/>
      <c r="E1998" s="15"/>
      <c r="F1998" s="16"/>
      <c r="G1998">
        <f t="shared" si="112"/>
        <v>0</v>
      </c>
    </row>
    <row r="1999" spans="1:7" ht="15.75" hidden="1" thickBot="1" x14ac:dyDescent="0.3">
      <c r="A1999" s="85" t="s">
        <v>4674</v>
      </c>
      <c r="B1999" s="81" t="s">
        <v>4683</v>
      </c>
      <c r="C1999" s="26" t="s">
        <v>37</v>
      </c>
      <c r="D1999" s="14"/>
      <c r="E1999" s="15"/>
      <c r="F1999" s="16">
        <f t="shared" ref="F1999:F2005" si="116">+D1999*E1999</f>
        <v>0</v>
      </c>
      <c r="G1999">
        <f t="shared" si="112"/>
        <v>0</v>
      </c>
    </row>
    <row r="2000" spans="1:7" ht="15.75" hidden="1" thickBot="1" x14ac:dyDescent="0.3">
      <c r="A2000" s="85" t="s">
        <v>4675</v>
      </c>
      <c r="B2000" s="81" t="s">
        <v>4684</v>
      </c>
      <c r="C2000" s="26" t="s">
        <v>37</v>
      </c>
      <c r="D2000" s="14"/>
      <c r="E2000" s="15"/>
      <c r="F2000" s="16">
        <f t="shared" si="116"/>
        <v>0</v>
      </c>
      <c r="G2000">
        <f t="shared" si="112"/>
        <v>0</v>
      </c>
    </row>
    <row r="2001" spans="1:7" ht="15.75" hidden="1" thickBot="1" x14ac:dyDescent="0.3">
      <c r="A2001" s="85" t="s">
        <v>4676</v>
      </c>
      <c r="B2001" s="81" t="s">
        <v>4685</v>
      </c>
      <c r="C2001" s="26" t="s">
        <v>37</v>
      </c>
      <c r="D2001" s="14"/>
      <c r="E2001" s="15"/>
      <c r="F2001" s="16">
        <f t="shared" si="116"/>
        <v>0</v>
      </c>
      <c r="G2001">
        <f t="shared" si="112"/>
        <v>0</v>
      </c>
    </row>
    <row r="2002" spans="1:7" ht="15.75" hidden="1" thickBot="1" x14ac:dyDescent="0.3">
      <c r="A2002" s="85" t="s">
        <v>4677</v>
      </c>
      <c r="B2002" s="81" t="s">
        <v>4686</v>
      </c>
      <c r="C2002" s="26" t="s">
        <v>37</v>
      </c>
      <c r="D2002" s="14"/>
      <c r="E2002" s="15"/>
      <c r="F2002" s="16">
        <f t="shared" si="116"/>
        <v>0</v>
      </c>
      <c r="G2002">
        <f t="shared" si="112"/>
        <v>0</v>
      </c>
    </row>
    <row r="2003" spans="1:7" ht="15.75" hidden="1" thickBot="1" x14ac:dyDescent="0.3">
      <c r="A2003" s="85" t="s">
        <v>4678</v>
      </c>
      <c r="B2003" s="81" t="s">
        <v>4687</v>
      </c>
      <c r="C2003" s="26" t="s">
        <v>37</v>
      </c>
      <c r="D2003" s="14"/>
      <c r="E2003" s="15"/>
      <c r="F2003" s="16">
        <f t="shared" si="116"/>
        <v>0</v>
      </c>
      <c r="G2003">
        <f t="shared" si="112"/>
        <v>0</v>
      </c>
    </row>
    <row r="2004" spans="1:7" ht="15.75" hidden="1" thickBot="1" x14ac:dyDescent="0.3">
      <c r="A2004" s="85" t="s">
        <v>4679</v>
      </c>
      <c r="B2004" s="81" t="s">
        <v>4688</v>
      </c>
      <c r="C2004" s="26" t="s">
        <v>37</v>
      </c>
      <c r="D2004" s="14"/>
      <c r="E2004" s="15"/>
      <c r="F2004" s="16">
        <f t="shared" si="116"/>
        <v>0</v>
      </c>
      <c r="G2004">
        <f t="shared" si="112"/>
        <v>0</v>
      </c>
    </row>
    <row r="2005" spans="1:7" ht="15.75" hidden="1" thickBot="1" x14ac:dyDescent="0.3">
      <c r="A2005" s="85" t="s">
        <v>4680</v>
      </c>
      <c r="B2005" s="81" t="s">
        <v>4689</v>
      </c>
      <c r="C2005" s="26" t="s">
        <v>37</v>
      </c>
      <c r="D2005" s="14"/>
      <c r="E2005" s="15"/>
      <c r="F2005" s="16">
        <f t="shared" si="116"/>
        <v>0</v>
      </c>
      <c r="G2005">
        <f t="shared" si="112"/>
        <v>0</v>
      </c>
    </row>
    <row r="2006" spans="1:7" ht="15.75" hidden="1" thickBot="1" x14ac:dyDescent="0.3">
      <c r="A2006" s="78" t="s">
        <v>4682</v>
      </c>
      <c r="B2006" s="80" t="s">
        <v>4681</v>
      </c>
      <c r="C2006" s="14"/>
      <c r="D2006" s="14"/>
      <c r="E2006" s="15"/>
      <c r="F2006" s="16"/>
      <c r="G2006">
        <f t="shared" si="112"/>
        <v>0</v>
      </c>
    </row>
    <row r="2007" spans="1:7" ht="15.75" hidden="1" thickBot="1" x14ac:dyDescent="0.3">
      <c r="A2007" s="85" t="s">
        <v>4690</v>
      </c>
      <c r="B2007" s="81" t="s">
        <v>4683</v>
      </c>
      <c r="C2007" s="26" t="s">
        <v>37</v>
      </c>
      <c r="D2007" s="14"/>
      <c r="E2007" s="15"/>
      <c r="F2007" s="16">
        <f t="shared" ref="F2007:F2013" si="117">+D2007*E2007</f>
        <v>0</v>
      </c>
      <c r="G2007">
        <f t="shared" si="112"/>
        <v>0</v>
      </c>
    </row>
    <row r="2008" spans="1:7" ht="15.75" hidden="1" thickBot="1" x14ac:dyDescent="0.3">
      <c r="A2008" s="85" t="s">
        <v>4691</v>
      </c>
      <c r="B2008" s="81" t="s">
        <v>4684</v>
      </c>
      <c r="C2008" s="26" t="s">
        <v>37</v>
      </c>
      <c r="D2008" s="14"/>
      <c r="E2008" s="15"/>
      <c r="F2008" s="16">
        <f t="shared" si="117"/>
        <v>0</v>
      </c>
      <c r="G2008">
        <f t="shared" si="112"/>
        <v>0</v>
      </c>
    </row>
    <row r="2009" spans="1:7" ht="15.75" hidden="1" thickBot="1" x14ac:dyDescent="0.3">
      <c r="A2009" s="85" t="s">
        <v>4692</v>
      </c>
      <c r="B2009" s="81" t="s">
        <v>4685</v>
      </c>
      <c r="C2009" s="26" t="s">
        <v>37</v>
      </c>
      <c r="D2009" s="14"/>
      <c r="E2009" s="15"/>
      <c r="F2009" s="16">
        <f t="shared" si="117"/>
        <v>0</v>
      </c>
      <c r="G2009">
        <f t="shared" si="112"/>
        <v>0</v>
      </c>
    </row>
    <row r="2010" spans="1:7" ht="15.75" hidden="1" thickBot="1" x14ac:dyDescent="0.3">
      <c r="A2010" s="85" t="s">
        <v>4693</v>
      </c>
      <c r="B2010" s="81" t="s">
        <v>4686</v>
      </c>
      <c r="C2010" s="26" t="s">
        <v>37</v>
      </c>
      <c r="D2010" s="14"/>
      <c r="E2010" s="15"/>
      <c r="F2010" s="16">
        <f t="shared" si="117"/>
        <v>0</v>
      </c>
      <c r="G2010">
        <f t="shared" si="112"/>
        <v>0</v>
      </c>
    </row>
    <row r="2011" spans="1:7" ht="15.75" hidden="1" thickBot="1" x14ac:dyDescent="0.3">
      <c r="A2011" s="85" t="s">
        <v>4694</v>
      </c>
      <c r="B2011" s="81" t="s">
        <v>4687</v>
      </c>
      <c r="C2011" s="26" t="s">
        <v>37</v>
      </c>
      <c r="D2011" s="14"/>
      <c r="E2011" s="15"/>
      <c r="F2011" s="16">
        <f t="shared" si="117"/>
        <v>0</v>
      </c>
      <c r="G2011">
        <f t="shared" si="112"/>
        <v>0</v>
      </c>
    </row>
    <row r="2012" spans="1:7" ht="15.75" hidden="1" thickBot="1" x14ac:dyDescent="0.3">
      <c r="A2012" s="85" t="s">
        <v>4695</v>
      </c>
      <c r="B2012" s="81" t="s">
        <v>4688</v>
      </c>
      <c r="C2012" s="26" t="s">
        <v>37</v>
      </c>
      <c r="D2012" s="14"/>
      <c r="E2012" s="15"/>
      <c r="F2012" s="16">
        <f t="shared" si="117"/>
        <v>0</v>
      </c>
      <c r="G2012">
        <f t="shared" si="112"/>
        <v>0</v>
      </c>
    </row>
    <row r="2013" spans="1:7" ht="15.75" hidden="1" thickBot="1" x14ac:dyDescent="0.3">
      <c r="A2013" s="85" t="s">
        <v>4696</v>
      </c>
      <c r="B2013" s="81" t="s">
        <v>4689</v>
      </c>
      <c r="C2013" s="26" t="s">
        <v>37</v>
      </c>
      <c r="D2013" s="14"/>
      <c r="E2013" s="15"/>
      <c r="F2013" s="16">
        <f t="shared" si="117"/>
        <v>0</v>
      </c>
      <c r="G2013">
        <f t="shared" si="112"/>
        <v>0</v>
      </c>
    </row>
    <row r="2014" spans="1:7" ht="15.75" hidden="1" thickBot="1" x14ac:dyDescent="0.3">
      <c r="A2014" s="78" t="s">
        <v>4699</v>
      </c>
      <c r="B2014" s="80" t="s">
        <v>4697</v>
      </c>
      <c r="C2014" s="14"/>
      <c r="D2014" s="14"/>
      <c r="E2014" s="15"/>
      <c r="F2014" s="16"/>
      <c r="G2014">
        <f t="shared" si="112"/>
        <v>0</v>
      </c>
    </row>
    <row r="2015" spans="1:7" ht="15.75" hidden="1" thickBot="1" x14ac:dyDescent="0.3">
      <c r="A2015" s="85" t="s">
        <v>4698</v>
      </c>
      <c r="B2015" s="81" t="s">
        <v>4683</v>
      </c>
      <c r="C2015" s="26" t="s">
        <v>37</v>
      </c>
      <c r="D2015" s="14"/>
      <c r="E2015" s="15"/>
      <c r="F2015" s="16">
        <f t="shared" ref="F2015:F2021" si="118">+D2015*E2015</f>
        <v>0</v>
      </c>
      <c r="G2015">
        <f t="shared" si="112"/>
        <v>0</v>
      </c>
    </row>
    <row r="2016" spans="1:7" ht="15.75" hidden="1" thickBot="1" x14ac:dyDescent="0.3">
      <c r="A2016" s="85" t="s">
        <v>4700</v>
      </c>
      <c r="B2016" s="81" t="s">
        <v>4684</v>
      </c>
      <c r="C2016" s="26" t="s">
        <v>37</v>
      </c>
      <c r="D2016" s="14"/>
      <c r="E2016" s="15"/>
      <c r="F2016" s="16">
        <f t="shared" si="118"/>
        <v>0</v>
      </c>
      <c r="G2016">
        <f t="shared" si="112"/>
        <v>0</v>
      </c>
    </row>
    <row r="2017" spans="1:7" ht="15.75" hidden="1" thickBot="1" x14ac:dyDescent="0.3">
      <c r="A2017" s="85" t="s">
        <v>4701</v>
      </c>
      <c r="B2017" s="81" t="s">
        <v>4685</v>
      </c>
      <c r="C2017" s="26" t="s">
        <v>37</v>
      </c>
      <c r="D2017" s="14"/>
      <c r="E2017" s="15"/>
      <c r="F2017" s="16">
        <f t="shared" si="118"/>
        <v>0</v>
      </c>
      <c r="G2017">
        <f t="shared" si="112"/>
        <v>0</v>
      </c>
    </row>
    <row r="2018" spans="1:7" ht="15.75" hidden="1" thickBot="1" x14ac:dyDescent="0.3">
      <c r="A2018" s="85" t="s">
        <v>4702</v>
      </c>
      <c r="B2018" s="81" t="s">
        <v>4686</v>
      </c>
      <c r="C2018" s="26" t="s">
        <v>37</v>
      </c>
      <c r="D2018" s="14"/>
      <c r="E2018" s="15"/>
      <c r="F2018" s="16">
        <f t="shared" si="118"/>
        <v>0</v>
      </c>
      <c r="G2018">
        <f t="shared" si="112"/>
        <v>0</v>
      </c>
    </row>
    <row r="2019" spans="1:7" ht="15.75" hidden="1" thickBot="1" x14ac:dyDescent="0.3">
      <c r="A2019" s="85" t="s">
        <v>4703</v>
      </c>
      <c r="B2019" s="81" t="s">
        <v>4687</v>
      </c>
      <c r="C2019" s="26" t="s">
        <v>37</v>
      </c>
      <c r="D2019" s="14"/>
      <c r="E2019" s="15"/>
      <c r="F2019" s="16">
        <f t="shared" si="118"/>
        <v>0</v>
      </c>
      <c r="G2019">
        <f t="shared" si="112"/>
        <v>0</v>
      </c>
    </row>
    <row r="2020" spans="1:7" ht="15.75" hidden="1" thickBot="1" x14ac:dyDescent="0.3">
      <c r="A2020" s="85" t="s">
        <v>4704</v>
      </c>
      <c r="B2020" s="81" t="s">
        <v>4688</v>
      </c>
      <c r="C2020" s="26" t="s">
        <v>37</v>
      </c>
      <c r="D2020" s="14"/>
      <c r="E2020" s="15"/>
      <c r="F2020" s="16">
        <f t="shared" si="118"/>
        <v>0</v>
      </c>
      <c r="G2020">
        <f t="shared" ref="G2020:G2083" si="119">+IF(F2020&lt;&gt;0,1,0)</f>
        <v>0</v>
      </c>
    </row>
    <row r="2021" spans="1:7" ht="15.75" hidden="1" thickBot="1" x14ac:dyDescent="0.3">
      <c r="A2021" s="85" t="s">
        <v>4705</v>
      </c>
      <c r="B2021" s="81" t="s">
        <v>4689</v>
      </c>
      <c r="C2021" s="26" t="s">
        <v>37</v>
      </c>
      <c r="D2021" s="14"/>
      <c r="E2021" s="15"/>
      <c r="F2021" s="16">
        <f t="shared" si="118"/>
        <v>0</v>
      </c>
      <c r="G2021">
        <f t="shared" si="119"/>
        <v>0</v>
      </c>
    </row>
    <row r="2022" spans="1:7" ht="15.75" hidden="1" thickBot="1" x14ac:dyDescent="0.3">
      <c r="A2022" s="78" t="s">
        <v>4706</v>
      </c>
      <c r="B2022" s="80" t="s">
        <v>4707</v>
      </c>
      <c r="C2022" s="14"/>
      <c r="D2022" s="14"/>
      <c r="E2022" s="15"/>
      <c r="F2022" s="16"/>
      <c r="G2022">
        <f t="shared" si="119"/>
        <v>0</v>
      </c>
    </row>
    <row r="2023" spans="1:7" ht="15.75" hidden="1" thickBot="1" x14ac:dyDescent="0.3">
      <c r="A2023" s="85" t="s">
        <v>4715</v>
      </c>
      <c r="B2023" s="81" t="s">
        <v>4708</v>
      </c>
      <c r="C2023" s="26" t="s">
        <v>37</v>
      </c>
      <c r="D2023" s="14"/>
      <c r="E2023" s="15"/>
      <c r="F2023" s="16">
        <f t="shared" ref="F2023:F2029" si="120">+D2023*E2023</f>
        <v>0</v>
      </c>
      <c r="G2023">
        <f t="shared" si="119"/>
        <v>0</v>
      </c>
    </row>
    <row r="2024" spans="1:7" ht="15.75" hidden="1" thickBot="1" x14ac:dyDescent="0.3">
      <c r="A2024" s="85" t="s">
        <v>4716</v>
      </c>
      <c r="B2024" s="81" t="s">
        <v>4709</v>
      </c>
      <c r="C2024" s="26" t="s">
        <v>37</v>
      </c>
      <c r="D2024" s="14"/>
      <c r="E2024" s="15"/>
      <c r="F2024" s="16">
        <f t="shared" si="120"/>
        <v>0</v>
      </c>
      <c r="G2024">
        <f t="shared" si="119"/>
        <v>0</v>
      </c>
    </row>
    <row r="2025" spans="1:7" ht="15.75" hidden="1" thickBot="1" x14ac:dyDescent="0.3">
      <c r="A2025" s="85" t="s">
        <v>4717</v>
      </c>
      <c r="B2025" s="81" t="s">
        <v>4710</v>
      </c>
      <c r="C2025" s="26" t="s">
        <v>37</v>
      </c>
      <c r="D2025" s="14"/>
      <c r="E2025" s="15"/>
      <c r="F2025" s="16">
        <f t="shared" si="120"/>
        <v>0</v>
      </c>
      <c r="G2025">
        <f t="shared" si="119"/>
        <v>0</v>
      </c>
    </row>
    <row r="2026" spans="1:7" ht="15.75" hidden="1" thickBot="1" x14ac:dyDescent="0.3">
      <c r="A2026" s="85" t="s">
        <v>4718</v>
      </c>
      <c r="B2026" s="81" t="s">
        <v>4711</v>
      </c>
      <c r="C2026" s="26" t="s">
        <v>37</v>
      </c>
      <c r="D2026" s="14"/>
      <c r="E2026" s="15"/>
      <c r="F2026" s="16">
        <f t="shared" si="120"/>
        <v>0</v>
      </c>
      <c r="G2026">
        <f t="shared" si="119"/>
        <v>0</v>
      </c>
    </row>
    <row r="2027" spans="1:7" ht="15.75" hidden="1" thickBot="1" x14ac:dyDescent="0.3">
      <c r="A2027" s="85" t="s">
        <v>4719</v>
      </c>
      <c r="B2027" s="81" t="s">
        <v>4712</v>
      </c>
      <c r="C2027" s="26" t="s">
        <v>37</v>
      </c>
      <c r="D2027" s="14"/>
      <c r="E2027" s="15"/>
      <c r="F2027" s="16">
        <f t="shared" si="120"/>
        <v>0</v>
      </c>
      <c r="G2027">
        <f t="shared" si="119"/>
        <v>0</v>
      </c>
    </row>
    <row r="2028" spans="1:7" ht="15.75" hidden="1" thickBot="1" x14ac:dyDescent="0.3">
      <c r="A2028" s="85" t="s">
        <v>4720</v>
      </c>
      <c r="B2028" s="81" t="s">
        <v>4713</v>
      </c>
      <c r="C2028" s="26" t="s">
        <v>37</v>
      </c>
      <c r="D2028" s="14"/>
      <c r="E2028" s="15"/>
      <c r="F2028" s="16">
        <f t="shared" si="120"/>
        <v>0</v>
      </c>
      <c r="G2028">
        <f t="shared" si="119"/>
        <v>0</v>
      </c>
    </row>
    <row r="2029" spans="1:7" ht="15.75" hidden="1" thickBot="1" x14ac:dyDescent="0.3">
      <c r="A2029" s="85" t="s">
        <v>4721</v>
      </c>
      <c r="B2029" s="81" t="s">
        <v>4714</v>
      </c>
      <c r="C2029" s="26" t="s">
        <v>37</v>
      </c>
      <c r="D2029" s="14"/>
      <c r="E2029" s="15"/>
      <c r="F2029" s="16">
        <f t="shared" si="120"/>
        <v>0</v>
      </c>
      <c r="G2029">
        <f t="shared" si="119"/>
        <v>0</v>
      </c>
    </row>
    <row r="2030" spans="1:7" ht="15.75" hidden="1" thickBot="1" x14ac:dyDescent="0.3">
      <c r="A2030" s="124" t="s">
        <v>4722</v>
      </c>
      <c r="B2030" s="125" t="s">
        <v>4723</v>
      </c>
      <c r="C2030" s="14"/>
      <c r="D2030" s="14"/>
      <c r="E2030" s="15"/>
      <c r="F2030" s="16"/>
      <c r="G2030">
        <f t="shared" si="119"/>
        <v>0</v>
      </c>
    </row>
    <row r="2031" spans="1:7" ht="15.75" hidden="1" thickBot="1" x14ac:dyDescent="0.3">
      <c r="A2031" s="126" t="s">
        <v>4731</v>
      </c>
      <c r="B2031" s="122" t="s">
        <v>4725</v>
      </c>
      <c r="C2031" s="26" t="s">
        <v>37</v>
      </c>
      <c r="D2031" s="14"/>
      <c r="E2031" s="15"/>
      <c r="F2031" s="16">
        <f t="shared" ref="F2031:F2037" si="121">+D2031*E2031</f>
        <v>0</v>
      </c>
      <c r="G2031">
        <f t="shared" si="119"/>
        <v>0</v>
      </c>
    </row>
    <row r="2032" spans="1:7" ht="15.75" hidden="1" thickBot="1" x14ac:dyDescent="0.3">
      <c r="A2032" s="126" t="s">
        <v>4732</v>
      </c>
      <c r="B2032" s="122" t="s">
        <v>4724</v>
      </c>
      <c r="C2032" s="26" t="s">
        <v>37</v>
      </c>
      <c r="D2032" s="14"/>
      <c r="E2032" s="15"/>
      <c r="F2032" s="16">
        <f t="shared" si="121"/>
        <v>0</v>
      </c>
      <c r="G2032">
        <f t="shared" si="119"/>
        <v>0</v>
      </c>
    </row>
    <row r="2033" spans="1:7" ht="15.75" hidden="1" thickBot="1" x14ac:dyDescent="0.3">
      <c r="A2033" s="126" t="s">
        <v>4733</v>
      </c>
      <c r="B2033" s="122" t="s">
        <v>4726</v>
      </c>
      <c r="C2033" s="26" t="s">
        <v>37</v>
      </c>
      <c r="D2033" s="14"/>
      <c r="E2033" s="15"/>
      <c r="F2033" s="16">
        <f t="shared" si="121"/>
        <v>0</v>
      </c>
      <c r="G2033">
        <f t="shared" si="119"/>
        <v>0</v>
      </c>
    </row>
    <row r="2034" spans="1:7" ht="15.75" hidden="1" thickBot="1" x14ac:dyDescent="0.3">
      <c r="A2034" s="126" t="s">
        <v>4734</v>
      </c>
      <c r="B2034" s="122" t="s">
        <v>4727</v>
      </c>
      <c r="C2034" s="26" t="s">
        <v>37</v>
      </c>
      <c r="D2034" s="14"/>
      <c r="E2034" s="15"/>
      <c r="F2034" s="16">
        <f t="shared" si="121"/>
        <v>0</v>
      </c>
      <c r="G2034">
        <f t="shared" si="119"/>
        <v>0</v>
      </c>
    </row>
    <row r="2035" spans="1:7" ht="15.75" hidden="1" thickBot="1" x14ac:dyDescent="0.3">
      <c r="A2035" s="126" t="s">
        <v>4735</v>
      </c>
      <c r="B2035" s="122" t="s">
        <v>4728</v>
      </c>
      <c r="C2035" s="26" t="s">
        <v>37</v>
      </c>
      <c r="D2035" s="14"/>
      <c r="E2035" s="15"/>
      <c r="F2035" s="16">
        <f t="shared" si="121"/>
        <v>0</v>
      </c>
      <c r="G2035">
        <f t="shared" si="119"/>
        <v>0</v>
      </c>
    </row>
    <row r="2036" spans="1:7" ht="15.75" hidden="1" thickBot="1" x14ac:dyDescent="0.3">
      <c r="A2036" s="126" t="s">
        <v>4736</v>
      </c>
      <c r="B2036" s="122" t="s">
        <v>4729</v>
      </c>
      <c r="C2036" s="26" t="s">
        <v>37</v>
      </c>
      <c r="D2036" s="14"/>
      <c r="E2036" s="15"/>
      <c r="F2036" s="16">
        <f t="shared" si="121"/>
        <v>0</v>
      </c>
      <c r="G2036">
        <f t="shared" si="119"/>
        <v>0</v>
      </c>
    </row>
    <row r="2037" spans="1:7" ht="15.75" hidden="1" thickBot="1" x14ac:dyDescent="0.3">
      <c r="A2037" s="126" t="s">
        <v>4737</v>
      </c>
      <c r="B2037" s="122" t="s">
        <v>4730</v>
      </c>
      <c r="C2037" s="26" t="s">
        <v>37</v>
      </c>
      <c r="D2037" s="14"/>
      <c r="E2037" s="15"/>
      <c r="F2037" s="16">
        <f t="shared" si="121"/>
        <v>0</v>
      </c>
      <c r="G2037">
        <f t="shared" si="119"/>
        <v>0</v>
      </c>
    </row>
    <row r="2038" spans="1:7" ht="15.75" hidden="1" thickBot="1" x14ac:dyDescent="0.3">
      <c r="A2038" s="61" t="s">
        <v>997</v>
      </c>
      <c r="B2038" s="62" t="s">
        <v>998</v>
      </c>
      <c r="C2038" s="63"/>
      <c r="D2038" s="63"/>
      <c r="E2038" s="460"/>
      <c r="F2038" s="461"/>
      <c r="G2038">
        <f t="shared" si="119"/>
        <v>0</v>
      </c>
    </row>
    <row r="2039" spans="1:7" ht="15.75" hidden="1" thickBot="1" x14ac:dyDescent="0.3">
      <c r="A2039" s="44" t="s">
        <v>999</v>
      </c>
      <c r="B2039" s="80" t="s">
        <v>4739</v>
      </c>
      <c r="C2039" s="14"/>
      <c r="D2039" s="14"/>
      <c r="E2039" s="15"/>
      <c r="F2039" s="16"/>
      <c r="G2039">
        <f t="shared" si="119"/>
        <v>0</v>
      </c>
    </row>
    <row r="2040" spans="1:7" ht="15.75" hidden="1" thickBot="1" x14ac:dyDescent="0.3">
      <c r="A2040" s="43" t="s">
        <v>1000</v>
      </c>
      <c r="B2040" s="81" t="s">
        <v>4738</v>
      </c>
      <c r="C2040" s="26" t="s">
        <v>37</v>
      </c>
      <c r="D2040" s="14"/>
      <c r="E2040" s="15"/>
      <c r="F2040" s="16">
        <f t="shared" ref="F2040:F2087" si="122">+D2040*E2040</f>
        <v>0</v>
      </c>
      <c r="G2040">
        <f t="shared" si="119"/>
        <v>0</v>
      </c>
    </row>
    <row r="2041" spans="1:7" ht="15.75" hidden="1" thickBot="1" x14ac:dyDescent="0.3">
      <c r="A2041" s="43" t="s">
        <v>4745</v>
      </c>
      <c r="B2041" s="81" t="s">
        <v>4740</v>
      </c>
      <c r="C2041" s="26" t="s">
        <v>37</v>
      </c>
      <c r="D2041" s="14"/>
      <c r="E2041" s="15"/>
      <c r="F2041" s="16">
        <f t="shared" si="122"/>
        <v>0</v>
      </c>
      <c r="G2041">
        <f t="shared" si="119"/>
        <v>0</v>
      </c>
    </row>
    <row r="2042" spans="1:7" ht="15.75" hidden="1" thickBot="1" x14ac:dyDescent="0.3">
      <c r="A2042" s="43" t="s">
        <v>4746</v>
      </c>
      <c r="B2042" s="81" t="s">
        <v>4741</v>
      </c>
      <c r="C2042" s="26" t="s">
        <v>37</v>
      </c>
      <c r="D2042" s="14"/>
      <c r="E2042" s="15"/>
      <c r="F2042" s="16">
        <f t="shared" si="122"/>
        <v>0</v>
      </c>
      <c r="G2042">
        <f t="shared" si="119"/>
        <v>0</v>
      </c>
    </row>
    <row r="2043" spans="1:7" ht="15.75" hidden="1" thickBot="1" x14ac:dyDescent="0.3">
      <c r="A2043" s="43" t="s">
        <v>4747</v>
      </c>
      <c r="B2043" s="81" t="s">
        <v>4742</v>
      </c>
      <c r="C2043" s="26" t="s">
        <v>37</v>
      </c>
      <c r="D2043" s="14"/>
      <c r="E2043" s="15"/>
      <c r="F2043" s="16">
        <f t="shared" si="122"/>
        <v>0</v>
      </c>
      <c r="G2043">
        <f t="shared" si="119"/>
        <v>0</v>
      </c>
    </row>
    <row r="2044" spans="1:7" ht="15.75" hidden="1" thickBot="1" x14ac:dyDescent="0.3">
      <c r="A2044" s="43" t="s">
        <v>4748</v>
      </c>
      <c r="B2044" s="81" t="s">
        <v>4744</v>
      </c>
      <c r="C2044" s="26" t="s">
        <v>37</v>
      </c>
      <c r="D2044" s="14"/>
      <c r="E2044" s="15"/>
      <c r="F2044" s="16">
        <f t="shared" si="122"/>
        <v>0</v>
      </c>
      <c r="G2044">
        <f t="shared" si="119"/>
        <v>0</v>
      </c>
    </row>
    <row r="2045" spans="1:7" ht="15.75" hidden="1" thickBot="1" x14ac:dyDescent="0.3">
      <c r="A2045" s="43" t="s">
        <v>4749</v>
      </c>
      <c r="B2045" s="81" t="s">
        <v>4743</v>
      </c>
      <c r="C2045" s="26" t="s">
        <v>37</v>
      </c>
      <c r="D2045" s="14"/>
      <c r="E2045" s="15"/>
      <c r="F2045" s="16">
        <f t="shared" si="122"/>
        <v>0</v>
      </c>
      <c r="G2045">
        <f t="shared" si="119"/>
        <v>0</v>
      </c>
    </row>
    <row r="2046" spans="1:7" ht="15.75" hidden="1" thickBot="1" x14ac:dyDescent="0.3">
      <c r="A2046" s="43" t="s">
        <v>1001</v>
      </c>
      <c r="B2046" s="81" t="s">
        <v>4750</v>
      </c>
      <c r="C2046" s="26" t="s">
        <v>37</v>
      </c>
      <c r="D2046" s="14"/>
      <c r="E2046" s="15"/>
      <c r="F2046" s="16">
        <f t="shared" si="122"/>
        <v>0</v>
      </c>
      <c r="G2046">
        <f t="shared" si="119"/>
        <v>0</v>
      </c>
    </row>
    <row r="2047" spans="1:7" ht="15.75" hidden="1" thickBot="1" x14ac:dyDescent="0.3">
      <c r="A2047" s="43" t="s">
        <v>4777</v>
      </c>
      <c r="B2047" s="81" t="s">
        <v>4751</v>
      </c>
      <c r="C2047" s="26" t="s">
        <v>37</v>
      </c>
      <c r="D2047" s="14"/>
      <c r="E2047" s="15"/>
      <c r="F2047" s="16">
        <f t="shared" si="122"/>
        <v>0</v>
      </c>
      <c r="G2047">
        <f t="shared" si="119"/>
        <v>0</v>
      </c>
    </row>
    <row r="2048" spans="1:7" ht="15.75" hidden="1" thickBot="1" x14ac:dyDescent="0.3">
      <c r="A2048" s="43" t="s">
        <v>4778</v>
      </c>
      <c r="B2048" s="81" t="s">
        <v>4752</v>
      </c>
      <c r="C2048" s="26" t="s">
        <v>37</v>
      </c>
      <c r="D2048" s="14"/>
      <c r="E2048" s="15"/>
      <c r="F2048" s="16">
        <f t="shared" si="122"/>
        <v>0</v>
      </c>
      <c r="G2048">
        <f t="shared" si="119"/>
        <v>0</v>
      </c>
    </row>
    <row r="2049" spans="1:7" ht="15.75" hidden="1" thickBot="1" x14ac:dyDescent="0.3">
      <c r="A2049" s="43" t="s">
        <v>4779</v>
      </c>
      <c r="B2049" s="81" t="s">
        <v>4753</v>
      </c>
      <c r="C2049" s="26" t="s">
        <v>37</v>
      </c>
      <c r="D2049" s="14"/>
      <c r="E2049" s="15"/>
      <c r="F2049" s="16">
        <f t="shared" si="122"/>
        <v>0</v>
      </c>
      <c r="G2049">
        <f t="shared" si="119"/>
        <v>0</v>
      </c>
    </row>
    <row r="2050" spans="1:7" ht="15.75" hidden="1" thickBot="1" x14ac:dyDescent="0.3">
      <c r="A2050" s="43" t="s">
        <v>4780</v>
      </c>
      <c r="B2050" s="81" t="s">
        <v>4754</v>
      </c>
      <c r="C2050" s="26" t="s">
        <v>37</v>
      </c>
      <c r="D2050" s="14"/>
      <c r="E2050" s="15"/>
      <c r="F2050" s="16">
        <f t="shared" si="122"/>
        <v>0</v>
      </c>
      <c r="G2050">
        <f t="shared" si="119"/>
        <v>0</v>
      </c>
    </row>
    <row r="2051" spans="1:7" ht="15.75" hidden="1" thickBot="1" x14ac:dyDescent="0.3">
      <c r="A2051" s="43" t="s">
        <v>4781</v>
      </c>
      <c r="B2051" s="81" t="s">
        <v>4755</v>
      </c>
      <c r="C2051" s="26" t="s">
        <v>37</v>
      </c>
      <c r="D2051" s="14"/>
      <c r="E2051" s="15"/>
      <c r="F2051" s="16">
        <f t="shared" si="122"/>
        <v>0</v>
      </c>
      <c r="G2051">
        <f t="shared" si="119"/>
        <v>0</v>
      </c>
    </row>
    <row r="2052" spans="1:7" ht="15.75" hidden="1" thickBot="1" x14ac:dyDescent="0.3">
      <c r="A2052" s="43" t="s">
        <v>1002</v>
      </c>
      <c r="B2052" s="81" t="s">
        <v>4756</v>
      </c>
      <c r="C2052" s="26" t="s">
        <v>37</v>
      </c>
      <c r="D2052" s="14"/>
      <c r="E2052" s="15"/>
      <c r="F2052" s="16">
        <f t="shared" si="122"/>
        <v>0</v>
      </c>
      <c r="G2052">
        <f t="shared" si="119"/>
        <v>0</v>
      </c>
    </row>
    <row r="2053" spans="1:7" ht="15.75" hidden="1" thickBot="1" x14ac:dyDescent="0.3">
      <c r="A2053" s="43" t="s">
        <v>1003</v>
      </c>
      <c r="B2053" s="81" t="s">
        <v>4757</v>
      </c>
      <c r="C2053" s="26" t="s">
        <v>37</v>
      </c>
      <c r="D2053" s="14"/>
      <c r="E2053" s="15"/>
      <c r="F2053" s="16">
        <f t="shared" si="122"/>
        <v>0</v>
      </c>
      <c r="G2053">
        <f t="shared" si="119"/>
        <v>0</v>
      </c>
    </row>
    <row r="2054" spans="1:7" ht="15.75" hidden="1" thickBot="1" x14ac:dyDescent="0.3">
      <c r="A2054" s="43" t="s">
        <v>4782</v>
      </c>
      <c r="B2054" s="81" t="s">
        <v>4758</v>
      </c>
      <c r="C2054" s="26" t="s">
        <v>37</v>
      </c>
      <c r="D2054" s="14"/>
      <c r="E2054" s="15"/>
      <c r="F2054" s="16">
        <f t="shared" si="122"/>
        <v>0</v>
      </c>
      <c r="G2054">
        <f t="shared" si="119"/>
        <v>0</v>
      </c>
    </row>
    <row r="2055" spans="1:7" ht="15.75" hidden="1" thickBot="1" x14ac:dyDescent="0.3">
      <c r="A2055" s="43" t="s">
        <v>4783</v>
      </c>
      <c r="B2055" s="81" t="s">
        <v>4759</v>
      </c>
      <c r="C2055" s="26" t="s">
        <v>37</v>
      </c>
      <c r="D2055" s="14"/>
      <c r="E2055" s="15"/>
      <c r="F2055" s="16">
        <f t="shared" si="122"/>
        <v>0</v>
      </c>
      <c r="G2055">
        <f t="shared" si="119"/>
        <v>0</v>
      </c>
    </row>
    <row r="2056" spans="1:7" ht="15.75" hidden="1" thickBot="1" x14ac:dyDescent="0.3">
      <c r="A2056" s="43" t="s">
        <v>4784</v>
      </c>
      <c r="B2056" s="81" t="s">
        <v>4760</v>
      </c>
      <c r="C2056" s="26" t="s">
        <v>37</v>
      </c>
      <c r="D2056" s="14"/>
      <c r="E2056" s="15"/>
      <c r="F2056" s="16">
        <f t="shared" si="122"/>
        <v>0</v>
      </c>
      <c r="G2056">
        <f t="shared" si="119"/>
        <v>0</v>
      </c>
    </row>
    <row r="2057" spans="1:7" ht="15.75" hidden="1" thickBot="1" x14ac:dyDescent="0.3">
      <c r="A2057" s="43" t="s">
        <v>4785</v>
      </c>
      <c r="B2057" s="81" t="s">
        <v>4761</v>
      </c>
      <c r="C2057" s="26" t="s">
        <v>37</v>
      </c>
      <c r="D2057" s="14"/>
      <c r="E2057" s="15"/>
      <c r="F2057" s="16">
        <f t="shared" si="122"/>
        <v>0</v>
      </c>
      <c r="G2057">
        <f t="shared" si="119"/>
        <v>0</v>
      </c>
    </row>
    <row r="2058" spans="1:7" ht="15.75" hidden="1" thickBot="1" x14ac:dyDescent="0.3">
      <c r="A2058" s="43" t="s">
        <v>4786</v>
      </c>
      <c r="B2058" s="81" t="s">
        <v>4762</v>
      </c>
      <c r="C2058" s="26" t="s">
        <v>37</v>
      </c>
      <c r="D2058" s="14"/>
      <c r="E2058" s="15"/>
      <c r="F2058" s="16">
        <f t="shared" si="122"/>
        <v>0</v>
      </c>
      <c r="G2058">
        <f t="shared" si="119"/>
        <v>0</v>
      </c>
    </row>
    <row r="2059" spans="1:7" ht="15.75" hidden="1" thickBot="1" x14ac:dyDescent="0.3">
      <c r="A2059" s="43" t="s">
        <v>4787</v>
      </c>
      <c r="B2059" s="81" t="s">
        <v>4763</v>
      </c>
      <c r="C2059" s="26" t="s">
        <v>37</v>
      </c>
      <c r="D2059" s="14"/>
      <c r="E2059" s="15"/>
      <c r="F2059" s="16">
        <f t="shared" si="122"/>
        <v>0</v>
      </c>
      <c r="G2059">
        <f t="shared" si="119"/>
        <v>0</v>
      </c>
    </row>
    <row r="2060" spans="1:7" ht="15.75" hidden="1" thickBot="1" x14ac:dyDescent="0.3">
      <c r="A2060" s="43" t="s">
        <v>4788</v>
      </c>
      <c r="B2060" s="81" t="s">
        <v>4764</v>
      </c>
      <c r="C2060" s="26" t="s">
        <v>37</v>
      </c>
      <c r="D2060" s="14"/>
      <c r="E2060" s="15"/>
      <c r="F2060" s="16">
        <f t="shared" si="122"/>
        <v>0</v>
      </c>
      <c r="G2060">
        <f t="shared" si="119"/>
        <v>0</v>
      </c>
    </row>
    <row r="2061" spans="1:7" ht="15.75" hidden="1" thickBot="1" x14ac:dyDescent="0.3">
      <c r="A2061" s="43" t="s">
        <v>4789</v>
      </c>
      <c r="B2061" s="81" t="s">
        <v>4765</v>
      </c>
      <c r="C2061" s="26" t="s">
        <v>37</v>
      </c>
      <c r="D2061" s="14"/>
      <c r="E2061" s="15"/>
      <c r="F2061" s="16">
        <f t="shared" si="122"/>
        <v>0</v>
      </c>
      <c r="G2061">
        <f t="shared" si="119"/>
        <v>0</v>
      </c>
    </row>
    <row r="2062" spans="1:7" ht="15.75" hidden="1" thickBot="1" x14ac:dyDescent="0.3">
      <c r="A2062" s="43" t="s">
        <v>4790</v>
      </c>
      <c r="B2062" s="81" t="s">
        <v>4766</v>
      </c>
      <c r="C2062" s="26" t="s">
        <v>37</v>
      </c>
      <c r="D2062" s="14"/>
      <c r="E2062" s="15"/>
      <c r="F2062" s="16">
        <f t="shared" si="122"/>
        <v>0</v>
      </c>
      <c r="G2062">
        <f t="shared" si="119"/>
        <v>0</v>
      </c>
    </row>
    <row r="2063" spans="1:7" ht="15.75" hidden="1" thickBot="1" x14ac:dyDescent="0.3">
      <c r="A2063" s="43" t="s">
        <v>4791</v>
      </c>
      <c r="B2063" s="81" t="s">
        <v>4767</v>
      </c>
      <c r="C2063" s="26" t="s">
        <v>37</v>
      </c>
      <c r="D2063" s="14"/>
      <c r="E2063" s="15"/>
      <c r="F2063" s="16">
        <f t="shared" si="122"/>
        <v>0</v>
      </c>
      <c r="G2063">
        <f t="shared" si="119"/>
        <v>0</v>
      </c>
    </row>
    <row r="2064" spans="1:7" ht="15.75" hidden="1" thickBot="1" x14ac:dyDescent="0.3">
      <c r="A2064" s="43" t="s">
        <v>1004</v>
      </c>
      <c r="B2064" s="81" t="s">
        <v>4768</v>
      </c>
      <c r="C2064" s="26" t="s">
        <v>37</v>
      </c>
      <c r="D2064" s="14"/>
      <c r="E2064" s="15">
        <f>+SUM!H2061</f>
        <v>490321</v>
      </c>
      <c r="F2064" s="16">
        <f t="shared" si="122"/>
        <v>0</v>
      </c>
      <c r="G2064">
        <f t="shared" si="119"/>
        <v>0</v>
      </c>
    </row>
    <row r="2065" spans="1:7" ht="15.75" hidden="1" thickBot="1" x14ac:dyDescent="0.3">
      <c r="A2065" s="43" t="s">
        <v>4792</v>
      </c>
      <c r="B2065" s="81" t="s">
        <v>4769</v>
      </c>
      <c r="C2065" s="26" t="s">
        <v>37</v>
      </c>
      <c r="D2065" s="14"/>
      <c r="E2065" s="15">
        <f>+SUM!H2062</f>
        <v>614395</v>
      </c>
      <c r="F2065" s="16">
        <f t="shared" si="122"/>
        <v>0</v>
      </c>
      <c r="G2065">
        <f t="shared" si="119"/>
        <v>0</v>
      </c>
    </row>
    <row r="2066" spans="1:7" ht="15.75" hidden="1" thickBot="1" x14ac:dyDescent="0.3">
      <c r="A2066" s="43" t="s">
        <v>4793</v>
      </c>
      <c r="B2066" s="81" t="s">
        <v>4770</v>
      </c>
      <c r="C2066" s="26" t="s">
        <v>37</v>
      </c>
      <c r="D2066" s="14"/>
      <c r="E2066" s="15">
        <f>+SUM!H2063</f>
        <v>751192</v>
      </c>
      <c r="F2066" s="16">
        <f t="shared" si="122"/>
        <v>0</v>
      </c>
      <c r="G2066">
        <f t="shared" si="119"/>
        <v>0</v>
      </c>
    </row>
    <row r="2067" spans="1:7" ht="15.75" hidden="1" thickBot="1" x14ac:dyDescent="0.3">
      <c r="A2067" s="43" t="s">
        <v>4794</v>
      </c>
      <c r="B2067" s="81" t="s">
        <v>4771</v>
      </c>
      <c r="C2067" s="26" t="s">
        <v>37</v>
      </c>
      <c r="D2067" s="14"/>
      <c r="E2067" s="15">
        <f>+SUM!H2064</f>
        <v>653761</v>
      </c>
      <c r="F2067" s="16">
        <f t="shared" si="122"/>
        <v>0</v>
      </c>
      <c r="G2067">
        <f t="shared" si="119"/>
        <v>0</v>
      </c>
    </row>
    <row r="2068" spans="1:7" ht="15.75" hidden="1" thickBot="1" x14ac:dyDescent="0.3">
      <c r="A2068" s="43" t="s">
        <v>4795</v>
      </c>
      <c r="B2068" s="81" t="s">
        <v>4772</v>
      </c>
      <c r="C2068" s="26" t="s">
        <v>37</v>
      </c>
      <c r="D2068" s="14"/>
      <c r="E2068" s="15">
        <f>+SUM!H2065</f>
        <v>822755</v>
      </c>
      <c r="F2068" s="16">
        <f t="shared" si="122"/>
        <v>0</v>
      </c>
      <c r="G2068">
        <f t="shared" si="119"/>
        <v>0</v>
      </c>
    </row>
    <row r="2069" spans="1:7" ht="15.75" hidden="1" thickBot="1" x14ac:dyDescent="0.3">
      <c r="A2069" s="43" t="s">
        <v>4796</v>
      </c>
      <c r="B2069" s="81" t="s">
        <v>4774</v>
      </c>
      <c r="C2069" s="26" t="s">
        <v>37</v>
      </c>
      <c r="D2069" s="14"/>
      <c r="E2069" s="15">
        <f>+SUM!H2066</f>
        <v>1008901</v>
      </c>
      <c r="F2069" s="16">
        <f t="shared" si="122"/>
        <v>0</v>
      </c>
      <c r="G2069">
        <f t="shared" si="119"/>
        <v>0</v>
      </c>
    </row>
    <row r="2070" spans="1:7" ht="15.75" hidden="1" thickBot="1" x14ac:dyDescent="0.3">
      <c r="A2070" s="43" t="s">
        <v>1005</v>
      </c>
      <c r="B2070" s="81" t="s">
        <v>4775</v>
      </c>
      <c r="C2070" s="26" t="s">
        <v>37</v>
      </c>
      <c r="D2070" s="14"/>
      <c r="E2070" s="15">
        <f>+SUM!H2067</f>
        <v>875196</v>
      </c>
      <c r="F2070" s="16">
        <f t="shared" si="122"/>
        <v>0</v>
      </c>
      <c r="G2070">
        <f t="shared" si="119"/>
        <v>0</v>
      </c>
    </row>
    <row r="2071" spans="1:7" ht="15.75" hidden="1" thickBot="1" x14ac:dyDescent="0.3">
      <c r="A2071" s="43" t="s">
        <v>4797</v>
      </c>
      <c r="B2071" s="81" t="s">
        <v>4776</v>
      </c>
      <c r="C2071" s="26" t="s">
        <v>37</v>
      </c>
      <c r="D2071" s="14"/>
      <c r="E2071" s="15">
        <f>+SUM!H2068</f>
        <v>1111253</v>
      </c>
      <c r="F2071" s="16">
        <f t="shared" si="122"/>
        <v>0</v>
      </c>
      <c r="G2071">
        <f t="shared" si="119"/>
        <v>0</v>
      </c>
    </row>
    <row r="2072" spans="1:7" ht="15.75" hidden="1" thickBot="1" x14ac:dyDescent="0.3">
      <c r="A2072" s="43" t="s">
        <v>4798</v>
      </c>
      <c r="B2072" s="81" t="s">
        <v>4773</v>
      </c>
      <c r="C2072" s="26" t="s">
        <v>37</v>
      </c>
      <c r="D2072" s="14"/>
      <c r="E2072" s="15">
        <f>+SUM!H2069</f>
        <v>1370789</v>
      </c>
      <c r="F2072" s="16">
        <f t="shared" si="122"/>
        <v>0</v>
      </c>
      <c r="G2072">
        <f t="shared" si="119"/>
        <v>0</v>
      </c>
    </row>
    <row r="2073" spans="1:7" ht="15.75" hidden="1" thickBot="1" x14ac:dyDescent="0.3">
      <c r="A2073" s="43" t="s">
        <v>4814</v>
      </c>
      <c r="B2073" s="81" t="s">
        <v>4799</v>
      </c>
      <c r="C2073" s="26" t="s">
        <v>37</v>
      </c>
      <c r="D2073" s="14"/>
      <c r="E2073" s="15">
        <f>+SUM!H2070</f>
        <v>1064998</v>
      </c>
      <c r="F2073" s="16">
        <f t="shared" si="122"/>
        <v>0</v>
      </c>
      <c r="G2073">
        <f t="shared" si="119"/>
        <v>0</v>
      </c>
    </row>
    <row r="2074" spans="1:7" ht="15.75" hidden="1" thickBot="1" x14ac:dyDescent="0.3">
      <c r="A2074" s="43" t="s">
        <v>4815</v>
      </c>
      <c r="B2074" s="81" t="s">
        <v>4800</v>
      </c>
      <c r="C2074" s="26" t="s">
        <v>37</v>
      </c>
      <c r="D2074" s="14"/>
      <c r="E2074" s="15">
        <f>+SUM!H2071</f>
        <v>1367696</v>
      </c>
      <c r="F2074" s="16">
        <f t="shared" si="122"/>
        <v>0</v>
      </c>
      <c r="G2074">
        <f t="shared" si="119"/>
        <v>0</v>
      </c>
    </row>
    <row r="2075" spans="1:7" ht="15.75" hidden="1" thickBot="1" x14ac:dyDescent="0.3">
      <c r="A2075" s="43" t="s">
        <v>4816</v>
      </c>
      <c r="B2075" s="81" t="s">
        <v>4801</v>
      </c>
      <c r="C2075" s="26" t="s">
        <v>37</v>
      </c>
      <c r="D2075" s="14"/>
      <c r="E2075" s="15">
        <f>+SUM!H2072</f>
        <v>1699778</v>
      </c>
      <c r="F2075" s="16">
        <f t="shared" si="122"/>
        <v>0</v>
      </c>
      <c r="G2075">
        <f t="shared" si="119"/>
        <v>0</v>
      </c>
    </row>
    <row r="2076" spans="1:7" ht="15.75" hidden="1" thickBot="1" x14ac:dyDescent="0.3">
      <c r="A2076" s="43" t="s">
        <v>1006</v>
      </c>
      <c r="B2076" s="81" t="s">
        <v>4802</v>
      </c>
      <c r="C2076" s="26" t="s">
        <v>37</v>
      </c>
      <c r="D2076" s="14"/>
      <c r="E2076" s="15"/>
      <c r="F2076" s="16">
        <f t="shared" si="122"/>
        <v>0</v>
      </c>
      <c r="G2076">
        <f t="shared" si="119"/>
        <v>0</v>
      </c>
    </row>
    <row r="2077" spans="1:7" ht="15.75" hidden="1" thickBot="1" x14ac:dyDescent="0.3">
      <c r="A2077" s="43" t="s">
        <v>4817</v>
      </c>
      <c r="B2077" s="81" t="s">
        <v>4803</v>
      </c>
      <c r="C2077" s="26" t="s">
        <v>37</v>
      </c>
      <c r="D2077" s="14"/>
      <c r="E2077" s="15"/>
      <c r="F2077" s="16">
        <f t="shared" si="122"/>
        <v>0</v>
      </c>
      <c r="G2077">
        <f t="shared" si="119"/>
        <v>0</v>
      </c>
    </row>
    <row r="2078" spans="1:7" ht="15.75" hidden="1" thickBot="1" x14ac:dyDescent="0.3">
      <c r="A2078" s="43" t="s">
        <v>4818</v>
      </c>
      <c r="B2078" s="81" t="s">
        <v>4804</v>
      </c>
      <c r="C2078" s="26" t="s">
        <v>37</v>
      </c>
      <c r="D2078" s="14"/>
      <c r="E2078" s="15"/>
      <c r="F2078" s="16">
        <f t="shared" si="122"/>
        <v>0</v>
      </c>
      <c r="G2078">
        <f t="shared" si="119"/>
        <v>0</v>
      </c>
    </row>
    <row r="2079" spans="1:7" ht="15.75" hidden="1" thickBot="1" x14ac:dyDescent="0.3">
      <c r="A2079" s="43" t="s">
        <v>4819</v>
      </c>
      <c r="B2079" s="81" t="s">
        <v>4805</v>
      </c>
      <c r="C2079" s="26" t="s">
        <v>37</v>
      </c>
      <c r="D2079" s="14"/>
      <c r="E2079" s="15"/>
      <c r="F2079" s="16">
        <f t="shared" si="122"/>
        <v>0</v>
      </c>
      <c r="G2079">
        <f t="shared" si="119"/>
        <v>0</v>
      </c>
    </row>
    <row r="2080" spans="1:7" ht="15.75" hidden="1" thickBot="1" x14ac:dyDescent="0.3">
      <c r="A2080" s="43" t="s">
        <v>4820</v>
      </c>
      <c r="B2080" s="81" t="s">
        <v>4806</v>
      </c>
      <c r="C2080" s="26" t="s">
        <v>37</v>
      </c>
      <c r="D2080" s="14"/>
      <c r="E2080" s="15"/>
      <c r="F2080" s="16">
        <f t="shared" si="122"/>
        <v>0</v>
      </c>
      <c r="G2080">
        <f t="shared" si="119"/>
        <v>0</v>
      </c>
    </row>
    <row r="2081" spans="1:7" ht="15.75" hidden="1" thickBot="1" x14ac:dyDescent="0.3">
      <c r="A2081" s="43" t="s">
        <v>4821</v>
      </c>
      <c r="B2081" s="81" t="s">
        <v>4807</v>
      </c>
      <c r="C2081" s="26" t="s">
        <v>37</v>
      </c>
      <c r="D2081" s="14"/>
      <c r="E2081" s="15"/>
      <c r="F2081" s="16">
        <f t="shared" si="122"/>
        <v>0</v>
      </c>
      <c r="G2081">
        <f t="shared" si="119"/>
        <v>0</v>
      </c>
    </row>
    <row r="2082" spans="1:7" ht="15.75" hidden="1" thickBot="1" x14ac:dyDescent="0.3">
      <c r="A2082" s="43" t="s">
        <v>4822</v>
      </c>
      <c r="B2082" s="81" t="s">
        <v>4808</v>
      </c>
      <c r="C2082" s="26" t="s">
        <v>37</v>
      </c>
      <c r="D2082" s="14"/>
      <c r="E2082" s="15"/>
      <c r="F2082" s="16">
        <f t="shared" si="122"/>
        <v>0</v>
      </c>
      <c r="G2082">
        <f t="shared" si="119"/>
        <v>0</v>
      </c>
    </row>
    <row r="2083" spans="1:7" ht="15.75" hidden="1" thickBot="1" x14ac:dyDescent="0.3">
      <c r="A2083" s="43" t="s">
        <v>4823</v>
      </c>
      <c r="B2083" s="81" t="s">
        <v>4809</v>
      </c>
      <c r="C2083" s="26" t="s">
        <v>37</v>
      </c>
      <c r="D2083" s="14"/>
      <c r="E2083" s="15"/>
      <c r="F2083" s="16">
        <f t="shared" si="122"/>
        <v>0</v>
      </c>
      <c r="G2083">
        <f t="shared" si="119"/>
        <v>0</v>
      </c>
    </row>
    <row r="2084" spans="1:7" ht="15.75" hidden="1" thickBot="1" x14ac:dyDescent="0.3">
      <c r="A2084" s="43" t="s">
        <v>4824</v>
      </c>
      <c r="B2084" s="81" t="s">
        <v>4810</v>
      </c>
      <c r="C2084" s="26" t="s">
        <v>37</v>
      </c>
      <c r="D2084" s="14"/>
      <c r="E2084" s="15"/>
      <c r="F2084" s="16">
        <f t="shared" si="122"/>
        <v>0</v>
      </c>
      <c r="G2084">
        <f t="shared" ref="G2084:G2147" si="123">+IF(F2084&lt;&gt;0,1,0)</f>
        <v>0</v>
      </c>
    </row>
    <row r="2085" spans="1:7" ht="15.75" hidden="1" thickBot="1" x14ac:dyDescent="0.3">
      <c r="A2085" s="43" t="s">
        <v>4825</v>
      </c>
      <c r="B2085" s="81" t="s">
        <v>4811</v>
      </c>
      <c r="C2085" s="26" t="s">
        <v>37</v>
      </c>
      <c r="D2085" s="14"/>
      <c r="E2085" s="15"/>
      <c r="F2085" s="16">
        <f t="shared" si="122"/>
        <v>0</v>
      </c>
      <c r="G2085">
        <f t="shared" si="123"/>
        <v>0</v>
      </c>
    </row>
    <row r="2086" spans="1:7" ht="15.75" hidden="1" thickBot="1" x14ac:dyDescent="0.3">
      <c r="A2086" s="43" t="s">
        <v>4826</v>
      </c>
      <c r="B2086" s="81" t="s">
        <v>4812</v>
      </c>
      <c r="C2086" s="26" t="s">
        <v>37</v>
      </c>
      <c r="D2086" s="14"/>
      <c r="E2086" s="15"/>
      <c r="F2086" s="16">
        <f t="shared" si="122"/>
        <v>0</v>
      </c>
      <c r="G2086">
        <f t="shared" si="123"/>
        <v>0</v>
      </c>
    </row>
    <row r="2087" spans="1:7" ht="15.75" hidden="1" thickBot="1" x14ac:dyDescent="0.3">
      <c r="A2087" s="43" t="s">
        <v>4827</v>
      </c>
      <c r="B2087" s="81" t="s">
        <v>4813</v>
      </c>
      <c r="C2087" s="26" t="s">
        <v>37</v>
      </c>
      <c r="D2087" s="14"/>
      <c r="E2087" s="15"/>
      <c r="F2087" s="16">
        <f t="shared" si="122"/>
        <v>0</v>
      </c>
      <c r="G2087">
        <f t="shared" si="123"/>
        <v>0</v>
      </c>
    </row>
    <row r="2088" spans="1:7" ht="15.75" hidden="1" thickBot="1" x14ac:dyDescent="0.3">
      <c r="A2088" s="44" t="s">
        <v>1007</v>
      </c>
      <c r="B2088" s="80" t="s">
        <v>4828</v>
      </c>
      <c r="C2088" s="14"/>
      <c r="D2088" s="14"/>
      <c r="E2088" s="15"/>
      <c r="F2088" s="16"/>
      <c r="G2088">
        <f t="shared" si="123"/>
        <v>0</v>
      </c>
    </row>
    <row r="2089" spans="1:7" ht="15.75" hidden="1" thickBot="1" x14ac:dyDescent="0.3">
      <c r="A2089" s="43" t="s">
        <v>4877</v>
      </c>
      <c r="B2089" s="81" t="s">
        <v>4829</v>
      </c>
      <c r="C2089" s="26" t="s">
        <v>37</v>
      </c>
      <c r="D2089" s="14"/>
      <c r="E2089" s="15"/>
      <c r="F2089" s="16">
        <f t="shared" ref="F2089:F2136" si="124">+D2089*E2089</f>
        <v>0</v>
      </c>
      <c r="G2089">
        <f t="shared" si="123"/>
        <v>0</v>
      </c>
    </row>
    <row r="2090" spans="1:7" ht="15.75" hidden="1" thickBot="1" x14ac:dyDescent="0.3">
      <c r="A2090" s="43" t="s">
        <v>4878</v>
      </c>
      <c r="B2090" s="81" t="s">
        <v>4830</v>
      </c>
      <c r="C2090" s="26" t="s">
        <v>37</v>
      </c>
      <c r="D2090" s="14"/>
      <c r="E2090" s="15"/>
      <c r="F2090" s="16">
        <f t="shared" si="124"/>
        <v>0</v>
      </c>
      <c r="G2090">
        <f t="shared" si="123"/>
        <v>0</v>
      </c>
    </row>
    <row r="2091" spans="1:7" ht="15.75" hidden="1" thickBot="1" x14ac:dyDescent="0.3">
      <c r="A2091" s="43" t="s">
        <v>1008</v>
      </c>
      <c r="B2091" s="81" t="s">
        <v>4831</v>
      </c>
      <c r="C2091" s="26" t="s">
        <v>37</v>
      </c>
      <c r="D2091" s="14"/>
      <c r="E2091" s="15"/>
      <c r="F2091" s="16">
        <f t="shared" si="124"/>
        <v>0</v>
      </c>
      <c r="G2091">
        <f t="shared" si="123"/>
        <v>0</v>
      </c>
    </row>
    <row r="2092" spans="1:7" ht="15.75" hidden="1" thickBot="1" x14ac:dyDescent="0.3">
      <c r="A2092" s="43" t="s">
        <v>1009</v>
      </c>
      <c r="B2092" s="81" t="s">
        <v>4832</v>
      </c>
      <c r="C2092" s="26" t="s">
        <v>37</v>
      </c>
      <c r="D2092" s="14"/>
      <c r="E2092" s="15"/>
      <c r="F2092" s="16">
        <f t="shared" si="124"/>
        <v>0</v>
      </c>
      <c r="G2092">
        <f t="shared" si="123"/>
        <v>0</v>
      </c>
    </row>
    <row r="2093" spans="1:7" ht="15.75" hidden="1" thickBot="1" x14ac:dyDescent="0.3">
      <c r="A2093" s="43" t="s">
        <v>4879</v>
      </c>
      <c r="B2093" s="81" t="s">
        <v>4833</v>
      </c>
      <c r="C2093" s="26" t="s">
        <v>37</v>
      </c>
      <c r="D2093" s="14"/>
      <c r="E2093" s="15"/>
      <c r="F2093" s="16">
        <f t="shared" si="124"/>
        <v>0</v>
      </c>
      <c r="G2093">
        <f t="shared" si="123"/>
        <v>0</v>
      </c>
    </row>
    <row r="2094" spans="1:7" ht="15.75" hidden="1" thickBot="1" x14ac:dyDescent="0.3">
      <c r="A2094" s="43" t="s">
        <v>4880</v>
      </c>
      <c r="B2094" s="81" t="s">
        <v>4849</v>
      </c>
      <c r="C2094" s="26" t="s">
        <v>37</v>
      </c>
      <c r="D2094" s="14"/>
      <c r="E2094" s="15"/>
      <c r="F2094" s="16">
        <f t="shared" si="124"/>
        <v>0</v>
      </c>
      <c r="G2094">
        <f t="shared" si="123"/>
        <v>0</v>
      </c>
    </row>
    <row r="2095" spans="1:7" ht="15.75" hidden="1" thickBot="1" x14ac:dyDescent="0.3">
      <c r="A2095" s="43" t="s">
        <v>4881</v>
      </c>
      <c r="B2095" s="81" t="s">
        <v>4834</v>
      </c>
      <c r="C2095" s="26" t="s">
        <v>37</v>
      </c>
      <c r="D2095" s="14"/>
      <c r="E2095" s="15"/>
      <c r="F2095" s="16">
        <f t="shared" si="124"/>
        <v>0</v>
      </c>
      <c r="G2095">
        <f t="shared" si="123"/>
        <v>0</v>
      </c>
    </row>
    <row r="2096" spans="1:7" ht="15.75" hidden="1" thickBot="1" x14ac:dyDescent="0.3">
      <c r="A2096" s="43" t="s">
        <v>4882</v>
      </c>
      <c r="B2096" s="81" t="s">
        <v>4835</v>
      </c>
      <c r="C2096" s="26" t="s">
        <v>37</v>
      </c>
      <c r="D2096" s="14"/>
      <c r="E2096" s="15"/>
      <c r="F2096" s="16">
        <f t="shared" si="124"/>
        <v>0</v>
      </c>
      <c r="G2096">
        <f t="shared" si="123"/>
        <v>0</v>
      </c>
    </row>
    <row r="2097" spans="1:7" ht="15.75" hidden="1" thickBot="1" x14ac:dyDescent="0.3">
      <c r="A2097" s="43" t="s">
        <v>4883</v>
      </c>
      <c r="B2097" s="81" t="s">
        <v>4836</v>
      </c>
      <c r="C2097" s="26" t="s">
        <v>37</v>
      </c>
      <c r="D2097" s="14"/>
      <c r="E2097" s="15"/>
      <c r="F2097" s="16">
        <f t="shared" si="124"/>
        <v>0</v>
      </c>
      <c r="G2097">
        <f t="shared" si="123"/>
        <v>0</v>
      </c>
    </row>
    <row r="2098" spans="1:7" ht="15.75" hidden="1" thickBot="1" x14ac:dyDescent="0.3">
      <c r="A2098" s="43" t="s">
        <v>4884</v>
      </c>
      <c r="B2098" s="81" t="s">
        <v>4837</v>
      </c>
      <c r="C2098" s="26" t="s">
        <v>37</v>
      </c>
      <c r="D2098" s="14"/>
      <c r="E2098" s="15"/>
      <c r="F2098" s="16">
        <f t="shared" si="124"/>
        <v>0</v>
      </c>
      <c r="G2098">
        <f t="shared" si="123"/>
        <v>0</v>
      </c>
    </row>
    <row r="2099" spans="1:7" ht="15.75" hidden="1" thickBot="1" x14ac:dyDescent="0.3">
      <c r="A2099" s="43" t="s">
        <v>4885</v>
      </c>
      <c r="B2099" s="81" t="s">
        <v>4838</v>
      </c>
      <c r="C2099" s="26" t="s">
        <v>37</v>
      </c>
      <c r="D2099" s="14"/>
      <c r="E2099" s="15"/>
      <c r="F2099" s="16">
        <f t="shared" si="124"/>
        <v>0</v>
      </c>
      <c r="G2099">
        <f t="shared" si="123"/>
        <v>0</v>
      </c>
    </row>
    <row r="2100" spans="1:7" ht="15.75" hidden="1" thickBot="1" x14ac:dyDescent="0.3">
      <c r="A2100" s="43" t="s">
        <v>4886</v>
      </c>
      <c r="B2100" s="81" t="s">
        <v>4850</v>
      </c>
      <c r="C2100" s="26" t="s">
        <v>37</v>
      </c>
      <c r="D2100" s="14"/>
      <c r="E2100" s="15"/>
      <c r="F2100" s="16">
        <f t="shared" si="124"/>
        <v>0</v>
      </c>
      <c r="G2100">
        <f t="shared" si="123"/>
        <v>0</v>
      </c>
    </row>
    <row r="2101" spans="1:7" ht="15.75" hidden="1" thickBot="1" x14ac:dyDescent="0.3">
      <c r="A2101" s="43" t="s">
        <v>4887</v>
      </c>
      <c r="B2101" s="81" t="s">
        <v>4839</v>
      </c>
      <c r="C2101" s="26" t="s">
        <v>37</v>
      </c>
      <c r="D2101" s="14"/>
      <c r="E2101" s="15"/>
      <c r="F2101" s="16">
        <f t="shared" si="124"/>
        <v>0</v>
      </c>
      <c r="G2101">
        <f t="shared" si="123"/>
        <v>0</v>
      </c>
    </row>
    <row r="2102" spans="1:7" ht="15.75" hidden="1" thickBot="1" x14ac:dyDescent="0.3">
      <c r="A2102" s="43" t="s">
        <v>4888</v>
      </c>
      <c r="B2102" s="81" t="s">
        <v>4840</v>
      </c>
      <c r="C2102" s="26" t="s">
        <v>37</v>
      </c>
      <c r="D2102" s="14"/>
      <c r="E2102" s="15"/>
      <c r="F2102" s="16">
        <f t="shared" si="124"/>
        <v>0</v>
      </c>
      <c r="G2102">
        <f t="shared" si="123"/>
        <v>0</v>
      </c>
    </row>
    <row r="2103" spans="1:7" ht="15.75" hidden="1" thickBot="1" x14ac:dyDescent="0.3">
      <c r="A2103" s="43" t="s">
        <v>4889</v>
      </c>
      <c r="B2103" s="81" t="s">
        <v>4841</v>
      </c>
      <c r="C2103" s="26" t="s">
        <v>37</v>
      </c>
      <c r="D2103" s="14"/>
      <c r="E2103" s="15"/>
      <c r="F2103" s="16">
        <f t="shared" si="124"/>
        <v>0</v>
      </c>
      <c r="G2103">
        <f t="shared" si="123"/>
        <v>0</v>
      </c>
    </row>
    <row r="2104" spans="1:7" ht="15.75" hidden="1" thickBot="1" x14ac:dyDescent="0.3">
      <c r="A2104" s="43" t="s">
        <v>4890</v>
      </c>
      <c r="B2104" s="81" t="s">
        <v>4842</v>
      </c>
      <c r="C2104" s="26" t="s">
        <v>37</v>
      </c>
      <c r="D2104" s="14"/>
      <c r="E2104" s="15"/>
      <c r="F2104" s="16">
        <f t="shared" si="124"/>
        <v>0</v>
      </c>
      <c r="G2104">
        <f t="shared" si="123"/>
        <v>0</v>
      </c>
    </row>
    <row r="2105" spans="1:7" ht="15.75" hidden="1" thickBot="1" x14ac:dyDescent="0.3">
      <c r="A2105" s="43" t="s">
        <v>4891</v>
      </c>
      <c r="B2105" s="81" t="s">
        <v>4843</v>
      </c>
      <c r="C2105" s="26" t="s">
        <v>37</v>
      </c>
      <c r="D2105" s="14"/>
      <c r="E2105" s="15"/>
      <c r="F2105" s="16">
        <f t="shared" si="124"/>
        <v>0</v>
      </c>
      <c r="G2105">
        <f t="shared" si="123"/>
        <v>0</v>
      </c>
    </row>
    <row r="2106" spans="1:7" ht="15.75" hidden="1" thickBot="1" x14ac:dyDescent="0.3">
      <c r="A2106" s="43" t="s">
        <v>4892</v>
      </c>
      <c r="B2106" s="81" t="s">
        <v>4851</v>
      </c>
      <c r="C2106" s="26" t="s">
        <v>37</v>
      </c>
      <c r="D2106" s="14"/>
      <c r="E2106" s="15"/>
      <c r="F2106" s="16">
        <f t="shared" si="124"/>
        <v>0</v>
      </c>
      <c r="G2106">
        <f t="shared" si="123"/>
        <v>0</v>
      </c>
    </row>
    <row r="2107" spans="1:7" ht="15.75" hidden="1" thickBot="1" x14ac:dyDescent="0.3">
      <c r="A2107" s="43" t="s">
        <v>4893</v>
      </c>
      <c r="B2107" s="81" t="s">
        <v>4844</v>
      </c>
      <c r="C2107" s="26" t="s">
        <v>37</v>
      </c>
      <c r="D2107" s="14"/>
      <c r="E2107" s="15"/>
      <c r="F2107" s="16">
        <f t="shared" si="124"/>
        <v>0</v>
      </c>
      <c r="G2107">
        <f t="shared" si="123"/>
        <v>0</v>
      </c>
    </row>
    <row r="2108" spans="1:7" ht="15.75" hidden="1" thickBot="1" x14ac:dyDescent="0.3">
      <c r="A2108" s="43" t="s">
        <v>4894</v>
      </c>
      <c r="B2108" s="81" t="s">
        <v>4845</v>
      </c>
      <c r="C2108" s="26" t="s">
        <v>37</v>
      </c>
      <c r="D2108" s="14"/>
      <c r="E2108" s="15"/>
      <c r="F2108" s="16">
        <f t="shared" si="124"/>
        <v>0</v>
      </c>
      <c r="G2108">
        <f t="shared" si="123"/>
        <v>0</v>
      </c>
    </row>
    <row r="2109" spans="1:7" ht="15.75" hidden="1" thickBot="1" x14ac:dyDescent="0.3">
      <c r="A2109" s="43" t="s">
        <v>4895</v>
      </c>
      <c r="B2109" s="81" t="s">
        <v>4846</v>
      </c>
      <c r="C2109" s="26" t="s">
        <v>37</v>
      </c>
      <c r="D2109" s="14"/>
      <c r="E2109" s="15"/>
      <c r="F2109" s="16">
        <f t="shared" si="124"/>
        <v>0</v>
      </c>
      <c r="G2109">
        <f t="shared" si="123"/>
        <v>0</v>
      </c>
    </row>
    <row r="2110" spans="1:7" ht="15.75" hidden="1" thickBot="1" x14ac:dyDescent="0.3">
      <c r="A2110" s="43" t="s">
        <v>1010</v>
      </c>
      <c r="B2110" s="81" t="s">
        <v>4847</v>
      </c>
      <c r="C2110" s="26" t="s">
        <v>37</v>
      </c>
      <c r="D2110" s="14"/>
      <c r="E2110" s="15"/>
      <c r="F2110" s="16">
        <f t="shared" si="124"/>
        <v>0</v>
      </c>
      <c r="G2110">
        <f t="shared" si="123"/>
        <v>0</v>
      </c>
    </row>
    <row r="2111" spans="1:7" ht="15.75" hidden="1" thickBot="1" x14ac:dyDescent="0.3">
      <c r="A2111" s="43" t="s">
        <v>4896</v>
      </c>
      <c r="B2111" s="81" t="s">
        <v>4848</v>
      </c>
      <c r="C2111" s="26" t="s">
        <v>37</v>
      </c>
      <c r="D2111" s="14"/>
      <c r="E2111" s="15"/>
      <c r="F2111" s="16">
        <f t="shared" si="124"/>
        <v>0</v>
      </c>
      <c r="G2111">
        <f t="shared" si="123"/>
        <v>0</v>
      </c>
    </row>
    <row r="2112" spans="1:7" ht="15.75" hidden="1" thickBot="1" x14ac:dyDescent="0.3">
      <c r="A2112" s="43" t="s">
        <v>4897</v>
      </c>
      <c r="B2112" s="81" t="s">
        <v>4852</v>
      </c>
      <c r="C2112" s="26" t="s">
        <v>37</v>
      </c>
      <c r="D2112" s="14"/>
      <c r="E2112" s="15"/>
      <c r="F2112" s="16">
        <f t="shared" si="124"/>
        <v>0</v>
      </c>
      <c r="G2112">
        <f t="shared" si="123"/>
        <v>0</v>
      </c>
    </row>
    <row r="2113" spans="1:7" ht="15.75" hidden="1" thickBot="1" x14ac:dyDescent="0.3">
      <c r="A2113" s="43" t="s">
        <v>4898</v>
      </c>
      <c r="B2113" s="81" t="s">
        <v>4853</v>
      </c>
      <c r="C2113" s="26" t="s">
        <v>37</v>
      </c>
      <c r="D2113" s="14"/>
      <c r="E2113" s="15"/>
      <c r="F2113" s="16">
        <f t="shared" si="124"/>
        <v>0</v>
      </c>
      <c r="G2113">
        <f t="shared" si="123"/>
        <v>0</v>
      </c>
    </row>
    <row r="2114" spans="1:7" ht="15.75" hidden="1" thickBot="1" x14ac:dyDescent="0.3">
      <c r="A2114" s="43" t="s">
        <v>4899</v>
      </c>
      <c r="B2114" s="81" t="s">
        <v>4854</v>
      </c>
      <c r="C2114" s="26" t="s">
        <v>37</v>
      </c>
      <c r="D2114" s="14"/>
      <c r="E2114" s="15"/>
      <c r="F2114" s="16">
        <f t="shared" si="124"/>
        <v>0</v>
      </c>
      <c r="G2114">
        <f t="shared" si="123"/>
        <v>0</v>
      </c>
    </row>
    <row r="2115" spans="1:7" ht="15.75" hidden="1" thickBot="1" x14ac:dyDescent="0.3">
      <c r="A2115" s="43" t="s">
        <v>4900</v>
      </c>
      <c r="B2115" s="81" t="s">
        <v>4855</v>
      </c>
      <c r="C2115" s="26" t="s">
        <v>37</v>
      </c>
      <c r="D2115" s="14"/>
      <c r="E2115" s="15"/>
      <c r="F2115" s="16">
        <f t="shared" si="124"/>
        <v>0</v>
      </c>
      <c r="G2115">
        <f t="shared" si="123"/>
        <v>0</v>
      </c>
    </row>
    <row r="2116" spans="1:7" ht="15.75" hidden="1" thickBot="1" x14ac:dyDescent="0.3">
      <c r="A2116" s="43" t="s">
        <v>4901</v>
      </c>
      <c r="B2116" s="81" t="s">
        <v>4856</v>
      </c>
      <c r="C2116" s="26" t="s">
        <v>37</v>
      </c>
      <c r="D2116" s="14"/>
      <c r="E2116" s="15"/>
      <c r="F2116" s="16">
        <f t="shared" si="124"/>
        <v>0</v>
      </c>
      <c r="G2116">
        <f t="shared" si="123"/>
        <v>0</v>
      </c>
    </row>
    <row r="2117" spans="1:7" ht="15.75" hidden="1" thickBot="1" x14ac:dyDescent="0.3">
      <c r="A2117" s="43" t="s">
        <v>4902</v>
      </c>
      <c r="B2117" s="81" t="s">
        <v>4857</v>
      </c>
      <c r="C2117" s="26" t="s">
        <v>37</v>
      </c>
      <c r="D2117" s="14"/>
      <c r="E2117" s="15"/>
      <c r="F2117" s="16">
        <f t="shared" si="124"/>
        <v>0</v>
      </c>
      <c r="G2117">
        <f t="shared" si="123"/>
        <v>0</v>
      </c>
    </row>
    <row r="2118" spans="1:7" ht="15.75" hidden="1" thickBot="1" x14ac:dyDescent="0.3">
      <c r="A2118" s="43" t="s">
        <v>4903</v>
      </c>
      <c r="B2118" s="81" t="s">
        <v>4858</v>
      </c>
      <c r="C2118" s="26" t="s">
        <v>37</v>
      </c>
      <c r="D2118" s="14"/>
      <c r="E2118" s="15"/>
      <c r="F2118" s="16">
        <f t="shared" si="124"/>
        <v>0</v>
      </c>
      <c r="G2118">
        <f t="shared" si="123"/>
        <v>0</v>
      </c>
    </row>
    <row r="2119" spans="1:7" ht="15.75" hidden="1" thickBot="1" x14ac:dyDescent="0.3">
      <c r="A2119" s="43" t="s">
        <v>4904</v>
      </c>
      <c r="B2119" s="81" t="s">
        <v>4859</v>
      </c>
      <c r="C2119" s="26" t="s">
        <v>37</v>
      </c>
      <c r="D2119" s="14"/>
      <c r="E2119" s="15"/>
      <c r="F2119" s="16">
        <f t="shared" si="124"/>
        <v>0</v>
      </c>
      <c r="G2119">
        <f t="shared" si="123"/>
        <v>0</v>
      </c>
    </row>
    <row r="2120" spans="1:7" ht="15.75" hidden="1" thickBot="1" x14ac:dyDescent="0.3">
      <c r="A2120" s="43" t="s">
        <v>4905</v>
      </c>
      <c r="B2120" s="81" t="s">
        <v>4860</v>
      </c>
      <c r="C2120" s="26" t="s">
        <v>37</v>
      </c>
      <c r="D2120" s="14"/>
      <c r="E2120" s="15"/>
      <c r="F2120" s="16">
        <f t="shared" si="124"/>
        <v>0</v>
      </c>
      <c r="G2120">
        <f t="shared" si="123"/>
        <v>0</v>
      </c>
    </row>
    <row r="2121" spans="1:7" ht="15.75" hidden="1" thickBot="1" x14ac:dyDescent="0.3">
      <c r="A2121" s="43" t="s">
        <v>4906</v>
      </c>
      <c r="B2121" s="81" t="s">
        <v>4861</v>
      </c>
      <c r="C2121" s="26" t="s">
        <v>37</v>
      </c>
      <c r="D2121" s="14"/>
      <c r="E2121" s="15"/>
      <c r="F2121" s="16">
        <f t="shared" si="124"/>
        <v>0</v>
      </c>
      <c r="G2121">
        <f t="shared" si="123"/>
        <v>0</v>
      </c>
    </row>
    <row r="2122" spans="1:7" ht="15.75" hidden="1" thickBot="1" x14ac:dyDescent="0.3">
      <c r="A2122" s="43" t="s">
        <v>4907</v>
      </c>
      <c r="B2122" s="81" t="s">
        <v>4862</v>
      </c>
      <c r="C2122" s="26" t="s">
        <v>37</v>
      </c>
      <c r="D2122" s="14"/>
      <c r="E2122" s="15"/>
      <c r="F2122" s="16">
        <f t="shared" si="124"/>
        <v>0</v>
      </c>
      <c r="G2122">
        <f t="shared" si="123"/>
        <v>0</v>
      </c>
    </row>
    <row r="2123" spans="1:7" ht="15.75" hidden="1" thickBot="1" x14ac:dyDescent="0.3">
      <c r="A2123" s="43" t="s">
        <v>4908</v>
      </c>
      <c r="B2123" s="81" t="s">
        <v>4863</v>
      </c>
      <c r="C2123" s="26" t="s">
        <v>37</v>
      </c>
      <c r="D2123" s="14"/>
      <c r="E2123" s="15"/>
      <c r="F2123" s="16">
        <f t="shared" si="124"/>
        <v>0</v>
      </c>
      <c r="G2123">
        <f t="shared" si="123"/>
        <v>0</v>
      </c>
    </row>
    <row r="2124" spans="1:7" ht="15.75" hidden="1" thickBot="1" x14ac:dyDescent="0.3">
      <c r="A2124" s="43" t="s">
        <v>4909</v>
      </c>
      <c r="B2124" s="81" t="s">
        <v>4864</v>
      </c>
      <c r="C2124" s="26" t="s">
        <v>37</v>
      </c>
      <c r="D2124" s="14"/>
      <c r="E2124" s="15"/>
      <c r="F2124" s="16">
        <f t="shared" si="124"/>
        <v>0</v>
      </c>
      <c r="G2124">
        <f t="shared" si="123"/>
        <v>0</v>
      </c>
    </row>
    <row r="2125" spans="1:7" ht="15.75" hidden="1" thickBot="1" x14ac:dyDescent="0.3">
      <c r="A2125" s="43" t="s">
        <v>4910</v>
      </c>
      <c r="B2125" s="81" t="s">
        <v>4865</v>
      </c>
      <c r="C2125" s="26" t="s">
        <v>37</v>
      </c>
      <c r="D2125" s="14"/>
      <c r="E2125" s="15"/>
      <c r="F2125" s="16">
        <f t="shared" si="124"/>
        <v>0</v>
      </c>
      <c r="G2125">
        <f t="shared" si="123"/>
        <v>0</v>
      </c>
    </row>
    <row r="2126" spans="1:7" ht="15.75" hidden="1" thickBot="1" x14ac:dyDescent="0.3">
      <c r="A2126" s="43" t="s">
        <v>4911</v>
      </c>
      <c r="B2126" s="81" t="s">
        <v>4866</v>
      </c>
      <c r="C2126" s="26" t="s">
        <v>37</v>
      </c>
      <c r="D2126" s="14"/>
      <c r="E2126" s="15"/>
      <c r="F2126" s="16">
        <f t="shared" si="124"/>
        <v>0</v>
      </c>
      <c r="G2126">
        <f t="shared" si="123"/>
        <v>0</v>
      </c>
    </row>
    <row r="2127" spans="1:7" ht="15.75" hidden="1" thickBot="1" x14ac:dyDescent="0.3">
      <c r="A2127" s="43" t="s">
        <v>4912</v>
      </c>
      <c r="B2127" s="81" t="s">
        <v>4867</v>
      </c>
      <c r="C2127" s="26" t="s">
        <v>37</v>
      </c>
      <c r="D2127" s="14"/>
      <c r="E2127" s="15"/>
      <c r="F2127" s="16">
        <f t="shared" si="124"/>
        <v>0</v>
      </c>
      <c r="G2127">
        <f t="shared" si="123"/>
        <v>0</v>
      </c>
    </row>
    <row r="2128" spans="1:7" ht="15.75" hidden="1" thickBot="1" x14ac:dyDescent="0.3">
      <c r="A2128" s="43" t="s">
        <v>4913</v>
      </c>
      <c r="B2128" s="81" t="s">
        <v>4868</v>
      </c>
      <c r="C2128" s="26" t="s">
        <v>37</v>
      </c>
      <c r="D2128" s="14"/>
      <c r="E2128" s="15"/>
      <c r="F2128" s="16">
        <f t="shared" si="124"/>
        <v>0</v>
      </c>
      <c r="G2128">
        <f t="shared" si="123"/>
        <v>0</v>
      </c>
    </row>
    <row r="2129" spans="1:7" ht="15.75" hidden="1" thickBot="1" x14ac:dyDescent="0.3">
      <c r="A2129" s="43" t="s">
        <v>4914</v>
      </c>
      <c r="B2129" s="81" t="s">
        <v>4869</v>
      </c>
      <c r="C2129" s="26" t="s">
        <v>37</v>
      </c>
      <c r="D2129" s="14"/>
      <c r="E2129" s="15"/>
      <c r="F2129" s="16">
        <f t="shared" si="124"/>
        <v>0</v>
      </c>
      <c r="G2129">
        <f t="shared" si="123"/>
        <v>0</v>
      </c>
    </row>
    <row r="2130" spans="1:7" ht="15.75" hidden="1" thickBot="1" x14ac:dyDescent="0.3">
      <c r="A2130" s="43" t="s">
        <v>4915</v>
      </c>
      <c r="B2130" s="81" t="s">
        <v>4870</v>
      </c>
      <c r="C2130" s="26" t="s">
        <v>37</v>
      </c>
      <c r="D2130" s="14"/>
      <c r="E2130" s="15"/>
      <c r="F2130" s="16">
        <f t="shared" si="124"/>
        <v>0</v>
      </c>
      <c r="G2130">
        <f t="shared" si="123"/>
        <v>0</v>
      </c>
    </row>
    <row r="2131" spans="1:7" ht="15.75" hidden="1" thickBot="1" x14ac:dyDescent="0.3">
      <c r="A2131" s="43" t="s">
        <v>4916</v>
      </c>
      <c r="B2131" s="81" t="s">
        <v>4871</v>
      </c>
      <c r="C2131" s="26" t="s">
        <v>37</v>
      </c>
      <c r="D2131" s="14"/>
      <c r="E2131" s="15"/>
      <c r="F2131" s="16">
        <f t="shared" si="124"/>
        <v>0</v>
      </c>
      <c r="G2131">
        <f t="shared" si="123"/>
        <v>0</v>
      </c>
    </row>
    <row r="2132" spans="1:7" ht="15.75" hidden="1" thickBot="1" x14ac:dyDescent="0.3">
      <c r="A2132" s="43" t="s">
        <v>4917</v>
      </c>
      <c r="B2132" s="81" t="s">
        <v>4872</v>
      </c>
      <c r="C2132" s="26" t="s">
        <v>37</v>
      </c>
      <c r="D2132" s="14"/>
      <c r="E2132" s="15"/>
      <c r="F2132" s="16">
        <f t="shared" si="124"/>
        <v>0</v>
      </c>
      <c r="G2132">
        <f t="shared" si="123"/>
        <v>0</v>
      </c>
    </row>
    <row r="2133" spans="1:7" ht="15.75" hidden="1" thickBot="1" x14ac:dyDescent="0.3">
      <c r="A2133" s="43" t="s">
        <v>4918</v>
      </c>
      <c r="B2133" s="81" t="s">
        <v>4873</v>
      </c>
      <c r="C2133" s="26" t="s">
        <v>37</v>
      </c>
      <c r="D2133" s="14"/>
      <c r="E2133" s="15"/>
      <c r="F2133" s="16">
        <f t="shared" si="124"/>
        <v>0</v>
      </c>
      <c r="G2133">
        <f t="shared" si="123"/>
        <v>0</v>
      </c>
    </row>
    <row r="2134" spans="1:7" ht="15.75" hidden="1" thickBot="1" x14ac:dyDescent="0.3">
      <c r="A2134" s="43" t="s">
        <v>4919</v>
      </c>
      <c r="B2134" s="81" t="s">
        <v>4874</v>
      </c>
      <c r="C2134" s="26" t="s">
        <v>37</v>
      </c>
      <c r="D2134" s="14"/>
      <c r="E2134" s="15"/>
      <c r="F2134" s="16">
        <f t="shared" si="124"/>
        <v>0</v>
      </c>
      <c r="G2134">
        <f t="shared" si="123"/>
        <v>0</v>
      </c>
    </row>
    <row r="2135" spans="1:7" ht="15.75" hidden="1" thickBot="1" x14ac:dyDescent="0.3">
      <c r="A2135" s="43" t="s">
        <v>4920</v>
      </c>
      <c r="B2135" s="81" t="s">
        <v>4875</v>
      </c>
      <c r="C2135" s="26" t="s">
        <v>37</v>
      </c>
      <c r="D2135" s="14"/>
      <c r="E2135" s="15"/>
      <c r="F2135" s="16">
        <f t="shared" si="124"/>
        <v>0</v>
      </c>
      <c r="G2135">
        <f t="shared" si="123"/>
        <v>0</v>
      </c>
    </row>
    <row r="2136" spans="1:7" ht="15.75" hidden="1" thickBot="1" x14ac:dyDescent="0.3">
      <c r="A2136" s="43" t="s">
        <v>4921</v>
      </c>
      <c r="B2136" s="81" t="s">
        <v>4876</v>
      </c>
      <c r="C2136" s="26" t="s">
        <v>37</v>
      </c>
      <c r="D2136" s="14"/>
      <c r="E2136" s="15"/>
      <c r="F2136" s="16">
        <f t="shared" si="124"/>
        <v>0</v>
      </c>
      <c r="G2136">
        <f t="shared" si="123"/>
        <v>0</v>
      </c>
    </row>
    <row r="2137" spans="1:7" ht="15.75" hidden="1" thickBot="1" x14ac:dyDescent="0.3">
      <c r="A2137" s="44" t="s">
        <v>4922</v>
      </c>
      <c r="B2137" s="80" t="s">
        <v>4923</v>
      </c>
      <c r="C2137" s="14"/>
      <c r="D2137" s="14"/>
      <c r="E2137" s="15"/>
      <c r="F2137" s="16"/>
      <c r="G2137">
        <f t="shared" si="123"/>
        <v>0</v>
      </c>
    </row>
    <row r="2138" spans="1:7" ht="15.75" hidden="1" thickBot="1" x14ac:dyDescent="0.3">
      <c r="A2138" s="44" t="s">
        <v>999</v>
      </c>
      <c r="B2138" s="80" t="s">
        <v>4941</v>
      </c>
      <c r="C2138" s="14"/>
      <c r="D2138" s="14"/>
      <c r="E2138" s="15"/>
      <c r="F2138" s="16"/>
      <c r="G2138">
        <f t="shared" si="123"/>
        <v>0</v>
      </c>
    </row>
    <row r="2139" spans="1:7" ht="15.75" hidden="1" thickBot="1" x14ac:dyDescent="0.3">
      <c r="A2139" s="43" t="s">
        <v>1000</v>
      </c>
      <c r="B2139" s="81" t="s">
        <v>4942</v>
      </c>
      <c r="C2139" s="26" t="s">
        <v>37</v>
      </c>
      <c r="D2139" s="14"/>
      <c r="E2139" s="15"/>
      <c r="F2139" s="16">
        <f>+D2139*E2139</f>
        <v>0</v>
      </c>
      <c r="G2139">
        <f t="shared" si="123"/>
        <v>0</v>
      </c>
    </row>
    <row r="2140" spans="1:7" ht="15.75" hidden="1" thickBot="1" x14ac:dyDescent="0.3">
      <c r="A2140" s="43" t="s">
        <v>4745</v>
      </c>
      <c r="B2140" s="81" t="s">
        <v>4943</v>
      </c>
      <c r="C2140" s="26" t="s">
        <v>37</v>
      </c>
      <c r="D2140" s="14"/>
      <c r="E2140" s="15"/>
      <c r="F2140" s="16">
        <f>+D2140*E2140</f>
        <v>0</v>
      </c>
      <c r="G2140">
        <f t="shared" si="123"/>
        <v>0</v>
      </c>
    </row>
    <row r="2141" spans="1:7" ht="15.75" hidden="1" thickBot="1" x14ac:dyDescent="0.3">
      <c r="A2141" s="44" t="s">
        <v>1007</v>
      </c>
      <c r="B2141" s="80" t="s">
        <v>4924</v>
      </c>
      <c r="C2141" s="14"/>
      <c r="D2141" s="14"/>
      <c r="E2141" s="15"/>
      <c r="F2141" s="16"/>
      <c r="G2141">
        <f t="shared" si="123"/>
        <v>0</v>
      </c>
    </row>
    <row r="2142" spans="1:7" ht="15.75" hidden="1" thickBot="1" x14ac:dyDescent="0.3">
      <c r="A2142" s="43" t="s">
        <v>4877</v>
      </c>
      <c r="B2142" s="81" t="s">
        <v>4925</v>
      </c>
      <c r="C2142" s="26" t="s">
        <v>37</v>
      </c>
      <c r="D2142" s="14"/>
      <c r="E2142" s="15"/>
      <c r="F2142" s="16">
        <f>+D2142*E2142</f>
        <v>0</v>
      </c>
      <c r="G2142">
        <f t="shared" si="123"/>
        <v>0</v>
      </c>
    </row>
    <row r="2143" spans="1:7" ht="15.75" hidden="1" thickBot="1" x14ac:dyDescent="0.3">
      <c r="A2143" s="43" t="s">
        <v>4878</v>
      </c>
      <c r="B2143" s="81" t="s">
        <v>4926</v>
      </c>
      <c r="C2143" s="26" t="s">
        <v>37</v>
      </c>
      <c r="D2143" s="14"/>
      <c r="E2143" s="15"/>
      <c r="F2143" s="16">
        <f>+D2143*E2143</f>
        <v>0</v>
      </c>
      <c r="G2143">
        <f t="shared" si="123"/>
        <v>0</v>
      </c>
    </row>
    <row r="2144" spans="1:7" ht="15.75" hidden="1" thickBot="1" x14ac:dyDescent="0.3">
      <c r="A2144" s="43" t="s">
        <v>1008</v>
      </c>
      <c r="B2144" s="81" t="s">
        <v>4927</v>
      </c>
      <c r="C2144" s="26" t="s">
        <v>37</v>
      </c>
      <c r="D2144" s="14"/>
      <c r="E2144" s="15"/>
      <c r="F2144" s="16">
        <f>+D2144*E2144</f>
        <v>0</v>
      </c>
      <c r="G2144">
        <f t="shared" si="123"/>
        <v>0</v>
      </c>
    </row>
    <row r="2145" spans="1:7" ht="15.75" hidden="1" thickBot="1" x14ac:dyDescent="0.3">
      <c r="A2145" s="43" t="s">
        <v>1009</v>
      </c>
      <c r="B2145" s="81" t="s">
        <v>4928</v>
      </c>
      <c r="C2145" s="26" t="s">
        <v>37</v>
      </c>
      <c r="D2145" s="14"/>
      <c r="E2145" s="15"/>
      <c r="F2145" s="16">
        <f>+D2145*E2145</f>
        <v>0</v>
      </c>
      <c r="G2145">
        <f t="shared" si="123"/>
        <v>0</v>
      </c>
    </row>
    <row r="2146" spans="1:7" ht="15.75" hidden="1" thickBot="1" x14ac:dyDescent="0.3">
      <c r="A2146" s="44" t="s">
        <v>4922</v>
      </c>
      <c r="B2146" s="80" t="s">
        <v>4929</v>
      </c>
      <c r="C2146" s="14"/>
      <c r="D2146" s="14"/>
      <c r="E2146" s="15"/>
      <c r="F2146" s="16"/>
      <c r="G2146">
        <f t="shared" si="123"/>
        <v>0</v>
      </c>
    </row>
    <row r="2147" spans="1:7" ht="15.75" hidden="1" thickBot="1" x14ac:dyDescent="0.3">
      <c r="A2147" s="43" t="s">
        <v>4934</v>
      </c>
      <c r="B2147" s="81" t="s">
        <v>4930</v>
      </c>
      <c r="C2147" s="26" t="s">
        <v>37</v>
      </c>
      <c r="D2147" s="14"/>
      <c r="E2147" s="15"/>
      <c r="F2147" s="16">
        <f>+D2147*E2147</f>
        <v>0</v>
      </c>
      <c r="G2147">
        <f t="shared" si="123"/>
        <v>0</v>
      </c>
    </row>
    <row r="2148" spans="1:7" ht="15.75" hidden="1" thickBot="1" x14ac:dyDescent="0.3">
      <c r="A2148" s="43" t="s">
        <v>4935</v>
      </c>
      <c r="B2148" s="81" t="s">
        <v>4931</v>
      </c>
      <c r="C2148" s="26" t="s">
        <v>37</v>
      </c>
      <c r="D2148" s="14"/>
      <c r="E2148" s="15"/>
      <c r="F2148" s="16">
        <f>+D2148*E2148</f>
        <v>0</v>
      </c>
      <c r="G2148">
        <f t="shared" ref="G2148:G2211" si="125">+IF(F2148&lt;&gt;0,1,0)</f>
        <v>0</v>
      </c>
    </row>
    <row r="2149" spans="1:7" ht="15.75" hidden="1" thickBot="1" x14ac:dyDescent="0.3">
      <c r="A2149" s="43" t="s">
        <v>4936</v>
      </c>
      <c r="B2149" s="81" t="s">
        <v>4932</v>
      </c>
      <c r="C2149" s="26" t="s">
        <v>37</v>
      </c>
      <c r="D2149" s="14"/>
      <c r="E2149" s="15"/>
      <c r="F2149" s="16">
        <f>+D2149*E2149</f>
        <v>0</v>
      </c>
      <c r="G2149">
        <f t="shared" si="125"/>
        <v>0</v>
      </c>
    </row>
    <row r="2150" spans="1:7" ht="15.75" hidden="1" thickBot="1" x14ac:dyDescent="0.3">
      <c r="A2150" s="43" t="s">
        <v>4937</v>
      </c>
      <c r="B2150" s="81" t="s">
        <v>4933</v>
      </c>
      <c r="C2150" s="26" t="s">
        <v>37</v>
      </c>
      <c r="D2150" s="14"/>
      <c r="E2150" s="15"/>
      <c r="F2150" s="16">
        <f>+D2150*E2150</f>
        <v>0</v>
      </c>
      <c r="G2150">
        <f t="shared" si="125"/>
        <v>0</v>
      </c>
    </row>
    <row r="2151" spans="1:7" ht="15.75" hidden="1" thickBot="1" x14ac:dyDescent="0.3">
      <c r="A2151" s="44" t="s">
        <v>4938</v>
      </c>
      <c r="B2151" s="80" t="s">
        <v>4939</v>
      </c>
      <c r="C2151" s="14"/>
      <c r="D2151" s="14"/>
      <c r="E2151" s="15"/>
      <c r="F2151" s="16"/>
      <c r="G2151">
        <f t="shared" si="125"/>
        <v>0</v>
      </c>
    </row>
    <row r="2152" spans="1:7" ht="15.75" hidden="1" thickBot="1" x14ac:dyDescent="0.3">
      <c r="A2152" s="44" t="s">
        <v>4940</v>
      </c>
      <c r="B2152" s="80" t="s">
        <v>4950</v>
      </c>
      <c r="C2152" s="14"/>
      <c r="D2152" s="14"/>
      <c r="E2152" s="15"/>
      <c r="F2152" s="16"/>
      <c r="G2152">
        <f t="shared" si="125"/>
        <v>0</v>
      </c>
    </row>
    <row r="2153" spans="1:7" ht="15.75" hidden="1" thickBot="1" x14ac:dyDescent="0.3">
      <c r="A2153" s="43" t="s">
        <v>1014</v>
      </c>
      <c r="B2153" s="81" t="s">
        <v>4944</v>
      </c>
      <c r="C2153" s="26" t="s">
        <v>37</v>
      </c>
      <c r="D2153" s="14"/>
      <c r="E2153" s="15"/>
      <c r="F2153" s="16">
        <f>+D2153*E2153</f>
        <v>0</v>
      </c>
      <c r="G2153">
        <f t="shared" si="125"/>
        <v>0</v>
      </c>
    </row>
    <row r="2154" spans="1:7" ht="15.75" hidden="1" thickBot="1" x14ac:dyDescent="0.3">
      <c r="A2154" s="43" t="s">
        <v>1021</v>
      </c>
      <c r="B2154" s="81" t="s">
        <v>4945</v>
      </c>
      <c r="C2154" s="26" t="s">
        <v>37</v>
      </c>
      <c r="D2154" s="14"/>
      <c r="E2154" s="15"/>
      <c r="F2154" s="16">
        <f>+D2154*E2154</f>
        <v>0</v>
      </c>
      <c r="G2154">
        <f t="shared" si="125"/>
        <v>0</v>
      </c>
    </row>
    <row r="2155" spans="1:7" ht="15.75" hidden="1" thickBot="1" x14ac:dyDescent="0.3">
      <c r="A2155" s="44" t="s">
        <v>1029</v>
      </c>
      <c r="B2155" s="80" t="s">
        <v>4949</v>
      </c>
      <c r="C2155" s="14"/>
      <c r="D2155" s="14"/>
      <c r="E2155" s="15"/>
      <c r="F2155" s="16"/>
      <c r="G2155">
        <f t="shared" si="125"/>
        <v>0</v>
      </c>
    </row>
    <row r="2156" spans="1:7" ht="15.75" hidden="1" thickBot="1" x14ac:dyDescent="0.3">
      <c r="A2156" s="43" t="s">
        <v>1030</v>
      </c>
      <c r="B2156" s="81" t="s">
        <v>4946</v>
      </c>
      <c r="C2156" s="26" t="s">
        <v>37</v>
      </c>
      <c r="D2156" s="14"/>
      <c r="E2156" s="15"/>
      <c r="F2156" s="16">
        <f>+D2156*E2156</f>
        <v>0</v>
      </c>
      <c r="G2156">
        <f t="shared" si="125"/>
        <v>0</v>
      </c>
    </row>
    <row r="2157" spans="1:7" ht="15.75" hidden="1" thickBot="1" x14ac:dyDescent="0.3">
      <c r="A2157" s="43" t="s">
        <v>4952</v>
      </c>
      <c r="B2157" s="81" t="s">
        <v>4947</v>
      </c>
      <c r="C2157" s="26" t="s">
        <v>37</v>
      </c>
      <c r="D2157" s="14"/>
      <c r="E2157" s="15"/>
      <c r="F2157" s="16">
        <f>+D2157*E2157</f>
        <v>0</v>
      </c>
      <c r="G2157">
        <f t="shared" si="125"/>
        <v>0</v>
      </c>
    </row>
    <row r="2158" spans="1:7" ht="15.75" hidden="1" thickBot="1" x14ac:dyDescent="0.3">
      <c r="A2158" s="43" t="s">
        <v>4953</v>
      </c>
      <c r="B2158" s="81" t="s">
        <v>4944</v>
      </c>
      <c r="C2158" s="26" t="s">
        <v>37</v>
      </c>
      <c r="D2158" s="14"/>
      <c r="E2158" s="15"/>
      <c r="F2158" s="16">
        <f>+D2158*E2158</f>
        <v>0</v>
      </c>
      <c r="G2158">
        <f t="shared" si="125"/>
        <v>0</v>
      </c>
    </row>
    <row r="2159" spans="1:7" ht="15.75" hidden="1" thickBot="1" x14ac:dyDescent="0.3">
      <c r="A2159" s="43" t="s">
        <v>4954</v>
      </c>
      <c r="B2159" s="81" t="s">
        <v>4948</v>
      </c>
      <c r="C2159" s="26" t="s">
        <v>37</v>
      </c>
      <c r="D2159" s="14"/>
      <c r="E2159" s="15"/>
      <c r="F2159" s="16">
        <f>+D2159*E2159</f>
        <v>0</v>
      </c>
      <c r="G2159">
        <f t="shared" si="125"/>
        <v>0</v>
      </c>
    </row>
    <row r="2160" spans="1:7" ht="15.75" hidden="1" thickBot="1" x14ac:dyDescent="0.3">
      <c r="A2160" s="44" t="s">
        <v>1035</v>
      </c>
      <c r="B2160" s="80" t="s">
        <v>4951</v>
      </c>
      <c r="C2160" s="14"/>
      <c r="D2160" s="14"/>
      <c r="E2160" s="15"/>
      <c r="F2160" s="16"/>
      <c r="G2160">
        <f t="shared" si="125"/>
        <v>0</v>
      </c>
    </row>
    <row r="2161" spans="1:7" ht="15.75" hidden="1" thickBot="1" x14ac:dyDescent="0.3">
      <c r="A2161" s="43" t="s">
        <v>4955</v>
      </c>
      <c r="B2161" s="81" t="s">
        <v>4947</v>
      </c>
      <c r="C2161" s="26" t="s">
        <v>37</v>
      </c>
      <c r="D2161" s="14"/>
      <c r="E2161" s="15"/>
      <c r="F2161" s="16">
        <f>+D2161*E2161</f>
        <v>0</v>
      </c>
      <c r="G2161">
        <f t="shared" si="125"/>
        <v>0</v>
      </c>
    </row>
    <row r="2162" spans="1:7" ht="15.75" hidden="1" thickBot="1" x14ac:dyDescent="0.3">
      <c r="A2162" s="44" t="s">
        <v>1011</v>
      </c>
      <c r="B2162" s="80" t="s">
        <v>1012</v>
      </c>
      <c r="C2162" s="14"/>
      <c r="D2162" s="14"/>
      <c r="E2162" s="15"/>
      <c r="F2162" s="16"/>
      <c r="G2162">
        <f t="shared" si="125"/>
        <v>0</v>
      </c>
    </row>
    <row r="2163" spans="1:7" ht="15.75" hidden="1" thickBot="1" x14ac:dyDescent="0.3">
      <c r="A2163" s="44" t="s">
        <v>1013</v>
      </c>
      <c r="B2163" s="80" t="s">
        <v>4956</v>
      </c>
      <c r="C2163" s="14"/>
      <c r="D2163" s="14"/>
      <c r="E2163" s="15"/>
      <c r="F2163" s="16"/>
      <c r="G2163">
        <f t="shared" si="125"/>
        <v>0</v>
      </c>
    </row>
    <row r="2164" spans="1:7" ht="15.75" hidden="1" thickBot="1" x14ac:dyDescent="0.3">
      <c r="A2164" s="44" t="s">
        <v>1014</v>
      </c>
      <c r="B2164" s="89" t="s">
        <v>4957</v>
      </c>
      <c r="C2164" s="14"/>
      <c r="D2164" s="14"/>
      <c r="E2164" s="15"/>
      <c r="F2164" s="16"/>
      <c r="G2164">
        <f t="shared" si="125"/>
        <v>0</v>
      </c>
    </row>
    <row r="2165" spans="1:7" ht="15.75" hidden="1" thickBot="1" x14ac:dyDescent="0.3">
      <c r="A2165" s="43" t="s">
        <v>4969</v>
      </c>
      <c r="B2165" s="81" t="s">
        <v>4958</v>
      </c>
      <c r="C2165" s="14" t="s">
        <v>37</v>
      </c>
      <c r="D2165" s="14"/>
      <c r="E2165" s="15"/>
      <c r="F2165" s="16">
        <f t="shared" ref="F2165:F2175" si="126">+D2165*E2165</f>
        <v>0</v>
      </c>
      <c r="G2165">
        <f t="shared" si="125"/>
        <v>0</v>
      </c>
    </row>
    <row r="2166" spans="1:7" ht="15.75" hidden="1" thickBot="1" x14ac:dyDescent="0.3">
      <c r="A2166" s="43" t="s">
        <v>1015</v>
      </c>
      <c r="B2166" s="81" t="s">
        <v>4959</v>
      </c>
      <c r="C2166" s="14" t="s">
        <v>37</v>
      </c>
      <c r="D2166" s="14"/>
      <c r="E2166" s="15"/>
      <c r="F2166" s="16">
        <f t="shared" si="126"/>
        <v>0</v>
      </c>
      <c r="G2166">
        <f t="shared" si="125"/>
        <v>0</v>
      </c>
    </row>
    <row r="2167" spans="1:7" ht="15.75" hidden="1" thickBot="1" x14ac:dyDescent="0.3">
      <c r="A2167" s="43" t="s">
        <v>1016</v>
      </c>
      <c r="B2167" s="81" t="s">
        <v>4960</v>
      </c>
      <c r="C2167" s="14" t="s">
        <v>37</v>
      </c>
      <c r="D2167" s="14"/>
      <c r="E2167" s="15"/>
      <c r="F2167" s="16">
        <f t="shared" si="126"/>
        <v>0</v>
      </c>
      <c r="G2167">
        <f t="shared" si="125"/>
        <v>0</v>
      </c>
    </row>
    <row r="2168" spans="1:7" ht="15.75" hidden="1" thickBot="1" x14ac:dyDescent="0.3">
      <c r="A2168" s="43" t="s">
        <v>1017</v>
      </c>
      <c r="B2168" s="81" t="s">
        <v>4961</v>
      </c>
      <c r="C2168" s="14" t="s">
        <v>37</v>
      </c>
      <c r="D2168" s="14"/>
      <c r="E2168" s="15"/>
      <c r="F2168" s="16">
        <f t="shared" si="126"/>
        <v>0</v>
      </c>
      <c r="G2168">
        <f t="shared" si="125"/>
        <v>0</v>
      </c>
    </row>
    <row r="2169" spans="1:7" ht="15.75" hidden="1" thickBot="1" x14ac:dyDescent="0.3">
      <c r="A2169" s="43" t="s">
        <v>1018</v>
      </c>
      <c r="B2169" s="81" t="s">
        <v>4962</v>
      </c>
      <c r="C2169" s="14" t="s">
        <v>37</v>
      </c>
      <c r="D2169" s="14"/>
      <c r="E2169" s="15">
        <f>+SUM!H2166</f>
        <v>1786946</v>
      </c>
      <c r="F2169" s="16">
        <f t="shared" si="126"/>
        <v>0</v>
      </c>
      <c r="G2169">
        <f t="shared" si="125"/>
        <v>0</v>
      </c>
    </row>
    <row r="2170" spans="1:7" ht="15.75" hidden="1" thickBot="1" x14ac:dyDescent="0.3">
      <c r="A2170" s="43" t="s">
        <v>1019</v>
      </c>
      <c r="B2170" s="81" t="s">
        <v>4963</v>
      </c>
      <c r="C2170" s="14" t="s">
        <v>37</v>
      </c>
      <c r="D2170" s="14"/>
      <c r="E2170" s="15"/>
      <c r="F2170" s="16">
        <f t="shared" si="126"/>
        <v>0</v>
      </c>
      <c r="G2170">
        <f t="shared" si="125"/>
        <v>0</v>
      </c>
    </row>
    <row r="2171" spans="1:7" ht="15.75" hidden="1" thickBot="1" x14ac:dyDescent="0.3">
      <c r="A2171" s="43" t="s">
        <v>1020</v>
      </c>
      <c r="B2171" s="81" t="s">
        <v>4964</v>
      </c>
      <c r="C2171" s="14" t="s">
        <v>37</v>
      </c>
      <c r="D2171" s="14"/>
      <c r="E2171" s="15"/>
      <c r="F2171" s="16">
        <f t="shared" si="126"/>
        <v>0</v>
      </c>
      <c r="G2171">
        <f t="shared" si="125"/>
        <v>0</v>
      </c>
    </row>
    <row r="2172" spans="1:7" ht="15.75" hidden="1" thickBot="1" x14ac:dyDescent="0.3">
      <c r="A2172" s="43" t="s">
        <v>4970</v>
      </c>
      <c r="B2172" s="81" t="s">
        <v>4965</v>
      </c>
      <c r="C2172" s="14" t="s">
        <v>37</v>
      </c>
      <c r="D2172" s="14"/>
      <c r="E2172" s="15"/>
      <c r="F2172" s="16">
        <f t="shared" si="126"/>
        <v>0</v>
      </c>
      <c r="G2172">
        <f t="shared" si="125"/>
        <v>0</v>
      </c>
    </row>
    <row r="2173" spans="1:7" ht="15.75" hidden="1" thickBot="1" x14ac:dyDescent="0.3">
      <c r="A2173" s="43" t="s">
        <v>4971</v>
      </c>
      <c r="B2173" s="81" t="s">
        <v>4966</v>
      </c>
      <c r="C2173" s="14" t="s">
        <v>37</v>
      </c>
      <c r="D2173" s="14"/>
      <c r="E2173" s="15"/>
      <c r="F2173" s="16">
        <f t="shared" si="126"/>
        <v>0</v>
      </c>
      <c r="G2173">
        <f t="shared" si="125"/>
        <v>0</v>
      </c>
    </row>
    <row r="2174" spans="1:7" ht="15.75" hidden="1" thickBot="1" x14ac:dyDescent="0.3">
      <c r="A2174" s="43" t="s">
        <v>4972</v>
      </c>
      <c r="B2174" s="81" t="s">
        <v>4967</v>
      </c>
      <c r="C2174" s="14" t="s">
        <v>37</v>
      </c>
      <c r="D2174" s="14"/>
      <c r="E2174" s="15"/>
      <c r="F2174" s="16">
        <f t="shared" si="126"/>
        <v>0</v>
      </c>
      <c r="G2174">
        <f t="shared" si="125"/>
        <v>0</v>
      </c>
    </row>
    <row r="2175" spans="1:7" ht="15.75" hidden="1" thickBot="1" x14ac:dyDescent="0.3">
      <c r="A2175" s="43" t="s">
        <v>4973</v>
      </c>
      <c r="B2175" s="81" t="s">
        <v>4968</v>
      </c>
      <c r="C2175" s="14" t="s">
        <v>37</v>
      </c>
      <c r="D2175" s="14"/>
      <c r="E2175" s="15"/>
      <c r="F2175" s="16">
        <f t="shared" si="126"/>
        <v>0</v>
      </c>
      <c r="G2175">
        <f t="shared" si="125"/>
        <v>0</v>
      </c>
    </row>
    <row r="2176" spans="1:7" ht="15.75" hidden="1" thickBot="1" x14ac:dyDescent="0.3">
      <c r="A2176" s="44" t="s">
        <v>1021</v>
      </c>
      <c r="B2176" s="89" t="s">
        <v>4974</v>
      </c>
      <c r="C2176" s="14"/>
      <c r="D2176" s="14"/>
      <c r="E2176" s="15"/>
      <c r="F2176" s="16"/>
      <c r="G2176">
        <f t="shared" si="125"/>
        <v>0</v>
      </c>
    </row>
    <row r="2177" spans="1:7" ht="15.75" hidden="1" thickBot="1" x14ac:dyDescent="0.3">
      <c r="A2177" s="43" t="s">
        <v>1022</v>
      </c>
      <c r="B2177" s="81" t="s">
        <v>4975</v>
      </c>
      <c r="C2177" s="14" t="s">
        <v>37</v>
      </c>
      <c r="D2177" s="14"/>
      <c r="E2177" s="15"/>
      <c r="F2177" s="16">
        <f t="shared" ref="F2177:F2187" si="127">+D2177*E2177</f>
        <v>0</v>
      </c>
      <c r="G2177">
        <f t="shared" si="125"/>
        <v>0</v>
      </c>
    </row>
    <row r="2178" spans="1:7" ht="15.75" hidden="1" thickBot="1" x14ac:dyDescent="0.3">
      <c r="A2178" s="43" t="s">
        <v>4985</v>
      </c>
      <c r="B2178" s="81" t="s">
        <v>4976</v>
      </c>
      <c r="C2178" s="14" t="s">
        <v>37</v>
      </c>
      <c r="D2178" s="14"/>
      <c r="E2178" s="15"/>
      <c r="F2178" s="16">
        <f t="shared" si="127"/>
        <v>0</v>
      </c>
      <c r="G2178">
        <f t="shared" si="125"/>
        <v>0</v>
      </c>
    </row>
    <row r="2179" spans="1:7" ht="15.75" hidden="1" thickBot="1" x14ac:dyDescent="0.3">
      <c r="A2179" s="43" t="s">
        <v>4986</v>
      </c>
      <c r="B2179" s="81" t="s">
        <v>4977</v>
      </c>
      <c r="C2179" s="14" t="s">
        <v>37</v>
      </c>
      <c r="D2179" s="14"/>
      <c r="E2179" s="15"/>
      <c r="F2179" s="16">
        <f t="shared" si="127"/>
        <v>0</v>
      </c>
      <c r="G2179">
        <f t="shared" si="125"/>
        <v>0</v>
      </c>
    </row>
    <row r="2180" spans="1:7" ht="15.75" hidden="1" thickBot="1" x14ac:dyDescent="0.3">
      <c r="A2180" s="43" t="s">
        <v>4987</v>
      </c>
      <c r="B2180" s="81" t="s">
        <v>5053</v>
      </c>
      <c r="C2180" s="14" t="s">
        <v>37</v>
      </c>
      <c r="D2180" s="14"/>
      <c r="E2180" s="15"/>
      <c r="F2180" s="16">
        <f t="shared" si="127"/>
        <v>0</v>
      </c>
      <c r="G2180">
        <f t="shared" si="125"/>
        <v>0</v>
      </c>
    </row>
    <row r="2181" spans="1:7" ht="15.75" hidden="1" thickBot="1" x14ac:dyDescent="0.3">
      <c r="A2181" s="43" t="s">
        <v>4988</v>
      </c>
      <c r="B2181" s="81" t="s">
        <v>4984</v>
      </c>
      <c r="C2181" s="14" t="s">
        <v>37</v>
      </c>
      <c r="D2181" s="14"/>
      <c r="E2181" s="15"/>
      <c r="F2181" s="16">
        <f t="shared" si="127"/>
        <v>0</v>
      </c>
      <c r="G2181">
        <f t="shared" si="125"/>
        <v>0</v>
      </c>
    </row>
    <row r="2182" spans="1:7" ht="15.75" hidden="1" thickBot="1" x14ac:dyDescent="0.3">
      <c r="A2182" s="43" t="s">
        <v>4989</v>
      </c>
      <c r="B2182" s="81" t="s">
        <v>4978</v>
      </c>
      <c r="C2182" s="14" t="s">
        <v>37</v>
      </c>
      <c r="D2182" s="14"/>
      <c r="E2182" s="15"/>
      <c r="F2182" s="16">
        <f t="shared" si="127"/>
        <v>0</v>
      </c>
      <c r="G2182">
        <f t="shared" si="125"/>
        <v>0</v>
      </c>
    </row>
    <row r="2183" spans="1:7" ht="15.75" hidden="1" thickBot="1" x14ac:dyDescent="0.3">
      <c r="A2183" s="43" t="s">
        <v>4990</v>
      </c>
      <c r="B2183" s="81" t="s">
        <v>4979</v>
      </c>
      <c r="C2183" s="14" t="s">
        <v>37</v>
      </c>
      <c r="D2183" s="14"/>
      <c r="E2183" s="15"/>
      <c r="F2183" s="16">
        <f t="shared" si="127"/>
        <v>0</v>
      </c>
      <c r="G2183">
        <f t="shared" si="125"/>
        <v>0</v>
      </c>
    </row>
    <row r="2184" spans="1:7" ht="15.75" hidden="1" thickBot="1" x14ac:dyDescent="0.3">
      <c r="A2184" s="43" t="s">
        <v>4991</v>
      </c>
      <c r="B2184" s="81" t="s">
        <v>4980</v>
      </c>
      <c r="C2184" s="26" t="s">
        <v>37</v>
      </c>
      <c r="D2184" s="14"/>
      <c r="E2184" s="15"/>
      <c r="F2184" s="16">
        <f t="shared" si="127"/>
        <v>0</v>
      </c>
      <c r="G2184">
        <f t="shared" si="125"/>
        <v>0</v>
      </c>
    </row>
    <row r="2185" spans="1:7" ht="15.75" hidden="1" thickBot="1" x14ac:dyDescent="0.3">
      <c r="A2185" s="43" t="s">
        <v>4992</v>
      </c>
      <c r="B2185" s="81" t="s">
        <v>4981</v>
      </c>
      <c r="C2185" s="26" t="s">
        <v>37</v>
      </c>
      <c r="D2185" s="14"/>
      <c r="E2185" s="15"/>
      <c r="F2185" s="16">
        <f t="shared" si="127"/>
        <v>0</v>
      </c>
      <c r="G2185">
        <f t="shared" si="125"/>
        <v>0</v>
      </c>
    </row>
    <row r="2186" spans="1:7" ht="15.75" hidden="1" thickBot="1" x14ac:dyDescent="0.3">
      <c r="A2186" s="43" t="s">
        <v>4993</v>
      </c>
      <c r="B2186" s="81" t="s">
        <v>4982</v>
      </c>
      <c r="C2186" s="26" t="s">
        <v>37</v>
      </c>
      <c r="D2186" s="14"/>
      <c r="E2186" s="15"/>
      <c r="F2186" s="16">
        <f t="shared" si="127"/>
        <v>0</v>
      </c>
      <c r="G2186">
        <f t="shared" si="125"/>
        <v>0</v>
      </c>
    </row>
    <row r="2187" spans="1:7" ht="15.75" hidden="1" thickBot="1" x14ac:dyDescent="0.3">
      <c r="A2187" s="43" t="s">
        <v>4994</v>
      </c>
      <c r="B2187" s="81" t="s">
        <v>4983</v>
      </c>
      <c r="C2187" s="26" t="s">
        <v>37</v>
      </c>
      <c r="D2187" s="14"/>
      <c r="E2187" s="15"/>
      <c r="F2187" s="16">
        <f t="shared" si="127"/>
        <v>0</v>
      </c>
      <c r="G2187">
        <f t="shared" si="125"/>
        <v>0</v>
      </c>
    </row>
    <row r="2188" spans="1:7" ht="15.75" hidden="1" thickBot="1" x14ac:dyDescent="0.3">
      <c r="A2188" s="44" t="s">
        <v>5066</v>
      </c>
      <c r="B2188" s="80" t="s">
        <v>5052</v>
      </c>
      <c r="C2188" s="14"/>
      <c r="D2188" s="14"/>
      <c r="E2188" s="15"/>
      <c r="F2188" s="16"/>
      <c r="G2188">
        <f t="shared" si="125"/>
        <v>0</v>
      </c>
    </row>
    <row r="2189" spans="1:7" ht="15.75" hidden="1" thickBot="1" x14ac:dyDescent="0.3">
      <c r="A2189" s="44" t="s">
        <v>1030</v>
      </c>
      <c r="B2189" s="89" t="s">
        <v>4957</v>
      </c>
      <c r="C2189" s="14"/>
      <c r="D2189" s="14"/>
      <c r="E2189" s="15"/>
      <c r="F2189" s="16"/>
      <c r="G2189">
        <f t="shared" si="125"/>
        <v>0</v>
      </c>
    </row>
    <row r="2190" spans="1:7" ht="15.75" hidden="1" thickBot="1" x14ac:dyDescent="0.3">
      <c r="A2190" s="43" t="s">
        <v>5003</v>
      </c>
      <c r="B2190" s="81" t="s">
        <v>5054</v>
      </c>
      <c r="C2190" s="26" t="s">
        <v>37</v>
      </c>
      <c r="D2190" s="14"/>
      <c r="E2190" s="15"/>
      <c r="F2190" s="16">
        <f t="shared" ref="F2190:F2200" si="128">+D2190*E2190</f>
        <v>0</v>
      </c>
      <c r="G2190">
        <f t="shared" si="125"/>
        <v>0</v>
      </c>
    </row>
    <row r="2191" spans="1:7" ht="15.75" hidden="1" thickBot="1" x14ac:dyDescent="0.3">
      <c r="A2191" s="43" t="s">
        <v>1023</v>
      </c>
      <c r="B2191" s="81" t="s">
        <v>5055</v>
      </c>
      <c r="C2191" s="26" t="s">
        <v>37</v>
      </c>
      <c r="D2191" s="14"/>
      <c r="E2191" s="15"/>
      <c r="F2191" s="16">
        <f t="shared" si="128"/>
        <v>0</v>
      </c>
      <c r="G2191">
        <f t="shared" si="125"/>
        <v>0</v>
      </c>
    </row>
    <row r="2192" spans="1:7" ht="15.75" hidden="1" thickBot="1" x14ac:dyDescent="0.3">
      <c r="A2192" s="43" t="s">
        <v>1024</v>
      </c>
      <c r="B2192" s="81" t="s">
        <v>5056</v>
      </c>
      <c r="C2192" s="26" t="s">
        <v>37</v>
      </c>
      <c r="D2192" s="14"/>
      <c r="E2192" s="15"/>
      <c r="F2192" s="16">
        <f t="shared" si="128"/>
        <v>0</v>
      </c>
      <c r="G2192">
        <f t="shared" si="125"/>
        <v>0</v>
      </c>
    </row>
    <row r="2193" spans="1:7" ht="15.75" hidden="1" thickBot="1" x14ac:dyDescent="0.3">
      <c r="A2193" s="43" t="s">
        <v>1025</v>
      </c>
      <c r="B2193" s="81" t="s">
        <v>5057</v>
      </c>
      <c r="C2193" s="26" t="s">
        <v>37</v>
      </c>
      <c r="D2193" s="14"/>
      <c r="E2193" s="15"/>
      <c r="F2193" s="16">
        <f t="shared" si="128"/>
        <v>0</v>
      </c>
      <c r="G2193">
        <f t="shared" si="125"/>
        <v>0</v>
      </c>
    </row>
    <row r="2194" spans="1:7" ht="15.75" hidden="1" thickBot="1" x14ac:dyDescent="0.3">
      <c r="A2194" s="43" t="s">
        <v>1026</v>
      </c>
      <c r="B2194" s="81" t="s">
        <v>5058</v>
      </c>
      <c r="C2194" s="26" t="s">
        <v>37</v>
      </c>
      <c r="D2194" s="14"/>
      <c r="E2194" s="15"/>
      <c r="F2194" s="16">
        <f t="shared" si="128"/>
        <v>0</v>
      </c>
      <c r="G2194">
        <f t="shared" si="125"/>
        <v>0</v>
      </c>
    </row>
    <row r="2195" spans="1:7" ht="15.75" hidden="1" thickBot="1" x14ac:dyDescent="0.3">
      <c r="A2195" s="43" t="s">
        <v>1027</v>
      </c>
      <c r="B2195" s="81" t="s">
        <v>5059</v>
      </c>
      <c r="C2195" s="26" t="s">
        <v>37</v>
      </c>
      <c r="D2195" s="14"/>
      <c r="E2195" s="15"/>
      <c r="F2195" s="16">
        <f t="shared" si="128"/>
        <v>0</v>
      </c>
      <c r="G2195">
        <f t="shared" si="125"/>
        <v>0</v>
      </c>
    </row>
    <row r="2196" spans="1:7" ht="15.75" hidden="1" thickBot="1" x14ac:dyDescent="0.3">
      <c r="A2196" s="43" t="s">
        <v>1028</v>
      </c>
      <c r="B2196" s="81" t="s">
        <v>5060</v>
      </c>
      <c r="C2196" s="26" t="s">
        <v>37</v>
      </c>
      <c r="D2196" s="14"/>
      <c r="E2196" s="15"/>
      <c r="F2196" s="16">
        <f t="shared" si="128"/>
        <v>0</v>
      </c>
      <c r="G2196">
        <f t="shared" si="125"/>
        <v>0</v>
      </c>
    </row>
    <row r="2197" spans="1:7" ht="15.75" hidden="1" thickBot="1" x14ac:dyDescent="0.3">
      <c r="A2197" s="43" t="s">
        <v>5004</v>
      </c>
      <c r="B2197" s="81" t="s">
        <v>5061</v>
      </c>
      <c r="C2197" s="26" t="s">
        <v>37</v>
      </c>
      <c r="D2197" s="14"/>
      <c r="E2197" s="15"/>
      <c r="F2197" s="16">
        <f t="shared" si="128"/>
        <v>0</v>
      </c>
      <c r="G2197">
        <f t="shared" si="125"/>
        <v>0</v>
      </c>
    </row>
    <row r="2198" spans="1:7" ht="15.75" hidden="1" thickBot="1" x14ac:dyDescent="0.3">
      <c r="A2198" s="43" t="s">
        <v>5067</v>
      </c>
      <c r="B2198" s="81" t="s">
        <v>5062</v>
      </c>
      <c r="C2198" s="26" t="s">
        <v>37</v>
      </c>
      <c r="D2198" s="14"/>
      <c r="E2198" s="15"/>
      <c r="F2198" s="16">
        <f t="shared" si="128"/>
        <v>0</v>
      </c>
      <c r="G2198">
        <f t="shared" si="125"/>
        <v>0</v>
      </c>
    </row>
    <row r="2199" spans="1:7" ht="15.75" hidden="1" thickBot="1" x14ac:dyDescent="0.3">
      <c r="A2199" s="43" t="s">
        <v>5068</v>
      </c>
      <c r="B2199" s="81" t="s">
        <v>5063</v>
      </c>
      <c r="C2199" s="26" t="s">
        <v>37</v>
      </c>
      <c r="D2199" s="14"/>
      <c r="E2199" s="15"/>
      <c r="F2199" s="16">
        <f t="shared" si="128"/>
        <v>0</v>
      </c>
      <c r="G2199">
        <f t="shared" si="125"/>
        <v>0</v>
      </c>
    </row>
    <row r="2200" spans="1:7" ht="15.75" hidden="1" thickBot="1" x14ac:dyDescent="0.3">
      <c r="A2200" s="43" t="s">
        <v>5069</v>
      </c>
      <c r="B2200" s="81" t="s">
        <v>5064</v>
      </c>
      <c r="C2200" s="26" t="s">
        <v>37</v>
      </c>
      <c r="D2200" s="14"/>
      <c r="E2200" s="15"/>
      <c r="F2200" s="16">
        <f t="shared" si="128"/>
        <v>0</v>
      </c>
      <c r="G2200">
        <f t="shared" si="125"/>
        <v>0</v>
      </c>
    </row>
    <row r="2201" spans="1:7" ht="15.75" hidden="1" thickBot="1" x14ac:dyDescent="0.3">
      <c r="A2201" s="44" t="s">
        <v>4952</v>
      </c>
      <c r="B2201" s="89" t="s">
        <v>4974</v>
      </c>
      <c r="C2201" s="14"/>
      <c r="D2201" s="14"/>
      <c r="E2201" s="15"/>
      <c r="F2201" s="16"/>
      <c r="G2201">
        <f t="shared" si="125"/>
        <v>0</v>
      </c>
    </row>
    <row r="2202" spans="1:7" ht="15.75" hidden="1" thickBot="1" x14ac:dyDescent="0.3">
      <c r="A2202" s="43" t="s">
        <v>5070</v>
      </c>
      <c r="B2202" s="81" t="s">
        <v>5054</v>
      </c>
      <c r="C2202" s="26" t="s">
        <v>37</v>
      </c>
      <c r="D2202" s="14"/>
      <c r="E2202" s="15"/>
      <c r="F2202" s="16">
        <f t="shared" ref="F2202:F2213" si="129">+D2202*E2202</f>
        <v>0</v>
      </c>
      <c r="G2202">
        <f t="shared" si="125"/>
        <v>0</v>
      </c>
    </row>
    <row r="2203" spans="1:7" ht="15.75" hidden="1" thickBot="1" x14ac:dyDescent="0.3">
      <c r="A2203" s="43" t="s">
        <v>5011</v>
      </c>
      <c r="B2203" s="81" t="s">
        <v>5055</v>
      </c>
      <c r="C2203" s="26" t="s">
        <v>37</v>
      </c>
      <c r="D2203" s="14"/>
      <c r="E2203" s="15"/>
      <c r="F2203" s="16">
        <f t="shared" si="129"/>
        <v>0</v>
      </c>
      <c r="G2203">
        <f t="shared" si="125"/>
        <v>0</v>
      </c>
    </row>
    <row r="2204" spans="1:7" ht="15.75" hidden="1" thickBot="1" x14ac:dyDescent="0.3">
      <c r="A2204" s="43" t="s">
        <v>5012</v>
      </c>
      <c r="B2204" s="81" t="s">
        <v>5056</v>
      </c>
      <c r="C2204" s="26" t="s">
        <v>37</v>
      </c>
      <c r="D2204" s="14"/>
      <c r="E2204" s="15"/>
      <c r="F2204" s="16">
        <f t="shared" si="129"/>
        <v>0</v>
      </c>
      <c r="G2204">
        <f t="shared" si="125"/>
        <v>0</v>
      </c>
    </row>
    <row r="2205" spans="1:7" ht="15.75" hidden="1" thickBot="1" x14ac:dyDescent="0.3">
      <c r="A2205" s="43" t="s">
        <v>5013</v>
      </c>
      <c r="B2205" s="81" t="s">
        <v>5057</v>
      </c>
      <c r="C2205" s="26" t="s">
        <v>37</v>
      </c>
      <c r="D2205" s="14"/>
      <c r="E2205" s="15"/>
      <c r="F2205" s="16">
        <f t="shared" si="129"/>
        <v>0</v>
      </c>
      <c r="G2205">
        <f t="shared" si="125"/>
        <v>0</v>
      </c>
    </row>
    <row r="2206" spans="1:7" ht="15.75" hidden="1" thickBot="1" x14ac:dyDescent="0.3">
      <c r="A2206" s="43" t="s">
        <v>1034</v>
      </c>
      <c r="B2206" s="81" t="s">
        <v>5058</v>
      </c>
      <c r="C2206" s="26" t="s">
        <v>37</v>
      </c>
      <c r="D2206" s="14"/>
      <c r="E2206" s="15"/>
      <c r="F2206" s="16">
        <f t="shared" si="129"/>
        <v>0</v>
      </c>
      <c r="G2206">
        <f t="shared" si="125"/>
        <v>0</v>
      </c>
    </row>
    <row r="2207" spans="1:7" ht="15.75" hidden="1" thickBot="1" x14ac:dyDescent="0.3">
      <c r="A2207" s="43" t="s">
        <v>1033</v>
      </c>
      <c r="B2207" s="81" t="s">
        <v>5059</v>
      </c>
      <c r="C2207" s="26" t="s">
        <v>37</v>
      </c>
      <c r="D2207" s="14"/>
      <c r="E2207" s="15"/>
      <c r="F2207" s="16">
        <f t="shared" si="129"/>
        <v>0</v>
      </c>
      <c r="G2207">
        <f t="shared" si="125"/>
        <v>0</v>
      </c>
    </row>
    <row r="2208" spans="1:7" ht="15.75" hidden="1" thickBot="1" x14ac:dyDescent="0.3">
      <c r="A2208" s="43" t="s">
        <v>5071</v>
      </c>
      <c r="B2208" s="81" t="s">
        <v>5060</v>
      </c>
      <c r="C2208" s="26" t="s">
        <v>37</v>
      </c>
      <c r="D2208" s="14"/>
      <c r="E2208" s="15"/>
      <c r="F2208" s="16">
        <f t="shared" si="129"/>
        <v>0</v>
      </c>
      <c r="G2208">
        <f t="shared" si="125"/>
        <v>0</v>
      </c>
    </row>
    <row r="2209" spans="1:7" ht="15.75" hidden="1" thickBot="1" x14ac:dyDescent="0.3">
      <c r="A2209" s="43" t="s">
        <v>5072</v>
      </c>
      <c r="B2209" s="81" t="s">
        <v>5061</v>
      </c>
      <c r="C2209" s="26" t="s">
        <v>37</v>
      </c>
      <c r="D2209" s="14"/>
      <c r="E2209" s="15"/>
      <c r="F2209" s="16">
        <f t="shared" si="129"/>
        <v>0</v>
      </c>
      <c r="G2209">
        <f t="shared" si="125"/>
        <v>0</v>
      </c>
    </row>
    <row r="2210" spans="1:7" ht="15.75" hidden="1" thickBot="1" x14ac:dyDescent="0.3">
      <c r="A2210" s="43" t="s">
        <v>5073</v>
      </c>
      <c r="B2210" s="81" t="s">
        <v>5062</v>
      </c>
      <c r="C2210" s="26" t="s">
        <v>37</v>
      </c>
      <c r="D2210" s="14"/>
      <c r="E2210" s="15"/>
      <c r="F2210" s="16">
        <f t="shared" si="129"/>
        <v>0</v>
      </c>
      <c r="G2210">
        <f t="shared" si="125"/>
        <v>0</v>
      </c>
    </row>
    <row r="2211" spans="1:7" ht="15.75" hidden="1" thickBot="1" x14ac:dyDescent="0.3">
      <c r="A2211" s="43" t="s">
        <v>5074</v>
      </c>
      <c r="B2211" s="81" t="s">
        <v>5063</v>
      </c>
      <c r="C2211" s="26" t="s">
        <v>37</v>
      </c>
      <c r="D2211" s="14"/>
      <c r="E2211" s="15"/>
      <c r="F2211" s="16">
        <f t="shared" si="129"/>
        <v>0</v>
      </c>
      <c r="G2211">
        <f t="shared" si="125"/>
        <v>0</v>
      </c>
    </row>
    <row r="2212" spans="1:7" ht="15.75" hidden="1" thickBot="1" x14ac:dyDescent="0.3">
      <c r="A2212" s="43" t="s">
        <v>5075</v>
      </c>
      <c r="B2212" s="81" t="s">
        <v>5064</v>
      </c>
      <c r="C2212" s="26" t="s">
        <v>37</v>
      </c>
      <c r="D2212" s="14"/>
      <c r="E2212" s="15"/>
      <c r="F2212" s="16">
        <f t="shared" si="129"/>
        <v>0</v>
      </c>
      <c r="G2212">
        <f t="shared" ref="G2212:G2275" si="130">+IF(F2212&lt;&gt;0,1,0)</f>
        <v>0</v>
      </c>
    </row>
    <row r="2213" spans="1:7" ht="15.75" hidden="1" thickBot="1" x14ac:dyDescent="0.3">
      <c r="A2213" s="43" t="s">
        <v>5076</v>
      </c>
      <c r="B2213" s="81" t="s">
        <v>5065</v>
      </c>
      <c r="C2213" s="26" t="s">
        <v>37</v>
      </c>
      <c r="D2213" s="14"/>
      <c r="E2213" s="15"/>
      <c r="F2213" s="16">
        <f t="shared" si="129"/>
        <v>0</v>
      </c>
      <c r="G2213">
        <f t="shared" si="130"/>
        <v>0</v>
      </c>
    </row>
    <row r="2214" spans="1:7" ht="15.75" hidden="1" thickBot="1" x14ac:dyDescent="0.3">
      <c r="A2214" s="44" t="s">
        <v>4955</v>
      </c>
      <c r="B2214" s="80" t="s">
        <v>5077</v>
      </c>
      <c r="C2214" s="14"/>
      <c r="D2214" s="14"/>
      <c r="E2214" s="15"/>
      <c r="F2214" s="16"/>
      <c r="G2214">
        <f t="shared" si="130"/>
        <v>0</v>
      </c>
    </row>
    <row r="2215" spans="1:7" ht="15.75" hidden="1" thickBot="1" x14ac:dyDescent="0.3">
      <c r="A2215" s="43" t="s">
        <v>5022</v>
      </c>
      <c r="B2215" s="81" t="s">
        <v>5078</v>
      </c>
      <c r="C2215" s="26" t="s">
        <v>37</v>
      </c>
      <c r="D2215" s="14"/>
      <c r="E2215" s="15"/>
      <c r="F2215" s="16">
        <f t="shared" ref="F2215:F2220" si="131">+D2215*E2215</f>
        <v>0</v>
      </c>
      <c r="G2215">
        <f t="shared" si="130"/>
        <v>0</v>
      </c>
    </row>
    <row r="2216" spans="1:7" ht="15.75" hidden="1" thickBot="1" x14ac:dyDescent="0.3">
      <c r="A2216" s="43" t="s">
        <v>5091</v>
      </c>
      <c r="B2216" s="81" t="s">
        <v>5079</v>
      </c>
      <c r="C2216" s="26" t="s">
        <v>37</v>
      </c>
      <c r="D2216" s="14"/>
      <c r="E2216" s="15"/>
      <c r="F2216" s="16">
        <f t="shared" si="131"/>
        <v>0</v>
      </c>
      <c r="G2216">
        <f t="shared" si="130"/>
        <v>0</v>
      </c>
    </row>
    <row r="2217" spans="1:7" ht="15.75" hidden="1" thickBot="1" x14ac:dyDescent="0.3">
      <c r="A2217" s="43" t="s">
        <v>5092</v>
      </c>
      <c r="B2217" s="81" t="s">
        <v>5080</v>
      </c>
      <c r="C2217" s="26" t="s">
        <v>37</v>
      </c>
      <c r="D2217" s="14"/>
      <c r="E2217" s="15"/>
      <c r="F2217" s="16">
        <f t="shared" si="131"/>
        <v>0</v>
      </c>
      <c r="G2217">
        <f t="shared" si="130"/>
        <v>0</v>
      </c>
    </row>
    <row r="2218" spans="1:7" ht="15.75" hidden="1" thickBot="1" x14ac:dyDescent="0.3">
      <c r="A2218" s="43" t="s">
        <v>5093</v>
      </c>
      <c r="B2218" s="81" t="s">
        <v>5081</v>
      </c>
      <c r="C2218" s="26" t="s">
        <v>37</v>
      </c>
      <c r="D2218" s="14"/>
      <c r="E2218" s="15"/>
      <c r="F2218" s="16">
        <f t="shared" si="131"/>
        <v>0</v>
      </c>
      <c r="G2218">
        <f t="shared" si="130"/>
        <v>0</v>
      </c>
    </row>
    <row r="2219" spans="1:7" ht="15.75" hidden="1" thickBot="1" x14ac:dyDescent="0.3">
      <c r="A2219" s="43" t="s">
        <v>5094</v>
      </c>
      <c r="B2219" s="81" t="s">
        <v>5082</v>
      </c>
      <c r="C2219" s="26" t="s">
        <v>37</v>
      </c>
      <c r="D2219" s="14"/>
      <c r="E2219" s="15"/>
      <c r="F2219" s="16">
        <f t="shared" si="131"/>
        <v>0</v>
      </c>
      <c r="G2219">
        <f t="shared" si="130"/>
        <v>0</v>
      </c>
    </row>
    <row r="2220" spans="1:7" ht="15.75" hidden="1" thickBot="1" x14ac:dyDescent="0.3">
      <c r="A2220" s="43" t="s">
        <v>5095</v>
      </c>
      <c r="B2220" s="81" t="s">
        <v>5083</v>
      </c>
      <c r="C2220" s="26" t="s">
        <v>37</v>
      </c>
      <c r="D2220" s="14"/>
      <c r="E2220" s="15"/>
      <c r="F2220" s="16">
        <f t="shared" si="131"/>
        <v>0</v>
      </c>
      <c r="G2220">
        <f t="shared" si="130"/>
        <v>0</v>
      </c>
    </row>
    <row r="2221" spans="1:7" ht="15.75" hidden="1" thickBot="1" x14ac:dyDescent="0.3">
      <c r="A2221" s="44" t="s">
        <v>5023</v>
      </c>
      <c r="B2221" s="80" t="s">
        <v>5084</v>
      </c>
      <c r="C2221" s="14"/>
      <c r="D2221" s="14"/>
      <c r="E2221" s="15"/>
      <c r="F2221" s="16"/>
      <c r="G2221">
        <f t="shared" si="130"/>
        <v>0</v>
      </c>
    </row>
    <row r="2222" spans="1:7" ht="15.75" hidden="1" thickBot="1" x14ac:dyDescent="0.3">
      <c r="A2222" s="43" t="s">
        <v>5096</v>
      </c>
      <c r="B2222" s="81" t="s">
        <v>5085</v>
      </c>
      <c r="C2222" s="26" t="s">
        <v>37</v>
      </c>
      <c r="D2222" s="14"/>
      <c r="E2222" s="15"/>
      <c r="F2222" s="16">
        <f t="shared" ref="F2222:F2227" si="132">+D2222*E2222</f>
        <v>0</v>
      </c>
      <c r="G2222">
        <f t="shared" si="130"/>
        <v>0</v>
      </c>
    </row>
    <row r="2223" spans="1:7" ht="15.75" hidden="1" thickBot="1" x14ac:dyDescent="0.3">
      <c r="A2223" s="43" t="s">
        <v>5097</v>
      </c>
      <c r="B2223" s="81" t="s">
        <v>5086</v>
      </c>
      <c r="C2223" s="26" t="s">
        <v>37</v>
      </c>
      <c r="D2223" s="14"/>
      <c r="E2223" s="15"/>
      <c r="F2223" s="16">
        <f t="shared" si="132"/>
        <v>0</v>
      </c>
      <c r="G2223">
        <f t="shared" si="130"/>
        <v>0</v>
      </c>
    </row>
    <row r="2224" spans="1:7" ht="15.75" hidden="1" thickBot="1" x14ac:dyDescent="0.3">
      <c r="A2224" s="43" t="s">
        <v>5098</v>
      </c>
      <c r="B2224" s="81" t="s">
        <v>5087</v>
      </c>
      <c r="C2224" s="26" t="s">
        <v>37</v>
      </c>
      <c r="D2224" s="14"/>
      <c r="E2224" s="15"/>
      <c r="F2224" s="16">
        <f t="shared" si="132"/>
        <v>0</v>
      </c>
      <c r="G2224">
        <f t="shared" si="130"/>
        <v>0</v>
      </c>
    </row>
    <row r="2225" spans="1:7" ht="15.75" hidden="1" thickBot="1" x14ac:dyDescent="0.3">
      <c r="A2225" s="43" t="s">
        <v>5099</v>
      </c>
      <c r="B2225" s="81" t="s">
        <v>5088</v>
      </c>
      <c r="C2225" s="26" t="s">
        <v>37</v>
      </c>
      <c r="D2225" s="14"/>
      <c r="E2225" s="15"/>
      <c r="F2225" s="16">
        <f t="shared" si="132"/>
        <v>0</v>
      </c>
      <c r="G2225">
        <f t="shared" si="130"/>
        <v>0</v>
      </c>
    </row>
    <row r="2226" spans="1:7" ht="15.75" hidden="1" thickBot="1" x14ac:dyDescent="0.3">
      <c r="A2226" s="43" t="s">
        <v>5100</v>
      </c>
      <c r="B2226" s="81" t="s">
        <v>5089</v>
      </c>
      <c r="C2226" s="26" t="s">
        <v>37</v>
      </c>
      <c r="D2226" s="14"/>
      <c r="E2226" s="15"/>
      <c r="F2226" s="16">
        <f t="shared" si="132"/>
        <v>0</v>
      </c>
      <c r="G2226">
        <f t="shared" si="130"/>
        <v>0</v>
      </c>
    </row>
    <row r="2227" spans="1:7" ht="15.75" hidden="1" thickBot="1" x14ac:dyDescent="0.3">
      <c r="A2227" s="43" t="s">
        <v>5101</v>
      </c>
      <c r="B2227" s="81" t="s">
        <v>5090</v>
      </c>
      <c r="C2227" s="26" t="s">
        <v>37</v>
      </c>
      <c r="D2227" s="14"/>
      <c r="E2227" s="15"/>
      <c r="F2227" s="16">
        <f t="shared" si="132"/>
        <v>0</v>
      </c>
      <c r="G2227">
        <f t="shared" si="130"/>
        <v>0</v>
      </c>
    </row>
    <row r="2228" spans="1:7" ht="15.75" hidden="1" thickBot="1" x14ac:dyDescent="0.3">
      <c r="A2228" s="44" t="s">
        <v>5025</v>
      </c>
      <c r="B2228" s="80" t="s">
        <v>4995</v>
      </c>
      <c r="C2228" s="14"/>
      <c r="D2228" s="14"/>
      <c r="E2228" s="15"/>
      <c r="F2228" s="16"/>
      <c r="G2228">
        <f t="shared" si="130"/>
        <v>0</v>
      </c>
    </row>
    <row r="2229" spans="1:7" ht="15.75" hidden="1" thickBot="1" x14ac:dyDescent="0.3">
      <c r="A2229" s="44" t="s">
        <v>5034</v>
      </c>
      <c r="B2229" s="80" t="s">
        <v>4996</v>
      </c>
      <c r="C2229" s="14"/>
      <c r="D2229" s="14"/>
      <c r="E2229" s="15"/>
      <c r="F2229" s="16"/>
      <c r="G2229">
        <f t="shared" si="130"/>
        <v>0</v>
      </c>
    </row>
    <row r="2230" spans="1:7" ht="15.75" hidden="1" thickBot="1" x14ac:dyDescent="0.3">
      <c r="A2230" s="43" t="s">
        <v>5102</v>
      </c>
      <c r="B2230" s="81" t="s">
        <v>4997</v>
      </c>
      <c r="C2230" s="26" t="s">
        <v>37</v>
      </c>
      <c r="D2230" s="14"/>
      <c r="E2230" s="15"/>
      <c r="F2230" s="16">
        <f t="shared" ref="F2230:F2237" si="133">+D2230*E2230</f>
        <v>0</v>
      </c>
      <c r="G2230">
        <f t="shared" si="130"/>
        <v>0</v>
      </c>
    </row>
    <row r="2231" spans="1:7" ht="15.75" hidden="1" thickBot="1" x14ac:dyDescent="0.3">
      <c r="A2231" s="43" t="s">
        <v>5103</v>
      </c>
      <c r="B2231" s="81" t="s">
        <v>4998</v>
      </c>
      <c r="C2231" s="26" t="s">
        <v>37</v>
      </c>
      <c r="D2231" s="14"/>
      <c r="E2231" s="15"/>
      <c r="F2231" s="16">
        <f t="shared" si="133"/>
        <v>0</v>
      </c>
      <c r="G2231">
        <f t="shared" si="130"/>
        <v>0</v>
      </c>
    </row>
    <row r="2232" spans="1:7" ht="15.75" hidden="1" thickBot="1" x14ac:dyDescent="0.3">
      <c r="A2232" s="43" t="s">
        <v>5104</v>
      </c>
      <c r="B2232" s="81" t="s">
        <v>4999</v>
      </c>
      <c r="C2232" s="26" t="s">
        <v>37</v>
      </c>
      <c r="D2232" s="14"/>
      <c r="E2232" s="15"/>
      <c r="F2232" s="16">
        <f t="shared" si="133"/>
        <v>0</v>
      </c>
      <c r="G2232">
        <f t="shared" si="130"/>
        <v>0</v>
      </c>
    </row>
    <row r="2233" spans="1:7" ht="15.75" hidden="1" thickBot="1" x14ac:dyDescent="0.3">
      <c r="A2233" s="43" t="s">
        <v>5105</v>
      </c>
      <c r="B2233" s="81" t="s">
        <v>1031</v>
      </c>
      <c r="C2233" s="26" t="s">
        <v>37</v>
      </c>
      <c r="D2233" s="14"/>
      <c r="E2233" s="15"/>
      <c r="F2233" s="16">
        <f t="shared" si="133"/>
        <v>0</v>
      </c>
      <c r="G2233">
        <f t="shared" si="130"/>
        <v>0</v>
      </c>
    </row>
    <row r="2234" spans="1:7" ht="15.75" hidden="1" thickBot="1" x14ac:dyDescent="0.3">
      <c r="A2234" s="43" t="s">
        <v>5106</v>
      </c>
      <c r="B2234" s="81" t="s">
        <v>1032</v>
      </c>
      <c r="C2234" s="26" t="s">
        <v>37</v>
      </c>
      <c r="D2234" s="14"/>
      <c r="E2234" s="15"/>
      <c r="F2234" s="16">
        <f t="shared" si="133"/>
        <v>0</v>
      </c>
      <c r="G2234">
        <f t="shared" si="130"/>
        <v>0</v>
      </c>
    </row>
    <row r="2235" spans="1:7" ht="15.75" hidden="1" thickBot="1" x14ac:dyDescent="0.3">
      <c r="A2235" s="43" t="s">
        <v>5107</v>
      </c>
      <c r="B2235" s="81" t="s">
        <v>5000</v>
      </c>
      <c r="C2235" s="26" t="s">
        <v>37</v>
      </c>
      <c r="D2235" s="14"/>
      <c r="E2235" s="15"/>
      <c r="F2235" s="16">
        <f t="shared" si="133"/>
        <v>0</v>
      </c>
      <c r="G2235">
        <f t="shared" si="130"/>
        <v>0</v>
      </c>
    </row>
    <row r="2236" spans="1:7" ht="15.75" hidden="1" thickBot="1" x14ac:dyDescent="0.3">
      <c r="A2236" s="43" t="s">
        <v>5108</v>
      </c>
      <c r="B2236" s="81" t="s">
        <v>5001</v>
      </c>
      <c r="C2236" s="26" t="s">
        <v>37</v>
      </c>
      <c r="D2236" s="14"/>
      <c r="E2236" s="15"/>
      <c r="F2236" s="16">
        <f t="shared" si="133"/>
        <v>0</v>
      </c>
      <c r="G2236">
        <f t="shared" si="130"/>
        <v>0</v>
      </c>
    </row>
    <row r="2237" spans="1:7" ht="15.75" hidden="1" thickBot="1" x14ac:dyDescent="0.3">
      <c r="A2237" s="43" t="s">
        <v>5109</v>
      </c>
      <c r="B2237" s="81" t="s">
        <v>5002</v>
      </c>
      <c r="C2237" s="26" t="s">
        <v>37</v>
      </c>
      <c r="D2237" s="14"/>
      <c r="E2237" s="15"/>
      <c r="F2237" s="16">
        <f t="shared" si="133"/>
        <v>0</v>
      </c>
      <c r="G2237">
        <f t="shared" si="130"/>
        <v>0</v>
      </c>
    </row>
    <row r="2238" spans="1:7" ht="15.75" hidden="1" thickBot="1" x14ac:dyDescent="0.3">
      <c r="A2238" s="44" t="s">
        <v>5110</v>
      </c>
      <c r="B2238" s="80" t="s">
        <v>5005</v>
      </c>
      <c r="C2238" s="14"/>
      <c r="D2238" s="14"/>
      <c r="E2238" s="15"/>
      <c r="F2238" s="16"/>
      <c r="G2238">
        <f t="shared" si="130"/>
        <v>0</v>
      </c>
    </row>
    <row r="2239" spans="1:7" ht="15.75" hidden="1" thickBot="1" x14ac:dyDescent="0.3">
      <c r="A2239" s="43" t="s">
        <v>5111</v>
      </c>
      <c r="B2239" s="81" t="s">
        <v>5006</v>
      </c>
      <c r="C2239" s="26" t="s">
        <v>37</v>
      </c>
      <c r="D2239" s="14"/>
      <c r="E2239" s="15"/>
      <c r="F2239" s="16">
        <f>+D2239*E2239</f>
        <v>0</v>
      </c>
      <c r="G2239">
        <f t="shared" si="130"/>
        <v>0</v>
      </c>
    </row>
    <row r="2240" spans="1:7" ht="15.75" hidden="1" thickBot="1" x14ac:dyDescent="0.3">
      <c r="A2240" s="43" t="s">
        <v>5112</v>
      </c>
      <c r="B2240" s="81" t="s">
        <v>5007</v>
      </c>
      <c r="C2240" s="26" t="s">
        <v>37</v>
      </c>
      <c r="D2240" s="14"/>
      <c r="E2240" s="15"/>
      <c r="F2240" s="16">
        <f>+D2240*E2240</f>
        <v>0</v>
      </c>
      <c r="G2240">
        <f t="shared" si="130"/>
        <v>0</v>
      </c>
    </row>
    <row r="2241" spans="1:7" ht="15.75" hidden="1" thickBot="1" x14ac:dyDescent="0.3">
      <c r="A2241" s="43" t="s">
        <v>5113</v>
      </c>
      <c r="B2241" s="81" t="s">
        <v>5008</v>
      </c>
      <c r="C2241" s="26" t="s">
        <v>37</v>
      </c>
      <c r="D2241" s="14"/>
      <c r="E2241" s="15"/>
      <c r="F2241" s="16">
        <f>+D2241*E2241</f>
        <v>0</v>
      </c>
      <c r="G2241">
        <f t="shared" si="130"/>
        <v>0</v>
      </c>
    </row>
    <row r="2242" spans="1:7" ht="15.75" hidden="1" thickBot="1" x14ac:dyDescent="0.3">
      <c r="A2242" s="43" t="s">
        <v>5114</v>
      </c>
      <c r="B2242" s="81" t="s">
        <v>5009</v>
      </c>
      <c r="C2242" s="26" t="s">
        <v>37</v>
      </c>
      <c r="D2242" s="14"/>
      <c r="E2242" s="15"/>
      <c r="F2242" s="16">
        <f>+D2242*E2242</f>
        <v>0</v>
      </c>
      <c r="G2242">
        <f t="shared" si="130"/>
        <v>0</v>
      </c>
    </row>
    <row r="2243" spans="1:7" ht="15.75" hidden="1" thickBot="1" x14ac:dyDescent="0.3">
      <c r="A2243" s="43" t="s">
        <v>5115</v>
      </c>
      <c r="B2243" s="81" t="s">
        <v>5010</v>
      </c>
      <c r="C2243" s="26" t="s">
        <v>37</v>
      </c>
      <c r="D2243" s="14"/>
      <c r="E2243" s="15"/>
      <c r="F2243" s="16">
        <f>+D2243*E2243</f>
        <v>0</v>
      </c>
      <c r="G2243">
        <f t="shared" si="130"/>
        <v>0</v>
      </c>
    </row>
    <row r="2244" spans="1:7" ht="15.75" hidden="1" thickBot="1" x14ac:dyDescent="0.3">
      <c r="A2244" s="44" t="s">
        <v>1036</v>
      </c>
      <c r="B2244" s="80" t="s">
        <v>5016</v>
      </c>
      <c r="C2244" s="14"/>
      <c r="D2244" s="14"/>
      <c r="E2244" s="15"/>
      <c r="F2244" s="16"/>
      <c r="G2244">
        <f t="shared" si="130"/>
        <v>0</v>
      </c>
    </row>
    <row r="2245" spans="1:7" ht="15.75" hidden="1" thickBot="1" x14ac:dyDescent="0.3">
      <c r="A2245" s="43" t="s">
        <v>5048</v>
      </c>
      <c r="B2245" s="81" t="s">
        <v>5017</v>
      </c>
      <c r="C2245" s="26" t="s">
        <v>37</v>
      </c>
      <c r="D2245" s="14"/>
      <c r="E2245" s="15"/>
      <c r="F2245" s="16">
        <f t="shared" ref="F2245:F2250" si="134">+D2245*E2245</f>
        <v>0</v>
      </c>
      <c r="G2245">
        <f t="shared" si="130"/>
        <v>0</v>
      </c>
    </row>
    <row r="2246" spans="1:7" ht="15.75" hidden="1" thickBot="1" x14ac:dyDescent="0.3">
      <c r="A2246" s="43" t="s">
        <v>1038</v>
      </c>
      <c r="B2246" s="81" t="s">
        <v>5018</v>
      </c>
      <c r="C2246" s="26" t="s">
        <v>37</v>
      </c>
      <c r="D2246" s="14"/>
      <c r="E2246" s="15"/>
      <c r="F2246" s="16">
        <f t="shared" si="134"/>
        <v>0</v>
      </c>
      <c r="G2246">
        <f t="shared" si="130"/>
        <v>0</v>
      </c>
    </row>
    <row r="2247" spans="1:7" ht="15.75" hidden="1" thickBot="1" x14ac:dyDescent="0.3">
      <c r="A2247" s="43" t="s">
        <v>1045</v>
      </c>
      <c r="B2247" s="81" t="s">
        <v>5019</v>
      </c>
      <c r="C2247" s="26" t="s">
        <v>37</v>
      </c>
      <c r="D2247" s="14"/>
      <c r="E2247" s="15"/>
      <c r="F2247" s="16">
        <f t="shared" si="134"/>
        <v>0</v>
      </c>
      <c r="G2247">
        <f t="shared" si="130"/>
        <v>0</v>
      </c>
    </row>
    <row r="2248" spans="1:7" ht="15.75" hidden="1" thickBot="1" x14ac:dyDescent="0.3">
      <c r="A2248" s="43" t="s">
        <v>5049</v>
      </c>
      <c r="B2248" s="81" t="s">
        <v>5024</v>
      </c>
      <c r="C2248" s="26" t="s">
        <v>37</v>
      </c>
      <c r="D2248" s="14"/>
      <c r="E2248" s="15"/>
      <c r="F2248" s="16">
        <f t="shared" si="134"/>
        <v>0</v>
      </c>
      <c r="G2248">
        <f t="shared" si="130"/>
        <v>0</v>
      </c>
    </row>
    <row r="2249" spans="1:7" ht="15.75" hidden="1" thickBot="1" x14ac:dyDescent="0.3">
      <c r="A2249" s="43" t="s">
        <v>5050</v>
      </c>
      <c r="B2249" s="81" t="s">
        <v>5020</v>
      </c>
      <c r="C2249" s="26" t="s">
        <v>37</v>
      </c>
      <c r="D2249" s="14"/>
      <c r="E2249" s="15"/>
      <c r="F2249" s="16">
        <f t="shared" si="134"/>
        <v>0</v>
      </c>
      <c r="G2249">
        <f t="shared" si="130"/>
        <v>0</v>
      </c>
    </row>
    <row r="2250" spans="1:7" ht="15.75" hidden="1" thickBot="1" x14ac:dyDescent="0.3">
      <c r="A2250" s="43" t="s">
        <v>5051</v>
      </c>
      <c r="B2250" s="81" t="s">
        <v>5021</v>
      </c>
      <c r="C2250" s="26" t="s">
        <v>37</v>
      </c>
      <c r="D2250" s="14"/>
      <c r="E2250" s="15"/>
      <c r="F2250" s="16">
        <f t="shared" si="134"/>
        <v>0</v>
      </c>
      <c r="G2250">
        <f t="shared" si="130"/>
        <v>0</v>
      </c>
    </row>
    <row r="2251" spans="1:7" ht="15.75" hidden="1" thickBot="1" x14ac:dyDescent="0.3">
      <c r="A2251" s="44" t="s">
        <v>1054</v>
      </c>
      <c r="B2251" s="80" t="s">
        <v>5026</v>
      </c>
      <c r="C2251" s="14"/>
      <c r="D2251" s="14"/>
      <c r="E2251" s="15"/>
      <c r="F2251" s="16"/>
      <c r="G2251">
        <f t="shared" si="130"/>
        <v>0</v>
      </c>
    </row>
    <row r="2252" spans="1:7" ht="15.75" hidden="1" thickBot="1" x14ac:dyDescent="0.3">
      <c r="A2252" s="43" t="s">
        <v>1055</v>
      </c>
      <c r="B2252" s="81" t="s">
        <v>5027</v>
      </c>
      <c r="C2252" s="26" t="s">
        <v>37</v>
      </c>
      <c r="D2252" s="14"/>
      <c r="E2252" s="15"/>
      <c r="F2252" s="16">
        <f t="shared" ref="F2252:F2258" si="135">+D2252*E2252</f>
        <v>0</v>
      </c>
      <c r="G2252">
        <f t="shared" si="130"/>
        <v>0</v>
      </c>
    </row>
    <row r="2253" spans="1:7" ht="15.75" hidden="1" thickBot="1" x14ac:dyDescent="0.3">
      <c r="A2253" s="43" t="s">
        <v>1056</v>
      </c>
      <c r="B2253" s="81" t="s">
        <v>5028</v>
      </c>
      <c r="C2253" s="26" t="s">
        <v>37</v>
      </c>
      <c r="D2253" s="14"/>
      <c r="E2253" s="15"/>
      <c r="F2253" s="16">
        <f t="shared" si="135"/>
        <v>0</v>
      </c>
      <c r="G2253">
        <f t="shared" si="130"/>
        <v>0</v>
      </c>
    </row>
    <row r="2254" spans="1:7" ht="15.75" hidden="1" thickBot="1" x14ac:dyDescent="0.3">
      <c r="A2254" s="43" t="s">
        <v>1057</v>
      </c>
      <c r="B2254" s="81" t="s">
        <v>5029</v>
      </c>
      <c r="C2254" s="26" t="s">
        <v>37</v>
      </c>
      <c r="D2254" s="14"/>
      <c r="E2254" s="15"/>
      <c r="F2254" s="16">
        <f t="shared" si="135"/>
        <v>0</v>
      </c>
      <c r="G2254">
        <f t="shared" si="130"/>
        <v>0</v>
      </c>
    </row>
    <row r="2255" spans="1:7" ht="15.75" hidden="1" thickBot="1" x14ac:dyDescent="0.3">
      <c r="A2255" s="43" t="s">
        <v>5116</v>
      </c>
      <c r="B2255" s="81" t="s">
        <v>5030</v>
      </c>
      <c r="C2255" s="26" t="s">
        <v>37</v>
      </c>
      <c r="D2255" s="14"/>
      <c r="E2255" s="15"/>
      <c r="F2255" s="16">
        <f t="shared" si="135"/>
        <v>0</v>
      </c>
      <c r="G2255">
        <f t="shared" si="130"/>
        <v>0</v>
      </c>
    </row>
    <row r="2256" spans="1:7" ht="15.75" hidden="1" thickBot="1" x14ac:dyDescent="0.3">
      <c r="A2256" s="43" t="s">
        <v>5117</v>
      </c>
      <c r="B2256" s="81" t="s">
        <v>5031</v>
      </c>
      <c r="C2256" s="26" t="s">
        <v>37</v>
      </c>
      <c r="D2256" s="14"/>
      <c r="E2256" s="15"/>
      <c r="F2256" s="16">
        <f t="shared" si="135"/>
        <v>0</v>
      </c>
      <c r="G2256">
        <f t="shared" si="130"/>
        <v>0</v>
      </c>
    </row>
    <row r="2257" spans="1:7" ht="15.75" hidden="1" thickBot="1" x14ac:dyDescent="0.3">
      <c r="A2257" s="43" t="s">
        <v>5118</v>
      </c>
      <c r="B2257" s="81" t="s">
        <v>5032</v>
      </c>
      <c r="C2257" s="26" t="s">
        <v>37</v>
      </c>
      <c r="D2257" s="14"/>
      <c r="E2257" s="15"/>
      <c r="F2257" s="16">
        <f t="shared" si="135"/>
        <v>0</v>
      </c>
      <c r="G2257">
        <f t="shared" si="130"/>
        <v>0</v>
      </c>
    </row>
    <row r="2258" spans="1:7" ht="15.75" hidden="1" thickBot="1" x14ac:dyDescent="0.3">
      <c r="A2258" s="43" t="s">
        <v>5120</v>
      </c>
      <c r="B2258" s="81" t="s">
        <v>5033</v>
      </c>
      <c r="C2258" s="26" t="s">
        <v>37</v>
      </c>
      <c r="D2258" s="14"/>
      <c r="E2258" s="15"/>
      <c r="F2258" s="16">
        <f t="shared" si="135"/>
        <v>0</v>
      </c>
      <c r="G2258">
        <f t="shared" si="130"/>
        <v>0</v>
      </c>
    </row>
    <row r="2259" spans="1:7" ht="15.75" hidden="1" thickBot="1" x14ac:dyDescent="0.3">
      <c r="A2259" s="44" t="s">
        <v>1059</v>
      </c>
      <c r="B2259" s="80" t="s">
        <v>5047</v>
      </c>
      <c r="C2259" s="14"/>
      <c r="D2259" s="14"/>
      <c r="E2259" s="15"/>
      <c r="F2259" s="16"/>
      <c r="G2259">
        <f t="shared" si="130"/>
        <v>0</v>
      </c>
    </row>
    <row r="2260" spans="1:7" ht="15.75" hidden="1" thickBot="1" x14ac:dyDescent="0.3">
      <c r="A2260" s="43" t="s">
        <v>5119</v>
      </c>
      <c r="B2260" s="81" t="s">
        <v>5035</v>
      </c>
      <c r="C2260" s="26" t="s">
        <v>37</v>
      </c>
      <c r="D2260" s="14"/>
      <c r="E2260" s="15"/>
      <c r="F2260" s="16">
        <f t="shared" ref="F2260:F2271" si="136">+D2260*E2260</f>
        <v>0</v>
      </c>
      <c r="G2260">
        <f t="shared" si="130"/>
        <v>0</v>
      </c>
    </row>
    <row r="2261" spans="1:7" ht="15.75" hidden="1" thickBot="1" x14ac:dyDescent="0.3">
      <c r="A2261" s="43" t="s">
        <v>5121</v>
      </c>
      <c r="B2261" s="81" t="s">
        <v>5036</v>
      </c>
      <c r="C2261" s="26" t="s">
        <v>37</v>
      </c>
      <c r="D2261" s="14"/>
      <c r="E2261" s="15"/>
      <c r="F2261" s="16">
        <f t="shared" si="136"/>
        <v>0</v>
      </c>
      <c r="G2261">
        <f t="shared" si="130"/>
        <v>0</v>
      </c>
    </row>
    <row r="2262" spans="1:7" ht="15.75" hidden="1" thickBot="1" x14ac:dyDescent="0.3">
      <c r="A2262" s="43" t="s">
        <v>5122</v>
      </c>
      <c r="B2262" s="81" t="s">
        <v>5037</v>
      </c>
      <c r="C2262" s="26" t="s">
        <v>37</v>
      </c>
      <c r="D2262" s="14"/>
      <c r="E2262" s="15"/>
      <c r="F2262" s="16">
        <f t="shared" si="136"/>
        <v>0</v>
      </c>
      <c r="G2262">
        <f t="shared" si="130"/>
        <v>0</v>
      </c>
    </row>
    <row r="2263" spans="1:7" ht="15.75" hidden="1" thickBot="1" x14ac:dyDescent="0.3">
      <c r="A2263" s="43" t="s">
        <v>5123</v>
      </c>
      <c r="B2263" s="81" t="s">
        <v>5038</v>
      </c>
      <c r="C2263" s="26" t="s">
        <v>37</v>
      </c>
      <c r="D2263" s="14"/>
      <c r="E2263" s="15"/>
      <c r="F2263" s="16">
        <f t="shared" si="136"/>
        <v>0</v>
      </c>
      <c r="G2263">
        <f t="shared" si="130"/>
        <v>0</v>
      </c>
    </row>
    <row r="2264" spans="1:7" ht="15.75" hidden="1" thickBot="1" x14ac:dyDescent="0.3">
      <c r="A2264" s="43" t="s">
        <v>5124</v>
      </c>
      <c r="B2264" s="81" t="s">
        <v>5039</v>
      </c>
      <c r="C2264" s="26" t="s">
        <v>37</v>
      </c>
      <c r="D2264" s="14"/>
      <c r="E2264" s="15"/>
      <c r="F2264" s="16">
        <f t="shared" si="136"/>
        <v>0</v>
      </c>
      <c r="G2264">
        <f t="shared" si="130"/>
        <v>0</v>
      </c>
    </row>
    <row r="2265" spans="1:7" ht="15.75" hidden="1" thickBot="1" x14ac:dyDescent="0.3">
      <c r="A2265" s="43" t="s">
        <v>5125</v>
      </c>
      <c r="B2265" s="81" t="s">
        <v>5040</v>
      </c>
      <c r="C2265" s="26" t="s">
        <v>37</v>
      </c>
      <c r="D2265" s="14"/>
      <c r="E2265" s="15"/>
      <c r="F2265" s="16">
        <f t="shared" si="136"/>
        <v>0</v>
      </c>
      <c r="G2265">
        <f t="shared" si="130"/>
        <v>0</v>
      </c>
    </row>
    <row r="2266" spans="1:7" ht="15.75" hidden="1" thickBot="1" x14ac:dyDescent="0.3">
      <c r="A2266" s="43" t="s">
        <v>5126</v>
      </c>
      <c r="B2266" s="81" t="s">
        <v>5041</v>
      </c>
      <c r="C2266" s="26" t="s">
        <v>37</v>
      </c>
      <c r="D2266" s="14"/>
      <c r="E2266" s="15"/>
      <c r="F2266" s="16">
        <f t="shared" si="136"/>
        <v>0</v>
      </c>
      <c r="G2266">
        <f t="shared" si="130"/>
        <v>0</v>
      </c>
    </row>
    <row r="2267" spans="1:7" ht="15.75" hidden="1" thickBot="1" x14ac:dyDescent="0.3">
      <c r="A2267" s="43" t="s">
        <v>5127</v>
      </c>
      <c r="B2267" s="81" t="s">
        <v>5042</v>
      </c>
      <c r="C2267" s="26" t="s">
        <v>37</v>
      </c>
      <c r="D2267" s="14"/>
      <c r="E2267" s="15"/>
      <c r="F2267" s="16">
        <f t="shared" si="136"/>
        <v>0</v>
      </c>
      <c r="G2267">
        <f t="shared" si="130"/>
        <v>0</v>
      </c>
    </row>
    <row r="2268" spans="1:7" ht="15.75" hidden="1" thickBot="1" x14ac:dyDescent="0.3">
      <c r="A2268" s="43" t="s">
        <v>5128</v>
      </c>
      <c r="B2268" s="81" t="s">
        <v>5043</v>
      </c>
      <c r="C2268" s="26" t="s">
        <v>37</v>
      </c>
      <c r="D2268" s="14"/>
      <c r="E2268" s="15"/>
      <c r="F2268" s="16">
        <f t="shared" si="136"/>
        <v>0</v>
      </c>
      <c r="G2268">
        <f t="shared" si="130"/>
        <v>0</v>
      </c>
    </row>
    <row r="2269" spans="1:7" ht="15.75" hidden="1" thickBot="1" x14ac:dyDescent="0.3">
      <c r="A2269" s="43" t="s">
        <v>5129</v>
      </c>
      <c r="B2269" s="81" t="s">
        <v>5044</v>
      </c>
      <c r="C2269" s="26" t="s">
        <v>37</v>
      </c>
      <c r="D2269" s="14"/>
      <c r="E2269" s="15"/>
      <c r="F2269" s="16">
        <f t="shared" si="136"/>
        <v>0</v>
      </c>
      <c r="G2269">
        <f t="shared" si="130"/>
        <v>0</v>
      </c>
    </row>
    <row r="2270" spans="1:7" ht="15.75" hidden="1" thickBot="1" x14ac:dyDescent="0.3">
      <c r="A2270" s="43" t="s">
        <v>5130</v>
      </c>
      <c r="B2270" s="81" t="s">
        <v>5045</v>
      </c>
      <c r="C2270" s="26" t="s">
        <v>37</v>
      </c>
      <c r="D2270" s="14"/>
      <c r="E2270" s="15"/>
      <c r="F2270" s="16">
        <f t="shared" si="136"/>
        <v>0</v>
      </c>
      <c r="G2270">
        <f t="shared" si="130"/>
        <v>0</v>
      </c>
    </row>
    <row r="2271" spans="1:7" ht="15.75" hidden="1" thickBot="1" x14ac:dyDescent="0.3">
      <c r="A2271" s="43" t="s">
        <v>5131</v>
      </c>
      <c r="B2271" s="81" t="s">
        <v>5046</v>
      </c>
      <c r="C2271" s="26" t="s">
        <v>37</v>
      </c>
      <c r="D2271" s="14"/>
      <c r="E2271" s="15"/>
      <c r="F2271" s="16">
        <f t="shared" si="136"/>
        <v>0</v>
      </c>
      <c r="G2271">
        <f t="shared" si="130"/>
        <v>0</v>
      </c>
    </row>
    <row r="2272" spans="1:7" ht="15.75" hidden="1" thickBot="1" x14ac:dyDescent="0.3">
      <c r="A2272" s="44" t="s">
        <v>1060</v>
      </c>
      <c r="B2272" s="80" t="s">
        <v>5132</v>
      </c>
      <c r="C2272" s="14"/>
      <c r="D2272" s="14"/>
      <c r="E2272" s="15"/>
      <c r="F2272" s="16"/>
      <c r="G2272">
        <f t="shared" si="130"/>
        <v>0</v>
      </c>
    </row>
    <row r="2273" spans="1:7" ht="15.75" hidden="1" thickBot="1" x14ac:dyDescent="0.3">
      <c r="A2273" s="43" t="s">
        <v>5139</v>
      </c>
      <c r="B2273" s="81" t="s">
        <v>5133</v>
      </c>
      <c r="C2273" s="26" t="s">
        <v>37</v>
      </c>
      <c r="D2273" s="14"/>
      <c r="E2273" s="15"/>
      <c r="F2273" s="16">
        <f t="shared" ref="F2273:F2278" si="137">+D2273*E2273</f>
        <v>0</v>
      </c>
      <c r="G2273">
        <f t="shared" si="130"/>
        <v>0</v>
      </c>
    </row>
    <row r="2274" spans="1:7" ht="15.75" hidden="1" thickBot="1" x14ac:dyDescent="0.3">
      <c r="A2274" s="43" t="s">
        <v>5140</v>
      </c>
      <c r="B2274" s="81" t="s">
        <v>5134</v>
      </c>
      <c r="C2274" s="26" t="s">
        <v>37</v>
      </c>
      <c r="D2274" s="14"/>
      <c r="E2274" s="15"/>
      <c r="F2274" s="16">
        <f t="shared" si="137"/>
        <v>0</v>
      </c>
      <c r="G2274">
        <f t="shared" si="130"/>
        <v>0</v>
      </c>
    </row>
    <row r="2275" spans="1:7" ht="15.75" hidden="1" thickBot="1" x14ac:dyDescent="0.3">
      <c r="A2275" s="43" t="s">
        <v>5141</v>
      </c>
      <c r="B2275" s="81" t="s">
        <v>5135</v>
      </c>
      <c r="C2275" s="26" t="s">
        <v>37</v>
      </c>
      <c r="D2275" s="14"/>
      <c r="E2275" s="15"/>
      <c r="F2275" s="16">
        <f t="shared" si="137"/>
        <v>0</v>
      </c>
      <c r="G2275">
        <f t="shared" si="130"/>
        <v>0</v>
      </c>
    </row>
    <row r="2276" spans="1:7" ht="15.75" hidden="1" thickBot="1" x14ac:dyDescent="0.3">
      <c r="A2276" s="43" t="s">
        <v>5142</v>
      </c>
      <c r="B2276" s="81" t="s">
        <v>5136</v>
      </c>
      <c r="C2276" s="26" t="s">
        <v>37</v>
      </c>
      <c r="D2276" s="14"/>
      <c r="E2276" s="15"/>
      <c r="F2276" s="16">
        <f t="shared" si="137"/>
        <v>0</v>
      </c>
      <c r="G2276">
        <f t="shared" ref="G2276:G2339" si="138">+IF(F2276&lt;&gt;0,1,0)</f>
        <v>0</v>
      </c>
    </row>
    <row r="2277" spans="1:7" ht="15.75" hidden="1" thickBot="1" x14ac:dyDescent="0.3">
      <c r="A2277" s="43" t="s">
        <v>5143</v>
      </c>
      <c r="B2277" s="81" t="s">
        <v>5137</v>
      </c>
      <c r="C2277" s="26" t="s">
        <v>37</v>
      </c>
      <c r="D2277" s="14"/>
      <c r="E2277" s="15"/>
      <c r="F2277" s="16">
        <f t="shared" si="137"/>
        <v>0</v>
      </c>
      <c r="G2277">
        <f t="shared" si="138"/>
        <v>0</v>
      </c>
    </row>
    <row r="2278" spans="1:7" ht="15.75" hidden="1" thickBot="1" x14ac:dyDescent="0.3">
      <c r="A2278" s="43" t="s">
        <v>5144</v>
      </c>
      <c r="B2278" s="81" t="s">
        <v>5138</v>
      </c>
      <c r="C2278" s="26" t="s">
        <v>37</v>
      </c>
      <c r="D2278" s="14"/>
      <c r="E2278" s="15"/>
      <c r="F2278" s="16">
        <f t="shared" si="137"/>
        <v>0</v>
      </c>
      <c r="G2278">
        <f t="shared" si="138"/>
        <v>0</v>
      </c>
    </row>
    <row r="2279" spans="1:7" ht="15.75" hidden="1" thickBot="1" x14ac:dyDescent="0.3">
      <c r="A2279" s="44" t="s">
        <v>1058</v>
      </c>
      <c r="B2279" s="80" t="s">
        <v>5145</v>
      </c>
      <c r="C2279" s="14"/>
      <c r="D2279" s="14"/>
      <c r="E2279" s="15"/>
      <c r="F2279" s="16"/>
      <c r="G2279">
        <f t="shared" si="138"/>
        <v>0</v>
      </c>
    </row>
    <row r="2280" spans="1:7" ht="15.75" hidden="1" thickBot="1" x14ac:dyDescent="0.3">
      <c r="A2280" s="43" t="s">
        <v>5152</v>
      </c>
      <c r="B2280" s="81" t="s">
        <v>5146</v>
      </c>
      <c r="C2280" s="26" t="s">
        <v>37</v>
      </c>
      <c r="D2280" s="14"/>
      <c r="E2280" s="15"/>
      <c r="F2280" s="16">
        <f t="shared" ref="F2280:F2285" si="139">+D2280*E2280</f>
        <v>0</v>
      </c>
      <c r="G2280">
        <f t="shared" si="138"/>
        <v>0</v>
      </c>
    </row>
    <row r="2281" spans="1:7" ht="15.75" hidden="1" thickBot="1" x14ac:dyDescent="0.3">
      <c r="A2281" s="43" t="s">
        <v>5153</v>
      </c>
      <c r="B2281" s="81" t="s">
        <v>5147</v>
      </c>
      <c r="C2281" s="26" t="s">
        <v>37</v>
      </c>
      <c r="D2281" s="14"/>
      <c r="E2281" s="15"/>
      <c r="F2281" s="16">
        <f t="shared" si="139"/>
        <v>0</v>
      </c>
      <c r="G2281">
        <f t="shared" si="138"/>
        <v>0</v>
      </c>
    </row>
    <row r="2282" spans="1:7" ht="15.75" hidden="1" thickBot="1" x14ac:dyDescent="0.3">
      <c r="A2282" s="43" t="s">
        <v>5154</v>
      </c>
      <c r="B2282" s="81" t="s">
        <v>5148</v>
      </c>
      <c r="C2282" s="26" t="s">
        <v>37</v>
      </c>
      <c r="D2282" s="14"/>
      <c r="E2282" s="15"/>
      <c r="F2282" s="16">
        <f t="shared" si="139"/>
        <v>0</v>
      </c>
      <c r="G2282">
        <f t="shared" si="138"/>
        <v>0</v>
      </c>
    </row>
    <row r="2283" spans="1:7" ht="15.75" hidden="1" thickBot="1" x14ac:dyDescent="0.3">
      <c r="A2283" s="43" t="s">
        <v>5155</v>
      </c>
      <c r="B2283" s="81" t="s">
        <v>5149</v>
      </c>
      <c r="C2283" s="26" t="s">
        <v>37</v>
      </c>
      <c r="D2283" s="14"/>
      <c r="E2283" s="15"/>
      <c r="F2283" s="16">
        <f t="shared" si="139"/>
        <v>0</v>
      </c>
      <c r="G2283">
        <f t="shared" si="138"/>
        <v>0</v>
      </c>
    </row>
    <row r="2284" spans="1:7" ht="15.75" hidden="1" thickBot="1" x14ac:dyDescent="0.3">
      <c r="A2284" s="43" t="s">
        <v>5156</v>
      </c>
      <c r="B2284" s="81" t="s">
        <v>5150</v>
      </c>
      <c r="C2284" s="26" t="s">
        <v>37</v>
      </c>
      <c r="D2284" s="14"/>
      <c r="E2284" s="15"/>
      <c r="F2284" s="16">
        <f t="shared" si="139"/>
        <v>0</v>
      </c>
      <c r="G2284">
        <f t="shared" si="138"/>
        <v>0</v>
      </c>
    </row>
    <row r="2285" spans="1:7" ht="15.75" hidden="1" thickBot="1" x14ac:dyDescent="0.3">
      <c r="A2285" s="43" t="s">
        <v>5157</v>
      </c>
      <c r="B2285" s="81" t="s">
        <v>5151</v>
      </c>
      <c r="C2285" s="26" t="s">
        <v>37</v>
      </c>
      <c r="D2285" s="14"/>
      <c r="E2285" s="15"/>
      <c r="F2285" s="16">
        <f t="shared" si="139"/>
        <v>0</v>
      </c>
      <c r="G2285">
        <f t="shared" si="138"/>
        <v>0</v>
      </c>
    </row>
    <row r="2286" spans="1:7" ht="15.75" hidden="1" thickBot="1" x14ac:dyDescent="0.3">
      <c r="A2286" s="44" t="s">
        <v>5159</v>
      </c>
      <c r="B2286" s="80" t="s">
        <v>5158</v>
      </c>
      <c r="C2286" s="14"/>
      <c r="D2286" s="14"/>
      <c r="E2286" s="15"/>
      <c r="F2286" s="16"/>
      <c r="G2286">
        <f t="shared" si="138"/>
        <v>0</v>
      </c>
    </row>
    <row r="2287" spans="1:7" ht="15.75" hidden="1" thickBot="1" x14ac:dyDescent="0.3">
      <c r="A2287" s="43" t="s">
        <v>5160</v>
      </c>
      <c r="B2287" s="81" t="s">
        <v>5167</v>
      </c>
      <c r="C2287" s="26" t="s">
        <v>37</v>
      </c>
      <c r="D2287" s="14"/>
      <c r="E2287" s="15"/>
      <c r="F2287" s="16">
        <f t="shared" ref="F2287:F2293" si="140">+D2287*E2287</f>
        <v>0</v>
      </c>
      <c r="G2287">
        <f t="shared" si="138"/>
        <v>0</v>
      </c>
    </row>
    <row r="2288" spans="1:7" ht="15.75" hidden="1" thickBot="1" x14ac:dyDescent="0.3">
      <c r="A2288" s="43" t="s">
        <v>5161</v>
      </c>
      <c r="B2288" s="81" t="s">
        <v>5168</v>
      </c>
      <c r="C2288" s="26" t="s">
        <v>37</v>
      </c>
      <c r="D2288" s="14"/>
      <c r="E2288" s="15"/>
      <c r="F2288" s="16">
        <f t="shared" si="140"/>
        <v>0</v>
      </c>
      <c r="G2288">
        <f t="shared" si="138"/>
        <v>0</v>
      </c>
    </row>
    <row r="2289" spans="1:7" ht="15.75" hidden="1" thickBot="1" x14ac:dyDescent="0.3">
      <c r="A2289" s="43" t="s">
        <v>5162</v>
      </c>
      <c r="B2289" s="81" t="s">
        <v>5169</v>
      </c>
      <c r="C2289" s="26" t="s">
        <v>37</v>
      </c>
      <c r="D2289" s="14"/>
      <c r="E2289" s="15"/>
      <c r="F2289" s="16">
        <f t="shared" si="140"/>
        <v>0</v>
      </c>
      <c r="G2289">
        <f t="shared" si="138"/>
        <v>0</v>
      </c>
    </row>
    <row r="2290" spans="1:7" ht="15.75" hidden="1" thickBot="1" x14ac:dyDescent="0.3">
      <c r="A2290" s="43" t="s">
        <v>5163</v>
      </c>
      <c r="B2290" s="81" t="s">
        <v>5170</v>
      </c>
      <c r="C2290" s="26" t="s">
        <v>37</v>
      </c>
      <c r="D2290" s="14"/>
      <c r="E2290" s="15"/>
      <c r="F2290" s="16">
        <f t="shared" si="140"/>
        <v>0</v>
      </c>
      <c r="G2290">
        <f t="shared" si="138"/>
        <v>0</v>
      </c>
    </row>
    <row r="2291" spans="1:7" ht="15.75" hidden="1" thickBot="1" x14ac:dyDescent="0.3">
      <c r="A2291" s="43" t="s">
        <v>5164</v>
      </c>
      <c r="B2291" s="81" t="s">
        <v>5171</v>
      </c>
      <c r="C2291" s="26" t="s">
        <v>37</v>
      </c>
      <c r="D2291" s="14"/>
      <c r="E2291" s="15"/>
      <c r="F2291" s="16">
        <f t="shared" si="140"/>
        <v>0</v>
      </c>
      <c r="G2291">
        <f t="shared" si="138"/>
        <v>0</v>
      </c>
    </row>
    <row r="2292" spans="1:7" ht="15.75" hidden="1" thickBot="1" x14ac:dyDescent="0.3">
      <c r="A2292" s="43" t="s">
        <v>5165</v>
      </c>
      <c r="B2292" s="81" t="s">
        <v>5172</v>
      </c>
      <c r="C2292" s="26" t="s">
        <v>37</v>
      </c>
      <c r="D2292" s="14"/>
      <c r="E2292" s="15"/>
      <c r="F2292" s="16">
        <f t="shared" si="140"/>
        <v>0</v>
      </c>
      <c r="G2292">
        <f t="shared" si="138"/>
        <v>0</v>
      </c>
    </row>
    <row r="2293" spans="1:7" ht="15.75" hidden="1" thickBot="1" x14ac:dyDescent="0.3">
      <c r="A2293" s="43" t="s">
        <v>5166</v>
      </c>
      <c r="B2293" s="81" t="s">
        <v>5173</v>
      </c>
      <c r="C2293" s="26" t="s">
        <v>37</v>
      </c>
      <c r="D2293" s="14"/>
      <c r="E2293" s="15"/>
      <c r="F2293" s="16">
        <f t="shared" si="140"/>
        <v>0</v>
      </c>
      <c r="G2293">
        <f t="shared" si="138"/>
        <v>0</v>
      </c>
    </row>
    <row r="2294" spans="1:7" ht="15.75" hidden="1" thickBot="1" x14ac:dyDescent="0.3">
      <c r="A2294" s="44" t="s">
        <v>5174</v>
      </c>
      <c r="B2294" s="80" t="s">
        <v>5175</v>
      </c>
      <c r="C2294" s="14"/>
      <c r="D2294" s="14"/>
      <c r="E2294" s="15"/>
      <c r="F2294" s="16"/>
      <c r="G2294">
        <f t="shared" si="138"/>
        <v>0</v>
      </c>
    </row>
    <row r="2295" spans="1:7" ht="15.75" hidden="1" thickBot="1" x14ac:dyDescent="0.3">
      <c r="A2295" s="43" t="s">
        <v>5183</v>
      </c>
      <c r="B2295" s="81" t="s">
        <v>5176</v>
      </c>
      <c r="C2295" s="26" t="s">
        <v>37</v>
      </c>
      <c r="D2295" s="14"/>
      <c r="E2295" s="15"/>
      <c r="F2295" s="16">
        <f t="shared" ref="F2295:F2301" si="141">+D2295*E2295</f>
        <v>0</v>
      </c>
      <c r="G2295">
        <f t="shared" si="138"/>
        <v>0</v>
      </c>
    </row>
    <row r="2296" spans="1:7" ht="15.75" hidden="1" thickBot="1" x14ac:dyDescent="0.3">
      <c r="A2296" s="43" t="s">
        <v>5184</v>
      </c>
      <c r="B2296" s="81" t="s">
        <v>5177</v>
      </c>
      <c r="C2296" s="26" t="s">
        <v>37</v>
      </c>
      <c r="D2296" s="14"/>
      <c r="E2296" s="15"/>
      <c r="F2296" s="16">
        <f t="shared" si="141"/>
        <v>0</v>
      </c>
      <c r="G2296">
        <f t="shared" si="138"/>
        <v>0</v>
      </c>
    </row>
    <row r="2297" spans="1:7" ht="15.75" hidden="1" thickBot="1" x14ac:dyDescent="0.3">
      <c r="A2297" s="43" t="s">
        <v>5185</v>
      </c>
      <c r="B2297" s="81" t="s">
        <v>5178</v>
      </c>
      <c r="C2297" s="26" t="s">
        <v>37</v>
      </c>
      <c r="D2297" s="14"/>
      <c r="E2297" s="15"/>
      <c r="F2297" s="16">
        <f t="shared" si="141"/>
        <v>0</v>
      </c>
      <c r="G2297">
        <f t="shared" si="138"/>
        <v>0</v>
      </c>
    </row>
    <row r="2298" spans="1:7" ht="15.75" hidden="1" thickBot="1" x14ac:dyDescent="0.3">
      <c r="A2298" s="43" t="s">
        <v>5186</v>
      </c>
      <c r="B2298" s="81" t="s">
        <v>5179</v>
      </c>
      <c r="C2298" s="26" t="s">
        <v>37</v>
      </c>
      <c r="D2298" s="14"/>
      <c r="E2298" s="15"/>
      <c r="F2298" s="16">
        <f t="shared" si="141"/>
        <v>0</v>
      </c>
      <c r="G2298">
        <f t="shared" si="138"/>
        <v>0</v>
      </c>
    </row>
    <row r="2299" spans="1:7" ht="15.75" hidden="1" thickBot="1" x14ac:dyDescent="0.3">
      <c r="A2299" s="43" t="s">
        <v>5187</v>
      </c>
      <c r="B2299" s="81" t="s">
        <v>5180</v>
      </c>
      <c r="C2299" s="26" t="s">
        <v>37</v>
      </c>
      <c r="D2299" s="14"/>
      <c r="E2299" s="15"/>
      <c r="F2299" s="16">
        <f t="shared" si="141"/>
        <v>0</v>
      </c>
      <c r="G2299">
        <f t="shared" si="138"/>
        <v>0</v>
      </c>
    </row>
    <row r="2300" spans="1:7" ht="15.75" hidden="1" thickBot="1" x14ac:dyDescent="0.3">
      <c r="A2300" s="43" t="s">
        <v>5188</v>
      </c>
      <c r="B2300" s="81" t="s">
        <v>5182</v>
      </c>
      <c r="C2300" s="26" t="s">
        <v>37</v>
      </c>
      <c r="D2300" s="14"/>
      <c r="E2300" s="15"/>
      <c r="F2300" s="16">
        <f t="shared" si="141"/>
        <v>0</v>
      </c>
      <c r="G2300">
        <f t="shared" si="138"/>
        <v>0</v>
      </c>
    </row>
    <row r="2301" spans="1:7" ht="15.75" hidden="1" thickBot="1" x14ac:dyDescent="0.3">
      <c r="A2301" s="43" t="s">
        <v>5189</v>
      </c>
      <c r="B2301" s="81" t="s">
        <v>5181</v>
      </c>
      <c r="C2301" s="26" t="s">
        <v>37</v>
      </c>
      <c r="D2301" s="14"/>
      <c r="E2301" s="15"/>
      <c r="F2301" s="16">
        <f t="shared" si="141"/>
        <v>0</v>
      </c>
      <c r="G2301">
        <f t="shared" si="138"/>
        <v>0</v>
      </c>
    </row>
    <row r="2302" spans="1:7" ht="15.75" hidden="1" thickBot="1" x14ac:dyDescent="0.3">
      <c r="A2302" s="44" t="s">
        <v>5190</v>
      </c>
      <c r="B2302" s="80" t="s">
        <v>5191</v>
      </c>
      <c r="C2302" s="14"/>
      <c r="D2302" s="14"/>
      <c r="E2302" s="15"/>
      <c r="F2302" s="16"/>
      <c r="G2302">
        <f t="shared" si="138"/>
        <v>0</v>
      </c>
    </row>
    <row r="2303" spans="1:7" ht="15.75" hidden="1" thickBot="1" x14ac:dyDescent="0.3">
      <c r="A2303" s="43" t="s">
        <v>5203</v>
      </c>
      <c r="B2303" s="81" t="s">
        <v>5192</v>
      </c>
      <c r="C2303" s="26" t="s">
        <v>37</v>
      </c>
      <c r="D2303" s="14"/>
      <c r="E2303" s="15"/>
      <c r="F2303" s="16">
        <f t="shared" ref="F2303:F2314" si="142">+D2303*E2303</f>
        <v>0</v>
      </c>
      <c r="G2303">
        <f t="shared" si="138"/>
        <v>0</v>
      </c>
    </row>
    <row r="2304" spans="1:7" ht="15.75" hidden="1" thickBot="1" x14ac:dyDescent="0.3">
      <c r="A2304" s="43" t="s">
        <v>5204</v>
      </c>
      <c r="B2304" s="81" t="s">
        <v>5193</v>
      </c>
      <c r="C2304" s="26" t="s">
        <v>37</v>
      </c>
      <c r="D2304" s="14"/>
      <c r="E2304" s="15"/>
      <c r="F2304" s="16">
        <f t="shared" si="142"/>
        <v>0</v>
      </c>
      <c r="G2304">
        <f t="shared" si="138"/>
        <v>0</v>
      </c>
    </row>
    <row r="2305" spans="1:7" ht="15.75" hidden="1" thickBot="1" x14ac:dyDescent="0.3">
      <c r="A2305" s="43" t="s">
        <v>5205</v>
      </c>
      <c r="B2305" s="81" t="s">
        <v>5194</v>
      </c>
      <c r="C2305" s="26" t="s">
        <v>37</v>
      </c>
      <c r="D2305" s="14"/>
      <c r="E2305" s="15"/>
      <c r="F2305" s="16">
        <f t="shared" si="142"/>
        <v>0</v>
      </c>
      <c r="G2305">
        <f t="shared" si="138"/>
        <v>0</v>
      </c>
    </row>
    <row r="2306" spans="1:7" ht="15.75" hidden="1" thickBot="1" x14ac:dyDescent="0.3">
      <c r="A2306" s="43" t="s">
        <v>5206</v>
      </c>
      <c r="B2306" s="81" t="s">
        <v>5195</v>
      </c>
      <c r="C2306" s="26" t="s">
        <v>37</v>
      </c>
      <c r="D2306" s="14"/>
      <c r="E2306" s="15"/>
      <c r="F2306" s="16">
        <f t="shared" si="142"/>
        <v>0</v>
      </c>
      <c r="G2306">
        <f t="shared" si="138"/>
        <v>0</v>
      </c>
    </row>
    <row r="2307" spans="1:7" ht="15.75" hidden="1" thickBot="1" x14ac:dyDescent="0.3">
      <c r="A2307" s="43" t="s">
        <v>5207</v>
      </c>
      <c r="B2307" s="81" t="s">
        <v>5196</v>
      </c>
      <c r="C2307" s="26" t="s">
        <v>37</v>
      </c>
      <c r="D2307" s="14"/>
      <c r="E2307" s="15"/>
      <c r="F2307" s="16">
        <f t="shared" si="142"/>
        <v>0</v>
      </c>
      <c r="G2307">
        <f t="shared" si="138"/>
        <v>0</v>
      </c>
    </row>
    <row r="2308" spans="1:7" ht="15.75" hidden="1" thickBot="1" x14ac:dyDescent="0.3">
      <c r="A2308" s="43" t="s">
        <v>5208</v>
      </c>
      <c r="B2308" s="81" t="s">
        <v>5197</v>
      </c>
      <c r="C2308" s="26" t="s">
        <v>37</v>
      </c>
      <c r="D2308" s="14"/>
      <c r="E2308" s="15"/>
      <c r="F2308" s="16">
        <f t="shared" si="142"/>
        <v>0</v>
      </c>
      <c r="G2308">
        <f t="shared" si="138"/>
        <v>0</v>
      </c>
    </row>
    <row r="2309" spans="1:7" ht="15.75" hidden="1" thickBot="1" x14ac:dyDescent="0.3">
      <c r="A2309" s="43" t="s">
        <v>5209</v>
      </c>
      <c r="B2309" s="81" t="s">
        <v>5198</v>
      </c>
      <c r="C2309" s="26" t="s">
        <v>37</v>
      </c>
      <c r="D2309" s="14"/>
      <c r="E2309" s="15"/>
      <c r="F2309" s="16">
        <f t="shared" si="142"/>
        <v>0</v>
      </c>
      <c r="G2309">
        <f t="shared" si="138"/>
        <v>0</v>
      </c>
    </row>
    <row r="2310" spans="1:7" ht="15.75" hidden="1" thickBot="1" x14ac:dyDescent="0.3">
      <c r="A2310" s="43" t="s">
        <v>5210</v>
      </c>
      <c r="B2310" s="81" t="s">
        <v>5199</v>
      </c>
      <c r="C2310" s="26" t="s">
        <v>37</v>
      </c>
      <c r="D2310" s="14"/>
      <c r="E2310" s="15"/>
      <c r="F2310" s="16">
        <f t="shared" si="142"/>
        <v>0</v>
      </c>
      <c r="G2310">
        <f t="shared" si="138"/>
        <v>0</v>
      </c>
    </row>
    <row r="2311" spans="1:7" ht="15.75" hidden="1" thickBot="1" x14ac:dyDescent="0.3">
      <c r="A2311" s="43" t="s">
        <v>5211</v>
      </c>
      <c r="B2311" s="81" t="s">
        <v>5200</v>
      </c>
      <c r="C2311" s="26" t="s">
        <v>37</v>
      </c>
      <c r="D2311" s="14"/>
      <c r="E2311" s="15"/>
      <c r="F2311" s="16">
        <f t="shared" si="142"/>
        <v>0</v>
      </c>
      <c r="G2311">
        <f t="shared" si="138"/>
        <v>0</v>
      </c>
    </row>
    <row r="2312" spans="1:7" ht="15.75" hidden="1" thickBot="1" x14ac:dyDescent="0.3">
      <c r="A2312" s="43" t="s">
        <v>5212</v>
      </c>
      <c r="B2312" s="81" t="s">
        <v>5201</v>
      </c>
      <c r="C2312" s="26" t="s">
        <v>37</v>
      </c>
      <c r="D2312" s="14"/>
      <c r="E2312" s="15"/>
      <c r="F2312" s="16">
        <f t="shared" si="142"/>
        <v>0</v>
      </c>
      <c r="G2312">
        <f t="shared" si="138"/>
        <v>0</v>
      </c>
    </row>
    <row r="2313" spans="1:7" ht="15.75" hidden="1" thickBot="1" x14ac:dyDescent="0.3">
      <c r="A2313" s="43" t="s">
        <v>5213</v>
      </c>
      <c r="B2313" s="81" t="s">
        <v>5202</v>
      </c>
      <c r="C2313" s="26" t="s">
        <v>37</v>
      </c>
      <c r="D2313" s="14"/>
      <c r="E2313" s="15"/>
      <c r="F2313" s="16">
        <f t="shared" si="142"/>
        <v>0</v>
      </c>
      <c r="G2313">
        <f t="shared" si="138"/>
        <v>0</v>
      </c>
    </row>
    <row r="2314" spans="1:7" ht="15.75" hidden="1" thickBot="1" x14ac:dyDescent="0.3">
      <c r="A2314" s="43" t="s">
        <v>5230</v>
      </c>
      <c r="B2314" s="81" t="s">
        <v>5231</v>
      </c>
      <c r="C2314" s="26" t="s">
        <v>37</v>
      </c>
      <c r="D2314" s="14"/>
      <c r="E2314" s="15"/>
      <c r="F2314" s="16">
        <f t="shared" si="142"/>
        <v>0</v>
      </c>
      <c r="G2314">
        <f t="shared" si="138"/>
        <v>0</v>
      </c>
    </row>
    <row r="2315" spans="1:7" ht="15.75" hidden="1" thickBot="1" x14ac:dyDescent="0.3">
      <c r="A2315" s="44" t="s">
        <v>5214</v>
      </c>
      <c r="B2315" s="80" t="s">
        <v>5215</v>
      </c>
      <c r="C2315" s="14"/>
      <c r="D2315" s="14"/>
      <c r="E2315" s="15"/>
      <c r="F2315" s="16"/>
      <c r="G2315">
        <f t="shared" si="138"/>
        <v>0</v>
      </c>
    </row>
    <row r="2316" spans="1:7" ht="15.75" hidden="1" thickBot="1" x14ac:dyDescent="0.3">
      <c r="A2316" s="43" t="s">
        <v>5223</v>
      </c>
      <c r="B2316" s="81" t="s">
        <v>5216</v>
      </c>
      <c r="C2316" s="26" t="s">
        <v>37</v>
      </c>
      <c r="D2316" s="14"/>
      <c r="E2316" s="15"/>
      <c r="F2316" s="16">
        <f t="shared" ref="F2316:F2327" si="143">+D2316*E2316</f>
        <v>0</v>
      </c>
      <c r="G2316">
        <f t="shared" si="138"/>
        <v>0</v>
      </c>
    </row>
    <row r="2317" spans="1:7" ht="15.75" hidden="1" thickBot="1" x14ac:dyDescent="0.3">
      <c r="A2317" s="43" t="s">
        <v>5224</v>
      </c>
      <c r="B2317" s="81" t="s">
        <v>5217</v>
      </c>
      <c r="C2317" s="26" t="s">
        <v>37</v>
      </c>
      <c r="D2317" s="14"/>
      <c r="E2317" s="15"/>
      <c r="F2317" s="16">
        <f t="shared" si="143"/>
        <v>0</v>
      </c>
      <c r="G2317">
        <f t="shared" si="138"/>
        <v>0</v>
      </c>
    </row>
    <row r="2318" spans="1:7" ht="15.75" hidden="1" thickBot="1" x14ac:dyDescent="0.3">
      <c r="A2318" s="43" t="s">
        <v>5225</v>
      </c>
      <c r="B2318" s="81" t="s">
        <v>5218</v>
      </c>
      <c r="C2318" s="26" t="s">
        <v>37</v>
      </c>
      <c r="D2318" s="14"/>
      <c r="E2318" s="15"/>
      <c r="F2318" s="16">
        <f t="shared" si="143"/>
        <v>0</v>
      </c>
      <c r="G2318">
        <f t="shared" si="138"/>
        <v>0</v>
      </c>
    </row>
    <row r="2319" spans="1:7" ht="15.75" hidden="1" thickBot="1" x14ac:dyDescent="0.3">
      <c r="A2319" s="43" t="s">
        <v>5226</v>
      </c>
      <c r="B2319" s="81" t="s">
        <v>5219</v>
      </c>
      <c r="C2319" s="26" t="s">
        <v>37</v>
      </c>
      <c r="D2319" s="14"/>
      <c r="E2319" s="15"/>
      <c r="F2319" s="16">
        <f t="shared" si="143"/>
        <v>0</v>
      </c>
      <c r="G2319">
        <f t="shared" si="138"/>
        <v>0</v>
      </c>
    </row>
    <row r="2320" spans="1:7" ht="15.75" hidden="1" thickBot="1" x14ac:dyDescent="0.3">
      <c r="A2320" s="43" t="s">
        <v>5227</v>
      </c>
      <c r="B2320" s="81" t="s">
        <v>5220</v>
      </c>
      <c r="C2320" s="26" t="s">
        <v>37</v>
      </c>
      <c r="D2320" s="14"/>
      <c r="E2320" s="15"/>
      <c r="F2320" s="16">
        <f t="shared" si="143"/>
        <v>0</v>
      </c>
      <c r="G2320">
        <f t="shared" si="138"/>
        <v>0</v>
      </c>
    </row>
    <row r="2321" spans="1:7" ht="15.75" hidden="1" thickBot="1" x14ac:dyDescent="0.3">
      <c r="A2321" s="43" t="s">
        <v>5228</v>
      </c>
      <c r="B2321" s="81" t="s">
        <v>5221</v>
      </c>
      <c r="C2321" s="26" t="s">
        <v>37</v>
      </c>
      <c r="D2321" s="14"/>
      <c r="E2321" s="15"/>
      <c r="F2321" s="16">
        <f t="shared" si="143"/>
        <v>0</v>
      </c>
      <c r="G2321">
        <f t="shared" si="138"/>
        <v>0</v>
      </c>
    </row>
    <row r="2322" spans="1:7" ht="15.75" hidden="1" thickBot="1" x14ac:dyDescent="0.3">
      <c r="A2322" s="43" t="s">
        <v>5229</v>
      </c>
      <c r="B2322" s="81" t="s">
        <v>5222</v>
      </c>
      <c r="C2322" s="26" t="s">
        <v>37</v>
      </c>
      <c r="D2322" s="14"/>
      <c r="E2322" s="15"/>
      <c r="F2322" s="16">
        <f t="shared" si="143"/>
        <v>0</v>
      </c>
      <c r="G2322">
        <f t="shared" si="138"/>
        <v>0</v>
      </c>
    </row>
    <row r="2323" spans="1:7" ht="15.75" hidden="1" thickBot="1" x14ac:dyDescent="0.3">
      <c r="A2323" s="43" t="s">
        <v>5232</v>
      </c>
      <c r="B2323" s="122" t="s">
        <v>5237</v>
      </c>
      <c r="C2323" s="26" t="s">
        <v>37</v>
      </c>
      <c r="D2323" s="14"/>
      <c r="E2323" s="15"/>
      <c r="F2323" s="16">
        <f t="shared" si="143"/>
        <v>0</v>
      </c>
      <c r="G2323">
        <f t="shared" si="138"/>
        <v>0</v>
      </c>
    </row>
    <row r="2324" spans="1:7" ht="15.75" hidden="1" thickBot="1" x14ac:dyDescent="0.3">
      <c r="A2324" s="43" t="s">
        <v>5233</v>
      </c>
      <c r="B2324" s="122" t="s">
        <v>5238</v>
      </c>
      <c r="C2324" s="26" t="s">
        <v>37</v>
      </c>
      <c r="D2324" s="14"/>
      <c r="E2324" s="15"/>
      <c r="F2324" s="16">
        <f t="shared" si="143"/>
        <v>0</v>
      </c>
      <c r="G2324">
        <f t="shared" si="138"/>
        <v>0</v>
      </c>
    </row>
    <row r="2325" spans="1:7" ht="15.75" hidden="1" thickBot="1" x14ac:dyDescent="0.3">
      <c r="A2325" s="43" t="s">
        <v>5234</v>
      </c>
      <c r="B2325" s="122" t="s">
        <v>5239</v>
      </c>
      <c r="C2325" s="26" t="s">
        <v>37</v>
      </c>
      <c r="D2325" s="14"/>
      <c r="E2325" s="15"/>
      <c r="F2325" s="16">
        <f t="shared" si="143"/>
        <v>0</v>
      </c>
      <c r="G2325">
        <f t="shared" si="138"/>
        <v>0</v>
      </c>
    </row>
    <row r="2326" spans="1:7" ht="15.75" hidden="1" thickBot="1" x14ac:dyDescent="0.3">
      <c r="A2326" s="43" t="s">
        <v>5235</v>
      </c>
      <c r="B2326" s="122" t="s">
        <v>5240</v>
      </c>
      <c r="C2326" s="26" t="s">
        <v>37</v>
      </c>
      <c r="D2326" s="14"/>
      <c r="E2326" s="15"/>
      <c r="F2326" s="16">
        <f t="shared" si="143"/>
        <v>0</v>
      </c>
      <c r="G2326">
        <f t="shared" si="138"/>
        <v>0</v>
      </c>
    </row>
    <row r="2327" spans="1:7" ht="15.75" hidden="1" thickBot="1" x14ac:dyDescent="0.3">
      <c r="A2327" s="43" t="s">
        <v>5236</v>
      </c>
      <c r="B2327" s="122" t="s">
        <v>5241</v>
      </c>
      <c r="C2327" s="26" t="s">
        <v>37</v>
      </c>
      <c r="D2327" s="14"/>
      <c r="E2327" s="15"/>
      <c r="F2327" s="16">
        <f t="shared" si="143"/>
        <v>0</v>
      </c>
      <c r="G2327">
        <f t="shared" si="138"/>
        <v>0</v>
      </c>
    </row>
    <row r="2328" spans="1:7" ht="15.75" hidden="1" thickBot="1" x14ac:dyDescent="0.3">
      <c r="A2328" s="44" t="s">
        <v>5242</v>
      </c>
      <c r="B2328" s="80" t="s">
        <v>5243</v>
      </c>
      <c r="C2328" s="14"/>
      <c r="D2328" s="14"/>
      <c r="E2328" s="15"/>
      <c r="F2328" s="16"/>
      <c r="G2328">
        <f t="shared" si="138"/>
        <v>0</v>
      </c>
    </row>
    <row r="2329" spans="1:7" ht="15.75" hidden="1" thickBot="1" x14ac:dyDescent="0.3">
      <c r="A2329" s="43" t="s">
        <v>5252</v>
      </c>
      <c r="B2329" s="81" t="s">
        <v>5246</v>
      </c>
      <c r="C2329" s="26" t="s">
        <v>37</v>
      </c>
      <c r="D2329" s="14"/>
      <c r="E2329" s="15"/>
      <c r="F2329" s="16">
        <f t="shared" ref="F2329:F2336" si="144">+D2329*E2329</f>
        <v>0</v>
      </c>
      <c r="G2329">
        <f t="shared" si="138"/>
        <v>0</v>
      </c>
    </row>
    <row r="2330" spans="1:7" ht="15.75" hidden="1" thickBot="1" x14ac:dyDescent="0.3">
      <c r="A2330" s="43" t="s">
        <v>5253</v>
      </c>
      <c r="B2330" s="81" t="s">
        <v>5245</v>
      </c>
      <c r="C2330" s="26" t="s">
        <v>37</v>
      </c>
      <c r="D2330" s="14"/>
      <c r="E2330" s="15"/>
      <c r="F2330" s="16">
        <f t="shared" si="144"/>
        <v>0</v>
      </c>
      <c r="G2330">
        <f t="shared" si="138"/>
        <v>0</v>
      </c>
    </row>
    <row r="2331" spans="1:7" ht="15.75" hidden="1" thickBot="1" x14ac:dyDescent="0.3">
      <c r="A2331" s="43" t="s">
        <v>5254</v>
      </c>
      <c r="B2331" s="81" t="s">
        <v>5244</v>
      </c>
      <c r="C2331" s="26" t="s">
        <v>37</v>
      </c>
      <c r="D2331" s="14"/>
      <c r="E2331" s="15"/>
      <c r="F2331" s="16">
        <f t="shared" si="144"/>
        <v>0</v>
      </c>
      <c r="G2331">
        <f t="shared" si="138"/>
        <v>0</v>
      </c>
    </row>
    <row r="2332" spans="1:7" ht="15.75" hidden="1" thickBot="1" x14ac:dyDescent="0.3">
      <c r="A2332" s="43" t="s">
        <v>5255</v>
      </c>
      <c r="B2332" s="81" t="s">
        <v>5247</v>
      </c>
      <c r="C2332" s="26" t="s">
        <v>37</v>
      </c>
      <c r="D2332" s="14"/>
      <c r="E2332" s="15"/>
      <c r="F2332" s="16">
        <f t="shared" si="144"/>
        <v>0</v>
      </c>
      <c r="G2332">
        <f t="shared" si="138"/>
        <v>0</v>
      </c>
    </row>
    <row r="2333" spans="1:7" ht="15.75" hidden="1" thickBot="1" x14ac:dyDescent="0.3">
      <c r="A2333" s="43" t="s">
        <v>5256</v>
      </c>
      <c r="B2333" s="81" t="s">
        <v>5248</v>
      </c>
      <c r="C2333" s="26" t="s">
        <v>37</v>
      </c>
      <c r="D2333" s="14"/>
      <c r="E2333" s="15"/>
      <c r="F2333" s="16">
        <f t="shared" si="144"/>
        <v>0</v>
      </c>
      <c r="G2333">
        <f t="shared" si="138"/>
        <v>0</v>
      </c>
    </row>
    <row r="2334" spans="1:7" ht="15.75" hidden="1" thickBot="1" x14ac:dyDescent="0.3">
      <c r="A2334" s="43" t="s">
        <v>5257</v>
      </c>
      <c r="B2334" s="81" t="s">
        <v>5249</v>
      </c>
      <c r="C2334" s="26" t="s">
        <v>37</v>
      </c>
      <c r="D2334" s="14"/>
      <c r="E2334" s="15"/>
      <c r="F2334" s="16">
        <f t="shared" si="144"/>
        <v>0</v>
      </c>
      <c r="G2334">
        <f t="shared" si="138"/>
        <v>0</v>
      </c>
    </row>
    <row r="2335" spans="1:7" ht="15.75" hidden="1" thickBot="1" x14ac:dyDescent="0.3">
      <c r="A2335" s="43" t="s">
        <v>5258</v>
      </c>
      <c r="B2335" s="81" t="s">
        <v>5250</v>
      </c>
      <c r="C2335" s="26" t="s">
        <v>37</v>
      </c>
      <c r="D2335" s="14"/>
      <c r="E2335" s="15"/>
      <c r="F2335" s="16">
        <f t="shared" si="144"/>
        <v>0</v>
      </c>
      <c r="G2335">
        <f t="shared" si="138"/>
        <v>0</v>
      </c>
    </row>
    <row r="2336" spans="1:7" ht="15.75" hidden="1" thickBot="1" x14ac:dyDescent="0.3">
      <c r="A2336" s="43" t="s">
        <v>5259</v>
      </c>
      <c r="B2336" s="81" t="s">
        <v>5251</v>
      </c>
      <c r="C2336" s="26" t="s">
        <v>37</v>
      </c>
      <c r="D2336" s="14"/>
      <c r="E2336" s="15"/>
      <c r="F2336" s="16">
        <f t="shared" si="144"/>
        <v>0</v>
      </c>
      <c r="G2336">
        <f t="shared" si="138"/>
        <v>0</v>
      </c>
    </row>
    <row r="2337" spans="1:7" ht="15.75" hidden="1" thickBot="1" x14ac:dyDescent="0.3">
      <c r="A2337" s="44" t="s">
        <v>5260</v>
      </c>
      <c r="B2337" s="80" t="s">
        <v>1037</v>
      </c>
      <c r="C2337" s="14"/>
      <c r="D2337" s="14"/>
      <c r="E2337" s="15"/>
      <c r="F2337" s="16"/>
      <c r="G2337">
        <f t="shared" si="138"/>
        <v>0</v>
      </c>
    </row>
    <row r="2338" spans="1:7" ht="15.75" hidden="1" thickBot="1" x14ac:dyDescent="0.3">
      <c r="A2338" s="44" t="s">
        <v>5261</v>
      </c>
      <c r="B2338" s="80" t="s">
        <v>5262</v>
      </c>
      <c r="C2338" s="14"/>
      <c r="D2338" s="14"/>
      <c r="E2338" s="15"/>
      <c r="F2338" s="16"/>
      <c r="G2338">
        <f t="shared" si="138"/>
        <v>0</v>
      </c>
    </row>
    <row r="2339" spans="1:7" ht="15.75" hidden="1" thickBot="1" x14ac:dyDescent="0.3">
      <c r="A2339" s="43" t="s">
        <v>5279</v>
      </c>
      <c r="B2339" s="81" t="s">
        <v>5265</v>
      </c>
      <c r="C2339" s="26" t="s">
        <v>37</v>
      </c>
      <c r="D2339" s="14"/>
      <c r="E2339" s="15"/>
      <c r="F2339" s="16">
        <f t="shared" ref="F2339:F2353" si="145">+D2339*E2339</f>
        <v>0</v>
      </c>
      <c r="G2339">
        <f t="shared" si="138"/>
        <v>0</v>
      </c>
    </row>
    <row r="2340" spans="1:7" ht="15.75" hidden="1" thickBot="1" x14ac:dyDescent="0.3">
      <c r="A2340" s="43" t="s">
        <v>5280</v>
      </c>
      <c r="B2340" s="81" t="s">
        <v>1040</v>
      </c>
      <c r="C2340" s="26" t="s">
        <v>37</v>
      </c>
      <c r="D2340" s="14"/>
      <c r="E2340" s="15"/>
      <c r="F2340" s="16">
        <f t="shared" si="145"/>
        <v>0</v>
      </c>
      <c r="G2340">
        <f t="shared" ref="G2340:G2403" si="146">+IF(F2340&lt;&gt;0,1,0)</f>
        <v>0</v>
      </c>
    </row>
    <row r="2341" spans="1:7" ht="15.75" hidden="1" thickBot="1" x14ac:dyDescent="0.3">
      <c r="A2341" s="43" t="s">
        <v>5281</v>
      </c>
      <c r="B2341" s="81" t="s">
        <v>1042</v>
      </c>
      <c r="C2341" s="26" t="s">
        <v>37</v>
      </c>
      <c r="D2341" s="14"/>
      <c r="E2341" s="15"/>
      <c r="F2341" s="16">
        <f t="shared" si="145"/>
        <v>0</v>
      </c>
      <c r="G2341">
        <f t="shared" si="146"/>
        <v>0</v>
      </c>
    </row>
    <row r="2342" spans="1:7" ht="15.75" hidden="1" thickBot="1" x14ac:dyDescent="0.3">
      <c r="A2342" s="43" t="s">
        <v>5282</v>
      </c>
      <c r="B2342" s="81" t="s">
        <v>5266</v>
      </c>
      <c r="C2342" s="26" t="s">
        <v>37</v>
      </c>
      <c r="D2342" s="14"/>
      <c r="E2342" s="15"/>
      <c r="F2342" s="16">
        <f t="shared" si="145"/>
        <v>0</v>
      </c>
      <c r="G2342">
        <f t="shared" si="146"/>
        <v>0</v>
      </c>
    </row>
    <row r="2343" spans="1:7" ht="15.75" hidden="1" thickBot="1" x14ac:dyDescent="0.3">
      <c r="A2343" s="43" t="s">
        <v>5283</v>
      </c>
      <c r="B2343" s="81" t="s">
        <v>1044</v>
      </c>
      <c r="C2343" s="26" t="s">
        <v>37</v>
      </c>
      <c r="D2343" s="14"/>
      <c r="E2343" s="15"/>
      <c r="F2343" s="16">
        <f t="shared" si="145"/>
        <v>0</v>
      </c>
      <c r="G2343">
        <f t="shared" si="146"/>
        <v>0</v>
      </c>
    </row>
    <row r="2344" spans="1:7" ht="15.75" hidden="1" thickBot="1" x14ac:dyDescent="0.3">
      <c r="A2344" s="43" t="s">
        <v>5284</v>
      </c>
      <c r="B2344" s="81" t="s">
        <v>5269</v>
      </c>
      <c r="C2344" s="26" t="s">
        <v>37</v>
      </c>
      <c r="D2344" s="14"/>
      <c r="E2344" s="15"/>
      <c r="F2344" s="16">
        <f t="shared" si="145"/>
        <v>0</v>
      </c>
      <c r="G2344">
        <f t="shared" si="146"/>
        <v>0</v>
      </c>
    </row>
    <row r="2345" spans="1:7" ht="15.75" hidden="1" thickBot="1" x14ac:dyDescent="0.3">
      <c r="A2345" s="43" t="s">
        <v>5285</v>
      </c>
      <c r="B2345" s="81" t="s">
        <v>5270</v>
      </c>
      <c r="C2345" s="26" t="s">
        <v>37</v>
      </c>
      <c r="D2345" s="14"/>
      <c r="E2345" s="15"/>
      <c r="F2345" s="16">
        <f t="shared" si="145"/>
        <v>0</v>
      </c>
      <c r="G2345">
        <f t="shared" si="146"/>
        <v>0</v>
      </c>
    </row>
    <row r="2346" spans="1:7" ht="15.75" hidden="1" thickBot="1" x14ac:dyDescent="0.3">
      <c r="A2346" s="43" t="s">
        <v>5286</v>
      </c>
      <c r="B2346" s="81" t="s">
        <v>5271</v>
      </c>
      <c r="C2346" s="26" t="s">
        <v>37</v>
      </c>
      <c r="D2346" s="14"/>
      <c r="E2346" s="15"/>
      <c r="F2346" s="16">
        <f t="shared" si="145"/>
        <v>0</v>
      </c>
      <c r="G2346">
        <f t="shared" si="146"/>
        <v>0</v>
      </c>
    </row>
    <row r="2347" spans="1:7" ht="15.75" hidden="1" thickBot="1" x14ac:dyDescent="0.3">
      <c r="A2347" s="43" t="s">
        <v>5287</v>
      </c>
      <c r="B2347" s="81" t="s">
        <v>5272</v>
      </c>
      <c r="C2347" s="26" t="s">
        <v>37</v>
      </c>
      <c r="D2347" s="14"/>
      <c r="E2347" s="15"/>
      <c r="F2347" s="16">
        <f t="shared" si="145"/>
        <v>0</v>
      </c>
      <c r="G2347">
        <f t="shared" si="146"/>
        <v>0</v>
      </c>
    </row>
    <row r="2348" spans="1:7" ht="15.75" hidden="1" thickBot="1" x14ac:dyDescent="0.3">
      <c r="A2348" s="43" t="s">
        <v>5288</v>
      </c>
      <c r="B2348" s="81" t="s">
        <v>5273</v>
      </c>
      <c r="C2348" s="26" t="s">
        <v>37</v>
      </c>
      <c r="D2348" s="14"/>
      <c r="E2348" s="15"/>
      <c r="F2348" s="16">
        <f t="shared" si="145"/>
        <v>0</v>
      </c>
      <c r="G2348">
        <f t="shared" si="146"/>
        <v>0</v>
      </c>
    </row>
    <row r="2349" spans="1:7" ht="15.75" hidden="1" thickBot="1" x14ac:dyDescent="0.3">
      <c r="A2349" s="43" t="s">
        <v>5289</v>
      </c>
      <c r="B2349" s="81" t="s">
        <v>5274</v>
      </c>
      <c r="C2349" s="26" t="s">
        <v>37</v>
      </c>
      <c r="D2349" s="14"/>
      <c r="E2349" s="15"/>
      <c r="F2349" s="16">
        <f t="shared" si="145"/>
        <v>0</v>
      </c>
      <c r="G2349">
        <f t="shared" si="146"/>
        <v>0</v>
      </c>
    </row>
    <row r="2350" spans="1:7" ht="15.75" hidden="1" thickBot="1" x14ac:dyDescent="0.3">
      <c r="A2350" s="43" t="s">
        <v>5290</v>
      </c>
      <c r="B2350" s="81" t="s">
        <v>5275</v>
      </c>
      <c r="C2350" s="26" t="s">
        <v>37</v>
      </c>
      <c r="D2350" s="14"/>
      <c r="E2350" s="15"/>
      <c r="F2350" s="16">
        <f t="shared" si="145"/>
        <v>0</v>
      </c>
      <c r="G2350">
        <f t="shared" si="146"/>
        <v>0</v>
      </c>
    </row>
    <row r="2351" spans="1:7" ht="15.75" hidden="1" thickBot="1" x14ac:dyDescent="0.3">
      <c r="A2351" s="43" t="s">
        <v>5291</v>
      </c>
      <c r="B2351" s="81" t="s">
        <v>5276</v>
      </c>
      <c r="C2351" s="26" t="s">
        <v>37</v>
      </c>
      <c r="D2351" s="14"/>
      <c r="E2351" s="15"/>
      <c r="F2351" s="16">
        <f t="shared" si="145"/>
        <v>0</v>
      </c>
      <c r="G2351">
        <f t="shared" si="146"/>
        <v>0</v>
      </c>
    </row>
    <row r="2352" spans="1:7" ht="15.75" hidden="1" thickBot="1" x14ac:dyDescent="0.3">
      <c r="A2352" s="43" t="s">
        <v>5292</v>
      </c>
      <c r="B2352" s="81" t="s">
        <v>5277</v>
      </c>
      <c r="C2352" s="26" t="s">
        <v>37</v>
      </c>
      <c r="D2352" s="14"/>
      <c r="E2352" s="15"/>
      <c r="F2352" s="16">
        <f t="shared" si="145"/>
        <v>0</v>
      </c>
      <c r="G2352">
        <f t="shared" si="146"/>
        <v>0</v>
      </c>
    </row>
    <row r="2353" spans="1:7" ht="15.75" hidden="1" thickBot="1" x14ac:dyDescent="0.3">
      <c r="A2353" s="43" t="s">
        <v>5293</v>
      </c>
      <c r="B2353" s="81" t="s">
        <v>5278</v>
      </c>
      <c r="C2353" s="26" t="s">
        <v>37</v>
      </c>
      <c r="D2353" s="14"/>
      <c r="E2353" s="15"/>
      <c r="F2353" s="16">
        <f t="shared" si="145"/>
        <v>0</v>
      </c>
      <c r="G2353">
        <f t="shared" si="146"/>
        <v>0</v>
      </c>
    </row>
    <row r="2354" spans="1:7" ht="15.75" hidden="1" thickBot="1" x14ac:dyDescent="0.3">
      <c r="A2354" s="44" t="s">
        <v>5267</v>
      </c>
      <c r="B2354" s="80" t="s">
        <v>5263</v>
      </c>
      <c r="C2354" s="14"/>
      <c r="D2354" s="14"/>
      <c r="E2354" s="15"/>
      <c r="F2354" s="16"/>
      <c r="G2354">
        <f t="shared" si="146"/>
        <v>0</v>
      </c>
    </row>
    <row r="2355" spans="1:7" ht="15.75" hidden="1" thickBot="1" x14ac:dyDescent="0.3">
      <c r="A2355" s="43" t="s">
        <v>5309</v>
      </c>
      <c r="B2355" s="81" t="s">
        <v>5294</v>
      </c>
      <c r="C2355" s="26" t="s">
        <v>37</v>
      </c>
      <c r="D2355" s="14"/>
      <c r="E2355" s="15"/>
      <c r="F2355" s="16">
        <f t="shared" ref="F2355:F2369" si="147">+D2355*E2355</f>
        <v>0</v>
      </c>
      <c r="G2355">
        <f t="shared" si="146"/>
        <v>0</v>
      </c>
    </row>
    <row r="2356" spans="1:7" ht="15.75" hidden="1" thickBot="1" x14ac:dyDescent="0.3">
      <c r="A2356" s="43" t="s">
        <v>1039</v>
      </c>
      <c r="B2356" s="81" t="s">
        <v>5295</v>
      </c>
      <c r="C2356" s="26" t="s">
        <v>37</v>
      </c>
      <c r="D2356" s="14"/>
      <c r="E2356" s="15"/>
      <c r="F2356" s="16">
        <f t="shared" si="147"/>
        <v>0</v>
      </c>
      <c r="G2356">
        <f t="shared" si="146"/>
        <v>0</v>
      </c>
    </row>
    <row r="2357" spans="1:7" ht="15.75" hidden="1" thickBot="1" x14ac:dyDescent="0.3">
      <c r="A2357" s="43" t="s">
        <v>1041</v>
      </c>
      <c r="B2357" s="81" t="s">
        <v>5296</v>
      </c>
      <c r="C2357" s="26" t="s">
        <v>37</v>
      </c>
      <c r="D2357" s="14"/>
      <c r="E2357" s="15"/>
      <c r="F2357" s="16">
        <f t="shared" si="147"/>
        <v>0</v>
      </c>
      <c r="G2357">
        <f t="shared" si="146"/>
        <v>0</v>
      </c>
    </row>
    <row r="2358" spans="1:7" ht="15.75" hidden="1" thickBot="1" x14ac:dyDescent="0.3">
      <c r="A2358" s="43" t="s">
        <v>1043</v>
      </c>
      <c r="B2358" s="81" t="s">
        <v>5297</v>
      </c>
      <c r="C2358" s="26" t="s">
        <v>37</v>
      </c>
      <c r="D2358" s="14"/>
      <c r="E2358" s="15"/>
      <c r="F2358" s="16">
        <f t="shared" si="147"/>
        <v>0</v>
      </c>
      <c r="G2358">
        <f t="shared" si="146"/>
        <v>0</v>
      </c>
    </row>
    <row r="2359" spans="1:7" ht="15.75" hidden="1" thickBot="1" x14ac:dyDescent="0.3">
      <c r="A2359" s="43" t="s">
        <v>5310</v>
      </c>
      <c r="B2359" s="81" t="s">
        <v>5298</v>
      </c>
      <c r="C2359" s="26" t="s">
        <v>37</v>
      </c>
      <c r="D2359" s="14"/>
      <c r="E2359" s="15"/>
      <c r="F2359" s="16">
        <f t="shared" si="147"/>
        <v>0</v>
      </c>
      <c r="G2359">
        <f t="shared" si="146"/>
        <v>0</v>
      </c>
    </row>
    <row r="2360" spans="1:7" ht="15.75" hidden="1" thickBot="1" x14ac:dyDescent="0.3">
      <c r="A2360" s="43" t="s">
        <v>5311</v>
      </c>
      <c r="B2360" s="81" t="s">
        <v>5299</v>
      </c>
      <c r="C2360" s="26" t="s">
        <v>37</v>
      </c>
      <c r="D2360" s="14"/>
      <c r="E2360" s="15"/>
      <c r="F2360" s="16">
        <f t="shared" si="147"/>
        <v>0</v>
      </c>
      <c r="G2360">
        <f t="shared" si="146"/>
        <v>0</v>
      </c>
    </row>
    <row r="2361" spans="1:7" ht="15.75" hidden="1" thickBot="1" x14ac:dyDescent="0.3">
      <c r="A2361" s="43" t="s">
        <v>5312</v>
      </c>
      <c r="B2361" s="81" t="s">
        <v>5300</v>
      </c>
      <c r="C2361" s="26" t="s">
        <v>37</v>
      </c>
      <c r="D2361" s="14"/>
      <c r="E2361" s="15"/>
      <c r="F2361" s="16">
        <f t="shared" si="147"/>
        <v>0</v>
      </c>
      <c r="G2361">
        <f t="shared" si="146"/>
        <v>0</v>
      </c>
    </row>
    <row r="2362" spans="1:7" ht="15.75" hidden="1" thickBot="1" x14ac:dyDescent="0.3">
      <c r="A2362" s="43" t="s">
        <v>5313</v>
      </c>
      <c r="B2362" s="81" t="s">
        <v>5301</v>
      </c>
      <c r="C2362" s="26" t="s">
        <v>37</v>
      </c>
      <c r="D2362" s="14"/>
      <c r="E2362" s="15"/>
      <c r="F2362" s="16">
        <f t="shared" si="147"/>
        <v>0</v>
      </c>
      <c r="G2362">
        <f t="shared" si="146"/>
        <v>0</v>
      </c>
    </row>
    <row r="2363" spans="1:7" ht="15.75" hidden="1" thickBot="1" x14ac:dyDescent="0.3">
      <c r="A2363" s="43" t="s">
        <v>5314</v>
      </c>
      <c r="B2363" s="81" t="s">
        <v>5302</v>
      </c>
      <c r="C2363" s="26" t="s">
        <v>37</v>
      </c>
      <c r="D2363" s="14"/>
      <c r="E2363" s="15"/>
      <c r="F2363" s="16">
        <f t="shared" si="147"/>
        <v>0</v>
      </c>
      <c r="G2363">
        <f t="shared" si="146"/>
        <v>0</v>
      </c>
    </row>
    <row r="2364" spans="1:7" ht="15.75" hidden="1" thickBot="1" x14ac:dyDescent="0.3">
      <c r="A2364" s="43" t="s">
        <v>5315</v>
      </c>
      <c r="B2364" s="81" t="s">
        <v>5303</v>
      </c>
      <c r="C2364" s="26" t="s">
        <v>37</v>
      </c>
      <c r="D2364" s="14"/>
      <c r="E2364" s="15"/>
      <c r="F2364" s="16">
        <f t="shared" si="147"/>
        <v>0</v>
      </c>
      <c r="G2364">
        <f t="shared" si="146"/>
        <v>0</v>
      </c>
    </row>
    <row r="2365" spans="1:7" ht="15.75" hidden="1" thickBot="1" x14ac:dyDescent="0.3">
      <c r="A2365" s="43" t="s">
        <v>5316</v>
      </c>
      <c r="B2365" s="81" t="s">
        <v>5304</v>
      </c>
      <c r="C2365" s="26" t="s">
        <v>37</v>
      </c>
      <c r="D2365" s="14"/>
      <c r="E2365" s="15"/>
      <c r="F2365" s="16">
        <f t="shared" si="147"/>
        <v>0</v>
      </c>
      <c r="G2365">
        <f t="shared" si="146"/>
        <v>0</v>
      </c>
    </row>
    <row r="2366" spans="1:7" ht="15.75" hidden="1" thickBot="1" x14ac:dyDescent="0.3">
      <c r="A2366" s="43" t="s">
        <v>5317</v>
      </c>
      <c r="B2366" s="81" t="s">
        <v>5305</v>
      </c>
      <c r="C2366" s="26" t="s">
        <v>37</v>
      </c>
      <c r="D2366" s="14"/>
      <c r="E2366" s="15"/>
      <c r="F2366" s="16">
        <f t="shared" si="147"/>
        <v>0</v>
      </c>
      <c r="G2366">
        <f t="shared" si="146"/>
        <v>0</v>
      </c>
    </row>
    <row r="2367" spans="1:7" ht="15.75" hidden="1" thickBot="1" x14ac:dyDescent="0.3">
      <c r="A2367" s="43" t="s">
        <v>5318</v>
      </c>
      <c r="B2367" s="81" t="s">
        <v>5306</v>
      </c>
      <c r="C2367" s="26" t="s">
        <v>37</v>
      </c>
      <c r="D2367" s="14"/>
      <c r="E2367" s="15"/>
      <c r="F2367" s="16">
        <f t="shared" si="147"/>
        <v>0</v>
      </c>
      <c r="G2367">
        <f t="shared" si="146"/>
        <v>0</v>
      </c>
    </row>
    <row r="2368" spans="1:7" ht="15.75" hidden="1" thickBot="1" x14ac:dyDescent="0.3">
      <c r="A2368" s="43" t="s">
        <v>5319</v>
      </c>
      <c r="B2368" s="81" t="s">
        <v>5307</v>
      </c>
      <c r="C2368" s="26" t="s">
        <v>37</v>
      </c>
      <c r="D2368" s="14"/>
      <c r="E2368" s="15"/>
      <c r="F2368" s="16">
        <f t="shared" si="147"/>
        <v>0</v>
      </c>
      <c r="G2368">
        <f t="shared" si="146"/>
        <v>0</v>
      </c>
    </row>
    <row r="2369" spans="1:7" ht="15.75" hidden="1" thickBot="1" x14ac:dyDescent="0.3">
      <c r="A2369" s="43" t="s">
        <v>5320</v>
      </c>
      <c r="B2369" s="81" t="s">
        <v>5308</v>
      </c>
      <c r="C2369" s="26" t="s">
        <v>37</v>
      </c>
      <c r="D2369" s="14"/>
      <c r="E2369" s="15"/>
      <c r="F2369" s="16">
        <f t="shared" si="147"/>
        <v>0</v>
      </c>
      <c r="G2369">
        <f t="shared" si="146"/>
        <v>0</v>
      </c>
    </row>
    <row r="2370" spans="1:7" ht="15.75" hidden="1" thickBot="1" x14ac:dyDescent="0.3">
      <c r="A2370" s="44" t="s">
        <v>5268</v>
      </c>
      <c r="B2370" s="80" t="s">
        <v>1046</v>
      </c>
      <c r="C2370" s="14"/>
      <c r="D2370" s="14"/>
      <c r="E2370" s="15"/>
      <c r="F2370" s="16"/>
      <c r="G2370">
        <f t="shared" si="146"/>
        <v>0</v>
      </c>
    </row>
    <row r="2371" spans="1:7" ht="15.75" hidden="1" thickBot="1" x14ac:dyDescent="0.3">
      <c r="A2371" s="43" t="s">
        <v>5324</v>
      </c>
      <c r="B2371" s="81" t="s">
        <v>1047</v>
      </c>
      <c r="C2371" s="14" t="s">
        <v>37</v>
      </c>
      <c r="D2371" s="14"/>
      <c r="E2371" s="15"/>
      <c r="F2371" s="16">
        <f t="shared" ref="F2371:F2381" si="148">+D2371*E2371</f>
        <v>0</v>
      </c>
      <c r="G2371">
        <f t="shared" si="146"/>
        <v>0</v>
      </c>
    </row>
    <row r="2372" spans="1:7" ht="15.75" hidden="1" thickBot="1" x14ac:dyDescent="0.3">
      <c r="A2372" s="43" t="s">
        <v>5325</v>
      </c>
      <c r="B2372" s="81" t="s">
        <v>5321</v>
      </c>
      <c r="C2372" s="14" t="s">
        <v>14</v>
      </c>
      <c r="D2372" s="14"/>
      <c r="E2372" s="15"/>
      <c r="F2372" s="16">
        <f t="shared" si="148"/>
        <v>0</v>
      </c>
      <c r="G2372">
        <f t="shared" si="146"/>
        <v>0</v>
      </c>
    </row>
    <row r="2373" spans="1:7" ht="15.75" hidden="1" thickBot="1" x14ac:dyDescent="0.3">
      <c r="A2373" s="43" t="s">
        <v>5326</v>
      </c>
      <c r="B2373" s="81" t="s">
        <v>1048</v>
      </c>
      <c r="C2373" s="14" t="s">
        <v>14</v>
      </c>
      <c r="D2373" s="14"/>
      <c r="E2373" s="15"/>
      <c r="F2373" s="16">
        <f t="shared" si="148"/>
        <v>0</v>
      </c>
      <c r="G2373">
        <f t="shared" si="146"/>
        <v>0</v>
      </c>
    </row>
    <row r="2374" spans="1:7" ht="15.75" hidden="1" thickBot="1" x14ac:dyDescent="0.3">
      <c r="A2374" s="43" t="s">
        <v>5327</v>
      </c>
      <c r="B2374" s="81" t="s">
        <v>1049</v>
      </c>
      <c r="C2374" s="14" t="s">
        <v>14</v>
      </c>
      <c r="D2374" s="14"/>
      <c r="E2374" s="15"/>
      <c r="F2374" s="16">
        <f t="shared" si="148"/>
        <v>0</v>
      </c>
      <c r="G2374">
        <f t="shared" si="146"/>
        <v>0</v>
      </c>
    </row>
    <row r="2375" spans="1:7" ht="15.75" hidden="1" thickBot="1" x14ac:dyDescent="0.3">
      <c r="A2375" s="43" t="s">
        <v>5328</v>
      </c>
      <c r="B2375" s="81" t="s">
        <v>1050</v>
      </c>
      <c r="C2375" s="14" t="s">
        <v>14</v>
      </c>
      <c r="D2375" s="14"/>
      <c r="E2375" s="15"/>
      <c r="F2375" s="16">
        <f t="shared" si="148"/>
        <v>0</v>
      </c>
      <c r="G2375">
        <f t="shared" si="146"/>
        <v>0</v>
      </c>
    </row>
    <row r="2376" spans="1:7" ht="15.75" hidden="1" thickBot="1" x14ac:dyDescent="0.3">
      <c r="A2376" s="43" t="s">
        <v>5329</v>
      </c>
      <c r="B2376" s="81" t="s">
        <v>1051</v>
      </c>
      <c r="C2376" s="14" t="s">
        <v>37</v>
      </c>
      <c r="D2376" s="14"/>
      <c r="E2376" s="15"/>
      <c r="F2376" s="16">
        <f t="shared" si="148"/>
        <v>0</v>
      </c>
      <c r="G2376">
        <f t="shared" si="146"/>
        <v>0</v>
      </c>
    </row>
    <row r="2377" spans="1:7" ht="15.75" hidden="1" thickBot="1" x14ac:dyDescent="0.3">
      <c r="A2377" s="43" t="s">
        <v>5330</v>
      </c>
      <c r="B2377" s="81" t="s">
        <v>1052</v>
      </c>
      <c r="C2377" s="14" t="s">
        <v>37</v>
      </c>
      <c r="D2377" s="14"/>
      <c r="E2377" s="15"/>
      <c r="F2377" s="16">
        <f t="shared" si="148"/>
        <v>0</v>
      </c>
      <c r="G2377">
        <f t="shared" si="146"/>
        <v>0</v>
      </c>
    </row>
    <row r="2378" spans="1:7" ht="15.75" hidden="1" thickBot="1" x14ac:dyDescent="0.3">
      <c r="A2378" s="43" t="s">
        <v>5331</v>
      </c>
      <c r="B2378" s="81" t="s">
        <v>5323</v>
      </c>
      <c r="C2378" s="14" t="s">
        <v>37</v>
      </c>
      <c r="D2378" s="14"/>
      <c r="E2378" s="15"/>
      <c r="F2378" s="16">
        <f t="shared" si="148"/>
        <v>0</v>
      </c>
      <c r="G2378">
        <f t="shared" si="146"/>
        <v>0</v>
      </c>
    </row>
    <row r="2379" spans="1:7" ht="15.75" hidden="1" thickBot="1" x14ac:dyDescent="0.3">
      <c r="A2379" s="43" t="s">
        <v>5332</v>
      </c>
      <c r="B2379" s="81" t="s">
        <v>5264</v>
      </c>
      <c r="C2379" s="14" t="s">
        <v>37</v>
      </c>
      <c r="D2379" s="14"/>
      <c r="E2379" s="15"/>
      <c r="F2379" s="16">
        <f t="shared" si="148"/>
        <v>0</v>
      </c>
      <c r="G2379">
        <f t="shared" si="146"/>
        <v>0</v>
      </c>
    </row>
    <row r="2380" spans="1:7" ht="15.75" hidden="1" thickBot="1" x14ac:dyDescent="0.3">
      <c r="A2380" s="43" t="s">
        <v>5333</v>
      </c>
      <c r="B2380" s="81" t="s">
        <v>1053</v>
      </c>
      <c r="C2380" s="14" t="s">
        <v>37</v>
      </c>
      <c r="D2380" s="14"/>
      <c r="E2380" s="15"/>
      <c r="F2380" s="16">
        <f t="shared" si="148"/>
        <v>0</v>
      </c>
      <c r="G2380">
        <f t="shared" si="146"/>
        <v>0</v>
      </c>
    </row>
    <row r="2381" spans="1:7" ht="15.75" hidden="1" thickBot="1" x14ac:dyDescent="0.3">
      <c r="A2381" s="43" t="s">
        <v>5334</v>
      </c>
      <c r="B2381" s="81" t="s">
        <v>5322</v>
      </c>
      <c r="C2381" s="14" t="s">
        <v>37</v>
      </c>
      <c r="D2381" s="14"/>
      <c r="E2381" s="15"/>
      <c r="F2381" s="16">
        <f t="shared" si="148"/>
        <v>0</v>
      </c>
      <c r="G2381">
        <f t="shared" si="146"/>
        <v>0</v>
      </c>
    </row>
    <row r="2382" spans="1:7" ht="15.75" hidden="1" thickBot="1" x14ac:dyDescent="0.3">
      <c r="A2382" s="44" t="s">
        <v>1061</v>
      </c>
      <c r="B2382" s="80" t="s">
        <v>5335</v>
      </c>
      <c r="C2382" s="14"/>
      <c r="D2382" s="14"/>
      <c r="E2382" s="15"/>
      <c r="F2382" s="16"/>
      <c r="G2382">
        <f t="shared" si="146"/>
        <v>0</v>
      </c>
    </row>
    <row r="2383" spans="1:7" ht="15.75" hidden="1" thickBot="1" x14ac:dyDescent="0.3">
      <c r="A2383" s="43" t="s">
        <v>1062</v>
      </c>
      <c r="B2383" s="81" t="s">
        <v>5369</v>
      </c>
      <c r="C2383" s="26" t="s">
        <v>37</v>
      </c>
      <c r="D2383" s="14"/>
      <c r="E2383" s="15"/>
      <c r="F2383" s="16">
        <f t="shared" ref="F2383:F2394" si="149">+D2383*E2383</f>
        <v>0</v>
      </c>
      <c r="G2383">
        <f t="shared" si="146"/>
        <v>0</v>
      </c>
    </row>
    <row r="2384" spans="1:7" ht="15.75" hidden="1" thickBot="1" x14ac:dyDescent="0.3">
      <c r="A2384" s="43" t="s">
        <v>1063</v>
      </c>
      <c r="B2384" s="81" t="s">
        <v>5336</v>
      </c>
      <c r="C2384" s="26" t="s">
        <v>37</v>
      </c>
      <c r="D2384" s="14"/>
      <c r="E2384" s="15"/>
      <c r="F2384" s="16">
        <f t="shared" si="149"/>
        <v>0</v>
      </c>
      <c r="G2384">
        <f t="shared" si="146"/>
        <v>0</v>
      </c>
    </row>
    <row r="2385" spans="1:7" ht="15.75" hidden="1" thickBot="1" x14ac:dyDescent="0.3">
      <c r="A2385" s="43" t="s">
        <v>5343</v>
      </c>
      <c r="B2385" s="81" t="s">
        <v>5337</v>
      </c>
      <c r="C2385" s="26" t="s">
        <v>37</v>
      </c>
      <c r="D2385" s="14"/>
      <c r="E2385" s="15"/>
      <c r="F2385" s="16">
        <f t="shared" si="149"/>
        <v>0</v>
      </c>
      <c r="G2385">
        <f t="shared" si="146"/>
        <v>0</v>
      </c>
    </row>
    <row r="2386" spans="1:7" ht="15.75" hidden="1" thickBot="1" x14ac:dyDescent="0.3">
      <c r="A2386" s="43" t="s">
        <v>5344</v>
      </c>
      <c r="B2386" s="81" t="s">
        <v>5338</v>
      </c>
      <c r="C2386" s="26" t="s">
        <v>37</v>
      </c>
      <c r="D2386" s="14"/>
      <c r="E2386" s="15"/>
      <c r="F2386" s="16">
        <f t="shared" si="149"/>
        <v>0</v>
      </c>
      <c r="G2386">
        <f t="shared" si="146"/>
        <v>0</v>
      </c>
    </row>
    <row r="2387" spans="1:7" ht="15.75" hidden="1" thickBot="1" x14ac:dyDescent="0.3">
      <c r="A2387" s="43" t="s">
        <v>5345</v>
      </c>
      <c r="B2387" s="81" t="s">
        <v>5339</v>
      </c>
      <c r="C2387" s="26" t="s">
        <v>37</v>
      </c>
      <c r="D2387" s="14"/>
      <c r="E2387" s="15"/>
      <c r="F2387" s="16">
        <f t="shared" si="149"/>
        <v>0</v>
      </c>
      <c r="G2387">
        <f t="shared" si="146"/>
        <v>0</v>
      </c>
    </row>
    <row r="2388" spans="1:7" ht="15.75" hidden="1" thickBot="1" x14ac:dyDescent="0.3">
      <c r="A2388" s="43" t="s">
        <v>5346</v>
      </c>
      <c r="B2388" s="81" t="s">
        <v>5340</v>
      </c>
      <c r="C2388" s="26" t="s">
        <v>37</v>
      </c>
      <c r="D2388" s="14"/>
      <c r="E2388" s="15"/>
      <c r="F2388" s="16">
        <f t="shared" si="149"/>
        <v>0</v>
      </c>
      <c r="G2388">
        <f t="shared" si="146"/>
        <v>0</v>
      </c>
    </row>
    <row r="2389" spans="1:7" ht="15.75" hidden="1" thickBot="1" x14ac:dyDescent="0.3">
      <c r="A2389" s="43" t="s">
        <v>5347</v>
      </c>
      <c r="B2389" s="81" t="s">
        <v>5341</v>
      </c>
      <c r="C2389" s="26" t="s">
        <v>37</v>
      </c>
      <c r="D2389" s="14"/>
      <c r="E2389" s="15"/>
      <c r="F2389" s="16">
        <f t="shared" si="149"/>
        <v>0</v>
      </c>
      <c r="G2389">
        <f t="shared" si="146"/>
        <v>0</v>
      </c>
    </row>
    <row r="2390" spans="1:7" ht="15.75" hidden="1" thickBot="1" x14ac:dyDescent="0.3">
      <c r="A2390" s="43" t="s">
        <v>5374</v>
      </c>
      <c r="B2390" s="81" t="s">
        <v>5342</v>
      </c>
      <c r="C2390" s="26" t="s">
        <v>37</v>
      </c>
      <c r="D2390" s="14"/>
      <c r="E2390" s="15"/>
      <c r="F2390" s="16">
        <f t="shared" si="149"/>
        <v>0</v>
      </c>
      <c r="G2390">
        <f t="shared" si="146"/>
        <v>0</v>
      </c>
    </row>
    <row r="2391" spans="1:7" ht="15.75" hidden="1" thickBot="1" x14ac:dyDescent="0.3">
      <c r="A2391" s="43" t="s">
        <v>5375</v>
      </c>
      <c r="B2391" s="81" t="s">
        <v>5370</v>
      </c>
      <c r="C2391" s="26" t="s">
        <v>37</v>
      </c>
      <c r="D2391" s="14"/>
      <c r="E2391" s="15"/>
      <c r="F2391" s="16">
        <f t="shared" si="149"/>
        <v>0</v>
      </c>
      <c r="G2391">
        <f t="shared" si="146"/>
        <v>0</v>
      </c>
    </row>
    <row r="2392" spans="1:7" ht="15.75" hidden="1" thickBot="1" x14ac:dyDescent="0.3">
      <c r="A2392" s="43" t="s">
        <v>5376</v>
      </c>
      <c r="B2392" s="81" t="s">
        <v>5371</v>
      </c>
      <c r="C2392" s="26" t="s">
        <v>37</v>
      </c>
      <c r="D2392" s="14"/>
      <c r="E2392" s="15"/>
      <c r="F2392" s="16">
        <f t="shared" si="149"/>
        <v>0</v>
      </c>
      <c r="G2392">
        <f t="shared" si="146"/>
        <v>0</v>
      </c>
    </row>
    <row r="2393" spans="1:7" ht="15.75" hidden="1" thickBot="1" x14ac:dyDescent="0.3">
      <c r="A2393" s="43" t="s">
        <v>5377</v>
      </c>
      <c r="B2393" s="81" t="s">
        <v>5372</v>
      </c>
      <c r="C2393" s="26" t="s">
        <v>37</v>
      </c>
      <c r="D2393" s="14"/>
      <c r="E2393" s="15"/>
      <c r="F2393" s="16">
        <f t="shared" si="149"/>
        <v>0</v>
      </c>
      <c r="G2393">
        <f t="shared" si="146"/>
        <v>0</v>
      </c>
    </row>
    <row r="2394" spans="1:7" ht="15.75" hidden="1" thickBot="1" x14ac:dyDescent="0.3">
      <c r="A2394" s="43" t="s">
        <v>5378</v>
      </c>
      <c r="B2394" s="81" t="s">
        <v>5373</v>
      </c>
      <c r="C2394" s="26" t="s">
        <v>37</v>
      </c>
      <c r="D2394" s="14"/>
      <c r="E2394" s="15"/>
      <c r="F2394" s="16">
        <f t="shared" si="149"/>
        <v>0</v>
      </c>
      <c r="G2394">
        <f t="shared" si="146"/>
        <v>0</v>
      </c>
    </row>
    <row r="2395" spans="1:7" ht="15.75" hidden="1" thickBot="1" x14ac:dyDescent="0.3">
      <c r="A2395" s="44" t="s">
        <v>5348</v>
      </c>
      <c r="B2395" s="80" t="s">
        <v>563</v>
      </c>
      <c r="C2395" s="14"/>
      <c r="D2395" s="14"/>
      <c r="E2395" s="15"/>
      <c r="F2395" s="16"/>
      <c r="G2395">
        <f t="shared" si="146"/>
        <v>0</v>
      </c>
    </row>
    <row r="2396" spans="1:7" ht="15.75" hidden="1" thickBot="1" x14ac:dyDescent="0.3">
      <c r="A2396" s="44" t="s">
        <v>5349</v>
      </c>
      <c r="B2396" s="80" t="s">
        <v>5350</v>
      </c>
      <c r="C2396" s="14"/>
      <c r="D2396" s="14"/>
      <c r="E2396" s="15"/>
      <c r="F2396" s="16"/>
      <c r="G2396">
        <f t="shared" si="146"/>
        <v>0</v>
      </c>
    </row>
    <row r="2397" spans="1:7" ht="15.75" hidden="1" thickBot="1" x14ac:dyDescent="0.3">
      <c r="A2397" s="43" t="s">
        <v>5356</v>
      </c>
      <c r="B2397" s="81" t="s">
        <v>5351</v>
      </c>
      <c r="C2397" s="14" t="s">
        <v>37</v>
      </c>
      <c r="D2397" s="14"/>
      <c r="E2397" s="15"/>
      <c r="F2397" s="16">
        <f>+D2397*E2397</f>
        <v>0</v>
      </c>
      <c r="G2397">
        <f t="shared" si="146"/>
        <v>0</v>
      </c>
    </row>
    <row r="2398" spans="1:7" ht="15.75" hidden="1" thickBot="1" x14ac:dyDescent="0.3">
      <c r="A2398" s="43" t="s">
        <v>5357</v>
      </c>
      <c r="B2398" s="81" t="s">
        <v>5352</v>
      </c>
      <c r="C2398" s="14" t="s">
        <v>37</v>
      </c>
      <c r="D2398" s="14"/>
      <c r="E2398" s="15"/>
      <c r="F2398" s="16">
        <f>+D2398*E2398</f>
        <v>0</v>
      </c>
      <c r="G2398">
        <f t="shared" si="146"/>
        <v>0</v>
      </c>
    </row>
    <row r="2399" spans="1:7" ht="15.75" hidden="1" thickBot="1" x14ac:dyDescent="0.3">
      <c r="A2399" s="43" t="s">
        <v>5358</v>
      </c>
      <c r="B2399" s="81" t="s">
        <v>5353</v>
      </c>
      <c r="C2399" s="14" t="s">
        <v>37</v>
      </c>
      <c r="D2399" s="14"/>
      <c r="E2399" s="15"/>
      <c r="F2399" s="16">
        <f>+D2399*E2399</f>
        <v>0</v>
      </c>
      <c r="G2399">
        <f t="shared" si="146"/>
        <v>0</v>
      </c>
    </row>
    <row r="2400" spans="1:7" ht="15.75" hidden="1" thickBot="1" x14ac:dyDescent="0.3">
      <c r="A2400" s="43" t="s">
        <v>5359</v>
      </c>
      <c r="B2400" s="81" t="s">
        <v>5354</v>
      </c>
      <c r="C2400" s="14" t="s">
        <v>37</v>
      </c>
      <c r="D2400" s="14"/>
      <c r="E2400" s="15"/>
      <c r="F2400" s="16">
        <f>+D2400*E2400</f>
        <v>0</v>
      </c>
      <c r="G2400">
        <f t="shared" si="146"/>
        <v>0</v>
      </c>
    </row>
    <row r="2401" spans="1:7" ht="15.75" hidden="1" thickBot="1" x14ac:dyDescent="0.3">
      <c r="A2401" s="43" t="s">
        <v>5360</v>
      </c>
      <c r="B2401" s="81" t="s">
        <v>5355</v>
      </c>
      <c r="C2401" s="14" t="s">
        <v>37</v>
      </c>
      <c r="D2401" s="14"/>
      <c r="E2401" s="15"/>
      <c r="F2401" s="16">
        <f>+D2401*E2401</f>
        <v>0</v>
      </c>
      <c r="G2401">
        <f t="shared" si="146"/>
        <v>0</v>
      </c>
    </row>
    <row r="2402" spans="1:7" ht="15.75" hidden="1" thickBot="1" x14ac:dyDescent="0.3">
      <c r="A2402" s="44" t="s">
        <v>5349</v>
      </c>
      <c r="B2402" s="80" t="s">
        <v>5361</v>
      </c>
      <c r="C2402" s="14"/>
      <c r="D2402" s="14"/>
      <c r="E2402" s="15"/>
      <c r="F2402" s="16"/>
      <c r="G2402">
        <f t="shared" si="146"/>
        <v>0</v>
      </c>
    </row>
    <row r="2403" spans="1:7" ht="15.75" hidden="1" thickBot="1" x14ac:dyDescent="0.3">
      <c r="A2403" s="43" t="s">
        <v>5363</v>
      </c>
      <c r="B2403" s="81" t="s">
        <v>5351</v>
      </c>
      <c r="C2403" s="14" t="s">
        <v>37</v>
      </c>
      <c r="D2403" s="14"/>
      <c r="E2403" s="15"/>
      <c r="F2403" s="16">
        <f>+D2403*E2403</f>
        <v>0</v>
      </c>
      <c r="G2403">
        <f t="shared" si="146"/>
        <v>0</v>
      </c>
    </row>
    <row r="2404" spans="1:7" ht="15.75" hidden="1" thickBot="1" x14ac:dyDescent="0.3">
      <c r="A2404" s="43" t="s">
        <v>5364</v>
      </c>
      <c r="B2404" s="81" t="s">
        <v>5352</v>
      </c>
      <c r="C2404" s="14" t="s">
        <v>37</v>
      </c>
      <c r="D2404" s="14"/>
      <c r="E2404" s="15"/>
      <c r="F2404" s="16">
        <f>+D2404*E2404</f>
        <v>0</v>
      </c>
      <c r="G2404">
        <f t="shared" ref="G2404:G2426" si="150">+IF(F2404&lt;&gt;0,1,0)</f>
        <v>0</v>
      </c>
    </row>
    <row r="2405" spans="1:7" ht="15.75" hidden="1" thickBot="1" x14ac:dyDescent="0.3">
      <c r="A2405" s="43" t="s">
        <v>5365</v>
      </c>
      <c r="B2405" s="81" t="s">
        <v>5353</v>
      </c>
      <c r="C2405" s="14" t="s">
        <v>37</v>
      </c>
      <c r="D2405" s="14"/>
      <c r="E2405" s="15"/>
      <c r="F2405" s="16">
        <f>+D2405*E2405</f>
        <v>0</v>
      </c>
      <c r="G2405">
        <f t="shared" si="150"/>
        <v>0</v>
      </c>
    </row>
    <row r="2406" spans="1:7" ht="15.75" hidden="1" thickBot="1" x14ac:dyDescent="0.3">
      <c r="A2406" s="43" t="s">
        <v>4659</v>
      </c>
      <c r="B2406" s="80" t="s">
        <v>5362</v>
      </c>
      <c r="C2406" s="14"/>
      <c r="D2406" s="14"/>
      <c r="E2406" s="15"/>
      <c r="F2406" s="16"/>
      <c r="G2406">
        <f t="shared" si="150"/>
        <v>0</v>
      </c>
    </row>
    <row r="2407" spans="1:7" ht="15.75" hidden="1" thickBot="1" x14ac:dyDescent="0.3">
      <c r="A2407" s="43" t="s">
        <v>5366</v>
      </c>
      <c r="B2407" s="81" t="s">
        <v>5351</v>
      </c>
      <c r="C2407" s="14" t="s">
        <v>37</v>
      </c>
      <c r="D2407" s="14"/>
      <c r="E2407" s="15"/>
      <c r="F2407" s="16">
        <f>+D2407*E2407</f>
        <v>0</v>
      </c>
      <c r="G2407">
        <f t="shared" si="150"/>
        <v>0</v>
      </c>
    </row>
    <row r="2408" spans="1:7" ht="15.75" hidden="1" thickBot="1" x14ac:dyDescent="0.3">
      <c r="A2408" s="43" t="s">
        <v>5367</v>
      </c>
      <c r="B2408" s="81" t="s">
        <v>5352</v>
      </c>
      <c r="C2408" s="14" t="s">
        <v>37</v>
      </c>
      <c r="D2408" s="14"/>
      <c r="E2408" s="15"/>
      <c r="F2408" s="16">
        <f>+D2408*E2408</f>
        <v>0</v>
      </c>
      <c r="G2408">
        <f t="shared" si="150"/>
        <v>0</v>
      </c>
    </row>
    <row r="2409" spans="1:7" ht="15.75" hidden="1" thickBot="1" x14ac:dyDescent="0.3">
      <c r="A2409" s="43" t="s">
        <v>5368</v>
      </c>
      <c r="B2409" s="81" t="s">
        <v>5353</v>
      </c>
      <c r="C2409" s="14" t="s">
        <v>37</v>
      </c>
      <c r="D2409" s="14"/>
      <c r="E2409" s="15"/>
      <c r="F2409" s="16">
        <f>+D2409*E2409</f>
        <v>0</v>
      </c>
      <c r="G2409">
        <f t="shared" si="150"/>
        <v>0</v>
      </c>
    </row>
    <row r="2410" spans="1:7" ht="15.75" hidden="1" thickBot="1" x14ac:dyDescent="0.3">
      <c r="A2410" s="306" t="s">
        <v>5387</v>
      </c>
      <c r="B2410" s="307" t="s">
        <v>4723</v>
      </c>
      <c r="C2410" s="308"/>
      <c r="D2410" s="14"/>
      <c r="E2410" s="15"/>
      <c r="F2410" s="16"/>
      <c r="G2410">
        <f t="shared" si="150"/>
        <v>0</v>
      </c>
    </row>
    <row r="2411" spans="1:7" ht="15.75" hidden="1" thickBot="1" x14ac:dyDescent="0.3">
      <c r="A2411" s="313" t="s">
        <v>5389</v>
      </c>
      <c r="B2411" s="123" t="s">
        <v>4725</v>
      </c>
      <c r="C2411" s="308" t="s">
        <v>37</v>
      </c>
      <c r="D2411" s="14"/>
      <c r="E2411" s="15"/>
      <c r="F2411" s="16"/>
      <c r="G2411">
        <f t="shared" si="150"/>
        <v>0</v>
      </c>
    </row>
    <row r="2412" spans="1:7" ht="15.75" hidden="1" thickBot="1" x14ac:dyDescent="0.3">
      <c r="A2412" s="313" t="s">
        <v>5717</v>
      </c>
      <c r="B2412" s="123" t="s">
        <v>4724</v>
      </c>
      <c r="C2412" s="308" t="s">
        <v>37</v>
      </c>
      <c r="D2412" s="14"/>
      <c r="E2412" s="15"/>
      <c r="F2412" s="16"/>
      <c r="G2412">
        <f t="shared" si="150"/>
        <v>0</v>
      </c>
    </row>
    <row r="2413" spans="1:7" ht="15.75" hidden="1" thickBot="1" x14ac:dyDescent="0.3">
      <c r="A2413" s="313" t="s">
        <v>5718</v>
      </c>
      <c r="B2413" s="123" t="s">
        <v>4726</v>
      </c>
      <c r="C2413" s="308" t="s">
        <v>37</v>
      </c>
      <c r="D2413" s="14"/>
      <c r="E2413" s="15"/>
      <c r="F2413" s="16"/>
      <c r="G2413">
        <f t="shared" si="150"/>
        <v>0</v>
      </c>
    </row>
    <row r="2414" spans="1:7" ht="15.75" hidden="1" thickBot="1" x14ac:dyDescent="0.3">
      <c r="A2414" s="313" t="s">
        <v>5719</v>
      </c>
      <c r="B2414" s="123" t="s">
        <v>4727</v>
      </c>
      <c r="C2414" s="308" t="s">
        <v>37</v>
      </c>
      <c r="D2414" s="14"/>
      <c r="E2414" s="15"/>
      <c r="F2414" s="16"/>
      <c r="G2414">
        <f t="shared" si="150"/>
        <v>0</v>
      </c>
    </row>
    <row r="2415" spans="1:7" ht="15.75" hidden="1" thickBot="1" x14ac:dyDescent="0.3">
      <c r="A2415" s="313" t="s">
        <v>5720</v>
      </c>
      <c r="B2415" s="123" t="s">
        <v>4728</v>
      </c>
      <c r="C2415" s="308" t="s">
        <v>37</v>
      </c>
      <c r="D2415" s="14"/>
      <c r="E2415" s="15"/>
      <c r="F2415" s="16"/>
      <c r="G2415">
        <f t="shared" si="150"/>
        <v>0</v>
      </c>
    </row>
    <row r="2416" spans="1:7" ht="15.75" hidden="1" thickBot="1" x14ac:dyDescent="0.3">
      <c r="A2416" s="313" t="s">
        <v>5721</v>
      </c>
      <c r="B2416" s="123" t="s">
        <v>4729</v>
      </c>
      <c r="C2416" s="308" t="s">
        <v>37</v>
      </c>
      <c r="D2416" s="14"/>
      <c r="E2416" s="15"/>
      <c r="F2416" s="16"/>
      <c r="G2416">
        <f t="shared" si="150"/>
        <v>0</v>
      </c>
    </row>
    <row r="2417" spans="1:7" ht="15.75" hidden="1" thickBot="1" x14ac:dyDescent="0.3">
      <c r="A2417" s="313" t="s">
        <v>5722</v>
      </c>
      <c r="B2417" s="123" t="s">
        <v>4730</v>
      </c>
      <c r="C2417" s="308" t="s">
        <v>37</v>
      </c>
      <c r="D2417" s="14"/>
      <c r="E2417" s="15"/>
      <c r="F2417" s="16"/>
      <c r="G2417">
        <f t="shared" si="150"/>
        <v>0</v>
      </c>
    </row>
    <row r="2418" spans="1:7" ht="15.75" hidden="1" thickBot="1" x14ac:dyDescent="0.3">
      <c r="A2418" s="44" t="s">
        <v>5723</v>
      </c>
      <c r="B2418" s="80" t="s">
        <v>5388</v>
      </c>
      <c r="C2418" s="14"/>
      <c r="D2418" s="14"/>
      <c r="E2418" s="15"/>
      <c r="F2418" s="16"/>
      <c r="G2418">
        <f t="shared" si="150"/>
        <v>0</v>
      </c>
    </row>
    <row r="2419" spans="1:7" ht="15.75" hidden="1" thickBot="1" x14ac:dyDescent="0.3">
      <c r="A2419" s="44" t="s">
        <v>5724</v>
      </c>
      <c r="B2419" s="80" t="s">
        <v>5395</v>
      </c>
      <c r="C2419" s="14"/>
      <c r="D2419" s="14"/>
      <c r="E2419" s="15"/>
      <c r="F2419" s="16"/>
      <c r="G2419">
        <f t="shared" si="150"/>
        <v>0</v>
      </c>
    </row>
    <row r="2420" spans="1:7" ht="15.75" hidden="1" thickBot="1" x14ac:dyDescent="0.3">
      <c r="A2420" s="43" t="s">
        <v>5725</v>
      </c>
      <c r="B2420" s="81" t="s">
        <v>5390</v>
      </c>
      <c r="C2420" s="14" t="s">
        <v>37</v>
      </c>
      <c r="D2420" s="14"/>
      <c r="E2420" s="15"/>
      <c r="F2420" s="16">
        <f>+D2420*E2420</f>
        <v>0</v>
      </c>
      <c r="G2420">
        <f t="shared" si="150"/>
        <v>0</v>
      </c>
    </row>
    <row r="2421" spans="1:7" ht="15.75" hidden="1" thickBot="1" x14ac:dyDescent="0.3">
      <c r="A2421" s="43" t="s">
        <v>5726</v>
      </c>
      <c r="B2421" s="81" t="s">
        <v>5391</v>
      </c>
      <c r="C2421" s="14" t="s">
        <v>37</v>
      </c>
      <c r="D2421" s="14"/>
      <c r="E2421" s="15"/>
      <c r="F2421" s="16">
        <f>+D2421*E2421</f>
        <v>0</v>
      </c>
      <c r="G2421">
        <f t="shared" si="150"/>
        <v>0</v>
      </c>
    </row>
    <row r="2422" spans="1:7" ht="15.75" hidden="1" thickBot="1" x14ac:dyDescent="0.3">
      <c r="A2422" s="43" t="s">
        <v>5727</v>
      </c>
      <c r="B2422" s="81" t="s">
        <v>5392</v>
      </c>
      <c r="C2422" s="14" t="s">
        <v>37</v>
      </c>
      <c r="D2422" s="14"/>
      <c r="E2422" s="15"/>
      <c r="F2422" s="16">
        <f>+D2422*E2422</f>
        <v>0</v>
      </c>
      <c r="G2422">
        <f t="shared" si="150"/>
        <v>0</v>
      </c>
    </row>
    <row r="2423" spans="1:7" ht="15.75" hidden="1" thickBot="1" x14ac:dyDescent="0.3">
      <c r="A2423" s="43" t="s">
        <v>5728</v>
      </c>
      <c r="B2423" s="81" t="s">
        <v>5393</v>
      </c>
      <c r="C2423" s="14" t="s">
        <v>37</v>
      </c>
      <c r="D2423" s="14"/>
      <c r="E2423" s="15"/>
      <c r="F2423" s="16">
        <f>+D2423*E2423</f>
        <v>0</v>
      </c>
      <c r="G2423">
        <f t="shared" si="150"/>
        <v>0</v>
      </c>
    </row>
    <row r="2424" spans="1:7" ht="15.75" hidden="1" thickBot="1" x14ac:dyDescent="0.3">
      <c r="A2424" s="43" t="s">
        <v>5729</v>
      </c>
      <c r="B2424" s="81" t="s">
        <v>5394</v>
      </c>
      <c r="C2424" s="14" t="s">
        <v>37</v>
      </c>
      <c r="D2424" s="14"/>
      <c r="E2424" s="15"/>
      <c r="F2424" s="16">
        <f>+D2424*E2424</f>
        <v>0</v>
      </c>
      <c r="G2424">
        <f t="shared" si="150"/>
        <v>0</v>
      </c>
    </row>
    <row r="2425" spans="1:7" ht="15.75" hidden="1" thickBot="1" x14ac:dyDescent="0.3">
      <c r="G2425">
        <f t="shared" si="150"/>
        <v>0</v>
      </c>
    </row>
    <row r="2426" spans="1:7" ht="15.75" thickBot="1" x14ac:dyDescent="0.3">
      <c r="B2426" s="2458" t="s">
        <v>5396</v>
      </c>
      <c r="C2426" s="2458"/>
      <c r="D2426" s="2458"/>
      <c r="E2426" s="2459"/>
      <c r="F2426" s="34">
        <f>SUM(F9:F2424)</f>
        <v>1121725229.3</v>
      </c>
      <c r="G2426">
        <f t="shared" si="150"/>
        <v>1</v>
      </c>
    </row>
  </sheetData>
  <autoFilter ref="A7:G2426">
    <filterColumn colId="6">
      <filters>
        <filter val="1"/>
      </filters>
    </filterColumn>
  </autoFilter>
  <mergeCells count="5">
    <mergeCell ref="A1:F1"/>
    <mergeCell ref="A2:F2"/>
    <mergeCell ref="A4:F4"/>
    <mergeCell ref="A5:F5"/>
    <mergeCell ref="B2426:E2426"/>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J19"/>
  <sheetViews>
    <sheetView view="pageBreakPreview" zoomScale="85" zoomScaleNormal="100" zoomScaleSheetLayoutView="85" workbookViewId="0">
      <selection activeCell="E21" sqref="E21"/>
    </sheetView>
  </sheetViews>
  <sheetFormatPr baseColWidth="10" defaultRowHeight="15" x14ac:dyDescent="0.25"/>
  <cols>
    <col min="2" max="2" width="23.5703125" bestFit="1" customWidth="1"/>
    <col min="3" max="8" width="18.28515625" customWidth="1"/>
    <col min="10" max="10" width="14.140625" bestFit="1" customWidth="1"/>
  </cols>
  <sheetData>
    <row r="2" spans="2:10" ht="30" x14ac:dyDescent="0.25">
      <c r="B2" s="1875" t="s">
        <v>9660</v>
      </c>
      <c r="C2" s="1876" t="s">
        <v>9656</v>
      </c>
      <c r="D2" s="1876" t="s">
        <v>9657</v>
      </c>
      <c r="E2" s="1876" t="s">
        <v>9658</v>
      </c>
      <c r="F2" s="1876" t="s">
        <v>9659</v>
      </c>
      <c r="G2" s="1876" t="s">
        <v>8356</v>
      </c>
    </row>
    <row r="3" spans="2:10" x14ac:dyDescent="0.25">
      <c r="B3" s="797" t="s">
        <v>9661</v>
      </c>
      <c r="C3" s="1877">
        <v>4611486144</v>
      </c>
      <c r="D3" s="1877">
        <v>9045681722</v>
      </c>
      <c r="E3" s="1877">
        <v>9877962833</v>
      </c>
      <c r="F3" s="1877">
        <v>2929312003</v>
      </c>
      <c r="G3" s="1877">
        <f>+SUM(C3:F3)</f>
        <v>26464442702</v>
      </c>
    </row>
    <row r="4" spans="2:10" x14ac:dyDescent="0.25">
      <c r="B4" s="797" t="s">
        <v>9662</v>
      </c>
      <c r="C4" s="1877">
        <f>+RESUMEN!D57</f>
        <v>0</v>
      </c>
      <c r="D4" s="1877">
        <f>+RESUMEN!E57</f>
        <v>0</v>
      </c>
      <c r="E4" s="1877"/>
      <c r="F4" s="1877">
        <v>564493112</v>
      </c>
      <c r="G4" s="1877">
        <f t="shared" ref="G4:G6" si="0">+SUM(C4:F4)</f>
        <v>564493112</v>
      </c>
    </row>
    <row r="5" spans="2:10" x14ac:dyDescent="0.25">
      <c r="B5" s="797" t="s">
        <v>9663</v>
      </c>
      <c r="C5" s="1877"/>
      <c r="D5" s="1877"/>
      <c r="E5" s="1877"/>
      <c r="F5" s="1877">
        <v>534814912</v>
      </c>
      <c r="G5" s="1877">
        <f t="shared" si="0"/>
        <v>534814912</v>
      </c>
    </row>
    <row r="6" spans="2:10" x14ac:dyDescent="0.25">
      <c r="B6" s="797" t="s">
        <v>9664</v>
      </c>
      <c r="C6" s="1878">
        <v>100609000</v>
      </c>
      <c r="D6" s="1878">
        <v>199391000</v>
      </c>
      <c r="E6" s="1878">
        <f>+E11*0.02</f>
        <v>201591078.22448978</v>
      </c>
      <c r="F6" s="1878"/>
      <c r="G6" s="1877">
        <f t="shared" si="0"/>
        <v>501591078.22448981</v>
      </c>
    </row>
    <row r="7" spans="2:10" x14ac:dyDescent="0.25">
      <c r="B7" s="797" t="s">
        <v>8356</v>
      </c>
      <c r="C7" s="1879">
        <f>+SUM(C3:C6)</f>
        <v>4712095144</v>
      </c>
      <c r="D7" s="1879">
        <f t="shared" ref="D7:G7" si="1">+SUM(D3:D6)</f>
        <v>9245072722</v>
      </c>
      <c r="E7" s="1879">
        <f t="shared" si="1"/>
        <v>10079553911.224489</v>
      </c>
      <c r="F7" s="1879">
        <f t="shared" si="1"/>
        <v>4028620027</v>
      </c>
      <c r="G7" s="1879">
        <f t="shared" si="1"/>
        <v>28065341804.224491</v>
      </c>
    </row>
    <row r="8" spans="2:10" x14ac:dyDescent="0.25">
      <c r="B8" s="802" t="s">
        <v>9667</v>
      </c>
      <c r="C8" s="1880">
        <f>+C7/$G$7</f>
        <v>0.16789730112215201</v>
      </c>
      <c r="D8" s="1880">
        <f t="shared" ref="D8:G8" si="2">+D7/$G$7</f>
        <v>0.32941243995853992</v>
      </c>
      <c r="E8" s="1880">
        <f t="shared" si="2"/>
        <v>0.35914595238270997</v>
      </c>
      <c r="F8" s="1880">
        <f t="shared" si="2"/>
        <v>0.14354430653659805</v>
      </c>
      <c r="G8" s="1880">
        <f t="shared" si="2"/>
        <v>1</v>
      </c>
    </row>
    <row r="10" spans="2:10" x14ac:dyDescent="0.25">
      <c r="C10" s="38">
        <f>+C7*0.02</f>
        <v>94241902.879999995</v>
      </c>
      <c r="E10" s="38">
        <f>+E17*0.02</f>
        <v>205343088.88</v>
      </c>
    </row>
    <row r="11" spans="2:10" s="1860" customFormat="1" x14ac:dyDescent="0.25">
      <c r="C11" s="38"/>
      <c r="E11" s="38">
        <f>+E3/0.98</f>
        <v>10079553911.224489</v>
      </c>
    </row>
    <row r="12" spans="2:10" x14ac:dyDescent="0.25">
      <c r="B12" t="s">
        <v>9660</v>
      </c>
      <c r="C12" t="s">
        <v>9656</v>
      </c>
      <c r="D12" t="s">
        <v>9657</v>
      </c>
      <c r="E12" t="s">
        <v>9658</v>
      </c>
      <c r="F12" t="s">
        <v>9659</v>
      </c>
      <c r="G12" t="s">
        <v>8356</v>
      </c>
    </row>
    <row r="13" spans="2:10" x14ac:dyDescent="0.25">
      <c r="B13" t="s">
        <v>9661</v>
      </c>
      <c r="C13" s="38">
        <v>4611486144</v>
      </c>
      <c r="D13" s="38">
        <v>9045681722</v>
      </c>
      <c r="E13" s="38">
        <v>10061811355</v>
      </c>
      <c r="F13" s="38">
        <v>2929312003</v>
      </c>
      <c r="G13" s="38">
        <v>26648291224</v>
      </c>
    </row>
    <row r="14" spans="2:10" x14ac:dyDescent="0.25">
      <c r="B14" t="s">
        <v>9662</v>
      </c>
      <c r="C14" s="38">
        <v>352704856</v>
      </c>
      <c r="D14" s="38">
        <v>690127278</v>
      </c>
      <c r="E14" s="38"/>
      <c r="F14" s="38">
        <v>570687997</v>
      </c>
      <c r="G14" s="38">
        <v>1613520131</v>
      </c>
    </row>
    <row r="15" spans="2:10" x14ac:dyDescent="0.25">
      <c r="B15" t="s">
        <v>9663</v>
      </c>
      <c r="C15" s="38"/>
      <c r="D15" s="38"/>
      <c r="E15" s="38"/>
      <c r="F15" s="38">
        <v>542472454.20000005</v>
      </c>
      <c r="G15" s="38">
        <v>542472454.20000005</v>
      </c>
      <c r="H15" s="635"/>
      <c r="J15" s="635"/>
    </row>
    <row r="16" spans="2:10" x14ac:dyDescent="0.25">
      <c r="B16" t="s">
        <v>9664</v>
      </c>
      <c r="C16" s="38">
        <v>100609000</v>
      </c>
      <c r="D16" s="38">
        <v>199391000</v>
      </c>
      <c r="E16" s="38">
        <v>205343089</v>
      </c>
      <c r="F16" s="38"/>
      <c r="G16" s="38">
        <v>505343089</v>
      </c>
    </row>
    <row r="17" spans="2:8" x14ac:dyDescent="0.25">
      <c r="B17" t="s">
        <v>8356</v>
      </c>
      <c r="C17" s="38">
        <v>5064800000</v>
      </c>
      <c r="D17" s="38">
        <v>9935200000</v>
      </c>
      <c r="E17" s="38">
        <v>10267154444</v>
      </c>
      <c r="F17" s="38">
        <v>4042472454.1999998</v>
      </c>
      <c r="G17" s="38">
        <v>29309626898.200001</v>
      </c>
      <c r="H17" s="635"/>
    </row>
    <row r="18" spans="2:8" x14ac:dyDescent="0.25">
      <c r="B18" t="s">
        <v>9667</v>
      </c>
      <c r="C18" s="1493">
        <v>0.17280329147796303</v>
      </c>
      <c r="D18" s="1493">
        <v>0.33897394990756957</v>
      </c>
      <c r="E18" s="1493">
        <v>0.35029973188196878</v>
      </c>
      <c r="F18" s="1493">
        <v>0.13792302673249865</v>
      </c>
      <c r="G18" s="1493">
        <v>1</v>
      </c>
    </row>
    <row r="19" spans="2:8" x14ac:dyDescent="0.25">
      <c r="C19">
        <f>+C17*0.02</f>
        <v>101296000</v>
      </c>
      <c r="D19">
        <f>+D17*0.02</f>
        <v>198704000</v>
      </c>
    </row>
  </sheetData>
  <pageMargins left="0.7" right="0.7" top="0.75" bottom="0.75" header="0.3" footer="0.3"/>
  <pageSetup paperSize="9" scale="69" fitToHeight="0"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8"/>
  <sheetViews>
    <sheetView workbookViewId="0">
      <selection sqref="A1:F1"/>
    </sheetView>
  </sheetViews>
  <sheetFormatPr baseColWidth="10" defaultRowHeight="15" x14ac:dyDescent="0.25"/>
  <cols>
    <col min="2" max="2" width="51.5703125" customWidth="1"/>
    <col min="3" max="3" width="8.42578125" customWidth="1"/>
    <col min="5" max="5" width="13.42578125" bestFit="1" customWidth="1"/>
    <col min="6" max="6" width="22.140625" customWidth="1"/>
    <col min="9" max="9" width="12" bestFit="1" customWidth="1"/>
  </cols>
  <sheetData>
    <row r="1" spans="1:9" ht="18.75" x14ac:dyDescent="0.25">
      <c r="A1" s="2462" t="s">
        <v>0</v>
      </c>
      <c r="B1" s="2462"/>
      <c r="C1" s="2462"/>
      <c r="D1" s="2462"/>
      <c r="E1" s="2462"/>
      <c r="F1" s="2462"/>
      <c r="G1" s="1"/>
    </row>
    <row r="2" spans="1:9" ht="18.75" x14ac:dyDescent="0.25">
      <c r="A2" s="2463" t="s">
        <v>6313</v>
      </c>
      <c r="B2" s="2463"/>
      <c r="C2" s="2463"/>
      <c r="D2" s="2463"/>
      <c r="E2" s="2463"/>
      <c r="F2" s="2463"/>
      <c r="G2" s="1"/>
    </row>
    <row r="3" spans="1:9" ht="15.75" x14ac:dyDescent="0.25">
      <c r="A3" s="2464"/>
      <c r="B3" s="2464"/>
      <c r="C3" s="2464"/>
      <c r="D3" s="2464"/>
      <c r="E3" s="2464"/>
      <c r="F3" s="2464"/>
      <c r="G3" s="1"/>
    </row>
    <row r="4" spans="1:9" ht="15.75" x14ac:dyDescent="0.25">
      <c r="A4" s="2278" t="s">
        <v>6591</v>
      </c>
      <c r="B4" s="2278"/>
      <c r="C4" s="2278"/>
      <c r="D4" s="2278"/>
      <c r="E4" s="2278"/>
      <c r="F4" s="2278"/>
      <c r="G4" s="1"/>
    </row>
    <row r="5" spans="1:9" ht="15.75" x14ac:dyDescent="0.25">
      <c r="A5" s="2278" t="s">
        <v>2</v>
      </c>
      <c r="B5" s="2278"/>
      <c r="C5" s="2278"/>
      <c r="D5" s="2278"/>
      <c r="E5" s="2278"/>
      <c r="F5" s="2278"/>
    </row>
    <row r="6" spans="1:9" ht="16.5" thickBot="1" x14ac:dyDescent="0.3">
      <c r="A6" s="620"/>
      <c r="B6" s="620"/>
      <c r="C6" s="620"/>
      <c r="D6" s="620"/>
      <c r="E6" s="620"/>
      <c r="F6" s="620"/>
    </row>
    <row r="7" spans="1:9" ht="15.75" thickBot="1" x14ac:dyDescent="0.3">
      <c r="A7" s="4" t="s">
        <v>3</v>
      </c>
      <c r="B7" s="5" t="s">
        <v>4</v>
      </c>
      <c r="C7" s="5" t="s">
        <v>5</v>
      </c>
      <c r="D7" s="5" t="s">
        <v>6</v>
      </c>
      <c r="E7" s="6" t="s">
        <v>7</v>
      </c>
      <c r="F7" s="7" t="s">
        <v>8</v>
      </c>
      <c r="G7" s="8"/>
    </row>
    <row r="8" spans="1:9" x14ac:dyDescent="0.25">
      <c r="A8" s="458">
        <v>10</v>
      </c>
      <c r="B8" s="459" t="s">
        <v>6450</v>
      </c>
      <c r="C8" s="63"/>
      <c r="D8" s="63"/>
      <c r="E8" s="460"/>
      <c r="F8" s="461"/>
      <c r="G8" s="8">
        <v>1</v>
      </c>
    </row>
    <row r="9" spans="1:9" x14ac:dyDescent="0.25">
      <c r="A9" s="12" t="s">
        <v>6455</v>
      </c>
      <c r="B9" s="13" t="s">
        <v>6451</v>
      </c>
      <c r="C9" s="14"/>
      <c r="D9" s="14"/>
      <c r="E9" s="15"/>
      <c r="F9" s="16"/>
      <c r="G9" s="8">
        <v>1</v>
      </c>
    </row>
    <row r="10" spans="1:9" x14ac:dyDescent="0.25">
      <c r="A10" s="17" t="s">
        <v>6456</v>
      </c>
      <c r="B10" s="18" t="s">
        <v>6579</v>
      </c>
      <c r="C10" s="14" t="s">
        <v>37</v>
      </c>
      <c r="D10" s="14">
        <v>36</v>
      </c>
      <c r="E10" s="15">
        <f>+'APU ESTRUCTURAS'!H24</f>
        <v>1929331.0960875</v>
      </c>
      <c r="F10" s="16">
        <f>+D10*E10</f>
        <v>69455919.459150001</v>
      </c>
      <c r="G10" s="8">
        <f>+IF(F10&lt;&gt;0,1,0)</f>
        <v>1</v>
      </c>
      <c r="I10" s="635">
        <f>8780075-E10</f>
        <v>6850743.9039124995</v>
      </c>
    </row>
    <row r="11" spans="1:9" x14ac:dyDescent="0.25">
      <c r="A11" s="12" t="s">
        <v>6459</v>
      </c>
      <c r="B11" s="13" t="s">
        <v>6461</v>
      </c>
      <c r="C11" s="14"/>
      <c r="D11" s="14"/>
      <c r="E11" s="15"/>
      <c r="F11" s="16"/>
      <c r="G11" s="8">
        <v>1</v>
      </c>
    </row>
    <row r="12" spans="1:9" x14ac:dyDescent="0.25">
      <c r="A12" s="17" t="s">
        <v>6460</v>
      </c>
      <c r="B12" s="18" t="s">
        <v>6579</v>
      </c>
      <c r="C12" s="14" t="s">
        <v>37</v>
      </c>
      <c r="D12" s="14">
        <v>12</v>
      </c>
      <c r="E12" s="15">
        <f>+'APU ESTRUCTURAS'!H124</f>
        <v>5846683.9033500003</v>
      </c>
      <c r="F12" s="16">
        <f>+D12*E12</f>
        <v>70160206.840200007</v>
      </c>
      <c r="G12" s="8">
        <f>+IF(F12&lt;&gt;0,1,0)</f>
        <v>1</v>
      </c>
    </row>
    <row r="13" spans="1:9" x14ac:dyDescent="0.25">
      <c r="A13" s="12" t="s">
        <v>6470</v>
      </c>
      <c r="B13" s="13" t="s">
        <v>6466</v>
      </c>
      <c r="C13" s="14"/>
      <c r="D13" s="14"/>
      <c r="E13" s="15"/>
      <c r="F13" s="16"/>
      <c r="G13" s="8">
        <v>1</v>
      </c>
    </row>
    <row r="14" spans="1:9" x14ac:dyDescent="0.25">
      <c r="A14" s="17" t="s">
        <v>6471</v>
      </c>
      <c r="B14" s="18" t="s">
        <v>6579</v>
      </c>
      <c r="C14" s="14" t="s">
        <v>37</v>
      </c>
      <c r="D14" s="14">
        <v>3</v>
      </c>
      <c r="E14" s="15">
        <f>+'APU ESTRUCTURAS'!H176</f>
        <v>5869987.6033500005</v>
      </c>
      <c r="F14" s="16">
        <f>+D14*E14</f>
        <v>17609962.810050003</v>
      </c>
      <c r="G14" s="8">
        <f t="shared" ref="G14:G28" si="0">+IF(F14&lt;&gt;0,1,0)</f>
        <v>1</v>
      </c>
    </row>
    <row r="15" spans="1:9" x14ac:dyDescent="0.25">
      <c r="A15" s="12" t="s">
        <v>6475</v>
      </c>
      <c r="B15" s="13" t="s">
        <v>6474</v>
      </c>
      <c r="C15" s="14"/>
      <c r="D15" s="14"/>
      <c r="E15" s="15"/>
      <c r="F15" s="16"/>
      <c r="G15" s="8">
        <v>1</v>
      </c>
    </row>
    <row r="16" spans="1:9" x14ac:dyDescent="0.25">
      <c r="A16" s="17" t="s">
        <v>6476</v>
      </c>
      <c r="B16" s="18" t="s">
        <v>6579</v>
      </c>
      <c r="C16" s="14" t="s">
        <v>37</v>
      </c>
      <c r="D16" s="14">
        <v>6</v>
      </c>
      <c r="E16" s="15">
        <f>+'APU ESTRUCTURAS'!H226</f>
        <v>4994253.3880281243</v>
      </c>
      <c r="F16" s="16">
        <f t="shared" ref="F16:F26" si="1">+D16*E16</f>
        <v>29965520.328168746</v>
      </c>
      <c r="G16" s="8">
        <f t="shared" si="0"/>
        <v>1</v>
      </c>
    </row>
    <row r="17" spans="1:7" x14ac:dyDescent="0.25">
      <c r="A17" s="17" t="s">
        <v>6479</v>
      </c>
      <c r="B17" s="13" t="s">
        <v>6481</v>
      </c>
      <c r="C17" s="14"/>
      <c r="D17" s="14"/>
      <c r="E17" s="15"/>
      <c r="F17" s="16"/>
      <c r="G17" s="8">
        <v>1</v>
      </c>
    </row>
    <row r="18" spans="1:7" x14ac:dyDescent="0.25">
      <c r="A18" s="17" t="s">
        <v>6480</v>
      </c>
      <c r="B18" s="18" t="s">
        <v>6579</v>
      </c>
      <c r="C18" s="14" t="s">
        <v>37</v>
      </c>
      <c r="D18" s="14">
        <v>14</v>
      </c>
      <c r="E18" s="15">
        <f>+'APU ESTRUCTURAS'!H279</f>
        <v>4283462.1987000015</v>
      </c>
      <c r="F18" s="16">
        <f t="shared" si="1"/>
        <v>59968470.781800017</v>
      </c>
      <c r="G18" s="8">
        <f t="shared" si="0"/>
        <v>1</v>
      </c>
    </row>
    <row r="19" spans="1:7" x14ac:dyDescent="0.25">
      <c r="A19" s="12" t="s">
        <v>6485</v>
      </c>
      <c r="B19" s="13" t="s">
        <v>6484</v>
      </c>
      <c r="C19" s="14"/>
      <c r="D19" s="14"/>
      <c r="E19" s="15"/>
      <c r="F19" s="16"/>
      <c r="G19" s="8">
        <v>1</v>
      </c>
    </row>
    <row r="20" spans="1:7" x14ac:dyDescent="0.25">
      <c r="A20" s="17" t="s">
        <v>6486</v>
      </c>
      <c r="B20" s="18" t="s">
        <v>6579</v>
      </c>
      <c r="C20" s="14" t="s">
        <v>37</v>
      </c>
      <c r="D20" s="14">
        <v>13</v>
      </c>
      <c r="E20" s="15">
        <f>+'APU ESTRUCTURAS'!H331</f>
        <v>20137564.120500002</v>
      </c>
      <c r="F20" s="16">
        <f t="shared" si="1"/>
        <v>261788333.56650004</v>
      </c>
      <c r="G20" s="8">
        <f t="shared" si="0"/>
        <v>1</v>
      </c>
    </row>
    <row r="21" spans="1:7" x14ac:dyDescent="0.25">
      <c r="A21" s="12" t="s">
        <v>6490</v>
      </c>
      <c r="B21" s="13" t="s">
        <v>6491</v>
      </c>
      <c r="C21" s="14"/>
      <c r="D21" s="14"/>
      <c r="E21" s="15"/>
      <c r="F21" s="16"/>
      <c r="G21" s="8">
        <v>1</v>
      </c>
    </row>
    <row r="22" spans="1:7" x14ac:dyDescent="0.25">
      <c r="A22" s="17" t="s">
        <v>6493</v>
      </c>
      <c r="B22" s="18" t="s">
        <v>6492</v>
      </c>
      <c r="C22" s="14" t="s">
        <v>37</v>
      </c>
      <c r="D22" s="14">
        <v>25</v>
      </c>
      <c r="E22" s="15">
        <f>+'APU ESTRUCTURAS'!H383</f>
        <v>2300976.3926124997</v>
      </c>
      <c r="F22" s="16">
        <f t="shared" si="1"/>
        <v>57524409.81531249</v>
      </c>
      <c r="G22" s="8">
        <f t="shared" si="0"/>
        <v>1</v>
      </c>
    </row>
    <row r="23" spans="1:7" x14ac:dyDescent="0.25">
      <c r="A23" s="12" t="s">
        <v>6494</v>
      </c>
      <c r="B23" s="13" t="s">
        <v>6495</v>
      </c>
      <c r="C23" s="14" t="s">
        <v>37</v>
      </c>
      <c r="D23" s="14">
        <v>5</v>
      </c>
      <c r="E23" s="15">
        <f>+'APU ESTRUCTURAS'!H423</f>
        <v>92531070.131875023</v>
      </c>
      <c r="F23" s="16">
        <f t="shared" si="1"/>
        <v>462655350.65937513</v>
      </c>
      <c r="G23" s="8">
        <f t="shared" si="0"/>
        <v>1</v>
      </c>
    </row>
    <row r="24" spans="1:7" x14ac:dyDescent="0.25">
      <c r="A24" s="12" t="s">
        <v>6496</v>
      </c>
      <c r="B24" s="13" t="s">
        <v>6497</v>
      </c>
      <c r="C24" s="14"/>
      <c r="D24" s="14"/>
      <c r="E24" s="15"/>
      <c r="F24" s="16"/>
      <c r="G24" s="8">
        <v>1</v>
      </c>
    </row>
    <row r="25" spans="1:7" x14ac:dyDescent="0.25">
      <c r="A25" s="17" t="s">
        <v>6498</v>
      </c>
      <c r="B25" s="18" t="s">
        <v>6506</v>
      </c>
      <c r="C25" s="14" t="s">
        <v>14</v>
      </c>
      <c r="D25" s="14">
        <v>23</v>
      </c>
      <c r="E25" s="15">
        <f>+'APU ESTRUCTURAS'!H524</f>
        <v>1845838</v>
      </c>
      <c r="F25" s="16">
        <f t="shared" si="1"/>
        <v>42454274</v>
      </c>
      <c r="G25" s="8">
        <f t="shared" si="0"/>
        <v>1</v>
      </c>
    </row>
    <row r="26" spans="1:7" x14ac:dyDescent="0.25">
      <c r="A26" s="17" t="s">
        <v>6499</v>
      </c>
      <c r="B26" s="18" t="s">
        <v>6507</v>
      </c>
      <c r="C26" s="14" t="s">
        <v>14</v>
      </c>
      <c r="D26" s="14">
        <v>18</v>
      </c>
      <c r="E26" s="15">
        <v>549788</v>
      </c>
      <c r="F26" s="16">
        <f t="shared" si="1"/>
        <v>9896184</v>
      </c>
      <c r="G26" s="8">
        <f t="shared" si="0"/>
        <v>1</v>
      </c>
    </row>
    <row r="27" spans="1:7" ht="15.75" thickBot="1" x14ac:dyDescent="0.3">
      <c r="A27" s="2456" t="s">
        <v>844</v>
      </c>
      <c r="B27" s="2457"/>
      <c r="C27" s="2457"/>
      <c r="D27" s="2457"/>
      <c r="E27" s="2457"/>
      <c r="F27" s="322">
        <f>SUM(F7:F26)</f>
        <v>1081478632.2605565</v>
      </c>
      <c r="G27" s="8">
        <f t="shared" si="0"/>
        <v>1</v>
      </c>
    </row>
    <row r="28" spans="1:7" ht="15.75" thickBot="1" x14ac:dyDescent="0.3">
      <c r="A28" s="33"/>
      <c r="B28" s="2458" t="s">
        <v>5415</v>
      </c>
      <c r="C28" s="2458"/>
      <c r="D28" s="2458"/>
      <c r="E28" s="2459"/>
      <c r="F28" s="34">
        <f>+F27</f>
        <v>1081478632.2605565</v>
      </c>
      <c r="G28" s="8">
        <f t="shared" si="0"/>
        <v>1</v>
      </c>
    </row>
  </sheetData>
  <mergeCells count="7">
    <mergeCell ref="B28:E28"/>
    <mergeCell ref="A1:F1"/>
    <mergeCell ref="A2:F2"/>
    <mergeCell ref="A3:F3"/>
    <mergeCell ref="A4:F4"/>
    <mergeCell ref="A5:F5"/>
    <mergeCell ref="A27:E27"/>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G616"/>
  <sheetViews>
    <sheetView workbookViewId="0">
      <selection sqref="A1:F1"/>
    </sheetView>
  </sheetViews>
  <sheetFormatPr baseColWidth="10" defaultRowHeight="15" x14ac:dyDescent="0.25"/>
  <cols>
    <col min="2" max="2" width="51.5703125" customWidth="1"/>
    <col min="3" max="3" width="8.42578125" customWidth="1"/>
    <col min="5" max="5" width="13.42578125" bestFit="1" customWidth="1"/>
    <col min="6" max="6" width="22.140625" customWidth="1"/>
  </cols>
  <sheetData>
    <row r="1" spans="1:7" ht="18.75" x14ac:dyDescent="0.25">
      <c r="A1" s="2462" t="s">
        <v>0</v>
      </c>
      <c r="B1" s="2462"/>
      <c r="C1" s="2462"/>
      <c r="D1" s="2462"/>
      <c r="E1" s="2462"/>
      <c r="F1" s="2462"/>
      <c r="G1" s="1"/>
    </row>
    <row r="2" spans="1:7" ht="18.75" x14ac:dyDescent="0.25">
      <c r="A2" s="2463" t="s">
        <v>6313</v>
      </c>
      <c r="B2" s="2463"/>
      <c r="C2" s="2463"/>
      <c r="D2" s="2463"/>
      <c r="E2" s="2463"/>
      <c r="F2" s="2463"/>
      <c r="G2" s="1"/>
    </row>
    <row r="3" spans="1:7" ht="15.75" x14ac:dyDescent="0.25">
      <c r="A3" s="2464"/>
      <c r="B3" s="2464"/>
      <c r="C3" s="2464"/>
      <c r="D3" s="2464"/>
      <c r="E3" s="2464"/>
      <c r="F3" s="2464"/>
      <c r="G3" s="1"/>
    </row>
    <row r="4" spans="1:7" ht="15.75" x14ac:dyDescent="0.25">
      <c r="A4" s="2278" t="s">
        <v>6449</v>
      </c>
      <c r="B4" s="2278"/>
      <c r="C4" s="2278"/>
      <c r="D4" s="2278"/>
      <c r="E4" s="2278"/>
      <c r="F4" s="2278"/>
      <c r="G4" s="1"/>
    </row>
    <row r="5" spans="1:7" ht="15.75" x14ac:dyDescent="0.25">
      <c r="A5" s="2278" t="s">
        <v>2</v>
      </c>
      <c r="B5" s="2278"/>
      <c r="C5" s="2278"/>
      <c r="D5" s="2278"/>
      <c r="E5" s="2278"/>
      <c r="F5" s="2278"/>
    </row>
    <row r="6" spans="1:7" ht="16.5" thickBot="1" x14ac:dyDescent="0.3">
      <c r="A6" s="603"/>
      <c r="B6" s="603"/>
      <c r="C6" s="603"/>
      <c r="D6" s="603"/>
      <c r="E6" s="603"/>
      <c r="F6" s="603"/>
    </row>
    <row r="7" spans="1:7" ht="15.75" thickBot="1" x14ac:dyDescent="0.3">
      <c r="A7" s="4" t="s">
        <v>3</v>
      </c>
      <c r="B7" s="5" t="s">
        <v>4</v>
      </c>
      <c r="C7" s="5" t="s">
        <v>5</v>
      </c>
      <c r="D7" s="5" t="s">
        <v>6</v>
      </c>
      <c r="E7" s="6" t="s">
        <v>7</v>
      </c>
      <c r="F7" s="7" t="s">
        <v>8</v>
      </c>
      <c r="G7" s="8"/>
    </row>
    <row r="8" spans="1:7" hidden="1" x14ac:dyDescent="0.25">
      <c r="A8" s="316">
        <v>1</v>
      </c>
      <c r="B8" s="317" t="s">
        <v>9</v>
      </c>
      <c r="C8" s="9"/>
      <c r="D8" s="9"/>
      <c r="E8" s="10"/>
      <c r="F8" s="11"/>
      <c r="G8" s="8"/>
    </row>
    <row r="9" spans="1:7" hidden="1" x14ac:dyDescent="0.25">
      <c r="A9" s="12" t="s">
        <v>10</v>
      </c>
      <c r="B9" s="13" t="s">
        <v>11</v>
      </c>
      <c r="C9" s="14"/>
      <c r="D9" s="14"/>
      <c r="E9" s="15"/>
      <c r="F9" s="16"/>
      <c r="G9" s="8"/>
    </row>
    <row r="10" spans="1:7" hidden="1" x14ac:dyDescent="0.25">
      <c r="A10" s="17" t="s">
        <v>12</v>
      </c>
      <c r="B10" s="18" t="s">
        <v>13</v>
      </c>
      <c r="C10" s="14" t="s">
        <v>14</v>
      </c>
      <c r="D10" s="14"/>
      <c r="E10" s="15">
        <f>+'APU CAP 1-2'!H56</f>
        <v>1717</v>
      </c>
      <c r="F10" s="16">
        <f>+D10*E10</f>
        <v>0</v>
      </c>
      <c r="G10" s="8">
        <f>+IF(F10&lt;&gt;0,1,0)</f>
        <v>0</v>
      </c>
    </row>
    <row r="11" spans="1:7" hidden="1" x14ac:dyDescent="0.25">
      <c r="A11" s="17" t="s">
        <v>15</v>
      </c>
      <c r="B11" s="18" t="s">
        <v>16</v>
      </c>
      <c r="C11" s="14" t="s">
        <v>17</v>
      </c>
      <c r="D11" s="14"/>
      <c r="E11" s="15">
        <f>+'APU CAP 1-2'!H110</f>
        <v>2283</v>
      </c>
      <c r="F11" s="16">
        <f>+D11*E11</f>
        <v>0</v>
      </c>
      <c r="G11" s="8">
        <f t="shared" ref="G11:G74" si="0">+IF(F11&lt;&gt;0,1,0)</f>
        <v>0</v>
      </c>
    </row>
    <row r="12" spans="1:7" hidden="1" x14ac:dyDescent="0.25">
      <c r="A12" s="17" t="s">
        <v>5427</v>
      </c>
      <c r="B12" s="18" t="s">
        <v>5624</v>
      </c>
      <c r="C12" s="14" t="s">
        <v>17</v>
      </c>
      <c r="D12" s="14"/>
      <c r="E12" s="15">
        <f>+'APU CAP 1-2'!H332</f>
        <v>0</v>
      </c>
      <c r="F12" s="16">
        <f>+D12*E12</f>
        <v>0</v>
      </c>
      <c r="G12" s="8">
        <f t="shared" si="0"/>
        <v>0</v>
      </c>
    </row>
    <row r="13" spans="1:7" hidden="1" x14ac:dyDescent="0.25">
      <c r="A13" s="12" t="s">
        <v>18</v>
      </c>
      <c r="B13" s="13" t="s">
        <v>19</v>
      </c>
      <c r="C13" s="14"/>
      <c r="D13" s="14"/>
      <c r="E13" s="15"/>
      <c r="F13" s="16"/>
      <c r="G13" s="8">
        <f t="shared" si="0"/>
        <v>0</v>
      </c>
    </row>
    <row r="14" spans="1:7" hidden="1" x14ac:dyDescent="0.25">
      <c r="A14" s="12" t="s">
        <v>20</v>
      </c>
      <c r="B14" s="13" t="s">
        <v>21</v>
      </c>
      <c r="C14" s="14"/>
      <c r="D14" s="14"/>
      <c r="E14" s="15"/>
      <c r="F14" s="16"/>
      <c r="G14" s="8">
        <f t="shared" si="0"/>
        <v>0</v>
      </c>
    </row>
    <row r="15" spans="1:7" hidden="1" x14ac:dyDescent="0.25">
      <c r="A15" s="17" t="s">
        <v>49</v>
      </c>
      <c r="B15" s="18" t="s">
        <v>48</v>
      </c>
      <c r="C15" s="14" t="s">
        <v>37</v>
      </c>
      <c r="D15" s="14"/>
      <c r="E15" s="15">
        <f>+'APU CAP 1-2'!H387</f>
        <v>0</v>
      </c>
      <c r="F15" s="16">
        <f t="shared" ref="F15:F27" si="1">+D15*E15</f>
        <v>0</v>
      </c>
      <c r="G15" s="8">
        <f t="shared" si="0"/>
        <v>0</v>
      </c>
    </row>
    <row r="16" spans="1:7" hidden="1" x14ac:dyDescent="0.25">
      <c r="A16" s="17" t="s">
        <v>50</v>
      </c>
      <c r="B16" s="18" t="s">
        <v>47</v>
      </c>
      <c r="C16" s="14" t="s">
        <v>37</v>
      </c>
      <c r="D16" s="14"/>
      <c r="E16" s="15">
        <f>+'APU CAP 1-2'!H442</f>
        <v>0</v>
      </c>
      <c r="F16" s="16">
        <f t="shared" si="1"/>
        <v>0</v>
      </c>
      <c r="G16" s="8">
        <f t="shared" si="0"/>
        <v>0</v>
      </c>
    </row>
    <row r="17" spans="1:7" hidden="1" x14ac:dyDescent="0.25">
      <c r="A17" s="17" t="s">
        <v>51</v>
      </c>
      <c r="B17" s="18" t="s">
        <v>52</v>
      </c>
      <c r="C17" s="14" t="s">
        <v>37</v>
      </c>
      <c r="D17" s="14"/>
      <c r="E17" s="15">
        <f>+'APU CAP 1-2'!H497</f>
        <v>0</v>
      </c>
      <c r="F17" s="16">
        <f t="shared" si="1"/>
        <v>0</v>
      </c>
      <c r="G17" s="8">
        <f t="shared" si="0"/>
        <v>0</v>
      </c>
    </row>
    <row r="18" spans="1:7" ht="25.5" hidden="1" x14ac:dyDescent="0.25">
      <c r="A18" s="17" t="s">
        <v>65</v>
      </c>
      <c r="B18" s="25" t="s">
        <v>66</v>
      </c>
      <c r="C18" s="14" t="s">
        <v>37</v>
      </c>
      <c r="D18" s="14"/>
      <c r="E18" s="15">
        <f>+'APU CAP 1-2'!H552</f>
        <v>0</v>
      </c>
      <c r="F18" s="16">
        <f t="shared" si="1"/>
        <v>0</v>
      </c>
      <c r="G18" s="8">
        <f t="shared" si="0"/>
        <v>0</v>
      </c>
    </row>
    <row r="19" spans="1:7" hidden="1" x14ac:dyDescent="0.25">
      <c r="A19" s="17" t="s">
        <v>53</v>
      </c>
      <c r="B19" s="18" t="s">
        <v>54</v>
      </c>
      <c r="C19" s="14" t="s">
        <v>37</v>
      </c>
      <c r="D19" s="14"/>
      <c r="E19" s="15">
        <f>+'APU CAP 1-2'!H603</f>
        <v>0</v>
      </c>
      <c r="F19" s="16">
        <f t="shared" si="1"/>
        <v>0</v>
      </c>
      <c r="G19" s="8">
        <f t="shared" si="0"/>
        <v>0</v>
      </c>
    </row>
    <row r="20" spans="1:7" hidden="1" x14ac:dyDescent="0.25">
      <c r="A20" s="17" t="s">
        <v>22</v>
      </c>
      <c r="B20" s="18" t="s">
        <v>23</v>
      </c>
      <c r="C20" s="14" t="s">
        <v>14</v>
      </c>
      <c r="D20" s="14"/>
      <c r="E20" s="15">
        <f>+'APU CAP 1-2'!H657</f>
        <v>0</v>
      </c>
      <c r="F20" s="16">
        <f t="shared" si="1"/>
        <v>0</v>
      </c>
      <c r="G20" s="8">
        <f t="shared" si="0"/>
        <v>0</v>
      </c>
    </row>
    <row r="21" spans="1:7" hidden="1" x14ac:dyDescent="0.25">
      <c r="A21" s="17" t="s">
        <v>55</v>
      </c>
      <c r="B21" s="18" t="s">
        <v>59</v>
      </c>
      <c r="C21" s="14" t="s">
        <v>37</v>
      </c>
      <c r="D21" s="14"/>
      <c r="E21" s="15"/>
      <c r="F21" s="16">
        <f t="shared" si="1"/>
        <v>0</v>
      </c>
      <c r="G21" s="8">
        <f t="shared" si="0"/>
        <v>0</v>
      </c>
    </row>
    <row r="22" spans="1:7" hidden="1" x14ac:dyDescent="0.25">
      <c r="A22" s="17" t="s">
        <v>56</v>
      </c>
      <c r="B22" s="18" t="s">
        <v>5645</v>
      </c>
      <c r="C22" s="14" t="s">
        <v>37</v>
      </c>
      <c r="D22" s="14"/>
      <c r="E22" s="15">
        <f>+'APU CAP 1-2'!H716</f>
        <v>0</v>
      </c>
      <c r="F22" s="16">
        <f t="shared" si="1"/>
        <v>0</v>
      </c>
      <c r="G22" s="8">
        <f t="shared" si="0"/>
        <v>0</v>
      </c>
    </row>
    <row r="23" spans="1:7" hidden="1" x14ac:dyDescent="0.25">
      <c r="A23" s="17" t="s">
        <v>57</v>
      </c>
      <c r="B23" s="18" t="s">
        <v>60</v>
      </c>
      <c r="C23" s="14" t="s">
        <v>14</v>
      </c>
      <c r="D23" s="14"/>
      <c r="E23" s="441">
        <f>+'APU CAP 1-2'!H932</f>
        <v>0</v>
      </c>
      <c r="F23" s="16">
        <f t="shared" si="1"/>
        <v>0</v>
      </c>
      <c r="G23" s="8">
        <f t="shared" si="0"/>
        <v>0</v>
      </c>
    </row>
    <row r="24" spans="1:7" hidden="1" x14ac:dyDescent="0.25">
      <c r="A24" s="17" t="s">
        <v>58</v>
      </c>
      <c r="B24" s="18" t="s">
        <v>61</v>
      </c>
      <c r="C24" s="14" t="s">
        <v>37</v>
      </c>
      <c r="D24" s="14"/>
      <c r="E24" s="15"/>
      <c r="F24" s="16">
        <f t="shared" si="1"/>
        <v>0</v>
      </c>
      <c r="G24" s="8">
        <f t="shared" si="0"/>
        <v>0</v>
      </c>
    </row>
    <row r="25" spans="1:7" hidden="1" x14ac:dyDescent="0.25">
      <c r="A25" s="17" t="s">
        <v>67</v>
      </c>
      <c r="B25" s="18" t="s">
        <v>62</v>
      </c>
      <c r="C25" s="14" t="s">
        <v>37</v>
      </c>
      <c r="D25" s="14"/>
      <c r="E25" s="15"/>
      <c r="F25" s="16">
        <f t="shared" si="1"/>
        <v>0</v>
      </c>
      <c r="G25" s="8">
        <f t="shared" si="0"/>
        <v>0</v>
      </c>
    </row>
    <row r="26" spans="1:7" hidden="1" x14ac:dyDescent="0.25">
      <c r="A26" s="17" t="s">
        <v>68</v>
      </c>
      <c r="B26" s="18" t="s">
        <v>63</v>
      </c>
      <c r="C26" s="14" t="s">
        <v>37</v>
      </c>
      <c r="D26" s="14"/>
      <c r="E26" s="15"/>
      <c r="F26" s="16">
        <f t="shared" si="1"/>
        <v>0</v>
      </c>
      <c r="G26" s="8">
        <f t="shared" si="0"/>
        <v>0</v>
      </c>
    </row>
    <row r="27" spans="1:7" hidden="1" x14ac:dyDescent="0.25">
      <c r="A27" s="17" t="s">
        <v>69</v>
      </c>
      <c r="B27" s="18" t="s">
        <v>64</v>
      </c>
      <c r="C27" s="14" t="s">
        <v>37</v>
      </c>
      <c r="D27" s="14"/>
      <c r="E27" s="15"/>
      <c r="F27" s="16">
        <f t="shared" si="1"/>
        <v>0</v>
      </c>
      <c r="G27" s="8">
        <f t="shared" si="0"/>
        <v>0</v>
      </c>
    </row>
    <row r="28" spans="1:7" hidden="1" x14ac:dyDescent="0.25">
      <c r="A28" s="2454" t="s">
        <v>24</v>
      </c>
      <c r="B28" s="2455"/>
      <c r="C28" s="2455"/>
      <c r="D28" s="2455"/>
      <c r="E28" s="2455"/>
      <c r="F28" s="19">
        <f>SUM(F10:F27)</f>
        <v>0</v>
      </c>
      <c r="G28" s="8">
        <f t="shared" si="0"/>
        <v>0</v>
      </c>
    </row>
    <row r="29" spans="1:7" hidden="1" x14ac:dyDescent="0.25">
      <c r="A29" s="20">
        <v>2</v>
      </c>
      <c r="B29" s="21" t="s">
        <v>5757</v>
      </c>
      <c r="C29" s="22"/>
      <c r="D29" s="22"/>
      <c r="E29" s="23"/>
      <c r="F29" s="24"/>
      <c r="G29" s="8"/>
    </row>
    <row r="30" spans="1:7" hidden="1" x14ac:dyDescent="0.25">
      <c r="A30" s="12" t="s">
        <v>25</v>
      </c>
      <c r="B30" s="13" t="s">
        <v>6261</v>
      </c>
      <c r="C30" s="14"/>
      <c r="D30" s="14"/>
      <c r="E30" s="15"/>
      <c r="F30" s="16"/>
      <c r="G30" s="8"/>
    </row>
    <row r="31" spans="1:7" hidden="1" x14ac:dyDescent="0.25">
      <c r="A31" s="17" t="s">
        <v>26</v>
      </c>
      <c r="B31" s="25" t="s">
        <v>5758</v>
      </c>
      <c r="C31" s="14" t="s">
        <v>27</v>
      </c>
      <c r="D31" s="14"/>
      <c r="E31" s="15">
        <f>+'APU CAP 1-2'!H1150</f>
        <v>22263</v>
      </c>
      <c r="F31" s="16">
        <f>+D31*E31</f>
        <v>0</v>
      </c>
      <c r="G31" s="8">
        <f t="shared" si="0"/>
        <v>0</v>
      </c>
    </row>
    <row r="32" spans="1:7" hidden="1" x14ac:dyDescent="0.25">
      <c r="A32" s="17" t="s">
        <v>89</v>
      </c>
      <c r="B32" s="25" t="s">
        <v>5759</v>
      </c>
      <c r="C32" s="14" t="s">
        <v>27</v>
      </c>
      <c r="D32" s="14"/>
      <c r="E32" s="15">
        <f>+'APU CAP 1-2'!H1205</f>
        <v>33442</v>
      </c>
      <c r="F32" s="16">
        <f>+D32*E32</f>
        <v>0</v>
      </c>
      <c r="G32" s="8">
        <f t="shared" si="0"/>
        <v>0</v>
      </c>
    </row>
    <row r="33" spans="1:7" hidden="1" x14ac:dyDescent="0.25">
      <c r="A33" s="17" t="s">
        <v>90</v>
      </c>
      <c r="B33" s="25" t="s">
        <v>5760</v>
      </c>
      <c r="C33" s="14" t="s">
        <v>27</v>
      </c>
      <c r="D33" s="14"/>
      <c r="E33" s="15">
        <f>+'APU CAP 1-2'!H1262</f>
        <v>0</v>
      </c>
      <c r="F33" s="16">
        <f>+D33*E33</f>
        <v>0</v>
      </c>
      <c r="G33" s="8">
        <f t="shared" si="0"/>
        <v>0</v>
      </c>
    </row>
    <row r="34" spans="1:7" hidden="1" x14ac:dyDescent="0.25">
      <c r="A34" s="12" t="s">
        <v>94</v>
      </c>
      <c r="B34" s="13" t="s">
        <v>6262</v>
      </c>
      <c r="C34" s="14"/>
      <c r="D34" s="14"/>
      <c r="E34" s="15"/>
      <c r="F34" s="16"/>
      <c r="G34" s="8">
        <f t="shared" si="0"/>
        <v>0</v>
      </c>
    </row>
    <row r="35" spans="1:7" ht="25.5" hidden="1" x14ac:dyDescent="0.25">
      <c r="A35" s="17" t="s">
        <v>95</v>
      </c>
      <c r="B35" s="25" t="s">
        <v>91</v>
      </c>
      <c r="C35" s="14" t="s">
        <v>27</v>
      </c>
      <c r="D35" s="14"/>
      <c r="E35" s="15">
        <f>+'APU CAP 1-2'!H1317</f>
        <v>0</v>
      </c>
      <c r="F35" s="16">
        <f>+D35*E35</f>
        <v>0</v>
      </c>
      <c r="G35" s="8">
        <f t="shared" si="0"/>
        <v>0</v>
      </c>
    </row>
    <row r="36" spans="1:7" ht="25.5" hidden="1" x14ac:dyDescent="0.25">
      <c r="A36" s="17" t="s">
        <v>96</v>
      </c>
      <c r="B36" s="25" t="s">
        <v>92</v>
      </c>
      <c r="C36" s="14" t="s">
        <v>27</v>
      </c>
      <c r="D36" s="14"/>
      <c r="E36" s="15">
        <f>+'APU CAP 1-2'!H1372</f>
        <v>0</v>
      </c>
      <c r="F36" s="16">
        <f>+D36*E36</f>
        <v>0</v>
      </c>
      <c r="G36" s="8">
        <f t="shared" si="0"/>
        <v>0</v>
      </c>
    </row>
    <row r="37" spans="1:7" ht="25.5" hidden="1" x14ac:dyDescent="0.25">
      <c r="A37" s="17" t="s">
        <v>97</v>
      </c>
      <c r="B37" s="25" t="s">
        <v>93</v>
      </c>
      <c r="C37" s="14" t="s">
        <v>27</v>
      </c>
      <c r="D37" s="14"/>
      <c r="E37" s="15">
        <f>+'APU CAP 1-2'!H1427</f>
        <v>0</v>
      </c>
      <c r="F37" s="16">
        <f>+D37*E37</f>
        <v>0</v>
      </c>
      <c r="G37" s="8">
        <f t="shared" si="0"/>
        <v>0</v>
      </c>
    </row>
    <row r="38" spans="1:7" hidden="1" x14ac:dyDescent="0.25">
      <c r="A38" s="12" t="s">
        <v>5990</v>
      </c>
      <c r="B38" s="46" t="s">
        <v>864</v>
      </c>
      <c r="C38" s="14"/>
      <c r="D38" s="14"/>
      <c r="E38" s="15"/>
      <c r="F38" s="16"/>
      <c r="G38" s="8"/>
    </row>
    <row r="39" spans="1:7" ht="25.5" hidden="1" x14ac:dyDescent="0.25">
      <c r="A39" s="17" t="s">
        <v>101</v>
      </c>
      <c r="B39" s="25" t="s">
        <v>131</v>
      </c>
      <c r="C39" s="14" t="s">
        <v>27</v>
      </c>
      <c r="D39" s="14"/>
      <c r="E39" s="15">
        <f>+'APU CAP 1-2'!H1645</f>
        <v>14094</v>
      </c>
      <c r="F39" s="16">
        <f>+D39*E39</f>
        <v>0</v>
      </c>
      <c r="G39" s="8">
        <f t="shared" si="0"/>
        <v>0</v>
      </c>
    </row>
    <row r="40" spans="1:7" ht="25.5" hidden="1" x14ac:dyDescent="0.25">
      <c r="A40" s="17" t="s">
        <v>105</v>
      </c>
      <c r="B40" s="25" t="s">
        <v>132</v>
      </c>
      <c r="C40" s="14" t="s">
        <v>27</v>
      </c>
      <c r="D40" s="14"/>
      <c r="E40" s="15">
        <f>+'APU CAP 1-2'!H1702</f>
        <v>0</v>
      </c>
      <c r="F40" s="16">
        <f>+D40*E40</f>
        <v>0</v>
      </c>
      <c r="G40" s="8">
        <f t="shared" si="0"/>
        <v>0</v>
      </c>
    </row>
    <row r="41" spans="1:7" hidden="1" x14ac:dyDescent="0.25">
      <c r="A41" s="12" t="s">
        <v>116</v>
      </c>
      <c r="B41" s="25" t="s">
        <v>133</v>
      </c>
      <c r="C41" s="14" t="s">
        <v>27</v>
      </c>
      <c r="D41" s="14"/>
      <c r="E41" s="15">
        <f>+'APU CAP 1-2'!H1755</f>
        <v>156265</v>
      </c>
      <c r="F41" s="16">
        <f>+D41*E41</f>
        <v>0</v>
      </c>
      <c r="G41" s="8">
        <f t="shared" si="0"/>
        <v>0</v>
      </c>
    </row>
    <row r="42" spans="1:7" hidden="1" x14ac:dyDescent="0.25">
      <c r="A42" s="12" t="s">
        <v>117</v>
      </c>
      <c r="B42" s="46" t="s">
        <v>100</v>
      </c>
      <c r="C42" s="14"/>
      <c r="D42" s="14"/>
      <c r="E42" s="15"/>
      <c r="F42" s="16"/>
      <c r="G42" s="8"/>
    </row>
    <row r="43" spans="1:7" hidden="1" x14ac:dyDescent="0.25">
      <c r="A43" s="17" t="s">
        <v>118</v>
      </c>
      <c r="B43" s="18" t="s">
        <v>103</v>
      </c>
      <c r="C43" s="14" t="s">
        <v>27</v>
      </c>
      <c r="D43" s="14"/>
      <c r="E43" s="15">
        <f>+'APU CAP 1-2'!H1810</f>
        <v>63025</v>
      </c>
      <c r="F43" s="16">
        <f t="shared" ref="F43:F61" si="2">+D43*E43</f>
        <v>0</v>
      </c>
      <c r="G43" s="8">
        <f t="shared" si="0"/>
        <v>0</v>
      </c>
    </row>
    <row r="44" spans="1:7" hidden="1" x14ac:dyDescent="0.25">
      <c r="A44" s="17" t="s">
        <v>119</v>
      </c>
      <c r="B44" s="18" t="s">
        <v>102</v>
      </c>
      <c r="C44" s="14" t="s">
        <v>27</v>
      </c>
      <c r="D44" s="14"/>
      <c r="E44" s="15">
        <f>+'APU CAP 1-2'!H1867</f>
        <v>0</v>
      </c>
      <c r="F44" s="16">
        <f t="shared" si="2"/>
        <v>0</v>
      </c>
      <c r="G44" s="8">
        <f t="shared" si="0"/>
        <v>0</v>
      </c>
    </row>
    <row r="45" spans="1:7" hidden="1" x14ac:dyDescent="0.25">
      <c r="A45" s="17" t="s">
        <v>120</v>
      </c>
      <c r="B45" s="18" t="s">
        <v>104</v>
      </c>
      <c r="C45" s="14" t="s">
        <v>27</v>
      </c>
      <c r="D45" s="14"/>
      <c r="E45" s="15">
        <f>+'APU CAP 1-2'!H1922</f>
        <v>0</v>
      </c>
      <c r="F45" s="16">
        <f t="shared" si="2"/>
        <v>0</v>
      </c>
      <c r="G45" s="8">
        <f t="shared" si="0"/>
        <v>0</v>
      </c>
    </row>
    <row r="46" spans="1:7" ht="25.5" hidden="1" x14ac:dyDescent="0.25">
      <c r="A46" s="17" t="s">
        <v>6294</v>
      </c>
      <c r="B46" s="601" t="s">
        <v>6308</v>
      </c>
      <c r="C46" s="14" t="s">
        <v>146</v>
      </c>
      <c r="D46" s="14"/>
      <c r="E46" s="15">
        <f>+'APU CAP 1-2'!X1810</f>
        <v>43691</v>
      </c>
      <c r="F46" s="16">
        <f t="shared" si="2"/>
        <v>0</v>
      </c>
      <c r="G46" s="8">
        <f t="shared" si="0"/>
        <v>0</v>
      </c>
    </row>
    <row r="47" spans="1:7" hidden="1" x14ac:dyDescent="0.25">
      <c r="A47" s="17" t="s">
        <v>121</v>
      </c>
      <c r="B47" s="25" t="s">
        <v>106</v>
      </c>
      <c r="C47" s="14" t="s">
        <v>27</v>
      </c>
      <c r="D47" s="14"/>
      <c r="E47" s="15">
        <f>+'APU CAP 1-2'!H1975</f>
        <v>83236</v>
      </c>
      <c r="F47" s="16">
        <f t="shared" si="2"/>
        <v>0</v>
      </c>
      <c r="G47" s="8">
        <f t="shared" si="0"/>
        <v>0</v>
      </c>
    </row>
    <row r="48" spans="1:7" hidden="1" x14ac:dyDescent="0.25">
      <c r="A48" s="17" t="s">
        <v>122</v>
      </c>
      <c r="B48" s="25" t="s">
        <v>107</v>
      </c>
      <c r="C48" s="14" t="s">
        <v>27</v>
      </c>
      <c r="D48" s="14"/>
      <c r="E48" s="15">
        <f>+'APU CAP 1-2'!H2030</f>
        <v>41595</v>
      </c>
      <c r="F48" s="16">
        <f t="shared" si="2"/>
        <v>0</v>
      </c>
      <c r="G48" s="8">
        <f t="shared" si="0"/>
        <v>0</v>
      </c>
    </row>
    <row r="49" spans="1:7" hidden="1" x14ac:dyDescent="0.25">
      <c r="A49" s="17" t="s">
        <v>123</v>
      </c>
      <c r="B49" s="25" t="s">
        <v>5683</v>
      </c>
      <c r="C49" s="14" t="s">
        <v>27</v>
      </c>
      <c r="D49" s="14"/>
      <c r="E49" s="15">
        <f>+'APU CAP 1-2'!H2087</f>
        <v>0</v>
      </c>
      <c r="F49" s="16">
        <f t="shared" si="2"/>
        <v>0</v>
      </c>
      <c r="G49" s="8">
        <f t="shared" si="0"/>
        <v>0</v>
      </c>
    </row>
    <row r="50" spans="1:7" hidden="1" x14ac:dyDescent="0.25">
      <c r="A50" s="17" t="s">
        <v>124</v>
      </c>
      <c r="B50" s="25" t="s">
        <v>108</v>
      </c>
      <c r="C50" s="14" t="s">
        <v>109</v>
      </c>
      <c r="D50" s="14"/>
      <c r="E50" s="15">
        <f>+'APU CAP 1-2'!H2142</f>
        <v>0</v>
      </c>
      <c r="F50" s="16">
        <f t="shared" si="2"/>
        <v>0</v>
      </c>
      <c r="G50" s="8">
        <f t="shared" si="0"/>
        <v>0</v>
      </c>
    </row>
    <row r="51" spans="1:7" hidden="1" x14ac:dyDescent="0.25">
      <c r="A51" s="17" t="s">
        <v>125</v>
      </c>
      <c r="B51" s="25" t="s">
        <v>110</v>
      </c>
      <c r="C51" s="14" t="s">
        <v>27</v>
      </c>
      <c r="D51" s="14"/>
      <c r="E51" s="15">
        <f>+'APU CAP 1-2'!H2197</f>
        <v>0</v>
      </c>
      <c r="F51" s="16">
        <f t="shared" si="2"/>
        <v>0</v>
      </c>
      <c r="G51" s="8">
        <f t="shared" si="0"/>
        <v>0</v>
      </c>
    </row>
    <row r="52" spans="1:7" hidden="1" x14ac:dyDescent="0.25">
      <c r="A52" s="17" t="s">
        <v>126</v>
      </c>
      <c r="B52" s="25" t="s">
        <v>111</v>
      </c>
      <c r="C52" s="14" t="s">
        <v>14</v>
      </c>
      <c r="D52" s="14"/>
      <c r="E52" s="15">
        <f>+'APU CAP 1-2'!H2252</f>
        <v>0</v>
      </c>
      <c r="F52" s="16">
        <f t="shared" si="2"/>
        <v>0</v>
      </c>
      <c r="G52" s="8">
        <f t="shared" si="0"/>
        <v>0</v>
      </c>
    </row>
    <row r="53" spans="1:7" hidden="1" x14ac:dyDescent="0.25">
      <c r="A53" s="17" t="s">
        <v>127</v>
      </c>
      <c r="B53" s="25" t="s">
        <v>112</v>
      </c>
      <c r="C53" s="14" t="s">
        <v>14</v>
      </c>
      <c r="D53" s="14"/>
      <c r="E53" s="15">
        <f>+'APU CAP 1-2'!H2307</f>
        <v>0</v>
      </c>
      <c r="F53" s="16">
        <f t="shared" si="2"/>
        <v>0</v>
      </c>
      <c r="G53" s="8">
        <f t="shared" si="0"/>
        <v>0</v>
      </c>
    </row>
    <row r="54" spans="1:7" ht="25.5" hidden="1" x14ac:dyDescent="0.25">
      <c r="A54" s="17" t="s">
        <v>128</v>
      </c>
      <c r="B54" s="25" t="s">
        <v>113</v>
      </c>
      <c r="C54" s="14" t="s">
        <v>14</v>
      </c>
      <c r="D54" s="14"/>
      <c r="E54" s="15">
        <f>+'APU CAP 1-2'!H2362</f>
        <v>0</v>
      </c>
      <c r="F54" s="16">
        <f t="shared" si="2"/>
        <v>0</v>
      </c>
      <c r="G54" s="8">
        <f t="shared" si="0"/>
        <v>0</v>
      </c>
    </row>
    <row r="55" spans="1:7" ht="25.5" hidden="1" x14ac:dyDescent="0.25">
      <c r="A55" s="17" t="s">
        <v>129</v>
      </c>
      <c r="B55" s="25" t="s">
        <v>115</v>
      </c>
      <c r="C55" s="14" t="s">
        <v>14</v>
      </c>
      <c r="D55" s="14"/>
      <c r="E55" s="15">
        <f>+'APU CAP 1-2'!H2417</f>
        <v>0</v>
      </c>
      <c r="F55" s="16">
        <f t="shared" si="2"/>
        <v>0</v>
      </c>
      <c r="G55" s="8">
        <f t="shared" si="0"/>
        <v>0</v>
      </c>
    </row>
    <row r="56" spans="1:7" ht="25.5" hidden="1" x14ac:dyDescent="0.25">
      <c r="A56" s="17" t="s">
        <v>130</v>
      </c>
      <c r="B56" s="25" t="s">
        <v>114</v>
      </c>
      <c r="C56" s="14" t="s">
        <v>14</v>
      </c>
      <c r="D56" s="14"/>
      <c r="E56" s="15">
        <f>+'APU CAP 1-2'!H2472</f>
        <v>0</v>
      </c>
      <c r="F56" s="16">
        <f t="shared" si="2"/>
        <v>0</v>
      </c>
      <c r="G56" s="8">
        <f t="shared" si="0"/>
        <v>0</v>
      </c>
    </row>
    <row r="57" spans="1:7" hidden="1" x14ac:dyDescent="0.25">
      <c r="A57" s="12" t="s">
        <v>134</v>
      </c>
      <c r="B57" s="46" t="s">
        <v>6314</v>
      </c>
      <c r="C57" s="14"/>
      <c r="D57" s="14"/>
      <c r="E57" s="15"/>
      <c r="F57" s="16"/>
      <c r="G57" s="8">
        <f t="shared" si="0"/>
        <v>0</v>
      </c>
    </row>
    <row r="58" spans="1:7" hidden="1" x14ac:dyDescent="0.25">
      <c r="A58" s="17" t="s">
        <v>136</v>
      </c>
      <c r="B58" s="25" t="s">
        <v>6315</v>
      </c>
      <c r="C58" s="14" t="s">
        <v>14</v>
      </c>
      <c r="D58" s="14"/>
      <c r="E58" s="15">
        <f>+'APU CAP 1-2'!P2305</f>
        <v>24916</v>
      </c>
      <c r="F58" s="16">
        <f t="shared" si="2"/>
        <v>0</v>
      </c>
      <c r="G58" s="8">
        <f t="shared" si="0"/>
        <v>0</v>
      </c>
    </row>
    <row r="59" spans="1:7" hidden="1" x14ac:dyDescent="0.25">
      <c r="A59" s="17" t="s">
        <v>138</v>
      </c>
      <c r="B59" s="25" t="s">
        <v>6316</v>
      </c>
      <c r="C59" s="14" t="s">
        <v>14</v>
      </c>
      <c r="D59" s="14"/>
      <c r="E59" s="15">
        <f>+'APU CAP 1-2'!P2360</f>
        <v>24916</v>
      </c>
      <c r="F59" s="16">
        <f t="shared" si="2"/>
        <v>0</v>
      </c>
      <c r="G59" s="8">
        <f t="shared" si="0"/>
        <v>0</v>
      </c>
    </row>
    <row r="60" spans="1:7" hidden="1" x14ac:dyDescent="0.25">
      <c r="A60" s="17" t="s">
        <v>139</v>
      </c>
      <c r="B60" s="25" t="s">
        <v>6317</v>
      </c>
      <c r="C60" s="14" t="s">
        <v>14</v>
      </c>
      <c r="D60" s="14"/>
      <c r="E60" s="15">
        <f>+'APU CAP 1-2'!P2415</f>
        <v>30227</v>
      </c>
      <c r="F60" s="16">
        <f t="shared" si="2"/>
        <v>0</v>
      </c>
      <c r="G60" s="8">
        <f t="shared" si="0"/>
        <v>0</v>
      </c>
    </row>
    <row r="61" spans="1:7" hidden="1" x14ac:dyDescent="0.25">
      <c r="A61" s="17">
        <v>2.8</v>
      </c>
      <c r="B61" s="25" t="s">
        <v>6318</v>
      </c>
      <c r="C61" s="14" t="s">
        <v>37</v>
      </c>
      <c r="D61" s="14"/>
      <c r="E61" s="15">
        <f>+'APU CAP 1-2'!P2470</f>
        <v>64898</v>
      </c>
      <c r="F61" s="16">
        <f t="shared" si="2"/>
        <v>0</v>
      </c>
      <c r="G61" s="8">
        <f t="shared" si="0"/>
        <v>0</v>
      </c>
    </row>
    <row r="62" spans="1:7" hidden="1" x14ac:dyDescent="0.25">
      <c r="A62" s="2454" t="s">
        <v>841</v>
      </c>
      <c r="B62" s="2455"/>
      <c r="C62" s="2455"/>
      <c r="D62" s="2455"/>
      <c r="E62" s="2455"/>
      <c r="F62" s="19">
        <f>SUM(F31:F61)</f>
        <v>0</v>
      </c>
      <c r="G62" s="8">
        <f t="shared" si="0"/>
        <v>0</v>
      </c>
    </row>
    <row r="63" spans="1:7" hidden="1" x14ac:dyDescent="0.25">
      <c r="A63" s="12" t="s">
        <v>134</v>
      </c>
      <c r="B63" s="13" t="s">
        <v>135</v>
      </c>
      <c r="C63" s="602"/>
      <c r="D63" s="602"/>
      <c r="E63" s="602"/>
      <c r="F63" s="19"/>
      <c r="G63" s="8">
        <f t="shared" si="0"/>
        <v>0</v>
      </c>
    </row>
    <row r="64" spans="1:7" hidden="1" x14ac:dyDescent="0.25">
      <c r="A64" s="17" t="s">
        <v>136</v>
      </c>
      <c r="B64" s="18" t="s">
        <v>137</v>
      </c>
      <c r="C64" s="14" t="s">
        <v>146</v>
      </c>
      <c r="D64" s="602"/>
      <c r="E64" s="442">
        <f>+'APU CAP 1-2'!H2527</f>
        <v>0</v>
      </c>
      <c r="F64" s="16">
        <f>+D64*E64</f>
        <v>0</v>
      </c>
      <c r="G64" s="8">
        <f t="shared" si="0"/>
        <v>0</v>
      </c>
    </row>
    <row r="65" spans="1:7" hidden="1" x14ac:dyDescent="0.25">
      <c r="A65" s="17" t="s">
        <v>138</v>
      </c>
      <c r="B65" s="18" t="s">
        <v>141</v>
      </c>
      <c r="C65" s="14" t="s">
        <v>146</v>
      </c>
      <c r="D65" s="602"/>
      <c r="E65" s="442">
        <f>+'APU CAP 1-2'!H2582</f>
        <v>0</v>
      </c>
      <c r="F65" s="16">
        <f>+D65*E65</f>
        <v>0</v>
      </c>
      <c r="G65" s="8">
        <f t="shared" si="0"/>
        <v>0</v>
      </c>
    </row>
    <row r="66" spans="1:7" hidden="1" x14ac:dyDescent="0.25">
      <c r="A66" s="17" t="s">
        <v>139</v>
      </c>
      <c r="B66" s="18" t="s">
        <v>142</v>
      </c>
      <c r="C66" s="14" t="s">
        <v>146</v>
      </c>
      <c r="D66" s="602"/>
      <c r="E66" s="442">
        <f>+'APU CAP 1-2'!H2637</f>
        <v>0</v>
      </c>
      <c r="F66" s="16">
        <f>+D66*E66</f>
        <v>0</v>
      </c>
      <c r="G66" s="8">
        <f t="shared" si="0"/>
        <v>0</v>
      </c>
    </row>
    <row r="67" spans="1:7" hidden="1" x14ac:dyDescent="0.25">
      <c r="A67" s="17" t="s">
        <v>140</v>
      </c>
      <c r="B67" s="18" t="s">
        <v>143</v>
      </c>
      <c r="C67" s="14" t="s">
        <v>146</v>
      </c>
      <c r="D67" s="602"/>
      <c r="E67" s="442">
        <f>+'APU CAP 1-2'!H2692</f>
        <v>0</v>
      </c>
      <c r="F67" s="16">
        <f>+D67*E67</f>
        <v>0</v>
      </c>
      <c r="G67" s="8">
        <f t="shared" si="0"/>
        <v>0</v>
      </c>
    </row>
    <row r="68" spans="1:7" hidden="1" x14ac:dyDescent="0.25">
      <c r="A68" s="17" t="s">
        <v>144</v>
      </c>
      <c r="B68" s="18" t="s">
        <v>145</v>
      </c>
      <c r="C68" s="14" t="s">
        <v>146</v>
      </c>
      <c r="D68" s="602"/>
      <c r="E68" s="442">
        <f>+'APU CAP 1-2'!P2692</f>
        <v>0</v>
      </c>
      <c r="F68" s="16">
        <f>+D68*E68</f>
        <v>0</v>
      </c>
      <c r="G68" s="8">
        <f t="shared" si="0"/>
        <v>0</v>
      </c>
    </row>
    <row r="69" spans="1:7" hidden="1" x14ac:dyDescent="0.25">
      <c r="A69" s="2454" t="s">
        <v>840</v>
      </c>
      <c r="B69" s="2455"/>
      <c r="C69" s="2455"/>
      <c r="D69" s="2455"/>
      <c r="E69" s="2455"/>
      <c r="F69" s="19">
        <f>SUM(F64:F68)</f>
        <v>0</v>
      </c>
      <c r="G69" s="8">
        <f t="shared" si="0"/>
        <v>0</v>
      </c>
    </row>
    <row r="70" spans="1:7" hidden="1" x14ac:dyDescent="0.25">
      <c r="A70" s="12" t="s">
        <v>28</v>
      </c>
      <c r="B70" s="13" t="s">
        <v>29</v>
      </c>
      <c r="C70" s="14"/>
      <c r="D70" s="14"/>
      <c r="E70" s="15"/>
      <c r="F70" s="16"/>
      <c r="G70" s="8"/>
    </row>
    <row r="71" spans="1:7" ht="25.5" hidden="1" x14ac:dyDescent="0.25">
      <c r="A71" s="17" t="s">
        <v>147</v>
      </c>
      <c r="B71" s="25" t="s">
        <v>148</v>
      </c>
      <c r="C71" s="14" t="s">
        <v>27</v>
      </c>
      <c r="D71" s="14"/>
      <c r="E71" s="15">
        <f>+'APU CAP 1-2'!H2745</f>
        <v>11097</v>
      </c>
      <c r="F71" s="16">
        <f t="shared" ref="F71:F79" si="3">+D71*E71</f>
        <v>0</v>
      </c>
      <c r="G71" s="8">
        <f t="shared" si="0"/>
        <v>0</v>
      </c>
    </row>
    <row r="72" spans="1:7" hidden="1" x14ac:dyDescent="0.25">
      <c r="A72" s="17" t="s">
        <v>149</v>
      </c>
      <c r="B72" s="18" t="s">
        <v>150</v>
      </c>
      <c r="C72" s="14" t="s">
        <v>27</v>
      </c>
      <c r="D72" s="14"/>
      <c r="E72" s="15">
        <f>+'APU CAP 1-2'!H2800</f>
        <v>62337</v>
      </c>
      <c r="F72" s="16">
        <f t="shared" si="3"/>
        <v>0</v>
      </c>
      <c r="G72" s="8">
        <f t="shared" si="0"/>
        <v>0</v>
      </c>
    </row>
    <row r="73" spans="1:7" hidden="1" x14ac:dyDescent="0.25">
      <c r="A73" s="17" t="s">
        <v>153</v>
      </c>
      <c r="B73" s="18" t="s">
        <v>151</v>
      </c>
      <c r="C73" s="14" t="s">
        <v>27</v>
      </c>
      <c r="D73" s="14"/>
      <c r="E73" s="15">
        <f>+'APU CAP 1-2'!H2855</f>
        <v>134000</v>
      </c>
      <c r="F73" s="16">
        <f t="shared" si="3"/>
        <v>0</v>
      </c>
      <c r="G73" s="8">
        <f t="shared" si="0"/>
        <v>0</v>
      </c>
    </row>
    <row r="74" spans="1:7" hidden="1" x14ac:dyDescent="0.25">
      <c r="A74" s="17" t="s">
        <v>154</v>
      </c>
      <c r="B74" s="18" t="s">
        <v>152</v>
      </c>
      <c r="C74" s="14" t="s">
        <v>27</v>
      </c>
      <c r="D74" s="14"/>
      <c r="E74" s="15">
        <f>+'APU CAP 1-2'!H2910</f>
        <v>141125</v>
      </c>
      <c r="F74" s="16">
        <f t="shared" si="3"/>
        <v>0</v>
      </c>
      <c r="G74" s="8">
        <f t="shared" si="0"/>
        <v>0</v>
      </c>
    </row>
    <row r="75" spans="1:7" hidden="1" x14ac:dyDescent="0.25">
      <c r="A75" s="17" t="s">
        <v>155</v>
      </c>
      <c r="B75" s="18" t="s">
        <v>158</v>
      </c>
      <c r="C75" s="14" t="s">
        <v>27</v>
      </c>
      <c r="D75" s="14"/>
      <c r="E75" s="15">
        <f>+'APU CAP 1-2'!H2965</f>
        <v>80534</v>
      </c>
      <c r="F75" s="16">
        <f t="shared" si="3"/>
        <v>0</v>
      </c>
      <c r="G75" s="8">
        <f t="shared" ref="G75:G138" si="4">+IF(F75&lt;&gt;0,1,0)</f>
        <v>0</v>
      </c>
    </row>
    <row r="76" spans="1:7" hidden="1" x14ac:dyDescent="0.25">
      <c r="A76" s="17" t="s">
        <v>156</v>
      </c>
      <c r="B76" s="18" t="s">
        <v>159</v>
      </c>
      <c r="C76" s="14" t="s">
        <v>27</v>
      </c>
      <c r="D76" s="14"/>
      <c r="E76" s="15">
        <f>+'APU CAP 1-2'!H3020</f>
        <v>103566</v>
      </c>
      <c r="F76" s="16">
        <f t="shared" si="3"/>
        <v>0</v>
      </c>
      <c r="G76" s="8">
        <f t="shared" si="4"/>
        <v>0</v>
      </c>
    </row>
    <row r="77" spans="1:7" hidden="1" x14ac:dyDescent="0.25">
      <c r="A77" s="17" t="s">
        <v>157</v>
      </c>
      <c r="B77" s="18" t="s">
        <v>169</v>
      </c>
      <c r="C77" s="14" t="s">
        <v>27</v>
      </c>
      <c r="D77" s="14"/>
      <c r="E77" s="15">
        <f>+'APU CAP 1-2'!H3075</f>
        <v>107316</v>
      </c>
      <c r="F77" s="16">
        <f t="shared" si="3"/>
        <v>0</v>
      </c>
      <c r="G77" s="8">
        <f t="shared" si="4"/>
        <v>0</v>
      </c>
    </row>
    <row r="78" spans="1:7" hidden="1" x14ac:dyDescent="0.25">
      <c r="A78" s="17" t="s">
        <v>160</v>
      </c>
      <c r="B78" s="18" t="s">
        <v>161</v>
      </c>
      <c r="C78" s="14" t="s">
        <v>27</v>
      </c>
      <c r="D78" s="14"/>
      <c r="E78" s="15"/>
      <c r="F78" s="16">
        <f t="shared" si="3"/>
        <v>0</v>
      </c>
      <c r="G78" s="8">
        <f t="shared" si="4"/>
        <v>0</v>
      </c>
    </row>
    <row r="79" spans="1:7" ht="25.5" hidden="1" x14ac:dyDescent="0.25">
      <c r="A79" s="17" t="s">
        <v>30</v>
      </c>
      <c r="B79" s="25" t="s">
        <v>6319</v>
      </c>
      <c r="C79" s="14" t="s">
        <v>27</v>
      </c>
      <c r="D79" s="14"/>
      <c r="E79" s="15">
        <f>+'APU CAP 1-2'!H3185</f>
        <v>14194</v>
      </c>
      <c r="F79" s="16">
        <f t="shared" si="3"/>
        <v>0</v>
      </c>
      <c r="G79" s="8">
        <f t="shared" si="4"/>
        <v>0</v>
      </c>
    </row>
    <row r="80" spans="1:7" hidden="1" x14ac:dyDescent="0.25">
      <c r="A80" s="2454" t="s">
        <v>31</v>
      </c>
      <c r="B80" s="2455"/>
      <c r="C80" s="2455"/>
      <c r="D80" s="2455"/>
      <c r="E80" s="2455"/>
      <c r="F80" s="19">
        <f>SUM(F71:F79)</f>
        <v>0</v>
      </c>
      <c r="G80" s="8">
        <f t="shared" si="4"/>
        <v>0</v>
      </c>
    </row>
    <row r="81" spans="1:7" hidden="1" x14ac:dyDescent="0.25">
      <c r="A81" s="608" t="s">
        <v>162</v>
      </c>
      <c r="B81" s="13" t="s">
        <v>163</v>
      </c>
      <c r="C81" s="14"/>
      <c r="D81" s="14"/>
      <c r="E81" s="18"/>
      <c r="F81" s="45"/>
      <c r="G81" s="8">
        <f t="shared" si="4"/>
        <v>0</v>
      </c>
    </row>
    <row r="82" spans="1:7" hidden="1" x14ac:dyDescent="0.25">
      <c r="A82" s="17" t="s">
        <v>164</v>
      </c>
      <c r="B82" s="18" t="s">
        <v>165</v>
      </c>
      <c r="C82" s="14" t="s">
        <v>27</v>
      </c>
      <c r="D82" s="14"/>
      <c r="E82" s="443">
        <f>+'APU CAP 1-2'!H3238</f>
        <v>102425.96153846153</v>
      </c>
      <c r="F82" s="16">
        <f t="shared" ref="F82:F92" si="5">+D82*E82</f>
        <v>0</v>
      </c>
      <c r="G82" s="8">
        <f t="shared" si="4"/>
        <v>0</v>
      </c>
    </row>
    <row r="83" spans="1:7" hidden="1" x14ac:dyDescent="0.25">
      <c r="A83" s="17" t="s">
        <v>171</v>
      </c>
      <c r="B83" s="18" t="s">
        <v>166</v>
      </c>
      <c r="C83" s="14" t="s">
        <v>27</v>
      </c>
      <c r="D83" s="14"/>
      <c r="E83" s="443">
        <f>+'APU CAP 1-2'!H3293</f>
        <v>45880</v>
      </c>
      <c r="F83" s="16">
        <f t="shared" si="5"/>
        <v>0</v>
      </c>
      <c r="G83" s="8">
        <f t="shared" si="4"/>
        <v>0</v>
      </c>
    </row>
    <row r="84" spans="1:7" hidden="1" x14ac:dyDescent="0.25">
      <c r="A84" s="17" t="s">
        <v>172</v>
      </c>
      <c r="B84" s="18" t="s">
        <v>167</v>
      </c>
      <c r="C84" s="14" t="s">
        <v>27</v>
      </c>
      <c r="D84" s="14"/>
      <c r="E84" s="443">
        <f>+'APU CAP 1-2'!H3348</f>
        <v>89975.294117647063</v>
      </c>
      <c r="F84" s="16">
        <f t="shared" si="5"/>
        <v>0</v>
      </c>
      <c r="G84" s="8">
        <f t="shared" si="4"/>
        <v>0</v>
      </c>
    </row>
    <row r="85" spans="1:7" hidden="1" x14ac:dyDescent="0.25">
      <c r="A85" s="17" t="s">
        <v>173</v>
      </c>
      <c r="B85" s="18" t="s">
        <v>168</v>
      </c>
      <c r="C85" s="14" t="s">
        <v>27</v>
      </c>
      <c r="D85" s="14"/>
      <c r="E85" s="443">
        <f>+'APU CAP 1-2'!H3403</f>
        <v>26738.666666666668</v>
      </c>
      <c r="F85" s="16">
        <f t="shared" si="5"/>
        <v>0</v>
      </c>
      <c r="G85" s="8">
        <f t="shared" si="4"/>
        <v>0</v>
      </c>
    </row>
    <row r="86" spans="1:7" hidden="1" x14ac:dyDescent="0.25">
      <c r="A86" s="17" t="s">
        <v>174</v>
      </c>
      <c r="B86" s="18" t="s">
        <v>170</v>
      </c>
      <c r="C86" s="14" t="s">
        <v>27</v>
      </c>
      <c r="D86" s="14"/>
      <c r="E86" s="443">
        <f>+'APU CAP 1-2'!H3458</f>
        <v>26738.666666666668</v>
      </c>
      <c r="F86" s="16">
        <f t="shared" si="5"/>
        <v>0</v>
      </c>
      <c r="G86" s="8">
        <f t="shared" si="4"/>
        <v>0</v>
      </c>
    </row>
    <row r="87" spans="1:7" hidden="1" x14ac:dyDescent="0.25">
      <c r="A87" s="17" t="s">
        <v>179</v>
      </c>
      <c r="B87" s="18" t="s">
        <v>175</v>
      </c>
      <c r="C87" s="14" t="s">
        <v>14</v>
      </c>
      <c r="D87" s="14"/>
      <c r="E87" s="443">
        <f>+'APU CAP 1-2'!H3513</f>
        <v>10992.083333333332</v>
      </c>
      <c r="F87" s="16">
        <f t="shared" si="5"/>
        <v>0</v>
      </c>
      <c r="G87" s="8">
        <f t="shared" si="4"/>
        <v>0</v>
      </c>
    </row>
    <row r="88" spans="1:7" hidden="1" x14ac:dyDescent="0.25">
      <c r="A88" s="17" t="s">
        <v>180</v>
      </c>
      <c r="B88" s="18" t="s">
        <v>176</v>
      </c>
      <c r="C88" s="14" t="s">
        <v>14</v>
      </c>
      <c r="D88" s="14"/>
      <c r="E88" s="443">
        <f>+'APU CAP 1-2'!H3568</f>
        <v>16317</v>
      </c>
      <c r="F88" s="16">
        <f t="shared" si="5"/>
        <v>0</v>
      </c>
      <c r="G88" s="8">
        <f t="shared" si="4"/>
        <v>0</v>
      </c>
    </row>
    <row r="89" spans="1:7" hidden="1" x14ac:dyDescent="0.25">
      <c r="A89" s="17" t="s">
        <v>181</v>
      </c>
      <c r="B89" s="18" t="s">
        <v>177</v>
      </c>
      <c r="C89" s="14" t="s">
        <v>14</v>
      </c>
      <c r="D89" s="14"/>
      <c r="E89" s="443">
        <f>+'APU CAP 1-2'!H3623</f>
        <v>20072.5</v>
      </c>
      <c r="F89" s="16">
        <f t="shared" si="5"/>
        <v>0</v>
      </c>
      <c r="G89" s="8">
        <f t="shared" si="4"/>
        <v>0</v>
      </c>
    </row>
    <row r="90" spans="1:7" hidden="1" x14ac:dyDescent="0.25">
      <c r="A90" s="17" t="s">
        <v>182</v>
      </c>
      <c r="B90" s="18" t="s">
        <v>178</v>
      </c>
      <c r="C90" s="14" t="s">
        <v>14</v>
      </c>
      <c r="D90" s="14"/>
      <c r="E90" s="443">
        <f>+'APU CAP 1-2'!H3678</f>
        <v>26331.666666666668</v>
      </c>
      <c r="F90" s="16">
        <f t="shared" si="5"/>
        <v>0</v>
      </c>
      <c r="G90" s="8">
        <f t="shared" si="4"/>
        <v>0</v>
      </c>
    </row>
    <row r="91" spans="1:7" hidden="1" x14ac:dyDescent="0.25">
      <c r="A91" s="17" t="s">
        <v>183</v>
      </c>
      <c r="B91" s="18" t="s">
        <v>184</v>
      </c>
      <c r="C91" s="14" t="s">
        <v>14</v>
      </c>
      <c r="D91" s="14"/>
      <c r="E91" s="443">
        <f>+'APU CAP 1-2'!H3733</f>
        <v>35150</v>
      </c>
      <c r="F91" s="16">
        <f t="shared" si="5"/>
        <v>0</v>
      </c>
      <c r="G91" s="8">
        <f t="shared" si="4"/>
        <v>0</v>
      </c>
    </row>
    <row r="92" spans="1:7" hidden="1" x14ac:dyDescent="0.25">
      <c r="A92" s="17" t="s">
        <v>185</v>
      </c>
      <c r="B92" s="18" t="s">
        <v>186</v>
      </c>
      <c r="C92" s="14" t="s">
        <v>146</v>
      </c>
      <c r="D92" s="14"/>
      <c r="E92" s="443">
        <f>+'APU CAP 1-2'!H3788</f>
        <v>1631.7</v>
      </c>
      <c r="F92" s="16">
        <f t="shared" si="5"/>
        <v>0</v>
      </c>
      <c r="G92" s="8">
        <f t="shared" si="4"/>
        <v>0</v>
      </c>
    </row>
    <row r="93" spans="1:7" hidden="1" x14ac:dyDescent="0.25">
      <c r="A93" s="2454" t="s">
        <v>839</v>
      </c>
      <c r="B93" s="2455"/>
      <c r="C93" s="2455"/>
      <c r="D93" s="2455"/>
      <c r="E93" s="2455"/>
      <c r="F93" s="45">
        <f>SUM(F82:F92)</f>
        <v>0</v>
      </c>
      <c r="G93" s="8">
        <f t="shared" si="4"/>
        <v>0</v>
      </c>
    </row>
    <row r="94" spans="1:7" hidden="1" x14ac:dyDescent="0.25">
      <c r="A94" s="20">
        <v>3</v>
      </c>
      <c r="B94" s="21" t="s">
        <v>32</v>
      </c>
      <c r="C94" s="22"/>
      <c r="D94" s="22"/>
      <c r="E94" s="23"/>
      <c r="F94" s="24"/>
      <c r="G94" s="8">
        <f t="shared" si="4"/>
        <v>0</v>
      </c>
    </row>
    <row r="95" spans="1:7" hidden="1" x14ac:dyDescent="0.25">
      <c r="A95" s="12" t="s">
        <v>33</v>
      </c>
      <c r="B95" s="13" t="s">
        <v>34</v>
      </c>
      <c r="C95" s="14"/>
      <c r="D95" s="14"/>
      <c r="E95" s="15"/>
      <c r="F95" s="16"/>
      <c r="G95" s="8">
        <f t="shared" si="4"/>
        <v>0</v>
      </c>
    </row>
    <row r="96" spans="1:7" hidden="1" x14ac:dyDescent="0.25">
      <c r="A96" s="12" t="s">
        <v>187</v>
      </c>
      <c r="B96" s="13" t="s">
        <v>188</v>
      </c>
      <c r="C96" s="14"/>
      <c r="D96" s="14"/>
      <c r="E96" s="15"/>
      <c r="F96" s="16"/>
      <c r="G96" s="8">
        <f t="shared" si="4"/>
        <v>0</v>
      </c>
    </row>
    <row r="97" spans="1:7" hidden="1" x14ac:dyDescent="0.25">
      <c r="A97" s="17" t="s">
        <v>189</v>
      </c>
      <c r="B97" s="18" t="s">
        <v>193</v>
      </c>
      <c r="C97" s="14" t="s">
        <v>14</v>
      </c>
      <c r="D97" s="14"/>
      <c r="E97" s="15">
        <f>+'APU CAP 3'!H51</f>
        <v>3788.6967006</v>
      </c>
      <c r="F97" s="16">
        <f t="shared" ref="F97:F106" si="6">+D97*E97</f>
        <v>0</v>
      </c>
      <c r="G97" s="8">
        <f t="shared" si="4"/>
        <v>0</v>
      </c>
    </row>
    <row r="98" spans="1:7" hidden="1" x14ac:dyDescent="0.25">
      <c r="A98" s="17" t="s">
        <v>190</v>
      </c>
      <c r="B98" s="18" t="s">
        <v>194</v>
      </c>
      <c r="C98" s="14" t="s">
        <v>14</v>
      </c>
      <c r="D98" s="14"/>
      <c r="E98" s="15">
        <f>+'APU CAP 3'!H51</f>
        <v>3788.6967006</v>
      </c>
      <c r="F98" s="16">
        <f t="shared" si="6"/>
        <v>0</v>
      </c>
      <c r="G98" s="8">
        <f t="shared" si="4"/>
        <v>0</v>
      </c>
    </row>
    <row r="99" spans="1:7" hidden="1" x14ac:dyDescent="0.25">
      <c r="A99" s="17" t="s">
        <v>191</v>
      </c>
      <c r="B99" s="18" t="s">
        <v>195</v>
      </c>
      <c r="C99" s="14" t="s">
        <v>14</v>
      </c>
      <c r="D99" s="14"/>
      <c r="E99" s="15">
        <f>+'APU CAP 3'!H105</f>
        <v>5173</v>
      </c>
      <c r="F99" s="16">
        <f t="shared" si="6"/>
        <v>0</v>
      </c>
      <c r="G99" s="8">
        <f t="shared" si="4"/>
        <v>0</v>
      </c>
    </row>
    <row r="100" spans="1:7" hidden="1" x14ac:dyDescent="0.25">
      <c r="A100" s="17" t="s">
        <v>192</v>
      </c>
      <c r="B100" s="18" t="s">
        <v>196</v>
      </c>
      <c r="C100" s="14" t="s">
        <v>14</v>
      </c>
      <c r="D100" s="14"/>
      <c r="E100" s="15">
        <f>+'APU CAP 3'!H105</f>
        <v>5173</v>
      </c>
      <c r="F100" s="16">
        <f t="shared" si="6"/>
        <v>0</v>
      </c>
      <c r="G100" s="8">
        <f t="shared" si="4"/>
        <v>0</v>
      </c>
    </row>
    <row r="101" spans="1:7" hidden="1" x14ac:dyDescent="0.25">
      <c r="A101" s="17" t="s">
        <v>220</v>
      </c>
      <c r="B101" s="18" t="s">
        <v>221</v>
      </c>
      <c r="C101" s="14" t="s">
        <v>14</v>
      </c>
      <c r="D101" s="14"/>
      <c r="E101" s="15"/>
      <c r="F101" s="16">
        <f t="shared" si="6"/>
        <v>0</v>
      </c>
      <c r="G101" s="8">
        <f t="shared" si="4"/>
        <v>0</v>
      </c>
    </row>
    <row r="102" spans="1:7" hidden="1" x14ac:dyDescent="0.25">
      <c r="A102" s="17" t="s">
        <v>225</v>
      </c>
      <c r="B102" s="18" t="s">
        <v>5991</v>
      </c>
      <c r="C102" s="14" t="s">
        <v>14</v>
      </c>
      <c r="D102" s="14"/>
      <c r="E102" s="15"/>
      <c r="F102" s="16">
        <f t="shared" si="6"/>
        <v>0</v>
      </c>
      <c r="G102" s="8">
        <f t="shared" si="4"/>
        <v>0</v>
      </c>
    </row>
    <row r="103" spans="1:7" hidden="1" x14ac:dyDescent="0.25">
      <c r="A103" s="17" t="s">
        <v>226</v>
      </c>
      <c r="B103" s="18" t="s">
        <v>223</v>
      </c>
      <c r="C103" s="14" t="s">
        <v>14</v>
      </c>
      <c r="D103" s="14"/>
      <c r="E103" s="15"/>
      <c r="F103" s="16">
        <f t="shared" si="6"/>
        <v>0</v>
      </c>
      <c r="G103" s="8">
        <f t="shared" si="4"/>
        <v>0</v>
      </c>
    </row>
    <row r="104" spans="1:7" hidden="1" x14ac:dyDescent="0.25">
      <c r="A104" s="17" t="s">
        <v>227</v>
      </c>
      <c r="B104" s="18" t="s">
        <v>224</v>
      </c>
      <c r="C104" s="14" t="s">
        <v>14</v>
      </c>
      <c r="D104" s="14"/>
      <c r="E104" s="15"/>
      <c r="F104" s="16">
        <f t="shared" si="6"/>
        <v>0</v>
      </c>
      <c r="G104" s="8">
        <f t="shared" si="4"/>
        <v>0</v>
      </c>
    </row>
    <row r="105" spans="1:7" hidden="1" x14ac:dyDescent="0.25">
      <c r="A105" s="17" t="s">
        <v>228</v>
      </c>
      <c r="B105" s="18" t="s">
        <v>222</v>
      </c>
      <c r="C105" s="14" t="s">
        <v>14</v>
      </c>
      <c r="D105" s="14"/>
      <c r="E105" s="15"/>
      <c r="F105" s="16">
        <f t="shared" si="6"/>
        <v>0</v>
      </c>
      <c r="G105" s="8">
        <f t="shared" si="4"/>
        <v>0</v>
      </c>
    </row>
    <row r="106" spans="1:7" hidden="1" x14ac:dyDescent="0.25">
      <c r="A106" s="17" t="s">
        <v>229</v>
      </c>
      <c r="B106" s="18" t="s">
        <v>230</v>
      </c>
      <c r="C106" s="14" t="s">
        <v>14</v>
      </c>
      <c r="D106" s="14"/>
      <c r="E106" s="15">
        <f>+'APU CAP 3'!H159</f>
        <v>462</v>
      </c>
      <c r="F106" s="16">
        <f t="shared" si="6"/>
        <v>0</v>
      </c>
      <c r="G106" s="8">
        <f t="shared" si="4"/>
        <v>0</v>
      </c>
    </row>
    <row r="107" spans="1:7" hidden="1" x14ac:dyDescent="0.25">
      <c r="A107" s="12" t="s">
        <v>35</v>
      </c>
      <c r="B107" s="13" t="s">
        <v>36</v>
      </c>
      <c r="C107" s="14"/>
      <c r="D107" s="26"/>
      <c r="E107" s="15"/>
      <c r="F107" s="16"/>
      <c r="G107" s="8">
        <f t="shared" si="4"/>
        <v>0</v>
      </c>
    </row>
    <row r="108" spans="1:7" hidden="1" x14ac:dyDescent="0.25">
      <c r="A108" s="17" t="s">
        <v>406</v>
      </c>
      <c r="B108" s="18" t="s">
        <v>208</v>
      </c>
      <c r="C108" s="14" t="s">
        <v>14</v>
      </c>
      <c r="D108" s="26"/>
      <c r="E108" s="15">
        <f>+'APU CAP 3'!H213</f>
        <v>3247</v>
      </c>
      <c r="F108" s="16">
        <f t="shared" ref="F108:F120" si="7">+D108*E108</f>
        <v>0</v>
      </c>
      <c r="G108" s="8">
        <f t="shared" si="4"/>
        <v>0</v>
      </c>
    </row>
    <row r="109" spans="1:7" hidden="1" x14ac:dyDescent="0.25">
      <c r="A109" s="17" t="s">
        <v>407</v>
      </c>
      <c r="B109" s="18" t="s">
        <v>405</v>
      </c>
      <c r="C109" s="14" t="s">
        <v>14</v>
      </c>
      <c r="D109" s="26"/>
      <c r="E109" s="15">
        <f>+'APU CAP 3'!H213</f>
        <v>3247</v>
      </c>
      <c r="F109" s="16">
        <f t="shared" si="7"/>
        <v>0</v>
      </c>
      <c r="G109" s="8">
        <f t="shared" si="4"/>
        <v>0</v>
      </c>
    </row>
    <row r="110" spans="1:7" hidden="1" x14ac:dyDescent="0.25">
      <c r="A110" s="17" t="s">
        <v>197</v>
      </c>
      <c r="B110" s="18" t="s">
        <v>209</v>
      </c>
      <c r="C110" s="14" t="s">
        <v>14</v>
      </c>
      <c r="D110" s="26"/>
      <c r="E110" s="15">
        <f>+'APU CAP 3'!P213</f>
        <v>3933</v>
      </c>
      <c r="F110" s="16">
        <f t="shared" si="7"/>
        <v>0</v>
      </c>
      <c r="G110" s="8">
        <f t="shared" si="4"/>
        <v>0</v>
      </c>
    </row>
    <row r="111" spans="1:7" hidden="1" x14ac:dyDescent="0.25">
      <c r="A111" s="17" t="s">
        <v>198</v>
      </c>
      <c r="B111" s="18" t="s">
        <v>210</v>
      </c>
      <c r="C111" s="14" t="s">
        <v>14</v>
      </c>
      <c r="D111" s="26"/>
      <c r="E111" s="15">
        <f>+'APU CAP 3'!X213</f>
        <v>4802</v>
      </c>
      <c r="F111" s="16">
        <f t="shared" si="7"/>
        <v>0</v>
      </c>
      <c r="G111" s="8">
        <f t="shared" si="4"/>
        <v>0</v>
      </c>
    </row>
    <row r="112" spans="1:7" hidden="1" x14ac:dyDescent="0.25">
      <c r="A112" s="17" t="s">
        <v>199</v>
      </c>
      <c r="B112" s="18" t="s">
        <v>211</v>
      </c>
      <c r="C112" s="14" t="s">
        <v>14</v>
      </c>
      <c r="D112" s="26"/>
      <c r="E112" s="15">
        <f>+'APU CAP 3'!H267</f>
        <v>8019</v>
      </c>
      <c r="F112" s="16">
        <f t="shared" si="7"/>
        <v>0</v>
      </c>
      <c r="G112" s="8">
        <f t="shared" si="4"/>
        <v>0</v>
      </c>
    </row>
    <row r="113" spans="1:7" hidden="1" x14ac:dyDescent="0.25">
      <c r="A113" s="17" t="s">
        <v>200</v>
      </c>
      <c r="B113" s="18" t="s">
        <v>212</v>
      </c>
      <c r="C113" s="14" t="s">
        <v>14</v>
      </c>
      <c r="D113" s="26"/>
      <c r="E113" s="15">
        <f>+'APU CAP 3'!P267</f>
        <v>10956</v>
      </c>
      <c r="F113" s="16">
        <f t="shared" si="7"/>
        <v>0</v>
      </c>
      <c r="G113" s="8">
        <f t="shared" si="4"/>
        <v>0</v>
      </c>
    </row>
    <row r="114" spans="1:7" hidden="1" x14ac:dyDescent="0.25">
      <c r="A114" s="17" t="s">
        <v>201</v>
      </c>
      <c r="B114" s="18" t="s">
        <v>213</v>
      </c>
      <c r="C114" s="14" t="s">
        <v>14</v>
      </c>
      <c r="D114" s="26"/>
      <c r="E114" s="15">
        <f>+'APU CAP 3'!H321</f>
        <v>13725</v>
      </c>
      <c r="F114" s="16">
        <f t="shared" si="7"/>
        <v>0</v>
      </c>
      <c r="G114" s="8">
        <f t="shared" si="4"/>
        <v>0</v>
      </c>
    </row>
    <row r="115" spans="1:7" hidden="1" x14ac:dyDescent="0.25">
      <c r="A115" s="17" t="s">
        <v>202</v>
      </c>
      <c r="B115" s="18" t="s">
        <v>214</v>
      </c>
      <c r="C115" s="14" t="s">
        <v>14</v>
      </c>
      <c r="D115" s="26"/>
      <c r="E115" s="15">
        <f>+'APU CAP 3'!P321</f>
        <v>16500</v>
      </c>
      <c r="F115" s="16">
        <f t="shared" si="7"/>
        <v>0</v>
      </c>
      <c r="G115" s="8">
        <f t="shared" si="4"/>
        <v>0</v>
      </c>
    </row>
    <row r="116" spans="1:7" hidden="1" x14ac:dyDescent="0.25">
      <c r="A116" s="17" t="s">
        <v>203</v>
      </c>
      <c r="B116" s="18" t="s">
        <v>215</v>
      </c>
      <c r="C116" s="14" t="s">
        <v>14</v>
      </c>
      <c r="D116" s="26"/>
      <c r="E116" s="15">
        <f>+'APU CAP 3'!H375</f>
        <v>20256</v>
      </c>
      <c r="F116" s="16">
        <f t="shared" si="7"/>
        <v>0</v>
      </c>
      <c r="G116" s="8">
        <f t="shared" si="4"/>
        <v>0</v>
      </c>
    </row>
    <row r="117" spans="1:7" hidden="1" x14ac:dyDescent="0.25">
      <c r="A117" s="17" t="s">
        <v>204</v>
      </c>
      <c r="B117" s="18" t="s">
        <v>216</v>
      </c>
      <c r="C117" s="14" t="s">
        <v>14</v>
      </c>
      <c r="D117" s="26"/>
      <c r="E117" s="15">
        <f>+'APU CAP 3'!P375</f>
        <v>23506</v>
      </c>
      <c r="F117" s="16">
        <f t="shared" si="7"/>
        <v>0</v>
      </c>
      <c r="G117" s="8">
        <f t="shared" si="4"/>
        <v>0</v>
      </c>
    </row>
    <row r="118" spans="1:7" hidden="1" x14ac:dyDescent="0.25">
      <c r="A118" s="17" t="s">
        <v>205</v>
      </c>
      <c r="B118" s="18" t="s">
        <v>217</v>
      </c>
      <c r="C118" s="14" t="s">
        <v>14</v>
      </c>
      <c r="D118" s="26"/>
      <c r="E118" s="15">
        <f>+'APU CAP 3'!H429</f>
        <v>28370</v>
      </c>
      <c r="F118" s="16">
        <f t="shared" si="7"/>
        <v>0</v>
      </c>
      <c r="G118" s="8">
        <f t="shared" si="4"/>
        <v>0</v>
      </c>
    </row>
    <row r="119" spans="1:7" hidden="1" x14ac:dyDescent="0.25">
      <c r="A119" s="17" t="s">
        <v>206</v>
      </c>
      <c r="B119" s="18" t="s">
        <v>218</v>
      </c>
      <c r="C119" s="14" t="s">
        <v>14</v>
      </c>
      <c r="D119" s="26"/>
      <c r="E119" s="15">
        <f>+'APU CAP 3'!P429</f>
        <v>35037</v>
      </c>
      <c r="F119" s="16">
        <f t="shared" si="7"/>
        <v>0</v>
      </c>
      <c r="G119" s="8">
        <f t="shared" si="4"/>
        <v>0</v>
      </c>
    </row>
    <row r="120" spans="1:7" hidden="1" x14ac:dyDescent="0.25">
      <c r="A120" s="17" t="s">
        <v>207</v>
      </c>
      <c r="B120" s="18" t="s">
        <v>219</v>
      </c>
      <c r="C120" s="14" t="s">
        <v>14</v>
      </c>
      <c r="D120" s="26"/>
      <c r="E120" s="15"/>
      <c r="F120" s="16">
        <f t="shared" si="7"/>
        <v>0</v>
      </c>
      <c r="G120" s="8">
        <f t="shared" si="4"/>
        <v>0</v>
      </c>
    </row>
    <row r="121" spans="1:7" hidden="1" x14ac:dyDescent="0.25">
      <c r="A121" s="12" t="s">
        <v>231</v>
      </c>
      <c r="B121" s="13" t="s">
        <v>232</v>
      </c>
      <c r="C121" s="14"/>
      <c r="D121" s="26"/>
      <c r="E121" s="15"/>
      <c r="F121" s="16"/>
      <c r="G121" s="8">
        <f t="shared" si="4"/>
        <v>0</v>
      </c>
    </row>
    <row r="122" spans="1:7" hidden="1" x14ac:dyDescent="0.25">
      <c r="A122" s="17" t="s">
        <v>233</v>
      </c>
      <c r="B122" s="18" t="s">
        <v>236</v>
      </c>
      <c r="C122" s="14" t="s">
        <v>37</v>
      </c>
      <c r="D122" s="26"/>
      <c r="E122" s="15">
        <f>+'APU CAP 3'!H483</f>
        <v>8497</v>
      </c>
      <c r="F122" s="16">
        <f t="shared" ref="F122:F127" si="8">+D122*E122</f>
        <v>0</v>
      </c>
      <c r="G122" s="8">
        <f t="shared" si="4"/>
        <v>0</v>
      </c>
    </row>
    <row r="123" spans="1:7" hidden="1" x14ac:dyDescent="0.25">
      <c r="A123" s="17" t="s">
        <v>234</v>
      </c>
      <c r="B123" s="18" t="s">
        <v>237</v>
      </c>
      <c r="C123" s="14" t="s">
        <v>37</v>
      </c>
      <c r="D123" s="26"/>
      <c r="E123" s="15">
        <f>+'APU CAP 3'!H537</f>
        <v>10839</v>
      </c>
      <c r="F123" s="16">
        <f t="shared" si="8"/>
        <v>0</v>
      </c>
      <c r="G123" s="8">
        <f t="shared" si="4"/>
        <v>0</v>
      </c>
    </row>
    <row r="124" spans="1:7" hidden="1" x14ac:dyDescent="0.25">
      <c r="A124" s="17" t="s">
        <v>235</v>
      </c>
      <c r="B124" s="18" t="s">
        <v>238</v>
      </c>
      <c r="C124" s="14" t="s">
        <v>37</v>
      </c>
      <c r="D124" s="26"/>
      <c r="E124" s="15">
        <f>+'APU CAP 3'!H591</f>
        <v>17536</v>
      </c>
      <c r="F124" s="16">
        <f t="shared" si="8"/>
        <v>0</v>
      </c>
      <c r="G124" s="8">
        <f t="shared" si="4"/>
        <v>0</v>
      </c>
    </row>
    <row r="125" spans="1:7" hidden="1" x14ac:dyDescent="0.25">
      <c r="A125" s="17" t="s">
        <v>5761</v>
      </c>
      <c r="B125" s="18" t="s">
        <v>5763</v>
      </c>
      <c r="C125" s="14" t="s">
        <v>37</v>
      </c>
      <c r="D125" s="26"/>
      <c r="E125" s="15"/>
      <c r="F125" s="16">
        <f t="shared" si="8"/>
        <v>0</v>
      </c>
      <c r="G125" s="8">
        <f t="shared" si="4"/>
        <v>0</v>
      </c>
    </row>
    <row r="126" spans="1:7" hidden="1" x14ac:dyDescent="0.25">
      <c r="A126" s="17" t="s">
        <v>5762</v>
      </c>
      <c r="B126" s="18" t="s">
        <v>5764</v>
      </c>
      <c r="C126" s="14" t="s">
        <v>37</v>
      </c>
      <c r="D126" s="26"/>
      <c r="E126" s="15"/>
      <c r="F126" s="16">
        <f t="shared" si="8"/>
        <v>0</v>
      </c>
      <c r="G126" s="8">
        <f t="shared" si="4"/>
        <v>0</v>
      </c>
    </row>
    <row r="127" spans="1:7" hidden="1" x14ac:dyDescent="0.25">
      <c r="A127" s="17" t="s">
        <v>5765</v>
      </c>
      <c r="B127" s="18" t="s">
        <v>5766</v>
      </c>
      <c r="C127" s="14" t="s">
        <v>37</v>
      </c>
      <c r="D127" s="26"/>
      <c r="E127" s="15"/>
      <c r="F127" s="16">
        <f t="shared" si="8"/>
        <v>0</v>
      </c>
      <c r="G127" s="8">
        <f t="shared" si="4"/>
        <v>0</v>
      </c>
    </row>
    <row r="128" spans="1:7" hidden="1" x14ac:dyDescent="0.25">
      <c r="A128" s="12" t="s">
        <v>239</v>
      </c>
      <c r="B128" s="13" t="s">
        <v>240</v>
      </c>
      <c r="C128" s="14"/>
      <c r="D128" s="26"/>
      <c r="E128" s="15"/>
      <c r="F128" s="16"/>
      <c r="G128" s="8">
        <f t="shared" si="4"/>
        <v>0</v>
      </c>
    </row>
    <row r="129" spans="1:7" hidden="1" x14ac:dyDescent="0.25">
      <c r="A129" s="17" t="s">
        <v>241</v>
      </c>
      <c r="B129" s="18" t="s">
        <v>1924</v>
      </c>
      <c r="C129" s="14" t="s">
        <v>14</v>
      </c>
      <c r="D129" s="26"/>
      <c r="E129" s="15">
        <f>+'APU CAP 3'!H645</f>
        <v>11850</v>
      </c>
      <c r="F129" s="16">
        <f t="shared" ref="F129:F149" si="9">+D129*E129</f>
        <v>0</v>
      </c>
      <c r="G129" s="8">
        <f t="shared" si="4"/>
        <v>0</v>
      </c>
    </row>
    <row r="130" spans="1:7" hidden="1" x14ac:dyDescent="0.25">
      <c r="A130" s="17" t="s">
        <v>253</v>
      </c>
      <c r="B130" s="18" t="s">
        <v>242</v>
      </c>
      <c r="C130" s="14" t="s">
        <v>14</v>
      </c>
      <c r="D130" s="26"/>
      <c r="E130" s="15">
        <f>+E129</f>
        <v>11850</v>
      </c>
      <c r="F130" s="16">
        <f t="shared" si="9"/>
        <v>0</v>
      </c>
      <c r="G130" s="8">
        <f t="shared" si="4"/>
        <v>0</v>
      </c>
    </row>
    <row r="131" spans="1:7" hidden="1" x14ac:dyDescent="0.25">
      <c r="A131" s="17" t="s">
        <v>254</v>
      </c>
      <c r="B131" s="18" t="s">
        <v>243</v>
      </c>
      <c r="C131" s="14" t="s">
        <v>14</v>
      </c>
      <c r="D131" s="26"/>
      <c r="E131" s="15">
        <f>+E129</f>
        <v>11850</v>
      </c>
      <c r="F131" s="16">
        <f t="shared" si="9"/>
        <v>0</v>
      </c>
      <c r="G131" s="8">
        <f t="shared" si="4"/>
        <v>0</v>
      </c>
    </row>
    <row r="132" spans="1:7" hidden="1" x14ac:dyDescent="0.25">
      <c r="A132" s="17" t="s">
        <v>255</v>
      </c>
      <c r="B132" s="18" t="s">
        <v>244</v>
      </c>
      <c r="C132" s="14" t="s">
        <v>14</v>
      </c>
      <c r="D132" s="26"/>
      <c r="E132" s="15">
        <f>+E129</f>
        <v>11850</v>
      </c>
      <c r="F132" s="16">
        <f t="shared" si="9"/>
        <v>0</v>
      </c>
      <c r="G132" s="8">
        <f t="shared" si="4"/>
        <v>0</v>
      </c>
    </row>
    <row r="133" spans="1:7" hidden="1" x14ac:dyDescent="0.25">
      <c r="A133" s="17" t="s">
        <v>256</v>
      </c>
      <c r="B133" s="18" t="s">
        <v>245</v>
      </c>
      <c r="C133" s="14" t="s">
        <v>14</v>
      </c>
      <c r="D133" s="26"/>
      <c r="E133" s="15">
        <f>+E129</f>
        <v>11850</v>
      </c>
      <c r="F133" s="16">
        <f t="shared" si="9"/>
        <v>0</v>
      </c>
      <c r="G133" s="8">
        <f t="shared" si="4"/>
        <v>0</v>
      </c>
    </row>
    <row r="134" spans="1:7" hidden="1" x14ac:dyDescent="0.25">
      <c r="A134" s="17" t="s">
        <v>257</v>
      </c>
      <c r="B134" s="18" t="s">
        <v>246</v>
      </c>
      <c r="C134" s="14" t="s">
        <v>14</v>
      </c>
      <c r="D134" s="26"/>
      <c r="E134" s="15">
        <f>+E129</f>
        <v>11850</v>
      </c>
      <c r="F134" s="16">
        <f t="shared" si="9"/>
        <v>0</v>
      </c>
      <c r="G134" s="8">
        <f t="shared" si="4"/>
        <v>0</v>
      </c>
    </row>
    <row r="135" spans="1:7" hidden="1" x14ac:dyDescent="0.25">
      <c r="A135" s="17" t="s">
        <v>258</v>
      </c>
      <c r="B135" s="18" t="s">
        <v>1925</v>
      </c>
      <c r="C135" s="14" t="s">
        <v>14</v>
      </c>
      <c r="D135" s="26"/>
      <c r="E135" s="15">
        <f>+'APU CAP 3'!P645</f>
        <v>15182</v>
      </c>
      <c r="F135" s="16">
        <f t="shared" si="9"/>
        <v>0</v>
      </c>
      <c r="G135" s="8">
        <f t="shared" si="4"/>
        <v>0</v>
      </c>
    </row>
    <row r="136" spans="1:7" hidden="1" x14ac:dyDescent="0.25">
      <c r="A136" s="17" t="s">
        <v>259</v>
      </c>
      <c r="B136" s="18" t="s">
        <v>1926</v>
      </c>
      <c r="C136" s="14" t="s">
        <v>14</v>
      </c>
      <c r="D136" s="26"/>
      <c r="E136" s="15">
        <f>+E135</f>
        <v>15182</v>
      </c>
      <c r="F136" s="16">
        <f t="shared" si="9"/>
        <v>0</v>
      </c>
      <c r="G136" s="8">
        <f t="shared" si="4"/>
        <v>0</v>
      </c>
    </row>
    <row r="137" spans="1:7" hidden="1" x14ac:dyDescent="0.25">
      <c r="A137" s="17" t="s">
        <v>260</v>
      </c>
      <c r="B137" s="18" t="s">
        <v>247</v>
      </c>
      <c r="C137" s="14" t="s">
        <v>14</v>
      </c>
      <c r="D137" s="26"/>
      <c r="E137" s="15">
        <f>+'APU CAP 3'!H699</f>
        <v>21692</v>
      </c>
      <c r="F137" s="16">
        <f t="shared" si="9"/>
        <v>0</v>
      </c>
      <c r="G137" s="8">
        <f t="shared" si="4"/>
        <v>0</v>
      </c>
    </row>
    <row r="138" spans="1:7" hidden="1" x14ac:dyDescent="0.25">
      <c r="A138" s="17" t="s">
        <v>261</v>
      </c>
      <c r="B138" s="18" t="s">
        <v>1927</v>
      </c>
      <c r="C138" s="14" t="s">
        <v>14</v>
      </c>
      <c r="D138" s="26"/>
      <c r="E138" s="15">
        <f>+E137</f>
        <v>21692</v>
      </c>
      <c r="F138" s="16">
        <f t="shared" si="9"/>
        <v>0</v>
      </c>
      <c r="G138" s="8">
        <f t="shared" si="4"/>
        <v>0</v>
      </c>
    </row>
    <row r="139" spans="1:7" hidden="1" x14ac:dyDescent="0.25">
      <c r="A139" s="17" t="s">
        <v>262</v>
      </c>
      <c r="B139" s="18" t="s">
        <v>248</v>
      </c>
      <c r="C139" s="14" t="s">
        <v>14</v>
      </c>
      <c r="D139" s="26"/>
      <c r="E139" s="15">
        <f>+E137</f>
        <v>21692</v>
      </c>
      <c r="F139" s="16">
        <f t="shared" si="9"/>
        <v>0</v>
      </c>
      <c r="G139" s="8">
        <f t="shared" ref="G139:G202" si="10">+IF(F139&lt;&gt;0,1,0)</f>
        <v>0</v>
      </c>
    </row>
    <row r="140" spans="1:7" hidden="1" x14ac:dyDescent="0.25">
      <c r="A140" s="17" t="s">
        <v>1933</v>
      </c>
      <c r="B140" s="18" t="s">
        <v>1928</v>
      </c>
      <c r="C140" s="14" t="s">
        <v>14</v>
      </c>
      <c r="D140" s="26"/>
      <c r="E140" s="15"/>
      <c r="F140" s="16">
        <f t="shared" si="9"/>
        <v>0</v>
      </c>
      <c r="G140" s="8">
        <f t="shared" si="10"/>
        <v>0</v>
      </c>
    </row>
    <row r="141" spans="1:7" hidden="1" x14ac:dyDescent="0.25">
      <c r="A141" s="17" t="s">
        <v>1934</v>
      </c>
      <c r="B141" s="18" t="s">
        <v>249</v>
      </c>
      <c r="C141" s="14" t="s">
        <v>14</v>
      </c>
      <c r="D141" s="26"/>
      <c r="E141" s="15"/>
      <c r="F141" s="16">
        <f t="shared" si="9"/>
        <v>0</v>
      </c>
      <c r="G141" s="8">
        <f t="shared" si="10"/>
        <v>0</v>
      </c>
    </row>
    <row r="142" spans="1:7" hidden="1" x14ac:dyDescent="0.25">
      <c r="A142" s="17" t="s">
        <v>1935</v>
      </c>
      <c r="B142" s="18" t="s">
        <v>1929</v>
      </c>
      <c r="C142" s="14" t="s">
        <v>14</v>
      </c>
      <c r="D142" s="26"/>
      <c r="E142" s="15"/>
      <c r="F142" s="16">
        <f t="shared" si="9"/>
        <v>0</v>
      </c>
      <c r="G142" s="8">
        <f t="shared" si="10"/>
        <v>0</v>
      </c>
    </row>
    <row r="143" spans="1:7" hidden="1" x14ac:dyDescent="0.25">
      <c r="A143" s="17" t="s">
        <v>1936</v>
      </c>
      <c r="B143" s="18" t="s">
        <v>250</v>
      </c>
      <c r="C143" s="14" t="s">
        <v>14</v>
      </c>
      <c r="D143" s="26"/>
      <c r="E143" s="15"/>
      <c r="F143" s="16">
        <f t="shared" si="9"/>
        <v>0</v>
      </c>
      <c r="G143" s="8">
        <f t="shared" si="10"/>
        <v>0</v>
      </c>
    </row>
    <row r="144" spans="1:7" hidden="1" x14ac:dyDescent="0.25">
      <c r="A144" s="17" t="s">
        <v>1937</v>
      </c>
      <c r="B144" s="18" t="s">
        <v>251</v>
      </c>
      <c r="C144" s="14" t="s">
        <v>14</v>
      </c>
      <c r="D144" s="26"/>
      <c r="E144" s="15"/>
      <c r="F144" s="16">
        <f t="shared" si="9"/>
        <v>0</v>
      </c>
      <c r="G144" s="8">
        <f t="shared" si="10"/>
        <v>0</v>
      </c>
    </row>
    <row r="145" spans="1:7" hidden="1" x14ac:dyDescent="0.25">
      <c r="A145" s="17" t="s">
        <v>1938</v>
      </c>
      <c r="B145" s="18" t="s">
        <v>252</v>
      </c>
      <c r="C145" s="14" t="s">
        <v>14</v>
      </c>
      <c r="D145" s="26"/>
      <c r="E145" s="15"/>
      <c r="F145" s="16">
        <f t="shared" si="9"/>
        <v>0</v>
      </c>
      <c r="G145" s="8">
        <f t="shared" si="10"/>
        <v>0</v>
      </c>
    </row>
    <row r="146" spans="1:7" hidden="1" x14ac:dyDescent="0.25">
      <c r="A146" s="17" t="s">
        <v>1939</v>
      </c>
      <c r="B146" s="18" t="s">
        <v>1930</v>
      </c>
      <c r="C146" s="14" t="s">
        <v>14</v>
      </c>
      <c r="D146" s="26"/>
      <c r="E146" s="15"/>
      <c r="F146" s="16">
        <f t="shared" si="9"/>
        <v>0</v>
      </c>
      <c r="G146" s="8">
        <f t="shared" si="10"/>
        <v>0</v>
      </c>
    </row>
    <row r="147" spans="1:7" hidden="1" x14ac:dyDescent="0.25">
      <c r="A147" s="17" t="s">
        <v>1940</v>
      </c>
      <c r="B147" s="18" t="s">
        <v>1931</v>
      </c>
      <c r="C147" s="14" t="s">
        <v>14</v>
      </c>
      <c r="D147" s="26"/>
      <c r="E147" s="15"/>
      <c r="F147" s="16">
        <f t="shared" si="9"/>
        <v>0</v>
      </c>
      <c r="G147" s="8">
        <f t="shared" si="10"/>
        <v>0</v>
      </c>
    </row>
    <row r="148" spans="1:7" hidden="1" x14ac:dyDescent="0.25">
      <c r="A148" s="17" t="s">
        <v>1941</v>
      </c>
      <c r="B148" s="18" t="s">
        <v>1932</v>
      </c>
      <c r="C148" s="14" t="s">
        <v>14</v>
      </c>
      <c r="D148" s="26"/>
      <c r="E148" s="15"/>
      <c r="F148" s="16">
        <f t="shared" si="9"/>
        <v>0</v>
      </c>
      <c r="G148" s="8">
        <f t="shared" si="10"/>
        <v>0</v>
      </c>
    </row>
    <row r="149" spans="1:7" hidden="1" x14ac:dyDescent="0.25">
      <c r="A149" s="17" t="s">
        <v>1942</v>
      </c>
      <c r="B149" s="18" t="s">
        <v>2347</v>
      </c>
      <c r="C149" s="14" t="s">
        <v>14</v>
      </c>
      <c r="D149" s="26"/>
      <c r="E149" s="15"/>
      <c r="F149" s="16">
        <f t="shared" si="9"/>
        <v>0</v>
      </c>
      <c r="G149" s="8">
        <f t="shared" si="10"/>
        <v>0</v>
      </c>
    </row>
    <row r="150" spans="1:7" hidden="1" x14ac:dyDescent="0.25">
      <c r="A150" s="12" t="s">
        <v>263</v>
      </c>
      <c r="B150" s="13" t="s">
        <v>264</v>
      </c>
      <c r="C150" s="14"/>
      <c r="D150" s="26"/>
      <c r="E150" s="15"/>
      <c r="F150" s="16"/>
      <c r="G150" s="8">
        <f t="shared" si="10"/>
        <v>0</v>
      </c>
    </row>
    <row r="151" spans="1:7" hidden="1" x14ac:dyDescent="0.25">
      <c r="A151" s="12" t="s">
        <v>265</v>
      </c>
      <c r="B151" s="13" t="s">
        <v>266</v>
      </c>
      <c r="C151" s="14"/>
      <c r="D151" s="26"/>
      <c r="E151" s="15"/>
      <c r="F151" s="16"/>
      <c r="G151" s="8">
        <f t="shared" si="10"/>
        <v>0</v>
      </c>
    </row>
    <row r="152" spans="1:7" hidden="1" x14ac:dyDescent="0.25">
      <c r="A152" s="17" t="s">
        <v>267</v>
      </c>
      <c r="B152" s="18" t="s">
        <v>5767</v>
      </c>
      <c r="C152" s="14" t="s">
        <v>37</v>
      </c>
      <c r="D152" s="26"/>
      <c r="E152" s="15">
        <f>+'APU CAP 3'!H753</f>
        <v>24616</v>
      </c>
      <c r="F152" s="16">
        <f>+D152*E152</f>
        <v>0</v>
      </c>
      <c r="G152" s="8">
        <f t="shared" si="10"/>
        <v>0</v>
      </c>
    </row>
    <row r="153" spans="1:7" hidden="1" x14ac:dyDescent="0.25">
      <c r="A153" s="17" t="s">
        <v>268</v>
      </c>
      <c r="B153" s="18" t="s">
        <v>5768</v>
      </c>
      <c r="C153" s="14" t="s">
        <v>37</v>
      </c>
      <c r="D153" s="26"/>
      <c r="E153" s="15">
        <f>+'APU CAP 3'!H807</f>
        <v>36092</v>
      </c>
      <c r="F153" s="16">
        <f>+D153*E153</f>
        <v>0</v>
      </c>
      <c r="G153" s="8">
        <f t="shared" si="10"/>
        <v>0</v>
      </c>
    </row>
    <row r="154" spans="1:7" hidden="1" x14ac:dyDescent="0.25">
      <c r="A154" s="17" t="s">
        <v>269</v>
      </c>
      <c r="B154" s="18" t="s">
        <v>5770</v>
      </c>
      <c r="C154" s="14" t="s">
        <v>37</v>
      </c>
      <c r="D154" s="26"/>
      <c r="E154" s="15"/>
      <c r="F154" s="16">
        <f>+D154*E154</f>
        <v>0</v>
      </c>
      <c r="G154" s="8">
        <f t="shared" si="10"/>
        <v>0</v>
      </c>
    </row>
    <row r="155" spans="1:7" hidden="1" x14ac:dyDescent="0.25">
      <c r="A155" s="17" t="s">
        <v>270</v>
      </c>
      <c r="B155" s="18" t="s">
        <v>5769</v>
      </c>
      <c r="C155" s="14" t="s">
        <v>37</v>
      </c>
      <c r="D155" s="26"/>
      <c r="E155" s="15"/>
      <c r="F155" s="16">
        <f>+D155*E155</f>
        <v>0</v>
      </c>
      <c r="G155" s="8">
        <f t="shared" si="10"/>
        <v>0</v>
      </c>
    </row>
    <row r="156" spans="1:7" hidden="1" x14ac:dyDescent="0.25">
      <c r="A156" s="17" t="s">
        <v>5771</v>
      </c>
      <c r="B156" s="18" t="s">
        <v>5769</v>
      </c>
      <c r="C156" s="14" t="s">
        <v>37</v>
      </c>
      <c r="D156" s="26"/>
      <c r="E156" s="15"/>
      <c r="F156" s="16">
        <f>+D156*E156</f>
        <v>0</v>
      </c>
      <c r="G156" s="8">
        <f t="shared" si="10"/>
        <v>0</v>
      </c>
    </row>
    <row r="157" spans="1:7" hidden="1" x14ac:dyDescent="0.25">
      <c r="A157" s="12" t="s">
        <v>272</v>
      </c>
      <c r="B157" s="13" t="s">
        <v>271</v>
      </c>
      <c r="C157" s="14"/>
      <c r="D157" s="26"/>
      <c r="E157" s="15"/>
      <c r="F157" s="16"/>
      <c r="G157" s="8">
        <f t="shared" si="10"/>
        <v>0</v>
      </c>
    </row>
    <row r="158" spans="1:7" hidden="1" x14ac:dyDescent="0.25">
      <c r="A158" s="17" t="s">
        <v>273</v>
      </c>
      <c r="B158" s="18" t="s">
        <v>5767</v>
      </c>
      <c r="C158" s="14" t="s">
        <v>37</v>
      </c>
      <c r="D158" s="26"/>
      <c r="E158" s="15">
        <f>+'APU CAP 3'!H861</f>
        <v>20671</v>
      </c>
      <c r="F158" s="16">
        <f>+D158*E158</f>
        <v>0</v>
      </c>
      <c r="G158" s="8">
        <f t="shared" si="10"/>
        <v>0</v>
      </c>
    </row>
    <row r="159" spans="1:7" hidden="1" x14ac:dyDescent="0.25">
      <c r="A159" s="17" t="s">
        <v>274</v>
      </c>
      <c r="B159" s="18" t="s">
        <v>5768</v>
      </c>
      <c r="C159" s="14" t="s">
        <v>37</v>
      </c>
      <c r="D159" s="26"/>
      <c r="E159" s="15">
        <f>+'APU CAP 3'!H915</f>
        <v>25671</v>
      </c>
      <c r="F159" s="16">
        <f>+D159*E159</f>
        <v>0</v>
      </c>
      <c r="G159" s="8">
        <f t="shared" si="10"/>
        <v>0</v>
      </c>
    </row>
    <row r="160" spans="1:7" hidden="1" x14ac:dyDescent="0.25">
      <c r="A160" s="17" t="s">
        <v>275</v>
      </c>
      <c r="B160" s="18" t="s">
        <v>5770</v>
      </c>
      <c r="C160" s="14" t="s">
        <v>37</v>
      </c>
      <c r="D160" s="26"/>
      <c r="E160" s="15"/>
      <c r="F160" s="16">
        <f>+D160*E160</f>
        <v>0</v>
      </c>
      <c r="G160" s="8">
        <f t="shared" si="10"/>
        <v>0</v>
      </c>
    </row>
    <row r="161" spans="1:7" hidden="1" x14ac:dyDescent="0.25">
      <c r="A161" s="17" t="s">
        <v>276</v>
      </c>
      <c r="B161" s="18" t="s">
        <v>5769</v>
      </c>
      <c r="C161" s="14" t="s">
        <v>37</v>
      </c>
      <c r="D161" s="26"/>
      <c r="E161" s="15"/>
      <c r="F161" s="16">
        <f>+D161*E161</f>
        <v>0</v>
      </c>
      <c r="G161" s="8">
        <f t="shared" si="10"/>
        <v>0</v>
      </c>
    </row>
    <row r="162" spans="1:7" hidden="1" x14ac:dyDescent="0.25">
      <c r="A162" s="17" t="s">
        <v>5772</v>
      </c>
      <c r="B162" s="18" t="s">
        <v>5769</v>
      </c>
      <c r="C162" s="14" t="s">
        <v>37</v>
      </c>
      <c r="D162" s="26"/>
      <c r="E162" s="15"/>
      <c r="F162" s="16">
        <f>+D162*E162</f>
        <v>0</v>
      </c>
      <c r="G162" s="8">
        <f t="shared" si="10"/>
        <v>0</v>
      </c>
    </row>
    <row r="163" spans="1:7" hidden="1" x14ac:dyDescent="0.25">
      <c r="A163" s="12" t="s">
        <v>2323</v>
      </c>
      <c r="B163" s="13" t="s">
        <v>5773</v>
      </c>
      <c r="C163" s="14"/>
      <c r="D163" s="26"/>
      <c r="E163" s="15"/>
      <c r="F163" s="16"/>
      <c r="G163" s="8">
        <f t="shared" si="10"/>
        <v>0</v>
      </c>
    </row>
    <row r="164" spans="1:7" hidden="1" x14ac:dyDescent="0.25">
      <c r="A164" s="17" t="s">
        <v>5797</v>
      </c>
      <c r="B164" s="18" t="s">
        <v>5774</v>
      </c>
      <c r="C164" s="14" t="s">
        <v>14</v>
      </c>
      <c r="D164" s="26"/>
      <c r="E164" s="15">
        <f>+E115</f>
        <v>16500</v>
      </c>
      <c r="F164" s="16">
        <f t="shared" ref="F164:F184" si="11">+D164*E164</f>
        <v>0</v>
      </c>
      <c r="G164" s="8">
        <f t="shared" si="10"/>
        <v>0</v>
      </c>
    </row>
    <row r="165" spans="1:7" hidden="1" x14ac:dyDescent="0.25">
      <c r="A165" s="17" t="s">
        <v>5798</v>
      </c>
      <c r="B165" s="18" t="s">
        <v>5775</v>
      </c>
      <c r="C165" s="14" t="s">
        <v>14</v>
      </c>
      <c r="D165" s="26"/>
      <c r="E165" s="15">
        <f>+E116</f>
        <v>20256</v>
      </c>
      <c r="F165" s="16">
        <f t="shared" si="11"/>
        <v>0</v>
      </c>
      <c r="G165" s="8">
        <f t="shared" si="10"/>
        <v>0</v>
      </c>
    </row>
    <row r="166" spans="1:7" hidden="1" x14ac:dyDescent="0.25">
      <c r="A166" s="17" t="s">
        <v>5799</v>
      </c>
      <c r="B166" s="18" t="s">
        <v>5776</v>
      </c>
      <c r="C166" s="14" t="s">
        <v>14</v>
      </c>
      <c r="D166" s="26"/>
      <c r="E166" s="15">
        <f>+E117</f>
        <v>23506</v>
      </c>
      <c r="F166" s="16">
        <f t="shared" si="11"/>
        <v>0</v>
      </c>
      <c r="G166" s="8">
        <f t="shared" si="10"/>
        <v>0</v>
      </c>
    </row>
    <row r="167" spans="1:7" hidden="1" x14ac:dyDescent="0.25">
      <c r="A167" s="17" t="s">
        <v>5800</v>
      </c>
      <c r="B167" s="18" t="s">
        <v>5777</v>
      </c>
      <c r="C167" s="14" t="s">
        <v>14</v>
      </c>
      <c r="D167" s="26"/>
      <c r="E167" s="15">
        <f>+E118</f>
        <v>28370</v>
      </c>
      <c r="F167" s="16">
        <f t="shared" si="11"/>
        <v>0</v>
      </c>
      <c r="G167" s="8">
        <f t="shared" si="10"/>
        <v>0</v>
      </c>
    </row>
    <row r="168" spans="1:7" hidden="1" x14ac:dyDescent="0.25">
      <c r="A168" s="17" t="s">
        <v>5801</v>
      </c>
      <c r="B168" s="18" t="s">
        <v>5778</v>
      </c>
      <c r="C168" s="14" t="s">
        <v>14</v>
      </c>
      <c r="D168" s="26"/>
      <c r="E168" s="15">
        <f>+E119</f>
        <v>35037</v>
      </c>
      <c r="F168" s="16">
        <f t="shared" si="11"/>
        <v>0</v>
      </c>
      <c r="G168" s="8">
        <f t="shared" si="10"/>
        <v>0</v>
      </c>
    </row>
    <row r="169" spans="1:7" hidden="1" x14ac:dyDescent="0.25">
      <c r="A169" s="17" t="s">
        <v>5802</v>
      </c>
      <c r="B169" s="18" t="s">
        <v>5779</v>
      </c>
      <c r="C169" s="14" t="s">
        <v>14</v>
      </c>
      <c r="D169" s="26"/>
      <c r="E169" s="15"/>
      <c r="F169" s="16">
        <f t="shared" si="11"/>
        <v>0</v>
      </c>
      <c r="G169" s="8">
        <f t="shared" si="10"/>
        <v>0</v>
      </c>
    </row>
    <row r="170" spans="1:7" hidden="1" x14ac:dyDescent="0.25">
      <c r="A170" s="17" t="s">
        <v>5803</v>
      </c>
      <c r="B170" s="18" t="s">
        <v>5780</v>
      </c>
      <c r="C170" s="14" t="s">
        <v>14</v>
      </c>
      <c r="D170" s="26"/>
      <c r="E170" s="15"/>
      <c r="F170" s="16">
        <f t="shared" si="11"/>
        <v>0</v>
      </c>
      <c r="G170" s="8">
        <f t="shared" si="10"/>
        <v>0</v>
      </c>
    </row>
    <row r="171" spans="1:7" hidden="1" x14ac:dyDescent="0.25">
      <c r="A171" s="17" t="s">
        <v>5804</v>
      </c>
      <c r="B171" s="18" t="s">
        <v>5781</v>
      </c>
      <c r="C171" s="14" t="s">
        <v>14</v>
      </c>
      <c r="D171" s="26"/>
      <c r="E171" s="15"/>
      <c r="F171" s="16">
        <f t="shared" si="11"/>
        <v>0</v>
      </c>
      <c r="G171" s="8">
        <f t="shared" si="10"/>
        <v>0</v>
      </c>
    </row>
    <row r="172" spans="1:7" hidden="1" x14ac:dyDescent="0.25">
      <c r="A172" s="17" t="s">
        <v>5805</v>
      </c>
      <c r="B172" s="18" t="s">
        <v>5782</v>
      </c>
      <c r="C172" s="14" t="s">
        <v>14</v>
      </c>
      <c r="D172" s="26"/>
      <c r="E172" s="15"/>
      <c r="F172" s="16">
        <f t="shared" si="11"/>
        <v>0</v>
      </c>
      <c r="G172" s="8">
        <f t="shared" si="10"/>
        <v>0</v>
      </c>
    </row>
    <row r="173" spans="1:7" hidden="1" x14ac:dyDescent="0.25">
      <c r="A173" s="17" t="s">
        <v>5806</v>
      </c>
      <c r="B173" s="18" t="s">
        <v>5783</v>
      </c>
      <c r="C173" s="14" t="s">
        <v>14</v>
      </c>
      <c r="D173" s="26"/>
      <c r="E173" s="15"/>
      <c r="F173" s="16">
        <f t="shared" si="11"/>
        <v>0</v>
      </c>
      <c r="G173" s="8">
        <f t="shared" si="10"/>
        <v>0</v>
      </c>
    </row>
    <row r="174" spans="1:7" hidden="1" x14ac:dyDescent="0.25">
      <c r="A174" s="17" t="s">
        <v>5807</v>
      </c>
      <c r="B174" s="18" t="s">
        <v>5784</v>
      </c>
      <c r="C174" s="14" t="s">
        <v>14</v>
      </c>
      <c r="D174" s="26"/>
      <c r="E174" s="15"/>
      <c r="F174" s="16">
        <f t="shared" si="11"/>
        <v>0</v>
      </c>
      <c r="G174" s="8">
        <f t="shared" si="10"/>
        <v>0</v>
      </c>
    </row>
    <row r="175" spans="1:7" hidden="1" x14ac:dyDescent="0.25">
      <c r="A175" s="17" t="s">
        <v>5808</v>
      </c>
      <c r="B175" s="18" t="s">
        <v>5785</v>
      </c>
      <c r="C175" s="14" t="s">
        <v>14</v>
      </c>
      <c r="D175" s="26"/>
      <c r="E175" s="15"/>
      <c r="F175" s="16">
        <f t="shared" si="11"/>
        <v>0</v>
      </c>
      <c r="G175" s="8">
        <f t="shared" si="10"/>
        <v>0</v>
      </c>
    </row>
    <row r="176" spans="1:7" hidden="1" x14ac:dyDescent="0.25">
      <c r="A176" s="17" t="s">
        <v>5809</v>
      </c>
      <c r="B176" s="18" t="s">
        <v>5786</v>
      </c>
      <c r="C176" s="14" t="s">
        <v>14</v>
      </c>
      <c r="D176" s="26"/>
      <c r="E176" s="15"/>
      <c r="F176" s="16">
        <f t="shared" si="11"/>
        <v>0</v>
      </c>
      <c r="G176" s="8">
        <f t="shared" si="10"/>
        <v>0</v>
      </c>
    </row>
    <row r="177" spans="1:7" hidden="1" x14ac:dyDescent="0.25">
      <c r="A177" s="17" t="s">
        <v>5810</v>
      </c>
      <c r="B177" s="18" t="s">
        <v>5788</v>
      </c>
      <c r="C177" s="14" t="s">
        <v>14</v>
      </c>
      <c r="D177" s="26"/>
      <c r="E177" s="15"/>
      <c r="F177" s="16">
        <f t="shared" si="11"/>
        <v>0</v>
      </c>
      <c r="G177" s="8">
        <f t="shared" si="10"/>
        <v>0</v>
      </c>
    </row>
    <row r="178" spans="1:7" hidden="1" x14ac:dyDescent="0.25">
      <c r="A178" s="17" t="s">
        <v>5811</v>
      </c>
      <c r="B178" s="18" t="s">
        <v>5787</v>
      </c>
      <c r="C178" s="14" t="s">
        <v>14</v>
      </c>
      <c r="D178" s="26"/>
      <c r="E178" s="15"/>
      <c r="F178" s="16">
        <f t="shared" si="11"/>
        <v>0</v>
      </c>
      <c r="G178" s="8">
        <f t="shared" si="10"/>
        <v>0</v>
      </c>
    </row>
    <row r="179" spans="1:7" hidden="1" x14ac:dyDescent="0.25">
      <c r="A179" s="17" t="s">
        <v>5812</v>
      </c>
      <c r="B179" s="18" t="s">
        <v>5789</v>
      </c>
      <c r="C179" s="14" t="s">
        <v>14</v>
      </c>
      <c r="D179" s="26"/>
      <c r="E179" s="15"/>
      <c r="F179" s="16">
        <f t="shared" si="11"/>
        <v>0</v>
      </c>
      <c r="G179" s="8">
        <f t="shared" si="10"/>
        <v>0</v>
      </c>
    </row>
    <row r="180" spans="1:7" hidden="1" x14ac:dyDescent="0.25">
      <c r="A180" s="17" t="s">
        <v>5813</v>
      </c>
      <c r="B180" s="18" t="s">
        <v>5790</v>
      </c>
      <c r="C180" s="14" t="s">
        <v>14</v>
      </c>
      <c r="D180" s="26"/>
      <c r="E180" s="15"/>
      <c r="F180" s="16">
        <f t="shared" si="11"/>
        <v>0</v>
      </c>
      <c r="G180" s="8">
        <f t="shared" si="10"/>
        <v>0</v>
      </c>
    </row>
    <row r="181" spans="1:7" hidden="1" x14ac:dyDescent="0.25">
      <c r="A181" s="17" t="s">
        <v>5814</v>
      </c>
      <c r="B181" s="18" t="s">
        <v>5791</v>
      </c>
      <c r="C181" s="14" t="s">
        <v>14</v>
      </c>
      <c r="D181" s="26"/>
      <c r="E181" s="15"/>
      <c r="F181" s="16">
        <f t="shared" si="11"/>
        <v>0</v>
      </c>
      <c r="G181" s="8">
        <f t="shared" si="10"/>
        <v>0</v>
      </c>
    </row>
    <row r="182" spans="1:7" hidden="1" x14ac:dyDescent="0.25">
      <c r="A182" s="17" t="s">
        <v>5815</v>
      </c>
      <c r="B182" s="18" t="s">
        <v>5792</v>
      </c>
      <c r="C182" s="14" t="s">
        <v>14</v>
      </c>
      <c r="D182" s="26"/>
      <c r="E182" s="15"/>
      <c r="F182" s="16">
        <f t="shared" si="11"/>
        <v>0</v>
      </c>
      <c r="G182" s="8">
        <f t="shared" si="10"/>
        <v>0</v>
      </c>
    </row>
    <row r="183" spans="1:7" hidden="1" x14ac:dyDescent="0.25">
      <c r="A183" s="17" t="s">
        <v>5816</v>
      </c>
      <c r="B183" s="18" t="s">
        <v>5793</v>
      </c>
      <c r="C183" s="14" t="s">
        <v>14</v>
      </c>
      <c r="D183" s="26"/>
      <c r="E183" s="15"/>
      <c r="F183" s="16">
        <f t="shared" si="11"/>
        <v>0</v>
      </c>
      <c r="G183" s="8">
        <f t="shared" si="10"/>
        <v>0</v>
      </c>
    </row>
    <row r="184" spans="1:7" hidden="1" x14ac:dyDescent="0.25">
      <c r="A184" s="17" t="s">
        <v>5817</v>
      </c>
      <c r="B184" s="18" t="s">
        <v>5794</v>
      </c>
      <c r="C184" s="14" t="s">
        <v>14</v>
      </c>
      <c r="D184" s="26"/>
      <c r="E184" s="15"/>
      <c r="F184" s="16">
        <f t="shared" si="11"/>
        <v>0</v>
      </c>
      <c r="G184" s="8">
        <f t="shared" si="10"/>
        <v>0</v>
      </c>
    </row>
    <row r="185" spans="1:7" hidden="1" x14ac:dyDescent="0.25">
      <c r="A185" s="17" t="s">
        <v>2336</v>
      </c>
      <c r="B185" s="13" t="s">
        <v>5795</v>
      </c>
      <c r="C185" s="14"/>
      <c r="D185" s="26"/>
      <c r="E185" s="15"/>
      <c r="F185" s="16"/>
      <c r="G185" s="8">
        <f t="shared" si="10"/>
        <v>0</v>
      </c>
    </row>
    <row r="186" spans="1:7" hidden="1" x14ac:dyDescent="0.25">
      <c r="A186" s="17" t="s">
        <v>5818</v>
      </c>
      <c r="B186" s="18" t="s">
        <v>5796</v>
      </c>
      <c r="C186" s="14" t="s">
        <v>37</v>
      </c>
      <c r="D186" s="26"/>
      <c r="E186" s="15"/>
      <c r="F186" s="16">
        <f t="shared" ref="F186:F206" si="12">+D186*E186</f>
        <v>0</v>
      </c>
      <c r="G186" s="8">
        <f t="shared" si="10"/>
        <v>0</v>
      </c>
    </row>
    <row r="187" spans="1:7" hidden="1" x14ac:dyDescent="0.25">
      <c r="A187" s="17" t="s">
        <v>5819</v>
      </c>
      <c r="B187" s="18" t="s">
        <v>5839</v>
      </c>
      <c r="C187" s="14" t="s">
        <v>37</v>
      </c>
      <c r="D187" s="26"/>
      <c r="E187" s="15"/>
      <c r="F187" s="16">
        <f t="shared" si="12"/>
        <v>0</v>
      </c>
      <c r="G187" s="8">
        <f t="shared" si="10"/>
        <v>0</v>
      </c>
    </row>
    <row r="188" spans="1:7" hidden="1" x14ac:dyDescent="0.25">
      <c r="A188" s="17" t="s">
        <v>5820</v>
      </c>
      <c r="B188" s="18" t="s">
        <v>5840</v>
      </c>
      <c r="C188" s="14" t="s">
        <v>37</v>
      </c>
      <c r="D188" s="26"/>
      <c r="E188" s="15"/>
      <c r="F188" s="16">
        <f t="shared" si="12"/>
        <v>0</v>
      </c>
      <c r="G188" s="8">
        <f t="shared" si="10"/>
        <v>0</v>
      </c>
    </row>
    <row r="189" spans="1:7" hidden="1" x14ac:dyDescent="0.25">
      <c r="A189" s="17" t="s">
        <v>5821</v>
      </c>
      <c r="B189" s="18" t="s">
        <v>5841</v>
      </c>
      <c r="C189" s="14" t="s">
        <v>37</v>
      </c>
      <c r="D189" s="26"/>
      <c r="E189" s="15"/>
      <c r="F189" s="16">
        <f t="shared" si="12"/>
        <v>0</v>
      </c>
      <c r="G189" s="8">
        <f t="shared" si="10"/>
        <v>0</v>
      </c>
    </row>
    <row r="190" spans="1:7" hidden="1" x14ac:dyDescent="0.25">
      <c r="A190" s="17" t="s">
        <v>5822</v>
      </c>
      <c r="B190" s="18" t="s">
        <v>5842</v>
      </c>
      <c r="C190" s="14" t="s">
        <v>37</v>
      </c>
      <c r="D190" s="26"/>
      <c r="E190" s="15"/>
      <c r="F190" s="16">
        <f t="shared" si="12"/>
        <v>0</v>
      </c>
      <c r="G190" s="8">
        <f t="shared" si="10"/>
        <v>0</v>
      </c>
    </row>
    <row r="191" spans="1:7" hidden="1" x14ac:dyDescent="0.25">
      <c r="A191" s="17" t="s">
        <v>5823</v>
      </c>
      <c r="B191" s="18" t="s">
        <v>5843</v>
      </c>
      <c r="C191" s="14" t="s">
        <v>37</v>
      </c>
      <c r="D191" s="26"/>
      <c r="E191" s="15"/>
      <c r="F191" s="16">
        <f t="shared" si="12"/>
        <v>0</v>
      </c>
      <c r="G191" s="8">
        <f t="shared" si="10"/>
        <v>0</v>
      </c>
    </row>
    <row r="192" spans="1:7" hidden="1" x14ac:dyDescent="0.25">
      <c r="A192" s="17" t="s">
        <v>5824</v>
      </c>
      <c r="B192" s="18" t="s">
        <v>5844</v>
      </c>
      <c r="C192" s="14" t="s">
        <v>37</v>
      </c>
      <c r="D192" s="26"/>
      <c r="E192" s="15"/>
      <c r="F192" s="16">
        <f t="shared" si="12"/>
        <v>0</v>
      </c>
      <c r="G192" s="8">
        <f t="shared" si="10"/>
        <v>0</v>
      </c>
    </row>
    <row r="193" spans="1:7" hidden="1" x14ac:dyDescent="0.25">
      <c r="A193" s="17" t="s">
        <v>5825</v>
      </c>
      <c r="B193" s="18" t="s">
        <v>5845</v>
      </c>
      <c r="C193" s="14" t="s">
        <v>37</v>
      </c>
      <c r="D193" s="26"/>
      <c r="E193" s="15"/>
      <c r="F193" s="16">
        <f t="shared" si="12"/>
        <v>0</v>
      </c>
      <c r="G193" s="8">
        <f t="shared" si="10"/>
        <v>0</v>
      </c>
    </row>
    <row r="194" spans="1:7" hidden="1" x14ac:dyDescent="0.25">
      <c r="A194" s="17" t="s">
        <v>5826</v>
      </c>
      <c r="B194" s="18" t="s">
        <v>5846</v>
      </c>
      <c r="C194" s="14" t="s">
        <v>37</v>
      </c>
      <c r="D194" s="26"/>
      <c r="E194" s="15"/>
      <c r="F194" s="16">
        <f t="shared" si="12"/>
        <v>0</v>
      </c>
      <c r="G194" s="8">
        <f t="shared" si="10"/>
        <v>0</v>
      </c>
    </row>
    <row r="195" spans="1:7" hidden="1" x14ac:dyDescent="0.25">
      <c r="A195" s="17" t="s">
        <v>5827</v>
      </c>
      <c r="B195" s="18" t="s">
        <v>5847</v>
      </c>
      <c r="C195" s="14" t="s">
        <v>37</v>
      </c>
      <c r="D195" s="26"/>
      <c r="E195" s="15"/>
      <c r="F195" s="16">
        <f t="shared" si="12"/>
        <v>0</v>
      </c>
      <c r="G195" s="8">
        <f t="shared" si="10"/>
        <v>0</v>
      </c>
    </row>
    <row r="196" spans="1:7" hidden="1" x14ac:dyDescent="0.25">
      <c r="A196" s="17" t="s">
        <v>5828</v>
      </c>
      <c r="B196" s="18" t="s">
        <v>5848</v>
      </c>
      <c r="C196" s="14" t="s">
        <v>37</v>
      </c>
      <c r="D196" s="26"/>
      <c r="E196" s="15"/>
      <c r="F196" s="16">
        <f t="shared" si="12"/>
        <v>0</v>
      </c>
      <c r="G196" s="8">
        <f t="shared" si="10"/>
        <v>0</v>
      </c>
    </row>
    <row r="197" spans="1:7" hidden="1" x14ac:dyDescent="0.25">
      <c r="A197" s="17" t="s">
        <v>5829</v>
      </c>
      <c r="B197" s="18" t="s">
        <v>5849</v>
      </c>
      <c r="C197" s="14" t="s">
        <v>37</v>
      </c>
      <c r="D197" s="26"/>
      <c r="E197" s="15"/>
      <c r="F197" s="16">
        <f t="shared" si="12"/>
        <v>0</v>
      </c>
      <c r="G197" s="8">
        <f t="shared" si="10"/>
        <v>0</v>
      </c>
    </row>
    <row r="198" spans="1:7" hidden="1" x14ac:dyDescent="0.25">
      <c r="A198" s="17" t="s">
        <v>5830</v>
      </c>
      <c r="B198" s="18" t="s">
        <v>5850</v>
      </c>
      <c r="C198" s="14" t="s">
        <v>37</v>
      </c>
      <c r="D198" s="26"/>
      <c r="E198" s="15"/>
      <c r="F198" s="16">
        <f t="shared" si="12"/>
        <v>0</v>
      </c>
      <c r="G198" s="8">
        <f t="shared" si="10"/>
        <v>0</v>
      </c>
    </row>
    <row r="199" spans="1:7" hidden="1" x14ac:dyDescent="0.25">
      <c r="A199" s="17" t="s">
        <v>5831</v>
      </c>
      <c r="B199" s="18" t="s">
        <v>5851</v>
      </c>
      <c r="C199" s="14" t="s">
        <v>37</v>
      </c>
      <c r="D199" s="26"/>
      <c r="E199" s="15"/>
      <c r="F199" s="16">
        <f t="shared" si="12"/>
        <v>0</v>
      </c>
      <c r="G199" s="8">
        <f t="shared" si="10"/>
        <v>0</v>
      </c>
    </row>
    <row r="200" spans="1:7" hidden="1" x14ac:dyDescent="0.25">
      <c r="A200" s="17" t="s">
        <v>5832</v>
      </c>
      <c r="B200" s="18" t="s">
        <v>5852</v>
      </c>
      <c r="C200" s="14" t="s">
        <v>37</v>
      </c>
      <c r="D200" s="26"/>
      <c r="E200" s="15"/>
      <c r="F200" s="16">
        <f t="shared" si="12"/>
        <v>0</v>
      </c>
      <c r="G200" s="8">
        <f t="shared" si="10"/>
        <v>0</v>
      </c>
    </row>
    <row r="201" spans="1:7" hidden="1" x14ac:dyDescent="0.25">
      <c r="A201" s="17" t="s">
        <v>5833</v>
      </c>
      <c r="B201" s="18" t="s">
        <v>5853</v>
      </c>
      <c r="C201" s="14" t="s">
        <v>37</v>
      </c>
      <c r="D201" s="26"/>
      <c r="E201" s="15"/>
      <c r="F201" s="16">
        <f t="shared" si="12"/>
        <v>0</v>
      </c>
      <c r="G201" s="8">
        <f t="shared" si="10"/>
        <v>0</v>
      </c>
    </row>
    <row r="202" spans="1:7" hidden="1" x14ac:dyDescent="0.25">
      <c r="A202" s="17" t="s">
        <v>5834</v>
      </c>
      <c r="B202" s="18" t="s">
        <v>5854</v>
      </c>
      <c r="C202" s="14" t="s">
        <v>37</v>
      </c>
      <c r="D202" s="26"/>
      <c r="E202" s="15"/>
      <c r="F202" s="16">
        <f t="shared" si="12"/>
        <v>0</v>
      </c>
      <c r="G202" s="8">
        <f t="shared" si="10"/>
        <v>0</v>
      </c>
    </row>
    <row r="203" spans="1:7" hidden="1" x14ac:dyDescent="0.25">
      <c r="A203" s="17" t="s">
        <v>5835</v>
      </c>
      <c r="B203" s="18" t="s">
        <v>5855</v>
      </c>
      <c r="C203" s="14" t="s">
        <v>37</v>
      </c>
      <c r="D203" s="26"/>
      <c r="E203" s="15"/>
      <c r="F203" s="16">
        <f t="shared" si="12"/>
        <v>0</v>
      </c>
      <c r="G203" s="8">
        <f t="shared" ref="G203:G266" si="13">+IF(F203&lt;&gt;0,1,0)</f>
        <v>0</v>
      </c>
    </row>
    <row r="204" spans="1:7" hidden="1" x14ac:dyDescent="0.25">
      <c r="A204" s="17" t="s">
        <v>5836</v>
      </c>
      <c r="B204" s="18" t="s">
        <v>5856</v>
      </c>
      <c r="C204" s="14" t="s">
        <v>37</v>
      </c>
      <c r="D204" s="26"/>
      <c r="E204" s="15"/>
      <c r="F204" s="16">
        <f t="shared" si="12"/>
        <v>0</v>
      </c>
      <c r="G204" s="8">
        <f t="shared" si="13"/>
        <v>0</v>
      </c>
    </row>
    <row r="205" spans="1:7" hidden="1" x14ac:dyDescent="0.25">
      <c r="A205" s="17" t="s">
        <v>5837</v>
      </c>
      <c r="B205" s="18" t="s">
        <v>5857</v>
      </c>
      <c r="C205" s="14" t="s">
        <v>37</v>
      </c>
      <c r="D205" s="26"/>
      <c r="E205" s="15"/>
      <c r="F205" s="16">
        <f t="shared" si="12"/>
        <v>0</v>
      </c>
      <c r="G205" s="8">
        <f t="shared" si="13"/>
        <v>0</v>
      </c>
    </row>
    <row r="206" spans="1:7" hidden="1" x14ac:dyDescent="0.25">
      <c r="A206" s="17" t="s">
        <v>5838</v>
      </c>
      <c r="B206" s="18" t="s">
        <v>5858</v>
      </c>
      <c r="C206" s="14" t="s">
        <v>37</v>
      </c>
      <c r="D206" s="26"/>
      <c r="E206" s="15"/>
      <c r="F206" s="16">
        <f t="shared" si="12"/>
        <v>0</v>
      </c>
      <c r="G206" s="8">
        <f t="shared" si="13"/>
        <v>0</v>
      </c>
    </row>
    <row r="207" spans="1:7" hidden="1" x14ac:dyDescent="0.25">
      <c r="A207" s="12" t="s">
        <v>277</v>
      </c>
      <c r="B207" s="13" t="s">
        <v>278</v>
      </c>
      <c r="C207" s="14"/>
      <c r="D207" s="26"/>
      <c r="E207" s="15"/>
      <c r="F207" s="16"/>
      <c r="G207" s="8">
        <f t="shared" si="13"/>
        <v>0</v>
      </c>
    </row>
    <row r="208" spans="1:7" hidden="1" x14ac:dyDescent="0.25">
      <c r="A208" s="17" t="s">
        <v>279</v>
      </c>
      <c r="B208" s="25" t="s">
        <v>285</v>
      </c>
      <c r="C208" s="14" t="s">
        <v>14</v>
      </c>
      <c r="D208" s="26"/>
      <c r="E208" s="15">
        <f>+'APU CAP 3'!H969</f>
        <v>1920</v>
      </c>
      <c r="F208" s="16">
        <f t="shared" ref="F208:F224" si="14">+D208*E208</f>
        <v>0</v>
      </c>
      <c r="G208" s="8">
        <f t="shared" si="13"/>
        <v>0</v>
      </c>
    </row>
    <row r="209" spans="1:7" hidden="1" x14ac:dyDescent="0.25">
      <c r="A209" s="17" t="s">
        <v>297</v>
      </c>
      <c r="B209" s="25" t="s">
        <v>280</v>
      </c>
      <c r="C209" s="14" t="s">
        <v>14</v>
      </c>
      <c r="D209" s="26"/>
      <c r="E209" s="15">
        <f>+E208</f>
        <v>1920</v>
      </c>
      <c r="F209" s="16">
        <f t="shared" si="14"/>
        <v>0</v>
      </c>
      <c r="G209" s="8">
        <f t="shared" si="13"/>
        <v>0</v>
      </c>
    </row>
    <row r="210" spans="1:7" hidden="1" x14ac:dyDescent="0.25">
      <c r="A210" s="17" t="s">
        <v>298</v>
      </c>
      <c r="B210" s="25" t="s">
        <v>281</v>
      </c>
      <c r="C210" s="14" t="s">
        <v>14</v>
      </c>
      <c r="D210" s="26"/>
      <c r="E210" s="15">
        <f>+E208</f>
        <v>1920</v>
      </c>
      <c r="F210" s="16">
        <f t="shared" si="14"/>
        <v>0</v>
      </c>
      <c r="G210" s="8">
        <f t="shared" si="13"/>
        <v>0</v>
      </c>
    </row>
    <row r="211" spans="1:7" hidden="1" x14ac:dyDescent="0.25">
      <c r="A211" s="17" t="s">
        <v>299</v>
      </c>
      <c r="B211" s="25" t="s">
        <v>282</v>
      </c>
      <c r="C211" s="14" t="s">
        <v>14</v>
      </c>
      <c r="D211" s="26"/>
      <c r="E211" s="15">
        <f>+E208</f>
        <v>1920</v>
      </c>
      <c r="F211" s="16">
        <f t="shared" si="14"/>
        <v>0</v>
      </c>
      <c r="G211" s="8">
        <f t="shared" si="13"/>
        <v>0</v>
      </c>
    </row>
    <row r="212" spans="1:7" hidden="1" x14ac:dyDescent="0.25">
      <c r="A212" s="17" t="s">
        <v>300</v>
      </c>
      <c r="B212" s="25" t="s">
        <v>283</v>
      </c>
      <c r="C212" s="14" t="s">
        <v>14</v>
      </c>
      <c r="D212" s="26"/>
      <c r="E212" s="15">
        <f>+'APU CAP 3'!H1023</f>
        <v>2352</v>
      </c>
      <c r="F212" s="16">
        <f t="shared" si="14"/>
        <v>0</v>
      </c>
      <c r="G212" s="8">
        <f t="shared" si="13"/>
        <v>0</v>
      </c>
    </row>
    <row r="213" spans="1:7" hidden="1" x14ac:dyDescent="0.25">
      <c r="A213" s="17" t="s">
        <v>301</v>
      </c>
      <c r="B213" s="25" t="s">
        <v>286</v>
      </c>
      <c r="C213" s="14" t="s">
        <v>14</v>
      </c>
      <c r="D213" s="26"/>
      <c r="E213" s="15">
        <f>+E212</f>
        <v>2352</v>
      </c>
      <c r="F213" s="16">
        <f t="shared" si="14"/>
        <v>0</v>
      </c>
      <c r="G213" s="8">
        <f t="shared" si="13"/>
        <v>0</v>
      </c>
    </row>
    <row r="214" spans="1:7" hidden="1" x14ac:dyDescent="0.25">
      <c r="A214" s="17" t="s">
        <v>302</v>
      </c>
      <c r="B214" s="25" t="s">
        <v>284</v>
      </c>
      <c r="C214" s="14" t="s">
        <v>14</v>
      </c>
      <c r="D214" s="26"/>
      <c r="E214" s="15">
        <f>+E212</f>
        <v>2352</v>
      </c>
      <c r="F214" s="16">
        <f t="shared" si="14"/>
        <v>0</v>
      </c>
      <c r="G214" s="8">
        <f t="shared" si="13"/>
        <v>0</v>
      </c>
    </row>
    <row r="215" spans="1:7" hidden="1" x14ac:dyDescent="0.25">
      <c r="A215" s="17" t="s">
        <v>303</v>
      </c>
      <c r="B215" s="25" t="s">
        <v>287</v>
      </c>
      <c r="C215" s="14" t="s">
        <v>14</v>
      </c>
      <c r="D215" s="26"/>
      <c r="E215" s="15">
        <f>+'APU CAP 3'!H1077</f>
        <v>3674</v>
      </c>
      <c r="F215" s="16">
        <f t="shared" si="14"/>
        <v>0</v>
      </c>
      <c r="G215" s="8">
        <f t="shared" si="13"/>
        <v>0</v>
      </c>
    </row>
    <row r="216" spans="1:7" hidden="1" x14ac:dyDescent="0.25">
      <c r="A216" s="17" t="s">
        <v>304</v>
      </c>
      <c r="B216" s="25" t="s">
        <v>288</v>
      </c>
      <c r="C216" s="14" t="s">
        <v>14</v>
      </c>
      <c r="D216" s="26"/>
      <c r="E216" s="15">
        <f>+E215</f>
        <v>3674</v>
      </c>
      <c r="F216" s="16">
        <f t="shared" si="14"/>
        <v>0</v>
      </c>
      <c r="G216" s="8">
        <f t="shared" si="13"/>
        <v>0</v>
      </c>
    </row>
    <row r="217" spans="1:7" hidden="1" x14ac:dyDescent="0.25">
      <c r="A217" s="17" t="s">
        <v>305</v>
      </c>
      <c r="B217" s="25" t="s">
        <v>289</v>
      </c>
      <c r="C217" s="14" t="s">
        <v>14</v>
      </c>
      <c r="D217" s="26"/>
      <c r="E217" s="15">
        <f>+E215</f>
        <v>3674</v>
      </c>
      <c r="F217" s="16">
        <f t="shared" si="14"/>
        <v>0</v>
      </c>
      <c r="G217" s="8">
        <f t="shared" si="13"/>
        <v>0</v>
      </c>
    </row>
    <row r="218" spans="1:7" hidden="1" x14ac:dyDescent="0.25">
      <c r="A218" s="17" t="s">
        <v>306</v>
      </c>
      <c r="B218" s="25" t="s">
        <v>290</v>
      </c>
      <c r="C218" s="14" t="s">
        <v>14</v>
      </c>
      <c r="D218" s="26"/>
      <c r="E218" s="15">
        <f>+'APU CAP 3'!H1131</f>
        <v>5520</v>
      </c>
      <c r="F218" s="16">
        <f t="shared" si="14"/>
        <v>0</v>
      </c>
      <c r="G218" s="8">
        <f t="shared" si="13"/>
        <v>0</v>
      </c>
    </row>
    <row r="219" spans="1:7" hidden="1" x14ac:dyDescent="0.25">
      <c r="A219" s="17" t="s">
        <v>307</v>
      </c>
      <c r="B219" s="25" t="s">
        <v>291</v>
      </c>
      <c r="C219" s="14" t="s">
        <v>14</v>
      </c>
      <c r="D219" s="26"/>
      <c r="E219" s="15"/>
      <c r="F219" s="16">
        <f t="shared" si="14"/>
        <v>0</v>
      </c>
      <c r="G219" s="8">
        <f t="shared" si="13"/>
        <v>0</v>
      </c>
    </row>
    <row r="220" spans="1:7" hidden="1" x14ac:dyDescent="0.25">
      <c r="A220" s="17" t="s">
        <v>308</v>
      </c>
      <c r="B220" s="25" t="s">
        <v>292</v>
      </c>
      <c r="C220" s="14" t="s">
        <v>14</v>
      </c>
      <c r="D220" s="26"/>
      <c r="E220" s="15"/>
      <c r="F220" s="16">
        <f t="shared" si="14"/>
        <v>0</v>
      </c>
      <c r="G220" s="8">
        <f t="shared" si="13"/>
        <v>0</v>
      </c>
    </row>
    <row r="221" spans="1:7" hidden="1" x14ac:dyDescent="0.25">
      <c r="A221" s="17" t="s">
        <v>309</v>
      </c>
      <c r="B221" s="25" t="s">
        <v>293</v>
      </c>
      <c r="C221" s="14" t="s">
        <v>14</v>
      </c>
      <c r="D221" s="26"/>
      <c r="E221" s="15"/>
      <c r="F221" s="16">
        <f t="shared" si="14"/>
        <v>0</v>
      </c>
      <c r="G221" s="8">
        <f t="shared" si="13"/>
        <v>0</v>
      </c>
    </row>
    <row r="222" spans="1:7" hidden="1" x14ac:dyDescent="0.25">
      <c r="A222" s="17" t="s">
        <v>310</v>
      </c>
      <c r="B222" s="25" t="s">
        <v>294</v>
      </c>
      <c r="C222" s="14" t="s">
        <v>14</v>
      </c>
      <c r="D222" s="26"/>
      <c r="E222" s="15"/>
      <c r="F222" s="16">
        <f t="shared" si="14"/>
        <v>0</v>
      </c>
      <c r="G222" s="8">
        <f t="shared" si="13"/>
        <v>0</v>
      </c>
    </row>
    <row r="223" spans="1:7" hidden="1" x14ac:dyDescent="0.25">
      <c r="A223" s="17" t="s">
        <v>311</v>
      </c>
      <c r="B223" s="25" t="s">
        <v>295</v>
      </c>
      <c r="C223" s="14" t="s">
        <v>14</v>
      </c>
      <c r="D223" s="26"/>
      <c r="E223" s="15"/>
      <c r="F223" s="16">
        <f t="shared" si="14"/>
        <v>0</v>
      </c>
      <c r="G223" s="8">
        <f t="shared" si="13"/>
        <v>0</v>
      </c>
    </row>
    <row r="224" spans="1:7" hidden="1" x14ac:dyDescent="0.25">
      <c r="A224" s="17" t="s">
        <v>312</v>
      </c>
      <c r="B224" s="25" t="s">
        <v>296</v>
      </c>
      <c r="C224" s="14" t="s">
        <v>14</v>
      </c>
      <c r="D224" s="26"/>
      <c r="E224" s="15"/>
      <c r="F224" s="16">
        <f t="shared" si="14"/>
        <v>0</v>
      </c>
      <c r="G224" s="8">
        <f t="shared" si="13"/>
        <v>0</v>
      </c>
    </row>
    <row r="225" spans="1:7" hidden="1" x14ac:dyDescent="0.25">
      <c r="A225" s="12" t="s">
        <v>313</v>
      </c>
      <c r="B225" s="13" t="s">
        <v>314</v>
      </c>
      <c r="C225" s="14"/>
      <c r="D225" s="26"/>
      <c r="E225" s="15"/>
      <c r="F225" s="16"/>
      <c r="G225" s="8">
        <f t="shared" si="13"/>
        <v>0</v>
      </c>
    </row>
    <row r="226" spans="1:7" hidden="1" x14ac:dyDescent="0.25">
      <c r="A226" s="17" t="s">
        <v>324</v>
      </c>
      <c r="B226" s="25" t="s">
        <v>315</v>
      </c>
      <c r="C226" s="14" t="s">
        <v>37</v>
      </c>
      <c r="D226" s="26"/>
      <c r="E226" s="15">
        <f>+'APU CAP 3'!H1185</f>
        <v>1636</v>
      </c>
      <c r="F226" s="16">
        <f t="shared" ref="F226:F234" si="15">+D226*E226</f>
        <v>0</v>
      </c>
      <c r="G226" s="8">
        <f t="shared" si="13"/>
        <v>0</v>
      </c>
    </row>
    <row r="227" spans="1:7" hidden="1" x14ac:dyDescent="0.25">
      <c r="A227" s="17" t="s">
        <v>325</v>
      </c>
      <c r="B227" s="25" t="s">
        <v>316</v>
      </c>
      <c r="C227" s="14" t="s">
        <v>37</v>
      </c>
      <c r="D227" s="26"/>
      <c r="E227" s="15">
        <f>+'APU CAP 3'!H1239</f>
        <v>2150</v>
      </c>
      <c r="F227" s="16">
        <f t="shared" si="15"/>
        <v>0</v>
      </c>
      <c r="G227" s="8">
        <f t="shared" si="13"/>
        <v>0</v>
      </c>
    </row>
    <row r="228" spans="1:7" hidden="1" x14ac:dyDescent="0.25">
      <c r="A228" s="17" t="s">
        <v>326</v>
      </c>
      <c r="B228" s="25" t="s">
        <v>317</v>
      </c>
      <c r="C228" s="14" t="s">
        <v>37</v>
      </c>
      <c r="D228" s="26"/>
      <c r="E228" s="15">
        <f>+'APU CAP 3'!H1239</f>
        <v>2150</v>
      </c>
      <c r="F228" s="16">
        <f t="shared" si="15"/>
        <v>0</v>
      </c>
      <c r="G228" s="8">
        <f t="shared" si="13"/>
        <v>0</v>
      </c>
    </row>
    <row r="229" spans="1:7" hidden="1" x14ac:dyDescent="0.25">
      <c r="A229" s="17" t="s">
        <v>327</v>
      </c>
      <c r="B229" s="25" t="s">
        <v>318</v>
      </c>
      <c r="C229" s="14" t="s">
        <v>37</v>
      </c>
      <c r="D229" s="26"/>
      <c r="E229" s="15">
        <f>+'APU CAP 3'!H1293</f>
        <v>3178</v>
      </c>
      <c r="F229" s="16">
        <f t="shared" si="15"/>
        <v>0</v>
      </c>
      <c r="G229" s="8">
        <f t="shared" si="13"/>
        <v>0</v>
      </c>
    </row>
    <row r="230" spans="1:7" hidden="1" x14ac:dyDescent="0.25">
      <c r="A230" s="17" t="s">
        <v>328</v>
      </c>
      <c r="B230" s="25" t="s">
        <v>319</v>
      </c>
      <c r="C230" s="14" t="s">
        <v>37</v>
      </c>
      <c r="D230" s="26"/>
      <c r="E230" s="15">
        <f>+'APU CAP 3'!H1347</f>
        <v>6261</v>
      </c>
      <c r="F230" s="16">
        <f t="shared" si="15"/>
        <v>0</v>
      </c>
      <c r="G230" s="8">
        <f t="shared" si="13"/>
        <v>0</v>
      </c>
    </row>
    <row r="231" spans="1:7" hidden="1" x14ac:dyDescent="0.25">
      <c r="A231" s="17" t="s">
        <v>329</v>
      </c>
      <c r="B231" s="25" t="s">
        <v>320</v>
      </c>
      <c r="C231" s="14" t="s">
        <v>37</v>
      </c>
      <c r="D231" s="26"/>
      <c r="E231" s="15"/>
      <c r="F231" s="16">
        <f t="shared" si="15"/>
        <v>0</v>
      </c>
      <c r="G231" s="8">
        <f t="shared" si="13"/>
        <v>0</v>
      </c>
    </row>
    <row r="232" spans="1:7" hidden="1" x14ac:dyDescent="0.25">
      <c r="A232" s="17" t="s">
        <v>330</v>
      </c>
      <c r="B232" s="25" t="s">
        <v>321</v>
      </c>
      <c r="C232" s="14" t="s">
        <v>37</v>
      </c>
      <c r="D232" s="26"/>
      <c r="E232" s="15"/>
      <c r="F232" s="16">
        <f t="shared" si="15"/>
        <v>0</v>
      </c>
      <c r="G232" s="8">
        <f t="shared" si="13"/>
        <v>0</v>
      </c>
    </row>
    <row r="233" spans="1:7" hidden="1" x14ac:dyDescent="0.25">
      <c r="A233" s="17" t="s">
        <v>331</v>
      </c>
      <c r="B233" s="25" t="s">
        <v>322</v>
      </c>
      <c r="C233" s="14" t="s">
        <v>37</v>
      </c>
      <c r="D233" s="26"/>
      <c r="E233" s="15"/>
      <c r="F233" s="16">
        <f t="shared" si="15"/>
        <v>0</v>
      </c>
      <c r="G233" s="8">
        <f t="shared" si="13"/>
        <v>0</v>
      </c>
    </row>
    <row r="234" spans="1:7" hidden="1" x14ac:dyDescent="0.25">
      <c r="A234" s="17" t="s">
        <v>332</v>
      </c>
      <c r="B234" s="25" t="s">
        <v>323</v>
      </c>
      <c r="C234" s="14" t="s">
        <v>37</v>
      </c>
      <c r="D234" s="26"/>
      <c r="E234" s="15"/>
      <c r="F234" s="16">
        <f t="shared" si="15"/>
        <v>0</v>
      </c>
      <c r="G234" s="8">
        <f t="shared" si="13"/>
        <v>0</v>
      </c>
    </row>
    <row r="235" spans="1:7" hidden="1" x14ac:dyDescent="0.25">
      <c r="A235" s="12" t="s">
        <v>333</v>
      </c>
      <c r="B235" s="46" t="s">
        <v>334</v>
      </c>
      <c r="C235" s="14"/>
      <c r="D235" s="26"/>
      <c r="E235" s="15"/>
      <c r="F235" s="16"/>
      <c r="G235" s="8"/>
    </row>
    <row r="236" spans="1:7" hidden="1" x14ac:dyDescent="0.25">
      <c r="A236" s="12" t="s">
        <v>355</v>
      </c>
      <c r="B236" s="46" t="s">
        <v>335</v>
      </c>
      <c r="C236" s="14"/>
      <c r="D236" s="26"/>
      <c r="E236" s="15"/>
      <c r="F236" s="16"/>
      <c r="G236" s="8"/>
    </row>
    <row r="237" spans="1:7" hidden="1" x14ac:dyDescent="0.25">
      <c r="A237" s="17" t="s">
        <v>356</v>
      </c>
      <c r="B237" s="25" t="s">
        <v>336</v>
      </c>
      <c r="C237" s="14" t="s">
        <v>14</v>
      </c>
      <c r="D237" s="26"/>
      <c r="E237" s="15">
        <f>+'APU CAP 3'!H1401</f>
        <v>2913</v>
      </c>
      <c r="F237" s="16">
        <f t="shared" ref="F237:F255" si="16">+D237*E237</f>
        <v>0</v>
      </c>
      <c r="G237" s="8">
        <f t="shared" si="13"/>
        <v>0</v>
      </c>
    </row>
    <row r="238" spans="1:7" hidden="1" x14ac:dyDescent="0.25">
      <c r="A238" s="17" t="s">
        <v>357</v>
      </c>
      <c r="B238" s="25" t="s">
        <v>337</v>
      </c>
      <c r="C238" s="14" t="s">
        <v>14</v>
      </c>
      <c r="D238" s="26"/>
      <c r="E238" s="15">
        <f>+'APU CAP 3'!P1401</f>
        <v>4197</v>
      </c>
      <c r="F238" s="16">
        <f t="shared" si="16"/>
        <v>0</v>
      </c>
      <c r="G238" s="8">
        <f t="shared" si="13"/>
        <v>0</v>
      </c>
    </row>
    <row r="239" spans="1:7" hidden="1" x14ac:dyDescent="0.25">
      <c r="A239" s="17" t="s">
        <v>358</v>
      </c>
      <c r="B239" s="25" t="s">
        <v>338</v>
      </c>
      <c r="C239" s="14" t="s">
        <v>14</v>
      </c>
      <c r="D239" s="26"/>
      <c r="E239" s="15">
        <f>+'APU CAP 3'!X1401</f>
        <v>5342</v>
      </c>
      <c r="F239" s="16">
        <f t="shared" si="16"/>
        <v>0</v>
      </c>
      <c r="G239" s="8">
        <f t="shared" si="13"/>
        <v>0</v>
      </c>
    </row>
    <row r="240" spans="1:7" hidden="1" x14ac:dyDescent="0.25">
      <c r="A240" s="17" t="s">
        <v>359</v>
      </c>
      <c r="B240" s="25" t="s">
        <v>339</v>
      </c>
      <c r="C240" s="14" t="s">
        <v>14</v>
      </c>
      <c r="D240" s="26"/>
      <c r="E240" s="15"/>
      <c r="F240" s="16">
        <f t="shared" si="16"/>
        <v>0</v>
      </c>
      <c r="G240" s="8">
        <f t="shared" si="13"/>
        <v>0</v>
      </c>
    </row>
    <row r="241" spans="1:7" hidden="1" x14ac:dyDescent="0.25">
      <c r="A241" s="17" t="s">
        <v>360</v>
      </c>
      <c r="B241" s="25" t="s">
        <v>340</v>
      </c>
      <c r="C241" s="14" t="s">
        <v>14</v>
      </c>
      <c r="D241" s="26"/>
      <c r="E241" s="15">
        <f>+'APU CAP 3'!H1455</f>
        <v>8630</v>
      </c>
      <c r="F241" s="16">
        <f t="shared" si="16"/>
        <v>0</v>
      </c>
      <c r="G241" s="8">
        <f t="shared" si="13"/>
        <v>0</v>
      </c>
    </row>
    <row r="242" spans="1:7" hidden="1" x14ac:dyDescent="0.25">
      <c r="A242" s="17" t="s">
        <v>361</v>
      </c>
      <c r="B242" s="25" t="s">
        <v>341</v>
      </c>
      <c r="C242" s="14" t="s">
        <v>14</v>
      </c>
      <c r="D242" s="26"/>
      <c r="E242" s="15">
        <f>+'APU CAP 3'!P1455</f>
        <v>11285</v>
      </c>
      <c r="F242" s="16">
        <f t="shared" si="16"/>
        <v>0</v>
      </c>
      <c r="G242" s="8">
        <f t="shared" si="13"/>
        <v>0</v>
      </c>
    </row>
    <row r="243" spans="1:7" hidden="1" x14ac:dyDescent="0.25">
      <c r="A243" s="17" t="s">
        <v>362</v>
      </c>
      <c r="B243" s="25" t="s">
        <v>342</v>
      </c>
      <c r="C243" s="14" t="s">
        <v>14</v>
      </c>
      <c r="D243" s="26"/>
      <c r="E243" s="15">
        <f>+'APU CAP 3'!X1455</f>
        <v>15169</v>
      </c>
      <c r="F243" s="16">
        <f t="shared" si="16"/>
        <v>0</v>
      </c>
      <c r="G243" s="8">
        <f t="shared" si="13"/>
        <v>0</v>
      </c>
    </row>
    <row r="244" spans="1:7" hidden="1" x14ac:dyDescent="0.25">
      <c r="A244" s="17" t="s">
        <v>363</v>
      </c>
      <c r="B244" s="25" t="s">
        <v>343</v>
      </c>
      <c r="C244" s="14" t="s">
        <v>14</v>
      </c>
      <c r="D244" s="26"/>
      <c r="E244" s="15">
        <f>+'APU CAP 3'!H1509</f>
        <v>24053</v>
      </c>
      <c r="F244" s="16">
        <f t="shared" si="16"/>
        <v>0</v>
      </c>
      <c r="G244" s="8">
        <f t="shared" si="13"/>
        <v>0</v>
      </c>
    </row>
    <row r="245" spans="1:7" hidden="1" x14ac:dyDescent="0.25">
      <c r="A245" s="17" t="s">
        <v>364</v>
      </c>
      <c r="B245" s="25" t="s">
        <v>344</v>
      </c>
      <c r="C245" s="14" t="s">
        <v>14</v>
      </c>
      <c r="D245" s="26"/>
      <c r="E245" s="15">
        <f>+'APU CAP 3'!P1509</f>
        <v>28319</v>
      </c>
      <c r="F245" s="16">
        <f t="shared" si="16"/>
        <v>0</v>
      </c>
      <c r="G245" s="8">
        <f t="shared" si="13"/>
        <v>0</v>
      </c>
    </row>
    <row r="246" spans="1:7" hidden="1" x14ac:dyDescent="0.25">
      <c r="A246" s="17" t="s">
        <v>365</v>
      </c>
      <c r="B246" s="25" t="s">
        <v>345</v>
      </c>
      <c r="C246" s="14" t="s">
        <v>14</v>
      </c>
      <c r="D246" s="26"/>
      <c r="E246" s="15">
        <f>+'APU CAP 3'!X1509</f>
        <v>33693</v>
      </c>
      <c r="F246" s="16">
        <f t="shared" si="16"/>
        <v>0</v>
      </c>
      <c r="G246" s="8">
        <f t="shared" si="13"/>
        <v>0</v>
      </c>
    </row>
    <row r="247" spans="1:7" hidden="1" x14ac:dyDescent="0.25">
      <c r="A247" s="17" t="s">
        <v>366</v>
      </c>
      <c r="B247" s="25" t="s">
        <v>346</v>
      </c>
      <c r="C247" s="14" t="s">
        <v>14</v>
      </c>
      <c r="D247" s="26"/>
      <c r="E247" s="15">
        <f>+'APU CAP 3'!H1563</f>
        <v>41671</v>
      </c>
      <c r="F247" s="16">
        <f t="shared" si="16"/>
        <v>0</v>
      </c>
      <c r="G247" s="8">
        <f t="shared" si="13"/>
        <v>0</v>
      </c>
    </row>
    <row r="248" spans="1:7" hidden="1" x14ac:dyDescent="0.25">
      <c r="A248" s="17" t="s">
        <v>367</v>
      </c>
      <c r="B248" s="25" t="s">
        <v>347</v>
      </c>
      <c r="C248" s="14" t="s">
        <v>14</v>
      </c>
      <c r="D248" s="26"/>
      <c r="E248" s="15">
        <f>+'APU CAP 3'!P1563</f>
        <v>48370</v>
      </c>
      <c r="F248" s="16">
        <f t="shared" si="16"/>
        <v>0</v>
      </c>
      <c r="G248" s="8">
        <f t="shared" si="13"/>
        <v>0</v>
      </c>
    </row>
    <row r="249" spans="1:7" hidden="1" x14ac:dyDescent="0.25">
      <c r="A249" s="17" t="s">
        <v>368</v>
      </c>
      <c r="B249" s="25" t="s">
        <v>348</v>
      </c>
      <c r="C249" s="14" t="s">
        <v>14</v>
      </c>
      <c r="D249" s="26"/>
      <c r="E249" s="15"/>
      <c r="F249" s="16">
        <f t="shared" si="16"/>
        <v>0</v>
      </c>
      <c r="G249" s="8">
        <f t="shared" si="13"/>
        <v>0</v>
      </c>
    </row>
    <row r="250" spans="1:7" hidden="1" x14ac:dyDescent="0.25">
      <c r="A250" s="17" t="s">
        <v>369</v>
      </c>
      <c r="B250" s="25" t="s">
        <v>349</v>
      </c>
      <c r="C250" s="14" t="s">
        <v>14</v>
      </c>
      <c r="D250" s="26"/>
      <c r="E250" s="15"/>
      <c r="F250" s="16">
        <f t="shared" si="16"/>
        <v>0</v>
      </c>
      <c r="G250" s="8">
        <f t="shared" si="13"/>
        <v>0</v>
      </c>
    </row>
    <row r="251" spans="1:7" hidden="1" x14ac:dyDescent="0.25">
      <c r="A251" s="17" t="s">
        <v>370</v>
      </c>
      <c r="B251" s="25" t="s">
        <v>350</v>
      </c>
      <c r="C251" s="14" t="s">
        <v>14</v>
      </c>
      <c r="D251" s="26"/>
      <c r="E251" s="15"/>
      <c r="F251" s="16">
        <f t="shared" si="16"/>
        <v>0</v>
      </c>
      <c r="G251" s="8">
        <f t="shared" si="13"/>
        <v>0</v>
      </c>
    </row>
    <row r="252" spans="1:7" hidden="1" x14ac:dyDescent="0.25">
      <c r="A252" s="17" t="s">
        <v>371</v>
      </c>
      <c r="B252" s="25" t="s">
        <v>351</v>
      </c>
      <c r="C252" s="14" t="s">
        <v>14</v>
      </c>
      <c r="D252" s="26"/>
      <c r="E252" s="15"/>
      <c r="F252" s="16">
        <f t="shared" si="16"/>
        <v>0</v>
      </c>
      <c r="G252" s="8">
        <f t="shared" si="13"/>
        <v>0</v>
      </c>
    </row>
    <row r="253" spans="1:7" hidden="1" x14ac:dyDescent="0.25">
      <c r="A253" s="17" t="s">
        <v>372</v>
      </c>
      <c r="B253" s="25" t="s">
        <v>352</v>
      </c>
      <c r="C253" s="14" t="s">
        <v>14</v>
      </c>
      <c r="D253" s="26"/>
      <c r="E253" s="15"/>
      <c r="F253" s="16">
        <f t="shared" si="16"/>
        <v>0</v>
      </c>
      <c r="G253" s="8">
        <f t="shared" si="13"/>
        <v>0</v>
      </c>
    </row>
    <row r="254" spans="1:7" hidden="1" x14ac:dyDescent="0.25">
      <c r="A254" s="17" t="s">
        <v>373</v>
      </c>
      <c r="B254" s="25" t="s">
        <v>353</v>
      </c>
      <c r="C254" s="14" t="s">
        <v>14</v>
      </c>
      <c r="D254" s="26"/>
      <c r="E254" s="15"/>
      <c r="F254" s="16">
        <f t="shared" si="16"/>
        <v>0</v>
      </c>
      <c r="G254" s="8">
        <f t="shared" si="13"/>
        <v>0</v>
      </c>
    </row>
    <row r="255" spans="1:7" hidden="1" x14ac:dyDescent="0.25">
      <c r="A255" s="17" t="s">
        <v>374</v>
      </c>
      <c r="B255" s="25" t="s">
        <v>354</v>
      </c>
      <c r="C255" s="14" t="s">
        <v>14</v>
      </c>
      <c r="D255" s="26"/>
      <c r="E255" s="15"/>
      <c r="F255" s="16">
        <f t="shared" si="16"/>
        <v>0</v>
      </c>
      <c r="G255" s="8">
        <f t="shared" si="13"/>
        <v>0</v>
      </c>
    </row>
    <row r="256" spans="1:7" hidden="1" x14ac:dyDescent="0.25">
      <c r="A256" s="12" t="s">
        <v>375</v>
      </c>
      <c r="B256" s="46" t="s">
        <v>6320</v>
      </c>
      <c r="C256" s="14"/>
      <c r="D256" s="26"/>
      <c r="E256" s="15"/>
      <c r="F256" s="16"/>
      <c r="G256" s="8"/>
    </row>
    <row r="257" spans="1:7" hidden="1" x14ac:dyDescent="0.25">
      <c r="A257" s="17" t="s">
        <v>376</v>
      </c>
      <c r="B257" s="25" t="s">
        <v>336</v>
      </c>
      <c r="C257" s="14" t="s">
        <v>14</v>
      </c>
      <c r="D257" s="26"/>
      <c r="E257" s="471">
        <f t="shared" ref="E257:E262" si="17">+E238</f>
        <v>4197</v>
      </c>
      <c r="F257" s="16">
        <f t="shared" ref="F257:F275" si="18">+D257*E257</f>
        <v>0</v>
      </c>
      <c r="G257" s="8">
        <f t="shared" si="13"/>
        <v>0</v>
      </c>
    </row>
    <row r="258" spans="1:7" hidden="1" x14ac:dyDescent="0.25">
      <c r="A258" s="17" t="s">
        <v>377</v>
      </c>
      <c r="B258" s="25" t="s">
        <v>337</v>
      </c>
      <c r="C258" s="14" t="s">
        <v>14</v>
      </c>
      <c r="D258" s="26"/>
      <c r="E258" s="471">
        <f t="shared" si="17"/>
        <v>5342</v>
      </c>
      <c r="F258" s="16">
        <f t="shared" si="18"/>
        <v>0</v>
      </c>
      <c r="G258" s="8">
        <f t="shared" si="13"/>
        <v>0</v>
      </c>
    </row>
    <row r="259" spans="1:7" hidden="1" x14ac:dyDescent="0.25">
      <c r="A259" s="17" t="s">
        <v>378</v>
      </c>
      <c r="B259" s="25" t="s">
        <v>338</v>
      </c>
      <c r="C259" s="14" t="s">
        <v>14</v>
      </c>
      <c r="D259" s="26"/>
      <c r="E259" s="471">
        <f t="shared" si="17"/>
        <v>0</v>
      </c>
      <c r="F259" s="16">
        <f t="shared" si="18"/>
        <v>0</v>
      </c>
      <c r="G259" s="8">
        <f t="shared" si="13"/>
        <v>0</v>
      </c>
    </row>
    <row r="260" spans="1:7" hidden="1" x14ac:dyDescent="0.25">
      <c r="A260" s="17" t="s">
        <v>379</v>
      </c>
      <c r="B260" s="25" t="s">
        <v>339</v>
      </c>
      <c r="C260" s="14" t="s">
        <v>14</v>
      </c>
      <c r="D260" s="26"/>
      <c r="E260" s="471">
        <f t="shared" si="17"/>
        <v>8630</v>
      </c>
      <c r="F260" s="16">
        <f t="shared" si="18"/>
        <v>0</v>
      </c>
      <c r="G260" s="8">
        <f t="shared" si="13"/>
        <v>0</v>
      </c>
    </row>
    <row r="261" spans="1:7" hidden="1" x14ac:dyDescent="0.25">
      <c r="A261" s="17" t="s">
        <v>380</v>
      </c>
      <c r="B261" s="25" t="s">
        <v>340</v>
      </c>
      <c r="C261" s="14" t="s">
        <v>14</v>
      </c>
      <c r="D261" s="26"/>
      <c r="E261" s="471">
        <f t="shared" si="17"/>
        <v>11285</v>
      </c>
      <c r="F261" s="16">
        <f t="shared" si="18"/>
        <v>0</v>
      </c>
      <c r="G261" s="8">
        <f t="shared" si="13"/>
        <v>0</v>
      </c>
    </row>
    <row r="262" spans="1:7" hidden="1" x14ac:dyDescent="0.25">
      <c r="A262" s="17" t="s">
        <v>381</v>
      </c>
      <c r="B262" s="25" t="s">
        <v>341</v>
      </c>
      <c r="C262" s="14" t="s">
        <v>14</v>
      </c>
      <c r="D262" s="26"/>
      <c r="E262" s="471">
        <f t="shared" si="17"/>
        <v>15169</v>
      </c>
      <c r="F262" s="16">
        <f t="shared" si="18"/>
        <v>0</v>
      </c>
      <c r="G262" s="8">
        <f t="shared" si="13"/>
        <v>0</v>
      </c>
    </row>
    <row r="263" spans="1:7" hidden="1" x14ac:dyDescent="0.25">
      <c r="A263" s="17" t="s">
        <v>382</v>
      </c>
      <c r="B263" s="25" t="s">
        <v>342</v>
      </c>
      <c r="C263" s="14" t="s">
        <v>14</v>
      </c>
      <c r="D263" s="26"/>
      <c r="E263" s="471">
        <f t="shared" ref="E263:E268" si="19">+E244</f>
        <v>24053</v>
      </c>
      <c r="F263" s="16">
        <f t="shared" si="18"/>
        <v>0</v>
      </c>
      <c r="G263" s="8">
        <f t="shared" si="13"/>
        <v>0</v>
      </c>
    </row>
    <row r="264" spans="1:7" hidden="1" x14ac:dyDescent="0.25">
      <c r="A264" s="17" t="s">
        <v>383</v>
      </c>
      <c r="B264" s="25" t="s">
        <v>343</v>
      </c>
      <c r="C264" s="14" t="s">
        <v>14</v>
      </c>
      <c r="D264" s="26"/>
      <c r="E264" s="471">
        <f t="shared" si="19"/>
        <v>28319</v>
      </c>
      <c r="F264" s="16">
        <f t="shared" si="18"/>
        <v>0</v>
      </c>
      <c r="G264" s="8">
        <f t="shared" si="13"/>
        <v>0</v>
      </c>
    </row>
    <row r="265" spans="1:7" hidden="1" x14ac:dyDescent="0.25">
      <c r="A265" s="17" t="s">
        <v>384</v>
      </c>
      <c r="B265" s="25" t="s">
        <v>344</v>
      </c>
      <c r="C265" s="14" t="s">
        <v>14</v>
      </c>
      <c r="D265" s="26"/>
      <c r="E265" s="471">
        <f t="shared" si="19"/>
        <v>33693</v>
      </c>
      <c r="F265" s="16">
        <f t="shared" si="18"/>
        <v>0</v>
      </c>
      <c r="G265" s="8">
        <f t="shared" si="13"/>
        <v>0</v>
      </c>
    </row>
    <row r="266" spans="1:7" hidden="1" x14ac:dyDescent="0.25">
      <c r="A266" s="17" t="s">
        <v>385</v>
      </c>
      <c r="B266" s="25" t="s">
        <v>345</v>
      </c>
      <c r="C266" s="14" t="s">
        <v>14</v>
      </c>
      <c r="D266" s="26"/>
      <c r="E266" s="471">
        <f t="shared" si="19"/>
        <v>41671</v>
      </c>
      <c r="F266" s="16">
        <f t="shared" si="18"/>
        <v>0</v>
      </c>
      <c r="G266" s="8">
        <f t="shared" si="13"/>
        <v>0</v>
      </c>
    </row>
    <row r="267" spans="1:7" hidden="1" x14ac:dyDescent="0.25">
      <c r="A267" s="17" t="s">
        <v>386</v>
      </c>
      <c r="B267" s="25" t="s">
        <v>346</v>
      </c>
      <c r="C267" s="14" t="s">
        <v>14</v>
      </c>
      <c r="D267" s="26"/>
      <c r="E267" s="471">
        <f t="shared" si="19"/>
        <v>48370</v>
      </c>
      <c r="F267" s="16">
        <f t="shared" si="18"/>
        <v>0</v>
      </c>
      <c r="G267" s="8">
        <f t="shared" ref="G267:G330" si="20">+IF(F267&lt;&gt;0,1,0)</f>
        <v>0</v>
      </c>
    </row>
    <row r="268" spans="1:7" hidden="1" x14ac:dyDescent="0.25">
      <c r="A268" s="17" t="s">
        <v>387</v>
      </c>
      <c r="B268" s="25" t="s">
        <v>347</v>
      </c>
      <c r="C268" s="14" t="s">
        <v>14</v>
      </c>
      <c r="D268" s="26"/>
      <c r="E268" s="471">
        <f t="shared" si="19"/>
        <v>0</v>
      </c>
      <c r="F268" s="16">
        <f t="shared" si="18"/>
        <v>0</v>
      </c>
      <c r="G268" s="8">
        <f t="shared" si="20"/>
        <v>0</v>
      </c>
    </row>
    <row r="269" spans="1:7" hidden="1" x14ac:dyDescent="0.25">
      <c r="A269" s="17" t="s">
        <v>388</v>
      </c>
      <c r="B269" s="25" t="s">
        <v>348</v>
      </c>
      <c r="C269" s="14" t="s">
        <v>14</v>
      </c>
      <c r="D269" s="26"/>
      <c r="E269" s="15"/>
      <c r="F269" s="16">
        <f t="shared" si="18"/>
        <v>0</v>
      </c>
      <c r="G269" s="8">
        <f t="shared" si="20"/>
        <v>0</v>
      </c>
    </row>
    <row r="270" spans="1:7" hidden="1" x14ac:dyDescent="0.25">
      <c r="A270" s="17" t="s">
        <v>389</v>
      </c>
      <c r="B270" s="25" t="s">
        <v>349</v>
      </c>
      <c r="C270" s="14" t="s">
        <v>14</v>
      </c>
      <c r="D270" s="26"/>
      <c r="E270" s="15"/>
      <c r="F270" s="16">
        <f t="shared" si="18"/>
        <v>0</v>
      </c>
      <c r="G270" s="8">
        <f t="shared" si="20"/>
        <v>0</v>
      </c>
    </row>
    <row r="271" spans="1:7" hidden="1" x14ac:dyDescent="0.25">
      <c r="A271" s="17" t="s">
        <v>390</v>
      </c>
      <c r="B271" s="25" t="s">
        <v>350</v>
      </c>
      <c r="C271" s="14" t="s">
        <v>14</v>
      </c>
      <c r="D271" s="26"/>
      <c r="E271" s="15"/>
      <c r="F271" s="16">
        <f t="shared" si="18"/>
        <v>0</v>
      </c>
      <c r="G271" s="8">
        <f t="shared" si="20"/>
        <v>0</v>
      </c>
    </row>
    <row r="272" spans="1:7" hidden="1" x14ac:dyDescent="0.25">
      <c r="A272" s="17" t="s">
        <v>391</v>
      </c>
      <c r="B272" s="25" t="s">
        <v>351</v>
      </c>
      <c r="C272" s="14" t="s">
        <v>14</v>
      </c>
      <c r="D272" s="26"/>
      <c r="E272" s="15"/>
      <c r="F272" s="16">
        <f t="shared" si="18"/>
        <v>0</v>
      </c>
      <c r="G272" s="8">
        <f t="shared" si="20"/>
        <v>0</v>
      </c>
    </row>
    <row r="273" spans="1:7" hidden="1" x14ac:dyDescent="0.25">
      <c r="A273" s="17" t="s">
        <v>392</v>
      </c>
      <c r="B273" s="25" t="s">
        <v>352</v>
      </c>
      <c r="C273" s="14" t="s">
        <v>14</v>
      </c>
      <c r="D273" s="26"/>
      <c r="E273" s="15"/>
      <c r="F273" s="16">
        <f t="shared" si="18"/>
        <v>0</v>
      </c>
      <c r="G273" s="8">
        <f t="shared" si="20"/>
        <v>0</v>
      </c>
    </row>
    <row r="274" spans="1:7" hidden="1" x14ac:dyDescent="0.25">
      <c r="A274" s="17" t="s">
        <v>393</v>
      </c>
      <c r="B274" s="25" t="s">
        <v>353</v>
      </c>
      <c r="C274" s="14" t="s">
        <v>14</v>
      </c>
      <c r="D274" s="26"/>
      <c r="E274" s="15"/>
      <c r="F274" s="16">
        <f t="shared" si="18"/>
        <v>0</v>
      </c>
      <c r="G274" s="8">
        <f t="shared" si="20"/>
        <v>0</v>
      </c>
    </row>
    <row r="275" spans="1:7" hidden="1" x14ac:dyDescent="0.25">
      <c r="A275" s="17" t="s">
        <v>394</v>
      </c>
      <c r="B275" s="25" t="s">
        <v>354</v>
      </c>
      <c r="C275" s="14" t="s">
        <v>14</v>
      </c>
      <c r="D275" s="26"/>
      <c r="E275" s="15"/>
      <c r="F275" s="16">
        <f t="shared" si="18"/>
        <v>0</v>
      </c>
      <c r="G275" s="8">
        <f t="shared" si="20"/>
        <v>0</v>
      </c>
    </row>
    <row r="276" spans="1:7" hidden="1" x14ac:dyDescent="0.25">
      <c r="A276" s="12" t="s">
        <v>395</v>
      </c>
      <c r="B276" s="46" t="s">
        <v>396</v>
      </c>
      <c r="C276" s="14"/>
      <c r="D276" s="26"/>
      <c r="E276" s="15"/>
      <c r="F276" s="16"/>
      <c r="G276" s="8"/>
    </row>
    <row r="277" spans="1:7" hidden="1" x14ac:dyDescent="0.25">
      <c r="A277" s="17" t="s">
        <v>397</v>
      </c>
      <c r="B277" s="49" t="s">
        <v>6195</v>
      </c>
      <c r="C277" s="14" t="s">
        <v>37</v>
      </c>
      <c r="D277" s="26"/>
      <c r="E277" s="15"/>
      <c r="F277" s="16">
        <f t="shared" ref="F277:F288" si="21">+D277*E277</f>
        <v>0</v>
      </c>
      <c r="G277" s="8">
        <f t="shared" si="20"/>
        <v>0</v>
      </c>
    </row>
    <row r="278" spans="1:7" hidden="1" x14ac:dyDescent="0.25">
      <c r="A278" s="17" t="s">
        <v>398</v>
      </c>
      <c r="B278" s="49" t="s">
        <v>6196</v>
      </c>
      <c r="C278" s="14" t="s">
        <v>37</v>
      </c>
      <c r="D278" s="26"/>
      <c r="E278" s="15"/>
      <c r="F278" s="16">
        <f t="shared" si="21"/>
        <v>0</v>
      </c>
      <c r="G278" s="8">
        <f t="shared" si="20"/>
        <v>0</v>
      </c>
    </row>
    <row r="279" spans="1:7" hidden="1" x14ac:dyDescent="0.25">
      <c r="A279" s="17" t="s">
        <v>399</v>
      </c>
      <c r="B279" s="49" t="s">
        <v>6197</v>
      </c>
      <c r="C279" s="14" t="s">
        <v>37</v>
      </c>
      <c r="D279" s="26"/>
      <c r="E279" s="15">
        <f>+'APU CAP 3'!X1617</f>
        <v>9453</v>
      </c>
      <c r="F279" s="16">
        <f t="shared" si="21"/>
        <v>0</v>
      </c>
      <c r="G279" s="8">
        <f t="shared" si="20"/>
        <v>0</v>
      </c>
    </row>
    <row r="280" spans="1:7" hidden="1" x14ac:dyDescent="0.25">
      <c r="A280" s="17" t="s">
        <v>400</v>
      </c>
      <c r="B280" s="49" t="s">
        <v>6198</v>
      </c>
      <c r="C280" s="14" t="s">
        <v>37</v>
      </c>
      <c r="D280" s="26"/>
      <c r="E280" s="15">
        <f>+'APU CAP 3'!H1671</f>
        <v>18913</v>
      </c>
      <c r="F280" s="16">
        <f t="shared" si="21"/>
        <v>0</v>
      </c>
      <c r="G280" s="8">
        <f t="shared" si="20"/>
        <v>0</v>
      </c>
    </row>
    <row r="281" spans="1:7" hidden="1" x14ac:dyDescent="0.25">
      <c r="A281" s="17" t="s">
        <v>401</v>
      </c>
      <c r="B281" s="49" t="s">
        <v>6199</v>
      </c>
      <c r="C281" s="14" t="s">
        <v>37</v>
      </c>
      <c r="D281" s="26"/>
      <c r="E281" s="15">
        <f>+'APU CAP 3'!P1671</f>
        <v>21310</v>
      </c>
      <c r="F281" s="16">
        <f t="shared" si="21"/>
        <v>0</v>
      </c>
      <c r="G281" s="8">
        <f t="shared" si="20"/>
        <v>0</v>
      </c>
    </row>
    <row r="282" spans="1:7" hidden="1" x14ac:dyDescent="0.25">
      <c r="A282" s="17" t="s">
        <v>402</v>
      </c>
      <c r="B282" s="49" t="s">
        <v>6200</v>
      </c>
      <c r="C282" s="14" t="s">
        <v>37</v>
      </c>
      <c r="D282" s="26"/>
      <c r="E282" s="15">
        <f>+'APU CAP 3'!X1671</f>
        <v>24906</v>
      </c>
      <c r="F282" s="16">
        <f t="shared" si="21"/>
        <v>0</v>
      </c>
      <c r="G282" s="8">
        <f t="shared" si="20"/>
        <v>0</v>
      </c>
    </row>
    <row r="283" spans="1:7" hidden="1" x14ac:dyDescent="0.25">
      <c r="A283" s="17" t="s">
        <v>403</v>
      </c>
      <c r="B283" s="49" t="s">
        <v>6201</v>
      </c>
      <c r="C283" s="14" t="s">
        <v>37</v>
      </c>
      <c r="D283" s="26"/>
      <c r="E283" s="15">
        <f>+'APU CAP 3'!H1725</f>
        <v>36089</v>
      </c>
      <c r="F283" s="16">
        <f t="shared" si="21"/>
        <v>0</v>
      </c>
      <c r="G283" s="8">
        <f t="shared" si="20"/>
        <v>0</v>
      </c>
    </row>
    <row r="284" spans="1:7" hidden="1" x14ac:dyDescent="0.25">
      <c r="A284" s="17" t="s">
        <v>6207</v>
      </c>
      <c r="B284" s="49" t="s">
        <v>6202</v>
      </c>
      <c r="C284" s="14" t="s">
        <v>37</v>
      </c>
      <c r="D284" s="26"/>
      <c r="E284" s="15">
        <f>+'APU CAP 3'!P1725</f>
        <v>40185</v>
      </c>
      <c r="F284" s="16">
        <f t="shared" si="21"/>
        <v>0</v>
      </c>
      <c r="G284" s="8">
        <f t="shared" si="20"/>
        <v>0</v>
      </c>
    </row>
    <row r="285" spans="1:7" hidden="1" x14ac:dyDescent="0.25">
      <c r="A285" s="17" t="s">
        <v>6208</v>
      </c>
      <c r="B285" s="49" t="s">
        <v>6203</v>
      </c>
      <c r="C285" s="14" t="s">
        <v>37</v>
      </c>
      <c r="D285" s="26"/>
      <c r="E285" s="15">
        <f>+'APU CAP 3'!X1725</f>
        <v>46678</v>
      </c>
      <c r="F285" s="16">
        <f t="shared" si="21"/>
        <v>0</v>
      </c>
      <c r="G285" s="8">
        <f t="shared" si="20"/>
        <v>0</v>
      </c>
    </row>
    <row r="286" spans="1:7" hidden="1" x14ac:dyDescent="0.25">
      <c r="A286" s="17" t="s">
        <v>6209</v>
      </c>
      <c r="B286" s="49" t="s">
        <v>6204</v>
      </c>
      <c r="C286" s="14" t="s">
        <v>37</v>
      </c>
      <c r="D286" s="26"/>
      <c r="E286" s="15"/>
      <c r="F286" s="16">
        <f t="shared" si="21"/>
        <v>0</v>
      </c>
      <c r="G286" s="8">
        <f t="shared" si="20"/>
        <v>0</v>
      </c>
    </row>
    <row r="287" spans="1:7" hidden="1" x14ac:dyDescent="0.25">
      <c r="A287" s="17" t="s">
        <v>6210</v>
      </c>
      <c r="B287" s="49" t="s">
        <v>6205</v>
      </c>
      <c r="C287" s="14" t="s">
        <v>37</v>
      </c>
      <c r="D287" s="26"/>
      <c r="E287" s="15"/>
      <c r="F287" s="16">
        <f t="shared" si="21"/>
        <v>0</v>
      </c>
      <c r="G287" s="8">
        <f t="shared" si="20"/>
        <v>0</v>
      </c>
    </row>
    <row r="288" spans="1:7" hidden="1" x14ac:dyDescent="0.25">
      <c r="A288" s="17" t="s">
        <v>6211</v>
      </c>
      <c r="B288" s="49" t="s">
        <v>6206</v>
      </c>
      <c r="C288" s="14" t="s">
        <v>37</v>
      </c>
      <c r="D288" s="26"/>
      <c r="E288" s="15"/>
      <c r="F288" s="16">
        <f t="shared" si="21"/>
        <v>0</v>
      </c>
      <c r="G288" s="8">
        <f t="shared" si="20"/>
        <v>0</v>
      </c>
    </row>
    <row r="289" spans="1:7" hidden="1" x14ac:dyDescent="0.25">
      <c r="A289" s="12" t="s">
        <v>38</v>
      </c>
      <c r="B289" s="13" t="s">
        <v>404</v>
      </c>
      <c r="C289" s="14"/>
      <c r="D289" s="14"/>
      <c r="E289" s="15"/>
      <c r="F289" s="16"/>
      <c r="G289" s="8"/>
    </row>
    <row r="290" spans="1:7" hidden="1" x14ac:dyDescent="0.25">
      <c r="A290" s="27" t="s">
        <v>39</v>
      </c>
      <c r="B290" s="28" t="s">
        <v>6065</v>
      </c>
      <c r="C290" s="26"/>
      <c r="D290" s="26"/>
      <c r="E290" s="29"/>
      <c r="F290" s="30"/>
      <c r="G290" s="8">
        <f t="shared" si="20"/>
        <v>0</v>
      </c>
    </row>
    <row r="291" spans="1:7" hidden="1" x14ac:dyDescent="0.25">
      <c r="A291" s="31" t="s">
        <v>408</v>
      </c>
      <c r="B291" s="32" t="s">
        <v>6212</v>
      </c>
      <c r="C291" s="26" t="s">
        <v>37</v>
      </c>
      <c r="D291" s="26"/>
      <c r="E291" s="29">
        <f>+'APU CAP 3'!H1779</f>
        <v>72446</v>
      </c>
      <c r="F291" s="16">
        <f t="shared" ref="F291:F306" si="22">+D291*E291</f>
        <v>0</v>
      </c>
      <c r="G291" s="8">
        <f t="shared" si="20"/>
        <v>0</v>
      </c>
    </row>
    <row r="292" spans="1:7" hidden="1" x14ac:dyDescent="0.25">
      <c r="A292" s="31" t="s">
        <v>409</v>
      </c>
      <c r="B292" s="32" t="s">
        <v>6213</v>
      </c>
      <c r="C292" s="26" t="s">
        <v>37</v>
      </c>
      <c r="D292" s="26"/>
      <c r="E292" s="29">
        <f>+'APU CAP 3'!H1833</f>
        <v>77036</v>
      </c>
      <c r="F292" s="16">
        <f t="shared" si="22"/>
        <v>0</v>
      </c>
      <c r="G292" s="8">
        <f t="shared" si="20"/>
        <v>0</v>
      </c>
    </row>
    <row r="293" spans="1:7" hidden="1" x14ac:dyDescent="0.25">
      <c r="A293" s="31" t="s">
        <v>40</v>
      </c>
      <c r="B293" s="32" t="s">
        <v>6066</v>
      </c>
      <c r="C293" s="26" t="s">
        <v>37</v>
      </c>
      <c r="D293" s="26"/>
      <c r="E293" s="29">
        <f>+'APU CAP 3'!P1887</f>
        <v>129880</v>
      </c>
      <c r="F293" s="16">
        <f t="shared" si="22"/>
        <v>0</v>
      </c>
      <c r="G293" s="8">
        <f t="shared" si="20"/>
        <v>0</v>
      </c>
    </row>
    <row r="294" spans="1:7" hidden="1" x14ac:dyDescent="0.25">
      <c r="A294" s="31" t="s">
        <v>410</v>
      </c>
      <c r="B294" s="32" t="s">
        <v>6067</v>
      </c>
      <c r="C294" s="26" t="s">
        <v>37</v>
      </c>
      <c r="D294" s="26"/>
      <c r="E294" s="29"/>
      <c r="F294" s="16">
        <f t="shared" si="22"/>
        <v>0</v>
      </c>
      <c r="G294" s="8">
        <f t="shared" si="20"/>
        <v>0</v>
      </c>
    </row>
    <row r="295" spans="1:7" hidden="1" x14ac:dyDescent="0.25">
      <c r="A295" s="31" t="s">
        <v>411</v>
      </c>
      <c r="B295" s="32" t="s">
        <v>6069</v>
      </c>
      <c r="C295" s="26" t="s">
        <v>37</v>
      </c>
      <c r="D295" s="26"/>
      <c r="E295" s="29"/>
      <c r="F295" s="16">
        <f t="shared" si="22"/>
        <v>0</v>
      </c>
      <c r="G295" s="8">
        <f t="shared" si="20"/>
        <v>0</v>
      </c>
    </row>
    <row r="296" spans="1:7" hidden="1" x14ac:dyDescent="0.25">
      <c r="A296" s="31" t="s">
        <v>412</v>
      </c>
      <c r="B296" s="32" t="s">
        <v>6068</v>
      </c>
      <c r="C296" s="26" t="s">
        <v>37</v>
      </c>
      <c r="D296" s="26"/>
      <c r="E296" s="29"/>
      <c r="F296" s="16">
        <f t="shared" si="22"/>
        <v>0</v>
      </c>
      <c r="G296" s="8">
        <f t="shared" si="20"/>
        <v>0</v>
      </c>
    </row>
    <row r="297" spans="1:7" hidden="1" x14ac:dyDescent="0.25">
      <c r="A297" s="31" t="s">
        <v>413</v>
      </c>
      <c r="B297" s="32" t="s">
        <v>6070</v>
      </c>
      <c r="C297" s="26" t="s">
        <v>37</v>
      </c>
      <c r="D297" s="26"/>
      <c r="E297" s="29"/>
      <c r="F297" s="16">
        <f t="shared" si="22"/>
        <v>0</v>
      </c>
      <c r="G297" s="8">
        <f t="shared" si="20"/>
        <v>0</v>
      </c>
    </row>
    <row r="298" spans="1:7" hidden="1" x14ac:dyDescent="0.25">
      <c r="A298" s="31" t="s">
        <v>414</v>
      </c>
      <c r="B298" s="32" t="s">
        <v>6071</v>
      </c>
      <c r="C298" s="26" t="s">
        <v>37</v>
      </c>
      <c r="D298" s="26"/>
      <c r="E298" s="29"/>
      <c r="F298" s="16">
        <f t="shared" si="22"/>
        <v>0</v>
      </c>
      <c r="G298" s="8">
        <f t="shared" si="20"/>
        <v>0</v>
      </c>
    </row>
    <row r="299" spans="1:7" hidden="1" x14ac:dyDescent="0.25">
      <c r="A299" s="31" t="s">
        <v>415</v>
      </c>
      <c r="B299" s="32" t="s">
        <v>6214</v>
      </c>
      <c r="C299" s="26" t="s">
        <v>37</v>
      </c>
      <c r="D299" s="26"/>
      <c r="E299" s="29">
        <f>+'APU CAP 3'!H1887</f>
        <v>118326</v>
      </c>
      <c r="F299" s="16">
        <f t="shared" si="22"/>
        <v>0</v>
      </c>
      <c r="G299" s="8">
        <f t="shared" si="20"/>
        <v>0</v>
      </c>
    </row>
    <row r="300" spans="1:7" hidden="1" x14ac:dyDescent="0.25">
      <c r="A300" s="31" t="s">
        <v>416</v>
      </c>
      <c r="B300" s="32" t="s">
        <v>6215</v>
      </c>
      <c r="C300" s="26" t="s">
        <v>37</v>
      </c>
      <c r="D300" s="26"/>
      <c r="E300" s="29">
        <f>+'APU CAP 3'!H1941</f>
        <v>171706</v>
      </c>
      <c r="F300" s="16">
        <f t="shared" si="22"/>
        <v>0</v>
      </c>
      <c r="G300" s="8">
        <f t="shared" si="20"/>
        <v>0</v>
      </c>
    </row>
    <row r="301" spans="1:7" hidden="1" x14ac:dyDescent="0.25">
      <c r="A301" s="31" t="s">
        <v>417</v>
      </c>
      <c r="B301" s="32" t="s">
        <v>6072</v>
      </c>
      <c r="C301" s="26" t="s">
        <v>37</v>
      </c>
      <c r="D301" s="26"/>
      <c r="E301" s="29"/>
      <c r="F301" s="16">
        <f t="shared" si="22"/>
        <v>0</v>
      </c>
      <c r="G301" s="8">
        <f t="shared" si="20"/>
        <v>0</v>
      </c>
    </row>
    <row r="302" spans="1:7" hidden="1" x14ac:dyDescent="0.25">
      <c r="A302" s="31" t="s">
        <v>418</v>
      </c>
      <c r="B302" s="32" t="s">
        <v>6073</v>
      </c>
      <c r="C302" s="26" t="s">
        <v>37</v>
      </c>
      <c r="D302" s="26"/>
      <c r="E302" s="29"/>
      <c r="F302" s="16">
        <f t="shared" si="22"/>
        <v>0</v>
      </c>
      <c r="G302" s="8">
        <f t="shared" si="20"/>
        <v>0</v>
      </c>
    </row>
    <row r="303" spans="1:7" hidden="1" x14ac:dyDescent="0.25">
      <c r="A303" s="31" t="s">
        <v>419</v>
      </c>
      <c r="B303" s="32" t="s">
        <v>6074</v>
      </c>
      <c r="C303" s="26" t="s">
        <v>37</v>
      </c>
      <c r="D303" s="26"/>
      <c r="E303" s="29"/>
      <c r="F303" s="16">
        <f t="shared" si="22"/>
        <v>0</v>
      </c>
      <c r="G303" s="8">
        <f t="shared" si="20"/>
        <v>0</v>
      </c>
    </row>
    <row r="304" spans="1:7" hidden="1" x14ac:dyDescent="0.25">
      <c r="A304" s="31" t="s">
        <v>420</v>
      </c>
      <c r="B304" s="32" t="s">
        <v>6075</v>
      </c>
      <c r="C304" s="26" t="s">
        <v>37</v>
      </c>
      <c r="D304" s="26"/>
      <c r="E304" s="29"/>
      <c r="F304" s="16">
        <f t="shared" si="22"/>
        <v>0</v>
      </c>
      <c r="G304" s="8">
        <f t="shared" si="20"/>
        <v>0</v>
      </c>
    </row>
    <row r="305" spans="1:7" hidden="1" x14ac:dyDescent="0.25">
      <c r="A305" s="31" t="s">
        <v>421</v>
      </c>
      <c r="B305" s="32" t="s">
        <v>6076</v>
      </c>
      <c r="C305" s="26" t="s">
        <v>37</v>
      </c>
      <c r="D305" s="26"/>
      <c r="E305" s="29"/>
      <c r="F305" s="16">
        <f t="shared" si="22"/>
        <v>0</v>
      </c>
      <c r="G305" s="8">
        <f t="shared" si="20"/>
        <v>0</v>
      </c>
    </row>
    <row r="306" spans="1:7" hidden="1" x14ac:dyDescent="0.25">
      <c r="A306" s="31" t="s">
        <v>422</v>
      </c>
      <c r="B306" s="32" t="s">
        <v>6077</v>
      </c>
      <c r="C306" s="26" t="s">
        <v>37</v>
      </c>
      <c r="D306" s="26"/>
      <c r="E306" s="29"/>
      <c r="F306" s="16">
        <f t="shared" si="22"/>
        <v>0</v>
      </c>
      <c r="G306" s="8">
        <f t="shared" si="20"/>
        <v>0</v>
      </c>
    </row>
    <row r="307" spans="1:7" hidden="1" x14ac:dyDescent="0.25">
      <c r="A307" s="27" t="s">
        <v>6078</v>
      </c>
      <c r="B307" s="455" t="s">
        <v>6079</v>
      </c>
      <c r="C307" s="26"/>
      <c r="D307" s="26"/>
      <c r="E307" s="456"/>
      <c r="F307" s="457"/>
      <c r="G307" s="8"/>
    </row>
    <row r="308" spans="1:7" hidden="1" x14ac:dyDescent="0.25">
      <c r="A308" s="31" t="s">
        <v>6080</v>
      </c>
      <c r="B308" s="32" t="s">
        <v>6081</v>
      </c>
      <c r="C308" s="26" t="s">
        <v>37</v>
      </c>
      <c r="D308" s="26"/>
      <c r="E308" s="456">
        <f>+'APU CAP 3'!P1779</f>
        <v>72446</v>
      </c>
      <c r="F308" s="457">
        <f t="shared" ref="F308:F327" si="23">+D308*E308</f>
        <v>0</v>
      </c>
      <c r="G308" s="8">
        <f t="shared" si="20"/>
        <v>0</v>
      </c>
    </row>
    <row r="309" spans="1:7" hidden="1" x14ac:dyDescent="0.25">
      <c r="A309" s="31" t="s">
        <v>6082</v>
      </c>
      <c r="B309" s="32" t="s">
        <v>6083</v>
      </c>
      <c r="C309" s="26" t="s">
        <v>37</v>
      </c>
      <c r="D309" s="26"/>
      <c r="E309" s="456">
        <f>+'APU CAP 3'!P1833</f>
        <v>79036</v>
      </c>
      <c r="F309" s="457">
        <f t="shared" si="23"/>
        <v>0</v>
      </c>
      <c r="G309" s="8">
        <f t="shared" si="20"/>
        <v>0</v>
      </c>
    </row>
    <row r="310" spans="1:7" hidden="1" x14ac:dyDescent="0.25">
      <c r="A310" s="31" t="s">
        <v>6084</v>
      </c>
      <c r="B310" s="32" t="s">
        <v>6085</v>
      </c>
      <c r="C310" s="26" t="s">
        <v>37</v>
      </c>
      <c r="D310" s="26"/>
      <c r="E310" s="456">
        <f>+'APU CAP 3'!P1887</f>
        <v>129880</v>
      </c>
      <c r="F310" s="457">
        <f t="shared" si="23"/>
        <v>0</v>
      </c>
      <c r="G310" s="8">
        <f t="shared" si="20"/>
        <v>0</v>
      </c>
    </row>
    <row r="311" spans="1:7" hidden="1" x14ac:dyDescent="0.25">
      <c r="A311" s="31" t="s">
        <v>6086</v>
      </c>
      <c r="B311" s="32" t="s">
        <v>6087</v>
      </c>
      <c r="C311" s="26" t="s">
        <v>37</v>
      </c>
      <c r="D311" s="26"/>
      <c r="E311" s="456"/>
      <c r="F311" s="457">
        <f t="shared" si="23"/>
        <v>0</v>
      </c>
      <c r="G311" s="8">
        <f t="shared" si="20"/>
        <v>0</v>
      </c>
    </row>
    <row r="312" spans="1:7" hidden="1" x14ac:dyDescent="0.25">
      <c r="A312" s="31" t="s">
        <v>6088</v>
      </c>
      <c r="B312" s="32" t="s">
        <v>6089</v>
      </c>
      <c r="C312" s="26" t="s">
        <v>37</v>
      </c>
      <c r="D312" s="26"/>
      <c r="E312" s="456">
        <f>+'APU CAP 3'!X1779</f>
        <v>75036</v>
      </c>
      <c r="F312" s="457">
        <f t="shared" si="23"/>
        <v>0</v>
      </c>
      <c r="G312" s="8">
        <f t="shared" si="20"/>
        <v>0</v>
      </c>
    </row>
    <row r="313" spans="1:7" hidden="1" x14ac:dyDescent="0.25">
      <c r="A313" s="31" t="s">
        <v>6090</v>
      </c>
      <c r="B313" s="32" t="s">
        <v>6091</v>
      </c>
      <c r="C313" s="26" t="s">
        <v>37</v>
      </c>
      <c r="D313" s="26"/>
      <c r="E313" s="456">
        <f>+'APU CAP 3'!X1833</f>
        <v>87510</v>
      </c>
      <c r="F313" s="457">
        <f t="shared" si="23"/>
        <v>0</v>
      </c>
      <c r="G313" s="8">
        <f t="shared" si="20"/>
        <v>0</v>
      </c>
    </row>
    <row r="314" spans="1:7" hidden="1" x14ac:dyDescent="0.25">
      <c r="A314" s="31" t="s">
        <v>6092</v>
      </c>
      <c r="B314" s="32" t="s">
        <v>6093</v>
      </c>
      <c r="C314" s="26" t="s">
        <v>37</v>
      </c>
      <c r="D314" s="26"/>
      <c r="E314" s="456">
        <f>+'APU CAP 3'!X1887</f>
        <v>157302</v>
      </c>
      <c r="F314" s="457">
        <f t="shared" si="23"/>
        <v>0</v>
      </c>
      <c r="G314" s="8">
        <f t="shared" si="20"/>
        <v>0</v>
      </c>
    </row>
    <row r="315" spans="1:7" hidden="1" x14ac:dyDescent="0.25">
      <c r="A315" s="31" t="s">
        <v>6094</v>
      </c>
      <c r="B315" s="32" t="s">
        <v>6095</v>
      </c>
      <c r="C315" s="26" t="s">
        <v>37</v>
      </c>
      <c r="D315" s="26"/>
      <c r="E315" s="456"/>
      <c r="F315" s="457">
        <f t="shared" si="23"/>
        <v>0</v>
      </c>
      <c r="G315" s="8">
        <f t="shared" si="20"/>
        <v>0</v>
      </c>
    </row>
    <row r="316" spans="1:7" hidden="1" x14ac:dyDescent="0.25">
      <c r="A316" s="31" t="s">
        <v>6096</v>
      </c>
      <c r="B316" s="32" t="s">
        <v>6097</v>
      </c>
      <c r="C316" s="26" t="s">
        <v>37</v>
      </c>
      <c r="D316" s="26"/>
      <c r="E316" s="456">
        <f>+'APU CAP 3'!AF1779</f>
        <v>87510</v>
      </c>
      <c r="F316" s="457">
        <f t="shared" si="23"/>
        <v>0</v>
      </c>
      <c r="G316" s="8">
        <f t="shared" si="20"/>
        <v>0</v>
      </c>
    </row>
    <row r="317" spans="1:7" hidden="1" x14ac:dyDescent="0.25">
      <c r="A317" s="31" t="s">
        <v>6098</v>
      </c>
      <c r="B317" s="32" t="s">
        <v>6099</v>
      </c>
      <c r="C317" s="26" t="s">
        <v>37</v>
      </c>
      <c r="D317" s="26"/>
      <c r="E317" s="456">
        <f>+'APU CAP 3'!AF1833</f>
        <v>103458</v>
      </c>
      <c r="F317" s="457">
        <f t="shared" si="23"/>
        <v>0</v>
      </c>
      <c r="G317" s="8">
        <f t="shared" si="20"/>
        <v>0</v>
      </c>
    </row>
    <row r="318" spans="1:7" hidden="1" x14ac:dyDescent="0.25">
      <c r="A318" s="31" t="s">
        <v>6100</v>
      </c>
      <c r="B318" s="32" t="s">
        <v>6101</v>
      </c>
      <c r="C318" s="26" t="s">
        <v>37</v>
      </c>
      <c r="D318" s="26"/>
      <c r="E318" s="456">
        <f>+'APU CAP 3'!AF1887</f>
        <v>177250</v>
      </c>
      <c r="F318" s="457">
        <f t="shared" si="23"/>
        <v>0</v>
      </c>
      <c r="G318" s="8">
        <f t="shared" si="20"/>
        <v>0</v>
      </c>
    </row>
    <row r="319" spans="1:7" hidden="1" x14ac:dyDescent="0.25">
      <c r="A319" s="31" t="s">
        <v>6102</v>
      </c>
      <c r="B319" s="32" t="s">
        <v>6103</v>
      </c>
      <c r="C319" s="26" t="s">
        <v>37</v>
      </c>
      <c r="D319" s="26"/>
      <c r="E319" s="456"/>
      <c r="F319" s="457">
        <f t="shared" si="23"/>
        <v>0</v>
      </c>
      <c r="G319" s="8">
        <f t="shared" si="20"/>
        <v>0</v>
      </c>
    </row>
    <row r="320" spans="1:7" hidden="1" x14ac:dyDescent="0.25">
      <c r="A320" s="31" t="s">
        <v>6104</v>
      </c>
      <c r="B320" s="32" t="s">
        <v>6105</v>
      </c>
      <c r="C320" s="26" t="s">
        <v>37</v>
      </c>
      <c r="D320" s="26"/>
      <c r="E320" s="456">
        <f>+'APU CAP 3'!AN1779</f>
        <v>103458</v>
      </c>
      <c r="F320" s="457">
        <f t="shared" si="23"/>
        <v>0</v>
      </c>
      <c r="G320" s="8">
        <f t="shared" si="20"/>
        <v>0</v>
      </c>
    </row>
    <row r="321" spans="1:7" hidden="1" x14ac:dyDescent="0.25">
      <c r="A321" s="31" t="s">
        <v>6106</v>
      </c>
      <c r="B321" s="32" t="s">
        <v>6107</v>
      </c>
      <c r="C321" s="26" t="s">
        <v>37</v>
      </c>
      <c r="D321" s="26"/>
      <c r="E321" s="456">
        <f>+'APU CAP 3'!AN1833</f>
        <v>127380</v>
      </c>
      <c r="F321" s="457">
        <f t="shared" si="23"/>
        <v>0</v>
      </c>
      <c r="G321" s="8">
        <f t="shared" si="20"/>
        <v>0</v>
      </c>
    </row>
    <row r="322" spans="1:7" hidden="1" x14ac:dyDescent="0.25">
      <c r="A322" s="31" t="s">
        <v>6108</v>
      </c>
      <c r="B322" s="32" t="s">
        <v>6109</v>
      </c>
      <c r="C322" s="26" t="s">
        <v>37</v>
      </c>
      <c r="D322" s="26"/>
      <c r="E322" s="456">
        <f>+'APU CAP 3'!AN1887</f>
        <v>205935</v>
      </c>
      <c r="F322" s="457">
        <f t="shared" si="23"/>
        <v>0</v>
      </c>
      <c r="G322" s="8">
        <f t="shared" si="20"/>
        <v>0</v>
      </c>
    </row>
    <row r="323" spans="1:7" hidden="1" x14ac:dyDescent="0.25">
      <c r="A323" s="31" t="s">
        <v>6110</v>
      </c>
      <c r="B323" s="32" t="s">
        <v>6111</v>
      </c>
      <c r="C323" s="26" t="s">
        <v>37</v>
      </c>
      <c r="D323" s="26"/>
      <c r="E323" s="456"/>
      <c r="F323" s="457">
        <f t="shared" si="23"/>
        <v>0</v>
      </c>
      <c r="G323" s="8">
        <f t="shared" si="20"/>
        <v>0</v>
      </c>
    </row>
    <row r="324" spans="1:7" hidden="1" x14ac:dyDescent="0.25">
      <c r="A324" s="31" t="s">
        <v>6112</v>
      </c>
      <c r="B324" s="32" t="s">
        <v>6113</v>
      </c>
      <c r="C324" s="26" t="s">
        <v>37</v>
      </c>
      <c r="D324" s="26"/>
      <c r="E324" s="456">
        <f>+'APU CAP 3'!AV1779</f>
        <v>127380</v>
      </c>
      <c r="F324" s="457">
        <f t="shared" si="23"/>
        <v>0</v>
      </c>
      <c r="G324" s="8">
        <f t="shared" si="20"/>
        <v>0</v>
      </c>
    </row>
    <row r="325" spans="1:7" hidden="1" x14ac:dyDescent="0.25">
      <c r="A325" s="31" t="s">
        <v>6114</v>
      </c>
      <c r="B325" s="32" t="s">
        <v>6115</v>
      </c>
      <c r="C325" s="26" t="s">
        <v>37</v>
      </c>
      <c r="D325" s="26"/>
      <c r="E325" s="456">
        <f>+'APU CAP 3'!AV1833</f>
        <v>152302</v>
      </c>
      <c r="F325" s="457">
        <f t="shared" si="23"/>
        <v>0</v>
      </c>
      <c r="G325" s="8">
        <f t="shared" si="20"/>
        <v>0</v>
      </c>
    </row>
    <row r="326" spans="1:7" hidden="1" x14ac:dyDescent="0.25">
      <c r="A326" s="31" t="s">
        <v>6116</v>
      </c>
      <c r="B326" s="32" t="s">
        <v>6117</v>
      </c>
      <c r="C326" s="26" t="s">
        <v>37</v>
      </c>
      <c r="D326" s="26"/>
      <c r="E326" s="456">
        <f>+'APU CAP 3'!AV1887</f>
        <v>291065</v>
      </c>
      <c r="F326" s="457">
        <f t="shared" si="23"/>
        <v>0</v>
      </c>
      <c r="G326" s="8">
        <f t="shared" si="20"/>
        <v>0</v>
      </c>
    </row>
    <row r="327" spans="1:7" hidden="1" x14ac:dyDescent="0.25">
      <c r="A327" s="31" t="s">
        <v>6118</v>
      </c>
      <c r="B327" s="32" t="s">
        <v>6119</v>
      </c>
      <c r="C327" s="26" t="s">
        <v>37</v>
      </c>
      <c r="D327" s="26"/>
      <c r="E327" s="456"/>
      <c r="F327" s="457">
        <f t="shared" si="23"/>
        <v>0</v>
      </c>
      <c r="G327" s="8">
        <f t="shared" si="20"/>
        <v>0</v>
      </c>
    </row>
    <row r="328" spans="1:7" hidden="1" x14ac:dyDescent="0.25">
      <c r="A328" s="27" t="s">
        <v>423</v>
      </c>
      <c r="B328" s="48" t="s">
        <v>424</v>
      </c>
      <c r="C328" s="26"/>
      <c r="D328" s="26"/>
      <c r="E328" s="29"/>
      <c r="F328" s="30"/>
      <c r="G328" s="8">
        <f t="shared" si="20"/>
        <v>0</v>
      </c>
    </row>
    <row r="329" spans="1:7" hidden="1" x14ac:dyDescent="0.25">
      <c r="A329" s="31" t="s">
        <v>425</v>
      </c>
      <c r="B329" s="47" t="s">
        <v>429</v>
      </c>
      <c r="C329" s="26" t="s">
        <v>37</v>
      </c>
      <c r="D329" s="26"/>
      <c r="E329" s="29"/>
      <c r="F329" s="16">
        <f>+D329*E329</f>
        <v>0</v>
      </c>
      <c r="G329" s="8">
        <f t="shared" si="20"/>
        <v>0</v>
      </c>
    </row>
    <row r="330" spans="1:7" hidden="1" x14ac:dyDescent="0.25">
      <c r="A330" s="31" t="s">
        <v>430</v>
      </c>
      <c r="B330" s="47" t="s">
        <v>426</v>
      </c>
      <c r="C330" s="26" t="s">
        <v>37</v>
      </c>
      <c r="D330" s="26"/>
      <c r="E330" s="29">
        <f>+'APU CAP 3'!H2049</f>
        <v>207729</v>
      </c>
      <c r="F330" s="16">
        <f>+D330*E330</f>
        <v>0</v>
      </c>
      <c r="G330" s="8">
        <f t="shared" si="20"/>
        <v>0</v>
      </c>
    </row>
    <row r="331" spans="1:7" hidden="1" x14ac:dyDescent="0.25">
      <c r="A331" s="31" t="s">
        <v>431</v>
      </c>
      <c r="B331" s="47" t="s">
        <v>427</v>
      </c>
      <c r="C331" s="26" t="s">
        <v>37</v>
      </c>
      <c r="D331" s="26"/>
      <c r="E331" s="29"/>
      <c r="F331" s="16">
        <f>+D331*E331</f>
        <v>0</v>
      </c>
      <c r="G331" s="8">
        <f t="shared" ref="G331:G394" si="24">+IF(F331&lt;&gt;0,1,0)</f>
        <v>0</v>
      </c>
    </row>
    <row r="332" spans="1:7" hidden="1" x14ac:dyDescent="0.25">
      <c r="A332" s="31" t="s">
        <v>432</v>
      </c>
      <c r="B332" s="47" t="s">
        <v>428</v>
      </c>
      <c r="C332" s="26" t="s">
        <v>37</v>
      </c>
      <c r="D332" s="26"/>
      <c r="E332" s="29">
        <f>+'APU CAP 3'!H1995</f>
        <v>275719</v>
      </c>
      <c r="F332" s="16">
        <f>+D332*E332</f>
        <v>0</v>
      </c>
      <c r="G332" s="8">
        <f t="shared" si="24"/>
        <v>0</v>
      </c>
    </row>
    <row r="333" spans="1:7" hidden="1" x14ac:dyDescent="0.25">
      <c r="A333" s="27" t="s">
        <v>41</v>
      </c>
      <c r="B333" s="48" t="s">
        <v>444</v>
      </c>
      <c r="C333" s="26"/>
      <c r="D333" s="26"/>
      <c r="E333" s="29"/>
      <c r="F333" s="30"/>
      <c r="G333" s="8">
        <f t="shared" si="24"/>
        <v>0</v>
      </c>
    </row>
    <row r="334" spans="1:7" hidden="1" x14ac:dyDescent="0.25">
      <c r="A334" s="12" t="s">
        <v>445</v>
      </c>
      <c r="B334" s="13" t="s">
        <v>452</v>
      </c>
      <c r="C334" s="14"/>
      <c r="D334" s="14"/>
      <c r="E334" s="15"/>
      <c r="F334" s="16"/>
      <c r="G334" s="8">
        <f t="shared" si="24"/>
        <v>0</v>
      </c>
    </row>
    <row r="335" spans="1:7" hidden="1" x14ac:dyDescent="0.25">
      <c r="A335" s="17" t="s">
        <v>446</v>
      </c>
      <c r="B335" s="18" t="s">
        <v>433</v>
      </c>
      <c r="C335" s="26" t="s">
        <v>37</v>
      </c>
      <c r="D335" s="14"/>
      <c r="E335" s="15">
        <f>+'APU CAP 3'!H2103</f>
        <v>43956</v>
      </c>
      <c r="F335" s="16">
        <f t="shared" ref="F335:F340" si="25">+D335*E335</f>
        <v>0</v>
      </c>
      <c r="G335" s="8">
        <f t="shared" si="24"/>
        <v>0</v>
      </c>
    </row>
    <row r="336" spans="1:7" hidden="1" x14ac:dyDescent="0.25">
      <c r="A336" s="17" t="s">
        <v>447</v>
      </c>
      <c r="B336" s="18" t="s">
        <v>439</v>
      </c>
      <c r="C336" s="26" t="s">
        <v>37</v>
      </c>
      <c r="D336" s="14"/>
      <c r="E336" s="15">
        <f>+'APU CAP 3'!H2157</f>
        <v>71359</v>
      </c>
      <c r="F336" s="16">
        <f t="shared" si="25"/>
        <v>0</v>
      </c>
      <c r="G336" s="8">
        <f t="shared" si="24"/>
        <v>0</v>
      </c>
    </row>
    <row r="337" spans="1:7" hidden="1" x14ac:dyDescent="0.25">
      <c r="A337" s="17" t="s">
        <v>448</v>
      </c>
      <c r="B337" s="18" t="s">
        <v>440</v>
      </c>
      <c r="C337" s="26" t="s">
        <v>37</v>
      </c>
      <c r="D337" s="14"/>
      <c r="E337" s="15">
        <f>+'APU CAP 3'!H2211</f>
        <v>145566</v>
      </c>
      <c r="F337" s="16">
        <f t="shared" si="25"/>
        <v>0</v>
      </c>
      <c r="G337" s="8">
        <f t="shared" si="24"/>
        <v>0</v>
      </c>
    </row>
    <row r="338" spans="1:7" hidden="1" x14ac:dyDescent="0.25">
      <c r="A338" s="17" t="s">
        <v>449</v>
      </c>
      <c r="B338" s="18" t="s">
        <v>441</v>
      </c>
      <c r="C338" s="26" t="s">
        <v>37</v>
      </c>
      <c r="D338" s="14"/>
      <c r="E338" s="15"/>
      <c r="F338" s="16">
        <f t="shared" si="25"/>
        <v>0</v>
      </c>
      <c r="G338" s="8">
        <f t="shared" si="24"/>
        <v>0</v>
      </c>
    </row>
    <row r="339" spans="1:7" hidden="1" x14ac:dyDescent="0.25">
      <c r="A339" s="17" t="s">
        <v>450</v>
      </c>
      <c r="B339" s="18" t="s">
        <v>442</v>
      </c>
      <c r="C339" s="26" t="s">
        <v>37</v>
      </c>
      <c r="D339" s="14"/>
      <c r="E339" s="15"/>
      <c r="F339" s="16">
        <f t="shared" si="25"/>
        <v>0</v>
      </c>
      <c r="G339" s="8">
        <f t="shared" si="24"/>
        <v>0</v>
      </c>
    </row>
    <row r="340" spans="1:7" hidden="1" x14ac:dyDescent="0.25">
      <c r="A340" s="17" t="s">
        <v>451</v>
      </c>
      <c r="B340" s="18" t="s">
        <v>443</v>
      </c>
      <c r="C340" s="26" t="s">
        <v>37</v>
      </c>
      <c r="D340" s="14"/>
      <c r="E340" s="15"/>
      <c r="F340" s="16">
        <f t="shared" si="25"/>
        <v>0</v>
      </c>
      <c r="G340" s="8">
        <f t="shared" si="24"/>
        <v>0</v>
      </c>
    </row>
    <row r="341" spans="1:7" hidden="1" x14ac:dyDescent="0.25">
      <c r="A341" s="12" t="s">
        <v>434</v>
      </c>
      <c r="B341" s="13" t="s">
        <v>453</v>
      </c>
      <c r="C341" s="14"/>
      <c r="D341" s="14"/>
      <c r="E341" s="15"/>
      <c r="F341" s="16"/>
      <c r="G341" s="8">
        <f t="shared" si="24"/>
        <v>0</v>
      </c>
    </row>
    <row r="342" spans="1:7" hidden="1" x14ac:dyDescent="0.25">
      <c r="A342" s="17" t="s">
        <v>454</v>
      </c>
      <c r="B342" s="18" t="s">
        <v>455</v>
      </c>
      <c r="C342" s="26" t="s">
        <v>37</v>
      </c>
      <c r="D342" s="14"/>
      <c r="E342" s="15">
        <f>+'APU CAP 3'!H2373</f>
        <v>15985</v>
      </c>
      <c r="F342" s="16">
        <f>+D342*E342</f>
        <v>0</v>
      </c>
      <c r="G342" s="8">
        <f t="shared" si="24"/>
        <v>0</v>
      </c>
    </row>
    <row r="343" spans="1:7" hidden="1" x14ac:dyDescent="0.25">
      <c r="A343" s="17" t="s">
        <v>457</v>
      </c>
      <c r="B343" s="18" t="s">
        <v>456</v>
      </c>
      <c r="C343" s="26" t="s">
        <v>37</v>
      </c>
      <c r="D343" s="14"/>
      <c r="E343" s="15">
        <f>+'APU CAP 3'!H2427</f>
        <v>16063</v>
      </c>
      <c r="F343" s="16">
        <f>+D343*E343</f>
        <v>0</v>
      </c>
      <c r="G343" s="8">
        <f t="shared" si="24"/>
        <v>0</v>
      </c>
    </row>
    <row r="344" spans="1:7" hidden="1" x14ac:dyDescent="0.25">
      <c r="A344" s="12" t="s">
        <v>435</v>
      </c>
      <c r="B344" s="13" t="s">
        <v>458</v>
      </c>
      <c r="C344" s="14"/>
      <c r="D344" s="14"/>
      <c r="E344" s="15"/>
      <c r="F344" s="16"/>
      <c r="G344" s="8">
        <f t="shared" si="24"/>
        <v>0</v>
      </c>
    </row>
    <row r="345" spans="1:7" hidden="1" x14ac:dyDescent="0.25">
      <c r="A345" s="17" t="s">
        <v>462</v>
      </c>
      <c r="B345" s="18" t="s">
        <v>459</v>
      </c>
      <c r="C345" s="26" t="s">
        <v>37</v>
      </c>
      <c r="D345" s="14"/>
      <c r="E345" s="15"/>
      <c r="F345" s="16">
        <f>+D345*E345</f>
        <v>0</v>
      </c>
      <c r="G345" s="8">
        <f t="shared" si="24"/>
        <v>0</v>
      </c>
    </row>
    <row r="346" spans="1:7" hidden="1" x14ac:dyDescent="0.25">
      <c r="A346" s="17" t="s">
        <v>463</v>
      </c>
      <c r="B346" s="18" t="s">
        <v>460</v>
      </c>
      <c r="C346" s="26" t="s">
        <v>37</v>
      </c>
      <c r="D346" s="14"/>
      <c r="E346" s="15"/>
      <c r="F346" s="16">
        <f>+D346*E346</f>
        <v>0</v>
      </c>
      <c r="G346" s="8">
        <f t="shared" si="24"/>
        <v>0</v>
      </c>
    </row>
    <row r="347" spans="1:7" hidden="1" x14ac:dyDescent="0.25">
      <c r="A347" s="17" t="s">
        <v>464</v>
      </c>
      <c r="B347" s="18" t="s">
        <v>461</v>
      </c>
      <c r="C347" s="26" t="s">
        <v>37</v>
      </c>
      <c r="D347" s="14"/>
      <c r="E347" s="15"/>
      <c r="F347" s="16">
        <f>+D347*E347</f>
        <v>0</v>
      </c>
      <c r="G347" s="8">
        <f t="shared" si="24"/>
        <v>0</v>
      </c>
    </row>
    <row r="348" spans="1:7" hidden="1" x14ac:dyDescent="0.25">
      <c r="A348" s="12" t="s">
        <v>436</v>
      </c>
      <c r="B348" s="13" t="s">
        <v>42</v>
      </c>
      <c r="C348" s="14"/>
      <c r="D348" s="14"/>
      <c r="E348" s="15"/>
      <c r="F348" s="16"/>
      <c r="G348" s="8">
        <f t="shared" si="24"/>
        <v>0</v>
      </c>
    </row>
    <row r="349" spans="1:7" hidden="1" x14ac:dyDescent="0.25">
      <c r="A349" s="17" t="s">
        <v>465</v>
      </c>
      <c r="B349" s="18" t="s">
        <v>466</v>
      </c>
      <c r="C349" s="26" t="s">
        <v>37</v>
      </c>
      <c r="D349" s="14"/>
      <c r="E349" s="15">
        <f>+'APU CAP 3'!H2643</f>
        <v>91711</v>
      </c>
      <c r="F349" s="16">
        <f>+D349*E349</f>
        <v>0</v>
      </c>
      <c r="G349" s="8">
        <f t="shared" si="24"/>
        <v>0</v>
      </c>
    </row>
    <row r="350" spans="1:7" hidden="1" x14ac:dyDescent="0.25">
      <c r="A350" s="17" t="s">
        <v>469</v>
      </c>
      <c r="B350" s="18" t="s">
        <v>467</v>
      </c>
      <c r="C350" s="26" t="s">
        <v>37</v>
      </c>
      <c r="D350" s="14"/>
      <c r="E350" s="15">
        <f>+'APU CAP 3'!H2697</f>
        <v>144818</v>
      </c>
      <c r="F350" s="16">
        <f>+D350*E350</f>
        <v>0</v>
      </c>
      <c r="G350" s="8">
        <f t="shared" si="24"/>
        <v>0</v>
      </c>
    </row>
    <row r="351" spans="1:7" hidden="1" x14ac:dyDescent="0.25">
      <c r="A351" s="17" t="s">
        <v>470</v>
      </c>
      <c r="B351" s="18" t="s">
        <v>468</v>
      </c>
      <c r="C351" s="26" t="s">
        <v>37</v>
      </c>
      <c r="D351" s="14"/>
      <c r="E351" s="15">
        <f>+'APU CAP 3'!H2751</f>
        <v>202673</v>
      </c>
      <c r="F351" s="16">
        <f>+D351*E351</f>
        <v>0</v>
      </c>
      <c r="G351" s="8">
        <f t="shared" si="24"/>
        <v>0</v>
      </c>
    </row>
    <row r="352" spans="1:7" hidden="1" x14ac:dyDescent="0.25">
      <c r="A352" s="12" t="s">
        <v>437</v>
      </c>
      <c r="B352" s="13" t="s">
        <v>471</v>
      </c>
      <c r="C352" s="14"/>
      <c r="D352" s="14"/>
      <c r="E352" s="15"/>
      <c r="F352" s="16"/>
      <c r="G352" s="8">
        <f t="shared" si="24"/>
        <v>0</v>
      </c>
    </row>
    <row r="353" spans="1:7" hidden="1" x14ac:dyDescent="0.25">
      <c r="A353" s="17" t="s">
        <v>472</v>
      </c>
      <c r="B353" s="18" t="s">
        <v>475</v>
      </c>
      <c r="C353" s="26" t="s">
        <v>37</v>
      </c>
      <c r="D353" s="14"/>
      <c r="E353" s="15">
        <f>+'APU CAP 3'!H2805</f>
        <v>343915</v>
      </c>
      <c r="F353" s="16">
        <f>+D353*E353</f>
        <v>0</v>
      </c>
      <c r="G353" s="8">
        <f t="shared" si="24"/>
        <v>0</v>
      </c>
    </row>
    <row r="354" spans="1:7" hidden="1" x14ac:dyDescent="0.25">
      <c r="A354" s="17" t="s">
        <v>473</v>
      </c>
      <c r="B354" s="18" t="s">
        <v>476</v>
      </c>
      <c r="C354" s="26" t="s">
        <v>37</v>
      </c>
      <c r="D354" s="14"/>
      <c r="E354" s="15">
        <f>+'APU CAP 3'!H2859</f>
        <v>403528</v>
      </c>
      <c r="F354" s="16">
        <f>+D354*E354</f>
        <v>0</v>
      </c>
      <c r="G354" s="8">
        <f t="shared" si="24"/>
        <v>0</v>
      </c>
    </row>
    <row r="355" spans="1:7" hidden="1" x14ac:dyDescent="0.25">
      <c r="A355" s="17" t="s">
        <v>474</v>
      </c>
      <c r="B355" s="18" t="s">
        <v>477</v>
      </c>
      <c r="C355" s="26" t="s">
        <v>37</v>
      </c>
      <c r="D355" s="14"/>
      <c r="E355" s="15">
        <f>+'APU CAP 3'!H2913</f>
        <v>604509</v>
      </c>
      <c r="F355" s="16">
        <f>+D355*E355</f>
        <v>0</v>
      </c>
      <c r="G355" s="8">
        <f t="shared" si="24"/>
        <v>0</v>
      </c>
    </row>
    <row r="356" spans="1:7" hidden="1" x14ac:dyDescent="0.25">
      <c r="A356" s="12" t="s">
        <v>438</v>
      </c>
      <c r="B356" s="13" t="s">
        <v>478</v>
      </c>
      <c r="C356" s="14"/>
      <c r="D356" s="14"/>
      <c r="E356" s="15"/>
      <c r="F356" s="16"/>
      <c r="G356" s="8">
        <f t="shared" si="24"/>
        <v>0</v>
      </c>
    </row>
    <row r="357" spans="1:7" hidden="1" x14ac:dyDescent="0.25">
      <c r="A357" s="17" t="s">
        <v>480</v>
      </c>
      <c r="B357" s="18" t="s">
        <v>479</v>
      </c>
      <c r="C357" s="26" t="s">
        <v>37</v>
      </c>
      <c r="D357" s="14"/>
      <c r="E357" s="15">
        <f>+'APU CAP 3'!H2967</f>
        <v>75906</v>
      </c>
      <c r="F357" s="16">
        <f>+D357*E357</f>
        <v>0</v>
      </c>
      <c r="G357" s="8">
        <f t="shared" si="24"/>
        <v>0</v>
      </c>
    </row>
    <row r="358" spans="1:7" hidden="1" x14ac:dyDescent="0.25">
      <c r="A358" s="17" t="s">
        <v>483</v>
      </c>
      <c r="B358" s="18" t="s">
        <v>481</v>
      </c>
      <c r="C358" s="26" t="s">
        <v>37</v>
      </c>
      <c r="D358" s="14"/>
      <c r="E358" s="15">
        <f>+'APU CAP 3'!H3021</f>
        <v>84714</v>
      </c>
      <c r="F358" s="16">
        <f>+D358*E358</f>
        <v>0</v>
      </c>
      <c r="G358" s="8">
        <f t="shared" si="24"/>
        <v>0</v>
      </c>
    </row>
    <row r="359" spans="1:7" hidden="1" x14ac:dyDescent="0.25">
      <c r="A359" s="17" t="s">
        <v>484</v>
      </c>
      <c r="B359" s="18" t="s">
        <v>482</v>
      </c>
      <c r="C359" s="26" t="s">
        <v>37</v>
      </c>
      <c r="D359" s="14"/>
      <c r="E359" s="15">
        <f>+'APU CAP 3'!H3075</f>
        <v>105559</v>
      </c>
      <c r="F359" s="16">
        <f>+D359*E359</f>
        <v>0</v>
      </c>
      <c r="G359" s="8">
        <f t="shared" si="24"/>
        <v>0</v>
      </c>
    </row>
    <row r="360" spans="1:7" hidden="1" x14ac:dyDescent="0.25">
      <c r="A360" s="17" t="s">
        <v>6120</v>
      </c>
      <c r="B360" s="18" t="s">
        <v>6121</v>
      </c>
      <c r="C360" s="26" t="s">
        <v>37</v>
      </c>
      <c r="D360" s="14"/>
      <c r="E360" s="441"/>
      <c r="F360" s="457">
        <f>+D360*E360</f>
        <v>0</v>
      </c>
      <c r="G360" s="8">
        <f t="shared" si="24"/>
        <v>0</v>
      </c>
    </row>
    <row r="361" spans="1:7" hidden="1" x14ac:dyDescent="0.25">
      <c r="A361" s="12" t="s">
        <v>500</v>
      </c>
      <c r="B361" s="13" t="s">
        <v>520</v>
      </c>
      <c r="C361" s="14"/>
      <c r="D361" s="14"/>
      <c r="E361" s="15"/>
      <c r="F361" s="16"/>
      <c r="G361" s="8">
        <f t="shared" si="24"/>
        <v>0</v>
      </c>
    </row>
    <row r="362" spans="1:7" hidden="1" x14ac:dyDescent="0.25">
      <c r="A362" s="17" t="s">
        <v>502</v>
      </c>
      <c r="B362" s="18" t="s">
        <v>494</v>
      </c>
      <c r="C362" s="26" t="s">
        <v>37</v>
      </c>
      <c r="D362" s="14"/>
      <c r="E362" s="15"/>
      <c r="F362" s="16">
        <f t="shared" ref="F362:F367" si="26">+D362*E362</f>
        <v>0</v>
      </c>
      <c r="G362" s="8">
        <f t="shared" si="24"/>
        <v>0</v>
      </c>
    </row>
    <row r="363" spans="1:7" hidden="1" x14ac:dyDescent="0.25">
      <c r="A363" s="17" t="s">
        <v>503</v>
      </c>
      <c r="B363" s="18" t="s">
        <v>493</v>
      </c>
      <c r="C363" s="26" t="s">
        <v>37</v>
      </c>
      <c r="D363" s="14"/>
      <c r="E363" s="15"/>
      <c r="F363" s="16">
        <f t="shared" si="26"/>
        <v>0</v>
      </c>
      <c r="G363" s="8">
        <f t="shared" si="24"/>
        <v>0</v>
      </c>
    </row>
    <row r="364" spans="1:7" hidden="1" x14ac:dyDescent="0.25">
      <c r="A364" s="17" t="s">
        <v>504</v>
      </c>
      <c r="B364" s="18" t="s">
        <v>495</v>
      </c>
      <c r="C364" s="26" t="s">
        <v>37</v>
      </c>
      <c r="D364" s="14"/>
      <c r="E364" s="15"/>
      <c r="F364" s="16">
        <f t="shared" si="26"/>
        <v>0</v>
      </c>
      <c r="G364" s="8">
        <f t="shared" si="24"/>
        <v>0</v>
      </c>
    </row>
    <row r="365" spans="1:7" hidden="1" x14ac:dyDescent="0.25">
      <c r="A365" s="17" t="s">
        <v>505</v>
      </c>
      <c r="B365" s="18" t="s">
        <v>496</v>
      </c>
      <c r="C365" s="26" t="s">
        <v>37</v>
      </c>
      <c r="D365" s="14"/>
      <c r="E365" s="15"/>
      <c r="F365" s="16">
        <f t="shared" si="26"/>
        <v>0</v>
      </c>
      <c r="G365" s="8">
        <f t="shared" si="24"/>
        <v>0</v>
      </c>
    </row>
    <row r="366" spans="1:7" hidden="1" x14ac:dyDescent="0.25">
      <c r="A366" s="17" t="s">
        <v>506</v>
      </c>
      <c r="B366" s="18" t="s">
        <v>497</v>
      </c>
      <c r="C366" s="26" t="s">
        <v>37</v>
      </c>
      <c r="D366" s="14"/>
      <c r="E366" s="15"/>
      <c r="F366" s="16">
        <f t="shared" si="26"/>
        <v>0</v>
      </c>
      <c r="G366" s="8">
        <f t="shared" si="24"/>
        <v>0</v>
      </c>
    </row>
    <row r="367" spans="1:7" hidden="1" x14ac:dyDescent="0.25">
      <c r="A367" s="17" t="s">
        <v>507</v>
      </c>
      <c r="B367" s="18" t="s">
        <v>498</v>
      </c>
      <c r="C367" s="26" t="s">
        <v>37</v>
      </c>
      <c r="D367" s="14"/>
      <c r="E367" s="15"/>
      <c r="F367" s="16">
        <f t="shared" si="26"/>
        <v>0</v>
      </c>
      <c r="G367" s="8">
        <f t="shared" si="24"/>
        <v>0</v>
      </c>
    </row>
    <row r="368" spans="1:7" hidden="1" x14ac:dyDescent="0.25">
      <c r="A368" s="12" t="s">
        <v>499</v>
      </c>
      <c r="B368" s="13" t="s">
        <v>513</v>
      </c>
      <c r="C368" s="26"/>
      <c r="D368" s="14"/>
      <c r="E368" s="15"/>
      <c r="F368" s="16"/>
      <c r="G368" s="8">
        <f t="shared" si="24"/>
        <v>0</v>
      </c>
    </row>
    <row r="369" spans="1:7" hidden="1" x14ac:dyDescent="0.25">
      <c r="A369" s="17" t="s">
        <v>501</v>
      </c>
      <c r="B369" s="18" t="s">
        <v>514</v>
      </c>
      <c r="C369" s="26" t="s">
        <v>37</v>
      </c>
      <c r="D369" s="14"/>
      <c r="E369" s="15"/>
      <c r="F369" s="16">
        <f t="shared" ref="F369:F374" si="27">+D369*E369</f>
        <v>0</v>
      </c>
      <c r="G369" s="8">
        <f t="shared" si="24"/>
        <v>0</v>
      </c>
    </row>
    <row r="370" spans="1:7" hidden="1" x14ac:dyDescent="0.25">
      <c r="A370" s="17" t="s">
        <v>508</v>
      </c>
      <c r="B370" s="18" t="s">
        <v>516</v>
      </c>
      <c r="C370" s="26" t="s">
        <v>37</v>
      </c>
      <c r="D370" s="14"/>
      <c r="E370" s="15"/>
      <c r="F370" s="16">
        <f t="shared" si="27"/>
        <v>0</v>
      </c>
      <c r="G370" s="8">
        <f t="shared" si="24"/>
        <v>0</v>
      </c>
    </row>
    <row r="371" spans="1:7" hidden="1" x14ac:dyDescent="0.25">
      <c r="A371" s="17" t="s">
        <v>509</v>
      </c>
      <c r="B371" s="18" t="s">
        <v>517</v>
      </c>
      <c r="C371" s="26" t="s">
        <v>37</v>
      </c>
      <c r="D371" s="14"/>
      <c r="E371" s="15"/>
      <c r="F371" s="16">
        <f t="shared" si="27"/>
        <v>0</v>
      </c>
      <c r="G371" s="8">
        <f t="shared" si="24"/>
        <v>0</v>
      </c>
    </row>
    <row r="372" spans="1:7" hidden="1" x14ac:dyDescent="0.25">
      <c r="A372" s="17" t="s">
        <v>510</v>
      </c>
      <c r="B372" s="18" t="s">
        <v>518</v>
      </c>
      <c r="C372" s="26" t="s">
        <v>37</v>
      </c>
      <c r="D372" s="14"/>
      <c r="E372" s="15"/>
      <c r="F372" s="16">
        <f t="shared" si="27"/>
        <v>0</v>
      </c>
      <c r="G372" s="8">
        <f t="shared" si="24"/>
        <v>0</v>
      </c>
    </row>
    <row r="373" spans="1:7" hidden="1" x14ac:dyDescent="0.25">
      <c r="A373" s="17" t="s">
        <v>511</v>
      </c>
      <c r="B373" s="18" t="s">
        <v>519</v>
      </c>
      <c r="C373" s="26" t="s">
        <v>37</v>
      </c>
      <c r="D373" s="14"/>
      <c r="E373" s="15"/>
      <c r="F373" s="16">
        <f t="shared" si="27"/>
        <v>0</v>
      </c>
      <c r="G373" s="8">
        <f t="shared" si="24"/>
        <v>0</v>
      </c>
    </row>
    <row r="374" spans="1:7" hidden="1" x14ac:dyDescent="0.25">
      <c r="A374" s="17" t="s">
        <v>512</v>
      </c>
      <c r="B374" s="18" t="s">
        <v>515</v>
      </c>
      <c r="C374" s="26" t="s">
        <v>37</v>
      </c>
      <c r="D374" s="14"/>
      <c r="E374" s="15"/>
      <c r="F374" s="16">
        <f t="shared" si="27"/>
        <v>0</v>
      </c>
      <c r="G374" s="8">
        <f t="shared" si="24"/>
        <v>0</v>
      </c>
    </row>
    <row r="375" spans="1:7" hidden="1" x14ac:dyDescent="0.25">
      <c r="A375" s="12" t="s">
        <v>485</v>
      </c>
      <c r="B375" s="13" t="s">
        <v>486</v>
      </c>
      <c r="C375" s="14"/>
      <c r="D375" s="14"/>
      <c r="E375" s="15"/>
      <c r="F375" s="16"/>
      <c r="G375" s="8">
        <f t="shared" si="24"/>
        <v>0</v>
      </c>
    </row>
    <row r="376" spans="1:7" hidden="1" x14ac:dyDescent="0.25">
      <c r="A376" s="17" t="s">
        <v>488</v>
      </c>
      <c r="B376" s="18" t="s">
        <v>487</v>
      </c>
      <c r="C376" s="26" t="s">
        <v>37</v>
      </c>
      <c r="D376" s="14"/>
      <c r="E376" s="15">
        <f>+'APU CAP 3'!H2265</f>
        <v>9961</v>
      </c>
      <c r="F376" s="16">
        <f>+D376*E376</f>
        <v>0</v>
      </c>
      <c r="G376" s="8">
        <f t="shared" si="24"/>
        <v>0</v>
      </c>
    </row>
    <row r="377" spans="1:7" hidden="1" x14ac:dyDescent="0.25">
      <c r="A377" s="17" t="s">
        <v>489</v>
      </c>
      <c r="B377" s="18" t="s">
        <v>491</v>
      </c>
      <c r="C377" s="26" t="s">
        <v>37</v>
      </c>
      <c r="D377" s="14"/>
      <c r="E377" s="15">
        <f>+'APU CAP 3'!H2319</f>
        <v>12475</v>
      </c>
      <c r="F377" s="16">
        <f>+D377*E377</f>
        <v>0</v>
      </c>
      <c r="G377" s="8">
        <f t="shared" si="24"/>
        <v>0</v>
      </c>
    </row>
    <row r="378" spans="1:7" hidden="1" x14ac:dyDescent="0.25">
      <c r="A378" s="17" t="s">
        <v>490</v>
      </c>
      <c r="B378" s="18" t="s">
        <v>492</v>
      </c>
      <c r="C378" s="26" t="s">
        <v>37</v>
      </c>
      <c r="D378" s="14"/>
      <c r="E378" s="15"/>
      <c r="F378" s="16">
        <f>+D378*E378</f>
        <v>0</v>
      </c>
      <c r="G378" s="8">
        <f t="shared" si="24"/>
        <v>0</v>
      </c>
    </row>
    <row r="379" spans="1:7" hidden="1" x14ac:dyDescent="0.25">
      <c r="A379" s="12" t="s">
        <v>521</v>
      </c>
      <c r="B379" s="13" t="s">
        <v>522</v>
      </c>
      <c r="C379" s="26" t="s">
        <v>37</v>
      </c>
      <c r="D379" s="14"/>
      <c r="E379" s="15"/>
      <c r="F379" s="16">
        <f>+D379*E379</f>
        <v>0</v>
      </c>
      <c r="G379" s="8">
        <f t="shared" si="24"/>
        <v>0</v>
      </c>
    </row>
    <row r="380" spans="1:7" ht="51" hidden="1" x14ac:dyDescent="0.25">
      <c r="A380" s="12" t="s">
        <v>5014</v>
      </c>
      <c r="B380" s="46" t="s">
        <v>541</v>
      </c>
      <c r="C380" s="14"/>
      <c r="D380" s="14"/>
      <c r="E380" s="15"/>
      <c r="F380" s="16"/>
      <c r="G380" s="8">
        <f t="shared" si="24"/>
        <v>0</v>
      </c>
    </row>
    <row r="381" spans="1:7" hidden="1" x14ac:dyDescent="0.25">
      <c r="A381" s="17" t="s">
        <v>546</v>
      </c>
      <c r="B381" s="18" t="s">
        <v>6216</v>
      </c>
      <c r="C381" s="26" t="s">
        <v>37</v>
      </c>
      <c r="D381" s="14"/>
      <c r="E381" s="15">
        <f>+'APU CAP 3'!H2481</f>
        <v>937045</v>
      </c>
      <c r="F381" s="16">
        <f>+D381*E381</f>
        <v>0</v>
      </c>
      <c r="G381" s="8">
        <f t="shared" si="24"/>
        <v>0</v>
      </c>
    </row>
    <row r="382" spans="1:7" hidden="1" x14ac:dyDescent="0.25">
      <c r="A382" s="17" t="s">
        <v>547</v>
      </c>
      <c r="B382" s="18" t="s">
        <v>6217</v>
      </c>
      <c r="C382" s="26" t="s">
        <v>37</v>
      </c>
      <c r="D382" s="14"/>
      <c r="E382" s="15">
        <f>+'APU CAP 3'!H2535</f>
        <v>831572</v>
      </c>
      <c r="F382" s="16">
        <f>+D382*E382</f>
        <v>0</v>
      </c>
      <c r="G382" s="8">
        <f t="shared" si="24"/>
        <v>0</v>
      </c>
    </row>
    <row r="383" spans="1:7" hidden="1" x14ac:dyDescent="0.25">
      <c r="A383" s="17" t="s">
        <v>548</v>
      </c>
      <c r="B383" s="18" t="s">
        <v>6218</v>
      </c>
      <c r="C383" s="26" t="s">
        <v>37</v>
      </c>
      <c r="D383" s="14"/>
      <c r="E383" s="15">
        <f>+'APU CAP 3'!H2589</f>
        <v>1620647</v>
      </c>
      <c r="F383" s="16">
        <f>+D383*E383</f>
        <v>0</v>
      </c>
      <c r="G383" s="8">
        <f t="shared" si="24"/>
        <v>0</v>
      </c>
    </row>
    <row r="384" spans="1:7" hidden="1" x14ac:dyDescent="0.25">
      <c r="A384" s="17" t="s">
        <v>549</v>
      </c>
      <c r="B384" s="18" t="s">
        <v>523</v>
      </c>
      <c r="C384" s="26" t="s">
        <v>37</v>
      </c>
      <c r="D384" s="14"/>
      <c r="E384" s="15"/>
      <c r="F384" s="16">
        <f>+D384*E384</f>
        <v>0</v>
      </c>
      <c r="G384" s="8">
        <f t="shared" si="24"/>
        <v>0</v>
      </c>
    </row>
    <row r="385" spans="1:7" hidden="1" x14ac:dyDescent="0.25">
      <c r="A385" s="17" t="s">
        <v>550</v>
      </c>
      <c r="B385" s="18" t="s">
        <v>524</v>
      </c>
      <c r="C385" s="26" t="s">
        <v>37</v>
      </c>
      <c r="D385" s="14"/>
      <c r="E385" s="15"/>
      <c r="F385" s="16">
        <f>+D385*E385</f>
        <v>0</v>
      </c>
      <c r="G385" s="8">
        <f t="shared" si="24"/>
        <v>0</v>
      </c>
    </row>
    <row r="386" spans="1:7" hidden="1" x14ac:dyDescent="0.25">
      <c r="A386" s="12" t="s">
        <v>5015</v>
      </c>
      <c r="B386" s="13" t="s">
        <v>552</v>
      </c>
      <c r="C386" s="26"/>
      <c r="D386" s="14"/>
      <c r="E386" s="15"/>
      <c r="F386" s="16"/>
      <c r="G386" s="8">
        <f t="shared" si="24"/>
        <v>0</v>
      </c>
    </row>
    <row r="387" spans="1:7" hidden="1" x14ac:dyDescent="0.25">
      <c r="A387" s="17" t="s">
        <v>553</v>
      </c>
      <c r="B387" s="18" t="s">
        <v>5861</v>
      </c>
      <c r="C387" s="26" t="s">
        <v>37</v>
      </c>
      <c r="D387" s="14"/>
      <c r="E387" s="15"/>
      <c r="F387" s="16">
        <f t="shared" ref="F387:F392" si="28">+D387*E387</f>
        <v>0</v>
      </c>
      <c r="G387" s="8">
        <f t="shared" si="24"/>
        <v>0</v>
      </c>
    </row>
    <row r="388" spans="1:7" hidden="1" x14ac:dyDescent="0.25">
      <c r="A388" s="17" t="s">
        <v>554</v>
      </c>
      <c r="B388" s="18" t="s">
        <v>5862</v>
      </c>
      <c r="C388" s="26" t="s">
        <v>37</v>
      </c>
      <c r="D388" s="14"/>
      <c r="E388" s="15"/>
      <c r="F388" s="16">
        <f t="shared" si="28"/>
        <v>0</v>
      </c>
      <c r="G388" s="8">
        <f t="shared" si="24"/>
        <v>0</v>
      </c>
    </row>
    <row r="389" spans="1:7" hidden="1" x14ac:dyDescent="0.25">
      <c r="A389" s="17" t="s">
        <v>555</v>
      </c>
      <c r="B389" s="18" t="s">
        <v>5863</v>
      </c>
      <c r="C389" s="26" t="s">
        <v>37</v>
      </c>
      <c r="D389" s="14"/>
      <c r="E389" s="15"/>
      <c r="F389" s="16">
        <f t="shared" si="28"/>
        <v>0</v>
      </c>
      <c r="G389" s="8">
        <f t="shared" si="24"/>
        <v>0</v>
      </c>
    </row>
    <row r="390" spans="1:7" hidden="1" x14ac:dyDescent="0.25">
      <c r="A390" s="17" t="s">
        <v>556</v>
      </c>
      <c r="B390" s="18" t="s">
        <v>5864</v>
      </c>
      <c r="C390" s="26" t="s">
        <v>37</v>
      </c>
      <c r="D390" s="14"/>
      <c r="E390" s="15">
        <f>+'APU CAP 3'!Q3075</f>
        <v>389092</v>
      </c>
      <c r="F390" s="16">
        <f t="shared" si="28"/>
        <v>0</v>
      </c>
      <c r="G390" s="8">
        <f t="shared" si="24"/>
        <v>0</v>
      </c>
    </row>
    <row r="391" spans="1:7" hidden="1" x14ac:dyDescent="0.25">
      <c r="A391" s="17" t="s">
        <v>557</v>
      </c>
      <c r="B391" s="18" t="s">
        <v>5865</v>
      </c>
      <c r="C391" s="26" t="s">
        <v>37</v>
      </c>
      <c r="D391" s="14"/>
      <c r="E391" s="15"/>
      <c r="F391" s="16">
        <f t="shared" si="28"/>
        <v>0</v>
      </c>
      <c r="G391" s="8">
        <f t="shared" si="24"/>
        <v>0</v>
      </c>
    </row>
    <row r="392" spans="1:7" hidden="1" x14ac:dyDescent="0.25">
      <c r="A392" s="17" t="s">
        <v>558</v>
      </c>
      <c r="B392" s="18" t="s">
        <v>5866</v>
      </c>
      <c r="C392" s="26" t="s">
        <v>37</v>
      </c>
      <c r="D392" s="14"/>
      <c r="E392" s="15"/>
      <c r="F392" s="16">
        <f t="shared" si="28"/>
        <v>0</v>
      </c>
      <c r="G392" s="8">
        <f t="shared" si="24"/>
        <v>0</v>
      </c>
    </row>
    <row r="393" spans="1:7" hidden="1" x14ac:dyDescent="0.25">
      <c r="A393" s="12" t="s">
        <v>525</v>
      </c>
      <c r="B393" s="13" t="s">
        <v>526</v>
      </c>
      <c r="C393" s="14"/>
      <c r="D393" s="14"/>
      <c r="E393" s="15"/>
      <c r="F393" s="16"/>
      <c r="G393" s="8">
        <f t="shared" si="24"/>
        <v>0</v>
      </c>
    </row>
    <row r="394" spans="1:7" hidden="1" x14ac:dyDescent="0.25">
      <c r="A394" s="17" t="s">
        <v>527</v>
      </c>
      <c r="B394" s="18" t="s">
        <v>528</v>
      </c>
      <c r="C394" s="26" t="s">
        <v>37</v>
      </c>
      <c r="D394" s="14"/>
      <c r="E394" s="15"/>
      <c r="F394" s="16">
        <f t="shared" ref="F394:F404" si="29">+D394*E394</f>
        <v>0</v>
      </c>
      <c r="G394" s="8">
        <f t="shared" si="24"/>
        <v>0</v>
      </c>
    </row>
    <row r="395" spans="1:7" hidden="1" x14ac:dyDescent="0.25">
      <c r="A395" s="17" t="s">
        <v>529</v>
      </c>
      <c r="B395" s="18" t="s">
        <v>540</v>
      </c>
      <c r="C395" s="26" t="s">
        <v>37</v>
      </c>
      <c r="D395" s="14"/>
      <c r="E395" s="15"/>
      <c r="F395" s="16">
        <f t="shared" si="29"/>
        <v>0</v>
      </c>
      <c r="G395" s="8">
        <f t="shared" ref="G395:G458" si="30">+IF(F395&lt;&gt;0,1,0)</f>
        <v>0</v>
      </c>
    </row>
    <row r="396" spans="1:7" hidden="1" x14ac:dyDescent="0.25">
      <c r="A396" s="17" t="s">
        <v>530</v>
      </c>
      <c r="B396" s="18" t="s">
        <v>535</v>
      </c>
      <c r="C396" s="26" t="s">
        <v>37</v>
      </c>
      <c r="D396" s="14"/>
      <c r="E396" s="15"/>
      <c r="F396" s="16">
        <f t="shared" si="29"/>
        <v>0</v>
      </c>
      <c r="G396" s="8">
        <f t="shared" si="30"/>
        <v>0</v>
      </c>
    </row>
    <row r="397" spans="1:7" hidden="1" x14ac:dyDescent="0.25">
      <c r="A397" s="17" t="s">
        <v>531</v>
      </c>
      <c r="B397" s="18" t="s">
        <v>536</v>
      </c>
      <c r="C397" s="26" t="s">
        <v>37</v>
      </c>
      <c r="D397" s="14"/>
      <c r="E397" s="15"/>
      <c r="F397" s="16">
        <f t="shared" si="29"/>
        <v>0</v>
      </c>
      <c r="G397" s="8">
        <f t="shared" si="30"/>
        <v>0</v>
      </c>
    </row>
    <row r="398" spans="1:7" hidden="1" x14ac:dyDescent="0.25">
      <c r="A398" s="17" t="s">
        <v>532</v>
      </c>
      <c r="B398" s="18" t="s">
        <v>537</v>
      </c>
      <c r="C398" s="26" t="s">
        <v>37</v>
      </c>
      <c r="D398" s="14"/>
      <c r="E398" s="15"/>
      <c r="F398" s="16">
        <f t="shared" si="29"/>
        <v>0</v>
      </c>
      <c r="G398" s="8">
        <f t="shared" si="30"/>
        <v>0</v>
      </c>
    </row>
    <row r="399" spans="1:7" hidden="1" x14ac:dyDescent="0.25">
      <c r="A399" s="17" t="s">
        <v>533</v>
      </c>
      <c r="B399" s="18" t="s">
        <v>538</v>
      </c>
      <c r="C399" s="26" t="s">
        <v>37</v>
      </c>
      <c r="D399" s="14"/>
      <c r="E399" s="15"/>
      <c r="F399" s="16">
        <f t="shared" si="29"/>
        <v>0</v>
      </c>
      <c r="G399" s="8">
        <f t="shared" si="30"/>
        <v>0</v>
      </c>
    </row>
    <row r="400" spans="1:7" hidden="1" x14ac:dyDescent="0.25">
      <c r="A400" s="17" t="s">
        <v>534</v>
      </c>
      <c r="B400" s="18" t="s">
        <v>539</v>
      </c>
      <c r="C400" s="26" t="s">
        <v>37</v>
      </c>
      <c r="D400" s="14"/>
      <c r="E400" s="15"/>
      <c r="F400" s="16">
        <f t="shared" si="29"/>
        <v>0</v>
      </c>
      <c r="G400" s="8">
        <f t="shared" si="30"/>
        <v>0</v>
      </c>
    </row>
    <row r="401" spans="1:7" hidden="1" x14ac:dyDescent="0.25">
      <c r="A401" s="17" t="s">
        <v>5383</v>
      </c>
      <c r="B401" s="18" t="s">
        <v>5379</v>
      </c>
      <c r="C401" s="26" t="s">
        <v>37</v>
      </c>
      <c r="D401" s="14"/>
      <c r="E401" s="15"/>
      <c r="F401" s="16">
        <f t="shared" si="29"/>
        <v>0</v>
      </c>
      <c r="G401" s="8">
        <f t="shared" si="30"/>
        <v>0</v>
      </c>
    </row>
    <row r="402" spans="1:7" hidden="1" x14ac:dyDescent="0.25">
      <c r="A402" s="17" t="s">
        <v>5384</v>
      </c>
      <c r="B402" s="18" t="s">
        <v>5380</v>
      </c>
      <c r="C402" s="26" t="s">
        <v>37</v>
      </c>
      <c r="D402" s="14"/>
      <c r="E402" s="15"/>
      <c r="F402" s="16">
        <f t="shared" si="29"/>
        <v>0</v>
      </c>
      <c r="G402" s="8">
        <f t="shared" si="30"/>
        <v>0</v>
      </c>
    </row>
    <row r="403" spans="1:7" hidden="1" x14ac:dyDescent="0.25">
      <c r="A403" s="17" t="s">
        <v>5385</v>
      </c>
      <c r="B403" s="18" t="s">
        <v>5381</v>
      </c>
      <c r="C403" s="26" t="s">
        <v>37</v>
      </c>
      <c r="D403" s="14"/>
      <c r="E403" s="15"/>
      <c r="F403" s="16">
        <f t="shared" si="29"/>
        <v>0</v>
      </c>
      <c r="G403" s="8">
        <f t="shared" si="30"/>
        <v>0</v>
      </c>
    </row>
    <row r="404" spans="1:7" hidden="1" x14ac:dyDescent="0.25">
      <c r="A404" s="17" t="s">
        <v>5386</v>
      </c>
      <c r="B404" s="18" t="s">
        <v>5382</v>
      </c>
      <c r="C404" s="26" t="s">
        <v>37</v>
      </c>
      <c r="D404" s="14"/>
      <c r="E404" s="15"/>
      <c r="F404" s="16">
        <f t="shared" si="29"/>
        <v>0</v>
      </c>
      <c r="G404" s="8">
        <f t="shared" si="30"/>
        <v>0</v>
      </c>
    </row>
    <row r="405" spans="1:7" hidden="1" x14ac:dyDescent="0.25">
      <c r="A405" s="12" t="s">
        <v>542</v>
      </c>
      <c r="B405" s="13" t="s">
        <v>543</v>
      </c>
      <c r="C405" s="14"/>
      <c r="D405" s="14"/>
      <c r="E405" s="15"/>
      <c r="F405" s="16"/>
      <c r="G405" s="8">
        <f t="shared" si="30"/>
        <v>0</v>
      </c>
    </row>
    <row r="406" spans="1:7" hidden="1" x14ac:dyDescent="0.25">
      <c r="A406" s="17" t="s">
        <v>544</v>
      </c>
      <c r="B406" s="13" t="s">
        <v>563</v>
      </c>
      <c r="C406" s="14"/>
      <c r="D406" s="14"/>
      <c r="E406" s="15"/>
      <c r="F406" s="16"/>
      <c r="G406" s="8">
        <f t="shared" si="30"/>
        <v>0</v>
      </c>
    </row>
    <row r="407" spans="1:7" hidden="1" x14ac:dyDescent="0.25">
      <c r="A407" s="17" t="s">
        <v>564</v>
      </c>
      <c r="B407" s="18" t="s">
        <v>560</v>
      </c>
      <c r="C407" s="26" t="s">
        <v>37</v>
      </c>
      <c r="D407" s="14"/>
      <c r="E407" s="15"/>
      <c r="F407" s="16">
        <f>+D407*E407</f>
        <v>0</v>
      </c>
      <c r="G407" s="8">
        <f t="shared" si="30"/>
        <v>0</v>
      </c>
    </row>
    <row r="408" spans="1:7" hidden="1" x14ac:dyDescent="0.25">
      <c r="A408" s="17" t="s">
        <v>565</v>
      </c>
      <c r="B408" s="18" t="s">
        <v>561</v>
      </c>
      <c r="C408" s="26" t="s">
        <v>37</v>
      </c>
      <c r="D408" s="14"/>
      <c r="E408" s="15"/>
      <c r="F408" s="16">
        <f>+D408*E408</f>
        <v>0</v>
      </c>
      <c r="G408" s="8">
        <f t="shared" si="30"/>
        <v>0</v>
      </c>
    </row>
    <row r="409" spans="1:7" hidden="1" x14ac:dyDescent="0.25">
      <c r="A409" s="17" t="s">
        <v>566</v>
      </c>
      <c r="B409" s="18" t="s">
        <v>562</v>
      </c>
      <c r="C409" s="26" t="s">
        <v>37</v>
      </c>
      <c r="D409" s="14"/>
      <c r="E409" s="15"/>
      <c r="F409" s="16">
        <f>+D409*E409</f>
        <v>0</v>
      </c>
      <c r="G409" s="8">
        <f t="shared" si="30"/>
        <v>0</v>
      </c>
    </row>
    <row r="410" spans="1:7" hidden="1" x14ac:dyDescent="0.25">
      <c r="A410" s="12" t="s">
        <v>43</v>
      </c>
      <c r="B410" s="13" t="s">
        <v>44</v>
      </c>
      <c r="C410" s="14"/>
      <c r="D410" s="14"/>
      <c r="E410" s="15"/>
      <c r="F410" s="16"/>
      <c r="G410" s="8">
        <f t="shared" si="30"/>
        <v>0</v>
      </c>
    </row>
    <row r="411" spans="1:7" hidden="1" x14ac:dyDescent="0.25">
      <c r="A411" s="12" t="s">
        <v>567</v>
      </c>
      <c r="B411" s="13" t="s">
        <v>573</v>
      </c>
      <c r="C411" s="14"/>
      <c r="D411" s="14"/>
      <c r="E411" s="15"/>
      <c r="F411" s="16"/>
      <c r="G411" s="8">
        <f t="shared" si="30"/>
        <v>0</v>
      </c>
    </row>
    <row r="412" spans="1:7" hidden="1" x14ac:dyDescent="0.25">
      <c r="A412" s="17" t="s">
        <v>574</v>
      </c>
      <c r="B412" s="18" t="s">
        <v>569</v>
      </c>
      <c r="C412" s="14" t="s">
        <v>37</v>
      </c>
      <c r="D412" s="14"/>
      <c r="E412" s="15"/>
      <c r="F412" s="16">
        <f>+D412*E412</f>
        <v>0</v>
      </c>
      <c r="G412" s="8">
        <f t="shared" si="30"/>
        <v>0</v>
      </c>
    </row>
    <row r="413" spans="1:7" hidden="1" x14ac:dyDescent="0.25">
      <c r="A413" s="17" t="s">
        <v>575</v>
      </c>
      <c r="B413" s="18" t="s">
        <v>568</v>
      </c>
      <c r="C413" s="14" t="s">
        <v>37</v>
      </c>
      <c r="D413" s="14"/>
      <c r="E413" s="15"/>
      <c r="F413" s="16">
        <f>+D413*E413</f>
        <v>0</v>
      </c>
      <c r="G413" s="8">
        <f t="shared" si="30"/>
        <v>0</v>
      </c>
    </row>
    <row r="414" spans="1:7" hidden="1" x14ac:dyDescent="0.25">
      <c r="A414" s="17" t="s">
        <v>576</v>
      </c>
      <c r="B414" s="18" t="s">
        <v>571</v>
      </c>
      <c r="C414" s="14" t="s">
        <v>37</v>
      </c>
      <c r="D414" s="14"/>
      <c r="E414" s="15"/>
      <c r="F414" s="16">
        <f>+D414*E414</f>
        <v>0</v>
      </c>
      <c r="G414" s="8">
        <f t="shared" si="30"/>
        <v>0</v>
      </c>
    </row>
    <row r="415" spans="1:7" hidden="1" x14ac:dyDescent="0.25">
      <c r="A415" s="17" t="s">
        <v>577</v>
      </c>
      <c r="B415" s="18" t="s">
        <v>570</v>
      </c>
      <c r="C415" s="14" t="s">
        <v>37</v>
      </c>
      <c r="D415" s="14"/>
      <c r="E415" s="15"/>
      <c r="F415" s="16">
        <f>+D415*E415</f>
        <v>0</v>
      </c>
      <c r="G415" s="8">
        <f t="shared" si="30"/>
        <v>0</v>
      </c>
    </row>
    <row r="416" spans="1:7" hidden="1" x14ac:dyDescent="0.25">
      <c r="A416" s="17" t="s">
        <v>578</v>
      </c>
      <c r="B416" s="18" t="s">
        <v>572</v>
      </c>
      <c r="C416" s="14" t="s">
        <v>37</v>
      </c>
      <c r="D416" s="14"/>
      <c r="E416" s="15"/>
      <c r="F416" s="16">
        <f>+D416*E416</f>
        <v>0</v>
      </c>
      <c r="G416" s="8">
        <f t="shared" si="30"/>
        <v>0</v>
      </c>
    </row>
    <row r="417" spans="1:7" hidden="1" x14ac:dyDescent="0.25">
      <c r="A417" s="2454" t="s">
        <v>45</v>
      </c>
      <c r="B417" s="2455"/>
      <c r="C417" s="2455"/>
      <c r="D417" s="2455"/>
      <c r="E417" s="2455"/>
      <c r="F417" s="19">
        <f>SUM(F95:F416)</f>
        <v>0</v>
      </c>
      <c r="G417" s="8">
        <f t="shared" si="30"/>
        <v>0</v>
      </c>
    </row>
    <row r="418" spans="1:7" hidden="1" x14ac:dyDescent="0.25">
      <c r="A418" s="20">
        <v>5</v>
      </c>
      <c r="B418" s="319" t="s">
        <v>579</v>
      </c>
      <c r="C418" s="22"/>
      <c r="D418" s="22"/>
      <c r="E418" s="23"/>
      <c r="F418" s="24"/>
      <c r="G418" s="8"/>
    </row>
    <row r="419" spans="1:7" hidden="1" x14ac:dyDescent="0.25">
      <c r="A419" s="12" t="s">
        <v>580</v>
      </c>
      <c r="B419" s="46" t="s">
        <v>581</v>
      </c>
      <c r="C419" s="14"/>
      <c r="D419" s="14"/>
      <c r="E419" s="15"/>
      <c r="F419" s="16"/>
      <c r="G419" s="8"/>
    </row>
    <row r="420" spans="1:7" hidden="1" x14ac:dyDescent="0.25">
      <c r="A420" s="31" t="s">
        <v>594</v>
      </c>
      <c r="B420" s="320" t="s">
        <v>582</v>
      </c>
      <c r="C420" s="26" t="s">
        <v>583</v>
      </c>
      <c r="D420" s="26"/>
      <c r="E420" s="29">
        <f>+'APU CAP 5'!P106</f>
        <v>352371.33333333331</v>
      </c>
      <c r="F420" s="16">
        <f t="shared" ref="F420:F425" si="31">+D420*E420</f>
        <v>0</v>
      </c>
      <c r="G420" s="8">
        <f t="shared" si="30"/>
        <v>0</v>
      </c>
    </row>
    <row r="421" spans="1:7" hidden="1" x14ac:dyDescent="0.25">
      <c r="A421" s="31" t="s">
        <v>604</v>
      </c>
      <c r="B421" s="320" t="s">
        <v>599</v>
      </c>
      <c r="C421" s="26" t="s">
        <v>583</v>
      </c>
      <c r="D421" s="26"/>
      <c r="E421" s="29">
        <f>+'APU CAP 5'!P160</f>
        <v>378551.33333333331</v>
      </c>
      <c r="F421" s="16">
        <f t="shared" si="31"/>
        <v>0</v>
      </c>
      <c r="G421" s="8">
        <f t="shared" si="30"/>
        <v>0</v>
      </c>
    </row>
    <row r="422" spans="1:7" hidden="1" x14ac:dyDescent="0.25">
      <c r="A422" s="31" t="s">
        <v>595</v>
      </c>
      <c r="B422" s="320" t="s">
        <v>600</v>
      </c>
      <c r="C422" s="26" t="s">
        <v>583</v>
      </c>
      <c r="D422" s="26"/>
      <c r="E422" s="29">
        <f>+'APU CAP 5'!P214</f>
        <v>439122</v>
      </c>
      <c r="F422" s="16">
        <f t="shared" si="31"/>
        <v>0</v>
      </c>
      <c r="G422" s="8">
        <f t="shared" si="30"/>
        <v>0</v>
      </c>
    </row>
    <row r="423" spans="1:7" hidden="1" x14ac:dyDescent="0.25">
      <c r="A423" s="31" t="s">
        <v>596</v>
      </c>
      <c r="B423" s="330" t="s">
        <v>601</v>
      </c>
      <c r="C423" s="26" t="s">
        <v>583</v>
      </c>
      <c r="D423" s="26"/>
      <c r="E423" s="29">
        <f>+'APU CAP 5'!P268</f>
        <v>498359.00000000006</v>
      </c>
      <c r="F423" s="16">
        <f t="shared" si="31"/>
        <v>0</v>
      </c>
      <c r="G423" s="8">
        <f t="shared" si="30"/>
        <v>0</v>
      </c>
    </row>
    <row r="424" spans="1:7" hidden="1" x14ac:dyDescent="0.25">
      <c r="A424" s="31" t="s">
        <v>597</v>
      </c>
      <c r="B424" s="320" t="s">
        <v>602</v>
      </c>
      <c r="C424" s="26" t="s">
        <v>583</v>
      </c>
      <c r="D424" s="26"/>
      <c r="E424" s="29">
        <f>+'APU CAP 5'!P322</f>
        <v>540227.4444444445</v>
      </c>
      <c r="F424" s="16">
        <f t="shared" si="31"/>
        <v>0</v>
      </c>
      <c r="G424" s="8">
        <f t="shared" si="30"/>
        <v>0</v>
      </c>
    </row>
    <row r="425" spans="1:7" hidden="1" x14ac:dyDescent="0.25">
      <c r="A425" s="31" t="s">
        <v>598</v>
      </c>
      <c r="B425" s="320" t="s">
        <v>603</v>
      </c>
      <c r="C425" s="26" t="s">
        <v>583</v>
      </c>
      <c r="D425" s="26"/>
      <c r="E425" s="29">
        <f>+'APU CAP 5'!P376</f>
        <v>560249</v>
      </c>
      <c r="F425" s="16">
        <f t="shared" si="31"/>
        <v>0</v>
      </c>
      <c r="G425" s="8">
        <f t="shared" si="30"/>
        <v>0</v>
      </c>
    </row>
    <row r="426" spans="1:7" hidden="1" x14ac:dyDescent="0.25">
      <c r="A426" s="27" t="s">
        <v>584</v>
      </c>
      <c r="B426" s="321" t="s">
        <v>585</v>
      </c>
      <c r="C426" s="26"/>
      <c r="D426" s="26"/>
      <c r="E426" s="29"/>
      <c r="F426" s="16"/>
      <c r="G426" s="8">
        <f t="shared" si="30"/>
        <v>0</v>
      </c>
    </row>
    <row r="427" spans="1:7" hidden="1" x14ac:dyDescent="0.25">
      <c r="A427" s="27" t="s">
        <v>586</v>
      </c>
      <c r="B427" s="321" t="s">
        <v>587</v>
      </c>
      <c r="C427" s="26"/>
      <c r="D427" s="26"/>
      <c r="E427" s="29"/>
      <c r="F427" s="16"/>
      <c r="G427" s="8">
        <f t="shared" si="30"/>
        <v>0</v>
      </c>
    </row>
    <row r="428" spans="1:7" hidden="1" x14ac:dyDescent="0.25">
      <c r="A428" s="31" t="s">
        <v>605</v>
      </c>
      <c r="B428" s="320" t="s">
        <v>606</v>
      </c>
      <c r="C428" s="26" t="s">
        <v>583</v>
      </c>
      <c r="D428" s="26"/>
      <c r="E428" s="29">
        <f>+'APU CAP 5'!H430</f>
        <v>517604.00000000006</v>
      </c>
      <c r="F428" s="16">
        <f t="shared" ref="F428:F436" si="32">+D428*E428</f>
        <v>0</v>
      </c>
      <c r="G428" s="8">
        <f t="shared" si="30"/>
        <v>0</v>
      </c>
    </row>
    <row r="429" spans="1:7" hidden="1" x14ac:dyDescent="0.25">
      <c r="A429" s="31" t="s">
        <v>613</v>
      </c>
      <c r="B429" s="320" t="s">
        <v>607</v>
      </c>
      <c r="C429" s="26" t="s">
        <v>583</v>
      </c>
      <c r="D429" s="26"/>
      <c r="E429" s="29">
        <f>+'APU CAP 5'!P430</f>
        <v>620040.71428571432</v>
      </c>
      <c r="F429" s="16">
        <f t="shared" si="32"/>
        <v>0</v>
      </c>
      <c r="G429" s="8">
        <f t="shared" si="30"/>
        <v>0</v>
      </c>
    </row>
    <row r="430" spans="1:7" hidden="1" x14ac:dyDescent="0.25">
      <c r="A430" s="31" t="s">
        <v>614</v>
      </c>
      <c r="B430" s="320" t="s">
        <v>608</v>
      </c>
      <c r="C430" s="26" t="s">
        <v>583</v>
      </c>
      <c r="D430" s="26"/>
      <c r="E430" s="29">
        <f>+'APU CAP 5'!X430</f>
        <v>739215.5</v>
      </c>
      <c r="F430" s="16">
        <f t="shared" si="32"/>
        <v>0</v>
      </c>
      <c r="G430" s="8">
        <f t="shared" si="30"/>
        <v>0</v>
      </c>
    </row>
    <row r="431" spans="1:7" hidden="1" x14ac:dyDescent="0.25">
      <c r="A431" s="31" t="s">
        <v>615</v>
      </c>
      <c r="B431" s="320" t="s">
        <v>609</v>
      </c>
      <c r="C431" s="26" t="s">
        <v>583</v>
      </c>
      <c r="D431" s="26"/>
      <c r="E431" s="29">
        <f>+'APU CAP 5'!H430</f>
        <v>517604.00000000006</v>
      </c>
      <c r="F431" s="16">
        <f t="shared" si="32"/>
        <v>0</v>
      </c>
      <c r="G431" s="8">
        <f t="shared" si="30"/>
        <v>0</v>
      </c>
    </row>
    <row r="432" spans="1:7" hidden="1" x14ac:dyDescent="0.25">
      <c r="A432" s="31" t="s">
        <v>616</v>
      </c>
      <c r="B432" s="320" t="s">
        <v>610</v>
      </c>
      <c r="C432" s="26" t="s">
        <v>583</v>
      </c>
      <c r="D432" s="26"/>
      <c r="E432" s="29">
        <f>+'APU CAP 5'!P430</f>
        <v>620040.71428571432</v>
      </c>
      <c r="F432" s="16">
        <f t="shared" si="32"/>
        <v>0</v>
      </c>
      <c r="G432" s="8">
        <f t="shared" si="30"/>
        <v>0</v>
      </c>
    </row>
    <row r="433" spans="1:7" hidden="1" x14ac:dyDescent="0.25">
      <c r="A433" s="31" t="s">
        <v>617</v>
      </c>
      <c r="B433" s="320" t="s">
        <v>611</v>
      </c>
      <c r="C433" s="26" t="s">
        <v>583</v>
      </c>
      <c r="D433" s="26"/>
      <c r="E433" s="29">
        <f>+'APU CAP 5'!X430</f>
        <v>739215.5</v>
      </c>
      <c r="F433" s="16">
        <f t="shared" si="32"/>
        <v>0</v>
      </c>
      <c r="G433" s="8">
        <f t="shared" si="30"/>
        <v>0</v>
      </c>
    </row>
    <row r="434" spans="1:7" hidden="1" x14ac:dyDescent="0.25">
      <c r="A434" s="31" t="s">
        <v>618</v>
      </c>
      <c r="B434" s="320" t="s">
        <v>612</v>
      </c>
      <c r="C434" s="26" t="s">
        <v>583</v>
      </c>
      <c r="D434" s="26"/>
      <c r="E434" s="29">
        <f>+'APU CAP 5'!X430</f>
        <v>739215.5</v>
      </c>
      <c r="F434" s="16">
        <f t="shared" si="32"/>
        <v>0</v>
      </c>
      <c r="G434" s="8">
        <f t="shared" si="30"/>
        <v>0</v>
      </c>
    </row>
    <row r="435" spans="1:7" hidden="1" x14ac:dyDescent="0.25">
      <c r="A435" s="31" t="s">
        <v>619</v>
      </c>
      <c r="B435" s="320" t="s">
        <v>620</v>
      </c>
      <c r="C435" s="26" t="s">
        <v>583</v>
      </c>
      <c r="D435" s="26"/>
      <c r="E435" s="29">
        <f>+'APU CAP 5'!P430</f>
        <v>620040.71428571432</v>
      </c>
      <c r="F435" s="16">
        <f t="shared" si="32"/>
        <v>0</v>
      </c>
      <c r="G435" s="8">
        <f t="shared" si="30"/>
        <v>0</v>
      </c>
    </row>
    <row r="436" spans="1:7" hidden="1" x14ac:dyDescent="0.25">
      <c r="A436" s="31" t="s">
        <v>621</v>
      </c>
      <c r="B436" s="320" t="s">
        <v>671</v>
      </c>
      <c r="C436" s="26" t="s">
        <v>583</v>
      </c>
      <c r="D436" s="26"/>
      <c r="E436" s="29"/>
      <c r="F436" s="16">
        <f t="shared" si="32"/>
        <v>0</v>
      </c>
      <c r="G436" s="8">
        <f t="shared" si="30"/>
        <v>0</v>
      </c>
    </row>
    <row r="437" spans="1:7" hidden="1" x14ac:dyDescent="0.25">
      <c r="A437" s="27" t="s">
        <v>622</v>
      </c>
      <c r="B437" s="321" t="s">
        <v>633</v>
      </c>
      <c r="C437" s="26"/>
      <c r="D437" s="26"/>
      <c r="E437" s="29"/>
      <c r="F437" s="16"/>
      <c r="G437" s="8">
        <f t="shared" si="30"/>
        <v>0</v>
      </c>
    </row>
    <row r="438" spans="1:7" hidden="1" x14ac:dyDescent="0.25">
      <c r="A438" s="31" t="s">
        <v>623</v>
      </c>
      <c r="B438" s="320" t="s">
        <v>606</v>
      </c>
      <c r="C438" s="26" t="s">
        <v>583</v>
      </c>
      <c r="D438" s="26"/>
      <c r="E438" s="29">
        <f>+'APU CAP 5'!H484</f>
        <v>556223</v>
      </c>
      <c r="F438" s="16">
        <f t="shared" ref="F438:F446" si="33">+D438*E438</f>
        <v>0</v>
      </c>
      <c r="G438" s="8">
        <f t="shared" si="30"/>
        <v>0</v>
      </c>
    </row>
    <row r="439" spans="1:7" hidden="1" x14ac:dyDescent="0.25">
      <c r="A439" s="31" t="s">
        <v>624</v>
      </c>
      <c r="B439" s="320" t="s">
        <v>607</v>
      </c>
      <c r="C439" s="26" t="s">
        <v>583</v>
      </c>
      <c r="D439" s="26"/>
      <c r="E439" s="29">
        <f>+'APU CAP 5'!P484</f>
        <v>658659.71428571432</v>
      </c>
      <c r="F439" s="16">
        <f t="shared" si="33"/>
        <v>0</v>
      </c>
      <c r="G439" s="8">
        <f t="shared" si="30"/>
        <v>0</v>
      </c>
    </row>
    <row r="440" spans="1:7" hidden="1" x14ac:dyDescent="0.25">
      <c r="A440" s="31" t="s">
        <v>625</v>
      </c>
      <c r="B440" s="320" t="s">
        <v>608</v>
      </c>
      <c r="C440" s="26" t="s">
        <v>583</v>
      </c>
      <c r="D440" s="26"/>
      <c r="E440" s="29">
        <f>+'APU CAP 5'!X484</f>
        <v>776934.5</v>
      </c>
      <c r="F440" s="16">
        <f t="shared" si="33"/>
        <v>0</v>
      </c>
      <c r="G440" s="8">
        <f t="shared" si="30"/>
        <v>0</v>
      </c>
    </row>
    <row r="441" spans="1:7" hidden="1" x14ac:dyDescent="0.25">
      <c r="A441" s="31" t="s">
        <v>626</v>
      </c>
      <c r="B441" s="320" t="s">
        <v>609</v>
      </c>
      <c r="C441" s="26" t="s">
        <v>583</v>
      </c>
      <c r="D441" s="26"/>
      <c r="E441" s="29">
        <f>+'APU CAP 5'!H484</f>
        <v>556223</v>
      </c>
      <c r="F441" s="16">
        <f t="shared" si="33"/>
        <v>0</v>
      </c>
      <c r="G441" s="8">
        <f t="shared" si="30"/>
        <v>0</v>
      </c>
    </row>
    <row r="442" spans="1:7" hidden="1" x14ac:dyDescent="0.25">
      <c r="A442" s="31" t="s">
        <v>627</v>
      </c>
      <c r="B442" s="320" t="s">
        <v>610</v>
      </c>
      <c r="C442" s="26" t="s">
        <v>583</v>
      </c>
      <c r="D442" s="26"/>
      <c r="E442" s="29">
        <f>+'APU CAP 5'!P484</f>
        <v>658659.71428571432</v>
      </c>
      <c r="F442" s="16">
        <f t="shared" si="33"/>
        <v>0</v>
      </c>
      <c r="G442" s="8">
        <f t="shared" si="30"/>
        <v>0</v>
      </c>
    </row>
    <row r="443" spans="1:7" hidden="1" x14ac:dyDescent="0.25">
      <c r="A443" s="31" t="s">
        <v>628</v>
      </c>
      <c r="B443" s="320" t="s">
        <v>611</v>
      </c>
      <c r="C443" s="26" t="s">
        <v>583</v>
      </c>
      <c r="D443" s="26"/>
      <c r="E443" s="29">
        <f>+'APU CAP 5'!X484</f>
        <v>776934.5</v>
      </c>
      <c r="F443" s="16">
        <f t="shared" si="33"/>
        <v>0</v>
      </c>
      <c r="G443" s="8">
        <f t="shared" si="30"/>
        <v>0</v>
      </c>
    </row>
    <row r="444" spans="1:7" hidden="1" x14ac:dyDescent="0.25">
      <c r="A444" s="31" t="s">
        <v>629</v>
      </c>
      <c r="B444" s="320" t="s">
        <v>612</v>
      </c>
      <c r="C444" s="26" t="s">
        <v>583</v>
      </c>
      <c r="D444" s="26"/>
      <c r="E444" s="29">
        <f>+'APU CAP 5'!X484</f>
        <v>776934.5</v>
      </c>
      <c r="F444" s="16">
        <f t="shared" si="33"/>
        <v>0</v>
      </c>
      <c r="G444" s="8">
        <f t="shared" si="30"/>
        <v>0</v>
      </c>
    </row>
    <row r="445" spans="1:7" hidden="1" x14ac:dyDescent="0.25">
      <c r="A445" s="31" t="s">
        <v>630</v>
      </c>
      <c r="B445" s="320" t="s">
        <v>620</v>
      </c>
      <c r="C445" s="26" t="s">
        <v>583</v>
      </c>
      <c r="D445" s="26"/>
      <c r="E445" s="29">
        <f>+'APU CAP 5'!P484</f>
        <v>658659.71428571432</v>
      </c>
      <c r="F445" s="16">
        <f t="shared" si="33"/>
        <v>0</v>
      </c>
      <c r="G445" s="8">
        <f t="shared" si="30"/>
        <v>0</v>
      </c>
    </row>
    <row r="446" spans="1:7" hidden="1" x14ac:dyDescent="0.25">
      <c r="A446" s="31" t="s">
        <v>631</v>
      </c>
      <c r="B446" s="320" t="s">
        <v>671</v>
      </c>
      <c r="C446" s="26" t="s">
        <v>583</v>
      </c>
      <c r="D446" s="26"/>
      <c r="E446" s="29"/>
      <c r="F446" s="16">
        <f t="shared" si="33"/>
        <v>0</v>
      </c>
      <c r="G446" s="8">
        <f t="shared" si="30"/>
        <v>0</v>
      </c>
    </row>
    <row r="447" spans="1:7" hidden="1" x14ac:dyDescent="0.25">
      <c r="A447" s="27" t="s">
        <v>634</v>
      </c>
      <c r="B447" s="321" t="s">
        <v>632</v>
      </c>
      <c r="C447" s="26"/>
      <c r="D447" s="26"/>
      <c r="E447" s="29"/>
      <c r="F447" s="16"/>
      <c r="G447" s="8">
        <f t="shared" si="30"/>
        <v>0</v>
      </c>
    </row>
    <row r="448" spans="1:7" hidden="1" x14ac:dyDescent="0.25">
      <c r="A448" s="31" t="s">
        <v>635</v>
      </c>
      <c r="B448" s="320" t="s">
        <v>606</v>
      </c>
      <c r="C448" s="26" t="s">
        <v>583</v>
      </c>
      <c r="D448" s="26"/>
      <c r="E448" s="29">
        <f>+'APU CAP 5'!H538</f>
        <v>554067</v>
      </c>
      <c r="F448" s="16">
        <f t="shared" ref="F448:F456" si="34">+D448*E448</f>
        <v>0</v>
      </c>
      <c r="G448" s="8">
        <f t="shared" si="30"/>
        <v>0</v>
      </c>
    </row>
    <row r="449" spans="1:7" hidden="1" x14ac:dyDescent="0.25">
      <c r="A449" s="31" t="s">
        <v>636</v>
      </c>
      <c r="B449" s="320" t="s">
        <v>607</v>
      </c>
      <c r="C449" s="26" t="s">
        <v>583</v>
      </c>
      <c r="D449" s="26"/>
      <c r="E449" s="29">
        <f>+'APU CAP 5'!P538</f>
        <v>669769.71428571432</v>
      </c>
      <c r="F449" s="16">
        <f t="shared" si="34"/>
        <v>0</v>
      </c>
      <c r="G449" s="8">
        <f t="shared" si="30"/>
        <v>0</v>
      </c>
    </row>
    <row r="450" spans="1:7" hidden="1" x14ac:dyDescent="0.25">
      <c r="A450" s="31" t="s">
        <v>637</v>
      </c>
      <c r="B450" s="320" t="s">
        <v>608</v>
      </c>
      <c r="C450" s="26" t="s">
        <v>583</v>
      </c>
      <c r="D450" s="26"/>
      <c r="E450" s="29">
        <f>+'APU CAP 5'!X538</f>
        <v>808892.5</v>
      </c>
      <c r="F450" s="16">
        <f t="shared" si="34"/>
        <v>0</v>
      </c>
      <c r="G450" s="8">
        <f t="shared" si="30"/>
        <v>0</v>
      </c>
    </row>
    <row r="451" spans="1:7" hidden="1" x14ac:dyDescent="0.25">
      <c r="A451" s="31" t="s">
        <v>638</v>
      </c>
      <c r="B451" s="320" t="s">
        <v>609</v>
      </c>
      <c r="C451" s="26" t="s">
        <v>583</v>
      </c>
      <c r="D451" s="26"/>
      <c r="E451" s="29">
        <f>+'APU CAP 5'!H538</f>
        <v>554067</v>
      </c>
      <c r="F451" s="16">
        <f t="shared" si="34"/>
        <v>0</v>
      </c>
      <c r="G451" s="8">
        <f t="shared" si="30"/>
        <v>0</v>
      </c>
    </row>
    <row r="452" spans="1:7" hidden="1" x14ac:dyDescent="0.25">
      <c r="A452" s="31" t="s">
        <v>639</v>
      </c>
      <c r="B452" s="320" t="s">
        <v>610</v>
      </c>
      <c r="C452" s="26" t="s">
        <v>583</v>
      </c>
      <c r="D452" s="26"/>
      <c r="E452" s="29">
        <f>+'APU CAP 5'!P538</f>
        <v>669769.71428571432</v>
      </c>
      <c r="F452" s="16">
        <f t="shared" si="34"/>
        <v>0</v>
      </c>
      <c r="G452" s="8">
        <f t="shared" si="30"/>
        <v>0</v>
      </c>
    </row>
    <row r="453" spans="1:7" hidden="1" x14ac:dyDescent="0.25">
      <c r="A453" s="31" t="s">
        <v>640</v>
      </c>
      <c r="B453" s="320" t="s">
        <v>611</v>
      </c>
      <c r="C453" s="26" t="s">
        <v>583</v>
      </c>
      <c r="D453" s="26"/>
      <c r="E453" s="29">
        <f>+'APU CAP 5'!X538</f>
        <v>808892.5</v>
      </c>
      <c r="F453" s="16">
        <f t="shared" si="34"/>
        <v>0</v>
      </c>
      <c r="G453" s="8">
        <f t="shared" si="30"/>
        <v>0</v>
      </c>
    </row>
    <row r="454" spans="1:7" hidden="1" x14ac:dyDescent="0.25">
      <c r="A454" s="31" t="s">
        <v>641</v>
      </c>
      <c r="B454" s="320" t="s">
        <v>612</v>
      </c>
      <c r="C454" s="26" t="s">
        <v>583</v>
      </c>
      <c r="D454" s="26"/>
      <c r="E454" s="29">
        <f>+'APU CAP 5'!X538</f>
        <v>808892.5</v>
      </c>
      <c r="F454" s="16">
        <f t="shared" si="34"/>
        <v>0</v>
      </c>
      <c r="G454" s="8">
        <f t="shared" si="30"/>
        <v>0</v>
      </c>
    </row>
    <row r="455" spans="1:7" hidden="1" x14ac:dyDescent="0.25">
      <c r="A455" s="31" t="s">
        <v>642</v>
      </c>
      <c r="B455" s="320" t="s">
        <v>620</v>
      </c>
      <c r="C455" s="26" t="s">
        <v>583</v>
      </c>
      <c r="D455" s="26"/>
      <c r="E455" s="29">
        <f>+'APU CAP 5'!P538</f>
        <v>669769.71428571432</v>
      </c>
      <c r="F455" s="16">
        <f t="shared" si="34"/>
        <v>0</v>
      </c>
      <c r="G455" s="8">
        <f t="shared" si="30"/>
        <v>0</v>
      </c>
    </row>
    <row r="456" spans="1:7" hidden="1" x14ac:dyDescent="0.25">
      <c r="A456" s="31" t="s">
        <v>643</v>
      </c>
      <c r="B456" s="320" t="s">
        <v>671</v>
      </c>
      <c r="C456" s="26" t="s">
        <v>583</v>
      </c>
      <c r="D456" s="26"/>
      <c r="E456" s="29"/>
      <c r="F456" s="16">
        <f t="shared" si="34"/>
        <v>0</v>
      </c>
      <c r="G456" s="8">
        <f t="shared" si="30"/>
        <v>0</v>
      </c>
    </row>
    <row r="457" spans="1:7" hidden="1" x14ac:dyDescent="0.25">
      <c r="A457" s="27" t="s">
        <v>634</v>
      </c>
      <c r="B457" s="321" t="s">
        <v>6122</v>
      </c>
      <c r="C457" s="26"/>
      <c r="D457" s="26"/>
      <c r="E457" s="456"/>
      <c r="F457" s="457"/>
      <c r="G457" s="8">
        <f t="shared" si="30"/>
        <v>0</v>
      </c>
    </row>
    <row r="458" spans="1:7" hidden="1" x14ac:dyDescent="0.25">
      <c r="A458" s="31" t="s">
        <v>635</v>
      </c>
      <c r="B458" s="320" t="s">
        <v>606</v>
      </c>
      <c r="C458" s="26" t="s">
        <v>583</v>
      </c>
      <c r="D458" s="26"/>
      <c r="E458" s="456">
        <f>+'APU CAP 5'!H592</f>
        <v>609251.25</v>
      </c>
      <c r="F458" s="457">
        <f t="shared" ref="F458:F466" si="35">+D458*E458</f>
        <v>0</v>
      </c>
      <c r="G458" s="8">
        <f t="shared" si="30"/>
        <v>0</v>
      </c>
    </row>
    <row r="459" spans="1:7" hidden="1" x14ac:dyDescent="0.25">
      <c r="A459" s="31" t="s">
        <v>636</v>
      </c>
      <c r="B459" s="320" t="s">
        <v>607</v>
      </c>
      <c r="C459" s="26" t="s">
        <v>583</v>
      </c>
      <c r="D459" s="26"/>
      <c r="E459" s="456">
        <f>+'APU CAP 5'!P592</f>
        <v>740638</v>
      </c>
      <c r="F459" s="457">
        <f t="shared" si="35"/>
        <v>0</v>
      </c>
      <c r="G459" s="8">
        <f t="shared" ref="G459:G522" si="36">+IF(F459&lt;&gt;0,1,0)</f>
        <v>0</v>
      </c>
    </row>
    <row r="460" spans="1:7" hidden="1" x14ac:dyDescent="0.25">
      <c r="A460" s="31" t="s">
        <v>637</v>
      </c>
      <c r="B460" s="320" t="s">
        <v>608</v>
      </c>
      <c r="C460" s="26" t="s">
        <v>583</v>
      </c>
      <c r="D460" s="26"/>
      <c r="E460" s="456">
        <f>+'APU CAP 5'!X592</f>
        <v>932246.5</v>
      </c>
      <c r="F460" s="457">
        <f t="shared" si="35"/>
        <v>0</v>
      </c>
      <c r="G460" s="8">
        <f t="shared" si="36"/>
        <v>0</v>
      </c>
    </row>
    <row r="461" spans="1:7" hidden="1" x14ac:dyDescent="0.25">
      <c r="A461" s="31" t="s">
        <v>638</v>
      </c>
      <c r="B461" s="320" t="s">
        <v>609</v>
      </c>
      <c r="C461" s="26" t="s">
        <v>583</v>
      </c>
      <c r="D461" s="26"/>
      <c r="E461" s="456">
        <f>+'APU CAP 5'!H592</f>
        <v>609251.25</v>
      </c>
      <c r="F461" s="457">
        <f t="shared" si="35"/>
        <v>0</v>
      </c>
      <c r="G461" s="8">
        <f t="shared" si="36"/>
        <v>0</v>
      </c>
    </row>
    <row r="462" spans="1:7" hidden="1" x14ac:dyDescent="0.25">
      <c r="A462" s="31" t="s">
        <v>639</v>
      </c>
      <c r="B462" s="320" t="s">
        <v>610</v>
      </c>
      <c r="C462" s="26" t="s">
        <v>583</v>
      </c>
      <c r="D462" s="26"/>
      <c r="E462" s="456">
        <f>+'APU CAP 5'!P592</f>
        <v>740638</v>
      </c>
      <c r="F462" s="457">
        <f t="shared" si="35"/>
        <v>0</v>
      </c>
      <c r="G462" s="8">
        <f t="shared" si="36"/>
        <v>0</v>
      </c>
    </row>
    <row r="463" spans="1:7" hidden="1" x14ac:dyDescent="0.25">
      <c r="A463" s="31" t="s">
        <v>640</v>
      </c>
      <c r="B463" s="320" t="s">
        <v>611</v>
      </c>
      <c r="C463" s="26" t="s">
        <v>583</v>
      </c>
      <c r="D463" s="26"/>
      <c r="E463" s="456">
        <f>+'APU CAP 5'!X592</f>
        <v>932246.5</v>
      </c>
      <c r="F463" s="457">
        <f t="shared" si="35"/>
        <v>0</v>
      </c>
      <c r="G463" s="8">
        <f t="shared" si="36"/>
        <v>0</v>
      </c>
    </row>
    <row r="464" spans="1:7" hidden="1" x14ac:dyDescent="0.25">
      <c r="A464" s="31" t="s">
        <v>641</v>
      </c>
      <c r="B464" s="320" t="s">
        <v>612</v>
      </c>
      <c r="C464" s="26" t="s">
        <v>583</v>
      </c>
      <c r="D464" s="26"/>
      <c r="E464" s="456">
        <f>+'APU CAP 5'!X592</f>
        <v>932246.5</v>
      </c>
      <c r="F464" s="457">
        <f t="shared" si="35"/>
        <v>0</v>
      </c>
      <c r="G464" s="8">
        <f t="shared" si="36"/>
        <v>0</v>
      </c>
    </row>
    <row r="465" spans="1:7" hidden="1" x14ac:dyDescent="0.25">
      <c r="A465" s="31" t="s">
        <v>642</v>
      </c>
      <c r="B465" s="320" t="s">
        <v>620</v>
      </c>
      <c r="C465" s="26" t="s">
        <v>583</v>
      </c>
      <c r="D465" s="26"/>
      <c r="E465" s="456">
        <f>+'APU CAP 5'!P592</f>
        <v>740638</v>
      </c>
      <c r="F465" s="457">
        <f t="shared" si="35"/>
        <v>0</v>
      </c>
      <c r="G465" s="8">
        <f t="shared" si="36"/>
        <v>0</v>
      </c>
    </row>
    <row r="466" spans="1:7" hidden="1" x14ac:dyDescent="0.25">
      <c r="A466" s="31" t="s">
        <v>643</v>
      </c>
      <c r="B466" s="320" t="s">
        <v>671</v>
      </c>
      <c r="C466" s="26" t="s">
        <v>583</v>
      </c>
      <c r="D466" s="26"/>
      <c r="E466" s="456"/>
      <c r="F466" s="457">
        <f t="shared" si="35"/>
        <v>0</v>
      </c>
      <c r="G466" s="8">
        <f t="shared" si="36"/>
        <v>0</v>
      </c>
    </row>
    <row r="467" spans="1:7" hidden="1" x14ac:dyDescent="0.25">
      <c r="A467" s="27" t="s">
        <v>644</v>
      </c>
      <c r="B467" s="321" t="s">
        <v>645</v>
      </c>
      <c r="C467" s="26"/>
      <c r="D467" s="26"/>
      <c r="E467" s="29"/>
      <c r="F467" s="16"/>
      <c r="G467" s="8">
        <f t="shared" si="36"/>
        <v>0</v>
      </c>
    </row>
    <row r="468" spans="1:7" hidden="1" x14ac:dyDescent="0.25">
      <c r="A468" s="27" t="s">
        <v>646</v>
      </c>
      <c r="B468" s="321" t="s">
        <v>649</v>
      </c>
      <c r="C468" s="26"/>
      <c r="D468" s="26"/>
      <c r="E468" s="29"/>
      <c r="F468" s="16"/>
      <c r="G468" s="8">
        <f t="shared" si="36"/>
        <v>0</v>
      </c>
    </row>
    <row r="469" spans="1:7" hidden="1" x14ac:dyDescent="0.25">
      <c r="A469" s="31" t="s">
        <v>647</v>
      </c>
      <c r="B469" s="320" t="s">
        <v>650</v>
      </c>
      <c r="C469" s="26" t="s">
        <v>683</v>
      </c>
      <c r="D469" s="26"/>
      <c r="E469" s="29"/>
      <c r="F469" s="16">
        <f>+D469*E469</f>
        <v>0</v>
      </c>
      <c r="G469" s="8">
        <f t="shared" si="36"/>
        <v>0</v>
      </c>
    </row>
    <row r="470" spans="1:7" hidden="1" x14ac:dyDescent="0.25">
      <c r="A470" s="31" t="s">
        <v>648</v>
      </c>
      <c r="B470" s="320" t="s">
        <v>651</v>
      </c>
      <c r="C470" s="26" t="s">
        <v>683</v>
      </c>
      <c r="D470" s="26"/>
      <c r="E470" s="29"/>
      <c r="F470" s="16">
        <f>+D470*E470</f>
        <v>0</v>
      </c>
      <c r="G470" s="8">
        <f t="shared" si="36"/>
        <v>0</v>
      </c>
    </row>
    <row r="471" spans="1:7" hidden="1" x14ac:dyDescent="0.25">
      <c r="A471" s="27" t="s">
        <v>588</v>
      </c>
      <c r="B471" s="321" t="s">
        <v>652</v>
      </c>
      <c r="C471" s="26"/>
      <c r="D471" s="26"/>
      <c r="E471" s="29"/>
      <c r="F471" s="16"/>
      <c r="G471" s="8"/>
    </row>
    <row r="472" spans="1:7" hidden="1" x14ac:dyDescent="0.25">
      <c r="A472" s="31" t="s">
        <v>589</v>
      </c>
      <c r="B472" s="320" t="s">
        <v>590</v>
      </c>
      <c r="C472" s="26" t="s">
        <v>591</v>
      </c>
      <c r="D472" s="26"/>
      <c r="E472" s="29">
        <f>+'APU CAP 5'!H970</f>
        <v>3455</v>
      </c>
      <c r="F472" s="16">
        <f>+D472*E472</f>
        <v>0</v>
      </c>
      <c r="G472" s="8">
        <f t="shared" si="36"/>
        <v>0</v>
      </c>
    </row>
    <row r="473" spans="1:7" hidden="1" x14ac:dyDescent="0.25">
      <c r="A473" s="27" t="s">
        <v>653</v>
      </c>
      <c r="B473" s="321" t="s">
        <v>654</v>
      </c>
      <c r="C473" s="26"/>
      <c r="D473" s="26"/>
      <c r="E473" s="29"/>
      <c r="F473" s="16"/>
      <c r="G473" s="8">
        <f t="shared" si="36"/>
        <v>0</v>
      </c>
    </row>
    <row r="474" spans="1:7" hidden="1" x14ac:dyDescent="0.25">
      <c r="A474" s="31" t="s">
        <v>5859</v>
      </c>
      <c r="B474" s="320" t="s">
        <v>655</v>
      </c>
      <c r="C474" s="26" t="s">
        <v>591</v>
      </c>
      <c r="D474" s="26"/>
      <c r="E474" s="29">
        <f>+'APU CAP 5'!P970</f>
        <v>3322</v>
      </c>
      <c r="F474" s="16">
        <f>+D474*E474</f>
        <v>0</v>
      </c>
      <c r="G474" s="8">
        <f t="shared" si="36"/>
        <v>0</v>
      </c>
    </row>
    <row r="475" spans="1:7" hidden="1" x14ac:dyDescent="0.25">
      <c r="A475" s="31" t="s">
        <v>5860</v>
      </c>
      <c r="B475" s="320" t="s">
        <v>656</v>
      </c>
      <c r="C475" s="26" t="s">
        <v>591</v>
      </c>
      <c r="D475" s="26"/>
      <c r="E475" s="29">
        <f>+'APU CAP 5'!X970</f>
        <v>4037</v>
      </c>
      <c r="F475" s="16">
        <f>+D475*E475</f>
        <v>0</v>
      </c>
      <c r="G475" s="8">
        <f t="shared" si="36"/>
        <v>0</v>
      </c>
    </row>
    <row r="476" spans="1:7" hidden="1" x14ac:dyDescent="0.25">
      <c r="A476" s="27" t="s">
        <v>657</v>
      </c>
      <c r="B476" s="321" t="s">
        <v>658</v>
      </c>
      <c r="C476" s="26"/>
      <c r="D476" s="26"/>
      <c r="E476" s="29"/>
      <c r="F476" s="16"/>
      <c r="G476" s="8">
        <f t="shared" si="36"/>
        <v>0</v>
      </c>
    </row>
    <row r="477" spans="1:7" hidden="1" x14ac:dyDescent="0.25">
      <c r="A477" s="31" t="s">
        <v>659</v>
      </c>
      <c r="B477" s="320" t="s">
        <v>660</v>
      </c>
      <c r="C477" s="26" t="s">
        <v>591</v>
      </c>
      <c r="D477" s="26"/>
      <c r="E477" s="29">
        <f>+'APU CAP 5'!H1024</f>
        <v>68668</v>
      </c>
      <c r="F477" s="16">
        <f>+D477*E477</f>
        <v>0</v>
      </c>
      <c r="G477" s="8">
        <f t="shared" si="36"/>
        <v>0</v>
      </c>
    </row>
    <row r="478" spans="1:7" hidden="1" x14ac:dyDescent="0.25">
      <c r="A478" s="31" t="s">
        <v>664</v>
      </c>
      <c r="B478" s="320" t="s">
        <v>661</v>
      </c>
      <c r="C478" s="26" t="s">
        <v>591</v>
      </c>
      <c r="D478" s="26"/>
      <c r="E478" s="29">
        <f>+'APU CAP 5'!H1078</f>
        <v>8894</v>
      </c>
      <c r="F478" s="16">
        <f>+D478*E478</f>
        <v>0</v>
      </c>
      <c r="G478" s="8">
        <f t="shared" si="36"/>
        <v>0</v>
      </c>
    </row>
    <row r="479" spans="1:7" hidden="1" x14ac:dyDescent="0.25">
      <c r="A479" s="31" t="s">
        <v>665</v>
      </c>
      <c r="B479" s="320" t="s">
        <v>662</v>
      </c>
      <c r="C479" s="26" t="s">
        <v>591</v>
      </c>
      <c r="D479" s="26"/>
      <c r="E479" s="29">
        <f>+'APU CAP 5'!H1132</f>
        <v>9723</v>
      </c>
      <c r="F479" s="16">
        <f>+D479*E479</f>
        <v>0</v>
      </c>
      <c r="G479" s="8">
        <f t="shared" si="36"/>
        <v>0</v>
      </c>
    </row>
    <row r="480" spans="1:7" hidden="1" x14ac:dyDescent="0.25">
      <c r="A480" s="31" t="s">
        <v>666</v>
      </c>
      <c r="B480" s="320" t="s">
        <v>663</v>
      </c>
      <c r="C480" s="26" t="s">
        <v>591</v>
      </c>
      <c r="D480" s="26"/>
      <c r="E480" s="29">
        <f>+'APU CAP 5'!H1186</f>
        <v>6166</v>
      </c>
      <c r="F480" s="16">
        <f>+D480*E480</f>
        <v>0</v>
      </c>
      <c r="G480" s="8">
        <f t="shared" si="36"/>
        <v>0</v>
      </c>
    </row>
    <row r="481" spans="1:7" hidden="1" x14ac:dyDescent="0.25">
      <c r="A481" s="27" t="s">
        <v>592</v>
      </c>
      <c r="B481" s="321" t="s">
        <v>593</v>
      </c>
      <c r="C481" s="26"/>
      <c r="D481" s="26"/>
      <c r="E481" s="29"/>
      <c r="F481" s="16"/>
      <c r="G481" s="8">
        <f t="shared" si="36"/>
        <v>0</v>
      </c>
    </row>
    <row r="482" spans="1:7" hidden="1" x14ac:dyDescent="0.25">
      <c r="A482" s="17" t="s">
        <v>667</v>
      </c>
      <c r="B482" s="18" t="s">
        <v>669</v>
      </c>
      <c r="C482" s="14" t="s">
        <v>14</v>
      </c>
      <c r="D482" s="14"/>
      <c r="E482" s="15">
        <f>+'APU CAP 5'!H1240</f>
        <v>31320</v>
      </c>
      <c r="F482" s="16">
        <f>+D482*E482</f>
        <v>0</v>
      </c>
      <c r="G482" s="8">
        <f t="shared" si="36"/>
        <v>0</v>
      </c>
    </row>
    <row r="483" spans="1:7" hidden="1" x14ac:dyDescent="0.25">
      <c r="A483" s="17" t="s">
        <v>668</v>
      </c>
      <c r="B483" s="18" t="s">
        <v>670</v>
      </c>
      <c r="C483" s="14" t="s">
        <v>14</v>
      </c>
      <c r="D483" s="14"/>
      <c r="E483" s="15">
        <f>+'APU CAP 5'!H1294</f>
        <v>48291</v>
      </c>
      <c r="F483" s="16">
        <f>+D483*E483</f>
        <v>0</v>
      </c>
      <c r="G483" s="8">
        <f t="shared" si="36"/>
        <v>0</v>
      </c>
    </row>
    <row r="484" spans="1:7" hidden="1" x14ac:dyDescent="0.25">
      <c r="A484" s="2454" t="s">
        <v>842</v>
      </c>
      <c r="B484" s="2455"/>
      <c r="C484" s="2455"/>
      <c r="D484" s="2455"/>
      <c r="E484" s="2455"/>
      <c r="F484" s="19">
        <f>SUM(F420:F483)</f>
        <v>0</v>
      </c>
      <c r="G484" s="8">
        <f t="shared" si="36"/>
        <v>0</v>
      </c>
    </row>
    <row r="485" spans="1:7" hidden="1" x14ac:dyDescent="0.25">
      <c r="A485" s="458">
        <v>6</v>
      </c>
      <c r="B485" s="459" t="s">
        <v>5867</v>
      </c>
      <c r="C485" s="63"/>
      <c r="D485" s="63"/>
      <c r="E485" s="460"/>
      <c r="F485" s="461"/>
      <c r="G485" s="8">
        <f t="shared" si="36"/>
        <v>0</v>
      </c>
    </row>
    <row r="486" spans="1:7" hidden="1" x14ac:dyDescent="0.25">
      <c r="A486" s="12" t="s">
        <v>673</v>
      </c>
      <c r="B486" s="13" t="s">
        <v>672</v>
      </c>
      <c r="C486" s="14"/>
      <c r="D486" s="14"/>
      <c r="E486" s="15"/>
      <c r="F486" s="16"/>
      <c r="G486" s="8">
        <f t="shared" si="36"/>
        <v>0</v>
      </c>
    </row>
    <row r="487" spans="1:7" hidden="1" x14ac:dyDescent="0.25">
      <c r="A487" s="12" t="s">
        <v>674</v>
      </c>
      <c r="B487" s="13" t="s">
        <v>811</v>
      </c>
      <c r="C487" s="14"/>
      <c r="D487" s="14"/>
      <c r="E487" s="15"/>
      <c r="F487" s="16"/>
      <c r="G487" s="8">
        <f t="shared" si="36"/>
        <v>0</v>
      </c>
    </row>
    <row r="488" spans="1:7" hidden="1" x14ac:dyDescent="0.25">
      <c r="A488" s="17" t="s">
        <v>812</v>
      </c>
      <c r="B488" s="18" t="s">
        <v>675</v>
      </c>
      <c r="C488" s="26" t="s">
        <v>683</v>
      </c>
      <c r="D488" s="14"/>
      <c r="E488" s="15">
        <f>+'APU CAP 6'!H272</f>
        <v>33748</v>
      </c>
      <c r="F488" s="16">
        <f>+D488*E488</f>
        <v>0</v>
      </c>
      <c r="G488" s="8">
        <f t="shared" si="36"/>
        <v>0</v>
      </c>
    </row>
    <row r="489" spans="1:7" hidden="1" x14ac:dyDescent="0.25">
      <c r="A489" s="12" t="s">
        <v>679</v>
      </c>
      <c r="B489" s="13" t="s">
        <v>5868</v>
      </c>
      <c r="C489" s="14"/>
      <c r="D489" s="14"/>
      <c r="E489" s="15"/>
      <c r="F489" s="16"/>
      <c r="G489" s="8">
        <f t="shared" si="36"/>
        <v>0</v>
      </c>
    </row>
    <row r="490" spans="1:7" hidden="1" x14ac:dyDescent="0.25">
      <c r="A490" s="17" t="s">
        <v>680</v>
      </c>
      <c r="B490" s="18" t="s">
        <v>678</v>
      </c>
      <c r="C490" s="26" t="s">
        <v>683</v>
      </c>
      <c r="D490" s="14"/>
      <c r="E490" s="15">
        <f>+'APU CAP 6'!H218</f>
        <v>28791</v>
      </c>
      <c r="F490" s="16">
        <f>+D490*E490</f>
        <v>0</v>
      </c>
      <c r="G490" s="8">
        <f t="shared" si="36"/>
        <v>0</v>
      </c>
    </row>
    <row r="491" spans="1:7" hidden="1" x14ac:dyDescent="0.25">
      <c r="A491" s="17" t="s">
        <v>681</v>
      </c>
      <c r="B491" s="18" t="s">
        <v>676</v>
      </c>
      <c r="C491" s="26" t="s">
        <v>683</v>
      </c>
      <c r="D491" s="14"/>
      <c r="E491" s="15">
        <f>+'APU CAP 6'!P218</f>
        <v>47712</v>
      </c>
      <c r="F491" s="16">
        <f>+D491*E491</f>
        <v>0</v>
      </c>
      <c r="G491" s="8">
        <f t="shared" si="36"/>
        <v>0</v>
      </c>
    </row>
    <row r="492" spans="1:7" hidden="1" x14ac:dyDescent="0.25">
      <c r="A492" s="17" t="s">
        <v>682</v>
      </c>
      <c r="B492" s="18" t="s">
        <v>677</v>
      </c>
      <c r="C492" s="26" t="s">
        <v>683</v>
      </c>
      <c r="D492" s="14"/>
      <c r="E492" s="15">
        <f>+'APU CAP 6'!X218</f>
        <v>88919</v>
      </c>
      <c r="F492" s="16">
        <f>+D492*E492</f>
        <v>0</v>
      </c>
      <c r="G492" s="8">
        <f t="shared" si="36"/>
        <v>0</v>
      </c>
    </row>
    <row r="493" spans="1:7" hidden="1" x14ac:dyDescent="0.25">
      <c r="A493" s="12" t="s">
        <v>684</v>
      </c>
      <c r="B493" s="13" t="s">
        <v>685</v>
      </c>
      <c r="C493" s="14"/>
      <c r="D493" s="14"/>
      <c r="E493" s="15"/>
      <c r="F493" s="16"/>
      <c r="G493" s="8">
        <f t="shared" si="36"/>
        <v>0</v>
      </c>
    </row>
    <row r="494" spans="1:7" hidden="1" x14ac:dyDescent="0.25">
      <c r="A494" s="17" t="s">
        <v>686</v>
      </c>
      <c r="B494" s="18" t="s">
        <v>676</v>
      </c>
      <c r="C494" s="26" t="s">
        <v>683</v>
      </c>
      <c r="D494" s="14"/>
      <c r="E494" s="15">
        <f>+'APU CAP 6'!H380</f>
        <v>64942</v>
      </c>
      <c r="F494" s="16">
        <f>+D494*E494</f>
        <v>0</v>
      </c>
      <c r="G494" s="8">
        <f t="shared" si="36"/>
        <v>0</v>
      </c>
    </row>
    <row r="495" spans="1:7" hidden="1" x14ac:dyDescent="0.25">
      <c r="A495" s="17" t="s">
        <v>687</v>
      </c>
      <c r="B495" s="18" t="s">
        <v>677</v>
      </c>
      <c r="C495" s="26" t="s">
        <v>683</v>
      </c>
      <c r="D495" s="14"/>
      <c r="E495" s="15">
        <f>+'APU CAP 6'!P380</f>
        <v>71108</v>
      </c>
      <c r="F495" s="16">
        <f>+D495*E495</f>
        <v>0</v>
      </c>
      <c r="G495" s="8">
        <f t="shared" si="36"/>
        <v>0</v>
      </c>
    </row>
    <row r="496" spans="1:7" hidden="1" x14ac:dyDescent="0.25">
      <c r="A496" s="12" t="s">
        <v>690</v>
      </c>
      <c r="B496" s="13" t="s">
        <v>688</v>
      </c>
      <c r="C496" s="14"/>
      <c r="D496" s="14"/>
      <c r="E496" s="15"/>
      <c r="F496" s="16"/>
      <c r="G496" s="8">
        <f t="shared" si="36"/>
        <v>0</v>
      </c>
    </row>
    <row r="497" spans="1:7" hidden="1" x14ac:dyDescent="0.25">
      <c r="A497" s="17" t="s">
        <v>689</v>
      </c>
      <c r="B497" s="18" t="s">
        <v>676</v>
      </c>
      <c r="C497" s="26" t="s">
        <v>683</v>
      </c>
      <c r="D497" s="14"/>
      <c r="E497" s="15">
        <f>+'APU CAP 6'!H326</f>
        <v>58048</v>
      </c>
      <c r="F497" s="16">
        <f>+D497*E497</f>
        <v>0</v>
      </c>
      <c r="G497" s="8">
        <f t="shared" si="36"/>
        <v>0</v>
      </c>
    </row>
    <row r="498" spans="1:7" hidden="1" x14ac:dyDescent="0.25">
      <c r="A498" s="17" t="s">
        <v>691</v>
      </c>
      <c r="B498" s="18" t="s">
        <v>677</v>
      </c>
      <c r="C498" s="26" t="s">
        <v>683</v>
      </c>
      <c r="D498" s="14"/>
      <c r="E498" s="15">
        <f>+'APU CAP 6'!P326</f>
        <v>105480</v>
      </c>
      <c r="F498" s="16">
        <f>+D498*E498</f>
        <v>0</v>
      </c>
      <c r="G498" s="8">
        <f t="shared" si="36"/>
        <v>0</v>
      </c>
    </row>
    <row r="499" spans="1:7" hidden="1" x14ac:dyDescent="0.25">
      <c r="A499" s="12" t="s">
        <v>693</v>
      </c>
      <c r="B499" s="13" t="s">
        <v>692</v>
      </c>
      <c r="C499" s="14"/>
      <c r="D499" s="14"/>
      <c r="E499" s="15"/>
      <c r="F499" s="16"/>
      <c r="G499" s="8">
        <f t="shared" si="36"/>
        <v>0</v>
      </c>
    </row>
    <row r="500" spans="1:7" hidden="1" x14ac:dyDescent="0.25">
      <c r="A500" s="17" t="s">
        <v>694</v>
      </c>
      <c r="B500" s="18" t="s">
        <v>695</v>
      </c>
      <c r="C500" s="26" t="s">
        <v>683</v>
      </c>
      <c r="D500" s="14"/>
      <c r="E500" s="15">
        <f>+'APU CAP 6'!H434</f>
        <v>14826</v>
      </c>
      <c r="F500" s="16">
        <f>+D500*E500</f>
        <v>0</v>
      </c>
      <c r="G500" s="8">
        <f t="shared" si="36"/>
        <v>0</v>
      </c>
    </row>
    <row r="501" spans="1:7" hidden="1" x14ac:dyDescent="0.25">
      <c r="A501" s="17" t="s">
        <v>698</v>
      </c>
      <c r="B501" s="18" t="s">
        <v>696</v>
      </c>
      <c r="C501" s="26" t="s">
        <v>683</v>
      </c>
      <c r="D501" s="14"/>
      <c r="E501" s="15">
        <f>+'APU CAP 6'!H434</f>
        <v>14826</v>
      </c>
      <c r="F501" s="16">
        <f>+D501*E501</f>
        <v>0</v>
      </c>
      <c r="G501" s="8">
        <f t="shared" si="36"/>
        <v>0</v>
      </c>
    </row>
    <row r="502" spans="1:7" hidden="1" x14ac:dyDescent="0.25">
      <c r="A502" s="17" t="s">
        <v>699</v>
      </c>
      <c r="B502" s="18" t="s">
        <v>697</v>
      </c>
      <c r="C502" s="26" t="s">
        <v>683</v>
      </c>
      <c r="D502" s="14"/>
      <c r="E502" s="15">
        <f>+'APU CAP 6'!H488</f>
        <v>17633</v>
      </c>
      <c r="F502" s="16">
        <f>+D502*E502</f>
        <v>0</v>
      </c>
      <c r="G502" s="8">
        <f t="shared" si="36"/>
        <v>0</v>
      </c>
    </row>
    <row r="503" spans="1:7" hidden="1" x14ac:dyDescent="0.25">
      <c r="A503" s="17" t="s">
        <v>700</v>
      </c>
      <c r="B503" s="18" t="s">
        <v>5730</v>
      </c>
      <c r="C503" s="26" t="s">
        <v>701</v>
      </c>
      <c r="D503" s="14"/>
      <c r="E503" s="15">
        <f>+'APU CAP 6'!H542</f>
        <v>844381</v>
      </c>
      <c r="F503" s="16">
        <f>+D503*E503</f>
        <v>0</v>
      </c>
      <c r="G503" s="8">
        <f t="shared" si="36"/>
        <v>0</v>
      </c>
    </row>
    <row r="504" spans="1:7" hidden="1" x14ac:dyDescent="0.25">
      <c r="A504" s="12" t="s">
        <v>703</v>
      </c>
      <c r="B504" s="13" t="s">
        <v>702</v>
      </c>
      <c r="C504" s="14"/>
      <c r="D504" s="14"/>
      <c r="E504" s="15"/>
      <c r="F504" s="16"/>
      <c r="G504" s="8">
        <f t="shared" si="36"/>
        <v>0</v>
      </c>
    </row>
    <row r="505" spans="1:7" hidden="1" x14ac:dyDescent="0.25">
      <c r="A505" s="12" t="s">
        <v>705</v>
      </c>
      <c r="B505" s="13" t="s">
        <v>704</v>
      </c>
      <c r="C505" s="14"/>
      <c r="D505" s="14"/>
      <c r="E505" s="15"/>
      <c r="F505" s="16"/>
      <c r="G505" s="8">
        <f t="shared" si="36"/>
        <v>0</v>
      </c>
    </row>
    <row r="506" spans="1:7" hidden="1" x14ac:dyDescent="0.25">
      <c r="A506" s="17" t="s">
        <v>706</v>
      </c>
      <c r="B506" s="18" t="s">
        <v>709</v>
      </c>
      <c r="C506" s="26" t="s">
        <v>683</v>
      </c>
      <c r="D506" s="14"/>
      <c r="E506" s="15">
        <f>+'APU CAP 6'!H596</f>
        <v>40122</v>
      </c>
      <c r="F506" s="16">
        <f>+D506*E506</f>
        <v>0</v>
      </c>
      <c r="G506" s="8">
        <f t="shared" si="36"/>
        <v>0</v>
      </c>
    </row>
    <row r="507" spans="1:7" hidden="1" x14ac:dyDescent="0.25">
      <c r="A507" s="17" t="s">
        <v>710</v>
      </c>
      <c r="B507" s="18" t="s">
        <v>707</v>
      </c>
      <c r="C507" s="26" t="s">
        <v>683</v>
      </c>
      <c r="D507" s="14"/>
      <c r="E507" s="15">
        <f>+'APU CAP 6'!P596</f>
        <v>49572</v>
      </c>
      <c r="F507" s="16">
        <f>+D507*E507</f>
        <v>0</v>
      </c>
      <c r="G507" s="8">
        <f t="shared" si="36"/>
        <v>0</v>
      </c>
    </row>
    <row r="508" spans="1:7" hidden="1" x14ac:dyDescent="0.25">
      <c r="A508" s="17" t="s">
        <v>711</v>
      </c>
      <c r="B508" s="18" t="s">
        <v>708</v>
      </c>
      <c r="C508" s="26" t="s">
        <v>683</v>
      </c>
      <c r="D508" s="14"/>
      <c r="E508" s="15">
        <f>+'APU CAP 6'!X596</f>
        <v>53124</v>
      </c>
      <c r="F508" s="16">
        <f>+D508*E508</f>
        <v>0</v>
      </c>
      <c r="G508" s="8">
        <f t="shared" si="36"/>
        <v>0</v>
      </c>
    </row>
    <row r="509" spans="1:7" hidden="1" x14ac:dyDescent="0.25">
      <c r="A509" s="17" t="s">
        <v>714</v>
      </c>
      <c r="B509" s="18" t="s">
        <v>813</v>
      </c>
      <c r="C509" s="26" t="s">
        <v>683</v>
      </c>
      <c r="D509" s="14"/>
      <c r="E509" s="471">
        <f>+'APU CAP 6'!AF596</f>
        <v>41574</v>
      </c>
      <c r="F509" s="16">
        <f>+D509*E509</f>
        <v>0</v>
      </c>
      <c r="G509" s="8">
        <f t="shared" si="36"/>
        <v>0</v>
      </c>
    </row>
    <row r="510" spans="1:7" hidden="1" x14ac:dyDescent="0.25">
      <c r="A510" s="12" t="s">
        <v>712</v>
      </c>
      <c r="B510" s="13" t="s">
        <v>713</v>
      </c>
      <c r="C510" s="132"/>
      <c r="D510" s="14"/>
      <c r="E510" s="15"/>
      <c r="F510" s="16"/>
      <c r="G510" s="8">
        <f t="shared" si="36"/>
        <v>0</v>
      </c>
    </row>
    <row r="511" spans="1:7" hidden="1" x14ac:dyDescent="0.25">
      <c r="A511" s="17" t="s">
        <v>715</v>
      </c>
      <c r="B511" s="18" t="s">
        <v>716</v>
      </c>
      <c r="C511" s="26" t="s">
        <v>683</v>
      </c>
      <c r="D511" s="14"/>
      <c r="E511" s="15">
        <f>+'APU CAP 6'!H650</f>
        <v>39539</v>
      </c>
      <c r="F511" s="16">
        <f>+D511*E511</f>
        <v>0</v>
      </c>
      <c r="G511" s="8">
        <f t="shared" si="36"/>
        <v>0</v>
      </c>
    </row>
    <row r="512" spans="1:7" hidden="1" x14ac:dyDescent="0.25">
      <c r="A512" s="17" t="s">
        <v>717</v>
      </c>
      <c r="B512" s="18" t="s">
        <v>718</v>
      </c>
      <c r="C512" s="26" t="s">
        <v>683</v>
      </c>
      <c r="D512" s="14"/>
      <c r="E512" s="15">
        <f>+'APU CAP 6'!P650</f>
        <v>7770</v>
      </c>
      <c r="F512" s="16">
        <f>+D512*E512</f>
        <v>0</v>
      </c>
      <c r="G512" s="8">
        <f t="shared" si="36"/>
        <v>0</v>
      </c>
    </row>
    <row r="513" spans="1:7" hidden="1" x14ac:dyDescent="0.25">
      <c r="A513" s="12" t="s">
        <v>719</v>
      </c>
      <c r="B513" s="13" t="s">
        <v>720</v>
      </c>
      <c r="C513" s="132"/>
      <c r="D513" s="14"/>
      <c r="E513" s="15"/>
      <c r="F513" s="16"/>
      <c r="G513" s="8">
        <f t="shared" si="36"/>
        <v>0</v>
      </c>
    </row>
    <row r="514" spans="1:7" hidden="1" x14ac:dyDescent="0.25">
      <c r="A514" s="17" t="s">
        <v>721</v>
      </c>
      <c r="B514" s="18" t="s">
        <v>743</v>
      </c>
      <c r="C514" s="14" t="s">
        <v>37</v>
      </c>
      <c r="D514" s="14"/>
      <c r="E514" s="15">
        <f>+'APU CAP 6'!H704</f>
        <v>105787.4</v>
      </c>
      <c r="F514" s="16">
        <f>+D514*E514</f>
        <v>0</v>
      </c>
      <c r="G514" s="8">
        <f t="shared" si="36"/>
        <v>0</v>
      </c>
    </row>
    <row r="515" spans="1:7" hidden="1" x14ac:dyDescent="0.25">
      <c r="A515" s="17" t="s">
        <v>723</v>
      </c>
      <c r="B515" s="18" t="s">
        <v>722</v>
      </c>
      <c r="C515" s="14" t="s">
        <v>37</v>
      </c>
      <c r="D515" s="14"/>
      <c r="E515" s="15">
        <f>+'APU CAP 6'!H758</f>
        <v>51791.000000000007</v>
      </c>
      <c r="F515" s="16">
        <f>+D515*E515</f>
        <v>0</v>
      </c>
      <c r="G515" s="8">
        <f t="shared" si="36"/>
        <v>0</v>
      </c>
    </row>
    <row r="516" spans="1:7" hidden="1" x14ac:dyDescent="0.25">
      <c r="A516" s="17" t="s">
        <v>724</v>
      </c>
      <c r="B516" s="18" t="s">
        <v>744</v>
      </c>
      <c r="C516" s="14" t="s">
        <v>37</v>
      </c>
      <c r="D516" s="14"/>
      <c r="E516" s="15">
        <f>+'APU CAP 6'!H812</f>
        <v>70662.600000000006</v>
      </c>
      <c r="F516" s="16">
        <f>+D516*E516</f>
        <v>0</v>
      </c>
      <c r="G516" s="8">
        <f t="shared" si="36"/>
        <v>0</v>
      </c>
    </row>
    <row r="517" spans="1:7" hidden="1" x14ac:dyDescent="0.25">
      <c r="A517" s="12" t="s">
        <v>725</v>
      </c>
      <c r="B517" s="13" t="s">
        <v>726</v>
      </c>
      <c r="C517" s="14"/>
      <c r="D517" s="14"/>
      <c r="E517" s="15"/>
      <c r="F517" s="16"/>
      <c r="G517" s="8">
        <f t="shared" si="36"/>
        <v>0</v>
      </c>
    </row>
    <row r="518" spans="1:7" hidden="1" x14ac:dyDescent="0.25">
      <c r="A518" s="17" t="s">
        <v>727</v>
      </c>
      <c r="B518" s="18" t="s">
        <v>728</v>
      </c>
      <c r="C518" s="14" t="s">
        <v>37</v>
      </c>
      <c r="D518" s="14"/>
      <c r="E518" s="15">
        <f>+'APU CAP 6'!H920</f>
        <v>163961</v>
      </c>
      <c r="F518" s="16">
        <f>+D518*E518</f>
        <v>0</v>
      </c>
      <c r="G518" s="8">
        <f t="shared" si="36"/>
        <v>0</v>
      </c>
    </row>
    <row r="519" spans="1:7" hidden="1" x14ac:dyDescent="0.25">
      <c r="A519" s="17" t="s">
        <v>731</v>
      </c>
      <c r="B519" s="18" t="s">
        <v>729</v>
      </c>
      <c r="C519" s="14" t="s">
        <v>37</v>
      </c>
      <c r="D519" s="14"/>
      <c r="E519" s="15">
        <f>+'APU CAP 6'!H866</f>
        <v>225481</v>
      </c>
      <c r="F519" s="16">
        <f>+D519*E519</f>
        <v>0</v>
      </c>
      <c r="G519" s="8">
        <f t="shared" si="36"/>
        <v>0</v>
      </c>
    </row>
    <row r="520" spans="1:7" hidden="1" x14ac:dyDescent="0.25">
      <c r="A520" s="17" t="s">
        <v>732</v>
      </c>
      <c r="B520" s="18" t="s">
        <v>730</v>
      </c>
      <c r="C520" s="14" t="s">
        <v>37</v>
      </c>
      <c r="D520" s="14"/>
      <c r="E520" s="15">
        <f>+'APU CAP 6'!P866</f>
        <v>188096</v>
      </c>
      <c r="F520" s="16">
        <f>+D520*E520</f>
        <v>0</v>
      </c>
      <c r="G520" s="8">
        <f t="shared" si="36"/>
        <v>0</v>
      </c>
    </row>
    <row r="521" spans="1:7" hidden="1" x14ac:dyDescent="0.25">
      <c r="A521" s="17" t="s">
        <v>733</v>
      </c>
      <c r="B521" s="18" t="s">
        <v>5869</v>
      </c>
      <c r="C521" s="14" t="s">
        <v>37</v>
      </c>
      <c r="D521" s="14"/>
      <c r="E521" s="15">
        <f>+'APU CAP 6'!H974</f>
        <v>178771</v>
      </c>
      <c r="F521" s="16">
        <f>+D521*E521</f>
        <v>0</v>
      </c>
      <c r="G521" s="8">
        <f t="shared" si="36"/>
        <v>0</v>
      </c>
    </row>
    <row r="522" spans="1:7" hidden="1" x14ac:dyDescent="0.25">
      <c r="A522" s="17" t="s">
        <v>734</v>
      </c>
      <c r="B522" s="18" t="s">
        <v>735</v>
      </c>
      <c r="C522" s="14" t="s">
        <v>37</v>
      </c>
      <c r="D522" s="14"/>
      <c r="E522" s="15">
        <f>+'APU CAP 6'!H1028</f>
        <v>146447</v>
      </c>
      <c r="F522" s="16">
        <f>+D522*E522</f>
        <v>0</v>
      </c>
      <c r="G522" s="8">
        <f t="shared" si="36"/>
        <v>0</v>
      </c>
    </row>
    <row r="523" spans="1:7" hidden="1" x14ac:dyDescent="0.25">
      <c r="A523" s="12" t="s">
        <v>736</v>
      </c>
      <c r="B523" s="13" t="s">
        <v>737</v>
      </c>
      <c r="C523" s="132"/>
      <c r="D523" s="14"/>
      <c r="E523" s="15"/>
      <c r="F523" s="16"/>
      <c r="G523" s="8">
        <f t="shared" ref="G523:G586" si="37">+IF(F523&lt;&gt;0,1,0)</f>
        <v>0</v>
      </c>
    </row>
    <row r="524" spans="1:7" ht="25.5" hidden="1" x14ac:dyDescent="0.25">
      <c r="A524" s="17" t="s">
        <v>738</v>
      </c>
      <c r="B524" s="25" t="s">
        <v>5873</v>
      </c>
      <c r="C524" s="14" t="s">
        <v>37</v>
      </c>
      <c r="D524" s="14"/>
      <c r="E524" s="15">
        <f>+'APU CAP 6'!H1082</f>
        <v>388363.625</v>
      </c>
      <c r="F524" s="16">
        <f>+D524*E524</f>
        <v>0</v>
      </c>
      <c r="G524" s="8">
        <f t="shared" si="37"/>
        <v>0</v>
      </c>
    </row>
    <row r="525" spans="1:7" ht="25.5" hidden="1" x14ac:dyDescent="0.25">
      <c r="A525" s="17" t="s">
        <v>739</v>
      </c>
      <c r="B525" s="25" t="s">
        <v>740</v>
      </c>
      <c r="C525" s="14" t="s">
        <v>37</v>
      </c>
      <c r="D525" s="14"/>
      <c r="E525" s="15"/>
      <c r="F525" s="16">
        <f>+D525*E525</f>
        <v>0</v>
      </c>
      <c r="G525" s="8">
        <f t="shared" si="37"/>
        <v>0</v>
      </c>
    </row>
    <row r="526" spans="1:7" hidden="1" x14ac:dyDescent="0.25">
      <c r="A526" s="12" t="s">
        <v>741</v>
      </c>
      <c r="B526" s="13" t="s">
        <v>742</v>
      </c>
      <c r="C526" s="132"/>
      <c r="D526" s="14"/>
      <c r="E526" s="15"/>
      <c r="F526" s="16"/>
      <c r="G526" s="8">
        <f t="shared" si="37"/>
        <v>0</v>
      </c>
    </row>
    <row r="527" spans="1:7" ht="25.5" hidden="1" x14ac:dyDescent="0.25">
      <c r="A527" s="17" t="s">
        <v>745</v>
      </c>
      <c r="B527" s="25" t="s">
        <v>5872</v>
      </c>
      <c r="C527" s="14" t="s">
        <v>37</v>
      </c>
      <c r="D527" s="14"/>
      <c r="E527" s="15">
        <f>+'APU CAP 6'!H1460</f>
        <v>652620</v>
      </c>
      <c r="F527" s="16">
        <f>+D527*E527</f>
        <v>0</v>
      </c>
      <c r="G527" s="8">
        <f t="shared" si="37"/>
        <v>0</v>
      </c>
    </row>
    <row r="528" spans="1:7" ht="25.5" hidden="1" x14ac:dyDescent="0.25">
      <c r="A528" s="17" t="s">
        <v>746</v>
      </c>
      <c r="B528" s="25" t="s">
        <v>5870</v>
      </c>
      <c r="C528" s="14" t="s">
        <v>37</v>
      </c>
      <c r="D528" s="14"/>
      <c r="E528" s="15">
        <f>+'APU CAP 6'!P1460</f>
        <v>2197467</v>
      </c>
      <c r="F528" s="16">
        <f>+D528*E528</f>
        <v>0</v>
      </c>
      <c r="G528" s="8">
        <f t="shared" si="37"/>
        <v>0</v>
      </c>
    </row>
    <row r="529" spans="1:7" hidden="1" x14ac:dyDescent="0.25">
      <c r="A529" s="17" t="s">
        <v>747</v>
      </c>
      <c r="B529" s="18" t="s">
        <v>5871</v>
      </c>
      <c r="C529" s="26" t="s">
        <v>683</v>
      </c>
      <c r="D529" s="14"/>
      <c r="E529" s="15">
        <f>+'APU CAP 6'!H1514</f>
        <v>208373</v>
      </c>
      <c r="F529" s="16">
        <f>+D529*E529</f>
        <v>0</v>
      </c>
      <c r="G529" s="8">
        <f t="shared" si="37"/>
        <v>0</v>
      </c>
    </row>
    <row r="530" spans="1:7" hidden="1" x14ac:dyDescent="0.25">
      <c r="A530" s="12" t="s">
        <v>748</v>
      </c>
      <c r="B530" s="13" t="s">
        <v>749</v>
      </c>
      <c r="C530" s="132"/>
      <c r="D530" s="14"/>
      <c r="E530" s="15"/>
      <c r="F530" s="16"/>
      <c r="G530" s="8">
        <f t="shared" si="37"/>
        <v>0</v>
      </c>
    </row>
    <row r="531" spans="1:7" hidden="1" x14ac:dyDescent="0.25">
      <c r="A531" s="17" t="s">
        <v>750</v>
      </c>
      <c r="B531" s="18" t="s">
        <v>751</v>
      </c>
      <c r="C531" s="14" t="s">
        <v>591</v>
      </c>
      <c r="D531" s="14"/>
      <c r="E531" s="15"/>
      <c r="F531" s="16">
        <f>+D531*E531</f>
        <v>0</v>
      </c>
      <c r="G531" s="8">
        <f t="shared" si="37"/>
        <v>0</v>
      </c>
    </row>
    <row r="532" spans="1:7" hidden="1" x14ac:dyDescent="0.25">
      <c r="A532" s="17" t="s">
        <v>752</v>
      </c>
      <c r="B532" s="18" t="s">
        <v>757</v>
      </c>
      <c r="C532" s="26" t="s">
        <v>683</v>
      </c>
      <c r="D532" s="14"/>
      <c r="E532" s="15"/>
      <c r="F532" s="16">
        <f>+D532*E532</f>
        <v>0</v>
      </c>
      <c r="G532" s="8">
        <f t="shared" si="37"/>
        <v>0</v>
      </c>
    </row>
    <row r="533" spans="1:7" hidden="1" x14ac:dyDescent="0.25">
      <c r="A533" s="12" t="s">
        <v>753</v>
      </c>
      <c r="B533" s="13" t="s">
        <v>754</v>
      </c>
      <c r="C533" s="14"/>
      <c r="D533" s="14"/>
      <c r="E533" s="15"/>
      <c r="F533" s="16"/>
      <c r="G533" s="8">
        <f t="shared" si="37"/>
        <v>0</v>
      </c>
    </row>
    <row r="534" spans="1:7" hidden="1" x14ac:dyDescent="0.25">
      <c r="A534" s="17" t="s">
        <v>755</v>
      </c>
      <c r="B534" s="18" t="s">
        <v>756</v>
      </c>
      <c r="C534" s="26" t="s">
        <v>683</v>
      </c>
      <c r="D534" s="14"/>
      <c r="E534" s="15"/>
      <c r="F534" s="16">
        <f>+D534*E534</f>
        <v>0</v>
      </c>
      <c r="G534" s="8">
        <f t="shared" si="37"/>
        <v>0</v>
      </c>
    </row>
    <row r="535" spans="1:7" hidden="1" x14ac:dyDescent="0.25">
      <c r="A535" s="17" t="s">
        <v>758</v>
      </c>
      <c r="B535" s="18" t="s">
        <v>759</v>
      </c>
      <c r="C535" s="26" t="s">
        <v>683</v>
      </c>
      <c r="D535" s="14"/>
      <c r="E535" s="15"/>
      <c r="F535" s="16">
        <f>+D535*E535</f>
        <v>0</v>
      </c>
      <c r="G535" s="8">
        <f t="shared" si="37"/>
        <v>0</v>
      </c>
    </row>
    <row r="536" spans="1:7" hidden="1" x14ac:dyDescent="0.25">
      <c r="A536" s="12" t="s">
        <v>760</v>
      </c>
      <c r="B536" s="13" t="s">
        <v>5874</v>
      </c>
      <c r="C536" s="14"/>
      <c r="D536" s="14"/>
      <c r="E536" s="15"/>
      <c r="F536" s="16"/>
      <c r="G536" s="8">
        <f t="shared" si="37"/>
        <v>0</v>
      </c>
    </row>
    <row r="537" spans="1:7" hidden="1" x14ac:dyDescent="0.25">
      <c r="A537" s="12" t="s">
        <v>761</v>
      </c>
      <c r="B537" s="13" t="s">
        <v>763</v>
      </c>
      <c r="C537" s="132"/>
      <c r="D537" s="14"/>
      <c r="E537" s="15"/>
      <c r="F537" s="16"/>
      <c r="G537" s="8">
        <f t="shared" si="37"/>
        <v>0</v>
      </c>
    </row>
    <row r="538" spans="1:7" hidden="1" x14ac:dyDescent="0.25">
      <c r="A538" s="17" t="s">
        <v>764</v>
      </c>
      <c r="B538" s="18" t="s">
        <v>5875</v>
      </c>
      <c r="C538" s="14" t="s">
        <v>14</v>
      </c>
      <c r="D538" s="14"/>
      <c r="E538" s="15"/>
      <c r="F538" s="16">
        <f>+D538*E538</f>
        <v>0</v>
      </c>
      <c r="G538" s="8">
        <f t="shared" si="37"/>
        <v>0</v>
      </c>
    </row>
    <row r="539" spans="1:7" hidden="1" x14ac:dyDescent="0.25">
      <c r="A539" s="17" t="s">
        <v>765</v>
      </c>
      <c r="B539" s="18" t="s">
        <v>766</v>
      </c>
      <c r="C539" s="14" t="s">
        <v>14</v>
      </c>
      <c r="D539" s="14"/>
      <c r="E539" s="15"/>
      <c r="F539" s="16">
        <f>+D539*E539</f>
        <v>0</v>
      </c>
      <c r="G539" s="8">
        <f t="shared" si="37"/>
        <v>0</v>
      </c>
    </row>
    <row r="540" spans="1:7" hidden="1" x14ac:dyDescent="0.25">
      <c r="A540" s="17" t="s">
        <v>767</v>
      </c>
      <c r="B540" s="18" t="s">
        <v>5876</v>
      </c>
      <c r="C540" s="14" t="s">
        <v>14</v>
      </c>
      <c r="D540" s="14"/>
      <c r="E540" s="15"/>
      <c r="F540" s="16">
        <f>+D540*E540</f>
        <v>0</v>
      </c>
      <c r="G540" s="8">
        <f t="shared" si="37"/>
        <v>0</v>
      </c>
    </row>
    <row r="541" spans="1:7" hidden="1" x14ac:dyDescent="0.25">
      <c r="A541" s="12" t="s">
        <v>762</v>
      </c>
      <c r="B541" s="13" t="s">
        <v>771</v>
      </c>
      <c r="C541" s="14"/>
      <c r="D541" s="14"/>
      <c r="E541" s="15"/>
      <c r="F541" s="16"/>
      <c r="G541" s="8">
        <f t="shared" si="37"/>
        <v>0</v>
      </c>
    </row>
    <row r="542" spans="1:7" hidden="1" x14ac:dyDescent="0.25">
      <c r="A542" s="17" t="s">
        <v>768</v>
      </c>
      <c r="B542" s="18" t="s">
        <v>5878</v>
      </c>
      <c r="C542" s="14" t="s">
        <v>14</v>
      </c>
      <c r="D542" s="14"/>
      <c r="E542" s="15"/>
      <c r="F542" s="16">
        <f>+D542*E542</f>
        <v>0</v>
      </c>
      <c r="G542" s="8">
        <f t="shared" si="37"/>
        <v>0</v>
      </c>
    </row>
    <row r="543" spans="1:7" hidden="1" x14ac:dyDescent="0.25">
      <c r="A543" s="17" t="s">
        <v>769</v>
      </c>
      <c r="B543" s="18" t="s">
        <v>770</v>
      </c>
      <c r="C543" s="14" t="s">
        <v>14</v>
      </c>
      <c r="D543" s="14"/>
      <c r="E543" s="15"/>
      <c r="F543" s="16">
        <f>+D543*E543</f>
        <v>0</v>
      </c>
      <c r="G543" s="8">
        <f t="shared" si="37"/>
        <v>0</v>
      </c>
    </row>
    <row r="544" spans="1:7" ht="25.5" hidden="1" x14ac:dyDescent="0.25">
      <c r="A544" s="12" t="s">
        <v>772</v>
      </c>
      <c r="B544" s="25" t="s">
        <v>5877</v>
      </c>
      <c r="C544" s="26" t="s">
        <v>683</v>
      </c>
      <c r="D544" s="14"/>
      <c r="E544" s="15"/>
      <c r="F544" s="16">
        <f>+D544*E544</f>
        <v>0</v>
      </c>
      <c r="G544" s="8">
        <f t="shared" si="37"/>
        <v>0</v>
      </c>
    </row>
    <row r="545" spans="1:7" hidden="1" x14ac:dyDescent="0.25">
      <c r="A545" s="2454" t="s">
        <v>843</v>
      </c>
      <c r="B545" s="2455"/>
      <c r="C545" s="2455"/>
      <c r="D545" s="2455"/>
      <c r="E545" s="2455"/>
      <c r="F545" s="16"/>
      <c r="G545" s="8">
        <f t="shared" si="37"/>
        <v>0</v>
      </c>
    </row>
    <row r="546" spans="1:7" hidden="1" x14ac:dyDescent="0.25">
      <c r="A546" s="458">
        <v>7</v>
      </c>
      <c r="B546" s="459" t="s">
        <v>773</v>
      </c>
      <c r="C546" s="63"/>
      <c r="D546" s="63"/>
      <c r="E546" s="460"/>
      <c r="F546" s="461"/>
      <c r="G546" s="8"/>
    </row>
    <row r="547" spans="1:7" hidden="1" x14ac:dyDescent="0.25">
      <c r="A547" s="12" t="s">
        <v>774</v>
      </c>
      <c r="B547" s="13" t="s">
        <v>788</v>
      </c>
      <c r="C547" s="14"/>
      <c r="D547" s="14"/>
      <c r="E547" s="15"/>
      <c r="F547" s="16"/>
      <c r="G547" s="8"/>
    </row>
    <row r="548" spans="1:7" hidden="1" x14ac:dyDescent="0.25">
      <c r="A548" s="17" t="s">
        <v>778</v>
      </c>
      <c r="B548" s="18" t="s">
        <v>775</v>
      </c>
      <c r="C548" s="26" t="s">
        <v>701</v>
      </c>
      <c r="D548" s="14"/>
      <c r="E548" s="15">
        <f>+'APU CAP 7'!P51</f>
        <v>513977</v>
      </c>
      <c r="F548" s="16">
        <f>+D548*E548</f>
        <v>0</v>
      </c>
      <c r="G548" s="8">
        <f t="shared" si="37"/>
        <v>0</v>
      </c>
    </row>
    <row r="549" spans="1:7" hidden="1" x14ac:dyDescent="0.25">
      <c r="A549" s="17" t="s">
        <v>779</v>
      </c>
      <c r="B549" s="18" t="s">
        <v>776</v>
      </c>
      <c r="C549" s="26" t="s">
        <v>701</v>
      </c>
      <c r="D549" s="14"/>
      <c r="E549" s="15">
        <f>+'APU CAP 7'!P105</f>
        <v>543457</v>
      </c>
      <c r="F549" s="16">
        <f>+D549*E549</f>
        <v>0</v>
      </c>
      <c r="G549" s="8">
        <f t="shared" si="37"/>
        <v>0</v>
      </c>
    </row>
    <row r="550" spans="1:7" hidden="1" x14ac:dyDescent="0.25">
      <c r="A550" s="17" t="s">
        <v>780</v>
      </c>
      <c r="B550" s="18" t="s">
        <v>777</v>
      </c>
      <c r="C550" s="26" t="s">
        <v>701</v>
      </c>
      <c r="D550" s="14"/>
      <c r="E550" s="15">
        <f>+'APU CAP 7'!P159</f>
        <v>562778</v>
      </c>
      <c r="F550" s="16">
        <f>+D550*E550</f>
        <v>0</v>
      </c>
      <c r="G550" s="8">
        <f t="shared" si="37"/>
        <v>0</v>
      </c>
    </row>
    <row r="551" spans="1:7" hidden="1" x14ac:dyDescent="0.25">
      <c r="A551" s="12" t="s">
        <v>781</v>
      </c>
      <c r="B551" s="13" t="s">
        <v>789</v>
      </c>
      <c r="C551" s="14"/>
      <c r="D551" s="14"/>
      <c r="E551" s="15"/>
      <c r="F551" s="16"/>
      <c r="G551" s="8"/>
    </row>
    <row r="552" spans="1:7" hidden="1" x14ac:dyDescent="0.25">
      <c r="A552" s="17" t="s">
        <v>782</v>
      </c>
      <c r="B552" s="18" t="s">
        <v>787</v>
      </c>
      <c r="C552" s="26" t="s">
        <v>701</v>
      </c>
      <c r="D552" s="14"/>
      <c r="E552" s="15">
        <f>+'APU CAP 7'!P321</f>
        <v>435599</v>
      </c>
      <c r="F552" s="16">
        <f>+D552*E552</f>
        <v>0</v>
      </c>
      <c r="G552" s="8">
        <f t="shared" si="37"/>
        <v>0</v>
      </c>
    </row>
    <row r="553" spans="1:7" hidden="1" x14ac:dyDescent="0.25">
      <c r="A553" s="17" t="s">
        <v>784</v>
      </c>
      <c r="B553" s="18" t="s">
        <v>783</v>
      </c>
      <c r="C553" s="26" t="s">
        <v>701</v>
      </c>
      <c r="D553" s="14"/>
      <c r="E553" s="15">
        <f>+'APU CAP 7'!P213</f>
        <v>448853</v>
      </c>
      <c r="F553" s="16">
        <f>+D553*E553</f>
        <v>0</v>
      </c>
      <c r="G553" s="8">
        <f t="shared" si="37"/>
        <v>0</v>
      </c>
    </row>
    <row r="554" spans="1:7" hidden="1" x14ac:dyDescent="0.25">
      <c r="A554" s="17" t="s">
        <v>785</v>
      </c>
      <c r="B554" s="18" t="s">
        <v>786</v>
      </c>
      <c r="C554" s="26" t="s">
        <v>701</v>
      </c>
      <c r="D554" s="14"/>
      <c r="E554" s="15">
        <f>+'APU CAP 7'!P267</f>
        <v>458210</v>
      </c>
      <c r="F554" s="16">
        <f>+D554*E554</f>
        <v>0</v>
      </c>
      <c r="G554" s="8">
        <f t="shared" si="37"/>
        <v>0</v>
      </c>
    </row>
    <row r="555" spans="1:7" hidden="1" x14ac:dyDescent="0.25">
      <c r="A555" s="17" t="s">
        <v>797</v>
      </c>
      <c r="B555" s="18" t="s">
        <v>798</v>
      </c>
      <c r="C555" s="26" t="s">
        <v>683</v>
      </c>
      <c r="D555" s="14"/>
      <c r="E555" s="15"/>
      <c r="F555" s="16">
        <f>+D555*E555</f>
        <v>0</v>
      </c>
      <c r="G555" s="8">
        <f t="shared" si="37"/>
        <v>0</v>
      </c>
    </row>
    <row r="556" spans="1:7" hidden="1" x14ac:dyDescent="0.25">
      <c r="A556" s="12" t="s">
        <v>790</v>
      </c>
      <c r="B556" s="13" t="s">
        <v>791</v>
      </c>
      <c r="C556" s="14"/>
      <c r="D556" s="14"/>
      <c r="E556" s="15"/>
      <c r="F556" s="16"/>
      <c r="G556" s="8">
        <f t="shared" si="37"/>
        <v>0</v>
      </c>
    </row>
    <row r="557" spans="1:7" hidden="1" x14ac:dyDescent="0.25">
      <c r="A557" s="17" t="s">
        <v>792</v>
      </c>
      <c r="B557" s="18" t="s">
        <v>795</v>
      </c>
      <c r="C557" s="26" t="s">
        <v>683</v>
      </c>
      <c r="D557" s="14"/>
      <c r="E557" s="15">
        <f>+'APU CAP 7'!H429</f>
        <v>44478</v>
      </c>
      <c r="F557" s="16">
        <f>+D557*E557</f>
        <v>0</v>
      </c>
      <c r="G557" s="8">
        <f t="shared" si="37"/>
        <v>0</v>
      </c>
    </row>
    <row r="558" spans="1:7" hidden="1" x14ac:dyDescent="0.25">
      <c r="A558" s="17" t="s">
        <v>793</v>
      </c>
      <c r="B558" s="18" t="s">
        <v>6260</v>
      </c>
      <c r="C558" s="26" t="s">
        <v>683</v>
      </c>
      <c r="D558" s="14"/>
      <c r="E558" s="15">
        <f>+'APU CAP 7'!H483</f>
        <v>59916</v>
      </c>
      <c r="F558" s="16">
        <f>+D558*E558</f>
        <v>0</v>
      </c>
      <c r="G558" s="8">
        <f t="shared" si="37"/>
        <v>0</v>
      </c>
    </row>
    <row r="559" spans="1:7" hidden="1" x14ac:dyDescent="0.25">
      <c r="A559" s="17" t="s">
        <v>794</v>
      </c>
      <c r="B559" s="18" t="s">
        <v>796</v>
      </c>
      <c r="C559" s="26" t="s">
        <v>683</v>
      </c>
      <c r="D559" s="14"/>
      <c r="E559" s="15">
        <f>+'APU CAP 7'!H537</f>
        <v>64115</v>
      </c>
      <c r="F559" s="16">
        <f>+D559*E559</f>
        <v>0</v>
      </c>
      <c r="G559" s="8">
        <f t="shared" si="37"/>
        <v>0</v>
      </c>
    </row>
    <row r="560" spans="1:7" hidden="1" x14ac:dyDescent="0.25">
      <c r="A560" s="17" t="s">
        <v>799</v>
      </c>
      <c r="B560" s="18" t="s">
        <v>800</v>
      </c>
      <c r="C560" s="26" t="s">
        <v>683</v>
      </c>
      <c r="D560" s="14"/>
      <c r="E560" s="15">
        <f>+'APU CAP 7'!H375</f>
        <v>62525</v>
      </c>
      <c r="F560" s="16">
        <f>+D560*E560</f>
        <v>0</v>
      </c>
      <c r="G560" s="8">
        <f t="shared" si="37"/>
        <v>0</v>
      </c>
    </row>
    <row r="561" spans="1:7" hidden="1" x14ac:dyDescent="0.25">
      <c r="A561" s="12" t="s">
        <v>801</v>
      </c>
      <c r="B561" s="13" t="s">
        <v>802</v>
      </c>
      <c r="C561" s="14"/>
      <c r="D561" s="14"/>
      <c r="E561" s="15"/>
      <c r="F561" s="16"/>
      <c r="G561" s="8">
        <f t="shared" si="37"/>
        <v>0</v>
      </c>
    </row>
    <row r="562" spans="1:7" hidden="1" x14ac:dyDescent="0.25">
      <c r="A562" s="17" t="s">
        <v>807</v>
      </c>
      <c r="B562" s="18" t="s">
        <v>803</v>
      </c>
      <c r="C562" s="14" t="s">
        <v>14</v>
      </c>
      <c r="D562" s="14"/>
      <c r="E562" s="15"/>
      <c r="F562" s="16">
        <f>+D562*E562</f>
        <v>0</v>
      </c>
      <c r="G562" s="8">
        <f t="shared" si="37"/>
        <v>0</v>
      </c>
    </row>
    <row r="563" spans="1:7" hidden="1" x14ac:dyDescent="0.25">
      <c r="A563" s="17" t="s">
        <v>808</v>
      </c>
      <c r="B563" s="18" t="s">
        <v>804</v>
      </c>
      <c r="C563" s="14" t="s">
        <v>14</v>
      </c>
      <c r="D563" s="14"/>
      <c r="E563" s="15">
        <f>+'APU CAP 7'!P591</f>
        <v>36513</v>
      </c>
      <c r="F563" s="16">
        <f>+D563*E563</f>
        <v>0</v>
      </c>
      <c r="G563" s="8">
        <f t="shared" si="37"/>
        <v>0</v>
      </c>
    </row>
    <row r="564" spans="1:7" hidden="1" x14ac:dyDescent="0.25">
      <c r="A564" s="17" t="s">
        <v>809</v>
      </c>
      <c r="B564" s="18" t="s">
        <v>805</v>
      </c>
      <c r="C564" s="14" t="s">
        <v>14</v>
      </c>
      <c r="D564" s="14"/>
      <c r="E564" s="15">
        <f>+'APU CAP 7'!P645</f>
        <v>46626</v>
      </c>
      <c r="F564" s="16">
        <f>+D564*E564</f>
        <v>0</v>
      </c>
      <c r="G564" s="8">
        <f t="shared" si="37"/>
        <v>0</v>
      </c>
    </row>
    <row r="565" spans="1:7" hidden="1" x14ac:dyDescent="0.25">
      <c r="A565" s="17" t="s">
        <v>810</v>
      </c>
      <c r="B565" s="18" t="s">
        <v>806</v>
      </c>
      <c r="C565" s="14" t="s">
        <v>14</v>
      </c>
      <c r="D565" s="14"/>
      <c r="E565" s="15"/>
      <c r="F565" s="16">
        <f>+D565*E565</f>
        <v>0</v>
      </c>
      <c r="G565" s="8">
        <f t="shared" si="37"/>
        <v>0</v>
      </c>
    </row>
    <row r="566" spans="1:7" hidden="1" x14ac:dyDescent="0.25">
      <c r="A566" s="12" t="s">
        <v>845</v>
      </c>
      <c r="B566" s="13" t="s">
        <v>846</v>
      </c>
      <c r="C566" s="14"/>
      <c r="D566" s="14"/>
      <c r="E566" s="15"/>
      <c r="F566" s="16"/>
      <c r="G566" s="8">
        <f t="shared" si="37"/>
        <v>0</v>
      </c>
    </row>
    <row r="567" spans="1:7" hidden="1" x14ac:dyDescent="0.25">
      <c r="A567" s="12" t="s">
        <v>847</v>
      </c>
      <c r="B567" s="13" t="s">
        <v>848</v>
      </c>
      <c r="C567" s="14"/>
      <c r="D567" s="14"/>
      <c r="E567" s="15"/>
      <c r="F567" s="16"/>
      <c r="G567" s="8">
        <f t="shared" si="37"/>
        <v>0</v>
      </c>
    </row>
    <row r="568" spans="1:7" ht="25.5" hidden="1" x14ac:dyDescent="0.25">
      <c r="A568" s="17" t="s">
        <v>849</v>
      </c>
      <c r="B568" s="25" t="s">
        <v>5879</v>
      </c>
      <c r="C568" s="14" t="s">
        <v>14</v>
      </c>
      <c r="D568" s="14"/>
      <c r="E568" s="15"/>
      <c r="F568" s="16">
        <f>+D568*E568</f>
        <v>0</v>
      </c>
      <c r="G568" s="8">
        <f t="shared" si="37"/>
        <v>0</v>
      </c>
    </row>
    <row r="569" spans="1:7" ht="38.25" hidden="1" x14ac:dyDescent="0.25">
      <c r="A569" s="17" t="s">
        <v>850</v>
      </c>
      <c r="B569" s="25" t="s">
        <v>5880</v>
      </c>
      <c r="C569" s="14" t="s">
        <v>14</v>
      </c>
      <c r="D569" s="14"/>
      <c r="E569" s="15"/>
      <c r="F569" s="16">
        <f>+D569*E569</f>
        <v>0</v>
      </c>
      <c r="G569" s="8">
        <f t="shared" si="37"/>
        <v>0</v>
      </c>
    </row>
    <row r="570" spans="1:7" hidden="1" x14ac:dyDescent="0.25">
      <c r="A570" s="17" t="s">
        <v>851</v>
      </c>
      <c r="B570" s="25" t="s">
        <v>853</v>
      </c>
      <c r="C570" s="14" t="s">
        <v>37</v>
      </c>
      <c r="D570" s="14"/>
      <c r="E570" s="15"/>
      <c r="F570" s="16">
        <f>+D570*E570</f>
        <v>0</v>
      </c>
      <c r="G570" s="8">
        <f t="shared" si="37"/>
        <v>0</v>
      </c>
    </row>
    <row r="571" spans="1:7" hidden="1" x14ac:dyDescent="0.25">
      <c r="A571" s="17" t="s">
        <v>852</v>
      </c>
      <c r="B571" s="25" t="s">
        <v>854</v>
      </c>
      <c r="C571" s="14" t="s">
        <v>37</v>
      </c>
      <c r="D571" s="14"/>
      <c r="E571" s="15"/>
      <c r="F571" s="16">
        <f>+D571*E571</f>
        <v>0</v>
      </c>
      <c r="G571" s="8">
        <f t="shared" si="37"/>
        <v>0</v>
      </c>
    </row>
    <row r="572" spans="1:7" hidden="1" x14ac:dyDescent="0.25">
      <c r="A572" s="12" t="s">
        <v>855</v>
      </c>
      <c r="B572" s="13" t="s">
        <v>856</v>
      </c>
      <c r="C572" s="14"/>
      <c r="D572" s="14"/>
      <c r="E572" s="15"/>
      <c r="F572" s="16"/>
      <c r="G572" s="8">
        <f t="shared" si="37"/>
        <v>0</v>
      </c>
    </row>
    <row r="573" spans="1:7" hidden="1" x14ac:dyDescent="0.25">
      <c r="A573" s="17" t="s">
        <v>857</v>
      </c>
      <c r="B573" s="18" t="s">
        <v>858</v>
      </c>
      <c r="C573" s="26" t="s">
        <v>683</v>
      </c>
      <c r="D573" s="14"/>
      <c r="E573" s="15"/>
      <c r="F573" s="16">
        <f>+D573*E573</f>
        <v>0</v>
      </c>
      <c r="G573" s="8">
        <f t="shared" si="37"/>
        <v>0</v>
      </c>
    </row>
    <row r="574" spans="1:7" hidden="1" x14ac:dyDescent="0.25">
      <c r="A574" s="17" t="s">
        <v>859</v>
      </c>
      <c r="B574" s="18" t="s">
        <v>860</v>
      </c>
      <c r="C574" s="14" t="s">
        <v>37</v>
      </c>
      <c r="D574" s="14"/>
      <c r="E574" s="15"/>
      <c r="F574" s="16">
        <f>+D574*E574</f>
        <v>0</v>
      </c>
      <c r="G574" s="8">
        <f t="shared" si="37"/>
        <v>0</v>
      </c>
    </row>
    <row r="575" spans="1:7" hidden="1" x14ac:dyDescent="0.25">
      <c r="A575" s="17" t="s">
        <v>861</v>
      </c>
      <c r="B575" s="18" t="s">
        <v>862</v>
      </c>
      <c r="C575" s="14" t="s">
        <v>37</v>
      </c>
      <c r="D575" s="14"/>
      <c r="E575" s="15"/>
      <c r="F575" s="16">
        <f>+D575*E575</f>
        <v>0</v>
      </c>
      <c r="G575" s="8">
        <f t="shared" si="37"/>
        <v>0</v>
      </c>
    </row>
    <row r="576" spans="1:7" hidden="1" x14ac:dyDescent="0.25">
      <c r="A576" s="2454" t="s">
        <v>863</v>
      </c>
      <c r="B576" s="2455"/>
      <c r="C576" s="2455"/>
      <c r="D576" s="2455"/>
      <c r="E576" s="2455"/>
      <c r="F576" s="16">
        <f>SUM(F548:F575)</f>
        <v>0</v>
      </c>
      <c r="G576" s="8">
        <f t="shared" si="37"/>
        <v>0</v>
      </c>
    </row>
    <row r="577" spans="1:7" x14ac:dyDescent="0.25">
      <c r="A577" s="458">
        <v>10</v>
      </c>
      <c r="B577" s="459" t="s">
        <v>6450</v>
      </c>
      <c r="C577" s="63"/>
      <c r="D577" s="63"/>
      <c r="E577" s="460"/>
      <c r="F577" s="461"/>
      <c r="G577" s="8">
        <v>1</v>
      </c>
    </row>
    <row r="578" spans="1:7" x14ac:dyDescent="0.25">
      <c r="A578" s="12" t="s">
        <v>6455</v>
      </c>
      <c r="B578" s="13" t="s">
        <v>6451</v>
      </c>
      <c r="C578" s="14"/>
      <c r="D578" s="14"/>
      <c r="E578" s="15"/>
      <c r="F578" s="16"/>
      <c r="G578" s="8">
        <v>1</v>
      </c>
    </row>
    <row r="579" spans="1:7" x14ac:dyDescent="0.25">
      <c r="A579" s="17" t="s">
        <v>6456</v>
      </c>
      <c r="B579" s="18" t="s">
        <v>6452</v>
      </c>
      <c r="C579" s="14" t="s">
        <v>37</v>
      </c>
      <c r="D579" s="14">
        <v>21</v>
      </c>
      <c r="E579" s="15">
        <f>+('APU ESTRUCTURAS'!H46+'APU ESTRUCTURAS'!H95)/2-'OC ESTRUCTURAS'!E10</f>
        <v>7745366.4039124995</v>
      </c>
      <c r="F579" s="16">
        <f>+D579*E579</f>
        <v>162652694.48216248</v>
      </c>
      <c r="G579" s="8">
        <f t="shared" si="37"/>
        <v>1</v>
      </c>
    </row>
    <row r="580" spans="1:7" x14ac:dyDescent="0.25">
      <c r="A580" s="17" t="s">
        <v>6457</v>
      </c>
      <c r="B580" s="18" t="s">
        <v>6453</v>
      </c>
      <c r="C580" s="14" t="s">
        <v>37</v>
      </c>
      <c r="D580" s="14">
        <v>10</v>
      </c>
      <c r="E580" s="15">
        <f>+('APU ESTRUCTURAS'!P46+'APU ESTRUCTURAS'!P95)/2-'OC ESTRUCTURAS'!E10</f>
        <v>8284771.9039124995</v>
      </c>
      <c r="F580" s="16">
        <f>+D580*E580</f>
        <v>82847719.039124995</v>
      </c>
      <c r="G580" s="8">
        <f t="shared" si="37"/>
        <v>1</v>
      </c>
    </row>
    <row r="581" spans="1:7" x14ac:dyDescent="0.25">
      <c r="A581" s="17" t="s">
        <v>6458</v>
      </c>
      <c r="B581" s="18" t="s">
        <v>6454</v>
      </c>
      <c r="C581" s="14" t="s">
        <v>37</v>
      </c>
      <c r="D581" s="14">
        <v>5</v>
      </c>
      <c r="E581" s="15">
        <f>+('APU ESTRUCTURAS'!X46+'APU ESTRUCTURAS'!X95)/2-'OC ESTRUCTURAS'!E10</f>
        <v>9179876.9039124995</v>
      </c>
      <c r="F581" s="16">
        <f>+D581*E581</f>
        <v>45899384.519562498</v>
      </c>
      <c r="G581" s="8">
        <f t="shared" si="37"/>
        <v>1</v>
      </c>
    </row>
    <row r="582" spans="1:7" x14ac:dyDescent="0.25">
      <c r="A582" s="12" t="s">
        <v>6459</v>
      </c>
      <c r="B582" s="13" t="s">
        <v>6461</v>
      </c>
      <c r="C582" s="14"/>
      <c r="D582" s="14"/>
      <c r="E582" s="15"/>
      <c r="F582" s="16"/>
      <c r="G582" s="8">
        <v>1</v>
      </c>
    </row>
    <row r="583" spans="1:7" x14ac:dyDescent="0.25">
      <c r="A583" s="17" t="s">
        <v>6460</v>
      </c>
      <c r="B583" s="18" t="s">
        <v>6462</v>
      </c>
      <c r="C583" s="14" t="s">
        <v>37</v>
      </c>
      <c r="D583" s="14">
        <v>4</v>
      </c>
      <c r="E583" s="15">
        <f>+'APU ESTRUCTURAS'!H149-'OC ESTRUCTURAS'!E12</f>
        <v>58229182.096649997</v>
      </c>
      <c r="F583" s="16">
        <f>+D583*E583</f>
        <v>232916728.38659999</v>
      </c>
      <c r="G583" s="8">
        <f t="shared" si="37"/>
        <v>1</v>
      </c>
    </row>
    <row r="584" spans="1:7" x14ac:dyDescent="0.25">
      <c r="A584" s="17" t="s">
        <v>6467</v>
      </c>
      <c r="B584" s="18" t="s">
        <v>6463</v>
      </c>
      <c r="C584" s="14" t="s">
        <v>37</v>
      </c>
      <c r="D584" s="14">
        <v>4</v>
      </c>
      <c r="E584" s="15">
        <f>+'APU ESTRUCTURAS'!P149-'OC ESTRUCTURAS'!E12</f>
        <v>84835985.096650004</v>
      </c>
      <c r="F584" s="16">
        <f>+D584*E584</f>
        <v>339343940.38660002</v>
      </c>
      <c r="G584" s="8">
        <f t="shared" si="37"/>
        <v>1</v>
      </c>
    </row>
    <row r="585" spans="1:7" x14ac:dyDescent="0.25">
      <c r="A585" s="17" t="s">
        <v>6468</v>
      </c>
      <c r="B585" s="18" t="s">
        <v>6464</v>
      </c>
      <c r="C585" s="14" t="s">
        <v>37</v>
      </c>
      <c r="D585" s="14">
        <v>3</v>
      </c>
      <c r="E585" s="15">
        <f>+'APU ESTRUCTURAS'!X149-'OC ESTRUCTURAS'!E12</f>
        <v>93249150.096650004</v>
      </c>
      <c r="F585" s="16">
        <f>+D585*E585</f>
        <v>279747450.28995001</v>
      </c>
      <c r="G585" s="8">
        <f t="shared" si="37"/>
        <v>1</v>
      </c>
    </row>
    <row r="586" spans="1:7" x14ac:dyDescent="0.25">
      <c r="A586" s="17" t="s">
        <v>6469</v>
      </c>
      <c r="B586" s="18" t="s">
        <v>6465</v>
      </c>
      <c r="C586" s="14" t="s">
        <v>37</v>
      </c>
      <c r="D586" s="14">
        <v>1</v>
      </c>
      <c r="E586" s="15">
        <f>+'APU ESTRUCTURAS'!AF149-'OC ESTRUCTURAS'!E12</f>
        <v>102556986.09665</v>
      </c>
      <c r="F586" s="16">
        <f>+D586*E586</f>
        <v>102556986.09665</v>
      </c>
      <c r="G586" s="8">
        <f t="shared" si="37"/>
        <v>1</v>
      </c>
    </row>
    <row r="587" spans="1:7" x14ac:dyDescent="0.25">
      <c r="A587" s="12" t="s">
        <v>6470</v>
      </c>
      <c r="B587" s="13" t="s">
        <v>6466</v>
      </c>
      <c r="C587" s="14"/>
      <c r="D587" s="14"/>
      <c r="E587" s="15"/>
      <c r="F587" s="16"/>
      <c r="G587" s="8">
        <v>1</v>
      </c>
    </row>
    <row r="588" spans="1:7" x14ac:dyDescent="0.25">
      <c r="A588" s="17" t="s">
        <v>6471</v>
      </c>
      <c r="B588" s="18" t="s">
        <v>6463</v>
      </c>
      <c r="C588" s="14" t="s">
        <v>37</v>
      </c>
      <c r="D588" s="14">
        <v>1</v>
      </c>
      <c r="E588" s="15">
        <f>+'APU ESTRUCTURAS'!H199-'OC ESTRUCTURAS'!E14</f>
        <v>19860887.396650001</v>
      </c>
      <c r="F588" s="16">
        <f>+D588*E588</f>
        <v>19860887.396650001</v>
      </c>
      <c r="G588" s="8">
        <f t="shared" ref="G588:G616" si="38">+IF(F588&lt;&gt;0,1,0)</f>
        <v>1</v>
      </c>
    </row>
    <row r="589" spans="1:7" x14ac:dyDescent="0.25">
      <c r="A589" s="17" t="s">
        <v>6472</v>
      </c>
      <c r="B589" s="18" t="s">
        <v>6464</v>
      </c>
      <c r="C589" s="14" t="s">
        <v>37</v>
      </c>
      <c r="D589" s="14">
        <v>1</v>
      </c>
      <c r="E589" s="15">
        <f>+'APU ESTRUCTURAS'!P199-'OC ESTRUCTURAS'!E14</f>
        <v>21701321.396650001</v>
      </c>
      <c r="F589" s="16">
        <f>+D589*E589</f>
        <v>21701321.396650001</v>
      </c>
      <c r="G589" s="8">
        <f t="shared" si="38"/>
        <v>1</v>
      </c>
    </row>
    <row r="590" spans="1:7" x14ac:dyDescent="0.25">
      <c r="A590" s="17" t="s">
        <v>6473</v>
      </c>
      <c r="B590" s="18" t="s">
        <v>6465</v>
      </c>
      <c r="C590" s="14" t="s">
        <v>37</v>
      </c>
      <c r="D590" s="14">
        <v>1</v>
      </c>
      <c r="E590" s="15">
        <f>+'APU ESTRUCTURAS'!X199-'OC ESTRUCTURAS'!E14</f>
        <v>23725799.396650001</v>
      </c>
      <c r="F590" s="16">
        <f>+D590*E590</f>
        <v>23725799.396650001</v>
      </c>
      <c r="G590" s="8">
        <f t="shared" si="38"/>
        <v>1</v>
      </c>
    </row>
    <row r="591" spans="1:7" x14ac:dyDescent="0.25">
      <c r="A591" s="12" t="s">
        <v>6475</v>
      </c>
      <c r="B591" s="13" t="s">
        <v>6474</v>
      </c>
      <c r="C591" s="14"/>
      <c r="D591" s="14"/>
      <c r="E591" s="15"/>
      <c r="F591" s="16"/>
      <c r="G591" s="8">
        <v>1</v>
      </c>
    </row>
    <row r="592" spans="1:7" x14ac:dyDescent="0.25">
      <c r="A592" s="17" t="s">
        <v>6476</v>
      </c>
      <c r="B592" s="18" t="s">
        <v>6452</v>
      </c>
      <c r="C592" s="14" t="s">
        <v>37</v>
      </c>
      <c r="D592" s="14">
        <v>2</v>
      </c>
      <c r="E592" s="15">
        <f>+'APU ESTRUCTURAS'!H252-'OC ESTRUCTURAS'!E16</f>
        <v>16291214.611971876</v>
      </c>
      <c r="F592" s="16">
        <f t="shared" ref="F592:F609" si="39">+D592*E592</f>
        <v>32582429.223943751</v>
      </c>
      <c r="G592" s="8">
        <f t="shared" si="38"/>
        <v>1</v>
      </c>
    </row>
    <row r="593" spans="1:7" x14ac:dyDescent="0.25">
      <c r="A593" s="17" t="s">
        <v>6477</v>
      </c>
      <c r="B593" s="18" t="s">
        <v>6453</v>
      </c>
      <c r="C593" s="14" t="s">
        <v>37</v>
      </c>
      <c r="D593" s="14">
        <v>2</v>
      </c>
      <c r="E593" s="15">
        <f>+'APU ESTRUCTURAS'!P252-'OC ESTRUCTURAS'!E16</f>
        <v>17790569.611971878</v>
      </c>
      <c r="F593" s="16">
        <f t="shared" si="39"/>
        <v>35581139.223943755</v>
      </c>
      <c r="G593" s="8">
        <f t="shared" si="38"/>
        <v>1</v>
      </c>
    </row>
    <row r="594" spans="1:7" x14ac:dyDescent="0.25">
      <c r="A594" s="17" t="s">
        <v>6478</v>
      </c>
      <c r="B594" s="18" t="s">
        <v>6454</v>
      </c>
      <c r="C594" s="14" t="s">
        <v>37</v>
      </c>
      <c r="D594" s="14">
        <v>2</v>
      </c>
      <c r="E594" s="15">
        <f>+'APU ESTRUCTURAS'!X252-'OC ESTRUCTURAS'!E16</f>
        <v>19442450.611971878</v>
      </c>
      <c r="F594" s="16">
        <f t="shared" si="39"/>
        <v>38884901.223943755</v>
      </c>
      <c r="G594" s="8">
        <f t="shared" si="38"/>
        <v>1</v>
      </c>
    </row>
    <row r="595" spans="1:7" x14ac:dyDescent="0.25">
      <c r="A595" s="17" t="s">
        <v>6479</v>
      </c>
      <c r="B595" s="13" t="s">
        <v>6481</v>
      </c>
      <c r="C595" s="14"/>
      <c r="D595" s="14"/>
      <c r="E595" s="15"/>
      <c r="F595" s="16"/>
      <c r="G595" s="8">
        <v>1</v>
      </c>
    </row>
    <row r="596" spans="1:7" x14ac:dyDescent="0.25">
      <c r="A596" s="17" t="s">
        <v>6480</v>
      </c>
      <c r="B596" s="18" t="s">
        <v>6452</v>
      </c>
      <c r="C596" s="14" t="s">
        <v>37</v>
      </c>
      <c r="D596" s="14">
        <v>7</v>
      </c>
      <c r="E596" s="15">
        <f>+'APU ESTRUCTURAS'!H304-'OC ESTRUCTURAS'!E18</f>
        <v>11398076.801299999</v>
      </c>
      <c r="F596" s="16">
        <f t="shared" si="39"/>
        <v>79786537.609099984</v>
      </c>
      <c r="G596" s="8">
        <f t="shared" si="38"/>
        <v>1</v>
      </c>
    </row>
    <row r="597" spans="1:7" x14ac:dyDescent="0.25">
      <c r="A597" s="17" t="s">
        <v>6482</v>
      </c>
      <c r="B597" s="18" t="s">
        <v>6453</v>
      </c>
      <c r="C597" s="14" t="s">
        <v>37</v>
      </c>
      <c r="D597" s="14">
        <v>4</v>
      </c>
      <c r="E597" s="15">
        <f>+'APU ESTRUCTURAS'!P304-'OC ESTRUCTURAS'!E18</f>
        <v>12477745.801299999</v>
      </c>
      <c r="F597" s="16">
        <f t="shared" si="39"/>
        <v>49910983.205199994</v>
      </c>
      <c r="G597" s="8">
        <f t="shared" si="38"/>
        <v>1</v>
      </c>
    </row>
    <row r="598" spans="1:7" x14ac:dyDescent="0.25">
      <c r="A598" s="17" t="s">
        <v>6483</v>
      </c>
      <c r="B598" s="18" t="s">
        <v>6454</v>
      </c>
      <c r="C598" s="14" t="s">
        <v>37</v>
      </c>
      <c r="D598" s="14">
        <v>3</v>
      </c>
      <c r="E598" s="15">
        <f>+'APU ESTRUCTURAS'!X304-'OC ESTRUCTURAS'!E18</f>
        <v>13725405.801299999</v>
      </c>
      <c r="F598" s="16">
        <f t="shared" si="39"/>
        <v>41176217.403899997</v>
      </c>
      <c r="G598" s="8">
        <f t="shared" si="38"/>
        <v>1</v>
      </c>
    </row>
    <row r="599" spans="1:7" x14ac:dyDescent="0.25">
      <c r="A599" s="12" t="s">
        <v>6485</v>
      </c>
      <c r="B599" s="13" t="s">
        <v>6484</v>
      </c>
      <c r="C599" s="14"/>
      <c r="D599" s="14"/>
      <c r="E599" s="15"/>
      <c r="F599" s="16"/>
      <c r="G599" s="8">
        <v>1</v>
      </c>
    </row>
    <row r="600" spans="1:7" x14ac:dyDescent="0.25">
      <c r="A600" s="17" t="s">
        <v>6486</v>
      </c>
      <c r="B600" s="18" t="s">
        <v>6462</v>
      </c>
      <c r="C600" s="14" t="s">
        <v>37</v>
      </c>
      <c r="D600" s="14">
        <v>4</v>
      </c>
      <c r="E600" s="15">
        <f>+'APU ESTRUCTURAS'!H356-'OC ESTRUCTURAS'!E20</f>
        <v>21009551.879499998</v>
      </c>
      <c r="F600" s="16">
        <f t="shared" si="39"/>
        <v>84038207.517999992</v>
      </c>
      <c r="G600" s="8">
        <f t="shared" si="38"/>
        <v>1</v>
      </c>
    </row>
    <row r="601" spans="1:7" x14ac:dyDescent="0.25">
      <c r="A601" s="17" t="s">
        <v>6487</v>
      </c>
      <c r="B601" s="18" t="s">
        <v>6463</v>
      </c>
      <c r="C601" s="14" t="s">
        <v>37</v>
      </c>
      <c r="D601" s="14">
        <v>2</v>
      </c>
      <c r="E601" s="15">
        <f>+'APU ESTRUCTURAS'!P356-'OC ESTRUCTURAS'!E20</f>
        <v>27321712.879499998</v>
      </c>
      <c r="F601" s="16">
        <f t="shared" si="39"/>
        <v>54643425.758999996</v>
      </c>
      <c r="G601" s="8">
        <f t="shared" si="38"/>
        <v>1</v>
      </c>
    </row>
    <row r="602" spans="1:7" x14ac:dyDescent="0.25">
      <c r="A602" s="17" t="s">
        <v>6488</v>
      </c>
      <c r="B602" s="18" t="s">
        <v>6464</v>
      </c>
      <c r="C602" s="14" t="s">
        <v>37</v>
      </c>
      <c r="D602" s="14">
        <v>4</v>
      </c>
      <c r="E602" s="15">
        <f>+'APU ESTRUCTURAS'!X356-'OC ESTRUCTURAS'!E20</f>
        <v>53646236.879500002</v>
      </c>
      <c r="F602" s="16">
        <f t="shared" si="39"/>
        <v>214584947.51800001</v>
      </c>
      <c r="G602" s="8">
        <f t="shared" si="38"/>
        <v>1</v>
      </c>
    </row>
    <row r="603" spans="1:7" x14ac:dyDescent="0.25">
      <c r="A603" s="17" t="s">
        <v>6489</v>
      </c>
      <c r="B603" s="18" t="s">
        <v>6465</v>
      </c>
      <c r="C603" s="14" t="s">
        <v>37</v>
      </c>
      <c r="D603" s="14">
        <v>3</v>
      </c>
      <c r="E603" s="15">
        <f>+'APU ESTRUCTURAS'!AF356-'OC ESTRUCTURAS'!E20</f>
        <v>58907673.879500002</v>
      </c>
      <c r="F603" s="16">
        <f t="shared" si="39"/>
        <v>176723021.63850001</v>
      </c>
      <c r="G603" s="8">
        <f t="shared" si="38"/>
        <v>1</v>
      </c>
    </row>
    <row r="604" spans="1:7" x14ac:dyDescent="0.25">
      <c r="A604" s="12" t="s">
        <v>6490</v>
      </c>
      <c r="B604" s="13" t="s">
        <v>6491</v>
      </c>
      <c r="C604" s="14"/>
      <c r="D604" s="14"/>
      <c r="E604" s="15"/>
      <c r="F604" s="16"/>
      <c r="G604" s="8">
        <v>1</v>
      </c>
    </row>
    <row r="605" spans="1:7" x14ac:dyDescent="0.25">
      <c r="A605" s="17" t="s">
        <v>6493</v>
      </c>
      <c r="B605" s="18" t="s">
        <v>6492</v>
      </c>
      <c r="C605" s="14" t="s">
        <v>37</v>
      </c>
      <c r="D605" s="14">
        <v>25</v>
      </c>
      <c r="E605" s="15">
        <f>+'APU ESTRUCTURAS'!H400-'OC ESTRUCTURAS'!E22</f>
        <v>493370.60738750035</v>
      </c>
      <c r="F605" s="16">
        <f t="shared" si="39"/>
        <v>12334265.184687508</v>
      </c>
      <c r="G605" s="8">
        <f t="shared" si="38"/>
        <v>1</v>
      </c>
    </row>
    <row r="606" spans="1:7" x14ac:dyDescent="0.25">
      <c r="A606" s="12" t="s">
        <v>6494</v>
      </c>
      <c r="B606" s="13" t="s">
        <v>6495</v>
      </c>
      <c r="C606" s="14" t="s">
        <v>37</v>
      </c>
      <c r="D606" s="14">
        <v>5</v>
      </c>
      <c r="E606" s="15">
        <f>+'APU ESTRUCTURAS'!H470-'OC ESTRUCTURAS'!E23</f>
        <v>274620018.86812496</v>
      </c>
      <c r="F606" s="16">
        <f t="shared" si="39"/>
        <v>1373100094.3406248</v>
      </c>
      <c r="G606" s="8">
        <f t="shared" si="38"/>
        <v>1</v>
      </c>
    </row>
    <row r="607" spans="1:7" hidden="1" x14ac:dyDescent="0.25">
      <c r="A607" s="17" t="s">
        <v>6500</v>
      </c>
      <c r="B607" s="18" t="s">
        <v>6503</v>
      </c>
      <c r="C607" s="14" t="s">
        <v>14</v>
      </c>
      <c r="D607" s="14">
        <v>14.3</v>
      </c>
      <c r="E607" s="15"/>
      <c r="F607" s="16">
        <f t="shared" si="39"/>
        <v>0</v>
      </c>
      <c r="G607" s="8">
        <f t="shared" si="38"/>
        <v>0</v>
      </c>
    </row>
    <row r="608" spans="1:7" hidden="1" x14ac:dyDescent="0.25">
      <c r="A608" s="17" t="s">
        <v>6501</v>
      </c>
      <c r="B608" s="18" t="s">
        <v>6504</v>
      </c>
      <c r="C608" s="14" t="s">
        <v>14</v>
      </c>
      <c r="D608" s="14">
        <v>22</v>
      </c>
      <c r="E608" s="15"/>
      <c r="F608" s="16">
        <f t="shared" si="39"/>
        <v>0</v>
      </c>
      <c r="G608" s="8">
        <f t="shared" si="38"/>
        <v>0</v>
      </c>
    </row>
    <row r="609" spans="1:7" hidden="1" x14ac:dyDescent="0.25">
      <c r="A609" s="17" t="s">
        <v>6502</v>
      </c>
      <c r="B609" s="18" t="s">
        <v>6505</v>
      </c>
      <c r="C609" s="14" t="s">
        <v>14</v>
      </c>
      <c r="D609" s="14">
        <v>15</v>
      </c>
      <c r="E609" s="15"/>
      <c r="F609" s="16">
        <f t="shared" si="39"/>
        <v>0</v>
      </c>
      <c r="G609" s="8">
        <f t="shared" si="38"/>
        <v>0</v>
      </c>
    </row>
    <row r="610" spans="1:7" ht="15.75" thickBot="1" x14ac:dyDescent="0.3">
      <c r="A610" s="2456" t="s">
        <v>844</v>
      </c>
      <c r="B610" s="2457"/>
      <c r="C610" s="2457"/>
      <c r="D610" s="2457"/>
      <c r="E610" s="2457"/>
      <c r="F610" s="322">
        <f>SUM(F579:F609)</f>
        <v>3504599081.2394438</v>
      </c>
      <c r="G610" s="8">
        <f t="shared" si="38"/>
        <v>1</v>
      </c>
    </row>
    <row r="611" spans="1:7" ht="15.75" thickBot="1" x14ac:dyDescent="0.3">
      <c r="A611" s="33"/>
      <c r="B611" s="2458" t="s">
        <v>5415</v>
      </c>
      <c r="C611" s="2458"/>
      <c r="D611" s="2458"/>
      <c r="E611" s="2459"/>
      <c r="F611" s="34">
        <f>+F28+F62+F69+F80+F93+F417+F484+F545+F576+F610</f>
        <v>3504599081.2394438</v>
      </c>
      <c r="G611" s="8">
        <f t="shared" si="38"/>
        <v>1</v>
      </c>
    </row>
    <row r="612" spans="1:7" ht="15.75" hidden="1" thickBot="1" x14ac:dyDescent="0.3">
      <c r="A612" s="35"/>
      <c r="B612" s="36"/>
      <c r="C612" s="35"/>
      <c r="D612" s="328"/>
      <c r="E612" s="38"/>
      <c r="F612" s="38"/>
      <c r="G612" s="8">
        <f t="shared" si="38"/>
        <v>0</v>
      </c>
    </row>
    <row r="613" spans="1:7" ht="16.5" thickBot="1" x14ac:dyDescent="0.3">
      <c r="A613" s="39"/>
      <c r="B613" s="2460" t="s">
        <v>46</v>
      </c>
      <c r="C613" s="2460"/>
      <c r="D613" s="2460"/>
      <c r="E613" s="2461"/>
      <c r="F613" s="40">
        <f>+F611</f>
        <v>3504599081.2394438</v>
      </c>
      <c r="G613" s="8">
        <f t="shared" si="38"/>
        <v>1</v>
      </c>
    </row>
    <row r="614" spans="1:7" ht="15.75" hidden="1" thickBot="1" x14ac:dyDescent="0.3">
      <c r="A614" s="35"/>
      <c r="B614" s="36"/>
      <c r="C614" s="35"/>
      <c r="D614" s="328"/>
      <c r="E614" s="38"/>
      <c r="F614" s="38"/>
      <c r="G614" s="8">
        <f t="shared" si="38"/>
        <v>0</v>
      </c>
    </row>
    <row r="615" spans="1:7" ht="15.75" hidden="1" thickBot="1" x14ac:dyDescent="0.3">
      <c r="A615" s="41"/>
      <c r="B615" s="2467" t="s">
        <v>6394</v>
      </c>
      <c r="C615" s="2467"/>
      <c r="D615" s="2467"/>
      <c r="E615" s="2468"/>
      <c r="F615" s="42"/>
      <c r="G615" s="8">
        <f t="shared" si="38"/>
        <v>0</v>
      </c>
    </row>
    <row r="616" spans="1:7" ht="15.75" hidden="1" thickBot="1" x14ac:dyDescent="0.3">
      <c r="G616" s="8">
        <f t="shared" si="38"/>
        <v>0</v>
      </c>
    </row>
  </sheetData>
  <autoFilter ref="A7:G616">
    <filterColumn colId="6">
      <filters>
        <filter val="1"/>
      </filters>
    </filterColumn>
  </autoFilter>
  <mergeCells count="18">
    <mergeCell ref="A484:E484"/>
    <mergeCell ref="A1:F1"/>
    <mergeCell ref="A2:F2"/>
    <mergeCell ref="A3:F3"/>
    <mergeCell ref="A4:F4"/>
    <mergeCell ref="A5:F5"/>
    <mergeCell ref="A28:E28"/>
    <mergeCell ref="A62:E62"/>
    <mergeCell ref="A69:E69"/>
    <mergeCell ref="A80:E80"/>
    <mergeCell ref="A93:E93"/>
    <mergeCell ref="A417:E417"/>
    <mergeCell ref="B615:E615"/>
    <mergeCell ref="A545:E545"/>
    <mergeCell ref="A576:E576"/>
    <mergeCell ref="A610:E610"/>
    <mergeCell ref="B611:E611"/>
    <mergeCell ref="B613:E613"/>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G643"/>
  <sheetViews>
    <sheetView workbookViewId="0">
      <selection sqref="A1:F1"/>
    </sheetView>
  </sheetViews>
  <sheetFormatPr baseColWidth="10" defaultRowHeight="15" x14ac:dyDescent="0.25"/>
  <cols>
    <col min="2" max="2" width="50.85546875" customWidth="1"/>
    <col min="3" max="3" width="8.42578125" customWidth="1"/>
    <col min="5" max="5" width="12.42578125" bestFit="1" customWidth="1"/>
    <col min="6" max="6" width="22.140625" customWidth="1"/>
  </cols>
  <sheetData>
    <row r="1" spans="1:7" ht="18.75" x14ac:dyDescent="0.25">
      <c r="A1" s="2462" t="s">
        <v>0</v>
      </c>
      <c r="B1" s="2462"/>
      <c r="C1" s="2462"/>
      <c r="D1" s="2462"/>
      <c r="E1" s="2462"/>
      <c r="F1" s="2462"/>
      <c r="G1" s="1"/>
    </row>
    <row r="2" spans="1:7" ht="18.75" customHeight="1" x14ac:dyDescent="0.25">
      <c r="A2" s="2463" t="s">
        <v>6313</v>
      </c>
      <c r="B2" s="2463"/>
      <c r="C2" s="2463"/>
      <c r="D2" s="2463"/>
      <c r="E2" s="2463"/>
      <c r="F2" s="2463"/>
      <c r="G2" s="1"/>
    </row>
    <row r="3" spans="1:7" ht="15.75" x14ac:dyDescent="0.25">
      <c r="A3" s="2464"/>
      <c r="B3" s="2464"/>
      <c r="C3" s="2464"/>
      <c r="D3" s="2464"/>
      <c r="E3" s="2464"/>
      <c r="F3" s="2464"/>
      <c r="G3" s="1"/>
    </row>
    <row r="4" spans="1:7" ht="15.75" customHeight="1" x14ac:dyDescent="0.25">
      <c r="A4" s="2278" t="s">
        <v>6584</v>
      </c>
      <c r="B4" s="2278"/>
      <c r="C4" s="2278"/>
      <c r="D4" s="2278"/>
      <c r="E4" s="2278"/>
      <c r="F4" s="2278"/>
      <c r="G4" s="1"/>
    </row>
    <row r="5" spans="1:7" ht="15.75" customHeight="1" x14ac:dyDescent="0.25">
      <c r="A5" s="2278" t="s">
        <v>2</v>
      </c>
      <c r="B5" s="2278"/>
      <c r="C5" s="2278"/>
      <c r="D5" s="2278"/>
      <c r="E5" s="2278"/>
      <c r="F5" s="2278"/>
    </row>
    <row r="6" spans="1:7" ht="16.5" thickBot="1" x14ac:dyDescent="0.3">
      <c r="A6" s="622"/>
      <c r="B6" s="622"/>
      <c r="C6" s="622"/>
      <c r="D6" s="622"/>
      <c r="E6" s="622"/>
      <c r="F6" s="622"/>
    </row>
    <row r="7" spans="1:7" ht="15.75" thickBot="1" x14ac:dyDescent="0.3">
      <c r="A7" s="4" t="s">
        <v>3</v>
      </c>
      <c r="B7" s="5" t="s">
        <v>4</v>
      </c>
      <c r="C7" s="5" t="s">
        <v>5</v>
      </c>
      <c r="D7" s="5" t="s">
        <v>6</v>
      </c>
      <c r="E7" s="6" t="s">
        <v>7</v>
      </c>
      <c r="F7" s="7" t="s">
        <v>8</v>
      </c>
      <c r="G7" s="8"/>
    </row>
    <row r="8" spans="1:7" x14ac:dyDescent="0.25">
      <c r="A8" s="316">
        <v>1</v>
      </c>
      <c r="B8" s="317" t="s">
        <v>9</v>
      </c>
      <c r="C8" s="9"/>
      <c r="D8" s="9"/>
      <c r="E8" s="10"/>
      <c r="F8" s="11"/>
      <c r="G8" s="8">
        <v>1</v>
      </c>
    </row>
    <row r="9" spans="1:7" x14ac:dyDescent="0.25">
      <c r="A9" s="12" t="s">
        <v>10</v>
      </c>
      <c r="B9" s="13" t="s">
        <v>11</v>
      </c>
      <c r="C9" s="14"/>
      <c r="D9" s="14"/>
      <c r="E9" s="15"/>
      <c r="F9" s="16"/>
      <c r="G9" s="8">
        <v>1</v>
      </c>
    </row>
    <row r="10" spans="1:7" x14ac:dyDescent="0.25">
      <c r="A10" s="17" t="s">
        <v>12</v>
      </c>
      <c r="B10" s="18" t="s">
        <v>13</v>
      </c>
      <c r="C10" s="14" t="s">
        <v>14</v>
      </c>
      <c r="D10" s="14">
        <v>340</v>
      </c>
      <c r="E10" s="15">
        <f>+'APU CAP 1-2'!H56</f>
        <v>1717</v>
      </c>
      <c r="F10" s="16">
        <f>+D10*E10</f>
        <v>583780</v>
      </c>
      <c r="G10" s="8">
        <f>+IF(F10&lt;&gt;0,1,0)</f>
        <v>1</v>
      </c>
    </row>
    <row r="11" spans="1:7" hidden="1" x14ac:dyDescent="0.25">
      <c r="A11" s="17" t="s">
        <v>15</v>
      </c>
      <c r="B11" s="18" t="s">
        <v>16</v>
      </c>
      <c r="C11" s="14" t="s">
        <v>17</v>
      </c>
      <c r="D11" s="14"/>
      <c r="E11" s="15">
        <f>+'APU CAP 1-2'!H110</f>
        <v>2283</v>
      </c>
      <c r="F11" s="16">
        <f>+D11*E11</f>
        <v>0</v>
      </c>
      <c r="G11" s="8">
        <f t="shared" ref="G11:G74" si="0">+IF(F11&lt;&gt;0,1,0)</f>
        <v>0</v>
      </c>
    </row>
    <row r="12" spans="1:7" hidden="1" x14ac:dyDescent="0.25">
      <c r="A12" s="17" t="s">
        <v>5427</v>
      </c>
      <c r="B12" s="18" t="s">
        <v>5624</v>
      </c>
      <c r="C12" s="14" t="s">
        <v>17</v>
      </c>
      <c r="D12" s="14"/>
      <c r="E12" s="15">
        <f>+'APU CAP 1-2'!H332</f>
        <v>0</v>
      </c>
      <c r="F12" s="16">
        <f>+D12*E12</f>
        <v>0</v>
      </c>
      <c r="G12" s="8">
        <f t="shared" si="0"/>
        <v>0</v>
      </c>
    </row>
    <row r="13" spans="1:7" x14ac:dyDescent="0.25">
      <c r="A13" s="12" t="s">
        <v>18</v>
      </c>
      <c r="B13" s="13" t="s">
        <v>19</v>
      </c>
      <c r="C13" s="14"/>
      <c r="D13" s="14"/>
      <c r="E13" s="15"/>
      <c r="F13" s="16"/>
      <c r="G13" s="8">
        <v>1</v>
      </c>
    </row>
    <row r="14" spans="1:7" x14ac:dyDescent="0.25">
      <c r="A14" s="12" t="s">
        <v>20</v>
      </c>
      <c r="B14" s="13" t="s">
        <v>21</v>
      </c>
      <c r="C14" s="14"/>
      <c r="D14" s="14"/>
      <c r="E14" s="15"/>
      <c r="F14" s="16"/>
      <c r="G14" s="8">
        <v>1</v>
      </c>
    </row>
    <row r="15" spans="1:7" hidden="1" x14ac:dyDescent="0.25">
      <c r="A15" s="17" t="s">
        <v>49</v>
      </c>
      <c r="B15" s="18" t="s">
        <v>48</v>
      </c>
      <c r="C15" s="14" t="s">
        <v>37</v>
      </c>
      <c r="D15" s="14"/>
      <c r="E15" s="15">
        <f>+'APU CAP 1-2'!H387</f>
        <v>0</v>
      </c>
      <c r="F15" s="16">
        <f t="shared" ref="F15:F27" si="1">+D15*E15</f>
        <v>0</v>
      </c>
      <c r="G15" s="8">
        <f t="shared" si="0"/>
        <v>0</v>
      </c>
    </row>
    <row r="16" spans="1:7" hidden="1" x14ac:dyDescent="0.25">
      <c r="A16" s="17" t="s">
        <v>50</v>
      </c>
      <c r="B16" s="18" t="s">
        <v>47</v>
      </c>
      <c r="C16" s="14" t="s">
        <v>37</v>
      </c>
      <c r="D16" s="14"/>
      <c r="E16" s="15">
        <f>+'APU CAP 1-2'!H442</f>
        <v>0</v>
      </c>
      <c r="F16" s="16">
        <f t="shared" si="1"/>
        <v>0</v>
      </c>
      <c r="G16" s="8">
        <f t="shared" si="0"/>
        <v>0</v>
      </c>
    </row>
    <row r="17" spans="1:7" hidden="1" x14ac:dyDescent="0.25">
      <c r="A17" s="17" t="s">
        <v>51</v>
      </c>
      <c r="B17" s="18" t="s">
        <v>52</v>
      </c>
      <c r="C17" s="14" t="s">
        <v>37</v>
      </c>
      <c r="D17" s="14"/>
      <c r="E17" s="15">
        <f>+'APU CAP 1-2'!H497</f>
        <v>0</v>
      </c>
      <c r="F17" s="16">
        <f t="shared" si="1"/>
        <v>0</v>
      </c>
      <c r="G17" s="8">
        <f t="shared" si="0"/>
        <v>0</v>
      </c>
    </row>
    <row r="18" spans="1:7" ht="25.5" hidden="1" x14ac:dyDescent="0.25">
      <c r="A18" s="17" t="s">
        <v>65</v>
      </c>
      <c r="B18" s="25" t="s">
        <v>66</v>
      </c>
      <c r="C18" s="14" t="s">
        <v>37</v>
      </c>
      <c r="D18" s="14"/>
      <c r="E18" s="15">
        <f>+'APU CAP 1-2'!H552</f>
        <v>0</v>
      </c>
      <c r="F18" s="16">
        <f t="shared" si="1"/>
        <v>0</v>
      </c>
      <c r="G18" s="8">
        <f t="shared" si="0"/>
        <v>0</v>
      </c>
    </row>
    <row r="19" spans="1:7" hidden="1" x14ac:dyDescent="0.25">
      <c r="A19" s="17" t="s">
        <v>53</v>
      </c>
      <c r="B19" s="18" t="s">
        <v>54</v>
      </c>
      <c r="C19" s="14" t="s">
        <v>37</v>
      </c>
      <c r="D19" s="14"/>
      <c r="E19" s="15">
        <f>+'APU CAP 1-2'!H603</f>
        <v>0</v>
      </c>
      <c r="F19" s="16">
        <f t="shared" si="1"/>
        <v>0</v>
      </c>
      <c r="G19" s="8">
        <f t="shared" si="0"/>
        <v>0</v>
      </c>
    </row>
    <row r="20" spans="1:7" x14ac:dyDescent="0.25">
      <c r="A20" s="17" t="s">
        <v>22</v>
      </c>
      <c r="B20" s="18" t="s">
        <v>23</v>
      </c>
      <c r="C20" s="14" t="s">
        <v>14</v>
      </c>
      <c r="D20" s="14">
        <v>340</v>
      </c>
      <c r="E20" s="15">
        <f>+'APU CAP 1-2'!H655</f>
        <v>3412</v>
      </c>
      <c r="F20" s="16">
        <f t="shared" si="1"/>
        <v>1160080</v>
      </c>
      <c r="G20" s="8">
        <f t="shared" si="0"/>
        <v>1</v>
      </c>
    </row>
    <row r="21" spans="1:7" hidden="1" x14ac:dyDescent="0.25">
      <c r="A21" s="17" t="s">
        <v>55</v>
      </c>
      <c r="B21" s="18" t="s">
        <v>59</v>
      </c>
      <c r="C21" s="14" t="s">
        <v>37</v>
      </c>
      <c r="D21" s="14"/>
      <c r="E21" s="15"/>
      <c r="F21" s="16">
        <f t="shared" si="1"/>
        <v>0</v>
      </c>
      <c r="G21" s="8">
        <f t="shared" si="0"/>
        <v>0</v>
      </c>
    </row>
    <row r="22" spans="1:7" hidden="1" x14ac:dyDescent="0.25">
      <c r="A22" s="17" t="s">
        <v>56</v>
      </c>
      <c r="B22" s="18" t="s">
        <v>5645</v>
      </c>
      <c r="C22" s="14" t="s">
        <v>37</v>
      </c>
      <c r="D22" s="14"/>
      <c r="E22" s="15">
        <f>+'APU CAP 1-2'!H716</f>
        <v>0</v>
      </c>
      <c r="F22" s="16">
        <f t="shared" si="1"/>
        <v>0</v>
      </c>
      <c r="G22" s="8">
        <f t="shared" si="0"/>
        <v>0</v>
      </c>
    </row>
    <row r="23" spans="1:7" hidden="1" x14ac:dyDescent="0.25">
      <c r="A23" s="17" t="s">
        <v>57</v>
      </c>
      <c r="B23" s="18" t="s">
        <v>60</v>
      </c>
      <c r="C23" s="14" t="s">
        <v>14</v>
      </c>
      <c r="D23" s="14"/>
      <c r="E23" s="441">
        <f>+'APU CAP 1-2'!H932</f>
        <v>0</v>
      </c>
      <c r="F23" s="16">
        <f t="shared" si="1"/>
        <v>0</v>
      </c>
      <c r="G23" s="8">
        <f t="shared" si="0"/>
        <v>0</v>
      </c>
    </row>
    <row r="24" spans="1:7" hidden="1" x14ac:dyDescent="0.25">
      <c r="A24" s="17" t="s">
        <v>58</v>
      </c>
      <c r="B24" s="18" t="s">
        <v>61</v>
      </c>
      <c r="C24" s="14" t="s">
        <v>37</v>
      </c>
      <c r="D24" s="14"/>
      <c r="E24" s="15"/>
      <c r="F24" s="16">
        <f t="shared" si="1"/>
        <v>0</v>
      </c>
      <c r="G24" s="8">
        <f t="shared" si="0"/>
        <v>0</v>
      </c>
    </row>
    <row r="25" spans="1:7" hidden="1" x14ac:dyDescent="0.25">
      <c r="A25" s="17" t="s">
        <v>67</v>
      </c>
      <c r="B25" s="18" t="s">
        <v>62</v>
      </c>
      <c r="C25" s="14" t="s">
        <v>37</v>
      </c>
      <c r="D25" s="14"/>
      <c r="E25" s="15"/>
      <c r="F25" s="16">
        <f t="shared" si="1"/>
        <v>0</v>
      </c>
      <c r="G25" s="8">
        <f t="shared" si="0"/>
        <v>0</v>
      </c>
    </row>
    <row r="26" spans="1:7" hidden="1" x14ac:dyDescent="0.25">
      <c r="A26" s="17" t="s">
        <v>68</v>
      </c>
      <c r="B26" s="18" t="s">
        <v>63</v>
      </c>
      <c r="C26" s="14" t="s">
        <v>37</v>
      </c>
      <c r="D26" s="14"/>
      <c r="E26" s="15"/>
      <c r="F26" s="16">
        <f t="shared" si="1"/>
        <v>0</v>
      </c>
      <c r="G26" s="8">
        <f t="shared" si="0"/>
        <v>0</v>
      </c>
    </row>
    <row r="27" spans="1:7" hidden="1" x14ac:dyDescent="0.25">
      <c r="A27" s="17" t="s">
        <v>69</v>
      </c>
      <c r="B27" s="18" t="s">
        <v>64</v>
      </c>
      <c r="C27" s="14" t="s">
        <v>37</v>
      </c>
      <c r="D27" s="14"/>
      <c r="E27" s="15"/>
      <c r="F27" s="16">
        <f t="shared" si="1"/>
        <v>0</v>
      </c>
      <c r="G27" s="8">
        <f t="shared" si="0"/>
        <v>0</v>
      </c>
    </row>
    <row r="28" spans="1:7" x14ac:dyDescent="0.25">
      <c r="A28" s="2454" t="s">
        <v>24</v>
      </c>
      <c r="B28" s="2455"/>
      <c r="C28" s="2455"/>
      <c r="D28" s="2455"/>
      <c r="E28" s="2455"/>
      <c r="F28" s="19">
        <f>SUM(F10:F27)</f>
        <v>1743860</v>
      </c>
      <c r="G28" s="8">
        <f t="shared" si="0"/>
        <v>1</v>
      </c>
    </row>
    <row r="29" spans="1:7" x14ac:dyDescent="0.25">
      <c r="A29" s="20">
        <v>2</v>
      </c>
      <c r="B29" s="21" t="s">
        <v>5757</v>
      </c>
      <c r="C29" s="22"/>
      <c r="D29" s="22"/>
      <c r="E29" s="23"/>
      <c r="F29" s="24"/>
      <c r="G29" s="8">
        <v>1</v>
      </c>
    </row>
    <row r="30" spans="1:7" x14ac:dyDescent="0.25">
      <c r="A30" s="12" t="s">
        <v>25</v>
      </c>
      <c r="B30" s="13" t="s">
        <v>6261</v>
      </c>
      <c r="C30" s="14"/>
      <c r="D30" s="14"/>
      <c r="E30" s="15"/>
      <c r="F30" s="16"/>
      <c r="G30" s="8">
        <v>1</v>
      </c>
    </row>
    <row r="31" spans="1:7" x14ac:dyDescent="0.25">
      <c r="A31" s="17" t="s">
        <v>26</v>
      </c>
      <c r="B31" s="25" t="s">
        <v>5758</v>
      </c>
      <c r="C31" s="14" t="s">
        <v>27</v>
      </c>
      <c r="D31" s="14">
        <v>387.6</v>
      </c>
      <c r="E31" s="15">
        <f>+'APU CAP 1-2'!H1150</f>
        <v>22263</v>
      </c>
      <c r="F31" s="16">
        <f>+D31*E31</f>
        <v>8629138.8000000007</v>
      </c>
      <c r="G31" s="8">
        <f t="shared" si="0"/>
        <v>1</v>
      </c>
    </row>
    <row r="32" spans="1:7" hidden="1" x14ac:dyDescent="0.25">
      <c r="A32" s="17" t="s">
        <v>89</v>
      </c>
      <c r="B32" s="25" t="s">
        <v>5759</v>
      </c>
      <c r="C32" s="14" t="s">
        <v>27</v>
      </c>
      <c r="D32" s="14"/>
      <c r="E32" s="15">
        <f>+'APU CAP 1-2'!H1205</f>
        <v>33442</v>
      </c>
      <c r="F32" s="16">
        <f>+D32*E32</f>
        <v>0</v>
      </c>
      <c r="G32" s="8">
        <f t="shared" si="0"/>
        <v>0</v>
      </c>
    </row>
    <row r="33" spans="1:7" hidden="1" x14ac:dyDescent="0.25">
      <c r="A33" s="17" t="s">
        <v>90</v>
      </c>
      <c r="B33" s="25" t="s">
        <v>5760</v>
      </c>
      <c r="C33" s="14" t="s">
        <v>27</v>
      </c>
      <c r="D33" s="14"/>
      <c r="E33" s="15">
        <f>+'APU CAP 1-2'!H1262</f>
        <v>0</v>
      </c>
      <c r="F33" s="16">
        <f>+D33*E33</f>
        <v>0</v>
      </c>
      <c r="G33" s="8">
        <f t="shared" si="0"/>
        <v>0</v>
      </c>
    </row>
    <row r="34" spans="1:7" hidden="1" x14ac:dyDescent="0.25">
      <c r="A34" s="12" t="s">
        <v>94</v>
      </c>
      <c r="B34" s="13" t="s">
        <v>6262</v>
      </c>
      <c r="C34" s="14"/>
      <c r="D34" s="14"/>
      <c r="E34" s="15"/>
      <c r="F34" s="16"/>
      <c r="G34" s="8">
        <f t="shared" si="0"/>
        <v>0</v>
      </c>
    </row>
    <row r="35" spans="1:7" ht="25.5" hidden="1" x14ac:dyDescent="0.25">
      <c r="A35" s="17" t="s">
        <v>95</v>
      </c>
      <c r="B35" s="25" t="s">
        <v>91</v>
      </c>
      <c r="C35" s="14" t="s">
        <v>27</v>
      </c>
      <c r="D35" s="14"/>
      <c r="E35" s="15">
        <f>+'APU CAP 1-2'!H1317</f>
        <v>0</v>
      </c>
      <c r="F35" s="16">
        <f>+D35*E35</f>
        <v>0</v>
      </c>
      <c r="G35" s="8">
        <f t="shared" si="0"/>
        <v>0</v>
      </c>
    </row>
    <row r="36" spans="1:7" ht="25.5" hidden="1" x14ac:dyDescent="0.25">
      <c r="A36" s="17" t="s">
        <v>96</v>
      </c>
      <c r="B36" s="25" t="s">
        <v>92</v>
      </c>
      <c r="C36" s="14" t="s">
        <v>27</v>
      </c>
      <c r="D36" s="14"/>
      <c r="E36" s="15">
        <f>+'APU CAP 1-2'!H1372</f>
        <v>0</v>
      </c>
      <c r="F36" s="16">
        <f>+D36*E36</f>
        <v>0</v>
      </c>
      <c r="G36" s="8">
        <f t="shared" si="0"/>
        <v>0</v>
      </c>
    </row>
    <row r="37" spans="1:7" ht="25.5" hidden="1" x14ac:dyDescent="0.25">
      <c r="A37" s="17" t="s">
        <v>97</v>
      </c>
      <c r="B37" s="25" t="s">
        <v>93</v>
      </c>
      <c r="C37" s="14" t="s">
        <v>27</v>
      </c>
      <c r="D37" s="14"/>
      <c r="E37" s="15">
        <f>+'APU CAP 1-2'!H1427</f>
        <v>0</v>
      </c>
      <c r="F37" s="16">
        <f>+D37*E37</f>
        <v>0</v>
      </c>
      <c r="G37" s="8">
        <f t="shared" si="0"/>
        <v>0</v>
      </c>
    </row>
    <row r="38" spans="1:7" x14ac:dyDescent="0.25">
      <c r="A38" s="12" t="s">
        <v>5990</v>
      </c>
      <c r="B38" s="46" t="s">
        <v>864</v>
      </c>
      <c r="C38" s="14"/>
      <c r="D38" s="14"/>
      <c r="E38" s="15"/>
      <c r="F38" s="16"/>
      <c r="G38" s="8">
        <v>1</v>
      </c>
    </row>
    <row r="39" spans="1:7" ht="25.5" hidden="1" x14ac:dyDescent="0.25">
      <c r="A39" s="17" t="s">
        <v>101</v>
      </c>
      <c r="B39" s="25" t="s">
        <v>131</v>
      </c>
      <c r="C39" s="14" t="s">
        <v>27</v>
      </c>
      <c r="D39" s="14"/>
      <c r="E39" s="15">
        <f>+'APU CAP 1-2'!H1645</f>
        <v>14094</v>
      </c>
      <c r="F39" s="16">
        <f>+D39*E39</f>
        <v>0</v>
      </c>
      <c r="G39" s="8">
        <f t="shared" si="0"/>
        <v>0</v>
      </c>
    </row>
    <row r="40" spans="1:7" ht="25.5" hidden="1" x14ac:dyDescent="0.25">
      <c r="A40" s="17" t="s">
        <v>105</v>
      </c>
      <c r="B40" s="25" t="s">
        <v>132</v>
      </c>
      <c r="C40" s="14" t="s">
        <v>27</v>
      </c>
      <c r="D40" s="14"/>
      <c r="E40" s="15">
        <f>+'APU CAP 1-2'!H1702</f>
        <v>0</v>
      </c>
      <c r="F40" s="16">
        <f>+D40*E40</f>
        <v>0</v>
      </c>
      <c r="G40" s="8">
        <f t="shared" si="0"/>
        <v>0</v>
      </c>
    </row>
    <row r="41" spans="1:7" x14ac:dyDescent="0.25">
      <c r="A41" s="12" t="s">
        <v>116</v>
      </c>
      <c r="B41" s="25" t="s">
        <v>133</v>
      </c>
      <c r="C41" s="14" t="s">
        <v>27</v>
      </c>
      <c r="D41" s="14">
        <v>20.399999999999999</v>
      </c>
      <c r="E41" s="15">
        <f>+'APU CAP 1-2'!H1755</f>
        <v>156265</v>
      </c>
      <c r="F41" s="16">
        <f>+D41*E41</f>
        <v>3187806</v>
      </c>
      <c r="G41" s="8">
        <f t="shared" si="0"/>
        <v>1</v>
      </c>
    </row>
    <row r="42" spans="1:7" x14ac:dyDescent="0.25">
      <c r="A42" s="12" t="s">
        <v>117</v>
      </c>
      <c r="B42" s="46" t="s">
        <v>100</v>
      </c>
      <c r="C42" s="14"/>
      <c r="D42" s="14"/>
      <c r="E42" s="15"/>
      <c r="F42" s="16"/>
      <c r="G42" s="8">
        <v>1</v>
      </c>
    </row>
    <row r="43" spans="1:7" hidden="1" x14ac:dyDescent="0.25">
      <c r="A43" s="17" t="s">
        <v>118</v>
      </c>
      <c r="B43" s="18" t="s">
        <v>103</v>
      </c>
      <c r="C43" s="14" t="s">
        <v>27</v>
      </c>
      <c r="D43" s="14"/>
      <c r="E43" s="15">
        <f>+'APU CAP 1-2'!H1810</f>
        <v>63025</v>
      </c>
      <c r="F43" s="16">
        <f t="shared" ref="F43:F61" si="2">+D43*E43</f>
        <v>0</v>
      </c>
      <c r="G43" s="8">
        <f t="shared" si="0"/>
        <v>0</v>
      </c>
    </row>
    <row r="44" spans="1:7" hidden="1" x14ac:dyDescent="0.25">
      <c r="A44" s="17" t="s">
        <v>119</v>
      </c>
      <c r="B44" s="18" t="s">
        <v>102</v>
      </c>
      <c r="C44" s="14" t="s">
        <v>27</v>
      </c>
      <c r="D44" s="14"/>
      <c r="E44" s="15">
        <f>+'APU CAP 1-2'!H1867</f>
        <v>0</v>
      </c>
      <c r="F44" s="16">
        <f t="shared" si="2"/>
        <v>0</v>
      </c>
      <c r="G44" s="8">
        <f t="shared" si="0"/>
        <v>0</v>
      </c>
    </row>
    <row r="45" spans="1:7" hidden="1" x14ac:dyDescent="0.25">
      <c r="A45" s="17" t="s">
        <v>120</v>
      </c>
      <c r="B45" s="18" t="s">
        <v>104</v>
      </c>
      <c r="C45" s="14" t="s">
        <v>27</v>
      </c>
      <c r="D45" s="14"/>
      <c r="E45" s="15">
        <f>+'APU CAP 1-2'!H1922</f>
        <v>0</v>
      </c>
      <c r="F45" s="16">
        <f t="shared" si="2"/>
        <v>0</v>
      </c>
      <c r="G45" s="8">
        <f t="shared" si="0"/>
        <v>0</v>
      </c>
    </row>
    <row r="46" spans="1:7" ht="25.5" hidden="1" x14ac:dyDescent="0.25">
      <c r="A46" s="17" t="s">
        <v>6294</v>
      </c>
      <c r="B46" s="601" t="s">
        <v>6308</v>
      </c>
      <c r="C46" s="14" t="s">
        <v>146</v>
      </c>
      <c r="D46" s="14"/>
      <c r="E46" s="15">
        <f>+'APU CAP 1-2'!X1810</f>
        <v>43691</v>
      </c>
      <c r="F46" s="16">
        <f t="shared" si="2"/>
        <v>0</v>
      </c>
      <c r="G46" s="8">
        <f t="shared" si="0"/>
        <v>0</v>
      </c>
    </row>
    <row r="47" spans="1:7" x14ac:dyDescent="0.25">
      <c r="A47" s="17" t="s">
        <v>121</v>
      </c>
      <c r="B47" s="25" t="s">
        <v>106</v>
      </c>
      <c r="C47" s="14" t="s">
        <v>27</v>
      </c>
      <c r="D47" s="14">
        <v>54.3</v>
      </c>
      <c r="E47" s="15">
        <f>+'APU CAP 1-2'!H1975</f>
        <v>83236</v>
      </c>
      <c r="F47" s="16">
        <f t="shared" si="2"/>
        <v>4519714.8</v>
      </c>
      <c r="G47" s="8">
        <f t="shared" si="0"/>
        <v>1</v>
      </c>
    </row>
    <row r="48" spans="1:7" x14ac:dyDescent="0.25">
      <c r="A48" s="17" t="s">
        <v>122</v>
      </c>
      <c r="B48" s="25" t="s">
        <v>107</v>
      </c>
      <c r="C48" s="14" t="s">
        <v>27</v>
      </c>
      <c r="D48" s="14">
        <v>6</v>
      </c>
      <c r="E48" s="15">
        <f>+'APU CAP 1-2'!H2030</f>
        <v>41595</v>
      </c>
      <c r="F48" s="16">
        <f t="shared" si="2"/>
        <v>249570</v>
      </c>
      <c r="G48" s="8">
        <f t="shared" si="0"/>
        <v>1</v>
      </c>
    </row>
    <row r="49" spans="1:7" hidden="1" x14ac:dyDescent="0.25">
      <c r="A49" s="17" t="s">
        <v>123</v>
      </c>
      <c r="B49" s="25" t="s">
        <v>5683</v>
      </c>
      <c r="C49" s="14" t="s">
        <v>27</v>
      </c>
      <c r="D49" s="14"/>
      <c r="E49" s="15">
        <f>+'APU CAP 1-2'!H2087</f>
        <v>0</v>
      </c>
      <c r="F49" s="16">
        <f t="shared" si="2"/>
        <v>0</v>
      </c>
      <c r="G49" s="8">
        <f t="shared" si="0"/>
        <v>0</v>
      </c>
    </row>
    <row r="50" spans="1:7" hidden="1" x14ac:dyDescent="0.25">
      <c r="A50" s="17" t="s">
        <v>124</v>
      </c>
      <c r="B50" s="25" t="s">
        <v>108</v>
      </c>
      <c r="C50" s="14" t="s">
        <v>109</v>
      </c>
      <c r="D50" s="14"/>
      <c r="E50" s="15">
        <f>+'APU CAP 1-2'!H2142</f>
        <v>0</v>
      </c>
      <c r="F50" s="16">
        <f t="shared" si="2"/>
        <v>0</v>
      </c>
      <c r="G50" s="8">
        <f t="shared" si="0"/>
        <v>0</v>
      </c>
    </row>
    <row r="51" spans="1:7" hidden="1" x14ac:dyDescent="0.25">
      <c r="A51" s="17" t="s">
        <v>125</v>
      </c>
      <c r="B51" s="25" t="s">
        <v>110</v>
      </c>
      <c r="C51" s="14" t="s">
        <v>27</v>
      </c>
      <c r="D51" s="14"/>
      <c r="E51" s="15">
        <f>+'APU CAP 1-2'!H2197</f>
        <v>0</v>
      </c>
      <c r="F51" s="16">
        <f t="shared" si="2"/>
        <v>0</v>
      </c>
      <c r="G51" s="8">
        <f t="shared" si="0"/>
        <v>0</v>
      </c>
    </row>
    <row r="52" spans="1:7" hidden="1" x14ac:dyDescent="0.25">
      <c r="A52" s="17" t="s">
        <v>126</v>
      </c>
      <c r="B52" s="25" t="s">
        <v>111</v>
      </c>
      <c r="C52" s="14" t="s">
        <v>14</v>
      </c>
      <c r="D52" s="14"/>
      <c r="E52" s="15">
        <f>+'APU CAP 1-2'!H2252</f>
        <v>0</v>
      </c>
      <c r="F52" s="16">
        <f t="shared" si="2"/>
        <v>0</v>
      </c>
      <c r="G52" s="8">
        <f t="shared" si="0"/>
        <v>0</v>
      </c>
    </row>
    <row r="53" spans="1:7" hidden="1" x14ac:dyDescent="0.25">
      <c r="A53" s="17" t="s">
        <v>127</v>
      </c>
      <c r="B53" s="25" t="s">
        <v>112</v>
      </c>
      <c r="C53" s="14" t="s">
        <v>14</v>
      </c>
      <c r="D53" s="14"/>
      <c r="E53" s="15">
        <f>+'APU CAP 1-2'!H2307</f>
        <v>0</v>
      </c>
      <c r="F53" s="16">
        <f t="shared" si="2"/>
        <v>0</v>
      </c>
      <c r="G53" s="8">
        <f t="shared" si="0"/>
        <v>0</v>
      </c>
    </row>
    <row r="54" spans="1:7" ht="25.5" hidden="1" x14ac:dyDescent="0.25">
      <c r="A54" s="17" t="s">
        <v>128</v>
      </c>
      <c r="B54" s="25" t="s">
        <v>113</v>
      </c>
      <c r="C54" s="14" t="s">
        <v>14</v>
      </c>
      <c r="D54" s="14"/>
      <c r="E54" s="15">
        <f>+'APU CAP 1-2'!H2362</f>
        <v>0</v>
      </c>
      <c r="F54" s="16">
        <f t="shared" si="2"/>
        <v>0</v>
      </c>
      <c r="G54" s="8">
        <f t="shared" si="0"/>
        <v>0</v>
      </c>
    </row>
    <row r="55" spans="1:7" ht="25.5" hidden="1" x14ac:dyDescent="0.25">
      <c r="A55" s="17" t="s">
        <v>129</v>
      </c>
      <c r="B55" s="25" t="s">
        <v>115</v>
      </c>
      <c r="C55" s="14" t="s">
        <v>14</v>
      </c>
      <c r="D55" s="14"/>
      <c r="E55" s="15">
        <f>+'APU CAP 1-2'!H2417</f>
        <v>0</v>
      </c>
      <c r="F55" s="16">
        <f t="shared" si="2"/>
        <v>0</v>
      </c>
      <c r="G55" s="8">
        <f t="shared" si="0"/>
        <v>0</v>
      </c>
    </row>
    <row r="56" spans="1:7" ht="25.5" hidden="1" x14ac:dyDescent="0.25">
      <c r="A56" s="17" t="s">
        <v>130</v>
      </c>
      <c r="B56" s="25" t="s">
        <v>114</v>
      </c>
      <c r="C56" s="14" t="s">
        <v>14</v>
      </c>
      <c r="D56" s="14"/>
      <c r="E56" s="15">
        <f>+'APU CAP 1-2'!H2472</f>
        <v>0</v>
      </c>
      <c r="F56" s="16">
        <f t="shared" si="2"/>
        <v>0</v>
      </c>
      <c r="G56" s="8">
        <f t="shared" si="0"/>
        <v>0</v>
      </c>
    </row>
    <row r="57" spans="1:7" hidden="1" x14ac:dyDescent="0.25">
      <c r="A57" s="12" t="s">
        <v>134</v>
      </c>
      <c r="B57" s="46" t="s">
        <v>6314</v>
      </c>
      <c r="C57" s="14"/>
      <c r="D57" s="14"/>
      <c r="E57" s="15"/>
      <c r="F57" s="16"/>
      <c r="G57" s="8">
        <f t="shared" si="0"/>
        <v>0</v>
      </c>
    </row>
    <row r="58" spans="1:7" hidden="1" x14ac:dyDescent="0.25">
      <c r="A58" s="17" t="s">
        <v>136</v>
      </c>
      <c r="B58" s="25" t="s">
        <v>6315</v>
      </c>
      <c r="C58" s="14" t="s">
        <v>14</v>
      </c>
      <c r="D58" s="14"/>
      <c r="E58" s="15">
        <f>+'APU CAP 1-2'!P2305</f>
        <v>24916</v>
      </c>
      <c r="F58" s="16">
        <f t="shared" si="2"/>
        <v>0</v>
      </c>
      <c r="G58" s="8">
        <f t="shared" si="0"/>
        <v>0</v>
      </c>
    </row>
    <row r="59" spans="1:7" hidden="1" x14ac:dyDescent="0.25">
      <c r="A59" s="17" t="s">
        <v>138</v>
      </c>
      <c r="B59" s="25" t="s">
        <v>6316</v>
      </c>
      <c r="C59" s="14" t="s">
        <v>14</v>
      </c>
      <c r="D59" s="14"/>
      <c r="E59" s="15">
        <f>+'APU CAP 1-2'!P2360</f>
        <v>24916</v>
      </c>
      <c r="F59" s="16">
        <f t="shared" si="2"/>
        <v>0</v>
      </c>
      <c r="G59" s="8">
        <f t="shared" si="0"/>
        <v>0</v>
      </c>
    </row>
    <row r="60" spans="1:7" hidden="1" x14ac:dyDescent="0.25">
      <c r="A60" s="17" t="s">
        <v>139</v>
      </c>
      <c r="B60" s="25" t="s">
        <v>6317</v>
      </c>
      <c r="C60" s="14" t="s">
        <v>14</v>
      </c>
      <c r="D60" s="14"/>
      <c r="E60" s="15">
        <f>+'APU CAP 1-2'!P2415</f>
        <v>30227</v>
      </c>
      <c r="F60" s="16">
        <f t="shared" si="2"/>
        <v>0</v>
      </c>
      <c r="G60" s="8">
        <f t="shared" si="0"/>
        <v>0</v>
      </c>
    </row>
    <row r="61" spans="1:7" hidden="1" x14ac:dyDescent="0.25">
      <c r="A61" s="17">
        <v>2.8</v>
      </c>
      <c r="B61" s="25" t="s">
        <v>6318</v>
      </c>
      <c r="C61" s="14" t="s">
        <v>37</v>
      </c>
      <c r="D61" s="14"/>
      <c r="E61" s="15">
        <f>+'APU CAP 1-2'!P2470</f>
        <v>64898</v>
      </c>
      <c r="F61" s="16">
        <f t="shared" si="2"/>
        <v>0</v>
      </c>
      <c r="G61" s="8">
        <f t="shared" si="0"/>
        <v>0</v>
      </c>
    </row>
    <row r="62" spans="1:7" x14ac:dyDescent="0.25">
      <c r="A62" s="2454" t="s">
        <v>841</v>
      </c>
      <c r="B62" s="2455"/>
      <c r="C62" s="2455"/>
      <c r="D62" s="2455"/>
      <c r="E62" s="2455"/>
      <c r="F62" s="19">
        <f>SUM(F31:F61)</f>
        <v>16586229.600000001</v>
      </c>
      <c r="G62" s="8">
        <f t="shared" si="0"/>
        <v>1</v>
      </c>
    </row>
    <row r="63" spans="1:7" hidden="1" x14ac:dyDescent="0.25">
      <c r="A63" s="12" t="s">
        <v>134</v>
      </c>
      <c r="B63" s="13" t="s">
        <v>135</v>
      </c>
      <c r="C63" s="621"/>
      <c r="D63" s="621"/>
      <c r="E63" s="621"/>
      <c r="F63" s="19"/>
      <c r="G63" s="8">
        <f t="shared" si="0"/>
        <v>0</v>
      </c>
    </row>
    <row r="64" spans="1:7" hidden="1" x14ac:dyDescent="0.25">
      <c r="A64" s="17" t="s">
        <v>136</v>
      </c>
      <c r="B64" s="18" t="s">
        <v>137</v>
      </c>
      <c r="C64" s="14" t="s">
        <v>146</v>
      </c>
      <c r="D64" s="621"/>
      <c r="E64" s="442">
        <f>+'APU CAP 1-2'!H2527</f>
        <v>0</v>
      </c>
      <c r="F64" s="16">
        <f>+D64*E64</f>
        <v>0</v>
      </c>
      <c r="G64" s="8">
        <f t="shared" si="0"/>
        <v>0</v>
      </c>
    </row>
    <row r="65" spans="1:7" hidden="1" x14ac:dyDescent="0.25">
      <c r="A65" s="17" t="s">
        <v>138</v>
      </c>
      <c r="B65" s="18" t="s">
        <v>141</v>
      </c>
      <c r="C65" s="14" t="s">
        <v>146</v>
      </c>
      <c r="D65" s="621"/>
      <c r="E65" s="442">
        <f>+'APU CAP 1-2'!H2582</f>
        <v>0</v>
      </c>
      <c r="F65" s="16">
        <f>+D65*E65</f>
        <v>0</v>
      </c>
      <c r="G65" s="8">
        <f t="shared" si="0"/>
        <v>0</v>
      </c>
    </row>
    <row r="66" spans="1:7" hidden="1" x14ac:dyDescent="0.25">
      <c r="A66" s="17" t="s">
        <v>139</v>
      </c>
      <c r="B66" s="18" t="s">
        <v>142</v>
      </c>
      <c r="C66" s="14" t="s">
        <v>146</v>
      </c>
      <c r="D66" s="621"/>
      <c r="E66" s="442">
        <f>+'APU CAP 1-2'!H2637</f>
        <v>0</v>
      </c>
      <c r="F66" s="16">
        <f>+D66*E66</f>
        <v>0</v>
      </c>
      <c r="G66" s="8">
        <f t="shared" si="0"/>
        <v>0</v>
      </c>
    </row>
    <row r="67" spans="1:7" hidden="1" x14ac:dyDescent="0.25">
      <c r="A67" s="17" t="s">
        <v>140</v>
      </c>
      <c r="B67" s="18" t="s">
        <v>143</v>
      </c>
      <c r="C67" s="14" t="s">
        <v>146</v>
      </c>
      <c r="D67" s="621"/>
      <c r="E67" s="442">
        <f>+'APU CAP 1-2'!H2692</f>
        <v>0</v>
      </c>
      <c r="F67" s="16">
        <f>+D67*E67</f>
        <v>0</v>
      </c>
      <c r="G67" s="8">
        <f t="shared" si="0"/>
        <v>0</v>
      </c>
    </row>
    <row r="68" spans="1:7" hidden="1" x14ac:dyDescent="0.25">
      <c r="A68" s="17" t="s">
        <v>144</v>
      </c>
      <c r="B68" s="18" t="s">
        <v>145</v>
      </c>
      <c r="C68" s="14" t="s">
        <v>146</v>
      </c>
      <c r="D68" s="621"/>
      <c r="E68" s="442">
        <f>+'APU CAP 1-2'!P2692</f>
        <v>0</v>
      </c>
      <c r="F68" s="16">
        <f>+D68*E68</f>
        <v>0</v>
      </c>
      <c r="G68" s="8">
        <f t="shared" si="0"/>
        <v>0</v>
      </c>
    </row>
    <row r="69" spans="1:7" hidden="1" x14ac:dyDescent="0.25">
      <c r="A69" s="2454" t="s">
        <v>840</v>
      </c>
      <c r="B69" s="2455"/>
      <c r="C69" s="2455"/>
      <c r="D69" s="2455"/>
      <c r="E69" s="2455"/>
      <c r="F69" s="19">
        <f>SUM(F64:F68)</f>
        <v>0</v>
      </c>
      <c r="G69" s="8">
        <f t="shared" si="0"/>
        <v>0</v>
      </c>
    </row>
    <row r="70" spans="1:7" x14ac:dyDescent="0.25">
      <c r="A70" s="12" t="s">
        <v>28</v>
      </c>
      <c r="B70" s="13" t="s">
        <v>29</v>
      </c>
      <c r="C70" s="14"/>
      <c r="D70" s="14"/>
      <c r="E70" s="15"/>
      <c r="F70" s="16"/>
      <c r="G70" s="8">
        <v>1</v>
      </c>
    </row>
    <row r="71" spans="1:7" ht="25.5" x14ac:dyDescent="0.25">
      <c r="A71" s="17" t="s">
        <v>147</v>
      </c>
      <c r="B71" s="25" t="s">
        <v>148</v>
      </c>
      <c r="C71" s="14" t="s">
        <v>27</v>
      </c>
      <c r="D71" s="14">
        <f>+D31+D41+D47+D48-D79</f>
        <v>88.300000000000011</v>
      </c>
      <c r="E71" s="15">
        <f>+'APU CAP 1-2'!H2745</f>
        <v>11097</v>
      </c>
      <c r="F71" s="16">
        <f t="shared" ref="F71:F79" si="3">+D71*E71</f>
        <v>979865.10000000009</v>
      </c>
      <c r="G71" s="8">
        <f t="shared" si="0"/>
        <v>1</v>
      </c>
    </row>
    <row r="72" spans="1:7" x14ac:dyDescent="0.25">
      <c r="A72" s="17" t="s">
        <v>149</v>
      </c>
      <c r="B72" s="18" t="s">
        <v>150</v>
      </c>
      <c r="C72" s="14" t="s">
        <v>27</v>
      </c>
      <c r="D72" s="14">
        <v>148</v>
      </c>
      <c r="E72" s="15">
        <f>+'APU CAP 1-2'!H2800</f>
        <v>62337</v>
      </c>
      <c r="F72" s="16">
        <f t="shared" si="3"/>
        <v>9225876</v>
      </c>
      <c r="G72" s="8">
        <f t="shared" si="0"/>
        <v>1</v>
      </c>
    </row>
    <row r="73" spans="1:7" x14ac:dyDescent="0.25">
      <c r="A73" s="17" t="s">
        <v>153</v>
      </c>
      <c r="B73" s="18" t="s">
        <v>151</v>
      </c>
      <c r="C73" s="14" t="s">
        <v>27</v>
      </c>
      <c r="D73" s="14">
        <v>12</v>
      </c>
      <c r="E73" s="15">
        <f>+'APU CAP 1-2'!H2855</f>
        <v>134000</v>
      </c>
      <c r="F73" s="16">
        <f t="shared" si="3"/>
        <v>1608000</v>
      </c>
      <c r="G73" s="8">
        <f t="shared" si="0"/>
        <v>1</v>
      </c>
    </row>
    <row r="74" spans="1:7" x14ac:dyDescent="0.25">
      <c r="A74" s="17" t="s">
        <v>154</v>
      </c>
      <c r="B74" s="18" t="s">
        <v>152</v>
      </c>
      <c r="C74" s="14" t="s">
        <v>27</v>
      </c>
      <c r="D74" s="14">
        <f>54.3+12</f>
        <v>66.3</v>
      </c>
      <c r="E74" s="15">
        <f>+'APU CAP 1-2'!H2910</f>
        <v>141125</v>
      </c>
      <c r="F74" s="16">
        <f t="shared" si="3"/>
        <v>9356587.5</v>
      </c>
      <c r="G74" s="8">
        <f t="shared" si="0"/>
        <v>1</v>
      </c>
    </row>
    <row r="75" spans="1:7" x14ac:dyDescent="0.25">
      <c r="A75" s="17" t="s">
        <v>155</v>
      </c>
      <c r="B75" s="18" t="s">
        <v>158</v>
      </c>
      <c r="C75" s="14" t="s">
        <v>27</v>
      </c>
      <c r="D75" s="14">
        <v>28.9</v>
      </c>
      <c r="E75" s="15">
        <f>+'APU CAP 1-2'!H2965</f>
        <v>80534</v>
      </c>
      <c r="F75" s="16">
        <f t="shared" si="3"/>
        <v>2327432.6</v>
      </c>
      <c r="G75" s="8">
        <f t="shared" ref="G75:G138" si="4">+IF(F75&lt;&gt;0,1,0)</f>
        <v>1</v>
      </c>
    </row>
    <row r="76" spans="1:7" hidden="1" x14ac:dyDescent="0.25">
      <c r="A76" s="17" t="s">
        <v>156</v>
      </c>
      <c r="B76" s="18" t="s">
        <v>159</v>
      </c>
      <c r="C76" s="14" t="s">
        <v>27</v>
      </c>
      <c r="D76" s="14"/>
      <c r="E76" s="15">
        <f>+'APU CAP 1-2'!H3020</f>
        <v>103566</v>
      </c>
      <c r="F76" s="16">
        <f t="shared" si="3"/>
        <v>0</v>
      </c>
      <c r="G76" s="8">
        <f t="shared" si="4"/>
        <v>0</v>
      </c>
    </row>
    <row r="77" spans="1:7" hidden="1" x14ac:dyDescent="0.25">
      <c r="A77" s="17" t="s">
        <v>157</v>
      </c>
      <c r="B77" s="18" t="s">
        <v>169</v>
      </c>
      <c r="C77" s="14" t="s">
        <v>27</v>
      </c>
      <c r="D77" s="14"/>
      <c r="E77" s="15">
        <f>+'APU CAP 1-2'!H3075</f>
        <v>107316</v>
      </c>
      <c r="F77" s="16">
        <f t="shared" si="3"/>
        <v>0</v>
      </c>
      <c r="G77" s="8">
        <f t="shared" si="4"/>
        <v>0</v>
      </c>
    </row>
    <row r="78" spans="1:7" hidden="1" x14ac:dyDescent="0.25">
      <c r="A78" s="17" t="s">
        <v>160</v>
      </c>
      <c r="B78" s="18" t="s">
        <v>161</v>
      </c>
      <c r="C78" s="14" t="s">
        <v>27</v>
      </c>
      <c r="D78" s="14"/>
      <c r="E78" s="15"/>
      <c r="F78" s="16">
        <f t="shared" si="3"/>
        <v>0</v>
      </c>
      <c r="G78" s="8">
        <f t="shared" si="4"/>
        <v>0</v>
      </c>
    </row>
    <row r="79" spans="1:7" ht="25.5" x14ac:dyDescent="0.25">
      <c r="A79" s="17" t="s">
        <v>30</v>
      </c>
      <c r="B79" s="25" t="s">
        <v>6319</v>
      </c>
      <c r="C79" s="14" t="s">
        <v>27</v>
      </c>
      <c r="D79" s="14">
        <v>380</v>
      </c>
      <c r="E79" s="15">
        <f>+'APU CAP 1-2'!H3185</f>
        <v>14194</v>
      </c>
      <c r="F79" s="16">
        <f t="shared" si="3"/>
        <v>5393720</v>
      </c>
      <c r="G79" s="8">
        <f t="shared" si="4"/>
        <v>1</v>
      </c>
    </row>
    <row r="80" spans="1:7" x14ac:dyDescent="0.25">
      <c r="A80" s="2454" t="s">
        <v>31</v>
      </c>
      <c r="B80" s="2455"/>
      <c r="C80" s="2455"/>
      <c r="D80" s="2455"/>
      <c r="E80" s="2455"/>
      <c r="F80" s="19">
        <f>SUM(F71:F79)</f>
        <v>28891481.200000003</v>
      </c>
      <c r="G80" s="8">
        <f t="shared" si="4"/>
        <v>1</v>
      </c>
    </row>
    <row r="81" spans="1:7" hidden="1" x14ac:dyDescent="0.25">
      <c r="A81" s="608" t="s">
        <v>162</v>
      </c>
      <c r="B81" s="13" t="s">
        <v>163</v>
      </c>
      <c r="C81" s="14"/>
      <c r="D81" s="14"/>
      <c r="E81" s="18"/>
      <c r="F81" s="45"/>
      <c r="G81" s="8">
        <f t="shared" si="4"/>
        <v>0</v>
      </c>
    </row>
    <row r="82" spans="1:7" hidden="1" x14ac:dyDescent="0.25">
      <c r="A82" s="17" t="s">
        <v>164</v>
      </c>
      <c r="B82" s="18" t="s">
        <v>165</v>
      </c>
      <c r="C82" s="14" t="s">
        <v>27</v>
      </c>
      <c r="D82" s="14"/>
      <c r="E82" s="443">
        <f>+'APU CAP 1-2'!H3238</f>
        <v>102425.96153846153</v>
      </c>
      <c r="F82" s="16">
        <f t="shared" ref="F82:F92" si="5">+D82*E82</f>
        <v>0</v>
      </c>
      <c r="G82" s="8">
        <f t="shared" si="4"/>
        <v>0</v>
      </c>
    </row>
    <row r="83" spans="1:7" hidden="1" x14ac:dyDescent="0.25">
      <c r="A83" s="17" t="s">
        <v>171</v>
      </c>
      <c r="B83" s="18" t="s">
        <v>166</v>
      </c>
      <c r="C83" s="14" t="s">
        <v>27</v>
      </c>
      <c r="D83" s="14"/>
      <c r="E83" s="443">
        <f>+'APU CAP 1-2'!H3293</f>
        <v>45880</v>
      </c>
      <c r="F83" s="16">
        <f t="shared" si="5"/>
        <v>0</v>
      </c>
      <c r="G83" s="8">
        <f t="shared" si="4"/>
        <v>0</v>
      </c>
    </row>
    <row r="84" spans="1:7" hidden="1" x14ac:dyDescent="0.25">
      <c r="A84" s="17" t="s">
        <v>172</v>
      </c>
      <c r="B84" s="18" t="s">
        <v>167</v>
      </c>
      <c r="C84" s="14" t="s">
        <v>27</v>
      </c>
      <c r="D84" s="14"/>
      <c r="E84" s="443">
        <f>+'APU CAP 1-2'!H3348</f>
        <v>89975.294117647063</v>
      </c>
      <c r="F84" s="16">
        <f t="shared" si="5"/>
        <v>0</v>
      </c>
      <c r="G84" s="8">
        <f t="shared" si="4"/>
        <v>0</v>
      </c>
    </row>
    <row r="85" spans="1:7" hidden="1" x14ac:dyDescent="0.25">
      <c r="A85" s="17" t="s">
        <v>173</v>
      </c>
      <c r="B85" s="18" t="s">
        <v>168</v>
      </c>
      <c r="C85" s="14" t="s">
        <v>27</v>
      </c>
      <c r="D85" s="14"/>
      <c r="E85" s="443">
        <f>+'APU CAP 1-2'!H3403</f>
        <v>26738.666666666668</v>
      </c>
      <c r="F85" s="16">
        <f t="shared" si="5"/>
        <v>0</v>
      </c>
      <c r="G85" s="8">
        <f t="shared" si="4"/>
        <v>0</v>
      </c>
    </row>
    <row r="86" spans="1:7" hidden="1" x14ac:dyDescent="0.25">
      <c r="A86" s="17" t="s">
        <v>174</v>
      </c>
      <c r="B86" s="18" t="s">
        <v>170</v>
      </c>
      <c r="C86" s="14" t="s">
        <v>27</v>
      </c>
      <c r="D86" s="14"/>
      <c r="E86" s="443">
        <f>+'APU CAP 1-2'!H3458</f>
        <v>26738.666666666668</v>
      </c>
      <c r="F86" s="16">
        <f t="shared" si="5"/>
        <v>0</v>
      </c>
      <c r="G86" s="8">
        <f t="shared" si="4"/>
        <v>0</v>
      </c>
    </row>
    <row r="87" spans="1:7" hidden="1" x14ac:dyDescent="0.25">
      <c r="A87" s="17" t="s">
        <v>179</v>
      </c>
      <c r="B87" s="18" t="s">
        <v>175</v>
      </c>
      <c r="C87" s="14" t="s">
        <v>14</v>
      </c>
      <c r="D87" s="14"/>
      <c r="E87" s="443">
        <f>+'APU CAP 1-2'!H3513</f>
        <v>10992.083333333332</v>
      </c>
      <c r="F87" s="16">
        <f t="shared" si="5"/>
        <v>0</v>
      </c>
      <c r="G87" s="8">
        <f t="shared" si="4"/>
        <v>0</v>
      </c>
    </row>
    <row r="88" spans="1:7" hidden="1" x14ac:dyDescent="0.25">
      <c r="A88" s="17" t="s">
        <v>180</v>
      </c>
      <c r="B88" s="18" t="s">
        <v>176</v>
      </c>
      <c r="C88" s="14" t="s">
        <v>14</v>
      </c>
      <c r="D88" s="14"/>
      <c r="E88" s="443">
        <f>+'APU CAP 1-2'!H3568</f>
        <v>16317</v>
      </c>
      <c r="F88" s="16">
        <f t="shared" si="5"/>
        <v>0</v>
      </c>
      <c r="G88" s="8">
        <f t="shared" si="4"/>
        <v>0</v>
      </c>
    </row>
    <row r="89" spans="1:7" hidden="1" x14ac:dyDescent="0.25">
      <c r="A89" s="17" t="s">
        <v>181</v>
      </c>
      <c r="B89" s="18" t="s">
        <v>177</v>
      </c>
      <c r="C89" s="14" t="s">
        <v>14</v>
      </c>
      <c r="D89" s="14"/>
      <c r="E89" s="443">
        <f>+'APU CAP 1-2'!H3623</f>
        <v>20072.5</v>
      </c>
      <c r="F89" s="16">
        <f t="shared" si="5"/>
        <v>0</v>
      </c>
      <c r="G89" s="8">
        <f t="shared" si="4"/>
        <v>0</v>
      </c>
    </row>
    <row r="90" spans="1:7" hidden="1" x14ac:dyDescent="0.25">
      <c r="A90" s="17" t="s">
        <v>182</v>
      </c>
      <c r="B90" s="18" t="s">
        <v>178</v>
      </c>
      <c r="C90" s="14" t="s">
        <v>14</v>
      </c>
      <c r="D90" s="14"/>
      <c r="E90" s="443">
        <f>+'APU CAP 1-2'!H3678</f>
        <v>26331.666666666668</v>
      </c>
      <c r="F90" s="16">
        <f t="shared" si="5"/>
        <v>0</v>
      </c>
      <c r="G90" s="8">
        <f t="shared" si="4"/>
        <v>0</v>
      </c>
    </row>
    <row r="91" spans="1:7" hidden="1" x14ac:dyDescent="0.25">
      <c r="A91" s="17" t="s">
        <v>183</v>
      </c>
      <c r="B91" s="18" t="s">
        <v>184</v>
      </c>
      <c r="C91" s="14" t="s">
        <v>14</v>
      </c>
      <c r="D91" s="14"/>
      <c r="E91" s="443">
        <f>+'APU CAP 1-2'!H3733</f>
        <v>35150</v>
      </c>
      <c r="F91" s="16">
        <f t="shared" si="5"/>
        <v>0</v>
      </c>
      <c r="G91" s="8">
        <f t="shared" si="4"/>
        <v>0</v>
      </c>
    </row>
    <row r="92" spans="1:7" hidden="1" x14ac:dyDescent="0.25">
      <c r="A92" s="17" t="s">
        <v>185</v>
      </c>
      <c r="B92" s="18" t="s">
        <v>186</v>
      </c>
      <c r="C92" s="14" t="s">
        <v>146</v>
      </c>
      <c r="D92" s="14"/>
      <c r="E92" s="443">
        <f>+'APU CAP 1-2'!H3788</f>
        <v>1631.7</v>
      </c>
      <c r="F92" s="16">
        <f t="shared" si="5"/>
        <v>0</v>
      </c>
      <c r="G92" s="8">
        <f t="shared" si="4"/>
        <v>0</v>
      </c>
    </row>
    <row r="93" spans="1:7" hidden="1" x14ac:dyDescent="0.25">
      <c r="A93" s="2454" t="s">
        <v>839</v>
      </c>
      <c r="B93" s="2455"/>
      <c r="C93" s="2455"/>
      <c r="D93" s="2455"/>
      <c r="E93" s="2455"/>
      <c r="F93" s="45">
        <f>SUM(F82:F92)</f>
        <v>0</v>
      </c>
      <c r="G93" s="8">
        <f t="shared" si="4"/>
        <v>0</v>
      </c>
    </row>
    <row r="94" spans="1:7" hidden="1" x14ac:dyDescent="0.25">
      <c r="A94" s="20">
        <v>3</v>
      </c>
      <c r="B94" s="21" t="s">
        <v>32</v>
      </c>
      <c r="C94" s="22"/>
      <c r="D94" s="22"/>
      <c r="E94" s="23"/>
      <c r="F94" s="24"/>
      <c r="G94" s="8">
        <f t="shared" si="4"/>
        <v>0</v>
      </c>
    </row>
    <row r="95" spans="1:7" hidden="1" x14ac:dyDescent="0.25">
      <c r="A95" s="12" t="s">
        <v>33</v>
      </c>
      <c r="B95" s="13" t="s">
        <v>34</v>
      </c>
      <c r="C95" s="14"/>
      <c r="D95" s="14"/>
      <c r="E95" s="15"/>
      <c r="F95" s="16"/>
      <c r="G95" s="8">
        <f t="shared" si="4"/>
        <v>0</v>
      </c>
    </row>
    <row r="96" spans="1:7" hidden="1" x14ac:dyDescent="0.25">
      <c r="A96" s="12" t="s">
        <v>187</v>
      </c>
      <c r="B96" s="13" t="s">
        <v>188</v>
      </c>
      <c r="C96" s="14"/>
      <c r="D96" s="14"/>
      <c r="E96" s="15"/>
      <c r="F96" s="16"/>
      <c r="G96" s="8">
        <f t="shared" si="4"/>
        <v>0</v>
      </c>
    </row>
    <row r="97" spans="1:7" hidden="1" x14ac:dyDescent="0.25">
      <c r="A97" s="17" t="s">
        <v>189</v>
      </c>
      <c r="B97" s="18" t="s">
        <v>193</v>
      </c>
      <c r="C97" s="14" t="s">
        <v>14</v>
      </c>
      <c r="D97" s="14"/>
      <c r="E97" s="15">
        <f>+'APU CAP 3'!H51</f>
        <v>3788.6967006</v>
      </c>
      <c r="F97" s="16">
        <f t="shared" ref="F97:F106" si="6">+D97*E97</f>
        <v>0</v>
      </c>
      <c r="G97" s="8">
        <f t="shared" si="4"/>
        <v>0</v>
      </c>
    </row>
    <row r="98" spans="1:7" hidden="1" x14ac:dyDescent="0.25">
      <c r="A98" s="17" t="s">
        <v>190</v>
      </c>
      <c r="B98" s="18" t="s">
        <v>194</v>
      </c>
      <c r="C98" s="14" t="s">
        <v>14</v>
      </c>
      <c r="D98" s="14"/>
      <c r="E98" s="15">
        <f>+'APU CAP 3'!H51</f>
        <v>3788.6967006</v>
      </c>
      <c r="F98" s="16">
        <f t="shared" si="6"/>
        <v>0</v>
      </c>
      <c r="G98" s="8">
        <f t="shared" si="4"/>
        <v>0</v>
      </c>
    </row>
    <row r="99" spans="1:7" hidden="1" x14ac:dyDescent="0.25">
      <c r="A99" s="17" t="s">
        <v>191</v>
      </c>
      <c r="B99" s="18" t="s">
        <v>195</v>
      </c>
      <c r="C99" s="14" t="s">
        <v>14</v>
      </c>
      <c r="D99" s="14"/>
      <c r="E99" s="15">
        <f>+'APU CAP 3'!H105</f>
        <v>5173</v>
      </c>
      <c r="F99" s="16">
        <f t="shared" si="6"/>
        <v>0</v>
      </c>
      <c r="G99" s="8">
        <f t="shared" si="4"/>
        <v>0</v>
      </c>
    </row>
    <row r="100" spans="1:7" hidden="1" x14ac:dyDescent="0.25">
      <c r="A100" s="17" t="s">
        <v>192</v>
      </c>
      <c r="B100" s="18" t="s">
        <v>196</v>
      </c>
      <c r="C100" s="14" t="s">
        <v>14</v>
      </c>
      <c r="D100" s="14"/>
      <c r="E100" s="15">
        <f>+'APU CAP 3'!H105</f>
        <v>5173</v>
      </c>
      <c r="F100" s="16">
        <f t="shared" si="6"/>
        <v>0</v>
      </c>
      <c r="G100" s="8">
        <f t="shared" si="4"/>
        <v>0</v>
      </c>
    </row>
    <row r="101" spans="1:7" hidden="1" x14ac:dyDescent="0.25">
      <c r="A101" s="17" t="s">
        <v>220</v>
      </c>
      <c r="B101" s="18" t="s">
        <v>221</v>
      </c>
      <c r="C101" s="14" t="s">
        <v>14</v>
      </c>
      <c r="D101" s="14"/>
      <c r="E101" s="15"/>
      <c r="F101" s="16">
        <f t="shared" si="6"/>
        <v>0</v>
      </c>
      <c r="G101" s="8">
        <f t="shared" si="4"/>
        <v>0</v>
      </c>
    </row>
    <row r="102" spans="1:7" hidden="1" x14ac:dyDescent="0.25">
      <c r="A102" s="17" t="s">
        <v>225</v>
      </c>
      <c r="B102" s="18" t="s">
        <v>5991</v>
      </c>
      <c r="C102" s="14" t="s">
        <v>14</v>
      </c>
      <c r="D102" s="14"/>
      <c r="E102" s="15"/>
      <c r="F102" s="16">
        <f t="shared" si="6"/>
        <v>0</v>
      </c>
      <c r="G102" s="8">
        <f t="shared" si="4"/>
        <v>0</v>
      </c>
    </row>
    <row r="103" spans="1:7" hidden="1" x14ac:dyDescent="0.25">
      <c r="A103" s="17" t="s">
        <v>226</v>
      </c>
      <c r="B103" s="18" t="s">
        <v>223</v>
      </c>
      <c r="C103" s="14" t="s">
        <v>14</v>
      </c>
      <c r="D103" s="14"/>
      <c r="E103" s="15"/>
      <c r="F103" s="16">
        <f t="shared" si="6"/>
        <v>0</v>
      </c>
      <c r="G103" s="8">
        <f t="shared" si="4"/>
        <v>0</v>
      </c>
    </row>
    <row r="104" spans="1:7" hidden="1" x14ac:dyDescent="0.25">
      <c r="A104" s="17" t="s">
        <v>227</v>
      </c>
      <c r="B104" s="18" t="s">
        <v>224</v>
      </c>
      <c r="C104" s="14" t="s">
        <v>14</v>
      </c>
      <c r="D104" s="14"/>
      <c r="E104" s="15"/>
      <c r="F104" s="16">
        <f t="shared" si="6"/>
        <v>0</v>
      </c>
      <c r="G104" s="8">
        <f t="shared" si="4"/>
        <v>0</v>
      </c>
    </row>
    <row r="105" spans="1:7" hidden="1" x14ac:dyDescent="0.25">
      <c r="A105" s="17" t="s">
        <v>228</v>
      </c>
      <c r="B105" s="18" t="s">
        <v>222</v>
      </c>
      <c r="C105" s="14" t="s">
        <v>14</v>
      </c>
      <c r="D105" s="14"/>
      <c r="E105" s="15"/>
      <c r="F105" s="16">
        <f t="shared" si="6"/>
        <v>0</v>
      </c>
      <c r="G105" s="8">
        <f t="shared" si="4"/>
        <v>0</v>
      </c>
    </row>
    <row r="106" spans="1:7" hidden="1" x14ac:dyDescent="0.25">
      <c r="A106" s="17" t="s">
        <v>229</v>
      </c>
      <c r="B106" s="18" t="s">
        <v>230</v>
      </c>
      <c r="C106" s="14" t="s">
        <v>14</v>
      </c>
      <c r="D106" s="14"/>
      <c r="E106" s="15">
        <f>+'APU CAP 3'!H159</f>
        <v>462</v>
      </c>
      <c r="F106" s="16">
        <f t="shared" si="6"/>
        <v>0</v>
      </c>
      <c r="G106" s="8">
        <f t="shared" si="4"/>
        <v>0</v>
      </c>
    </row>
    <row r="107" spans="1:7" hidden="1" x14ac:dyDescent="0.25">
      <c r="A107" s="12" t="s">
        <v>35</v>
      </c>
      <c r="B107" s="13" t="s">
        <v>36</v>
      </c>
      <c r="C107" s="14"/>
      <c r="D107" s="26"/>
      <c r="E107" s="15"/>
      <c r="F107" s="16"/>
      <c r="G107" s="8">
        <f t="shared" si="4"/>
        <v>0</v>
      </c>
    </row>
    <row r="108" spans="1:7" hidden="1" x14ac:dyDescent="0.25">
      <c r="A108" s="17" t="s">
        <v>406</v>
      </c>
      <c r="B108" s="18" t="s">
        <v>208</v>
      </c>
      <c r="C108" s="14" t="s">
        <v>14</v>
      </c>
      <c r="D108" s="26"/>
      <c r="E108" s="15">
        <f>+'APU CAP 3'!H213</f>
        <v>3247</v>
      </c>
      <c r="F108" s="16">
        <f t="shared" ref="F108:F120" si="7">+D108*E108</f>
        <v>0</v>
      </c>
      <c r="G108" s="8">
        <f t="shared" si="4"/>
        <v>0</v>
      </c>
    </row>
    <row r="109" spans="1:7" hidden="1" x14ac:dyDescent="0.25">
      <c r="A109" s="17" t="s">
        <v>407</v>
      </c>
      <c r="B109" s="18" t="s">
        <v>405</v>
      </c>
      <c r="C109" s="14" t="s">
        <v>14</v>
      </c>
      <c r="D109" s="26"/>
      <c r="E109" s="15">
        <f>+'APU CAP 3'!H213</f>
        <v>3247</v>
      </c>
      <c r="F109" s="16">
        <f t="shared" si="7"/>
        <v>0</v>
      </c>
      <c r="G109" s="8">
        <f t="shared" si="4"/>
        <v>0</v>
      </c>
    </row>
    <row r="110" spans="1:7" hidden="1" x14ac:dyDescent="0.25">
      <c r="A110" s="17" t="s">
        <v>197</v>
      </c>
      <c r="B110" s="18" t="s">
        <v>209</v>
      </c>
      <c r="C110" s="14" t="s">
        <v>14</v>
      </c>
      <c r="D110" s="26"/>
      <c r="E110" s="15">
        <f>+'APU CAP 3'!P213</f>
        <v>3933</v>
      </c>
      <c r="F110" s="16">
        <f t="shared" si="7"/>
        <v>0</v>
      </c>
      <c r="G110" s="8">
        <f t="shared" si="4"/>
        <v>0</v>
      </c>
    </row>
    <row r="111" spans="1:7" hidden="1" x14ac:dyDescent="0.25">
      <c r="A111" s="17" t="s">
        <v>198</v>
      </c>
      <c r="B111" s="18" t="s">
        <v>210</v>
      </c>
      <c r="C111" s="14" t="s">
        <v>14</v>
      </c>
      <c r="D111" s="26"/>
      <c r="E111" s="15">
        <f>+'APU CAP 3'!X213</f>
        <v>4802</v>
      </c>
      <c r="F111" s="16">
        <f t="shared" si="7"/>
        <v>0</v>
      </c>
      <c r="G111" s="8">
        <f t="shared" si="4"/>
        <v>0</v>
      </c>
    </row>
    <row r="112" spans="1:7" hidden="1" x14ac:dyDescent="0.25">
      <c r="A112" s="17" t="s">
        <v>199</v>
      </c>
      <c r="B112" s="18" t="s">
        <v>211</v>
      </c>
      <c r="C112" s="14" t="s">
        <v>14</v>
      </c>
      <c r="D112" s="26"/>
      <c r="E112" s="15">
        <f>+'APU CAP 3'!H267</f>
        <v>8019</v>
      </c>
      <c r="F112" s="16">
        <f t="shared" si="7"/>
        <v>0</v>
      </c>
      <c r="G112" s="8">
        <f t="shared" si="4"/>
        <v>0</v>
      </c>
    </row>
    <row r="113" spans="1:7" hidden="1" x14ac:dyDescent="0.25">
      <c r="A113" s="17" t="s">
        <v>200</v>
      </c>
      <c r="B113" s="18" t="s">
        <v>212</v>
      </c>
      <c r="C113" s="14" t="s">
        <v>14</v>
      </c>
      <c r="D113" s="26"/>
      <c r="E113" s="15">
        <f>+'APU CAP 3'!P267</f>
        <v>10956</v>
      </c>
      <c r="F113" s="16">
        <f t="shared" si="7"/>
        <v>0</v>
      </c>
      <c r="G113" s="8">
        <f t="shared" si="4"/>
        <v>0</v>
      </c>
    </row>
    <row r="114" spans="1:7" hidden="1" x14ac:dyDescent="0.25">
      <c r="A114" s="17" t="s">
        <v>201</v>
      </c>
      <c r="B114" s="18" t="s">
        <v>213</v>
      </c>
      <c r="C114" s="14" t="s">
        <v>14</v>
      </c>
      <c r="D114" s="26"/>
      <c r="E114" s="15">
        <f>+'APU CAP 3'!H321</f>
        <v>13725</v>
      </c>
      <c r="F114" s="16">
        <f t="shared" si="7"/>
        <v>0</v>
      </c>
      <c r="G114" s="8">
        <f t="shared" si="4"/>
        <v>0</v>
      </c>
    </row>
    <row r="115" spans="1:7" hidden="1" x14ac:dyDescent="0.25">
      <c r="A115" s="17" t="s">
        <v>202</v>
      </c>
      <c r="B115" s="18" t="s">
        <v>214</v>
      </c>
      <c r="C115" s="14" t="s">
        <v>14</v>
      </c>
      <c r="D115" s="26"/>
      <c r="E115" s="15">
        <f>+'APU CAP 3'!P321</f>
        <v>16500</v>
      </c>
      <c r="F115" s="16">
        <f t="shared" si="7"/>
        <v>0</v>
      </c>
      <c r="G115" s="8">
        <f t="shared" si="4"/>
        <v>0</v>
      </c>
    </row>
    <row r="116" spans="1:7" hidden="1" x14ac:dyDescent="0.25">
      <c r="A116" s="17" t="s">
        <v>203</v>
      </c>
      <c r="B116" s="18" t="s">
        <v>215</v>
      </c>
      <c r="C116" s="14" t="s">
        <v>14</v>
      </c>
      <c r="D116" s="26"/>
      <c r="E116" s="15">
        <f>+'APU CAP 3'!H375</f>
        <v>20256</v>
      </c>
      <c r="F116" s="16">
        <f t="shared" si="7"/>
        <v>0</v>
      </c>
      <c r="G116" s="8">
        <f t="shared" si="4"/>
        <v>0</v>
      </c>
    </row>
    <row r="117" spans="1:7" hidden="1" x14ac:dyDescent="0.25">
      <c r="A117" s="17" t="s">
        <v>204</v>
      </c>
      <c r="B117" s="18" t="s">
        <v>216</v>
      </c>
      <c r="C117" s="14" t="s">
        <v>14</v>
      </c>
      <c r="D117" s="26"/>
      <c r="E117" s="15">
        <f>+'APU CAP 3'!P375</f>
        <v>23506</v>
      </c>
      <c r="F117" s="16">
        <f t="shared" si="7"/>
        <v>0</v>
      </c>
      <c r="G117" s="8">
        <f t="shared" si="4"/>
        <v>0</v>
      </c>
    </row>
    <row r="118" spans="1:7" hidden="1" x14ac:dyDescent="0.25">
      <c r="A118" s="17" t="s">
        <v>205</v>
      </c>
      <c r="B118" s="18" t="s">
        <v>217</v>
      </c>
      <c r="C118" s="14" t="s">
        <v>14</v>
      </c>
      <c r="D118" s="26"/>
      <c r="E118" s="15">
        <f>+'APU CAP 3'!H429</f>
        <v>28370</v>
      </c>
      <c r="F118" s="16">
        <f t="shared" si="7"/>
        <v>0</v>
      </c>
      <c r="G118" s="8">
        <f t="shared" si="4"/>
        <v>0</v>
      </c>
    </row>
    <row r="119" spans="1:7" hidden="1" x14ac:dyDescent="0.25">
      <c r="A119" s="17" t="s">
        <v>206</v>
      </c>
      <c r="B119" s="18" t="s">
        <v>218</v>
      </c>
      <c r="C119" s="14" t="s">
        <v>14</v>
      </c>
      <c r="D119" s="26"/>
      <c r="E119" s="15">
        <f>+'APU CAP 3'!P429</f>
        <v>35037</v>
      </c>
      <c r="F119" s="16">
        <f t="shared" si="7"/>
        <v>0</v>
      </c>
      <c r="G119" s="8">
        <f t="shared" si="4"/>
        <v>0</v>
      </c>
    </row>
    <row r="120" spans="1:7" hidden="1" x14ac:dyDescent="0.25">
      <c r="A120" s="17" t="s">
        <v>207</v>
      </c>
      <c r="B120" s="18" t="s">
        <v>219</v>
      </c>
      <c r="C120" s="14" t="s">
        <v>14</v>
      </c>
      <c r="D120" s="26"/>
      <c r="E120" s="15"/>
      <c r="F120" s="16">
        <f t="shared" si="7"/>
        <v>0</v>
      </c>
      <c r="G120" s="8">
        <f t="shared" si="4"/>
        <v>0</v>
      </c>
    </row>
    <row r="121" spans="1:7" hidden="1" x14ac:dyDescent="0.25">
      <c r="A121" s="12" t="s">
        <v>231</v>
      </c>
      <c r="B121" s="13" t="s">
        <v>232</v>
      </c>
      <c r="C121" s="14"/>
      <c r="D121" s="26"/>
      <c r="E121" s="15"/>
      <c r="F121" s="16"/>
      <c r="G121" s="8">
        <f t="shared" si="4"/>
        <v>0</v>
      </c>
    </row>
    <row r="122" spans="1:7" hidden="1" x14ac:dyDescent="0.25">
      <c r="A122" s="17" t="s">
        <v>233</v>
      </c>
      <c r="B122" s="18" t="s">
        <v>236</v>
      </c>
      <c r="C122" s="14" t="s">
        <v>37</v>
      </c>
      <c r="D122" s="26"/>
      <c r="E122" s="15">
        <f>+'APU CAP 3'!H483</f>
        <v>8497</v>
      </c>
      <c r="F122" s="16">
        <f t="shared" ref="F122:F127" si="8">+D122*E122</f>
        <v>0</v>
      </c>
      <c r="G122" s="8">
        <f t="shared" si="4"/>
        <v>0</v>
      </c>
    </row>
    <row r="123" spans="1:7" hidden="1" x14ac:dyDescent="0.25">
      <c r="A123" s="17" t="s">
        <v>234</v>
      </c>
      <c r="B123" s="18" t="s">
        <v>237</v>
      </c>
      <c r="C123" s="14" t="s">
        <v>37</v>
      </c>
      <c r="D123" s="26"/>
      <c r="E123" s="15">
        <f>+'APU CAP 3'!H537</f>
        <v>10839</v>
      </c>
      <c r="F123" s="16">
        <f t="shared" si="8"/>
        <v>0</v>
      </c>
      <c r="G123" s="8">
        <f t="shared" si="4"/>
        <v>0</v>
      </c>
    </row>
    <row r="124" spans="1:7" hidden="1" x14ac:dyDescent="0.25">
      <c r="A124" s="17" t="s">
        <v>235</v>
      </c>
      <c r="B124" s="18" t="s">
        <v>238</v>
      </c>
      <c r="C124" s="14" t="s">
        <v>37</v>
      </c>
      <c r="D124" s="26"/>
      <c r="E124" s="15">
        <f>+'APU CAP 3'!H591</f>
        <v>17536</v>
      </c>
      <c r="F124" s="16">
        <f t="shared" si="8"/>
        <v>0</v>
      </c>
      <c r="G124" s="8">
        <f t="shared" si="4"/>
        <v>0</v>
      </c>
    </row>
    <row r="125" spans="1:7" hidden="1" x14ac:dyDescent="0.25">
      <c r="A125" s="17" t="s">
        <v>5761</v>
      </c>
      <c r="B125" s="18" t="s">
        <v>5763</v>
      </c>
      <c r="C125" s="14" t="s">
        <v>37</v>
      </c>
      <c r="D125" s="26"/>
      <c r="E125" s="15"/>
      <c r="F125" s="16">
        <f t="shared" si="8"/>
        <v>0</v>
      </c>
      <c r="G125" s="8">
        <f t="shared" si="4"/>
        <v>0</v>
      </c>
    </row>
    <row r="126" spans="1:7" hidden="1" x14ac:dyDescent="0.25">
      <c r="A126" s="17" t="s">
        <v>5762</v>
      </c>
      <c r="B126" s="18" t="s">
        <v>5764</v>
      </c>
      <c r="C126" s="14" t="s">
        <v>37</v>
      </c>
      <c r="D126" s="26"/>
      <c r="E126" s="15"/>
      <c r="F126" s="16">
        <f t="shared" si="8"/>
        <v>0</v>
      </c>
      <c r="G126" s="8">
        <f t="shared" si="4"/>
        <v>0</v>
      </c>
    </row>
    <row r="127" spans="1:7" hidden="1" x14ac:dyDescent="0.25">
      <c r="A127" s="17" t="s">
        <v>5765</v>
      </c>
      <c r="B127" s="18" t="s">
        <v>5766</v>
      </c>
      <c r="C127" s="14" t="s">
        <v>37</v>
      </c>
      <c r="D127" s="26"/>
      <c r="E127" s="15"/>
      <c r="F127" s="16">
        <f t="shared" si="8"/>
        <v>0</v>
      </c>
      <c r="G127" s="8">
        <f t="shared" si="4"/>
        <v>0</v>
      </c>
    </row>
    <row r="128" spans="1:7" hidden="1" x14ac:dyDescent="0.25">
      <c r="A128" s="12" t="s">
        <v>239</v>
      </c>
      <c r="B128" s="13" t="s">
        <v>240</v>
      </c>
      <c r="C128" s="14"/>
      <c r="D128" s="26"/>
      <c r="E128" s="15"/>
      <c r="F128" s="16"/>
      <c r="G128" s="8">
        <f t="shared" si="4"/>
        <v>0</v>
      </c>
    </row>
    <row r="129" spans="1:7" hidden="1" x14ac:dyDescent="0.25">
      <c r="A129" s="17" t="s">
        <v>241</v>
      </c>
      <c r="B129" s="18" t="s">
        <v>1924</v>
      </c>
      <c r="C129" s="14" t="s">
        <v>14</v>
      </c>
      <c r="D129" s="26"/>
      <c r="E129" s="15">
        <f>+'APU CAP 3'!H645</f>
        <v>11850</v>
      </c>
      <c r="F129" s="16">
        <f t="shared" ref="F129:F149" si="9">+D129*E129</f>
        <v>0</v>
      </c>
      <c r="G129" s="8">
        <f t="shared" si="4"/>
        <v>0</v>
      </c>
    </row>
    <row r="130" spans="1:7" hidden="1" x14ac:dyDescent="0.25">
      <c r="A130" s="17" t="s">
        <v>253</v>
      </c>
      <c r="B130" s="18" t="s">
        <v>242</v>
      </c>
      <c r="C130" s="14" t="s">
        <v>14</v>
      </c>
      <c r="D130" s="26"/>
      <c r="E130" s="15">
        <f>+E129</f>
        <v>11850</v>
      </c>
      <c r="F130" s="16">
        <f t="shared" si="9"/>
        <v>0</v>
      </c>
      <c r="G130" s="8">
        <f t="shared" si="4"/>
        <v>0</v>
      </c>
    </row>
    <row r="131" spans="1:7" hidden="1" x14ac:dyDescent="0.25">
      <c r="A131" s="17" t="s">
        <v>254</v>
      </c>
      <c r="B131" s="18" t="s">
        <v>243</v>
      </c>
      <c r="C131" s="14" t="s">
        <v>14</v>
      </c>
      <c r="D131" s="26"/>
      <c r="E131" s="15">
        <f>+E129</f>
        <v>11850</v>
      </c>
      <c r="F131" s="16">
        <f t="shared" si="9"/>
        <v>0</v>
      </c>
      <c r="G131" s="8">
        <f t="shared" si="4"/>
        <v>0</v>
      </c>
    </row>
    <row r="132" spans="1:7" hidden="1" x14ac:dyDescent="0.25">
      <c r="A132" s="17" t="s">
        <v>255</v>
      </c>
      <c r="B132" s="18" t="s">
        <v>244</v>
      </c>
      <c r="C132" s="14" t="s">
        <v>14</v>
      </c>
      <c r="D132" s="26"/>
      <c r="E132" s="15">
        <f>+E129</f>
        <v>11850</v>
      </c>
      <c r="F132" s="16">
        <f t="shared" si="9"/>
        <v>0</v>
      </c>
      <c r="G132" s="8">
        <f t="shared" si="4"/>
        <v>0</v>
      </c>
    </row>
    <row r="133" spans="1:7" hidden="1" x14ac:dyDescent="0.25">
      <c r="A133" s="17" t="s">
        <v>256</v>
      </c>
      <c r="B133" s="18" t="s">
        <v>245</v>
      </c>
      <c r="C133" s="14" t="s">
        <v>14</v>
      </c>
      <c r="D133" s="26"/>
      <c r="E133" s="15">
        <f>+E129</f>
        <v>11850</v>
      </c>
      <c r="F133" s="16">
        <f t="shared" si="9"/>
        <v>0</v>
      </c>
      <c r="G133" s="8">
        <f t="shared" si="4"/>
        <v>0</v>
      </c>
    </row>
    <row r="134" spans="1:7" hidden="1" x14ac:dyDescent="0.25">
      <c r="A134" s="17" t="s">
        <v>257</v>
      </c>
      <c r="B134" s="18" t="s">
        <v>246</v>
      </c>
      <c r="C134" s="14" t="s">
        <v>14</v>
      </c>
      <c r="D134" s="26"/>
      <c r="E134" s="15">
        <f>+E129</f>
        <v>11850</v>
      </c>
      <c r="F134" s="16">
        <f t="shared" si="9"/>
        <v>0</v>
      </c>
      <c r="G134" s="8">
        <f t="shared" si="4"/>
        <v>0</v>
      </c>
    </row>
    <row r="135" spans="1:7" hidden="1" x14ac:dyDescent="0.25">
      <c r="A135" s="17" t="s">
        <v>258</v>
      </c>
      <c r="B135" s="18" t="s">
        <v>1925</v>
      </c>
      <c r="C135" s="14" t="s">
        <v>14</v>
      </c>
      <c r="D135" s="26"/>
      <c r="E135" s="15">
        <f>+'APU CAP 3'!P645</f>
        <v>15182</v>
      </c>
      <c r="F135" s="16">
        <f t="shared" si="9"/>
        <v>0</v>
      </c>
      <c r="G135" s="8">
        <f t="shared" si="4"/>
        <v>0</v>
      </c>
    </row>
    <row r="136" spans="1:7" hidden="1" x14ac:dyDescent="0.25">
      <c r="A136" s="17" t="s">
        <v>259</v>
      </c>
      <c r="B136" s="18" t="s">
        <v>1926</v>
      </c>
      <c r="C136" s="14" t="s">
        <v>14</v>
      </c>
      <c r="D136" s="26"/>
      <c r="E136" s="15">
        <f>+E135</f>
        <v>15182</v>
      </c>
      <c r="F136" s="16">
        <f t="shared" si="9"/>
        <v>0</v>
      </c>
      <c r="G136" s="8">
        <f t="shared" si="4"/>
        <v>0</v>
      </c>
    </row>
    <row r="137" spans="1:7" hidden="1" x14ac:dyDescent="0.25">
      <c r="A137" s="17" t="s">
        <v>260</v>
      </c>
      <c r="B137" s="18" t="s">
        <v>247</v>
      </c>
      <c r="C137" s="14" t="s">
        <v>14</v>
      </c>
      <c r="D137" s="26"/>
      <c r="E137" s="15">
        <f>+'APU CAP 3'!H699</f>
        <v>21692</v>
      </c>
      <c r="F137" s="16">
        <f t="shared" si="9"/>
        <v>0</v>
      </c>
      <c r="G137" s="8">
        <f t="shared" si="4"/>
        <v>0</v>
      </c>
    </row>
    <row r="138" spans="1:7" hidden="1" x14ac:dyDescent="0.25">
      <c r="A138" s="17" t="s">
        <v>261</v>
      </c>
      <c r="B138" s="18" t="s">
        <v>1927</v>
      </c>
      <c r="C138" s="14" t="s">
        <v>14</v>
      </c>
      <c r="D138" s="26"/>
      <c r="E138" s="15">
        <f>+E137</f>
        <v>21692</v>
      </c>
      <c r="F138" s="16">
        <f t="shared" si="9"/>
        <v>0</v>
      </c>
      <c r="G138" s="8">
        <f t="shared" si="4"/>
        <v>0</v>
      </c>
    </row>
    <row r="139" spans="1:7" hidden="1" x14ac:dyDescent="0.25">
      <c r="A139" s="17" t="s">
        <v>262</v>
      </c>
      <c r="B139" s="18" t="s">
        <v>248</v>
      </c>
      <c r="C139" s="14" t="s">
        <v>14</v>
      </c>
      <c r="D139" s="26"/>
      <c r="E139" s="15">
        <f>+E137</f>
        <v>21692</v>
      </c>
      <c r="F139" s="16">
        <f t="shared" si="9"/>
        <v>0</v>
      </c>
      <c r="G139" s="8">
        <f t="shared" ref="G139:G202" si="10">+IF(F139&lt;&gt;0,1,0)</f>
        <v>0</v>
      </c>
    </row>
    <row r="140" spans="1:7" hidden="1" x14ac:dyDescent="0.25">
      <c r="A140" s="17" t="s">
        <v>1933</v>
      </c>
      <c r="B140" s="18" t="s">
        <v>1928</v>
      </c>
      <c r="C140" s="14" t="s">
        <v>14</v>
      </c>
      <c r="D140" s="26"/>
      <c r="E140" s="15"/>
      <c r="F140" s="16">
        <f t="shared" si="9"/>
        <v>0</v>
      </c>
      <c r="G140" s="8">
        <f t="shared" si="10"/>
        <v>0</v>
      </c>
    </row>
    <row r="141" spans="1:7" hidden="1" x14ac:dyDescent="0.25">
      <c r="A141" s="17" t="s">
        <v>1934</v>
      </c>
      <c r="B141" s="18" t="s">
        <v>249</v>
      </c>
      <c r="C141" s="14" t="s">
        <v>14</v>
      </c>
      <c r="D141" s="26"/>
      <c r="E141" s="15"/>
      <c r="F141" s="16">
        <f t="shared" si="9"/>
        <v>0</v>
      </c>
      <c r="G141" s="8">
        <f t="shared" si="10"/>
        <v>0</v>
      </c>
    </row>
    <row r="142" spans="1:7" hidden="1" x14ac:dyDescent="0.25">
      <c r="A142" s="17" t="s">
        <v>1935</v>
      </c>
      <c r="B142" s="18" t="s">
        <v>1929</v>
      </c>
      <c r="C142" s="14" t="s">
        <v>14</v>
      </c>
      <c r="D142" s="26"/>
      <c r="E142" s="15"/>
      <c r="F142" s="16">
        <f t="shared" si="9"/>
        <v>0</v>
      </c>
      <c r="G142" s="8">
        <f t="shared" si="10"/>
        <v>0</v>
      </c>
    </row>
    <row r="143" spans="1:7" hidden="1" x14ac:dyDescent="0.25">
      <c r="A143" s="17" t="s">
        <v>1936</v>
      </c>
      <c r="B143" s="18" t="s">
        <v>250</v>
      </c>
      <c r="C143" s="14" t="s">
        <v>14</v>
      </c>
      <c r="D143" s="26"/>
      <c r="E143" s="15"/>
      <c r="F143" s="16">
        <f t="shared" si="9"/>
        <v>0</v>
      </c>
      <c r="G143" s="8">
        <f t="shared" si="10"/>
        <v>0</v>
      </c>
    </row>
    <row r="144" spans="1:7" hidden="1" x14ac:dyDescent="0.25">
      <c r="A144" s="17" t="s">
        <v>1937</v>
      </c>
      <c r="B144" s="18" t="s">
        <v>251</v>
      </c>
      <c r="C144" s="14" t="s">
        <v>14</v>
      </c>
      <c r="D144" s="26"/>
      <c r="E144" s="15"/>
      <c r="F144" s="16">
        <f t="shared" si="9"/>
        <v>0</v>
      </c>
      <c r="G144" s="8">
        <f t="shared" si="10"/>
        <v>0</v>
      </c>
    </row>
    <row r="145" spans="1:7" hidden="1" x14ac:dyDescent="0.25">
      <c r="A145" s="17" t="s">
        <v>1938</v>
      </c>
      <c r="B145" s="18" t="s">
        <v>252</v>
      </c>
      <c r="C145" s="14" t="s">
        <v>14</v>
      </c>
      <c r="D145" s="26"/>
      <c r="E145" s="15"/>
      <c r="F145" s="16">
        <f t="shared" si="9"/>
        <v>0</v>
      </c>
      <c r="G145" s="8">
        <f t="shared" si="10"/>
        <v>0</v>
      </c>
    </row>
    <row r="146" spans="1:7" hidden="1" x14ac:dyDescent="0.25">
      <c r="A146" s="17" t="s">
        <v>1939</v>
      </c>
      <c r="B146" s="18" t="s">
        <v>1930</v>
      </c>
      <c r="C146" s="14" t="s">
        <v>14</v>
      </c>
      <c r="D146" s="26"/>
      <c r="E146" s="15"/>
      <c r="F146" s="16">
        <f t="shared" si="9"/>
        <v>0</v>
      </c>
      <c r="G146" s="8">
        <f t="shared" si="10"/>
        <v>0</v>
      </c>
    </row>
    <row r="147" spans="1:7" hidden="1" x14ac:dyDescent="0.25">
      <c r="A147" s="17" t="s">
        <v>1940</v>
      </c>
      <c r="B147" s="18" t="s">
        <v>1931</v>
      </c>
      <c r="C147" s="14" t="s">
        <v>14</v>
      </c>
      <c r="D147" s="26"/>
      <c r="E147" s="15"/>
      <c r="F147" s="16">
        <f t="shared" si="9"/>
        <v>0</v>
      </c>
      <c r="G147" s="8">
        <f t="shared" si="10"/>
        <v>0</v>
      </c>
    </row>
    <row r="148" spans="1:7" hidden="1" x14ac:dyDescent="0.25">
      <c r="A148" s="17" t="s">
        <v>1941</v>
      </c>
      <c r="B148" s="18" t="s">
        <v>1932</v>
      </c>
      <c r="C148" s="14" t="s">
        <v>14</v>
      </c>
      <c r="D148" s="26"/>
      <c r="E148" s="15"/>
      <c r="F148" s="16">
        <f t="shared" si="9"/>
        <v>0</v>
      </c>
      <c r="G148" s="8">
        <f t="shared" si="10"/>
        <v>0</v>
      </c>
    </row>
    <row r="149" spans="1:7" hidden="1" x14ac:dyDescent="0.25">
      <c r="A149" s="17" t="s">
        <v>1942</v>
      </c>
      <c r="B149" s="18" t="s">
        <v>2347</v>
      </c>
      <c r="C149" s="14" t="s">
        <v>14</v>
      </c>
      <c r="D149" s="26"/>
      <c r="E149" s="15"/>
      <c r="F149" s="16">
        <f t="shared" si="9"/>
        <v>0</v>
      </c>
      <c r="G149" s="8">
        <f t="shared" si="10"/>
        <v>0</v>
      </c>
    </row>
    <row r="150" spans="1:7" hidden="1" x14ac:dyDescent="0.25">
      <c r="A150" s="12" t="s">
        <v>263</v>
      </c>
      <c r="B150" s="13" t="s">
        <v>264</v>
      </c>
      <c r="C150" s="14"/>
      <c r="D150" s="26"/>
      <c r="E150" s="15"/>
      <c r="F150" s="16"/>
      <c r="G150" s="8">
        <f t="shared" si="10"/>
        <v>0</v>
      </c>
    </row>
    <row r="151" spans="1:7" hidden="1" x14ac:dyDescent="0.25">
      <c r="A151" s="12" t="s">
        <v>265</v>
      </c>
      <c r="B151" s="13" t="s">
        <v>266</v>
      </c>
      <c r="C151" s="14"/>
      <c r="D151" s="26"/>
      <c r="E151" s="15"/>
      <c r="F151" s="16"/>
      <c r="G151" s="8">
        <f t="shared" si="10"/>
        <v>0</v>
      </c>
    </row>
    <row r="152" spans="1:7" hidden="1" x14ac:dyDescent="0.25">
      <c r="A152" s="17" t="s">
        <v>267</v>
      </c>
      <c r="B152" s="18" t="s">
        <v>5767</v>
      </c>
      <c r="C152" s="14" t="s">
        <v>37</v>
      </c>
      <c r="D152" s="26"/>
      <c r="E152" s="15">
        <f>+'APU CAP 3'!H753</f>
        <v>24616</v>
      </c>
      <c r="F152" s="16">
        <f>+D152*E152</f>
        <v>0</v>
      </c>
      <c r="G152" s="8">
        <f t="shared" si="10"/>
        <v>0</v>
      </c>
    </row>
    <row r="153" spans="1:7" hidden="1" x14ac:dyDescent="0.25">
      <c r="A153" s="17" t="s">
        <v>268</v>
      </c>
      <c r="B153" s="18" t="s">
        <v>5768</v>
      </c>
      <c r="C153" s="14" t="s">
        <v>37</v>
      </c>
      <c r="D153" s="26"/>
      <c r="E153" s="15">
        <f>+'APU CAP 3'!H807</f>
        <v>36092</v>
      </c>
      <c r="F153" s="16">
        <f>+D153*E153</f>
        <v>0</v>
      </c>
      <c r="G153" s="8">
        <f t="shared" si="10"/>
        <v>0</v>
      </c>
    </row>
    <row r="154" spans="1:7" hidden="1" x14ac:dyDescent="0.25">
      <c r="A154" s="17" t="s">
        <v>269</v>
      </c>
      <c r="B154" s="18" t="s">
        <v>5770</v>
      </c>
      <c r="C154" s="14" t="s">
        <v>37</v>
      </c>
      <c r="D154" s="26"/>
      <c r="E154" s="15"/>
      <c r="F154" s="16">
        <f>+D154*E154</f>
        <v>0</v>
      </c>
      <c r="G154" s="8">
        <f t="shared" si="10"/>
        <v>0</v>
      </c>
    </row>
    <row r="155" spans="1:7" hidden="1" x14ac:dyDescent="0.25">
      <c r="A155" s="17" t="s">
        <v>270</v>
      </c>
      <c r="B155" s="18" t="s">
        <v>5769</v>
      </c>
      <c r="C155" s="14" t="s">
        <v>37</v>
      </c>
      <c r="D155" s="26"/>
      <c r="E155" s="15"/>
      <c r="F155" s="16">
        <f>+D155*E155</f>
        <v>0</v>
      </c>
      <c r="G155" s="8">
        <f t="shared" si="10"/>
        <v>0</v>
      </c>
    </row>
    <row r="156" spans="1:7" hidden="1" x14ac:dyDescent="0.25">
      <c r="A156" s="17" t="s">
        <v>5771</v>
      </c>
      <c r="B156" s="18" t="s">
        <v>5769</v>
      </c>
      <c r="C156" s="14" t="s">
        <v>37</v>
      </c>
      <c r="D156" s="26"/>
      <c r="E156" s="15"/>
      <c r="F156" s="16">
        <f>+D156*E156</f>
        <v>0</v>
      </c>
      <c r="G156" s="8">
        <f t="shared" si="10"/>
        <v>0</v>
      </c>
    </row>
    <row r="157" spans="1:7" hidden="1" x14ac:dyDescent="0.25">
      <c r="A157" s="12" t="s">
        <v>272</v>
      </c>
      <c r="B157" s="13" t="s">
        <v>271</v>
      </c>
      <c r="C157" s="14"/>
      <c r="D157" s="26"/>
      <c r="E157" s="15"/>
      <c r="F157" s="16"/>
      <c r="G157" s="8">
        <f t="shared" si="10"/>
        <v>0</v>
      </c>
    </row>
    <row r="158" spans="1:7" hidden="1" x14ac:dyDescent="0.25">
      <c r="A158" s="17" t="s">
        <v>273</v>
      </c>
      <c r="B158" s="18" t="s">
        <v>5767</v>
      </c>
      <c r="C158" s="14" t="s">
        <v>37</v>
      </c>
      <c r="D158" s="26"/>
      <c r="E158" s="15">
        <f>+'APU CAP 3'!H861</f>
        <v>20671</v>
      </c>
      <c r="F158" s="16">
        <f>+D158*E158</f>
        <v>0</v>
      </c>
      <c r="G158" s="8">
        <f t="shared" si="10"/>
        <v>0</v>
      </c>
    </row>
    <row r="159" spans="1:7" hidden="1" x14ac:dyDescent="0.25">
      <c r="A159" s="17" t="s">
        <v>274</v>
      </c>
      <c r="B159" s="18" t="s">
        <v>5768</v>
      </c>
      <c r="C159" s="14" t="s">
        <v>37</v>
      </c>
      <c r="D159" s="26"/>
      <c r="E159" s="15">
        <f>+'APU CAP 3'!H915</f>
        <v>25671</v>
      </c>
      <c r="F159" s="16">
        <f>+D159*E159</f>
        <v>0</v>
      </c>
      <c r="G159" s="8">
        <f t="shared" si="10"/>
        <v>0</v>
      </c>
    </row>
    <row r="160" spans="1:7" hidden="1" x14ac:dyDescent="0.25">
      <c r="A160" s="17" t="s">
        <v>275</v>
      </c>
      <c r="B160" s="18" t="s">
        <v>5770</v>
      </c>
      <c r="C160" s="14" t="s">
        <v>37</v>
      </c>
      <c r="D160" s="26"/>
      <c r="E160" s="15"/>
      <c r="F160" s="16">
        <f>+D160*E160</f>
        <v>0</v>
      </c>
      <c r="G160" s="8">
        <f t="shared" si="10"/>
        <v>0</v>
      </c>
    </row>
    <row r="161" spans="1:7" hidden="1" x14ac:dyDescent="0.25">
      <c r="A161" s="17" t="s">
        <v>276</v>
      </c>
      <c r="B161" s="18" t="s">
        <v>5769</v>
      </c>
      <c r="C161" s="14" t="s">
        <v>37</v>
      </c>
      <c r="D161" s="26"/>
      <c r="E161" s="15"/>
      <c r="F161" s="16">
        <f>+D161*E161</f>
        <v>0</v>
      </c>
      <c r="G161" s="8">
        <f t="shared" si="10"/>
        <v>0</v>
      </c>
    </row>
    <row r="162" spans="1:7" hidden="1" x14ac:dyDescent="0.25">
      <c r="A162" s="17" t="s">
        <v>5772</v>
      </c>
      <c r="B162" s="18" t="s">
        <v>5769</v>
      </c>
      <c r="C162" s="14" t="s">
        <v>37</v>
      </c>
      <c r="D162" s="26"/>
      <c r="E162" s="15"/>
      <c r="F162" s="16">
        <f>+D162*E162</f>
        <v>0</v>
      </c>
      <c r="G162" s="8">
        <f t="shared" si="10"/>
        <v>0</v>
      </c>
    </row>
    <row r="163" spans="1:7" hidden="1" x14ac:dyDescent="0.25">
      <c r="A163" s="12" t="s">
        <v>2323</v>
      </c>
      <c r="B163" s="13" t="s">
        <v>5773</v>
      </c>
      <c r="C163" s="14"/>
      <c r="D163" s="26"/>
      <c r="E163" s="15"/>
      <c r="F163" s="16"/>
      <c r="G163" s="8">
        <f t="shared" si="10"/>
        <v>0</v>
      </c>
    </row>
    <row r="164" spans="1:7" hidden="1" x14ac:dyDescent="0.25">
      <c r="A164" s="17" t="s">
        <v>5797</v>
      </c>
      <c r="B164" s="18" t="s">
        <v>5774</v>
      </c>
      <c r="C164" s="14" t="s">
        <v>14</v>
      </c>
      <c r="D164" s="26"/>
      <c r="E164" s="15">
        <f>+E115</f>
        <v>16500</v>
      </c>
      <c r="F164" s="16">
        <f t="shared" ref="F164:F184" si="11">+D164*E164</f>
        <v>0</v>
      </c>
      <c r="G164" s="8">
        <f t="shared" si="10"/>
        <v>0</v>
      </c>
    </row>
    <row r="165" spans="1:7" hidden="1" x14ac:dyDescent="0.25">
      <c r="A165" s="17" t="s">
        <v>5798</v>
      </c>
      <c r="B165" s="18" t="s">
        <v>5775</v>
      </c>
      <c r="C165" s="14" t="s">
        <v>14</v>
      </c>
      <c r="D165" s="26"/>
      <c r="E165" s="15">
        <f>+E116</f>
        <v>20256</v>
      </c>
      <c r="F165" s="16">
        <f t="shared" si="11"/>
        <v>0</v>
      </c>
      <c r="G165" s="8">
        <f t="shared" si="10"/>
        <v>0</v>
      </c>
    </row>
    <row r="166" spans="1:7" hidden="1" x14ac:dyDescent="0.25">
      <c r="A166" s="17" t="s">
        <v>5799</v>
      </c>
      <c r="B166" s="18" t="s">
        <v>5776</v>
      </c>
      <c r="C166" s="14" t="s">
        <v>14</v>
      </c>
      <c r="D166" s="26"/>
      <c r="E166" s="15">
        <f>+E117</f>
        <v>23506</v>
      </c>
      <c r="F166" s="16">
        <f t="shared" si="11"/>
        <v>0</v>
      </c>
      <c r="G166" s="8">
        <f t="shared" si="10"/>
        <v>0</v>
      </c>
    </row>
    <row r="167" spans="1:7" hidden="1" x14ac:dyDescent="0.25">
      <c r="A167" s="17" t="s">
        <v>5800</v>
      </c>
      <c r="B167" s="18" t="s">
        <v>5777</v>
      </c>
      <c r="C167" s="14" t="s">
        <v>14</v>
      </c>
      <c r="D167" s="26"/>
      <c r="E167" s="15">
        <f>+E118</f>
        <v>28370</v>
      </c>
      <c r="F167" s="16">
        <f t="shared" si="11"/>
        <v>0</v>
      </c>
      <c r="G167" s="8">
        <f t="shared" si="10"/>
        <v>0</v>
      </c>
    </row>
    <row r="168" spans="1:7" hidden="1" x14ac:dyDescent="0.25">
      <c r="A168" s="17" t="s">
        <v>5801</v>
      </c>
      <c r="B168" s="18" t="s">
        <v>5778</v>
      </c>
      <c r="C168" s="14" t="s">
        <v>14</v>
      </c>
      <c r="D168" s="26"/>
      <c r="E168" s="15">
        <f>+E119</f>
        <v>35037</v>
      </c>
      <c r="F168" s="16">
        <f t="shared" si="11"/>
        <v>0</v>
      </c>
      <c r="G168" s="8">
        <f t="shared" si="10"/>
        <v>0</v>
      </c>
    </row>
    <row r="169" spans="1:7" hidden="1" x14ac:dyDescent="0.25">
      <c r="A169" s="17" t="s">
        <v>5802</v>
      </c>
      <c r="B169" s="18" t="s">
        <v>5779</v>
      </c>
      <c r="C169" s="14" t="s">
        <v>14</v>
      </c>
      <c r="D169" s="26"/>
      <c r="E169" s="15"/>
      <c r="F169" s="16">
        <f t="shared" si="11"/>
        <v>0</v>
      </c>
      <c r="G169" s="8">
        <f t="shared" si="10"/>
        <v>0</v>
      </c>
    </row>
    <row r="170" spans="1:7" hidden="1" x14ac:dyDescent="0.25">
      <c r="A170" s="17" t="s">
        <v>5803</v>
      </c>
      <c r="B170" s="18" t="s">
        <v>5780</v>
      </c>
      <c r="C170" s="14" t="s">
        <v>14</v>
      </c>
      <c r="D170" s="26"/>
      <c r="E170" s="15"/>
      <c r="F170" s="16">
        <f t="shared" si="11"/>
        <v>0</v>
      </c>
      <c r="G170" s="8">
        <f t="shared" si="10"/>
        <v>0</v>
      </c>
    </row>
    <row r="171" spans="1:7" hidden="1" x14ac:dyDescent="0.25">
      <c r="A171" s="17" t="s">
        <v>5804</v>
      </c>
      <c r="B171" s="18" t="s">
        <v>5781</v>
      </c>
      <c r="C171" s="14" t="s">
        <v>14</v>
      </c>
      <c r="D171" s="26"/>
      <c r="E171" s="15"/>
      <c r="F171" s="16">
        <f t="shared" si="11"/>
        <v>0</v>
      </c>
      <c r="G171" s="8">
        <f t="shared" si="10"/>
        <v>0</v>
      </c>
    </row>
    <row r="172" spans="1:7" hidden="1" x14ac:dyDescent="0.25">
      <c r="A172" s="17" t="s">
        <v>5805</v>
      </c>
      <c r="B172" s="18" t="s">
        <v>5782</v>
      </c>
      <c r="C172" s="14" t="s">
        <v>14</v>
      </c>
      <c r="D172" s="26"/>
      <c r="E172" s="15"/>
      <c r="F172" s="16">
        <f t="shared" si="11"/>
        <v>0</v>
      </c>
      <c r="G172" s="8">
        <f t="shared" si="10"/>
        <v>0</v>
      </c>
    </row>
    <row r="173" spans="1:7" hidden="1" x14ac:dyDescent="0.25">
      <c r="A173" s="17" t="s">
        <v>5806</v>
      </c>
      <c r="B173" s="18" t="s">
        <v>5783</v>
      </c>
      <c r="C173" s="14" t="s">
        <v>14</v>
      </c>
      <c r="D173" s="26"/>
      <c r="E173" s="15"/>
      <c r="F173" s="16">
        <f t="shared" si="11"/>
        <v>0</v>
      </c>
      <c r="G173" s="8">
        <f t="shared" si="10"/>
        <v>0</v>
      </c>
    </row>
    <row r="174" spans="1:7" hidden="1" x14ac:dyDescent="0.25">
      <c r="A174" s="17" t="s">
        <v>5807</v>
      </c>
      <c r="B174" s="18" t="s">
        <v>5784</v>
      </c>
      <c r="C174" s="14" t="s">
        <v>14</v>
      </c>
      <c r="D174" s="26"/>
      <c r="E174" s="15"/>
      <c r="F174" s="16">
        <f t="shared" si="11"/>
        <v>0</v>
      </c>
      <c r="G174" s="8">
        <f t="shared" si="10"/>
        <v>0</v>
      </c>
    </row>
    <row r="175" spans="1:7" hidden="1" x14ac:dyDescent="0.25">
      <c r="A175" s="17" t="s">
        <v>5808</v>
      </c>
      <c r="B175" s="18" t="s">
        <v>5785</v>
      </c>
      <c r="C175" s="14" t="s">
        <v>14</v>
      </c>
      <c r="D175" s="26"/>
      <c r="E175" s="15"/>
      <c r="F175" s="16">
        <f t="shared" si="11"/>
        <v>0</v>
      </c>
      <c r="G175" s="8">
        <f t="shared" si="10"/>
        <v>0</v>
      </c>
    </row>
    <row r="176" spans="1:7" hidden="1" x14ac:dyDescent="0.25">
      <c r="A176" s="17" t="s">
        <v>5809</v>
      </c>
      <c r="B176" s="18" t="s">
        <v>5786</v>
      </c>
      <c r="C176" s="14" t="s">
        <v>14</v>
      </c>
      <c r="D176" s="26"/>
      <c r="E176" s="15"/>
      <c r="F176" s="16">
        <f t="shared" si="11"/>
        <v>0</v>
      </c>
      <c r="G176" s="8">
        <f t="shared" si="10"/>
        <v>0</v>
      </c>
    </row>
    <row r="177" spans="1:7" hidden="1" x14ac:dyDescent="0.25">
      <c r="A177" s="17" t="s">
        <v>5810</v>
      </c>
      <c r="B177" s="18" t="s">
        <v>5788</v>
      </c>
      <c r="C177" s="14" t="s">
        <v>14</v>
      </c>
      <c r="D177" s="26"/>
      <c r="E177" s="15"/>
      <c r="F177" s="16">
        <f t="shared" si="11"/>
        <v>0</v>
      </c>
      <c r="G177" s="8">
        <f t="shared" si="10"/>
        <v>0</v>
      </c>
    </row>
    <row r="178" spans="1:7" hidden="1" x14ac:dyDescent="0.25">
      <c r="A178" s="17" t="s">
        <v>5811</v>
      </c>
      <c r="B178" s="18" t="s">
        <v>5787</v>
      </c>
      <c r="C178" s="14" t="s">
        <v>14</v>
      </c>
      <c r="D178" s="26"/>
      <c r="E178" s="15"/>
      <c r="F178" s="16">
        <f t="shared" si="11"/>
        <v>0</v>
      </c>
      <c r="G178" s="8">
        <f t="shared" si="10"/>
        <v>0</v>
      </c>
    </row>
    <row r="179" spans="1:7" hidden="1" x14ac:dyDescent="0.25">
      <c r="A179" s="17" t="s">
        <v>5812</v>
      </c>
      <c r="B179" s="18" t="s">
        <v>5789</v>
      </c>
      <c r="C179" s="14" t="s">
        <v>14</v>
      </c>
      <c r="D179" s="26"/>
      <c r="E179" s="15"/>
      <c r="F179" s="16">
        <f t="shared" si="11"/>
        <v>0</v>
      </c>
      <c r="G179" s="8">
        <f t="shared" si="10"/>
        <v>0</v>
      </c>
    </row>
    <row r="180" spans="1:7" hidden="1" x14ac:dyDescent="0.25">
      <c r="A180" s="17" t="s">
        <v>5813</v>
      </c>
      <c r="B180" s="18" t="s">
        <v>5790</v>
      </c>
      <c r="C180" s="14" t="s">
        <v>14</v>
      </c>
      <c r="D180" s="26"/>
      <c r="E180" s="15"/>
      <c r="F180" s="16">
        <f t="shared" si="11"/>
        <v>0</v>
      </c>
      <c r="G180" s="8">
        <f t="shared" si="10"/>
        <v>0</v>
      </c>
    </row>
    <row r="181" spans="1:7" hidden="1" x14ac:dyDescent="0.25">
      <c r="A181" s="17" t="s">
        <v>5814</v>
      </c>
      <c r="B181" s="18" t="s">
        <v>5791</v>
      </c>
      <c r="C181" s="14" t="s">
        <v>14</v>
      </c>
      <c r="D181" s="26"/>
      <c r="E181" s="15"/>
      <c r="F181" s="16">
        <f t="shared" si="11"/>
        <v>0</v>
      </c>
      <c r="G181" s="8">
        <f t="shared" si="10"/>
        <v>0</v>
      </c>
    </row>
    <row r="182" spans="1:7" hidden="1" x14ac:dyDescent="0.25">
      <c r="A182" s="17" t="s">
        <v>5815</v>
      </c>
      <c r="B182" s="18" t="s">
        <v>5792</v>
      </c>
      <c r="C182" s="14" t="s">
        <v>14</v>
      </c>
      <c r="D182" s="26"/>
      <c r="E182" s="15"/>
      <c r="F182" s="16">
        <f t="shared" si="11"/>
        <v>0</v>
      </c>
      <c r="G182" s="8">
        <f t="shared" si="10"/>
        <v>0</v>
      </c>
    </row>
    <row r="183" spans="1:7" hidden="1" x14ac:dyDescent="0.25">
      <c r="A183" s="17" t="s">
        <v>5816</v>
      </c>
      <c r="B183" s="18" t="s">
        <v>5793</v>
      </c>
      <c r="C183" s="14" t="s">
        <v>14</v>
      </c>
      <c r="D183" s="26"/>
      <c r="E183" s="15"/>
      <c r="F183" s="16">
        <f t="shared" si="11"/>
        <v>0</v>
      </c>
      <c r="G183" s="8">
        <f t="shared" si="10"/>
        <v>0</v>
      </c>
    </row>
    <row r="184" spans="1:7" hidden="1" x14ac:dyDescent="0.25">
      <c r="A184" s="17" t="s">
        <v>5817</v>
      </c>
      <c r="B184" s="18" t="s">
        <v>5794</v>
      </c>
      <c r="C184" s="14" t="s">
        <v>14</v>
      </c>
      <c r="D184" s="26"/>
      <c r="E184" s="15"/>
      <c r="F184" s="16">
        <f t="shared" si="11"/>
        <v>0</v>
      </c>
      <c r="G184" s="8">
        <f t="shared" si="10"/>
        <v>0</v>
      </c>
    </row>
    <row r="185" spans="1:7" hidden="1" x14ac:dyDescent="0.25">
      <c r="A185" s="17" t="s">
        <v>2336</v>
      </c>
      <c r="B185" s="13" t="s">
        <v>5795</v>
      </c>
      <c r="C185" s="14"/>
      <c r="D185" s="26"/>
      <c r="E185" s="15"/>
      <c r="F185" s="16"/>
      <c r="G185" s="8">
        <f t="shared" si="10"/>
        <v>0</v>
      </c>
    </row>
    <row r="186" spans="1:7" hidden="1" x14ac:dyDescent="0.25">
      <c r="A186" s="17" t="s">
        <v>5818</v>
      </c>
      <c r="B186" s="18" t="s">
        <v>5796</v>
      </c>
      <c r="C186" s="14" t="s">
        <v>37</v>
      </c>
      <c r="D186" s="26"/>
      <c r="E186" s="15"/>
      <c r="F186" s="16">
        <f t="shared" ref="F186:F206" si="12">+D186*E186</f>
        <v>0</v>
      </c>
      <c r="G186" s="8">
        <f t="shared" si="10"/>
        <v>0</v>
      </c>
    </row>
    <row r="187" spans="1:7" hidden="1" x14ac:dyDescent="0.25">
      <c r="A187" s="17" t="s">
        <v>5819</v>
      </c>
      <c r="B187" s="18" t="s">
        <v>5839</v>
      </c>
      <c r="C187" s="14" t="s">
        <v>37</v>
      </c>
      <c r="D187" s="26"/>
      <c r="E187" s="15"/>
      <c r="F187" s="16">
        <f t="shared" si="12"/>
        <v>0</v>
      </c>
      <c r="G187" s="8">
        <f t="shared" si="10"/>
        <v>0</v>
      </c>
    </row>
    <row r="188" spans="1:7" hidden="1" x14ac:dyDescent="0.25">
      <c r="A188" s="17" t="s">
        <v>5820</v>
      </c>
      <c r="B188" s="18" t="s">
        <v>5840</v>
      </c>
      <c r="C188" s="14" t="s">
        <v>37</v>
      </c>
      <c r="D188" s="26"/>
      <c r="E188" s="15"/>
      <c r="F188" s="16">
        <f t="shared" si="12"/>
        <v>0</v>
      </c>
      <c r="G188" s="8">
        <f t="shared" si="10"/>
        <v>0</v>
      </c>
    </row>
    <row r="189" spans="1:7" hidden="1" x14ac:dyDescent="0.25">
      <c r="A189" s="17" t="s">
        <v>5821</v>
      </c>
      <c r="B189" s="18" t="s">
        <v>5841</v>
      </c>
      <c r="C189" s="14" t="s">
        <v>37</v>
      </c>
      <c r="D189" s="26"/>
      <c r="E189" s="15"/>
      <c r="F189" s="16">
        <f t="shared" si="12"/>
        <v>0</v>
      </c>
      <c r="G189" s="8">
        <f t="shared" si="10"/>
        <v>0</v>
      </c>
    </row>
    <row r="190" spans="1:7" hidden="1" x14ac:dyDescent="0.25">
      <c r="A190" s="17" t="s">
        <v>5822</v>
      </c>
      <c r="B190" s="18" t="s">
        <v>5842</v>
      </c>
      <c r="C190" s="14" t="s">
        <v>37</v>
      </c>
      <c r="D190" s="26"/>
      <c r="E190" s="15"/>
      <c r="F190" s="16">
        <f t="shared" si="12"/>
        <v>0</v>
      </c>
      <c r="G190" s="8">
        <f t="shared" si="10"/>
        <v>0</v>
      </c>
    </row>
    <row r="191" spans="1:7" hidden="1" x14ac:dyDescent="0.25">
      <c r="A191" s="17" t="s">
        <v>5823</v>
      </c>
      <c r="B191" s="18" t="s">
        <v>5843</v>
      </c>
      <c r="C191" s="14" t="s">
        <v>37</v>
      </c>
      <c r="D191" s="26"/>
      <c r="E191" s="15"/>
      <c r="F191" s="16">
        <f t="shared" si="12"/>
        <v>0</v>
      </c>
      <c r="G191" s="8">
        <f t="shared" si="10"/>
        <v>0</v>
      </c>
    </row>
    <row r="192" spans="1:7" hidden="1" x14ac:dyDescent="0.25">
      <c r="A192" s="17" t="s">
        <v>5824</v>
      </c>
      <c r="B192" s="18" t="s">
        <v>5844</v>
      </c>
      <c r="C192" s="14" t="s">
        <v>37</v>
      </c>
      <c r="D192" s="26"/>
      <c r="E192" s="15"/>
      <c r="F192" s="16">
        <f t="shared" si="12"/>
        <v>0</v>
      </c>
      <c r="G192" s="8">
        <f t="shared" si="10"/>
        <v>0</v>
      </c>
    </row>
    <row r="193" spans="1:7" hidden="1" x14ac:dyDescent="0.25">
      <c r="A193" s="17" t="s">
        <v>5825</v>
      </c>
      <c r="B193" s="18" t="s">
        <v>5845</v>
      </c>
      <c r="C193" s="14" t="s">
        <v>37</v>
      </c>
      <c r="D193" s="26"/>
      <c r="E193" s="15"/>
      <c r="F193" s="16">
        <f t="shared" si="12"/>
        <v>0</v>
      </c>
      <c r="G193" s="8">
        <f t="shared" si="10"/>
        <v>0</v>
      </c>
    </row>
    <row r="194" spans="1:7" hidden="1" x14ac:dyDescent="0.25">
      <c r="A194" s="17" t="s">
        <v>5826</v>
      </c>
      <c r="B194" s="18" t="s">
        <v>5846</v>
      </c>
      <c r="C194" s="14" t="s">
        <v>37</v>
      </c>
      <c r="D194" s="26"/>
      <c r="E194" s="15"/>
      <c r="F194" s="16">
        <f t="shared" si="12"/>
        <v>0</v>
      </c>
      <c r="G194" s="8">
        <f t="shared" si="10"/>
        <v>0</v>
      </c>
    </row>
    <row r="195" spans="1:7" hidden="1" x14ac:dyDescent="0.25">
      <c r="A195" s="17" t="s">
        <v>5827</v>
      </c>
      <c r="B195" s="18" t="s">
        <v>5847</v>
      </c>
      <c r="C195" s="14" t="s">
        <v>37</v>
      </c>
      <c r="D195" s="26"/>
      <c r="E195" s="15"/>
      <c r="F195" s="16">
        <f t="shared" si="12"/>
        <v>0</v>
      </c>
      <c r="G195" s="8">
        <f t="shared" si="10"/>
        <v>0</v>
      </c>
    </row>
    <row r="196" spans="1:7" hidden="1" x14ac:dyDescent="0.25">
      <c r="A196" s="17" t="s">
        <v>5828</v>
      </c>
      <c r="B196" s="18" t="s">
        <v>5848</v>
      </c>
      <c r="C196" s="14" t="s">
        <v>37</v>
      </c>
      <c r="D196" s="26"/>
      <c r="E196" s="15"/>
      <c r="F196" s="16">
        <f t="shared" si="12"/>
        <v>0</v>
      </c>
      <c r="G196" s="8">
        <f t="shared" si="10"/>
        <v>0</v>
      </c>
    </row>
    <row r="197" spans="1:7" hidden="1" x14ac:dyDescent="0.25">
      <c r="A197" s="17" t="s">
        <v>5829</v>
      </c>
      <c r="B197" s="18" t="s">
        <v>5849</v>
      </c>
      <c r="C197" s="14" t="s">
        <v>37</v>
      </c>
      <c r="D197" s="26"/>
      <c r="E197" s="15"/>
      <c r="F197" s="16">
        <f t="shared" si="12"/>
        <v>0</v>
      </c>
      <c r="G197" s="8">
        <f t="shared" si="10"/>
        <v>0</v>
      </c>
    </row>
    <row r="198" spans="1:7" hidden="1" x14ac:dyDescent="0.25">
      <c r="A198" s="17" t="s">
        <v>5830</v>
      </c>
      <c r="B198" s="18" t="s">
        <v>5850</v>
      </c>
      <c r="C198" s="14" t="s">
        <v>37</v>
      </c>
      <c r="D198" s="26"/>
      <c r="E198" s="15"/>
      <c r="F198" s="16">
        <f t="shared" si="12"/>
        <v>0</v>
      </c>
      <c r="G198" s="8">
        <f t="shared" si="10"/>
        <v>0</v>
      </c>
    </row>
    <row r="199" spans="1:7" hidden="1" x14ac:dyDescent="0.25">
      <c r="A199" s="17" t="s">
        <v>5831</v>
      </c>
      <c r="B199" s="18" t="s">
        <v>5851</v>
      </c>
      <c r="C199" s="14" t="s">
        <v>37</v>
      </c>
      <c r="D199" s="26"/>
      <c r="E199" s="15"/>
      <c r="F199" s="16">
        <f t="shared" si="12"/>
        <v>0</v>
      </c>
      <c r="G199" s="8">
        <f t="shared" si="10"/>
        <v>0</v>
      </c>
    </row>
    <row r="200" spans="1:7" hidden="1" x14ac:dyDescent="0.25">
      <c r="A200" s="17" t="s">
        <v>5832</v>
      </c>
      <c r="B200" s="18" t="s">
        <v>5852</v>
      </c>
      <c r="C200" s="14" t="s">
        <v>37</v>
      </c>
      <c r="D200" s="26"/>
      <c r="E200" s="15"/>
      <c r="F200" s="16">
        <f t="shared" si="12"/>
        <v>0</v>
      </c>
      <c r="G200" s="8">
        <f t="shared" si="10"/>
        <v>0</v>
      </c>
    </row>
    <row r="201" spans="1:7" hidden="1" x14ac:dyDescent="0.25">
      <c r="A201" s="17" t="s">
        <v>5833</v>
      </c>
      <c r="B201" s="18" t="s">
        <v>5853</v>
      </c>
      <c r="C201" s="14" t="s">
        <v>37</v>
      </c>
      <c r="D201" s="26"/>
      <c r="E201" s="15"/>
      <c r="F201" s="16">
        <f t="shared" si="12"/>
        <v>0</v>
      </c>
      <c r="G201" s="8">
        <f t="shared" si="10"/>
        <v>0</v>
      </c>
    </row>
    <row r="202" spans="1:7" hidden="1" x14ac:dyDescent="0.25">
      <c r="A202" s="17" t="s">
        <v>5834</v>
      </c>
      <c r="B202" s="18" t="s">
        <v>5854</v>
      </c>
      <c r="C202" s="14" t="s">
        <v>37</v>
      </c>
      <c r="D202" s="26"/>
      <c r="E202" s="15"/>
      <c r="F202" s="16">
        <f t="shared" si="12"/>
        <v>0</v>
      </c>
      <c r="G202" s="8">
        <f t="shared" si="10"/>
        <v>0</v>
      </c>
    </row>
    <row r="203" spans="1:7" hidden="1" x14ac:dyDescent="0.25">
      <c r="A203" s="17" t="s">
        <v>5835</v>
      </c>
      <c r="B203" s="18" t="s">
        <v>5855</v>
      </c>
      <c r="C203" s="14" t="s">
        <v>37</v>
      </c>
      <c r="D203" s="26"/>
      <c r="E203" s="15"/>
      <c r="F203" s="16">
        <f t="shared" si="12"/>
        <v>0</v>
      </c>
      <c r="G203" s="8">
        <f t="shared" ref="G203:G266" si="13">+IF(F203&lt;&gt;0,1,0)</f>
        <v>0</v>
      </c>
    </row>
    <row r="204" spans="1:7" hidden="1" x14ac:dyDescent="0.25">
      <c r="A204" s="17" t="s">
        <v>5836</v>
      </c>
      <c r="B204" s="18" t="s">
        <v>5856</v>
      </c>
      <c r="C204" s="14" t="s">
        <v>37</v>
      </c>
      <c r="D204" s="26"/>
      <c r="E204" s="15"/>
      <c r="F204" s="16">
        <f t="shared" si="12"/>
        <v>0</v>
      </c>
      <c r="G204" s="8">
        <f t="shared" si="13"/>
        <v>0</v>
      </c>
    </row>
    <row r="205" spans="1:7" hidden="1" x14ac:dyDescent="0.25">
      <c r="A205" s="17" t="s">
        <v>5837</v>
      </c>
      <c r="B205" s="18" t="s">
        <v>5857</v>
      </c>
      <c r="C205" s="14" t="s">
        <v>37</v>
      </c>
      <c r="D205" s="26"/>
      <c r="E205" s="15"/>
      <c r="F205" s="16">
        <f t="shared" si="12"/>
        <v>0</v>
      </c>
      <c r="G205" s="8">
        <f t="shared" si="13"/>
        <v>0</v>
      </c>
    </row>
    <row r="206" spans="1:7" hidden="1" x14ac:dyDescent="0.25">
      <c r="A206" s="17" t="s">
        <v>5838</v>
      </c>
      <c r="B206" s="18" t="s">
        <v>5858</v>
      </c>
      <c r="C206" s="14" t="s">
        <v>37</v>
      </c>
      <c r="D206" s="26"/>
      <c r="E206" s="15"/>
      <c r="F206" s="16">
        <f t="shared" si="12"/>
        <v>0</v>
      </c>
      <c r="G206" s="8">
        <f t="shared" si="13"/>
        <v>0</v>
      </c>
    </row>
    <row r="207" spans="1:7" hidden="1" x14ac:dyDescent="0.25">
      <c r="A207" s="12" t="s">
        <v>277</v>
      </c>
      <c r="B207" s="13" t="s">
        <v>278</v>
      </c>
      <c r="C207" s="14"/>
      <c r="D207" s="26"/>
      <c r="E207" s="15"/>
      <c r="F207" s="16"/>
      <c r="G207" s="8">
        <f t="shared" si="13"/>
        <v>0</v>
      </c>
    </row>
    <row r="208" spans="1:7" hidden="1" x14ac:dyDescent="0.25">
      <c r="A208" s="17" t="s">
        <v>279</v>
      </c>
      <c r="B208" s="25" t="s">
        <v>285</v>
      </c>
      <c r="C208" s="14" t="s">
        <v>14</v>
      </c>
      <c r="D208" s="26"/>
      <c r="E208" s="15">
        <f>+'APU CAP 3'!H969</f>
        <v>1920</v>
      </c>
      <c r="F208" s="16">
        <f t="shared" ref="F208:F224" si="14">+D208*E208</f>
        <v>0</v>
      </c>
      <c r="G208" s="8">
        <f t="shared" si="13"/>
        <v>0</v>
      </c>
    </row>
    <row r="209" spans="1:7" hidden="1" x14ac:dyDescent="0.25">
      <c r="A209" s="17" t="s">
        <v>297</v>
      </c>
      <c r="B209" s="25" t="s">
        <v>280</v>
      </c>
      <c r="C209" s="14" t="s">
        <v>14</v>
      </c>
      <c r="D209" s="26"/>
      <c r="E209" s="15">
        <f>+E208</f>
        <v>1920</v>
      </c>
      <c r="F209" s="16">
        <f t="shared" si="14"/>
        <v>0</v>
      </c>
      <c r="G209" s="8">
        <f t="shared" si="13"/>
        <v>0</v>
      </c>
    </row>
    <row r="210" spans="1:7" hidden="1" x14ac:dyDescent="0.25">
      <c r="A210" s="17" t="s">
        <v>298</v>
      </c>
      <c r="B210" s="25" t="s">
        <v>281</v>
      </c>
      <c r="C210" s="14" t="s">
        <v>14</v>
      </c>
      <c r="D210" s="26"/>
      <c r="E210" s="15">
        <f>+E208</f>
        <v>1920</v>
      </c>
      <c r="F210" s="16">
        <f t="shared" si="14"/>
        <v>0</v>
      </c>
      <c r="G210" s="8">
        <f t="shared" si="13"/>
        <v>0</v>
      </c>
    </row>
    <row r="211" spans="1:7" hidden="1" x14ac:dyDescent="0.25">
      <c r="A211" s="17" t="s">
        <v>299</v>
      </c>
      <c r="B211" s="25" t="s">
        <v>282</v>
      </c>
      <c r="C211" s="14" t="s">
        <v>14</v>
      </c>
      <c r="D211" s="26"/>
      <c r="E211" s="15">
        <f>+E208</f>
        <v>1920</v>
      </c>
      <c r="F211" s="16">
        <f t="shared" si="14"/>
        <v>0</v>
      </c>
      <c r="G211" s="8">
        <f t="shared" si="13"/>
        <v>0</v>
      </c>
    </row>
    <row r="212" spans="1:7" hidden="1" x14ac:dyDescent="0.25">
      <c r="A212" s="17" t="s">
        <v>300</v>
      </c>
      <c r="B212" s="25" t="s">
        <v>283</v>
      </c>
      <c r="C212" s="14" t="s">
        <v>14</v>
      </c>
      <c r="D212" s="26"/>
      <c r="E212" s="15">
        <f>+'APU CAP 3'!H1023</f>
        <v>2352</v>
      </c>
      <c r="F212" s="16">
        <f t="shared" si="14"/>
        <v>0</v>
      </c>
      <c r="G212" s="8">
        <f t="shared" si="13"/>
        <v>0</v>
      </c>
    </row>
    <row r="213" spans="1:7" hidden="1" x14ac:dyDescent="0.25">
      <c r="A213" s="17" t="s">
        <v>301</v>
      </c>
      <c r="B213" s="25" t="s">
        <v>286</v>
      </c>
      <c r="C213" s="14" t="s">
        <v>14</v>
      </c>
      <c r="D213" s="26"/>
      <c r="E213" s="15">
        <f>+E212</f>
        <v>2352</v>
      </c>
      <c r="F213" s="16">
        <f t="shared" si="14"/>
        <v>0</v>
      </c>
      <c r="G213" s="8">
        <f t="shared" si="13"/>
        <v>0</v>
      </c>
    </row>
    <row r="214" spans="1:7" hidden="1" x14ac:dyDescent="0.25">
      <c r="A214" s="17" t="s">
        <v>302</v>
      </c>
      <c r="B214" s="25" t="s">
        <v>284</v>
      </c>
      <c r="C214" s="14" t="s">
        <v>14</v>
      </c>
      <c r="D214" s="26"/>
      <c r="E214" s="15">
        <f>+E212</f>
        <v>2352</v>
      </c>
      <c r="F214" s="16">
        <f t="shared" si="14"/>
        <v>0</v>
      </c>
      <c r="G214" s="8">
        <f t="shared" si="13"/>
        <v>0</v>
      </c>
    </row>
    <row r="215" spans="1:7" hidden="1" x14ac:dyDescent="0.25">
      <c r="A215" s="17" t="s">
        <v>303</v>
      </c>
      <c r="B215" s="25" t="s">
        <v>287</v>
      </c>
      <c r="C215" s="14" t="s">
        <v>14</v>
      </c>
      <c r="D215" s="26"/>
      <c r="E215" s="15">
        <f>+'APU CAP 3'!H1077</f>
        <v>3674</v>
      </c>
      <c r="F215" s="16">
        <f t="shared" si="14"/>
        <v>0</v>
      </c>
      <c r="G215" s="8">
        <f t="shared" si="13"/>
        <v>0</v>
      </c>
    </row>
    <row r="216" spans="1:7" hidden="1" x14ac:dyDescent="0.25">
      <c r="A216" s="17" t="s">
        <v>304</v>
      </c>
      <c r="B216" s="25" t="s">
        <v>288</v>
      </c>
      <c r="C216" s="14" t="s">
        <v>14</v>
      </c>
      <c r="D216" s="26"/>
      <c r="E216" s="15">
        <f>+E215</f>
        <v>3674</v>
      </c>
      <c r="F216" s="16">
        <f t="shared" si="14"/>
        <v>0</v>
      </c>
      <c r="G216" s="8">
        <f t="shared" si="13"/>
        <v>0</v>
      </c>
    </row>
    <row r="217" spans="1:7" hidden="1" x14ac:dyDescent="0.25">
      <c r="A217" s="17" t="s">
        <v>305</v>
      </c>
      <c r="B217" s="25" t="s">
        <v>289</v>
      </c>
      <c r="C217" s="14" t="s">
        <v>14</v>
      </c>
      <c r="D217" s="26"/>
      <c r="E217" s="15">
        <f>+E215</f>
        <v>3674</v>
      </c>
      <c r="F217" s="16">
        <f t="shared" si="14"/>
        <v>0</v>
      </c>
      <c r="G217" s="8">
        <f t="shared" si="13"/>
        <v>0</v>
      </c>
    </row>
    <row r="218" spans="1:7" hidden="1" x14ac:dyDescent="0.25">
      <c r="A218" s="17" t="s">
        <v>306</v>
      </c>
      <c r="B218" s="25" t="s">
        <v>290</v>
      </c>
      <c r="C218" s="14" t="s">
        <v>14</v>
      </c>
      <c r="D218" s="26"/>
      <c r="E218" s="15">
        <f>+'APU CAP 3'!H1131</f>
        <v>5520</v>
      </c>
      <c r="F218" s="16">
        <f t="shared" si="14"/>
        <v>0</v>
      </c>
      <c r="G218" s="8">
        <f t="shared" si="13"/>
        <v>0</v>
      </c>
    </row>
    <row r="219" spans="1:7" hidden="1" x14ac:dyDescent="0.25">
      <c r="A219" s="17" t="s">
        <v>307</v>
      </c>
      <c r="B219" s="25" t="s">
        <v>291</v>
      </c>
      <c r="C219" s="14" t="s">
        <v>14</v>
      </c>
      <c r="D219" s="26"/>
      <c r="E219" s="15"/>
      <c r="F219" s="16">
        <f t="shared" si="14"/>
        <v>0</v>
      </c>
      <c r="G219" s="8">
        <f t="shared" si="13"/>
        <v>0</v>
      </c>
    </row>
    <row r="220" spans="1:7" hidden="1" x14ac:dyDescent="0.25">
      <c r="A220" s="17" t="s">
        <v>308</v>
      </c>
      <c r="B220" s="25" t="s">
        <v>292</v>
      </c>
      <c r="C220" s="14" t="s">
        <v>14</v>
      </c>
      <c r="D220" s="26"/>
      <c r="E220" s="15"/>
      <c r="F220" s="16">
        <f t="shared" si="14"/>
        <v>0</v>
      </c>
      <c r="G220" s="8">
        <f t="shared" si="13"/>
        <v>0</v>
      </c>
    </row>
    <row r="221" spans="1:7" hidden="1" x14ac:dyDescent="0.25">
      <c r="A221" s="17" t="s">
        <v>309</v>
      </c>
      <c r="B221" s="25" t="s">
        <v>293</v>
      </c>
      <c r="C221" s="14" t="s">
        <v>14</v>
      </c>
      <c r="D221" s="26"/>
      <c r="E221" s="15"/>
      <c r="F221" s="16">
        <f t="shared" si="14"/>
        <v>0</v>
      </c>
      <c r="G221" s="8">
        <f t="shared" si="13"/>
        <v>0</v>
      </c>
    </row>
    <row r="222" spans="1:7" hidden="1" x14ac:dyDescent="0.25">
      <c r="A222" s="17" t="s">
        <v>310</v>
      </c>
      <c r="B222" s="25" t="s">
        <v>294</v>
      </c>
      <c r="C222" s="14" t="s">
        <v>14</v>
      </c>
      <c r="D222" s="26"/>
      <c r="E222" s="15"/>
      <c r="F222" s="16">
        <f t="shared" si="14"/>
        <v>0</v>
      </c>
      <c r="G222" s="8">
        <f t="shared" si="13"/>
        <v>0</v>
      </c>
    </row>
    <row r="223" spans="1:7" hidden="1" x14ac:dyDescent="0.25">
      <c r="A223" s="17" t="s">
        <v>311</v>
      </c>
      <c r="B223" s="25" t="s">
        <v>295</v>
      </c>
      <c r="C223" s="14" t="s">
        <v>14</v>
      </c>
      <c r="D223" s="26"/>
      <c r="E223" s="15"/>
      <c r="F223" s="16">
        <f t="shared" si="14"/>
        <v>0</v>
      </c>
      <c r="G223" s="8">
        <f t="shared" si="13"/>
        <v>0</v>
      </c>
    </row>
    <row r="224" spans="1:7" hidden="1" x14ac:dyDescent="0.25">
      <c r="A224" s="17" t="s">
        <v>312</v>
      </c>
      <c r="B224" s="25" t="s">
        <v>296</v>
      </c>
      <c r="C224" s="14" t="s">
        <v>14</v>
      </c>
      <c r="D224" s="26"/>
      <c r="E224" s="15"/>
      <c r="F224" s="16">
        <f t="shared" si="14"/>
        <v>0</v>
      </c>
      <c r="G224" s="8">
        <f t="shared" si="13"/>
        <v>0</v>
      </c>
    </row>
    <row r="225" spans="1:7" hidden="1" x14ac:dyDescent="0.25">
      <c r="A225" s="12" t="s">
        <v>313</v>
      </c>
      <c r="B225" s="13" t="s">
        <v>314</v>
      </c>
      <c r="C225" s="14"/>
      <c r="D225" s="26"/>
      <c r="E225" s="15"/>
      <c r="F225" s="16"/>
      <c r="G225" s="8">
        <f t="shared" si="13"/>
        <v>0</v>
      </c>
    </row>
    <row r="226" spans="1:7" hidden="1" x14ac:dyDescent="0.25">
      <c r="A226" s="17" t="s">
        <v>324</v>
      </c>
      <c r="B226" s="25" t="s">
        <v>315</v>
      </c>
      <c r="C226" s="14" t="s">
        <v>37</v>
      </c>
      <c r="D226" s="26"/>
      <c r="E226" s="15">
        <f>+'APU CAP 3'!H1185</f>
        <v>1636</v>
      </c>
      <c r="F226" s="16">
        <f t="shared" ref="F226:F234" si="15">+D226*E226</f>
        <v>0</v>
      </c>
      <c r="G226" s="8">
        <f t="shared" si="13"/>
        <v>0</v>
      </c>
    </row>
    <row r="227" spans="1:7" hidden="1" x14ac:dyDescent="0.25">
      <c r="A227" s="17" t="s">
        <v>325</v>
      </c>
      <c r="B227" s="25" t="s">
        <v>316</v>
      </c>
      <c r="C227" s="14" t="s">
        <v>37</v>
      </c>
      <c r="D227" s="26"/>
      <c r="E227" s="15">
        <f>+'APU CAP 3'!H1239</f>
        <v>2150</v>
      </c>
      <c r="F227" s="16">
        <f t="shared" si="15"/>
        <v>0</v>
      </c>
      <c r="G227" s="8">
        <f t="shared" si="13"/>
        <v>0</v>
      </c>
    </row>
    <row r="228" spans="1:7" hidden="1" x14ac:dyDescent="0.25">
      <c r="A228" s="17" t="s">
        <v>326</v>
      </c>
      <c r="B228" s="25" t="s">
        <v>317</v>
      </c>
      <c r="C228" s="14" t="s">
        <v>37</v>
      </c>
      <c r="D228" s="26"/>
      <c r="E228" s="15">
        <f>+'APU CAP 3'!H1239</f>
        <v>2150</v>
      </c>
      <c r="F228" s="16">
        <f t="shared" si="15"/>
        <v>0</v>
      </c>
      <c r="G228" s="8">
        <f t="shared" si="13"/>
        <v>0</v>
      </c>
    </row>
    <row r="229" spans="1:7" hidden="1" x14ac:dyDescent="0.25">
      <c r="A229" s="17" t="s">
        <v>327</v>
      </c>
      <c r="B229" s="25" t="s">
        <v>318</v>
      </c>
      <c r="C229" s="14" t="s">
        <v>37</v>
      </c>
      <c r="D229" s="26"/>
      <c r="E229" s="15">
        <f>+'APU CAP 3'!H1293</f>
        <v>3178</v>
      </c>
      <c r="F229" s="16">
        <f t="shared" si="15"/>
        <v>0</v>
      </c>
      <c r="G229" s="8">
        <f t="shared" si="13"/>
        <v>0</v>
      </c>
    </row>
    <row r="230" spans="1:7" hidden="1" x14ac:dyDescent="0.25">
      <c r="A230" s="17" t="s">
        <v>328</v>
      </c>
      <c r="B230" s="25" t="s">
        <v>319</v>
      </c>
      <c r="C230" s="14" t="s">
        <v>37</v>
      </c>
      <c r="D230" s="26"/>
      <c r="E230" s="15">
        <f>+'APU CAP 3'!H1347</f>
        <v>6261</v>
      </c>
      <c r="F230" s="16">
        <f t="shared" si="15"/>
        <v>0</v>
      </c>
      <c r="G230" s="8">
        <f t="shared" si="13"/>
        <v>0</v>
      </c>
    </row>
    <row r="231" spans="1:7" hidden="1" x14ac:dyDescent="0.25">
      <c r="A231" s="17" t="s">
        <v>329</v>
      </c>
      <c r="B231" s="25" t="s">
        <v>320</v>
      </c>
      <c r="C231" s="14" t="s">
        <v>37</v>
      </c>
      <c r="D231" s="26"/>
      <c r="E231" s="15"/>
      <c r="F231" s="16">
        <f t="shared" si="15"/>
        <v>0</v>
      </c>
      <c r="G231" s="8">
        <f t="shared" si="13"/>
        <v>0</v>
      </c>
    </row>
    <row r="232" spans="1:7" hidden="1" x14ac:dyDescent="0.25">
      <c r="A232" s="17" t="s">
        <v>330</v>
      </c>
      <c r="B232" s="25" t="s">
        <v>321</v>
      </c>
      <c r="C232" s="14" t="s">
        <v>37</v>
      </c>
      <c r="D232" s="26"/>
      <c r="E232" s="15"/>
      <c r="F232" s="16">
        <f t="shared" si="15"/>
        <v>0</v>
      </c>
      <c r="G232" s="8">
        <f t="shared" si="13"/>
        <v>0</v>
      </c>
    </row>
    <row r="233" spans="1:7" hidden="1" x14ac:dyDescent="0.25">
      <c r="A233" s="17" t="s">
        <v>331</v>
      </c>
      <c r="B233" s="25" t="s">
        <v>322</v>
      </c>
      <c r="C233" s="14" t="s">
        <v>37</v>
      </c>
      <c r="D233" s="26"/>
      <c r="E233" s="15"/>
      <c r="F233" s="16">
        <f t="shared" si="15"/>
        <v>0</v>
      </c>
      <c r="G233" s="8">
        <f t="shared" si="13"/>
        <v>0</v>
      </c>
    </row>
    <row r="234" spans="1:7" hidden="1" x14ac:dyDescent="0.25">
      <c r="A234" s="17" t="s">
        <v>332</v>
      </c>
      <c r="B234" s="25" t="s">
        <v>323</v>
      </c>
      <c r="C234" s="14" t="s">
        <v>37</v>
      </c>
      <c r="D234" s="26"/>
      <c r="E234" s="15"/>
      <c r="F234" s="16">
        <f t="shared" si="15"/>
        <v>0</v>
      </c>
      <c r="G234" s="8">
        <f t="shared" si="13"/>
        <v>0</v>
      </c>
    </row>
    <row r="235" spans="1:7" x14ac:dyDescent="0.25">
      <c r="A235" s="12" t="s">
        <v>333</v>
      </c>
      <c r="B235" s="46" t="s">
        <v>334</v>
      </c>
      <c r="C235" s="14"/>
      <c r="D235" s="26"/>
      <c r="E235" s="15"/>
      <c r="F235" s="16"/>
      <c r="G235" s="8">
        <v>1</v>
      </c>
    </row>
    <row r="236" spans="1:7" x14ac:dyDescent="0.25">
      <c r="A236" s="12" t="s">
        <v>355</v>
      </c>
      <c r="B236" s="46" t="s">
        <v>335</v>
      </c>
      <c r="C236" s="14"/>
      <c r="D236" s="26"/>
      <c r="E236" s="15"/>
      <c r="F236" s="16"/>
      <c r="G236" s="8">
        <v>1</v>
      </c>
    </row>
    <row r="237" spans="1:7" hidden="1" x14ac:dyDescent="0.25">
      <c r="A237" s="17" t="s">
        <v>356</v>
      </c>
      <c r="B237" s="25" t="s">
        <v>336</v>
      </c>
      <c r="C237" s="14" t="s">
        <v>14</v>
      </c>
      <c r="D237" s="26"/>
      <c r="E237" s="15">
        <f>+'APU CAP 3'!H1401</f>
        <v>2913</v>
      </c>
      <c r="F237" s="16">
        <f t="shared" ref="F237:F255" si="16">+D237*E237</f>
        <v>0</v>
      </c>
      <c r="G237" s="8">
        <f t="shared" si="13"/>
        <v>0</v>
      </c>
    </row>
    <row r="238" spans="1:7" hidden="1" x14ac:dyDescent="0.25">
      <c r="A238" s="17" t="s">
        <v>357</v>
      </c>
      <c r="B238" s="25" t="s">
        <v>337</v>
      </c>
      <c r="C238" s="14" t="s">
        <v>14</v>
      </c>
      <c r="D238" s="26"/>
      <c r="E238" s="15">
        <f>+'APU CAP 3'!P1401</f>
        <v>4197</v>
      </c>
      <c r="F238" s="16">
        <f t="shared" si="16"/>
        <v>0</v>
      </c>
      <c r="G238" s="8">
        <f t="shared" si="13"/>
        <v>0</v>
      </c>
    </row>
    <row r="239" spans="1:7" hidden="1" x14ac:dyDescent="0.25">
      <c r="A239" s="17" t="s">
        <v>358</v>
      </c>
      <c r="B239" s="25" t="s">
        <v>338</v>
      </c>
      <c r="C239" s="14" t="s">
        <v>14</v>
      </c>
      <c r="D239" s="26"/>
      <c r="E239" s="15">
        <f>+'APU CAP 3'!X1401</f>
        <v>5342</v>
      </c>
      <c r="F239" s="16">
        <f t="shared" si="16"/>
        <v>0</v>
      </c>
      <c r="G239" s="8">
        <f t="shared" si="13"/>
        <v>0</v>
      </c>
    </row>
    <row r="240" spans="1:7" hidden="1" x14ac:dyDescent="0.25">
      <c r="A240" s="17" t="s">
        <v>359</v>
      </c>
      <c r="B240" s="25" t="s">
        <v>339</v>
      </c>
      <c r="C240" s="14" t="s">
        <v>14</v>
      </c>
      <c r="D240" s="26"/>
      <c r="E240" s="15"/>
      <c r="F240" s="16">
        <f t="shared" si="16"/>
        <v>0</v>
      </c>
      <c r="G240" s="8">
        <f t="shared" si="13"/>
        <v>0</v>
      </c>
    </row>
    <row r="241" spans="1:7" hidden="1" x14ac:dyDescent="0.25">
      <c r="A241" s="17" t="s">
        <v>360</v>
      </c>
      <c r="B241" s="25" t="s">
        <v>340</v>
      </c>
      <c r="C241" s="14" t="s">
        <v>14</v>
      </c>
      <c r="D241" s="26"/>
      <c r="E241" s="15">
        <f>+'APU CAP 3'!H1455</f>
        <v>8630</v>
      </c>
      <c r="F241" s="16">
        <f t="shared" si="16"/>
        <v>0</v>
      </c>
      <c r="G241" s="8">
        <f t="shared" si="13"/>
        <v>0</v>
      </c>
    </row>
    <row r="242" spans="1:7" hidden="1" x14ac:dyDescent="0.25">
      <c r="A242" s="17" t="s">
        <v>361</v>
      </c>
      <c r="B242" s="25" t="s">
        <v>341</v>
      </c>
      <c r="C242" s="14" t="s">
        <v>14</v>
      </c>
      <c r="D242" s="26"/>
      <c r="E242" s="15">
        <f>+'APU CAP 3'!P1455</f>
        <v>11285</v>
      </c>
      <c r="F242" s="16">
        <f t="shared" si="16"/>
        <v>0</v>
      </c>
      <c r="G242" s="8">
        <f t="shared" si="13"/>
        <v>0</v>
      </c>
    </row>
    <row r="243" spans="1:7" hidden="1" x14ac:dyDescent="0.25">
      <c r="A243" s="17" t="s">
        <v>362</v>
      </c>
      <c r="B243" s="25" t="s">
        <v>342</v>
      </c>
      <c r="C243" s="14" t="s">
        <v>14</v>
      </c>
      <c r="D243" s="26"/>
      <c r="E243" s="15">
        <f>+'APU CAP 3'!X1455</f>
        <v>15169</v>
      </c>
      <c r="F243" s="16">
        <f t="shared" si="16"/>
        <v>0</v>
      </c>
      <c r="G243" s="8">
        <f t="shared" si="13"/>
        <v>0</v>
      </c>
    </row>
    <row r="244" spans="1:7" hidden="1" x14ac:dyDescent="0.25">
      <c r="A244" s="17" t="s">
        <v>363</v>
      </c>
      <c r="B244" s="25" t="s">
        <v>343</v>
      </c>
      <c r="C244" s="14" t="s">
        <v>14</v>
      </c>
      <c r="D244" s="26"/>
      <c r="E244" s="15">
        <f>+'APU CAP 3'!H1509</f>
        <v>24053</v>
      </c>
      <c r="F244" s="16">
        <f t="shared" si="16"/>
        <v>0</v>
      </c>
      <c r="G244" s="8">
        <f t="shared" si="13"/>
        <v>0</v>
      </c>
    </row>
    <row r="245" spans="1:7" hidden="1" x14ac:dyDescent="0.25">
      <c r="A245" s="17" t="s">
        <v>364</v>
      </c>
      <c r="B245" s="25" t="s">
        <v>344</v>
      </c>
      <c r="C245" s="14" t="s">
        <v>14</v>
      </c>
      <c r="D245" s="26"/>
      <c r="E245" s="15">
        <f>+'APU CAP 3'!P1509</f>
        <v>28319</v>
      </c>
      <c r="F245" s="16">
        <f t="shared" si="16"/>
        <v>0</v>
      </c>
      <c r="G245" s="8">
        <f t="shared" si="13"/>
        <v>0</v>
      </c>
    </row>
    <row r="246" spans="1:7" x14ac:dyDescent="0.25">
      <c r="A246" s="17" t="s">
        <v>365</v>
      </c>
      <c r="B246" s="25" t="s">
        <v>345</v>
      </c>
      <c r="C246" s="14" t="s">
        <v>14</v>
      </c>
      <c r="D246" s="26">
        <v>340</v>
      </c>
      <c r="E246" s="15">
        <f>+'APU CAP 3'!X1509</f>
        <v>33693</v>
      </c>
      <c r="F246" s="16">
        <f t="shared" si="16"/>
        <v>11455620</v>
      </c>
      <c r="G246" s="8">
        <f t="shared" si="13"/>
        <v>1</v>
      </c>
    </row>
    <row r="247" spans="1:7" hidden="1" x14ac:dyDescent="0.25">
      <c r="A247" s="17" t="s">
        <v>366</v>
      </c>
      <c r="B247" s="25" t="s">
        <v>346</v>
      </c>
      <c r="C247" s="14" t="s">
        <v>14</v>
      </c>
      <c r="D247" s="26"/>
      <c r="E247" s="15">
        <f>+'APU CAP 3'!H1563</f>
        <v>41671</v>
      </c>
      <c r="F247" s="16">
        <f t="shared" si="16"/>
        <v>0</v>
      </c>
      <c r="G247" s="8">
        <f t="shared" si="13"/>
        <v>0</v>
      </c>
    </row>
    <row r="248" spans="1:7" hidden="1" x14ac:dyDescent="0.25">
      <c r="A248" s="17" t="s">
        <v>367</v>
      </c>
      <c r="B248" s="25" t="s">
        <v>347</v>
      </c>
      <c r="C248" s="14" t="s">
        <v>14</v>
      </c>
      <c r="D248" s="26"/>
      <c r="E248" s="15">
        <f>+'APU CAP 3'!P1563</f>
        <v>48370</v>
      </c>
      <c r="F248" s="16">
        <f t="shared" si="16"/>
        <v>0</v>
      </c>
      <c r="G248" s="8">
        <f t="shared" si="13"/>
        <v>0</v>
      </c>
    </row>
    <row r="249" spans="1:7" hidden="1" x14ac:dyDescent="0.25">
      <c r="A249" s="17" t="s">
        <v>368</v>
      </c>
      <c r="B249" s="25" t="s">
        <v>348</v>
      </c>
      <c r="C249" s="14" t="s">
        <v>14</v>
      </c>
      <c r="D249" s="26"/>
      <c r="E249" s="15"/>
      <c r="F249" s="16">
        <f t="shared" si="16"/>
        <v>0</v>
      </c>
      <c r="G249" s="8">
        <f t="shared" si="13"/>
        <v>0</v>
      </c>
    </row>
    <row r="250" spans="1:7" hidden="1" x14ac:dyDescent="0.25">
      <c r="A250" s="17" t="s">
        <v>369</v>
      </c>
      <c r="B250" s="25" t="s">
        <v>349</v>
      </c>
      <c r="C250" s="14" t="s">
        <v>14</v>
      </c>
      <c r="D250" s="26"/>
      <c r="E250" s="15"/>
      <c r="F250" s="16">
        <f t="shared" si="16"/>
        <v>0</v>
      </c>
      <c r="G250" s="8">
        <f t="shared" si="13"/>
        <v>0</v>
      </c>
    </row>
    <row r="251" spans="1:7" hidden="1" x14ac:dyDescent="0.25">
      <c r="A251" s="17" t="s">
        <v>370</v>
      </c>
      <c r="B251" s="25" t="s">
        <v>350</v>
      </c>
      <c r="C251" s="14" t="s">
        <v>14</v>
      </c>
      <c r="D251" s="26"/>
      <c r="E251" s="15"/>
      <c r="F251" s="16">
        <f t="shared" si="16"/>
        <v>0</v>
      </c>
      <c r="G251" s="8">
        <f t="shared" si="13"/>
        <v>0</v>
      </c>
    </row>
    <row r="252" spans="1:7" hidden="1" x14ac:dyDescent="0.25">
      <c r="A252" s="17" t="s">
        <v>371</v>
      </c>
      <c r="B252" s="25" t="s">
        <v>351</v>
      </c>
      <c r="C252" s="14" t="s">
        <v>14</v>
      </c>
      <c r="D252" s="26"/>
      <c r="E252" s="15"/>
      <c r="F252" s="16">
        <f t="shared" si="16"/>
        <v>0</v>
      </c>
      <c r="G252" s="8">
        <f t="shared" si="13"/>
        <v>0</v>
      </c>
    </row>
    <row r="253" spans="1:7" hidden="1" x14ac:dyDescent="0.25">
      <c r="A253" s="17" t="s">
        <v>372</v>
      </c>
      <c r="B253" s="25" t="s">
        <v>352</v>
      </c>
      <c r="C253" s="14" t="s">
        <v>14</v>
      </c>
      <c r="D253" s="26"/>
      <c r="E253" s="15"/>
      <c r="F253" s="16">
        <f t="shared" si="16"/>
        <v>0</v>
      </c>
      <c r="G253" s="8">
        <f t="shared" si="13"/>
        <v>0</v>
      </c>
    </row>
    <row r="254" spans="1:7" hidden="1" x14ac:dyDescent="0.25">
      <c r="A254" s="17" t="s">
        <v>373</v>
      </c>
      <c r="B254" s="25" t="s">
        <v>353</v>
      </c>
      <c r="C254" s="14" t="s">
        <v>14</v>
      </c>
      <c r="D254" s="26"/>
      <c r="E254" s="15"/>
      <c r="F254" s="16">
        <f t="shared" si="16"/>
        <v>0</v>
      </c>
      <c r="G254" s="8">
        <f t="shared" si="13"/>
        <v>0</v>
      </c>
    </row>
    <row r="255" spans="1:7" hidden="1" x14ac:dyDescent="0.25">
      <c r="A255" s="17" t="s">
        <v>374</v>
      </c>
      <c r="B255" s="25" t="s">
        <v>354</v>
      </c>
      <c r="C255" s="14" t="s">
        <v>14</v>
      </c>
      <c r="D255" s="26"/>
      <c r="E255" s="15"/>
      <c r="F255" s="16">
        <f t="shared" si="16"/>
        <v>0</v>
      </c>
      <c r="G255" s="8">
        <f t="shared" si="13"/>
        <v>0</v>
      </c>
    </row>
    <row r="256" spans="1:7" x14ac:dyDescent="0.25">
      <c r="A256" s="12" t="s">
        <v>375</v>
      </c>
      <c r="B256" s="46" t="s">
        <v>6320</v>
      </c>
      <c r="C256" s="14"/>
      <c r="D256" s="26"/>
      <c r="E256" s="15"/>
      <c r="F256" s="16"/>
      <c r="G256" s="8">
        <v>1</v>
      </c>
    </row>
    <row r="257" spans="1:7" hidden="1" x14ac:dyDescent="0.25">
      <c r="A257" s="17" t="s">
        <v>376</v>
      </c>
      <c r="B257" s="25" t="s">
        <v>336</v>
      </c>
      <c r="C257" s="14" t="s">
        <v>14</v>
      </c>
      <c r="D257" s="26"/>
      <c r="E257" s="471">
        <f t="shared" ref="E257:E262" si="17">+E238</f>
        <v>4197</v>
      </c>
      <c r="F257" s="16">
        <f t="shared" ref="F257:F275" si="18">+D257*E257</f>
        <v>0</v>
      </c>
      <c r="G257" s="8">
        <f t="shared" si="13"/>
        <v>0</v>
      </c>
    </row>
    <row r="258" spans="1:7" hidden="1" x14ac:dyDescent="0.25">
      <c r="A258" s="17" t="s">
        <v>377</v>
      </c>
      <c r="B258" s="25" t="s">
        <v>337</v>
      </c>
      <c r="C258" s="14" t="s">
        <v>14</v>
      </c>
      <c r="D258" s="26"/>
      <c r="E258" s="471">
        <f t="shared" si="17"/>
        <v>5342</v>
      </c>
      <c r="F258" s="16">
        <f t="shared" si="18"/>
        <v>0</v>
      </c>
      <c r="G258" s="8">
        <f t="shared" si="13"/>
        <v>0</v>
      </c>
    </row>
    <row r="259" spans="1:7" hidden="1" x14ac:dyDescent="0.25">
      <c r="A259" s="17" t="s">
        <v>378</v>
      </c>
      <c r="B259" s="25" t="s">
        <v>338</v>
      </c>
      <c r="C259" s="14" t="s">
        <v>14</v>
      </c>
      <c r="D259" s="26"/>
      <c r="E259" s="471">
        <f t="shared" si="17"/>
        <v>0</v>
      </c>
      <c r="F259" s="16">
        <f t="shared" si="18"/>
        <v>0</v>
      </c>
      <c r="G259" s="8">
        <f t="shared" si="13"/>
        <v>0</v>
      </c>
    </row>
    <row r="260" spans="1:7" hidden="1" x14ac:dyDescent="0.25">
      <c r="A260" s="17" t="s">
        <v>379</v>
      </c>
      <c r="B260" s="25" t="s">
        <v>339</v>
      </c>
      <c r="C260" s="14" t="s">
        <v>14</v>
      </c>
      <c r="D260" s="26"/>
      <c r="E260" s="471">
        <f t="shared" si="17"/>
        <v>8630</v>
      </c>
      <c r="F260" s="16">
        <f t="shared" si="18"/>
        <v>0</v>
      </c>
      <c r="G260" s="8">
        <f t="shared" si="13"/>
        <v>0</v>
      </c>
    </row>
    <row r="261" spans="1:7" hidden="1" x14ac:dyDescent="0.25">
      <c r="A261" s="17" t="s">
        <v>380</v>
      </c>
      <c r="B261" s="25" t="s">
        <v>340</v>
      </c>
      <c r="C261" s="14" t="s">
        <v>14</v>
      </c>
      <c r="D261" s="26"/>
      <c r="E261" s="471">
        <f t="shared" si="17"/>
        <v>11285</v>
      </c>
      <c r="F261" s="16">
        <f t="shared" si="18"/>
        <v>0</v>
      </c>
      <c r="G261" s="8">
        <f t="shared" si="13"/>
        <v>0</v>
      </c>
    </row>
    <row r="262" spans="1:7" hidden="1" x14ac:dyDescent="0.25">
      <c r="A262" s="17" t="s">
        <v>381</v>
      </c>
      <c r="B262" s="25" t="s">
        <v>341</v>
      </c>
      <c r="C262" s="14" t="s">
        <v>14</v>
      </c>
      <c r="D262" s="26"/>
      <c r="E262" s="471">
        <f t="shared" si="17"/>
        <v>15169</v>
      </c>
      <c r="F262" s="16">
        <f t="shared" si="18"/>
        <v>0</v>
      </c>
      <c r="G262" s="8">
        <f t="shared" si="13"/>
        <v>0</v>
      </c>
    </row>
    <row r="263" spans="1:7" hidden="1" x14ac:dyDescent="0.25">
      <c r="A263" s="17" t="s">
        <v>382</v>
      </c>
      <c r="B263" s="25" t="s">
        <v>342</v>
      </c>
      <c r="C263" s="14" t="s">
        <v>14</v>
      </c>
      <c r="D263" s="26"/>
      <c r="E263" s="614">
        <f>+E244*5</f>
        <v>120265</v>
      </c>
      <c r="F263" s="16">
        <f t="shared" si="18"/>
        <v>0</v>
      </c>
      <c r="G263" s="8">
        <f t="shared" si="13"/>
        <v>0</v>
      </c>
    </row>
    <row r="264" spans="1:7" hidden="1" x14ac:dyDescent="0.25">
      <c r="A264" s="17" t="s">
        <v>383</v>
      </c>
      <c r="B264" s="25" t="s">
        <v>343</v>
      </c>
      <c r="C264" s="14" t="s">
        <v>14</v>
      </c>
      <c r="D264" s="26"/>
      <c r="E264" s="471">
        <f>+E245</f>
        <v>28319</v>
      </c>
      <c r="F264" s="16">
        <f t="shared" si="18"/>
        <v>0</v>
      </c>
      <c r="G264" s="8">
        <f t="shared" si="13"/>
        <v>0</v>
      </c>
    </row>
    <row r="265" spans="1:7" hidden="1" x14ac:dyDescent="0.25">
      <c r="A265" s="17" t="s">
        <v>384</v>
      </c>
      <c r="B265" s="25" t="s">
        <v>344</v>
      </c>
      <c r="C265" s="14" t="s">
        <v>14</v>
      </c>
      <c r="D265" s="26"/>
      <c r="E265" s="471">
        <f>+E246</f>
        <v>33693</v>
      </c>
      <c r="F265" s="16">
        <f t="shared" si="18"/>
        <v>0</v>
      </c>
      <c r="G265" s="8">
        <f t="shared" si="13"/>
        <v>0</v>
      </c>
    </row>
    <row r="266" spans="1:7" hidden="1" x14ac:dyDescent="0.25">
      <c r="A266" s="17" t="s">
        <v>385</v>
      </c>
      <c r="B266" s="25" t="s">
        <v>345</v>
      </c>
      <c r="C266" s="14" t="s">
        <v>14</v>
      </c>
      <c r="D266" s="26"/>
      <c r="E266" s="471">
        <f>+E247</f>
        <v>41671</v>
      </c>
      <c r="F266" s="16">
        <f t="shared" si="18"/>
        <v>0</v>
      </c>
      <c r="G266" s="8">
        <f t="shared" si="13"/>
        <v>0</v>
      </c>
    </row>
    <row r="267" spans="1:7" hidden="1" x14ac:dyDescent="0.25">
      <c r="A267" s="17" t="s">
        <v>386</v>
      </c>
      <c r="B267" s="25" t="s">
        <v>346</v>
      </c>
      <c r="C267" s="14" t="s">
        <v>14</v>
      </c>
      <c r="D267" s="26"/>
      <c r="E267" s="471">
        <f>+E248</f>
        <v>48370</v>
      </c>
      <c r="F267" s="16">
        <f t="shared" si="18"/>
        <v>0</v>
      </c>
      <c r="G267" s="8">
        <f t="shared" ref="G267:G330" si="19">+IF(F267&lt;&gt;0,1,0)</f>
        <v>0</v>
      </c>
    </row>
    <row r="268" spans="1:7" hidden="1" x14ac:dyDescent="0.25">
      <c r="A268" s="17" t="s">
        <v>387</v>
      </c>
      <c r="B268" s="25" t="s">
        <v>347</v>
      </c>
      <c r="C268" s="14" t="s">
        <v>14</v>
      </c>
      <c r="D268" s="26"/>
      <c r="E268" s="471">
        <f>+E249</f>
        <v>0</v>
      </c>
      <c r="F268" s="16">
        <f t="shared" si="18"/>
        <v>0</v>
      </c>
      <c r="G268" s="8">
        <f t="shared" si="19"/>
        <v>0</v>
      </c>
    </row>
    <row r="269" spans="1:7" hidden="1" x14ac:dyDescent="0.25">
      <c r="A269" s="17" t="s">
        <v>388</v>
      </c>
      <c r="B269" s="25" t="s">
        <v>348</v>
      </c>
      <c r="C269" s="14" t="s">
        <v>14</v>
      </c>
      <c r="D269" s="26"/>
      <c r="E269" s="15"/>
      <c r="F269" s="16">
        <f t="shared" si="18"/>
        <v>0</v>
      </c>
      <c r="G269" s="8">
        <f t="shared" si="19"/>
        <v>0</v>
      </c>
    </row>
    <row r="270" spans="1:7" hidden="1" x14ac:dyDescent="0.25">
      <c r="A270" s="17" t="s">
        <v>389</v>
      </c>
      <c r="B270" s="25" t="s">
        <v>349</v>
      </c>
      <c r="C270" s="14" t="s">
        <v>14</v>
      </c>
      <c r="D270" s="26"/>
      <c r="E270" s="15"/>
      <c r="F270" s="16">
        <f t="shared" si="18"/>
        <v>0</v>
      </c>
      <c r="G270" s="8">
        <f t="shared" si="19"/>
        <v>0</v>
      </c>
    </row>
    <row r="271" spans="1:7" hidden="1" x14ac:dyDescent="0.25">
      <c r="A271" s="17" t="s">
        <v>390</v>
      </c>
      <c r="B271" s="25" t="s">
        <v>350</v>
      </c>
      <c r="C271" s="14" t="s">
        <v>14</v>
      </c>
      <c r="D271" s="26"/>
      <c r="E271" s="15"/>
      <c r="F271" s="16">
        <f t="shared" si="18"/>
        <v>0</v>
      </c>
      <c r="G271" s="8">
        <f t="shared" si="19"/>
        <v>0</v>
      </c>
    </row>
    <row r="272" spans="1:7" hidden="1" x14ac:dyDescent="0.25">
      <c r="A272" s="17" t="s">
        <v>391</v>
      </c>
      <c r="B272" s="25" t="s">
        <v>351</v>
      </c>
      <c r="C272" s="14" t="s">
        <v>14</v>
      </c>
      <c r="D272" s="26"/>
      <c r="E272" s="15"/>
      <c r="F272" s="16">
        <f t="shared" si="18"/>
        <v>0</v>
      </c>
      <c r="G272" s="8">
        <f t="shared" si="19"/>
        <v>0</v>
      </c>
    </row>
    <row r="273" spans="1:7" hidden="1" x14ac:dyDescent="0.25">
      <c r="A273" s="17" t="s">
        <v>392</v>
      </c>
      <c r="B273" s="25" t="s">
        <v>352</v>
      </c>
      <c r="C273" s="14" t="s">
        <v>14</v>
      </c>
      <c r="D273" s="26"/>
      <c r="E273" s="15"/>
      <c r="F273" s="16">
        <f t="shared" si="18"/>
        <v>0</v>
      </c>
      <c r="G273" s="8">
        <f t="shared" si="19"/>
        <v>0</v>
      </c>
    </row>
    <row r="274" spans="1:7" hidden="1" x14ac:dyDescent="0.25">
      <c r="A274" s="17" t="s">
        <v>393</v>
      </c>
      <c r="B274" s="25" t="s">
        <v>353</v>
      </c>
      <c r="C274" s="14" t="s">
        <v>14</v>
      </c>
      <c r="D274" s="26"/>
      <c r="E274" s="15"/>
      <c r="F274" s="16">
        <f t="shared" si="18"/>
        <v>0</v>
      </c>
      <c r="G274" s="8">
        <f t="shared" si="19"/>
        <v>0</v>
      </c>
    </row>
    <row r="275" spans="1:7" hidden="1" x14ac:dyDescent="0.25">
      <c r="A275" s="17" t="s">
        <v>394</v>
      </c>
      <c r="B275" s="25" t="s">
        <v>354</v>
      </c>
      <c r="C275" s="14" t="s">
        <v>14</v>
      </c>
      <c r="D275" s="26"/>
      <c r="E275" s="15"/>
      <c r="F275" s="16">
        <f t="shared" si="18"/>
        <v>0</v>
      </c>
      <c r="G275" s="8">
        <f t="shared" si="19"/>
        <v>0</v>
      </c>
    </row>
    <row r="276" spans="1:7" x14ac:dyDescent="0.25">
      <c r="A276" s="12" t="s">
        <v>395</v>
      </c>
      <c r="B276" s="46" t="s">
        <v>396</v>
      </c>
      <c r="C276" s="14"/>
      <c r="D276" s="26"/>
      <c r="E276" s="15"/>
      <c r="F276" s="16"/>
      <c r="G276" s="8">
        <v>1</v>
      </c>
    </row>
    <row r="277" spans="1:7" hidden="1" x14ac:dyDescent="0.25">
      <c r="A277" s="17" t="s">
        <v>397</v>
      </c>
      <c r="B277" s="49" t="s">
        <v>6195</v>
      </c>
      <c r="C277" s="14" t="s">
        <v>37</v>
      </c>
      <c r="D277" s="26"/>
      <c r="E277" s="15"/>
      <c r="F277" s="16">
        <f t="shared" ref="F277:F288" si="20">+D277*E277</f>
        <v>0</v>
      </c>
      <c r="G277" s="8">
        <f t="shared" si="19"/>
        <v>0</v>
      </c>
    </row>
    <row r="278" spans="1:7" hidden="1" x14ac:dyDescent="0.25">
      <c r="A278" s="17" t="s">
        <v>398</v>
      </c>
      <c r="B278" s="49" t="s">
        <v>6196</v>
      </c>
      <c r="C278" s="14" t="s">
        <v>37</v>
      </c>
      <c r="D278" s="26"/>
      <c r="E278" s="15"/>
      <c r="F278" s="16">
        <f t="shared" si="20"/>
        <v>0</v>
      </c>
      <c r="G278" s="8">
        <f t="shared" si="19"/>
        <v>0</v>
      </c>
    </row>
    <row r="279" spans="1:7" x14ac:dyDescent="0.25">
      <c r="A279" s="17" t="s">
        <v>399</v>
      </c>
      <c r="B279" s="49" t="s">
        <v>6197</v>
      </c>
      <c r="C279" s="14" t="s">
        <v>37</v>
      </c>
      <c r="D279" s="26">
        <v>4</v>
      </c>
      <c r="E279" s="15">
        <f>+'APU CAP 3'!X1617</f>
        <v>9453</v>
      </c>
      <c r="F279" s="16">
        <f t="shared" si="20"/>
        <v>37812</v>
      </c>
      <c r="G279" s="8">
        <f t="shared" si="19"/>
        <v>1</v>
      </c>
    </row>
    <row r="280" spans="1:7" hidden="1" x14ac:dyDescent="0.25">
      <c r="A280" s="17" t="s">
        <v>400</v>
      </c>
      <c r="B280" s="49" t="s">
        <v>6198</v>
      </c>
      <c r="C280" s="14" t="s">
        <v>37</v>
      </c>
      <c r="D280" s="26"/>
      <c r="E280" s="15">
        <f>+'APU CAP 3'!H1671</f>
        <v>18913</v>
      </c>
      <c r="F280" s="16">
        <f t="shared" si="20"/>
        <v>0</v>
      </c>
      <c r="G280" s="8">
        <f t="shared" si="19"/>
        <v>0</v>
      </c>
    </row>
    <row r="281" spans="1:7" hidden="1" x14ac:dyDescent="0.25">
      <c r="A281" s="17" t="s">
        <v>401</v>
      </c>
      <c r="B281" s="49" t="s">
        <v>6199</v>
      </c>
      <c r="C281" s="14" t="s">
        <v>37</v>
      </c>
      <c r="D281" s="26"/>
      <c r="E281" s="15">
        <f>+'APU CAP 3'!P1671</f>
        <v>21310</v>
      </c>
      <c r="F281" s="16">
        <f t="shared" si="20"/>
        <v>0</v>
      </c>
      <c r="G281" s="8">
        <f t="shared" si="19"/>
        <v>0</v>
      </c>
    </row>
    <row r="282" spans="1:7" hidden="1" x14ac:dyDescent="0.25">
      <c r="A282" s="17" t="s">
        <v>402</v>
      </c>
      <c r="B282" s="49" t="s">
        <v>6200</v>
      </c>
      <c r="C282" s="14" t="s">
        <v>37</v>
      </c>
      <c r="D282" s="26"/>
      <c r="E282" s="15">
        <f>+'APU CAP 3'!X1671</f>
        <v>24906</v>
      </c>
      <c r="F282" s="16">
        <f t="shared" si="20"/>
        <v>0</v>
      </c>
      <c r="G282" s="8">
        <f t="shared" si="19"/>
        <v>0</v>
      </c>
    </row>
    <row r="283" spans="1:7" hidden="1" x14ac:dyDescent="0.25">
      <c r="A283" s="17" t="s">
        <v>403</v>
      </c>
      <c r="B283" s="49" t="s">
        <v>6201</v>
      </c>
      <c r="C283" s="14" t="s">
        <v>37</v>
      </c>
      <c r="D283" s="26"/>
      <c r="E283" s="15">
        <f>+'APU CAP 3'!H1725</f>
        <v>36089</v>
      </c>
      <c r="F283" s="16">
        <f t="shared" si="20"/>
        <v>0</v>
      </c>
      <c r="G283" s="8">
        <f t="shared" si="19"/>
        <v>0</v>
      </c>
    </row>
    <row r="284" spans="1:7" hidden="1" x14ac:dyDescent="0.25">
      <c r="A284" s="17" t="s">
        <v>6207</v>
      </c>
      <c r="B284" s="49" t="s">
        <v>6202</v>
      </c>
      <c r="C284" s="14" t="s">
        <v>37</v>
      </c>
      <c r="D284" s="26"/>
      <c r="E284" s="15">
        <f>+'APU CAP 3'!P1725</f>
        <v>40185</v>
      </c>
      <c r="F284" s="16">
        <f t="shared" si="20"/>
        <v>0</v>
      </c>
      <c r="G284" s="8">
        <f t="shared" si="19"/>
        <v>0</v>
      </c>
    </row>
    <row r="285" spans="1:7" x14ac:dyDescent="0.25">
      <c r="A285" s="17" t="s">
        <v>6208</v>
      </c>
      <c r="B285" s="49" t="s">
        <v>6203</v>
      </c>
      <c r="C285" s="14" t="s">
        <v>37</v>
      </c>
      <c r="D285" s="26">
        <v>35</v>
      </c>
      <c r="E285" s="15">
        <f>+'APU CAP 3'!X1725</f>
        <v>46678</v>
      </c>
      <c r="F285" s="16">
        <f t="shared" si="20"/>
        <v>1633730</v>
      </c>
      <c r="G285" s="8">
        <f t="shared" si="19"/>
        <v>1</v>
      </c>
    </row>
    <row r="286" spans="1:7" hidden="1" x14ac:dyDescent="0.25">
      <c r="A286" s="17" t="s">
        <v>6209</v>
      </c>
      <c r="B286" s="49" t="s">
        <v>6204</v>
      </c>
      <c r="C286" s="14" t="s">
        <v>37</v>
      </c>
      <c r="D286" s="26"/>
      <c r="E286" s="15"/>
      <c r="F286" s="16">
        <f t="shared" si="20"/>
        <v>0</v>
      </c>
      <c r="G286" s="8">
        <f t="shared" si="19"/>
        <v>0</v>
      </c>
    </row>
    <row r="287" spans="1:7" hidden="1" x14ac:dyDescent="0.25">
      <c r="A287" s="17" t="s">
        <v>6210</v>
      </c>
      <c r="B287" s="49" t="s">
        <v>6205</v>
      </c>
      <c r="C287" s="14" t="s">
        <v>37</v>
      </c>
      <c r="D287" s="26"/>
      <c r="E287" s="15"/>
      <c r="F287" s="16">
        <f t="shared" si="20"/>
        <v>0</v>
      </c>
      <c r="G287" s="8">
        <f t="shared" si="19"/>
        <v>0</v>
      </c>
    </row>
    <row r="288" spans="1:7" hidden="1" x14ac:dyDescent="0.25">
      <c r="A288" s="17" t="s">
        <v>6211</v>
      </c>
      <c r="B288" s="49" t="s">
        <v>6206</v>
      </c>
      <c r="C288" s="14" t="s">
        <v>37</v>
      </c>
      <c r="D288" s="26"/>
      <c r="E288" s="15"/>
      <c r="F288" s="16">
        <f t="shared" si="20"/>
        <v>0</v>
      </c>
      <c r="G288" s="8">
        <f t="shared" si="19"/>
        <v>0</v>
      </c>
    </row>
    <row r="289" spans="1:7" x14ac:dyDescent="0.25">
      <c r="A289" s="12" t="s">
        <v>38</v>
      </c>
      <c r="B289" s="13" t="s">
        <v>404</v>
      </c>
      <c r="C289" s="14"/>
      <c r="D289" s="14"/>
      <c r="E289" s="15"/>
      <c r="F289" s="16"/>
      <c r="G289" s="8">
        <v>1</v>
      </c>
    </row>
    <row r="290" spans="1:7" hidden="1" x14ac:dyDescent="0.25">
      <c r="A290" s="27" t="s">
        <v>39</v>
      </c>
      <c r="B290" s="28" t="s">
        <v>6065</v>
      </c>
      <c r="C290" s="26"/>
      <c r="D290" s="26"/>
      <c r="E290" s="29"/>
      <c r="F290" s="30"/>
      <c r="G290" s="8">
        <f t="shared" si="19"/>
        <v>0</v>
      </c>
    </row>
    <row r="291" spans="1:7" hidden="1" x14ac:dyDescent="0.25">
      <c r="A291" s="31" t="s">
        <v>408</v>
      </c>
      <c r="B291" s="32" t="s">
        <v>6212</v>
      </c>
      <c r="C291" s="26" t="s">
        <v>37</v>
      </c>
      <c r="D291" s="26"/>
      <c r="E291" s="29">
        <f>+'APU CAP 3'!H1779</f>
        <v>72446</v>
      </c>
      <c r="F291" s="16">
        <f t="shared" ref="F291:F306" si="21">+D291*E291</f>
        <v>0</v>
      </c>
      <c r="G291" s="8">
        <f t="shared" si="19"/>
        <v>0</v>
      </c>
    </row>
    <row r="292" spans="1:7" hidden="1" x14ac:dyDescent="0.25">
      <c r="A292" s="31" t="s">
        <v>409</v>
      </c>
      <c r="B292" s="32" t="s">
        <v>6213</v>
      </c>
      <c r="C292" s="26" t="s">
        <v>37</v>
      </c>
      <c r="D292" s="26"/>
      <c r="E292" s="29">
        <f>+'APU CAP 3'!H1833</f>
        <v>77036</v>
      </c>
      <c r="F292" s="16">
        <f t="shared" si="21"/>
        <v>0</v>
      </c>
      <c r="G292" s="8">
        <f t="shared" si="19"/>
        <v>0</v>
      </c>
    </row>
    <row r="293" spans="1:7" hidden="1" x14ac:dyDescent="0.25">
      <c r="A293" s="31" t="s">
        <v>40</v>
      </c>
      <c r="B293" s="32" t="s">
        <v>6066</v>
      </c>
      <c r="C293" s="26" t="s">
        <v>37</v>
      </c>
      <c r="D293" s="26"/>
      <c r="E293" s="29">
        <f>+'APU CAP 3'!P1887</f>
        <v>129880</v>
      </c>
      <c r="F293" s="16">
        <f t="shared" si="21"/>
        <v>0</v>
      </c>
      <c r="G293" s="8">
        <f t="shared" si="19"/>
        <v>0</v>
      </c>
    </row>
    <row r="294" spans="1:7" hidden="1" x14ac:dyDescent="0.25">
      <c r="A294" s="31" t="s">
        <v>410</v>
      </c>
      <c r="B294" s="32" t="s">
        <v>6067</v>
      </c>
      <c r="C294" s="26" t="s">
        <v>37</v>
      </c>
      <c r="D294" s="26"/>
      <c r="E294" s="29"/>
      <c r="F294" s="16">
        <f t="shared" si="21"/>
        <v>0</v>
      </c>
      <c r="G294" s="8">
        <f t="shared" si="19"/>
        <v>0</v>
      </c>
    </row>
    <row r="295" spans="1:7" hidden="1" x14ac:dyDescent="0.25">
      <c r="A295" s="31" t="s">
        <v>411</v>
      </c>
      <c r="B295" s="32" t="s">
        <v>6069</v>
      </c>
      <c r="C295" s="26" t="s">
        <v>37</v>
      </c>
      <c r="D295" s="26"/>
      <c r="E295" s="29"/>
      <c r="F295" s="16">
        <f t="shared" si="21"/>
        <v>0</v>
      </c>
      <c r="G295" s="8">
        <f t="shared" si="19"/>
        <v>0</v>
      </c>
    </row>
    <row r="296" spans="1:7" hidden="1" x14ac:dyDescent="0.25">
      <c r="A296" s="31" t="s">
        <v>412</v>
      </c>
      <c r="B296" s="32" t="s">
        <v>6068</v>
      </c>
      <c r="C296" s="26" t="s">
        <v>37</v>
      </c>
      <c r="D296" s="26"/>
      <c r="E296" s="29"/>
      <c r="F296" s="16">
        <f t="shared" si="21"/>
        <v>0</v>
      </c>
      <c r="G296" s="8">
        <f t="shared" si="19"/>
        <v>0</v>
      </c>
    </row>
    <row r="297" spans="1:7" hidden="1" x14ac:dyDescent="0.25">
      <c r="A297" s="31" t="s">
        <v>413</v>
      </c>
      <c r="B297" s="32" t="s">
        <v>6070</v>
      </c>
      <c r="C297" s="26" t="s">
        <v>37</v>
      </c>
      <c r="D297" s="26"/>
      <c r="E297" s="29"/>
      <c r="F297" s="16">
        <f t="shared" si="21"/>
        <v>0</v>
      </c>
      <c r="G297" s="8">
        <f t="shared" si="19"/>
        <v>0</v>
      </c>
    </row>
    <row r="298" spans="1:7" hidden="1" x14ac:dyDescent="0.25">
      <c r="A298" s="31" t="s">
        <v>414</v>
      </c>
      <c r="B298" s="32" t="s">
        <v>6071</v>
      </c>
      <c r="C298" s="26" t="s">
        <v>37</v>
      </c>
      <c r="D298" s="26"/>
      <c r="E298" s="29"/>
      <c r="F298" s="16">
        <f t="shared" si="21"/>
        <v>0</v>
      </c>
      <c r="G298" s="8">
        <f t="shared" si="19"/>
        <v>0</v>
      </c>
    </row>
    <row r="299" spans="1:7" hidden="1" x14ac:dyDescent="0.25">
      <c r="A299" s="31" t="s">
        <v>415</v>
      </c>
      <c r="B299" s="32" t="s">
        <v>6214</v>
      </c>
      <c r="C299" s="26" t="s">
        <v>37</v>
      </c>
      <c r="D299" s="26"/>
      <c r="E299" s="29">
        <f>+'APU CAP 3'!H1887</f>
        <v>118326</v>
      </c>
      <c r="F299" s="16">
        <f t="shared" si="21"/>
        <v>0</v>
      </c>
      <c r="G299" s="8">
        <f t="shared" si="19"/>
        <v>0</v>
      </c>
    </row>
    <row r="300" spans="1:7" hidden="1" x14ac:dyDescent="0.25">
      <c r="A300" s="31" t="s">
        <v>416</v>
      </c>
      <c r="B300" s="32" t="s">
        <v>6215</v>
      </c>
      <c r="C300" s="26" t="s">
        <v>37</v>
      </c>
      <c r="D300" s="26"/>
      <c r="E300" s="29">
        <f>+'APU CAP 3'!H1941</f>
        <v>171706</v>
      </c>
      <c r="F300" s="16">
        <f t="shared" si="21"/>
        <v>0</v>
      </c>
      <c r="G300" s="8">
        <f t="shared" si="19"/>
        <v>0</v>
      </c>
    </row>
    <row r="301" spans="1:7" hidden="1" x14ac:dyDescent="0.25">
      <c r="A301" s="31" t="s">
        <v>417</v>
      </c>
      <c r="B301" s="32" t="s">
        <v>6072</v>
      </c>
      <c r="C301" s="26" t="s">
        <v>37</v>
      </c>
      <c r="D301" s="26"/>
      <c r="E301" s="29"/>
      <c r="F301" s="16">
        <f t="shared" si="21"/>
        <v>0</v>
      </c>
      <c r="G301" s="8">
        <f t="shared" si="19"/>
        <v>0</v>
      </c>
    </row>
    <row r="302" spans="1:7" hidden="1" x14ac:dyDescent="0.25">
      <c r="A302" s="31" t="s">
        <v>418</v>
      </c>
      <c r="B302" s="32" t="s">
        <v>6073</v>
      </c>
      <c r="C302" s="26" t="s">
        <v>37</v>
      </c>
      <c r="D302" s="26"/>
      <c r="E302" s="29"/>
      <c r="F302" s="16">
        <f t="shared" si="21"/>
        <v>0</v>
      </c>
      <c r="G302" s="8">
        <f t="shared" si="19"/>
        <v>0</v>
      </c>
    </row>
    <row r="303" spans="1:7" hidden="1" x14ac:dyDescent="0.25">
      <c r="A303" s="31" t="s">
        <v>419</v>
      </c>
      <c r="B303" s="32" t="s">
        <v>6074</v>
      </c>
      <c r="C303" s="26" t="s">
        <v>37</v>
      </c>
      <c r="D303" s="26"/>
      <c r="E303" s="29"/>
      <c r="F303" s="16">
        <f t="shared" si="21"/>
        <v>0</v>
      </c>
      <c r="G303" s="8">
        <f t="shared" si="19"/>
        <v>0</v>
      </c>
    </row>
    <row r="304" spans="1:7" hidden="1" x14ac:dyDescent="0.25">
      <c r="A304" s="31" t="s">
        <v>420</v>
      </c>
      <c r="B304" s="32" t="s">
        <v>6075</v>
      </c>
      <c r="C304" s="26" t="s">
        <v>37</v>
      </c>
      <c r="D304" s="26"/>
      <c r="E304" s="29"/>
      <c r="F304" s="16">
        <f t="shared" si="21"/>
        <v>0</v>
      </c>
      <c r="G304" s="8">
        <f t="shared" si="19"/>
        <v>0</v>
      </c>
    </row>
    <row r="305" spans="1:7" hidden="1" x14ac:dyDescent="0.25">
      <c r="A305" s="31" t="s">
        <v>421</v>
      </c>
      <c r="B305" s="32" t="s">
        <v>6076</v>
      </c>
      <c r="C305" s="26" t="s">
        <v>37</v>
      </c>
      <c r="D305" s="26"/>
      <c r="E305" s="29"/>
      <c r="F305" s="16">
        <f t="shared" si="21"/>
        <v>0</v>
      </c>
      <c r="G305" s="8">
        <f t="shared" si="19"/>
        <v>0</v>
      </c>
    </row>
    <row r="306" spans="1:7" hidden="1" x14ac:dyDescent="0.25">
      <c r="A306" s="31" t="s">
        <v>422</v>
      </c>
      <c r="B306" s="32" t="s">
        <v>6077</v>
      </c>
      <c r="C306" s="26" t="s">
        <v>37</v>
      </c>
      <c r="D306" s="26"/>
      <c r="E306" s="29"/>
      <c r="F306" s="16">
        <f t="shared" si="21"/>
        <v>0</v>
      </c>
      <c r="G306" s="8">
        <f t="shared" si="19"/>
        <v>0</v>
      </c>
    </row>
    <row r="307" spans="1:7" x14ac:dyDescent="0.25">
      <c r="A307" s="27" t="s">
        <v>6078</v>
      </c>
      <c r="B307" s="455" t="s">
        <v>6079</v>
      </c>
      <c r="C307" s="26"/>
      <c r="D307" s="26"/>
      <c r="E307" s="456"/>
      <c r="F307" s="457"/>
      <c r="G307" s="8">
        <v>1</v>
      </c>
    </row>
    <row r="308" spans="1:7" hidden="1" x14ac:dyDescent="0.25">
      <c r="A308" s="31" t="s">
        <v>6080</v>
      </c>
      <c r="B308" s="32" t="s">
        <v>6081</v>
      </c>
      <c r="C308" s="26" t="s">
        <v>37</v>
      </c>
      <c r="D308" s="26"/>
      <c r="E308" s="456">
        <f>+'APU CAP 3'!P1779</f>
        <v>72446</v>
      </c>
      <c r="F308" s="457">
        <f t="shared" ref="F308:F327" si="22">+D308*E308</f>
        <v>0</v>
      </c>
      <c r="G308" s="8">
        <f t="shared" si="19"/>
        <v>0</v>
      </c>
    </row>
    <row r="309" spans="1:7" hidden="1" x14ac:dyDescent="0.25">
      <c r="A309" s="31" t="s">
        <v>6082</v>
      </c>
      <c r="B309" s="32" t="s">
        <v>6083</v>
      </c>
      <c r="C309" s="26" t="s">
        <v>37</v>
      </c>
      <c r="D309" s="26"/>
      <c r="E309" s="456">
        <f>+'APU CAP 3'!P1833</f>
        <v>79036</v>
      </c>
      <c r="F309" s="457">
        <f t="shared" si="22"/>
        <v>0</v>
      </c>
      <c r="G309" s="8">
        <f t="shared" si="19"/>
        <v>0</v>
      </c>
    </row>
    <row r="310" spans="1:7" x14ac:dyDescent="0.25">
      <c r="A310" s="31" t="s">
        <v>6084</v>
      </c>
      <c r="B310" s="32" t="s">
        <v>6085</v>
      </c>
      <c r="C310" s="26" t="s">
        <v>37</v>
      </c>
      <c r="D310" s="26">
        <v>23</v>
      </c>
      <c r="E310" s="456">
        <f>+'APU CAP 3'!P1887</f>
        <v>129880</v>
      </c>
      <c r="F310" s="457">
        <f t="shared" si="22"/>
        <v>2987240</v>
      </c>
      <c r="G310" s="8">
        <f t="shared" si="19"/>
        <v>1</v>
      </c>
    </row>
    <row r="311" spans="1:7" hidden="1" x14ac:dyDescent="0.25">
      <c r="A311" s="31" t="s">
        <v>6086</v>
      </c>
      <c r="B311" s="32" t="s">
        <v>6087</v>
      </c>
      <c r="C311" s="26" t="s">
        <v>37</v>
      </c>
      <c r="D311" s="26"/>
      <c r="E311" s="456"/>
      <c r="F311" s="457">
        <f t="shared" si="22"/>
        <v>0</v>
      </c>
      <c r="G311" s="8">
        <f t="shared" si="19"/>
        <v>0</v>
      </c>
    </row>
    <row r="312" spans="1:7" hidden="1" x14ac:dyDescent="0.25">
      <c r="A312" s="31" t="s">
        <v>6088</v>
      </c>
      <c r="B312" s="32" t="s">
        <v>6089</v>
      </c>
      <c r="C312" s="26" t="s">
        <v>37</v>
      </c>
      <c r="D312" s="26"/>
      <c r="E312" s="456">
        <f>+'APU CAP 3'!X1779</f>
        <v>75036</v>
      </c>
      <c r="F312" s="457">
        <f t="shared" si="22"/>
        <v>0</v>
      </c>
      <c r="G312" s="8">
        <f t="shared" si="19"/>
        <v>0</v>
      </c>
    </row>
    <row r="313" spans="1:7" hidden="1" x14ac:dyDescent="0.25">
      <c r="A313" s="31" t="s">
        <v>6090</v>
      </c>
      <c r="B313" s="32" t="s">
        <v>6091</v>
      </c>
      <c r="C313" s="26" t="s">
        <v>37</v>
      </c>
      <c r="D313" s="26"/>
      <c r="E313" s="456">
        <f>+'APU CAP 3'!X1833</f>
        <v>87510</v>
      </c>
      <c r="F313" s="457">
        <f t="shared" si="22"/>
        <v>0</v>
      </c>
      <c r="G313" s="8">
        <f t="shared" si="19"/>
        <v>0</v>
      </c>
    </row>
    <row r="314" spans="1:7" x14ac:dyDescent="0.25">
      <c r="A314" s="31" t="s">
        <v>6092</v>
      </c>
      <c r="B314" s="32" t="s">
        <v>6093</v>
      </c>
      <c r="C314" s="26" t="s">
        <v>37</v>
      </c>
      <c r="D314" s="26">
        <v>23</v>
      </c>
      <c r="E314" s="456">
        <f>+'APU CAP 3'!X1887</f>
        <v>157302</v>
      </c>
      <c r="F314" s="457">
        <f t="shared" si="22"/>
        <v>3617946</v>
      </c>
      <c r="G314" s="8">
        <f t="shared" si="19"/>
        <v>1</v>
      </c>
    </row>
    <row r="315" spans="1:7" hidden="1" x14ac:dyDescent="0.25">
      <c r="A315" s="31" t="s">
        <v>6094</v>
      </c>
      <c r="B315" s="32" t="s">
        <v>6095</v>
      </c>
      <c r="C315" s="26" t="s">
        <v>37</v>
      </c>
      <c r="D315" s="26"/>
      <c r="E315" s="456"/>
      <c r="F315" s="457">
        <f t="shared" si="22"/>
        <v>0</v>
      </c>
      <c r="G315" s="8">
        <f t="shared" si="19"/>
        <v>0</v>
      </c>
    </row>
    <row r="316" spans="1:7" hidden="1" x14ac:dyDescent="0.25">
      <c r="A316" s="31" t="s">
        <v>6096</v>
      </c>
      <c r="B316" s="32" t="s">
        <v>6097</v>
      </c>
      <c r="C316" s="26" t="s">
        <v>37</v>
      </c>
      <c r="D316" s="26"/>
      <c r="E316" s="456">
        <f>+'APU CAP 3'!AF1779</f>
        <v>87510</v>
      </c>
      <c r="F316" s="457">
        <f t="shared" si="22"/>
        <v>0</v>
      </c>
      <c r="G316" s="8">
        <f t="shared" si="19"/>
        <v>0</v>
      </c>
    </row>
    <row r="317" spans="1:7" hidden="1" x14ac:dyDescent="0.25">
      <c r="A317" s="31" t="s">
        <v>6098</v>
      </c>
      <c r="B317" s="32" t="s">
        <v>6099</v>
      </c>
      <c r="C317" s="26" t="s">
        <v>37</v>
      </c>
      <c r="D317" s="26"/>
      <c r="E317" s="456">
        <f>+'APU CAP 3'!AF1833</f>
        <v>103458</v>
      </c>
      <c r="F317" s="457">
        <f t="shared" si="22"/>
        <v>0</v>
      </c>
      <c r="G317" s="8">
        <f t="shared" si="19"/>
        <v>0</v>
      </c>
    </row>
    <row r="318" spans="1:7" hidden="1" x14ac:dyDescent="0.25">
      <c r="A318" s="31" t="s">
        <v>6100</v>
      </c>
      <c r="B318" s="32" t="s">
        <v>6101</v>
      </c>
      <c r="C318" s="26" t="s">
        <v>37</v>
      </c>
      <c r="D318" s="26"/>
      <c r="E318" s="456">
        <f>+'APU CAP 3'!AF1887</f>
        <v>177250</v>
      </c>
      <c r="F318" s="457">
        <f t="shared" si="22"/>
        <v>0</v>
      </c>
      <c r="G318" s="8">
        <f t="shared" si="19"/>
        <v>0</v>
      </c>
    </row>
    <row r="319" spans="1:7" hidden="1" x14ac:dyDescent="0.25">
      <c r="A319" s="31" t="s">
        <v>6102</v>
      </c>
      <c r="B319" s="32" t="s">
        <v>6103</v>
      </c>
      <c r="C319" s="26" t="s">
        <v>37</v>
      </c>
      <c r="D319" s="26"/>
      <c r="E319" s="456"/>
      <c r="F319" s="457">
        <f t="shared" si="22"/>
        <v>0</v>
      </c>
      <c r="G319" s="8">
        <f t="shared" si="19"/>
        <v>0</v>
      </c>
    </row>
    <row r="320" spans="1:7" hidden="1" x14ac:dyDescent="0.25">
      <c r="A320" s="31" t="s">
        <v>6104</v>
      </c>
      <c r="B320" s="32" t="s">
        <v>6105</v>
      </c>
      <c r="C320" s="26" t="s">
        <v>37</v>
      </c>
      <c r="D320" s="26"/>
      <c r="E320" s="456">
        <f>+'APU CAP 3'!AN1779</f>
        <v>103458</v>
      </c>
      <c r="F320" s="457">
        <f t="shared" si="22"/>
        <v>0</v>
      </c>
      <c r="G320" s="8">
        <f t="shared" si="19"/>
        <v>0</v>
      </c>
    </row>
    <row r="321" spans="1:7" hidden="1" x14ac:dyDescent="0.25">
      <c r="A321" s="31" t="s">
        <v>6106</v>
      </c>
      <c r="B321" s="32" t="s">
        <v>6107</v>
      </c>
      <c r="C321" s="26" t="s">
        <v>37</v>
      </c>
      <c r="D321" s="26"/>
      <c r="E321" s="456">
        <f>+'APU CAP 3'!AN1833</f>
        <v>127380</v>
      </c>
      <c r="F321" s="457">
        <f t="shared" si="22"/>
        <v>0</v>
      </c>
      <c r="G321" s="8">
        <f t="shared" si="19"/>
        <v>0</v>
      </c>
    </row>
    <row r="322" spans="1:7" hidden="1" x14ac:dyDescent="0.25">
      <c r="A322" s="31" t="s">
        <v>6108</v>
      </c>
      <c r="B322" s="32" t="s">
        <v>6109</v>
      </c>
      <c r="C322" s="26" t="s">
        <v>37</v>
      </c>
      <c r="D322" s="26"/>
      <c r="E322" s="456">
        <f>+'APU CAP 3'!AN1887</f>
        <v>205935</v>
      </c>
      <c r="F322" s="457">
        <f t="shared" si="22"/>
        <v>0</v>
      </c>
      <c r="G322" s="8">
        <f t="shared" si="19"/>
        <v>0</v>
      </c>
    </row>
    <row r="323" spans="1:7" hidden="1" x14ac:dyDescent="0.25">
      <c r="A323" s="31" t="s">
        <v>6110</v>
      </c>
      <c r="B323" s="32" t="s">
        <v>6111</v>
      </c>
      <c r="C323" s="26" t="s">
        <v>37</v>
      </c>
      <c r="D323" s="26"/>
      <c r="E323" s="456"/>
      <c r="F323" s="457">
        <f t="shared" si="22"/>
        <v>0</v>
      </c>
      <c r="G323" s="8">
        <f t="shared" si="19"/>
        <v>0</v>
      </c>
    </row>
    <row r="324" spans="1:7" hidden="1" x14ac:dyDescent="0.25">
      <c r="A324" s="31" t="s">
        <v>6112</v>
      </c>
      <c r="B324" s="32" t="s">
        <v>6113</v>
      </c>
      <c r="C324" s="26" t="s">
        <v>37</v>
      </c>
      <c r="D324" s="26"/>
      <c r="E324" s="456">
        <f>+'APU CAP 3'!AV1779</f>
        <v>127380</v>
      </c>
      <c r="F324" s="457">
        <f t="shared" si="22"/>
        <v>0</v>
      </c>
      <c r="G324" s="8">
        <f t="shared" si="19"/>
        <v>0</v>
      </c>
    </row>
    <row r="325" spans="1:7" hidden="1" x14ac:dyDescent="0.25">
      <c r="A325" s="31" t="s">
        <v>6114</v>
      </c>
      <c r="B325" s="32" t="s">
        <v>6115</v>
      </c>
      <c r="C325" s="26" t="s">
        <v>37</v>
      </c>
      <c r="D325" s="26"/>
      <c r="E325" s="456">
        <f>+'APU CAP 3'!AV1833</f>
        <v>152302</v>
      </c>
      <c r="F325" s="457">
        <f t="shared" si="22"/>
        <v>0</v>
      </c>
      <c r="G325" s="8">
        <f t="shared" si="19"/>
        <v>0</v>
      </c>
    </row>
    <row r="326" spans="1:7" hidden="1" x14ac:dyDescent="0.25">
      <c r="A326" s="31" t="s">
        <v>6116</v>
      </c>
      <c r="B326" s="32" t="s">
        <v>6117</v>
      </c>
      <c r="C326" s="26" t="s">
        <v>37</v>
      </c>
      <c r="D326" s="26"/>
      <c r="E326" s="456">
        <f>+'APU CAP 3'!AV1887</f>
        <v>291065</v>
      </c>
      <c r="F326" s="457">
        <f t="shared" si="22"/>
        <v>0</v>
      </c>
      <c r="G326" s="8">
        <f t="shared" si="19"/>
        <v>0</v>
      </c>
    </row>
    <row r="327" spans="1:7" hidden="1" x14ac:dyDescent="0.25">
      <c r="A327" s="31" t="s">
        <v>6118</v>
      </c>
      <c r="B327" s="32" t="s">
        <v>6119</v>
      </c>
      <c r="C327" s="26" t="s">
        <v>37</v>
      </c>
      <c r="D327" s="26"/>
      <c r="E327" s="456"/>
      <c r="F327" s="457">
        <f t="shared" si="22"/>
        <v>0</v>
      </c>
      <c r="G327" s="8">
        <f t="shared" si="19"/>
        <v>0</v>
      </c>
    </row>
    <row r="328" spans="1:7" hidden="1" x14ac:dyDescent="0.25">
      <c r="A328" s="27" t="s">
        <v>423</v>
      </c>
      <c r="B328" s="48" t="s">
        <v>424</v>
      </c>
      <c r="C328" s="26"/>
      <c r="D328" s="26"/>
      <c r="E328" s="29"/>
      <c r="F328" s="30"/>
      <c r="G328" s="8">
        <f t="shared" si="19"/>
        <v>0</v>
      </c>
    </row>
    <row r="329" spans="1:7" hidden="1" x14ac:dyDescent="0.25">
      <c r="A329" s="31" t="s">
        <v>425</v>
      </c>
      <c r="B329" s="47" t="s">
        <v>429</v>
      </c>
      <c r="C329" s="26" t="s">
        <v>37</v>
      </c>
      <c r="D329" s="26"/>
      <c r="E329" s="29"/>
      <c r="F329" s="16">
        <f>+D329*E329</f>
        <v>0</v>
      </c>
      <c r="G329" s="8">
        <f t="shared" si="19"/>
        <v>0</v>
      </c>
    </row>
    <row r="330" spans="1:7" hidden="1" x14ac:dyDescent="0.25">
      <c r="A330" s="31" t="s">
        <v>430</v>
      </c>
      <c r="B330" s="47" t="s">
        <v>426</v>
      </c>
      <c r="C330" s="26" t="s">
        <v>37</v>
      </c>
      <c r="D330" s="26"/>
      <c r="E330" s="29">
        <f>+'APU CAP 3'!H2049</f>
        <v>207729</v>
      </c>
      <c r="F330" s="16">
        <f>+D330*E330</f>
        <v>0</v>
      </c>
      <c r="G330" s="8">
        <f t="shared" si="19"/>
        <v>0</v>
      </c>
    </row>
    <row r="331" spans="1:7" hidden="1" x14ac:dyDescent="0.25">
      <c r="A331" s="31" t="s">
        <v>431</v>
      </c>
      <c r="B331" s="47" t="s">
        <v>427</v>
      </c>
      <c r="C331" s="26" t="s">
        <v>37</v>
      </c>
      <c r="D331" s="26"/>
      <c r="E331" s="29"/>
      <c r="F331" s="16">
        <f>+D331*E331</f>
        <v>0</v>
      </c>
      <c r="G331" s="8">
        <f t="shared" ref="G331:G394" si="23">+IF(F331&lt;&gt;0,1,0)</f>
        <v>0</v>
      </c>
    </row>
    <row r="332" spans="1:7" hidden="1" x14ac:dyDescent="0.25">
      <c r="A332" s="31" t="s">
        <v>432</v>
      </c>
      <c r="B332" s="47" t="s">
        <v>428</v>
      </c>
      <c r="C332" s="26" t="s">
        <v>37</v>
      </c>
      <c r="D332" s="26"/>
      <c r="E332" s="29">
        <f>+'APU CAP 3'!H1995</f>
        <v>275719</v>
      </c>
      <c r="F332" s="16">
        <f>+D332*E332</f>
        <v>0</v>
      </c>
      <c r="G332" s="8">
        <f t="shared" si="23"/>
        <v>0</v>
      </c>
    </row>
    <row r="333" spans="1:7" hidden="1" x14ac:dyDescent="0.25">
      <c r="A333" s="27" t="s">
        <v>41</v>
      </c>
      <c r="B333" s="48" t="s">
        <v>444</v>
      </c>
      <c r="C333" s="26"/>
      <c r="D333" s="26"/>
      <c r="E333" s="29"/>
      <c r="F333" s="30"/>
      <c r="G333" s="8">
        <f t="shared" si="23"/>
        <v>0</v>
      </c>
    </row>
    <row r="334" spans="1:7" hidden="1" x14ac:dyDescent="0.25">
      <c r="A334" s="12" t="s">
        <v>445</v>
      </c>
      <c r="B334" s="13" t="s">
        <v>452</v>
      </c>
      <c r="C334" s="14"/>
      <c r="D334" s="14"/>
      <c r="E334" s="15"/>
      <c r="F334" s="16"/>
      <c r="G334" s="8">
        <f t="shared" si="23"/>
        <v>0</v>
      </c>
    </row>
    <row r="335" spans="1:7" hidden="1" x14ac:dyDescent="0.25">
      <c r="A335" s="17" t="s">
        <v>446</v>
      </c>
      <c r="B335" s="18" t="s">
        <v>433</v>
      </c>
      <c r="C335" s="26" t="s">
        <v>37</v>
      </c>
      <c r="D335" s="14"/>
      <c r="E335" s="15">
        <f>+'APU CAP 3'!H2103</f>
        <v>43956</v>
      </c>
      <c r="F335" s="16">
        <f t="shared" ref="F335:F340" si="24">+D335*E335</f>
        <v>0</v>
      </c>
      <c r="G335" s="8">
        <f t="shared" si="23"/>
        <v>0</v>
      </c>
    </row>
    <row r="336" spans="1:7" hidden="1" x14ac:dyDescent="0.25">
      <c r="A336" s="17" t="s">
        <v>447</v>
      </c>
      <c r="B336" s="18" t="s">
        <v>439</v>
      </c>
      <c r="C336" s="26" t="s">
        <v>37</v>
      </c>
      <c r="D336" s="14"/>
      <c r="E336" s="15">
        <f>+'APU CAP 3'!H2157</f>
        <v>71359</v>
      </c>
      <c r="F336" s="16">
        <f t="shared" si="24"/>
        <v>0</v>
      </c>
      <c r="G336" s="8">
        <f t="shared" si="23"/>
        <v>0</v>
      </c>
    </row>
    <row r="337" spans="1:7" hidden="1" x14ac:dyDescent="0.25">
      <c r="A337" s="17" t="s">
        <v>448</v>
      </c>
      <c r="B337" s="18" t="s">
        <v>440</v>
      </c>
      <c r="C337" s="26" t="s">
        <v>37</v>
      </c>
      <c r="D337" s="14"/>
      <c r="E337" s="15">
        <f>+'APU CAP 3'!H2211</f>
        <v>145566</v>
      </c>
      <c r="F337" s="16">
        <f t="shared" si="24"/>
        <v>0</v>
      </c>
      <c r="G337" s="8">
        <f t="shared" si="23"/>
        <v>0</v>
      </c>
    </row>
    <row r="338" spans="1:7" hidden="1" x14ac:dyDescent="0.25">
      <c r="A338" s="17" t="s">
        <v>449</v>
      </c>
      <c r="B338" s="18" t="s">
        <v>441</v>
      </c>
      <c r="C338" s="26" t="s">
        <v>37</v>
      </c>
      <c r="D338" s="14"/>
      <c r="E338" s="15"/>
      <c r="F338" s="16">
        <f t="shared" si="24"/>
        <v>0</v>
      </c>
      <c r="G338" s="8">
        <f t="shared" si="23"/>
        <v>0</v>
      </c>
    </row>
    <row r="339" spans="1:7" hidden="1" x14ac:dyDescent="0.25">
      <c r="A339" s="17" t="s">
        <v>450</v>
      </c>
      <c r="B339" s="18" t="s">
        <v>442</v>
      </c>
      <c r="C339" s="26" t="s">
        <v>37</v>
      </c>
      <c r="D339" s="14"/>
      <c r="E339" s="15"/>
      <c r="F339" s="16">
        <f t="shared" si="24"/>
        <v>0</v>
      </c>
      <c r="G339" s="8">
        <f t="shared" si="23"/>
        <v>0</v>
      </c>
    </row>
    <row r="340" spans="1:7" hidden="1" x14ac:dyDescent="0.25">
      <c r="A340" s="17" t="s">
        <v>451</v>
      </c>
      <c r="B340" s="18" t="s">
        <v>443</v>
      </c>
      <c r="C340" s="26" t="s">
        <v>37</v>
      </c>
      <c r="D340" s="14"/>
      <c r="E340" s="15"/>
      <c r="F340" s="16">
        <f t="shared" si="24"/>
        <v>0</v>
      </c>
      <c r="G340" s="8">
        <f t="shared" si="23"/>
        <v>0</v>
      </c>
    </row>
    <row r="341" spans="1:7" hidden="1" x14ac:dyDescent="0.25">
      <c r="A341" s="12" t="s">
        <v>434</v>
      </c>
      <c r="B341" s="13" t="s">
        <v>453</v>
      </c>
      <c r="C341" s="14"/>
      <c r="D341" s="14"/>
      <c r="E341" s="15"/>
      <c r="F341" s="16"/>
      <c r="G341" s="8">
        <f t="shared" si="23"/>
        <v>0</v>
      </c>
    </row>
    <row r="342" spans="1:7" hidden="1" x14ac:dyDescent="0.25">
      <c r="A342" s="17" t="s">
        <v>454</v>
      </c>
      <c r="B342" s="18" t="s">
        <v>455</v>
      </c>
      <c r="C342" s="26" t="s">
        <v>37</v>
      </c>
      <c r="D342" s="14"/>
      <c r="E342" s="15">
        <f>+'APU CAP 3'!H2373</f>
        <v>15985</v>
      </c>
      <c r="F342" s="16">
        <f>+D342*E342</f>
        <v>0</v>
      </c>
      <c r="G342" s="8">
        <f t="shared" si="23"/>
        <v>0</v>
      </c>
    </row>
    <row r="343" spans="1:7" hidden="1" x14ac:dyDescent="0.25">
      <c r="A343" s="17" t="s">
        <v>457</v>
      </c>
      <c r="B343" s="18" t="s">
        <v>456</v>
      </c>
      <c r="C343" s="26" t="s">
        <v>37</v>
      </c>
      <c r="D343" s="14"/>
      <c r="E343" s="15">
        <f>+'APU CAP 3'!H2427</f>
        <v>16063</v>
      </c>
      <c r="F343" s="16">
        <f>+D343*E343</f>
        <v>0</v>
      </c>
      <c r="G343" s="8">
        <f t="shared" si="23"/>
        <v>0</v>
      </c>
    </row>
    <row r="344" spans="1:7" hidden="1" x14ac:dyDescent="0.25">
      <c r="A344" s="12" t="s">
        <v>435</v>
      </c>
      <c r="B344" s="13" t="s">
        <v>458</v>
      </c>
      <c r="C344" s="14"/>
      <c r="D344" s="14"/>
      <c r="E344" s="15"/>
      <c r="F344" s="16"/>
      <c r="G344" s="8">
        <f t="shared" si="23"/>
        <v>0</v>
      </c>
    </row>
    <row r="345" spans="1:7" hidden="1" x14ac:dyDescent="0.25">
      <c r="A345" s="17" t="s">
        <v>462</v>
      </c>
      <c r="B345" s="18" t="s">
        <v>459</v>
      </c>
      <c r="C345" s="26" t="s">
        <v>37</v>
      </c>
      <c r="D345" s="14"/>
      <c r="E345" s="15"/>
      <c r="F345" s="16">
        <f>+D345*E345</f>
        <v>0</v>
      </c>
      <c r="G345" s="8">
        <f t="shared" si="23"/>
        <v>0</v>
      </c>
    </row>
    <row r="346" spans="1:7" hidden="1" x14ac:dyDescent="0.25">
      <c r="A346" s="17" t="s">
        <v>463</v>
      </c>
      <c r="B346" s="18" t="s">
        <v>460</v>
      </c>
      <c r="C346" s="26" t="s">
        <v>37</v>
      </c>
      <c r="D346" s="14"/>
      <c r="E346" s="15"/>
      <c r="F346" s="16">
        <f>+D346*E346</f>
        <v>0</v>
      </c>
      <c r="G346" s="8">
        <f t="shared" si="23"/>
        <v>0</v>
      </c>
    </row>
    <row r="347" spans="1:7" hidden="1" x14ac:dyDescent="0.25">
      <c r="A347" s="17" t="s">
        <v>464</v>
      </c>
      <c r="B347" s="18" t="s">
        <v>461</v>
      </c>
      <c r="C347" s="26" t="s">
        <v>37</v>
      </c>
      <c r="D347" s="14"/>
      <c r="E347" s="15"/>
      <c r="F347" s="16">
        <f>+D347*E347</f>
        <v>0</v>
      </c>
      <c r="G347" s="8">
        <f t="shared" si="23"/>
        <v>0</v>
      </c>
    </row>
    <row r="348" spans="1:7" hidden="1" x14ac:dyDescent="0.25">
      <c r="A348" s="12" t="s">
        <v>436</v>
      </c>
      <c r="B348" s="13" t="s">
        <v>42</v>
      </c>
      <c r="C348" s="14"/>
      <c r="D348" s="14"/>
      <c r="E348" s="15"/>
      <c r="F348" s="16"/>
      <c r="G348" s="8">
        <f t="shared" si="23"/>
        <v>0</v>
      </c>
    </row>
    <row r="349" spans="1:7" hidden="1" x14ac:dyDescent="0.25">
      <c r="A349" s="17" t="s">
        <v>465</v>
      </c>
      <c r="B349" s="18" t="s">
        <v>466</v>
      </c>
      <c r="C349" s="26" t="s">
        <v>37</v>
      </c>
      <c r="D349" s="14"/>
      <c r="E349" s="15">
        <f>+'APU CAP 3'!H2643</f>
        <v>91711</v>
      </c>
      <c r="F349" s="16">
        <f>+D349*E349</f>
        <v>0</v>
      </c>
      <c r="G349" s="8">
        <f t="shared" si="23"/>
        <v>0</v>
      </c>
    </row>
    <row r="350" spans="1:7" hidden="1" x14ac:dyDescent="0.25">
      <c r="A350" s="17" t="s">
        <v>469</v>
      </c>
      <c r="B350" s="18" t="s">
        <v>467</v>
      </c>
      <c r="C350" s="26" t="s">
        <v>37</v>
      </c>
      <c r="D350" s="14"/>
      <c r="E350" s="15">
        <f>+'APU CAP 3'!H2697</f>
        <v>144818</v>
      </c>
      <c r="F350" s="16">
        <f>+D350*E350</f>
        <v>0</v>
      </c>
      <c r="G350" s="8">
        <f t="shared" si="23"/>
        <v>0</v>
      </c>
    </row>
    <row r="351" spans="1:7" hidden="1" x14ac:dyDescent="0.25">
      <c r="A351" s="17" t="s">
        <v>470</v>
      </c>
      <c r="B351" s="18" t="s">
        <v>468</v>
      </c>
      <c r="C351" s="26" t="s">
        <v>37</v>
      </c>
      <c r="D351" s="14"/>
      <c r="E351" s="15">
        <f>+'APU CAP 3'!H2751</f>
        <v>202673</v>
      </c>
      <c r="F351" s="16">
        <f>+D351*E351</f>
        <v>0</v>
      </c>
      <c r="G351" s="8">
        <f t="shared" si="23"/>
        <v>0</v>
      </c>
    </row>
    <row r="352" spans="1:7" hidden="1" x14ac:dyDescent="0.25">
      <c r="A352" s="12" t="s">
        <v>437</v>
      </c>
      <c r="B352" s="13" t="s">
        <v>471</v>
      </c>
      <c r="C352" s="14"/>
      <c r="D352" s="14"/>
      <c r="E352" s="15"/>
      <c r="F352" s="16"/>
      <c r="G352" s="8">
        <f t="shared" si="23"/>
        <v>0</v>
      </c>
    </row>
    <row r="353" spans="1:7" hidden="1" x14ac:dyDescent="0.25">
      <c r="A353" s="17" t="s">
        <v>472</v>
      </c>
      <c r="B353" s="18" t="s">
        <v>475</v>
      </c>
      <c r="C353" s="26" t="s">
        <v>37</v>
      </c>
      <c r="D353" s="14"/>
      <c r="E353" s="15">
        <f>+'APU CAP 3'!H2805</f>
        <v>343915</v>
      </c>
      <c r="F353" s="16">
        <f>+D353*E353</f>
        <v>0</v>
      </c>
      <c r="G353" s="8">
        <f t="shared" si="23"/>
        <v>0</v>
      </c>
    </row>
    <row r="354" spans="1:7" hidden="1" x14ac:dyDescent="0.25">
      <c r="A354" s="17" t="s">
        <v>473</v>
      </c>
      <c r="B354" s="18" t="s">
        <v>476</v>
      </c>
      <c r="C354" s="26" t="s">
        <v>37</v>
      </c>
      <c r="D354" s="14"/>
      <c r="E354" s="15">
        <f>+'APU CAP 3'!H2859</f>
        <v>403528</v>
      </c>
      <c r="F354" s="16">
        <f>+D354*E354</f>
        <v>0</v>
      </c>
      <c r="G354" s="8">
        <f t="shared" si="23"/>
        <v>0</v>
      </c>
    </row>
    <row r="355" spans="1:7" hidden="1" x14ac:dyDescent="0.25">
      <c r="A355" s="17" t="s">
        <v>474</v>
      </c>
      <c r="B355" s="18" t="s">
        <v>477</v>
      </c>
      <c r="C355" s="26" t="s">
        <v>37</v>
      </c>
      <c r="D355" s="14"/>
      <c r="E355" s="15">
        <f>+'APU CAP 3'!H2913</f>
        <v>604509</v>
      </c>
      <c r="F355" s="16">
        <f>+D355*E355</f>
        <v>0</v>
      </c>
      <c r="G355" s="8">
        <f t="shared" si="23"/>
        <v>0</v>
      </c>
    </row>
    <row r="356" spans="1:7" hidden="1" x14ac:dyDescent="0.25">
      <c r="A356" s="12" t="s">
        <v>438</v>
      </c>
      <c r="B356" s="13" t="s">
        <v>478</v>
      </c>
      <c r="C356" s="14"/>
      <c r="D356" s="14"/>
      <c r="E356" s="15"/>
      <c r="F356" s="16"/>
      <c r="G356" s="8">
        <f t="shared" si="23"/>
        <v>0</v>
      </c>
    </row>
    <row r="357" spans="1:7" hidden="1" x14ac:dyDescent="0.25">
      <c r="A357" s="17" t="s">
        <v>480</v>
      </c>
      <c r="B357" s="18" t="s">
        <v>479</v>
      </c>
      <c r="C357" s="26" t="s">
        <v>37</v>
      </c>
      <c r="D357" s="14"/>
      <c r="E357" s="15">
        <f>+'APU CAP 3'!H2967</f>
        <v>75906</v>
      </c>
      <c r="F357" s="16">
        <f>+D357*E357</f>
        <v>0</v>
      </c>
      <c r="G357" s="8">
        <f t="shared" si="23"/>
        <v>0</v>
      </c>
    </row>
    <row r="358" spans="1:7" hidden="1" x14ac:dyDescent="0.25">
      <c r="A358" s="17" t="s">
        <v>483</v>
      </c>
      <c r="B358" s="18" t="s">
        <v>481</v>
      </c>
      <c r="C358" s="26" t="s">
        <v>37</v>
      </c>
      <c r="D358" s="14"/>
      <c r="E358" s="15">
        <f>+'APU CAP 3'!H3021</f>
        <v>84714</v>
      </c>
      <c r="F358" s="16">
        <f>+D358*E358</f>
        <v>0</v>
      </c>
      <c r="G358" s="8">
        <f t="shared" si="23"/>
        <v>0</v>
      </c>
    </row>
    <row r="359" spans="1:7" hidden="1" x14ac:dyDescent="0.25">
      <c r="A359" s="17" t="s">
        <v>484</v>
      </c>
      <c r="B359" s="18" t="s">
        <v>482</v>
      </c>
      <c r="C359" s="26" t="s">
        <v>37</v>
      </c>
      <c r="D359" s="14"/>
      <c r="E359" s="15">
        <f>+'APU CAP 3'!H3075</f>
        <v>105559</v>
      </c>
      <c r="F359" s="16">
        <f>+D359*E359</f>
        <v>0</v>
      </c>
      <c r="G359" s="8">
        <f t="shared" si="23"/>
        <v>0</v>
      </c>
    </row>
    <row r="360" spans="1:7" hidden="1" x14ac:dyDescent="0.25">
      <c r="A360" s="17" t="s">
        <v>6120</v>
      </c>
      <c r="B360" s="18" t="s">
        <v>6121</v>
      </c>
      <c r="C360" s="26" t="s">
        <v>37</v>
      </c>
      <c r="D360" s="14"/>
      <c r="E360" s="441"/>
      <c r="F360" s="457">
        <f>+D360*E360</f>
        <v>0</v>
      </c>
      <c r="G360" s="8">
        <f t="shared" si="23"/>
        <v>0</v>
      </c>
    </row>
    <row r="361" spans="1:7" hidden="1" x14ac:dyDescent="0.25">
      <c r="A361" s="12" t="s">
        <v>500</v>
      </c>
      <c r="B361" s="13" t="s">
        <v>520</v>
      </c>
      <c r="C361" s="14"/>
      <c r="D361" s="14"/>
      <c r="E361" s="15"/>
      <c r="F361" s="16"/>
      <c r="G361" s="8">
        <f t="shared" si="23"/>
        <v>0</v>
      </c>
    </row>
    <row r="362" spans="1:7" hidden="1" x14ac:dyDescent="0.25">
      <c r="A362" s="17" t="s">
        <v>502</v>
      </c>
      <c r="B362" s="18" t="s">
        <v>494</v>
      </c>
      <c r="C362" s="26" t="s">
        <v>37</v>
      </c>
      <c r="D362" s="14"/>
      <c r="E362" s="15"/>
      <c r="F362" s="16">
        <f t="shared" ref="F362:F367" si="25">+D362*E362</f>
        <v>0</v>
      </c>
      <c r="G362" s="8">
        <f t="shared" si="23"/>
        <v>0</v>
      </c>
    </row>
    <row r="363" spans="1:7" hidden="1" x14ac:dyDescent="0.25">
      <c r="A363" s="17" t="s">
        <v>503</v>
      </c>
      <c r="B363" s="18" t="s">
        <v>493</v>
      </c>
      <c r="C363" s="26" t="s">
        <v>37</v>
      </c>
      <c r="D363" s="14"/>
      <c r="E363" s="15"/>
      <c r="F363" s="16">
        <f t="shared" si="25"/>
        <v>0</v>
      </c>
      <c r="G363" s="8">
        <f t="shared" si="23"/>
        <v>0</v>
      </c>
    </row>
    <row r="364" spans="1:7" hidden="1" x14ac:dyDescent="0.25">
      <c r="A364" s="17" t="s">
        <v>504</v>
      </c>
      <c r="B364" s="18" t="s">
        <v>495</v>
      </c>
      <c r="C364" s="26" t="s">
        <v>37</v>
      </c>
      <c r="D364" s="14"/>
      <c r="E364" s="15"/>
      <c r="F364" s="16">
        <f t="shared" si="25"/>
        <v>0</v>
      </c>
      <c r="G364" s="8">
        <f t="shared" si="23"/>
        <v>0</v>
      </c>
    </row>
    <row r="365" spans="1:7" hidden="1" x14ac:dyDescent="0.25">
      <c r="A365" s="17" t="s">
        <v>505</v>
      </c>
      <c r="B365" s="18" t="s">
        <v>496</v>
      </c>
      <c r="C365" s="26" t="s">
        <v>37</v>
      </c>
      <c r="D365" s="14"/>
      <c r="E365" s="15"/>
      <c r="F365" s="16">
        <f t="shared" si="25"/>
        <v>0</v>
      </c>
      <c r="G365" s="8">
        <f t="shared" si="23"/>
        <v>0</v>
      </c>
    </row>
    <row r="366" spans="1:7" hidden="1" x14ac:dyDescent="0.25">
      <c r="A366" s="17" t="s">
        <v>506</v>
      </c>
      <c r="B366" s="18" t="s">
        <v>497</v>
      </c>
      <c r="C366" s="26" t="s">
        <v>37</v>
      </c>
      <c r="D366" s="14"/>
      <c r="E366" s="15"/>
      <c r="F366" s="16">
        <f t="shared" si="25"/>
        <v>0</v>
      </c>
      <c r="G366" s="8">
        <f t="shared" si="23"/>
        <v>0</v>
      </c>
    </row>
    <row r="367" spans="1:7" hidden="1" x14ac:dyDescent="0.25">
      <c r="A367" s="17" t="s">
        <v>507</v>
      </c>
      <c r="B367" s="18" t="s">
        <v>498</v>
      </c>
      <c r="C367" s="26" t="s">
        <v>37</v>
      </c>
      <c r="D367" s="14"/>
      <c r="E367" s="15"/>
      <c r="F367" s="16">
        <f t="shared" si="25"/>
        <v>0</v>
      </c>
      <c r="G367" s="8">
        <f t="shared" si="23"/>
        <v>0</v>
      </c>
    </row>
    <row r="368" spans="1:7" hidden="1" x14ac:dyDescent="0.25">
      <c r="A368" s="12" t="s">
        <v>499</v>
      </c>
      <c r="B368" s="13" t="s">
        <v>513</v>
      </c>
      <c r="C368" s="26"/>
      <c r="D368" s="14"/>
      <c r="E368" s="15"/>
      <c r="F368" s="16"/>
      <c r="G368" s="8">
        <f t="shared" si="23"/>
        <v>0</v>
      </c>
    </row>
    <row r="369" spans="1:7" hidden="1" x14ac:dyDescent="0.25">
      <c r="A369" s="17" t="s">
        <v>501</v>
      </c>
      <c r="B369" s="18" t="s">
        <v>514</v>
      </c>
      <c r="C369" s="26" t="s">
        <v>37</v>
      </c>
      <c r="D369" s="14"/>
      <c r="E369" s="15"/>
      <c r="F369" s="16">
        <f t="shared" ref="F369:F374" si="26">+D369*E369</f>
        <v>0</v>
      </c>
      <c r="G369" s="8">
        <f t="shared" si="23"/>
        <v>0</v>
      </c>
    </row>
    <row r="370" spans="1:7" hidden="1" x14ac:dyDescent="0.25">
      <c r="A370" s="17" t="s">
        <v>508</v>
      </c>
      <c r="B370" s="18" t="s">
        <v>516</v>
      </c>
      <c r="C370" s="26" t="s">
        <v>37</v>
      </c>
      <c r="D370" s="14"/>
      <c r="E370" s="15"/>
      <c r="F370" s="16">
        <f t="shared" si="26"/>
        <v>0</v>
      </c>
      <c r="G370" s="8">
        <f t="shared" si="23"/>
        <v>0</v>
      </c>
    </row>
    <row r="371" spans="1:7" hidden="1" x14ac:dyDescent="0.25">
      <c r="A371" s="17" t="s">
        <v>509</v>
      </c>
      <c r="B371" s="18" t="s">
        <v>517</v>
      </c>
      <c r="C371" s="26" t="s">
        <v>37</v>
      </c>
      <c r="D371" s="14"/>
      <c r="E371" s="15"/>
      <c r="F371" s="16">
        <f t="shared" si="26"/>
        <v>0</v>
      </c>
      <c r="G371" s="8">
        <f t="shared" si="23"/>
        <v>0</v>
      </c>
    </row>
    <row r="372" spans="1:7" hidden="1" x14ac:dyDescent="0.25">
      <c r="A372" s="17" t="s">
        <v>510</v>
      </c>
      <c r="B372" s="18" t="s">
        <v>518</v>
      </c>
      <c r="C372" s="26" t="s">
        <v>37</v>
      </c>
      <c r="D372" s="14"/>
      <c r="E372" s="15"/>
      <c r="F372" s="16">
        <f t="shared" si="26"/>
        <v>0</v>
      </c>
      <c r="G372" s="8">
        <f t="shared" si="23"/>
        <v>0</v>
      </c>
    </row>
    <row r="373" spans="1:7" hidden="1" x14ac:dyDescent="0.25">
      <c r="A373" s="17" t="s">
        <v>511</v>
      </c>
      <c r="B373" s="18" t="s">
        <v>519</v>
      </c>
      <c r="C373" s="26" t="s">
        <v>37</v>
      </c>
      <c r="D373" s="14"/>
      <c r="E373" s="15"/>
      <c r="F373" s="16">
        <f t="shared" si="26"/>
        <v>0</v>
      </c>
      <c r="G373" s="8">
        <f t="shared" si="23"/>
        <v>0</v>
      </c>
    </row>
    <row r="374" spans="1:7" hidden="1" x14ac:dyDescent="0.25">
      <c r="A374" s="17" t="s">
        <v>512</v>
      </c>
      <c r="B374" s="18" t="s">
        <v>515</v>
      </c>
      <c r="C374" s="26" t="s">
        <v>37</v>
      </c>
      <c r="D374" s="14"/>
      <c r="E374" s="15"/>
      <c r="F374" s="16">
        <f t="shared" si="26"/>
        <v>0</v>
      </c>
      <c r="G374" s="8">
        <f t="shared" si="23"/>
        <v>0</v>
      </c>
    </row>
    <row r="375" spans="1:7" hidden="1" x14ac:dyDescent="0.25">
      <c r="A375" s="12" t="s">
        <v>485</v>
      </c>
      <c r="B375" s="13" t="s">
        <v>486</v>
      </c>
      <c r="C375" s="14"/>
      <c r="D375" s="14"/>
      <c r="E375" s="15"/>
      <c r="F375" s="16"/>
      <c r="G375" s="8">
        <f t="shared" si="23"/>
        <v>0</v>
      </c>
    </row>
    <row r="376" spans="1:7" hidden="1" x14ac:dyDescent="0.25">
      <c r="A376" s="17" t="s">
        <v>488</v>
      </c>
      <c r="B376" s="18" t="s">
        <v>487</v>
      </c>
      <c r="C376" s="26" t="s">
        <v>37</v>
      </c>
      <c r="D376" s="14"/>
      <c r="E376" s="15">
        <f>+'APU CAP 3'!H2265</f>
        <v>9961</v>
      </c>
      <c r="F376" s="16">
        <f>+D376*E376</f>
        <v>0</v>
      </c>
      <c r="G376" s="8">
        <f t="shared" si="23"/>
        <v>0</v>
      </c>
    </row>
    <row r="377" spans="1:7" hidden="1" x14ac:dyDescent="0.25">
      <c r="A377" s="17" t="s">
        <v>489</v>
      </c>
      <c r="B377" s="18" t="s">
        <v>491</v>
      </c>
      <c r="C377" s="26" t="s">
        <v>37</v>
      </c>
      <c r="D377" s="14"/>
      <c r="E377" s="15">
        <f>+'APU CAP 3'!H2319</f>
        <v>12475</v>
      </c>
      <c r="F377" s="16">
        <f>+D377*E377</f>
        <v>0</v>
      </c>
      <c r="G377" s="8">
        <f t="shared" si="23"/>
        <v>0</v>
      </c>
    </row>
    <row r="378" spans="1:7" hidden="1" x14ac:dyDescent="0.25">
      <c r="A378" s="17" t="s">
        <v>490</v>
      </c>
      <c r="B378" s="18" t="s">
        <v>492</v>
      </c>
      <c r="C378" s="26" t="s">
        <v>37</v>
      </c>
      <c r="D378" s="14"/>
      <c r="E378" s="15"/>
      <c r="F378" s="16">
        <f>+D378*E378</f>
        <v>0</v>
      </c>
      <c r="G378" s="8">
        <f t="shared" si="23"/>
        <v>0</v>
      </c>
    </row>
    <row r="379" spans="1:7" hidden="1" x14ac:dyDescent="0.25">
      <c r="A379" s="12" t="s">
        <v>521</v>
      </c>
      <c r="B379" s="13" t="s">
        <v>522</v>
      </c>
      <c r="C379" s="26" t="s">
        <v>37</v>
      </c>
      <c r="D379" s="14"/>
      <c r="E379" s="15"/>
      <c r="F379" s="16">
        <f>+D379*E379</f>
        <v>0</v>
      </c>
      <c r="G379" s="8">
        <f t="shared" si="23"/>
        <v>0</v>
      </c>
    </row>
    <row r="380" spans="1:7" ht="51" hidden="1" x14ac:dyDescent="0.25">
      <c r="A380" s="12" t="s">
        <v>5014</v>
      </c>
      <c r="B380" s="46" t="s">
        <v>541</v>
      </c>
      <c r="C380" s="14"/>
      <c r="D380" s="14"/>
      <c r="E380" s="15"/>
      <c r="F380" s="16"/>
      <c r="G380" s="8">
        <f t="shared" si="23"/>
        <v>0</v>
      </c>
    </row>
    <row r="381" spans="1:7" hidden="1" x14ac:dyDescent="0.25">
      <c r="A381" s="17" t="s">
        <v>546</v>
      </c>
      <c r="B381" s="18" t="s">
        <v>6216</v>
      </c>
      <c r="C381" s="26" t="s">
        <v>37</v>
      </c>
      <c r="D381" s="14"/>
      <c r="E381" s="15">
        <f>+'APU CAP 3'!H2481</f>
        <v>937045</v>
      </c>
      <c r="F381" s="16">
        <f>+D381*E381</f>
        <v>0</v>
      </c>
      <c r="G381" s="8">
        <f t="shared" si="23"/>
        <v>0</v>
      </c>
    </row>
    <row r="382" spans="1:7" hidden="1" x14ac:dyDescent="0.25">
      <c r="A382" s="17" t="s">
        <v>547</v>
      </c>
      <c r="B382" s="18" t="s">
        <v>6217</v>
      </c>
      <c r="C382" s="26" t="s">
        <v>37</v>
      </c>
      <c r="D382" s="14"/>
      <c r="E382" s="15">
        <f>+'APU CAP 3'!H2535</f>
        <v>831572</v>
      </c>
      <c r="F382" s="16">
        <f>+D382*E382</f>
        <v>0</v>
      </c>
      <c r="G382" s="8">
        <f t="shared" si="23"/>
        <v>0</v>
      </c>
    </row>
    <row r="383" spans="1:7" hidden="1" x14ac:dyDescent="0.25">
      <c r="A383" s="17" t="s">
        <v>548</v>
      </c>
      <c r="B383" s="18" t="s">
        <v>6218</v>
      </c>
      <c r="C383" s="26" t="s">
        <v>37</v>
      </c>
      <c r="D383" s="14"/>
      <c r="E383" s="15">
        <f>+'APU CAP 3'!H2589</f>
        <v>1620647</v>
      </c>
      <c r="F383" s="16">
        <f>+D383*E383</f>
        <v>0</v>
      </c>
      <c r="G383" s="8">
        <f t="shared" si="23"/>
        <v>0</v>
      </c>
    </row>
    <row r="384" spans="1:7" hidden="1" x14ac:dyDescent="0.25">
      <c r="A384" s="17" t="s">
        <v>549</v>
      </c>
      <c r="B384" s="18" t="s">
        <v>523</v>
      </c>
      <c r="C384" s="26" t="s">
        <v>37</v>
      </c>
      <c r="D384" s="14"/>
      <c r="E384" s="15"/>
      <c r="F384" s="16">
        <f>+D384*E384</f>
        <v>0</v>
      </c>
      <c r="G384" s="8">
        <f t="shared" si="23"/>
        <v>0</v>
      </c>
    </row>
    <row r="385" spans="1:7" hidden="1" x14ac:dyDescent="0.25">
      <c r="A385" s="17" t="s">
        <v>550</v>
      </c>
      <c r="B385" s="18" t="s">
        <v>524</v>
      </c>
      <c r="C385" s="26" t="s">
        <v>37</v>
      </c>
      <c r="D385" s="14"/>
      <c r="E385" s="15"/>
      <c r="F385" s="16">
        <f>+D385*E385</f>
        <v>0</v>
      </c>
      <c r="G385" s="8">
        <f t="shared" si="23"/>
        <v>0</v>
      </c>
    </row>
    <row r="386" spans="1:7" hidden="1" x14ac:dyDescent="0.25">
      <c r="A386" s="12" t="s">
        <v>5015</v>
      </c>
      <c r="B386" s="13" t="s">
        <v>552</v>
      </c>
      <c r="C386" s="26"/>
      <c r="D386" s="14"/>
      <c r="E386" s="15"/>
      <c r="F386" s="16"/>
      <c r="G386" s="8">
        <f t="shared" si="23"/>
        <v>0</v>
      </c>
    </row>
    <row r="387" spans="1:7" hidden="1" x14ac:dyDescent="0.25">
      <c r="A387" s="17" t="s">
        <v>553</v>
      </c>
      <c r="B387" s="18" t="s">
        <v>5861</v>
      </c>
      <c r="C387" s="26" t="s">
        <v>37</v>
      </c>
      <c r="D387" s="14"/>
      <c r="E387" s="15"/>
      <c r="F387" s="16">
        <f t="shared" ref="F387:F392" si="27">+D387*E387</f>
        <v>0</v>
      </c>
      <c r="G387" s="8">
        <f t="shared" si="23"/>
        <v>0</v>
      </c>
    </row>
    <row r="388" spans="1:7" hidden="1" x14ac:dyDescent="0.25">
      <c r="A388" s="17" t="s">
        <v>554</v>
      </c>
      <c r="B388" s="18" t="s">
        <v>5862</v>
      </c>
      <c r="C388" s="26" t="s">
        <v>37</v>
      </c>
      <c r="D388" s="14"/>
      <c r="E388" s="15"/>
      <c r="F388" s="16">
        <f t="shared" si="27"/>
        <v>0</v>
      </c>
      <c r="G388" s="8">
        <f t="shared" si="23"/>
        <v>0</v>
      </c>
    </row>
    <row r="389" spans="1:7" hidden="1" x14ac:dyDescent="0.25">
      <c r="A389" s="17" t="s">
        <v>555</v>
      </c>
      <c r="B389" s="18" t="s">
        <v>5863</v>
      </c>
      <c r="C389" s="26" t="s">
        <v>37</v>
      </c>
      <c r="D389" s="14"/>
      <c r="E389" s="15"/>
      <c r="F389" s="16">
        <f t="shared" si="27"/>
        <v>0</v>
      </c>
      <c r="G389" s="8">
        <f t="shared" si="23"/>
        <v>0</v>
      </c>
    </row>
    <row r="390" spans="1:7" hidden="1" x14ac:dyDescent="0.25">
      <c r="A390" s="17" t="s">
        <v>556</v>
      </c>
      <c r="B390" s="18" t="s">
        <v>5864</v>
      </c>
      <c r="C390" s="26" t="s">
        <v>37</v>
      </c>
      <c r="D390" s="14"/>
      <c r="E390" s="15">
        <f>+'APU CAP 3'!Q3075</f>
        <v>389092</v>
      </c>
      <c r="F390" s="16">
        <f t="shared" si="27"/>
        <v>0</v>
      </c>
      <c r="G390" s="8">
        <f t="shared" si="23"/>
        <v>0</v>
      </c>
    </row>
    <row r="391" spans="1:7" hidden="1" x14ac:dyDescent="0.25">
      <c r="A391" s="17" t="s">
        <v>557</v>
      </c>
      <c r="B391" s="18" t="s">
        <v>5865</v>
      </c>
      <c r="C391" s="26" t="s">
        <v>37</v>
      </c>
      <c r="D391" s="14"/>
      <c r="E391" s="15"/>
      <c r="F391" s="16">
        <f t="shared" si="27"/>
        <v>0</v>
      </c>
      <c r="G391" s="8">
        <f t="shared" si="23"/>
        <v>0</v>
      </c>
    </row>
    <row r="392" spans="1:7" hidden="1" x14ac:dyDescent="0.25">
      <c r="A392" s="17" t="s">
        <v>558</v>
      </c>
      <c r="B392" s="18" t="s">
        <v>5866</v>
      </c>
      <c r="C392" s="26" t="s">
        <v>37</v>
      </c>
      <c r="D392" s="14"/>
      <c r="E392" s="15"/>
      <c r="F392" s="16">
        <f t="shared" si="27"/>
        <v>0</v>
      </c>
      <c r="G392" s="8">
        <f t="shared" si="23"/>
        <v>0</v>
      </c>
    </row>
    <row r="393" spans="1:7" hidden="1" x14ac:dyDescent="0.25">
      <c r="A393" s="12" t="s">
        <v>525</v>
      </c>
      <c r="B393" s="13" t="s">
        <v>526</v>
      </c>
      <c r="C393" s="14"/>
      <c r="D393" s="14"/>
      <c r="E393" s="15"/>
      <c r="F393" s="16"/>
      <c r="G393" s="8">
        <f t="shared" si="23"/>
        <v>0</v>
      </c>
    </row>
    <row r="394" spans="1:7" hidden="1" x14ac:dyDescent="0.25">
      <c r="A394" s="17" t="s">
        <v>527</v>
      </c>
      <c r="B394" s="18" t="s">
        <v>528</v>
      </c>
      <c r="C394" s="26" t="s">
        <v>37</v>
      </c>
      <c r="D394" s="14"/>
      <c r="E394" s="15"/>
      <c r="F394" s="16">
        <f t="shared" ref="F394:F404" si="28">+D394*E394</f>
        <v>0</v>
      </c>
      <c r="G394" s="8">
        <f t="shared" si="23"/>
        <v>0</v>
      </c>
    </row>
    <row r="395" spans="1:7" hidden="1" x14ac:dyDescent="0.25">
      <c r="A395" s="17" t="s">
        <v>529</v>
      </c>
      <c r="B395" s="18" t="s">
        <v>540</v>
      </c>
      <c r="C395" s="26" t="s">
        <v>37</v>
      </c>
      <c r="D395" s="14"/>
      <c r="E395" s="15"/>
      <c r="F395" s="16">
        <f t="shared" si="28"/>
        <v>0</v>
      </c>
      <c r="G395" s="8">
        <f t="shared" ref="G395:G458" si="29">+IF(F395&lt;&gt;0,1,0)</f>
        <v>0</v>
      </c>
    </row>
    <row r="396" spans="1:7" hidden="1" x14ac:dyDescent="0.25">
      <c r="A396" s="17" t="s">
        <v>530</v>
      </c>
      <c r="B396" s="18" t="s">
        <v>535</v>
      </c>
      <c r="C396" s="26" t="s">
        <v>37</v>
      </c>
      <c r="D396" s="14"/>
      <c r="E396" s="15"/>
      <c r="F396" s="16">
        <f t="shared" si="28"/>
        <v>0</v>
      </c>
      <c r="G396" s="8">
        <f t="shared" si="29"/>
        <v>0</v>
      </c>
    </row>
    <row r="397" spans="1:7" hidden="1" x14ac:dyDescent="0.25">
      <c r="A397" s="17" t="s">
        <v>531</v>
      </c>
      <c r="B397" s="18" t="s">
        <v>536</v>
      </c>
      <c r="C397" s="26" t="s">
        <v>37</v>
      </c>
      <c r="D397" s="14"/>
      <c r="E397" s="15"/>
      <c r="F397" s="16">
        <f t="shared" si="28"/>
        <v>0</v>
      </c>
      <c r="G397" s="8">
        <f t="shared" si="29"/>
        <v>0</v>
      </c>
    </row>
    <row r="398" spans="1:7" hidden="1" x14ac:dyDescent="0.25">
      <c r="A398" s="17" t="s">
        <v>532</v>
      </c>
      <c r="B398" s="18" t="s">
        <v>537</v>
      </c>
      <c r="C398" s="26" t="s">
        <v>37</v>
      </c>
      <c r="D398" s="14"/>
      <c r="E398" s="15"/>
      <c r="F398" s="16">
        <f t="shared" si="28"/>
        <v>0</v>
      </c>
      <c r="G398" s="8">
        <f t="shared" si="29"/>
        <v>0</v>
      </c>
    </row>
    <row r="399" spans="1:7" hidden="1" x14ac:dyDescent="0.25">
      <c r="A399" s="17" t="s">
        <v>533</v>
      </c>
      <c r="B399" s="18" t="s">
        <v>538</v>
      </c>
      <c r="C399" s="26" t="s">
        <v>37</v>
      </c>
      <c r="D399" s="14"/>
      <c r="E399" s="15"/>
      <c r="F399" s="16">
        <f t="shared" si="28"/>
        <v>0</v>
      </c>
      <c r="G399" s="8">
        <f t="shared" si="29"/>
        <v>0</v>
      </c>
    </row>
    <row r="400" spans="1:7" hidden="1" x14ac:dyDescent="0.25">
      <c r="A400" s="17" t="s">
        <v>534</v>
      </c>
      <c r="B400" s="18" t="s">
        <v>539</v>
      </c>
      <c r="C400" s="26" t="s">
        <v>37</v>
      </c>
      <c r="D400" s="14"/>
      <c r="E400" s="15"/>
      <c r="F400" s="16">
        <f t="shared" si="28"/>
        <v>0</v>
      </c>
      <c r="G400" s="8">
        <f t="shared" si="29"/>
        <v>0</v>
      </c>
    </row>
    <row r="401" spans="1:7" hidden="1" x14ac:dyDescent="0.25">
      <c r="A401" s="17" t="s">
        <v>5383</v>
      </c>
      <c r="B401" s="18" t="s">
        <v>5379</v>
      </c>
      <c r="C401" s="26" t="s">
        <v>37</v>
      </c>
      <c r="D401" s="14"/>
      <c r="E401" s="15"/>
      <c r="F401" s="16">
        <f t="shared" si="28"/>
        <v>0</v>
      </c>
      <c r="G401" s="8">
        <f t="shared" si="29"/>
        <v>0</v>
      </c>
    </row>
    <row r="402" spans="1:7" hidden="1" x14ac:dyDescent="0.25">
      <c r="A402" s="17" t="s">
        <v>5384</v>
      </c>
      <c r="B402" s="18" t="s">
        <v>5380</v>
      </c>
      <c r="C402" s="26" t="s">
        <v>37</v>
      </c>
      <c r="D402" s="14"/>
      <c r="E402" s="15"/>
      <c r="F402" s="16">
        <f t="shared" si="28"/>
        <v>0</v>
      </c>
      <c r="G402" s="8">
        <f t="shared" si="29"/>
        <v>0</v>
      </c>
    </row>
    <row r="403" spans="1:7" hidden="1" x14ac:dyDescent="0.25">
      <c r="A403" s="17" t="s">
        <v>5385</v>
      </c>
      <c r="B403" s="18" t="s">
        <v>5381</v>
      </c>
      <c r="C403" s="26" t="s">
        <v>37</v>
      </c>
      <c r="D403" s="14"/>
      <c r="E403" s="15"/>
      <c r="F403" s="16">
        <f t="shared" si="28"/>
        <v>0</v>
      </c>
      <c r="G403" s="8">
        <f t="shared" si="29"/>
        <v>0</v>
      </c>
    </row>
    <row r="404" spans="1:7" hidden="1" x14ac:dyDescent="0.25">
      <c r="A404" s="17" t="s">
        <v>5386</v>
      </c>
      <c r="B404" s="18" t="s">
        <v>5382</v>
      </c>
      <c r="C404" s="26" t="s">
        <v>37</v>
      </c>
      <c r="D404" s="14"/>
      <c r="E404" s="15"/>
      <c r="F404" s="16">
        <f t="shared" si="28"/>
        <v>0</v>
      </c>
      <c r="G404" s="8">
        <f t="shared" si="29"/>
        <v>0</v>
      </c>
    </row>
    <row r="405" spans="1:7" hidden="1" x14ac:dyDescent="0.25">
      <c r="A405" s="12" t="s">
        <v>542</v>
      </c>
      <c r="B405" s="13" t="s">
        <v>543</v>
      </c>
      <c r="C405" s="14"/>
      <c r="D405" s="14"/>
      <c r="E405" s="15"/>
      <c r="F405" s="16"/>
      <c r="G405" s="8">
        <f t="shared" si="29"/>
        <v>0</v>
      </c>
    </row>
    <row r="406" spans="1:7" hidden="1" x14ac:dyDescent="0.25">
      <c r="A406" s="17" t="s">
        <v>544</v>
      </c>
      <c r="B406" s="13" t="s">
        <v>563</v>
      </c>
      <c r="C406" s="14"/>
      <c r="D406" s="14"/>
      <c r="E406" s="15"/>
      <c r="F406" s="16"/>
      <c r="G406" s="8">
        <f t="shared" si="29"/>
        <v>0</v>
      </c>
    </row>
    <row r="407" spans="1:7" hidden="1" x14ac:dyDescent="0.25">
      <c r="A407" s="17" t="s">
        <v>564</v>
      </c>
      <c r="B407" s="18" t="s">
        <v>560</v>
      </c>
      <c r="C407" s="26" t="s">
        <v>37</v>
      </c>
      <c r="D407" s="14"/>
      <c r="E407" s="15"/>
      <c r="F407" s="16">
        <f>+D407*E407</f>
        <v>0</v>
      </c>
      <c r="G407" s="8">
        <f t="shared" si="29"/>
        <v>0</v>
      </c>
    </row>
    <row r="408" spans="1:7" hidden="1" x14ac:dyDescent="0.25">
      <c r="A408" s="17" t="s">
        <v>565</v>
      </c>
      <c r="B408" s="18" t="s">
        <v>561</v>
      </c>
      <c r="C408" s="26" t="s">
        <v>37</v>
      </c>
      <c r="D408" s="14"/>
      <c r="E408" s="15"/>
      <c r="F408" s="16">
        <f>+D408*E408</f>
        <v>0</v>
      </c>
      <c r="G408" s="8">
        <f t="shared" si="29"/>
        <v>0</v>
      </c>
    </row>
    <row r="409" spans="1:7" hidden="1" x14ac:dyDescent="0.25">
      <c r="A409" s="17" t="s">
        <v>566</v>
      </c>
      <c r="B409" s="18" t="s">
        <v>562</v>
      </c>
      <c r="C409" s="26" t="s">
        <v>37</v>
      </c>
      <c r="D409" s="14"/>
      <c r="E409" s="15"/>
      <c r="F409" s="16">
        <f>+D409*E409</f>
        <v>0</v>
      </c>
      <c r="G409" s="8">
        <f t="shared" si="29"/>
        <v>0</v>
      </c>
    </row>
    <row r="410" spans="1:7" hidden="1" x14ac:dyDescent="0.25">
      <c r="A410" s="12" t="s">
        <v>43</v>
      </c>
      <c r="B410" s="13" t="s">
        <v>44</v>
      </c>
      <c r="C410" s="14"/>
      <c r="D410" s="14"/>
      <c r="E410" s="15"/>
      <c r="F410" s="16"/>
      <c r="G410" s="8">
        <f t="shared" si="29"/>
        <v>0</v>
      </c>
    </row>
    <row r="411" spans="1:7" hidden="1" x14ac:dyDescent="0.25">
      <c r="A411" s="12" t="s">
        <v>567</v>
      </c>
      <c r="B411" s="13" t="s">
        <v>573</v>
      </c>
      <c r="C411" s="14"/>
      <c r="D411" s="14"/>
      <c r="E411" s="15"/>
      <c r="F411" s="16"/>
      <c r="G411" s="8">
        <f t="shared" si="29"/>
        <v>0</v>
      </c>
    </row>
    <row r="412" spans="1:7" hidden="1" x14ac:dyDescent="0.25">
      <c r="A412" s="17" t="s">
        <v>574</v>
      </c>
      <c r="B412" s="18" t="s">
        <v>569</v>
      </c>
      <c r="C412" s="14" t="s">
        <v>37</v>
      </c>
      <c r="D412" s="14"/>
      <c r="E412" s="15"/>
      <c r="F412" s="16">
        <f>+D412*E412</f>
        <v>0</v>
      </c>
      <c r="G412" s="8">
        <f t="shared" si="29"/>
        <v>0</v>
      </c>
    </row>
    <row r="413" spans="1:7" hidden="1" x14ac:dyDescent="0.25">
      <c r="A413" s="17" t="s">
        <v>575</v>
      </c>
      <c r="B413" s="18" t="s">
        <v>568</v>
      </c>
      <c r="C413" s="14" t="s">
        <v>37</v>
      </c>
      <c r="D413" s="14"/>
      <c r="E413" s="15"/>
      <c r="F413" s="16">
        <f>+D413*E413</f>
        <v>0</v>
      </c>
      <c r="G413" s="8">
        <f t="shared" si="29"/>
        <v>0</v>
      </c>
    </row>
    <row r="414" spans="1:7" hidden="1" x14ac:dyDescent="0.25">
      <c r="A414" s="17" t="s">
        <v>576</v>
      </c>
      <c r="B414" s="18" t="s">
        <v>571</v>
      </c>
      <c r="C414" s="14" t="s">
        <v>37</v>
      </c>
      <c r="D414" s="14"/>
      <c r="E414" s="15"/>
      <c r="F414" s="16">
        <f>+D414*E414</f>
        <v>0</v>
      </c>
      <c r="G414" s="8">
        <f t="shared" si="29"/>
        <v>0</v>
      </c>
    </row>
    <row r="415" spans="1:7" hidden="1" x14ac:dyDescent="0.25">
      <c r="A415" s="17" t="s">
        <v>577</v>
      </c>
      <c r="B415" s="18" t="s">
        <v>570</v>
      </c>
      <c r="C415" s="14" t="s">
        <v>37</v>
      </c>
      <c r="D415" s="14"/>
      <c r="E415" s="15"/>
      <c r="F415" s="16">
        <f>+D415*E415</f>
        <v>0</v>
      </c>
      <c r="G415" s="8">
        <f t="shared" si="29"/>
        <v>0</v>
      </c>
    </row>
    <row r="416" spans="1:7" hidden="1" x14ac:dyDescent="0.25">
      <c r="A416" s="17" t="s">
        <v>578</v>
      </c>
      <c r="B416" s="18" t="s">
        <v>572</v>
      </c>
      <c r="C416" s="14" t="s">
        <v>37</v>
      </c>
      <c r="D416" s="14"/>
      <c r="E416" s="15"/>
      <c r="F416" s="16">
        <f>+D416*E416</f>
        <v>0</v>
      </c>
      <c r="G416" s="8">
        <f t="shared" si="29"/>
        <v>0</v>
      </c>
    </row>
    <row r="417" spans="1:7" x14ac:dyDescent="0.25">
      <c r="A417" s="2454" t="s">
        <v>45</v>
      </c>
      <c r="B417" s="2455"/>
      <c r="C417" s="2455"/>
      <c r="D417" s="2455"/>
      <c r="E417" s="2455"/>
      <c r="F417" s="19">
        <f>SUM(F95:F416)</f>
        <v>19732348</v>
      </c>
      <c r="G417" s="8">
        <f t="shared" si="29"/>
        <v>1</v>
      </c>
    </row>
    <row r="418" spans="1:7" x14ac:dyDescent="0.25">
      <c r="A418" s="20">
        <v>5</v>
      </c>
      <c r="B418" s="319" t="s">
        <v>579</v>
      </c>
      <c r="C418" s="22"/>
      <c r="D418" s="22"/>
      <c r="E418" s="23"/>
      <c r="F418" s="24"/>
      <c r="G418" s="8">
        <v>1</v>
      </c>
    </row>
    <row r="419" spans="1:7" x14ac:dyDescent="0.25">
      <c r="A419" s="12" t="s">
        <v>580</v>
      </c>
      <c r="B419" s="46" t="s">
        <v>581</v>
      </c>
      <c r="C419" s="14"/>
      <c r="D419" s="14"/>
      <c r="E419" s="15"/>
      <c r="F419" s="16"/>
      <c r="G419" s="8">
        <v>1</v>
      </c>
    </row>
    <row r="420" spans="1:7" hidden="1" x14ac:dyDescent="0.25">
      <c r="A420" s="31" t="s">
        <v>594</v>
      </c>
      <c r="B420" s="320" t="s">
        <v>582</v>
      </c>
      <c r="C420" s="26" t="s">
        <v>583</v>
      </c>
      <c r="D420" s="26"/>
      <c r="E420" s="29">
        <f>+'APU CAP 5'!P106</f>
        <v>352371.33333333331</v>
      </c>
      <c r="F420" s="16">
        <f t="shared" ref="F420:F425" si="30">+D420*E420</f>
        <v>0</v>
      </c>
      <c r="G420" s="8">
        <f t="shared" si="29"/>
        <v>0</v>
      </c>
    </row>
    <row r="421" spans="1:7" hidden="1" x14ac:dyDescent="0.25">
      <c r="A421" s="31" t="s">
        <v>604</v>
      </c>
      <c r="B421" s="320" t="s">
        <v>599</v>
      </c>
      <c r="C421" s="26" t="s">
        <v>583</v>
      </c>
      <c r="D421" s="26"/>
      <c r="E421" s="29">
        <f>+'APU CAP 5'!P160</f>
        <v>378551.33333333331</v>
      </c>
      <c r="F421" s="16">
        <f t="shared" si="30"/>
        <v>0</v>
      </c>
      <c r="G421" s="8">
        <f t="shared" si="29"/>
        <v>0</v>
      </c>
    </row>
    <row r="422" spans="1:7" hidden="1" x14ac:dyDescent="0.25">
      <c r="A422" s="31" t="s">
        <v>595</v>
      </c>
      <c r="B422" s="320" t="s">
        <v>600</v>
      </c>
      <c r="C422" s="26" t="s">
        <v>583</v>
      </c>
      <c r="D422" s="26"/>
      <c r="E422" s="29">
        <f>+'APU CAP 5'!P214</f>
        <v>439122</v>
      </c>
      <c r="F422" s="16">
        <f t="shared" si="30"/>
        <v>0</v>
      </c>
      <c r="G422" s="8">
        <f t="shared" si="29"/>
        <v>0</v>
      </c>
    </row>
    <row r="423" spans="1:7" x14ac:dyDescent="0.25">
      <c r="A423" s="31" t="s">
        <v>596</v>
      </c>
      <c r="B423" s="330" t="s">
        <v>6539</v>
      </c>
      <c r="C423" s="26" t="s">
        <v>583</v>
      </c>
      <c r="D423" s="26">
        <v>15.6</v>
      </c>
      <c r="E423" s="29">
        <f>+'APU CAP 5'!P268</f>
        <v>498359.00000000006</v>
      </c>
      <c r="F423" s="16">
        <f t="shared" si="30"/>
        <v>7774400.4000000004</v>
      </c>
      <c r="G423" s="8">
        <f t="shared" si="29"/>
        <v>1</v>
      </c>
    </row>
    <row r="424" spans="1:7" hidden="1" x14ac:dyDescent="0.25">
      <c r="A424" s="31" t="s">
        <v>597</v>
      </c>
      <c r="B424" s="320" t="s">
        <v>602</v>
      </c>
      <c r="C424" s="26" t="s">
        <v>583</v>
      </c>
      <c r="D424" s="26"/>
      <c r="E424" s="29">
        <f>+'APU CAP 5'!P322</f>
        <v>540227.4444444445</v>
      </c>
      <c r="F424" s="16">
        <f t="shared" si="30"/>
        <v>0</v>
      </c>
      <c r="G424" s="8">
        <f t="shared" si="29"/>
        <v>0</v>
      </c>
    </row>
    <row r="425" spans="1:7" hidden="1" x14ac:dyDescent="0.25">
      <c r="A425" s="31" t="s">
        <v>598</v>
      </c>
      <c r="B425" s="320" t="s">
        <v>603</v>
      </c>
      <c r="C425" s="26" t="s">
        <v>583</v>
      </c>
      <c r="D425" s="26"/>
      <c r="E425" s="29">
        <f>+'APU CAP 5'!P376</f>
        <v>560249</v>
      </c>
      <c r="F425" s="16">
        <f t="shared" si="30"/>
        <v>0</v>
      </c>
      <c r="G425" s="8">
        <f t="shared" si="29"/>
        <v>0</v>
      </c>
    </row>
    <row r="426" spans="1:7" hidden="1" x14ac:dyDescent="0.25">
      <c r="A426" s="27" t="s">
        <v>584</v>
      </c>
      <c r="B426" s="321" t="s">
        <v>585</v>
      </c>
      <c r="C426" s="26"/>
      <c r="D426" s="26"/>
      <c r="E426" s="29"/>
      <c r="F426" s="16"/>
      <c r="G426" s="8">
        <f t="shared" si="29"/>
        <v>0</v>
      </c>
    </row>
    <row r="427" spans="1:7" hidden="1" x14ac:dyDescent="0.25">
      <c r="A427" s="27" t="s">
        <v>586</v>
      </c>
      <c r="B427" s="321" t="s">
        <v>587</v>
      </c>
      <c r="C427" s="26"/>
      <c r="D427" s="26"/>
      <c r="E427" s="29"/>
      <c r="F427" s="16"/>
      <c r="G427" s="8">
        <f t="shared" si="29"/>
        <v>0</v>
      </c>
    </row>
    <row r="428" spans="1:7" hidden="1" x14ac:dyDescent="0.25">
      <c r="A428" s="31" t="s">
        <v>605</v>
      </c>
      <c r="B428" s="320" t="s">
        <v>606</v>
      </c>
      <c r="C428" s="26" t="s">
        <v>583</v>
      </c>
      <c r="D428" s="26"/>
      <c r="E428" s="29">
        <f>+'APU CAP 5'!H430</f>
        <v>517604.00000000006</v>
      </c>
      <c r="F428" s="16">
        <f t="shared" ref="F428:F436" si="31">+D428*E428</f>
        <v>0</v>
      </c>
      <c r="G428" s="8">
        <f t="shared" si="29"/>
        <v>0</v>
      </c>
    </row>
    <row r="429" spans="1:7" hidden="1" x14ac:dyDescent="0.25">
      <c r="A429" s="31" t="s">
        <v>613</v>
      </c>
      <c r="B429" s="320" t="s">
        <v>607</v>
      </c>
      <c r="C429" s="26" t="s">
        <v>583</v>
      </c>
      <c r="D429" s="26"/>
      <c r="E429" s="29">
        <f>+'APU CAP 5'!P430</f>
        <v>620040.71428571432</v>
      </c>
      <c r="F429" s="16">
        <f t="shared" si="31"/>
        <v>0</v>
      </c>
      <c r="G429" s="8">
        <f t="shared" si="29"/>
        <v>0</v>
      </c>
    </row>
    <row r="430" spans="1:7" hidden="1" x14ac:dyDescent="0.25">
      <c r="A430" s="31" t="s">
        <v>614</v>
      </c>
      <c r="B430" s="320" t="s">
        <v>608</v>
      </c>
      <c r="C430" s="26" t="s">
        <v>583</v>
      </c>
      <c r="D430" s="26"/>
      <c r="E430" s="29">
        <f>+'APU CAP 5'!X430</f>
        <v>739215.5</v>
      </c>
      <c r="F430" s="16">
        <f t="shared" si="31"/>
        <v>0</v>
      </c>
      <c r="G430" s="8">
        <f t="shared" si="29"/>
        <v>0</v>
      </c>
    </row>
    <row r="431" spans="1:7" hidden="1" x14ac:dyDescent="0.25">
      <c r="A431" s="31" t="s">
        <v>615</v>
      </c>
      <c r="B431" s="320" t="s">
        <v>609</v>
      </c>
      <c r="C431" s="26" t="s">
        <v>583</v>
      </c>
      <c r="D431" s="26"/>
      <c r="E431" s="29">
        <f>+'APU CAP 5'!H430</f>
        <v>517604.00000000006</v>
      </c>
      <c r="F431" s="16">
        <f t="shared" si="31"/>
        <v>0</v>
      </c>
      <c r="G431" s="8">
        <f t="shared" si="29"/>
        <v>0</v>
      </c>
    </row>
    <row r="432" spans="1:7" hidden="1" x14ac:dyDescent="0.25">
      <c r="A432" s="31" t="s">
        <v>616</v>
      </c>
      <c r="B432" s="320" t="s">
        <v>610</v>
      </c>
      <c r="C432" s="26" t="s">
        <v>583</v>
      </c>
      <c r="D432" s="26"/>
      <c r="E432" s="29">
        <f>+'APU CAP 5'!P430</f>
        <v>620040.71428571432</v>
      </c>
      <c r="F432" s="16">
        <f t="shared" si="31"/>
        <v>0</v>
      </c>
      <c r="G432" s="8">
        <f t="shared" si="29"/>
        <v>0</v>
      </c>
    </row>
    <row r="433" spans="1:7" hidden="1" x14ac:dyDescent="0.25">
      <c r="A433" s="31" t="s">
        <v>617</v>
      </c>
      <c r="B433" s="320" t="s">
        <v>611</v>
      </c>
      <c r="C433" s="26" t="s">
        <v>583</v>
      </c>
      <c r="D433" s="26"/>
      <c r="E433" s="29">
        <f>+'APU CAP 5'!X430</f>
        <v>739215.5</v>
      </c>
      <c r="F433" s="16">
        <f t="shared" si="31"/>
        <v>0</v>
      </c>
      <c r="G433" s="8">
        <f t="shared" si="29"/>
        <v>0</v>
      </c>
    </row>
    <row r="434" spans="1:7" hidden="1" x14ac:dyDescent="0.25">
      <c r="A434" s="31" t="s">
        <v>618</v>
      </c>
      <c r="B434" s="320" t="s">
        <v>612</v>
      </c>
      <c r="C434" s="26" t="s">
        <v>583</v>
      </c>
      <c r="D434" s="26"/>
      <c r="E434" s="29">
        <f>+'APU CAP 5'!X430</f>
        <v>739215.5</v>
      </c>
      <c r="F434" s="16">
        <f t="shared" si="31"/>
        <v>0</v>
      </c>
      <c r="G434" s="8">
        <f t="shared" si="29"/>
        <v>0</v>
      </c>
    </row>
    <row r="435" spans="1:7" hidden="1" x14ac:dyDescent="0.25">
      <c r="A435" s="31" t="s">
        <v>619</v>
      </c>
      <c r="B435" s="320" t="s">
        <v>620</v>
      </c>
      <c r="C435" s="26" t="s">
        <v>583</v>
      </c>
      <c r="D435" s="26"/>
      <c r="E435" s="29">
        <f>+'APU CAP 5'!P430</f>
        <v>620040.71428571432</v>
      </c>
      <c r="F435" s="16">
        <f t="shared" si="31"/>
        <v>0</v>
      </c>
      <c r="G435" s="8">
        <f t="shared" si="29"/>
        <v>0</v>
      </c>
    </row>
    <row r="436" spans="1:7" hidden="1" x14ac:dyDescent="0.25">
      <c r="A436" s="31" t="s">
        <v>621</v>
      </c>
      <c r="B436" s="320" t="s">
        <v>671</v>
      </c>
      <c r="C436" s="26" t="s">
        <v>583</v>
      </c>
      <c r="D436" s="26"/>
      <c r="E436" s="29"/>
      <c r="F436" s="16">
        <f t="shared" si="31"/>
        <v>0</v>
      </c>
      <c r="G436" s="8">
        <f t="shared" si="29"/>
        <v>0</v>
      </c>
    </row>
    <row r="437" spans="1:7" hidden="1" x14ac:dyDescent="0.25">
      <c r="A437" s="27" t="s">
        <v>622</v>
      </c>
      <c r="B437" s="321" t="s">
        <v>633</v>
      </c>
      <c r="C437" s="26"/>
      <c r="D437" s="26"/>
      <c r="E437" s="29"/>
      <c r="F437" s="16"/>
      <c r="G437" s="8">
        <f t="shared" si="29"/>
        <v>0</v>
      </c>
    </row>
    <row r="438" spans="1:7" hidden="1" x14ac:dyDescent="0.25">
      <c r="A438" s="31" t="s">
        <v>623</v>
      </c>
      <c r="B438" s="320" t="s">
        <v>606</v>
      </c>
      <c r="C438" s="26" t="s">
        <v>583</v>
      </c>
      <c r="D438" s="26"/>
      <c r="E438" s="29">
        <f>+'APU CAP 5'!H484</f>
        <v>556223</v>
      </c>
      <c r="F438" s="16">
        <f t="shared" ref="F438:F446" si="32">+D438*E438</f>
        <v>0</v>
      </c>
      <c r="G438" s="8">
        <f t="shared" si="29"/>
        <v>0</v>
      </c>
    </row>
    <row r="439" spans="1:7" hidden="1" x14ac:dyDescent="0.25">
      <c r="A439" s="31" t="s">
        <v>624</v>
      </c>
      <c r="B439" s="320" t="s">
        <v>607</v>
      </c>
      <c r="C439" s="26" t="s">
        <v>583</v>
      </c>
      <c r="D439" s="26"/>
      <c r="E439" s="29">
        <f>+'APU CAP 5'!P484</f>
        <v>658659.71428571432</v>
      </c>
      <c r="F439" s="16">
        <f t="shared" si="32"/>
        <v>0</v>
      </c>
      <c r="G439" s="8">
        <f t="shared" si="29"/>
        <v>0</v>
      </c>
    </row>
    <row r="440" spans="1:7" hidden="1" x14ac:dyDescent="0.25">
      <c r="A440" s="31" t="s">
        <v>625</v>
      </c>
      <c r="B440" s="320" t="s">
        <v>608</v>
      </c>
      <c r="C440" s="26" t="s">
        <v>583</v>
      </c>
      <c r="D440" s="26"/>
      <c r="E440" s="29">
        <f>+'APU CAP 5'!X484</f>
        <v>776934.5</v>
      </c>
      <c r="F440" s="16">
        <f t="shared" si="32"/>
        <v>0</v>
      </c>
      <c r="G440" s="8">
        <f t="shared" si="29"/>
        <v>0</v>
      </c>
    </row>
    <row r="441" spans="1:7" hidden="1" x14ac:dyDescent="0.25">
      <c r="A441" s="31" t="s">
        <v>626</v>
      </c>
      <c r="B441" s="320" t="s">
        <v>609</v>
      </c>
      <c r="C441" s="26" t="s">
        <v>583</v>
      </c>
      <c r="D441" s="26"/>
      <c r="E441" s="29">
        <f>+'APU CAP 5'!H484</f>
        <v>556223</v>
      </c>
      <c r="F441" s="16">
        <f t="shared" si="32"/>
        <v>0</v>
      </c>
      <c r="G441" s="8">
        <f t="shared" si="29"/>
        <v>0</v>
      </c>
    </row>
    <row r="442" spans="1:7" hidden="1" x14ac:dyDescent="0.25">
      <c r="A442" s="31" t="s">
        <v>627</v>
      </c>
      <c r="B442" s="320" t="s">
        <v>610</v>
      </c>
      <c r="C442" s="26" t="s">
        <v>583</v>
      </c>
      <c r="D442" s="26"/>
      <c r="E442" s="29">
        <f>+'APU CAP 5'!P484</f>
        <v>658659.71428571432</v>
      </c>
      <c r="F442" s="16">
        <f t="shared" si="32"/>
        <v>0</v>
      </c>
      <c r="G442" s="8">
        <f t="shared" si="29"/>
        <v>0</v>
      </c>
    </row>
    <row r="443" spans="1:7" hidden="1" x14ac:dyDescent="0.25">
      <c r="A443" s="31" t="s">
        <v>628</v>
      </c>
      <c r="B443" s="320" t="s">
        <v>611</v>
      </c>
      <c r="C443" s="26" t="s">
        <v>583</v>
      </c>
      <c r="D443" s="26"/>
      <c r="E443" s="29">
        <f>+'APU CAP 5'!X484</f>
        <v>776934.5</v>
      </c>
      <c r="F443" s="16">
        <f t="shared" si="32"/>
        <v>0</v>
      </c>
      <c r="G443" s="8">
        <f t="shared" si="29"/>
        <v>0</v>
      </c>
    </row>
    <row r="444" spans="1:7" hidden="1" x14ac:dyDescent="0.25">
      <c r="A444" s="31" t="s">
        <v>629</v>
      </c>
      <c r="B444" s="320" t="s">
        <v>612</v>
      </c>
      <c r="C444" s="26" t="s">
        <v>583</v>
      </c>
      <c r="D444" s="26"/>
      <c r="E444" s="29">
        <f>+'APU CAP 5'!X484</f>
        <v>776934.5</v>
      </c>
      <c r="F444" s="16">
        <f t="shared" si="32"/>
        <v>0</v>
      </c>
      <c r="G444" s="8">
        <f t="shared" si="29"/>
        <v>0</v>
      </c>
    </row>
    <row r="445" spans="1:7" hidden="1" x14ac:dyDescent="0.25">
      <c r="A445" s="31" t="s">
        <v>630</v>
      </c>
      <c r="B445" s="320" t="s">
        <v>620</v>
      </c>
      <c r="C445" s="26" t="s">
        <v>583</v>
      </c>
      <c r="D445" s="26"/>
      <c r="E445" s="29">
        <f>+'APU CAP 5'!P484</f>
        <v>658659.71428571432</v>
      </c>
      <c r="F445" s="16">
        <f t="shared" si="32"/>
        <v>0</v>
      </c>
      <c r="G445" s="8">
        <f t="shared" si="29"/>
        <v>0</v>
      </c>
    </row>
    <row r="446" spans="1:7" hidden="1" x14ac:dyDescent="0.25">
      <c r="A446" s="31" t="s">
        <v>631</v>
      </c>
      <c r="B446" s="320" t="s">
        <v>671</v>
      </c>
      <c r="C446" s="26" t="s">
        <v>583</v>
      </c>
      <c r="D446" s="26"/>
      <c r="E446" s="29"/>
      <c r="F446" s="16">
        <f t="shared" si="32"/>
        <v>0</v>
      </c>
      <c r="G446" s="8">
        <f t="shared" si="29"/>
        <v>0</v>
      </c>
    </row>
    <row r="447" spans="1:7" hidden="1" x14ac:dyDescent="0.25">
      <c r="A447" s="27" t="s">
        <v>634</v>
      </c>
      <c r="B447" s="321" t="s">
        <v>632</v>
      </c>
      <c r="C447" s="26"/>
      <c r="D447" s="26"/>
      <c r="E447" s="29"/>
      <c r="F447" s="16"/>
      <c r="G447" s="8">
        <f t="shared" si="29"/>
        <v>0</v>
      </c>
    </row>
    <row r="448" spans="1:7" hidden="1" x14ac:dyDescent="0.25">
      <c r="A448" s="31" t="s">
        <v>635</v>
      </c>
      <c r="B448" s="320" t="s">
        <v>606</v>
      </c>
      <c r="C448" s="26" t="s">
        <v>583</v>
      </c>
      <c r="D448" s="26"/>
      <c r="E448" s="29">
        <f>+'APU CAP 5'!H538</f>
        <v>554067</v>
      </c>
      <c r="F448" s="16">
        <f t="shared" ref="F448:F456" si="33">+D448*E448</f>
        <v>0</v>
      </c>
      <c r="G448" s="8">
        <f t="shared" si="29"/>
        <v>0</v>
      </c>
    </row>
    <row r="449" spans="1:7" hidden="1" x14ac:dyDescent="0.25">
      <c r="A449" s="31" t="s">
        <v>636</v>
      </c>
      <c r="B449" s="320" t="s">
        <v>607</v>
      </c>
      <c r="C449" s="26" t="s">
        <v>583</v>
      </c>
      <c r="D449" s="26"/>
      <c r="E449" s="29">
        <f>+'APU CAP 5'!P538</f>
        <v>669769.71428571432</v>
      </c>
      <c r="F449" s="16">
        <f t="shared" si="33"/>
        <v>0</v>
      </c>
      <c r="G449" s="8">
        <f t="shared" si="29"/>
        <v>0</v>
      </c>
    </row>
    <row r="450" spans="1:7" hidden="1" x14ac:dyDescent="0.25">
      <c r="A450" s="31" t="s">
        <v>637</v>
      </c>
      <c r="B450" s="320" t="s">
        <v>608</v>
      </c>
      <c r="C450" s="26" t="s">
        <v>583</v>
      </c>
      <c r="D450" s="26"/>
      <c r="E450" s="29">
        <f>+'APU CAP 5'!X538</f>
        <v>808892.5</v>
      </c>
      <c r="F450" s="16">
        <f t="shared" si="33"/>
        <v>0</v>
      </c>
      <c r="G450" s="8">
        <f t="shared" si="29"/>
        <v>0</v>
      </c>
    </row>
    <row r="451" spans="1:7" hidden="1" x14ac:dyDescent="0.25">
      <c r="A451" s="31" t="s">
        <v>638</v>
      </c>
      <c r="B451" s="320" t="s">
        <v>609</v>
      </c>
      <c r="C451" s="26" t="s">
        <v>583</v>
      </c>
      <c r="D451" s="26"/>
      <c r="E451" s="29">
        <f>+'APU CAP 5'!H538</f>
        <v>554067</v>
      </c>
      <c r="F451" s="16">
        <f t="shared" si="33"/>
        <v>0</v>
      </c>
      <c r="G451" s="8">
        <f t="shared" si="29"/>
        <v>0</v>
      </c>
    </row>
    <row r="452" spans="1:7" hidden="1" x14ac:dyDescent="0.25">
      <c r="A452" s="31" t="s">
        <v>639</v>
      </c>
      <c r="B452" s="320" t="s">
        <v>610</v>
      </c>
      <c r="C452" s="26" t="s">
        <v>583</v>
      </c>
      <c r="D452" s="26"/>
      <c r="E452" s="29">
        <f>+'APU CAP 5'!P538</f>
        <v>669769.71428571432</v>
      </c>
      <c r="F452" s="16">
        <f t="shared" si="33"/>
        <v>0</v>
      </c>
      <c r="G452" s="8">
        <f t="shared" si="29"/>
        <v>0</v>
      </c>
    </row>
    <row r="453" spans="1:7" hidden="1" x14ac:dyDescent="0.25">
      <c r="A453" s="31" t="s">
        <v>640</v>
      </c>
      <c r="B453" s="320" t="s">
        <v>611</v>
      </c>
      <c r="C453" s="26" t="s">
        <v>583</v>
      </c>
      <c r="D453" s="26"/>
      <c r="E453" s="29">
        <f>+'APU CAP 5'!X538</f>
        <v>808892.5</v>
      </c>
      <c r="F453" s="16">
        <f t="shared" si="33"/>
        <v>0</v>
      </c>
      <c r="G453" s="8">
        <f t="shared" si="29"/>
        <v>0</v>
      </c>
    </row>
    <row r="454" spans="1:7" hidden="1" x14ac:dyDescent="0.25">
      <c r="A454" s="31" t="s">
        <v>641</v>
      </c>
      <c r="B454" s="320" t="s">
        <v>612</v>
      </c>
      <c r="C454" s="26" t="s">
        <v>583</v>
      </c>
      <c r="D454" s="26"/>
      <c r="E454" s="29">
        <f>+'APU CAP 5'!X538</f>
        <v>808892.5</v>
      </c>
      <c r="F454" s="16">
        <f t="shared" si="33"/>
        <v>0</v>
      </c>
      <c r="G454" s="8">
        <f t="shared" si="29"/>
        <v>0</v>
      </c>
    </row>
    <row r="455" spans="1:7" hidden="1" x14ac:dyDescent="0.25">
      <c r="A455" s="31" t="s">
        <v>642</v>
      </c>
      <c r="B455" s="320" t="s">
        <v>620</v>
      </c>
      <c r="C455" s="26" t="s">
        <v>583</v>
      </c>
      <c r="D455" s="26"/>
      <c r="E455" s="29">
        <f>+'APU CAP 5'!P538</f>
        <v>669769.71428571432</v>
      </c>
      <c r="F455" s="16">
        <f t="shared" si="33"/>
        <v>0</v>
      </c>
      <c r="G455" s="8">
        <f t="shared" si="29"/>
        <v>0</v>
      </c>
    </row>
    <row r="456" spans="1:7" hidden="1" x14ac:dyDescent="0.25">
      <c r="A456" s="31" t="s">
        <v>643</v>
      </c>
      <c r="B456" s="320" t="s">
        <v>671</v>
      </c>
      <c r="C456" s="26" t="s">
        <v>583</v>
      </c>
      <c r="D456" s="26"/>
      <c r="E456" s="29"/>
      <c r="F456" s="16">
        <f t="shared" si="33"/>
        <v>0</v>
      </c>
      <c r="G456" s="8">
        <f t="shared" si="29"/>
        <v>0</v>
      </c>
    </row>
    <row r="457" spans="1:7" hidden="1" x14ac:dyDescent="0.25">
      <c r="A457" s="27" t="s">
        <v>634</v>
      </c>
      <c r="B457" s="321" t="s">
        <v>6122</v>
      </c>
      <c r="C457" s="26"/>
      <c r="D457" s="26"/>
      <c r="E457" s="456"/>
      <c r="F457" s="457"/>
      <c r="G457" s="8">
        <f t="shared" si="29"/>
        <v>0</v>
      </c>
    </row>
    <row r="458" spans="1:7" hidden="1" x14ac:dyDescent="0.25">
      <c r="A458" s="31" t="s">
        <v>635</v>
      </c>
      <c r="B458" s="320" t="s">
        <v>606</v>
      </c>
      <c r="C458" s="26" t="s">
        <v>583</v>
      </c>
      <c r="D458" s="26"/>
      <c r="E458" s="456">
        <f>+'APU CAP 5'!H592</f>
        <v>609251.25</v>
      </c>
      <c r="F458" s="457">
        <f t="shared" ref="F458:F466" si="34">+D458*E458</f>
        <v>0</v>
      </c>
      <c r="G458" s="8">
        <f t="shared" si="29"/>
        <v>0</v>
      </c>
    </row>
    <row r="459" spans="1:7" hidden="1" x14ac:dyDescent="0.25">
      <c r="A459" s="31" t="s">
        <v>636</v>
      </c>
      <c r="B459" s="320" t="s">
        <v>607</v>
      </c>
      <c r="C459" s="26" t="s">
        <v>583</v>
      </c>
      <c r="D459" s="26"/>
      <c r="E459" s="456">
        <f>+'APU CAP 5'!P592</f>
        <v>740638</v>
      </c>
      <c r="F459" s="457">
        <f t="shared" si="34"/>
        <v>0</v>
      </c>
      <c r="G459" s="8">
        <f t="shared" ref="G459:G522" si="35">+IF(F459&lt;&gt;0,1,0)</f>
        <v>0</v>
      </c>
    </row>
    <row r="460" spans="1:7" hidden="1" x14ac:dyDescent="0.25">
      <c r="A460" s="31" t="s">
        <v>637</v>
      </c>
      <c r="B460" s="320" t="s">
        <v>608</v>
      </c>
      <c r="C460" s="26" t="s">
        <v>583</v>
      </c>
      <c r="D460" s="26"/>
      <c r="E460" s="456">
        <f>+'APU CAP 5'!X592</f>
        <v>932246.5</v>
      </c>
      <c r="F460" s="457">
        <f t="shared" si="34"/>
        <v>0</v>
      </c>
      <c r="G460" s="8">
        <f t="shared" si="35"/>
        <v>0</v>
      </c>
    </row>
    <row r="461" spans="1:7" hidden="1" x14ac:dyDescent="0.25">
      <c r="A461" s="31" t="s">
        <v>638</v>
      </c>
      <c r="B461" s="320" t="s">
        <v>609</v>
      </c>
      <c r="C461" s="26" t="s">
        <v>583</v>
      </c>
      <c r="D461" s="26"/>
      <c r="E461" s="456">
        <f>+'APU CAP 5'!H592</f>
        <v>609251.25</v>
      </c>
      <c r="F461" s="457">
        <f t="shared" si="34"/>
        <v>0</v>
      </c>
      <c r="G461" s="8">
        <f t="shared" si="35"/>
        <v>0</v>
      </c>
    </row>
    <row r="462" spans="1:7" hidden="1" x14ac:dyDescent="0.25">
      <c r="A462" s="31" t="s">
        <v>639</v>
      </c>
      <c r="B462" s="320" t="s">
        <v>610</v>
      </c>
      <c r="C462" s="26" t="s">
        <v>583</v>
      </c>
      <c r="D462" s="26"/>
      <c r="E462" s="456">
        <f>+'APU CAP 5'!P592</f>
        <v>740638</v>
      </c>
      <c r="F462" s="457">
        <f t="shared" si="34"/>
        <v>0</v>
      </c>
      <c r="G462" s="8">
        <f t="shared" si="35"/>
        <v>0</v>
      </c>
    </row>
    <row r="463" spans="1:7" hidden="1" x14ac:dyDescent="0.25">
      <c r="A463" s="31" t="s">
        <v>640</v>
      </c>
      <c r="B463" s="320" t="s">
        <v>611</v>
      </c>
      <c r="C463" s="26" t="s">
        <v>583</v>
      </c>
      <c r="D463" s="26"/>
      <c r="E463" s="456">
        <f>+'APU CAP 5'!X592</f>
        <v>932246.5</v>
      </c>
      <c r="F463" s="457">
        <f t="shared" si="34"/>
        <v>0</v>
      </c>
      <c r="G463" s="8">
        <f t="shared" si="35"/>
        <v>0</v>
      </c>
    </row>
    <row r="464" spans="1:7" hidden="1" x14ac:dyDescent="0.25">
      <c r="A464" s="31" t="s">
        <v>641</v>
      </c>
      <c r="B464" s="320" t="s">
        <v>612</v>
      </c>
      <c r="C464" s="26" t="s">
        <v>583</v>
      </c>
      <c r="D464" s="26"/>
      <c r="E464" s="456">
        <f>+'APU CAP 5'!X592</f>
        <v>932246.5</v>
      </c>
      <c r="F464" s="457">
        <f t="shared" si="34"/>
        <v>0</v>
      </c>
      <c r="G464" s="8">
        <f t="shared" si="35"/>
        <v>0</v>
      </c>
    </row>
    <row r="465" spans="1:7" hidden="1" x14ac:dyDescent="0.25">
      <c r="A465" s="31" t="s">
        <v>642</v>
      </c>
      <c r="B465" s="320" t="s">
        <v>620</v>
      </c>
      <c r="C465" s="26" t="s">
        <v>583</v>
      </c>
      <c r="D465" s="26"/>
      <c r="E465" s="456">
        <f>+'APU CAP 5'!P592</f>
        <v>740638</v>
      </c>
      <c r="F465" s="457">
        <f t="shared" si="34"/>
        <v>0</v>
      </c>
      <c r="G465" s="8">
        <f t="shared" si="35"/>
        <v>0</v>
      </c>
    </row>
    <row r="466" spans="1:7" hidden="1" x14ac:dyDescent="0.25">
      <c r="A466" s="31" t="s">
        <v>643</v>
      </c>
      <c r="B466" s="320" t="s">
        <v>671</v>
      </c>
      <c r="C466" s="26" t="s">
        <v>583</v>
      </c>
      <c r="D466" s="26"/>
      <c r="E466" s="456"/>
      <c r="F466" s="457">
        <f t="shared" si="34"/>
        <v>0</v>
      </c>
      <c r="G466" s="8">
        <f t="shared" si="35"/>
        <v>0</v>
      </c>
    </row>
    <row r="467" spans="1:7" hidden="1" x14ac:dyDescent="0.25">
      <c r="A467" s="27" t="s">
        <v>644</v>
      </c>
      <c r="B467" s="321" t="s">
        <v>645</v>
      </c>
      <c r="C467" s="26"/>
      <c r="D467" s="26"/>
      <c r="E467" s="29"/>
      <c r="F467" s="16"/>
      <c r="G467" s="8">
        <f t="shared" si="35"/>
        <v>0</v>
      </c>
    </row>
    <row r="468" spans="1:7" hidden="1" x14ac:dyDescent="0.25">
      <c r="A468" s="27" t="s">
        <v>646</v>
      </c>
      <c r="B468" s="321" t="s">
        <v>649</v>
      </c>
      <c r="C468" s="26"/>
      <c r="D468" s="26"/>
      <c r="E468" s="29"/>
      <c r="F468" s="16"/>
      <c r="G468" s="8">
        <f t="shared" si="35"/>
        <v>0</v>
      </c>
    </row>
    <row r="469" spans="1:7" hidden="1" x14ac:dyDescent="0.25">
      <c r="A469" s="31" t="s">
        <v>647</v>
      </c>
      <c r="B469" s="320" t="s">
        <v>650</v>
      </c>
      <c r="C469" s="26" t="s">
        <v>683</v>
      </c>
      <c r="D469" s="26"/>
      <c r="E469" s="29"/>
      <c r="F469" s="16">
        <f>+D469*E469</f>
        <v>0</v>
      </c>
      <c r="G469" s="8">
        <f t="shared" si="35"/>
        <v>0</v>
      </c>
    </row>
    <row r="470" spans="1:7" hidden="1" x14ac:dyDescent="0.25">
      <c r="A470" s="31" t="s">
        <v>648</v>
      </c>
      <c r="B470" s="320" t="s">
        <v>651</v>
      </c>
      <c r="C470" s="26" t="s">
        <v>683</v>
      </c>
      <c r="D470" s="26"/>
      <c r="E470" s="29"/>
      <c r="F470" s="16">
        <f>+D470*E470</f>
        <v>0</v>
      </c>
      <c r="G470" s="8">
        <f t="shared" si="35"/>
        <v>0</v>
      </c>
    </row>
    <row r="471" spans="1:7" x14ac:dyDescent="0.25">
      <c r="A471" s="27" t="s">
        <v>588</v>
      </c>
      <c r="B471" s="321" t="s">
        <v>652</v>
      </c>
      <c r="C471" s="26"/>
      <c r="D471" s="26"/>
      <c r="E471" s="29"/>
      <c r="F471" s="16"/>
      <c r="G471" s="8">
        <v>1</v>
      </c>
    </row>
    <row r="472" spans="1:7" x14ac:dyDescent="0.25">
      <c r="A472" s="31" t="s">
        <v>589</v>
      </c>
      <c r="B472" s="320" t="s">
        <v>590</v>
      </c>
      <c r="C472" s="26" t="s">
        <v>591</v>
      </c>
      <c r="D472" s="26">
        <f>15.6*50</f>
        <v>780</v>
      </c>
      <c r="E472" s="29">
        <f>+'APU CAP 5'!H970</f>
        <v>3455</v>
      </c>
      <c r="F472" s="16">
        <f>+D472*E472</f>
        <v>2694900</v>
      </c>
      <c r="G472" s="8">
        <f t="shared" si="35"/>
        <v>1</v>
      </c>
    </row>
    <row r="473" spans="1:7" hidden="1" x14ac:dyDescent="0.25">
      <c r="A473" s="27" t="s">
        <v>653</v>
      </c>
      <c r="B473" s="321" t="s">
        <v>654</v>
      </c>
      <c r="C473" s="26"/>
      <c r="D473" s="26"/>
      <c r="E473" s="29"/>
      <c r="F473" s="16"/>
      <c r="G473" s="8">
        <f t="shared" si="35"/>
        <v>0</v>
      </c>
    </row>
    <row r="474" spans="1:7" hidden="1" x14ac:dyDescent="0.25">
      <c r="A474" s="31" t="s">
        <v>5859</v>
      </c>
      <c r="B474" s="320" t="s">
        <v>655</v>
      </c>
      <c r="C474" s="26" t="s">
        <v>591</v>
      </c>
      <c r="D474" s="26"/>
      <c r="E474" s="29">
        <f>+'APU CAP 5'!P970</f>
        <v>3322</v>
      </c>
      <c r="F474" s="16">
        <f>+D474*E474</f>
        <v>0</v>
      </c>
      <c r="G474" s="8">
        <f t="shared" si="35"/>
        <v>0</v>
      </c>
    </row>
    <row r="475" spans="1:7" hidden="1" x14ac:dyDescent="0.25">
      <c r="A475" s="31" t="s">
        <v>5860</v>
      </c>
      <c r="B475" s="320" t="s">
        <v>656</v>
      </c>
      <c r="C475" s="26" t="s">
        <v>591</v>
      </c>
      <c r="D475" s="26"/>
      <c r="E475" s="29">
        <f>+'APU CAP 5'!X970</f>
        <v>4037</v>
      </c>
      <c r="F475" s="16">
        <f>+D475*E475</f>
        <v>0</v>
      </c>
      <c r="G475" s="8">
        <f t="shared" si="35"/>
        <v>0</v>
      </c>
    </row>
    <row r="476" spans="1:7" hidden="1" x14ac:dyDescent="0.25">
      <c r="A476" s="27" t="s">
        <v>657</v>
      </c>
      <c r="B476" s="321" t="s">
        <v>658</v>
      </c>
      <c r="C476" s="26"/>
      <c r="D476" s="26"/>
      <c r="E476" s="29"/>
      <c r="F476" s="16"/>
      <c r="G476" s="8">
        <f t="shared" si="35"/>
        <v>0</v>
      </c>
    </row>
    <row r="477" spans="1:7" hidden="1" x14ac:dyDescent="0.25">
      <c r="A477" s="31" t="s">
        <v>659</v>
      </c>
      <c r="B477" s="320" t="s">
        <v>660</v>
      </c>
      <c r="C477" s="26" t="s">
        <v>591</v>
      </c>
      <c r="D477" s="26"/>
      <c r="E477" s="29">
        <f>+'APU CAP 5'!H1024</f>
        <v>68668</v>
      </c>
      <c r="F477" s="16">
        <f>+D477*E477</f>
        <v>0</v>
      </c>
      <c r="G477" s="8">
        <f t="shared" si="35"/>
        <v>0</v>
      </c>
    </row>
    <row r="478" spans="1:7" hidden="1" x14ac:dyDescent="0.25">
      <c r="A478" s="31" t="s">
        <v>664</v>
      </c>
      <c r="B478" s="320" t="s">
        <v>661</v>
      </c>
      <c r="C478" s="26" t="s">
        <v>591</v>
      </c>
      <c r="D478" s="26"/>
      <c r="E478" s="29">
        <f>+'APU CAP 5'!H1078</f>
        <v>8894</v>
      </c>
      <c r="F478" s="16">
        <f>+D478*E478</f>
        <v>0</v>
      </c>
      <c r="G478" s="8">
        <f t="shared" si="35"/>
        <v>0</v>
      </c>
    </row>
    <row r="479" spans="1:7" hidden="1" x14ac:dyDescent="0.25">
      <c r="A479" s="31" t="s">
        <v>665</v>
      </c>
      <c r="B479" s="320" t="s">
        <v>662</v>
      </c>
      <c r="C479" s="26" t="s">
        <v>591</v>
      </c>
      <c r="D479" s="26"/>
      <c r="E479" s="29">
        <f>+'APU CAP 5'!H1132</f>
        <v>9723</v>
      </c>
      <c r="F479" s="16">
        <f>+D479*E479</f>
        <v>0</v>
      </c>
      <c r="G479" s="8">
        <f t="shared" si="35"/>
        <v>0</v>
      </c>
    </row>
    <row r="480" spans="1:7" hidden="1" x14ac:dyDescent="0.25">
      <c r="A480" s="31" t="s">
        <v>666</v>
      </c>
      <c r="B480" s="320" t="s">
        <v>663</v>
      </c>
      <c r="C480" s="26" t="s">
        <v>591</v>
      </c>
      <c r="D480" s="26"/>
      <c r="E480" s="29">
        <f>+'APU CAP 5'!H1186</f>
        <v>6166</v>
      </c>
      <c r="F480" s="16">
        <f>+D480*E480</f>
        <v>0</v>
      </c>
      <c r="G480" s="8">
        <f t="shared" si="35"/>
        <v>0</v>
      </c>
    </row>
    <row r="481" spans="1:7" hidden="1" x14ac:dyDescent="0.25">
      <c r="A481" s="27" t="s">
        <v>592</v>
      </c>
      <c r="B481" s="321" t="s">
        <v>593</v>
      </c>
      <c r="C481" s="26"/>
      <c r="D481" s="26"/>
      <c r="E481" s="29"/>
      <c r="F481" s="16"/>
      <c r="G481" s="8">
        <f t="shared" si="35"/>
        <v>0</v>
      </c>
    </row>
    <row r="482" spans="1:7" hidden="1" x14ac:dyDescent="0.25">
      <c r="A482" s="17" t="s">
        <v>667</v>
      </c>
      <c r="B482" s="18" t="s">
        <v>669</v>
      </c>
      <c r="C482" s="14" t="s">
        <v>14</v>
      </c>
      <c r="D482" s="14"/>
      <c r="E482" s="15">
        <f>+'APU CAP 5'!H1240</f>
        <v>31320</v>
      </c>
      <c r="F482" s="16">
        <f>+D482*E482</f>
        <v>0</v>
      </c>
      <c r="G482" s="8">
        <f t="shared" si="35"/>
        <v>0</v>
      </c>
    </row>
    <row r="483" spans="1:7" hidden="1" x14ac:dyDescent="0.25">
      <c r="A483" s="17" t="s">
        <v>668</v>
      </c>
      <c r="B483" s="18" t="s">
        <v>670</v>
      </c>
      <c r="C483" s="14" t="s">
        <v>14</v>
      </c>
      <c r="D483" s="14"/>
      <c r="E483" s="15">
        <f>+'APU CAP 5'!H1294</f>
        <v>48291</v>
      </c>
      <c r="F483" s="16">
        <f>+D483*E483</f>
        <v>0</v>
      </c>
      <c r="G483" s="8">
        <f t="shared" si="35"/>
        <v>0</v>
      </c>
    </row>
    <row r="484" spans="1:7" x14ac:dyDescent="0.25">
      <c r="A484" s="2454" t="s">
        <v>842</v>
      </c>
      <c r="B484" s="2455"/>
      <c r="C484" s="2455"/>
      <c r="D484" s="2455"/>
      <c r="E484" s="2455"/>
      <c r="F484" s="19">
        <f>SUM(F420:F483)</f>
        <v>10469300.4</v>
      </c>
      <c r="G484" s="8">
        <f t="shared" si="35"/>
        <v>1</v>
      </c>
    </row>
    <row r="485" spans="1:7" hidden="1" x14ac:dyDescent="0.25">
      <c r="A485" s="458">
        <v>6</v>
      </c>
      <c r="B485" s="459" t="s">
        <v>5867</v>
      </c>
      <c r="C485" s="63"/>
      <c r="D485" s="63"/>
      <c r="E485" s="460"/>
      <c r="F485" s="461"/>
      <c r="G485" s="8">
        <f t="shared" si="35"/>
        <v>0</v>
      </c>
    </row>
    <row r="486" spans="1:7" hidden="1" x14ac:dyDescent="0.25">
      <c r="A486" s="12" t="s">
        <v>673</v>
      </c>
      <c r="B486" s="13" t="s">
        <v>672</v>
      </c>
      <c r="C486" s="14"/>
      <c r="D486" s="14"/>
      <c r="E486" s="15"/>
      <c r="F486" s="16"/>
      <c r="G486" s="8">
        <f t="shared" si="35"/>
        <v>0</v>
      </c>
    </row>
    <row r="487" spans="1:7" hidden="1" x14ac:dyDescent="0.25">
      <c r="A487" s="12" t="s">
        <v>674</v>
      </c>
      <c r="B487" s="13" t="s">
        <v>811</v>
      </c>
      <c r="C487" s="14"/>
      <c r="D487" s="14"/>
      <c r="E487" s="15"/>
      <c r="F487" s="16"/>
      <c r="G487" s="8">
        <f t="shared" si="35"/>
        <v>0</v>
      </c>
    </row>
    <row r="488" spans="1:7" hidden="1" x14ac:dyDescent="0.25">
      <c r="A488" s="17" t="s">
        <v>812</v>
      </c>
      <c r="B488" s="18" t="s">
        <v>675</v>
      </c>
      <c r="C488" s="26" t="s">
        <v>683</v>
      </c>
      <c r="D488" s="14"/>
      <c r="E488" s="15">
        <f>+'APU CAP 6'!H272</f>
        <v>33748</v>
      </c>
      <c r="F488" s="16">
        <f>+D488*E488</f>
        <v>0</v>
      </c>
      <c r="G488" s="8">
        <f t="shared" si="35"/>
        <v>0</v>
      </c>
    </row>
    <row r="489" spans="1:7" hidden="1" x14ac:dyDescent="0.25">
      <c r="A489" s="12" t="s">
        <v>679</v>
      </c>
      <c r="B489" s="13" t="s">
        <v>5868</v>
      </c>
      <c r="C489" s="14"/>
      <c r="D489" s="14"/>
      <c r="E489" s="15"/>
      <c r="F489" s="16"/>
      <c r="G489" s="8">
        <f t="shared" si="35"/>
        <v>0</v>
      </c>
    </row>
    <row r="490" spans="1:7" hidden="1" x14ac:dyDescent="0.25">
      <c r="A490" s="17" t="s">
        <v>680</v>
      </c>
      <c r="B490" s="18" t="s">
        <v>678</v>
      </c>
      <c r="C490" s="26" t="s">
        <v>683</v>
      </c>
      <c r="D490" s="14"/>
      <c r="E490" s="15">
        <f>+'APU CAP 6'!H218</f>
        <v>28791</v>
      </c>
      <c r="F490" s="16">
        <f>+D490*E490</f>
        <v>0</v>
      </c>
      <c r="G490" s="8">
        <f t="shared" si="35"/>
        <v>0</v>
      </c>
    </row>
    <row r="491" spans="1:7" hidden="1" x14ac:dyDescent="0.25">
      <c r="A491" s="17" t="s">
        <v>681</v>
      </c>
      <c r="B491" s="18" t="s">
        <v>676</v>
      </c>
      <c r="C491" s="26" t="s">
        <v>683</v>
      </c>
      <c r="D491" s="14"/>
      <c r="E491" s="15">
        <f>+'APU CAP 6'!P218</f>
        <v>47712</v>
      </c>
      <c r="F491" s="16">
        <f>+D491*E491</f>
        <v>0</v>
      </c>
      <c r="G491" s="8">
        <f t="shared" si="35"/>
        <v>0</v>
      </c>
    </row>
    <row r="492" spans="1:7" hidden="1" x14ac:dyDescent="0.25">
      <c r="A492" s="17" t="s">
        <v>682</v>
      </c>
      <c r="B492" s="18" t="s">
        <v>677</v>
      </c>
      <c r="C492" s="26" t="s">
        <v>683</v>
      </c>
      <c r="D492" s="14"/>
      <c r="E492" s="15">
        <f>+'APU CAP 6'!X218</f>
        <v>88919</v>
      </c>
      <c r="F492" s="16">
        <f>+D492*E492</f>
        <v>0</v>
      </c>
      <c r="G492" s="8">
        <f t="shared" si="35"/>
        <v>0</v>
      </c>
    </row>
    <row r="493" spans="1:7" hidden="1" x14ac:dyDescent="0.25">
      <c r="A493" s="12" t="s">
        <v>684</v>
      </c>
      <c r="B493" s="13" t="s">
        <v>685</v>
      </c>
      <c r="C493" s="14"/>
      <c r="D493" s="14"/>
      <c r="E493" s="15"/>
      <c r="F493" s="16"/>
      <c r="G493" s="8">
        <f t="shared" si="35"/>
        <v>0</v>
      </c>
    </row>
    <row r="494" spans="1:7" hidden="1" x14ac:dyDescent="0.25">
      <c r="A494" s="17" t="s">
        <v>686</v>
      </c>
      <c r="B494" s="18" t="s">
        <v>676</v>
      </c>
      <c r="C494" s="26" t="s">
        <v>683</v>
      </c>
      <c r="D494" s="14"/>
      <c r="E494" s="15">
        <f>+'APU CAP 6'!H380</f>
        <v>64942</v>
      </c>
      <c r="F494" s="16">
        <f>+D494*E494</f>
        <v>0</v>
      </c>
      <c r="G494" s="8">
        <f t="shared" si="35"/>
        <v>0</v>
      </c>
    </row>
    <row r="495" spans="1:7" hidden="1" x14ac:dyDescent="0.25">
      <c r="A495" s="17" t="s">
        <v>687</v>
      </c>
      <c r="B495" s="18" t="s">
        <v>677</v>
      </c>
      <c r="C495" s="26" t="s">
        <v>683</v>
      </c>
      <c r="D495" s="14"/>
      <c r="E495" s="15">
        <f>+'APU CAP 6'!P380</f>
        <v>71108</v>
      </c>
      <c r="F495" s="16">
        <f>+D495*E495</f>
        <v>0</v>
      </c>
      <c r="G495" s="8">
        <f t="shared" si="35"/>
        <v>0</v>
      </c>
    </row>
    <row r="496" spans="1:7" hidden="1" x14ac:dyDescent="0.25">
      <c r="A496" s="12" t="s">
        <v>690</v>
      </c>
      <c r="B496" s="13" t="s">
        <v>688</v>
      </c>
      <c r="C496" s="14"/>
      <c r="D496" s="14"/>
      <c r="E496" s="15"/>
      <c r="F496" s="16"/>
      <c r="G496" s="8">
        <f t="shared" si="35"/>
        <v>0</v>
      </c>
    </row>
    <row r="497" spans="1:7" hidden="1" x14ac:dyDescent="0.25">
      <c r="A497" s="17" t="s">
        <v>689</v>
      </c>
      <c r="B497" s="18" t="s">
        <v>676</v>
      </c>
      <c r="C497" s="26" t="s">
        <v>683</v>
      </c>
      <c r="D497" s="14"/>
      <c r="E497" s="15">
        <f>+'APU CAP 6'!H326</f>
        <v>58048</v>
      </c>
      <c r="F497" s="16">
        <f>+D497*E497</f>
        <v>0</v>
      </c>
      <c r="G497" s="8">
        <f t="shared" si="35"/>
        <v>0</v>
      </c>
    </row>
    <row r="498" spans="1:7" hidden="1" x14ac:dyDescent="0.25">
      <c r="A498" s="17" t="s">
        <v>691</v>
      </c>
      <c r="B498" s="18" t="s">
        <v>677</v>
      </c>
      <c r="C498" s="26" t="s">
        <v>683</v>
      </c>
      <c r="D498" s="14"/>
      <c r="E498" s="15">
        <f>+'APU CAP 6'!P326</f>
        <v>105480</v>
      </c>
      <c r="F498" s="16">
        <f>+D498*E498</f>
        <v>0</v>
      </c>
      <c r="G498" s="8">
        <f t="shared" si="35"/>
        <v>0</v>
      </c>
    </row>
    <row r="499" spans="1:7" hidden="1" x14ac:dyDescent="0.25">
      <c r="A499" s="12" t="s">
        <v>693</v>
      </c>
      <c r="B499" s="13" t="s">
        <v>692</v>
      </c>
      <c r="C499" s="14"/>
      <c r="D499" s="14"/>
      <c r="E499" s="15"/>
      <c r="F499" s="16"/>
      <c r="G499" s="8">
        <f t="shared" si="35"/>
        <v>0</v>
      </c>
    </row>
    <row r="500" spans="1:7" hidden="1" x14ac:dyDescent="0.25">
      <c r="A500" s="17" t="s">
        <v>694</v>
      </c>
      <c r="B500" s="18" t="s">
        <v>695</v>
      </c>
      <c r="C500" s="26" t="s">
        <v>683</v>
      </c>
      <c r="D500" s="14"/>
      <c r="E500" s="15">
        <f>+'APU CAP 6'!H434</f>
        <v>14826</v>
      </c>
      <c r="F500" s="16">
        <f>+D500*E500</f>
        <v>0</v>
      </c>
      <c r="G500" s="8">
        <f t="shared" si="35"/>
        <v>0</v>
      </c>
    </row>
    <row r="501" spans="1:7" hidden="1" x14ac:dyDescent="0.25">
      <c r="A501" s="17" t="s">
        <v>698</v>
      </c>
      <c r="B501" s="18" t="s">
        <v>696</v>
      </c>
      <c r="C501" s="26" t="s">
        <v>683</v>
      </c>
      <c r="D501" s="14"/>
      <c r="E501" s="15">
        <f>+'APU CAP 6'!H434</f>
        <v>14826</v>
      </c>
      <c r="F501" s="16">
        <f>+D501*E501</f>
        <v>0</v>
      </c>
      <c r="G501" s="8">
        <f t="shared" si="35"/>
        <v>0</v>
      </c>
    </row>
    <row r="502" spans="1:7" hidden="1" x14ac:dyDescent="0.25">
      <c r="A502" s="17" t="s">
        <v>699</v>
      </c>
      <c r="B502" s="18" t="s">
        <v>697</v>
      </c>
      <c r="C502" s="26" t="s">
        <v>683</v>
      </c>
      <c r="D502" s="14"/>
      <c r="E502" s="15">
        <f>+'APU CAP 6'!H488</f>
        <v>17633</v>
      </c>
      <c r="F502" s="16">
        <f>+D502*E502</f>
        <v>0</v>
      </c>
      <c r="G502" s="8">
        <f t="shared" si="35"/>
        <v>0</v>
      </c>
    </row>
    <row r="503" spans="1:7" hidden="1" x14ac:dyDescent="0.25">
      <c r="A503" s="17" t="s">
        <v>700</v>
      </c>
      <c r="B503" s="18" t="s">
        <v>5730</v>
      </c>
      <c r="C503" s="26" t="s">
        <v>701</v>
      </c>
      <c r="D503" s="14"/>
      <c r="E503" s="15">
        <f>+'APU CAP 6'!H542</f>
        <v>844381</v>
      </c>
      <c r="F503" s="16">
        <f>+D503*E503</f>
        <v>0</v>
      </c>
      <c r="G503" s="8">
        <f t="shared" si="35"/>
        <v>0</v>
      </c>
    </row>
    <row r="504" spans="1:7" hidden="1" x14ac:dyDescent="0.25">
      <c r="A504" s="12" t="s">
        <v>703</v>
      </c>
      <c r="B504" s="13" t="s">
        <v>702</v>
      </c>
      <c r="C504" s="14"/>
      <c r="D504" s="14"/>
      <c r="E504" s="15"/>
      <c r="F504" s="16"/>
      <c r="G504" s="8">
        <f t="shared" si="35"/>
        <v>0</v>
      </c>
    </row>
    <row r="505" spans="1:7" hidden="1" x14ac:dyDescent="0.25">
      <c r="A505" s="12" t="s">
        <v>705</v>
      </c>
      <c r="B505" s="13" t="s">
        <v>704</v>
      </c>
      <c r="C505" s="14"/>
      <c r="D505" s="14"/>
      <c r="E505" s="15"/>
      <c r="F505" s="16"/>
      <c r="G505" s="8">
        <f t="shared" si="35"/>
        <v>0</v>
      </c>
    </row>
    <row r="506" spans="1:7" hidden="1" x14ac:dyDescent="0.25">
      <c r="A506" s="17" t="s">
        <v>706</v>
      </c>
      <c r="B506" s="18" t="s">
        <v>709</v>
      </c>
      <c r="C506" s="26" t="s">
        <v>683</v>
      </c>
      <c r="D506" s="14"/>
      <c r="E506" s="15">
        <f>+'APU CAP 6'!H596</f>
        <v>40122</v>
      </c>
      <c r="F506" s="16">
        <f>+D506*E506</f>
        <v>0</v>
      </c>
      <c r="G506" s="8">
        <f t="shared" si="35"/>
        <v>0</v>
      </c>
    </row>
    <row r="507" spans="1:7" hidden="1" x14ac:dyDescent="0.25">
      <c r="A507" s="17" t="s">
        <v>710</v>
      </c>
      <c r="B507" s="18" t="s">
        <v>707</v>
      </c>
      <c r="C507" s="26" t="s">
        <v>683</v>
      </c>
      <c r="D507" s="14"/>
      <c r="E507" s="15">
        <f>+'APU CAP 6'!P596</f>
        <v>49572</v>
      </c>
      <c r="F507" s="16">
        <f>+D507*E507</f>
        <v>0</v>
      </c>
      <c r="G507" s="8">
        <f t="shared" si="35"/>
        <v>0</v>
      </c>
    </row>
    <row r="508" spans="1:7" hidden="1" x14ac:dyDescent="0.25">
      <c r="A508" s="17" t="s">
        <v>711</v>
      </c>
      <c r="B508" s="18" t="s">
        <v>708</v>
      </c>
      <c r="C508" s="26" t="s">
        <v>683</v>
      </c>
      <c r="D508" s="14"/>
      <c r="E508" s="15">
        <f>+'APU CAP 6'!X596</f>
        <v>53124</v>
      </c>
      <c r="F508" s="16">
        <f>+D508*E508</f>
        <v>0</v>
      </c>
      <c r="G508" s="8">
        <f t="shared" si="35"/>
        <v>0</v>
      </c>
    </row>
    <row r="509" spans="1:7" hidden="1" x14ac:dyDescent="0.25">
      <c r="A509" s="17" t="s">
        <v>714</v>
      </c>
      <c r="B509" s="18" t="s">
        <v>813</v>
      </c>
      <c r="C509" s="26" t="s">
        <v>683</v>
      </c>
      <c r="D509" s="14"/>
      <c r="E509" s="471">
        <f>+'APU CAP 6'!AF596</f>
        <v>41574</v>
      </c>
      <c r="F509" s="16">
        <f>+D509*E509</f>
        <v>0</v>
      </c>
      <c r="G509" s="8">
        <f t="shared" si="35"/>
        <v>0</v>
      </c>
    </row>
    <row r="510" spans="1:7" hidden="1" x14ac:dyDescent="0.25">
      <c r="A510" s="12" t="s">
        <v>712</v>
      </c>
      <c r="B510" s="13" t="s">
        <v>713</v>
      </c>
      <c r="C510" s="132"/>
      <c r="D510" s="14"/>
      <c r="E510" s="15"/>
      <c r="F510" s="16"/>
      <c r="G510" s="8">
        <f t="shared" si="35"/>
        <v>0</v>
      </c>
    </row>
    <row r="511" spans="1:7" hidden="1" x14ac:dyDescent="0.25">
      <c r="A511" s="17" t="s">
        <v>715</v>
      </c>
      <c r="B511" s="18" t="s">
        <v>716</v>
      </c>
      <c r="C511" s="26" t="s">
        <v>683</v>
      </c>
      <c r="D511" s="14"/>
      <c r="E511" s="15">
        <f>+'APU CAP 6'!H650</f>
        <v>39539</v>
      </c>
      <c r="F511" s="16">
        <f>+D511*E511</f>
        <v>0</v>
      </c>
      <c r="G511" s="8">
        <f t="shared" si="35"/>
        <v>0</v>
      </c>
    </row>
    <row r="512" spans="1:7" hidden="1" x14ac:dyDescent="0.25">
      <c r="A512" s="17" t="s">
        <v>717</v>
      </c>
      <c r="B512" s="18" t="s">
        <v>718</v>
      </c>
      <c r="C512" s="26" t="s">
        <v>683</v>
      </c>
      <c r="D512" s="14"/>
      <c r="E512" s="15">
        <f>+'APU CAP 6'!P650</f>
        <v>7770</v>
      </c>
      <c r="F512" s="16">
        <f>+D512*E512</f>
        <v>0</v>
      </c>
      <c r="G512" s="8">
        <f t="shared" si="35"/>
        <v>0</v>
      </c>
    </row>
    <row r="513" spans="1:7" hidden="1" x14ac:dyDescent="0.25">
      <c r="A513" s="12" t="s">
        <v>719</v>
      </c>
      <c r="B513" s="13" t="s">
        <v>720</v>
      </c>
      <c r="C513" s="132"/>
      <c r="D513" s="14"/>
      <c r="E513" s="15"/>
      <c r="F513" s="16"/>
      <c r="G513" s="8">
        <f t="shared" si="35"/>
        <v>0</v>
      </c>
    </row>
    <row r="514" spans="1:7" hidden="1" x14ac:dyDescent="0.25">
      <c r="A514" s="17" t="s">
        <v>721</v>
      </c>
      <c r="B514" s="18" t="s">
        <v>743</v>
      </c>
      <c r="C514" s="14" t="s">
        <v>37</v>
      </c>
      <c r="D514" s="14"/>
      <c r="E514" s="15">
        <f>+'APU CAP 6'!H704</f>
        <v>105787.4</v>
      </c>
      <c r="F514" s="16">
        <f>+D514*E514</f>
        <v>0</v>
      </c>
      <c r="G514" s="8">
        <f t="shared" si="35"/>
        <v>0</v>
      </c>
    </row>
    <row r="515" spans="1:7" hidden="1" x14ac:dyDescent="0.25">
      <c r="A515" s="17" t="s">
        <v>723</v>
      </c>
      <c r="B515" s="18" t="s">
        <v>722</v>
      </c>
      <c r="C515" s="14" t="s">
        <v>37</v>
      </c>
      <c r="D515" s="14"/>
      <c r="E515" s="15">
        <f>+'APU CAP 6'!H758</f>
        <v>51791.000000000007</v>
      </c>
      <c r="F515" s="16">
        <f>+D515*E515</f>
        <v>0</v>
      </c>
      <c r="G515" s="8">
        <f t="shared" si="35"/>
        <v>0</v>
      </c>
    </row>
    <row r="516" spans="1:7" hidden="1" x14ac:dyDescent="0.25">
      <c r="A516" s="17" t="s">
        <v>724</v>
      </c>
      <c r="B516" s="18" t="s">
        <v>744</v>
      </c>
      <c r="C516" s="14" t="s">
        <v>37</v>
      </c>
      <c r="D516" s="14"/>
      <c r="E516" s="15">
        <f>+'APU CAP 6'!H812</f>
        <v>70662.600000000006</v>
      </c>
      <c r="F516" s="16">
        <f>+D516*E516</f>
        <v>0</v>
      </c>
      <c r="G516" s="8">
        <f t="shared" si="35"/>
        <v>0</v>
      </c>
    </row>
    <row r="517" spans="1:7" hidden="1" x14ac:dyDescent="0.25">
      <c r="A517" s="12" t="s">
        <v>725</v>
      </c>
      <c r="B517" s="13" t="s">
        <v>726</v>
      </c>
      <c r="C517" s="14"/>
      <c r="D517" s="14"/>
      <c r="E517" s="15"/>
      <c r="F517" s="16"/>
      <c r="G517" s="8">
        <f t="shared" si="35"/>
        <v>0</v>
      </c>
    </row>
    <row r="518" spans="1:7" hidden="1" x14ac:dyDescent="0.25">
      <c r="A518" s="17" t="s">
        <v>727</v>
      </c>
      <c r="B518" s="18" t="s">
        <v>728</v>
      </c>
      <c r="C518" s="14" t="s">
        <v>37</v>
      </c>
      <c r="D518" s="14"/>
      <c r="E518" s="15">
        <f>+'APU CAP 6'!H920</f>
        <v>163961</v>
      </c>
      <c r="F518" s="16">
        <f>+D518*E518</f>
        <v>0</v>
      </c>
      <c r="G518" s="8">
        <f t="shared" si="35"/>
        <v>0</v>
      </c>
    </row>
    <row r="519" spans="1:7" hidden="1" x14ac:dyDescent="0.25">
      <c r="A519" s="17" t="s">
        <v>731</v>
      </c>
      <c r="B519" s="18" t="s">
        <v>729</v>
      </c>
      <c r="C519" s="14" t="s">
        <v>37</v>
      </c>
      <c r="D519" s="14"/>
      <c r="E519" s="15">
        <f>+'APU CAP 6'!H866</f>
        <v>225481</v>
      </c>
      <c r="F519" s="16">
        <f>+D519*E519</f>
        <v>0</v>
      </c>
      <c r="G519" s="8">
        <f t="shared" si="35"/>
        <v>0</v>
      </c>
    </row>
    <row r="520" spans="1:7" hidden="1" x14ac:dyDescent="0.25">
      <c r="A520" s="17" t="s">
        <v>732</v>
      </c>
      <c r="B520" s="18" t="s">
        <v>730</v>
      </c>
      <c r="C520" s="14" t="s">
        <v>37</v>
      </c>
      <c r="D520" s="14"/>
      <c r="E520" s="15">
        <f>+'APU CAP 6'!P866</f>
        <v>188096</v>
      </c>
      <c r="F520" s="16">
        <f>+D520*E520</f>
        <v>0</v>
      </c>
      <c r="G520" s="8">
        <f t="shared" si="35"/>
        <v>0</v>
      </c>
    </row>
    <row r="521" spans="1:7" hidden="1" x14ac:dyDescent="0.25">
      <c r="A521" s="17" t="s">
        <v>733</v>
      </c>
      <c r="B521" s="18" t="s">
        <v>5869</v>
      </c>
      <c r="C521" s="14" t="s">
        <v>37</v>
      </c>
      <c r="D521" s="14"/>
      <c r="E521" s="15">
        <f>+'APU CAP 6'!H974</f>
        <v>178771</v>
      </c>
      <c r="F521" s="16">
        <f>+D521*E521</f>
        <v>0</v>
      </c>
      <c r="G521" s="8">
        <f t="shared" si="35"/>
        <v>0</v>
      </c>
    </row>
    <row r="522" spans="1:7" hidden="1" x14ac:dyDescent="0.25">
      <c r="A522" s="17" t="s">
        <v>734</v>
      </c>
      <c r="B522" s="18" t="s">
        <v>735</v>
      </c>
      <c r="C522" s="14" t="s">
        <v>37</v>
      </c>
      <c r="D522" s="14"/>
      <c r="E522" s="15">
        <f>+'APU CAP 6'!H1028</f>
        <v>146447</v>
      </c>
      <c r="F522" s="16">
        <f>+D522*E522</f>
        <v>0</v>
      </c>
      <c r="G522" s="8">
        <f t="shared" si="35"/>
        <v>0</v>
      </c>
    </row>
    <row r="523" spans="1:7" hidden="1" x14ac:dyDescent="0.25">
      <c r="A523" s="12" t="s">
        <v>736</v>
      </c>
      <c r="B523" s="13" t="s">
        <v>737</v>
      </c>
      <c r="C523" s="132"/>
      <c r="D523" s="14"/>
      <c r="E523" s="15"/>
      <c r="F523" s="16"/>
      <c r="G523" s="8">
        <f t="shared" ref="G523:G586" si="36">+IF(F523&lt;&gt;0,1,0)</f>
        <v>0</v>
      </c>
    </row>
    <row r="524" spans="1:7" ht="25.5" hidden="1" x14ac:dyDescent="0.25">
      <c r="A524" s="17" t="s">
        <v>738</v>
      </c>
      <c r="B524" s="25" t="s">
        <v>5873</v>
      </c>
      <c r="C524" s="14" t="s">
        <v>37</v>
      </c>
      <c r="D524" s="14"/>
      <c r="E524" s="15">
        <f>+'APU CAP 6'!H1082</f>
        <v>388363.625</v>
      </c>
      <c r="F524" s="16">
        <f>+D524*E524</f>
        <v>0</v>
      </c>
      <c r="G524" s="8">
        <f t="shared" si="36"/>
        <v>0</v>
      </c>
    </row>
    <row r="525" spans="1:7" ht="25.5" hidden="1" x14ac:dyDescent="0.25">
      <c r="A525" s="17" t="s">
        <v>739</v>
      </c>
      <c r="B525" s="25" t="s">
        <v>740</v>
      </c>
      <c r="C525" s="14" t="s">
        <v>37</v>
      </c>
      <c r="D525" s="14"/>
      <c r="E525" s="15"/>
      <c r="F525" s="16">
        <f>+D525*E525</f>
        <v>0</v>
      </c>
      <c r="G525" s="8">
        <f t="shared" si="36"/>
        <v>0</v>
      </c>
    </row>
    <row r="526" spans="1:7" hidden="1" x14ac:dyDescent="0.25">
      <c r="A526" s="12" t="s">
        <v>741</v>
      </c>
      <c r="B526" s="13" t="s">
        <v>742</v>
      </c>
      <c r="C526" s="132"/>
      <c r="D526" s="14"/>
      <c r="E526" s="15"/>
      <c r="F526" s="16"/>
      <c r="G526" s="8">
        <f t="shared" si="36"/>
        <v>0</v>
      </c>
    </row>
    <row r="527" spans="1:7" ht="25.5" hidden="1" x14ac:dyDescent="0.25">
      <c r="A527" s="17" t="s">
        <v>745</v>
      </c>
      <c r="B527" s="25" t="s">
        <v>5872</v>
      </c>
      <c r="C527" s="14" t="s">
        <v>37</v>
      </c>
      <c r="D527" s="14"/>
      <c r="E527" s="15">
        <f>+'APU CAP 6'!H1460</f>
        <v>652620</v>
      </c>
      <c r="F527" s="16">
        <f>+D527*E527</f>
        <v>0</v>
      </c>
      <c r="G527" s="8">
        <f t="shared" si="36"/>
        <v>0</v>
      </c>
    </row>
    <row r="528" spans="1:7" ht="25.5" hidden="1" x14ac:dyDescent="0.25">
      <c r="A528" s="17" t="s">
        <v>746</v>
      </c>
      <c r="B528" s="25" t="s">
        <v>5870</v>
      </c>
      <c r="C528" s="14" t="s">
        <v>37</v>
      </c>
      <c r="D528" s="14"/>
      <c r="E528" s="15">
        <f>+'APU CAP 6'!P1460</f>
        <v>2197467</v>
      </c>
      <c r="F528" s="16">
        <f>+D528*E528</f>
        <v>0</v>
      </c>
      <c r="G528" s="8">
        <f t="shared" si="36"/>
        <v>0</v>
      </c>
    </row>
    <row r="529" spans="1:7" hidden="1" x14ac:dyDescent="0.25">
      <c r="A529" s="17" t="s">
        <v>747</v>
      </c>
      <c r="B529" s="18" t="s">
        <v>5871</v>
      </c>
      <c r="C529" s="26" t="s">
        <v>683</v>
      </c>
      <c r="D529" s="14"/>
      <c r="E529" s="15">
        <f>+'APU CAP 6'!H1514</f>
        <v>208373</v>
      </c>
      <c r="F529" s="16">
        <f>+D529*E529</f>
        <v>0</v>
      </c>
      <c r="G529" s="8">
        <f t="shared" si="36"/>
        <v>0</v>
      </c>
    </row>
    <row r="530" spans="1:7" hidden="1" x14ac:dyDescent="0.25">
      <c r="A530" s="12" t="s">
        <v>748</v>
      </c>
      <c r="B530" s="13" t="s">
        <v>749</v>
      </c>
      <c r="C530" s="132"/>
      <c r="D530" s="14"/>
      <c r="E530" s="15"/>
      <c r="F530" s="16"/>
      <c r="G530" s="8">
        <f t="shared" si="36"/>
        <v>0</v>
      </c>
    </row>
    <row r="531" spans="1:7" hidden="1" x14ac:dyDescent="0.25">
      <c r="A531" s="17" t="s">
        <v>750</v>
      </c>
      <c r="B531" s="18" t="s">
        <v>751</v>
      </c>
      <c r="C531" s="14" t="s">
        <v>591</v>
      </c>
      <c r="D531" s="14"/>
      <c r="E531" s="15"/>
      <c r="F531" s="16">
        <f>+D531*E531</f>
        <v>0</v>
      </c>
      <c r="G531" s="8">
        <f t="shared" si="36"/>
        <v>0</v>
      </c>
    </row>
    <row r="532" spans="1:7" hidden="1" x14ac:dyDescent="0.25">
      <c r="A532" s="17" t="s">
        <v>752</v>
      </c>
      <c r="B532" s="18" t="s">
        <v>757</v>
      </c>
      <c r="C532" s="26" t="s">
        <v>683</v>
      </c>
      <c r="D532" s="14"/>
      <c r="E532" s="15"/>
      <c r="F532" s="16">
        <f>+D532*E532</f>
        <v>0</v>
      </c>
      <c r="G532" s="8">
        <f t="shared" si="36"/>
        <v>0</v>
      </c>
    </row>
    <row r="533" spans="1:7" hidden="1" x14ac:dyDescent="0.25">
      <c r="A533" s="12" t="s">
        <v>753</v>
      </c>
      <c r="B533" s="13" t="s">
        <v>754</v>
      </c>
      <c r="C533" s="14"/>
      <c r="D533" s="14"/>
      <c r="E533" s="15"/>
      <c r="F533" s="16"/>
      <c r="G533" s="8">
        <f t="shared" si="36"/>
        <v>0</v>
      </c>
    </row>
    <row r="534" spans="1:7" hidden="1" x14ac:dyDescent="0.25">
      <c r="A534" s="17" t="s">
        <v>755</v>
      </c>
      <c r="B534" s="18" t="s">
        <v>756</v>
      </c>
      <c r="C534" s="26" t="s">
        <v>683</v>
      </c>
      <c r="D534" s="14"/>
      <c r="E534" s="15"/>
      <c r="F534" s="16">
        <f>+D534*E534</f>
        <v>0</v>
      </c>
      <c r="G534" s="8">
        <f t="shared" si="36"/>
        <v>0</v>
      </c>
    </row>
    <row r="535" spans="1:7" hidden="1" x14ac:dyDescent="0.25">
      <c r="A535" s="17" t="s">
        <v>758</v>
      </c>
      <c r="B535" s="18" t="s">
        <v>759</v>
      </c>
      <c r="C535" s="26" t="s">
        <v>683</v>
      </c>
      <c r="D535" s="14"/>
      <c r="E535" s="15"/>
      <c r="F535" s="16">
        <f>+D535*E535</f>
        <v>0</v>
      </c>
      <c r="G535" s="8">
        <f t="shared" si="36"/>
        <v>0</v>
      </c>
    </row>
    <row r="536" spans="1:7" hidden="1" x14ac:dyDescent="0.25">
      <c r="A536" s="12" t="s">
        <v>760</v>
      </c>
      <c r="B536" s="13" t="s">
        <v>5874</v>
      </c>
      <c r="C536" s="14"/>
      <c r="D536" s="14"/>
      <c r="E536" s="15"/>
      <c r="F536" s="16"/>
      <c r="G536" s="8">
        <f t="shared" si="36"/>
        <v>0</v>
      </c>
    </row>
    <row r="537" spans="1:7" hidden="1" x14ac:dyDescent="0.25">
      <c r="A537" s="12" t="s">
        <v>761</v>
      </c>
      <c r="B537" s="13" t="s">
        <v>763</v>
      </c>
      <c r="C537" s="132"/>
      <c r="D537" s="14"/>
      <c r="E537" s="15"/>
      <c r="F537" s="16"/>
      <c r="G537" s="8">
        <f t="shared" si="36"/>
        <v>0</v>
      </c>
    </row>
    <row r="538" spans="1:7" hidden="1" x14ac:dyDescent="0.25">
      <c r="A538" s="17" t="s">
        <v>764</v>
      </c>
      <c r="B538" s="18" t="s">
        <v>5875</v>
      </c>
      <c r="C538" s="14" t="s">
        <v>14</v>
      </c>
      <c r="D538" s="14"/>
      <c r="E538" s="15"/>
      <c r="F538" s="16">
        <f>+D538*E538</f>
        <v>0</v>
      </c>
      <c r="G538" s="8">
        <f t="shared" si="36"/>
        <v>0</v>
      </c>
    </row>
    <row r="539" spans="1:7" hidden="1" x14ac:dyDescent="0.25">
      <c r="A539" s="17" t="s">
        <v>765</v>
      </c>
      <c r="B539" s="18" t="s">
        <v>766</v>
      </c>
      <c r="C539" s="14" t="s">
        <v>14</v>
      </c>
      <c r="D539" s="14"/>
      <c r="E539" s="15"/>
      <c r="F539" s="16">
        <f>+D539*E539</f>
        <v>0</v>
      </c>
      <c r="G539" s="8">
        <f t="shared" si="36"/>
        <v>0</v>
      </c>
    </row>
    <row r="540" spans="1:7" hidden="1" x14ac:dyDescent="0.25">
      <c r="A540" s="17" t="s">
        <v>767</v>
      </c>
      <c r="B540" s="18" t="s">
        <v>5876</v>
      </c>
      <c r="C540" s="14" t="s">
        <v>14</v>
      </c>
      <c r="D540" s="14"/>
      <c r="E540" s="15"/>
      <c r="F540" s="16">
        <f>+D540*E540</f>
        <v>0</v>
      </c>
      <c r="G540" s="8">
        <f t="shared" si="36"/>
        <v>0</v>
      </c>
    </row>
    <row r="541" spans="1:7" hidden="1" x14ac:dyDescent="0.25">
      <c r="A541" s="12" t="s">
        <v>762</v>
      </c>
      <c r="B541" s="13" t="s">
        <v>771</v>
      </c>
      <c r="C541" s="14"/>
      <c r="D541" s="14"/>
      <c r="E541" s="15"/>
      <c r="F541" s="16"/>
      <c r="G541" s="8">
        <f t="shared" si="36"/>
        <v>0</v>
      </c>
    </row>
    <row r="542" spans="1:7" hidden="1" x14ac:dyDescent="0.25">
      <c r="A542" s="17" t="s">
        <v>768</v>
      </c>
      <c r="B542" s="18" t="s">
        <v>5878</v>
      </c>
      <c r="C542" s="14" t="s">
        <v>14</v>
      </c>
      <c r="D542" s="14"/>
      <c r="E542" s="15"/>
      <c r="F542" s="16">
        <f>+D542*E542</f>
        <v>0</v>
      </c>
      <c r="G542" s="8">
        <f t="shared" si="36"/>
        <v>0</v>
      </c>
    </row>
    <row r="543" spans="1:7" hidden="1" x14ac:dyDescent="0.25">
      <c r="A543" s="17" t="s">
        <v>769</v>
      </c>
      <c r="B543" s="18" t="s">
        <v>770</v>
      </c>
      <c r="C543" s="14" t="s">
        <v>14</v>
      </c>
      <c r="D543" s="14"/>
      <c r="E543" s="15"/>
      <c r="F543" s="16">
        <f>+D543*E543</f>
        <v>0</v>
      </c>
      <c r="G543" s="8">
        <f t="shared" si="36"/>
        <v>0</v>
      </c>
    </row>
    <row r="544" spans="1:7" ht="25.5" hidden="1" x14ac:dyDescent="0.25">
      <c r="A544" s="12" t="s">
        <v>772</v>
      </c>
      <c r="B544" s="25" t="s">
        <v>5877</v>
      </c>
      <c r="C544" s="26" t="s">
        <v>683</v>
      </c>
      <c r="D544" s="14"/>
      <c r="E544" s="15"/>
      <c r="F544" s="16">
        <f>+D544*E544</f>
        <v>0</v>
      </c>
      <c r="G544" s="8">
        <f t="shared" si="36"/>
        <v>0</v>
      </c>
    </row>
    <row r="545" spans="1:7" hidden="1" x14ac:dyDescent="0.25">
      <c r="A545" s="2454" t="s">
        <v>843</v>
      </c>
      <c r="B545" s="2455"/>
      <c r="C545" s="2455"/>
      <c r="D545" s="2455"/>
      <c r="E545" s="2455"/>
      <c r="F545" s="16"/>
      <c r="G545" s="8">
        <f t="shared" si="36"/>
        <v>0</v>
      </c>
    </row>
    <row r="546" spans="1:7" x14ac:dyDescent="0.25">
      <c r="A546" s="458">
        <v>7</v>
      </c>
      <c r="B546" s="459" t="s">
        <v>773</v>
      </c>
      <c r="C546" s="63"/>
      <c r="D546" s="63"/>
      <c r="E546" s="460"/>
      <c r="F546" s="461"/>
      <c r="G546" s="8">
        <v>1</v>
      </c>
    </row>
    <row r="547" spans="1:7" x14ac:dyDescent="0.25">
      <c r="A547" s="12" t="s">
        <v>774</v>
      </c>
      <c r="B547" s="13" t="s">
        <v>788</v>
      </c>
      <c r="C547" s="14"/>
      <c r="D547" s="14"/>
      <c r="E547" s="15"/>
      <c r="F547" s="16"/>
      <c r="G547" s="8">
        <v>1</v>
      </c>
    </row>
    <row r="548" spans="1:7" hidden="1" x14ac:dyDescent="0.25">
      <c r="A548" s="17" t="s">
        <v>778</v>
      </c>
      <c r="B548" s="18" t="s">
        <v>775</v>
      </c>
      <c r="C548" s="26" t="s">
        <v>701</v>
      </c>
      <c r="D548" s="14"/>
      <c r="E548" s="15">
        <f>+'APU CAP 7'!P51</f>
        <v>513977</v>
      </c>
      <c r="F548" s="16">
        <f>+D548*E548</f>
        <v>0</v>
      </c>
      <c r="G548" s="8">
        <f t="shared" si="36"/>
        <v>0</v>
      </c>
    </row>
    <row r="549" spans="1:7" x14ac:dyDescent="0.25">
      <c r="A549" s="17" t="s">
        <v>779</v>
      </c>
      <c r="B549" s="18" t="s">
        <v>776</v>
      </c>
      <c r="C549" s="26" t="s">
        <v>701</v>
      </c>
      <c r="D549" s="14">
        <v>6</v>
      </c>
      <c r="E549" s="15">
        <f>+'APU CAP 7'!P105</f>
        <v>543457</v>
      </c>
      <c r="F549" s="16">
        <f>+D549*E549</f>
        <v>3260742</v>
      </c>
      <c r="G549" s="8">
        <f t="shared" si="36"/>
        <v>1</v>
      </c>
    </row>
    <row r="550" spans="1:7" hidden="1" x14ac:dyDescent="0.25">
      <c r="A550" s="17" t="s">
        <v>780</v>
      </c>
      <c r="B550" s="18" t="s">
        <v>777</v>
      </c>
      <c r="C550" s="26" t="s">
        <v>701</v>
      </c>
      <c r="D550" s="14"/>
      <c r="E550" s="15">
        <f>+'APU CAP 7'!P159</f>
        <v>562778</v>
      </c>
      <c r="F550" s="16">
        <f>+D550*E550</f>
        <v>0</v>
      </c>
      <c r="G550" s="8">
        <f t="shared" si="36"/>
        <v>0</v>
      </c>
    </row>
    <row r="551" spans="1:7" x14ac:dyDescent="0.25">
      <c r="A551" s="12" t="s">
        <v>781</v>
      </c>
      <c r="B551" s="13" t="s">
        <v>789</v>
      </c>
      <c r="C551" s="14"/>
      <c r="D551" s="14"/>
      <c r="E551" s="15"/>
      <c r="F551" s="16"/>
      <c r="G551" s="8">
        <v>1</v>
      </c>
    </row>
    <row r="552" spans="1:7" hidden="1" x14ac:dyDescent="0.25">
      <c r="A552" s="17" t="s">
        <v>782</v>
      </c>
      <c r="B552" s="18" t="s">
        <v>787</v>
      </c>
      <c r="C552" s="26" t="s">
        <v>701</v>
      </c>
      <c r="D552" s="14"/>
      <c r="E552" s="15">
        <f>+'APU CAP 7'!P321</f>
        <v>435599</v>
      </c>
      <c r="F552" s="16">
        <f>+D552*E552</f>
        <v>0</v>
      </c>
      <c r="G552" s="8">
        <f t="shared" si="36"/>
        <v>0</v>
      </c>
    </row>
    <row r="553" spans="1:7" x14ac:dyDescent="0.25">
      <c r="A553" s="17" t="s">
        <v>784</v>
      </c>
      <c r="B553" s="18" t="s">
        <v>783</v>
      </c>
      <c r="C553" s="26" t="s">
        <v>701</v>
      </c>
      <c r="D553" s="14">
        <v>54.3</v>
      </c>
      <c r="E553" s="15">
        <f>+'APU CAP 7'!P213</f>
        <v>448853</v>
      </c>
      <c r="F553" s="16">
        <f>+D553*E553</f>
        <v>24372717.899999999</v>
      </c>
      <c r="G553" s="8">
        <f t="shared" si="36"/>
        <v>1</v>
      </c>
    </row>
    <row r="554" spans="1:7" hidden="1" x14ac:dyDescent="0.25">
      <c r="A554" s="17" t="s">
        <v>785</v>
      </c>
      <c r="B554" s="18" t="s">
        <v>786</v>
      </c>
      <c r="C554" s="26" t="s">
        <v>701</v>
      </c>
      <c r="D554" s="14"/>
      <c r="E554" s="15">
        <f>+'APU CAP 7'!P267</f>
        <v>458210</v>
      </c>
      <c r="F554" s="16">
        <f>+D554*E554</f>
        <v>0</v>
      </c>
      <c r="G554" s="8">
        <f t="shared" si="36"/>
        <v>0</v>
      </c>
    </row>
    <row r="555" spans="1:7" hidden="1" x14ac:dyDescent="0.25">
      <c r="A555" s="17" t="s">
        <v>797</v>
      </c>
      <c r="B555" s="18" t="s">
        <v>798</v>
      </c>
      <c r="C555" s="26" t="s">
        <v>683</v>
      </c>
      <c r="D555" s="14"/>
      <c r="E555" s="15"/>
      <c r="F555" s="16">
        <f>+D555*E555</f>
        <v>0</v>
      </c>
      <c r="G555" s="8">
        <f t="shared" si="36"/>
        <v>0</v>
      </c>
    </row>
    <row r="556" spans="1:7" hidden="1" x14ac:dyDescent="0.25">
      <c r="A556" s="12" t="s">
        <v>790</v>
      </c>
      <c r="B556" s="13" t="s">
        <v>791</v>
      </c>
      <c r="C556" s="14"/>
      <c r="D556" s="14"/>
      <c r="E556" s="15"/>
      <c r="F556" s="16"/>
      <c r="G556" s="8">
        <f t="shared" si="36"/>
        <v>0</v>
      </c>
    </row>
    <row r="557" spans="1:7" hidden="1" x14ac:dyDescent="0.25">
      <c r="A557" s="17" t="s">
        <v>792</v>
      </c>
      <c r="B557" s="18" t="s">
        <v>795</v>
      </c>
      <c r="C557" s="26" t="s">
        <v>683</v>
      </c>
      <c r="D557" s="14"/>
      <c r="E557" s="15">
        <f>+'APU CAP 7'!H429</f>
        <v>44478</v>
      </c>
      <c r="F557" s="16">
        <f>+D557*E557</f>
        <v>0</v>
      </c>
      <c r="G557" s="8">
        <f t="shared" si="36"/>
        <v>0</v>
      </c>
    </row>
    <row r="558" spans="1:7" hidden="1" x14ac:dyDescent="0.25">
      <c r="A558" s="17" t="s">
        <v>793</v>
      </c>
      <c r="B558" s="18" t="s">
        <v>6260</v>
      </c>
      <c r="C558" s="26" t="s">
        <v>683</v>
      </c>
      <c r="D558" s="14"/>
      <c r="E558" s="15">
        <f>+'APU CAP 7'!H483</f>
        <v>59916</v>
      </c>
      <c r="F558" s="16">
        <f>+D558*E558</f>
        <v>0</v>
      </c>
      <c r="G558" s="8">
        <f t="shared" si="36"/>
        <v>0</v>
      </c>
    </row>
    <row r="559" spans="1:7" hidden="1" x14ac:dyDescent="0.25">
      <c r="A559" s="17" t="s">
        <v>794</v>
      </c>
      <c r="B559" s="18" t="s">
        <v>796</v>
      </c>
      <c r="C559" s="26" t="s">
        <v>683</v>
      </c>
      <c r="D559" s="14"/>
      <c r="E559" s="15">
        <f>+'APU CAP 7'!H537</f>
        <v>64115</v>
      </c>
      <c r="F559" s="16">
        <f>+D559*E559</f>
        <v>0</v>
      </c>
      <c r="G559" s="8">
        <f t="shared" si="36"/>
        <v>0</v>
      </c>
    </row>
    <row r="560" spans="1:7" hidden="1" x14ac:dyDescent="0.25">
      <c r="A560" s="17" t="s">
        <v>799</v>
      </c>
      <c r="B560" s="18" t="s">
        <v>800</v>
      </c>
      <c r="C560" s="26" t="s">
        <v>683</v>
      </c>
      <c r="D560" s="14"/>
      <c r="E560" s="15">
        <f>+'APU CAP 7'!H375</f>
        <v>62525</v>
      </c>
      <c r="F560" s="16">
        <f>+D560*E560</f>
        <v>0</v>
      </c>
      <c r="G560" s="8">
        <f t="shared" si="36"/>
        <v>0</v>
      </c>
    </row>
    <row r="561" spans="1:7" hidden="1" x14ac:dyDescent="0.25">
      <c r="A561" s="12" t="s">
        <v>801</v>
      </c>
      <c r="B561" s="13" t="s">
        <v>802</v>
      </c>
      <c r="C561" s="14"/>
      <c r="D561" s="14"/>
      <c r="E561" s="15"/>
      <c r="F561" s="16"/>
      <c r="G561" s="8">
        <f t="shared" si="36"/>
        <v>0</v>
      </c>
    </row>
    <row r="562" spans="1:7" hidden="1" x14ac:dyDescent="0.25">
      <c r="A562" s="17" t="s">
        <v>807</v>
      </c>
      <c r="B562" s="18" t="s">
        <v>803</v>
      </c>
      <c r="C562" s="14" t="s">
        <v>14</v>
      </c>
      <c r="D562" s="14"/>
      <c r="E562" s="15"/>
      <c r="F562" s="16">
        <f>+D562*E562</f>
        <v>0</v>
      </c>
      <c r="G562" s="8">
        <f t="shared" si="36"/>
        <v>0</v>
      </c>
    </row>
    <row r="563" spans="1:7" hidden="1" x14ac:dyDescent="0.25">
      <c r="A563" s="17" t="s">
        <v>808</v>
      </c>
      <c r="B563" s="18" t="s">
        <v>804</v>
      </c>
      <c r="C563" s="14" t="s">
        <v>14</v>
      </c>
      <c r="D563" s="14"/>
      <c r="E563" s="15">
        <f>+'APU CAP 7'!P591</f>
        <v>36513</v>
      </c>
      <c r="F563" s="16">
        <f>+D563*E563</f>
        <v>0</v>
      </c>
      <c r="G563" s="8">
        <f t="shared" si="36"/>
        <v>0</v>
      </c>
    </row>
    <row r="564" spans="1:7" hidden="1" x14ac:dyDescent="0.25">
      <c r="A564" s="17" t="s">
        <v>809</v>
      </c>
      <c r="B564" s="18" t="s">
        <v>805</v>
      </c>
      <c r="C564" s="14" t="s">
        <v>14</v>
      </c>
      <c r="D564" s="14"/>
      <c r="E564" s="15">
        <f>+'APU CAP 7'!P645</f>
        <v>46626</v>
      </c>
      <c r="F564" s="16">
        <f>+D564*E564</f>
        <v>0</v>
      </c>
      <c r="G564" s="8">
        <f t="shared" si="36"/>
        <v>0</v>
      </c>
    </row>
    <row r="565" spans="1:7" hidden="1" x14ac:dyDescent="0.25">
      <c r="A565" s="17" t="s">
        <v>810</v>
      </c>
      <c r="B565" s="18" t="s">
        <v>806</v>
      </c>
      <c r="C565" s="14" t="s">
        <v>14</v>
      </c>
      <c r="D565" s="14"/>
      <c r="E565" s="15"/>
      <c r="F565" s="16">
        <f>+D565*E565</f>
        <v>0</v>
      </c>
      <c r="G565" s="8">
        <f t="shared" si="36"/>
        <v>0</v>
      </c>
    </row>
    <row r="566" spans="1:7" hidden="1" x14ac:dyDescent="0.25">
      <c r="A566" s="12" t="s">
        <v>845</v>
      </c>
      <c r="B566" s="13" t="s">
        <v>846</v>
      </c>
      <c r="C566" s="14"/>
      <c r="D566" s="14"/>
      <c r="E566" s="15"/>
      <c r="F566" s="16"/>
      <c r="G566" s="8">
        <f t="shared" si="36"/>
        <v>0</v>
      </c>
    </row>
    <row r="567" spans="1:7" hidden="1" x14ac:dyDescent="0.25">
      <c r="A567" s="12" t="s">
        <v>847</v>
      </c>
      <c r="B567" s="13" t="s">
        <v>848</v>
      </c>
      <c r="C567" s="14"/>
      <c r="D567" s="14"/>
      <c r="E567" s="15"/>
      <c r="F567" s="16"/>
      <c r="G567" s="8">
        <f t="shared" si="36"/>
        <v>0</v>
      </c>
    </row>
    <row r="568" spans="1:7" ht="25.5" hidden="1" x14ac:dyDescent="0.25">
      <c r="A568" s="17" t="s">
        <v>849</v>
      </c>
      <c r="B568" s="25" t="s">
        <v>5879</v>
      </c>
      <c r="C568" s="14" t="s">
        <v>14</v>
      </c>
      <c r="D568" s="14"/>
      <c r="E568" s="15"/>
      <c r="F568" s="16">
        <f>+D568*E568</f>
        <v>0</v>
      </c>
      <c r="G568" s="8">
        <f t="shared" si="36"/>
        <v>0</v>
      </c>
    </row>
    <row r="569" spans="1:7" ht="38.25" hidden="1" x14ac:dyDescent="0.25">
      <c r="A569" s="17" t="s">
        <v>850</v>
      </c>
      <c r="B569" s="25" t="s">
        <v>5880</v>
      </c>
      <c r="C569" s="14" t="s">
        <v>14</v>
      </c>
      <c r="D569" s="14"/>
      <c r="E569" s="15"/>
      <c r="F569" s="16">
        <f>+D569*E569</f>
        <v>0</v>
      </c>
      <c r="G569" s="8">
        <f t="shared" si="36"/>
        <v>0</v>
      </c>
    </row>
    <row r="570" spans="1:7" hidden="1" x14ac:dyDescent="0.25">
      <c r="A570" s="17" t="s">
        <v>851</v>
      </c>
      <c r="B570" s="25" t="s">
        <v>853</v>
      </c>
      <c r="C570" s="14" t="s">
        <v>37</v>
      </c>
      <c r="D570" s="14"/>
      <c r="E570" s="15"/>
      <c r="F570" s="16">
        <f>+D570*E570</f>
        <v>0</v>
      </c>
      <c r="G570" s="8">
        <f t="shared" si="36"/>
        <v>0</v>
      </c>
    </row>
    <row r="571" spans="1:7" hidden="1" x14ac:dyDescent="0.25">
      <c r="A571" s="17" t="s">
        <v>852</v>
      </c>
      <c r="B571" s="25" t="s">
        <v>854</v>
      </c>
      <c r="C571" s="14" t="s">
        <v>37</v>
      </c>
      <c r="D571" s="14"/>
      <c r="E571" s="15"/>
      <c r="F571" s="16">
        <f>+D571*E571</f>
        <v>0</v>
      </c>
      <c r="G571" s="8">
        <f t="shared" si="36"/>
        <v>0</v>
      </c>
    </row>
    <row r="572" spans="1:7" hidden="1" x14ac:dyDescent="0.25">
      <c r="A572" s="12" t="s">
        <v>855</v>
      </c>
      <c r="B572" s="13" t="s">
        <v>856</v>
      </c>
      <c r="C572" s="14"/>
      <c r="D572" s="14"/>
      <c r="E572" s="15"/>
      <c r="F572" s="16"/>
      <c r="G572" s="8">
        <f t="shared" si="36"/>
        <v>0</v>
      </c>
    </row>
    <row r="573" spans="1:7" hidden="1" x14ac:dyDescent="0.25">
      <c r="A573" s="17" t="s">
        <v>857</v>
      </c>
      <c r="B573" s="18" t="s">
        <v>858</v>
      </c>
      <c r="C573" s="26" t="s">
        <v>683</v>
      </c>
      <c r="D573" s="14"/>
      <c r="E573" s="15"/>
      <c r="F573" s="16">
        <f>+D573*E573</f>
        <v>0</v>
      </c>
      <c r="G573" s="8">
        <f t="shared" si="36"/>
        <v>0</v>
      </c>
    </row>
    <row r="574" spans="1:7" hidden="1" x14ac:dyDescent="0.25">
      <c r="A574" s="17" t="s">
        <v>859</v>
      </c>
      <c r="B574" s="18" t="s">
        <v>860</v>
      </c>
      <c r="C574" s="14" t="s">
        <v>37</v>
      </c>
      <c r="D574" s="14"/>
      <c r="E574" s="15"/>
      <c r="F574" s="16">
        <f>+D574*E574</f>
        <v>0</v>
      </c>
      <c r="G574" s="8">
        <f t="shared" si="36"/>
        <v>0</v>
      </c>
    </row>
    <row r="575" spans="1:7" hidden="1" x14ac:dyDescent="0.25">
      <c r="A575" s="17" t="s">
        <v>861</v>
      </c>
      <c r="B575" s="18" t="s">
        <v>862</v>
      </c>
      <c r="C575" s="14" t="s">
        <v>37</v>
      </c>
      <c r="D575" s="14"/>
      <c r="E575" s="15"/>
      <c r="F575" s="16">
        <f>+D575*E575</f>
        <v>0</v>
      </c>
      <c r="G575" s="8">
        <f t="shared" si="36"/>
        <v>0</v>
      </c>
    </row>
    <row r="576" spans="1:7" x14ac:dyDescent="0.25">
      <c r="A576" s="2454" t="s">
        <v>863</v>
      </c>
      <c r="B576" s="2455"/>
      <c r="C576" s="2455"/>
      <c r="D576" s="2455"/>
      <c r="E576" s="2455"/>
      <c r="F576" s="16">
        <f>SUM(F548:F575)</f>
        <v>27633459.899999999</v>
      </c>
      <c r="G576" s="8">
        <f t="shared" si="36"/>
        <v>1</v>
      </c>
    </row>
    <row r="577" spans="1:7" x14ac:dyDescent="0.25">
      <c r="A577" s="458">
        <v>8</v>
      </c>
      <c r="B577" s="459" t="s">
        <v>6321</v>
      </c>
      <c r="C577" s="63"/>
      <c r="D577" s="63"/>
      <c r="E577" s="460"/>
      <c r="F577" s="461"/>
      <c r="G577" s="8">
        <v>1</v>
      </c>
    </row>
    <row r="578" spans="1:7" hidden="1" x14ac:dyDescent="0.25">
      <c r="A578" s="17" t="s">
        <v>814</v>
      </c>
      <c r="B578" s="13" t="s">
        <v>815</v>
      </c>
      <c r="C578" s="14"/>
      <c r="D578" s="14"/>
      <c r="E578" s="15"/>
      <c r="F578" s="16"/>
      <c r="G578" s="8">
        <f t="shared" si="36"/>
        <v>0</v>
      </c>
    </row>
    <row r="579" spans="1:7" hidden="1" x14ac:dyDescent="0.25">
      <c r="A579" s="17" t="s">
        <v>816</v>
      </c>
      <c r="B579" s="18" t="s">
        <v>819</v>
      </c>
      <c r="C579" s="26" t="s">
        <v>701</v>
      </c>
      <c r="D579" s="14"/>
      <c r="E579" s="15">
        <f>+'APU CAP 6'!H56</f>
        <v>843393</v>
      </c>
      <c r="F579" s="16">
        <f>+D579*E579</f>
        <v>0</v>
      </c>
      <c r="G579" s="8">
        <f t="shared" si="36"/>
        <v>0</v>
      </c>
    </row>
    <row r="580" spans="1:7" hidden="1" x14ac:dyDescent="0.25">
      <c r="A580" s="17" t="s">
        <v>817</v>
      </c>
      <c r="B580" s="18" t="s">
        <v>821</v>
      </c>
      <c r="C580" s="26" t="s">
        <v>701</v>
      </c>
      <c r="D580" s="14"/>
      <c r="E580" s="15">
        <f>+'APU CAP 6'!H110</f>
        <v>828993</v>
      </c>
      <c r="F580" s="16">
        <f>+D580*E580</f>
        <v>0</v>
      </c>
      <c r="G580" s="8">
        <f t="shared" si="36"/>
        <v>0</v>
      </c>
    </row>
    <row r="581" spans="1:7" hidden="1" x14ac:dyDescent="0.25">
      <c r="A581" s="17" t="s">
        <v>818</v>
      </c>
      <c r="B581" s="18" t="s">
        <v>820</v>
      </c>
      <c r="C581" s="26" t="s">
        <v>701</v>
      </c>
      <c r="D581" s="14"/>
      <c r="E581" s="15">
        <f>+'APU CAP 6'!H164</f>
        <v>933393</v>
      </c>
      <c r="F581" s="16">
        <f>+D581*E581</f>
        <v>0</v>
      </c>
      <c r="G581" s="8">
        <f t="shared" si="36"/>
        <v>0</v>
      </c>
    </row>
    <row r="582" spans="1:7" hidden="1" x14ac:dyDescent="0.25">
      <c r="A582" s="12" t="s">
        <v>822</v>
      </c>
      <c r="B582" s="13" t="s">
        <v>823</v>
      </c>
      <c r="C582" s="14"/>
      <c r="D582" s="14"/>
      <c r="E582" s="15"/>
      <c r="F582" s="16"/>
      <c r="G582" s="8">
        <f t="shared" si="36"/>
        <v>0</v>
      </c>
    </row>
    <row r="583" spans="1:7" hidden="1" x14ac:dyDescent="0.25">
      <c r="A583" s="17" t="s">
        <v>829</v>
      </c>
      <c r="B583" s="18" t="s">
        <v>824</v>
      </c>
      <c r="C583" s="14" t="s">
        <v>37</v>
      </c>
      <c r="D583" s="14"/>
      <c r="E583" s="15">
        <f>+'APU CAP 8'!H47</f>
        <v>42295</v>
      </c>
      <c r="F583" s="16">
        <f t="shared" ref="F583:F588" si="37">+D583*E583</f>
        <v>0</v>
      </c>
      <c r="G583" s="8">
        <f t="shared" si="36"/>
        <v>0</v>
      </c>
    </row>
    <row r="584" spans="1:7" hidden="1" x14ac:dyDescent="0.25">
      <c r="A584" s="17" t="s">
        <v>830</v>
      </c>
      <c r="B584" s="18" t="s">
        <v>825</v>
      </c>
      <c r="C584" s="14" t="s">
        <v>14</v>
      </c>
      <c r="D584" s="14"/>
      <c r="E584" s="15"/>
      <c r="F584" s="16">
        <f t="shared" si="37"/>
        <v>0</v>
      </c>
      <c r="G584" s="8">
        <f t="shared" si="36"/>
        <v>0</v>
      </c>
    </row>
    <row r="585" spans="1:7" hidden="1" x14ac:dyDescent="0.25">
      <c r="A585" s="17" t="s">
        <v>831</v>
      </c>
      <c r="B585" s="18" t="s">
        <v>826</v>
      </c>
      <c r="C585" s="14" t="s">
        <v>14</v>
      </c>
      <c r="D585" s="14"/>
      <c r="E585" s="15">
        <f>+'APU CAP 6'!H1298</f>
        <v>216755</v>
      </c>
      <c r="F585" s="16">
        <f t="shared" si="37"/>
        <v>0</v>
      </c>
      <c r="G585" s="8">
        <f t="shared" si="36"/>
        <v>0</v>
      </c>
    </row>
    <row r="586" spans="1:7" ht="25.5" hidden="1" x14ac:dyDescent="0.25">
      <c r="A586" s="17" t="s">
        <v>832</v>
      </c>
      <c r="B586" s="25" t="s">
        <v>827</v>
      </c>
      <c r="C586" s="14" t="s">
        <v>14</v>
      </c>
      <c r="D586" s="14"/>
      <c r="E586" s="15">
        <f>+'APU CAP 6'!H1352</f>
        <v>183033</v>
      </c>
      <c r="F586" s="16">
        <f t="shared" si="37"/>
        <v>0</v>
      </c>
      <c r="G586" s="8">
        <f t="shared" si="36"/>
        <v>0</v>
      </c>
    </row>
    <row r="587" spans="1:7" hidden="1" x14ac:dyDescent="0.25">
      <c r="A587" s="17" t="s">
        <v>833</v>
      </c>
      <c r="B587" s="18" t="s">
        <v>828</v>
      </c>
      <c r="C587" s="26" t="s">
        <v>683</v>
      </c>
      <c r="D587" s="14"/>
      <c r="E587" s="15">
        <f>+'APU CAP 6'!P1298</f>
        <v>339447</v>
      </c>
      <c r="F587" s="16">
        <f t="shared" si="37"/>
        <v>0</v>
      </c>
      <c r="G587" s="8">
        <f t="shared" ref="G587:G612" si="38">+IF(F587&lt;&gt;0,1,0)</f>
        <v>0</v>
      </c>
    </row>
    <row r="588" spans="1:7" hidden="1" x14ac:dyDescent="0.25">
      <c r="A588" s="17" t="s">
        <v>834</v>
      </c>
      <c r="B588" s="592" t="s">
        <v>6295</v>
      </c>
      <c r="C588" s="14" t="s">
        <v>37</v>
      </c>
      <c r="D588" s="14"/>
      <c r="E588" s="15">
        <f>+'APU CAP 8'!H151</f>
        <v>35914</v>
      </c>
      <c r="F588" s="16">
        <f t="shared" si="37"/>
        <v>0</v>
      </c>
      <c r="G588" s="8">
        <f t="shared" si="38"/>
        <v>0</v>
      </c>
    </row>
    <row r="589" spans="1:7" x14ac:dyDescent="0.25">
      <c r="A589" s="12" t="s">
        <v>835</v>
      </c>
      <c r="B589" s="13" t="s">
        <v>6401</v>
      </c>
      <c r="C589" s="14"/>
      <c r="D589" s="14"/>
      <c r="E589" s="15"/>
      <c r="F589" s="16"/>
      <c r="G589" s="8">
        <v>1</v>
      </c>
    </row>
    <row r="590" spans="1:7" hidden="1" x14ac:dyDescent="0.25">
      <c r="A590" s="17" t="s">
        <v>836</v>
      </c>
      <c r="B590" s="18" t="s">
        <v>6403</v>
      </c>
      <c r="C590" s="14" t="s">
        <v>6406</v>
      </c>
      <c r="D590" s="14"/>
      <c r="E590" s="15">
        <f>+'APU CAP 8'!H580</f>
        <v>1615</v>
      </c>
      <c r="F590" s="16">
        <f>+D590*E590</f>
        <v>0</v>
      </c>
      <c r="G590" s="8">
        <f t="shared" si="38"/>
        <v>0</v>
      </c>
    </row>
    <row r="591" spans="1:7" hidden="1" x14ac:dyDescent="0.25">
      <c r="A591" s="17" t="s">
        <v>837</v>
      </c>
      <c r="B591" s="18" t="s">
        <v>6402</v>
      </c>
      <c r="C591" s="14" t="s">
        <v>6406</v>
      </c>
      <c r="D591" s="14"/>
      <c r="E591" s="15">
        <f>+'APU CAP 8'!H634</f>
        <v>2651</v>
      </c>
      <c r="F591" s="16">
        <f>+D591*E591</f>
        <v>0</v>
      </c>
      <c r="G591" s="8">
        <f t="shared" si="38"/>
        <v>0</v>
      </c>
    </row>
    <row r="592" spans="1:7" hidden="1" x14ac:dyDescent="0.25">
      <c r="A592" s="17" t="s">
        <v>838</v>
      </c>
      <c r="B592" s="18" t="s">
        <v>6404</v>
      </c>
      <c r="C592" s="14" t="s">
        <v>6406</v>
      </c>
      <c r="D592" s="14"/>
      <c r="E592" s="15">
        <f>+'APU CAP 8'!H688</f>
        <v>3619</v>
      </c>
      <c r="F592" s="16">
        <f>+D592*E592</f>
        <v>0</v>
      </c>
      <c r="G592" s="8">
        <f t="shared" si="38"/>
        <v>0</v>
      </c>
    </row>
    <row r="593" spans="1:7" hidden="1" x14ac:dyDescent="0.25">
      <c r="A593" s="17" t="s">
        <v>6508</v>
      </c>
      <c r="B593" s="18" t="s">
        <v>6405</v>
      </c>
      <c r="C593" s="14" t="s">
        <v>6407</v>
      </c>
      <c r="D593" s="14"/>
      <c r="E593" s="15">
        <f>+'APU CAP 8'!H742</f>
        <v>2935</v>
      </c>
      <c r="F593" s="16">
        <f>+D593*E593</f>
        <v>0</v>
      </c>
      <c r="G593" s="8">
        <f t="shared" si="38"/>
        <v>0</v>
      </c>
    </row>
    <row r="594" spans="1:7" x14ac:dyDescent="0.25">
      <c r="A594" s="12" t="s">
        <v>6322</v>
      </c>
      <c r="B594" s="13" t="s">
        <v>6329</v>
      </c>
      <c r="C594" s="14"/>
      <c r="D594" s="14"/>
      <c r="E594" s="15"/>
      <c r="F594" s="16"/>
      <c r="G594" s="8">
        <v>1</v>
      </c>
    </row>
    <row r="595" spans="1:7" hidden="1" x14ac:dyDescent="0.25">
      <c r="A595" s="17" t="s">
        <v>6323</v>
      </c>
      <c r="B595" s="18" t="s">
        <v>6330</v>
      </c>
      <c r="C595" s="14" t="s">
        <v>37</v>
      </c>
      <c r="D595" s="14"/>
      <c r="E595" s="15">
        <f>+'APU CAP 8'!H259</f>
        <v>102712</v>
      </c>
      <c r="F595" s="16">
        <f t="shared" ref="F595:F608" si="39">+D595*E595</f>
        <v>0</v>
      </c>
      <c r="G595" s="8">
        <f t="shared" si="38"/>
        <v>0</v>
      </c>
    </row>
    <row r="596" spans="1:7" hidden="1" x14ac:dyDescent="0.25">
      <c r="A596" s="17" t="s">
        <v>6324</v>
      </c>
      <c r="B596" s="18" t="s">
        <v>6331</v>
      </c>
      <c r="C596" s="14" t="s">
        <v>37</v>
      </c>
      <c r="D596" s="14"/>
      <c r="E596" s="15">
        <f>+'APU CAP 8'!P259</f>
        <v>151540</v>
      </c>
      <c r="F596" s="16">
        <f t="shared" si="39"/>
        <v>0</v>
      </c>
      <c r="G596" s="8">
        <f t="shared" si="38"/>
        <v>0</v>
      </c>
    </row>
    <row r="597" spans="1:7" x14ac:dyDescent="0.25">
      <c r="A597" s="17" t="s">
        <v>6325</v>
      </c>
      <c r="B597" s="18" t="s">
        <v>6588</v>
      </c>
      <c r="C597" s="14" t="s">
        <v>37</v>
      </c>
      <c r="D597" s="14">
        <v>11</v>
      </c>
      <c r="E597" s="15">
        <f>+'APU CAP 8'!H313</f>
        <v>126128</v>
      </c>
      <c r="F597" s="16">
        <f>+D597*E597</f>
        <v>1387408</v>
      </c>
      <c r="G597" s="8">
        <f t="shared" si="38"/>
        <v>1</v>
      </c>
    </row>
    <row r="598" spans="1:7" hidden="1" x14ac:dyDescent="0.25">
      <c r="A598" s="17" t="s">
        <v>6325</v>
      </c>
      <c r="B598" s="18" t="s">
        <v>6335</v>
      </c>
      <c r="C598" s="14" t="s">
        <v>37</v>
      </c>
      <c r="D598" s="615"/>
      <c r="E598" s="616">
        <f>+'APU CAP 8'!P205</f>
        <v>137566</v>
      </c>
      <c r="F598" s="16">
        <f t="shared" si="39"/>
        <v>0</v>
      </c>
      <c r="G598" s="8">
        <f t="shared" si="38"/>
        <v>0</v>
      </c>
    </row>
    <row r="599" spans="1:7" hidden="1" x14ac:dyDescent="0.25">
      <c r="A599" s="17" t="s">
        <v>6332</v>
      </c>
      <c r="B599" s="18" t="s">
        <v>6336</v>
      </c>
      <c r="C599" s="14" t="s">
        <v>37</v>
      </c>
      <c r="D599" s="615"/>
      <c r="E599" s="616">
        <f>+'APU CAP 8'!P259</f>
        <v>151540</v>
      </c>
      <c r="F599" s="16">
        <f t="shared" si="39"/>
        <v>0</v>
      </c>
      <c r="G599" s="8">
        <f t="shared" si="38"/>
        <v>0</v>
      </c>
    </row>
    <row r="600" spans="1:7" x14ac:dyDescent="0.25">
      <c r="A600" s="17" t="s">
        <v>6333</v>
      </c>
      <c r="B600" s="18" t="s">
        <v>6336</v>
      </c>
      <c r="C600" s="14" t="s">
        <v>37</v>
      </c>
      <c r="D600" s="615">
        <v>11</v>
      </c>
      <c r="E600" s="616">
        <f>+'APU CAP 8'!P313</f>
        <v>256047</v>
      </c>
      <c r="F600" s="16">
        <f>+D600*E600</f>
        <v>2816517</v>
      </c>
      <c r="G600" s="8">
        <f t="shared" si="38"/>
        <v>1</v>
      </c>
    </row>
    <row r="601" spans="1:7" x14ac:dyDescent="0.25">
      <c r="A601" s="17" t="s">
        <v>6380</v>
      </c>
      <c r="B601" s="13" t="s">
        <v>6513</v>
      </c>
      <c r="C601" s="14"/>
      <c r="D601" s="14"/>
      <c r="E601" s="15"/>
      <c r="F601" s="16"/>
      <c r="G601" s="8">
        <v>1</v>
      </c>
    </row>
    <row r="602" spans="1:7" hidden="1" x14ac:dyDescent="0.25">
      <c r="A602" s="17" t="s">
        <v>6511</v>
      </c>
      <c r="B602" s="18" t="s">
        <v>6514</v>
      </c>
      <c r="C602" s="14" t="s">
        <v>37</v>
      </c>
      <c r="D602" s="14"/>
      <c r="E602" s="15">
        <v>150000</v>
      </c>
      <c r="F602" s="16">
        <f t="shared" si="39"/>
        <v>0</v>
      </c>
      <c r="G602" s="8">
        <f t="shared" si="38"/>
        <v>0</v>
      </c>
    </row>
    <row r="603" spans="1:7" hidden="1" x14ac:dyDescent="0.25">
      <c r="A603" s="17" t="s">
        <v>6512</v>
      </c>
      <c r="B603" s="18" t="s">
        <v>6515</v>
      </c>
      <c r="C603" s="14" t="s">
        <v>37</v>
      </c>
      <c r="D603" s="14"/>
      <c r="E603" s="15">
        <v>150000</v>
      </c>
      <c r="F603" s="16">
        <f t="shared" si="39"/>
        <v>0</v>
      </c>
      <c r="G603" s="8">
        <f t="shared" si="38"/>
        <v>0</v>
      </c>
    </row>
    <row r="604" spans="1:7" x14ac:dyDescent="0.25">
      <c r="A604" s="17" t="s">
        <v>6586</v>
      </c>
      <c r="B604" s="18" t="s">
        <v>6587</v>
      </c>
      <c r="C604" s="14" t="s">
        <v>37</v>
      </c>
      <c r="D604" s="14">
        <v>57</v>
      </c>
      <c r="E604" s="15">
        <v>150000</v>
      </c>
      <c r="F604" s="16">
        <f t="shared" si="39"/>
        <v>8550000</v>
      </c>
      <c r="G604" s="8">
        <f t="shared" si="38"/>
        <v>1</v>
      </c>
    </row>
    <row r="605" spans="1:7" hidden="1" x14ac:dyDescent="0.25">
      <c r="A605" s="17" t="s">
        <v>6381</v>
      </c>
      <c r="B605" s="18" t="s">
        <v>6390</v>
      </c>
      <c r="C605" s="14" t="s">
        <v>6540</v>
      </c>
      <c r="D605" s="14"/>
      <c r="E605" s="15">
        <f>+'APU CAP 8'!H526*2.5</f>
        <v>5341402.5</v>
      </c>
      <c r="F605" s="16">
        <f t="shared" si="39"/>
        <v>0</v>
      </c>
      <c r="G605" s="8">
        <f t="shared" si="38"/>
        <v>0</v>
      </c>
    </row>
    <row r="606" spans="1:7" hidden="1" x14ac:dyDescent="0.25">
      <c r="A606" s="17" t="s">
        <v>6509</v>
      </c>
      <c r="B606" s="18" t="s">
        <v>6384</v>
      </c>
      <c r="C606" s="14" t="s">
        <v>14</v>
      </c>
      <c r="D606" s="14"/>
      <c r="E606" s="15">
        <f>+'APU CAP 8'!H472</f>
        <v>46105</v>
      </c>
      <c r="F606" s="16">
        <f t="shared" si="39"/>
        <v>0</v>
      </c>
      <c r="G606" s="8">
        <f t="shared" si="38"/>
        <v>0</v>
      </c>
    </row>
    <row r="607" spans="1:7" hidden="1" x14ac:dyDescent="0.25">
      <c r="A607" s="17" t="s">
        <v>6509</v>
      </c>
      <c r="B607" s="18" t="s">
        <v>6385</v>
      </c>
      <c r="C607" s="14" t="s">
        <v>14</v>
      </c>
      <c r="D607" s="14"/>
      <c r="E607" s="15">
        <f>+'APU CAP 8'!P472</f>
        <v>49839</v>
      </c>
      <c r="F607" s="16"/>
      <c r="G607" s="8"/>
    </row>
    <row r="608" spans="1:7" hidden="1" x14ac:dyDescent="0.25">
      <c r="A608" s="17" t="s">
        <v>6510</v>
      </c>
      <c r="B608" s="18" t="s">
        <v>6585</v>
      </c>
      <c r="C608" s="14" t="s">
        <v>14</v>
      </c>
      <c r="D608" s="14"/>
      <c r="E608" s="15">
        <f>+'APU CAP 8'!P472</f>
        <v>49839</v>
      </c>
      <c r="F608" s="16">
        <f t="shared" si="39"/>
        <v>0</v>
      </c>
      <c r="G608" s="8">
        <f t="shared" si="38"/>
        <v>0</v>
      </c>
    </row>
    <row r="609" spans="1:7" ht="15.75" thickBot="1" x14ac:dyDescent="0.3">
      <c r="A609" s="2456" t="s">
        <v>844</v>
      </c>
      <c r="B609" s="2457"/>
      <c r="C609" s="2457"/>
      <c r="D609" s="2457"/>
      <c r="E609" s="2457"/>
      <c r="F609" s="322">
        <f>SUM(F579:F608)</f>
        <v>12753925</v>
      </c>
      <c r="G609" s="8">
        <f t="shared" si="38"/>
        <v>1</v>
      </c>
    </row>
    <row r="610" spans="1:7" ht="15.75" thickBot="1" x14ac:dyDescent="0.3">
      <c r="A610" s="33"/>
      <c r="B610" s="2458" t="s">
        <v>5415</v>
      </c>
      <c r="C610" s="2458"/>
      <c r="D610" s="2458"/>
      <c r="E610" s="2459"/>
      <c r="F610" s="34">
        <f>+F28+F62+F69+F80+F93+F417+F484+F545+F576+F609</f>
        <v>117810604.09999999</v>
      </c>
      <c r="G610" s="8">
        <f t="shared" si="38"/>
        <v>1</v>
      </c>
    </row>
    <row r="611" spans="1:7" ht="15.75" hidden="1" thickBot="1" x14ac:dyDescent="0.3">
      <c r="A611" s="35"/>
      <c r="B611" s="36"/>
      <c r="C611" s="35"/>
      <c r="D611" s="328"/>
      <c r="E611" s="38"/>
      <c r="F611" s="38"/>
      <c r="G611" s="8">
        <f t="shared" si="38"/>
        <v>0</v>
      </c>
    </row>
    <row r="612" spans="1:7" ht="16.5" thickBot="1" x14ac:dyDescent="0.3">
      <c r="A612" s="39"/>
      <c r="B612" s="2460" t="s">
        <v>46</v>
      </c>
      <c r="C612" s="2460"/>
      <c r="D612" s="2460"/>
      <c r="E612" s="2461"/>
      <c r="F612" s="40">
        <f>+F610+'Pto Sum L16'!F2429</f>
        <v>350098343.10000002</v>
      </c>
      <c r="G612" s="8">
        <f t="shared" si="38"/>
        <v>1</v>
      </c>
    </row>
    <row r="616" spans="1:7" ht="18.75" x14ac:dyDescent="0.25">
      <c r="A616" s="2462" t="s">
        <v>0</v>
      </c>
      <c r="B616" s="2462"/>
      <c r="C616" s="2462"/>
      <c r="D616" s="2462"/>
      <c r="E616" s="2462"/>
      <c r="F616" s="2462"/>
    </row>
    <row r="617" spans="1:7" ht="18.75" x14ac:dyDescent="0.25">
      <c r="A617" s="2463" t="s">
        <v>6313</v>
      </c>
      <c r="B617" s="2463"/>
      <c r="C617" s="2463"/>
      <c r="D617" s="2463"/>
      <c r="E617" s="2463"/>
      <c r="F617" s="2463"/>
    </row>
    <row r="618" spans="1:7" ht="15.75" x14ac:dyDescent="0.25">
      <c r="A618" s="2464"/>
      <c r="B618" s="2464"/>
      <c r="C618" s="2464"/>
      <c r="D618" s="2464"/>
      <c r="E618" s="2464"/>
      <c r="F618" s="2464"/>
    </row>
    <row r="619" spans="1:7" ht="15.75" x14ac:dyDescent="0.25">
      <c r="A619" s="2278" t="s">
        <v>6609</v>
      </c>
      <c r="B619" s="2278"/>
      <c r="C619" s="2278"/>
      <c r="D619" s="2278"/>
      <c r="E619" s="2278"/>
      <c r="F619" s="2278"/>
    </row>
    <row r="620" spans="1:7" ht="15.75" x14ac:dyDescent="0.25">
      <c r="A620" s="2278" t="s">
        <v>2</v>
      </c>
      <c r="B620" s="2278"/>
      <c r="C620" s="2278"/>
      <c r="D620" s="2278"/>
      <c r="E620" s="2278"/>
      <c r="F620" s="2278"/>
    </row>
    <row r="621" spans="1:7" ht="16.5" thickBot="1" x14ac:dyDescent="0.3">
      <c r="A621" s="622"/>
      <c r="B621" s="622"/>
      <c r="C621" s="622"/>
      <c r="D621" s="622"/>
      <c r="E621" s="622"/>
      <c r="F621" s="622"/>
    </row>
    <row r="622" spans="1:7" ht="15.75" thickBot="1" x14ac:dyDescent="0.3">
      <c r="A622" s="4" t="s">
        <v>3</v>
      </c>
      <c r="B622" s="5" t="s">
        <v>4</v>
      </c>
      <c r="C622" s="5" t="s">
        <v>5</v>
      </c>
      <c r="D622" s="5" t="s">
        <v>6</v>
      </c>
      <c r="E622" s="6" t="s">
        <v>7</v>
      </c>
      <c r="F622" s="7" t="s">
        <v>8</v>
      </c>
    </row>
    <row r="623" spans="1:7" x14ac:dyDescent="0.25">
      <c r="A623" s="458">
        <v>10</v>
      </c>
      <c r="B623" s="459" t="s">
        <v>6450</v>
      </c>
      <c r="C623" s="63"/>
      <c r="D623" s="63"/>
      <c r="E623" s="460"/>
      <c r="F623" s="461"/>
    </row>
    <row r="624" spans="1:7" x14ac:dyDescent="0.25">
      <c r="A624" s="12" t="s">
        <v>6455</v>
      </c>
      <c r="B624" s="13" t="s">
        <v>6451</v>
      </c>
      <c r="C624" s="14"/>
      <c r="D624" s="14"/>
      <c r="E624" s="15"/>
      <c r="F624" s="16"/>
    </row>
    <row r="625" spans="1:6" x14ac:dyDescent="0.25">
      <c r="A625" s="17" t="s">
        <v>6456</v>
      </c>
      <c r="B625" s="18" t="s">
        <v>6579</v>
      </c>
      <c r="C625" s="14" t="s">
        <v>37</v>
      </c>
      <c r="D625" s="14">
        <v>14</v>
      </c>
      <c r="E625" s="15">
        <f>+'APU ESTRUCTURAS'!AF24</f>
        <v>1929331.0960875</v>
      </c>
      <c r="F625" s="16">
        <f>+D625*E625</f>
        <v>27010635.345224999</v>
      </c>
    </row>
    <row r="626" spans="1:6" x14ac:dyDescent="0.25">
      <c r="A626" s="12" t="s">
        <v>6459</v>
      </c>
      <c r="B626" s="13" t="s">
        <v>6461</v>
      </c>
      <c r="C626" s="14"/>
      <c r="D626" s="14"/>
      <c r="E626" s="15"/>
      <c r="F626" s="16"/>
    </row>
    <row r="627" spans="1:6" x14ac:dyDescent="0.25">
      <c r="A627" s="17" t="s">
        <v>6460</v>
      </c>
      <c r="B627" s="18" t="s">
        <v>6579</v>
      </c>
      <c r="C627" s="14" t="s">
        <v>37</v>
      </c>
      <c r="D627" s="14">
        <v>6</v>
      </c>
      <c r="E627" s="15">
        <f>+'APU ESTRUCTURAS'!AN124</f>
        <v>5846683.9033500003</v>
      </c>
      <c r="F627" s="16">
        <f>+D627*E627</f>
        <v>35080103.420100003</v>
      </c>
    </row>
    <row r="628" spans="1:6" x14ac:dyDescent="0.25">
      <c r="A628" s="12" t="s">
        <v>6470</v>
      </c>
      <c r="B628" s="13" t="s">
        <v>6466</v>
      </c>
      <c r="C628" s="14"/>
      <c r="D628" s="14"/>
      <c r="E628" s="15"/>
      <c r="F628" s="16"/>
    </row>
    <row r="629" spans="1:6" x14ac:dyDescent="0.25">
      <c r="A629" s="17" t="s">
        <v>6471</v>
      </c>
      <c r="B629" s="18" t="s">
        <v>6579</v>
      </c>
      <c r="C629" s="14" t="s">
        <v>37</v>
      </c>
      <c r="D629" s="14">
        <v>1</v>
      </c>
      <c r="E629" s="15">
        <f>+'APU ESTRUCTURAS'!AF176</f>
        <v>5869987.6033500005</v>
      </c>
      <c r="F629" s="16">
        <f>+D629*E629</f>
        <v>5869987.6033500005</v>
      </c>
    </row>
    <row r="630" spans="1:6" x14ac:dyDescent="0.25">
      <c r="A630" s="12" t="s">
        <v>6475</v>
      </c>
      <c r="B630" s="13" t="s">
        <v>6474</v>
      </c>
      <c r="C630" s="14"/>
      <c r="D630" s="14"/>
      <c r="E630" s="15"/>
      <c r="F630" s="16"/>
    </row>
    <row r="631" spans="1:6" x14ac:dyDescent="0.25">
      <c r="A631" s="17" t="s">
        <v>6476</v>
      </c>
      <c r="B631" s="18" t="s">
        <v>6579</v>
      </c>
      <c r="C631" s="14" t="s">
        <v>37</v>
      </c>
      <c r="D631" s="14">
        <v>1</v>
      </c>
      <c r="E631" s="15">
        <f>+'APU ESTRUCTURAS'!X226</f>
        <v>4994253.3880281243</v>
      </c>
      <c r="F631" s="16">
        <f t="shared" ref="F631:F639" si="40">+D631*E631</f>
        <v>4994253.3880281243</v>
      </c>
    </row>
    <row r="632" spans="1:6" x14ac:dyDescent="0.25">
      <c r="A632" s="17" t="s">
        <v>6479</v>
      </c>
      <c r="B632" s="13" t="s">
        <v>6481</v>
      </c>
      <c r="C632" s="14"/>
      <c r="D632" s="14"/>
      <c r="E632" s="15"/>
      <c r="F632" s="16"/>
    </row>
    <row r="633" spans="1:6" x14ac:dyDescent="0.25">
      <c r="A633" s="17" t="s">
        <v>6480</v>
      </c>
      <c r="B633" s="18" t="s">
        <v>6579</v>
      </c>
      <c r="C633" s="14" t="s">
        <v>37</v>
      </c>
      <c r="D633" s="14">
        <v>7</v>
      </c>
      <c r="E633" s="15">
        <f>+'APU ESTRUCTURAS'!AF279</f>
        <v>4283462.1987000015</v>
      </c>
      <c r="F633" s="16">
        <f t="shared" si="40"/>
        <v>29984235.390900008</v>
      </c>
    </row>
    <row r="634" spans="1:6" x14ac:dyDescent="0.25">
      <c r="A634" s="12" t="s">
        <v>6485</v>
      </c>
      <c r="B634" s="13" t="s">
        <v>6484</v>
      </c>
      <c r="C634" s="14"/>
      <c r="D634" s="14"/>
      <c r="E634" s="15"/>
      <c r="F634" s="16"/>
    </row>
    <row r="635" spans="1:6" x14ac:dyDescent="0.25">
      <c r="A635" s="17" t="s">
        <v>6486</v>
      </c>
      <c r="B635" s="18" t="s">
        <v>6579</v>
      </c>
      <c r="C635" s="14" t="s">
        <v>37</v>
      </c>
      <c r="D635" s="14">
        <v>1</v>
      </c>
      <c r="E635" s="15">
        <f>+'APU ESTRUCTURAS'!AN331</f>
        <v>20137564.120500002</v>
      </c>
      <c r="F635" s="16">
        <f t="shared" si="40"/>
        <v>20137564.120500002</v>
      </c>
    </row>
    <row r="636" spans="1:6" x14ac:dyDescent="0.25">
      <c r="A636" s="12" t="s">
        <v>6490</v>
      </c>
      <c r="B636" s="13" t="s">
        <v>6491</v>
      </c>
      <c r="C636" s="14"/>
      <c r="D636" s="14"/>
      <c r="E636" s="15"/>
      <c r="F636" s="16"/>
    </row>
    <row r="637" spans="1:6" x14ac:dyDescent="0.25">
      <c r="A637" s="17" t="s">
        <v>6493</v>
      </c>
      <c r="B637" s="18" t="s">
        <v>6492</v>
      </c>
      <c r="C637" s="14" t="s">
        <v>37</v>
      </c>
      <c r="D637" s="14">
        <v>8</v>
      </c>
      <c r="E637" s="15">
        <f>+'APU ESTRUCTURAS'!H383</f>
        <v>2300976.3926124997</v>
      </c>
      <c r="F637" s="16">
        <f t="shared" si="40"/>
        <v>18407811.140899997</v>
      </c>
    </row>
    <row r="638" spans="1:6" x14ac:dyDescent="0.25">
      <c r="A638" s="12" t="s">
        <v>6496</v>
      </c>
      <c r="B638" s="13" t="s">
        <v>6497</v>
      </c>
      <c r="C638" s="14"/>
      <c r="D638" s="14"/>
      <c r="E638" s="15"/>
      <c r="F638" s="16"/>
    </row>
    <row r="639" spans="1:6" x14ac:dyDescent="0.25">
      <c r="A639" s="17" t="s">
        <v>6498</v>
      </c>
      <c r="B639" s="18" t="s">
        <v>6614</v>
      </c>
      <c r="C639" s="14" t="s">
        <v>14</v>
      </c>
      <c r="D639" s="14">
        <v>40</v>
      </c>
      <c r="E639" s="15">
        <f>+'APU ESTRUCTURAS'!H524</f>
        <v>1845838</v>
      </c>
      <c r="F639" s="16">
        <f t="shared" si="40"/>
        <v>73833520</v>
      </c>
    </row>
    <row r="640" spans="1:6" ht="15.75" thickBot="1" x14ac:dyDescent="0.3">
      <c r="A640" s="2456" t="s">
        <v>844</v>
      </c>
      <c r="B640" s="2457"/>
      <c r="C640" s="2457"/>
      <c r="D640" s="2457"/>
      <c r="E640" s="2457"/>
      <c r="F640" s="322">
        <f>SUM(F624:F639)</f>
        <v>215318110.40900314</v>
      </c>
    </row>
    <row r="641" spans="1:6" ht="15.75" thickBot="1" x14ac:dyDescent="0.3">
      <c r="A641" s="33"/>
      <c r="B641" s="2458" t="s">
        <v>5415</v>
      </c>
      <c r="C641" s="2458"/>
      <c r="D641" s="2458"/>
      <c r="E641" s="2459"/>
      <c r="F641" s="34">
        <f>+F640</f>
        <v>215318110.40900314</v>
      </c>
    </row>
    <row r="643" spans="1:6" x14ac:dyDescent="0.25">
      <c r="F643" s="626">
        <f>+F641+'Pto Sum L16'!F2455</f>
        <v>785355873.2101469</v>
      </c>
    </row>
  </sheetData>
  <autoFilter ref="A7:G612">
    <filterColumn colId="6">
      <filters>
        <filter val="1"/>
      </filters>
    </filterColumn>
  </autoFilter>
  <mergeCells count="24">
    <mergeCell ref="A1:F1"/>
    <mergeCell ref="A2:F2"/>
    <mergeCell ref="A3:F3"/>
    <mergeCell ref="A4:F4"/>
    <mergeCell ref="A5:F5"/>
    <mergeCell ref="A609:E609"/>
    <mergeCell ref="A28:E28"/>
    <mergeCell ref="A62:E62"/>
    <mergeCell ref="A69:E69"/>
    <mergeCell ref="A80:E80"/>
    <mergeCell ref="A93:E93"/>
    <mergeCell ref="A417:E417"/>
    <mergeCell ref="A484:E484"/>
    <mergeCell ref="A545:E545"/>
    <mergeCell ref="A576:E576"/>
    <mergeCell ref="A620:F620"/>
    <mergeCell ref="A640:E640"/>
    <mergeCell ref="B641:E641"/>
    <mergeCell ref="B610:E610"/>
    <mergeCell ref="B612:E612"/>
    <mergeCell ref="A616:F616"/>
    <mergeCell ref="A617:F617"/>
    <mergeCell ref="A618:F618"/>
    <mergeCell ref="A619:F619"/>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G2455"/>
  <sheetViews>
    <sheetView workbookViewId="0">
      <selection sqref="A1:F1"/>
    </sheetView>
  </sheetViews>
  <sheetFormatPr baseColWidth="10" defaultRowHeight="15" x14ac:dyDescent="0.25"/>
  <cols>
    <col min="2" max="2" width="53.5703125" customWidth="1"/>
    <col min="5" max="5" width="12.42578125" bestFit="1" customWidth="1"/>
    <col min="6" max="6" width="14.85546875" customWidth="1"/>
  </cols>
  <sheetData>
    <row r="1" spans="1:7" ht="18.75" x14ac:dyDescent="0.25">
      <c r="A1" s="2462" t="s">
        <v>0</v>
      </c>
      <c r="B1" s="2462"/>
      <c r="C1" s="2462"/>
      <c r="D1" s="2462"/>
      <c r="E1" s="2462"/>
      <c r="F1" s="2462"/>
      <c r="G1" s="1"/>
    </row>
    <row r="2" spans="1:7" ht="18.75" x14ac:dyDescent="0.25">
      <c r="A2" s="2463" t="str">
        <f>+A2433</f>
        <v>MUNICIPIOS DE BOJACA-LA MESA DEPARTAMENTO DE CUNDINAMARCA</v>
      </c>
      <c r="B2" s="2463"/>
      <c r="C2" s="2463"/>
      <c r="D2" s="2463"/>
      <c r="E2" s="2463"/>
      <c r="F2" s="2463"/>
      <c r="G2" s="1"/>
    </row>
    <row r="3" spans="1:7" x14ac:dyDescent="0.25">
      <c r="A3" s="2"/>
      <c r="B3" s="2"/>
      <c r="C3" s="2"/>
      <c r="D3" s="1"/>
      <c r="E3" s="1"/>
      <c r="F3" s="1"/>
      <c r="G3" s="1"/>
    </row>
    <row r="4" spans="1:7" ht="15.75" x14ac:dyDescent="0.25">
      <c r="A4" s="2278"/>
      <c r="B4" s="2278"/>
      <c r="C4" s="2278"/>
      <c r="D4" s="2278"/>
      <c r="E4" s="2278"/>
      <c r="F4" s="2278"/>
      <c r="G4" s="1"/>
    </row>
    <row r="5" spans="1:7" ht="15.75" x14ac:dyDescent="0.25">
      <c r="A5" s="2278" t="s">
        <v>5398</v>
      </c>
      <c r="B5" s="2278"/>
      <c r="C5" s="2278"/>
      <c r="D5" s="2278"/>
      <c r="E5" s="2278"/>
      <c r="F5" s="2278"/>
    </row>
    <row r="6" spans="1:7" ht="16.5" thickBot="1" x14ac:dyDescent="0.3">
      <c r="A6" s="622"/>
      <c r="B6" s="622"/>
      <c r="C6" s="622"/>
      <c r="D6" s="622"/>
      <c r="E6" s="622"/>
      <c r="F6" s="622"/>
    </row>
    <row r="7" spans="1:7" ht="15.75" thickBot="1" x14ac:dyDescent="0.3">
      <c r="A7" s="4" t="s">
        <v>3</v>
      </c>
      <c r="B7" s="5" t="s">
        <v>4</v>
      </c>
      <c r="C7" s="5" t="s">
        <v>5</v>
      </c>
      <c r="D7" s="5" t="s">
        <v>6</v>
      </c>
      <c r="E7" s="6" t="s">
        <v>7</v>
      </c>
      <c r="F7" s="7" t="s">
        <v>8</v>
      </c>
      <c r="G7" s="8"/>
    </row>
    <row r="8" spans="1:7" x14ac:dyDescent="0.25">
      <c r="A8" s="57">
        <v>3</v>
      </c>
      <c r="B8" s="58" t="s">
        <v>32</v>
      </c>
      <c r="C8" s="9"/>
      <c r="D8" s="9"/>
      <c r="E8" s="10"/>
      <c r="F8" s="11"/>
      <c r="G8" s="8">
        <v>1</v>
      </c>
    </row>
    <row r="9" spans="1:7" hidden="1" x14ac:dyDescent="0.25">
      <c r="A9" s="78" t="s">
        <v>871</v>
      </c>
      <c r="B9" s="79" t="s">
        <v>872</v>
      </c>
      <c r="C9" s="26"/>
      <c r="D9" s="14"/>
      <c r="E9" s="15"/>
      <c r="F9" s="16"/>
      <c r="G9">
        <f t="shared" ref="G9:G72" si="0">+IF(F9&lt;&gt;0,1,0)</f>
        <v>0</v>
      </c>
    </row>
    <row r="10" spans="1:7" hidden="1" x14ac:dyDescent="0.25">
      <c r="A10" s="65" t="s">
        <v>873</v>
      </c>
      <c r="B10" s="66" t="s">
        <v>1078</v>
      </c>
      <c r="C10" s="67"/>
      <c r="D10" s="14"/>
      <c r="E10" s="15"/>
      <c r="F10" s="16"/>
      <c r="G10">
        <f t="shared" si="0"/>
        <v>0</v>
      </c>
    </row>
    <row r="11" spans="1:7" hidden="1" x14ac:dyDescent="0.25">
      <c r="A11" s="65" t="s">
        <v>1077</v>
      </c>
      <c r="B11" s="66" t="s">
        <v>1079</v>
      </c>
      <c r="C11" s="67"/>
      <c r="D11" s="14"/>
      <c r="E11" s="15"/>
      <c r="F11" s="16"/>
      <c r="G11">
        <f t="shared" si="0"/>
        <v>0</v>
      </c>
    </row>
    <row r="12" spans="1:7" hidden="1" x14ac:dyDescent="0.25">
      <c r="A12" s="71" t="s">
        <v>1082</v>
      </c>
      <c r="B12" s="72" t="s">
        <v>1080</v>
      </c>
      <c r="C12" s="67" t="s">
        <v>14</v>
      </c>
      <c r="D12" s="14"/>
      <c r="E12" s="15"/>
      <c r="F12" s="16">
        <f>+D12*E12</f>
        <v>0</v>
      </c>
      <c r="G12">
        <f t="shared" si="0"/>
        <v>0</v>
      </c>
    </row>
    <row r="13" spans="1:7" hidden="1" x14ac:dyDescent="0.25">
      <c r="A13" s="65" t="s">
        <v>1081</v>
      </c>
      <c r="B13" s="66" t="s">
        <v>1083</v>
      </c>
      <c r="C13" s="67"/>
      <c r="D13" s="14"/>
      <c r="E13" s="15"/>
      <c r="F13" s="16"/>
      <c r="G13">
        <f t="shared" si="0"/>
        <v>0</v>
      </c>
    </row>
    <row r="14" spans="1:7" hidden="1" x14ac:dyDescent="0.25">
      <c r="A14" s="65" t="s">
        <v>1089</v>
      </c>
      <c r="B14" s="72" t="s">
        <v>1084</v>
      </c>
      <c r="C14" s="67" t="s">
        <v>14</v>
      </c>
      <c r="D14" s="14"/>
      <c r="E14" s="15"/>
      <c r="F14" s="16">
        <f>+D14*E14</f>
        <v>0</v>
      </c>
      <c r="G14">
        <f t="shared" si="0"/>
        <v>0</v>
      </c>
    </row>
    <row r="15" spans="1:7" hidden="1" x14ac:dyDescent="0.25">
      <c r="A15" s="65" t="s">
        <v>1088</v>
      </c>
      <c r="B15" s="66" t="s">
        <v>1085</v>
      </c>
      <c r="C15" s="67"/>
      <c r="D15" s="14"/>
      <c r="E15" s="15"/>
      <c r="F15" s="16"/>
      <c r="G15">
        <f t="shared" si="0"/>
        <v>0</v>
      </c>
    </row>
    <row r="16" spans="1:7" hidden="1" x14ac:dyDescent="0.25">
      <c r="A16" s="71" t="s">
        <v>1090</v>
      </c>
      <c r="B16" s="72" t="s">
        <v>1087</v>
      </c>
      <c r="C16" s="67" t="s">
        <v>14</v>
      </c>
      <c r="D16" s="14"/>
      <c r="E16" s="15"/>
      <c r="F16" s="16">
        <f>+D16*E16</f>
        <v>0</v>
      </c>
      <c r="G16">
        <f t="shared" si="0"/>
        <v>0</v>
      </c>
    </row>
    <row r="17" spans="1:7" hidden="1" x14ac:dyDescent="0.25">
      <c r="A17" s="71" t="s">
        <v>1091</v>
      </c>
      <c r="B17" s="72" t="s">
        <v>1086</v>
      </c>
      <c r="C17" s="67" t="s">
        <v>14</v>
      </c>
      <c r="D17" s="14"/>
      <c r="E17" s="15"/>
      <c r="F17" s="16">
        <f>+D17*E17</f>
        <v>0</v>
      </c>
      <c r="G17">
        <f t="shared" si="0"/>
        <v>0</v>
      </c>
    </row>
    <row r="18" spans="1:7" hidden="1" x14ac:dyDescent="0.25">
      <c r="A18" s="65" t="s">
        <v>874</v>
      </c>
      <c r="B18" s="66" t="s">
        <v>875</v>
      </c>
      <c r="C18" s="67"/>
      <c r="D18" s="14"/>
      <c r="E18" s="15"/>
      <c r="F18" s="16"/>
      <c r="G18">
        <f t="shared" si="0"/>
        <v>0</v>
      </c>
    </row>
    <row r="19" spans="1:7" hidden="1" x14ac:dyDescent="0.25">
      <c r="A19" s="71" t="s">
        <v>1093</v>
      </c>
      <c r="B19" s="72" t="s">
        <v>1096</v>
      </c>
      <c r="C19" s="67" t="s">
        <v>14</v>
      </c>
      <c r="D19" s="14"/>
      <c r="E19" s="15"/>
      <c r="F19" s="16">
        <f>+D19*E19</f>
        <v>0</v>
      </c>
      <c r="G19">
        <f t="shared" si="0"/>
        <v>0</v>
      </c>
    </row>
    <row r="20" spans="1:7" hidden="1" x14ac:dyDescent="0.25">
      <c r="A20" s="71" t="s">
        <v>876</v>
      </c>
      <c r="B20" s="72" t="s">
        <v>1092</v>
      </c>
      <c r="C20" s="67" t="s">
        <v>14</v>
      </c>
      <c r="D20" s="14"/>
      <c r="E20" s="15"/>
      <c r="F20" s="16">
        <f>+D20*E20</f>
        <v>0</v>
      </c>
      <c r="G20">
        <f t="shared" si="0"/>
        <v>0</v>
      </c>
    </row>
    <row r="21" spans="1:7" hidden="1" x14ac:dyDescent="0.25">
      <c r="A21" s="71" t="s">
        <v>1094</v>
      </c>
      <c r="B21" s="72" t="s">
        <v>1097</v>
      </c>
      <c r="C21" s="67" t="s">
        <v>14</v>
      </c>
      <c r="D21" s="14"/>
      <c r="E21" s="15"/>
      <c r="F21" s="16">
        <f>+D21*E21</f>
        <v>0</v>
      </c>
      <c r="G21">
        <f t="shared" si="0"/>
        <v>0</v>
      </c>
    </row>
    <row r="22" spans="1:7" hidden="1" x14ac:dyDescent="0.25">
      <c r="A22" s="71" t="s">
        <v>1095</v>
      </c>
      <c r="B22" s="72" t="s">
        <v>1098</v>
      </c>
      <c r="C22" s="67" t="s">
        <v>14</v>
      </c>
      <c r="D22" s="14"/>
      <c r="E22" s="15"/>
      <c r="F22" s="16">
        <f>+D22*E22</f>
        <v>0</v>
      </c>
      <c r="G22">
        <f t="shared" si="0"/>
        <v>0</v>
      </c>
    </row>
    <row r="23" spans="1:7" hidden="1" x14ac:dyDescent="0.25">
      <c r="A23" s="78" t="s">
        <v>877</v>
      </c>
      <c r="B23" s="79" t="s">
        <v>878</v>
      </c>
      <c r="C23" s="26"/>
      <c r="D23" s="14"/>
      <c r="E23" s="15"/>
      <c r="F23" s="16"/>
      <c r="G23">
        <f t="shared" si="0"/>
        <v>0</v>
      </c>
    </row>
    <row r="24" spans="1:7" hidden="1" x14ac:dyDescent="0.25">
      <c r="A24" s="44" t="s">
        <v>879</v>
      </c>
      <c r="B24" s="80" t="s">
        <v>880</v>
      </c>
      <c r="C24" s="14"/>
      <c r="D24" s="14"/>
      <c r="E24" s="15"/>
      <c r="F24" s="16"/>
      <c r="G24">
        <f t="shared" si="0"/>
        <v>0</v>
      </c>
    </row>
    <row r="25" spans="1:7" hidden="1" x14ac:dyDescent="0.25">
      <c r="A25" s="43" t="s">
        <v>881</v>
      </c>
      <c r="B25" s="81" t="s">
        <v>1099</v>
      </c>
      <c r="C25" s="14" t="s">
        <v>14</v>
      </c>
      <c r="D25" s="14"/>
      <c r="E25" s="15"/>
      <c r="F25" s="16">
        <f t="shared" ref="F25:F37" si="1">+D25*E25</f>
        <v>0</v>
      </c>
      <c r="G25">
        <f t="shared" si="0"/>
        <v>0</v>
      </c>
    </row>
    <row r="26" spans="1:7" hidden="1" x14ac:dyDescent="0.25">
      <c r="A26" s="43" t="s">
        <v>1100</v>
      </c>
      <c r="B26" s="81" t="s">
        <v>1102</v>
      </c>
      <c r="C26" s="14" t="s">
        <v>14</v>
      </c>
      <c r="D26" s="14"/>
      <c r="E26" s="15"/>
      <c r="F26" s="16">
        <f t="shared" si="1"/>
        <v>0</v>
      </c>
      <c r="G26">
        <f t="shared" si="0"/>
        <v>0</v>
      </c>
    </row>
    <row r="27" spans="1:7" hidden="1" x14ac:dyDescent="0.25">
      <c r="A27" s="43" t="s">
        <v>882</v>
      </c>
      <c r="B27" s="81" t="s">
        <v>1103</v>
      </c>
      <c r="C27" s="14" t="s">
        <v>14</v>
      </c>
      <c r="D27" s="14"/>
      <c r="E27" s="15"/>
      <c r="F27" s="16">
        <f t="shared" si="1"/>
        <v>0</v>
      </c>
      <c r="G27">
        <f t="shared" si="0"/>
        <v>0</v>
      </c>
    </row>
    <row r="28" spans="1:7" hidden="1" x14ac:dyDescent="0.25">
      <c r="A28" s="43" t="s">
        <v>1101</v>
      </c>
      <c r="B28" s="81" t="s">
        <v>1104</v>
      </c>
      <c r="C28" s="14" t="s">
        <v>14</v>
      </c>
      <c r="D28" s="14"/>
      <c r="E28" s="15"/>
      <c r="F28" s="16">
        <f t="shared" si="1"/>
        <v>0</v>
      </c>
      <c r="G28">
        <f t="shared" si="0"/>
        <v>0</v>
      </c>
    </row>
    <row r="29" spans="1:7" hidden="1" x14ac:dyDescent="0.25">
      <c r="A29" s="43" t="s">
        <v>883</v>
      </c>
      <c r="B29" s="81" t="s">
        <v>1105</v>
      </c>
      <c r="C29" s="14" t="s">
        <v>14</v>
      </c>
      <c r="D29" s="14"/>
      <c r="E29" s="15"/>
      <c r="F29" s="16">
        <f t="shared" si="1"/>
        <v>0</v>
      </c>
      <c r="G29">
        <f t="shared" si="0"/>
        <v>0</v>
      </c>
    </row>
    <row r="30" spans="1:7" hidden="1" x14ac:dyDescent="0.25">
      <c r="A30" s="43" t="s">
        <v>884</v>
      </c>
      <c r="B30" s="81" t="s">
        <v>1106</v>
      </c>
      <c r="C30" s="14" t="s">
        <v>14</v>
      </c>
      <c r="D30" s="14"/>
      <c r="E30" s="15"/>
      <c r="F30" s="16">
        <f t="shared" si="1"/>
        <v>0</v>
      </c>
      <c r="G30">
        <f t="shared" si="0"/>
        <v>0</v>
      </c>
    </row>
    <row r="31" spans="1:7" hidden="1" x14ac:dyDescent="0.25">
      <c r="A31" s="43" t="s">
        <v>885</v>
      </c>
      <c r="B31" s="81" t="s">
        <v>1107</v>
      </c>
      <c r="C31" s="14" t="s">
        <v>14</v>
      </c>
      <c r="D31" s="14"/>
      <c r="E31" s="15"/>
      <c r="F31" s="16">
        <f t="shared" si="1"/>
        <v>0</v>
      </c>
      <c r="G31">
        <f t="shared" si="0"/>
        <v>0</v>
      </c>
    </row>
    <row r="32" spans="1:7" hidden="1" x14ac:dyDescent="0.25">
      <c r="A32" s="43" t="s">
        <v>886</v>
      </c>
      <c r="B32" s="81" t="s">
        <v>1108</v>
      </c>
      <c r="C32" s="14" t="s">
        <v>14</v>
      </c>
      <c r="D32" s="14"/>
      <c r="E32" s="15"/>
      <c r="F32" s="16">
        <f t="shared" si="1"/>
        <v>0</v>
      </c>
      <c r="G32">
        <f t="shared" si="0"/>
        <v>0</v>
      </c>
    </row>
    <row r="33" spans="1:7" hidden="1" x14ac:dyDescent="0.25">
      <c r="A33" s="43" t="s">
        <v>1109</v>
      </c>
      <c r="B33" s="81" t="s">
        <v>1113</v>
      </c>
      <c r="C33" s="14" t="s">
        <v>14</v>
      </c>
      <c r="D33" s="14"/>
      <c r="E33" s="15"/>
      <c r="F33" s="16">
        <f t="shared" si="1"/>
        <v>0</v>
      </c>
      <c r="G33">
        <f t="shared" si="0"/>
        <v>0</v>
      </c>
    </row>
    <row r="34" spans="1:7" hidden="1" x14ac:dyDescent="0.25">
      <c r="A34" s="43" t="s">
        <v>1110</v>
      </c>
      <c r="B34" s="81" t="s">
        <v>1114</v>
      </c>
      <c r="C34" s="14" t="s">
        <v>14</v>
      </c>
      <c r="D34" s="14"/>
      <c r="E34" s="15"/>
      <c r="F34" s="16">
        <f t="shared" si="1"/>
        <v>0</v>
      </c>
      <c r="G34">
        <f t="shared" si="0"/>
        <v>0</v>
      </c>
    </row>
    <row r="35" spans="1:7" hidden="1" x14ac:dyDescent="0.25">
      <c r="A35" s="43" t="s">
        <v>1111</v>
      </c>
      <c r="B35" s="81" t="s">
        <v>1115</v>
      </c>
      <c r="C35" s="14" t="s">
        <v>14</v>
      </c>
      <c r="D35" s="14"/>
      <c r="E35" s="15"/>
      <c r="F35" s="16">
        <f t="shared" si="1"/>
        <v>0</v>
      </c>
      <c r="G35">
        <f t="shared" si="0"/>
        <v>0</v>
      </c>
    </row>
    <row r="36" spans="1:7" hidden="1" x14ac:dyDescent="0.25">
      <c r="A36" s="43" t="s">
        <v>1112</v>
      </c>
      <c r="B36" s="81" t="s">
        <v>1116</v>
      </c>
      <c r="C36" s="14" t="s">
        <v>14</v>
      </c>
      <c r="D36" s="14"/>
      <c r="E36" s="15"/>
      <c r="F36" s="16">
        <f t="shared" si="1"/>
        <v>0</v>
      </c>
      <c r="G36">
        <f t="shared" si="0"/>
        <v>0</v>
      </c>
    </row>
    <row r="37" spans="1:7" hidden="1" x14ac:dyDescent="0.25">
      <c r="A37" s="43" t="s">
        <v>1117</v>
      </c>
      <c r="B37" s="81" t="s">
        <v>1118</v>
      </c>
      <c r="C37" s="14" t="s">
        <v>14</v>
      </c>
      <c r="D37" s="14"/>
      <c r="E37" s="15"/>
      <c r="F37" s="16">
        <f t="shared" si="1"/>
        <v>0</v>
      </c>
      <c r="G37">
        <f t="shared" si="0"/>
        <v>0</v>
      </c>
    </row>
    <row r="38" spans="1:7" hidden="1" x14ac:dyDescent="0.25">
      <c r="A38" s="44" t="s">
        <v>1119</v>
      </c>
      <c r="B38" s="80" t="s">
        <v>1148</v>
      </c>
      <c r="C38" s="14"/>
      <c r="D38" s="14"/>
      <c r="E38" s="15"/>
      <c r="F38" s="16"/>
      <c r="G38">
        <f t="shared" si="0"/>
        <v>0</v>
      </c>
    </row>
    <row r="39" spans="1:7" hidden="1" x14ac:dyDescent="0.25">
      <c r="A39" s="43" t="s">
        <v>1120</v>
      </c>
      <c r="B39" s="81" t="s">
        <v>1121</v>
      </c>
      <c r="C39" s="14" t="s">
        <v>14</v>
      </c>
      <c r="D39" s="14"/>
      <c r="E39" s="15"/>
      <c r="F39" s="16">
        <f t="shared" ref="F39:F77" si="2">+D39*E39</f>
        <v>0</v>
      </c>
      <c r="G39">
        <f t="shared" si="0"/>
        <v>0</v>
      </c>
    </row>
    <row r="40" spans="1:7" hidden="1" x14ac:dyDescent="0.25">
      <c r="A40" s="43" t="s">
        <v>1134</v>
      </c>
      <c r="B40" s="81" t="s">
        <v>1122</v>
      </c>
      <c r="C40" s="14" t="s">
        <v>14</v>
      </c>
      <c r="D40" s="14"/>
      <c r="E40" s="15"/>
      <c r="F40" s="16">
        <f t="shared" si="2"/>
        <v>0</v>
      </c>
      <c r="G40">
        <f t="shared" si="0"/>
        <v>0</v>
      </c>
    </row>
    <row r="41" spans="1:7" hidden="1" x14ac:dyDescent="0.25">
      <c r="A41" s="43" t="s">
        <v>1135</v>
      </c>
      <c r="B41" s="81" t="s">
        <v>1123</v>
      </c>
      <c r="C41" s="14" t="s">
        <v>14</v>
      </c>
      <c r="D41" s="14"/>
      <c r="E41" s="15"/>
      <c r="F41" s="16">
        <f t="shared" si="2"/>
        <v>0</v>
      </c>
      <c r="G41">
        <f t="shared" si="0"/>
        <v>0</v>
      </c>
    </row>
    <row r="42" spans="1:7" hidden="1" x14ac:dyDescent="0.25">
      <c r="A42" s="43" t="s">
        <v>1136</v>
      </c>
      <c r="B42" s="81" t="s">
        <v>1124</v>
      </c>
      <c r="C42" s="14" t="s">
        <v>14</v>
      </c>
      <c r="D42" s="14"/>
      <c r="E42" s="15"/>
      <c r="F42" s="16">
        <f t="shared" si="2"/>
        <v>0</v>
      </c>
      <c r="G42">
        <f t="shared" si="0"/>
        <v>0</v>
      </c>
    </row>
    <row r="43" spans="1:7" hidden="1" x14ac:dyDescent="0.25">
      <c r="A43" s="43" t="s">
        <v>1137</v>
      </c>
      <c r="B43" s="81" t="s">
        <v>1125</v>
      </c>
      <c r="C43" s="14" t="s">
        <v>14</v>
      </c>
      <c r="D43" s="14"/>
      <c r="E43" s="15"/>
      <c r="F43" s="16">
        <f t="shared" si="2"/>
        <v>0</v>
      </c>
      <c r="G43">
        <f t="shared" si="0"/>
        <v>0</v>
      </c>
    </row>
    <row r="44" spans="1:7" hidden="1" x14ac:dyDescent="0.25">
      <c r="A44" s="43" t="s">
        <v>1138</v>
      </c>
      <c r="B44" s="81" t="s">
        <v>1126</v>
      </c>
      <c r="C44" s="14" t="s">
        <v>14</v>
      </c>
      <c r="D44" s="14"/>
      <c r="E44" s="15"/>
      <c r="F44" s="16">
        <f t="shared" si="2"/>
        <v>0</v>
      </c>
      <c r="G44">
        <f t="shared" si="0"/>
        <v>0</v>
      </c>
    </row>
    <row r="45" spans="1:7" hidden="1" x14ac:dyDescent="0.25">
      <c r="A45" s="43" t="s">
        <v>1139</v>
      </c>
      <c r="B45" s="81" t="s">
        <v>1127</v>
      </c>
      <c r="C45" s="14" t="s">
        <v>14</v>
      </c>
      <c r="D45" s="14"/>
      <c r="E45" s="15"/>
      <c r="F45" s="16">
        <f t="shared" si="2"/>
        <v>0</v>
      </c>
      <c r="G45">
        <f t="shared" si="0"/>
        <v>0</v>
      </c>
    </row>
    <row r="46" spans="1:7" hidden="1" x14ac:dyDescent="0.25">
      <c r="A46" s="43" t="s">
        <v>1140</v>
      </c>
      <c r="B46" s="81" t="s">
        <v>1128</v>
      </c>
      <c r="C46" s="14" t="s">
        <v>14</v>
      </c>
      <c r="D46" s="14"/>
      <c r="E46" s="15"/>
      <c r="F46" s="16">
        <f t="shared" si="2"/>
        <v>0</v>
      </c>
      <c r="G46">
        <f t="shared" si="0"/>
        <v>0</v>
      </c>
    </row>
    <row r="47" spans="1:7" hidden="1" x14ac:dyDescent="0.25">
      <c r="A47" s="43" t="s">
        <v>1141</v>
      </c>
      <c r="B47" s="81" t="s">
        <v>1129</v>
      </c>
      <c r="C47" s="14" t="s">
        <v>14</v>
      </c>
      <c r="D47" s="14"/>
      <c r="E47" s="15"/>
      <c r="F47" s="16">
        <f t="shared" si="2"/>
        <v>0</v>
      </c>
      <c r="G47">
        <f t="shared" si="0"/>
        <v>0</v>
      </c>
    </row>
    <row r="48" spans="1:7" hidden="1" x14ac:dyDescent="0.25">
      <c r="A48" s="43" t="s">
        <v>1142</v>
      </c>
      <c r="B48" s="81" t="s">
        <v>1130</v>
      </c>
      <c r="C48" s="14" t="s">
        <v>14</v>
      </c>
      <c r="D48" s="14"/>
      <c r="E48" s="15"/>
      <c r="F48" s="16">
        <f t="shared" si="2"/>
        <v>0</v>
      </c>
      <c r="G48">
        <f t="shared" si="0"/>
        <v>0</v>
      </c>
    </row>
    <row r="49" spans="1:7" hidden="1" x14ac:dyDescent="0.25">
      <c r="A49" s="43" t="s">
        <v>1143</v>
      </c>
      <c r="B49" s="81" t="s">
        <v>1131</v>
      </c>
      <c r="C49" s="14" t="s">
        <v>14</v>
      </c>
      <c r="D49" s="14"/>
      <c r="E49" s="15"/>
      <c r="F49" s="16">
        <f t="shared" si="2"/>
        <v>0</v>
      </c>
      <c r="G49">
        <f t="shared" si="0"/>
        <v>0</v>
      </c>
    </row>
    <row r="50" spans="1:7" hidden="1" x14ac:dyDescent="0.25">
      <c r="A50" s="43" t="s">
        <v>1144</v>
      </c>
      <c r="B50" s="81" t="s">
        <v>1133</v>
      </c>
      <c r="C50" s="14" t="s">
        <v>14</v>
      </c>
      <c r="D50" s="14"/>
      <c r="E50" s="15"/>
      <c r="F50" s="16">
        <f t="shared" si="2"/>
        <v>0</v>
      </c>
      <c r="G50">
        <f t="shared" si="0"/>
        <v>0</v>
      </c>
    </row>
    <row r="51" spans="1:7" hidden="1" x14ac:dyDescent="0.25">
      <c r="A51" s="43" t="s">
        <v>1145</v>
      </c>
      <c r="B51" s="81" t="s">
        <v>1132</v>
      </c>
      <c r="C51" s="14" t="s">
        <v>14</v>
      </c>
      <c r="D51" s="14"/>
      <c r="E51" s="15"/>
      <c r="F51" s="16">
        <f t="shared" si="2"/>
        <v>0</v>
      </c>
      <c r="G51">
        <f t="shared" si="0"/>
        <v>0</v>
      </c>
    </row>
    <row r="52" spans="1:7" hidden="1" x14ac:dyDescent="0.25">
      <c r="A52" s="44" t="s">
        <v>1146</v>
      </c>
      <c r="B52" s="80" t="s">
        <v>1149</v>
      </c>
      <c r="C52" s="14"/>
      <c r="D52" s="14"/>
      <c r="E52" s="15"/>
      <c r="F52" s="16"/>
      <c r="G52">
        <f t="shared" si="0"/>
        <v>0</v>
      </c>
    </row>
    <row r="53" spans="1:7" hidden="1" x14ac:dyDescent="0.25">
      <c r="A53" s="43" t="s">
        <v>1147</v>
      </c>
      <c r="B53" s="81" t="s">
        <v>1150</v>
      </c>
      <c r="C53" s="14" t="s">
        <v>14</v>
      </c>
      <c r="D53" s="14"/>
      <c r="E53" s="15"/>
      <c r="F53" s="16">
        <f t="shared" si="2"/>
        <v>0</v>
      </c>
      <c r="G53">
        <f t="shared" si="0"/>
        <v>0</v>
      </c>
    </row>
    <row r="54" spans="1:7" hidden="1" x14ac:dyDescent="0.25">
      <c r="A54" s="43" t="s">
        <v>1164</v>
      </c>
      <c r="B54" s="81" t="s">
        <v>1151</v>
      </c>
      <c r="C54" s="14" t="s">
        <v>14</v>
      </c>
      <c r="D54" s="14"/>
      <c r="E54" s="15"/>
      <c r="F54" s="16">
        <f t="shared" si="2"/>
        <v>0</v>
      </c>
      <c r="G54">
        <f t="shared" si="0"/>
        <v>0</v>
      </c>
    </row>
    <row r="55" spans="1:7" hidden="1" x14ac:dyDescent="0.25">
      <c r="A55" s="43" t="s">
        <v>1165</v>
      </c>
      <c r="B55" s="81" t="s">
        <v>1152</v>
      </c>
      <c r="C55" s="14" t="s">
        <v>14</v>
      </c>
      <c r="D55" s="14"/>
      <c r="E55" s="15"/>
      <c r="F55" s="16">
        <f t="shared" si="2"/>
        <v>0</v>
      </c>
      <c r="G55">
        <f t="shared" si="0"/>
        <v>0</v>
      </c>
    </row>
    <row r="56" spans="1:7" hidden="1" x14ac:dyDescent="0.25">
      <c r="A56" s="43" t="s">
        <v>1166</v>
      </c>
      <c r="B56" s="81" t="s">
        <v>1153</v>
      </c>
      <c r="C56" s="14" t="s">
        <v>14</v>
      </c>
      <c r="D56" s="14"/>
      <c r="E56" s="15"/>
      <c r="F56" s="16">
        <f t="shared" si="2"/>
        <v>0</v>
      </c>
      <c r="G56">
        <f t="shared" si="0"/>
        <v>0</v>
      </c>
    </row>
    <row r="57" spans="1:7" hidden="1" x14ac:dyDescent="0.25">
      <c r="A57" s="43" t="s">
        <v>1167</v>
      </c>
      <c r="B57" s="81" t="s">
        <v>1154</v>
      </c>
      <c r="C57" s="14" t="s">
        <v>14</v>
      </c>
      <c r="D57" s="14"/>
      <c r="E57" s="15"/>
      <c r="F57" s="16">
        <f t="shared" si="2"/>
        <v>0</v>
      </c>
      <c r="G57">
        <f t="shared" si="0"/>
        <v>0</v>
      </c>
    </row>
    <row r="58" spans="1:7" hidden="1" x14ac:dyDescent="0.25">
      <c r="A58" s="43" t="s">
        <v>1168</v>
      </c>
      <c r="B58" s="81" t="s">
        <v>1155</v>
      </c>
      <c r="C58" s="14" t="s">
        <v>14</v>
      </c>
      <c r="D58" s="14"/>
      <c r="E58" s="15"/>
      <c r="F58" s="16">
        <f t="shared" si="2"/>
        <v>0</v>
      </c>
      <c r="G58">
        <f t="shared" si="0"/>
        <v>0</v>
      </c>
    </row>
    <row r="59" spans="1:7" hidden="1" x14ac:dyDescent="0.25">
      <c r="A59" s="43" t="s">
        <v>1169</v>
      </c>
      <c r="B59" s="81" t="s">
        <v>1156</v>
      </c>
      <c r="C59" s="14" t="s">
        <v>14</v>
      </c>
      <c r="D59" s="14"/>
      <c r="E59" s="15"/>
      <c r="F59" s="16">
        <f t="shared" si="2"/>
        <v>0</v>
      </c>
      <c r="G59">
        <f t="shared" si="0"/>
        <v>0</v>
      </c>
    </row>
    <row r="60" spans="1:7" hidden="1" x14ac:dyDescent="0.25">
      <c r="A60" s="43" t="s">
        <v>1170</v>
      </c>
      <c r="B60" s="81" t="s">
        <v>1157</v>
      </c>
      <c r="C60" s="14" t="s">
        <v>14</v>
      </c>
      <c r="D60" s="14"/>
      <c r="E60" s="15"/>
      <c r="F60" s="16">
        <f t="shared" si="2"/>
        <v>0</v>
      </c>
      <c r="G60">
        <f t="shared" si="0"/>
        <v>0</v>
      </c>
    </row>
    <row r="61" spans="1:7" hidden="1" x14ac:dyDescent="0.25">
      <c r="A61" s="43" t="s">
        <v>1171</v>
      </c>
      <c r="B61" s="81" t="s">
        <v>1158</v>
      </c>
      <c r="C61" s="14" t="s">
        <v>14</v>
      </c>
      <c r="D61" s="14"/>
      <c r="E61" s="15"/>
      <c r="F61" s="16">
        <f t="shared" si="2"/>
        <v>0</v>
      </c>
      <c r="G61">
        <f t="shared" si="0"/>
        <v>0</v>
      </c>
    </row>
    <row r="62" spans="1:7" hidden="1" x14ac:dyDescent="0.25">
      <c r="A62" s="43" t="s">
        <v>1172</v>
      </c>
      <c r="B62" s="81" t="s">
        <v>1159</v>
      </c>
      <c r="C62" s="14" t="s">
        <v>14</v>
      </c>
      <c r="D62" s="14"/>
      <c r="E62" s="15"/>
      <c r="F62" s="16">
        <f t="shared" si="2"/>
        <v>0</v>
      </c>
      <c r="G62">
        <f t="shared" si="0"/>
        <v>0</v>
      </c>
    </row>
    <row r="63" spans="1:7" hidden="1" x14ac:dyDescent="0.25">
      <c r="A63" s="43" t="s">
        <v>1173</v>
      </c>
      <c r="B63" s="81" t="s">
        <v>1160</v>
      </c>
      <c r="C63" s="14" t="s">
        <v>14</v>
      </c>
      <c r="D63" s="14"/>
      <c r="E63" s="15"/>
      <c r="F63" s="16">
        <f t="shared" si="2"/>
        <v>0</v>
      </c>
      <c r="G63">
        <f t="shared" si="0"/>
        <v>0</v>
      </c>
    </row>
    <row r="64" spans="1:7" hidden="1" x14ac:dyDescent="0.25">
      <c r="A64" s="44" t="s">
        <v>1162</v>
      </c>
      <c r="B64" s="80" t="s">
        <v>1161</v>
      </c>
      <c r="C64" s="14"/>
      <c r="D64" s="14"/>
      <c r="E64" s="15"/>
      <c r="F64" s="16"/>
      <c r="G64">
        <f t="shared" si="0"/>
        <v>0</v>
      </c>
    </row>
    <row r="65" spans="1:7" hidden="1" x14ac:dyDescent="0.25">
      <c r="A65" s="43" t="s">
        <v>1163</v>
      </c>
      <c r="B65" s="81" t="s">
        <v>1183</v>
      </c>
      <c r="C65" s="14" t="s">
        <v>14</v>
      </c>
      <c r="D65" s="14"/>
      <c r="E65" s="15"/>
      <c r="F65" s="16">
        <f t="shared" si="2"/>
        <v>0</v>
      </c>
      <c r="G65">
        <f t="shared" si="0"/>
        <v>0</v>
      </c>
    </row>
    <row r="66" spans="1:7" hidden="1" x14ac:dyDescent="0.25">
      <c r="A66" s="43" t="s">
        <v>1174</v>
      </c>
      <c r="B66" s="81" t="s">
        <v>1184</v>
      </c>
      <c r="C66" s="14" t="s">
        <v>14</v>
      </c>
      <c r="D66" s="14"/>
      <c r="E66" s="15"/>
      <c r="F66" s="16">
        <f t="shared" si="2"/>
        <v>0</v>
      </c>
      <c r="G66">
        <f t="shared" si="0"/>
        <v>0</v>
      </c>
    </row>
    <row r="67" spans="1:7" hidden="1" x14ac:dyDescent="0.25">
      <c r="A67" s="43" t="s">
        <v>1175</v>
      </c>
      <c r="B67" s="81" t="s">
        <v>1185</v>
      </c>
      <c r="C67" s="14" t="s">
        <v>14</v>
      </c>
      <c r="D67" s="14"/>
      <c r="E67" s="15">
        <f>+SUM!H65</f>
        <v>84090</v>
      </c>
      <c r="F67" s="16">
        <f t="shared" si="2"/>
        <v>0</v>
      </c>
      <c r="G67">
        <f t="shared" si="0"/>
        <v>0</v>
      </c>
    </row>
    <row r="68" spans="1:7" hidden="1" x14ac:dyDescent="0.25">
      <c r="A68" s="43" t="s">
        <v>1176</v>
      </c>
      <c r="B68" s="81" t="s">
        <v>1186</v>
      </c>
      <c r="C68" s="14" t="s">
        <v>14</v>
      </c>
      <c r="D68" s="14"/>
      <c r="E68" s="15">
        <f>+SUM!H66</f>
        <v>131496</v>
      </c>
      <c r="F68" s="16">
        <f t="shared" si="2"/>
        <v>0</v>
      </c>
      <c r="G68">
        <f t="shared" si="0"/>
        <v>0</v>
      </c>
    </row>
    <row r="69" spans="1:7" hidden="1" x14ac:dyDescent="0.25">
      <c r="A69" s="43" t="s">
        <v>1177</v>
      </c>
      <c r="B69" s="81" t="s">
        <v>1187</v>
      </c>
      <c r="C69" s="14" t="s">
        <v>14</v>
      </c>
      <c r="D69" s="14"/>
      <c r="E69" s="15"/>
      <c r="F69" s="16">
        <f t="shared" si="2"/>
        <v>0</v>
      </c>
      <c r="G69">
        <f t="shared" si="0"/>
        <v>0</v>
      </c>
    </row>
    <row r="70" spans="1:7" hidden="1" x14ac:dyDescent="0.25">
      <c r="A70" s="43" t="s">
        <v>1178</v>
      </c>
      <c r="B70" s="81" t="s">
        <v>1188</v>
      </c>
      <c r="C70" s="14" t="s">
        <v>14</v>
      </c>
      <c r="D70" s="14"/>
      <c r="E70" s="15"/>
      <c r="F70" s="16">
        <f t="shared" si="2"/>
        <v>0</v>
      </c>
      <c r="G70">
        <f t="shared" si="0"/>
        <v>0</v>
      </c>
    </row>
    <row r="71" spans="1:7" hidden="1" x14ac:dyDescent="0.25">
      <c r="A71" s="43" t="s">
        <v>1179</v>
      </c>
      <c r="B71" s="81" t="s">
        <v>1189</v>
      </c>
      <c r="C71" s="14" t="s">
        <v>14</v>
      </c>
      <c r="D71" s="14"/>
      <c r="E71" s="15"/>
      <c r="F71" s="16">
        <f t="shared" si="2"/>
        <v>0</v>
      </c>
      <c r="G71">
        <f t="shared" si="0"/>
        <v>0</v>
      </c>
    </row>
    <row r="72" spans="1:7" hidden="1" x14ac:dyDescent="0.25">
      <c r="A72" s="43" t="s">
        <v>1180</v>
      </c>
      <c r="B72" s="81" t="s">
        <v>1190</v>
      </c>
      <c r="C72" s="14" t="s">
        <v>14</v>
      </c>
      <c r="D72" s="14"/>
      <c r="E72" s="15"/>
      <c r="F72" s="16">
        <f t="shared" si="2"/>
        <v>0</v>
      </c>
      <c r="G72">
        <f t="shared" si="0"/>
        <v>0</v>
      </c>
    </row>
    <row r="73" spans="1:7" hidden="1" x14ac:dyDescent="0.25">
      <c r="A73" s="43" t="s">
        <v>1181</v>
      </c>
      <c r="B73" s="81" t="s">
        <v>1191</v>
      </c>
      <c r="C73" s="14" t="s">
        <v>14</v>
      </c>
      <c r="D73" s="14"/>
      <c r="E73" s="15"/>
      <c r="F73" s="16">
        <f t="shared" si="2"/>
        <v>0</v>
      </c>
      <c r="G73">
        <f t="shared" ref="G73:G136" si="3">+IF(F73&lt;&gt;0,1,0)</f>
        <v>0</v>
      </c>
    </row>
    <row r="74" spans="1:7" hidden="1" x14ac:dyDescent="0.25">
      <c r="A74" s="43" t="s">
        <v>1182</v>
      </c>
      <c r="B74" s="81" t="s">
        <v>1192</v>
      </c>
      <c r="C74" s="14" t="s">
        <v>14</v>
      </c>
      <c r="D74" s="14"/>
      <c r="E74" s="15"/>
      <c r="F74" s="16">
        <f t="shared" si="2"/>
        <v>0</v>
      </c>
      <c r="G74">
        <f t="shared" si="3"/>
        <v>0</v>
      </c>
    </row>
    <row r="75" spans="1:7" hidden="1" x14ac:dyDescent="0.25">
      <c r="A75" s="44" t="s">
        <v>1193</v>
      </c>
      <c r="B75" s="80" t="s">
        <v>887</v>
      </c>
      <c r="C75" s="14"/>
      <c r="D75" s="14"/>
      <c r="E75" s="15"/>
      <c r="F75" s="16"/>
      <c r="G75">
        <f t="shared" si="3"/>
        <v>0</v>
      </c>
    </row>
    <row r="76" spans="1:7" hidden="1" x14ac:dyDescent="0.25">
      <c r="A76" s="43" t="s">
        <v>1196</v>
      </c>
      <c r="B76" s="81" t="s">
        <v>1194</v>
      </c>
      <c r="C76" s="14" t="s">
        <v>14</v>
      </c>
      <c r="D76" s="14"/>
      <c r="E76" s="15"/>
      <c r="F76" s="16">
        <f t="shared" si="2"/>
        <v>0</v>
      </c>
      <c r="G76">
        <f t="shared" si="3"/>
        <v>0</v>
      </c>
    </row>
    <row r="77" spans="1:7" hidden="1" x14ac:dyDescent="0.25">
      <c r="A77" s="43" t="s">
        <v>1197</v>
      </c>
      <c r="B77" s="81" t="s">
        <v>1195</v>
      </c>
      <c r="C77" s="14" t="s">
        <v>14</v>
      </c>
      <c r="D77" s="14"/>
      <c r="E77" s="15"/>
      <c r="F77" s="16">
        <f t="shared" si="2"/>
        <v>0</v>
      </c>
      <c r="G77">
        <f t="shared" si="3"/>
        <v>0</v>
      </c>
    </row>
    <row r="78" spans="1:7" hidden="1" x14ac:dyDescent="0.25">
      <c r="A78" s="44" t="s">
        <v>1675</v>
      </c>
      <c r="B78" s="80" t="s">
        <v>1676</v>
      </c>
      <c r="C78" s="14"/>
      <c r="D78" s="14"/>
      <c r="E78" s="15"/>
      <c r="F78" s="16"/>
      <c r="G78">
        <f t="shared" si="3"/>
        <v>0</v>
      </c>
    </row>
    <row r="79" spans="1:7" hidden="1" x14ac:dyDescent="0.25">
      <c r="A79" s="44" t="s">
        <v>1678</v>
      </c>
      <c r="B79" s="80" t="s">
        <v>1677</v>
      </c>
      <c r="C79" s="14"/>
      <c r="D79" s="14"/>
      <c r="E79" s="15"/>
      <c r="F79" s="16"/>
      <c r="G79">
        <f t="shared" si="3"/>
        <v>0</v>
      </c>
    </row>
    <row r="80" spans="1:7" hidden="1" x14ac:dyDescent="0.25">
      <c r="A80" s="43" t="s">
        <v>1679</v>
      </c>
      <c r="B80" s="81" t="s">
        <v>1682</v>
      </c>
      <c r="C80" s="14" t="s">
        <v>14</v>
      </c>
      <c r="D80" s="14"/>
      <c r="E80" s="15"/>
      <c r="F80" s="16">
        <f>+D80*E80</f>
        <v>0</v>
      </c>
      <c r="G80">
        <f t="shared" si="3"/>
        <v>0</v>
      </c>
    </row>
    <row r="81" spans="1:7" hidden="1" x14ac:dyDescent="0.25">
      <c r="A81" s="43" t="s">
        <v>1684</v>
      </c>
      <c r="B81" s="81" t="s">
        <v>1683</v>
      </c>
      <c r="C81" s="14" t="s">
        <v>14</v>
      </c>
      <c r="D81" s="14"/>
      <c r="E81" s="15"/>
      <c r="F81" s="16">
        <f>+D81*E81</f>
        <v>0</v>
      </c>
      <c r="G81">
        <f t="shared" si="3"/>
        <v>0</v>
      </c>
    </row>
    <row r="82" spans="1:7" hidden="1" x14ac:dyDescent="0.25">
      <c r="A82" s="43" t="s">
        <v>1685</v>
      </c>
      <c r="B82" s="81" t="s">
        <v>1680</v>
      </c>
      <c r="C82" s="14" t="s">
        <v>14</v>
      </c>
      <c r="D82" s="14"/>
      <c r="E82" s="15"/>
      <c r="F82" s="16">
        <f>+D82*E82</f>
        <v>0</v>
      </c>
      <c r="G82">
        <f t="shared" si="3"/>
        <v>0</v>
      </c>
    </row>
    <row r="83" spans="1:7" hidden="1" x14ac:dyDescent="0.25">
      <c r="A83" s="43" t="s">
        <v>1686</v>
      </c>
      <c r="B83" s="81" t="s">
        <v>1681</v>
      </c>
      <c r="C83" s="14" t="s">
        <v>14</v>
      </c>
      <c r="D83" s="14"/>
      <c r="E83" s="15"/>
      <c r="F83" s="16">
        <f>+D83*E83</f>
        <v>0</v>
      </c>
      <c r="G83">
        <f t="shared" si="3"/>
        <v>0</v>
      </c>
    </row>
    <row r="84" spans="1:7" hidden="1" x14ac:dyDescent="0.25">
      <c r="A84" s="44" t="s">
        <v>1687</v>
      </c>
      <c r="B84" s="80" t="s">
        <v>1688</v>
      </c>
      <c r="C84" s="14"/>
      <c r="D84" s="14"/>
      <c r="E84" s="15"/>
      <c r="F84" s="16"/>
      <c r="G84">
        <f t="shared" si="3"/>
        <v>0</v>
      </c>
    </row>
    <row r="85" spans="1:7" hidden="1" x14ac:dyDescent="0.25">
      <c r="A85" s="43" t="s">
        <v>1693</v>
      </c>
      <c r="B85" s="81" t="s">
        <v>1689</v>
      </c>
      <c r="C85" s="14" t="s">
        <v>14</v>
      </c>
      <c r="D85" s="14"/>
      <c r="E85" s="15"/>
      <c r="F85" s="16">
        <f>+D85*E85</f>
        <v>0</v>
      </c>
      <c r="G85">
        <f t="shared" si="3"/>
        <v>0</v>
      </c>
    </row>
    <row r="86" spans="1:7" hidden="1" x14ac:dyDescent="0.25">
      <c r="A86" s="43" t="s">
        <v>1694</v>
      </c>
      <c r="B86" s="81" t="s">
        <v>1690</v>
      </c>
      <c r="C86" s="14" t="s">
        <v>14</v>
      </c>
      <c r="D86" s="14"/>
      <c r="E86" s="15"/>
      <c r="F86" s="16">
        <f>+D86*E86</f>
        <v>0</v>
      </c>
      <c r="G86">
        <f t="shared" si="3"/>
        <v>0</v>
      </c>
    </row>
    <row r="87" spans="1:7" hidden="1" x14ac:dyDescent="0.25">
      <c r="A87" s="43" t="s">
        <v>1695</v>
      </c>
      <c r="B87" s="81" t="s">
        <v>1691</v>
      </c>
      <c r="C87" s="14" t="s">
        <v>14</v>
      </c>
      <c r="D87" s="14"/>
      <c r="E87" s="15"/>
      <c r="F87" s="16">
        <f>+D87*E87</f>
        <v>0</v>
      </c>
      <c r="G87">
        <f t="shared" si="3"/>
        <v>0</v>
      </c>
    </row>
    <row r="88" spans="1:7" hidden="1" x14ac:dyDescent="0.25">
      <c r="A88" s="43" t="s">
        <v>1696</v>
      </c>
      <c r="B88" s="81" t="s">
        <v>1692</v>
      </c>
      <c r="C88" s="14" t="s">
        <v>14</v>
      </c>
      <c r="D88" s="14"/>
      <c r="E88" s="15"/>
      <c r="F88" s="16">
        <f>+D88*E88</f>
        <v>0</v>
      </c>
      <c r="G88">
        <f t="shared" si="3"/>
        <v>0</v>
      </c>
    </row>
    <row r="89" spans="1:7" hidden="1" x14ac:dyDescent="0.25">
      <c r="A89" s="44" t="s">
        <v>1697</v>
      </c>
      <c r="B89" s="80" t="s">
        <v>1698</v>
      </c>
      <c r="C89" s="14"/>
      <c r="D89" s="14"/>
      <c r="E89" s="15"/>
      <c r="F89" s="16"/>
      <c r="G89">
        <f t="shared" si="3"/>
        <v>0</v>
      </c>
    </row>
    <row r="90" spans="1:7" hidden="1" x14ac:dyDescent="0.25">
      <c r="A90" s="43" t="s">
        <v>1707</v>
      </c>
      <c r="B90" s="81" t="s">
        <v>1699</v>
      </c>
      <c r="C90" s="14" t="s">
        <v>14</v>
      </c>
      <c r="D90" s="14"/>
      <c r="E90" s="15"/>
      <c r="F90" s="16">
        <f t="shared" ref="F90:F97" si="4">+D90*E90</f>
        <v>0</v>
      </c>
      <c r="G90">
        <f t="shared" si="3"/>
        <v>0</v>
      </c>
    </row>
    <row r="91" spans="1:7" hidden="1" x14ac:dyDescent="0.25">
      <c r="A91" s="43" t="s">
        <v>1708</v>
      </c>
      <c r="B91" s="81" t="s">
        <v>1700</v>
      </c>
      <c r="C91" s="14" t="s">
        <v>14</v>
      </c>
      <c r="D91" s="14"/>
      <c r="E91" s="15"/>
      <c r="F91" s="16">
        <f t="shared" si="4"/>
        <v>0</v>
      </c>
      <c r="G91">
        <f t="shared" si="3"/>
        <v>0</v>
      </c>
    </row>
    <row r="92" spans="1:7" hidden="1" x14ac:dyDescent="0.25">
      <c r="A92" s="43" t="s">
        <v>1709</v>
      </c>
      <c r="B92" s="81" t="s">
        <v>1701</v>
      </c>
      <c r="C92" s="14" t="s">
        <v>14</v>
      </c>
      <c r="D92" s="14"/>
      <c r="E92" s="15"/>
      <c r="F92" s="16">
        <f t="shared" si="4"/>
        <v>0</v>
      </c>
      <c r="G92">
        <f t="shared" si="3"/>
        <v>0</v>
      </c>
    </row>
    <row r="93" spans="1:7" hidden="1" x14ac:dyDescent="0.25">
      <c r="A93" s="43" t="s">
        <v>1710</v>
      </c>
      <c r="B93" s="81" t="s">
        <v>1702</v>
      </c>
      <c r="C93" s="14" t="s">
        <v>14</v>
      </c>
      <c r="D93" s="14"/>
      <c r="E93" s="15"/>
      <c r="F93" s="16">
        <f t="shared" si="4"/>
        <v>0</v>
      </c>
      <c r="G93">
        <f t="shared" si="3"/>
        <v>0</v>
      </c>
    </row>
    <row r="94" spans="1:7" hidden="1" x14ac:dyDescent="0.25">
      <c r="A94" s="43" t="s">
        <v>1711</v>
      </c>
      <c r="B94" s="81" t="s">
        <v>1703</v>
      </c>
      <c r="C94" s="14" t="s">
        <v>14</v>
      </c>
      <c r="D94" s="14"/>
      <c r="E94" s="15"/>
      <c r="F94" s="16">
        <f t="shared" si="4"/>
        <v>0</v>
      </c>
      <c r="G94">
        <f t="shared" si="3"/>
        <v>0</v>
      </c>
    </row>
    <row r="95" spans="1:7" hidden="1" x14ac:dyDescent="0.25">
      <c r="A95" s="43" t="s">
        <v>1712</v>
      </c>
      <c r="B95" s="81" t="s">
        <v>1705</v>
      </c>
      <c r="C95" s="14" t="s">
        <v>14</v>
      </c>
      <c r="D95" s="14"/>
      <c r="E95" s="15"/>
      <c r="F95" s="16">
        <f t="shared" si="4"/>
        <v>0</v>
      </c>
      <c r="G95">
        <f t="shared" si="3"/>
        <v>0</v>
      </c>
    </row>
    <row r="96" spans="1:7" hidden="1" x14ac:dyDescent="0.25">
      <c r="A96" s="43" t="s">
        <v>1713</v>
      </c>
      <c r="B96" s="81" t="s">
        <v>1704</v>
      </c>
      <c r="C96" s="14" t="s">
        <v>14</v>
      </c>
      <c r="D96" s="14"/>
      <c r="E96" s="15"/>
      <c r="F96" s="16">
        <f t="shared" si="4"/>
        <v>0</v>
      </c>
      <c r="G96">
        <f t="shared" si="3"/>
        <v>0</v>
      </c>
    </row>
    <row r="97" spans="1:7" hidden="1" x14ac:dyDescent="0.25">
      <c r="A97" s="43" t="s">
        <v>1714</v>
      </c>
      <c r="B97" s="81" t="s">
        <v>1706</v>
      </c>
      <c r="C97" s="14" t="s">
        <v>14</v>
      </c>
      <c r="D97" s="14"/>
      <c r="E97" s="15"/>
      <c r="F97" s="16">
        <f t="shared" si="4"/>
        <v>0</v>
      </c>
      <c r="G97">
        <f t="shared" si="3"/>
        <v>0</v>
      </c>
    </row>
    <row r="98" spans="1:7" hidden="1" x14ac:dyDescent="0.25">
      <c r="A98" s="44" t="s">
        <v>1198</v>
      </c>
      <c r="B98" s="80" t="s">
        <v>1199</v>
      </c>
      <c r="C98" s="14"/>
      <c r="D98" s="14"/>
      <c r="E98" s="15"/>
      <c r="F98" s="16"/>
      <c r="G98">
        <f t="shared" si="3"/>
        <v>0</v>
      </c>
    </row>
    <row r="99" spans="1:7" hidden="1" x14ac:dyDescent="0.25">
      <c r="A99" s="44" t="s">
        <v>889</v>
      </c>
      <c r="B99" s="80" t="s">
        <v>890</v>
      </c>
      <c r="C99" s="14"/>
      <c r="D99" s="14"/>
      <c r="E99" s="15"/>
      <c r="F99" s="16"/>
      <c r="G99">
        <f t="shared" si="3"/>
        <v>0</v>
      </c>
    </row>
    <row r="100" spans="1:7" hidden="1" x14ac:dyDescent="0.25">
      <c r="A100" s="65" t="s">
        <v>891</v>
      </c>
      <c r="B100" s="66" t="s">
        <v>892</v>
      </c>
      <c r="C100" s="67"/>
      <c r="D100" s="14"/>
      <c r="E100" s="15"/>
      <c r="F100" s="16"/>
      <c r="G100">
        <f t="shared" si="3"/>
        <v>0</v>
      </c>
    </row>
    <row r="101" spans="1:7" hidden="1" x14ac:dyDescent="0.25">
      <c r="A101" s="65" t="s">
        <v>893</v>
      </c>
      <c r="B101" s="66" t="s">
        <v>894</v>
      </c>
      <c r="C101" s="67"/>
      <c r="D101" s="14"/>
      <c r="E101" s="15"/>
      <c r="F101" s="16"/>
      <c r="G101">
        <f t="shared" si="3"/>
        <v>0</v>
      </c>
    </row>
    <row r="102" spans="1:7" hidden="1" x14ac:dyDescent="0.25">
      <c r="A102" s="71" t="s">
        <v>1200</v>
      </c>
      <c r="B102" s="72" t="s">
        <v>1204</v>
      </c>
      <c r="C102" s="67" t="s">
        <v>37</v>
      </c>
      <c r="D102" s="14"/>
      <c r="E102" s="15"/>
      <c r="F102" s="16">
        <f>+D102*E102</f>
        <v>0</v>
      </c>
      <c r="G102">
        <f t="shared" si="3"/>
        <v>0</v>
      </c>
    </row>
    <row r="103" spans="1:7" hidden="1" x14ac:dyDescent="0.25">
      <c r="A103" s="71" t="s">
        <v>1201</v>
      </c>
      <c r="B103" s="72" t="s">
        <v>1205</v>
      </c>
      <c r="C103" s="67" t="s">
        <v>37</v>
      </c>
      <c r="D103" s="14"/>
      <c r="E103" s="15"/>
      <c r="F103" s="16">
        <f>+D103*E103</f>
        <v>0</v>
      </c>
      <c r="G103">
        <f t="shared" si="3"/>
        <v>0</v>
      </c>
    </row>
    <row r="104" spans="1:7" hidden="1" x14ac:dyDescent="0.25">
      <c r="A104" s="71" t="s">
        <v>895</v>
      </c>
      <c r="B104" s="72" t="s">
        <v>896</v>
      </c>
      <c r="C104" s="67" t="s">
        <v>37</v>
      </c>
      <c r="D104" s="14"/>
      <c r="E104" s="15"/>
      <c r="F104" s="16">
        <f>+D104*E104</f>
        <v>0</v>
      </c>
      <c r="G104">
        <f t="shared" si="3"/>
        <v>0</v>
      </c>
    </row>
    <row r="105" spans="1:7" hidden="1" x14ac:dyDescent="0.25">
      <c r="A105" s="71" t="s">
        <v>1202</v>
      </c>
      <c r="B105" s="72" t="s">
        <v>1206</v>
      </c>
      <c r="C105" s="67" t="s">
        <v>37</v>
      </c>
      <c r="D105" s="14"/>
      <c r="E105" s="15"/>
      <c r="F105" s="16">
        <f>+D105*E105</f>
        <v>0</v>
      </c>
      <c r="G105">
        <f t="shared" si="3"/>
        <v>0</v>
      </c>
    </row>
    <row r="106" spans="1:7" hidden="1" x14ac:dyDescent="0.25">
      <c r="A106" s="71" t="s">
        <v>1203</v>
      </c>
      <c r="B106" s="72" t="s">
        <v>1207</v>
      </c>
      <c r="C106" s="67" t="s">
        <v>37</v>
      </c>
      <c r="D106" s="14"/>
      <c r="E106" s="15"/>
      <c r="F106" s="16">
        <f>+D106*E106</f>
        <v>0</v>
      </c>
      <c r="G106">
        <f t="shared" si="3"/>
        <v>0</v>
      </c>
    </row>
    <row r="107" spans="1:7" hidden="1" x14ac:dyDescent="0.25">
      <c r="A107" s="65" t="s">
        <v>1208</v>
      </c>
      <c r="B107" s="66" t="s">
        <v>1210</v>
      </c>
      <c r="C107" s="67"/>
      <c r="D107" s="14"/>
      <c r="E107" s="15"/>
      <c r="F107" s="16"/>
      <c r="G107">
        <f t="shared" si="3"/>
        <v>0</v>
      </c>
    </row>
    <row r="108" spans="1:7" hidden="1" x14ac:dyDescent="0.25">
      <c r="A108" s="71" t="s">
        <v>1209</v>
      </c>
      <c r="B108" s="72" t="s">
        <v>1215</v>
      </c>
      <c r="C108" s="67" t="s">
        <v>37</v>
      </c>
      <c r="D108" s="14"/>
      <c r="E108" s="15"/>
      <c r="F108" s="16">
        <f>+D108*E108</f>
        <v>0</v>
      </c>
      <c r="G108">
        <f t="shared" si="3"/>
        <v>0</v>
      </c>
    </row>
    <row r="109" spans="1:7" hidden="1" x14ac:dyDescent="0.25">
      <c r="A109" s="71" t="s">
        <v>1211</v>
      </c>
      <c r="B109" s="72" t="s">
        <v>1216</v>
      </c>
      <c r="C109" s="67" t="s">
        <v>37</v>
      </c>
      <c r="D109" s="14"/>
      <c r="E109" s="15"/>
      <c r="F109" s="16">
        <f>+D109*E109</f>
        <v>0</v>
      </c>
      <c r="G109">
        <f t="shared" si="3"/>
        <v>0</v>
      </c>
    </row>
    <row r="110" spans="1:7" hidden="1" x14ac:dyDescent="0.25">
      <c r="A110" s="71" t="s">
        <v>1212</v>
      </c>
      <c r="B110" s="72" t="s">
        <v>1217</v>
      </c>
      <c r="C110" s="67" t="s">
        <v>37</v>
      </c>
      <c r="D110" s="14"/>
      <c r="E110" s="15"/>
      <c r="F110" s="16">
        <f>+D110*E110</f>
        <v>0</v>
      </c>
      <c r="G110">
        <f t="shared" si="3"/>
        <v>0</v>
      </c>
    </row>
    <row r="111" spans="1:7" hidden="1" x14ac:dyDescent="0.25">
      <c r="A111" s="71" t="s">
        <v>1213</v>
      </c>
      <c r="B111" s="72" t="s">
        <v>1218</v>
      </c>
      <c r="C111" s="67" t="s">
        <v>37</v>
      </c>
      <c r="D111" s="14"/>
      <c r="E111" s="15"/>
      <c r="F111" s="16">
        <f>+D111*E111</f>
        <v>0</v>
      </c>
      <c r="G111">
        <f t="shared" si="3"/>
        <v>0</v>
      </c>
    </row>
    <row r="112" spans="1:7" hidden="1" x14ac:dyDescent="0.25">
      <c r="A112" s="71" t="s">
        <v>1214</v>
      </c>
      <c r="B112" s="72" t="s">
        <v>1219</v>
      </c>
      <c r="C112" s="67" t="s">
        <v>37</v>
      </c>
      <c r="D112" s="14"/>
      <c r="E112" s="15"/>
      <c r="F112" s="16">
        <f>+D112*E112</f>
        <v>0</v>
      </c>
      <c r="G112">
        <f t="shared" si="3"/>
        <v>0</v>
      </c>
    </row>
    <row r="113" spans="1:7" hidden="1" x14ac:dyDescent="0.25">
      <c r="A113" s="44" t="s">
        <v>897</v>
      </c>
      <c r="B113" s="80" t="s">
        <v>898</v>
      </c>
      <c r="C113" s="14"/>
      <c r="D113" s="14"/>
      <c r="E113" s="15"/>
      <c r="F113" s="16"/>
      <c r="G113">
        <f t="shared" si="3"/>
        <v>0</v>
      </c>
    </row>
    <row r="114" spans="1:7" hidden="1" x14ac:dyDescent="0.25">
      <c r="A114" s="44" t="s">
        <v>899</v>
      </c>
      <c r="B114" s="80" t="s">
        <v>900</v>
      </c>
      <c r="C114" s="14"/>
      <c r="D114" s="14"/>
      <c r="E114" s="15"/>
      <c r="F114" s="16"/>
      <c r="G114">
        <f t="shared" si="3"/>
        <v>0</v>
      </c>
    </row>
    <row r="115" spans="1:7" hidden="1" x14ac:dyDescent="0.25">
      <c r="A115" s="43" t="s">
        <v>1227</v>
      </c>
      <c r="B115" s="81" t="s">
        <v>1221</v>
      </c>
      <c r="C115" s="14" t="s">
        <v>902</v>
      </c>
      <c r="D115" s="14"/>
      <c r="E115" s="15"/>
      <c r="F115" s="16">
        <f t="shared" ref="F115:F122" si="5">+D115*E115</f>
        <v>0</v>
      </c>
      <c r="G115">
        <f t="shared" si="3"/>
        <v>0</v>
      </c>
    </row>
    <row r="116" spans="1:7" hidden="1" x14ac:dyDescent="0.25">
      <c r="A116" s="43" t="s">
        <v>901</v>
      </c>
      <c r="B116" s="81" t="s">
        <v>1220</v>
      </c>
      <c r="C116" s="14" t="s">
        <v>902</v>
      </c>
      <c r="D116" s="14"/>
      <c r="E116" s="15"/>
      <c r="F116" s="16">
        <f t="shared" si="5"/>
        <v>0</v>
      </c>
      <c r="G116">
        <f t="shared" si="3"/>
        <v>0</v>
      </c>
    </row>
    <row r="117" spans="1:7" hidden="1" x14ac:dyDescent="0.25">
      <c r="A117" s="43" t="s">
        <v>903</v>
      </c>
      <c r="B117" s="81" t="s">
        <v>1262</v>
      </c>
      <c r="C117" s="14" t="s">
        <v>902</v>
      </c>
      <c r="D117" s="14"/>
      <c r="E117" s="15"/>
      <c r="F117" s="16">
        <f t="shared" si="5"/>
        <v>0</v>
      </c>
      <c r="G117">
        <f t="shared" si="3"/>
        <v>0</v>
      </c>
    </row>
    <row r="118" spans="1:7" hidden="1" x14ac:dyDescent="0.25">
      <c r="A118" s="43" t="s">
        <v>904</v>
      </c>
      <c r="B118" s="81" t="s">
        <v>1222</v>
      </c>
      <c r="C118" s="14" t="s">
        <v>902</v>
      </c>
      <c r="D118" s="14"/>
      <c r="E118" s="15"/>
      <c r="F118" s="16">
        <f t="shared" si="5"/>
        <v>0</v>
      </c>
      <c r="G118">
        <f t="shared" si="3"/>
        <v>0</v>
      </c>
    </row>
    <row r="119" spans="1:7" hidden="1" x14ac:dyDescent="0.25">
      <c r="A119" s="43" t="s">
        <v>905</v>
      </c>
      <c r="B119" s="81" t="s">
        <v>1223</v>
      </c>
      <c r="C119" s="14" t="s">
        <v>902</v>
      </c>
      <c r="D119" s="14"/>
      <c r="E119" s="15"/>
      <c r="F119" s="16">
        <f t="shared" si="5"/>
        <v>0</v>
      </c>
      <c r="G119">
        <f t="shared" si="3"/>
        <v>0</v>
      </c>
    </row>
    <row r="120" spans="1:7" hidden="1" x14ac:dyDescent="0.25">
      <c r="A120" s="43" t="s">
        <v>906</v>
      </c>
      <c r="B120" s="81" t="s">
        <v>1224</v>
      </c>
      <c r="C120" s="14" t="s">
        <v>902</v>
      </c>
      <c r="D120" s="14"/>
      <c r="E120" s="15">
        <f>+SUM!H118</f>
        <v>908339</v>
      </c>
      <c r="F120" s="16">
        <f t="shared" si="5"/>
        <v>0</v>
      </c>
      <c r="G120">
        <f t="shared" si="3"/>
        <v>0</v>
      </c>
    </row>
    <row r="121" spans="1:7" hidden="1" x14ac:dyDescent="0.25">
      <c r="A121" s="43" t="s">
        <v>907</v>
      </c>
      <c r="B121" s="81" t="s">
        <v>1225</v>
      </c>
      <c r="C121" s="14" t="s">
        <v>902</v>
      </c>
      <c r="D121" s="14"/>
      <c r="E121" s="15"/>
      <c r="F121" s="16">
        <f t="shared" si="5"/>
        <v>0</v>
      </c>
      <c r="G121">
        <f t="shared" si="3"/>
        <v>0</v>
      </c>
    </row>
    <row r="122" spans="1:7" hidden="1" x14ac:dyDescent="0.25">
      <c r="A122" s="43" t="s">
        <v>908</v>
      </c>
      <c r="B122" s="81" t="s">
        <v>1226</v>
      </c>
      <c r="C122" s="14" t="s">
        <v>902</v>
      </c>
      <c r="D122" s="14"/>
      <c r="E122" s="15"/>
      <c r="F122" s="16">
        <f t="shared" si="5"/>
        <v>0</v>
      </c>
      <c r="G122">
        <f t="shared" si="3"/>
        <v>0</v>
      </c>
    </row>
    <row r="123" spans="1:7" hidden="1" x14ac:dyDescent="0.25">
      <c r="A123" s="44" t="s">
        <v>909</v>
      </c>
      <c r="B123" s="80" t="s">
        <v>910</v>
      </c>
      <c r="C123" s="14"/>
      <c r="D123" s="14"/>
      <c r="E123" s="15"/>
      <c r="F123" s="16"/>
      <c r="G123">
        <f t="shared" si="3"/>
        <v>0</v>
      </c>
    </row>
    <row r="124" spans="1:7" hidden="1" x14ac:dyDescent="0.25">
      <c r="A124" s="43" t="s">
        <v>911</v>
      </c>
      <c r="B124" s="81" t="s">
        <v>1228</v>
      </c>
      <c r="C124" s="14" t="s">
        <v>902</v>
      </c>
      <c r="D124" s="14"/>
      <c r="E124" s="15"/>
      <c r="F124" s="16">
        <f t="shared" ref="F124:F131" si="6">+D124*E124</f>
        <v>0</v>
      </c>
      <c r="G124">
        <f t="shared" si="3"/>
        <v>0</v>
      </c>
    </row>
    <row r="125" spans="1:7" hidden="1" x14ac:dyDescent="0.25">
      <c r="A125" s="43" t="s">
        <v>1235</v>
      </c>
      <c r="B125" s="81" t="s">
        <v>1229</v>
      </c>
      <c r="C125" s="14" t="s">
        <v>37</v>
      </c>
      <c r="D125" s="14"/>
      <c r="E125" s="15"/>
      <c r="F125" s="16">
        <f t="shared" si="6"/>
        <v>0</v>
      </c>
      <c r="G125">
        <f t="shared" si="3"/>
        <v>0</v>
      </c>
    </row>
    <row r="126" spans="1:7" hidden="1" x14ac:dyDescent="0.25">
      <c r="A126" s="43" t="s">
        <v>912</v>
      </c>
      <c r="B126" s="81" t="s">
        <v>1265</v>
      </c>
      <c r="C126" s="14" t="s">
        <v>37</v>
      </c>
      <c r="D126" s="14"/>
      <c r="E126" s="15"/>
      <c r="F126" s="16">
        <f t="shared" si="6"/>
        <v>0</v>
      </c>
      <c r="G126">
        <f t="shared" si="3"/>
        <v>0</v>
      </c>
    </row>
    <row r="127" spans="1:7" hidden="1" x14ac:dyDescent="0.25">
      <c r="A127" s="43" t="s">
        <v>913</v>
      </c>
      <c r="B127" s="81" t="s">
        <v>1230</v>
      </c>
      <c r="C127" s="14" t="s">
        <v>37</v>
      </c>
      <c r="D127" s="14"/>
      <c r="E127" s="15"/>
      <c r="F127" s="16">
        <f t="shared" si="6"/>
        <v>0</v>
      </c>
      <c r="G127">
        <f t="shared" si="3"/>
        <v>0</v>
      </c>
    </row>
    <row r="128" spans="1:7" hidden="1" x14ac:dyDescent="0.25">
      <c r="A128" s="43" t="s">
        <v>914</v>
      </c>
      <c r="B128" s="81" t="s">
        <v>1231</v>
      </c>
      <c r="C128" s="14" t="s">
        <v>37</v>
      </c>
      <c r="D128" s="14"/>
      <c r="E128" s="15"/>
      <c r="F128" s="16">
        <f t="shared" si="6"/>
        <v>0</v>
      </c>
      <c r="G128">
        <f t="shared" si="3"/>
        <v>0</v>
      </c>
    </row>
    <row r="129" spans="1:7" hidden="1" x14ac:dyDescent="0.25">
      <c r="A129" s="43" t="s">
        <v>915</v>
      </c>
      <c r="B129" s="81" t="s">
        <v>1232</v>
      </c>
      <c r="C129" s="14" t="s">
        <v>37</v>
      </c>
      <c r="D129" s="14"/>
      <c r="E129" s="15"/>
      <c r="F129" s="16">
        <f t="shared" si="6"/>
        <v>0</v>
      </c>
      <c r="G129">
        <f t="shared" si="3"/>
        <v>0</v>
      </c>
    </row>
    <row r="130" spans="1:7" hidden="1" x14ac:dyDescent="0.25">
      <c r="A130" s="43" t="s">
        <v>916</v>
      </c>
      <c r="B130" s="81" t="s">
        <v>1233</v>
      </c>
      <c r="C130" s="14" t="s">
        <v>37</v>
      </c>
      <c r="D130" s="14"/>
      <c r="E130" s="15"/>
      <c r="F130" s="16">
        <f t="shared" si="6"/>
        <v>0</v>
      </c>
      <c r="G130">
        <f t="shared" si="3"/>
        <v>0</v>
      </c>
    </row>
    <row r="131" spans="1:7" hidden="1" x14ac:dyDescent="0.25">
      <c r="A131" s="43" t="s">
        <v>917</v>
      </c>
      <c r="B131" s="81" t="s">
        <v>1234</v>
      </c>
      <c r="C131" s="14" t="s">
        <v>37</v>
      </c>
      <c r="D131" s="14"/>
      <c r="E131" s="15"/>
      <c r="F131" s="16">
        <f t="shared" si="6"/>
        <v>0</v>
      </c>
      <c r="G131">
        <f t="shared" si="3"/>
        <v>0</v>
      </c>
    </row>
    <row r="132" spans="1:7" hidden="1" x14ac:dyDescent="0.25">
      <c r="A132" s="44" t="s">
        <v>918</v>
      </c>
      <c r="B132" s="80" t="s">
        <v>919</v>
      </c>
      <c r="C132" s="14"/>
      <c r="D132" s="14"/>
      <c r="E132" s="15"/>
      <c r="F132" s="16"/>
      <c r="G132">
        <f t="shared" si="3"/>
        <v>0</v>
      </c>
    </row>
    <row r="133" spans="1:7" hidden="1" x14ac:dyDescent="0.25">
      <c r="A133" s="43" t="s">
        <v>920</v>
      </c>
      <c r="B133" s="81" t="s">
        <v>1236</v>
      </c>
      <c r="C133" s="14" t="s">
        <v>37</v>
      </c>
      <c r="D133" s="14"/>
      <c r="E133" s="15"/>
      <c r="F133" s="16">
        <f t="shared" ref="F133:F140" si="7">+D133*E133</f>
        <v>0</v>
      </c>
      <c r="G133">
        <f t="shared" si="3"/>
        <v>0</v>
      </c>
    </row>
    <row r="134" spans="1:7" hidden="1" x14ac:dyDescent="0.25">
      <c r="A134" s="43" t="s">
        <v>1250</v>
      </c>
      <c r="B134" s="81" t="s">
        <v>1237</v>
      </c>
      <c r="C134" s="14" t="s">
        <v>37</v>
      </c>
      <c r="D134" s="14"/>
      <c r="E134" s="15"/>
      <c r="F134" s="16">
        <f t="shared" si="7"/>
        <v>0</v>
      </c>
      <c r="G134">
        <f t="shared" si="3"/>
        <v>0</v>
      </c>
    </row>
    <row r="135" spans="1:7" hidden="1" x14ac:dyDescent="0.25">
      <c r="A135" s="43" t="s">
        <v>921</v>
      </c>
      <c r="B135" s="81" t="s">
        <v>1263</v>
      </c>
      <c r="C135" s="14" t="s">
        <v>37</v>
      </c>
      <c r="D135" s="14"/>
      <c r="E135" s="15"/>
      <c r="F135" s="16">
        <f t="shared" si="7"/>
        <v>0</v>
      </c>
      <c r="G135">
        <f t="shared" si="3"/>
        <v>0</v>
      </c>
    </row>
    <row r="136" spans="1:7" hidden="1" x14ac:dyDescent="0.25">
      <c r="A136" s="43" t="s">
        <v>922</v>
      </c>
      <c r="B136" s="81" t="s">
        <v>1238</v>
      </c>
      <c r="C136" s="14" t="s">
        <v>37</v>
      </c>
      <c r="D136" s="14"/>
      <c r="E136" s="15"/>
      <c r="F136" s="16">
        <f t="shared" si="7"/>
        <v>0</v>
      </c>
      <c r="G136">
        <f t="shared" si="3"/>
        <v>0</v>
      </c>
    </row>
    <row r="137" spans="1:7" hidden="1" x14ac:dyDescent="0.25">
      <c r="A137" s="43" t="s">
        <v>923</v>
      </c>
      <c r="B137" s="81" t="s">
        <v>1239</v>
      </c>
      <c r="C137" s="14" t="s">
        <v>37</v>
      </c>
      <c r="D137" s="14"/>
      <c r="E137" s="15"/>
      <c r="F137" s="16">
        <f t="shared" si="7"/>
        <v>0</v>
      </c>
      <c r="G137">
        <f t="shared" ref="G137:G200" si="8">+IF(F137&lt;&gt;0,1,0)</f>
        <v>0</v>
      </c>
    </row>
    <row r="138" spans="1:7" hidden="1" x14ac:dyDescent="0.25">
      <c r="A138" s="43" t="s">
        <v>924</v>
      </c>
      <c r="B138" s="81" t="s">
        <v>1240</v>
      </c>
      <c r="C138" s="14" t="s">
        <v>37</v>
      </c>
      <c r="D138" s="14"/>
      <c r="E138" s="15"/>
      <c r="F138" s="16">
        <f t="shared" si="7"/>
        <v>0</v>
      </c>
      <c r="G138">
        <f t="shared" si="8"/>
        <v>0</v>
      </c>
    </row>
    <row r="139" spans="1:7" hidden="1" x14ac:dyDescent="0.25">
      <c r="A139" s="43" t="s">
        <v>925</v>
      </c>
      <c r="B139" s="81" t="s">
        <v>1241</v>
      </c>
      <c r="C139" s="14" t="s">
        <v>37</v>
      </c>
      <c r="D139" s="14"/>
      <c r="E139" s="15"/>
      <c r="F139" s="16">
        <f t="shared" si="7"/>
        <v>0</v>
      </c>
      <c r="G139">
        <f t="shared" si="8"/>
        <v>0</v>
      </c>
    </row>
    <row r="140" spans="1:7" hidden="1" x14ac:dyDescent="0.25">
      <c r="A140" s="43" t="s">
        <v>926</v>
      </c>
      <c r="B140" s="81" t="s">
        <v>1242</v>
      </c>
      <c r="C140" s="14" t="s">
        <v>37</v>
      </c>
      <c r="D140" s="14"/>
      <c r="E140" s="15"/>
      <c r="F140" s="16">
        <f t="shared" si="7"/>
        <v>0</v>
      </c>
      <c r="G140">
        <f t="shared" si="8"/>
        <v>0</v>
      </c>
    </row>
    <row r="141" spans="1:7" hidden="1" x14ac:dyDescent="0.25">
      <c r="A141" s="44" t="s">
        <v>927</v>
      </c>
      <c r="B141" s="80" t="s">
        <v>928</v>
      </c>
      <c r="C141" s="14"/>
      <c r="D141" s="14"/>
      <c r="E141" s="15"/>
      <c r="F141" s="16"/>
      <c r="G141">
        <f t="shared" si="8"/>
        <v>0</v>
      </c>
    </row>
    <row r="142" spans="1:7" hidden="1" x14ac:dyDescent="0.25">
      <c r="A142" s="43" t="s">
        <v>929</v>
      </c>
      <c r="B142" s="81" t="s">
        <v>1243</v>
      </c>
      <c r="C142" s="14" t="s">
        <v>37</v>
      </c>
      <c r="D142" s="14"/>
      <c r="E142" s="15"/>
      <c r="F142" s="16">
        <f t="shared" ref="F142:F168" si="9">+D142*E142</f>
        <v>0</v>
      </c>
      <c r="G142">
        <f t="shared" si="8"/>
        <v>0</v>
      </c>
    </row>
    <row r="143" spans="1:7" hidden="1" x14ac:dyDescent="0.25">
      <c r="A143" s="43" t="s">
        <v>1251</v>
      </c>
      <c r="B143" s="81" t="s">
        <v>1244</v>
      </c>
      <c r="C143" s="14" t="s">
        <v>37</v>
      </c>
      <c r="D143" s="14"/>
      <c r="E143" s="15"/>
      <c r="F143" s="16">
        <f t="shared" si="9"/>
        <v>0</v>
      </c>
      <c r="G143">
        <f t="shared" si="8"/>
        <v>0</v>
      </c>
    </row>
    <row r="144" spans="1:7" hidden="1" x14ac:dyDescent="0.25">
      <c r="A144" s="43" t="s">
        <v>930</v>
      </c>
      <c r="B144" s="81" t="s">
        <v>1264</v>
      </c>
      <c r="C144" s="14" t="s">
        <v>37</v>
      </c>
      <c r="D144" s="14"/>
      <c r="E144" s="15"/>
      <c r="F144" s="16">
        <f t="shared" si="9"/>
        <v>0</v>
      </c>
      <c r="G144">
        <f t="shared" si="8"/>
        <v>0</v>
      </c>
    </row>
    <row r="145" spans="1:7" hidden="1" x14ac:dyDescent="0.25">
      <c r="A145" s="43" t="s">
        <v>931</v>
      </c>
      <c r="B145" s="81" t="s">
        <v>1245</v>
      </c>
      <c r="C145" s="14" t="s">
        <v>37</v>
      </c>
      <c r="D145" s="14"/>
      <c r="E145" s="15"/>
      <c r="F145" s="16">
        <f t="shared" si="9"/>
        <v>0</v>
      </c>
      <c r="G145">
        <f t="shared" si="8"/>
        <v>0</v>
      </c>
    </row>
    <row r="146" spans="1:7" hidden="1" x14ac:dyDescent="0.25">
      <c r="A146" s="43" t="s">
        <v>932</v>
      </c>
      <c r="B146" s="81" t="s">
        <v>1246</v>
      </c>
      <c r="C146" s="14" t="s">
        <v>37</v>
      </c>
      <c r="D146" s="14"/>
      <c r="E146" s="15"/>
      <c r="F146" s="16">
        <f t="shared" si="9"/>
        <v>0</v>
      </c>
      <c r="G146">
        <f t="shared" si="8"/>
        <v>0</v>
      </c>
    </row>
    <row r="147" spans="1:7" hidden="1" x14ac:dyDescent="0.25">
      <c r="A147" s="43" t="s">
        <v>933</v>
      </c>
      <c r="B147" s="81" t="s">
        <v>1247</v>
      </c>
      <c r="C147" s="14" t="s">
        <v>37</v>
      </c>
      <c r="D147" s="14"/>
      <c r="E147" s="15"/>
      <c r="F147" s="16">
        <f t="shared" si="9"/>
        <v>0</v>
      </c>
      <c r="G147">
        <f t="shared" si="8"/>
        <v>0</v>
      </c>
    </row>
    <row r="148" spans="1:7" hidden="1" x14ac:dyDescent="0.25">
      <c r="A148" s="43" t="s">
        <v>934</v>
      </c>
      <c r="B148" s="81" t="s">
        <v>1248</v>
      </c>
      <c r="C148" s="14" t="s">
        <v>37</v>
      </c>
      <c r="D148" s="14"/>
      <c r="E148" s="15"/>
      <c r="F148" s="16">
        <f t="shared" si="9"/>
        <v>0</v>
      </c>
      <c r="G148">
        <f t="shared" si="8"/>
        <v>0</v>
      </c>
    </row>
    <row r="149" spans="1:7" hidden="1" x14ac:dyDescent="0.25">
      <c r="A149" s="43" t="s">
        <v>935</v>
      </c>
      <c r="B149" s="81" t="s">
        <v>1249</v>
      </c>
      <c r="C149" s="14" t="s">
        <v>37</v>
      </c>
      <c r="D149" s="14"/>
      <c r="E149" s="15"/>
      <c r="F149" s="16">
        <f t="shared" si="9"/>
        <v>0</v>
      </c>
      <c r="G149">
        <f t="shared" si="8"/>
        <v>0</v>
      </c>
    </row>
    <row r="150" spans="1:7" hidden="1" x14ac:dyDescent="0.25">
      <c r="A150" s="44" t="s">
        <v>1252</v>
      </c>
      <c r="B150" s="80" t="s">
        <v>1253</v>
      </c>
      <c r="C150" s="14"/>
      <c r="D150" s="14"/>
      <c r="E150" s="15"/>
      <c r="F150" s="16"/>
      <c r="G150">
        <f t="shared" si="8"/>
        <v>0</v>
      </c>
    </row>
    <row r="151" spans="1:7" hidden="1" x14ac:dyDescent="0.25">
      <c r="A151" s="43" t="s">
        <v>1257</v>
      </c>
      <c r="B151" s="81" t="s">
        <v>1254</v>
      </c>
      <c r="C151" s="14" t="s">
        <v>37</v>
      </c>
      <c r="D151" s="14"/>
      <c r="E151" s="15"/>
      <c r="F151" s="16">
        <f t="shared" si="9"/>
        <v>0</v>
      </c>
      <c r="G151">
        <f t="shared" si="8"/>
        <v>0</v>
      </c>
    </row>
    <row r="152" spans="1:7" hidden="1" x14ac:dyDescent="0.25">
      <c r="A152" s="43" t="s">
        <v>1258</v>
      </c>
      <c r="B152" s="81" t="s">
        <v>1255</v>
      </c>
      <c r="C152" s="14" t="s">
        <v>37</v>
      </c>
      <c r="D152" s="14"/>
      <c r="E152" s="15"/>
      <c r="F152" s="16">
        <f t="shared" si="9"/>
        <v>0</v>
      </c>
      <c r="G152">
        <f t="shared" si="8"/>
        <v>0</v>
      </c>
    </row>
    <row r="153" spans="1:7" hidden="1" x14ac:dyDescent="0.25">
      <c r="A153" s="43" t="s">
        <v>1259</v>
      </c>
      <c r="B153" s="81" t="s">
        <v>1256</v>
      </c>
      <c r="C153" s="14" t="s">
        <v>37</v>
      </c>
      <c r="D153" s="14"/>
      <c r="E153" s="15"/>
      <c r="F153" s="16">
        <f t="shared" si="9"/>
        <v>0</v>
      </c>
      <c r="G153">
        <f t="shared" si="8"/>
        <v>0</v>
      </c>
    </row>
    <row r="154" spans="1:7" hidden="1" x14ac:dyDescent="0.25">
      <c r="A154" s="44" t="s">
        <v>1261</v>
      </c>
      <c r="B154" s="80" t="s">
        <v>1260</v>
      </c>
      <c r="C154" s="14"/>
      <c r="D154" s="14"/>
      <c r="E154" s="15"/>
      <c r="F154" s="16"/>
      <c r="G154">
        <f t="shared" si="8"/>
        <v>0</v>
      </c>
    </row>
    <row r="155" spans="1:7" hidden="1" x14ac:dyDescent="0.25">
      <c r="A155" s="43" t="s">
        <v>1273</v>
      </c>
      <c r="B155" s="81" t="s">
        <v>1266</v>
      </c>
      <c r="C155" s="14" t="s">
        <v>37</v>
      </c>
      <c r="D155" s="14"/>
      <c r="E155" s="15"/>
      <c r="F155" s="16">
        <f t="shared" si="9"/>
        <v>0</v>
      </c>
      <c r="G155">
        <f t="shared" si="8"/>
        <v>0</v>
      </c>
    </row>
    <row r="156" spans="1:7" hidden="1" x14ac:dyDescent="0.25">
      <c r="A156" s="43" t="s">
        <v>1274</v>
      </c>
      <c r="B156" s="81" t="s">
        <v>1267</v>
      </c>
      <c r="C156" s="14" t="s">
        <v>37</v>
      </c>
      <c r="D156" s="14"/>
      <c r="E156" s="15"/>
      <c r="F156" s="16">
        <f t="shared" si="9"/>
        <v>0</v>
      </c>
      <c r="G156">
        <f t="shared" si="8"/>
        <v>0</v>
      </c>
    </row>
    <row r="157" spans="1:7" hidden="1" x14ac:dyDescent="0.25">
      <c r="A157" s="43" t="s">
        <v>1275</v>
      </c>
      <c r="B157" s="81" t="s">
        <v>1268</v>
      </c>
      <c r="C157" s="14" t="s">
        <v>37</v>
      </c>
      <c r="D157" s="14"/>
      <c r="E157" s="15"/>
      <c r="F157" s="16">
        <f t="shared" si="9"/>
        <v>0</v>
      </c>
      <c r="G157">
        <f t="shared" si="8"/>
        <v>0</v>
      </c>
    </row>
    <row r="158" spans="1:7" hidden="1" x14ac:dyDescent="0.25">
      <c r="A158" s="43" t="s">
        <v>1276</v>
      </c>
      <c r="B158" s="81" t="s">
        <v>1269</v>
      </c>
      <c r="C158" s="14" t="s">
        <v>37</v>
      </c>
      <c r="D158" s="14"/>
      <c r="E158" s="15"/>
      <c r="F158" s="16">
        <f t="shared" si="9"/>
        <v>0</v>
      </c>
      <c r="G158">
        <f t="shared" si="8"/>
        <v>0</v>
      </c>
    </row>
    <row r="159" spans="1:7" hidden="1" x14ac:dyDescent="0.25">
      <c r="A159" s="43" t="s">
        <v>1277</v>
      </c>
      <c r="B159" s="81" t="s">
        <v>1270</v>
      </c>
      <c r="C159" s="14" t="s">
        <v>37</v>
      </c>
      <c r="D159" s="14"/>
      <c r="E159" s="15"/>
      <c r="F159" s="16">
        <f t="shared" si="9"/>
        <v>0</v>
      </c>
      <c r="G159">
        <f t="shared" si="8"/>
        <v>0</v>
      </c>
    </row>
    <row r="160" spans="1:7" hidden="1" x14ac:dyDescent="0.25">
      <c r="A160" s="43" t="s">
        <v>1278</v>
      </c>
      <c r="B160" s="81" t="s">
        <v>1271</v>
      </c>
      <c r="C160" s="14" t="s">
        <v>37</v>
      </c>
      <c r="D160" s="14"/>
      <c r="E160" s="15"/>
      <c r="F160" s="16">
        <f t="shared" si="9"/>
        <v>0</v>
      </c>
      <c r="G160">
        <f t="shared" si="8"/>
        <v>0</v>
      </c>
    </row>
    <row r="161" spans="1:7" hidden="1" x14ac:dyDescent="0.25">
      <c r="A161" s="43" t="s">
        <v>1279</v>
      </c>
      <c r="B161" s="81" t="s">
        <v>1272</v>
      </c>
      <c r="C161" s="14" t="s">
        <v>37</v>
      </c>
      <c r="D161" s="14"/>
      <c r="E161" s="15"/>
      <c r="F161" s="16">
        <f t="shared" si="9"/>
        <v>0</v>
      </c>
      <c r="G161">
        <f t="shared" si="8"/>
        <v>0</v>
      </c>
    </row>
    <row r="162" spans="1:7" hidden="1" x14ac:dyDescent="0.25">
      <c r="A162" s="44" t="s">
        <v>1280</v>
      </c>
      <c r="B162" s="80" t="s">
        <v>1281</v>
      </c>
      <c r="C162" s="14"/>
      <c r="D162" s="14"/>
      <c r="E162" s="15"/>
      <c r="F162" s="16"/>
      <c r="G162">
        <f t="shared" si="8"/>
        <v>0</v>
      </c>
    </row>
    <row r="163" spans="1:7" hidden="1" x14ac:dyDescent="0.25">
      <c r="A163" s="43" t="s">
        <v>1288</v>
      </c>
      <c r="B163" s="81" t="s">
        <v>1282</v>
      </c>
      <c r="C163" s="14" t="s">
        <v>37</v>
      </c>
      <c r="D163" s="14"/>
      <c r="E163" s="15"/>
      <c r="F163" s="16">
        <f t="shared" si="9"/>
        <v>0</v>
      </c>
      <c r="G163">
        <f t="shared" si="8"/>
        <v>0</v>
      </c>
    </row>
    <row r="164" spans="1:7" hidden="1" x14ac:dyDescent="0.25">
      <c r="A164" s="43" t="s">
        <v>1275</v>
      </c>
      <c r="B164" s="81" t="s">
        <v>1283</v>
      </c>
      <c r="C164" s="14" t="s">
        <v>37</v>
      </c>
      <c r="D164" s="14"/>
      <c r="E164" s="15"/>
      <c r="F164" s="16">
        <f t="shared" si="9"/>
        <v>0</v>
      </c>
      <c r="G164">
        <f t="shared" si="8"/>
        <v>0</v>
      </c>
    </row>
    <row r="165" spans="1:7" hidden="1" x14ac:dyDescent="0.25">
      <c r="A165" s="43" t="s">
        <v>1276</v>
      </c>
      <c r="B165" s="81" t="s">
        <v>1284</v>
      </c>
      <c r="C165" s="14" t="s">
        <v>37</v>
      </c>
      <c r="D165" s="14"/>
      <c r="E165" s="15"/>
      <c r="F165" s="16">
        <f t="shared" si="9"/>
        <v>0</v>
      </c>
      <c r="G165">
        <f t="shared" si="8"/>
        <v>0</v>
      </c>
    </row>
    <row r="166" spans="1:7" hidden="1" x14ac:dyDescent="0.25">
      <c r="A166" s="43" t="s">
        <v>1277</v>
      </c>
      <c r="B166" s="81" t="s">
        <v>1285</v>
      </c>
      <c r="C166" s="14" t="s">
        <v>37</v>
      </c>
      <c r="D166" s="14"/>
      <c r="E166" s="15"/>
      <c r="F166" s="16">
        <f t="shared" si="9"/>
        <v>0</v>
      </c>
      <c r="G166">
        <f t="shared" si="8"/>
        <v>0</v>
      </c>
    </row>
    <row r="167" spans="1:7" hidden="1" x14ac:dyDescent="0.25">
      <c r="A167" s="43" t="s">
        <v>1278</v>
      </c>
      <c r="B167" s="81" t="s">
        <v>1286</v>
      </c>
      <c r="C167" s="14" t="s">
        <v>37</v>
      </c>
      <c r="D167" s="14"/>
      <c r="E167" s="15"/>
      <c r="F167" s="16">
        <f t="shared" si="9"/>
        <v>0</v>
      </c>
      <c r="G167">
        <f t="shared" si="8"/>
        <v>0</v>
      </c>
    </row>
    <row r="168" spans="1:7" hidden="1" x14ac:dyDescent="0.25">
      <c r="A168" s="43" t="s">
        <v>1279</v>
      </c>
      <c r="B168" s="81" t="s">
        <v>1287</v>
      </c>
      <c r="C168" s="14" t="s">
        <v>37</v>
      </c>
      <c r="D168" s="14"/>
      <c r="E168" s="15"/>
      <c r="F168" s="16">
        <f t="shared" si="9"/>
        <v>0</v>
      </c>
      <c r="G168">
        <f t="shared" si="8"/>
        <v>0</v>
      </c>
    </row>
    <row r="169" spans="1:7" hidden="1" x14ac:dyDescent="0.25">
      <c r="A169" s="44" t="s">
        <v>1289</v>
      </c>
      <c r="B169" s="80" t="s">
        <v>1290</v>
      </c>
      <c r="C169" s="14"/>
      <c r="D169" s="14"/>
      <c r="E169" s="15"/>
      <c r="F169" s="16"/>
      <c r="G169">
        <f t="shared" si="8"/>
        <v>0</v>
      </c>
    </row>
    <row r="170" spans="1:7" hidden="1" x14ac:dyDescent="0.25">
      <c r="A170" s="44" t="s">
        <v>1291</v>
      </c>
      <c r="B170" s="80" t="s">
        <v>1294</v>
      </c>
      <c r="C170" s="14"/>
      <c r="D170" s="14"/>
      <c r="E170" s="15"/>
      <c r="F170" s="16"/>
      <c r="G170">
        <f t="shared" si="8"/>
        <v>0</v>
      </c>
    </row>
    <row r="171" spans="1:7" hidden="1" x14ac:dyDescent="0.25">
      <c r="A171" s="43" t="s">
        <v>1292</v>
      </c>
      <c r="B171" s="81" t="s">
        <v>1293</v>
      </c>
      <c r="C171" s="14" t="s">
        <v>37</v>
      </c>
      <c r="D171" s="14"/>
      <c r="E171" s="15"/>
      <c r="F171" s="16">
        <f t="shared" ref="F171:F182" si="10">+D171*E171</f>
        <v>0</v>
      </c>
      <c r="G171">
        <f t="shared" si="8"/>
        <v>0</v>
      </c>
    </row>
    <row r="172" spans="1:7" hidden="1" x14ac:dyDescent="0.25">
      <c r="A172" s="43" t="s">
        <v>1303</v>
      </c>
      <c r="B172" s="81" t="s">
        <v>1295</v>
      </c>
      <c r="C172" s="14" t="s">
        <v>37</v>
      </c>
      <c r="D172" s="14"/>
      <c r="E172" s="15"/>
      <c r="F172" s="16">
        <f t="shared" si="10"/>
        <v>0</v>
      </c>
      <c r="G172">
        <f t="shared" si="8"/>
        <v>0</v>
      </c>
    </row>
    <row r="173" spans="1:7" hidden="1" x14ac:dyDescent="0.25">
      <c r="A173" s="43" t="s">
        <v>1304</v>
      </c>
      <c r="B173" s="81" t="s">
        <v>1296</v>
      </c>
      <c r="C173" s="14" t="s">
        <v>37</v>
      </c>
      <c r="D173" s="14"/>
      <c r="E173" s="15"/>
      <c r="F173" s="16">
        <f t="shared" si="10"/>
        <v>0</v>
      </c>
      <c r="G173">
        <f t="shared" si="8"/>
        <v>0</v>
      </c>
    </row>
    <row r="174" spans="1:7" hidden="1" x14ac:dyDescent="0.25">
      <c r="A174" s="43" t="s">
        <v>1305</v>
      </c>
      <c r="B174" s="81" t="s">
        <v>1297</v>
      </c>
      <c r="C174" s="14" t="s">
        <v>37</v>
      </c>
      <c r="D174" s="14"/>
      <c r="E174" s="15"/>
      <c r="F174" s="16">
        <f t="shared" si="10"/>
        <v>0</v>
      </c>
      <c r="G174">
        <f t="shared" si="8"/>
        <v>0</v>
      </c>
    </row>
    <row r="175" spans="1:7" hidden="1" x14ac:dyDescent="0.25">
      <c r="A175" s="43" t="s">
        <v>1306</v>
      </c>
      <c r="B175" s="81" t="s">
        <v>1298</v>
      </c>
      <c r="C175" s="14" t="s">
        <v>37</v>
      </c>
      <c r="D175" s="14"/>
      <c r="E175" s="15"/>
      <c r="F175" s="16">
        <f t="shared" si="10"/>
        <v>0</v>
      </c>
      <c r="G175">
        <f t="shared" si="8"/>
        <v>0</v>
      </c>
    </row>
    <row r="176" spans="1:7" hidden="1" x14ac:dyDescent="0.25">
      <c r="A176" s="43" t="s">
        <v>1307</v>
      </c>
      <c r="B176" s="81" t="s">
        <v>1299</v>
      </c>
      <c r="C176" s="14" t="s">
        <v>37</v>
      </c>
      <c r="D176" s="14"/>
      <c r="E176" s="15"/>
      <c r="F176" s="16">
        <f t="shared" si="10"/>
        <v>0</v>
      </c>
      <c r="G176">
        <f t="shared" si="8"/>
        <v>0</v>
      </c>
    </row>
    <row r="177" spans="1:7" hidden="1" x14ac:dyDescent="0.25">
      <c r="A177" s="43" t="s">
        <v>1308</v>
      </c>
      <c r="B177" s="81" t="s">
        <v>1300</v>
      </c>
      <c r="C177" s="14" t="s">
        <v>37</v>
      </c>
      <c r="D177" s="14"/>
      <c r="E177" s="15"/>
      <c r="F177" s="16">
        <f t="shared" si="10"/>
        <v>0</v>
      </c>
      <c r="G177">
        <f t="shared" si="8"/>
        <v>0</v>
      </c>
    </row>
    <row r="178" spans="1:7" hidden="1" x14ac:dyDescent="0.25">
      <c r="A178" s="43" t="s">
        <v>1309</v>
      </c>
      <c r="B178" s="81" t="s">
        <v>1301</v>
      </c>
      <c r="C178" s="14" t="s">
        <v>37</v>
      </c>
      <c r="D178" s="14"/>
      <c r="E178" s="15"/>
      <c r="F178" s="16">
        <f t="shared" si="10"/>
        <v>0</v>
      </c>
      <c r="G178">
        <f t="shared" si="8"/>
        <v>0</v>
      </c>
    </row>
    <row r="179" spans="1:7" hidden="1" x14ac:dyDescent="0.25">
      <c r="A179" s="43" t="s">
        <v>1310</v>
      </c>
      <c r="B179" s="81" t="s">
        <v>1302</v>
      </c>
      <c r="C179" s="14" t="s">
        <v>37</v>
      </c>
      <c r="D179" s="14"/>
      <c r="E179" s="15"/>
      <c r="F179" s="16">
        <f t="shared" si="10"/>
        <v>0</v>
      </c>
      <c r="G179">
        <f t="shared" si="8"/>
        <v>0</v>
      </c>
    </row>
    <row r="180" spans="1:7" hidden="1" x14ac:dyDescent="0.25">
      <c r="A180" s="43" t="s">
        <v>1314</v>
      </c>
      <c r="B180" s="81" t="s">
        <v>1311</v>
      </c>
      <c r="C180" s="14" t="s">
        <v>37</v>
      </c>
      <c r="D180" s="14"/>
      <c r="E180" s="15"/>
      <c r="F180" s="16">
        <f t="shared" si="10"/>
        <v>0</v>
      </c>
      <c r="G180">
        <f t="shared" si="8"/>
        <v>0</v>
      </c>
    </row>
    <row r="181" spans="1:7" hidden="1" x14ac:dyDescent="0.25">
      <c r="A181" s="43" t="s">
        <v>1315</v>
      </c>
      <c r="B181" s="81" t="s">
        <v>1312</v>
      </c>
      <c r="C181" s="14" t="s">
        <v>37</v>
      </c>
      <c r="D181" s="14"/>
      <c r="E181" s="15"/>
      <c r="F181" s="16">
        <f t="shared" si="10"/>
        <v>0</v>
      </c>
      <c r="G181">
        <f t="shared" si="8"/>
        <v>0</v>
      </c>
    </row>
    <row r="182" spans="1:7" hidden="1" x14ac:dyDescent="0.25">
      <c r="A182" s="43" t="s">
        <v>1316</v>
      </c>
      <c r="B182" s="81" t="s">
        <v>1313</v>
      </c>
      <c r="C182" s="14" t="s">
        <v>37</v>
      </c>
      <c r="D182" s="14"/>
      <c r="E182" s="15"/>
      <c r="F182" s="16">
        <f t="shared" si="10"/>
        <v>0</v>
      </c>
      <c r="G182">
        <f t="shared" si="8"/>
        <v>0</v>
      </c>
    </row>
    <row r="183" spans="1:7" hidden="1" x14ac:dyDescent="0.25">
      <c r="A183" s="44" t="s">
        <v>1317</v>
      </c>
      <c r="B183" s="80" t="s">
        <v>1318</v>
      </c>
      <c r="C183" s="14"/>
      <c r="D183" s="14"/>
      <c r="E183" s="15"/>
      <c r="F183" s="16"/>
      <c r="G183">
        <f t="shared" si="8"/>
        <v>0</v>
      </c>
    </row>
    <row r="184" spans="1:7" hidden="1" x14ac:dyDescent="0.25">
      <c r="A184" s="43" t="s">
        <v>1326</v>
      </c>
      <c r="B184" s="81" t="s">
        <v>1320</v>
      </c>
      <c r="C184" s="14" t="s">
        <v>37</v>
      </c>
      <c r="D184" s="14"/>
      <c r="E184" s="15"/>
      <c r="F184" s="16">
        <f t="shared" ref="F184:F201" si="11">+D184*E184</f>
        <v>0</v>
      </c>
      <c r="G184">
        <f t="shared" si="8"/>
        <v>0</v>
      </c>
    </row>
    <row r="185" spans="1:7" hidden="1" x14ac:dyDescent="0.25">
      <c r="A185" s="43" t="s">
        <v>1327</v>
      </c>
      <c r="B185" s="81" t="s">
        <v>1319</v>
      </c>
      <c r="C185" s="14" t="s">
        <v>37</v>
      </c>
      <c r="D185" s="14"/>
      <c r="E185" s="15"/>
      <c r="F185" s="16">
        <f t="shared" si="11"/>
        <v>0</v>
      </c>
      <c r="G185">
        <f t="shared" si="8"/>
        <v>0</v>
      </c>
    </row>
    <row r="186" spans="1:7" hidden="1" x14ac:dyDescent="0.25">
      <c r="A186" s="43" t="s">
        <v>1328</v>
      </c>
      <c r="B186" s="81" t="s">
        <v>1321</v>
      </c>
      <c r="C186" s="14" t="s">
        <v>37</v>
      </c>
      <c r="D186" s="14"/>
      <c r="E186" s="15"/>
      <c r="F186" s="16">
        <f t="shared" si="11"/>
        <v>0</v>
      </c>
      <c r="G186">
        <f t="shared" si="8"/>
        <v>0</v>
      </c>
    </row>
    <row r="187" spans="1:7" hidden="1" x14ac:dyDescent="0.25">
      <c r="A187" s="43" t="s">
        <v>1329</v>
      </c>
      <c r="B187" s="81" t="s">
        <v>1322</v>
      </c>
      <c r="C187" s="14" t="s">
        <v>37</v>
      </c>
      <c r="D187" s="14"/>
      <c r="E187" s="15"/>
      <c r="F187" s="16">
        <f t="shared" si="11"/>
        <v>0</v>
      </c>
      <c r="G187">
        <f t="shared" si="8"/>
        <v>0</v>
      </c>
    </row>
    <row r="188" spans="1:7" hidden="1" x14ac:dyDescent="0.25">
      <c r="A188" s="43" t="s">
        <v>1330</v>
      </c>
      <c r="B188" s="81" t="s">
        <v>1323</v>
      </c>
      <c r="C188" s="14" t="s">
        <v>37</v>
      </c>
      <c r="D188" s="14"/>
      <c r="E188" s="15"/>
      <c r="F188" s="16">
        <f t="shared" si="11"/>
        <v>0</v>
      </c>
      <c r="G188">
        <f t="shared" si="8"/>
        <v>0</v>
      </c>
    </row>
    <row r="189" spans="1:7" hidden="1" x14ac:dyDescent="0.25">
      <c r="A189" s="43" t="s">
        <v>1331</v>
      </c>
      <c r="B189" s="81" t="s">
        <v>1324</v>
      </c>
      <c r="C189" s="14" t="s">
        <v>37</v>
      </c>
      <c r="D189" s="14"/>
      <c r="E189" s="15"/>
      <c r="F189" s="16">
        <f t="shared" si="11"/>
        <v>0</v>
      </c>
      <c r="G189">
        <f t="shared" si="8"/>
        <v>0</v>
      </c>
    </row>
    <row r="190" spans="1:7" hidden="1" x14ac:dyDescent="0.25">
      <c r="A190" s="43" t="s">
        <v>1332</v>
      </c>
      <c r="B190" s="81" t="s">
        <v>1325</v>
      </c>
      <c r="C190" s="14" t="s">
        <v>37</v>
      </c>
      <c r="D190" s="14"/>
      <c r="E190" s="15">
        <f>+SUM!H188</f>
        <v>1306434</v>
      </c>
      <c r="F190" s="16">
        <f t="shared" si="11"/>
        <v>0</v>
      </c>
      <c r="G190">
        <f t="shared" si="8"/>
        <v>0</v>
      </c>
    </row>
    <row r="191" spans="1:7" hidden="1" x14ac:dyDescent="0.25">
      <c r="A191" s="43" t="s">
        <v>1333</v>
      </c>
      <c r="B191" s="81" t="s">
        <v>1336</v>
      </c>
      <c r="C191" s="14" t="s">
        <v>37</v>
      </c>
      <c r="D191" s="14"/>
      <c r="E191" s="15"/>
      <c r="F191" s="16">
        <f t="shared" si="11"/>
        <v>0</v>
      </c>
      <c r="G191">
        <f t="shared" si="8"/>
        <v>0</v>
      </c>
    </row>
    <row r="192" spans="1:7" hidden="1" x14ac:dyDescent="0.25">
      <c r="A192" s="43" t="s">
        <v>1334</v>
      </c>
      <c r="B192" s="81" t="s">
        <v>1337</v>
      </c>
      <c r="C192" s="14" t="s">
        <v>37</v>
      </c>
      <c r="D192" s="14"/>
      <c r="E192" s="15"/>
      <c r="F192" s="16">
        <f t="shared" si="11"/>
        <v>0</v>
      </c>
      <c r="G192">
        <f t="shared" si="8"/>
        <v>0</v>
      </c>
    </row>
    <row r="193" spans="1:7" hidden="1" x14ac:dyDescent="0.25">
      <c r="A193" s="43" t="s">
        <v>1335</v>
      </c>
      <c r="B193" s="81" t="s">
        <v>1338</v>
      </c>
      <c r="C193" s="14" t="s">
        <v>37</v>
      </c>
      <c r="D193" s="14"/>
      <c r="E193" s="15"/>
      <c r="F193" s="16">
        <f t="shared" si="11"/>
        <v>0</v>
      </c>
      <c r="G193">
        <f t="shared" si="8"/>
        <v>0</v>
      </c>
    </row>
    <row r="194" spans="1:7" hidden="1" x14ac:dyDescent="0.25">
      <c r="A194" s="43" t="s">
        <v>1347</v>
      </c>
      <c r="B194" s="81" t="s">
        <v>1339</v>
      </c>
      <c r="C194" s="14" t="s">
        <v>37</v>
      </c>
      <c r="D194" s="14"/>
      <c r="E194" s="15"/>
      <c r="F194" s="16">
        <f t="shared" si="11"/>
        <v>0</v>
      </c>
      <c r="G194">
        <f t="shared" si="8"/>
        <v>0</v>
      </c>
    </row>
    <row r="195" spans="1:7" hidden="1" x14ac:dyDescent="0.25">
      <c r="A195" s="43" t="s">
        <v>1348</v>
      </c>
      <c r="B195" s="81" t="s">
        <v>1340</v>
      </c>
      <c r="C195" s="14" t="s">
        <v>37</v>
      </c>
      <c r="D195" s="14"/>
      <c r="E195" s="15"/>
      <c r="F195" s="16">
        <f t="shared" si="11"/>
        <v>0</v>
      </c>
      <c r="G195">
        <f t="shared" si="8"/>
        <v>0</v>
      </c>
    </row>
    <row r="196" spans="1:7" hidden="1" x14ac:dyDescent="0.25">
      <c r="A196" s="43" t="s">
        <v>1349</v>
      </c>
      <c r="B196" s="81" t="s">
        <v>1341</v>
      </c>
      <c r="C196" s="14" t="s">
        <v>37</v>
      </c>
      <c r="D196" s="14"/>
      <c r="E196" s="15"/>
      <c r="F196" s="16">
        <f t="shared" si="11"/>
        <v>0</v>
      </c>
      <c r="G196">
        <f t="shared" si="8"/>
        <v>0</v>
      </c>
    </row>
    <row r="197" spans="1:7" hidden="1" x14ac:dyDescent="0.25">
      <c r="A197" s="43" t="s">
        <v>1350</v>
      </c>
      <c r="B197" s="81" t="s">
        <v>1342</v>
      </c>
      <c r="C197" s="14" t="s">
        <v>37</v>
      </c>
      <c r="D197" s="14"/>
      <c r="E197" s="15"/>
      <c r="F197" s="16">
        <f t="shared" si="11"/>
        <v>0</v>
      </c>
      <c r="G197">
        <f t="shared" si="8"/>
        <v>0</v>
      </c>
    </row>
    <row r="198" spans="1:7" hidden="1" x14ac:dyDescent="0.25">
      <c r="A198" s="43" t="s">
        <v>1351</v>
      </c>
      <c r="B198" s="81" t="s">
        <v>1343</v>
      </c>
      <c r="C198" s="14" t="s">
        <v>37</v>
      </c>
      <c r="D198" s="14"/>
      <c r="E198" s="15"/>
      <c r="F198" s="16">
        <f t="shared" si="11"/>
        <v>0</v>
      </c>
      <c r="G198">
        <f t="shared" si="8"/>
        <v>0</v>
      </c>
    </row>
    <row r="199" spans="1:7" hidden="1" x14ac:dyDescent="0.25">
      <c r="A199" s="43" t="s">
        <v>1352</v>
      </c>
      <c r="B199" s="81" t="s">
        <v>1344</v>
      </c>
      <c r="C199" s="14" t="s">
        <v>37</v>
      </c>
      <c r="D199" s="14"/>
      <c r="E199" s="15"/>
      <c r="F199" s="16">
        <f t="shared" si="11"/>
        <v>0</v>
      </c>
      <c r="G199">
        <f t="shared" si="8"/>
        <v>0</v>
      </c>
    </row>
    <row r="200" spans="1:7" hidden="1" x14ac:dyDescent="0.25">
      <c r="A200" s="43" t="s">
        <v>1353</v>
      </c>
      <c r="B200" s="81" t="s">
        <v>1346</v>
      </c>
      <c r="C200" s="14" t="s">
        <v>37</v>
      </c>
      <c r="D200" s="14"/>
      <c r="E200" s="15"/>
      <c r="F200" s="16">
        <f t="shared" si="11"/>
        <v>0</v>
      </c>
      <c r="G200">
        <f t="shared" si="8"/>
        <v>0</v>
      </c>
    </row>
    <row r="201" spans="1:7" hidden="1" x14ac:dyDescent="0.25">
      <c r="A201" s="43" t="s">
        <v>1354</v>
      </c>
      <c r="B201" s="81" t="s">
        <v>1345</v>
      </c>
      <c r="C201" s="14" t="s">
        <v>37</v>
      </c>
      <c r="D201" s="14"/>
      <c r="E201" s="15"/>
      <c r="F201" s="16">
        <f t="shared" si="11"/>
        <v>0</v>
      </c>
      <c r="G201">
        <f t="shared" ref="G201:G264" si="12">+IF(F201&lt;&gt;0,1,0)</f>
        <v>0</v>
      </c>
    </row>
    <row r="202" spans="1:7" hidden="1" x14ac:dyDescent="0.25">
      <c r="A202" s="44" t="s">
        <v>936</v>
      </c>
      <c r="B202" s="80" t="s">
        <v>1355</v>
      </c>
      <c r="C202" s="14"/>
      <c r="D202" s="14"/>
      <c r="E202" s="15"/>
      <c r="F202" s="16"/>
      <c r="G202">
        <f t="shared" si="12"/>
        <v>0</v>
      </c>
    </row>
    <row r="203" spans="1:7" hidden="1" x14ac:dyDescent="0.25">
      <c r="A203" s="43" t="s">
        <v>1366</v>
      </c>
      <c r="B203" s="81" t="s">
        <v>1356</v>
      </c>
      <c r="C203" s="14" t="s">
        <v>37</v>
      </c>
      <c r="D203" s="14"/>
      <c r="E203" s="15"/>
      <c r="F203" s="16">
        <f t="shared" ref="F203:F211" si="13">+D203*E203</f>
        <v>0</v>
      </c>
      <c r="G203">
        <f t="shared" si="12"/>
        <v>0</v>
      </c>
    </row>
    <row r="204" spans="1:7" hidden="1" x14ac:dyDescent="0.25">
      <c r="A204" s="43" t="s">
        <v>1367</v>
      </c>
      <c r="B204" s="81" t="s">
        <v>1357</v>
      </c>
      <c r="C204" s="14" t="s">
        <v>37</v>
      </c>
      <c r="D204" s="14"/>
      <c r="E204" s="15"/>
      <c r="F204" s="16">
        <f t="shared" si="13"/>
        <v>0</v>
      </c>
      <c r="G204">
        <f t="shared" si="12"/>
        <v>0</v>
      </c>
    </row>
    <row r="205" spans="1:7" hidden="1" x14ac:dyDescent="0.25">
      <c r="A205" s="43" t="s">
        <v>1368</v>
      </c>
      <c r="B205" s="81" t="s">
        <v>1359</v>
      </c>
      <c r="C205" s="14" t="s">
        <v>37</v>
      </c>
      <c r="D205" s="14"/>
      <c r="E205" s="15"/>
      <c r="F205" s="16">
        <f t="shared" si="13"/>
        <v>0</v>
      </c>
      <c r="G205">
        <f t="shared" si="12"/>
        <v>0</v>
      </c>
    </row>
    <row r="206" spans="1:7" hidden="1" x14ac:dyDescent="0.25">
      <c r="A206" s="43" t="s">
        <v>1369</v>
      </c>
      <c r="B206" s="81" t="s">
        <v>1358</v>
      </c>
      <c r="C206" s="14" t="s">
        <v>37</v>
      </c>
      <c r="D206" s="14"/>
      <c r="E206" s="15"/>
      <c r="F206" s="16">
        <f t="shared" si="13"/>
        <v>0</v>
      </c>
      <c r="G206">
        <f t="shared" si="12"/>
        <v>0</v>
      </c>
    </row>
    <row r="207" spans="1:7" hidden="1" x14ac:dyDescent="0.25">
      <c r="A207" s="43" t="s">
        <v>1370</v>
      </c>
      <c r="B207" s="81" t="s">
        <v>1360</v>
      </c>
      <c r="C207" s="14" t="s">
        <v>37</v>
      </c>
      <c r="D207" s="14"/>
      <c r="E207" s="15"/>
      <c r="F207" s="16">
        <f t="shared" si="13"/>
        <v>0</v>
      </c>
      <c r="G207">
        <f t="shared" si="12"/>
        <v>0</v>
      </c>
    </row>
    <row r="208" spans="1:7" hidden="1" x14ac:dyDescent="0.25">
      <c r="A208" s="43" t="s">
        <v>1371</v>
      </c>
      <c r="B208" s="81" t="s">
        <v>1361</v>
      </c>
      <c r="C208" s="14" t="s">
        <v>37</v>
      </c>
      <c r="D208" s="14"/>
      <c r="E208" s="15"/>
      <c r="F208" s="16">
        <f t="shared" si="13"/>
        <v>0</v>
      </c>
      <c r="G208">
        <f t="shared" si="12"/>
        <v>0</v>
      </c>
    </row>
    <row r="209" spans="1:7" hidden="1" x14ac:dyDescent="0.25">
      <c r="A209" s="43" t="s">
        <v>1372</v>
      </c>
      <c r="B209" s="81" t="s">
        <v>1362</v>
      </c>
      <c r="C209" s="14" t="s">
        <v>37</v>
      </c>
      <c r="D209" s="14"/>
      <c r="E209" s="15"/>
      <c r="F209" s="16">
        <f t="shared" si="13"/>
        <v>0</v>
      </c>
      <c r="G209">
        <f t="shared" si="12"/>
        <v>0</v>
      </c>
    </row>
    <row r="210" spans="1:7" hidden="1" x14ac:dyDescent="0.25">
      <c r="A210" s="43" t="s">
        <v>1373</v>
      </c>
      <c r="B210" s="81" t="s">
        <v>1363</v>
      </c>
      <c r="C210" s="14" t="s">
        <v>37</v>
      </c>
      <c r="D210" s="14"/>
      <c r="E210" s="15"/>
      <c r="F210" s="16">
        <f t="shared" si="13"/>
        <v>0</v>
      </c>
      <c r="G210">
        <f t="shared" si="12"/>
        <v>0</v>
      </c>
    </row>
    <row r="211" spans="1:7" hidden="1" x14ac:dyDescent="0.25">
      <c r="A211" s="43" t="s">
        <v>1374</v>
      </c>
      <c r="B211" s="81" t="s">
        <v>1364</v>
      </c>
      <c r="C211" s="14" t="s">
        <v>37</v>
      </c>
      <c r="D211" s="14"/>
      <c r="E211" s="15"/>
      <c r="F211" s="16">
        <f t="shared" si="13"/>
        <v>0</v>
      </c>
      <c r="G211">
        <f t="shared" si="12"/>
        <v>0</v>
      </c>
    </row>
    <row r="212" spans="1:7" hidden="1" x14ac:dyDescent="0.25">
      <c r="A212" s="44" t="s">
        <v>938</v>
      </c>
      <c r="B212" s="80" t="s">
        <v>1375</v>
      </c>
      <c r="C212" s="14"/>
      <c r="D212" s="14"/>
      <c r="E212" s="15"/>
      <c r="F212" s="16"/>
      <c r="G212">
        <f t="shared" si="12"/>
        <v>0</v>
      </c>
    </row>
    <row r="213" spans="1:7" hidden="1" x14ac:dyDescent="0.25">
      <c r="A213" s="43" t="s">
        <v>939</v>
      </c>
      <c r="B213" s="303" t="s">
        <v>1397</v>
      </c>
      <c r="C213" s="14" t="s">
        <v>37</v>
      </c>
      <c r="D213" s="14"/>
      <c r="E213" s="15"/>
      <c r="F213" s="16">
        <f t="shared" ref="F213:F234" si="14">+D213*E213</f>
        <v>0</v>
      </c>
      <c r="G213">
        <f t="shared" si="12"/>
        <v>0</v>
      </c>
    </row>
    <row r="214" spans="1:7" hidden="1" x14ac:dyDescent="0.25">
      <c r="A214" s="43" t="s">
        <v>940</v>
      </c>
      <c r="B214" s="303" t="s">
        <v>1398</v>
      </c>
      <c r="C214" s="14" t="s">
        <v>37</v>
      </c>
      <c r="D214" s="14"/>
      <c r="E214" s="15"/>
      <c r="F214" s="16">
        <f t="shared" si="14"/>
        <v>0</v>
      </c>
      <c r="G214">
        <f t="shared" si="12"/>
        <v>0</v>
      </c>
    </row>
    <row r="215" spans="1:7" hidden="1" x14ac:dyDescent="0.25">
      <c r="A215" s="43" t="s">
        <v>1376</v>
      </c>
      <c r="B215" s="303" t="s">
        <v>1396</v>
      </c>
      <c r="C215" s="14" t="s">
        <v>37</v>
      </c>
      <c r="D215" s="14"/>
      <c r="E215" s="15"/>
      <c r="F215" s="16">
        <f t="shared" si="14"/>
        <v>0</v>
      </c>
      <c r="G215">
        <f t="shared" si="12"/>
        <v>0</v>
      </c>
    </row>
    <row r="216" spans="1:7" hidden="1" x14ac:dyDescent="0.25">
      <c r="A216" s="43" t="s">
        <v>1377</v>
      </c>
      <c r="B216" s="304" t="s">
        <v>1402</v>
      </c>
      <c r="C216" s="14" t="s">
        <v>37</v>
      </c>
      <c r="D216" s="14"/>
      <c r="E216" s="15"/>
      <c r="F216" s="16">
        <f t="shared" si="14"/>
        <v>0</v>
      </c>
      <c r="G216">
        <f t="shared" si="12"/>
        <v>0</v>
      </c>
    </row>
    <row r="217" spans="1:7" hidden="1" x14ac:dyDescent="0.25">
      <c r="A217" s="43" t="s">
        <v>1378</v>
      </c>
      <c r="B217" s="304" t="s">
        <v>1403</v>
      </c>
      <c r="C217" s="14" t="s">
        <v>37</v>
      </c>
      <c r="D217" s="14"/>
      <c r="E217" s="15"/>
      <c r="F217" s="16">
        <f t="shared" si="14"/>
        <v>0</v>
      </c>
      <c r="G217">
        <f t="shared" si="12"/>
        <v>0</v>
      </c>
    </row>
    <row r="218" spans="1:7" hidden="1" x14ac:dyDescent="0.25">
      <c r="A218" s="43" t="s">
        <v>1379</v>
      </c>
      <c r="B218" s="304" t="s">
        <v>1404</v>
      </c>
      <c r="C218" s="14" t="s">
        <v>37</v>
      </c>
      <c r="D218" s="14"/>
      <c r="E218" s="15"/>
      <c r="F218" s="16">
        <f t="shared" si="14"/>
        <v>0</v>
      </c>
      <c r="G218">
        <f t="shared" si="12"/>
        <v>0</v>
      </c>
    </row>
    <row r="219" spans="1:7" hidden="1" x14ac:dyDescent="0.25">
      <c r="A219" s="43" t="s">
        <v>1380</v>
      </c>
      <c r="B219" s="304" t="s">
        <v>1405</v>
      </c>
      <c r="C219" s="14" t="s">
        <v>37</v>
      </c>
      <c r="D219" s="14"/>
      <c r="E219" s="15"/>
      <c r="F219" s="16">
        <f t="shared" si="14"/>
        <v>0</v>
      </c>
      <c r="G219">
        <f t="shared" si="12"/>
        <v>0</v>
      </c>
    </row>
    <row r="220" spans="1:7" hidden="1" x14ac:dyDescent="0.25">
      <c r="A220" s="43" t="s">
        <v>1381</v>
      </c>
      <c r="B220" s="304" t="s">
        <v>1406</v>
      </c>
      <c r="C220" s="14" t="s">
        <v>37</v>
      </c>
      <c r="D220" s="14"/>
      <c r="E220" s="15"/>
      <c r="F220" s="16">
        <f t="shared" si="14"/>
        <v>0</v>
      </c>
      <c r="G220">
        <f t="shared" si="12"/>
        <v>0</v>
      </c>
    </row>
    <row r="221" spans="1:7" hidden="1" x14ac:dyDescent="0.25">
      <c r="A221" s="43" t="s">
        <v>1382</v>
      </c>
      <c r="B221" s="304" t="s">
        <v>1407</v>
      </c>
      <c r="C221" s="14" t="s">
        <v>37</v>
      </c>
      <c r="D221" s="14"/>
      <c r="E221" s="15"/>
      <c r="F221" s="16">
        <f t="shared" si="14"/>
        <v>0</v>
      </c>
      <c r="G221">
        <f t="shared" si="12"/>
        <v>0</v>
      </c>
    </row>
    <row r="222" spans="1:7" hidden="1" x14ac:dyDescent="0.25">
      <c r="A222" s="43" t="s">
        <v>1383</v>
      </c>
      <c r="B222" s="304" t="s">
        <v>1411</v>
      </c>
      <c r="C222" s="14" t="s">
        <v>37</v>
      </c>
      <c r="D222" s="14"/>
      <c r="E222" s="15"/>
      <c r="F222" s="16">
        <f t="shared" si="14"/>
        <v>0</v>
      </c>
      <c r="G222">
        <f t="shared" si="12"/>
        <v>0</v>
      </c>
    </row>
    <row r="223" spans="1:7" hidden="1" x14ac:dyDescent="0.25">
      <c r="A223" s="43" t="s">
        <v>1384</v>
      </c>
      <c r="B223" s="303" t="s">
        <v>1415</v>
      </c>
      <c r="C223" s="14" t="s">
        <v>37</v>
      </c>
      <c r="D223" s="14"/>
      <c r="E223" s="15"/>
      <c r="F223" s="16">
        <f t="shared" si="14"/>
        <v>0</v>
      </c>
      <c r="G223">
        <f t="shared" si="12"/>
        <v>0</v>
      </c>
    </row>
    <row r="224" spans="1:7" hidden="1" x14ac:dyDescent="0.25">
      <c r="A224" s="43" t="s">
        <v>1385</v>
      </c>
      <c r="B224" s="303" t="s">
        <v>1412</v>
      </c>
      <c r="C224" s="14" t="s">
        <v>37</v>
      </c>
      <c r="D224" s="14"/>
      <c r="E224" s="15"/>
      <c r="F224" s="16">
        <f t="shared" si="14"/>
        <v>0</v>
      </c>
      <c r="G224">
        <f t="shared" si="12"/>
        <v>0</v>
      </c>
    </row>
    <row r="225" spans="1:7" hidden="1" x14ac:dyDescent="0.25">
      <c r="A225" s="43" t="s">
        <v>1386</v>
      </c>
      <c r="B225" s="303" t="s">
        <v>1413</v>
      </c>
      <c r="C225" s="14" t="s">
        <v>37</v>
      </c>
      <c r="D225" s="14"/>
      <c r="E225" s="15"/>
      <c r="F225" s="16">
        <f t="shared" si="14"/>
        <v>0</v>
      </c>
      <c r="G225">
        <f t="shared" si="12"/>
        <v>0</v>
      </c>
    </row>
    <row r="226" spans="1:7" hidden="1" x14ac:dyDescent="0.25">
      <c r="A226" s="43" t="s">
        <v>1387</v>
      </c>
      <c r="B226" s="303" t="s">
        <v>1416</v>
      </c>
      <c r="C226" s="14" t="s">
        <v>37</v>
      </c>
      <c r="D226" s="14"/>
      <c r="E226" s="15"/>
      <c r="F226" s="16">
        <f t="shared" si="14"/>
        <v>0</v>
      </c>
      <c r="G226">
        <f t="shared" si="12"/>
        <v>0</v>
      </c>
    </row>
    <row r="227" spans="1:7" hidden="1" x14ac:dyDescent="0.25">
      <c r="A227" s="43" t="s">
        <v>1388</v>
      </c>
      <c r="B227" s="303" t="s">
        <v>1414</v>
      </c>
      <c r="C227" s="14" t="s">
        <v>37</v>
      </c>
      <c r="D227" s="14"/>
      <c r="E227" s="15"/>
      <c r="F227" s="16">
        <f t="shared" si="14"/>
        <v>0</v>
      </c>
      <c r="G227">
        <f t="shared" si="12"/>
        <v>0</v>
      </c>
    </row>
    <row r="228" spans="1:7" hidden="1" x14ac:dyDescent="0.25">
      <c r="A228" s="43" t="s">
        <v>1389</v>
      </c>
      <c r="B228" s="304" t="s">
        <v>1417</v>
      </c>
      <c r="C228" s="14" t="s">
        <v>37</v>
      </c>
      <c r="D228" s="14"/>
      <c r="E228" s="15"/>
      <c r="F228" s="16">
        <f t="shared" si="14"/>
        <v>0</v>
      </c>
      <c r="G228">
        <f t="shared" si="12"/>
        <v>0</v>
      </c>
    </row>
    <row r="229" spans="1:7" hidden="1" x14ac:dyDescent="0.25">
      <c r="A229" s="43" t="s">
        <v>1390</v>
      </c>
      <c r="B229" s="304" t="s">
        <v>1410</v>
      </c>
      <c r="C229" s="14" t="s">
        <v>37</v>
      </c>
      <c r="D229" s="14"/>
      <c r="E229" s="15"/>
      <c r="F229" s="16">
        <f t="shared" si="14"/>
        <v>0</v>
      </c>
      <c r="G229">
        <f t="shared" si="12"/>
        <v>0</v>
      </c>
    </row>
    <row r="230" spans="1:7" hidden="1" x14ac:dyDescent="0.25">
      <c r="A230" s="43" t="s">
        <v>1391</v>
      </c>
      <c r="B230" s="303" t="s">
        <v>1408</v>
      </c>
      <c r="C230" s="14" t="s">
        <v>37</v>
      </c>
      <c r="D230" s="14"/>
      <c r="E230" s="15"/>
      <c r="F230" s="16">
        <f t="shared" si="14"/>
        <v>0</v>
      </c>
      <c r="G230">
        <f t="shared" si="12"/>
        <v>0</v>
      </c>
    </row>
    <row r="231" spans="1:7" hidden="1" x14ac:dyDescent="0.25">
      <c r="A231" s="43" t="s">
        <v>1392</v>
      </c>
      <c r="B231" s="304" t="s">
        <v>1409</v>
      </c>
      <c r="C231" s="14" t="s">
        <v>37</v>
      </c>
      <c r="D231" s="14"/>
      <c r="E231" s="15"/>
      <c r="F231" s="16">
        <f t="shared" si="14"/>
        <v>0</v>
      </c>
      <c r="G231">
        <f t="shared" si="12"/>
        <v>0</v>
      </c>
    </row>
    <row r="232" spans="1:7" hidden="1" x14ac:dyDescent="0.25">
      <c r="A232" s="43" t="s">
        <v>1393</v>
      </c>
      <c r="B232" s="303" t="s">
        <v>1399</v>
      </c>
      <c r="C232" s="14" t="s">
        <v>37</v>
      </c>
      <c r="D232" s="14"/>
      <c r="E232" s="15"/>
      <c r="F232" s="16">
        <f t="shared" si="14"/>
        <v>0</v>
      </c>
      <c r="G232">
        <f t="shared" si="12"/>
        <v>0</v>
      </c>
    </row>
    <row r="233" spans="1:7" hidden="1" x14ac:dyDescent="0.25">
      <c r="A233" s="43" t="s">
        <v>1394</v>
      </c>
      <c r="B233" s="304" t="s">
        <v>1400</v>
      </c>
      <c r="C233" s="14" t="s">
        <v>37</v>
      </c>
      <c r="D233" s="14"/>
      <c r="E233" s="15"/>
      <c r="F233" s="16">
        <f t="shared" si="14"/>
        <v>0</v>
      </c>
      <c r="G233">
        <f t="shared" si="12"/>
        <v>0</v>
      </c>
    </row>
    <row r="234" spans="1:7" hidden="1" x14ac:dyDescent="0.25">
      <c r="A234" s="43" t="s">
        <v>1395</v>
      </c>
      <c r="B234" s="303" t="s">
        <v>1401</v>
      </c>
      <c r="C234" s="14" t="s">
        <v>37</v>
      </c>
      <c r="D234" s="14"/>
      <c r="E234" s="15"/>
      <c r="F234" s="16">
        <f t="shared" si="14"/>
        <v>0</v>
      </c>
      <c r="G234">
        <f t="shared" si="12"/>
        <v>0</v>
      </c>
    </row>
    <row r="235" spans="1:7" hidden="1" x14ac:dyDescent="0.25">
      <c r="A235" s="44" t="s">
        <v>1365</v>
      </c>
      <c r="B235" s="80" t="s">
        <v>1454</v>
      </c>
      <c r="C235" s="14"/>
      <c r="D235" s="14"/>
      <c r="E235" s="15"/>
      <c r="F235" s="16"/>
      <c r="G235">
        <f t="shared" si="12"/>
        <v>0</v>
      </c>
    </row>
    <row r="236" spans="1:7" hidden="1" x14ac:dyDescent="0.25">
      <c r="A236" s="43" t="s">
        <v>1418</v>
      </c>
      <c r="B236" s="303" t="s">
        <v>1435</v>
      </c>
      <c r="C236" s="14" t="s">
        <v>37</v>
      </c>
      <c r="D236" s="14"/>
      <c r="E236" s="15"/>
      <c r="F236" s="16">
        <f t="shared" ref="F236:F252" si="15">+D236*E236</f>
        <v>0</v>
      </c>
      <c r="G236">
        <f t="shared" si="12"/>
        <v>0</v>
      </c>
    </row>
    <row r="237" spans="1:7" hidden="1" x14ac:dyDescent="0.25">
      <c r="A237" s="43" t="s">
        <v>1419</v>
      </c>
      <c r="B237" s="303" t="s">
        <v>1442</v>
      </c>
      <c r="C237" s="14" t="s">
        <v>37</v>
      </c>
      <c r="D237" s="14"/>
      <c r="E237" s="15"/>
      <c r="F237" s="16">
        <f t="shared" si="15"/>
        <v>0</v>
      </c>
      <c r="G237">
        <f t="shared" si="12"/>
        <v>0</v>
      </c>
    </row>
    <row r="238" spans="1:7" hidden="1" x14ac:dyDescent="0.25">
      <c r="A238" s="43" t="s">
        <v>1420</v>
      </c>
      <c r="B238" s="304" t="s">
        <v>1450</v>
      </c>
      <c r="C238" s="14" t="s">
        <v>37</v>
      </c>
      <c r="D238" s="14"/>
      <c r="E238" s="15"/>
      <c r="F238" s="16">
        <f t="shared" si="15"/>
        <v>0</v>
      </c>
      <c r="G238">
        <f t="shared" si="12"/>
        <v>0</v>
      </c>
    </row>
    <row r="239" spans="1:7" hidden="1" x14ac:dyDescent="0.25">
      <c r="A239" s="43" t="s">
        <v>1421</v>
      </c>
      <c r="B239" s="304" t="s">
        <v>1451</v>
      </c>
      <c r="C239" s="14" t="s">
        <v>37</v>
      </c>
      <c r="D239" s="14"/>
      <c r="E239" s="15"/>
      <c r="F239" s="16">
        <f t="shared" si="15"/>
        <v>0</v>
      </c>
      <c r="G239">
        <f t="shared" si="12"/>
        <v>0</v>
      </c>
    </row>
    <row r="240" spans="1:7" hidden="1" x14ac:dyDescent="0.25">
      <c r="A240" s="43" t="s">
        <v>1422</v>
      </c>
      <c r="B240" s="304" t="s">
        <v>1447</v>
      </c>
      <c r="C240" s="14" t="s">
        <v>37</v>
      </c>
      <c r="D240" s="14"/>
      <c r="E240" s="15"/>
      <c r="F240" s="16">
        <f t="shared" si="15"/>
        <v>0</v>
      </c>
      <c r="G240">
        <f t="shared" si="12"/>
        <v>0</v>
      </c>
    </row>
    <row r="241" spans="1:7" hidden="1" x14ac:dyDescent="0.25">
      <c r="A241" s="43" t="s">
        <v>1423</v>
      </c>
      <c r="B241" s="304" t="s">
        <v>1448</v>
      </c>
      <c r="C241" s="14" t="s">
        <v>37</v>
      </c>
      <c r="D241" s="14"/>
      <c r="E241" s="15"/>
      <c r="F241" s="16">
        <f t="shared" si="15"/>
        <v>0</v>
      </c>
      <c r="G241">
        <f t="shared" si="12"/>
        <v>0</v>
      </c>
    </row>
    <row r="242" spans="1:7" hidden="1" x14ac:dyDescent="0.25">
      <c r="A242" s="43" t="s">
        <v>1424</v>
      </c>
      <c r="B242" s="304" t="s">
        <v>1449</v>
      </c>
      <c r="C242" s="14" t="s">
        <v>37</v>
      </c>
      <c r="D242" s="14"/>
      <c r="E242" s="15"/>
      <c r="F242" s="16">
        <f t="shared" si="15"/>
        <v>0</v>
      </c>
      <c r="G242">
        <f t="shared" si="12"/>
        <v>0</v>
      </c>
    </row>
    <row r="243" spans="1:7" hidden="1" x14ac:dyDescent="0.25">
      <c r="A243" s="43" t="s">
        <v>1425</v>
      </c>
      <c r="B243" s="304" t="s">
        <v>1444</v>
      </c>
      <c r="C243" s="14" t="s">
        <v>37</v>
      </c>
      <c r="D243" s="14"/>
      <c r="E243" s="15"/>
      <c r="F243" s="16">
        <f t="shared" si="15"/>
        <v>0</v>
      </c>
      <c r="G243">
        <f t="shared" si="12"/>
        <v>0</v>
      </c>
    </row>
    <row r="244" spans="1:7" hidden="1" x14ac:dyDescent="0.25">
      <c r="A244" s="43" t="s">
        <v>1426</v>
      </c>
      <c r="B244" s="304" t="s">
        <v>1445</v>
      </c>
      <c r="C244" s="14" t="s">
        <v>37</v>
      </c>
      <c r="D244" s="14"/>
      <c r="E244" s="15"/>
      <c r="F244" s="16">
        <f t="shared" si="15"/>
        <v>0</v>
      </c>
      <c r="G244">
        <f t="shared" si="12"/>
        <v>0</v>
      </c>
    </row>
    <row r="245" spans="1:7" hidden="1" x14ac:dyDescent="0.25">
      <c r="A245" s="43" t="s">
        <v>1427</v>
      </c>
      <c r="B245" s="304" t="s">
        <v>1446</v>
      </c>
      <c r="C245" s="14" t="s">
        <v>37</v>
      </c>
      <c r="D245" s="14"/>
      <c r="E245" s="15"/>
      <c r="F245" s="16">
        <f t="shared" si="15"/>
        <v>0</v>
      </c>
      <c r="G245">
        <f t="shared" si="12"/>
        <v>0</v>
      </c>
    </row>
    <row r="246" spans="1:7" hidden="1" x14ac:dyDescent="0.25">
      <c r="A246" s="43" t="s">
        <v>1428</v>
      </c>
      <c r="B246" s="304" t="s">
        <v>1443</v>
      </c>
      <c r="C246" s="14" t="s">
        <v>37</v>
      </c>
      <c r="D246" s="14"/>
      <c r="E246" s="15"/>
      <c r="F246" s="16">
        <f t="shared" si="15"/>
        <v>0</v>
      </c>
      <c r="G246">
        <f t="shared" si="12"/>
        <v>0</v>
      </c>
    </row>
    <row r="247" spans="1:7" hidden="1" x14ac:dyDescent="0.25">
      <c r="A247" s="43" t="s">
        <v>1429</v>
      </c>
      <c r="B247" s="304" t="s">
        <v>1441</v>
      </c>
      <c r="C247" s="14" t="s">
        <v>37</v>
      </c>
      <c r="D247" s="14"/>
      <c r="E247" s="15"/>
      <c r="F247" s="16">
        <f t="shared" si="15"/>
        <v>0</v>
      </c>
      <c r="G247">
        <f t="shared" si="12"/>
        <v>0</v>
      </c>
    </row>
    <row r="248" spans="1:7" hidden="1" x14ac:dyDescent="0.25">
      <c r="A248" s="43" t="s">
        <v>1430</v>
      </c>
      <c r="B248" s="304" t="s">
        <v>1440</v>
      </c>
      <c r="C248" s="14" t="s">
        <v>37</v>
      </c>
      <c r="D248" s="14"/>
      <c r="E248" s="15"/>
      <c r="F248" s="16">
        <f t="shared" si="15"/>
        <v>0</v>
      </c>
      <c r="G248">
        <f t="shared" si="12"/>
        <v>0</v>
      </c>
    </row>
    <row r="249" spans="1:7" hidden="1" x14ac:dyDescent="0.25">
      <c r="A249" s="43" t="s">
        <v>1431</v>
      </c>
      <c r="B249" s="304" t="s">
        <v>1439</v>
      </c>
      <c r="C249" s="14" t="s">
        <v>37</v>
      </c>
      <c r="D249" s="14"/>
      <c r="E249" s="15"/>
      <c r="F249" s="16">
        <f t="shared" si="15"/>
        <v>0</v>
      </c>
      <c r="G249">
        <f t="shared" si="12"/>
        <v>0</v>
      </c>
    </row>
    <row r="250" spans="1:7" hidden="1" x14ac:dyDescent="0.25">
      <c r="A250" s="43" t="s">
        <v>1432</v>
      </c>
      <c r="B250" s="304" t="s">
        <v>1438</v>
      </c>
      <c r="C250" s="14" t="s">
        <v>37</v>
      </c>
      <c r="D250" s="14"/>
      <c r="E250" s="15"/>
      <c r="F250" s="16">
        <f t="shared" si="15"/>
        <v>0</v>
      </c>
      <c r="G250">
        <f t="shared" si="12"/>
        <v>0</v>
      </c>
    </row>
    <row r="251" spans="1:7" hidden="1" x14ac:dyDescent="0.25">
      <c r="A251" s="43" t="s">
        <v>1433</v>
      </c>
      <c r="B251" s="304" t="s">
        <v>1437</v>
      </c>
      <c r="C251" s="14" t="s">
        <v>37</v>
      </c>
      <c r="D251" s="14"/>
      <c r="E251" s="15"/>
      <c r="F251" s="16">
        <f t="shared" si="15"/>
        <v>0</v>
      </c>
      <c r="G251">
        <f t="shared" si="12"/>
        <v>0</v>
      </c>
    </row>
    <row r="252" spans="1:7" hidden="1" x14ac:dyDescent="0.25">
      <c r="A252" s="43" t="s">
        <v>1434</v>
      </c>
      <c r="B252" s="303" t="s">
        <v>1436</v>
      </c>
      <c r="C252" s="14" t="s">
        <v>37</v>
      </c>
      <c r="D252" s="14"/>
      <c r="E252" s="15"/>
      <c r="F252" s="16">
        <f t="shared" si="15"/>
        <v>0</v>
      </c>
      <c r="G252">
        <f t="shared" si="12"/>
        <v>0</v>
      </c>
    </row>
    <row r="253" spans="1:7" hidden="1" x14ac:dyDescent="0.25">
      <c r="A253" s="44" t="s">
        <v>941</v>
      </c>
      <c r="B253" s="305" t="s">
        <v>1452</v>
      </c>
      <c r="C253" s="14"/>
      <c r="D253" s="14"/>
      <c r="E253" s="15"/>
      <c r="F253" s="16"/>
      <c r="G253">
        <f t="shared" si="12"/>
        <v>0</v>
      </c>
    </row>
    <row r="254" spans="1:7" hidden="1" x14ac:dyDescent="0.25">
      <c r="A254" s="44" t="s">
        <v>943</v>
      </c>
      <c r="B254" s="305" t="s">
        <v>1453</v>
      </c>
      <c r="C254" s="14"/>
      <c r="D254" s="14"/>
      <c r="E254" s="15"/>
      <c r="F254" s="16"/>
      <c r="G254">
        <f t="shared" si="12"/>
        <v>0</v>
      </c>
    </row>
    <row r="255" spans="1:7" hidden="1" x14ac:dyDescent="0.25">
      <c r="A255" s="43" t="s">
        <v>1456</v>
      </c>
      <c r="B255" s="303" t="s">
        <v>1457</v>
      </c>
      <c r="C255" s="14" t="s">
        <v>37</v>
      </c>
      <c r="D255" s="14"/>
      <c r="E255" s="15"/>
      <c r="F255" s="16">
        <f>+D255*E255</f>
        <v>0</v>
      </c>
      <c r="G255">
        <f t="shared" si="12"/>
        <v>0</v>
      </c>
    </row>
    <row r="256" spans="1:7" hidden="1" x14ac:dyDescent="0.25">
      <c r="A256" s="43" t="s">
        <v>1461</v>
      </c>
      <c r="B256" s="303" t="s">
        <v>1458</v>
      </c>
      <c r="C256" s="14" t="s">
        <v>37</v>
      </c>
      <c r="D256" s="14"/>
      <c r="E256" s="15"/>
      <c r="F256" s="16">
        <f>+D256*E256</f>
        <v>0</v>
      </c>
      <c r="G256">
        <f t="shared" si="12"/>
        <v>0</v>
      </c>
    </row>
    <row r="257" spans="1:7" hidden="1" x14ac:dyDescent="0.25">
      <c r="A257" s="43" t="s">
        <v>1462</v>
      </c>
      <c r="B257" s="303" t="s">
        <v>1459</v>
      </c>
      <c r="C257" s="14" t="s">
        <v>37</v>
      </c>
      <c r="D257" s="14"/>
      <c r="E257" s="15"/>
      <c r="F257" s="16">
        <f>+D257*E257</f>
        <v>0</v>
      </c>
      <c r="G257">
        <f t="shared" si="12"/>
        <v>0</v>
      </c>
    </row>
    <row r="258" spans="1:7" hidden="1" x14ac:dyDescent="0.25">
      <c r="A258" s="43" t="s">
        <v>1463</v>
      </c>
      <c r="B258" s="303" t="s">
        <v>1460</v>
      </c>
      <c r="C258" s="14" t="s">
        <v>37</v>
      </c>
      <c r="D258" s="14"/>
      <c r="E258" s="15">
        <f>+SUM!H256</f>
        <v>329351</v>
      </c>
      <c r="F258" s="16">
        <f>+D258*E258</f>
        <v>0</v>
      </c>
      <c r="G258">
        <f t="shared" si="12"/>
        <v>0</v>
      </c>
    </row>
    <row r="259" spans="1:7" hidden="1" x14ac:dyDescent="0.25">
      <c r="A259" s="44" t="s">
        <v>1455</v>
      </c>
      <c r="B259" s="305" t="s">
        <v>1474</v>
      </c>
      <c r="C259" s="14"/>
      <c r="D259" s="14"/>
      <c r="E259" s="15"/>
      <c r="F259" s="16"/>
      <c r="G259">
        <f t="shared" si="12"/>
        <v>0</v>
      </c>
    </row>
    <row r="260" spans="1:7" hidden="1" x14ac:dyDescent="0.25">
      <c r="A260" s="43" t="s">
        <v>1476</v>
      </c>
      <c r="B260" s="303" t="s">
        <v>1464</v>
      </c>
      <c r="C260" s="14" t="s">
        <v>37</v>
      </c>
      <c r="D260" s="14"/>
      <c r="E260" s="15"/>
      <c r="F260" s="16">
        <f t="shared" ref="F260:F268" si="16">+D260*E260</f>
        <v>0</v>
      </c>
      <c r="G260">
        <f t="shared" si="12"/>
        <v>0</v>
      </c>
    </row>
    <row r="261" spans="1:7" hidden="1" x14ac:dyDescent="0.25">
      <c r="A261" s="43" t="s">
        <v>1477</v>
      </c>
      <c r="B261" s="303" t="s">
        <v>1465</v>
      </c>
      <c r="C261" s="14" t="s">
        <v>37</v>
      </c>
      <c r="D261" s="14"/>
      <c r="E261" s="15"/>
      <c r="F261" s="16">
        <f t="shared" si="16"/>
        <v>0</v>
      </c>
      <c r="G261">
        <f t="shared" si="12"/>
        <v>0</v>
      </c>
    </row>
    <row r="262" spans="1:7" hidden="1" x14ac:dyDescent="0.25">
      <c r="A262" s="43" t="s">
        <v>1478</v>
      </c>
      <c r="B262" s="303" t="s">
        <v>1466</v>
      </c>
      <c r="C262" s="14" t="s">
        <v>37</v>
      </c>
      <c r="D262" s="14"/>
      <c r="E262" s="15"/>
      <c r="F262" s="16">
        <f t="shared" si="16"/>
        <v>0</v>
      </c>
      <c r="G262">
        <f t="shared" si="12"/>
        <v>0</v>
      </c>
    </row>
    <row r="263" spans="1:7" hidden="1" x14ac:dyDescent="0.25">
      <c r="A263" s="43" t="s">
        <v>1479</v>
      </c>
      <c r="B263" s="303" t="s">
        <v>1467</v>
      </c>
      <c r="C263" s="14" t="s">
        <v>37</v>
      </c>
      <c r="D263" s="14"/>
      <c r="E263" s="15"/>
      <c r="F263" s="16">
        <f t="shared" si="16"/>
        <v>0</v>
      </c>
      <c r="G263">
        <f t="shared" si="12"/>
        <v>0</v>
      </c>
    </row>
    <row r="264" spans="1:7" hidden="1" x14ac:dyDescent="0.25">
      <c r="A264" s="43" t="s">
        <v>1480</v>
      </c>
      <c r="B264" s="303" t="s">
        <v>1468</v>
      </c>
      <c r="C264" s="14" t="s">
        <v>37</v>
      </c>
      <c r="D264" s="14"/>
      <c r="E264" s="15"/>
      <c r="F264" s="16">
        <f t="shared" si="16"/>
        <v>0</v>
      </c>
      <c r="G264">
        <f t="shared" si="12"/>
        <v>0</v>
      </c>
    </row>
    <row r="265" spans="1:7" hidden="1" x14ac:dyDescent="0.25">
      <c r="A265" s="43" t="s">
        <v>1481</v>
      </c>
      <c r="B265" s="303" t="s">
        <v>1469</v>
      </c>
      <c r="C265" s="14" t="s">
        <v>37</v>
      </c>
      <c r="D265" s="14"/>
      <c r="E265" s="15"/>
      <c r="F265" s="16">
        <f t="shared" si="16"/>
        <v>0</v>
      </c>
      <c r="G265">
        <f t="shared" ref="G265:G328" si="17">+IF(F265&lt;&gt;0,1,0)</f>
        <v>0</v>
      </c>
    </row>
    <row r="266" spans="1:7" hidden="1" x14ac:dyDescent="0.25">
      <c r="A266" s="43" t="s">
        <v>1482</v>
      </c>
      <c r="B266" s="303" t="s">
        <v>1470</v>
      </c>
      <c r="C266" s="14" t="s">
        <v>37</v>
      </c>
      <c r="D266" s="14"/>
      <c r="E266" s="15"/>
      <c r="F266" s="16">
        <f t="shared" si="16"/>
        <v>0</v>
      </c>
      <c r="G266">
        <f t="shared" si="17"/>
        <v>0</v>
      </c>
    </row>
    <row r="267" spans="1:7" hidden="1" x14ac:dyDescent="0.25">
      <c r="A267" s="43" t="s">
        <v>1483</v>
      </c>
      <c r="B267" s="303" t="s">
        <v>1471</v>
      </c>
      <c r="C267" s="14" t="s">
        <v>37</v>
      </c>
      <c r="D267" s="14"/>
      <c r="E267" s="15"/>
      <c r="F267" s="16">
        <f t="shared" si="16"/>
        <v>0</v>
      </c>
      <c r="G267">
        <f t="shared" si="17"/>
        <v>0</v>
      </c>
    </row>
    <row r="268" spans="1:7" hidden="1" x14ac:dyDescent="0.25">
      <c r="A268" s="43" t="s">
        <v>1484</v>
      </c>
      <c r="B268" s="303" t="s">
        <v>1472</v>
      </c>
      <c r="C268" s="14" t="s">
        <v>37</v>
      </c>
      <c r="D268" s="14"/>
      <c r="E268" s="15"/>
      <c r="F268" s="16">
        <f t="shared" si="16"/>
        <v>0</v>
      </c>
      <c r="G268">
        <f t="shared" si="17"/>
        <v>0</v>
      </c>
    </row>
    <row r="269" spans="1:7" hidden="1" x14ac:dyDescent="0.25">
      <c r="A269" s="44" t="s">
        <v>1475</v>
      </c>
      <c r="B269" s="305" t="s">
        <v>1473</v>
      </c>
      <c r="C269" s="14"/>
      <c r="D269" s="14"/>
      <c r="E269" s="15"/>
      <c r="F269" s="16"/>
      <c r="G269">
        <f t="shared" si="17"/>
        <v>0</v>
      </c>
    </row>
    <row r="270" spans="1:7" hidden="1" x14ac:dyDescent="0.25">
      <c r="A270" s="43" t="s">
        <v>1485</v>
      </c>
      <c r="B270" s="303" t="s">
        <v>1486</v>
      </c>
      <c r="C270" s="14" t="s">
        <v>37</v>
      </c>
      <c r="D270" s="14"/>
      <c r="E270" s="15"/>
      <c r="F270" s="16">
        <f t="shared" ref="F270:F278" si="18">+D270*E270</f>
        <v>0</v>
      </c>
      <c r="G270">
        <f t="shared" si="17"/>
        <v>0</v>
      </c>
    </row>
    <row r="271" spans="1:7" hidden="1" x14ac:dyDescent="0.25">
      <c r="A271" s="43" t="s">
        <v>1495</v>
      </c>
      <c r="B271" s="303" t="s">
        <v>1487</v>
      </c>
      <c r="C271" s="14" t="s">
        <v>37</v>
      </c>
      <c r="D271" s="14"/>
      <c r="E271" s="15"/>
      <c r="F271" s="16">
        <f t="shared" si="18"/>
        <v>0</v>
      </c>
      <c r="G271">
        <f t="shared" si="17"/>
        <v>0</v>
      </c>
    </row>
    <row r="272" spans="1:7" hidden="1" x14ac:dyDescent="0.25">
      <c r="A272" s="43" t="s">
        <v>1496</v>
      </c>
      <c r="B272" s="303" t="s">
        <v>1488</v>
      </c>
      <c r="C272" s="14" t="s">
        <v>37</v>
      </c>
      <c r="D272" s="14"/>
      <c r="E272" s="15"/>
      <c r="F272" s="16">
        <f t="shared" si="18"/>
        <v>0</v>
      </c>
      <c r="G272">
        <f t="shared" si="17"/>
        <v>0</v>
      </c>
    </row>
    <row r="273" spans="1:7" hidden="1" x14ac:dyDescent="0.25">
      <c r="A273" s="43" t="s">
        <v>1497</v>
      </c>
      <c r="B273" s="303" t="s">
        <v>1489</v>
      </c>
      <c r="C273" s="14" t="s">
        <v>37</v>
      </c>
      <c r="D273" s="14"/>
      <c r="E273" s="15"/>
      <c r="F273" s="16">
        <f t="shared" si="18"/>
        <v>0</v>
      </c>
      <c r="G273">
        <f t="shared" si="17"/>
        <v>0</v>
      </c>
    </row>
    <row r="274" spans="1:7" hidden="1" x14ac:dyDescent="0.25">
      <c r="A274" s="43" t="s">
        <v>1498</v>
      </c>
      <c r="B274" s="303" t="s">
        <v>1490</v>
      </c>
      <c r="C274" s="14" t="s">
        <v>37</v>
      </c>
      <c r="D274" s="14"/>
      <c r="E274" s="15"/>
      <c r="F274" s="16">
        <f t="shared" si="18"/>
        <v>0</v>
      </c>
      <c r="G274">
        <f t="shared" si="17"/>
        <v>0</v>
      </c>
    </row>
    <row r="275" spans="1:7" hidden="1" x14ac:dyDescent="0.25">
      <c r="A275" s="43" t="s">
        <v>1499</v>
      </c>
      <c r="B275" s="303" t="s">
        <v>1491</v>
      </c>
      <c r="C275" s="14" t="s">
        <v>37</v>
      </c>
      <c r="D275" s="14"/>
      <c r="E275" s="15"/>
      <c r="F275" s="16">
        <f t="shared" si="18"/>
        <v>0</v>
      </c>
      <c r="G275">
        <f t="shared" si="17"/>
        <v>0</v>
      </c>
    </row>
    <row r="276" spans="1:7" hidden="1" x14ac:dyDescent="0.25">
      <c r="A276" s="43" t="s">
        <v>1500</v>
      </c>
      <c r="B276" s="303" t="s">
        <v>1492</v>
      </c>
      <c r="C276" s="14" t="s">
        <v>37</v>
      </c>
      <c r="D276" s="14"/>
      <c r="E276" s="15"/>
      <c r="F276" s="16">
        <f t="shared" si="18"/>
        <v>0</v>
      </c>
      <c r="G276">
        <f t="shared" si="17"/>
        <v>0</v>
      </c>
    </row>
    <row r="277" spans="1:7" hidden="1" x14ac:dyDescent="0.25">
      <c r="A277" s="43" t="s">
        <v>1501</v>
      </c>
      <c r="B277" s="303" t="s">
        <v>1493</v>
      </c>
      <c r="C277" s="14" t="s">
        <v>37</v>
      </c>
      <c r="D277" s="14"/>
      <c r="E277" s="15"/>
      <c r="F277" s="16">
        <f t="shared" si="18"/>
        <v>0</v>
      </c>
      <c r="G277">
        <f t="shared" si="17"/>
        <v>0</v>
      </c>
    </row>
    <row r="278" spans="1:7" hidden="1" x14ac:dyDescent="0.25">
      <c r="A278" s="43" t="s">
        <v>1502</v>
      </c>
      <c r="B278" s="303" t="s">
        <v>1494</v>
      </c>
      <c r="C278" s="14" t="s">
        <v>37</v>
      </c>
      <c r="D278" s="14"/>
      <c r="E278" s="15"/>
      <c r="F278" s="16">
        <f t="shared" si="18"/>
        <v>0</v>
      </c>
      <c r="G278">
        <f t="shared" si="17"/>
        <v>0</v>
      </c>
    </row>
    <row r="279" spans="1:7" hidden="1" x14ac:dyDescent="0.25">
      <c r="A279" s="44" t="s">
        <v>1503</v>
      </c>
      <c r="B279" s="305" t="s">
        <v>1526</v>
      </c>
      <c r="C279" s="14"/>
      <c r="D279" s="14"/>
      <c r="E279" s="15"/>
      <c r="F279" s="16"/>
      <c r="G279">
        <f t="shared" si="17"/>
        <v>0</v>
      </c>
    </row>
    <row r="280" spans="1:7" hidden="1" x14ac:dyDescent="0.25">
      <c r="A280" s="43" t="s">
        <v>1515</v>
      </c>
      <c r="B280" s="303" t="s">
        <v>1504</v>
      </c>
      <c r="C280" s="14" t="s">
        <v>37</v>
      </c>
      <c r="D280" s="14"/>
      <c r="E280" s="15"/>
      <c r="F280" s="16">
        <f t="shared" ref="F280:F290" si="19">+D280*E280</f>
        <v>0</v>
      </c>
      <c r="G280">
        <f t="shared" si="17"/>
        <v>0</v>
      </c>
    </row>
    <row r="281" spans="1:7" hidden="1" x14ac:dyDescent="0.25">
      <c r="A281" s="43" t="s">
        <v>1516</v>
      </c>
      <c r="B281" s="303" t="s">
        <v>1505</v>
      </c>
      <c r="C281" s="14" t="s">
        <v>37</v>
      </c>
      <c r="D281" s="14"/>
      <c r="E281" s="15"/>
      <c r="F281" s="16">
        <f t="shared" si="19"/>
        <v>0</v>
      </c>
      <c r="G281">
        <f t="shared" si="17"/>
        <v>0</v>
      </c>
    </row>
    <row r="282" spans="1:7" hidden="1" x14ac:dyDescent="0.25">
      <c r="A282" s="43" t="s">
        <v>1517</v>
      </c>
      <c r="B282" s="303" t="s">
        <v>1506</v>
      </c>
      <c r="C282" s="14" t="s">
        <v>37</v>
      </c>
      <c r="D282" s="14"/>
      <c r="E282" s="15"/>
      <c r="F282" s="16">
        <f t="shared" si="19"/>
        <v>0</v>
      </c>
      <c r="G282">
        <f t="shared" si="17"/>
        <v>0</v>
      </c>
    </row>
    <row r="283" spans="1:7" hidden="1" x14ac:dyDescent="0.25">
      <c r="A283" s="43" t="s">
        <v>1518</v>
      </c>
      <c r="B283" s="303" t="s">
        <v>1507</v>
      </c>
      <c r="C283" s="14" t="s">
        <v>37</v>
      </c>
      <c r="D283" s="14"/>
      <c r="E283" s="15"/>
      <c r="F283" s="16">
        <f t="shared" si="19"/>
        <v>0</v>
      </c>
      <c r="G283">
        <f t="shared" si="17"/>
        <v>0</v>
      </c>
    </row>
    <row r="284" spans="1:7" hidden="1" x14ac:dyDescent="0.25">
      <c r="A284" s="43" t="s">
        <v>1519</v>
      </c>
      <c r="B284" s="303" t="s">
        <v>1508</v>
      </c>
      <c r="C284" s="14" t="s">
        <v>37</v>
      </c>
      <c r="D284" s="14"/>
      <c r="E284" s="15"/>
      <c r="F284" s="16">
        <f t="shared" si="19"/>
        <v>0</v>
      </c>
      <c r="G284">
        <f t="shared" si="17"/>
        <v>0</v>
      </c>
    </row>
    <row r="285" spans="1:7" hidden="1" x14ac:dyDescent="0.25">
      <c r="A285" s="43" t="s">
        <v>1520</v>
      </c>
      <c r="B285" s="303" t="s">
        <v>1509</v>
      </c>
      <c r="C285" s="14" t="s">
        <v>37</v>
      </c>
      <c r="D285" s="14"/>
      <c r="E285" s="15"/>
      <c r="F285" s="16">
        <f t="shared" si="19"/>
        <v>0</v>
      </c>
      <c r="G285">
        <f t="shared" si="17"/>
        <v>0</v>
      </c>
    </row>
    <row r="286" spans="1:7" hidden="1" x14ac:dyDescent="0.25">
      <c r="A286" s="43" t="s">
        <v>1521</v>
      </c>
      <c r="B286" s="303" t="s">
        <v>1510</v>
      </c>
      <c r="C286" s="14" t="s">
        <v>37</v>
      </c>
      <c r="D286" s="14"/>
      <c r="E286" s="15"/>
      <c r="F286" s="16">
        <f t="shared" si="19"/>
        <v>0</v>
      </c>
      <c r="G286">
        <f t="shared" si="17"/>
        <v>0</v>
      </c>
    </row>
    <row r="287" spans="1:7" hidden="1" x14ac:dyDescent="0.25">
      <c r="A287" s="43" t="s">
        <v>1522</v>
      </c>
      <c r="B287" s="303" t="s">
        <v>1511</v>
      </c>
      <c r="C287" s="14" t="s">
        <v>37</v>
      </c>
      <c r="D287" s="14"/>
      <c r="E287" s="15"/>
      <c r="F287" s="16">
        <f t="shared" si="19"/>
        <v>0</v>
      </c>
      <c r="G287">
        <f t="shared" si="17"/>
        <v>0</v>
      </c>
    </row>
    <row r="288" spans="1:7" hidden="1" x14ac:dyDescent="0.25">
      <c r="A288" s="43" t="s">
        <v>1523</v>
      </c>
      <c r="B288" s="303" t="s">
        <v>1512</v>
      </c>
      <c r="C288" s="14" t="s">
        <v>37</v>
      </c>
      <c r="D288" s="14"/>
      <c r="E288" s="15"/>
      <c r="F288" s="16">
        <f t="shared" si="19"/>
        <v>0</v>
      </c>
      <c r="G288">
        <f t="shared" si="17"/>
        <v>0</v>
      </c>
    </row>
    <row r="289" spans="1:7" hidden="1" x14ac:dyDescent="0.25">
      <c r="A289" s="43" t="s">
        <v>1524</v>
      </c>
      <c r="B289" s="303" t="s">
        <v>1513</v>
      </c>
      <c r="C289" s="14" t="s">
        <v>37</v>
      </c>
      <c r="D289" s="14"/>
      <c r="E289" s="15"/>
      <c r="F289" s="16">
        <f t="shared" si="19"/>
        <v>0</v>
      </c>
      <c r="G289">
        <f t="shared" si="17"/>
        <v>0</v>
      </c>
    </row>
    <row r="290" spans="1:7" hidden="1" x14ac:dyDescent="0.25">
      <c r="A290" s="43" t="s">
        <v>1525</v>
      </c>
      <c r="B290" s="303" t="s">
        <v>1514</v>
      </c>
      <c r="C290" s="14" t="s">
        <v>37</v>
      </c>
      <c r="D290" s="14"/>
      <c r="E290" s="15"/>
      <c r="F290" s="16">
        <f t="shared" si="19"/>
        <v>0</v>
      </c>
      <c r="G290">
        <f t="shared" si="17"/>
        <v>0</v>
      </c>
    </row>
    <row r="291" spans="1:7" hidden="1" x14ac:dyDescent="0.25">
      <c r="A291" s="44" t="s">
        <v>944</v>
      </c>
      <c r="B291" s="305" t="s">
        <v>937</v>
      </c>
      <c r="C291" s="14"/>
      <c r="D291" s="14"/>
      <c r="E291" s="15"/>
      <c r="F291" s="16"/>
      <c r="G291">
        <f t="shared" si="17"/>
        <v>0</v>
      </c>
    </row>
    <row r="292" spans="1:7" hidden="1" x14ac:dyDescent="0.25">
      <c r="A292" s="44" t="s">
        <v>945</v>
      </c>
      <c r="B292" s="305" t="s">
        <v>1527</v>
      </c>
      <c r="C292" s="14"/>
      <c r="D292" s="14"/>
      <c r="E292" s="15"/>
      <c r="F292" s="16"/>
      <c r="G292">
        <f t="shared" si="17"/>
        <v>0</v>
      </c>
    </row>
    <row r="293" spans="1:7" hidden="1" x14ac:dyDescent="0.25">
      <c r="A293" s="43" t="s">
        <v>1531</v>
      </c>
      <c r="B293" s="303" t="s">
        <v>1541</v>
      </c>
      <c r="C293" s="14" t="s">
        <v>37</v>
      </c>
      <c r="D293" s="14"/>
      <c r="E293" s="15"/>
      <c r="F293" s="16">
        <f t="shared" ref="F293:F301" si="20">+D293*E293</f>
        <v>0</v>
      </c>
      <c r="G293">
        <f t="shared" si="17"/>
        <v>0</v>
      </c>
    </row>
    <row r="294" spans="1:7" hidden="1" x14ac:dyDescent="0.25">
      <c r="A294" s="43" t="s">
        <v>1532</v>
      </c>
      <c r="B294" s="303" t="s">
        <v>1542</v>
      </c>
      <c r="C294" s="14" t="s">
        <v>37</v>
      </c>
      <c r="D294" s="14"/>
      <c r="E294" s="15"/>
      <c r="F294" s="16">
        <f t="shared" si="20"/>
        <v>0</v>
      </c>
      <c r="G294">
        <f t="shared" si="17"/>
        <v>0</v>
      </c>
    </row>
    <row r="295" spans="1:7" hidden="1" x14ac:dyDescent="0.25">
      <c r="A295" s="43" t="s">
        <v>1533</v>
      </c>
      <c r="B295" s="303" t="s">
        <v>1543</v>
      </c>
      <c r="C295" s="14" t="s">
        <v>37</v>
      </c>
      <c r="D295" s="14"/>
      <c r="E295" s="15"/>
      <c r="F295" s="16">
        <f t="shared" si="20"/>
        <v>0</v>
      </c>
      <c r="G295">
        <f t="shared" si="17"/>
        <v>0</v>
      </c>
    </row>
    <row r="296" spans="1:7" hidden="1" x14ac:dyDescent="0.25">
      <c r="A296" s="43" t="s">
        <v>1534</v>
      </c>
      <c r="B296" s="303" t="s">
        <v>1544</v>
      </c>
      <c r="C296" s="14" t="s">
        <v>37</v>
      </c>
      <c r="D296" s="14"/>
      <c r="E296" s="15"/>
      <c r="F296" s="16">
        <f t="shared" si="20"/>
        <v>0</v>
      </c>
      <c r="G296">
        <f t="shared" si="17"/>
        <v>0</v>
      </c>
    </row>
    <row r="297" spans="1:7" hidden="1" x14ac:dyDescent="0.25">
      <c r="A297" s="43" t="s">
        <v>1535</v>
      </c>
      <c r="B297" s="303" t="s">
        <v>1545</v>
      </c>
      <c r="C297" s="14" t="s">
        <v>37</v>
      </c>
      <c r="D297" s="14"/>
      <c r="E297" s="15"/>
      <c r="F297" s="16">
        <f t="shared" si="20"/>
        <v>0</v>
      </c>
      <c r="G297">
        <f t="shared" si="17"/>
        <v>0</v>
      </c>
    </row>
    <row r="298" spans="1:7" hidden="1" x14ac:dyDescent="0.25">
      <c r="A298" s="43" t="s">
        <v>1536</v>
      </c>
      <c r="B298" s="303" t="s">
        <v>1546</v>
      </c>
      <c r="C298" s="14" t="s">
        <v>37</v>
      </c>
      <c r="D298" s="14"/>
      <c r="E298" s="15"/>
      <c r="F298" s="16">
        <f t="shared" si="20"/>
        <v>0</v>
      </c>
      <c r="G298">
        <f t="shared" si="17"/>
        <v>0</v>
      </c>
    </row>
    <row r="299" spans="1:7" hidden="1" x14ac:dyDescent="0.25">
      <c r="A299" s="43" t="s">
        <v>1537</v>
      </c>
      <c r="B299" s="303" t="s">
        <v>1547</v>
      </c>
      <c r="C299" s="14" t="s">
        <v>37</v>
      </c>
      <c r="D299" s="14"/>
      <c r="E299" s="15"/>
      <c r="F299" s="16">
        <f t="shared" si="20"/>
        <v>0</v>
      </c>
      <c r="G299">
        <f t="shared" si="17"/>
        <v>0</v>
      </c>
    </row>
    <row r="300" spans="1:7" hidden="1" x14ac:dyDescent="0.25">
      <c r="A300" s="43" t="s">
        <v>1538</v>
      </c>
      <c r="B300" s="303" t="s">
        <v>1548</v>
      </c>
      <c r="C300" s="14" t="s">
        <v>37</v>
      </c>
      <c r="D300" s="14"/>
      <c r="E300" s="15"/>
      <c r="F300" s="16">
        <f t="shared" si="20"/>
        <v>0</v>
      </c>
      <c r="G300">
        <f t="shared" si="17"/>
        <v>0</v>
      </c>
    </row>
    <row r="301" spans="1:7" hidden="1" x14ac:dyDescent="0.25">
      <c r="A301" s="43" t="s">
        <v>1539</v>
      </c>
      <c r="B301" s="303" t="s">
        <v>1549</v>
      </c>
      <c r="C301" s="14" t="s">
        <v>37</v>
      </c>
      <c r="D301" s="14"/>
      <c r="E301" s="15"/>
      <c r="F301" s="16">
        <f t="shared" si="20"/>
        <v>0</v>
      </c>
      <c r="G301">
        <f t="shared" si="17"/>
        <v>0</v>
      </c>
    </row>
    <row r="302" spans="1:7" hidden="1" x14ac:dyDescent="0.25">
      <c r="A302" s="44" t="s">
        <v>1528</v>
      </c>
      <c r="B302" s="305" t="s">
        <v>1530</v>
      </c>
      <c r="C302" s="14"/>
      <c r="D302" s="14"/>
      <c r="E302" s="15"/>
      <c r="F302" s="16"/>
      <c r="G302">
        <f t="shared" si="17"/>
        <v>0</v>
      </c>
    </row>
    <row r="303" spans="1:7" hidden="1" x14ac:dyDescent="0.25">
      <c r="A303" s="43" t="s">
        <v>1540</v>
      </c>
      <c r="B303" s="303" t="s">
        <v>1550</v>
      </c>
      <c r="C303" s="14" t="s">
        <v>37</v>
      </c>
      <c r="D303" s="14"/>
      <c r="E303" s="15"/>
      <c r="F303" s="16">
        <f t="shared" ref="F303:F311" si="21">+D303*E303</f>
        <v>0</v>
      </c>
      <c r="G303">
        <f t="shared" si="17"/>
        <v>0</v>
      </c>
    </row>
    <row r="304" spans="1:7" hidden="1" x14ac:dyDescent="0.25">
      <c r="A304" s="43" t="s">
        <v>1559</v>
      </c>
      <c r="B304" s="303" t="s">
        <v>1551</v>
      </c>
      <c r="C304" s="14" t="s">
        <v>37</v>
      </c>
      <c r="D304" s="14"/>
      <c r="E304" s="15"/>
      <c r="F304" s="16">
        <f t="shared" si="21"/>
        <v>0</v>
      </c>
      <c r="G304">
        <f t="shared" si="17"/>
        <v>0</v>
      </c>
    </row>
    <row r="305" spans="1:7" hidden="1" x14ac:dyDescent="0.25">
      <c r="A305" s="43" t="s">
        <v>1560</v>
      </c>
      <c r="B305" s="303" t="s">
        <v>1552</v>
      </c>
      <c r="C305" s="14" t="s">
        <v>37</v>
      </c>
      <c r="D305" s="14"/>
      <c r="E305" s="15"/>
      <c r="F305" s="16">
        <f t="shared" si="21"/>
        <v>0</v>
      </c>
      <c r="G305">
        <f t="shared" si="17"/>
        <v>0</v>
      </c>
    </row>
    <row r="306" spans="1:7" hidden="1" x14ac:dyDescent="0.25">
      <c r="A306" s="43" t="s">
        <v>1561</v>
      </c>
      <c r="B306" s="303" t="s">
        <v>1553</v>
      </c>
      <c r="C306" s="14" t="s">
        <v>37</v>
      </c>
      <c r="D306" s="14"/>
      <c r="E306" s="15"/>
      <c r="F306" s="16">
        <f t="shared" si="21"/>
        <v>0</v>
      </c>
      <c r="G306">
        <f t="shared" si="17"/>
        <v>0</v>
      </c>
    </row>
    <row r="307" spans="1:7" hidden="1" x14ac:dyDescent="0.25">
      <c r="A307" s="43" t="s">
        <v>1562</v>
      </c>
      <c r="B307" s="303" t="s">
        <v>1554</v>
      </c>
      <c r="C307" s="14" t="s">
        <v>37</v>
      </c>
      <c r="D307" s="14"/>
      <c r="E307" s="15"/>
      <c r="F307" s="16">
        <f t="shared" si="21"/>
        <v>0</v>
      </c>
      <c r="G307">
        <f t="shared" si="17"/>
        <v>0</v>
      </c>
    </row>
    <row r="308" spans="1:7" hidden="1" x14ac:dyDescent="0.25">
      <c r="A308" s="43" t="s">
        <v>1563</v>
      </c>
      <c r="B308" s="303" t="s">
        <v>1555</v>
      </c>
      <c r="C308" s="14" t="s">
        <v>37</v>
      </c>
      <c r="D308" s="14"/>
      <c r="E308" s="15"/>
      <c r="F308" s="16">
        <f t="shared" si="21"/>
        <v>0</v>
      </c>
      <c r="G308">
        <f t="shared" si="17"/>
        <v>0</v>
      </c>
    </row>
    <row r="309" spans="1:7" hidden="1" x14ac:dyDescent="0.25">
      <c r="A309" s="43" t="s">
        <v>1564</v>
      </c>
      <c r="B309" s="303" t="s">
        <v>1556</v>
      </c>
      <c r="C309" s="14" t="s">
        <v>37</v>
      </c>
      <c r="D309" s="14"/>
      <c r="E309" s="15"/>
      <c r="F309" s="16">
        <f t="shared" si="21"/>
        <v>0</v>
      </c>
      <c r="G309">
        <f t="shared" si="17"/>
        <v>0</v>
      </c>
    </row>
    <row r="310" spans="1:7" hidden="1" x14ac:dyDescent="0.25">
      <c r="A310" s="43" t="s">
        <v>1565</v>
      </c>
      <c r="B310" s="303" t="s">
        <v>1557</v>
      </c>
      <c r="C310" s="14" t="s">
        <v>37</v>
      </c>
      <c r="D310" s="14"/>
      <c r="E310" s="15"/>
      <c r="F310" s="16">
        <f t="shared" si="21"/>
        <v>0</v>
      </c>
      <c r="G310">
        <f t="shared" si="17"/>
        <v>0</v>
      </c>
    </row>
    <row r="311" spans="1:7" hidden="1" x14ac:dyDescent="0.25">
      <c r="A311" s="43" t="s">
        <v>1566</v>
      </c>
      <c r="B311" s="303" t="s">
        <v>1558</v>
      </c>
      <c r="C311" s="14" t="s">
        <v>37</v>
      </c>
      <c r="D311" s="14"/>
      <c r="E311" s="15"/>
      <c r="F311" s="16">
        <f t="shared" si="21"/>
        <v>0</v>
      </c>
      <c r="G311">
        <f t="shared" si="17"/>
        <v>0</v>
      </c>
    </row>
    <row r="312" spans="1:7" hidden="1" x14ac:dyDescent="0.25">
      <c r="A312" s="65" t="s">
        <v>1529</v>
      </c>
      <c r="B312" s="66" t="s">
        <v>1640</v>
      </c>
      <c r="C312" s="67"/>
      <c r="D312" s="14"/>
      <c r="E312" s="15"/>
      <c r="F312" s="16"/>
      <c r="G312">
        <f t="shared" si="17"/>
        <v>0</v>
      </c>
    </row>
    <row r="313" spans="1:7" hidden="1" x14ac:dyDescent="0.25">
      <c r="A313" s="71" t="s">
        <v>939</v>
      </c>
      <c r="B313" s="83" t="s">
        <v>1567</v>
      </c>
      <c r="C313" s="67" t="s">
        <v>37</v>
      </c>
      <c r="D313" s="14"/>
      <c r="E313" s="15"/>
      <c r="F313" s="16">
        <f>+D313*E313</f>
        <v>0</v>
      </c>
      <c r="G313">
        <f t="shared" si="17"/>
        <v>0</v>
      </c>
    </row>
    <row r="314" spans="1:7" hidden="1" x14ac:dyDescent="0.25">
      <c r="A314" s="71" t="s">
        <v>940</v>
      </c>
      <c r="B314" s="83" t="s">
        <v>1568</v>
      </c>
      <c r="C314" s="67" t="s">
        <v>37</v>
      </c>
      <c r="D314" s="14"/>
      <c r="E314" s="15"/>
      <c r="F314" s="16">
        <f>+D314*E314</f>
        <v>0</v>
      </c>
      <c r="G314">
        <f t="shared" si="17"/>
        <v>0</v>
      </c>
    </row>
    <row r="315" spans="1:7" hidden="1" x14ac:dyDescent="0.25">
      <c r="A315" s="71" t="s">
        <v>1376</v>
      </c>
      <c r="B315" s="83" t="s">
        <v>1638</v>
      </c>
      <c r="C315" s="67" t="s">
        <v>37</v>
      </c>
      <c r="D315" s="14"/>
      <c r="E315" s="15"/>
      <c r="F315" s="16">
        <f>+D315*E315</f>
        <v>0</v>
      </c>
      <c r="G315">
        <f t="shared" si="17"/>
        <v>0</v>
      </c>
    </row>
    <row r="316" spans="1:7" hidden="1" x14ac:dyDescent="0.25">
      <c r="A316" s="71" t="s">
        <v>1377</v>
      </c>
      <c r="B316" s="83" t="s">
        <v>1639</v>
      </c>
      <c r="C316" s="67" t="s">
        <v>37</v>
      </c>
      <c r="D316" s="14"/>
      <c r="E316" s="15"/>
      <c r="F316" s="16">
        <f>+D316*E316</f>
        <v>0</v>
      </c>
      <c r="G316">
        <f t="shared" si="17"/>
        <v>0</v>
      </c>
    </row>
    <row r="317" spans="1:7" hidden="1" x14ac:dyDescent="0.25">
      <c r="A317" s="65" t="s">
        <v>946</v>
      </c>
      <c r="B317" s="84" t="s">
        <v>942</v>
      </c>
      <c r="C317" s="67"/>
      <c r="D317" s="14"/>
      <c r="E317" s="15"/>
      <c r="F317" s="16"/>
      <c r="G317">
        <f t="shared" si="17"/>
        <v>0</v>
      </c>
    </row>
    <row r="318" spans="1:7" hidden="1" x14ac:dyDescent="0.25">
      <c r="A318" s="65" t="s">
        <v>947</v>
      </c>
      <c r="B318" s="84" t="s">
        <v>1569</v>
      </c>
      <c r="C318" s="67"/>
      <c r="D318" s="14"/>
      <c r="E318" s="15"/>
      <c r="F318" s="16"/>
      <c r="G318">
        <f t="shared" si="17"/>
        <v>0</v>
      </c>
    </row>
    <row r="319" spans="1:7" hidden="1" x14ac:dyDescent="0.25">
      <c r="A319" s="71" t="s">
        <v>1579</v>
      </c>
      <c r="B319" s="83" t="s">
        <v>1571</v>
      </c>
      <c r="C319" s="14" t="s">
        <v>37</v>
      </c>
      <c r="D319" s="14"/>
      <c r="E319" s="15"/>
      <c r="F319" s="16">
        <f t="shared" ref="F319:F327" si="22">+D319*E319</f>
        <v>0</v>
      </c>
      <c r="G319">
        <f t="shared" si="17"/>
        <v>0</v>
      </c>
    </row>
    <row r="320" spans="1:7" hidden="1" x14ac:dyDescent="0.25">
      <c r="A320" s="71" t="s">
        <v>1580</v>
      </c>
      <c r="B320" s="83" t="s">
        <v>1572</v>
      </c>
      <c r="C320" s="14" t="s">
        <v>37</v>
      </c>
      <c r="D320" s="14"/>
      <c r="E320" s="15"/>
      <c r="F320" s="16">
        <f t="shared" si="22"/>
        <v>0</v>
      </c>
      <c r="G320">
        <f t="shared" si="17"/>
        <v>0</v>
      </c>
    </row>
    <row r="321" spans="1:7" hidden="1" x14ac:dyDescent="0.25">
      <c r="A321" s="71" t="s">
        <v>1581</v>
      </c>
      <c r="B321" s="83" t="s">
        <v>1570</v>
      </c>
      <c r="C321" s="14" t="s">
        <v>37</v>
      </c>
      <c r="D321" s="14"/>
      <c r="E321" s="15"/>
      <c r="F321" s="16">
        <f t="shared" si="22"/>
        <v>0</v>
      </c>
      <c r="G321">
        <f t="shared" si="17"/>
        <v>0</v>
      </c>
    </row>
    <row r="322" spans="1:7" hidden="1" x14ac:dyDescent="0.25">
      <c r="A322" s="71" t="s">
        <v>1582</v>
      </c>
      <c r="B322" s="83" t="s">
        <v>1573</v>
      </c>
      <c r="C322" s="14" t="s">
        <v>37</v>
      </c>
      <c r="D322" s="14"/>
      <c r="E322" s="15"/>
      <c r="F322" s="16">
        <f t="shared" si="22"/>
        <v>0</v>
      </c>
      <c r="G322">
        <f t="shared" si="17"/>
        <v>0</v>
      </c>
    </row>
    <row r="323" spans="1:7" hidden="1" x14ac:dyDescent="0.25">
      <c r="A323" s="71" t="s">
        <v>1583</v>
      </c>
      <c r="B323" s="83" t="s">
        <v>1574</v>
      </c>
      <c r="C323" s="14" t="s">
        <v>37</v>
      </c>
      <c r="D323" s="14"/>
      <c r="E323" s="15"/>
      <c r="F323" s="16">
        <f t="shared" si="22"/>
        <v>0</v>
      </c>
      <c r="G323">
        <f t="shared" si="17"/>
        <v>0</v>
      </c>
    </row>
    <row r="324" spans="1:7" hidden="1" x14ac:dyDescent="0.25">
      <c r="A324" s="71" t="s">
        <v>1584</v>
      </c>
      <c r="B324" s="83" t="s">
        <v>1575</v>
      </c>
      <c r="C324" s="14" t="s">
        <v>37</v>
      </c>
      <c r="D324" s="14"/>
      <c r="E324" s="15"/>
      <c r="F324" s="16">
        <f t="shared" si="22"/>
        <v>0</v>
      </c>
      <c r="G324">
        <f t="shared" si="17"/>
        <v>0</v>
      </c>
    </row>
    <row r="325" spans="1:7" hidden="1" x14ac:dyDescent="0.25">
      <c r="A325" s="71" t="s">
        <v>1585</v>
      </c>
      <c r="B325" s="83" t="s">
        <v>1576</v>
      </c>
      <c r="C325" s="14" t="s">
        <v>37</v>
      </c>
      <c r="D325" s="14"/>
      <c r="E325" s="15"/>
      <c r="F325" s="16">
        <f t="shared" si="22"/>
        <v>0</v>
      </c>
      <c r="G325">
        <f t="shared" si="17"/>
        <v>0</v>
      </c>
    </row>
    <row r="326" spans="1:7" hidden="1" x14ac:dyDescent="0.25">
      <c r="A326" s="71" t="s">
        <v>1586</v>
      </c>
      <c r="B326" s="83" t="s">
        <v>1577</v>
      </c>
      <c r="C326" s="14" t="s">
        <v>37</v>
      </c>
      <c r="D326" s="14"/>
      <c r="E326" s="15"/>
      <c r="F326" s="16">
        <f t="shared" si="22"/>
        <v>0</v>
      </c>
      <c r="G326">
        <f t="shared" si="17"/>
        <v>0</v>
      </c>
    </row>
    <row r="327" spans="1:7" hidden="1" x14ac:dyDescent="0.25">
      <c r="A327" s="71" t="s">
        <v>1649</v>
      </c>
      <c r="B327" s="83" t="s">
        <v>1578</v>
      </c>
      <c r="C327" s="14" t="s">
        <v>37</v>
      </c>
      <c r="D327" s="14"/>
      <c r="E327" s="15"/>
      <c r="F327" s="16">
        <f t="shared" si="22"/>
        <v>0</v>
      </c>
      <c r="G327">
        <f t="shared" si="17"/>
        <v>0</v>
      </c>
    </row>
    <row r="328" spans="1:7" hidden="1" x14ac:dyDescent="0.25">
      <c r="A328" s="65" t="s">
        <v>1642</v>
      </c>
      <c r="B328" s="84" t="s">
        <v>1641</v>
      </c>
      <c r="C328" s="67"/>
      <c r="D328" s="14"/>
      <c r="E328" s="15"/>
      <c r="F328" s="16"/>
      <c r="G328">
        <f t="shared" si="17"/>
        <v>0</v>
      </c>
    </row>
    <row r="329" spans="1:7" hidden="1" x14ac:dyDescent="0.25">
      <c r="A329" s="43" t="s">
        <v>1596</v>
      </c>
      <c r="B329" s="83" t="s">
        <v>1643</v>
      </c>
      <c r="C329" s="14" t="s">
        <v>37</v>
      </c>
      <c r="D329" s="14"/>
      <c r="E329" s="15"/>
      <c r="F329" s="16">
        <f t="shared" ref="F329:F334" si="23">+D329*E329</f>
        <v>0</v>
      </c>
      <c r="G329">
        <f t="shared" ref="G329:G392" si="24">+IF(F329&lt;&gt;0,1,0)</f>
        <v>0</v>
      </c>
    </row>
    <row r="330" spans="1:7" hidden="1" x14ac:dyDescent="0.25">
      <c r="A330" s="43" t="s">
        <v>1597</v>
      </c>
      <c r="B330" s="83" t="s">
        <v>1644</v>
      </c>
      <c r="C330" s="14" t="s">
        <v>37</v>
      </c>
      <c r="D330" s="14"/>
      <c r="E330" s="15"/>
      <c r="F330" s="16">
        <f t="shared" si="23"/>
        <v>0</v>
      </c>
      <c r="G330">
        <f t="shared" si="24"/>
        <v>0</v>
      </c>
    </row>
    <row r="331" spans="1:7" hidden="1" x14ac:dyDescent="0.25">
      <c r="A331" s="43" t="s">
        <v>1598</v>
      </c>
      <c r="B331" s="83" t="s">
        <v>1648</v>
      </c>
      <c r="C331" s="14" t="s">
        <v>37</v>
      </c>
      <c r="D331" s="14"/>
      <c r="E331" s="15"/>
      <c r="F331" s="16">
        <f t="shared" si="23"/>
        <v>0</v>
      </c>
      <c r="G331">
        <f t="shared" si="24"/>
        <v>0</v>
      </c>
    </row>
    <row r="332" spans="1:7" hidden="1" x14ac:dyDescent="0.25">
      <c r="A332" s="43" t="s">
        <v>1599</v>
      </c>
      <c r="B332" s="83" t="s">
        <v>1645</v>
      </c>
      <c r="C332" s="14" t="s">
        <v>37</v>
      </c>
      <c r="D332" s="14"/>
      <c r="E332" s="15"/>
      <c r="F332" s="16">
        <f t="shared" si="23"/>
        <v>0</v>
      </c>
      <c r="G332">
        <f t="shared" si="24"/>
        <v>0</v>
      </c>
    </row>
    <row r="333" spans="1:7" hidden="1" x14ac:dyDescent="0.25">
      <c r="A333" s="43" t="s">
        <v>1600</v>
      </c>
      <c r="B333" s="83" t="s">
        <v>1646</v>
      </c>
      <c r="C333" s="14" t="s">
        <v>37</v>
      </c>
      <c r="D333" s="14"/>
      <c r="E333" s="15"/>
      <c r="F333" s="16">
        <f t="shared" si="23"/>
        <v>0</v>
      </c>
      <c r="G333">
        <f t="shared" si="24"/>
        <v>0</v>
      </c>
    </row>
    <row r="334" spans="1:7" hidden="1" x14ac:dyDescent="0.25">
      <c r="A334" s="43" t="s">
        <v>1601</v>
      </c>
      <c r="B334" s="83" t="s">
        <v>1647</v>
      </c>
      <c r="C334" s="14" t="s">
        <v>37</v>
      </c>
      <c r="D334" s="14"/>
      <c r="E334" s="15"/>
      <c r="F334" s="16">
        <f t="shared" si="23"/>
        <v>0</v>
      </c>
      <c r="G334">
        <f t="shared" si="24"/>
        <v>0</v>
      </c>
    </row>
    <row r="335" spans="1:7" hidden="1" x14ac:dyDescent="0.25">
      <c r="A335" s="44" t="s">
        <v>1650</v>
      </c>
      <c r="B335" s="80" t="s">
        <v>1587</v>
      </c>
      <c r="C335" s="14"/>
      <c r="D335" s="14"/>
      <c r="E335" s="15"/>
      <c r="F335" s="16"/>
      <c r="G335">
        <f t="shared" si="24"/>
        <v>0</v>
      </c>
    </row>
    <row r="336" spans="1:7" hidden="1" x14ac:dyDescent="0.25">
      <c r="A336" s="43" t="s">
        <v>1602</v>
      </c>
      <c r="B336" s="81" t="s">
        <v>1588</v>
      </c>
      <c r="C336" s="14" t="s">
        <v>37</v>
      </c>
      <c r="D336" s="14"/>
      <c r="E336" s="15"/>
      <c r="F336" s="16">
        <f t="shared" ref="F336:F343" si="25">+D336*E336</f>
        <v>0</v>
      </c>
      <c r="G336">
        <f t="shared" si="24"/>
        <v>0</v>
      </c>
    </row>
    <row r="337" spans="1:7" hidden="1" x14ac:dyDescent="0.25">
      <c r="A337" s="43" t="s">
        <v>1610</v>
      </c>
      <c r="B337" s="81" t="s">
        <v>1618</v>
      </c>
      <c r="C337" s="14" t="s">
        <v>37</v>
      </c>
      <c r="D337" s="14"/>
      <c r="E337" s="15"/>
      <c r="F337" s="16">
        <f t="shared" si="25"/>
        <v>0</v>
      </c>
      <c r="G337">
        <f t="shared" si="24"/>
        <v>0</v>
      </c>
    </row>
    <row r="338" spans="1:7" hidden="1" x14ac:dyDescent="0.25">
      <c r="A338" s="43" t="s">
        <v>1611</v>
      </c>
      <c r="B338" s="81" t="s">
        <v>1589</v>
      </c>
      <c r="C338" s="14" t="s">
        <v>37</v>
      </c>
      <c r="D338" s="14"/>
      <c r="E338" s="15"/>
      <c r="F338" s="16">
        <f t="shared" si="25"/>
        <v>0</v>
      </c>
      <c r="G338">
        <f t="shared" si="24"/>
        <v>0</v>
      </c>
    </row>
    <row r="339" spans="1:7" hidden="1" x14ac:dyDescent="0.25">
      <c r="A339" s="43" t="s">
        <v>1612</v>
      </c>
      <c r="B339" s="81" t="s">
        <v>1590</v>
      </c>
      <c r="C339" s="14" t="s">
        <v>37</v>
      </c>
      <c r="D339" s="14"/>
      <c r="E339" s="15"/>
      <c r="F339" s="16">
        <f t="shared" si="25"/>
        <v>0</v>
      </c>
      <c r="G339">
        <f t="shared" si="24"/>
        <v>0</v>
      </c>
    </row>
    <row r="340" spans="1:7" hidden="1" x14ac:dyDescent="0.25">
      <c r="A340" s="43" t="s">
        <v>1613</v>
      </c>
      <c r="B340" s="81" t="s">
        <v>1591</v>
      </c>
      <c r="C340" s="14" t="s">
        <v>37</v>
      </c>
      <c r="D340" s="14"/>
      <c r="E340" s="15"/>
      <c r="F340" s="16">
        <f t="shared" si="25"/>
        <v>0</v>
      </c>
      <c r="G340">
        <f t="shared" si="24"/>
        <v>0</v>
      </c>
    </row>
    <row r="341" spans="1:7" hidden="1" x14ac:dyDescent="0.25">
      <c r="A341" s="43" t="s">
        <v>1614</v>
      </c>
      <c r="B341" s="81" t="s">
        <v>1592</v>
      </c>
      <c r="C341" s="14" t="s">
        <v>37</v>
      </c>
      <c r="D341" s="14"/>
      <c r="E341" s="15"/>
      <c r="F341" s="16">
        <f t="shared" si="25"/>
        <v>0</v>
      </c>
      <c r="G341">
        <f t="shared" si="24"/>
        <v>0</v>
      </c>
    </row>
    <row r="342" spans="1:7" hidden="1" x14ac:dyDescent="0.25">
      <c r="A342" s="43" t="s">
        <v>1615</v>
      </c>
      <c r="B342" s="81" t="s">
        <v>1593</v>
      </c>
      <c r="C342" s="14" t="s">
        <v>37</v>
      </c>
      <c r="D342" s="14"/>
      <c r="E342" s="15"/>
      <c r="F342" s="16">
        <f t="shared" si="25"/>
        <v>0</v>
      </c>
      <c r="G342">
        <f t="shared" si="24"/>
        <v>0</v>
      </c>
    </row>
    <row r="343" spans="1:7" hidden="1" x14ac:dyDescent="0.25">
      <c r="A343" s="43" t="s">
        <v>1620</v>
      </c>
      <c r="B343" s="81" t="s">
        <v>1594</v>
      </c>
      <c r="C343" s="14" t="s">
        <v>37</v>
      </c>
      <c r="D343" s="14"/>
      <c r="E343" s="15"/>
      <c r="F343" s="16">
        <f t="shared" si="25"/>
        <v>0</v>
      </c>
      <c r="G343">
        <f t="shared" si="24"/>
        <v>0</v>
      </c>
    </row>
    <row r="344" spans="1:7" hidden="1" x14ac:dyDescent="0.25">
      <c r="A344" s="78" t="s">
        <v>1616</v>
      </c>
      <c r="B344" s="80" t="s">
        <v>1595</v>
      </c>
      <c r="C344" s="14"/>
      <c r="D344" s="14"/>
      <c r="E344" s="15"/>
      <c r="F344" s="16"/>
      <c r="G344">
        <f t="shared" si="24"/>
        <v>0</v>
      </c>
    </row>
    <row r="345" spans="1:7" hidden="1" x14ac:dyDescent="0.25">
      <c r="A345" s="85" t="s">
        <v>1621</v>
      </c>
      <c r="B345" s="81" t="s">
        <v>1603</v>
      </c>
      <c r="C345" s="14" t="s">
        <v>37</v>
      </c>
      <c r="D345" s="14"/>
      <c r="E345" s="15"/>
      <c r="F345" s="16">
        <f t="shared" ref="F345:F353" si="26">+D345*E345</f>
        <v>0</v>
      </c>
      <c r="G345">
        <f t="shared" si="24"/>
        <v>0</v>
      </c>
    </row>
    <row r="346" spans="1:7" hidden="1" x14ac:dyDescent="0.25">
      <c r="A346" s="85" t="s">
        <v>1622</v>
      </c>
      <c r="B346" s="81" t="s">
        <v>1619</v>
      </c>
      <c r="C346" s="14" t="s">
        <v>37</v>
      </c>
      <c r="D346" s="14"/>
      <c r="E346" s="15"/>
      <c r="F346" s="16">
        <f t="shared" si="26"/>
        <v>0</v>
      </c>
      <c r="G346">
        <f t="shared" si="24"/>
        <v>0</v>
      </c>
    </row>
    <row r="347" spans="1:7" hidden="1" x14ac:dyDescent="0.25">
      <c r="A347" s="85" t="s">
        <v>1623</v>
      </c>
      <c r="B347" s="81" t="s">
        <v>1604</v>
      </c>
      <c r="C347" s="14" t="s">
        <v>37</v>
      </c>
      <c r="D347" s="14"/>
      <c r="E347" s="15"/>
      <c r="F347" s="16">
        <f t="shared" si="26"/>
        <v>0</v>
      </c>
      <c r="G347">
        <f t="shared" si="24"/>
        <v>0</v>
      </c>
    </row>
    <row r="348" spans="1:7" hidden="1" x14ac:dyDescent="0.25">
      <c r="A348" s="85" t="s">
        <v>1624</v>
      </c>
      <c r="B348" s="81" t="s">
        <v>1605</v>
      </c>
      <c r="C348" s="14" t="s">
        <v>37</v>
      </c>
      <c r="D348" s="14"/>
      <c r="E348" s="15"/>
      <c r="F348" s="16">
        <f t="shared" si="26"/>
        <v>0</v>
      </c>
      <c r="G348">
        <f t="shared" si="24"/>
        <v>0</v>
      </c>
    </row>
    <row r="349" spans="1:7" hidden="1" x14ac:dyDescent="0.25">
      <c r="A349" s="85" t="s">
        <v>1625</v>
      </c>
      <c r="B349" s="81" t="s">
        <v>1606</v>
      </c>
      <c r="C349" s="14" t="s">
        <v>37</v>
      </c>
      <c r="D349" s="14"/>
      <c r="E349" s="15"/>
      <c r="F349" s="16">
        <f t="shared" si="26"/>
        <v>0</v>
      </c>
      <c r="G349">
        <f t="shared" si="24"/>
        <v>0</v>
      </c>
    </row>
    <row r="350" spans="1:7" hidden="1" x14ac:dyDescent="0.25">
      <c r="A350" s="85" t="s">
        <v>1626</v>
      </c>
      <c r="B350" s="81" t="s">
        <v>1607</v>
      </c>
      <c r="C350" s="14" t="s">
        <v>37</v>
      </c>
      <c r="D350" s="14"/>
      <c r="E350" s="15"/>
      <c r="F350" s="16">
        <f t="shared" si="26"/>
        <v>0</v>
      </c>
      <c r="G350">
        <f t="shared" si="24"/>
        <v>0</v>
      </c>
    </row>
    <row r="351" spans="1:7" hidden="1" x14ac:dyDescent="0.25">
      <c r="A351" s="85" t="s">
        <v>1627</v>
      </c>
      <c r="B351" s="81" t="s">
        <v>1609</v>
      </c>
      <c r="C351" s="14" t="s">
        <v>37</v>
      </c>
      <c r="D351" s="14"/>
      <c r="E351" s="15"/>
      <c r="F351" s="16">
        <f t="shared" si="26"/>
        <v>0</v>
      </c>
      <c r="G351">
        <f t="shared" si="24"/>
        <v>0</v>
      </c>
    </row>
    <row r="352" spans="1:7" hidden="1" x14ac:dyDescent="0.25">
      <c r="A352" s="85" t="s">
        <v>1628</v>
      </c>
      <c r="B352" s="81" t="s">
        <v>1608</v>
      </c>
      <c r="C352" s="14" t="s">
        <v>37</v>
      </c>
      <c r="D352" s="14"/>
      <c r="E352" s="15"/>
      <c r="F352" s="16">
        <f t="shared" si="26"/>
        <v>0</v>
      </c>
      <c r="G352">
        <f t="shared" si="24"/>
        <v>0</v>
      </c>
    </row>
    <row r="353" spans="1:7" hidden="1" x14ac:dyDescent="0.25">
      <c r="A353" s="110" t="s">
        <v>1652</v>
      </c>
      <c r="B353" s="109" t="s">
        <v>1637</v>
      </c>
      <c r="C353" s="14" t="s">
        <v>37</v>
      </c>
      <c r="D353" s="14"/>
      <c r="E353" s="15"/>
      <c r="F353" s="16">
        <f t="shared" si="26"/>
        <v>0</v>
      </c>
      <c r="G353">
        <f t="shared" si="24"/>
        <v>0</v>
      </c>
    </row>
    <row r="354" spans="1:7" hidden="1" x14ac:dyDescent="0.25">
      <c r="A354" s="78" t="s">
        <v>1651</v>
      </c>
      <c r="B354" s="80" t="s">
        <v>1617</v>
      </c>
      <c r="C354" s="14"/>
      <c r="D354" s="14"/>
      <c r="E354" s="15"/>
      <c r="F354" s="16"/>
      <c r="G354">
        <f t="shared" si="24"/>
        <v>0</v>
      </c>
    </row>
    <row r="355" spans="1:7" hidden="1" x14ac:dyDescent="0.25">
      <c r="A355" s="85" t="s">
        <v>1653</v>
      </c>
      <c r="B355" s="81" t="s">
        <v>1629</v>
      </c>
      <c r="C355" s="14" t="s">
        <v>37</v>
      </c>
      <c r="D355" s="14"/>
      <c r="E355" s="15"/>
      <c r="F355" s="16">
        <f t="shared" ref="F355:F362" si="27">+D355*E355</f>
        <v>0</v>
      </c>
      <c r="G355">
        <f t="shared" si="24"/>
        <v>0</v>
      </c>
    </row>
    <row r="356" spans="1:7" hidden="1" x14ac:dyDescent="0.25">
      <c r="A356" s="85" t="s">
        <v>1654</v>
      </c>
      <c r="B356" s="81" t="s">
        <v>1630</v>
      </c>
      <c r="C356" s="14" t="s">
        <v>37</v>
      </c>
      <c r="D356" s="14"/>
      <c r="E356" s="15"/>
      <c r="F356" s="16">
        <f t="shared" si="27"/>
        <v>0</v>
      </c>
      <c r="G356">
        <f t="shared" si="24"/>
        <v>0</v>
      </c>
    </row>
    <row r="357" spans="1:7" hidden="1" x14ac:dyDescent="0.25">
      <c r="A357" s="85" t="s">
        <v>1655</v>
      </c>
      <c r="B357" s="81" t="s">
        <v>1631</v>
      </c>
      <c r="C357" s="14" t="s">
        <v>37</v>
      </c>
      <c r="D357" s="14"/>
      <c r="E357" s="15"/>
      <c r="F357" s="16">
        <f t="shared" si="27"/>
        <v>0</v>
      </c>
      <c r="G357">
        <f t="shared" si="24"/>
        <v>0</v>
      </c>
    </row>
    <row r="358" spans="1:7" hidden="1" x14ac:dyDescent="0.25">
      <c r="A358" s="85" t="s">
        <v>1656</v>
      </c>
      <c r="B358" s="81" t="s">
        <v>1632</v>
      </c>
      <c r="C358" s="14" t="s">
        <v>37</v>
      </c>
      <c r="D358" s="14"/>
      <c r="E358" s="15"/>
      <c r="F358" s="16">
        <f t="shared" si="27"/>
        <v>0</v>
      </c>
      <c r="G358">
        <f t="shared" si="24"/>
        <v>0</v>
      </c>
    </row>
    <row r="359" spans="1:7" hidden="1" x14ac:dyDescent="0.25">
      <c r="A359" s="85" t="s">
        <v>1657</v>
      </c>
      <c r="B359" s="81" t="s">
        <v>1633</v>
      </c>
      <c r="C359" s="14" t="s">
        <v>37</v>
      </c>
      <c r="D359" s="14"/>
      <c r="E359" s="15"/>
      <c r="F359" s="16">
        <f t="shared" si="27"/>
        <v>0</v>
      </c>
      <c r="G359">
        <f t="shared" si="24"/>
        <v>0</v>
      </c>
    </row>
    <row r="360" spans="1:7" hidden="1" x14ac:dyDescent="0.25">
      <c r="A360" s="85" t="s">
        <v>1658</v>
      </c>
      <c r="B360" s="81" t="s">
        <v>1634</v>
      </c>
      <c r="C360" s="14" t="s">
        <v>37</v>
      </c>
      <c r="D360" s="14"/>
      <c r="E360" s="15"/>
      <c r="F360" s="16">
        <f t="shared" si="27"/>
        <v>0</v>
      </c>
      <c r="G360">
        <f t="shared" si="24"/>
        <v>0</v>
      </c>
    </row>
    <row r="361" spans="1:7" hidden="1" x14ac:dyDescent="0.25">
      <c r="A361" s="85" t="s">
        <v>1659</v>
      </c>
      <c r="B361" s="81" t="s">
        <v>1635</v>
      </c>
      <c r="C361" s="14" t="s">
        <v>37</v>
      </c>
      <c r="D361" s="14"/>
      <c r="E361" s="15"/>
      <c r="F361" s="16">
        <f t="shared" si="27"/>
        <v>0</v>
      </c>
      <c r="G361">
        <f t="shared" si="24"/>
        <v>0</v>
      </c>
    </row>
    <row r="362" spans="1:7" hidden="1" x14ac:dyDescent="0.25">
      <c r="A362" s="85" t="s">
        <v>1660</v>
      </c>
      <c r="B362" s="81" t="s">
        <v>1636</v>
      </c>
      <c r="C362" s="14" t="s">
        <v>37</v>
      </c>
      <c r="D362" s="14"/>
      <c r="E362" s="15"/>
      <c r="F362" s="16">
        <f t="shared" si="27"/>
        <v>0</v>
      </c>
      <c r="G362">
        <f t="shared" si="24"/>
        <v>0</v>
      </c>
    </row>
    <row r="363" spans="1:7" hidden="1" x14ac:dyDescent="0.25">
      <c r="A363" s="78" t="s">
        <v>1661</v>
      </c>
      <c r="B363" s="80" t="s">
        <v>1662</v>
      </c>
      <c r="C363" s="14"/>
      <c r="D363" s="14"/>
      <c r="E363" s="15"/>
      <c r="F363" s="16"/>
      <c r="G363">
        <f t="shared" si="24"/>
        <v>0</v>
      </c>
    </row>
    <row r="364" spans="1:7" hidden="1" x14ac:dyDescent="0.25">
      <c r="A364" s="85" t="s">
        <v>1663</v>
      </c>
      <c r="B364" s="81" t="s">
        <v>1664</v>
      </c>
      <c r="C364" s="14" t="s">
        <v>37</v>
      </c>
      <c r="D364" s="14"/>
      <c r="E364" s="15"/>
      <c r="F364" s="16">
        <f t="shared" ref="F364:F369" si="28">+D364*E364</f>
        <v>0</v>
      </c>
      <c r="G364">
        <f t="shared" si="24"/>
        <v>0</v>
      </c>
    </row>
    <row r="365" spans="1:7" hidden="1" x14ac:dyDescent="0.25">
      <c r="A365" s="85" t="s">
        <v>1670</v>
      </c>
      <c r="B365" s="81" t="s">
        <v>1665</v>
      </c>
      <c r="C365" s="14" t="s">
        <v>37</v>
      </c>
      <c r="D365" s="14"/>
      <c r="E365" s="15"/>
      <c r="F365" s="16">
        <f t="shared" si="28"/>
        <v>0</v>
      </c>
      <c r="G365">
        <f t="shared" si="24"/>
        <v>0</v>
      </c>
    </row>
    <row r="366" spans="1:7" hidden="1" x14ac:dyDescent="0.25">
      <c r="A366" s="85" t="s">
        <v>1671</v>
      </c>
      <c r="B366" s="81" t="s">
        <v>1666</v>
      </c>
      <c r="C366" s="14" t="s">
        <v>37</v>
      </c>
      <c r="D366" s="14"/>
      <c r="E366" s="15"/>
      <c r="F366" s="16">
        <f t="shared" si="28"/>
        <v>0</v>
      </c>
      <c r="G366">
        <f t="shared" si="24"/>
        <v>0</v>
      </c>
    </row>
    <row r="367" spans="1:7" hidden="1" x14ac:dyDescent="0.25">
      <c r="A367" s="85" t="s">
        <v>1672</v>
      </c>
      <c r="B367" s="81" t="s">
        <v>1667</v>
      </c>
      <c r="C367" s="14" t="s">
        <v>37</v>
      </c>
      <c r="D367" s="14"/>
      <c r="E367" s="15"/>
      <c r="F367" s="16">
        <f t="shared" si="28"/>
        <v>0</v>
      </c>
      <c r="G367">
        <f t="shared" si="24"/>
        <v>0</v>
      </c>
    </row>
    <row r="368" spans="1:7" hidden="1" x14ac:dyDescent="0.25">
      <c r="A368" s="85" t="s">
        <v>1673</v>
      </c>
      <c r="B368" s="81" t="s">
        <v>1668</v>
      </c>
      <c r="C368" s="14" t="s">
        <v>37</v>
      </c>
      <c r="D368" s="14"/>
      <c r="E368" s="15"/>
      <c r="F368" s="16">
        <f t="shared" si="28"/>
        <v>0</v>
      </c>
      <c r="G368">
        <f t="shared" si="24"/>
        <v>0</v>
      </c>
    </row>
    <row r="369" spans="1:7" hidden="1" x14ac:dyDescent="0.25">
      <c r="A369" s="85" t="s">
        <v>1674</v>
      </c>
      <c r="B369" s="81" t="s">
        <v>1669</v>
      </c>
      <c r="C369" s="14" t="s">
        <v>37</v>
      </c>
      <c r="D369" s="14"/>
      <c r="E369" s="15"/>
      <c r="F369" s="16">
        <f t="shared" si="28"/>
        <v>0</v>
      </c>
      <c r="G369">
        <f t="shared" si="24"/>
        <v>0</v>
      </c>
    </row>
    <row r="370" spans="1:7" hidden="1" x14ac:dyDescent="0.25">
      <c r="A370" s="61" t="s">
        <v>948</v>
      </c>
      <c r="B370" s="62" t="s">
        <v>949</v>
      </c>
      <c r="C370" s="63"/>
      <c r="D370" s="14"/>
      <c r="E370" s="15"/>
      <c r="F370" s="16"/>
      <c r="G370">
        <f t="shared" si="24"/>
        <v>0</v>
      </c>
    </row>
    <row r="371" spans="1:7" hidden="1" x14ac:dyDescent="0.25">
      <c r="A371" s="44" t="s">
        <v>950</v>
      </c>
      <c r="B371" s="80" t="s">
        <v>1715</v>
      </c>
      <c r="C371" s="14"/>
      <c r="D371" s="14"/>
      <c r="E371" s="15"/>
      <c r="F371" s="16"/>
      <c r="G371">
        <f t="shared" si="24"/>
        <v>0</v>
      </c>
    </row>
    <row r="372" spans="1:7" hidden="1" x14ac:dyDescent="0.25">
      <c r="A372" s="43" t="s">
        <v>1716</v>
      </c>
      <c r="B372" s="112" t="s">
        <v>1726</v>
      </c>
      <c r="C372" s="14" t="s">
        <v>14</v>
      </c>
      <c r="D372" s="14"/>
      <c r="E372" s="15"/>
      <c r="F372" s="16">
        <f t="shared" ref="F372:F391" si="29">+D372*E372</f>
        <v>0</v>
      </c>
      <c r="G372">
        <f t="shared" si="24"/>
        <v>0</v>
      </c>
    </row>
    <row r="373" spans="1:7" hidden="1" x14ac:dyDescent="0.25">
      <c r="A373" s="43" t="s">
        <v>1717</v>
      </c>
      <c r="B373" s="112" t="s">
        <v>1727</v>
      </c>
      <c r="C373" s="14" t="s">
        <v>14</v>
      </c>
      <c r="D373" s="14"/>
      <c r="E373" s="15"/>
      <c r="F373" s="16">
        <f t="shared" si="29"/>
        <v>0</v>
      </c>
      <c r="G373">
        <f t="shared" si="24"/>
        <v>0</v>
      </c>
    </row>
    <row r="374" spans="1:7" hidden="1" x14ac:dyDescent="0.25">
      <c r="A374" s="43" t="s">
        <v>951</v>
      </c>
      <c r="B374" s="112" t="s">
        <v>1728</v>
      </c>
      <c r="C374" s="14" t="s">
        <v>14</v>
      </c>
      <c r="D374" s="14"/>
      <c r="E374" s="15"/>
      <c r="F374" s="16">
        <f t="shared" si="29"/>
        <v>0</v>
      </c>
      <c r="G374">
        <f t="shared" si="24"/>
        <v>0</v>
      </c>
    </row>
    <row r="375" spans="1:7" hidden="1" x14ac:dyDescent="0.25">
      <c r="A375" s="43" t="s">
        <v>1718</v>
      </c>
      <c r="B375" s="81" t="s">
        <v>1729</v>
      </c>
      <c r="C375" s="14" t="s">
        <v>14</v>
      </c>
      <c r="D375" s="14"/>
      <c r="E375" s="15"/>
      <c r="F375" s="16">
        <f t="shared" si="29"/>
        <v>0</v>
      </c>
      <c r="G375">
        <f t="shared" si="24"/>
        <v>0</v>
      </c>
    </row>
    <row r="376" spans="1:7" hidden="1" x14ac:dyDescent="0.25">
      <c r="A376" s="43" t="s">
        <v>1719</v>
      </c>
      <c r="B376" s="81" t="s">
        <v>1730</v>
      </c>
      <c r="C376" s="14" t="s">
        <v>14</v>
      </c>
      <c r="D376" s="14"/>
      <c r="E376" s="15"/>
      <c r="F376" s="16">
        <f t="shared" si="29"/>
        <v>0</v>
      </c>
      <c r="G376">
        <f t="shared" si="24"/>
        <v>0</v>
      </c>
    </row>
    <row r="377" spans="1:7" hidden="1" x14ac:dyDescent="0.25">
      <c r="A377" s="43" t="s">
        <v>952</v>
      </c>
      <c r="B377" s="111" t="s">
        <v>1784</v>
      </c>
      <c r="C377" s="14" t="s">
        <v>14</v>
      </c>
      <c r="D377" s="14"/>
      <c r="E377" s="15"/>
      <c r="F377" s="16">
        <f t="shared" si="29"/>
        <v>0</v>
      </c>
      <c r="G377">
        <f t="shared" si="24"/>
        <v>0</v>
      </c>
    </row>
    <row r="378" spans="1:7" hidden="1" x14ac:dyDescent="0.25">
      <c r="A378" s="43" t="s">
        <v>1720</v>
      </c>
      <c r="B378" s="111" t="s">
        <v>1785</v>
      </c>
      <c r="C378" s="14" t="s">
        <v>14</v>
      </c>
      <c r="D378" s="14"/>
      <c r="E378" s="15"/>
      <c r="F378" s="16">
        <f t="shared" si="29"/>
        <v>0</v>
      </c>
      <c r="G378">
        <f t="shared" si="24"/>
        <v>0</v>
      </c>
    </row>
    <row r="379" spans="1:7" hidden="1" x14ac:dyDescent="0.25">
      <c r="A379" s="43" t="s">
        <v>1721</v>
      </c>
      <c r="B379" s="81" t="s">
        <v>1731</v>
      </c>
      <c r="C379" s="14" t="s">
        <v>14</v>
      </c>
      <c r="D379" s="14"/>
      <c r="E379" s="15"/>
      <c r="F379" s="16">
        <f t="shared" si="29"/>
        <v>0</v>
      </c>
      <c r="G379">
        <f t="shared" si="24"/>
        <v>0</v>
      </c>
    </row>
    <row r="380" spans="1:7" hidden="1" x14ac:dyDescent="0.25">
      <c r="A380" s="43" t="s">
        <v>1722</v>
      </c>
      <c r="B380" s="111" t="s">
        <v>1786</v>
      </c>
      <c r="C380" s="14" t="s">
        <v>14</v>
      </c>
      <c r="D380" s="14"/>
      <c r="E380" s="15"/>
      <c r="F380" s="16">
        <f t="shared" si="29"/>
        <v>0</v>
      </c>
      <c r="G380">
        <f t="shared" si="24"/>
        <v>0</v>
      </c>
    </row>
    <row r="381" spans="1:7" hidden="1" x14ac:dyDescent="0.25">
      <c r="A381" s="43" t="s">
        <v>1723</v>
      </c>
      <c r="B381" s="81" t="s">
        <v>1732</v>
      </c>
      <c r="C381" s="14" t="s">
        <v>14</v>
      </c>
      <c r="D381" s="14"/>
      <c r="E381" s="15"/>
      <c r="F381" s="16">
        <f t="shared" si="29"/>
        <v>0</v>
      </c>
      <c r="G381">
        <f t="shared" si="24"/>
        <v>0</v>
      </c>
    </row>
    <row r="382" spans="1:7" hidden="1" x14ac:dyDescent="0.25">
      <c r="A382" s="43" t="s">
        <v>1724</v>
      </c>
      <c r="B382" s="111" t="s">
        <v>1787</v>
      </c>
      <c r="C382" s="14" t="s">
        <v>14</v>
      </c>
      <c r="D382" s="14"/>
      <c r="E382" s="15"/>
      <c r="F382" s="16">
        <f t="shared" si="29"/>
        <v>0</v>
      </c>
      <c r="G382">
        <f t="shared" si="24"/>
        <v>0</v>
      </c>
    </row>
    <row r="383" spans="1:7" hidden="1" x14ac:dyDescent="0.25">
      <c r="A383" s="43" t="s">
        <v>1793</v>
      </c>
      <c r="B383" s="81" t="s">
        <v>1733</v>
      </c>
      <c r="C383" s="14" t="s">
        <v>14</v>
      </c>
      <c r="D383" s="14"/>
      <c r="E383" s="15"/>
      <c r="F383" s="16">
        <f t="shared" si="29"/>
        <v>0</v>
      </c>
      <c r="G383">
        <f t="shared" si="24"/>
        <v>0</v>
      </c>
    </row>
    <row r="384" spans="1:7" hidden="1" x14ac:dyDescent="0.25">
      <c r="A384" s="43" t="s">
        <v>1794</v>
      </c>
      <c r="B384" s="111" t="s">
        <v>1788</v>
      </c>
      <c r="C384" s="14" t="s">
        <v>14</v>
      </c>
      <c r="D384" s="14"/>
      <c r="E384" s="15"/>
      <c r="F384" s="16">
        <f t="shared" si="29"/>
        <v>0</v>
      </c>
      <c r="G384">
        <f t="shared" si="24"/>
        <v>0</v>
      </c>
    </row>
    <row r="385" spans="1:7" hidden="1" x14ac:dyDescent="0.25">
      <c r="A385" s="43" t="s">
        <v>1795</v>
      </c>
      <c r="B385" s="81" t="s">
        <v>1734</v>
      </c>
      <c r="C385" s="14" t="s">
        <v>14</v>
      </c>
      <c r="D385" s="14"/>
      <c r="E385" s="15"/>
      <c r="F385" s="16">
        <f t="shared" si="29"/>
        <v>0</v>
      </c>
      <c r="G385">
        <f t="shared" si="24"/>
        <v>0</v>
      </c>
    </row>
    <row r="386" spans="1:7" hidden="1" x14ac:dyDescent="0.25">
      <c r="A386" s="43" t="s">
        <v>1796</v>
      </c>
      <c r="B386" s="81" t="s">
        <v>1735</v>
      </c>
      <c r="C386" s="14" t="s">
        <v>14</v>
      </c>
      <c r="D386" s="14"/>
      <c r="E386" s="15"/>
      <c r="F386" s="16">
        <f t="shared" si="29"/>
        <v>0</v>
      </c>
      <c r="G386">
        <f t="shared" si="24"/>
        <v>0</v>
      </c>
    </row>
    <row r="387" spans="1:7" hidden="1" x14ac:dyDescent="0.25">
      <c r="A387" s="43" t="s">
        <v>1797</v>
      </c>
      <c r="B387" s="81" t="s">
        <v>1736</v>
      </c>
      <c r="C387" s="14" t="s">
        <v>14</v>
      </c>
      <c r="D387" s="14"/>
      <c r="E387" s="15"/>
      <c r="F387" s="16">
        <f t="shared" si="29"/>
        <v>0</v>
      </c>
      <c r="G387">
        <f t="shared" si="24"/>
        <v>0</v>
      </c>
    </row>
    <row r="388" spans="1:7" hidden="1" x14ac:dyDescent="0.25">
      <c r="A388" s="43" t="s">
        <v>1798</v>
      </c>
      <c r="B388" s="111" t="s">
        <v>1789</v>
      </c>
      <c r="C388" s="14" t="s">
        <v>14</v>
      </c>
      <c r="D388" s="14"/>
      <c r="E388" s="15"/>
      <c r="F388" s="16">
        <f t="shared" si="29"/>
        <v>0</v>
      </c>
      <c r="G388">
        <f t="shared" si="24"/>
        <v>0</v>
      </c>
    </row>
    <row r="389" spans="1:7" hidden="1" x14ac:dyDescent="0.25">
      <c r="A389" s="43" t="s">
        <v>1799</v>
      </c>
      <c r="B389" s="111" t="s">
        <v>1790</v>
      </c>
      <c r="C389" s="14" t="s">
        <v>14</v>
      </c>
      <c r="D389" s="14"/>
      <c r="E389" s="15"/>
      <c r="F389" s="16">
        <f t="shared" si="29"/>
        <v>0</v>
      </c>
      <c r="G389">
        <f t="shared" si="24"/>
        <v>0</v>
      </c>
    </row>
    <row r="390" spans="1:7" hidden="1" x14ac:dyDescent="0.25">
      <c r="A390" s="43" t="s">
        <v>1800</v>
      </c>
      <c r="B390" s="111" t="s">
        <v>1791</v>
      </c>
      <c r="C390" s="14" t="s">
        <v>14</v>
      </c>
      <c r="D390" s="14"/>
      <c r="E390" s="15"/>
      <c r="F390" s="16">
        <f t="shared" si="29"/>
        <v>0</v>
      </c>
      <c r="G390">
        <f t="shared" si="24"/>
        <v>0</v>
      </c>
    </row>
    <row r="391" spans="1:7" hidden="1" x14ac:dyDescent="0.25">
      <c r="A391" s="43" t="s">
        <v>1801</v>
      </c>
      <c r="B391" s="111" t="s">
        <v>1792</v>
      </c>
      <c r="C391" s="14" t="s">
        <v>14</v>
      </c>
      <c r="D391" s="14"/>
      <c r="E391" s="15"/>
      <c r="F391" s="16">
        <f t="shared" si="29"/>
        <v>0</v>
      </c>
      <c r="G391">
        <f t="shared" si="24"/>
        <v>0</v>
      </c>
    </row>
    <row r="392" spans="1:7" hidden="1" x14ac:dyDescent="0.25">
      <c r="A392" s="44" t="s">
        <v>1748</v>
      </c>
      <c r="B392" s="80" t="s">
        <v>1725</v>
      </c>
      <c r="C392" s="14"/>
      <c r="D392" s="14"/>
      <c r="E392" s="15"/>
      <c r="F392" s="16"/>
      <c r="G392">
        <f t="shared" si="24"/>
        <v>0</v>
      </c>
    </row>
    <row r="393" spans="1:7" hidden="1" x14ac:dyDescent="0.25">
      <c r="A393" s="43" t="s">
        <v>1749</v>
      </c>
      <c r="B393" s="112" t="s">
        <v>1737</v>
      </c>
      <c r="C393" s="14" t="s">
        <v>14</v>
      </c>
      <c r="D393" s="14"/>
      <c r="E393" s="15"/>
      <c r="F393" s="16">
        <f t="shared" ref="F393:F457" si="30">+D393*E393</f>
        <v>0</v>
      </c>
      <c r="G393">
        <f t="shared" ref="G393:G456" si="31">+IF(F393&lt;&gt;0,1,0)</f>
        <v>0</v>
      </c>
    </row>
    <row r="394" spans="1:7" hidden="1" x14ac:dyDescent="0.25">
      <c r="A394" s="43" t="s">
        <v>1750</v>
      </c>
      <c r="B394" s="112" t="s">
        <v>1738</v>
      </c>
      <c r="C394" s="14" t="s">
        <v>14</v>
      </c>
      <c r="D394" s="14"/>
      <c r="E394" s="15"/>
      <c r="F394" s="16">
        <f t="shared" si="30"/>
        <v>0</v>
      </c>
      <c r="G394">
        <f t="shared" si="31"/>
        <v>0</v>
      </c>
    </row>
    <row r="395" spans="1:7" hidden="1" x14ac:dyDescent="0.25">
      <c r="A395" s="43" t="s">
        <v>1751</v>
      </c>
      <c r="B395" s="112" t="s">
        <v>1739</v>
      </c>
      <c r="C395" s="14" t="s">
        <v>14</v>
      </c>
      <c r="D395" s="14"/>
      <c r="E395" s="15"/>
      <c r="F395" s="16">
        <f t="shared" si="30"/>
        <v>0</v>
      </c>
      <c r="G395">
        <f t="shared" si="31"/>
        <v>0</v>
      </c>
    </row>
    <row r="396" spans="1:7" hidden="1" x14ac:dyDescent="0.25">
      <c r="A396" s="43" t="s">
        <v>1752</v>
      </c>
      <c r="B396" s="81" t="s">
        <v>1740</v>
      </c>
      <c r="C396" s="14" t="s">
        <v>14</v>
      </c>
      <c r="D396" s="14"/>
      <c r="E396" s="15"/>
      <c r="F396" s="16">
        <f t="shared" si="30"/>
        <v>0</v>
      </c>
      <c r="G396">
        <f t="shared" si="31"/>
        <v>0</v>
      </c>
    </row>
    <row r="397" spans="1:7" hidden="1" x14ac:dyDescent="0.25">
      <c r="A397" s="43" t="s">
        <v>1753</v>
      </c>
      <c r="B397" s="81" t="s">
        <v>1741</v>
      </c>
      <c r="C397" s="14" t="s">
        <v>14</v>
      </c>
      <c r="D397" s="14"/>
      <c r="E397" s="15"/>
      <c r="F397" s="16">
        <f t="shared" si="30"/>
        <v>0</v>
      </c>
      <c r="G397">
        <f t="shared" si="31"/>
        <v>0</v>
      </c>
    </row>
    <row r="398" spans="1:7" hidden="1" x14ac:dyDescent="0.25">
      <c r="A398" s="43" t="s">
        <v>1754</v>
      </c>
      <c r="B398" s="111" t="s">
        <v>1802</v>
      </c>
      <c r="C398" s="14" t="s">
        <v>14</v>
      </c>
      <c r="D398" s="14"/>
      <c r="E398" s="15"/>
      <c r="F398" s="16">
        <f t="shared" si="30"/>
        <v>0</v>
      </c>
      <c r="G398">
        <f t="shared" si="31"/>
        <v>0</v>
      </c>
    </row>
    <row r="399" spans="1:7" hidden="1" x14ac:dyDescent="0.25">
      <c r="A399" s="43" t="s">
        <v>1755</v>
      </c>
      <c r="B399" s="111" t="s">
        <v>1803</v>
      </c>
      <c r="C399" s="14" t="s">
        <v>14</v>
      </c>
      <c r="D399" s="14"/>
      <c r="E399" s="15"/>
      <c r="F399" s="16">
        <f t="shared" si="30"/>
        <v>0</v>
      </c>
      <c r="G399">
        <f t="shared" si="31"/>
        <v>0</v>
      </c>
    </row>
    <row r="400" spans="1:7" hidden="1" x14ac:dyDescent="0.25">
      <c r="A400" s="43" t="s">
        <v>1756</v>
      </c>
      <c r="B400" s="81" t="s">
        <v>1742</v>
      </c>
      <c r="C400" s="14" t="s">
        <v>14</v>
      </c>
      <c r="D400" s="14"/>
      <c r="E400" s="15"/>
      <c r="F400" s="16">
        <f t="shared" si="30"/>
        <v>0</v>
      </c>
      <c r="G400">
        <f t="shared" si="31"/>
        <v>0</v>
      </c>
    </row>
    <row r="401" spans="1:7" hidden="1" x14ac:dyDescent="0.25">
      <c r="A401" s="43" t="s">
        <v>1757</v>
      </c>
      <c r="B401" s="111" t="s">
        <v>1804</v>
      </c>
      <c r="C401" s="14" t="s">
        <v>14</v>
      </c>
      <c r="D401" s="14"/>
      <c r="E401" s="15"/>
      <c r="F401" s="16">
        <f t="shared" si="30"/>
        <v>0</v>
      </c>
      <c r="G401">
        <f t="shared" si="31"/>
        <v>0</v>
      </c>
    </row>
    <row r="402" spans="1:7" hidden="1" x14ac:dyDescent="0.25">
      <c r="A402" s="43" t="s">
        <v>1758</v>
      </c>
      <c r="B402" s="81" t="s">
        <v>1743</v>
      </c>
      <c r="C402" s="14" t="s">
        <v>14</v>
      </c>
      <c r="D402" s="14"/>
      <c r="E402" s="15"/>
      <c r="F402" s="16">
        <f t="shared" si="30"/>
        <v>0</v>
      </c>
      <c r="G402">
        <f t="shared" si="31"/>
        <v>0</v>
      </c>
    </row>
    <row r="403" spans="1:7" hidden="1" x14ac:dyDescent="0.25">
      <c r="A403" s="43" t="s">
        <v>1759</v>
      </c>
      <c r="B403" s="111" t="s">
        <v>1805</v>
      </c>
      <c r="C403" s="14" t="s">
        <v>14</v>
      </c>
      <c r="D403" s="14"/>
      <c r="E403" s="15"/>
      <c r="F403" s="16">
        <f t="shared" si="30"/>
        <v>0</v>
      </c>
      <c r="G403">
        <f t="shared" si="31"/>
        <v>0</v>
      </c>
    </row>
    <row r="404" spans="1:7" hidden="1" x14ac:dyDescent="0.25">
      <c r="A404" s="43" t="s">
        <v>1831</v>
      </c>
      <c r="B404" s="81" t="s">
        <v>1744</v>
      </c>
      <c r="C404" s="14" t="s">
        <v>14</v>
      </c>
      <c r="D404" s="14"/>
      <c r="E404" s="15"/>
      <c r="F404" s="16">
        <f t="shared" si="30"/>
        <v>0</v>
      </c>
      <c r="G404">
        <f t="shared" si="31"/>
        <v>0</v>
      </c>
    </row>
    <row r="405" spans="1:7" hidden="1" x14ac:dyDescent="0.25">
      <c r="A405" s="43" t="s">
        <v>1832</v>
      </c>
      <c r="B405" s="111" t="s">
        <v>1818</v>
      </c>
      <c r="C405" s="14" t="s">
        <v>14</v>
      </c>
      <c r="D405" s="14"/>
      <c r="E405" s="15"/>
      <c r="F405" s="16">
        <f t="shared" si="30"/>
        <v>0</v>
      </c>
      <c r="G405">
        <f t="shared" si="31"/>
        <v>0</v>
      </c>
    </row>
    <row r="406" spans="1:7" hidden="1" x14ac:dyDescent="0.25">
      <c r="A406" s="43" t="s">
        <v>1833</v>
      </c>
      <c r="B406" s="81" t="s">
        <v>1745</v>
      </c>
      <c r="C406" s="14" t="s">
        <v>14</v>
      </c>
      <c r="D406" s="14"/>
      <c r="E406" s="15"/>
      <c r="F406" s="16">
        <f t="shared" si="30"/>
        <v>0</v>
      </c>
      <c r="G406">
        <f t="shared" si="31"/>
        <v>0</v>
      </c>
    </row>
    <row r="407" spans="1:7" hidden="1" x14ac:dyDescent="0.25">
      <c r="A407" s="43" t="s">
        <v>1834</v>
      </c>
      <c r="B407" s="81" t="s">
        <v>1746</v>
      </c>
      <c r="C407" s="14" t="s">
        <v>14</v>
      </c>
      <c r="D407" s="14"/>
      <c r="E407" s="15"/>
      <c r="F407" s="16">
        <f t="shared" si="30"/>
        <v>0</v>
      </c>
      <c r="G407">
        <f t="shared" si="31"/>
        <v>0</v>
      </c>
    </row>
    <row r="408" spans="1:7" hidden="1" x14ac:dyDescent="0.25">
      <c r="A408" s="43" t="s">
        <v>1835</v>
      </c>
      <c r="B408" s="81" t="s">
        <v>1747</v>
      </c>
      <c r="C408" s="14" t="s">
        <v>14</v>
      </c>
      <c r="D408" s="14"/>
      <c r="E408" s="15"/>
      <c r="F408" s="16">
        <f t="shared" si="30"/>
        <v>0</v>
      </c>
      <c r="G408">
        <f t="shared" si="31"/>
        <v>0</v>
      </c>
    </row>
    <row r="409" spans="1:7" hidden="1" x14ac:dyDescent="0.25">
      <c r="A409" s="43" t="s">
        <v>1836</v>
      </c>
      <c r="B409" s="111" t="s">
        <v>1806</v>
      </c>
      <c r="C409" s="14" t="s">
        <v>14</v>
      </c>
      <c r="D409" s="14"/>
      <c r="E409" s="15"/>
      <c r="F409" s="16">
        <f t="shared" si="30"/>
        <v>0</v>
      </c>
      <c r="G409">
        <f t="shared" si="31"/>
        <v>0</v>
      </c>
    </row>
    <row r="410" spans="1:7" hidden="1" x14ac:dyDescent="0.25">
      <c r="A410" s="43" t="s">
        <v>1837</v>
      </c>
      <c r="B410" s="111" t="s">
        <v>1807</v>
      </c>
      <c r="C410" s="14" t="s">
        <v>14</v>
      </c>
      <c r="D410" s="14"/>
      <c r="E410" s="15"/>
      <c r="F410" s="16">
        <f t="shared" si="30"/>
        <v>0</v>
      </c>
      <c r="G410">
        <f t="shared" si="31"/>
        <v>0</v>
      </c>
    </row>
    <row r="411" spans="1:7" hidden="1" x14ac:dyDescent="0.25">
      <c r="A411" s="43" t="s">
        <v>1838</v>
      </c>
      <c r="B411" s="111" t="s">
        <v>1808</v>
      </c>
      <c r="C411" s="14" t="s">
        <v>14</v>
      </c>
      <c r="D411" s="14"/>
      <c r="E411" s="15"/>
      <c r="F411" s="16">
        <f t="shared" si="30"/>
        <v>0</v>
      </c>
      <c r="G411">
        <f t="shared" si="31"/>
        <v>0</v>
      </c>
    </row>
    <row r="412" spans="1:7" hidden="1" x14ac:dyDescent="0.25">
      <c r="A412" s="43" t="s">
        <v>1839</v>
      </c>
      <c r="B412" s="111" t="s">
        <v>1809</v>
      </c>
      <c r="C412" s="14" t="s">
        <v>14</v>
      </c>
      <c r="D412" s="14"/>
      <c r="E412" s="15"/>
      <c r="F412" s="16">
        <f t="shared" si="30"/>
        <v>0</v>
      </c>
      <c r="G412">
        <f t="shared" si="31"/>
        <v>0</v>
      </c>
    </row>
    <row r="413" spans="1:7" hidden="1" x14ac:dyDescent="0.25">
      <c r="A413" s="44" t="s">
        <v>1760</v>
      </c>
      <c r="B413" s="80" t="s">
        <v>1783</v>
      </c>
      <c r="C413" s="14"/>
      <c r="D413" s="14"/>
      <c r="E413" s="15"/>
      <c r="F413" s="16"/>
      <c r="G413">
        <f t="shared" si="31"/>
        <v>0</v>
      </c>
    </row>
    <row r="414" spans="1:7" hidden="1" x14ac:dyDescent="0.25">
      <c r="A414" s="43" t="s">
        <v>1761</v>
      </c>
      <c r="B414" s="111" t="s">
        <v>1816</v>
      </c>
      <c r="C414" s="14" t="s">
        <v>14</v>
      </c>
      <c r="D414" s="14"/>
      <c r="E414" s="15"/>
      <c r="F414" s="16">
        <f t="shared" si="30"/>
        <v>0</v>
      </c>
      <c r="G414">
        <f t="shared" si="31"/>
        <v>0</v>
      </c>
    </row>
    <row r="415" spans="1:7" hidden="1" x14ac:dyDescent="0.25">
      <c r="A415" s="43" t="s">
        <v>1773</v>
      </c>
      <c r="B415" s="81" t="s">
        <v>1762</v>
      </c>
      <c r="C415" s="14" t="s">
        <v>14</v>
      </c>
      <c r="D415" s="14"/>
      <c r="E415" s="15"/>
      <c r="F415" s="16">
        <f t="shared" si="30"/>
        <v>0</v>
      </c>
      <c r="G415">
        <f t="shared" si="31"/>
        <v>0</v>
      </c>
    </row>
    <row r="416" spans="1:7" hidden="1" x14ac:dyDescent="0.25">
      <c r="A416" s="43" t="s">
        <v>1774</v>
      </c>
      <c r="B416" s="81" t="s">
        <v>1763</v>
      </c>
      <c r="C416" s="14" t="s">
        <v>14</v>
      </c>
      <c r="D416" s="14"/>
      <c r="E416" s="15"/>
      <c r="F416" s="16">
        <f t="shared" si="30"/>
        <v>0</v>
      </c>
      <c r="G416">
        <f t="shared" si="31"/>
        <v>0</v>
      </c>
    </row>
    <row r="417" spans="1:7" hidden="1" x14ac:dyDescent="0.25">
      <c r="A417" s="43" t="s">
        <v>1775</v>
      </c>
      <c r="B417" s="81" t="s">
        <v>1764</v>
      </c>
      <c r="C417" s="14" t="s">
        <v>14</v>
      </c>
      <c r="D417" s="14"/>
      <c r="E417" s="15"/>
      <c r="F417" s="16">
        <f t="shared" si="30"/>
        <v>0</v>
      </c>
      <c r="G417">
        <f t="shared" si="31"/>
        <v>0</v>
      </c>
    </row>
    <row r="418" spans="1:7" hidden="1" x14ac:dyDescent="0.25">
      <c r="A418" s="43" t="s">
        <v>1776</v>
      </c>
      <c r="B418" s="81" t="s">
        <v>1765</v>
      </c>
      <c r="C418" s="14" t="s">
        <v>14</v>
      </c>
      <c r="D418" s="14"/>
      <c r="E418" s="15"/>
      <c r="F418" s="16">
        <f t="shared" si="30"/>
        <v>0</v>
      </c>
      <c r="G418">
        <f t="shared" si="31"/>
        <v>0</v>
      </c>
    </row>
    <row r="419" spans="1:7" hidden="1" x14ac:dyDescent="0.25">
      <c r="A419" s="43" t="s">
        <v>1777</v>
      </c>
      <c r="B419" s="81" t="s">
        <v>1766</v>
      </c>
      <c r="C419" s="14" t="s">
        <v>14</v>
      </c>
      <c r="D419" s="14"/>
      <c r="E419" s="15"/>
      <c r="F419" s="16">
        <f t="shared" si="30"/>
        <v>0</v>
      </c>
      <c r="G419">
        <f t="shared" si="31"/>
        <v>0</v>
      </c>
    </row>
    <row r="420" spans="1:7" hidden="1" x14ac:dyDescent="0.25">
      <c r="A420" s="43" t="s">
        <v>1778</v>
      </c>
      <c r="B420" s="111" t="s">
        <v>1814</v>
      </c>
      <c r="C420" s="14" t="s">
        <v>14</v>
      </c>
      <c r="D420" s="14"/>
      <c r="E420" s="15"/>
      <c r="F420" s="16">
        <f t="shared" si="30"/>
        <v>0</v>
      </c>
      <c r="G420">
        <f t="shared" si="31"/>
        <v>0</v>
      </c>
    </row>
    <row r="421" spans="1:7" hidden="1" x14ac:dyDescent="0.25">
      <c r="A421" s="43" t="s">
        <v>1779</v>
      </c>
      <c r="B421" s="111" t="s">
        <v>1815</v>
      </c>
      <c r="C421" s="14" t="s">
        <v>14</v>
      </c>
      <c r="D421" s="14"/>
      <c r="E421" s="15"/>
      <c r="F421" s="16">
        <f t="shared" si="30"/>
        <v>0</v>
      </c>
      <c r="G421">
        <f t="shared" si="31"/>
        <v>0</v>
      </c>
    </row>
    <row r="422" spans="1:7" hidden="1" x14ac:dyDescent="0.25">
      <c r="A422" s="43" t="s">
        <v>1780</v>
      </c>
      <c r="B422" s="81" t="s">
        <v>1767</v>
      </c>
      <c r="C422" s="14" t="s">
        <v>14</v>
      </c>
      <c r="D422" s="14"/>
      <c r="E422" s="15"/>
      <c r="F422" s="16">
        <f t="shared" si="30"/>
        <v>0</v>
      </c>
      <c r="G422">
        <f t="shared" si="31"/>
        <v>0</v>
      </c>
    </row>
    <row r="423" spans="1:7" hidden="1" x14ac:dyDescent="0.25">
      <c r="A423" s="43" t="s">
        <v>1781</v>
      </c>
      <c r="B423" s="111" t="s">
        <v>1817</v>
      </c>
      <c r="C423" s="14" t="s">
        <v>14</v>
      </c>
      <c r="D423" s="14"/>
      <c r="E423" s="15"/>
      <c r="F423" s="16">
        <f t="shared" si="30"/>
        <v>0</v>
      </c>
      <c r="G423">
        <f t="shared" si="31"/>
        <v>0</v>
      </c>
    </row>
    <row r="424" spans="1:7" hidden="1" x14ac:dyDescent="0.25">
      <c r="A424" s="43" t="s">
        <v>1782</v>
      </c>
      <c r="B424" s="81" t="s">
        <v>1768</v>
      </c>
      <c r="C424" s="14" t="s">
        <v>14</v>
      </c>
      <c r="D424" s="14"/>
      <c r="E424" s="15"/>
      <c r="F424" s="16">
        <f t="shared" si="30"/>
        <v>0</v>
      </c>
      <c r="G424">
        <f t="shared" si="31"/>
        <v>0</v>
      </c>
    </row>
    <row r="425" spans="1:7" hidden="1" x14ac:dyDescent="0.25">
      <c r="A425" s="43" t="s">
        <v>1821</v>
      </c>
      <c r="B425" s="111" t="s">
        <v>1820</v>
      </c>
      <c r="C425" s="14" t="s">
        <v>14</v>
      </c>
      <c r="D425" s="14"/>
      <c r="E425" s="15"/>
      <c r="F425" s="16">
        <f t="shared" si="30"/>
        <v>0</v>
      </c>
      <c r="G425">
        <f t="shared" si="31"/>
        <v>0</v>
      </c>
    </row>
    <row r="426" spans="1:7" hidden="1" x14ac:dyDescent="0.25">
      <c r="A426" s="43" t="s">
        <v>1822</v>
      </c>
      <c r="B426" s="81" t="s">
        <v>1769</v>
      </c>
      <c r="C426" s="14" t="s">
        <v>14</v>
      </c>
      <c r="D426" s="14"/>
      <c r="E426" s="15"/>
      <c r="F426" s="16">
        <f t="shared" si="30"/>
        <v>0</v>
      </c>
      <c r="G426">
        <f t="shared" si="31"/>
        <v>0</v>
      </c>
    </row>
    <row r="427" spans="1:7" hidden="1" x14ac:dyDescent="0.25">
      <c r="A427" s="43" t="s">
        <v>1823</v>
      </c>
      <c r="B427" s="111" t="s">
        <v>1819</v>
      </c>
      <c r="C427" s="14" t="s">
        <v>14</v>
      </c>
      <c r="D427" s="14"/>
      <c r="E427" s="15"/>
      <c r="F427" s="16">
        <f t="shared" si="30"/>
        <v>0</v>
      </c>
      <c r="G427">
        <f t="shared" si="31"/>
        <v>0</v>
      </c>
    </row>
    <row r="428" spans="1:7" hidden="1" x14ac:dyDescent="0.25">
      <c r="A428" s="43" t="s">
        <v>1824</v>
      </c>
      <c r="B428" s="81" t="s">
        <v>1770</v>
      </c>
      <c r="C428" s="14" t="s">
        <v>14</v>
      </c>
      <c r="D428" s="14"/>
      <c r="E428" s="15"/>
      <c r="F428" s="16">
        <f t="shared" si="30"/>
        <v>0</v>
      </c>
      <c r="G428">
        <f t="shared" si="31"/>
        <v>0</v>
      </c>
    </row>
    <row r="429" spans="1:7" hidden="1" x14ac:dyDescent="0.25">
      <c r="A429" s="43" t="s">
        <v>1825</v>
      </c>
      <c r="B429" s="81" t="s">
        <v>1771</v>
      </c>
      <c r="C429" s="14" t="s">
        <v>14</v>
      </c>
      <c r="D429" s="14"/>
      <c r="E429" s="15"/>
      <c r="F429" s="16">
        <f t="shared" si="30"/>
        <v>0</v>
      </c>
      <c r="G429">
        <f t="shared" si="31"/>
        <v>0</v>
      </c>
    </row>
    <row r="430" spans="1:7" hidden="1" x14ac:dyDescent="0.25">
      <c r="A430" s="43" t="s">
        <v>1826</v>
      </c>
      <c r="B430" s="81" t="s">
        <v>1772</v>
      </c>
      <c r="C430" s="14" t="s">
        <v>14</v>
      </c>
      <c r="D430" s="14"/>
      <c r="E430" s="15"/>
      <c r="F430" s="16">
        <f t="shared" si="30"/>
        <v>0</v>
      </c>
      <c r="G430">
        <f t="shared" si="31"/>
        <v>0</v>
      </c>
    </row>
    <row r="431" spans="1:7" hidden="1" x14ac:dyDescent="0.25">
      <c r="A431" s="43" t="s">
        <v>1827</v>
      </c>
      <c r="B431" s="111" t="s">
        <v>1810</v>
      </c>
      <c r="C431" s="14" t="s">
        <v>14</v>
      </c>
      <c r="D431" s="14"/>
      <c r="E431" s="15"/>
      <c r="F431" s="16">
        <f t="shared" si="30"/>
        <v>0</v>
      </c>
      <c r="G431">
        <f t="shared" si="31"/>
        <v>0</v>
      </c>
    </row>
    <row r="432" spans="1:7" hidden="1" x14ac:dyDescent="0.25">
      <c r="A432" s="43" t="s">
        <v>1828</v>
      </c>
      <c r="B432" s="111" t="s">
        <v>1811</v>
      </c>
      <c r="C432" s="14" t="s">
        <v>14</v>
      </c>
      <c r="D432" s="14"/>
      <c r="E432" s="15"/>
      <c r="F432" s="16">
        <f t="shared" si="30"/>
        <v>0</v>
      </c>
      <c r="G432">
        <f t="shared" si="31"/>
        <v>0</v>
      </c>
    </row>
    <row r="433" spans="1:7" hidden="1" x14ac:dyDescent="0.25">
      <c r="A433" s="43" t="s">
        <v>1829</v>
      </c>
      <c r="B433" s="111" t="s">
        <v>1812</v>
      </c>
      <c r="C433" s="14" t="s">
        <v>14</v>
      </c>
      <c r="D433" s="14"/>
      <c r="E433" s="15"/>
      <c r="F433" s="16">
        <f t="shared" si="30"/>
        <v>0</v>
      </c>
      <c r="G433">
        <f t="shared" si="31"/>
        <v>0</v>
      </c>
    </row>
    <row r="434" spans="1:7" hidden="1" x14ac:dyDescent="0.25">
      <c r="A434" s="43" t="s">
        <v>1830</v>
      </c>
      <c r="B434" s="111" t="s">
        <v>1813</v>
      </c>
      <c r="C434" s="14" t="s">
        <v>14</v>
      </c>
      <c r="D434" s="14"/>
      <c r="E434" s="15"/>
      <c r="F434" s="16">
        <f t="shared" si="30"/>
        <v>0</v>
      </c>
      <c r="G434">
        <f t="shared" si="31"/>
        <v>0</v>
      </c>
    </row>
    <row r="435" spans="1:7" hidden="1" x14ac:dyDescent="0.25">
      <c r="A435" s="44" t="s">
        <v>1840</v>
      </c>
      <c r="B435" s="80" t="s">
        <v>1841</v>
      </c>
      <c r="C435" s="14"/>
      <c r="D435" s="14"/>
      <c r="E435" s="15"/>
      <c r="F435" s="16"/>
      <c r="G435">
        <f t="shared" si="31"/>
        <v>0</v>
      </c>
    </row>
    <row r="436" spans="1:7" hidden="1" x14ac:dyDescent="0.25">
      <c r="A436" s="43" t="s">
        <v>1862</v>
      </c>
      <c r="B436" s="81" t="s">
        <v>1842</v>
      </c>
      <c r="C436" s="14" t="s">
        <v>14</v>
      </c>
      <c r="D436" s="14"/>
      <c r="E436" s="15"/>
      <c r="F436" s="16">
        <f t="shared" si="30"/>
        <v>0</v>
      </c>
      <c r="G436">
        <f t="shared" si="31"/>
        <v>0</v>
      </c>
    </row>
    <row r="437" spans="1:7" hidden="1" x14ac:dyDescent="0.25">
      <c r="A437" s="43" t="s">
        <v>1863</v>
      </c>
      <c r="B437" s="81" t="s">
        <v>1843</v>
      </c>
      <c r="C437" s="14" t="s">
        <v>14</v>
      </c>
      <c r="D437" s="14"/>
      <c r="E437" s="15"/>
      <c r="F437" s="16">
        <f t="shared" si="30"/>
        <v>0</v>
      </c>
      <c r="G437">
        <f t="shared" si="31"/>
        <v>0</v>
      </c>
    </row>
    <row r="438" spans="1:7" hidden="1" x14ac:dyDescent="0.25">
      <c r="A438" s="43" t="s">
        <v>1864</v>
      </c>
      <c r="B438" s="81" t="s">
        <v>1844</v>
      </c>
      <c r="C438" s="14" t="s">
        <v>14</v>
      </c>
      <c r="D438" s="14"/>
      <c r="E438" s="15"/>
      <c r="F438" s="16">
        <f t="shared" si="30"/>
        <v>0</v>
      </c>
      <c r="G438">
        <f t="shared" si="31"/>
        <v>0</v>
      </c>
    </row>
    <row r="439" spans="1:7" hidden="1" x14ac:dyDescent="0.25">
      <c r="A439" s="43" t="s">
        <v>1865</v>
      </c>
      <c r="B439" s="81" t="s">
        <v>1845</v>
      </c>
      <c r="C439" s="14" t="s">
        <v>14</v>
      </c>
      <c r="D439" s="14"/>
      <c r="E439" s="15"/>
      <c r="F439" s="16">
        <f t="shared" si="30"/>
        <v>0</v>
      </c>
      <c r="G439">
        <f t="shared" si="31"/>
        <v>0</v>
      </c>
    </row>
    <row r="440" spans="1:7" hidden="1" x14ac:dyDescent="0.25">
      <c r="A440" s="43" t="s">
        <v>1866</v>
      </c>
      <c r="B440" s="81" t="s">
        <v>1846</v>
      </c>
      <c r="C440" s="14" t="s">
        <v>14</v>
      </c>
      <c r="D440" s="14"/>
      <c r="E440" s="15"/>
      <c r="F440" s="16">
        <f t="shared" si="30"/>
        <v>0</v>
      </c>
      <c r="G440">
        <f t="shared" si="31"/>
        <v>0</v>
      </c>
    </row>
    <row r="441" spans="1:7" hidden="1" x14ac:dyDescent="0.25">
      <c r="A441" s="43" t="s">
        <v>1867</v>
      </c>
      <c r="B441" s="111" t="s">
        <v>1847</v>
      </c>
      <c r="C441" s="14" t="s">
        <v>14</v>
      </c>
      <c r="D441" s="14"/>
      <c r="E441" s="15"/>
      <c r="F441" s="16">
        <f t="shared" si="30"/>
        <v>0</v>
      </c>
      <c r="G441">
        <f t="shared" si="31"/>
        <v>0</v>
      </c>
    </row>
    <row r="442" spans="1:7" hidden="1" x14ac:dyDescent="0.25">
      <c r="A442" s="43" t="s">
        <v>1868</v>
      </c>
      <c r="B442" s="111" t="s">
        <v>1848</v>
      </c>
      <c r="C442" s="14" t="s">
        <v>14</v>
      </c>
      <c r="D442" s="14"/>
      <c r="E442" s="15"/>
      <c r="F442" s="16">
        <f t="shared" si="30"/>
        <v>0</v>
      </c>
      <c r="G442">
        <f t="shared" si="31"/>
        <v>0</v>
      </c>
    </row>
    <row r="443" spans="1:7" hidden="1" x14ac:dyDescent="0.25">
      <c r="A443" s="43" t="s">
        <v>1869</v>
      </c>
      <c r="B443" s="81" t="s">
        <v>1849</v>
      </c>
      <c r="C443" s="14" t="s">
        <v>14</v>
      </c>
      <c r="D443" s="14"/>
      <c r="E443" s="15"/>
      <c r="F443" s="16">
        <f t="shared" si="30"/>
        <v>0</v>
      </c>
      <c r="G443">
        <f t="shared" si="31"/>
        <v>0</v>
      </c>
    </row>
    <row r="444" spans="1:7" hidden="1" x14ac:dyDescent="0.25">
      <c r="A444" s="43" t="s">
        <v>1870</v>
      </c>
      <c r="B444" s="111" t="s">
        <v>1850</v>
      </c>
      <c r="C444" s="14" t="s">
        <v>14</v>
      </c>
      <c r="D444" s="14"/>
      <c r="E444" s="15"/>
      <c r="F444" s="16">
        <f t="shared" si="30"/>
        <v>0</v>
      </c>
      <c r="G444">
        <f t="shared" si="31"/>
        <v>0</v>
      </c>
    </row>
    <row r="445" spans="1:7" hidden="1" x14ac:dyDescent="0.25">
      <c r="A445" s="43" t="s">
        <v>1871</v>
      </c>
      <c r="B445" s="81" t="s">
        <v>1851</v>
      </c>
      <c r="C445" s="14" t="s">
        <v>14</v>
      </c>
      <c r="D445" s="14"/>
      <c r="E445" s="15"/>
      <c r="F445" s="16">
        <f t="shared" si="30"/>
        <v>0</v>
      </c>
      <c r="G445">
        <f t="shared" si="31"/>
        <v>0</v>
      </c>
    </row>
    <row r="446" spans="1:7" hidden="1" x14ac:dyDescent="0.25">
      <c r="A446" s="43" t="s">
        <v>1872</v>
      </c>
      <c r="B446" s="111" t="s">
        <v>1852</v>
      </c>
      <c r="C446" s="14" t="s">
        <v>14</v>
      </c>
      <c r="D446" s="14"/>
      <c r="E446" s="15"/>
      <c r="F446" s="16">
        <f t="shared" si="30"/>
        <v>0</v>
      </c>
      <c r="G446">
        <f t="shared" si="31"/>
        <v>0</v>
      </c>
    </row>
    <row r="447" spans="1:7" hidden="1" x14ac:dyDescent="0.25">
      <c r="A447" s="43" t="s">
        <v>1873</v>
      </c>
      <c r="B447" s="81" t="s">
        <v>1853</v>
      </c>
      <c r="C447" s="14" t="s">
        <v>14</v>
      </c>
      <c r="D447" s="14"/>
      <c r="E447" s="15"/>
      <c r="F447" s="16">
        <f t="shared" si="30"/>
        <v>0</v>
      </c>
      <c r="G447">
        <f t="shared" si="31"/>
        <v>0</v>
      </c>
    </row>
    <row r="448" spans="1:7" hidden="1" x14ac:dyDescent="0.25">
      <c r="A448" s="43" t="s">
        <v>1874</v>
      </c>
      <c r="B448" s="111" t="s">
        <v>1854</v>
      </c>
      <c r="C448" s="14" t="s">
        <v>14</v>
      </c>
      <c r="D448" s="14"/>
      <c r="E448" s="15"/>
      <c r="F448" s="16">
        <f t="shared" si="30"/>
        <v>0</v>
      </c>
      <c r="G448">
        <f t="shared" si="31"/>
        <v>0</v>
      </c>
    </row>
    <row r="449" spans="1:7" hidden="1" x14ac:dyDescent="0.25">
      <c r="A449" s="43" t="s">
        <v>1875</v>
      </c>
      <c r="B449" s="81" t="s">
        <v>1855</v>
      </c>
      <c r="C449" s="14" t="s">
        <v>14</v>
      </c>
      <c r="D449" s="14"/>
      <c r="E449" s="15"/>
      <c r="F449" s="16">
        <f t="shared" si="30"/>
        <v>0</v>
      </c>
      <c r="G449">
        <f t="shared" si="31"/>
        <v>0</v>
      </c>
    </row>
    <row r="450" spans="1:7" hidden="1" x14ac:dyDescent="0.25">
      <c r="A450" s="43" t="s">
        <v>1876</v>
      </c>
      <c r="B450" s="81" t="s">
        <v>1856</v>
      </c>
      <c r="C450" s="14" t="s">
        <v>14</v>
      </c>
      <c r="D450" s="14"/>
      <c r="E450" s="15"/>
      <c r="F450" s="16">
        <f t="shared" si="30"/>
        <v>0</v>
      </c>
      <c r="G450">
        <f t="shared" si="31"/>
        <v>0</v>
      </c>
    </row>
    <row r="451" spans="1:7" hidden="1" x14ac:dyDescent="0.25">
      <c r="A451" s="43" t="s">
        <v>1877</v>
      </c>
      <c r="B451" s="81" t="s">
        <v>1857</v>
      </c>
      <c r="C451" s="14" t="s">
        <v>14</v>
      </c>
      <c r="D451" s="14"/>
      <c r="E451" s="15"/>
      <c r="F451" s="16">
        <f t="shared" si="30"/>
        <v>0</v>
      </c>
      <c r="G451">
        <f t="shared" si="31"/>
        <v>0</v>
      </c>
    </row>
    <row r="452" spans="1:7" hidden="1" x14ac:dyDescent="0.25">
      <c r="A452" s="43" t="s">
        <v>1878</v>
      </c>
      <c r="B452" s="111" t="s">
        <v>1858</v>
      </c>
      <c r="C452" s="14" t="s">
        <v>14</v>
      </c>
      <c r="D452" s="14"/>
      <c r="E452" s="15"/>
      <c r="F452" s="16">
        <f t="shared" si="30"/>
        <v>0</v>
      </c>
      <c r="G452">
        <f t="shared" si="31"/>
        <v>0</v>
      </c>
    </row>
    <row r="453" spans="1:7" hidden="1" x14ac:dyDescent="0.25">
      <c r="A453" s="43" t="s">
        <v>1879</v>
      </c>
      <c r="B453" s="111" t="s">
        <v>1859</v>
      </c>
      <c r="C453" s="14" t="s">
        <v>14</v>
      </c>
      <c r="D453" s="14"/>
      <c r="E453" s="15"/>
      <c r="F453" s="16">
        <f t="shared" si="30"/>
        <v>0</v>
      </c>
      <c r="G453">
        <f t="shared" si="31"/>
        <v>0</v>
      </c>
    </row>
    <row r="454" spans="1:7" hidden="1" x14ac:dyDescent="0.25">
      <c r="A454" s="43" t="s">
        <v>1880</v>
      </c>
      <c r="B454" s="111" t="s">
        <v>1860</v>
      </c>
      <c r="C454" s="14" t="s">
        <v>14</v>
      </c>
      <c r="D454" s="14"/>
      <c r="E454" s="15"/>
      <c r="F454" s="16">
        <f t="shared" si="30"/>
        <v>0</v>
      </c>
      <c r="G454">
        <f t="shared" si="31"/>
        <v>0</v>
      </c>
    </row>
    <row r="455" spans="1:7" hidden="1" x14ac:dyDescent="0.25">
      <c r="A455" s="43" t="s">
        <v>1881</v>
      </c>
      <c r="B455" s="111" t="s">
        <v>1861</v>
      </c>
      <c r="C455" s="14" t="s">
        <v>14</v>
      </c>
      <c r="D455" s="14"/>
      <c r="E455" s="15"/>
      <c r="F455" s="16">
        <f t="shared" si="30"/>
        <v>0</v>
      </c>
      <c r="G455">
        <f t="shared" si="31"/>
        <v>0</v>
      </c>
    </row>
    <row r="456" spans="1:7" hidden="1" x14ac:dyDescent="0.25">
      <c r="A456" s="44" t="s">
        <v>1882</v>
      </c>
      <c r="B456" s="80" t="s">
        <v>1884</v>
      </c>
      <c r="C456" s="14"/>
      <c r="D456" s="14"/>
      <c r="E456" s="15"/>
      <c r="F456" s="16"/>
      <c r="G456">
        <f t="shared" si="31"/>
        <v>0</v>
      </c>
    </row>
    <row r="457" spans="1:7" hidden="1" x14ac:dyDescent="0.25">
      <c r="A457" s="43" t="s">
        <v>1883</v>
      </c>
      <c r="B457" s="81" t="s">
        <v>1885</v>
      </c>
      <c r="C457" s="14" t="s">
        <v>14</v>
      </c>
      <c r="D457" s="14"/>
      <c r="E457" s="15"/>
      <c r="F457" s="16">
        <f t="shared" si="30"/>
        <v>0</v>
      </c>
      <c r="G457">
        <f t="shared" ref="G457:G520" si="32">+IF(F457&lt;&gt;0,1,0)</f>
        <v>0</v>
      </c>
    </row>
    <row r="458" spans="1:7" hidden="1" x14ac:dyDescent="0.25">
      <c r="A458" s="43" t="s">
        <v>1905</v>
      </c>
      <c r="B458" s="81" t="s">
        <v>1886</v>
      </c>
      <c r="C458" s="14" t="s">
        <v>14</v>
      </c>
      <c r="D458" s="14"/>
      <c r="E458" s="15"/>
      <c r="F458" s="16">
        <f t="shared" ref="F458:F476" si="33">+D458*E458</f>
        <v>0</v>
      </c>
      <c r="G458">
        <f t="shared" si="32"/>
        <v>0</v>
      </c>
    </row>
    <row r="459" spans="1:7" hidden="1" x14ac:dyDescent="0.25">
      <c r="A459" s="43" t="s">
        <v>1906</v>
      </c>
      <c r="B459" s="81" t="s">
        <v>1887</v>
      </c>
      <c r="C459" s="14" t="s">
        <v>14</v>
      </c>
      <c r="D459" s="14"/>
      <c r="E459" s="15"/>
      <c r="F459" s="16">
        <f t="shared" si="33"/>
        <v>0</v>
      </c>
      <c r="G459">
        <f t="shared" si="32"/>
        <v>0</v>
      </c>
    </row>
    <row r="460" spans="1:7" hidden="1" x14ac:dyDescent="0.25">
      <c r="A460" s="43" t="s">
        <v>1907</v>
      </c>
      <c r="B460" s="81" t="s">
        <v>1888</v>
      </c>
      <c r="C460" s="14" t="s">
        <v>14</v>
      </c>
      <c r="D460" s="14"/>
      <c r="E460" s="15"/>
      <c r="F460" s="16">
        <f t="shared" si="33"/>
        <v>0</v>
      </c>
      <c r="G460">
        <f t="shared" si="32"/>
        <v>0</v>
      </c>
    </row>
    <row r="461" spans="1:7" hidden="1" x14ac:dyDescent="0.25">
      <c r="A461" s="43" t="s">
        <v>1908</v>
      </c>
      <c r="B461" s="81" t="s">
        <v>1889</v>
      </c>
      <c r="C461" s="14" t="s">
        <v>14</v>
      </c>
      <c r="D461" s="14"/>
      <c r="E461" s="15"/>
      <c r="F461" s="16">
        <f t="shared" si="33"/>
        <v>0</v>
      </c>
      <c r="G461">
        <f t="shared" si="32"/>
        <v>0</v>
      </c>
    </row>
    <row r="462" spans="1:7" hidden="1" x14ac:dyDescent="0.25">
      <c r="A462" s="43" t="s">
        <v>1909</v>
      </c>
      <c r="B462" s="111" t="s">
        <v>1890</v>
      </c>
      <c r="C462" s="14" t="s">
        <v>14</v>
      </c>
      <c r="D462" s="14"/>
      <c r="E462" s="15"/>
      <c r="F462" s="16">
        <f t="shared" si="33"/>
        <v>0</v>
      </c>
      <c r="G462">
        <f t="shared" si="32"/>
        <v>0</v>
      </c>
    </row>
    <row r="463" spans="1:7" hidden="1" x14ac:dyDescent="0.25">
      <c r="A463" s="43" t="s">
        <v>1910</v>
      </c>
      <c r="B463" s="111" t="s">
        <v>1891</v>
      </c>
      <c r="C463" s="14" t="s">
        <v>14</v>
      </c>
      <c r="D463" s="14"/>
      <c r="E463" s="15"/>
      <c r="F463" s="16">
        <f t="shared" si="33"/>
        <v>0</v>
      </c>
      <c r="G463">
        <f t="shared" si="32"/>
        <v>0</v>
      </c>
    </row>
    <row r="464" spans="1:7" hidden="1" x14ac:dyDescent="0.25">
      <c r="A464" s="43" t="s">
        <v>1911</v>
      </c>
      <c r="B464" s="81" t="s">
        <v>1892</v>
      </c>
      <c r="C464" s="14" t="s">
        <v>14</v>
      </c>
      <c r="D464" s="14"/>
      <c r="E464" s="15"/>
      <c r="F464" s="16">
        <f t="shared" si="33"/>
        <v>0</v>
      </c>
      <c r="G464">
        <f t="shared" si="32"/>
        <v>0</v>
      </c>
    </row>
    <row r="465" spans="1:7" hidden="1" x14ac:dyDescent="0.25">
      <c r="A465" s="43" t="s">
        <v>1912</v>
      </c>
      <c r="B465" s="111" t="s">
        <v>1893</v>
      </c>
      <c r="C465" s="14" t="s">
        <v>14</v>
      </c>
      <c r="D465" s="14"/>
      <c r="E465" s="15"/>
      <c r="F465" s="16">
        <f t="shared" si="33"/>
        <v>0</v>
      </c>
      <c r="G465">
        <f t="shared" si="32"/>
        <v>0</v>
      </c>
    </row>
    <row r="466" spans="1:7" hidden="1" x14ac:dyDescent="0.25">
      <c r="A466" s="43" t="s">
        <v>1913</v>
      </c>
      <c r="B466" s="81" t="s">
        <v>1894</v>
      </c>
      <c r="C466" s="14" t="s">
        <v>14</v>
      </c>
      <c r="D466" s="14"/>
      <c r="E466" s="15"/>
      <c r="F466" s="16">
        <f t="shared" si="33"/>
        <v>0</v>
      </c>
      <c r="G466">
        <f t="shared" si="32"/>
        <v>0</v>
      </c>
    </row>
    <row r="467" spans="1:7" hidden="1" x14ac:dyDescent="0.25">
      <c r="A467" s="43" t="s">
        <v>1914</v>
      </c>
      <c r="B467" s="111" t="s">
        <v>1895</v>
      </c>
      <c r="C467" s="14" t="s">
        <v>14</v>
      </c>
      <c r="D467" s="14"/>
      <c r="E467" s="15"/>
      <c r="F467" s="16">
        <f t="shared" si="33"/>
        <v>0</v>
      </c>
      <c r="G467">
        <f t="shared" si="32"/>
        <v>0</v>
      </c>
    </row>
    <row r="468" spans="1:7" hidden="1" x14ac:dyDescent="0.25">
      <c r="A468" s="43" t="s">
        <v>1915</v>
      </c>
      <c r="B468" s="81" t="s">
        <v>1896</v>
      </c>
      <c r="C468" s="14" t="s">
        <v>14</v>
      </c>
      <c r="D468" s="14"/>
      <c r="E468" s="15"/>
      <c r="F468" s="16">
        <f t="shared" si="33"/>
        <v>0</v>
      </c>
      <c r="G468">
        <f t="shared" si="32"/>
        <v>0</v>
      </c>
    </row>
    <row r="469" spans="1:7" hidden="1" x14ac:dyDescent="0.25">
      <c r="A469" s="43" t="s">
        <v>1916</v>
      </c>
      <c r="B469" s="111" t="s">
        <v>1897</v>
      </c>
      <c r="C469" s="14" t="s">
        <v>14</v>
      </c>
      <c r="D469" s="14"/>
      <c r="E469" s="15"/>
      <c r="F469" s="16">
        <f t="shared" si="33"/>
        <v>0</v>
      </c>
      <c r="G469">
        <f t="shared" si="32"/>
        <v>0</v>
      </c>
    </row>
    <row r="470" spans="1:7" hidden="1" x14ac:dyDescent="0.25">
      <c r="A470" s="43" t="s">
        <v>1917</v>
      </c>
      <c r="B470" s="81" t="s">
        <v>1898</v>
      </c>
      <c r="C470" s="14" t="s">
        <v>14</v>
      </c>
      <c r="D470" s="14"/>
      <c r="E470" s="15"/>
      <c r="F470" s="16">
        <f t="shared" si="33"/>
        <v>0</v>
      </c>
      <c r="G470">
        <f t="shared" si="32"/>
        <v>0</v>
      </c>
    </row>
    <row r="471" spans="1:7" hidden="1" x14ac:dyDescent="0.25">
      <c r="A471" s="43" t="s">
        <v>1918</v>
      </c>
      <c r="B471" s="81" t="s">
        <v>1899</v>
      </c>
      <c r="C471" s="14" t="s">
        <v>14</v>
      </c>
      <c r="D471" s="14"/>
      <c r="E471" s="15"/>
      <c r="F471" s="16">
        <f t="shared" si="33"/>
        <v>0</v>
      </c>
      <c r="G471">
        <f t="shared" si="32"/>
        <v>0</v>
      </c>
    </row>
    <row r="472" spans="1:7" hidden="1" x14ac:dyDescent="0.25">
      <c r="A472" s="43" t="s">
        <v>1919</v>
      </c>
      <c r="B472" s="81" t="s">
        <v>1900</v>
      </c>
      <c r="C472" s="14" t="s">
        <v>14</v>
      </c>
      <c r="D472" s="14"/>
      <c r="E472" s="15"/>
      <c r="F472" s="16">
        <f t="shared" si="33"/>
        <v>0</v>
      </c>
      <c r="G472">
        <f t="shared" si="32"/>
        <v>0</v>
      </c>
    </row>
    <row r="473" spans="1:7" hidden="1" x14ac:dyDescent="0.25">
      <c r="A473" s="43" t="s">
        <v>1920</v>
      </c>
      <c r="B473" s="111" t="s">
        <v>1901</v>
      </c>
      <c r="C473" s="14" t="s">
        <v>14</v>
      </c>
      <c r="D473" s="14"/>
      <c r="E473" s="15"/>
      <c r="F473" s="16">
        <f t="shared" si="33"/>
        <v>0</v>
      </c>
      <c r="G473">
        <f t="shared" si="32"/>
        <v>0</v>
      </c>
    </row>
    <row r="474" spans="1:7" hidden="1" x14ac:dyDescent="0.25">
      <c r="A474" s="43" t="s">
        <v>1921</v>
      </c>
      <c r="B474" s="111" t="s">
        <v>1902</v>
      </c>
      <c r="C474" s="14" t="s">
        <v>14</v>
      </c>
      <c r="D474" s="14"/>
      <c r="E474" s="15"/>
      <c r="F474" s="16">
        <f t="shared" si="33"/>
        <v>0</v>
      </c>
      <c r="G474">
        <f t="shared" si="32"/>
        <v>0</v>
      </c>
    </row>
    <row r="475" spans="1:7" hidden="1" x14ac:dyDescent="0.25">
      <c r="A475" s="43" t="s">
        <v>1922</v>
      </c>
      <c r="B475" s="111" t="s">
        <v>1903</v>
      </c>
      <c r="C475" s="14" t="s">
        <v>14</v>
      </c>
      <c r="D475" s="14"/>
      <c r="E475" s="15"/>
      <c r="F475" s="16">
        <f t="shared" si="33"/>
        <v>0</v>
      </c>
      <c r="G475">
        <f t="shared" si="32"/>
        <v>0</v>
      </c>
    </row>
    <row r="476" spans="1:7" hidden="1" x14ac:dyDescent="0.25">
      <c r="A476" s="43" t="s">
        <v>1923</v>
      </c>
      <c r="B476" s="111" t="s">
        <v>1904</v>
      </c>
      <c r="C476" s="14" t="s">
        <v>14</v>
      </c>
      <c r="D476" s="14"/>
      <c r="E476" s="15"/>
      <c r="F476" s="16">
        <f t="shared" si="33"/>
        <v>0</v>
      </c>
      <c r="G476">
        <f t="shared" si="32"/>
        <v>0</v>
      </c>
    </row>
    <row r="477" spans="1:7" hidden="1" x14ac:dyDescent="0.25">
      <c r="A477" s="61" t="s">
        <v>1943</v>
      </c>
      <c r="B477" s="62" t="s">
        <v>953</v>
      </c>
      <c r="C477" s="63"/>
      <c r="D477" s="14"/>
      <c r="E477" s="15"/>
      <c r="F477" s="16"/>
      <c r="G477">
        <f t="shared" si="32"/>
        <v>0</v>
      </c>
    </row>
    <row r="478" spans="1:7" hidden="1" x14ac:dyDescent="0.25">
      <c r="A478" s="78" t="s">
        <v>1944</v>
      </c>
      <c r="B478" s="79" t="s">
        <v>1945</v>
      </c>
      <c r="C478" s="26"/>
      <c r="D478" s="14"/>
      <c r="E478" s="15"/>
      <c r="F478" s="16"/>
      <c r="G478">
        <f t="shared" si="32"/>
        <v>0</v>
      </c>
    </row>
    <row r="479" spans="1:7" hidden="1" x14ac:dyDescent="0.25">
      <c r="A479" s="78" t="s">
        <v>1948</v>
      </c>
      <c r="B479" s="79" t="s">
        <v>1947</v>
      </c>
      <c r="C479" s="26"/>
      <c r="D479" s="14"/>
      <c r="E479" s="15"/>
      <c r="F479" s="16"/>
      <c r="G479">
        <f t="shared" si="32"/>
        <v>0</v>
      </c>
    </row>
    <row r="480" spans="1:7" hidden="1" x14ac:dyDescent="0.25">
      <c r="A480" s="85" t="s">
        <v>1949</v>
      </c>
      <c r="B480" s="88" t="s">
        <v>1950</v>
      </c>
      <c r="C480" s="26" t="s">
        <v>37</v>
      </c>
      <c r="D480" s="14"/>
      <c r="E480" s="15"/>
      <c r="F480" s="16">
        <f t="shared" ref="F480:F494" si="34">+D480*E480</f>
        <v>0</v>
      </c>
      <c r="G480">
        <f t="shared" si="32"/>
        <v>0</v>
      </c>
    </row>
    <row r="481" spans="1:7" hidden="1" x14ac:dyDescent="0.25">
      <c r="A481" s="85" t="s">
        <v>1966</v>
      </c>
      <c r="B481" s="88" t="s">
        <v>1964</v>
      </c>
      <c r="C481" s="26" t="s">
        <v>37</v>
      </c>
      <c r="D481" s="14"/>
      <c r="E481" s="15"/>
      <c r="F481" s="16">
        <f t="shared" si="34"/>
        <v>0</v>
      </c>
      <c r="G481">
        <f t="shared" si="32"/>
        <v>0</v>
      </c>
    </row>
    <row r="482" spans="1:7" hidden="1" x14ac:dyDescent="0.25">
      <c r="A482" s="85" t="s">
        <v>1967</v>
      </c>
      <c r="B482" s="88" t="s">
        <v>1951</v>
      </c>
      <c r="C482" s="26" t="s">
        <v>37</v>
      </c>
      <c r="D482" s="14"/>
      <c r="E482" s="15"/>
      <c r="F482" s="16">
        <f t="shared" si="34"/>
        <v>0</v>
      </c>
      <c r="G482">
        <f t="shared" si="32"/>
        <v>0</v>
      </c>
    </row>
    <row r="483" spans="1:7" hidden="1" x14ac:dyDescent="0.25">
      <c r="A483" s="85" t="s">
        <v>1968</v>
      </c>
      <c r="B483" s="88" t="s">
        <v>1952</v>
      </c>
      <c r="C483" s="26" t="s">
        <v>37</v>
      </c>
      <c r="D483" s="14"/>
      <c r="E483" s="15"/>
      <c r="F483" s="16">
        <f t="shared" si="34"/>
        <v>0</v>
      </c>
      <c r="G483">
        <f t="shared" si="32"/>
        <v>0</v>
      </c>
    </row>
    <row r="484" spans="1:7" hidden="1" x14ac:dyDescent="0.25">
      <c r="A484" s="85" t="s">
        <v>1969</v>
      </c>
      <c r="B484" s="113" t="s">
        <v>1953</v>
      </c>
      <c r="C484" s="26" t="s">
        <v>37</v>
      </c>
      <c r="D484" s="14"/>
      <c r="E484" s="15"/>
      <c r="F484" s="16">
        <f t="shared" si="34"/>
        <v>0</v>
      </c>
      <c r="G484">
        <f t="shared" si="32"/>
        <v>0</v>
      </c>
    </row>
    <row r="485" spans="1:7" hidden="1" x14ac:dyDescent="0.25">
      <c r="A485" s="85" t="s">
        <v>1970</v>
      </c>
      <c r="B485" s="113" t="s">
        <v>1955</v>
      </c>
      <c r="C485" s="26" t="s">
        <v>37</v>
      </c>
      <c r="D485" s="14"/>
      <c r="E485" s="15"/>
      <c r="F485" s="16">
        <f t="shared" si="34"/>
        <v>0</v>
      </c>
      <c r="G485">
        <f t="shared" si="32"/>
        <v>0</v>
      </c>
    </row>
    <row r="486" spans="1:7" hidden="1" x14ac:dyDescent="0.25">
      <c r="A486" s="85" t="s">
        <v>1971</v>
      </c>
      <c r="B486" s="88" t="s">
        <v>1954</v>
      </c>
      <c r="C486" s="26" t="s">
        <v>37</v>
      </c>
      <c r="D486" s="14"/>
      <c r="E486" s="15"/>
      <c r="F486" s="16">
        <f t="shared" si="34"/>
        <v>0</v>
      </c>
      <c r="G486">
        <f t="shared" si="32"/>
        <v>0</v>
      </c>
    </row>
    <row r="487" spans="1:7" hidden="1" x14ac:dyDescent="0.25">
      <c r="A487" s="85" t="s">
        <v>1972</v>
      </c>
      <c r="B487" s="113" t="s">
        <v>1956</v>
      </c>
      <c r="C487" s="26" t="s">
        <v>37</v>
      </c>
      <c r="D487" s="14"/>
      <c r="E487" s="15"/>
      <c r="F487" s="16">
        <f t="shared" si="34"/>
        <v>0</v>
      </c>
      <c r="G487">
        <f t="shared" si="32"/>
        <v>0</v>
      </c>
    </row>
    <row r="488" spans="1:7" hidden="1" x14ac:dyDescent="0.25">
      <c r="A488" s="85" t="s">
        <v>1973</v>
      </c>
      <c r="B488" s="88" t="s">
        <v>1957</v>
      </c>
      <c r="C488" s="26" t="s">
        <v>37</v>
      </c>
      <c r="D488" s="14"/>
      <c r="E488" s="15"/>
      <c r="F488" s="16">
        <f t="shared" si="34"/>
        <v>0</v>
      </c>
      <c r="G488">
        <f t="shared" si="32"/>
        <v>0</v>
      </c>
    </row>
    <row r="489" spans="1:7" hidden="1" x14ac:dyDescent="0.25">
      <c r="A489" s="85" t="s">
        <v>1974</v>
      </c>
      <c r="B489" s="113" t="s">
        <v>1958</v>
      </c>
      <c r="C489" s="26" t="s">
        <v>37</v>
      </c>
      <c r="D489" s="14"/>
      <c r="E489" s="15"/>
      <c r="F489" s="16">
        <f t="shared" si="34"/>
        <v>0</v>
      </c>
      <c r="G489">
        <f t="shared" si="32"/>
        <v>0</v>
      </c>
    </row>
    <row r="490" spans="1:7" hidden="1" x14ac:dyDescent="0.25">
      <c r="A490" s="85" t="s">
        <v>1975</v>
      </c>
      <c r="B490" s="88" t="s">
        <v>1959</v>
      </c>
      <c r="C490" s="26" t="s">
        <v>37</v>
      </c>
      <c r="D490" s="14"/>
      <c r="E490" s="15"/>
      <c r="F490" s="16">
        <f t="shared" si="34"/>
        <v>0</v>
      </c>
      <c r="G490">
        <f t="shared" si="32"/>
        <v>0</v>
      </c>
    </row>
    <row r="491" spans="1:7" hidden="1" x14ac:dyDescent="0.25">
      <c r="A491" s="85" t="s">
        <v>1976</v>
      </c>
      <c r="B491" s="113" t="s">
        <v>1960</v>
      </c>
      <c r="C491" s="26" t="s">
        <v>37</v>
      </c>
      <c r="D491" s="14"/>
      <c r="E491" s="15"/>
      <c r="F491" s="16">
        <f t="shared" si="34"/>
        <v>0</v>
      </c>
      <c r="G491">
        <f t="shared" si="32"/>
        <v>0</v>
      </c>
    </row>
    <row r="492" spans="1:7" hidden="1" x14ac:dyDescent="0.25">
      <c r="A492" s="85" t="s">
        <v>1977</v>
      </c>
      <c r="B492" s="88" t="s">
        <v>1961</v>
      </c>
      <c r="C492" s="26" t="s">
        <v>37</v>
      </c>
      <c r="D492" s="14"/>
      <c r="E492" s="15"/>
      <c r="F492" s="16">
        <f t="shared" si="34"/>
        <v>0</v>
      </c>
      <c r="G492">
        <f t="shared" si="32"/>
        <v>0</v>
      </c>
    </row>
    <row r="493" spans="1:7" hidden="1" x14ac:dyDescent="0.25">
      <c r="A493" s="85" t="s">
        <v>1978</v>
      </c>
      <c r="B493" s="88" t="s">
        <v>1962</v>
      </c>
      <c r="C493" s="26" t="s">
        <v>37</v>
      </c>
      <c r="D493" s="14"/>
      <c r="E493" s="15"/>
      <c r="F493" s="16">
        <f t="shared" si="34"/>
        <v>0</v>
      </c>
      <c r="G493">
        <f t="shared" si="32"/>
        <v>0</v>
      </c>
    </row>
    <row r="494" spans="1:7" hidden="1" x14ac:dyDescent="0.25">
      <c r="A494" s="85" t="s">
        <v>1979</v>
      </c>
      <c r="B494" s="88" t="s">
        <v>1963</v>
      </c>
      <c r="C494" s="26" t="s">
        <v>37</v>
      </c>
      <c r="D494" s="14"/>
      <c r="E494" s="15"/>
      <c r="F494" s="16">
        <f t="shared" si="34"/>
        <v>0</v>
      </c>
      <c r="G494">
        <f t="shared" si="32"/>
        <v>0</v>
      </c>
    </row>
    <row r="495" spans="1:7" hidden="1" x14ac:dyDescent="0.25">
      <c r="A495" s="78" t="s">
        <v>1946</v>
      </c>
      <c r="B495" s="79" t="s">
        <v>1965</v>
      </c>
      <c r="C495" s="26"/>
      <c r="D495" s="14"/>
      <c r="E495" s="15"/>
      <c r="F495" s="16"/>
      <c r="G495">
        <f t="shared" si="32"/>
        <v>0</v>
      </c>
    </row>
    <row r="496" spans="1:7" hidden="1" x14ac:dyDescent="0.25">
      <c r="A496" s="85" t="s">
        <v>1980</v>
      </c>
      <c r="B496" s="88" t="s">
        <v>1950</v>
      </c>
      <c r="C496" s="26" t="s">
        <v>37</v>
      </c>
      <c r="D496" s="14"/>
      <c r="E496" s="15"/>
      <c r="F496" s="16">
        <f t="shared" ref="F496:F510" si="35">+D496*E496</f>
        <v>0</v>
      </c>
      <c r="G496">
        <f t="shared" si="32"/>
        <v>0</v>
      </c>
    </row>
    <row r="497" spans="1:7" hidden="1" x14ac:dyDescent="0.25">
      <c r="A497" s="85" t="s">
        <v>1981</v>
      </c>
      <c r="B497" s="88" t="s">
        <v>1964</v>
      </c>
      <c r="C497" s="26" t="s">
        <v>37</v>
      </c>
      <c r="D497" s="14"/>
      <c r="E497" s="15"/>
      <c r="F497" s="16">
        <f t="shared" si="35"/>
        <v>0</v>
      </c>
      <c r="G497">
        <f t="shared" si="32"/>
        <v>0</v>
      </c>
    </row>
    <row r="498" spans="1:7" hidden="1" x14ac:dyDescent="0.25">
      <c r="A498" s="85" t="s">
        <v>1982</v>
      </c>
      <c r="B498" s="88" t="s">
        <v>1951</v>
      </c>
      <c r="C498" s="26" t="s">
        <v>37</v>
      </c>
      <c r="D498" s="14"/>
      <c r="E498" s="15"/>
      <c r="F498" s="16">
        <f t="shared" si="35"/>
        <v>0</v>
      </c>
      <c r="G498">
        <f t="shared" si="32"/>
        <v>0</v>
      </c>
    </row>
    <row r="499" spans="1:7" hidden="1" x14ac:dyDescent="0.25">
      <c r="A499" s="85" t="s">
        <v>1983</v>
      </c>
      <c r="B499" s="88" t="s">
        <v>1952</v>
      </c>
      <c r="C499" s="26" t="s">
        <v>37</v>
      </c>
      <c r="D499" s="14"/>
      <c r="E499" s="15"/>
      <c r="F499" s="16">
        <f t="shared" si="35"/>
        <v>0</v>
      </c>
      <c r="G499">
        <f t="shared" si="32"/>
        <v>0</v>
      </c>
    </row>
    <row r="500" spans="1:7" hidden="1" x14ac:dyDescent="0.25">
      <c r="A500" s="85" t="s">
        <v>1984</v>
      </c>
      <c r="B500" s="113" t="s">
        <v>1953</v>
      </c>
      <c r="C500" s="26" t="s">
        <v>37</v>
      </c>
      <c r="D500" s="14"/>
      <c r="E500" s="15"/>
      <c r="F500" s="16">
        <f t="shared" si="35"/>
        <v>0</v>
      </c>
      <c r="G500">
        <f t="shared" si="32"/>
        <v>0</v>
      </c>
    </row>
    <row r="501" spans="1:7" hidden="1" x14ac:dyDescent="0.25">
      <c r="A501" s="85" t="s">
        <v>1985</v>
      </c>
      <c r="B501" s="113" t="s">
        <v>1955</v>
      </c>
      <c r="C501" s="26" t="s">
        <v>37</v>
      </c>
      <c r="D501" s="14"/>
      <c r="E501" s="15"/>
      <c r="F501" s="16">
        <f t="shared" si="35"/>
        <v>0</v>
      </c>
      <c r="G501">
        <f t="shared" si="32"/>
        <v>0</v>
      </c>
    </row>
    <row r="502" spans="1:7" hidden="1" x14ac:dyDescent="0.25">
      <c r="A502" s="85" t="s">
        <v>1986</v>
      </c>
      <c r="B502" s="88" t="s">
        <v>1954</v>
      </c>
      <c r="C502" s="26" t="s">
        <v>37</v>
      </c>
      <c r="D502" s="14"/>
      <c r="E502" s="15"/>
      <c r="F502" s="16">
        <f t="shared" si="35"/>
        <v>0</v>
      </c>
      <c r="G502">
        <f t="shared" si="32"/>
        <v>0</v>
      </c>
    </row>
    <row r="503" spans="1:7" hidden="1" x14ac:dyDescent="0.25">
      <c r="A503" s="85" t="s">
        <v>1987</v>
      </c>
      <c r="B503" s="113" t="s">
        <v>1956</v>
      </c>
      <c r="C503" s="26" t="s">
        <v>37</v>
      </c>
      <c r="D503" s="14"/>
      <c r="E503" s="15"/>
      <c r="F503" s="16">
        <f t="shared" si="35"/>
        <v>0</v>
      </c>
      <c r="G503">
        <f t="shared" si="32"/>
        <v>0</v>
      </c>
    </row>
    <row r="504" spans="1:7" hidden="1" x14ac:dyDescent="0.25">
      <c r="A504" s="85" t="s">
        <v>1988</v>
      </c>
      <c r="B504" s="88" t="s">
        <v>1957</v>
      </c>
      <c r="C504" s="26" t="s">
        <v>37</v>
      </c>
      <c r="D504" s="14"/>
      <c r="E504" s="15"/>
      <c r="F504" s="16">
        <f t="shared" si="35"/>
        <v>0</v>
      </c>
      <c r="G504">
        <f t="shared" si="32"/>
        <v>0</v>
      </c>
    </row>
    <row r="505" spans="1:7" hidden="1" x14ac:dyDescent="0.25">
      <c r="A505" s="85" t="s">
        <v>1989</v>
      </c>
      <c r="B505" s="113" t="s">
        <v>1958</v>
      </c>
      <c r="C505" s="26" t="s">
        <v>37</v>
      </c>
      <c r="D505" s="14"/>
      <c r="E505" s="15"/>
      <c r="F505" s="16">
        <f t="shared" si="35"/>
        <v>0</v>
      </c>
      <c r="G505">
        <f t="shared" si="32"/>
        <v>0</v>
      </c>
    </row>
    <row r="506" spans="1:7" hidden="1" x14ac:dyDescent="0.25">
      <c r="A506" s="85" t="s">
        <v>1990</v>
      </c>
      <c r="B506" s="88" t="s">
        <v>1959</v>
      </c>
      <c r="C506" s="26" t="s">
        <v>37</v>
      </c>
      <c r="D506" s="14"/>
      <c r="E506" s="15"/>
      <c r="F506" s="16">
        <f t="shared" si="35"/>
        <v>0</v>
      </c>
      <c r="G506">
        <f t="shared" si="32"/>
        <v>0</v>
      </c>
    </row>
    <row r="507" spans="1:7" hidden="1" x14ac:dyDescent="0.25">
      <c r="A507" s="85" t="s">
        <v>1991</v>
      </c>
      <c r="B507" s="113" t="s">
        <v>1960</v>
      </c>
      <c r="C507" s="26" t="s">
        <v>37</v>
      </c>
      <c r="D507" s="14"/>
      <c r="E507" s="15"/>
      <c r="F507" s="16">
        <f t="shared" si="35"/>
        <v>0</v>
      </c>
      <c r="G507">
        <f t="shared" si="32"/>
        <v>0</v>
      </c>
    </row>
    <row r="508" spans="1:7" hidden="1" x14ac:dyDescent="0.25">
      <c r="A508" s="85" t="s">
        <v>1992</v>
      </c>
      <c r="B508" s="88" t="s">
        <v>1961</v>
      </c>
      <c r="C508" s="26" t="s">
        <v>37</v>
      </c>
      <c r="D508" s="14"/>
      <c r="E508" s="15"/>
      <c r="F508" s="16">
        <f t="shared" si="35"/>
        <v>0</v>
      </c>
      <c r="G508">
        <f t="shared" si="32"/>
        <v>0</v>
      </c>
    </row>
    <row r="509" spans="1:7" hidden="1" x14ac:dyDescent="0.25">
      <c r="A509" s="85" t="s">
        <v>1993</v>
      </c>
      <c r="B509" s="88" t="s">
        <v>1962</v>
      </c>
      <c r="C509" s="26" t="s">
        <v>37</v>
      </c>
      <c r="D509" s="14"/>
      <c r="E509" s="15"/>
      <c r="F509" s="16">
        <f t="shared" si="35"/>
        <v>0</v>
      </c>
      <c r="G509">
        <f t="shared" si="32"/>
        <v>0</v>
      </c>
    </row>
    <row r="510" spans="1:7" hidden="1" x14ac:dyDescent="0.25">
      <c r="A510" s="85" t="s">
        <v>1994</v>
      </c>
      <c r="B510" s="88" t="s">
        <v>1963</v>
      </c>
      <c r="C510" s="26" t="s">
        <v>37</v>
      </c>
      <c r="D510" s="14"/>
      <c r="E510" s="15"/>
      <c r="F510" s="16">
        <f t="shared" si="35"/>
        <v>0</v>
      </c>
      <c r="G510">
        <f t="shared" si="32"/>
        <v>0</v>
      </c>
    </row>
    <row r="511" spans="1:7" hidden="1" x14ac:dyDescent="0.25">
      <c r="A511" s="78" t="s">
        <v>1995</v>
      </c>
      <c r="B511" s="79" t="s">
        <v>1996</v>
      </c>
      <c r="C511" s="26"/>
      <c r="D511" s="14"/>
      <c r="E511" s="15"/>
      <c r="F511" s="16"/>
      <c r="G511">
        <f t="shared" si="32"/>
        <v>0</v>
      </c>
    </row>
    <row r="512" spans="1:7" hidden="1" x14ac:dyDescent="0.25">
      <c r="A512" s="85" t="s">
        <v>2012</v>
      </c>
      <c r="B512" s="88" t="s">
        <v>1997</v>
      </c>
      <c r="C512" s="26" t="s">
        <v>37</v>
      </c>
      <c r="D512" s="14"/>
      <c r="E512" s="15"/>
      <c r="F512" s="16">
        <f t="shared" ref="F512:F526" si="36">+D512*E512</f>
        <v>0</v>
      </c>
      <c r="G512">
        <f t="shared" si="32"/>
        <v>0</v>
      </c>
    </row>
    <row r="513" spans="1:7" hidden="1" x14ac:dyDescent="0.25">
      <c r="A513" s="85" t="s">
        <v>2013</v>
      </c>
      <c r="B513" s="88" t="s">
        <v>1998</v>
      </c>
      <c r="C513" s="26" t="s">
        <v>37</v>
      </c>
      <c r="D513" s="14"/>
      <c r="E513" s="15"/>
      <c r="F513" s="16">
        <f t="shared" si="36"/>
        <v>0</v>
      </c>
      <c r="G513">
        <f t="shared" si="32"/>
        <v>0</v>
      </c>
    </row>
    <row r="514" spans="1:7" hidden="1" x14ac:dyDescent="0.25">
      <c r="A514" s="85" t="s">
        <v>2014</v>
      </c>
      <c r="B514" s="88" t="s">
        <v>1999</v>
      </c>
      <c r="C514" s="26" t="s">
        <v>37</v>
      </c>
      <c r="D514" s="14"/>
      <c r="E514" s="15"/>
      <c r="F514" s="16">
        <f t="shared" si="36"/>
        <v>0</v>
      </c>
      <c r="G514">
        <f t="shared" si="32"/>
        <v>0</v>
      </c>
    </row>
    <row r="515" spans="1:7" hidden="1" x14ac:dyDescent="0.25">
      <c r="A515" s="85" t="s">
        <v>2015</v>
      </c>
      <c r="B515" s="88" t="s">
        <v>2000</v>
      </c>
      <c r="C515" s="26" t="s">
        <v>37</v>
      </c>
      <c r="D515" s="14"/>
      <c r="E515" s="15"/>
      <c r="F515" s="16">
        <f t="shared" si="36"/>
        <v>0</v>
      </c>
      <c r="G515">
        <f t="shared" si="32"/>
        <v>0</v>
      </c>
    </row>
    <row r="516" spans="1:7" hidden="1" x14ac:dyDescent="0.25">
      <c r="A516" s="85" t="s">
        <v>2016</v>
      </c>
      <c r="B516" s="113" t="s">
        <v>2001</v>
      </c>
      <c r="C516" s="26" t="s">
        <v>37</v>
      </c>
      <c r="D516" s="14"/>
      <c r="E516" s="15"/>
      <c r="F516" s="16">
        <f t="shared" si="36"/>
        <v>0</v>
      </c>
      <c r="G516">
        <f t="shared" si="32"/>
        <v>0</v>
      </c>
    </row>
    <row r="517" spans="1:7" hidden="1" x14ac:dyDescent="0.25">
      <c r="A517" s="85" t="s">
        <v>2017</v>
      </c>
      <c r="B517" s="113" t="s">
        <v>2002</v>
      </c>
      <c r="C517" s="26" t="s">
        <v>37</v>
      </c>
      <c r="D517" s="14"/>
      <c r="E517" s="15"/>
      <c r="F517" s="16">
        <f t="shared" si="36"/>
        <v>0</v>
      </c>
      <c r="G517">
        <f t="shared" si="32"/>
        <v>0</v>
      </c>
    </row>
    <row r="518" spans="1:7" hidden="1" x14ac:dyDescent="0.25">
      <c r="A518" s="85" t="s">
        <v>2018</v>
      </c>
      <c r="B518" s="88" t="s">
        <v>2003</v>
      </c>
      <c r="C518" s="26" t="s">
        <v>37</v>
      </c>
      <c r="D518" s="14"/>
      <c r="E518" s="15"/>
      <c r="F518" s="16">
        <f t="shared" si="36"/>
        <v>0</v>
      </c>
      <c r="G518">
        <f t="shared" si="32"/>
        <v>0</v>
      </c>
    </row>
    <row r="519" spans="1:7" hidden="1" x14ac:dyDescent="0.25">
      <c r="A519" s="85" t="s">
        <v>2019</v>
      </c>
      <c r="B519" s="113" t="s">
        <v>2004</v>
      </c>
      <c r="C519" s="26" t="s">
        <v>37</v>
      </c>
      <c r="D519" s="14"/>
      <c r="E519" s="15"/>
      <c r="F519" s="16">
        <f t="shared" si="36"/>
        <v>0</v>
      </c>
      <c r="G519">
        <f t="shared" si="32"/>
        <v>0</v>
      </c>
    </row>
    <row r="520" spans="1:7" hidden="1" x14ac:dyDescent="0.25">
      <c r="A520" s="85" t="s">
        <v>2020</v>
      </c>
      <c r="B520" s="88" t="s">
        <v>2005</v>
      </c>
      <c r="C520" s="26" t="s">
        <v>37</v>
      </c>
      <c r="D520" s="14"/>
      <c r="E520" s="15"/>
      <c r="F520" s="16">
        <f t="shared" si="36"/>
        <v>0</v>
      </c>
      <c r="G520">
        <f t="shared" si="32"/>
        <v>0</v>
      </c>
    </row>
    <row r="521" spans="1:7" hidden="1" x14ac:dyDescent="0.25">
      <c r="A521" s="85" t="s">
        <v>2021</v>
      </c>
      <c r="B521" s="113" t="s">
        <v>2006</v>
      </c>
      <c r="C521" s="26" t="s">
        <v>37</v>
      </c>
      <c r="D521" s="14"/>
      <c r="E521" s="15"/>
      <c r="F521" s="16">
        <f t="shared" si="36"/>
        <v>0</v>
      </c>
      <c r="G521">
        <f t="shared" ref="G521:G584" si="37">+IF(F521&lt;&gt;0,1,0)</f>
        <v>0</v>
      </c>
    </row>
    <row r="522" spans="1:7" hidden="1" x14ac:dyDescent="0.25">
      <c r="A522" s="85" t="s">
        <v>2022</v>
      </c>
      <c r="B522" s="88" t="s">
        <v>2007</v>
      </c>
      <c r="C522" s="26" t="s">
        <v>37</v>
      </c>
      <c r="D522" s="14"/>
      <c r="E522" s="15"/>
      <c r="F522" s="16">
        <f t="shared" si="36"/>
        <v>0</v>
      </c>
      <c r="G522">
        <f t="shared" si="37"/>
        <v>0</v>
      </c>
    </row>
    <row r="523" spans="1:7" hidden="1" x14ac:dyDescent="0.25">
      <c r="A523" s="85" t="s">
        <v>2023</v>
      </c>
      <c r="B523" s="113" t="s">
        <v>2008</v>
      </c>
      <c r="C523" s="26" t="s">
        <v>37</v>
      </c>
      <c r="D523" s="14"/>
      <c r="E523" s="15"/>
      <c r="F523" s="16">
        <f t="shared" si="36"/>
        <v>0</v>
      </c>
      <c r="G523">
        <f t="shared" si="37"/>
        <v>0</v>
      </c>
    </row>
    <row r="524" spans="1:7" hidden="1" x14ac:dyDescent="0.25">
      <c r="A524" s="85" t="s">
        <v>2024</v>
      </c>
      <c r="B524" s="88" t="s">
        <v>2009</v>
      </c>
      <c r="C524" s="26" t="s">
        <v>37</v>
      </c>
      <c r="D524" s="14"/>
      <c r="E524" s="15"/>
      <c r="F524" s="16">
        <f t="shared" si="36"/>
        <v>0</v>
      </c>
      <c r="G524">
        <f t="shared" si="37"/>
        <v>0</v>
      </c>
    </row>
    <row r="525" spans="1:7" hidden="1" x14ac:dyDescent="0.25">
      <c r="A525" s="85" t="s">
        <v>2025</v>
      </c>
      <c r="B525" s="88" t="s">
        <v>2010</v>
      </c>
      <c r="C525" s="26" t="s">
        <v>37</v>
      </c>
      <c r="D525" s="14"/>
      <c r="E525" s="15"/>
      <c r="F525" s="16">
        <f t="shared" si="36"/>
        <v>0</v>
      </c>
      <c r="G525">
        <f t="shared" si="37"/>
        <v>0</v>
      </c>
    </row>
    <row r="526" spans="1:7" hidden="1" x14ac:dyDescent="0.25">
      <c r="A526" s="85" t="s">
        <v>2026</v>
      </c>
      <c r="B526" s="88" t="s">
        <v>2011</v>
      </c>
      <c r="C526" s="26" t="s">
        <v>37</v>
      </c>
      <c r="D526" s="14"/>
      <c r="E526" s="15"/>
      <c r="F526" s="16">
        <f t="shared" si="36"/>
        <v>0</v>
      </c>
      <c r="G526">
        <f t="shared" si="37"/>
        <v>0</v>
      </c>
    </row>
    <row r="527" spans="1:7" hidden="1" x14ac:dyDescent="0.25">
      <c r="A527" s="78" t="s">
        <v>2027</v>
      </c>
      <c r="B527" s="79" t="s">
        <v>2028</v>
      </c>
      <c r="C527" s="26"/>
      <c r="D527" s="14"/>
      <c r="E527" s="15"/>
      <c r="F527" s="16"/>
      <c r="G527">
        <f t="shared" si="37"/>
        <v>0</v>
      </c>
    </row>
    <row r="528" spans="1:7" hidden="1" x14ac:dyDescent="0.25">
      <c r="A528" s="85" t="s">
        <v>2049</v>
      </c>
      <c r="B528" s="88" t="s">
        <v>1997</v>
      </c>
      <c r="C528" s="26" t="s">
        <v>37</v>
      </c>
      <c r="D528" s="14"/>
      <c r="E528" s="15"/>
      <c r="F528" s="16">
        <f t="shared" ref="F528:F542" si="38">+D528*E528</f>
        <v>0</v>
      </c>
      <c r="G528">
        <f t="shared" si="37"/>
        <v>0</v>
      </c>
    </row>
    <row r="529" spans="1:7" hidden="1" x14ac:dyDescent="0.25">
      <c r="A529" s="85" t="s">
        <v>2050</v>
      </c>
      <c r="B529" s="88" t="s">
        <v>1998</v>
      </c>
      <c r="C529" s="26" t="s">
        <v>37</v>
      </c>
      <c r="D529" s="14"/>
      <c r="E529" s="15"/>
      <c r="F529" s="16">
        <f t="shared" si="38"/>
        <v>0</v>
      </c>
      <c r="G529">
        <f t="shared" si="37"/>
        <v>0</v>
      </c>
    </row>
    <row r="530" spans="1:7" hidden="1" x14ac:dyDescent="0.25">
      <c r="A530" s="85" t="s">
        <v>2051</v>
      </c>
      <c r="B530" s="88" t="s">
        <v>1999</v>
      </c>
      <c r="C530" s="26" t="s">
        <v>37</v>
      </c>
      <c r="D530" s="14"/>
      <c r="E530" s="15"/>
      <c r="F530" s="16">
        <f t="shared" si="38"/>
        <v>0</v>
      </c>
      <c r="G530">
        <f t="shared" si="37"/>
        <v>0</v>
      </c>
    </row>
    <row r="531" spans="1:7" hidden="1" x14ac:dyDescent="0.25">
      <c r="A531" s="85" t="s">
        <v>2052</v>
      </c>
      <c r="B531" s="88" t="s">
        <v>2000</v>
      </c>
      <c r="C531" s="26" t="s">
        <v>37</v>
      </c>
      <c r="D531" s="14"/>
      <c r="E531" s="15"/>
      <c r="F531" s="16">
        <f t="shared" si="38"/>
        <v>0</v>
      </c>
      <c r="G531">
        <f t="shared" si="37"/>
        <v>0</v>
      </c>
    </row>
    <row r="532" spans="1:7" hidden="1" x14ac:dyDescent="0.25">
      <c r="A532" s="85" t="s">
        <v>2053</v>
      </c>
      <c r="B532" s="113" t="s">
        <v>2001</v>
      </c>
      <c r="C532" s="26" t="s">
        <v>37</v>
      </c>
      <c r="D532" s="14"/>
      <c r="E532" s="15"/>
      <c r="F532" s="16">
        <f t="shared" si="38"/>
        <v>0</v>
      </c>
      <c r="G532">
        <f t="shared" si="37"/>
        <v>0</v>
      </c>
    </row>
    <row r="533" spans="1:7" hidden="1" x14ac:dyDescent="0.25">
      <c r="A533" s="85" t="s">
        <v>2054</v>
      </c>
      <c r="B533" s="113" t="s">
        <v>2002</v>
      </c>
      <c r="C533" s="26" t="s">
        <v>37</v>
      </c>
      <c r="D533" s="14"/>
      <c r="E533" s="15"/>
      <c r="F533" s="16">
        <f t="shared" si="38"/>
        <v>0</v>
      </c>
      <c r="G533">
        <f t="shared" si="37"/>
        <v>0</v>
      </c>
    </row>
    <row r="534" spans="1:7" hidden="1" x14ac:dyDescent="0.25">
      <c r="A534" s="85" t="s">
        <v>2055</v>
      </c>
      <c r="B534" s="88" t="s">
        <v>2003</v>
      </c>
      <c r="C534" s="26" t="s">
        <v>37</v>
      </c>
      <c r="D534" s="14"/>
      <c r="E534" s="15"/>
      <c r="F534" s="16">
        <f t="shared" si="38"/>
        <v>0</v>
      </c>
      <c r="G534">
        <f t="shared" si="37"/>
        <v>0</v>
      </c>
    </row>
    <row r="535" spans="1:7" hidden="1" x14ac:dyDescent="0.25">
      <c r="A535" s="85" t="s">
        <v>2056</v>
      </c>
      <c r="B535" s="113" t="s">
        <v>2004</v>
      </c>
      <c r="C535" s="26" t="s">
        <v>37</v>
      </c>
      <c r="D535" s="14"/>
      <c r="E535" s="15"/>
      <c r="F535" s="16">
        <f t="shared" si="38"/>
        <v>0</v>
      </c>
      <c r="G535">
        <f t="shared" si="37"/>
        <v>0</v>
      </c>
    </row>
    <row r="536" spans="1:7" hidden="1" x14ac:dyDescent="0.25">
      <c r="A536" s="85" t="s">
        <v>2057</v>
      </c>
      <c r="B536" s="88" t="s">
        <v>2005</v>
      </c>
      <c r="C536" s="26" t="s">
        <v>37</v>
      </c>
      <c r="D536" s="14"/>
      <c r="E536" s="15"/>
      <c r="F536" s="16">
        <f t="shared" si="38"/>
        <v>0</v>
      </c>
      <c r="G536">
        <f t="shared" si="37"/>
        <v>0</v>
      </c>
    </row>
    <row r="537" spans="1:7" hidden="1" x14ac:dyDescent="0.25">
      <c r="A537" s="85" t="s">
        <v>2058</v>
      </c>
      <c r="B537" s="113" t="s">
        <v>2006</v>
      </c>
      <c r="C537" s="26" t="s">
        <v>37</v>
      </c>
      <c r="D537" s="14"/>
      <c r="E537" s="15"/>
      <c r="F537" s="16">
        <f t="shared" si="38"/>
        <v>0</v>
      </c>
      <c r="G537">
        <f t="shared" si="37"/>
        <v>0</v>
      </c>
    </row>
    <row r="538" spans="1:7" hidden="1" x14ac:dyDescent="0.25">
      <c r="A538" s="85" t="s">
        <v>2059</v>
      </c>
      <c r="B538" s="88" t="s">
        <v>2007</v>
      </c>
      <c r="C538" s="26" t="s">
        <v>37</v>
      </c>
      <c r="D538" s="14"/>
      <c r="E538" s="15"/>
      <c r="F538" s="16">
        <f t="shared" si="38"/>
        <v>0</v>
      </c>
      <c r="G538">
        <f t="shared" si="37"/>
        <v>0</v>
      </c>
    </row>
    <row r="539" spans="1:7" hidden="1" x14ac:dyDescent="0.25">
      <c r="A539" s="85" t="s">
        <v>2060</v>
      </c>
      <c r="B539" s="113" t="s">
        <v>2008</v>
      </c>
      <c r="C539" s="26" t="s">
        <v>37</v>
      </c>
      <c r="D539" s="14"/>
      <c r="E539" s="15"/>
      <c r="F539" s="16">
        <f t="shared" si="38"/>
        <v>0</v>
      </c>
      <c r="G539">
        <f t="shared" si="37"/>
        <v>0</v>
      </c>
    </row>
    <row r="540" spans="1:7" hidden="1" x14ac:dyDescent="0.25">
      <c r="A540" s="85" t="s">
        <v>2061</v>
      </c>
      <c r="B540" s="88" t="s">
        <v>2009</v>
      </c>
      <c r="C540" s="26" t="s">
        <v>37</v>
      </c>
      <c r="D540" s="14"/>
      <c r="E540" s="15"/>
      <c r="F540" s="16">
        <f t="shared" si="38"/>
        <v>0</v>
      </c>
      <c r="G540">
        <f t="shared" si="37"/>
        <v>0</v>
      </c>
    </row>
    <row r="541" spans="1:7" hidden="1" x14ac:dyDescent="0.25">
      <c r="A541" s="85" t="s">
        <v>2062</v>
      </c>
      <c r="B541" s="88" t="s">
        <v>2010</v>
      </c>
      <c r="C541" s="26" t="s">
        <v>37</v>
      </c>
      <c r="D541" s="14"/>
      <c r="E541" s="15"/>
      <c r="F541" s="16">
        <f t="shared" si="38"/>
        <v>0</v>
      </c>
      <c r="G541">
        <f t="shared" si="37"/>
        <v>0</v>
      </c>
    </row>
    <row r="542" spans="1:7" hidden="1" x14ac:dyDescent="0.25">
      <c r="A542" s="85" t="s">
        <v>2063</v>
      </c>
      <c r="B542" s="88" t="s">
        <v>2011</v>
      </c>
      <c r="C542" s="26" t="s">
        <v>37</v>
      </c>
      <c r="D542" s="14"/>
      <c r="E542" s="15"/>
      <c r="F542" s="16">
        <f t="shared" si="38"/>
        <v>0</v>
      </c>
      <c r="G542">
        <f t="shared" si="37"/>
        <v>0</v>
      </c>
    </row>
    <row r="543" spans="1:7" hidden="1" x14ac:dyDescent="0.25">
      <c r="A543" s="78" t="s">
        <v>2029</v>
      </c>
      <c r="B543" s="79" t="s">
        <v>2030</v>
      </c>
      <c r="C543" s="26"/>
      <c r="D543" s="14"/>
      <c r="E543" s="15"/>
      <c r="F543" s="16"/>
      <c r="G543">
        <f t="shared" si="37"/>
        <v>0</v>
      </c>
    </row>
    <row r="544" spans="1:7" hidden="1" x14ac:dyDescent="0.25">
      <c r="A544" s="78" t="s">
        <v>2031</v>
      </c>
      <c r="B544" s="79" t="s">
        <v>2047</v>
      </c>
      <c r="C544" s="26"/>
      <c r="D544" s="14"/>
      <c r="E544" s="15"/>
      <c r="F544" s="16"/>
      <c r="G544">
        <f t="shared" si="37"/>
        <v>0</v>
      </c>
    </row>
    <row r="545" spans="1:7" hidden="1" x14ac:dyDescent="0.25">
      <c r="A545" s="85" t="s">
        <v>2048</v>
      </c>
      <c r="B545" s="88" t="s">
        <v>2032</v>
      </c>
      <c r="C545" s="26" t="s">
        <v>37</v>
      </c>
      <c r="D545" s="14"/>
      <c r="E545" s="15"/>
      <c r="F545" s="16">
        <f t="shared" ref="F545:F575" si="39">+D545*E545</f>
        <v>0</v>
      </c>
      <c r="G545">
        <f t="shared" si="37"/>
        <v>0</v>
      </c>
    </row>
    <row r="546" spans="1:7" hidden="1" x14ac:dyDescent="0.25">
      <c r="A546" s="85" t="s">
        <v>2064</v>
      </c>
      <c r="B546" s="113" t="s">
        <v>2033</v>
      </c>
      <c r="C546" s="26" t="s">
        <v>37</v>
      </c>
      <c r="D546" s="14"/>
      <c r="E546" s="15"/>
      <c r="F546" s="16">
        <f t="shared" si="39"/>
        <v>0</v>
      </c>
      <c r="G546">
        <f t="shared" si="37"/>
        <v>0</v>
      </c>
    </row>
    <row r="547" spans="1:7" hidden="1" x14ac:dyDescent="0.25">
      <c r="A547" s="85" t="s">
        <v>2065</v>
      </c>
      <c r="B547" s="88" t="s">
        <v>2034</v>
      </c>
      <c r="C547" s="26" t="s">
        <v>37</v>
      </c>
      <c r="D547" s="14"/>
      <c r="E547" s="15"/>
      <c r="F547" s="16">
        <f t="shared" si="39"/>
        <v>0</v>
      </c>
      <c r="G547">
        <f t="shared" si="37"/>
        <v>0</v>
      </c>
    </row>
    <row r="548" spans="1:7" hidden="1" x14ac:dyDescent="0.25">
      <c r="A548" s="85" t="s">
        <v>2066</v>
      </c>
      <c r="B548" s="88" t="s">
        <v>2035</v>
      </c>
      <c r="C548" s="26" t="s">
        <v>37</v>
      </c>
      <c r="D548" s="14"/>
      <c r="E548" s="15"/>
      <c r="F548" s="16">
        <f t="shared" si="39"/>
        <v>0</v>
      </c>
      <c r="G548">
        <f t="shared" si="37"/>
        <v>0</v>
      </c>
    </row>
    <row r="549" spans="1:7" hidden="1" x14ac:dyDescent="0.25">
      <c r="A549" s="85" t="s">
        <v>2067</v>
      </c>
      <c r="B549" s="113" t="s">
        <v>2036</v>
      </c>
      <c r="C549" s="26" t="s">
        <v>37</v>
      </c>
      <c r="D549" s="14"/>
      <c r="E549" s="15"/>
      <c r="F549" s="16">
        <f t="shared" si="39"/>
        <v>0</v>
      </c>
      <c r="G549">
        <f t="shared" si="37"/>
        <v>0</v>
      </c>
    </row>
    <row r="550" spans="1:7" hidden="1" x14ac:dyDescent="0.25">
      <c r="A550" s="85" t="s">
        <v>2068</v>
      </c>
      <c r="B550" s="113" t="s">
        <v>2037</v>
      </c>
      <c r="C550" s="26" t="s">
        <v>37</v>
      </c>
      <c r="D550" s="14"/>
      <c r="E550" s="15"/>
      <c r="F550" s="16">
        <f t="shared" si="39"/>
        <v>0</v>
      </c>
      <c r="G550">
        <f t="shared" si="37"/>
        <v>0</v>
      </c>
    </row>
    <row r="551" spans="1:7" hidden="1" x14ac:dyDescent="0.25">
      <c r="A551" s="85" t="s">
        <v>2069</v>
      </c>
      <c r="B551" s="88" t="s">
        <v>2038</v>
      </c>
      <c r="C551" s="26" t="s">
        <v>37</v>
      </c>
      <c r="D551" s="14"/>
      <c r="E551" s="15"/>
      <c r="F551" s="16">
        <f t="shared" si="39"/>
        <v>0</v>
      </c>
      <c r="G551">
        <f t="shared" si="37"/>
        <v>0</v>
      </c>
    </row>
    <row r="552" spans="1:7" hidden="1" x14ac:dyDescent="0.25">
      <c r="A552" s="85" t="s">
        <v>2070</v>
      </c>
      <c r="B552" s="113" t="s">
        <v>2039</v>
      </c>
      <c r="C552" s="26" t="s">
        <v>37</v>
      </c>
      <c r="D552" s="14"/>
      <c r="E552" s="15"/>
      <c r="F552" s="16">
        <f t="shared" si="39"/>
        <v>0</v>
      </c>
      <c r="G552">
        <f t="shared" si="37"/>
        <v>0</v>
      </c>
    </row>
    <row r="553" spans="1:7" hidden="1" x14ac:dyDescent="0.25">
      <c r="A553" s="85" t="s">
        <v>2071</v>
      </c>
      <c r="B553" s="88" t="s">
        <v>2040</v>
      </c>
      <c r="C553" s="26" t="s">
        <v>37</v>
      </c>
      <c r="D553" s="14"/>
      <c r="E553" s="15"/>
      <c r="F553" s="16">
        <f t="shared" si="39"/>
        <v>0</v>
      </c>
      <c r="G553">
        <f t="shared" si="37"/>
        <v>0</v>
      </c>
    </row>
    <row r="554" spans="1:7" hidden="1" x14ac:dyDescent="0.25">
      <c r="A554" s="85" t="s">
        <v>2072</v>
      </c>
      <c r="B554" s="113" t="s">
        <v>2041</v>
      </c>
      <c r="C554" s="26" t="s">
        <v>37</v>
      </c>
      <c r="D554" s="14"/>
      <c r="E554" s="15"/>
      <c r="F554" s="16">
        <f t="shared" si="39"/>
        <v>0</v>
      </c>
      <c r="G554">
        <f t="shared" si="37"/>
        <v>0</v>
      </c>
    </row>
    <row r="555" spans="1:7" hidden="1" x14ac:dyDescent="0.25">
      <c r="A555" s="85" t="s">
        <v>2073</v>
      </c>
      <c r="B555" s="88" t="s">
        <v>2042</v>
      </c>
      <c r="C555" s="26" t="s">
        <v>37</v>
      </c>
      <c r="D555" s="14"/>
      <c r="E555" s="15"/>
      <c r="F555" s="16">
        <f t="shared" si="39"/>
        <v>0</v>
      </c>
      <c r="G555">
        <f t="shared" si="37"/>
        <v>0</v>
      </c>
    </row>
    <row r="556" spans="1:7" hidden="1" x14ac:dyDescent="0.25">
      <c r="A556" s="85" t="s">
        <v>2074</v>
      </c>
      <c r="B556" s="113" t="s">
        <v>2043</v>
      </c>
      <c r="C556" s="26" t="s">
        <v>37</v>
      </c>
      <c r="D556" s="14"/>
      <c r="E556" s="15"/>
      <c r="F556" s="16">
        <f t="shared" si="39"/>
        <v>0</v>
      </c>
      <c r="G556">
        <f t="shared" si="37"/>
        <v>0</v>
      </c>
    </row>
    <row r="557" spans="1:7" hidden="1" x14ac:dyDescent="0.25">
      <c r="A557" s="85" t="s">
        <v>2075</v>
      </c>
      <c r="B557" s="88" t="s">
        <v>2044</v>
      </c>
      <c r="C557" s="26" t="s">
        <v>37</v>
      </c>
      <c r="D557" s="14"/>
      <c r="E557" s="15"/>
      <c r="F557" s="16">
        <f t="shared" si="39"/>
        <v>0</v>
      </c>
      <c r="G557">
        <f t="shared" si="37"/>
        <v>0</v>
      </c>
    </row>
    <row r="558" spans="1:7" hidden="1" x14ac:dyDescent="0.25">
      <c r="A558" s="85" t="s">
        <v>2076</v>
      </c>
      <c r="B558" s="88" t="s">
        <v>2045</v>
      </c>
      <c r="C558" s="26" t="s">
        <v>37</v>
      </c>
      <c r="D558" s="14"/>
      <c r="E558" s="15"/>
      <c r="F558" s="16">
        <f t="shared" si="39"/>
        <v>0</v>
      </c>
      <c r="G558">
        <f t="shared" si="37"/>
        <v>0</v>
      </c>
    </row>
    <row r="559" spans="1:7" hidden="1" x14ac:dyDescent="0.25">
      <c r="A559" s="85" t="s">
        <v>2077</v>
      </c>
      <c r="B559" s="88" t="s">
        <v>2046</v>
      </c>
      <c r="C559" s="26" t="s">
        <v>37</v>
      </c>
      <c r="D559" s="14"/>
      <c r="E559" s="15"/>
      <c r="F559" s="16">
        <f t="shared" si="39"/>
        <v>0</v>
      </c>
      <c r="G559">
        <f t="shared" si="37"/>
        <v>0</v>
      </c>
    </row>
    <row r="560" spans="1:7" hidden="1" x14ac:dyDescent="0.25">
      <c r="A560" s="78" t="s">
        <v>2079</v>
      </c>
      <c r="B560" s="79" t="s">
        <v>2078</v>
      </c>
      <c r="C560" s="26" t="s">
        <v>37</v>
      </c>
      <c r="D560" s="14"/>
      <c r="E560" s="15"/>
      <c r="F560" s="16">
        <f t="shared" si="39"/>
        <v>0</v>
      </c>
      <c r="G560">
        <f t="shared" si="37"/>
        <v>0</v>
      </c>
    </row>
    <row r="561" spans="1:7" hidden="1" x14ac:dyDescent="0.25">
      <c r="A561" s="85" t="s">
        <v>2080</v>
      </c>
      <c r="B561" s="88" t="s">
        <v>2032</v>
      </c>
      <c r="C561" s="26" t="s">
        <v>37</v>
      </c>
      <c r="D561" s="14"/>
      <c r="E561" s="15"/>
      <c r="F561" s="16">
        <f t="shared" si="39"/>
        <v>0</v>
      </c>
      <c r="G561">
        <f t="shared" si="37"/>
        <v>0</v>
      </c>
    </row>
    <row r="562" spans="1:7" hidden="1" x14ac:dyDescent="0.25">
      <c r="A562" s="85" t="s">
        <v>2081</v>
      </c>
      <c r="B562" s="113" t="s">
        <v>2033</v>
      </c>
      <c r="C562" s="26" t="s">
        <v>37</v>
      </c>
      <c r="D562" s="14"/>
      <c r="E562" s="15"/>
      <c r="F562" s="16">
        <f t="shared" si="39"/>
        <v>0</v>
      </c>
      <c r="G562">
        <f t="shared" si="37"/>
        <v>0</v>
      </c>
    </row>
    <row r="563" spans="1:7" hidden="1" x14ac:dyDescent="0.25">
      <c r="A563" s="85" t="s">
        <v>2082</v>
      </c>
      <c r="B563" s="88" t="s">
        <v>2034</v>
      </c>
      <c r="C563" s="26" t="s">
        <v>37</v>
      </c>
      <c r="D563" s="14"/>
      <c r="E563" s="15"/>
      <c r="F563" s="16">
        <f t="shared" si="39"/>
        <v>0</v>
      </c>
      <c r="G563">
        <f t="shared" si="37"/>
        <v>0</v>
      </c>
    </row>
    <row r="564" spans="1:7" hidden="1" x14ac:dyDescent="0.25">
      <c r="A564" s="85" t="s">
        <v>2083</v>
      </c>
      <c r="B564" s="88" t="s">
        <v>2035</v>
      </c>
      <c r="C564" s="26" t="s">
        <v>37</v>
      </c>
      <c r="D564" s="14"/>
      <c r="E564" s="15"/>
      <c r="F564" s="16">
        <f t="shared" si="39"/>
        <v>0</v>
      </c>
      <c r="G564">
        <f t="shared" si="37"/>
        <v>0</v>
      </c>
    </row>
    <row r="565" spans="1:7" hidden="1" x14ac:dyDescent="0.25">
      <c r="A565" s="85" t="s">
        <v>2084</v>
      </c>
      <c r="B565" s="113" t="s">
        <v>2036</v>
      </c>
      <c r="C565" s="26" t="s">
        <v>37</v>
      </c>
      <c r="D565" s="14"/>
      <c r="E565" s="15"/>
      <c r="F565" s="16">
        <f t="shared" si="39"/>
        <v>0</v>
      </c>
      <c r="G565">
        <f t="shared" si="37"/>
        <v>0</v>
      </c>
    </row>
    <row r="566" spans="1:7" hidden="1" x14ac:dyDescent="0.25">
      <c r="A566" s="85" t="s">
        <v>2085</v>
      </c>
      <c r="B566" s="113" t="s">
        <v>2037</v>
      </c>
      <c r="C566" s="26" t="s">
        <v>37</v>
      </c>
      <c r="D566" s="14"/>
      <c r="E566" s="15"/>
      <c r="F566" s="16">
        <f t="shared" si="39"/>
        <v>0</v>
      </c>
      <c r="G566">
        <f t="shared" si="37"/>
        <v>0</v>
      </c>
    </row>
    <row r="567" spans="1:7" hidden="1" x14ac:dyDescent="0.25">
      <c r="A567" s="85" t="s">
        <v>2086</v>
      </c>
      <c r="B567" s="88" t="s">
        <v>2038</v>
      </c>
      <c r="C567" s="26" t="s">
        <v>37</v>
      </c>
      <c r="D567" s="14"/>
      <c r="E567" s="15"/>
      <c r="F567" s="16">
        <f t="shared" si="39"/>
        <v>0</v>
      </c>
      <c r="G567">
        <f t="shared" si="37"/>
        <v>0</v>
      </c>
    </row>
    <row r="568" spans="1:7" hidden="1" x14ac:dyDescent="0.25">
      <c r="A568" s="85" t="s">
        <v>2087</v>
      </c>
      <c r="B568" s="113" t="s">
        <v>2039</v>
      </c>
      <c r="C568" s="26" t="s">
        <v>37</v>
      </c>
      <c r="D568" s="14"/>
      <c r="E568" s="15"/>
      <c r="F568" s="16">
        <f t="shared" si="39"/>
        <v>0</v>
      </c>
      <c r="G568">
        <f t="shared" si="37"/>
        <v>0</v>
      </c>
    </row>
    <row r="569" spans="1:7" hidden="1" x14ac:dyDescent="0.25">
      <c r="A569" s="85" t="s">
        <v>2088</v>
      </c>
      <c r="B569" s="88" t="s">
        <v>2040</v>
      </c>
      <c r="C569" s="26" t="s">
        <v>37</v>
      </c>
      <c r="D569" s="14"/>
      <c r="E569" s="15"/>
      <c r="F569" s="16">
        <f t="shared" si="39"/>
        <v>0</v>
      </c>
      <c r="G569">
        <f t="shared" si="37"/>
        <v>0</v>
      </c>
    </row>
    <row r="570" spans="1:7" hidden="1" x14ac:dyDescent="0.25">
      <c r="A570" s="85" t="s">
        <v>2089</v>
      </c>
      <c r="B570" s="113" t="s">
        <v>2041</v>
      </c>
      <c r="C570" s="26" t="s">
        <v>37</v>
      </c>
      <c r="D570" s="14"/>
      <c r="E570" s="15"/>
      <c r="F570" s="16">
        <f t="shared" si="39"/>
        <v>0</v>
      </c>
      <c r="G570">
        <f t="shared" si="37"/>
        <v>0</v>
      </c>
    </row>
    <row r="571" spans="1:7" hidden="1" x14ac:dyDescent="0.25">
      <c r="A571" s="85" t="s">
        <v>2090</v>
      </c>
      <c r="B571" s="88" t="s">
        <v>2042</v>
      </c>
      <c r="C571" s="26" t="s">
        <v>37</v>
      </c>
      <c r="D571" s="14"/>
      <c r="E571" s="15"/>
      <c r="F571" s="16">
        <f t="shared" si="39"/>
        <v>0</v>
      </c>
      <c r="G571">
        <f t="shared" si="37"/>
        <v>0</v>
      </c>
    </row>
    <row r="572" spans="1:7" hidden="1" x14ac:dyDescent="0.25">
      <c r="A572" s="85" t="s">
        <v>2091</v>
      </c>
      <c r="B572" s="113" t="s">
        <v>2043</v>
      </c>
      <c r="C572" s="26" t="s">
        <v>37</v>
      </c>
      <c r="D572" s="14"/>
      <c r="E572" s="15"/>
      <c r="F572" s="16">
        <f t="shared" si="39"/>
        <v>0</v>
      </c>
      <c r="G572">
        <f t="shared" si="37"/>
        <v>0</v>
      </c>
    </row>
    <row r="573" spans="1:7" hidden="1" x14ac:dyDescent="0.25">
      <c r="A573" s="85" t="s">
        <v>2092</v>
      </c>
      <c r="B573" s="88" t="s">
        <v>2044</v>
      </c>
      <c r="C573" s="26" t="s">
        <v>37</v>
      </c>
      <c r="D573" s="14"/>
      <c r="E573" s="15"/>
      <c r="F573" s="16">
        <f t="shared" si="39"/>
        <v>0</v>
      </c>
      <c r="G573">
        <f t="shared" si="37"/>
        <v>0</v>
      </c>
    </row>
    <row r="574" spans="1:7" hidden="1" x14ac:dyDescent="0.25">
      <c r="A574" s="85" t="s">
        <v>2093</v>
      </c>
      <c r="B574" s="88" t="s">
        <v>2045</v>
      </c>
      <c r="C574" s="26" t="s">
        <v>37</v>
      </c>
      <c r="D574" s="14"/>
      <c r="E574" s="15"/>
      <c r="F574" s="16">
        <f t="shared" si="39"/>
        <v>0</v>
      </c>
      <c r="G574">
        <f t="shared" si="37"/>
        <v>0</v>
      </c>
    </row>
    <row r="575" spans="1:7" hidden="1" x14ac:dyDescent="0.25">
      <c r="A575" s="85" t="s">
        <v>2094</v>
      </c>
      <c r="B575" s="88" t="s">
        <v>2046</v>
      </c>
      <c r="C575" s="26" t="s">
        <v>37</v>
      </c>
      <c r="D575" s="14"/>
      <c r="E575" s="15"/>
      <c r="F575" s="16">
        <f t="shared" si="39"/>
        <v>0</v>
      </c>
      <c r="G575">
        <f t="shared" si="37"/>
        <v>0</v>
      </c>
    </row>
    <row r="576" spans="1:7" hidden="1" x14ac:dyDescent="0.25">
      <c r="A576" s="85" t="s">
        <v>2096</v>
      </c>
      <c r="B576" s="79" t="s">
        <v>2095</v>
      </c>
      <c r="C576" s="26"/>
      <c r="D576" s="14"/>
      <c r="E576" s="15"/>
      <c r="F576" s="16"/>
      <c r="G576">
        <f t="shared" si="37"/>
        <v>0</v>
      </c>
    </row>
    <row r="577" spans="1:7" hidden="1" x14ac:dyDescent="0.25">
      <c r="A577" s="78" t="s">
        <v>2098</v>
      </c>
      <c r="B577" s="79" t="s">
        <v>2097</v>
      </c>
      <c r="C577" s="26"/>
      <c r="D577" s="14"/>
      <c r="E577" s="15"/>
      <c r="F577" s="16"/>
      <c r="G577">
        <f t="shared" si="37"/>
        <v>0</v>
      </c>
    </row>
    <row r="578" spans="1:7" hidden="1" x14ac:dyDescent="0.25">
      <c r="A578" s="85" t="s">
        <v>2099</v>
      </c>
      <c r="B578" s="88" t="s">
        <v>2100</v>
      </c>
      <c r="C578" s="26" t="s">
        <v>37</v>
      </c>
      <c r="D578" s="14"/>
      <c r="E578" s="15"/>
      <c r="F578" s="16">
        <f t="shared" ref="F578:F592" si="40">+D578*E578</f>
        <v>0</v>
      </c>
      <c r="G578">
        <f t="shared" si="37"/>
        <v>0</v>
      </c>
    </row>
    <row r="579" spans="1:7" hidden="1" x14ac:dyDescent="0.25">
      <c r="A579" s="85" t="s">
        <v>2116</v>
      </c>
      <c r="B579" s="88" t="s">
        <v>2101</v>
      </c>
      <c r="C579" s="26" t="s">
        <v>37</v>
      </c>
      <c r="D579" s="14"/>
      <c r="E579" s="15"/>
      <c r="F579" s="16">
        <f t="shared" si="40"/>
        <v>0</v>
      </c>
      <c r="G579">
        <f t="shared" si="37"/>
        <v>0</v>
      </c>
    </row>
    <row r="580" spans="1:7" hidden="1" x14ac:dyDescent="0.25">
      <c r="A580" s="85" t="s">
        <v>2117</v>
      </c>
      <c r="B580" s="88" t="s">
        <v>2102</v>
      </c>
      <c r="C580" s="26" t="s">
        <v>37</v>
      </c>
      <c r="D580" s="14"/>
      <c r="E580" s="15"/>
      <c r="F580" s="16">
        <f t="shared" si="40"/>
        <v>0</v>
      </c>
      <c r="G580">
        <f t="shared" si="37"/>
        <v>0</v>
      </c>
    </row>
    <row r="581" spans="1:7" hidden="1" x14ac:dyDescent="0.25">
      <c r="A581" s="85" t="s">
        <v>2118</v>
      </c>
      <c r="B581" s="88" t="s">
        <v>2103</v>
      </c>
      <c r="C581" s="26" t="s">
        <v>37</v>
      </c>
      <c r="D581" s="14"/>
      <c r="E581" s="15"/>
      <c r="F581" s="16">
        <f t="shared" si="40"/>
        <v>0</v>
      </c>
      <c r="G581">
        <f t="shared" si="37"/>
        <v>0</v>
      </c>
    </row>
    <row r="582" spans="1:7" hidden="1" x14ac:dyDescent="0.25">
      <c r="A582" s="85" t="s">
        <v>2119</v>
      </c>
      <c r="B582" s="88" t="s">
        <v>2105</v>
      </c>
      <c r="C582" s="26" t="s">
        <v>37</v>
      </c>
      <c r="D582" s="14"/>
      <c r="E582" s="15"/>
      <c r="F582" s="16">
        <f t="shared" si="40"/>
        <v>0</v>
      </c>
      <c r="G582">
        <f t="shared" si="37"/>
        <v>0</v>
      </c>
    </row>
    <row r="583" spans="1:7" hidden="1" x14ac:dyDescent="0.25">
      <c r="A583" s="85" t="s">
        <v>2120</v>
      </c>
      <c r="B583" s="88" t="s">
        <v>2104</v>
      </c>
      <c r="C583" s="26" t="s">
        <v>37</v>
      </c>
      <c r="D583" s="14"/>
      <c r="E583" s="15"/>
      <c r="F583" s="16">
        <f t="shared" si="40"/>
        <v>0</v>
      </c>
      <c r="G583">
        <f t="shared" si="37"/>
        <v>0</v>
      </c>
    </row>
    <row r="584" spans="1:7" hidden="1" x14ac:dyDescent="0.25">
      <c r="A584" s="85" t="s">
        <v>2121</v>
      </c>
      <c r="B584" s="88" t="s">
        <v>2106</v>
      </c>
      <c r="C584" s="26" t="s">
        <v>37</v>
      </c>
      <c r="D584" s="14"/>
      <c r="E584" s="15"/>
      <c r="F584" s="16">
        <f t="shared" si="40"/>
        <v>0</v>
      </c>
      <c r="G584">
        <f t="shared" si="37"/>
        <v>0</v>
      </c>
    </row>
    <row r="585" spans="1:7" hidden="1" x14ac:dyDescent="0.25">
      <c r="A585" s="85" t="s">
        <v>2122</v>
      </c>
      <c r="B585" s="88" t="s">
        <v>2107</v>
      </c>
      <c r="C585" s="26" t="s">
        <v>37</v>
      </c>
      <c r="D585" s="14"/>
      <c r="E585" s="15"/>
      <c r="F585" s="16">
        <f t="shared" si="40"/>
        <v>0</v>
      </c>
      <c r="G585">
        <f t="shared" ref="G585:G610" si="41">+IF(F585&lt;&gt;0,1,0)</f>
        <v>0</v>
      </c>
    </row>
    <row r="586" spans="1:7" hidden="1" x14ac:dyDescent="0.25">
      <c r="A586" s="85" t="s">
        <v>2123</v>
      </c>
      <c r="B586" s="88" t="s">
        <v>2108</v>
      </c>
      <c r="C586" s="26" t="s">
        <v>37</v>
      </c>
      <c r="D586" s="14"/>
      <c r="E586" s="15"/>
      <c r="F586" s="16">
        <f t="shared" si="40"/>
        <v>0</v>
      </c>
      <c r="G586">
        <f t="shared" si="41"/>
        <v>0</v>
      </c>
    </row>
    <row r="587" spans="1:7" hidden="1" x14ac:dyDescent="0.25">
      <c r="A587" s="85" t="s">
        <v>2124</v>
      </c>
      <c r="B587" s="88" t="s">
        <v>2109</v>
      </c>
      <c r="C587" s="26" t="s">
        <v>37</v>
      </c>
      <c r="D587" s="14"/>
      <c r="E587" s="15"/>
      <c r="F587" s="16">
        <f t="shared" si="40"/>
        <v>0</v>
      </c>
      <c r="G587">
        <f t="shared" si="41"/>
        <v>0</v>
      </c>
    </row>
    <row r="588" spans="1:7" hidden="1" x14ac:dyDescent="0.25">
      <c r="A588" s="85" t="s">
        <v>2125</v>
      </c>
      <c r="B588" s="88" t="s">
        <v>2110</v>
      </c>
      <c r="C588" s="26" t="s">
        <v>37</v>
      </c>
      <c r="D588" s="14"/>
      <c r="E588" s="15"/>
      <c r="F588" s="16">
        <f t="shared" si="40"/>
        <v>0</v>
      </c>
      <c r="G588">
        <f t="shared" si="41"/>
        <v>0</v>
      </c>
    </row>
    <row r="589" spans="1:7" hidden="1" x14ac:dyDescent="0.25">
      <c r="A589" s="85" t="s">
        <v>2126</v>
      </c>
      <c r="B589" s="88" t="s">
        <v>2111</v>
      </c>
      <c r="C589" s="26" t="s">
        <v>37</v>
      </c>
      <c r="D589" s="14"/>
      <c r="E589" s="15"/>
      <c r="F589" s="16">
        <f t="shared" si="40"/>
        <v>0</v>
      </c>
      <c r="G589">
        <f t="shared" si="41"/>
        <v>0</v>
      </c>
    </row>
    <row r="590" spans="1:7" hidden="1" x14ac:dyDescent="0.25">
      <c r="A590" s="85" t="s">
        <v>2127</v>
      </c>
      <c r="B590" s="88" t="s">
        <v>2112</v>
      </c>
      <c r="C590" s="26" t="s">
        <v>37</v>
      </c>
      <c r="D590" s="14"/>
      <c r="E590" s="15"/>
      <c r="F590" s="16">
        <f t="shared" si="40"/>
        <v>0</v>
      </c>
      <c r="G590">
        <f t="shared" si="41"/>
        <v>0</v>
      </c>
    </row>
    <row r="591" spans="1:7" hidden="1" x14ac:dyDescent="0.25">
      <c r="A591" s="85" t="s">
        <v>2128</v>
      </c>
      <c r="B591" s="88" t="s">
        <v>2113</v>
      </c>
      <c r="C591" s="26" t="s">
        <v>37</v>
      </c>
      <c r="D591" s="14"/>
      <c r="E591" s="15"/>
      <c r="F591" s="16">
        <f t="shared" si="40"/>
        <v>0</v>
      </c>
      <c r="G591">
        <f t="shared" si="41"/>
        <v>0</v>
      </c>
    </row>
    <row r="592" spans="1:7" hidden="1" x14ac:dyDescent="0.25">
      <c r="A592" s="85" t="s">
        <v>2129</v>
      </c>
      <c r="B592" s="88" t="s">
        <v>2114</v>
      </c>
      <c r="C592" s="26" t="s">
        <v>37</v>
      </c>
      <c r="D592" s="14"/>
      <c r="E592" s="15"/>
      <c r="F592" s="16">
        <f t="shared" si="40"/>
        <v>0</v>
      </c>
      <c r="G592">
        <f t="shared" si="41"/>
        <v>0</v>
      </c>
    </row>
    <row r="593" spans="1:7" hidden="1" x14ac:dyDescent="0.25">
      <c r="A593" s="78" t="s">
        <v>2130</v>
      </c>
      <c r="B593" s="79" t="s">
        <v>2115</v>
      </c>
      <c r="C593" s="26"/>
      <c r="D593" s="14"/>
      <c r="E593" s="15"/>
      <c r="F593" s="16"/>
      <c r="G593">
        <f t="shared" si="41"/>
        <v>0</v>
      </c>
    </row>
    <row r="594" spans="1:7" hidden="1" x14ac:dyDescent="0.25">
      <c r="A594" s="85" t="s">
        <v>2131</v>
      </c>
      <c r="B594" s="88" t="s">
        <v>2100</v>
      </c>
      <c r="C594" s="26" t="s">
        <v>37</v>
      </c>
      <c r="D594" s="14"/>
      <c r="E594" s="15"/>
      <c r="F594" s="16">
        <f t="shared" ref="F594:F608" si="42">+D594*E594</f>
        <v>0</v>
      </c>
      <c r="G594">
        <f t="shared" si="41"/>
        <v>0</v>
      </c>
    </row>
    <row r="595" spans="1:7" hidden="1" x14ac:dyDescent="0.25">
      <c r="A595" s="85" t="s">
        <v>2132</v>
      </c>
      <c r="B595" s="88" t="s">
        <v>2101</v>
      </c>
      <c r="C595" s="26" t="s">
        <v>37</v>
      </c>
      <c r="D595" s="14"/>
      <c r="E595" s="15"/>
      <c r="F595" s="16">
        <f t="shared" si="42"/>
        <v>0</v>
      </c>
      <c r="G595">
        <f t="shared" si="41"/>
        <v>0</v>
      </c>
    </row>
    <row r="596" spans="1:7" hidden="1" x14ac:dyDescent="0.25">
      <c r="A596" s="85" t="s">
        <v>2133</v>
      </c>
      <c r="B596" s="88" t="s">
        <v>2102</v>
      </c>
      <c r="C596" s="26" t="s">
        <v>37</v>
      </c>
      <c r="D596" s="14"/>
      <c r="E596" s="15"/>
      <c r="F596" s="16">
        <f t="shared" si="42"/>
        <v>0</v>
      </c>
      <c r="G596">
        <f t="shared" si="41"/>
        <v>0</v>
      </c>
    </row>
    <row r="597" spans="1:7" hidden="1" x14ac:dyDescent="0.25">
      <c r="A597" s="85" t="s">
        <v>2134</v>
      </c>
      <c r="B597" s="88" t="s">
        <v>2103</v>
      </c>
      <c r="C597" s="26" t="s">
        <v>37</v>
      </c>
      <c r="D597" s="14"/>
      <c r="E597" s="15"/>
      <c r="F597" s="16">
        <f t="shared" si="42"/>
        <v>0</v>
      </c>
      <c r="G597">
        <f t="shared" si="41"/>
        <v>0</v>
      </c>
    </row>
    <row r="598" spans="1:7" hidden="1" x14ac:dyDescent="0.25">
      <c r="A598" s="85" t="s">
        <v>2135</v>
      </c>
      <c r="B598" s="88" t="s">
        <v>2105</v>
      </c>
      <c r="C598" s="26" t="s">
        <v>37</v>
      </c>
      <c r="D598" s="14"/>
      <c r="E598" s="15"/>
      <c r="F598" s="16">
        <f t="shared" si="42"/>
        <v>0</v>
      </c>
      <c r="G598">
        <f t="shared" si="41"/>
        <v>0</v>
      </c>
    </row>
    <row r="599" spans="1:7" hidden="1" x14ac:dyDescent="0.25">
      <c r="A599" s="85" t="s">
        <v>2136</v>
      </c>
      <c r="B599" s="88" t="s">
        <v>2104</v>
      </c>
      <c r="C599" s="26" t="s">
        <v>37</v>
      </c>
      <c r="D599" s="14"/>
      <c r="E599" s="15"/>
      <c r="F599" s="16">
        <f t="shared" si="42"/>
        <v>0</v>
      </c>
      <c r="G599">
        <f t="shared" si="41"/>
        <v>0</v>
      </c>
    </row>
    <row r="600" spans="1:7" hidden="1" x14ac:dyDescent="0.25">
      <c r="A600" s="85" t="s">
        <v>2137</v>
      </c>
      <c r="B600" s="88" t="s">
        <v>2106</v>
      </c>
      <c r="C600" s="26" t="s">
        <v>37</v>
      </c>
      <c r="D600" s="14"/>
      <c r="E600" s="15"/>
      <c r="F600" s="16">
        <f t="shared" si="42"/>
        <v>0</v>
      </c>
      <c r="G600">
        <f t="shared" si="41"/>
        <v>0</v>
      </c>
    </row>
    <row r="601" spans="1:7" hidden="1" x14ac:dyDescent="0.25">
      <c r="A601" s="85" t="s">
        <v>2138</v>
      </c>
      <c r="B601" s="88" t="s">
        <v>2107</v>
      </c>
      <c r="C601" s="26" t="s">
        <v>37</v>
      </c>
      <c r="D601" s="14"/>
      <c r="E601" s="15"/>
      <c r="F601" s="16">
        <f t="shared" si="42"/>
        <v>0</v>
      </c>
      <c r="G601">
        <f t="shared" si="41"/>
        <v>0</v>
      </c>
    </row>
    <row r="602" spans="1:7" hidden="1" x14ac:dyDescent="0.25">
      <c r="A602" s="85" t="s">
        <v>2139</v>
      </c>
      <c r="B602" s="88" t="s">
        <v>2108</v>
      </c>
      <c r="C602" s="26" t="s">
        <v>37</v>
      </c>
      <c r="D602" s="14"/>
      <c r="E602" s="15"/>
      <c r="F602" s="16">
        <f t="shared" si="42"/>
        <v>0</v>
      </c>
      <c r="G602">
        <f t="shared" si="41"/>
        <v>0</v>
      </c>
    </row>
    <row r="603" spans="1:7" hidden="1" x14ac:dyDescent="0.25">
      <c r="A603" s="85" t="s">
        <v>2140</v>
      </c>
      <c r="B603" s="88" t="s">
        <v>2109</v>
      </c>
      <c r="C603" s="26" t="s">
        <v>37</v>
      </c>
      <c r="D603" s="14"/>
      <c r="E603" s="15"/>
      <c r="F603" s="16">
        <f t="shared" si="42"/>
        <v>0</v>
      </c>
      <c r="G603">
        <f t="shared" si="41"/>
        <v>0</v>
      </c>
    </row>
    <row r="604" spans="1:7" hidden="1" x14ac:dyDescent="0.25">
      <c r="A604" s="85" t="s">
        <v>2141</v>
      </c>
      <c r="B604" s="88" t="s">
        <v>2110</v>
      </c>
      <c r="C604" s="26" t="s">
        <v>37</v>
      </c>
      <c r="D604" s="14"/>
      <c r="E604" s="15"/>
      <c r="F604" s="16">
        <f t="shared" si="42"/>
        <v>0</v>
      </c>
      <c r="G604">
        <f t="shared" si="41"/>
        <v>0</v>
      </c>
    </row>
    <row r="605" spans="1:7" hidden="1" x14ac:dyDescent="0.25">
      <c r="A605" s="85" t="s">
        <v>2142</v>
      </c>
      <c r="B605" s="88" t="s">
        <v>2111</v>
      </c>
      <c r="C605" s="26" t="s">
        <v>37</v>
      </c>
      <c r="D605" s="14"/>
      <c r="E605" s="15"/>
      <c r="F605" s="16">
        <f t="shared" si="42"/>
        <v>0</v>
      </c>
      <c r="G605">
        <f t="shared" si="41"/>
        <v>0</v>
      </c>
    </row>
    <row r="606" spans="1:7" hidden="1" x14ac:dyDescent="0.25">
      <c r="A606" s="85" t="s">
        <v>2143</v>
      </c>
      <c r="B606" s="88" t="s">
        <v>2112</v>
      </c>
      <c r="C606" s="26" t="s">
        <v>37</v>
      </c>
      <c r="D606" s="14"/>
      <c r="E606" s="15"/>
      <c r="F606" s="16">
        <f t="shared" si="42"/>
        <v>0</v>
      </c>
      <c r="G606">
        <f t="shared" si="41"/>
        <v>0</v>
      </c>
    </row>
    <row r="607" spans="1:7" hidden="1" x14ac:dyDescent="0.25">
      <c r="A607" s="85" t="s">
        <v>2144</v>
      </c>
      <c r="B607" s="88" t="s">
        <v>2113</v>
      </c>
      <c r="C607" s="26" t="s">
        <v>37</v>
      </c>
      <c r="D607" s="14"/>
      <c r="E607" s="15"/>
      <c r="F607" s="16">
        <f t="shared" si="42"/>
        <v>0</v>
      </c>
      <c r="G607">
        <f t="shared" si="41"/>
        <v>0</v>
      </c>
    </row>
    <row r="608" spans="1:7" hidden="1" x14ac:dyDescent="0.25">
      <c r="A608" s="85" t="s">
        <v>2145</v>
      </c>
      <c r="B608" s="88" t="s">
        <v>2114</v>
      </c>
      <c r="C608" s="26" t="s">
        <v>37</v>
      </c>
      <c r="D608" s="14"/>
      <c r="E608" s="15"/>
      <c r="F608" s="16">
        <f t="shared" si="42"/>
        <v>0</v>
      </c>
      <c r="G608">
        <f t="shared" si="41"/>
        <v>0</v>
      </c>
    </row>
    <row r="609" spans="1:7" hidden="1" x14ac:dyDescent="0.25">
      <c r="A609" s="44" t="s">
        <v>954</v>
      </c>
      <c r="B609" s="80" t="s">
        <v>2146</v>
      </c>
      <c r="C609" s="26"/>
      <c r="D609" s="14"/>
      <c r="E609" s="15"/>
      <c r="F609" s="16"/>
      <c r="G609">
        <f t="shared" si="41"/>
        <v>0</v>
      </c>
    </row>
    <row r="610" spans="1:7" hidden="1" x14ac:dyDescent="0.25">
      <c r="A610" s="78" t="s">
        <v>2157</v>
      </c>
      <c r="B610" s="79" t="s">
        <v>2147</v>
      </c>
      <c r="C610" s="26"/>
      <c r="D610" s="14"/>
      <c r="E610" s="15"/>
      <c r="F610" s="16"/>
      <c r="G610">
        <f t="shared" si="41"/>
        <v>0</v>
      </c>
    </row>
    <row r="611" spans="1:7" hidden="1" x14ac:dyDescent="0.25">
      <c r="A611" s="85" t="s">
        <v>2158</v>
      </c>
      <c r="B611" s="88" t="s">
        <v>2148</v>
      </c>
      <c r="C611" s="26" t="s">
        <v>37</v>
      </c>
      <c r="D611" s="14"/>
      <c r="E611" s="15"/>
      <c r="F611" s="16">
        <f t="shared" ref="F611:F619" si="43">+D611*E611</f>
        <v>0</v>
      </c>
      <c r="G611">
        <f>+IF(F611&lt;&gt;0,1,0)</f>
        <v>0</v>
      </c>
    </row>
    <row r="612" spans="1:7" hidden="1" x14ac:dyDescent="0.25">
      <c r="A612" s="85" t="s">
        <v>2159</v>
      </c>
      <c r="B612" s="88" t="s">
        <v>2149</v>
      </c>
      <c r="C612" s="26" t="s">
        <v>37</v>
      </c>
      <c r="D612" s="14"/>
      <c r="E612" s="15"/>
      <c r="F612" s="16">
        <f t="shared" si="43"/>
        <v>0</v>
      </c>
      <c r="G612">
        <f t="shared" ref="G612:G675" si="44">+IF(F612&lt;&gt;0,1,0)</f>
        <v>0</v>
      </c>
    </row>
    <row r="613" spans="1:7" hidden="1" x14ac:dyDescent="0.25">
      <c r="A613" s="85" t="s">
        <v>2160</v>
      </c>
      <c r="B613" s="88" t="s">
        <v>2150</v>
      </c>
      <c r="C613" s="26" t="s">
        <v>37</v>
      </c>
      <c r="D613" s="14"/>
      <c r="E613" s="15"/>
      <c r="F613" s="16">
        <f t="shared" si="43"/>
        <v>0</v>
      </c>
      <c r="G613">
        <f t="shared" si="44"/>
        <v>0</v>
      </c>
    </row>
    <row r="614" spans="1:7" hidden="1" x14ac:dyDescent="0.25">
      <c r="A614" s="85" t="s">
        <v>2161</v>
      </c>
      <c r="B614" s="88" t="s">
        <v>2151</v>
      </c>
      <c r="C614" s="26" t="s">
        <v>37</v>
      </c>
      <c r="D614" s="14"/>
      <c r="E614" s="15"/>
      <c r="F614" s="16">
        <f t="shared" si="43"/>
        <v>0</v>
      </c>
      <c r="G614">
        <f t="shared" si="44"/>
        <v>0</v>
      </c>
    </row>
    <row r="615" spans="1:7" hidden="1" x14ac:dyDescent="0.25">
      <c r="A615" s="85" t="s">
        <v>2162</v>
      </c>
      <c r="B615" s="88" t="s">
        <v>2152</v>
      </c>
      <c r="C615" s="26" t="s">
        <v>37</v>
      </c>
      <c r="D615" s="14"/>
      <c r="E615" s="15"/>
      <c r="F615" s="16">
        <f t="shared" si="43"/>
        <v>0</v>
      </c>
      <c r="G615">
        <f t="shared" si="44"/>
        <v>0</v>
      </c>
    </row>
    <row r="616" spans="1:7" hidden="1" x14ac:dyDescent="0.25">
      <c r="A616" s="85" t="s">
        <v>2163</v>
      </c>
      <c r="B616" s="88" t="s">
        <v>2153</v>
      </c>
      <c r="C616" s="26" t="s">
        <v>37</v>
      </c>
      <c r="D616" s="14"/>
      <c r="E616" s="15"/>
      <c r="F616" s="16">
        <f t="shared" si="43"/>
        <v>0</v>
      </c>
      <c r="G616">
        <f t="shared" si="44"/>
        <v>0</v>
      </c>
    </row>
    <row r="617" spans="1:7" hidden="1" x14ac:dyDescent="0.25">
      <c r="A617" s="85" t="s">
        <v>2164</v>
      </c>
      <c r="B617" s="88" t="s">
        <v>2154</v>
      </c>
      <c r="C617" s="26" t="s">
        <v>37</v>
      </c>
      <c r="D617" s="14"/>
      <c r="E617" s="15"/>
      <c r="F617" s="16">
        <f t="shared" si="43"/>
        <v>0</v>
      </c>
      <c r="G617">
        <f t="shared" si="44"/>
        <v>0</v>
      </c>
    </row>
    <row r="618" spans="1:7" hidden="1" x14ac:dyDescent="0.25">
      <c r="A618" s="85" t="s">
        <v>2165</v>
      </c>
      <c r="B618" s="88" t="s">
        <v>2155</v>
      </c>
      <c r="C618" s="26" t="s">
        <v>37</v>
      </c>
      <c r="D618" s="14"/>
      <c r="E618" s="15"/>
      <c r="F618" s="16">
        <f t="shared" si="43"/>
        <v>0</v>
      </c>
      <c r="G618">
        <f t="shared" si="44"/>
        <v>0</v>
      </c>
    </row>
    <row r="619" spans="1:7" hidden="1" x14ac:dyDescent="0.25">
      <c r="A619" s="85" t="s">
        <v>2166</v>
      </c>
      <c r="B619" s="88" t="s">
        <v>2156</v>
      </c>
      <c r="C619" s="26" t="s">
        <v>37</v>
      </c>
      <c r="D619" s="14"/>
      <c r="E619" s="15"/>
      <c r="F619" s="16">
        <f t="shared" si="43"/>
        <v>0</v>
      </c>
      <c r="G619">
        <f t="shared" si="44"/>
        <v>0</v>
      </c>
    </row>
    <row r="620" spans="1:7" hidden="1" x14ac:dyDescent="0.25">
      <c r="A620" s="78" t="s">
        <v>955</v>
      </c>
      <c r="B620" s="79" t="s">
        <v>2167</v>
      </c>
      <c r="C620" s="26"/>
      <c r="D620" s="14"/>
      <c r="E620" s="15"/>
      <c r="F620" s="16"/>
      <c r="G620">
        <f t="shared" si="44"/>
        <v>0</v>
      </c>
    </row>
    <row r="621" spans="1:7" hidden="1" x14ac:dyDescent="0.25">
      <c r="A621" s="85" t="s">
        <v>2168</v>
      </c>
      <c r="B621" s="88" t="s">
        <v>2148</v>
      </c>
      <c r="C621" s="26" t="s">
        <v>37</v>
      </c>
      <c r="D621" s="14"/>
      <c r="E621" s="15"/>
      <c r="F621" s="16">
        <f t="shared" ref="F621:F629" si="45">+D621*E621</f>
        <v>0</v>
      </c>
      <c r="G621">
        <f t="shared" si="44"/>
        <v>0</v>
      </c>
    </row>
    <row r="622" spans="1:7" hidden="1" x14ac:dyDescent="0.25">
      <c r="A622" s="85" t="s">
        <v>2169</v>
      </c>
      <c r="B622" s="88" t="s">
        <v>2149</v>
      </c>
      <c r="C622" s="26" t="s">
        <v>37</v>
      </c>
      <c r="D622" s="14"/>
      <c r="E622" s="15"/>
      <c r="F622" s="16">
        <f t="shared" si="45"/>
        <v>0</v>
      </c>
      <c r="G622">
        <f t="shared" si="44"/>
        <v>0</v>
      </c>
    </row>
    <row r="623" spans="1:7" hidden="1" x14ac:dyDescent="0.25">
      <c r="A623" s="85" t="s">
        <v>956</v>
      </c>
      <c r="B623" s="88" t="s">
        <v>2150</v>
      </c>
      <c r="C623" s="26" t="s">
        <v>37</v>
      </c>
      <c r="D623" s="14"/>
      <c r="E623" s="15"/>
      <c r="F623" s="16">
        <f t="shared" si="45"/>
        <v>0</v>
      </c>
      <c r="G623">
        <f t="shared" si="44"/>
        <v>0</v>
      </c>
    </row>
    <row r="624" spans="1:7" hidden="1" x14ac:dyDescent="0.25">
      <c r="A624" s="85" t="s">
        <v>2170</v>
      </c>
      <c r="B624" s="88" t="s">
        <v>2151</v>
      </c>
      <c r="C624" s="26" t="s">
        <v>37</v>
      </c>
      <c r="D624" s="14"/>
      <c r="E624" s="15"/>
      <c r="F624" s="16">
        <f t="shared" si="45"/>
        <v>0</v>
      </c>
      <c r="G624">
        <f t="shared" si="44"/>
        <v>0</v>
      </c>
    </row>
    <row r="625" spans="1:7" hidden="1" x14ac:dyDescent="0.25">
      <c r="A625" s="85" t="s">
        <v>2171</v>
      </c>
      <c r="B625" s="88" t="s">
        <v>2152</v>
      </c>
      <c r="C625" s="26" t="s">
        <v>37</v>
      </c>
      <c r="D625" s="14"/>
      <c r="E625" s="15"/>
      <c r="F625" s="16">
        <f t="shared" si="45"/>
        <v>0</v>
      </c>
      <c r="G625">
        <f t="shared" si="44"/>
        <v>0</v>
      </c>
    </row>
    <row r="626" spans="1:7" hidden="1" x14ac:dyDescent="0.25">
      <c r="A626" s="85" t="s">
        <v>2172</v>
      </c>
      <c r="B626" s="88" t="s">
        <v>2153</v>
      </c>
      <c r="C626" s="26" t="s">
        <v>37</v>
      </c>
      <c r="D626" s="14"/>
      <c r="E626" s="15"/>
      <c r="F626" s="16">
        <f t="shared" si="45"/>
        <v>0</v>
      </c>
      <c r="G626">
        <f t="shared" si="44"/>
        <v>0</v>
      </c>
    </row>
    <row r="627" spans="1:7" hidden="1" x14ac:dyDescent="0.25">
      <c r="A627" s="85" t="s">
        <v>2173</v>
      </c>
      <c r="B627" s="88" t="s">
        <v>2154</v>
      </c>
      <c r="C627" s="26" t="s">
        <v>37</v>
      </c>
      <c r="D627" s="14"/>
      <c r="E627" s="15"/>
      <c r="F627" s="16">
        <f t="shared" si="45"/>
        <v>0</v>
      </c>
      <c r="G627">
        <f t="shared" si="44"/>
        <v>0</v>
      </c>
    </row>
    <row r="628" spans="1:7" hidden="1" x14ac:dyDescent="0.25">
      <c r="A628" s="85" t="s">
        <v>2174</v>
      </c>
      <c r="B628" s="88" t="s">
        <v>2155</v>
      </c>
      <c r="C628" s="26" t="s">
        <v>37</v>
      </c>
      <c r="D628" s="14"/>
      <c r="E628" s="15"/>
      <c r="F628" s="16">
        <f t="shared" si="45"/>
        <v>0</v>
      </c>
      <c r="G628">
        <f t="shared" si="44"/>
        <v>0</v>
      </c>
    </row>
    <row r="629" spans="1:7" hidden="1" x14ac:dyDescent="0.25">
      <c r="A629" s="85" t="s">
        <v>2175</v>
      </c>
      <c r="B629" s="88" t="s">
        <v>2156</v>
      </c>
      <c r="C629" s="26" t="s">
        <v>37</v>
      </c>
      <c r="D629" s="14"/>
      <c r="E629" s="15"/>
      <c r="F629" s="16">
        <f t="shared" si="45"/>
        <v>0</v>
      </c>
      <c r="G629">
        <f t="shared" si="44"/>
        <v>0</v>
      </c>
    </row>
    <row r="630" spans="1:7" hidden="1" x14ac:dyDescent="0.25">
      <c r="A630" s="78" t="s">
        <v>2176</v>
      </c>
      <c r="B630" s="79" t="s">
        <v>2177</v>
      </c>
      <c r="C630" s="26"/>
      <c r="D630" s="14"/>
      <c r="E630" s="15"/>
      <c r="F630" s="16"/>
      <c r="G630">
        <f t="shared" si="44"/>
        <v>0</v>
      </c>
    </row>
    <row r="631" spans="1:7" hidden="1" x14ac:dyDescent="0.25">
      <c r="A631" s="85" t="s">
        <v>2178</v>
      </c>
      <c r="B631" s="88" t="s">
        <v>2179</v>
      </c>
      <c r="C631" s="26" t="s">
        <v>37</v>
      </c>
      <c r="D631" s="14"/>
      <c r="E631" s="15"/>
      <c r="F631" s="16">
        <f t="shared" ref="F631:F651" si="46">+D631*E631</f>
        <v>0</v>
      </c>
      <c r="G631">
        <f t="shared" si="44"/>
        <v>0</v>
      </c>
    </row>
    <row r="632" spans="1:7" hidden="1" x14ac:dyDescent="0.25">
      <c r="A632" s="85" t="s">
        <v>2189</v>
      </c>
      <c r="B632" s="88" t="s">
        <v>2180</v>
      </c>
      <c r="C632" s="26" t="s">
        <v>37</v>
      </c>
      <c r="D632" s="14"/>
      <c r="E632" s="15"/>
      <c r="F632" s="16">
        <f t="shared" si="46"/>
        <v>0</v>
      </c>
      <c r="G632">
        <f t="shared" si="44"/>
        <v>0</v>
      </c>
    </row>
    <row r="633" spans="1:7" hidden="1" x14ac:dyDescent="0.25">
      <c r="A633" s="85" t="s">
        <v>2190</v>
      </c>
      <c r="B633" s="88" t="s">
        <v>2181</v>
      </c>
      <c r="C633" s="26" t="s">
        <v>37</v>
      </c>
      <c r="D633" s="14"/>
      <c r="E633" s="15"/>
      <c r="F633" s="16">
        <f t="shared" si="46"/>
        <v>0</v>
      </c>
      <c r="G633">
        <f t="shared" si="44"/>
        <v>0</v>
      </c>
    </row>
    <row r="634" spans="1:7" hidden="1" x14ac:dyDescent="0.25">
      <c r="A634" s="85" t="s">
        <v>2191</v>
      </c>
      <c r="B634" s="88" t="s">
        <v>2182</v>
      </c>
      <c r="C634" s="26" t="s">
        <v>37</v>
      </c>
      <c r="D634" s="14"/>
      <c r="E634" s="15"/>
      <c r="F634" s="16">
        <f t="shared" si="46"/>
        <v>0</v>
      </c>
      <c r="G634">
        <f t="shared" si="44"/>
        <v>0</v>
      </c>
    </row>
    <row r="635" spans="1:7" hidden="1" x14ac:dyDescent="0.25">
      <c r="A635" s="85" t="s">
        <v>2192</v>
      </c>
      <c r="B635" s="88" t="s">
        <v>2183</v>
      </c>
      <c r="C635" s="26" t="s">
        <v>37</v>
      </c>
      <c r="D635" s="14"/>
      <c r="E635" s="15"/>
      <c r="F635" s="16">
        <f t="shared" si="46"/>
        <v>0</v>
      </c>
      <c r="G635">
        <f t="shared" si="44"/>
        <v>0</v>
      </c>
    </row>
    <row r="636" spans="1:7" hidden="1" x14ac:dyDescent="0.25">
      <c r="A636" s="85" t="s">
        <v>2193</v>
      </c>
      <c r="B636" s="88" t="s">
        <v>2184</v>
      </c>
      <c r="C636" s="26" t="s">
        <v>37</v>
      </c>
      <c r="D636" s="14"/>
      <c r="E636" s="15"/>
      <c r="F636" s="16">
        <f t="shared" si="46"/>
        <v>0</v>
      </c>
      <c r="G636">
        <f t="shared" si="44"/>
        <v>0</v>
      </c>
    </row>
    <row r="637" spans="1:7" hidden="1" x14ac:dyDescent="0.25">
      <c r="A637" s="85" t="s">
        <v>2194</v>
      </c>
      <c r="B637" s="88" t="s">
        <v>2185</v>
      </c>
      <c r="C637" s="26" t="s">
        <v>37</v>
      </c>
      <c r="D637" s="14"/>
      <c r="E637" s="15"/>
      <c r="F637" s="16">
        <f t="shared" si="46"/>
        <v>0</v>
      </c>
      <c r="G637">
        <f t="shared" si="44"/>
        <v>0</v>
      </c>
    </row>
    <row r="638" spans="1:7" hidden="1" x14ac:dyDescent="0.25">
      <c r="A638" s="85" t="s">
        <v>2195</v>
      </c>
      <c r="B638" s="88" t="s">
        <v>2186</v>
      </c>
      <c r="C638" s="26" t="s">
        <v>37</v>
      </c>
      <c r="D638" s="14"/>
      <c r="E638" s="15"/>
      <c r="F638" s="16">
        <f t="shared" si="46"/>
        <v>0</v>
      </c>
      <c r="G638">
        <f t="shared" si="44"/>
        <v>0</v>
      </c>
    </row>
    <row r="639" spans="1:7" hidden="1" x14ac:dyDescent="0.25">
      <c r="A639" s="85" t="s">
        <v>2196</v>
      </c>
      <c r="B639" s="88" t="s">
        <v>2187</v>
      </c>
      <c r="C639" s="26" t="s">
        <v>37</v>
      </c>
      <c r="D639" s="14"/>
      <c r="E639" s="15"/>
      <c r="F639" s="16">
        <f t="shared" si="46"/>
        <v>0</v>
      </c>
      <c r="G639">
        <f t="shared" si="44"/>
        <v>0</v>
      </c>
    </row>
    <row r="640" spans="1:7" hidden="1" x14ac:dyDescent="0.25">
      <c r="A640" s="85" t="s">
        <v>2197</v>
      </c>
      <c r="B640" s="88" t="s">
        <v>2188</v>
      </c>
      <c r="C640" s="26" t="s">
        <v>37</v>
      </c>
      <c r="D640" s="14"/>
      <c r="E640" s="15"/>
      <c r="F640" s="16">
        <f t="shared" si="46"/>
        <v>0</v>
      </c>
      <c r="G640">
        <f t="shared" si="44"/>
        <v>0</v>
      </c>
    </row>
    <row r="641" spans="1:7" hidden="1" x14ac:dyDescent="0.25">
      <c r="A641" s="78" t="s">
        <v>2198</v>
      </c>
      <c r="B641" s="79" t="s">
        <v>2199</v>
      </c>
      <c r="C641" s="14"/>
      <c r="D641" s="14"/>
      <c r="E641" s="15"/>
      <c r="F641" s="16"/>
      <c r="G641">
        <f t="shared" si="44"/>
        <v>0</v>
      </c>
    </row>
    <row r="642" spans="1:7" hidden="1" x14ac:dyDescent="0.25">
      <c r="A642" s="85" t="s">
        <v>2200</v>
      </c>
      <c r="B642" s="88" t="s">
        <v>2201</v>
      </c>
      <c r="C642" s="26" t="s">
        <v>37</v>
      </c>
      <c r="D642" s="14"/>
      <c r="E642" s="15"/>
      <c r="F642" s="16">
        <f t="shared" si="46"/>
        <v>0</v>
      </c>
      <c r="G642">
        <f t="shared" si="44"/>
        <v>0</v>
      </c>
    </row>
    <row r="643" spans="1:7" hidden="1" x14ac:dyDescent="0.25">
      <c r="A643" s="85" t="s">
        <v>2211</v>
      </c>
      <c r="B643" s="88" t="s">
        <v>2202</v>
      </c>
      <c r="C643" s="26" t="s">
        <v>37</v>
      </c>
      <c r="D643" s="14"/>
      <c r="E643" s="15"/>
      <c r="F643" s="16">
        <f t="shared" si="46"/>
        <v>0</v>
      </c>
      <c r="G643">
        <f t="shared" si="44"/>
        <v>0</v>
      </c>
    </row>
    <row r="644" spans="1:7" hidden="1" x14ac:dyDescent="0.25">
      <c r="A644" s="85" t="s">
        <v>2212</v>
      </c>
      <c r="B644" s="88" t="s">
        <v>2203</v>
      </c>
      <c r="C644" s="26" t="s">
        <v>37</v>
      </c>
      <c r="D644" s="14"/>
      <c r="E644" s="15"/>
      <c r="F644" s="16">
        <f t="shared" si="46"/>
        <v>0</v>
      </c>
      <c r="G644">
        <f t="shared" si="44"/>
        <v>0</v>
      </c>
    </row>
    <row r="645" spans="1:7" hidden="1" x14ac:dyDescent="0.25">
      <c r="A645" s="85" t="s">
        <v>2213</v>
      </c>
      <c r="B645" s="88" t="s">
        <v>2204</v>
      </c>
      <c r="C645" s="26" t="s">
        <v>37</v>
      </c>
      <c r="D645" s="14"/>
      <c r="E645" s="15"/>
      <c r="F645" s="16">
        <f t="shared" si="46"/>
        <v>0</v>
      </c>
      <c r="G645">
        <f t="shared" si="44"/>
        <v>0</v>
      </c>
    </row>
    <row r="646" spans="1:7" hidden="1" x14ac:dyDescent="0.25">
      <c r="A646" s="85" t="s">
        <v>2214</v>
      </c>
      <c r="B646" s="88" t="s">
        <v>2205</v>
      </c>
      <c r="C646" s="26" t="s">
        <v>37</v>
      </c>
      <c r="D646" s="14"/>
      <c r="E646" s="15"/>
      <c r="F646" s="16">
        <f t="shared" si="46"/>
        <v>0</v>
      </c>
      <c r="G646">
        <f t="shared" si="44"/>
        <v>0</v>
      </c>
    </row>
    <row r="647" spans="1:7" hidden="1" x14ac:dyDescent="0.25">
      <c r="A647" s="85" t="s">
        <v>2215</v>
      </c>
      <c r="B647" s="88" t="s">
        <v>2206</v>
      </c>
      <c r="C647" s="26" t="s">
        <v>37</v>
      </c>
      <c r="D647" s="14"/>
      <c r="E647" s="15"/>
      <c r="F647" s="16">
        <f t="shared" si="46"/>
        <v>0</v>
      </c>
      <c r="G647">
        <f t="shared" si="44"/>
        <v>0</v>
      </c>
    </row>
    <row r="648" spans="1:7" hidden="1" x14ac:dyDescent="0.25">
      <c r="A648" s="85" t="s">
        <v>2216</v>
      </c>
      <c r="B648" s="88" t="s">
        <v>2207</v>
      </c>
      <c r="C648" s="26" t="s">
        <v>37</v>
      </c>
      <c r="D648" s="14"/>
      <c r="E648" s="15"/>
      <c r="F648" s="16">
        <f t="shared" si="46"/>
        <v>0</v>
      </c>
      <c r="G648">
        <f t="shared" si="44"/>
        <v>0</v>
      </c>
    </row>
    <row r="649" spans="1:7" hidden="1" x14ac:dyDescent="0.25">
      <c r="A649" s="85" t="s">
        <v>2217</v>
      </c>
      <c r="B649" s="88" t="s">
        <v>2208</v>
      </c>
      <c r="C649" s="26" t="s">
        <v>37</v>
      </c>
      <c r="D649" s="14"/>
      <c r="E649" s="15"/>
      <c r="F649" s="16">
        <f t="shared" si="46"/>
        <v>0</v>
      </c>
      <c r="G649">
        <f t="shared" si="44"/>
        <v>0</v>
      </c>
    </row>
    <row r="650" spans="1:7" hidden="1" x14ac:dyDescent="0.25">
      <c r="A650" s="85" t="s">
        <v>2218</v>
      </c>
      <c r="B650" s="88" t="s">
        <v>2210</v>
      </c>
      <c r="C650" s="26" t="s">
        <v>37</v>
      </c>
      <c r="D650" s="14"/>
      <c r="E650" s="15"/>
      <c r="F650" s="16">
        <f t="shared" si="46"/>
        <v>0</v>
      </c>
      <c r="G650">
        <f t="shared" si="44"/>
        <v>0</v>
      </c>
    </row>
    <row r="651" spans="1:7" hidden="1" x14ac:dyDescent="0.25">
      <c r="A651" s="85" t="s">
        <v>2219</v>
      </c>
      <c r="B651" s="88" t="s">
        <v>2209</v>
      </c>
      <c r="C651" s="26" t="s">
        <v>37</v>
      </c>
      <c r="D651" s="14"/>
      <c r="E651" s="15"/>
      <c r="F651" s="16">
        <f t="shared" si="46"/>
        <v>0</v>
      </c>
      <c r="G651">
        <f t="shared" si="44"/>
        <v>0</v>
      </c>
    </row>
    <row r="652" spans="1:7" hidden="1" x14ac:dyDescent="0.25">
      <c r="A652" s="78" t="s">
        <v>2220</v>
      </c>
      <c r="B652" s="79" t="s">
        <v>2222</v>
      </c>
      <c r="C652" s="14"/>
      <c r="D652" s="14"/>
      <c r="E652" s="15"/>
      <c r="F652" s="16"/>
      <c r="G652">
        <f t="shared" si="44"/>
        <v>0</v>
      </c>
    </row>
    <row r="653" spans="1:7" hidden="1" x14ac:dyDescent="0.25">
      <c r="A653" s="78" t="s">
        <v>2221</v>
      </c>
      <c r="B653" s="79" t="s">
        <v>2223</v>
      </c>
      <c r="C653" s="14"/>
      <c r="D653" s="14"/>
      <c r="E653" s="15"/>
      <c r="F653" s="16"/>
      <c r="G653">
        <f t="shared" si="44"/>
        <v>0</v>
      </c>
    </row>
    <row r="654" spans="1:7" hidden="1" x14ac:dyDescent="0.25">
      <c r="A654" s="85" t="s">
        <v>2224</v>
      </c>
      <c r="B654" s="88" t="s">
        <v>1951</v>
      </c>
      <c r="C654" s="26" t="s">
        <v>37</v>
      </c>
      <c r="D654" s="14"/>
      <c r="E654" s="15"/>
      <c r="F654" s="16">
        <f>+D654*E654</f>
        <v>0</v>
      </c>
      <c r="G654">
        <f t="shared" si="44"/>
        <v>0</v>
      </c>
    </row>
    <row r="655" spans="1:7" hidden="1" x14ac:dyDescent="0.25">
      <c r="A655" s="85" t="s">
        <v>2225</v>
      </c>
      <c r="B655" s="88" t="s">
        <v>1952</v>
      </c>
      <c r="C655" s="26" t="s">
        <v>37</v>
      </c>
      <c r="D655" s="14"/>
      <c r="E655" s="15"/>
      <c r="F655" s="16">
        <f>+D655*E655</f>
        <v>0</v>
      </c>
      <c r="G655">
        <f t="shared" si="44"/>
        <v>0</v>
      </c>
    </row>
    <row r="656" spans="1:7" hidden="1" x14ac:dyDescent="0.25">
      <c r="A656" s="85" t="s">
        <v>2226</v>
      </c>
      <c r="B656" s="88" t="s">
        <v>1954</v>
      </c>
      <c r="C656" s="26" t="s">
        <v>37</v>
      </c>
      <c r="D656" s="14"/>
      <c r="E656" s="15"/>
      <c r="F656" s="16">
        <f>+D656*E656</f>
        <v>0</v>
      </c>
      <c r="G656">
        <f t="shared" si="44"/>
        <v>0</v>
      </c>
    </row>
    <row r="657" spans="1:7" hidden="1" x14ac:dyDescent="0.25">
      <c r="A657" s="85" t="s">
        <v>2227</v>
      </c>
      <c r="B657" s="88" t="s">
        <v>1957</v>
      </c>
      <c r="C657" s="26" t="s">
        <v>37</v>
      </c>
      <c r="D657" s="14"/>
      <c r="E657" s="15"/>
      <c r="F657" s="16">
        <f>+D657*E657</f>
        <v>0</v>
      </c>
      <c r="G657">
        <f t="shared" si="44"/>
        <v>0</v>
      </c>
    </row>
    <row r="658" spans="1:7" hidden="1" x14ac:dyDescent="0.25">
      <c r="A658" s="78" t="s">
        <v>2228</v>
      </c>
      <c r="B658" s="79" t="s">
        <v>2229</v>
      </c>
      <c r="C658" s="14"/>
      <c r="D658" s="14"/>
      <c r="E658" s="15"/>
      <c r="F658" s="16"/>
      <c r="G658">
        <f t="shared" si="44"/>
        <v>0</v>
      </c>
    </row>
    <row r="659" spans="1:7" hidden="1" x14ac:dyDescent="0.25">
      <c r="A659" s="85" t="s">
        <v>2230</v>
      </c>
      <c r="B659" s="88" t="s">
        <v>1999</v>
      </c>
      <c r="C659" s="26" t="s">
        <v>37</v>
      </c>
      <c r="D659" s="14"/>
      <c r="E659" s="15"/>
      <c r="F659" s="16">
        <f>+D659*E659</f>
        <v>0</v>
      </c>
      <c r="G659">
        <f t="shared" si="44"/>
        <v>0</v>
      </c>
    </row>
    <row r="660" spans="1:7" hidden="1" x14ac:dyDescent="0.25">
      <c r="A660" s="85" t="s">
        <v>2231</v>
      </c>
      <c r="B660" s="88" t="s">
        <v>2000</v>
      </c>
      <c r="C660" s="26" t="s">
        <v>37</v>
      </c>
      <c r="D660" s="14"/>
      <c r="E660" s="15"/>
      <c r="F660" s="16">
        <f>+D660*E660</f>
        <v>0</v>
      </c>
      <c r="G660">
        <f t="shared" si="44"/>
        <v>0</v>
      </c>
    </row>
    <row r="661" spans="1:7" hidden="1" x14ac:dyDescent="0.25">
      <c r="A661" s="85" t="s">
        <v>2232</v>
      </c>
      <c r="B661" s="88" t="s">
        <v>2003</v>
      </c>
      <c r="C661" s="26" t="s">
        <v>37</v>
      </c>
      <c r="D661" s="14"/>
      <c r="E661" s="15"/>
      <c r="F661" s="16">
        <f>+D661*E661</f>
        <v>0</v>
      </c>
      <c r="G661">
        <f t="shared" si="44"/>
        <v>0</v>
      </c>
    </row>
    <row r="662" spans="1:7" hidden="1" x14ac:dyDescent="0.25">
      <c r="A662" s="85" t="s">
        <v>2233</v>
      </c>
      <c r="B662" s="88" t="s">
        <v>2005</v>
      </c>
      <c r="C662" s="26" t="s">
        <v>37</v>
      </c>
      <c r="D662" s="14"/>
      <c r="E662" s="15"/>
      <c r="F662" s="16">
        <f>+D662*E662</f>
        <v>0</v>
      </c>
      <c r="G662">
        <f t="shared" si="44"/>
        <v>0</v>
      </c>
    </row>
    <row r="663" spans="1:7" hidden="1" x14ac:dyDescent="0.25">
      <c r="A663" s="78" t="s">
        <v>2234</v>
      </c>
      <c r="B663" s="79" t="s">
        <v>2235</v>
      </c>
      <c r="C663" s="14"/>
      <c r="D663" s="14"/>
      <c r="E663" s="15"/>
      <c r="F663" s="16"/>
      <c r="G663">
        <f t="shared" si="44"/>
        <v>0</v>
      </c>
    </row>
    <row r="664" spans="1:7" hidden="1" x14ac:dyDescent="0.25">
      <c r="A664" s="85" t="s">
        <v>2236</v>
      </c>
      <c r="B664" s="88" t="s">
        <v>2032</v>
      </c>
      <c r="C664" s="26" t="s">
        <v>37</v>
      </c>
      <c r="D664" s="14"/>
      <c r="E664" s="15"/>
      <c r="F664" s="16">
        <f>+D664*E664</f>
        <v>0</v>
      </c>
      <c r="G664">
        <f t="shared" si="44"/>
        <v>0</v>
      </c>
    </row>
    <row r="665" spans="1:7" hidden="1" x14ac:dyDescent="0.25">
      <c r="A665" s="85" t="s">
        <v>2237</v>
      </c>
      <c r="B665" s="88" t="s">
        <v>2034</v>
      </c>
      <c r="C665" s="26" t="s">
        <v>37</v>
      </c>
      <c r="D665" s="14"/>
      <c r="E665" s="15"/>
      <c r="F665" s="16">
        <f>+D665*E665</f>
        <v>0</v>
      </c>
      <c r="G665">
        <f t="shared" si="44"/>
        <v>0</v>
      </c>
    </row>
    <row r="666" spans="1:7" hidden="1" x14ac:dyDescent="0.25">
      <c r="A666" s="85" t="s">
        <v>2238</v>
      </c>
      <c r="B666" s="88" t="s">
        <v>2035</v>
      </c>
      <c r="C666" s="26" t="s">
        <v>37</v>
      </c>
      <c r="D666" s="14"/>
      <c r="E666" s="15"/>
      <c r="F666" s="16">
        <f>+D666*E666</f>
        <v>0</v>
      </c>
      <c r="G666">
        <f t="shared" si="44"/>
        <v>0</v>
      </c>
    </row>
    <row r="667" spans="1:7" hidden="1" x14ac:dyDescent="0.25">
      <c r="A667" s="85" t="s">
        <v>2239</v>
      </c>
      <c r="B667" s="88" t="s">
        <v>2038</v>
      </c>
      <c r="C667" s="26" t="s">
        <v>37</v>
      </c>
      <c r="D667" s="14"/>
      <c r="E667" s="15"/>
      <c r="F667" s="16">
        <f>+D667*E667</f>
        <v>0</v>
      </c>
      <c r="G667">
        <f t="shared" si="44"/>
        <v>0</v>
      </c>
    </row>
    <row r="668" spans="1:7" hidden="1" x14ac:dyDescent="0.25">
      <c r="A668" s="85" t="s">
        <v>2240</v>
      </c>
      <c r="B668" s="88" t="s">
        <v>2040</v>
      </c>
      <c r="C668" s="26" t="s">
        <v>37</v>
      </c>
      <c r="D668" s="14"/>
      <c r="E668" s="15"/>
      <c r="F668" s="16">
        <f>+D668*E668</f>
        <v>0</v>
      </c>
      <c r="G668">
        <f t="shared" si="44"/>
        <v>0</v>
      </c>
    </row>
    <row r="669" spans="1:7" hidden="1" x14ac:dyDescent="0.25">
      <c r="A669" s="78" t="s">
        <v>2242</v>
      </c>
      <c r="B669" s="79" t="s">
        <v>2241</v>
      </c>
      <c r="C669" s="14"/>
      <c r="D669" s="14"/>
      <c r="E669" s="15"/>
      <c r="F669" s="16"/>
      <c r="G669">
        <f t="shared" si="44"/>
        <v>0</v>
      </c>
    </row>
    <row r="670" spans="1:7" hidden="1" x14ac:dyDescent="0.25">
      <c r="A670" s="85" t="s">
        <v>2243</v>
      </c>
      <c r="B670" s="88" t="s">
        <v>2101</v>
      </c>
      <c r="C670" s="26" t="s">
        <v>37</v>
      </c>
      <c r="D670" s="14"/>
      <c r="E670" s="15"/>
      <c r="F670" s="16">
        <f>+D670*E670</f>
        <v>0</v>
      </c>
      <c r="G670">
        <f t="shared" si="44"/>
        <v>0</v>
      </c>
    </row>
    <row r="671" spans="1:7" hidden="1" x14ac:dyDescent="0.25">
      <c r="A671" s="85" t="s">
        <v>2244</v>
      </c>
      <c r="B671" s="88" t="s">
        <v>2103</v>
      </c>
      <c r="C671" s="26" t="s">
        <v>37</v>
      </c>
      <c r="D671" s="14"/>
      <c r="E671" s="15"/>
      <c r="F671" s="16">
        <f>+D671*E671</f>
        <v>0</v>
      </c>
      <c r="G671">
        <f t="shared" si="44"/>
        <v>0</v>
      </c>
    </row>
    <row r="672" spans="1:7" hidden="1" x14ac:dyDescent="0.25">
      <c r="A672" s="85" t="s">
        <v>2245</v>
      </c>
      <c r="B672" s="88" t="s">
        <v>2104</v>
      </c>
      <c r="C672" s="26" t="s">
        <v>37</v>
      </c>
      <c r="D672" s="14"/>
      <c r="E672" s="15"/>
      <c r="F672" s="16">
        <f>+D672*E672</f>
        <v>0</v>
      </c>
      <c r="G672">
        <f t="shared" si="44"/>
        <v>0</v>
      </c>
    </row>
    <row r="673" spans="1:7" hidden="1" x14ac:dyDescent="0.25">
      <c r="A673" s="85" t="s">
        <v>2246</v>
      </c>
      <c r="B673" s="88" t="s">
        <v>2107</v>
      </c>
      <c r="C673" s="26" t="s">
        <v>37</v>
      </c>
      <c r="D673" s="14"/>
      <c r="E673" s="15"/>
      <c r="F673" s="16">
        <f>+D673*E673</f>
        <v>0</v>
      </c>
      <c r="G673">
        <f t="shared" si="44"/>
        <v>0</v>
      </c>
    </row>
    <row r="674" spans="1:7" hidden="1" x14ac:dyDescent="0.25">
      <c r="A674" s="78" t="s">
        <v>2247</v>
      </c>
      <c r="B674" s="79" t="s">
        <v>2268</v>
      </c>
      <c r="C674" s="14"/>
      <c r="D674" s="14"/>
      <c r="E674" s="15"/>
      <c r="F674" s="16"/>
      <c r="G674">
        <f t="shared" si="44"/>
        <v>0</v>
      </c>
    </row>
    <row r="675" spans="1:7" hidden="1" x14ac:dyDescent="0.25">
      <c r="A675" s="85" t="s">
        <v>2248</v>
      </c>
      <c r="B675" s="88" t="s">
        <v>2249</v>
      </c>
      <c r="C675" s="26" t="s">
        <v>37</v>
      </c>
      <c r="D675" s="14"/>
      <c r="E675" s="15"/>
      <c r="F675" s="16">
        <f t="shared" ref="F675:F684" si="47">+D675*E675</f>
        <v>0</v>
      </c>
      <c r="G675">
        <f t="shared" si="44"/>
        <v>0</v>
      </c>
    </row>
    <row r="676" spans="1:7" hidden="1" x14ac:dyDescent="0.25">
      <c r="A676" s="85" t="s">
        <v>2259</v>
      </c>
      <c r="B676" s="88" t="s">
        <v>2250</v>
      </c>
      <c r="C676" s="26" t="s">
        <v>37</v>
      </c>
      <c r="D676" s="14"/>
      <c r="E676" s="15"/>
      <c r="F676" s="16">
        <f t="shared" si="47"/>
        <v>0</v>
      </c>
      <c r="G676">
        <f t="shared" ref="G676:G739" si="48">+IF(F676&lt;&gt;0,1,0)</f>
        <v>0</v>
      </c>
    </row>
    <row r="677" spans="1:7" hidden="1" x14ac:dyDescent="0.25">
      <c r="A677" s="85" t="s">
        <v>2260</v>
      </c>
      <c r="B677" s="88" t="s">
        <v>2251</v>
      </c>
      <c r="C677" s="26" t="s">
        <v>37</v>
      </c>
      <c r="D677" s="14"/>
      <c r="E677" s="15"/>
      <c r="F677" s="16">
        <f t="shared" si="47"/>
        <v>0</v>
      </c>
      <c r="G677">
        <f t="shared" si="48"/>
        <v>0</v>
      </c>
    </row>
    <row r="678" spans="1:7" hidden="1" x14ac:dyDescent="0.25">
      <c r="A678" s="85" t="s">
        <v>2261</v>
      </c>
      <c r="B678" s="88" t="s">
        <v>2252</v>
      </c>
      <c r="C678" s="26" t="s">
        <v>37</v>
      </c>
      <c r="D678" s="14"/>
      <c r="E678" s="15"/>
      <c r="F678" s="16">
        <f t="shared" si="47"/>
        <v>0</v>
      </c>
      <c r="G678">
        <f t="shared" si="48"/>
        <v>0</v>
      </c>
    </row>
    <row r="679" spans="1:7" hidden="1" x14ac:dyDescent="0.25">
      <c r="A679" s="85" t="s">
        <v>2262</v>
      </c>
      <c r="B679" s="88" t="s">
        <v>2253</v>
      </c>
      <c r="C679" s="26" t="s">
        <v>37</v>
      </c>
      <c r="D679" s="14"/>
      <c r="E679" s="15"/>
      <c r="F679" s="16">
        <f t="shared" si="47"/>
        <v>0</v>
      </c>
      <c r="G679">
        <f t="shared" si="48"/>
        <v>0</v>
      </c>
    </row>
    <row r="680" spans="1:7" hidden="1" x14ac:dyDescent="0.25">
      <c r="A680" s="85" t="s">
        <v>2263</v>
      </c>
      <c r="B680" s="88" t="s">
        <v>2254</v>
      </c>
      <c r="C680" s="26" t="s">
        <v>37</v>
      </c>
      <c r="D680" s="14"/>
      <c r="E680" s="15"/>
      <c r="F680" s="16">
        <f t="shared" si="47"/>
        <v>0</v>
      </c>
      <c r="G680">
        <f t="shared" si="48"/>
        <v>0</v>
      </c>
    </row>
    <row r="681" spans="1:7" hidden="1" x14ac:dyDescent="0.25">
      <c r="A681" s="85" t="s">
        <v>2264</v>
      </c>
      <c r="B681" s="88" t="s">
        <v>2255</v>
      </c>
      <c r="C681" s="26" t="s">
        <v>37</v>
      </c>
      <c r="D681" s="14"/>
      <c r="E681" s="15"/>
      <c r="F681" s="16">
        <f t="shared" si="47"/>
        <v>0</v>
      </c>
      <c r="G681">
        <f t="shared" si="48"/>
        <v>0</v>
      </c>
    </row>
    <row r="682" spans="1:7" hidden="1" x14ac:dyDescent="0.25">
      <c r="A682" s="85" t="s">
        <v>2265</v>
      </c>
      <c r="B682" s="88" t="s">
        <v>2256</v>
      </c>
      <c r="C682" s="26" t="s">
        <v>37</v>
      </c>
      <c r="D682" s="14"/>
      <c r="E682" s="15"/>
      <c r="F682" s="16">
        <f t="shared" si="47"/>
        <v>0</v>
      </c>
      <c r="G682">
        <f t="shared" si="48"/>
        <v>0</v>
      </c>
    </row>
    <row r="683" spans="1:7" hidden="1" x14ac:dyDescent="0.25">
      <c r="A683" s="85" t="s">
        <v>2266</v>
      </c>
      <c r="B683" s="88" t="s">
        <v>2257</v>
      </c>
      <c r="C683" s="26" t="s">
        <v>37</v>
      </c>
      <c r="D683" s="14"/>
      <c r="E683" s="15"/>
      <c r="F683" s="16">
        <f t="shared" si="47"/>
        <v>0</v>
      </c>
      <c r="G683">
        <f t="shared" si="48"/>
        <v>0</v>
      </c>
    </row>
    <row r="684" spans="1:7" hidden="1" x14ac:dyDescent="0.25">
      <c r="A684" s="85" t="s">
        <v>2267</v>
      </c>
      <c r="B684" s="88" t="s">
        <v>2258</v>
      </c>
      <c r="C684" s="26" t="s">
        <v>37</v>
      </c>
      <c r="D684" s="14"/>
      <c r="E684" s="15"/>
      <c r="F684" s="16">
        <f t="shared" si="47"/>
        <v>0</v>
      </c>
      <c r="G684">
        <f t="shared" si="48"/>
        <v>0</v>
      </c>
    </row>
    <row r="685" spans="1:7" hidden="1" x14ac:dyDescent="0.25">
      <c r="A685" s="78" t="s">
        <v>2269</v>
      </c>
      <c r="B685" s="79" t="s">
        <v>2270</v>
      </c>
      <c r="C685" s="14"/>
      <c r="D685" s="14"/>
      <c r="E685" s="15"/>
      <c r="F685" s="16"/>
      <c r="G685">
        <f t="shared" si="48"/>
        <v>0</v>
      </c>
    </row>
    <row r="686" spans="1:7" hidden="1" x14ac:dyDescent="0.25">
      <c r="A686" s="85" t="s">
        <v>2271</v>
      </c>
      <c r="B686" s="88" t="s">
        <v>2272</v>
      </c>
      <c r="C686" s="14" t="s">
        <v>37</v>
      </c>
      <c r="D686" s="14"/>
      <c r="E686" s="15"/>
      <c r="F686" s="16">
        <f t="shared" ref="F686:F710" si="49">+D686*E686</f>
        <v>0</v>
      </c>
      <c r="G686">
        <f t="shared" si="48"/>
        <v>0</v>
      </c>
    </row>
    <row r="687" spans="1:7" hidden="1" x14ac:dyDescent="0.25">
      <c r="A687" s="85" t="s">
        <v>2297</v>
      </c>
      <c r="B687" s="88" t="s">
        <v>2273</v>
      </c>
      <c r="C687" s="14" t="s">
        <v>37</v>
      </c>
      <c r="D687" s="14"/>
      <c r="E687" s="15"/>
      <c r="F687" s="16">
        <f t="shared" si="49"/>
        <v>0</v>
      </c>
      <c r="G687">
        <f t="shared" si="48"/>
        <v>0</v>
      </c>
    </row>
    <row r="688" spans="1:7" hidden="1" x14ac:dyDescent="0.25">
      <c r="A688" s="85" t="s">
        <v>2298</v>
      </c>
      <c r="B688" s="88" t="s">
        <v>2274</v>
      </c>
      <c r="C688" s="14" t="s">
        <v>37</v>
      </c>
      <c r="D688" s="14"/>
      <c r="E688" s="15"/>
      <c r="F688" s="16">
        <f t="shared" si="49"/>
        <v>0</v>
      </c>
      <c r="G688">
        <f t="shared" si="48"/>
        <v>0</v>
      </c>
    </row>
    <row r="689" spans="1:7" hidden="1" x14ac:dyDescent="0.25">
      <c r="A689" s="85" t="s">
        <v>2299</v>
      </c>
      <c r="B689" s="88" t="s">
        <v>2275</v>
      </c>
      <c r="C689" s="14" t="s">
        <v>37</v>
      </c>
      <c r="D689" s="14"/>
      <c r="E689" s="15"/>
      <c r="F689" s="16">
        <f t="shared" si="49"/>
        <v>0</v>
      </c>
      <c r="G689">
        <f t="shared" si="48"/>
        <v>0</v>
      </c>
    </row>
    <row r="690" spans="1:7" hidden="1" x14ac:dyDescent="0.25">
      <c r="A690" s="85" t="s">
        <v>2300</v>
      </c>
      <c r="B690" s="88" t="s">
        <v>2276</v>
      </c>
      <c r="C690" s="14" t="s">
        <v>37</v>
      </c>
      <c r="D690" s="14"/>
      <c r="E690" s="15"/>
      <c r="F690" s="16">
        <f t="shared" si="49"/>
        <v>0</v>
      </c>
      <c r="G690">
        <f t="shared" si="48"/>
        <v>0</v>
      </c>
    </row>
    <row r="691" spans="1:7" hidden="1" x14ac:dyDescent="0.25">
      <c r="A691" s="85" t="s">
        <v>2301</v>
      </c>
      <c r="B691" s="88" t="s">
        <v>2277</v>
      </c>
      <c r="C691" s="14" t="s">
        <v>37</v>
      </c>
      <c r="D691" s="14"/>
      <c r="E691" s="15"/>
      <c r="F691" s="16">
        <f t="shared" si="49"/>
        <v>0</v>
      </c>
      <c r="G691">
        <f t="shared" si="48"/>
        <v>0</v>
      </c>
    </row>
    <row r="692" spans="1:7" hidden="1" x14ac:dyDescent="0.25">
      <c r="A692" s="85" t="s">
        <v>2302</v>
      </c>
      <c r="B692" s="88" t="s">
        <v>2279</v>
      </c>
      <c r="C692" s="14" t="s">
        <v>37</v>
      </c>
      <c r="D692" s="14"/>
      <c r="E692" s="15"/>
      <c r="F692" s="16">
        <f t="shared" si="49"/>
        <v>0</v>
      </c>
      <c r="G692">
        <f t="shared" si="48"/>
        <v>0</v>
      </c>
    </row>
    <row r="693" spans="1:7" hidden="1" x14ac:dyDescent="0.25">
      <c r="A693" s="85" t="s">
        <v>2303</v>
      </c>
      <c r="B693" s="88" t="s">
        <v>2278</v>
      </c>
      <c r="C693" s="14" t="s">
        <v>37</v>
      </c>
      <c r="D693" s="14"/>
      <c r="E693" s="15"/>
      <c r="F693" s="16">
        <f t="shared" si="49"/>
        <v>0</v>
      </c>
      <c r="G693">
        <f t="shared" si="48"/>
        <v>0</v>
      </c>
    </row>
    <row r="694" spans="1:7" hidden="1" x14ac:dyDescent="0.25">
      <c r="A694" s="85" t="s">
        <v>2304</v>
      </c>
      <c r="B694" s="88" t="s">
        <v>2280</v>
      </c>
      <c r="C694" s="14" t="s">
        <v>37</v>
      </c>
      <c r="D694" s="14"/>
      <c r="E694" s="15"/>
      <c r="F694" s="16">
        <f t="shared" si="49"/>
        <v>0</v>
      </c>
      <c r="G694">
        <f t="shared" si="48"/>
        <v>0</v>
      </c>
    </row>
    <row r="695" spans="1:7" hidden="1" x14ac:dyDescent="0.25">
      <c r="A695" s="85" t="s">
        <v>2305</v>
      </c>
      <c r="B695" s="88" t="s">
        <v>2281</v>
      </c>
      <c r="C695" s="14" t="s">
        <v>37</v>
      </c>
      <c r="D695" s="14"/>
      <c r="E695" s="15"/>
      <c r="F695" s="16">
        <f t="shared" si="49"/>
        <v>0</v>
      </c>
      <c r="G695">
        <f t="shared" si="48"/>
        <v>0</v>
      </c>
    </row>
    <row r="696" spans="1:7" hidden="1" x14ac:dyDescent="0.25">
      <c r="A696" s="85" t="s">
        <v>2306</v>
      </c>
      <c r="B696" s="88" t="s">
        <v>2282</v>
      </c>
      <c r="C696" s="14" t="s">
        <v>37</v>
      </c>
      <c r="D696" s="14"/>
      <c r="E696" s="15"/>
      <c r="F696" s="16">
        <f t="shared" si="49"/>
        <v>0</v>
      </c>
      <c r="G696">
        <f t="shared" si="48"/>
        <v>0</v>
      </c>
    </row>
    <row r="697" spans="1:7" hidden="1" x14ac:dyDescent="0.25">
      <c r="A697" s="85" t="s">
        <v>2307</v>
      </c>
      <c r="B697" s="88" t="s">
        <v>2283</v>
      </c>
      <c r="C697" s="14" t="s">
        <v>37</v>
      </c>
      <c r="D697" s="14"/>
      <c r="E697" s="15"/>
      <c r="F697" s="16">
        <f t="shared" si="49"/>
        <v>0</v>
      </c>
      <c r="G697">
        <f t="shared" si="48"/>
        <v>0</v>
      </c>
    </row>
    <row r="698" spans="1:7" hidden="1" x14ac:dyDescent="0.25">
      <c r="A698" s="85" t="s">
        <v>2308</v>
      </c>
      <c r="B698" s="88" t="s">
        <v>2284</v>
      </c>
      <c r="C698" s="14" t="s">
        <v>37</v>
      </c>
      <c r="D698" s="14"/>
      <c r="E698" s="15"/>
      <c r="F698" s="16">
        <f t="shared" si="49"/>
        <v>0</v>
      </c>
      <c r="G698">
        <f t="shared" si="48"/>
        <v>0</v>
      </c>
    </row>
    <row r="699" spans="1:7" hidden="1" x14ac:dyDescent="0.25">
      <c r="A699" s="85" t="s">
        <v>2309</v>
      </c>
      <c r="B699" s="88" t="s">
        <v>2285</v>
      </c>
      <c r="C699" s="14" t="s">
        <v>37</v>
      </c>
      <c r="D699" s="14"/>
      <c r="E699" s="15"/>
      <c r="F699" s="16">
        <f t="shared" si="49"/>
        <v>0</v>
      </c>
      <c r="G699">
        <f t="shared" si="48"/>
        <v>0</v>
      </c>
    </row>
    <row r="700" spans="1:7" hidden="1" x14ac:dyDescent="0.25">
      <c r="A700" s="85" t="s">
        <v>2310</v>
      </c>
      <c r="B700" s="88" t="s">
        <v>2286</v>
      </c>
      <c r="C700" s="14" t="s">
        <v>37</v>
      </c>
      <c r="D700" s="14"/>
      <c r="E700" s="15"/>
      <c r="F700" s="16">
        <f t="shared" si="49"/>
        <v>0</v>
      </c>
      <c r="G700">
        <f t="shared" si="48"/>
        <v>0</v>
      </c>
    </row>
    <row r="701" spans="1:7" hidden="1" x14ac:dyDescent="0.25">
      <c r="A701" s="85" t="s">
        <v>2311</v>
      </c>
      <c r="B701" s="88" t="s">
        <v>2287</v>
      </c>
      <c r="C701" s="14" t="s">
        <v>37</v>
      </c>
      <c r="D701" s="14"/>
      <c r="E701" s="15"/>
      <c r="F701" s="16">
        <f t="shared" si="49"/>
        <v>0</v>
      </c>
      <c r="G701">
        <f t="shared" si="48"/>
        <v>0</v>
      </c>
    </row>
    <row r="702" spans="1:7" hidden="1" x14ac:dyDescent="0.25">
      <c r="A702" s="85" t="s">
        <v>2312</v>
      </c>
      <c r="B702" s="88" t="s">
        <v>2288</v>
      </c>
      <c r="C702" s="14" t="s">
        <v>37</v>
      </c>
      <c r="D702" s="14"/>
      <c r="E702" s="15"/>
      <c r="F702" s="16">
        <f t="shared" si="49"/>
        <v>0</v>
      </c>
      <c r="G702">
        <f t="shared" si="48"/>
        <v>0</v>
      </c>
    </row>
    <row r="703" spans="1:7" hidden="1" x14ac:dyDescent="0.25">
      <c r="A703" s="85" t="s">
        <v>2313</v>
      </c>
      <c r="B703" s="88" t="s">
        <v>2289</v>
      </c>
      <c r="C703" s="14" t="s">
        <v>37</v>
      </c>
      <c r="D703" s="14"/>
      <c r="E703" s="15"/>
      <c r="F703" s="16">
        <f t="shared" si="49"/>
        <v>0</v>
      </c>
      <c r="G703">
        <f t="shared" si="48"/>
        <v>0</v>
      </c>
    </row>
    <row r="704" spans="1:7" hidden="1" x14ac:dyDescent="0.25">
      <c r="A704" s="85" t="s">
        <v>2314</v>
      </c>
      <c r="B704" s="88" t="s">
        <v>2290</v>
      </c>
      <c r="C704" s="14" t="s">
        <v>37</v>
      </c>
      <c r="D704" s="14"/>
      <c r="E704" s="15"/>
      <c r="F704" s="16">
        <f t="shared" si="49"/>
        <v>0</v>
      </c>
      <c r="G704">
        <f t="shared" si="48"/>
        <v>0</v>
      </c>
    </row>
    <row r="705" spans="1:7" hidden="1" x14ac:dyDescent="0.25">
      <c r="A705" s="85" t="s">
        <v>2315</v>
      </c>
      <c r="B705" s="88" t="s">
        <v>2291</v>
      </c>
      <c r="C705" s="14" t="s">
        <v>37</v>
      </c>
      <c r="D705" s="14"/>
      <c r="E705" s="15"/>
      <c r="F705" s="16">
        <f t="shared" si="49"/>
        <v>0</v>
      </c>
      <c r="G705">
        <f t="shared" si="48"/>
        <v>0</v>
      </c>
    </row>
    <row r="706" spans="1:7" hidden="1" x14ac:dyDescent="0.25">
      <c r="A706" s="85" t="s">
        <v>2316</v>
      </c>
      <c r="B706" s="88" t="s">
        <v>2293</v>
      </c>
      <c r="C706" s="14" t="s">
        <v>37</v>
      </c>
      <c r="D706" s="14"/>
      <c r="E706" s="15"/>
      <c r="F706" s="16">
        <f t="shared" si="49"/>
        <v>0</v>
      </c>
      <c r="G706">
        <f t="shared" si="48"/>
        <v>0</v>
      </c>
    </row>
    <row r="707" spans="1:7" hidden="1" x14ac:dyDescent="0.25">
      <c r="A707" s="85" t="s">
        <v>2317</v>
      </c>
      <c r="B707" s="88" t="s">
        <v>2292</v>
      </c>
      <c r="C707" s="14" t="s">
        <v>37</v>
      </c>
      <c r="D707" s="14"/>
      <c r="E707" s="15"/>
      <c r="F707" s="16">
        <f t="shared" si="49"/>
        <v>0</v>
      </c>
      <c r="G707">
        <f t="shared" si="48"/>
        <v>0</v>
      </c>
    </row>
    <row r="708" spans="1:7" hidden="1" x14ac:dyDescent="0.25">
      <c r="A708" s="85" t="s">
        <v>2318</v>
      </c>
      <c r="B708" s="88" t="s">
        <v>2294</v>
      </c>
      <c r="C708" s="14" t="s">
        <v>37</v>
      </c>
      <c r="D708" s="14"/>
      <c r="E708" s="15"/>
      <c r="F708" s="16">
        <f t="shared" si="49"/>
        <v>0</v>
      </c>
      <c r="G708">
        <f t="shared" si="48"/>
        <v>0</v>
      </c>
    </row>
    <row r="709" spans="1:7" hidden="1" x14ac:dyDescent="0.25">
      <c r="A709" s="85" t="s">
        <v>2319</v>
      </c>
      <c r="B709" s="88" t="s">
        <v>2295</v>
      </c>
      <c r="C709" s="14" t="s">
        <v>37</v>
      </c>
      <c r="D709" s="14"/>
      <c r="E709" s="15"/>
      <c r="F709" s="16">
        <f t="shared" si="49"/>
        <v>0</v>
      </c>
      <c r="G709">
        <f t="shared" si="48"/>
        <v>0</v>
      </c>
    </row>
    <row r="710" spans="1:7" hidden="1" x14ac:dyDescent="0.25">
      <c r="A710" s="85" t="s">
        <v>2320</v>
      </c>
      <c r="B710" s="88" t="s">
        <v>2296</v>
      </c>
      <c r="C710" s="14" t="s">
        <v>37</v>
      </c>
      <c r="D710" s="14"/>
      <c r="E710" s="15"/>
      <c r="F710" s="16">
        <f t="shared" si="49"/>
        <v>0</v>
      </c>
      <c r="G710">
        <f t="shared" si="48"/>
        <v>0</v>
      </c>
    </row>
    <row r="711" spans="1:7" hidden="1" x14ac:dyDescent="0.25">
      <c r="A711" s="61" t="s">
        <v>2321</v>
      </c>
      <c r="B711" s="62" t="s">
        <v>2322</v>
      </c>
      <c r="C711" s="63"/>
      <c r="D711" s="14"/>
      <c r="E711" s="15"/>
      <c r="F711" s="16"/>
      <c r="G711">
        <f t="shared" si="48"/>
        <v>0</v>
      </c>
    </row>
    <row r="712" spans="1:7" hidden="1" x14ac:dyDescent="0.25">
      <c r="A712" s="85" t="s">
        <v>2323</v>
      </c>
      <c r="B712" s="88" t="s">
        <v>2324</v>
      </c>
      <c r="C712" s="14" t="s">
        <v>14</v>
      </c>
      <c r="D712" s="14"/>
      <c r="E712" s="15"/>
      <c r="F712" s="16">
        <f t="shared" ref="F712:F728" si="50">+D712*E712</f>
        <v>0</v>
      </c>
      <c r="G712">
        <f t="shared" si="48"/>
        <v>0</v>
      </c>
    </row>
    <row r="713" spans="1:7" hidden="1" x14ac:dyDescent="0.25">
      <c r="A713" s="85" t="s">
        <v>2336</v>
      </c>
      <c r="B713" s="88" t="s">
        <v>2325</v>
      </c>
      <c r="C713" s="14" t="s">
        <v>14</v>
      </c>
      <c r="D713" s="14"/>
      <c r="E713" s="15"/>
      <c r="F713" s="16">
        <f t="shared" si="50"/>
        <v>0</v>
      </c>
      <c r="G713">
        <f t="shared" si="48"/>
        <v>0</v>
      </c>
    </row>
    <row r="714" spans="1:7" hidden="1" x14ac:dyDescent="0.25">
      <c r="A714" s="85" t="s">
        <v>2337</v>
      </c>
      <c r="B714" s="88" t="s">
        <v>2326</v>
      </c>
      <c r="C714" s="14" t="s">
        <v>14</v>
      </c>
      <c r="D714" s="14"/>
      <c r="E714" s="15"/>
      <c r="F714" s="16">
        <f t="shared" si="50"/>
        <v>0</v>
      </c>
      <c r="G714">
        <f t="shared" si="48"/>
        <v>0</v>
      </c>
    </row>
    <row r="715" spans="1:7" hidden="1" x14ac:dyDescent="0.25">
      <c r="A715" s="85" t="s">
        <v>2338</v>
      </c>
      <c r="B715" s="88" t="s">
        <v>2327</v>
      </c>
      <c r="C715" s="14" t="s">
        <v>14</v>
      </c>
      <c r="D715" s="14"/>
      <c r="E715" s="15"/>
      <c r="F715" s="16">
        <f t="shared" si="50"/>
        <v>0</v>
      </c>
      <c r="G715">
        <f t="shared" si="48"/>
        <v>0</v>
      </c>
    </row>
    <row r="716" spans="1:7" hidden="1" x14ac:dyDescent="0.25">
      <c r="A716" s="85" t="s">
        <v>2339</v>
      </c>
      <c r="B716" s="88" t="s">
        <v>2328</v>
      </c>
      <c r="C716" s="14" t="s">
        <v>14</v>
      </c>
      <c r="D716" s="14"/>
      <c r="E716" s="15"/>
      <c r="F716" s="16">
        <f t="shared" si="50"/>
        <v>0</v>
      </c>
      <c r="G716">
        <f t="shared" si="48"/>
        <v>0</v>
      </c>
    </row>
    <row r="717" spans="1:7" hidden="1" x14ac:dyDescent="0.25">
      <c r="A717" s="85" t="s">
        <v>2340</v>
      </c>
      <c r="B717" s="88" t="s">
        <v>2329</v>
      </c>
      <c r="C717" s="14" t="s">
        <v>14</v>
      </c>
      <c r="D717" s="14"/>
      <c r="E717" s="15"/>
      <c r="F717" s="16">
        <f t="shared" si="50"/>
        <v>0</v>
      </c>
      <c r="G717">
        <f t="shared" si="48"/>
        <v>0</v>
      </c>
    </row>
    <row r="718" spans="1:7" hidden="1" x14ac:dyDescent="0.25">
      <c r="A718" s="85" t="s">
        <v>2341</v>
      </c>
      <c r="B718" s="88" t="s">
        <v>2330</v>
      </c>
      <c r="C718" s="14" t="s">
        <v>14</v>
      </c>
      <c r="D718" s="14"/>
      <c r="E718" s="15"/>
      <c r="F718" s="16">
        <f t="shared" si="50"/>
        <v>0</v>
      </c>
      <c r="G718">
        <f t="shared" si="48"/>
        <v>0</v>
      </c>
    </row>
    <row r="719" spans="1:7" hidden="1" x14ac:dyDescent="0.25">
      <c r="A719" s="85" t="s">
        <v>2342</v>
      </c>
      <c r="B719" s="88" t="s">
        <v>2331</v>
      </c>
      <c r="C719" s="14" t="s">
        <v>14</v>
      </c>
      <c r="D719" s="14"/>
      <c r="E719" s="15"/>
      <c r="F719" s="16">
        <f t="shared" si="50"/>
        <v>0</v>
      </c>
      <c r="G719">
        <f t="shared" si="48"/>
        <v>0</v>
      </c>
    </row>
    <row r="720" spans="1:7" hidden="1" x14ac:dyDescent="0.25">
      <c r="A720" s="85" t="s">
        <v>2343</v>
      </c>
      <c r="B720" s="88" t="s">
        <v>2332</v>
      </c>
      <c r="C720" s="14" t="s">
        <v>14</v>
      </c>
      <c r="D720" s="14"/>
      <c r="E720" s="15"/>
      <c r="F720" s="16">
        <f t="shared" si="50"/>
        <v>0</v>
      </c>
      <c r="G720">
        <f t="shared" si="48"/>
        <v>0</v>
      </c>
    </row>
    <row r="721" spans="1:7" hidden="1" x14ac:dyDescent="0.25">
      <c r="A721" s="85" t="s">
        <v>2344</v>
      </c>
      <c r="B721" s="88" t="s">
        <v>2333</v>
      </c>
      <c r="C721" s="14" t="s">
        <v>14</v>
      </c>
      <c r="D721" s="14"/>
      <c r="E721" s="15"/>
      <c r="F721" s="16">
        <f t="shared" si="50"/>
        <v>0</v>
      </c>
      <c r="G721">
        <f t="shared" si="48"/>
        <v>0</v>
      </c>
    </row>
    <row r="722" spans="1:7" hidden="1" x14ac:dyDescent="0.25">
      <c r="A722" s="85" t="s">
        <v>2345</v>
      </c>
      <c r="B722" s="88" t="s">
        <v>2334</v>
      </c>
      <c r="C722" s="14" t="s">
        <v>14</v>
      </c>
      <c r="D722" s="14"/>
      <c r="E722" s="15"/>
      <c r="F722" s="16">
        <f t="shared" si="50"/>
        <v>0</v>
      </c>
      <c r="G722">
        <f t="shared" si="48"/>
        <v>0</v>
      </c>
    </row>
    <row r="723" spans="1:7" hidden="1" x14ac:dyDescent="0.25">
      <c r="A723" s="85" t="s">
        <v>2346</v>
      </c>
      <c r="B723" s="88" t="s">
        <v>2335</v>
      </c>
      <c r="C723" s="14" t="s">
        <v>14</v>
      </c>
      <c r="D723" s="14"/>
      <c r="E723" s="15"/>
      <c r="F723" s="16">
        <f t="shared" si="50"/>
        <v>0</v>
      </c>
      <c r="G723">
        <f t="shared" si="48"/>
        <v>0</v>
      </c>
    </row>
    <row r="724" spans="1:7" hidden="1" x14ac:dyDescent="0.25">
      <c r="A724" s="85" t="s">
        <v>2348</v>
      </c>
      <c r="B724" s="88" t="s">
        <v>2350</v>
      </c>
      <c r="C724" s="14" t="s">
        <v>14</v>
      </c>
      <c r="D724" s="14"/>
      <c r="E724" s="15"/>
      <c r="F724" s="16">
        <f t="shared" si="50"/>
        <v>0</v>
      </c>
      <c r="G724">
        <f t="shared" si="48"/>
        <v>0</v>
      </c>
    </row>
    <row r="725" spans="1:7" hidden="1" x14ac:dyDescent="0.25">
      <c r="A725" s="85" t="s">
        <v>2349</v>
      </c>
      <c r="B725" s="88" t="s">
        <v>2351</v>
      </c>
      <c r="C725" s="14" t="s">
        <v>14</v>
      </c>
      <c r="D725" s="14"/>
      <c r="E725" s="15"/>
      <c r="F725" s="16">
        <f t="shared" si="50"/>
        <v>0</v>
      </c>
      <c r="G725">
        <f t="shared" si="48"/>
        <v>0</v>
      </c>
    </row>
    <row r="726" spans="1:7" hidden="1" x14ac:dyDescent="0.25">
      <c r="A726" s="85" t="s">
        <v>2352</v>
      </c>
      <c r="B726" s="88" t="s">
        <v>2354</v>
      </c>
      <c r="C726" s="14" t="s">
        <v>14</v>
      </c>
      <c r="D726" s="14"/>
      <c r="E726" s="15"/>
      <c r="F726" s="16">
        <f t="shared" si="50"/>
        <v>0</v>
      </c>
      <c r="G726">
        <f t="shared" si="48"/>
        <v>0</v>
      </c>
    </row>
    <row r="727" spans="1:7" hidden="1" x14ac:dyDescent="0.25">
      <c r="A727" s="85" t="s">
        <v>2353</v>
      </c>
      <c r="B727" s="88" t="s">
        <v>2355</v>
      </c>
      <c r="C727" s="14" t="s">
        <v>14</v>
      </c>
      <c r="D727" s="14"/>
      <c r="E727" s="15"/>
      <c r="F727" s="16">
        <f t="shared" si="50"/>
        <v>0</v>
      </c>
      <c r="G727">
        <f t="shared" si="48"/>
        <v>0</v>
      </c>
    </row>
    <row r="728" spans="1:7" hidden="1" x14ac:dyDescent="0.25">
      <c r="A728" s="85" t="s">
        <v>2357</v>
      </c>
      <c r="B728" s="88" t="s">
        <v>2356</v>
      </c>
      <c r="C728" s="14" t="s">
        <v>14</v>
      </c>
      <c r="D728" s="14"/>
      <c r="E728" s="15"/>
      <c r="F728" s="16">
        <f t="shared" si="50"/>
        <v>0</v>
      </c>
      <c r="G728">
        <f t="shared" si="48"/>
        <v>0</v>
      </c>
    </row>
    <row r="729" spans="1:7" hidden="1" x14ac:dyDescent="0.25">
      <c r="A729" s="61" t="s">
        <v>2359</v>
      </c>
      <c r="B729" s="62" t="s">
        <v>2358</v>
      </c>
      <c r="C729" s="64"/>
      <c r="D729" s="14"/>
      <c r="E729" s="15"/>
      <c r="F729" s="16"/>
      <c r="G729">
        <f t="shared" si="48"/>
        <v>0</v>
      </c>
    </row>
    <row r="730" spans="1:7" hidden="1" x14ac:dyDescent="0.25">
      <c r="A730" s="78" t="s">
        <v>2360</v>
      </c>
      <c r="B730" s="79" t="s">
        <v>2361</v>
      </c>
      <c r="C730" s="14"/>
      <c r="D730" s="14"/>
      <c r="E730" s="15"/>
      <c r="F730" s="16"/>
      <c r="G730">
        <f t="shared" si="48"/>
        <v>0</v>
      </c>
    </row>
    <row r="731" spans="1:7" hidden="1" x14ac:dyDescent="0.25">
      <c r="A731" s="85" t="s">
        <v>2362</v>
      </c>
      <c r="B731" s="88" t="s">
        <v>2363</v>
      </c>
      <c r="C731" s="26" t="s">
        <v>37</v>
      </c>
      <c r="D731" s="14"/>
      <c r="E731" s="15"/>
      <c r="F731" s="16">
        <f t="shared" ref="F731:F741" si="51">+D731*E731</f>
        <v>0</v>
      </c>
      <c r="G731">
        <f t="shared" si="48"/>
        <v>0</v>
      </c>
    </row>
    <row r="732" spans="1:7" hidden="1" x14ac:dyDescent="0.25">
      <c r="A732" s="85" t="s">
        <v>2374</v>
      </c>
      <c r="B732" s="88" t="s">
        <v>2364</v>
      </c>
      <c r="C732" s="26" t="s">
        <v>37</v>
      </c>
      <c r="D732" s="14"/>
      <c r="E732" s="15"/>
      <c r="F732" s="16">
        <f t="shared" si="51"/>
        <v>0</v>
      </c>
      <c r="G732">
        <f t="shared" si="48"/>
        <v>0</v>
      </c>
    </row>
    <row r="733" spans="1:7" hidden="1" x14ac:dyDescent="0.25">
      <c r="A733" s="85" t="s">
        <v>2375</v>
      </c>
      <c r="B733" s="88" t="s">
        <v>2365</v>
      </c>
      <c r="C733" s="26" t="s">
        <v>37</v>
      </c>
      <c r="D733" s="14"/>
      <c r="E733" s="15"/>
      <c r="F733" s="16">
        <f t="shared" si="51"/>
        <v>0</v>
      </c>
      <c r="G733">
        <f t="shared" si="48"/>
        <v>0</v>
      </c>
    </row>
    <row r="734" spans="1:7" hidden="1" x14ac:dyDescent="0.25">
      <c r="A734" s="85" t="s">
        <v>2376</v>
      </c>
      <c r="B734" s="88" t="s">
        <v>2366</v>
      </c>
      <c r="C734" s="26" t="s">
        <v>37</v>
      </c>
      <c r="D734" s="14"/>
      <c r="E734" s="15"/>
      <c r="F734" s="16">
        <f t="shared" si="51"/>
        <v>0</v>
      </c>
      <c r="G734">
        <f t="shared" si="48"/>
        <v>0</v>
      </c>
    </row>
    <row r="735" spans="1:7" hidden="1" x14ac:dyDescent="0.25">
      <c r="A735" s="85" t="s">
        <v>2377</v>
      </c>
      <c r="B735" s="88" t="s">
        <v>2367</v>
      </c>
      <c r="C735" s="26" t="s">
        <v>37</v>
      </c>
      <c r="D735" s="14"/>
      <c r="E735" s="15"/>
      <c r="F735" s="16">
        <f t="shared" si="51"/>
        <v>0</v>
      </c>
      <c r="G735">
        <f t="shared" si="48"/>
        <v>0</v>
      </c>
    </row>
    <row r="736" spans="1:7" hidden="1" x14ac:dyDescent="0.25">
      <c r="A736" s="85" t="s">
        <v>2378</v>
      </c>
      <c r="B736" s="88" t="s">
        <v>2368</v>
      </c>
      <c r="C736" s="26" t="s">
        <v>37</v>
      </c>
      <c r="D736" s="14"/>
      <c r="E736" s="15"/>
      <c r="F736" s="16">
        <f t="shared" si="51"/>
        <v>0</v>
      </c>
      <c r="G736">
        <f t="shared" si="48"/>
        <v>0</v>
      </c>
    </row>
    <row r="737" spans="1:7" hidden="1" x14ac:dyDescent="0.25">
      <c r="A737" s="85" t="s">
        <v>2379</v>
      </c>
      <c r="B737" s="88" t="s">
        <v>2369</v>
      </c>
      <c r="C737" s="26" t="s">
        <v>37</v>
      </c>
      <c r="D737" s="14"/>
      <c r="E737" s="15"/>
      <c r="F737" s="16">
        <f t="shared" si="51"/>
        <v>0</v>
      </c>
      <c r="G737">
        <f t="shared" si="48"/>
        <v>0</v>
      </c>
    </row>
    <row r="738" spans="1:7" hidden="1" x14ac:dyDescent="0.25">
      <c r="A738" s="85" t="s">
        <v>2380</v>
      </c>
      <c r="B738" s="88" t="s">
        <v>2370</v>
      </c>
      <c r="C738" s="26" t="s">
        <v>37</v>
      </c>
      <c r="D738" s="14"/>
      <c r="E738" s="15"/>
      <c r="F738" s="16">
        <f t="shared" si="51"/>
        <v>0</v>
      </c>
      <c r="G738">
        <f t="shared" si="48"/>
        <v>0</v>
      </c>
    </row>
    <row r="739" spans="1:7" hidden="1" x14ac:dyDescent="0.25">
      <c r="A739" s="85" t="s">
        <v>2381</v>
      </c>
      <c r="B739" s="88" t="s">
        <v>2371</v>
      </c>
      <c r="C739" s="26" t="s">
        <v>37</v>
      </c>
      <c r="D739" s="14"/>
      <c r="E739" s="15"/>
      <c r="F739" s="16">
        <f t="shared" si="51"/>
        <v>0</v>
      </c>
      <c r="G739">
        <f t="shared" si="48"/>
        <v>0</v>
      </c>
    </row>
    <row r="740" spans="1:7" hidden="1" x14ac:dyDescent="0.25">
      <c r="A740" s="85" t="s">
        <v>2382</v>
      </c>
      <c r="B740" s="88" t="s">
        <v>2372</v>
      </c>
      <c r="C740" s="26" t="s">
        <v>37</v>
      </c>
      <c r="D740" s="14"/>
      <c r="E740" s="15"/>
      <c r="F740" s="16">
        <f t="shared" si="51"/>
        <v>0</v>
      </c>
      <c r="G740">
        <f t="shared" ref="G740:G803" si="52">+IF(F740&lt;&gt;0,1,0)</f>
        <v>0</v>
      </c>
    </row>
    <row r="741" spans="1:7" hidden="1" x14ac:dyDescent="0.25">
      <c r="A741" s="85" t="s">
        <v>2383</v>
      </c>
      <c r="B741" s="88" t="s">
        <v>2373</v>
      </c>
      <c r="C741" s="26" t="s">
        <v>37</v>
      </c>
      <c r="D741" s="14"/>
      <c r="E741" s="15"/>
      <c r="F741" s="16">
        <f t="shared" si="51"/>
        <v>0</v>
      </c>
      <c r="G741">
        <f t="shared" si="52"/>
        <v>0</v>
      </c>
    </row>
    <row r="742" spans="1:7" hidden="1" x14ac:dyDescent="0.25">
      <c r="A742" s="85" t="s">
        <v>2385</v>
      </c>
      <c r="B742" s="79" t="s">
        <v>2384</v>
      </c>
      <c r="C742" s="26"/>
      <c r="D742" s="14"/>
      <c r="E742" s="15"/>
      <c r="F742" s="16"/>
      <c r="G742">
        <f t="shared" si="52"/>
        <v>0</v>
      </c>
    </row>
    <row r="743" spans="1:7" hidden="1" x14ac:dyDescent="0.25">
      <c r="A743" s="85" t="s">
        <v>2386</v>
      </c>
      <c r="B743" s="88" t="s">
        <v>2363</v>
      </c>
      <c r="C743" s="26" t="s">
        <v>37</v>
      </c>
      <c r="D743" s="14"/>
      <c r="E743" s="15"/>
      <c r="F743" s="16">
        <f t="shared" ref="F743:F753" si="53">+D743*E743</f>
        <v>0</v>
      </c>
      <c r="G743">
        <f t="shared" si="52"/>
        <v>0</v>
      </c>
    </row>
    <row r="744" spans="1:7" hidden="1" x14ac:dyDescent="0.25">
      <c r="A744" s="85" t="s">
        <v>2387</v>
      </c>
      <c r="B744" s="88" t="s">
        <v>2364</v>
      </c>
      <c r="C744" s="26" t="s">
        <v>37</v>
      </c>
      <c r="D744" s="14"/>
      <c r="E744" s="15"/>
      <c r="F744" s="16">
        <f t="shared" si="53"/>
        <v>0</v>
      </c>
      <c r="G744">
        <f t="shared" si="52"/>
        <v>0</v>
      </c>
    </row>
    <row r="745" spans="1:7" hidden="1" x14ac:dyDescent="0.25">
      <c r="A745" s="85" t="s">
        <v>2388</v>
      </c>
      <c r="B745" s="88" t="s">
        <v>2365</v>
      </c>
      <c r="C745" s="26" t="s">
        <v>37</v>
      </c>
      <c r="D745" s="14"/>
      <c r="E745" s="15"/>
      <c r="F745" s="16">
        <f t="shared" si="53"/>
        <v>0</v>
      </c>
      <c r="G745">
        <f t="shared" si="52"/>
        <v>0</v>
      </c>
    </row>
    <row r="746" spans="1:7" hidden="1" x14ac:dyDescent="0.25">
      <c r="A746" s="85" t="s">
        <v>2389</v>
      </c>
      <c r="B746" s="88" t="s">
        <v>2366</v>
      </c>
      <c r="C746" s="26" t="s">
        <v>37</v>
      </c>
      <c r="D746" s="14"/>
      <c r="E746" s="15"/>
      <c r="F746" s="16">
        <f t="shared" si="53"/>
        <v>0</v>
      </c>
      <c r="G746">
        <f t="shared" si="52"/>
        <v>0</v>
      </c>
    </row>
    <row r="747" spans="1:7" hidden="1" x14ac:dyDescent="0.25">
      <c r="A747" s="85" t="s">
        <v>2390</v>
      </c>
      <c r="B747" s="88" t="s">
        <v>2367</v>
      </c>
      <c r="C747" s="26" t="s">
        <v>37</v>
      </c>
      <c r="D747" s="14"/>
      <c r="E747" s="15"/>
      <c r="F747" s="16">
        <f t="shared" si="53"/>
        <v>0</v>
      </c>
      <c r="G747">
        <f t="shared" si="52"/>
        <v>0</v>
      </c>
    </row>
    <row r="748" spans="1:7" hidden="1" x14ac:dyDescent="0.25">
      <c r="A748" s="85" t="s">
        <v>2391</v>
      </c>
      <c r="B748" s="88" t="s">
        <v>2368</v>
      </c>
      <c r="C748" s="26" t="s">
        <v>37</v>
      </c>
      <c r="D748" s="14"/>
      <c r="E748" s="15"/>
      <c r="F748" s="16">
        <f t="shared" si="53"/>
        <v>0</v>
      </c>
      <c r="G748">
        <f t="shared" si="52"/>
        <v>0</v>
      </c>
    </row>
    <row r="749" spans="1:7" hidden="1" x14ac:dyDescent="0.25">
      <c r="A749" s="85" t="s">
        <v>2392</v>
      </c>
      <c r="B749" s="88" t="s">
        <v>2369</v>
      </c>
      <c r="C749" s="26" t="s">
        <v>37</v>
      </c>
      <c r="D749" s="14"/>
      <c r="E749" s="15"/>
      <c r="F749" s="16">
        <f t="shared" si="53"/>
        <v>0</v>
      </c>
      <c r="G749">
        <f t="shared" si="52"/>
        <v>0</v>
      </c>
    </row>
    <row r="750" spans="1:7" hidden="1" x14ac:dyDescent="0.25">
      <c r="A750" s="85" t="s">
        <v>2393</v>
      </c>
      <c r="B750" s="88" t="s">
        <v>2370</v>
      </c>
      <c r="C750" s="26" t="s">
        <v>37</v>
      </c>
      <c r="D750" s="14"/>
      <c r="E750" s="15"/>
      <c r="F750" s="16">
        <f t="shared" si="53"/>
        <v>0</v>
      </c>
      <c r="G750">
        <f t="shared" si="52"/>
        <v>0</v>
      </c>
    </row>
    <row r="751" spans="1:7" hidden="1" x14ac:dyDescent="0.25">
      <c r="A751" s="85" t="s">
        <v>2394</v>
      </c>
      <c r="B751" s="88" t="s">
        <v>2371</v>
      </c>
      <c r="C751" s="26" t="s">
        <v>37</v>
      </c>
      <c r="D751" s="14"/>
      <c r="E751" s="15"/>
      <c r="F751" s="16">
        <f t="shared" si="53"/>
        <v>0</v>
      </c>
      <c r="G751">
        <f t="shared" si="52"/>
        <v>0</v>
      </c>
    </row>
    <row r="752" spans="1:7" hidden="1" x14ac:dyDescent="0.25">
      <c r="A752" s="85" t="s">
        <v>2395</v>
      </c>
      <c r="B752" s="88" t="s">
        <v>2372</v>
      </c>
      <c r="C752" s="26" t="s">
        <v>37</v>
      </c>
      <c r="D752" s="14"/>
      <c r="E752" s="15"/>
      <c r="F752" s="16">
        <f t="shared" si="53"/>
        <v>0</v>
      </c>
      <c r="G752">
        <f t="shared" si="52"/>
        <v>0</v>
      </c>
    </row>
    <row r="753" spans="1:7" hidden="1" x14ac:dyDescent="0.25">
      <c r="A753" s="85" t="s">
        <v>2396</v>
      </c>
      <c r="B753" s="88" t="s">
        <v>2373</v>
      </c>
      <c r="C753" s="26" t="s">
        <v>37</v>
      </c>
      <c r="D753" s="14"/>
      <c r="E753" s="15"/>
      <c r="F753" s="16">
        <f t="shared" si="53"/>
        <v>0</v>
      </c>
      <c r="G753">
        <f t="shared" si="52"/>
        <v>0</v>
      </c>
    </row>
    <row r="754" spans="1:7" hidden="1" x14ac:dyDescent="0.25">
      <c r="A754" s="78" t="s">
        <v>2398</v>
      </c>
      <c r="B754" s="79" t="s">
        <v>2397</v>
      </c>
      <c r="C754" s="26"/>
      <c r="D754" s="14"/>
      <c r="E754" s="15"/>
      <c r="F754" s="16"/>
      <c r="G754">
        <f t="shared" si="52"/>
        <v>0</v>
      </c>
    </row>
    <row r="755" spans="1:7" hidden="1" x14ac:dyDescent="0.25">
      <c r="A755" s="85" t="s">
        <v>2416</v>
      </c>
      <c r="B755" s="88" t="s">
        <v>2399</v>
      </c>
      <c r="C755" s="26" t="s">
        <v>37</v>
      </c>
      <c r="D755" s="14"/>
      <c r="E755" s="15"/>
      <c r="F755" s="16">
        <f t="shared" ref="F755:F784" si="54">+D755*E755</f>
        <v>0</v>
      </c>
      <c r="G755">
        <f t="shared" si="52"/>
        <v>0</v>
      </c>
    </row>
    <row r="756" spans="1:7" hidden="1" x14ac:dyDescent="0.25">
      <c r="A756" s="85" t="s">
        <v>2417</v>
      </c>
      <c r="B756" s="88" t="s">
        <v>2400</v>
      </c>
      <c r="C756" s="26" t="s">
        <v>37</v>
      </c>
      <c r="D756" s="14"/>
      <c r="E756" s="15"/>
      <c r="F756" s="16">
        <f t="shared" si="54"/>
        <v>0</v>
      </c>
      <c r="G756">
        <f t="shared" si="52"/>
        <v>0</v>
      </c>
    </row>
    <row r="757" spans="1:7" hidden="1" x14ac:dyDescent="0.25">
      <c r="A757" s="85" t="s">
        <v>2418</v>
      </c>
      <c r="B757" s="88" t="s">
        <v>2401</v>
      </c>
      <c r="C757" s="26" t="s">
        <v>37</v>
      </c>
      <c r="D757" s="14"/>
      <c r="E757" s="15"/>
      <c r="F757" s="16">
        <f t="shared" si="54"/>
        <v>0</v>
      </c>
      <c r="G757">
        <f t="shared" si="52"/>
        <v>0</v>
      </c>
    </row>
    <row r="758" spans="1:7" hidden="1" x14ac:dyDescent="0.25">
      <c r="A758" s="85" t="s">
        <v>2419</v>
      </c>
      <c r="B758" s="88" t="s">
        <v>2402</v>
      </c>
      <c r="C758" s="26" t="s">
        <v>37</v>
      </c>
      <c r="D758" s="14"/>
      <c r="E758" s="15"/>
      <c r="F758" s="16">
        <f t="shared" si="54"/>
        <v>0</v>
      </c>
      <c r="G758">
        <f t="shared" si="52"/>
        <v>0</v>
      </c>
    </row>
    <row r="759" spans="1:7" hidden="1" x14ac:dyDescent="0.25">
      <c r="A759" s="85" t="s">
        <v>2420</v>
      </c>
      <c r="B759" s="88" t="s">
        <v>2405</v>
      </c>
      <c r="C759" s="26" t="s">
        <v>37</v>
      </c>
      <c r="D759" s="14"/>
      <c r="E759" s="15"/>
      <c r="F759" s="16">
        <f t="shared" si="54"/>
        <v>0</v>
      </c>
      <c r="G759">
        <f t="shared" si="52"/>
        <v>0</v>
      </c>
    </row>
    <row r="760" spans="1:7" hidden="1" x14ac:dyDescent="0.25">
      <c r="A760" s="85" t="s">
        <v>2421</v>
      </c>
      <c r="B760" s="88" t="s">
        <v>2403</v>
      </c>
      <c r="C760" s="26" t="s">
        <v>37</v>
      </c>
      <c r="D760" s="14"/>
      <c r="E760" s="15"/>
      <c r="F760" s="16">
        <f t="shared" si="54"/>
        <v>0</v>
      </c>
      <c r="G760">
        <f t="shared" si="52"/>
        <v>0</v>
      </c>
    </row>
    <row r="761" spans="1:7" hidden="1" x14ac:dyDescent="0.25">
      <c r="A761" s="85" t="s">
        <v>2422</v>
      </c>
      <c r="B761" s="88" t="s">
        <v>2404</v>
      </c>
      <c r="C761" s="26" t="s">
        <v>37</v>
      </c>
      <c r="D761" s="14"/>
      <c r="E761" s="15"/>
      <c r="F761" s="16">
        <f t="shared" si="54"/>
        <v>0</v>
      </c>
      <c r="G761">
        <f t="shared" si="52"/>
        <v>0</v>
      </c>
    </row>
    <row r="762" spans="1:7" hidden="1" x14ac:dyDescent="0.25">
      <c r="A762" s="85" t="s">
        <v>2423</v>
      </c>
      <c r="B762" s="88" t="s">
        <v>2406</v>
      </c>
      <c r="C762" s="26" t="s">
        <v>37</v>
      </c>
      <c r="D762" s="14"/>
      <c r="E762" s="15"/>
      <c r="F762" s="16">
        <f t="shared" si="54"/>
        <v>0</v>
      </c>
      <c r="G762">
        <f t="shared" si="52"/>
        <v>0</v>
      </c>
    </row>
    <row r="763" spans="1:7" hidden="1" x14ac:dyDescent="0.25">
      <c r="A763" s="85" t="s">
        <v>2424</v>
      </c>
      <c r="B763" s="88" t="s">
        <v>2407</v>
      </c>
      <c r="C763" s="26" t="s">
        <v>37</v>
      </c>
      <c r="D763" s="14"/>
      <c r="E763" s="15"/>
      <c r="F763" s="16">
        <f t="shared" si="54"/>
        <v>0</v>
      </c>
      <c r="G763">
        <f t="shared" si="52"/>
        <v>0</v>
      </c>
    </row>
    <row r="764" spans="1:7" hidden="1" x14ac:dyDescent="0.25">
      <c r="A764" s="85" t="s">
        <v>2425</v>
      </c>
      <c r="B764" s="88" t="s">
        <v>2408</v>
      </c>
      <c r="C764" s="26" t="s">
        <v>37</v>
      </c>
      <c r="D764" s="14"/>
      <c r="E764" s="15"/>
      <c r="F764" s="16">
        <f t="shared" si="54"/>
        <v>0</v>
      </c>
      <c r="G764">
        <f t="shared" si="52"/>
        <v>0</v>
      </c>
    </row>
    <row r="765" spans="1:7" hidden="1" x14ac:dyDescent="0.25">
      <c r="A765" s="85" t="s">
        <v>2426</v>
      </c>
      <c r="B765" s="88" t="s">
        <v>2409</v>
      </c>
      <c r="C765" s="26" t="s">
        <v>37</v>
      </c>
      <c r="D765" s="14"/>
      <c r="E765" s="15"/>
      <c r="F765" s="16">
        <f t="shared" si="54"/>
        <v>0</v>
      </c>
      <c r="G765">
        <f t="shared" si="52"/>
        <v>0</v>
      </c>
    </row>
    <row r="766" spans="1:7" hidden="1" x14ac:dyDescent="0.25">
      <c r="A766" s="85" t="s">
        <v>2427</v>
      </c>
      <c r="B766" s="88" t="s">
        <v>2410</v>
      </c>
      <c r="C766" s="26" t="s">
        <v>37</v>
      </c>
      <c r="D766" s="14"/>
      <c r="E766" s="15"/>
      <c r="F766" s="16">
        <f t="shared" si="54"/>
        <v>0</v>
      </c>
      <c r="G766">
        <f t="shared" si="52"/>
        <v>0</v>
      </c>
    </row>
    <row r="767" spans="1:7" hidden="1" x14ac:dyDescent="0.25">
      <c r="A767" s="85" t="s">
        <v>2428</v>
      </c>
      <c r="B767" s="88" t="s">
        <v>2411</v>
      </c>
      <c r="C767" s="26" t="s">
        <v>37</v>
      </c>
      <c r="D767" s="14"/>
      <c r="E767" s="15"/>
      <c r="F767" s="16">
        <f t="shared" si="54"/>
        <v>0</v>
      </c>
      <c r="G767">
        <f t="shared" si="52"/>
        <v>0</v>
      </c>
    </row>
    <row r="768" spans="1:7" hidden="1" x14ac:dyDescent="0.25">
      <c r="A768" s="85" t="s">
        <v>2429</v>
      </c>
      <c r="B768" s="88" t="s">
        <v>2412</v>
      </c>
      <c r="C768" s="26" t="s">
        <v>37</v>
      </c>
      <c r="D768" s="14"/>
      <c r="E768" s="15"/>
      <c r="F768" s="16">
        <f t="shared" si="54"/>
        <v>0</v>
      </c>
      <c r="G768">
        <f t="shared" si="52"/>
        <v>0</v>
      </c>
    </row>
    <row r="769" spans="1:7" hidden="1" x14ac:dyDescent="0.25">
      <c r="A769" s="85" t="s">
        <v>2430</v>
      </c>
      <c r="B769" s="88" t="s">
        <v>2413</v>
      </c>
      <c r="C769" s="26" t="s">
        <v>37</v>
      </c>
      <c r="D769" s="14"/>
      <c r="E769" s="15"/>
      <c r="F769" s="16">
        <f t="shared" si="54"/>
        <v>0</v>
      </c>
      <c r="G769">
        <f t="shared" si="52"/>
        <v>0</v>
      </c>
    </row>
    <row r="770" spans="1:7" hidden="1" x14ac:dyDescent="0.25">
      <c r="A770" s="85" t="s">
        <v>2431</v>
      </c>
      <c r="B770" s="88" t="s">
        <v>2414</v>
      </c>
      <c r="C770" s="26" t="s">
        <v>37</v>
      </c>
      <c r="D770" s="14"/>
      <c r="E770" s="15"/>
      <c r="F770" s="16">
        <f t="shared" si="54"/>
        <v>0</v>
      </c>
      <c r="G770">
        <f t="shared" si="52"/>
        <v>0</v>
      </c>
    </row>
    <row r="771" spans="1:7" hidden="1" x14ac:dyDescent="0.25">
      <c r="A771" s="85" t="s">
        <v>2432</v>
      </c>
      <c r="B771" s="88" t="s">
        <v>2415</v>
      </c>
      <c r="C771" s="26" t="s">
        <v>37</v>
      </c>
      <c r="D771" s="14"/>
      <c r="E771" s="15"/>
      <c r="F771" s="16">
        <f t="shared" si="54"/>
        <v>0</v>
      </c>
      <c r="G771">
        <f t="shared" si="52"/>
        <v>0</v>
      </c>
    </row>
    <row r="772" spans="1:7" hidden="1" x14ac:dyDescent="0.25">
      <c r="A772" s="85" t="s">
        <v>2441</v>
      </c>
      <c r="B772" s="88" t="s">
        <v>2433</v>
      </c>
      <c r="C772" s="26" t="s">
        <v>37</v>
      </c>
      <c r="D772" s="14"/>
      <c r="E772" s="15"/>
      <c r="F772" s="16">
        <f t="shared" si="54"/>
        <v>0</v>
      </c>
      <c r="G772">
        <f t="shared" si="52"/>
        <v>0</v>
      </c>
    </row>
    <row r="773" spans="1:7" hidden="1" x14ac:dyDescent="0.25">
      <c r="A773" s="85" t="s">
        <v>2442</v>
      </c>
      <c r="B773" s="88" t="s">
        <v>2434</v>
      </c>
      <c r="C773" s="26" t="s">
        <v>37</v>
      </c>
      <c r="D773" s="14"/>
      <c r="E773" s="15"/>
      <c r="F773" s="16">
        <f t="shared" si="54"/>
        <v>0</v>
      </c>
      <c r="G773">
        <f t="shared" si="52"/>
        <v>0</v>
      </c>
    </row>
    <row r="774" spans="1:7" hidden="1" x14ac:dyDescent="0.25">
      <c r="A774" s="85" t="s">
        <v>2443</v>
      </c>
      <c r="B774" s="88" t="s">
        <v>2435</v>
      </c>
      <c r="C774" s="26" t="s">
        <v>37</v>
      </c>
      <c r="D774" s="14"/>
      <c r="E774" s="15"/>
      <c r="F774" s="16">
        <f t="shared" si="54"/>
        <v>0</v>
      </c>
      <c r="G774">
        <f t="shared" si="52"/>
        <v>0</v>
      </c>
    </row>
    <row r="775" spans="1:7" hidden="1" x14ac:dyDescent="0.25">
      <c r="A775" s="85" t="s">
        <v>2444</v>
      </c>
      <c r="B775" s="88" t="s">
        <v>2436</v>
      </c>
      <c r="C775" s="26" t="s">
        <v>37</v>
      </c>
      <c r="D775" s="14"/>
      <c r="E775" s="15"/>
      <c r="F775" s="16">
        <f t="shared" si="54"/>
        <v>0</v>
      </c>
      <c r="G775">
        <f t="shared" si="52"/>
        <v>0</v>
      </c>
    </row>
    <row r="776" spans="1:7" hidden="1" x14ac:dyDescent="0.25">
      <c r="A776" s="85" t="s">
        <v>2445</v>
      </c>
      <c r="B776" s="88" t="s">
        <v>2437</v>
      </c>
      <c r="C776" s="26" t="s">
        <v>37</v>
      </c>
      <c r="D776" s="14"/>
      <c r="E776" s="15"/>
      <c r="F776" s="16">
        <f t="shared" si="54"/>
        <v>0</v>
      </c>
      <c r="G776">
        <f t="shared" si="52"/>
        <v>0</v>
      </c>
    </row>
    <row r="777" spans="1:7" hidden="1" x14ac:dyDescent="0.25">
      <c r="A777" s="85" t="s">
        <v>2446</v>
      </c>
      <c r="B777" s="88" t="s">
        <v>2438</v>
      </c>
      <c r="C777" s="26" t="s">
        <v>37</v>
      </c>
      <c r="D777" s="14"/>
      <c r="E777" s="15"/>
      <c r="F777" s="16">
        <f t="shared" si="54"/>
        <v>0</v>
      </c>
      <c r="G777">
        <f t="shared" si="52"/>
        <v>0</v>
      </c>
    </row>
    <row r="778" spans="1:7" hidden="1" x14ac:dyDescent="0.25">
      <c r="A778" s="85" t="s">
        <v>2447</v>
      </c>
      <c r="B778" s="88" t="s">
        <v>2439</v>
      </c>
      <c r="C778" s="26" t="s">
        <v>37</v>
      </c>
      <c r="D778" s="14"/>
      <c r="E778" s="15"/>
      <c r="F778" s="16">
        <f t="shared" si="54"/>
        <v>0</v>
      </c>
      <c r="G778">
        <f t="shared" si="52"/>
        <v>0</v>
      </c>
    </row>
    <row r="779" spans="1:7" hidden="1" x14ac:dyDescent="0.25">
      <c r="A779" s="85" t="s">
        <v>2448</v>
      </c>
      <c r="B779" s="88" t="s">
        <v>2440</v>
      </c>
      <c r="C779" s="26" t="s">
        <v>37</v>
      </c>
      <c r="D779" s="14"/>
      <c r="E779" s="15"/>
      <c r="F779" s="16">
        <f t="shared" si="54"/>
        <v>0</v>
      </c>
      <c r="G779">
        <f t="shared" si="52"/>
        <v>0</v>
      </c>
    </row>
    <row r="780" spans="1:7" hidden="1" x14ac:dyDescent="0.25">
      <c r="A780" s="85" t="s">
        <v>2454</v>
      </c>
      <c r="B780" s="88" t="s">
        <v>2449</v>
      </c>
      <c r="C780" s="26" t="s">
        <v>37</v>
      </c>
      <c r="D780" s="14"/>
      <c r="E780" s="15"/>
      <c r="F780" s="16">
        <f t="shared" si="54"/>
        <v>0</v>
      </c>
      <c r="G780">
        <f t="shared" si="52"/>
        <v>0</v>
      </c>
    </row>
    <row r="781" spans="1:7" hidden="1" x14ac:dyDescent="0.25">
      <c r="A781" s="85" t="s">
        <v>2455</v>
      </c>
      <c r="B781" s="88" t="s">
        <v>2450</v>
      </c>
      <c r="C781" s="26" t="s">
        <v>37</v>
      </c>
      <c r="D781" s="14"/>
      <c r="E781" s="15"/>
      <c r="F781" s="16">
        <f t="shared" si="54"/>
        <v>0</v>
      </c>
      <c r="G781">
        <f t="shared" si="52"/>
        <v>0</v>
      </c>
    </row>
    <row r="782" spans="1:7" hidden="1" x14ac:dyDescent="0.25">
      <c r="A782" s="85" t="s">
        <v>2456</v>
      </c>
      <c r="B782" s="88" t="s">
        <v>2451</v>
      </c>
      <c r="C782" s="26" t="s">
        <v>37</v>
      </c>
      <c r="D782" s="14"/>
      <c r="E782" s="15"/>
      <c r="F782" s="16">
        <f t="shared" si="54"/>
        <v>0</v>
      </c>
      <c r="G782">
        <f t="shared" si="52"/>
        <v>0</v>
      </c>
    </row>
    <row r="783" spans="1:7" hidden="1" x14ac:dyDescent="0.25">
      <c r="A783" s="85" t="s">
        <v>2457</v>
      </c>
      <c r="B783" s="88" t="s">
        <v>2452</v>
      </c>
      <c r="C783" s="26" t="s">
        <v>37</v>
      </c>
      <c r="D783" s="14"/>
      <c r="E783" s="15"/>
      <c r="F783" s="16">
        <f t="shared" si="54"/>
        <v>0</v>
      </c>
      <c r="G783">
        <f t="shared" si="52"/>
        <v>0</v>
      </c>
    </row>
    <row r="784" spans="1:7" hidden="1" x14ac:dyDescent="0.25">
      <c r="A784" s="85" t="s">
        <v>2458</v>
      </c>
      <c r="B784" s="88" t="s">
        <v>2453</v>
      </c>
      <c r="C784" s="26" t="s">
        <v>37</v>
      </c>
      <c r="D784" s="14"/>
      <c r="E784" s="15"/>
      <c r="F784" s="16">
        <f t="shared" si="54"/>
        <v>0</v>
      </c>
      <c r="G784">
        <f t="shared" si="52"/>
        <v>0</v>
      </c>
    </row>
    <row r="785" spans="1:7" hidden="1" x14ac:dyDescent="0.25">
      <c r="A785" s="78" t="s">
        <v>2459</v>
      </c>
      <c r="B785" s="79" t="s">
        <v>2461</v>
      </c>
      <c r="C785" s="26"/>
      <c r="D785" s="14"/>
      <c r="E785" s="15"/>
      <c r="F785" s="16"/>
      <c r="G785">
        <f t="shared" si="52"/>
        <v>0</v>
      </c>
    </row>
    <row r="786" spans="1:7" hidden="1" x14ac:dyDescent="0.25">
      <c r="A786" s="85" t="s">
        <v>2460</v>
      </c>
      <c r="B786" s="303" t="s">
        <v>2462</v>
      </c>
      <c r="C786" s="26" t="s">
        <v>37</v>
      </c>
      <c r="D786" s="14"/>
      <c r="E786" s="15"/>
      <c r="F786" s="16">
        <f t="shared" ref="F786:F804" si="55">+D786*E786</f>
        <v>0</v>
      </c>
      <c r="G786">
        <f t="shared" si="52"/>
        <v>0</v>
      </c>
    </row>
    <row r="787" spans="1:7" hidden="1" x14ac:dyDescent="0.25">
      <c r="A787" s="85" t="s">
        <v>2481</v>
      </c>
      <c r="B787" s="303" t="s">
        <v>2463</v>
      </c>
      <c r="C787" s="26" t="s">
        <v>37</v>
      </c>
      <c r="D787" s="14"/>
      <c r="E787" s="15"/>
      <c r="F787" s="16">
        <f t="shared" si="55"/>
        <v>0</v>
      </c>
      <c r="G787">
        <f t="shared" si="52"/>
        <v>0</v>
      </c>
    </row>
    <row r="788" spans="1:7" hidden="1" x14ac:dyDescent="0.25">
      <c r="A788" s="85" t="s">
        <v>2482</v>
      </c>
      <c r="B788" s="304" t="s">
        <v>2464</v>
      </c>
      <c r="C788" s="26" t="s">
        <v>37</v>
      </c>
      <c r="D788" s="14"/>
      <c r="E788" s="15"/>
      <c r="F788" s="16">
        <f t="shared" si="55"/>
        <v>0</v>
      </c>
      <c r="G788">
        <f t="shared" si="52"/>
        <v>0</v>
      </c>
    </row>
    <row r="789" spans="1:7" hidden="1" x14ac:dyDescent="0.25">
      <c r="A789" s="85" t="s">
        <v>2483</v>
      </c>
      <c r="B789" s="304" t="s">
        <v>2465</v>
      </c>
      <c r="C789" s="26" t="s">
        <v>37</v>
      </c>
      <c r="D789" s="14"/>
      <c r="E789" s="15"/>
      <c r="F789" s="16">
        <f t="shared" si="55"/>
        <v>0</v>
      </c>
      <c r="G789">
        <f t="shared" si="52"/>
        <v>0</v>
      </c>
    </row>
    <row r="790" spans="1:7" hidden="1" x14ac:dyDescent="0.25">
      <c r="A790" s="85" t="s">
        <v>2484</v>
      </c>
      <c r="B790" s="304" t="s">
        <v>2466</v>
      </c>
      <c r="C790" s="26" t="s">
        <v>37</v>
      </c>
      <c r="D790" s="14"/>
      <c r="E790" s="15"/>
      <c r="F790" s="16">
        <f t="shared" si="55"/>
        <v>0</v>
      </c>
      <c r="G790">
        <f t="shared" si="52"/>
        <v>0</v>
      </c>
    </row>
    <row r="791" spans="1:7" hidden="1" x14ac:dyDescent="0.25">
      <c r="A791" s="85" t="s">
        <v>2485</v>
      </c>
      <c r="B791" s="304" t="s">
        <v>2467</v>
      </c>
      <c r="C791" s="26" t="s">
        <v>37</v>
      </c>
      <c r="D791" s="14"/>
      <c r="E791" s="15"/>
      <c r="F791" s="16">
        <f t="shared" si="55"/>
        <v>0</v>
      </c>
      <c r="G791">
        <f t="shared" si="52"/>
        <v>0</v>
      </c>
    </row>
    <row r="792" spans="1:7" hidden="1" x14ac:dyDescent="0.25">
      <c r="A792" s="85" t="s">
        <v>2486</v>
      </c>
      <c r="B792" s="304" t="s">
        <v>2468</v>
      </c>
      <c r="C792" s="26" t="s">
        <v>37</v>
      </c>
      <c r="D792" s="14"/>
      <c r="E792" s="15"/>
      <c r="F792" s="16">
        <f t="shared" si="55"/>
        <v>0</v>
      </c>
      <c r="G792">
        <f t="shared" si="52"/>
        <v>0</v>
      </c>
    </row>
    <row r="793" spans="1:7" hidden="1" x14ac:dyDescent="0.25">
      <c r="A793" s="85" t="s">
        <v>2487</v>
      </c>
      <c r="B793" s="304" t="s">
        <v>2470</v>
      </c>
      <c r="C793" s="26" t="s">
        <v>37</v>
      </c>
      <c r="D793" s="14"/>
      <c r="E793" s="15"/>
      <c r="F793" s="16">
        <f t="shared" si="55"/>
        <v>0</v>
      </c>
      <c r="G793">
        <f t="shared" si="52"/>
        <v>0</v>
      </c>
    </row>
    <row r="794" spans="1:7" hidden="1" x14ac:dyDescent="0.25">
      <c r="A794" s="85" t="s">
        <v>2488</v>
      </c>
      <c r="B794" s="304" t="s">
        <v>2469</v>
      </c>
      <c r="C794" s="26" t="s">
        <v>37</v>
      </c>
      <c r="D794" s="14"/>
      <c r="E794" s="15"/>
      <c r="F794" s="16">
        <f t="shared" si="55"/>
        <v>0</v>
      </c>
      <c r="G794">
        <f t="shared" si="52"/>
        <v>0</v>
      </c>
    </row>
    <row r="795" spans="1:7" hidden="1" x14ac:dyDescent="0.25">
      <c r="A795" s="85" t="s">
        <v>2489</v>
      </c>
      <c r="B795" s="304" t="s">
        <v>2471</v>
      </c>
      <c r="C795" s="26" t="s">
        <v>37</v>
      </c>
      <c r="D795" s="14"/>
      <c r="E795" s="15"/>
      <c r="F795" s="16">
        <f t="shared" si="55"/>
        <v>0</v>
      </c>
      <c r="G795">
        <f t="shared" si="52"/>
        <v>0</v>
      </c>
    </row>
    <row r="796" spans="1:7" hidden="1" x14ac:dyDescent="0.25">
      <c r="A796" s="85" t="s">
        <v>2490</v>
      </c>
      <c r="B796" s="304" t="s">
        <v>2472</v>
      </c>
      <c r="C796" s="26" t="s">
        <v>37</v>
      </c>
      <c r="D796" s="14"/>
      <c r="E796" s="15"/>
      <c r="F796" s="16">
        <f t="shared" si="55"/>
        <v>0</v>
      </c>
      <c r="G796">
        <f t="shared" si="52"/>
        <v>0</v>
      </c>
    </row>
    <row r="797" spans="1:7" hidden="1" x14ac:dyDescent="0.25">
      <c r="A797" s="85" t="s">
        <v>2491</v>
      </c>
      <c r="B797" s="304" t="s">
        <v>2473</v>
      </c>
      <c r="C797" s="26" t="s">
        <v>37</v>
      </c>
      <c r="D797" s="14"/>
      <c r="E797" s="15"/>
      <c r="F797" s="16">
        <f t="shared" si="55"/>
        <v>0</v>
      </c>
      <c r="G797">
        <f t="shared" si="52"/>
        <v>0</v>
      </c>
    </row>
    <row r="798" spans="1:7" hidden="1" x14ac:dyDescent="0.25">
      <c r="A798" s="85" t="s">
        <v>2492</v>
      </c>
      <c r="B798" s="304" t="s">
        <v>2474</v>
      </c>
      <c r="C798" s="26" t="s">
        <v>37</v>
      </c>
      <c r="D798" s="14"/>
      <c r="E798" s="15"/>
      <c r="F798" s="16">
        <f t="shared" si="55"/>
        <v>0</v>
      </c>
      <c r="G798">
        <f t="shared" si="52"/>
        <v>0</v>
      </c>
    </row>
    <row r="799" spans="1:7" hidden="1" x14ac:dyDescent="0.25">
      <c r="A799" s="85" t="s">
        <v>2493</v>
      </c>
      <c r="B799" s="304" t="s">
        <v>2475</v>
      </c>
      <c r="C799" s="26" t="s">
        <v>37</v>
      </c>
      <c r="D799" s="14"/>
      <c r="E799" s="15"/>
      <c r="F799" s="16">
        <f t="shared" si="55"/>
        <v>0</v>
      </c>
      <c r="G799">
        <f t="shared" si="52"/>
        <v>0</v>
      </c>
    </row>
    <row r="800" spans="1:7" hidden="1" x14ac:dyDescent="0.25">
      <c r="A800" s="85" t="s">
        <v>2494</v>
      </c>
      <c r="B800" s="304" t="s">
        <v>2476</v>
      </c>
      <c r="C800" s="26" t="s">
        <v>37</v>
      </c>
      <c r="D800" s="14"/>
      <c r="E800" s="15"/>
      <c r="F800" s="16">
        <f t="shared" si="55"/>
        <v>0</v>
      </c>
      <c r="G800">
        <f t="shared" si="52"/>
        <v>0</v>
      </c>
    </row>
    <row r="801" spans="1:7" hidden="1" x14ac:dyDescent="0.25">
      <c r="A801" s="85" t="s">
        <v>2495</v>
      </c>
      <c r="B801" s="304" t="s">
        <v>2477</v>
      </c>
      <c r="C801" s="26" t="s">
        <v>37</v>
      </c>
      <c r="D801" s="14"/>
      <c r="E801" s="15"/>
      <c r="F801" s="16">
        <f t="shared" si="55"/>
        <v>0</v>
      </c>
      <c r="G801">
        <f t="shared" si="52"/>
        <v>0</v>
      </c>
    </row>
    <row r="802" spans="1:7" hidden="1" x14ac:dyDescent="0.25">
      <c r="A802" s="85" t="s">
        <v>2496</v>
      </c>
      <c r="B802" s="303" t="s">
        <v>2478</v>
      </c>
      <c r="C802" s="26" t="s">
        <v>37</v>
      </c>
      <c r="D802" s="14"/>
      <c r="E802" s="15"/>
      <c r="F802" s="16">
        <f t="shared" si="55"/>
        <v>0</v>
      </c>
      <c r="G802">
        <f t="shared" si="52"/>
        <v>0</v>
      </c>
    </row>
    <row r="803" spans="1:7" hidden="1" x14ac:dyDescent="0.25">
      <c r="A803" s="85" t="s">
        <v>2497</v>
      </c>
      <c r="B803" s="303" t="s">
        <v>2479</v>
      </c>
      <c r="C803" s="26" t="s">
        <v>37</v>
      </c>
      <c r="D803" s="14"/>
      <c r="E803" s="15"/>
      <c r="F803" s="16">
        <f t="shared" si="55"/>
        <v>0</v>
      </c>
      <c r="G803">
        <f t="shared" si="52"/>
        <v>0</v>
      </c>
    </row>
    <row r="804" spans="1:7" hidden="1" x14ac:dyDescent="0.25">
      <c r="A804" s="85" t="s">
        <v>2498</v>
      </c>
      <c r="B804" s="303" t="s">
        <v>2480</v>
      </c>
      <c r="C804" s="26" t="s">
        <v>37</v>
      </c>
      <c r="D804" s="14"/>
      <c r="E804" s="15"/>
      <c r="F804" s="16">
        <f t="shared" si="55"/>
        <v>0</v>
      </c>
      <c r="G804">
        <f t="shared" ref="G804:G867" si="56">+IF(F804&lt;&gt;0,1,0)</f>
        <v>0</v>
      </c>
    </row>
    <row r="805" spans="1:7" hidden="1" x14ac:dyDescent="0.25">
      <c r="A805" s="78" t="s">
        <v>2499</v>
      </c>
      <c r="B805" s="79" t="s">
        <v>2500</v>
      </c>
      <c r="C805" s="26"/>
      <c r="D805" s="14"/>
      <c r="E805" s="15"/>
      <c r="F805" s="16"/>
      <c r="G805">
        <f t="shared" si="56"/>
        <v>0</v>
      </c>
    </row>
    <row r="806" spans="1:7" hidden="1" x14ac:dyDescent="0.25">
      <c r="A806" s="78" t="s">
        <v>2501</v>
      </c>
      <c r="B806" s="79" t="s">
        <v>2502</v>
      </c>
      <c r="C806" s="26"/>
      <c r="D806" s="14"/>
      <c r="E806" s="15"/>
      <c r="F806" s="16"/>
      <c r="G806">
        <f t="shared" si="56"/>
        <v>0</v>
      </c>
    </row>
    <row r="807" spans="1:7" hidden="1" x14ac:dyDescent="0.25">
      <c r="A807" s="85" t="s">
        <v>2512</v>
      </c>
      <c r="B807" s="88" t="s">
        <v>2503</v>
      </c>
      <c r="C807" s="26" t="s">
        <v>37</v>
      </c>
      <c r="D807" s="14"/>
      <c r="E807" s="15"/>
      <c r="F807" s="16">
        <f t="shared" ref="F807:F817" si="57">+D807*E807</f>
        <v>0</v>
      </c>
      <c r="G807">
        <f t="shared" si="56"/>
        <v>0</v>
      </c>
    </row>
    <row r="808" spans="1:7" hidden="1" x14ac:dyDescent="0.25">
      <c r="A808" s="85" t="s">
        <v>2513</v>
      </c>
      <c r="B808" s="88" t="s">
        <v>2504</v>
      </c>
      <c r="C808" s="26" t="s">
        <v>37</v>
      </c>
      <c r="D808" s="14"/>
      <c r="E808" s="15"/>
      <c r="F808" s="16">
        <f t="shared" si="57"/>
        <v>0</v>
      </c>
      <c r="G808">
        <f t="shared" si="56"/>
        <v>0</v>
      </c>
    </row>
    <row r="809" spans="1:7" hidden="1" x14ac:dyDescent="0.25">
      <c r="A809" s="85" t="s">
        <v>2514</v>
      </c>
      <c r="B809" s="88" t="s">
        <v>2505</v>
      </c>
      <c r="C809" s="26" t="s">
        <v>37</v>
      </c>
      <c r="D809" s="14"/>
      <c r="E809" s="15"/>
      <c r="F809" s="16">
        <f t="shared" si="57"/>
        <v>0</v>
      </c>
      <c r="G809">
        <f t="shared" si="56"/>
        <v>0</v>
      </c>
    </row>
    <row r="810" spans="1:7" hidden="1" x14ac:dyDescent="0.25">
      <c r="A810" s="85" t="s">
        <v>2515</v>
      </c>
      <c r="B810" s="88" t="s">
        <v>2506</v>
      </c>
      <c r="C810" s="26" t="s">
        <v>37</v>
      </c>
      <c r="D810" s="14"/>
      <c r="E810" s="15"/>
      <c r="F810" s="16">
        <f t="shared" si="57"/>
        <v>0</v>
      </c>
      <c r="G810">
        <f t="shared" si="56"/>
        <v>0</v>
      </c>
    </row>
    <row r="811" spans="1:7" hidden="1" x14ac:dyDescent="0.25">
      <c r="A811" s="85" t="s">
        <v>2516</v>
      </c>
      <c r="B811" s="88" t="s">
        <v>2507</v>
      </c>
      <c r="C811" s="26" t="s">
        <v>37</v>
      </c>
      <c r="D811" s="14"/>
      <c r="E811" s="15"/>
      <c r="F811" s="16">
        <f t="shared" si="57"/>
        <v>0</v>
      </c>
      <c r="G811">
        <f t="shared" si="56"/>
        <v>0</v>
      </c>
    </row>
    <row r="812" spans="1:7" hidden="1" x14ac:dyDescent="0.25">
      <c r="A812" s="85" t="s">
        <v>2517</v>
      </c>
      <c r="B812" s="88" t="s">
        <v>2508</v>
      </c>
      <c r="C812" s="26" t="s">
        <v>37</v>
      </c>
      <c r="D812" s="14"/>
      <c r="E812" s="15"/>
      <c r="F812" s="16">
        <f t="shared" si="57"/>
        <v>0</v>
      </c>
      <c r="G812">
        <f t="shared" si="56"/>
        <v>0</v>
      </c>
    </row>
    <row r="813" spans="1:7" hidden="1" x14ac:dyDescent="0.25">
      <c r="A813" s="85" t="s">
        <v>2518</v>
      </c>
      <c r="B813" s="88" t="s">
        <v>2509</v>
      </c>
      <c r="C813" s="26" t="s">
        <v>37</v>
      </c>
      <c r="D813" s="14"/>
      <c r="E813" s="15"/>
      <c r="F813" s="16">
        <f t="shared" si="57"/>
        <v>0</v>
      </c>
      <c r="G813">
        <f t="shared" si="56"/>
        <v>0</v>
      </c>
    </row>
    <row r="814" spans="1:7" hidden="1" x14ac:dyDescent="0.25">
      <c r="A814" s="85" t="s">
        <v>2519</v>
      </c>
      <c r="B814" s="88" t="s">
        <v>2510</v>
      </c>
      <c r="C814" s="26" t="s">
        <v>37</v>
      </c>
      <c r="D814" s="14"/>
      <c r="E814" s="15"/>
      <c r="F814" s="16">
        <f t="shared" si="57"/>
        <v>0</v>
      </c>
      <c r="G814">
        <f t="shared" si="56"/>
        <v>0</v>
      </c>
    </row>
    <row r="815" spans="1:7" hidden="1" x14ac:dyDescent="0.25">
      <c r="A815" s="85" t="s">
        <v>2520</v>
      </c>
      <c r="B815" s="88" t="s">
        <v>2511</v>
      </c>
      <c r="C815" s="26" t="s">
        <v>37</v>
      </c>
      <c r="D815" s="14"/>
      <c r="E815" s="15"/>
      <c r="F815" s="16">
        <f t="shared" si="57"/>
        <v>0</v>
      </c>
      <c r="G815">
        <f t="shared" si="56"/>
        <v>0</v>
      </c>
    </row>
    <row r="816" spans="1:7" hidden="1" x14ac:dyDescent="0.25">
      <c r="A816" s="85" t="s">
        <v>2521</v>
      </c>
      <c r="B816" s="88" t="s">
        <v>2524</v>
      </c>
      <c r="C816" s="26" t="s">
        <v>37</v>
      </c>
      <c r="D816" s="14"/>
      <c r="E816" s="15"/>
      <c r="F816" s="16">
        <f t="shared" si="57"/>
        <v>0</v>
      </c>
      <c r="G816">
        <f t="shared" si="56"/>
        <v>0</v>
      </c>
    </row>
    <row r="817" spans="1:7" hidden="1" x14ac:dyDescent="0.25">
      <c r="A817" s="85" t="s">
        <v>2522</v>
      </c>
      <c r="B817" s="88" t="s">
        <v>2525</v>
      </c>
      <c r="C817" s="26" t="s">
        <v>37</v>
      </c>
      <c r="D817" s="14"/>
      <c r="E817" s="15"/>
      <c r="F817" s="16">
        <f t="shared" si="57"/>
        <v>0</v>
      </c>
      <c r="G817">
        <f t="shared" si="56"/>
        <v>0</v>
      </c>
    </row>
    <row r="818" spans="1:7" hidden="1" x14ac:dyDescent="0.25">
      <c r="A818" s="78" t="s">
        <v>2523</v>
      </c>
      <c r="B818" s="79" t="s">
        <v>2526</v>
      </c>
      <c r="C818" s="26"/>
      <c r="D818" s="14"/>
      <c r="E818" s="15"/>
      <c r="F818" s="16"/>
      <c r="G818">
        <f t="shared" si="56"/>
        <v>0</v>
      </c>
    </row>
    <row r="819" spans="1:7" hidden="1" x14ac:dyDescent="0.25">
      <c r="A819" s="85" t="s">
        <v>2512</v>
      </c>
      <c r="B819" s="88" t="s">
        <v>2527</v>
      </c>
      <c r="C819" s="26" t="s">
        <v>37</v>
      </c>
      <c r="D819" s="14"/>
      <c r="E819" s="15"/>
      <c r="F819" s="16">
        <f t="shared" ref="F819:F829" si="58">+D819*E819</f>
        <v>0</v>
      </c>
      <c r="G819">
        <f t="shared" si="56"/>
        <v>0</v>
      </c>
    </row>
    <row r="820" spans="1:7" hidden="1" x14ac:dyDescent="0.25">
      <c r="A820" s="85" t="s">
        <v>2513</v>
      </c>
      <c r="B820" s="88" t="s">
        <v>2537</v>
      </c>
      <c r="C820" s="26" t="s">
        <v>37</v>
      </c>
      <c r="D820" s="14"/>
      <c r="E820" s="15"/>
      <c r="F820" s="16">
        <f t="shared" si="58"/>
        <v>0</v>
      </c>
      <c r="G820">
        <f t="shared" si="56"/>
        <v>0</v>
      </c>
    </row>
    <row r="821" spans="1:7" hidden="1" x14ac:dyDescent="0.25">
      <c r="A821" s="85" t="s">
        <v>2514</v>
      </c>
      <c r="B821" s="88" t="s">
        <v>2528</v>
      </c>
      <c r="C821" s="26" t="s">
        <v>37</v>
      </c>
      <c r="D821" s="14"/>
      <c r="E821" s="15"/>
      <c r="F821" s="16">
        <f t="shared" si="58"/>
        <v>0</v>
      </c>
      <c r="G821">
        <f t="shared" si="56"/>
        <v>0</v>
      </c>
    </row>
    <row r="822" spans="1:7" hidden="1" x14ac:dyDescent="0.25">
      <c r="A822" s="85" t="s">
        <v>2515</v>
      </c>
      <c r="B822" s="88" t="s">
        <v>2529</v>
      </c>
      <c r="C822" s="26" t="s">
        <v>37</v>
      </c>
      <c r="D822" s="14"/>
      <c r="E822" s="15"/>
      <c r="F822" s="16">
        <f t="shared" si="58"/>
        <v>0</v>
      </c>
      <c r="G822">
        <f t="shared" si="56"/>
        <v>0</v>
      </c>
    </row>
    <row r="823" spans="1:7" hidden="1" x14ac:dyDescent="0.25">
      <c r="A823" s="85" t="s">
        <v>2516</v>
      </c>
      <c r="B823" s="88" t="s">
        <v>2530</v>
      </c>
      <c r="C823" s="26" t="s">
        <v>37</v>
      </c>
      <c r="D823" s="14"/>
      <c r="E823" s="15"/>
      <c r="F823" s="16">
        <f t="shared" si="58"/>
        <v>0</v>
      </c>
      <c r="G823">
        <f t="shared" si="56"/>
        <v>0</v>
      </c>
    </row>
    <row r="824" spans="1:7" hidden="1" x14ac:dyDescent="0.25">
      <c r="A824" s="85" t="s">
        <v>2517</v>
      </c>
      <c r="B824" s="88" t="s">
        <v>2531</v>
      </c>
      <c r="C824" s="26" t="s">
        <v>37</v>
      </c>
      <c r="D824" s="14"/>
      <c r="E824" s="15"/>
      <c r="F824" s="16">
        <f t="shared" si="58"/>
        <v>0</v>
      </c>
      <c r="G824">
        <f t="shared" si="56"/>
        <v>0</v>
      </c>
    </row>
    <row r="825" spans="1:7" hidden="1" x14ac:dyDescent="0.25">
      <c r="A825" s="85" t="s">
        <v>2518</v>
      </c>
      <c r="B825" s="88" t="s">
        <v>2532</v>
      </c>
      <c r="C825" s="26" t="s">
        <v>37</v>
      </c>
      <c r="D825" s="14"/>
      <c r="E825" s="15"/>
      <c r="F825" s="16">
        <f t="shared" si="58"/>
        <v>0</v>
      </c>
      <c r="G825">
        <f t="shared" si="56"/>
        <v>0</v>
      </c>
    </row>
    <row r="826" spans="1:7" hidden="1" x14ac:dyDescent="0.25">
      <c r="A826" s="85" t="s">
        <v>2519</v>
      </c>
      <c r="B826" s="88" t="s">
        <v>2533</v>
      </c>
      <c r="C826" s="26" t="s">
        <v>37</v>
      </c>
      <c r="D826" s="14"/>
      <c r="E826" s="15"/>
      <c r="F826" s="16">
        <f t="shared" si="58"/>
        <v>0</v>
      </c>
      <c r="G826">
        <f t="shared" si="56"/>
        <v>0</v>
      </c>
    </row>
    <row r="827" spans="1:7" hidden="1" x14ac:dyDescent="0.25">
      <c r="A827" s="85" t="s">
        <v>2520</v>
      </c>
      <c r="B827" s="88" t="s">
        <v>2534</v>
      </c>
      <c r="C827" s="26" t="s">
        <v>37</v>
      </c>
      <c r="D827" s="14"/>
      <c r="E827" s="15"/>
      <c r="F827" s="16">
        <f t="shared" si="58"/>
        <v>0</v>
      </c>
      <c r="G827">
        <f t="shared" si="56"/>
        <v>0</v>
      </c>
    </row>
    <row r="828" spans="1:7" hidden="1" x14ac:dyDescent="0.25">
      <c r="A828" s="85" t="s">
        <v>2521</v>
      </c>
      <c r="B828" s="88" t="s">
        <v>2535</v>
      </c>
      <c r="C828" s="26" t="s">
        <v>37</v>
      </c>
      <c r="D828" s="14"/>
      <c r="E828" s="15"/>
      <c r="F828" s="16">
        <f t="shared" si="58"/>
        <v>0</v>
      </c>
      <c r="G828">
        <f t="shared" si="56"/>
        <v>0</v>
      </c>
    </row>
    <row r="829" spans="1:7" hidden="1" x14ac:dyDescent="0.25">
      <c r="A829" s="85" t="s">
        <v>2522</v>
      </c>
      <c r="B829" s="88" t="s">
        <v>2536</v>
      </c>
      <c r="C829" s="26" t="s">
        <v>37</v>
      </c>
      <c r="D829" s="14"/>
      <c r="E829" s="15"/>
      <c r="F829" s="16">
        <f t="shared" si="58"/>
        <v>0</v>
      </c>
      <c r="G829">
        <f t="shared" si="56"/>
        <v>0</v>
      </c>
    </row>
    <row r="830" spans="1:7" x14ac:dyDescent="0.25">
      <c r="A830" s="61" t="s">
        <v>2538</v>
      </c>
      <c r="B830" s="62" t="s">
        <v>2539</v>
      </c>
      <c r="C830" s="63"/>
      <c r="D830" s="63"/>
      <c r="E830" s="460"/>
      <c r="F830" s="461"/>
      <c r="G830">
        <v>1</v>
      </c>
    </row>
    <row r="831" spans="1:7" hidden="1" x14ac:dyDescent="0.25">
      <c r="A831" s="85" t="s">
        <v>2540</v>
      </c>
      <c r="B831" s="88" t="s">
        <v>2541</v>
      </c>
      <c r="C831" s="26" t="s">
        <v>14</v>
      </c>
      <c r="D831" s="14"/>
      <c r="E831" s="15"/>
      <c r="F831" s="16">
        <f t="shared" ref="F831:F842" si="59">+D831*E831</f>
        <v>0</v>
      </c>
      <c r="G831">
        <f t="shared" si="56"/>
        <v>0</v>
      </c>
    </row>
    <row r="832" spans="1:7" hidden="1" x14ac:dyDescent="0.25">
      <c r="A832" s="85" t="s">
        <v>888</v>
      </c>
      <c r="B832" s="88" t="s">
        <v>2542</v>
      </c>
      <c r="C832" s="26" t="s">
        <v>14</v>
      </c>
      <c r="D832" s="14"/>
      <c r="E832" s="15"/>
      <c r="F832" s="16">
        <f t="shared" si="59"/>
        <v>0</v>
      </c>
      <c r="G832">
        <f t="shared" si="56"/>
        <v>0</v>
      </c>
    </row>
    <row r="833" spans="1:7" hidden="1" x14ac:dyDescent="0.25">
      <c r="A833" s="85" t="s">
        <v>2553</v>
      </c>
      <c r="B833" s="88" t="s">
        <v>2543</v>
      </c>
      <c r="C833" s="26" t="s">
        <v>14</v>
      </c>
      <c r="D833" s="14"/>
      <c r="E833" s="15"/>
      <c r="F833" s="16">
        <f t="shared" si="59"/>
        <v>0</v>
      </c>
      <c r="G833">
        <f t="shared" si="56"/>
        <v>0</v>
      </c>
    </row>
    <row r="834" spans="1:7" hidden="1" x14ac:dyDescent="0.25">
      <c r="A834" s="85" t="s">
        <v>2554</v>
      </c>
      <c r="B834" s="88" t="s">
        <v>2544</v>
      </c>
      <c r="C834" s="26" t="s">
        <v>14</v>
      </c>
      <c r="D834" s="14"/>
      <c r="E834" s="15"/>
      <c r="F834" s="16">
        <f t="shared" si="59"/>
        <v>0</v>
      </c>
      <c r="G834">
        <f t="shared" si="56"/>
        <v>0</v>
      </c>
    </row>
    <row r="835" spans="1:7" hidden="1" x14ac:dyDescent="0.25">
      <c r="A835" s="85" t="s">
        <v>2555</v>
      </c>
      <c r="B835" s="88" t="s">
        <v>2545</v>
      </c>
      <c r="C835" s="26" t="s">
        <v>14</v>
      </c>
      <c r="D835" s="14"/>
      <c r="E835" s="15"/>
      <c r="F835" s="16">
        <f t="shared" si="59"/>
        <v>0</v>
      </c>
      <c r="G835">
        <f t="shared" si="56"/>
        <v>0</v>
      </c>
    </row>
    <row r="836" spans="1:7" hidden="1" x14ac:dyDescent="0.25">
      <c r="A836" s="85" t="s">
        <v>2556</v>
      </c>
      <c r="B836" s="88" t="s">
        <v>6541</v>
      </c>
      <c r="C836" s="26" t="s">
        <v>14</v>
      </c>
      <c r="D836" s="14"/>
      <c r="E836" s="15">
        <f>+SUM!H834</f>
        <v>474110</v>
      </c>
      <c r="F836" s="16">
        <f t="shared" si="59"/>
        <v>0</v>
      </c>
      <c r="G836">
        <f t="shared" si="56"/>
        <v>0</v>
      </c>
    </row>
    <row r="837" spans="1:7" hidden="1" x14ac:dyDescent="0.25">
      <c r="A837" s="85" t="s">
        <v>2557</v>
      </c>
      <c r="B837" s="88" t="s">
        <v>2547</v>
      </c>
      <c r="C837" s="26" t="s">
        <v>14</v>
      </c>
      <c r="D837" s="14"/>
      <c r="E837" s="15"/>
      <c r="F837" s="16">
        <f t="shared" si="59"/>
        <v>0</v>
      </c>
      <c r="G837">
        <f t="shared" si="56"/>
        <v>0</v>
      </c>
    </row>
    <row r="838" spans="1:7" hidden="1" x14ac:dyDescent="0.25">
      <c r="A838" s="85" t="s">
        <v>2558</v>
      </c>
      <c r="B838" s="88" t="s">
        <v>2548</v>
      </c>
      <c r="C838" s="26" t="s">
        <v>14</v>
      </c>
      <c r="D838" s="14"/>
      <c r="E838" s="15">
        <f>+SUM!H836</f>
        <v>592637.5</v>
      </c>
      <c r="F838" s="16">
        <f t="shared" si="59"/>
        <v>0</v>
      </c>
      <c r="G838">
        <f t="shared" si="56"/>
        <v>0</v>
      </c>
    </row>
    <row r="839" spans="1:7" x14ac:dyDescent="0.25">
      <c r="A839" s="85" t="s">
        <v>2559</v>
      </c>
      <c r="B839" s="88" t="s">
        <v>2549</v>
      </c>
      <c r="C839" s="26" t="s">
        <v>14</v>
      </c>
      <c r="D839" s="14">
        <v>340</v>
      </c>
      <c r="E839" s="15">
        <f>+SUM!H837</f>
        <v>347320</v>
      </c>
      <c r="F839" s="16">
        <f t="shared" si="59"/>
        <v>118088800</v>
      </c>
      <c r="G839">
        <f t="shared" si="56"/>
        <v>1</v>
      </c>
    </row>
    <row r="840" spans="1:7" hidden="1" x14ac:dyDescent="0.25">
      <c r="A840" s="85" t="s">
        <v>957</v>
      </c>
      <c r="B840" s="88" t="s">
        <v>2550</v>
      </c>
      <c r="C840" s="26" t="s">
        <v>14</v>
      </c>
      <c r="D840" s="14"/>
      <c r="E840" s="15"/>
      <c r="F840" s="16">
        <f t="shared" si="59"/>
        <v>0</v>
      </c>
      <c r="G840">
        <f t="shared" si="56"/>
        <v>0</v>
      </c>
    </row>
    <row r="841" spans="1:7" hidden="1" x14ac:dyDescent="0.25">
      <c r="A841" s="85" t="s">
        <v>2560</v>
      </c>
      <c r="B841" s="88" t="s">
        <v>2551</v>
      </c>
      <c r="C841" s="26" t="s">
        <v>14</v>
      </c>
      <c r="D841" s="14"/>
      <c r="E841" s="15"/>
      <c r="F841" s="16">
        <f t="shared" si="59"/>
        <v>0</v>
      </c>
      <c r="G841">
        <f t="shared" si="56"/>
        <v>0</v>
      </c>
    </row>
    <row r="842" spans="1:7" hidden="1" x14ac:dyDescent="0.25">
      <c r="A842" s="85" t="s">
        <v>2561</v>
      </c>
      <c r="B842" s="88" t="s">
        <v>2552</v>
      </c>
      <c r="C842" s="26" t="s">
        <v>14</v>
      </c>
      <c r="D842" s="14"/>
      <c r="E842" s="15"/>
      <c r="F842" s="16">
        <f t="shared" si="59"/>
        <v>0</v>
      </c>
      <c r="G842">
        <f t="shared" si="56"/>
        <v>0</v>
      </c>
    </row>
    <row r="843" spans="1:7" hidden="1" x14ac:dyDescent="0.25">
      <c r="A843" s="78" t="s">
        <v>2564</v>
      </c>
      <c r="B843" s="79" t="s">
        <v>2563</v>
      </c>
      <c r="C843" s="26"/>
      <c r="D843" s="14"/>
      <c r="E843" s="15"/>
      <c r="F843" s="16"/>
      <c r="G843">
        <f t="shared" si="56"/>
        <v>0</v>
      </c>
    </row>
    <row r="844" spans="1:7" hidden="1" x14ac:dyDescent="0.25">
      <c r="A844" s="85" t="s">
        <v>2562</v>
      </c>
      <c r="B844" s="88" t="s">
        <v>2565</v>
      </c>
      <c r="C844" s="26" t="s">
        <v>37</v>
      </c>
      <c r="D844" s="14"/>
      <c r="E844" s="15"/>
      <c r="F844" s="16">
        <f t="shared" ref="F844:F907" si="60">+D844*E844</f>
        <v>0</v>
      </c>
      <c r="G844">
        <f t="shared" si="56"/>
        <v>0</v>
      </c>
    </row>
    <row r="845" spans="1:7" hidden="1" x14ac:dyDescent="0.25">
      <c r="A845" s="85" t="s">
        <v>2575</v>
      </c>
      <c r="B845" s="88" t="s">
        <v>2566</v>
      </c>
      <c r="C845" s="26" t="s">
        <v>37</v>
      </c>
      <c r="D845" s="14"/>
      <c r="E845" s="15"/>
      <c r="F845" s="16">
        <f t="shared" si="60"/>
        <v>0</v>
      </c>
      <c r="G845">
        <f t="shared" si="56"/>
        <v>0</v>
      </c>
    </row>
    <row r="846" spans="1:7" hidden="1" x14ac:dyDescent="0.25">
      <c r="A846" s="85" t="s">
        <v>2576</v>
      </c>
      <c r="B846" s="88" t="s">
        <v>2567</v>
      </c>
      <c r="C846" s="26" t="s">
        <v>37</v>
      </c>
      <c r="D846" s="14"/>
      <c r="E846" s="15"/>
      <c r="F846" s="16">
        <f t="shared" si="60"/>
        <v>0</v>
      </c>
      <c r="G846">
        <f t="shared" si="56"/>
        <v>0</v>
      </c>
    </row>
    <row r="847" spans="1:7" hidden="1" x14ac:dyDescent="0.25">
      <c r="A847" s="85" t="s">
        <v>2577</v>
      </c>
      <c r="B847" s="88" t="s">
        <v>2568</v>
      </c>
      <c r="C847" s="26" t="s">
        <v>37</v>
      </c>
      <c r="D847" s="14"/>
      <c r="E847" s="15"/>
      <c r="F847" s="16">
        <f t="shared" si="60"/>
        <v>0</v>
      </c>
      <c r="G847">
        <f t="shared" si="56"/>
        <v>0</v>
      </c>
    </row>
    <row r="848" spans="1:7" hidden="1" x14ac:dyDescent="0.25">
      <c r="A848" s="85" t="s">
        <v>2578</v>
      </c>
      <c r="B848" s="88" t="s">
        <v>2569</v>
      </c>
      <c r="C848" s="26" t="s">
        <v>37</v>
      </c>
      <c r="D848" s="14"/>
      <c r="E848" s="15"/>
      <c r="F848" s="16">
        <f t="shared" si="60"/>
        <v>0</v>
      </c>
      <c r="G848">
        <f t="shared" si="56"/>
        <v>0</v>
      </c>
    </row>
    <row r="849" spans="1:7" hidden="1" x14ac:dyDescent="0.25">
      <c r="A849" s="85" t="s">
        <v>2579</v>
      </c>
      <c r="B849" s="88" t="s">
        <v>2570</v>
      </c>
      <c r="C849" s="26" t="s">
        <v>37</v>
      </c>
      <c r="D849" s="14"/>
      <c r="E849" s="15"/>
      <c r="F849" s="16">
        <f t="shared" si="60"/>
        <v>0</v>
      </c>
      <c r="G849">
        <f t="shared" si="56"/>
        <v>0</v>
      </c>
    </row>
    <row r="850" spans="1:7" hidden="1" x14ac:dyDescent="0.25">
      <c r="A850" s="85" t="s">
        <v>2580</v>
      </c>
      <c r="B850" s="88" t="s">
        <v>2571</v>
      </c>
      <c r="C850" s="26" t="s">
        <v>37</v>
      </c>
      <c r="D850" s="14"/>
      <c r="E850" s="15"/>
      <c r="F850" s="16">
        <f t="shared" si="60"/>
        <v>0</v>
      </c>
      <c r="G850">
        <f t="shared" si="56"/>
        <v>0</v>
      </c>
    </row>
    <row r="851" spans="1:7" hidden="1" x14ac:dyDescent="0.25">
      <c r="A851" s="85" t="s">
        <v>2581</v>
      </c>
      <c r="B851" s="88" t="s">
        <v>2572</v>
      </c>
      <c r="C851" s="26" t="s">
        <v>37</v>
      </c>
      <c r="D851" s="14"/>
      <c r="E851" s="15"/>
      <c r="F851" s="16">
        <f t="shared" si="60"/>
        <v>0</v>
      </c>
      <c r="G851">
        <f t="shared" si="56"/>
        <v>0</v>
      </c>
    </row>
    <row r="852" spans="1:7" hidden="1" x14ac:dyDescent="0.25">
      <c r="A852" s="85" t="s">
        <v>2582</v>
      </c>
      <c r="B852" s="88" t="s">
        <v>2573</v>
      </c>
      <c r="C852" s="26" t="s">
        <v>37</v>
      </c>
      <c r="D852" s="14"/>
      <c r="E852" s="15"/>
      <c r="F852" s="16">
        <f t="shared" si="60"/>
        <v>0</v>
      </c>
      <c r="G852">
        <f t="shared" si="56"/>
        <v>0</v>
      </c>
    </row>
    <row r="853" spans="1:7" hidden="1" x14ac:dyDescent="0.25">
      <c r="A853" s="85" t="s">
        <v>2583</v>
      </c>
      <c r="B853" s="88" t="s">
        <v>2574</v>
      </c>
      <c r="C853" s="26" t="s">
        <v>37</v>
      </c>
      <c r="D853" s="14"/>
      <c r="E853" s="15"/>
      <c r="F853" s="16">
        <f t="shared" si="60"/>
        <v>0</v>
      </c>
      <c r="G853">
        <f t="shared" si="56"/>
        <v>0</v>
      </c>
    </row>
    <row r="854" spans="1:7" hidden="1" x14ac:dyDescent="0.25">
      <c r="A854" s="85" t="s">
        <v>2584</v>
      </c>
      <c r="B854" s="88" t="s">
        <v>2624</v>
      </c>
      <c r="C854" s="26" t="s">
        <v>37</v>
      </c>
      <c r="D854" s="14"/>
      <c r="E854" s="15"/>
      <c r="F854" s="16">
        <f t="shared" si="60"/>
        <v>0</v>
      </c>
      <c r="G854">
        <f t="shared" si="56"/>
        <v>0</v>
      </c>
    </row>
    <row r="855" spans="1:7" hidden="1" x14ac:dyDescent="0.25">
      <c r="A855" s="85" t="s">
        <v>2585</v>
      </c>
      <c r="B855" s="88" t="s">
        <v>2625</v>
      </c>
      <c r="C855" s="26" t="s">
        <v>37</v>
      </c>
      <c r="D855" s="14"/>
      <c r="E855" s="15"/>
      <c r="F855" s="16">
        <f t="shared" si="60"/>
        <v>0</v>
      </c>
      <c r="G855">
        <f t="shared" si="56"/>
        <v>0</v>
      </c>
    </row>
    <row r="856" spans="1:7" hidden="1" x14ac:dyDescent="0.25">
      <c r="A856" s="85" t="s">
        <v>2586</v>
      </c>
      <c r="B856" s="88" t="s">
        <v>2626</v>
      </c>
      <c r="C856" s="26" t="s">
        <v>37</v>
      </c>
      <c r="D856" s="14"/>
      <c r="E856" s="15"/>
      <c r="F856" s="16">
        <f t="shared" si="60"/>
        <v>0</v>
      </c>
      <c r="G856">
        <f t="shared" si="56"/>
        <v>0</v>
      </c>
    </row>
    <row r="857" spans="1:7" hidden="1" x14ac:dyDescent="0.25">
      <c r="A857" s="85" t="s">
        <v>2587</v>
      </c>
      <c r="B857" s="88" t="s">
        <v>2627</v>
      </c>
      <c r="C857" s="26" t="s">
        <v>37</v>
      </c>
      <c r="D857" s="14"/>
      <c r="E857" s="15"/>
      <c r="F857" s="16">
        <f t="shared" si="60"/>
        <v>0</v>
      </c>
      <c r="G857">
        <f t="shared" si="56"/>
        <v>0</v>
      </c>
    </row>
    <row r="858" spans="1:7" hidden="1" x14ac:dyDescent="0.25">
      <c r="A858" s="85" t="s">
        <v>2588</v>
      </c>
      <c r="B858" s="88" t="s">
        <v>2628</v>
      </c>
      <c r="C858" s="26" t="s">
        <v>37</v>
      </c>
      <c r="D858" s="14"/>
      <c r="E858" s="15"/>
      <c r="F858" s="16">
        <f t="shared" si="60"/>
        <v>0</v>
      </c>
      <c r="G858">
        <f t="shared" si="56"/>
        <v>0</v>
      </c>
    </row>
    <row r="859" spans="1:7" hidden="1" x14ac:dyDescent="0.25">
      <c r="A859" s="85" t="s">
        <v>2589</v>
      </c>
      <c r="B859" s="88" t="s">
        <v>2629</v>
      </c>
      <c r="C859" s="26" t="s">
        <v>37</v>
      </c>
      <c r="D859" s="14"/>
      <c r="E859" s="15"/>
      <c r="F859" s="16">
        <f t="shared" si="60"/>
        <v>0</v>
      </c>
      <c r="G859">
        <f t="shared" si="56"/>
        <v>0</v>
      </c>
    </row>
    <row r="860" spans="1:7" hidden="1" x14ac:dyDescent="0.25">
      <c r="A860" s="85" t="s">
        <v>2590</v>
      </c>
      <c r="B860" s="88" t="s">
        <v>2630</v>
      </c>
      <c r="C860" s="26" t="s">
        <v>37</v>
      </c>
      <c r="D860" s="14"/>
      <c r="E860" s="15"/>
      <c r="F860" s="16">
        <f t="shared" si="60"/>
        <v>0</v>
      </c>
      <c r="G860">
        <f t="shared" si="56"/>
        <v>0</v>
      </c>
    </row>
    <row r="861" spans="1:7" hidden="1" x14ac:dyDescent="0.25">
      <c r="A861" s="85" t="s">
        <v>2591</v>
      </c>
      <c r="B861" s="88" t="s">
        <v>2631</v>
      </c>
      <c r="C861" s="26" t="s">
        <v>37</v>
      </c>
      <c r="D861" s="14"/>
      <c r="E861" s="15"/>
      <c r="F861" s="16">
        <f t="shared" si="60"/>
        <v>0</v>
      </c>
      <c r="G861">
        <f t="shared" si="56"/>
        <v>0</v>
      </c>
    </row>
    <row r="862" spans="1:7" hidden="1" x14ac:dyDescent="0.25">
      <c r="A862" s="85" t="s">
        <v>2592</v>
      </c>
      <c r="B862" s="88" t="s">
        <v>2632</v>
      </c>
      <c r="C862" s="26" t="s">
        <v>37</v>
      </c>
      <c r="D862" s="14"/>
      <c r="E862" s="15"/>
      <c r="F862" s="16">
        <f t="shared" si="60"/>
        <v>0</v>
      </c>
      <c r="G862">
        <f t="shared" si="56"/>
        <v>0</v>
      </c>
    </row>
    <row r="863" spans="1:7" hidden="1" x14ac:dyDescent="0.25">
      <c r="A863" s="85" t="s">
        <v>2593</v>
      </c>
      <c r="B863" s="88" t="s">
        <v>2633</v>
      </c>
      <c r="C863" s="26" t="s">
        <v>37</v>
      </c>
      <c r="D863" s="14"/>
      <c r="E863" s="15"/>
      <c r="F863" s="16">
        <f t="shared" si="60"/>
        <v>0</v>
      </c>
      <c r="G863">
        <f t="shared" si="56"/>
        <v>0</v>
      </c>
    </row>
    <row r="864" spans="1:7" hidden="1" x14ac:dyDescent="0.25">
      <c r="A864" s="85" t="s">
        <v>2644</v>
      </c>
      <c r="B864" s="88" t="s">
        <v>2634</v>
      </c>
      <c r="C864" s="26" t="s">
        <v>37</v>
      </c>
      <c r="D864" s="14"/>
      <c r="E864" s="15"/>
      <c r="F864" s="16">
        <f t="shared" si="60"/>
        <v>0</v>
      </c>
      <c r="G864">
        <f t="shared" si="56"/>
        <v>0</v>
      </c>
    </row>
    <row r="865" spans="1:7" hidden="1" x14ac:dyDescent="0.25">
      <c r="A865" s="85" t="s">
        <v>2645</v>
      </c>
      <c r="B865" s="88" t="s">
        <v>2635</v>
      </c>
      <c r="C865" s="26" t="s">
        <v>37</v>
      </c>
      <c r="D865" s="14"/>
      <c r="E865" s="15"/>
      <c r="F865" s="16">
        <f t="shared" si="60"/>
        <v>0</v>
      </c>
      <c r="G865">
        <f t="shared" si="56"/>
        <v>0</v>
      </c>
    </row>
    <row r="866" spans="1:7" hidden="1" x14ac:dyDescent="0.25">
      <c r="A866" s="85" t="s">
        <v>2646</v>
      </c>
      <c r="B866" s="88" t="s">
        <v>2636</v>
      </c>
      <c r="C866" s="26" t="s">
        <v>37</v>
      </c>
      <c r="D866" s="14"/>
      <c r="E866" s="15"/>
      <c r="F866" s="16">
        <f t="shared" si="60"/>
        <v>0</v>
      </c>
      <c r="G866">
        <f t="shared" si="56"/>
        <v>0</v>
      </c>
    </row>
    <row r="867" spans="1:7" hidden="1" x14ac:dyDescent="0.25">
      <c r="A867" s="85" t="s">
        <v>2647</v>
      </c>
      <c r="B867" s="88" t="s">
        <v>2637</v>
      </c>
      <c r="C867" s="26" t="s">
        <v>37</v>
      </c>
      <c r="D867" s="14"/>
      <c r="E867" s="15"/>
      <c r="F867" s="16">
        <f t="shared" si="60"/>
        <v>0</v>
      </c>
      <c r="G867">
        <f t="shared" si="56"/>
        <v>0</v>
      </c>
    </row>
    <row r="868" spans="1:7" hidden="1" x14ac:dyDescent="0.25">
      <c r="A868" s="85" t="s">
        <v>2648</v>
      </c>
      <c r="B868" s="88" t="s">
        <v>2638</v>
      </c>
      <c r="C868" s="26" t="s">
        <v>37</v>
      </c>
      <c r="D868" s="14"/>
      <c r="E868" s="15"/>
      <c r="F868" s="16">
        <f t="shared" si="60"/>
        <v>0</v>
      </c>
      <c r="G868">
        <f t="shared" ref="G868:G931" si="61">+IF(F868&lt;&gt;0,1,0)</f>
        <v>0</v>
      </c>
    </row>
    <row r="869" spans="1:7" hidden="1" x14ac:dyDescent="0.25">
      <c r="A869" s="85" t="s">
        <v>2649</v>
      </c>
      <c r="B869" s="88" t="s">
        <v>2639</v>
      </c>
      <c r="C869" s="26" t="s">
        <v>37</v>
      </c>
      <c r="D869" s="14"/>
      <c r="E869" s="15"/>
      <c r="F869" s="16">
        <f t="shared" si="60"/>
        <v>0</v>
      </c>
      <c r="G869">
        <f t="shared" si="61"/>
        <v>0</v>
      </c>
    </row>
    <row r="870" spans="1:7" hidden="1" x14ac:dyDescent="0.25">
      <c r="A870" s="85" t="s">
        <v>2650</v>
      </c>
      <c r="B870" s="88" t="s">
        <v>2640</v>
      </c>
      <c r="C870" s="26" t="s">
        <v>37</v>
      </c>
      <c r="D870" s="14"/>
      <c r="E870" s="15"/>
      <c r="F870" s="16">
        <f t="shared" si="60"/>
        <v>0</v>
      </c>
      <c r="G870">
        <f t="shared" si="61"/>
        <v>0</v>
      </c>
    </row>
    <row r="871" spans="1:7" hidden="1" x14ac:dyDescent="0.25">
      <c r="A871" s="85" t="s">
        <v>2651</v>
      </c>
      <c r="B871" s="88" t="s">
        <v>2641</v>
      </c>
      <c r="C871" s="26" t="s">
        <v>37</v>
      </c>
      <c r="D871" s="14"/>
      <c r="E871" s="15"/>
      <c r="F871" s="16">
        <f t="shared" si="60"/>
        <v>0</v>
      </c>
      <c r="G871">
        <f t="shared" si="61"/>
        <v>0</v>
      </c>
    </row>
    <row r="872" spans="1:7" hidden="1" x14ac:dyDescent="0.25">
      <c r="A872" s="85" t="s">
        <v>2652</v>
      </c>
      <c r="B872" s="88" t="s">
        <v>2642</v>
      </c>
      <c r="C872" s="26" t="s">
        <v>37</v>
      </c>
      <c r="D872" s="14"/>
      <c r="E872" s="15"/>
      <c r="F872" s="16">
        <f t="shared" si="60"/>
        <v>0</v>
      </c>
      <c r="G872">
        <f t="shared" si="61"/>
        <v>0</v>
      </c>
    </row>
    <row r="873" spans="1:7" hidden="1" x14ac:dyDescent="0.25">
      <c r="A873" s="85" t="s">
        <v>2653</v>
      </c>
      <c r="B873" s="88" t="s">
        <v>2643</v>
      </c>
      <c r="C873" s="26" t="s">
        <v>37</v>
      </c>
      <c r="D873" s="14"/>
      <c r="E873" s="15"/>
      <c r="F873" s="16">
        <f t="shared" si="60"/>
        <v>0</v>
      </c>
      <c r="G873">
        <f t="shared" si="61"/>
        <v>0</v>
      </c>
    </row>
    <row r="874" spans="1:7" hidden="1" x14ac:dyDescent="0.25">
      <c r="A874" s="85" t="s">
        <v>2654</v>
      </c>
      <c r="B874" s="88" t="s">
        <v>2604</v>
      </c>
      <c r="C874" s="26" t="s">
        <v>37</v>
      </c>
      <c r="D874" s="14"/>
      <c r="E874" s="15"/>
      <c r="F874" s="16">
        <f t="shared" si="60"/>
        <v>0</v>
      </c>
      <c r="G874">
        <f t="shared" si="61"/>
        <v>0</v>
      </c>
    </row>
    <row r="875" spans="1:7" hidden="1" x14ac:dyDescent="0.25">
      <c r="A875" s="85" t="s">
        <v>2655</v>
      </c>
      <c r="B875" s="88" t="s">
        <v>2605</v>
      </c>
      <c r="C875" s="26" t="s">
        <v>37</v>
      </c>
      <c r="D875" s="14"/>
      <c r="E875" s="15"/>
      <c r="F875" s="16">
        <f t="shared" si="60"/>
        <v>0</v>
      </c>
      <c r="G875">
        <f t="shared" si="61"/>
        <v>0</v>
      </c>
    </row>
    <row r="876" spans="1:7" hidden="1" x14ac:dyDescent="0.25">
      <c r="A876" s="85" t="s">
        <v>2656</v>
      </c>
      <c r="B876" s="88" t="s">
        <v>2606</v>
      </c>
      <c r="C876" s="26" t="s">
        <v>37</v>
      </c>
      <c r="D876" s="14"/>
      <c r="E876" s="15"/>
      <c r="F876" s="16">
        <f t="shared" si="60"/>
        <v>0</v>
      </c>
      <c r="G876">
        <f t="shared" si="61"/>
        <v>0</v>
      </c>
    </row>
    <row r="877" spans="1:7" hidden="1" x14ac:dyDescent="0.25">
      <c r="A877" s="85" t="s">
        <v>2657</v>
      </c>
      <c r="B877" s="88" t="s">
        <v>2607</v>
      </c>
      <c r="C877" s="26" t="s">
        <v>37</v>
      </c>
      <c r="D877" s="14"/>
      <c r="E877" s="15"/>
      <c r="F877" s="16">
        <f t="shared" si="60"/>
        <v>0</v>
      </c>
      <c r="G877">
        <f t="shared" si="61"/>
        <v>0</v>
      </c>
    </row>
    <row r="878" spans="1:7" hidden="1" x14ac:dyDescent="0.25">
      <c r="A878" s="85" t="s">
        <v>2658</v>
      </c>
      <c r="B878" s="88" t="s">
        <v>2608</v>
      </c>
      <c r="C878" s="26" t="s">
        <v>37</v>
      </c>
      <c r="D878" s="14"/>
      <c r="E878" s="15"/>
      <c r="F878" s="16">
        <f t="shared" si="60"/>
        <v>0</v>
      </c>
      <c r="G878">
        <f t="shared" si="61"/>
        <v>0</v>
      </c>
    </row>
    <row r="879" spans="1:7" hidden="1" x14ac:dyDescent="0.25">
      <c r="A879" s="85" t="s">
        <v>2659</v>
      </c>
      <c r="B879" s="88" t="s">
        <v>2609</v>
      </c>
      <c r="C879" s="26" t="s">
        <v>37</v>
      </c>
      <c r="D879" s="14"/>
      <c r="E879" s="15"/>
      <c r="F879" s="16">
        <f t="shared" si="60"/>
        <v>0</v>
      </c>
      <c r="G879">
        <f t="shared" si="61"/>
        <v>0</v>
      </c>
    </row>
    <row r="880" spans="1:7" hidden="1" x14ac:dyDescent="0.25">
      <c r="A880" s="85" t="s">
        <v>2660</v>
      </c>
      <c r="B880" s="88" t="s">
        <v>2610</v>
      </c>
      <c r="C880" s="26" t="s">
        <v>37</v>
      </c>
      <c r="D880" s="14"/>
      <c r="E880" s="15"/>
      <c r="F880" s="16">
        <f t="shared" si="60"/>
        <v>0</v>
      </c>
      <c r="G880">
        <f t="shared" si="61"/>
        <v>0</v>
      </c>
    </row>
    <row r="881" spans="1:7" hidden="1" x14ac:dyDescent="0.25">
      <c r="A881" s="85" t="s">
        <v>2661</v>
      </c>
      <c r="B881" s="88" t="s">
        <v>2611</v>
      </c>
      <c r="C881" s="26" t="s">
        <v>37</v>
      </c>
      <c r="D881" s="14"/>
      <c r="E881" s="15"/>
      <c r="F881" s="16">
        <f t="shared" si="60"/>
        <v>0</v>
      </c>
      <c r="G881">
        <f t="shared" si="61"/>
        <v>0</v>
      </c>
    </row>
    <row r="882" spans="1:7" hidden="1" x14ac:dyDescent="0.25">
      <c r="A882" s="85" t="s">
        <v>2662</v>
      </c>
      <c r="B882" s="88" t="s">
        <v>2612</v>
      </c>
      <c r="C882" s="26" t="s">
        <v>37</v>
      </c>
      <c r="D882" s="14"/>
      <c r="E882" s="15"/>
      <c r="F882" s="16">
        <f t="shared" si="60"/>
        <v>0</v>
      </c>
      <c r="G882">
        <f t="shared" si="61"/>
        <v>0</v>
      </c>
    </row>
    <row r="883" spans="1:7" hidden="1" x14ac:dyDescent="0.25">
      <c r="A883" s="85" t="s">
        <v>2663</v>
      </c>
      <c r="B883" s="88" t="s">
        <v>2613</v>
      </c>
      <c r="C883" s="26" t="s">
        <v>37</v>
      </c>
      <c r="D883" s="14"/>
      <c r="E883" s="15"/>
      <c r="F883" s="16">
        <f t="shared" si="60"/>
        <v>0</v>
      </c>
      <c r="G883">
        <f t="shared" si="61"/>
        <v>0</v>
      </c>
    </row>
    <row r="884" spans="1:7" hidden="1" x14ac:dyDescent="0.25">
      <c r="A884" s="85" t="s">
        <v>2664</v>
      </c>
      <c r="B884" s="88" t="s">
        <v>2614</v>
      </c>
      <c r="C884" s="26" t="s">
        <v>37</v>
      </c>
      <c r="D884" s="14"/>
      <c r="E884" s="15"/>
      <c r="F884" s="16">
        <f t="shared" si="60"/>
        <v>0</v>
      </c>
      <c r="G884">
        <f t="shared" si="61"/>
        <v>0</v>
      </c>
    </row>
    <row r="885" spans="1:7" hidden="1" x14ac:dyDescent="0.25">
      <c r="A885" s="85" t="s">
        <v>2665</v>
      </c>
      <c r="B885" s="88" t="s">
        <v>2615</v>
      </c>
      <c r="C885" s="26" t="s">
        <v>37</v>
      </c>
      <c r="D885" s="14"/>
      <c r="E885" s="15"/>
      <c r="F885" s="16">
        <f t="shared" si="60"/>
        <v>0</v>
      </c>
      <c r="G885">
        <f t="shared" si="61"/>
        <v>0</v>
      </c>
    </row>
    <row r="886" spans="1:7" hidden="1" x14ac:dyDescent="0.25">
      <c r="A886" s="85" t="s">
        <v>2666</v>
      </c>
      <c r="B886" s="88" t="s">
        <v>2616</v>
      </c>
      <c r="C886" s="26" t="s">
        <v>37</v>
      </c>
      <c r="D886" s="14"/>
      <c r="E886" s="15"/>
      <c r="F886" s="16">
        <f t="shared" si="60"/>
        <v>0</v>
      </c>
      <c r="G886">
        <f t="shared" si="61"/>
        <v>0</v>
      </c>
    </row>
    <row r="887" spans="1:7" hidden="1" x14ac:dyDescent="0.25">
      <c r="A887" s="85" t="s">
        <v>2667</v>
      </c>
      <c r="B887" s="88" t="s">
        <v>2617</v>
      </c>
      <c r="C887" s="26" t="s">
        <v>37</v>
      </c>
      <c r="D887" s="14"/>
      <c r="E887" s="15"/>
      <c r="F887" s="16">
        <f t="shared" si="60"/>
        <v>0</v>
      </c>
      <c r="G887">
        <f t="shared" si="61"/>
        <v>0</v>
      </c>
    </row>
    <row r="888" spans="1:7" hidden="1" x14ac:dyDescent="0.25">
      <c r="A888" s="85" t="s">
        <v>2668</v>
      </c>
      <c r="B888" s="88" t="s">
        <v>2618</v>
      </c>
      <c r="C888" s="26" t="s">
        <v>37</v>
      </c>
      <c r="D888" s="14"/>
      <c r="E888" s="15"/>
      <c r="F888" s="16">
        <f t="shared" si="60"/>
        <v>0</v>
      </c>
      <c r="G888">
        <f t="shared" si="61"/>
        <v>0</v>
      </c>
    </row>
    <row r="889" spans="1:7" hidden="1" x14ac:dyDescent="0.25">
      <c r="A889" s="85" t="s">
        <v>2669</v>
      </c>
      <c r="B889" s="88" t="s">
        <v>2619</v>
      </c>
      <c r="C889" s="26" t="s">
        <v>37</v>
      </c>
      <c r="D889" s="14"/>
      <c r="E889" s="15"/>
      <c r="F889" s="16">
        <f t="shared" si="60"/>
        <v>0</v>
      </c>
      <c r="G889">
        <f t="shared" si="61"/>
        <v>0</v>
      </c>
    </row>
    <row r="890" spans="1:7" hidden="1" x14ac:dyDescent="0.25">
      <c r="A890" s="85" t="s">
        <v>2670</v>
      </c>
      <c r="B890" s="88" t="s">
        <v>2620</v>
      </c>
      <c r="C890" s="26" t="s">
        <v>37</v>
      </c>
      <c r="D890" s="14"/>
      <c r="E890" s="15"/>
      <c r="F890" s="16">
        <f t="shared" si="60"/>
        <v>0</v>
      </c>
      <c r="G890">
        <f t="shared" si="61"/>
        <v>0</v>
      </c>
    </row>
    <row r="891" spans="1:7" hidden="1" x14ac:dyDescent="0.25">
      <c r="A891" s="85" t="s">
        <v>2671</v>
      </c>
      <c r="B891" s="88" t="s">
        <v>2621</v>
      </c>
      <c r="C891" s="26" t="s">
        <v>37</v>
      </c>
      <c r="D891" s="14"/>
      <c r="E891" s="15"/>
      <c r="F891" s="16">
        <f t="shared" si="60"/>
        <v>0</v>
      </c>
      <c r="G891">
        <f t="shared" si="61"/>
        <v>0</v>
      </c>
    </row>
    <row r="892" spans="1:7" hidden="1" x14ac:dyDescent="0.25">
      <c r="A892" s="85" t="s">
        <v>2672</v>
      </c>
      <c r="B892" s="88" t="s">
        <v>2622</v>
      </c>
      <c r="C892" s="26" t="s">
        <v>37</v>
      </c>
      <c r="D892" s="14"/>
      <c r="E892" s="15"/>
      <c r="F892" s="16">
        <f t="shared" si="60"/>
        <v>0</v>
      </c>
      <c r="G892">
        <f t="shared" si="61"/>
        <v>0</v>
      </c>
    </row>
    <row r="893" spans="1:7" hidden="1" x14ac:dyDescent="0.25">
      <c r="A893" s="85" t="s">
        <v>2673</v>
      </c>
      <c r="B893" s="88" t="s">
        <v>2623</v>
      </c>
      <c r="C893" s="26" t="s">
        <v>37</v>
      </c>
      <c r="D893" s="14"/>
      <c r="E893" s="15"/>
      <c r="F893" s="16">
        <f t="shared" si="60"/>
        <v>0</v>
      </c>
      <c r="G893">
        <f t="shared" si="61"/>
        <v>0</v>
      </c>
    </row>
    <row r="894" spans="1:7" hidden="1" x14ac:dyDescent="0.25">
      <c r="A894" s="85" t="s">
        <v>2674</v>
      </c>
      <c r="B894" s="88" t="s">
        <v>2595</v>
      </c>
      <c r="C894" s="26" t="s">
        <v>37</v>
      </c>
      <c r="D894" s="14"/>
      <c r="E894" s="15"/>
      <c r="F894" s="16">
        <f t="shared" si="60"/>
        <v>0</v>
      </c>
      <c r="G894">
        <f t="shared" si="61"/>
        <v>0</v>
      </c>
    </row>
    <row r="895" spans="1:7" hidden="1" x14ac:dyDescent="0.25">
      <c r="A895" s="85" t="s">
        <v>2675</v>
      </c>
      <c r="B895" s="88" t="s">
        <v>2596</v>
      </c>
      <c r="C895" s="26" t="s">
        <v>37</v>
      </c>
      <c r="D895" s="14"/>
      <c r="E895" s="15"/>
      <c r="F895" s="16">
        <f t="shared" si="60"/>
        <v>0</v>
      </c>
      <c r="G895">
        <f t="shared" si="61"/>
        <v>0</v>
      </c>
    </row>
    <row r="896" spans="1:7" hidden="1" x14ac:dyDescent="0.25">
      <c r="A896" s="85" t="s">
        <v>2676</v>
      </c>
      <c r="B896" s="88" t="s">
        <v>2597</v>
      </c>
      <c r="C896" s="26" t="s">
        <v>37</v>
      </c>
      <c r="D896" s="14"/>
      <c r="E896" s="15"/>
      <c r="F896" s="16">
        <f t="shared" si="60"/>
        <v>0</v>
      </c>
      <c r="G896">
        <f t="shared" si="61"/>
        <v>0</v>
      </c>
    </row>
    <row r="897" spans="1:7" hidden="1" x14ac:dyDescent="0.25">
      <c r="A897" s="85" t="s">
        <v>2677</v>
      </c>
      <c r="B897" s="88" t="s">
        <v>2598</v>
      </c>
      <c r="C897" s="26" t="s">
        <v>37</v>
      </c>
      <c r="D897" s="14"/>
      <c r="E897" s="15"/>
      <c r="F897" s="16">
        <f t="shared" si="60"/>
        <v>0</v>
      </c>
      <c r="G897">
        <f t="shared" si="61"/>
        <v>0</v>
      </c>
    </row>
    <row r="898" spans="1:7" hidden="1" x14ac:dyDescent="0.25">
      <c r="A898" s="85" t="s">
        <v>2678</v>
      </c>
      <c r="B898" s="88" t="s">
        <v>2599</v>
      </c>
      <c r="C898" s="26" t="s">
        <v>37</v>
      </c>
      <c r="D898" s="14"/>
      <c r="E898" s="15"/>
      <c r="F898" s="16">
        <f t="shared" si="60"/>
        <v>0</v>
      </c>
      <c r="G898">
        <f t="shared" si="61"/>
        <v>0</v>
      </c>
    </row>
    <row r="899" spans="1:7" hidden="1" x14ac:dyDescent="0.25">
      <c r="A899" s="85" t="s">
        <v>2679</v>
      </c>
      <c r="B899" s="88" t="s">
        <v>2600</v>
      </c>
      <c r="C899" s="26" t="s">
        <v>37</v>
      </c>
      <c r="D899" s="14"/>
      <c r="E899" s="15"/>
      <c r="F899" s="16">
        <f t="shared" si="60"/>
        <v>0</v>
      </c>
      <c r="G899">
        <f t="shared" si="61"/>
        <v>0</v>
      </c>
    </row>
    <row r="900" spans="1:7" hidden="1" x14ac:dyDescent="0.25">
      <c r="A900" s="85" t="s">
        <v>2680</v>
      </c>
      <c r="B900" s="88" t="s">
        <v>2601</v>
      </c>
      <c r="C900" s="26" t="s">
        <v>37</v>
      </c>
      <c r="D900" s="14"/>
      <c r="E900" s="15"/>
      <c r="F900" s="16">
        <f t="shared" si="60"/>
        <v>0</v>
      </c>
      <c r="G900">
        <f t="shared" si="61"/>
        <v>0</v>
      </c>
    </row>
    <row r="901" spans="1:7" hidden="1" x14ac:dyDescent="0.25">
      <c r="A901" s="85" t="s">
        <v>2681</v>
      </c>
      <c r="B901" s="88" t="s">
        <v>2602</v>
      </c>
      <c r="C901" s="26" t="s">
        <v>37</v>
      </c>
      <c r="D901" s="14"/>
      <c r="E901" s="15"/>
      <c r="F901" s="16">
        <f t="shared" si="60"/>
        <v>0</v>
      </c>
      <c r="G901">
        <f t="shared" si="61"/>
        <v>0</v>
      </c>
    </row>
    <row r="902" spans="1:7" hidden="1" x14ac:dyDescent="0.25">
      <c r="A902" s="85" t="s">
        <v>2682</v>
      </c>
      <c r="B902" s="88" t="s">
        <v>2603</v>
      </c>
      <c r="C902" s="26" t="s">
        <v>37</v>
      </c>
      <c r="D902" s="14"/>
      <c r="E902" s="15"/>
      <c r="F902" s="16">
        <f t="shared" si="60"/>
        <v>0</v>
      </c>
      <c r="G902">
        <f t="shared" si="61"/>
        <v>0</v>
      </c>
    </row>
    <row r="903" spans="1:7" hidden="1" x14ac:dyDescent="0.25">
      <c r="A903" s="85" t="s">
        <v>2683</v>
      </c>
      <c r="B903" s="88" t="s">
        <v>2594</v>
      </c>
      <c r="C903" s="26" t="s">
        <v>37</v>
      </c>
      <c r="D903" s="14"/>
      <c r="E903" s="15"/>
      <c r="F903" s="16">
        <f t="shared" si="60"/>
        <v>0</v>
      </c>
      <c r="G903">
        <f t="shared" si="61"/>
        <v>0</v>
      </c>
    </row>
    <row r="904" spans="1:7" hidden="1" x14ac:dyDescent="0.25">
      <c r="A904" s="85" t="s">
        <v>2684</v>
      </c>
      <c r="B904" s="88" t="s">
        <v>2692</v>
      </c>
      <c r="C904" s="26" t="s">
        <v>37</v>
      </c>
      <c r="D904" s="14"/>
      <c r="E904" s="15"/>
      <c r="F904" s="16">
        <f t="shared" si="60"/>
        <v>0</v>
      </c>
      <c r="G904">
        <f t="shared" si="61"/>
        <v>0</v>
      </c>
    </row>
    <row r="905" spans="1:7" hidden="1" x14ac:dyDescent="0.25">
      <c r="A905" s="85" t="s">
        <v>2685</v>
      </c>
      <c r="B905" s="88" t="s">
        <v>2690</v>
      </c>
      <c r="C905" s="26" t="s">
        <v>37</v>
      </c>
      <c r="D905" s="14"/>
      <c r="E905" s="15"/>
      <c r="F905" s="16">
        <f t="shared" si="60"/>
        <v>0</v>
      </c>
      <c r="G905">
        <f t="shared" si="61"/>
        <v>0</v>
      </c>
    </row>
    <row r="906" spans="1:7" hidden="1" x14ac:dyDescent="0.25">
      <c r="A906" s="85" t="s">
        <v>2686</v>
      </c>
      <c r="B906" s="88" t="s">
        <v>2694</v>
      </c>
      <c r="C906" s="26" t="s">
        <v>37</v>
      </c>
      <c r="D906" s="14"/>
      <c r="E906" s="15"/>
      <c r="F906" s="16">
        <f t="shared" si="60"/>
        <v>0</v>
      </c>
      <c r="G906">
        <f t="shared" si="61"/>
        <v>0</v>
      </c>
    </row>
    <row r="907" spans="1:7" hidden="1" x14ac:dyDescent="0.25">
      <c r="A907" s="85" t="s">
        <v>2687</v>
      </c>
      <c r="B907" s="88" t="s">
        <v>2691</v>
      </c>
      <c r="C907" s="26" t="s">
        <v>37</v>
      </c>
      <c r="D907" s="14"/>
      <c r="E907" s="15"/>
      <c r="F907" s="16">
        <f t="shared" si="60"/>
        <v>0</v>
      </c>
      <c r="G907">
        <f t="shared" si="61"/>
        <v>0</v>
      </c>
    </row>
    <row r="908" spans="1:7" hidden="1" x14ac:dyDescent="0.25">
      <c r="A908" s="85" t="s">
        <v>2688</v>
      </c>
      <c r="B908" s="88" t="s">
        <v>2697</v>
      </c>
      <c r="C908" s="26" t="s">
        <v>37</v>
      </c>
      <c r="D908" s="14"/>
      <c r="E908" s="15"/>
      <c r="F908" s="16">
        <f t="shared" ref="F908:F962" si="62">+D908*E908</f>
        <v>0</v>
      </c>
      <c r="G908">
        <f t="shared" si="61"/>
        <v>0</v>
      </c>
    </row>
    <row r="909" spans="1:7" hidden="1" x14ac:dyDescent="0.25">
      <c r="A909" s="85" t="s">
        <v>2689</v>
      </c>
      <c r="B909" s="88" t="s">
        <v>2698</v>
      </c>
      <c r="C909" s="26" t="s">
        <v>37</v>
      </c>
      <c r="D909" s="14"/>
      <c r="E909" s="15"/>
      <c r="F909" s="16">
        <f t="shared" si="62"/>
        <v>0</v>
      </c>
      <c r="G909">
        <f t="shared" si="61"/>
        <v>0</v>
      </c>
    </row>
    <row r="910" spans="1:7" hidden="1" x14ac:dyDescent="0.25">
      <c r="A910" s="85" t="s">
        <v>2700</v>
      </c>
      <c r="B910" s="88" t="s">
        <v>2699</v>
      </c>
      <c r="C910" s="26" t="s">
        <v>37</v>
      </c>
      <c r="D910" s="14"/>
      <c r="E910" s="15"/>
      <c r="F910" s="16">
        <f t="shared" si="62"/>
        <v>0</v>
      </c>
      <c r="G910">
        <f t="shared" si="61"/>
        <v>0</v>
      </c>
    </row>
    <row r="911" spans="1:7" hidden="1" x14ac:dyDescent="0.25">
      <c r="A911" s="85" t="s">
        <v>2701</v>
      </c>
      <c r="B911" s="88" t="s">
        <v>2696</v>
      </c>
      <c r="C911" s="26" t="s">
        <v>37</v>
      </c>
      <c r="D911" s="14"/>
      <c r="E911" s="15"/>
      <c r="F911" s="16">
        <f t="shared" si="62"/>
        <v>0</v>
      </c>
      <c r="G911">
        <f t="shared" si="61"/>
        <v>0</v>
      </c>
    </row>
    <row r="912" spans="1:7" hidden="1" x14ac:dyDescent="0.25">
      <c r="A912" s="85" t="s">
        <v>2702</v>
      </c>
      <c r="B912" s="88" t="s">
        <v>2695</v>
      </c>
      <c r="C912" s="26" t="s">
        <v>37</v>
      </c>
      <c r="D912" s="14"/>
      <c r="E912" s="15"/>
      <c r="F912" s="16">
        <f t="shared" si="62"/>
        <v>0</v>
      </c>
      <c r="G912">
        <f t="shared" si="61"/>
        <v>0</v>
      </c>
    </row>
    <row r="913" spans="1:7" hidden="1" x14ac:dyDescent="0.25">
      <c r="A913" s="85" t="s">
        <v>2703</v>
      </c>
      <c r="B913" s="88" t="s">
        <v>2693</v>
      </c>
      <c r="C913" s="26" t="s">
        <v>37</v>
      </c>
      <c r="D913" s="14"/>
      <c r="E913" s="15"/>
      <c r="F913" s="16">
        <f t="shared" si="62"/>
        <v>0</v>
      </c>
      <c r="G913">
        <f t="shared" si="61"/>
        <v>0</v>
      </c>
    </row>
    <row r="914" spans="1:7" hidden="1" x14ac:dyDescent="0.25">
      <c r="A914" s="85" t="s">
        <v>2734</v>
      </c>
      <c r="B914" s="88" t="s">
        <v>2704</v>
      </c>
      <c r="C914" s="26" t="s">
        <v>37</v>
      </c>
      <c r="D914" s="14"/>
      <c r="E914" s="15"/>
      <c r="F914" s="16">
        <f t="shared" si="62"/>
        <v>0</v>
      </c>
      <c r="G914">
        <f t="shared" si="61"/>
        <v>0</v>
      </c>
    </row>
    <row r="915" spans="1:7" hidden="1" x14ac:dyDescent="0.25">
      <c r="A915" s="85" t="s">
        <v>2735</v>
      </c>
      <c r="B915" s="88" t="s">
        <v>2705</v>
      </c>
      <c r="C915" s="26" t="s">
        <v>37</v>
      </c>
      <c r="D915" s="14"/>
      <c r="E915" s="15"/>
      <c r="F915" s="16">
        <f t="shared" si="62"/>
        <v>0</v>
      </c>
      <c r="G915">
        <f t="shared" si="61"/>
        <v>0</v>
      </c>
    </row>
    <row r="916" spans="1:7" hidden="1" x14ac:dyDescent="0.25">
      <c r="A916" s="85" t="s">
        <v>2736</v>
      </c>
      <c r="B916" s="88" t="s">
        <v>2706</v>
      </c>
      <c r="C916" s="26" t="s">
        <v>37</v>
      </c>
      <c r="D916" s="14"/>
      <c r="E916" s="15"/>
      <c r="F916" s="16">
        <f t="shared" si="62"/>
        <v>0</v>
      </c>
      <c r="G916">
        <f t="shared" si="61"/>
        <v>0</v>
      </c>
    </row>
    <row r="917" spans="1:7" hidden="1" x14ac:dyDescent="0.25">
      <c r="A917" s="85" t="s">
        <v>2737</v>
      </c>
      <c r="B917" s="88" t="s">
        <v>2707</v>
      </c>
      <c r="C917" s="26" t="s">
        <v>37</v>
      </c>
      <c r="D917" s="14"/>
      <c r="E917" s="15"/>
      <c r="F917" s="16">
        <f t="shared" si="62"/>
        <v>0</v>
      </c>
      <c r="G917">
        <f t="shared" si="61"/>
        <v>0</v>
      </c>
    </row>
    <row r="918" spans="1:7" hidden="1" x14ac:dyDescent="0.25">
      <c r="A918" s="85" t="s">
        <v>2738</v>
      </c>
      <c r="B918" s="88" t="s">
        <v>2708</v>
      </c>
      <c r="C918" s="26" t="s">
        <v>37</v>
      </c>
      <c r="D918" s="14"/>
      <c r="E918" s="15"/>
      <c r="F918" s="16">
        <f t="shared" si="62"/>
        <v>0</v>
      </c>
      <c r="G918">
        <f t="shared" si="61"/>
        <v>0</v>
      </c>
    </row>
    <row r="919" spans="1:7" hidden="1" x14ac:dyDescent="0.25">
      <c r="A919" s="85" t="s">
        <v>2739</v>
      </c>
      <c r="B919" s="88" t="s">
        <v>6296</v>
      </c>
      <c r="C919" s="26" t="s">
        <v>37</v>
      </c>
      <c r="D919" s="14"/>
      <c r="E919" s="15">
        <f>+SUM!H917</f>
        <v>5261721</v>
      </c>
      <c r="F919" s="16">
        <f t="shared" si="62"/>
        <v>0</v>
      </c>
      <c r="G919">
        <f t="shared" si="61"/>
        <v>0</v>
      </c>
    </row>
    <row r="920" spans="1:7" hidden="1" x14ac:dyDescent="0.25">
      <c r="A920" s="85" t="s">
        <v>2740</v>
      </c>
      <c r="B920" s="88" t="s">
        <v>6297</v>
      </c>
      <c r="C920" s="26" t="s">
        <v>37</v>
      </c>
      <c r="D920" s="14"/>
      <c r="E920" s="15"/>
      <c r="F920" s="16">
        <f t="shared" si="62"/>
        <v>0</v>
      </c>
      <c r="G920">
        <f t="shared" si="61"/>
        <v>0</v>
      </c>
    </row>
    <row r="921" spans="1:7" hidden="1" x14ac:dyDescent="0.25">
      <c r="A921" s="85" t="s">
        <v>2741</v>
      </c>
      <c r="B921" s="88" t="s">
        <v>2709</v>
      </c>
      <c r="C921" s="26" t="s">
        <v>37</v>
      </c>
      <c r="D921" s="14"/>
      <c r="E921" s="15"/>
      <c r="F921" s="16">
        <f t="shared" si="62"/>
        <v>0</v>
      </c>
      <c r="G921">
        <f t="shared" si="61"/>
        <v>0</v>
      </c>
    </row>
    <row r="922" spans="1:7" hidden="1" x14ac:dyDescent="0.25">
      <c r="A922" s="85" t="s">
        <v>2742</v>
      </c>
      <c r="B922" s="88" t="s">
        <v>2710</v>
      </c>
      <c r="C922" s="26" t="s">
        <v>37</v>
      </c>
      <c r="D922" s="14"/>
      <c r="E922" s="15"/>
      <c r="F922" s="16">
        <f t="shared" si="62"/>
        <v>0</v>
      </c>
      <c r="G922">
        <f t="shared" si="61"/>
        <v>0</v>
      </c>
    </row>
    <row r="923" spans="1:7" hidden="1" x14ac:dyDescent="0.25">
      <c r="A923" s="85" t="s">
        <v>2743</v>
      </c>
      <c r="B923" s="88" t="s">
        <v>2711</v>
      </c>
      <c r="C923" s="26" t="s">
        <v>37</v>
      </c>
      <c r="D923" s="14"/>
      <c r="E923" s="15"/>
      <c r="F923" s="16">
        <f t="shared" si="62"/>
        <v>0</v>
      </c>
      <c r="G923">
        <f t="shared" si="61"/>
        <v>0</v>
      </c>
    </row>
    <row r="924" spans="1:7" hidden="1" x14ac:dyDescent="0.25">
      <c r="A924" s="85" t="s">
        <v>2744</v>
      </c>
      <c r="B924" s="88" t="s">
        <v>2712</v>
      </c>
      <c r="C924" s="26" t="s">
        <v>37</v>
      </c>
      <c r="D924" s="14"/>
      <c r="E924" s="15"/>
      <c r="F924" s="16">
        <f t="shared" si="62"/>
        <v>0</v>
      </c>
      <c r="G924">
        <f t="shared" si="61"/>
        <v>0</v>
      </c>
    </row>
    <row r="925" spans="1:7" hidden="1" x14ac:dyDescent="0.25">
      <c r="A925" s="85" t="s">
        <v>2745</v>
      </c>
      <c r="B925" s="88" t="s">
        <v>2713</v>
      </c>
      <c r="C925" s="26" t="s">
        <v>37</v>
      </c>
      <c r="D925" s="14"/>
      <c r="E925" s="15"/>
      <c r="F925" s="16">
        <f t="shared" si="62"/>
        <v>0</v>
      </c>
      <c r="G925">
        <f t="shared" si="61"/>
        <v>0</v>
      </c>
    </row>
    <row r="926" spans="1:7" hidden="1" x14ac:dyDescent="0.25">
      <c r="A926" s="85" t="s">
        <v>2746</v>
      </c>
      <c r="B926" s="88" t="s">
        <v>2714</v>
      </c>
      <c r="C926" s="26" t="s">
        <v>37</v>
      </c>
      <c r="D926" s="14"/>
      <c r="E926" s="15"/>
      <c r="F926" s="16">
        <f t="shared" si="62"/>
        <v>0</v>
      </c>
      <c r="G926">
        <f t="shared" si="61"/>
        <v>0</v>
      </c>
    </row>
    <row r="927" spans="1:7" hidden="1" x14ac:dyDescent="0.25">
      <c r="A927" s="85" t="s">
        <v>2747</v>
      </c>
      <c r="B927" s="88" t="s">
        <v>2715</v>
      </c>
      <c r="C927" s="26" t="s">
        <v>37</v>
      </c>
      <c r="D927" s="14"/>
      <c r="E927" s="15"/>
      <c r="F927" s="16">
        <f t="shared" si="62"/>
        <v>0</v>
      </c>
      <c r="G927">
        <f t="shared" si="61"/>
        <v>0</v>
      </c>
    </row>
    <row r="928" spans="1:7" hidden="1" x14ac:dyDescent="0.25">
      <c r="A928" s="85" t="s">
        <v>2748</v>
      </c>
      <c r="B928" s="88" t="s">
        <v>2716</v>
      </c>
      <c r="C928" s="26" t="s">
        <v>37</v>
      </c>
      <c r="D928" s="14"/>
      <c r="E928" s="15"/>
      <c r="F928" s="16">
        <f t="shared" si="62"/>
        <v>0</v>
      </c>
      <c r="G928">
        <f t="shared" si="61"/>
        <v>0</v>
      </c>
    </row>
    <row r="929" spans="1:7" hidden="1" x14ac:dyDescent="0.25">
      <c r="A929" s="85" t="s">
        <v>2749</v>
      </c>
      <c r="B929" s="88" t="s">
        <v>2717</v>
      </c>
      <c r="C929" s="26" t="s">
        <v>37</v>
      </c>
      <c r="D929" s="14"/>
      <c r="E929" s="15"/>
      <c r="F929" s="16">
        <f t="shared" si="62"/>
        <v>0</v>
      </c>
      <c r="G929">
        <f t="shared" si="61"/>
        <v>0</v>
      </c>
    </row>
    <row r="930" spans="1:7" hidden="1" x14ac:dyDescent="0.25">
      <c r="A930" s="85" t="s">
        <v>2750</v>
      </c>
      <c r="B930" s="88" t="s">
        <v>2718</v>
      </c>
      <c r="C930" s="26" t="s">
        <v>37</v>
      </c>
      <c r="D930" s="14"/>
      <c r="E930" s="15"/>
      <c r="F930" s="16">
        <f t="shared" si="62"/>
        <v>0</v>
      </c>
      <c r="G930">
        <f t="shared" si="61"/>
        <v>0</v>
      </c>
    </row>
    <row r="931" spans="1:7" hidden="1" x14ac:dyDescent="0.25">
      <c r="A931" s="85" t="s">
        <v>2751</v>
      </c>
      <c r="B931" s="88" t="s">
        <v>2719</v>
      </c>
      <c r="C931" s="26" t="s">
        <v>37</v>
      </c>
      <c r="D931" s="14"/>
      <c r="E931" s="15"/>
      <c r="F931" s="16">
        <f t="shared" si="62"/>
        <v>0</v>
      </c>
      <c r="G931">
        <f t="shared" si="61"/>
        <v>0</v>
      </c>
    </row>
    <row r="932" spans="1:7" hidden="1" x14ac:dyDescent="0.25">
      <c r="A932" s="85" t="s">
        <v>2752</v>
      </c>
      <c r="B932" s="88" t="s">
        <v>2720</v>
      </c>
      <c r="C932" s="26" t="s">
        <v>37</v>
      </c>
      <c r="D932" s="14"/>
      <c r="E932" s="15"/>
      <c r="F932" s="16">
        <f t="shared" si="62"/>
        <v>0</v>
      </c>
      <c r="G932">
        <f t="shared" ref="G932:G995" si="63">+IF(F932&lt;&gt;0,1,0)</f>
        <v>0</v>
      </c>
    </row>
    <row r="933" spans="1:7" hidden="1" x14ac:dyDescent="0.25">
      <c r="A933" s="85" t="s">
        <v>2753</v>
      </c>
      <c r="B933" s="88" t="s">
        <v>2721</v>
      </c>
      <c r="C933" s="26" t="s">
        <v>37</v>
      </c>
      <c r="D933" s="14"/>
      <c r="E933" s="15"/>
      <c r="F933" s="16">
        <f t="shared" si="62"/>
        <v>0</v>
      </c>
      <c r="G933">
        <f t="shared" si="63"/>
        <v>0</v>
      </c>
    </row>
    <row r="934" spans="1:7" hidden="1" x14ac:dyDescent="0.25">
      <c r="A934" s="85" t="s">
        <v>2754</v>
      </c>
      <c r="B934" s="88" t="s">
        <v>2722</v>
      </c>
      <c r="C934" s="26" t="s">
        <v>37</v>
      </c>
      <c r="D934" s="14"/>
      <c r="E934" s="15"/>
      <c r="F934" s="16">
        <f t="shared" si="62"/>
        <v>0</v>
      </c>
      <c r="G934">
        <f t="shared" si="63"/>
        <v>0</v>
      </c>
    </row>
    <row r="935" spans="1:7" hidden="1" x14ac:dyDescent="0.25">
      <c r="A935" s="85" t="s">
        <v>2755</v>
      </c>
      <c r="B935" s="88" t="s">
        <v>2723</v>
      </c>
      <c r="C935" s="26" t="s">
        <v>37</v>
      </c>
      <c r="D935" s="14"/>
      <c r="E935" s="15"/>
      <c r="F935" s="16">
        <f t="shared" si="62"/>
        <v>0</v>
      </c>
      <c r="G935">
        <f t="shared" si="63"/>
        <v>0</v>
      </c>
    </row>
    <row r="936" spans="1:7" hidden="1" x14ac:dyDescent="0.25">
      <c r="A936" s="85" t="s">
        <v>2756</v>
      </c>
      <c r="B936" s="88" t="s">
        <v>2724</v>
      </c>
      <c r="C936" s="26" t="s">
        <v>37</v>
      </c>
      <c r="D936" s="14"/>
      <c r="E936" s="15"/>
      <c r="F936" s="16">
        <f t="shared" si="62"/>
        <v>0</v>
      </c>
      <c r="G936">
        <f t="shared" si="63"/>
        <v>0</v>
      </c>
    </row>
    <row r="937" spans="1:7" hidden="1" x14ac:dyDescent="0.25">
      <c r="A937" s="85" t="s">
        <v>2757</v>
      </c>
      <c r="B937" s="88" t="s">
        <v>2725</v>
      </c>
      <c r="C937" s="26" t="s">
        <v>37</v>
      </c>
      <c r="D937" s="14"/>
      <c r="E937" s="15"/>
      <c r="F937" s="16">
        <f t="shared" si="62"/>
        <v>0</v>
      </c>
      <c r="G937">
        <f t="shared" si="63"/>
        <v>0</v>
      </c>
    </row>
    <row r="938" spans="1:7" hidden="1" x14ac:dyDescent="0.25">
      <c r="A938" s="85" t="s">
        <v>2758</v>
      </c>
      <c r="B938" s="88" t="s">
        <v>2726</v>
      </c>
      <c r="C938" s="26" t="s">
        <v>37</v>
      </c>
      <c r="D938" s="14"/>
      <c r="E938" s="15"/>
      <c r="F938" s="16">
        <f t="shared" si="62"/>
        <v>0</v>
      </c>
      <c r="G938">
        <f t="shared" si="63"/>
        <v>0</v>
      </c>
    </row>
    <row r="939" spans="1:7" hidden="1" x14ac:dyDescent="0.25">
      <c r="A939" s="85" t="s">
        <v>2759</v>
      </c>
      <c r="B939" s="88" t="s">
        <v>2727</v>
      </c>
      <c r="C939" s="26" t="s">
        <v>37</v>
      </c>
      <c r="D939" s="14"/>
      <c r="E939" s="15"/>
      <c r="F939" s="16">
        <f t="shared" si="62"/>
        <v>0</v>
      </c>
      <c r="G939">
        <f t="shared" si="63"/>
        <v>0</v>
      </c>
    </row>
    <row r="940" spans="1:7" hidden="1" x14ac:dyDescent="0.25">
      <c r="A940" s="85" t="s">
        <v>2760</v>
      </c>
      <c r="B940" s="88" t="s">
        <v>2728</v>
      </c>
      <c r="C940" s="26" t="s">
        <v>37</v>
      </c>
      <c r="D940" s="14"/>
      <c r="E940" s="15"/>
      <c r="F940" s="16">
        <f t="shared" si="62"/>
        <v>0</v>
      </c>
      <c r="G940">
        <f t="shared" si="63"/>
        <v>0</v>
      </c>
    </row>
    <row r="941" spans="1:7" hidden="1" x14ac:dyDescent="0.25">
      <c r="A941" s="85" t="s">
        <v>2761</v>
      </c>
      <c r="B941" s="88" t="s">
        <v>2729</v>
      </c>
      <c r="C941" s="26" t="s">
        <v>37</v>
      </c>
      <c r="D941" s="14"/>
      <c r="E941" s="15"/>
      <c r="F941" s="16">
        <f t="shared" si="62"/>
        <v>0</v>
      </c>
      <c r="G941">
        <f t="shared" si="63"/>
        <v>0</v>
      </c>
    </row>
    <row r="942" spans="1:7" hidden="1" x14ac:dyDescent="0.25">
      <c r="A942" s="85" t="s">
        <v>2762</v>
      </c>
      <c r="B942" s="88" t="s">
        <v>2730</v>
      </c>
      <c r="C942" s="26" t="s">
        <v>37</v>
      </c>
      <c r="D942" s="14"/>
      <c r="E942" s="15"/>
      <c r="F942" s="16">
        <f t="shared" si="62"/>
        <v>0</v>
      </c>
      <c r="G942">
        <f t="shared" si="63"/>
        <v>0</v>
      </c>
    </row>
    <row r="943" spans="1:7" hidden="1" x14ac:dyDescent="0.25">
      <c r="A943" s="85" t="s">
        <v>2763</v>
      </c>
      <c r="B943" s="88" t="s">
        <v>2731</v>
      </c>
      <c r="C943" s="26" t="s">
        <v>37</v>
      </c>
      <c r="D943" s="14"/>
      <c r="E943" s="15"/>
      <c r="F943" s="16">
        <f t="shared" si="62"/>
        <v>0</v>
      </c>
      <c r="G943">
        <f t="shared" si="63"/>
        <v>0</v>
      </c>
    </row>
    <row r="944" spans="1:7" hidden="1" x14ac:dyDescent="0.25">
      <c r="A944" s="85" t="s">
        <v>2764</v>
      </c>
      <c r="B944" s="88" t="s">
        <v>2732</v>
      </c>
      <c r="C944" s="26" t="s">
        <v>37</v>
      </c>
      <c r="D944" s="14"/>
      <c r="E944" s="15"/>
      <c r="F944" s="16">
        <f t="shared" si="62"/>
        <v>0</v>
      </c>
      <c r="G944">
        <f t="shared" si="63"/>
        <v>0</v>
      </c>
    </row>
    <row r="945" spans="1:7" hidden="1" x14ac:dyDescent="0.25">
      <c r="A945" s="85" t="s">
        <v>2765</v>
      </c>
      <c r="B945" s="88" t="s">
        <v>2781</v>
      </c>
      <c r="C945" s="26" t="s">
        <v>37</v>
      </c>
      <c r="D945" s="14"/>
      <c r="E945" s="15"/>
      <c r="F945" s="16">
        <f t="shared" si="62"/>
        <v>0</v>
      </c>
      <c r="G945">
        <f t="shared" si="63"/>
        <v>0</v>
      </c>
    </row>
    <row r="946" spans="1:7" hidden="1" x14ac:dyDescent="0.25">
      <c r="A946" s="85" t="s">
        <v>2766</v>
      </c>
      <c r="B946" s="88" t="s">
        <v>2733</v>
      </c>
      <c r="C946" s="26" t="s">
        <v>37</v>
      </c>
      <c r="D946" s="14"/>
      <c r="E946" s="15"/>
      <c r="F946" s="16">
        <f t="shared" si="62"/>
        <v>0</v>
      </c>
      <c r="G946">
        <f t="shared" si="63"/>
        <v>0</v>
      </c>
    </row>
    <row r="947" spans="1:7" hidden="1" x14ac:dyDescent="0.25">
      <c r="A947" s="85" t="s">
        <v>2767</v>
      </c>
      <c r="B947" s="88" t="s">
        <v>2775</v>
      </c>
      <c r="C947" s="26" t="s">
        <v>37</v>
      </c>
      <c r="D947" s="14"/>
      <c r="E947" s="15"/>
      <c r="F947" s="16">
        <f t="shared" si="62"/>
        <v>0</v>
      </c>
      <c r="G947">
        <f t="shared" si="63"/>
        <v>0</v>
      </c>
    </row>
    <row r="948" spans="1:7" hidden="1" x14ac:dyDescent="0.25">
      <c r="A948" s="85" t="s">
        <v>2768</v>
      </c>
      <c r="B948" s="88" t="s">
        <v>2774</v>
      </c>
      <c r="C948" s="26" t="s">
        <v>37</v>
      </c>
      <c r="D948" s="14"/>
      <c r="E948" s="15"/>
      <c r="F948" s="16">
        <f t="shared" si="62"/>
        <v>0</v>
      </c>
      <c r="G948">
        <f t="shared" si="63"/>
        <v>0</v>
      </c>
    </row>
    <row r="949" spans="1:7" hidden="1" x14ac:dyDescent="0.25">
      <c r="A949" s="85" t="s">
        <v>2769</v>
      </c>
      <c r="B949" s="88" t="s">
        <v>2780</v>
      </c>
      <c r="C949" s="26" t="s">
        <v>37</v>
      </c>
      <c r="D949" s="14"/>
      <c r="E949" s="15"/>
      <c r="F949" s="16">
        <f t="shared" si="62"/>
        <v>0</v>
      </c>
      <c r="G949">
        <f t="shared" si="63"/>
        <v>0</v>
      </c>
    </row>
    <row r="950" spans="1:7" hidden="1" x14ac:dyDescent="0.25">
      <c r="A950" s="85" t="s">
        <v>2770</v>
      </c>
      <c r="B950" s="88" t="s">
        <v>2776</v>
      </c>
      <c r="C950" s="26" t="s">
        <v>37</v>
      </c>
      <c r="D950" s="14"/>
      <c r="E950" s="15"/>
      <c r="F950" s="16">
        <f t="shared" si="62"/>
        <v>0</v>
      </c>
      <c r="G950">
        <f t="shared" si="63"/>
        <v>0</v>
      </c>
    </row>
    <row r="951" spans="1:7" hidden="1" x14ac:dyDescent="0.25">
      <c r="A951" s="85" t="s">
        <v>2771</v>
      </c>
      <c r="B951" s="88" t="s">
        <v>2777</v>
      </c>
      <c r="C951" s="26" t="s">
        <v>37</v>
      </c>
      <c r="D951" s="14"/>
      <c r="E951" s="15"/>
      <c r="F951" s="16">
        <f t="shared" si="62"/>
        <v>0</v>
      </c>
      <c r="G951">
        <f t="shared" si="63"/>
        <v>0</v>
      </c>
    </row>
    <row r="952" spans="1:7" hidden="1" x14ac:dyDescent="0.25">
      <c r="A952" s="85" t="s">
        <v>2772</v>
      </c>
      <c r="B952" s="88" t="s">
        <v>2778</v>
      </c>
      <c r="C952" s="26" t="s">
        <v>37</v>
      </c>
      <c r="D952" s="14"/>
      <c r="E952" s="15"/>
      <c r="F952" s="16">
        <f t="shared" si="62"/>
        <v>0</v>
      </c>
      <c r="G952">
        <f t="shared" si="63"/>
        <v>0</v>
      </c>
    </row>
    <row r="953" spans="1:7" hidden="1" x14ac:dyDescent="0.25">
      <c r="A953" s="85" t="s">
        <v>2773</v>
      </c>
      <c r="B953" s="88" t="s">
        <v>2779</v>
      </c>
      <c r="C953" s="26" t="s">
        <v>37</v>
      </c>
      <c r="D953" s="14"/>
      <c r="E953" s="15"/>
      <c r="F953" s="16">
        <f t="shared" si="62"/>
        <v>0</v>
      </c>
      <c r="G953">
        <f t="shared" si="63"/>
        <v>0</v>
      </c>
    </row>
    <row r="954" spans="1:7" hidden="1" x14ac:dyDescent="0.25">
      <c r="A954" s="85" t="s">
        <v>2791</v>
      </c>
      <c r="B954" s="88" t="s">
        <v>2783</v>
      </c>
      <c r="C954" s="26" t="s">
        <v>37</v>
      </c>
      <c r="D954" s="14"/>
      <c r="E954" s="15"/>
      <c r="F954" s="16">
        <f t="shared" si="62"/>
        <v>0</v>
      </c>
      <c r="G954">
        <f t="shared" si="63"/>
        <v>0</v>
      </c>
    </row>
    <row r="955" spans="1:7" hidden="1" x14ac:dyDescent="0.25">
      <c r="A955" s="85" t="s">
        <v>2792</v>
      </c>
      <c r="B955" s="88" t="s">
        <v>2784</v>
      </c>
      <c r="C955" s="26" t="s">
        <v>37</v>
      </c>
      <c r="D955" s="14"/>
      <c r="E955" s="15"/>
      <c r="F955" s="16">
        <f t="shared" si="62"/>
        <v>0</v>
      </c>
      <c r="G955">
        <f t="shared" si="63"/>
        <v>0</v>
      </c>
    </row>
    <row r="956" spans="1:7" hidden="1" x14ac:dyDescent="0.25">
      <c r="A956" s="85" t="s">
        <v>2793</v>
      </c>
      <c r="B956" s="88" t="s">
        <v>2785</v>
      </c>
      <c r="C956" s="26" t="s">
        <v>37</v>
      </c>
      <c r="D956" s="14"/>
      <c r="E956" s="15"/>
      <c r="F956" s="16">
        <f t="shared" si="62"/>
        <v>0</v>
      </c>
      <c r="G956">
        <f t="shared" si="63"/>
        <v>0</v>
      </c>
    </row>
    <row r="957" spans="1:7" hidden="1" x14ac:dyDescent="0.25">
      <c r="A957" s="85" t="s">
        <v>2794</v>
      </c>
      <c r="B957" s="88" t="s">
        <v>2786</v>
      </c>
      <c r="C957" s="26" t="s">
        <v>37</v>
      </c>
      <c r="D957" s="14"/>
      <c r="E957" s="15"/>
      <c r="F957" s="16">
        <f t="shared" si="62"/>
        <v>0</v>
      </c>
      <c r="G957">
        <f t="shared" si="63"/>
        <v>0</v>
      </c>
    </row>
    <row r="958" spans="1:7" hidden="1" x14ac:dyDescent="0.25">
      <c r="A958" s="85" t="s">
        <v>2795</v>
      </c>
      <c r="B958" s="88" t="s">
        <v>2787</v>
      </c>
      <c r="C958" s="26" t="s">
        <v>37</v>
      </c>
      <c r="D958" s="14"/>
      <c r="E958" s="15"/>
      <c r="F958" s="16">
        <f t="shared" si="62"/>
        <v>0</v>
      </c>
      <c r="G958">
        <f t="shared" si="63"/>
        <v>0</v>
      </c>
    </row>
    <row r="959" spans="1:7" hidden="1" x14ac:dyDescent="0.25">
      <c r="A959" s="85" t="s">
        <v>2796</v>
      </c>
      <c r="B959" s="88" t="s">
        <v>2788</v>
      </c>
      <c r="C959" s="26" t="s">
        <v>37</v>
      </c>
      <c r="D959" s="14"/>
      <c r="E959" s="15"/>
      <c r="F959" s="16">
        <f t="shared" si="62"/>
        <v>0</v>
      </c>
      <c r="G959">
        <f t="shared" si="63"/>
        <v>0</v>
      </c>
    </row>
    <row r="960" spans="1:7" hidden="1" x14ac:dyDescent="0.25">
      <c r="A960" s="85" t="s">
        <v>2797</v>
      </c>
      <c r="B960" s="88" t="s">
        <v>2789</v>
      </c>
      <c r="C960" s="26" t="s">
        <v>37</v>
      </c>
      <c r="D960" s="14"/>
      <c r="E960" s="15"/>
      <c r="F960" s="16">
        <f t="shared" si="62"/>
        <v>0</v>
      </c>
      <c r="G960">
        <f t="shared" si="63"/>
        <v>0</v>
      </c>
    </row>
    <row r="961" spans="1:7" hidden="1" x14ac:dyDescent="0.25">
      <c r="A961" s="85" t="s">
        <v>2798</v>
      </c>
      <c r="B961" s="88" t="s">
        <v>2790</v>
      </c>
      <c r="C961" s="26" t="s">
        <v>37</v>
      </c>
      <c r="D961" s="14"/>
      <c r="E961" s="15"/>
      <c r="F961" s="16">
        <f t="shared" si="62"/>
        <v>0</v>
      </c>
      <c r="G961">
        <f t="shared" si="63"/>
        <v>0</v>
      </c>
    </row>
    <row r="962" spans="1:7" hidden="1" x14ac:dyDescent="0.25">
      <c r="A962" s="85" t="s">
        <v>2799</v>
      </c>
      <c r="B962" s="88" t="s">
        <v>2782</v>
      </c>
      <c r="C962" s="26" t="s">
        <v>37</v>
      </c>
      <c r="D962" s="14"/>
      <c r="E962" s="15"/>
      <c r="F962" s="16">
        <f t="shared" si="62"/>
        <v>0</v>
      </c>
      <c r="G962">
        <f t="shared" si="63"/>
        <v>0</v>
      </c>
    </row>
    <row r="963" spans="1:7" x14ac:dyDescent="0.25">
      <c r="A963" s="61" t="s">
        <v>958</v>
      </c>
      <c r="B963" s="62" t="s">
        <v>959</v>
      </c>
      <c r="C963" s="63"/>
      <c r="D963" s="63"/>
      <c r="E963" s="460"/>
      <c r="F963" s="461"/>
      <c r="G963">
        <v>1</v>
      </c>
    </row>
    <row r="964" spans="1:7" x14ac:dyDescent="0.25">
      <c r="A964" s="44" t="s">
        <v>960</v>
      </c>
      <c r="B964" s="80" t="s">
        <v>961</v>
      </c>
      <c r="C964" s="14"/>
      <c r="D964" s="14"/>
      <c r="E964" s="15"/>
      <c r="F964" s="16"/>
      <c r="G964">
        <v>1</v>
      </c>
    </row>
    <row r="965" spans="1:7" x14ac:dyDescent="0.25">
      <c r="A965" s="44" t="s">
        <v>2801</v>
      </c>
      <c r="B965" s="80" t="s">
        <v>2800</v>
      </c>
      <c r="C965" s="14"/>
      <c r="D965" s="14"/>
      <c r="E965" s="15"/>
      <c r="F965" s="16"/>
      <c r="G965">
        <v>1</v>
      </c>
    </row>
    <row r="966" spans="1:7" hidden="1" x14ac:dyDescent="0.25">
      <c r="A966" s="43" t="s">
        <v>2829</v>
      </c>
      <c r="B966" s="81" t="s">
        <v>2802</v>
      </c>
      <c r="C966" s="26" t="s">
        <v>37</v>
      </c>
      <c r="D966" s="14"/>
      <c r="E966" s="15"/>
      <c r="F966" s="16">
        <f t="shared" ref="F966:F1030" si="64">+D966*E966</f>
        <v>0</v>
      </c>
      <c r="G966">
        <f t="shared" si="63"/>
        <v>0</v>
      </c>
    </row>
    <row r="967" spans="1:7" hidden="1" x14ac:dyDescent="0.25">
      <c r="A967" s="43" t="s">
        <v>2830</v>
      </c>
      <c r="B967" s="81" t="s">
        <v>2803</v>
      </c>
      <c r="C967" s="26" t="s">
        <v>37</v>
      </c>
      <c r="D967" s="14"/>
      <c r="E967" s="15"/>
      <c r="F967" s="16">
        <f t="shared" si="64"/>
        <v>0</v>
      </c>
      <c r="G967">
        <f t="shared" si="63"/>
        <v>0</v>
      </c>
    </row>
    <row r="968" spans="1:7" hidden="1" x14ac:dyDescent="0.25">
      <c r="A968" s="43" t="s">
        <v>2831</v>
      </c>
      <c r="B968" s="81" t="s">
        <v>2804</v>
      </c>
      <c r="C968" s="26" t="s">
        <v>37</v>
      </c>
      <c r="D968" s="14"/>
      <c r="E968" s="15"/>
      <c r="F968" s="16">
        <f t="shared" si="64"/>
        <v>0</v>
      </c>
      <c r="G968">
        <f t="shared" si="63"/>
        <v>0</v>
      </c>
    </row>
    <row r="969" spans="1:7" hidden="1" x14ac:dyDescent="0.25">
      <c r="A969" s="43" t="s">
        <v>2832</v>
      </c>
      <c r="B969" s="81" t="s">
        <v>2805</v>
      </c>
      <c r="C969" s="26" t="s">
        <v>37</v>
      </c>
      <c r="D969" s="14"/>
      <c r="E969" s="15"/>
      <c r="F969" s="16">
        <f t="shared" si="64"/>
        <v>0</v>
      </c>
      <c r="G969">
        <f t="shared" si="63"/>
        <v>0</v>
      </c>
    </row>
    <row r="970" spans="1:7" hidden="1" x14ac:dyDescent="0.25">
      <c r="A970" s="43" t="s">
        <v>2833</v>
      </c>
      <c r="B970" s="81" t="s">
        <v>2806</v>
      </c>
      <c r="C970" s="26" t="s">
        <v>37</v>
      </c>
      <c r="D970" s="14"/>
      <c r="E970" s="15"/>
      <c r="F970" s="16">
        <f t="shared" si="64"/>
        <v>0</v>
      </c>
      <c r="G970">
        <f t="shared" si="63"/>
        <v>0</v>
      </c>
    </row>
    <row r="971" spans="1:7" hidden="1" x14ac:dyDescent="0.25">
      <c r="A971" s="43" t="s">
        <v>2834</v>
      </c>
      <c r="B971" s="81" t="s">
        <v>2807</v>
      </c>
      <c r="C971" s="26" t="s">
        <v>37</v>
      </c>
      <c r="D971" s="14"/>
      <c r="E971" s="15"/>
      <c r="F971" s="16">
        <f t="shared" si="64"/>
        <v>0</v>
      </c>
      <c r="G971">
        <f t="shared" si="63"/>
        <v>0</v>
      </c>
    </row>
    <row r="972" spans="1:7" hidden="1" x14ac:dyDescent="0.25">
      <c r="A972" s="43" t="s">
        <v>2835</v>
      </c>
      <c r="B972" s="81" t="s">
        <v>2808</v>
      </c>
      <c r="C972" s="26" t="s">
        <v>37</v>
      </c>
      <c r="D972" s="14"/>
      <c r="E972" s="15"/>
      <c r="F972" s="16">
        <f t="shared" si="64"/>
        <v>0</v>
      </c>
      <c r="G972">
        <f t="shared" si="63"/>
        <v>0</v>
      </c>
    </row>
    <row r="973" spans="1:7" hidden="1" x14ac:dyDescent="0.25">
      <c r="A973" s="43" t="s">
        <v>2836</v>
      </c>
      <c r="B973" s="81" t="s">
        <v>2809</v>
      </c>
      <c r="C973" s="26" t="s">
        <v>37</v>
      </c>
      <c r="D973" s="14"/>
      <c r="E973" s="15"/>
      <c r="F973" s="16">
        <f t="shared" si="64"/>
        <v>0</v>
      </c>
      <c r="G973">
        <f t="shared" si="63"/>
        <v>0</v>
      </c>
    </row>
    <row r="974" spans="1:7" hidden="1" x14ac:dyDescent="0.25">
      <c r="A974" s="43" t="s">
        <v>2837</v>
      </c>
      <c r="B974" s="81" t="s">
        <v>2810</v>
      </c>
      <c r="C974" s="26" t="s">
        <v>37</v>
      </c>
      <c r="D974" s="14"/>
      <c r="E974" s="15"/>
      <c r="F974" s="16">
        <f t="shared" si="64"/>
        <v>0</v>
      </c>
      <c r="G974">
        <f t="shared" si="63"/>
        <v>0</v>
      </c>
    </row>
    <row r="975" spans="1:7" hidden="1" x14ac:dyDescent="0.25">
      <c r="A975" s="43" t="s">
        <v>2838</v>
      </c>
      <c r="B975" s="81" t="s">
        <v>2811</v>
      </c>
      <c r="C975" s="26" t="s">
        <v>37</v>
      </c>
      <c r="D975" s="14"/>
      <c r="E975" s="15"/>
      <c r="F975" s="16">
        <f t="shared" si="64"/>
        <v>0</v>
      </c>
      <c r="G975">
        <f t="shared" si="63"/>
        <v>0</v>
      </c>
    </row>
    <row r="976" spans="1:7" hidden="1" x14ac:dyDescent="0.25">
      <c r="A976" s="43" t="s">
        <v>2839</v>
      </c>
      <c r="B976" s="81" t="s">
        <v>2812</v>
      </c>
      <c r="C976" s="26" t="s">
        <v>37</v>
      </c>
      <c r="D976" s="14"/>
      <c r="E976" s="15"/>
      <c r="F976" s="16">
        <f t="shared" si="64"/>
        <v>0</v>
      </c>
      <c r="G976">
        <f t="shared" si="63"/>
        <v>0</v>
      </c>
    </row>
    <row r="977" spans="1:7" hidden="1" x14ac:dyDescent="0.25">
      <c r="A977" s="43" t="s">
        <v>2840</v>
      </c>
      <c r="B977" s="81" t="s">
        <v>2813</v>
      </c>
      <c r="C977" s="26" t="s">
        <v>37</v>
      </c>
      <c r="D977" s="14"/>
      <c r="E977" s="15"/>
      <c r="F977" s="16">
        <f t="shared" si="64"/>
        <v>0</v>
      </c>
      <c r="G977">
        <f t="shared" si="63"/>
        <v>0</v>
      </c>
    </row>
    <row r="978" spans="1:7" hidden="1" x14ac:dyDescent="0.25">
      <c r="A978" s="43" t="s">
        <v>2841</v>
      </c>
      <c r="B978" s="81" t="s">
        <v>2814</v>
      </c>
      <c r="C978" s="26" t="s">
        <v>37</v>
      </c>
      <c r="D978" s="14"/>
      <c r="E978" s="15"/>
      <c r="F978" s="16">
        <f t="shared" si="64"/>
        <v>0</v>
      </c>
      <c r="G978">
        <f t="shared" si="63"/>
        <v>0</v>
      </c>
    </row>
    <row r="979" spans="1:7" hidden="1" x14ac:dyDescent="0.25">
      <c r="A979" s="43" t="s">
        <v>2842</v>
      </c>
      <c r="B979" s="81" t="s">
        <v>2815</v>
      </c>
      <c r="C979" s="26" t="s">
        <v>37</v>
      </c>
      <c r="D979" s="14"/>
      <c r="E979" s="15"/>
      <c r="F979" s="16">
        <f t="shared" si="64"/>
        <v>0</v>
      </c>
      <c r="G979">
        <f t="shared" si="63"/>
        <v>0</v>
      </c>
    </row>
    <row r="980" spans="1:7" hidden="1" x14ac:dyDescent="0.25">
      <c r="A980" s="43" t="s">
        <v>2843</v>
      </c>
      <c r="B980" s="81" t="s">
        <v>2816</v>
      </c>
      <c r="C980" s="26" t="s">
        <v>37</v>
      </c>
      <c r="D980" s="14"/>
      <c r="E980" s="15"/>
      <c r="F980" s="16">
        <f t="shared" si="64"/>
        <v>0</v>
      </c>
      <c r="G980">
        <f t="shared" si="63"/>
        <v>0</v>
      </c>
    </row>
    <row r="981" spans="1:7" hidden="1" x14ac:dyDescent="0.25">
      <c r="A981" s="43" t="s">
        <v>2844</v>
      </c>
      <c r="B981" s="81" t="s">
        <v>2817</v>
      </c>
      <c r="C981" s="26" t="s">
        <v>37</v>
      </c>
      <c r="D981" s="14"/>
      <c r="E981" s="15"/>
      <c r="F981" s="16">
        <f t="shared" si="64"/>
        <v>0</v>
      </c>
      <c r="G981">
        <f t="shared" si="63"/>
        <v>0</v>
      </c>
    </row>
    <row r="982" spans="1:7" hidden="1" x14ac:dyDescent="0.25">
      <c r="A982" s="43" t="s">
        <v>2845</v>
      </c>
      <c r="B982" s="81" t="s">
        <v>2818</v>
      </c>
      <c r="C982" s="26" t="s">
        <v>37</v>
      </c>
      <c r="D982" s="14"/>
      <c r="E982" s="15"/>
      <c r="F982" s="16">
        <f t="shared" si="64"/>
        <v>0</v>
      </c>
      <c r="G982">
        <f t="shared" si="63"/>
        <v>0</v>
      </c>
    </row>
    <row r="983" spans="1:7" hidden="1" x14ac:dyDescent="0.25">
      <c r="A983" s="43" t="s">
        <v>2846</v>
      </c>
      <c r="B983" s="81" t="s">
        <v>2819</v>
      </c>
      <c r="C983" s="26" t="s">
        <v>37</v>
      </c>
      <c r="D983" s="14"/>
      <c r="E983" s="15">
        <f>+SUM!H982</f>
        <v>1047331</v>
      </c>
      <c r="F983" s="16">
        <f t="shared" si="64"/>
        <v>0</v>
      </c>
      <c r="G983">
        <f t="shared" si="63"/>
        <v>0</v>
      </c>
    </row>
    <row r="984" spans="1:7" hidden="1" x14ac:dyDescent="0.25">
      <c r="A984" s="43" t="s">
        <v>2847</v>
      </c>
      <c r="B984" s="81" t="s">
        <v>2820</v>
      </c>
      <c r="C984" s="26" t="s">
        <v>37</v>
      </c>
      <c r="D984" s="14"/>
      <c r="E984" s="15">
        <f>+SUM!H983</f>
        <v>1100934</v>
      </c>
      <c r="F984" s="16">
        <f t="shared" si="64"/>
        <v>0</v>
      </c>
      <c r="G984">
        <f t="shared" si="63"/>
        <v>0</v>
      </c>
    </row>
    <row r="985" spans="1:7" hidden="1" x14ac:dyDescent="0.25">
      <c r="A985" s="43" t="s">
        <v>2848</v>
      </c>
      <c r="B985" s="81" t="s">
        <v>2821</v>
      </c>
      <c r="C985" s="26" t="s">
        <v>37</v>
      </c>
      <c r="D985" s="14"/>
      <c r="E985" s="15">
        <f>+SUM!H984</f>
        <v>1283736</v>
      </c>
      <c r="F985" s="16">
        <f t="shared" si="64"/>
        <v>0</v>
      </c>
      <c r="G985">
        <f t="shared" si="63"/>
        <v>0</v>
      </c>
    </row>
    <row r="986" spans="1:7" hidden="1" x14ac:dyDescent="0.25">
      <c r="A986" s="43" t="s">
        <v>2849</v>
      </c>
      <c r="B986" s="81" t="s">
        <v>2822</v>
      </c>
      <c r="C986" s="26" t="s">
        <v>37</v>
      </c>
      <c r="D986" s="14"/>
      <c r="E986" s="15">
        <f>+SUM!H985</f>
        <v>1417058</v>
      </c>
      <c r="F986" s="16">
        <f t="shared" si="64"/>
        <v>0</v>
      </c>
      <c r="G986">
        <f t="shared" si="63"/>
        <v>0</v>
      </c>
    </row>
    <row r="987" spans="1:7" hidden="1" x14ac:dyDescent="0.25">
      <c r="A987" s="43" t="s">
        <v>2850</v>
      </c>
      <c r="B987" s="81" t="s">
        <v>2823</v>
      </c>
      <c r="C987" s="26" t="s">
        <v>37</v>
      </c>
      <c r="D987" s="14"/>
      <c r="E987" s="15">
        <f>+SUM!H986</f>
        <v>1467913</v>
      </c>
      <c r="F987" s="16">
        <f t="shared" si="64"/>
        <v>0</v>
      </c>
      <c r="G987">
        <f t="shared" si="63"/>
        <v>0</v>
      </c>
    </row>
    <row r="988" spans="1:7" hidden="1" x14ac:dyDescent="0.25">
      <c r="A988" s="43" t="s">
        <v>2851</v>
      </c>
      <c r="B988" s="81" t="s">
        <v>2827</v>
      </c>
      <c r="C988" s="26" t="s">
        <v>37</v>
      </c>
      <c r="D988" s="14"/>
      <c r="E988" s="15">
        <f>+SUM!H987</f>
        <v>1503648</v>
      </c>
      <c r="F988" s="16">
        <f t="shared" si="64"/>
        <v>0</v>
      </c>
      <c r="G988">
        <f t="shared" si="63"/>
        <v>0</v>
      </c>
    </row>
    <row r="989" spans="1:7" hidden="1" x14ac:dyDescent="0.25">
      <c r="A989" s="43" t="s">
        <v>2852</v>
      </c>
      <c r="B989" s="81" t="s">
        <v>2824</v>
      </c>
      <c r="C989" s="26" t="s">
        <v>37</v>
      </c>
      <c r="D989" s="14"/>
      <c r="E989" s="15">
        <f>+SUM!H988</f>
        <v>1833516</v>
      </c>
      <c r="F989" s="16">
        <f t="shared" si="64"/>
        <v>0</v>
      </c>
      <c r="G989">
        <f t="shared" si="63"/>
        <v>0</v>
      </c>
    </row>
    <row r="990" spans="1:7" hidden="1" x14ac:dyDescent="0.25">
      <c r="A990" s="43" t="s">
        <v>2853</v>
      </c>
      <c r="B990" s="81" t="s">
        <v>2825</v>
      </c>
      <c r="C990" s="26" t="s">
        <v>37</v>
      </c>
      <c r="D990" s="14"/>
      <c r="E990" s="15">
        <f>+SUM!H989</f>
        <v>2017693</v>
      </c>
      <c r="F990" s="16">
        <f t="shared" si="64"/>
        <v>0</v>
      </c>
      <c r="G990">
        <f t="shared" si="63"/>
        <v>0</v>
      </c>
    </row>
    <row r="991" spans="1:7" hidden="1" x14ac:dyDescent="0.25">
      <c r="A991" s="43" t="s">
        <v>2854</v>
      </c>
      <c r="B991" s="81" t="s">
        <v>2826</v>
      </c>
      <c r="C991" s="26" t="s">
        <v>37</v>
      </c>
      <c r="D991" s="14"/>
      <c r="E991" s="15">
        <f>+SUM!H990</f>
        <v>2384671</v>
      </c>
      <c r="F991" s="16">
        <f t="shared" si="64"/>
        <v>0</v>
      </c>
      <c r="G991">
        <f t="shared" si="63"/>
        <v>0</v>
      </c>
    </row>
    <row r="992" spans="1:7" hidden="1" x14ac:dyDescent="0.25">
      <c r="A992" s="43" t="s">
        <v>2855</v>
      </c>
      <c r="B992" s="81" t="s">
        <v>2828</v>
      </c>
      <c r="C992" s="26" t="s">
        <v>37</v>
      </c>
      <c r="D992" s="14"/>
      <c r="E992" s="15">
        <f>+SUM!H991</f>
        <v>2751649</v>
      </c>
      <c r="F992" s="16">
        <f t="shared" si="64"/>
        <v>0</v>
      </c>
      <c r="G992">
        <f t="shared" si="63"/>
        <v>0</v>
      </c>
    </row>
    <row r="993" spans="1:7" hidden="1" x14ac:dyDescent="0.25">
      <c r="A993" s="43" t="s">
        <v>2856</v>
      </c>
      <c r="B993" s="81" t="s">
        <v>2871</v>
      </c>
      <c r="C993" s="26" t="s">
        <v>37</v>
      </c>
      <c r="D993" s="14"/>
      <c r="E993" s="15">
        <f>+SUM!H992</f>
        <v>2028688</v>
      </c>
      <c r="F993" s="16">
        <f t="shared" si="64"/>
        <v>0</v>
      </c>
      <c r="G993">
        <f t="shared" si="63"/>
        <v>0</v>
      </c>
    </row>
    <row r="994" spans="1:7" hidden="1" x14ac:dyDescent="0.25">
      <c r="A994" s="43" t="s">
        <v>2857</v>
      </c>
      <c r="B994" s="81" t="s">
        <v>2872</v>
      </c>
      <c r="C994" s="26" t="s">
        <v>37</v>
      </c>
      <c r="D994" s="14"/>
      <c r="E994" s="15">
        <f>+SUM!H993</f>
        <v>2109781</v>
      </c>
      <c r="F994" s="16">
        <f t="shared" si="64"/>
        <v>0</v>
      </c>
      <c r="G994">
        <f t="shared" si="63"/>
        <v>0</v>
      </c>
    </row>
    <row r="995" spans="1:7" hidden="1" x14ac:dyDescent="0.25">
      <c r="A995" s="43" t="s">
        <v>2858</v>
      </c>
      <c r="B995" s="81" t="s">
        <v>2873</v>
      </c>
      <c r="C995" s="26" t="s">
        <v>37</v>
      </c>
      <c r="D995" s="14"/>
      <c r="E995" s="15">
        <f>+SUM!H994</f>
        <v>2320072</v>
      </c>
      <c r="F995" s="16">
        <f t="shared" si="64"/>
        <v>0</v>
      </c>
      <c r="G995">
        <f t="shared" si="63"/>
        <v>0</v>
      </c>
    </row>
    <row r="996" spans="1:7" hidden="1" x14ac:dyDescent="0.25">
      <c r="A996" s="43" t="s">
        <v>2859</v>
      </c>
      <c r="B996" s="81" t="s">
        <v>2874</v>
      </c>
      <c r="C996" s="26" t="s">
        <v>37</v>
      </c>
      <c r="D996" s="14"/>
      <c r="E996" s="15">
        <f>+SUM!H995</f>
        <v>2403913</v>
      </c>
      <c r="F996" s="16">
        <f t="shared" si="64"/>
        <v>0</v>
      </c>
      <c r="G996">
        <f t="shared" ref="G996:G1059" si="65">+IF(F996&lt;&gt;0,1,0)</f>
        <v>0</v>
      </c>
    </row>
    <row r="997" spans="1:7" hidden="1" x14ac:dyDescent="0.25">
      <c r="A997" s="43" t="s">
        <v>2860</v>
      </c>
      <c r="B997" s="81" t="s">
        <v>2875</v>
      </c>
      <c r="C997" s="26" t="s">
        <v>37</v>
      </c>
      <c r="D997" s="14"/>
      <c r="E997" s="15">
        <f>+SUM!H996</f>
        <v>2788759</v>
      </c>
      <c r="F997" s="16">
        <f t="shared" si="64"/>
        <v>0</v>
      </c>
      <c r="G997">
        <f t="shared" si="65"/>
        <v>0</v>
      </c>
    </row>
    <row r="998" spans="1:7" hidden="1" x14ac:dyDescent="0.25">
      <c r="A998" s="43" t="s">
        <v>2861</v>
      </c>
      <c r="B998" s="81" t="s">
        <v>2876</v>
      </c>
      <c r="C998" s="26" t="s">
        <v>37</v>
      </c>
      <c r="D998" s="14"/>
      <c r="E998" s="15">
        <f>+SUM!H997</f>
        <v>2909711</v>
      </c>
      <c r="F998" s="16">
        <f t="shared" si="64"/>
        <v>0</v>
      </c>
      <c r="G998">
        <f t="shared" si="65"/>
        <v>0</v>
      </c>
    </row>
    <row r="999" spans="1:7" hidden="1" x14ac:dyDescent="0.25">
      <c r="A999" s="43" t="s">
        <v>2862</v>
      </c>
      <c r="B999" s="81" t="s">
        <v>2877</v>
      </c>
      <c r="C999" s="26" t="s">
        <v>37</v>
      </c>
      <c r="D999" s="14"/>
      <c r="E999" s="15">
        <f>+SUM!H998</f>
        <v>3080142</v>
      </c>
      <c r="F999" s="16">
        <f t="shared" si="64"/>
        <v>0</v>
      </c>
      <c r="G999">
        <f t="shared" si="65"/>
        <v>0</v>
      </c>
    </row>
    <row r="1000" spans="1:7" x14ac:dyDescent="0.25">
      <c r="A1000" s="43" t="s">
        <v>2863</v>
      </c>
      <c r="B1000" s="81" t="s">
        <v>2878</v>
      </c>
      <c r="C1000" s="26" t="s">
        <v>37</v>
      </c>
      <c r="D1000" s="14">
        <v>29</v>
      </c>
      <c r="E1000" s="15">
        <f>+SUM!H999</f>
        <v>2618327</v>
      </c>
      <c r="F1000" s="16">
        <f t="shared" si="64"/>
        <v>75931483</v>
      </c>
      <c r="G1000">
        <f t="shared" si="65"/>
        <v>1</v>
      </c>
    </row>
    <row r="1001" spans="1:7" hidden="1" x14ac:dyDescent="0.25">
      <c r="A1001" s="43" t="s">
        <v>2864</v>
      </c>
      <c r="B1001" s="81" t="s">
        <v>2879</v>
      </c>
      <c r="C1001" s="26" t="s">
        <v>37</v>
      </c>
      <c r="D1001" s="14"/>
      <c r="E1001" s="15">
        <f>+SUM!H1000</f>
        <v>3044407</v>
      </c>
      <c r="F1001" s="16">
        <f t="shared" si="64"/>
        <v>0</v>
      </c>
      <c r="G1001">
        <f t="shared" si="65"/>
        <v>0</v>
      </c>
    </row>
    <row r="1002" spans="1:7" hidden="1" x14ac:dyDescent="0.25">
      <c r="A1002" s="43" t="s">
        <v>2865</v>
      </c>
      <c r="B1002" s="81" t="s">
        <v>2880</v>
      </c>
      <c r="C1002" s="26" t="s">
        <v>37</v>
      </c>
      <c r="D1002" s="14"/>
      <c r="E1002" s="15">
        <f>+SUM!H1001</f>
        <v>3225834</v>
      </c>
      <c r="F1002" s="16">
        <f t="shared" si="64"/>
        <v>0</v>
      </c>
      <c r="G1002">
        <f t="shared" si="65"/>
        <v>0</v>
      </c>
    </row>
    <row r="1003" spans="1:7" hidden="1" x14ac:dyDescent="0.25">
      <c r="A1003" s="43" t="s">
        <v>2866</v>
      </c>
      <c r="B1003" s="81" t="s">
        <v>2881</v>
      </c>
      <c r="C1003" s="26" t="s">
        <v>37</v>
      </c>
      <c r="D1003" s="14"/>
      <c r="E1003" s="15">
        <f>+SUM!H1002</f>
        <v>3316548</v>
      </c>
      <c r="F1003" s="16">
        <f t="shared" si="64"/>
        <v>0</v>
      </c>
      <c r="G1003">
        <f t="shared" si="65"/>
        <v>0</v>
      </c>
    </row>
    <row r="1004" spans="1:7" hidden="1" x14ac:dyDescent="0.25">
      <c r="A1004" s="43" t="s">
        <v>2867</v>
      </c>
      <c r="B1004" s="81" t="s">
        <v>2882</v>
      </c>
      <c r="C1004" s="26" t="s">
        <v>37</v>
      </c>
      <c r="D1004" s="14"/>
      <c r="E1004" s="15">
        <f>+SUM!H1003</f>
        <v>3664284</v>
      </c>
      <c r="F1004" s="16">
        <f t="shared" si="64"/>
        <v>0</v>
      </c>
      <c r="G1004">
        <f t="shared" si="65"/>
        <v>0</v>
      </c>
    </row>
    <row r="1005" spans="1:7" hidden="1" x14ac:dyDescent="0.25">
      <c r="A1005" s="43" t="s">
        <v>2868</v>
      </c>
      <c r="B1005" s="81" t="s">
        <v>2883</v>
      </c>
      <c r="C1005" s="26" t="s">
        <v>37</v>
      </c>
      <c r="D1005" s="14"/>
      <c r="E1005" s="15">
        <f>+SUM!H1004</f>
        <v>4013394</v>
      </c>
      <c r="F1005" s="16">
        <f t="shared" si="64"/>
        <v>0</v>
      </c>
      <c r="G1005">
        <f t="shared" si="65"/>
        <v>0</v>
      </c>
    </row>
    <row r="1006" spans="1:7" hidden="1" x14ac:dyDescent="0.25">
      <c r="A1006" s="43" t="s">
        <v>2869</v>
      </c>
      <c r="B1006" s="81" t="s">
        <v>2884</v>
      </c>
      <c r="C1006" s="26" t="s">
        <v>37</v>
      </c>
      <c r="D1006" s="14"/>
      <c r="E1006" s="15">
        <f>+SUM!H1005</f>
        <v>4293782</v>
      </c>
      <c r="F1006" s="16">
        <f t="shared" si="64"/>
        <v>0</v>
      </c>
      <c r="G1006">
        <f t="shared" si="65"/>
        <v>0</v>
      </c>
    </row>
    <row r="1007" spans="1:7" hidden="1" x14ac:dyDescent="0.25">
      <c r="A1007" s="43" t="s">
        <v>2870</v>
      </c>
      <c r="B1007" s="81" t="s">
        <v>2896</v>
      </c>
      <c r="C1007" s="26" t="s">
        <v>37</v>
      </c>
      <c r="D1007" s="14"/>
      <c r="E1007" s="15">
        <f>+SUM!H1006</f>
        <v>6238629</v>
      </c>
      <c r="F1007" s="16">
        <f t="shared" si="64"/>
        <v>0</v>
      </c>
      <c r="G1007">
        <f t="shared" si="65"/>
        <v>0</v>
      </c>
    </row>
    <row r="1008" spans="1:7" hidden="1" x14ac:dyDescent="0.25">
      <c r="A1008" s="43" t="s">
        <v>2891</v>
      </c>
      <c r="B1008" s="81" t="s">
        <v>2886</v>
      </c>
      <c r="C1008" s="26" t="s">
        <v>37</v>
      </c>
      <c r="D1008" s="14"/>
      <c r="E1008" s="15">
        <f>+SUM!H1007</f>
        <v>6238629</v>
      </c>
      <c r="F1008" s="16">
        <f t="shared" si="64"/>
        <v>0</v>
      </c>
      <c r="G1008">
        <f t="shared" si="65"/>
        <v>0</v>
      </c>
    </row>
    <row r="1009" spans="1:7" hidden="1" x14ac:dyDescent="0.25">
      <c r="A1009" s="43" t="s">
        <v>2892</v>
      </c>
      <c r="B1009" s="81" t="s">
        <v>2885</v>
      </c>
      <c r="C1009" s="26" t="s">
        <v>37</v>
      </c>
      <c r="D1009" s="14"/>
      <c r="E1009" s="15">
        <f>+SUM!H1008</f>
        <v>6699069</v>
      </c>
      <c r="F1009" s="16">
        <f t="shared" si="64"/>
        <v>0</v>
      </c>
      <c r="G1009">
        <f t="shared" si="65"/>
        <v>0</v>
      </c>
    </row>
    <row r="1010" spans="1:7" hidden="1" x14ac:dyDescent="0.25">
      <c r="A1010" s="43" t="s">
        <v>2893</v>
      </c>
      <c r="B1010" s="81" t="s">
        <v>2887</v>
      </c>
      <c r="C1010" s="26" t="s">
        <v>37</v>
      </c>
      <c r="D1010" s="14"/>
      <c r="E1010" s="15">
        <f>+SUM!H1009</f>
        <v>6935475</v>
      </c>
      <c r="F1010" s="16">
        <f t="shared" si="64"/>
        <v>0</v>
      </c>
      <c r="G1010">
        <f t="shared" si="65"/>
        <v>0</v>
      </c>
    </row>
    <row r="1011" spans="1:7" hidden="1" x14ac:dyDescent="0.25">
      <c r="A1011" s="43" t="s">
        <v>2894</v>
      </c>
      <c r="B1011" s="81" t="s">
        <v>2888</v>
      </c>
      <c r="C1011" s="26" t="s">
        <v>37</v>
      </c>
      <c r="D1011" s="14"/>
      <c r="E1011" s="15">
        <f>+SUM!H1010</f>
        <v>7226858</v>
      </c>
      <c r="F1011" s="16">
        <f t="shared" si="64"/>
        <v>0</v>
      </c>
      <c r="G1011">
        <f t="shared" si="65"/>
        <v>0</v>
      </c>
    </row>
    <row r="1012" spans="1:7" hidden="1" x14ac:dyDescent="0.25">
      <c r="A1012" s="43" t="s">
        <v>2895</v>
      </c>
      <c r="B1012" s="81" t="s">
        <v>2889</v>
      </c>
      <c r="C1012" s="26" t="s">
        <v>37</v>
      </c>
      <c r="D1012" s="14"/>
      <c r="E1012" s="15">
        <f>+SUM!H1011</f>
        <v>7832991</v>
      </c>
      <c r="F1012" s="16">
        <f t="shared" si="64"/>
        <v>0</v>
      </c>
      <c r="G1012">
        <f t="shared" si="65"/>
        <v>0</v>
      </c>
    </row>
    <row r="1013" spans="1:7" hidden="1" x14ac:dyDescent="0.25">
      <c r="A1013" s="43" t="s">
        <v>2897</v>
      </c>
      <c r="B1013" s="81" t="s">
        <v>2890</v>
      </c>
      <c r="C1013" s="26" t="s">
        <v>37</v>
      </c>
      <c r="D1013" s="14"/>
      <c r="E1013" s="15">
        <f>+SUM!H1012</f>
        <v>8334665</v>
      </c>
      <c r="F1013" s="16">
        <f t="shared" si="64"/>
        <v>0</v>
      </c>
      <c r="G1013">
        <f t="shared" si="65"/>
        <v>0</v>
      </c>
    </row>
    <row r="1014" spans="1:7" hidden="1" x14ac:dyDescent="0.25">
      <c r="A1014" s="43" t="s">
        <v>2913</v>
      </c>
      <c r="B1014" s="81" t="s">
        <v>2898</v>
      </c>
      <c r="C1014" s="26" t="s">
        <v>37</v>
      </c>
      <c r="D1014" s="14"/>
      <c r="E1014" s="15">
        <f>+SUM!H1013</f>
        <v>6752673</v>
      </c>
      <c r="F1014" s="16">
        <f t="shared" si="64"/>
        <v>0</v>
      </c>
      <c r="G1014">
        <f t="shared" si="65"/>
        <v>0</v>
      </c>
    </row>
    <row r="1015" spans="1:7" hidden="1" x14ac:dyDescent="0.25">
      <c r="A1015" s="43" t="s">
        <v>2914</v>
      </c>
      <c r="B1015" s="81" t="s">
        <v>2899</v>
      </c>
      <c r="C1015" s="26" t="s">
        <v>37</v>
      </c>
      <c r="D1015" s="14"/>
      <c r="E1015" s="15">
        <f>+SUM!H1014</f>
        <v>6839263</v>
      </c>
      <c r="F1015" s="16">
        <f t="shared" si="64"/>
        <v>0</v>
      </c>
      <c r="G1015">
        <f t="shared" si="65"/>
        <v>0</v>
      </c>
    </row>
    <row r="1016" spans="1:7" hidden="1" x14ac:dyDescent="0.25">
      <c r="A1016" s="43" t="s">
        <v>2915</v>
      </c>
      <c r="B1016" s="81" t="s">
        <v>2900</v>
      </c>
      <c r="C1016" s="26" t="s">
        <v>37</v>
      </c>
      <c r="D1016" s="14"/>
      <c r="E1016" s="15">
        <f>+SUM!H1015</f>
        <v>7648814</v>
      </c>
      <c r="F1016" s="16">
        <f t="shared" si="64"/>
        <v>0</v>
      </c>
      <c r="G1016">
        <f t="shared" si="65"/>
        <v>0</v>
      </c>
    </row>
    <row r="1017" spans="1:7" hidden="1" x14ac:dyDescent="0.25">
      <c r="A1017" s="43" t="s">
        <v>2916</v>
      </c>
      <c r="B1017" s="81" t="s">
        <v>2901</v>
      </c>
      <c r="C1017" s="26" t="s">
        <v>37</v>
      </c>
      <c r="D1017" s="14"/>
      <c r="E1017" s="15">
        <f>+SUM!H1016</f>
        <v>8043281</v>
      </c>
      <c r="F1017" s="16">
        <f t="shared" si="64"/>
        <v>0</v>
      </c>
      <c r="G1017">
        <f t="shared" si="65"/>
        <v>0</v>
      </c>
    </row>
    <row r="1018" spans="1:7" hidden="1" x14ac:dyDescent="0.25">
      <c r="A1018" s="43" t="s">
        <v>2917</v>
      </c>
      <c r="B1018" s="81" t="s">
        <v>2902</v>
      </c>
      <c r="C1018" s="26" t="s">
        <v>37</v>
      </c>
      <c r="D1018" s="14"/>
      <c r="E1018" s="15">
        <f>+SUM!H1017</f>
        <v>8979282</v>
      </c>
      <c r="F1018" s="16">
        <f t="shared" si="64"/>
        <v>0</v>
      </c>
      <c r="G1018">
        <f t="shared" si="65"/>
        <v>0</v>
      </c>
    </row>
    <row r="1019" spans="1:7" hidden="1" x14ac:dyDescent="0.25">
      <c r="A1019" s="43" t="s">
        <v>2918</v>
      </c>
      <c r="B1019" s="81" t="s">
        <v>2903</v>
      </c>
      <c r="C1019" s="26" t="s">
        <v>37</v>
      </c>
      <c r="D1019" s="14"/>
      <c r="E1019" s="15">
        <f>+SUM!H1018</f>
        <v>8979282</v>
      </c>
      <c r="F1019" s="16">
        <f t="shared" si="64"/>
        <v>0</v>
      </c>
      <c r="G1019">
        <f t="shared" si="65"/>
        <v>0</v>
      </c>
    </row>
    <row r="1020" spans="1:7" hidden="1" x14ac:dyDescent="0.25">
      <c r="A1020" s="43" t="s">
        <v>2919</v>
      </c>
      <c r="B1020" s="81" t="s">
        <v>2904</v>
      </c>
      <c r="C1020" s="26" t="s">
        <v>37</v>
      </c>
      <c r="D1020" s="14"/>
      <c r="E1020" s="15">
        <f>+SUM!H1019</f>
        <v>10153062</v>
      </c>
      <c r="F1020" s="16">
        <f t="shared" si="64"/>
        <v>0</v>
      </c>
      <c r="G1020">
        <f t="shared" si="65"/>
        <v>0</v>
      </c>
    </row>
    <row r="1021" spans="1:7" hidden="1" x14ac:dyDescent="0.25">
      <c r="A1021" s="43" t="s">
        <v>2920</v>
      </c>
      <c r="B1021" s="81" t="s">
        <v>2905</v>
      </c>
      <c r="C1021" s="26" t="s">
        <v>37</v>
      </c>
      <c r="D1021" s="14"/>
      <c r="E1021" s="15">
        <f>+SUM!H1020</f>
        <v>7828867</v>
      </c>
      <c r="F1021" s="16">
        <f t="shared" si="64"/>
        <v>0</v>
      </c>
      <c r="G1021">
        <f t="shared" si="65"/>
        <v>0</v>
      </c>
    </row>
    <row r="1022" spans="1:7" hidden="1" x14ac:dyDescent="0.25">
      <c r="A1022" s="43" t="s">
        <v>2921</v>
      </c>
      <c r="B1022" s="81" t="s">
        <v>2906</v>
      </c>
      <c r="C1022" s="26" t="s">
        <v>37</v>
      </c>
      <c r="D1022" s="14"/>
      <c r="E1022" s="15">
        <f>+SUM!H1021</f>
        <v>8566947</v>
      </c>
      <c r="F1022" s="16">
        <f t="shared" si="64"/>
        <v>0</v>
      </c>
      <c r="G1022">
        <f t="shared" si="65"/>
        <v>0</v>
      </c>
    </row>
    <row r="1023" spans="1:7" hidden="1" x14ac:dyDescent="0.25">
      <c r="A1023" s="43" t="s">
        <v>2922</v>
      </c>
      <c r="B1023" s="81" t="s">
        <v>2907</v>
      </c>
      <c r="C1023" s="26" t="s">
        <v>37</v>
      </c>
      <c r="D1023" s="14"/>
      <c r="E1023" s="15">
        <f>+SUM!H1022</f>
        <v>8775863</v>
      </c>
      <c r="F1023" s="16">
        <f t="shared" si="64"/>
        <v>0</v>
      </c>
      <c r="G1023">
        <f t="shared" si="65"/>
        <v>0</v>
      </c>
    </row>
    <row r="1024" spans="1:7" hidden="1" x14ac:dyDescent="0.25">
      <c r="A1024" s="43" t="s">
        <v>2923</v>
      </c>
      <c r="B1024" s="81" t="s">
        <v>2908</v>
      </c>
      <c r="C1024" s="26" t="s">
        <v>37</v>
      </c>
      <c r="D1024" s="14"/>
      <c r="E1024" s="15">
        <f>+SUM!H1023</f>
        <v>9134595</v>
      </c>
      <c r="F1024" s="16">
        <f t="shared" si="64"/>
        <v>0</v>
      </c>
      <c r="G1024">
        <f t="shared" si="65"/>
        <v>0</v>
      </c>
    </row>
    <row r="1025" spans="1:7" hidden="1" x14ac:dyDescent="0.25">
      <c r="A1025" s="43" t="s">
        <v>2924</v>
      </c>
      <c r="B1025" s="81" t="s">
        <v>2909</v>
      </c>
      <c r="C1025" s="26" t="s">
        <v>37</v>
      </c>
      <c r="D1025" s="14"/>
      <c r="E1025" s="15">
        <f>+SUM!H1024</f>
        <v>10421080</v>
      </c>
      <c r="F1025" s="16">
        <f t="shared" si="64"/>
        <v>0</v>
      </c>
      <c r="G1025">
        <f t="shared" si="65"/>
        <v>0</v>
      </c>
    </row>
    <row r="1026" spans="1:7" hidden="1" x14ac:dyDescent="0.25">
      <c r="A1026" s="43" t="s">
        <v>2925</v>
      </c>
      <c r="B1026" s="81" t="s">
        <v>2910</v>
      </c>
      <c r="C1026" s="26" t="s">
        <v>37</v>
      </c>
      <c r="D1026" s="14"/>
      <c r="E1026" s="15">
        <f>+SUM!H1025</f>
        <v>11670455</v>
      </c>
      <c r="F1026" s="16">
        <f t="shared" si="64"/>
        <v>0</v>
      </c>
      <c r="G1026">
        <f t="shared" si="65"/>
        <v>0</v>
      </c>
    </row>
    <row r="1027" spans="1:7" hidden="1" x14ac:dyDescent="0.25">
      <c r="A1027" s="43" t="s">
        <v>2926</v>
      </c>
      <c r="B1027" s="81" t="s">
        <v>2911</v>
      </c>
      <c r="C1027" s="26" t="s">
        <v>37</v>
      </c>
      <c r="D1027" s="14"/>
      <c r="E1027" s="15">
        <f>+SUM!H1026</f>
        <v>13032535</v>
      </c>
      <c r="F1027" s="16">
        <f t="shared" si="64"/>
        <v>0</v>
      </c>
      <c r="G1027">
        <f t="shared" si="65"/>
        <v>0</v>
      </c>
    </row>
    <row r="1028" spans="1:7" hidden="1" x14ac:dyDescent="0.25">
      <c r="A1028" s="43" t="s">
        <v>2927</v>
      </c>
      <c r="B1028" s="81" t="s">
        <v>2912</v>
      </c>
      <c r="C1028" s="26" t="s">
        <v>37</v>
      </c>
      <c r="D1028" s="14"/>
      <c r="E1028" s="15">
        <f>+SUM!H1027</f>
        <v>14301152</v>
      </c>
      <c r="F1028" s="16">
        <f t="shared" si="64"/>
        <v>0</v>
      </c>
      <c r="G1028">
        <f t="shared" si="65"/>
        <v>0</v>
      </c>
    </row>
    <row r="1029" spans="1:7" hidden="1" x14ac:dyDescent="0.25">
      <c r="A1029" s="44" t="s">
        <v>962</v>
      </c>
      <c r="B1029" s="80" t="s">
        <v>2929</v>
      </c>
      <c r="C1029" s="26"/>
      <c r="D1029" s="14"/>
      <c r="E1029" s="15">
        <f>+SUM!H1028</f>
        <v>0</v>
      </c>
      <c r="F1029" s="16"/>
      <c r="G1029">
        <f t="shared" si="65"/>
        <v>0</v>
      </c>
    </row>
    <row r="1030" spans="1:7" hidden="1" x14ac:dyDescent="0.25">
      <c r="A1030" s="43" t="s">
        <v>963</v>
      </c>
      <c r="B1030" s="81" t="s">
        <v>2928</v>
      </c>
      <c r="C1030" s="26" t="s">
        <v>37</v>
      </c>
      <c r="D1030" s="14"/>
      <c r="E1030" s="15">
        <f>+SUM!H1029</f>
        <v>98960</v>
      </c>
      <c r="F1030" s="16">
        <f t="shared" si="64"/>
        <v>0</v>
      </c>
      <c r="G1030">
        <f t="shared" si="65"/>
        <v>0</v>
      </c>
    </row>
    <row r="1031" spans="1:7" hidden="1" x14ac:dyDescent="0.25">
      <c r="A1031" s="43" t="s">
        <v>964</v>
      </c>
      <c r="B1031" s="81" t="s">
        <v>2990</v>
      </c>
      <c r="C1031" s="26" t="s">
        <v>37</v>
      </c>
      <c r="D1031" s="14"/>
      <c r="E1031" s="15">
        <f>+SUM!H1030</f>
        <v>153938</v>
      </c>
      <c r="F1031" s="16">
        <f t="shared" ref="F1031:F1092" si="66">+D1031*E1031</f>
        <v>0</v>
      </c>
      <c r="G1031">
        <f t="shared" si="65"/>
        <v>0</v>
      </c>
    </row>
    <row r="1032" spans="1:7" hidden="1" x14ac:dyDescent="0.25">
      <c r="A1032" s="43" t="s">
        <v>965</v>
      </c>
      <c r="B1032" s="81" t="s">
        <v>2991</v>
      </c>
      <c r="C1032" s="26" t="s">
        <v>37</v>
      </c>
      <c r="D1032" s="14"/>
      <c r="E1032" s="15">
        <f>+SUM!H1031</f>
        <v>175930</v>
      </c>
      <c r="F1032" s="16">
        <f t="shared" si="66"/>
        <v>0</v>
      </c>
      <c r="G1032">
        <f t="shared" si="65"/>
        <v>0</v>
      </c>
    </row>
    <row r="1033" spans="1:7" hidden="1" x14ac:dyDescent="0.25">
      <c r="A1033" s="43" t="s">
        <v>2930</v>
      </c>
      <c r="B1033" s="81" t="s">
        <v>2992</v>
      </c>
      <c r="C1033" s="26" t="s">
        <v>37</v>
      </c>
      <c r="D1033" s="14"/>
      <c r="E1033" s="15">
        <f>+SUM!H1032</f>
        <v>186925</v>
      </c>
      <c r="F1033" s="16">
        <f t="shared" si="66"/>
        <v>0</v>
      </c>
      <c r="G1033">
        <f t="shared" si="65"/>
        <v>0</v>
      </c>
    </row>
    <row r="1034" spans="1:7" hidden="1" x14ac:dyDescent="0.25">
      <c r="A1034" s="43" t="s">
        <v>2931</v>
      </c>
      <c r="B1034" s="81" t="s">
        <v>2993</v>
      </c>
      <c r="C1034" s="26" t="s">
        <v>37</v>
      </c>
      <c r="D1034" s="14"/>
      <c r="E1034" s="15">
        <f>+SUM!H1033</f>
        <v>251524</v>
      </c>
      <c r="F1034" s="16">
        <f t="shared" si="66"/>
        <v>0</v>
      </c>
      <c r="G1034">
        <f t="shared" si="65"/>
        <v>0</v>
      </c>
    </row>
    <row r="1035" spans="1:7" hidden="1" x14ac:dyDescent="0.25">
      <c r="A1035" s="43" t="s">
        <v>966</v>
      </c>
      <c r="B1035" s="81" t="s">
        <v>2994</v>
      </c>
      <c r="C1035" s="26" t="s">
        <v>37</v>
      </c>
      <c r="D1035" s="14"/>
      <c r="E1035" s="15">
        <f>+SUM!H1034</f>
        <v>306502</v>
      </c>
      <c r="F1035" s="16">
        <f t="shared" si="66"/>
        <v>0</v>
      </c>
      <c r="G1035">
        <f t="shared" si="65"/>
        <v>0</v>
      </c>
    </row>
    <row r="1036" spans="1:7" hidden="1" x14ac:dyDescent="0.25">
      <c r="A1036" s="43" t="s">
        <v>967</v>
      </c>
      <c r="B1036" s="81" t="s">
        <v>2995</v>
      </c>
      <c r="C1036" s="26" t="s">
        <v>37</v>
      </c>
      <c r="D1036" s="14"/>
      <c r="E1036" s="15">
        <f>+SUM!H1035</f>
        <v>361480</v>
      </c>
      <c r="F1036" s="16">
        <f t="shared" si="66"/>
        <v>0</v>
      </c>
      <c r="G1036">
        <f t="shared" si="65"/>
        <v>0</v>
      </c>
    </row>
    <row r="1037" spans="1:7" hidden="1" x14ac:dyDescent="0.25">
      <c r="A1037" s="43" t="s">
        <v>2932</v>
      </c>
      <c r="B1037" s="81" t="s">
        <v>2996</v>
      </c>
      <c r="C1037" s="26" t="s">
        <v>37</v>
      </c>
      <c r="D1037" s="14"/>
      <c r="E1037" s="15">
        <f>+SUM!H1036</f>
        <v>394467</v>
      </c>
      <c r="F1037" s="16">
        <f t="shared" si="66"/>
        <v>0</v>
      </c>
      <c r="G1037">
        <f t="shared" si="65"/>
        <v>0</v>
      </c>
    </row>
    <row r="1038" spans="1:7" hidden="1" x14ac:dyDescent="0.25">
      <c r="A1038" s="43" t="s">
        <v>968</v>
      </c>
      <c r="B1038" s="81" t="s">
        <v>2997</v>
      </c>
      <c r="C1038" s="26" t="s">
        <v>37</v>
      </c>
      <c r="D1038" s="14"/>
      <c r="E1038" s="15">
        <f>+SUM!H1037</f>
        <v>404088</v>
      </c>
      <c r="F1038" s="16">
        <f t="shared" si="66"/>
        <v>0</v>
      </c>
      <c r="G1038">
        <f t="shared" si="65"/>
        <v>0</v>
      </c>
    </row>
    <row r="1039" spans="1:7" hidden="1" x14ac:dyDescent="0.25">
      <c r="A1039" s="43" t="s">
        <v>969</v>
      </c>
      <c r="B1039" s="81" t="s">
        <v>2998</v>
      </c>
      <c r="C1039" s="26" t="s">
        <v>37</v>
      </c>
      <c r="D1039" s="14"/>
      <c r="E1039" s="15">
        <f>+SUM!H1038</f>
        <v>504423</v>
      </c>
      <c r="F1039" s="16">
        <f t="shared" si="66"/>
        <v>0</v>
      </c>
      <c r="G1039">
        <f t="shared" si="65"/>
        <v>0</v>
      </c>
    </row>
    <row r="1040" spans="1:7" hidden="1" x14ac:dyDescent="0.25">
      <c r="A1040" s="43" t="s">
        <v>970</v>
      </c>
      <c r="B1040" s="81" t="s">
        <v>2999</v>
      </c>
      <c r="C1040" s="26" t="s">
        <v>37</v>
      </c>
      <c r="D1040" s="14"/>
      <c r="E1040" s="15">
        <f>+SUM!H1039</f>
        <v>617128</v>
      </c>
      <c r="F1040" s="16">
        <f t="shared" si="66"/>
        <v>0</v>
      </c>
      <c r="G1040">
        <f t="shared" si="65"/>
        <v>0</v>
      </c>
    </row>
    <row r="1041" spans="1:7" hidden="1" x14ac:dyDescent="0.25">
      <c r="A1041" s="43" t="s">
        <v>971</v>
      </c>
      <c r="B1041" s="81" t="s">
        <v>3000</v>
      </c>
      <c r="C1041" s="26" t="s">
        <v>37</v>
      </c>
      <c r="D1041" s="14"/>
      <c r="E1041" s="15">
        <f>+SUM!H1040</f>
        <v>707842</v>
      </c>
      <c r="F1041" s="16">
        <f t="shared" si="66"/>
        <v>0</v>
      </c>
      <c r="G1041">
        <f t="shared" si="65"/>
        <v>0</v>
      </c>
    </row>
    <row r="1042" spans="1:7" hidden="1" x14ac:dyDescent="0.25">
      <c r="A1042" s="43" t="s">
        <v>2933</v>
      </c>
      <c r="B1042" s="81" t="s">
        <v>3001</v>
      </c>
      <c r="C1042" s="26" t="s">
        <v>37</v>
      </c>
      <c r="D1042" s="14"/>
      <c r="E1042" s="15">
        <f>+SUM!H1041</f>
        <v>806802</v>
      </c>
      <c r="F1042" s="16">
        <f t="shared" si="66"/>
        <v>0</v>
      </c>
      <c r="G1042">
        <f t="shared" si="65"/>
        <v>0</v>
      </c>
    </row>
    <row r="1043" spans="1:7" hidden="1" x14ac:dyDescent="0.25">
      <c r="A1043" s="43" t="s">
        <v>2934</v>
      </c>
      <c r="B1043" s="81" t="s">
        <v>3002</v>
      </c>
      <c r="C1043" s="26" t="s">
        <v>37</v>
      </c>
      <c r="D1043" s="14"/>
      <c r="E1043" s="15">
        <f>+SUM!H1042</f>
        <v>846661</v>
      </c>
      <c r="F1043" s="16">
        <f t="shared" si="66"/>
        <v>0</v>
      </c>
      <c r="G1043">
        <f t="shared" si="65"/>
        <v>0</v>
      </c>
    </row>
    <row r="1044" spans="1:7" hidden="1" x14ac:dyDescent="0.25">
      <c r="A1044" s="43" t="s">
        <v>2935</v>
      </c>
      <c r="B1044" s="81" t="s">
        <v>3003</v>
      </c>
      <c r="C1044" s="26" t="s">
        <v>37</v>
      </c>
      <c r="D1044" s="14"/>
      <c r="E1044" s="15">
        <f>+SUM!H1043</f>
        <v>909886</v>
      </c>
      <c r="F1044" s="16">
        <f t="shared" si="66"/>
        <v>0</v>
      </c>
      <c r="G1044">
        <f t="shared" si="65"/>
        <v>0</v>
      </c>
    </row>
    <row r="1045" spans="1:7" hidden="1" x14ac:dyDescent="0.25">
      <c r="A1045" s="43" t="s">
        <v>2936</v>
      </c>
      <c r="B1045" s="81" t="s">
        <v>3004</v>
      </c>
      <c r="C1045" s="26" t="s">
        <v>37</v>
      </c>
      <c r="D1045" s="14"/>
      <c r="E1045" s="15">
        <f>+SUM!H1044</f>
        <v>1164159</v>
      </c>
      <c r="F1045" s="16">
        <f t="shared" si="66"/>
        <v>0</v>
      </c>
      <c r="G1045">
        <f t="shared" si="65"/>
        <v>0</v>
      </c>
    </row>
    <row r="1046" spans="1:7" hidden="1" x14ac:dyDescent="0.25">
      <c r="A1046" s="43" t="s">
        <v>2937</v>
      </c>
      <c r="B1046" s="81" t="s">
        <v>3005</v>
      </c>
      <c r="C1046" s="26" t="s">
        <v>37</v>
      </c>
      <c r="D1046" s="14"/>
      <c r="E1046" s="15">
        <f>+SUM!H1045</f>
        <v>1110556</v>
      </c>
      <c r="F1046" s="16">
        <f t="shared" si="66"/>
        <v>0</v>
      </c>
      <c r="G1046">
        <f t="shared" si="65"/>
        <v>0</v>
      </c>
    </row>
    <row r="1047" spans="1:7" hidden="1" x14ac:dyDescent="0.25">
      <c r="A1047" s="43" t="s">
        <v>2938</v>
      </c>
      <c r="B1047" s="81" t="s">
        <v>3006</v>
      </c>
      <c r="C1047" s="26" t="s">
        <v>37</v>
      </c>
      <c r="D1047" s="14"/>
      <c r="E1047" s="15">
        <f>+SUM!H1046</f>
        <v>1150415</v>
      </c>
      <c r="F1047" s="16">
        <f t="shared" si="66"/>
        <v>0</v>
      </c>
      <c r="G1047">
        <f t="shared" si="65"/>
        <v>0</v>
      </c>
    </row>
    <row r="1048" spans="1:7" hidden="1" x14ac:dyDescent="0.25">
      <c r="A1048" s="43" t="s">
        <v>2939</v>
      </c>
      <c r="B1048" s="81" t="s">
        <v>3007</v>
      </c>
      <c r="C1048" s="26" t="s">
        <v>37</v>
      </c>
      <c r="D1048" s="14"/>
      <c r="E1048" s="15">
        <f>+SUM!H1047</f>
        <v>1210890</v>
      </c>
      <c r="F1048" s="16">
        <f t="shared" si="66"/>
        <v>0</v>
      </c>
      <c r="G1048">
        <f t="shared" si="65"/>
        <v>0</v>
      </c>
    </row>
    <row r="1049" spans="1:7" hidden="1" x14ac:dyDescent="0.25">
      <c r="A1049" s="43" t="s">
        <v>2940</v>
      </c>
      <c r="B1049" s="81" t="s">
        <v>3008</v>
      </c>
      <c r="C1049" s="26" t="s">
        <v>37</v>
      </c>
      <c r="D1049" s="14"/>
      <c r="E1049" s="15">
        <f>+SUM!H1048</f>
        <v>1412935</v>
      </c>
      <c r="F1049" s="16">
        <f t="shared" si="66"/>
        <v>0</v>
      </c>
      <c r="G1049">
        <f t="shared" si="65"/>
        <v>0</v>
      </c>
    </row>
    <row r="1050" spans="1:7" hidden="1" x14ac:dyDescent="0.25">
      <c r="A1050" s="43" t="s">
        <v>2941</v>
      </c>
      <c r="B1050" s="81" t="s">
        <v>3009</v>
      </c>
      <c r="C1050" s="26" t="s">
        <v>37</v>
      </c>
      <c r="D1050" s="14"/>
      <c r="E1050" s="15">
        <f>+SUM!H1049</f>
        <v>1789534</v>
      </c>
      <c r="F1050" s="16">
        <f t="shared" si="66"/>
        <v>0</v>
      </c>
      <c r="G1050">
        <f t="shared" si="65"/>
        <v>0</v>
      </c>
    </row>
    <row r="1051" spans="1:7" hidden="1" x14ac:dyDescent="0.25">
      <c r="A1051" s="43" t="s">
        <v>2942</v>
      </c>
      <c r="B1051" s="81" t="s">
        <v>3010</v>
      </c>
      <c r="C1051" s="26" t="s">
        <v>37</v>
      </c>
      <c r="D1051" s="14"/>
      <c r="E1051" s="15">
        <f>+SUM!H1050</f>
        <v>1614979</v>
      </c>
      <c r="F1051" s="16">
        <f t="shared" si="66"/>
        <v>0</v>
      </c>
      <c r="G1051">
        <f t="shared" si="65"/>
        <v>0</v>
      </c>
    </row>
    <row r="1052" spans="1:7" hidden="1" x14ac:dyDescent="0.25">
      <c r="A1052" s="43" t="s">
        <v>2943</v>
      </c>
      <c r="B1052" s="81" t="s">
        <v>3011</v>
      </c>
      <c r="C1052" s="26" t="s">
        <v>37</v>
      </c>
      <c r="D1052" s="14"/>
      <c r="E1052" s="15">
        <f>+SUM!H1051</f>
        <v>1964089</v>
      </c>
      <c r="F1052" s="16">
        <f t="shared" si="66"/>
        <v>0</v>
      </c>
      <c r="G1052">
        <f t="shared" si="65"/>
        <v>0</v>
      </c>
    </row>
    <row r="1053" spans="1:7" hidden="1" x14ac:dyDescent="0.25">
      <c r="A1053" s="43" t="s">
        <v>2944</v>
      </c>
      <c r="B1053" s="81" t="s">
        <v>3012</v>
      </c>
      <c r="C1053" s="26" t="s">
        <v>37</v>
      </c>
      <c r="D1053" s="14"/>
      <c r="E1053" s="15">
        <f>+SUM!H1052</f>
        <v>2017693</v>
      </c>
      <c r="F1053" s="16">
        <f t="shared" si="66"/>
        <v>0</v>
      </c>
      <c r="G1053">
        <f t="shared" si="65"/>
        <v>0</v>
      </c>
    </row>
    <row r="1054" spans="1:7" hidden="1" x14ac:dyDescent="0.25">
      <c r="A1054" s="43" t="s">
        <v>2945</v>
      </c>
      <c r="B1054" s="81" t="s">
        <v>3013</v>
      </c>
      <c r="C1054" s="26" t="s">
        <v>37</v>
      </c>
      <c r="D1054" s="14"/>
      <c r="E1054" s="15">
        <f>+SUM!H1053</f>
        <v>2219737</v>
      </c>
      <c r="F1054" s="16">
        <f t="shared" si="66"/>
        <v>0</v>
      </c>
      <c r="G1054">
        <f t="shared" si="65"/>
        <v>0</v>
      </c>
    </row>
    <row r="1055" spans="1:7" hidden="1" x14ac:dyDescent="0.25">
      <c r="A1055" s="43" t="s">
        <v>972</v>
      </c>
      <c r="B1055" s="81" t="s">
        <v>3014</v>
      </c>
      <c r="C1055" s="26" t="s">
        <v>37</v>
      </c>
      <c r="D1055" s="14"/>
      <c r="E1055" s="15">
        <f>+SUM!H1054</f>
        <v>2622451</v>
      </c>
      <c r="F1055" s="16">
        <f t="shared" si="66"/>
        <v>0</v>
      </c>
      <c r="G1055">
        <f t="shared" si="65"/>
        <v>0</v>
      </c>
    </row>
    <row r="1056" spans="1:7" hidden="1" x14ac:dyDescent="0.25">
      <c r="A1056" s="43" t="s">
        <v>973</v>
      </c>
      <c r="B1056" s="81" t="s">
        <v>3015</v>
      </c>
      <c r="C1056" s="26" t="s">
        <v>37</v>
      </c>
      <c r="D1056" s="14"/>
      <c r="E1056" s="15">
        <f>+SUM!H1055</f>
        <v>3026539</v>
      </c>
      <c r="F1056" s="16">
        <f t="shared" si="66"/>
        <v>0</v>
      </c>
      <c r="G1056">
        <f t="shared" si="65"/>
        <v>0</v>
      </c>
    </row>
    <row r="1057" spans="1:7" hidden="1" x14ac:dyDescent="0.25">
      <c r="A1057" s="43" t="s">
        <v>2946</v>
      </c>
      <c r="B1057" s="81" t="s">
        <v>2989</v>
      </c>
      <c r="C1057" s="26" t="s">
        <v>37</v>
      </c>
      <c r="D1057" s="14"/>
      <c r="E1057" s="15">
        <f>+SUM!H1056</f>
        <v>2522116</v>
      </c>
      <c r="F1057" s="16">
        <f t="shared" si="66"/>
        <v>0</v>
      </c>
      <c r="G1057">
        <f t="shared" si="65"/>
        <v>0</v>
      </c>
    </row>
    <row r="1058" spans="1:7" hidden="1" x14ac:dyDescent="0.25">
      <c r="A1058" s="43" t="s">
        <v>2947</v>
      </c>
      <c r="B1058" s="81" t="s">
        <v>2987</v>
      </c>
      <c r="C1058" s="26" t="s">
        <v>37</v>
      </c>
      <c r="D1058" s="14"/>
      <c r="E1058" s="15">
        <f>+SUM!H1057</f>
        <v>2497376</v>
      </c>
      <c r="F1058" s="16">
        <f t="shared" si="66"/>
        <v>0</v>
      </c>
      <c r="G1058">
        <f t="shared" si="65"/>
        <v>0</v>
      </c>
    </row>
    <row r="1059" spans="1:7" hidden="1" x14ac:dyDescent="0.25">
      <c r="A1059" s="43" t="s">
        <v>2948</v>
      </c>
      <c r="B1059" s="81" t="s">
        <v>2988</v>
      </c>
      <c r="C1059" s="26" t="s">
        <v>37</v>
      </c>
      <c r="D1059" s="14"/>
      <c r="E1059" s="15">
        <f>+SUM!H1058</f>
        <v>2618327</v>
      </c>
      <c r="F1059" s="16">
        <f t="shared" si="66"/>
        <v>0</v>
      </c>
      <c r="G1059">
        <f t="shared" si="65"/>
        <v>0</v>
      </c>
    </row>
    <row r="1060" spans="1:7" hidden="1" x14ac:dyDescent="0.25">
      <c r="A1060" s="43" t="s">
        <v>2949</v>
      </c>
      <c r="B1060" s="81" t="s">
        <v>3016</v>
      </c>
      <c r="C1060" s="26" t="s">
        <v>37</v>
      </c>
      <c r="D1060" s="14"/>
      <c r="E1060" s="15">
        <f>+SUM!H1059</f>
        <v>3151614</v>
      </c>
      <c r="F1060" s="16">
        <f t="shared" si="66"/>
        <v>0</v>
      </c>
      <c r="G1060">
        <f t="shared" ref="G1060:G1123" si="67">+IF(F1060&lt;&gt;0,1,0)</f>
        <v>0</v>
      </c>
    </row>
    <row r="1061" spans="1:7" hidden="1" x14ac:dyDescent="0.25">
      <c r="A1061" s="43" t="s">
        <v>2950</v>
      </c>
      <c r="B1061" s="81" t="s">
        <v>3017</v>
      </c>
      <c r="C1061" s="26" t="s">
        <v>37</v>
      </c>
      <c r="D1061" s="14"/>
      <c r="E1061" s="15">
        <f>+SUM!H1060</f>
        <v>2909711</v>
      </c>
      <c r="F1061" s="16">
        <f t="shared" si="66"/>
        <v>0</v>
      </c>
      <c r="G1061">
        <f t="shared" si="67"/>
        <v>0</v>
      </c>
    </row>
    <row r="1062" spans="1:7" hidden="1" x14ac:dyDescent="0.25">
      <c r="A1062" s="43" t="s">
        <v>2951</v>
      </c>
      <c r="B1062" s="81" t="s">
        <v>3018</v>
      </c>
      <c r="C1062" s="26" t="s">
        <v>37</v>
      </c>
      <c r="D1062" s="14"/>
      <c r="E1062" s="15">
        <f>+SUM!H1061</f>
        <v>2872601</v>
      </c>
      <c r="F1062" s="16">
        <f t="shared" si="66"/>
        <v>0</v>
      </c>
      <c r="G1062">
        <f t="shared" si="67"/>
        <v>0</v>
      </c>
    </row>
    <row r="1063" spans="1:7" hidden="1" x14ac:dyDescent="0.25">
      <c r="A1063" s="43" t="s">
        <v>2952</v>
      </c>
      <c r="B1063" s="81" t="s">
        <v>3019</v>
      </c>
      <c r="C1063" s="26" t="s">
        <v>37</v>
      </c>
      <c r="D1063" s="14"/>
      <c r="E1063" s="15">
        <f>+SUM!H1062</f>
        <v>3345411</v>
      </c>
      <c r="F1063" s="16">
        <f t="shared" si="66"/>
        <v>0</v>
      </c>
      <c r="G1063">
        <f t="shared" si="67"/>
        <v>0</v>
      </c>
    </row>
    <row r="1064" spans="1:7" hidden="1" x14ac:dyDescent="0.25">
      <c r="A1064" s="43" t="s">
        <v>2953</v>
      </c>
      <c r="B1064" s="81" t="s">
        <v>3020</v>
      </c>
      <c r="C1064" s="26" t="s">
        <v>37</v>
      </c>
      <c r="D1064" s="14"/>
      <c r="E1064" s="15">
        <f>+SUM!H1063</f>
        <v>3272565</v>
      </c>
      <c r="F1064" s="16">
        <f t="shared" si="66"/>
        <v>0</v>
      </c>
      <c r="G1064">
        <f t="shared" si="67"/>
        <v>0</v>
      </c>
    </row>
    <row r="1065" spans="1:7" hidden="1" x14ac:dyDescent="0.25">
      <c r="A1065" s="43" t="s">
        <v>2954</v>
      </c>
      <c r="B1065" s="81" t="s">
        <v>3021</v>
      </c>
      <c r="C1065" s="26" t="s">
        <v>37</v>
      </c>
      <c r="D1065" s="14"/>
      <c r="E1065" s="15">
        <f>+SUM!H1064</f>
        <v>3515843</v>
      </c>
      <c r="F1065" s="16">
        <f t="shared" si="66"/>
        <v>0</v>
      </c>
      <c r="G1065">
        <f t="shared" si="67"/>
        <v>0</v>
      </c>
    </row>
    <row r="1066" spans="1:7" hidden="1" x14ac:dyDescent="0.25">
      <c r="A1066" s="43" t="s">
        <v>2955</v>
      </c>
      <c r="B1066" s="81" t="s">
        <v>3022</v>
      </c>
      <c r="C1066" s="26" t="s">
        <v>37</v>
      </c>
      <c r="D1066" s="14"/>
      <c r="E1066" s="15">
        <f>+SUM!H1065</f>
        <v>3588689</v>
      </c>
      <c r="F1066" s="16">
        <f t="shared" si="66"/>
        <v>0</v>
      </c>
      <c r="G1066">
        <f t="shared" si="67"/>
        <v>0</v>
      </c>
    </row>
    <row r="1067" spans="1:7" hidden="1" x14ac:dyDescent="0.25">
      <c r="A1067" s="43" t="s">
        <v>2956</v>
      </c>
      <c r="B1067" s="81" t="s">
        <v>3023</v>
      </c>
      <c r="C1067" s="26" t="s">
        <v>37</v>
      </c>
      <c r="D1067" s="14"/>
      <c r="E1067" s="15">
        <f>+SUM!H1066</f>
        <v>3316548</v>
      </c>
      <c r="F1067" s="16">
        <f t="shared" si="66"/>
        <v>0</v>
      </c>
      <c r="G1067">
        <f t="shared" si="67"/>
        <v>0</v>
      </c>
    </row>
    <row r="1068" spans="1:7" hidden="1" x14ac:dyDescent="0.25">
      <c r="A1068" s="43" t="s">
        <v>2957</v>
      </c>
      <c r="B1068" s="81" t="s">
        <v>3024</v>
      </c>
      <c r="C1068" s="26" t="s">
        <v>37</v>
      </c>
      <c r="D1068" s="14"/>
      <c r="E1068" s="15">
        <f>+SUM!H1067</f>
        <v>3757746</v>
      </c>
      <c r="F1068" s="16">
        <f t="shared" si="66"/>
        <v>0</v>
      </c>
      <c r="G1068">
        <f t="shared" si="67"/>
        <v>0</v>
      </c>
    </row>
    <row r="1069" spans="1:7" hidden="1" x14ac:dyDescent="0.25">
      <c r="A1069" s="43" t="s">
        <v>2958</v>
      </c>
      <c r="B1069" s="81" t="s">
        <v>3025</v>
      </c>
      <c r="C1069" s="26" t="s">
        <v>37</v>
      </c>
      <c r="D1069" s="14"/>
      <c r="E1069" s="15">
        <f>+SUM!H1068</f>
        <v>4013394</v>
      </c>
      <c r="F1069" s="16">
        <f t="shared" si="66"/>
        <v>0</v>
      </c>
      <c r="G1069">
        <f t="shared" si="67"/>
        <v>0</v>
      </c>
    </row>
    <row r="1070" spans="1:7" hidden="1" x14ac:dyDescent="0.25">
      <c r="A1070" s="43" t="s">
        <v>2959</v>
      </c>
      <c r="B1070" s="81" t="s">
        <v>3026</v>
      </c>
      <c r="C1070" s="26" t="s">
        <v>37</v>
      </c>
      <c r="D1070" s="14"/>
      <c r="E1070" s="15">
        <f>+SUM!H1069</f>
        <v>4461465</v>
      </c>
      <c r="F1070" s="16">
        <f t="shared" si="66"/>
        <v>0</v>
      </c>
      <c r="G1070">
        <f t="shared" si="67"/>
        <v>0</v>
      </c>
    </row>
    <row r="1071" spans="1:7" hidden="1" x14ac:dyDescent="0.25">
      <c r="A1071" s="43" t="s">
        <v>2960</v>
      </c>
      <c r="B1071" s="81" t="s">
        <v>3027</v>
      </c>
      <c r="C1071" s="26" t="s">
        <v>37</v>
      </c>
      <c r="D1071" s="14"/>
      <c r="E1071" s="15">
        <f>+SUM!H1070</f>
        <v>6238629</v>
      </c>
      <c r="F1071" s="16">
        <f t="shared" si="66"/>
        <v>0</v>
      </c>
      <c r="G1071">
        <f t="shared" si="67"/>
        <v>0</v>
      </c>
    </row>
    <row r="1072" spans="1:7" hidden="1" x14ac:dyDescent="0.25">
      <c r="A1072" s="43" t="s">
        <v>2961</v>
      </c>
      <c r="B1072" s="81" t="s">
        <v>3028</v>
      </c>
      <c r="C1072" s="26" t="s">
        <v>37</v>
      </c>
      <c r="D1072" s="14"/>
      <c r="E1072" s="15">
        <f>+SUM!H1071</f>
        <v>6497025</v>
      </c>
      <c r="F1072" s="16">
        <f t="shared" si="66"/>
        <v>0</v>
      </c>
      <c r="G1072">
        <f t="shared" si="67"/>
        <v>0</v>
      </c>
    </row>
    <row r="1073" spans="1:7" hidden="1" x14ac:dyDescent="0.25">
      <c r="A1073" s="43" t="s">
        <v>2962</v>
      </c>
      <c r="B1073" s="81" t="s">
        <v>3029</v>
      </c>
      <c r="C1073" s="26" t="s">
        <v>37</v>
      </c>
      <c r="D1073" s="14"/>
      <c r="E1073" s="15">
        <f>+SUM!H1072</f>
        <v>6699069</v>
      </c>
      <c r="F1073" s="16">
        <f t="shared" si="66"/>
        <v>0</v>
      </c>
      <c r="G1073">
        <f t="shared" si="67"/>
        <v>0</v>
      </c>
    </row>
    <row r="1074" spans="1:7" hidden="1" x14ac:dyDescent="0.25">
      <c r="A1074" s="43" t="s">
        <v>2963</v>
      </c>
      <c r="B1074" s="81" t="s">
        <v>3030</v>
      </c>
      <c r="C1074" s="26" t="s">
        <v>37</v>
      </c>
      <c r="D1074" s="14"/>
      <c r="E1074" s="15">
        <f>+SUM!H1073</f>
        <v>6935475</v>
      </c>
      <c r="F1074" s="16">
        <f t="shared" si="66"/>
        <v>0</v>
      </c>
      <c r="G1074">
        <f t="shared" si="67"/>
        <v>0</v>
      </c>
    </row>
    <row r="1075" spans="1:7" hidden="1" x14ac:dyDescent="0.25">
      <c r="A1075" s="43" t="s">
        <v>2964</v>
      </c>
      <c r="B1075" s="81" t="s">
        <v>3031</v>
      </c>
      <c r="C1075" s="26" t="s">
        <v>37</v>
      </c>
      <c r="D1075" s="14"/>
      <c r="E1075" s="15">
        <f>+SUM!H1074</f>
        <v>7226858</v>
      </c>
      <c r="F1075" s="16">
        <f t="shared" si="66"/>
        <v>0</v>
      </c>
      <c r="G1075">
        <f t="shared" si="67"/>
        <v>0</v>
      </c>
    </row>
    <row r="1076" spans="1:7" hidden="1" x14ac:dyDescent="0.25">
      <c r="A1076" s="43" t="s">
        <v>2965</v>
      </c>
      <c r="B1076" s="81" t="s">
        <v>3032</v>
      </c>
      <c r="C1076" s="26" t="s">
        <v>37</v>
      </c>
      <c r="D1076" s="14"/>
      <c r="E1076" s="15">
        <f>+SUM!H1075</f>
        <v>7832991</v>
      </c>
      <c r="F1076" s="16">
        <f t="shared" si="66"/>
        <v>0</v>
      </c>
      <c r="G1076">
        <f t="shared" si="67"/>
        <v>0</v>
      </c>
    </row>
    <row r="1077" spans="1:7" hidden="1" x14ac:dyDescent="0.25">
      <c r="A1077" s="43" t="s">
        <v>2966</v>
      </c>
      <c r="B1077" s="81" t="s">
        <v>3033</v>
      </c>
      <c r="C1077" s="26" t="s">
        <v>37</v>
      </c>
      <c r="D1077" s="14"/>
      <c r="E1077" s="15">
        <f>+SUM!H1076</f>
        <v>8334665</v>
      </c>
      <c r="F1077" s="16">
        <f t="shared" si="66"/>
        <v>0</v>
      </c>
      <c r="G1077">
        <f t="shared" si="67"/>
        <v>0</v>
      </c>
    </row>
    <row r="1078" spans="1:7" hidden="1" x14ac:dyDescent="0.25">
      <c r="A1078" s="43" t="s">
        <v>2967</v>
      </c>
      <c r="B1078" s="81" t="s">
        <v>3034</v>
      </c>
      <c r="C1078" s="26" t="s">
        <v>37</v>
      </c>
      <c r="D1078" s="14"/>
      <c r="E1078" s="15">
        <f>+SUM!H1077</f>
        <v>6752673</v>
      </c>
      <c r="F1078" s="16">
        <f t="shared" si="66"/>
        <v>0</v>
      </c>
      <c r="G1078">
        <f t="shared" si="67"/>
        <v>0</v>
      </c>
    </row>
    <row r="1079" spans="1:7" hidden="1" x14ac:dyDescent="0.25">
      <c r="A1079" s="43" t="s">
        <v>2968</v>
      </c>
      <c r="B1079" s="81" t="s">
        <v>3035</v>
      </c>
      <c r="C1079" s="26" t="s">
        <v>37</v>
      </c>
      <c r="D1079" s="14"/>
      <c r="E1079" s="15">
        <f>+SUM!H1078</f>
        <v>6839263</v>
      </c>
      <c r="F1079" s="16">
        <f t="shared" si="66"/>
        <v>0</v>
      </c>
      <c r="G1079">
        <f t="shared" si="67"/>
        <v>0</v>
      </c>
    </row>
    <row r="1080" spans="1:7" hidden="1" x14ac:dyDescent="0.25">
      <c r="A1080" s="43" t="s">
        <v>2969</v>
      </c>
      <c r="B1080" s="81" t="s">
        <v>3036</v>
      </c>
      <c r="C1080" s="26" t="s">
        <v>37</v>
      </c>
      <c r="D1080" s="14"/>
      <c r="E1080" s="15">
        <f>+SUM!H1079</f>
        <v>7648814</v>
      </c>
      <c r="F1080" s="16">
        <f t="shared" si="66"/>
        <v>0</v>
      </c>
      <c r="G1080">
        <f t="shared" si="67"/>
        <v>0</v>
      </c>
    </row>
    <row r="1081" spans="1:7" hidden="1" x14ac:dyDescent="0.25">
      <c r="A1081" s="43" t="s">
        <v>2970</v>
      </c>
      <c r="B1081" s="81" t="s">
        <v>3037</v>
      </c>
      <c r="C1081" s="26" t="s">
        <v>37</v>
      </c>
      <c r="D1081" s="14"/>
      <c r="E1081" s="15">
        <f>+SUM!H1080</f>
        <v>8043281</v>
      </c>
      <c r="F1081" s="16">
        <f t="shared" si="66"/>
        <v>0</v>
      </c>
      <c r="G1081">
        <f t="shared" si="67"/>
        <v>0</v>
      </c>
    </row>
    <row r="1082" spans="1:7" hidden="1" x14ac:dyDescent="0.25">
      <c r="A1082" s="43" t="s">
        <v>2971</v>
      </c>
      <c r="B1082" s="81" t="s">
        <v>3038</v>
      </c>
      <c r="C1082" s="26" t="s">
        <v>37</v>
      </c>
      <c r="D1082" s="14"/>
      <c r="E1082" s="15">
        <f>+SUM!H1081</f>
        <v>8979282</v>
      </c>
      <c r="F1082" s="16">
        <f t="shared" si="66"/>
        <v>0</v>
      </c>
      <c r="G1082">
        <f t="shared" si="67"/>
        <v>0</v>
      </c>
    </row>
    <row r="1083" spans="1:7" hidden="1" x14ac:dyDescent="0.25">
      <c r="A1083" s="43" t="s">
        <v>2972</v>
      </c>
      <c r="B1083" s="81" t="s">
        <v>3039</v>
      </c>
      <c r="C1083" s="26" t="s">
        <v>37</v>
      </c>
      <c r="D1083" s="14"/>
      <c r="E1083" s="15">
        <f>+SUM!H1082</f>
        <v>8979282</v>
      </c>
      <c r="F1083" s="16">
        <f t="shared" si="66"/>
        <v>0</v>
      </c>
      <c r="G1083">
        <f t="shared" si="67"/>
        <v>0</v>
      </c>
    </row>
    <row r="1084" spans="1:7" hidden="1" x14ac:dyDescent="0.25">
      <c r="A1084" s="43" t="s">
        <v>2973</v>
      </c>
      <c r="B1084" s="81" t="s">
        <v>3040</v>
      </c>
      <c r="C1084" s="26" t="s">
        <v>37</v>
      </c>
      <c r="D1084" s="14"/>
      <c r="E1084" s="15">
        <f>+SUM!H1083</f>
        <v>10153062</v>
      </c>
      <c r="F1084" s="16">
        <f t="shared" si="66"/>
        <v>0</v>
      </c>
      <c r="G1084">
        <f t="shared" si="67"/>
        <v>0</v>
      </c>
    </row>
    <row r="1085" spans="1:7" hidden="1" x14ac:dyDescent="0.25">
      <c r="A1085" s="43" t="s">
        <v>2974</v>
      </c>
      <c r="B1085" s="81" t="s">
        <v>3041</v>
      </c>
      <c r="C1085" s="26" t="s">
        <v>37</v>
      </c>
      <c r="D1085" s="14"/>
      <c r="E1085" s="15">
        <f>+SUM!H1084</f>
        <v>0</v>
      </c>
      <c r="F1085" s="16">
        <f t="shared" si="66"/>
        <v>0</v>
      </c>
      <c r="G1085">
        <f t="shared" si="67"/>
        <v>0</v>
      </c>
    </row>
    <row r="1086" spans="1:7" hidden="1" x14ac:dyDescent="0.25">
      <c r="A1086" s="43" t="s">
        <v>2975</v>
      </c>
      <c r="B1086" s="81" t="s">
        <v>3042</v>
      </c>
      <c r="C1086" s="26" t="s">
        <v>37</v>
      </c>
      <c r="D1086" s="14"/>
      <c r="E1086" s="15">
        <f>+SUM!H1085</f>
        <v>0</v>
      </c>
      <c r="F1086" s="16">
        <f t="shared" si="66"/>
        <v>0</v>
      </c>
      <c r="G1086">
        <f t="shared" si="67"/>
        <v>0</v>
      </c>
    </row>
    <row r="1087" spans="1:7" hidden="1" x14ac:dyDescent="0.25">
      <c r="A1087" s="43" t="s">
        <v>2976</v>
      </c>
      <c r="B1087" s="81" t="s">
        <v>3044</v>
      </c>
      <c r="C1087" s="26" t="s">
        <v>37</v>
      </c>
      <c r="D1087" s="14"/>
      <c r="E1087" s="15">
        <f>+SUM!H1086</f>
        <v>0</v>
      </c>
      <c r="F1087" s="16">
        <f t="shared" si="66"/>
        <v>0</v>
      </c>
      <c r="G1087">
        <f t="shared" si="67"/>
        <v>0</v>
      </c>
    </row>
    <row r="1088" spans="1:7" hidden="1" x14ac:dyDescent="0.25">
      <c r="A1088" s="43" t="s">
        <v>2977</v>
      </c>
      <c r="B1088" s="81" t="s">
        <v>3045</v>
      </c>
      <c r="C1088" s="26" t="s">
        <v>37</v>
      </c>
      <c r="D1088" s="14"/>
      <c r="E1088" s="15">
        <f>+SUM!H1087</f>
        <v>0</v>
      </c>
      <c r="F1088" s="16">
        <f t="shared" si="66"/>
        <v>0</v>
      </c>
      <c r="G1088">
        <f t="shared" si="67"/>
        <v>0</v>
      </c>
    </row>
    <row r="1089" spans="1:7" hidden="1" x14ac:dyDescent="0.25">
      <c r="A1089" s="43" t="s">
        <v>2978</v>
      </c>
      <c r="B1089" s="81" t="s">
        <v>3046</v>
      </c>
      <c r="C1089" s="26" t="s">
        <v>37</v>
      </c>
      <c r="D1089" s="14"/>
      <c r="E1089" s="15">
        <f>+SUM!H1088</f>
        <v>0</v>
      </c>
      <c r="F1089" s="16">
        <f t="shared" si="66"/>
        <v>0</v>
      </c>
      <c r="G1089">
        <f t="shared" si="67"/>
        <v>0</v>
      </c>
    </row>
    <row r="1090" spans="1:7" hidden="1" x14ac:dyDescent="0.25">
      <c r="A1090" s="43" t="s">
        <v>2979</v>
      </c>
      <c r="B1090" s="81" t="s">
        <v>3047</v>
      </c>
      <c r="C1090" s="26" t="s">
        <v>37</v>
      </c>
      <c r="D1090" s="14"/>
      <c r="E1090" s="15">
        <f>+SUM!H1089</f>
        <v>0</v>
      </c>
      <c r="F1090" s="16">
        <f t="shared" si="66"/>
        <v>0</v>
      </c>
      <c r="G1090">
        <f t="shared" si="67"/>
        <v>0</v>
      </c>
    </row>
    <row r="1091" spans="1:7" hidden="1" x14ac:dyDescent="0.25">
      <c r="A1091" s="43" t="s">
        <v>2980</v>
      </c>
      <c r="B1091" s="81" t="s">
        <v>3043</v>
      </c>
      <c r="C1091" s="26" t="s">
        <v>37</v>
      </c>
      <c r="D1091" s="14"/>
      <c r="E1091" s="15">
        <f>+SUM!H1090</f>
        <v>0</v>
      </c>
      <c r="F1091" s="16">
        <f t="shared" si="66"/>
        <v>0</v>
      </c>
      <c r="G1091">
        <f t="shared" si="67"/>
        <v>0</v>
      </c>
    </row>
    <row r="1092" spans="1:7" hidden="1" x14ac:dyDescent="0.25">
      <c r="A1092" s="43" t="s">
        <v>2981</v>
      </c>
      <c r="B1092" s="81" t="s">
        <v>2986</v>
      </c>
      <c r="C1092" s="26" t="s">
        <v>37</v>
      </c>
      <c r="D1092" s="14"/>
      <c r="E1092" s="15">
        <f>+SUM!H1091</f>
        <v>0</v>
      </c>
      <c r="F1092" s="16">
        <f t="shared" si="66"/>
        <v>0</v>
      </c>
      <c r="G1092">
        <f t="shared" si="67"/>
        <v>0</v>
      </c>
    </row>
    <row r="1093" spans="1:7" hidden="1" x14ac:dyDescent="0.25">
      <c r="A1093" s="44" t="s">
        <v>2983</v>
      </c>
      <c r="B1093" s="80" t="s">
        <v>2984</v>
      </c>
      <c r="C1093" s="26"/>
      <c r="D1093" s="14"/>
      <c r="E1093" s="15">
        <f>+SUM!H1092</f>
        <v>0</v>
      </c>
      <c r="F1093" s="16"/>
      <c r="G1093">
        <f t="shared" si="67"/>
        <v>0</v>
      </c>
    </row>
    <row r="1094" spans="1:7" hidden="1" x14ac:dyDescent="0.25">
      <c r="A1094" s="43" t="s">
        <v>2982</v>
      </c>
      <c r="B1094" s="81" t="s">
        <v>2985</v>
      </c>
      <c r="C1094" s="26" t="s">
        <v>37</v>
      </c>
      <c r="D1094" s="14"/>
      <c r="E1094" s="15">
        <f>+SUM!H1093</f>
        <v>208916</v>
      </c>
      <c r="F1094" s="16">
        <f t="shared" ref="F1094:F1156" si="68">+D1094*E1094</f>
        <v>0</v>
      </c>
      <c r="G1094">
        <f t="shared" si="67"/>
        <v>0</v>
      </c>
    </row>
    <row r="1095" spans="1:7" hidden="1" x14ac:dyDescent="0.25">
      <c r="A1095" s="43" t="s">
        <v>3084</v>
      </c>
      <c r="B1095" s="81" t="s">
        <v>3048</v>
      </c>
      <c r="C1095" s="26" t="s">
        <v>37</v>
      </c>
      <c r="D1095" s="14"/>
      <c r="E1095" s="15">
        <f>+SUM!H1094</f>
        <v>284511</v>
      </c>
      <c r="F1095" s="16">
        <f t="shared" si="68"/>
        <v>0</v>
      </c>
      <c r="G1095">
        <f t="shared" si="67"/>
        <v>0</v>
      </c>
    </row>
    <row r="1096" spans="1:7" hidden="1" x14ac:dyDescent="0.25">
      <c r="A1096" s="43" t="s">
        <v>3085</v>
      </c>
      <c r="B1096" s="81" t="s">
        <v>3049</v>
      </c>
      <c r="C1096" s="26" t="s">
        <v>37</v>
      </c>
      <c r="D1096" s="14"/>
      <c r="E1096" s="15">
        <f>+SUM!H1095</f>
        <v>350485</v>
      </c>
      <c r="F1096" s="16">
        <f t="shared" si="68"/>
        <v>0</v>
      </c>
      <c r="G1096">
        <f t="shared" si="67"/>
        <v>0</v>
      </c>
    </row>
    <row r="1097" spans="1:7" hidden="1" x14ac:dyDescent="0.25">
      <c r="A1097" s="43" t="s">
        <v>3086</v>
      </c>
      <c r="B1097" s="81" t="s">
        <v>3050</v>
      </c>
      <c r="C1097" s="26" t="s">
        <v>37</v>
      </c>
      <c r="D1097" s="14"/>
      <c r="E1097" s="15">
        <f>+SUM!H1096</f>
        <v>471436</v>
      </c>
      <c r="F1097" s="16">
        <f t="shared" si="68"/>
        <v>0</v>
      </c>
      <c r="G1097">
        <f t="shared" si="67"/>
        <v>0</v>
      </c>
    </row>
    <row r="1098" spans="1:7" hidden="1" x14ac:dyDescent="0.25">
      <c r="A1098" s="43" t="s">
        <v>3087</v>
      </c>
      <c r="B1098" s="81" t="s">
        <v>3051</v>
      </c>
      <c r="C1098" s="26" t="s">
        <v>37</v>
      </c>
      <c r="D1098" s="14"/>
      <c r="E1098" s="15">
        <f>+SUM!H1097</f>
        <v>591014</v>
      </c>
      <c r="F1098" s="16">
        <f t="shared" si="68"/>
        <v>0</v>
      </c>
      <c r="G1098">
        <f t="shared" si="67"/>
        <v>0</v>
      </c>
    </row>
    <row r="1099" spans="1:7" hidden="1" x14ac:dyDescent="0.25">
      <c r="A1099" s="43" t="s">
        <v>3088</v>
      </c>
      <c r="B1099" s="81" t="s">
        <v>3052</v>
      </c>
      <c r="C1099" s="26" t="s">
        <v>37</v>
      </c>
      <c r="D1099" s="14"/>
      <c r="E1099" s="15">
        <f>+SUM!H1098</f>
        <v>591014</v>
      </c>
      <c r="F1099" s="16">
        <f t="shared" si="68"/>
        <v>0</v>
      </c>
      <c r="G1099">
        <f t="shared" si="67"/>
        <v>0</v>
      </c>
    </row>
    <row r="1100" spans="1:7" hidden="1" x14ac:dyDescent="0.25">
      <c r="A1100" s="43" t="s">
        <v>3089</v>
      </c>
      <c r="B1100" s="81" t="s">
        <v>3053</v>
      </c>
      <c r="C1100" s="26" t="s">
        <v>37</v>
      </c>
      <c r="D1100" s="14"/>
      <c r="E1100" s="15">
        <f>+SUM!H1099</f>
        <v>711965</v>
      </c>
      <c r="F1100" s="16">
        <f t="shared" si="68"/>
        <v>0</v>
      </c>
      <c r="G1100">
        <f t="shared" si="67"/>
        <v>0</v>
      </c>
    </row>
    <row r="1101" spans="1:7" hidden="1" x14ac:dyDescent="0.25">
      <c r="A1101" s="43" t="s">
        <v>3090</v>
      </c>
      <c r="B1101" s="81" t="s">
        <v>3054</v>
      </c>
      <c r="C1101" s="26" t="s">
        <v>37</v>
      </c>
      <c r="D1101" s="14"/>
      <c r="E1101" s="15">
        <f>+SUM!H1100</f>
        <v>754573</v>
      </c>
      <c r="F1101" s="16">
        <f t="shared" si="68"/>
        <v>0</v>
      </c>
      <c r="G1101">
        <f t="shared" si="67"/>
        <v>0</v>
      </c>
    </row>
    <row r="1102" spans="1:7" hidden="1" x14ac:dyDescent="0.25">
      <c r="A1102" s="43" t="s">
        <v>3091</v>
      </c>
      <c r="B1102" s="81" t="s">
        <v>3055</v>
      </c>
      <c r="C1102" s="26" t="s">
        <v>37</v>
      </c>
      <c r="D1102" s="14"/>
      <c r="E1102" s="15">
        <f>+SUM!H1101</f>
        <v>831542</v>
      </c>
      <c r="F1102" s="16">
        <f t="shared" si="68"/>
        <v>0</v>
      </c>
      <c r="G1102">
        <f t="shared" si="67"/>
        <v>0</v>
      </c>
    </row>
    <row r="1103" spans="1:7" hidden="1" x14ac:dyDescent="0.25">
      <c r="A1103" s="43" t="s">
        <v>3092</v>
      </c>
      <c r="B1103" s="81" t="s">
        <v>3056</v>
      </c>
      <c r="C1103" s="26" t="s">
        <v>37</v>
      </c>
      <c r="D1103" s="14"/>
      <c r="E1103" s="15">
        <f>+SUM!H1102</f>
        <v>853533</v>
      </c>
      <c r="F1103" s="16">
        <f t="shared" si="68"/>
        <v>0</v>
      </c>
      <c r="G1103">
        <f t="shared" si="67"/>
        <v>0</v>
      </c>
    </row>
    <row r="1104" spans="1:7" hidden="1" x14ac:dyDescent="0.25">
      <c r="A1104" s="43" t="s">
        <v>3093</v>
      </c>
      <c r="B1104" s="81" t="s">
        <v>3057</v>
      </c>
      <c r="C1104" s="26" t="s">
        <v>37</v>
      </c>
      <c r="D1104" s="14"/>
      <c r="E1104" s="15">
        <f>+SUM!H1103</f>
        <v>1094062</v>
      </c>
      <c r="F1104" s="16">
        <f t="shared" si="68"/>
        <v>0</v>
      </c>
      <c r="G1104">
        <f t="shared" si="67"/>
        <v>0</v>
      </c>
    </row>
    <row r="1105" spans="1:7" hidden="1" x14ac:dyDescent="0.25">
      <c r="A1105" s="43" t="s">
        <v>3094</v>
      </c>
      <c r="B1105" s="81" t="s">
        <v>3058</v>
      </c>
      <c r="C1105" s="26" t="s">
        <v>37</v>
      </c>
      <c r="D1105" s="14"/>
      <c r="E1105" s="15">
        <f>+SUM!H1104</f>
        <v>1182027</v>
      </c>
      <c r="F1105" s="16">
        <f t="shared" si="68"/>
        <v>0</v>
      </c>
      <c r="G1105">
        <f t="shared" si="67"/>
        <v>0</v>
      </c>
    </row>
    <row r="1106" spans="1:7" hidden="1" x14ac:dyDescent="0.25">
      <c r="A1106" s="43" t="s">
        <v>3095</v>
      </c>
      <c r="B1106" s="81" t="s">
        <v>3059</v>
      </c>
      <c r="C1106" s="26" t="s">
        <v>37</v>
      </c>
      <c r="D1106" s="14"/>
      <c r="E1106" s="15">
        <f>+SUM!H1105</f>
        <v>1268617</v>
      </c>
      <c r="F1106" s="16">
        <f t="shared" si="68"/>
        <v>0</v>
      </c>
      <c r="G1106">
        <f t="shared" si="67"/>
        <v>0</v>
      </c>
    </row>
    <row r="1107" spans="1:7" hidden="1" x14ac:dyDescent="0.25">
      <c r="A1107" s="43" t="s">
        <v>3096</v>
      </c>
      <c r="B1107" s="81" t="s">
        <v>3060</v>
      </c>
      <c r="C1107" s="26" t="s">
        <v>37</v>
      </c>
      <c r="D1107" s="14"/>
      <c r="E1107" s="15">
        <f>+SUM!H1106</f>
        <v>1400565</v>
      </c>
      <c r="F1107" s="16">
        <f t="shared" si="68"/>
        <v>0</v>
      </c>
      <c r="G1107">
        <f t="shared" si="67"/>
        <v>0</v>
      </c>
    </row>
    <row r="1108" spans="1:7" hidden="1" x14ac:dyDescent="0.25">
      <c r="A1108" s="43" t="s">
        <v>3097</v>
      </c>
      <c r="B1108" s="81" t="s">
        <v>3061</v>
      </c>
      <c r="C1108" s="26" t="s">
        <v>37</v>
      </c>
      <c r="D1108" s="14"/>
      <c r="E1108" s="15">
        <f>+SUM!H1107</f>
        <v>1400565</v>
      </c>
      <c r="F1108" s="16">
        <f t="shared" si="68"/>
        <v>0</v>
      </c>
      <c r="G1108">
        <f t="shared" si="67"/>
        <v>0</v>
      </c>
    </row>
    <row r="1109" spans="1:7" hidden="1" x14ac:dyDescent="0.25">
      <c r="A1109" s="43" t="s">
        <v>3098</v>
      </c>
      <c r="B1109" s="81" t="s">
        <v>3062</v>
      </c>
      <c r="C1109" s="26" t="s">
        <v>37</v>
      </c>
      <c r="D1109" s="14"/>
      <c r="E1109" s="15">
        <f>+SUM!H1108</f>
        <v>1770292</v>
      </c>
      <c r="F1109" s="16">
        <f t="shared" si="68"/>
        <v>0</v>
      </c>
      <c r="G1109">
        <f t="shared" si="67"/>
        <v>0</v>
      </c>
    </row>
    <row r="1110" spans="1:7" hidden="1" x14ac:dyDescent="0.25">
      <c r="A1110" s="43" t="s">
        <v>3099</v>
      </c>
      <c r="B1110" s="81" t="s">
        <v>3063</v>
      </c>
      <c r="C1110" s="26" t="s">
        <v>37</v>
      </c>
      <c r="D1110" s="14"/>
      <c r="E1110" s="15">
        <f>+SUM!H1109</f>
        <v>1891243</v>
      </c>
      <c r="F1110" s="16">
        <f t="shared" si="68"/>
        <v>0</v>
      </c>
      <c r="G1110">
        <f t="shared" si="67"/>
        <v>0</v>
      </c>
    </row>
    <row r="1111" spans="1:7" hidden="1" x14ac:dyDescent="0.25">
      <c r="A1111" s="43" t="s">
        <v>3100</v>
      </c>
      <c r="B1111" s="81" t="s">
        <v>3064</v>
      </c>
      <c r="C1111" s="26" t="s">
        <v>37</v>
      </c>
      <c r="D1111" s="14"/>
      <c r="E1111" s="15">
        <f>+SUM!H1110</f>
        <v>2351684</v>
      </c>
      <c r="F1111" s="16">
        <f t="shared" si="68"/>
        <v>0</v>
      </c>
      <c r="G1111">
        <f t="shared" si="67"/>
        <v>0</v>
      </c>
    </row>
    <row r="1112" spans="1:7" hidden="1" x14ac:dyDescent="0.25">
      <c r="A1112" s="43" t="s">
        <v>3101</v>
      </c>
      <c r="B1112" s="81" t="s">
        <v>3065</v>
      </c>
      <c r="C1112" s="26" t="s">
        <v>37</v>
      </c>
      <c r="D1112" s="14"/>
      <c r="E1112" s="15">
        <f>+SUM!H1111</f>
        <v>2351684</v>
      </c>
      <c r="F1112" s="16">
        <f t="shared" si="68"/>
        <v>0</v>
      </c>
      <c r="G1112">
        <f t="shared" si="67"/>
        <v>0</v>
      </c>
    </row>
    <row r="1113" spans="1:7" hidden="1" x14ac:dyDescent="0.25">
      <c r="A1113" s="43" t="s">
        <v>3102</v>
      </c>
      <c r="B1113" s="81" t="s">
        <v>3066</v>
      </c>
      <c r="C1113" s="26" t="s">
        <v>37</v>
      </c>
      <c r="D1113" s="14"/>
      <c r="E1113" s="15">
        <f>+SUM!H1112</f>
        <v>2351684</v>
      </c>
      <c r="F1113" s="16">
        <f t="shared" si="68"/>
        <v>0</v>
      </c>
      <c r="G1113">
        <f t="shared" si="67"/>
        <v>0</v>
      </c>
    </row>
    <row r="1114" spans="1:7" hidden="1" x14ac:dyDescent="0.25">
      <c r="A1114" s="43" t="s">
        <v>3103</v>
      </c>
      <c r="B1114" s="81" t="s">
        <v>3067</v>
      </c>
      <c r="C1114" s="26" t="s">
        <v>37</v>
      </c>
      <c r="D1114" s="14"/>
      <c r="E1114" s="15">
        <f>+SUM!H1113</f>
        <v>2401164</v>
      </c>
      <c r="F1114" s="16">
        <f t="shared" si="68"/>
        <v>0</v>
      </c>
      <c r="G1114">
        <f t="shared" si="67"/>
        <v>0</v>
      </c>
    </row>
    <row r="1115" spans="1:7" hidden="1" x14ac:dyDescent="0.25">
      <c r="A1115" s="43" t="s">
        <v>3104</v>
      </c>
      <c r="B1115" s="81" t="s">
        <v>3068</v>
      </c>
      <c r="C1115" s="26" t="s">
        <v>37</v>
      </c>
      <c r="D1115" s="14"/>
      <c r="E1115" s="15">
        <f>+SUM!H1114</f>
        <v>2812125</v>
      </c>
      <c r="F1115" s="16">
        <f t="shared" si="68"/>
        <v>0</v>
      </c>
      <c r="G1115">
        <f t="shared" si="67"/>
        <v>0</v>
      </c>
    </row>
    <row r="1116" spans="1:7" hidden="1" x14ac:dyDescent="0.25">
      <c r="A1116" s="43" t="s">
        <v>3105</v>
      </c>
      <c r="B1116" s="81" t="s">
        <v>3069</v>
      </c>
      <c r="C1116" s="26" t="s">
        <v>37</v>
      </c>
      <c r="D1116" s="14"/>
      <c r="E1116" s="15">
        <f>+SUM!H1115</f>
        <v>3043032</v>
      </c>
      <c r="F1116" s="16">
        <f t="shared" si="68"/>
        <v>0</v>
      </c>
      <c r="G1116">
        <f t="shared" si="67"/>
        <v>0</v>
      </c>
    </row>
    <row r="1117" spans="1:7" hidden="1" x14ac:dyDescent="0.25">
      <c r="A1117" s="43" t="s">
        <v>3106</v>
      </c>
      <c r="B1117" s="81" t="s">
        <v>3070</v>
      </c>
      <c r="C1117" s="26" t="s">
        <v>37</v>
      </c>
      <c r="D1117" s="14"/>
      <c r="E1117" s="15">
        <f>+SUM!H1116</f>
        <v>2897341</v>
      </c>
      <c r="F1117" s="16">
        <f t="shared" si="68"/>
        <v>0</v>
      </c>
      <c r="G1117">
        <f t="shared" si="67"/>
        <v>0</v>
      </c>
    </row>
    <row r="1118" spans="1:7" hidden="1" x14ac:dyDescent="0.25">
      <c r="A1118" s="43" t="s">
        <v>3107</v>
      </c>
      <c r="B1118" s="81" t="s">
        <v>3071</v>
      </c>
      <c r="C1118" s="26" t="s">
        <v>37</v>
      </c>
      <c r="D1118" s="14"/>
      <c r="E1118" s="15">
        <f>+SUM!H1117</f>
        <v>3757746</v>
      </c>
      <c r="F1118" s="16">
        <f t="shared" si="68"/>
        <v>0</v>
      </c>
      <c r="G1118">
        <f t="shared" si="67"/>
        <v>0</v>
      </c>
    </row>
    <row r="1119" spans="1:7" hidden="1" x14ac:dyDescent="0.25">
      <c r="A1119" s="43" t="s">
        <v>3108</v>
      </c>
      <c r="B1119" s="81" t="s">
        <v>3072</v>
      </c>
      <c r="C1119" s="26" t="s">
        <v>37</v>
      </c>
      <c r="D1119" s="14"/>
      <c r="E1119" s="15">
        <f>+SUM!H1118</f>
        <v>3115878</v>
      </c>
      <c r="F1119" s="16">
        <f t="shared" si="68"/>
        <v>0</v>
      </c>
      <c r="G1119">
        <f t="shared" si="67"/>
        <v>0</v>
      </c>
    </row>
    <row r="1120" spans="1:7" hidden="1" x14ac:dyDescent="0.25">
      <c r="A1120" s="43" t="s">
        <v>3109</v>
      </c>
      <c r="B1120" s="81" t="s">
        <v>3073</v>
      </c>
      <c r="C1120" s="26" t="s">
        <v>37</v>
      </c>
      <c r="D1120" s="14"/>
      <c r="E1120" s="15">
        <f>+SUM!H1119</f>
        <v>3198345</v>
      </c>
      <c r="F1120" s="16">
        <f t="shared" si="68"/>
        <v>0</v>
      </c>
      <c r="G1120">
        <f t="shared" si="67"/>
        <v>0</v>
      </c>
    </row>
    <row r="1121" spans="1:7" hidden="1" x14ac:dyDescent="0.25">
      <c r="A1121" s="43" t="s">
        <v>3110</v>
      </c>
      <c r="B1121" s="81" t="s">
        <v>3074</v>
      </c>
      <c r="C1121" s="26" t="s">
        <v>37</v>
      </c>
      <c r="D1121" s="14"/>
      <c r="E1121" s="15">
        <f>+SUM!H1120</f>
        <v>3855332</v>
      </c>
      <c r="F1121" s="16">
        <f t="shared" si="68"/>
        <v>0</v>
      </c>
      <c r="G1121">
        <f t="shared" si="67"/>
        <v>0</v>
      </c>
    </row>
    <row r="1122" spans="1:7" hidden="1" x14ac:dyDescent="0.25">
      <c r="A1122" s="43" t="s">
        <v>3111</v>
      </c>
      <c r="B1122" s="81" t="s">
        <v>3075</v>
      </c>
      <c r="C1122" s="26" t="s">
        <v>37</v>
      </c>
      <c r="D1122" s="14"/>
      <c r="E1122" s="15">
        <f>+SUM!H1121</f>
        <v>3928178</v>
      </c>
      <c r="F1122" s="16">
        <f t="shared" si="68"/>
        <v>0</v>
      </c>
      <c r="G1122">
        <f t="shared" si="67"/>
        <v>0</v>
      </c>
    </row>
    <row r="1123" spans="1:7" hidden="1" x14ac:dyDescent="0.25">
      <c r="A1123" s="43" t="s">
        <v>3112</v>
      </c>
      <c r="B1123" s="81" t="s">
        <v>3076</v>
      </c>
      <c r="C1123" s="26" t="s">
        <v>37</v>
      </c>
      <c r="D1123" s="14"/>
      <c r="E1123" s="15">
        <f>+SUM!H1122</f>
        <v>3500724</v>
      </c>
      <c r="F1123" s="16">
        <f t="shared" si="68"/>
        <v>0</v>
      </c>
      <c r="G1123">
        <f t="shared" si="67"/>
        <v>0</v>
      </c>
    </row>
    <row r="1124" spans="1:7" hidden="1" x14ac:dyDescent="0.25">
      <c r="A1124" s="43" t="s">
        <v>3113</v>
      </c>
      <c r="B1124" s="81" t="s">
        <v>3077</v>
      </c>
      <c r="C1124" s="26" t="s">
        <v>37</v>
      </c>
      <c r="D1124" s="14"/>
      <c r="E1124" s="15">
        <f>+SUM!H1123</f>
        <v>4170081</v>
      </c>
      <c r="F1124" s="16">
        <f t="shared" si="68"/>
        <v>0</v>
      </c>
      <c r="G1124">
        <f t="shared" ref="G1124:G1187" si="69">+IF(F1124&lt;&gt;0,1,0)</f>
        <v>0</v>
      </c>
    </row>
    <row r="1125" spans="1:7" hidden="1" x14ac:dyDescent="0.25">
      <c r="A1125" s="43" t="s">
        <v>3114</v>
      </c>
      <c r="B1125" s="81" t="s">
        <v>3078</v>
      </c>
      <c r="C1125" s="26" t="s">
        <v>37</v>
      </c>
      <c r="D1125" s="14"/>
      <c r="E1125" s="15">
        <f>+SUM!H1124</f>
        <v>4315773</v>
      </c>
      <c r="F1125" s="16">
        <f t="shared" si="68"/>
        <v>0</v>
      </c>
      <c r="G1125">
        <f t="shared" si="69"/>
        <v>0</v>
      </c>
    </row>
    <row r="1126" spans="1:7" hidden="1" x14ac:dyDescent="0.25">
      <c r="A1126" s="43" t="s">
        <v>3115</v>
      </c>
      <c r="B1126" s="81" t="s">
        <v>3079</v>
      </c>
      <c r="C1126" s="26" t="s">
        <v>37</v>
      </c>
      <c r="D1126" s="14"/>
      <c r="E1126" s="15">
        <f>+SUM!H1125</f>
        <v>3951544</v>
      </c>
      <c r="F1126" s="16">
        <f t="shared" si="68"/>
        <v>0</v>
      </c>
      <c r="G1126">
        <f t="shared" si="69"/>
        <v>0</v>
      </c>
    </row>
    <row r="1127" spans="1:7" hidden="1" x14ac:dyDescent="0.25">
      <c r="A1127" s="43" t="s">
        <v>3116</v>
      </c>
      <c r="B1127" s="81" t="s">
        <v>3080</v>
      </c>
      <c r="C1127" s="26" t="s">
        <v>37</v>
      </c>
      <c r="D1127" s="14"/>
      <c r="E1127" s="15">
        <f>+SUM!H1126</f>
        <v>4208566</v>
      </c>
      <c r="F1127" s="16">
        <f t="shared" si="68"/>
        <v>0</v>
      </c>
      <c r="G1127">
        <f t="shared" si="69"/>
        <v>0</v>
      </c>
    </row>
    <row r="1128" spans="1:7" hidden="1" x14ac:dyDescent="0.25">
      <c r="A1128" s="43" t="s">
        <v>3117</v>
      </c>
      <c r="B1128" s="81" t="s">
        <v>3081</v>
      </c>
      <c r="C1128" s="26" t="s">
        <v>37</v>
      </c>
      <c r="D1128" s="14"/>
      <c r="E1128" s="15">
        <f>+SUM!H1127</f>
        <v>4266293</v>
      </c>
      <c r="F1128" s="16">
        <f t="shared" si="68"/>
        <v>0</v>
      </c>
      <c r="G1128">
        <f t="shared" si="69"/>
        <v>0</v>
      </c>
    </row>
    <row r="1129" spans="1:7" hidden="1" x14ac:dyDescent="0.25">
      <c r="A1129" s="43" t="s">
        <v>3118</v>
      </c>
      <c r="B1129" s="81" t="s">
        <v>3082</v>
      </c>
      <c r="C1129" s="26" t="s">
        <v>37</v>
      </c>
      <c r="D1129" s="14"/>
      <c r="E1129" s="15">
        <f>+SUM!H1128</f>
        <v>4605782</v>
      </c>
      <c r="F1129" s="16">
        <f t="shared" si="68"/>
        <v>0</v>
      </c>
      <c r="G1129">
        <f t="shared" si="69"/>
        <v>0</v>
      </c>
    </row>
    <row r="1130" spans="1:7" hidden="1" x14ac:dyDescent="0.25">
      <c r="A1130" s="43" t="s">
        <v>3119</v>
      </c>
      <c r="B1130" s="81" t="s">
        <v>3083</v>
      </c>
      <c r="C1130" s="26" t="s">
        <v>37</v>
      </c>
      <c r="D1130" s="14"/>
      <c r="E1130" s="15">
        <f>+SUM!H1129</f>
        <v>4582416</v>
      </c>
      <c r="F1130" s="16">
        <f t="shared" si="68"/>
        <v>0</v>
      </c>
      <c r="G1130">
        <f t="shared" si="69"/>
        <v>0</v>
      </c>
    </row>
    <row r="1131" spans="1:7" hidden="1" x14ac:dyDescent="0.25">
      <c r="A1131" s="43" t="s">
        <v>3120</v>
      </c>
      <c r="B1131" s="81" t="s">
        <v>3148</v>
      </c>
      <c r="C1131" s="26" t="s">
        <v>37</v>
      </c>
      <c r="D1131" s="14"/>
      <c r="E1131" s="15">
        <f>+SUM!H1130</f>
        <v>4582416</v>
      </c>
      <c r="F1131" s="16">
        <f t="shared" si="68"/>
        <v>0</v>
      </c>
      <c r="G1131">
        <f t="shared" si="69"/>
        <v>0</v>
      </c>
    </row>
    <row r="1132" spans="1:7" hidden="1" x14ac:dyDescent="0.25">
      <c r="A1132" s="43" t="s">
        <v>3121</v>
      </c>
      <c r="B1132" s="81" t="s">
        <v>3149</v>
      </c>
      <c r="C1132" s="26" t="s">
        <v>37</v>
      </c>
      <c r="D1132" s="14"/>
      <c r="E1132" s="15">
        <f>+SUM!H1131</f>
        <v>5018117</v>
      </c>
      <c r="F1132" s="16">
        <f t="shared" si="68"/>
        <v>0</v>
      </c>
      <c r="G1132">
        <f t="shared" si="69"/>
        <v>0</v>
      </c>
    </row>
    <row r="1133" spans="1:7" hidden="1" x14ac:dyDescent="0.25">
      <c r="A1133" s="43" t="s">
        <v>3122</v>
      </c>
      <c r="B1133" s="81" t="s">
        <v>3150</v>
      </c>
      <c r="C1133" s="26" t="s">
        <v>37</v>
      </c>
      <c r="D1133" s="14"/>
      <c r="E1133" s="15">
        <f>+SUM!H1132</f>
        <v>4618152</v>
      </c>
      <c r="F1133" s="16">
        <f t="shared" si="68"/>
        <v>0</v>
      </c>
      <c r="G1133">
        <f t="shared" si="69"/>
        <v>0</v>
      </c>
    </row>
    <row r="1134" spans="1:7" hidden="1" x14ac:dyDescent="0.25">
      <c r="A1134" s="43" t="s">
        <v>3123</v>
      </c>
      <c r="B1134" s="81" t="s">
        <v>3151</v>
      </c>
      <c r="C1134" s="26" t="s">
        <v>37</v>
      </c>
      <c r="D1134" s="14"/>
      <c r="E1134" s="15">
        <f>+SUM!H1133</f>
        <v>5455192</v>
      </c>
      <c r="F1134" s="16">
        <f t="shared" si="68"/>
        <v>0</v>
      </c>
      <c r="G1134">
        <f t="shared" si="69"/>
        <v>0</v>
      </c>
    </row>
    <row r="1135" spans="1:7" hidden="1" x14ac:dyDescent="0.25">
      <c r="A1135" s="43" t="s">
        <v>3124</v>
      </c>
      <c r="B1135" s="81" t="s">
        <v>3152</v>
      </c>
      <c r="C1135" s="26" t="s">
        <v>37</v>
      </c>
      <c r="D1135" s="14"/>
      <c r="E1135" s="15">
        <f>+SUM!H1134</f>
        <v>6246875</v>
      </c>
      <c r="F1135" s="16">
        <f t="shared" si="68"/>
        <v>0</v>
      </c>
      <c r="G1135">
        <f t="shared" si="69"/>
        <v>0</v>
      </c>
    </row>
    <row r="1136" spans="1:7" hidden="1" x14ac:dyDescent="0.25">
      <c r="A1136" s="43" t="s">
        <v>3125</v>
      </c>
      <c r="B1136" s="81" t="s">
        <v>3153</v>
      </c>
      <c r="C1136" s="26" t="s">
        <v>37</v>
      </c>
      <c r="D1136" s="14"/>
      <c r="E1136" s="15">
        <f>+SUM!H1135</f>
        <v>6538259</v>
      </c>
      <c r="F1136" s="16">
        <f t="shared" si="68"/>
        <v>0</v>
      </c>
      <c r="G1136">
        <f t="shared" si="69"/>
        <v>0</v>
      </c>
    </row>
    <row r="1137" spans="1:7" hidden="1" x14ac:dyDescent="0.25">
      <c r="A1137" s="43" t="s">
        <v>3126</v>
      </c>
      <c r="B1137" s="81" t="s">
        <v>3167</v>
      </c>
      <c r="C1137" s="26" t="s">
        <v>37</v>
      </c>
      <c r="D1137" s="14"/>
      <c r="E1137" s="15">
        <f>+SUM!H1136</f>
        <v>6910735</v>
      </c>
      <c r="F1137" s="16">
        <f t="shared" si="68"/>
        <v>0</v>
      </c>
      <c r="G1137">
        <f t="shared" si="69"/>
        <v>0</v>
      </c>
    </row>
    <row r="1138" spans="1:7" hidden="1" x14ac:dyDescent="0.25">
      <c r="A1138" s="43" t="s">
        <v>3127</v>
      </c>
      <c r="B1138" s="81" t="s">
        <v>3168</v>
      </c>
      <c r="C1138" s="26" t="s">
        <v>37</v>
      </c>
      <c r="D1138" s="14"/>
      <c r="E1138" s="15">
        <f>+SUM!H1137</f>
        <v>7154012</v>
      </c>
      <c r="F1138" s="16">
        <f t="shared" si="68"/>
        <v>0</v>
      </c>
      <c r="G1138">
        <f t="shared" si="69"/>
        <v>0</v>
      </c>
    </row>
    <row r="1139" spans="1:7" hidden="1" x14ac:dyDescent="0.25">
      <c r="A1139" s="43" t="s">
        <v>3128</v>
      </c>
      <c r="B1139" s="81" t="s">
        <v>3169</v>
      </c>
      <c r="C1139" s="26" t="s">
        <v>37</v>
      </c>
      <c r="D1139" s="14"/>
      <c r="E1139" s="15">
        <f>+SUM!H1138</f>
        <v>7251598</v>
      </c>
      <c r="F1139" s="16">
        <f t="shared" si="68"/>
        <v>0</v>
      </c>
      <c r="G1139">
        <f t="shared" si="69"/>
        <v>0</v>
      </c>
    </row>
    <row r="1140" spans="1:7" hidden="1" x14ac:dyDescent="0.25">
      <c r="A1140" s="43" t="s">
        <v>3129</v>
      </c>
      <c r="B1140" s="81" t="s">
        <v>3170</v>
      </c>
      <c r="C1140" s="26" t="s">
        <v>37</v>
      </c>
      <c r="D1140" s="14"/>
      <c r="E1140" s="15">
        <f>+SUM!H1139</f>
        <v>8099634</v>
      </c>
      <c r="F1140" s="16">
        <f t="shared" si="68"/>
        <v>0</v>
      </c>
      <c r="G1140">
        <f t="shared" si="69"/>
        <v>0</v>
      </c>
    </row>
    <row r="1141" spans="1:7" hidden="1" x14ac:dyDescent="0.25">
      <c r="A1141" s="43" t="s">
        <v>3130</v>
      </c>
      <c r="B1141" s="81" t="s">
        <v>3171</v>
      </c>
      <c r="C1141" s="26" t="s">
        <v>37</v>
      </c>
      <c r="D1141" s="14"/>
      <c r="E1141" s="15">
        <f>+SUM!H1140</f>
        <v>8533960</v>
      </c>
      <c r="F1141" s="16">
        <f t="shared" si="68"/>
        <v>0</v>
      </c>
      <c r="G1141">
        <f t="shared" si="69"/>
        <v>0</v>
      </c>
    </row>
    <row r="1142" spans="1:7" hidden="1" x14ac:dyDescent="0.25">
      <c r="A1142" s="43" t="s">
        <v>3131</v>
      </c>
      <c r="B1142" s="81" t="s">
        <v>3160</v>
      </c>
      <c r="C1142" s="26" t="s">
        <v>37</v>
      </c>
      <c r="D1142" s="14"/>
      <c r="E1142" s="15">
        <f>+SUM!H1141</f>
        <v>7312074</v>
      </c>
      <c r="F1142" s="16">
        <f t="shared" si="68"/>
        <v>0</v>
      </c>
      <c r="G1142">
        <f t="shared" si="69"/>
        <v>0</v>
      </c>
    </row>
    <row r="1143" spans="1:7" hidden="1" x14ac:dyDescent="0.25">
      <c r="A1143" s="43" t="s">
        <v>3132</v>
      </c>
      <c r="B1143" s="81" t="s">
        <v>3161</v>
      </c>
      <c r="C1143" s="26" t="s">
        <v>37</v>
      </c>
      <c r="D1143" s="14"/>
      <c r="E1143" s="15">
        <f>+SUM!H1142</f>
        <v>7312074</v>
      </c>
      <c r="F1143" s="16">
        <f t="shared" si="68"/>
        <v>0</v>
      </c>
      <c r="G1143">
        <f t="shared" si="69"/>
        <v>0</v>
      </c>
    </row>
    <row r="1144" spans="1:7" hidden="1" x14ac:dyDescent="0.25">
      <c r="A1144" s="43" t="s">
        <v>3133</v>
      </c>
      <c r="B1144" s="81" t="s">
        <v>3162</v>
      </c>
      <c r="C1144" s="26" t="s">
        <v>37</v>
      </c>
      <c r="D1144" s="14"/>
      <c r="E1144" s="15">
        <f>+SUM!H1143</f>
        <v>9369626</v>
      </c>
      <c r="F1144" s="16">
        <f t="shared" si="68"/>
        <v>0</v>
      </c>
      <c r="G1144">
        <f t="shared" si="69"/>
        <v>0</v>
      </c>
    </row>
    <row r="1145" spans="1:7" hidden="1" x14ac:dyDescent="0.25">
      <c r="A1145" s="43" t="s">
        <v>3134</v>
      </c>
      <c r="B1145" s="81" t="s">
        <v>3163</v>
      </c>
      <c r="C1145" s="26" t="s">
        <v>37</v>
      </c>
      <c r="D1145" s="14"/>
      <c r="E1145" s="15">
        <f>+SUM!H1144</f>
        <v>9369626</v>
      </c>
      <c r="F1145" s="16">
        <f t="shared" si="68"/>
        <v>0</v>
      </c>
      <c r="G1145">
        <f t="shared" si="69"/>
        <v>0</v>
      </c>
    </row>
    <row r="1146" spans="1:7" hidden="1" x14ac:dyDescent="0.25">
      <c r="A1146" s="43" t="s">
        <v>3135</v>
      </c>
      <c r="B1146" s="81" t="s">
        <v>3164</v>
      </c>
      <c r="C1146" s="26" t="s">
        <v>37</v>
      </c>
      <c r="D1146" s="14"/>
      <c r="E1146" s="15">
        <f>+SUM!H1145</f>
        <v>9369626</v>
      </c>
      <c r="F1146" s="16">
        <f t="shared" si="68"/>
        <v>0</v>
      </c>
      <c r="G1146">
        <f t="shared" si="69"/>
        <v>0</v>
      </c>
    </row>
    <row r="1147" spans="1:7" hidden="1" x14ac:dyDescent="0.25">
      <c r="A1147" s="43" t="s">
        <v>3136</v>
      </c>
      <c r="B1147" s="81" t="s">
        <v>3165</v>
      </c>
      <c r="C1147" s="26" t="s">
        <v>37</v>
      </c>
      <c r="D1147" s="14"/>
      <c r="E1147" s="15">
        <f>+SUM!H1146</f>
        <v>10267142</v>
      </c>
      <c r="F1147" s="16">
        <f t="shared" si="68"/>
        <v>0</v>
      </c>
      <c r="G1147">
        <f t="shared" si="69"/>
        <v>0</v>
      </c>
    </row>
    <row r="1148" spans="1:7" hidden="1" x14ac:dyDescent="0.25">
      <c r="A1148" s="43" t="s">
        <v>3137</v>
      </c>
      <c r="B1148" s="81" t="s">
        <v>3166</v>
      </c>
      <c r="C1148" s="26" t="s">
        <v>37</v>
      </c>
      <c r="D1148" s="14"/>
      <c r="E1148" s="15">
        <f>+SUM!H1147</f>
        <v>11056076</v>
      </c>
      <c r="F1148" s="16">
        <f t="shared" si="68"/>
        <v>0</v>
      </c>
      <c r="G1148">
        <f t="shared" si="69"/>
        <v>0</v>
      </c>
    </row>
    <row r="1149" spans="1:7" hidden="1" x14ac:dyDescent="0.25">
      <c r="A1149" s="43" t="s">
        <v>3138</v>
      </c>
      <c r="B1149" s="81" t="s">
        <v>3154</v>
      </c>
      <c r="C1149" s="26" t="s">
        <v>37</v>
      </c>
      <c r="D1149" s="14"/>
      <c r="E1149" s="15">
        <f>+SUM!H1148</f>
        <v>8611754</v>
      </c>
      <c r="F1149" s="16">
        <f t="shared" si="68"/>
        <v>0</v>
      </c>
      <c r="G1149">
        <f t="shared" si="69"/>
        <v>0</v>
      </c>
    </row>
    <row r="1150" spans="1:7" hidden="1" x14ac:dyDescent="0.25">
      <c r="A1150" s="43" t="s">
        <v>3139</v>
      </c>
      <c r="B1150" s="81" t="s">
        <v>3155</v>
      </c>
      <c r="C1150" s="26" t="s">
        <v>37</v>
      </c>
      <c r="D1150" s="14"/>
      <c r="E1150" s="15">
        <f>+SUM!H1149</f>
        <v>9423642</v>
      </c>
      <c r="F1150" s="16">
        <f t="shared" si="68"/>
        <v>0</v>
      </c>
      <c r="G1150">
        <f t="shared" si="69"/>
        <v>0</v>
      </c>
    </row>
    <row r="1151" spans="1:7" hidden="1" x14ac:dyDescent="0.25">
      <c r="A1151" s="43" t="s">
        <v>3140</v>
      </c>
      <c r="B1151" s="81" t="s">
        <v>3156</v>
      </c>
      <c r="C1151" s="26" t="s">
        <v>37</v>
      </c>
      <c r="D1151" s="14"/>
      <c r="E1151" s="15">
        <f>+SUM!H1150</f>
        <v>9653450</v>
      </c>
      <c r="F1151" s="16">
        <f t="shared" si="68"/>
        <v>0</v>
      </c>
      <c r="G1151">
        <f t="shared" si="69"/>
        <v>0</v>
      </c>
    </row>
    <row r="1152" spans="1:7" hidden="1" x14ac:dyDescent="0.25">
      <c r="A1152" s="43" t="s">
        <v>3141</v>
      </c>
      <c r="B1152" s="81" t="s">
        <v>3157</v>
      </c>
      <c r="C1152" s="26" t="s">
        <v>37</v>
      </c>
      <c r="D1152" s="14"/>
      <c r="E1152" s="15">
        <f>+SUM!H1151</f>
        <v>10048054</v>
      </c>
      <c r="F1152" s="16">
        <f t="shared" si="68"/>
        <v>0</v>
      </c>
      <c r="G1152">
        <f t="shared" si="69"/>
        <v>0</v>
      </c>
    </row>
    <row r="1153" spans="1:7" hidden="1" x14ac:dyDescent="0.25">
      <c r="A1153" s="43" t="s">
        <v>3142</v>
      </c>
      <c r="B1153" s="81" t="s">
        <v>3158</v>
      </c>
      <c r="C1153" s="26" t="s">
        <v>37</v>
      </c>
      <c r="D1153" s="14"/>
      <c r="E1153" s="15">
        <f>+SUM!H1152</f>
        <v>11463188</v>
      </c>
      <c r="F1153" s="16">
        <f t="shared" si="68"/>
        <v>0</v>
      </c>
      <c r="G1153">
        <f t="shared" si="69"/>
        <v>0</v>
      </c>
    </row>
    <row r="1154" spans="1:7" hidden="1" x14ac:dyDescent="0.25">
      <c r="A1154" s="43" t="s">
        <v>3143</v>
      </c>
      <c r="B1154" s="81" t="s">
        <v>3159</v>
      </c>
      <c r="C1154" s="26" t="s">
        <v>37</v>
      </c>
      <c r="D1154" s="14"/>
      <c r="E1154" s="15">
        <f>+SUM!H1153</f>
        <v>12837500</v>
      </c>
      <c r="F1154" s="16">
        <f t="shared" si="68"/>
        <v>0</v>
      </c>
      <c r="G1154">
        <f t="shared" si="69"/>
        <v>0</v>
      </c>
    </row>
    <row r="1155" spans="1:7" hidden="1" x14ac:dyDescent="0.25">
      <c r="A1155" s="43" t="s">
        <v>3144</v>
      </c>
      <c r="B1155" s="81" t="s">
        <v>3146</v>
      </c>
      <c r="C1155" s="26" t="s">
        <v>37</v>
      </c>
      <c r="D1155" s="14"/>
      <c r="E1155" s="15">
        <f>+SUM!H1154</f>
        <v>14314897</v>
      </c>
      <c r="F1155" s="16">
        <f t="shared" si="68"/>
        <v>0</v>
      </c>
      <c r="G1155">
        <f t="shared" si="69"/>
        <v>0</v>
      </c>
    </row>
    <row r="1156" spans="1:7" hidden="1" x14ac:dyDescent="0.25">
      <c r="A1156" s="43" t="s">
        <v>3145</v>
      </c>
      <c r="B1156" s="81" t="s">
        <v>3147</v>
      </c>
      <c r="C1156" s="26" t="s">
        <v>37</v>
      </c>
      <c r="D1156" s="14"/>
      <c r="E1156" s="15">
        <f>+SUM!H1155</f>
        <v>15946369</v>
      </c>
      <c r="F1156" s="16">
        <f t="shared" si="68"/>
        <v>0</v>
      </c>
      <c r="G1156">
        <f t="shared" si="69"/>
        <v>0</v>
      </c>
    </row>
    <row r="1157" spans="1:7" hidden="1" x14ac:dyDescent="0.25">
      <c r="A1157" s="44" t="s">
        <v>3172</v>
      </c>
      <c r="B1157" s="80" t="s">
        <v>974</v>
      </c>
      <c r="C1157" s="26" t="s">
        <v>37</v>
      </c>
      <c r="D1157" s="14"/>
      <c r="E1157" s="15">
        <f>+SUM!H1156</f>
        <v>0</v>
      </c>
      <c r="F1157" s="16"/>
      <c r="G1157">
        <f t="shared" si="69"/>
        <v>0</v>
      </c>
    </row>
    <row r="1158" spans="1:7" hidden="1" x14ac:dyDescent="0.25">
      <c r="A1158" s="44" t="s">
        <v>3173</v>
      </c>
      <c r="B1158" s="80" t="s">
        <v>3174</v>
      </c>
      <c r="C1158" s="26" t="s">
        <v>37</v>
      </c>
      <c r="D1158" s="14"/>
      <c r="E1158" s="15">
        <f>+SUM!H1157</f>
        <v>0</v>
      </c>
      <c r="F1158" s="16"/>
      <c r="G1158">
        <f t="shared" si="69"/>
        <v>0</v>
      </c>
    </row>
    <row r="1159" spans="1:7" hidden="1" x14ac:dyDescent="0.25">
      <c r="A1159" s="43" t="s">
        <v>3226</v>
      </c>
      <c r="B1159" s="81" t="s">
        <v>3175</v>
      </c>
      <c r="C1159" s="26" t="s">
        <v>37</v>
      </c>
      <c r="D1159" s="14"/>
      <c r="E1159" s="15">
        <f>+SUM!H1158</f>
        <v>87965</v>
      </c>
      <c r="F1159" s="16">
        <f t="shared" ref="F1159:F1209" si="70">+D1159*E1159</f>
        <v>0</v>
      </c>
      <c r="G1159">
        <f t="shared" si="69"/>
        <v>0</v>
      </c>
    </row>
    <row r="1160" spans="1:7" hidden="1" x14ac:dyDescent="0.25">
      <c r="A1160" s="43" t="s">
        <v>3227</v>
      </c>
      <c r="B1160" s="81" t="s">
        <v>3176</v>
      </c>
      <c r="C1160" s="26" t="s">
        <v>37</v>
      </c>
      <c r="D1160" s="14"/>
      <c r="E1160" s="15">
        <f>+SUM!H1159</f>
        <v>98960</v>
      </c>
      <c r="F1160" s="16">
        <f t="shared" si="70"/>
        <v>0</v>
      </c>
      <c r="G1160">
        <f t="shared" si="69"/>
        <v>0</v>
      </c>
    </row>
    <row r="1161" spans="1:7" hidden="1" x14ac:dyDescent="0.25">
      <c r="A1161" s="43" t="s">
        <v>3228</v>
      </c>
      <c r="B1161" s="81" t="s">
        <v>3177</v>
      </c>
      <c r="C1161" s="26" t="s">
        <v>37</v>
      </c>
      <c r="D1161" s="14"/>
      <c r="E1161" s="15">
        <f>+SUM!H1160</f>
        <v>112705</v>
      </c>
      <c r="F1161" s="16">
        <f t="shared" si="70"/>
        <v>0</v>
      </c>
      <c r="G1161">
        <f t="shared" si="69"/>
        <v>0</v>
      </c>
    </row>
    <row r="1162" spans="1:7" hidden="1" x14ac:dyDescent="0.25">
      <c r="A1162" s="43" t="s">
        <v>3229</v>
      </c>
      <c r="B1162" s="81" t="s">
        <v>3178</v>
      </c>
      <c r="C1162" s="26" t="s">
        <v>37</v>
      </c>
      <c r="D1162" s="14"/>
      <c r="E1162" s="15">
        <f>+SUM!H1161</f>
        <v>153938</v>
      </c>
      <c r="F1162" s="16">
        <f t="shared" si="70"/>
        <v>0</v>
      </c>
      <c r="G1162">
        <f t="shared" si="69"/>
        <v>0</v>
      </c>
    </row>
    <row r="1163" spans="1:7" hidden="1" x14ac:dyDescent="0.25">
      <c r="A1163" s="43" t="s">
        <v>3230</v>
      </c>
      <c r="B1163" s="81" t="s">
        <v>3179</v>
      </c>
      <c r="C1163" s="26" t="s">
        <v>37</v>
      </c>
      <c r="D1163" s="14"/>
      <c r="E1163" s="15">
        <f>+SUM!H1162</f>
        <v>175930</v>
      </c>
      <c r="F1163" s="16">
        <f t="shared" si="70"/>
        <v>0</v>
      </c>
      <c r="G1163">
        <f t="shared" si="69"/>
        <v>0</v>
      </c>
    </row>
    <row r="1164" spans="1:7" hidden="1" x14ac:dyDescent="0.25">
      <c r="A1164" s="43" t="s">
        <v>3231</v>
      </c>
      <c r="B1164" s="81" t="s">
        <v>3180</v>
      </c>
      <c r="C1164" s="26" t="s">
        <v>37</v>
      </c>
      <c r="D1164" s="14"/>
      <c r="E1164" s="15">
        <f>+SUM!H1163</f>
        <v>213040</v>
      </c>
      <c r="F1164" s="16">
        <f t="shared" si="70"/>
        <v>0</v>
      </c>
      <c r="G1164">
        <f t="shared" si="69"/>
        <v>0</v>
      </c>
    </row>
    <row r="1165" spans="1:7" hidden="1" x14ac:dyDescent="0.25">
      <c r="A1165" s="43" t="s">
        <v>3232</v>
      </c>
      <c r="B1165" s="81" t="s">
        <v>3181</v>
      </c>
      <c r="C1165" s="26" t="s">
        <v>37</v>
      </c>
      <c r="D1165" s="14"/>
      <c r="E1165" s="15">
        <f>+SUM!H1164</f>
        <v>361480</v>
      </c>
      <c r="F1165" s="16">
        <f t="shared" si="70"/>
        <v>0</v>
      </c>
      <c r="G1165">
        <f t="shared" si="69"/>
        <v>0</v>
      </c>
    </row>
    <row r="1166" spans="1:7" hidden="1" x14ac:dyDescent="0.25">
      <c r="A1166" s="43" t="s">
        <v>3233</v>
      </c>
      <c r="B1166" s="81" t="s">
        <v>3182</v>
      </c>
      <c r="C1166" s="26" t="s">
        <v>37</v>
      </c>
      <c r="D1166" s="14"/>
      <c r="E1166" s="15">
        <f>+SUM!H1165</f>
        <v>306502</v>
      </c>
      <c r="F1166" s="16">
        <f t="shared" si="70"/>
        <v>0</v>
      </c>
      <c r="G1166">
        <f t="shared" si="69"/>
        <v>0</v>
      </c>
    </row>
    <row r="1167" spans="1:7" hidden="1" x14ac:dyDescent="0.25">
      <c r="A1167" s="43" t="s">
        <v>3234</v>
      </c>
      <c r="B1167" s="81" t="s">
        <v>3183</v>
      </c>
      <c r="C1167" s="26" t="s">
        <v>37</v>
      </c>
      <c r="D1167" s="14"/>
      <c r="E1167" s="15">
        <f>+SUM!H1166</f>
        <v>331242</v>
      </c>
      <c r="F1167" s="16">
        <f t="shared" si="70"/>
        <v>0</v>
      </c>
      <c r="G1167">
        <f t="shared" si="69"/>
        <v>0</v>
      </c>
    </row>
    <row r="1168" spans="1:7" hidden="1" x14ac:dyDescent="0.25">
      <c r="A1168" s="43" t="s">
        <v>3235</v>
      </c>
      <c r="B1168" s="81" t="s">
        <v>3184</v>
      </c>
      <c r="C1168" s="26" t="s">
        <v>37</v>
      </c>
      <c r="D1168" s="14"/>
      <c r="E1168" s="15">
        <f>+SUM!H1167</f>
        <v>368353</v>
      </c>
      <c r="F1168" s="16">
        <f t="shared" si="70"/>
        <v>0</v>
      </c>
      <c r="G1168">
        <f t="shared" si="69"/>
        <v>0</v>
      </c>
    </row>
    <row r="1169" spans="1:7" hidden="1" x14ac:dyDescent="0.25">
      <c r="A1169" s="43" t="s">
        <v>3236</v>
      </c>
      <c r="B1169" s="81" t="s">
        <v>3185</v>
      </c>
      <c r="C1169" s="26" t="s">
        <v>37</v>
      </c>
      <c r="D1169" s="14"/>
      <c r="E1169" s="15">
        <f>+SUM!H1168</f>
        <v>0</v>
      </c>
      <c r="F1169" s="16">
        <f t="shared" si="70"/>
        <v>0</v>
      </c>
      <c r="G1169">
        <f t="shared" si="69"/>
        <v>0</v>
      </c>
    </row>
    <row r="1170" spans="1:7" hidden="1" x14ac:dyDescent="0.25">
      <c r="A1170" s="43" t="s">
        <v>3237</v>
      </c>
      <c r="B1170" s="81" t="s">
        <v>3186</v>
      </c>
      <c r="C1170" s="26" t="s">
        <v>37</v>
      </c>
      <c r="D1170" s="14"/>
      <c r="E1170" s="15">
        <f>+SUM!H1169</f>
        <v>558027</v>
      </c>
      <c r="F1170" s="16">
        <f t="shared" si="70"/>
        <v>0</v>
      </c>
      <c r="G1170">
        <f t="shared" si="69"/>
        <v>0</v>
      </c>
    </row>
    <row r="1171" spans="1:7" hidden="1" x14ac:dyDescent="0.25">
      <c r="A1171" s="43" t="s">
        <v>3238</v>
      </c>
      <c r="B1171" s="81" t="s">
        <v>3187</v>
      </c>
      <c r="C1171" s="26" t="s">
        <v>37</v>
      </c>
      <c r="D1171" s="14"/>
      <c r="E1171" s="15">
        <f>+SUM!H1170</f>
        <v>558027</v>
      </c>
      <c r="F1171" s="16">
        <f t="shared" si="70"/>
        <v>0</v>
      </c>
      <c r="G1171">
        <f t="shared" si="69"/>
        <v>0</v>
      </c>
    </row>
    <row r="1172" spans="1:7" hidden="1" x14ac:dyDescent="0.25">
      <c r="A1172" s="43" t="s">
        <v>3239</v>
      </c>
      <c r="B1172" s="81" t="s">
        <v>3188</v>
      </c>
      <c r="C1172" s="26" t="s">
        <v>37</v>
      </c>
      <c r="D1172" s="14"/>
      <c r="E1172" s="15">
        <f>+SUM!H1171</f>
        <v>588265</v>
      </c>
      <c r="F1172" s="16">
        <f t="shared" si="70"/>
        <v>0</v>
      </c>
      <c r="G1172">
        <f t="shared" si="69"/>
        <v>0</v>
      </c>
    </row>
    <row r="1173" spans="1:7" hidden="1" x14ac:dyDescent="0.25">
      <c r="A1173" s="43" t="s">
        <v>3240</v>
      </c>
      <c r="B1173" s="81" t="s">
        <v>3189</v>
      </c>
      <c r="C1173" s="26" t="s">
        <v>37</v>
      </c>
      <c r="D1173" s="14"/>
      <c r="E1173" s="15">
        <f>+SUM!H1172</f>
        <v>696846</v>
      </c>
      <c r="F1173" s="16">
        <f t="shared" si="70"/>
        <v>0</v>
      </c>
      <c r="G1173">
        <f t="shared" si="69"/>
        <v>0</v>
      </c>
    </row>
    <row r="1174" spans="1:7" hidden="1" x14ac:dyDescent="0.25">
      <c r="A1174" s="43" t="s">
        <v>3241</v>
      </c>
      <c r="B1174" s="81" t="s">
        <v>3190</v>
      </c>
      <c r="C1174" s="26" t="s">
        <v>37</v>
      </c>
      <c r="D1174" s="14"/>
      <c r="E1174" s="15">
        <f>+SUM!H1173</f>
        <v>934626</v>
      </c>
      <c r="F1174" s="16">
        <f t="shared" si="70"/>
        <v>0</v>
      </c>
      <c r="G1174">
        <f t="shared" si="69"/>
        <v>0</v>
      </c>
    </row>
    <row r="1175" spans="1:7" hidden="1" x14ac:dyDescent="0.25">
      <c r="A1175" s="43" t="s">
        <v>3242</v>
      </c>
      <c r="B1175" s="81" t="s">
        <v>3191</v>
      </c>
      <c r="C1175" s="26" t="s">
        <v>37</v>
      </c>
      <c r="D1175" s="14"/>
      <c r="E1175" s="15">
        <f>+SUM!H1174</f>
        <v>973111</v>
      </c>
      <c r="F1175" s="16">
        <f t="shared" si="70"/>
        <v>0</v>
      </c>
      <c r="G1175">
        <f t="shared" si="69"/>
        <v>0</v>
      </c>
    </row>
    <row r="1176" spans="1:7" hidden="1" x14ac:dyDescent="0.25">
      <c r="A1176" s="43" t="s">
        <v>3243</v>
      </c>
      <c r="B1176" s="81" t="s">
        <v>3192</v>
      </c>
      <c r="C1176" s="26" t="s">
        <v>37</v>
      </c>
      <c r="D1176" s="14"/>
      <c r="E1176" s="15">
        <f>+SUM!H1175</f>
        <v>1010221</v>
      </c>
      <c r="F1176" s="16">
        <f t="shared" si="70"/>
        <v>0</v>
      </c>
      <c r="G1176">
        <f t="shared" si="69"/>
        <v>0</v>
      </c>
    </row>
    <row r="1177" spans="1:7" hidden="1" x14ac:dyDescent="0.25">
      <c r="A1177" s="43" t="s">
        <v>3244</v>
      </c>
      <c r="B1177" s="81" t="s">
        <v>3193</v>
      </c>
      <c r="C1177" s="26" t="s">
        <v>37</v>
      </c>
      <c r="D1177" s="14"/>
      <c r="E1177" s="15">
        <f>+SUM!H1176</f>
        <v>1283736</v>
      </c>
      <c r="F1177" s="16">
        <f t="shared" si="70"/>
        <v>0</v>
      </c>
      <c r="G1177">
        <f t="shared" si="69"/>
        <v>0</v>
      </c>
    </row>
    <row r="1178" spans="1:7" hidden="1" x14ac:dyDescent="0.25">
      <c r="A1178" s="43" t="s">
        <v>3245</v>
      </c>
      <c r="B1178" s="81" t="s">
        <v>3194</v>
      </c>
      <c r="C1178" s="26" t="s">
        <v>37</v>
      </c>
      <c r="D1178" s="14"/>
      <c r="E1178" s="15">
        <f>+SUM!H1177</f>
        <v>1375824</v>
      </c>
      <c r="F1178" s="16">
        <f t="shared" si="70"/>
        <v>0</v>
      </c>
      <c r="G1178">
        <f t="shared" si="69"/>
        <v>0</v>
      </c>
    </row>
    <row r="1179" spans="1:7" hidden="1" x14ac:dyDescent="0.25">
      <c r="A1179" s="43" t="s">
        <v>3246</v>
      </c>
      <c r="B1179" s="81" t="s">
        <v>3195</v>
      </c>
      <c r="C1179" s="26" t="s">
        <v>37</v>
      </c>
      <c r="D1179" s="14"/>
      <c r="E1179" s="15">
        <f>+SUM!H1178</f>
        <v>0</v>
      </c>
      <c r="F1179" s="16">
        <f t="shared" si="70"/>
        <v>0</v>
      </c>
      <c r="G1179">
        <f t="shared" si="69"/>
        <v>0</v>
      </c>
    </row>
    <row r="1180" spans="1:7" hidden="1" x14ac:dyDescent="0.25">
      <c r="A1180" s="43" t="s">
        <v>3247</v>
      </c>
      <c r="B1180" s="81" t="s">
        <v>3196</v>
      </c>
      <c r="C1180" s="26" t="s">
        <v>37</v>
      </c>
      <c r="D1180" s="14"/>
      <c r="E1180" s="15">
        <f>+SUM!H1179</f>
        <v>1613604</v>
      </c>
      <c r="F1180" s="16">
        <f t="shared" si="70"/>
        <v>0</v>
      </c>
      <c r="G1180">
        <f t="shared" si="69"/>
        <v>0</v>
      </c>
    </row>
    <row r="1181" spans="1:7" hidden="1" x14ac:dyDescent="0.25">
      <c r="A1181" s="43" t="s">
        <v>3248</v>
      </c>
      <c r="B1181" s="81" t="s">
        <v>3197</v>
      </c>
      <c r="C1181" s="26" t="s">
        <v>37</v>
      </c>
      <c r="D1181" s="14"/>
      <c r="E1181" s="15">
        <f>+SUM!H1180</f>
        <v>1620477</v>
      </c>
      <c r="F1181" s="16">
        <f t="shared" si="70"/>
        <v>0</v>
      </c>
      <c r="G1181">
        <f t="shared" si="69"/>
        <v>0</v>
      </c>
    </row>
    <row r="1182" spans="1:7" hidden="1" x14ac:dyDescent="0.25">
      <c r="A1182" s="43" t="s">
        <v>3249</v>
      </c>
      <c r="B1182" s="81" t="s">
        <v>3198</v>
      </c>
      <c r="C1182" s="26" t="s">
        <v>37</v>
      </c>
      <c r="D1182" s="14"/>
      <c r="E1182" s="15">
        <f>+SUM!H1181</f>
        <v>1636970</v>
      </c>
      <c r="F1182" s="16">
        <f t="shared" si="70"/>
        <v>0</v>
      </c>
      <c r="G1182">
        <f t="shared" si="69"/>
        <v>0</v>
      </c>
    </row>
    <row r="1183" spans="1:7" hidden="1" x14ac:dyDescent="0.25">
      <c r="A1183" s="43" t="s">
        <v>3250</v>
      </c>
      <c r="B1183" s="81" t="s">
        <v>3199</v>
      </c>
      <c r="C1183" s="26" t="s">
        <v>37</v>
      </c>
      <c r="D1183" s="14"/>
      <c r="E1183" s="15">
        <f>+SUM!H1182</f>
        <v>1903613</v>
      </c>
      <c r="F1183" s="16">
        <f t="shared" si="70"/>
        <v>0</v>
      </c>
      <c r="G1183">
        <f t="shared" si="69"/>
        <v>0</v>
      </c>
    </row>
    <row r="1184" spans="1:7" hidden="1" x14ac:dyDescent="0.25">
      <c r="A1184" s="43" t="s">
        <v>3251</v>
      </c>
      <c r="B1184" s="81" t="s">
        <v>3200</v>
      </c>
      <c r="C1184" s="26" t="s">
        <v>37</v>
      </c>
      <c r="D1184" s="14"/>
      <c r="E1184" s="15"/>
      <c r="F1184" s="16">
        <f t="shared" si="70"/>
        <v>0</v>
      </c>
      <c r="G1184">
        <f t="shared" si="69"/>
        <v>0</v>
      </c>
    </row>
    <row r="1185" spans="1:7" hidden="1" x14ac:dyDescent="0.25">
      <c r="A1185" s="43" t="s">
        <v>3252</v>
      </c>
      <c r="B1185" s="81" t="s">
        <v>3201</v>
      </c>
      <c r="C1185" s="26" t="s">
        <v>37</v>
      </c>
      <c r="D1185" s="14"/>
      <c r="E1185" s="15"/>
      <c r="F1185" s="16">
        <f t="shared" si="70"/>
        <v>0</v>
      </c>
      <c r="G1185">
        <f t="shared" si="69"/>
        <v>0</v>
      </c>
    </row>
    <row r="1186" spans="1:7" hidden="1" x14ac:dyDescent="0.25">
      <c r="A1186" s="43" t="s">
        <v>3253</v>
      </c>
      <c r="B1186" s="81" t="s">
        <v>3202</v>
      </c>
      <c r="C1186" s="26" t="s">
        <v>37</v>
      </c>
      <c r="D1186" s="14"/>
      <c r="E1186" s="15"/>
      <c r="F1186" s="16">
        <f t="shared" si="70"/>
        <v>0</v>
      </c>
      <c r="G1186">
        <f t="shared" si="69"/>
        <v>0</v>
      </c>
    </row>
    <row r="1187" spans="1:7" hidden="1" x14ac:dyDescent="0.25">
      <c r="A1187" s="43" t="s">
        <v>3254</v>
      </c>
      <c r="B1187" s="81" t="s">
        <v>3203</v>
      </c>
      <c r="C1187" s="26" t="s">
        <v>37</v>
      </c>
      <c r="D1187" s="14"/>
      <c r="E1187" s="15"/>
      <c r="F1187" s="16">
        <f t="shared" si="70"/>
        <v>0</v>
      </c>
      <c r="G1187">
        <f t="shared" si="69"/>
        <v>0</v>
      </c>
    </row>
    <row r="1188" spans="1:7" hidden="1" x14ac:dyDescent="0.25">
      <c r="A1188" s="43" t="s">
        <v>3255</v>
      </c>
      <c r="B1188" s="81" t="s">
        <v>3204</v>
      </c>
      <c r="C1188" s="26" t="s">
        <v>37</v>
      </c>
      <c r="D1188" s="14"/>
      <c r="E1188" s="15"/>
      <c r="F1188" s="16">
        <f t="shared" si="70"/>
        <v>0</v>
      </c>
      <c r="G1188">
        <f t="shared" ref="G1188:G1251" si="71">+IF(F1188&lt;&gt;0,1,0)</f>
        <v>0</v>
      </c>
    </row>
    <row r="1189" spans="1:7" hidden="1" x14ac:dyDescent="0.25">
      <c r="A1189" s="43" t="s">
        <v>3256</v>
      </c>
      <c r="B1189" s="81" t="s">
        <v>3206</v>
      </c>
      <c r="C1189" s="26" t="s">
        <v>37</v>
      </c>
      <c r="D1189" s="14"/>
      <c r="E1189" s="15"/>
      <c r="F1189" s="16">
        <f t="shared" si="70"/>
        <v>0</v>
      </c>
      <c r="G1189">
        <f t="shared" si="71"/>
        <v>0</v>
      </c>
    </row>
    <row r="1190" spans="1:7" hidden="1" x14ac:dyDescent="0.25">
      <c r="A1190" s="43" t="s">
        <v>3257</v>
      </c>
      <c r="B1190" s="81" t="s">
        <v>3205</v>
      </c>
      <c r="C1190" s="26" t="s">
        <v>37</v>
      </c>
      <c r="D1190" s="14"/>
      <c r="E1190" s="15"/>
      <c r="F1190" s="16">
        <f t="shared" si="70"/>
        <v>0</v>
      </c>
      <c r="G1190">
        <f t="shared" si="71"/>
        <v>0</v>
      </c>
    </row>
    <row r="1191" spans="1:7" hidden="1" x14ac:dyDescent="0.25">
      <c r="A1191" s="43" t="s">
        <v>3258</v>
      </c>
      <c r="B1191" s="81" t="s">
        <v>3207</v>
      </c>
      <c r="C1191" s="26" t="s">
        <v>37</v>
      </c>
      <c r="D1191" s="14"/>
      <c r="E1191" s="15"/>
      <c r="F1191" s="16">
        <f t="shared" si="70"/>
        <v>0</v>
      </c>
      <c r="G1191">
        <f t="shared" si="71"/>
        <v>0</v>
      </c>
    </row>
    <row r="1192" spans="1:7" hidden="1" x14ac:dyDescent="0.25">
      <c r="A1192" s="43" t="s">
        <v>3259</v>
      </c>
      <c r="B1192" s="81" t="s">
        <v>3208</v>
      </c>
      <c r="C1192" s="26" t="s">
        <v>37</v>
      </c>
      <c r="D1192" s="14"/>
      <c r="E1192" s="15"/>
      <c r="F1192" s="16">
        <f t="shared" si="70"/>
        <v>0</v>
      </c>
      <c r="G1192">
        <f t="shared" si="71"/>
        <v>0</v>
      </c>
    </row>
    <row r="1193" spans="1:7" hidden="1" x14ac:dyDescent="0.25">
      <c r="A1193" s="43" t="s">
        <v>3260</v>
      </c>
      <c r="B1193" s="81" t="s">
        <v>3209</v>
      </c>
      <c r="C1193" s="26" t="s">
        <v>37</v>
      </c>
      <c r="D1193" s="14"/>
      <c r="E1193" s="15"/>
      <c r="F1193" s="16">
        <f t="shared" si="70"/>
        <v>0</v>
      </c>
      <c r="G1193">
        <f t="shared" si="71"/>
        <v>0</v>
      </c>
    </row>
    <row r="1194" spans="1:7" hidden="1" x14ac:dyDescent="0.25">
      <c r="A1194" s="43" t="s">
        <v>3261</v>
      </c>
      <c r="B1194" s="81" t="s">
        <v>3210</v>
      </c>
      <c r="C1194" s="26" t="s">
        <v>37</v>
      </c>
      <c r="D1194" s="14"/>
      <c r="E1194" s="15"/>
      <c r="F1194" s="16">
        <f t="shared" si="70"/>
        <v>0</v>
      </c>
      <c r="G1194">
        <f t="shared" si="71"/>
        <v>0</v>
      </c>
    </row>
    <row r="1195" spans="1:7" hidden="1" x14ac:dyDescent="0.25">
      <c r="A1195" s="43" t="s">
        <v>3262</v>
      </c>
      <c r="B1195" s="81" t="s">
        <v>3211</v>
      </c>
      <c r="C1195" s="26" t="s">
        <v>37</v>
      </c>
      <c r="D1195" s="14"/>
      <c r="E1195" s="15"/>
      <c r="F1195" s="16">
        <f t="shared" si="70"/>
        <v>0</v>
      </c>
      <c r="G1195">
        <f t="shared" si="71"/>
        <v>0</v>
      </c>
    </row>
    <row r="1196" spans="1:7" hidden="1" x14ac:dyDescent="0.25">
      <c r="A1196" s="43" t="s">
        <v>3263</v>
      </c>
      <c r="B1196" s="81" t="s">
        <v>3219</v>
      </c>
      <c r="C1196" s="26" t="s">
        <v>37</v>
      </c>
      <c r="D1196" s="14"/>
      <c r="E1196" s="15"/>
      <c r="F1196" s="16">
        <f t="shared" si="70"/>
        <v>0</v>
      </c>
      <c r="G1196">
        <f t="shared" si="71"/>
        <v>0</v>
      </c>
    </row>
    <row r="1197" spans="1:7" hidden="1" x14ac:dyDescent="0.25">
      <c r="A1197" s="43" t="s">
        <v>3264</v>
      </c>
      <c r="B1197" s="81" t="s">
        <v>3220</v>
      </c>
      <c r="C1197" s="26" t="s">
        <v>37</v>
      </c>
      <c r="D1197" s="14"/>
      <c r="E1197" s="15"/>
      <c r="F1197" s="16">
        <f t="shared" si="70"/>
        <v>0</v>
      </c>
      <c r="G1197">
        <f t="shared" si="71"/>
        <v>0</v>
      </c>
    </row>
    <row r="1198" spans="1:7" hidden="1" x14ac:dyDescent="0.25">
      <c r="A1198" s="43" t="s">
        <v>3265</v>
      </c>
      <c r="B1198" s="81" t="s">
        <v>3221</v>
      </c>
      <c r="C1198" s="26" t="s">
        <v>37</v>
      </c>
      <c r="D1198" s="14"/>
      <c r="E1198" s="15"/>
      <c r="F1198" s="16">
        <f t="shared" si="70"/>
        <v>0</v>
      </c>
      <c r="G1198">
        <f t="shared" si="71"/>
        <v>0</v>
      </c>
    </row>
    <row r="1199" spans="1:7" hidden="1" x14ac:dyDescent="0.25">
      <c r="A1199" s="43" t="s">
        <v>3266</v>
      </c>
      <c r="B1199" s="81" t="s">
        <v>3222</v>
      </c>
      <c r="C1199" s="26" t="s">
        <v>37</v>
      </c>
      <c r="D1199" s="14"/>
      <c r="E1199" s="15"/>
      <c r="F1199" s="16">
        <f t="shared" si="70"/>
        <v>0</v>
      </c>
      <c r="G1199">
        <f t="shared" si="71"/>
        <v>0</v>
      </c>
    </row>
    <row r="1200" spans="1:7" hidden="1" x14ac:dyDescent="0.25">
      <c r="A1200" s="43" t="s">
        <v>3267</v>
      </c>
      <c r="B1200" s="81" t="s">
        <v>3223</v>
      </c>
      <c r="C1200" s="26" t="s">
        <v>37</v>
      </c>
      <c r="D1200" s="14"/>
      <c r="E1200" s="15"/>
      <c r="F1200" s="16">
        <f t="shared" si="70"/>
        <v>0</v>
      </c>
      <c r="G1200">
        <f t="shared" si="71"/>
        <v>0</v>
      </c>
    </row>
    <row r="1201" spans="1:7" hidden="1" x14ac:dyDescent="0.25">
      <c r="A1201" s="43" t="s">
        <v>3268</v>
      </c>
      <c r="B1201" s="81" t="s">
        <v>3224</v>
      </c>
      <c r="C1201" s="26" t="s">
        <v>37</v>
      </c>
      <c r="D1201" s="14"/>
      <c r="E1201" s="15"/>
      <c r="F1201" s="16">
        <f t="shared" si="70"/>
        <v>0</v>
      </c>
      <c r="G1201">
        <f t="shared" si="71"/>
        <v>0</v>
      </c>
    </row>
    <row r="1202" spans="1:7" hidden="1" x14ac:dyDescent="0.25">
      <c r="A1202" s="43" t="s">
        <v>3269</v>
      </c>
      <c r="B1202" s="81" t="s">
        <v>3225</v>
      </c>
      <c r="C1202" s="26" t="s">
        <v>37</v>
      </c>
      <c r="D1202" s="14"/>
      <c r="E1202" s="15"/>
      <c r="F1202" s="16">
        <f t="shared" si="70"/>
        <v>0</v>
      </c>
      <c r="G1202">
        <f t="shared" si="71"/>
        <v>0</v>
      </c>
    </row>
    <row r="1203" spans="1:7" hidden="1" x14ac:dyDescent="0.25">
      <c r="A1203" s="43" t="s">
        <v>3270</v>
      </c>
      <c r="B1203" s="81" t="s">
        <v>3217</v>
      </c>
      <c r="C1203" s="26" t="s">
        <v>37</v>
      </c>
      <c r="D1203" s="14"/>
      <c r="E1203" s="15"/>
      <c r="F1203" s="16">
        <f t="shared" si="70"/>
        <v>0</v>
      </c>
      <c r="G1203">
        <f t="shared" si="71"/>
        <v>0</v>
      </c>
    </row>
    <row r="1204" spans="1:7" hidden="1" x14ac:dyDescent="0.25">
      <c r="A1204" s="43" t="s">
        <v>3271</v>
      </c>
      <c r="B1204" s="81" t="s">
        <v>3218</v>
      </c>
      <c r="C1204" s="26" t="s">
        <v>37</v>
      </c>
      <c r="D1204" s="14"/>
      <c r="E1204" s="15"/>
      <c r="F1204" s="16">
        <f t="shared" si="70"/>
        <v>0</v>
      </c>
      <c r="G1204">
        <f t="shared" si="71"/>
        <v>0</v>
      </c>
    </row>
    <row r="1205" spans="1:7" hidden="1" x14ac:dyDescent="0.25">
      <c r="A1205" s="43" t="s">
        <v>3272</v>
      </c>
      <c r="B1205" s="81" t="s">
        <v>3216</v>
      </c>
      <c r="C1205" s="26" t="s">
        <v>37</v>
      </c>
      <c r="D1205" s="14"/>
      <c r="E1205" s="15"/>
      <c r="F1205" s="16">
        <f t="shared" si="70"/>
        <v>0</v>
      </c>
      <c r="G1205">
        <f t="shared" si="71"/>
        <v>0</v>
      </c>
    </row>
    <row r="1206" spans="1:7" hidden="1" x14ac:dyDescent="0.25">
      <c r="A1206" s="43" t="s">
        <v>3273</v>
      </c>
      <c r="B1206" s="81" t="s">
        <v>3215</v>
      </c>
      <c r="C1206" s="26" t="s">
        <v>37</v>
      </c>
      <c r="D1206" s="14"/>
      <c r="E1206" s="15"/>
      <c r="F1206" s="16">
        <f t="shared" si="70"/>
        <v>0</v>
      </c>
      <c r="G1206">
        <f t="shared" si="71"/>
        <v>0</v>
      </c>
    </row>
    <row r="1207" spans="1:7" hidden="1" x14ac:dyDescent="0.25">
      <c r="A1207" s="43" t="s">
        <v>3274</v>
      </c>
      <c r="B1207" s="81" t="s">
        <v>3214</v>
      </c>
      <c r="C1207" s="26" t="s">
        <v>37</v>
      </c>
      <c r="D1207" s="14"/>
      <c r="E1207" s="15"/>
      <c r="F1207" s="16">
        <f t="shared" si="70"/>
        <v>0</v>
      </c>
      <c r="G1207">
        <f t="shared" si="71"/>
        <v>0</v>
      </c>
    </row>
    <row r="1208" spans="1:7" hidden="1" x14ac:dyDescent="0.25">
      <c r="A1208" s="43" t="s">
        <v>3275</v>
      </c>
      <c r="B1208" s="81" t="s">
        <v>3213</v>
      </c>
      <c r="C1208" s="26" t="s">
        <v>37</v>
      </c>
      <c r="D1208" s="14"/>
      <c r="E1208" s="15"/>
      <c r="F1208" s="16">
        <f t="shared" si="70"/>
        <v>0</v>
      </c>
      <c r="G1208">
        <f t="shared" si="71"/>
        <v>0</v>
      </c>
    </row>
    <row r="1209" spans="1:7" hidden="1" x14ac:dyDescent="0.25">
      <c r="A1209" s="43" t="s">
        <v>3276</v>
      </c>
      <c r="B1209" s="81" t="s">
        <v>3212</v>
      </c>
      <c r="C1209" s="26" t="s">
        <v>37</v>
      </c>
      <c r="D1209" s="14"/>
      <c r="E1209" s="15"/>
      <c r="F1209" s="16">
        <f t="shared" si="70"/>
        <v>0</v>
      </c>
      <c r="G1209">
        <f t="shared" si="71"/>
        <v>0</v>
      </c>
    </row>
    <row r="1210" spans="1:7" hidden="1" x14ac:dyDescent="0.25">
      <c r="A1210" s="44" t="s">
        <v>3277</v>
      </c>
      <c r="B1210" s="80" t="s">
        <v>3278</v>
      </c>
      <c r="C1210" s="26" t="s">
        <v>37</v>
      </c>
      <c r="D1210" s="14"/>
      <c r="E1210" s="15"/>
      <c r="F1210" s="16"/>
      <c r="G1210">
        <f t="shared" si="71"/>
        <v>0</v>
      </c>
    </row>
    <row r="1211" spans="1:7" hidden="1" x14ac:dyDescent="0.25">
      <c r="A1211" s="43" t="s">
        <v>3308</v>
      </c>
      <c r="B1211" s="81" t="s">
        <v>3279</v>
      </c>
      <c r="C1211" s="26" t="s">
        <v>37</v>
      </c>
      <c r="D1211" s="14"/>
      <c r="E1211" s="15"/>
      <c r="F1211" s="16">
        <f t="shared" ref="F1211:F1261" si="72">+D1211*E1211</f>
        <v>0</v>
      </c>
      <c r="G1211">
        <f t="shared" si="71"/>
        <v>0</v>
      </c>
    </row>
    <row r="1212" spans="1:7" hidden="1" x14ac:dyDescent="0.25">
      <c r="A1212" s="43" t="s">
        <v>3309</v>
      </c>
      <c r="B1212" s="81" t="s">
        <v>3280</v>
      </c>
      <c r="C1212" s="26" t="s">
        <v>37</v>
      </c>
      <c r="D1212" s="14"/>
      <c r="E1212" s="15"/>
      <c r="F1212" s="16">
        <f t="shared" si="72"/>
        <v>0</v>
      </c>
      <c r="G1212">
        <f t="shared" si="71"/>
        <v>0</v>
      </c>
    </row>
    <row r="1213" spans="1:7" hidden="1" x14ac:dyDescent="0.25">
      <c r="A1213" s="43" t="s">
        <v>3310</v>
      </c>
      <c r="B1213" s="81" t="s">
        <v>3281</v>
      </c>
      <c r="C1213" s="26" t="s">
        <v>37</v>
      </c>
      <c r="D1213" s="14"/>
      <c r="E1213" s="15"/>
      <c r="F1213" s="16">
        <f t="shared" si="72"/>
        <v>0</v>
      </c>
      <c r="G1213">
        <f t="shared" si="71"/>
        <v>0</v>
      </c>
    </row>
    <row r="1214" spans="1:7" hidden="1" x14ac:dyDescent="0.25">
      <c r="A1214" s="43" t="s">
        <v>3311</v>
      </c>
      <c r="B1214" s="81" t="s">
        <v>3282</v>
      </c>
      <c r="C1214" s="26" t="s">
        <v>37</v>
      </c>
      <c r="D1214" s="14"/>
      <c r="E1214" s="15"/>
      <c r="F1214" s="16">
        <f t="shared" si="72"/>
        <v>0</v>
      </c>
      <c r="G1214">
        <f t="shared" si="71"/>
        <v>0</v>
      </c>
    </row>
    <row r="1215" spans="1:7" hidden="1" x14ac:dyDescent="0.25">
      <c r="A1215" s="43" t="s">
        <v>3312</v>
      </c>
      <c r="B1215" s="81" t="s">
        <v>3283</v>
      </c>
      <c r="C1215" s="26" t="s">
        <v>37</v>
      </c>
      <c r="D1215" s="14"/>
      <c r="E1215" s="15"/>
      <c r="F1215" s="16">
        <f t="shared" si="72"/>
        <v>0</v>
      </c>
      <c r="G1215">
        <f t="shared" si="71"/>
        <v>0</v>
      </c>
    </row>
    <row r="1216" spans="1:7" hidden="1" x14ac:dyDescent="0.25">
      <c r="A1216" s="43" t="s">
        <v>3313</v>
      </c>
      <c r="B1216" s="81" t="s">
        <v>3284</v>
      </c>
      <c r="C1216" s="26" t="s">
        <v>37</v>
      </c>
      <c r="D1216" s="14"/>
      <c r="E1216" s="15"/>
      <c r="F1216" s="16">
        <f t="shared" si="72"/>
        <v>0</v>
      </c>
      <c r="G1216">
        <f t="shared" si="71"/>
        <v>0</v>
      </c>
    </row>
    <row r="1217" spans="1:7" hidden="1" x14ac:dyDescent="0.25">
      <c r="A1217" s="43" t="s">
        <v>3314</v>
      </c>
      <c r="B1217" s="81" t="s">
        <v>3285</v>
      </c>
      <c r="C1217" s="26" t="s">
        <v>37</v>
      </c>
      <c r="D1217" s="14"/>
      <c r="E1217" s="15"/>
      <c r="F1217" s="16">
        <f t="shared" si="72"/>
        <v>0</v>
      </c>
      <c r="G1217">
        <f t="shared" si="71"/>
        <v>0</v>
      </c>
    </row>
    <row r="1218" spans="1:7" hidden="1" x14ac:dyDescent="0.25">
      <c r="A1218" s="43" t="s">
        <v>3315</v>
      </c>
      <c r="B1218" s="81" t="s">
        <v>3286</v>
      </c>
      <c r="C1218" s="26" t="s">
        <v>37</v>
      </c>
      <c r="D1218" s="14"/>
      <c r="E1218" s="15"/>
      <c r="F1218" s="16">
        <f t="shared" si="72"/>
        <v>0</v>
      </c>
      <c r="G1218">
        <f t="shared" si="71"/>
        <v>0</v>
      </c>
    </row>
    <row r="1219" spans="1:7" hidden="1" x14ac:dyDescent="0.25">
      <c r="A1219" s="43" t="s">
        <v>3316</v>
      </c>
      <c r="B1219" s="81" t="s">
        <v>3295</v>
      </c>
      <c r="C1219" s="26" t="s">
        <v>37</v>
      </c>
      <c r="D1219" s="14"/>
      <c r="E1219" s="15"/>
      <c r="F1219" s="16">
        <f t="shared" si="72"/>
        <v>0</v>
      </c>
      <c r="G1219">
        <f t="shared" si="71"/>
        <v>0</v>
      </c>
    </row>
    <row r="1220" spans="1:7" hidden="1" x14ac:dyDescent="0.25">
      <c r="A1220" s="43" t="s">
        <v>3317</v>
      </c>
      <c r="B1220" s="81" t="s">
        <v>3296</v>
      </c>
      <c r="C1220" s="26" t="s">
        <v>37</v>
      </c>
      <c r="D1220" s="14"/>
      <c r="E1220" s="15"/>
      <c r="F1220" s="16">
        <f t="shared" si="72"/>
        <v>0</v>
      </c>
      <c r="G1220">
        <f t="shared" si="71"/>
        <v>0</v>
      </c>
    </row>
    <row r="1221" spans="1:7" hidden="1" x14ac:dyDescent="0.25">
      <c r="A1221" s="43" t="s">
        <v>3318</v>
      </c>
      <c r="B1221" s="81" t="s">
        <v>3297</v>
      </c>
      <c r="C1221" s="26" t="s">
        <v>37</v>
      </c>
      <c r="D1221" s="14"/>
      <c r="E1221" s="15"/>
      <c r="F1221" s="16">
        <f t="shared" si="72"/>
        <v>0</v>
      </c>
      <c r="G1221">
        <f t="shared" si="71"/>
        <v>0</v>
      </c>
    </row>
    <row r="1222" spans="1:7" hidden="1" x14ac:dyDescent="0.25">
      <c r="A1222" s="43" t="s">
        <v>3319</v>
      </c>
      <c r="B1222" s="81" t="s">
        <v>3298</v>
      </c>
      <c r="C1222" s="26" t="s">
        <v>37</v>
      </c>
      <c r="D1222" s="14"/>
      <c r="E1222" s="15"/>
      <c r="F1222" s="16">
        <f t="shared" si="72"/>
        <v>0</v>
      </c>
      <c r="G1222">
        <f t="shared" si="71"/>
        <v>0</v>
      </c>
    </row>
    <row r="1223" spans="1:7" hidden="1" x14ac:dyDescent="0.25">
      <c r="A1223" s="43" t="s">
        <v>3320</v>
      </c>
      <c r="B1223" s="81" t="s">
        <v>3299</v>
      </c>
      <c r="C1223" s="26" t="s">
        <v>37</v>
      </c>
      <c r="D1223" s="14"/>
      <c r="E1223" s="15"/>
      <c r="F1223" s="16">
        <f t="shared" si="72"/>
        <v>0</v>
      </c>
      <c r="G1223">
        <f t="shared" si="71"/>
        <v>0</v>
      </c>
    </row>
    <row r="1224" spans="1:7" hidden="1" x14ac:dyDescent="0.25">
      <c r="A1224" s="43" t="s">
        <v>3321</v>
      </c>
      <c r="B1224" s="81" t="s">
        <v>3300</v>
      </c>
      <c r="C1224" s="26" t="s">
        <v>37</v>
      </c>
      <c r="D1224" s="14"/>
      <c r="E1224" s="15"/>
      <c r="F1224" s="16">
        <f t="shared" si="72"/>
        <v>0</v>
      </c>
      <c r="G1224">
        <f t="shared" si="71"/>
        <v>0</v>
      </c>
    </row>
    <row r="1225" spans="1:7" hidden="1" x14ac:dyDescent="0.25">
      <c r="A1225" s="43" t="s">
        <v>3322</v>
      </c>
      <c r="B1225" s="81" t="s">
        <v>3301</v>
      </c>
      <c r="C1225" s="26" t="s">
        <v>37</v>
      </c>
      <c r="D1225" s="14"/>
      <c r="E1225" s="15"/>
      <c r="F1225" s="16">
        <f t="shared" si="72"/>
        <v>0</v>
      </c>
      <c r="G1225">
        <f t="shared" si="71"/>
        <v>0</v>
      </c>
    </row>
    <row r="1226" spans="1:7" hidden="1" x14ac:dyDescent="0.25">
      <c r="A1226" s="43" t="s">
        <v>3323</v>
      </c>
      <c r="B1226" s="81" t="s">
        <v>3302</v>
      </c>
      <c r="C1226" s="26" t="s">
        <v>37</v>
      </c>
      <c r="D1226" s="14"/>
      <c r="E1226" s="15"/>
      <c r="F1226" s="16">
        <f t="shared" si="72"/>
        <v>0</v>
      </c>
      <c r="G1226">
        <f t="shared" si="71"/>
        <v>0</v>
      </c>
    </row>
    <row r="1227" spans="1:7" hidden="1" x14ac:dyDescent="0.25">
      <c r="A1227" s="43" t="s">
        <v>3324</v>
      </c>
      <c r="B1227" s="81" t="s">
        <v>3303</v>
      </c>
      <c r="C1227" s="26" t="s">
        <v>37</v>
      </c>
      <c r="D1227" s="14"/>
      <c r="E1227" s="15"/>
      <c r="F1227" s="16">
        <f t="shared" si="72"/>
        <v>0</v>
      </c>
      <c r="G1227">
        <f t="shared" si="71"/>
        <v>0</v>
      </c>
    </row>
    <row r="1228" spans="1:7" hidden="1" x14ac:dyDescent="0.25">
      <c r="A1228" s="43" t="s">
        <v>3325</v>
      </c>
      <c r="B1228" s="81" t="s">
        <v>3304</v>
      </c>
      <c r="C1228" s="26" t="s">
        <v>37</v>
      </c>
      <c r="D1228" s="14"/>
      <c r="E1228" s="15"/>
      <c r="F1228" s="16">
        <f t="shared" si="72"/>
        <v>0</v>
      </c>
      <c r="G1228">
        <f t="shared" si="71"/>
        <v>0</v>
      </c>
    </row>
    <row r="1229" spans="1:7" hidden="1" x14ac:dyDescent="0.25">
      <c r="A1229" s="43" t="s">
        <v>3326</v>
      </c>
      <c r="B1229" s="81" t="s">
        <v>3305</v>
      </c>
      <c r="C1229" s="26" t="s">
        <v>37</v>
      </c>
      <c r="D1229" s="14"/>
      <c r="E1229" s="15"/>
      <c r="F1229" s="16">
        <f t="shared" si="72"/>
        <v>0</v>
      </c>
      <c r="G1229">
        <f t="shared" si="71"/>
        <v>0</v>
      </c>
    </row>
    <row r="1230" spans="1:7" hidden="1" x14ac:dyDescent="0.25">
      <c r="A1230" s="43" t="s">
        <v>3327</v>
      </c>
      <c r="B1230" s="81" t="s">
        <v>3306</v>
      </c>
      <c r="C1230" s="26" t="s">
        <v>37</v>
      </c>
      <c r="D1230" s="14"/>
      <c r="E1230" s="15"/>
      <c r="F1230" s="16">
        <f t="shared" si="72"/>
        <v>0</v>
      </c>
      <c r="G1230">
        <f t="shared" si="71"/>
        <v>0</v>
      </c>
    </row>
    <row r="1231" spans="1:7" hidden="1" x14ac:dyDescent="0.25">
      <c r="A1231" s="43" t="s">
        <v>3328</v>
      </c>
      <c r="B1231" s="81" t="s">
        <v>3307</v>
      </c>
      <c r="C1231" s="26" t="s">
        <v>37</v>
      </c>
      <c r="D1231" s="14"/>
      <c r="E1231" s="15"/>
      <c r="F1231" s="16">
        <f t="shared" si="72"/>
        <v>0</v>
      </c>
      <c r="G1231">
        <f t="shared" si="71"/>
        <v>0</v>
      </c>
    </row>
    <row r="1232" spans="1:7" hidden="1" x14ac:dyDescent="0.25">
      <c r="A1232" s="43" t="s">
        <v>3329</v>
      </c>
      <c r="B1232" s="81" t="s">
        <v>3359</v>
      </c>
      <c r="C1232" s="26" t="s">
        <v>37</v>
      </c>
      <c r="D1232" s="14"/>
      <c r="E1232" s="15"/>
      <c r="F1232" s="16">
        <f t="shared" si="72"/>
        <v>0</v>
      </c>
      <c r="G1232">
        <f t="shared" si="71"/>
        <v>0</v>
      </c>
    </row>
    <row r="1233" spans="1:7" hidden="1" x14ac:dyDescent="0.25">
      <c r="A1233" s="43" t="s">
        <v>3330</v>
      </c>
      <c r="B1233" s="81" t="s">
        <v>3360</v>
      </c>
      <c r="C1233" s="26" t="s">
        <v>37</v>
      </c>
      <c r="D1233" s="14"/>
      <c r="E1233" s="15"/>
      <c r="F1233" s="16">
        <f t="shared" si="72"/>
        <v>0</v>
      </c>
      <c r="G1233">
        <f t="shared" si="71"/>
        <v>0</v>
      </c>
    </row>
    <row r="1234" spans="1:7" hidden="1" x14ac:dyDescent="0.25">
      <c r="A1234" s="43" t="s">
        <v>3331</v>
      </c>
      <c r="B1234" s="81" t="s">
        <v>3362</v>
      </c>
      <c r="C1234" s="26" t="s">
        <v>37</v>
      </c>
      <c r="D1234" s="14"/>
      <c r="E1234" s="15"/>
      <c r="F1234" s="16">
        <f t="shared" si="72"/>
        <v>0</v>
      </c>
      <c r="G1234">
        <f t="shared" si="71"/>
        <v>0</v>
      </c>
    </row>
    <row r="1235" spans="1:7" hidden="1" x14ac:dyDescent="0.25">
      <c r="A1235" s="43" t="s">
        <v>3332</v>
      </c>
      <c r="B1235" s="81" t="s">
        <v>3361</v>
      </c>
      <c r="C1235" s="26" t="s">
        <v>37</v>
      </c>
      <c r="D1235" s="14"/>
      <c r="E1235" s="15"/>
      <c r="F1235" s="16">
        <f t="shared" si="72"/>
        <v>0</v>
      </c>
      <c r="G1235">
        <f t="shared" si="71"/>
        <v>0</v>
      </c>
    </row>
    <row r="1236" spans="1:7" hidden="1" x14ac:dyDescent="0.25">
      <c r="A1236" s="43" t="s">
        <v>3333</v>
      </c>
      <c r="B1236" s="81" t="s">
        <v>3363</v>
      </c>
      <c r="C1236" s="26" t="s">
        <v>37</v>
      </c>
      <c r="D1236" s="14"/>
      <c r="E1236" s="15"/>
      <c r="F1236" s="16">
        <f t="shared" si="72"/>
        <v>0</v>
      </c>
      <c r="G1236">
        <f t="shared" si="71"/>
        <v>0</v>
      </c>
    </row>
    <row r="1237" spans="1:7" hidden="1" x14ac:dyDescent="0.25">
      <c r="A1237" s="43" t="s">
        <v>3334</v>
      </c>
      <c r="B1237" s="81" t="s">
        <v>3370</v>
      </c>
      <c r="C1237" s="26" t="s">
        <v>37</v>
      </c>
      <c r="D1237" s="14"/>
      <c r="E1237" s="15"/>
      <c r="F1237" s="16">
        <f t="shared" si="72"/>
        <v>0</v>
      </c>
      <c r="G1237">
        <f t="shared" si="71"/>
        <v>0</v>
      </c>
    </row>
    <row r="1238" spans="1:7" hidden="1" x14ac:dyDescent="0.25">
      <c r="A1238" s="43" t="s">
        <v>3335</v>
      </c>
      <c r="B1238" s="81" t="s">
        <v>3371</v>
      </c>
      <c r="C1238" s="26" t="s">
        <v>37</v>
      </c>
      <c r="D1238" s="14"/>
      <c r="E1238" s="15"/>
      <c r="F1238" s="16">
        <f t="shared" si="72"/>
        <v>0</v>
      </c>
      <c r="G1238">
        <f t="shared" si="71"/>
        <v>0</v>
      </c>
    </row>
    <row r="1239" spans="1:7" hidden="1" x14ac:dyDescent="0.25">
      <c r="A1239" s="43" t="s">
        <v>3336</v>
      </c>
      <c r="B1239" s="81" t="s">
        <v>3372</v>
      </c>
      <c r="C1239" s="26" t="s">
        <v>37</v>
      </c>
      <c r="D1239" s="14"/>
      <c r="E1239" s="15"/>
      <c r="F1239" s="16">
        <f t="shared" si="72"/>
        <v>0</v>
      </c>
      <c r="G1239">
        <f t="shared" si="71"/>
        <v>0</v>
      </c>
    </row>
    <row r="1240" spans="1:7" hidden="1" x14ac:dyDescent="0.25">
      <c r="A1240" s="43" t="s">
        <v>3337</v>
      </c>
      <c r="B1240" s="81" t="s">
        <v>3373</v>
      </c>
      <c r="C1240" s="26" t="s">
        <v>37</v>
      </c>
      <c r="D1240" s="14"/>
      <c r="E1240" s="15"/>
      <c r="F1240" s="16">
        <f t="shared" si="72"/>
        <v>0</v>
      </c>
      <c r="G1240">
        <f t="shared" si="71"/>
        <v>0</v>
      </c>
    </row>
    <row r="1241" spans="1:7" hidden="1" x14ac:dyDescent="0.25">
      <c r="A1241" s="43" t="s">
        <v>3338</v>
      </c>
      <c r="B1241" s="81" t="s">
        <v>3374</v>
      </c>
      <c r="C1241" s="26" t="s">
        <v>37</v>
      </c>
      <c r="D1241" s="14"/>
      <c r="E1241" s="15"/>
      <c r="F1241" s="16">
        <f t="shared" si="72"/>
        <v>0</v>
      </c>
      <c r="G1241">
        <f t="shared" si="71"/>
        <v>0</v>
      </c>
    </row>
    <row r="1242" spans="1:7" hidden="1" x14ac:dyDescent="0.25">
      <c r="A1242" s="43" t="s">
        <v>3339</v>
      </c>
      <c r="B1242" s="81" t="s">
        <v>3375</v>
      </c>
      <c r="C1242" s="26" t="s">
        <v>37</v>
      </c>
      <c r="D1242" s="14"/>
      <c r="E1242" s="15"/>
      <c r="F1242" s="16">
        <f t="shared" si="72"/>
        <v>0</v>
      </c>
      <c r="G1242">
        <f t="shared" si="71"/>
        <v>0</v>
      </c>
    </row>
    <row r="1243" spans="1:7" hidden="1" x14ac:dyDescent="0.25">
      <c r="A1243" s="43" t="s">
        <v>3340</v>
      </c>
      <c r="B1243" s="81" t="s">
        <v>3376</v>
      </c>
      <c r="C1243" s="26" t="s">
        <v>37</v>
      </c>
      <c r="D1243" s="14"/>
      <c r="E1243" s="15"/>
      <c r="F1243" s="16">
        <f t="shared" si="72"/>
        <v>0</v>
      </c>
      <c r="G1243">
        <f t="shared" si="71"/>
        <v>0</v>
      </c>
    </row>
    <row r="1244" spans="1:7" hidden="1" x14ac:dyDescent="0.25">
      <c r="A1244" s="43" t="s">
        <v>3341</v>
      </c>
      <c r="B1244" s="81" t="s">
        <v>3377</v>
      </c>
      <c r="C1244" s="26" t="s">
        <v>37</v>
      </c>
      <c r="D1244" s="14"/>
      <c r="E1244" s="15"/>
      <c r="F1244" s="16">
        <f t="shared" si="72"/>
        <v>0</v>
      </c>
      <c r="G1244">
        <f t="shared" si="71"/>
        <v>0</v>
      </c>
    </row>
    <row r="1245" spans="1:7" hidden="1" x14ac:dyDescent="0.25">
      <c r="A1245" s="43" t="s">
        <v>3342</v>
      </c>
      <c r="B1245" s="81" t="s">
        <v>3378</v>
      </c>
      <c r="C1245" s="26" t="s">
        <v>37</v>
      </c>
      <c r="D1245" s="14"/>
      <c r="E1245" s="15"/>
      <c r="F1245" s="16">
        <f t="shared" si="72"/>
        <v>0</v>
      </c>
      <c r="G1245">
        <f t="shared" si="71"/>
        <v>0</v>
      </c>
    </row>
    <row r="1246" spans="1:7" hidden="1" x14ac:dyDescent="0.25">
      <c r="A1246" s="43" t="s">
        <v>3343</v>
      </c>
      <c r="B1246" s="81" t="s">
        <v>3379</v>
      </c>
      <c r="C1246" s="26" t="s">
        <v>37</v>
      </c>
      <c r="D1246" s="14"/>
      <c r="E1246" s="15"/>
      <c r="F1246" s="16">
        <f t="shared" si="72"/>
        <v>0</v>
      </c>
      <c r="G1246">
        <f t="shared" si="71"/>
        <v>0</v>
      </c>
    </row>
    <row r="1247" spans="1:7" hidden="1" x14ac:dyDescent="0.25">
      <c r="A1247" s="43" t="s">
        <v>3344</v>
      </c>
      <c r="B1247" s="81" t="s">
        <v>3380</v>
      </c>
      <c r="C1247" s="26" t="s">
        <v>37</v>
      </c>
      <c r="D1247" s="14"/>
      <c r="E1247" s="15"/>
      <c r="F1247" s="16">
        <f t="shared" si="72"/>
        <v>0</v>
      </c>
      <c r="G1247">
        <f t="shared" si="71"/>
        <v>0</v>
      </c>
    </row>
    <row r="1248" spans="1:7" hidden="1" x14ac:dyDescent="0.25">
      <c r="A1248" s="43" t="s">
        <v>3345</v>
      </c>
      <c r="B1248" s="81" t="s">
        <v>3369</v>
      </c>
      <c r="C1248" s="26" t="s">
        <v>37</v>
      </c>
      <c r="D1248" s="14"/>
      <c r="E1248" s="15"/>
      <c r="F1248" s="16">
        <f t="shared" si="72"/>
        <v>0</v>
      </c>
      <c r="G1248">
        <f t="shared" si="71"/>
        <v>0</v>
      </c>
    </row>
    <row r="1249" spans="1:7" hidden="1" x14ac:dyDescent="0.25">
      <c r="A1249" s="43" t="s">
        <v>3346</v>
      </c>
      <c r="B1249" s="81" t="s">
        <v>3364</v>
      </c>
      <c r="C1249" s="26" t="s">
        <v>37</v>
      </c>
      <c r="D1249" s="14"/>
      <c r="E1249" s="15"/>
      <c r="F1249" s="16">
        <f t="shared" si="72"/>
        <v>0</v>
      </c>
      <c r="G1249">
        <f t="shared" si="71"/>
        <v>0</v>
      </c>
    </row>
    <row r="1250" spans="1:7" hidden="1" x14ac:dyDescent="0.25">
      <c r="A1250" s="43" t="s">
        <v>3347</v>
      </c>
      <c r="B1250" s="81" t="s">
        <v>3365</v>
      </c>
      <c r="C1250" s="26" t="s">
        <v>37</v>
      </c>
      <c r="D1250" s="14"/>
      <c r="E1250" s="15"/>
      <c r="F1250" s="16">
        <f t="shared" si="72"/>
        <v>0</v>
      </c>
      <c r="G1250">
        <f t="shared" si="71"/>
        <v>0</v>
      </c>
    </row>
    <row r="1251" spans="1:7" hidden="1" x14ac:dyDescent="0.25">
      <c r="A1251" s="43" t="s">
        <v>3348</v>
      </c>
      <c r="B1251" s="81" t="s">
        <v>3366</v>
      </c>
      <c r="C1251" s="26" t="s">
        <v>37</v>
      </c>
      <c r="D1251" s="14"/>
      <c r="E1251" s="15"/>
      <c r="F1251" s="16">
        <f t="shared" si="72"/>
        <v>0</v>
      </c>
      <c r="G1251">
        <f t="shared" si="71"/>
        <v>0</v>
      </c>
    </row>
    <row r="1252" spans="1:7" hidden="1" x14ac:dyDescent="0.25">
      <c r="A1252" s="43" t="s">
        <v>3349</v>
      </c>
      <c r="B1252" s="81" t="s">
        <v>3367</v>
      </c>
      <c r="C1252" s="26" t="s">
        <v>37</v>
      </c>
      <c r="D1252" s="14"/>
      <c r="E1252" s="15"/>
      <c r="F1252" s="16">
        <f t="shared" si="72"/>
        <v>0</v>
      </c>
      <c r="G1252">
        <f t="shared" ref="G1252:G1315" si="73">+IF(F1252&lt;&gt;0,1,0)</f>
        <v>0</v>
      </c>
    </row>
    <row r="1253" spans="1:7" hidden="1" x14ac:dyDescent="0.25">
      <c r="A1253" s="43" t="s">
        <v>3350</v>
      </c>
      <c r="B1253" s="81" t="s">
        <v>3368</v>
      </c>
      <c r="C1253" s="26" t="s">
        <v>37</v>
      </c>
      <c r="D1253" s="14"/>
      <c r="E1253" s="15"/>
      <c r="F1253" s="16">
        <f t="shared" si="72"/>
        <v>0</v>
      </c>
      <c r="G1253">
        <f t="shared" si="73"/>
        <v>0</v>
      </c>
    </row>
    <row r="1254" spans="1:7" hidden="1" x14ac:dyDescent="0.25">
      <c r="A1254" s="43" t="s">
        <v>3351</v>
      </c>
      <c r="B1254" s="81" t="s">
        <v>3294</v>
      </c>
      <c r="C1254" s="26" t="s">
        <v>37</v>
      </c>
      <c r="D1254" s="14"/>
      <c r="E1254" s="15"/>
      <c r="F1254" s="16">
        <f t="shared" si="72"/>
        <v>0</v>
      </c>
      <c r="G1254">
        <f t="shared" si="73"/>
        <v>0</v>
      </c>
    </row>
    <row r="1255" spans="1:7" hidden="1" x14ac:dyDescent="0.25">
      <c r="A1255" s="43" t="s">
        <v>3352</v>
      </c>
      <c r="B1255" s="81" t="s">
        <v>3293</v>
      </c>
      <c r="C1255" s="26" t="s">
        <v>37</v>
      </c>
      <c r="D1255" s="14"/>
      <c r="E1255" s="15"/>
      <c r="F1255" s="16">
        <f t="shared" si="72"/>
        <v>0</v>
      </c>
      <c r="G1255">
        <f t="shared" si="73"/>
        <v>0</v>
      </c>
    </row>
    <row r="1256" spans="1:7" hidden="1" x14ac:dyDescent="0.25">
      <c r="A1256" s="43" t="s">
        <v>3353</v>
      </c>
      <c r="B1256" s="81" t="s">
        <v>3292</v>
      </c>
      <c r="C1256" s="26" t="s">
        <v>37</v>
      </c>
      <c r="D1256" s="14"/>
      <c r="E1256" s="15"/>
      <c r="F1256" s="16">
        <f t="shared" si="72"/>
        <v>0</v>
      </c>
      <c r="G1256">
        <f t="shared" si="73"/>
        <v>0</v>
      </c>
    </row>
    <row r="1257" spans="1:7" hidden="1" x14ac:dyDescent="0.25">
      <c r="A1257" s="43" t="s">
        <v>3354</v>
      </c>
      <c r="B1257" s="81" t="s">
        <v>3291</v>
      </c>
      <c r="C1257" s="26" t="s">
        <v>37</v>
      </c>
      <c r="D1257" s="14"/>
      <c r="E1257" s="15"/>
      <c r="F1257" s="16">
        <f t="shared" si="72"/>
        <v>0</v>
      </c>
      <c r="G1257">
        <f t="shared" si="73"/>
        <v>0</v>
      </c>
    </row>
    <row r="1258" spans="1:7" hidden="1" x14ac:dyDescent="0.25">
      <c r="A1258" s="43" t="s">
        <v>3355</v>
      </c>
      <c r="B1258" s="81" t="s">
        <v>3290</v>
      </c>
      <c r="C1258" s="26" t="s">
        <v>37</v>
      </c>
      <c r="D1258" s="14"/>
      <c r="E1258" s="15"/>
      <c r="F1258" s="16">
        <f t="shared" si="72"/>
        <v>0</v>
      </c>
      <c r="G1258">
        <f t="shared" si="73"/>
        <v>0</v>
      </c>
    </row>
    <row r="1259" spans="1:7" hidden="1" x14ac:dyDescent="0.25">
      <c r="A1259" s="43" t="s">
        <v>3356</v>
      </c>
      <c r="B1259" s="81" t="s">
        <v>3289</v>
      </c>
      <c r="C1259" s="26" t="s">
        <v>37</v>
      </c>
      <c r="D1259" s="14"/>
      <c r="E1259" s="15"/>
      <c r="F1259" s="16">
        <f t="shared" si="72"/>
        <v>0</v>
      </c>
      <c r="G1259">
        <f t="shared" si="73"/>
        <v>0</v>
      </c>
    </row>
    <row r="1260" spans="1:7" hidden="1" x14ac:dyDescent="0.25">
      <c r="A1260" s="43" t="s">
        <v>3357</v>
      </c>
      <c r="B1260" s="81" t="s">
        <v>3288</v>
      </c>
      <c r="C1260" s="26" t="s">
        <v>37</v>
      </c>
      <c r="D1260" s="14"/>
      <c r="E1260" s="15"/>
      <c r="F1260" s="16">
        <f t="shared" si="72"/>
        <v>0</v>
      </c>
      <c r="G1260">
        <f t="shared" si="73"/>
        <v>0</v>
      </c>
    </row>
    <row r="1261" spans="1:7" hidden="1" x14ac:dyDescent="0.25">
      <c r="A1261" s="43" t="s">
        <v>3358</v>
      </c>
      <c r="B1261" s="81" t="s">
        <v>3287</v>
      </c>
      <c r="C1261" s="26" t="s">
        <v>37</v>
      </c>
      <c r="D1261" s="14"/>
      <c r="E1261" s="15"/>
      <c r="F1261" s="16">
        <f t="shared" si="72"/>
        <v>0</v>
      </c>
      <c r="G1261">
        <f t="shared" si="73"/>
        <v>0</v>
      </c>
    </row>
    <row r="1262" spans="1:7" hidden="1" x14ac:dyDescent="0.25">
      <c r="A1262" s="44" t="s">
        <v>3433</v>
      </c>
      <c r="B1262" s="80" t="s">
        <v>3432</v>
      </c>
      <c r="C1262" s="26" t="s">
        <v>37</v>
      </c>
      <c r="D1262" s="14"/>
      <c r="E1262" s="15"/>
      <c r="F1262" s="16"/>
      <c r="G1262">
        <f t="shared" si="73"/>
        <v>0</v>
      </c>
    </row>
    <row r="1263" spans="1:7" hidden="1" x14ac:dyDescent="0.25">
      <c r="A1263" s="43" t="s">
        <v>3434</v>
      </c>
      <c r="B1263" s="81" t="s">
        <v>3381</v>
      </c>
      <c r="C1263" s="26" t="s">
        <v>37</v>
      </c>
      <c r="D1263" s="14"/>
      <c r="E1263" s="15"/>
      <c r="F1263" s="16">
        <f t="shared" ref="F1263:F1326" si="74">+D1263*E1263</f>
        <v>0</v>
      </c>
      <c r="G1263">
        <f t="shared" si="73"/>
        <v>0</v>
      </c>
    </row>
    <row r="1264" spans="1:7" hidden="1" x14ac:dyDescent="0.25">
      <c r="A1264" s="43" t="s">
        <v>3435</v>
      </c>
      <c r="B1264" s="81" t="s">
        <v>3382</v>
      </c>
      <c r="C1264" s="26" t="s">
        <v>37</v>
      </c>
      <c r="D1264" s="14"/>
      <c r="E1264" s="15"/>
      <c r="F1264" s="16">
        <f t="shared" si="74"/>
        <v>0</v>
      </c>
      <c r="G1264">
        <f t="shared" si="73"/>
        <v>0</v>
      </c>
    </row>
    <row r="1265" spans="1:7" hidden="1" x14ac:dyDescent="0.25">
      <c r="A1265" s="43" t="s">
        <v>3436</v>
      </c>
      <c r="B1265" s="81" t="s">
        <v>3383</v>
      </c>
      <c r="C1265" s="26" t="s">
        <v>37</v>
      </c>
      <c r="D1265" s="14"/>
      <c r="E1265" s="15"/>
      <c r="F1265" s="16">
        <f t="shared" si="74"/>
        <v>0</v>
      </c>
      <c r="G1265">
        <f t="shared" si="73"/>
        <v>0</v>
      </c>
    </row>
    <row r="1266" spans="1:7" hidden="1" x14ac:dyDescent="0.25">
      <c r="A1266" s="43" t="s">
        <v>3437</v>
      </c>
      <c r="B1266" s="81" t="s">
        <v>3384</v>
      </c>
      <c r="C1266" s="26" t="s">
        <v>37</v>
      </c>
      <c r="D1266" s="14"/>
      <c r="E1266" s="15"/>
      <c r="F1266" s="16">
        <f t="shared" si="74"/>
        <v>0</v>
      </c>
      <c r="G1266">
        <f t="shared" si="73"/>
        <v>0</v>
      </c>
    </row>
    <row r="1267" spans="1:7" hidden="1" x14ac:dyDescent="0.25">
      <c r="A1267" s="43" t="s">
        <v>3438</v>
      </c>
      <c r="B1267" s="81" t="s">
        <v>3385</v>
      </c>
      <c r="C1267" s="26" t="s">
        <v>37</v>
      </c>
      <c r="D1267" s="14"/>
      <c r="E1267" s="15"/>
      <c r="F1267" s="16">
        <f t="shared" si="74"/>
        <v>0</v>
      </c>
      <c r="G1267">
        <f t="shared" si="73"/>
        <v>0</v>
      </c>
    </row>
    <row r="1268" spans="1:7" hidden="1" x14ac:dyDescent="0.25">
      <c r="A1268" s="43" t="s">
        <v>3439</v>
      </c>
      <c r="B1268" s="81" t="s">
        <v>3386</v>
      </c>
      <c r="C1268" s="26" t="s">
        <v>37</v>
      </c>
      <c r="D1268" s="14"/>
      <c r="E1268" s="15"/>
      <c r="F1268" s="16">
        <f t="shared" si="74"/>
        <v>0</v>
      </c>
      <c r="G1268">
        <f t="shared" si="73"/>
        <v>0</v>
      </c>
    </row>
    <row r="1269" spans="1:7" hidden="1" x14ac:dyDescent="0.25">
      <c r="A1269" s="43" t="s">
        <v>3440</v>
      </c>
      <c r="B1269" s="81" t="s">
        <v>3387</v>
      </c>
      <c r="C1269" s="26" t="s">
        <v>37</v>
      </c>
      <c r="D1269" s="14"/>
      <c r="E1269" s="15"/>
      <c r="F1269" s="16">
        <f t="shared" si="74"/>
        <v>0</v>
      </c>
      <c r="G1269">
        <f t="shared" si="73"/>
        <v>0</v>
      </c>
    </row>
    <row r="1270" spans="1:7" hidden="1" x14ac:dyDescent="0.25">
      <c r="A1270" s="43" t="s">
        <v>3441</v>
      </c>
      <c r="B1270" s="81" t="s">
        <v>3388</v>
      </c>
      <c r="C1270" s="26" t="s">
        <v>37</v>
      </c>
      <c r="D1270" s="14"/>
      <c r="E1270" s="15"/>
      <c r="F1270" s="16">
        <f t="shared" si="74"/>
        <v>0</v>
      </c>
      <c r="G1270">
        <f t="shared" si="73"/>
        <v>0</v>
      </c>
    </row>
    <row r="1271" spans="1:7" hidden="1" x14ac:dyDescent="0.25">
      <c r="A1271" s="43" t="s">
        <v>3442</v>
      </c>
      <c r="B1271" s="81" t="s">
        <v>3389</v>
      </c>
      <c r="C1271" s="26" t="s">
        <v>37</v>
      </c>
      <c r="D1271" s="14"/>
      <c r="E1271" s="15"/>
      <c r="F1271" s="16">
        <f t="shared" si="74"/>
        <v>0</v>
      </c>
      <c r="G1271">
        <f t="shared" si="73"/>
        <v>0</v>
      </c>
    </row>
    <row r="1272" spans="1:7" hidden="1" x14ac:dyDescent="0.25">
      <c r="A1272" s="43" t="s">
        <v>3443</v>
      </c>
      <c r="B1272" s="81" t="s">
        <v>3390</v>
      </c>
      <c r="C1272" s="26" t="s">
        <v>37</v>
      </c>
      <c r="D1272" s="14"/>
      <c r="E1272" s="15"/>
      <c r="F1272" s="16">
        <f t="shared" si="74"/>
        <v>0</v>
      </c>
      <c r="G1272">
        <f t="shared" si="73"/>
        <v>0</v>
      </c>
    </row>
    <row r="1273" spans="1:7" hidden="1" x14ac:dyDescent="0.25">
      <c r="A1273" s="43" t="s">
        <v>3444</v>
      </c>
      <c r="B1273" s="81" t="s">
        <v>3391</v>
      </c>
      <c r="C1273" s="26" t="s">
        <v>37</v>
      </c>
      <c r="D1273" s="14"/>
      <c r="E1273" s="15"/>
      <c r="F1273" s="16">
        <f t="shared" si="74"/>
        <v>0</v>
      </c>
      <c r="G1273">
        <f t="shared" si="73"/>
        <v>0</v>
      </c>
    </row>
    <row r="1274" spans="1:7" hidden="1" x14ac:dyDescent="0.25">
      <c r="A1274" s="43" t="s">
        <v>3445</v>
      </c>
      <c r="B1274" s="81" t="s">
        <v>3392</v>
      </c>
      <c r="C1274" s="26" t="s">
        <v>37</v>
      </c>
      <c r="D1274" s="14"/>
      <c r="E1274" s="15"/>
      <c r="F1274" s="16">
        <f t="shared" si="74"/>
        <v>0</v>
      </c>
      <c r="G1274">
        <f t="shared" si="73"/>
        <v>0</v>
      </c>
    </row>
    <row r="1275" spans="1:7" hidden="1" x14ac:dyDescent="0.25">
      <c r="A1275" s="43" t="s">
        <v>3446</v>
      </c>
      <c r="B1275" s="81" t="s">
        <v>3393</v>
      </c>
      <c r="C1275" s="26" t="s">
        <v>37</v>
      </c>
      <c r="D1275" s="14"/>
      <c r="E1275" s="15"/>
      <c r="F1275" s="16">
        <f t="shared" si="74"/>
        <v>0</v>
      </c>
      <c r="G1275">
        <f t="shared" si="73"/>
        <v>0</v>
      </c>
    </row>
    <row r="1276" spans="1:7" hidden="1" x14ac:dyDescent="0.25">
      <c r="A1276" s="43" t="s">
        <v>3447</v>
      </c>
      <c r="B1276" s="81" t="s">
        <v>3394</v>
      </c>
      <c r="C1276" s="26" t="s">
        <v>37</v>
      </c>
      <c r="D1276" s="14"/>
      <c r="E1276" s="15"/>
      <c r="F1276" s="16">
        <f t="shared" si="74"/>
        <v>0</v>
      </c>
      <c r="G1276">
        <f t="shared" si="73"/>
        <v>0</v>
      </c>
    </row>
    <row r="1277" spans="1:7" hidden="1" x14ac:dyDescent="0.25">
      <c r="A1277" s="43" t="s">
        <v>3448</v>
      </c>
      <c r="B1277" s="81" t="s">
        <v>3395</v>
      </c>
      <c r="C1277" s="26" t="s">
        <v>37</v>
      </c>
      <c r="D1277" s="14"/>
      <c r="E1277" s="15"/>
      <c r="F1277" s="16">
        <f t="shared" si="74"/>
        <v>0</v>
      </c>
      <c r="G1277">
        <f t="shared" si="73"/>
        <v>0</v>
      </c>
    </row>
    <row r="1278" spans="1:7" hidden="1" x14ac:dyDescent="0.25">
      <c r="A1278" s="43" t="s">
        <v>3449</v>
      </c>
      <c r="B1278" s="81" t="s">
        <v>3396</v>
      </c>
      <c r="C1278" s="26" t="s">
        <v>37</v>
      </c>
      <c r="D1278" s="14"/>
      <c r="E1278" s="15"/>
      <c r="F1278" s="16">
        <f t="shared" si="74"/>
        <v>0</v>
      </c>
      <c r="G1278">
        <f t="shared" si="73"/>
        <v>0</v>
      </c>
    </row>
    <row r="1279" spans="1:7" hidden="1" x14ac:dyDescent="0.25">
      <c r="A1279" s="43" t="s">
        <v>3450</v>
      </c>
      <c r="B1279" s="81" t="s">
        <v>3397</v>
      </c>
      <c r="C1279" s="26" t="s">
        <v>37</v>
      </c>
      <c r="D1279" s="14"/>
      <c r="E1279" s="15"/>
      <c r="F1279" s="16">
        <f t="shared" si="74"/>
        <v>0</v>
      </c>
      <c r="G1279">
        <f t="shared" si="73"/>
        <v>0</v>
      </c>
    </row>
    <row r="1280" spans="1:7" hidden="1" x14ac:dyDescent="0.25">
      <c r="A1280" s="43" t="s">
        <v>3451</v>
      </c>
      <c r="B1280" s="81" t="s">
        <v>3398</v>
      </c>
      <c r="C1280" s="26" t="s">
        <v>37</v>
      </c>
      <c r="D1280" s="14"/>
      <c r="E1280" s="15"/>
      <c r="F1280" s="16">
        <f t="shared" si="74"/>
        <v>0</v>
      </c>
      <c r="G1280">
        <f t="shared" si="73"/>
        <v>0</v>
      </c>
    </row>
    <row r="1281" spans="1:7" hidden="1" x14ac:dyDescent="0.25">
      <c r="A1281" s="43" t="s">
        <v>3452</v>
      </c>
      <c r="B1281" s="81" t="s">
        <v>3399</v>
      </c>
      <c r="C1281" s="26" t="s">
        <v>37</v>
      </c>
      <c r="D1281" s="14"/>
      <c r="E1281" s="15"/>
      <c r="F1281" s="16">
        <f t="shared" si="74"/>
        <v>0</v>
      </c>
      <c r="G1281">
        <f t="shared" si="73"/>
        <v>0</v>
      </c>
    </row>
    <row r="1282" spans="1:7" hidden="1" x14ac:dyDescent="0.25">
      <c r="A1282" s="43" t="s">
        <v>3453</v>
      </c>
      <c r="B1282" s="81" t="s">
        <v>3400</v>
      </c>
      <c r="C1282" s="26" t="s">
        <v>37</v>
      </c>
      <c r="D1282" s="14"/>
      <c r="E1282" s="15"/>
      <c r="F1282" s="16">
        <f t="shared" si="74"/>
        <v>0</v>
      </c>
      <c r="G1282">
        <f t="shared" si="73"/>
        <v>0</v>
      </c>
    </row>
    <row r="1283" spans="1:7" hidden="1" x14ac:dyDescent="0.25">
      <c r="A1283" s="43" t="s">
        <v>3454</v>
      </c>
      <c r="B1283" s="81" t="s">
        <v>3401</v>
      </c>
      <c r="C1283" s="26" t="s">
        <v>37</v>
      </c>
      <c r="D1283" s="14"/>
      <c r="E1283" s="15"/>
      <c r="F1283" s="16">
        <f t="shared" si="74"/>
        <v>0</v>
      </c>
      <c r="G1283">
        <f t="shared" si="73"/>
        <v>0</v>
      </c>
    </row>
    <row r="1284" spans="1:7" hidden="1" x14ac:dyDescent="0.25">
      <c r="A1284" s="43" t="s">
        <v>3455</v>
      </c>
      <c r="B1284" s="81" t="s">
        <v>3402</v>
      </c>
      <c r="C1284" s="26" t="s">
        <v>37</v>
      </c>
      <c r="D1284" s="14"/>
      <c r="E1284" s="15"/>
      <c r="F1284" s="16">
        <f t="shared" si="74"/>
        <v>0</v>
      </c>
      <c r="G1284">
        <f t="shared" si="73"/>
        <v>0</v>
      </c>
    </row>
    <row r="1285" spans="1:7" hidden="1" x14ac:dyDescent="0.25">
      <c r="A1285" s="43" t="s">
        <v>3456</v>
      </c>
      <c r="B1285" s="81" t="s">
        <v>3403</v>
      </c>
      <c r="C1285" s="26" t="s">
        <v>37</v>
      </c>
      <c r="D1285" s="14"/>
      <c r="E1285" s="15"/>
      <c r="F1285" s="16">
        <f t="shared" si="74"/>
        <v>0</v>
      </c>
      <c r="G1285">
        <f t="shared" si="73"/>
        <v>0</v>
      </c>
    </row>
    <row r="1286" spans="1:7" hidden="1" x14ac:dyDescent="0.25">
      <c r="A1286" s="43" t="s">
        <v>3457</v>
      </c>
      <c r="B1286" s="81" t="s">
        <v>3404</v>
      </c>
      <c r="C1286" s="26" t="s">
        <v>37</v>
      </c>
      <c r="D1286" s="14"/>
      <c r="E1286" s="15"/>
      <c r="F1286" s="16">
        <f t="shared" si="74"/>
        <v>0</v>
      </c>
      <c r="G1286">
        <f t="shared" si="73"/>
        <v>0</v>
      </c>
    </row>
    <row r="1287" spans="1:7" hidden="1" x14ac:dyDescent="0.25">
      <c r="A1287" s="43" t="s">
        <v>3458</v>
      </c>
      <c r="B1287" s="81" t="s">
        <v>3405</v>
      </c>
      <c r="C1287" s="26" t="s">
        <v>37</v>
      </c>
      <c r="D1287" s="14"/>
      <c r="E1287" s="15"/>
      <c r="F1287" s="16">
        <f t="shared" si="74"/>
        <v>0</v>
      </c>
      <c r="G1287">
        <f t="shared" si="73"/>
        <v>0</v>
      </c>
    </row>
    <row r="1288" spans="1:7" hidden="1" x14ac:dyDescent="0.25">
      <c r="A1288" s="43" t="s">
        <v>3459</v>
      </c>
      <c r="B1288" s="81" t="s">
        <v>3406</v>
      </c>
      <c r="C1288" s="26" t="s">
        <v>37</v>
      </c>
      <c r="D1288" s="14"/>
      <c r="E1288" s="15"/>
      <c r="F1288" s="16">
        <f t="shared" si="74"/>
        <v>0</v>
      </c>
      <c r="G1288">
        <f t="shared" si="73"/>
        <v>0</v>
      </c>
    </row>
    <row r="1289" spans="1:7" hidden="1" x14ac:dyDescent="0.25">
      <c r="A1289" s="43" t="s">
        <v>3460</v>
      </c>
      <c r="B1289" s="81" t="s">
        <v>3407</v>
      </c>
      <c r="C1289" s="26" t="s">
        <v>37</v>
      </c>
      <c r="D1289" s="14"/>
      <c r="E1289" s="15"/>
      <c r="F1289" s="16">
        <f t="shared" si="74"/>
        <v>0</v>
      </c>
      <c r="G1289">
        <f t="shared" si="73"/>
        <v>0</v>
      </c>
    </row>
    <row r="1290" spans="1:7" hidden="1" x14ac:dyDescent="0.25">
      <c r="A1290" s="43" t="s">
        <v>3461</v>
      </c>
      <c r="B1290" s="81" t="s">
        <v>3408</v>
      </c>
      <c r="C1290" s="26" t="s">
        <v>37</v>
      </c>
      <c r="D1290" s="14"/>
      <c r="E1290" s="15"/>
      <c r="F1290" s="16">
        <f t="shared" si="74"/>
        <v>0</v>
      </c>
      <c r="G1290">
        <f t="shared" si="73"/>
        <v>0</v>
      </c>
    </row>
    <row r="1291" spans="1:7" hidden="1" x14ac:dyDescent="0.25">
      <c r="A1291" s="43" t="s">
        <v>3462</v>
      </c>
      <c r="B1291" s="81" t="s">
        <v>3409</v>
      </c>
      <c r="C1291" s="26" t="s">
        <v>37</v>
      </c>
      <c r="D1291" s="14"/>
      <c r="E1291" s="15"/>
      <c r="F1291" s="16">
        <f t="shared" si="74"/>
        <v>0</v>
      </c>
      <c r="G1291">
        <f t="shared" si="73"/>
        <v>0</v>
      </c>
    </row>
    <row r="1292" spans="1:7" hidden="1" x14ac:dyDescent="0.25">
      <c r="A1292" s="43" t="s">
        <v>3463</v>
      </c>
      <c r="B1292" s="81" t="s">
        <v>3410</v>
      </c>
      <c r="C1292" s="26" t="s">
        <v>37</v>
      </c>
      <c r="D1292" s="14"/>
      <c r="E1292" s="15"/>
      <c r="F1292" s="16">
        <f t="shared" si="74"/>
        <v>0</v>
      </c>
      <c r="G1292">
        <f t="shared" si="73"/>
        <v>0</v>
      </c>
    </row>
    <row r="1293" spans="1:7" hidden="1" x14ac:dyDescent="0.25">
      <c r="A1293" s="43" t="s">
        <v>3464</v>
      </c>
      <c r="B1293" s="81" t="s">
        <v>3411</v>
      </c>
      <c r="C1293" s="26" t="s">
        <v>37</v>
      </c>
      <c r="D1293" s="14"/>
      <c r="E1293" s="15"/>
      <c r="F1293" s="16">
        <f t="shared" si="74"/>
        <v>0</v>
      </c>
      <c r="G1293">
        <f t="shared" si="73"/>
        <v>0</v>
      </c>
    </row>
    <row r="1294" spans="1:7" hidden="1" x14ac:dyDescent="0.25">
      <c r="A1294" s="43" t="s">
        <v>3465</v>
      </c>
      <c r="B1294" s="81" t="s">
        <v>3412</v>
      </c>
      <c r="C1294" s="26" t="s">
        <v>37</v>
      </c>
      <c r="D1294" s="14"/>
      <c r="E1294" s="15"/>
      <c r="F1294" s="16">
        <f t="shared" si="74"/>
        <v>0</v>
      </c>
      <c r="G1294">
        <f t="shared" si="73"/>
        <v>0</v>
      </c>
    </row>
    <row r="1295" spans="1:7" hidden="1" x14ac:dyDescent="0.25">
      <c r="A1295" s="43" t="s">
        <v>3466</v>
      </c>
      <c r="B1295" s="81" t="s">
        <v>3413</v>
      </c>
      <c r="C1295" s="26" t="s">
        <v>37</v>
      </c>
      <c r="D1295" s="14"/>
      <c r="E1295" s="15"/>
      <c r="F1295" s="16">
        <f t="shared" si="74"/>
        <v>0</v>
      </c>
      <c r="G1295">
        <f t="shared" si="73"/>
        <v>0</v>
      </c>
    </row>
    <row r="1296" spans="1:7" hidden="1" x14ac:dyDescent="0.25">
      <c r="A1296" s="43" t="s">
        <v>3467</v>
      </c>
      <c r="B1296" s="81" t="s">
        <v>3414</v>
      </c>
      <c r="C1296" s="26" t="s">
        <v>37</v>
      </c>
      <c r="D1296" s="14"/>
      <c r="E1296" s="15"/>
      <c r="F1296" s="16">
        <f t="shared" si="74"/>
        <v>0</v>
      </c>
      <c r="G1296">
        <f t="shared" si="73"/>
        <v>0</v>
      </c>
    </row>
    <row r="1297" spans="1:7" hidden="1" x14ac:dyDescent="0.25">
      <c r="A1297" s="43" t="s">
        <v>3468</v>
      </c>
      <c r="B1297" s="81" t="s">
        <v>3415</v>
      </c>
      <c r="C1297" s="26" t="s">
        <v>37</v>
      </c>
      <c r="D1297" s="14"/>
      <c r="E1297" s="15"/>
      <c r="F1297" s="16">
        <f t="shared" si="74"/>
        <v>0</v>
      </c>
      <c r="G1297">
        <f t="shared" si="73"/>
        <v>0</v>
      </c>
    </row>
    <row r="1298" spans="1:7" hidden="1" x14ac:dyDescent="0.25">
      <c r="A1298" s="43" t="s">
        <v>3469</v>
      </c>
      <c r="B1298" s="81" t="s">
        <v>3416</v>
      </c>
      <c r="C1298" s="26" t="s">
        <v>37</v>
      </c>
      <c r="D1298" s="14"/>
      <c r="E1298" s="15"/>
      <c r="F1298" s="16">
        <f t="shared" si="74"/>
        <v>0</v>
      </c>
      <c r="G1298">
        <f t="shared" si="73"/>
        <v>0</v>
      </c>
    </row>
    <row r="1299" spans="1:7" hidden="1" x14ac:dyDescent="0.25">
      <c r="A1299" s="43" t="s">
        <v>3470</v>
      </c>
      <c r="B1299" s="81" t="s">
        <v>3417</v>
      </c>
      <c r="C1299" s="26" t="s">
        <v>37</v>
      </c>
      <c r="D1299" s="14"/>
      <c r="E1299" s="15"/>
      <c r="F1299" s="16">
        <f t="shared" si="74"/>
        <v>0</v>
      </c>
      <c r="G1299">
        <f t="shared" si="73"/>
        <v>0</v>
      </c>
    </row>
    <row r="1300" spans="1:7" hidden="1" x14ac:dyDescent="0.25">
      <c r="A1300" s="43" t="s">
        <v>3471</v>
      </c>
      <c r="B1300" s="81" t="s">
        <v>3418</v>
      </c>
      <c r="C1300" s="26" t="s">
        <v>37</v>
      </c>
      <c r="D1300" s="14"/>
      <c r="E1300" s="15"/>
      <c r="F1300" s="16">
        <f t="shared" si="74"/>
        <v>0</v>
      </c>
      <c r="G1300">
        <f t="shared" si="73"/>
        <v>0</v>
      </c>
    </row>
    <row r="1301" spans="1:7" hidden="1" x14ac:dyDescent="0.25">
      <c r="A1301" s="43" t="s">
        <v>3472</v>
      </c>
      <c r="B1301" s="81" t="s">
        <v>3419</v>
      </c>
      <c r="C1301" s="26" t="s">
        <v>37</v>
      </c>
      <c r="D1301" s="14"/>
      <c r="E1301" s="15"/>
      <c r="F1301" s="16">
        <f t="shared" si="74"/>
        <v>0</v>
      </c>
      <c r="G1301">
        <f t="shared" si="73"/>
        <v>0</v>
      </c>
    </row>
    <row r="1302" spans="1:7" hidden="1" x14ac:dyDescent="0.25">
      <c r="A1302" s="43" t="s">
        <v>3473</v>
      </c>
      <c r="B1302" s="81" t="s">
        <v>3420</v>
      </c>
      <c r="C1302" s="26" t="s">
        <v>37</v>
      </c>
      <c r="D1302" s="14"/>
      <c r="E1302" s="15"/>
      <c r="F1302" s="16">
        <f t="shared" si="74"/>
        <v>0</v>
      </c>
      <c r="G1302">
        <f t="shared" si="73"/>
        <v>0</v>
      </c>
    </row>
    <row r="1303" spans="1:7" hidden="1" x14ac:dyDescent="0.25">
      <c r="A1303" s="43" t="s">
        <v>3474</v>
      </c>
      <c r="B1303" s="81" t="s">
        <v>3421</v>
      </c>
      <c r="C1303" s="26" t="s">
        <v>37</v>
      </c>
      <c r="D1303" s="14"/>
      <c r="E1303" s="15"/>
      <c r="F1303" s="16">
        <f t="shared" si="74"/>
        <v>0</v>
      </c>
      <c r="G1303">
        <f t="shared" si="73"/>
        <v>0</v>
      </c>
    </row>
    <row r="1304" spans="1:7" hidden="1" x14ac:dyDescent="0.25">
      <c r="A1304" s="43" t="s">
        <v>3475</v>
      </c>
      <c r="B1304" s="81" t="s">
        <v>3422</v>
      </c>
      <c r="C1304" s="26" t="s">
        <v>37</v>
      </c>
      <c r="D1304" s="14"/>
      <c r="E1304" s="15"/>
      <c r="F1304" s="16">
        <f t="shared" si="74"/>
        <v>0</v>
      </c>
      <c r="G1304">
        <f t="shared" si="73"/>
        <v>0</v>
      </c>
    </row>
    <row r="1305" spans="1:7" hidden="1" x14ac:dyDescent="0.25">
      <c r="A1305" s="43" t="s">
        <v>3476</v>
      </c>
      <c r="B1305" s="81" t="s">
        <v>3423</v>
      </c>
      <c r="C1305" s="26" t="s">
        <v>37</v>
      </c>
      <c r="D1305" s="14"/>
      <c r="E1305" s="15"/>
      <c r="F1305" s="16">
        <f t="shared" si="74"/>
        <v>0</v>
      </c>
      <c r="G1305">
        <f t="shared" si="73"/>
        <v>0</v>
      </c>
    </row>
    <row r="1306" spans="1:7" hidden="1" x14ac:dyDescent="0.25">
      <c r="A1306" s="43" t="s">
        <v>3477</v>
      </c>
      <c r="B1306" s="81" t="s">
        <v>3424</v>
      </c>
      <c r="C1306" s="26" t="s">
        <v>37</v>
      </c>
      <c r="D1306" s="14"/>
      <c r="E1306" s="15"/>
      <c r="F1306" s="16">
        <f t="shared" si="74"/>
        <v>0</v>
      </c>
      <c r="G1306">
        <f t="shared" si="73"/>
        <v>0</v>
      </c>
    </row>
    <row r="1307" spans="1:7" hidden="1" x14ac:dyDescent="0.25">
      <c r="A1307" s="43" t="s">
        <v>3478</v>
      </c>
      <c r="B1307" s="81" t="s">
        <v>3425</v>
      </c>
      <c r="C1307" s="26" t="s">
        <v>37</v>
      </c>
      <c r="D1307" s="14"/>
      <c r="E1307" s="15"/>
      <c r="F1307" s="16">
        <f t="shared" si="74"/>
        <v>0</v>
      </c>
      <c r="G1307">
        <f t="shared" si="73"/>
        <v>0</v>
      </c>
    </row>
    <row r="1308" spans="1:7" hidden="1" x14ac:dyDescent="0.25">
      <c r="A1308" s="43" t="s">
        <v>3479</v>
      </c>
      <c r="B1308" s="81" t="s">
        <v>3426</v>
      </c>
      <c r="C1308" s="26" t="s">
        <v>37</v>
      </c>
      <c r="D1308" s="14"/>
      <c r="E1308" s="15"/>
      <c r="F1308" s="16">
        <f t="shared" si="74"/>
        <v>0</v>
      </c>
      <c r="G1308">
        <f t="shared" si="73"/>
        <v>0</v>
      </c>
    </row>
    <row r="1309" spans="1:7" hidden="1" x14ac:dyDescent="0.25">
      <c r="A1309" s="43" t="s">
        <v>3480</v>
      </c>
      <c r="B1309" s="81" t="s">
        <v>3427</v>
      </c>
      <c r="C1309" s="26" t="s">
        <v>37</v>
      </c>
      <c r="D1309" s="14"/>
      <c r="E1309" s="15"/>
      <c r="F1309" s="16">
        <f t="shared" si="74"/>
        <v>0</v>
      </c>
      <c r="G1309">
        <f t="shared" si="73"/>
        <v>0</v>
      </c>
    </row>
    <row r="1310" spans="1:7" hidden="1" x14ac:dyDescent="0.25">
      <c r="A1310" s="43" t="s">
        <v>3481</v>
      </c>
      <c r="B1310" s="81" t="s">
        <v>3428</v>
      </c>
      <c r="C1310" s="26" t="s">
        <v>37</v>
      </c>
      <c r="D1310" s="14"/>
      <c r="E1310" s="15"/>
      <c r="F1310" s="16">
        <f t="shared" si="74"/>
        <v>0</v>
      </c>
      <c r="G1310">
        <f t="shared" si="73"/>
        <v>0</v>
      </c>
    </row>
    <row r="1311" spans="1:7" hidden="1" x14ac:dyDescent="0.25">
      <c r="A1311" s="43" t="s">
        <v>3482</v>
      </c>
      <c r="B1311" s="81" t="s">
        <v>3429</v>
      </c>
      <c r="C1311" s="26" t="s">
        <v>37</v>
      </c>
      <c r="D1311" s="14"/>
      <c r="E1311" s="15"/>
      <c r="F1311" s="16">
        <f t="shared" si="74"/>
        <v>0</v>
      </c>
      <c r="G1311">
        <f t="shared" si="73"/>
        <v>0</v>
      </c>
    </row>
    <row r="1312" spans="1:7" hidden="1" x14ac:dyDescent="0.25">
      <c r="A1312" s="43" t="s">
        <v>3483</v>
      </c>
      <c r="B1312" s="81" t="s">
        <v>3430</v>
      </c>
      <c r="C1312" s="26" t="s">
        <v>37</v>
      </c>
      <c r="D1312" s="14"/>
      <c r="E1312" s="15"/>
      <c r="F1312" s="16">
        <f t="shared" si="74"/>
        <v>0</v>
      </c>
      <c r="G1312">
        <f t="shared" si="73"/>
        <v>0</v>
      </c>
    </row>
    <row r="1313" spans="1:7" hidden="1" x14ac:dyDescent="0.25">
      <c r="A1313" s="43" t="s">
        <v>3484</v>
      </c>
      <c r="B1313" s="81" t="s">
        <v>3431</v>
      </c>
      <c r="C1313" s="26" t="s">
        <v>37</v>
      </c>
      <c r="D1313" s="14"/>
      <c r="E1313" s="15"/>
      <c r="F1313" s="16">
        <f t="shared" si="74"/>
        <v>0</v>
      </c>
      <c r="G1313">
        <f t="shared" si="73"/>
        <v>0</v>
      </c>
    </row>
    <row r="1314" spans="1:7" hidden="1" x14ac:dyDescent="0.25">
      <c r="A1314" s="78" t="s">
        <v>3485</v>
      </c>
      <c r="B1314" s="80" t="s">
        <v>5716</v>
      </c>
      <c r="C1314" s="26" t="s">
        <v>37</v>
      </c>
      <c r="D1314" s="14"/>
      <c r="E1314" s="15"/>
      <c r="F1314" s="16"/>
      <c r="G1314">
        <f t="shared" si="73"/>
        <v>0</v>
      </c>
    </row>
    <row r="1315" spans="1:7" hidden="1" x14ac:dyDescent="0.25">
      <c r="A1315" s="85" t="s">
        <v>3488</v>
      </c>
      <c r="B1315" s="81" t="s">
        <v>3384</v>
      </c>
      <c r="C1315" s="26" t="s">
        <v>37</v>
      </c>
      <c r="D1315" s="14"/>
      <c r="E1315" s="15"/>
      <c r="F1315" s="16">
        <f t="shared" si="74"/>
        <v>0</v>
      </c>
      <c r="G1315">
        <f t="shared" si="73"/>
        <v>0</v>
      </c>
    </row>
    <row r="1316" spans="1:7" hidden="1" x14ac:dyDescent="0.25">
      <c r="A1316" s="85" t="s">
        <v>3489</v>
      </c>
      <c r="B1316" s="81" t="s">
        <v>3487</v>
      </c>
      <c r="C1316" s="26" t="s">
        <v>37</v>
      </c>
      <c r="D1316" s="14"/>
      <c r="E1316" s="15"/>
      <c r="F1316" s="16">
        <f t="shared" si="74"/>
        <v>0</v>
      </c>
      <c r="G1316">
        <f t="shared" ref="G1316:G1379" si="75">+IF(F1316&lt;&gt;0,1,0)</f>
        <v>0</v>
      </c>
    </row>
    <row r="1317" spans="1:7" hidden="1" x14ac:dyDescent="0.25">
      <c r="A1317" s="85" t="s">
        <v>3490</v>
      </c>
      <c r="B1317" s="81" t="s">
        <v>3385</v>
      </c>
      <c r="C1317" s="26" t="s">
        <v>37</v>
      </c>
      <c r="D1317" s="14"/>
      <c r="E1317" s="15"/>
      <c r="F1317" s="16">
        <f t="shared" si="74"/>
        <v>0</v>
      </c>
      <c r="G1317">
        <f t="shared" si="75"/>
        <v>0</v>
      </c>
    </row>
    <row r="1318" spans="1:7" hidden="1" x14ac:dyDescent="0.25">
      <c r="A1318" s="85" t="s">
        <v>3491</v>
      </c>
      <c r="B1318" s="81" t="s">
        <v>3386</v>
      </c>
      <c r="C1318" s="26" t="s">
        <v>37</v>
      </c>
      <c r="D1318" s="14"/>
      <c r="E1318" s="15"/>
      <c r="F1318" s="16">
        <f t="shared" si="74"/>
        <v>0</v>
      </c>
      <c r="G1318">
        <f t="shared" si="75"/>
        <v>0</v>
      </c>
    </row>
    <row r="1319" spans="1:7" hidden="1" x14ac:dyDescent="0.25">
      <c r="A1319" s="85" t="s">
        <v>3492</v>
      </c>
      <c r="B1319" s="81" t="s">
        <v>3389</v>
      </c>
      <c r="C1319" s="26" t="s">
        <v>37</v>
      </c>
      <c r="D1319" s="14"/>
      <c r="E1319" s="15"/>
      <c r="F1319" s="16">
        <f t="shared" si="74"/>
        <v>0</v>
      </c>
      <c r="G1319">
        <f t="shared" si="75"/>
        <v>0</v>
      </c>
    </row>
    <row r="1320" spans="1:7" hidden="1" x14ac:dyDescent="0.25">
      <c r="A1320" s="85" t="s">
        <v>3493</v>
      </c>
      <c r="B1320" s="81" t="s">
        <v>3390</v>
      </c>
      <c r="C1320" s="26" t="s">
        <v>37</v>
      </c>
      <c r="D1320" s="14"/>
      <c r="E1320" s="15"/>
      <c r="F1320" s="16">
        <f t="shared" si="74"/>
        <v>0</v>
      </c>
      <c r="G1320">
        <f t="shared" si="75"/>
        <v>0</v>
      </c>
    </row>
    <row r="1321" spans="1:7" hidden="1" x14ac:dyDescent="0.25">
      <c r="A1321" s="85" t="s">
        <v>3494</v>
      </c>
      <c r="B1321" s="81" t="s">
        <v>3393</v>
      </c>
      <c r="C1321" s="26" t="s">
        <v>37</v>
      </c>
      <c r="D1321" s="14"/>
      <c r="E1321" s="15"/>
      <c r="F1321" s="16">
        <f t="shared" si="74"/>
        <v>0</v>
      </c>
      <c r="G1321">
        <f t="shared" si="75"/>
        <v>0</v>
      </c>
    </row>
    <row r="1322" spans="1:7" hidden="1" x14ac:dyDescent="0.25">
      <c r="A1322" s="85" t="s">
        <v>3495</v>
      </c>
      <c r="B1322" s="81" t="s">
        <v>3394</v>
      </c>
      <c r="C1322" s="26" t="s">
        <v>37</v>
      </c>
      <c r="D1322" s="14"/>
      <c r="E1322" s="15"/>
      <c r="F1322" s="16">
        <f t="shared" si="74"/>
        <v>0</v>
      </c>
      <c r="G1322">
        <f t="shared" si="75"/>
        <v>0</v>
      </c>
    </row>
    <row r="1323" spans="1:7" hidden="1" x14ac:dyDescent="0.25">
      <c r="A1323" s="85" t="s">
        <v>3496</v>
      </c>
      <c r="B1323" s="81" t="s">
        <v>3395</v>
      </c>
      <c r="C1323" s="26" t="s">
        <v>37</v>
      </c>
      <c r="D1323" s="14"/>
      <c r="E1323" s="15"/>
      <c r="F1323" s="16">
        <f t="shared" si="74"/>
        <v>0</v>
      </c>
      <c r="G1323">
        <f t="shared" si="75"/>
        <v>0</v>
      </c>
    </row>
    <row r="1324" spans="1:7" hidden="1" x14ac:dyDescent="0.25">
      <c r="A1324" s="85" t="s">
        <v>3497</v>
      </c>
      <c r="B1324" s="81" t="s">
        <v>3398</v>
      </c>
      <c r="C1324" s="26" t="s">
        <v>37</v>
      </c>
      <c r="D1324" s="14"/>
      <c r="E1324" s="15"/>
      <c r="F1324" s="16">
        <f t="shared" si="74"/>
        <v>0</v>
      </c>
      <c r="G1324">
        <f t="shared" si="75"/>
        <v>0</v>
      </c>
    </row>
    <row r="1325" spans="1:7" hidden="1" x14ac:dyDescent="0.25">
      <c r="A1325" s="85" t="s">
        <v>3498</v>
      </c>
      <c r="B1325" s="81" t="s">
        <v>3400</v>
      </c>
      <c r="C1325" s="26" t="s">
        <v>37</v>
      </c>
      <c r="D1325" s="14"/>
      <c r="E1325" s="15"/>
      <c r="F1325" s="16">
        <f t="shared" si="74"/>
        <v>0</v>
      </c>
      <c r="G1325">
        <f t="shared" si="75"/>
        <v>0</v>
      </c>
    </row>
    <row r="1326" spans="1:7" hidden="1" x14ac:dyDescent="0.25">
      <c r="A1326" s="85" t="s">
        <v>3499</v>
      </c>
      <c r="B1326" s="81" t="s">
        <v>3404</v>
      </c>
      <c r="C1326" s="26" t="s">
        <v>37</v>
      </c>
      <c r="D1326" s="14"/>
      <c r="E1326" s="15"/>
      <c r="F1326" s="16">
        <f t="shared" si="74"/>
        <v>0</v>
      </c>
      <c r="G1326">
        <f t="shared" si="75"/>
        <v>0</v>
      </c>
    </row>
    <row r="1327" spans="1:7" hidden="1" x14ac:dyDescent="0.25">
      <c r="A1327" s="85" t="s">
        <v>3500</v>
      </c>
      <c r="B1327" s="81" t="s">
        <v>3406</v>
      </c>
      <c r="C1327" s="26" t="s">
        <v>37</v>
      </c>
      <c r="D1327" s="14"/>
      <c r="E1327" s="15"/>
      <c r="F1327" s="16">
        <f t="shared" ref="F1327:F1332" si="76">+D1327*E1327</f>
        <v>0</v>
      </c>
      <c r="G1327">
        <f t="shared" si="75"/>
        <v>0</v>
      </c>
    </row>
    <row r="1328" spans="1:7" hidden="1" x14ac:dyDescent="0.25">
      <c r="A1328" s="85" t="s">
        <v>3501</v>
      </c>
      <c r="B1328" s="81" t="s">
        <v>3408</v>
      </c>
      <c r="C1328" s="26" t="s">
        <v>37</v>
      </c>
      <c r="D1328" s="14"/>
      <c r="E1328" s="15"/>
      <c r="F1328" s="16">
        <f t="shared" si="76"/>
        <v>0</v>
      </c>
      <c r="G1328">
        <f t="shared" si="75"/>
        <v>0</v>
      </c>
    </row>
    <row r="1329" spans="1:7" hidden="1" x14ac:dyDescent="0.25">
      <c r="A1329" s="85" t="s">
        <v>3502</v>
      </c>
      <c r="B1329" s="81" t="s">
        <v>3420</v>
      </c>
      <c r="C1329" s="26" t="s">
        <v>37</v>
      </c>
      <c r="D1329" s="14"/>
      <c r="E1329" s="15"/>
      <c r="F1329" s="16">
        <f t="shared" si="76"/>
        <v>0</v>
      </c>
      <c r="G1329">
        <f t="shared" si="75"/>
        <v>0</v>
      </c>
    </row>
    <row r="1330" spans="1:7" hidden="1" x14ac:dyDescent="0.25">
      <c r="A1330" s="85" t="s">
        <v>3503</v>
      </c>
      <c r="B1330" s="81" t="s">
        <v>3421</v>
      </c>
      <c r="C1330" s="26" t="s">
        <v>37</v>
      </c>
      <c r="D1330" s="14"/>
      <c r="E1330" s="15"/>
      <c r="F1330" s="16">
        <f t="shared" si="76"/>
        <v>0</v>
      </c>
      <c r="G1330">
        <f t="shared" si="75"/>
        <v>0</v>
      </c>
    </row>
    <row r="1331" spans="1:7" hidden="1" x14ac:dyDescent="0.25">
      <c r="A1331" s="85" t="s">
        <v>3504</v>
      </c>
      <c r="B1331" s="81" t="s">
        <v>3425</v>
      </c>
      <c r="C1331" s="26" t="s">
        <v>37</v>
      </c>
      <c r="D1331" s="14"/>
      <c r="E1331" s="15"/>
      <c r="F1331" s="16">
        <f t="shared" si="76"/>
        <v>0</v>
      </c>
      <c r="G1331">
        <f t="shared" si="75"/>
        <v>0</v>
      </c>
    </row>
    <row r="1332" spans="1:7" hidden="1" x14ac:dyDescent="0.25">
      <c r="A1332" s="85" t="s">
        <v>3505</v>
      </c>
      <c r="B1332" s="81" t="s">
        <v>3428</v>
      </c>
      <c r="C1332" s="26" t="s">
        <v>37</v>
      </c>
      <c r="D1332" s="14"/>
      <c r="E1332" s="15"/>
      <c r="F1332" s="16">
        <f t="shared" si="76"/>
        <v>0</v>
      </c>
      <c r="G1332">
        <f t="shared" si="75"/>
        <v>0</v>
      </c>
    </row>
    <row r="1333" spans="1:7" x14ac:dyDescent="0.25">
      <c r="A1333" s="78" t="s">
        <v>975</v>
      </c>
      <c r="B1333" s="80" t="s">
        <v>3506</v>
      </c>
      <c r="C1333" s="26"/>
      <c r="D1333" s="14"/>
      <c r="E1333" s="15"/>
      <c r="F1333" s="16"/>
      <c r="G1333">
        <v>1</v>
      </c>
    </row>
    <row r="1334" spans="1:7" hidden="1" x14ac:dyDescent="0.25">
      <c r="A1334" s="78" t="s">
        <v>3507</v>
      </c>
      <c r="B1334" s="79" t="s">
        <v>3545</v>
      </c>
      <c r="C1334" s="26"/>
      <c r="D1334" s="14"/>
      <c r="E1334" s="15"/>
      <c r="F1334" s="16"/>
    </row>
    <row r="1335" spans="1:7" hidden="1" x14ac:dyDescent="0.25">
      <c r="A1335" s="85" t="s">
        <v>3508</v>
      </c>
      <c r="B1335" s="88" t="s">
        <v>3511</v>
      </c>
      <c r="C1335" s="26" t="s">
        <v>37</v>
      </c>
      <c r="D1335" s="14"/>
      <c r="E1335" s="15"/>
      <c r="F1335" s="16">
        <f t="shared" ref="F1335:F1346" si="77">+D1335*E1335</f>
        <v>0</v>
      </c>
      <c r="G1335">
        <f t="shared" si="75"/>
        <v>0</v>
      </c>
    </row>
    <row r="1336" spans="1:7" hidden="1" x14ac:dyDescent="0.25">
      <c r="A1336" s="85" t="s">
        <v>3521</v>
      </c>
      <c r="B1336" s="88" t="s">
        <v>3512</v>
      </c>
      <c r="C1336" s="26" t="s">
        <v>37</v>
      </c>
      <c r="D1336" s="14"/>
      <c r="E1336" s="15"/>
      <c r="F1336" s="16">
        <f t="shared" si="77"/>
        <v>0</v>
      </c>
      <c r="G1336">
        <f t="shared" si="75"/>
        <v>0</v>
      </c>
    </row>
    <row r="1337" spans="1:7" hidden="1" x14ac:dyDescent="0.25">
      <c r="A1337" s="85" t="s">
        <v>3522</v>
      </c>
      <c r="B1337" s="88" t="s">
        <v>3510</v>
      </c>
      <c r="C1337" s="26" t="s">
        <v>37</v>
      </c>
      <c r="D1337" s="14"/>
      <c r="E1337" s="15"/>
      <c r="F1337" s="16">
        <f t="shared" si="77"/>
        <v>0</v>
      </c>
      <c r="G1337">
        <f t="shared" si="75"/>
        <v>0</v>
      </c>
    </row>
    <row r="1338" spans="1:7" hidden="1" x14ac:dyDescent="0.25">
      <c r="A1338" s="85" t="s">
        <v>3523</v>
      </c>
      <c r="B1338" s="88" t="s">
        <v>3514</v>
      </c>
      <c r="C1338" s="26" t="s">
        <v>37</v>
      </c>
      <c r="D1338" s="14"/>
      <c r="E1338" s="15"/>
      <c r="F1338" s="16">
        <f t="shared" si="77"/>
        <v>0</v>
      </c>
      <c r="G1338">
        <f t="shared" si="75"/>
        <v>0</v>
      </c>
    </row>
    <row r="1339" spans="1:7" hidden="1" x14ac:dyDescent="0.25">
      <c r="A1339" s="85" t="s">
        <v>3524</v>
      </c>
      <c r="B1339" s="88" t="s">
        <v>3513</v>
      </c>
      <c r="C1339" s="26" t="s">
        <v>37</v>
      </c>
      <c r="D1339" s="14"/>
      <c r="E1339" s="15"/>
      <c r="F1339" s="16">
        <f t="shared" si="77"/>
        <v>0</v>
      </c>
      <c r="G1339">
        <f t="shared" si="75"/>
        <v>0</v>
      </c>
    </row>
    <row r="1340" spans="1:7" hidden="1" x14ac:dyDescent="0.25">
      <c r="A1340" s="85" t="s">
        <v>3525</v>
      </c>
      <c r="B1340" s="88" t="s">
        <v>3515</v>
      </c>
      <c r="C1340" s="26" t="s">
        <v>37</v>
      </c>
      <c r="D1340" s="14"/>
      <c r="E1340" s="15">
        <f>+SUM!H1339</f>
        <v>1300230</v>
      </c>
      <c r="F1340" s="16">
        <f t="shared" si="77"/>
        <v>0</v>
      </c>
      <c r="G1340">
        <f t="shared" si="75"/>
        <v>0</v>
      </c>
    </row>
    <row r="1341" spans="1:7" hidden="1" x14ac:dyDescent="0.25">
      <c r="A1341" s="85" t="s">
        <v>3526</v>
      </c>
      <c r="B1341" s="88" t="s">
        <v>3516</v>
      </c>
      <c r="C1341" s="26" t="s">
        <v>37</v>
      </c>
      <c r="D1341" s="14"/>
      <c r="E1341" s="15">
        <f>+SUM!H1340</f>
        <v>1517393</v>
      </c>
      <c r="F1341" s="16">
        <f t="shared" si="77"/>
        <v>0</v>
      </c>
      <c r="G1341">
        <f t="shared" si="75"/>
        <v>0</v>
      </c>
    </row>
    <row r="1342" spans="1:7" hidden="1" x14ac:dyDescent="0.25">
      <c r="A1342" s="85" t="s">
        <v>3527</v>
      </c>
      <c r="B1342" s="88" t="s">
        <v>3517</v>
      </c>
      <c r="C1342" s="26" t="s">
        <v>37</v>
      </c>
      <c r="D1342" s="14"/>
      <c r="E1342" s="15">
        <f>+SUM!H1341</f>
        <v>2376424</v>
      </c>
      <c r="F1342" s="16">
        <f t="shared" si="77"/>
        <v>0</v>
      </c>
      <c r="G1342">
        <f t="shared" si="75"/>
        <v>0</v>
      </c>
    </row>
    <row r="1343" spans="1:7" hidden="1" x14ac:dyDescent="0.25">
      <c r="A1343" s="85" t="s">
        <v>3528</v>
      </c>
      <c r="B1343" s="88" t="s">
        <v>3518</v>
      </c>
      <c r="C1343" s="26" t="s">
        <v>37</v>
      </c>
      <c r="D1343" s="14"/>
      <c r="E1343" s="15">
        <f>+SUM!H1342</f>
        <v>3334416</v>
      </c>
      <c r="F1343" s="16">
        <f t="shared" si="77"/>
        <v>0</v>
      </c>
      <c r="G1343">
        <f t="shared" si="75"/>
        <v>0</v>
      </c>
    </row>
    <row r="1344" spans="1:7" hidden="1" x14ac:dyDescent="0.25">
      <c r="A1344" s="85" t="s">
        <v>3529</v>
      </c>
      <c r="B1344" s="88" t="s">
        <v>3519</v>
      </c>
      <c r="C1344" s="26" t="s">
        <v>37</v>
      </c>
      <c r="D1344" s="14"/>
      <c r="E1344" s="15">
        <f>+SUM!H1343</f>
        <v>3999650</v>
      </c>
      <c r="F1344" s="16">
        <f t="shared" si="77"/>
        <v>0</v>
      </c>
      <c r="G1344">
        <f t="shared" si="75"/>
        <v>0</v>
      </c>
    </row>
    <row r="1345" spans="1:7" hidden="1" x14ac:dyDescent="0.25">
      <c r="A1345" s="85" t="s">
        <v>3530</v>
      </c>
      <c r="B1345" s="88" t="s">
        <v>3520</v>
      </c>
      <c r="C1345" s="26" t="s">
        <v>37</v>
      </c>
      <c r="D1345" s="14"/>
      <c r="E1345" s="15">
        <f>+SUM!H1344</f>
        <v>5000249</v>
      </c>
      <c r="F1345" s="16">
        <f t="shared" si="77"/>
        <v>0</v>
      </c>
      <c r="G1345">
        <f t="shared" si="75"/>
        <v>0</v>
      </c>
    </row>
    <row r="1346" spans="1:7" hidden="1" x14ac:dyDescent="0.25">
      <c r="A1346" s="85" t="s">
        <v>3531</v>
      </c>
      <c r="B1346" s="88" t="s">
        <v>3509</v>
      </c>
      <c r="C1346" s="26" t="s">
        <v>37</v>
      </c>
      <c r="D1346" s="14"/>
      <c r="E1346" s="15">
        <f>+SUM!H1345</f>
        <v>6424179</v>
      </c>
      <c r="F1346" s="16">
        <f t="shared" si="77"/>
        <v>0</v>
      </c>
      <c r="G1346">
        <f t="shared" si="75"/>
        <v>0</v>
      </c>
    </row>
    <row r="1347" spans="1:7" hidden="1" x14ac:dyDescent="0.25">
      <c r="A1347" s="78" t="s">
        <v>3532</v>
      </c>
      <c r="B1347" s="79" t="s">
        <v>3546</v>
      </c>
      <c r="C1347" s="26"/>
      <c r="D1347" s="14"/>
      <c r="E1347" s="15"/>
      <c r="F1347" s="16"/>
      <c r="G1347">
        <f t="shared" si="75"/>
        <v>0</v>
      </c>
    </row>
    <row r="1348" spans="1:7" hidden="1" x14ac:dyDescent="0.25">
      <c r="A1348" s="85" t="s">
        <v>3533</v>
      </c>
      <c r="B1348" s="88" t="s">
        <v>3511</v>
      </c>
      <c r="C1348" s="26" t="s">
        <v>37</v>
      </c>
      <c r="D1348" s="14"/>
      <c r="E1348" s="15">
        <f>+SUM!H1347</f>
        <v>92088</v>
      </c>
      <c r="F1348" s="16">
        <f t="shared" ref="F1348:F1359" si="78">+D1348*E1348</f>
        <v>0</v>
      </c>
      <c r="G1348">
        <f t="shared" si="75"/>
        <v>0</v>
      </c>
    </row>
    <row r="1349" spans="1:7" hidden="1" x14ac:dyDescent="0.25">
      <c r="A1349" s="85" t="s">
        <v>3534</v>
      </c>
      <c r="B1349" s="88" t="s">
        <v>3512</v>
      </c>
      <c r="C1349" s="26" t="s">
        <v>37</v>
      </c>
      <c r="D1349" s="14"/>
      <c r="E1349" s="15">
        <f>+SUM!H1348</f>
        <v>114079</v>
      </c>
      <c r="F1349" s="16">
        <f t="shared" si="78"/>
        <v>0</v>
      </c>
      <c r="G1349">
        <f t="shared" si="75"/>
        <v>0</v>
      </c>
    </row>
    <row r="1350" spans="1:7" hidden="1" x14ac:dyDescent="0.25">
      <c r="A1350" s="85" t="s">
        <v>3535</v>
      </c>
      <c r="B1350" s="88" t="s">
        <v>3510</v>
      </c>
      <c r="C1350" s="26" t="s">
        <v>37</v>
      </c>
      <c r="D1350" s="14"/>
      <c r="E1350" s="15">
        <f>+SUM!H1349</f>
        <v>142943</v>
      </c>
      <c r="F1350" s="16">
        <f t="shared" si="78"/>
        <v>0</v>
      </c>
      <c r="G1350">
        <f t="shared" si="75"/>
        <v>0</v>
      </c>
    </row>
    <row r="1351" spans="1:7" hidden="1" x14ac:dyDescent="0.25">
      <c r="A1351" s="85" t="s">
        <v>3536</v>
      </c>
      <c r="B1351" s="88" t="s">
        <v>3514</v>
      </c>
      <c r="C1351" s="26" t="s">
        <v>37</v>
      </c>
      <c r="D1351" s="14"/>
      <c r="E1351" s="15">
        <f>+SUM!H1350</f>
        <v>306502</v>
      </c>
      <c r="F1351" s="16">
        <f t="shared" si="78"/>
        <v>0</v>
      </c>
      <c r="G1351">
        <f t="shared" si="75"/>
        <v>0</v>
      </c>
    </row>
    <row r="1352" spans="1:7" hidden="1" x14ac:dyDescent="0.25">
      <c r="A1352" s="85" t="s">
        <v>3537</v>
      </c>
      <c r="B1352" s="88" t="s">
        <v>3513</v>
      </c>
      <c r="C1352" s="26" t="s">
        <v>37</v>
      </c>
      <c r="D1352" s="14"/>
      <c r="E1352" s="15">
        <f>+SUM!H1351</f>
        <v>667983</v>
      </c>
      <c r="F1352" s="16">
        <f t="shared" si="78"/>
        <v>0</v>
      </c>
      <c r="G1352">
        <f t="shared" si="75"/>
        <v>0</v>
      </c>
    </row>
    <row r="1353" spans="1:7" hidden="1" x14ac:dyDescent="0.25">
      <c r="A1353" s="85" t="s">
        <v>3538</v>
      </c>
      <c r="B1353" s="88" t="s">
        <v>3515</v>
      </c>
      <c r="C1353" s="26" t="s">
        <v>37</v>
      </c>
      <c r="D1353" s="14"/>
      <c r="E1353" s="15">
        <f>+SUM!H1352</f>
        <v>1100934</v>
      </c>
      <c r="F1353" s="16">
        <f t="shared" si="78"/>
        <v>0</v>
      </c>
      <c r="G1353">
        <f t="shared" si="75"/>
        <v>0</v>
      </c>
    </row>
    <row r="1354" spans="1:7" hidden="1" x14ac:dyDescent="0.25">
      <c r="A1354" s="85" t="s">
        <v>3539</v>
      </c>
      <c r="B1354" s="88" t="s">
        <v>3516</v>
      </c>
      <c r="C1354" s="26" t="s">
        <v>37</v>
      </c>
      <c r="D1354" s="14"/>
      <c r="E1354" s="15">
        <f>+SUM!H1353</f>
        <v>1168283</v>
      </c>
      <c r="F1354" s="16">
        <f t="shared" si="78"/>
        <v>0</v>
      </c>
      <c r="G1354">
        <f t="shared" si="75"/>
        <v>0</v>
      </c>
    </row>
    <row r="1355" spans="1:7" hidden="1" x14ac:dyDescent="0.25">
      <c r="A1355" s="85" t="s">
        <v>3540</v>
      </c>
      <c r="B1355" s="88" t="s">
        <v>3517</v>
      </c>
      <c r="C1355" s="26" t="s">
        <v>37</v>
      </c>
      <c r="D1355" s="14"/>
      <c r="E1355" s="15">
        <f>+SUM!H1354</f>
        <v>1682327</v>
      </c>
      <c r="F1355" s="16">
        <f t="shared" si="78"/>
        <v>0</v>
      </c>
      <c r="G1355">
        <f t="shared" si="75"/>
        <v>0</v>
      </c>
    </row>
    <row r="1356" spans="1:7" hidden="1" x14ac:dyDescent="0.25">
      <c r="A1356" s="85" t="s">
        <v>3541</v>
      </c>
      <c r="B1356" s="88" t="s">
        <v>3518</v>
      </c>
      <c r="C1356" s="26" t="s">
        <v>37</v>
      </c>
      <c r="D1356" s="14"/>
      <c r="E1356" s="15">
        <f>+SUM!H1355</f>
        <v>2500125</v>
      </c>
      <c r="F1356" s="16">
        <f t="shared" si="78"/>
        <v>0</v>
      </c>
      <c r="G1356">
        <f t="shared" si="75"/>
        <v>0</v>
      </c>
    </row>
    <row r="1357" spans="1:7" hidden="1" x14ac:dyDescent="0.25">
      <c r="A1357" s="85" t="s">
        <v>3542</v>
      </c>
      <c r="B1357" s="88" t="s">
        <v>3519</v>
      </c>
      <c r="C1357" s="26" t="s">
        <v>37</v>
      </c>
      <c r="D1357" s="14"/>
      <c r="E1357" s="15">
        <f>+SUM!H1356</f>
        <v>3334416</v>
      </c>
      <c r="F1357" s="16">
        <f t="shared" si="78"/>
        <v>0</v>
      </c>
      <c r="G1357">
        <f t="shared" si="75"/>
        <v>0</v>
      </c>
    </row>
    <row r="1358" spans="1:7" hidden="1" x14ac:dyDescent="0.25">
      <c r="A1358" s="85" t="s">
        <v>3543</v>
      </c>
      <c r="B1358" s="88" t="s">
        <v>3520</v>
      </c>
      <c r="C1358" s="26" t="s">
        <v>37</v>
      </c>
      <c r="D1358" s="14"/>
      <c r="E1358" s="15">
        <f>+SUM!H1357</f>
        <v>4828443</v>
      </c>
      <c r="F1358" s="16">
        <f t="shared" si="78"/>
        <v>0</v>
      </c>
      <c r="G1358">
        <f t="shared" si="75"/>
        <v>0</v>
      </c>
    </row>
    <row r="1359" spans="1:7" hidden="1" x14ac:dyDescent="0.25">
      <c r="A1359" s="85" t="s">
        <v>3544</v>
      </c>
      <c r="B1359" s="88" t="s">
        <v>3509</v>
      </c>
      <c r="C1359" s="26" t="s">
        <v>37</v>
      </c>
      <c r="D1359" s="14"/>
      <c r="E1359" s="15">
        <f>+SUM!H1358</f>
        <v>5434575</v>
      </c>
      <c r="F1359" s="16">
        <f t="shared" si="78"/>
        <v>0</v>
      </c>
      <c r="G1359">
        <f t="shared" si="75"/>
        <v>0</v>
      </c>
    </row>
    <row r="1360" spans="1:7" x14ac:dyDescent="0.25">
      <c r="A1360" s="78" t="s">
        <v>976</v>
      </c>
      <c r="B1360" s="79" t="s">
        <v>3547</v>
      </c>
      <c r="C1360" s="26"/>
      <c r="D1360" s="14"/>
      <c r="E1360" s="15"/>
      <c r="F1360" s="16"/>
      <c r="G1360">
        <v>1</v>
      </c>
    </row>
    <row r="1361" spans="1:7" hidden="1" x14ac:dyDescent="0.25">
      <c r="A1361" s="85" t="s">
        <v>3548</v>
      </c>
      <c r="B1361" s="88" t="s">
        <v>3511</v>
      </c>
      <c r="C1361" s="26" t="s">
        <v>37</v>
      </c>
      <c r="D1361" s="14"/>
      <c r="E1361" s="15">
        <f>+SUM!H1360</f>
        <v>72846</v>
      </c>
      <c r="F1361" s="16">
        <f t="shared" ref="F1361:F1372" si="79">+D1361*E1361</f>
        <v>0</v>
      </c>
      <c r="G1361">
        <f t="shared" si="75"/>
        <v>0</v>
      </c>
    </row>
    <row r="1362" spans="1:7" hidden="1" x14ac:dyDescent="0.25">
      <c r="A1362" s="85" t="s">
        <v>3549</v>
      </c>
      <c r="B1362" s="88" t="s">
        <v>3512</v>
      </c>
      <c r="C1362" s="26" t="s">
        <v>37</v>
      </c>
      <c r="D1362" s="14"/>
      <c r="E1362" s="15">
        <f>+SUM!H1361</f>
        <v>131947</v>
      </c>
      <c r="F1362" s="16">
        <f t="shared" si="79"/>
        <v>0</v>
      </c>
      <c r="G1362">
        <f t="shared" si="75"/>
        <v>0</v>
      </c>
    </row>
    <row r="1363" spans="1:7" hidden="1" x14ac:dyDescent="0.25">
      <c r="A1363" s="85" t="s">
        <v>3550</v>
      </c>
      <c r="B1363" s="88" t="s">
        <v>3510</v>
      </c>
      <c r="C1363" s="26" t="s">
        <v>37</v>
      </c>
      <c r="D1363" s="14"/>
      <c r="E1363" s="15">
        <f>+SUM!H1362</f>
        <v>162185</v>
      </c>
      <c r="F1363" s="16">
        <f t="shared" si="79"/>
        <v>0</v>
      </c>
      <c r="G1363">
        <f t="shared" si="75"/>
        <v>0</v>
      </c>
    </row>
    <row r="1364" spans="1:7" hidden="1" x14ac:dyDescent="0.25">
      <c r="A1364" s="85" t="s">
        <v>3551</v>
      </c>
      <c r="B1364" s="88" t="s">
        <v>3514</v>
      </c>
      <c r="C1364" s="26" t="s">
        <v>37</v>
      </c>
      <c r="D1364" s="14"/>
      <c r="E1364" s="15">
        <f>+SUM!H1363</f>
        <v>262520</v>
      </c>
      <c r="F1364" s="16">
        <f t="shared" si="79"/>
        <v>0</v>
      </c>
      <c r="G1364">
        <f t="shared" si="75"/>
        <v>0</v>
      </c>
    </row>
    <row r="1365" spans="1:7" hidden="1" x14ac:dyDescent="0.25">
      <c r="A1365" s="85" t="s">
        <v>3552</v>
      </c>
      <c r="B1365" s="88" t="s">
        <v>3513</v>
      </c>
      <c r="C1365" s="26" t="s">
        <v>37</v>
      </c>
      <c r="D1365" s="14"/>
      <c r="E1365" s="15">
        <f>+SUM!H1364</f>
        <v>427454</v>
      </c>
      <c r="F1365" s="16">
        <f t="shared" si="79"/>
        <v>0</v>
      </c>
      <c r="G1365">
        <f t="shared" si="75"/>
        <v>0</v>
      </c>
    </row>
    <row r="1366" spans="1:7" hidden="1" x14ac:dyDescent="0.25">
      <c r="A1366" s="85" t="s">
        <v>3553</v>
      </c>
      <c r="B1366" s="88" t="s">
        <v>3515</v>
      </c>
      <c r="C1366" s="26" t="s">
        <v>37</v>
      </c>
      <c r="D1366" s="14"/>
      <c r="E1366" s="15">
        <f>+SUM!H1365</f>
        <v>982732</v>
      </c>
      <c r="F1366" s="16">
        <f t="shared" si="79"/>
        <v>0</v>
      </c>
      <c r="G1366">
        <f t="shared" si="75"/>
        <v>0</v>
      </c>
    </row>
    <row r="1367" spans="1:7" hidden="1" x14ac:dyDescent="0.25">
      <c r="A1367" s="85" t="s">
        <v>977</v>
      </c>
      <c r="B1367" s="88" t="s">
        <v>3516</v>
      </c>
      <c r="C1367" s="26" t="s">
        <v>37</v>
      </c>
      <c r="D1367" s="14"/>
      <c r="E1367" s="15">
        <f>+SUM!H1366</f>
        <v>1250750</v>
      </c>
      <c r="F1367" s="16">
        <f t="shared" si="79"/>
        <v>0</v>
      </c>
      <c r="G1367">
        <f t="shared" si="75"/>
        <v>0</v>
      </c>
    </row>
    <row r="1368" spans="1:7" hidden="1" x14ac:dyDescent="0.25">
      <c r="A1368" s="85" t="s">
        <v>3554</v>
      </c>
      <c r="B1368" s="88" t="s">
        <v>3517</v>
      </c>
      <c r="C1368" s="26" t="s">
        <v>37</v>
      </c>
      <c r="D1368" s="14"/>
      <c r="E1368" s="15">
        <f>+SUM!H1367</f>
        <v>1584741</v>
      </c>
      <c r="F1368" s="16">
        <f t="shared" si="79"/>
        <v>0</v>
      </c>
      <c r="G1368">
        <f t="shared" si="75"/>
        <v>0</v>
      </c>
    </row>
    <row r="1369" spans="1:7" x14ac:dyDescent="0.25">
      <c r="A1369" s="85" t="s">
        <v>3555</v>
      </c>
      <c r="B1369" s="88" t="s">
        <v>3518</v>
      </c>
      <c r="C1369" s="26" t="s">
        <v>37</v>
      </c>
      <c r="D1369" s="14">
        <v>3</v>
      </c>
      <c r="E1369" s="15">
        <f>+SUM!H1368</f>
        <v>2083666</v>
      </c>
      <c r="F1369" s="16">
        <f t="shared" si="79"/>
        <v>6250998</v>
      </c>
      <c r="G1369">
        <f t="shared" si="75"/>
        <v>1</v>
      </c>
    </row>
    <row r="1370" spans="1:7" hidden="1" x14ac:dyDescent="0.25">
      <c r="A1370" s="85" t="s">
        <v>3556</v>
      </c>
      <c r="B1370" s="88" t="s">
        <v>3519</v>
      </c>
      <c r="C1370" s="26" t="s">
        <v>37</v>
      </c>
      <c r="D1370" s="14"/>
      <c r="E1370" s="15">
        <f>+SUM!H1369</f>
        <v>2982557</v>
      </c>
      <c r="F1370" s="16">
        <f t="shared" si="79"/>
        <v>0</v>
      </c>
      <c r="G1370">
        <f t="shared" si="75"/>
        <v>0</v>
      </c>
    </row>
    <row r="1371" spans="1:7" hidden="1" x14ac:dyDescent="0.25">
      <c r="A1371" s="85" t="s">
        <v>3557</v>
      </c>
      <c r="B1371" s="88" t="s">
        <v>3520</v>
      </c>
      <c r="C1371" s="26" t="s">
        <v>37</v>
      </c>
      <c r="D1371" s="14"/>
      <c r="E1371" s="15">
        <f>+SUM!H1370</f>
        <v>5284760</v>
      </c>
      <c r="F1371" s="16">
        <f t="shared" si="79"/>
        <v>0</v>
      </c>
      <c r="G1371">
        <f t="shared" si="75"/>
        <v>0</v>
      </c>
    </row>
    <row r="1372" spans="1:7" hidden="1" x14ac:dyDescent="0.25">
      <c r="A1372" s="85" t="s">
        <v>3558</v>
      </c>
      <c r="B1372" s="88" t="s">
        <v>3509</v>
      </c>
      <c r="C1372" s="26" t="s">
        <v>37</v>
      </c>
      <c r="D1372" s="14"/>
      <c r="E1372" s="15">
        <f>+SUM!H1371</f>
        <v>4970011</v>
      </c>
      <c r="F1372" s="16">
        <f t="shared" si="79"/>
        <v>0</v>
      </c>
      <c r="G1372">
        <f t="shared" si="75"/>
        <v>0</v>
      </c>
    </row>
    <row r="1373" spans="1:7" x14ac:dyDescent="0.25">
      <c r="A1373" s="78" t="s">
        <v>978</v>
      </c>
      <c r="B1373" s="79" t="s">
        <v>3570</v>
      </c>
      <c r="C1373" s="26"/>
      <c r="D1373" s="14"/>
      <c r="E1373" s="15"/>
      <c r="F1373" s="16"/>
      <c r="G1373">
        <v>1</v>
      </c>
    </row>
    <row r="1374" spans="1:7" hidden="1" x14ac:dyDescent="0.25">
      <c r="A1374" s="85" t="s">
        <v>3559</v>
      </c>
      <c r="B1374" s="88" t="s">
        <v>3511</v>
      </c>
      <c r="C1374" s="26" t="s">
        <v>37</v>
      </c>
      <c r="D1374" s="14"/>
      <c r="E1374" s="15">
        <f>+SUM!H1373</f>
        <v>65974</v>
      </c>
      <c r="F1374" s="16">
        <f t="shared" ref="F1374:F1385" si="80">+D1374*E1374</f>
        <v>0</v>
      </c>
      <c r="G1374">
        <f t="shared" si="75"/>
        <v>0</v>
      </c>
    </row>
    <row r="1375" spans="1:7" hidden="1" x14ac:dyDescent="0.25">
      <c r="A1375" s="85" t="s">
        <v>3560</v>
      </c>
      <c r="B1375" s="88" t="s">
        <v>3512</v>
      </c>
      <c r="C1375" s="26" t="s">
        <v>37</v>
      </c>
      <c r="D1375" s="14"/>
      <c r="E1375" s="15">
        <f>+SUM!H1374</f>
        <v>109956</v>
      </c>
      <c r="F1375" s="16">
        <f t="shared" si="80"/>
        <v>0</v>
      </c>
      <c r="G1375">
        <f t="shared" si="75"/>
        <v>0</v>
      </c>
    </row>
    <row r="1376" spans="1:7" hidden="1" x14ac:dyDescent="0.25">
      <c r="A1376" s="85" t="s">
        <v>3561</v>
      </c>
      <c r="B1376" s="88" t="s">
        <v>3510</v>
      </c>
      <c r="C1376" s="26" t="s">
        <v>37</v>
      </c>
      <c r="D1376" s="14"/>
      <c r="E1376" s="15">
        <f>+SUM!H1375</f>
        <v>131947</v>
      </c>
      <c r="F1376" s="16">
        <f t="shared" si="80"/>
        <v>0</v>
      </c>
      <c r="G1376">
        <f t="shared" si="75"/>
        <v>0</v>
      </c>
    </row>
    <row r="1377" spans="1:7" hidden="1" x14ac:dyDescent="0.25">
      <c r="A1377" s="85" t="s">
        <v>3562</v>
      </c>
      <c r="B1377" s="88" t="s">
        <v>3514</v>
      </c>
      <c r="C1377" s="26" t="s">
        <v>37</v>
      </c>
      <c r="D1377" s="14"/>
      <c r="E1377" s="15">
        <f>+SUM!H1376</f>
        <v>251524</v>
      </c>
      <c r="F1377" s="16">
        <f t="shared" si="80"/>
        <v>0</v>
      </c>
      <c r="G1377">
        <f t="shared" si="75"/>
        <v>0</v>
      </c>
    </row>
    <row r="1378" spans="1:7" hidden="1" x14ac:dyDescent="0.25">
      <c r="A1378" s="85" t="s">
        <v>3563</v>
      </c>
      <c r="B1378" s="88" t="s">
        <v>3513</v>
      </c>
      <c r="C1378" s="26" t="s">
        <v>37</v>
      </c>
      <c r="D1378" s="14"/>
      <c r="E1378" s="15">
        <f>+SUM!H1377</f>
        <v>417833</v>
      </c>
      <c r="F1378" s="16">
        <f t="shared" si="80"/>
        <v>0</v>
      </c>
      <c r="G1378">
        <f t="shared" si="75"/>
        <v>0</v>
      </c>
    </row>
    <row r="1379" spans="1:7" hidden="1" x14ac:dyDescent="0.25">
      <c r="A1379" s="85" t="s">
        <v>3564</v>
      </c>
      <c r="B1379" s="88" t="s">
        <v>3515</v>
      </c>
      <c r="C1379" s="26" t="s">
        <v>37</v>
      </c>
      <c r="D1379" s="14"/>
      <c r="E1379" s="15">
        <f>+SUM!H1378</f>
        <v>751824</v>
      </c>
      <c r="F1379" s="16">
        <f t="shared" si="80"/>
        <v>0</v>
      </c>
      <c r="G1379">
        <f t="shared" si="75"/>
        <v>0</v>
      </c>
    </row>
    <row r="1380" spans="1:7" hidden="1" x14ac:dyDescent="0.25">
      <c r="A1380" s="85" t="s">
        <v>3565</v>
      </c>
      <c r="B1380" s="88" t="s">
        <v>3516</v>
      </c>
      <c r="C1380" s="26" t="s">
        <v>37</v>
      </c>
      <c r="D1380" s="14"/>
      <c r="E1380" s="15">
        <f>+SUM!H1379</f>
        <v>1084441</v>
      </c>
      <c r="F1380" s="16">
        <f t="shared" si="80"/>
        <v>0</v>
      </c>
      <c r="G1380">
        <f t="shared" ref="G1380:G1443" si="81">+IF(F1380&lt;&gt;0,1,0)</f>
        <v>0</v>
      </c>
    </row>
    <row r="1381" spans="1:7" hidden="1" x14ac:dyDescent="0.25">
      <c r="A1381" s="85" t="s">
        <v>3566</v>
      </c>
      <c r="B1381" s="88" t="s">
        <v>3517</v>
      </c>
      <c r="C1381" s="26" t="s">
        <v>37</v>
      </c>
      <c r="D1381" s="14"/>
      <c r="E1381" s="15">
        <f>+SUM!H1380</f>
        <v>1584741</v>
      </c>
      <c r="F1381" s="16">
        <f t="shared" si="80"/>
        <v>0</v>
      </c>
      <c r="G1381">
        <f t="shared" si="81"/>
        <v>0</v>
      </c>
    </row>
    <row r="1382" spans="1:7" x14ac:dyDescent="0.25">
      <c r="A1382" s="85" t="s">
        <v>3567</v>
      </c>
      <c r="B1382" s="88" t="s">
        <v>3518</v>
      </c>
      <c r="C1382" s="26" t="s">
        <v>37</v>
      </c>
      <c r="D1382" s="14">
        <v>3</v>
      </c>
      <c r="E1382" s="15">
        <f>+SUM!H1381</f>
        <v>2083666</v>
      </c>
      <c r="F1382" s="16">
        <f t="shared" si="80"/>
        <v>6250998</v>
      </c>
      <c r="G1382">
        <f t="shared" si="81"/>
        <v>1</v>
      </c>
    </row>
    <row r="1383" spans="1:7" hidden="1" x14ac:dyDescent="0.25">
      <c r="A1383" s="85" t="s">
        <v>3568</v>
      </c>
      <c r="B1383" s="88" t="s">
        <v>3519</v>
      </c>
      <c r="C1383" s="26" t="s">
        <v>37</v>
      </c>
      <c r="D1383" s="14"/>
      <c r="E1383" s="15">
        <f>+SUM!H1382</f>
        <v>2909711</v>
      </c>
      <c r="F1383" s="16">
        <f t="shared" si="80"/>
        <v>0</v>
      </c>
      <c r="G1383">
        <f t="shared" si="81"/>
        <v>0</v>
      </c>
    </row>
    <row r="1384" spans="1:7" hidden="1" x14ac:dyDescent="0.25">
      <c r="A1384" s="85" t="s">
        <v>3569</v>
      </c>
      <c r="B1384" s="88" t="s">
        <v>3520</v>
      </c>
      <c r="C1384" s="26" t="s">
        <v>37</v>
      </c>
      <c r="D1384" s="14"/>
      <c r="E1384" s="15">
        <f>+SUM!H1383</f>
        <v>3976284</v>
      </c>
      <c r="F1384" s="16">
        <f t="shared" si="80"/>
        <v>0</v>
      </c>
      <c r="G1384">
        <f t="shared" si="81"/>
        <v>0</v>
      </c>
    </row>
    <row r="1385" spans="1:7" hidden="1" x14ac:dyDescent="0.25">
      <c r="A1385" s="85" t="s">
        <v>3571</v>
      </c>
      <c r="B1385" s="88" t="s">
        <v>3509</v>
      </c>
      <c r="C1385" s="26" t="s">
        <v>37</v>
      </c>
      <c r="D1385" s="14"/>
      <c r="E1385" s="15">
        <f>+SUM!H1384</f>
        <v>4027139</v>
      </c>
      <c r="F1385" s="16">
        <f t="shared" si="80"/>
        <v>0</v>
      </c>
      <c r="G1385">
        <f t="shared" si="81"/>
        <v>0</v>
      </c>
    </row>
    <row r="1386" spans="1:7" hidden="1" x14ac:dyDescent="0.25">
      <c r="A1386" s="78" t="s">
        <v>3576</v>
      </c>
      <c r="B1386" s="79" t="s">
        <v>3572</v>
      </c>
      <c r="C1386" s="26"/>
      <c r="D1386" s="14"/>
      <c r="E1386" s="15"/>
      <c r="F1386" s="16"/>
      <c r="G1386">
        <f t="shared" si="81"/>
        <v>0</v>
      </c>
    </row>
    <row r="1387" spans="1:7" hidden="1" x14ac:dyDescent="0.25">
      <c r="A1387" s="85" t="s">
        <v>3577</v>
      </c>
      <c r="B1387" s="88" t="s">
        <v>3511</v>
      </c>
      <c r="C1387" s="26" t="s">
        <v>37</v>
      </c>
      <c r="D1387" s="14"/>
      <c r="E1387" s="15"/>
      <c r="F1387" s="16">
        <f t="shared" ref="F1387:F1398" si="82">+D1387*E1387</f>
        <v>0</v>
      </c>
      <c r="G1387">
        <f t="shared" si="81"/>
        <v>0</v>
      </c>
    </row>
    <row r="1388" spans="1:7" hidden="1" x14ac:dyDescent="0.25">
      <c r="A1388" s="85" t="s">
        <v>3578</v>
      </c>
      <c r="B1388" s="88" t="s">
        <v>3512</v>
      </c>
      <c r="C1388" s="26" t="s">
        <v>37</v>
      </c>
      <c r="D1388" s="14"/>
      <c r="E1388" s="15"/>
      <c r="F1388" s="16">
        <f t="shared" si="82"/>
        <v>0</v>
      </c>
      <c r="G1388">
        <f t="shared" si="81"/>
        <v>0</v>
      </c>
    </row>
    <row r="1389" spans="1:7" hidden="1" x14ac:dyDescent="0.25">
      <c r="A1389" s="85" t="s">
        <v>3579</v>
      </c>
      <c r="B1389" s="88" t="s">
        <v>3510</v>
      </c>
      <c r="C1389" s="26" t="s">
        <v>37</v>
      </c>
      <c r="D1389" s="14"/>
      <c r="E1389" s="15"/>
      <c r="F1389" s="16">
        <f t="shared" si="82"/>
        <v>0</v>
      </c>
      <c r="G1389">
        <f t="shared" si="81"/>
        <v>0</v>
      </c>
    </row>
    <row r="1390" spans="1:7" hidden="1" x14ac:dyDescent="0.25">
      <c r="A1390" s="85" t="s">
        <v>3580</v>
      </c>
      <c r="B1390" s="88" t="s">
        <v>3514</v>
      </c>
      <c r="C1390" s="26" t="s">
        <v>37</v>
      </c>
      <c r="D1390" s="14"/>
      <c r="E1390" s="15"/>
      <c r="F1390" s="16">
        <f t="shared" si="82"/>
        <v>0</v>
      </c>
      <c r="G1390">
        <f t="shared" si="81"/>
        <v>0</v>
      </c>
    </row>
    <row r="1391" spans="1:7" hidden="1" x14ac:dyDescent="0.25">
      <c r="A1391" s="85" t="s">
        <v>3581</v>
      </c>
      <c r="B1391" s="88" t="s">
        <v>3513</v>
      </c>
      <c r="C1391" s="26" t="s">
        <v>37</v>
      </c>
      <c r="D1391" s="14"/>
      <c r="E1391" s="15"/>
      <c r="F1391" s="16">
        <f t="shared" si="82"/>
        <v>0</v>
      </c>
      <c r="G1391">
        <f t="shared" si="81"/>
        <v>0</v>
      </c>
    </row>
    <row r="1392" spans="1:7" hidden="1" x14ac:dyDescent="0.25">
      <c r="A1392" s="85" t="s">
        <v>3582</v>
      </c>
      <c r="B1392" s="88" t="s">
        <v>3515</v>
      </c>
      <c r="C1392" s="26" t="s">
        <v>37</v>
      </c>
      <c r="D1392" s="14"/>
      <c r="E1392" s="15"/>
      <c r="F1392" s="16">
        <f t="shared" si="82"/>
        <v>0</v>
      </c>
      <c r="G1392">
        <f t="shared" si="81"/>
        <v>0</v>
      </c>
    </row>
    <row r="1393" spans="1:7" hidden="1" x14ac:dyDescent="0.25">
      <c r="A1393" s="85" t="s">
        <v>3583</v>
      </c>
      <c r="B1393" s="88" t="s">
        <v>3516</v>
      </c>
      <c r="C1393" s="26" t="s">
        <v>37</v>
      </c>
      <c r="D1393" s="14"/>
      <c r="E1393" s="15"/>
      <c r="F1393" s="16">
        <f t="shared" si="82"/>
        <v>0</v>
      </c>
      <c r="G1393">
        <f t="shared" si="81"/>
        <v>0</v>
      </c>
    </row>
    <row r="1394" spans="1:7" hidden="1" x14ac:dyDescent="0.25">
      <c r="A1394" s="85" t="s">
        <v>3584</v>
      </c>
      <c r="B1394" s="88" t="s">
        <v>3517</v>
      </c>
      <c r="C1394" s="26" t="s">
        <v>37</v>
      </c>
      <c r="D1394" s="14"/>
      <c r="E1394" s="15"/>
      <c r="F1394" s="16">
        <f t="shared" si="82"/>
        <v>0</v>
      </c>
      <c r="G1394">
        <f t="shared" si="81"/>
        <v>0</v>
      </c>
    </row>
    <row r="1395" spans="1:7" hidden="1" x14ac:dyDescent="0.25">
      <c r="A1395" s="85" t="s">
        <v>3585</v>
      </c>
      <c r="B1395" s="88" t="s">
        <v>3518</v>
      </c>
      <c r="C1395" s="26" t="s">
        <v>37</v>
      </c>
      <c r="D1395" s="14"/>
      <c r="E1395" s="15"/>
      <c r="F1395" s="16">
        <f t="shared" si="82"/>
        <v>0</v>
      </c>
      <c r="G1395">
        <f t="shared" si="81"/>
        <v>0</v>
      </c>
    </row>
    <row r="1396" spans="1:7" hidden="1" x14ac:dyDescent="0.25">
      <c r="A1396" s="85" t="s">
        <v>3586</v>
      </c>
      <c r="B1396" s="88" t="s">
        <v>3519</v>
      </c>
      <c r="C1396" s="26" t="s">
        <v>37</v>
      </c>
      <c r="D1396" s="14"/>
      <c r="E1396" s="15"/>
      <c r="F1396" s="16">
        <f t="shared" si="82"/>
        <v>0</v>
      </c>
      <c r="G1396">
        <f t="shared" si="81"/>
        <v>0</v>
      </c>
    </row>
    <row r="1397" spans="1:7" hidden="1" x14ac:dyDescent="0.25">
      <c r="A1397" s="85" t="s">
        <v>3587</v>
      </c>
      <c r="B1397" s="88" t="s">
        <v>3520</v>
      </c>
      <c r="C1397" s="26" t="s">
        <v>37</v>
      </c>
      <c r="D1397" s="14"/>
      <c r="E1397" s="15"/>
      <c r="F1397" s="16">
        <f t="shared" si="82"/>
        <v>0</v>
      </c>
      <c r="G1397">
        <f t="shared" si="81"/>
        <v>0</v>
      </c>
    </row>
    <row r="1398" spans="1:7" hidden="1" x14ac:dyDescent="0.25">
      <c r="A1398" s="85" t="s">
        <v>3588</v>
      </c>
      <c r="B1398" s="88" t="s">
        <v>3509</v>
      </c>
      <c r="C1398" s="26" t="s">
        <v>37</v>
      </c>
      <c r="D1398" s="14"/>
      <c r="E1398" s="15"/>
      <c r="F1398" s="16">
        <f t="shared" si="82"/>
        <v>0</v>
      </c>
      <c r="G1398">
        <f t="shared" si="81"/>
        <v>0</v>
      </c>
    </row>
    <row r="1399" spans="1:7" hidden="1" x14ac:dyDescent="0.25">
      <c r="A1399" s="78" t="s">
        <v>3589</v>
      </c>
      <c r="B1399" s="79" t="s">
        <v>3573</v>
      </c>
      <c r="C1399" s="26"/>
      <c r="D1399" s="14"/>
      <c r="E1399" s="15"/>
      <c r="F1399" s="16"/>
      <c r="G1399">
        <f t="shared" si="81"/>
        <v>0</v>
      </c>
    </row>
    <row r="1400" spans="1:7" hidden="1" x14ac:dyDescent="0.25">
      <c r="A1400" s="85" t="s">
        <v>3590</v>
      </c>
      <c r="B1400" s="88" t="s">
        <v>3511</v>
      </c>
      <c r="C1400" s="26" t="s">
        <v>37</v>
      </c>
      <c r="D1400" s="14"/>
      <c r="E1400" s="15"/>
      <c r="F1400" s="16">
        <f t="shared" ref="F1400:F1411" si="83">+D1400*E1400</f>
        <v>0</v>
      </c>
      <c r="G1400">
        <f t="shared" si="81"/>
        <v>0</v>
      </c>
    </row>
    <row r="1401" spans="1:7" hidden="1" x14ac:dyDescent="0.25">
      <c r="A1401" s="85" t="s">
        <v>3591</v>
      </c>
      <c r="B1401" s="88" t="s">
        <v>3512</v>
      </c>
      <c r="C1401" s="26" t="s">
        <v>37</v>
      </c>
      <c r="D1401" s="14"/>
      <c r="E1401" s="15"/>
      <c r="F1401" s="16">
        <f t="shared" si="83"/>
        <v>0</v>
      </c>
      <c r="G1401">
        <f t="shared" si="81"/>
        <v>0</v>
      </c>
    </row>
    <row r="1402" spans="1:7" hidden="1" x14ac:dyDescent="0.25">
      <c r="A1402" s="85" t="s">
        <v>3592</v>
      </c>
      <c r="B1402" s="88" t="s">
        <v>3510</v>
      </c>
      <c r="C1402" s="26" t="s">
        <v>37</v>
      </c>
      <c r="D1402" s="14"/>
      <c r="E1402" s="15"/>
      <c r="F1402" s="16">
        <f t="shared" si="83"/>
        <v>0</v>
      </c>
      <c r="G1402">
        <f t="shared" si="81"/>
        <v>0</v>
      </c>
    </row>
    <row r="1403" spans="1:7" hidden="1" x14ac:dyDescent="0.25">
      <c r="A1403" s="85" t="s">
        <v>3593</v>
      </c>
      <c r="B1403" s="88" t="s">
        <v>3514</v>
      </c>
      <c r="C1403" s="26" t="s">
        <v>37</v>
      </c>
      <c r="D1403" s="14"/>
      <c r="E1403" s="15"/>
      <c r="F1403" s="16">
        <f t="shared" si="83"/>
        <v>0</v>
      </c>
      <c r="G1403">
        <f t="shared" si="81"/>
        <v>0</v>
      </c>
    </row>
    <row r="1404" spans="1:7" hidden="1" x14ac:dyDescent="0.25">
      <c r="A1404" s="85" t="s">
        <v>3594</v>
      </c>
      <c r="B1404" s="88" t="s">
        <v>3513</v>
      </c>
      <c r="C1404" s="26" t="s">
        <v>37</v>
      </c>
      <c r="D1404" s="14"/>
      <c r="E1404" s="15"/>
      <c r="F1404" s="16">
        <f t="shared" si="83"/>
        <v>0</v>
      </c>
      <c r="G1404">
        <f t="shared" si="81"/>
        <v>0</v>
      </c>
    </row>
    <row r="1405" spans="1:7" hidden="1" x14ac:dyDescent="0.25">
      <c r="A1405" s="85" t="s">
        <v>979</v>
      </c>
      <c r="B1405" s="88" t="s">
        <v>3515</v>
      </c>
      <c r="C1405" s="26" t="s">
        <v>37</v>
      </c>
      <c r="D1405" s="14"/>
      <c r="E1405" s="15"/>
      <c r="F1405" s="16">
        <f t="shared" si="83"/>
        <v>0</v>
      </c>
      <c r="G1405">
        <f t="shared" si="81"/>
        <v>0</v>
      </c>
    </row>
    <row r="1406" spans="1:7" hidden="1" x14ac:dyDescent="0.25">
      <c r="A1406" s="85" t="s">
        <v>980</v>
      </c>
      <c r="B1406" s="88" t="s">
        <v>3516</v>
      </c>
      <c r="C1406" s="26" t="s">
        <v>37</v>
      </c>
      <c r="D1406" s="14"/>
      <c r="E1406" s="15"/>
      <c r="F1406" s="16">
        <f t="shared" si="83"/>
        <v>0</v>
      </c>
      <c r="G1406">
        <f t="shared" si="81"/>
        <v>0</v>
      </c>
    </row>
    <row r="1407" spans="1:7" hidden="1" x14ac:dyDescent="0.25">
      <c r="A1407" s="85" t="s">
        <v>3595</v>
      </c>
      <c r="B1407" s="88" t="s">
        <v>3517</v>
      </c>
      <c r="C1407" s="26" t="s">
        <v>37</v>
      </c>
      <c r="D1407" s="14"/>
      <c r="E1407" s="15"/>
      <c r="F1407" s="16">
        <f t="shared" si="83"/>
        <v>0</v>
      </c>
      <c r="G1407">
        <f t="shared" si="81"/>
        <v>0</v>
      </c>
    </row>
    <row r="1408" spans="1:7" hidden="1" x14ac:dyDescent="0.25">
      <c r="A1408" s="85" t="s">
        <v>3596</v>
      </c>
      <c r="B1408" s="88" t="s">
        <v>3518</v>
      </c>
      <c r="C1408" s="26" t="s">
        <v>37</v>
      </c>
      <c r="D1408" s="14"/>
      <c r="E1408" s="15"/>
      <c r="F1408" s="16">
        <f t="shared" si="83"/>
        <v>0</v>
      </c>
      <c r="G1408">
        <f t="shared" si="81"/>
        <v>0</v>
      </c>
    </row>
    <row r="1409" spans="1:7" hidden="1" x14ac:dyDescent="0.25">
      <c r="A1409" s="85" t="s">
        <v>3597</v>
      </c>
      <c r="B1409" s="88" t="s">
        <v>3519</v>
      </c>
      <c r="C1409" s="26" t="s">
        <v>37</v>
      </c>
      <c r="D1409" s="14"/>
      <c r="E1409" s="15"/>
      <c r="F1409" s="16">
        <f t="shared" si="83"/>
        <v>0</v>
      </c>
      <c r="G1409">
        <f t="shared" si="81"/>
        <v>0</v>
      </c>
    </row>
    <row r="1410" spans="1:7" hidden="1" x14ac:dyDescent="0.25">
      <c r="A1410" s="85" t="s">
        <v>3598</v>
      </c>
      <c r="B1410" s="88" t="s">
        <v>3520</v>
      </c>
      <c r="C1410" s="26" t="s">
        <v>37</v>
      </c>
      <c r="D1410" s="14"/>
      <c r="E1410" s="15"/>
      <c r="F1410" s="16">
        <f t="shared" si="83"/>
        <v>0</v>
      </c>
      <c r="G1410">
        <f t="shared" si="81"/>
        <v>0</v>
      </c>
    </row>
    <row r="1411" spans="1:7" hidden="1" x14ac:dyDescent="0.25">
      <c r="A1411" s="85" t="s">
        <v>3599</v>
      </c>
      <c r="B1411" s="88" t="s">
        <v>3509</v>
      </c>
      <c r="C1411" s="26" t="s">
        <v>37</v>
      </c>
      <c r="D1411" s="14"/>
      <c r="E1411" s="15"/>
      <c r="F1411" s="16">
        <f t="shared" si="83"/>
        <v>0</v>
      </c>
      <c r="G1411">
        <f t="shared" si="81"/>
        <v>0</v>
      </c>
    </row>
    <row r="1412" spans="1:7" hidden="1" x14ac:dyDescent="0.25">
      <c r="A1412" s="78" t="s">
        <v>981</v>
      </c>
      <c r="B1412" s="79" t="s">
        <v>3574</v>
      </c>
      <c r="C1412" s="26"/>
      <c r="D1412" s="14"/>
      <c r="E1412" s="15"/>
      <c r="F1412" s="16"/>
      <c r="G1412">
        <f t="shared" si="81"/>
        <v>0</v>
      </c>
    </row>
    <row r="1413" spans="1:7" hidden="1" x14ac:dyDescent="0.25">
      <c r="A1413" s="85" t="s">
        <v>3600</v>
      </c>
      <c r="B1413" s="88" t="s">
        <v>3511</v>
      </c>
      <c r="C1413" s="26" t="s">
        <v>37</v>
      </c>
      <c r="D1413" s="14"/>
      <c r="E1413" s="15"/>
      <c r="F1413" s="16">
        <f t="shared" ref="F1413:F1424" si="84">+D1413*E1413</f>
        <v>0</v>
      </c>
      <c r="G1413">
        <f t="shared" si="81"/>
        <v>0</v>
      </c>
    </row>
    <row r="1414" spans="1:7" hidden="1" x14ac:dyDescent="0.25">
      <c r="A1414" s="85" t="s">
        <v>3601</v>
      </c>
      <c r="B1414" s="88" t="s">
        <v>3512</v>
      </c>
      <c r="C1414" s="26" t="s">
        <v>37</v>
      </c>
      <c r="D1414" s="14"/>
      <c r="E1414" s="15"/>
      <c r="F1414" s="16">
        <f t="shared" si="84"/>
        <v>0</v>
      </c>
      <c r="G1414">
        <f t="shared" si="81"/>
        <v>0</v>
      </c>
    </row>
    <row r="1415" spans="1:7" hidden="1" x14ac:dyDescent="0.25">
      <c r="A1415" s="85" t="s">
        <v>3602</v>
      </c>
      <c r="B1415" s="88" t="s">
        <v>3510</v>
      </c>
      <c r="C1415" s="26" t="s">
        <v>37</v>
      </c>
      <c r="D1415" s="14"/>
      <c r="E1415" s="15"/>
      <c r="F1415" s="16">
        <f t="shared" si="84"/>
        <v>0</v>
      </c>
      <c r="G1415">
        <f t="shared" si="81"/>
        <v>0</v>
      </c>
    </row>
    <row r="1416" spans="1:7" hidden="1" x14ac:dyDescent="0.25">
      <c r="A1416" s="85" t="s">
        <v>3603</v>
      </c>
      <c r="B1416" s="88" t="s">
        <v>3514</v>
      </c>
      <c r="C1416" s="26" t="s">
        <v>37</v>
      </c>
      <c r="D1416" s="14"/>
      <c r="E1416" s="15"/>
      <c r="F1416" s="16">
        <f t="shared" si="84"/>
        <v>0</v>
      </c>
      <c r="G1416">
        <f t="shared" si="81"/>
        <v>0</v>
      </c>
    </row>
    <row r="1417" spans="1:7" hidden="1" x14ac:dyDescent="0.25">
      <c r="A1417" s="85" t="s">
        <v>3604</v>
      </c>
      <c r="B1417" s="88" t="s">
        <v>3513</v>
      </c>
      <c r="C1417" s="26" t="s">
        <v>37</v>
      </c>
      <c r="D1417" s="14"/>
      <c r="E1417" s="15"/>
      <c r="F1417" s="16">
        <f t="shared" si="84"/>
        <v>0</v>
      </c>
      <c r="G1417">
        <f t="shared" si="81"/>
        <v>0</v>
      </c>
    </row>
    <row r="1418" spans="1:7" hidden="1" x14ac:dyDescent="0.25">
      <c r="A1418" s="85" t="s">
        <v>3605</v>
      </c>
      <c r="B1418" s="88" t="s">
        <v>3515</v>
      </c>
      <c r="C1418" s="26" t="s">
        <v>37</v>
      </c>
      <c r="D1418" s="14"/>
      <c r="E1418" s="15"/>
      <c r="F1418" s="16">
        <f t="shared" si="84"/>
        <v>0</v>
      </c>
      <c r="G1418">
        <f t="shared" si="81"/>
        <v>0</v>
      </c>
    </row>
    <row r="1419" spans="1:7" hidden="1" x14ac:dyDescent="0.25">
      <c r="A1419" s="85" t="s">
        <v>982</v>
      </c>
      <c r="B1419" s="88" t="s">
        <v>3516</v>
      </c>
      <c r="C1419" s="26" t="s">
        <v>37</v>
      </c>
      <c r="D1419" s="14"/>
      <c r="E1419" s="15"/>
      <c r="F1419" s="16">
        <f t="shared" si="84"/>
        <v>0</v>
      </c>
      <c r="G1419">
        <f t="shared" si="81"/>
        <v>0</v>
      </c>
    </row>
    <row r="1420" spans="1:7" hidden="1" x14ac:dyDescent="0.25">
      <c r="A1420" s="85" t="s">
        <v>3606</v>
      </c>
      <c r="B1420" s="88" t="s">
        <v>3517</v>
      </c>
      <c r="C1420" s="26" t="s">
        <v>37</v>
      </c>
      <c r="D1420" s="14"/>
      <c r="E1420" s="15"/>
      <c r="F1420" s="16">
        <f t="shared" si="84"/>
        <v>0</v>
      </c>
      <c r="G1420">
        <f t="shared" si="81"/>
        <v>0</v>
      </c>
    </row>
    <row r="1421" spans="1:7" hidden="1" x14ac:dyDescent="0.25">
      <c r="A1421" s="85" t="s">
        <v>3607</v>
      </c>
      <c r="B1421" s="88" t="s">
        <v>3518</v>
      </c>
      <c r="C1421" s="26" t="s">
        <v>37</v>
      </c>
      <c r="D1421" s="14"/>
      <c r="E1421" s="15"/>
      <c r="F1421" s="16">
        <f t="shared" si="84"/>
        <v>0</v>
      </c>
      <c r="G1421">
        <f t="shared" si="81"/>
        <v>0</v>
      </c>
    </row>
    <row r="1422" spans="1:7" hidden="1" x14ac:dyDescent="0.25">
      <c r="A1422" s="85" t="s">
        <v>3608</v>
      </c>
      <c r="B1422" s="88" t="s">
        <v>3519</v>
      </c>
      <c r="C1422" s="26" t="s">
        <v>37</v>
      </c>
      <c r="D1422" s="14"/>
      <c r="E1422" s="15"/>
      <c r="F1422" s="16">
        <f t="shared" si="84"/>
        <v>0</v>
      </c>
      <c r="G1422">
        <f t="shared" si="81"/>
        <v>0</v>
      </c>
    </row>
    <row r="1423" spans="1:7" hidden="1" x14ac:dyDescent="0.25">
      <c r="A1423" s="85" t="s">
        <v>3609</v>
      </c>
      <c r="B1423" s="88" t="s">
        <v>3520</v>
      </c>
      <c r="C1423" s="26" t="s">
        <v>37</v>
      </c>
      <c r="D1423" s="14"/>
      <c r="E1423" s="15"/>
      <c r="F1423" s="16">
        <f t="shared" si="84"/>
        <v>0</v>
      </c>
      <c r="G1423">
        <f t="shared" si="81"/>
        <v>0</v>
      </c>
    </row>
    <row r="1424" spans="1:7" hidden="1" x14ac:dyDescent="0.25">
      <c r="A1424" s="85" t="s">
        <v>3610</v>
      </c>
      <c r="B1424" s="88" t="s">
        <v>3509</v>
      </c>
      <c r="C1424" s="26" t="s">
        <v>37</v>
      </c>
      <c r="D1424" s="14"/>
      <c r="E1424" s="15"/>
      <c r="F1424" s="16">
        <f t="shared" si="84"/>
        <v>0</v>
      </c>
      <c r="G1424">
        <f t="shared" si="81"/>
        <v>0</v>
      </c>
    </row>
    <row r="1425" spans="1:7" hidden="1" x14ac:dyDescent="0.25">
      <c r="A1425" s="78" t="s">
        <v>983</v>
      </c>
      <c r="B1425" s="79" t="s">
        <v>3575</v>
      </c>
      <c r="C1425" s="26"/>
      <c r="D1425" s="14"/>
      <c r="E1425" s="15"/>
      <c r="F1425" s="16"/>
      <c r="G1425">
        <f t="shared" si="81"/>
        <v>0</v>
      </c>
    </row>
    <row r="1426" spans="1:7" hidden="1" x14ac:dyDescent="0.25">
      <c r="A1426" s="85" t="s">
        <v>3611</v>
      </c>
      <c r="B1426" s="88" t="s">
        <v>3511</v>
      </c>
      <c r="C1426" s="26" t="s">
        <v>37</v>
      </c>
      <c r="D1426" s="14"/>
      <c r="E1426" s="15"/>
      <c r="F1426" s="16">
        <f t="shared" ref="F1426:F1437" si="85">+D1426*E1426</f>
        <v>0</v>
      </c>
      <c r="G1426">
        <f t="shared" si="81"/>
        <v>0</v>
      </c>
    </row>
    <row r="1427" spans="1:7" hidden="1" x14ac:dyDescent="0.25">
      <c r="A1427" s="85" t="s">
        <v>3612</v>
      </c>
      <c r="B1427" s="88" t="s">
        <v>3512</v>
      </c>
      <c r="C1427" s="26" t="s">
        <v>37</v>
      </c>
      <c r="D1427" s="14"/>
      <c r="E1427" s="15"/>
      <c r="F1427" s="16">
        <f t="shared" si="85"/>
        <v>0</v>
      </c>
      <c r="G1427">
        <f t="shared" si="81"/>
        <v>0</v>
      </c>
    </row>
    <row r="1428" spans="1:7" hidden="1" x14ac:dyDescent="0.25">
      <c r="A1428" s="85" t="s">
        <v>3613</v>
      </c>
      <c r="B1428" s="88" t="s">
        <v>3510</v>
      </c>
      <c r="C1428" s="26" t="s">
        <v>37</v>
      </c>
      <c r="D1428" s="14"/>
      <c r="E1428" s="15"/>
      <c r="F1428" s="16">
        <f t="shared" si="85"/>
        <v>0</v>
      </c>
      <c r="G1428">
        <f t="shared" si="81"/>
        <v>0</v>
      </c>
    </row>
    <row r="1429" spans="1:7" hidden="1" x14ac:dyDescent="0.25">
      <c r="A1429" s="85" t="s">
        <v>3614</v>
      </c>
      <c r="B1429" s="88" t="s">
        <v>3514</v>
      </c>
      <c r="C1429" s="26" t="s">
        <v>37</v>
      </c>
      <c r="D1429" s="14"/>
      <c r="E1429" s="15"/>
      <c r="F1429" s="16">
        <f t="shared" si="85"/>
        <v>0</v>
      </c>
      <c r="G1429">
        <f t="shared" si="81"/>
        <v>0</v>
      </c>
    </row>
    <row r="1430" spans="1:7" hidden="1" x14ac:dyDescent="0.25">
      <c r="A1430" s="85" t="s">
        <v>3615</v>
      </c>
      <c r="B1430" s="88" t="s">
        <v>3513</v>
      </c>
      <c r="C1430" s="26" t="s">
        <v>37</v>
      </c>
      <c r="D1430" s="14"/>
      <c r="E1430" s="15"/>
      <c r="F1430" s="16">
        <f t="shared" si="85"/>
        <v>0</v>
      </c>
      <c r="G1430">
        <f t="shared" si="81"/>
        <v>0</v>
      </c>
    </row>
    <row r="1431" spans="1:7" hidden="1" x14ac:dyDescent="0.25">
      <c r="A1431" s="85" t="s">
        <v>3616</v>
      </c>
      <c r="B1431" s="88" t="s">
        <v>3515</v>
      </c>
      <c r="C1431" s="26" t="s">
        <v>37</v>
      </c>
      <c r="D1431" s="14"/>
      <c r="E1431" s="15"/>
      <c r="F1431" s="16">
        <f t="shared" si="85"/>
        <v>0</v>
      </c>
      <c r="G1431">
        <f t="shared" si="81"/>
        <v>0</v>
      </c>
    </row>
    <row r="1432" spans="1:7" hidden="1" x14ac:dyDescent="0.25">
      <c r="A1432" s="85" t="s">
        <v>984</v>
      </c>
      <c r="B1432" s="88" t="s">
        <v>3516</v>
      </c>
      <c r="C1432" s="26" t="s">
        <v>37</v>
      </c>
      <c r="D1432" s="14"/>
      <c r="E1432" s="15"/>
      <c r="F1432" s="16">
        <f t="shared" si="85"/>
        <v>0</v>
      </c>
      <c r="G1432">
        <f t="shared" si="81"/>
        <v>0</v>
      </c>
    </row>
    <row r="1433" spans="1:7" hidden="1" x14ac:dyDescent="0.25">
      <c r="A1433" s="85" t="s">
        <v>3617</v>
      </c>
      <c r="B1433" s="88" t="s">
        <v>3517</v>
      </c>
      <c r="C1433" s="26" t="s">
        <v>37</v>
      </c>
      <c r="D1433" s="14"/>
      <c r="E1433" s="15"/>
      <c r="F1433" s="16">
        <f t="shared" si="85"/>
        <v>0</v>
      </c>
      <c r="G1433">
        <f t="shared" si="81"/>
        <v>0</v>
      </c>
    </row>
    <row r="1434" spans="1:7" hidden="1" x14ac:dyDescent="0.25">
      <c r="A1434" s="85" t="s">
        <v>3618</v>
      </c>
      <c r="B1434" s="88" t="s">
        <v>3518</v>
      </c>
      <c r="C1434" s="26" t="s">
        <v>37</v>
      </c>
      <c r="D1434" s="14"/>
      <c r="E1434" s="15"/>
      <c r="F1434" s="16">
        <f t="shared" si="85"/>
        <v>0</v>
      </c>
      <c r="G1434">
        <f t="shared" si="81"/>
        <v>0</v>
      </c>
    </row>
    <row r="1435" spans="1:7" hidden="1" x14ac:dyDescent="0.25">
      <c r="A1435" s="85" t="s">
        <v>3619</v>
      </c>
      <c r="B1435" s="88" t="s">
        <v>3519</v>
      </c>
      <c r="C1435" s="26" t="s">
        <v>37</v>
      </c>
      <c r="D1435" s="14"/>
      <c r="E1435" s="15"/>
      <c r="F1435" s="16">
        <f t="shared" si="85"/>
        <v>0</v>
      </c>
      <c r="G1435">
        <f t="shared" si="81"/>
        <v>0</v>
      </c>
    </row>
    <row r="1436" spans="1:7" hidden="1" x14ac:dyDescent="0.25">
      <c r="A1436" s="85" t="s">
        <v>3620</v>
      </c>
      <c r="B1436" s="88" t="s">
        <v>3520</v>
      </c>
      <c r="C1436" s="26" t="s">
        <v>37</v>
      </c>
      <c r="D1436" s="14"/>
      <c r="E1436" s="15"/>
      <c r="F1436" s="16">
        <f t="shared" si="85"/>
        <v>0</v>
      </c>
      <c r="G1436">
        <f t="shared" si="81"/>
        <v>0</v>
      </c>
    </row>
    <row r="1437" spans="1:7" hidden="1" x14ac:dyDescent="0.25">
      <c r="A1437" s="85" t="s">
        <v>3621</v>
      </c>
      <c r="B1437" s="88" t="s">
        <v>3509</v>
      </c>
      <c r="C1437" s="26" t="s">
        <v>37</v>
      </c>
      <c r="D1437" s="14"/>
      <c r="E1437" s="15"/>
      <c r="F1437" s="16">
        <f t="shared" si="85"/>
        <v>0</v>
      </c>
      <c r="G1437">
        <f t="shared" si="81"/>
        <v>0</v>
      </c>
    </row>
    <row r="1438" spans="1:7" hidden="1" x14ac:dyDescent="0.25">
      <c r="A1438" s="78" t="s">
        <v>985</v>
      </c>
      <c r="B1438" s="79" t="s">
        <v>3632</v>
      </c>
      <c r="C1438" s="26"/>
      <c r="D1438" s="14"/>
      <c r="E1438" s="15"/>
      <c r="F1438" s="16"/>
      <c r="G1438">
        <f t="shared" si="81"/>
        <v>0</v>
      </c>
    </row>
    <row r="1439" spans="1:7" hidden="1" x14ac:dyDescent="0.25">
      <c r="A1439" s="85" t="s">
        <v>986</v>
      </c>
      <c r="B1439" s="88" t="s">
        <v>3511</v>
      </c>
      <c r="C1439" s="26" t="s">
        <v>37</v>
      </c>
      <c r="D1439" s="14"/>
      <c r="E1439" s="15"/>
      <c r="F1439" s="16">
        <f t="shared" ref="F1439:F1450" si="86">+D1439*E1439</f>
        <v>0</v>
      </c>
      <c r="G1439">
        <f t="shared" si="81"/>
        <v>0</v>
      </c>
    </row>
    <row r="1440" spans="1:7" hidden="1" x14ac:dyDescent="0.25">
      <c r="A1440" s="85" t="s">
        <v>987</v>
      </c>
      <c r="B1440" s="88" t="s">
        <v>3512</v>
      </c>
      <c r="C1440" s="26" t="s">
        <v>37</v>
      </c>
      <c r="D1440" s="14"/>
      <c r="E1440" s="15"/>
      <c r="F1440" s="16">
        <f t="shared" si="86"/>
        <v>0</v>
      </c>
      <c r="G1440">
        <f t="shared" si="81"/>
        <v>0</v>
      </c>
    </row>
    <row r="1441" spans="1:7" hidden="1" x14ac:dyDescent="0.25">
      <c r="A1441" s="85" t="s">
        <v>3622</v>
      </c>
      <c r="B1441" s="88" t="s">
        <v>3510</v>
      </c>
      <c r="C1441" s="26" t="s">
        <v>37</v>
      </c>
      <c r="D1441" s="14"/>
      <c r="E1441" s="15"/>
      <c r="F1441" s="16">
        <f t="shared" si="86"/>
        <v>0</v>
      </c>
      <c r="G1441">
        <f t="shared" si="81"/>
        <v>0</v>
      </c>
    </row>
    <row r="1442" spans="1:7" hidden="1" x14ac:dyDescent="0.25">
      <c r="A1442" s="85" t="s">
        <v>3623</v>
      </c>
      <c r="B1442" s="88" t="s">
        <v>3514</v>
      </c>
      <c r="C1442" s="26" t="s">
        <v>37</v>
      </c>
      <c r="D1442" s="14"/>
      <c r="E1442" s="15"/>
      <c r="F1442" s="16">
        <f t="shared" si="86"/>
        <v>0</v>
      </c>
      <c r="G1442">
        <f t="shared" si="81"/>
        <v>0</v>
      </c>
    </row>
    <row r="1443" spans="1:7" hidden="1" x14ac:dyDescent="0.25">
      <c r="A1443" s="85" t="s">
        <v>3624</v>
      </c>
      <c r="B1443" s="88" t="s">
        <v>3513</v>
      </c>
      <c r="C1443" s="26" t="s">
        <v>37</v>
      </c>
      <c r="D1443" s="14"/>
      <c r="E1443" s="15"/>
      <c r="F1443" s="16">
        <f t="shared" si="86"/>
        <v>0</v>
      </c>
      <c r="G1443">
        <f t="shared" si="81"/>
        <v>0</v>
      </c>
    </row>
    <row r="1444" spans="1:7" hidden="1" x14ac:dyDescent="0.25">
      <c r="A1444" s="85" t="s">
        <v>3625</v>
      </c>
      <c r="B1444" s="88" t="s">
        <v>3515</v>
      </c>
      <c r="C1444" s="26" t="s">
        <v>37</v>
      </c>
      <c r="D1444" s="14"/>
      <c r="E1444" s="15"/>
      <c r="F1444" s="16">
        <f t="shared" si="86"/>
        <v>0</v>
      </c>
      <c r="G1444">
        <f t="shared" ref="G1444:G1507" si="87">+IF(F1444&lt;&gt;0,1,0)</f>
        <v>0</v>
      </c>
    </row>
    <row r="1445" spans="1:7" hidden="1" x14ac:dyDescent="0.25">
      <c r="A1445" s="85" t="s">
        <v>3626</v>
      </c>
      <c r="B1445" s="88" t="s">
        <v>3516</v>
      </c>
      <c r="C1445" s="26" t="s">
        <v>37</v>
      </c>
      <c r="D1445" s="14"/>
      <c r="E1445" s="15"/>
      <c r="F1445" s="16">
        <f t="shared" si="86"/>
        <v>0</v>
      </c>
      <c r="G1445">
        <f t="shared" si="87"/>
        <v>0</v>
      </c>
    </row>
    <row r="1446" spans="1:7" hidden="1" x14ac:dyDescent="0.25">
      <c r="A1446" s="85" t="s">
        <v>3627</v>
      </c>
      <c r="B1446" s="88" t="s">
        <v>3517</v>
      </c>
      <c r="C1446" s="26" t="s">
        <v>37</v>
      </c>
      <c r="D1446" s="14"/>
      <c r="E1446" s="15">
        <f>+SUM!H1445</f>
        <v>3322046</v>
      </c>
      <c r="F1446" s="16">
        <f t="shared" si="86"/>
        <v>0</v>
      </c>
      <c r="G1446">
        <f t="shared" si="87"/>
        <v>0</v>
      </c>
    </row>
    <row r="1447" spans="1:7" hidden="1" x14ac:dyDescent="0.25">
      <c r="A1447" s="85" t="s">
        <v>3628</v>
      </c>
      <c r="B1447" s="88" t="s">
        <v>3518</v>
      </c>
      <c r="C1447" s="26" t="s">
        <v>37</v>
      </c>
      <c r="D1447" s="14"/>
      <c r="E1447" s="15"/>
      <c r="F1447" s="16">
        <f t="shared" si="86"/>
        <v>0</v>
      </c>
      <c r="G1447">
        <f t="shared" si="87"/>
        <v>0</v>
      </c>
    </row>
    <row r="1448" spans="1:7" hidden="1" x14ac:dyDescent="0.25">
      <c r="A1448" s="85" t="s">
        <v>3629</v>
      </c>
      <c r="B1448" s="88" t="s">
        <v>3519</v>
      </c>
      <c r="C1448" s="26" t="s">
        <v>37</v>
      </c>
      <c r="D1448" s="14"/>
      <c r="E1448" s="15"/>
      <c r="F1448" s="16">
        <f t="shared" si="86"/>
        <v>0</v>
      </c>
      <c r="G1448">
        <f t="shared" si="87"/>
        <v>0</v>
      </c>
    </row>
    <row r="1449" spans="1:7" hidden="1" x14ac:dyDescent="0.25">
      <c r="A1449" s="85" t="s">
        <v>3630</v>
      </c>
      <c r="B1449" s="88" t="s">
        <v>3520</v>
      </c>
      <c r="C1449" s="26" t="s">
        <v>37</v>
      </c>
      <c r="D1449" s="14"/>
      <c r="E1449" s="15"/>
      <c r="F1449" s="16">
        <f t="shared" si="86"/>
        <v>0</v>
      </c>
      <c r="G1449">
        <f t="shared" si="87"/>
        <v>0</v>
      </c>
    </row>
    <row r="1450" spans="1:7" hidden="1" x14ac:dyDescent="0.25">
      <c r="A1450" s="85" t="s">
        <v>3631</v>
      </c>
      <c r="B1450" s="88" t="s">
        <v>3509</v>
      </c>
      <c r="C1450" s="26" t="s">
        <v>37</v>
      </c>
      <c r="D1450" s="14"/>
      <c r="E1450" s="15"/>
      <c r="F1450" s="16">
        <f t="shared" si="86"/>
        <v>0</v>
      </c>
      <c r="G1450">
        <f t="shared" si="87"/>
        <v>0</v>
      </c>
    </row>
    <row r="1451" spans="1:7" hidden="1" x14ac:dyDescent="0.25">
      <c r="A1451" s="78" t="s">
        <v>988</v>
      </c>
      <c r="B1451" s="79" t="s">
        <v>3633</v>
      </c>
      <c r="C1451" s="26"/>
      <c r="D1451" s="14"/>
      <c r="E1451" s="15"/>
      <c r="F1451" s="16"/>
      <c r="G1451">
        <f t="shared" si="87"/>
        <v>0</v>
      </c>
    </row>
    <row r="1452" spans="1:7" hidden="1" x14ac:dyDescent="0.25">
      <c r="A1452" s="85" t="s">
        <v>989</v>
      </c>
      <c r="B1452" s="88" t="s">
        <v>3511</v>
      </c>
      <c r="C1452" s="26" t="s">
        <v>37</v>
      </c>
      <c r="D1452" s="14"/>
      <c r="E1452" s="15"/>
      <c r="F1452" s="16">
        <f t="shared" ref="F1452:F1463" si="88">+D1452*E1452</f>
        <v>0</v>
      </c>
      <c r="G1452">
        <f t="shared" si="87"/>
        <v>0</v>
      </c>
    </row>
    <row r="1453" spans="1:7" hidden="1" x14ac:dyDescent="0.25">
      <c r="A1453" s="85" t="s">
        <v>3634</v>
      </c>
      <c r="B1453" s="88" t="s">
        <v>3512</v>
      </c>
      <c r="C1453" s="26" t="s">
        <v>37</v>
      </c>
      <c r="D1453" s="14"/>
      <c r="E1453" s="15"/>
      <c r="F1453" s="16">
        <f t="shared" si="88"/>
        <v>0</v>
      </c>
      <c r="G1453">
        <f t="shared" si="87"/>
        <v>0</v>
      </c>
    </row>
    <row r="1454" spans="1:7" hidden="1" x14ac:dyDescent="0.25">
      <c r="A1454" s="85" t="s">
        <v>3635</v>
      </c>
      <c r="B1454" s="88" t="s">
        <v>3510</v>
      </c>
      <c r="C1454" s="26" t="s">
        <v>37</v>
      </c>
      <c r="D1454" s="14"/>
      <c r="E1454" s="15"/>
      <c r="F1454" s="16">
        <f t="shared" si="88"/>
        <v>0</v>
      </c>
      <c r="G1454">
        <f t="shared" si="87"/>
        <v>0</v>
      </c>
    </row>
    <row r="1455" spans="1:7" hidden="1" x14ac:dyDescent="0.25">
      <c r="A1455" s="85" t="s">
        <v>3636</v>
      </c>
      <c r="B1455" s="88" t="s">
        <v>3514</v>
      </c>
      <c r="C1455" s="26" t="s">
        <v>37</v>
      </c>
      <c r="D1455" s="14"/>
      <c r="E1455" s="15"/>
      <c r="F1455" s="16">
        <f t="shared" si="88"/>
        <v>0</v>
      </c>
      <c r="G1455">
        <f t="shared" si="87"/>
        <v>0</v>
      </c>
    </row>
    <row r="1456" spans="1:7" hidden="1" x14ac:dyDescent="0.25">
      <c r="A1456" s="85" t="s">
        <v>3637</v>
      </c>
      <c r="B1456" s="88" t="s">
        <v>3513</v>
      </c>
      <c r="C1456" s="26" t="s">
        <v>37</v>
      </c>
      <c r="D1456" s="14"/>
      <c r="E1456" s="15"/>
      <c r="F1456" s="16">
        <f t="shared" si="88"/>
        <v>0</v>
      </c>
      <c r="G1456">
        <f t="shared" si="87"/>
        <v>0</v>
      </c>
    </row>
    <row r="1457" spans="1:7" hidden="1" x14ac:dyDescent="0.25">
      <c r="A1457" s="85" t="s">
        <v>3638</v>
      </c>
      <c r="B1457" s="88" t="s">
        <v>3515</v>
      </c>
      <c r="C1457" s="26" t="s">
        <v>37</v>
      </c>
      <c r="D1457" s="14"/>
      <c r="E1457" s="15"/>
      <c r="F1457" s="16">
        <f t="shared" si="88"/>
        <v>0</v>
      </c>
      <c r="G1457">
        <f t="shared" si="87"/>
        <v>0</v>
      </c>
    </row>
    <row r="1458" spans="1:7" hidden="1" x14ac:dyDescent="0.25">
      <c r="A1458" s="85" t="s">
        <v>3639</v>
      </c>
      <c r="B1458" s="88" t="s">
        <v>3516</v>
      </c>
      <c r="C1458" s="26" t="s">
        <v>37</v>
      </c>
      <c r="D1458" s="14"/>
      <c r="E1458" s="15"/>
      <c r="F1458" s="16">
        <f t="shared" si="88"/>
        <v>0</v>
      </c>
      <c r="G1458">
        <f t="shared" si="87"/>
        <v>0</v>
      </c>
    </row>
    <row r="1459" spans="1:7" hidden="1" x14ac:dyDescent="0.25">
      <c r="A1459" s="85" t="s">
        <v>3640</v>
      </c>
      <c r="B1459" s="88" t="s">
        <v>3517</v>
      </c>
      <c r="C1459" s="26" t="s">
        <v>37</v>
      </c>
      <c r="D1459" s="14"/>
      <c r="E1459" s="15"/>
      <c r="F1459" s="16">
        <f t="shared" si="88"/>
        <v>0</v>
      </c>
      <c r="G1459">
        <f t="shared" si="87"/>
        <v>0</v>
      </c>
    </row>
    <row r="1460" spans="1:7" hidden="1" x14ac:dyDescent="0.25">
      <c r="A1460" s="85" t="s">
        <v>3641</v>
      </c>
      <c r="B1460" s="88" t="s">
        <v>3518</v>
      </c>
      <c r="C1460" s="26" t="s">
        <v>37</v>
      </c>
      <c r="D1460" s="14"/>
      <c r="E1460" s="15"/>
      <c r="F1460" s="16">
        <f t="shared" si="88"/>
        <v>0</v>
      </c>
      <c r="G1460">
        <f t="shared" si="87"/>
        <v>0</v>
      </c>
    </row>
    <row r="1461" spans="1:7" hidden="1" x14ac:dyDescent="0.25">
      <c r="A1461" s="85" t="s">
        <v>3642</v>
      </c>
      <c r="B1461" s="88" t="s">
        <v>3519</v>
      </c>
      <c r="C1461" s="26" t="s">
        <v>37</v>
      </c>
      <c r="D1461" s="14"/>
      <c r="E1461" s="15"/>
      <c r="F1461" s="16">
        <f t="shared" si="88"/>
        <v>0</v>
      </c>
      <c r="G1461">
        <f t="shared" si="87"/>
        <v>0</v>
      </c>
    </row>
    <row r="1462" spans="1:7" hidden="1" x14ac:dyDescent="0.25">
      <c r="A1462" s="85" t="s">
        <v>3643</v>
      </c>
      <c r="B1462" s="88" t="s">
        <v>3520</v>
      </c>
      <c r="C1462" s="26" t="s">
        <v>37</v>
      </c>
      <c r="D1462" s="14"/>
      <c r="E1462" s="15"/>
      <c r="F1462" s="16">
        <f t="shared" si="88"/>
        <v>0</v>
      </c>
      <c r="G1462">
        <f t="shared" si="87"/>
        <v>0</v>
      </c>
    </row>
    <row r="1463" spans="1:7" hidden="1" x14ac:dyDescent="0.25">
      <c r="A1463" s="85" t="s">
        <v>3644</v>
      </c>
      <c r="B1463" s="88" t="s">
        <v>3509</v>
      </c>
      <c r="C1463" s="26" t="s">
        <v>37</v>
      </c>
      <c r="D1463" s="14"/>
      <c r="E1463" s="15"/>
      <c r="F1463" s="16">
        <f t="shared" si="88"/>
        <v>0</v>
      </c>
      <c r="G1463">
        <f t="shared" si="87"/>
        <v>0</v>
      </c>
    </row>
    <row r="1464" spans="1:7" hidden="1" x14ac:dyDescent="0.25">
      <c r="A1464" s="78" t="s">
        <v>3645</v>
      </c>
      <c r="B1464" s="79" t="s">
        <v>3647</v>
      </c>
      <c r="C1464" s="26"/>
      <c r="D1464" s="14"/>
      <c r="E1464" s="15"/>
      <c r="F1464" s="16"/>
      <c r="G1464">
        <f t="shared" si="87"/>
        <v>0</v>
      </c>
    </row>
    <row r="1465" spans="1:7" hidden="1" x14ac:dyDescent="0.25">
      <c r="A1465" s="85" t="s">
        <v>3646</v>
      </c>
      <c r="B1465" s="88" t="s">
        <v>3511</v>
      </c>
      <c r="C1465" s="26" t="s">
        <v>37</v>
      </c>
      <c r="D1465" s="14"/>
      <c r="E1465" s="15"/>
      <c r="F1465" s="16">
        <f t="shared" ref="F1465:F1476" si="89">+D1465*E1465</f>
        <v>0</v>
      </c>
      <c r="G1465">
        <f t="shared" si="87"/>
        <v>0</v>
      </c>
    </row>
    <row r="1466" spans="1:7" hidden="1" x14ac:dyDescent="0.25">
      <c r="A1466" s="85" t="s">
        <v>3648</v>
      </c>
      <c r="B1466" s="88" t="s">
        <v>3512</v>
      </c>
      <c r="C1466" s="26" t="s">
        <v>37</v>
      </c>
      <c r="D1466" s="14"/>
      <c r="E1466" s="15"/>
      <c r="F1466" s="16">
        <f t="shared" si="89"/>
        <v>0</v>
      </c>
      <c r="G1466">
        <f t="shared" si="87"/>
        <v>0</v>
      </c>
    </row>
    <row r="1467" spans="1:7" hidden="1" x14ac:dyDescent="0.25">
      <c r="A1467" s="85" t="s">
        <v>3649</v>
      </c>
      <c r="B1467" s="88" t="s">
        <v>3510</v>
      </c>
      <c r="C1467" s="26" t="s">
        <v>37</v>
      </c>
      <c r="D1467" s="14"/>
      <c r="E1467" s="15"/>
      <c r="F1467" s="16">
        <f t="shared" si="89"/>
        <v>0</v>
      </c>
      <c r="G1467">
        <f t="shared" si="87"/>
        <v>0</v>
      </c>
    </row>
    <row r="1468" spans="1:7" hidden="1" x14ac:dyDescent="0.25">
      <c r="A1468" s="85" t="s">
        <v>3650</v>
      </c>
      <c r="B1468" s="88" t="s">
        <v>3514</v>
      </c>
      <c r="C1468" s="26" t="s">
        <v>37</v>
      </c>
      <c r="D1468" s="14"/>
      <c r="E1468" s="15"/>
      <c r="F1468" s="16">
        <f t="shared" si="89"/>
        <v>0</v>
      </c>
      <c r="G1468">
        <f t="shared" si="87"/>
        <v>0</v>
      </c>
    </row>
    <row r="1469" spans="1:7" hidden="1" x14ac:dyDescent="0.25">
      <c r="A1469" s="85" t="s">
        <v>3651</v>
      </c>
      <c r="B1469" s="88" t="s">
        <v>3513</v>
      </c>
      <c r="C1469" s="26" t="s">
        <v>37</v>
      </c>
      <c r="D1469" s="14"/>
      <c r="E1469" s="15"/>
      <c r="F1469" s="16">
        <f t="shared" si="89"/>
        <v>0</v>
      </c>
      <c r="G1469">
        <f t="shared" si="87"/>
        <v>0</v>
      </c>
    </row>
    <row r="1470" spans="1:7" hidden="1" x14ac:dyDescent="0.25">
      <c r="A1470" s="85" t="s">
        <v>3652</v>
      </c>
      <c r="B1470" s="88" t="s">
        <v>3515</v>
      </c>
      <c r="C1470" s="26" t="s">
        <v>37</v>
      </c>
      <c r="D1470" s="14"/>
      <c r="E1470" s="15"/>
      <c r="F1470" s="16">
        <f t="shared" si="89"/>
        <v>0</v>
      </c>
      <c r="G1470">
        <f t="shared" si="87"/>
        <v>0</v>
      </c>
    </row>
    <row r="1471" spans="1:7" hidden="1" x14ac:dyDescent="0.25">
      <c r="A1471" s="85" t="s">
        <v>3653</v>
      </c>
      <c r="B1471" s="88" t="s">
        <v>3516</v>
      </c>
      <c r="C1471" s="26" t="s">
        <v>37</v>
      </c>
      <c r="D1471" s="14"/>
      <c r="E1471" s="15"/>
      <c r="F1471" s="16">
        <f t="shared" si="89"/>
        <v>0</v>
      </c>
      <c r="G1471">
        <f t="shared" si="87"/>
        <v>0</v>
      </c>
    </row>
    <row r="1472" spans="1:7" hidden="1" x14ac:dyDescent="0.25">
      <c r="A1472" s="85" t="s">
        <v>3654</v>
      </c>
      <c r="B1472" s="88" t="s">
        <v>3517</v>
      </c>
      <c r="C1472" s="26" t="s">
        <v>37</v>
      </c>
      <c r="D1472" s="14"/>
      <c r="E1472" s="15"/>
      <c r="F1472" s="16">
        <f t="shared" si="89"/>
        <v>0</v>
      </c>
      <c r="G1472">
        <f t="shared" si="87"/>
        <v>0</v>
      </c>
    </row>
    <row r="1473" spans="1:7" hidden="1" x14ac:dyDescent="0.25">
      <c r="A1473" s="85" t="s">
        <v>3655</v>
      </c>
      <c r="B1473" s="88" t="s">
        <v>3518</v>
      </c>
      <c r="C1473" s="26" t="s">
        <v>37</v>
      </c>
      <c r="D1473" s="14"/>
      <c r="E1473" s="15"/>
      <c r="F1473" s="16">
        <f t="shared" si="89"/>
        <v>0</v>
      </c>
      <c r="G1473">
        <f t="shared" si="87"/>
        <v>0</v>
      </c>
    </row>
    <row r="1474" spans="1:7" hidden="1" x14ac:dyDescent="0.25">
      <c r="A1474" s="85" t="s">
        <v>3656</v>
      </c>
      <c r="B1474" s="88" t="s">
        <v>3519</v>
      </c>
      <c r="C1474" s="26" t="s">
        <v>37</v>
      </c>
      <c r="D1474" s="14"/>
      <c r="E1474" s="15"/>
      <c r="F1474" s="16">
        <f t="shared" si="89"/>
        <v>0</v>
      </c>
      <c r="G1474">
        <f t="shared" si="87"/>
        <v>0</v>
      </c>
    </row>
    <row r="1475" spans="1:7" hidden="1" x14ac:dyDescent="0.25">
      <c r="A1475" s="85" t="s">
        <v>3657</v>
      </c>
      <c r="B1475" s="88" t="s">
        <v>3520</v>
      </c>
      <c r="C1475" s="26" t="s">
        <v>37</v>
      </c>
      <c r="D1475" s="14"/>
      <c r="E1475" s="15"/>
      <c r="F1475" s="16">
        <f t="shared" si="89"/>
        <v>0</v>
      </c>
      <c r="G1475">
        <f t="shared" si="87"/>
        <v>0</v>
      </c>
    </row>
    <row r="1476" spans="1:7" hidden="1" x14ac:dyDescent="0.25">
      <c r="A1476" s="85" t="s">
        <v>3658</v>
      </c>
      <c r="B1476" s="88" t="s">
        <v>3509</v>
      </c>
      <c r="C1476" s="26" t="s">
        <v>37</v>
      </c>
      <c r="D1476" s="14"/>
      <c r="E1476" s="15"/>
      <c r="F1476" s="16">
        <f t="shared" si="89"/>
        <v>0</v>
      </c>
      <c r="G1476">
        <f t="shared" si="87"/>
        <v>0</v>
      </c>
    </row>
    <row r="1477" spans="1:7" hidden="1" x14ac:dyDescent="0.25">
      <c r="A1477" s="78" t="s">
        <v>3659</v>
      </c>
      <c r="B1477" s="79" t="s">
        <v>3661</v>
      </c>
      <c r="C1477" s="26"/>
      <c r="D1477" s="14"/>
      <c r="E1477" s="15"/>
      <c r="F1477" s="16"/>
      <c r="G1477">
        <f t="shared" si="87"/>
        <v>0</v>
      </c>
    </row>
    <row r="1478" spans="1:7" hidden="1" x14ac:dyDescent="0.25">
      <c r="A1478" s="85" t="s">
        <v>3660</v>
      </c>
      <c r="B1478" s="88" t="s">
        <v>3511</v>
      </c>
      <c r="C1478" s="26" t="s">
        <v>37</v>
      </c>
      <c r="D1478" s="14"/>
      <c r="E1478" s="15"/>
      <c r="F1478" s="16">
        <f t="shared" ref="F1478:F1489" si="90">+D1478*E1478</f>
        <v>0</v>
      </c>
      <c r="G1478">
        <f t="shared" si="87"/>
        <v>0</v>
      </c>
    </row>
    <row r="1479" spans="1:7" hidden="1" x14ac:dyDescent="0.25">
      <c r="A1479" s="85" t="s">
        <v>3662</v>
      </c>
      <c r="B1479" s="88" t="s">
        <v>3512</v>
      </c>
      <c r="C1479" s="26" t="s">
        <v>37</v>
      </c>
      <c r="D1479" s="14"/>
      <c r="E1479" s="15"/>
      <c r="F1479" s="16">
        <f t="shared" si="90"/>
        <v>0</v>
      </c>
      <c r="G1479">
        <f t="shared" si="87"/>
        <v>0</v>
      </c>
    </row>
    <row r="1480" spans="1:7" hidden="1" x14ac:dyDescent="0.25">
      <c r="A1480" s="85" t="s">
        <v>3663</v>
      </c>
      <c r="B1480" s="88" t="s">
        <v>3510</v>
      </c>
      <c r="C1480" s="26" t="s">
        <v>37</v>
      </c>
      <c r="D1480" s="14"/>
      <c r="E1480" s="15"/>
      <c r="F1480" s="16">
        <f t="shared" si="90"/>
        <v>0</v>
      </c>
      <c r="G1480">
        <f t="shared" si="87"/>
        <v>0</v>
      </c>
    </row>
    <row r="1481" spans="1:7" hidden="1" x14ac:dyDescent="0.25">
      <c r="A1481" s="85" t="s">
        <v>3664</v>
      </c>
      <c r="B1481" s="88" t="s">
        <v>3514</v>
      </c>
      <c r="C1481" s="26" t="s">
        <v>37</v>
      </c>
      <c r="D1481" s="14"/>
      <c r="E1481" s="15"/>
      <c r="F1481" s="16">
        <f t="shared" si="90"/>
        <v>0</v>
      </c>
      <c r="G1481">
        <f t="shared" si="87"/>
        <v>0</v>
      </c>
    </row>
    <row r="1482" spans="1:7" hidden="1" x14ac:dyDescent="0.25">
      <c r="A1482" s="85" t="s">
        <v>3665</v>
      </c>
      <c r="B1482" s="88" t="s">
        <v>3513</v>
      </c>
      <c r="C1482" s="26" t="s">
        <v>37</v>
      </c>
      <c r="D1482" s="14"/>
      <c r="E1482" s="15"/>
      <c r="F1482" s="16">
        <f t="shared" si="90"/>
        <v>0</v>
      </c>
      <c r="G1482">
        <f t="shared" si="87"/>
        <v>0</v>
      </c>
    </row>
    <row r="1483" spans="1:7" hidden="1" x14ac:dyDescent="0.25">
      <c r="A1483" s="85" t="s">
        <v>3666</v>
      </c>
      <c r="B1483" s="88" t="s">
        <v>3515</v>
      </c>
      <c r="C1483" s="26" t="s">
        <v>37</v>
      </c>
      <c r="D1483" s="14"/>
      <c r="E1483" s="15"/>
      <c r="F1483" s="16">
        <f t="shared" si="90"/>
        <v>0</v>
      </c>
      <c r="G1483">
        <f t="shared" si="87"/>
        <v>0</v>
      </c>
    </row>
    <row r="1484" spans="1:7" hidden="1" x14ac:dyDescent="0.25">
      <c r="A1484" s="85" t="s">
        <v>3667</v>
      </c>
      <c r="B1484" s="88" t="s">
        <v>3516</v>
      </c>
      <c r="C1484" s="26" t="s">
        <v>37</v>
      </c>
      <c r="D1484" s="14"/>
      <c r="E1484" s="15"/>
      <c r="F1484" s="16">
        <f t="shared" si="90"/>
        <v>0</v>
      </c>
      <c r="G1484">
        <f t="shared" si="87"/>
        <v>0</v>
      </c>
    </row>
    <row r="1485" spans="1:7" hidden="1" x14ac:dyDescent="0.25">
      <c r="A1485" s="85" t="s">
        <v>3668</v>
      </c>
      <c r="B1485" s="88" t="s">
        <v>3517</v>
      </c>
      <c r="C1485" s="26" t="s">
        <v>37</v>
      </c>
      <c r="D1485" s="14"/>
      <c r="E1485" s="15"/>
      <c r="F1485" s="16">
        <f t="shared" si="90"/>
        <v>0</v>
      </c>
      <c r="G1485">
        <f t="shared" si="87"/>
        <v>0</v>
      </c>
    </row>
    <row r="1486" spans="1:7" hidden="1" x14ac:dyDescent="0.25">
      <c r="A1486" s="85" t="s">
        <v>3669</v>
      </c>
      <c r="B1486" s="88" t="s">
        <v>3518</v>
      </c>
      <c r="C1486" s="26" t="s">
        <v>37</v>
      </c>
      <c r="D1486" s="14"/>
      <c r="E1486" s="15"/>
      <c r="F1486" s="16">
        <f t="shared" si="90"/>
        <v>0</v>
      </c>
      <c r="G1486">
        <f t="shared" si="87"/>
        <v>0</v>
      </c>
    </row>
    <row r="1487" spans="1:7" hidden="1" x14ac:dyDescent="0.25">
      <c r="A1487" s="85" t="s">
        <v>3670</v>
      </c>
      <c r="B1487" s="88" t="s">
        <v>3519</v>
      </c>
      <c r="C1487" s="26" t="s">
        <v>37</v>
      </c>
      <c r="D1487" s="14"/>
      <c r="E1487" s="15"/>
      <c r="F1487" s="16">
        <f t="shared" si="90"/>
        <v>0</v>
      </c>
      <c r="G1487">
        <f t="shared" si="87"/>
        <v>0</v>
      </c>
    </row>
    <row r="1488" spans="1:7" hidden="1" x14ac:dyDescent="0.25">
      <c r="A1488" s="85" t="s">
        <v>3671</v>
      </c>
      <c r="B1488" s="88" t="s">
        <v>3520</v>
      </c>
      <c r="C1488" s="26" t="s">
        <v>37</v>
      </c>
      <c r="D1488" s="14"/>
      <c r="E1488" s="15"/>
      <c r="F1488" s="16">
        <f t="shared" si="90"/>
        <v>0</v>
      </c>
      <c r="G1488">
        <f t="shared" si="87"/>
        <v>0</v>
      </c>
    </row>
    <row r="1489" spans="1:7" hidden="1" x14ac:dyDescent="0.25">
      <c r="A1489" s="85" t="s">
        <v>3672</v>
      </c>
      <c r="B1489" s="88" t="s">
        <v>3509</v>
      </c>
      <c r="C1489" s="26" t="s">
        <v>37</v>
      </c>
      <c r="D1489" s="14"/>
      <c r="E1489" s="15"/>
      <c r="F1489" s="16">
        <f t="shared" si="90"/>
        <v>0</v>
      </c>
      <c r="G1489">
        <f t="shared" si="87"/>
        <v>0</v>
      </c>
    </row>
    <row r="1490" spans="1:7" hidden="1" x14ac:dyDescent="0.25">
      <c r="A1490" s="78" t="s">
        <v>3673</v>
      </c>
      <c r="B1490" s="79" t="s">
        <v>3674</v>
      </c>
      <c r="C1490" s="26"/>
      <c r="D1490" s="14"/>
      <c r="E1490" s="15"/>
      <c r="F1490" s="16"/>
      <c r="G1490">
        <f t="shared" si="87"/>
        <v>0</v>
      </c>
    </row>
    <row r="1491" spans="1:7" hidden="1" x14ac:dyDescent="0.25">
      <c r="A1491" s="78" t="s">
        <v>3675</v>
      </c>
      <c r="B1491" s="79" t="s">
        <v>3676</v>
      </c>
      <c r="C1491" s="26"/>
      <c r="D1491" s="14"/>
      <c r="E1491" s="15"/>
      <c r="F1491" s="16"/>
      <c r="G1491">
        <f t="shared" si="87"/>
        <v>0</v>
      </c>
    </row>
    <row r="1492" spans="1:7" hidden="1" x14ac:dyDescent="0.25">
      <c r="A1492" s="85" t="s">
        <v>3738</v>
      </c>
      <c r="B1492" s="81" t="s">
        <v>3677</v>
      </c>
      <c r="C1492" s="26" t="s">
        <v>37</v>
      </c>
      <c r="D1492" s="14"/>
      <c r="E1492" s="15"/>
      <c r="F1492" s="16">
        <f t="shared" ref="F1492:F1551" si="91">+D1492*E1492</f>
        <v>0</v>
      </c>
      <c r="G1492">
        <f t="shared" si="87"/>
        <v>0</v>
      </c>
    </row>
    <row r="1493" spans="1:7" hidden="1" x14ac:dyDescent="0.25">
      <c r="A1493" s="85" t="s">
        <v>3739</v>
      </c>
      <c r="B1493" s="81" t="s">
        <v>3678</v>
      </c>
      <c r="C1493" s="26" t="s">
        <v>37</v>
      </c>
      <c r="D1493" s="14"/>
      <c r="E1493" s="15"/>
      <c r="F1493" s="16">
        <f t="shared" si="91"/>
        <v>0</v>
      </c>
      <c r="G1493">
        <f t="shared" si="87"/>
        <v>0</v>
      </c>
    </row>
    <row r="1494" spans="1:7" hidden="1" x14ac:dyDescent="0.25">
      <c r="A1494" s="85" t="s">
        <v>3740</v>
      </c>
      <c r="B1494" s="81" t="s">
        <v>3679</v>
      </c>
      <c r="C1494" s="26" t="s">
        <v>37</v>
      </c>
      <c r="D1494" s="14"/>
      <c r="E1494" s="15"/>
      <c r="F1494" s="16">
        <f t="shared" si="91"/>
        <v>0</v>
      </c>
      <c r="G1494">
        <f t="shared" si="87"/>
        <v>0</v>
      </c>
    </row>
    <row r="1495" spans="1:7" hidden="1" x14ac:dyDescent="0.25">
      <c r="A1495" s="85" t="s">
        <v>3741</v>
      </c>
      <c r="B1495" s="81" t="s">
        <v>3680</v>
      </c>
      <c r="C1495" s="26" t="s">
        <v>37</v>
      </c>
      <c r="D1495" s="14"/>
      <c r="E1495" s="15"/>
      <c r="F1495" s="16">
        <f t="shared" si="91"/>
        <v>0</v>
      </c>
      <c r="G1495">
        <f t="shared" si="87"/>
        <v>0</v>
      </c>
    </row>
    <row r="1496" spans="1:7" hidden="1" x14ac:dyDescent="0.25">
      <c r="A1496" s="85" t="s">
        <v>3742</v>
      </c>
      <c r="B1496" s="81" t="s">
        <v>3681</v>
      </c>
      <c r="C1496" s="26" t="s">
        <v>37</v>
      </c>
      <c r="D1496" s="14"/>
      <c r="E1496" s="15"/>
      <c r="F1496" s="16">
        <f t="shared" si="91"/>
        <v>0</v>
      </c>
      <c r="G1496">
        <f t="shared" si="87"/>
        <v>0</v>
      </c>
    </row>
    <row r="1497" spans="1:7" hidden="1" x14ac:dyDescent="0.25">
      <c r="A1497" s="85" t="s">
        <v>3743</v>
      </c>
      <c r="B1497" s="81" t="s">
        <v>3682</v>
      </c>
      <c r="C1497" s="26" t="s">
        <v>37</v>
      </c>
      <c r="D1497" s="14"/>
      <c r="E1497" s="15"/>
      <c r="F1497" s="16">
        <f t="shared" si="91"/>
        <v>0</v>
      </c>
      <c r="G1497">
        <f t="shared" si="87"/>
        <v>0</v>
      </c>
    </row>
    <row r="1498" spans="1:7" hidden="1" x14ac:dyDescent="0.25">
      <c r="A1498" s="85" t="s">
        <v>3744</v>
      </c>
      <c r="B1498" s="81" t="s">
        <v>3683</v>
      </c>
      <c r="C1498" s="26" t="s">
        <v>37</v>
      </c>
      <c r="D1498" s="14"/>
      <c r="E1498" s="15"/>
      <c r="F1498" s="16">
        <f t="shared" si="91"/>
        <v>0</v>
      </c>
      <c r="G1498">
        <f t="shared" si="87"/>
        <v>0</v>
      </c>
    </row>
    <row r="1499" spans="1:7" hidden="1" x14ac:dyDescent="0.25">
      <c r="A1499" s="85" t="s">
        <v>3745</v>
      </c>
      <c r="B1499" s="81" t="s">
        <v>3684</v>
      </c>
      <c r="C1499" s="26" t="s">
        <v>37</v>
      </c>
      <c r="D1499" s="14"/>
      <c r="E1499" s="15"/>
      <c r="F1499" s="16">
        <f t="shared" si="91"/>
        <v>0</v>
      </c>
      <c r="G1499">
        <f t="shared" si="87"/>
        <v>0</v>
      </c>
    </row>
    <row r="1500" spans="1:7" hidden="1" x14ac:dyDescent="0.25">
      <c r="A1500" s="85" t="s">
        <v>3746</v>
      </c>
      <c r="B1500" s="81" t="s">
        <v>3685</v>
      </c>
      <c r="C1500" s="26" t="s">
        <v>37</v>
      </c>
      <c r="D1500" s="14"/>
      <c r="E1500" s="15"/>
      <c r="F1500" s="16">
        <f t="shared" si="91"/>
        <v>0</v>
      </c>
      <c r="G1500">
        <f t="shared" si="87"/>
        <v>0</v>
      </c>
    </row>
    <row r="1501" spans="1:7" hidden="1" x14ac:dyDescent="0.25">
      <c r="A1501" s="85" t="s">
        <v>3747</v>
      </c>
      <c r="B1501" s="81" t="s">
        <v>3686</v>
      </c>
      <c r="C1501" s="26" t="s">
        <v>37</v>
      </c>
      <c r="D1501" s="14"/>
      <c r="E1501" s="15"/>
      <c r="F1501" s="16">
        <f t="shared" si="91"/>
        <v>0</v>
      </c>
      <c r="G1501">
        <f t="shared" si="87"/>
        <v>0</v>
      </c>
    </row>
    <row r="1502" spans="1:7" hidden="1" x14ac:dyDescent="0.25">
      <c r="A1502" s="85" t="s">
        <v>3748</v>
      </c>
      <c r="B1502" s="81" t="s">
        <v>3687</v>
      </c>
      <c r="C1502" s="26" t="s">
        <v>37</v>
      </c>
      <c r="D1502" s="14"/>
      <c r="E1502" s="15"/>
      <c r="F1502" s="16">
        <f t="shared" si="91"/>
        <v>0</v>
      </c>
      <c r="G1502">
        <f t="shared" si="87"/>
        <v>0</v>
      </c>
    </row>
    <row r="1503" spans="1:7" hidden="1" x14ac:dyDescent="0.25">
      <c r="A1503" s="85" t="s">
        <v>3749</v>
      </c>
      <c r="B1503" s="81" t="s">
        <v>3688</v>
      </c>
      <c r="C1503" s="26" t="s">
        <v>37</v>
      </c>
      <c r="D1503" s="14"/>
      <c r="E1503" s="15"/>
      <c r="F1503" s="16">
        <f t="shared" si="91"/>
        <v>0</v>
      </c>
      <c r="G1503">
        <f t="shared" si="87"/>
        <v>0</v>
      </c>
    </row>
    <row r="1504" spans="1:7" hidden="1" x14ac:dyDescent="0.25">
      <c r="A1504" s="85" t="s">
        <v>3750</v>
      </c>
      <c r="B1504" s="81" t="s">
        <v>3689</v>
      </c>
      <c r="C1504" s="26" t="s">
        <v>37</v>
      </c>
      <c r="D1504" s="14"/>
      <c r="E1504" s="15"/>
      <c r="F1504" s="16">
        <f t="shared" si="91"/>
        <v>0</v>
      </c>
      <c r="G1504">
        <f t="shared" si="87"/>
        <v>0</v>
      </c>
    </row>
    <row r="1505" spans="1:7" hidden="1" x14ac:dyDescent="0.25">
      <c r="A1505" s="85" t="s">
        <v>3751</v>
      </c>
      <c r="B1505" s="81" t="s">
        <v>3690</v>
      </c>
      <c r="C1505" s="26" t="s">
        <v>37</v>
      </c>
      <c r="D1505" s="14"/>
      <c r="E1505" s="15"/>
      <c r="F1505" s="16">
        <f t="shared" si="91"/>
        <v>0</v>
      </c>
      <c r="G1505">
        <f t="shared" si="87"/>
        <v>0</v>
      </c>
    </row>
    <row r="1506" spans="1:7" hidden="1" x14ac:dyDescent="0.25">
      <c r="A1506" s="85" t="s">
        <v>3752</v>
      </c>
      <c r="B1506" s="81" t="s">
        <v>3691</v>
      </c>
      <c r="C1506" s="26" t="s">
        <v>37</v>
      </c>
      <c r="D1506" s="14"/>
      <c r="E1506" s="15"/>
      <c r="F1506" s="16">
        <f t="shared" si="91"/>
        <v>0</v>
      </c>
      <c r="G1506">
        <f t="shared" si="87"/>
        <v>0</v>
      </c>
    </row>
    <row r="1507" spans="1:7" hidden="1" x14ac:dyDescent="0.25">
      <c r="A1507" s="85" t="s">
        <v>3753</v>
      </c>
      <c r="B1507" s="81" t="s">
        <v>3692</v>
      </c>
      <c r="C1507" s="26" t="s">
        <v>37</v>
      </c>
      <c r="D1507" s="14"/>
      <c r="E1507" s="15"/>
      <c r="F1507" s="16">
        <f t="shared" si="91"/>
        <v>0</v>
      </c>
      <c r="G1507">
        <f t="shared" si="87"/>
        <v>0</v>
      </c>
    </row>
    <row r="1508" spans="1:7" hidden="1" x14ac:dyDescent="0.25">
      <c r="A1508" s="85" t="s">
        <v>3754</v>
      </c>
      <c r="B1508" s="81" t="s">
        <v>3693</v>
      </c>
      <c r="C1508" s="26" t="s">
        <v>37</v>
      </c>
      <c r="D1508" s="14"/>
      <c r="E1508" s="15"/>
      <c r="F1508" s="16">
        <f t="shared" si="91"/>
        <v>0</v>
      </c>
      <c r="G1508">
        <f t="shared" ref="G1508:G1571" si="92">+IF(F1508&lt;&gt;0,1,0)</f>
        <v>0</v>
      </c>
    </row>
    <row r="1509" spans="1:7" hidden="1" x14ac:dyDescent="0.25">
      <c r="A1509" s="85" t="s">
        <v>3755</v>
      </c>
      <c r="B1509" s="81" t="s">
        <v>3694</v>
      </c>
      <c r="C1509" s="26" t="s">
        <v>37</v>
      </c>
      <c r="D1509" s="14"/>
      <c r="E1509" s="15"/>
      <c r="F1509" s="16">
        <f t="shared" si="91"/>
        <v>0</v>
      </c>
      <c r="G1509">
        <f t="shared" si="92"/>
        <v>0</v>
      </c>
    </row>
    <row r="1510" spans="1:7" hidden="1" x14ac:dyDescent="0.25">
      <c r="A1510" s="85" t="s">
        <v>3756</v>
      </c>
      <c r="B1510" s="81" t="s">
        <v>3695</v>
      </c>
      <c r="C1510" s="26" t="s">
        <v>37</v>
      </c>
      <c r="D1510" s="14"/>
      <c r="E1510" s="15"/>
      <c r="F1510" s="16">
        <f t="shared" si="91"/>
        <v>0</v>
      </c>
      <c r="G1510">
        <f t="shared" si="92"/>
        <v>0</v>
      </c>
    </row>
    <row r="1511" spans="1:7" hidden="1" x14ac:dyDescent="0.25">
      <c r="A1511" s="85" t="s">
        <v>3757</v>
      </c>
      <c r="B1511" s="81" t="s">
        <v>3696</v>
      </c>
      <c r="C1511" s="26" t="s">
        <v>37</v>
      </c>
      <c r="D1511" s="14"/>
      <c r="E1511" s="15"/>
      <c r="F1511" s="16">
        <f t="shared" si="91"/>
        <v>0</v>
      </c>
      <c r="G1511">
        <f t="shared" si="92"/>
        <v>0</v>
      </c>
    </row>
    <row r="1512" spans="1:7" hidden="1" x14ac:dyDescent="0.25">
      <c r="A1512" s="85" t="s">
        <v>3758</v>
      </c>
      <c r="B1512" s="81" t="s">
        <v>3697</v>
      </c>
      <c r="C1512" s="26" t="s">
        <v>37</v>
      </c>
      <c r="D1512" s="14"/>
      <c r="E1512" s="15"/>
      <c r="F1512" s="16">
        <f t="shared" si="91"/>
        <v>0</v>
      </c>
      <c r="G1512">
        <f t="shared" si="92"/>
        <v>0</v>
      </c>
    </row>
    <row r="1513" spans="1:7" hidden="1" x14ac:dyDescent="0.25">
      <c r="A1513" s="85" t="s">
        <v>3759</v>
      </c>
      <c r="B1513" s="81" t="s">
        <v>3698</v>
      </c>
      <c r="C1513" s="26" t="s">
        <v>37</v>
      </c>
      <c r="D1513" s="14"/>
      <c r="E1513" s="15"/>
      <c r="F1513" s="16">
        <f t="shared" si="91"/>
        <v>0</v>
      </c>
      <c r="G1513">
        <f t="shared" si="92"/>
        <v>0</v>
      </c>
    </row>
    <row r="1514" spans="1:7" hidden="1" x14ac:dyDescent="0.25">
      <c r="A1514" s="85" t="s">
        <v>3760</v>
      </c>
      <c r="B1514" s="81" t="s">
        <v>3699</v>
      </c>
      <c r="C1514" s="26" t="s">
        <v>37</v>
      </c>
      <c r="D1514" s="14"/>
      <c r="E1514" s="15"/>
      <c r="F1514" s="16">
        <f t="shared" si="91"/>
        <v>0</v>
      </c>
      <c r="G1514">
        <f t="shared" si="92"/>
        <v>0</v>
      </c>
    </row>
    <row r="1515" spans="1:7" hidden="1" x14ac:dyDescent="0.25">
      <c r="A1515" s="85" t="s">
        <v>3761</v>
      </c>
      <c r="B1515" s="81" t="s">
        <v>3700</v>
      </c>
      <c r="C1515" s="26" t="s">
        <v>37</v>
      </c>
      <c r="D1515" s="14"/>
      <c r="E1515" s="15"/>
      <c r="F1515" s="16">
        <f t="shared" si="91"/>
        <v>0</v>
      </c>
      <c r="G1515">
        <f t="shared" si="92"/>
        <v>0</v>
      </c>
    </row>
    <row r="1516" spans="1:7" hidden="1" x14ac:dyDescent="0.25">
      <c r="A1516" s="85" t="s">
        <v>3762</v>
      </c>
      <c r="B1516" s="81" t="s">
        <v>3701</v>
      </c>
      <c r="C1516" s="26" t="s">
        <v>37</v>
      </c>
      <c r="D1516" s="14"/>
      <c r="E1516" s="15"/>
      <c r="F1516" s="16">
        <f t="shared" si="91"/>
        <v>0</v>
      </c>
      <c r="G1516">
        <f t="shared" si="92"/>
        <v>0</v>
      </c>
    </row>
    <row r="1517" spans="1:7" hidden="1" x14ac:dyDescent="0.25">
      <c r="A1517" s="85" t="s">
        <v>3763</v>
      </c>
      <c r="B1517" s="81" t="s">
        <v>3702</v>
      </c>
      <c r="C1517" s="26" t="s">
        <v>37</v>
      </c>
      <c r="D1517" s="14"/>
      <c r="E1517" s="15"/>
      <c r="F1517" s="16">
        <f t="shared" si="91"/>
        <v>0</v>
      </c>
      <c r="G1517">
        <f t="shared" si="92"/>
        <v>0</v>
      </c>
    </row>
    <row r="1518" spans="1:7" hidden="1" x14ac:dyDescent="0.25">
      <c r="A1518" s="85" t="s">
        <v>3764</v>
      </c>
      <c r="B1518" s="81" t="s">
        <v>3703</v>
      </c>
      <c r="C1518" s="26" t="s">
        <v>37</v>
      </c>
      <c r="D1518" s="14"/>
      <c r="E1518" s="15"/>
      <c r="F1518" s="16">
        <f t="shared" si="91"/>
        <v>0</v>
      </c>
      <c r="G1518">
        <f t="shared" si="92"/>
        <v>0</v>
      </c>
    </row>
    <row r="1519" spans="1:7" hidden="1" x14ac:dyDescent="0.25">
      <c r="A1519" s="85" t="s">
        <v>3765</v>
      </c>
      <c r="B1519" s="81" t="s">
        <v>3704</v>
      </c>
      <c r="C1519" s="26" t="s">
        <v>37</v>
      </c>
      <c r="D1519" s="14"/>
      <c r="E1519" s="15"/>
      <c r="F1519" s="16">
        <f t="shared" si="91"/>
        <v>0</v>
      </c>
      <c r="G1519">
        <f t="shared" si="92"/>
        <v>0</v>
      </c>
    </row>
    <row r="1520" spans="1:7" hidden="1" x14ac:dyDescent="0.25">
      <c r="A1520" s="85" t="s">
        <v>3766</v>
      </c>
      <c r="B1520" s="81" t="s">
        <v>3705</v>
      </c>
      <c r="C1520" s="26" t="s">
        <v>37</v>
      </c>
      <c r="D1520" s="14"/>
      <c r="E1520" s="15"/>
      <c r="F1520" s="16">
        <f t="shared" si="91"/>
        <v>0</v>
      </c>
      <c r="G1520">
        <f t="shared" si="92"/>
        <v>0</v>
      </c>
    </row>
    <row r="1521" spans="1:7" hidden="1" x14ac:dyDescent="0.25">
      <c r="A1521" s="85" t="s">
        <v>3767</v>
      </c>
      <c r="B1521" s="81" t="s">
        <v>3706</v>
      </c>
      <c r="C1521" s="26" t="s">
        <v>37</v>
      </c>
      <c r="D1521" s="14"/>
      <c r="E1521" s="15"/>
      <c r="F1521" s="16">
        <f t="shared" si="91"/>
        <v>0</v>
      </c>
      <c r="G1521">
        <f t="shared" si="92"/>
        <v>0</v>
      </c>
    </row>
    <row r="1522" spans="1:7" hidden="1" x14ac:dyDescent="0.25">
      <c r="A1522" s="85" t="s">
        <v>3768</v>
      </c>
      <c r="B1522" s="81" t="s">
        <v>3707</v>
      </c>
      <c r="C1522" s="26" t="s">
        <v>37</v>
      </c>
      <c r="D1522" s="14"/>
      <c r="E1522" s="15"/>
      <c r="F1522" s="16">
        <f t="shared" si="91"/>
        <v>0</v>
      </c>
      <c r="G1522">
        <f t="shared" si="92"/>
        <v>0</v>
      </c>
    </row>
    <row r="1523" spans="1:7" hidden="1" x14ac:dyDescent="0.25">
      <c r="A1523" s="85" t="s">
        <v>3769</v>
      </c>
      <c r="B1523" s="81" t="s">
        <v>3708</v>
      </c>
      <c r="C1523" s="26" t="s">
        <v>37</v>
      </c>
      <c r="D1523" s="14"/>
      <c r="E1523" s="15"/>
      <c r="F1523" s="16">
        <f t="shared" si="91"/>
        <v>0</v>
      </c>
      <c r="G1523">
        <f t="shared" si="92"/>
        <v>0</v>
      </c>
    </row>
    <row r="1524" spans="1:7" hidden="1" x14ac:dyDescent="0.25">
      <c r="A1524" s="85" t="s">
        <v>3770</v>
      </c>
      <c r="B1524" s="81" t="s">
        <v>3709</v>
      </c>
      <c r="C1524" s="26" t="s">
        <v>37</v>
      </c>
      <c r="D1524" s="14"/>
      <c r="E1524" s="15"/>
      <c r="F1524" s="16">
        <f t="shared" si="91"/>
        <v>0</v>
      </c>
      <c r="G1524">
        <f t="shared" si="92"/>
        <v>0</v>
      </c>
    </row>
    <row r="1525" spans="1:7" hidden="1" x14ac:dyDescent="0.25">
      <c r="A1525" s="85" t="s">
        <v>3771</v>
      </c>
      <c r="B1525" s="81" t="s">
        <v>3710</v>
      </c>
      <c r="C1525" s="26" t="s">
        <v>37</v>
      </c>
      <c r="D1525" s="14"/>
      <c r="E1525" s="15"/>
      <c r="F1525" s="16">
        <f t="shared" si="91"/>
        <v>0</v>
      </c>
      <c r="G1525">
        <f t="shared" si="92"/>
        <v>0</v>
      </c>
    </row>
    <row r="1526" spans="1:7" hidden="1" x14ac:dyDescent="0.25">
      <c r="A1526" s="85" t="s">
        <v>3772</v>
      </c>
      <c r="B1526" s="81" t="s">
        <v>3711</v>
      </c>
      <c r="C1526" s="26" t="s">
        <v>37</v>
      </c>
      <c r="D1526" s="14"/>
      <c r="E1526" s="15"/>
      <c r="F1526" s="16">
        <f t="shared" si="91"/>
        <v>0</v>
      </c>
      <c r="G1526">
        <f t="shared" si="92"/>
        <v>0</v>
      </c>
    </row>
    <row r="1527" spans="1:7" hidden="1" x14ac:dyDescent="0.25">
      <c r="A1527" s="85" t="s">
        <v>3773</v>
      </c>
      <c r="B1527" s="81" t="s">
        <v>3712</v>
      </c>
      <c r="C1527" s="26" t="s">
        <v>37</v>
      </c>
      <c r="D1527" s="14"/>
      <c r="E1527" s="15"/>
      <c r="F1527" s="16">
        <f t="shared" si="91"/>
        <v>0</v>
      </c>
      <c r="G1527">
        <f t="shared" si="92"/>
        <v>0</v>
      </c>
    </row>
    <row r="1528" spans="1:7" hidden="1" x14ac:dyDescent="0.25">
      <c r="A1528" s="85" t="s">
        <v>3774</v>
      </c>
      <c r="B1528" s="81" t="s">
        <v>3713</v>
      </c>
      <c r="C1528" s="26" t="s">
        <v>37</v>
      </c>
      <c r="D1528" s="14"/>
      <c r="E1528" s="15"/>
      <c r="F1528" s="16">
        <f t="shared" si="91"/>
        <v>0</v>
      </c>
      <c r="G1528">
        <f t="shared" si="92"/>
        <v>0</v>
      </c>
    </row>
    <row r="1529" spans="1:7" hidden="1" x14ac:dyDescent="0.25">
      <c r="A1529" s="85" t="s">
        <v>3775</v>
      </c>
      <c r="B1529" s="81" t="s">
        <v>3714</v>
      </c>
      <c r="C1529" s="26" t="s">
        <v>37</v>
      </c>
      <c r="D1529" s="14"/>
      <c r="E1529" s="15"/>
      <c r="F1529" s="16">
        <f t="shared" si="91"/>
        <v>0</v>
      </c>
      <c r="G1529">
        <f t="shared" si="92"/>
        <v>0</v>
      </c>
    </row>
    <row r="1530" spans="1:7" hidden="1" x14ac:dyDescent="0.25">
      <c r="A1530" s="85" t="s">
        <v>3776</v>
      </c>
      <c r="B1530" s="81" t="s">
        <v>3715</v>
      </c>
      <c r="C1530" s="26" t="s">
        <v>37</v>
      </c>
      <c r="D1530" s="14"/>
      <c r="E1530" s="15"/>
      <c r="F1530" s="16">
        <f t="shared" si="91"/>
        <v>0</v>
      </c>
      <c r="G1530">
        <f t="shared" si="92"/>
        <v>0</v>
      </c>
    </row>
    <row r="1531" spans="1:7" hidden="1" x14ac:dyDescent="0.25">
      <c r="A1531" s="85" t="s">
        <v>3777</v>
      </c>
      <c r="B1531" s="81" t="s">
        <v>3716</v>
      </c>
      <c r="C1531" s="26" t="s">
        <v>37</v>
      </c>
      <c r="D1531" s="14"/>
      <c r="E1531" s="15"/>
      <c r="F1531" s="16">
        <f t="shared" si="91"/>
        <v>0</v>
      </c>
      <c r="G1531">
        <f t="shared" si="92"/>
        <v>0</v>
      </c>
    </row>
    <row r="1532" spans="1:7" hidden="1" x14ac:dyDescent="0.25">
      <c r="A1532" s="85" t="s">
        <v>3778</v>
      </c>
      <c r="B1532" s="81" t="s">
        <v>3726</v>
      </c>
      <c r="C1532" s="26" t="s">
        <v>37</v>
      </c>
      <c r="D1532" s="14"/>
      <c r="E1532" s="15"/>
      <c r="F1532" s="16">
        <f t="shared" si="91"/>
        <v>0</v>
      </c>
      <c r="G1532">
        <f t="shared" si="92"/>
        <v>0</v>
      </c>
    </row>
    <row r="1533" spans="1:7" hidden="1" x14ac:dyDescent="0.25">
      <c r="A1533" s="85" t="s">
        <v>3779</v>
      </c>
      <c r="B1533" s="81" t="s">
        <v>3717</v>
      </c>
      <c r="C1533" s="26" t="s">
        <v>37</v>
      </c>
      <c r="D1533" s="14"/>
      <c r="E1533" s="15"/>
      <c r="F1533" s="16">
        <f t="shared" si="91"/>
        <v>0</v>
      </c>
      <c r="G1533">
        <f t="shared" si="92"/>
        <v>0</v>
      </c>
    </row>
    <row r="1534" spans="1:7" hidden="1" x14ac:dyDescent="0.25">
      <c r="A1534" s="85" t="s">
        <v>3780</v>
      </c>
      <c r="B1534" s="81" t="s">
        <v>3718</v>
      </c>
      <c r="C1534" s="26" t="s">
        <v>37</v>
      </c>
      <c r="D1534" s="14"/>
      <c r="E1534" s="15"/>
      <c r="F1534" s="16">
        <f t="shared" si="91"/>
        <v>0</v>
      </c>
      <c r="G1534">
        <f t="shared" si="92"/>
        <v>0</v>
      </c>
    </row>
    <row r="1535" spans="1:7" hidden="1" x14ac:dyDescent="0.25">
      <c r="A1535" s="85" t="s">
        <v>3781</v>
      </c>
      <c r="B1535" s="81" t="s">
        <v>3719</v>
      </c>
      <c r="C1535" s="26" t="s">
        <v>37</v>
      </c>
      <c r="D1535" s="14"/>
      <c r="E1535" s="15"/>
      <c r="F1535" s="16">
        <f t="shared" si="91"/>
        <v>0</v>
      </c>
      <c r="G1535">
        <f t="shared" si="92"/>
        <v>0</v>
      </c>
    </row>
    <row r="1536" spans="1:7" hidden="1" x14ac:dyDescent="0.25">
      <c r="A1536" s="85" t="s">
        <v>3782</v>
      </c>
      <c r="B1536" s="81" t="s">
        <v>3720</v>
      </c>
      <c r="C1536" s="26" t="s">
        <v>37</v>
      </c>
      <c r="D1536" s="14"/>
      <c r="E1536" s="15"/>
      <c r="F1536" s="16">
        <f t="shared" si="91"/>
        <v>0</v>
      </c>
      <c r="G1536">
        <f t="shared" si="92"/>
        <v>0</v>
      </c>
    </row>
    <row r="1537" spans="1:7" hidden="1" x14ac:dyDescent="0.25">
      <c r="A1537" s="85" t="s">
        <v>3783</v>
      </c>
      <c r="B1537" s="81" t="s">
        <v>3721</v>
      </c>
      <c r="C1537" s="26" t="s">
        <v>37</v>
      </c>
      <c r="D1537" s="14"/>
      <c r="E1537" s="15"/>
      <c r="F1537" s="16">
        <f t="shared" si="91"/>
        <v>0</v>
      </c>
      <c r="G1537">
        <f t="shared" si="92"/>
        <v>0</v>
      </c>
    </row>
    <row r="1538" spans="1:7" hidden="1" x14ac:dyDescent="0.25">
      <c r="A1538" s="85" t="s">
        <v>3784</v>
      </c>
      <c r="B1538" s="81" t="s">
        <v>3722</v>
      </c>
      <c r="C1538" s="26" t="s">
        <v>37</v>
      </c>
      <c r="D1538" s="14"/>
      <c r="E1538" s="15"/>
      <c r="F1538" s="16">
        <f t="shared" si="91"/>
        <v>0</v>
      </c>
      <c r="G1538">
        <f t="shared" si="92"/>
        <v>0</v>
      </c>
    </row>
    <row r="1539" spans="1:7" hidden="1" x14ac:dyDescent="0.25">
      <c r="A1539" s="85" t="s">
        <v>3785</v>
      </c>
      <c r="B1539" s="81" t="s">
        <v>3723</v>
      </c>
      <c r="C1539" s="26" t="s">
        <v>37</v>
      </c>
      <c r="D1539" s="14"/>
      <c r="E1539" s="15"/>
      <c r="F1539" s="16">
        <f t="shared" si="91"/>
        <v>0</v>
      </c>
      <c r="G1539">
        <f t="shared" si="92"/>
        <v>0</v>
      </c>
    </row>
    <row r="1540" spans="1:7" hidden="1" x14ac:dyDescent="0.25">
      <c r="A1540" s="85" t="s">
        <v>3786</v>
      </c>
      <c r="B1540" s="81" t="s">
        <v>3724</v>
      </c>
      <c r="C1540" s="26" t="s">
        <v>37</v>
      </c>
      <c r="D1540" s="14"/>
      <c r="E1540" s="15"/>
      <c r="F1540" s="16">
        <f t="shared" si="91"/>
        <v>0</v>
      </c>
      <c r="G1540">
        <f t="shared" si="92"/>
        <v>0</v>
      </c>
    </row>
    <row r="1541" spans="1:7" hidden="1" x14ac:dyDescent="0.25">
      <c r="A1541" s="85" t="s">
        <v>3787</v>
      </c>
      <c r="B1541" s="81" t="s">
        <v>3725</v>
      </c>
      <c r="C1541" s="26" t="s">
        <v>37</v>
      </c>
      <c r="D1541" s="14"/>
      <c r="E1541" s="15"/>
      <c r="F1541" s="16">
        <f t="shared" si="91"/>
        <v>0</v>
      </c>
      <c r="G1541">
        <f t="shared" si="92"/>
        <v>0</v>
      </c>
    </row>
    <row r="1542" spans="1:7" hidden="1" x14ac:dyDescent="0.25">
      <c r="A1542" s="85" t="s">
        <v>3788</v>
      </c>
      <c r="B1542" s="81" t="s">
        <v>3727</v>
      </c>
      <c r="C1542" s="26" t="s">
        <v>37</v>
      </c>
      <c r="D1542" s="14"/>
      <c r="E1542" s="15"/>
      <c r="F1542" s="16">
        <f t="shared" si="91"/>
        <v>0</v>
      </c>
      <c r="G1542">
        <f t="shared" si="92"/>
        <v>0</v>
      </c>
    </row>
    <row r="1543" spans="1:7" hidden="1" x14ac:dyDescent="0.25">
      <c r="A1543" s="85" t="s">
        <v>3789</v>
      </c>
      <c r="B1543" s="81" t="s">
        <v>3728</v>
      </c>
      <c r="C1543" s="26" t="s">
        <v>37</v>
      </c>
      <c r="D1543" s="14"/>
      <c r="E1543" s="15"/>
      <c r="F1543" s="16">
        <f t="shared" si="91"/>
        <v>0</v>
      </c>
      <c r="G1543">
        <f t="shared" si="92"/>
        <v>0</v>
      </c>
    </row>
    <row r="1544" spans="1:7" hidden="1" x14ac:dyDescent="0.25">
      <c r="A1544" s="85" t="s">
        <v>3790</v>
      </c>
      <c r="B1544" s="81" t="s">
        <v>3729</v>
      </c>
      <c r="C1544" s="26" t="s">
        <v>37</v>
      </c>
      <c r="D1544" s="14"/>
      <c r="E1544" s="15"/>
      <c r="F1544" s="16">
        <f t="shared" si="91"/>
        <v>0</v>
      </c>
      <c r="G1544">
        <f t="shared" si="92"/>
        <v>0</v>
      </c>
    </row>
    <row r="1545" spans="1:7" hidden="1" x14ac:dyDescent="0.25">
      <c r="A1545" s="85" t="s">
        <v>3791</v>
      </c>
      <c r="B1545" s="81" t="s">
        <v>3730</v>
      </c>
      <c r="C1545" s="26" t="s">
        <v>37</v>
      </c>
      <c r="D1545" s="14"/>
      <c r="E1545" s="15"/>
      <c r="F1545" s="16">
        <f t="shared" si="91"/>
        <v>0</v>
      </c>
      <c r="G1545">
        <f t="shared" si="92"/>
        <v>0</v>
      </c>
    </row>
    <row r="1546" spans="1:7" hidden="1" x14ac:dyDescent="0.25">
      <c r="A1546" s="85" t="s">
        <v>3792</v>
      </c>
      <c r="B1546" s="81" t="s">
        <v>3731</v>
      </c>
      <c r="C1546" s="26" t="s">
        <v>37</v>
      </c>
      <c r="D1546" s="14"/>
      <c r="E1546" s="15"/>
      <c r="F1546" s="16">
        <f t="shared" si="91"/>
        <v>0</v>
      </c>
      <c r="G1546">
        <f t="shared" si="92"/>
        <v>0</v>
      </c>
    </row>
    <row r="1547" spans="1:7" hidden="1" x14ac:dyDescent="0.25">
      <c r="A1547" s="85" t="s">
        <v>3793</v>
      </c>
      <c r="B1547" s="81" t="s">
        <v>3732</v>
      </c>
      <c r="C1547" s="26" t="s">
        <v>37</v>
      </c>
      <c r="D1547" s="14"/>
      <c r="E1547" s="15"/>
      <c r="F1547" s="16">
        <f t="shared" si="91"/>
        <v>0</v>
      </c>
      <c r="G1547">
        <f t="shared" si="92"/>
        <v>0</v>
      </c>
    </row>
    <row r="1548" spans="1:7" hidden="1" x14ac:dyDescent="0.25">
      <c r="A1548" s="85" t="s">
        <v>3794</v>
      </c>
      <c r="B1548" s="81" t="s">
        <v>3733</v>
      </c>
      <c r="C1548" s="26" t="s">
        <v>37</v>
      </c>
      <c r="D1548" s="14"/>
      <c r="E1548" s="15"/>
      <c r="F1548" s="16">
        <f t="shared" si="91"/>
        <v>0</v>
      </c>
      <c r="G1548">
        <f t="shared" si="92"/>
        <v>0</v>
      </c>
    </row>
    <row r="1549" spans="1:7" hidden="1" x14ac:dyDescent="0.25">
      <c r="A1549" s="85" t="s">
        <v>3795</v>
      </c>
      <c r="B1549" s="81" t="s">
        <v>3734</v>
      </c>
      <c r="C1549" s="26" t="s">
        <v>37</v>
      </c>
      <c r="D1549" s="14"/>
      <c r="E1549" s="15"/>
      <c r="F1549" s="16">
        <f t="shared" si="91"/>
        <v>0</v>
      </c>
      <c r="G1549">
        <f t="shared" si="92"/>
        <v>0</v>
      </c>
    </row>
    <row r="1550" spans="1:7" hidden="1" x14ac:dyDescent="0.25">
      <c r="A1550" s="85" t="s">
        <v>3796</v>
      </c>
      <c r="B1550" s="81" t="s">
        <v>3735</v>
      </c>
      <c r="C1550" s="26" t="s">
        <v>37</v>
      </c>
      <c r="D1550" s="14"/>
      <c r="E1550" s="15"/>
      <c r="F1550" s="16">
        <f t="shared" si="91"/>
        <v>0</v>
      </c>
      <c r="G1550">
        <f t="shared" si="92"/>
        <v>0</v>
      </c>
    </row>
    <row r="1551" spans="1:7" hidden="1" x14ac:dyDescent="0.25">
      <c r="A1551" s="85" t="s">
        <v>3918</v>
      </c>
      <c r="B1551" s="81" t="s">
        <v>3736</v>
      </c>
      <c r="C1551" s="26" t="s">
        <v>37</v>
      </c>
      <c r="D1551" s="14"/>
      <c r="E1551" s="15"/>
      <c r="F1551" s="16">
        <f t="shared" si="91"/>
        <v>0</v>
      </c>
      <c r="G1551">
        <f t="shared" si="92"/>
        <v>0</v>
      </c>
    </row>
    <row r="1552" spans="1:7" hidden="1" x14ac:dyDescent="0.25">
      <c r="A1552" s="78" t="s">
        <v>3797</v>
      </c>
      <c r="B1552" s="80" t="s">
        <v>3737</v>
      </c>
      <c r="C1552" s="26"/>
      <c r="D1552" s="14"/>
      <c r="E1552" s="15"/>
      <c r="F1552" s="16"/>
      <c r="G1552">
        <f t="shared" si="92"/>
        <v>0</v>
      </c>
    </row>
    <row r="1553" spans="1:7" hidden="1" x14ac:dyDescent="0.25">
      <c r="A1553" s="85" t="s">
        <v>3798</v>
      </c>
      <c r="B1553" s="81" t="s">
        <v>3799</v>
      </c>
      <c r="C1553" s="26" t="s">
        <v>37</v>
      </c>
      <c r="D1553" s="14"/>
      <c r="E1553" s="15"/>
      <c r="F1553" s="16">
        <f t="shared" ref="F1553:F1616" si="93">+D1553*E1553</f>
        <v>0</v>
      </c>
      <c r="G1553">
        <f t="shared" si="92"/>
        <v>0</v>
      </c>
    </row>
    <row r="1554" spans="1:7" hidden="1" x14ac:dyDescent="0.25">
      <c r="A1554" s="85" t="s">
        <v>3859</v>
      </c>
      <c r="B1554" s="81" t="s">
        <v>3800</v>
      </c>
      <c r="C1554" s="26" t="s">
        <v>37</v>
      </c>
      <c r="D1554" s="14"/>
      <c r="E1554" s="15"/>
      <c r="F1554" s="16">
        <f t="shared" si="93"/>
        <v>0</v>
      </c>
      <c r="G1554">
        <f t="shared" si="92"/>
        <v>0</v>
      </c>
    </row>
    <row r="1555" spans="1:7" hidden="1" x14ac:dyDescent="0.25">
      <c r="A1555" s="85" t="s">
        <v>3860</v>
      </c>
      <c r="B1555" s="81" t="s">
        <v>3801</v>
      </c>
      <c r="C1555" s="26" t="s">
        <v>37</v>
      </c>
      <c r="D1555" s="14"/>
      <c r="E1555" s="15"/>
      <c r="F1555" s="16">
        <f t="shared" si="93"/>
        <v>0</v>
      </c>
      <c r="G1555">
        <f t="shared" si="92"/>
        <v>0</v>
      </c>
    </row>
    <row r="1556" spans="1:7" hidden="1" x14ac:dyDescent="0.25">
      <c r="A1556" s="85" t="s">
        <v>3861</v>
      </c>
      <c r="B1556" s="81" t="s">
        <v>3802</v>
      </c>
      <c r="C1556" s="26" t="s">
        <v>37</v>
      </c>
      <c r="D1556" s="14"/>
      <c r="E1556" s="15"/>
      <c r="F1556" s="16">
        <f t="shared" si="93"/>
        <v>0</v>
      </c>
      <c r="G1556">
        <f t="shared" si="92"/>
        <v>0</v>
      </c>
    </row>
    <row r="1557" spans="1:7" hidden="1" x14ac:dyDescent="0.25">
      <c r="A1557" s="85" t="s">
        <v>3862</v>
      </c>
      <c r="B1557" s="81" t="s">
        <v>3803</v>
      </c>
      <c r="C1557" s="26" t="s">
        <v>37</v>
      </c>
      <c r="D1557" s="14"/>
      <c r="E1557" s="15"/>
      <c r="F1557" s="16">
        <f t="shared" si="93"/>
        <v>0</v>
      </c>
      <c r="G1557">
        <f t="shared" si="92"/>
        <v>0</v>
      </c>
    </row>
    <row r="1558" spans="1:7" hidden="1" x14ac:dyDescent="0.25">
      <c r="A1558" s="85" t="s">
        <v>3863</v>
      </c>
      <c r="B1558" s="81" t="s">
        <v>3804</v>
      </c>
      <c r="C1558" s="26" t="s">
        <v>37</v>
      </c>
      <c r="D1558" s="14"/>
      <c r="E1558" s="15"/>
      <c r="F1558" s="16">
        <f t="shared" si="93"/>
        <v>0</v>
      </c>
      <c r="G1558">
        <f t="shared" si="92"/>
        <v>0</v>
      </c>
    </row>
    <row r="1559" spans="1:7" hidden="1" x14ac:dyDescent="0.25">
      <c r="A1559" s="85" t="s">
        <v>3864</v>
      </c>
      <c r="B1559" s="81" t="s">
        <v>3805</v>
      </c>
      <c r="C1559" s="26" t="s">
        <v>37</v>
      </c>
      <c r="D1559" s="14"/>
      <c r="E1559" s="15"/>
      <c r="F1559" s="16">
        <f t="shared" si="93"/>
        <v>0</v>
      </c>
      <c r="G1559">
        <f t="shared" si="92"/>
        <v>0</v>
      </c>
    </row>
    <row r="1560" spans="1:7" hidden="1" x14ac:dyDescent="0.25">
      <c r="A1560" s="85" t="s">
        <v>3865</v>
      </c>
      <c r="B1560" s="81" t="s">
        <v>3806</v>
      </c>
      <c r="C1560" s="26" t="s">
        <v>37</v>
      </c>
      <c r="D1560" s="14"/>
      <c r="E1560" s="15"/>
      <c r="F1560" s="16">
        <f t="shared" si="93"/>
        <v>0</v>
      </c>
      <c r="G1560">
        <f t="shared" si="92"/>
        <v>0</v>
      </c>
    </row>
    <row r="1561" spans="1:7" hidden="1" x14ac:dyDescent="0.25">
      <c r="A1561" s="85" t="s">
        <v>3866</v>
      </c>
      <c r="B1561" s="81" t="s">
        <v>3807</v>
      </c>
      <c r="C1561" s="26" t="s">
        <v>37</v>
      </c>
      <c r="D1561" s="14"/>
      <c r="E1561" s="15"/>
      <c r="F1561" s="16">
        <f t="shared" si="93"/>
        <v>0</v>
      </c>
      <c r="G1561">
        <f t="shared" si="92"/>
        <v>0</v>
      </c>
    </row>
    <row r="1562" spans="1:7" hidden="1" x14ac:dyDescent="0.25">
      <c r="A1562" s="85" t="s">
        <v>3867</v>
      </c>
      <c r="B1562" s="81" t="s">
        <v>3808</v>
      </c>
      <c r="C1562" s="26" t="s">
        <v>37</v>
      </c>
      <c r="D1562" s="14"/>
      <c r="E1562" s="15"/>
      <c r="F1562" s="16">
        <f t="shared" si="93"/>
        <v>0</v>
      </c>
      <c r="G1562">
        <f t="shared" si="92"/>
        <v>0</v>
      </c>
    </row>
    <row r="1563" spans="1:7" hidden="1" x14ac:dyDescent="0.25">
      <c r="A1563" s="85" t="s">
        <v>3868</v>
      </c>
      <c r="B1563" s="81" t="s">
        <v>3809</v>
      </c>
      <c r="C1563" s="26" t="s">
        <v>37</v>
      </c>
      <c r="D1563" s="14"/>
      <c r="E1563" s="15"/>
      <c r="F1563" s="16">
        <f t="shared" si="93"/>
        <v>0</v>
      </c>
      <c r="G1563">
        <f t="shared" si="92"/>
        <v>0</v>
      </c>
    </row>
    <row r="1564" spans="1:7" hidden="1" x14ac:dyDescent="0.25">
      <c r="A1564" s="85" t="s">
        <v>3869</v>
      </c>
      <c r="B1564" s="81" t="s">
        <v>3810</v>
      </c>
      <c r="C1564" s="26" t="s">
        <v>37</v>
      </c>
      <c r="D1564" s="14"/>
      <c r="E1564" s="15"/>
      <c r="F1564" s="16">
        <f t="shared" si="93"/>
        <v>0</v>
      </c>
      <c r="G1564">
        <f t="shared" si="92"/>
        <v>0</v>
      </c>
    </row>
    <row r="1565" spans="1:7" hidden="1" x14ac:dyDescent="0.25">
      <c r="A1565" s="85" t="s">
        <v>3870</v>
      </c>
      <c r="B1565" s="81" t="s">
        <v>3811</v>
      </c>
      <c r="C1565" s="26" t="s">
        <v>37</v>
      </c>
      <c r="D1565" s="14"/>
      <c r="E1565" s="15"/>
      <c r="F1565" s="16">
        <f t="shared" si="93"/>
        <v>0</v>
      </c>
      <c r="G1565">
        <f t="shared" si="92"/>
        <v>0</v>
      </c>
    </row>
    <row r="1566" spans="1:7" hidden="1" x14ac:dyDescent="0.25">
      <c r="A1566" s="85" t="s">
        <v>3871</v>
      </c>
      <c r="B1566" s="81" t="s">
        <v>3812</v>
      </c>
      <c r="C1566" s="26" t="s">
        <v>37</v>
      </c>
      <c r="D1566" s="14"/>
      <c r="E1566" s="15"/>
      <c r="F1566" s="16">
        <f t="shared" si="93"/>
        <v>0</v>
      </c>
      <c r="G1566">
        <f t="shared" si="92"/>
        <v>0</v>
      </c>
    </row>
    <row r="1567" spans="1:7" hidden="1" x14ac:dyDescent="0.25">
      <c r="A1567" s="85" t="s">
        <v>3872</v>
      </c>
      <c r="B1567" s="81" t="s">
        <v>3813</v>
      </c>
      <c r="C1567" s="26" t="s">
        <v>37</v>
      </c>
      <c r="D1567" s="14"/>
      <c r="E1567" s="15"/>
      <c r="F1567" s="16">
        <f t="shared" si="93"/>
        <v>0</v>
      </c>
      <c r="G1567">
        <f t="shared" si="92"/>
        <v>0</v>
      </c>
    </row>
    <row r="1568" spans="1:7" hidden="1" x14ac:dyDescent="0.25">
      <c r="A1568" s="85" t="s">
        <v>3873</v>
      </c>
      <c r="B1568" s="81" t="s">
        <v>3814</v>
      </c>
      <c r="C1568" s="26" t="s">
        <v>37</v>
      </c>
      <c r="D1568" s="14"/>
      <c r="E1568" s="15"/>
      <c r="F1568" s="16">
        <f t="shared" si="93"/>
        <v>0</v>
      </c>
      <c r="G1568">
        <f t="shared" si="92"/>
        <v>0</v>
      </c>
    </row>
    <row r="1569" spans="1:7" hidden="1" x14ac:dyDescent="0.25">
      <c r="A1569" s="85" t="s">
        <v>3874</v>
      </c>
      <c r="B1569" s="81" t="s">
        <v>3815</v>
      </c>
      <c r="C1569" s="26" t="s">
        <v>37</v>
      </c>
      <c r="D1569" s="14"/>
      <c r="E1569" s="15"/>
      <c r="F1569" s="16">
        <f t="shared" si="93"/>
        <v>0</v>
      </c>
      <c r="G1569">
        <f t="shared" si="92"/>
        <v>0</v>
      </c>
    </row>
    <row r="1570" spans="1:7" hidden="1" x14ac:dyDescent="0.25">
      <c r="A1570" s="85" t="s">
        <v>3875</v>
      </c>
      <c r="B1570" s="81" t="s">
        <v>3816</v>
      </c>
      <c r="C1570" s="26" t="s">
        <v>37</v>
      </c>
      <c r="D1570" s="14"/>
      <c r="E1570" s="15"/>
      <c r="F1570" s="16">
        <f t="shared" si="93"/>
        <v>0</v>
      </c>
      <c r="G1570">
        <f t="shared" si="92"/>
        <v>0</v>
      </c>
    </row>
    <row r="1571" spans="1:7" hidden="1" x14ac:dyDescent="0.25">
      <c r="A1571" s="85" t="s">
        <v>3876</v>
      </c>
      <c r="B1571" s="81" t="s">
        <v>3817</v>
      </c>
      <c r="C1571" s="26" t="s">
        <v>37</v>
      </c>
      <c r="D1571" s="14"/>
      <c r="E1571" s="15"/>
      <c r="F1571" s="16">
        <f t="shared" si="93"/>
        <v>0</v>
      </c>
      <c r="G1571">
        <f t="shared" si="92"/>
        <v>0</v>
      </c>
    </row>
    <row r="1572" spans="1:7" hidden="1" x14ac:dyDescent="0.25">
      <c r="A1572" s="85" t="s">
        <v>3877</v>
      </c>
      <c r="B1572" s="81" t="s">
        <v>3818</v>
      </c>
      <c r="C1572" s="26" t="s">
        <v>37</v>
      </c>
      <c r="D1572" s="14"/>
      <c r="E1572" s="15"/>
      <c r="F1572" s="16">
        <f t="shared" si="93"/>
        <v>0</v>
      </c>
      <c r="G1572">
        <f t="shared" ref="G1572:G1635" si="94">+IF(F1572&lt;&gt;0,1,0)</f>
        <v>0</v>
      </c>
    </row>
    <row r="1573" spans="1:7" hidden="1" x14ac:dyDescent="0.25">
      <c r="A1573" s="85" t="s">
        <v>3878</v>
      </c>
      <c r="B1573" s="81" t="s">
        <v>3819</v>
      </c>
      <c r="C1573" s="26" t="s">
        <v>37</v>
      </c>
      <c r="D1573" s="14"/>
      <c r="E1573" s="15"/>
      <c r="F1573" s="16">
        <f t="shared" si="93"/>
        <v>0</v>
      </c>
      <c r="G1573">
        <f t="shared" si="94"/>
        <v>0</v>
      </c>
    </row>
    <row r="1574" spans="1:7" hidden="1" x14ac:dyDescent="0.25">
      <c r="A1574" s="85" t="s">
        <v>3879</v>
      </c>
      <c r="B1574" s="81" t="s">
        <v>3820</v>
      </c>
      <c r="C1574" s="26" t="s">
        <v>37</v>
      </c>
      <c r="D1574" s="14"/>
      <c r="E1574" s="15"/>
      <c r="F1574" s="16">
        <f t="shared" si="93"/>
        <v>0</v>
      </c>
      <c r="G1574">
        <f t="shared" si="94"/>
        <v>0</v>
      </c>
    </row>
    <row r="1575" spans="1:7" hidden="1" x14ac:dyDescent="0.25">
      <c r="A1575" s="85" t="s">
        <v>3880</v>
      </c>
      <c r="B1575" s="81" t="s">
        <v>3821</v>
      </c>
      <c r="C1575" s="26" t="s">
        <v>37</v>
      </c>
      <c r="D1575" s="14"/>
      <c r="E1575" s="15"/>
      <c r="F1575" s="16">
        <f t="shared" si="93"/>
        <v>0</v>
      </c>
      <c r="G1575">
        <f t="shared" si="94"/>
        <v>0</v>
      </c>
    </row>
    <row r="1576" spans="1:7" hidden="1" x14ac:dyDescent="0.25">
      <c r="A1576" s="85" t="s">
        <v>3881</v>
      </c>
      <c r="B1576" s="81" t="s">
        <v>3822</v>
      </c>
      <c r="C1576" s="26" t="s">
        <v>37</v>
      </c>
      <c r="D1576" s="14"/>
      <c r="E1576" s="15"/>
      <c r="F1576" s="16">
        <f t="shared" si="93"/>
        <v>0</v>
      </c>
      <c r="G1576">
        <f t="shared" si="94"/>
        <v>0</v>
      </c>
    </row>
    <row r="1577" spans="1:7" hidden="1" x14ac:dyDescent="0.25">
      <c r="A1577" s="85" t="s">
        <v>3882</v>
      </c>
      <c r="B1577" s="81" t="s">
        <v>3823</v>
      </c>
      <c r="C1577" s="26" t="s">
        <v>37</v>
      </c>
      <c r="D1577" s="14"/>
      <c r="E1577" s="15"/>
      <c r="F1577" s="16">
        <f t="shared" si="93"/>
        <v>0</v>
      </c>
      <c r="G1577">
        <f t="shared" si="94"/>
        <v>0</v>
      </c>
    </row>
    <row r="1578" spans="1:7" hidden="1" x14ac:dyDescent="0.25">
      <c r="A1578" s="85" t="s">
        <v>3883</v>
      </c>
      <c r="B1578" s="81" t="s">
        <v>3824</v>
      </c>
      <c r="C1578" s="26" t="s">
        <v>37</v>
      </c>
      <c r="D1578" s="14"/>
      <c r="E1578" s="15"/>
      <c r="F1578" s="16">
        <f t="shared" si="93"/>
        <v>0</v>
      </c>
      <c r="G1578">
        <f t="shared" si="94"/>
        <v>0</v>
      </c>
    </row>
    <row r="1579" spans="1:7" hidden="1" x14ac:dyDescent="0.25">
      <c r="A1579" s="85" t="s">
        <v>3884</v>
      </c>
      <c r="B1579" s="81" t="s">
        <v>3825</v>
      </c>
      <c r="C1579" s="26" t="s">
        <v>37</v>
      </c>
      <c r="D1579" s="14"/>
      <c r="E1579" s="15"/>
      <c r="F1579" s="16">
        <f t="shared" si="93"/>
        <v>0</v>
      </c>
      <c r="G1579">
        <f t="shared" si="94"/>
        <v>0</v>
      </c>
    </row>
    <row r="1580" spans="1:7" hidden="1" x14ac:dyDescent="0.25">
      <c r="A1580" s="85" t="s">
        <v>3885</v>
      </c>
      <c r="B1580" s="81" t="s">
        <v>3826</v>
      </c>
      <c r="C1580" s="26" t="s">
        <v>37</v>
      </c>
      <c r="D1580" s="14"/>
      <c r="E1580" s="15"/>
      <c r="F1580" s="16">
        <f t="shared" si="93"/>
        <v>0</v>
      </c>
      <c r="G1580">
        <f t="shared" si="94"/>
        <v>0</v>
      </c>
    </row>
    <row r="1581" spans="1:7" hidden="1" x14ac:dyDescent="0.25">
      <c r="A1581" s="85" t="s">
        <v>3886</v>
      </c>
      <c r="B1581" s="81" t="s">
        <v>3827</v>
      </c>
      <c r="C1581" s="26" t="s">
        <v>37</v>
      </c>
      <c r="D1581" s="14"/>
      <c r="E1581" s="15"/>
      <c r="F1581" s="16">
        <f t="shared" si="93"/>
        <v>0</v>
      </c>
      <c r="G1581">
        <f t="shared" si="94"/>
        <v>0</v>
      </c>
    </row>
    <row r="1582" spans="1:7" hidden="1" x14ac:dyDescent="0.25">
      <c r="A1582" s="85" t="s">
        <v>3887</v>
      </c>
      <c r="B1582" s="81" t="s">
        <v>3828</v>
      </c>
      <c r="C1582" s="26" t="s">
        <v>37</v>
      </c>
      <c r="D1582" s="14"/>
      <c r="E1582" s="15"/>
      <c r="F1582" s="16">
        <f t="shared" si="93"/>
        <v>0</v>
      </c>
      <c r="G1582">
        <f t="shared" si="94"/>
        <v>0</v>
      </c>
    </row>
    <row r="1583" spans="1:7" hidden="1" x14ac:dyDescent="0.25">
      <c r="A1583" s="85" t="s">
        <v>3888</v>
      </c>
      <c r="B1583" s="81" t="s">
        <v>3829</v>
      </c>
      <c r="C1583" s="26" t="s">
        <v>37</v>
      </c>
      <c r="D1583" s="14"/>
      <c r="E1583" s="15"/>
      <c r="F1583" s="16">
        <f t="shared" si="93"/>
        <v>0</v>
      </c>
      <c r="G1583">
        <f t="shared" si="94"/>
        <v>0</v>
      </c>
    </row>
    <row r="1584" spans="1:7" hidden="1" x14ac:dyDescent="0.25">
      <c r="A1584" s="85" t="s">
        <v>3889</v>
      </c>
      <c r="B1584" s="81" t="s">
        <v>3830</v>
      </c>
      <c r="C1584" s="26" t="s">
        <v>37</v>
      </c>
      <c r="D1584" s="14"/>
      <c r="E1584" s="15"/>
      <c r="F1584" s="16">
        <f t="shared" si="93"/>
        <v>0</v>
      </c>
      <c r="G1584">
        <f t="shared" si="94"/>
        <v>0</v>
      </c>
    </row>
    <row r="1585" spans="1:7" hidden="1" x14ac:dyDescent="0.25">
      <c r="A1585" s="85" t="s">
        <v>3890</v>
      </c>
      <c r="B1585" s="81" t="s">
        <v>3831</v>
      </c>
      <c r="C1585" s="26" t="s">
        <v>37</v>
      </c>
      <c r="D1585" s="14"/>
      <c r="E1585" s="15"/>
      <c r="F1585" s="16">
        <f t="shared" si="93"/>
        <v>0</v>
      </c>
      <c r="G1585">
        <f t="shared" si="94"/>
        <v>0</v>
      </c>
    </row>
    <row r="1586" spans="1:7" hidden="1" x14ac:dyDescent="0.25">
      <c r="A1586" s="85" t="s">
        <v>3891</v>
      </c>
      <c r="B1586" s="81" t="s">
        <v>3832</v>
      </c>
      <c r="C1586" s="26" t="s">
        <v>37</v>
      </c>
      <c r="D1586" s="14"/>
      <c r="E1586" s="15"/>
      <c r="F1586" s="16">
        <f t="shared" si="93"/>
        <v>0</v>
      </c>
      <c r="G1586">
        <f t="shared" si="94"/>
        <v>0</v>
      </c>
    </row>
    <row r="1587" spans="1:7" hidden="1" x14ac:dyDescent="0.25">
      <c r="A1587" s="85" t="s">
        <v>3892</v>
      </c>
      <c r="B1587" s="81" t="s">
        <v>3833</v>
      </c>
      <c r="C1587" s="26" t="s">
        <v>37</v>
      </c>
      <c r="D1587" s="14"/>
      <c r="E1587" s="15"/>
      <c r="F1587" s="16">
        <f t="shared" si="93"/>
        <v>0</v>
      </c>
      <c r="G1587">
        <f t="shared" si="94"/>
        <v>0</v>
      </c>
    </row>
    <row r="1588" spans="1:7" hidden="1" x14ac:dyDescent="0.25">
      <c r="A1588" s="85" t="s">
        <v>3893</v>
      </c>
      <c r="B1588" s="81" t="s">
        <v>3834</v>
      </c>
      <c r="C1588" s="26" t="s">
        <v>37</v>
      </c>
      <c r="D1588" s="14"/>
      <c r="E1588" s="15"/>
      <c r="F1588" s="16">
        <f t="shared" si="93"/>
        <v>0</v>
      </c>
      <c r="G1588">
        <f t="shared" si="94"/>
        <v>0</v>
      </c>
    </row>
    <row r="1589" spans="1:7" hidden="1" x14ac:dyDescent="0.25">
      <c r="A1589" s="85" t="s">
        <v>3894</v>
      </c>
      <c r="B1589" s="81" t="s">
        <v>3835</v>
      </c>
      <c r="C1589" s="26" t="s">
        <v>37</v>
      </c>
      <c r="D1589" s="14"/>
      <c r="E1589" s="15"/>
      <c r="F1589" s="16">
        <f t="shared" si="93"/>
        <v>0</v>
      </c>
      <c r="G1589">
        <f t="shared" si="94"/>
        <v>0</v>
      </c>
    </row>
    <row r="1590" spans="1:7" hidden="1" x14ac:dyDescent="0.25">
      <c r="A1590" s="85" t="s">
        <v>3895</v>
      </c>
      <c r="B1590" s="81" t="s">
        <v>3836</v>
      </c>
      <c r="C1590" s="26" t="s">
        <v>37</v>
      </c>
      <c r="D1590" s="14"/>
      <c r="E1590" s="15"/>
      <c r="F1590" s="16">
        <f t="shared" si="93"/>
        <v>0</v>
      </c>
      <c r="G1590">
        <f t="shared" si="94"/>
        <v>0</v>
      </c>
    </row>
    <row r="1591" spans="1:7" hidden="1" x14ac:dyDescent="0.25">
      <c r="A1591" s="85" t="s">
        <v>3896</v>
      </c>
      <c r="B1591" s="81" t="s">
        <v>3837</v>
      </c>
      <c r="C1591" s="26" t="s">
        <v>37</v>
      </c>
      <c r="D1591" s="14"/>
      <c r="E1591" s="15"/>
      <c r="F1591" s="16">
        <f t="shared" si="93"/>
        <v>0</v>
      </c>
      <c r="G1591">
        <f t="shared" si="94"/>
        <v>0</v>
      </c>
    </row>
    <row r="1592" spans="1:7" hidden="1" x14ac:dyDescent="0.25">
      <c r="A1592" s="85" t="s">
        <v>3897</v>
      </c>
      <c r="B1592" s="81" t="s">
        <v>3838</v>
      </c>
      <c r="C1592" s="26" t="s">
        <v>37</v>
      </c>
      <c r="D1592" s="14"/>
      <c r="E1592" s="15"/>
      <c r="F1592" s="16">
        <f t="shared" si="93"/>
        <v>0</v>
      </c>
      <c r="G1592">
        <f t="shared" si="94"/>
        <v>0</v>
      </c>
    </row>
    <row r="1593" spans="1:7" hidden="1" x14ac:dyDescent="0.25">
      <c r="A1593" s="85" t="s">
        <v>3898</v>
      </c>
      <c r="B1593" s="81" t="s">
        <v>3839</v>
      </c>
      <c r="C1593" s="26" t="s">
        <v>37</v>
      </c>
      <c r="D1593" s="14"/>
      <c r="E1593" s="15"/>
      <c r="F1593" s="16">
        <f t="shared" si="93"/>
        <v>0</v>
      </c>
      <c r="G1593">
        <f t="shared" si="94"/>
        <v>0</v>
      </c>
    </row>
    <row r="1594" spans="1:7" hidden="1" x14ac:dyDescent="0.25">
      <c r="A1594" s="85" t="s">
        <v>3899</v>
      </c>
      <c r="B1594" s="81" t="s">
        <v>3840</v>
      </c>
      <c r="C1594" s="26" t="s">
        <v>37</v>
      </c>
      <c r="D1594" s="14"/>
      <c r="E1594" s="15"/>
      <c r="F1594" s="16">
        <f t="shared" si="93"/>
        <v>0</v>
      </c>
      <c r="G1594">
        <f t="shared" si="94"/>
        <v>0</v>
      </c>
    </row>
    <row r="1595" spans="1:7" hidden="1" x14ac:dyDescent="0.25">
      <c r="A1595" s="85" t="s">
        <v>3900</v>
      </c>
      <c r="B1595" s="81" t="s">
        <v>3843</v>
      </c>
      <c r="C1595" s="26" t="s">
        <v>37</v>
      </c>
      <c r="D1595" s="14"/>
      <c r="E1595" s="15"/>
      <c r="F1595" s="16">
        <f t="shared" si="93"/>
        <v>0</v>
      </c>
      <c r="G1595">
        <f t="shared" si="94"/>
        <v>0</v>
      </c>
    </row>
    <row r="1596" spans="1:7" hidden="1" x14ac:dyDescent="0.25">
      <c r="A1596" s="85" t="s">
        <v>3901</v>
      </c>
      <c r="B1596" s="81" t="s">
        <v>3844</v>
      </c>
      <c r="C1596" s="26" t="s">
        <v>37</v>
      </c>
      <c r="D1596" s="14"/>
      <c r="E1596" s="15"/>
      <c r="F1596" s="16">
        <f t="shared" si="93"/>
        <v>0</v>
      </c>
      <c r="G1596">
        <f t="shared" si="94"/>
        <v>0</v>
      </c>
    </row>
    <row r="1597" spans="1:7" hidden="1" x14ac:dyDescent="0.25">
      <c r="A1597" s="85" t="s">
        <v>3902</v>
      </c>
      <c r="B1597" s="81" t="s">
        <v>3845</v>
      </c>
      <c r="C1597" s="26" t="s">
        <v>37</v>
      </c>
      <c r="D1597" s="14"/>
      <c r="E1597" s="15"/>
      <c r="F1597" s="16">
        <f t="shared" si="93"/>
        <v>0</v>
      </c>
      <c r="G1597">
        <f t="shared" si="94"/>
        <v>0</v>
      </c>
    </row>
    <row r="1598" spans="1:7" hidden="1" x14ac:dyDescent="0.25">
      <c r="A1598" s="85" t="s">
        <v>3903</v>
      </c>
      <c r="B1598" s="81" t="s">
        <v>3841</v>
      </c>
      <c r="C1598" s="26" t="s">
        <v>37</v>
      </c>
      <c r="D1598" s="14"/>
      <c r="E1598" s="15"/>
      <c r="F1598" s="16">
        <f t="shared" si="93"/>
        <v>0</v>
      </c>
      <c r="G1598">
        <f t="shared" si="94"/>
        <v>0</v>
      </c>
    </row>
    <row r="1599" spans="1:7" hidden="1" x14ac:dyDescent="0.25">
      <c r="A1599" s="85" t="s">
        <v>3904</v>
      </c>
      <c r="B1599" s="81" t="s">
        <v>3846</v>
      </c>
      <c r="C1599" s="26" t="s">
        <v>37</v>
      </c>
      <c r="D1599" s="14"/>
      <c r="E1599" s="15"/>
      <c r="F1599" s="16">
        <f t="shared" si="93"/>
        <v>0</v>
      </c>
      <c r="G1599">
        <f t="shared" si="94"/>
        <v>0</v>
      </c>
    </row>
    <row r="1600" spans="1:7" hidden="1" x14ac:dyDescent="0.25">
      <c r="A1600" s="85" t="s">
        <v>3905</v>
      </c>
      <c r="B1600" s="81" t="s">
        <v>3847</v>
      </c>
      <c r="C1600" s="26" t="s">
        <v>37</v>
      </c>
      <c r="D1600" s="14"/>
      <c r="E1600" s="15"/>
      <c r="F1600" s="16">
        <f t="shared" si="93"/>
        <v>0</v>
      </c>
      <c r="G1600">
        <f t="shared" si="94"/>
        <v>0</v>
      </c>
    </row>
    <row r="1601" spans="1:7" hidden="1" x14ac:dyDescent="0.25">
      <c r="A1601" s="85" t="s">
        <v>3906</v>
      </c>
      <c r="B1601" s="81" t="s">
        <v>3848</v>
      </c>
      <c r="C1601" s="26" t="s">
        <v>37</v>
      </c>
      <c r="D1601" s="14"/>
      <c r="E1601" s="15"/>
      <c r="F1601" s="16">
        <f t="shared" si="93"/>
        <v>0</v>
      </c>
      <c r="G1601">
        <f t="shared" si="94"/>
        <v>0</v>
      </c>
    </row>
    <row r="1602" spans="1:7" hidden="1" x14ac:dyDescent="0.25">
      <c r="A1602" s="85" t="s">
        <v>3907</v>
      </c>
      <c r="B1602" s="81" t="s">
        <v>3849</v>
      </c>
      <c r="C1602" s="26" t="s">
        <v>37</v>
      </c>
      <c r="D1602" s="14"/>
      <c r="E1602" s="15"/>
      <c r="F1602" s="16">
        <f t="shared" si="93"/>
        <v>0</v>
      </c>
      <c r="G1602">
        <f t="shared" si="94"/>
        <v>0</v>
      </c>
    </row>
    <row r="1603" spans="1:7" hidden="1" x14ac:dyDescent="0.25">
      <c r="A1603" s="85" t="s">
        <v>3908</v>
      </c>
      <c r="B1603" s="81" t="s">
        <v>3850</v>
      </c>
      <c r="C1603" s="26" t="s">
        <v>37</v>
      </c>
      <c r="D1603" s="14"/>
      <c r="E1603" s="15"/>
      <c r="F1603" s="16">
        <f t="shared" si="93"/>
        <v>0</v>
      </c>
      <c r="G1603">
        <f t="shared" si="94"/>
        <v>0</v>
      </c>
    </row>
    <row r="1604" spans="1:7" hidden="1" x14ac:dyDescent="0.25">
      <c r="A1604" s="85" t="s">
        <v>3909</v>
      </c>
      <c r="B1604" s="81" t="s">
        <v>3851</v>
      </c>
      <c r="C1604" s="26" t="s">
        <v>37</v>
      </c>
      <c r="D1604" s="14"/>
      <c r="E1604" s="15"/>
      <c r="F1604" s="16">
        <f t="shared" si="93"/>
        <v>0</v>
      </c>
      <c r="G1604">
        <f t="shared" si="94"/>
        <v>0</v>
      </c>
    </row>
    <row r="1605" spans="1:7" hidden="1" x14ac:dyDescent="0.25">
      <c r="A1605" s="85" t="s">
        <v>3910</v>
      </c>
      <c r="B1605" s="81" t="s">
        <v>3842</v>
      </c>
      <c r="C1605" s="26" t="s">
        <v>37</v>
      </c>
      <c r="D1605" s="14"/>
      <c r="E1605" s="15"/>
      <c r="F1605" s="16">
        <f t="shared" si="93"/>
        <v>0</v>
      </c>
      <c r="G1605">
        <f t="shared" si="94"/>
        <v>0</v>
      </c>
    </row>
    <row r="1606" spans="1:7" hidden="1" x14ac:dyDescent="0.25">
      <c r="A1606" s="85" t="s">
        <v>3911</v>
      </c>
      <c r="B1606" s="81" t="s">
        <v>3852</v>
      </c>
      <c r="C1606" s="26" t="s">
        <v>37</v>
      </c>
      <c r="D1606" s="14"/>
      <c r="E1606" s="15"/>
      <c r="F1606" s="16">
        <f t="shared" si="93"/>
        <v>0</v>
      </c>
      <c r="G1606">
        <f t="shared" si="94"/>
        <v>0</v>
      </c>
    </row>
    <row r="1607" spans="1:7" hidden="1" x14ac:dyDescent="0.25">
      <c r="A1607" s="85" t="s">
        <v>3912</v>
      </c>
      <c r="B1607" s="81" t="s">
        <v>3853</v>
      </c>
      <c r="C1607" s="26" t="s">
        <v>37</v>
      </c>
      <c r="D1607" s="14"/>
      <c r="E1607" s="15"/>
      <c r="F1607" s="16">
        <f t="shared" si="93"/>
        <v>0</v>
      </c>
      <c r="G1607">
        <f t="shared" si="94"/>
        <v>0</v>
      </c>
    </row>
    <row r="1608" spans="1:7" hidden="1" x14ac:dyDescent="0.25">
      <c r="A1608" s="85" t="s">
        <v>3913</v>
      </c>
      <c r="B1608" s="81" t="s">
        <v>3854</v>
      </c>
      <c r="C1608" s="26" t="s">
        <v>37</v>
      </c>
      <c r="D1608" s="14"/>
      <c r="E1608" s="15"/>
      <c r="F1608" s="16">
        <f t="shared" si="93"/>
        <v>0</v>
      </c>
      <c r="G1608">
        <f t="shared" si="94"/>
        <v>0</v>
      </c>
    </row>
    <row r="1609" spans="1:7" hidden="1" x14ac:dyDescent="0.25">
      <c r="A1609" s="85" t="s">
        <v>3914</v>
      </c>
      <c r="B1609" s="81" t="s">
        <v>3855</v>
      </c>
      <c r="C1609" s="26" t="s">
        <v>37</v>
      </c>
      <c r="D1609" s="14"/>
      <c r="E1609" s="15"/>
      <c r="F1609" s="16">
        <f t="shared" si="93"/>
        <v>0</v>
      </c>
      <c r="G1609">
        <f t="shared" si="94"/>
        <v>0</v>
      </c>
    </row>
    <row r="1610" spans="1:7" hidden="1" x14ac:dyDescent="0.25">
      <c r="A1610" s="85" t="s">
        <v>3915</v>
      </c>
      <c r="B1610" s="81" t="s">
        <v>3856</v>
      </c>
      <c r="C1610" s="26" t="s">
        <v>37</v>
      </c>
      <c r="D1610" s="14"/>
      <c r="E1610" s="15"/>
      <c r="F1610" s="16">
        <f t="shared" si="93"/>
        <v>0</v>
      </c>
      <c r="G1610">
        <f t="shared" si="94"/>
        <v>0</v>
      </c>
    </row>
    <row r="1611" spans="1:7" hidden="1" x14ac:dyDescent="0.25">
      <c r="A1611" s="85" t="s">
        <v>3916</v>
      </c>
      <c r="B1611" s="81" t="s">
        <v>3857</v>
      </c>
      <c r="C1611" s="26" t="s">
        <v>37</v>
      </c>
      <c r="D1611" s="14"/>
      <c r="E1611" s="15"/>
      <c r="F1611" s="16">
        <f t="shared" si="93"/>
        <v>0</v>
      </c>
      <c r="G1611">
        <f t="shared" si="94"/>
        <v>0</v>
      </c>
    </row>
    <row r="1612" spans="1:7" hidden="1" x14ac:dyDescent="0.25">
      <c r="A1612" s="85" t="s">
        <v>3917</v>
      </c>
      <c r="B1612" s="81" t="s">
        <v>3858</v>
      </c>
      <c r="C1612" s="26" t="s">
        <v>37</v>
      </c>
      <c r="D1612" s="14"/>
      <c r="E1612" s="15"/>
      <c r="F1612" s="16">
        <f t="shared" si="93"/>
        <v>0</v>
      </c>
      <c r="G1612">
        <f t="shared" si="94"/>
        <v>0</v>
      </c>
    </row>
    <row r="1613" spans="1:7" hidden="1" x14ac:dyDescent="0.25">
      <c r="A1613" s="78" t="s">
        <v>3921</v>
      </c>
      <c r="B1613" s="79" t="s">
        <v>3919</v>
      </c>
      <c r="C1613" s="26"/>
      <c r="D1613" s="14"/>
      <c r="E1613" s="15"/>
      <c r="F1613" s="16"/>
      <c r="G1613">
        <f t="shared" si="94"/>
        <v>0</v>
      </c>
    </row>
    <row r="1614" spans="1:7" hidden="1" x14ac:dyDescent="0.25">
      <c r="A1614" s="85" t="s">
        <v>991</v>
      </c>
      <c r="B1614" s="81" t="s">
        <v>3920</v>
      </c>
      <c r="C1614" s="26" t="s">
        <v>37</v>
      </c>
      <c r="D1614" s="14"/>
      <c r="E1614" s="15"/>
      <c r="F1614" s="16">
        <f t="shared" si="93"/>
        <v>0</v>
      </c>
      <c r="G1614">
        <f t="shared" si="94"/>
        <v>0</v>
      </c>
    </row>
    <row r="1615" spans="1:7" hidden="1" x14ac:dyDescent="0.25">
      <c r="A1615" s="85" t="s">
        <v>992</v>
      </c>
      <c r="B1615" s="81" t="s">
        <v>3980</v>
      </c>
      <c r="C1615" s="26" t="s">
        <v>37</v>
      </c>
      <c r="D1615" s="14"/>
      <c r="E1615" s="15"/>
      <c r="F1615" s="16">
        <f t="shared" si="93"/>
        <v>0</v>
      </c>
      <c r="G1615">
        <f t="shared" si="94"/>
        <v>0</v>
      </c>
    </row>
    <row r="1616" spans="1:7" hidden="1" x14ac:dyDescent="0.25">
      <c r="A1616" s="85" t="s">
        <v>3922</v>
      </c>
      <c r="B1616" s="81" t="s">
        <v>3981</v>
      </c>
      <c r="C1616" s="26" t="s">
        <v>37</v>
      </c>
      <c r="D1616" s="14"/>
      <c r="E1616" s="15"/>
      <c r="F1616" s="16">
        <f t="shared" si="93"/>
        <v>0</v>
      </c>
      <c r="G1616">
        <f t="shared" si="94"/>
        <v>0</v>
      </c>
    </row>
    <row r="1617" spans="1:7" hidden="1" x14ac:dyDescent="0.25">
      <c r="A1617" s="85" t="s">
        <v>3923</v>
      </c>
      <c r="B1617" s="81" t="s">
        <v>3982</v>
      </c>
      <c r="C1617" s="26" t="s">
        <v>37</v>
      </c>
      <c r="D1617" s="14"/>
      <c r="E1617" s="15"/>
      <c r="F1617" s="16">
        <f t="shared" ref="F1617:F1673" si="95">+D1617*E1617</f>
        <v>0</v>
      </c>
      <c r="G1617">
        <f t="shared" si="94"/>
        <v>0</v>
      </c>
    </row>
    <row r="1618" spans="1:7" hidden="1" x14ac:dyDescent="0.25">
      <c r="A1618" s="85" t="s">
        <v>3924</v>
      </c>
      <c r="B1618" s="81" t="s">
        <v>3983</v>
      </c>
      <c r="C1618" s="26" t="s">
        <v>37</v>
      </c>
      <c r="D1618" s="14"/>
      <c r="E1618" s="15"/>
      <c r="F1618" s="16">
        <f t="shared" si="95"/>
        <v>0</v>
      </c>
      <c r="G1618">
        <f t="shared" si="94"/>
        <v>0</v>
      </c>
    </row>
    <row r="1619" spans="1:7" hidden="1" x14ac:dyDescent="0.25">
      <c r="A1619" s="85" t="s">
        <v>3925</v>
      </c>
      <c r="B1619" s="81" t="s">
        <v>3984</v>
      </c>
      <c r="C1619" s="26" t="s">
        <v>37</v>
      </c>
      <c r="D1619" s="14"/>
      <c r="E1619" s="15"/>
      <c r="F1619" s="16">
        <f t="shared" si="95"/>
        <v>0</v>
      </c>
      <c r="G1619">
        <f t="shared" si="94"/>
        <v>0</v>
      </c>
    </row>
    <row r="1620" spans="1:7" hidden="1" x14ac:dyDescent="0.25">
      <c r="A1620" s="85" t="s">
        <v>3926</v>
      </c>
      <c r="B1620" s="81" t="s">
        <v>3985</v>
      </c>
      <c r="C1620" s="26" t="s">
        <v>37</v>
      </c>
      <c r="D1620" s="14"/>
      <c r="E1620" s="15"/>
      <c r="F1620" s="16">
        <f t="shared" si="95"/>
        <v>0</v>
      </c>
      <c r="G1620">
        <f t="shared" si="94"/>
        <v>0</v>
      </c>
    </row>
    <row r="1621" spans="1:7" hidden="1" x14ac:dyDescent="0.25">
      <c r="A1621" s="85" t="s">
        <v>3927</v>
      </c>
      <c r="B1621" s="81" t="s">
        <v>3986</v>
      </c>
      <c r="C1621" s="26" t="s">
        <v>37</v>
      </c>
      <c r="D1621" s="14"/>
      <c r="E1621" s="15"/>
      <c r="F1621" s="16">
        <f t="shared" si="95"/>
        <v>0</v>
      </c>
      <c r="G1621">
        <f t="shared" si="94"/>
        <v>0</v>
      </c>
    </row>
    <row r="1622" spans="1:7" hidden="1" x14ac:dyDescent="0.25">
      <c r="A1622" s="85" t="s">
        <v>3928</v>
      </c>
      <c r="B1622" s="81" t="s">
        <v>3987</v>
      </c>
      <c r="C1622" s="26" t="s">
        <v>37</v>
      </c>
      <c r="D1622" s="14"/>
      <c r="E1622" s="15"/>
      <c r="F1622" s="16">
        <f t="shared" si="95"/>
        <v>0</v>
      </c>
      <c r="G1622">
        <f t="shared" si="94"/>
        <v>0</v>
      </c>
    </row>
    <row r="1623" spans="1:7" hidden="1" x14ac:dyDescent="0.25">
      <c r="A1623" s="85" t="s">
        <v>3929</v>
      </c>
      <c r="B1623" s="81" t="s">
        <v>3988</v>
      </c>
      <c r="C1623" s="26" t="s">
        <v>37</v>
      </c>
      <c r="D1623" s="14"/>
      <c r="E1623" s="15"/>
      <c r="F1623" s="16">
        <f t="shared" si="95"/>
        <v>0</v>
      </c>
      <c r="G1623">
        <f t="shared" si="94"/>
        <v>0</v>
      </c>
    </row>
    <row r="1624" spans="1:7" hidden="1" x14ac:dyDescent="0.25">
      <c r="A1624" s="85" t="s">
        <v>3930</v>
      </c>
      <c r="B1624" s="81" t="s">
        <v>3989</v>
      </c>
      <c r="C1624" s="26" t="s">
        <v>37</v>
      </c>
      <c r="D1624" s="14"/>
      <c r="E1624" s="15"/>
      <c r="F1624" s="16">
        <f t="shared" si="95"/>
        <v>0</v>
      </c>
      <c r="G1624">
        <f t="shared" si="94"/>
        <v>0</v>
      </c>
    </row>
    <row r="1625" spans="1:7" hidden="1" x14ac:dyDescent="0.25">
      <c r="A1625" s="85" t="s">
        <v>3931</v>
      </c>
      <c r="B1625" s="81" t="s">
        <v>3990</v>
      </c>
      <c r="C1625" s="26" t="s">
        <v>37</v>
      </c>
      <c r="D1625" s="14"/>
      <c r="E1625" s="15"/>
      <c r="F1625" s="16">
        <f t="shared" si="95"/>
        <v>0</v>
      </c>
      <c r="G1625">
        <f t="shared" si="94"/>
        <v>0</v>
      </c>
    </row>
    <row r="1626" spans="1:7" hidden="1" x14ac:dyDescent="0.25">
      <c r="A1626" s="85" t="s">
        <v>3932</v>
      </c>
      <c r="B1626" s="81" t="s">
        <v>3991</v>
      </c>
      <c r="C1626" s="26" t="s">
        <v>37</v>
      </c>
      <c r="D1626" s="14"/>
      <c r="E1626" s="15"/>
      <c r="F1626" s="16">
        <f t="shared" si="95"/>
        <v>0</v>
      </c>
      <c r="G1626">
        <f t="shared" si="94"/>
        <v>0</v>
      </c>
    </row>
    <row r="1627" spans="1:7" hidden="1" x14ac:dyDescent="0.25">
      <c r="A1627" s="85" t="s">
        <v>3933</v>
      </c>
      <c r="B1627" s="81" t="s">
        <v>3992</v>
      </c>
      <c r="C1627" s="26" t="s">
        <v>37</v>
      </c>
      <c r="D1627" s="14"/>
      <c r="E1627" s="15"/>
      <c r="F1627" s="16">
        <f t="shared" si="95"/>
        <v>0</v>
      </c>
      <c r="G1627">
        <f t="shared" si="94"/>
        <v>0</v>
      </c>
    </row>
    <row r="1628" spans="1:7" hidden="1" x14ac:dyDescent="0.25">
      <c r="A1628" s="85" t="s">
        <v>3934</v>
      </c>
      <c r="B1628" s="81" t="s">
        <v>3993</v>
      </c>
      <c r="C1628" s="26" t="s">
        <v>37</v>
      </c>
      <c r="D1628" s="14"/>
      <c r="E1628" s="15"/>
      <c r="F1628" s="16">
        <f t="shared" si="95"/>
        <v>0</v>
      </c>
      <c r="G1628">
        <f t="shared" si="94"/>
        <v>0</v>
      </c>
    </row>
    <row r="1629" spans="1:7" hidden="1" x14ac:dyDescent="0.25">
      <c r="A1629" s="85" t="s">
        <v>3935</v>
      </c>
      <c r="B1629" s="81" t="s">
        <v>3994</v>
      </c>
      <c r="C1629" s="26" t="s">
        <v>37</v>
      </c>
      <c r="D1629" s="14"/>
      <c r="E1629" s="15"/>
      <c r="F1629" s="16">
        <f t="shared" si="95"/>
        <v>0</v>
      </c>
      <c r="G1629">
        <f t="shared" si="94"/>
        <v>0</v>
      </c>
    </row>
    <row r="1630" spans="1:7" hidden="1" x14ac:dyDescent="0.25">
      <c r="A1630" s="85" t="s">
        <v>3936</v>
      </c>
      <c r="B1630" s="81" t="s">
        <v>3995</v>
      </c>
      <c r="C1630" s="26" t="s">
        <v>37</v>
      </c>
      <c r="D1630" s="14"/>
      <c r="E1630" s="15"/>
      <c r="F1630" s="16">
        <f t="shared" si="95"/>
        <v>0</v>
      </c>
      <c r="G1630">
        <f t="shared" si="94"/>
        <v>0</v>
      </c>
    </row>
    <row r="1631" spans="1:7" hidden="1" x14ac:dyDescent="0.25">
      <c r="A1631" s="85" t="s">
        <v>3937</v>
      </c>
      <c r="B1631" s="81" t="s">
        <v>3996</v>
      </c>
      <c r="C1631" s="26" t="s">
        <v>37</v>
      </c>
      <c r="D1631" s="14"/>
      <c r="E1631" s="15"/>
      <c r="F1631" s="16">
        <f t="shared" si="95"/>
        <v>0</v>
      </c>
      <c r="G1631">
        <f t="shared" si="94"/>
        <v>0</v>
      </c>
    </row>
    <row r="1632" spans="1:7" hidden="1" x14ac:dyDescent="0.25">
      <c r="A1632" s="85" t="s">
        <v>3938</v>
      </c>
      <c r="B1632" s="81" t="s">
        <v>3997</v>
      </c>
      <c r="C1632" s="26" t="s">
        <v>37</v>
      </c>
      <c r="D1632" s="14"/>
      <c r="E1632" s="15"/>
      <c r="F1632" s="16">
        <f t="shared" si="95"/>
        <v>0</v>
      </c>
      <c r="G1632">
        <f t="shared" si="94"/>
        <v>0</v>
      </c>
    </row>
    <row r="1633" spans="1:7" hidden="1" x14ac:dyDescent="0.25">
      <c r="A1633" s="85" t="s">
        <v>3939</v>
      </c>
      <c r="B1633" s="81" t="s">
        <v>3998</v>
      </c>
      <c r="C1633" s="26" t="s">
        <v>37</v>
      </c>
      <c r="D1633" s="14"/>
      <c r="E1633" s="15"/>
      <c r="F1633" s="16">
        <f t="shared" si="95"/>
        <v>0</v>
      </c>
      <c r="G1633">
        <f t="shared" si="94"/>
        <v>0</v>
      </c>
    </row>
    <row r="1634" spans="1:7" hidden="1" x14ac:dyDescent="0.25">
      <c r="A1634" s="85" t="s">
        <v>3940</v>
      </c>
      <c r="B1634" s="81" t="s">
        <v>3999</v>
      </c>
      <c r="C1634" s="26" t="s">
        <v>37</v>
      </c>
      <c r="D1634" s="14"/>
      <c r="E1634" s="15"/>
      <c r="F1634" s="16">
        <f t="shared" si="95"/>
        <v>0</v>
      </c>
      <c r="G1634">
        <f t="shared" si="94"/>
        <v>0</v>
      </c>
    </row>
    <row r="1635" spans="1:7" hidden="1" x14ac:dyDescent="0.25">
      <c r="A1635" s="85" t="s">
        <v>3941</v>
      </c>
      <c r="B1635" s="81" t="s">
        <v>4000</v>
      </c>
      <c r="C1635" s="26" t="s">
        <v>37</v>
      </c>
      <c r="D1635" s="14"/>
      <c r="E1635" s="15"/>
      <c r="F1635" s="16">
        <f t="shared" si="95"/>
        <v>0</v>
      </c>
      <c r="G1635">
        <f t="shared" si="94"/>
        <v>0</v>
      </c>
    </row>
    <row r="1636" spans="1:7" hidden="1" x14ac:dyDescent="0.25">
      <c r="A1636" s="85" t="s">
        <v>3942</v>
      </c>
      <c r="B1636" s="81" t="s">
        <v>4001</v>
      </c>
      <c r="C1636" s="26" t="s">
        <v>37</v>
      </c>
      <c r="D1636" s="14"/>
      <c r="E1636" s="15"/>
      <c r="F1636" s="16">
        <f t="shared" si="95"/>
        <v>0</v>
      </c>
      <c r="G1636">
        <f t="shared" ref="G1636:G1699" si="96">+IF(F1636&lt;&gt;0,1,0)</f>
        <v>0</v>
      </c>
    </row>
    <row r="1637" spans="1:7" hidden="1" x14ac:dyDescent="0.25">
      <c r="A1637" s="85" t="s">
        <v>3943</v>
      </c>
      <c r="B1637" s="81" t="s">
        <v>4002</v>
      </c>
      <c r="C1637" s="26" t="s">
        <v>37</v>
      </c>
      <c r="D1637" s="14"/>
      <c r="E1637" s="15"/>
      <c r="F1637" s="16">
        <f t="shared" si="95"/>
        <v>0</v>
      </c>
      <c r="G1637">
        <f t="shared" si="96"/>
        <v>0</v>
      </c>
    </row>
    <row r="1638" spans="1:7" hidden="1" x14ac:dyDescent="0.25">
      <c r="A1638" s="85" t="s">
        <v>3944</v>
      </c>
      <c r="B1638" s="81" t="s">
        <v>4003</v>
      </c>
      <c r="C1638" s="26" t="s">
        <v>37</v>
      </c>
      <c r="D1638" s="14"/>
      <c r="E1638" s="15"/>
      <c r="F1638" s="16">
        <f t="shared" si="95"/>
        <v>0</v>
      </c>
      <c r="G1638">
        <f t="shared" si="96"/>
        <v>0</v>
      </c>
    </row>
    <row r="1639" spans="1:7" hidden="1" x14ac:dyDescent="0.25">
      <c r="A1639" s="85" t="s">
        <v>3945</v>
      </c>
      <c r="B1639" s="81" t="s">
        <v>4004</v>
      </c>
      <c r="C1639" s="26" t="s">
        <v>37</v>
      </c>
      <c r="D1639" s="14"/>
      <c r="E1639" s="15"/>
      <c r="F1639" s="16">
        <f t="shared" si="95"/>
        <v>0</v>
      </c>
      <c r="G1639">
        <f t="shared" si="96"/>
        <v>0</v>
      </c>
    </row>
    <row r="1640" spans="1:7" hidden="1" x14ac:dyDescent="0.25">
      <c r="A1640" s="85" t="s">
        <v>3946</v>
      </c>
      <c r="B1640" s="81" t="s">
        <v>4005</v>
      </c>
      <c r="C1640" s="26" t="s">
        <v>37</v>
      </c>
      <c r="D1640" s="14"/>
      <c r="E1640" s="15"/>
      <c r="F1640" s="16">
        <f t="shared" si="95"/>
        <v>0</v>
      </c>
      <c r="G1640">
        <f t="shared" si="96"/>
        <v>0</v>
      </c>
    </row>
    <row r="1641" spans="1:7" hidden="1" x14ac:dyDescent="0.25">
      <c r="A1641" s="85" t="s">
        <v>3947</v>
      </c>
      <c r="B1641" s="81" t="s">
        <v>4006</v>
      </c>
      <c r="C1641" s="26" t="s">
        <v>37</v>
      </c>
      <c r="D1641" s="14"/>
      <c r="E1641" s="15"/>
      <c r="F1641" s="16">
        <f t="shared" si="95"/>
        <v>0</v>
      </c>
      <c r="G1641">
        <f t="shared" si="96"/>
        <v>0</v>
      </c>
    </row>
    <row r="1642" spans="1:7" hidden="1" x14ac:dyDescent="0.25">
      <c r="A1642" s="85" t="s">
        <v>3948</v>
      </c>
      <c r="B1642" s="81" t="s">
        <v>4007</v>
      </c>
      <c r="C1642" s="26" t="s">
        <v>37</v>
      </c>
      <c r="D1642" s="14"/>
      <c r="E1642" s="15"/>
      <c r="F1642" s="16">
        <f t="shared" si="95"/>
        <v>0</v>
      </c>
      <c r="G1642">
        <f t="shared" si="96"/>
        <v>0</v>
      </c>
    </row>
    <row r="1643" spans="1:7" hidden="1" x14ac:dyDescent="0.25">
      <c r="A1643" s="85" t="s">
        <v>3949</v>
      </c>
      <c r="B1643" s="81" t="s">
        <v>4008</v>
      </c>
      <c r="C1643" s="26" t="s">
        <v>37</v>
      </c>
      <c r="D1643" s="14"/>
      <c r="E1643" s="15"/>
      <c r="F1643" s="16">
        <f t="shared" si="95"/>
        <v>0</v>
      </c>
      <c r="G1643">
        <f t="shared" si="96"/>
        <v>0</v>
      </c>
    </row>
    <row r="1644" spans="1:7" hidden="1" x14ac:dyDescent="0.25">
      <c r="A1644" s="85" t="s">
        <v>3950</v>
      </c>
      <c r="B1644" s="81" t="s">
        <v>4009</v>
      </c>
      <c r="C1644" s="26" t="s">
        <v>37</v>
      </c>
      <c r="D1644" s="14"/>
      <c r="E1644" s="15"/>
      <c r="F1644" s="16">
        <f t="shared" si="95"/>
        <v>0</v>
      </c>
      <c r="G1644">
        <f t="shared" si="96"/>
        <v>0</v>
      </c>
    </row>
    <row r="1645" spans="1:7" hidden="1" x14ac:dyDescent="0.25">
      <c r="A1645" s="85" t="s">
        <v>3951</v>
      </c>
      <c r="B1645" s="81" t="s">
        <v>4010</v>
      </c>
      <c r="C1645" s="26" t="s">
        <v>37</v>
      </c>
      <c r="D1645" s="14"/>
      <c r="E1645" s="15"/>
      <c r="F1645" s="16">
        <f t="shared" si="95"/>
        <v>0</v>
      </c>
      <c r="G1645">
        <f t="shared" si="96"/>
        <v>0</v>
      </c>
    </row>
    <row r="1646" spans="1:7" hidden="1" x14ac:dyDescent="0.25">
      <c r="A1646" s="85" t="s">
        <v>3952</v>
      </c>
      <c r="B1646" s="81" t="s">
        <v>4011</v>
      </c>
      <c r="C1646" s="26" t="s">
        <v>37</v>
      </c>
      <c r="D1646" s="14"/>
      <c r="E1646" s="15"/>
      <c r="F1646" s="16">
        <f t="shared" si="95"/>
        <v>0</v>
      </c>
      <c r="G1646">
        <f t="shared" si="96"/>
        <v>0</v>
      </c>
    </row>
    <row r="1647" spans="1:7" hidden="1" x14ac:dyDescent="0.25">
      <c r="A1647" s="85" t="s">
        <v>3953</v>
      </c>
      <c r="B1647" s="81" t="s">
        <v>4012</v>
      </c>
      <c r="C1647" s="26" t="s">
        <v>37</v>
      </c>
      <c r="D1647" s="14"/>
      <c r="E1647" s="15"/>
      <c r="F1647" s="16">
        <f t="shared" si="95"/>
        <v>0</v>
      </c>
      <c r="G1647">
        <f t="shared" si="96"/>
        <v>0</v>
      </c>
    </row>
    <row r="1648" spans="1:7" hidden="1" x14ac:dyDescent="0.25">
      <c r="A1648" s="85" t="s">
        <v>3954</v>
      </c>
      <c r="B1648" s="81" t="s">
        <v>4013</v>
      </c>
      <c r="C1648" s="26" t="s">
        <v>37</v>
      </c>
      <c r="D1648" s="14"/>
      <c r="E1648" s="15"/>
      <c r="F1648" s="16">
        <f t="shared" si="95"/>
        <v>0</v>
      </c>
      <c r="G1648">
        <f t="shared" si="96"/>
        <v>0</v>
      </c>
    </row>
    <row r="1649" spans="1:7" hidden="1" x14ac:dyDescent="0.25">
      <c r="A1649" s="85" t="s">
        <v>3955</v>
      </c>
      <c r="B1649" s="81" t="s">
        <v>4014</v>
      </c>
      <c r="C1649" s="26" t="s">
        <v>37</v>
      </c>
      <c r="D1649" s="14"/>
      <c r="E1649" s="15"/>
      <c r="F1649" s="16">
        <f t="shared" si="95"/>
        <v>0</v>
      </c>
      <c r="G1649">
        <f t="shared" si="96"/>
        <v>0</v>
      </c>
    </row>
    <row r="1650" spans="1:7" hidden="1" x14ac:dyDescent="0.25">
      <c r="A1650" s="85" t="s">
        <v>3956</v>
      </c>
      <c r="B1650" s="81" t="s">
        <v>4015</v>
      </c>
      <c r="C1650" s="26" t="s">
        <v>37</v>
      </c>
      <c r="D1650" s="14"/>
      <c r="E1650" s="15"/>
      <c r="F1650" s="16">
        <f t="shared" si="95"/>
        <v>0</v>
      </c>
      <c r="G1650">
        <f t="shared" si="96"/>
        <v>0</v>
      </c>
    </row>
    <row r="1651" spans="1:7" hidden="1" x14ac:dyDescent="0.25">
      <c r="A1651" s="85" t="s">
        <v>3957</v>
      </c>
      <c r="B1651" s="81" t="s">
        <v>4016</v>
      </c>
      <c r="C1651" s="26" t="s">
        <v>37</v>
      </c>
      <c r="D1651" s="14"/>
      <c r="E1651" s="15"/>
      <c r="F1651" s="16">
        <f t="shared" si="95"/>
        <v>0</v>
      </c>
      <c r="G1651">
        <f t="shared" si="96"/>
        <v>0</v>
      </c>
    </row>
    <row r="1652" spans="1:7" hidden="1" x14ac:dyDescent="0.25">
      <c r="A1652" s="85" t="s">
        <v>3958</v>
      </c>
      <c r="B1652" s="81" t="s">
        <v>4017</v>
      </c>
      <c r="C1652" s="26" t="s">
        <v>37</v>
      </c>
      <c r="D1652" s="14"/>
      <c r="E1652" s="15"/>
      <c r="F1652" s="16">
        <f t="shared" si="95"/>
        <v>0</v>
      </c>
      <c r="G1652">
        <f t="shared" si="96"/>
        <v>0</v>
      </c>
    </row>
    <row r="1653" spans="1:7" hidden="1" x14ac:dyDescent="0.25">
      <c r="A1653" s="85" t="s">
        <v>3959</v>
      </c>
      <c r="B1653" s="81" t="s">
        <v>4018</v>
      </c>
      <c r="C1653" s="26" t="s">
        <v>37</v>
      </c>
      <c r="D1653" s="14"/>
      <c r="E1653" s="15"/>
      <c r="F1653" s="16">
        <f t="shared" si="95"/>
        <v>0</v>
      </c>
      <c r="G1653">
        <f t="shared" si="96"/>
        <v>0</v>
      </c>
    </row>
    <row r="1654" spans="1:7" hidden="1" x14ac:dyDescent="0.25">
      <c r="A1654" s="85" t="s">
        <v>3960</v>
      </c>
      <c r="B1654" s="81" t="s">
        <v>4019</v>
      </c>
      <c r="C1654" s="26" t="s">
        <v>37</v>
      </c>
      <c r="D1654" s="14"/>
      <c r="E1654" s="15"/>
      <c r="F1654" s="16">
        <f t="shared" si="95"/>
        <v>0</v>
      </c>
      <c r="G1654">
        <f t="shared" si="96"/>
        <v>0</v>
      </c>
    </row>
    <row r="1655" spans="1:7" hidden="1" x14ac:dyDescent="0.25">
      <c r="A1655" s="85" t="s">
        <v>3961</v>
      </c>
      <c r="B1655" s="81" t="s">
        <v>4020</v>
      </c>
      <c r="C1655" s="26" t="s">
        <v>37</v>
      </c>
      <c r="D1655" s="14"/>
      <c r="E1655" s="15"/>
      <c r="F1655" s="16">
        <f t="shared" si="95"/>
        <v>0</v>
      </c>
      <c r="G1655">
        <f t="shared" si="96"/>
        <v>0</v>
      </c>
    </row>
    <row r="1656" spans="1:7" hidden="1" x14ac:dyDescent="0.25">
      <c r="A1656" s="85" t="s">
        <v>3962</v>
      </c>
      <c r="B1656" s="81" t="s">
        <v>4021</v>
      </c>
      <c r="C1656" s="26" t="s">
        <v>37</v>
      </c>
      <c r="D1656" s="14"/>
      <c r="E1656" s="15"/>
      <c r="F1656" s="16">
        <f t="shared" si="95"/>
        <v>0</v>
      </c>
      <c r="G1656">
        <f t="shared" si="96"/>
        <v>0</v>
      </c>
    </row>
    <row r="1657" spans="1:7" hidden="1" x14ac:dyDescent="0.25">
      <c r="A1657" s="85" t="s">
        <v>3963</v>
      </c>
      <c r="B1657" s="81" t="s">
        <v>4022</v>
      </c>
      <c r="C1657" s="26" t="s">
        <v>37</v>
      </c>
      <c r="D1657" s="14"/>
      <c r="E1657" s="15"/>
      <c r="F1657" s="16">
        <f t="shared" si="95"/>
        <v>0</v>
      </c>
      <c r="G1657">
        <f t="shared" si="96"/>
        <v>0</v>
      </c>
    </row>
    <row r="1658" spans="1:7" hidden="1" x14ac:dyDescent="0.25">
      <c r="A1658" s="85" t="s">
        <v>3964</v>
      </c>
      <c r="B1658" s="81" t="s">
        <v>4023</v>
      </c>
      <c r="C1658" s="26" t="s">
        <v>37</v>
      </c>
      <c r="D1658" s="14"/>
      <c r="E1658" s="15"/>
      <c r="F1658" s="16">
        <f t="shared" si="95"/>
        <v>0</v>
      </c>
      <c r="G1658">
        <f t="shared" si="96"/>
        <v>0</v>
      </c>
    </row>
    <row r="1659" spans="1:7" hidden="1" x14ac:dyDescent="0.25">
      <c r="A1659" s="85" t="s">
        <v>3965</v>
      </c>
      <c r="B1659" s="81" t="s">
        <v>4024</v>
      </c>
      <c r="C1659" s="26" t="s">
        <v>37</v>
      </c>
      <c r="D1659" s="14"/>
      <c r="E1659" s="15"/>
      <c r="F1659" s="16">
        <f t="shared" si="95"/>
        <v>0</v>
      </c>
      <c r="G1659">
        <f t="shared" si="96"/>
        <v>0</v>
      </c>
    </row>
    <row r="1660" spans="1:7" hidden="1" x14ac:dyDescent="0.25">
      <c r="A1660" s="85" t="s">
        <v>3966</v>
      </c>
      <c r="B1660" s="81" t="s">
        <v>4025</v>
      </c>
      <c r="C1660" s="26" t="s">
        <v>37</v>
      </c>
      <c r="D1660" s="14"/>
      <c r="E1660" s="15"/>
      <c r="F1660" s="16">
        <f t="shared" si="95"/>
        <v>0</v>
      </c>
      <c r="G1660">
        <f t="shared" si="96"/>
        <v>0</v>
      </c>
    </row>
    <row r="1661" spans="1:7" hidden="1" x14ac:dyDescent="0.25">
      <c r="A1661" s="85" t="s">
        <v>3967</v>
      </c>
      <c r="B1661" s="81" t="s">
        <v>4026</v>
      </c>
      <c r="C1661" s="26" t="s">
        <v>37</v>
      </c>
      <c r="D1661" s="14"/>
      <c r="E1661" s="15"/>
      <c r="F1661" s="16">
        <f t="shared" si="95"/>
        <v>0</v>
      </c>
      <c r="G1661">
        <f t="shared" si="96"/>
        <v>0</v>
      </c>
    </row>
    <row r="1662" spans="1:7" hidden="1" x14ac:dyDescent="0.25">
      <c r="A1662" s="85" t="s">
        <v>3968</v>
      </c>
      <c r="B1662" s="81" t="s">
        <v>4027</v>
      </c>
      <c r="C1662" s="26" t="s">
        <v>37</v>
      </c>
      <c r="D1662" s="14"/>
      <c r="E1662" s="15"/>
      <c r="F1662" s="16">
        <f t="shared" si="95"/>
        <v>0</v>
      </c>
      <c r="G1662">
        <f t="shared" si="96"/>
        <v>0</v>
      </c>
    </row>
    <row r="1663" spans="1:7" hidden="1" x14ac:dyDescent="0.25">
      <c r="A1663" s="85" t="s">
        <v>3969</v>
      </c>
      <c r="B1663" s="81" t="s">
        <v>4028</v>
      </c>
      <c r="C1663" s="26" t="s">
        <v>37</v>
      </c>
      <c r="D1663" s="14"/>
      <c r="E1663" s="15"/>
      <c r="F1663" s="16">
        <f t="shared" si="95"/>
        <v>0</v>
      </c>
      <c r="G1663">
        <f t="shared" si="96"/>
        <v>0</v>
      </c>
    </row>
    <row r="1664" spans="1:7" hidden="1" x14ac:dyDescent="0.25">
      <c r="A1664" s="85" t="s">
        <v>3970</v>
      </c>
      <c r="B1664" s="81" t="s">
        <v>4029</v>
      </c>
      <c r="C1664" s="26" t="s">
        <v>37</v>
      </c>
      <c r="D1664" s="14"/>
      <c r="E1664" s="15"/>
      <c r="F1664" s="16">
        <f t="shared" si="95"/>
        <v>0</v>
      </c>
      <c r="G1664">
        <f t="shared" si="96"/>
        <v>0</v>
      </c>
    </row>
    <row r="1665" spans="1:7" hidden="1" x14ac:dyDescent="0.25">
      <c r="A1665" s="85" t="s">
        <v>3971</v>
      </c>
      <c r="B1665" s="81" t="s">
        <v>4030</v>
      </c>
      <c r="C1665" s="26" t="s">
        <v>37</v>
      </c>
      <c r="D1665" s="14"/>
      <c r="E1665" s="15"/>
      <c r="F1665" s="16">
        <f t="shared" si="95"/>
        <v>0</v>
      </c>
      <c r="G1665">
        <f t="shared" si="96"/>
        <v>0</v>
      </c>
    </row>
    <row r="1666" spans="1:7" hidden="1" x14ac:dyDescent="0.25">
      <c r="A1666" s="85" t="s">
        <v>3972</v>
      </c>
      <c r="B1666" s="81" t="s">
        <v>4031</v>
      </c>
      <c r="C1666" s="26" t="s">
        <v>37</v>
      </c>
      <c r="D1666" s="14"/>
      <c r="E1666" s="15"/>
      <c r="F1666" s="16">
        <f t="shared" si="95"/>
        <v>0</v>
      </c>
      <c r="G1666">
        <f t="shared" si="96"/>
        <v>0</v>
      </c>
    </row>
    <row r="1667" spans="1:7" hidden="1" x14ac:dyDescent="0.25">
      <c r="A1667" s="85" t="s">
        <v>3973</v>
      </c>
      <c r="B1667" s="81" t="s">
        <v>4032</v>
      </c>
      <c r="C1667" s="26" t="s">
        <v>37</v>
      </c>
      <c r="D1667" s="14"/>
      <c r="E1667" s="15"/>
      <c r="F1667" s="16">
        <f t="shared" si="95"/>
        <v>0</v>
      </c>
      <c r="G1667">
        <f t="shared" si="96"/>
        <v>0</v>
      </c>
    </row>
    <row r="1668" spans="1:7" hidden="1" x14ac:dyDescent="0.25">
      <c r="A1668" s="85" t="s">
        <v>3974</v>
      </c>
      <c r="B1668" s="81" t="s">
        <v>4033</v>
      </c>
      <c r="C1668" s="26" t="s">
        <v>37</v>
      </c>
      <c r="D1668" s="14"/>
      <c r="E1668" s="15"/>
      <c r="F1668" s="16">
        <f t="shared" si="95"/>
        <v>0</v>
      </c>
      <c r="G1668">
        <f t="shared" si="96"/>
        <v>0</v>
      </c>
    </row>
    <row r="1669" spans="1:7" hidden="1" x14ac:dyDescent="0.25">
      <c r="A1669" s="85" t="s">
        <v>3975</v>
      </c>
      <c r="B1669" s="81" t="s">
        <v>4034</v>
      </c>
      <c r="C1669" s="26" t="s">
        <v>37</v>
      </c>
      <c r="D1669" s="14"/>
      <c r="E1669" s="15"/>
      <c r="F1669" s="16">
        <f t="shared" si="95"/>
        <v>0</v>
      </c>
      <c r="G1669">
        <f t="shared" si="96"/>
        <v>0</v>
      </c>
    </row>
    <row r="1670" spans="1:7" hidden="1" x14ac:dyDescent="0.25">
      <c r="A1670" s="85" t="s">
        <v>3976</v>
      </c>
      <c r="B1670" s="81" t="s">
        <v>4035</v>
      </c>
      <c r="C1670" s="26" t="s">
        <v>37</v>
      </c>
      <c r="D1670" s="14"/>
      <c r="E1670" s="15"/>
      <c r="F1670" s="16">
        <f t="shared" si="95"/>
        <v>0</v>
      </c>
      <c r="G1670">
        <f t="shared" si="96"/>
        <v>0</v>
      </c>
    </row>
    <row r="1671" spans="1:7" hidden="1" x14ac:dyDescent="0.25">
      <c r="A1671" s="85" t="s">
        <v>3977</v>
      </c>
      <c r="B1671" s="81" t="s">
        <v>4036</v>
      </c>
      <c r="C1671" s="26" t="s">
        <v>37</v>
      </c>
      <c r="D1671" s="14"/>
      <c r="E1671" s="15"/>
      <c r="F1671" s="16">
        <f t="shared" si="95"/>
        <v>0</v>
      </c>
      <c r="G1671">
        <f t="shared" si="96"/>
        <v>0</v>
      </c>
    </row>
    <row r="1672" spans="1:7" hidden="1" x14ac:dyDescent="0.25">
      <c r="A1672" s="85" t="s">
        <v>3978</v>
      </c>
      <c r="B1672" s="81" t="s">
        <v>4037</v>
      </c>
      <c r="C1672" s="26" t="s">
        <v>37</v>
      </c>
      <c r="D1672" s="14"/>
      <c r="E1672" s="15"/>
      <c r="F1672" s="16">
        <f t="shared" si="95"/>
        <v>0</v>
      </c>
      <c r="G1672">
        <f t="shared" si="96"/>
        <v>0</v>
      </c>
    </row>
    <row r="1673" spans="1:7" hidden="1" x14ac:dyDescent="0.25">
      <c r="A1673" s="85" t="s">
        <v>3979</v>
      </c>
      <c r="B1673" s="81" t="s">
        <v>4038</v>
      </c>
      <c r="C1673" s="26" t="s">
        <v>37</v>
      </c>
      <c r="D1673" s="14"/>
      <c r="E1673" s="15"/>
      <c r="F1673" s="16">
        <f t="shared" si="95"/>
        <v>0</v>
      </c>
      <c r="G1673">
        <f t="shared" si="96"/>
        <v>0</v>
      </c>
    </row>
    <row r="1674" spans="1:7" hidden="1" x14ac:dyDescent="0.25">
      <c r="A1674" s="78" t="s">
        <v>994</v>
      </c>
      <c r="B1674" s="79" t="s">
        <v>4039</v>
      </c>
      <c r="C1674" s="26"/>
      <c r="D1674" s="14"/>
      <c r="E1674" s="15"/>
      <c r="F1674" s="16"/>
      <c r="G1674">
        <f t="shared" si="96"/>
        <v>0</v>
      </c>
    </row>
    <row r="1675" spans="1:7" hidden="1" x14ac:dyDescent="0.25">
      <c r="A1675" s="78" t="s">
        <v>545</v>
      </c>
      <c r="B1675" s="79" t="s">
        <v>4100</v>
      </c>
      <c r="C1675" s="26"/>
      <c r="D1675" s="14"/>
      <c r="E1675" s="15"/>
      <c r="F1675" s="16"/>
      <c r="G1675">
        <f t="shared" si="96"/>
        <v>0</v>
      </c>
    </row>
    <row r="1676" spans="1:7" hidden="1" x14ac:dyDescent="0.25">
      <c r="A1676" s="85" t="s">
        <v>4099</v>
      </c>
      <c r="B1676" s="81" t="s">
        <v>4040</v>
      </c>
      <c r="C1676" s="26" t="s">
        <v>37</v>
      </c>
      <c r="D1676" s="14"/>
      <c r="E1676" s="15"/>
      <c r="F1676" s="16">
        <f t="shared" ref="F1676:F1739" si="97">+D1676*E1676</f>
        <v>0</v>
      </c>
      <c r="G1676">
        <f t="shared" si="96"/>
        <v>0</v>
      </c>
    </row>
    <row r="1677" spans="1:7" hidden="1" x14ac:dyDescent="0.25">
      <c r="A1677" s="85" t="s">
        <v>4101</v>
      </c>
      <c r="B1677" s="81" t="s">
        <v>4041</v>
      </c>
      <c r="C1677" s="26" t="s">
        <v>37</v>
      </c>
      <c r="D1677" s="14"/>
      <c r="E1677" s="15"/>
      <c r="F1677" s="16">
        <f t="shared" si="97"/>
        <v>0</v>
      </c>
      <c r="G1677">
        <f t="shared" si="96"/>
        <v>0</v>
      </c>
    </row>
    <row r="1678" spans="1:7" hidden="1" x14ac:dyDescent="0.25">
      <c r="A1678" s="85" t="s">
        <v>4102</v>
      </c>
      <c r="B1678" s="81" t="s">
        <v>4042</v>
      </c>
      <c r="C1678" s="26" t="s">
        <v>37</v>
      </c>
      <c r="D1678" s="14"/>
      <c r="E1678" s="15"/>
      <c r="F1678" s="16">
        <f t="shared" si="97"/>
        <v>0</v>
      </c>
      <c r="G1678">
        <f t="shared" si="96"/>
        <v>0</v>
      </c>
    </row>
    <row r="1679" spans="1:7" hidden="1" x14ac:dyDescent="0.25">
      <c r="A1679" s="85" t="s">
        <v>4103</v>
      </c>
      <c r="B1679" s="81" t="s">
        <v>4043</v>
      </c>
      <c r="C1679" s="26" t="s">
        <v>37</v>
      </c>
      <c r="D1679" s="14"/>
      <c r="E1679" s="15"/>
      <c r="F1679" s="16">
        <f t="shared" si="97"/>
        <v>0</v>
      </c>
      <c r="G1679">
        <f t="shared" si="96"/>
        <v>0</v>
      </c>
    </row>
    <row r="1680" spans="1:7" hidden="1" x14ac:dyDescent="0.25">
      <c r="A1680" s="85" t="s">
        <v>4104</v>
      </c>
      <c r="B1680" s="81" t="s">
        <v>4044</v>
      </c>
      <c r="C1680" s="26" t="s">
        <v>37</v>
      </c>
      <c r="D1680" s="14"/>
      <c r="E1680" s="15"/>
      <c r="F1680" s="16">
        <f t="shared" si="97"/>
        <v>0</v>
      </c>
      <c r="G1680">
        <f t="shared" si="96"/>
        <v>0</v>
      </c>
    </row>
    <row r="1681" spans="1:7" hidden="1" x14ac:dyDescent="0.25">
      <c r="A1681" s="85" t="s">
        <v>4105</v>
      </c>
      <c r="B1681" s="81" t="s">
        <v>4076</v>
      </c>
      <c r="C1681" s="26" t="s">
        <v>37</v>
      </c>
      <c r="D1681" s="14"/>
      <c r="E1681" s="15"/>
      <c r="F1681" s="16">
        <f t="shared" si="97"/>
        <v>0</v>
      </c>
      <c r="G1681">
        <f t="shared" si="96"/>
        <v>0</v>
      </c>
    </row>
    <row r="1682" spans="1:7" hidden="1" x14ac:dyDescent="0.25">
      <c r="A1682" s="85" t="s">
        <v>4106</v>
      </c>
      <c r="B1682" s="81" t="s">
        <v>4077</v>
      </c>
      <c r="C1682" s="26" t="s">
        <v>37</v>
      </c>
      <c r="D1682" s="14"/>
      <c r="E1682" s="15"/>
      <c r="F1682" s="16">
        <f t="shared" si="97"/>
        <v>0</v>
      </c>
      <c r="G1682">
        <f t="shared" si="96"/>
        <v>0</v>
      </c>
    </row>
    <row r="1683" spans="1:7" hidden="1" x14ac:dyDescent="0.25">
      <c r="A1683" s="85" t="s">
        <v>4107</v>
      </c>
      <c r="B1683" s="81" t="s">
        <v>4078</v>
      </c>
      <c r="C1683" s="26" t="s">
        <v>37</v>
      </c>
      <c r="D1683" s="14"/>
      <c r="E1683" s="15"/>
      <c r="F1683" s="16">
        <f t="shared" si="97"/>
        <v>0</v>
      </c>
      <c r="G1683">
        <f t="shared" si="96"/>
        <v>0</v>
      </c>
    </row>
    <row r="1684" spans="1:7" hidden="1" x14ac:dyDescent="0.25">
      <c r="A1684" s="85" t="s">
        <v>4108</v>
      </c>
      <c r="B1684" s="81" t="s">
        <v>4079</v>
      </c>
      <c r="C1684" s="26" t="s">
        <v>37</v>
      </c>
      <c r="D1684" s="14"/>
      <c r="E1684" s="15"/>
      <c r="F1684" s="16">
        <f t="shared" si="97"/>
        <v>0</v>
      </c>
      <c r="G1684">
        <f t="shared" si="96"/>
        <v>0</v>
      </c>
    </row>
    <row r="1685" spans="1:7" hidden="1" x14ac:dyDescent="0.25">
      <c r="A1685" s="85" t="s">
        <v>4109</v>
      </c>
      <c r="B1685" s="81" t="s">
        <v>4080</v>
      </c>
      <c r="C1685" s="26" t="s">
        <v>37</v>
      </c>
      <c r="D1685" s="14"/>
      <c r="E1685" s="15"/>
      <c r="F1685" s="16">
        <f t="shared" si="97"/>
        <v>0</v>
      </c>
      <c r="G1685">
        <f t="shared" si="96"/>
        <v>0</v>
      </c>
    </row>
    <row r="1686" spans="1:7" hidden="1" x14ac:dyDescent="0.25">
      <c r="A1686" s="85" t="s">
        <v>4110</v>
      </c>
      <c r="B1686" s="81" t="s">
        <v>4081</v>
      </c>
      <c r="C1686" s="26" t="s">
        <v>37</v>
      </c>
      <c r="D1686" s="14"/>
      <c r="E1686" s="15"/>
      <c r="F1686" s="16">
        <f t="shared" si="97"/>
        <v>0</v>
      </c>
      <c r="G1686">
        <f t="shared" si="96"/>
        <v>0</v>
      </c>
    </row>
    <row r="1687" spans="1:7" hidden="1" x14ac:dyDescent="0.25">
      <c r="A1687" s="85" t="s">
        <v>4111</v>
      </c>
      <c r="B1687" s="81" t="s">
        <v>4082</v>
      </c>
      <c r="C1687" s="26" t="s">
        <v>37</v>
      </c>
      <c r="D1687" s="14"/>
      <c r="E1687" s="15"/>
      <c r="F1687" s="16">
        <f t="shared" si="97"/>
        <v>0</v>
      </c>
      <c r="G1687">
        <f t="shared" si="96"/>
        <v>0</v>
      </c>
    </row>
    <row r="1688" spans="1:7" hidden="1" x14ac:dyDescent="0.25">
      <c r="A1688" s="85" t="s">
        <v>4112</v>
      </c>
      <c r="B1688" s="81" t="s">
        <v>4083</v>
      </c>
      <c r="C1688" s="26" t="s">
        <v>37</v>
      </c>
      <c r="D1688" s="14"/>
      <c r="E1688" s="15"/>
      <c r="F1688" s="16">
        <f t="shared" si="97"/>
        <v>0</v>
      </c>
      <c r="G1688">
        <f t="shared" si="96"/>
        <v>0</v>
      </c>
    </row>
    <row r="1689" spans="1:7" hidden="1" x14ac:dyDescent="0.25">
      <c r="A1689" s="85" t="s">
        <v>4113</v>
      </c>
      <c r="B1689" s="81" t="s">
        <v>4084</v>
      </c>
      <c r="C1689" s="26" t="s">
        <v>37</v>
      </c>
      <c r="D1689" s="14"/>
      <c r="E1689" s="15"/>
      <c r="F1689" s="16">
        <f t="shared" si="97"/>
        <v>0</v>
      </c>
      <c r="G1689">
        <f t="shared" si="96"/>
        <v>0</v>
      </c>
    </row>
    <row r="1690" spans="1:7" hidden="1" x14ac:dyDescent="0.25">
      <c r="A1690" s="85" t="s">
        <v>4114</v>
      </c>
      <c r="B1690" s="81" t="s">
        <v>4085</v>
      </c>
      <c r="C1690" s="26" t="s">
        <v>37</v>
      </c>
      <c r="D1690" s="14"/>
      <c r="E1690" s="15"/>
      <c r="F1690" s="16">
        <f t="shared" si="97"/>
        <v>0</v>
      </c>
      <c r="G1690">
        <f t="shared" si="96"/>
        <v>0</v>
      </c>
    </row>
    <row r="1691" spans="1:7" hidden="1" x14ac:dyDescent="0.25">
      <c r="A1691" s="85" t="s">
        <v>4115</v>
      </c>
      <c r="B1691" s="81" t="s">
        <v>4086</v>
      </c>
      <c r="C1691" s="26" t="s">
        <v>37</v>
      </c>
      <c r="D1691" s="14"/>
      <c r="E1691" s="15"/>
      <c r="F1691" s="16">
        <f t="shared" si="97"/>
        <v>0</v>
      </c>
      <c r="G1691">
        <f t="shared" si="96"/>
        <v>0</v>
      </c>
    </row>
    <row r="1692" spans="1:7" hidden="1" x14ac:dyDescent="0.25">
      <c r="A1692" s="85" t="s">
        <v>4116</v>
      </c>
      <c r="B1692" s="81" t="s">
        <v>4087</v>
      </c>
      <c r="C1692" s="26" t="s">
        <v>37</v>
      </c>
      <c r="D1692" s="14"/>
      <c r="E1692" s="15"/>
      <c r="F1692" s="16">
        <f t="shared" si="97"/>
        <v>0</v>
      </c>
      <c r="G1692">
        <f t="shared" si="96"/>
        <v>0</v>
      </c>
    </row>
    <row r="1693" spans="1:7" hidden="1" x14ac:dyDescent="0.25">
      <c r="A1693" s="85" t="s">
        <v>4117</v>
      </c>
      <c r="B1693" s="81" t="s">
        <v>4088</v>
      </c>
      <c r="C1693" s="26" t="s">
        <v>37</v>
      </c>
      <c r="D1693" s="14"/>
      <c r="E1693" s="15"/>
      <c r="F1693" s="16">
        <f t="shared" si="97"/>
        <v>0</v>
      </c>
      <c r="G1693">
        <f t="shared" si="96"/>
        <v>0</v>
      </c>
    </row>
    <row r="1694" spans="1:7" hidden="1" x14ac:dyDescent="0.25">
      <c r="A1694" s="85" t="s">
        <v>4118</v>
      </c>
      <c r="B1694" s="81" t="s">
        <v>4089</v>
      </c>
      <c r="C1694" s="26" t="s">
        <v>37</v>
      </c>
      <c r="D1694" s="14"/>
      <c r="E1694" s="15"/>
      <c r="F1694" s="16">
        <f t="shared" si="97"/>
        <v>0</v>
      </c>
      <c r="G1694">
        <f t="shared" si="96"/>
        <v>0</v>
      </c>
    </row>
    <row r="1695" spans="1:7" hidden="1" x14ac:dyDescent="0.25">
      <c r="A1695" s="85" t="s">
        <v>4119</v>
      </c>
      <c r="B1695" s="81" t="s">
        <v>4090</v>
      </c>
      <c r="C1695" s="26" t="s">
        <v>37</v>
      </c>
      <c r="D1695" s="14"/>
      <c r="E1695" s="15"/>
      <c r="F1695" s="16">
        <f t="shared" si="97"/>
        <v>0</v>
      </c>
      <c r="G1695">
        <f t="shared" si="96"/>
        <v>0</v>
      </c>
    </row>
    <row r="1696" spans="1:7" hidden="1" x14ac:dyDescent="0.25">
      <c r="A1696" s="85" t="s">
        <v>4120</v>
      </c>
      <c r="B1696" s="81" t="s">
        <v>4091</v>
      </c>
      <c r="C1696" s="26" t="s">
        <v>37</v>
      </c>
      <c r="D1696" s="14"/>
      <c r="E1696" s="15"/>
      <c r="F1696" s="16">
        <f t="shared" si="97"/>
        <v>0</v>
      </c>
      <c r="G1696">
        <f t="shared" si="96"/>
        <v>0</v>
      </c>
    </row>
    <row r="1697" spans="1:7" hidden="1" x14ac:dyDescent="0.25">
      <c r="A1697" s="85" t="s">
        <v>4121</v>
      </c>
      <c r="B1697" s="81" t="s">
        <v>4092</v>
      </c>
      <c r="C1697" s="26" t="s">
        <v>37</v>
      </c>
      <c r="D1697" s="14"/>
      <c r="E1697" s="15"/>
      <c r="F1697" s="16">
        <f t="shared" si="97"/>
        <v>0</v>
      </c>
      <c r="G1697">
        <f t="shared" si="96"/>
        <v>0</v>
      </c>
    </row>
    <row r="1698" spans="1:7" hidden="1" x14ac:dyDescent="0.25">
      <c r="A1698" s="85" t="s">
        <v>4122</v>
      </c>
      <c r="B1698" s="81" t="s">
        <v>4093</v>
      </c>
      <c r="C1698" s="26" t="s">
        <v>37</v>
      </c>
      <c r="D1698" s="14"/>
      <c r="E1698" s="15"/>
      <c r="F1698" s="16">
        <f t="shared" si="97"/>
        <v>0</v>
      </c>
      <c r="G1698">
        <f t="shared" si="96"/>
        <v>0</v>
      </c>
    </row>
    <row r="1699" spans="1:7" hidden="1" x14ac:dyDescent="0.25">
      <c r="A1699" s="85" t="s">
        <v>4123</v>
      </c>
      <c r="B1699" s="81" t="s">
        <v>4094</v>
      </c>
      <c r="C1699" s="26" t="s">
        <v>37</v>
      </c>
      <c r="D1699" s="14"/>
      <c r="E1699" s="15"/>
      <c r="F1699" s="16">
        <f t="shared" si="97"/>
        <v>0</v>
      </c>
      <c r="G1699">
        <f t="shared" si="96"/>
        <v>0</v>
      </c>
    </row>
    <row r="1700" spans="1:7" hidden="1" x14ac:dyDescent="0.25">
      <c r="A1700" s="85" t="s">
        <v>4124</v>
      </c>
      <c r="B1700" s="81" t="s">
        <v>4095</v>
      </c>
      <c r="C1700" s="26" t="s">
        <v>37</v>
      </c>
      <c r="D1700" s="14"/>
      <c r="E1700" s="15"/>
      <c r="F1700" s="16">
        <f t="shared" si="97"/>
        <v>0</v>
      </c>
      <c r="G1700">
        <f t="shared" ref="G1700:G1763" si="98">+IF(F1700&lt;&gt;0,1,0)</f>
        <v>0</v>
      </c>
    </row>
    <row r="1701" spans="1:7" hidden="1" x14ac:dyDescent="0.25">
      <c r="A1701" s="85" t="s">
        <v>4125</v>
      </c>
      <c r="B1701" s="81" t="s">
        <v>4096</v>
      </c>
      <c r="C1701" s="26" t="s">
        <v>37</v>
      </c>
      <c r="D1701" s="14"/>
      <c r="E1701" s="15"/>
      <c r="F1701" s="16">
        <f t="shared" si="97"/>
        <v>0</v>
      </c>
      <c r="G1701">
        <f t="shared" si="98"/>
        <v>0</v>
      </c>
    </row>
    <row r="1702" spans="1:7" hidden="1" x14ac:dyDescent="0.25">
      <c r="A1702" s="85" t="s">
        <v>4126</v>
      </c>
      <c r="B1702" s="81" t="s">
        <v>4097</v>
      </c>
      <c r="C1702" s="26" t="s">
        <v>37</v>
      </c>
      <c r="D1702" s="14"/>
      <c r="E1702" s="15"/>
      <c r="F1702" s="16">
        <f t="shared" si="97"/>
        <v>0</v>
      </c>
      <c r="G1702">
        <f t="shared" si="98"/>
        <v>0</v>
      </c>
    </row>
    <row r="1703" spans="1:7" hidden="1" x14ac:dyDescent="0.25">
      <c r="A1703" s="85" t="s">
        <v>4127</v>
      </c>
      <c r="B1703" s="81" t="s">
        <v>4098</v>
      </c>
      <c r="C1703" s="26" t="s">
        <v>37</v>
      </c>
      <c r="D1703" s="14"/>
      <c r="E1703" s="15"/>
      <c r="F1703" s="16">
        <f t="shared" si="97"/>
        <v>0</v>
      </c>
      <c r="G1703">
        <f t="shared" si="98"/>
        <v>0</v>
      </c>
    </row>
    <row r="1704" spans="1:7" hidden="1" x14ac:dyDescent="0.25">
      <c r="A1704" s="85" t="s">
        <v>4128</v>
      </c>
      <c r="B1704" s="81" t="s">
        <v>4071</v>
      </c>
      <c r="C1704" s="26" t="s">
        <v>37</v>
      </c>
      <c r="D1704" s="14"/>
      <c r="E1704" s="15"/>
      <c r="F1704" s="16">
        <f t="shared" si="97"/>
        <v>0</v>
      </c>
      <c r="G1704">
        <f t="shared" si="98"/>
        <v>0</v>
      </c>
    </row>
    <row r="1705" spans="1:7" hidden="1" x14ac:dyDescent="0.25">
      <c r="A1705" s="85" t="s">
        <v>4129</v>
      </c>
      <c r="B1705" s="81" t="s">
        <v>4072</v>
      </c>
      <c r="C1705" s="26" t="s">
        <v>37</v>
      </c>
      <c r="D1705" s="14"/>
      <c r="E1705" s="15"/>
      <c r="F1705" s="16">
        <f t="shared" si="97"/>
        <v>0</v>
      </c>
      <c r="G1705">
        <f t="shared" si="98"/>
        <v>0</v>
      </c>
    </row>
    <row r="1706" spans="1:7" hidden="1" x14ac:dyDescent="0.25">
      <c r="A1706" s="85" t="s">
        <v>4130</v>
      </c>
      <c r="B1706" s="81" t="s">
        <v>4073</v>
      </c>
      <c r="C1706" s="26" t="s">
        <v>37</v>
      </c>
      <c r="D1706" s="14"/>
      <c r="E1706" s="15"/>
      <c r="F1706" s="16">
        <f t="shared" si="97"/>
        <v>0</v>
      </c>
      <c r="G1706">
        <f t="shared" si="98"/>
        <v>0</v>
      </c>
    </row>
    <row r="1707" spans="1:7" hidden="1" x14ac:dyDescent="0.25">
      <c r="A1707" s="85" t="s">
        <v>4131</v>
      </c>
      <c r="B1707" s="81" t="s">
        <v>4074</v>
      </c>
      <c r="C1707" s="26" t="s">
        <v>37</v>
      </c>
      <c r="D1707" s="14"/>
      <c r="E1707" s="15"/>
      <c r="F1707" s="16">
        <f t="shared" si="97"/>
        <v>0</v>
      </c>
      <c r="G1707">
        <f t="shared" si="98"/>
        <v>0</v>
      </c>
    </row>
    <row r="1708" spans="1:7" hidden="1" x14ac:dyDescent="0.25">
      <c r="A1708" s="85" t="s">
        <v>4132</v>
      </c>
      <c r="B1708" s="81" t="s">
        <v>4075</v>
      </c>
      <c r="C1708" s="26" t="s">
        <v>37</v>
      </c>
      <c r="D1708" s="14"/>
      <c r="E1708" s="15"/>
      <c r="F1708" s="16">
        <f t="shared" si="97"/>
        <v>0</v>
      </c>
      <c r="G1708">
        <f t="shared" si="98"/>
        <v>0</v>
      </c>
    </row>
    <row r="1709" spans="1:7" hidden="1" x14ac:dyDescent="0.25">
      <c r="A1709" s="85" t="s">
        <v>4133</v>
      </c>
      <c r="B1709" s="81" t="s">
        <v>4047</v>
      </c>
      <c r="C1709" s="26" t="s">
        <v>37</v>
      </c>
      <c r="D1709" s="14"/>
      <c r="E1709" s="15"/>
      <c r="F1709" s="16">
        <f t="shared" si="97"/>
        <v>0</v>
      </c>
      <c r="G1709">
        <f t="shared" si="98"/>
        <v>0</v>
      </c>
    </row>
    <row r="1710" spans="1:7" hidden="1" x14ac:dyDescent="0.25">
      <c r="A1710" s="85" t="s">
        <v>4134</v>
      </c>
      <c r="B1710" s="81" t="s">
        <v>4048</v>
      </c>
      <c r="C1710" s="26" t="s">
        <v>37</v>
      </c>
      <c r="D1710" s="14"/>
      <c r="E1710" s="15"/>
      <c r="F1710" s="16">
        <f t="shared" si="97"/>
        <v>0</v>
      </c>
      <c r="G1710">
        <f t="shared" si="98"/>
        <v>0</v>
      </c>
    </row>
    <row r="1711" spans="1:7" hidden="1" x14ac:dyDescent="0.25">
      <c r="A1711" s="85" t="s">
        <v>4135</v>
      </c>
      <c r="B1711" s="81" t="s">
        <v>4049</v>
      </c>
      <c r="C1711" s="26" t="s">
        <v>37</v>
      </c>
      <c r="D1711" s="14"/>
      <c r="E1711" s="15"/>
      <c r="F1711" s="16">
        <f t="shared" si="97"/>
        <v>0</v>
      </c>
      <c r="G1711">
        <f t="shared" si="98"/>
        <v>0</v>
      </c>
    </row>
    <row r="1712" spans="1:7" hidden="1" x14ac:dyDescent="0.25">
      <c r="A1712" s="85" t="s">
        <v>4136</v>
      </c>
      <c r="B1712" s="81" t="s">
        <v>4050</v>
      </c>
      <c r="C1712" s="26" t="s">
        <v>37</v>
      </c>
      <c r="D1712" s="14"/>
      <c r="E1712" s="15"/>
      <c r="F1712" s="16">
        <f t="shared" si="97"/>
        <v>0</v>
      </c>
      <c r="G1712">
        <f t="shared" si="98"/>
        <v>0</v>
      </c>
    </row>
    <row r="1713" spans="1:7" hidden="1" x14ac:dyDescent="0.25">
      <c r="A1713" s="85" t="s">
        <v>4137</v>
      </c>
      <c r="B1713" s="81" t="s">
        <v>4064</v>
      </c>
      <c r="C1713" s="26" t="s">
        <v>37</v>
      </c>
      <c r="D1713" s="14"/>
      <c r="E1713" s="15"/>
      <c r="F1713" s="16">
        <f t="shared" si="97"/>
        <v>0</v>
      </c>
      <c r="G1713">
        <f t="shared" si="98"/>
        <v>0</v>
      </c>
    </row>
    <row r="1714" spans="1:7" hidden="1" x14ac:dyDescent="0.25">
      <c r="A1714" s="85" t="s">
        <v>4138</v>
      </c>
      <c r="B1714" s="81" t="s">
        <v>4065</v>
      </c>
      <c r="C1714" s="26" t="s">
        <v>37</v>
      </c>
      <c r="D1714" s="14"/>
      <c r="E1714" s="15"/>
      <c r="F1714" s="16">
        <f t="shared" si="97"/>
        <v>0</v>
      </c>
      <c r="G1714">
        <f t="shared" si="98"/>
        <v>0</v>
      </c>
    </row>
    <row r="1715" spans="1:7" hidden="1" x14ac:dyDescent="0.25">
      <c r="A1715" s="85" t="s">
        <v>4139</v>
      </c>
      <c r="B1715" s="81" t="s">
        <v>4066</v>
      </c>
      <c r="C1715" s="26" t="s">
        <v>37</v>
      </c>
      <c r="D1715" s="14"/>
      <c r="E1715" s="15"/>
      <c r="F1715" s="16">
        <f t="shared" si="97"/>
        <v>0</v>
      </c>
      <c r="G1715">
        <f t="shared" si="98"/>
        <v>0</v>
      </c>
    </row>
    <row r="1716" spans="1:7" hidden="1" x14ac:dyDescent="0.25">
      <c r="A1716" s="85" t="s">
        <v>4140</v>
      </c>
      <c r="B1716" s="81" t="s">
        <v>4067</v>
      </c>
      <c r="C1716" s="26" t="s">
        <v>37</v>
      </c>
      <c r="D1716" s="14"/>
      <c r="E1716" s="15"/>
      <c r="F1716" s="16">
        <f t="shared" si="97"/>
        <v>0</v>
      </c>
      <c r="G1716">
        <f t="shared" si="98"/>
        <v>0</v>
      </c>
    </row>
    <row r="1717" spans="1:7" hidden="1" x14ac:dyDescent="0.25">
      <c r="A1717" s="85" t="s">
        <v>4141</v>
      </c>
      <c r="B1717" s="81" t="s">
        <v>4068</v>
      </c>
      <c r="C1717" s="26" t="s">
        <v>37</v>
      </c>
      <c r="D1717" s="14"/>
      <c r="E1717" s="15"/>
      <c r="F1717" s="16">
        <f t="shared" si="97"/>
        <v>0</v>
      </c>
      <c r="G1717">
        <f t="shared" si="98"/>
        <v>0</v>
      </c>
    </row>
    <row r="1718" spans="1:7" hidden="1" x14ac:dyDescent="0.25">
      <c r="A1718" s="85" t="s">
        <v>4142</v>
      </c>
      <c r="B1718" s="81" t="s">
        <v>4069</v>
      </c>
      <c r="C1718" s="26" t="s">
        <v>37</v>
      </c>
      <c r="D1718" s="14"/>
      <c r="E1718" s="15"/>
      <c r="F1718" s="16">
        <f t="shared" si="97"/>
        <v>0</v>
      </c>
      <c r="G1718">
        <f t="shared" si="98"/>
        <v>0</v>
      </c>
    </row>
    <row r="1719" spans="1:7" hidden="1" x14ac:dyDescent="0.25">
      <c r="A1719" s="85" t="s">
        <v>4143</v>
      </c>
      <c r="B1719" s="81" t="s">
        <v>4070</v>
      </c>
      <c r="C1719" s="26" t="s">
        <v>37</v>
      </c>
      <c r="D1719" s="14"/>
      <c r="E1719" s="15"/>
      <c r="F1719" s="16">
        <f t="shared" si="97"/>
        <v>0</v>
      </c>
      <c r="G1719">
        <f t="shared" si="98"/>
        <v>0</v>
      </c>
    </row>
    <row r="1720" spans="1:7" hidden="1" x14ac:dyDescent="0.25">
      <c r="A1720" s="85" t="s">
        <v>4144</v>
      </c>
      <c r="B1720" s="81" t="s">
        <v>4051</v>
      </c>
      <c r="C1720" s="26" t="s">
        <v>37</v>
      </c>
      <c r="D1720" s="14"/>
      <c r="E1720" s="15"/>
      <c r="F1720" s="16">
        <f t="shared" si="97"/>
        <v>0</v>
      </c>
      <c r="G1720">
        <f t="shared" si="98"/>
        <v>0</v>
      </c>
    </row>
    <row r="1721" spans="1:7" hidden="1" x14ac:dyDescent="0.25">
      <c r="A1721" s="85" t="s">
        <v>4145</v>
      </c>
      <c r="B1721" s="81" t="s">
        <v>4052</v>
      </c>
      <c r="C1721" s="26" t="s">
        <v>37</v>
      </c>
      <c r="D1721" s="14"/>
      <c r="E1721" s="15"/>
      <c r="F1721" s="16">
        <f t="shared" si="97"/>
        <v>0</v>
      </c>
      <c r="G1721">
        <f t="shared" si="98"/>
        <v>0</v>
      </c>
    </row>
    <row r="1722" spans="1:7" hidden="1" x14ac:dyDescent="0.25">
      <c r="A1722" s="85" t="s">
        <v>4146</v>
      </c>
      <c r="B1722" s="81" t="s">
        <v>4053</v>
      </c>
      <c r="C1722" s="26" t="s">
        <v>37</v>
      </c>
      <c r="D1722" s="14"/>
      <c r="E1722" s="15"/>
      <c r="F1722" s="16">
        <f t="shared" si="97"/>
        <v>0</v>
      </c>
      <c r="G1722">
        <f t="shared" si="98"/>
        <v>0</v>
      </c>
    </row>
    <row r="1723" spans="1:7" hidden="1" x14ac:dyDescent="0.25">
      <c r="A1723" s="85" t="s">
        <v>4147</v>
      </c>
      <c r="B1723" s="81" t="s">
        <v>4054</v>
      </c>
      <c r="C1723" s="26" t="s">
        <v>37</v>
      </c>
      <c r="D1723" s="14"/>
      <c r="E1723" s="15"/>
      <c r="F1723" s="16">
        <f t="shared" si="97"/>
        <v>0</v>
      </c>
      <c r="G1723">
        <f t="shared" si="98"/>
        <v>0</v>
      </c>
    </row>
    <row r="1724" spans="1:7" hidden="1" x14ac:dyDescent="0.25">
      <c r="A1724" s="85" t="s">
        <v>4148</v>
      </c>
      <c r="B1724" s="81" t="s">
        <v>4055</v>
      </c>
      <c r="C1724" s="26" t="s">
        <v>37</v>
      </c>
      <c r="D1724" s="14"/>
      <c r="E1724" s="15"/>
      <c r="F1724" s="16">
        <f t="shared" si="97"/>
        <v>0</v>
      </c>
      <c r="G1724">
        <f t="shared" si="98"/>
        <v>0</v>
      </c>
    </row>
    <row r="1725" spans="1:7" hidden="1" x14ac:dyDescent="0.25">
      <c r="A1725" s="85" t="s">
        <v>4149</v>
      </c>
      <c r="B1725" s="81" t="s">
        <v>4056</v>
      </c>
      <c r="C1725" s="26" t="s">
        <v>37</v>
      </c>
      <c r="D1725" s="14"/>
      <c r="E1725" s="15"/>
      <c r="F1725" s="16">
        <f t="shared" si="97"/>
        <v>0</v>
      </c>
      <c r="G1725">
        <f t="shared" si="98"/>
        <v>0</v>
      </c>
    </row>
    <row r="1726" spans="1:7" hidden="1" x14ac:dyDescent="0.25">
      <c r="A1726" s="85" t="s">
        <v>4150</v>
      </c>
      <c r="B1726" s="81" t="s">
        <v>4057</v>
      </c>
      <c r="C1726" s="26" t="s">
        <v>37</v>
      </c>
      <c r="D1726" s="14"/>
      <c r="E1726" s="15"/>
      <c r="F1726" s="16">
        <f t="shared" si="97"/>
        <v>0</v>
      </c>
      <c r="G1726">
        <f t="shared" si="98"/>
        <v>0</v>
      </c>
    </row>
    <row r="1727" spans="1:7" hidden="1" x14ac:dyDescent="0.25">
      <c r="A1727" s="85" t="s">
        <v>4151</v>
      </c>
      <c r="B1727" s="81" t="s">
        <v>4058</v>
      </c>
      <c r="C1727" s="26" t="s">
        <v>37</v>
      </c>
      <c r="D1727" s="14"/>
      <c r="E1727" s="15"/>
      <c r="F1727" s="16">
        <f t="shared" si="97"/>
        <v>0</v>
      </c>
      <c r="G1727">
        <f t="shared" si="98"/>
        <v>0</v>
      </c>
    </row>
    <row r="1728" spans="1:7" hidden="1" x14ac:dyDescent="0.25">
      <c r="A1728" s="85" t="s">
        <v>4152</v>
      </c>
      <c r="B1728" s="81" t="s">
        <v>4059</v>
      </c>
      <c r="C1728" s="26" t="s">
        <v>37</v>
      </c>
      <c r="D1728" s="14"/>
      <c r="E1728" s="15"/>
      <c r="F1728" s="16">
        <f t="shared" si="97"/>
        <v>0</v>
      </c>
      <c r="G1728">
        <f t="shared" si="98"/>
        <v>0</v>
      </c>
    </row>
    <row r="1729" spans="1:7" hidden="1" x14ac:dyDescent="0.25">
      <c r="A1729" s="85" t="s">
        <v>4153</v>
      </c>
      <c r="B1729" s="81" t="s">
        <v>4060</v>
      </c>
      <c r="C1729" s="26" t="s">
        <v>37</v>
      </c>
      <c r="D1729" s="14"/>
      <c r="E1729" s="15"/>
      <c r="F1729" s="16">
        <f t="shared" si="97"/>
        <v>0</v>
      </c>
      <c r="G1729">
        <f t="shared" si="98"/>
        <v>0</v>
      </c>
    </row>
    <row r="1730" spans="1:7" hidden="1" x14ac:dyDescent="0.25">
      <c r="A1730" s="85" t="s">
        <v>4154</v>
      </c>
      <c r="B1730" s="81" t="s">
        <v>4061</v>
      </c>
      <c r="C1730" s="26" t="s">
        <v>37</v>
      </c>
      <c r="D1730" s="14"/>
      <c r="E1730" s="15"/>
      <c r="F1730" s="16">
        <f t="shared" si="97"/>
        <v>0</v>
      </c>
      <c r="G1730">
        <f t="shared" si="98"/>
        <v>0</v>
      </c>
    </row>
    <row r="1731" spans="1:7" hidden="1" x14ac:dyDescent="0.25">
      <c r="A1731" s="85" t="s">
        <v>4155</v>
      </c>
      <c r="B1731" s="81" t="s">
        <v>4062</v>
      </c>
      <c r="C1731" s="26" t="s">
        <v>37</v>
      </c>
      <c r="D1731" s="14"/>
      <c r="E1731" s="15"/>
      <c r="F1731" s="16">
        <f t="shared" si="97"/>
        <v>0</v>
      </c>
      <c r="G1731">
        <f t="shared" si="98"/>
        <v>0</v>
      </c>
    </row>
    <row r="1732" spans="1:7" hidden="1" x14ac:dyDescent="0.25">
      <c r="A1732" s="85" t="s">
        <v>4156</v>
      </c>
      <c r="B1732" s="81" t="s">
        <v>4063</v>
      </c>
      <c r="C1732" s="26" t="s">
        <v>37</v>
      </c>
      <c r="D1732" s="14"/>
      <c r="E1732" s="15"/>
      <c r="F1732" s="16">
        <f t="shared" si="97"/>
        <v>0</v>
      </c>
      <c r="G1732">
        <f t="shared" si="98"/>
        <v>0</v>
      </c>
    </row>
    <row r="1733" spans="1:7" hidden="1" x14ac:dyDescent="0.25">
      <c r="A1733" s="85" t="s">
        <v>4157</v>
      </c>
      <c r="B1733" s="81" t="s">
        <v>4046</v>
      </c>
      <c r="C1733" s="26" t="s">
        <v>37</v>
      </c>
      <c r="D1733" s="14"/>
      <c r="E1733" s="15"/>
      <c r="F1733" s="16">
        <f t="shared" si="97"/>
        <v>0</v>
      </c>
      <c r="G1733">
        <f t="shared" si="98"/>
        <v>0</v>
      </c>
    </row>
    <row r="1734" spans="1:7" hidden="1" x14ac:dyDescent="0.25">
      <c r="A1734" s="85" t="s">
        <v>4158</v>
      </c>
      <c r="B1734" s="81" t="s">
        <v>4045</v>
      </c>
      <c r="C1734" s="26" t="s">
        <v>37</v>
      </c>
      <c r="D1734" s="14"/>
      <c r="E1734" s="15"/>
      <c r="F1734" s="16">
        <f t="shared" si="97"/>
        <v>0</v>
      </c>
      <c r="G1734">
        <f t="shared" si="98"/>
        <v>0</v>
      </c>
    </row>
    <row r="1735" spans="1:7" hidden="1" x14ac:dyDescent="0.25">
      <c r="A1735" s="85" t="s">
        <v>551</v>
      </c>
      <c r="B1735" s="79" t="s">
        <v>4159</v>
      </c>
      <c r="C1735" s="26"/>
      <c r="D1735" s="14"/>
      <c r="E1735" s="15"/>
      <c r="F1735" s="16"/>
      <c r="G1735">
        <f t="shared" si="98"/>
        <v>0</v>
      </c>
    </row>
    <row r="1736" spans="1:7" hidden="1" x14ac:dyDescent="0.25">
      <c r="A1736" s="85" t="s">
        <v>553</v>
      </c>
      <c r="B1736" s="81" t="s">
        <v>4160</v>
      </c>
      <c r="C1736" s="26" t="s">
        <v>37</v>
      </c>
      <c r="D1736" s="14"/>
      <c r="E1736" s="15"/>
      <c r="F1736" s="16">
        <f t="shared" si="97"/>
        <v>0</v>
      </c>
      <c r="G1736">
        <f t="shared" si="98"/>
        <v>0</v>
      </c>
    </row>
    <row r="1737" spans="1:7" hidden="1" x14ac:dyDescent="0.25">
      <c r="A1737" s="85" t="s">
        <v>554</v>
      </c>
      <c r="B1737" s="81" t="s">
        <v>4161</v>
      </c>
      <c r="C1737" s="26" t="s">
        <v>37</v>
      </c>
      <c r="D1737" s="14"/>
      <c r="E1737" s="15"/>
      <c r="F1737" s="16">
        <f t="shared" si="97"/>
        <v>0</v>
      </c>
      <c r="G1737">
        <f t="shared" si="98"/>
        <v>0</v>
      </c>
    </row>
    <row r="1738" spans="1:7" hidden="1" x14ac:dyDescent="0.25">
      <c r="A1738" s="85" t="s">
        <v>555</v>
      </c>
      <c r="B1738" s="81" t="s">
        <v>4162</v>
      </c>
      <c r="C1738" s="26" t="s">
        <v>37</v>
      </c>
      <c r="D1738" s="14"/>
      <c r="E1738" s="15"/>
      <c r="F1738" s="16">
        <f t="shared" si="97"/>
        <v>0</v>
      </c>
      <c r="G1738">
        <f t="shared" si="98"/>
        <v>0</v>
      </c>
    </row>
    <row r="1739" spans="1:7" hidden="1" x14ac:dyDescent="0.25">
      <c r="A1739" s="85" t="s">
        <v>556</v>
      </c>
      <c r="B1739" s="81" t="s">
        <v>4163</v>
      </c>
      <c r="C1739" s="26" t="s">
        <v>37</v>
      </c>
      <c r="D1739" s="14"/>
      <c r="E1739" s="15"/>
      <c r="F1739" s="16">
        <f t="shared" si="97"/>
        <v>0</v>
      </c>
      <c r="G1739">
        <f t="shared" si="98"/>
        <v>0</v>
      </c>
    </row>
    <row r="1740" spans="1:7" hidden="1" x14ac:dyDescent="0.25">
      <c r="A1740" s="85" t="s">
        <v>557</v>
      </c>
      <c r="B1740" s="81" t="s">
        <v>4164</v>
      </c>
      <c r="C1740" s="26" t="s">
        <v>37</v>
      </c>
      <c r="D1740" s="14"/>
      <c r="E1740" s="15"/>
      <c r="F1740" s="16">
        <f t="shared" ref="F1740:F1803" si="99">+D1740*E1740</f>
        <v>0</v>
      </c>
      <c r="G1740">
        <f t="shared" si="98"/>
        <v>0</v>
      </c>
    </row>
    <row r="1741" spans="1:7" hidden="1" x14ac:dyDescent="0.25">
      <c r="A1741" s="85" t="s">
        <v>558</v>
      </c>
      <c r="B1741" s="81" t="s">
        <v>4165</v>
      </c>
      <c r="C1741" s="26" t="s">
        <v>37</v>
      </c>
      <c r="D1741" s="14"/>
      <c r="E1741" s="15"/>
      <c r="F1741" s="16">
        <f t="shared" si="99"/>
        <v>0</v>
      </c>
      <c r="G1741">
        <f t="shared" si="98"/>
        <v>0</v>
      </c>
    </row>
    <row r="1742" spans="1:7" hidden="1" x14ac:dyDescent="0.25">
      <c r="A1742" s="85" t="s">
        <v>559</v>
      </c>
      <c r="B1742" s="81" t="s">
        <v>4166</v>
      </c>
      <c r="C1742" s="26" t="s">
        <v>37</v>
      </c>
      <c r="D1742" s="14"/>
      <c r="E1742" s="15"/>
      <c r="F1742" s="16">
        <f t="shared" si="99"/>
        <v>0</v>
      </c>
      <c r="G1742">
        <f t="shared" si="98"/>
        <v>0</v>
      </c>
    </row>
    <row r="1743" spans="1:7" hidden="1" x14ac:dyDescent="0.25">
      <c r="A1743" s="85" t="s">
        <v>4219</v>
      </c>
      <c r="B1743" s="81" t="s">
        <v>4167</v>
      </c>
      <c r="C1743" s="26" t="s">
        <v>37</v>
      </c>
      <c r="D1743" s="14"/>
      <c r="E1743" s="15"/>
      <c r="F1743" s="16">
        <f t="shared" si="99"/>
        <v>0</v>
      </c>
      <c r="G1743">
        <f t="shared" si="98"/>
        <v>0</v>
      </c>
    </row>
    <row r="1744" spans="1:7" hidden="1" x14ac:dyDescent="0.25">
      <c r="A1744" s="85" t="s">
        <v>4220</v>
      </c>
      <c r="B1744" s="81" t="s">
        <v>4168</v>
      </c>
      <c r="C1744" s="26" t="s">
        <v>37</v>
      </c>
      <c r="D1744" s="14"/>
      <c r="E1744" s="15"/>
      <c r="F1744" s="16">
        <f t="shared" si="99"/>
        <v>0</v>
      </c>
      <c r="G1744">
        <f t="shared" si="98"/>
        <v>0</v>
      </c>
    </row>
    <row r="1745" spans="1:7" hidden="1" x14ac:dyDescent="0.25">
      <c r="A1745" s="85" t="s">
        <v>4221</v>
      </c>
      <c r="B1745" s="81" t="s">
        <v>4169</v>
      </c>
      <c r="C1745" s="26" t="s">
        <v>37</v>
      </c>
      <c r="D1745" s="14"/>
      <c r="E1745" s="15"/>
      <c r="F1745" s="16">
        <f t="shared" si="99"/>
        <v>0</v>
      </c>
      <c r="G1745">
        <f t="shared" si="98"/>
        <v>0</v>
      </c>
    </row>
    <row r="1746" spans="1:7" hidden="1" x14ac:dyDescent="0.25">
      <c r="A1746" s="85" t="s">
        <v>4222</v>
      </c>
      <c r="B1746" s="81" t="s">
        <v>4170</v>
      </c>
      <c r="C1746" s="26" t="s">
        <v>37</v>
      </c>
      <c r="D1746" s="14"/>
      <c r="E1746" s="15"/>
      <c r="F1746" s="16">
        <f t="shared" si="99"/>
        <v>0</v>
      </c>
      <c r="G1746">
        <f t="shared" si="98"/>
        <v>0</v>
      </c>
    </row>
    <row r="1747" spans="1:7" hidden="1" x14ac:dyDescent="0.25">
      <c r="A1747" s="85" t="s">
        <v>4223</v>
      </c>
      <c r="B1747" s="81" t="s">
        <v>4171</v>
      </c>
      <c r="C1747" s="26" t="s">
        <v>37</v>
      </c>
      <c r="D1747" s="14"/>
      <c r="E1747" s="15"/>
      <c r="F1747" s="16">
        <f t="shared" si="99"/>
        <v>0</v>
      </c>
      <c r="G1747">
        <f t="shared" si="98"/>
        <v>0</v>
      </c>
    </row>
    <row r="1748" spans="1:7" hidden="1" x14ac:dyDescent="0.25">
      <c r="A1748" s="85" t="s">
        <v>4224</v>
      </c>
      <c r="B1748" s="81" t="s">
        <v>4172</v>
      </c>
      <c r="C1748" s="26" t="s">
        <v>37</v>
      </c>
      <c r="D1748" s="14"/>
      <c r="E1748" s="15"/>
      <c r="F1748" s="16">
        <f t="shared" si="99"/>
        <v>0</v>
      </c>
      <c r="G1748">
        <f t="shared" si="98"/>
        <v>0</v>
      </c>
    </row>
    <row r="1749" spans="1:7" hidden="1" x14ac:dyDescent="0.25">
      <c r="A1749" s="85" t="s">
        <v>4225</v>
      </c>
      <c r="B1749" s="81" t="s">
        <v>4173</v>
      </c>
      <c r="C1749" s="26" t="s">
        <v>37</v>
      </c>
      <c r="D1749" s="14"/>
      <c r="E1749" s="15"/>
      <c r="F1749" s="16">
        <f t="shared" si="99"/>
        <v>0</v>
      </c>
      <c r="G1749">
        <f t="shared" si="98"/>
        <v>0</v>
      </c>
    </row>
    <row r="1750" spans="1:7" hidden="1" x14ac:dyDescent="0.25">
      <c r="A1750" s="85" t="s">
        <v>4226</v>
      </c>
      <c r="B1750" s="81" t="s">
        <v>4174</v>
      </c>
      <c r="C1750" s="26" t="s">
        <v>37</v>
      </c>
      <c r="D1750" s="14"/>
      <c r="E1750" s="15"/>
      <c r="F1750" s="16">
        <f t="shared" si="99"/>
        <v>0</v>
      </c>
      <c r="G1750">
        <f t="shared" si="98"/>
        <v>0</v>
      </c>
    </row>
    <row r="1751" spans="1:7" hidden="1" x14ac:dyDescent="0.25">
      <c r="A1751" s="85" t="s">
        <v>4227</v>
      </c>
      <c r="B1751" s="81" t="s">
        <v>4175</v>
      </c>
      <c r="C1751" s="26" t="s">
        <v>37</v>
      </c>
      <c r="D1751" s="14"/>
      <c r="E1751" s="15"/>
      <c r="F1751" s="16">
        <f t="shared" si="99"/>
        <v>0</v>
      </c>
      <c r="G1751">
        <f t="shared" si="98"/>
        <v>0</v>
      </c>
    </row>
    <row r="1752" spans="1:7" hidden="1" x14ac:dyDescent="0.25">
      <c r="A1752" s="85" t="s">
        <v>4228</v>
      </c>
      <c r="B1752" s="81" t="s">
        <v>4176</v>
      </c>
      <c r="C1752" s="26" t="s">
        <v>37</v>
      </c>
      <c r="D1752" s="14"/>
      <c r="E1752" s="15"/>
      <c r="F1752" s="16">
        <f t="shared" si="99"/>
        <v>0</v>
      </c>
      <c r="G1752">
        <f t="shared" si="98"/>
        <v>0</v>
      </c>
    </row>
    <row r="1753" spans="1:7" hidden="1" x14ac:dyDescent="0.25">
      <c r="A1753" s="85" t="s">
        <v>4229</v>
      </c>
      <c r="B1753" s="81" t="s">
        <v>4177</v>
      </c>
      <c r="C1753" s="26" t="s">
        <v>37</v>
      </c>
      <c r="D1753" s="14"/>
      <c r="E1753" s="15"/>
      <c r="F1753" s="16">
        <f t="shared" si="99"/>
        <v>0</v>
      </c>
      <c r="G1753">
        <f t="shared" si="98"/>
        <v>0</v>
      </c>
    </row>
    <row r="1754" spans="1:7" hidden="1" x14ac:dyDescent="0.25">
      <c r="A1754" s="85" t="s">
        <v>4230</v>
      </c>
      <c r="B1754" s="81" t="s">
        <v>4178</v>
      </c>
      <c r="C1754" s="26" t="s">
        <v>37</v>
      </c>
      <c r="D1754" s="14"/>
      <c r="E1754" s="15"/>
      <c r="F1754" s="16">
        <f t="shared" si="99"/>
        <v>0</v>
      </c>
      <c r="G1754">
        <f t="shared" si="98"/>
        <v>0</v>
      </c>
    </row>
    <row r="1755" spans="1:7" hidden="1" x14ac:dyDescent="0.25">
      <c r="A1755" s="85" t="s">
        <v>4231</v>
      </c>
      <c r="B1755" s="81" t="s">
        <v>4179</v>
      </c>
      <c r="C1755" s="26" t="s">
        <v>37</v>
      </c>
      <c r="D1755" s="14"/>
      <c r="E1755" s="15"/>
      <c r="F1755" s="16">
        <f t="shared" si="99"/>
        <v>0</v>
      </c>
      <c r="G1755">
        <f t="shared" si="98"/>
        <v>0</v>
      </c>
    </row>
    <row r="1756" spans="1:7" hidden="1" x14ac:dyDescent="0.25">
      <c r="A1756" s="85" t="s">
        <v>4232</v>
      </c>
      <c r="B1756" s="81" t="s">
        <v>4180</v>
      </c>
      <c r="C1756" s="26" t="s">
        <v>37</v>
      </c>
      <c r="D1756" s="14"/>
      <c r="E1756" s="15"/>
      <c r="F1756" s="16">
        <f t="shared" si="99"/>
        <v>0</v>
      </c>
      <c r="G1756">
        <f t="shared" si="98"/>
        <v>0</v>
      </c>
    </row>
    <row r="1757" spans="1:7" hidden="1" x14ac:dyDescent="0.25">
      <c r="A1757" s="85" t="s">
        <v>4233</v>
      </c>
      <c r="B1757" s="81" t="s">
        <v>4181</v>
      </c>
      <c r="C1757" s="26" t="s">
        <v>37</v>
      </c>
      <c r="D1757" s="14"/>
      <c r="E1757" s="15"/>
      <c r="F1757" s="16">
        <f t="shared" si="99"/>
        <v>0</v>
      </c>
      <c r="G1757">
        <f t="shared" si="98"/>
        <v>0</v>
      </c>
    </row>
    <row r="1758" spans="1:7" hidden="1" x14ac:dyDescent="0.25">
      <c r="A1758" s="85" t="s">
        <v>4234</v>
      </c>
      <c r="B1758" s="81" t="s">
        <v>4182</v>
      </c>
      <c r="C1758" s="26" t="s">
        <v>37</v>
      </c>
      <c r="D1758" s="14"/>
      <c r="E1758" s="15"/>
      <c r="F1758" s="16">
        <f t="shared" si="99"/>
        <v>0</v>
      </c>
      <c r="G1758">
        <f t="shared" si="98"/>
        <v>0</v>
      </c>
    </row>
    <row r="1759" spans="1:7" hidden="1" x14ac:dyDescent="0.25">
      <c r="A1759" s="85" t="s">
        <v>4235</v>
      </c>
      <c r="B1759" s="81" t="s">
        <v>4183</v>
      </c>
      <c r="C1759" s="26" t="s">
        <v>37</v>
      </c>
      <c r="D1759" s="14"/>
      <c r="E1759" s="15"/>
      <c r="F1759" s="16">
        <f t="shared" si="99"/>
        <v>0</v>
      </c>
      <c r="G1759">
        <f t="shared" si="98"/>
        <v>0</v>
      </c>
    </row>
    <row r="1760" spans="1:7" hidden="1" x14ac:dyDescent="0.25">
      <c r="A1760" s="85" t="s">
        <v>4236</v>
      </c>
      <c r="B1760" s="81" t="s">
        <v>4184</v>
      </c>
      <c r="C1760" s="26" t="s">
        <v>37</v>
      </c>
      <c r="D1760" s="14"/>
      <c r="E1760" s="15"/>
      <c r="F1760" s="16">
        <f t="shared" si="99"/>
        <v>0</v>
      </c>
      <c r="G1760">
        <f t="shared" si="98"/>
        <v>0</v>
      </c>
    </row>
    <row r="1761" spans="1:7" hidden="1" x14ac:dyDescent="0.25">
      <c r="A1761" s="85" t="s">
        <v>4237</v>
      </c>
      <c r="B1761" s="81" t="s">
        <v>4185</v>
      </c>
      <c r="C1761" s="26" t="s">
        <v>37</v>
      </c>
      <c r="D1761" s="14"/>
      <c r="E1761" s="15"/>
      <c r="F1761" s="16">
        <f t="shared" si="99"/>
        <v>0</v>
      </c>
      <c r="G1761">
        <f t="shared" si="98"/>
        <v>0</v>
      </c>
    </row>
    <row r="1762" spans="1:7" hidden="1" x14ac:dyDescent="0.25">
      <c r="A1762" s="85" t="s">
        <v>4238</v>
      </c>
      <c r="B1762" s="81" t="s">
        <v>4186</v>
      </c>
      <c r="C1762" s="26" t="s">
        <v>37</v>
      </c>
      <c r="D1762" s="14"/>
      <c r="E1762" s="15"/>
      <c r="F1762" s="16">
        <f t="shared" si="99"/>
        <v>0</v>
      </c>
      <c r="G1762">
        <f t="shared" si="98"/>
        <v>0</v>
      </c>
    </row>
    <row r="1763" spans="1:7" hidden="1" x14ac:dyDescent="0.25">
      <c r="A1763" s="85" t="s">
        <v>4239</v>
      </c>
      <c r="B1763" s="81" t="s">
        <v>4187</v>
      </c>
      <c r="C1763" s="26" t="s">
        <v>37</v>
      </c>
      <c r="D1763" s="14"/>
      <c r="E1763" s="15"/>
      <c r="F1763" s="16">
        <f t="shared" si="99"/>
        <v>0</v>
      </c>
      <c r="G1763">
        <f t="shared" si="98"/>
        <v>0</v>
      </c>
    </row>
    <row r="1764" spans="1:7" hidden="1" x14ac:dyDescent="0.25">
      <c r="A1764" s="85" t="s">
        <v>4240</v>
      </c>
      <c r="B1764" s="81" t="s">
        <v>4188</v>
      </c>
      <c r="C1764" s="26" t="s">
        <v>37</v>
      </c>
      <c r="D1764" s="14"/>
      <c r="E1764" s="15"/>
      <c r="F1764" s="16">
        <f t="shared" si="99"/>
        <v>0</v>
      </c>
      <c r="G1764">
        <f t="shared" ref="G1764:G1827" si="100">+IF(F1764&lt;&gt;0,1,0)</f>
        <v>0</v>
      </c>
    </row>
    <row r="1765" spans="1:7" hidden="1" x14ac:dyDescent="0.25">
      <c r="A1765" s="85" t="s">
        <v>4241</v>
      </c>
      <c r="B1765" s="81" t="s">
        <v>4189</v>
      </c>
      <c r="C1765" s="26" t="s">
        <v>37</v>
      </c>
      <c r="D1765" s="14"/>
      <c r="E1765" s="15"/>
      <c r="F1765" s="16">
        <f t="shared" si="99"/>
        <v>0</v>
      </c>
      <c r="G1765">
        <f t="shared" si="100"/>
        <v>0</v>
      </c>
    </row>
    <row r="1766" spans="1:7" hidden="1" x14ac:dyDescent="0.25">
      <c r="A1766" s="85" t="s">
        <v>4242</v>
      </c>
      <c r="B1766" s="81" t="s">
        <v>4190</v>
      </c>
      <c r="C1766" s="26" t="s">
        <v>37</v>
      </c>
      <c r="D1766" s="14"/>
      <c r="E1766" s="15"/>
      <c r="F1766" s="16">
        <f t="shared" si="99"/>
        <v>0</v>
      </c>
      <c r="G1766">
        <f t="shared" si="100"/>
        <v>0</v>
      </c>
    </row>
    <row r="1767" spans="1:7" hidden="1" x14ac:dyDescent="0.25">
      <c r="A1767" s="85" t="s">
        <v>4243</v>
      </c>
      <c r="B1767" s="81" t="s">
        <v>4191</v>
      </c>
      <c r="C1767" s="26" t="s">
        <v>37</v>
      </c>
      <c r="D1767" s="14"/>
      <c r="E1767" s="15"/>
      <c r="F1767" s="16">
        <f t="shared" si="99"/>
        <v>0</v>
      </c>
      <c r="G1767">
        <f t="shared" si="100"/>
        <v>0</v>
      </c>
    </row>
    <row r="1768" spans="1:7" hidden="1" x14ac:dyDescent="0.25">
      <c r="A1768" s="85" t="s">
        <v>4244</v>
      </c>
      <c r="B1768" s="81" t="s">
        <v>4192</v>
      </c>
      <c r="C1768" s="26" t="s">
        <v>37</v>
      </c>
      <c r="D1768" s="14"/>
      <c r="E1768" s="15"/>
      <c r="F1768" s="16">
        <f t="shared" si="99"/>
        <v>0</v>
      </c>
      <c r="G1768">
        <f t="shared" si="100"/>
        <v>0</v>
      </c>
    </row>
    <row r="1769" spans="1:7" hidden="1" x14ac:dyDescent="0.25">
      <c r="A1769" s="85" t="s">
        <v>4245</v>
      </c>
      <c r="B1769" s="81" t="s">
        <v>4193</v>
      </c>
      <c r="C1769" s="26" t="s">
        <v>37</v>
      </c>
      <c r="D1769" s="14"/>
      <c r="E1769" s="15"/>
      <c r="F1769" s="16">
        <f t="shared" si="99"/>
        <v>0</v>
      </c>
      <c r="G1769">
        <f t="shared" si="100"/>
        <v>0</v>
      </c>
    </row>
    <row r="1770" spans="1:7" hidden="1" x14ac:dyDescent="0.25">
      <c r="A1770" s="85" t="s">
        <v>4246</v>
      </c>
      <c r="B1770" s="81" t="s">
        <v>4194</v>
      </c>
      <c r="C1770" s="26" t="s">
        <v>37</v>
      </c>
      <c r="D1770" s="14"/>
      <c r="E1770" s="15"/>
      <c r="F1770" s="16">
        <f t="shared" si="99"/>
        <v>0</v>
      </c>
      <c r="G1770">
        <f t="shared" si="100"/>
        <v>0</v>
      </c>
    </row>
    <row r="1771" spans="1:7" hidden="1" x14ac:dyDescent="0.25">
      <c r="A1771" s="85" t="s">
        <v>4247</v>
      </c>
      <c r="B1771" s="81" t="s">
        <v>4195</v>
      </c>
      <c r="C1771" s="26" t="s">
        <v>37</v>
      </c>
      <c r="D1771" s="14"/>
      <c r="E1771" s="15"/>
      <c r="F1771" s="16">
        <f t="shared" si="99"/>
        <v>0</v>
      </c>
      <c r="G1771">
        <f t="shared" si="100"/>
        <v>0</v>
      </c>
    </row>
    <row r="1772" spans="1:7" hidden="1" x14ac:dyDescent="0.25">
      <c r="A1772" s="85" t="s">
        <v>4248</v>
      </c>
      <c r="B1772" s="81" t="s">
        <v>4196</v>
      </c>
      <c r="C1772" s="26" t="s">
        <v>37</v>
      </c>
      <c r="D1772" s="14"/>
      <c r="E1772" s="15"/>
      <c r="F1772" s="16">
        <f t="shared" si="99"/>
        <v>0</v>
      </c>
      <c r="G1772">
        <f t="shared" si="100"/>
        <v>0</v>
      </c>
    </row>
    <row r="1773" spans="1:7" hidden="1" x14ac:dyDescent="0.25">
      <c r="A1773" s="85" t="s">
        <v>4249</v>
      </c>
      <c r="B1773" s="81" t="s">
        <v>4197</v>
      </c>
      <c r="C1773" s="26" t="s">
        <v>37</v>
      </c>
      <c r="D1773" s="14"/>
      <c r="E1773" s="15"/>
      <c r="F1773" s="16">
        <f t="shared" si="99"/>
        <v>0</v>
      </c>
      <c r="G1773">
        <f t="shared" si="100"/>
        <v>0</v>
      </c>
    </row>
    <row r="1774" spans="1:7" hidden="1" x14ac:dyDescent="0.25">
      <c r="A1774" s="85" t="s">
        <v>4250</v>
      </c>
      <c r="B1774" s="81" t="s">
        <v>4198</v>
      </c>
      <c r="C1774" s="26" t="s">
        <v>37</v>
      </c>
      <c r="D1774" s="14"/>
      <c r="E1774" s="15"/>
      <c r="F1774" s="16">
        <f t="shared" si="99"/>
        <v>0</v>
      </c>
      <c r="G1774">
        <f t="shared" si="100"/>
        <v>0</v>
      </c>
    </row>
    <row r="1775" spans="1:7" hidden="1" x14ac:dyDescent="0.25">
      <c r="A1775" s="85" t="s">
        <v>4251</v>
      </c>
      <c r="B1775" s="81" t="s">
        <v>4199</v>
      </c>
      <c r="C1775" s="26" t="s">
        <v>37</v>
      </c>
      <c r="D1775" s="14"/>
      <c r="E1775" s="15"/>
      <c r="F1775" s="16">
        <f t="shared" si="99"/>
        <v>0</v>
      </c>
      <c r="G1775">
        <f t="shared" si="100"/>
        <v>0</v>
      </c>
    </row>
    <row r="1776" spans="1:7" hidden="1" x14ac:dyDescent="0.25">
      <c r="A1776" s="85" t="s">
        <v>4252</v>
      </c>
      <c r="B1776" s="81" t="s">
        <v>4200</v>
      </c>
      <c r="C1776" s="26" t="s">
        <v>37</v>
      </c>
      <c r="D1776" s="14"/>
      <c r="E1776" s="15"/>
      <c r="F1776" s="16">
        <f t="shared" si="99"/>
        <v>0</v>
      </c>
      <c r="G1776">
        <f t="shared" si="100"/>
        <v>0</v>
      </c>
    </row>
    <row r="1777" spans="1:7" hidden="1" x14ac:dyDescent="0.25">
      <c r="A1777" s="85" t="s">
        <v>4253</v>
      </c>
      <c r="B1777" s="81" t="s">
        <v>4201</v>
      </c>
      <c r="C1777" s="26" t="s">
        <v>37</v>
      </c>
      <c r="D1777" s="14"/>
      <c r="E1777" s="15"/>
      <c r="F1777" s="16">
        <f t="shared" si="99"/>
        <v>0</v>
      </c>
      <c r="G1777">
        <f t="shared" si="100"/>
        <v>0</v>
      </c>
    </row>
    <row r="1778" spans="1:7" hidden="1" x14ac:dyDescent="0.25">
      <c r="A1778" s="85" t="s">
        <v>4254</v>
      </c>
      <c r="B1778" s="81" t="s">
        <v>4202</v>
      </c>
      <c r="C1778" s="26" t="s">
        <v>37</v>
      </c>
      <c r="D1778" s="14"/>
      <c r="E1778" s="15"/>
      <c r="F1778" s="16">
        <f t="shared" si="99"/>
        <v>0</v>
      </c>
      <c r="G1778">
        <f t="shared" si="100"/>
        <v>0</v>
      </c>
    </row>
    <row r="1779" spans="1:7" hidden="1" x14ac:dyDescent="0.25">
      <c r="A1779" s="85" t="s">
        <v>4255</v>
      </c>
      <c r="B1779" s="81" t="s">
        <v>4203</v>
      </c>
      <c r="C1779" s="26" t="s">
        <v>37</v>
      </c>
      <c r="D1779" s="14"/>
      <c r="E1779" s="15"/>
      <c r="F1779" s="16">
        <f t="shared" si="99"/>
        <v>0</v>
      </c>
      <c r="G1779">
        <f t="shared" si="100"/>
        <v>0</v>
      </c>
    </row>
    <row r="1780" spans="1:7" hidden="1" x14ac:dyDescent="0.25">
      <c r="A1780" s="85" t="s">
        <v>4256</v>
      </c>
      <c r="B1780" s="81" t="s">
        <v>4204</v>
      </c>
      <c r="C1780" s="26" t="s">
        <v>37</v>
      </c>
      <c r="D1780" s="14"/>
      <c r="E1780" s="15"/>
      <c r="F1780" s="16">
        <f t="shared" si="99"/>
        <v>0</v>
      </c>
      <c r="G1780">
        <f t="shared" si="100"/>
        <v>0</v>
      </c>
    </row>
    <row r="1781" spans="1:7" hidden="1" x14ac:dyDescent="0.25">
      <c r="A1781" s="85" t="s">
        <v>4257</v>
      </c>
      <c r="B1781" s="81" t="s">
        <v>4205</v>
      </c>
      <c r="C1781" s="26" t="s">
        <v>37</v>
      </c>
      <c r="D1781" s="14"/>
      <c r="E1781" s="15"/>
      <c r="F1781" s="16">
        <f t="shared" si="99"/>
        <v>0</v>
      </c>
      <c r="G1781">
        <f t="shared" si="100"/>
        <v>0</v>
      </c>
    </row>
    <row r="1782" spans="1:7" hidden="1" x14ac:dyDescent="0.25">
      <c r="A1782" s="85" t="s">
        <v>4258</v>
      </c>
      <c r="B1782" s="81" t="s">
        <v>4206</v>
      </c>
      <c r="C1782" s="26" t="s">
        <v>37</v>
      </c>
      <c r="D1782" s="14"/>
      <c r="E1782" s="15"/>
      <c r="F1782" s="16">
        <f t="shared" si="99"/>
        <v>0</v>
      </c>
      <c r="G1782">
        <f t="shared" si="100"/>
        <v>0</v>
      </c>
    </row>
    <row r="1783" spans="1:7" hidden="1" x14ac:dyDescent="0.25">
      <c r="A1783" s="85" t="s">
        <v>4259</v>
      </c>
      <c r="B1783" s="81" t="s">
        <v>4207</v>
      </c>
      <c r="C1783" s="26" t="s">
        <v>37</v>
      </c>
      <c r="D1783" s="14"/>
      <c r="E1783" s="15"/>
      <c r="F1783" s="16">
        <f t="shared" si="99"/>
        <v>0</v>
      </c>
      <c r="G1783">
        <f t="shared" si="100"/>
        <v>0</v>
      </c>
    </row>
    <row r="1784" spans="1:7" hidden="1" x14ac:dyDescent="0.25">
      <c r="A1784" s="85" t="s">
        <v>4260</v>
      </c>
      <c r="B1784" s="81" t="s">
        <v>4208</v>
      </c>
      <c r="C1784" s="26" t="s">
        <v>37</v>
      </c>
      <c r="D1784" s="14"/>
      <c r="E1784" s="15"/>
      <c r="F1784" s="16">
        <f t="shared" si="99"/>
        <v>0</v>
      </c>
      <c r="G1784">
        <f t="shared" si="100"/>
        <v>0</v>
      </c>
    </row>
    <row r="1785" spans="1:7" hidden="1" x14ac:dyDescent="0.25">
      <c r="A1785" s="85" t="s">
        <v>4261</v>
      </c>
      <c r="B1785" s="81" t="s">
        <v>4209</v>
      </c>
      <c r="C1785" s="26" t="s">
        <v>37</v>
      </c>
      <c r="D1785" s="14"/>
      <c r="E1785" s="15"/>
      <c r="F1785" s="16">
        <f t="shared" si="99"/>
        <v>0</v>
      </c>
      <c r="G1785">
        <f t="shared" si="100"/>
        <v>0</v>
      </c>
    </row>
    <row r="1786" spans="1:7" hidden="1" x14ac:dyDescent="0.25">
      <c r="A1786" s="85" t="s">
        <v>4262</v>
      </c>
      <c r="B1786" s="81" t="s">
        <v>4210</v>
      </c>
      <c r="C1786" s="26" t="s">
        <v>37</v>
      </c>
      <c r="D1786" s="14"/>
      <c r="E1786" s="15"/>
      <c r="F1786" s="16">
        <f t="shared" si="99"/>
        <v>0</v>
      </c>
      <c r="G1786">
        <f t="shared" si="100"/>
        <v>0</v>
      </c>
    </row>
    <row r="1787" spans="1:7" hidden="1" x14ac:dyDescent="0.25">
      <c r="A1787" s="85" t="s">
        <v>4263</v>
      </c>
      <c r="B1787" s="81" t="s">
        <v>4211</v>
      </c>
      <c r="C1787" s="26" t="s">
        <v>37</v>
      </c>
      <c r="D1787" s="14"/>
      <c r="E1787" s="15"/>
      <c r="F1787" s="16">
        <f t="shared" si="99"/>
        <v>0</v>
      </c>
      <c r="G1787">
        <f t="shared" si="100"/>
        <v>0</v>
      </c>
    </row>
    <row r="1788" spans="1:7" hidden="1" x14ac:dyDescent="0.25">
      <c r="A1788" s="85" t="s">
        <v>4264</v>
      </c>
      <c r="B1788" s="81" t="s">
        <v>4212</v>
      </c>
      <c r="C1788" s="26" t="s">
        <v>37</v>
      </c>
      <c r="D1788" s="14"/>
      <c r="E1788" s="15"/>
      <c r="F1788" s="16">
        <f t="shared" si="99"/>
        <v>0</v>
      </c>
      <c r="G1788">
        <f t="shared" si="100"/>
        <v>0</v>
      </c>
    </row>
    <row r="1789" spans="1:7" hidden="1" x14ac:dyDescent="0.25">
      <c r="A1789" s="85" t="s">
        <v>4265</v>
      </c>
      <c r="B1789" s="81" t="s">
        <v>4213</v>
      </c>
      <c r="C1789" s="26" t="s">
        <v>37</v>
      </c>
      <c r="D1789" s="14"/>
      <c r="E1789" s="15"/>
      <c r="F1789" s="16">
        <f t="shared" si="99"/>
        <v>0</v>
      </c>
      <c r="G1789">
        <f t="shared" si="100"/>
        <v>0</v>
      </c>
    </row>
    <row r="1790" spans="1:7" hidden="1" x14ac:dyDescent="0.25">
      <c r="A1790" s="85" t="s">
        <v>4266</v>
      </c>
      <c r="B1790" s="81" t="s">
        <v>4214</v>
      </c>
      <c r="C1790" s="26" t="s">
        <v>37</v>
      </c>
      <c r="D1790" s="14"/>
      <c r="E1790" s="15"/>
      <c r="F1790" s="16">
        <f t="shared" si="99"/>
        <v>0</v>
      </c>
      <c r="G1790">
        <f t="shared" si="100"/>
        <v>0</v>
      </c>
    </row>
    <row r="1791" spans="1:7" hidden="1" x14ac:dyDescent="0.25">
      <c r="A1791" s="85" t="s">
        <v>4267</v>
      </c>
      <c r="B1791" s="81" t="s">
        <v>4215</v>
      </c>
      <c r="C1791" s="26" t="s">
        <v>37</v>
      </c>
      <c r="D1791" s="14"/>
      <c r="E1791" s="15"/>
      <c r="F1791" s="16">
        <f t="shared" si="99"/>
        <v>0</v>
      </c>
      <c r="G1791">
        <f t="shared" si="100"/>
        <v>0</v>
      </c>
    </row>
    <row r="1792" spans="1:7" hidden="1" x14ac:dyDescent="0.25">
      <c r="A1792" s="85" t="s">
        <v>4268</v>
      </c>
      <c r="B1792" s="81" t="s">
        <v>4216</v>
      </c>
      <c r="C1792" s="26" t="s">
        <v>37</v>
      </c>
      <c r="D1792" s="14"/>
      <c r="E1792" s="15"/>
      <c r="F1792" s="16">
        <f t="shared" si="99"/>
        <v>0</v>
      </c>
      <c r="G1792">
        <f t="shared" si="100"/>
        <v>0</v>
      </c>
    </row>
    <row r="1793" spans="1:7" hidden="1" x14ac:dyDescent="0.25">
      <c r="A1793" s="85" t="s">
        <v>4269</v>
      </c>
      <c r="B1793" s="81" t="s">
        <v>4217</v>
      </c>
      <c r="C1793" s="26" t="s">
        <v>37</v>
      </c>
      <c r="D1793" s="14"/>
      <c r="E1793" s="15"/>
      <c r="F1793" s="16">
        <f t="shared" si="99"/>
        <v>0</v>
      </c>
      <c r="G1793">
        <f t="shared" si="100"/>
        <v>0</v>
      </c>
    </row>
    <row r="1794" spans="1:7" hidden="1" x14ac:dyDescent="0.25">
      <c r="A1794" s="85" t="s">
        <v>4270</v>
      </c>
      <c r="B1794" s="81" t="s">
        <v>4218</v>
      </c>
      <c r="C1794" s="26" t="s">
        <v>37</v>
      </c>
      <c r="D1794" s="14"/>
      <c r="E1794" s="15"/>
      <c r="F1794" s="16">
        <f t="shared" si="99"/>
        <v>0</v>
      </c>
      <c r="G1794">
        <f t="shared" si="100"/>
        <v>0</v>
      </c>
    </row>
    <row r="1795" spans="1:7" hidden="1" x14ac:dyDescent="0.25">
      <c r="A1795" s="78" t="s">
        <v>996</v>
      </c>
      <c r="B1795" s="79" t="s">
        <v>4271</v>
      </c>
      <c r="C1795" s="26"/>
      <c r="D1795" s="14"/>
      <c r="E1795" s="15"/>
      <c r="F1795" s="16"/>
      <c r="G1795">
        <f t="shared" si="100"/>
        <v>0</v>
      </c>
    </row>
    <row r="1796" spans="1:7" hidden="1" x14ac:dyDescent="0.25">
      <c r="A1796" s="85" t="s">
        <v>4331</v>
      </c>
      <c r="B1796" s="81" t="s">
        <v>4272</v>
      </c>
      <c r="C1796" s="26" t="s">
        <v>37</v>
      </c>
      <c r="D1796" s="14"/>
      <c r="E1796" s="15"/>
      <c r="F1796" s="16">
        <f t="shared" si="99"/>
        <v>0</v>
      </c>
      <c r="G1796">
        <f t="shared" si="100"/>
        <v>0</v>
      </c>
    </row>
    <row r="1797" spans="1:7" hidden="1" x14ac:dyDescent="0.25">
      <c r="A1797" s="85" t="s">
        <v>4332</v>
      </c>
      <c r="B1797" s="81" t="s">
        <v>4273</v>
      </c>
      <c r="C1797" s="26" t="s">
        <v>37</v>
      </c>
      <c r="D1797" s="14"/>
      <c r="E1797" s="15"/>
      <c r="F1797" s="16">
        <f t="shared" si="99"/>
        <v>0</v>
      </c>
      <c r="G1797">
        <f t="shared" si="100"/>
        <v>0</v>
      </c>
    </row>
    <row r="1798" spans="1:7" hidden="1" x14ac:dyDescent="0.25">
      <c r="A1798" s="85" t="s">
        <v>4333</v>
      </c>
      <c r="B1798" s="81" t="s">
        <v>4274</v>
      </c>
      <c r="C1798" s="26" t="s">
        <v>37</v>
      </c>
      <c r="D1798" s="14"/>
      <c r="E1798" s="15"/>
      <c r="F1798" s="16">
        <f t="shared" si="99"/>
        <v>0</v>
      </c>
      <c r="G1798">
        <f t="shared" si="100"/>
        <v>0</v>
      </c>
    </row>
    <row r="1799" spans="1:7" hidden="1" x14ac:dyDescent="0.25">
      <c r="A1799" s="85" t="s">
        <v>4334</v>
      </c>
      <c r="B1799" s="81" t="s">
        <v>4275</v>
      </c>
      <c r="C1799" s="26" t="s">
        <v>37</v>
      </c>
      <c r="D1799" s="14"/>
      <c r="E1799" s="15"/>
      <c r="F1799" s="16">
        <f t="shared" si="99"/>
        <v>0</v>
      </c>
      <c r="G1799">
        <f t="shared" si="100"/>
        <v>0</v>
      </c>
    </row>
    <row r="1800" spans="1:7" hidden="1" x14ac:dyDescent="0.25">
      <c r="A1800" s="85" t="s">
        <v>4335</v>
      </c>
      <c r="B1800" s="81" t="s">
        <v>4276</v>
      </c>
      <c r="C1800" s="26" t="s">
        <v>37</v>
      </c>
      <c r="D1800" s="14"/>
      <c r="E1800" s="15"/>
      <c r="F1800" s="16">
        <f t="shared" si="99"/>
        <v>0</v>
      </c>
      <c r="G1800">
        <f t="shared" si="100"/>
        <v>0</v>
      </c>
    </row>
    <row r="1801" spans="1:7" hidden="1" x14ac:dyDescent="0.25">
      <c r="A1801" s="85" t="s">
        <v>4336</v>
      </c>
      <c r="B1801" s="81" t="s">
        <v>4277</v>
      </c>
      <c r="C1801" s="26" t="s">
        <v>37</v>
      </c>
      <c r="D1801" s="14"/>
      <c r="E1801" s="15"/>
      <c r="F1801" s="16">
        <f t="shared" si="99"/>
        <v>0</v>
      </c>
      <c r="G1801">
        <f t="shared" si="100"/>
        <v>0</v>
      </c>
    </row>
    <row r="1802" spans="1:7" hidden="1" x14ac:dyDescent="0.25">
      <c r="A1802" s="85" t="s">
        <v>4337</v>
      </c>
      <c r="B1802" s="81" t="s">
        <v>4278</v>
      </c>
      <c r="C1802" s="26" t="s">
        <v>37</v>
      </c>
      <c r="D1802" s="14"/>
      <c r="E1802" s="15"/>
      <c r="F1802" s="16">
        <f t="shared" si="99"/>
        <v>0</v>
      </c>
      <c r="G1802">
        <f t="shared" si="100"/>
        <v>0</v>
      </c>
    </row>
    <row r="1803" spans="1:7" hidden="1" x14ac:dyDescent="0.25">
      <c r="A1803" s="85" t="s">
        <v>4338</v>
      </c>
      <c r="B1803" s="81" t="s">
        <v>4279</v>
      </c>
      <c r="C1803" s="26" t="s">
        <v>37</v>
      </c>
      <c r="D1803" s="14"/>
      <c r="E1803" s="15"/>
      <c r="F1803" s="16">
        <f t="shared" si="99"/>
        <v>0</v>
      </c>
      <c r="G1803">
        <f t="shared" si="100"/>
        <v>0</v>
      </c>
    </row>
    <row r="1804" spans="1:7" hidden="1" x14ac:dyDescent="0.25">
      <c r="A1804" s="85" t="s">
        <v>4339</v>
      </c>
      <c r="B1804" s="81" t="s">
        <v>4280</v>
      </c>
      <c r="C1804" s="26" t="s">
        <v>37</v>
      </c>
      <c r="D1804" s="14"/>
      <c r="E1804" s="15"/>
      <c r="F1804" s="16">
        <f t="shared" ref="F1804:F1854" si="101">+D1804*E1804</f>
        <v>0</v>
      </c>
      <c r="G1804">
        <f t="shared" si="100"/>
        <v>0</v>
      </c>
    </row>
    <row r="1805" spans="1:7" hidden="1" x14ac:dyDescent="0.25">
      <c r="A1805" s="85" t="s">
        <v>4340</v>
      </c>
      <c r="B1805" s="81" t="s">
        <v>4281</v>
      </c>
      <c r="C1805" s="26" t="s">
        <v>37</v>
      </c>
      <c r="D1805" s="14"/>
      <c r="E1805" s="15"/>
      <c r="F1805" s="16">
        <f t="shared" si="101"/>
        <v>0</v>
      </c>
      <c r="G1805">
        <f t="shared" si="100"/>
        <v>0</v>
      </c>
    </row>
    <row r="1806" spans="1:7" hidden="1" x14ac:dyDescent="0.25">
      <c r="A1806" s="85" t="s">
        <v>4341</v>
      </c>
      <c r="B1806" s="81" t="s">
        <v>4282</v>
      </c>
      <c r="C1806" s="26" t="s">
        <v>37</v>
      </c>
      <c r="D1806" s="14"/>
      <c r="E1806" s="15"/>
      <c r="F1806" s="16">
        <f t="shared" si="101"/>
        <v>0</v>
      </c>
      <c r="G1806">
        <f t="shared" si="100"/>
        <v>0</v>
      </c>
    </row>
    <row r="1807" spans="1:7" hidden="1" x14ac:dyDescent="0.25">
      <c r="A1807" s="85" t="s">
        <v>4342</v>
      </c>
      <c r="B1807" s="81" t="s">
        <v>4283</v>
      </c>
      <c r="C1807" s="26" t="s">
        <v>37</v>
      </c>
      <c r="D1807" s="14"/>
      <c r="E1807" s="15"/>
      <c r="F1807" s="16">
        <f t="shared" si="101"/>
        <v>0</v>
      </c>
      <c r="G1807">
        <f t="shared" si="100"/>
        <v>0</v>
      </c>
    </row>
    <row r="1808" spans="1:7" hidden="1" x14ac:dyDescent="0.25">
      <c r="A1808" s="85" t="s">
        <v>4343</v>
      </c>
      <c r="B1808" s="81" t="s">
        <v>4284</v>
      </c>
      <c r="C1808" s="26" t="s">
        <v>37</v>
      </c>
      <c r="D1808" s="14"/>
      <c r="E1808" s="15"/>
      <c r="F1808" s="16">
        <f t="shared" si="101"/>
        <v>0</v>
      </c>
      <c r="G1808">
        <f t="shared" si="100"/>
        <v>0</v>
      </c>
    </row>
    <row r="1809" spans="1:7" hidden="1" x14ac:dyDescent="0.25">
      <c r="A1809" s="85" t="s">
        <v>4344</v>
      </c>
      <c r="B1809" s="81" t="s">
        <v>4285</v>
      </c>
      <c r="C1809" s="26" t="s">
        <v>37</v>
      </c>
      <c r="D1809" s="14"/>
      <c r="E1809" s="15"/>
      <c r="F1809" s="16">
        <f t="shared" si="101"/>
        <v>0</v>
      </c>
      <c r="G1809">
        <f t="shared" si="100"/>
        <v>0</v>
      </c>
    </row>
    <row r="1810" spans="1:7" hidden="1" x14ac:dyDescent="0.25">
      <c r="A1810" s="85" t="s">
        <v>4345</v>
      </c>
      <c r="B1810" s="81" t="s">
        <v>4286</v>
      </c>
      <c r="C1810" s="26" t="s">
        <v>37</v>
      </c>
      <c r="D1810" s="14"/>
      <c r="E1810" s="15"/>
      <c r="F1810" s="16">
        <f t="shared" si="101"/>
        <v>0</v>
      </c>
      <c r="G1810">
        <f t="shared" si="100"/>
        <v>0</v>
      </c>
    </row>
    <row r="1811" spans="1:7" hidden="1" x14ac:dyDescent="0.25">
      <c r="A1811" s="85" t="s">
        <v>4346</v>
      </c>
      <c r="B1811" s="81" t="s">
        <v>4287</v>
      </c>
      <c r="C1811" s="26" t="s">
        <v>37</v>
      </c>
      <c r="D1811" s="14"/>
      <c r="E1811" s="15"/>
      <c r="F1811" s="16">
        <f t="shared" si="101"/>
        <v>0</v>
      </c>
      <c r="G1811">
        <f t="shared" si="100"/>
        <v>0</v>
      </c>
    </row>
    <row r="1812" spans="1:7" hidden="1" x14ac:dyDescent="0.25">
      <c r="A1812" s="85" t="s">
        <v>4347</v>
      </c>
      <c r="B1812" s="81" t="s">
        <v>4288</v>
      </c>
      <c r="C1812" s="26" t="s">
        <v>37</v>
      </c>
      <c r="D1812" s="14"/>
      <c r="E1812" s="15"/>
      <c r="F1812" s="16">
        <f t="shared" si="101"/>
        <v>0</v>
      </c>
      <c r="G1812">
        <f t="shared" si="100"/>
        <v>0</v>
      </c>
    </row>
    <row r="1813" spans="1:7" hidden="1" x14ac:dyDescent="0.25">
      <c r="A1813" s="85" t="s">
        <v>4348</v>
      </c>
      <c r="B1813" s="81" t="s">
        <v>4289</v>
      </c>
      <c r="C1813" s="26" t="s">
        <v>37</v>
      </c>
      <c r="D1813" s="14"/>
      <c r="E1813" s="15"/>
      <c r="F1813" s="16">
        <f t="shared" si="101"/>
        <v>0</v>
      </c>
      <c r="G1813">
        <f t="shared" si="100"/>
        <v>0</v>
      </c>
    </row>
    <row r="1814" spans="1:7" hidden="1" x14ac:dyDescent="0.25">
      <c r="A1814" s="85" t="s">
        <v>4349</v>
      </c>
      <c r="B1814" s="81" t="s">
        <v>4290</v>
      </c>
      <c r="C1814" s="26" t="s">
        <v>37</v>
      </c>
      <c r="D1814" s="14"/>
      <c r="E1814" s="15"/>
      <c r="F1814" s="16">
        <f t="shared" si="101"/>
        <v>0</v>
      </c>
      <c r="G1814">
        <f t="shared" si="100"/>
        <v>0</v>
      </c>
    </row>
    <row r="1815" spans="1:7" hidden="1" x14ac:dyDescent="0.25">
      <c r="A1815" s="85" t="s">
        <v>4350</v>
      </c>
      <c r="B1815" s="81" t="s">
        <v>4291</v>
      </c>
      <c r="C1815" s="26" t="s">
        <v>37</v>
      </c>
      <c r="D1815" s="14"/>
      <c r="E1815" s="15"/>
      <c r="F1815" s="16">
        <f t="shared" si="101"/>
        <v>0</v>
      </c>
      <c r="G1815">
        <f t="shared" si="100"/>
        <v>0</v>
      </c>
    </row>
    <row r="1816" spans="1:7" hidden="1" x14ac:dyDescent="0.25">
      <c r="A1816" s="85" t="s">
        <v>4351</v>
      </c>
      <c r="B1816" s="81" t="s">
        <v>4292</v>
      </c>
      <c r="C1816" s="26" t="s">
        <v>37</v>
      </c>
      <c r="D1816" s="14"/>
      <c r="E1816" s="15"/>
      <c r="F1816" s="16">
        <f t="shared" si="101"/>
        <v>0</v>
      </c>
      <c r="G1816">
        <f t="shared" si="100"/>
        <v>0</v>
      </c>
    </row>
    <row r="1817" spans="1:7" hidden="1" x14ac:dyDescent="0.25">
      <c r="A1817" s="85" t="s">
        <v>4352</v>
      </c>
      <c r="B1817" s="81" t="s">
        <v>4293</v>
      </c>
      <c r="C1817" s="26" t="s">
        <v>37</v>
      </c>
      <c r="D1817" s="14"/>
      <c r="E1817" s="15"/>
      <c r="F1817" s="16">
        <f t="shared" si="101"/>
        <v>0</v>
      </c>
      <c r="G1817">
        <f t="shared" si="100"/>
        <v>0</v>
      </c>
    </row>
    <row r="1818" spans="1:7" hidden="1" x14ac:dyDescent="0.25">
      <c r="A1818" s="85" t="s">
        <v>4353</v>
      </c>
      <c r="B1818" s="81" t="s">
        <v>4294</v>
      </c>
      <c r="C1818" s="26" t="s">
        <v>37</v>
      </c>
      <c r="D1818" s="14"/>
      <c r="E1818" s="15"/>
      <c r="F1818" s="16">
        <f t="shared" si="101"/>
        <v>0</v>
      </c>
      <c r="G1818">
        <f t="shared" si="100"/>
        <v>0</v>
      </c>
    </row>
    <row r="1819" spans="1:7" hidden="1" x14ac:dyDescent="0.25">
      <c r="A1819" s="85" t="s">
        <v>4354</v>
      </c>
      <c r="B1819" s="81" t="s">
        <v>4295</v>
      </c>
      <c r="C1819" s="26" t="s">
        <v>37</v>
      </c>
      <c r="D1819" s="14"/>
      <c r="E1819" s="15"/>
      <c r="F1819" s="16">
        <f t="shared" si="101"/>
        <v>0</v>
      </c>
      <c r="G1819">
        <f t="shared" si="100"/>
        <v>0</v>
      </c>
    </row>
    <row r="1820" spans="1:7" hidden="1" x14ac:dyDescent="0.25">
      <c r="A1820" s="85" t="s">
        <v>4355</v>
      </c>
      <c r="B1820" s="81" t="s">
        <v>4296</v>
      </c>
      <c r="C1820" s="26" t="s">
        <v>37</v>
      </c>
      <c r="D1820" s="14"/>
      <c r="E1820" s="15"/>
      <c r="F1820" s="16">
        <f t="shared" si="101"/>
        <v>0</v>
      </c>
      <c r="G1820">
        <f t="shared" si="100"/>
        <v>0</v>
      </c>
    </row>
    <row r="1821" spans="1:7" hidden="1" x14ac:dyDescent="0.25">
      <c r="A1821" s="85" t="s">
        <v>4356</v>
      </c>
      <c r="B1821" s="81" t="s">
        <v>4297</v>
      </c>
      <c r="C1821" s="26" t="s">
        <v>37</v>
      </c>
      <c r="D1821" s="14"/>
      <c r="E1821" s="15"/>
      <c r="F1821" s="16">
        <f t="shared" si="101"/>
        <v>0</v>
      </c>
      <c r="G1821">
        <f t="shared" si="100"/>
        <v>0</v>
      </c>
    </row>
    <row r="1822" spans="1:7" hidden="1" x14ac:dyDescent="0.25">
      <c r="A1822" s="85" t="s">
        <v>4357</v>
      </c>
      <c r="B1822" s="81" t="s">
        <v>4298</v>
      </c>
      <c r="C1822" s="26" t="s">
        <v>37</v>
      </c>
      <c r="D1822" s="14"/>
      <c r="E1822" s="15"/>
      <c r="F1822" s="16">
        <f t="shared" si="101"/>
        <v>0</v>
      </c>
      <c r="G1822">
        <f t="shared" si="100"/>
        <v>0</v>
      </c>
    </row>
    <row r="1823" spans="1:7" hidden="1" x14ac:dyDescent="0.25">
      <c r="A1823" s="85" t="s">
        <v>4358</v>
      </c>
      <c r="B1823" s="81" t="s">
        <v>4299</v>
      </c>
      <c r="C1823" s="26" t="s">
        <v>37</v>
      </c>
      <c r="D1823" s="14"/>
      <c r="E1823" s="15"/>
      <c r="F1823" s="16">
        <f t="shared" si="101"/>
        <v>0</v>
      </c>
      <c r="G1823">
        <f t="shared" si="100"/>
        <v>0</v>
      </c>
    </row>
    <row r="1824" spans="1:7" hidden="1" x14ac:dyDescent="0.25">
      <c r="A1824" s="85" t="s">
        <v>4359</v>
      </c>
      <c r="B1824" s="81" t="s">
        <v>4300</v>
      </c>
      <c r="C1824" s="26" t="s">
        <v>37</v>
      </c>
      <c r="D1824" s="14"/>
      <c r="E1824" s="15"/>
      <c r="F1824" s="16">
        <f t="shared" si="101"/>
        <v>0</v>
      </c>
      <c r="G1824">
        <f t="shared" si="100"/>
        <v>0</v>
      </c>
    </row>
    <row r="1825" spans="1:7" hidden="1" x14ac:dyDescent="0.25">
      <c r="A1825" s="85" t="s">
        <v>4360</v>
      </c>
      <c r="B1825" s="81" t="s">
        <v>4301</v>
      </c>
      <c r="C1825" s="26" t="s">
        <v>37</v>
      </c>
      <c r="D1825" s="14"/>
      <c r="E1825" s="15"/>
      <c r="F1825" s="16">
        <f t="shared" si="101"/>
        <v>0</v>
      </c>
      <c r="G1825">
        <f t="shared" si="100"/>
        <v>0</v>
      </c>
    </row>
    <row r="1826" spans="1:7" hidden="1" x14ac:dyDescent="0.25">
      <c r="A1826" s="85" t="s">
        <v>4361</v>
      </c>
      <c r="B1826" s="81" t="s">
        <v>4302</v>
      </c>
      <c r="C1826" s="26" t="s">
        <v>37</v>
      </c>
      <c r="D1826" s="14"/>
      <c r="E1826" s="15"/>
      <c r="F1826" s="16">
        <f t="shared" si="101"/>
        <v>0</v>
      </c>
      <c r="G1826">
        <f t="shared" si="100"/>
        <v>0</v>
      </c>
    </row>
    <row r="1827" spans="1:7" hidden="1" x14ac:dyDescent="0.25">
      <c r="A1827" s="85" t="s">
        <v>4362</v>
      </c>
      <c r="B1827" s="81" t="s">
        <v>4303</v>
      </c>
      <c r="C1827" s="26" t="s">
        <v>37</v>
      </c>
      <c r="D1827" s="14"/>
      <c r="E1827" s="15"/>
      <c r="F1827" s="16">
        <f t="shared" si="101"/>
        <v>0</v>
      </c>
      <c r="G1827">
        <f t="shared" si="100"/>
        <v>0</v>
      </c>
    </row>
    <row r="1828" spans="1:7" hidden="1" x14ac:dyDescent="0.25">
      <c r="A1828" s="85" t="s">
        <v>4363</v>
      </c>
      <c r="B1828" s="81" t="s">
        <v>4304</v>
      </c>
      <c r="C1828" s="26" t="s">
        <v>37</v>
      </c>
      <c r="D1828" s="14"/>
      <c r="E1828" s="15"/>
      <c r="F1828" s="16">
        <f t="shared" si="101"/>
        <v>0</v>
      </c>
      <c r="G1828">
        <f t="shared" ref="G1828:G1891" si="102">+IF(F1828&lt;&gt;0,1,0)</f>
        <v>0</v>
      </c>
    </row>
    <row r="1829" spans="1:7" hidden="1" x14ac:dyDescent="0.25">
      <c r="A1829" s="85" t="s">
        <v>4364</v>
      </c>
      <c r="B1829" s="81" t="s">
        <v>4305</v>
      </c>
      <c r="C1829" s="26" t="s">
        <v>37</v>
      </c>
      <c r="D1829" s="14"/>
      <c r="E1829" s="15"/>
      <c r="F1829" s="16">
        <f t="shared" si="101"/>
        <v>0</v>
      </c>
      <c r="G1829">
        <f t="shared" si="102"/>
        <v>0</v>
      </c>
    </row>
    <row r="1830" spans="1:7" hidden="1" x14ac:dyDescent="0.25">
      <c r="A1830" s="85" t="s">
        <v>4365</v>
      </c>
      <c r="B1830" s="81" t="s">
        <v>4306</v>
      </c>
      <c r="C1830" s="26" t="s">
        <v>37</v>
      </c>
      <c r="D1830" s="14"/>
      <c r="E1830" s="15"/>
      <c r="F1830" s="16">
        <f t="shared" si="101"/>
        <v>0</v>
      </c>
      <c r="G1830">
        <f t="shared" si="102"/>
        <v>0</v>
      </c>
    </row>
    <row r="1831" spans="1:7" hidden="1" x14ac:dyDescent="0.25">
      <c r="A1831" s="85" t="s">
        <v>4366</v>
      </c>
      <c r="B1831" s="81" t="s">
        <v>4307</v>
      </c>
      <c r="C1831" s="26" t="s">
        <v>37</v>
      </c>
      <c r="D1831" s="14"/>
      <c r="E1831" s="15"/>
      <c r="F1831" s="16">
        <f t="shared" si="101"/>
        <v>0</v>
      </c>
      <c r="G1831">
        <f t="shared" si="102"/>
        <v>0</v>
      </c>
    </row>
    <row r="1832" spans="1:7" hidden="1" x14ac:dyDescent="0.25">
      <c r="A1832" s="85" t="s">
        <v>4367</v>
      </c>
      <c r="B1832" s="81" t="s">
        <v>4308</v>
      </c>
      <c r="C1832" s="26" t="s">
        <v>37</v>
      </c>
      <c r="D1832" s="14"/>
      <c r="E1832" s="15"/>
      <c r="F1832" s="16">
        <f t="shared" si="101"/>
        <v>0</v>
      </c>
      <c r="G1832">
        <f t="shared" si="102"/>
        <v>0</v>
      </c>
    </row>
    <row r="1833" spans="1:7" hidden="1" x14ac:dyDescent="0.25">
      <c r="A1833" s="85" t="s">
        <v>4368</v>
      </c>
      <c r="B1833" s="81" t="s">
        <v>4309</v>
      </c>
      <c r="C1833" s="26" t="s">
        <v>37</v>
      </c>
      <c r="D1833" s="14"/>
      <c r="E1833" s="15"/>
      <c r="F1833" s="16">
        <f t="shared" si="101"/>
        <v>0</v>
      </c>
      <c r="G1833">
        <f t="shared" si="102"/>
        <v>0</v>
      </c>
    </row>
    <row r="1834" spans="1:7" hidden="1" x14ac:dyDescent="0.25">
      <c r="A1834" s="85" t="s">
        <v>4369</v>
      </c>
      <c r="B1834" s="81" t="s">
        <v>4310</v>
      </c>
      <c r="C1834" s="26" t="s">
        <v>37</v>
      </c>
      <c r="D1834" s="14"/>
      <c r="E1834" s="15"/>
      <c r="F1834" s="16">
        <f t="shared" si="101"/>
        <v>0</v>
      </c>
      <c r="G1834">
        <f t="shared" si="102"/>
        <v>0</v>
      </c>
    </row>
    <row r="1835" spans="1:7" hidden="1" x14ac:dyDescent="0.25">
      <c r="A1835" s="85" t="s">
        <v>4370</v>
      </c>
      <c r="B1835" s="81" t="s">
        <v>4311</v>
      </c>
      <c r="C1835" s="26" t="s">
        <v>37</v>
      </c>
      <c r="D1835" s="14"/>
      <c r="E1835" s="15"/>
      <c r="F1835" s="16">
        <f t="shared" si="101"/>
        <v>0</v>
      </c>
      <c r="G1835">
        <f t="shared" si="102"/>
        <v>0</v>
      </c>
    </row>
    <row r="1836" spans="1:7" hidden="1" x14ac:dyDescent="0.25">
      <c r="A1836" s="85" t="s">
        <v>4371</v>
      </c>
      <c r="B1836" s="81" t="s">
        <v>4312</v>
      </c>
      <c r="C1836" s="26" t="s">
        <v>37</v>
      </c>
      <c r="D1836" s="14"/>
      <c r="E1836" s="15"/>
      <c r="F1836" s="16">
        <f t="shared" si="101"/>
        <v>0</v>
      </c>
      <c r="G1836">
        <f t="shared" si="102"/>
        <v>0</v>
      </c>
    </row>
    <row r="1837" spans="1:7" hidden="1" x14ac:dyDescent="0.25">
      <c r="A1837" s="85" t="s">
        <v>4372</v>
      </c>
      <c r="B1837" s="81" t="s">
        <v>4313</v>
      </c>
      <c r="C1837" s="26" t="s">
        <v>37</v>
      </c>
      <c r="D1837" s="14"/>
      <c r="E1837" s="15"/>
      <c r="F1837" s="16">
        <f t="shared" si="101"/>
        <v>0</v>
      </c>
      <c r="G1837">
        <f t="shared" si="102"/>
        <v>0</v>
      </c>
    </row>
    <row r="1838" spans="1:7" hidden="1" x14ac:dyDescent="0.25">
      <c r="A1838" s="85" t="s">
        <v>4373</v>
      </c>
      <c r="B1838" s="81" t="s">
        <v>4314</v>
      </c>
      <c r="C1838" s="26" t="s">
        <v>37</v>
      </c>
      <c r="D1838" s="14"/>
      <c r="E1838" s="15"/>
      <c r="F1838" s="16">
        <f t="shared" si="101"/>
        <v>0</v>
      </c>
      <c r="G1838">
        <f t="shared" si="102"/>
        <v>0</v>
      </c>
    </row>
    <row r="1839" spans="1:7" hidden="1" x14ac:dyDescent="0.25">
      <c r="A1839" s="85" t="s">
        <v>4374</v>
      </c>
      <c r="B1839" s="81" t="s">
        <v>4315</v>
      </c>
      <c r="C1839" s="26" t="s">
        <v>37</v>
      </c>
      <c r="D1839" s="14"/>
      <c r="E1839" s="15"/>
      <c r="F1839" s="16">
        <f t="shared" si="101"/>
        <v>0</v>
      </c>
      <c r="G1839">
        <f t="shared" si="102"/>
        <v>0</v>
      </c>
    </row>
    <row r="1840" spans="1:7" hidden="1" x14ac:dyDescent="0.25">
      <c r="A1840" s="85" t="s">
        <v>4375</v>
      </c>
      <c r="B1840" s="81" t="s">
        <v>4316</v>
      </c>
      <c r="C1840" s="26" t="s">
        <v>37</v>
      </c>
      <c r="D1840" s="14"/>
      <c r="E1840" s="15"/>
      <c r="F1840" s="16">
        <f t="shared" si="101"/>
        <v>0</v>
      </c>
      <c r="G1840">
        <f t="shared" si="102"/>
        <v>0</v>
      </c>
    </row>
    <row r="1841" spans="1:7" hidden="1" x14ac:dyDescent="0.25">
      <c r="A1841" s="85" t="s">
        <v>4376</v>
      </c>
      <c r="B1841" s="81" t="s">
        <v>4317</v>
      </c>
      <c r="C1841" s="26" t="s">
        <v>37</v>
      </c>
      <c r="D1841" s="14"/>
      <c r="E1841" s="15"/>
      <c r="F1841" s="16">
        <f t="shared" si="101"/>
        <v>0</v>
      </c>
      <c r="G1841">
        <f t="shared" si="102"/>
        <v>0</v>
      </c>
    </row>
    <row r="1842" spans="1:7" hidden="1" x14ac:dyDescent="0.25">
      <c r="A1842" s="85" t="s">
        <v>4377</v>
      </c>
      <c r="B1842" s="81" t="s">
        <v>4318</v>
      </c>
      <c r="C1842" s="26" t="s">
        <v>37</v>
      </c>
      <c r="D1842" s="14"/>
      <c r="E1842" s="15"/>
      <c r="F1842" s="16">
        <f t="shared" si="101"/>
        <v>0</v>
      </c>
      <c r="G1842">
        <f t="shared" si="102"/>
        <v>0</v>
      </c>
    </row>
    <row r="1843" spans="1:7" hidden="1" x14ac:dyDescent="0.25">
      <c r="A1843" s="85" t="s">
        <v>4378</v>
      </c>
      <c r="B1843" s="81" t="s">
        <v>4319</v>
      </c>
      <c r="C1843" s="26" t="s">
        <v>37</v>
      </c>
      <c r="D1843" s="14"/>
      <c r="E1843" s="15"/>
      <c r="F1843" s="16">
        <f t="shared" si="101"/>
        <v>0</v>
      </c>
      <c r="G1843">
        <f t="shared" si="102"/>
        <v>0</v>
      </c>
    </row>
    <row r="1844" spans="1:7" hidden="1" x14ac:dyDescent="0.25">
      <c r="A1844" s="85" t="s">
        <v>4379</v>
      </c>
      <c r="B1844" s="81" t="s">
        <v>4320</v>
      </c>
      <c r="C1844" s="26" t="s">
        <v>37</v>
      </c>
      <c r="D1844" s="14"/>
      <c r="E1844" s="15"/>
      <c r="F1844" s="16">
        <f t="shared" si="101"/>
        <v>0</v>
      </c>
      <c r="G1844">
        <f t="shared" si="102"/>
        <v>0</v>
      </c>
    </row>
    <row r="1845" spans="1:7" hidden="1" x14ac:dyDescent="0.25">
      <c r="A1845" s="85" t="s">
        <v>4380</v>
      </c>
      <c r="B1845" s="81" t="s">
        <v>4321</v>
      </c>
      <c r="C1845" s="26" t="s">
        <v>37</v>
      </c>
      <c r="D1845" s="14"/>
      <c r="E1845" s="15"/>
      <c r="F1845" s="16">
        <f t="shared" si="101"/>
        <v>0</v>
      </c>
      <c r="G1845">
        <f t="shared" si="102"/>
        <v>0</v>
      </c>
    </row>
    <row r="1846" spans="1:7" hidden="1" x14ac:dyDescent="0.25">
      <c r="A1846" s="85" t="s">
        <v>4381</v>
      </c>
      <c r="B1846" s="81" t="s">
        <v>4322</v>
      </c>
      <c r="C1846" s="26" t="s">
        <v>37</v>
      </c>
      <c r="D1846" s="14"/>
      <c r="E1846" s="15"/>
      <c r="F1846" s="16">
        <f t="shared" si="101"/>
        <v>0</v>
      </c>
      <c r="G1846">
        <f t="shared" si="102"/>
        <v>0</v>
      </c>
    </row>
    <row r="1847" spans="1:7" hidden="1" x14ac:dyDescent="0.25">
      <c r="A1847" s="85" t="s">
        <v>4382</v>
      </c>
      <c r="B1847" s="81" t="s">
        <v>4323</v>
      </c>
      <c r="C1847" s="26" t="s">
        <v>37</v>
      </c>
      <c r="D1847" s="14"/>
      <c r="E1847" s="15"/>
      <c r="F1847" s="16">
        <f t="shared" si="101"/>
        <v>0</v>
      </c>
      <c r="G1847">
        <f t="shared" si="102"/>
        <v>0</v>
      </c>
    </row>
    <row r="1848" spans="1:7" hidden="1" x14ac:dyDescent="0.25">
      <c r="A1848" s="85" t="s">
        <v>4383</v>
      </c>
      <c r="B1848" s="81" t="s">
        <v>4324</v>
      </c>
      <c r="C1848" s="26" t="s">
        <v>37</v>
      </c>
      <c r="D1848" s="14"/>
      <c r="E1848" s="15"/>
      <c r="F1848" s="16">
        <f t="shared" si="101"/>
        <v>0</v>
      </c>
      <c r="G1848">
        <f t="shared" si="102"/>
        <v>0</v>
      </c>
    </row>
    <row r="1849" spans="1:7" hidden="1" x14ac:dyDescent="0.25">
      <c r="A1849" s="85" t="s">
        <v>4384</v>
      </c>
      <c r="B1849" s="81" t="s">
        <v>4325</v>
      </c>
      <c r="C1849" s="26" t="s">
        <v>37</v>
      </c>
      <c r="D1849" s="14"/>
      <c r="E1849" s="15"/>
      <c r="F1849" s="16">
        <f t="shared" si="101"/>
        <v>0</v>
      </c>
      <c r="G1849">
        <f t="shared" si="102"/>
        <v>0</v>
      </c>
    </row>
    <row r="1850" spans="1:7" hidden="1" x14ac:dyDescent="0.25">
      <c r="A1850" s="85" t="s">
        <v>4385</v>
      </c>
      <c r="B1850" s="81" t="s">
        <v>4326</v>
      </c>
      <c r="C1850" s="26" t="s">
        <v>37</v>
      </c>
      <c r="D1850" s="14"/>
      <c r="E1850" s="15"/>
      <c r="F1850" s="16">
        <f t="shared" si="101"/>
        <v>0</v>
      </c>
      <c r="G1850">
        <f t="shared" si="102"/>
        <v>0</v>
      </c>
    </row>
    <row r="1851" spans="1:7" hidden="1" x14ac:dyDescent="0.25">
      <c r="A1851" s="85" t="s">
        <v>4386</v>
      </c>
      <c r="B1851" s="81" t="s">
        <v>4327</v>
      </c>
      <c r="C1851" s="26" t="s">
        <v>37</v>
      </c>
      <c r="D1851" s="14"/>
      <c r="E1851" s="15"/>
      <c r="F1851" s="16">
        <f t="shared" si="101"/>
        <v>0</v>
      </c>
      <c r="G1851">
        <f t="shared" si="102"/>
        <v>0</v>
      </c>
    </row>
    <row r="1852" spans="1:7" hidden="1" x14ac:dyDescent="0.25">
      <c r="A1852" s="85" t="s">
        <v>4387</v>
      </c>
      <c r="B1852" s="81" t="s">
        <v>4328</v>
      </c>
      <c r="C1852" s="26" t="s">
        <v>37</v>
      </c>
      <c r="D1852" s="14"/>
      <c r="E1852" s="15"/>
      <c r="F1852" s="16">
        <f t="shared" si="101"/>
        <v>0</v>
      </c>
      <c r="G1852">
        <f t="shared" si="102"/>
        <v>0</v>
      </c>
    </row>
    <row r="1853" spans="1:7" hidden="1" x14ac:dyDescent="0.25">
      <c r="A1853" s="85" t="s">
        <v>4388</v>
      </c>
      <c r="B1853" s="81" t="s">
        <v>4329</v>
      </c>
      <c r="C1853" s="26" t="s">
        <v>37</v>
      </c>
      <c r="D1853" s="14"/>
      <c r="E1853" s="15"/>
      <c r="F1853" s="16">
        <f t="shared" si="101"/>
        <v>0</v>
      </c>
      <c r="G1853">
        <f t="shared" si="102"/>
        <v>0</v>
      </c>
    </row>
    <row r="1854" spans="1:7" hidden="1" x14ac:dyDescent="0.25">
      <c r="A1854" s="85" t="s">
        <v>4389</v>
      </c>
      <c r="B1854" s="81" t="s">
        <v>4330</v>
      </c>
      <c r="C1854" s="26" t="s">
        <v>37</v>
      </c>
      <c r="D1854" s="14"/>
      <c r="E1854" s="15"/>
      <c r="F1854" s="16">
        <f t="shared" si="101"/>
        <v>0</v>
      </c>
      <c r="G1854">
        <f t="shared" si="102"/>
        <v>0</v>
      </c>
    </row>
    <row r="1855" spans="1:7" hidden="1" x14ac:dyDescent="0.25">
      <c r="A1855" s="78" t="s">
        <v>4390</v>
      </c>
      <c r="B1855" s="80" t="s">
        <v>4391</v>
      </c>
      <c r="C1855" s="26"/>
      <c r="D1855" s="14"/>
      <c r="E1855" s="15"/>
      <c r="F1855" s="16"/>
      <c r="G1855">
        <f t="shared" si="102"/>
        <v>0</v>
      </c>
    </row>
    <row r="1856" spans="1:7" hidden="1" x14ac:dyDescent="0.25">
      <c r="A1856" s="85" t="s">
        <v>4393</v>
      </c>
      <c r="B1856" s="80" t="s">
        <v>4392</v>
      </c>
      <c r="C1856" s="26"/>
      <c r="D1856" s="14"/>
      <c r="E1856" s="15"/>
      <c r="F1856" s="16"/>
      <c r="G1856">
        <f t="shared" si="102"/>
        <v>0</v>
      </c>
    </row>
    <row r="1857" spans="1:7" hidden="1" x14ac:dyDescent="0.25">
      <c r="A1857" s="85" t="s">
        <v>4394</v>
      </c>
      <c r="B1857" s="81" t="s">
        <v>4398</v>
      </c>
      <c r="C1857" s="26" t="s">
        <v>37</v>
      </c>
      <c r="D1857" s="14"/>
      <c r="E1857" s="15"/>
      <c r="F1857" s="16">
        <f t="shared" ref="F1857:F1868" si="103">+D1857*E1857</f>
        <v>0</v>
      </c>
      <c r="G1857">
        <f t="shared" si="102"/>
        <v>0</v>
      </c>
    </row>
    <row r="1858" spans="1:7" hidden="1" x14ac:dyDescent="0.25">
      <c r="A1858" s="85" t="s">
        <v>4422</v>
      </c>
      <c r="B1858" s="81" t="s">
        <v>4399</v>
      </c>
      <c r="C1858" s="26" t="s">
        <v>37</v>
      </c>
      <c r="D1858" s="14"/>
      <c r="E1858" s="15"/>
      <c r="F1858" s="16">
        <f t="shared" si="103"/>
        <v>0</v>
      </c>
      <c r="G1858">
        <f t="shared" si="102"/>
        <v>0</v>
      </c>
    </row>
    <row r="1859" spans="1:7" hidden="1" x14ac:dyDescent="0.25">
      <c r="A1859" s="85" t="s">
        <v>4423</v>
      </c>
      <c r="B1859" s="81" t="s">
        <v>4400</v>
      </c>
      <c r="C1859" s="26" t="s">
        <v>37</v>
      </c>
      <c r="D1859" s="14"/>
      <c r="E1859" s="15"/>
      <c r="F1859" s="16">
        <f t="shared" si="103"/>
        <v>0</v>
      </c>
      <c r="G1859">
        <f t="shared" si="102"/>
        <v>0</v>
      </c>
    </row>
    <row r="1860" spans="1:7" hidden="1" x14ac:dyDescent="0.25">
      <c r="A1860" s="85" t="s">
        <v>4424</v>
      </c>
      <c r="B1860" s="81" t="s">
        <v>4401</v>
      </c>
      <c r="C1860" s="26" t="s">
        <v>37</v>
      </c>
      <c r="D1860" s="14"/>
      <c r="E1860" s="15"/>
      <c r="F1860" s="16">
        <f t="shared" si="103"/>
        <v>0</v>
      </c>
      <c r="G1860">
        <f t="shared" si="102"/>
        <v>0</v>
      </c>
    </row>
    <row r="1861" spans="1:7" hidden="1" x14ac:dyDescent="0.25">
      <c r="A1861" s="85" t="s">
        <v>4425</v>
      </c>
      <c r="B1861" s="81" t="s">
        <v>4402</v>
      </c>
      <c r="C1861" s="26" t="s">
        <v>37</v>
      </c>
      <c r="D1861" s="14"/>
      <c r="E1861" s="15"/>
      <c r="F1861" s="16">
        <f t="shared" si="103"/>
        <v>0</v>
      </c>
      <c r="G1861">
        <f t="shared" si="102"/>
        <v>0</v>
      </c>
    </row>
    <row r="1862" spans="1:7" hidden="1" x14ac:dyDescent="0.25">
      <c r="A1862" s="85" t="s">
        <v>4426</v>
      </c>
      <c r="B1862" s="81" t="s">
        <v>4403</v>
      </c>
      <c r="C1862" s="26" t="s">
        <v>37</v>
      </c>
      <c r="D1862" s="14"/>
      <c r="E1862" s="15"/>
      <c r="F1862" s="16">
        <f t="shared" si="103"/>
        <v>0</v>
      </c>
      <c r="G1862">
        <f t="shared" si="102"/>
        <v>0</v>
      </c>
    </row>
    <row r="1863" spans="1:7" hidden="1" x14ac:dyDescent="0.25">
      <c r="A1863" s="85" t="s">
        <v>4427</v>
      </c>
      <c r="B1863" s="81" t="s">
        <v>4404</v>
      </c>
      <c r="C1863" s="26" t="s">
        <v>37</v>
      </c>
      <c r="D1863" s="14"/>
      <c r="E1863" s="15"/>
      <c r="F1863" s="16">
        <f t="shared" si="103"/>
        <v>0</v>
      </c>
      <c r="G1863">
        <f t="shared" si="102"/>
        <v>0</v>
      </c>
    </row>
    <row r="1864" spans="1:7" hidden="1" x14ac:dyDescent="0.25">
      <c r="A1864" s="85" t="s">
        <v>4428</v>
      </c>
      <c r="B1864" s="81" t="s">
        <v>4405</v>
      </c>
      <c r="C1864" s="26" t="s">
        <v>37</v>
      </c>
      <c r="D1864" s="14"/>
      <c r="E1864" s="15"/>
      <c r="F1864" s="16">
        <f t="shared" si="103"/>
        <v>0</v>
      </c>
      <c r="G1864">
        <f t="shared" si="102"/>
        <v>0</v>
      </c>
    </row>
    <row r="1865" spans="1:7" hidden="1" x14ac:dyDescent="0.25">
      <c r="A1865" s="85" t="s">
        <v>4429</v>
      </c>
      <c r="B1865" s="81" t="s">
        <v>4406</v>
      </c>
      <c r="C1865" s="26" t="s">
        <v>37</v>
      </c>
      <c r="D1865" s="14"/>
      <c r="E1865" s="15"/>
      <c r="F1865" s="16">
        <f t="shared" si="103"/>
        <v>0</v>
      </c>
      <c r="G1865">
        <f t="shared" si="102"/>
        <v>0</v>
      </c>
    </row>
    <row r="1866" spans="1:7" hidden="1" x14ac:dyDescent="0.25">
      <c r="A1866" s="85" t="s">
        <v>4430</v>
      </c>
      <c r="B1866" s="81" t="s">
        <v>4407</v>
      </c>
      <c r="C1866" s="26" t="s">
        <v>37</v>
      </c>
      <c r="D1866" s="14"/>
      <c r="E1866" s="15"/>
      <c r="F1866" s="16">
        <f t="shared" si="103"/>
        <v>0</v>
      </c>
      <c r="G1866">
        <f t="shared" si="102"/>
        <v>0</v>
      </c>
    </row>
    <row r="1867" spans="1:7" hidden="1" x14ac:dyDescent="0.25">
      <c r="A1867" s="85" t="s">
        <v>4431</v>
      </c>
      <c r="B1867" s="81" t="s">
        <v>4408</v>
      </c>
      <c r="C1867" s="26" t="s">
        <v>37</v>
      </c>
      <c r="D1867" s="14"/>
      <c r="E1867" s="15"/>
      <c r="F1867" s="16">
        <f t="shared" si="103"/>
        <v>0</v>
      </c>
      <c r="G1867">
        <f t="shared" si="102"/>
        <v>0</v>
      </c>
    </row>
    <row r="1868" spans="1:7" hidden="1" x14ac:dyDescent="0.25">
      <c r="A1868" s="85" t="s">
        <v>4432</v>
      </c>
      <c r="B1868" s="81" t="s">
        <v>4395</v>
      </c>
      <c r="C1868" s="26" t="s">
        <v>37</v>
      </c>
      <c r="D1868" s="14"/>
      <c r="E1868" s="15"/>
      <c r="F1868" s="16">
        <f t="shared" si="103"/>
        <v>0</v>
      </c>
      <c r="G1868">
        <f t="shared" si="102"/>
        <v>0</v>
      </c>
    </row>
    <row r="1869" spans="1:7" hidden="1" x14ac:dyDescent="0.25">
      <c r="A1869" s="78" t="s">
        <v>4410</v>
      </c>
      <c r="B1869" s="80" t="s">
        <v>4409</v>
      </c>
      <c r="C1869" s="26"/>
      <c r="D1869" s="14"/>
      <c r="E1869" s="15"/>
      <c r="F1869" s="16"/>
      <c r="G1869">
        <f t="shared" si="102"/>
        <v>0</v>
      </c>
    </row>
    <row r="1870" spans="1:7" hidden="1" x14ac:dyDescent="0.25">
      <c r="A1870" s="85" t="s">
        <v>4411</v>
      </c>
      <c r="B1870" s="81" t="s">
        <v>4397</v>
      </c>
      <c r="C1870" s="26" t="s">
        <v>37</v>
      </c>
      <c r="D1870" s="14"/>
      <c r="E1870" s="15"/>
      <c r="F1870" s="16">
        <f t="shared" ref="F1870:F1881" si="104">+D1870*E1870</f>
        <v>0</v>
      </c>
      <c r="G1870">
        <f t="shared" si="102"/>
        <v>0</v>
      </c>
    </row>
    <row r="1871" spans="1:7" hidden="1" x14ac:dyDescent="0.25">
      <c r="A1871" s="85" t="s">
        <v>4412</v>
      </c>
      <c r="B1871" s="81" t="s">
        <v>4434</v>
      </c>
      <c r="C1871" s="26" t="s">
        <v>37</v>
      </c>
      <c r="D1871" s="14"/>
      <c r="E1871" s="15"/>
      <c r="F1871" s="16">
        <f t="shared" si="104"/>
        <v>0</v>
      </c>
      <c r="G1871">
        <f t="shared" si="102"/>
        <v>0</v>
      </c>
    </row>
    <row r="1872" spans="1:7" hidden="1" x14ac:dyDescent="0.25">
      <c r="A1872" s="85" t="s">
        <v>4413</v>
      </c>
      <c r="B1872" s="81" t="s">
        <v>4435</v>
      </c>
      <c r="C1872" s="26" t="s">
        <v>37</v>
      </c>
      <c r="D1872" s="14"/>
      <c r="E1872" s="15"/>
      <c r="F1872" s="16">
        <f t="shared" si="104"/>
        <v>0</v>
      </c>
      <c r="G1872">
        <f t="shared" si="102"/>
        <v>0</v>
      </c>
    </row>
    <row r="1873" spans="1:7" hidden="1" x14ac:dyDescent="0.25">
      <c r="A1873" s="85" t="s">
        <v>4414</v>
      </c>
      <c r="B1873" s="81" t="s">
        <v>4436</v>
      </c>
      <c r="C1873" s="26" t="s">
        <v>37</v>
      </c>
      <c r="D1873" s="14"/>
      <c r="E1873" s="15"/>
      <c r="F1873" s="16">
        <f t="shared" si="104"/>
        <v>0</v>
      </c>
      <c r="G1873">
        <f t="shared" si="102"/>
        <v>0</v>
      </c>
    </row>
    <row r="1874" spans="1:7" hidden="1" x14ac:dyDescent="0.25">
      <c r="A1874" s="85" t="s">
        <v>4415</v>
      </c>
      <c r="B1874" s="81" t="s">
        <v>4437</v>
      </c>
      <c r="C1874" s="26" t="s">
        <v>37</v>
      </c>
      <c r="D1874" s="14"/>
      <c r="E1874" s="15"/>
      <c r="F1874" s="16">
        <f t="shared" si="104"/>
        <v>0</v>
      </c>
      <c r="G1874">
        <f t="shared" si="102"/>
        <v>0</v>
      </c>
    </row>
    <row r="1875" spans="1:7" hidden="1" x14ac:dyDescent="0.25">
      <c r="A1875" s="85" t="s">
        <v>4416</v>
      </c>
      <c r="B1875" s="81" t="s">
        <v>4438</v>
      </c>
      <c r="C1875" s="26" t="s">
        <v>37</v>
      </c>
      <c r="D1875" s="14"/>
      <c r="E1875" s="15"/>
      <c r="F1875" s="16">
        <f t="shared" si="104"/>
        <v>0</v>
      </c>
      <c r="G1875">
        <f t="shared" si="102"/>
        <v>0</v>
      </c>
    </row>
    <row r="1876" spans="1:7" hidden="1" x14ac:dyDescent="0.25">
      <c r="A1876" s="85" t="s">
        <v>4417</v>
      </c>
      <c r="B1876" s="81" t="s">
        <v>4439</v>
      </c>
      <c r="C1876" s="26" t="s">
        <v>37</v>
      </c>
      <c r="D1876" s="14"/>
      <c r="E1876" s="15"/>
      <c r="F1876" s="16">
        <f t="shared" si="104"/>
        <v>0</v>
      </c>
      <c r="G1876">
        <f t="shared" si="102"/>
        <v>0</v>
      </c>
    </row>
    <row r="1877" spans="1:7" hidden="1" x14ac:dyDescent="0.25">
      <c r="A1877" s="85" t="s">
        <v>4418</v>
      </c>
      <c r="B1877" s="81" t="s">
        <v>4440</v>
      </c>
      <c r="C1877" s="26" t="s">
        <v>37</v>
      </c>
      <c r="D1877" s="14"/>
      <c r="E1877" s="15"/>
      <c r="F1877" s="16">
        <f t="shared" si="104"/>
        <v>0</v>
      </c>
      <c r="G1877">
        <f t="shared" si="102"/>
        <v>0</v>
      </c>
    </row>
    <row r="1878" spans="1:7" hidden="1" x14ac:dyDescent="0.25">
      <c r="A1878" s="85" t="s">
        <v>4419</v>
      </c>
      <c r="B1878" s="81" t="s">
        <v>4441</v>
      </c>
      <c r="C1878" s="26" t="s">
        <v>37</v>
      </c>
      <c r="D1878" s="14"/>
      <c r="E1878" s="15"/>
      <c r="F1878" s="16">
        <f t="shared" si="104"/>
        <v>0</v>
      </c>
      <c r="G1878">
        <f t="shared" si="102"/>
        <v>0</v>
      </c>
    </row>
    <row r="1879" spans="1:7" hidden="1" x14ac:dyDescent="0.25">
      <c r="A1879" s="85" t="s">
        <v>4420</v>
      </c>
      <c r="B1879" s="81" t="s">
        <v>4442</v>
      </c>
      <c r="C1879" s="26" t="s">
        <v>37</v>
      </c>
      <c r="D1879" s="14"/>
      <c r="E1879" s="15"/>
      <c r="F1879" s="16">
        <f t="shared" si="104"/>
        <v>0</v>
      </c>
      <c r="G1879">
        <f t="shared" si="102"/>
        <v>0</v>
      </c>
    </row>
    <row r="1880" spans="1:7" hidden="1" x14ac:dyDescent="0.25">
      <c r="A1880" s="85" t="s">
        <v>4421</v>
      </c>
      <c r="B1880" s="81" t="s">
        <v>4443</v>
      </c>
      <c r="C1880" s="26" t="s">
        <v>37</v>
      </c>
      <c r="D1880" s="14"/>
      <c r="E1880" s="15"/>
      <c r="F1880" s="16">
        <f t="shared" si="104"/>
        <v>0</v>
      </c>
      <c r="G1880">
        <f t="shared" si="102"/>
        <v>0</v>
      </c>
    </row>
    <row r="1881" spans="1:7" hidden="1" x14ac:dyDescent="0.25">
      <c r="A1881" s="85" t="s">
        <v>4433</v>
      </c>
      <c r="B1881" s="81" t="s">
        <v>4396</v>
      </c>
      <c r="C1881" s="26" t="s">
        <v>37</v>
      </c>
      <c r="D1881" s="14"/>
      <c r="E1881" s="15"/>
      <c r="F1881" s="16">
        <f t="shared" si="104"/>
        <v>0</v>
      </c>
      <c r="G1881">
        <f t="shared" si="102"/>
        <v>0</v>
      </c>
    </row>
    <row r="1882" spans="1:7" x14ac:dyDescent="0.25">
      <c r="A1882" s="78" t="s">
        <v>4444</v>
      </c>
      <c r="B1882" s="80" t="s">
        <v>990</v>
      </c>
      <c r="C1882" s="26"/>
      <c r="D1882" s="14"/>
      <c r="E1882" s="15"/>
      <c r="F1882" s="16"/>
      <c r="G1882">
        <v>1</v>
      </c>
    </row>
    <row r="1883" spans="1:7" hidden="1" x14ac:dyDescent="0.25">
      <c r="A1883" s="78" t="s">
        <v>4445</v>
      </c>
      <c r="B1883" s="80" t="s">
        <v>4446</v>
      </c>
      <c r="C1883" s="26"/>
      <c r="D1883" s="14"/>
      <c r="E1883" s="15"/>
      <c r="F1883" s="16"/>
      <c r="G1883">
        <f t="shared" si="102"/>
        <v>0</v>
      </c>
    </row>
    <row r="1884" spans="1:7" hidden="1" x14ac:dyDescent="0.25">
      <c r="A1884" s="85" t="s">
        <v>4458</v>
      </c>
      <c r="B1884" s="81" t="s">
        <v>4447</v>
      </c>
      <c r="C1884" s="26" t="s">
        <v>37</v>
      </c>
      <c r="D1884" s="14"/>
      <c r="E1884" s="15"/>
      <c r="F1884" s="16">
        <f t="shared" ref="F1884:F1895" si="105">+D1884*E1884</f>
        <v>0</v>
      </c>
      <c r="G1884">
        <f t="shared" si="102"/>
        <v>0</v>
      </c>
    </row>
    <row r="1885" spans="1:7" hidden="1" x14ac:dyDescent="0.25">
      <c r="A1885" s="85" t="s">
        <v>4459</v>
      </c>
      <c r="B1885" s="81" t="s">
        <v>4497</v>
      </c>
      <c r="C1885" s="26" t="s">
        <v>37</v>
      </c>
      <c r="D1885" s="14"/>
      <c r="E1885" s="15"/>
      <c r="F1885" s="16">
        <f t="shared" si="105"/>
        <v>0</v>
      </c>
      <c r="G1885">
        <f t="shared" si="102"/>
        <v>0</v>
      </c>
    </row>
    <row r="1886" spans="1:7" hidden="1" x14ac:dyDescent="0.25">
      <c r="A1886" s="85" t="s">
        <v>4460</v>
      </c>
      <c r="B1886" s="81" t="s">
        <v>4448</v>
      </c>
      <c r="C1886" s="26" t="s">
        <v>37</v>
      </c>
      <c r="D1886" s="14"/>
      <c r="E1886" s="15"/>
      <c r="F1886" s="16">
        <f t="shared" si="105"/>
        <v>0</v>
      </c>
      <c r="G1886">
        <f t="shared" si="102"/>
        <v>0</v>
      </c>
    </row>
    <row r="1887" spans="1:7" hidden="1" x14ac:dyDescent="0.25">
      <c r="A1887" s="85" t="s">
        <v>4461</v>
      </c>
      <c r="B1887" s="81" t="s">
        <v>4449</v>
      </c>
      <c r="C1887" s="26" t="s">
        <v>37</v>
      </c>
      <c r="D1887" s="14"/>
      <c r="E1887" s="15"/>
      <c r="F1887" s="16">
        <f t="shared" si="105"/>
        <v>0</v>
      </c>
      <c r="G1887">
        <f t="shared" si="102"/>
        <v>0</v>
      </c>
    </row>
    <row r="1888" spans="1:7" hidden="1" x14ac:dyDescent="0.25">
      <c r="A1888" s="85" t="s">
        <v>4462</v>
      </c>
      <c r="B1888" s="81" t="s">
        <v>4450</v>
      </c>
      <c r="C1888" s="26" t="s">
        <v>37</v>
      </c>
      <c r="D1888" s="14"/>
      <c r="E1888" s="15"/>
      <c r="F1888" s="16">
        <f t="shared" si="105"/>
        <v>0</v>
      </c>
      <c r="G1888">
        <f t="shared" si="102"/>
        <v>0</v>
      </c>
    </row>
    <row r="1889" spans="1:7" hidden="1" x14ac:dyDescent="0.25">
      <c r="A1889" s="85" t="s">
        <v>4463</v>
      </c>
      <c r="B1889" s="81" t="s">
        <v>4451</v>
      </c>
      <c r="C1889" s="26" t="s">
        <v>37</v>
      </c>
      <c r="D1889" s="14"/>
      <c r="E1889" s="15"/>
      <c r="F1889" s="16">
        <f t="shared" si="105"/>
        <v>0</v>
      </c>
      <c r="G1889">
        <f t="shared" si="102"/>
        <v>0</v>
      </c>
    </row>
    <row r="1890" spans="1:7" hidden="1" x14ac:dyDescent="0.25">
      <c r="A1890" s="85" t="s">
        <v>4464</v>
      </c>
      <c r="B1890" s="81" t="s">
        <v>4452</v>
      </c>
      <c r="C1890" s="26" t="s">
        <v>37</v>
      </c>
      <c r="D1890" s="14"/>
      <c r="E1890" s="15"/>
      <c r="F1890" s="16">
        <f t="shared" si="105"/>
        <v>0</v>
      </c>
      <c r="G1890">
        <f t="shared" si="102"/>
        <v>0</v>
      </c>
    </row>
    <row r="1891" spans="1:7" hidden="1" x14ac:dyDescent="0.25">
      <c r="A1891" s="85" t="s">
        <v>4465</v>
      </c>
      <c r="B1891" s="81" t="s">
        <v>4453</v>
      </c>
      <c r="C1891" s="26" t="s">
        <v>37</v>
      </c>
      <c r="D1891" s="14"/>
      <c r="E1891" s="15"/>
      <c r="F1891" s="16">
        <f t="shared" si="105"/>
        <v>0</v>
      </c>
      <c r="G1891">
        <f t="shared" si="102"/>
        <v>0</v>
      </c>
    </row>
    <row r="1892" spans="1:7" hidden="1" x14ac:dyDescent="0.25">
      <c r="A1892" s="85" t="s">
        <v>4466</v>
      </c>
      <c r="B1892" s="81" t="s">
        <v>4454</v>
      </c>
      <c r="C1892" s="26" t="s">
        <v>37</v>
      </c>
      <c r="D1892" s="14"/>
      <c r="E1892" s="15"/>
      <c r="F1892" s="16">
        <f t="shared" si="105"/>
        <v>0</v>
      </c>
      <c r="G1892">
        <f t="shared" ref="G1892:G1948" si="106">+IF(F1892&lt;&gt;0,1,0)</f>
        <v>0</v>
      </c>
    </row>
    <row r="1893" spans="1:7" hidden="1" x14ac:dyDescent="0.25">
      <c r="A1893" s="85" t="s">
        <v>4467</v>
      </c>
      <c r="B1893" s="81" t="s">
        <v>4455</v>
      </c>
      <c r="C1893" s="26" t="s">
        <v>37</v>
      </c>
      <c r="D1893" s="14"/>
      <c r="E1893" s="15"/>
      <c r="F1893" s="16">
        <f t="shared" si="105"/>
        <v>0</v>
      </c>
      <c r="G1893">
        <f t="shared" si="106"/>
        <v>0</v>
      </c>
    </row>
    <row r="1894" spans="1:7" hidden="1" x14ac:dyDescent="0.25">
      <c r="A1894" s="85" t="s">
        <v>4468</v>
      </c>
      <c r="B1894" s="81" t="s">
        <v>4456</v>
      </c>
      <c r="C1894" s="26" t="s">
        <v>37</v>
      </c>
      <c r="D1894" s="14"/>
      <c r="E1894" s="15"/>
      <c r="F1894" s="16">
        <f t="shared" si="105"/>
        <v>0</v>
      </c>
      <c r="G1894">
        <f t="shared" si="106"/>
        <v>0</v>
      </c>
    </row>
    <row r="1895" spans="1:7" hidden="1" x14ac:dyDescent="0.25">
      <c r="A1895" s="85" t="s">
        <v>4469</v>
      </c>
      <c r="B1895" s="81" t="s">
        <v>4457</v>
      </c>
      <c r="C1895" s="26" t="s">
        <v>37</v>
      </c>
      <c r="D1895" s="14"/>
      <c r="E1895" s="15"/>
      <c r="F1895" s="16">
        <f t="shared" si="105"/>
        <v>0</v>
      </c>
      <c r="G1895">
        <f t="shared" si="106"/>
        <v>0</v>
      </c>
    </row>
    <row r="1896" spans="1:7" hidden="1" x14ac:dyDescent="0.25">
      <c r="A1896" s="78" t="s">
        <v>4470</v>
      </c>
      <c r="B1896" s="80" t="s">
        <v>4483</v>
      </c>
      <c r="C1896" s="26"/>
      <c r="D1896" s="14"/>
      <c r="E1896" s="15"/>
      <c r="F1896" s="16"/>
      <c r="G1896">
        <f t="shared" si="106"/>
        <v>0</v>
      </c>
    </row>
    <row r="1897" spans="1:7" hidden="1" x14ac:dyDescent="0.25">
      <c r="A1897" s="85" t="s">
        <v>4471</v>
      </c>
      <c r="B1897" s="81" t="s">
        <v>4485</v>
      </c>
      <c r="C1897" s="26" t="s">
        <v>37</v>
      </c>
      <c r="D1897" s="14"/>
      <c r="E1897" s="15"/>
      <c r="F1897" s="16">
        <f t="shared" ref="F1897:F1908" si="107">+D1897*E1897</f>
        <v>0</v>
      </c>
      <c r="G1897">
        <f t="shared" si="106"/>
        <v>0</v>
      </c>
    </row>
    <row r="1898" spans="1:7" hidden="1" x14ac:dyDescent="0.25">
      <c r="A1898" s="85" t="s">
        <v>4472</v>
      </c>
      <c r="B1898" s="81" t="s">
        <v>4486</v>
      </c>
      <c r="C1898" s="26" t="s">
        <v>37</v>
      </c>
      <c r="D1898" s="14"/>
      <c r="E1898" s="15"/>
      <c r="F1898" s="16">
        <f t="shared" si="107"/>
        <v>0</v>
      </c>
      <c r="G1898">
        <f t="shared" si="106"/>
        <v>0</v>
      </c>
    </row>
    <row r="1899" spans="1:7" hidden="1" x14ac:dyDescent="0.25">
      <c r="A1899" s="85" t="s">
        <v>4473</v>
      </c>
      <c r="B1899" s="81" t="s">
        <v>4487</v>
      </c>
      <c r="C1899" s="26" t="s">
        <v>37</v>
      </c>
      <c r="D1899" s="14"/>
      <c r="E1899" s="15"/>
      <c r="F1899" s="16">
        <f t="shared" si="107"/>
        <v>0</v>
      </c>
      <c r="G1899">
        <f t="shared" si="106"/>
        <v>0</v>
      </c>
    </row>
    <row r="1900" spans="1:7" hidden="1" x14ac:dyDescent="0.25">
      <c r="A1900" s="85" t="s">
        <v>4474</v>
      </c>
      <c r="B1900" s="81" t="s">
        <v>4488</v>
      </c>
      <c r="C1900" s="26" t="s">
        <v>37</v>
      </c>
      <c r="D1900" s="14"/>
      <c r="E1900" s="15"/>
      <c r="F1900" s="16">
        <f t="shared" si="107"/>
        <v>0</v>
      </c>
      <c r="G1900">
        <f t="shared" si="106"/>
        <v>0</v>
      </c>
    </row>
    <row r="1901" spans="1:7" hidden="1" x14ac:dyDescent="0.25">
      <c r="A1901" s="85" t="s">
        <v>4475</v>
      </c>
      <c r="B1901" s="81" t="s">
        <v>4489</v>
      </c>
      <c r="C1901" s="26" t="s">
        <v>37</v>
      </c>
      <c r="D1901" s="14"/>
      <c r="E1901" s="15"/>
      <c r="F1901" s="16">
        <f t="shared" si="107"/>
        <v>0</v>
      </c>
      <c r="G1901">
        <f t="shared" si="106"/>
        <v>0</v>
      </c>
    </row>
    <row r="1902" spans="1:7" hidden="1" x14ac:dyDescent="0.25">
      <c r="A1902" s="85" t="s">
        <v>4476</v>
      </c>
      <c r="B1902" s="81" t="s">
        <v>4490</v>
      </c>
      <c r="C1902" s="26" t="s">
        <v>37</v>
      </c>
      <c r="D1902" s="14"/>
      <c r="E1902" s="15"/>
      <c r="F1902" s="16">
        <f t="shared" si="107"/>
        <v>0</v>
      </c>
      <c r="G1902">
        <f t="shared" si="106"/>
        <v>0</v>
      </c>
    </row>
    <row r="1903" spans="1:7" hidden="1" x14ac:dyDescent="0.25">
      <c r="A1903" s="85" t="s">
        <v>4477</v>
      </c>
      <c r="B1903" s="81" t="s">
        <v>4491</v>
      </c>
      <c r="C1903" s="26" t="s">
        <v>37</v>
      </c>
      <c r="D1903" s="14"/>
      <c r="E1903" s="15"/>
      <c r="F1903" s="16">
        <f t="shared" si="107"/>
        <v>0</v>
      </c>
      <c r="G1903">
        <f t="shared" si="106"/>
        <v>0</v>
      </c>
    </row>
    <row r="1904" spans="1:7" hidden="1" x14ac:dyDescent="0.25">
      <c r="A1904" s="85" t="s">
        <v>4478</v>
      </c>
      <c r="B1904" s="81" t="s">
        <v>4492</v>
      </c>
      <c r="C1904" s="26" t="s">
        <v>37</v>
      </c>
      <c r="D1904" s="14"/>
      <c r="E1904" s="15"/>
      <c r="F1904" s="16">
        <f t="shared" si="107"/>
        <v>0</v>
      </c>
      <c r="G1904">
        <f t="shared" si="106"/>
        <v>0</v>
      </c>
    </row>
    <row r="1905" spans="1:7" hidden="1" x14ac:dyDescent="0.25">
      <c r="A1905" s="85" t="s">
        <v>4479</v>
      </c>
      <c r="B1905" s="81" t="s">
        <v>4493</v>
      </c>
      <c r="C1905" s="26" t="s">
        <v>37</v>
      </c>
      <c r="D1905" s="14"/>
      <c r="E1905" s="15"/>
      <c r="F1905" s="16">
        <f t="shared" si="107"/>
        <v>0</v>
      </c>
      <c r="G1905">
        <f t="shared" si="106"/>
        <v>0</v>
      </c>
    </row>
    <row r="1906" spans="1:7" hidden="1" x14ac:dyDescent="0.25">
      <c r="A1906" s="85" t="s">
        <v>4480</v>
      </c>
      <c r="B1906" s="81" t="s">
        <v>4494</v>
      </c>
      <c r="C1906" s="26" t="s">
        <v>37</v>
      </c>
      <c r="D1906" s="14"/>
      <c r="E1906" s="15"/>
      <c r="F1906" s="16">
        <f t="shared" si="107"/>
        <v>0</v>
      </c>
      <c r="G1906">
        <f t="shared" si="106"/>
        <v>0</v>
      </c>
    </row>
    <row r="1907" spans="1:7" hidden="1" x14ac:dyDescent="0.25">
      <c r="A1907" s="85" t="s">
        <v>4481</v>
      </c>
      <c r="B1907" s="81" t="s">
        <v>4495</v>
      </c>
      <c r="C1907" s="26" t="s">
        <v>37</v>
      </c>
      <c r="D1907" s="14"/>
      <c r="E1907" s="15"/>
      <c r="F1907" s="16">
        <f t="shared" si="107"/>
        <v>0</v>
      </c>
      <c r="G1907">
        <f t="shared" si="106"/>
        <v>0</v>
      </c>
    </row>
    <row r="1908" spans="1:7" hidden="1" x14ac:dyDescent="0.25">
      <c r="A1908" s="85" t="s">
        <v>4482</v>
      </c>
      <c r="B1908" s="122" t="s">
        <v>4484</v>
      </c>
      <c r="C1908" s="26" t="s">
        <v>37</v>
      </c>
      <c r="D1908" s="14"/>
      <c r="E1908" s="15"/>
      <c r="F1908" s="16">
        <f t="shared" si="107"/>
        <v>0</v>
      </c>
      <c r="G1908">
        <f t="shared" si="106"/>
        <v>0</v>
      </c>
    </row>
    <row r="1909" spans="1:7" hidden="1" x14ac:dyDescent="0.25">
      <c r="A1909" s="78" t="s">
        <v>4496</v>
      </c>
      <c r="B1909" s="80" t="s">
        <v>4511</v>
      </c>
      <c r="C1909" s="26"/>
      <c r="D1909" s="14"/>
      <c r="E1909" s="15"/>
      <c r="F1909" s="16"/>
      <c r="G1909">
        <f t="shared" si="106"/>
        <v>0</v>
      </c>
    </row>
    <row r="1910" spans="1:7" hidden="1" x14ac:dyDescent="0.25">
      <c r="A1910" s="85" t="s">
        <v>4498</v>
      </c>
      <c r="B1910" s="81" t="s">
        <v>4512</v>
      </c>
      <c r="C1910" s="26" t="s">
        <v>37</v>
      </c>
      <c r="D1910" s="14"/>
      <c r="E1910" s="15"/>
      <c r="F1910" s="16">
        <f t="shared" ref="F1910:F1921" si="108">+D1910*E1910</f>
        <v>0</v>
      </c>
      <c r="G1910">
        <f t="shared" si="106"/>
        <v>0</v>
      </c>
    </row>
    <row r="1911" spans="1:7" hidden="1" x14ac:dyDescent="0.25">
      <c r="A1911" s="85" t="s">
        <v>4499</v>
      </c>
      <c r="B1911" s="81" t="s">
        <v>4513</v>
      </c>
      <c r="C1911" s="26" t="s">
        <v>37</v>
      </c>
      <c r="D1911" s="14"/>
      <c r="E1911" s="15"/>
      <c r="F1911" s="16">
        <f t="shared" si="108"/>
        <v>0</v>
      </c>
      <c r="G1911">
        <f t="shared" si="106"/>
        <v>0</v>
      </c>
    </row>
    <row r="1912" spans="1:7" hidden="1" x14ac:dyDescent="0.25">
      <c r="A1912" s="85" t="s">
        <v>4500</v>
      </c>
      <c r="B1912" s="81" t="s">
        <v>4514</v>
      </c>
      <c r="C1912" s="26" t="s">
        <v>37</v>
      </c>
      <c r="D1912" s="14"/>
      <c r="E1912" s="15"/>
      <c r="F1912" s="16">
        <f t="shared" si="108"/>
        <v>0</v>
      </c>
      <c r="G1912">
        <f t="shared" si="106"/>
        <v>0</v>
      </c>
    </row>
    <row r="1913" spans="1:7" hidden="1" x14ac:dyDescent="0.25">
      <c r="A1913" s="85" t="s">
        <v>4501</v>
      </c>
      <c r="B1913" s="81" t="s">
        <v>4515</v>
      </c>
      <c r="C1913" s="26" t="s">
        <v>37</v>
      </c>
      <c r="D1913" s="14"/>
      <c r="E1913" s="15"/>
      <c r="F1913" s="16">
        <f t="shared" si="108"/>
        <v>0</v>
      </c>
      <c r="G1913">
        <f t="shared" si="106"/>
        <v>0</v>
      </c>
    </row>
    <row r="1914" spans="1:7" hidden="1" x14ac:dyDescent="0.25">
      <c r="A1914" s="85" t="s">
        <v>4502</v>
      </c>
      <c r="B1914" s="81" t="s">
        <v>4516</v>
      </c>
      <c r="C1914" s="26" t="s">
        <v>37</v>
      </c>
      <c r="D1914" s="14"/>
      <c r="E1914" s="15"/>
      <c r="F1914" s="16">
        <f t="shared" si="108"/>
        <v>0</v>
      </c>
      <c r="G1914">
        <f t="shared" si="106"/>
        <v>0</v>
      </c>
    </row>
    <row r="1915" spans="1:7" hidden="1" x14ac:dyDescent="0.25">
      <c r="A1915" s="85" t="s">
        <v>4503</v>
      </c>
      <c r="B1915" s="81" t="s">
        <v>4517</v>
      </c>
      <c r="C1915" s="26" t="s">
        <v>37</v>
      </c>
      <c r="D1915" s="14"/>
      <c r="E1915" s="15"/>
      <c r="F1915" s="16">
        <f t="shared" si="108"/>
        <v>0</v>
      </c>
      <c r="G1915">
        <f t="shared" si="106"/>
        <v>0</v>
      </c>
    </row>
    <row r="1916" spans="1:7" hidden="1" x14ac:dyDescent="0.25">
      <c r="A1916" s="85" t="s">
        <v>4504</v>
      </c>
      <c r="B1916" s="81" t="s">
        <v>4518</v>
      </c>
      <c r="C1916" s="26" t="s">
        <v>37</v>
      </c>
      <c r="D1916" s="14"/>
      <c r="E1916" s="15"/>
      <c r="F1916" s="16">
        <f t="shared" si="108"/>
        <v>0</v>
      </c>
      <c r="G1916">
        <f t="shared" si="106"/>
        <v>0</v>
      </c>
    </row>
    <row r="1917" spans="1:7" hidden="1" x14ac:dyDescent="0.25">
      <c r="A1917" s="85" t="s">
        <v>4505</v>
      </c>
      <c r="B1917" s="81" t="s">
        <v>4519</v>
      </c>
      <c r="C1917" s="26" t="s">
        <v>37</v>
      </c>
      <c r="D1917" s="14"/>
      <c r="E1917" s="15"/>
      <c r="F1917" s="16">
        <f t="shared" si="108"/>
        <v>0</v>
      </c>
      <c r="G1917">
        <f t="shared" si="106"/>
        <v>0</v>
      </c>
    </row>
    <row r="1918" spans="1:7" hidden="1" x14ac:dyDescent="0.25">
      <c r="A1918" s="85" t="s">
        <v>4506</v>
      </c>
      <c r="B1918" s="81" t="s">
        <v>4520</v>
      </c>
      <c r="C1918" s="26" t="s">
        <v>37</v>
      </c>
      <c r="D1918" s="14"/>
      <c r="E1918" s="15"/>
      <c r="F1918" s="16">
        <f t="shared" si="108"/>
        <v>0</v>
      </c>
      <c r="G1918">
        <f t="shared" si="106"/>
        <v>0</v>
      </c>
    </row>
    <row r="1919" spans="1:7" hidden="1" x14ac:dyDescent="0.25">
      <c r="A1919" s="85" t="s">
        <v>4507</v>
      </c>
      <c r="B1919" s="81" t="s">
        <v>4521</v>
      </c>
      <c r="C1919" s="26" t="s">
        <v>37</v>
      </c>
      <c r="D1919" s="14"/>
      <c r="E1919" s="15"/>
      <c r="F1919" s="16">
        <f t="shared" si="108"/>
        <v>0</v>
      </c>
      <c r="G1919">
        <f t="shared" si="106"/>
        <v>0</v>
      </c>
    </row>
    <row r="1920" spans="1:7" hidden="1" x14ac:dyDescent="0.25">
      <c r="A1920" s="85" t="s">
        <v>4508</v>
      </c>
      <c r="B1920" s="81" t="s">
        <v>4522</v>
      </c>
      <c r="C1920" s="26" t="s">
        <v>37</v>
      </c>
      <c r="D1920" s="14"/>
      <c r="E1920" s="15"/>
      <c r="F1920" s="16">
        <f t="shared" si="108"/>
        <v>0</v>
      </c>
      <c r="G1920">
        <f t="shared" si="106"/>
        <v>0</v>
      </c>
    </row>
    <row r="1921" spans="1:7" hidden="1" x14ac:dyDescent="0.25">
      <c r="A1921" s="85" t="s">
        <v>4509</v>
      </c>
      <c r="B1921" s="123" t="s">
        <v>4523</v>
      </c>
      <c r="C1921" s="26" t="s">
        <v>37</v>
      </c>
      <c r="D1921" s="14"/>
      <c r="E1921" s="15"/>
      <c r="F1921" s="16">
        <f t="shared" si="108"/>
        <v>0</v>
      </c>
      <c r="G1921">
        <f t="shared" si="106"/>
        <v>0</v>
      </c>
    </row>
    <row r="1922" spans="1:7" hidden="1" x14ac:dyDescent="0.25">
      <c r="A1922" s="78" t="s">
        <v>4510</v>
      </c>
      <c r="B1922" s="80" t="s">
        <v>4535</v>
      </c>
      <c r="C1922" s="26"/>
      <c r="D1922" s="14"/>
      <c r="E1922" s="15"/>
      <c r="F1922" s="16"/>
      <c r="G1922">
        <f t="shared" si="106"/>
        <v>0</v>
      </c>
    </row>
    <row r="1923" spans="1:7" hidden="1" x14ac:dyDescent="0.25">
      <c r="A1923" s="85" t="s">
        <v>4536</v>
      </c>
      <c r="B1923" s="81" t="s">
        <v>4524</v>
      </c>
      <c r="C1923" s="26" t="s">
        <v>37</v>
      </c>
      <c r="D1923" s="14"/>
      <c r="E1923" s="15"/>
      <c r="F1923" s="16">
        <f t="shared" ref="F1923:F1933" si="109">+D1923*E1923</f>
        <v>0</v>
      </c>
      <c r="G1923">
        <f t="shared" si="106"/>
        <v>0</v>
      </c>
    </row>
    <row r="1924" spans="1:7" hidden="1" x14ac:dyDescent="0.25">
      <c r="A1924" s="85" t="s">
        <v>4537</v>
      </c>
      <c r="B1924" s="81" t="s">
        <v>4525</v>
      </c>
      <c r="C1924" s="26" t="s">
        <v>37</v>
      </c>
      <c r="D1924" s="14"/>
      <c r="E1924" s="15"/>
      <c r="F1924" s="16">
        <f t="shared" si="109"/>
        <v>0</v>
      </c>
      <c r="G1924">
        <f t="shared" si="106"/>
        <v>0</v>
      </c>
    </row>
    <row r="1925" spans="1:7" hidden="1" x14ac:dyDescent="0.25">
      <c r="A1925" s="85" t="s">
        <v>4538</v>
      </c>
      <c r="B1925" s="81" t="s">
        <v>4526</v>
      </c>
      <c r="C1925" s="26" t="s">
        <v>37</v>
      </c>
      <c r="D1925" s="14"/>
      <c r="E1925" s="15"/>
      <c r="F1925" s="16">
        <f t="shared" si="109"/>
        <v>0</v>
      </c>
      <c r="G1925">
        <f t="shared" si="106"/>
        <v>0</v>
      </c>
    </row>
    <row r="1926" spans="1:7" hidden="1" x14ac:dyDescent="0.25">
      <c r="A1926" s="85" t="s">
        <v>4539</v>
      </c>
      <c r="B1926" s="81" t="s">
        <v>4527</v>
      </c>
      <c r="C1926" s="26" t="s">
        <v>37</v>
      </c>
      <c r="D1926" s="14"/>
      <c r="E1926" s="15"/>
      <c r="F1926" s="16">
        <f t="shared" si="109"/>
        <v>0</v>
      </c>
      <c r="G1926">
        <f t="shared" si="106"/>
        <v>0</v>
      </c>
    </row>
    <row r="1927" spans="1:7" hidden="1" x14ac:dyDescent="0.25">
      <c r="A1927" s="85" t="s">
        <v>4540</v>
      </c>
      <c r="B1927" s="81" t="s">
        <v>4528</v>
      </c>
      <c r="C1927" s="26" t="s">
        <v>37</v>
      </c>
      <c r="D1927" s="14"/>
      <c r="E1927" s="15"/>
      <c r="F1927" s="16">
        <f t="shared" si="109"/>
        <v>0</v>
      </c>
      <c r="G1927">
        <f t="shared" si="106"/>
        <v>0</v>
      </c>
    </row>
    <row r="1928" spans="1:7" hidden="1" x14ac:dyDescent="0.25">
      <c r="A1928" s="85" t="s">
        <v>4541</v>
      </c>
      <c r="B1928" s="81" t="s">
        <v>4529</v>
      </c>
      <c r="C1928" s="26" t="s">
        <v>37</v>
      </c>
      <c r="D1928" s="14"/>
      <c r="E1928" s="15"/>
      <c r="F1928" s="16">
        <f t="shared" si="109"/>
        <v>0</v>
      </c>
      <c r="G1928">
        <f t="shared" si="106"/>
        <v>0</v>
      </c>
    </row>
    <row r="1929" spans="1:7" hidden="1" x14ac:dyDescent="0.25">
      <c r="A1929" s="85" t="s">
        <v>4542</v>
      </c>
      <c r="B1929" s="81" t="s">
        <v>4530</v>
      </c>
      <c r="C1929" s="26" t="s">
        <v>37</v>
      </c>
      <c r="D1929" s="14"/>
      <c r="E1929" s="15"/>
      <c r="F1929" s="16">
        <f t="shared" si="109"/>
        <v>0</v>
      </c>
      <c r="G1929">
        <f t="shared" si="106"/>
        <v>0</v>
      </c>
    </row>
    <row r="1930" spans="1:7" hidden="1" x14ac:dyDescent="0.25">
      <c r="A1930" s="85" t="s">
        <v>4543</v>
      </c>
      <c r="B1930" s="81" t="s">
        <v>4531</v>
      </c>
      <c r="C1930" s="26" t="s">
        <v>37</v>
      </c>
      <c r="D1930" s="14"/>
      <c r="E1930" s="15"/>
      <c r="F1930" s="16">
        <f t="shared" si="109"/>
        <v>0</v>
      </c>
      <c r="G1930">
        <f t="shared" si="106"/>
        <v>0</v>
      </c>
    </row>
    <row r="1931" spans="1:7" hidden="1" x14ac:dyDescent="0.25">
      <c r="A1931" s="85" t="s">
        <v>4544</v>
      </c>
      <c r="B1931" s="81" t="s">
        <v>4532</v>
      </c>
      <c r="C1931" s="26" t="s">
        <v>37</v>
      </c>
      <c r="D1931" s="14"/>
      <c r="E1931" s="15"/>
      <c r="F1931" s="16">
        <f t="shared" si="109"/>
        <v>0</v>
      </c>
      <c r="G1931">
        <f t="shared" si="106"/>
        <v>0</v>
      </c>
    </row>
    <row r="1932" spans="1:7" hidden="1" x14ac:dyDescent="0.25">
      <c r="A1932" s="85" t="s">
        <v>4545</v>
      </c>
      <c r="B1932" s="81" t="s">
        <v>4533</v>
      </c>
      <c r="C1932" s="26" t="s">
        <v>37</v>
      </c>
      <c r="D1932" s="14"/>
      <c r="E1932" s="15"/>
      <c r="F1932" s="16">
        <f t="shared" si="109"/>
        <v>0</v>
      </c>
      <c r="G1932">
        <f t="shared" si="106"/>
        <v>0</v>
      </c>
    </row>
    <row r="1933" spans="1:7" hidden="1" x14ac:dyDescent="0.25">
      <c r="A1933" s="85" t="s">
        <v>4546</v>
      </c>
      <c r="B1933" s="81" t="s">
        <v>4534</v>
      </c>
      <c r="C1933" s="26" t="s">
        <v>37</v>
      </c>
      <c r="D1933" s="14"/>
      <c r="E1933" s="15"/>
      <c r="F1933" s="16">
        <f t="shared" si="109"/>
        <v>0</v>
      </c>
      <c r="G1933">
        <f t="shared" si="106"/>
        <v>0</v>
      </c>
    </row>
    <row r="1934" spans="1:7" x14ac:dyDescent="0.25">
      <c r="A1934" s="78" t="s">
        <v>4547</v>
      </c>
      <c r="B1934" s="80" t="s">
        <v>4548</v>
      </c>
      <c r="C1934" s="26"/>
      <c r="D1934" s="14"/>
      <c r="E1934" s="15"/>
      <c r="F1934" s="16"/>
      <c r="G1934">
        <v>1</v>
      </c>
    </row>
    <row r="1935" spans="1:7" x14ac:dyDescent="0.25">
      <c r="A1935" s="78" t="s">
        <v>4549</v>
      </c>
      <c r="B1935" s="80" t="s">
        <v>4550</v>
      </c>
      <c r="C1935" s="26"/>
      <c r="D1935" s="14"/>
      <c r="E1935" s="15"/>
      <c r="F1935" s="16"/>
      <c r="G1935">
        <v>1</v>
      </c>
    </row>
    <row r="1936" spans="1:7" hidden="1" x14ac:dyDescent="0.25">
      <c r="A1936" s="85" t="s">
        <v>4563</v>
      </c>
      <c r="B1936" s="81" t="s">
        <v>4551</v>
      </c>
      <c r="C1936" s="26" t="s">
        <v>37</v>
      </c>
      <c r="D1936" s="14"/>
      <c r="E1936" s="15"/>
      <c r="F1936" s="16">
        <f t="shared" ref="F1936:F1949" si="110">+D1936*E1936</f>
        <v>0</v>
      </c>
      <c r="G1936">
        <f t="shared" si="106"/>
        <v>0</v>
      </c>
    </row>
    <row r="1937" spans="1:7" hidden="1" x14ac:dyDescent="0.25">
      <c r="A1937" s="85" t="s">
        <v>4564</v>
      </c>
      <c r="B1937" s="81" t="s">
        <v>4552</v>
      </c>
      <c r="C1937" s="26" t="s">
        <v>37</v>
      </c>
      <c r="D1937" s="14"/>
      <c r="E1937" s="15"/>
      <c r="F1937" s="16">
        <f t="shared" si="110"/>
        <v>0</v>
      </c>
      <c r="G1937">
        <f t="shared" si="106"/>
        <v>0</v>
      </c>
    </row>
    <row r="1938" spans="1:7" hidden="1" x14ac:dyDescent="0.25">
      <c r="A1938" s="85" t="s">
        <v>4565</v>
      </c>
      <c r="B1938" s="81" t="s">
        <v>4553</v>
      </c>
      <c r="C1938" s="26" t="s">
        <v>37</v>
      </c>
      <c r="D1938" s="14"/>
      <c r="E1938" s="15"/>
      <c r="F1938" s="16">
        <f t="shared" si="110"/>
        <v>0</v>
      </c>
      <c r="G1938">
        <f t="shared" si="106"/>
        <v>0</v>
      </c>
    </row>
    <row r="1939" spans="1:7" hidden="1" x14ac:dyDescent="0.25">
      <c r="A1939" s="85" t="s">
        <v>4566</v>
      </c>
      <c r="B1939" s="81" t="s">
        <v>4554</v>
      </c>
      <c r="C1939" s="26" t="s">
        <v>37</v>
      </c>
      <c r="D1939" s="14"/>
      <c r="E1939" s="15"/>
      <c r="F1939" s="16">
        <f t="shared" si="110"/>
        <v>0</v>
      </c>
      <c r="G1939">
        <f t="shared" si="106"/>
        <v>0</v>
      </c>
    </row>
    <row r="1940" spans="1:7" hidden="1" x14ac:dyDescent="0.25">
      <c r="A1940" s="85" t="s">
        <v>4567</v>
      </c>
      <c r="B1940" s="81" t="s">
        <v>4555</v>
      </c>
      <c r="C1940" s="26" t="s">
        <v>37</v>
      </c>
      <c r="D1940" s="14"/>
      <c r="E1940" s="15"/>
      <c r="F1940" s="16">
        <f t="shared" si="110"/>
        <v>0</v>
      </c>
      <c r="G1940">
        <f t="shared" si="106"/>
        <v>0</v>
      </c>
    </row>
    <row r="1941" spans="1:7" hidden="1" x14ac:dyDescent="0.25">
      <c r="A1941" s="85" t="s">
        <v>4568</v>
      </c>
      <c r="B1941" s="81" t="s">
        <v>4556</v>
      </c>
      <c r="C1941" s="26" t="s">
        <v>37</v>
      </c>
      <c r="D1941" s="14"/>
      <c r="E1941" s="15"/>
      <c r="F1941" s="16">
        <f t="shared" si="110"/>
        <v>0</v>
      </c>
      <c r="G1941">
        <f t="shared" si="106"/>
        <v>0</v>
      </c>
    </row>
    <row r="1942" spans="1:7" hidden="1" x14ac:dyDescent="0.25">
      <c r="A1942" s="85" t="s">
        <v>4569</v>
      </c>
      <c r="B1942" s="81" t="s">
        <v>4557</v>
      </c>
      <c r="C1942" s="26" t="s">
        <v>37</v>
      </c>
      <c r="D1942" s="14"/>
      <c r="E1942" s="15"/>
      <c r="F1942" s="16">
        <f t="shared" si="110"/>
        <v>0</v>
      </c>
      <c r="G1942">
        <f t="shared" si="106"/>
        <v>0</v>
      </c>
    </row>
    <row r="1943" spans="1:7" hidden="1" x14ac:dyDescent="0.25">
      <c r="A1943" s="85" t="s">
        <v>4570</v>
      </c>
      <c r="B1943" s="81" t="s">
        <v>4558</v>
      </c>
      <c r="C1943" s="26" t="s">
        <v>37</v>
      </c>
      <c r="D1943" s="14"/>
      <c r="E1943" s="15">
        <f>+SUM!H1942</f>
        <v>277639</v>
      </c>
      <c r="F1943" s="16">
        <f t="shared" si="110"/>
        <v>0</v>
      </c>
      <c r="G1943">
        <f t="shared" si="106"/>
        <v>0</v>
      </c>
    </row>
    <row r="1944" spans="1:7" hidden="1" x14ac:dyDescent="0.25">
      <c r="A1944" s="85" t="s">
        <v>4571</v>
      </c>
      <c r="B1944" s="81" t="s">
        <v>4559</v>
      </c>
      <c r="C1944" s="26" t="s">
        <v>37</v>
      </c>
      <c r="D1944" s="14"/>
      <c r="E1944" s="15">
        <f>+SUM!H1943</f>
        <v>287260</v>
      </c>
      <c r="F1944" s="16">
        <f t="shared" si="110"/>
        <v>0</v>
      </c>
      <c r="G1944">
        <f t="shared" si="106"/>
        <v>0</v>
      </c>
    </row>
    <row r="1945" spans="1:7" hidden="1" x14ac:dyDescent="0.25">
      <c r="A1945" s="85" t="s">
        <v>4572</v>
      </c>
      <c r="B1945" s="81" t="s">
        <v>4560</v>
      </c>
      <c r="C1945" s="26" t="s">
        <v>37</v>
      </c>
      <c r="D1945" s="14"/>
      <c r="E1945" s="15">
        <f>+SUM!H1944</f>
        <v>481058</v>
      </c>
      <c r="F1945" s="16">
        <f t="shared" si="110"/>
        <v>0</v>
      </c>
      <c r="G1945">
        <f t="shared" si="106"/>
        <v>0</v>
      </c>
    </row>
    <row r="1946" spans="1:7" hidden="1" x14ac:dyDescent="0.25">
      <c r="A1946" s="85" t="s">
        <v>4573</v>
      </c>
      <c r="B1946" s="81" t="s">
        <v>4562</v>
      </c>
      <c r="C1946" s="26" t="s">
        <v>37</v>
      </c>
      <c r="D1946" s="14"/>
      <c r="E1946" s="15">
        <f>+SUM!H1945</f>
        <v>492053</v>
      </c>
      <c r="F1946" s="16">
        <f t="shared" si="110"/>
        <v>0</v>
      </c>
      <c r="G1946">
        <f t="shared" si="106"/>
        <v>0</v>
      </c>
    </row>
    <row r="1947" spans="1:7" hidden="1" x14ac:dyDescent="0.25">
      <c r="A1947" s="85" t="s">
        <v>4574</v>
      </c>
      <c r="B1947" s="81" t="s">
        <v>4561</v>
      </c>
      <c r="C1947" s="26" t="s">
        <v>37</v>
      </c>
      <c r="D1947" s="14"/>
      <c r="E1947" s="15">
        <f>+SUM!H1946</f>
        <v>547031</v>
      </c>
      <c r="F1947" s="16">
        <f t="shared" si="110"/>
        <v>0</v>
      </c>
      <c r="G1947">
        <f t="shared" si="106"/>
        <v>0</v>
      </c>
    </row>
    <row r="1948" spans="1:7" hidden="1" x14ac:dyDescent="0.25">
      <c r="A1948" s="85" t="s">
        <v>6547</v>
      </c>
      <c r="B1948" s="81" t="s">
        <v>6545</v>
      </c>
      <c r="C1948" s="26" t="s">
        <v>37</v>
      </c>
      <c r="D1948" s="14"/>
      <c r="E1948" s="15">
        <f>+SUM!H1947</f>
        <v>634996</v>
      </c>
      <c r="F1948" s="16">
        <f t="shared" si="110"/>
        <v>0</v>
      </c>
      <c r="G1948">
        <f t="shared" si="106"/>
        <v>0</v>
      </c>
    </row>
    <row r="1949" spans="1:7" x14ac:dyDescent="0.25">
      <c r="A1949" s="85" t="s">
        <v>6582</v>
      </c>
      <c r="B1949" s="81" t="s">
        <v>6583</v>
      </c>
      <c r="C1949" s="26" t="s">
        <v>37</v>
      </c>
      <c r="D1949" s="14">
        <v>39</v>
      </c>
      <c r="E1949" s="15">
        <f>+SUM!H1948</f>
        <v>645992</v>
      </c>
      <c r="F1949" s="16">
        <f t="shared" si="110"/>
        <v>25193688</v>
      </c>
      <c r="G1949">
        <f>+IF(F1949&lt;&gt;0,1,0)</f>
        <v>1</v>
      </c>
    </row>
    <row r="1950" spans="1:7" hidden="1" x14ac:dyDescent="0.25">
      <c r="A1950" s="78" t="s">
        <v>4575</v>
      </c>
      <c r="B1950" s="80" t="s">
        <v>4576</v>
      </c>
      <c r="C1950" s="26"/>
      <c r="D1950" s="14"/>
      <c r="E1950" s="15">
        <f>+SUM!H1949</f>
        <v>0</v>
      </c>
      <c r="F1950" s="16"/>
      <c r="G1950">
        <f t="shared" ref="G1950:G2013" si="111">+IF(F1950&lt;&gt;0,1,0)</f>
        <v>0</v>
      </c>
    </row>
    <row r="1951" spans="1:7" hidden="1" x14ac:dyDescent="0.25">
      <c r="A1951" s="85" t="s">
        <v>4590</v>
      </c>
      <c r="B1951" s="81" t="s">
        <v>4577</v>
      </c>
      <c r="C1951" s="26" t="s">
        <v>37</v>
      </c>
      <c r="D1951" s="14"/>
      <c r="E1951" s="15">
        <f>+SUM!H1950</f>
        <v>82467</v>
      </c>
      <c r="F1951" s="16">
        <f t="shared" ref="F1951:F1962" si="112">+D1951*E1951</f>
        <v>0</v>
      </c>
      <c r="G1951">
        <f t="shared" si="111"/>
        <v>0</v>
      </c>
    </row>
    <row r="1952" spans="1:7" hidden="1" x14ac:dyDescent="0.25">
      <c r="A1952" s="85" t="s">
        <v>4591</v>
      </c>
      <c r="B1952" s="81" t="s">
        <v>4578</v>
      </c>
      <c r="C1952" s="26" t="s">
        <v>37</v>
      </c>
      <c r="D1952" s="14"/>
      <c r="E1952" s="15">
        <f>+SUM!H1951</f>
        <v>100335</v>
      </c>
      <c r="F1952" s="16">
        <f t="shared" si="112"/>
        <v>0</v>
      </c>
      <c r="G1952">
        <f t="shared" si="111"/>
        <v>0</v>
      </c>
    </row>
    <row r="1953" spans="1:7" hidden="1" x14ac:dyDescent="0.25">
      <c r="A1953" s="85" t="s">
        <v>4592</v>
      </c>
      <c r="B1953" s="81" t="s">
        <v>4579</v>
      </c>
      <c r="C1953" s="26" t="s">
        <v>37</v>
      </c>
      <c r="D1953" s="14"/>
      <c r="E1953" s="15">
        <f>+SUM!H1952</f>
        <v>118203</v>
      </c>
      <c r="F1953" s="16">
        <f t="shared" si="112"/>
        <v>0</v>
      </c>
      <c r="G1953">
        <f t="shared" si="111"/>
        <v>0</v>
      </c>
    </row>
    <row r="1954" spans="1:7" hidden="1" x14ac:dyDescent="0.25">
      <c r="A1954" s="85" t="s">
        <v>4593</v>
      </c>
      <c r="B1954" s="81" t="s">
        <v>4580</v>
      </c>
      <c r="C1954" s="26" t="s">
        <v>37</v>
      </c>
      <c r="D1954" s="14"/>
      <c r="E1954" s="15">
        <f>+SUM!H1953</f>
        <v>163560</v>
      </c>
      <c r="F1954" s="16">
        <f t="shared" si="112"/>
        <v>0</v>
      </c>
      <c r="G1954">
        <f t="shared" si="111"/>
        <v>0</v>
      </c>
    </row>
    <row r="1955" spans="1:7" hidden="1" x14ac:dyDescent="0.25">
      <c r="A1955" s="85" t="s">
        <v>4594</v>
      </c>
      <c r="B1955" s="81" t="s">
        <v>4581</v>
      </c>
      <c r="C1955" s="26" t="s">
        <v>37</v>
      </c>
      <c r="D1955" s="14"/>
      <c r="E1955" s="15">
        <f>+SUM!H1954</f>
        <v>218538</v>
      </c>
      <c r="F1955" s="16">
        <f t="shared" si="112"/>
        <v>0</v>
      </c>
      <c r="G1955">
        <f t="shared" si="111"/>
        <v>0</v>
      </c>
    </row>
    <row r="1956" spans="1:7" hidden="1" x14ac:dyDescent="0.25">
      <c r="A1956" s="85" t="s">
        <v>4595</v>
      </c>
      <c r="B1956" s="81" t="s">
        <v>4582</v>
      </c>
      <c r="C1956" s="26" t="s">
        <v>37</v>
      </c>
      <c r="D1956" s="14"/>
      <c r="E1956" s="15">
        <f>+SUM!H1955</f>
        <v>258397</v>
      </c>
      <c r="F1956" s="16">
        <f t="shared" si="112"/>
        <v>0</v>
      </c>
      <c r="G1956">
        <f t="shared" si="111"/>
        <v>0</v>
      </c>
    </row>
    <row r="1957" spans="1:7" hidden="1" x14ac:dyDescent="0.25">
      <c r="A1957" s="85" t="s">
        <v>4596</v>
      </c>
      <c r="B1957" s="81" t="s">
        <v>4583</v>
      </c>
      <c r="C1957" s="26" t="s">
        <v>37</v>
      </c>
      <c r="D1957" s="14"/>
      <c r="E1957" s="15">
        <f>+SUM!H1956</f>
        <v>269392</v>
      </c>
      <c r="F1957" s="16">
        <f t="shared" si="112"/>
        <v>0</v>
      </c>
      <c r="G1957">
        <f t="shared" si="111"/>
        <v>0</v>
      </c>
    </row>
    <row r="1958" spans="1:7" hidden="1" x14ac:dyDescent="0.25">
      <c r="A1958" s="85" t="s">
        <v>4597</v>
      </c>
      <c r="B1958" s="81" t="s">
        <v>4584</v>
      </c>
      <c r="C1958" s="26" t="s">
        <v>37</v>
      </c>
      <c r="D1958" s="14"/>
      <c r="E1958" s="15">
        <f>+SUM!H1957</f>
        <v>481058</v>
      </c>
      <c r="F1958" s="16">
        <f t="shared" si="112"/>
        <v>0</v>
      </c>
      <c r="G1958">
        <f t="shared" si="111"/>
        <v>0</v>
      </c>
    </row>
    <row r="1959" spans="1:7" hidden="1" x14ac:dyDescent="0.25">
      <c r="A1959" s="85" t="s">
        <v>4598</v>
      </c>
      <c r="B1959" s="81" t="s">
        <v>4585</v>
      </c>
      <c r="C1959" s="26" t="s">
        <v>37</v>
      </c>
      <c r="D1959" s="14"/>
      <c r="E1959" s="15">
        <f>+SUM!H1958</f>
        <v>558027</v>
      </c>
      <c r="F1959" s="16">
        <f t="shared" si="112"/>
        <v>0</v>
      </c>
      <c r="G1959">
        <f t="shared" si="111"/>
        <v>0</v>
      </c>
    </row>
    <row r="1960" spans="1:7" hidden="1" x14ac:dyDescent="0.25">
      <c r="A1960" s="85" t="s">
        <v>4599</v>
      </c>
      <c r="B1960" s="81" t="s">
        <v>4586</v>
      </c>
      <c r="C1960" s="26" t="s">
        <v>37</v>
      </c>
      <c r="D1960" s="14"/>
      <c r="E1960" s="15">
        <f>+SUM!H1959</f>
        <v>678978</v>
      </c>
      <c r="F1960" s="16">
        <f t="shared" si="112"/>
        <v>0</v>
      </c>
      <c r="G1960">
        <f t="shared" si="111"/>
        <v>0</v>
      </c>
    </row>
    <row r="1961" spans="1:7" hidden="1" x14ac:dyDescent="0.25">
      <c r="A1961" s="85" t="s">
        <v>4600</v>
      </c>
      <c r="B1961" s="81" t="s">
        <v>4587</v>
      </c>
      <c r="C1961" s="26" t="s">
        <v>37</v>
      </c>
      <c r="D1961" s="14"/>
      <c r="E1961" s="15">
        <f>+SUM!H1960</f>
        <v>700970</v>
      </c>
      <c r="F1961" s="16">
        <f t="shared" si="112"/>
        <v>0</v>
      </c>
      <c r="G1961">
        <f t="shared" si="111"/>
        <v>0</v>
      </c>
    </row>
    <row r="1962" spans="1:7" hidden="1" x14ac:dyDescent="0.25">
      <c r="A1962" s="85" t="s">
        <v>4601</v>
      </c>
      <c r="B1962" s="81" t="s">
        <v>4588</v>
      </c>
      <c r="C1962" s="26" t="s">
        <v>37</v>
      </c>
      <c r="D1962" s="14"/>
      <c r="E1962" s="15">
        <f>+SUM!H1961</f>
        <v>743577</v>
      </c>
      <c r="F1962" s="16">
        <f t="shared" si="112"/>
        <v>0</v>
      </c>
      <c r="G1962">
        <f t="shared" si="111"/>
        <v>0</v>
      </c>
    </row>
    <row r="1963" spans="1:7" hidden="1" x14ac:dyDescent="0.25">
      <c r="A1963" s="85" t="s">
        <v>6548</v>
      </c>
      <c r="B1963" s="81" t="s">
        <v>6546</v>
      </c>
      <c r="C1963" s="26" t="s">
        <v>37</v>
      </c>
      <c r="D1963" s="14"/>
      <c r="E1963" s="15"/>
      <c r="F1963" s="16"/>
      <c r="G1963">
        <f t="shared" si="111"/>
        <v>0</v>
      </c>
    </row>
    <row r="1964" spans="1:7" x14ac:dyDescent="0.25">
      <c r="A1964" s="78" t="s">
        <v>4589</v>
      </c>
      <c r="B1964" s="80" t="s">
        <v>993</v>
      </c>
      <c r="C1964" s="14"/>
      <c r="D1964" s="14"/>
      <c r="E1964" s="15"/>
      <c r="F1964" s="16"/>
      <c r="G1964">
        <v>1</v>
      </c>
    </row>
    <row r="1965" spans="1:7" x14ac:dyDescent="0.25">
      <c r="A1965" s="78" t="s">
        <v>4603</v>
      </c>
      <c r="B1965" s="80" t="s">
        <v>4602</v>
      </c>
      <c r="C1965" s="14"/>
      <c r="D1965" s="14"/>
      <c r="E1965" s="15"/>
      <c r="F1965" s="16"/>
      <c r="G1965">
        <v>1</v>
      </c>
    </row>
    <row r="1966" spans="1:7" hidden="1" x14ac:dyDescent="0.25">
      <c r="A1966" s="85" t="s">
        <v>4604</v>
      </c>
      <c r="B1966" s="81" t="s">
        <v>4605</v>
      </c>
      <c r="C1966" s="26" t="s">
        <v>37</v>
      </c>
      <c r="D1966" s="14"/>
      <c r="E1966" s="15">
        <f>+SUM!H1966</f>
        <v>63225</v>
      </c>
      <c r="F1966" s="16">
        <f t="shared" ref="F1966:F1977" si="113">+D1966*E1966</f>
        <v>0</v>
      </c>
      <c r="G1966">
        <f t="shared" si="111"/>
        <v>0</v>
      </c>
    </row>
    <row r="1967" spans="1:7" hidden="1" x14ac:dyDescent="0.25">
      <c r="A1967" s="85" t="s">
        <v>4616</v>
      </c>
      <c r="B1967" s="81" t="s">
        <v>6519</v>
      </c>
      <c r="C1967" s="26" t="s">
        <v>37</v>
      </c>
      <c r="D1967" s="14"/>
      <c r="E1967" s="15">
        <f>+SUM!H1967</f>
        <v>109956</v>
      </c>
      <c r="F1967" s="16">
        <f t="shared" si="113"/>
        <v>0</v>
      </c>
      <c r="G1967">
        <f t="shared" si="111"/>
        <v>0</v>
      </c>
    </row>
    <row r="1968" spans="1:7" ht="15.75" thickBot="1" x14ac:dyDescent="0.3">
      <c r="A1968" s="85" t="s">
        <v>4617</v>
      </c>
      <c r="B1968" s="81" t="s">
        <v>4606</v>
      </c>
      <c r="C1968" s="26" t="s">
        <v>37</v>
      </c>
      <c r="D1968" s="14">
        <v>4</v>
      </c>
      <c r="E1968" s="15">
        <f>+SUM!H1968</f>
        <v>142943</v>
      </c>
      <c r="F1968" s="16">
        <f t="shared" si="113"/>
        <v>571772</v>
      </c>
      <c r="G1968">
        <f t="shared" si="111"/>
        <v>1</v>
      </c>
    </row>
    <row r="1969" spans="1:7" ht="15.75" hidden="1" thickBot="1" x14ac:dyDescent="0.3">
      <c r="A1969" s="85" t="s">
        <v>4618</v>
      </c>
      <c r="B1969" s="81" t="s">
        <v>4607</v>
      </c>
      <c r="C1969" s="26" t="s">
        <v>37</v>
      </c>
      <c r="D1969" s="14"/>
      <c r="E1969" s="15">
        <f>+SUM!H1969</f>
        <v>230908</v>
      </c>
      <c r="F1969" s="16">
        <f t="shared" si="113"/>
        <v>0</v>
      </c>
      <c r="G1969">
        <f t="shared" si="111"/>
        <v>0</v>
      </c>
    </row>
    <row r="1970" spans="1:7" ht="15.75" hidden="1" thickBot="1" x14ac:dyDescent="0.3">
      <c r="A1970" s="85" t="s">
        <v>4619</v>
      </c>
      <c r="B1970" s="81" t="s">
        <v>4608</v>
      </c>
      <c r="C1970" s="26" t="s">
        <v>37</v>
      </c>
      <c r="D1970" s="14"/>
      <c r="E1970" s="15">
        <f>+SUM!H1970</f>
        <v>372476</v>
      </c>
      <c r="F1970" s="16">
        <f t="shared" si="113"/>
        <v>0</v>
      </c>
      <c r="G1970">
        <f t="shared" si="111"/>
        <v>0</v>
      </c>
    </row>
    <row r="1971" spans="1:7" ht="15.75" hidden="1" thickBot="1" x14ac:dyDescent="0.3">
      <c r="A1971" s="85" t="s">
        <v>4620</v>
      </c>
      <c r="B1971" s="81" t="s">
        <v>4609</v>
      </c>
      <c r="C1971" s="26" t="s">
        <v>37</v>
      </c>
      <c r="D1971" s="14"/>
      <c r="E1971" s="15">
        <f>+SUM!H1971</f>
        <v>678978</v>
      </c>
      <c r="F1971" s="16">
        <f t="shared" si="113"/>
        <v>0</v>
      </c>
      <c r="G1971">
        <f t="shared" si="111"/>
        <v>0</v>
      </c>
    </row>
    <row r="1972" spans="1:7" ht="15.75" hidden="1" thickBot="1" x14ac:dyDescent="0.3">
      <c r="A1972" s="85" t="s">
        <v>4621</v>
      </c>
      <c r="B1972" s="81" t="s">
        <v>4610</v>
      </c>
      <c r="C1972" s="26" t="s">
        <v>37</v>
      </c>
      <c r="D1972" s="14"/>
      <c r="E1972" s="15">
        <f>+SUM!H1972</f>
        <v>872776</v>
      </c>
      <c r="F1972" s="16">
        <f t="shared" si="113"/>
        <v>0</v>
      </c>
      <c r="G1972">
        <f t="shared" si="111"/>
        <v>0</v>
      </c>
    </row>
    <row r="1973" spans="1:7" ht="15.75" hidden="1" thickBot="1" x14ac:dyDescent="0.3">
      <c r="A1973" s="85" t="s">
        <v>4622</v>
      </c>
      <c r="B1973" s="81" t="s">
        <v>4611</v>
      </c>
      <c r="C1973" s="26" t="s">
        <v>37</v>
      </c>
      <c r="D1973" s="14"/>
      <c r="E1973" s="15">
        <f>+SUM!H1973</f>
        <v>1164159</v>
      </c>
      <c r="F1973" s="16">
        <f t="shared" si="113"/>
        <v>0</v>
      </c>
      <c r="G1973">
        <f t="shared" si="111"/>
        <v>0</v>
      </c>
    </row>
    <row r="1974" spans="1:7" ht="15.75" hidden="1" thickBot="1" x14ac:dyDescent="0.3">
      <c r="A1974" s="85" t="s">
        <v>4623</v>
      </c>
      <c r="B1974" s="81" t="s">
        <v>4612</v>
      </c>
      <c r="C1974" s="26" t="s">
        <v>37</v>
      </c>
      <c r="D1974" s="14"/>
      <c r="E1974" s="15">
        <f>+SUM!H1974</f>
        <v>1551754</v>
      </c>
      <c r="F1974" s="16">
        <f t="shared" si="113"/>
        <v>0</v>
      </c>
      <c r="G1974">
        <f t="shared" si="111"/>
        <v>0</v>
      </c>
    </row>
    <row r="1975" spans="1:7" ht="15.75" hidden="1" thickBot="1" x14ac:dyDescent="0.3">
      <c r="A1975" s="85" t="s">
        <v>4624</v>
      </c>
      <c r="B1975" s="81" t="s">
        <v>4613</v>
      </c>
      <c r="C1975" s="26" t="s">
        <v>37</v>
      </c>
      <c r="D1975" s="14"/>
      <c r="E1975" s="15">
        <f>+SUM!H1975</f>
        <v>1915983</v>
      </c>
      <c r="F1975" s="16">
        <f t="shared" si="113"/>
        <v>0</v>
      </c>
      <c r="G1975">
        <f t="shared" si="111"/>
        <v>0</v>
      </c>
    </row>
    <row r="1976" spans="1:7" ht="15.75" hidden="1" thickBot="1" x14ac:dyDescent="0.3">
      <c r="A1976" s="85" t="s">
        <v>4625</v>
      </c>
      <c r="B1976" s="81" t="s">
        <v>4614</v>
      </c>
      <c r="C1976" s="26" t="s">
        <v>37</v>
      </c>
      <c r="D1976" s="14"/>
      <c r="E1976" s="15"/>
      <c r="F1976" s="16">
        <f t="shared" si="113"/>
        <v>0</v>
      </c>
      <c r="G1976">
        <f t="shared" si="111"/>
        <v>0</v>
      </c>
    </row>
    <row r="1977" spans="1:7" ht="15.75" hidden="1" thickBot="1" x14ac:dyDescent="0.3">
      <c r="A1977" s="85" t="s">
        <v>4626</v>
      </c>
      <c r="B1977" s="81" t="s">
        <v>4615</v>
      </c>
      <c r="C1977" s="26" t="s">
        <v>37</v>
      </c>
      <c r="D1977" s="14"/>
      <c r="E1977" s="15"/>
      <c r="F1977" s="16">
        <f t="shared" si="113"/>
        <v>0</v>
      </c>
      <c r="G1977">
        <f t="shared" si="111"/>
        <v>0</v>
      </c>
    </row>
    <row r="1978" spans="1:7" ht="15.75" hidden="1" thickBot="1" x14ac:dyDescent="0.3">
      <c r="A1978" s="78" t="s">
        <v>4627</v>
      </c>
      <c r="B1978" s="80" t="s">
        <v>4628</v>
      </c>
      <c r="C1978" s="14"/>
      <c r="D1978" s="14"/>
      <c r="E1978" s="15"/>
      <c r="F1978" s="16"/>
      <c r="G1978">
        <f t="shared" si="111"/>
        <v>0</v>
      </c>
    </row>
    <row r="1979" spans="1:7" ht="15.75" hidden="1" thickBot="1" x14ac:dyDescent="0.3">
      <c r="A1979" s="85" t="s">
        <v>4640</v>
      </c>
      <c r="B1979" s="81" t="s">
        <v>4629</v>
      </c>
      <c r="C1979" s="26" t="s">
        <v>37</v>
      </c>
      <c r="D1979" s="14"/>
      <c r="E1979" s="15"/>
      <c r="F1979" s="16">
        <f t="shared" ref="F1979:F1990" si="114">+D1979*E1979</f>
        <v>0</v>
      </c>
      <c r="G1979">
        <f t="shared" si="111"/>
        <v>0</v>
      </c>
    </row>
    <row r="1980" spans="1:7" ht="15.75" hidden="1" thickBot="1" x14ac:dyDescent="0.3">
      <c r="A1980" s="85" t="s">
        <v>4641</v>
      </c>
      <c r="B1980" s="81" t="s">
        <v>4630</v>
      </c>
      <c r="C1980" s="26" t="s">
        <v>37</v>
      </c>
      <c r="D1980" s="14"/>
      <c r="E1980" s="15"/>
      <c r="F1980" s="16">
        <f t="shared" si="114"/>
        <v>0</v>
      </c>
      <c r="G1980">
        <f t="shared" si="111"/>
        <v>0</v>
      </c>
    </row>
    <row r="1981" spans="1:7" ht="15.75" hidden="1" thickBot="1" x14ac:dyDescent="0.3">
      <c r="A1981" s="85" t="s">
        <v>4642</v>
      </c>
      <c r="B1981" s="81" t="s">
        <v>4630</v>
      </c>
      <c r="C1981" s="26" t="s">
        <v>37</v>
      </c>
      <c r="D1981" s="14"/>
      <c r="E1981" s="15"/>
      <c r="F1981" s="16">
        <f t="shared" si="114"/>
        <v>0</v>
      </c>
      <c r="G1981">
        <f t="shared" si="111"/>
        <v>0</v>
      </c>
    </row>
    <row r="1982" spans="1:7" ht="15.75" hidden="1" thickBot="1" x14ac:dyDescent="0.3">
      <c r="A1982" s="85" t="s">
        <v>4643</v>
      </c>
      <c r="B1982" s="81" t="s">
        <v>4631</v>
      </c>
      <c r="C1982" s="26" t="s">
        <v>37</v>
      </c>
      <c r="D1982" s="14"/>
      <c r="E1982" s="15"/>
      <c r="F1982" s="16">
        <f t="shared" si="114"/>
        <v>0</v>
      </c>
      <c r="G1982">
        <f t="shared" si="111"/>
        <v>0</v>
      </c>
    </row>
    <row r="1983" spans="1:7" ht="15.75" hidden="1" thickBot="1" x14ac:dyDescent="0.3">
      <c r="A1983" s="85" t="s">
        <v>4644</v>
      </c>
      <c r="B1983" s="81" t="s">
        <v>4632</v>
      </c>
      <c r="C1983" s="26" t="s">
        <v>37</v>
      </c>
      <c r="D1983" s="14"/>
      <c r="E1983" s="15"/>
      <c r="F1983" s="16">
        <f t="shared" si="114"/>
        <v>0</v>
      </c>
      <c r="G1983">
        <f t="shared" si="111"/>
        <v>0</v>
      </c>
    </row>
    <row r="1984" spans="1:7" ht="15.75" hidden="1" thickBot="1" x14ac:dyDescent="0.3">
      <c r="A1984" s="85" t="s">
        <v>4645</v>
      </c>
      <c r="B1984" s="81" t="s">
        <v>4633</v>
      </c>
      <c r="C1984" s="26" t="s">
        <v>37</v>
      </c>
      <c r="D1984" s="14"/>
      <c r="E1984" s="15"/>
      <c r="F1984" s="16">
        <f t="shared" si="114"/>
        <v>0</v>
      </c>
      <c r="G1984">
        <f t="shared" si="111"/>
        <v>0</v>
      </c>
    </row>
    <row r="1985" spans="1:7" ht="15.75" hidden="1" thickBot="1" x14ac:dyDescent="0.3">
      <c r="A1985" s="85" t="s">
        <v>4646</v>
      </c>
      <c r="B1985" s="81" t="s">
        <v>4634</v>
      </c>
      <c r="C1985" s="26" t="s">
        <v>37</v>
      </c>
      <c r="D1985" s="14"/>
      <c r="E1985" s="15"/>
      <c r="F1985" s="16">
        <f t="shared" si="114"/>
        <v>0</v>
      </c>
      <c r="G1985">
        <f t="shared" si="111"/>
        <v>0</v>
      </c>
    </row>
    <row r="1986" spans="1:7" ht="15.75" hidden="1" thickBot="1" x14ac:dyDescent="0.3">
      <c r="A1986" s="85" t="s">
        <v>4647</v>
      </c>
      <c r="B1986" s="81" t="s">
        <v>4635</v>
      </c>
      <c r="C1986" s="26" t="s">
        <v>37</v>
      </c>
      <c r="D1986" s="14"/>
      <c r="E1986" s="15"/>
      <c r="F1986" s="16">
        <f t="shared" si="114"/>
        <v>0</v>
      </c>
      <c r="G1986">
        <f t="shared" si="111"/>
        <v>0</v>
      </c>
    </row>
    <row r="1987" spans="1:7" ht="15.75" hidden="1" thickBot="1" x14ac:dyDescent="0.3">
      <c r="A1987" s="85" t="s">
        <v>4648</v>
      </c>
      <c r="B1987" s="81" t="s">
        <v>4636</v>
      </c>
      <c r="C1987" s="26" t="s">
        <v>37</v>
      </c>
      <c r="D1987" s="14"/>
      <c r="E1987" s="15"/>
      <c r="F1987" s="16">
        <f t="shared" si="114"/>
        <v>0</v>
      </c>
      <c r="G1987">
        <f t="shared" si="111"/>
        <v>0</v>
      </c>
    </row>
    <row r="1988" spans="1:7" ht="15.75" hidden="1" thickBot="1" x14ac:dyDescent="0.3">
      <c r="A1988" s="85" t="s">
        <v>4649</v>
      </c>
      <c r="B1988" s="81" t="s">
        <v>4637</v>
      </c>
      <c r="C1988" s="26" t="s">
        <v>37</v>
      </c>
      <c r="D1988" s="14"/>
      <c r="E1988" s="15"/>
      <c r="F1988" s="16">
        <f t="shared" si="114"/>
        <v>0</v>
      </c>
      <c r="G1988">
        <f t="shared" si="111"/>
        <v>0</v>
      </c>
    </row>
    <row r="1989" spans="1:7" ht="15.75" hidden="1" thickBot="1" x14ac:dyDescent="0.3">
      <c r="A1989" s="85" t="s">
        <v>4650</v>
      </c>
      <c r="B1989" s="81" t="s">
        <v>4638</v>
      </c>
      <c r="C1989" s="26" t="s">
        <v>37</v>
      </c>
      <c r="D1989" s="14"/>
      <c r="E1989" s="15"/>
      <c r="F1989" s="16">
        <f t="shared" si="114"/>
        <v>0</v>
      </c>
      <c r="G1989">
        <f t="shared" si="111"/>
        <v>0</v>
      </c>
    </row>
    <row r="1990" spans="1:7" ht="15.75" hidden="1" thickBot="1" x14ac:dyDescent="0.3">
      <c r="A1990" s="85" t="s">
        <v>4651</v>
      </c>
      <c r="B1990" s="81" t="s">
        <v>4639</v>
      </c>
      <c r="C1990" s="26" t="s">
        <v>37</v>
      </c>
      <c r="D1990" s="14"/>
      <c r="E1990" s="15"/>
      <c r="F1990" s="16">
        <f t="shared" si="114"/>
        <v>0</v>
      </c>
      <c r="G1990">
        <f t="shared" si="111"/>
        <v>0</v>
      </c>
    </row>
    <row r="1991" spans="1:7" ht="15.75" hidden="1" thickBot="1" x14ac:dyDescent="0.3">
      <c r="A1991" s="78" t="s">
        <v>4660</v>
      </c>
      <c r="B1991" s="80" t="s">
        <v>4671</v>
      </c>
      <c r="C1991" s="14"/>
      <c r="D1991" s="14"/>
      <c r="E1991" s="15"/>
      <c r="F1991" s="16"/>
      <c r="G1991">
        <f t="shared" si="111"/>
        <v>0</v>
      </c>
    </row>
    <row r="1992" spans="1:7" ht="15.75" hidden="1" thickBot="1" x14ac:dyDescent="0.3">
      <c r="A1992" s="85" t="s">
        <v>4661</v>
      </c>
      <c r="B1992" s="81" t="s">
        <v>4652</v>
      </c>
      <c r="C1992" s="26" t="s">
        <v>37</v>
      </c>
      <c r="D1992" s="14"/>
      <c r="E1992" s="15"/>
      <c r="F1992" s="16">
        <f t="shared" ref="F1992:F1998" si="115">+D1992*E1992</f>
        <v>0</v>
      </c>
      <c r="G1992">
        <f t="shared" si="111"/>
        <v>0</v>
      </c>
    </row>
    <row r="1993" spans="1:7" ht="15.75" hidden="1" thickBot="1" x14ac:dyDescent="0.3">
      <c r="A1993" s="85" t="s">
        <v>4662</v>
      </c>
      <c r="B1993" s="81" t="s">
        <v>4653</v>
      </c>
      <c r="C1993" s="26" t="s">
        <v>37</v>
      </c>
      <c r="D1993" s="14"/>
      <c r="E1993" s="15"/>
      <c r="F1993" s="16">
        <f t="shared" si="115"/>
        <v>0</v>
      </c>
      <c r="G1993">
        <f t="shared" si="111"/>
        <v>0</v>
      </c>
    </row>
    <row r="1994" spans="1:7" ht="15.75" hidden="1" thickBot="1" x14ac:dyDescent="0.3">
      <c r="A1994" s="85" t="s">
        <v>4663</v>
      </c>
      <c r="B1994" s="81" t="s">
        <v>4654</v>
      </c>
      <c r="C1994" s="26" t="s">
        <v>37</v>
      </c>
      <c r="D1994" s="14"/>
      <c r="E1994" s="15"/>
      <c r="F1994" s="16">
        <f t="shared" si="115"/>
        <v>0</v>
      </c>
      <c r="G1994">
        <f t="shared" si="111"/>
        <v>0</v>
      </c>
    </row>
    <row r="1995" spans="1:7" ht="15.75" hidden="1" thickBot="1" x14ac:dyDescent="0.3">
      <c r="A1995" s="85" t="s">
        <v>4664</v>
      </c>
      <c r="B1995" s="81" t="s">
        <v>4655</v>
      </c>
      <c r="C1995" s="26" t="s">
        <v>37</v>
      </c>
      <c r="D1995" s="14"/>
      <c r="E1995" s="15"/>
      <c r="F1995" s="16">
        <f t="shared" si="115"/>
        <v>0</v>
      </c>
      <c r="G1995">
        <f t="shared" si="111"/>
        <v>0</v>
      </c>
    </row>
    <row r="1996" spans="1:7" ht="15.75" hidden="1" thickBot="1" x14ac:dyDescent="0.3">
      <c r="A1996" s="85" t="s">
        <v>4665</v>
      </c>
      <c r="B1996" s="81" t="s">
        <v>4656</v>
      </c>
      <c r="C1996" s="26" t="s">
        <v>37</v>
      </c>
      <c r="D1996" s="14"/>
      <c r="E1996" s="15"/>
      <c r="F1996" s="16">
        <f t="shared" si="115"/>
        <v>0</v>
      </c>
      <c r="G1996">
        <f t="shared" si="111"/>
        <v>0</v>
      </c>
    </row>
    <row r="1997" spans="1:7" ht="15.75" hidden="1" thickBot="1" x14ac:dyDescent="0.3">
      <c r="A1997" s="85" t="s">
        <v>4666</v>
      </c>
      <c r="B1997" s="81" t="s">
        <v>4657</v>
      </c>
      <c r="C1997" s="26" t="s">
        <v>37</v>
      </c>
      <c r="D1997" s="14"/>
      <c r="E1997" s="15"/>
      <c r="F1997" s="16">
        <f t="shared" si="115"/>
        <v>0</v>
      </c>
      <c r="G1997">
        <f t="shared" si="111"/>
        <v>0</v>
      </c>
    </row>
    <row r="1998" spans="1:7" ht="15.75" hidden="1" thickBot="1" x14ac:dyDescent="0.3">
      <c r="A1998" s="85" t="s">
        <v>4667</v>
      </c>
      <c r="B1998" s="81" t="s">
        <v>4658</v>
      </c>
      <c r="C1998" s="26" t="s">
        <v>37</v>
      </c>
      <c r="D1998" s="14"/>
      <c r="E1998" s="15"/>
      <c r="F1998" s="16">
        <f t="shared" si="115"/>
        <v>0</v>
      </c>
      <c r="G1998">
        <f t="shared" si="111"/>
        <v>0</v>
      </c>
    </row>
    <row r="1999" spans="1:7" ht="15.75" hidden="1" thickBot="1" x14ac:dyDescent="0.3">
      <c r="A1999" s="78" t="s">
        <v>4668</v>
      </c>
      <c r="B1999" s="80" t="s">
        <v>995</v>
      </c>
      <c r="C1999" s="14"/>
      <c r="D1999" s="14"/>
      <c r="E1999" s="15"/>
      <c r="F1999" s="16"/>
      <c r="G1999">
        <f t="shared" si="111"/>
        <v>0</v>
      </c>
    </row>
    <row r="2000" spans="1:7" ht="15.75" hidden="1" thickBot="1" x14ac:dyDescent="0.3">
      <c r="A2000" s="78" t="s">
        <v>4669</v>
      </c>
      <c r="B2000" s="80" t="s">
        <v>4670</v>
      </c>
      <c r="C2000" s="14"/>
      <c r="D2000" s="14"/>
      <c r="E2000" s="15"/>
      <c r="F2000" s="16"/>
      <c r="G2000">
        <f t="shared" si="111"/>
        <v>0</v>
      </c>
    </row>
    <row r="2001" spans="1:7" ht="15.75" hidden="1" thickBot="1" x14ac:dyDescent="0.3">
      <c r="A2001" s="78" t="s">
        <v>4672</v>
      </c>
      <c r="B2001" s="80" t="s">
        <v>4673</v>
      </c>
      <c r="C2001" s="14"/>
      <c r="D2001" s="14"/>
      <c r="E2001" s="15"/>
      <c r="F2001" s="16"/>
      <c r="G2001">
        <f t="shared" si="111"/>
        <v>0</v>
      </c>
    </row>
    <row r="2002" spans="1:7" ht="15.75" hidden="1" thickBot="1" x14ac:dyDescent="0.3">
      <c r="A2002" s="85" t="s">
        <v>4674</v>
      </c>
      <c r="B2002" s="81" t="s">
        <v>4683</v>
      </c>
      <c r="C2002" s="26" t="s">
        <v>37</v>
      </c>
      <c r="D2002" s="14"/>
      <c r="E2002" s="15"/>
      <c r="F2002" s="16">
        <f t="shared" ref="F2002:F2008" si="116">+D2002*E2002</f>
        <v>0</v>
      </c>
      <c r="G2002">
        <f t="shared" si="111"/>
        <v>0</v>
      </c>
    </row>
    <row r="2003" spans="1:7" ht="15.75" hidden="1" thickBot="1" x14ac:dyDescent="0.3">
      <c r="A2003" s="85" t="s">
        <v>4675</v>
      </c>
      <c r="B2003" s="81" t="s">
        <v>4684</v>
      </c>
      <c r="C2003" s="26" t="s">
        <v>37</v>
      </c>
      <c r="D2003" s="14"/>
      <c r="E2003" s="15"/>
      <c r="F2003" s="16">
        <f t="shared" si="116"/>
        <v>0</v>
      </c>
      <c r="G2003">
        <f t="shared" si="111"/>
        <v>0</v>
      </c>
    </row>
    <row r="2004" spans="1:7" ht="15.75" hidden="1" thickBot="1" x14ac:dyDescent="0.3">
      <c r="A2004" s="85" t="s">
        <v>4676</v>
      </c>
      <c r="B2004" s="81" t="s">
        <v>4685</v>
      </c>
      <c r="C2004" s="26" t="s">
        <v>37</v>
      </c>
      <c r="D2004" s="14"/>
      <c r="E2004" s="15"/>
      <c r="F2004" s="16">
        <f t="shared" si="116"/>
        <v>0</v>
      </c>
      <c r="G2004">
        <f t="shared" si="111"/>
        <v>0</v>
      </c>
    </row>
    <row r="2005" spans="1:7" ht="15.75" hidden="1" thickBot="1" x14ac:dyDescent="0.3">
      <c r="A2005" s="85" t="s">
        <v>4677</v>
      </c>
      <c r="B2005" s="81" t="s">
        <v>4686</v>
      </c>
      <c r="C2005" s="26" t="s">
        <v>37</v>
      </c>
      <c r="D2005" s="14"/>
      <c r="E2005" s="15"/>
      <c r="F2005" s="16">
        <f t="shared" si="116"/>
        <v>0</v>
      </c>
      <c r="G2005">
        <f t="shared" si="111"/>
        <v>0</v>
      </c>
    </row>
    <row r="2006" spans="1:7" ht="15.75" hidden="1" thickBot="1" x14ac:dyDescent="0.3">
      <c r="A2006" s="85" t="s">
        <v>4678</v>
      </c>
      <c r="B2006" s="81" t="s">
        <v>4687</v>
      </c>
      <c r="C2006" s="26" t="s">
        <v>37</v>
      </c>
      <c r="D2006" s="14"/>
      <c r="E2006" s="15"/>
      <c r="F2006" s="16">
        <f t="shared" si="116"/>
        <v>0</v>
      </c>
      <c r="G2006">
        <f t="shared" si="111"/>
        <v>0</v>
      </c>
    </row>
    <row r="2007" spans="1:7" ht="15.75" hidden="1" thickBot="1" x14ac:dyDescent="0.3">
      <c r="A2007" s="85" t="s">
        <v>4679</v>
      </c>
      <c r="B2007" s="81" t="s">
        <v>4688</v>
      </c>
      <c r="C2007" s="26" t="s">
        <v>37</v>
      </c>
      <c r="D2007" s="14"/>
      <c r="E2007" s="15"/>
      <c r="F2007" s="16">
        <f t="shared" si="116"/>
        <v>0</v>
      </c>
      <c r="G2007">
        <f t="shared" si="111"/>
        <v>0</v>
      </c>
    </row>
    <row r="2008" spans="1:7" ht="15.75" hidden="1" thickBot="1" x14ac:dyDescent="0.3">
      <c r="A2008" s="85" t="s">
        <v>4680</v>
      </c>
      <c r="B2008" s="81" t="s">
        <v>4689</v>
      </c>
      <c r="C2008" s="26" t="s">
        <v>37</v>
      </c>
      <c r="D2008" s="14"/>
      <c r="E2008" s="15"/>
      <c r="F2008" s="16">
        <f t="shared" si="116"/>
        <v>0</v>
      </c>
      <c r="G2008">
        <f t="shared" si="111"/>
        <v>0</v>
      </c>
    </row>
    <row r="2009" spans="1:7" ht="15.75" hidden="1" thickBot="1" x14ac:dyDescent="0.3">
      <c r="A2009" s="78" t="s">
        <v>4682</v>
      </c>
      <c r="B2009" s="80" t="s">
        <v>4681</v>
      </c>
      <c r="C2009" s="14"/>
      <c r="D2009" s="14"/>
      <c r="E2009" s="15"/>
      <c r="F2009" s="16"/>
      <c r="G2009">
        <f t="shared" si="111"/>
        <v>0</v>
      </c>
    </row>
    <row r="2010" spans="1:7" ht="15.75" hidden="1" thickBot="1" x14ac:dyDescent="0.3">
      <c r="A2010" s="85" t="s">
        <v>4690</v>
      </c>
      <c r="B2010" s="81" t="s">
        <v>4683</v>
      </c>
      <c r="C2010" s="26" t="s">
        <v>37</v>
      </c>
      <c r="D2010" s="14"/>
      <c r="E2010" s="15"/>
      <c r="F2010" s="16">
        <f t="shared" ref="F2010:F2016" si="117">+D2010*E2010</f>
        <v>0</v>
      </c>
      <c r="G2010">
        <f t="shared" si="111"/>
        <v>0</v>
      </c>
    </row>
    <row r="2011" spans="1:7" ht="15.75" hidden="1" thickBot="1" x14ac:dyDescent="0.3">
      <c r="A2011" s="85" t="s">
        <v>4691</v>
      </c>
      <c r="B2011" s="81" t="s">
        <v>4684</v>
      </c>
      <c r="C2011" s="26" t="s">
        <v>37</v>
      </c>
      <c r="D2011" s="14"/>
      <c r="E2011" s="15"/>
      <c r="F2011" s="16">
        <f t="shared" si="117"/>
        <v>0</v>
      </c>
      <c r="G2011">
        <f t="shared" si="111"/>
        <v>0</v>
      </c>
    </row>
    <row r="2012" spans="1:7" ht="15.75" hidden="1" thickBot="1" x14ac:dyDescent="0.3">
      <c r="A2012" s="85" t="s">
        <v>4692</v>
      </c>
      <c r="B2012" s="81" t="s">
        <v>4685</v>
      </c>
      <c r="C2012" s="26" t="s">
        <v>37</v>
      </c>
      <c r="D2012" s="14"/>
      <c r="E2012" s="15"/>
      <c r="F2012" s="16">
        <f t="shared" si="117"/>
        <v>0</v>
      </c>
      <c r="G2012">
        <f t="shared" si="111"/>
        <v>0</v>
      </c>
    </row>
    <row r="2013" spans="1:7" ht="15.75" hidden="1" thickBot="1" x14ac:dyDescent="0.3">
      <c r="A2013" s="85" t="s">
        <v>4693</v>
      </c>
      <c r="B2013" s="81" t="s">
        <v>4686</v>
      </c>
      <c r="C2013" s="26" t="s">
        <v>37</v>
      </c>
      <c r="D2013" s="14"/>
      <c r="E2013" s="15"/>
      <c r="F2013" s="16">
        <f t="shared" si="117"/>
        <v>0</v>
      </c>
      <c r="G2013">
        <f t="shared" si="111"/>
        <v>0</v>
      </c>
    </row>
    <row r="2014" spans="1:7" ht="15.75" hidden="1" thickBot="1" x14ac:dyDescent="0.3">
      <c r="A2014" s="85" t="s">
        <v>4694</v>
      </c>
      <c r="B2014" s="81" t="s">
        <v>4687</v>
      </c>
      <c r="C2014" s="26" t="s">
        <v>37</v>
      </c>
      <c r="D2014" s="14"/>
      <c r="E2014" s="15"/>
      <c r="F2014" s="16">
        <f t="shared" si="117"/>
        <v>0</v>
      </c>
      <c r="G2014">
        <f t="shared" ref="G2014:G2077" si="118">+IF(F2014&lt;&gt;0,1,0)</f>
        <v>0</v>
      </c>
    </row>
    <row r="2015" spans="1:7" ht="15.75" hidden="1" thickBot="1" x14ac:dyDescent="0.3">
      <c r="A2015" s="85" t="s">
        <v>4695</v>
      </c>
      <c r="B2015" s="81" t="s">
        <v>4688</v>
      </c>
      <c r="C2015" s="26" t="s">
        <v>37</v>
      </c>
      <c r="D2015" s="14"/>
      <c r="E2015" s="15"/>
      <c r="F2015" s="16">
        <f t="shared" si="117"/>
        <v>0</v>
      </c>
      <c r="G2015">
        <f t="shared" si="118"/>
        <v>0</v>
      </c>
    </row>
    <row r="2016" spans="1:7" ht="15.75" hidden="1" thickBot="1" x14ac:dyDescent="0.3">
      <c r="A2016" s="85" t="s">
        <v>4696</v>
      </c>
      <c r="B2016" s="81" t="s">
        <v>4689</v>
      </c>
      <c r="C2016" s="26" t="s">
        <v>37</v>
      </c>
      <c r="D2016" s="14"/>
      <c r="E2016" s="15"/>
      <c r="F2016" s="16">
        <f t="shared" si="117"/>
        <v>0</v>
      </c>
      <c r="G2016">
        <f t="shared" si="118"/>
        <v>0</v>
      </c>
    </row>
    <row r="2017" spans="1:7" ht="15.75" hidden="1" thickBot="1" x14ac:dyDescent="0.3">
      <c r="A2017" s="78" t="s">
        <v>4699</v>
      </c>
      <c r="B2017" s="80" t="s">
        <v>4697</v>
      </c>
      <c r="C2017" s="14"/>
      <c r="D2017" s="14"/>
      <c r="E2017" s="15"/>
      <c r="F2017" s="16"/>
      <c r="G2017">
        <f t="shared" si="118"/>
        <v>0</v>
      </c>
    </row>
    <row r="2018" spans="1:7" ht="15.75" hidden="1" thickBot="1" x14ac:dyDescent="0.3">
      <c r="A2018" s="85" t="s">
        <v>4698</v>
      </c>
      <c r="B2018" s="81" t="s">
        <v>4683</v>
      </c>
      <c r="C2018" s="26" t="s">
        <v>37</v>
      </c>
      <c r="D2018" s="14"/>
      <c r="E2018" s="15"/>
      <c r="F2018" s="16">
        <f t="shared" ref="F2018:F2024" si="119">+D2018*E2018</f>
        <v>0</v>
      </c>
      <c r="G2018">
        <f t="shared" si="118"/>
        <v>0</v>
      </c>
    </row>
    <row r="2019" spans="1:7" ht="15.75" hidden="1" thickBot="1" x14ac:dyDescent="0.3">
      <c r="A2019" s="85" t="s">
        <v>4700</v>
      </c>
      <c r="B2019" s="81" t="s">
        <v>4684</v>
      </c>
      <c r="C2019" s="26" t="s">
        <v>37</v>
      </c>
      <c r="D2019" s="14"/>
      <c r="E2019" s="15"/>
      <c r="F2019" s="16">
        <f t="shared" si="119"/>
        <v>0</v>
      </c>
      <c r="G2019">
        <f t="shared" si="118"/>
        <v>0</v>
      </c>
    </row>
    <row r="2020" spans="1:7" ht="15.75" hidden="1" thickBot="1" x14ac:dyDescent="0.3">
      <c r="A2020" s="85" t="s">
        <v>4701</v>
      </c>
      <c r="B2020" s="81" t="s">
        <v>4685</v>
      </c>
      <c r="C2020" s="26" t="s">
        <v>37</v>
      </c>
      <c r="D2020" s="14"/>
      <c r="E2020" s="15"/>
      <c r="F2020" s="16">
        <f t="shared" si="119"/>
        <v>0</v>
      </c>
      <c r="G2020">
        <f t="shared" si="118"/>
        <v>0</v>
      </c>
    </row>
    <row r="2021" spans="1:7" ht="15.75" hidden="1" thickBot="1" x14ac:dyDescent="0.3">
      <c r="A2021" s="85" t="s">
        <v>4702</v>
      </c>
      <c r="B2021" s="81" t="s">
        <v>4686</v>
      </c>
      <c r="C2021" s="26" t="s">
        <v>37</v>
      </c>
      <c r="D2021" s="14"/>
      <c r="E2021" s="15"/>
      <c r="F2021" s="16">
        <f t="shared" si="119"/>
        <v>0</v>
      </c>
      <c r="G2021">
        <f t="shared" si="118"/>
        <v>0</v>
      </c>
    </row>
    <row r="2022" spans="1:7" ht="15.75" hidden="1" thickBot="1" x14ac:dyDescent="0.3">
      <c r="A2022" s="85" t="s">
        <v>4703</v>
      </c>
      <c r="B2022" s="81" t="s">
        <v>4687</v>
      </c>
      <c r="C2022" s="26" t="s">
        <v>37</v>
      </c>
      <c r="D2022" s="14"/>
      <c r="E2022" s="15"/>
      <c r="F2022" s="16">
        <f t="shared" si="119"/>
        <v>0</v>
      </c>
      <c r="G2022">
        <f t="shared" si="118"/>
        <v>0</v>
      </c>
    </row>
    <row r="2023" spans="1:7" ht="15.75" hidden="1" thickBot="1" x14ac:dyDescent="0.3">
      <c r="A2023" s="85" t="s">
        <v>4704</v>
      </c>
      <c r="B2023" s="81" t="s">
        <v>4688</v>
      </c>
      <c r="C2023" s="26" t="s">
        <v>37</v>
      </c>
      <c r="D2023" s="14"/>
      <c r="E2023" s="15"/>
      <c r="F2023" s="16">
        <f t="shared" si="119"/>
        <v>0</v>
      </c>
      <c r="G2023">
        <f t="shared" si="118"/>
        <v>0</v>
      </c>
    </row>
    <row r="2024" spans="1:7" ht="15.75" hidden="1" thickBot="1" x14ac:dyDescent="0.3">
      <c r="A2024" s="85" t="s">
        <v>4705</v>
      </c>
      <c r="B2024" s="81" t="s">
        <v>4689</v>
      </c>
      <c r="C2024" s="26" t="s">
        <v>37</v>
      </c>
      <c r="D2024" s="14"/>
      <c r="E2024" s="15"/>
      <c r="F2024" s="16">
        <f t="shared" si="119"/>
        <v>0</v>
      </c>
      <c r="G2024">
        <f t="shared" si="118"/>
        <v>0</v>
      </c>
    </row>
    <row r="2025" spans="1:7" ht="15.75" hidden="1" thickBot="1" x14ac:dyDescent="0.3">
      <c r="A2025" s="78" t="s">
        <v>4706</v>
      </c>
      <c r="B2025" s="80" t="s">
        <v>4707</v>
      </c>
      <c r="C2025" s="14"/>
      <c r="D2025" s="14"/>
      <c r="E2025" s="15"/>
      <c r="F2025" s="16"/>
      <c r="G2025">
        <f t="shared" si="118"/>
        <v>0</v>
      </c>
    </row>
    <row r="2026" spans="1:7" ht="15.75" hidden="1" thickBot="1" x14ac:dyDescent="0.3">
      <c r="A2026" s="85" t="s">
        <v>4715</v>
      </c>
      <c r="B2026" s="81" t="s">
        <v>4708</v>
      </c>
      <c r="C2026" s="26" t="s">
        <v>37</v>
      </c>
      <c r="D2026" s="14"/>
      <c r="E2026" s="15"/>
      <c r="F2026" s="16">
        <f t="shared" ref="F2026:F2032" si="120">+D2026*E2026</f>
        <v>0</v>
      </c>
      <c r="G2026">
        <f t="shared" si="118"/>
        <v>0</v>
      </c>
    </row>
    <row r="2027" spans="1:7" ht="15.75" hidden="1" thickBot="1" x14ac:dyDescent="0.3">
      <c r="A2027" s="85" t="s">
        <v>4716</v>
      </c>
      <c r="B2027" s="81" t="s">
        <v>4709</v>
      </c>
      <c r="C2027" s="26" t="s">
        <v>37</v>
      </c>
      <c r="D2027" s="14"/>
      <c r="E2027" s="15"/>
      <c r="F2027" s="16">
        <f t="shared" si="120"/>
        <v>0</v>
      </c>
      <c r="G2027">
        <f t="shared" si="118"/>
        <v>0</v>
      </c>
    </row>
    <row r="2028" spans="1:7" ht="15.75" hidden="1" thickBot="1" x14ac:dyDescent="0.3">
      <c r="A2028" s="85" t="s">
        <v>4717</v>
      </c>
      <c r="B2028" s="81" t="s">
        <v>4710</v>
      </c>
      <c r="C2028" s="26" t="s">
        <v>37</v>
      </c>
      <c r="D2028" s="14"/>
      <c r="E2028" s="15"/>
      <c r="F2028" s="16">
        <f t="shared" si="120"/>
        <v>0</v>
      </c>
      <c r="G2028">
        <f t="shared" si="118"/>
        <v>0</v>
      </c>
    </row>
    <row r="2029" spans="1:7" ht="15.75" hidden="1" thickBot="1" x14ac:dyDescent="0.3">
      <c r="A2029" s="85" t="s">
        <v>4718</v>
      </c>
      <c r="B2029" s="81" t="s">
        <v>4711</v>
      </c>
      <c r="C2029" s="26" t="s">
        <v>37</v>
      </c>
      <c r="D2029" s="14"/>
      <c r="E2029" s="15"/>
      <c r="F2029" s="16">
        <f t="shared" si="120"/>
        <v>0</v>
      </c>
      <c r="G2029">
        <f t="shared" si="118"/>
        <v>0</v>
      </c>
    </row>
    <row r="2030" spans="1:7" ht="15.75" hidden="1" thickBot="1" x14ac:dyDescent="0.3">
      <c r="A2030" s="85" t="s">
        <v>4719</v>
      </c>
      <c r="B2030" s="81" t="s">
        <v>4712</v>
      </c>
      <c r="C2030" s="26" t="s">
        <v>37</v>
      </c>
      <c r="D2030" s="14"/>
      <c r="E2030" s="15"/>
      <c r="F2030" s="16">
        <f t="shared" si="120"/>
        <v>0</v>
      </c>
      <c r="G2030">
        <f t="shared" si="118"/>
        <v>0</v>
      </c>
    </row>
    <row r="2031" spans="1:7" ht="15.75" hidden="1" thickBot="1" x14ac:dyDescent="0.3">
      <c r="A2031" s="85" t="s">
        <v>4720</v>
      </c>
      <c r="B2031" s="81" t="s">
        <v>4713</v>
      </c>
      <c r="C2031" s="26" t="s">
        <v>37</v>
      </c>
      <c r="D2031" s="14"/>
      <c r="E2031" s="15"/>
      <c r="F2031" s="16">
        <f t="shared" si="120"/>
        <v>0</v>
      </c>
      <c r="G2031">
        <f t="shared" si="118"/>
        <v>0</v>
      </c>
    </row>
    <row r="2032" spans="1:7" ht="15.75" hidden="1" thickBot="1" x14ac:dyDescent="0.3">
      <c r="A2032" s="85" t="s">
        <v>4721</v>
      </c>
      <c r="B2032" s="81" t="s">
        <v>4714</v>
      </c>
      <c r="C2032" s="26" t="s">
        <v>37</v>
      </c>
      <c r="D2032" s="14"/>
      <c r="E2032" s="15"/>
      <c r="F2032" s="16">
        <f t="shared" si="120"/>
        <v>0</v>
      </c>
      <c r="G2032">
        <f t="shared" si="118"/>
        <v>0</v>
      </c>
    </row>
    <row r="2033" spans="1:7" ht="15.75" hidden="1" thickBot="1" x14ac:dyDescent="0.3">
      <c r="A2033" s="124" t="s">
        <v>4722</v>
      </c>
      <c r="B2033" s="125" t="s">
        <v>4723</v>
      </c>
      <c r="C2033" s="14"/>
      <c r="D2033" s="14"/>
      <c r="E2033" s="15"/>
      <c r="F2033" s="16"/>
      <c r="G2033">
        <f t="shared" si="118"/>
        <v>0</v>
      </c>
    </row>
    <row r="2034" spans="1:7" ht="15.75" hidden="1" thickBot="1" x14ac:dyDescent="0.3">
      <c r="A2034" s="126" t="s">
        <v>4731</v>
      </c>
      <c r="B2034" s="122" t="s">
        <v>4725</v>
      </c>
      <c r="C2034" s="26" t="s">
        <v>37</v>
      </c>
      <c r="D2034" s="14"/>
      <c r="E2034" s="15"/>
      <c r="F2034" s="16">
        <f t="shared" ref="F2034:F2040" si="121">+D2034*E2034</f>
        <v>0</v>
      </c>
      <c r="G2034">
        <f t="shared" si="118"/>
        <v>0</v>
      </c>
    </row>
    <row r="2035" spans="1:7" ht="15.75" hidden="1" thickBot="1" x14ac:dyDescent="0.3">
      <c r="A2035" s="126" t="s">
        <v>4732</v>
      </c>
      <c r="B2035" s="122" t="s">
        <v>4724</v>
      </c>
      <c r="C2035" s="26" t="s">
        <v>37</v>
      </c>
      <c r="D2035" s="14"/>
      <c r="E2035" s="15"/>
      <c r="F2035" s="16">
        <f t="shared" si="121"/>
        <v>0</v>
      </c>
      <c r="G2035">
        <f t="shared" si="118"/>
        <v>0</v>
      </c>
    </row>
    <row r="2036" spans="1:7" ht="15.75" hidden="1" thickBot="1" x14ac:dyDescent="0.3">
      <c r="A2036" s="126" t="s">
        <v>4733</v>
      </c>
      <c r="B2036" s="122" t="s">
        <v>4726</v>
      </c>
      <c r="C2036" s="26" t="s">
        <v>37</v>
      </c>
      <c r="D2036" s="14"/>
      <c r="E2036" s="15"/>
      <c r="F2036" s="16">
        <f t="shared" si="121"/>
        <v>0</v>
      </c>
      <c r="G2036">
        <f t="shared" si="118"/>
        <v>0</v>
      </c>
    </row>
    <row r="2037" spans="1:7" ht="15.75" hidden="1" thickBot="1" x14ac:dyDescent="0.3">
      <c r="A2037" s="126" t="s">
        <v>4734</v>
      </c>
      <c r="B2037" s="122" t="s">
        <v>4727</v>
      </c>
      <c r="C2037" s="26" t="s">
        <v>37</v>
      </c>
      <c r="D2037" s="14"/>
      <c r="E2037" s="15"/>
      <c r="F2037" s="16">
        <f t="shared" si="121"/>
        <v>0</v>
      </c>
      <c r="G2037">
        <f t="shared" si="118"/>
        <v>0</v>
      </c>
    </row>
    <row r="2038" spans="1:7" ht="15.75" hidden="1" thickBot="1" x14ac:dyDescent="0.3">
      <c r="A2038" s="126" t="s">
        <v>4735</v>
      </c>
      <c r="B2038" s="122" t="s">
        <v>4728</v>
      </c>
      <c r="C2038" s="26" t="s">
        <v>37</v>
      </c>
      <c r="D2038" s="14"/>
      <c r="E2038" s="15"/>
      <c r="F2038" s="16">
        <f t="shared" si="121"/>
        <v>0</v>
      </c>
      <c r="G2038">
        <f t="shared" si="118"/>
        <v>0</v>
      </c>
    </row>
    <row r="2039" spans="1:7" ht="15.75" hidden="1" thickBot="1" x14ac:dyDescent="0.3">
      <c r="A2039" s="126" t="s">
        <v>4736</v>
      </c>
      <c r="B2039" s="122" t="s">
        <v>4729</v>
      </c>
      <c r="C2039" s="26" t="s">
        <v>37</v>
      </c>
      <c r="D2039" s="14"/>
      <c r="E2039" s="15"/>
      <c r="F2039" s="16">
        <f t="shared" si="121"/>
        <v>0</v>
      </c>
      <c r="G2039">
        <f t="shared" si="118"/>
        <v>0</v>
      </c>
    </row>
    <row r="2040" spans="1:7" ht="15.75" hidden="1" thickBot="1" x14ac:dyDescent="0.3">
      <c r="A2040" s="126" t="s">
        <v>4737</v>
      </c>
      <c r="B2040" s="122" t="s">
        <v>4730</v>
      </c>
      <c r="C2040" s="26" t="s">
        <v>37</v>
      </c>
      <c r="D2040" s="14"/>
      <c r="E2040" s="15"/>
      <c r="F2040" s="16">
        <f t="shared" si="121"/>
        <v>0</v>
      </c>
      <c r="G2040">
        <f t="shared" si="118"/>
        <v>0</v>
      </c>
    </row>
    <row r="2041" spans="1:7" ht="15.75" hidden="1" thickBot="1" x14ac:dyDescent="0.3">
      <c r="A2041" s="61" t="s">
        <v>997</v>
      </c>
      <c r="B2041" s="62" t="s">
        <v>998</v>
      </c>
      <c r="C2041" s="63"/>
      <c r="D2041" s="63"/>
      <c r="E2041" s="460"/>
      <c r="F2041" s="461"/>
      <c r="G2041">
        <f t="shared" si="118"/>
        <v>0</v>
      </c>
    </row>
    <row r="2042" spans="1:7" ht="15.75" hidden="1" thickBot="1" x14ac:dyDescent="0.3">
      <c r="A2042" s="44" t="s">
        <v>999</v>
      </c>
      <c r="B2042" s="80" t="s">
        <v>4739</v>
      </c>
      <c r="C2042" s="14"/>
      <c r="D2042" s="14"/>
      <c r="E2042" s="15"/>
      <c r="F2042" s="16"/>
      <c r="G2042">
        <f t="shared" si="118"/>
        <v>0</v>
      </c>
    </row>
    <row r="2043" spans="1:7" ht="15.75" hidden="1" thickBot="1" x14ac:dyDescent="0.3">
      <c r="A2043" s="43" t="s">
        <v>1000</v>
      </c>
      <c r="B2043" s="81" t="s">
        <v>4738</v>
      </c>
      <c r="C2043" s="26" t="s">
        <v>37</v>
      </c>
      <c r="D2043" s="14"/>
      <c r="E2043" s="15"/>
      <c r="F2043" s="16">
        <f t="shared" ref="F2043:F2090" si="122">+D2043*E2043</f>
        <v>0</v>
      </c>
      <c r="G2043">
        <f t="shared" si="118"/>
        <v>0</v>
      </c>
    </row>
    <row r="2044" spans="1:7" ht="15.75" hidden="1" thickBot="1" x14ac:dyDescent="0.3">
      <c r="A2044" s="43" t="s">
        <v>4745</v>
      </c>
      <c r="B2044" s="81" t="s">
        <v>4740</v>
      </c>
      <c r="C2044" s="26" t="s">
        <v>37</v>
      </c>
      <c r="D2044" s="14"/>
      <c r="E2044" s="15"/>
      <c r="F2044" s="16">
        <f t="shared" si="122"/>
        <v>0</v>
      </c>
      <c r="G2044">
        <f t="shared" si="118"/>
        <v>0</v>
      </c>
    </row>
    <row r="2045" spans="1:7" ht="15.75" hidden="1" thickBot="1" x14ac:dyDescent="0.3">
      <c r="A2045" s="43" t="s">
        <v>4746</v>
      </c>
      <c r="B2045" s="81" t="s">
        <v>4741</v>
      </c>
      <c r="C2045" s="26" t="s">
        <v>37</v>
      </c>
      <c r="D2045" s="14"/>
      <c r="E2045" s="15"/>
      <c r="F2045" s="16">
        <f t="shared" si="122"/>
        <v>0</v>
      </c>
      <c r="G2045">
        <f t="shared" si="118"/>
        <v>0</v>
      </c>
    </row>
    <row r="2046" spans="1:7" ht="15.75" hidden="1" thickBot="1" x14ac:dyDescent="0.3">
      <c r="A2046" s="43" t="s">
        <v>4747</v>
      </c>
      <c r="B2046" s="81" t="s">
        <v>4742</v>
      </c>
      <c r="C2046" s="26" t="s">
        <v>37</v>
      </c>
      <c r="D2046" s="14"/>
      <c r="E2046" s="15"/>
      <c r="F2046" s="16">
        <f t="shared" si="122"/>
        <v>0</v>
      </c>
      <c r="G2046">
        <f t="shared" si="118"/>
        <v>0</v>
      </c>
    </row>
    <row r="2047" spans="1:7" ht="15.75" hidden="1" thickBot="1" x14ac:dyDescent="0.3">
      <c r="A2047" s="43" t="s">
        <v>4748</v>
      </c>
      <c r="B2047" s="81" t="s">
        <v>4744</v>
      </c>
      <c r="C2047" s="26" t="s">
        <v>37</v>
      </c>
      <c r="D2047" s="14"/>
      <c r="E2047" s="15"/>
      <c r="F2047" s="16">
        <f t="shared" si="122"/>
        <v>0</v>
      </c>
      <c r="G2047">
        <f t="shared" si="118"/>
        <v>0</v>
      </c>
    </row>
    <row r="2048" spans="1:7" ht="15.75" hidden="1" thickBot="1" x14ac:dyDescent="0.3">
      <c r="A2048" s="43" t="s">
        <v>4749</v>
      </c>
      <c r="B2048" s="81" t="s">
        <v>4743</v>
      </c>
      <c r="C2048" s="26" t="s">
        <v>37</v>
      </c>
      <c r="D2048" s="14"/>
      <c r="E2048" s="15"/>
      <c r="F2048" s="16">
        <f t="shared" si="122"/>
        <v>0</v>
      </c>
      <c r="G2048">
        <f t="shared" si="118"/>
        <v>0</v>
      </c>
    </row>
    <row r="2049" spans="1:7" ht="15.75" hidden="1" thickBot="1" x14ac:dyDescent="0.3">
      <c r="A2049" s="43" t="s">
        <v>1001</v>
      </c>
      <c r="B2049" s="81" t="s">
        <v>4750</v>
      </c>
      <c r="C2049" s="26" t="s">
        <v>37</v>
      </c>
      <c r="D2049" s="14"/>
      <c r="E2049" s="15"/>
      <c r="F2049" s="16">
        <f t="shared" si="122"/>
        <v>0</v>
      </c>
      <c r="G2049">
        <f t="shared" si="118"/>
        <v>0</v>
      </c>
    </row>
    <row r="2050" spans="1:7" ht="15.75" hidden="1" thickBot="1" x14ac:dyDescent="0.3">
      <c r="A2050" s="43" t="s">
        <v>4777</v>
      </c>
      <c r="B2050" s="81" t="s">
        <v>4751</v>
      </c>
      <c r="C2050" s="26" t="s">
        <v>37</v>
      </c>
      <c r="D2050" s="14"/>
      <c r="E2050" s="15"/>
      <c r="F2050" s="16">
        <f t="shared" si="122"/>
        <v>0</v>
      </c>
      <c r="G2050">
        <f t="shared" si="118"/>
        <v>0</v>
      </c>
    </row>
    <row r="2051" spans="1:7" ht="15.75" hidden="1" thickBot="1" x14ac:dyDescent="0.3">
      <c r="A2051" s="43" t="s">
        <v>4778</v>
      </c>
      <c r="B2051" s="81" t="s">
        <v>4752</v>
      </c>
      <c r="C2051" s="26" t="s">
        <v>37</v>
      </c>
      <c r="D2051" s="14"/>
      <c r="E2051" s="15"/>
      <c r="F2051" s="16">
        <f t="shared" si="122"/>
        <v>0</v>
      </c>
      <c r="G2051">
        <f t="shared" si="118"/>
        <v>0</v>
      </c>
    </row>
    <row r="2052" spans="1:7" ht="15.75" hidden="1" thickBot="1" x14ac:dyDescent="0.3">
      <c r="A2052" s="43" t="s">
        <v>4779</v>
      </c>
      <c r="B2052" s="81" t="s">
        <v>4753</v>
      </c>
      <c r="C2052" s="26" t="s">
        <v>37</v>
      </c>
      <c r="D2052" s="14"/>
      <c r="E2052" s="15"/>
      <c r="F2052" s="16">
        <f t="shared" si="122"/>
        <v>0</v>
      </c>
      <c r="G2052">
        <f t="shared" si="118"/>
        <v>0</v>
      </c>
    </row>
    <row r="2053" spans="1:7" ht="15.75" hidden="1" thickBot="1" x14ac:dyDescent="0.3">
      <c r="A2053" s="43" t="s">
        <v>4780</v>
      </c>
      <c r="B2053" s="81" t="s">
        <v>4754</v>
      </c>
      <c r="C2053" s="26" t="s">
        <v>37</v>
      </c>
      <c r="D2053" s="14"/>
      <c r="E2053" s="15"/>
      <c r="F2053" s="16">
        <f t="shared" si="122"/>
        <v>0</v>
      </c>
      <c r="G2053">
        <f t="shared" si="118"/>
        <v>0</v>
      </c>
    </row>
    <row r="2054" spans="1:7" ht="15.75" hidden="1" thickBot="1" x14ac:dyDescent="0.3">
      <c r="A2054" s="43" t="s">
        <v>4781</v>
      </c>
      <c r="B2054" s="81" t="s">
        <v>4755</v>
      </c>
      <c r="C2054" s="26" t="s">
        <v>37</v>
      </c>
      <c r="D2054" s="14"/>
      <c r="E2054" s="15"/>
      <c r="F2054" s="16">
        <f t="shared" si="122"/>
        <v>0</v>
      </c>
      <c r="G2054">
        <f t="shared" si="118"/>
        <v>0</v>
      </c>
    </row>
    <row r="2055" spans="1:7" ht="15.75" hidden="1" thickBot="1" x14ac:dyDescent="0.3">
      <c r="A2055" s="43" t="s">
        <v>1002</v>
      </c>
      <c r="B2055" s="81" t="s">
        <v>4756</v>
      </c>
      <c r="C2055" s="26" t="s">
        <v>37</v>
      </c>
      <c r="D2055" s="14"/>
      <c r="E2055" s="15"/>
      <c r="F2055" s="16">
        <f t="shared" si="122"/>
        <v>0</v>
      </c>
      <c r="G2055">
        <f t="shared" si="118"/>
        <v>0</v>
      </c>
    </row>
    <row r="2056" spans="1:7" ht="15.75" hidden="1" thickBot="1" x14ac:dyDescent="0.3">
      <c r="A2056" s="43" t="s">
        <v>1003</v>
      </c>
      <c r="B2056" s="81" t="s">
        <v>4757</v>
      </c>
      <c r="C2056" s="26" t="s">
        <v>37</v>
      </c>
      <c r="D2056" s="14"/>
      <c r="E2056" s="15"/>
      <c r="F2056" s="16">
        <f t="shared" si="122"/>
        <v>0</v>
      </c>
      <c r="G2056">
        <f t="shared" si="118"/>
        <v>0</v>
      </c>
    </row>
    <row r="2057" spans="1:7" ht="15.75" hidden="1" thickBot="1" x14ac:dyDescent="0.3">
      <c r="A2057" s="43" t="s">
        <v>4782</v>
      </c>
      <c r="B2057" s="81" t="s">
        <v>4758</v>
      </c>
      <c r="C2057" s="26" t="s">
        <v>37</v>
      </c>
      <c r="D2057" s="14"/>
      <c r="E2057" s="15"/>
      <c r="F2057" s="16">
        <f t="shared" si="122"/>
        <v>0</v>
      </c>
      <c r="G2057">
        <f t="shared" si="118"/>
        <v>0</v>
      </c>
    </row>
    <row r="2058" spans="1:7" ht="15.75" hidden="1" thickBot="1" x14ac:dyDescent="0.3">
      <c r="A2058" s="43" t="s">
        <v>4783</v>
      </c>
      <c r="B2058" s="81" t="s">
        <v>4759</v>
      </c>
      <c r="C2058" s="26" t="s">
        <v>37</v>
      </c>
      <c r="D2058" s="14"/>
      <c r="E2058" s="15"/>
      <c r="F2058" s="16">
        <f t="shared" si="122"/>
        <v>0</v>
      </c>
      <c r="G2058">
        <f t="shared" si="118"/>
        <v>0</v>
      </c>
    </row>
    <row r="2059" spans="1:7" ht="15.75" hidden="1" thickBot="1" x14ac:dyDescent="0.3">
      <c r="A2059" s="43" t="s">
        <v>4784</v>
      </c>
      <c r="B2059" s="81" t="s">
        <v>4760</v>
      </c>
      <c r="C2059" s="26" t="s">
        <v>37</v>
      </c>
      <c r="D2059" s="14"/>
      <c r="E2059" s="15"/>
      <c r="F2059" s="16">
        <f t="shared" si="122"/>
        <v>0</v>
      </c>
      <c r="G2059">
        <f t="shared" si="118"/>
        <v>0</v>
      </c>
    </row>
    <row r="2060" spans="1:7" ht="15.75" hidden="1" thickBot="1" x14ac:dyDescent="0.3">
      <c r="A2060" s="43" t="s">
        <v>4785</v>
      </c>
      <c r="B2060" s="81" t="s">
        <v>4761</v>
      </c>
      <c r="C2060" s="26" t="s">
        <v>37</v>
      </c>
      <c r="D2060" s="14"/>
      <c r="E2060" s="15"/>
      <c r="F2060" s="16">
        <f t="shared" si="122"/>
        <v>0</v>
      </c>
      <c r="G2060">
        <f t="shared" si="118"/>
        <v>0</v>
      </c>
    </row>
    <row r="2061" spans="1:7" ht="15.75" hidden="1" thickBot="1" x14ac:dyDescent="0.3">
      <c r="A2061" s="43" t="s">
        <v>4786</v>
      </c>
      <c r="B2061" s="81" t="s">
        <v>4762</v>
      </c>
      <c r="C2061" s="26" t="s">
        <v>37</v>
      </c>
      <c r="D2061" s="14"/>
      <c r="E2061" s="15"/>
      <c r="F2061" s="16">
        <f t="shared" si="122"/>
        <v>0</v>
      </c>
      <c r="G2061">
        <f t="shared" si="118"/>
        <v>0</v>
      </c>
    </row>
    <row r="2062" spans="1:7" ht="15.75" hidden="1" thickBot="1" x14ac:dyDescent="0.3">
      <c r="A2062" s="43" t="s">
        <v>4787</v>
      </c>
      <c r="B2062" s="81" t="s">
        <v>4763</v>
      </c>
      <c r="C2062" s="26" t="s">
        <v>37</v>
      </c>
      <c r="D2062" s="14"/>
      <c r="E2062" s="15"/>
      <c r="F2062" s="16">
        <f t="shared" si="122"/>
        <v>0</v>
      </c>
      <c r="G2062">
        <f t="shared" si="118"/>
        <v>0</v>
      </c>
    </row>
    <row r="2063" spans="1:7" ht="15.75" hidden="1" thickBot="1" x14ac:dyDescent="0.3">
      <c r="A2063" s="43" t="s">
        <v>4788</v>
      </c>
      <c r="B2063" s="81" t="s">
        <v>4764</v>
      </c>
      <c r="C2063" s="26" t="s">
        <v>37</v>
      </c>
      <c r="D2063" s="14"/>
      <c r="E2063" s="15"/>
      <c r="F2063" s="16">
        <f t="shared" si="122"/>
        <v>0</v>
      </c>
      <c r="G2063">
        <f t="shared" si="118"/>
        <v>0</v>
      </c>
    </row>
    <row r="2064" spans="1:7" ht="15.75" hidden="1" thickBot="1" x14ac:dyDescent="0.3">
      <c r="A2064" s="43" t="s">
        <v>4789</v>
      </c>
      <c r="B2064" s="81" t="s">
        <v>4765</v>
      </c>
      <c r="C2064" s="26" t="s">
        <v>37</v>
      </c>
      <c r="D2064" s="14"/>
      <c r="E2064" s="15"/>
      <c r="F2064" s="16">
        <f t="shared" si="122"/>
        <v>0</v>
      </c>
      <c r="G2064">
        <f t="shared" si="118"/>
        <v>0</v>
      </c>
    </row>
    <row r="2065" spans="1:7" ht="15.75" hidden="1" thickBot="1" x14ac:dyDescent="0.3">
      <c r="A2065" s="43" t="s">
        <v>4790</v>
      </c>
      <c r="B2065" s="81" t="s">
        <v>4766</v>
      </c>
      <c r="C2065" s="26" t="s">
        <v>37</v>
      </c>
      <c r="D2065" s="14"/>
      <c r="E2065" s="15"/>
      <c r="F2065" s="16">
        <f t="shared" si="122"/>
        <v>0</v>
      </c>
      <c r="G2065">
        <f t="shared" si="118"/>
        <v>0</v>
      </c>
    </row>
    <row r="2066" spans="1:7" ht="15.75" hidden="1" thickBot="1" x14ac:dyDescent="0.3">
      <c r="A2066" s="43" t="s">
        <v>4791</v>
      </c>
      <c r="B2066" s="81" t="s">
        <v>4767</v>
      </c>
      <c r="C2066" s="26" t="s">
        <v>37</v>
      </c>
      <c r="D2066" s="14"/>
      <c r="E2066" s="15"/>
      <c r="F2066" s="16">
        <f t="shared" si="122"/>
        <v>0</v>
      </c>
      <c r="G2066">
        <f t="shared" si="118"/>
        <v>0</v>
      </c>
    </row>
    <row r="2067" spans="1:7" ht="15.75" hidden="1" thickBot="1" x14ac:dyDescent="0.3">
      <c r="A2067" s="43" t="s">
        <v>1004</v>
      </c>
      <c r="B2067" s="81" t="s">
        <v>4768</v>
      </c>
      <c r="C2067" s="26" t="s">
        <v>37</v>
      </c>
      <c r="D2067" s="14"/>
      <c r="E2067" s="15">
        <f>+SUM!H2061</f>
        <v>490321</v>
      </c>
      <c r="F2067" s="16">
        <f t="shared" si="122"/>
        <v>0</v>
      </c>
      <c r="G2067">
        <f t="shared" si="118"/>
        <v>0</v>
      </c>
    </row>
    <row r="2068" spans="1:7" ht="15.75" hidden="1" thickBot="1" x14ac:dyDescent="0.3">
      <c r="A2068" s="43" t="s">
        <v>4792</v>
      </c>
      <c r="B2068" s="81" t="s">
        <v>4769</v>
      </c>
      <c r="C2068" s="26" t="s">
        <v>37</v>
      </c>
      <c r="D2068" s="14"/>
      <c r="E2068" s="15">
        <f>+SUM!H2062</f>
        <v>614395</v>
      </c>
      <c r="F2068" s="16">
        <f t="shared" si="122"/>
        <v>0</v>
      </c>
      <c r="G2068">
        <f t="shared" si="118"/>
        <v>0</v>
      </c>
    </row>
    <row r="2069" spans="1:7" ht="15.75" hidden="1" thickBot="1" x14ac:dyDescent="0.3">
      <c r="A2069" s="43" t="s">
        <v>4793</v>
      </c>
      <c r="B2069" s="81" t="s">
        <v>4770</v>
      </c>
      <c r="C2069" s="26" t="s">
        <v>37</v>
      </c>
      <c r="D2069" s="14"/>
      <c r="E2069" s="15">
        <f>+SUM!H2063</f>
        <v>751192</v>
      </c>
      <c r="F2069" s="16">
        <f t="shared" si="122"/>
        <v>0</v>
      </c>
      <c r="G2069">
        <f t="shared" si="118"/>
        <v>0</v>
      </c>
    </row>
    <row r="2070" spans="1:7" ht="15.75" hidden="1" thickBot="1" x14ac:dyDescent="0.3">
      <c r="A2070" s="43" t="s">
        <v>4794</v>
      </c>
      <c r="B2070" s="81" t="s">
        <v>4771</v>
      </c>
      <c r="C2070" s="26" t="s">
        <v>37</v>
      </c>
      <c r="D2070" s="14"/>
      <c r="E2070" s="15">
        <f>+SUM!H2064</f>
        <v>653761</v>
      </c>
      <c r="F2070" s="16">
        <f t="shared" si="122"/>
        <v>0</v>
      </c>
      <c r="G2070">
        <f t="shared" si="118"/>
        <v>0</v>
      </c>
    </row>
    <row r="2071" spans="1:7" ht="15.75" hidden="1" thickBot="1" x14ac:dyDescent="0.3">
      <c r="A2071" s="43" t="s">
        <v>4795</v>
      </c>
      <c r="B2071" s="81" t="s">
        <v>4772</v>
      </c>
      <c r="C2071" s="26" t="s">
        <v>37</v>
      </c>
      <c r="D2071" s="14"/>
      <c r="E2071" s="15">
        <f>+SUM!H2065</f>
        <v>822755</v>
      </c>
      <c r="F2071" s="16">
        <f t="shared" si="122"/>
        <v>0</v>
      </c>
      <c r="G2071">
        <f t="shared" si="118"/>
        <v>0</v>
      </c>
    </row>
    <row r="2072" spans="1:7" ht="15.75" hidden="1" thickBot="1" x14ac:dyDescent="0.3">
      <c r="A2072" s="43" t="s">
        <v>4796</v>
      </c>
      <c r="B2072" s="81" t="s">
        <v>4774</v>
      </c>
      <c r="C2072" s="26" t="s">
        <v>37</v>
      </c>
      <c r="D2072" s="14"/>
      <c r="E2072" s="15">
        <f>+SUM!H2066</f>
        <v>1008901</v>
      </c>
      <c r="F2072" s="16">
        <f t="shared" si="122"/>
        <v>0</v>
      </c>
      <c r="G2072">
        <f t="shared" si="118"/>
        <v>0</v>
      </c>
    </row>
    <row r="2073" spans="1:7" ht="15.75" hidden="1" thickBot="1" x14ac:dyDescent="0.3">
      <c r="A2073" s="43" t="s">
        <v>1005</v>
      </c>
      <c r="B2073" s="81" t="s">
        <v>4775</v>
      </c>
      <c r="C2073" s="26" t="s">
        <v>37</v>
      </c>
      <c r="D2073" s="14"/>
      <c r="E2073" s="15">
        <f>+SUM!H2067</f>
        <v>875196</v>
      </c>
      <c r="F2073" s="16">
        <f t="shared" si="122"/>
        <v>0</v>
      </c>
      <c r="G2073">
        <f t="shared" si="118"/>
        <v>0</v>
      </c>
    </row>
    <row r="2074" spans="1:7" ht="15.75" hidden="1" thickBot="1" x14ac:dyDescent="0.3">
      <c r="A2074" s="43" t="s">
        <v>4797</v>
      </c>
      <c r="B2074" s="81" t="s">
        <v>4776</v>
      </c>
      <c r="C2074" s="26" t="s">
        <v>37</v>
      </c>
      <c r="D2074" s="14"/>
      <c r="E2074" s="15">
        <f>+SUM!H2068</f>
        <v>1111253</v>
      </c>
      <c r="F2074" s="16">
        <f t="shared" si="122"/>
        <v>0</v>
      </c>
      <c r="G2074">
        <f t="shared" si="118"/>
        <v>0</v>
      </c>
    </row>
    <row r="2075" spans="1:7" ht="15.75" hidden="1" thickBot="1" x14ac:dyDescent="0.3">
      <c r="A2075" s="43" t="s">
        <v>4798</v>
      </c>
      <c r="B2075" s="81" t="s">
        <v>4773</v>
      </c>
      <c r="C2075" s="26" t="s">
        <v>37</v>
      </c>
      <c r="D2075" s="14"/>
      <c r="E2075" s="15">
        <f>+SUM!H2069</f>
        <v>1370789</v>
      </c>
      <c r="F2075" s="16">
        <f t="shared" si="122"/>
        <v>0</v>
      </c>
      <c r="G2075">
        <f t="shared" si="118"/>
        <v>0</v>
      </c>
    </row>
    <row r="2076" spans="1:7" ht="15.75" hidden="1" thickBot="1" x14ac:dyDescent="0.3">
      <c r="A2076" s="43" t="s">
        <v>4814</v>
      </c>
      <c r="B2076" s="81" t="s">
        <v>4799</v>
      </c>
      <c r="C2076" s="26" t="s">
        <v>37</v>
      </c>
      <c r="D2076" s="14"/>
      <c r="E2076" s="15">
        <f>+SUM!H2070</f>
        <v>1064998</v>
      </c>
      <c r="F2076" s="16">
        <f t="shared" si="122"/>
        <v>0</v>
      </c>
      <c r="G2076">
        <f t="shared" si="118"/>
        <v>0</v>
      </c>
    </row>
    <row r="2077" spans="1:7" ht="15.75" hidden="1" thickBot="1" x14ac:dyDescent="0.3">
      <c r="A2077" s="43" t="s">
        <v>4815</v>
      </c>
      <c r="B2077" s="81" t="s">
        <v>4800</v>
      </c>
      <c r="C2077" s="26" t="s">
        <v>37</v>
      </c>
      <c r="D2077" s="14"/>
      <c r="E2077" s="15">
        <f>+SUM!H2071</f>
        <v>1367696</v>
      </c>
      <c r="F2077" s="16">
        <f t="shared" si="122"/>
        <v>0</v>
      </c>
      <c r="G2077">
        <f t="shared" si="118"/>
        <v>0</v>
      </c>
    </row>
    <row r="2078" spans="1:7" ht="15.75" hidden="1" thickBot="1" x14ac:dyDescent="0.3">
      <c r="A2078" s="43" t="s">
        <v>4816</v>
      </c>
      <c r="B2078" s="81" t="s">
        <v>4801</v>
      </c>
      <c r="C2078" s="26" t="s">
        <v>37</v>
      </c>
      <c r="D2078" s="14"/>
      <c r="E2078" s="15">
        <f>+SUM!H2072</f>
        <v>1699778</v>
      </c>
      <c r="F2078" s="16">
        <f t="shared" si="122"/>
        <v>0</v>
      </c>
      <c r="G2078">
        <f t="shared" ref="G2078:G2141" si="123">+IF(F2078&lt;&gt;0,1,0)</f>
        <v>0</v>
      </c>
    </row>
    <row r="2079" spans="1:7" ht="15.75" hidden="1" thickBot="1" x14ac:dyDescent="0.3">
      <c r="A2079" s="43" t="s">
        <v>1006</v>
      </c>
      <c r="B2079" s="81" t="s">
        <v>4802</v>
      </c>
      <c r="C2079" s="26" t="s">
        <v>37</v>
      </c>
      <c r="D2079" s="14"/>
      <c r="E2079" s="15"/>
      <c r="F2079" s="16">
        <f t="shared" si="122"/>
        <v>0</v>
      </c>
      <c r="G2079">
        <f t="shared" si="123"/>
        <v>0</v>
      </c>
    </row>
    <row r="2080" spans="1:7" ht="15.75" hidden="1" thickBot="1" x14ac:dyDescent="0.3">
      <c r="A2080" s="43" t="s">
        <v>4817</v>
      </c>
      <c r="B2080" s="81" t="s">
        <v>4803</v>
      </c>
      <c r="C2080" s="26" t="s">
        <v>37</v>
      </c>
      <c r="D2080" s="14"/>
      <c r="E2080" s="15"/>
      <c r="F2080" s="16">
        <f t="shared" si="122"/>
        <v>0</v>
      </c>
      <c r="G2080">
        <f t="shared" si="123"/>
        <v>0</v>
      </c>
    </row>
    <row r="2081" spans="1:7" ht="15.75" hidden="1" thickBot="1" x14ac:dyDescent="0.3">
      <c r="A2081" s="43" t="s">
        <v>4818</v>
      </c>
      <c r="B2081" s="81" t="s">
        <v>4804</v>
      </c>
      <c r="C2081" s="26" t="s">
        <v>37</v>
      </c>
      <c r="D2081" s="14"/>
      <c r="E2081" s="15"/>
      <c r="F2081" s="16">
        <f t="shared" si="122"/>
        <v>0</v>
      </c>
      <c r="G2081">
        <f t="shared" si="123"/>
        <v>0</v>
      </c>
    </row>
    <row r="2082" spans="1:7" ht="15.75" hidden="1" thickBot="1" x14ac:dyDescent="0.3">
      <c r="A2082" s="43" t="s">
        <v>4819</v>
      </c>
      <c r="B2082" s="81" t="s">
        <v>4805</v>
      </c>
      <c r="C2082" s="26" t="s">
        <v>37</v>
      </c>
      <c r="D2082" s="14"/>
      <c r="E2082" s="15"/>
      <c r="F2082" s="16">
        <f t="shared" si="122"/>
        <v>0</v>
      </c>
      <c r="G2082">
        <f t="shared" si="123"/>
        <v>0</v>
      </c>
    </row>
    <row r="2083" spans="1:7" ht="15.75" hidden="1" thickBot="1" x14ac:dyDescent="0.3">
      <c r="A2083" s="43" t="s">
        <v>4820</v>
      </c>
      <c r="B2083" s="81" t="s">
        <v>4806</v>
      </c>
      <c r="C2083" s="26" t="s">
        <v>37</v>
      </c>
      <c r="D2083" s="14"/>
      <c r="E2083" s="15"/>
      <c r="F2083" s="16">
        <f t="shared" si="122"/>
        <v>0</v>
      </c>
      <c r="G2083">
        <f t="shared" si="123"/>
        <v>0</v>
      </c>
    </row>
    <row r="2084" spans="1:7" ht="15.75" hidden="1" thickBot="1" x14ac:dyDescent="0.3">
      <c r="A2084" s="43" t="s">
        <v>4821</v>
      </c>
      <c r="B2084" s="81" t="s">
        <v>4807</v>
      </c>
      <c r="C2084" s="26" t="s">
        <v>37</v>
      </c>
      <c r="D2084" s="14"/>
      <c r="E2084" s="15"/>
      <c r="F2084" s="16">
        <f t="shared" si="122"/>
        <v>0</v>
      </c>
      <c r="G2084">
        <f t="shared" si="123"/>
        <v>0</v>
      </c>
    </row>
    <row r="2085" spans="1:7" ht="15.75" hidden="1" thickBot="1" x14ac:dyDescent="0.3">
      <c r="A2085" s="43" t="s">
        <v>4822</v>
      </c>
      <c r="B2085" s="81" t="s">
        <v>4808</v>
      </c>
      <c r="C2085" s="26" t="s">
        <v>37</v>
      </c>
      <c r="D2085" s="14"/>
      <c r="E2085" s="15"/>
      <c r="F2085" s="16">
        <f t="shared" si="122"/>
        <v>0</v>
      </c>
      <c r="G2085">
        <f t="shared" si="123"/>
        <v>0</v>
      </c>
    </row>
    <row r="2086" spans="1:7" ht="15.75" hidden="1" thickBot="1" x14ac:dyDescent="0.3">
      <c r="A2086" s="43" t="s">
        <v>4823</v>
      </c>
      <c r="B2086" s="81" t="s">
        <v>4809</v>
      </c>
      <c r="C2086" s="26" t="s">
        <v>37</v>
      </c>
      <c r="D2086" s="14"/>
      <c r="E2086" s="15"/>
      <c r="F2086" s="16">
        <f t="shared" si="122"/>
        <v>0</v>
      </c>
      <c r="G2086">
        <f t="shared" si="123"/>
        <v>0</v>
      </c>
    </row>
    <row r="2087" spans="1:7" ht="15.75" hidden="1" thickBot="1" x14ac:dyDescent="0.3">
      <c r="A2087" s="43" t="s">
        <v>4824</v>
      </c>
      <c r="B2087" s="81" t="s">
        <v>4810</v>
      </c>
      <c r="C2087" s="26" t="s">
        <v>37</v>
      </c>
      <c r="D2087" s="14"/>
      <c r="E2087" s="15"/>
      <c r="F2087" s="16">
        <f t="shared" si="122"/>
        <v>0</v>
      </c>
      <c r="G2087">
        <f t="shared" si="123"/>
        <v>0</v>
      </c>
    </row>
    <row r="2088" spans="1:7" ht="15.75" hidden="1" thickBot="1" x14ac:dyDescent="0.3">
      <c r="A2088" s="43" t="s">
        <v>4825</v>
      </c>
      <c r="B2088" s="81" t="s">
        <v>4811</v>
      </c>
      <c r="C2088" s="26" t="s">
        <v>37</v>
      </c>
      <c r="D2088" s="14"/>
      <c r="E2088" s="15"/>
      <c r="F2088" s="16">
        <f t="shared" si="122"/>
        <v>0</v>
      </c>
      <c r="G2088">
        <f t="shared" si="123"/>
        <v>0</v>
      </c>
    </row>
    <row r="2089" spans="1:7" ht="15.75" hidden="1" thickBot="1" x14ac:dyDescent="0.3">
      <c r="A2089" s="43" t="s">
        <v>4826</v>
      </c>
      <c r="B2089" s="81" t="s">
        <v>4812</v>
      </c>
      <c r="C2089" s="26" t="s">
        <v>37</v>
      </c>
      <c r="D2089" s="14"/>
      <c r="E2089" s="15"/>
      <c r="F2089" s="16">
        <f t="shared" si="122"/>
        <v>0</v>
      </c>
      <c r="G2089">
        <f t="shared" si="123"/>
        <v>0</v>
      </c>
    </row>
    <row r="2090" spans="1:7" ht="15.75" hidden="1" thickBot="1" x14ac:dyDescent="0.3">
      <c r="A2090" s="43" t="s">
        <v>4827</v>
      </c>
      <c r="B2090" s="81" t="s">
        <v>4813</v>
      </c>
      <c r="C2090" s="26" t="s">
        <v>37</v>
      </c>
      <c r="D2090" s="14"/>
      <c r="E2090" s="15"/>
      <c r="F2090" s="16">
        <f t="shared" si="122"/>
        <v>0</v>
      </c>
      <c r="G2090">
        <f t="shared" si="123"/>
        <v>0</v>
      </c>
    </row>
    <row r="2091" spans="1:7" ht="15.75" hidden="1" thickBot="1" x14ac:dyDescent="0.3">
      <c r="A2091" s="44" t="s">
        <v>1007</v>
      </c>
      <c r="B2091" s="80" t="s">
        <v>4828</v>
      </c>
      <c r="C2091" s="14"/>
      <c r="D2091" s="14"/>
      <c r="E2091" s="15"/>
      <c r="F2091" s="16"/>
      <c r="G2091">
        <f t="shared" si="123"/>
        <v>0</v>
      </c>
    </row>
    <row r="2092" spans="1:7" ht="15.75" hidden="1" thickBot="1" x14ac:dyDescent="0.3">
      <c r="A2092" s="43" t="s">
        <v>4877</v>
      </c>
      <c r="B2092" s="81" t="s">
        <v>4829</v>
      </c>
      <c r="C2092" s="26" t="s">
        <v>37</v>
      </c>
      <c r="D2092" s="14"/>
      <c r="E2092" s="15"/>
      <c r="F2092" s="16">
        <f t="shared" ref="F2092:F2139" si="124">+D2092*E2092</f>
        <v>0</v>
      </c>
      <c r="G2092">
        <f t="shared" si="123"/>
        <v>0</v>
      </c>
    </row>
    <row r="2093" spans="1:7" ht="15.75" hidden="1" thickBot="1" x14ac:dyDescent="0.3">
      <c r="A2093" s="43" t="s">
        <v>4878</v>
      </c>
      <c r="B2093" s="81" t="s">
        <v>4830</v>
      </c>
      <c r="C2093" s="26" t="s">
        <v>37</v>
      </c>
      <c r="D2093" s="14"/>
      <c r="E2093" s="15"/>
      <c r="F2093" s="16">
        <f t="shared" si="124"/>
        <v>0</v>
      </c>
      <c r="G2093">
        <f t="shared" si="123"/>
        <v>0</v>
      </c>
    </row>
    <row r="2094" spans="1:7" ht="15.75" hidden="1" thickBot="1" x14ac:dyDescent="0.3">
      <c r="A2094" s="43" t="s">
        <v>1008</v>
      </c>
      <c r="B2094" s="81" t="s">
        <v>4831</v>
      </c>
      <c r="C2094" s="26" t="s">
        <v>37</v>
      </c>
      <c r="D2094" s="14"/>
      <c r="E2094" s="15"/>
      <c r="F2094" s="16">
        <f t="shared" si="124"/>
        <v>0</v>
      </c>
      <c r="G2094">
        <f t="shared" si="123"/>
        <v>0</v>
      </c>
    </row>
    <row r="2095" spans="1:7" ht="15.75" hidden="1" thickBot="1" x14ac:dyDescent="0.3">
      <c r="A2095" s="43" t="s">
        <v>1009</v>
      </c>
      <c r="B2095" s="81" t="s">
        <v>4832</v>
      </c>
      <c r="C2095" s="26" t="s">
        <v>37</v>
      </c>
      <c r="D2095" s="14"/>
      <c r="E2095" s="15"/>
      <c r="F2095" s="16">
        <f t="shared" si="124"/>
        <v>0</v>
      </c>
      <c r="G2095">
        <f t="shared" si="123"/>
        <v>0</v>
      </c>
    </row>
    <row r="2096" spans="1:7" ht="15.75" hidden="1" thickBot="1" x14ac:dyDescent="0.3">
      <c r="A2096" s="43" t="s">
        <v>4879</v>
      </c>
      <c r="B2096" s="81" t="s">
        <v>4833</v>
      </c>
      <c r="C2096" s="26" t="s">
        <v>37</v>
      </c>
      <c r="D2096" s="14"/>
      <c r="E2096" s="15"/>
      <c r="F2096" s="16">
        <f t="shared" si="124"/>
        <v>0</v>
      </c>
      <c r="G2096">
        <f t="shared" si="123"/>
        <v>0</v>
      </c>
    </row>
    <row r="2097" spans="1:7" ht="15.75" hidden="1" thickBot="1" x14ac:dyDescent="0.3">
      <c r="A2097" s="43" t="s">
        <v>4880</v>
      </c>
      <c r="B2097" s="81" t="s">
        <v>4849</v>
      </c>
      <c r="C2097" s="26" t="s">
        <v>37</v>
      </c>
      <c r="D2097" s="14"/>
      <c r="E2097" s="15"/>
      <c r="F2097" s="16">
        <f t="shared" si="124"/>
        <v>0</v>
      </c>
      <c r="G2097">
        <f t="shared" si="123"/>
        <v>0</v>
      </c>
    </row>
    <row r="2098" spans="1:7" ht="15.75" hidden="1" thickBot="1" x14ac:dyDescent="0.3">
      <c r="A2098" s="43" t="s">
        <v>4881</v>
      </c>
      <c r="B2098" s="81" t="s">
        <v>4834</v>
      </c>
      <c r="C2098" s="26" t="s">
        <v>37</v>
      </c>
      <c r="D2098" s="14"/>
      <c r="E2098" s="15"/>
      <c r="F2098" s="16">
        <f t="shared" si="124"/>
        <v>0</v>
      </c>
      <c r="G2098">
        <f t="shared" si="123"/>
        <v>0</v>
      </c>
    </row>
    <row r="2099" spans="1:7" ht="15.75" hidden="1" thickBot="1" x14ac:dyDescent="0.3">
      <c r="A2099" s="43" t="s">
        <v>4882</v>
      </c>
      <c r="B2099" s="81" t="s">
        <v>4835</v>
      </c>
      <c r="C2099" s="26" t="s">
        <v>37</v>
      </c>
      <c r="D2099" s="14"/>
      <c r="E2099" s="15"/>
      <c r="F2099" s="16">
        <f t="shared" si="124"/>
        <v>0</v>
      </c>
      <c r="G2099">
        <f t="shared" si="123"/>
        <v>0</v>
      </c>
    </row>
    <row r="2100" spans="1:7" ht="15.75" hidden="1" thickBot="1" x14ac:dyDescent="0.3">
      <c r="A2100" s="43" t="s">
        <v>4883</v>
      </c>
      <c r="B2100" s="81" t="s">
        <v>4836</v>
      </c>
      <c r="C2100" s="26" t="s">
        <v>37</v>
      </c>
      <c r="D2100" s="14"/>
      <c r="E2100" s="15"/>
      <c r="F2100" s="16">
        <f t="shared" si="124"/>
        <v>0</v>
      </c>
      <c r="G2100">
        <f t="shared" si="123"/>
        <v>0</v>
      </c>
    </row>
    <row r="2101" spans="1:7" ht="15.75" hidden="1" thickBot="1" x14ac:dyDescent="0.3">
      <c r="A2101" s="43" t="s">
        <v>4884</v>
      </c>
      <c r="B2101" s="81" t="s">
        <v>4837</v>
      </c>
      <c r="C2101" s="26" t="s">
        <v>37</v>
      </c>
      <c r="D2101" s="14"/>
      <c r="E2101" s="15"/>
      <c r="F2101" s="16">
        <f t="shared" si="124"/>
        <v>0</v>
      </c>
      <c r="G2101">
        <f t="shared" si="123"/>
        <v>0</v>
      </c>
    </row>
    <row r="2102" spans="1:7" ht="15.75" hidden="1" thickBot="1" x14ac:dyDescent="0.3">
      <c r="A2102" s="43" t="s">
        <v>4885</v>
      </c>
      <c r="B2102" s="81" t="s">
        <v>4838</v>
      </c>
      <c r="C2102" s="26" t="s">
        <v>37</v>
      </c>
      <c r="D2102" s="14"/>
      <c r="E2102" s="15"/>
      <c r="F2102" s="16">
        <f t="shared" si="124"/>
        <v>0</v>
      </c>
      <c r="G2102">
        <f t="shared" si="123"/>
        <v>0</v>
      </c>
    </row>
    <row r="2103" spans="1:7" ht="15.75" hidden="1" thickBot="1" x14ac:dyDescent="0.3">
      <c r="A2103" s="43" t="s">
        <v>4886</v>
      </c>
      <c r="B2103" s="81" t="s">
        <v>4850</v>
      </c>
      <c r="C2103" s="26" t="s">
        <v>37</v>
      </c>
      <c r="D2103" s="14"/>
      <c r="E2103" s="15"/>
      <c r="F2103" s="16">
        <f t="shared" si="124"/>
        <v>0</v>
      </c>
      <c r="G2103">
        <f t="shared" si="123"/>
        <v>0</v>
      </c>
    </row>
    <row r="2104" spans="1:7" ht="15.75" hidden="1" thickBot="1" x14ac:dyDescent="0.3">
      <c r="A2104" s="43" t="s">
        <v>4887</v>
      </c>
      <c r="B2104" s="81" t="s">
        <v>4839</v>
      </c>
      <c r="C2104" s="26" t="s">
        <v>37</v>
      </c>
      <c r="D2104" s="14"/>
      <c r="E2104" s="15"/>
      <c r="F2104" s="16">
        <f t="shared" si="124"/>
        <v>0</v>
      </c>
      <c r="G2104">
        <f t="shared" si="123"/>
        <v>0</v>
      </c>
    </row>
    <row r="2105" spans="1:7" ht="15.75" hidden="1" thickBot="1" x14ac:dyDescent="0.3">
      <c r="A2105" s="43" t="s">
        <v>4888</v>
      </c>
      <c r="B2105" s="81" t="s">
        <v>4840</v>
      </c>
      <c r="C2105" s="26" t="s">
        <v>37</v>
      </c>
      <c r="D2105" s="14"/>
      <c r="E2105" s="15"/>
      <c r="F2105" s="16">
        <f t="shared" si="124"/>
        <v>0</v>
      </c>
      <c r="G2105">
        <f t="shared" si="123"/>
        <v>0</v>
      </c>
    </row>
    <row r="2106" spans="1:7" ht="15.75" hidden="1" thickBot="1" x14ac:dyDescent="0.3">
      <c r="A2106" s="43" t="s">
        <v>4889</v>
      </c>
      <c r="B2106" s="81" t="s">
        <v>4841</v>
      </c>
      <c r="C2106" s="26" t="s">
        <v>37</v>
      </c>
      <c r="D2106" s="14"/>
      <c r="E2106" s="15"/>
      <c r="F2106" s="16">
        <f t="shared" si="124"/>
        <v>0</v>
      </c>
      <c r="G2106">
        <f t="shared" si="123"/>
        <v>0</v>
      </c>
    </row>
    <row r="2107" spans="1:7" ht="15.75" hidden="1" thickBot="1" x14ac:dyDescent="0.3">
      <c r="A2107" s="43" t="s">
        <v>4890</v>
      </c>
      <c r="B2107" s="81" t="s">
        <v>4842</v>
      </c>
      <c r="C2107" s="26" t="s">
        <v>37</v>
      </c>
      <c r="D2107" s="14"/>
      <c r="E2107" s="15"/>
      <c r="F2107" s="16">
        <f t="shared" si="124"/>
        <v>0</v>
      </c>
      <c r="G2107">
        <f t="shared" si="123"/>
        <v>0</v>
      </c>
    </row>
    <row r="2108" spans="1:7" ht="15.75" hidden="1" thickBot="1" x14ac:dyDescent="0.3">
      <c r="A2108" s="43" t="s">
        <v>4891</v>
      </c>
      <c r="B2108" s="81" t="s">
        <v>4843</v>
      </c>
      <c r="C2108" s="26" t="s">
        <v>37</v>
      </c>
      <c r="D2108" s="14"/>
      <c r="E2108" s="15"/>
      <c r="F2108" s="16">
        <f t="shared" si="124"/>
        <v>0</v>
      </c>
      <c r="G2108">
        <f t="shared" si="123"/>
        <v>0</v>
      </c>
    </row>
    <row r="2109" spans="1:7" ht="15.75" hidden="1" thickBot="1" x14ac:dyDescent="0.3">
      <c r="A2109" s="43" t="s">
        <v>4892</v>
      </c>
      <c r="B2109" s="81" t="s">
        <v>4851</v>
      </c>
      <c r="C2109" s="26" t="s">
        <v>37</v>
      </c>
      <c r="D2109" s="14"/>
      <c r="E2109" s="15"/>
      <c r="F2109" s="16">
        <f t="shared" si="124"/>
        <v>0</v>
      </c>
      <c r="G2109">
        <f t="shared" si="123"/>
        <v>0</v>
      </c>
    </row>
    <row r="2110" spans="1:7" ht="15.75" hidden="1" thickBot="1" x14ac:dyDescent="0.3">
      <c r="A2110" s="43" t="s">
        <v>4893</v>
      </c>
      <c r="B2110" s="81" t="s">
        <v>4844</v>
      </c>
      <c r="C2110" s="26" t="s">
        <v>37</v>
      </c>
      <c r="D2110" s="14"/>
      <c r="E2110" s="15"/>
      <c r="F2110" s="16">
        <f t="shared" si="124"/>
        <v>0</v>
      </c>
      <c r="G2110">
        <f t="shared" si="123"/>
        <v>0</v>
      </c>
    </row>
    <row r="2111" spans="1:7" ht="15.75" hidden="1" thickBot="1" x14ac:dyDescent="0.3">
      <c r="A2111" s="43" t="s">
        <v>4894</v>
      </c>
      <c r="B2111" s="81" t="s">
        <v>4845</v>
      </c>
      <c r="C2111" s="26" t="s">
        <v>37</v>
      </c>
      <c r="D2111" s="14"/>
      <c r="E2111" s="15"/>
      <c r="F2111" s="16">
        <f t="shared" si="124"/>
        <v>0</v>
      </c>
      <c r="G2111">
        <f t="shared" si="123"/>
        <v>0</v>
      </c>
    </row>
    <row r="2112" spans="1:7" ht="15.75" hidden="1" thickBot="1" x14ac:dyDescent="0.3">
      <c r="A2112" s="43" t="s">
        <v>4895</v>
      </c>
      <c r="B2112" s="81" t="s">
        <v>4846</v>
      </c>
      <c r="C2112" s="26" t="s">
        <v>37</v>
      </c>
      <c r="D2112" s="14"/>
      <c r="E2112" s="15"/>
      <c r="F2112" s="16">
        <f t="shared" si="124"/>
        <v>0</v>
      </c>
      <c r="G2112">
        <f t="shared" si="123"/>
        <v>0</v>
      </c>
    </row>
    <row r="2113" spans="1:7" ht="15.75" hidden="1" thickBot="1" x14ac:dyDescent="0.3">
      <c r="A2113" s="43" t="s">
        <v>1010</v>
      </c>
      <c r="B2113" s="81" t="s">
        <v>4847</v>
      </c>
      <c r="C2113" s="26" t="s">
        <v>37</v>
      </c>
      <c r="D2113" s="14"/>
      <c r="E2113" s="15"/>
      <c r="F2113" s="16">
        <f t="shared" si="124"/>
        <v>0</v>
      </c>
      <c r="G2113">
        <f t="shared" si="123"/>
        <v>0</v>
      </c>
    </row>
    <row r="2114" spans="1:7" ht="15.75" hidden="1" thickBot="1" x14ac:dyDescent="0.3">
      <c r="A2114" s="43" t="s">
        <v>4896</v>
      </c>
      <c r="B2114" s="81" t="s">
        <v>4848</v>
      </c>
      <c r="C2114" s="26" t="s">
        <v>37</v>
      </c>
      <c r="D2114" s="14"/>
      <c r="E2114" s="15"/>
      <c r="F2114" s="16">
        <f t="shared" si="124"/>
        <v>0</v>
      </c>
      <c r="G2114">
        <f t="shared" si="123"/>
        <v>0</v>
      </c>
    </row>
    <row r="2115" spans="1:7" ht="15.75" hidden="1" thickBot="1" x14ac:dyDescent="0.3">
      <c r="A2115" s="43" t="s">
        <v>4897</v>
      </c>
      <c r="B2115" s="81" t="s">
        <v>4852</v>
      </c>
      <c r="C2115" s="26" t="s">
        <v>37</v>
      </c>
      <c r="D2115" s="14"/>
      <c r="E2115" s="15"/>
      <c r="F2115" s="16">
        <f t="shared" si="124"/>
        <v>0</v>
      </c>
      <c r="G2115">
        <f t="shared" si="123"/>
        <v>0</v>
      </c>
    </row>
    <row r="2116" spans="1:7" ht="15.75" hidden="1" thickBot="1" x14ac:dyDescent="0.3">
      <c r="A2116" s="43" t="s">
        <v>4898</v>
      </c>
      <c r="B2116" s="81" t="s">
        <v>4853</v>
      </c>
      <c r="C2116" s="26" t="s">
        <v>37</v>
      </c>
      <c r="D2116" s="14"/>
      <c r="E2116" s="15"/>
      <c r="F2116" s="16">
        <f t="shared" si="124"/>
        <v>0</v>
      </c>
      <c r="G2116">
        <f t="shared" si="123"/>
        <v>0</v>
      </c>
    </row>
    <row r="2117" spans="1:7" ht="15.75" hidden="1" thickBot="1" x14ac:dyDescent="0.3">
      <c r="A2117" s="43" t="s">
        <v>4899</v>
      </c>
      <c r="B2117" s="81" t="s">
        <v>4854</v>
      </c>
      <c r="C2117" s="26" t="s">
        <v>37</v>
      </c>
      <c r="D2117" s="14"/>
      <c r="E2117" s="15"/>
      <c r="F2117" s="16">
        <f t="shared" si="124"/>
        <v>0</v>
      </c>
      <c r="G2117">
        <f t="shared" si="123"/>
        <v>0</v>
      </c>
    </row>
    <row r="2118" spans="1:7" ht="15.75" hidden="1" thickBot="1" x14ac:dyDescent="0.3">
      <c r="A2118" s="43" t="s">
        <v>4900</v>
      </c>
      <c r="B2118" s="81" t="s">
        <v>4855</v>
      </c>
      <c r="C2118" s="26" t="s">
        <v>37</v>
      </c>
      <c r="D2118" s="14"/>
      <c r="E2118" s="15"/>
      <c r="F2118" s="16">
        <f t="shared" si="124"/>
        <v>0</v>
      </c>
      <c r="G2118">
        <f t="shared" si="123"/>
        <v>0</v>
      </c>
    </row>
    <row r="2119" spans="1:7" ht="15.75" hidden="1" thickBot="1" x14ac:dyDescent="0.3">
      <c r="A2119" s="43" t="s">
        <v>4901</v>
      </c>
      <c r="B2119" s="81" t="s">
        <v>4856</v>
      </c>
      <c r="C2119" s="26" t="s">
        <v>37</v>
      </c>
      <c r="D2119" s="14"/>
      <c r="E2119" s="15"/>
      <c r="F2119" s="16">
        <f t="shared" si="124"/>
        <v>0</v>
      </c>
      <c r="G2119">
        <f t="shared" si="123"/>
        <v>0</v>
      </c>
    </row>
    <row r="2120" spans="1:7" ht="15.75" hidden="1" thickBot="1" x14ac:dyDescent="0.3">
      <c r="A2120" s="43" t="s">
        <v>4902</v>
      </c>
      <c r="B2120" s="81" t="s">
        <v>4857</v>
      </c>
      <c r="C2120" s="26" t="s">
        <v>37</v>
      </c>
      <c r="D2120" s="14"/>
      <c r="E2120" s="15"/>
      <c r="F2120" s="16">
        <f t="shared" si="124"/>
        <v>0</v>
      </c>
      <c r="G2120">
        <f t="shared" si="123"/>
        <v>0</v>
      </c>
    </row>
    <row r="2121" spans="1:7" ht="15.75" hidden="1" thickBot="1" x14ac:dyDescent="0.3">
      <c r="A2121" s="43" t="s">
        <v>4903</v>
      </c>
      <c r="B2121" s="81" t="s">
        <v>4858</v>
      </c>
      <c r="C2121" s="26" t="s">
        <v>37</v>
      </c>
      <c r="D2121" s="14"/>
      <c r="E2121" s="15"/>
      <c r="F2121" s="16">
        <f t="shared" si="124"/>
        <v>0</v>
      </c>
      <c r="G2121">
        <f t="shared" si="123"/>
        <v>0</v>
      </c>
    </row>
    <row r="2122" spans="1:7" ht="15.75" hidden="1" thickBot="1" x14ac:dyDescent="0.3">
      <c r="A2122" s="43" t="s">
        <v>4904</v>
      </c>
      <c r="B2122" s="81" t="s">
        <v>4859</v>
      </c>
      <c r="C2122" s="26" t="s">
        <v>37</v>
      </c>
      <c r="D2122" s="14"/>
      <c r="E2122" s="15"/>
      <c r="F2122" s="16">
        <f t="shared" si="124"/>
        <v>0</v>
      </c>
      <c r="G2122">
        <f t="shared" si="123"/>
        <v>0</v>
      </c>
    </row>
    <row r="2123" spans="1:7" ht="15.75" hidden="1" thickBot="1" x14ac:dyDescent="0.3">
      <c r="A2123" s="43" t="s">
        <v>4905</v>
      </c>
      <c r="B2123" s="81" t="s">
        <v>4860</v>
      </c>
      <c r="C2123" s="26" t="s">
        <v>37</v>
      </c>
      <c r="D2123" s="14"/>
      <c r="E2123" s="15"/>
      <c r="F2123" s="16">
        <f t="shared" si="124"/>
        <v>0</v>
      </c>
      <c r="G2123">
        <f t="shared" si="123"/>
        <v>0</v>
      </c>
    </row>
    <row r="2124" spans="1:7" ht="15.75" hidden="1" thickBot="1" x14ac:dyDescent="0.3">
      <c r="A2124" s="43" t="s">
        <v>4906</v>
      </c>
      <c r="B2124" s="81" t="s">
        <v>4861</v>
      </c>
      <c r="C2124" s="26" t="s">
        <v>37</v>
      </c>
      <c r="D2124" s="14"/>
      <c r="E2124" s="15"/>
      <c r="F2124" s="16">
        <f t="shared" si="124"/>
        <v>0</v>
      </c>
      <c r="G2124">
        <f t="shared" si="123"/>
        <v>0</v>
      </c>
    </row>
    <row r="2125" spans="1:7" ht="15.75" hidden="1" thickBot="1" x14ac:dyDescent="0.3">
      <c r="A2125" s="43" t="s">
        <v>4907</v>
      </c>
      <c r="B2125" s="81" t="s">
        <v>4862</v>
      </c>
      <c r="C2125" s="26" t="s">
        <v>37</v>
      </c>
      <c r="D2125" s="14"/>
      <c r="E2125" s="15"/>
      <c r="F2125" s="16">
        <f t="shared" si="124"/>
        <v>0</v>
      </c>
      <c r="G2125">
        <f t="shared" si="123"/>
        <v>0</v>
      </c>
    </row>
    <row r="2126" spans="1:7" ht="15.75" hidden="1" thickBot="1" x14ac:dyDescent="0.3">
      <c r="A2126" s="43" t="s">
        <v>4908</v>
      </c>
      <c r="B2126" s="81" t="s">
        <v>4863</v>
      </c>
      <c r="C2126" s="26" t="s">
        <v>37</v>
      </c>
      <c r="D2126" s="14"/>
      <c r="E2126" s="15"/>
      <c r="F2126" s="16">
        <f t="shared" si="124"/>
        <v>0</v>
      </c>
      <c r="G2126">
        <f t="shared" si="123"/>
        <v>0</v>
      </c>
    </row>
    <row r="2127" spans="1:7" ht="15.75" hidden="1" thickBot="1" x14ac:dyDescent="0.3">
      <c r="A2127" s="43" t="s">
        <v>4909</v>
      </c>
      <c r="B2127" s="81" t="s">
        <v>4864</v>
      </c>
      <c r="C2127" s="26" t="s">
        <v>37</v>
      </c>
      <c r="D2127" s="14"/>
      <c r="E2127" s="15"/>
      <c r="F2127" s="16">
        <f t="shared" si="124"/>
        <v>0</v>
      </c>
      <c r="G2127">
        <f t="shared" si="123"/>
        <v>0</v>
      </c>
    </row>
    <row r="2128" spans="1:7" ht="15.75" hidden="1" thickBot="1" x14ac:dyDescent="0.3">
      <c r="A2128" s="43" t="s">
        <v>4910</v>
      </c>
      <c r="B2128" s="81" t="s">
        <v>4865</v>
      </c>
      <c r="C2128" s="26" t="s">
        <v>37</v>
      </c>
      <c r="D2128" s="14"/>
      <c r="E2128" s="15"/>
      <c r="F2128" s="16">
        <f t="shared" si="124"/>
        <v>0</v>
      </c>
      <c r="G2128">
        <f t="shared" si="123"/>
        <v>0</v>
      </c>
    </row>
    <row r="2129" spans="1:7" ht="15.75" hidden="1" thickBot="1" x14ac:dyDescent="0.3">
      <c r="A2129" s="43" t="s">
        <v>4911</v>
      </c>
      <c r="B2129" s="81" t="s">
        <v>4866</v>
      </c>
      <c r="C2129" s="26" t="s">
        <v>37</v>
      </c>
      <c r="D2129" s="14"/>
      <c r="E2129" s="15"/>
      <c r="F2129" s="16">
        <f t="shared" si="124"/>
        <v>0</v>
      </c>
      <c r="G2129">
        <f t="shared" si="123"/>
        <v>0</v>
      </c>
    </row>
    <row r="2130" spans="1:7" ht="15.75" hidden="1" thickBot="1" x14ac:dyDescent="0.3">
      <c r="A2130" s="43" t="s">
        <v>4912</v>
      </c>
      <c r="B2130" s="81" t="s">
        <v>4867</v>
      </c>
      <c r="C2130" s="26" t="s">
        <v>37</v>
      </c>
      <c r="D2130" s="14"/>
      <c r="E2130" s="15"/>
      <c r="F2130" s="16">
        <f t="shared" si="124"/>
        <v>0</v>
      </c>
      <c r="G2130">
        <f t="shared" si="123"/>
        <v>0</v>
      </c>
    </row>
    <row r="2131" spans="1:7" ht="15.75" hidden="1" thickBot="1" x14ac:dyDescent="0.3">
      <c r="A2131" s="43" t="s">
        <v>4913</v>
      </c>
      <c r="B2131" s="81" t="s">
        <v>4868</v>
      </c>
      <c r="C2131" s="26" t="s">
        <v>37</v>
      </c>
      <c r="D2131" s="14"/>
      <c r="E2131" s="15"/>
      <c r="F2131" s="16">
        <f t="shared" si="124"/>
        <v>0</v>
      </c>
      <c r="G2131">
        <f t="shared" si="123"/>
        <v>0</v>
      </c>
    </row>
    <row r="2132" spans="1:7" ht="15.75" hidden="1" thickBot="1" x14ac:dyDescent="0.3">
      <c r="A2132" s="43" t="s">
        <v>4914</v>
      </c>
      <c r="B2132" s="81" t="s">
        <v>4869</v>
      </c>
      <c r="C2132" s="26" t="s">
        <v>37</v>
      </c>
      <c r="D2132" s="14"/>
      <c r="E2132" s="15"/>
      <c r="F2132" s="16">
        <f t="shared" si="124"/>
        <v>0</v>
      </c>
      <c r="G2132">
        <f t="shared" si="123"/>
        <v>0</v>
      </c>
    </row>
    <row r="2133" spans="1:7" ht="15.75" hidden="1" thickBot="1" x14ac:dyDescent="0.3">
      <c r="A2133" s="43" t="s">
        <v>4915</v>
      </c>
      <c r="B2133" s="81" t="s">
        <v>4870</v>
      </c>
      <c r="C2133" s="26" t="s">
        <v>37</v>
      </c>
      <c r="D2133" s="14"/>
      <c r="E2133" s="15"/>
      <c r="F2133" s="16">
        <f t="shared" si="124"/>
        <v>0</v>
      </c>
      <c r="G2133">
        <f t="shared" si="123"/>
        <v>0</v>
      </c>
    </row>
    <row r="2134" spans="1:7" ht="15.75" hidden="1" thickBot="1" x14ac:dyDescent="0.3">
      <c r="A2134" s="43" t="s">
        <v>4916</v>
      </c>
      <c r="B2134" s="81" t="s">
        <v>4871</v>
      </c>
      <c r="C2134" s="26" t="s">
        <v>37</v>
      </c>
      <c r="D2134" s="14"/>
      <c r="E2134" s="15"/>
      <c r="F2134" s="16">
        <f t="shared" si="124"/>
        <v>0</v>
      </c>
      <c r="G2134">
        <f t="shared" si="123"/>
        <v>0</v>
      </c>
    </row>
    <row r="2135" spans="1:7" ht="15.75" hidden="1" thickBot="1" x14ac:dyDescent="0.3">
      <c r="A2135" s="43" t="s">
        <v>4917</v>
      </c>
      <c r="B2135" s="81" t="s">
        <v>4872</v>
      </c>
      <c r="C2135" s="26" t="s">
        <v>37</v>
      </c>
      <c r="D2135" s="14"/>
      <c r="E2135" s="15"/>
      <c r="F2135" s="16">
        <f t="shared" si="124"/>
        <v>0</v>
      </c>
      <c r="G2135">
        <f t="shared" si="123"/>
        <v>0</v>
      </c>
    </row>
    <row r="2136" spans="1:7" ht="15.75" hidden="1" thickBot="1" x14ac:dyDescent="0.3">
      <c r="A2136" s="43" t="s">
        <v>4918</v>
      </c>
      <c r="B2136" s="81" t="s">
        <v>4873</v>
      </c>
      <c r="C2136" s="26" t="s">
        <v>37</v>
      </c>
      <c r="D2136" s="14"/>
      <c r="E2136" s="15"/>
      <c r="F2136" s="16">
        <f t="shared" si="124"/>
        <v>0</v>
      </c>
      <c r="G2136">
        <f t="shared" si="123"/>
        <v>0</v>
      </c>
    </row>
    <row r="2137" spans="1:7" ht="15.75" hidden="1" thickBot="1" x14ac:dyDescent="0.3">
      <c r="A2137" s="43" t="s">
        <v>4919</v>
      </c>
      <c r="B2137" s="81" t="s">
        <v>4874</v>
      </c>
      <c r="C2137" s="26" t="s">
        <v>37</v>
      </c>
      <c r="D2137" s="14"/>
      <c r="E2137" s="15"/>
      <c r="F2137" s="16">
        <f t="shared" si="124"/>
        <v>0</v>
      </c>
      <c r="G2137">
        <f t="shared" si="123"/>
        <v>0</v>
      </c>
    </row>
    <row r="2138" spans="1:7" ht="15.75" hidden="1" thickBot="1" x14ac:dyDescent="0.3">
      <c r="A2138" s="43" t="s">
        <v>4920</v>
      </c>
      <c r="B2138" s="81" t="s">
        <v>4875</v>
      </c>
      <c r="C2138" s="26" t="s">
        <v>37</v>
      </c>
      <c r="D2138" s="14"/>
      <c r="E2138" s="15"/>
      <c r="F2138" s="16">
        <f t="shared" si="124"/>
        <v>0</v>
      </c>
      <c r="G2138">
        <f t="shared" si="123"/>
        <v>0</v>
      </c>
    </row>
    <row r="2139" spans="1:7" ht="15.75" hidden="1" thickBot="1" x14ac:dyDescent="0.3">
      <c r="A2139" s="43" t="s">
        <v>4921</v>
      </c>
      <c r="B2139" s="81" t="s">
        <v>4876</v>
      </c>
      <c r="C2139" s="26" t="s">
        <v>37</v>
      </c>
      <c r="D2139" s="14"/>
      <c r="E2139" s="15"/>
      <c r="F2139" s="16">
        <f t="shared" si="124"/>
        <v>0</v>
      </c>
      <c r="G2139">
        <f t="shared" si="123"/>
        <v>0</v>
      </c>
    </row>
    <row r="2140" spans="1:7" ht="15.75" hidden="1" thickBot="1" x14ac:dyDescent="0.3">
      <c r="A2140" s="44" t="s">
        <v>4922</v>
      </c>
      <c r="B2140" s="80" t="s">
        <v>4923</v>
      </c>
      <c r="C2140" s="14"/>
      <c r="D2140" s="14"/>
      <c r="E2140" s="15"/>
      <c r="F2140" s="16"/>
      <c r="G2140">
        <f t="shared" si="123"/>
        <v>0</v>
      </c>
    </row>
    <row r="2141" spans="1:7" ht="15.75" hidden="1" thickBot="1" x14ac:dyDescent="0.3">
      <c r="A2141" s="44" t="s">
        <v>999</v>
      </c>
      <c r="B2141" s="80" t="s">
        <v>4941</v>
      </c>
      <c r="C2141" s="14"/>
      <c r="D2141" s="14"/>
      <c r="E2141" s="15"/>
      <c r="F2141" s="16"/>
      <c r="G2141">
        <f t="shared" si="123"/>
        <v>0</v>
      </c>
    </row>
    <row r="2142" spans="1:7" ht="15.75" hidden="1" thickBot="1" x14ac:dyDescent="0.3">
      <c r="A2142" s="43" t="s">
        <v>1000</v>
      </c>
      <c r="B2142" s="81" t="s">
        <v>4942</v>
      </c>
      <c r="C2142" s="26" t="s">
        <v>37</v>
      </c>
      <c r="D2142" s="14"/>
      <c r="E2142" s="15"/>
      <c r="F2142" s="16">
        <f>+D2142*E2142</f>
        <v>0</v>
      </c>
      <c r="G2142">
        <f t="shared" ref="G2142:G2205" si="125">+IF(F2142&lt;&gt;0,1,0)</f>
        <v>0</v>
      </c>
    </row>
    <row r="2143" spans="1:7" ht="15.75" hidden="1" thickBot="1" x14ac:dyDescent="0.3">
      <c r="A2143" s="43" t="s">
        <v>4745</v>
      </c>
      <c r="B2143" s="81" t="s">
        <v>4943</v>
      </c>
      <c r="C2143" s="26" t="s">
        <v>37</v>
      </c>
      <c r="D2143" s="14"/>
      <c r="E2143" s="15"/>
      <c r="F2143" s="16">
        <f>+D2143*E2143</f>
        <v>0</v>
      </c>
      <c r="G2143">
        <f t="shared" si="125"/>
        <v>0</v>
      </c>
    </row>
    <row r="2144" spans="1:7" ht="15.75" hidden="1" thickBot="1" x14ac:dyDescent="0.3">
      <c r="A2144" s="44" t="s">
        <v>1007</v>
      </c>
      <c r="B2144" s="80" t="s">
        <v>4924</v>
      </c>
      <c r="C2144" s="14"/>
      <c r="D2144" s="14"/>
      <c r="E2144" s="15"/>
      <c r="F2144" s="16"/>
      <c r="G2144">
        <f t="shared" si="125"/>
        <v>0</v>
      </c>
    </row>
    <row r="2145" spans="1:7" ht="15.75" hidden="1" thickBot="1" x14ac:dyDescent="0.3">
      <c r="A2145" s="43" t="s">
        <v>4877</v>
      </c>
      <c r="B2145" s="81" t="s">
        <v>4925</v>
      </c>
      <c r="C2145" s="26" t="s">
        <v>37</v>
      </c>
      <c r="D2145" s="14"/>
      <c r="E2145" s="15"/>
      <c r="F2145" s="16">
        <f>+D2145*E2145</f>
        <v>0</v>
      </c>
      <c r="G2145">
        <f t="shared" si="125"/>
        <v>0</v>
      </c>
    </row>
    <row r="2146" spans="1:7" ht="15.75" hidden="1" thickBot="1" x14ac:dyDescent="0.3">
      <c r="A2146" s="43" t="s">
        <v>4878</v>
      </c>
      <c r="B2146" s="81" t="s">
        <v>4926</v>
      </c>
      <c r="C2146" s="26" t="s">
        <v>37</v>
      </c>
      <c r="D2146" s="14"/>
      <c r="E2146" s="15"/>
      <c r="F2146" s="16">
        <f>+D2146*E2146</f>
        <v>0</v>
      </c>
      <c r="G2146">
        <f t="shared" si="125"/>
        <v>0</v>
      </c>
    </row>
    <row r="2147" spans="1:7" ht="15.75" hidden="1" thickBot="1" x14ac:dyDescent="0.3">
      <c r="A2147" s="43" t="s">
        <v>1008</v>
      </c>
      <c r="B2147" s="81" t="s">
        <v>4927</v>
      </c>
      <c r="C2147" s="26" t="s">
        <v>37</v>
      </c>
      <c r="D2147" s="14"/>
      <c r="E2147" s="15"/>
      <c r="F2147" s="16">
        <f>+D2147*E2147</f>
        <v>0</v>
      </c>
      <c r="G2147">
        <f t="shared" si="125"/>
        <v>0</v>
      </c>
    </row>
    <row r="2148" spans="1:7" ht="15.75" hidden="1" thickBot="1" x14ac:dyDescent="0.3">
      <c r="A2148" s="43" t="s">
        <v>1009</v>
      </c>
      <c r="B2148" s="81" t="s">
        <v>4928</v>
      </c>
      <c r="C2148" s="26" t="s">
        <v>37</v>
      </c>
      <c r="D2148" s="14"/>
      <c r="E2148" s="15"/>
      <c r="F2148" s="16">
        <f>+D2148*E2148</f>
        <v>0</v>
      </c>
      <c r="G2148">
        <f t="shared" si="125"/>
        <v>0</v>
      </c>
    </row>
    <row r="2149" spans="1:7" ht="15.75" hidden="1" thickBot="1" x14ac:dyDescent="0.3">
      <c r="A2149" s="44" t="s">
        <v>4922</v>
      </c>
      <c r="B2149" s="80" t="s">
        <v>4929</v>
      </c>
      <c r="C2149" s="14"/>
      <c r="D2149" s="14"/>
      <c r="E2149" s="15"/>
      <c r="F2149" s="16"/>
      <c r="G2149">
        <f t="shared" si="125"/>
        <v>0</v>
      </c>
    </row>
    <row r="2150" spans="1:7" ht="15.75" hidden="1" thickBot="1" x14ac:dyDescent="0.3">
      <c r="A2150" s="43" t="s">
        <v>4934</v>
      </c>
      <c r="B2150" s="81" t="s">
        <v>4930</v>
      </c>
      <c r="C2150" s="26" t="s">
        <v>37</v>
      </c>
      <c r="D2150" s="14"/>
      <c r="E2150" s="15"/>
      <c r="F2150" s="16">
        <f>+D2150*E2150</f>
        <v>0</v>
      </c>
      <c r="G2150">
        <f t="shared" si="125"/>
        <v>0</v>
      </c>
    </row>
    <row r="2151" spans="1:7" ht="15.75" hidden="1" thickBot="1" x14ac:dyDescent="0.3">
      <c r="A2151" s="43" t="s">
        <v>4935</v>
      </c>
      <c r="B2151" s="81" t="s">
        <v>4931</v>
      </c>
      <c r="C2151" s="26" t="s">
        <v>37</v>
      </c>
      <c r="D2151" s="14"/>
      <c r="E2151" s="15"/>
      <c r="F2151" s="16">
        <f>+D2151*E2151</f>
        <v>0</v>
      </c>
      <c r="G2151">
        <f t="shared" si="125"/>
        <v>0</v>
      </c>
    </row>
    <row r="2152" spans="1:7" ht="15.75" hidden="1" thickBot="1" x14ac:dyDescent="0.3">
      <c r="A2152" s="43" t="s">
        <v>4936</v>
      </c>
      <c r="B2152" s="81" t="s">
        <v>4932</v>
      </c>
      <c r="C2152" s="26" t="s">
        <v>37</v>
      </c>
      <c r="D2152" s="14"/>
      <c r="E2152" s="15"/>
      <c r="F2152" s="16">
        <f>+D2152*E2152</f>
        <v>0</v>
      </c>
      <c r="G2152">
        <f t="shared" si="125"/>
        <v>0</v>
      </c>
    </row>
    <row r="2153" spans="1:7" ht="15.75" hidden="1" thickBot="1" x14ac:dyDescent="0.3">
      <c r="A2153" s="43" t="s">
        <v>4937</v>
      </c>
      <c r="B2153" s="81" t="s">
        <v>4933</v>
      </c>
      <c r="C2153" s="26" t="s">
        <v>37</v>
      </c>
      <c r="D2153" s="14"/>
      <c r="E2153" s="15"/>
      <c r="F2153" s="16">
        <f>+D2153*E2153</f>
        <v>0</v>
      </c>
      <c r="G2153">
        <f t="shared" si="125"/>
        <v>0</v>
      </c>
    </row>
    <row r="2154" spans="1:7" ht="15.75" hidden="1" thickBot="1" x14ac:dyDescent="0.3">
      <c r="A2154" s="44" t="s">
        <v>4938</v>
      </c>
      <c r="B2154" s="80" t="s">
        <v>4939</v>
      </c>
      <c r="C2154" s="14"/>
      <c r="D2154" s="14"/>
      <c r="E2154" s="15"/>
      <c r="F2154" s="16"/>
      <c r="G2154">
        <f t="shared" si="125"/>
        <v>0</v>
      </c>
    </row>
    <row r="2155" spans="1:7" ht="15.75" hidden="1" thickBot="1" x14ac:dyDescent="0.3">
      <c r="A2155" s="44" t="s">
        <v>4940</v>
      </c>
      <c r="B2155" s="80" t="s">
        <v>4950</v>
      </c>
      <c r="C2155" s="14"/>
      <c r="D2155" s="14"/>
      <c r="E2155" s="15"/>
      <c r="F2155" s="16"/>
      <c r="G2155">
        <f t="shared" si="125"/>
        <v>0</v>
      </c>
    </row>
    <row r="2156" spans="1:7" ht="15.75" hidden="1" thickBot="1" x14ac:dyDescent="0.3">
      <c r="A2156" s="43" t="s">
        <v>1014</v>
      </c>
      <c r="B2156" s="81" t="s">
        <v>4944</v>
      </c>
      <c r="C2156" s="26" t="s">
        <v>37</v>
      </c>
      <c r="D2156" s="14"/>
      <c r="E2156" s="15"/>
      <c r="F2156" s="16">
        <f>+D2156*E2156</f>
        <v>0</v>
      </c>
      <c r="G2156">
        <f t="shared" si="125"/>
        <v>0</v>
      </c>
    </row>
    <row r="2157" spans="1:7" ht="15.75" hidden="1" thickBot="1" x14ac:dyDescent="0.3">
      <c r="A2157" s="43" t="s">
        <v>1021</v>
      </c>
      <c r="B2157" s="81" t="s">
        <v>4945</v>
      </c>
      <c r="C2157" s="26" t="s">
        <v>37</v>
      </c>
      <c r="D2157" s="14"/>
      <c r="E2157" s="15"/>
      <c r="F2157" s="16">
        <f>+D2157*E2157</f>
        <v>0</v>
      </c>
      <c r="G2157">
        <f t="shared" si="125"/>
        <v>0</v>
      </c>
    </row>
    <row r="2158" spans="1:7" ht="15.75" hidden="1" thickBot="1" x14ac:dyDescent="0.3">
      <c r="A2158" s="44" t="s">
        <v>1029</v>
      </c>
      <c r="B2158" s="80" t="s">
        <v>4949</v>
      </c>
      <c r="C2158" s="14"/>
      <c r="D2158" s="14"/>
      <c r="E2158" s="15"/>
      <c r="F2158" s="16"/>
      <c r="G2158">
        <f t="shared" si="125"/>
        <v>0</v>
      </c>
    </row>
    <row r="2159" spans="1:7" ht="15.75" hidden="1" thickBot="1" x14ac:dyDescent="0.3">
      <c r="A2159" s="43" t="s">
        <v>1030</v>
      </c>
      <c r="B2159" s="81" t="s">
        <v>4946</v>
      </c>
      <c r="C2159" s="26" t="s">
        <v>37</v>
      </c>
      <c r="D2159" s="14"/>
      <c r="E2159" s="15"/>
      <c r="F2159" s="16">
        <f>+D2159*E2159</f>
        <v>0</v>
      </c>
      <c r="G2159">
        <f t="shared" si="125"/>
        <v>0</v>
      </c>
    </row>
    <row r="2160" spans="1:7" ht="15.75" hidden="1" thickBot="1" x14ac:dyDescent="0.3">
      <c r="A2160" s="43" t="s">
        <v>4952</v>
      </c>
      <c r="B2160" s="81" t="s">
        <v>4947</v>
      </c>
      <c r="C2160" s="26" t="s">
        <v>37</v>
      </c>
      <c r="D2160" s="14"/>
      <c r="E2160" s="15"/>
      <c r="F2160" s="16">
        <f>+D2160*E2160</f>
        <v>0</v>
      </c>
      <c r="G2160">
        <f t="shared" si="125"/>
        <v>0</v>
      </c>
    </row>
    <row r="2161" spans="1:7" ht="15.75" hidden="1" thickBot="1" x14ac:dyDescent="0.3">
      <c r="A2161" s="43" t="s">
        <v>4953</v>
      </c>
      <c r="B2161" s="81" t="s">
        <v>4944</v>
      </c>
      <c r="C2161" s="26" t="s">
        <v>37</v>
      </c>
      <c r="D2161" s="14"/>
      <c r="E2161" s="15"/>
      <c r="F2161" s="16">
        <f>+D2161*E2161</f>
        <v>0</v>
      </c>
      <c r="G2161">
        <f t="shared" si="125"/>
        <v>0</v>
      </c>
    </row>
    <row r="2162" spans="1:7" ht="15.75" hidden="1" thickBot="1" x14ac:dyDescent="0.3">
      <c r="A2162" s="43" t="s">
        <v>4954</v>
      </c>
      <c r="B2162" s="81" t="s">
        <v>4948</v>
      </c>
      <c r="C2162" s="26" t="s">
        <v>37</v>
      </c>
      <c r="D2162" s="14"/>
      <c r="E2162" s="15"/>
      <c r="F2162" s="16">
        <f>+D2162*E2162</f>
        <v>0</v>
      </c>
      <c r="G2162">
        <f t="shared" si="125"/>
        <v>0</v>
      </c>
    </row>
    <row r="2163" spans="1:7" ht="15.75" hidden="1" thickBot="1" x14ac:dyDescent="0.3">
      <c r="A2163" s="44" t="s">
        <v>1035</v>
      </c>
      <c r="B2163" s="80" t="s">
        <v>4951</v>
      </c>
      <c r="C2163" s="14"/>
      <c r="D2163" s="14"/>
      <c r="E2163" s="15"/>
      <c r="F2163" s="16"/>
      <c r="G2163">
        <f t="shared" si="125"/>
        <v>0</v>
      </c>
    </row>
    <row r="2164" spans="1:7" ht="15.75" hidden="1" thickBot="1" x14ac:dyDescent="0.3">
      <c r="A2164" s="43" t="s">
        <v>4955</v>
      </c>
      <c r="B2164" s="81" t="s">
        <v>4947</v>
      </c>
      <c r="C2164" s="26" t="s">
        <v>37</v>
      </c>
      <c r="D2164" s="14"/>
      <c r="E2164" s="15"/>
      <c r="F2164" s="16">
        <f>+D2164*E2164</f>
        <v>0</v>
      </c>
      <c r="G2164">
        <f t="shared" si="125"/>
        <v>0</v>
      </c>
    </row>
    <row r="2165" spans="1:7" ht="15.75" hidden="1" thickBot="1" x14ac:dyDescent="0.3">
      <c r="A2165" s="44" t="s">
        <v>1011</v>
      </c>
      <c r="B2165" s="80" t="s">
        <v>1012</v>
      </c>
      <c r="C2165" s="14"/>
      <c r="D2165" s="14"/>
      <c r="E2165" s="15"/>
      <c r="F2165" s="16"/>
      <c r="G2165">
        <f t="shared" si="125"/>
        <v>0</v>
      </c>
    </row>
    <row r="2166" spans="1:7" ht="15.75" hidden="1" thickBot="1" x14ac:dyDescent="0.3">
      <c r="A2166" s="44" t="s">
        <v>1013</v>
      </c>
      <c r="B2166" s="80" t="s">
        <v>4956</v>
      </c>
      <c r="C2166" s="14"/>
      <c r="D2166" s="14"/>
      <c r="E2166" s="15"/>
      <c r="F2166" s="16"/>
      <c r="G2166">
        <f t="shared" si="125"/>
        <v>0</v>
      </c>
    </row>
    <row r="2167" spans="1:7" ht="15.75" hidden="1" thickBot="1" x14ac:dyDescent="0.3">
      <c r="A2167" s="44" t="s">
        <v>1014</v>
      </c>
      <c r="B2167" s="89" t="s">
        <v>4957</v>
      </c>
      <c r="C2167" s="14"/>
      <c r="D2167" s="14"/>
      <c r="E2167" s="15"/>
      <c r="F2167" s="16"/>
      <c r="G2167">
        <f t="shared" si="125"/>
        <v>0</v>
      </c>
    </row>
    <row r="2168" spans="1:7" ht="15.75" hidden="1" thickBot="1" x14ac:dyDescent="0.3">
      <c r="A2168" s="43" t="s">
        <v>4969</v>
      </c>
      <c r="B2168" s="81" t="s">
        <v>4958</v>
      </c>
      <c r="C2168" s="14" t="s">
        <v>37</v>
      </c>
      <c r="D2168" s="14"/>
      <c r="E2168" s="15"/>
      <c r="F2168" s="16">
        <f t="shared" ref="F2168:F2178" si="126">+D2168*E2168</f>
        <v>0</v>
      </c>
      <c r="G2168">
        <f t="shared" si="125"/>
        <v>0</v>
      </c>
    </row>
    <row r="2169" spans="1:7" ht="15.75" hidden="1" thickBot="1" x14ac:dyDescent="0.3">
      <c r="A2169" s="43" t="s">
        <v>1015</v>
      </c>
      <c r="B2169" s="81" t="s">
        <v>4959</v>
      </c>
      <c r="C2169" s="14" t="s">
        <v>37</v>
      </c>
      <c r="D2169" s="14"/>
      <c r="E2169" s="15"/>
      <c r="F2169" s="16">
        <f t="shared" si="126"/>
        <v>0</v>
      </c>
      <c r="G2169">
        <f t="shared" si="125"/>
        <v>0</v>
      </c>
    </row>
    <row r="2170" spans="1:7" ht="15.75" hidden="1" thickBot="1" x14ac:dyDescent="0.3">
      <c r="A2170" s="43" t="s">
        <v>1016</v>
      </c>
      <c r="B2170" s="81" t="s">
        <v>4960</v>
      </c>
      <c r="C2170" s="14" t="s">
        <v>37</v>
      </c>
      <c r="D2170" s="14"/>
      <c r="E2170" s="15"/>
      <c r="F2170" s="16">
        <f t="shared" si="126"/>
        <v>0</v>
      </c>
      <c r="G2170">
        <f t="shared" si="125"/>
        <v>0</v>
      </c>
    </row>
    <row r="2171" spans="1:7" ht="15.75" hidden="1" thickBot="1" x14ac:dyDescent="0.3">
      <c r="A2171" s="43" t="s">
        <v>1017</v>
      </c>
      <c r="B2171" s="81" t="s">
        <v>4961</v>
      </c>
      <c r="C2171" s="14" t="s">
        <v>37</v>
      </c>
      <c r="D2171" s="14"/>
      <c r="E2171" s="15"/>
      <c r="F2171" s="16">
        <f t="shared" si="126"/>
        <v>0</v>
      </c>
      <c r="G2171">
        <f t="shared" si="125"/>
        <v>0</v>
      </c>
    </row>
    <row r="2172" spans="1:7" ht="15.75" hidden="1" thickBot="1" x14ac:dyDescent="0.3">
      <c r="A2172" s="43" t="s">
        <v>1018</v>
      </c>
      <c r="B2172" s="81" t="s">
        <v>4962</v>
      </c>
      <c r="C2172" s="14" t="s">
        <v>37</v>
      </c>
      <c r="D2172" s="14"/>
      <c r="E2172" s="15">
        <f>+SUM!H2166</f>
        <v>1786946</v>
      </c>
      <c r="F2172" s="16">
        <f t="shared" si="126"/>
        <v>0</v>
      </c>
      <c r="G2172">
        <f t="shared" si="125"/>
        <v>0</v>
      </c>
    </row>
    <row r="2173" spans="1:7" ht="15.75" hidden="1" thickBot="1" x14ac:dyDescent="0.3">
      <c r="A2173" s="43" t="s">
        <v>1019</v>
      </c>
      <c r="B2173" s="81" t="s">
        <v>4963</v>
      </c>
      <c r="C2173" s="14" t="s">
        <v>37</v>
      </c>
      <c r="D2173" s="14"/>
      <c r="E2173" s="15"/>
      <c r="F2173" s="16">
        <f t="shared" si="126"/>
        <v>0</v>
      </c>
      <c r="G2173">
        <f t="shared" si="125"/>
        <v>0</v>
      </c>
    </row>
    <row r="2174" spans="1:7" ht="15.75" hidden="1" thickBot="1" x14ac:dyDescent="0.3">
      <c r="A2174" s="43" t="s">
        <v>1020</v>
      </c>
      <c r="B2174" s="81" t="s">
        <v>4964</v>
      </c>
      <c r="C2174" s="14" t="s">
        <v>37</v>
      </c>
      <c r="D2174" s="14"/>
      <c r="E2174" s="15"/>
      <c r="F2174" s="16">
        <f t="shared" si="126"/>
        <v>0</v>
      </c>
      <c r="G2174">
        <f t="shared" si="125"/>
        <v>0</v>
      </c>
    </row>
    <row r="2175" spans="1:7" ht="15.75" hidden="1" thickBot="1" x14ac:dyDescent="0.3">
      <c r="A2175" s="43" t="s">
        <v>4970</v>
      </c>
      <c r="B2175" s="81" t="s">
        <v>4965</v>
      </c>
      <c r="C2175" s="14" t="s">
        <v>37</v>
      </c>
      <c r="D2175" s="14"/>
      <c r="E2175" s="15"/>
      <c r="F2175" s="16">
        <f t="shared" si="126"/>
        <v>0</v>
      </c>
      <c r="G2175">
        <f t="shared" si="125"/>
        <v>0</v>
      </c>
    </row>
    <row r="2176" spans="1:7" ht="15.75" hidden="1" thickBot="1" x14ac:dyDescent="0.3">
      <c r="A2176" s="43" t="s">
        <v>4971</v>
      </c>
      <c r="B2176" s="81" t="s">
        <v>4966</v>
      </c>
      <c r="C2176" s="14" t="s">
        <v>37</v>
      </c>
      <c r="D2176" s="14"/>
      <c r="E2176" s="15"/>
      <c r="F2176" s="16">
        <f t="shared" si="126"/>
        <v>0</v>
      </c>
      <c r="G2176">
        <f t="shared" si="125"/>
        <v>0</v>
      </c>
    </row>
    <row r="2177" spans="1:7" ht="15.75" hidden="1" thickBot="1" x14ac:dyDescent="0.3">
      <c r="A2177" s="43" t="s">
        <v>4972</v>
      </c>
      <c r="B2177" s="81" t="s">
        <v>4967</v>
      </c>
      <c r="C2177" s="14" t="s">
        <v>37</v>
      </c>
      <c r="D2177" s="14"/>
      <c r="E2177" s="15"/>
      <c r="F2177" s="16">
        <f t="shared" si="126"/>
        <v>0</v>
      </c>
      <c r="G2177">
        <f t="shared" si="125"/>
        <v>0</v>
      </c>
    </row>
    <row r="2178" spans="1:7" ht="15.75" hidden="1" thickBot="1" x14ac:dyDescent="0.3">
      <c r="A2178" s="43" t="s">
        <v>4973</v>
      </c>
      <c r="B2178" s="81" t="s">
        <v>4968</v>
      </c>
      <c r="C2178" s="14" t="s">
        <v>37</v>
      </c>
      <c r="D2178" s="14"/>
      <c r="E2178" s="15"/>
      <c r="F2178" s="16">
        <f t="shared" si="126"/>
        <v>0</v>
      </c>
      <c r="G2178">
        <f t="shared" si="125"/>
        <v>0</v>
      </c>
    </row>
    <row r="2179" spans="1:7" ht="15.75" hidden="1" thickBot="1" x14ac:dyDescent="0.3">
      <c r="A2179" s="44" t="s">
        <v>1021</v>
      </c>
      <c r="B2179" s="89" t="s">
        <v>4974</v>
      </c>
      <c r="C2179" s="14"/>
      <c r="D2179" s="14"/>
      <c r="E2179" s="15"/>
      <c r="F2179" s="16"/>
      <c r="G2179">
        <f t="shared" si="125"/>
        <v>0</v>
      </c>
    </row>
    <row r="2180" spans="1:7" ht="15.75" hidden="1" thickBot="1" x14ac:dyDescent="0.3">
      <c r="A2180" s="43" t="s">
        <v>1022</v>
      </c>
      <c r="B2180" s="81" t="s">
        <v>4975</v>
      </c>
      <c r="C2180" s="14" t="s">
        <v>37</v>
      </c>
      <c r="D2180" s="14"/>
      <c r="E2180" s="15"/>
      <c r="F2180" s="16">
        <f t="shared" ref="F2180:F2190" si="127">+D2180*E2180</f>
        <v>0</v>
      </c>
      <c r="G2180">
        <f t="shared" si="125"/>
        <v>0</v>
      </c>
    </row>
    <row r="2181" spans="1:7" ht="15.75" hidden="1" thickBot="1" x14ac:dyDescent="0.3">
      <c r="A2181" s="43" t="s">
        <v>4985</v>
      </c>
      <c r="B2181" s="81" t="s">
        <v>4976</v>
      </c>
      <c r="C2181" s="14" t="s">
        <v>37</v>
      </c>
      <c r="D2181" s="14"/>
      <c r="E2181" s="15"/>
      <c r="F2181" s="16">
        <f t="shared" si="127"/>
        <v>0</v>
      </c>
      <c r="G2181">
        <f t="shared" si="125"/>
        <v>0</v>
      </c>
    </row>
    <row r="2182" spans="1:7" ht="15.75" hidden="1" thickBot="1" x14ac:dyDescent="0.3">
      <c r="A2182" s="43" t="s">
        <v>4986</v>
      </c>
      <c r="B2182" s="81" t="s">
        <v>4977</v>
      </c>
      <c r="C2182" s="14" t="s">
        <v>37</v>
      </c>
      <c r="D2182" s="14"/>
      <c r="E2182" s="15"/>
      <c r="F2182" s="16">
        <f t="shared" si="127"/>
        <v>0</v>
      </c>
      <c r="G2182">
        <f t="shared" si="125"/>
        <v>0</v>
      </c>
    </row>
    <row r="2183" spans="1:7" ht="15.75" hidden="1" thickBot="1" x14ac:dyDescent="0.3">
      <c r="A2183" s="43" t="s">
        <v>4987</v>
      </c>
      <c r="B2183" s="81" t="s">
        <v>5053</v>
      </c>
      <c r="C2183" s="14" t="s">
        <v>37</v>
      </c>
      <c r="D2183" s="14"/>
      <c r="E2183" s="15"/>
      <c r="F2183" s="16">
        <f t="shared" si="127"/>
        <v>0</v>
      </c>
      <c r="G2183">
        <f t="shared" si="125"/>
        <v>0</v>
      </c>
    </row>
    <row r="2184" spans="1:7" ht="15.75" hidden="1" thickBot="1" x14ac:dyDescent="0.3">
      <c r="A2184" s="43" t="s">
        <v>4988</v>
      </c>
      <c r="B2184" s="81" t="s">
        <v>4984</v>
      </c>
      <c r="C2184" s="14" t="s">
        <v>37</v>
      </c>
      <c r="D2184" s="14"/>
      <c r="E2184" s="15"/>
      <c r="F2184" s="16">
        <f t="shared" si="127"/>
        <v>0</v>
      </c>
      <c r="G2184">
        <f t="shared" si="125"/>
        <v>0</v>
      </c>
    </row>
    <row r="2185" spans="1:7" ht="15.75" hidden="1" thickBot="1" x14ac:dyDescent="0.3">
      <c r="A2185" s="43" t="s">
        <v>4989</v>
      </c>
      <c r="B2185" s="81" t="s">
        <v>4978</v>
      </c>
      <c r="C2185" s="14" t="s">
        <v>37</v>
      </c>
      <c r="D2185" s="14"/>
      <c r="E2185" s="15"/>
      <c r="F2185" s="16">
        <f t="shared" si="127"/>
        <v>0</v>
      </c>
      <c r="G2185">
        <f t="shared" si="125"/>
        <v>0</v>
      </c>
    </row>
    <row r="2186" spans="1:7" ht="15.75" hidden="1" thickBot="1" x14ac:dyDescent="0.3">
      <c r="A2186" s="43" t="s">
        <v>4990</v>
      </c>
      <c r="B2186" s="81" t="s">
        <v>4979</v>
      </c>
      <c r="C2186" s="14" t="s">
        <v>37</v>
      </c>
      <c r="D2186" s="14"/>
      <c r="E2186" s="15"/>
      <c r="F2186" s="16">
        <f t="shared" si="127"/>
        <v>0</v>
      </c>
      <c r="G2186">
        <f t="shared" si="125"/>
        <v>0</v>
      </c>
    </row>
    <row r="2187" spans="1:7" ht="15.75" hidden="1" thickBot="1" x14ac:dyDescent="0.3">
      <c r="A2187" s="43" t="s">
        <v>4991</v>
      </c>
      <c r="B2187" s="81" t="s">
        <v>4980</v>
      </c>
      <c r="C2187" s="26" t="s">
        <v>37</v>
      </c>
      <c r="D2187" s="14"/>
      <c r="E2187" s="15"/>
      <c r="F2187" s="16">
        <f t="shared" si="127"/>
        <v>0</v>
      </c>
      <c r="G2187">
        <f t="shared" si="125"/>
        <v>0</v>
      </c>
    </row>
    <row r="2188" spans="1:7" ht="15.75" hidden="1" thickBot="1" x14ac:dyDescent="0.3">
      <c r="A2188" s="43" t="s">
        <v>4992</v>
      </c>
      <c r="B2188" s="81" t="s">
        <v>4981</v>
      </c>
      <c r="C2188" s="26" t="s">
        <v>37</v>
      </c>
      <c r="D2188" s="14"/>
      <c r="E2188" s="15"/>
      <c r="F2188" s="16">
        <f t="shared" si="127"/>
        <v>0</v>
      </c>
      <c r="G2188">
        <f t="shared" si="125"/>
        <v>0</v>
      </c>
    </row>
    <row r="2189" spans="1:7" ht="15.75" hidden="1" thickBot="1" x14ac:dyDescent="0.3">
      <c r="A2189" s="43" t="s">
        <v>4993</v>
      </c>
      <c r="B2189" s="81" t="s">
        <v>4982</v>
      </c>
      <c r="C2189" s="26" t="s">
        <v>37</v>
      </c>
      <c r="D2189" s="14"/>
      <c r="E2189" s="15"/>
      <c r="F2189" s="16">
        <f t="shared" si="127"/>
        <v>0</v>
      </c>
      <c r="G2189">
        <f t="shared" si="125"/>
        <v>0</v>
      </c>
    </row>
    <row r="2190" spans="1:7" ht="15.75" hidden="1" thickBot="1" x14ac:dyDescent="0.3">
      <c r="A2190" s="43" t="s">
        <v>4994</v>
      </c>
      <c r="B2190" s="81" t="s">
        <v>4983</v>
      </c>
      <c r="C2190" s="26" t="s">
        <v>37</v>
      </c>
      <c r="D2190" s="14"/>
      <c r="E2190" s="15"/>
      <c r="F2190" s="16">
        <f t="shared" si="127"/>
        <v>0</v>
      </c>
      <c r="G2190">
        <f t="shared" si="125"/>
        <v>0</v>
      </c>
    </row>
    <row r="2191" spans="1:7" ht="15.75" hidden="1" thickBot="1" x14ac:dyDescent="0.3">
      <c r="A2191" s="44" t="s">
        <v>5066</v>
      </c>
      <c r="B2191" s="80" t="s">
        <v>5052</v>
      </c>
      <c r="C2191" s="14"/>
      <c r="D2191" s="14"/>
      <c r="E2191" s="15"/>
      <c r="F2191" s="16"/>
      <c r="G2191">
        <f t="shared" si="125"/>
        <v>0</v>
      </c>
    </row>
    <row r="2192" spans="1:7" ht="15.75" hidden="1" thickBot="1" x14ac:dyDescent="0.3">
      <c r="A2192" s="44" t="s">
        <v>1030</v>
      </c>
      <c r="B2192" s="89" t="s">
        <v>4957</v>
      </c>
      <c r="C2192" s="14"/>
      <c r="D2192" s="14"/>
      <c r="E2192" s="15"/>
      <c r="F2192" s="16"/>
      <c r="G2192">
        <f t="shared" si="125"/>
        <v>0</v>
      </c>
    </row>
    <row r="2193" spans="1:7" ht="15.75" hidden="1" thickBot="1" x14ac:dyDescent="0.3">
      <c r="A2193" s="43" t="s">
        <v>5003</v>
      </c>
      <c r="B2193" s="81" t="s">
        <v>5054</v>
      </c>
      <c r="C2193" s="26" t="s">
        <v>37</v>
      </c>
      <c r="D2193" s="14"/>
      <c r="E2193" s="15"/>
      <c r="F2193" s="16">
        <f t="shared" ref="F2193:F2203" si="128">+D2193*E2193</f>
        <v>0</v>
      </c>
      <c r="G2193">
        <f t="shared" si="125"/>
        <v>0</v>
      </c>
    </row>
    <row r="2194" spans="1:7" ht="15.75" hidden="1" thickBot="1" x14ac:dyDescent="0.3">
      <c r="A2194" s="43" t="s">
        <v>1023</v>
      </c>
      <c r="B2194" s="81" t="s">
        <v>5055</v>
      </c>
      <c r="C2194" s="26" t="s">
        <v>37</v>
      </c>
      <c r="D2194" s="14"/>
      <c r="E2194" s="15"/>
      <c r="F2194" s="16">
        <f t="shared" si="128"/>
        <v>0</v>
      </c>
      <c r="G2194">
        <f t="shared" si="125"/>
        <v>0</v>
      </c>
    </row>
    <row r="2195" spans="1:7" ht="15.75" hidden="1" thickBot="1" x14ac:dyDescent="0.3">
      <c r="A2195" s="43" t="s">
        <v>1024</v>
      </c>
      <c r="B2195" s="81" t="s">
        <v>5056</v>
      </c>
      <c r="C2195" s="26" t="s">
        <v>37</v>
      </c>
      <c r="D2195" s="14"/>
      <c r="E2195" s="15"/>
      <c r="F2195" s="16">
        <f t="shared" si="128"/>
        <v>0</v>
      </c>
      <c r="G2195">
        <f t="shared" si="125"/>
        <v>0</v>
      </c>
    </row>
    <row r="2196" spans="1:7" ht="15.75" hidden="1" thickBot="1" x14ac:dyDescent="0.3">
      <c r="A2196" s="43" t="s">
        <v>1025</v>
      </c>
      <c r="B2196" s="81" t="s">
        <v>5057</v>
      </c>
      <c r="C2196" s="26" t="s">
        <v>37</v>
      </c>
      <c r="D2196" s="14"/>
      <c r="E2196" s="15"/>
      <c r="F2196" s="16">
        <f t="shared" si="128"/>
        <v>0</v>
      </c>
      <c r="G2196">
        <f t="shared" si="125"/>
        <v>0</v>
      </c>
    </row>
    <row r="2197" spans="1:7" ht="15.75" hidden="1" thickBot="1" x14ac:dyDescent="0.3">
      <c r="A2197" s="43" t="s">
        <v>1026</v>
      </c>
      <c r="B2197" s="81" t="s">
        <v>5058</v>
      </c>
      <c r="C2197" s="26" t="s">
        <v>37</v>
      </c>
      <c r="D2197" s="14"/>
      <c r="E2197" s="15"/>
      <c r="F2197" s="16">
        <f t="shared" si="128"/>
        <v>0</v>
      </c>
      <c r="G2197">
        <f t="shared" si="125"/>
        <v>0</v>
      </c>
    </row>
    <row r="2198" spans="1:7" ht="15.75" hidden="1" thickBot="1" x14ac:dyDescent="0.3">
      <c r="A2198" s="43" t="s">
        <v>1027</v>
      </c>
      <c r="B2198" s="81" t="s">
        <v>5059</v>
      </c>
      <c r="C2198" s="26" t="s">
        <v>37</v>
      </c>
      <c r="D2198" s="14"/>
      <c r="E2198" s="15"/>
      <c r="F2198" s="16">
        <f t="shared" si="128"/>
        <v>0</v>
      </c>
      <c r="G2198">
        <f t="shared" si="125"/>
        <v>0</v>
      </c>
    </row>
    <row r="2199" spans="1:7" ht="15.75" hidden="1" thickBot="1" x14ac:dyDescent="0.3">
      <c r="A2199" s="43" t="s">
        <v>1028</v>
      </c>
      <c r="B2199" s="81" t="s">
        <v>5060</v>
      </c>
      <c r="C2199" s="26" t="s">
        <v>37</v>
      </c>
      <c r="D2199" s="14"/>
      <c r="E2199" s="15"/>
      <c r="F2199" s="16">
        <f t="shared" si="128"/>
        <v>0</v>
      </c>
      <c r="G2199">
        <f t="shared" si="125"/>
        <v>0</v>
      </c>
    </row>
    <row r="2200" spans="1:7" ht="15.75" hidden="1" thickBot="1" x14ac:dyDescent="0.3">
      <c r="A2200" s="43" t="s">
        <v>5004</v>
      </c>
      <c r="B2200" s="81" t="s">
        <v>5061</v>
      </c>
      <c r="C2200" s="26" t="s">
        <v>37</v>
      </c>
      <c r="D2200" s="14"/>
      <c r="E2200" s="15"/>
      <c r="F2200" s="16">
        <f t="shared" si="128"/>
        <v>0</v>
      </c>
      <c r="G2200">
        <f t="shared" si="125"/>
        <v>0</v>
      </c>
    </row>
    <row r="2201" spans="1:7" ht="15.75" hidden="1" thickBot="1" x14ac:dyDescent="0.3">
      <c r="A2201" s="43" t="s">
        <v>5067</v>
      </c>
      <c r="B2201" s="81" t="s">
        <v>5062</v>
      </c>
      <c r="C2201" s="26" t="s">
        <v>37</v>
      </c>
      <c r="D2201" s="14"/>
      <c r="E2201" s="15"/>
      <c r="F2201" s="16">
        <f t="shared" si="128"/>
        <v>0</v>
      </c>
      <c r="G2201">
        <f t="shared" si="125"/>
        <v>0</v>
      </c>
    </row>
    <row r="2202" spans="1:7" ht="15.75" hidden="1" thickBot="1" x14ac:dyDescent="0.3">
      <c r="A2202" s="43" t="s">
        <v>5068</v>
      </c>
      <c r="B2202" s="81" t="s">
        <v>5063</v>
      </c>
      <c r="C2202" s="26" t="s">
        <v>37</v>
      </c>
      <c r="D2202" s="14"/>
      <c r="E2202" s="15"/>
      <c r="F2202" s="16">
        <f t="shared" si="128"/>
        <v>0</v>
      </c>
      <c r="G2202">
        <f t="shared" si="125"/>
        <v>0</v>
      </c>
    </row>
    <row r="2203" spans="1:7" ht="15.75" hidden="1" thickBot="1" x14ac:dyDescent="0.3">
      <c r="A2203" s="43" t="s">
        <v>5069</v>
      </c>
      <c r="B2203" s="81" t="s">
        <v>5064</v>
      </c>
      <c r="C2203" s="26" t="s">
        <v>37</v>
      </c>
      <c r="D2203" s="14"/>
      <c r="E2203" s="15"/>
      <c r="F2203" s="16">
        <f t="shared" si="128"/>
        <v>0</v>
      </c>
      <c r="G2203">
        <f t="shared" si="125"/>
        <v>0</v>
      </c>
    </row>
    <row r="2204" spans="1:7" ht="15.75" hidden="1" thickBot="1" x14ac:dyDescent="0.3">
      <c r="A2204" s="44" t="s">
        <v>4952</v>
      </c>
      <c r="B2204" s="89" t="s">
        <v>4974</v>
      </c>
      <c r="C2204" s="14"/>
      <c r="D2204" s="14"/>
      <c r="E2204" s="15"/>
      <c r="F2204" s="16"/>
      <c r="G2204">
        <f t="shared" si="125"/>
        <v>0</v>
      </c>
    </row>
    <row r="2205" spans="1:7" ht="15.75" hidden="1" thickBot="1" x14ac:dyDescent="0.3">
      <c r="A2205" s="43" t="s">
        <v>5070</v>
      </c>
      <c r="B2205" s="81" t="s">
        <v>5054</v>
      </c>
      <c r="C2205" s="26" t="s">
        <v>37</v>
      </c>
      <c r="D2205" s="14"/>
      <c r="E2205" s="15"/>
      <c r="F2205" s="16">
        <f t="shared" ref="F2205:F2216" si="129">+D2205*E2205</f>
        <v>0</v>
      </c>
      <c r="G2205">
        <f t="shared" si="125"/>
        <v>0</v>
      </c>
    </row>
    <row r="2206" spans="1:7" ht="15.75" hidden="1" thickBot="1" x14ac:dyDescent="0.3">
      <c r="A2206" s="43" t="s">
        <v>5011</v>
      </c>
      <c r="B2206" s="81" t="s">
        <v>5055</v>
      </c>
      <c r="C2206" s="26" t="s">
        <v>37</v>
      </c>
      <c r="D2206" s="14"/>
      <c r="E2206" s="15"/>
      <c r="F2206" s="16">
        <f t="shared" si="129"/>
        <v>0</v>
      </c>
      <c r="G2206">
        <f t="shared" ref="G2206:G2269" si="130">+IF(F2206&lt;&gt;0,1,0)</f>
        <v>0</v>
      </c>
    </row>
    <row r="2207" spans="1:7" ht="15.75" hidden="1" thickBot="1" x14ac:dyDescent="0.3">
      <c r="A2207" s="43" t="s">
        <v>5012</v>
      </c>
      <c r="B2207" s="81" t="s">
        <v>5056</v>
      </c>
      <c r="C2207" s="26" t="s">
        <v>37</v>
      </c>
      <c r="D2207" s="14"/>
      <c r="E2207" s="15"/>
      <c r="F2207" s="16">
        <f t="shared" si="129"/>
        <v>0</v>
      </c>
      <c r="G2207">
        <f t="shared" si="130"/>
        <v>0</v>
      </c>
    </row>
    <row r="2208" spans="1:7" ht="15.75" hidden="1" thickBot="1" x14ac:dyDescent="0.3">
      <c r="A2208" s="43" t="s">
        <v>5013</v>
      </c>
      <c r="B2208" s="81" t="s">
        <v>5057</v>
      </c>
      <c r="C2208" s="26" t="s">
        <v>37</v>
      </c>
      <c r="D2208" s="14"/>
      <c r="E2208" s="15"/>
      <c r="F2208" s="16">
        <f t="shared" si="129"/>
        <v>0</v>
      </c>
      <c r="G2208">
        <f t="shared" si="130"/>
        <v>0</v>
      </c>
    </row>
    <row r="2209" spans="1:7" ht="15.75" hidden="1" thickBot="1" x14ac:dyDescent="0.3">
      <c r="A2209" s="43" t="s">
        <v>1034</v>
      </c>
      <c r="B2209" s="81" t="s">
        <v>5058</v>
      </c>
      <c r="C2209" s="26" t="s">
        <v>37</v>
      </c>
      <c r="D2209" s="14"/>
      <c r="E2209" s="15"/>
      <c r="F2209" s="16">
        <f t="shared" si="129"/>
        <v>0</v>
      </c>
      <c r="G2209">
        <f t="shared" si="130"/>
        <v>0</v>
      </c>
    </row>
    <row r="2210" spans="1:7" ht="15.75" hidden="1" thickBot="1" x14ac:dyDescent="0.3">
      <c r="A2210" s="43" t="s">
        <v>1033</v>
      </c>
      <c r="B2210" s="81" t="s">
        <v>5059</v>
      </c>
      <c r="C2210" s="26" t="s">
        <v>37</v>
      </c>
      <c r="D2210" s="14"/>
      <c r="E2210" s="15"/>
      <c r="F2210" s="16">
        <f t="shared" si="129"/>
        <v>0</v>
      </c>
      <c r="G2210">
        <f t="shared" si="130"/>
        <v>0</v>
      </c>
    </row>
    <row r="2211" spans="1:7" ht="15.75" hidden="1" thickBot="1" x14ac:dyDescent="0.3">
      <c r="A2211" s="43" t="s">
        <v>5071</v>
      </c>
      <c r="B2211" s="81" t="s">
        <v>5060</v>
      </c>
      <c r="C2211" s="26" t="s">
        <v>37</v>
      </c>
      <c r="D2211" s="14"/>
      <c r="E2211" s="15"/>
      <c r="F2211" s="16">
        <f t="shared" si="129"/>
        <v>0</v>
      </c>
      <c r="G2211">
        <f t="shared" si="130"/>
        <v>0</v>
      </c>
    </row>
    <row r="2212" spans="1:7" ht="15.75" hidden="1" thickBot="1" x14ac:dyDescent="0.3">
      <c r="A2212" s="43" t="s">
        <v>5072</v>
      </c>
      <c r="B2212" s="81" t="s">
        <v>5061</v>
      </c>
      <c r="C2212" s="26" t="s">
        <v>37</v>
      </c>
      <c r="D2212" s="14"/>
      <c r="E2212" s="15"/>
      <c r="F2212" s="16">
        <f t="shared" si="129"/>
        <v>0</v>
      </c>
      <c r="G2212">
        <f t="shared" si="130"/>
        <v>0</v>
      </c>
    </row>
    <row r="2213" spans="1:7" ht="15.75" hidden="1" thickBot="1" x14ac:dyDescent="0.3">
      <c r="A2213" s="43" t="s">
        <v>5073</v>
      </c>
      <c r="B2213" s="81" t="s">
        <v>5062</v>
      </c>
      <c r="C2213" s="26" t="s">
        <v>37</v>
      </c>
      <c r="D2213" s="14"/>
      <c r="E2213" s="15"/>
      <c r="F2213" s="16">
        <f t="shared" si="129"/>
        <v>0</v>
      </c>
      <c r="G2213">
        <f t="shared" si="130"/>
        <v>0</v>
      </c>
    </row>
    <row r="2214" spans="1:7" ht="15.75" hidden="1" thickBot="1" x14ac:dyDescent="0.3">
      <c r="A2214" s="43" t="s">
        <v>5074</v>
      </c>
      <c r="B2214" s="81" t="s">
        <v>5063</v>
      </c>
      <c r="C2214" s="26" t="s">
        <v>37</v>
      </c>
      <c r="D2214" s="14"/>
      <c r="E2214" s="15"/>
      <c r="F2214" s="16">
        <f t="shared" si="129"/>
        <v>0</v>
      </c>
      <c r="G2214">
        <f t="shared" si="130"/>
        <v>0</v>
      </c>
    </row>
    <row r="2215" spans="1:7" ht="15.75" hidden="1" thickBot="1" x14ac:dyDescent="0.3">
      <c r="A2215" s="43" t="s">
        <v>5075</v>
      </c>
      <c r="B2215" s="81" t="s">
        <v>5064</v>
      </c>
      <c r="C2215" s="26" t="s">
        <v>37</v>
      </c>
      <c r="D2215" s="14"/>
      <c r="E2215" s="15"/>
      <c r="F2215" s="16">
        <f t="shared" si="129"/>
        <v>0</v>
      </c>
      <c r="G2215">
        <f t="shared" si="130"/>
        <v>0</v>
      </c>
    </row>
    <row r="2216" spans="1:7" ht="15.75" hidden="1" thickBot="1" x14ac:dyDescent="0.3">
      <c r="A2216" s="43" t="s">
        <v>5076</v>
      </c>
      <c r="B2216" s="81" t="s">
        <v>5065</v>
      </c>
      <c r="C2216" s="26" t="s">
        <v>37</v>
      </c>
      <c r="D2216" s="14"/>
      <c r="E2216" s="15"/>
      <c r="F2216" s="16">
        <f t="shared" si="129"/>
        <v>0</v>
      </c>
      <c r="G2216">
        <f t="shared" si="130"/>
        <v>0</v>
      </c>
    </row>
    <row r="2217" spans="1:7" ht="15.75" hidden="1" thickBot="1" x14ac:dyDescent="0.3">
      <c r="A2217" s="44" t="s">
        <v>4955</v>
      </c>
      <c r="B2217" s="80" t="s">
        <v>5077</v>
      </c>
      <c r="C2217" s="14"/>
      <c r="D2217" s="14"/>
      <c r="E2217" s="15"/>
      <c r="F2217" s="16"/>
      <c r="G2217">
        <f t="shared" si="130"/>
        <v>0</v>
      </c>
    </row>
    <row r="2218" spans="1:7" ht="15.75" hidden="1" thickBot="1" x14ac:dyDescent="0.3">
      <c r="A2218" s="43" t="s">
        <v>5022</v>
      </c>
      <c r="B2218" s="81" t="s">
        <v>5078</v>
      </c>
      <c r="C2218" s="26" t="s">
        <v>37</v>
      </c>
      <c r="D2218" s="14"/>
      <c r="E2218" s="15"/>
      <c r="F2218" s="16">
        <f t="shared" ref="F2218:F2223" si="131">+D2218*E2218</f>
        <v>0</v>
      </c>
      <c r="G2218">
        <f t="shared" si="130"/>
        <v>0</v>
      </c>
    </row>
    <row r="2219" spans="1:7" ht="15.75" hidden="1" thickBot="1" x14ac:dyDescent="0.3">
      <c r="A2219" s="43" t="s">
        <v>5091</v>
      </c>
      <c r="B2219" s="81" t="s">
        <v>5079</v>
      </c>
      <c r="C2219" s="26" t="s">
        <v>37</v>
      </c>
      <c r="D2219" s="14"/>
      <c r="E2219" s="15"/>
      <c r="F2219" s="16">
        <f t="shared" si="131"/>
        <v>0</v>
      </c>
      <c r="G2219">
        <f t="shared" si="130"/>
        <v>0</v>
      </c>
    </row>
    <row r="2220" spans="1:7" ht="15.75" hidden="1" thickBot="1" x14ac:dyDescent="0.3">
      <c r="A2220" s="43" t="s">
        <v>5092</v>
      </c>
      <c r="B2220" s="81" t="s">
        <v>5080</v>
      </c>
      <c r="C2220" s="26" t="s">
        <v>37</v>
      </c>
      <c r="D2220" s="14"/>
      <c r="E2220" s="15"/>
      <c r="F2220" s="16">
        <f t="shared" si="131"/>
        <v>0</v>
      </c>
      <c r="G2220">
        <f t="shared" si="130"/>
        <v>0</v>
      </c>
    </row>
    <row r="2221" spans="1:7" ht="15.75" hidden="1" thickBot="1" x14ac:dyDescent="0.3">
      <c r="A2221" s="43" t="s">
        <v>5093</v>
      </c>
      <c r="B2221" s="81" t="s">
        <v>5081</v>
      </c>
      <c r="C2221" s="26" t="s">
        <v>37</v>
      </c>
      <c r="D2221" s="14"/>
      <c r="E2221" s="15"/>
      <c r="F2221" s="16">
        <f t="shared" si="131"/>
        <v>0</v>
      </c>
      <c r="G2221">
        <f t="shared" si="130"/>
        <v>0</v>
      </c>
    </row>
    <row r="2222" spans="1:7" ht="15.75" hidden="1" thickBot="1" x14ac:dyDescent="0.3">
      <c r="A2222" s="43" t="s">
        <v>5094</v>
      </c>
      <c r="B2222" s="81" t="s">
        <v>5082</v>
      </c>
      <c r="C2222" s="26" t="s">
        <v>37</v>
      </c>
      <c r="D2222" s="14"/>
      <c r="E2222" s="15"/>
      <c r="F2222" s="16">
        <f t="shared" si="131"/>
        <v>0</v>
      </c>
      <c r="G2222">
        <f t="shared" si="130"/>
        <v>0</v>
      </c>
    </row>
    <row r="2223" spans="1:7" ht="15.75" hidden="1" thickBot="1" x14ac:dyDescent="0.3">
      <c r="A2223" s="43" t="s">
        <v>5095</v>
      </c>
      <c r="B2223" s="81" t="s">
        <v>5083</v>
      </c>
      <c r="C2223" s="26" t="s">
        <v>37</v>
      </c>
      <c r="D2223" s="14"/>
      <c r="E2223" s="15"/>
      <c r="F2223" s="16">
        <f t="shared" si="131"/>
        <v>0</v>
      </c>
      <c r="G2223">
        <f t="shared" si="130"/>
        <v>0</v>
      </c>
    </row>
    <row r="2224" spans="1:7" ht="15.75" hidden="1" thickBot="1" x14ac:dyDescent="0.3">
      <c r="A2224" s="44" t="s">
        <v>5023</v>
      </c>
      <c r="B2224" s="80" t="s">
        <v>5084</v>
      </c>
      <c r="C2224" s="14"/>
      <c r="D2224" s="14"/>
      <c r="E2224" s="15"/>
      <c r="F2224" s="16"/>
      <c r="G2224">
        <f t="shared" si="130"/>
        <v>0</v>
      </c>
    </row>
    <row r="2225" spans="1:7" ht="15.75" hidden="1" thickBot="1" x14ac:dyDescent="0.3">
      <c r="A2225" s="43" t="s">
        <v>5096</v>
      </c>
      <c r="B2225" s="81" t="s">
        <v>5085</v>
      </c>
      <c r="C2225" s="26" t="s">
        <v>37</v>
      </c>
      <c r="D2225" s="14"/>
      <c r="E2225" s="15"/>
      <c r="F2225" s="16">
        <f t="shared" ref="F2225:F2230" si="132">+D2225*E2225</f>
        <v>0</v>
      </c>
      <c r="G2225">
        <f t="shared" si="130"/>
        <v>0</v>
      </c>
    </row>
    <row r="2226" spans="1:7" ht="15.75" hidden="1" thickBot="1" x14ac:dyDescent="0.3">
      <c r="A2226" s="43" t="s">
        <v>5097</v>
      </c>
      <c r="B2226" s="81" t="s">
        <v>5086</v>
      </c>
      <c r="C2226" s="26" t="s">
        <v>37</v>
      </c>
      <c r="D2226" s="14"/>
      <c r="E2226" s="15"/>
      <c r="F2226" s="16">
        <f t="shared" si="132"/>
        <v>0</v>
      </c>
      <c r="G2226">
        <f t="shared" si="130"/>
        <v>0</v>
      </c>
    </row>
    <row r="2227" spans="1:7" ht="15.75" hidden="1" thickBot="1" x14ac:dyDescent="0.3">
      <c r="A2227" s="43" t="s">
        <v>5098</v>
      </c>
      <c r="B2227" s="81" t="s">
        <v>5087</v>
      </c>
      <c r="C2227" s="26" t="s">
        <v>37</v>
      </c>
      <c r="D2227" s="14"/>
      <c r="E2227" s="15"/>
      <c r="F2227" s="16">
        <f t="shared" si="132"/>
        <v>0</v>
      </c>
      <c r="G2227">
        <f t="shared" si="130"/>
        <v>0</v>
      </c>
    </row>
    <row r="2228" spans="1:7" ht="15.75" hidden="1" thickBot="1" x14ac:dyDescent="0.3">
      <c r="A2228" s="43" t="s">
        <v>5099</v>
      </c>
      <c r="B2228" s="81" t="s">
        <v>5088</v>
      </c>
      <c r="C2228" s="26" t="s">
        <v>37</v>
      </c>
      <c r="D2228" s="14"/>
      <c r="E2228" s="15"/>
      <c r="F2228" s="16">
        <f t="shared" si="132"/>
        <v>0</v>
      </c>
      <c r="G2228">
        <f t="shared" si="130"/>
        <v>0</v>
      </c>
    </row>
    <row r="2229" spans="1:7" ht="15.75" hidden="1" thickBot="1" x14ac:dyDescent="0.3">
      <c r="A2229" s="43" t="s">
        <v>5100</v>
      </c>
      <c r="B2229" s="81" t="s">
        <v>5089</v>
      </c>
      <c r="C2229" s="26" t="s">
        <v>37</v>
      </c>
      <c r="D2229" s="14"/>
      <c r="E2229" s="15"/>
      <c r="F2229" s="16">
        <f t="shared" si="132"/>
        <v>0</v>
      </c>
      <c r="G2229">
        <f t="shared" si="130"/>
        <v>0</v>
      </c>
    </row>
    <row r="2230" spans="1:7" ht="15.75" hidden="1" thickBot="1" x14ac:dyDescent="0.3">
      <c r="A2230" s="43" t="s">
        <v>5101</v>
      </c>
      <c r="B2230" s="81" t="s">
        <v>5090</v>
      </c>
      <c r="C2230" s="26" t="s">
        <v>37</v>
      </c>
      <c r="D2230" s="14"/>
      <c r="E2230" s="15"/>
      <c r="F2230" s="16">
        <f t="shared" si="132"/>
        <v>0</v>
      </c>
      <c r="G2230">
        <f t="shared" si="130"/>
        <v>0</v>
      </c>
    </row>
    <row r="2231" spans="1:7" ht="15.75" hidden="1" thickBot="1" x14ac:dyDescent="0.3">
      <c r="A2231" s="44" t="s">
        <v>5025</v>
      </c>
      <c r="B2231" s="80" t="s">
        <v>4995</v>
      </c>
      <c r="C2231" s="14"/>
      <c r="D2231" s="14"/>
      <c r="E2231" s="15"/>
      <c r="F2231" s="16"/>
      <c r="G2231">
        <f t="shared" si="130"/>
        <v>0</v>
      </c>
    </row>
    <row r="2232" spans="1:7" ht="15.75" hidden="1" thickBot="1" x14ac:dyDescent="0.3">
      <c r="A2232" s="44" t="s">
        <v>5034</v>
      </c>
      <c r="B2232" s="80" t="s">
        <v>4996</v>
      </c>
      <c r="C2232" s="14"/>
      <c r="D2232" s="14"/>
      <c r="E2232" s="15"/>
      <c r="F2232" s="16"/>
      <c r="G2232">
        <f t="shared" si="130"/>
        <v>0</v>
      </c>
    </row>
    <row r="2233" spans="1:7" ht="15.75" hidden="1" thickBot="1" x14ac:dyDescent="0.3">
      <c r="A2233" s="43" t="s">
        <v>5102</v>
      </c>
      <c r="B2233" s="81" t="s">
        <v>4997</v>
      </c>
      <c r="C2233" s="26" t="s">
        <v>37</v>
      </c>
      <c r="D2233" s="14"/>
      <c r="E2233" s="15"/>
      <c r="F2233" s="16">
        <f t="shared" ref="F2233:F2240" si="133">+D2233*E2233</f>
        <v>0</v>
      </c>
      <c r="G2233">
        <f t="shared" si="130"/>
        <v>0</v>
      </c>
    </row>
    <row r="2234" spans="1:7" ht="15.75" hidden="1" thickBot="1" x14ac:dyDescent="0.3">
      <c r="A2234" s="43" t="s">
        <v>5103</v>
      </c>
      <c r="B2234" s="81" t="s">
        <v>4998</v>
      </c>
      <c r="C2234" s="26" t="s">
        <v>37</v>
      </c>
      <c r="D2234" s="14"/>
      <c r="E2234" s="15"/>
      <c r="F2234" s="16">
        <f t="shared" si="133"/>
        <v>0</v>
      </c>
      <c r="G2234">
        <f t="shared" si="130"/>
        <v>0</v>
      </c>
    </row>
    <row r="2235" spans="1:7" ht="15.75" hidden="1" thickBot="1" x14ac:dyDescent="0.3">
      <c r="A2235" s="43" t="s">
        <v>5104</v>
      </c>
      <c r="B2235" s="81" t="s">
        <v>4999</v>
      </c>
      <c r="C2235" s="26" t="s">
        <v>37</v>
      </c>
      <c r="D2235" s="14"/>
      <c r="E2235" s="15"/>
      <c r="F2235" s="16">
        <f t="shared" si="133"/>
        <v>0</v>
      </c>
      <c r="G2235">
        <f t="shared" si="130"/>
        <v>0</v>
      </c>
    </row>
    <row r="2236" spans="1:7" ht="15.75" hidden="1" thickBot="1" x14ac:dyDescent="0.3">
      <c r="A2236" s="43" t="s">
        <v>5105</v>
      </c>
      <c r="B2236" s="81" t="s">
        <v>1031</v>
      </c>
      <c r="C2236" s="26" t="s">
        <v>37</v>
      </c>
      <c r="D2236" s="14"/>
      <c r="E2236" s="15"/>
      <c r="F2236" s="16">
        <f t="shared" si="133"/>
        <v>0</v>
      </c>
      <c r="G2236">
        <f t="shared" si="130"/>
        <v>0</v>
      </c>
    </row>
    <row r="2237" spans="1:7" ht="15.75" hidden="1" thickBot="1" x14ac:dyDescent="0.3">
      <c r="A2237" s="43" t="s">
        <v>5106</v>
      </c>
      <c r="B2237" s="81" t="s">
        <v>1032</v>
      </c>
      <c r="C2237" s="26" t="s">
        <v>37</v>
      </c>
      <c r="D2237" s="14"/>
      <c r="E2237" s="15"/>
      <c r="F2237" s="16">
        <f t="shared" si="133"/>
        <v>0</v>
      </c>
      <c r="G2237">
        <f t="shared" si="130"/>
        <v>0</v>
      </c>
    </row>
    <row r="2238" spans="1:7" ht="15.75" hidden="1" thickBot="1" x14ac:dyDescent="0.3">
      <c r="A2238" s="43" t="s">
        <v>5107</v>
      </c>
      <c r="B2238" s="81" t="s">
        <v>5000</v>
      </c>
      <c r="C2238" s="26" t="s">
        <v>37</v>
      </c>
      <c r="D2238" s="14"/>
      <c r="E2238" s="15"/>
      <c r="F2238" s="16">
        <f t="shared" si="133"/>
        <v>0</v>
      </c>
      <c r="G2238">
        <f t="shared" si="130"/>
        <v>0</v>
      </c>
    </row>
    <row r="2239" spans="1:7" ht="15.75" hidden="1" thickBot="1" x14ac:dyDescent="0.3">
      <c r="A2239" s="43" t="s">
        <v>5108</v>
      </c>
      <c r="B2239" s="81" t="s">
        <v>5001</v>
      </c>
      <c r="C2239" s="26" t="s">
        <v>37</v>
      </c>
      <c r="D2239" s="14"/>
      <c r="E2239" s="15"/>
      <c r="F2239" s="16">
        <f t="shared" si="133"/>
        <v>0</v>
      </c>
      <c r="G2239">
        <f t="shared" si="130"/>
        <v>0</v>
      </c>
    </row>
    <row r="2240" spans="1:7" ht="15.75" hidden="1" thickBot="1" x14ac:dyDescent="0.3">
      <c r="A2240" s="43" t="s">
        <v>5109</v>
      </c>
      <c r="B2240" s="81" t="s">
        <v>5002</v>
      </c>
      <c r="C2240" s="26" t="s">
        <v>37</v>
      </c>
      <c r="D2240" s="14"/>
      <c r="E2240" s="15"/>
      <c r="F2240" s="16">
        <f t="shared" si="133"/>
        <v>0</v>
      </c>
      <c r="G2240">
        <f t="shared" si="130"/>
        <v>0</v>
      </c>
    </row>
    <row r="2241" spans="1:7" ht="15.75" hidden="1" thickBot="1" x14ac:dyDescent="0.3">
      <c r="A2241" s="44" t="s">
        <v>5110</v>
      </c>
      <c r="B2241" s="80" t="s">
        <v>5005</v>
      </c>
      <c r="C2241" s="14"/>
      <c r="D2241" s="14"/>
      <c r="E2241" s="15"/>
      <c r="F2241" s="16"/>
      <c r="G2241">
        <f t="shared" si="130"/>
        <v>0</v>
      </c>
    </row>
    <row r="2242" spans="1:7" ht="15.75" hidden="1" thickBot="1" x14ac:dyDescent="0.3">
      <c r="A2242" s="43" t="s">
        <v>5111</v>
      </c>
      <c r="B2242" s="81" t="s">
        <v>5006</v>
      </c>
      <c r="C2242" s="26" t="s">
        <v>37</v>
      </c>
      <c r="D2242" s="14"/>
      <c r="E2242" s="15"/>
      <c r="F2242" s="16">
        <f>+D2242*E2242</f>
        <v>0</v>
      </c>
      <c r="G2242">
        <f t="shared" si="130"/>
        <v>0</v>
      </c>
    </row>
    <row r="2243" spans="1:7" ht="15.75" hidden="1" thickBot="1" x14ac:dyDescent="0.3">
      <c r="A2243" s="43" t="s">
        <v>5112</v>
      </c>
      <c r="B2243" s="81" t="s">
        <v>5007</v>
      </c>
      <c r="C2243" s="26" t="s">
        <v>37</v>
      </c>
      <c r="D2243" s="14"/>
      <c r="E2243" s="15"/>
      <c r="F2243" s="16">
        <f>+D2243*E2243</f>
        <v>0</v>
      </c>
      <c r="G2243">
        <f t="shared" si="130"/>
        <v>0</v>
      </c>
    </row>
    <row r="2244" spans="1:7" ht="15.75" hidden="1" thickBot="1" x14ac:dyDescent="0.3">
      <c r="A2244" s="43" t="s">
        <v>5113</v>
      </c>
      <c r="B2244" s="81" t="s">
        <v>5008</v>
      </c>
      <c r="C2244" s="26" t="s">
        <v>37</v>
      </c>
      <c r="D2244" s="14"/>
      <c r="E2244" s="15"/>
      <c r="F2244" s="16">
        <f>+D2244*E2244</f>
        <v>0</v>
      </c>
      <c r="G2244">
        <f t="shared" si="130"/>
        <v>0</v>
      </c>
    </row>
    <row r="2245" spans="1:7" ht="15.75" hidden="1" thickBot="1" x14ac:dyDescent="0.3">
      <c r="A2245" s="43" t="s">
        <v>5114</v>
      </c>
      <c r="B2245" s="81" t="s">
        <v>5009</v>
      </c>
      <c r="C2245" s="26" t="s">
        <v>37</v>
      </c>
      <c r="D2245" s="14"/>
      <c r="E2245" s="15"/>
      <c r="F2245" s="16">
        <f>+D2245*E2245</f>
        <v>0</v>
      </c>
      <c r="G2245">
        <f t="shared" si="130"/>
        <v>0</v>
      </c>
    </row>
    <row r="2246" spans="1:7" ht="15.75" hidden="1" thickBot="1" x14ac:dyDescent="0.3">
      <c r="A2246" s="43" t="s">
        <v>5115</v>
      </c>
      <c r="B2246" s="81" t="s">
        <v>5010</v>
      </c>
      <c r="C2246" s="26" t="s">
        <v>37</v>
      </c>
      <c r="D2246" s="14"/>
      <c r="E2246" s="15"/>
      <c r="F2246" s="16">
        <f>+D2246*E2246</f>
        <v>0</v>
      </c>
      <c r="G2246">
        <f t="shared" si="130"/>
        <v>0</v>
      </c>
    </row>
    <row r="2247" spans="1:7" ht="15.75" hidden="1" thickBot="1" x14ac:dyDescent="0.3">
      <c r="A2247" s="44" t="s">
        <v>1036</v>
      </c>
      <c r="B2247" s="80" t="s">
        <v>5016</v>
      </c>
      <c r="C2247" s="14"/>
      <c r="D2247" s="14"/>
      <c r="E2247" s="15"/>
      <c r="F2247" s="16"/>
      <c r="G2247">
        <f t="shared" si="130"/>
        <v>0</v>
      </c>
    </row>
    <row r="2248" spans="1:7" ht="15.75" hidden="1" thickBot="1" x14ac:dyDescent="0.3">
      <c r="A2248" s="43" t="s">
        <v>5048</v>
      </c>
      <c r="B2248" s="81" t="s">
        <v>5017</v>
      </c>
      <c r="C2248" s="26" t="s">
        <v>37</v>
      </c>
      <c r="D2248" s="14"/>
      <c r="E2248" s="15"/>
      <c r="F2248" s="16">
        <f t="shared" ref="F2248:F2253" si="134">+D2248*E2248</f>
        <v>0</v>
      </c>
      <c r="G2248">
        <f t="shared" si="130"/>
        <v>0</v>
      </c>
    </row>
    <row r="2249" spans="1:7" ht="15.75" hidden="1" thickBot="1" x14ac:dyDescent="0.3">
      <c r="A2249" s="43" t="s">
        <v>1038</v>
      </c>
      <c r="B2249" s="81" t="s">
        <v>5018</v>
      </c>
      <c r="C2249" s="26" t="s">
        <v>37</v>
      </c>
      <c r="D2249" s="14"/>
      <c r="E2249" s="15"/>
      <c r="F2249" s="16">
        <f t="shared" si="134"/>
        <v>0</v>
      </c>
      <c r="G2249">
        <f t="shared" si="130"/>
        <v>0</v>
      </c>
    </row>
    <row r="2250" spans="1:7" ht="15.75" hidden="1" thickBot="1" x14ac:dyDescent="0.3">
      <c r="A2250" s="43" t="s">
        <v>1045</v>
      </c>
      <c r="B2250" s="81" t="s">
        <v>5019</v>
      </c>
      <c r="C2250" s="26" t="s">
        <v>37</v>
      </c>
      <c r="D2250" s="14"/>
      <c r="E2250" s="15"/>
      <c r="F2250" s="16">
        <f t="shared" si="134"/>
        <v>0</v>
      </c>
      <c r="G2250">
        <f t="shared" si="130"/>
        <v>0</v>
      </c>
    </row>
    <row r="2251" spans="1:7" ht="15.75" hidden="1" thickBot="1" x14ac:dyDescent="0.3">
      <c r="A2251" s="43" t="s">
        <v>5049</v>
      </c>
      <c r="B2251" s="81" t="s">
        <v>5024</v>
      </c>
      <c r="C2251" s="26" t="s">
        <v>37</v>
      </c>
      <c r="D2251" s="14"/>
      <c r="E2251" s="15"/>
      <c r="F2251" s="16">
        <f t="shared" si="134"/>
        <v>0</v>
      </c>
      <c r="G2251">
        <f t="shared" si="130"/>
        <v>0</v>
      </c>
    </row>
    <row r="2252" spans="1:7" ht="15.75" hidden="1" thickBot="1" x14ac:dyDescent="0.3">
      <c r="A2252" s="43" t="s">
        <v>5050</v>
      </c>
      <c r="B2252" s="81" t="s">
        <v>5020</v>
      </c>
      <c r="C2252" s="26" t="s">
        <v>37</v>
      </c>
      <c r="D2252" s="14"/>
      <c r="E2252" s="15"/>
      <c r="F2252" s="16">
        <f t="shared" si="134"/>
        <v>0</v>
      </c>
      <c r="G2252">
        <f t="shared" si="130"/>
        <v>0</v>
      </c>
    </row>
    <row r="2253" spans="1:7" ht="15.75" hidden="1" thickBot="1" x14ac:dyDescent="0.3">
      <c r="A2253" s="43" t="s">
        <v>5051</v>
      </c>
      <c r="B2253" s="81" t="s">
        <v>5021</v>
      </c>
      <c r="C2253" s="26" t="s">
        <v>37</v>
      </c>
      <c r="D2253" s="14"/>
      <c r="E2253" s="15"/>
      <c r="F2253" s="16">
        <f t="shared" si="134"/>
        <v>0</v>
      </c>
      <c r="G2253">
        <f t="shared" si="130"/>
        <v>0</v>
      </c>
    </row>
    <row r="2254" spans="1:7" ht="15.75" hidden="1" thickBot="1" x14ac:dyDescent="0.3">
      <c r="A2254" s="44" t="s">
        <v>1054</v>
      </c>
      <c r="B2254" s="80" t="s">
        <v>5026</v>
      </c>
      <c r="C2254" s="14"/>
      <c r="D2254" s="14"/>
      <c r="E2254" s="15"/>
      <c r="F2254" s="16"/>
      <c r="G2254">
        <f t="shared" si="130"/>
        <v>0</v>
      </c>
    </row>
    <row r="2255" spans="1:7" ht="15.75" hidden="1" thickBot="1" x14ac:dyDescent="0.3">
      <c r="A2255" s="43" t="s">
        <v>1055</v>
      </c>
      <c r="B2255" s="81" t="s">
        <v>5027</v>
      </c>
      <c r="C2255" s="26" t="s">
        <v>37</v>
      </c>
      <c r="D2255" s="14"/>
      <c r="E2255" s="15"/>
      <c r="F2255" s="16">
        <f t="shared" ref="F2255:F2261" si="135">+D2255*E2255</f>
        <v>0</v>
      </c>
      <c r="G2255">
        <f t="shared" si="130"/>
        <v>0</v>
      </c>
    </row>
    <row r="2256" spans="1:7" ht="15.75" hidden="1" thickBot="1" x14ac:dyDescent="0.3">
      <c r="A2256" s="43" t="s">
        <v>1056</v>
      </c>
      <c r="B2256" s="81" t="s">
        <v>5028</v>
      </c>
      <c r="C2256" s="26" t="s">
        <v>37</v>
      </c>
      <c r="D2256" s="14"/>
      <c r="E2256" s="15"/>
      <c r="F2256" s="16">
        <f t="shared" si="135"/>
        <v>0</v>
      </c>
      <c r="G2256">
        <f t="shared" si="130"/>
        <v>0</v>
      </c>
    </row>
    <row r="2257" spans="1:7" ht="15.75" hidden="1" thickBot="1" x14ac:dyDescent="0.3">
      <c r="A2257" s="43" t="s">
        <v>1057</v>
      </c>
      <c r="B2257" s="81" t="s">
        <v>5029</v>
      </c>
      <c r="C2257" s="26" t="s">
        <v>37</v>
      </c>
      <c r="D2257" s="14"/>
      <c r="E2257" s="15"/>
      <c r="F2257" s="16">
        <f t="shared" si="135"/>
        <v>0</v>
      </c>
      <c r="G2257">
        <f t="shared" si="130"/>
        <v>0</v>
      </c>
    </row>
    <row r="2258" spans="1:7" ht="15.75" hidden="1" thickBot="1" x14ac:dyDescent="0.3">
      <c r="A2258" s="43" t="s">
        <v>5116</v>
      </c>
      <c r="B2258" s="81" t="s">
        <v>5030</v>
      </c>
      <c r="C2258" s="26" t="s">
        <v>37</v>
      </c>
      <c r="D2258" s="14"/>
      <c r="E2258" s="15"/>
      <c r="F2258" s="16">
        <f t="shared" si="135"/>
        <v>0</v>
      </c>
      <c r="G2258">
        <f t="shared" si="130"/>
        <v>0</v>
      </c>
    </row>
    <row r="2259" spans="1:7" ht="15.75" hidden="1" thickBot="1" x14ac:dyDescent="0.3">
      <c r="A2259" s="43" t="s">
        <v>5117</v>
      </c>
      <c r="B2259" s="81" t="s">
        <v>5031</v>
      </c>
      <c r="C2259" s="26" t="s">
        <v>37</v>
      </c>
      <c r="D2259" s="14"/>
      <c r="E2259" s="15"/>
      <c r="F2259" s="16">
        <f t="shared" si="135"/>
        <v>0</v>
      </c>
      <c r="G2259">
        <f t="shared" si="130"/>
        <v>0</v>
      </c>
    </row>
    <row r="2260" spans="1:7" ht="15.75" hidden="1" thickBot="1" x14ac:dyDescent="0.3">
      <c r="A2260" s="43" t="s">
        <v>5118</v>
      </c>
      <c r="B2260" s="81" t="s">
        <v>5032</v>
      </c>
      <c r="C2260" s="26" t="s">
        <v>37</v>
      </c>
      <c r="D2260" s="14"/>
      <c r="E2260" s="15"/>
      <c r="F2260" s="16">
        <f t="shared" si="135"/>
        <v>0</v>
      </c>
      <c r="G2260">
        <f t="shared" si="130"/>
        <v>0</v>
      </c>
    </row>
    <row r="2261" spans="1:7" ht="15.75" hidden="1" thickBot="1" x14ac:dyDescent="0.3">
      <c r="A2261" s="43" t="s">
        <v>5120</v>
      </c>
      <c r="B2261" s="81" t="s">
        <v>5033</v>
      </c>
      <c r="C2261" s="26" t="s">
        <v>37</v>
      </c>
      <c r="D2261" s="14"/>
      <c r="E2261" s="15"/>
      <c r="F2261" s="16">
        <f t="shared" si="135"/>
        <v>0</v>
      </c>
      <c r="G2261">
        <f t="shared" si="130"/>
        <v>0</v>
      </c>
    </row>
    <row r="2262" spans="1:7" ht="15.75" hidden="1" thickBot="1" x14ac:dyDescent="0.3">
      <c r="A2262" s="44" t="s">
        <v>1059</v>
      </c>
      <c r="B2262" s="80" t="s">
        <v>5047</v>
      </c>
      <c r="C2262" s="14"/>
      <c r="D2262" s="14"/>
      <c r="E2262" s="15"/>
      <c r="F2262" s="16"/>
      <c r="G2262">
        <f t="shared" si="130"/>
        <v>0</v>
      </c>
    </row>
    <row r="2263" spans="1:7" ht="15.75" hidden="1" thickBot="1" x14ac:dyDescent="0.3">
      <c r="A2263" s="43" t="s">
        <v>5119</v>
      </c>
      <c r="B2263" s="81" t="s">
        <v>5035</v>
      </c>
      <c r="C2263" s="26" t="s">
        <v>37</v>
      </c>
      <c r="D2263" s="14"/>
      <c r="E2263" s="15"/>
      <c r="F2263" s="16">
        <f t="shared" ref="F2263:F2274" si="136">+D2263*E2263</f>
        <v>0</v>
      </c>
      <c r="G2263">
        <f t="shared" si="130"/>
        <v>0</v>
      </c>
    </row>
    <row r="2264" spans="1:7" ht="15.75" hidden="1" thickBot="1" x14ac:dyDescent="0.3">
      <c r="A2264" s="43" t="s">
        <v>5121</v>
      </c>
      <c r="B2264" s="81" t="s">
        <v>5036</v>
      </c>
      <c r="C2264" s="26" t="s">
        <v>37</v>
      </c>
      <c r="D2264" s="14"/>
      <c r="E2264" s="15"/>
      <c r="F2264" s="16">
        <f t="shared" si="136"/>
        <v>0</v>
      </c>
      <c r="G2264">
        <f t="shared" si="130"/>
        <v>0</v>
      </c>
    </row>
    <row r="2265" spans="1:7" ht="15.75" hidden="1" thickBot="1" x14ac:dyDescent="0.3">
      <c r="A2265" s="43" t="s">
        <v>5122</v>
      </c>
      <c r="B2265" s="81" t="s">
        <v>5037</v>
      </c>
      <c r="C2265" s="26" t="s">
        <v>37</v>
      </c>
      <c r="D2265" s="14"/>
      <c r="E2265" s="15"/>
      <c r="F2265" s="16">
        <f t="shared" si="136"/>
        <v>0</v>
      </c>
      <c r="G2265">
        <f t="shared" si="130"/>
        <v>0</v>
      </c>
    </row>
    <row r="2266" spans="1:7" ht="15.75" hidden="1" thickBot="1" x14ac:dyDescent="0.3">
      <c r="A2266" s="43" t="s">
        <v>5123</v>
      </c>
      <c r="B2266" s="81" t="s">
        <v>5038</v>
      </c>
      <c r="C2266" s="26" t="s">
        <v>37</v>
      </c>
      <c r="D2266" s="14"/>
      <c r="E2266" s="15"/>
      <c r="F2266" s="16">
        <f t="shared" si="136"/>
        <v>0</v>
      </c>
      <c r="G2266">
        <f t="shared" si="130"/>
        <v>0</v>
      </c>
    </row>
    <row r="2267" spans="1:7" ht="15.75" hidden="1" thickBot="1" x14ac:dyDescent="0.3">
      <c r="A2267" s="43" t="s">
        <v>5124</v>
      </c>
      <c r="B2267" s="81" t="s">
        <v>5039</v>
      </c>
      <c r="C2267" s="26" t="s">
        <v>37</v>
      </c>
      <c r="D2267" s="14"/>
      <c r="E2267" s="15"/>
      <c r="F2267" s="16">
        <f t="shared" si="136"/>
        <v>0</v>
      </c>
      <c r="G2267">
        <f t="shared" si="130"/>
        <v>0</v>
      </c>
    </row>
    <row r="2268" spans="1:7" ht="15.75" hidden="1" thickBot="1" x14ac:dyDescent="0.3">
      <c r="A2268" s="43" t="s">
        <v>5125</v>
      </c>
      <c r="B2268" s="81" t="s">
        <v>5040</v>
      </c>
      <c r="C2268" s="26" t="s">
        <v>37</v>
      </c>
      <c r="D2268" s="14"/>
      <c r="E2268" s="15"/>
      <c r="F2268" s="16">
        <f t="shared" si="136"/>
        <v>0</v>
      </c>
      <c r="G2268">
        <f t="shared" si="130"/>
        <v>0</v>
      </c>
    </row>
    <row r="2269" spans="1:7" ht="15.75" hidden="1" thickBot="1" x14ac:dyDescent="0.3">
      <c r="A2269" s="43" t="s">
        <v>5126</v>
      </c>
      <c r="B2269" s="81" t="s">
        <v>5041</v>
      </c>
      <c r="C2269" s="26" t="s">
        <v>37</v>
      </c>
      <c r="D2269" s="14"/>
      <c r="E2269" s="15"/>
      <c r="F2269" s="16">
        <f t="shared" si="136"/>
        <v>0</v>
      </c>
      <c r="G2269">
        <f t="shared" si="130"/>
        <v>0</v>
      </c>
    </row>
    <row r="2270" spans="1:7" ht="15.75" hidden="1" thickBot="1" x14ac:dyDescent="0.3">
      <c r="A2270" s="43" t="s">
        <v>5127</v>
      </c>
      <c r="B2270" s="81" t="s">
        <v>5042</v>
      </c>
      <c r="C2270" s="26" t="s">
        <v>37</v>
      </c>
      <c r="D2270" s="14"/>
      <c r="E2270" s="15"/>
      <c r="F2270" s="16">
        <f t="shared" si="136"/>
        <v>0</v>
      </c>
      <c r="G2270">
        <f t="shared" ref="G2270:G2333" si="137">+IF(F2270&lt;&gt;0,1,0)</f>
        <v>0</v>
      </c>
    </row>
    <row r="2271" spans="1:7" ht="15.75" hidden="1" thickBot="1" x14ac:dyDescent="0.3">
      <c r="A2271" s="43" t="s">
        <v>5128</v>
      </c>
      <c r="B2271" s="81" t="s">
        <v>5043</v>
      </c>
      <c r="C2271" s="26" t="s">
        <v>37</v>
      </c>
      <c r="D2271" s="14"/>
      <c r="E2271" s="15"/>
      <c r="F2271" s="16">
        <f t="shared" si="136"/>
        <v>0</v>
      </c>
      <c r="G2271">
        <f t="shared" si="137"/>
        <v>0</v>
      </c>
    </row>
    <row r="2272" spans="1:7" ht="15.75" hidden="1" thickBot="1" x14ac:dyDescent="0.3">
      <c r="A2272" s="43" t="s">
        <v>5129</v>
      </c>
      <c r="B2272" s="81" t="s">
        <v>5044</v>
      </c>
      <c r="C2272" s="26" t="s">
        <v>37</v>
      </c>
      <c r="D2272" s="14"/>
      <c r="E2272" s="15"/>
      <c r="F2272" s="16">
        <f t="shared" si="136"/>
        <v>0</v>
      </c>
      <c r="G2272">
        <f t="shared" si="137"/>
        <v>0</v>
      </c>
    </row>
    <row r="2273" spans="1:7" ht="15.75" hidden="1" thickBot="1" x14ac:dyDescent="0.3">
      <c r="A2273" s="43" t="s">
        <v>5130</v>
      </c>
      <c r="B2273" s="81" t="s">
        <v>5045</v>
      </c>
      <c r="C2273" s="26" t="s">
        <v>37</v>
      </c>
      <c r="D2273" s="14"/>
      <c r="E2273" s="15"/>
      <c r="F2273" s="16">
        <f t="shared" si="136"/>
        <v>0</v>
      </c>
      <c r="G2273">
        <f t="shared" si="137"/>
        <v>0</v>
      </c>
    </row>
    <row r="2274" spans="1:7" ht="15.75" hidden="1" thickBot="1" x14ac:dyDescent="0.3">
      <c r="A2274" s="43" t="s">
        <v>5131</v>
      </c>
      <c r="B2274" s="81" t="s">
        <v>5046</v>
      </c>
      <c r="C2274" s="26" t="s">
        <v>37</v>
      </c>
      <c r="D2274" s="14"/>
      <c r="E2274" s="15"/>
      <c r="F2274" s="16">
        <f t="shared" si="136"/>
        <v>0</v>
      </c>
      <c r="G2274">
        <f t="shared" si="137"/>
        <v>0</v>
      </c>
    </row>
    <row r="2275" spans="1:7" ht="15.75" hidden="1" thickBot="1" x14ac:dyDescent="0.3">
      <c r="A2275" s="44" t="s">
        <v>1060</v>
      </c>
      <c r="B2275" s="80" t="s">
        <v>5132</v>
      </c>
      <c r="C2275" s="14"/>
      <c r="D2275" s="14"/>
      <c r="E2275" s="15"/>
      <c r="F2275" s="16"/>
      <c r="G2275">
        <f t="shared" si="137"/>
        <v>0</v>
      </c>
    </row>
    <row r="2276" spans="1:7" ht="15.75" hidden="1" thickBot="1" x14ac:dyDescent="0.3">
      <c r="A2276" s="43" t="s">
        <v>5139</v>
      </c>
      <c r="B2276" s="81" t="s">
        <v>5133</v>
      </c>
      <c r="C2276" s="26" t="s">
        <v>37</v>
      </c>
      <c r="D2276" s="14"/>
      <c r="E2276" s="15"/>
      <c r="F2276" s="16">
        <f t="shared" ref="F2276:F2281" si="138">+D2276*E2276</f>
        <v>0</v>
      </c>
      <c r="G2276">
        <f t="shared" si="137"/>
        <v>0</v>
      </c>
    </row>
    <row r="2277" spans="1:7" ht="15.75" hidden="1" thickBot="1" x14ac:dyDescent="0.3">
      <c r="A2277" s="43" t="s">
        <v>5140</v>
      </c>
      <c r="B2277" s="81" t="s">
        <v>5134</v>
      </c>
      <c r="C2277" s="26" t="s">
        <v>37</v>
      </c>
      <c r="D2277" s="14"/>
      <c r="E2277" s="15"/>
      <c r="F2277" s="16">
        <f t="shared" si="138"/>
        <v>0</v>
      </c>
      <c r="G2277">
        <f t="shared" si="137"/>
        <v>0</v>
      </c>
    </row>
    <row r="2278" spans="1:7" ht="15.75" hidden="1" thickBot="1" x14ac:dyDescent="0.3">
      <c r="A2278" s="43" t="s">
        <v>5141</v>
      </c>
      <c r="B2278" s="81" t="s">
        <v>5135</v>
      </c>
      <c r="C2278" s="26" t="s">
        <v>37</v>
      </c>
      <c r="D2278" s="14"/>
      <c r="E2278" s="15"/>
      <c r="F2278" s="16">
        <f t="shared" si="138"/>
        <v>0</v>
      </c>
      <c r="G2278">
        <f t="shared" si="137"/>
        <v>0</v>
      </c>
    </row>
    <row r="2279" spans="1:7" ht="15.75" hidden="1" thickBot="1" x14ac:dyDescent="0.3">
      <c r="A2279" s="43" t="s">
        <v>5142</v>
      </c>
      <c r="B2279" s="81" t="s">
        <v>5136</v>
      </c>
      <c r="C2279" s="26" t="s">
        <v>37</v>
      </c>
      <c r="D2279" s="14"/>
      <c r="E2279" s="15"/>
      <c r="F2279" s="16">
        <f t="shared" si="138"/>
        <v>0</v>
      </c>
      <c r="G2279">
        <f t="shared" si="137"/>
        <v>0</v>
      </c>
    </row>
    <row r="2280" spans="1:7" ht="15.75" hidden="1" thickBot="1" x14ac:dyDescent="0.3">
      <c r="A2280" s="43" t="s">
        <v>5143</v>
      </c>
      <c r="B2280" s="81" t="s">
        <v>5137</v>
      </c>
      <c r="C2280" s="26" t="s">
        <v>37</v>
      </c>
      <c r="D2280" s="14"/>
      <c r="E2280" s="15"/>
      <c r="F2280" s="16">
        <f t="shared" si="138"/>
        <v>0</v>
      </c>
      <c r="G2280">
        <f t="shared" si="137"/>
        <v>0</v>
      </c>
    </row>
    <row r="2281" spans="1:7" ht="15.75" hidden="1" thickBot="1" x14ac:dyDescent="0.3">
      <c r="A2281" s="43" t="s">
        <v>5144</v>
      </c>
      <c r="B2281" s="81" t="s">
        <v>5138</v>
      </c>
      <c r="C2281" s="26" t="s">
        <v>37</v>
      </c>
      <c r="D2281" s="14"/>
      <c r="E2281" s="15"/>
      <c r="F2281" s="16">
        <f t="shared" si="138"/>
        <v>0</v>
      </c>
      <c r="G2281">
        <f t="shared" si="137"/>
        <v>0</v>
      </c>
    </row>
    <row r="2282" spans="1:7" ht="15.75" hidden="1" thickBot="1" x14ac:dyDescent="0.3">
      <c r="A2282" s="44" t="s">
        <v>1058</v>
      </c>
      <c r="B2282" s="80" t="s">
        <v>5145</v>
      </c>
      <c r="C2282" s="14"/>
      <c r="D2282" s="14"/>
      <c r="E2282" s="15"/>
      <c r="F2282" s="16"/>
      <c r="G2282">
        <f t="shared" si="137"/>
        <v>0</v>
      </c>
    </row>
    <row r="2283" spans="1:7" ht="15.75" hidden="1" thickBot="1" x14ac:dyDescent="0.3">
      <c r="A2283" s="43" t="s">
        <v>5152</v>
      </c>
      <c r="B2283" s="81" t="s">
        <v>5146</v>
      </c>
      <c r="C2283" s="26" t="s">
        <v>37</v>
      </c>
      <c r="D2283" s="14"/>
      <c r="E2283" s="15"/>
      <c r="F2283" s="16">
        <f t="shared" ref="F2283:F2288" si="139">+D2283*E2283</f>
        <v>0</v>
      </c>
      <c r="G2283">
        <f t="shared" si="137"/>
        <v>0</v>
      </c>
    </row>
    <row r="2284" spans="1:7" ht="15.75" hidden="1" thickBot="1" x14ac:dyDescent="0.3">
      <c r="A2284" s="43" t="s">
        <v>5153</v>
      </c>
      <c r="B2284" s="81" t="s">
        <v>5147</v>
      </c>
      <c r="C2284" s="26" t="s">
        <v>37</v>
      </c>
      <c r="D2284" s="14"/>
      <c r="E2284" s="15"/>
      <c r="F2284" s="16">
        <f t="shared" si="139"/>
        <v>0</v>
      </c>
      <c r="G2284">
        <f t="shared" si="137"/>
        <v>0</v>
      </c>
    </row>
    <row r="2285" spans="1:7" ht="15.75" hidden="1" thickBot="1" x14ac:dyDescent="0.3">
      <c r="A2285" s="43" t="s">
        <v>5154</v>
      </c>
      <c r="B2285" s="81" t="s">
        <v>5148</v>
      </c>
      <c r="C2285" s="26" t="s">
        <v>37</v>
      </c>
      <c r="D2285" s="14"/>
      <c r="E2285" s="15"/>
      <c r="F2285" s="16">
        <f t="shared" si="139"/>
        <v>0</v>
      </c>
      <c r="G2285">
        <f t="shared" si="137"/>
        <v>0</v>
      </c>
    </row>
    <row r="2286" spans="1:7" ht="15.75" hidden="1" thickBot="1" x14ac:dyDescent="0.3">
      <c r="A2286" s="43" t="s">
        <v>5155</v>
      </c>
      <c r="B2286" s="81" t="s">
        <v>5149</v>
      </c>
      <c r="C2286" s="26" t="s">
        <v>37</v>
      </c>
      <c r="D2286" s="14"/>
      <c r="E2286" s="15"/>
      <c r="F2286" s="16">
        <f t="shared" si="139"/>
        <v>0</v>
      </c>
      <c r="G2286">
        <f t="shared" si="137"/>
        <v>0</v>
      </c>
    </row>
    <row r="2287" spans="1:7" ht="15.75" hidden="1" thickBot="1" x14ac:dyDescent="0.3">
      <c r="A2287" s="43" t="s">
        <v>5156</v>
      </c>
      <c r="B2287" s="81" t="s">
        <v>5150</v>
      </c>
      <c r="C2287" s="26" t="s">
        <v>37</v>
      </c>
      <c r="D2287" s="14"/>
      <c r="E2287" s="15"/>
      <c r="F2287" s="16">
        <f t="shared" si="139"/>
        <v>0</v>
      </c>
      <c r="G2287">
        <f t="shared" si="137"/>
        <v>0</v>
      </c>
    </row>
    <row r="2288" spans="1:7" ht="15.75" hidden="1" thickBot="1" x14ac:dyDescent="0.3">
      <c r="A2288" s="43" t="s">
        <v>5157</v>
      </c>
      <c r="B2288" s="81" t="s">
        <v>5151</v>
      </c>
      <c r="C2288" s="26" t="s">
        <v>37</v>
      </c>
      <c r="D2288" s="14"/>
      <c r="E2288" s="15"/>
      <c r="F2288" s="16">
        <f t="shared" si="139"/>
        <v>0</v>
      </c>
      <c r="G2288">
        <f t="shared" si="137"/>
        <v>0</v>
      </c>
    </row>
    <row r="2289" spans="1:7" ht="15.75" hidden="1" thickBot="1" x14ac:dyDescent="0.3">
      <c r="A2289" s="44" t="s">
        <v>5159</v>
      </c>
      <c r="B2289" s="80" t="s">
        <v>5158</v>
      </c>
      <c r="C2289" s="14"/>
      <c r="D2289" s="14"/>
      <c r="E2289" s="15"/>
      <c r="F2289" s="16"/>
      <c r="G2289">
        <f t="shared" si="137"/>
        <v>0</v>
      </c>
    </row>
    <row r="2290" spans="1:7" ht="15.75" hidden="1" thickBot="1" x14ac:dyDescent="0.3">
      <c r="A2290" s="43" t="s">
        <v>5160</v>
      </c>
      <c r="B2290" s="81" t="s">
        <v>5167</v>
      </c>
      <c r="C2290" s="26" t="s">
        <v>37</v>
      </c>
      <c r="D2290" s="14"/>
      <c r="E2290" s="15"/>
      <c r="F2290" s="16">
        <f t="shared" ref="F2290:F2296" si="140">+D2290*E2290</f>
        <v>0</v>
      </c>
      <c r="G2290">
        <f t="shared" si="137"/>
        <v>0</v>
      </c>
    </row>
    <row r="2291" spans="1:7" ht="15.75" hidden="1" thickBot="1" x14ac:dyDescent="0.3">
      <c r="A2291" s="43" t="s">
        <v>5161</v>
      </c>
      <c r="B2291" s="81" t="s">
        <v>5168</v>
      </c>
      <c r="C2291" s="26" t="s">
        <v>37</v>
      </c>
      <c r="D2291" s="14"/>
      <c r="E2291" s="15"/>
      <c r="F2291" s="16">
        <f t="shared" si="140"/>
        <v>0</v>
      </c>
      <c r="G2291">
        <f t="shared" si="137"/>
        <v>0</v>
      </c>
    </row>
    <row r="2292" spans="1:7" ht="15.75" hidden="1" thickBot="1" x14ac:dyDescent="0.3">
      <c r="A2292" s="43" t="s">
        <v>5162</v>
      </c>
      <c r="B2292" s="81" t="s">
        <v>5169</v>
      </c>
      <c r="C2292" s="26" t="s">
        <v>37</v>
      </c>
      <c r="D2292" s="14"/>
      <c r="E2292" s="15"/>
      <c r="F2292" s="16">
        <f t="shared" si="140"/>
        <v>0</v>
      </c>
      <c r="G2292">
        <f t="shared" si="137"/>
        <v>0</v>
      </c>
    </row>
    <row r="2293" spans="1:7" ht="15.75" hidden="1" thickBot="1" x14ac:dyDescent="0.3">
      <c r="A2293" s="43" t="s">
        <v>5163</v>
      </c>
      <c r="B2293" s="81" t="s">
        <v>5170</v>
      </c>
      <c r="C2293" s="26" t="s">
        <v>37</v>
      </c>
      <c r="D2293" s="14"/>
      <c r="E2293" s="15"/>
      <c r="F2293" s="16">
        <f t="shared" si="140"/>
        <v>0</v>
      </c>
      <c r="G2293">
        <f t="shared" si="137"/>
        <v>0</v>
      </c>
    </row>
    <row r="2294" spans="1:7" ht="15.75" hidden="1" thickBot="1" x14ac:dyDescent="0.3">
      <c r="A2294" s="43" t="s">
        <v>5164</v>
      </c>
      <c r="B2294" s="81" t="s">
        <v>5171</v>
      </c>
      <c r="C2294" s="26" t="s">
        <v>37</v>
      </c>
      <c r="D2294" s="14"/>
      <c r="E2294" s="15"/>
      <c r="F2294" s="16">
        <f t="shared" si="140"/>
        <v>0</v>
      </c>
      <c r="G2294">
        <f t="shared" si="137"/>
        <v>0</v>
      </c>
    </row>
    <row r="2295" spans="1:7" ht="15.75" hidden="1" thickBot="1" x14ac:dyDescent="0.3">
      <c r="A2295" s="43" t="s">
        <v>5165</v>
      </c>
      <c r="B2295" s="81" t="s">
        <v>5172</v>
      </c>
      <c r="C2295" s="26" t="s">
        <v>37</v>
      </c>
      <c r="D2295" s="14"/>
      <c r="E2295" s="15"/>
      <c r="F2295" s="16">
        <f t="shared" si="140"/>
        <v>0</v>
      </c>
      <c r="G2295">
        <f t="shared" si="137"/>
        <v>0</v>
      </c>
    </row>
    <row r="2296" spans="1:7" ht="15.75" hidden="1" thickBot="1" x14ac:dyDescent="0.3">
      <c r="A2296" s="43" t="s">
        <v>5166</v>
      </c>
      <c r="B2296" s="81" t="s">
        <v>5173</v>
      </c>
      <c r="C2296" s="26" t="s">
        <v>37</v>
      </c>
      <c r="D2296" s="14"/>
      <c r="E2296" s="15"/>
      <c r="F2296" s="16">
        <f t="shared" si="140"/>
        <v>0</v>
      </c>
      <c r="G2296">
        <f t="shared" si="137"/>
        <v>0</v>
      </c>
    </row>
    <row r="2297" spans="1:7" ht="15.75" hidden="1" thickBot="1" x14ac:dyDescent="0.3">
      <c r="A2297" s="44" t="s">
        <v>5174</v>
      </c>
      <c r="B2297" s="80" t="s">
        <v>5175</v>
      </c>
      <c r="C2297" s="14"/>
      <c r="D2297" s="14"/>
      <c r="E2297" s="15"/>
      <c r="F2297" s="16"/>
      <c r="G2297">
        <f t="shared" si="137"/>
        <v>0</v>
      </c>
    </row>
    <row r="2298" spans="1:7" ht="15.75" hidden="1" thickBot="1" x14ac:dyDescent="0.3">
      <c r="A2298" s="43" t="s">
        <v>5183</v>
      </c>
      <c r="B2298" s="81" t="s">
        <v>5176</v>
      </c>
      <c r="C2298" s="26" t="s">
        <v>37</v>
      </c>
      <c r="D2298" s="14"/>
      <c r="E2298" s="15"/>
      <c r="F2298" s="16">
        <f t="shared" ref="F2298:F2304" si="141">+D2298*E2298</f>
        <v>0</v>
      </c>
      <c r="G2298">
        <f t="shared" si="137"/>
        <v>0</v>
      </c>
    </row>
    <row r="2299" spans="1:7" ht="15.75" hidden="1" thickBot="1" x14ac:dyDescent="0.3">
      <c r="A2299" s="43" t="s">
        <v>5184</v>
      </c>
      <c r="B2299" s="81" t="s">
        <v>5177</v>
      </c>
      <c r="C2299" s="26" t="s">
        <v>37</v>
      </c>
      <c r="D2299" s="14"/>
      <c r="E2299" s="15"/>
      <c r="F2299" s="16">
        <f t="shared" si="141"/>
        <v>0</v>
      </c>
      <c r="G2299">
        <f t="shared" si="137"/>
        <v>0</v>
      </c>
    </row>
    <row r="2300" spans="1:7" ht="15.75" hidden="1" thickBot="1" x14ac:dyDescent="0.3">
      <c r="A2300" s="43" t="s">
        <v>5185</v>
      </c>
      <c r="B2300" s="81" t="s">
        <v>5178</v>
      </c>
      <c r="C2300" s="26" t="s">
        <v>37</v>
      </c>
      <c r="D2300" s="14"/>
      <c r="E2300" s="15"/>
      <c r="F2300" s="16">
        <f t="shared" si="141"/>
        <v>0</v>
      </c>
      <c r="G2300">
        <f t="shared" si="137"/>
        <v>0</v>
      </c>
    </row>
    <row r="2301" spans="1:7" ht="15.75" hidden="1" thickBot="1" x14ac:dyDescent="0.3">
      <c r="A2301" s="43" t="s">
        <v>5186</v>
      </c>
      <c r="B2301" s="81" t="s">
        <v>5179</v>
      </c>
      <c r="C2301" s="26" t="s">
        <v>37</v>
      </c>
      <c r="D2301" s="14"/>
      <c r="E2301" s="15"/>
      <c r="F2301" s="16">
        <f t="shared" si="141"/>
        <v>0</v>
      </c>
      <c r="G2301">
        <f t="shared" si="137"/>
        <v>0</v>
      </c>
    </row>
    <row r="2302" spans="1:7" ht="15.75" hidden="1" thickBot="1" x14ac:dyDescent="0.3">
      <c r="A2302" s="43" t="s">
        <v>5187</v>
      </c>
      <c r="B2302" s="81" t="s">
        <v>5180</v>
      </c>
      <c r="C2302" s="26" t="s">
        <v>37</v>
      </c>
      <c r="D2302" s="14"/>
      <c r="E2302" s="15"/>
      <c r="F2302" s="16">
        <f t="shared" si="141"/>
        <v>0</v>
      </c>
      <c r="G2302">
        <f t="shared" si="137"/>
        <v>0</v>
      </c>
    </row>
    <row r="2303" spans="1:7" ht="15.75" hidden="1" thickBot="1" x14ac:dyDescent="0.3">
      <c r="A2303" s="43" t="s">
        <v>5188</v>
      </c>
      <c r="B2303" s="81" t="s">
        <v>5182</v>
      </c>
      <c r="C2303" s="26" t="s">
        <v>37</v>
      </c>
      <c r="D2303" s="14"/>
      <c r="E2303" s="15"/>
      <c r="F2303" s="16">
        <f t="shared" si="141"/>
        <v>0</v>
      </c>
      <c r="G2303">
        <f t="shared" si="137"/>
        <v>0</v>
      </c>
    </row>
    <row r="2304" spans="1:7" ht="15.75" hidden="1" thickBot="1" x14ac:dyDescent="0.3">
      <c r="A2304" s="43" t="s">
        <v>5189</v>
      </c>
      <c r="B2304" s="81" t="s">
        <v>5181</v>
      </c>
      <c r="C2304" s="26" t="s">
        <v>37</v>
      </c>
      <c r="D2304" s="14"/>
      <c r="E2304" s="15"/>
      <c r="F2304" s="16">
        <f t="shared" si="141"/>
        <v>0</v>
      </c>
      <c r="G2304">
        <f t="shared" si="137"/>
        <v>0</v>
      </c>
    </row>
    <row r="2305" spans="1:7" ht="15.75" hidden="1" thickBot="1" x14ac:dyDescent="0.3">
      <c r="A2305" s="44" t="s">
        <v>5190</v>
      </c>
      <c r="B2305" s="80" t="s">
        <v>5191</v>
      </c>
      <c r="C2305" s="14"/>
      <c r="D2305" s="14"/>
      <c r="E2305" s="15"/>
      <c r="F2305" s="16"/>
      <c r="G2305">
        <f t="shared" si="137"/>
        <v>0</v>
      </c>
    </row>
    <row r="2306" spans="1:7" ht="15.75" hidden="1" thickBot="1" x14ac:dyDescent="0.3">
      <c r="A2306" s="43" t="s">
        <v>5203</v>
      </c>
      <c r="B2306" s="81" t="s">
        <v>5192</v>
      </c>
      <c r="C2306" s="26" t="s">
        <v>37</v>
      </c>
      <c r="D2306" s="14"/>
      <c r="E2306" s="15"/>
      <c r="F2306" s="16">
        <f t="shared" ref="F2306:F2317" si="142">+D2306*E2306</f>
        <v>0</v>
      </c>
      <c r="G2306">
        <f t="shared" si="137"/>
        <v>0</v>
      </c>
    </row>
    <row r="2307" spans="1:7" ht="15.75" hidden="1" thickBot="1" x14ac:dyDescent="0.3">
      <c r="A2307" s="43" t="s">
        <v>5204</v>
      </c>
      <c r="B2307" s="81" t="s">
        <v>5193</v>
      </c>
      <c r="C2307" s="26" t="s">
        <v>37</v>
      </c>
      <c r="D2307" s="14"/>
      <c r="E2307" s="15"/>
      <c r="F2307" s="16">
        <f t="shared" si="142"/>
        <v>0</v>
      </c>
      <c r="G2307">
        <f t="shared" si="137"/>
        <v>0</v>
      </c>
    </row>
    <row r="2308" spans="1:7" ht="15.75" hidden="1" thickBot="1" x14ac:dyDescent="0.3">
      <c r="A2308" s="43" t="s">
        <v>5205</v>
      </c>
      <c r="B2308" s="81" t="s">
        <v>5194</v>
      </c>
      <c r="C2308" s="26" t="s">
        <v>37</v>
      </c>
      <c r="D2308" s="14"/>
      <c r="E2308" s="15"/>
      <c r="F2308" s="16">
        <f t="shared" si="142"/>
        <v>0</v>
      </c>
      <c r="G2308">
        <f t="shared" si="137"/>
        <v>0</v>
      </c>
    </row>
    <row r="2309" spans="1:7" ht="15.75" hidden="1" thickBot="1" x14ac:dyDescent="0.3">
      <c r="A2309" s="43" t="s">
        <v>5206</v>
      </c>
      <c r="B2309" s="81" t="s">
        <v>5195</v>
      </c>
      <c r="C2309" s="26" t="s">
        <v>37</v>
      </c>
      <c r="D2309" s="14"/>
      <c r="E2309" s="15"/>
      <c r="F2309" s="16">
        <f t="shared" si="142"/>
        <v>0</v>
      </c>
      <c r="G2309">
        <f t="shared" si="137"/>
        <v>0</v>
      </c>
    </row>
    <row r="2310" spans="1:7" ht="15.75" hidden="1" thickBot="1" x14ac:dyDescent="0.3">
      <c r="A2310" s="43" t="s">
        <v>5207</v>
      </c>
      <c r="B2310" s="81" t="s">
        <v>5196</v>
      </c>
      <c r="C2310" s="26" t="s">
        <v>37</v>
      </c>
      <c r="D2310" s="14"/>
      <c r="E2310" s="15"/>
      <c r="F2310" s="16">
        <f t="shared" si="142"/>
        <v>0</v>
      </c>
      <c r="G2310">
        <f t="shared" si="137"/>
        <v>0</v>
      </c>
    </row>
    <row r="2311" spans="1:7" ht="15.75" hidden="1" thickBot="1" x14ac:dyDescent="0.3">
      <c r="A2311" s="43" t="s">
        <v>5208</v>
      </c>
      <c r="B2311" s="81" t="s">
        <v>5197</v>
      </c>
      <c r="C2311" s="26" t="s">
        <v>37</v>
      </c>
      <c r="D2311" s="14"/>
      <c r="E2311" s="15"/>
      <c r="F2311" s="16">
        <f t="shared" si="142"/>
        <v>0</v>
      </c>
      <c r="G2311">
        <f t="shared" si="137"/>
        <v>0</v>
      </c>
    </row>
    <row r="2312" spans="1:7" ht="15.75" hidden="1" thickBot="1" x14ac:dyDescent="0.3">
      <c r="A2312" s="43" t="s">
        <v>5209</v>
      </c>
      <c r="B2312" s="81" t="s">
        <v>5198</v>
      </c>
      <c r="C2312" s="26" t="s">
        <v>37</v>
      </c>
      <c r="D2312" s="14"/>
      <c r="E2312" s="15"/>
      <c r="F2312" s="16">
        <f t="shared" si="142"/>
        <v>0</v>
      </c>
      <c r="G2312">
        <f t="shared" si="137"/>
        <v>0</v>
      </c>
    </row>
    <row r="2313" spans="1:7" ht="15.75" hidden="1" thickBot="1" x14ac:dyDescent="0.3">
      <c r="A2313" s="43" t="s">
        <v>5210</v>
      </c>
      <c r="B2313" s="81" t="s">
        <v>5199</v>
      </c>
      <c r="C2313" s="26" t="s">
        <v>37</v>
      </c>
      <c r="D2313" s="14"/>
      <c r="E2313" s="15"/>
      <c r="F2313" s="16">
        <f t="shared" si="142"/>
        <v>0</v>
      </c>
      <c r="G2313">
        <f t="shared" si="137"/>
        <v>0</v>
      </c>
    </row>
    <row r="2314" spans="1:7" ht="15.75" hidden="1" thickBot="1" x14ac:dyDescent="0.3">
      <c r="A2314" s="43" t="s">
        <v>5211</v>
      </c>
      <c r="B2314" s="81" t="s">
        <v>5200</v>
      </c>
      <c r="C2314" s="26" t="s">
        <v>37</v>
      </c>
      <c r="D2314" s="14"/>
      <c r="E2314" s="15"/>
      <c r="F2314" s="16">
        <f t="shared" si="142"/>
        <v>0</v>
      </c>
      <c r="G2314">
        <f t="shared" si="137"/>
        <v>0</v>
      </c>
    </row>
    <row r="2315" spans="1:7" ht="15.75" hidden="1" thickBot="1" x14ac:dyDescent="0.3">
      <c r="A2315" s="43" t="s">
        <v>5212</v>
      </c>
      <c r="B2315" s="81" t="s">
        <v>5201</v>
      </c>
      <c r="C2315" s="26" t="s">
        <v>37</v>
      </c>
      <c r="D2315" s="14"/>
      <c r="E2315" s="15"/>
      <c r="F2315" s="16">
        <f t="shared" si="142"/>
        <v>0</v>
      </c>
      <c r="G2315">
        <f t="shared" si="137"/>
        <v>0</v>
      </c>
    </row>
    <row r="2316" spans="1:7" ht="15.75" hidden="1" thickBot="1" x14ac:dyDescent="0.3">
      <c r="A2316" s="43" t="s">
        <v>5213</v>
      </c>
      <c r="B2316" s="81" t="s">
        <v>5202</v>
      </c>
      <c r="C2316" s="26" t="s">
        <v>37</v>
      </c>
      <c r="D2316" s="14"/>
      <c r="E2316" s="15"/>
      <c r="F2316" s="16">
        <f t="shared" si="142"/>
        <v>0</v>
      </c>
      <c r="G2316">
        <f t="shared" si="137"/>
        <v>0</v>
      </c>
    </row>
    <row r="2317" spans="1:7" ht="15.75" hidden="1" thickBot="1" x14ac:dyDescent="0.3">
      <c r="A2317" s="43" t="s">
        <v>5230</v>
      </c>
      <c r="B2317" s="81" t="s">
        <v>5231</v>
      </c>
      <c r="C2317" s="26" t="s">
        <v>37</v>
      </c>
      <c r="D2317" s="14"/>
      <c r="E2317" s="15"/>
      <c r="F2317" s="16">
        <f t="shared" si="142"/>
        <v>0</v>
      </c>
      <c r="G2317">
        <f t="shared" si="137"/>
        <v>0</v>
      </c>
    </row>
    <row r="2318" spans="1:7" ht="15.75" hidden="1" thickBot="1" x14ac:dyDescent="0.3">
      <c r="A2318" s="44" t="s">
        <v>5214</v>
      </c>
      <c r="B2318" s="80" t="s">
        <v>5215</v>
      </c>
      <c r="C2318" s="14"/>
      <c r="D2318" s="14"/>
      <c r="E2318" s="15"/>
      <c r="F2318" s="16"/>
      <c r="G2318">
        <f t="shared" si="137"/>
        <v>0</v>
      </c>
    </row>
    <row r="2319" spans="1:7" ht="15.75" hidden="1" thickBot="1" x14ac:dyDescent="0.3">
      <c r="A2319" s="43" t="s">
        <v>5223</v>
      </c>
      <c r="B2319" s="81" t="s">
        <v>5216</v>
      </c>
      <c r="C2319" s="26" t="s">
        <v>37</v>
      </c>
      <c r="D2319" s="14"/>
      <c r="E2319" s="15"/>
      <c r="F2319" s="16">
        <f t="shared" ref="F2319:F2330" si="143">+D2319*E2319</f>
        <v>0</v>
      </c>
      <c r="G2319">
        <f t="shared" si="137"/>
        <v>0</v>
      </c>
    </row>
    <row r="2320" spans="1:7" ht="15.75" hidden="1" thickBot="1" x14ac:dyDescent="0.3">
      <c r="A2320" s="43" t="s">
        <v>5224</v>
      </c>
      <c r="B2320" s="81" t="s">
        <v>5217</v>
      </c>
      <c r="C2320" s="26" t="s">
        <v>37</v>
      </c>
      <c r="D2320" s="14"/>
      <c r="E2320" s="15"/>
      <c r="F2320" s="16">
        <f t="shared" si="143"/>
        <v>0</v>
      </c>
      <c r="G2320">
        <f t="shared" si="137"/>
        <v>0</v>
      </c>
    </row>
    <row r="2321" spans="1:7" ht="15.75" hidden="1" thickBot="1" x14ac:dyDescent="0.3">
      <c r="A2321" s="43" t="s">
        <v>5225</v>
      </c>
      <c r="B2321" s="81" t="s">
        <v>5218</v>
      </c>
      <c r="C2321" s="26" t="s">
        <v>37</v>
      </c>
      <c r="D2321" s="14"/>
      <c r="E2321" s="15"/>
      <c r="F2321" s="16">
        <f t="shared" si="143"/>
        <v>0</v>
      </c>
      <c r="G2321">
        <f t="shared" si="137"/>
        <v>0</v>
      </c>
    </row>
    <row r="2322" spans="1:7" ht="15.75" hidden="1" thickBot="1" x14ac:dyDescent="0.3">
      <c r="A2322" s="43" t="s">
        <v>5226</v>
      </c>
      <c r="B2322" s="81" t="s">
        <v>5219</v>
      </c>
      <c r="C2322" s="26" t="s">
        <v>37</v>
      </c>
      <c r="D2322" s="14"/>
      <c r="E2322" s="15"/>
      <c r="F2322" s="16">
        <f t="shared" si="143"/>
        <v>0</v>
      </c>
      <c r="G2322">
        <f t="shared" si="137"/>
        <v>0</v>
      </c>
    </row>
    <row r="2323" spans="1:7" ht="15.75" hidden="1" thickBot="1" x14ac:dyDescent="0.3">
      <c r="A2323" s="43" t="s">
        <v>5227</v>
      </c>
      <c r="B2323" s="81" t="s">
        <v>5220</v>
      </c>
      <c r="C2323" s="26" t="s">
        <v>37</v>
      </c>
      <c r="D2323" s="14"/>
      <c r="E2323" s="15"/>
      <c r="F2323" s="16">
        <f t="shared" si="143"/>
        <v>0</v>
      </c>
      <c r="G2323">
        <f t="shared" si="137"/>
        <v>0</v>
      </c>
    </row>
    <row r="2324" spans="1:7" ht="15.75" hidden="1" thickBot="1" x14ac:dyDescent="0.3">
      <c r="A2324" s="43" t="s">
        <v>5228</v>
      </c>
      <c r="B2324" s="81" t="s">
        <v>5221</v>
      </c>
      <c r="C2324" s="26" t="s">
        <v>37</v>
      </c>
      <c r="D2324" s="14"/>
      <c r="E2324" s="15"/>
      <c r="F2324" s="16">
        <f t="shared" si="143"/>
        <v>0</v>
      </c>
      <c r="G2324">
        <f t="shared" si="137"/>
        <v>0</v>
      </c>
    </row>
    <row r="2325" spans="1:7" ht="15.75" hidden="1" thickBot="1" x14ac:dyDescent="0.3">
      <c r="A2325" s="43" t="s">
        <v>5229</v>
      </c>
      <c r="B2325" s="81" t="s">
        <v>5222</v>
      </c>
      <c r="C2325" s="26" t="s">
        <v>37</v>
      </c>
      <c r="D2325" s="14"/>
      <c r="E2325" s="15"/>
      <c r="F2325" s="16">
        <f t="shared" si="143"/>
        <v>0</v>
      </c>
      <c r="G2325">
        <f t="shared" si="137"/>
        <v>0</v>
      </c>
    </row>
    <row r="2326" spans="1:7" ht="15.75" hidden="1" thickBot="1" x14ac:dyDescent="0.3">
      <c r="A2326" s="43" t="s">
        <v>5232</v>
      </c>
      <c r="B2326" s="122" t="s">
        <v>5237</v>
      </c>
      <c r="C2326" s="26" t="s">
        <v>37</v>
      </c>
      <c r="D2326" s="14"/>
      <c r="E2326" s="15"/>
      <c r="F2326" s="16">
        <f t="shared" si="143"/>
        <v>0</v>
      </c>
      <c r="G2326">
        <f t="shared" si="137"/>
        <v>0</v>
      </c>
    </row>
    <row r="2327" spans="1:7" ht="15.75" hidden="1" thickBot="1" x14ac:dyDescent="0.3">
      <c r="A2327" s="43" t="s">
        <v>5233</v>
      </c>
      <c r="B2327" s="122" t="s">
        <v>5238</v>
      </c>
      <c r="C2327" s="26" t="s">
        <v>37</v>
      </c>
      <c r="D2327" s="14"/>
      <c r="E2327" s="15"/>
      <c r="F2327" s="16">
        <f t="shared" si="143"/>
        <v>0</v>
      </c>
      <c r="G2327">
        <f t="shared" si="137"/>
        <v>0</v>
      </c>
    </row>
    <row r="2328" spans="1:7" ht="15.75" hidden="1" thickBot="1" x14ac:dyDescent="0.3">
      <c r="A2328" s="43" t="s">
        <v>5234</v>
      </c>
      <c r="B2328" s="122" t="s">
        <v>5239</v>
      </c>
      <c r="C2328" s="26" t="s">
        <v>37</v>
      </c>
      <c r="D2328" s="14"/>
      <c r="E2328" s="15"/>
      <c r="F2328" s="16">
        <f t="shared" si="143"/>
        <v>0</v>
      </c>
      <c r="G2328">
        <f t="shared" si="137"/>
        <v>0</v>
      </c>
    </row>
    <row r="2329" spans="1:7" ht="15.75" hidden="1" thickBot="1" x14ac:dyDescent="0.3">
      <c r="A2329" s="43" t="s">
        <v>5235</v>
      </c>
      <c r="B2329" s="122" t="s">
        <v>5240</v>
      </c>
      <c r="C2329" s="26" t="s">
        <v>37</v>
      </c>
      <c r="D2329" s="14"/>
      <c r="E2329" s="15"/>
      <c r="F2329" s="16">
        <f t="shared" si="143"/>
        <v>0</v>
      </c>
      <c r="G2329">
        <f t="shared" si="137"/>
        <v>0</v>
      </c>
    </row>
    <row r="2330" spans="1:7" ht="15.75" hidden="1" thickBot="1" x14ac:dyDescent="0.3">
      <c r="A2330" s="43" t="s">
        <v>5236</v>
      </c>
      <c r="B2330" s="122" t="s">
        <v>5241</v>
      </c>
      <c r="C2330" s="26" t="s">
        <v>37</v>
      </c>
      <c r="D2330" s="14"/>
      <c r="E2330" s="15"/>
      <c r="F2330" s="16">
        <f t="shared" si="143"/>
        <v>0</v>
      </c>
      <c r="G2330">
        <f t="shared" si="137"/>
        <v>0</v>
      </c>
    </row>
    <row r="2331" spans="1:7" ht="15.75" hidden="1" thickBot="1" x14ac:dyDescent="0.3">
      <c r="A2331" s="44" t="s">
        <v>5242</v>
      </c>
      <c r="B2331" s="80" t="s">
        <v>5243</v>
      </c>
      <c r="C2331" s="14"/>
      <c r="D2331" s="14"/>
      <c r="E2331" s="15"/>
      <c r="F2331" s="16"/>
      <c r="G2331">
        <f t="shared" si="137"/>
        <v>0</v>
      </c>
    </row>
    <row r="2332" spans="1:7" ht="15.75" hidden="1" thickBot="1" x14ac:dyDescent="0.3">
      <c r="A2332" s="43" t="s">
        <v>5252</v>
      </c>
      <c r="B2332" s="81" t="s">
        <v>5246</v>
      </c>
      <c r="C2332" s="26" t="s">
        <v>37</v>
      </c>
      <c r="D2332" s="14"/>
      <c r="E2332" s="15"/>
      <c r="F2332" s="16">
        <f t="shared" ref="F2332:F2339" si="144">+D2332*E2332</f>
        <v>0</v>
      </c>
      <c r="G2332">
        <f t="shared" si="137"/>
        <v>0</v>
      </c>
    </row>
    <row r="2333" spans="1:7" ht="15.75" hidden="1" thickBot="1" x14ac:dyDescent="0.3">
      <c r="A2333" s="43" t="s">
        <v>5253</v>
      </c>
      <c r="B2333" s="81" t="s">
        <v>5245</v>
      </c>
      <c r="C2333" s="26" t="s">
        <v>37</v>
      </c>
      <c r="D2333" s="14"/>
      <c r="E2333" s="15"/>
      <c r="F2333" s="16">
        <f t="shared" si="144"/>
        <v>0</v>
      </c>
      <c r="G2333">
        <f t="shared" si="137"/>
        <v>0</v>
      </c>
    </row>
    <row r="2334" spans="1:7" ht="15.75" hidden="1" thickBot="1" x14ac:dyDescent="0.3">
      <c r="A2334" s="43" t="s">
        <v>5254</v>
      </c>
      <c r="B2334" s="81" t="s">
        <v>5244</v>
      </c>
      <c r="C2334" s="26" t="s">
        <v>37</v>
      </c>
      <c r="D2334" s="14"/>
      <c r="E2334" s="15"/>
      <c r="F2334" s="16">
        <f t="shared" si="144"/>
        <v>0</v>
      </c>
      <c r="G2334">
        <f t="shared" ref="G2334:G2397" si="145">+IF(F2334&lt;&gt;0,1,0)</f>
        <v>0</v>
      </c>
    </row>
    <row r="2335" spans="1:7" ht="15.75" hidden="1" thickBot="1" x14ac:dyDescent="0.3">
      <c r="A2335" s="43" t="s">
        <v>5255</v>
      </c>
      <c r="B2335" s="81" t="s">
        <v>5247</v>
      </c>
      <c r="C2335" s="26" t="s">
        <v>37</v>
      </c>
      <c r="D2335" s="14"/>
      <c r="E2335" s="15"/>
      <c r="F2335" s="16">
        <f t="shared" si="144"/>
        <v>0</v>
      </c>
      <c r="G2335">
        <f t="shared" si="145"/>
        <v>0</v>
      </c>
    </row>
    <row r="2336" spans="1:7" ht="15.75" hidden="1" thickBot="1" x14ac:dyDescent="0.3">
      <c r="A2336" s="43" t="s">
        <v>5256</v>
      </c>
      <c r="B2336" s="81" t="s">
        <v>5248</v>
      </c>
      <c r="C2336" s="26" t="s">
        <v>37</v>
      </c>
      <c r="D2336" s="14"/>
      <c r="E2336" s="15"/>
      <c r="F2336" s="16">
        <f t="shared" si="144"/>
        <v>0</v>
      </c>
      <c r="G2336">
        <f t="shared" si="145"/>
        <v>0</v>
      </c>
    </row>
    <row r="2337" spans="1:7" ht="15.75" hidden="1" thickBot="1" x14ac:dyDescent="0.3">
      <c r="A2337" s="43" t="s">
        <v>5257</v>
      </c>
      <c r="B2337" s="81" t="s">
        <v>5249</v>
      </c>
      <c r="C2337" s="26" t="s">
        <v>37</v>
      </c>
      <c r="D2337" s="14"/>
      <c r="E2337" s="15"/>
      <c r="F2337" s="16">
        <f t="shared" si="144"/>
        <v>0</v>
      </c>
      <c r="G2337">
        <f t="shared" si="145"/>
        <v>0</v>
      </c>
    </row>
    <row r="2338" spans="1:7" ht="15.75" hidden="1" thickBot="1" x14ac:dyDescent="0.3">
      <c r="A2338" s="43" t="s">
        <v>5258</v>
      </c>
      <c r="B2338" s="81" t="s">
        <v>5250</v>
      </c>
      <c r="C2338" s="26" t="s">
        <v>37</v>
      </c>
      <c r="D2338" s="14"/>
      <c r="E2338" s="15"/>
      <c r="F2338" s="16">
        <f t="shared" si="144"/>
        <v>0</v>
      </c>
      <c r="G2338">
        <f t="shared" si="145"/>
        <v>0</v>
      </c>
    </row>
    <row r="2339" spans="1:7" ht="15.75" hidden="1" thickBot="1" x14ac:dyDescent="0.3">
      <c r="A2339" s="43" t="s">
        <v>5259</v>
      </c>
      <c r="B2339" s="81" t="s">
        <v>5251</v>
      </c>
      <c r="C2339" s="26" t="s">
        <v>37</v>
      </c>
      <c r="D2339" s="14"/>
      <c r="E2339" s="15"/>
      <c r="F2339" s="16">
        <f t="shared" si="144"/>
        <v>0</v>
      </c>
      <c r="G2339">
        <f t="shared" si="145"/>
        <v>0</v>
      </c>
    </row>
    <row r="2340" spans="1:7" ht="15.75" hidden="1" thickBot="1" x14ac:dyDescent="0.3">
      <c r="A2340" s="44" t="s">
        <v>5260</v>
      </c>
      <c r="B2340" s="80" t="s">
        <v>1037</v>
      </c>
      <c r="C2340" s="14"/>
      <c r="D2340" s="14"/>
      <c r="E2340" s="15"/>
      <c r="F2340" s="16"/>
      <c r="G2340">
        <f t="shared" si="145"/>
        <v>0</v>
      </c>
    </row>
    <row r="2341" spans="1:7" ht="15.75" hidden="1" thickBot="1" x14ac:dyDescent="0.3">
      <c r="A2341" s="44" t="s">
        <v>5261</v>
      </c>
      <c r="B2341" s="80" t="s">
        <v>5262</v>
      </c>
      <c r="C2341" s="14"/>
      <c r="D2341" s="14"/>
      <c r="E2341" s="15"/>
      <c r="F2341" s="16"/>
      <c r="G2341">
        <f t="shared" si="145"/>
        <v>0</v>
      </c>
    </row>
    <row r="2342" spans="1:7" ht="15.75" hidden="1" thickBot="1" x14ac:dyDescent="0.3">
      <c r="A2342" s="43" t="s">
        <v>5279</v>
      </c>
      <c r="B2342" s="81" t="s">
        <v>5265</v>
      </c>
      <c r="C2342" s="26" t="s">
        <v>37</v>
      </c>
      <c r="D2342" s="14"/>
      <c r="E2342" s="15"/>
      <c r="F2342" s="16">
        <f t="shared" ref="F2342:F2356" si="146">+D2342*E2342</f>
        <v>0</v>
      </c>
      <c r="G2342">
        <f t="shared" si="145"/>
        <v>0</v>
      </c>
    </row>
    <row r="2343" spans="1:7" ht="15.75" hidden="1" thickBot="1" x14ac:dyDescent="0.3">
      <c r="A2343" s="43" t="s">
        <v>5280</v>
      </c>
      <c r="B2343" s="81" t="s">
        <v>1040</v>
      </c>
      <c r="C2343" s="26" t="s">
        <v>37</v>
      </c>
      <c r="D2343" s="14"/>
      <c r="E2343" s="15"/>
      <c r="F2343" s="16">
        <f t="shared" si="146"/>
        <v>0</v>
      </c>
      <c r="G2343">
        <f t="shared" si="145"/>
        <v>0</v>
      </c>
    </row>
    <row r="2344" spans="1:7" ht="15.75" hidden="1" thickBot="1" x14ac:dyDescent="0.3">
      <c r="A2344" s="43" t="s">
        <v>5281</v>
      </c>
      <c r="B2344" s="81" t="s">
        <v>1042</v>
      </c>
      <c r="C2344" s="26" t="s">
        <v>37</v>
      </c>
      <c r="D2344" s="14"/>
      <c r="E2344" s="15"/>
      <c r="F2344" s="16">
        <f t="shared" si="146"/>
        <v>0</v>
      </c>
      <c r="G2344">
        <f t="shared" si="145"/>
        <v>0</v>
      </c>
    </row>
    <row r="2345" spans="1:7" ht="15.75" hidden="1" thickBot="1" x14ac:dyDescent="0.3">
      <c r="A2345" s="43" t="s">
        <v>5282</v>
      </c>
      <c r="B2345" s="81" t="s">
        <v>5266</v>
      </c>
      <c r="C2345" s="26" t="s">
        <v>37</v>
      </c>
      <c r="D2345" s="14"/>
      <c r="E2345" s="15"/>
      <c r="F2345" s="16">
        <f t="shared" si="146"/>
        <v>0</v>
      </c>
      <c r="G2345">
        <f t="shared" si="145"/>
        <v>0</v>
      </c>
    </row>
    <row r="2346" spans="1:7" ht="15.75" hidden="1" thickBot="1" x14ac:dyDescent="0.3">
      <c r="A2346" s="43" t="s">
        <v>5283</v>
      </c>
      <c r="B2346" s="81" t="s">
        <v>1044</v>
      </c>
      <c r="C2346" s="26" t="s">
        <v>37</v>
      </c>
      <c r="D2346" s="14"/>
      <c r="E2346" s="15"/>
      <c r="F2346" s="16">
        <f t="shared" si="146"/>
        <v>0</v>
      </c>
      <c r="G2346">
        <f t="shared" si="145"/>
        <v>0</v>
      </c>
    </row>
    <row r="2347" spans="1:7" ht="15.75" hidden="1" thickBot="1" x14ac:dyDescent="0.3">
      <c r="A2347" s="43" t="s">
        <v>5284</v>
      </c>
      <c r="B2347" s="81" t="s">
        <v>5269</v>
      </c>
      <c r="C2347" s="26" t="s">
        <v>37</v>
      </c>
      <c r="D2347" s="14"/>
      <c r="E2347" s="15"/>
      <c r="F2347" s="16">
        <f t="shared" si="146"/>
        <v>0</v>
      </c>
      <c r="G2347">
        <f t="shared" si="145"/>
        <v>0</v>
      </c>
    </row>
    <row r="2348" spans="1:7" ht="15.75" hidden="1" thickBot="1" x14ac:dyDescent="0.3">
      <c r="A2348" s="43" t="s">
        <v>5285</v>
      </c>
      <c r="B2348" s="81" t="s">
        <v>5270</v>
      </c>
      <c r="C2348" s="26" t="s">
        <v>37</v>
      </c>
      <c r="D2348" s="14"/>
      <c r="E2348" s="15"/>
      <c r="F2348" s="16">
        <f t="shared" si="146"/>
        <v>0</v>
      </c>
      <c r="G2348">
        <f t="shared" si="145"/>
        <v>0</v>
      </c>
    </row>
    <row r="2349" spans="1:7" ht="15.75" hidden="1" thickBot="1" x14ac:dyDescent="0.3">
      <c r="A2349" s="43" t="s">
        <v>5286</v>
      </c>
      <c r="B2349" s="81" t="s">
        <v>5271</v>
      </c>
      <c r="C2349" s="26" t="s">
        <v>37</v>
      </c>
      <c r="D2349" s="14"/>
      <c r="E2349" s="15"/>
      <c r="F2349" s="16">
        <f t="shared" si="146"/>
        <v>0</v>
      </c>
      <c r="G2349">
        <f t="shared" si="145"/>
        <v>0</v>
      </c>
    </row>
    <row r="2350" spans="1:7" ht="15.75" hidden="1" thickBot="1" x14ac:dyDescent="0.3">
      <c r="A2350" s="43" t="s">
        <v>5287</v>
      </c>
      <c r="B2350" s="81" t="s">
        <v>5272</v>
      </c>
      <c r="C2350" s="26" t="s">
        <v>37</v>
      </c>
      <c r="D2350" s="14"/>
      <c r="E2350" s="15"/>
      <c r="F2350" s="16">
        <f t="shared" si="146"/>
        <v>0</v>
      </c>
      <c r="G2350">
        <f t="shared" si="145"/>
        <v>0</v>
      </c>
    </row>
    <row r="2351" spans="1:7" ht="15.75" hidden="1" thickBot="1" x14ac:dyDescent="0.3">
      <c r="A2351" s="43" t="s">
        <v>5288</v>
      </c>
      <c r="B2351" s="81" t="s">
        <v>5273</v>
      </c>
      <c r="C2351" s="26" t="s">
        <v>37</v>
      </c>
      <c r="D2351" s="14"/>
      <c r="E2351" s="15"/>
      <c r="F2351" s="16">
        <f t="shared" si="146"/>
        <v>0</v>
      </c>
      <c r="G2351">
        <f t="shared" si="145"/>
        <v>0</v>
      </c>
    </row>
    <row r="2352" spans="1:7" ht="15.75" hidden="1" thickBot="1" x14ac:dyDescent="0.3">
      <c r="A2352" s="43" t="s">
        <v>5289</v>
      </c>
      <c r="B2352" s="81" t="s">
        <v>5274</v>
      </c>
      <c r="C2352" s="26" t="s">
        <v>37</v>
      </c>
      <c r="D2352" s="14"/>
      <c r="E2352" s="15"/>
      <c r="F2352" s="16">
        <f t="shared" si="146"/>
        <v>0</v>
      </c>
      <c r="G2352">
        <f t="shared" si="145"/>
        <v>0</v>
      </c>
    </row>
    <row r="2353" spans="1:7" ht="15.75" hidden="1" thickBot="1" x14ac:dyDescent="0.3">
      <c r="A2353" s="43" t="s">
        <v>5290</v>
      </c>
      <c r="B2353" s="81" t="s">
        <v>5275</v>
      </c>
      <c r="C2353" s="26" t="s">
        <v>37</v>
      </c>
      <c r="D2353" s="14"/>
      <c r="E2353" s="15"/>
      <c r="F2353" s="16">
        <f t="shared" si="146"/>
        <v>0</v>
      </c>
      <c r="G2353">
        <f t="shared" si="145"/>
        <v>0</v>
      </c>
    </row>
    <row r="2354" spans="1:7" ht="15.75" hidden="1" thickBot="1" x14ac:dyDescent="0.3">
      <c r="A2354" s="43" t="s">
        <v>5291</v>
      </c>
      <c r="B2354" s="81" t="s">
        <v>5276</v>
      </c>
      <c r="C2354" s="26" t="s">
        <v>37</v>
      </c>
      <c r="D2354" s="14"/>
      <c r="E2354" s="15"/>
      <c r="F2354" s="16">
        <f t="shared" si="146"/>
        <v>0</v>
      </c>
      <c r="G2354">
        <f t="shared" si="145"/>
        <v>0</v>
      </c>
    </row>
    <row r="2355" spans="1:7" ht="15.75" hidden="1" thickBot="1" x14ac:dyDescent="0.3">
      <c r="A2355" s="43" t="s">
        <v>5292</v>
      </c>
      <c r="B2355" s="81" t="s">
        <v>5277</v>
      </c>
      <c r="C2355" s="26" t="s">
        <v>37</v>
      </c>
      <c r="D2355" s="14"/>
      <c r="E2355" s="15"/>
      <c r="F2355" s="16">
        <f t="shared" si="146"/>
        <v>0</v>
      </c>
      <c r="G2355">
        <f t="shared" si="145"/>
        <v>0</v>
      </c>
    </row>
    <row r="2356" spans="1:7" ht="15.75" hidden="1" thickBot="1" x14ac:dyDescent="0.3">
      <c r="A2356" s="43" t="s">
        <v>5293</v>
      </c>
      <c r="B2356" s="81" t="s">
        <v>5278</v>
      </c>
      <c r="C2356" s="26" t="s">
        <v>37</v>
      </c>
      <c r="D2356" s="14"/>
      <c r="E2356" s="15"/>
      <c r="F2356" s="16">
        <f t="shared" si="146"/>
        <v>0</v>
      </c>
      <c r="G2356">
        <f t="shared" si="145"/>
        <v>0</v>
      </c>
    </row>
    <row r="2357" spans="1:7" ht="15.75" hidden="1" thickBot="1" x14ac:dyDescent="0.3">
      <c r="A2357" s="44" t="s">
        <v>5267</v>
      </c>
      <c r="B2357" s="80" t="s">
        <v>5263</v>
      </c>
      <c r="C2357" s="14"/>
      <c r="D2357" s="14"/>
      <c r="E2357" s="15"/>
      <c r="F2357" s="16"/>
      <c r="G2357">
        <f t="shared" si="145"/>
        <v>0</v>
      </c>
    </row>
    <row r="2358" spans="1:7" ht="15.75" hidden="1" thickBot="1" x14ac:dyDescent="0.3">
      <c r="A2358" s="43" t="s">
        <v>5309</v>
      </c>
      <c r="B2358" s="81" t="s">
        <v>5294</v>
      </c>
      <c r="C2358" s="26" t="s">
        <v>37</v>
      </c>
      <c r="D2358" s="14"/>
      <c r="E2358" s="15"/>
      <c r="F2358" s="16">
        <f t="shared" ref="F2358:F2372" si="147">+D2358*E2358</f>
        <v>0</v>
      </c>
      <c r="G2358">
        <f t="shared" si="145"/>
        <v>0</v>
      </c>
    </row>
    <row r="2359" spans="1:7" ht="15.75" hidden="1" thickBot="1" x14ac:dyDescent="0.3">
      <c r="A2359" s="43" t="s">
        <v>1039</v>
      </c>
      <c r="B2359" s="81" t="s">
        <v>5295</v>
      </c>
      <c r="C2359" s="26" t="s">
        <v>37</v>
      </c>
      <c r="D2359" s="14"/>
      <c r="E2359" s="15"/>
      <c r="F2359" s="16">
        <f t="shared" si="147"/>
        <v>0</v>
      </c>
      <c r="G2359">
        <f t="shared" si="145"/>
        <v>0</v>
      </c>
    </row>
    <row r="2360" spans="1:7" ht="15.75" hidden="1" thickBot="1" x14ac:dyDescent="0.3">
      <c r="A2360" s="43" t="s">
        <v>1041</v>
      </c>
      <c r="B2360" s="81" t="s">
        <v>5296</v>
      </c>
      <c r="C2360" s="26" t="s">
        <v>37</v>
      </c>
      <c r="D2360" s="14"/>
      <c r="E2360" s="15"/>
      <c r="F2360" s="16">
        <f t="shared" si="147"/>
        <v>0</v>
      </c>
      <c r="G2360">
        <f t="shared" si="145"/>
        <v>0</v>
      </c>
    </row>
    <row r="2361" spans="1:7" ht="15.75" hidden="1" thickBot="1" x14ac:dyDescent="0.3">
      <c r="A2361" s="43" t="s">
        <v>1043</v>
      </c>
      <c r="B2361" s="81" t="s">
        <v>5297</v>
      </c>
      <c r="C2361" s="26" t="s">
        <v>37</v>
      </c>
      <c r="D2361" s="14"/>
      <c r="E2361" s="15"/>
      <c r="F2361" s="16">
        <f t="shared" si="147"/>
        <v>0</v>
      </c>
      <c r="G2361">
        <f t="shared" si="145"/>
        <v>0</v>
      </c>
    </row>
    <row r="2362" spans="1:7" ht="15.75" hidden="1" thickBot="1" x14ac:dyDescent="0.3">
      <c r="A2362" s="43" t="s">
        <v>5310</v>
      </c>
      <c r="B2362" s="81" t="s">
        <v>5298</v>
      </c>
      <c r="C2362" s="26" t="s">
        <v>37</v>
      </c>
      <c r="D2362" s="14"/>
      <c r="E2362" s="15"/>
      <c r="F2362" s="16">
        <f t="shared" si="147"/>
        <v>0</v>
      </c>
      <c r="G2362">
        <f t="shared" si="145"/>
        <v>0</v>
      </c>
    </row>
    <row r="2363" spans="1:7" ht="15.75" hidden="1" thickBot="1" x14ac:dyDescent="0.3">
      <c r="A2363" s="43" t="s">
        <v>5311</v>
      </c>
      <c r="B2363" s="81" t="s">
        <v>5299</v>
      </c>
      <c r="C2363" s="26" t="s">
        <v>37</v>
      </c>
      <c r="D2363" s="14"/>
      <c r="E2363" s="15"/>
      <c r="F2363" s="16">
        <f t="shared" si="147"/>
        <v>0</v>
      </c>
      <c r="G2363">
        <f t="shared" si="145"/>
        <v>0</v>
      </c>
    </row>
    <row r="2364" spans="1:7" ht="15.75" hidden="1" thickBot="1" x14ac:dyDescent="0.3">
      <c r="A2364" s="43" t="s">
        <v>5312</v>
      </c>
      <c r="B2364" s="81" t="s">
        <v>5300</v>
      </c>
      <c r="C2364" s="26" t="s">
        <v>37</v>
      </c>
      <c r="D2364" s="14"/>
      <c r="E2364" s="15"/>
      <c r="F2364" s="16">
        <f t="shared" si="147"/>
        <v>0</v>
      </c>
      <c r="G2364">
        <f t="shared" si="145"/>
        <v>0</v>
      </c>
    </row>
    <row r="2365" spans="1:7" ht="15.75" hidden="1" thickBot="1" x14ac:dyDescent="0.3">
      <c r="A2365" s="43" t="s">
        <v>5313</v>
      </c>
      <c r="B2365" s="81" t="s">
        <v>5301</v>
      </c>
      <c r="C2365" s="26" t="s">
        <v>37</v>
      </c>
      <c r="D2365" s="14"/>
      <c r="E2365" s="15"/>
      <c r="F2365" s="16">
        <f t="shared" si="147"/>
        <v>0</v>
      </c>
      <c r="G2365">
        <f t="shared" si="145"/>
        <v>0</v>
      </c>
    </row>
    <row r="2366" spans="1:7" ht="15.75" hidden="1" thickBot="1" x14ac:dyDescent="0.3">
      <c r="A2366" s="43" t="s">
        <v>5314</v>
      </c>
      <c r="B2366" s="81" t="s">
        <v>5302</v>
      </c>
      <c r="C2366" s="26" t="s">
        <v>37</v>
      </c>
      <c r="D2366" s="14"/>
      <c r="E2366" s="15"/>
      <c r="F2366" s="16">
        <f t="shared" si="147"/>
        <v>0</v>
      </c>
      <c r="G2366">
        <f t="shared" si="145"/>
        <v>0</v>
      </c>
    </row>
    <row r="2367" spans="1:7" ht="15.75" hidden="1" thickBot="1" x14ac:dyDescent="0.3">
      <c r="A2367" s="43" t="s">
        <v>5315</v>
      </c>
      <c r="B2367" s="81" t="s">
        <v>5303</v>
      </c>
      <c r="C2367" s="26" t="s">
        <v>37</v>
      </c>
      <c r="D2367" s="14"/>
      <c r="E2367" s="15"/>
      <c r="F2367" s="16">
        <f t="shared" si="147"/>
        <v>0</v>
      </c>
      <c r="G2367">
        <f t="shared" si="145"/>
        <v>0</v>
      </c>
    </row>
    <row r="2368" spans="1:7" ht="15.75" hidden="1" thickBot="1" x14ac:dyDescent="0.3">
      <c r="A2368" s="43" t="s">
        <v>5316</v>
      </c>
      <c r="B2368" s="81" t="s">
        <v>5304</v>
      </c>
      <c r="C2368" s="26" t="s">
        <v>37</v>
      </c>
      <c r="D2368" s="14"/>
      <c r="E2368" s="15"/>
      <c r="F2368" s="16">
        <f t="shared" si="147"/>
        <v>0</v>
      </c>
      <c r="G2368">
        <f t="shared" si="145"/>
        <v>0</v>
      </c>
    </row>
    <row r="2369" spans="1:7" ht="15.75" hidden="1" thickBot="1" x14ac:dyDescent="0.3">
      <c r="A2369" s="43" t="s">
        <v>5317</v>
      </c>
      <c r="B2369" s="81" t="s">
        <v>5305</v>
      </c>
      <c r="C2369" s="26" t="s">
        <v>37</v>
      </c>
      <c r="D2369" s="14"/>
      <c r="E2369" s="15"/>
      <c r="F2369" s="16">
        <f t="shared" si="147"/>
        <v>0</v>
      </c>
      <c r="G2369">
        <f t="shared" si="145"/>
        <v>0</v>
      </c>
    </row>
    <row r="2370" spans="1:7" ht="15.75" hidden="1" thickBot="1" x14ac:dyDescent="0.3">
      <c r="A2370" s="43" t="s">
        <v>5318</v>
      </c>
      <c r="B2370" s="81" t="s">
        <v>5306</v>
      </c>
      <c r="C2370" s="26" t="s">
        <v>37</v>
      </c>
      <c r="D2370" s="14"/>
      <c r="E2370" s="15"/>
      <c r="F2370" s="16">
        <f t="shared" si="147"/>
        <v>0</v>
      </c>
      <c r="G2370">
        <f t="shared" si="145"/>
        <v>0</v>
      </c>
    </row>
    <row r="2371" spans="1:7" ht="15.75" hidden="1" thickBot="1" x14ac:dyDescent="0.3">
      <c r="A2371" s="43" t="s">
        <v>5319</v>
      </c>
      <c r="B2371" s="81" t="s">
        <v>5307</v>
      </c>
      <c r="C2371" s="26" t="s">
        <v>37</v>
      </c>
      <c r="D2371" s="14"/>
      <c r="E2371" s="15"/>
      <c r="F2371" s="16">
        <f t="shared" si="147"/>
        <v>0</v>
      </c>
      <c r="G2371">
        <f t="shared" si="145"/>
        <v>0</v>
      </c>
    </row>
    <row r="2372" spans="1:7" ht="15.75" hidden="1" thickBot="1" x14ac:dyDescent="0.3">
      <c r="A2372" s="43" t="s">
        <v>5320</v>
      </c>
      <c r="B2372" s="81" t="s">
        <v>5308</v>
      </c>
      <c r="C2372" s="26" t="s">
        <v>37</v>
      </c>
      <c r="D2372" s="14"/>
      <c r="E2372" s="15"/>
      <c r="F2372" s="16">
        <f t="shared" si="147"/>
        <v>0</v>
      </c>
      <c r="G2372">
        <f t="shared" si="145"/>
        <v>0</v>
      </c>
    </row>
    <row r="2373" spans="1:7" ht="15.75" hidden="1" thickBot="1" x14ac:dyDescent="0.3">
      <c r="A2373" s="44" t="s">
        <v>5268</v>
      </c>
      <c r="B2373" s="80" t="s">
        <v>1046</v>
      </c>
      <c r="C2373" s="14"/>
      <c r="D2373" s="14"/>
      <c r="E2373" s="15"/>
      <c r="F2373" s="16"/>
      <c r="G2373">
        <f t="shared" si="145"/>
        <v>0</v>
      </c>
    </row>
    <row r="2374" spans="1:7" ht="15.75" hidden="1" thickBot="1" x14ac:dyDescent="0.3">
      <c r="A2374" s="43" t="s">
        <v>5324</v>
      </c>
      <c r="B2374" s="81" t="s">
        <v>1047</v>
      </c>
      <c r="C2374" s="14" t="s">
        <v>37</v>
      </c>
      <c r="D2374" s="14"/>
      <c r="E2374" s="15"/>
      <c r="F2374" s="16">
        <f t="shared" ref="F2374:F2384" si="148">+D2374*E2374</f>
        <v>0</v>
      </c>
      <c r="G2374">
        <f t="shared" si="145"/>
        <v>0</v>
      </c>
    </row>
    <row r="2375" spans="1:7" ht="15.75" hidden="1" thickBot="1" x14ac:dyDescent="0.3">
      <c r="A2375" s="43" t="s">
        <v>5325</v>
      </c>
      <c r="B2375" s="81" t="s">
        <v>5321</v>
      </c>
      <c r="C2375" s="14" t="s">
        <v>14</v>
      </c>
      <c r="D2375" s="14"/>
      <c r="E2375" s="15"/>
      <c r="F2375" s="16">
        <f t="shared" si="148"/>
        <v>0</v>
      </c>
      <c r="G2375">
        <f t="shared" si="145"/>
        <v>0</v>
      </c>
    </row>
    <row r="2376" spans="1:7" ht="15.75" hidden="1" thickBot="1" x14ac:dyDescent="0.3">
      <c r="A2376" s="43" t="s">
        <v>5326</v>
      </c>
      <c r="B2376" s="81" t="s">
        <v>1048</v>
      </c>
      <c r="C2376" s="14" t="s">
        <v>14</v>
      </c>
      <c r="D2376" s="14"/>
      <c r="E2376" s="15"/>
      <c r="F2376" s="16">
        <f t="shared" si="148"/>
        <v>0</v>
      </c>
      <c r="G2376">
        <f t="shared" si="145"/>
        <v>0</v>
      </c>
    </row>
    <row r="2377" spans="1:7" ht="15.75" hidden="1" thickBot="1" x14ac:dyDescent="0.3">
      <c r="A2377" s="43" t="s">
        <v>5327</v>
      </c>
      <c r="B2377" s="81" t="s">
        <v>1049</v>
      </c>
      <c r="C2377" s="14" t="s">
        <v>14</v>
      </c>
      <c r="D2377" s="14"/>
      <c r="E2377" s="15"/>
      <c r="F2377" s="16">
        <f t="shared" si="148"/>
        <v>0</v>
      </c>
      <c r="G2377">
        <f t="shared" si="145"/>
        <v>0</v>
      </c>
    </row>
    <row r="2378" spans="1:7" ht="15.75" hidden="1" thickBot="1" x14ac:dyDescent="0.3">
      <c r="A2378" s="43" t="s">
        <v>5328</v>
      </c>
      <c r="B2378" s="81" t="s">
        <v>1050</v>
      </c>
      <c r="C2378" s="14" t="s">
        <v>14</v>
      </c>
      <c r="D2378" s="14"/>
      <c r="E2378" s="15"/>
      <c r="F2378" s="16">
        <f t="shared" si="148"/>
        <v>0</v>
      </c>
      <c r="G2378">
        <f t="shared" si="145"/>
        <v>0</v>
      </c>
    </row>
    <row r="2379" spans="1:7" ht="15.75" hidden="1" thickBot="1" x14ac:dyDescent="0.3">
      <c r="A2379" s="43" t="s">
        <v>5329</v>
      </c>
      <c r="B2379" s="81" t="s">
        <v>1051</v>
      </c>
      <c r="C2379" s="14" t="s">
        <v>37</v>
      </c>
      <c r="D2379" s="14"/>
      <c r="E2379" s="15"/>
      <c r="F2379" s="16">
        <f t="shared" si="148"/>
        <v>0</v>
      </c>
      <c r="G2379">
        <f t="shared" si="145"/>
        <v>0</v>
      </c>
    </row>
    <row r="2380" spans="1:7" ht="15.75" hidden="1" thickBot="1" x14ac:dyDescent="0.3">
      <c r="A2380" s="43" t="s">
        <v>5330</v>
      </c>
      <c r="B2380" s="81" t="s">
        <v>1052</v>
      </c>
      <c r="C2380" s="14" t="s">
        <v>37</v>
      </c>
      <c r="D2380" s="14"/>
      <c r="E2380" s="15"/>
      <c r="F2380" s="16">
        <f t="shared" si="148"/>
        <v>0</v>
      </c>
      <c r="G2380">
        <f t="shared" si="145"/>
        <v>0</v>
      </c>
    </row>
    <row r="2381" spans="1:7" ht="15.75" hidden="1" thickBot="1" x14ac:dyDescent="0.3">
      <c r="A2381" s="43" t="s">
        <v>5331</v>
      </c>
      <c r="B2381" s="81" t="s">
        <v>5323</v>
      </c>
      <c r="C2381" s="14" t="s">
        <v>37</v>
      </c>
      <c r="D2381" s="14"/>
      <c r="E2381" s="15"/>
      <c r="F2381" s="16">
        <f t="shared" si="148"/>
        <v>0</v>
      </c>
      <c r="G2381">
        <f t="shared" si="145"/>
        <v>0</v>
      </c>
    </row>
    <row r="2382" spans="1:7" ht="15.75" hidden="1" thickBot="1" x14ac:dyDescent="0.3">
      <c r="A2382" s="43" t="s">
        <v>5332</v>
      </c>
      <c r="B2382" s="81" t="s">
        <v>5264</v>
      </c>
      <c r="C2382" s="14" t="s">
        <v>37</v>
      </c>
      <c r="D2382" s="14"/>
      <c r="E2382" s="15"/>
      <c r="F2382" s="16">
        <f t="shared" si="148"/>
        <v>0</v>
      </c>
      <c r="G2382">
        <f t="shared" si="145"/>
        <v>0</v>
      </c>
    </row>
    <row r="2383" spans="1:7" ht="15.75" hidden="1" thickBot="1" x14ac:dyDescent="0.3">
      <c r="A2383" s="43" t="s">
        <v>5333</v>
      </c>
      <c r="B2383" s="81" t="s">
        <v>1053</v>
      </c>
      <c r="C2383" s="14" t="s">
        <v>37</v>
      </c>
      <c r="D2383" s="14"/>
      <c r="E2383" s="15"/>
      <c r="F2383" s="16">
        <f t="shared" si="148"/>
        <v>0</v>
      </c>
      <c r="G2383">
        <f t="shared" si="145"/>
        <v>0</v>
      </c>
    </row>
    <row r="2384" spans="1:7" ht="15.75" hidden="1" thickBot="1" x14ac:dyDescent="0.3">
      <c r="A2384" s="43" t="s">
        <v>5334</v>
      </c>
      <c r="B2384" s="81" t="s">
        <v>5322</v>
      </c>
      <c r="C2384" s="14" t="s">
        <v>37</v>
      </c>
      <c r="D2384" s="14"/>
      <c r="E2384" s="15"/>
      <c r="F2384" s="16">
        <f t="shared" si="148"/>
        <v>0</v>
      </c>
      <c r="G2384">
        <f t="shared" si="145"/>
        <v>0</v>
      </c>
    </row>
    <row r="2385" spans="1:7" ht="15.75" hidden="1" thickBot="1" x14ac:dyDescent="0.3">
      <c r="A2385" s="44" t="s">
        <v>1061</v>
      </c>
      <c r="B2385" s="80" t="s">
        <v>5335</v>
      </c>
      <c r="C2385" s="14"/>
      <c r="D2385" s="14"/>
      <c r="E2385" s="15"/>
      <c r="F2385" s="16"/>
      <c r="G2385">
        <f t="shared" si="145"/>
        <v>0</v>
      </c>
    </row>
    <row r="2386" spans="1:7" ht="15.75" hidden="1" thickBot="1" x14ac:dyDescent="0.3">
      <c r="A2386" s="43" t="s">
        <v>1062</v>
      </c>
      <c r="B2386" s="81" t="s">
        <v>5369</v>
      </c>
      <c r="C2386" s="26" t="s">
        <v>37</v>
      </c>
      <c r="D2386" s="14"/>
      <c r="E2386" s="15"/>
      <c r="F2386" s="16">
        <f t="shared" ref="F2386:F2397" si="149">+D2386*E2386</f>
        <v>0</v>
      </c>
      <c r="G2386">
        <f t="shared" si="145"/>
        <v>0</v>
      </c>
    </row>
    <row r="2387" spans="1:7" ht="15.75" hidden="1" thickBot="1" x14ac:dyDescent="0.3">
      <c r="A2387" s="43" t="s">
        <v>1063</v>
      </c>
      <c r="B2387" s="81" t="s">
        <v>5336</v>
      </c>
      <c r="C2387" s="26" t="s">
        <v>37</v>
      </c>
      <c r="D2387" s="14"/>
      <c r="E2387" s="15"/>
      <c r="F2387" s="16">
        <f t="shared" si="149"/>
        <v>0</v>
      </c>
      <c r="G2387">
        <f t="shared" si="145"/>
        <v>0</v>
      </c>
    </row>
    <row r="2388" spans="1:7" ht="15.75" hidden="1" thickBot="1" x14ac:dyDescent="0.3">
      <c r="A2388" s="43" t="s">
        <v>5343</v>
      </c>
      <c r="B2388" s="81" t="s">
        <v>5337</v>
      </c>
      <c r="C2388" s="26" t="s">
        <v>37</v>
      </c>
      <c r="D2388" s="14"/>
      <c r="E2388" s="15"/>
      <c r="F2388" s="16">
        <f t="shared" si="149"/>
        <v>0</v>
      </c>
      <c r="G2388">
        <f t="shared" si="145"/>
        <v>0</v>
      </c>
    </row>
    <row r="2389" spans="1:7" ht="15.75" hidden="1" thickBot="1" x14ac:dyDescent="0.3">
      <c r="A2389" s="43" t="s">
        <v>5344</v>
      </c>
      <c r="B2389" s="81" t="s">
        <v>5338</v>
      </c>
      <c r="C2389" s="26" t="s">
        <v>37</v>
      </c>
      <c r="D2389" s="14"/>
      <c r="E2389" s="15"/>
      <c r="F2389" s="16">
        <f t="shared" si="149"/>
        <v>0</v>
      </c>
      <c r="G2389">
        <f t="shared" si="145"/>
        <v>0</v>
      </c>
    </row>
    <row r="2390" spans="1:7" ht="15.75" hidden="1" thickBot="1" x14ac:dyDescent="0.3">
      <c r="A2390" s="43" t="s">
        <v>5345</v>
      </c>
      <c r="B2390" s="81" t="s">
        <v>5339</v>
      </c>
      <c r="C2390" s="26" t="s">
        <v>37</v>
      </c>
      <c r="D2390" s="14"/>
      <c r="E2390" s="15"/>
      <c r="F2390" s="16">
        <f t="shared" si="149"/>
        <v>0</v>
      </c>
      <c r="G2390">
        <f t="shared" si="145"/>
        <v>0</v>
      </c>
    </row>
    <row r="2391" spans="1:7" ht="15.75" hidden="1" thickBot="1" x14ac:dyDescent="0.3">
      <c r="A2391" s="43" t="s">
        <v>5346</v>
      </c>
      <c r="B2391" s="81" t="s">
        <v>5340</v>
      </c>
      <c r="C2391" s="26" t="s">
        <v>37</v>
      </c>
      <c r="D2391" s="14"/>
      <c r="E2391" s="15"/>
      <c r="F2391" s="16">
        <f t="shared" si="149"/>
        <v>0</v>
      </c>
      <c r="G2391">
        <f t="shared" si="145"/>
        <v>0</v>
      </c>
    </row>
    <row r="2392" spans="1:7" ht="15.75" hidden="1" thickBot="1" x14ac:dyDescent="0.3">
      <c r="A2392" s="43" t="s">
        <v>5347</v>
      </c>
      <c r="B2392" s="81" t="s">
        <v>5341</v>
      </c>
      <c r="C2392" s="26" t="s">
        <v>37</v>
      </c>
      <c r="D2392" s="14"/>
      <c r="E2392" s="15"/>
      <c r="F2392" s="16">
        <f t="shared" si="149"/>
        <v>0</v>
      </c>
      <c r="G2392">
        <f t="shared" si="145"/>
        <v>0</v>
      </c>
    </row>
    <row r="2393" spans="1:7" ht="15.75" hidden="1" thickBot="1" x14ac:dyDescent="0.3">
      <c r="A2393" s="43" t="s">
        <v>5374</v>
      </c>
      <c r="B2393" s="81" t="s">
        <v>5342</v>
      </c>
      <c r="C2393" s="26" t="s">
        <v>37</v>
      </c>
      <c r="D2393" s="14"/>
      <c r="E2393" s="15"/>
      <c r="F2393" s="16">
        <f t="shared" si="149"/>
        <v>0</v>
      </c>
      <c r="G2393">
        <f t="shared" si="145"/>
        <v>0</v>
      </c>
    </row>
    <row r="2394" spans="1:7" ht="15.75" hidden="1" thickBot="1" x14ac:dyDescent="0.3">
      <c r="A2394" s="43" t="s">
        <v>5375</v>
      </c>
      <c r="B2394" s="81" t="s">
        <v>5370</v>
      </c>
      <c r="C2394" s="26" t="s">
        <v>37</v>
      </c>
      <c r="D2394" s="14"/>
      <c r="E2394" s="15"/>
      <c r="F2394" s="16">
        <f t="shared" si="149"/>
        <v>0</v>
      </c>
      <c r="G2394">
        <f t="shared" si="145"/>
        <v>0</v>
      </c>
    </row>
    <row r="2395" spans="1:7" ht="15.75" hidden="1" thickBot="1" x14ac:dyDescent="0.3">
      <c r="A2395" s="43" t="s">
        <v>5376</v>
      </c>
      <c r="B2395" s="81" t="s">
        <v>5371</v>
      </c>
      <c r="C2395" s="26" t="s">
        <v>37</v>
      </c>
      <c r="D2395" s="14"/>
      <c r="E2395" s="15"/>
      <c r="F2395" s="16">
        <f t="shared" si="149"/>
        <v>0</v>
      </c>
      <c r="G2395">
        <f t="shared" si="145"/>
        <v>0</v>
      </c>
    </row>
    <row r="2396" spans="1:7" ht="15.75" hidden="1" thickBot="1" x14ac:dyDescent="0.3">
      <c r="A2396" s="43" t="s">
        <v>5377</v>
      </c>
      <c r="B2396" s="81" t="s">
        <v>5372</v>
      </c>
      <c r="C2396" s="26" t="s">
        <v>37</v>
      </c>
      <c r="D2396" s="14"/>
      <c r="E2396" s="15"/>
      <c r="F2396" s="16">
        <f t="shared" si="149"/>
        <v>0</v>
      </c>
      <c r="G2396">
        <f t="shared" si="145"/>
        <v>0</v>
      </c>
    </row>
    <row r="2397" spans="1:7" ht="15.75" hidden="1" thickBot="1" x14ac:dyDescent="0.3">
      <c r="A2397" s="43" t="s">
        <v>5378</v>
      </c>
      <c r="B2397" s="81" t="s">
        <v>5373</v>
      </c>
      <c r="C2397" s="26" t="s">
        <v>37</v>
      </c>
      <c r="D2397" s="14"/>
      <c r="E2397" s="15"/>
      <c r="F2397" s="16">
        <f t="shared" si="149"/>
        <v>0</v>
      </c>
      <c r="G2397">
        <f t="shared" si="145"/>
        <v>0</v>
      </c>
    </row>
    <row r="2398" spans="1:7" ht="15.75" hidden="1" thickBot="1" x14ac:dyDescent="0.3">
      <c r="A2398" s="44" t="s">
        <v>5348</v>
      </c>
      <c r="B2398" s="80" t="s">
        <v>563</v>
      </c>
      <c r="C2398" s="14"/>
      <c r="D2398" s="14"/>
      <c r="E2398" s="15"/>
      <c r="F2398" s="16"/>
      <c r="G2398">
        <f t="shared" ref="G2398:G2428" si="150">+IF(F2398&lt;&gt;0,1,0)</f>
        <v>0</v>
      </c>
    </row>
    <row r="2399" spans="1:7" ht="15.75" hidden="1" thickBot="1" x14ac:dyDescent="0.3">
      <c r="A2399" s="44" t="s">
        <v>5349</v>
      </c>
      <c r="B2399" s="80" t="s">
        <v>5350</v>
      </c>
      <c r="C2399" s="14"/>
      <c r="D2399" s="14"/>
      <c r="E2399" s="15"/>
      <c r="F2399" s="16"/>
      <c r="G2399">
        <f t="shared" si="150"/>
        <v>0</v>
      </c>
    </row>
    <row r="2400" spans="1:7" ht="15.75" hidden="1" thickBot="1" x14ac:dyDescent="0.3">
      <c r="A2400" s="43" t="s">
        <v>5356</v>
      </c>
      <c r="B2400" s="81" t="s">
        <v>5351</v>
      </c>
      <c r="C2400" s="14" t="s">
        <v>37</v>
      </c>
      <c r="D2400" s="14"/>
      <c r="E2400" s="15"/>
      <c r="F2400" s="16">
        <f>+D2400*E2400</f>
        <v>0</v>
      </c>
      <c r="G2400">
        <f t="shared" si="150"/>
        <v>0</v>
      </c>
    </row>
    <row r="2401" spans="1:7" ht="15.75" hidden="1" thickBot="1" x14ac:dyDescent="0.3">
      <c r="A2401" s="43" t="s">
        <v>5357</v>
      </c>
      <c r="B2401" s="81" t="s">
        <v>5352</v>
      </c>
      <c r="C2401" s="14" t="s">
        <v>37</v>
      </c>
      <c r="D2401" s="14"/>
      <c r="E2401" s="15"/>
      <c r="F2401" s="16">
        <f>+D2401*E2401</f>
        <v>0</v>
      </c>
      <c r="G2401">
        <f t="shared" si="150"/>
        <v>0</v>
      </c>
    </row>
    <row r="2402" spans="1:7" ht="15.75" hidden="1" thickBot="1" x14ac:dyDescent="0.3">
      <c r="A2402" s="43" t="s">
        <v>5358</v>
      </c>
      <c r="B2402" s="81" t="s">
        <v>5353</v>
      </c>
      <c r="C2402" s="14" t="s">
        <v>37</v>
      </c>
      <c r="D2402" s="14"/>
      <c r="E2402" s="15"/>
      <c r="F2402" s="16">
        <f>+D2402*E2402</f>
        <v>0</v>
      </c>
      <c r="G2402">
        <f t="shared" si="150"/>
        <v>0</v>
      </c>
    </row>
    <row r="2403" spans="1:7" ht="15.75" hidden="1" thickBot="1" x14ac:dyDescent="0.3">
      <c r="A2403" s="43" t="s">
        <v>5359</v>
      </c>
      <c r="B2403" s="81" t="s">
        <v>5354</v>
      </c>
      <c r="C2403" s="14" t="s">
        <v>37</v>
      </c>
      <c r="D2403" s="14"/>
      <c r="E2403" s="15"/>
      <c r="F2403" s="16">
        <f>+D2403*E2403</f>
        <v>0</v>
      </c>
      <c r="G2403">
        <f t="shared" si="150"/>
        <v>0</v>
      </c>
    </row>
    <row r="2404" spans="1:7" ht="15.75" hidden="1" thickBot="1" x14ac:dyDescent="0.3">
      <c r="A2404" s="43" t="s">
        <v>5360</v>
      </c>
      <c r="B2404" s="81" t="s">
        <v>5355</v>
      </c>
      <c r="C2404" s="14" t="s">
        <v>37</v>
      </c>
      <c r="D2404" s="14"/>
      <c r="E2404" s="15"/>
      <c r="F2404" s="16">
        <f>+D2404*E2404</f>
        <v>0</v>
      </c>
      <c r="G2404">
        <f t="shared" si="150"/>
        <v>0</v>
      </c>
    </row>
    <row r="2405" spans="1:7" ht="15.75" hidden="1" thickBot="1" x14ac:dyDescent="0.3">
      <c r="A2405" s="44" t="s">
        <v>5349</v>
      </c>
      <c r="B2405" s="80" t="s">
        <v>5361</v>
      </c>
      <c r="C2405" s="14"/>
      <c r="D2405" s="14"/>
      <c r="E2405" s="15"/>
      <c r="F2405" s="16"/>
      <c r="G2405">
        <f t="shared" si="150"/>
        <v>0</v>
      </c>
    </row>
    <row r="2406" spans="1:7" ht="15.75" hidden="1" thickBot="1" x14ac:dyDescent="0.3">
      <c r="A2406" s="43" t="s">
        <v>5363</v>
      </c>
      <c r="B2406" s="81" t="s">
        <v>5351</v>
      </c>
      <c r="C2406" s="14" t="s">
        <v>37</v>
      </c>
      <c r="D2406" s="14"/>
      <c r="E2406" s="15"/>
      <c r="F2406" s="16">
        <f>+D2406*E2406</f>
        <v>0</v>
      </c>
      <c r="G2406">
        <f t="shared" si="150"/>
        <v>0</v>
      </c>
    </row>
    <row r="2407" spans="1:7" ht="15.75" hidden="1" thickBot="1" x14ac:dyDescent="0.3">
      <c r="A2407" s="43" t="s">
        <v>5364</v>
      </c>
      <c r="B2407" s="81" t="s">
        <v>5352</v>
      </c>
      <c r="C2407" s="14" t="s">
        <v>37</v>
      </c>
      <c r="D2407" s="14"/>
      <c r="E2407" s="15"/>
      <c r="F2407" s="16">
        <f>+D2407*E2407</f>
        <v>0</v>
      </c>
      <c r="G2407">
        <f t="shared" si="150"/>
        <v>0</v>
      </c>
    </row>
    <row r="2408" spans="1:7" ht="15.75" hidden="1" thickBot="1" x14ac:dyDescent="0.3">
      <c r="A2408" s="43" t="s">
        <v>5365</v>
      </c>
      <c r="B2408" s="81" t="s">
        <v>5353</v>
      </c>
      <c r="C2408" s="14" t="s">
        <v>37</v>
      </c>
      <c r="D2408" s="14"/>
      <c r="E2408" s="15"/>
      <c r="F2408" s="16">
        <f>+D2408*E2408</f>
        <v>0</v>
      </c>
      <c r="G2408">
        <f t="shared" si="150"/>
        <v>0</v>
      </c>
    </row>
    <row r="2409" spans="1:7" ht="15.75" hidden="1" thickBot="1" x14ac:dyDescent="0.3">
      <c r="A2409" s="43" t="s">
        <v>4659</v>
      </c>
      <c r="B2409" s="80" t="s">
        <v>5362</v>
      </c>
      <c r="C2409" s="14"/>
      <c r="D2409" s="14"/>
      <c r="E2409" s="15"/>
      <c r="F2409" s="16"/>
      <c r="G2409">
        <f t="shared" si="150"/>
        <v>0</v>
      </c>
    </row>
    <row r="2410" spans="1:7" ht="15.75" hidden="1" thickBot="1" x14ac:dyDescent="0.3">
      <c r="A2410" s="43" t="s">
        <v>5366</v>
      </c>
      <c r="B2410" s="81" t="s">
        <v>5351</v>
      </c>
      <c r="C2410" s="14" t="s">
        <v>37</v>
      </c>
      <c r="D2410" s="14"/>
      <c r="E2410" s="15"/>
      <c r="F2410" s="16">
        <f>+D2410*E2410</f>
        <v>0</v>
      </c>
      <c r="G2410">
        <f t="shared" si="150"/>
        <v>0</v>
      </c>
    </row>
    <row r="2411" spans="1:7" ht="15.75" hidden="1" thickBot="1" x14ac:dyDescent="0.3">
      <c r="A2411" s="43" t="s">
        <v>5367</v>
      </c>
      <c r="B2411" s="81" t="s">
        <v>5352</v>
      </c>
      <c r="C2411" s="14" t="s">
        <v>37</v>
      </c>
      <c r="D2411" s="14"/>
      <c r="E2411" s="15"/>
      <c r="F2411" s="16">
        <f>+D2411*E2411</f>
        <v>0</v>
      </c>
      <c r="G2411">
        <f t="shared" si="150"/>
        <v>0</v>
      </c>
    </row>
    <row r="2412" spans="1:7" ht="15.75" hidden="1" thickBot="1" x14ac:dyDescent="0.3">
      <c r="A2412" s="43" t="s">
        <v>5368</v>
      </c>
      <c r="B2412" s="81" t="s">
        <v>5353</v>
      </c>
      <c r="C2412" s="14" t="s">
        <v>37</v>
      </c>
      <c r="D2412" s="14"/>
      <c r="E2412" s="15"/>
      <c r="F2412" s="16">
        <f>+D2412*E2412</f>
        <v>0</v>
      </c>
      <c r="G2412">
        <f t="shared" si="150"/>
        <v>0</v>
      </c>
    </row>
    <row r="2413" spans="1:7" ht="15.75" hidden="1" thickBot="1" x14ac:dyDescent="0.3">
      <c r="A2413" s="306" t="s">
        <v>5387</v>
      </c>
      <c r="B2413" s="307" t="s">
        <v>4723</v>
      </c>
      <c r="C2413" s="308"/>
      <c r="D2413" s="14"/>
      <c r="E2413" s="15"/>
      <c r="F2413" s="16"/>
      <c r="G2413">
        <f t="shared" si="150"/>
        <v>0</v>
      </c>
    </row>
    <row r="2414" spans="1:7" ht="15.75" hidden="1" thickBot="1" x14ac:dyDescent="0.3">
      <c r="A2414" s="313" t="s">
        <v>5389</v>
      </c>
      <c r="B2414" s="123" t="s">
        <v>4725</v>
      </c>
      <c r="C2414" s="308" t="s">
        <v>37</v>
      </c>
      <c r="D2414" s="14"/>
      <c r="E2414" s="15"/>
      <c r="F2414" s="16"/>
      <c r="G2414">
        <f t="shared" si="150"/>
        <v>0</v>
      </c>
    </row>
    <row r="2415" spans="1:7" ht="15.75" hidden="1" thickBot="1" x14ac:dyDescent="0.3">
      <c r="A2415" s="313" t="s">
        <v>5717</v>
      </c>
      <c r="B2415" s="123" t="s">
        <v>4724</v>
      </c>
      <c r="C2415" s="308" t="s">
        <v>37</v>
      </c>
      <c r="D2415" s="14"/>
      <c r="E2415" s="15"/>
      <c r="F2415" s="16"/>
      <c r="G2415">
        <f t="shared" si="150"/>
        <v>0</v>
      </c>
    </row>
    <row r="2416" spans="1:7" ht="15.75" hidden="1" thickBot="1" x14ac:dyDescent="0.3">
      <c r="A2416" s="313" t="s">
        <v>5718</v>
      </c>
      <c r="B2416" s="123" t="s">
        <v>4726</v>
      </c>
      <c r="C2416" s="308" t="s">
        <v>37</v>
      </c>
      <c r="D2416" s="14"/>
      <c r="E2416" s="15"/>
      <c r="F2416" s="16"/>
      <c r="G2416">
        <f t="shared" si="150"/>
        <v>0</v>
      </c>
    </row>
    <row r="2417" spans="1:7" ht="15.75" hidden="1" thickBot="1" x14ac:dyDescent="0.3">
      <c r="A2417" s="313" t="s">
        <v>5719</v>
      </c>
      <c r="B2417" s="123" t="s">
        <v>4727</v>
      </c>
      <c r="C2417" s="308" t="s">
        <v>37</v>
      </c>
      <c r="D2417" s="14"/>
      <c r="E2417" s="15"/>
      <c r="F2417" s="16"/>
      <c r="G2417">
        <f t="shared" si="150"/>
        <v>0</v>
      </c>
    </row>
    <row r="2418" spans="1:7" ht="15.75" hidden="1" thickBot="1" x14ac:dyDescent="0.3">
      <c r="A2418" s="313" t="s">
        <v>5720</v>
      </c>
      <c r="B2418" s="123" t="s">
        <v>4728</v>
      </c>
      <c r="C2418" s="308" t="s">
        <v>37</v>
      </c>
      <c r="D2418" s="14"/>
      <c r="E2418" s="15"/>
      <c r="F2418" s="16"/>
      <c r="G2418">
        <f t="shared" si="150"/>
        <v>0</v>
      </c>
    </row>
    <row r="2419" spans="1:7" ht="15.75" hidden="1" thickBot="1" x14ac:dyDescent="0.3">
      <c r="A2419" s="313" t="s">
        <v>5721</v>
      </c>
      <c r="B2419" s="123" t="s">
        <v>4729</v>
      </c>
      <c r="C2419" s="308" t="s">
        <v>37</v>
      </c>
      <c r="D2419" s="14"/>
      <c r="E2419" s="15"/>
      <c r="F2419" s="16"/>
      <c r="G2419">
        <f t="shared" si="150"/>
        <v>0</v>
      </c>
    </row>
    <row r="2420" spans="1:7" ht="15.75" hidden="1" thickBot="1" x14ac:dyDescent="0.3">
      <c r="A2420" s="313" t="s">
        <v>5722</v>
      </c>
      <c r="B2420" s="123" t="s">
        <v>4730</v>
      </c>
      <c r="C2420" s="308" t="s">
        <v>37</v>
      </c>
      <c r="D2420" s="14"/>
      <c r="E2420" s="15"/>
      <c r="F2420" s="16"/>
      <c r="G2420">
        <f t="shared" si="150"/>
        <v>0</v>
      </c>
    </row>
    <row r="2421" spans="1:7" ht="15.75" hidden="1" thickBot="1" x14ac:dyDescent="0.3">
      <c r="A2421" s="44" t="s">
        <v>5723</v>
      </c>
      <c r="B2421" s="80" t="s">
        <v>5388</v>
      </c>
      <c r="C2421" s="14"/>
      <c r="D2421" s="14"/>
      <c r="E2421" s="15"/>
      <c r="F2421" s="16"/>
      <c r="G2421">
        <f t="shared" si="150"/>
        <v>0</v>
      </c>
    </row>
    <row r="2422" spans="1:7" ht="15.75" hidden="1" thickBot="1" x14ac:dyDescent="0.3">
      <c r="A2422" s="43" t="s">
        <v>5724</v>
      </c>
      <c r="B2422" s="81" t="s">
        <v>6379</v>
      </c>
      <c r="C2422" s="14" t="s">
        <v>37</v>
      </c>
      <c r="D2422" s="14"/>
      <c r="E2422" s="15">
        <f>+SUM!H2419</f>
        <v>913859</v>
      </c>
      <c r="F2422" s="16">
        <f t="shared" ref="F2422:F2427" si="151">+D2422*E2422</f>
        <v>0</v>
      </c>
      <c r="G2422">
        <f t="shared" si="150"/>
        <v>0</v>
      </c>
    </row>
    <row r="2423" spans="1:7" ht="15.75" hidden="1" thickBot="1" x14ac:dyDescent="0.3">
      <c r="A2423" s="43" t="s">
        <v>6417</v>
      </c>
      <c r="B2423" s="81" t="s">
        <v>6416</v>
      </c>
      <c r="C2423" s="14" t="s">
        <v>37</v>
      </c>
      <c r="D2423" s="14">
        <v>900</v>
      </c>
      <c r="E2423" s="15"/>
      <c r="F2423" s="16">
        <f t="shared" si="151"/>
        <v>0</v>
      </c>
      <c r="G2423">
        <f t="shared" si="150"/>
        <v>0</v>
      </c>
    </row>
    <row r="2424" spans="1:7" ht="15.75" hidden="1" thickBot="1" x14ac:dyDescent="0.3">
      <c r="A2424" s="43" t="s">
        <v>6418</v>
      </c>
      <c r="B2424" s="81" t="s">
        <v>6416</v>
      </c>
      <c r="C2424" s="14" t="s">
        <v>37</v>
      </c>
      <c r="D2424" s="14">
        <v>912</v>
      </c>
      <c r="E2424" s="15"/>
      <c r="F2424" s="16">
        <f t="shared" si="151"/>
        <v>0</v>
      </c>
      <c r="G2424">
        <f t="shared" si="150"/>
        <v>0</v>
      </c>
    </row>
    <row r="2425" spans="1:7" ht="15.75" hidden="1" thickBot="1" x14ac:dyDescent="0.3">
      <c r="A2425" s="43" t="s">
        <v>5727</v>
      </c>
      <c r="B2425" s="81" t="s">
        <v>5392</v>
      </c>
      <c r="C2425" s="14" t="s">
        <v>37</v>
      </c>
      <c r="D2425" s="14"/>
      <c r="E2425" s="15"/>
      <c r="F2425" s="16">
        <f t="shared" si="151"/>
        <v>0</v>
      </c>
      <c r="G2425">
        <f t="shared" si="150"/>
        <v>0</v>
      </c>
    </row>
    <row r="2426" spans="1:7" ht="15.75" hidden="1" thickBot="1" x14ac:dyDescent="0.3">
      <c r="A2426" s="43" t="s">
        <v>5728</v>
      </c>
      <c r="B2426" s="81" t="s">
        <v>5393</v>
      </c>
      <c r="C2426" s="14" t="s">
        <v>37</v>
      </c>
      <c r="D2426" s="14"/>
      <c r="E2426" s="15"/>
      <c r="F2426" s="16">
        <f t="shared" si="151"/>
        <v>0</v>
      </c>
      <c r="G2426">
        <f t="shared" si="150"/>
        <v>0</v>
      </c>
    </row>
    <row r="2427" spans="1:7" ht="15.75" hidden="1" thickBot="1" x14ac:dyDescent="0.3">
      <c r="A2427" s="43" t="s">
        <v>5729</v>
      </c>
      <c r="B2427" s="81" t="s">
        <v>5394</v>
      </c>
      <c r="C2427" s="14" t="s">
        <v>37</v>
      </c>
      <c r="D2427" s="14"/>
      <c r="E2427" s="15"/>
      <c r="F2427" s="16">
        <f t="shared" si="151"/>
        <v>0</v>
      </c>
      <c r="G2427">
        <f t="shared" si="150"/>
        <v>0</v>
      </c>
    </row>
    <row r="2428" spans="1:7" ht="15.75" hidden="1" thickBot="1" x14ac:dyDescent="0.3">
      <c r="G2428">
        <f t="shared" si="150"/>
        <v>0</v>
      </c>
    </row>
    <row r="2429" spans="1:7" ht="15.75" thickBot="1" x14ac:dyDescent="0.3">
      <c r="B2429" s="2458" t="s">
        <v>5396</v>
      </c>
      <c r="C2429" s="2458"/>
      <c r="D2429" s="2458"/>
      <c r="E2429" s="2459"/>
      <c r="F2429" s="34">
        <f>SUM(F9:F2427)</f>
        <v>232287739</v>
      </c>
      <c r="G2429">
        <f>+IF(F2429&lt;&gt;0,1,0)</f>
        <v>1</v>
      </c>
    </row>
    <row r="2432" spans="1:7" ht="18.75" x14ac:dyDescent="0.25">
      <c r="A2432" s="2462" t="s">
        <v>0</v>
      </c>
      <c r="B2432" s="2462"/>
      <c r="C2432" s="2462"/>
      <c r="D2432" s="2462"/>
      <c r="E2432" s="2462"/>
      <c r="F2432" s="2462"/>
      <c r="G2432" s="1"/>
    </row>
    <row r="2433" spans="1:7" ht="18.75" x14ac:dyDescent="0.25">
      <c r="A2433" s="2463" t="s">
        <v>6313</v>
      </c>
      <c r="B2433" s="2463"/>
      <c r="C2433" s="2463"/>
      <c r="D2433" s="2463"/>
      <c r="E2433" s="2463"/>
      <c r="F2433" s="2463"/>
      <c r="G2433" s="1"/>
    </row>
    <row r="2434" spans="1:7" ht="15.75" x14ac:dyDescent="0.25">
      <c r="A2434" s="2464"/>
      <c r="B2434" s="2464"/>
      <c r="C2434" s="2464"/>
      <c r="D2434" s="2464"/>
      <c r="E2434" s="2464"/>
      <c r="F2434" s="2464"/>
      <c r="G2434" s="1"/>
    </row>
    <row r="2435" spans="1:7" ht="15.75" x14ac:dyDescent="0.25">
      <c r="A2435" s="2278" t="s">
        <v>6612</v>
      </c>
      <c r="B2435" s="2278"/>
      <c r="C2435" s="2278"/>
      <c r="D2435" s="2278"/>
      <c r="E2435" s="2278"/>
      <c r="F2435" s="2278"/>
      <c r="G2435" s="1"/>
    </row>
    <row r="2436" spans="1:7" ht="15.75" x14ac:dyDescent="0.25">
      <c r="A2436" s="2278" t="s">
        <v>5398</v>
      </c>
      <c r="B2436" s="2278"/>
      <c r="C2436" s="2278"/>
      <c r="D2436" s="2278"/>
      <c r="E2436" s="2278"/>
      <c r="F2436" s="2278"/>
    </row>
    <row r="2437" spans="1:7" ht="16.5" thickBot="1" x14ac:dyDescent="0.3">
      <c r="A2437" s="622"/>
      <c r="B2437" s="622"/>
      <c r="C2437" s="622"/>
      <c r="D2437" s="622"/>
      <c r="E2437" s="622"/>
      <c r="F2437" s="622"/>
    </row>
    <row r="2438" spans="1:7" ht="15.75" thickBot="1" x14ac:dyDescent="0.3">
      <c r="A2438" s="4" t="s">
        <v>3</v>
      </c>
      <c r="B2438" s="5" t="s">
        <v>4</v>
      </c>
      <c r="C2438" s="5" t="s">
        <v>5</v>
      </c>
      <c r="D2438" s="5" t="s">
        <v>6</v>
      </c>
      <c r="E2438" s="6" t="s">
        <v>7</v>
      </c>
      <c r="F2438" s="7" t="s">
        <v>8</v>
      </c>
      <c r="G2438" s="8"/>
    </row>
    <row r="2439" spans="1:7" x14ac:dyDescent="0.25">
      <c r="A2439" s="458">
        <v>10</v>
      </c>
      <c r="B2439" s="459" t="s">
        <v>6450</v>
      </c>
      <c r="C2439" s="63"/>
      <c r="D2439" s="63"/>
      <c r="E2439" s="460"/>
      <c r="F2439" s="461"/>
      <c r="G2439" s="8">
        <v>1</v>
      </c>
    </row>
    <row r="2440" spans="1:7" x14ac:dyDescent="0.25">
      <c r="A2440" s="12" t="s">
        <v>6455</v>
      </c>
      <c r="B2440" s="13" t="s">
        <v>6451</v>
      </c>
      <c r="C2440" s="14"/>
      <c r="D2440" s="14"/>
      <c r="E2440" s="15"/>
      <c r="F2440" s="16"/>
      <c r="G2440" s="8">
        <v>1</v>
      </c>
    </row>
    <row r="2441" spans="1:7" x14ac:dyDescent="0.25">
      <c r="A2441" s="17" t="s">
        <v>6456</v>
      </c>
      <c r="B2441" s="18" t="s">
        <v>6452</v>
      </c>
      <c r="C2441" s="14" t="s">
        <v>37</v>
      </c>
      <c r="D2441" s="14">
        <v>14</v>
      </c>
      <c r="E2441" s="15">
        <f>+'APU ESTRUCTURAS'!AF46-'APU ESTRUCTURAS'!AF24</f>
        <v>12617248.9039125</v>
      </c>
      <c r="F2441" s="16">
        <v>143865611.48216248</v>
      </c>
      <c r="G2441" s="8">
        <v>1</v>
      </c>
    </row>
    <row r="2442" spans="1:7" x14ac:dyDescent="0.25">
      <c r="A2442" s="12" t="s">
        <v>6459</v>
      </c>
      <c r="B2442" s="13" t="s">
        <v>6461</v>
      </c>
      <c r="C2442" s="14"/>
      <c r="D2442" s="14"/>
      <c r="E2442" s="15"/>
      <c r="F2442" s="16"/>
      <c r="G2442" s="8">
        <v>1</v>
      </c>
    </row>
    <row r="2443" spans="1:7" x14ac:dyDescent="0.25">
      <c r="A2443" s="17" t="s">
        <v>6460</v>
      </c>
      <c r="B2443" s="18" t="s">
        <v>6613</v>
      </c>
      <c r="C2443" s="14" t="s">
        <v>37</v>
      </c>
      <c r="D2443" s="14">
        <v>6</v>
      </c>
      <c r="E2443" s="15">
        <f>+'APU ESTRUCTURAS'!AN149-'APU ESTRUCTURAS'!AN124</f>
        <v>82673954.096650004</v>
      </c>
      <c r="F2443" s="16">
        <v>229594892.38659999</v>
      </c>
      <c r="G2443" s="8">
        <v>1</v>
      </c>
    </row>
    <row r="2444" spans="1:7" x14ac:dyDescent="0.25">
      <c r="A2444" s="12" t="s">
        <v>6470</v>
      </c>
      <c r="B2444" s="13" t="s">
        <v>6466</v>
      </c>
      <c r="C2444" s="14"/>
      <c r="D2444" s="14"/>
      <c r="E2444" s="15"/>
      <c r="F2444" s="16"/>
      <c r="G2444" s="8">
        <v>1</v>
      </c>
    </row>
    <row r="2445" spans="1:7" x14ac:dyDescent="0.25">
      <c r="A2445" s="17" t="s">
        <v>6471</v>
      </c>
      <c r="B2445" s="18" t="s">
        <v>6613</v>
      </c>
      <c r="C2445" s="14" t="s">
        <v>37</v>
      </c>
      <c r="D2445" s="14">
        <v>1</v>
      </c>
      <c r="E2445" s="15">
        <f>+'APU ESTRUCTURAS'!AF199-'APU ESTRUCTURAS'!AF176</f>
        <v>24194957.396650001</v>
      </c>
      <c r="F2445" s="16">
        <v>15953883.39665</v>
      </c>
      <c r="G2445" s="8">
        <v>1</v>
      </c>
    </row>
    <row r="2446" spans="1:7" x14ac:dyDescent="0.25">
      <c r="A2446" s="12" t="s">
        <v>6475</v>
      </c>
      <c r="B2446" s="13" t="s">
        <v>6474</v>
      </c>
      <c r="C2446" s="14"/>
      <c r="D2446" s="14"/>
      <c r="E2446" s="15"/>
      <c r="F2446" s="16"/>
      <c r="G2446" s="8">
        <v>1</v>
      </c>
    </row>
    <row r="2447" spans="1:7" x14ac:dyDescent="0.25">
      <c r="A2447" s="17" t="s">
        <v>6476</v>
      </c>
      <c r="B2447" s="18" t="s">
        <v>6452</v>
      </c>
      <c r="C2447" s="14" t="s">
        <v>37</v>
      </c>
      <c r="D2447" s="14">
        <v>1</v>
      </c>
      <c r="E2447" s="15">
        <f>+'APU ESTRUCTURAS'!AF252-'APU ESTRUCTURAS'!AF226</f>
        <v>14152588.611971876</v>
      </c>
      <c r="F2447" s="16">
        <v>27753933.223943751</v>
      </c>
      <c r="G2447" s="8">
        <v>1</v>
      </c>
    </row>
    <row r="2448" spans="1:7" x14ac:dyDescent="0.25">
      <c r="A2448" s="17" t="s">
        <v>6479</v>
      </c>
      <c r="B2448" s="13" t="s">
        <v>6481</v>
      </c>
      <c r="C2448" s="14"/>
      <c r="D2448" s="14"/>
      <c r="E2448" s="15"/>
      <c r="F2448" s="16"/>
      <c r="G2448" s="8">
        <v>1</v>
      </c>
    </row>
    <row r="2449" spans="1:7" x14ac:dyDescent="0.25">
      <c r="A2449" s="17" t="s">
        <v>6480</v>
      </c>
      <c r="B2449" s="18" t="s">
        <v>6452</v>
      </c>
      <c r="C2449" s="14" t="s">
        <v>37</v>
      </c>
      <c r="D2449" s="14">
        <v>7</v>
      </c>
      <c r="E2449" s="15">
        <f>+'APU ESTRUCTURAS'!AF304-'APU ESTRUCTURAS'!AF279</f>
        <v>9471358.8012999985</v>
      </c>
      <c r="F2449" s="16">
        <v>67418307.609099984</v>
      </c>
      <c r="G2449" s="8">
        <v>1</v>
      </c>
    </row>
    <row r="2450" spans="1:7" x14ac:dyDescent="0.25">
      <c r="A2450" s="12" t="s">
        <v>6485</v>
      </c>
      <c r="B2450" s="13" t="s">
        <v>6484</v>
      </c>
      <c r="C2450" s="14"/>
      <c r="D2450" s="14"/>
      <c r="E2450" s="15"/>
      <c r="F2450" s="16"/>
      <c r="G2450" s="8">
        <v>1</v>
      </c>
    </row>
    <row r="2451" spans="1:7" x14ac:dyDescent="0.25">
      <c r="A2451" s="17" t="s">
        <v>6486</v>
      </c>
      <c r="B2451" s="18" t="s">
        <v>6613</v>
      </c>
      <c r="C2451" s="14" t="s">
        <v>37</v>
      </c>
      <c r="D2451" s="14">
        <v>1</v>
      </c>
      <c r="E2451" s="15">
        <f>+'APU ESTRUCTURAS'!AN356-'APU ESTRUCTURAS'!AN331</f>
        <v>45349263.879500002</v>
      </c>
      <c r="F2451" s="16">
        <v>74688019.517999992</v>
      </c>
      <c r="G2451" s="8">
        <v>1</v>
      </c>
    </row>
    <row r="2452" spans="1:7" x14ac:dyDescent="0.25">
      <c r="A2452" s="12" t="s">
        <v>6490</v>
      </c>
      <c r="B2452" s="13" t="s">
        <v>6491</v>
      </c>
      <c r="C2452" s="14"/>
      <c r="D2452" s="14"/>
      <c r="E2452" s="15"/>
      <c r="F2452" s="16"/>
      <c r="G2452" s="8">
        <v>1</v>
      </c>
    </row>
    <row r="2453" spans="1:7" x14ac:dyDescent="0.25">
      <c r="A2453" s="17" t="s">
        <v>6493</v>
      </c>
      <c r="B2453" s="18" t="s">
        <v>6492</v>
      </c>
      <c r="C2453" s="14" t="s">
        <v>37</v>
      </c>
      <c r="D2453" s="14">
        <v>8</v>
      </c>
      <c r="E2453" s="15">
        <f>+'APU ESTRUCTURAS'!H400-'APU ESTRUCTURAS'!H383</f>
        <v>493370.60738750035</v>
      </c>
      <c r="F2453" s="16">
        <v>10763115.184687508</v>
      </c>
      <c r="G2453" s="8">
        <v>1</v>
      </c>
    </row>
    <row r="2454" spans="1:7" ht="15.75" thickBot="1" x14ac:dyDescent="0.3">
      <c r="A2454" s="2456" t="s">
        <v>844</v>
      </c>
      <c r="B2454" s="2457"/>
      <c r="C2454" s="2457"/>
      <c r="D2454" s="2457"/>
      <c r="E2454" s="2457"/>
      <c r="F2454" s="322">
        <f>SUBTOTAL(9,F2441:F2453)</f>
        <v>570037762.80114377</v>
      </c>
      <c r="G2454" s="8">
        <v>1</v>
      </c>
    </row>
    <row r="2455" spans="1:7" ht="15.75" thickBot="1" x14ac:dyDescent="0.3">
      <c r="A2455" s="33"/>
      <c r="B2455" s="2458" t="s">
        <v>5415</v>
      </c>
      <c r="C2455" s="2458"/>
      <c r="D2455" s="2458"/>
      <c r="E2455" s="2459"/>
      <c r="F2455" s="34">
        <f>+F2454</f>
        <v>570037762.80114377</v>
      </c>
      <c r="G2455" s="8">
        <v>1</v>
      </c>
    </row>
  </sheetData>
  <autoFilter ref="A7:G2429">
    <filterColumn colId="6">
      <filters>
        <filter val="1"/>
      </filters>
    </filterColumn>
  </autoFilter>
  <mergeCells count="12">
    <mergeCell ref="B2455:E2455"/>
    <mergeCell ref="A1:F1"/>
    <mergeCell ref="A2:F2"/>
    <mergeCell ref="A4:F4"/>
    <mergeCell ref="A5:F5"/>
    <mergeCell ref="B2429:E2429"/>
    <mergeCell ref="A2432:F2432"/>
    <mergeCell ref="A2433:F2433"/>
    <mergeCell ref="A2434:F2434"/>
    <mergeCell ref="A2435:F2435"/>
    <mergeCell ref="A2436:F2436"/>
    <mergeCell ref="A2454:E2454"/>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89"/>
  <sheetViews>
    <sheetView topLeftCell="A351" workbookViewId="0">
      <selection activeCell="B210" sqref="B210"/>
    </sheetView>
  </sheetViews>
  <sheetFormatPr baseColWidth="10" defaultColWidth="11.42578125" defaultRowHeight="11.25" x14ac:dyDescent="0.2"/>
  <cols>
    <col min="1" max="1" width="5" style="699" customWidth="1"/>
    <col min="2" max="2" width="14" style="699" customWidth="1"/>
    <col min="3" max="3" width="20.85546875" style="699" customWidth="1"/>
    <col min="4" max="4" width="17.85546875" style="699" customWidth="1"/>
    <col min="5" max="5" width="11.42578125" style="699"/>
    <col min="6" max="6" width="14.85546875" style="699" customWidth="1"/>
    <col min="7" max="7" width="15.7109375" style="699" customWidth="1"/>
    <col min="8" max="8" width="11.5703125" style="699" bestFit="1" customWidth="1"/>
    <col min="9" max="9" width="11.7109375" style="699" bestFit="1" customWidth="1"/>
    <col min="10" max="10" width="12.28515625" style="699" bestFit="1" customWidth="1"/>
    <col min="11" max="11" width="15.140625" style="699" bestFit="1" customWidth="1"/>
    <col min="12" max="13" width="11.42578125" style="699"/>
    <col min="14" max="14" width="124.42578125" style="699" customWidth="1"/>
    <col min="15" max="16384" width="11.42578125" style="699"/>
  </cols>
  <sheetData>
    <row r="1" spans="1:10" ht="37.5" customHeight="1" x14ac:dyDescent="0.2">
      <c r="A1" s="2471" t="s">
        <v>6701</v>
      </c>
      <c r="B1" s="2471"/>
      <c r="C1" s="2471"/>
      <c r="D1" s="2471"/>
      <c r="E1" s="2471"/>
      <c r="F1" s="2471"/>
      <c r="G1" s="2471"/>
      <c r="H1" s="2471"/>
      <c r="I1" s="2471"/>
      <c r="J1" s="2471"/>
    </row>
    <row r="3" spans="1:10" ht="11.25" customHeight="1" x14ac:dyDescent="0.2">
      <c r="A3" s="2471" t="s">
        <v>7208</v>
      </c>
      <c r="B3" s="2471"/>
      <c r="C3" s="2471"/>
      <c r="D3" s="2471"/>
      <c r="E3" s="2471"/>
      <c r="F3" s="2471"/>
      <c r="G3" s="2471"/>
      <c r="H3" s="2471"/>
    </row>
    <row r="4" spans="1:10" ht="11.25" customHeight="1" x14ac:dyDescent="0.2">
      <c r="A4" s="825"/>
      <c r="B4" s="2475" t="s">
        <v>7210</v>
      </c>
      <c r="C4" s="2491"/>
      <c r="D4" s="2491"/>
      <c r="E4" s="2476"/>
      <c r="F4" s="825"/>
      <c r="G4" s="825"/>
      <c r="H4" s="825"/>
    </row>
    <row r="5" spans="1:10" x14ac:dyDescent="0.2">
      <c r="B5" s="700" t="s">
        <v>6703</v>
      </c>
      <c r="C5" s="822" t="s">
        <v>7209</v>
      </c>
      <c r="D5" s="2471" t="s">
        <v>4</v>
      </c>
      <c r="E5" s="2471"/>
      <c r="F5" s="707"/>
    </row>
    <row r="6" spans="1:10" x14ac:dyDescent="0.2">
      <c r="B6" s="709">
        <f>+B42</f>
        <v>10.098000000000001</v>
      </c>
      <c r="C6" s="824">
        <f>+B6</f>
        <v>10.098000000000001</v>
      </c>
      <c r="D6" s="2495" t="str">
        <f>+G42</f>
        <v>Tuberia HD Φ400mm</v>
      </c>
      <c r="E6" s="2495"/>
      <c r="F6" s="707"/>
    </row>
    <row r="7" spans="1:10" x14ac:dyDescent="0.2">
      <c r="B7" s="709">
        <f>+B43</f>
        <v>19.573</v>
      </c>
      <c r="C7" s="824">
        <f>+B7</f>
        <v>19.573</v>
      </c>
      <c r="D7" s="2495" t="str">
        <f>+G43</f>
        <v>Tuberia HD Φ250mm</v>
      </c>
      <c r="E7" s="2495"/>
      <c r="F7" s="707"/>
    </row>
    <row r="8" spans="1:10" ht="13.5" customHeight="1" x14ac:dyDescent="0.2">
      <c r="B8" s="709">
        <f>+B44</f>
        <v>23.071000000000002</v>
      </c>
      <c r="C8" s="824">
        <f>+B8</f>
        <v>23.071000000000002</v>
      </c>
      <c r="D8" s="2495" t="str">
        <f>+G44</f>
        <v>Tuberia PVC Φ200mm desague</v>
      </c>
      <c r="E8" s="2495"/>
      <c r="F8" s="707"/>
    </row>
    <row r="9" spans="1:10" ht="12" customHeight="1" x14ac:dyDescent="0.2">
      <c r="B9" s="821" t="s">
        <v>6706</v>
      </c>
      <c r="C9" s="824">
        <f>ROUND(SUM(C6:C8),2)</f>
        <v>52.74</v>
      </c>
      <c r="D9" s="705"/>
      <c r="E9" s="705"/>
      <c r="F9" s="707"/>
    </row>
    <row r="11" spans="1:10" ht="11.25" customHeight="1" x14ac:dyDescent="0.2">
      <c r="A11" s="825"/>
      <c r="B11" s="2472" t="s">
        <v>7211</v>
      </c>
      <c r="C11" s="2473"/>
      <c r="D11" s="2473"/>
      <c r="E11" s="2474"/>
      <c r="F11" s="825"/>
      <c r="G11" s="825"/>
      <c r="H11" s="825"/>
    </row>
    <row r="12" spans="1:10" x14ac:dyDescent="0.2">
      <c r="B12" s="700" t="s">
        <v>6703</v>
      </c>
      <c r="C12" s="700" t="s">
        <v>6704</v>
      </c>
      <c r="D12" s="700" t="s">
        <v>6</v>
      </c>
      <c r="E12" s="700" t="s">
        <v>6706</v>
      </c>
      <c r="F12" s="2471" t="s">
        <v>4</v>
      </c>
      <c r="G12" s="2471"/>
    </row>
    <row r="13" spans="1:10" x14ac:dyDescent="0.2">
      <c r="B13" s="823">
        <f>+B40</f>
        <v>5.6</v>
      </c>
      <c r="C13" s="823">
        <f>+C40</f>
        <v>3</v>
      </c>
      <c r="D13" s="823">
        <f>+E40</f>
        <v>2</v>
      </c>
      <c r="E13" s="824">
        <f>D13*B13*C13</f>
        <v>33.599999999999994</v>
      </c>
      <c r="F13" s="827"/>
      <c r="G13" s="828"/>
    </row>
    <row r="14" spans="1:10" ht="13.5" customHeight="1" x14ac:dyDescent="0.2">
      <c r="B14" s="823"/>
      <c r="C14" s="823"/>
      <c r="D14" s="823"/>
      <c r="E14" s="824">
        <f>D14*B14*C14</f>
        <v>0</v>
      </c>
      <c r="F14" s="827"/>
      <c r="G14" s="828"/>
    </row>
    <row r="15" spans="1:10" x14ac:dyDescent="0.2">
      <c r="B15" s="2471" t="s">
        <v>6706</v>
      </c>
      <c r="C15" s="2471"/>
      <c r="D15" s="2471"/>
      <c r="E15" s="824">
        <f>ROUND(SUM(E13:E14),2)</f>
        <v>33.6</v>
      </c>
    </row>
    <row r="18" spans="1:10" ht="11.25" customHeight="1" x14ac:dyDescent="0.2">
      <c r="A18" s="2471" t="s">
        <v>6702</v>
      </c>
      <c r="B18" s="2471"/>
      <c r="C18" s="2471"/>
      <c r="D18" s="2471"/>
      <c r="E18" s="2471"/>
      <c r="F18" s="2471"/>
      <c r="G18" s="2471"/>
      <c r="H18" s="2471"/>
    </row>
    <row r="19" spans="1:10" x14ac:dyDescent="0.2">
      <c r="B19" s="700" t="s">
        <v>6703</v>
      </c>
      <c r="C19" s="700" t="s">
        <v>6704</v>
      </c>
      <c r="D19" s="700" t="s">
        <v>6705</v>
      </c>
      <c r="E19" s="700" t="s">
        <v>6</v>
      </c>
      <c r="F19" s="700" t="s">
        <v>7207</v>
      </c>
      <c r="G19" s="2475" t="s">
        <v>4</v>
      </c>
      <c r="H19" s="2476"/>
    </row>
    <row r="20" spans="1:10" x14ac:dyDescent="0.2">
      <c r="B20" s="701">
        <v>2.82</v>
      </c>
      <c r="C20" s="701">
        <v>0.25</v>
      </c>
      <c r="D20" s="701">
        <v>2</v>
      </c>
      <c r="E20" s="701">
        <v>2</v>
      </c>
      <c r="F20" s="702">
        <f>+B20*C20*D20*E20</f>
        <v>2.82</v>
      </c>
      <c r="G20" s="2469" t="s">
        <v>6707</v>
      </c>
      <c r="H20" s="2470"/>
    </row>
    <row r="21" spans="1:10" x14ac:dyDescent="0.2">
      <c r="B21" s="701">
        <f>2.98+0.25*2</f>
        <v>3.48</v>
      </c>
      <c r="C21" s="701">
        <v>0.25</v>
      </c>
      <c r="D21" s="701">
        <v>2</v>
      </c>
      <c r="E21" s="701">
        <v>1</v>
      </c>
      <c r="F21" s="702">
        <f>+B21*C21*D21*E21</f>
        <v>1.74</v>
      </c>
      <c r="G21" s="2469" t="s">
        <v>6707</v>
      </c>
      <c r="H21" s="2470"/>
    </row>
    <row r="22" spans="1:10" x14ac:dyDescent="0.2">
      <c r="B22" s="701">
        <f>2.82+0.25</f>
        <v>3.07</v>
      </c>
      <c r="C22" s="701">
        <f>2.98+0.5</f>
        <v>3.48</v>
      </c>
      <c r="D22" s="701">
        <v>0.2</v>
      </c>
      <c r="E22" s="701">
        <v>1</v>
      </c>
      <c r="F22" s="702">
        <f>+B22*C22*D22*E22</f>
        <v>2.13672</v>
      </c>
      <c r="G22" s="2469" t="s">
        <v>6708</v>
      </c>
      <c r="H22" s="2470"/>
    </row>
    <row r="23" spans="1:10" x14ac:dyDescent="0.2">
      <c r="B23" s="701">
        <f>2.82+0.25</f>
        <v>3.07</v>
      </c>
      <c r="C23" s="701">
        <f>2.98+0.5</f>
        <v>3.48</v>
      </c>
      <c r="D23" s="701">
        <v>0.15</v>
      </c>
      <c r="E23" s="701">
        <v>1</v>
      </c>
      <c r="F23" s="702">
        <f>+B23*C23*D23*E23</f>
        <v>1.6025400000000001</v>
      </c>
      <c r="G23" s="2469" t="s">
        <v>6709</v>
      </c>
      <c r="H23" s="2470"/>
    </row>
    <row r="24" spans="1:10" x14ac:dyDescent="0.2">
      <c r="B24" s="703"/>
      <c r="C24" s="2472" t="s">
        <v>7206</v>
      </c>
      <c r="D24" s="2473"/>
      <c r="E24" s="2474"/>
      <c r="F24" s="702">
        <f>ROUND(SUM(F20:F23),2)</f>
        <v>8.3000000000000007</v>
      </c>
      <c r="G24" s="703"/>
      <c r="H24" s="703"/>
    </row>
    <row r="25" spans="1:10" x14ac:dyDescent="0.2">
      <c r="F25" s="704"/>
    </row>
    <row r="27" spans="1:10" ht="11.25" customHeight="1" x14ac:dyDescent="0.2">
      <c r="A27" s="2471" t="s">
        <v>6710</v>
      </c>
      <c r="B27" s="2471"/>
      <c r="C27" s="2471"/>
      <c r="D27" s="2471"/>
      <c r="E27" s="2471"/>
      <c r="F27" s="2471"/>
      <c r="G27" s="2471"/>
      <c r="H27" s="2471"/>
    </row>
    <row r="30" spans="1:10" ht="11.25" customHeight="1" x14ac:dyDescent="0.2">
      <c r="B30" s="2471" t="s">
        <v>6711</v>
      </c>
      <c r="C30" s="2471"/>
      <c r="D30" s="705"/>
      <c r="E30" s="2471" t="s">
        <v>6712</v>
      </c>
      <c r="F30" s="2471"/>
      <c r="G30" s="2471"/>
      <c r="H30" s="2471"/>
    </row>
    <row r="31" spans="1:10" x14ac:dyDescent="0.2">
      <c r="B31" s="706" t="s">
        <v>6713</v>
      </c>
      <c r="C31" s="706" t="str">
        <f>+F31</f>
        <v>LONGITUD(m)</v>
      </c>
      <c r="D31" s="842" t="s">
        <v>7942</v>
      </c>
      <c r="E31" s="706" t="s">
        <v>6713</v>
      </c>
      <c r="F31" s="706" t="s">
        <v>6714</v>
      </c>
      <c r="G31" s="706" t="s">
        <v>6715</v>
      </c>
      <c r="H31" s="706" t="s">
        <v>7193</v>
      </c>
      <c r="I31" s="699">
        <v>70</v>
      </c>
      <c r="J31" s="699" t="s">
        <v>7198</v>
      </c>
    </row>
    <row r="32" spans="1:10" x14ac:dyDescent="0.2">
      <c r="B32" s="701" t="s">
        <v>6717</v>
      </c>
      <c r="C32" s="701">
        <f>5.85</f>
        <v>5.85</v>
      </c>
      <c r="D32" s="843">
        <f>32.3/1000*C32</f>
        <v>0.18895499999999996</v>
      </c>
      <c r="E32" s="701" t="s">
        <v>6717</v>
      </c>
      <c r="F32" s="701">
        <v>5.85</v>
      </c>
      <c r="G32" s="708">
        <v>10</v>
      </c>
      <c r="H32" s="708">
        <f>+F32*G32</f>
        <v>58.5</v>
      </c>
    </row>
    <row r="33" spans="1:9" x14ac:dyDescent="0.2">
      <c r="B33" s="701" t="s">
        <v>7708</v>
      </c>
      <c r="C33" s="701">
        <f>14.88</f>
        <v>14.88</v>
      </c>
      <c r="D33" s="843">
        <f>+C33*(482/6/1000)</f>
        <v>1.19536</v>
      </c>
      <c r="E33" s="701" t="s">
        <v>7708</v>
      </c>
      <c r="F33" s="701">
        <v>14.88</v>
      </c>
      <c r="G33" s="708">
        <v>20</v>
      </c>
      <c r="H33" s="708">
        <f>+F33*G33</f>
        <v>297.60000000000002</v>
      </c>
    </row>
    <row r="34" spans="1:9" x14ac:dyDescent="0.2">
      <c r="D34" s="699">
        <f>SUM(D32:D33)</f>
        <v>1.384315</v>
      </c>
      <c r="I34" s="820"/>
    </row>
    <row r="36" spans="1:9" ht="11.25" customHeight="1" x14ac:dyDescent="0.2">
      <c r="A36" s="2471" t="s">
        <v>6718</v>
      </c>
      <c r="B36" s="2471"/>
      <c r="C36" s="2471"/>
      <c r="D36" s="2471"/>
      <c r="E36" s="2471"/>
      <c r="F36" s="2471"/>
      <c r="G36" s="2471"/>
      <c r="H36" s="2471"/>
    </row>
    <row r="38" spans="1:9" x14ac:dyDescent="0.2">
      <c r="B38" s="2475" t="s">
        <v>6719</v>
      </c>
      <c r="C38" s="2491"/>
      <c r="D38" s="2491"/>
      <c r="E38" s="2491"/>
      <c r="F38" s="2491"/>
      <c r="G38" s="2491"/>
      <c r="H38" s="2491"/>
    </row>
    <row r="39" spans="1:9" x14ac:dyDescent="0.2">
      <c r="B39" s="706" t="s">
        <v>6703</v>
      </c>
      <c r="C39" s="706" t="s">
        <v>6704</v>
      </c>
      <c r="D39" s="706" t="s">
        <v>6705</v>
      </c>
      <c r="E39" s="706" t="s">
        <v>6</v>
      </c>
      <c r="F39" s="706" t="s">
        <v>6706</v>
      </c>
      <c r="G39" s="2472" t="s">
        <v>4</v>
      </c>
      <c r="H39" s="2474"/>
    </row>
    <row r="40" spans="1:9" x14ac:dyDescent="0.2">
      <c r="B40" s="708">
        <f>5.1+0.25*2</f>
        <v>5.6</v>
      </c>
      <c r="C40" s="708">
        <f>2.5+0.25*2</f>
        <v>3</v>
      </c>
      <c r="D40" s="708">
        <v>2.2000000000000002</v>
      </c>
      <c r="E40" s="701">
        <v>2</v>
      </c>
      <c r="F40" s="709">
        <f>+B40*C40*D40*E40</f>
        <v>73.919999999999987</v>
      </c>
      <c r="G40" s="2469" t="s">
        <v>6720</v>
      </c>
      <c r="H40" s="2470"/>
    </row>
    <row r="41" spans="1:9" x14ac:dyDescent="0.2">
      <c r="B41" s="708">
        <v>0.5</v>
      </c>
      <c r="C41" s="708">
        <v>0.5</v>
      </c>
      <c r="D41" s="708">
        <v>0.5</v>
      </c>
      <c r="E41" s="701">
        <v>2</v>
      </c>
      <c r="F41" s="702">
        <f>+B41*C41*D41*E41</f>
        <v>0.25</v>
      </c>
      <c r="G41" s="2469" t="s">
        <v>6721</v>
      </c>
      <c r="H41" s="2470"/>
    </row>
    <row r="42" spans="1:9" x14ac:dyDescent="0.2">
      <c r="B42" s="710">
        <v>10.098000000000001</v>
      </c>
      <c r="C42" s="708">
        <v>0.8</v>
      </c>
      <c r="D42" s="708">
        <f>0.4+1+0.1</f>
        <v>1.5</v>
      </c>
      <c r="E42" s="701">
        <v>1</v>
      </c>
      <c r="F42" s="702">
        <f>+B42*C42*D42*E42</f>
        <v>12.117599999999999</v>
      </c>
      <c r="G42" s="2469" t="s">
        <v>6722</v>
      </c>
      <c r="H42" s="2470"/>
    </row>
    <row r="43" spans="1:9" x14ac:dyDescent="0.2">
      <c r="B43" s="710">
        <f>0.81+11.543+3.61*2</f>
        <v>19.573</v>
      </c>
      <c r="C43" s="708">
        <v>0.65</v>
      </c>
      <c r="D43" s="708">
        <f>0.25+1+0.1</f>
        <v>1.35</v>
      </c>
      <c r="E43" s="701">
        <v>1</v>
      </c>
      <c r="F43" s="702">
        <f>+B43*C43*D43*E43</f>
        <v>17.175307500000002</v>
      </c>
      <c r="G43" s="2469" t="s">
        <v>6723</v>
      </c>
      <c r="H43" s="2470"/>
    </row>
    <row r="44" spans="1:9" x14ac:dyDescent="0.2">
      <c r="B44" s="710">
        <v>23.071000000000002</v>
      </c>
      <c r="C44" s="708">
        <v>0.6</v>
      </c>
      <c r="D44" s="708">
        <f>0.2+1+0.1</f>
        <v>1.3</v>
      </c>
      <c r="E44" s="701">
        <v>2</v>
      </c>
      <c r="F44" s="702">
        <f>+B44*C44*D44*E44</f>
        <v>35.990760000000002</v>
      </c>
      <c r="G44" s="2469" t="s">
        <v>6724</v>
      </c>
      <c r="H44" s="2470"/>
    </row>
    <row r="45" spans="1:9" x14ac:dyDescent="0.2">
      <c r="C45" s="2475" t="s">
        <v>6706</v>
      </c>
      <c r="D45" s="2491"/>
      <c r="E45" s="2476"/>
      <c r="F45" s="711">
        <f>SUM(F40:F44)</f>
        <v>139.45366749999999</v>
      </c>
    </row>
    <row r="47" spans="1:9" x14ac:dyDescent="0.2">
      <c r="B47" s="2471" t="s">
        <v>6725</v>
      </c>
      <c r="C47" s="2471"/>
      <c r="D47" s="2471"/>
      <c r="E47" s="2471"/>
      <c r="F47" s="2471"/>
    </row>
    <row r="48" spans="1:9" x14ac:dyDescent="0.2">
      <c r="B48" s="706" t="s">
        <v>6703</v>
      </c>
      <c r="C48" s="706" t="s">
        <v>6704</v>
      </c>
      <c r="D48" s="706" t="s">
        <v>6705</v>
      </c>
      <c r="E48" s="706" t="s">
        <v>6</v>
      </c>
      <c r="F48" s="706" t="s">
        <v>6706</v>
      </c>
    </row>
    <row r="49" spans="2:8" x14ac:dyDescent="0.2">
      <c r="B49" s="708">
        <f>5.1+0.25*2</f>
        <v>5.6</v>
      </c>
      <c r="C49" s="708">
        <f>2.5+0.25*2</f>
        <v>3</v>
      </c>
      <c r="D49" s="708">
        <v>0.2</v>
      </c>
      <c r="E49" s="701">
        <v>2</v>
      </c>
      <c r="F49" s="702">
        <f>+B49*C49*D49*E49</f>
        <v>6.7199999999999989</v>
      </c>
    </row>
    <row r="50" spans="2:8" x14ac:dyDescent="0.2">
      <c r="C50" s="2472" t="s">
        <v>6706</v>
      </c>
      <c r="D50" s="2473"/>
      <c r="E50" s="2474"/>
      <c r="F50" s="702">
        <f>SUM(F49:F49)</f>
        <v>6.7199999999999989</v>
      </c>
    </row>
    <row r="52" spans="2:8" x14ac:dyDescent="0.2">
      <c r="B52" s="2471" t="s">
        <v>6726</v>
      </c>
      <c r="C52" s="2471"/>
      <c r="D52" s="2471"/>
      <c r="E52" s="2471"/>
      <c r="F52" s="2471"/>
    </row>
    <row r="53" spans="2:8" x14ac:dyDescent="0.2">
      <c r="B53" s="706" t="s">
        <v>6703</v>
      </c>
      <c r="C53" s="706" t="s">
        <v>6704</v>
      </c>
      <c r="D53" s="706" t="s">
        <v>6705</v>
      </c>
      <c r="E53" s="706" t="s">
        <v>6</v>
      </c>
      <c r="F53" s="706" t="s">
        <v>6706</v>
      </c>
    </row>
    <row r="54" spans="2:8" x14ac:dyDescent="0.2">
      <c r="B54" s="708">
        <f>5.1+0.25*2</f>
        <v>5.6</v>
      </c>
      <c r="C54" s="708">
        <f>2.5+0.25*2</f>
        <v>3</v>
      </c>
      <c r="D54" s="708">
        <v>0.05</v>
      </c>
      <c r="E54" s="701">
        <v>2</v>
      </c>
      <c r="F54" s="702">
        <f>+B54*C54*D54*E54</f>
        <v>1.6799999999999997</v>
      </c>
    </row>
    <row r="55" spans="2:8" x14ac:dyDescent="0.2">
      <c r="C55" s="2472" t="s">
        <v>6706</v>
      </c>
      <c r="D55" s="2473"/>
      <c r="E55" s="2474"/>
      <c r="F55" s="702">
        <f>SUM(F54:F54)</f>
        <v>1.6799999999999997</v>
      </c>
    </row>
    <row r="57" spans="2:8" ht="11.25" customHeight="1" x14ac:dyDescent="0.2">
      <c r="B57" s="2471" t="s">
        <v>6727</v>
      </c>
      <c r="C57" s="2471"/>
      <c r="D57" s="2471"/>
      <c r="E57" s="2471"/>
      <c r="F57" s="2471"/>
      <c r="G57" s="2471"/>
      <c r="H57" s="2471"/>
    </row>
    <row r="58" spans="2:8" x14ac:dyDescent="0.2">
      <c r="B58" s="706" t="s">
        <v>6703</v>
      </c>
      <c r="C58" s="706" t="s">
        <v>6704</v>
      </c>
      <c r="D58" s="706" t="s">
        <v>6705</v>
      </c>
      <c r="E58" s="706" t="s">
        <v>6</v>
      </c>
      <c r="F58" s="706" t="s">
        <v>6706</v>
      </c>
      <c r="G58" s="2472" t="s">
        <v>4</v>
      </c>
      <c r="H58" s="2474"/>
    </row>
    <row r="59" spans="2:8" x14ac:dyDescent="0.2">
      <c r="B59" s="708">
        <v>5.0999999999999996</v>
      </c>
      <c r="C59" s="708">
        <v>0.25</v>
      </c>
      <c r="D59" s="712">
        <v>1.946</v>
      </c>
      <c r="E59" s="701">
        <v>4</v>
      </c>
      <c r="F59" s="702">
        <f t="shared" ref="F59:F64" si="0">+B59*C59*D59*E59</f>
        <v>9.9245999999999999</v>
      </c>
      <c r="G59" s="2469" t="s">
        <v>6707</v>
      </c>
      <c r="H59" s="2470"/>
    </row>
    <row r="60" spans="2:8" x14ac:dyDescent="0.2">
      <c r="B60" s="710">
        <f>2.5+C59*2</f>
        <v>3</v>
      </c>
      <c r="C60" s="708">
        <v>0.25</v>
      </c>
      <c r="D60" s="712">
        <f>+D59</f>
        <v>1.946</v>
      </c>
      <c r="E60" s="701">
        <v>4</v>
      </c>
      <c r="F60" s="702">
        <f t="shared" si="0"/>
        <v>5.8380000000000001</v>
      </c>
      <c r="G60" s="2469" t="s">
        <v>6707</v>
      </c>
      <c r="H60" s="2470"/>
    </row>
    <row r="61" spans="2:8" x14ac:dyDescent="0.2">
      <c r="B61" s="708">
        <f>B59+C59*2</f>
        <v>5.6</v>
      </c>
      <c r="C61" s="708">
        <f>+B60</f>
        <v>3</v>
      </c>
      <c r="D61" s="708">
        <v>0.25</v>
      </c>
      <c r="E61" s="701">
        <v>2</v>
      </c>
      <c r="F61" s="702">
        <f t="shared" si="0"/>
        <v>8.3999999999999986</v>
      </c>
      <c r="G61" s="2469" t="s">
        <v>6708</v>
      </c>
      <c r="H61" s="2470"/>
    </row>
    <row r="62" spans="2:8" x14ac:dyDescent="0.2">
      <c r="B62" s="708">
        <f>B59+C60*2</f>
        <v>5.6</v>
      </c>
      <c r="C62" s="708">
        <f>+C61</f>
        <v>3</v>
      </c>
      <c r="D62" s="708">
        <v>0.25</v>
      </c>
      <c r="E62" s="701">
        <v>2</v>
      </c>
      <c r="F62" s="702">
        <f t="shared" si="0"/>
        <v>8.3999999999999986</v>
      </c>
      <c r="G62" s="2469" t="s">
        <v>6709</v>
      </c>
      <c r="H62" s="2470"/>
    </row>
    <row r="63" spans="2:8" x14ac:dyDescent="0.2">
      <c r="B63" s="708">
        <v>0.5</v>
      </c>
      <c r="C63" s="708">
        <v>0.25</v>
      </c>
      <c r="D63" s="708">
        <v>0.5</v>
      </c>
      <c r="E63" s="701">
        <v>4</v>
      </c>
      <c r="F63" s="702">
        <f t="shared" si="0"/>
        <v>0.25</v>
      </c>
      <c r="G63" s="2469" t="s">
        <v>6728</v>
      </c>
      <c r="H63" s="2470"/>
    </row>
    <row r="64" spans="2:8" x14ac:dyDescent="0.2">
      <c r="B64" s="708">
        <f>+B63+C63*2</f>
        <v>1</v>
      </c>
      <c r="C64" s="708">
        <v>0.25</v>
      </c>
      <c r="D64" s="708">
        <f>+D63</f>
        <v>0.5</v>
      </c>
      <c r="E64" s="701">
        <v>4</v>
      </c>
      <c r="F64" s="702">
        <f t="shared" si="0"/>
        <v>0.5</v>
      </c>
      <c r="G64" s="2469" t="s">
        <v>6728</v>
      </c>
      <c r="H64" s="2470"/>
    </row>
    <row r="65" spans="1:8" x14ac:dyDescent="0.2">
      <c r="C65" s="2475" t="s">
        <v>6706</v>
      </c>
      <c r="D65" s="2491"/>
      <c r="E65" s="2476"/>
      <c r="F65" s="702">
        <f>SUM(F59:F64)</f>
        <v>33.312599999999996</v>
      </c>
    </row>
    <row r="68" spans="1:8" ht="11.25" customHeight="1" x14ac:dyDescent="0.2">
      <c r="B68" s="2471" t="s">
        <v>6729</v>
      </c>
      <c r="C68" s="2471"/>
      <c r="D68" s="2471"/>
      <c r="E68" s="2471"/>
      <c r="F68" s="2471"/>
    </row>
    <row r="69" spans="1:8" x14ac:dyDescent="0.2">
      <c r="B69" s="706"/>
      <c r="C69" s="706"/>
      <c r="D69" s="706" t="s">
        <v>6731</v>
      </c>
      <c r="E69" s="2471" t="s">
        <v>4</v>
      </c>
      <c r="F69" s="2471"/>
    </row>
    <row r="70" spans="1:8" x14ac:dyDescent="0.2">
      <c r="B70" s="712">
        <v>1470</v>
      </c>
      <c r="C70" s="708">
        <v>2</v>
      </c>
      <c r="D70" s="712">
        <f>+B70*C70</f>
        <v>2940</v>
      </c>
      <c r="E70" s="2495"/>
      <c r="F70" s="2495"/>
    </row>
    <row r="71" spans="1:8" x14ac:dyDescent="0.2">
      <c r="B71" s="2472" t="s">
        <v>6732</v>
      </c>
      <c r="C71" s="2473"/>
      <c r="D71" s="712">
        <f>+D70</f>
        <v>2940</v>
      </c>
      <c r="E71" s="2495"/>
      <c r="F71" s="2495"/>
    </row>
    <row r="74" spans="1:8" x14ac:dyDescent="0.2">
      <c r="A74" s="2471" t="s">
        <v>6733</v>
      </c>
      <c r="B74" s="2471"/>
      <c r="C74" s="2471"/>
      <c r="D74" s="2471"/>
      <c r="E74" s="2471"/>
      <c r="F74" s="2471"/>
      <c r="G74" s="2471"/>
      <c r="H74" s="2471"/>
    </row>
    <row r="76" spans="1:8" x14ac:dyDescent="0.2">
      <c r="B76" s="706" t="s">
        <v>6734</v>
      </c>
      <c r="C76" s="2471" t="s">
        <v>6695</v>
      </c>
      <c r="D76" s="2471"/>
      <c r="E76" s="2471"/>
      <c r="F76" s="706" t="s">
        <v>6713</v>
      </c>
      <c r="G76" s="706" t="s">
        <v>6</v>
      </c>
    </row>
    <row r="77" spans="1:8" ht="38.25" customHeight="1" x14ac:dyDescent="0.2">
      <c r="B77" s="1639">
        <v>1</v>
      </c>
      <c r="C77" s="2492" t="s">
        <v>9129</v>
      </c>
      <c r="D77" s="2493"/>
      <c r="E77" s="2494"/>
      <c r="F77" s="715"/>
      <c r="G77" s="1636">
        <v>1</v>
      </c>
    </row>
    <row r="78" spans="1:8" ht="12.75" x14ac:dyDescent="0.2">
      <c r="B78" s="1639">
        <v>37</v>
      </c>
      <c r="C78" s="2492" t="s">
        <v>9161</v>
      </c>
      <c r="D78" s="2493"/>
      <c r="E78" s="2494"/>
      <c r="F78" s="715"/>
      <c r="G78" s="1636">
        <v>2</v>
      </c>
    </row>
    <row r="79" spans="1:8" ht="12.75" customHeight="1" x14ac:dyDescent="0.2">
      <c r="B79" s="1639">
        <v>2</v>
      </c>
      <c r="C79" s="2492" t="s">
        <v>9166</v>
      </c>
      <c r="D79" s="2493"/>
      <c r="E79" s="2494"/>
      <c r="F79" s="715"/>
      <c r="G79" s="1636">
        <v>2</v>
      </c>
    </row>
    <row r="80" spans="1:8" ht="12.75" customHeight="1" x14ac:dyDescent="0.2">
      <c r="B80" s="1639">
        <v>23</v>
      </c>
      <c r="C80" s="2492" t="s">
        <v>9149</v>
      </c>
      <c r="D80" s="2493"/>
      <c r="E80" s="2494"/>
      <c r="F80" s="715"/>
      <c r="G80" s="1636">
        <v>1</v>
      </c>
    </row>
    <row r="81" spans="2:7" ht="12.75" x14ac:dyDescent="0.2">
      <c r="B81" s="1639">
        <v>27</v>
      </c>
      <c r="C81" s="2492" t="s">
        <v>9153</v>
      </c>
      <c r="D81" s="2493"/>
      <c r="E81" s="2494"/>
      <c r="F81" s="715"/>
      <c r="G81" s="1636">
        <v>16</v>
      </c>
    </row>
    <row r="82" spans="2:7" ht="12.75" customHeight="1" x14ac:dyDescent="0.2">
      <c r="B82" s="1639">
        <v>29</v>
      </c>
      <c r="C82" s="2492" t="s">
        <v>9155</v>
      </c>
      <c r="D82" s="2493"/>
      <c r="E82" s="2494"/>
      <c r="F82" s="715"/>
      <c r="G82" s="1636">
        <v>4</v>
      </c>
    </row>
    <row r="83" spans="2:7" ht="12.75" customHeight="1" x14ac:dyDescent="0.2">
      <c r="B83" s="1639">
        <v>30</v>
      </c>
      <c r="C83" s="2492" t="s">
        <v>9156</v>
      </c>
      <c r="D83" s="2493"/>
      <c r="E83" s="2494"/>
      <c r="F83" s="715"/>
      <c r="G83" s="1636">
        <v>4</v>
      </c>
    </row>
    <row r="84" spans="2:7" ht="12.75" x14ac:dyDescent="0.2">
      <c r="B84" s="1639">
        <v>36</v>
      </c>
      <c r="C84" s="2492" t="s">
        <v>9128</v>
      </c>
      <c r="D84" s="2493"/>
      <c r="E84" s="2494"/>
      <c r="F84" s="715"/>
      <c r="G84" s="1636">
        <v>4</v>
      </c>
    </row>
    <row r="85" spans="2:7" ht="12.75" x14ac:dyDescent="0.2">
      <c r="B85" s="1639">
        <v>35</v>
      </c>
      <c r="C85" s="2492" t="s">
        <v>9127</v>
      </c>
      <c r="D85" s="2493"/>
      <c r="E85" s="2494"/>
      <c r="F85" s="715"/>
      <c r="G85" s="1636">
        <v>4</v>
      </c>
    </row>
    <row r="86" spans="2:7" ht="12.75" x14ac:dyDescent="0.2">
      <c r="B86" s="1639">
        <v>3</v>
      </c>
      <c r="C86" s="2492" t="s">
        <v>9130</v>
      </c>
      <c r="D86" s="2493"/>
      <c r="E86" s="2494"/>
      <c r="F86" s="715"/>
      <c r="G86" s="1636">
        <v>2</v>
      </c>
    </row>
    <row r="87" spans="2:7" ht="12.75" x14ac:dyDescent="0.2">
      <c r="B87" s="1639">
        <v>4</v>
      </c>
      <c r="C87" s="2492" t="s">
        <v>9131</v>
      </c>
      <c r="D87" s="2493"/>
      <c r="E87" s="2494"/>
      <c r="F87" s="715"/>
      <c r="G87" s="1636">
        <v>2</v>
      </c>
    </row>
    <row r="88" spans="2:7" ht="12.75" customHeight="1" x14ac:dyDescent="0.2">
      <c r="B88" s="1639">
        <v>6</v>
      </c>
      <c r="C88" s="2492" t="s">
        <v>9133</v>
      </c>
      <c r="D88" s="2493"/>
      <c r="E88" s="2494"/>
      <c r="F88" s="715"/>
      <c r="G88" s="1636">
        <v>4</v>
      </c>
    </row>
    <row r="89" spans="2:7" ht="12.75" x14ac:dyDescent="0.2">
      <c r="B89" s="1639">
        <v>20</v>
      </c>
      <c r="C89" s="2492" t="s">
        <v>9317</v>
      </c>
      <c r="D89" s="2493"/>
      <c r="E89" s="2494"/>
      <c r="F89" s="715"/>
      <c r="G89" s="1636">
        <v>16</v>
      </c>
    </row>
    <row r="90" spans="2:7" ht="12.75" x14ac:dyDescent="0.2">
      <c r="B90" s="1639">
        <v>9</v>
      </c>
      <c r="C90" s="2492" t="s">
        <v>9299</v>
      </c>
      <c r="D90" s="2493"/>
      <c r="E90" s="2494"/>
      <c r="F90" s="715"/>
      <c r="G90" s="1636">
        <v>1</v>
      </c>
    </row>
    <row r="91" spans="2:7" ht="12.75" x14ac:dyDescent="0.2">
      <c r="B91" s="1639">
        <v>8</v>
      </c>
      <c r="C91" s="2492" t="s">
        <v>9135</v>
      </c>
      <c r="D91" s="2493"/>
      <c r="E91" s="2494"/>
      <c r="F91" s="715"/>
      <c r="G91" s="1636">
        <v>1</v>
      </c>
    </row>
    <row r="92" spans="2:7" ht="12.75" x14ac:dyDescent="0.2">
      <c r="B92" s="1639">
        <v>39</v>
      </c>
      <c r="C92" s="2492" t="s">
        <v>9164</v>
      </c>
      <c r="D92" s="2493"/>
      <c r="E92" s="2494"/>
      <c r="F92" s="715"/>
      <c r="G92" s="1636">
        <v>1</v>
      </c>
    </row>
    <row r="93" spans="2:7" ht="12.75" x14ac:dyDescent="0.2">
      <c r="B93" s="1639">
        <v>11</v>
      </c>
      <c r="C93" s="2492" t="s">
        <v>9137</v>
      </c>
      <c r="D93" s="2493"/>
      <c r="E93" s="2494"/>
      <c r="F93" s="715"/>
      <c r="G93" s="1636">
        <v>1</v>
      </c>
    </row>
    <row r="94" spans="2:7" ht="12.75" x14ac:dyDescent="0.2">
      <c r="B94" s="1638">
        <v>7</v>
      </c>
      <c r="C94" s="2492" t="s">
        <v>9134</v>
      </c>
      <c r="D94" s="2493"/>
      <c r="E94" s="2494"/>
      <c r="F94" s="715"/>
      <c r="G94" s="1635">
        <v>16</v>
      </c>
    </row>
    <row r="95" spans="2:7" ht="12.75" x14ac:dyDescent="0.2">
      <c r="B95" s="1639">
        <v>12</v>
      </c>
      <c r="C95" s="2492" t="s">
        <v>9119</v>
      </c>
      <c r="D95" s="2493"/>
      <c r="E95" s="2494"/>
      <c r="F95" s="715"/>
      <c r="G95" s="1636">
        <v>1</v>
      </c>
    </row>
    <row r="96" spans="2:7" ht="12.75" x14ac:dyDescent="0.2">
      <c r="B96" s="1639">
        <v>38</v>
      </c>
      <c r="C96" s="2492" t="s">
        <v>9162</v>
      </c>
      <c r="D96" s="2493"/>
      <c r="E96" s="2494"/>
      <c r="F96" s="715"/>
      <c r="G96" s="1636">
        <v>4</v>
      </c>
    </row>
    <row r="97" spans="2:7" ht="12.75" x14ac:dyDescent="0.2">
      <c r="B97" s="1639">
        <v>10</v>
      </c>
      <c r="C97" s="2492" t="s">
        <v>9136</v>
      </c>
      <c r="D97" s="2493"/>
      <c r="E97" s="2494"/>
      <c r="F97" s="715"/>
      <c r="G97" s="1636">
        <v>6</v>
      </c>
    </row>
    <row r="98" spans="2:7" ht="12.75" x14ac:dyDescent="0.2">
      <c r="B98" s="1639">
        <v>42</v>
      </c>
      <c r="C98" s="2492" t="s">
        <v>9355</v>
      </c>
      <c r="D98" s="2493"/>
      <c r="E98" s="2494"/>
      <c r="F98" s="715"/>
      <c r="G98" s="1636">
        <v>2</v>
      </c>
    </row>
    <row r="99" spans="2:7" ht="12.75" x14ac:dyDescent="0.2">
      <c r="B99" s="1639">
        <v>31</v>
      </c>
      <c r="C99" s="2492" t="s">
        <v>9157</v>
      </c>
      <c r="D99" s="2493"/>
      <c r="E99" s="2494"/>
      <c r="F99" s="715"/>
      <c r="G99" s="1636">
        <v>1</v>
      </c>
    </row>
    <row r="100" spans="2:7" ht="12.75" x14ac:dyDescent="0.2">
      <c r="B100" s="1639">
        <v>32</v>
      </c>
      <c r="C100" s="2492" t="s">
        <v>9158</v>
      </c>
      <c r="D100" s="2493"/>
      <c r="E100" s="2494"/>
      <c r="F100" s="715"/>
      <c r="G100" s="1636">
        <v>1</v>
      </c>
    </row>
    <row r="101" spans="2:7" ht="11.25" customHeight="1" x14ac:dyDescent="0.2">
      <c r="B101" s="1639">
        <v>41</v>
      </c>
      <c r="C101" s="2492" t="s">
        <v>9115</v>
      </c>
      <c r="D101" s="2493"/>
      <c r="E101" s="2494"/>
      <c r="F101" s="715"/>
      <c r="G101" s="1636">
        <v>1</v>
      </c>
    </row>
    <row r="102" spans="2:7" ht="12.75" x14ac:dyDescent="0.2">
      <c r="B102" s="1639">
        <v>5</v>
      </c>
      <c r="C102" s="2492" t="s">
        <v>9132</v>
      </c>
      <c r="D102" s="2493"/>
      <c r="E102" s="2494"/>
      <c r="F102" s="715"/>
      <c r="G102" s="1636">
        <v>4</v>
      </c>
    </row>
    <row r="103" spans="2:7" ht="12.75" x14ac:dyDescent="0.2">
      <c r="B103" s="1639">
        <v>17</v>
      </c>
      <c r="C103" s="2492" t="s">
        <v>9253</v>
      </c>
      <c r="D103" s="2493"/>
      <c r="E103" s="2494"/>
      <c r="F103" s="715"/>
      <c r="G103" s="1636">
        <v>1</v>
      </c>
    </row>
    <row r="104" spans="2:7" ht="12.75" x14ac:dyDescent="0.2">
      <c r="B104" s="1639">
        <v>13</v>
      </c>
      <c r="C104" s="2492" t="s">
        <v>9139</v>
      </c>
      <c r="D104" s="2493"/>
      <c r="E104" s="2494"/>
      <c r="F104" s="715"/>
      <c r="G104" s="1636">
        <v>1</v>
      </c>
    </row>
    <row r="105" spans="2:7" ht="12.75" x14ac:dyDescent="0.2">
      <c r="B105" s="1639">
        <v>14</v>
      </c>
      <c r="C105" s="2492" t="s">
        <v>9140</v>
      </c>
      <c r="D105" s="2493"/>
      <c r="E105" s="2494"/>
      <c r="F105" s="715"/>
      <c r="G105" s="1636">
        <v>2</v>
      </c>
    </row>
    <row r="106" spans="2:7" ht="12.75" customHeight="1" x14ac:dyDescent="0.2">
      <c r="B106" s="1639">
        <v>15</v>
      </c>
      <c r="C106" s="2492" t="s">
        <v>9141</v>
      </c>
      <c r="D106" s="2493"/>
      <c r="E106" s="2494"/>
      <c r="F106" s="715"/>
      <c r="G106" s="1636">
        <v>1</v>
      </c>
    </row>
    <row r="107" spans="2:7" ht="12.75" x14ac:dyDescent="0.2">
      <c r="B107" s="1639">
        <v>16</v>
      </c>
      <c r="C107" s="2492" t="s">
        <v>9142</v>
      </c>
      <c r="D107" s="2493"/>
      <c r="E107" s="2494"/>
      <c r="F107" s="715"/>
      <c r="G107" s="1636">
        <v>1</v>
      </c>
    </row>
    <row r="108" spans="2:7" ht="12.75" x14ac:dyDescent="0.2">
      <c r="B108" s="1639">
        <v>18</v>
      </c>
      <c r="C108" s="2492" t="s">
        <v>9144</v>
      </c>
      <c r="D108" s="2493"/>
      <c r="E108" s="2494"/>
      <c r="F108" s="715"/>
      <c r="G108" s="1636">
        <v>1</v>
      </c>
    </row>
    <row r="109" spans="2:7" ht="12.75" x14ac:dyDescent="0.2">
      <c r="B109" s="1639">
        <v>40</v>
      </c>
      <c r="C109" s="2492" t="s">
        <v>9165</v>
      </c>
      <c r="D109" s="2493"/>
      <c r="E109" s="2494"/>
      <c r="F109" s="715"/>
      <c r="G109" s="1636">
        <v>22.2</v>
      </c>
    </row>
    <row r="110" spans="2:7" ht="12.75" x14ac:dyDescent="0.2">
      <c r="B110" s="1639">
        <v>33</v>
      </c>
      <c r="C110" s="2492" t="s">
        <v>9159</v>
      </c>
      <c r="D110" s="2493"/>
      <c r="E110" s="2494"/>
      <c r="F110" s="715"/>
      <c r="G110" s="1636">
        <v>14</v>
      </c>
    </row>
    <row r="111" spans="2:7" ht="12.75" x14ac:dyDescent="0.2">
      <c r="B111" s="1639">
        <v>34</v>
      </c>
      <c r="C111" s="2492" t="s">
        <v>9160</v>
      </c>
      <c r="D111" s="2493"/>
      <c r="E111" s="2494"/>
      <c r="F111" s="715"/>
      <c r="G111" s="1636">
        <v>16</v>
      </c>
    </row>
    <row r="112" spans="2:7" ht="12.75" x14ac:dyDescent="0.2">
      <c r="B112" s="1639">
        <v>19</v>
      </c>
      <c r="C112" s="2492" t="s">
        <v>9145</v>
      </c>
      <c r="D112" s="2493"/>
      <c r="E112" s="2494"/>
      <c r="F112" s="715"/>
      <c r="G112" s="1636">
        <v>3</v>
      </c>
    </row>
    <row r="113" spans="1:8" ht="12.75" x14ac:dyDescent="0.2">
      <c r="B113" s="1639">
        <v>21</v>
      </c>
      <c r="C113" s="2492" t="s">
        <v>9147</v>
      </c>
      <c r="D113" s="2493"/>
      <c r="E113" s="2494"/>
      <c r="F113" s="715"/>
      <c r="G113" s="1636">
        <v>4</v>
      </c>
    </row>
    <row r="114" spans="1:8" ht="12.75" x14ac:dyDescent="0.2">
      <c r="B114" s="1639">
        <v>22</v>
      </c>
      <c r="C114" s="2492" t="s">
        <v>9148</v>
      </c>
      <c r="D114" s="2493"/>
      <c r="E114" s="2494"/>
      <c r="F114" s="715"/>
      <c r="G114" s="1636">
        <v>2</v>
      </c>
    </row>
    <row r="115" spans="1:8" ht="12.75" x14ac:dyDescent="0.2">
      <c r="B115" s="1639">
        <v>25</v>
      </c>
      <c r="C115" s="2492" t="s">
        <v>9151</v>
      </c>
      <c r="D115" s="2493"/>
      <c r="E115" s="2494"/>
      <c r="F115" s="715"/>
      <c r="G115" s="1636">
        <v>4</v>
      </c>
    </row>
    <row r="116" spans="1:8" ht="12.75" x14ac:dyDescent="0.2">
      <c r="B116" s="1639">
        <v>24</v>
      </c>
      <c r="C116" s="2492" t="s">
        <v>9150</v>
      </c>
      <c r="D116" s="2493"/>
      <c r="E116" s="2494"/>
      <c r="F116" s="715"/>
      <c r="G116" s="1636">
        <v>3</v>
      </c>
    </row>
    <row r="117" spans="1:8" ht="11.25" customHeight="1" x14ac:dyDescent="0.2">
      <c r="B117" s="1639">
        <v>28</v>
      </c>
      <c r="C117" s="2492" t="s">
        <v>9154</v>
      </c>
      <c r="D117" s="2493"/>
      <c r="E117" s="2494"/>
      <c r="F117" s="715"/>
      <c r="G117" s="1636">
        <v>4</v>
      </c>
    </row>
    <row r="118" spans="1:8" ht="12.75" x14ac:dyDescent="0.2">
      <c r="B118" s="1639">
        <v>26</v>
      </c>
      <c r="C118" s="2492" t="s">
        <v>9152</v>
      </c>
      <c r="D118" s="2493"/>
      <c r="E118" s="2494"/>
      <c r="F118" s="715"/>
      <c r="G118" s="1636">
        <v>4</v>
      </c>
    </row>
    <row r="119" spans="1:8" x14ac:dyDescent="0.2">
      <c r="A119" s="2471" t="s">
        <v>6745</v>
      </c>
      <c r="B119" s="2471"/>
      <c r="C119" s="2471"/>
      <c r="D119" s="2471"/>
      <c r="E119" s="2471"/>
      <c r="F119" s="2471"/>
      <c r="G119" s="2471"/>
      <c r="H119" s="2471"/>
    </row>
    <row r="121" spans="1:8" x14ac:dyDescent="0.2">
      <c r="B121" s="706" t="s">
        <v>6734</v>
      </c>
      <c r="C121" s="2471" t="s">
        <v>6695</v>
      </c>
      <c r="D121" s="2471"/>
      <c r="E121" s="2471"/>
      <c r="F121" s="706" t="s">
        <v>6713</v>
      </c>
      <c r="G121" s="706" t="s">
        <v>6</v>
      </c>
    </row>
    <row r="122" spans="1:8" x14ac:dyDescent="0.2">
      <c r="B122" s="708">
        <v>1</v>
      </c>
      <c r="C122" s="2495" t="str">
        <f>+C81</f>
        <v>CODO 90º HD BXB 150MM PN 10 (incluye cargue, transporte y descargue)</v>
      </c>
      <c r="D122" s="2495"/>
      <c r="E122" s="2495"/>
      <c r="F122" s="708">
        <v>200</v>
      </c>
      <c r="G122" s="708">
        <v>2</v>
      </c>
    </row>
    <row r="125" spans="1:8" ht="11.25" customHeight="1" x14ac:dyDescent="0.2">
      <c r="A125" s="2472" t="s">
        <v>7384</v>
      </c>
      <c r="B125" s="2473"/>
      <c r="C125" s="2473"/>
      <c r="D125" s="2473"/>
      <c r="E125" s="2473"/>
      <c r="F125" s="2473"/>
      <c r="G125" s="2473"/>
      <c r="H125" s="2474"/>
    </row>
    <row r="127" spans="1:8" x14ac:dyDescent="0.2">
      <c r="B127" s="706" t="s">
        <v>6734</v>
      </c>
      <c r="C127" s="2471" t="s">
        <v>6695</v>
      </c>
      <c r="D127" s="2471"/>
      <c r="E127" s="2471"/>
      <c r="F127" s="706" t="s">
        <v>6713</v>
      </c>
      <c r="G127" s="706" t="s">
        <v>6</v>
      </c>
    </row>
    <row r="128" spans="1:8" x14ac:dyDescent="0.2">
      <c r="B128" s="708">
        <v>1</v>
      </c>
      <c r="C128" s="2495" t="str">
        <f>+C122</f>
        <v>CODO 90º HD BXB 150MM PN 10 (incluye cargue, transporte y descargue)</v>
      </c>
      <c r="D128" s="2495"/>
      <c r="E128" s="2495"/>
      <c r="F128" s="708">
        <v>250</v>
      </c>
      <c r="G128" s="708">
        <v>2</v>
      </c>
    </row>
    <row r="131" spans="1:8" ht="11.25" customHeight="1" x14ac:dyDescent="0.2">
      <c r="A131" s="2472" t="s">
        <v>6746</v>
      </c>
      <c r="B131" s="2473"/>
      <c r="C131" s="2473"/>
      <c r="D131" s="2473"/>
      <c r="E131" s="2473"/>
      <c r="F131" s="2473"/>
      <c r="G131" s="2473"/>
      <c r="H131" s="2474"/>
    </row>
    <row r="134" spans="1:8" x14ac:dyDescent="0.2">
      <c r="A134" s="2472" t="s">
        <v>6747</v>
      </c>
      <c r="B134" s="2473"/>
      <c r="C134" s="2473"/>
      <c r="D134" s="2473"/>
      <c r="E134" s="2473"/>
      <c r="F134" s="2473"/>
      <c r="G134" s="2473"/>
      <c r="H134" s="2474"/>
    </row>
    <row r="136" spans="1:8" x14ac:dyDescent="0.2">
      <c r="B136" s="2471" t="s">
        <v>6719</v>
      </c>
      <c r="C136" s="2471"/>
      <c r="D136" s="2471"/>
      <c r="E136" s="2471"/>
      <c r="F136" s="2471"/>
      <c r="G136" s="2471"/>
      <c r="H136" s="2471"/>
    </row>
    <row r="137" spans="1:8" x14ac:dyDescent="0.2">
      <c r="B137" s="706" t="s">
        <v>6703</v>
      </c>
      <c r="C137" s="706" t="s">
        <v>6704</v>
      </c>
      <c r="D137" s="706" t="s">
        <v>6705</v>
      </c>
      <c r="E137" s="706" t="s">
        <v>6</v>
      </c>
      <c r="F137" s="706" t="s">
        <v>6706</v>
      </c>
      <c r="G137" s="2472" t="s">
        <v>4</v>
      </c>
      <c r="H137" s="2474"/>
    </row>
    <row r="138" spans="1:8" x14ac:dyDescent="0.2">
      <c r="B138" s="708">
        <v>1.32</v>
      </c>
      <c r="C138" s="708">
        <v>0.15</v>
      </c>
      <c r="D138" s="708">
        <v>2</v>
      </c>
      <c r="E138" s="701">
        <v>2</v>
      </c>
      <c r="F138" s="702">
        <f>+B138*C138*D138*E138</f>
        <v>0.79200000000000004</v>
      </c>
      <c r="G138" s="2469" t="s">
        <v>6748</v>
      </c>
      <c r="H138" s="2470"/>
    </row>
    <row r="139" spans="1:8" x14ac:dyDescent="0.2">
      <c r="B139" s="708">
        <f>1.07+C138*2</f>
        <v>1.37</v>
      </c>
      <c r="C139" s="708">
        <v>0.15</v>
      </c>
      <c r="D139" s="708">
        <f>+D138</f>
        <v>2</v>
      </c>
      <c r="E139" s="701">
        <v>2</v>
      </c>
      <c r="F139" s="702">
        <f>+B139*C139*D139*E139</f>
        <v>0.82200000000000006</v>
      </c>
      <c r="G139" s="2469" t="s">
        <v>6748</v>
      </c>
      <c r="H139" s="2470"/>
    </row>
    <row r="140" spans="1:8" x14ac:dyDescent="0.2">
      <c r="B140" s="710">
        <f>0.85+7.217</f>
        <v>8.0670000000000002</v>
      </c>
      <c r="C140" s="708">
        <v>0.5</v>
      </c>
      <c r="D140" s="708">
        <f>0.6+0.1+0.1</f>
        <v>0.79999999999999993</v>
      </c>
      <c r="E140" s="701">
        <v>1</v>
      </c>
      <c r="F140" s="702">
        <f>+B140*C140*D140*E140</f>
        <v>3.2267999999999999</v>
      </c>
      <c r="G140" s="2469" t="s">
        <v>6749</v>
      </c>
      <c r="H140" s="2470"/>
    </row>
    <row r="141" spans="1:8" x14ac:dyDescent="0.2">
      <c r="C141" s="2475" t="s">
        <v>6706</v>
      </c>
      <c r="D141" s="2491"/>
      <c r="E141" s="2476"/>
      <c r="F141" s="711">
        <f>SUM(F138:F140)</f>
        <v>4.8407999999999998</v>
      </c>
    </row>
    <row r="143" spans="1:8" x14ac:dyDescent="0.2">
      <c r="B143" s="2471" t="s">
        <v>6725</v>
      </c>
      <c r="C143" s="2471"/>
      <c r="D143" s="2471"/>
      <c r="E143" s="2471"/>
      <c r="F143" s="2471"/>
    </row>
    <row r="144" spans="1:8" x14ac:dyDescent="0.2">
      <c r="B144" s="706" t="s">
        <v>6703</v>
      </c>
      <c r="C144" s="706" t="s">
        <v>6704</v>
      </c>
      <c r="D144" s="706" t="s">
        <v>6705</v>
      </c>
      <c r="E144" s="706" t="s">
        <v>6</v>
      </c>
      <c r="F144" s="706" t="s">
        <v>6706</v>
      </c>
    </row>
    <row r="145" spans="2:8" x14ac:dyDescent="0.2">
      <c r="B145" s="708">
        <f>+B150</f>
        <v>1.62</v>
      </c>
      <c r="C145" s="708">
        <f>1.07+C133*2</f>
        <v>1.07</v>
      </c>
      <c r="D145" s="708">
        <v>0.2</v>
      </c>
      <c r="E145" s="701">
        <v>1</v>
      </c>
      <c r="F145" s="702">
        <f>+B145*C145*D145*E145</f>
        <v>0.3466800000000001</v>
      </c>
    </row>
    <row r="146" spans="2:8" x14ac:dyDescent="0.2">
      <c r="C146" s="2472" t="s">
        <v>6706</v>
      </c>
      <c r="D146" s="2473"/>
      <c r="E146" s="2474"/>
      <c r="F146" s="702">
        <f>SUM(F145:F145)</f>
        <v>0.3466800000000001</v>
      </c>
    </row>
    <row r="148" spans="2:8" x14ac:dyDescent="0.2">
      <c r="B148" s="2471" t="s">
        <v>6726</v>
      </c>
      <c r="C148" s="2471"/>
      <c r="D148" s="2471"/>
      <c r="E148" s="2471"/>
      <c r="F148" s="2471"/>
    </row>
    <row r="149" spans="2:8" x14ac:dyDescent="0.2">
      <c r="B149" s="706" t="s">
        <v>6703</v>
      </c>
      <c r="C149" s="706" t="s">
        <v>6704</v>
      </c>
      <c r="D149" s="706" t="s">
        <v>6705</v>
      </c>
      <c r="E149" s="706" t="s">
        <v>6</v>
      </c>
      <c r="F149" s="706" t="s">
        <v>6706</v>
      </c>
    </row>
    <row r="150" spans="2:8" x14ac:dyDescent="0.2">
      <c r="B150" s="708">
        <f>+B138+C138*2</f>
        <v>1.62</v>
      </c>
      <c r="C150" s="708">
        <f>1.07+C139*2</f>
        <v>1.37</v>
      </c>
      <c r="D150" s="708">
        <v>0.05</v>
      </c>
      <c r="E150" s="701">
        <v>1</v>
      </c>
      <c r="F150" s="702">
        <f>+B150*C150*D150*E150</f>
        <v>0.11097000000000001</v>
      </c>
    </row>
    <row r="151" spans="2:8" x14ac:dyDescent="0.2">
      <c r="C151" s="2472" t="s">
        <v>6706</v>
      </c>
      <c r="D151" s="2473"/>
      <c r="E151" s="2474"/>
      <c r="F151" s="702">
        <f>SUM(F150:F150)</f>
        <v>0.11097000000000001</v>
      </c>
    </row>
    <row r="153" spans="2:8" x14ac:dyDescent="0.2">
      <c r="B153" s="2471" t="s">
        <v>6750</v>
      </c>
      <c r="C153" s="2471"/>
      <c r="D153" s="2471"/>
      <c r="E153" s="2471"/>
      <c r="F153" s="2471"/>
      <c r="G153" s="2471"/>
      <c r="H153" s="2471"/>
    </row>
    <row r="154" spans="2:8" x14ac:dyDescent="0.2">
      <c r="B154" s="706" t="s">
        <v>6703</v>
      </c>
      <c r="C154" s="706" t="s">
        <v>6704</v>
      </c>
      <c r="D154" s="706" t="s">
        <v>6705</v>
      </c>
      <c r="E154" s="706" t="s">
        <v>6</v>
      </c>
      <c r="F154" s="706" t="s">
        <v>6706</v>
      </c>
      <c r="G154" s="2472" t="s">
        <v>4</v>
      </c>
      <c r="H154" s="2474"/>
    </row>
    <row r="155" spans="2:8" x14ac:dyDescent="0.2">
      <c r="B155" s="708">
        <f>+B150</f>
        <v>1.62</v>
      </c>
      <c r="C155" s="708">
        <f>+C150</f>
        <v>1.37</v>
      </c>
      <c r="D155" s="712">
        <v>0.2</v>
      </c>
      <c r="E155" s="701">
        <v>1</v>
      </c>
      <c r="F155" s="702">
        <f>+B155*C155*D155*E155</f>
        <v>0.44388000000000005</v>
      </c>
      <c r="G155" s="2469" t="s">
        <v>6751</v>
      </c>
      <c r="H155" s="2470"/>
    </row>
    <row r="156" spans="2:8" x14ac:dyDescent="0.2">
      <c r="B156" s="708">
        <f>+B155</f>
        <v>1.62</v>
      </c>
      <c r="C156" s="708">
        <f>+C155</f>
        <v>1.37</v>
      </c>
      <c r="D156" s="708">
        <v>0.2</v>
      </c>
      <c r="E156" s="708">
        <f>+E155</f>
        <v>1</v>
      </c>
      <c r="F156" s="702">
        <f>+B156*C156*D156*E156</f>
        <v>0.44388000000000005</v>
      </c>
      <c r="G156" s="2469" t="s">
        <v>6752</v>
      </c>
      <c r="H156" s="2470"/>
    </row>
    <row r="157" spans="2:8" x14ac:dyDescent="0.2">
      <c r="C157" s="2475" t="s">
        <v>6706</v>
      </c>
      <c r="D157" s="2491"/>
      <c r="E157" s="2476"/>
      <c r="F157" s="702">
        <f>SUM(F155:F156)</f>
        <v>0.8877600000000001</v>
      </c>
    </row>
    <row r="159" spans="2:8" x14ac:dyDescent="0.2">
      <c r="B159" s="2471" t="s">
        <v>6753</v>
      </c>
      <c r="C159" s="2471"/>
      <c r="D159" s="2471"/>
      <c r="E159" s="2471"/>
      <c r="F159" s="2471"/>
    </row>
    <row r="160" spans="2:8" x14ac:dyDescent="0.2">
      <c r="B160" s="706" t="s">
        <v>6703</v>
      </c>
      <c r="C160" s="706" t="s">
        <v>6705</v>
      </c>
      <c r="D160" s="706" t="s">
        <v>6</v>
      </c>
      <c r="E160" s="706" t="s">
        <v>6706</v>
      </c>
    </row>
    <row r="161" spans="1:8" x14ac:dyDescent="0.2">
      <c r="B161" s="708">
        <f>+B138</f>
        <v>1.32</v>
      </c>
      <c r="C161" s="708">
        <f>+D138</f>
        <v>2</v>
      </c>
      <c r="D161" s="701">
        <v>2</v>
      </c>
      <c r="E161" s="702">
        <f>+B161*C161*D161</f>
        <v>5.28</v>
      </c>
    </row>
    <row r="162" spans="1:8" x14ac:dyDescent="0.2">
      <c r="B162" s="710">
        <f>+B139</f>
        <v>1.37</v>
      </c>
      <c r="C162" s="708">
        <f>+C161</f>
        <v>2</v>
      </c>
      <c r="D162" s="701">
        <v>2</v>
      </c>
      <c r="E162" s="702">
        <f>+B162*C162*D162</f>
        <v>5.48</v>
      </c>
    </row>
    <row r="163" spans="1:8" x14ac:dyDescent="0.2">
      <c r="B163" s="2471" t="s">
        <v>6706</v>
      </c>
      <c r="C163" s="2471"/>
      <c r="D163" s="2471"/>
      <c r="E163" s="711">
        <f>SUM(E161:E162)</f>
        <v>10.760000000000002</v>
      </c>
    </row>
    <row r="166" spans="1:8" x14ac:dyDescent="0.2">
      <c r="A166" s="2472" t="s">
        <v>6754</v>
      </c>
      <c r="B166" s="2473"/>
      <c r="C166" s="2473"/>
      <c r="D166" s="2473"/>
      <c r="E166" s="2473"/>
      <c r="F166" s="2473"/>
      <c r="G166" s="2473"/>
      <c r="H166" s="2474"/>
    </row>
    <row r="168" spans="1:8" x14ac:dyDescent="0.2">
      <c r="B168" s="706" t="s">
        <v>6734</v>
      </c>
      <c r="C168" s="2471" t="s">
        <v>6695</v>
      </c>
      <c r="D168" s="2471"/>
      <c r="E168" s="2471"/>
      <c r="F168" s="706" t="s">
        <v>6713</v>
      </c>
      <c r="G168" s="706" t="s">
        <v>6</v>
      </c>
    </row>
    <row r="169" spans="1:8" x14ac:dyDescent="0.2">
      <c r="B169" s="708">
        <v>1</v>
      </c>
      <c r="C169" s="2495" t="s">
        <v>6755</v>
      </c>
      <c r="D169" s="2495"/>
      <c r="E169" s="2495"/>
      <c r="F169" s="708">
        <v>150</v>
      </c>
      <c r="G169" s="708">
        <v>4</v>
      </c>
    </row>
    <row r="171" spans="1:8" x14ac:dyDescent="0.2">
      <c r="A171" s="2472" t="s">
        <v>6756</v>
      </c>
      <c r="B171" s="2473"/>
      <c r="C171" s="2473"/>
      <c r="D171" s="2473"/>
      <c r="E171" s="2473"/>
      <c r="F171" s="2473"/>
      <c r="G171" s="2473"/>
      <c r="H171" s="2474"/>
    </row>
    <row r="173" spans="1:8" x14ac:dyDescent="0.2">
      <c r="B173" s="706" t="s">
        <v>6705</v>
      </c>
      <c r="C173" s="706" t="s">
        <v>6757</v>
      </c>
    </row>
    <row r="174" spans="1:8" x14ac:dyDescent="0.2">
      <c r="B174" s="708">
        <v>3.5</v>
      </c>
      <c r="C174" s="710">
        <f>+B174/0.25</f>
        <v>14</v>
      </c>
    </row>
    <row r="176" spans="1:8" x14ac:dyDescent="0.2">
      <c r="A176" s="2472" t="s">
        <v>6758</v>
      </c>
      <c r="B176" s="2473"/>
      <c r="C176" s="2473"/>
      <c r="D176" s="2473"/>
      <c r="E176" s="2473"/>
      <c r="F176" s="2473"/>
      <c r="G176" s="2473"/>
      <c r="H176" s="2474"/>
    </row>
    <row r="178" spans="1:8" x14ac:dyDescent="0.2">
      <c r="B178" s="706" t="s">
        <v>6705</v>
      </c>
      <c r="C178" s="706" t="s">
        <v>6757</v>
      </c>
    </row>
    <row r="179" spans="1:8" x14ac:dyDescent="0.2">
      <c r="B179" s="708">
        <v>1</v>
      </c>
      <c r="C179" s="710">
        <f>+B179/0.25</f>
        <v>4</v>
      </c>
    </row>
    <row r="181" spans="1:8" x14ac:dyDescent="0.2">
      <c r="A181" s="2472" t="s">
        <v>6759</v>
      </c>
      <c r="B181" s="2473"/>
      <c r="C181" s="2473"/>
      <c r="D181" s="2473"/>
      <c r="E181" s="2473"/>
      <c r="F181" s="2473"/>
      <c r="G181" s="2473"/>
      <c r="H181" s="2474"/>
    </row>
    <row r="183" spans="1:8" x14ac:dyDescent="0.2">
      <c r="B183" s="699">
        <v>9.6</v>
      </c>
      <c r="C183" s="699" t="s">
        <v>5402</v>
      </c>
    </row>
    <row r="185" spans="1:8" x14ac:dyDescent="0.2">
      <c r="A185" s="2472" t="s">
        <v>6760</v>
      </c>
      <c r="B185" s="2473"/>
      <c r="C185" s="2473"/>
      <c r="D185" s="2473"/>
      <c r="E185" s="2473"/>
      <c r="F185" s="2473"/>
      <c r="G185" s="2473"/>
      <c r="H185" s="2474"/>
    </row>
    <row r="187" spans="1:8" x14ac:dyDescent="0.2">
      <c r="B187" s="2471" t="s">
        <v>6761</v>
      </c>
      <c r="C187" s="2471"/>
      <c r="D187" s="2471"/>
      <c r="E187" s="2471"/>
      <c r="F187" s="2471"/>
    </row>
    <row r="188" spans="1:8" x14ac:dyDescent="0.2">
      <c r="B188" s="706" t="s">
        <v>6703</v>
      </c>
      <c r="C188" s="706" t="s">
        <v>6705</v>
      </c>
      <c r="D188" s="706" t="s">
        <v>6</v>
      </c>
      <c r="E188" s="706" t="s">
        <v>6706</v>
      </c>
    </row>
    <row r="189" spans="1:8" x14ac:dyDescent="0.2">
      <c r="B189" s="708">
        <v>10.41</v>
      </c>
      <c r="C189" s="708">
        <v>3.8740000000000001</v>
      </c>
      <c r="D189" s="701">
        <v>2</v>
      </c>
      <c r="E189" s="702">
        <f>+B189*C189*D189</f>
        <v>80.656680000000009</v>
      </c>
    </row>
    <row r="190" spans="1:8" x14ac:dyDescent="0.2">
      <c r="B190" s="712">
        <v>10.47</v>
      </c>
      <c r="C190" s="708">
        <f>+C189</f>
        <v>3.8740000000000001</v>
      </c>
      <c r="D190" s="701">
        <v>4</v>
      </c>
      <c r="E190" s="702">
        <f>+B190*C190*D190</f>
        <v>162.24312</v>
      </c>
    </row>
    <row r="191" spans="1:8" x14ac:dyDescent="0.2">
      <c r="B191" s="710">
        <v>10.66</v>
      </c>
      <c r="C191" s="708">
        <f>+C190</f>
        <v>3.8740000000000001</v>
      </c>
      <c r="D191" s="701">
        <v>2</v>
      </c>
      <c r="E191" s="702">
        <f>+B191*C191*D191</f>
        <v>82.593680000000006</v>
      </c>
    </row>
    <row r="192" spans="1:8" x14ac:dyDescent="0.2">
      <c r="B192" s="710">
        <v>10.47</v>
      </c>
      <c r="C192" s="708">
        <v>10.41</v>
      </c>
      <c r="D192" s="701">
        <v>1</v>
      </c>
      <c r="E192" s="702">
        <f>+B192*C192*D192</f>
        <v>108.99270000000001</v>
      </c>
    </row>
    <row r="193" spans="1:10" x14ac:dyDescent="0.2">
      <c r="B193" s="710">
        <v>10.47</v>
      </c>
      <c r="C193" s="708">
        <v>10.66</v>
      </c>
      <c r="D193" s="701">
        <v>1</v>
      </c>
      <c r="E193" s="702">
        <f>+B193*C193*D193</f>
        <v>111.61020000000001</v>
      </c>
    </row>
    <row r="194" spans="1:10" x14ac:dyDescent="0.2">
      <c r="B194" s="2471" t="s">
        <v>6706</v>
      </c>
      <c r="C194" s="2471"/>
      <c r="D194" s="2471"/>
      <c r="E194" s="711">
        <f>SUM(E189:E193)</f>
        <v>546.09638000000007</v>
      </c>
    </row>
    <row r="196" spans="1:10" x14ac:dyDescent="0.2">
      <c r="A196" s="2472" t="s">
        <v>6762</v>
      </c>
      <c r="B196" s="2473"/>
      <c r="C196" s="2473"/>
      <c r="D196" s="2473"/>
      <c r="E196" s="2473"/>
      <c r="F196" s="2473"/>
      <c r="G196" s="2473"/>
      <c r="H196" s="2474"/>
    </row>
    <row r="198" spans="1:10" x14ac:dyDescent="0.2">
      <c r="B198" s="706" t="s">
        <v>6703</v>
      </c>
      <c r="C198" s="706" t="s">
        <v>6704</v>
      </c>
      <c r="D198" s="706" t="s">
        <v>6706</v>
      </c>
    </row>
    <row r="199" spans="1:10" x14ac:dyDescent="0.2">
      <c r="B199" s="712">
        <v>28.317</v>
      </c>
      <c r="C199" s="712">
        <v>26.896000000000001</v>
      </c>
      <c r="D199" s="712">
        <f>+B199*2+C199*2</f>
        <v>110.426</v>
      </c>
    </row>
    <row r="200" spans="1:10" x14ac:dyDescent="0.2">
      <c r="B200" s="2471" t="str">
        <f>+B194</f>
        <v>TOTAL (m2)</v>
      </c>
      <c r="C200" s="2471"/>
      <c r="D200" s="712">
        <f>+D199</f>
        <v>110.426</v>
      </c>
    </row>
    <row r="205" spans="1:10" ht="44.25" customHeight="1" x14ac:dyDescent="0.2">
      <c r="A205" s="2481" t="s">
        <v>6763</v>
      </c>
      <c r="B205" s="2481"/>
      <c r="C205" s="2481"/>
      <c r="D205" s="2481"/>
      <c r="E205" s="2481"/>
      <c r="F205" s="2481"/>
      <c r="G205" s="2481"/>
      <c r="H205" s="2481"/>
      <c r="I205" s="2481"/>
      <c r="J205" s="2481"/>
    </row>
    <row r="207" spans="1:10" ht="11.25" customHeight="1" x14ac:dyDescent="0.2">
      <c r="A207" s="2471" t="s">
        <v>7208</v>
      </c>
      <c r="B207" s="2471"/>
      <c r="C207" s="2471"/>
      <c r="D207" s="2471"/>
      <c r="E207" s="2471"/>
      <c r="F207" s="2471"/>
      <c r="G207" s="2471"/>
      <c r="H207" s="2471"/>
    </row>
    <row r="208" spans="1:10" ht="11.25" customHeight="1" x14ac:dyDescent="0.2">
      <c r="A208" s="825"/>
      <c r="B208" s="2475" t="s">
        <v>7210</v>
      </c>
      <c r="C208" s="2491"/>
      <c r="D208" s="2491"/>
      <c r="E208" s="2476"/>
      <c r="F208" s="825"/>
      <c r="G208" s="825"/>
      <c r="H208" s="825"/>
    </row>
    <row r="209" spans="1:8" x14ac:dyDescent="0.2">
      <c r="B209" s="700" t="s">
        <v>6703</v>
      </c>
      <c r="C209" s="822" t="s">
        <v>7209</v>
      </c>
      <c r="D209" s="2471" t="s">
        <v>4</v>
      </c>
      <c r="E209" s="2471"/>
      <c r="F209" s="707"/>
    </row>
    <row r="210" spans="1:8" x14ac:dyDescent="0.2">
      <c r="B210" s="709">
        <f>+B235</f>
        <v>4.5</v>
      </c>
      <c r="C210" s="824">
        <f>+B210</f>
        <v>4.5</v>
      </c>
      <c r="D210" s="2495" t="str">
        <f>+G235</f>
        <v>Tuberia PVC Φ200mm desague</v>
      </c>
      <c r="E210" s="2495"/>
      <c r="F210" s="707"/>
    </row>
    <row r="211" spans="1:8" x14ac:dyDescent="0.2">
      <c r="B211" s="709"/>
      <c r="C211" s="824">
        <f>+B211</f>
        <v>0</v>
      </c>
      <c r="D211" s="2495"/>
      <c r="E211" s="2495"/>
      <c r="F211" s="707"/>
    </row>
    <row r="212" spans="1:8" ht="13.5" customHeight="1" x14ac:dyDescent="0.2">
      <c r="B212" s="709"/>
      <c r="C212" s="824">
        <f>+B212</f>
        <v>0</v>
      </c>
      <c r="D212" s="2495"/>
      <c r="E212" s="2495"/>
      <c r="F212" s="707"/>
    </row>
    <row r="213" spans="1:8" ht="12" customHeight="1" x14ac:dyDescent="0.2">
      <c r="B213" s="821" t="s">
        <v>6706</v>
      </c>
      <c r="C213" s="824">
        <f>SUM(C210:C212)</f>
        <v>4.5</v>
      </c>
      <c r="D213" s="705"/>
      <c r="E213" s="705"/>
      <c r="F213" s="707"/>
    </row>
    <row r="215" spans="1:8" ht="11.25" customHeight="1" x14ac:dyDescent="0.2">
      <c r="A215" s="825"/>
      <c r="B215" s="2472" t="s">
        <v>7211</v>
      </c>
      <c r="C215" s="2473"/>
      <c r="D215" s="2473"/>
      <c r="E215" s="2474"/>
      <c r="F215" s="825"/>
      <c r="G215" s="825"/>
      <c r="H215" s="825"/>
    </row>
    <row r="216" spans="1:8" x14ac:dyDescent="0.2">
      <c r="B216" s="700" t="s">
        <v>6703</v>
      </c>
      <c r="C216" s="700" t="s">
        <v>6704</v>
      </c>
      <c r="D216" s="700" t="s">
        <v>6</v>
      </c>
      <c r="E216" s="700" t="s">
        <v>6706</v>
      </c>
      <c r="F216" s="2471" t="s">
        <v>4</v>
      </c>
      <c r="G216" s="2471"/>
    </row>
    <row r="217" spans="1:8" x14ac:dyDescent="0.2">
      <c r="B217" s="823">
        <f>+B233</f>
        <v>6.6</v>
      </c>
      <c r="C217" s="823">
        <f>+C233</f>
        <v>3.5</v>
      </c>
      <c r="D217" s="823">
        <v>1</v>
      </c>
      <c r="E217" s="824">
        <f>D217*B217*C217</f>
        <v>23.099999999999998</v>
      </c>
      <c r="F217" s="827" t="str">
        <f>+G233</f>
        <v>Cajas</v>
      </c>
      <c r="G217" s="828"/>
    </row>
    <row r="218" spans="1:8" ht="13.5" customHeight="1" x14ac:dyDescent="0.2">
      <c r="B218" s="823"/>
      <c r="C218" s="823"/>
      <c r="D218" s="823"/>
      <c r="E218" s="824">
        <f>D218*B218*C218</f>
        <v>0</v>
      </c>
      <c r="F218" s="827"/>
      <c r="G218" s="828"/>
    </row>
    <row r="219" spans="1:8" x14ac:dyDescent="0.2">
      <c r="B219" s="2471" t="s">
        <v>6706</v>
      </c>
      <c r="C219" s="2471"/>
      <c r="D219" s="2471"/>
      <c r="E219" s="824">
        <f>SUM(E217:E218)</f>
        <v>23.099999999999998</v>
      </c>
    </row>
    <row r="221" spans="1:8" x14ac:dyDescent="0.2">
      <c r="A221" s="2471" t="s">
        <v>7071</v>
      </c>
      <c r="B221" s="2471"/>
      <c r="C221" s="2471"/>
      <c r="D221" s="2471"/>
      <c r="E221" s="2471"/>
      <c r="F221" s="2471"/>
      <c r="G221" s="2471"/>
      <c r="H221" s="2471"/>
    </row>
    <row r="224" spans="1:8" x14ac:dyDescent="0.2">
      <c r="B224" s="2471" t="s">
        <v>6711</v>
      </c>
      <c r="C224" s="2471"/>
      <c r="D224" s="705"/>
      <c r="E224" s="2471" t="s">
        <v>6712</v>
      </c>
      <c r="F224" s="2471"/>
      <c r="G224" s="2471"/>
      <c r="H224" s="2471"/>
    </row>
    <row r="225" spans="1:10" x14ac:dyDescent="0.2">
      <c r="B225" s="706" t="s">
        <v>6713</v>
      </c>
      <c r="C225" s="706" t="s">
        <v>6714</v>
      </c>
      <c r="D225" s="707"/>
      <c r="E225" s="706" t="s">
        <v>6713</v>
      </c>
      <c r="F225" s="706" t="s">
        <v>6714</v>
      </c>
      <c r="G225" s="706" t="s">
        <v>6715</v>
      </c>
      <c r="H225" s="706" t="s">
        <v>6716</v>
      </c>
    </row>
    <row r="226" spans="1:10" x14ac:dyDescent="0.2">
      <c r="B226" s="701" t="s">
        <v>6717</v>
      </c>
      <c r="C226" s="701">
        <v>10.7</v>
      </c>
      <c r="E226" s="701" t="s">
        <v>6717</v>
      </c>
      <c r="F226" s="701">
        <f>+C226</f>
        <v>10.7</v>
      </c>
      <c r="G226" s="708">
        <v>10</v>
      </c>
      <c r="H226" s="708">
        <f>+F226*G226</f>
        <v>107</v>
      </c>
    </row>
    <row r="229" spans="1:10" x14ac:dyDescent="0.2">
      <c r="A229" s="2471" t="s">
        <v>7950</v>
      </c>
      <c r="B229" s="2471"/>
      <c r="C229" s="2471"/>
      <c r="D229" s="2471"/>
      <c r="E229" s="2471"/>
      <c r="F229" s="2471"/>
      <c r="G229" s="2471"/>
      <c r="H229" s="2471"/>
    </row>
    <row r="231" spans="1:10" x14ac:dyDescent="0.2">
      <c r="B231" s="2471" t="s">
        <v>6719</v>
      </c>
      <c r="C231" s="2471"/>
      <c r="D231" s="2471"/>
      <c r="E231" s="2471"/>
      <c r="F231" s="2471"/>
      <c r="G231" s="2471"/>
      <c r="H231" s="2471"/>
    </row>
    <row r="232" spans="1:10" x14ac:dyDescent="0.2">
      <c r="B232" s="706" t="s">
        <v>6703</v>
      </c>
      <c r="C232" s="706" t="s">
        <v>6704</v>
      </c>
      <c r="D232" s="706" t="s">
        <v>6705</v>
      </c>
      <c r="E232" s="706" t="s">
        <v>6</v>
      </c>
      <c r="F232" s="706" t="s">
        <v>6706</v>
      </c>
      <c r="G232" s="2472" t="s">
        <v>4</v>
      </c>
      <c r="H232" s="2474"/>
    </row>
    <row r="233" spans="1:10" x14ac:dyDescent="0.2">
      <c r="B233" s="708">
        <f>6.1+0.5</f>
        <v>6.6</v>
      </c>
      <c r="C233" s="708">
        <v>3.5</v>
      </c>
      <c r="D233" s="708">
        <v>2.6909999999999998</v>
      </c>
      <c r="E233" s="701">
        <v>1</v>
      </c>
      <c r="F233" s="709">
        <f>+B233*C233*D233*E233</f>
        <v>62.162099999999988</v>
      </c>
      <c r="G233" s="2469" t="s">
        <v>6720</v>
      </c>
      <c r="H233" s="2470"/>
    </row>
    <row r="234" spans="1:10" x14ac:dyDescent="0.2">
      <c r="B234" s="708">
        <v>0.5</v>
      </c>
      <c r="C234" s="708">
        <v>0.5</v>
      </c>
      <c r="D234" s="708">
        <v>0.5</v>
      </c>
      <c r="E234" s="701">
        <v>2</v>
      </c>
      <c r="F234" s="702">
        <f>+B234*C234*D234*E234</f>
        <v>0.25</v>
      </c>
      <c r="G234" s="2469" t="s">
        <v>6721</v>
      </c>
      <c r="H234" s="2470"/>
    </row>
    <row r="235" spans="1:10" x14ac:dyDescent="0.2">
      <c r="B235" s="710">
        <v>4.5</v>
      </c>
      <c r="C235" s="708">
        <v>0.6</v>
      </c>
      <c r="D235" s="708">
        <f>0.2+1+0.1</f>
        <v>1.3</v>
      </c>
      <c r="E235" s="701">
        <v>2</v>
      </c>
      <c r="F235" s="702">
        <f>+B235*C235*D235*E235</f>
        <v>7.02</v>
      </c>
      <c r="G235" s="2469" t="s">
        <v>6724</v>
      </c>
      <c r="H235" s="2470"/>
    </row>
    <row r="236" spans="1:10" x14ac:dyDescent="0.2">
      <c r="C236" s="2475" t="s">
        <v>6706</v>
      </c>
      <c r="D236" s="2491"/>
      <c r="E236" s="2476"/>
      <c r="F236" s="711">
        <f>SUM(F233:F235)</f>
        <v>69.432099999999991</v>
      </c>
    </row>
    <row r="238" spans="1:10" x14ac:dyDescent="0.2">
      <c r="B238" s="2471" t="s">
        <v>6725</v>
      </c>
      <c r="C238" s="2471"/>
      <c r="D238" s="2471"/>
      <c r="E238" s="2471"/>
      <c r="F238" s="2471"/>
      <c r="J238" s="699">
        <v>108.22</v>
      </c>
    </row>
    <row r="239" spans="1:10" x14ac:dyDescent="0.2">
      <c r="B239" s="706" t="s">
        <v>6703</v>
      </c>
      <c r="C239" s="706" t="s">
        <v>6704</v>
      </c>
      <c r="D239" s="706" t="s">
        <v>6705</v>
      </c>
      <c r="E239" s="706" t="s">
        <v>6</v>
      </c>
      <c r="F239" s="706" t="s">
        <v>6706</v>
      </c>
      <c r="J239" s="699">
        <v>113.07</v>
      </c>
    </row>
    <row r="240" spans="1:10" x14ac:dyDescent="0.2">
      <c r="B240" s="708">
        <f>+B233</f>
        <v>6.6</v>
      </c>
      <c r="C240" s="708">
        <f>+C233</f>
        <v>3.5</v>
      </c>
      <c r="D240" s="708">
        <v>0.2</v>
      </c>
      <c r="E240" s="701">
        <v>1</v>
      </c>
      <c r="F240" s="702">
        <f>+B240*C240*D240*E240</f>
        <v>4.62</v>
      </c>
      <c r="J240" s="699">
        <f>+J238+J239</f>
        <v>221.29</v>
      </c>
    </row>
    <row r="241" spans="2:11" x14ac:dyDescent="0.2">
      <c r="C241" s="2472" t="s">
        <v>6706</v>
      </c>
      <c r="D241" s="2473"/>
      <c r="E241" s="2474"/>
      <c r="F241" s="702">
        <f>SUM(F240:F240)</f>
        <v>4.62</v>
      </c>
      <c r="J241" s="699">
        <f>+J240*2900</f>
        <v>641741</v>
      </c>
      <c r="K241" s="699">
        <f>+J241/7</f>
        <v>91677.28571428571</v>
      </c>
    </row>
    <row r="243" spans="2:11" x14ac:dyDescent="0.2">
      <c r="B243" s="2471" t="s">
        <v>6726</v>
      </c>
      <c r="C243" s="2471"/>
      <c r="D243" s="2471"/>
      <c r="E243" s="2471"/>
      <c r="F243" s="2471"/>
    </row>
    <row r="244" spans="2:11" x14ac:dyDescent="0.2">
      <c r="B244" s="706" t="s">
        <v>6703</v>
      </c>
      <c r="C244" s="706" t="s">
        <v>6704</v>
      </c>
      <c r="D244" s="706" t="s">
        <v>6705</v>
      </c>
      <c r="E244" s="706" t="s">
        <v>6</v>
      </c>
      <c r="F244" s="706" t="s">
        <v>6706</v>
      </c>
    </row>
    <row r="245" spans="2:11" x14ac:dyDescent="0.2">
      <c r="B245" s="708">
        <f>+B240</f>
        <v>6.6</v>
      </c>
      <c r="C245" s="708">
        <f>+C240</f>
        <v>3.5</v>
      </c>
      <c r="D245" s="708">
        <v>0.05</v>
      </c>
      <c r="E245" s="701">
        <v>1</v>
      </c>
      <c r="F245" s="702">
        <f>+B245*C245*D245*E245</f>
        <v>1.155</v>
      </c>
    </row>
    <row r="246" spans="2:11" x14ac:dyDescent="0.2">
      <c r="C246" s="2472" t="s">
        <v>6706</v>
      </c>
      <c r="D246" s="2473"/>
      <c r="E246" s="2474"/>
      <c r="F246" s="702">
        <f>SUM(F245:F245)</f>
        <v>1.155</v>
      </c>
    </row>
    <row r="248" spans="2:11" x14ac:dyDescent="0.2">
      <c r="B248" s="2471" t="s">
        <v>6727</v>
      </c>
      <c r="C248" s="2471"/>
      <c r="D248" s="2471"/>
      <c r="E248" s="2471"/>
      <c r="F248" s="2471"/>
      <c r="G248" s="2471"/>
      <c r="H248" s="2471"/>
    </row>
    <row r="249" spans="2:11" x14ac:dyDescent="0.2">
      <c r="B249" s="706" t="s">
        <v>6703</v>
      </c>
      <c r="C249" s="706" t="s">
        <v>6704</v>
      </c>
      <c r="D249" s="706" t="s">
        <v>6705</v>
      </c>
      <c r="E249" s="706" t="s">
        <v>6</v>
      </c>
      <c r="F249" s="706" t="s">
        <v>6706</v>
      </c>
      <c r="G249" s="2472" t="s">
        <v>4</v>
      </c>
      <c r="H249" s="2474"/>
    </row>
    <row r="250" spans="2:11" x14ac:dyDescent="0.2">
      <c r="B250" s="708">
        <v>6.1</v>
      </c>
      <c r="C250" s="708">
        <v>0.25</v>
      </c>
      <c r="D250" s="712">
        <v>1.95</v>
      </c>
      <c r="E250" s="701">
        <v>2</v>
      </c>
      <c r="F250" s="702">
        <f>+B250*C250*D250*E250</f>
        <v>5.9474999999999998</v>
      </c>
      <c r="G250" s="2469" t="s">
        <v>6707</v>
      </c>
      <c r="H250" s="2470"/>
    </row>
    <row r="251" spans="2:11" x14ac:dyDescent="0.2">
      <c r="B251" s="710">
        <f>3+C250*2</f>
        <v>3.5</v>
      </c>
      <c r="C251" s="708">
        <v>0.25</v>
      </c>
      <c r="D251" s="712">
        <f>+D250</f>
        <v>1.95</v>
      </c>
      <c r="E251" s="701">
        <v>2</v>
      </c>
      <c r="F251" s="702">
        <f>+B251*C251*D251*E251</f>
        <v>3.4125000000000001</v>
      </c>
      <c r="G251" s="2469" t="s">
        <v>6707</v>
      </c>
      <c r="H251" s="2470"/>
    </row>
    <row r="252" spans="2:11" x14ac:dyDescent="0.2">
      <c r="B252" s="708">
        <f>+B250+C251*2</f>
        <v>6.6</v>
      </c>
      <c r="C252" s="710">
        <f>+B251</f>
        <v>3.5</v>
      </c>
      <c r="D252" s="708">
        <v>0.25</v>
      </c>
      <c r="E252" s="701">
        <v>1</v>
      </c>
      <c r="F252" s="702">
        <f>+B252*C252*D252*E252</f>
        <v>5.7749999999999995</v>
      </c>
      <c r="G252" s="2469" t="s">
        <v>6708</v>
      </c>
      <c r="H252" s="2470"/>
    </row>
    <row r="253" spans="2:11" x14ac:dyDescent="0.2">
      <c r="B253" s="708">
        <v>1.5</v>
      </c>
      <c r="C253" s="708">
        <v>0.25</v>
      </c>
      <c r="D253" s="708">
        <v>0.5</v>
      </c>
      <c r="E253" s="701">
        <v>2</v>
      </c>
      <c r="F253" s="702">
        <f>+B253*C253*D253*E253</f>
        <v>0.375</v>
      </c>
      <c r="G253" s="2469" t="s">
        <v>6728</v>
      </c>
      <c r="H253" s="2470"/>
    </row>
    <row r="254" spans="2:11" x14ac:dyDescent="0.2">
      <c r="B254" s="708">
        <f>+B253+C253*2</f>
        <v>2</v>
      </c>
      <c r="C254" s="708">
        <v>0.25</v>
      </c>
      <c r="D254" s="708">
        <f>+D253</f>
        <v>0.5</v>
      </c>
      <c r="E254" s="701">
        <v>2</v>
      </c>
      <c r="F254" s="702">
        <f>+B254*C254*D254*E254</f>
        <v>0.5</v>
      </c>
      <c r="G254" s="2469" t="s">
        <v>6728</v>
      </c>
      <c r="H254" s="2470"/>
    </row>
    <row r="255" spans="2:11" x14ac:dyDescent="0.2">
      <c r="C255" s="2475" t="s">
        <v>6706</v>
      </c>
      <c r="D255" s="2491"/>
      <c r="E255" s="2476"/>
      <c r="F255" s="702">
        <f>SUM(F250:F254)</f>
        <v>16.009999999999998</v>
      </c>
    </row>
    <row r="257" spans="1:8" x14ac:dyDescent="0.2">
      <c r="B257" s="2471" t="s">
        <v>6727</v>
      </c>
      <c r="C257" s="2471"/>
      <c r="D257" s="2471"/>
      <c r="E257" s="2471"/>
      <c r="F257" s="2471"/>
      <c r="G257" s="2471"/>
      <c r="H257" s="2471"/>
    </row>
    <row r="258" spans="1:8" x14ac:dyDescent="0.2">
      <c r="B258" s="888" t="s">
        <v>6703</v>
      </c>
      <c r="C258" s="888" t="s">
        <v>6704</v>
      </c>
      <c r="D258" s="888" t="s">
        <v>6705</v>
      </c>
      <c r="E258" s="888" t="s">
        <v>6</v>
      </c>
      <c r="F258" s="888" t="s">
        <v>6706</v>
      </c>
      <c r="G258" s="2472" t="s">
        <v>4</v>
      </c>
      <c r="H258" s="2474"/>
    </row>
    <row r="259" spans="1:8" x14ac:dyDescent="0.2">
      <c r="B259" s="708">
        <f>+B252</f>
        <v>6.6</v>
      </c>
      <c r="C259" s="710">
        <f>+C252</f>
        <v>3.5</v>
      </c>
      <c r="D259" s="708">
        <v>0.2</v>
      </c>
      <c r="E259" s="701">
        <v>1</v>
      </c>
      <c r="F259" s="702">
        <f>+B259*C259*D259*E259</f>
        <v>4.62</v>
      </c>
      <c r="G259" s="2469" t="s">
        <v>6709</v>
      </c>
      <c r="H259" s="2470"/>
    </row>
    <row r="260" spans="1:8" s="1445" customFormat="1" x14ac:dyDescent="0.2">
      <c r="B260" s="720">
        <v>1.5</v>
      </c>
      <c r="C260" s="882">
        <v>1</v>
      </c>
      <c r="D260" s="720">
        <v>0.2</v>
      </c>
      <c r="E260" s="703">
        <v>4</v>
      </c>
      <c r="F260" s="1630">
        <f>+B260*C260*D260*E260</f>
        <v>1.2000000000000002</v>
      </c>
      <c r="G260" s="703"/>
      <c r="H260" s="703"/>
    </row>
    <row r="262" spans="1:8" x14ac:dyDescent="0.2">
      <c r="B262" s="2471" t="s">
        <v>6729</v>
      </c>
      <c r="C262" s="2471"/>
      <c r="D262" s="2471"/>
      <c r="E262" s="2471"/>
      <c r="F262" s="2471"/>
    </row>
    <row r="263" spans="1:8" x14ac:dyDescent="0.2">
      <c r="B263" s="706"/>
      <c r="C263" s="706"/>
      <c r="D263" s="706" t="s">
        <v>6731</v>
      </c>
      <c r="E263" s="2471" t="s">
        <v>4</v>
      </c>
      <c r="F263" s="2471"/>
    </row>
    <row r="264" spans="1:8" x14ac:dyDescent="0.2">
      <c r="B264" s="712">
        <f>+F255</f>
        <v>16.009999999999998</v>
      </c>
      <c r="C264" s="708">
        <v>100</v>
      </c>
      <c r="D264" s="712">
        <f>+B264*C264</f>
        <v>1600.9999999999998</v>
      </c>
      <c r="E264" s="2495"/>
      <c r="F264" s="2495"/>
    </row>
    <row r="265" spans="1:8" x14ac:dyDescent="0.2">
      <c r="B265" s="2472" t="s">
        <v>6732</v>
      </c>
      <c r="C265" s="2473"/>
      <c r="D265" s="712">
        <f>+D264</f>
        <v>1600.9999999999998</v>
      </c>
      <c r="E265" s="2495"/>
      <c r="F265" s="2495"/>
    </row>
    <row r="268" spans="1:8" x14ac:dyDescent="0.2">
      <c r="A268" s="2471" t="s">
        <v>7951</v>
      </c>
      <c r="B268" s="2471"/>
      <c r="C268" s="2471"/>
      <c r="D268" s="2471"/>
      <c r="E268" s="2471"/>
      <c r="F268" s="2471"/>
      <c r="G268" s="2471"/>
      <c r="H268" s="2471"/>
    </row>
    <row r="270" spans="1:8" x14ac:dyDescent="0.2">
      <c r="B270" s="706" t="s">
        <v>6734</v>
      </c>
      <c r="C270" s="2471" t="s">
        <v>6695</v>
      </c>
      <c r="D270" s="2471"/>
      <c r="E270" s="2471"/>
      <c r="F270" s="706" t="s">
        <v>6713</v>
      </c>
      <c r="G270" s="706" t="s">
        <v>6</v>
      </c>
    </row>
    <row r="271" spans="1:8" x14ac:dyDescent="0.2">
      <c r="B271" s="708">
        <v>1</v>
      </c>
      <c r="C271" s="2495" t="s">
        <v>6735</v>
      </c>
      <c r="D271" s="2495"/>
      <c r="E271" s="2495"/>
      <c r="F271" s="701">
        <v>150</v>
      </c>
      <c r="G271" s="708">
        <v>11</v>
      </c>
    </row>
    <row r="272" spans="1:8" x14ac:dyDescent="0.2">
      <c r="B272" s="708">
        <f>+B271+1</f>
        <v>2</v>
      </c>
      <c r="C272" s="2485" t="s">
        <v>6736</v>
      </c>
      <c r="D272" s="2485"/>
      <c r="E272" s="2485"/>
      <c r="F272" s="701">
        <v>150</v>
      </c>
      <c r="G272" s="708">
        <v>19</v>
      </c>
    </row>
    <row r="273" spans="2:7" x14ac:dyDescent="0.2">
      <c r="B273" s="708">
        <f t="shared" ref="B273:B294" si="1">+B272+1</f>
        <v>3</v>
      </c>
      <c r="C273" s="2485" t="s">
        <v>6737</v>
      </c>
      <c r="D273" s="2485"/>
      <c r="E273" s="2485"/>
      <c r="F273" s="701">
        <v>150</v>
      </c>
      <c r="G273" s="708">
        <v>6</v>
      </c>
    </row>
    <row r="274" spans="2:7" x14ac:dyDescent="0.2">
      <c r="B274" s="708">
        <f t="shared" si="1"/>
        <v>4</v>
      </c>
      <c r="C274" s="2485" t="s">
        <v>6764</v>
      </c>
      <c r="D274" s="2485"/>
      <c r="E274" s="2485"/>
      <c r="F274" s="701">
        <v>150</v>
      </c>
      <c r="G274" s="708"/>
    </row>
    <row r="275" spans="2:7" x14ac:dyDescent="0.2">
      <c r="B275" s="708">
        <f t="shared" si="1"/>
        <v>5</v>
      </c>
      <c r="C275" s="2485" t="s">
        <v>6738</v>
      </c>
      <c r="D275" s="2485"/>
      <c r="E275" s="2485"/>
      <c r="F275" s="701">
        <v>150</v>
      </c>
      <c r="G275" s="708"/>
    </row>
    <row r="276" spans="2:7" x14ac:dyDescent="0.2">
      <c r="B276" s="708">
        <f t="shared" si="1"/>
        <v>6</v>
      </c>
      <c r="C276" s="2485" t="s">
        <v>6765</v>
      </c>
      <c r="D276" s="2485"/>
      <c r="E276" s="2485"/>
      <c r="F276" s="701">
        <v>150</v>
      </c>
      <c r="G276" s="708">
        <v>3</v>
      </c>
    </row>
    <row r="277" spans="2:7" x14ac:dyDescent="0.2">
      <c r="B277" s="708">
        <f t="shared" si="1"/>
        <v>7</v>
      </c>
      <c r="C277" s="2485" t="s">
        <v>6739</v>
      </c>
      <c r="D277" s="2485"/>
      <c r="E277" s="2485"/>
      <c r="F277" s="701">
        <v>150</v>
      </c>
      <c r="G277" s="708">
        <v>3</v>
      </c>
    </row>
    <row r="278" spans="2:7" x14ac:dyDescent="0.2">
      <c r="B278" s="708">
        <f t="shared" si="1"/>
        <v>8</v>
      </c>
      <c r="C278" s="2485" t="s">
        <v>6740</v>
      </c>
      <c r="D278" s="2485"/>
      <c r="E278" s="2485"/>
      <c r="F278" s="701">
        <v>150</v>
      </c>
      <c r="G278" s="708">
        <v>3</v>
      </c>
    </row>
    <row r="279" spans="2:7" x14ac:dyDescent="0.2">
      <c r="B279" s="708">
        <f t="shared" si="1"/>
        <v>9</v>
      </c>
      <c r="C279" s="2485" t="s">
        <v>6766</v>
      </c>
      <c r="D279" s="2485"/>
      <c r="E279" s="2485"/>
      <c r="F279" s="701">
        <v>150</v>
      </c>
      <c r="G279" s="708">
        <v>3</v>
      </c>
    </row>
    <row r="280" spans="2:7" x14ac:dyDescent="0.2">
      <c r="B280" s="708">
        <f t="shared" si="1"/>
        <v>10</v>
      </c>
      <c r="C280" s="2485" t="s">
        <v>6741</v>
      </c>
      <c r="D280" s="2485"/>
      <c r="E280" s="2485"/>
      <c r="F280" s="701">
        <v>150</v>
      </c>
      <c r="G280" s="708">
        <v>3</v>
      </c>
    </row>
    <row r="281" spans="2:7" x14ac:dyDescent="0.2">
      <c r="B281" s="708">
        <f t="shared" si="1"/>
        <v>11</v>
      </c>
      <c r="C281" s="2497" t="s">
        <v>6767</v>
      </c>
      <c r="D281" s="2497"/>
      <c r="E281" s="2497"/>
      <c r="F281" s="701" t="s">
        <v>6768</v>
      </c>
      <c r="G281" s="708">
        <v>1</v>
      </c>
    </row>
    <row r="282" spans="2:7" x14ac:dyDescent="0.2">
      <c r="B282" s="708">
        <f t="shared" si="1"/>
        <v>12</v>
      </c>
      <c r="C282" s="2497" t="s">
        <v>6742</v>
      </c>
      <c r="D282" s="2497"/>
      <c r="E282" s="2497"/>
      <c r="F282" s="701">
        <v>150</v>
      </c>
      <c r="G282" s="708">
        <v>3</v>
      </c>
    </row>
    <row r="283" spans="2:7" x14ac:dyDescent="0.2">
      <c r="B283" s="708">
        <f t="shared" si="1"/>
        <v>13</v>
      </c>
      <c r="C283" s="2497" t="s">
        <v>6743</v>
      </c>
      <c r="D283" s="2497"/>
      <c r="E283" s="2497"/>
      <c r="F283" s="701" t="s">
        <v>6768</v>
      </c>
      <c r="G283" s="708">
        <v>1</v>
      </c>
    </row>
    <row r="284" spans="2:7" x14ac:dyDescent="0.2">
      <c r="B284" s="708">
        <f t="shared" si="1"/>
        <v>14</v>
      </c>
      <c r="C284" s="2497" t="s">
        <v>6769</v>
      </c>
      <c r="D284" s="2497"/>
      <c r="E284" s="2497"/>
      <c r="F284" s="701">
        <v>250</v>
      </c>
      <c r="G284" s="708">
        <v>1</v>
      </c>
    </row>
    <row r="285" spans="2:7" x14ac:dyDescent="0.2">
      <c r="B285" s="708">
        <f t="shared" si="1"/>
        <v>15</v>
      </c>
      <c r="C285" s="2497" t="s">
        <v>6699</v>
      </c>
      <c r="D285" s="2497"/>
      <c r="E285" s="2497"/>
      <c r="F285" s="701" t="s">
        <v>6744</v>
      </c>
      <c r="G285" s="708">
        <v>3</v>
      </c>
    </row>
    <row r="286" spans="2:7" x14ac:dyDescent="0.2">
      <c r="B286" s="708">
        <f t="shared" si="1"/>
        <v>16</v>
      </c>
      <c r="C286" s="2497" t="s">
        <v>6700</v>
      </c>
      <c r="D286" s="2497"/>
      <c r="E286" s="2497"/>
      <c r="F286" s="701" t="s">
        <v>6744</v>
      </c>
      <c r="G286" s="708">
        <v>3</v>
      </c>
    </row>
    <row r="287" spans="2:7" ht="11.25" customHeight="1" x14ac:dyDescent="0.2">
      <c r="B287" s="708">
        <f t="shared" si="1"/>
        <v>17</v>
      </c>
      <c r="C287" s="2497" t="s">
        <v>7921</v>
      </c>
      <c r="D287" s="2497"/>
      <c r="E287" s="2497"/>
      <c r="F287" s="793">
        <v>150</v>
      </c>
      <c r="G287" s="708"/>
    </row>
    <row r="288" spans="2:7" ht="11.25" customHeight="1" x14ac:dyDescent="0.2">
      <c r="B288" s="708">
        <f t="shared" si="1"/>
        <v>18</v>
      </c>
      <c r="C288" s="2497" t="s">
        <v>7716</v>
      </c>
      <c r="D288" s="2497"/>
      <c r="E288" s="2497"/>
      <c r="F288" s="793">
        <v>150</v>
      </c>
      <c r="G288" s="708"/>
    </row>
    <row r="289" spans="1:8" ht="11.25" customHeight="1" x14ac:dyDescent="0.2">
      <c r="B289" s="708">
        <f t="shared" si="1"/>
        <v>19</v>
      </c>
      <c r="C289" s="2497" t="s">
        <v>7922</v>
      </c>
      <c r="D289" s="2497"/>
      <c r="E289" s="2497"/>
      <c r="F289" s="793">
        <v>150</v>
      </c>
      <c r="G289" s="708"/>
    </row>
    <row r="290" spans="1:8" ht="11.25" customHeight="1" x14ac:dyDescent="0.2">
      <c r="B290" s="708">
        <f t="shared" si="1"/>
        <v>20</v>
      </c>
      <c r="C290" s="2497" t="s">
        <v>7717</v>
      </c>
      <c r="D290" s="2497"/>
      <c r="E290" s="2497"/>
      <c r="F290" s="793">
        <v>150</v>
      </c>
      <c r="G290" s="708"/>
    </row>
    <row r="291" spans="1:8" ht="11.25" customHeight="1" x14ac:dyDescent="0.2">
      <c r="B291" s="708">
        <f t="shared" si="1"/>
        <v>21</v>
      </c>
      <c r="C291" s="2497" t="s">
        <v>7718</v>
      </c>
      <c r="D291" s="2497"/>
      <c r="E291" s="2497"/>
      <c r="F291" s="793">
        <v>150</v>
      </c>
      <c r="G291" s="708"/>
    </row>
    <row r="292" spans="1:8" ht="11.25" customHeight="1" x14ac:dyDescent="0.2">
      <c r="B292" s="708">
        <f t="shared" si="1"/>
        <v>22</v>
      </c>
      <c r="C292" s="2497" t="s">
        <v>7719</v>
      </c>
      <c r="D292" s="2497"/>
      <c r="E292" s="2497"/>
      <c r="F292" s="793">
        <v>150</v>
      </c>
      <c r="G292" s="708"/>
    </row>
    <row r="293" spans="1:8" ht="11.25" customHeight="1" x14ac:dyDescent="0.2">
      <c r="B293" s="708">
        <f t="shared" si="1"/>
        <v>23</v>
      </c>
      <c r="C293" s="2497" t="s">
        <v>7720</v>
      </c>
      <c r="D293" s="2497"/>
      <c r="E293" s="2497"/>
      <c r="F293" s="793">
        <v>150</v>
      </c>
      <c r="G293" s="708"/>
    </row>
    <row r="294" spans="1:8" x14ac:dyDescent="0.2">
      <c r="B294" s="708">
        <f t="shared" si="1"/>
        <v>24</v>
      </c>
      <c r="C294" s="2497" t="s">
        <v>7721</v>
      </c>
      <c r="D294" s="2497"/>
      <c r="E294" s="2497"/>
      <c r="F294" s="793">
        <v>150</v>
      </c>
      <c r="G294" s="708"/>
    </row>
    <row r="295" spans="1:8" x14ac:dyDescent="0.2">
      <c r="C295" s="713"/>
      <c r="D295" s="713"/>
      <c r="E295" s="713"/>
    </row>
    <row r="297" spans="1:8" x14ac:dyDescent="0.2">
      <c r="A297" s="2471" t="s">
        <v>7072</v>
      </c>
      <c r="B297" s="2471"/>
      <c r="C297" s="2471"/>
      <c r="D297" s="2471"/>
      <c r="E297" s="2471"/>
      <c r="F297" s="2471"/>
      <c r="G297" s="2471"/>
      <c r="H297" s="2471"/>
    </row>
    <row r="299" spans="1:8" x14ac:dyDescent="0.2">
      <c r="B299" s="706" t="s">
        <v>6734</v>
      </c>
      <c r="C299" s="2471" t="s">
        <v>6695</v>
      </c>
      <c r="D299" s="2471"/>
      <c r="E299" s="2471"/>
      <c r="F299" s="706" t="s">
        <v>6713</v>
      </c>
      <c r="G299" s="706" t="s">
        <v>6</v>
      </c>
    </row>
    <row r="300" spans="1:8" x14ac:dyDescent="0.2">
      <c r="B300" s="708">
        <v>1</v>
      </c>
      <c r="C300" s="2495" t="str">
        <f>+C275</f>
        <v>TAPON HD</v>
      </c>
      <c r="D300" s="2495"/>
      <c r="E300" s="2495"/>
      <c r="F300" s="708">
        <v>200</v>
      </c>
      <c r="G300" s="708">
        <v>2</v>
      </c>
    </row>
    <row r="303" spans="1:8" x14ac:dyDescent="0.2">
      <c r="A303" s="2471" t="s">
        <v>7952</v>
      </c>
      <c r="B303" s="2471"/>
      <c r="C303" s="2471"/>
      <c r="D303" s="2471"/>
      <c r="E303" s="2471"/>
      <c r="F303" s="2471"/>
      <c r="G303" s="2471"/>
      <c r="H303" s="2471"/>
    </row>
    <row r="305" spans="2:8" x14ac:dyDescent="0.2">
      <c r="B305" s="2471" t="s">
        <v>6719</v>
      </c>
      <c r="C305" s="2471"/>
      <c r="D305" s="2471"/>
      <c r="E305" s="2471"/>
      <c r="F305" s="2471"/>
      <c r="G305" s="2471"/>
      <c r="H305" s="2471"/>
    </row>
    <row r="306" spans="2:8" x14ac:dyDescent="0.2">
      <c r="B306" s="794" t="s">
        <v>6703</v>
      </c>
      <c r="C306" s="794" t="s">
        <v>6704</v>
      </c>
      <c r="D306" s="794" t="s">
        <v>6705</v>
      </c>
      <c r="E306" s="794" t="s">
        <v>6</v>
      </c>
      <c r="F306" s="794" t="s">
        <v>6706</v>
      </c>
      <c r="G306" s="2472" t="s">
        <v>4</v>
      </c>
      <c r="H306" s="2474"/>
    </row>
    <row r="307" spans="2:8" x14ac:dyDescent="0.2">
      <c r="B307" s="718">
        <v>1.1499999999999999</v>
      </c>
      <c r="C307" s="718">
        <v>2.84</v>
      </c>
      <c r="D307" s="708">
        <v>0.4</v>
      </c>
      <c r="E307" s="793">
        <v>1</v>
      </c>
      <c r="F307" s="709">
        <f>+B307*D307*E307*C307</f>
        <v>1.3063999999999998</v>
      </c>
      <c r="G307" s="2469"/>
      <c r="H307" s="2470"/>
    </row>
    <row r="308" spans="2:8" x14ac:dyDescent="0.2">
      <c r="C308" s="2475" t="s">
        <v>6706</v>
      </c>
      <c r="D308" s="2491"/>
      <c r="E308" s="2476"/>
      <c r="F308" s="711">
        <f>SUM(F307:F307)</f>
        <v>1.3063999999999998</v>
      </c>
    </row>
    <row r="310" spans="2:8" x14ac:dyDescent="0.2">
      <c r="B310" s="2471" t="s">
        <v>6725</v>
      </c>
      <c r="C310" s="2471"/>
      <c r="D310" s="2471"/>
      <c r="E310" s="2471"/>
      <c r="F310" s="2471"/>
    </row>
    <row r="311" spans="2:8" x14ac:dyDescent="0.2">
      <c r="B311" s="794" t="s">
        <v>6703</v>
      </c>
      <c r="C311" s="794" t="s">
        <v>6704</v>
      </c>
      <c r="D311" s="794" t="s">
        <v>6705</v>
      </c>
      <c r="E311" s="794" t="s">
        <v>6</v>
      </c>
      <c r="F311" s="794" t="s">
        <v>6706</v>
      </c>
    </row>
    <row r="312" spans="2:8" x14ac:dyDescent="0.2">
      <c r="B312" s="708">
        <f>+B307</f>
        <v>1.1499999999999999</v>
      </c>
      <c r="C312" s="708">
        <f>+C307</f>
        <v>2.84</v>
      </c>
      <c r="D312" s="708">
        <v>0.2</v>
      </c>
      <c r="E312" s="793">
        <v>1</v>
      </c>
      <c r="F312" s="709">
        <f>+B312*D312*E312*C312</f>
        <v>0.65319999999999989</v>
      </c>
    </row>
    <row r="313" spans="2:8" x14ac:dyDescent="0.2">
      <c r="C313" s="2472" t="s">
        <v>6706</v>
      </c>
      <c r="D313" s="2473"/>
      <c r="E313" s="2474"/>
      <c r="F313" s="795">
        <f>SUM(F312:F312)</f>
        <v>0.65319999999999989</v>
      </c>
    </row>
    <row r="315" spans="2:8" x14ac:dyDescent="0.2">
      <c r="B315" s="2471" t="s">
        <v>6726</v>
      </c>
      <c r="C315" s="2471"/>
      <c r="D315" s="2471"/>
      <c r="E315" s="2471"/>
      <c r="F315" s="2471"/>
    </row>
    <row r="316" spans="2:8" x14ac:dyDescent="0.2">
      <c r="B316" s="794" t="s">
        <v>6703</v>
      </c>
      <c r="C316" s="794" t="s">
        <v>6704</v>
      </c>
      <c r="D316" s="794" t="s">
        <v>6705</v>
      </c>
      <c r="E316" s="794" t="s">
        <v>6</v>
      </c>
      <c r="F316" s="794" t="s">
        <v>6706</v>
      </c>
    </row>
    <row r="317" spans="2:8" x14ac:dyDescent="0.2">
      <c r="B317" s="708">
        <f>+B312</f>
        <v>1.1499999999999999</v>
      </c>
      <c r="C317" s="708">
        <f>+C312</f>
        <v>2.84</v>
      </c>
      <c r="D317" s="708">
        <v>0.05</v>
      </c>
      <c r="E317" s="708">
        <f>+E312</f>
        <v>1</v>
      </c>
      <c r="F317" s="709">
        <f>+B317*D317*E317*C317</f>
        <v>0.16329999999999997</v>
      </c>
    </row>
    <row r="318" spans="2:8" x14ac:dyDescent="0.2">
      <c r="C318" s="2472" t="s">
        <v>6706</v>
      </c>
      <c r="D318" s="2473"/>
      <c r="E318" s="2474"/>
      <c r="F318" s="795">
        <f>SUM(F317:F317)</f>
        <v>0.16329999999999997</v>
      </c>
    </row>
    <row r="320" spans="2:8" x14ac:dyDescent="0.2">
      <c r="B320" s="2471" t="s">
        <v>6727</v>
      </c>
      <c r="C320" s="2471"/>
      <c r="D320" s="2471"/>
      <c r="E320" s="2471"/>
      <c r="F320" s="2471"/>
      <c r="G320" s="2471"/>
      <c r="H320" s="2471"/>
    </row>
    <row r="321" spans="1:9" x14ac:dyDescent="0.2">
      <c r="B321" s="794" t="s">
        <v>6703</v>
      </c>
      <c r="C321" s="794" t="s">
        <v>6704</v>
      </c>
      <c r="D321" s="794" t="s">
        <v>6705</v>
      </c>
      <c r="E321" s="794" t="s">
        <v>6</v>
      </c>
      <c r="F321" s="794" t="s">
        <v>6706</v>
      </c>
      <c r="G321" s="2472" t="s">
        <v>4</v>
      </c>
      <c r="H321" s="2474"/>
    </row>
    <row r="322" spans="1:9" x14ac:dyDescent="0.2">
      <c r="B322" s="708">
        <f>+B317</f>
        <v>1.1499999999999999</v>
      </c>
      <c r="C322" s="708">
        <f>+C317</f>
        <v>2.84</v>
      </c>
      <c r="D322" s="712">
        <v>0.3</v>
      </c>
      <c r="E322" s="793">
        <v>2</v>
      </c>
      <c r="F322" s="795">
        <f>+B322*C322*D322*E322</f>
        <v>1.9595999999999996</v>
      </c>
      <c r="G322" s="2469" t="s">
        <v>7073</v>
      </c>
      <c r="H322" s="2470"/>
    </row>
    <row r="323" spans="1:9" x14ac:dyDescent="0.2">
      <c r="B323" s="710">
        <v>0.75</v>
      </c>
      <c r="C323" s="708">
        <v>0.3</v>
      </c>
      <c r="D323" s="712">
        <v>3.95</v>
      </c>
      <c r="E323" s="793">
        <v>2</v>
      </c>
      <c r="F323" s="795">
        <f>+B323*C323*D323*E323</f>
        <v>1.7774999999999999</v>
      </c>
      <c r="G323" s="2469" t="s">
        <v>713</v>
      </c>
      <c r="H323" s="2470"/>
    </row>
    <row r="324" spans="1:9" x14ac:dyDescent="0.2">
      <c r="B324" s="708">
        <f>2.24+0.3*2</f>
        <v>2.8400000000000003</v>
      </c>
      <c r="C324" s="710">
        <v>0.3</v>
      </c>
      <c r="D324" s="712">
        <f>+D323</f>
        <v>3.95</v>
      </c>
      <c r="E324" s="793">
        <v>2</v>
      </c>
      <c r="F324" s="795">
        <f>+B324*C324*D324*E324</f>
        <v>6.7308000000000012</v>
      </c>
      <c r="G324" s="2469" t="s">
        <v>713</v>
      </c>
      <c r="H324" s="2470"/>
    </row>
    <row r="325" spans="1:9" x14ac:dyDescent="0.2">
      <c r="C325" s="2475" t="s">
        <v>6706</v>
      </c>
      <c r="D325" s="2491"/>
      <c r="E325" s="2476"/>
      <c r="F325" s="795">
        <f>SUM(F322:F324)</f>
        <v>10.4679</v>
      </c>
    </row>
    <row r="328" spans="1:9" x14ac:dyDescent="0.2">
      <c r="B328" s="2471" t="s">
        <v>6729</v>
      </c>
      <c r="C328" s="2471"/>
      <c r="D328" s="2471"/>
      <c r="E328" s="2471"/>
      <c r="F328" s="2471"/>
    </row>
    <row r="329" spans="1:9" x14ac:dyDescent="0.2">
      <c r="B329" s="2472" t="s">
        <v>6731</v>
      </c>
      <c r="C329" s="2474"/>
      <c r="D329" s="794" t="s">
        <v>6731</v>
      </c>
      <c r="E329" s="2471" t="s">
        <v>4</v>
      </c>
      <c r="F329" s="2471"/>
    </row>
    <row r="330" spans="1:9" x14ac:dyDescent="0.2">
      <c r="B330" s="2477">
        <v>730.45</v>
      </c>
      <c r="C330" s="2480"/>
      <c r="D330" s="712">
        <f>+B330</f>
        <v>730.45</v>
      </c>
      <c r="E330" s="2495"/>
      <c r="F330" s="2495"/>
    </row>
    <row r="331" spans="1:9" x14ac:dyDescent="0.2">
      <c r="B331" s="2472" t="s">
        <v>6732</v>
      </c>
      <c r="C331" s="2473"/>
      <c r="D331" s="712">
        <f>+D330</f>
        <v>730.45</v>
      </c>
      <c r="E331" s="2495"/>
      <c r="F331" s="2495"/>
    </row>
    <row r="335" spans="1:9" ht="42.75" customHeight="1" x14ac:dyDescent="0.2">
      <c r="A335" s="2481" t="s">
        <v>8075</v>
      </c>
      <c r="B335" s="2481"/>
      <c r="C335" s="2481"/>
      <c r="D335" s="2481"/>
      <c r="E335" s="2481"/>
      <c r="F335" s="2481"/>
      <c r="G335" s="2481"/>
      <c r="H335" s="2481"/>
      <c r="I335" s="2481"/>
    </row>
    <row r="337" spans="1:8" ht="11.25" customHeight="1" x14ac:dyDescent="0.2">
      <c r="A337" s="2471" t="s">
        <v>7208</v>
      </c>
      <c r="B337" s="2471"/>
      <c r="C337" s="2471"/>
      <c r="D337" s="2471"/>
      <c r="E337" s="2471"/>
      <c r="F337" s="2471"/>
      <c r="G337" s="2471"/>
      <c r="H337" s="2471"/>
    </row>
    <row r="338" spans="1:8" ht="11.25" customHeight="1" x14ac:dyDescent="0.2">
      <c r="A338" s="825"/>
      <c r="B338" s="2475" t="s">
        <v>7210</v>
      </c>
      <c r="C338" s="2491"/>
      <c r="D338" s="2491"/>
      <c r="E338" s="2476"/>
      <c r="F338" s="825"/>
      <c r="G338" s="825"/>
      <c r="H338" s="825"/>
    </row>
    <row r="339" spans="1:8" x14ac:dyDescent="0.2">
      <c r="B339" s="700" t="s">
        <v>6703</v>
      </c>
      <c r="C339" s="822" t="s">
        <v>7209</v>
      </c>
      <c r="D339" s="2471" t="s">
        <v>4</v>
      </c>
      <c r="E339" s="2471"/>
      <c r="F339" s="707"/>
    </row>
    <row r="340" spans="1:8" x14ac:dyDescent="0.2">
      <c r="B340" s="709">
        <v>0</v>
      </c>
      <c r="C340" s="824">
        <f>+B340</f>
        <v>0</v>
      </c>
      <c r="D340" s="2477" t="s">
        <v>6774</v>
      </c>
      <c r="E340" s="2480"/>
      <c r="F340" s="707"/>
    </row>
    <row r="341" spans="1:8" x14ac:dyDescent="0.2">
      <c r="B341" s="709">
        <f>+'Resumen Tuberia'!F69+'Resumen Tuberia'!F70</f>
        <v>172</v>
      </c>
      <c r="C341" s="824">
        <f>+B341</f>
        <v>172</v>
      </c>
      <c r="D341" s="2477" t="s">
        <v>6775</v>
      </c>
      <c r="E341" s="2480"/>
      <c r="F341" s="707"/>
    </row>
    <row r="342" spans="1:8" ht="13.5" customHeight="1" x14ac:dyDescent="0.2">
      <c r="B342" s="709">
        <f>+'Resumen Tuberia'!E69+'Resumen Tuberia'!E70</f>
        <v>7615</v>
      </c>
      <c r="C342" s="824">
        <f>+B342</f>
        <v>7615</v>
      </c>
      <c r="D342" s="2496" t="s">
        <v>6776</v>
      </c>
      <c r="E342" s="2496"/>
      <c r="F342" s="707"/>
    </row>
    <row r="343" spans="1:8" ht="13.5" customHeight="1" x14ac:dyDescent="0.2">
      <c r="B343" s="830">
        <f>+'Resumen Tuberia'!D70+'Resumen Tuberia'!D69</f>
        <v>7695</v>
      </c>
      <c r="C343" s="1033">
        <f>+B343</f>
        <v>7695</v>
      </c>
      <c r="D343" s="2483" t="s">
        <v>6777</v>
      </c>
      <c r="E343" s="2484"/>
      <c r="F343" s="707"/>
    </row>
    <row r="344" spans="1:8" ht="12" customHeight="1" x14ac:dyDescent="0.2">
      <c r="B344" s="821" t="s">
        <v>6706</v>
      </c>
      <c r="C344" s="824">
        <f>SUM(C340:C343)</f>
        <v>15482</v>
      </c>
      <c r="D344" s="705"/>
      <c r="E344" s="705"/>
      <c r="F344" s="707"/>
    </row>
    <row r="347" spans="1:8" x14ac:dyDescent="0.2">
      <c r="A347" s="2471" t="s">
        <v>6770</v>
      </c>
      <c r="B347" s="2471"/>
      <c r="C347" s="2471"/>
      <c r="D347" s="2471"/>
      <c r="E347" s="2471"/>
      <c r="F347" s="2471"/>
      <c r="G347" s="2471"/>
    </row>
    <row r="348" spans="1:8" x14ac:dyDescent="0.2">
      <c r="A348" s="714"/>
      <c r="B348" s="2472" t="s">
        <v>6771</v>
      </c>
      <c r="C348" s="2473"/>
      <c r="D348" s="2473"/>
      <c r="E348" s="2473"/>
      <c r="F348" s="2473"/>
      <c r="G348" s="2474"/>
    </row>
    <row r="349" spans="1:8" x14ac:dyDescent="0.2">
      <c r="B349" s="700" t="s">
        <v>6703</v>
      </c>
      <c r="C349" s="700" t="s">
        <v>6704</v>
      </c>
      <c r="D349" s="700" t="s">
        <v>6705</v>
      </c>
      <c r="E349" s="700" t="s">
        <v>6706</v>
      </c>
      <c r="F349" s="2475" t="s">
        <v>4</v>
      </c>
      <c r="G349" s="2476"/>
    </row>
    <row r="350" spans="1:8" x14ac:dyDescent="0.2">
      <c r="B350" s="709">
        <f>+B340</f>
        <v>0</v>
      </c>
      <c r="C350" s="701">
        <v>0.6</v>
      </c>
      <c r="D350" s="701">
        <v>1.5</v>
      </c>
      <c r="E350" s="702">
        <f>+B350*C350*D350</f>
        <v>0</v>
      </c>
      <c r="F350" s="2477" t="str">
        <f>+B369</f>
        <v>Tubería en HD 200mm</v>
      </c>
      <c r="G350" s="2470"/>
    </row>
    <row r="351" spans="1:8" x14ac:dyDescent="0.2">
      <c r="B351" s="709">
        <f>+B341</f>
        <v>172</v>
      </c>
      <c r="C351" s="701">
        <v>0.65</v>
      </c>
      <c r="D351" s="701">
        <v>1.5</v>
      </c>
      <c r="E351" s="702">
        <f>+B351*C351*D351</f>
        <v>167.7</v>
      </c>
      <c r="F351" s="2477" t="str">
        <f>+B370</f>
        <v>Tubería en HD 250mm</v>
      </c>
      <c r="G351" s="2470"/>
    </row>
    <row r="352" spans="1:8" x14ac:dyDescent="0.2">
      <c r="B352" s="709">
        <f>+B342</f>
        <v>7615</v>
      </c>
      <c r="C352" s="701">
        <v>0.75</v>
      </c>
      <c r="D352" s="701">
        <v>1.5</v>
      </c>
      <c r="E352" s="702">
        <f>+B352*C352*D352</f>
        <v>8566.875</v>
      </c>
      <c r="F352" s="2477" t="str">
        <f>+B371</f>
        <v>Tubería en HD 350mm</v>
      </c>
      <c r="G352" s="2470"/>
    </row>
    <row r="353" spans="1:7" x14ac:dyDescent="0.2">
      <c r="B353" s="709">
        <f>+B343</f>
        <v>7695</v>
      </c>
      <c r="C353" s="701">
        <v>0.8</v>
      </c>
      <c r="D353" s="701">
        <v>1.5</v>
      </c>
      <c r="E353" s="702">
        <f>+B353*C353*D353</f>
        <v>9234</v>
      </c>
      <c r="F353" s="2477" t="str">
        <f>+B372</f>
        <v>Tubería en HD 400mm</v>
      </c>
      <c r="G353" s="2480"/>
    </row>
    <row r="354" spans="1:7" x14ac:dyDescent="0.2">
      <c r="B354" s="703"/>
      <c r="C354" s="2472" t="s">
        <v>6706</v>
      </c>
      <c r="D354" s="2473"/>
      <c r="E354" s="702">
        <f>SUM(E350:E353)*0.95</f>
        <v>17070.146250000002</v>
      </c>
      <c r="F354" s="703"/>
      <c r="G354" s="703"/>
    </row>
    <row r="355" spans="1:7" x14ac:dyDescent="0.2">
      <c r="E355" s="704"/>
    </row>
    <row r="356" spans="1:7" x14ac:dyDescent="0.2">
      <c r="A356" s="714"/>
      <c r="B356" s="2472" t="s">
        <v>6772</v>
      </c>
      <c r="C356" s="2473"/>
      <c r="D356" s="2473"/>
      <c r="E356" s="2473"/>
      <c r="F356" s="2473"/>
      <c r="G356" s="2474"/>
    </row>
    <row r="357" spans="1:7" x14ac:dyDescent="0.2">
      <c r="B357" s="700" t="s">
        <v>6703</v>
      </c>
      <c r="C357" s="700" t="s">
        <v>6704</v>
      </c>
      <c r="D357" s="700" t="s">
        <v>6705</v>
      </c>
      <c r="E357" s="700" t="s">
        <v>6706</v>
      </c>
      <c r="F357" s="2475" t="s">
        <v>4</v>
      </c>
      <c r="G357" s="2476"/>
    </row>
    <row r="358" spans="1:7" x14ac:dyDescent="0.2">
      <c r="B358" s="701">
        <f t="shared" ref="B358:D361" si="2">+B350</f>
        <v>0</v>
      </c>
      <c r="C358" s="701">
        <f t="shared" si="2"/>
        <v>0.6</v>
      </c>
      <c r="D358" s="701">
        <f t="shared" si="2"/>
        <v>1.5</v>
      </c>
      <c r="E358" s="702">
        <f>+B358*C358*D358</f>
        <v>0</v>
      </c>
      <c r="F358" s="2477" t="str">
        <f>+F350</f>
        <v>Tubería en HD 200mm</v>
      </c>
      <c r="G358" s="2470"/>
    </row>
    <row r="359" spans="1:7" x14ac:dyDescent="0.2">
      <c r="B359" s="701">
        <f t="shared" si="2"/>
        <v>172</v>
      </c>
      <c r="C359" s="701">
        <f t="shared" si="2"/>
        <v>0.65</v>
      </c>
      <c r="D359" s="701">
        <f t="shared" si="2"/>
        <v>1.5</v>
      </c>
      <c r="E359" s="702">
        <f>+B359*C359*D359</f>
        <v>167.7</v>
      </c>
      <c r="F359" s="2477" t="str">
        <f>+F351</f>
        <v>Tubería en HD 250mm</v>
      </c>
      <c r="G359" s="2470"/>
    </row>
    <row r="360" spans="1:7" x14ac:dyDescent="0.2">
      <c r="B360" s="701">
        <f t="shared" si="2"/>
        <v>7615</v>
      </c>
      <c r="C360" s="701">
        <f t="shared" si="2"/>
        <v>0.75</v>
      </c>
      <c r="D360" s="701">
        <f t="shared" si="2"/>
        <v>1.5</v>
      </c>
      <c r="E360" s="702">
        <f>+B360*C360*D360</f>
        <v>8566.875</v>
      </c>
      <c r="F360" s="2477" t="str">
        <f>+F352</f>
        <v>Tubería en HD 350mm</v>
      </c>
      <c r="G360" s="2470"/>
    </row>
    <row r="361" spans="1:7" x14ac:dyDescent="0.2">
      <c r="B361" s="709">
        <f>+B343</f>
        <v>7695</v>
      </c>
      <c r="C361" s="701">
        <f t="shared" si="2"/>
        <v>0.8</v>
      </c>
      <c r="D361" s="701">
        <f t="shared" si="2"/>
        <v>1.5</v>
      </c>
      <c r="E361" s="702">
        <f>+B361*C361*D361</f>
        <v>9234</v>
      </c>
      <c r="F361" s="2477" t="str">
        <f>+F353</f>
        <v>Tubería en HD 400mm</v>
      </c>
      <c r="G361" s="2480"/>
    </row>
    <row r="362" spans="1:7" x14ac:dyDescent="0.2">
      <c r="B362" s="703"/>
      <c r="C362" s="2472" t="s">
        <v>6706</v>
      </c>
      <c r="D362" s="2473"/>
      <c r="E362" s="702">
        <f>SUM(E358:E361)*0.05</f>
        <v>898.42875000000004</v>
      </c>
      <c r="F362" s="703"/>
      <c r="G362" s="703"/>
    </row>
    <row r="366" spans="1:7" x14ac:dyDescent="0.2">
      <c r="A366" s="2471" t="s">
        <v>6773</v>
      </c>
      <c r="B366" s="2471"/>
      <c r="C366" s="2471"/>
      <c r="D366" s="2471"/>
      <c r="E366" s="2471"/>
      <c r="F366" s="2471"/>
      <c r="G366" s="2471"/>
    </row>
    <row r="368" spans="1:7" x14ac:dyDescent="0.2">
      <c r="B368" s="2471" t="s">
        <v>4</v>
      </c>
      <c r="C368" s="2471"/>
      <c r="D368" s="706" t="s">
        <v>6714</v>
      </c>
    </row>
    <row r="369" spans="1:7" x14ac:dyDescent="0.2">
      <c r="B369" s="2477" t="s">
        <v>6774</v>
      </c>
      <c r="C369" s="2480"/>
      <c r="D369" s="708">
        <v>0</v>
      </c>
    </row>
    <row r="370" spans="1:7" x14ac:dyDescent="0.2">
      <c r="B370" s="2477" t="s">
        <v>6775</v>
      </c>
      <c r="C370" s="2480"/>
      <c r="D370" s="708">
        <f>+'Resumen Tuberia'!F70</f>
        <v>10</v>
      </c>
    </row>
    <row r="371" spans="1:7" x14ac:dyDescent="0.2">
      <c r="B371" s="2496" t="s">
        <v>6776</v>
      </c>
      <c r="C371" s="2496"/>
      <c r="D371" s="708">
        <f>+'Resumen Tuberia'!E70</f>
        <v>3911</v>
      </c>
    </row>
    <row r="372" spans="1:7" x14ac:dyDescent="0.2">
      <c r="B372" s="2483" t="s">
        <v>6777</v>
      </c>
      <c r="C372" s="2484"/>
      <c r="D372" s="715">
        <f>+'Resumen Tuberia'!D70</f>
        <v>190</v>
      </c>
    </row>
    <row r="375" spans="1:7" x14ac:dyDescent="0.2">
      <c r="A375" s="2472" t="s">
        <v>6778</v>
      </c>
      <c r="B375" s="2473"/>
      <c r="C375" s="2473"/>
      <c r="D375" s="2473"/>
      <c r="E375" s="2473"/>
      <c r="F375" s="2473"/>
      <c r="G375" s="2474"/>
    </row>
    <row r="377" spans="1:7" x14ac:dyDescent="0.2">
      <c r="B377" s="2472" t="s">
        <v>4</v>
      </c>
      <c r="C377" s="2474"/>
      <c r="D377" s="706" t="s">
        <v>6779</v>
      </c>
      <c r="F377" s="699" t="s">
        <v>6780</v>
      </c>
    </row>
    <row r="378" spans="1:7" x14ac:dyDescent="0.2">
      <c r="B378" s="2469" t="s">
        <v>7216</v>
      </c>
      <c r="C378" s="2470"/>
      <c r="D378" s="708">
        <v>127</v>
      </c>
    </row>
    <row r="379" spans="1:7" x14ac:dyDescent="0.2">
      <c r="B379" s="2469" t="s">
        <v>7390</v>
      </c>
      <c r="C379" s="2470"/>
      <c r="D379" s="708">
        <v>80</v>
      </c>
    </row>
    <row r="380" spans="1:7" x14ac:dyDescent="0.2">
      <c r="B380" s="2469" t="s">
        <v>7219</v>
      </c>
      <c r="C380" s="2470"/>
      <c r="D380" s="708">
        <v>34</v>
      </c>
    </row>
    <row r="381" spans="1:7" x14ac:dyDescent="0.2">
      <c r="B381" s="2469" t="s">
        <v>7220</v>
      </c>
      <c r="C381" s="2470"/>
      <c r="D381" s="708">
        <v>3</v>
      </c>
    </row>
    <row r="382" spans="1:7" x14ac:dyDescent="0.2">
      <c r="B382" s="2469" t="s">
        <v>7393</v>
      </c>
      <c r="C382" s="2470"/>
      <c r="D382" s="708">
        <v>181</v>
      </c>
    </row>
    <row r="383" spans="1:7" x14ac:dyDescent="0.2">
      <c r="B383" s="2469" t="s">
        <v>7394</v>
      </c>
      <c r="C383" s="2470"/>
      <c r="D383" s="708">
        <v>112</v>
      </c>
    </row>
    <row r="384" spans="1:7" x14ac:dyDescent="0.2">
      <c r="B384" s="2469" t="s">
        <v>7400</v>
      </c>
      <c r="C384" s="2470"/>
      <c r="D384" s="708">
        <v>26</v>
      </c>
    </row>
    <row r="385" spans="1:11" x14ac:dyDescent="0.2">
      <c r="B385" s="2469" t="s">
        <v>7401</v>
      </c>
      <c r="C385" s="2470"/>
      <c r="D385" s="708">
        <v>4</v>
      </c>
    </row>
    <row r="386" spans="1:11" x14ac:dyDescent="0.2">
      <c r="B386" s="2472" t="s">
        <v>6706</v>
      </c>
      <c r="C386" s="2474"/>
      <c r="D386" s="716">
        <f>INT(SUM(D378:D385)*0.2)</f>
        <v>113</v>
      </c>
    </row>
    <row r="389" spans="1:11" x14ac:dyDescent="0.2">
      <c r="A389" s="2472" t="s">
        <v>6781</v>
      </c>
      <c r="B389" s="2473"/>
      <c r="C389" s="2473"/>
      <c r="D389" s="2473"/>
      <c r="E389" s="2473"/>
      <c r="F389" s="2473"/>
      <c r="G389" s="2474"/>
    </row>
    <row r="391" spans="1:11" x14ac:dyDescent="0.2">
      <c r="B391" s="706" t="s">
        <v>6703</v>
      </c>
      <c r="C391" s="706" t="s">
        <v>6704</v>
      </c>
      <c r="D391" s="706" t="s">
        <v>6705</v>
      </c>
      <c r="E391" s="706" t="s">
        <v>6706</v>
      </c>
      <c r="F391" s="706" t="s">
        <v>6782</v>
      </c>
    </row>
    <row r="392" spans="1:11" x14ac:dyDescent="0.2">
      <c r="B392" s="1034">
        <f>+D370</f>
        <v>10</v>
      </c>
      <c r="C392" s="708">
        <v>0.65</v>
      </c>
      <c r="D392" s="708">
        <v>0.1</v>
      </c>
      <c r="E392" s="708">
        <f>+B392*C392*D392</f>
        <v>0.65</v>
      </c>
      <c r="F392" s="708" t="str">
        <f>+B443</f>
        <v xml:space="preserve">Tubería DN 250 HD </v>
      </c>
    </row>
    <row r="393" spans="1:11" x14ac:dyDescent="0.2">
      <c r="B393" s="1034">
        <f>+D371</f>
        <v>3911</v>
      </c>
      <c r="C393" s="708">
        <v>0.75</v>
      </c>
      <c r="D393" s="708">
        <v>0.1</v>
      </c>
      <c r="E393" s="708">
        <f>+B393*C393*D393</f>
        <v>293.32499999999999</v>
      </c>
      <c r="F393" s="708" t="str">
        <f>+B444</f>
        <v>Tubería DN 350 HD</v>
      </c>
    </row>
    <row r="394" spans="1:11" x14ac:dyDescent="0.2">
      <c r="B394" s="1034">
        <f>+D372</f>
        <v>190</v>
      </c>
      <c r="C394" s="708">
        <v>0.8</v>
      </c>
      <c r="D394" s="708">
        <v>0.1</v>
      </c>
      <c r="E394" s="708">
        <f>+B394*C394*D394</f>
        <v>15.200000000000001</v>
      </c>
      <c r="F394" s="708" t="str">
        <f>+B445</f>
        <v>Tubería DN 400 HD</v>
      </c>
    </row>
    <row r="395" spans="1:11" x14ac:dyDescent="0.2">
      <c r="C395" s="2472" t="s">
        <v>6706</v>
      </c>
      <c r="D395" s="2474"/>
      <c r="E395" s="717">
        <f>SUM(E392:E393)</f>
        <v>293.97499999999997</v>
      </c>
    </row>
    <row r="398" spans="1:11" x14ac:dyDescent="0.2">
      <c r="A398" s="2472" t="s">
        <v>6783</v>
      </c>
      <c r="B398" s="2473"/>
      <c r="C398" s="2473"/>
      <c r="D398" s="2473"/>
      <c r="E398" s="2473"/>
      <c r="F398" s="2473"/>
      <c r="G398" s="2474"/>
    </row>
    <row r="400" spans="1:11" ht="22.5" x14ac:dyDescent="0.2">
      <c r="B400" s="706" t="s">
        <v>6695</v>
      </c>
      <c r="C400" s="706" t="s">
        <v>7944</v>
      </c>
      <c r="D400" s="706" t="s">
        <v>6715</v>
      </c>
      <c r="E400" s="706" t="s">
        <v>7943</v>
      </c>
      <c r="F400" s="842" t="s">
        <v>7945</v>
      </c>
      <c r="G400" s="842" t="s">
        <v>9000</v>
      </c>
      <c r="H400" s="842" t="s">
        <v>9010</v>
      </c>
      <c r="I400" s="1577" t="s">
        <v>9011</v>
      </c>
      <c r="J400" s="842" t="s">
        <v>7946</v>
      </c>
      <c r="K400" s="842" t="s">
        <v>9001</v>
      </c>
    </row>
    <row r="401" spans="1:14" x14ac:dyDescent="0.2">
      <c r="B401" s="708" t="s">
        <v>6630</v>
      </c>
      <c r="C401" s="708">
        <f>+D369</f>
        <v>0</v>
      </c>
      <c r="D401" s="708">
        <v>35</v>
      </c>
      <c r="E401" s="708">
        <f>+C401*D401</f>
        <v>0</v>
      </c>
      <c r="F401" s="708">
        <v>32.200000000000003</v>
      </c>
      <c r="G401" s="708">
        <f>+(C401*F401)/1000</f>
        <v>0</v>
      </c>
      <c r="H401" s="708">
        <f>(60*F401)/1000</f>
        <v>1.9320000000000002</v>
      </c>
      <c r="I401" s="708">
        <f>+G401/H401</f>
        <v>0</v>
      </c>
      <c r="J401" s="708">
        <f>+D401*ROUNDUP(H401,0)</f>
        <v>70</v>
      </c>
      <c r="K401" s="708">
        <f>+G401*D401</f>
        <v>0</v>
      </c>
    </row>
    <row r="402" spans="1:14" x14ac:dyDescent="0.2">
      <c r="B402" s="708" t="s">
        <v>7218</v>
      </c>
      <c r="C402" s="712">
        <f>+'Resumen Tuberia'!D79</f>
        <v>4911</v>
      </c>
      <c r="D402" s="708">
        <v>35</v>
      </c>
      <c r="E402" s="708">
        <f>+C402*D402</f>
        <v>171885</v>
      </c>
      <c r="F402" s="708">
        <v>42.5</v>
      </c>
      <c r="G402" s="708">
        <f t="shared" ref="G402:G404" si="3">+(C402*F402)/1000</f>
        <v>208.7175</v>
      </c>
      <c r="H402" s="708">
        <f t="shared" ref="H402:H404" si="4">(60*F402)/1000</f>
        <v>2.5499999999999998</v>
      </c>
      <c r="I402" s="708">
        <f t="shared" ref="I402:I404" si="5">+G402/H402</f>
        <v>81.850000000000009</v>
      </c>
      <c r="J402" s="708">
        <f>+D402*ROUNDUP(H402,0)</f>
        <v>105</v>
      </c>
      <c r="K402" s="708">
        <f>+G402*D402</f>
        <v>7305.1125000000002</v>
      </c>
      <c r="M402" s="1581">
        <f>+G402*D402</f>
        <v>7305.1125000000002</v>
      </c>
      <c r="N402" s="1445"/>
    </row>
    <row r="403" spans="1:14" x14ac:dyDescent="0.2">
      <c r="B403" s="708" t="s">
        <v>7391</v>
      </c>
      <c r="C403" s="712">
        <f>+'Resumen Tuberia'!D78</f>
        <v>7766</v>
      </c>
      <c r="D403" s="708">
        <v>35</v>
      </c>
      <c r="E403" s="708">
        <f>+C403*D403</f>
        <v>271810</v>
      </c>
      <c r="F403" s="708">
        <v>67.2</v>
      </c>
      <c r="G403" s="708">
        <f t="shared" si="3"/>
        <v>521.87520000000006</v>
      </c>
      <c r="H403" s="708">
        <f t="shared" si="4"/>
        <v>4.032</v>
      </c>
      <c r="I403" s="708">
        <f t="shared" si="5"/>
        <v>129.43333333333334</v>
      </c>
      <c r="J403" s="708">
        <f>+D403*ROUNDUP(H403,0)</f>
        <v>175</v>
      </c>
      <c r="K403" s="708">
        <f>+G403*D403</f>
        <v>18265.632000000001</v>
      </c>
      <c r="M403" s="1581">
        <f>+G403*D403</f>
        <v>18265.632000000001</v>
      </c>
      <c r="N403" s="1445"/>
    </row>
    <row r="404" spans="1:14" x14ac:dyDescent="0.2">
      <c r="B404" s="708" t="s">
        <v>7709</v>
      </c>
      <c r="C404" s="708">
        <v>0</v>
      </c>
      <c r="D404" s="708">
        <v>0</v>
      </c>
      <c r="E404" s="708">
        <v>0</v>
      </c>
      <c r="F404" s="708">
        <v>80.12</v>
      </c>
      <c r="G404" s="708">
        <f t="shared" si="3"/>
        <v>0</v>
      </c>
      <c r="H404" s="708">
        <f t="shared" si="4"/>
        <v>4.8072000000000008</v>
      </c>
      <c r="I404" s="708">
        <f t="shared" si="5"/>
        <v>0</v>
      </c>
      <c r="J404" s="708"/>
      <c r="K404" s="708">
        <f t="shared" ref="K404" si="6">+G404*D404</f>
        <v>0</v>
      </c>
      <c r="L404" s="820"/>
      <c r="M404" s="1445"/>
      <c r="N404" s="1445"/>
    </row>
    <row r="405" spans="1:14" x14ac:dyDescent="0.2">
      <c r="C405" s="699">
        <f>SUM(C401:C404)</f>
        <v>12677</v>
      </c>
      <c r="D405" s="699">
        <f>SUM(D401:D404)</f>
        <v>105</v>
      </c>
      <c r="E405" s="699">
        <f>SUM(E401:E404)</f>
        <v>443695</v>
      </c>
      <c r="F405" s="820"/>
      <c r="I405" s="1445"/>
      <c r="J405" s="699" t="s">
        <v>7947</v>
      </c>
      <c r="K405" s="708">
        <f>SUM(K401:K403)</f>
        <v>25570.744500000001</v>
      </c>
      <c r="M405" s="1581">
        <f>+M403+M402</f>
        <v>25570.744500000001</v>
      </c>
      <c r="N405" s="1581"/>
    </row>
    <row r="406" spans="1:14" x14ac:dyDescent="0.2">
      <c r="L406" s="1581">
        <f>+M405*22000</f>
        <v>562556379</v>
      </c>
    </row>
    <row r="407" spans="1:14" x14ac:dyDescent="0.2">
      <c r="A407" s="2472" t="s">
        <v>6785</v>
      </c>
      <c r="B407" s="2473"/>
      <c r="C407" s="2473"/>
      <c r="D407" s="2473"/>
      <c r="E407" s="2473"/>
      <c r="F407" s="2473"/>
      <c r="G407" s="2474"/>
    </row>
    <row r="409" spans="1:14" x14ac:dyDescent="0.2">
      <c r="B409" s="2472" t="s">
        <v>6786</v>
      </c>
      <c r="C409" s="2473"/>
      <c r="D409" s="2474"/>
    </row>
    <row r="410" spans="1:14" x14ac:dyDescent="0.2">
      <c r="B410" s="2472" t="s">
        <v>4</v>
      </c>
      <c r="C410" s="2474"/>
      <c r="D410" s="706" t="s">
        <v>6714</v>
      </c>
    </row>
    <row r="411" spans="1:14" ht="11.25" customHeight="1" x14ac:dyDescent="0.2">
      <c r="B411" s="2485" t="s">
        <v>6635</v>
      </c>
      <c r="C411" s="2485"/>
      <c r="D411" s="708">
        <f>+'Resumen Tuberia'!F19</f>
        <v>132</v>
      </c>
    </row>
    <row r="412" spans="1:14" ht="11.25" customHeight="1" x14ac:dyDescent="0.2">
      <c r="B412" s="2485" t="s">
        <v>8077</v>
      </c>
      <c r="C412" s="2485"/>
      <c r="D412" s="712">
        <f>+'Resumen Tuberia'!K90</f>
        <v>3815</v>
      </c>
    </row>
    <row r="413" spans="1:14" x14ac:dyDescent="0.2">
      <c r="B413" s="2485" t="s">
        <v>8076</v>
      </c>
      <c r="C413" s="2485"/>
      <c r="D413" s="712">
        <f>+'Resumen Tuberia'!K91</f>
        <v>3600</v>
      </c>
    </row>
    <row r="417" spans="2:5" x14ac:dyDescent="0.2">
      <c r="B417" s="2472" t="s">
        <v>6787</v>
      </c>
      <c r="C417" s="2473"/>
      <c r="D417" s="2474"/>
    </row>
    <row r="418" spans="2:5" x14ac:dyDescent="0.2">
      <c r="B418" s="2472" t="s">
        <v>4</v>
      </c>
      <c r="C418" s="2474"/>
      <c r="D418" s="706" t="s">
        <v>6779</v>
      </c>
    </row>
    <row r="419" spans="2:5" x14ac:dyDescent="0.2">
      <c r="B419" s="2469" t="str">
        <f t="shared" ref="B419:B429" si="7">+B449</f>
        <v>Reducciones de 350 MM a 250 MM HD</v>
      </c>
      <c r="C419" s="2470"/>
      <c r="D419" s="708">
        <v>8</v>
      </c>
    </row>
    <row r="420" spans="2:5" x14ac:dyDescent="0.2">
      <c r="B420" s="2469" t="str">
        <f t="shared" si="7"/>
        <v>Codos  250 MM x 11,25° HD</v>
      </c>
      <c r="C420" s="2470"/>
      <c r="D420" s="727">
        <f>+'Resumen Tuberia'!E93</f>
        <v>53.939599999999999</v>
      </c>
    </row>
    <row r="421" spans="2:5" x14ac:dyDescent="0.2">
      <c r="B421" s="2469" t="str">
        <f t="shared" si="7"/>
        <v>Codos 250 MM x 22,5° HD</v>
      </c>
      <c r="C421" s="2470"/>
      <c r="D421" s="727">
        <f>+'Resumen Tuberia'!E94</f>
        <v>37.757719999999999</v>
      </c>
    </row>
    <row r="422" spans="2:5" x14ac:dyDescent="0.2">
      <c r="B422" s="2469" t="str">
        <f t="shared" si="7"/>
        <v>Codos 250 MM x 45° HD</v>
      </c>
      <c r="C422" s="2470"/>
      <c r="D422" s="727">
        <f>+'Resumen Tuberia'!E95</f>
        <v>12.945504</v>
      </c>
    </row>
    <row r="423" spans="2:5" x14ac:dyDescent="0.2">
      <c r="B423" s="2469" t="str">
        <f t="shared" si="7"/>
        <v>Codos 250 MM x 90° HD</v>
      </c>
      <c r="C423" s="2470"/>
      <c r="D423" s="727">
        <f>+'Resumen Tuberia'!E96</f>
        <v>3.2363759999999999</v>
      </c>
    </row>
    <row r="424" spans="2:5" x14ac:dyDescent="0.2">
      <c r="B424" s="2469" t="str">
        <f t="shared" si="7"/>
        <v>Codos  350 MM x 11,25° HD</v>
      </c>
      <c r="C424" s="2470"/>
      <c r="D424" s="727">
        <f>+'Resumen Tuberia'!D93</f>
        <v>137.02260000000001</v>
      </c>
    </row>
    <row r="425" spans="2:5" x14ac:dyDescent="0.2">
      <c r="B425" s="2469" t="str">
        <f t="shared" si="7"/>
        <v>Codos 350 MM x 22,5° HD</v>
      </c>
      <c r="C425" s="2470"/>
      <c r="D425" s="727">
        <f>+'Resumen Tuberia'!D94</f>
        <v>95.915819999999997</v>
      </c>
    </row>
    <row r="426" spans="2:5" x14ac:dyDescent="0.2">
      <c r="B426" s="2469" t="str">
        <f t="shared" si="7"/>
        <v>Codos 350 MM x 45° HD</v>
      </c>
      <c r="C426" s="2470"/>
      <c r="D426" s="727">
        <f>+'Resumen Tuberia'!D95</f>
        <v>32.885424</v>
      </c>
    </row>
    <row r="427" spans="2:5" x14ac:dyDescent="0.2">
      <c r="B427" s="2469" t="str">
        <f t="shared" si="7"/>
        <v>Codos 350 MM x 90° HD</v>
      </c>
      <c r="C427" s="2470"/>
      <c r="D427" s="727">
        <f>+'Resumen Tuberia'!D96</f>
        <v>8.2213560000000001</v>
      </c>
    </row>
    <row r="428" spans="2:5" x14ac:dyDescent="0.2">
      <c r="B428" s="2486" t="str">
        <f t="shared" si="7"/>
        <v>Codos 400 MM x 11,25° HD</v>
      </c>
      <c r="C428" s="2487"/>
      <c r="D428" s="727">
        <f>+'Resumen Tuberia'!C93</f>
        <v>109.6524</v>
      </c>
    </row>
    <row r="429" spans="2:5" x14ac:dyDescent="0.2">
      <c r="B429" s="2486" t="str">
        <f t="shared" si="7"/>
        <v>Codos 400 MM x 22,5° HD</v>
      </c>
      <c r="C429" s="2487"/>
      <c r="D429" s="727">
        <f>+'Resumen Tuberia'!C94</f>
        <v>76.756679999999989</v>
      </c>
    </row>
    <row r="430" spans="2:5" x14ac:dyDescent="0.2">
      <c r="B430" s="2486" t="str">
        <f t="shared" ref="B430:B435" si="8">+B460</f>
        <v>Codos 400 MM x 45° HD</v>
      </c>
      <c r="C430" s="2487"/>
      <c r="D430" s="727">
        <f>+'Resumen Tuberia'!C95</f>
        <v>26.316575999999998</v>
      </c>
    </row>
    <row r="431" spans="2:5" x14ac:dyDescent="0.2">
      <c r="B431" s="2486" t="str">
        <f t="shared" si="8"/>
        <v>Codos 400 MM x 90° HD</v>
      </c>
      <c r="C431" s="2487"/>
      <c r="D431" s="727">
        <f>+'Resumen Tuberia'!C96</f>
        <v>6.5791439999999994</v>
      </c>
    </row>
    <row r="432" spans="2:5" x14ac:dyDescent="0.2">
      <c r="B432" s="2486" t="str">
        <f t="shared" si="8"/>
        <v>Tapones bridados 4" HD</v>
      </c>
      <c r="C432" s="2487"/>
      <c r="D432" s="708">
        <f>+D462</f>
        <v>18</v>
      </c>
      <c r="E432" s="719"/>
    </row>
    <row r="433" spans="1:7" x14ac:dyDescent="0.2">
      <c r="B433" s="2486" t="str">
        <f t="shared" si="8"/>
        <v>Unión universal (30 mm) 250 MM HD</v>
      </c>
      <c r="C433" s="2487"/>
      <c r="D433" s="708">
        <f>+D463</f>
        <v>223</v>
      </c>
    </row>
    <row r="434" spans="1:7" x14ac:dyDescent="0.2">
      <c r="B434" s="2486" t="str">
        <f t="shared" si="8"/>
        <v>Unión universal (30 mm) 350 MM HD</v>
      </c>
      <c r="C434" s="2487"/>
      <c r="D434" s="708">
        <f>+D464</f>
        <v>476</v>
      </c>
    </row>
    <row r="435" spans="1:7" x14ac:dyDescent="0.2">
      <c r="B435" s="2486" t="str">
        <f t="shared" si="8"/>
        <v>Unión universal (30 mm) 400 MM HD</v>
      </c>
      <c r="C435" s="2487"/>
      <c r="D435" s="708">
        <f>+D465</f>
        <v>375</v>
      </c>
    </row>
    <row r="438" spans="1:7" x14ac:dyDescent="0.2">
      <c r="A438" s="2472" t="s">
        <v>6788</v>
      </c>
      <c r="B438" s="2473"/>
      <c r="C438" s="2473"/>
      <c r="D438" s="2473"/>
      <c r="E438" s="2473"/>
      <c r="F438" s="2473"/>
      <c r="G438" s="2474"/>
    </row>
    <row r="440" spans="1:7" x14ac:dyDescent="0.2">
      <c r="B440" s="2472" t="s">
        <v>6786</v>
      </c>
      <c r="C440" s="2473"/>
      <c r="D440" s="2474"/>
    </row>
    <row r="441" spans="1:7" x14ac:dyDescent="0.2">
      <c r="B441" s="2472" t="s">
        <v>4</v>
      </c>
      <c r="C441" s="2474"/>
      <c r="D441" s="706" t="s">
        <v>6714</v>
      </c>
    </row>
    <row r="442" spans="1:7" x14ac:dyDescent="0.2">
      <c r="B442" s="2498" t="s">
        <v>6635</v>
      </c>
      <c r="C442" s="2499"/>
      <c r="D442" s="727">
        <f>+D411</f>
        <v>132</v>
      </c>
    </row>
    <row r="443" spans="1:7" x14ac:dyDescent="0.2">
      <c r="B443" s="2469" t="s">
        <v>6638</v>
      </c>
      <c r="C443" s="2470"/>
      <c r="D443" s="727">
        <f>+'Resumen Tuberia'!F69+'Resumen Tuberia'!F70</f>
        <v>172</v>
      </c>
    </row>
    <row r="444" spans="1:7" x14ac:dyDescent="0.2">
      <c r="B444" s="2469" t="s">
        <v>6639</v>
      </c>
      <c r="C444" s="2470"/>
      <c r="D444" s="727">
        <f>+'Resumen Tuberia'!E69+'Resumen Tuberia'!E70</f>
        <v>7615</v>
      </c>
    </row>
    <row r="445" spans="1:7" x14ac:dyDescent="0.2">
      <c r="B445" s="2469" t="s">
        <v>6682</v>
      </c>
      <c r="C445" s="2470"/>
      <c r="D445" s="727">
        <f>+'Resumen Tuberia'!D69+'Resumen Tuberia'!D70</f>
        <v>7695</v>
      </c>
    </row>
    <row r="447" spans="1:7" x14ac:dyDescent="0.2">
      <c r="B447" s="2472" t="s">
        <v>6787</v>
      </c>
      <c r="C447" s="2473"/>
      <c r="D447" s="2474"/>
      <c r="E447" s="720"/>
    </row>
    <row r="448" spans="1:7" x14ac:dyDescent="0.2">
      <c r="B448" s="2472" t="s">
        <v>4</v>
      </c>
      <c r="C448" s="2474"/>
      <c r="D448" s="706" t="s">
        <v>6779</v>
      </c>
      <c r="E448" s="720"/>
    </row>
    <row r="449" spans="1:5" x14ac:dyDescent="0.2">
      <c r="A449" s="713"/>
      <c r="B449" s="2469" t="s">
        <v>7392</v>
      </c>
      <c r="C449" s="2470"/>
      <c r="D449" s="727">
        <f>+D419</f>
        <v>8</v>
      </c>
      <c r="E449" s="720"/>
    </row>
    <row r="450" spans="1:5" x14ac:dyDescent="0.2">
      <c r="A450" s="713"/>
      <c r="B450" s="2469" t="str">
        <f t="shared" ref="B450:B457" si="9">+B378</f>
        <v>Codos  250 MM x 11,25° HD</v>
      </c>
      <c r="C450" s="2470"/>
      <c r="D450" s="727">
        <f t="shared" ref="D450:D461" si="10">+D420</f>
        <v>53.939599999999999</v>
      </c>
      <c r="E450" s="721"/>
    </row>
    <row r="451" spans="1:5" x14ac:dyDescent="0.2">
      <c r="A451" s="713"/>
      <c r="B451" s="2469" t="str">
        <f t="shared" si="9"/>
        <v>Codos 250 MM x 22,5° HD</v>
      </c>
      <c r="C451" s="2470"/>
      <c r="D451" s="727">
        <f t="shared" si="10"/>
        <v>37.757719999999999</v>
      </c>
      <c r="E451" s="721"/>
    </row>
    <row r="452" spans="1:5" x14ac:dyDescent="0.2">
      <c r="A452" s="713"/>
      <c r="B452" s="2469" t="str">
        <f t="shared" si="9"/>
        <v>Codos 250 MM x 45° HD</v>
      </c>
      <c r="C452" s="2470"/>
      <c r="D452" s="727">
        <f t="shared" si="10"/>
        <v>12.945504</v>
      </c>
      <c r="E452" s="721"/>
    </row>
    <row r="453" spans="1:5" x14ac:dyDescent="0.2">
      <c r="A453" s="713"/>
      <c r="B453" s="2469" t="str">
        <f t="shared" si="9"/>
        <v>Codos 250 MM x 90° HD</v>
      </c>
      <c r="C453" s="2470"/>
      <c r="D453" s="727">
        <f t="shared" si="10"/>
        <v>3.2363759999999999</v>
      </c>
      <c r="E453" s="721"/>
    </row>
    <row r="454" spans="1:5" x14ac:dyDescent="0.2">
      <c r="A454" s="713"/>
      <c r="B454" s="2469" t="str">
        <f t="shared" si="9"/>
        <v>Codos  350 MM x 11,25° HD</v>
      </c>
      <c r="C454" s="2470"/>
      <c r="D454" s="727">
        <f t="shared" si="10"/>
        <v>137.02260000000001</v>
      </c>
      <c r="E454" s="721"/>
    </row>
    <row r="455" spans="1:5" x14ac:dyDescent="0.2">
      <c r="A455" s="713"/>
      <c r="B455" s="2469" t="str">
        <f t="shared" si="9"/>
        <v>Codos 350 MM x 22,5° HD</v>
      </c>
      <c r="C455" s="2470"/>
      <c r="D455" s="727">
        <f t="shared" si="10"/>
        <v>95.915819999999997</v>
      </c>
      <c r="E455" s="721"/>
    </row>
    <row r="456" spans="1:5" x14ac:dyDescent="0.2">
      <c r="A456" s="713"/>
      <c r="B456" s="2469" t="str">
        <f t="shared" si="9"/>
        <v>Codos 350 MM x 45° HD</v>
      </c>
      <c r="C456" s="2470"/>
      <c r="D456" s="727">
        <f t="shared" si="10"/>
        <v>32.885424</v>
      </c>
      <c r="E456" s="721"/>
    </row>
    <row r="457" spans="1:5" x14ac:dyDescent="0.2">
      <c r="A457" s="713"/>
      <c r="B457" s="2469" t="str">
        <f t="shared" si="9"/>
        <v>Codos 350 MM x 90° HD</v>
      </c>
      <c r="C457" s="2470"/>
      <c r="D457" s="727">
        <f t="shared" si="10"/>
        <v>8.2213560000000001</v>
      </c>
      <c r="E457" s="721"/>
    </row>
    <row r="458" spans="1:5" x14ac:dyDescent="0.2">
      <c r="A458" s="713"/>
      <c r="B458" s="2486" t="s">
        <v>7710</v>
      </c>
      <c r="C458" s="2487"/>
      <c r="D458" s="727">
        <f t="shared" si="10"/>
        <v>109.6524</v>
      </c>
      <c r="E458" s="720"/>
    </row>
    <row r="459" spans="1:5" x14ac:dyDescent="0.2">
      <c r="A459" s="713"/>
      <c r="B459" s="2486" t="s">
        <v>7711</v>
      </c>
      <c r="C459" s="2487"/>
      <c r="D459" s="727">
        <f t="shared" si="10"/>
        <v>76.756679999999989</v>
      </c>
      <c r="E459" s="720"/>
    </row>
    <row r="460" spans="1:5" x14ac:dyDescent="0.2">
      <c r="A460" s="713"/>
      <c r="B460" s="2486" t="s">
        <v>8079</v>
      </c>
      <c r="C460" s="2487"/>
      <c r="D460" s="727">
        <f t="shared" si="10"/>
        <v>26.316575999999998</v>
      </c>
      <c r="E460" s="720"/>
    </row>
    <row r="461" spans="1:5" x14ac:dyDescent="0.2">
      <c r="A461" s="713"/>
      <c r="B461" s="2486" t="s">
        <v>8080</v>
      </c>
      <c r="C461" s="2487"/>
      <c r="D461" s="727">
        <f t="shared" si="10"/>
        <v>6.5791439999999994</v>
      </c>
      <c r="E461" s="720"/>
    </row>
    <row r="462" spans="1:5" x14ac:dyDescent="0.2">
      <c r="A462" s="713"/>
      <c r="B462" s="2469" t="s">
        <v>6636</v>
      </c>
      <c r="C462" s="2470"/>
      <c r="D462" s="708">
        <v>18</v>
      </c>
      <c r="E462" s="719"/>
    </row>
    <row r="463" spans="1:5" x14ac:dyDescent="0.2">
      <c r="A463" s="713"/>
      <c r="B463" s="2469" t="s">
        <v>7215</v>
      </c>
      <c r="C463" s="2470"/>
      <c r="D463" s="708">
        <f>+ROUND(SUM(D450:D453)*2*0.8+D466*2,0)</f>
        <v>223</v>
      </c>
    </row>
    <row r="464" spans="1:5" x14ac:dyDescent="0.2">
      <c r="A464" s="713"/>
      <c r="B464" s="2469" t="s">
        <v>7395</v>
      </c>
      <c r="C464" s="2470"/>
      <c r="D464" s="708">
        <f>+ROUND(SUM(D454:D457)*2*0.8+D467*2,0)</f>
        <v>476</v>
      </c>
    </row>
    <row r="465" spans="1:7" x14ac:dyDescent="0.2">
      <c r="A465" s="713"/>
      <c r="B465" s="2486" t="s">
        <v>7712</v>
      </c>
      <c r="C465" s="2487"/>
      <c r="D465" s="708">
        <f>+ROUND(SUM(D458:D461)*2*0.8+D468*2,0)</f>
        <v>375</v>
      </c>
    </row>
    <row r="466" spans="1:7" x14ac:dyDescent="0.2">
      <c r="A466" s="713"/>
      <c r="B466" s="2500" t="s">
        <v>6640</v>
      </c>
      <c r="C466" s="2501"/>
      <c r="D466" s="715">
        <v>25</v>
      </c>
    </row>
    <row r="467" spans="1:7" x14ac:dyDescent="0.2">
      <c r="A467" s="713"/>
      <c r="B467" s="2500" t="s">
        <v>6641</v>
      </c>
      <c r="C467" s="2501"/>
      <c r="D467" s="715">
        <v>19</v>
      </c>
    </row>
    <row r="468" spans="1:7" x14ac:dyDescent="0.2">
      <c r="A468" s="713"/>
      <c r="B468" s="2500" t="s">
        <v>6683</v>
      </c>
      <c r="C468" s="2501"/>
      <c r="D468" s="715">
        <v>12</v>
      </c>
    </row>
    <row r="469" spans="1:7" x14ac:dyDescent="0.2">
      <c r="B469" s="703"/>
      <c r="C469" s="703"/>
      <c r="D469" s="720"/>
    </row>
    <row r="471" spans="1:7" x14ac:dyDescent="0.2">
      <c r="A471" s="2472" t="s">
        <v>6789</v>
      </c>
      <c r="B471" s="2473"/>
      <c r="C471" s="2473"/>
      <c r="D471" s="2473"/>
      <c r="E471" s="2473"/>
      <c r="F471" s="2473"/>
      <c r="G471" s="2474"/>
    </row>
    <row r="473" spans="1:7" x14ac:dyDescent="0.2">
      <c r="B473" s="2472" t="s">
        <v>6790</v>
      </c>
      <c r="C473" s="2473"/>
      <c r="D473" s="2473"/>
      <c r="E473" s="2473"/>
      <c r="F473" s="2474"/>
    </row>
    <row r="474" spans="1:7" x14ac:dyDescent="0.2">
      <c r="B474" s="706" t="s">
        <v>6791</v>
      </c>
      <c r="C474" s="706" t="s">
        <v>6792</v>
      </c>
      <c r="D474" s="706" t="s">
        <v>6705</v>
      </c>
      <c r="E474" s="706" t="s">
        <v>6793</v>
      </c>
      <c r="F474" s="706" t="s">
        <v>4</v>
      </c>
    </row>
    <row r="475" spans="1:7" x14ac:dyDescent="0.2">
      <c r="B475" s="708">
        <v>0.25</v>
      </c>
      <c r="C475" s="708">
        <f>+C392</f>
        <v>0.65</v>
      </c>
      <c r="D475" s="708">
        <v>1</v>
      </c>
      <c r="E475" s="710">
        <f>+(C475*D475-PI()*(B475^2)/4)*D443</f>
        <v>103.35696974347745</v>
      </c>
      <c r="F475" s="708" t="str">
        <f>+B443</f>
        <v xml:space="preserve">Tubería DN 250 HD </v>
      </c>
    </row>
    <row r="476" spans="1:7" x14ac:dyDescent="0.2">
      <c r="B476" s="708">
        <v>0.35</v>
      </c>
      <c r="C476" s="708">
        <f>+C393</f>
        <v>0.75</v>
      </c>
      <c r="D476" s="708">
        <v>1.1000000000000001</v>
      </c>
      <c r="E476" s="710">
        <f>+(C476*D476-PI()*(B476^2)/4)*D444</f>
        <v>5549.7261407517335</v>
      </c>
      <c r="F476" s="708" t="str">
        <f>+B444</f>
        <v>Tubería DN 350 HD</v>
      </c>
    </row>
    <row r="477" spans="1:7" x14ac:dyDescent="0.2">
      <c r="B477" s="708">
        <v>0.4</v>
      </c>
      <c r="C477" s="708">
        <f>+C394</f>
        <v>0.8</v>
      </c>
      <c r="D477" s="708">
        <v>1.2</v>
      </c>
      <c r="E477" s="710">
        <f>+(C477*D477-PI()*(B477^2)/4)*D445</f>
        <v>6420.217781225062</v>
      </c>
      <c r="F477" s="708" t="str">
        <f>+B445</f>
        <v>Tubería DN 400 HD</v>
      </c>
    </row>
    <row r="478" spans="1:7" x14ac:dyDescent="0.2">
      <c r="B478" s="720"/>
      <c r="C478" s="2472" t="s">
        <v>6706</v>
      </c>
      <c r="D478" s="2474"/>
      <c r="E478" s="710">
        <f>SUM(E475:E477)</f>
        <v>12073.300891720273</v>
      </c>
      <c r="F478" s="720"/>
    </row>
    <row r="480" spans="1:7" x14ac:dyDescent="0.2">
      <c r="B480" s="2472" t="s">
        <v>6794</v>
      </c>
      <c r="C480" s="2473"/>
      <c r="D480" s="2473"/>
      <c r="E480" s="2473"/>
      <c r="F480" s="2474"/>
    </row>
    <row r="481" spans="1:7" ht="22.5" x14ac:dyDescent="0.2">
      <c r="B481" s="706" t="s">
        <v>6714</v>
      </c>
      <c r="C481" s="706" t="s">
        <v>6792</v>
      </c>
      <c r="D481" s="706" t="s">
        <v>6705</v>
      </c>
      <c r="E481" s="706" t="s">
        <v>6795</v>
      </c>
      <c r="F481" s="706" t="s">
        <v>4</v>
      </c>
    </row>
    <row r="482" spans="1:7" x14ac:dyDescent="0.2">
      <c r="B482" s="708">
        <f>+D443</f>
        <v>172</v>
      </c>
      <c r="C482" s="708">
        <f>+C475</f>
        <v>0.65</v>
      </c>
      <c r="D482" s="708">
        <v>0.25</v>
      </c>
      <c r="E482" s="708">
        <f>+B482*C482*D482</f>
        <v>27.95</v>
      </c>
      <c r="F482" s="708" t="str">
        <f>+B443</f>
        <v xml:space="preserve">Tubería DN 250 HD </v>
      </c>
    </row>
    <row r="483" spans="1:7" x14ac:dyDescent="0.2">
      <c r="B483" s="708">
        <f>+D444</f>
        <v>7615</v>
      </c>
      <c r="C483" s="708">
        <f>+C476</f>
        <v>0.75</v>
      </c>
      <c r="D483" s="708">
        <v>0.25</v>
      </c>
      <c r="E483" s="708">
        <f>+B483*C483*D483</f>
        <v>1427.8125</v>
      </c>
      <c r="F483" s="708" t="str">
        <f>+B444</f>
        <v>Tubería DN 350 HD</v>
      </c>
    </row>
    <row r="484" spans="1:7" x14ac:dyDescent="0.2">
      <c r="B484" s="708">
        <f>+D445</f>
        <v>7695</v>
      </c>
      <c r="C484" s="708">
        <f>+C477</f>
        <v>0.8</v>
      </c>
      <c r="D484" s="708">
        <v>0.25</v>
      </c>
      <c r="E484" s="708">
        <f>+B484*C484*D484</f>
        <v>1539</v>
      </c>
      <c r="F484" s="708" t="str">
        <f>+B445</f>
        <v>Tubería DN 400 HD</v>
      </c>
    </row>
    <row r="485" spans="1:7" x14ac:dyDescent="0.2">
      <c r="C485" s="2472" t="s">
        <v>6706</v>
      </c>
      <c r="D485" s="2474"/>
      <c r="E485" s="708">
        <f>SUM(E482:E484)</f>
        <v>2994.7624999999998</v>
      </c>
    </row>
    <row r="488" spans="1:7" x14ac:dyDescent="0.2">
      <c r="A488" s="2472" t="s">
        <v>6796</v>
      </c>
      <c r="B488" s="2473"/>
      <c r="C488" s="2473"/>
      <c r="D488" s="2473"/>
      <c r="E488" s="2473"/>
      <c r="F488" s="2473"/>
      <c r="G488" s="2474"/>
    </row>
    <row r="489" spans="1:7" x14ac:dyDescent="0.2">
      <c r="B489" s="699" t="s">
        <v>7074</v>
      </c>
    </row>
    <row r="491" spans="1:7" x14ac:dyDescent="0.2">
      <c r="A491" s="2472" t="s">
        <v>6797</v>
      </c>
      <c r="B491" s="2473"/>
      <c r="C491" s="2473"/>
      <c r="D491" s="2473"/>
      <c r="E491" s="2473"/>
      <c r="F491" s="2473"/>
      <c r="G491" s="2474"/>
    </row>
    <row r="492" spans="1:7" x14ac:dyDescent="0.2">
      <c r="B492" s="699" t="s">
        <v>7075</v>
      </c>
    </row>
    <row r="494" spans="1:7" x14ac:dyDescent="0.2">
      <c r="A494" s="2472" t="s">
        <v>6798</v>
      </c>
      <c r="B494" s="2473"/>
      <c r="C494" s="2473"/>
      <c r="D494" s="2473"/>
      <c r="E494" s="2473"/>
      <c r="F494" s="2473"/>
      <c r="G494" s="2474"/>
    </row>
    <row r="496" spans="1:7" x14ac:dyDescent="0.2">
      <c r="B496" s="2472" t="s">
        <v>4</v>
      </c>
      <c r="C496" s="2474"/>
      <c r="D496" s="706" t="s">
        <v>6799</v>
      </c>
    </row>
    <row r="497" spans="1:8" x14ac:dyDescent="0.2">
      <c r="B497" s="2469" t="s">
        <v>7217</v>
      </c>
      <c r="C497" s="2470"/>
      <c r="D497" s="708">
        <f>+ROUND(SUM(D450:D453)*2*0.7,0)</f>
        <v>151</v>
      </c>
    </row>
    <row r="498" spans="1:8" x14ac:dyDescent="0.2">
      <c r="B498" s="2469" t="s">
        <v>7396</v>
      </c>
      <c r="C498" s="2470"/>
      <c r="D498" s="708">
        <f>+ROUND(SUM(D454:D457)*2*0.7,0)</f>
        <v>384</v>
      </c>
    </row>
    <row r="499" spans="1:8" x14ac:dyDescent="0.2">
      <c r="B499" s="2495" t="s">
        <v>8084</v>
      </c>
      <c r="C499" s="2495"/>
      <c r="D499" s="708">
        <v>50</v>
      </c>
    </row>
    <row r="502" spans="1:8" x14ac:dyDescent="0.2">
      <c r="A502" s="2472" t="s">
        <v>6800</v>
      </c>
      <c r="B502" s="2473"/>
      <c r="C502" s="2473"/>
      <c r="D502" s="2473"/>
      <c r="E502" s="2473"/>
      <c r="F502" s="2473"/>
      <c r="G502" s="2474"/>
    </row>
    <row r="505" spans="1:8" x14ac:dyDescent="0.2">
      <c r="B505" s="2472" t="s">
        <v>6801</v>
      </c>
      <c r="C505" s="2473"/>
      <c r="D505" s="2473"/>
      <c r="E505" s="2473"/>
      <c r="F505" s="2473"/>
      <c r="G505" s="2473"/>
      <c r="H505" s="2474"/>
    </row>
    <row r="506" spans="1:8" x14ac:dyDescent="0.2">
      <c r="B506" s="706" t="s">
        <v>6703</v>
      </c>
      <c r="C506" s="706" t="s">
        <v>6704</v>
      </c>
      <c r="D506" s="706" t="s">
        <v>6705</v>
      </c>
      <c r="E506" s="706" t="s">
        <v>6</v>
      </c>
      <c r="F506" s="706" t="s">
        <v>6706</v>
      </c>
      <c r="G506" s="2472" t="s">
        <v>4</v>
      </c>
      <c r="H506" s="2474"/>
    </row>
    <row r="507" spans="1:8" x14ac:dyDescent="0.2">
      <c r="B507" s="708">
        <v>3.5</v>
      </c>
      <c r="C507" s="708">
        <v>0.25</v>
      </c>
      <c r="D507" s="712">
        <v>2.2999999999999998</v>
      </c>
      <c r="E507" s="701">
        <v>2</v>
      </c>
      <c r="F507" s="702">
        <f>+B507*C507*D507*E507</f>
        <v>4.0249999999999995</v>
      </c>
      <c r="G507" s="2469" t="s">
        <v>6802</v>
      </c>
      <c r="H507" s="2470"/>
    </row>
    <row r="508" spans="1:8" x14ac:dyDescent="0.2">
      <c r="B508" s="708">
        <f>4.55+C508*2</f>
        <v>5.05</v>
      </c>
      <c r="C508" s="708">
        <v>0.25</v>
      </c>
      <c r="D508" s="712">
        <f>+D507</f>
        <v>2.2999999999999998</v>
      </c>
      <c r="E508" s="701">
        <v>2</v>
      </c>
      <c r="F508" s="702">
        <f>+B508*C508*D508*E508</f>
        <v>5.8074999999999992</v>
      </c>
      <c r="G508" s="2469" t="s">
        <v>6802</v>
      </c>
      <c r="H508" s="2470"/>
    </row>
    <row r="509" spans="1:8" x14ac:dyDescent="0.2">
      <c r="B509" s="708">
        <f>+B508</f>
        <v>5.05</v>
      </c>
      <c r="C509" s="708">
        <f>+C508</f>
        <v>0.25</v>
      </c>
      <c r="D509" s="712">
        <f>+B507+C508*2</f>
        <v>4</v>
      </c>
      <c r="E509" s="701">
        <v>1</v>
      </c>
      <c r="F509" s="702">
        <f>+B509*C509*D509*E509-PI()*0.6^2/4</f>
        <v>4.7672566611769183</v>
      </c>
      <c r="G509" s="2469" t="s">
        <v>6803</v>
      </c>
      <c r="H509" s="2470"/>
    </row>
    <row r="510" spans="1:8" x14ac:dyDescent="0.2">
      <c r="B510" s="708">
        <f>+B509</f>
        <v>5.05</v>
      </c>
      <c r="C510" s="708">
        <v>0.3</v>
      </c>
      <c r="D510" s="712">
        <f>+D509</f>
        <v>4</v>
      </c>
      <c r="E510" s="701">
        <v>1</v>
      </c>
      <c r="F510" s="702">
        <f>+B510*C510*D510*E510</f>
        <v>6.06</v>
      </c>
      <c r="G510" s="2469" t="s">
        <v>6804</v>
      </c>
      <c r="H510" s="2470"/>
    </row>
    <row r="511" spans="1:8" x14ac:dyDescent="0.2">
      <c r="B511" s="708">
        <v>3.5</v>
      </c>
      <c r="C511" s="708">
        <v>0.25</v>
      </c>
      <c r="D511" s="712">
        <v>2.38</v>
      </c>
      <c r="E511" s="701">
        <v>2</v>
      </c>
      <c r="F511" s="702">
        <f>+B511*C511*D511*E511</f>
        <v>4.165</v>
      </c>
      <c r="G511" s="2469" t="s">
        <v>6805</v>
      </c>
      <c r="H511" s="2470"/>
    </row>
    <row r="512" spans="1:8" x14ac:dyDescent="0.2">
      <c r="B512" s="708">
        <f>4.45+C512*2</f>
        <v>4.95</v>
      </c>
      <c r="C512" s="708">
        <v>0.25</v>
      </c>
      <c r="D512" s="712">
        <f>+D511</f>
        <v>2.38</v>
      </c>
      <c r="E512" s="701">
        <v>2</v>
      </c>
      <c r="F512" s="702">
        <f>+B512*C512*D512*E512</f>
        <v>5.8905000000000003</v>
      </c>
      <c r="G512" s="2469" t="s">
        <v>6805</v>
      </c>
      <c r="H512" s="2470"/>
    </row>
    <row r="513" spans="2:8" x14ac:dyDescent="0.2">
      <c r="B513" s="708">
        <f>+B512</f>
        <v>4.95</v>
      </c>
      <c r="C513" s="708">
        <v>0.3</v>
      </c>
      <c r="D513" s="712">
        <f>+B511+C512*2</f>
        <v>4</v>
      </c>
      <c r="E513" s="701">
        <v>1</v>
      </c>
      <c r="F513" s="702">
        <f>+B513*C513*D513*E513-PI()*0.6^2/4</f>
        <v>5.6572566611769188</v>
      </c>
      <c r="G513" s="2469" t="s">
        <v>6806</v>
      </c>
      <c r="H513" s="2470"/>
    </row>
    <row r="514" spans="2:8" x14ac:dyDescent="0.2">
      <c r="B514" s="708">
        <f>+B513</f>
        <v>4.95</v>
      </c>
      <c r="C514" s="708">
        <v>0.3</v>
      </c>
      <c r="D514" s="712">
        <f>+D513</f>
        <v>4</v>
      </c>
      <c r="E514" s="701">
        <v>1</v>
      </c>
      <c r="F514" s="702">
        <f>+B514*C514*D514*E514</f>
        <v>5.94</v>
      </c>
      <c r="G514" s="2469" t="s">
        <v>6807</v>
      </c>
      <c r="H514" s="2470"/>
    </row>
    <row r="515" spans="2:8" x14ac:dyDescent="0.2">
      <c r="B515" s="708">
        <v>3.45</v>
      </c>
      <c r="C515" s="708">
        <v>0.25</v>
      </c>
      <c r="D515" s="712">
        <v>2.1800000000000002</v>
      </c>
      <c r="E515" s="701">
        <v>2</v>
      </c>
      <c r="F515" s="702">
        <f>+B515*C515*D515*E515</f>
        <v>3.7605000000000004</v>
      </c>
      <c r="G515" s="2469" t="s">
        <v>6805</v>
      </c>
      <c r="H515" s="2470"/>
    </row>
    <row r="516" spans="2:8" x14ac:dyDescent="0.2">
      <c r="B516" s="708">
        <f>4.55+C516*2</f>
        <v>5.05</v>
      </c>
      <c r="C516" s="708">
        <v>0.25</v>
      </c>
      <c r="D516" s="712">
        <f>+D515</f>
        <v>2.1800000000000002</v>
      </c>
      <c r="E516" s="701">
        <v>2</v>
      </c>
      <c r="F516" s="702">
        <f>+B516*C516*D516*E516</f>
        <v>5.5045000000000002</v>
      </c>
      <c r="G516" s="2469" t="s">
        <v>6805</v>
      </c>
      <c r="H516" s="2470"/>
    </row>
    <row r="517" spans="2:8" x14ac:dyDescent="0.2">
      <c r="B517" s="708">
        <f>+B516</f>
        <v>5.05</v>
      </c>
      <c r="C517" s="708">
        <v>0.3</v>
      </c>
      <c r="D517" s="712">
        <f>+B515+C516*2</f>
        <v>3.95</v>
      </c>
      <c r="E517" s="701">
        <v>1</v>
      </c>
      <c r="F517" s="702">
        <f>+B517*C517*D517*E517-PI()*0.6^2/4</f>
        <v>5.7015066611769187</v>
      </c>
      <c r="G517" s="2469" t="s">
        <v>6806</v>
      </c>
      <c r="H517" s="2470"/>
    </row>
    <row r="518" spans="2:8" x14ac:dyDescent="0.2">
      <c r="B518" s="708">
        <f>+B517</f>
        <v>5.05</v>
      </c>
      <c r="C518" s="708">
        <v>0.3</v>
      </c>
      <c r="D518" s="712">
        <f>+D517</f>
        <v>3.95</v>
      </c>
      <c r="E518" s="701">
        <v>1</v>
      </c>
      <c r="F518" s="702">
        <f>+B518*C518*D518*E518</f>
        <v>5.9842500000000003</v>
      </c>
      <c r="G518" s="2469" t="s">
        <v>6807</v>
      </c>
      <c r="H518" s="2470"/>
    </row>
    <row r="519" spans="2:8" x14ac:dyDescent="0.2">
      <c r="B519" s="720"/>
      <c r="C519" s="720"/>
      <c r="D519" s="2472" t="s">
        <v>6706</v>
      </c>
      <c r="E519" s="2474"/>
      <c r="F519" s="702">
        <f>SUM(F507:F518)</f>
        <v>63.263269983530755</v>
      </c>
      <c r="G519" s="703"/>
      <c r="H519" s="703"/>
    </row>
    <row r="520" spans="2:8" x14ac:dyDescent="0.2">
      <c r="B520" s="720"/>
      <c r="C520" s="720"/>
      <c r="D520" s="720"/>
      <c r="E520" s="703"/>
      <c r="F520" s="722"/>
      <c r="G520" s="703"/>
      <c r="H520" s="703"/>
    </row>
    <row r="521" spans="2:8" x14ac:dyDescent="0.2">
      <c r="B521" s="720"/>
      <c r="C521" s="720"/>
      <c r="D521" s="720"/>
      <c r="E521" s="703"/>
      <c r="F521" s="722"/>
      <c r="G521" s="703"/>
      <c r="H521" s="703"/>
    </row>
    <row r="522" spans="2:8" x14ac:dyDescent="0.2">
      <c r="B522" s="720"/>
      <c r="C522" s="720"/>
      <c r="D522" s="720"/>
      <c r="E522" s="703"/>
      <c r="F522" s="722"/>
      <c r="G522" s="703"/>
      <c r="H522" s="703"/>
    </row>
    <row r="523" spans="2:8" x14ac:dyDescent="0.2">
      <c r="B523" s="720"/>
      <c r="C523" s="720"/>
      <c r="D523" s="720"/>
      <c r="E523" s="703"/>
      <c r="F523" s="722"/>
      <c r="G523" s="703"/>
      <c r="H523" s="703"/>
    </row>
    <row r="524" spans="2:8" x14ac:dyDescent="0.2">
      <c r="B524" s="2472" t="s">
        <v>6808</v>
      </c>
      <c r="C524" s="2473"/>
      <c r="D524" s="2473"/>
      <c r="E524" s="2473"/>
      <c r="F524" s="2473"/>
      <c r="G524" s="2473"/>
      <c r="H524" s="2474"/>
    </row>
    <row r="525" spans="2:8" x14ac:dyDescent="0.2">
      <c r="B525" s="706" t="s">
        <v>6809</v>
      </c>
      <c r="C525" s="706" t="s">
        <v>6704</v>
      </c>
      <c r="D525" s="706" t="s">
        <v>6705</v>
      </c>
      <c r="E525" s="706" t="s">
        <v>6</v>
      </c>
      <c r="F525" s="706" t="s">
        <v>6706</v>
      </c>
      <c r="G525" s="2472" t="s">
        <v>4</v>
      </c>
      <c r="H525" s="2474"/>
    </row>
    <row r="526" spans="2:8" x14ac:dyDescent="0.2">
      <c r="B526" s="708">
        <v>600</v>
      </c>
      <c r="C526" s="708">
        <f>+C483</f>
        <v>0.75</v>
      </c>
      <c r="D526" s="712">
        <v>0.3</v>
      </c>
      <c r="E526" s="701">
        <v>1</v>
      </c>
      <c r="F526" s="702">
        <f>+B526*C526*D526*E526</f>
        <v>135</v>
      </c>
      <c r="G526" s="2469" t="s">
        <v>6810</v>
      </c>
      <c r="H526" s="2470"/>
    </row>
    <row r="527" spans="2:8" x14ac:dyDescent="0.2">
      <c r="B527" s="720"/>
      <c r="C527" s="720"/>
      <c r="D527" s="2472" t="s">
        <v>6706</v>
      </c>
      <c r="E527" s="2474"/>
      <c r="F527" s="702">
        <f>SUM(F526:F526)</f>
        <v>135</v>
      </c>
      <c r="G527" s="703"/>
      <c r="H527" s="703"/>
    </row>
    <row r="528" spans="2:8" x14ac:dyDescent="0.2">
      <c r="B528" s="720"/>
      <c r="C528" s="720"/>
      <c r="D528" s="720"/>
      <c r="E528" s="703"/>
      <c r="F528" s="722"/>
      <c r="G528" s="703"/>
      <c r="H528" s="703"/>
    </row>
    <row r="529" spans="2:8" x14ac:dyDescent="0.2">
      <c r="B529" s="720"/>
      <c r="C529" s="720"/>
      <c r="D529" s="720"/>
      <c r="E529" s="703"/>
      <c r="F529" s="722"/>
      <c r="G529" s="703"/>
      <c r="H529" s="703"/>
    </row>
    <row r="530" spans="2:8" x14ac:dyDescent="0.2">
      <c r="B530" s="2472" t="s">
        <v>6811</v>
      </c>
      <c r="C530" s="2473"/>
      <c r="D530" s="2473"/>
      <c r="E530" s="2473"/>
      <c r="F530" s="2473"/>
      <c r="G530" s="2473"/>
      <c r="H530" s="2474"/>
    </row>
    <row r="531" spans="2:8" x14ac:dyDescent="0.2">
      <c r="B531" s="706" t="s">
        <v>6809</v>
      </c>
      <c r="C531" s="706" t="s">
        <v>6704</v>
      </c>
      <c r="D531" s="706" t="s">
        <v>6705</v>
      </c>
      <c r="E531" s="706" t="s">
        <v>6</v>
      </c>
      <c r="F531" s="706" t="s">
        <v>6706</v>
      </c>
      <c r="G531" s="2472" t="s">
        <v>4</v>
      </c>
      <c r="H531" s="2474"/>
    </row>
    <row r="532" spans="2:8" x14ac:dyDescent="0.2">
      <c r="B532" s="708">
        <v>1196</v>
      </c>
      <c r="C532" s="708">
        <f>+C526</f>
        <v>0.75</v>
      </c>
      <c r="D532" s="712">
        <v>0.15</v>
      </c>
      <c r="E532" s="701">
        <v>1</v>
      </c>
      <c r="F532" s="702">
        <f>+B532*C532*D532*E532</f>
        <v>134.54999999999998</v>
      </c>
      <c r="G532" s="2469" t="s">
        <v>6812</v>
      </c>
      <c r="H532" s="2470"/>
    </row>
    <row r="533" spans="2:8" x14ac:dyDescent="0.2">
      <c r="B533" s="720"/>
      <c r="C533" s="720"/>
      <c r="D533" s="2472" t="s">
        <v>6706</v>
      </c>
      <c r="E533" s="2474"/>
      <c r="F533" s="702">
        <f>SUM(F532:F532)</f>
        <v>134.54999999999998</v>
      </c>
      <c r="G533" s="703"/>
      <c r="H533" s="703"/>
    </row>
    <row r="534" spans="2:8" x14ac:dyDescent="0.2">
      <c r="B534" s="720"/>
      <c r="C534" s="720"/>
      <c r="D534" s="720"/>
      <c r="E534" s="703"/>
      <c r="F534" s="722"/>
      <c r="G534" s="703"/>
      <c r="H534" s="703"/>
    </row>
    <row r="537" spans="2:8" x14ac:dyDescent="0.2">
      <c r="B537" s="2472" t="s">
        <v>6813</v>
      </c>
      <c r="C537" s="2473"/>
      <c r="D537" s="2473"/>
      <c r="E537" s="2473"/>
      <c r="F537" s="2473"/>
      <c r="G537" s="2473"/>
      <c r="H537" s="2474"/>
    </row>
    <row r="539" spans="2:8" x14ac:dyDescent="0.2">
      <c r="B539" s="706" t="s">
        <v>6814</v>
      </c>
      <c r="C539" s="706" t="s">
        <v>6715</v>
      </c>
      <c r="D539" s="706" t="s">
        <v>6651</v>
      </c>
      <c r="E539" s="2472" t="s">
        <v>4</v>
      </c>
      <c r="F539" s="2474"/>
    </row>
    <row r="540" spans="2:8" x14ac:dyDescent="0.2">
      <c r="B540" s="712">
        <f>+F519*1.4</f>
        <v>88.568577976943047</v>
      </c>
      <c r="C540" s="708">
        <v>20</v>
      </c>
      <c r="D540" s="712">
        <f>+B540</f>
        <v>88.568577976943047</v>
      </c>
      <c r="E540" s="2469" t="s">
        <v>6816</v>
      </c>
      <c r="F540" s="2470"/>
      <c r="H540" s="699" t="s">
        <v>6817</v>
      </c>
    </row>
    <row r="541" spans="2:8" x14ac:dyDescent="0.2">
      <c r="B541" s="712">
        <f>+F527*1.4</f>
        <v>189</v>
      </c>
      <c r="C541" s="708">
        <v>20</v>
      </c>
      <c r="D541" s="712">
        <f>+B541</f>
        <v>189</v>
      </c>
      <c r="E541" s="2469" t="s">
        <v>6818</v>
      </c>
      <c r="F541" s="2470"/>
    </row>
    <row r="542" spans="2:8" x14ac:dyDescent="0.2">
      <c r="B542" s="712">
        <f>+F533*1.4</f>
        <v>188.36999999999998</v>
      </c>
      <c r="C542" s="708">
        <v>20</v>
      </c>
      <c r="D542" s="712">
        <f>+B542</f>
        <v>188.36999999999998</v>
      </c>
      <c r="E542" s="2469" t="s">
        <v>6819</v>
      </c>
      <c r="F542" s="2470"/>
    </row>
    <row r="543" spans="2:8" x14ac:dyDescent="0.2">
      <c r="B543" s="2472" t="s">
        <v>6706</v>
      </c>
      <c r="C543" s="2474"/>
      <c r="D543" s="702">
        <f>SUM(D540:D542)</f>
        <v>465.93857797694307</v>
      </c>
    </row>
    <row r="548" spans="1:8" x14ac:dyDescent="0.2">
      <c r="A548" s="2472" t="s">
        <v>6820</v>
      </c>
      <c r="B548" s="2473"/>
      <c r="C548" s="2473"/>
      <c r="D548" s="2473"/>
      <c r="E548" s="2473"/>
      <c r="F548" s="2473"/>
      <c r="G548" s="2474"/>
    </row>
    <row r="551" spans="1:8" x14ac:dyDescent="0.2">
      <c r="B551" s="2472" t="s">
        <v>6808</v>
      </c>
      <c r="C551" s="2473"/>
      <c r="D551" s="2473"/>
      <c r="E551" s="2473"/>
      <c r="F551" s="2473"/>
      <c r="G551" s="2473"/>
      <c r="H551" s="2474"/>
    </row>
    <row r="552" spans="1:8" x14ac:dyDescent="0.2">
      <c r="B552" s="706" t="s">
        <v>6809</v>
      </c>
      <c r="C552" s="706" t="s">
        <v>6704</v>
      </c>
      <c r="D552" s="706" t="s">
        <v>6705</v>
      </c>
      <c r="E552" s="706" t="s">
        <v>6</v>
      </c>
      <c r="F552" s="706" t="s">
        <v>6706</v>
      </c>
      <c r="G552" s="2472" t="s">
        <v>4</v>
      </c>
      <c r="H552" s="2474"/>
    </row>
    <row r="553" spans="1:8" x14ac:dyDescent="0.2">
      <c r="B553" s="712">
        <v>600</v>
      </c>
      <c r="C553" s="712">
        <f>+C526</f>
        <v>0.75</v>
      </c>
      <c r="D553" s="712">
        <f>+D526</f>
        <v>0.3</v>
      </c>
      <c r="E553" s="712">
        <f>+E526</f>
        <v>1</v>
      </c>
      <c r="F553" s="712">
        <f>+F526</f>
        <v>135</v>
      </c>
      <c r="G553" s="2469" t="s">
        <v>8083</v>
      </c>
      <c r="H553" s="2470"/>
    </row>
    <row r="554" spans="1:8" x14ac:dyDescent="0.2">
      <c r="B554" s="720"/>
      <c r="C554" s="720"/>
      <c r="D554" s="2472" t="s">
        <v>6706</v>
      </c>
      <c r="E554" s="2474"/>
      <c r="F554" s="702">
        <f>SUM(F553:F553)</f>
        <v>135</v>
      </c>
      <c r="G554" s="703"/>
      <c r="H554" s="703"/>
    </row>
    <row r="555" spans="1:8" x14ac:dyDescent="0.2">
      <c r="B555" s="720"/>
      <c r="C555" s="720"/>
      <c r="D555" s="720"/>
      <c r="E555" s="703"/>
      <c r="F555" s="722"/>
      <c r="G555" s="703"/>
      <c r="H555" s="703"/>
    </row>
    <row r="556" spans="1:8" x14ac:dyDescent="0.2">
      <c r="B556" s="720"/>
      <c r="C556" s="720"/>
      <c r="D556" s="720"/>
      <c r="E556" s="703"/>
      <c r="F556" s="722"/>
      <c r="G556" s="703"/>
      <c r="H556" s="703"/>
    </row>
    <row r="557" spans="1:8" x14ac:dyDescent="0.2">
      <c r="B557" s="2472" t="s">
        <v>6811</v>
      </c>
      <c r="C557" s="2473"/>
      <c r="D557" s="2473"/>
      <c r="E557" s="2473"/>
      <c r="F557" s="2473"/>
      <c r="G557" s="2473"/>
      <c r="H557" s="2474"/>
    </row>
    <row r="558" spans="1:8" x14ac:dyDescent="0.2">
      <c r="B558" s="706" t="s">
        <v>6809</v>
      </c>
      <c r="C558" s="706" t="s">
        <v>6704</v>
      </c>
      <c r="D558" s="706" t="s">
        <v>6705</v>
      </c>
      <c r="E558" s="706" t="s">
        <v>6</v>
      </c>
      <c r="F558" s="706" t="s">
        <v>6706</v>
      </c>
      <c r="G558" s="2472" t="s">
        <v>4</v>
      </c>
      <c r="H558" s="2474"/>
    </row>
    <row r="559" spans="1:8" x14ac:dyDescent="0.2">
      <c r="B559" s="708">
        <f>+B532</f>
        <v>1196</v>
      </c>
      <c r="C559" s="708">
        <f>+C532</f>
        <v>0.75</v>
      </c>
      <c r="D559" s="708">
        <f>+D532</f>
        <v>0.15</v>
      </c>
      <c r="E559" s="708">
        <f>+E532</f>
        <v>1</v>
      </c>
      <c r="F559" s="708">
        <f>+F532</f>
        <v>134.54999999999998</v>
      </c>
      <c r="G559" s="2469" t="s">
        <v>6812</v>
      </c>
      <c r="H559" s="2470"/>
    </row>
    <row r="560" spans="1:8" x14ac:dyDescent="0.2">
      <c r="B560" s="720"/>
      <c r="C560" s="720"/>
      <c r="D560" s="2472" t="s">
        <v>6706</v>
      </c>
      <c r="E560" s="2474"/>
      <c r="F560" s="702">
        <f>ROUNDUP(SUM(F559:F559),2)</f>
        <v>134.55000000000001</v>
      </c>
      <c r="G560" s="703"/>
      <c r="H560" s="703"/>
    </row>
    <row r="565" spans="1:7" x14ac:dyDescent="0.2">
      <c r="A565" s="2472" t="s">
        <v>6821</v>
      </c>
      <c r="B565" s="2473"/>
      <c r="C565" s="2473"/>
      <c r="D565" s="2473"/>
      <c r="E565" s="2473"/>
      <c r="F565" s="2473"/>
      <c r="G565" s="2474"/>
    </row>
    <row r="568" spans="1:7" x14ac:dyDescent="0.2">
      <c r="A568" s="2472" t="s">
        <v>6822</v>
      </c>
      <c r="B568" s="2473"/>
      <c r="C568" s="2473"/>
      <c r="D568" s="2473"/>
      <c r="E568" s="2473"/>
      <c r="F568" s="2473"/>
      <c r="G568" s="2474"/>
    </row>
    <row r="570" spans="1:7" x14ac:dyDescent="0.2">
      <c r="C570" s="706" t="s">
        <v>6809</v>
      </c>
      <c r="D570" s="706" t="s">
        <v>6695</v>
      </c>
    </row>
    <row r="571" spans="1:7" x14ac:dyDescent="0.2">
      <c r="C571" s="708">
        <f>+SUM('Resumen Tuberia'!D71:F71)</f>
        <v>19327</v>
      </c>
      <c r="D571" s="708"/>
    </row>
    <row r="572" spans="1:7" x14ac:dyDescent="0.2">
      <c r="B572" s="706" t="s">
        <v>6823</v>
      </c>
      <c r="C572" s="708">
        <f>SUM(C571:C571)</f>
        <v>19327</v>
      </c>
    </row>
    <row r="576" spans="1:7" x14ac:dyDescent="0.2">
      <c r="A576" s="2472" t="s">
        <v>6824</v>
      </c>
      <c r="B576" s="2473"/>
      <c r="C576" s="2473"/>
      <c r="D576" s="2473"/>
      <c r="E576" s="2473"/>
      <c r="F576" s="2473"/>
      <c r="G576" s="2474"/>
    </row>
    <row r="579" spans="1:9" x14ac:dyDescent="0.2">
      <c r="B579" s="2472" t="s">
        <v>6786</v>
      </c>
      <c r="C579" s="2473"/>
      <c r="D579" s="2473"/>
      <c r="E579" s="2474"/>
    </row>
    <row r="580" spans="1:9" ht="22.5" x14ac:dyDescent="0.2">
      <c r="B580" s="2472" t="s">
        <v>4</v>
      </c>
      <c r="C580" s="2474"/>
      <c r="D580" s="700" t="s">
        <v>6809</v>
      </c>
      <c r="E580" s="700" t="s">
        <v>6825</v>
      </c>
    </row>
    <row r="581" spans="1:9" x14ac:dyDescent="0.2">
      <c r="B581" s="2469" t="str">
        <f>+B443</f>
        <v xml:space="preserve">Tubería DN 250 HD </v>
      </c>
      <c r="C581" s="2470"/>
      <c r="D581" s="708">
        <f>+D443</f>
        <v>172</v>
      </c>
      <c r="E581" s="712">
        <f>+ROUND(D581/6,0)</f>
        <v>29</v>
      </c>
    </row>
    <row r="582" spans="1:9" x14ac:dyDescent="0.2">
      <c r="B582" s="2469" t="str">
        <f>+B444</f>
        <v>Tubería DN 350 HD</v>
      </c>
      <c r="C582" s="2470"/>
      <c r="D582" s="708">
        <f>+D444</f>
        <v>7615</v>
      </c>
      <c r="E582" s="712">
        <f>+ROUND(D582/6,0)</f>
        <v>1269</v>
      </c>
    </row>
    <row r="583" spans="1:9" x14ac:dyDescent="0.2">
      <c r="B583" s="2469" t="str">
        <f>+B445</f>
        <v>Tubería DN 400 HD</v>
      </c>
      <c r="C583" s="2470"/>
      <c r="D583" s="708">
        <f>+D445</f>
        <v>7695</v>
      </c>
      <c r="E583" s="712">
        <f>+ROUND(D583/6,0)</f>
        <v>1283</v>
      </c>
    </row>
    <row r="584" spans="1:9" x14ac:dyDescent="0.2">
      <c r="C584" s="2472" t="s">
        <v>6706</v>
      </c>
      <c r="D584" s="2474"/>
      <c r="E584" s="702">
        <f>SUM(E581:E583)</f>
        <v>2581</v>
      </c>
    </row>
    <row r="588" spans="1:9" ht="40.5" customHeight="1" x14ac:dyDescent="0.2">
      <c r="A588" s="2481" t="s">
        <v>6826</v>
      </c>
      <c r="B588" s="2481"/>
      <c r="C588" s="2481"/>
      <c r="D588" s="2481"/>
      <c r="E588" s="2481"/>
      <c r="F588" s="2481"/>
      <c r="G588" s="2481"/>
      <c r="H588" s="2481"/>
      <c r="I588" s="2481"/>
    </row>
    <row r="589" spans="1:9" ht="11.25" customHeight="1" x14ac:dyDescent="0.2">
      <c r="A589" s="2471" t="s">
        <v>7208</v>
      </c>
      <c r="B589" s="2471"/>
      <c r="C589" s="2471"/>
      <c r="D589" s="2471"/>
      <c r="E589" s="2471"/>
      <c r="F589" s="2471"/>
      <c r="G589" s="2471"/>
      <c r="H589" s="2471"/>
    </row>
    <row r="590" spans="1:9" ht="11.25" customHeight="1" x14ac:dyDescent="0.2">
      <c r="A590" s="825"/>
      <c r="B590" s="2475" t="s">
        <v>7210</v>
      </c>
      <c r="C590" s="2491"/>
      <c r="D590" s="2491"/>
      <c r="E590" s="2476"/>
      <c r="F590" s="825"/>
      <c r="G590" s="825"/>
      <c r="H590" s="825"/>
    </row>
    <row r="591" spans="1:9" x14ac:dyDescent="0.2">
      <c r="B591" s="700" t="s">
        <v>6703</v>
      </c>
      <c r="C591" s="822" t="s">
        <v>7209</v>
      </c>
      <c r="D591" s="2471" t="s">
        <v>4</v>
      </c>
      <c r="E591" s="2471"/>
      <c r="F591" s="707"/>
    </row>
    <row r="592" spans="1:9" x14ac:dyDescent="0.2">
      <c r="B592" s="709">
        <v>1870</v>
      </c>
      <c r="C592" s="824">
        <v>1870</v>
      </c>
      <c r="D592" s="2496" t="s">
        <v>8085</v>
      </c>
      <c r="E592" s="2495"/>
      <c r="F592" s="707"/>
    </row>
    <row r="593" spans="1:7" ht="12" customHeight="1" x14ac:dyDescent="0.2">
      <c r="B593" s="821" t="s">
        <v>6706</v>
      </c>
      <c r="C593" s="824">
        <f>SUM(C592:C592)</f>
        <v>1870</v>
      </c>
      <c r="D593" s="705"/>
      <c r="E593" s="705"/>
      <c r="F593" s="707"/>
    </row>
    <row r="596" spans="1:7" x14ac:dyDescent="0.2">
      <c r="A596" s="2471" t="s">
        <v>6770</v>
      </c>
      <c r="B596" s="2471"/>
      <c r="C596" s="2471"/>
      <c r="D596" s="2471"/>
      <c r="E596" s="2471"/>
      <c r="F596" s="2471"/>
      <c r="G596" s="2471"/>
    </row>
    <row r="597" spans="1:7" x14ac:dyDescent="0.2">
      <c r="A597" s="714"/>
      <c r="B597" s="2472" t="s">
        <v>6771</v>
      </c>
      <c r="C597" s="2473"/>
      <c r="D597" s="2473"/>
      <c r="E597" s="2473"/>
      <c r="F597" s="2473"/>
      <c r="G597" s="2474"/>
    </row>
    <row r="598" spans="1:7" x14ac:dyDescent="0.2">
      <c r="B598" s="700" t="s">
        <v>6703</v>
      </c>
      <c r="C598" s="700" t="s">
        <v>6704</v>
      </c>
      <c r="D598" s="700" t="s">
        <v>6705</v>
      </c>
      <c r="E598" s="700" t="s">
        <v>6706</v>
      </c>
      <c r="F598" s="2475" t="s">
        <v>4</v>
      </c>
      <c r="G598" s="2476"/>
    </row>
    <row r="599" spans="1:7" x14ac:dyDescent="0.2">
      <c r="B599" s="709">
        <f>+B592</f>
        <v>1870</v>
      </c>
      <c r="C599" s="701">
        <v>0.75</v>
      </c>
      <c r="D599" s="701">
        <v>1.5</v>
      </c>
      <c r="E599" s="702">
        <f>+B599*C599*D599</f>
        <v>2103.75</v>
      </c>
      <c r="F599" s="2477" t="str">
        <f>+D592</f>
        <v>Tubería en HD 300mm</v>
      </c>
      <c r="G599" s="2470"/>
    </row>
    <row r="600" spans="1:7" x14ac:dyDescent="0.2">
      <c r="B600" s="703"/>
      <c r="C600" s="2472" t="s">
        <v>6706</v>
      </c>
      <c r="D600" s="2473"/>
      <c r="E600" s="702">
        <f>SUM(E599:E599)*0.95</f>
        <v>1998.5625</v>
      </c>
      <c r="F600" s="703"/>
      <c r="G600" s="703"/>
    </row>
    <row r="601" spans="1:7" x14ac:dyDescent="0.2">
      <c r="E601" s="704"/>
    </row>
    <row r="602" spans="1:7" x14ac:dyDescent="0.2">
      <c r="A602" s="714"/>
      <c r="B602" s="2472" t="s">
        <v>6772</v>
      </c>
      <c r="C602" s="2473"/>
      <c r="D602" s="2473"/>
      <c r="E602" s="2473"/>
      <c r="F602" s="2473"/>
      <c r="G602" s="2474"/>
    </row>
    <row r="603" spans="1:7" x14ac:dyDescent="0.2">
      <c r="B603" s="700" t="s">
        <v>6703</v>
      </c>
      <c r="C603" s="700" t="s">
        <v>6704</v>
      </c>
      <c r="D603" s="700" t="s">
        <v>6705</v>
      </c>
      <c r="E603" s="700" t="s">
        <v>6706</v>
      </c>
      <c r="F603" s="2475" t="s">
        <v>4</v>
      </c>
      <c r="G603" s="2476"/>
    </row>
    <row r="604" spans="1:7" x14ac:dyDescent="0.2">
      <c r="B604" s="709">
        <f>+B592</f>
        <v>1870</v>
      </c>
      <c r="C604" s="701">
        <f>+C599</f>
        <v>0.75</v>
      </c>
      <c r="D604" s="701">
        <f>+D599</f>
        <v>1.5</v>
      </c>
      <c r="E604" s="702">
        <f>+B604*C604*D604</f>
        <v>2103.75</v>
      </c>
      <c r="F604" s="2477" t="str">
        <f>+D592</f>
        <v>Tubería en HD 300mm</v>
      </c>
      <c r="G604" s="2470"/>
    </row>
    <row r="605" spans="1:7" x14ac:dyDescent="0.2">
      <c r="B605" s="703"/>
      <c r="C605" s="2472" t="s">
        <v>6706</v>
      </c>
      <c r="D605" s="2473"/>
      <c r="E605" s="702">
        <f>SUM(E604:E604)*0.05</f>
        <v>105.1875</v>
      </c>
      <c r="F605" s="703"/>
      <c r="G605" s="703"/>
    </row>
    <row r="609" spans="1:7" x14ac:dyDescent="0.2">
      <c r="A609" s="2471" t="s">
        <v>6773</v>
      </c>
      <c r="B609" s="2471"/>
      <c r="C609" s="2471"/>
      <c r="D609" s="2471"/>
      <c r="E609" s="2471"/>
      <c r="F609" s="2471"/>
      <c r="G609" s="2471"/>
    </row>
    <row r="611" spans="1:7" x14ac:dyDescent="0.2">
      <c r="B611" s="2471" t="s">
        <v>4</v>
      </c>
      <c r="C611" s="2471"/>
      <c r="D611" s="706" t="s">
        <v>6714</v>
      </c>
    </row>
    <row r="612" spans="1:7" x14ac:dyDescent="0.2">
      <c r="B612" s="2496" t="str">
        <f>+D592</f>
        <v>Tubería en HD 300mm</v>
      </c>
      <c r="C612" s="2496"/>
      <c r="D612" s="710">
        <f>+B592</f>
        <v>1870</v>
      </c>
    </row>
    <row r="615" spans="1:7" x14ac:dyDescent="0.2">
      <c r="A615" s="2471" t="s">
        <v>6778</v>
      </c>
      <c r="B615" s="2471"/>
      <c r="C615" s="2471"/>
      <c r="D615" s="2471"/>
      <c r="E615" s="2471"/>
      <c r="F615" s="2471"/>
      <c r="G615" s="2471"/>
    </row>
    <row r="617" spans="1:7" x14ac:dyDescent="0.2">
      <c r="B617" s="2471" t="s">
        <v>4</v>
      </c>
      <c r="C617" s="2471"/>
      <c r="D617" s="706" t="s">
        <v>6779</v>
      </c>
      <c r="F617" s="699" t="s">
        <v>6780</v>
      </c>
    </row>
    <row r="618" spans="1:7" x14ac:dyDescent="0.2">
      <c r="B618" s="2495" t="s">
        <v>6405</v>
      </c>
      <c r="C618" s="2495"/>
      <c r="D618" s="708">
        <f>+ROUND(D612*0.031,0)</f>
        <v>58</v>
      </c>
    </row>
    <row r="619" spans="1:7" x14ac:dyDescent="0.2">
      <c r="B619" s="2472" t="s">
        <v>6706</v>
      </c>
      <c r="C619" s="2473"/>
      <c r="D619" s="716">
        <f>INT(SUM(D618:D618)*0.8)</f>
        <v>46</v>
      </c>
    </row>
    <row r="622" spans="1:7" x14ac:dyDescent="0.2">
      <c r="A622" s="2471" t="s">
        <v>6781</v>
      </c>
      <c r="B622" s="2471"/>
      <c r="C622" s="2471"/>
      <c r="D622" s="2471"/>
      <c r="E622" s="2471"/>
      <c r="F622" s="2471"/>
      <c r="G622" s="2471"/>
    </row>
    <row r="624" spans="1:7" x14ac:dyDescent="0.2">
      <c r="B624" s="706" t="s">
        <v>6703</v>
      </c>
      <c r="C624" s="706" t="s">
        <v>6704</v>
      </c>
      <c r="D624" s="706" t="s">
        <v>6705</v>
      </c>
      <c r="E624" s="706" t="s">
        <v>6706</v>
      </c>
      <c r="F624" s="706" t="s">
        <v>6782</v>
      </c>
    </row>
    <row r="625" spans="1:7" x14ac:dyDescent="0.2">
      <c r="B625" s="710">
        <f>+B592</f>
        <v>1870</v>
      </c>
      <c r="C625" s="708">
        <v>0.75</v>
      </c>
      <c r="D625" s="708">
        <v>0.1</v>
      </c>
      <c r="E625" s="712">
        <f>+B625*C625*D625</f>
        <v>140.25</v>
      </c>
      <c r="F625" s="712" t="str">
        <f>+D592</f>
        <v>Tubería en HD 300mm</v>
      </c>
    </row>
    <row r="626" spans="1:7" x14ac:dyDescent="0.2">
      <c r="C626" s="2471" t="s">
        <v>6706</v>
      </c>
      <c r="D626" s="2471"/>
      <c r="E626" s="723">
        <f>SUM(E625:E625)</f>
        <v>140.25</v>
      </c>
    </row>
    <row r="629" spans="1:7" x14ac:dyDescent="0.2">
      <c r="A629" s="2471" t="s">
        <v>6783</v>
      </c>
      <c r="B629" s="2471"/>
      <c r="C629" s="2471"/>
      <c r="D629" s="2471"/>
      <c r="E629" s="2471"/>
      <c r="F629" s="2471"/>
      <c r="G629" s="2471"/>
    </row>
    <row r="631" spans="1:7" x14ac:dyDescent="0.2">
      <c r="B631" s="706" t="s">
        <v>6695</v>
      </c>
      <c r="C631" s="706" t="s">
        <v>6714</v>
      </c>
      <c r="D631" s="706" t="s">
        <v>6715</v>
      </c>
      <c r="E631" s="706" t="s">
        <v>6784</v>
      </c>
    </row>
    <row r="632" spans="1:7" x14ac:dyDescent="0.2">
      <c r="B632" s="708" t="s">
        <v>7391</v>
      </c>
      <c r="C632" s="708">
        <f>+D644</f>
        <v>1877</v>
      </c>
      <c r="D632" s="708">
        <v>6</v>
      </c>
      <c r="E632" s="708">
        <f>+C632*D632</f>
        <v>11262</v>
      </c>
    </row>
    <row r="633" spans="1:7" x14ac:dyDescent="0.2">
      <c r="B633" s="720"/>
      <c r="C633" s="720"/>
      <c r="D633" s="720"/>
      <c r="E633" s="720"/>
    </row>
    <row r="634" spans="1:7" x14ac:dyDescent="0.2">
      <c r="B634" s="720"/>
      <c r="C634" s="720"/>
      <c r="D634" s="720"/>
      <c r="E634" s="720"/>
    </row>
    <row r="635" spans="1:7" x14ac:dyDescent="0.2">
      <c r="B635" s="706" t="s">
        <v>6695</v>
      </c>
      <c r="C635" s="706" t="s">
        <v>6</v>
      </c>
      <c r="D635" s="706" t="s">
        <v>6715</v>
      </c>
      <c r="E635" s="706" t="s">
        <v>6784</v>
      </c>
    </row>
    <row r="636" spans="1:7" x14ac:dyDescent="0.2">
      <c r="B636" s="708" t="str">
        <f>+B618</f>
        <v>Accesorios</v>
      </c>
      <c r="C636" s="708">
        <f>+D618</f>
        <v>58</v>
      </c>
      <c r="D636" s="708">
        <v>30</v>
      </c>
      <c r="E636" s="708">
        <f>+C636*D636</f>
        <v>1740</v>
      </c>
    </row>
    <row r="637" spans="1:7" x14ac:dyDescent="0.2">
      <c r="B637" s="720"/>
      <c r="C637" s="720"/>
      <c r="D637" s="720"/>
      <c r="E637" s="720"/>
    </row>
    <row r="640" spans="1:7" x14ac:dyDescent="0.2">
      <c r="A640" s="2471" t="s">
        <v>6785</v>
      </c>
      <c r="B640" s="2471"/>
      <c r="C640" s="2471"/>
      <c r="D640" s="2471"/>
      <c r="E640" s="2471"/>
      <c r="F640" s="2471"/>
      <c r="G640" s="2471"/>
    </row>
    <row r="642" spans="2:6" x14ac:dyDescent="0.2">
      <c r="B642" s="2472" t="s">
        <v>6786</v>
      </c>
      <c r="C642" s="2473"/>
      <c r="D642" s="2474"/>
    </row>
    <row r="643" spans="2:6" x14ac:dyDescent="0.2">
      <c r="B643" s="2471" t="s">
        <v>4</v>
      </c>
      <c r="C643" s="2471"/>
      <c r="D643" s="706" t="s">
        <v>6809</v>
      </c>
    </row>
    <row r="644" spans="2:6" x14ac:dyDescent="0.2">
      <c r="B644" s="2485" t="s">
        <v>9394</v>
      </c>
      <c r="C644" s="2485"/>
      <c r="D644" s="708">
        <f>+'Resumen Tuberia'!G69</f>
        <v>1877</v>
      </c>
    </row>
    <row r="645" spans="2:6" x14ac:dyDescent="0.2">
      <c r="B645" s="2495" t="s">
        <v>6690</v>
      </c>
      <c r="C645" s="2495"/>
      <c r="D645" s="708">
        <v>6</v>
      </c>
    </row>
    <row r="650" spans="2:6" x14ac:dyDescent="0.2">
      <c r="B650" s="2472" t="s">
        <v>6790</v>
      </c>
      <c r="C650" s="2473"/>
      <c r="D650" s="2473"/>
      <c r="E650" s="2473"/>
      <c r="F650" s="2474"/>
    </row>
    <row r="651" spans="2:6" x14ac:dyDescent="0.2">
      <c r="B651" s="706" t="s">
        <v>6791</v>
      </c>
      <c r="C651" s="706" t="s">
        <v>6792</v>
      </c>
      <c r="D651" s="706" t="s">
        <v>6705</v>
      </c>
      <c r="E651" s="706" t="s">
        <v>6793</v>
      </c>
      <c r="F651" s="706" t="s">
        <v>4</v>
      </c>
    </row>
    <row r="652" spans="2:6" x14ac:dyDescent="0.2">
      <c r="B652" s="708">
        <v>0.35</v>
      </c>
      <c r="C652" s="708">
        <f>+C625</f>
        <v>0.75</v>
      </c>
      <c r="D652" s="708">
        <v>1.1000000000000001</v>
      </c>
      <c r="E652" s="710">
        <f>+(C652*D652-PI()*(B652^2)/4)*D644</f>
        <v>1367.9364367946164</v>
      </c>
      <c r="F652" s="712" t="str">
        <f>+F625</f>
        <v>Tubería en HD 300mm</v>
      </c>
    </row>
    <row r="653" spans="2:6" x14ac:dyDescent="0.2">
      <c r="B653" s="720"/>
      <c r="C653" s="2472" t="s">
        <v>6706</v>
      </c>
      <c r="D653" s="2474"/>
      <c r="E653" s="710">
        <f>SUM(E652:E652)</f>
        <v>1367.9364367946164</v>
      </c>
      <c r="F653" s="720"/>
    </row>
    <row r="655" spans="2:6" x14ac:dyDescent="0.2">
      <c r="B655" s="2472" t="s">
        <v>6794</v>
      </c>
      <c r="C655" s="2473"/>
      <c r="D655" s="2473"/>
      <c r="E655" s="2473"/>
      <c r="F655" s="2474"/>
    </row>
    <row r="656" spans="2:6" ht="22.5" x14ac:dyDescent="0.2">
      <c r="B656" s="706" t="s">
        <v>6714</v>
      </c>
      <c r="C656" s="706" t="s">
        <v>6792</v>
      </c>
      <c r="D656" s="706" t="s">
        <v>6705</v>
      </c>
      <c r="E656" s="706" t="s">
        <v>6795</v>
      </c>
      <c r="F656" s="706" t="s">
        <v>4</v>
      </c>
    </row>
    <row r="657" spans="1:8" x14ac:dyDescent="0.2">
      <c r="B657" s="708">
        <f>+D644</f>
        <v>1877</v>
      </c>
      <c r="C657" s="708">
        <f>+C625</f>
        <v>0.75</v>
      </c>
      <c r="D657" s="708">
        <v>0.25</v>
      </c>
      <c r="E657" s="708">
        <f>+B657*C657*D657</f>
        <v>351.9375</v>
      </c>
      <c r="F657" s="712" t="str">
        <f>+F625</f>
        <v>Tubería en HD 300mm</v>
      </c>
    </row>
    <row r="658" spans="1:8" x14ac:dyDescent="0.2">
      <c r="C658" s="2472" t="s">
        <v>6706</v>
      </c>
      <c r="D658" s="2474"/>
      <c r="E658" s="708">
        <f>SUM(E657:E657)</f>
        <v>351.9375</v>
      </c>
    </row>
    <row r="662" spans="1:8" x14ac:dyDescent="0.2">
      <c r="A662" s="2472" t="s">
        <v>6827</v>
      </c>
      <c r="B662" s="2473"/>
      <c r="C662" s="2473"/>
      <c r="D662" s="2473"/>
      <c r="E662" s="2473"/>
      <c r="F662" s="2473"/>
      <c r="G662" s="2474"/>
    </row>
    <row r="665" spans="1:8" x14ac:dyDescent="0.2">
      <c r="B665" s="2472" t="s">
        <v>6808</v>
      </c>
      <c r="C665" s="2473"/>
      <c r="D665" s="2473"/>
      <c r="E665" s="2473"/>
      <c r="F665" s="2473"/>
      <c r="G665" s="2473"/>
      <c r="H665" s="2474"/>
    </row>
    <row r="666" spans="1:8" x14ac:dyDescent="0.2">
      <c r="B666" s="706" t="s">
        <v>6809</v>
      </c>
      <c r="C666" s="706" t="s">
        <v>6704</v>
      </c>
      <c r="D666" s="706" t="s">
        <v>6705</v>
      </c>
      <c r="E666" s="706" t="s">
        <v>6</v>
      </c>
      <c r="F666" s="706" t="s">
        <v>6706</v>
      </c>
      <c r="G666" s="2472" t="s">
        <v>4</v>
      </c>
      <c r="H666" s="2474"/>
    </row>
    <row r="667" spans="1:8" x14ac:dyDescent="0.2">
      <c r="B667" s="708">
        <v>400</v>
      </c>
      <c r="C667" s="708">
        <f>+C604</f>
        <v>0.75</v>
      </c>
      <c r="D667" s="712">
        <v>0.3</v>
      </c>
      <c r="E667" s="701">
        <v>1</v>
      </c>
      <c r="F667" s="702">
        <f>+B667*C667*D667*E667</f>
        <v>90</v>
      </c>
      <c r="G667" s="2469" t="s">
        <v>6828</v>
      </c>
      <c r="H667" s="2470"/>
    </row>
    <row r="668" spans="1:8" x14ac:dyDescent="0.2">
      <c r="B668" s="720"/>
      <c r="C668" s="720"/>
      <c r="D668" s="2472" t="s">
        <v>6706</v>
      </c>
      <c r="E668" s="2474"/>
      <c r="F668" s="702">
        <f>SUM(F667:F667)</f>
        <v>90</v>
      </c>
      <c r="G668" s="703"/>
      <c r="H668" s="703"/>
    </row>
    <row r="671" spans="1:8" x14ac:dyDescent="0.2">
      <c r="B671" s="2472" t="s">
        <v>6813</v>
      </c>
      <c r="C671" s="2473"/>
      <c r="D671" s="2473"/>
      <c r="E671" s="2473"/>
      <c r="F671" s="2473"/>
      <c r="G671" s="2473"/>
      <c r="H671" s="2474"/>
    </row>
    <row r="673" spans="1:8" x14ac:dyDescent="0.2">
      <c r="B673" s="706" t="s">
        <v>6814</v>
      </c>
      <c r="C673" s="706" t="s">
        <v>6715</v>
      </c>
      <c r="D673" s="706" t="s">
        <v>6815</v>
      </c>
      <c r="E673" s="2472" t="s">
        <v>4</v>
      </c>
      <c r="F673" s="2474"/>
    </row>
    <row r="674" spans="1:8" x14ac:dyDescent="0.2">
      <c r="B674" s="712">
        <f>+F668*1.4</f>
        <v>125.99999999999999</v>
      </c>
      <c r="C674" s="708">
        <v>40</v>
      </c>
      <c r="D674" s="712">
        <f>+B674</f>
        <v>125.99999999999999</v>
      </c>
      <c r="E674" s="2469" t="str">
        <f>+G667</f>
        <v>Placa huella 3</v>
      </c>
      <c r="F674" s="2470"/>
      <c r="H674" s="699" t="s">
        <v>7949</v>
      </c>
    </row>
    <row r="675" spans="1:8" x14ac:dyDescent="0.2">
      <c r="B675" s="2472" t="s">
        <v>6706</v>
      </c>
      <c r="C675" s="2474"/>
      <c r="D675" s="702">
        <f>SUM(D674:D674)</f>
        <v>125.99999999999999</v>
      </c>
    </row>
    <row r="678" spans="1:8" x14ac:dyDescent="0.2">
      <c r="A678" s="2472" t="s">
        <v>6829</v>
      </c>
      <c r="B678" s="2473"/>
      <c r="C678" s="2473"/>
      <c r="D678" s="2473"/>
      <c r="E678" s="2473"/>
      <c r="F678" s="2473"/>
      <c r="G678" s="2474"/>
    </row>
    <row r="681" spans="1:8" x14ac:dyDescent="0.2">
      <c r="B681" s="2472" t="s">
        <v>6808</v>
      </c>
      <c r="C681" s="2473"/>
      <c r="D681" s="2473"/>
      <c r="E681" s="2473"/>
      <c r="F681" s="2473"/>
      <c r="G681" s="2473"/>
      <c r="H681" s="2474"/>
    </row>
    <row r="682" spans="1:8" x14ac:dyDescent="0.2">
      <c r="B682" s="706" t="s">
        <v>6809</v>
      </c>
      <c r="C682" s="706" t="s">
        <v>6704</v>
      </c>
      <c r="D682" s="706" t="s">
        <v>6705</v>
      </c>
      <c r="E682" s="706" t="s">
        <v>6</v>
      </c>
      <c r="F682" s="706" t="s">
        <v>6706</v>
      </c>
      <c r="G682" s="2472" t="s">
        <v>4</v>
      </c>
      <c r="H682" s="2474"/>
    </row>
    <row r="683" spans="1:8" x14ac:dyDescent="0.2">
      <c r="B683" s="708">
        <v>400</v>
      </c>
      <c r="C683" s="708">
        <f>+C667</f>
        <v>0.75</v>
      </c>
      <c r="D683" s="712">
        <v>0.3</v>
      </c>
      <c r="E683" s="701">
        <v>1</v>
      </c>
      <c r="F683" s="702">
        <f>+B683*C683*D683*E683</f>
        <v>90</v>
      </c>
      <c r="G683" s="2469" t="s">
        <v>6828</v>
      </c>
      <c r="H683" s="2470"/>
    </row>
    <row r="684" spans="1:8" x14ac:dyDescent="0.2">
      <c r="B684" s="720"/>
      <c r="C684" s="720"/>
      <c r="D684" s="2472" t="s">
        <v>6706</v>
      </c>
      <c r="E684" s="2474"/>
      <c r="F684" s="702">
        <f>SUM(F683:F683)</f>
        <v>90</v>
      </c>
      <c r="G684" s="703"/>
      <c r="H684" s="703"/>
    </row>
    <row r="687" spans="1:8" x14ac:dyDescent="0.2">
      <c r="A687" s="2472" t="s">
        <v>6830</v>
      </c>
      <c r="B687" s="2473"/>
      <c r="C687" s="2473"/>
      <c r="D687" s="2473"/>
      <c r="E687" s="2473"/>
      <c r="F687" s="2473"/>
      <c r="G687" s="2474"/>
    </row>
    <row r="689" spans="1:11" x14ac:dyDescent="0.2">
      <c r="C689" s="706" t="s">
        <v>6809</v>
      </c>
      <c r="D689" s="706" t="s">
        <v>6695</v>
      </c>
    </row>
    <row r="690" spans="1:11" x14ac:dyDescent="0.2">
      <c r="C690" s="708">
        <f>+D644</f>
        <v>1877</v>
      </c>
      <c r="D690" s="708" t="s">
        <v>7948</v>
      </c>
    </row>
    <row r="691" spans="1:11" x14ac:dyDescent="0.2">
      <c r="B691" s="706" t="s">
        <v>6823</v>
      </c>
      <c r="C691" s="708">
        <f>+SUM(C690)</f>
        <v>1877</v>
      </c>
    </row>
    <row r="692" spans="1:11" x14ac:dyDescent="0.2">
      <c r="B692" s="720"/>
      <c r="C692" s="720"/>
    </row>
    <row r="694" spans="1:11" ht="45.75" customHeight="1" x14ac:dyDescent="0.2">
      <c r="B694" s="2481" t="s">
        <v>6831</v>
      </c>
      <c r="C694" s="2481"/>
      <c r="D694" s="2481"/>
      <c r="E694" s="2481"/>
      <c r="F694" s="2481"/>
      <c r="G694" s="2481"/>
      <c r="H694" s="2481"/>
      <c r="I694" s="2481"/>
      <c r="J694" s="2481"/>
      <c r="K694" s="2481"/>
    </row>
    <row r="695" spans="1:11" ht="11.25" customHeight="1" x14ac:dyDescent="0.2">
      <c r="A695" s="2472" t="s">
        <v>7208</v>
      </c>
      <c r="B695" s="2473"/>
      <c r="C695" s="2473"/>
      <c r="D695" s="2473"/>
      <c r="E695" s="2473"/>
      <c r="F695" s="2473"/>
      <c r="G695" s="2473"/>
      <c r="H695" s="2474"/>
    </row>
    <row r="696" spans="1:11" ht="11.25" customHeight="1" x14ac:dyDescent="0.2">
      <c r="A696" s="825"/>
      <c r="B696" s="2472" t="s">
        <v>7210</v>
      </c>
      <c r="C696" s="2473"/>
      <c r="D696" s="2473"/>
      <c r="E696" s="2474"/>
      <c r="F696" s="825"/>
      <c r="G696" s="825"/>
      <c r="H696" s="825"/>
    </row>
    <row r="697" spans="1:11" x14ac:dyDescent="0.2">
      <c r="B697" s="700" t="s">
        <v>6703</v>
      </c>
      <c r="C697" s="822" t="s">
        <v>7209</v>
      </c>
      <c r="D697" s="2472" t="s">
        <v>4</v>
      </c>
      <c r="E697" s="2474"/>
      <c r="F697" s="707"/>
    </row>
    <row r="698" spans="1:11" s="1445" customFormat="1" x14ac:dyDescent="0.2">
      <c r="B698" s="1447">
        <v>50</v>
      </c>
      <c r="C698" s="1446">
        <v>50</v>
      </c>
      <c r="D698" s="2477" t="s">
        <v>8545</v>
      </c>
      <c r="E698" s="2479"/>
      <c r="F698" s="2480"/>
    </row>
    <row r="699" spans="1:11" x14ac:dyDescent="0.2">
      <c r="B699" s="709">
        <v>40</v>
      </c>
      <c r="C699" s="824">
        <f>+B699</f>
        <v>40</v>
      </c>
      <c r="D699" s="2477" t="s">
        <v>6670</v>
      </c>
      <c r="E699" s="2479"/>
      <c r="F699" s="2480"/>
    </row>
    <row r="700" spans="1:11" x14ac:dyDescent="0.2">
      <c r="B700" s="709">
        <v>24</v>
      </c>
      <c r="C700" s="824">
        <f>+B700</f>
        <v>24</v>
      </c>
      <c r="D700" s="2469" t="s">
        <v>7397</v>
      </c>
      <c r="E700" s="2478"/>
      <c r="F700" s="2470"/>
    </row>
    <row r="701" spans="1:11" ht="13.5" customHeight="1" x14ac:dyDescent="0.2">
      <c r="B701" s="709">
        <v>29</v>
      </c>
      <c r="C701" s="824">
        <f>+B701</f>
        <v>29</v>
      </c>
      <c r="D701" s="2469" t="s">
        <v>7398</v>
      </c>
      <c r="E701" s="2478"/>
      <c r="F701" s="2470"/>
    </row>
    <row r="702" spans="1:11" ht="13.5" customHeight="1" x14ac:dyDescent="0.2">
      <c r="B702" s="830">
        <v>20</v>
      </c>
      <c r="C702" s="824">
        <f>+B702</f>
        <v>20</v>
      </c>
      <c r="D702" s="2469" t="s">
        <v>7399</v>
      </c>
      <c r="E702" s="2478"/>
      <c r="F702" s="2470"/>
    </row>
    <row r="703" spans="1:11" ht="12" customHeight="1" x14ac:dyDescent="0.2">
      <c r="B703" s="821" t="s">
        <v>6706</v>
      </c>
      <c r="C703" s="824">
        <f>SUM(C699:C701)</f>
        <v>93</v>
      </c>
      <c r="D703" s="705"/>
      <c r="E703" s="705"/>
      <c r="F703" s="707"/>
    </row>
    <row r="704" spans="1:11" x14ac:dyDescent="0.2">
      <c r="B704" s="714"/>
      <c r="C704" s="714"/>
      <c r="D704" s="714"/>
      <c r="E704" s="714"/>
      <c r="F704" s="714"/>
      <c r="G704" s="714"/>
      <c r="H704" s="714"/>
      <c r="I704" s="714"/>
      <c r="J704" s="714"/>
      <c r="K704" s="714"/>
    </row>
    <row r="705" spans="1:9" ht="11.25" customHeight="1" x14ac:dyDescent="0.2">
      <c r="A705" s="825"/>
      <c r="B705" s="2472" t="s">
        <v>7211</v>
      </c>
      <c r="C705" s="2473"/>
      <c r="D705" s="2473"/>
      <c r="E705" s="2474"/>
      <c r="F705" s="825"/>
      <c r="G705" s="825"/>
      <c r="H705" s="825"/>
    </row>
    <row r="706" spans="1:9" x14ac:dyDescent="0.2">
      <c r="B706" s="700" t="s">
        <v>6703</v>
      </c>
      <c r="C706" s="700" t="s">
        <v>6704</v>
      </c>
      <c r="D706" s="700" t="s">
        <v>6</v>
      </c>
      <c r="E706" s="700" t="s">
        <v>6706</v>
      </c>
      <c r="F706" s="2472" t="s">
        <v>4</v>
      </c>
      <c r="G706" s="2474"/>
    </row>
    <row r="707" spans="1:9" x14ac:dyDescent="0.2">
      <c r="B707" s="823">
        <f>+C715</f>
        <v>1.4</v>
      </c>
      <c r="C707" s="823">
        <f>+D715</f>
        <v>1.4</v>
      </c>
      <c r="D707" s="823">
        <f>+SUM('Resumen estr'!I123:M125)+SUM('Resumen estr'!I91:M93)</f>
        <v>31</v>
      </c>
      <c r="E707" s="824">
        <f t="shared" ref="E707:E709" si="11">D707*B707*C707</f>
        <v>60.759999999999991</v>
      </c>
      <c r="F707" s="827" t="s">
        <v>6668</v>
      </c>
      <c r="G707" s="828"/>
    </row>
    <row r="708" spans="1:9" x14ac:dyDescent="0.2">
      <c r="B708" s="823">
        <f>+C759+C760</f>
        <v>12.72</v>
      </c>
      <c r="C708" s="823">
        <f>+D759+D760</f>
        <v>8.2200000000000006</v>
      </c>
      <c r="D708" s="823">
        <v>5</v>
      </c>
      <c r="E708" s="824">
        <f t="shared" si="11"/>
        <v>522.79200000000003</v>
      </c>
      <c r="F708" s="827" t="s">
        <v>6669</v>
      </c>
      <c r="G708" s="828"/>
    </row>
    <row r="709" spans="1:9" x14ac:dyDescent="0.2">
      <c r="B709" s="823"/>
      <c r="C709" s="823"/>
      <c r="D709" s="823">
        <v>4</v>
      </c>
      <c r="E709" s="824">
        <f t="shared" si="11"/>
        <v>0</v>
      </c>
      <c r="F709" s="827" t="s">
        <v>7212</v>
      </c>
      <c r="G709" s="828"/>
    </row>
    <row r="710" spans="1:9" x14ac:dyDescent="0.2">
      <c r="B710" s="2472" t="s">
        <v>6706</v>
      </c>
      <c r="C710" s="2473"/>
      <c r="D710" s="2474"/>
      <c r="E710" s="824">
        <f>SUM(E707:E709)</f>
        <v>583.55200000000002</v>
      </c>
    </row>
    <row r="711" spans="1:9" s="707" customFormat="1" x14ac:dyDescent="0.2">
      <c r="B711" s="825"/>
      <c r="C711" s="825"/>
      <c r="D711" s="825"/>
      <c r="E711" s="829"/>
    </row>
    <row r="712" spans="1:9" ht="34.5" customHeight="1" x14ac:dyDescent="0.2">
      <c r="A712" s="2471" t="s">
        <v>6841</v>
      </c>
      <c r="B712" s="2471"/>
      <c r="C712" s="2471"/>
      <c r="D712" s="2471"/>
      <c r="E712" s="2471"/>
      <c r="F712" s="2471"/>
      <c r="G712" s="2471"/>
      <c r="H712" s="2471"/>
      <c r="I712" s="2471"/>
    </row>
    <row r="713" spans="1:9" x14ac:dyDescent="0.2">
      <c r="B713" s="2471" t="s">
        <v>6719</v>
      </c>
      <c r="C713" s="2471"/>
      <c r="D713" s="2471"/>
      <c r="E713" s="2471"/>
      <c r="F713" s="2471"/>
      <c r="G713" s="2471"/>
      <c r="H713" s="2471"/>
      <c r="I713" s="2471"/>
    </row>
    <row r="714" spans="1:9" x14ac:dyDescent="0.2">
      <c r="C714" s="700" t="s">
        <v>6703</v>
      </c>
      <c r="D714" s="700" t="s">
        <v>6704</v>
      </c>
      <c r="E714" s="700" t="s">
        <v>6705</v>
      </c>
      <c r="F714" s="700" t="s">
        <v>6</v>
      </c>
      <c r="G714" s="700" t="s">
        <v>6706</v>
      </c>
      <c r="H714" s="2475" t="s">
        <v>4</v>
      </c>
      <c r="I714" s="2476"/>
    </row>
    <row r="715" spans="1:9" x14ac:dyDescent="0.2">
      <c r="C715" s="701">
        <v>1.4</v>
      </c>
      <c r="D715" s="701">
        <v>1.4</v>
      </c>
      <c r="E715" s="701">
        <v>1.4</v>
      </c>
      <c r="F715" s="701">
        <v>1</v>
      </c>
      <c r="G715" s="702">
        <f>+C715*D715*E715*F715</f>
        <v>2.7439999999999993</v>
      </c>
      <c r="H715" s="2469" t="s">
        <v>6748</v>
      </c>
      <c r="I715" s="2470"/>
    </row>
    <row r="716" spans="1:9" x14ac:dyDescent="0.2">
      <c r="C716" s="703"/>
      <c r="D716" s="2472" t="s">
        <v>6706</v>
      </c>
      <c r="E716" s="2473"/>
      <c r="F716" s="2474"/>
      <c r="G716" s="702">
        <f>SUM(G715:G715)</f>
        <v>2.7439999999999993</v>
      </c>
      <c r="H716" s="703"/>
      <c r="I716" s="703"/>
    </row>
    <row r="720" spans="1:9" x14ac:dyDescent="0.2">
      <c r="B720" s="2471" t="s">
        <v>6832</v>
      </c>
      <c r="C720" s="2471"/>
      <c r="D720" s="2471"/>
      <c r="E720" s="2471"/>
      <c r="F720" s="2471"/>
      <c r="G720" s="2471"/>
      <c r="H720" s="2471"/>
      <c r="I720" s="2471"/>
    </row>
    <row r="721" spans="2:9" x14ac:dyDescent="0.2">
      <c r="C721" s="700" t="s">
        <v>6703</v>
      </c>
      <c r="D721" s="700" t="s">
        <v>6704</v>
      </c>
      <c r="E721" s="700" t="s">
        <v>6705</v>
      </c>
      <c r="F721" s="700" t="s">
        <v>6</v>
      </c>
      <c r="G721" s="700" t="s">
        <v>6706</v>
      </c>
      <c r="H721" s="2475" t="s">
        <v>4</v>
      </c>
      <c r="I721" s="2476"/>
    </row>
    <row r="722" spans="2:9" x14ac:dyDescent="0.2">
      <c r="C722" s="701">
        <v>1.4</v>
      </c>
      <c r="D722" s="701">
        <v>1.4</v>
      </c>
      <c r="E722" s="701">
        <v>0.05</v>
      </c>
      <c r="F722" s="701">
        <v>1</v>
      </c>
      <c r="G722" s="702">
        <f>+C722*D722*E722</f>
        <v>9.799999999999999E-2</v>
      </c>
      <c r="H722" s="2469" t="s">
        <v>6748</v>
      </c>
      <c r="I722" s="2470"/>
    </row>
    <row r="723" spans="2:9" x14ac:dyDescent="0.2">
      <c r="C723" s="703"/>
      <c r="D723" s="2472" t="s">
        <v>6706</v>
      </c>
      <c r="E723" s="2473"/>
      <c r="F723" s="2474"/>
      <c r="G723" s="702">
        <f>SUM(G722:G722)</f>
        <v>9.799999999999999E-2</v>
      </c>
      <c r="H723" s="703"/>
      <c r="I723" s="703"/>
    </row>
    <row r="726" spans="2:9" x14ac:dyDescent="0.2">
      <c r="B726" s="2471" t="s">
        <v>6833</v>
      </c>
      <c r="C726" s="2471"/>
      <c r="D726" s="2471"/>
      <c r="E726" s="2471"/>
      <c r="F726" s="2471"/>
      <c r="G726" s="2471"/>
      <c r="H726" s="2471"/>
      <c r="I726" s="2471"/>
    </row>
    <row r="727" spans="2:9" x14ac:dyDescent="0.2">
      <c r="C727" s="700" t="s">
        <v>6703</v>
      </c>
      <c r="D727" s="700" t="s">
        <v>6704</v>
      </c>
      <c r="E727" s="700" t="s">
        <v>6705</v>
      </c>
      <c r="F727" s="700" t="s">
        <v>6</v>
      </c>
      <c r="G727" s="700" t="s">
        <v>6706</v>
      </c>
      <c r="H727" s="2475" t="s">
        <v>4</v>
      </c>
      <c r="I727" s="2476"/>
    </row>
    <row r="728" spans="2:9" x14ac:dyDescent="0.2">
      <c r="C728" s="701">
        <v>1.4</v>
      </c>
      <c r="D728" s="701">
        <v>1.4</v>
      </c>
      <c r="E728" s="701">
        <v>0.2</v>
      </c>
      <c r="F728" s="701">
        <v>1</v>
      </c>
      <c r="G728" s="702">
        <f>+C728*D728*E728*F728</f>
        <v>0.39199999999999996</v>
      </c>
      <c r="H728" s="2469" t="s">
        <v>6708</v>
      </c>
      <c r="I728" s="2470"/>
    </row>
    <row r="729" spans="2:9" x14ac:dyDescent="0.2">
      <c r="C729" s="701">
        <v>3.8</v>
      </c>
      <c r="D729" s="701">
        <v>1.4</v>
      </c>
      <c r="E729" s="701">
        <v>0.2</v>
      </c>
      <c r="F729" s="701">
        <v>1</v>
      </c>
      <c r="G729" s="702">
        <f>+C729*D729*E729*F729</f>
        <v>1.0639999999999998</v>
      </c>
      <c r="H729" s="2469" t="s">
        <v>6707</v>
      </c>
      <c r="I729" s="2470"/>
    </row>
    <row r="730" spans="2:9" x14ac:dyDescent="0.2">
      <c r="C730" s="701">
        <v>1</v>
      </c>
      <c r="D730" s="701">
        <v>0.8</v>
      </c>
      <c r="E730" s="701">
        <v>0.2</v>
      </c>
      <c r="F730" s="701">
        <v>1</v>
      </c>
      <c r="G730" s="702">
        <f>+C730*D730*E730*F730</f>
        <v>0.16000000000000003</v>
      </c>
      <c r="H730" s="2469" t="s">
        <v>6707</v>
      </c>
      <c r="I730" s="2470"/>
    </row>
    <row r="731" spans="2:9" x14ac:dyDescent="0.2">
      <c r="C731" s="703"/>
      <c r="D731" s="2472" t="s">
        <v>6706</v>
      </c>
      <c r="E731" s="2473"/>
      <c r="F731" s="2474"/>
      <c r="G731" s="702">
        <f>SUM(G728:G730)</f>
        <v>1.6159999999999997</v>
      </c>
      <c r="H731" s="703"/>
      <c r="I731" s="703"/>
    </row>
    <row r="734" spans="2:9" x14ac:dyDescent="0.2">
      <c r="B734" s="2471" t="s">
        <v>6834</v>
      </c>
      <c r="C734" s="2471"/>
      <c r="D734" s="2471"/>
      <c r="E734" s="2471"/>
      <c r="F734" s="2471"/>
      <c r="G734" s="2471"/>
      <c r="H734" s="2471"/>
      <c r="I734" s="2471"/>
    </row>
    <row r="735" spans="2:9" x14ac:dyDescent="0.2">
      <c r="C735" s="700" t="s">
        <v>6839</v>
      </c>
      <c r="D735" s="724" t="s">
        <v>6840</v>
      </c>
      <c r="E735" s="725"/>
      <c r="F735" s="714"/>
      <c r="G735" s="714"/>
      <c r="H735" s="2482"/>
      <c r="I735" s="2482"/>
    </row>
    <row r="736" spans="2:9" x14ac:dyDescent="0.2">
      <c r="C736" s="708">
        <v>80</v>
      </c>
      <c r="D736" s="727">
        <f>+C736*0.996</f>
        <v>79.680000000000007</v>
      </c>
    </row>
    <row r="738" spans="2:9" x14ac:dyDescent="0.2">
      <c r="B738" s="2471" t="s">
        <v>6835</v>
      </c>
      <c r="C738" s="2471"/>
      <c r="D738" s="2471"/>
      <c r="E738" s="2471"/>
      <c r="F738" s="2471"/>
      <c r="G738" s="2471"/>
      <c r="H738" s="2471"/>
      <c r="I738" s="2471"/>
    </row>
    <row r="740" spans="2:9" ht="33.75" x14ac:dyDescent="0.2">
      <c r="C740" s="706" t="s">
        <v>6730</v>
      </c>
      <c r="D740" s="706" t="s">
        <v>6836</v>
      </c>
      <c r="E740" s="706" t="str">
        <f>+B738</f>
        <v>IMPERMEABILIZANTE INTEGRAL</v>
      </c>
    </row>
    <row r="741" spans="2:9" x14ac:dyDescent="0.2">
      <c r="C741" s="712">
        <f>+G731</f>
        <v>1.6159999999999997</v>
      </c>
      <c r="D741" s="710">
        <f>+C741*600.6</f>
        <v>970.56959999999981</v>
      </c>
      <c r="E741" s="710">
        <f>+D741*0.05</f>
        <v>48.528479999999995</v>
      </c>
    </row>
    <row r="745" spans="2:9" x14ac:dyDescent="0.2">
      <c r="B745" s="2471" t="s">
        <v>6837</v>
      </c>
      <c r="C745" s="2471"/>
      <c r="D745" s="2471"/>
      <c r="E745" s="2471"/>
      <c r="F745" s="2471"/>
      <c r="G745" s="2471"/>
      <c r="H745" s="2471"/>
      <c r="I745" s="2471"/>
    </row>
    <row r="747" spans="2:9" x14ac:dyDescent="0.2">
      <c r="C747" s="706" t="s">
        <v>6719</v>
      </c>
      <c r="D747" s="706" t="s">
        <v>6838</v>
      </c>
    </row>
    <row r="748" spans="2:9" x14ac:dyDescent="0.2">
      <c r="C748" s="712">
        <f>+G716</f>
        <v>2.7439999999999993</v>
      </c>
      <c r="D748" s="708">
        <f>+C748*1.5</f>
        <v>4.1159999999999988</v>
      </c>
    </row>
    <row r="751" spans="2:9" x14ac:dyDescent="0.2">
      <c r="B751" s="2472" t="s">
        <v>6787</v>
      </c>
      <c r="C751" s="2473"/>
      <c r="D751" s="2473"/>
      <c r="E751" s="2473"/>
      <c r="F751" s="2473"/>
      <c r="G751" s="2473"/>
      <c r="H751" s="2473"/>
      <c r="I751" s="2474"/>
    </row>
    <row r="753" spans="1:9" x14ac:dyDescent="0.2">
      <c r="C753" s="2472" t="s">
        <v>6695</v>
      </c>
      <c r="D753" s="2473"/>
      <c r="E753" s="2474"/>
      <c r="F753" s="706" t="s">
        <v>6779</v>
      </c>
    </row>
    <row r="756" spans="1:9" ht="33" customHeight="1" x14ac:dyDescent="0.2">
      <c r="A756" s="2471" t="s">
        <v>6842</v>
      </c>
      <c r="B756" s="2471"/>
      <c r="C756" s="2471"/>
      <c r="D756" s="2471"/>
      <c r="E756" s="2471"/>
      <c r="F756" s="2471"/>
      <c r="G756" s="2471"/>
      <c r="H756" s="2471"/>
      <c r="I756" s="2471"/>
    </row>
    <row r="757" spans="1:9" x14ac:dyDescent="0.2">
      <c r="B757" s="2471" t="s">
        <v>6719</v>
      </c>
      <c r="C757" s="2471"/>
      <c r="D757" s="2471"/>
      <c r="E757" s="2471"/>
      <c r="F757" s="2471"/>
      <c r="G757" s="2471"/>
      <c r="H757" s="2471"/>
      <c r="I757" s="2471"/>
    </row>
    <row r="758" spans="1:9" x14ac:dyDescent="0.2">
      <c r="C758" s="700" t="s">
        <v>6703</v>
      </c>
      <c r="D758" s="700" t="s">
        <v>6704</v>
      </c>
      <c r="E758" s="700" t="s">
        <v>6705</v>
      </c>
      <c r="F758" s="700" t="s">
        <v>6</v>
      </c>
      <c r="G758" s="700" t="s">
        <v>6706</v>
      </c>
      <c r="H758" s="2475" t="s">
        <v>4</v>
      </c>
      <c r="I758" s="2476"/>
    </row>
    <row r="759" spans="1:9" x14ac:dyDescent="0.2">
      <c r="C759" s="701">
        <f>7.57+0.25</f>
        <v>7.82</v>
      </c>
      <c r="D759" s="701">
        <f>2.2+0.25*2</f>
        <v>2.7</v>
      </c>
      <c r="E759" s="701">
        <f>2.2+0.2+0.2+0.05+0.2</f>
        <v>2.8500000000000005</v>
      </c>
      <c r="F759" s="701">
        <v>1</v>
      </c>
      <c r="G759" s="702">
        <f>+C759*D759*E759*F759</f>
        <v>60.174900000000015</v>
      </c>
      <c r="H759" s="2469" t="s">
        <v>6748</v>
      </c>
      <c r="I759" s="2470"/>
    </row>
    <row r="760" spans="1:9" x14ac:dyDescent="0.2">
      <c r="C760" s="701">
        <f>4.2+0.35*2</f>
        <v>4.9000000000000004</v>
      </c>
      <c r="D760" s="701">
        <f>0.35+3+0.35+1.82</f>
        <v>5.5200000000000005</v>
      </c>
      <c r="E760" s="701">
        <f>4.5+0.35+0.05+0.2+0.25</f>
        <v>5.35</v>
      </c>
      <c r="F760" s="701">
        <v>1</v>
      </c>
      <c r="G760" s="702">
        <f>+C760*D760*E760*F760</f>
        <v>144.70680000000002</v>
      </c>
      <c r="H760" s="2469" t="s">
        <v>6843</v>
      </c>
      <c r="I760" s="2470"/>
    </row>
    <row r="761" spans="1:9" x14ac:dyDescent="0.2">
      <c r="C761" s="703"/>
      <c r="D761" s="2472" t="s">
        <v>6706</v>
      </c>
      <c r="E761" s="2473"/>
      <c r="F761" s="2474"/>
      <c r="G761" s="702">
        <f>SUM(G759:G760)</f>
        <v>204.88170000000002</v>
      </c>
      <c r="H761" s="703"/>
      <c r="I761" s="703"/>
    </row>
    <row r="763" spans="1:9" s="1445" customFormat="1" x14ac:dyDescent="0.2">
      <c r="B763" s="2471" t="s">
        <v>9080</v>
      </c>
      <c r="C763" s="2471"/>
      <c r="D763" s="2471"/>
      <c r="E763" s="2471"/>
      <c r="F763" s="2471"/>
      <c r="G763" s="2471"/>
      <c r="H763" s="2471"/>
      <c r="I763" s="2471"/>
    </row>
    <row r="764" spans="1:9" s="1445" customFormat="1" x14ac:dyDescent="0.2">
      <c r="C764" s="1486" t="s">
        <v>6703</v>
      </c>
      <c r="D764" s="1486" t="s">
        <v>6704</v>
      </c>
      <c r="E764" s="1486" t="s">
        <v>6705</v>
      </c>
      <c r="F764" s="1486" t="s">
        <v>6</v>
      </c>
      <c r="G764" s="1486" t="s">
        <v>6706</v>
      </c>
      <c r="H764" s="2475" t="s">
        <v>4</v>
      </c>
      <c r="I764" s="2476"/>
    </row>
    <row r="765" spans="1:9" s="1445" customFormat="1" x14ac:dyDescent="0.2">
      <c r="C765" s="1602">
        <f>7.57+0.25</f>
        <v>7.82</v>
      </c>
      <c r="D765" s="1602">
        <f>2.2+0.25*2</f>
        <v>2.7</v>
      </c>
      <c r="E765" s="1602">
        <v>0.2</v>
      </c>
      <c r="F765" s="1602">
        <v>1</v>
      </c>
      <c r="G765" s="1603">
        <f>+C765*D765*E765*F765</f>
        <v>4.2228000000000003</v>
      </c>
      <c r="H765" s="2469" t="s">
        <v>6748</v>
      </c>
      <c r="I765" s="2470"/>
    </row>
    <row r="766" spans="1:9" s="1445" customFormat="1" x14ac:dyDescent="0.2">
      <c r="C766" s="1602">
        <f>4.2+0.35*2</f>
        <v>4.9000000000000004</v>
      </c>
      <c r="D766" s="1602">
        <f>0.35+3+0.35+1.82</f>
        <v>5.5200000000000005</v>
      </c>
      <c r="E766" s="1602">
        <v>0.2</v>
      </c>
      <c r="F766" s="1602">
        <v>1</v>
      </c>
      <c r="G766" s="1603">
        <f>+C766*D766*E766*F766</f>
        <v>5.4096000000000011</v>
      </c>
      <c r="H766" s="2469" t="s">
        <v>6843</v>
      </c>
      <c r="I766" s="2470"/>
    </row>
    <row r="767" spans="1:9" s="1445" customFormat="1" x14ac:dyDescent="0.2">
      <c r="C767" s="703"/>
      <c r="D767" s="2472" t="s">
        <v>6706</v>
      </c>
      <c r="E767" s="2473"/>
      <c r="F767" s="2474"/>
      <c r="G767" s="1603">
        <f>SUM(G765:G766)</f>
        <v>9.6324000000000005</v>
      </c>
      <c r="H767" s="703"/>
      <c r="I767" s="703"/>
    </row>
    <row r="768" spans="1:9" s="1445" customFormat="1" x14ac:dyDescent="0.2"/>
    <row r="771" spans="2:11" x14ac:dyDescent="0.2">
      <c r="B771" s="2471" t="s">
        <v>6832</v>
      </c>
      <c r="C771" s="2471"/>
      <c r="D771" s="2471"/>
      <c r="E771" s="2471"/>
      <c r="F771" s="2471"/>
      <c r="G771" s="2471"/>
      <c r="H771" s="2471"/>
      <c r="I771" s="2471"/>
    </row>
    <row r="772" spans="2:11" x14ac:dyDescent="0.2">
      <c r="C772" s="700" t="s">
        <v>6703</v>
      </c>
      <c r="D772" s="700" t="s">
        <v>6704</v>
      </c>
      <c r="E772" s="700" t="s">
        <v>6705</v>
      </c>
      <c r="F772" s="700" t="s">
        <v>6</v>
      </c>
      <c r="G772" s="700" t="s">
        <v>6706</v>
      </c>
      <c r="H772" s="2475" t="s">
        <v>4</v>
      </c>
      <c r="I772" s="2476"/>
    </row>
    <row r="773" spans="2:11" x14ac:dyDescent="0.2">
      <c r="C773" s="701">
        <f>7.57+0.25</f>
        <v>7.82</v>
      </c>
      <c r="D773" s="701">
        <f>3+0.25*2</f>
        <v>3.5</v>
      </c>
      <c r="E773" s="701">
        <v>0.05</v>
      </c>
      <c r="F773" s="701">
        <v>1</v>
      </c>
      <c r="G773" s="702">
        <f>+C773*D773*E773</f>
        <v>1.3685</v>
      </c>
      <c r="H773" s="2469" t="s">
        <v>6748</v>
      </c>
      <c r="I773" s="2470"/>
    </row>
    <row r="774" spans="2:11" x14ac:dyDescent="0.2">
      <c r="C774" s="701">
        <f>3+0.35*2</f>
        <v>3.7</v>
      </c>
      <c r="D774" s="701">
        <f>4.2+0.35*2</f>
        <v>4.9000000000000004</v>
      </c>
      <c r="E774" s="701">
        <v>0.05</v>
      </c>
      <c r="F774" s="701">
        <v>1</v>
      </c>
      <c r="G774" s="702">
        <f>+C774*D774*E774</f>
        <v>0.90650000000000019</v>
      </c>
      <c r="H774" s="2469" t="s">
        <v>6843</v>
      </c>
      <c r="I774" s="2470"/>
    </row>
    <row r="775" spans="2:11" x14ac:dyDescent="0.2">
      <c r="C775" s="703"/>
      <c r="D775" s="2472" t="s">
        <v>6706</v>
      </c>
      <c r="E775" s="2473"/>
      <c r="F775" s="2474"/>
      <c r="G775" s="702">
        <f>SUM(G773:G774)</f>
        <v>2.2750000000000004</v>
      </c>
      <c r="H775" s="703"/>
      <c r="I775" s="703"/>
    </row>
    <row r="778" spans="2:11" x14ac:dyDescent="0.2">
      <c r="B778" s="2471" t="s">
        <v>6833</v>
      </c>
      <c r="C778" s="2471"/>
      <c r="D778" s="2471"/>
      <c r="E778" s="2471"/>
      <c r="F778" s="2471"/>
      <c r="G778" s="2471"/>
      <c r="H778" s="2471"/>
      <c r="I778" s="2471"/>
    </row>
    <row r="779" spans="2:11" x14ac:dyDescent="0.2">
      <c r="C779" s="700" t="s">
        <v>6703</v>
      </c>
      <c r="D779" s="700" t="s">
        <v>6704</v>
      </c>
      <c r="E779" s="700" t="s">
        <v>6705</v>
      </c>
      <c r="F779" s="700" t="s">
        <v>6</v>
      </c>
      <c r="G779" s="700" t="s">
        <v>6706</v>
      </c>
      <c r="H779" s="2475" t="s">
        <v>4</v>
      </c>
      <c r="I779" s="2476"/>
      <c r="J779" s="713"/>
      <c r="K779" s="713"/>
    </row>
    <row r="780" spans="2:11" x14ac:dyDescent="0.2">
      <c r="C780" s="701">
        <f>7.57+0.25</f>
        <v>7.82</v>
      </c>
      <c r="D780" s="701">
        <v>0.25</v>
      </c>
      <c r="E780" s="701">
        <f>3+0.25*2</f>
        <v>3.5</v>
      </c>
      <c r="F780" s="701">
        <v>1</v>
      </c>
      <c r="G780" s="702">
        <f t="shared" ref="G780:G791" si="12">+C780*D780*E780*F780</f>
        <v>6.8425000000000002</v>
      </c>
      <c r="H780" s="2469" t="s">
        <v>6844</v>
      </c>
      <c r="I780" s="2470"/>
      <c r="J780" s="713"/>
      <c r="K780" s="713"/>
    </row>
    <row r="781" spans="2:11" x14ac:dyDescent="0.2">
      <c r="C781" s="701">
        <f>7.57+0.25</f>
        <v>7.82</v>
      </c>
      <c r="D781" s="701">
        <v>0.25</v>
      </c>
      <c r="E781" s="701">
        <f>3+0.25*2</f>
        <v>3.5</v>
      </c>
      <c r="F781" s="701">
        <v>1</v>
      </c>
      <c r="G781" s="702">
        <f t="shared" si="12"/>
        <v>6.8425000000000002</v>
      </c>
      <c r="H781" s="2469" t="s">
        <v>6845</v>
      </c>
      <c r="I781" s="2470"/>
      <c r="J781" s="713"/>
      <c r="K781" s="728"/>
    </row>
    <row r="782" spans="2:11" x14ac:dyDescent="0.2">
      <c r="C782" s="701">
        <f>+E781</f>
        <v>3.5</v>
      </c>
      <c r="D782" s="701">
        <v>0.25</v>
      </c>
      <c r="E782" s="701">
        <v>2.2000000000000002</v>
      </c>
      <c r="F782" s="701">
        <v>1</v>
      </c>
      <c r="G782" s="702">
        <f t="shared" si="12"/>
        <v>1.9250000000000003</v>
      </c>
      <c r="H782" s="2469" t="s">
        <v>6846</v>
      </c>
      <c r="I782" s="2470"/>
      <c r="J782" s="728"/>
      <c r="K782" s="713"/>
    </row>
    <row r="783" spans="2:11" x14ac:dyDescent="0.2">
      <c r="C783" s="701">
        <v>7.57</v>
      </c>
      <c r="D783" s="701">
        <v>0.25</v>
      </c>
      <c r="E783" s="701">
        <v>2.2000000000000002</v>
      </c>
      <c r="F783" s="701">
        <v>2</v>
      </c>
      <c r="G783" s="702">
        <f t="shared" si="12"/>
        <v>8.3270000000000017</v>
      </c>
      <c r="H783" s="2469" t="s">
        <v>6846</v>
      </c>
      <c r="I783" s="2470"/>
      <c r="J783" s="713"/>
      <c r="K783" s="713"/>
    </row>
    <row r="784" spans="2:11" x14ac:dyDescent="0.2">
      <c r="C784" s="701">
        <f>4.2+0.35*2</f>
        <v>4.9000000000000004</v>
      </c>
      <c r="D784" s="701">
        <v>0.25</v>
      </c>
      <c r="E784" s="701">
        <f>3+0.35*2</f>
        <v>3.7</v>
      </c>
      <c r="F784" s="701">
        <v>1</v>
      </c>
      <c r="G784" s="702">
        <f t="shared" si="12"/>
        <v>4.5325000000000006</v>
      </c>
      <c r="H784" s="2469" t="s">
        <v>6847</v>
      </c>
      <c r="I784" s="2470"/>
      <c r="J784" s="713"/>
      <c r="K784" s="713"/>
    </row>
    <row r="785" spans="2:11" x14ac:dyDescent="0.2">
      <c r="C785" s="701">
        <f>4.2+0.35*2</f>
        <v>4.9000000000000004</v>
      </c>
      <c r="D785" s="701">
        <v>0.35</v>
      </c>
      <c r="E785" s="701">
        <f>3+0.35*2</f>
        <v>3.7</v>
      </c>
      <c r="F785" s="701">
        <v>1</v>
      </c>
      <c r="G785" s="702">
        <f t="shared" si="12"/>
        <v>6.3455000000000004</v>
      </c>
      <c r="H785" s="2469" t="s">
        <v>6848</v>
      </c>
      <c r="I785" s="2470"/>
      <c r="J785" s="728"/>
      <c r="K785" s="713"/>
    </row>
    <row r="786" spans="2:11" x14ac:dyDescent="0.2">
      <c r="C786" s="701">
        <f>4.2+0.35*2</f>
        <v>4.9000000000000004</v>
      </c>
      <c r="D786" s="701">
        <v>0.35</v>
      </c>
      <c r="E786" s="701">
        <v>4.5</v>
      </c>
      <c r="F786" s="701">
        <v>2</v>
      </c>
      <c r="G786" s="702">
        <f t="shared" si="12"/>
        <v>15.435</v>
      </c>
      <c r="H786" s="2469" t="s">
        <v>6849</v>
      </c>
      <c r="I786" s="2470"/>
      <c r="J786" s="713"/>
      <c r="K786" s="713"/>
    </row>
    <row r="787" spans="2:11" x14ac:dyDescent="0.2">
      <c r="C787" s="701">
        <v>3</v>
      </c>
      <c r="D787" s="701">
        <v>0.35</v>
      </c>
      <c r="E787" s="701">
        <v>4.5</v>
      </c>
      <c r="F787" s="701">
        <v>2</v>
      </c>
      <c r="G787" s="702">
        <f t="shared" si="12"/>
        <v>9.4499999999999993</v>
      </c>
      <c r="H787" s="2469" t="s">
        <v>6849</v>
      </c>
      <c r="I787" s="2470"/>
      <c r="J787" s="713"/>
      <c r="K787" s="713"/>
    </row>
    <row r="788" spans="2:11" x14ac:dyDescent="0.2">
      <c r="C788" s="701">
        <v>1</v>
      </c>
      <c r="D788" s="701">
        <v>0.15</v>
      </c>
      <c r="E788" s="701">
        <v>2</v>
      </c>
      <c r="F788" s="729">
        <v>1</v>
      </c>
      <c r="G788" s="702">
        <f t="shared" si="12"/>
        <v>0.3</v>
      </c>
      <c r="H788" s="2469" t="s">
        <v>6850</v>
      </c>
      <c r="I788" s="2470"/>
      <c r="J788" s="713"/>
      <c r="K788" s="713"/>
    </row>
    <row r="789" spans="2:11" x14ac:dyDescent="0.2">
      <c r="C789" s="701">
        <v>1.1499999999999999</v>
      </c>
      <c r="D789" s="701">
        <v>0.15</v>
      </c>
      <c r="E789" s="701">
        <v>2</v>
      </c>
      <c r="F789" s="729">
        <v>1</v>
      </c>
      <c r="G789" s="702">
        <f t="shared" si="12"/>
        <v>0.34499999999999997</v>
      </c>
      <c r="H789" s="2469" t="s">
        <v>6850</v>
      </c>
      <c r="I789" s="2470"/>
      <c r="J789" s="713"/>
      <c r="K789" s="713"/>
    </row>
    <row r="790" spans="2:11" x14ac:dyDescent="0.2">
      <c r="C790" s="726">
        <v>1.1499999999999999</v>
      </c>
      <c r="D790" s="701">
        <v>0.2</v>
      </c>
      <c r="E790" s="701">
        <v>1.1499999999999999</v>
      </c>
      <c r="F790" s="701">
        <v>1</v>
      </c>
      <c r="G790" s="702">
        <f t="shared" si="12"/>
        <v>0.26449999999999996</v>
      </c>
      <c r="H790" s="2469" t="s">
        <v>6851</v>
      </c>
      <c r="I790" s="2470"/>
      <c r="J790" s="713"/>
      <c r="K790" s="728"/>
    </row>
    <row r="791" spans="2:11" x14ac:dyDescent="0.2">
      <c r="C791" s="726">
        <v>0.5</v>
      </c>
      <c r="D791" s="701">
        <v>0.5</v>
      </c>
      <c r="E791" s="701">
        <v>0.25</v>
      </c>
      <c r="F791" s="701">
        <v>3</v>
      </c>
      <c r="G791" s="702">
        <f t="shared" si="12"/>
        <v>0.1875</v>
      </c>
      <c r="H791" s="2469" t="s">
        <v>6852</v>
      </c>
      <c r="I791" s="2470"/>
      <c r="J791" s="713"/>
      <c r="K791" s="728"/>
    </row>
    <row r="792" spans="2:11" x14ac:dyDescent="0.2">
      <c r="C792" s="2495">
        <v>0.27600000000000002</v>
      </c>
      <c r="D792" s="2495"/>
      <c r="E792" s="701">
        <v>2.15</v>
      </c>
      <c r="F792" s="701">
        <v>3</v>
      </c>
      <c r="G792" s="702">
        <f>+C792*E792*F792</f>
        <v>1.7802000000000002</v>
      </c>
      <c r="H792" s="2469" t="s">
        <v>6853</v>
      </c>
      <c r="I792" s="2470"/>
      <c r="J792" s="713"/>
      <c r="K792" s="713"/>
    </row>
    <row r="793" spans="2:11" x14ac:dyDescent="0.2">
      <c r="C793" s="703"/>
      <c r="D793" s="2475" t="s">
        <v>6706</v>
      </c>
      <c r="E793" s="2491"/>
      <c r="F793" s="2476"/>
      <c r="G793" s="730">
        <f>SUM(G780:G792)</f>
        <v>62.577199999999998</v>
      </c>
      <c r="H793" s="703"/>
      <c r="I793" s="703"/>
      <c r="J793" s="713"/>
      <c r="K793" s="713"/>
    </row>
    <row r="795" spans="2:11" s="1445" customFormat="1" x14ac:dyDescent="0.2">
      <c r="C795" s="1445" t="s">
        <v>9081</v>
      </c>
      <c r="D795" s="1445">
        <f>1*1.6*0.2*6</f>
        <v>1.9200000000000004</v>
      </c>
    </row>
    <row r="797" spans="2:11" x14ac:dyDescent="0.2">
      <c r="B797" s="2471" t="s">
        <v>6834</v>
      </c>
      <c r="C797" s="2471"/>
      <c r="D797" s="2471"/>
      <c r="E797" s="2471"/>
      <c r="F797" s="2471"/>
      <c r="G797" s="2471"/>
      <c r="H797" s="2471"/>
      <c r="I797" s="2471"/>
    </row>
    <row r="798" spans="2:11" x14ac:dyDescent="0.2">
      <c r="C798" s="700" t="s">
        <v>6839</v>
      </c>
      <c r="D798" s="724" t="s">
        <v>6840</v>
      </c>
      <c r="E798" s="725"/>
      <c r="F798" s="714"/>
      <c r="G798" s="714"/>
      <c r="H798" s="2482"/>
      <c r="I798" s="2482"/>
    </row>
    <row r="799" spans="2:11" x14ac:dyDescent="0.2">
      <c r="C799" s="708">
        <v>6837</v>
      </c>
      <c r="D799" s="727">
        <f>+C799*0.996</f>
        <v>6809.652</v>
      </c>
    </row>
    <row r="801" spans="2:9" x14ac:dyDescent="0.2">
      <c r="B801" s="2471" t="s">
        <v>6835</v>
      </c>
      <c r="C801" s="2471"/>
      <c r="D801" s="2471"/>
      <c r="E801" s="2471"/>
      <c r="F801" s="2471"/>
      <c r="G801" s="2471"/>
      <c r="H801" s="2471"/>
      <c r="I801" s="2471"/>
    </row>
    <row r="803" spans="2:9" ht="33.75" x14ac:dyDescent="0.2">
      <c r="C803" s="706" t="s">
        <v>6730</v>
      </c>
      <c r="D803" s="706" t="s">
        <v>6836</v>
      </c>
      <c r="E803" s="706" t="str">
        <f>+B801</f>
        <v>IMPERMEABILIZANTE INTEGRAL</v>
      </c>
    </row>
    <row r="804" spans="2:9" x14ac:dyDescent="0.2">
      <c r="C804" s="712">
        <f>+G793</f>
        <v>62.577199999999998</v>
      </c>
      <c r="D804" s="710">
        <f>+C804*600.6</f>
        <v>37583.866320000001</v>
      </c>
      <c r="E804" s="710">
        <f>+D804*0.05</f>
        <v>1879.1933160000001</v>
      </c>
    </row>
    <row r="808" spans="2:9" x14ac:dyDescent="0.2">
      <c r="B808" s="2471" t="s">
        <v>6837</v>
      </c>
      <c r="C808" s="2471"/>
      <c r="D808" s="2471"/>
      <c r="E808" s="2471"/>
      <c r="F808" s="2471"/>
      <c r="G808" s="2471"/>
      <c r="H808" s="2471"/>
      <c r="I808" s="2471"/>
    </row>
    <row r="810" spans="2:9" x14ac:dyDescent="0.2">
      <c r="C810" s="706" t="s">
        <v>6719</v>
      </c>
      <c r="D810" s="706" t="s">
        <v>6838</v>
      </c>
    </row>
    <row r="811" spans="2:9" x14ac:dyDescent="0.2">
      <c r="C811" s="712">
        <f>+G761</f>
        <v>204.88170000000002</v>
      </c>
      <c r="D811" s="708">
        <f>+C811*1.3</f>
        <v>266.34621000000004</v>
      </c>
    </row>
    <row r="813" spans="2:9" s="1445" customFormat="1" x14ac:dyDescent="0.2">
      <c r="B813" s="1445" t="s">
        <v>9079</v>
      </c>
      <c r="D813" s="1445">
        <v>20</v>
      </c>
      <c r="F813" s="1445" t="s">
        <v>9100</v>
      </c>
      <c r="G813" s="1445">
        <v>30</v>
      </c>
    </row>
    <row r="814" spans="2:9" x14ac:dyDescent="0.2">
      <c r="B814" s="1445" t="s">
        <v>8947</v>
      </c>
      <c r="D814" s="699">
        <f>+(C759+C760)*D760</f>
        <v>70.214400000000012</v>
      </c>
    </row>
    <row r="815" spans="2:9" s="1445" customFormat="1" x14ac:dyDescent="0.2">
      <c r="B815" s="1445" t="s">
        <v>9083</v>
      </c>
      <c r="D815" s="1445">
        <v>37.299999999999997</v>
      </c>
    </row>
    <row r="816" spans="2:9" x14ac:dyDescent="0.2">
      <c r="B816" s="2471" t="s">
        <v>6787</v>
      </c>
      <c r="C816" s="2471"/>
      <c r="D816" s="2471"/>
      <c r="E816" s="2471"/>
      <c r="F816" s="2471"/>
      <c r="G816" s="2471"/>
      <c r="H816" s="2471"/>
      <c r="I816" s="2471"/>
    </row>
    <row r="818" spans="3:7" x14ac:dyDescent="0.2">
      <c r="C818" s="2471" t="s">
        <v>6695</v>
      </c>
      <c r="D818" s="2471"/>
      <c r="E818" s="2471"/>
      <c r="F818" s="706" t="s">
        <v>6779</v>
      </c>
      <c r="G818" s="699">
        <v>5</v>
      </c>
    </row>
    <row r="819" spans="3:7" ht="27.75" customHeight="1" x14ac:dyDescent="0.2">
      <c r="C819" s="2502" t="s">
        <v>8484</v>
      </c>
      <c r="D819" s="2503"/>
      <c r="E819" s="2504"/>
      <c r="F819" s="1602">
        <v>1</v>
      </c>
      <c r="G819" s="1620">
        <f>+F819*$G$818</f>
        <v>5</v>
      </c>
    </row>
    <row r="820" spans="3:7" ht="27.75" customHeight="1" x14ac:dyDescent="0.2">
      <c r="C820" s="2502" t="s">
        <v>9099</v>
      </c>
      <c r="D820" s="2503"/>
      <c r="E820" s="2504"/>
      <c r="F820" s="1602">
        <v>6</v>
      </c>
      <c r="G820" s="1620">
        <f t="shared" ref="G820:G840" si="13">+F820*$G$818</f>
        <v>30</v>
      </c>
    </row>
    <row r="821" spans="3:7" ht="12.75" x14ac:dyDescent="0.2">
      <c r="C821" s="2502" t="s">
        <v>9084</v>
      </c>
      <c r="D821" s="2503"/>
      <c r="E821" s="2504"/>
      <c r="F821" s="1602">
        <v>1</v>
      </c>
      <c r="G821" s="1620">
        <f t="shared" si="13"/>
        <v>5</v>
      </c>
    </row>
    <row r="822" spans="3:7" ht="12.75" x14ac:dyDescent="0.2">
      <c r="C822" s="2502" t="s">
        <v>8494</v>
      </c>
      <c r="D822" s="2503"/>
      <c r="E822" s="2504"/>
      <c r="F822" s="1602">
        <v>7</v>
      </c>
      <c r="G822" s="1620">
        <f t="shared" si="13"/>
        <v>35</v>
      </c>
    </row>
    <row r="823" spans="3:7" ht="12.75" x14ac:dyDescent="0.2">
      <c r="C823" s="2502" t="s">
        <v>8544</v>
      </c>
      <c r="D823" s="2503"/>
      <c r="E823" s="2504"/>
      <c r="F823" s="1602">
        <v>11</v>
      </c>
      <c r="G823" s="1620">
        <f t="shared" si="13"/>
        <v>55</v>
      </c>
    </row>
    <row r="824" spans="3:7" ht="12.75" x14ac:dyDescent="0.2">
      <c r="C824" s="2502" t="s">
        <v>9085</v>
      </c>
      <c r="D824" s="2503"/>
      <c r="E824" s="2504"/>
      <c r="F824" s="1602">
        <v>1</v>
      </c>
      <c r="G824" s="1620">
        <f t="shared" si="13"/>
        <v>5</v>
      </c>
    </row>
    <row r="825" spans="3:7" ht="12.75" x14ac:dyDescent="0.2">
      <c r="C825" s="2502" t="s">
        <v>9086</v>
      </c>
      <c r="D825" s="2503"/>
      <c r="E825" s="2504"/>
      <c r="F825" s="1602">
        <v>4</v>
      </c>
      <c r="G825" s="1620">
        <f t="shared" si="13"/>
        <v>20</v>
      </c>
    </row>
    <row r="826" spans="3:7" ht="12.75" x14ac:dyDescent="0.2">
      <c r="C826" s="2502" t="s">
        <v>9087</v>
      </c>
      <c r="D826" s="2503"/>
      <c r="E826" s="2504"/>
      <c r="F826" s="1602">
        <v>3</v>
      </c>
      <c r="G826" s="1620">
        <f t="shared" si="13"/>
        <v>15</v>
      </c>
    </row>
    <row r="827" spans="3:7" ht="12.75" x14ac:dyDescent="0.2">
      <c r="C827" s="2502" t="s">
        <v>8493</v>
      </c>
      <c r="D827" s="2503"/>
      <c r="E827" s="2504"/>
      <c r="F827" s="1602">
        <v>4.0999999999999996</v>
      </c>
      <c r="G827" s="1620">
        <f t="shared" si="13"/>
        <v>20.5</v>
      </c>
    </row>
    <row r="828" spans="3:7" ht="12.75" x14ac:dyDescent="0.2">
      <c r="C828" s="2502" t="s">
        <v>8491</v>
      </c>
      <c r="D828" s="2503"/>
      <c r="E828" s="2504"/>
      <c r="F828" s="1602">
        <v>3</v>
      </c>
      <c r="G828" s="1620">
        <f t="shared" si="13"/>
        <v>15</v>
      </c>
    </row>
    <row r="829" spans="3:7" ht="12.75" x14ac:dyDescent="0.2">
      <c r="C829" s="2502" t="s">
        <v>6699</v>
      </c>
      <c r="D829" s="2503"/>
      <c r="E829" s="2504"/>
      <c r="F829" s="1602">
        <v>3</v>
      </c>
      <c r="G829" s="1620">
        <f t="shared" si="13"/>
        <v>15</v>
      </c>
    </row>
    <row r="830" spans="3:7" ht="12.75" x14ac:dyDescent="0.2">
      <c r="C830" s="2502" t="s">
        <v>9092</v>
      </c>
      <c r="D830" s="2503"/>
      <c r="E830" s="2504"/>
      <c r="F830" s="1602">
        <v>3</v>
      </c>
      <c r="G830" s="1620">
        <f t="shared" si="13"/>
        <v>15</v>
      </c>
    </row>
    <row r="831" spans="3:7" ht="23.25" customHeight="1" x14ac:dyDescent="0.2">
      <c r="C831" s="2502" t="s">
        <v>9093</v>
      </c>
      <c r="D831" s="2503"/>
      <c r="E831" s="2504"/>
      <c r="F831" s="1602">
        <v>3</v>
      </c>
      <c r="G831" s="1620">
        <f t="shared" si="13"/>
        <v>15</v>
      </c>
    </row>
    <row r="832" spans="3:7" ht="12.75" x14ac:dyDescent="0.2">
      <c r="C832" s="2502" t="s">
        <v>9094</v>
      </c>
      <c r="D832" s="2503"/>
      <c r="E832" s="2504"/>
      <c r="F832" s="1602">
        <v>3</v>
      </c>
      <c r="G832" s="1620">
        <f t="shared" si="13"/>
        <v>15</v>
      </c>
    </row>
    <row r="833" spans="1:9" ht="12.75" x14ac:dyDescent="0.2">
      <c r="C833" s="2502" t="s">
        <v>9095</v>
      </c>
      <c r="D833" s="2503"/>
      <c r="E833" s="2504"/>
      <c r="F833" s="1602">
        <v>9</v>
      </c>
      <c r="G833" s="1620">
        <f t="shared" si="13"/>
        <v>45</v>
      </c>
    </row>
    <row r="834" spans="1:9" ht="12.75" x14ac:dyDescent="0.2">
      <c r="C834" s="2502" t="s">
        <v>9096</v>
      </c>
      <c r="D834" s="2503"/>
      <c r="E834" s="2504"/>
      <c r="F834" s="1602">
        <v>1</v>
      </c>
      <c r="G834" s="1620">
        <f t="shared" si="13"/>
        <v>5</v>
      </c>
    </row>
    <row r="835" spans="1:9" ht="12.75" x14ac:dyDescent="0.2">
      <c r="C835" s="2502" t="s">
        <v>8432</v>
      </c>
      <c r="D835" s="2503"/>
      <c r="E835" s="2504"/>
      <c r="F835" s="1602">
        <v>1</v>
      </c>
      <c r="G835" s="1620">
        <f t="shared" si="13"/>
        <v>5</v>
      </c>
    </row>
    <row r="836" spans="1:9" ht="12.75" x14ac:dyDescent="0.2">
      <c r="C836" s="2502" t="s">
        <v>9097</v>
      </c>
      <c r="D836" s="2503"/>
      <c r="E836" s="2504"/>
      <c r="F836" s="1602">
        <v>1</v>
      </c>
      <c r="G836" s="1620">
        <f t="shared" si="13"/>
        <v>5</v>
      </c>
    </row>
    <row r="837" spans="1:9" ht="12.75" x14ac:dyDescent="0.2">
      <c r="C837" s="2502" t="s">
        <v>9098</v>
      </c>
      <c r="D837" s="2503"/>
      <c r="E837" s="2504"/>
      <c r="F837" s="1602">
        <v>1</v>
      </c>
      <c r="G837" s="1620">
        <f t="shared" si="13"/>
        <v>5</v>
      </c>
    </row>
    <row r="838" spans="1:9" ht="12.75" x14ac:dyDescent="0.2">
      <c r="C838" s="2502" t="s">
        <v>8492</v>
      </c>
      <c r="D838" s="2503"/>
      <c r="E838" s="2504"/>
      <c r="F838" s="1602">
        <v>2</v>
      </c>
      <c r="G838" s="1620">
        <f t="shared" si="13"/>
        <v>10</v>
      </c>
    </row>
    <row r="839" spans="1:9" ht="12.75" x14ac:dyDescent="0.2">
      <c r="C839" s="2502" t="s">
        <v>8490</v>
      </c>
      <c r="D839" s="2503"/>
      <c r="E839" s="2504"/>
      <c r="F839" s="1602">
        <v>4</v>
      </c>
      <c r="G839" s="1620">
        <f t="shared" si="13"/>
        <v>20</v>
      </c>
    </row>
    <row r="840" spans="1:9" ht="12.75" x14ac:dyDescent="0.2">
      <c r="C840" s="2502" t="s">
        <v>8956</v>
      </c>
      <c r="D840" s="2503"/>
      <c r="E840" s="2504"/>
      <c r="F840" s="1602">
        <v>5</v>
      </c>
      <c r="G840" s="1620">
        <f t="shared" si="13"/>
        <v>25</v>
      </c>
    </row>
    <row r="841" spans="1:9" s="1445" customFormat="1" x14ac:dyDescent="0.2">
      <c r="C841" s="703"/>
      <c r="D841" s="703"/>
      <c r="E841" s="703"/>
      <c r="F841" s="720"/>
    </row>
    <row r="843" spans="1:9" ht="35.25" customHeight="1" x14ac:dyDescent="0.2">
      <c r="A843" s="2471" t="s">
        <v>7138</v>
      </c>
      <c r="B843" s="2471"/>
      <c r="C843" s="2471"/>
      <c r="D843" s="2471"/>
      <c r="E843" s="2471"/>
      <c r="F843" s="2471"/>
      <c r="G843" s="2471"/>
      <c r="H843" s="2471"/>
      <c r="I843" s="2471"/>
    </row>
    <row r="845" spans="1:9" x14ac:dyDescent="0.2">
      <c r="B845" s="2471" t="s">
        <v>6719</v>
      </c>
      <c r="C845" s="2471"/>
      <c r="D845" s="2471"/>
      <c r="E845" s="2471"/>
      <c r="F845" s="2471"/>
      <c r="G845" s="2471"/>
      <c r="H845" s="2471"/>
      <c r="I845" s="2471"/>
    </row>
    <row r="846" spans="1:9" x14ac:dyDescent="0.2">
      <c r="C846" s="877" t="s">
        <v>6703</v>
      </c>
      <c r="D846" s="877" t="s">
        <v>6704</v>
      </c>
      <c r="E846" s="877" t="s">
        <v>6705</v>
      </c>
      <c r="F846" s="877" t="s">
        <v>6</v>
      </c>
      <c r="G846" s="877" t="s">
        <v>6706</v>
      </c>
      <c r="H846" s="2475" t="s">
        <v>4</v>
      </c>
      <c r="I846" s="2476"/>
    </row>
    <row r="847" spans="1:9" x14ac:dyDescent="0.2">
      <c r="C847" s="873">
        <v>1.5</v>
      </c>
      <c r="D847" s="709">
        <v>1.5</v>
      </c>
      <c r="E847" s="873">
        <v>2.29</v>
      </c>
      <c r="F847" s="873">
        <v>1</v>
      </c>
      <c r="G847" s="876">
        <f>+C847*D847*E847*F847</f>
        <v>5.1524999999999999</v>
      </c>
      <c r="H847" s="2469"/>
      <c r="I847" s="2470"/>
    </row>
    <row r="848" spans="1:9" x14ac:dyDescent="0.2">
      <c r="C848" s="873">
        <v>1.5</v>
      </c>
      <c r="D848" s="709">
        <v>1.5</v>
      </c>
      <c r="E848" s="873">
        <v>1.8</v>
      </c>
      <c r="F848" s="873">
        <v>1</v>
      </c>
      <c r="G848" s="876">
        <f>+C848*D848*E848*F848</f>
        <v>4.05</v>
      </c>
      <c r="H848" s="2469"/>
      <c r="I848" s="2470"/>
    </row>
    <row r="849" spans="2:9" x14ac:dyDescent="0.2">
      <c r="C849" s="703"/>
      <c r="D849" s="2472" t="s">
        <v>6706</v>
      </c>
      <c r="E849" s="2473"/>
      <c r="F849" s="2474"/>
      <c r="G849" s="876">
        <f>SUM(G847:G848)</f>
        <v>9.2025000000000006</v>
      </c>
      <c r="H849" s="703"/>
      <c r="I849" s="703"/>
    </row>
    <row r="851" spans="2:9" x14ac:dyDescent="0.2">
      <c r="C851" s="884"/>
    </row>
    <row r="853" spans="2:9" x14ac:dyDescent="0.2">
      <c r="B853" s="2471" t="s">
        <v>6832</v>
      </c>
      <c r="C853" s="2471"/>
      <c r="D853" s="2471"/>
      <c r="E853" s="2471"/>
      <c r="F853" s="2471"/>
      <c r="G853" s="2471"/>
      <c r="H853" s="2471"/>
      <c r="I853" s="2471"/>
    </row>
    <row r="854" spans="2:9" x14ac:dyDescent="0.2">
      <c r="C854" s="877" t="s">
        <v>6703</v>
      </c>
      <c r="D854" s="877" t="s">
        <v>6704</v>
      </c>
      <c r="E854" s="877" t="s">
        <v>6705</v>
      </c>
      <c r="F854" s="877" t="s">
        <v>6</v>
      </c>
      <c r="G854" s="877" t="s">
        <v>6706</v>
      </c>
      <c r="H854" s="2475" t="s">
        <v>4</v>
      </c>
      <c r="I854" s="2476"/>
    </row>
    <row r="855" spans="2:9" x14ac:dyDescent="0.2">
      <c r="C855" s="873">
        <v>1.5</v>
      </c>
      <c r="D855" s="709">
        <v>1.5</v>
      </c>
      <c r="E855" s="873">
        <v>0.05</v>
      </c>
      <c r="F855" s="873">
        <v>2</v>
      </c>
      <c r="G855" s="876">
        <f>+C855*D855*E855*F855</f>
        <v>0.22500000000000001</v>
      </c>
      <c r="H855" s="2469"/>
      <c r="I855" s="2470"/>
    </row>
    <row r="856" spans="2:9" x14ac:dyDescent="0.2">
      <c r="C856" s="703"/>
      <c r="D856" s="2472" t="s">
        <v>6706</v>
      </c>
      <c r="E856" s="2473"/>
      <c r="F856" s="2474"/>
      <c r="G856" s="876">
        <f>SUM(G855:G855)</f>
        <v>0.22500000000000001</v>
      </c>
      <c r="H856" s="703"/>
      <c r="I856" s="703"/>
    </row>
    <row r="858" spans="2:9" x14ac:dyDescent="0.2">
      <c r="B858" s="2471" t="s">
        <v>7954</v>
      </c>
      <c r="C858" s="2471"/>
      <c r="D858" s="2471"/>
      <c r="E858" s="2471"/>
      <c r="F858" s="2471"/>
      <c r="G858" s="2471"/>
      <c r="H858" s="2471"/>
      <c r="I858" s="2471"/>
    </row>
    <row r="859" spans="2:9" x14ac:dyDescent="0.2">
      <c r="C859" s="877" t="s">
        <v>6703</v>
      </c>
      <c r="D859" s="877" t="s">
        <v>6704</v>
      </c>
      <c r="E859" s="877" t="s">
        <v>6705</v>
      </c>
      <c r="F859" s="877" t="s">
        <v>6</v>
      </c>
      <c r="G859" s="877" t="s">
        <v>6706</v>
      </c>
      <c r="H859" s="2475" t="s">
        <v>4</v>
      </c>
      <c r="I859" s="2476"/>
    </row>
    <row r="860" spans="2:9" x14ac:dyDescent="0.2">
      <c r="C860" s="873">
        <v>1.5</v>
      </c>
      <c r="D860" s="709">
        <v>1.5</v>
      </c>
      <c r="E860" s="873">
        <v>0.2</v>
      </c>
      <c r="F860" s="873">
        <v>2</v>
      </c>
      <c r="G860" s="876">
        <f>+C860*D860*E860*F860</f>
        <v>0.9</v>
      </c>
      <c r="H860" s="2469"/>
      <c r="I860" s="2470"/>
    </row>
    <row r="861" spans="2:9" x14ac:dyDescent="0.2">
      <c r="C861" s="703"/>
      <c r="D861" s="2472" t="s">
        <v>6706</v>
      </c>
      <c r="E861" s="2473"/>
      <c r="F861" s="2474"/>
      <c r="G861" s="876">
        <f>SUM(G860:G860)</f>
        <v>0.9</v>
      </c>
      <c r="H861" s="703"/>
      <c r="I861" s="703"/>
    </row>
    <row r="863" spans="2:9" x14ac:dyDescent="0.2">
      <c r="B863" s="2471" t="s">
        <v>7955</v>
      </c>
      <c r="C863" s="2471"/>
      <c r="D863" s="2471"/>
      <c r="E863" s="2471"/>
      <c r="F863" s="2471"/>
      <c r="G863" s="2471"/>
      <c r="H863" s="2471"/>
      <c r="I863" s="2471"/>
    </row>
    <row r="864" spans="2:9" x14ac:dyDescent="0.2">
      <c r="C864" s="877" t="s">
        <v>6703</v>
      </c>
      <c r="D864" s="877" t="s">
        <v>6704</v>
      </c>
      <c r="E864" s="877" t="s">
        <v>6705</v>
      </c>
      <c r="F864" s="877" t="s">
        <v>6</v>
      </c>
      <c r="G864" s="877" t="s">
        <v>6706</v>
      </c>
      <c r="H864" s="2475" t="s">
        <v>4</v>
      </c>
      <c r="I864" s="2476"/>
    </row>
    <row r="865" spans="2:9" x14ac:dyDescent="0.2">
      <c r="C865" s="873">
        <v>0.3</v>
      </c>
      <c r="D865" s="709">
        <v>0.5</v>
      </c>
      <c r="E865" s="873">
        <v>0.3</v>
      </c>
      <c r="F865" s="873">
        <v>4</v>
      </c>
      <c r="G865" s="876">
        <f>+C865*D865*E865*F865</f>
        <v>0.18</v>
      </c>
      <c r="H865" s="2469"/>
      <c r="I865" s="2470"/>
    </row>
    <row r="866" spans="2:9" x14ac:dyDescent="0.2">
      <c r="C866" s="873">
        <v>1.8</v>
      </c>
      <c r="D866" s="873">
        <v>0.5</v>
      </c>
      <c r="E866" s="873">
        <v>0.3</v>
      </c>
      <c r="F866" s="873">
        <v>2</v>
      </c>
      <c r="G866" s="876">
        <f>+C866*D866*E866*F866</f>
        <v>0.54</v>
      </c>
      <c r="H866" s="2469"/>
      <c r="I866" s="2470"/>
    </row>
    <row r="867" spans="2:9" x14ac:dyDescent="0.2">
      <c r="C867" s="873">
        <v>0.5</v>
      </c>
      <c r="D867" s="873">
        <v>0.5</v>
      </c>
      <c r="E867" s="873">
        <v>1.1000000000000001</v>
      </c>
      <c r="F867" s="873">
        <v>2</v>
      </c>
      <c r="G867" s="876">
        <f>+C867*D867*E867*F867</f>
        <v>0.55000000000000004</v>
      </c>
      <c r="H867" s="2469"/>
      <c r="I867" s="2470"/>
    </row>
    <row r="868" spans="2:9" x14ac:dyDescent="0.2">
      <c r="C868" s="873">
        <v>1.5</v>
      </c>
      <c r="D868" s="709">
        <v>1.5</v>
      </c>
      <c r="E868" s="873">
        <v>0.3</v>
      </c>
      <c r="F868" s="873">
        <v>2</v>
      </c>
      <c r="G868" s="876">
        <f>+C868*D868*E868*F868</f>
        <v>1.3499999999999999</v>
      </c>
      <c r="H868" s="2469"/>
      <c r="I868" s="2470"/>
    </row>
    <row r="869" spans="2:9" x14ac:dyDescent="0.2">
      <c r="C869" s="703"/>
      <c r="D869" s="2472" t="s">
        <v>6706</v>
      </c>
      <c r="E869" s="2473"/>
      <c r="F869" s="2474"/>
      <c r="G869" s="876">
        <f>SUM(G865:G868)</f>
        <v>2.62</v>
      </c>
      <c r="H869" s="703"/>
      <c r="I869" s="703"/>
    </row>
    <row r="872" spans="2:9" x14ac:dyDescent="0.2">
      <c r="B872" s="2471" t="s">
        <v>6834</v>
      </c>
      <c r="C872" s="2471"/>
      <c r="D872" s="2471"/>
      <c r="E872" s="2471"/>
      <c r="F872" s="2471"/>
      <c r="G872" s="2471"/>
      <c r="H872" s="2471"/>
      <c r="I872" s="2471"/>
    </row>
    <row r="873" spans="2:9" x14ac:dyDescent="0.2">
      <c r="C873" s="877" t="s">
        <v>6839</v>
      </c>
      <c r="D873" s="874" t="s">
        <v>6840</v>
      </c>
      <c r="E873" s="725"/>
      <c r="F873" s="875"/>
      <c r="G873" s="875"/>
      <c r="H873" s="2482"/>
      <c r="I873" s="2482"/>
    </row>
    <row r="874" spans="2:9" x14ac:dyDescent="0.2">
      <c r="C874" s="710"/>
      <c r="D874" s="727">
        <f>1882.55+1140.34</f>
        <v>3022.89</v>
      </c>
    </row>
    <row r="875" spans="2:9" x14ac:dyDescent="0.2">
      <c r="C875" s="882"/>
      <c r="D875" s="883"/>
    </row>
    <row r="876" spans="2:9" x14ac:dyDescent="0.2">
      <c r="C876" s="882"/>
      <c r="D876" s="883"/>
    </row>
    <row r="877" spans="2:9" x14ac:dyDescent="0.2">
      <c r="C877" s="882"/>
      <c r="D877" s="883"/>
    </row>
    <row r="878" spans="2:9" x14ac:dyDescent="0.2">
      <c r="C878" s="882"/>
      <c r="D878" s="883"/>
    </row>
    <row r="879" spans="2:9" x14ac:dyDescent="0.2">
      <c r="B879" s="2471" t="s">
        <v>7953</v>
      </c>
      <c r="C879" s="2471"/>
      <c r="D879" s="2471"/>
      <c r="E879" s="2471"/>
      <c r="F879" s="2471"/>
      <c r="G879" s="2471"/>
      <c r="H879" s="2471"/>
      <c r="I879" s="2471"/>
    </row>
    <row r="880" spans="2:9" ht="22.5" x14ac:dyDescent="0.2">
      <c r="B880" s="796"/>
      <c r="C880" s="796" t="s">
        <v>7132</v>
      </c>
      <c r="D880" s="796" t="s">
        <v>7133</v>
      </c>
      <c r="E880" s="796" t="s">
        <v>7134</v>
      </c>
      <c r="F880" s="796" t="s">
        <v>7135</v>
      </c>
      <c r="G880" s="796" t="s">
        <v>591</v>
      </c>
    </row>
    <row r="881" spans="2:9" x14ac:dyDescent="0.2">
      <c r="B881" s="2488" t="s">
        <v>7136</v>
      </c>
      <c r="C881" s="708">
        <v>2</v>
      </c>
      <c r="D881" s="708">
        <f>17*2</f>
        <v>34</v>
      </c>
      <c r="E881" s="712">
        <f>+D881*C881</f>
        <v>68</v>
      </c>
      <c r="F881" s="712">
        <v>6.18</v>
      </c>
      <c r="G881" s="712">
        <f>+F881*E881</f>
        <v>420.24</v>
      </c>
    </row>
    <row r="882" spans="2:9" x14ac:dyDescent="0.2">
      <c r="B882" s="2489"/>
      <c r="C882" s="708">
        <v>1.298</v>
      </c>
      <c r="D882" s="708">
        <f>32*2</f>
        <v>64</v>
      </c>
      <c r="E882" s="712">
        <f>+D882*C882</f>
        <v>83.072000000000003</v>
      </c>
      <c r="F882" s="712">
        <v>6.18</v>
      </c>
      <c r="G882" s="712">
        <f t="shared" ref="G882:G888" si="14">+F882*E882</f>
        <v>513.38495999999998</v>
      </c>
    </row>
    <row r="883" spans="2:9" x14ac:dyDescent="0.2">
      <c r="B883" s="2488" t="s">
        <v>7556</v>
      </c>
      <c r="C883" s="708">
        <v>2.35</v>
      </c>
      <c r="D883" s="708">
        <f>16*2</f>
        <v>32</v>
      </c>
      <c r="E883" s="712">
        <f t="shared" ref="E883:E885" si="15">+D883*C883</f>
        <v>75.2</v>
      </c>
      <c r="F883" s="712">
        <v>3.7</v>
      </c>
      <c r="G883" s="712">
        <f t="shared" si="14"/>
        <v>278.24</v>
      </c>
    </row>
    <row r="884" spans="2:9" x14ac:dyDescent="0.2">
      <c r="B884" s="2490"/>
      <c r="C884" s="708">
        <v>1.61</v>
      </c>
      <c r="D884" s="708">
        <f>16*2</f>
        <v>32</v>
      </c>
      <c r="E884" s="712">
        <f t="shared" si="15"/>
        <v>51.52</v>
      </c>
      <c r="F884" s="712">
        <v>3.7</v>
      </c>
      <c r="G884" s="712">
        <f t="shared" si="14"/>
        <v>190.62400000000002</v>
      </c>
    </row>
    <row r="885" spans="2:9" x14ac:dyDescent="0.2">
      <c r="B885" s="2489"/>
      <c r="C885" s="708">
        <v>1</v>
      </c>
      <c r="D885" s="708">
        <f>17*2</f>
        <v>34</v>
      </c>
      <c r="E885" s="712">
        <f t="shared" si="15"/>
        <v>34</v>
      </c>
      <c r="F885" s="712">
        <v>3.7</v>
      </c>
      <c r="G885" s="712">
        <f t="shared" si="14"/>
        <v>125.80000000000001</v>
      </c>
    </row>
    <row r="886" spans="2:9" x14ac:dyDescent="0.2">
      <c r="B886" s="805" t="s">
        <v>7174</v>
      </c>
      <c r="C886" s="708"/>
      <c r="D886" s="708"/>
      <c r="E886" s="708">
        <v>8.08</v>
      </c>
      <c r="F886" s="708">
        <v>50.5</v>
      </c>
      <c r="G886" s="712">
        <f t="shared" si="14"/>
        <v>408.04</v>
      </c>
    </row>
    <row r="887" spans="2:9" x14ac:dyDescent="0.2">
      <c r="B887" s="805" t="s">
        <v>7175</v>
      </c>
      <c r="C887" s="708"/>
      <c r="D887" s="708"/>
      <c r="E887" s="708">
        <v>5.1189999999999998</v>
      </c>
      <c r="F887" s="712">
        <v>99.7</v>
      </c>
      <c r="G887" s="712">
        <f t="shared" si="14"/>
        <v>510.36430000000001</v>
      </c>
    </row>
    <row r="888" spans="2:9" x14ac:dyDescent="0.2">
      <c r="B888" s="805" t="s">
        <v>7176</v>
      </c>
      <c r="C888" s="708"/>
      <c r="D888" s="708"/>
      <c r="E888" s="708">
        <v>1.21</v>
      </c>
      <c r="F888" s="712">
        <v>149.54</v>
      </c>
      <c r="G888" s="712">
        <f t="shared" si="14"/>
        <v>180.9434</v>
      </c>
    </row>
    <row r="889" spans="2:9" x14ac:dyDescent="0.2">
      <c r="F889" s="723" t="s">
        <v>7137</v>
      </c>
      <c r="G889" s="723">
        <f>SUM(G881:G888)</f>
        <v>2627.6366600000001</v>
      </c>
    </row>
    <row r="890" spans="2:9" x14ac:dyDescent="0.2">
      <c r="F890" s="723" t="s">
        <v>7137</v>
      </c>
      <c r="G890" s="1445">
        <v>131.35</v>
      </c>
    </row>
    <row r="891" spans="2:9" x14ac:dyDescent="0.2">
      <c r="F891" s="699" t="s">
        <v>9395</v>
      </c>
      <c r="G891" s="1652">
        <f>+G890+G889</f>
        <v>2758.98666</v>
      </c>
    </row>
    <row r="892" spans="2:9" s="1445" customFormat="1" x14ac:dyDescent="0.2"/>
    <row r="894" spans="2:9" x14ac:dyDescent="0.2">
      <c r="B894" s="2471" t="s">
        <v>7402</v>
      </c>
      <c r="C894" s="2471"/>
      <c r="D894" s="2471"/>
      <c r="E894" s="2471"/>
      <c r="F894" s="2471"/>
      <c r="G894" s="2471"/>
      <c r="H894" s="2471"/>
      <c r="I894" s="2471"/>
    </row>
    <row r="895" spans="2:9" x14ac:dyDescent="0.2">
      <c r="C895" s="877" t="s">
        <v>6839</v>
      </c>
      <c r="D895" s="874"/>
      <c r="E895" s="725"/>
      <c r="F895" s="875"/>
      <c r="G895" s="875"/>
      <c r="H895" s="2482"/>
      <c r="I895" s="2482"/>
    </row>
    <row r="896" spans="2:9" x14ac:dyDescent="0.2">
      <c r="C896" s="710">
        <v>40</v>
      </c>
      <c r="D896" s="727"/>
    </row>
    <row r="899" spans="1:9" ht="35.25" customHeight="1" x14ac:dyDescent="0.2">
      <c r="A899" s="2471" t="s">
        <v>7956</v>
      </c>
      <c r="B899" s="2471"/>
      <c r="C899" s="2471"/>
      <c r="D899" s="2471"/>
      <c r="E899" s="2471"/>
      <c r="F899" s="2471"/>
      <c r="G899" s="2471"/>
      <c r="H899" s="2471"/>
      <c r="I899" s="2471"/>
    </row>
    <row r="901" spans="1:9" x14ac:dyDescent="0.2">
      <c r="B901" s="2471" t="e">
        <f>+#REF!</f>
        <v>#REF!</v>
      </c>
      <c r="C901" s="2471"/>
      <c r="D901" s="2471"/>
      <c r="E901" s="2471"/>
      <c r="F901" s="2471"/>
      <c r="G901" s="2471"/>
      <c r="H901" s="2471"/>
      <c r="I901" s="2471"/>
    </row>
    <row r="902" spans="1:9" x14ac:dyDescent="0.2">
      <c r="C902" s="877" t="s">
        <v>6703</v>
      </c>
      <c r="D902" s="877" t="s">
        <v>6704</v>
      </c>
      <c r="E902" s="877" t="s">
        <v>6705</v>
      </c>
      <c r="F902" s="877" t="s">
        <v>6</v>
      </c>
      <c r="G902" s="877" t="s">
        <v>6706</v>
      </c>
      <c r="H902" s="2475" t="s">
        <v>4</v>
      </c>
      <c r="I902" s="2476"/>
    </row>
    <row r="903" spans="1:9" x14ac:dyDescent="0.2">
      <c r="C903" s="880">
        <v>1.3</v>
      </c>
      <c r="D903" s="709">
        <v>0.8</v>
      </c>
      <c r="E903" s="880">
        <f>1.5+0.25</f>
        <v>1.75</v>
      </c>
      <c r="F903" s="880">
        <v>1</v>
      </c>
      <c r="G903" s="879">
        <f>+C903*D903*E903*F903</f>
        <v>1.82</v>
      </c>
      <c r="H903" s="2469"/>
      <c r="I903" s="2470"/>
    </row>
    <row r="904" spans="1:9" x14ac:dyDescent="0.2">
      <c r="C904" s="880">
        <v>1.3</v>
      </c>
      <c r="D904" s="709">
        <v>0.8</v>
      </c>
      <c r="E904" s="880">
        <v>1.3</v>
      </c>
      <c r="F904" s="880">
        <v>1</v>
      </c>
      <c r="G904" s="879">
        <f>+C904*D904*E904*F904</f>
        <v>1.3520000000000001</v>
      </c>
      <c r="H904" s="2469"/>
      <c r="I904" s="2470"/>
    </row>
    <row r="905" spans="1:9" x14ac:dyDescent="0.2">
      <c r="C905" s="703"/>
      <c r="D905" s="2472" t="s">
        <v>6706</v>
      </c>
      <c r="E905" s="2473"/>
      <c r="F905" s="2474"/>
      <c r="G905" s="879">
        <f>SUM(G903:G904)</f>
        <v>3.1720000000000002</v>
      </c>
      <c r="H905" s="703"/>
      <c r="I905" s="703"/>
    </row>
    <row r="907" spans="1:9" x14ac:dyDescent="0.2">
      <c r="C907" s="884"/>
    </row>
    <row r="909" spans="1:9" x14ac:dyDescent="0.2">
      <c r="B909" s="2471" t="e">
        <f>+#REF!</f>
        <v>#REF!</v>
      </c>
      <c r="C909" s="2471"/>
      <c r="D909" s="2471"/>
      <c r="E909" s="2471"/>
      <c r="F909" s="2471"/>
      <c r="G909" s="2471"/>
      <c r="H909" s="2471"/>
      <c r="I909" s="2471"/>
    </row>
    <row r="910" spans="1:9" x14ac:dyDescent="0.2">
      <c r="C910" s="877" t="s">
        <v>6703</v>
      </c>
      <c r="D910" s="877" t="s">
        <v>6704</v>
      </c>
      <c r="E910" s="877" t="s">
        <v>6705</v>
      </c>
      <c r="F910" s="877" t="s">
        <v>6</v>
      </c>
      <c r="G910" s="877" t="s">
        <v>6706</v>
      </c>
      <c r="H910" s="2475" t="s">
        <v>4</v>
      </c>
      <c r="I910" s="2476"/>
    </row>
    <row r="911" spans="1:9" x14ac:dyDescent="0.2">
      <c r="C911" s="880">
        <v>1.3</v>
      </c>
      <c r="D911" s="709">
        <v>1.8</v>
      </c>
      <c r="E911" s="880">
        <v>0.05</v>
      </c>
      <c r="F911" s="880">
        <v>2</v>
      </c>
      <c r="G911" s="879">
        <f>+C911*D911*E911*F911</f>
        <v>0.23400000000000004</v>
      </c>
      <c r="H911" s="2469"/>
      <c r="I911" s="2470"/>
    </row>
    <row r="912" spans="1:9" x14ac:dyDescent="0.2">
      <c r="C912" s="703"/>
      <c r="D912" s="2472" t="s">
        <v>6706</v>
      </c>
      <c r="E912" s="2473"/>
      <c r="F912" s="2474"/>
      <c r="G912" s="879">
        <f>SUM(G911:G911)</f>
        <v>0.23400000000000004</v>
      </c>
      <c r="H912" s="703"/>
      <c r="I912" s="703"/>
    </row>
    <row r="914" spans="2:9" x14ac:dyDescent="0.2">
      <c r="B914" s="2471" t="e">
        <f>+#REF!</f>
        <v>#REF!</v>
      </c>
      <c r="C914" s="2471"/>
      <c r="D914" s="2471"/>
      <c r="E914" s="2471"/>
      <c r="F914" s="2471"/>
      <c r="G914" s="2471"/>
      <c r="H914" s="2471"/>
      <c r="I914" s="2471"/>
    </row>
    <row r="915" spans="2:9" x14ac:dyDescent="0.2">
      <c r="C915" s="877" t="s">
        <v>6703</v>
      </c>
      <c r="D915" s="877" t="s">
        <v>6704</v>
      </c>
      <c r="E915" s="877" t="s">
        <v>6705</v>
      </c>
      <c r="F915" s="877" t="s">
        <v>6</v>
      </c>
      <c r="G915" s="877" t="s">
        <v>6706</v>
      </c>
      <c r="H915" s="2475" t="s">
        <v>4</v>
      </c>
      <c r="I915" s="2476"/>
    </row>
    <row r="916" spans="2:9" x14ac:dyDescent="0.2">
      <c r="C916" s="880">
        <v>1.3</v>
      </c>
      <c r="D916" s="709">
        <v>0.8</v>
      </c>
      <c r="E916" s="880">
        <v>0.2</v>
      </c>
      <c r="F916" s="880">
        <v>2</v>
      </c>
      <c r="G916" s="879">
        <f>+C916*D916*E916*F916</f>
        <v>0.41600000000000004</v>
      </c>
      <c r="H916" s="2469"/>
      <c r="I916" s="2470"/>
    </row>
    <row r="917" spans="2:9" x14ac:dyDescent="0.2">
      <c r="C917" s="703"/>
      <c r="D917" s="2472" t="s">
        <v>6706</v>
      </c>
      <c r="E917" s="2473"/>
      <c r="F917" s="2474"/>
      <c r="G917" s="879">
        <f>SUM(G916:G916)</f>
        <v>0.41600000000000004</v>
      </c>
      <c r="H917" s="703"/>
      <c r="I917" s="703"/>
    </row>
    <row r="919" spans="2:9" x14ac:dyDescent="0.2">
      <c r="B919" s="2471" t="e">
        <f>+#REF!</f>
        <v>#REF!</v>
      </c>
      <c r="C919" s="2471"/>
      <c r="D919" s="2471"/>
      <c r="E919" s="2471"/>
      <c r="F919" s="2471"/>
      <c r="G919" s="2471"/>
      <c r="H919" s="2471"/>
      <c r="I919" s="2471"/>
    </row>
    <row r="920" spans="2:9" x14ac:dyDescent="0.2">
      <c r="C920" s="877" t="s">
        <v>6703</v>
      </c>
      <c r="D920" s="877" t="s">
        <v>6704</v>
      </c>
      <c r="E920" s="877" t="s">
        <v>6705</v>
      </c>
      <c r="F920" s="877" t="s">
        <v>6</v>
      </c>
      <c r="G920" s="877" t="s">
        <v>6706</v>
      </c>
      <c r="H920" s="2475" t="s">
        <v>4</v>
      </c>
      <c r="I920" s="2476"/>
    </row>
    <row r="921" spans="2:9" x14ac:dyDescent="0.2">
      <c r="C921" s="880">
        <v>0.3</v>
      </c>
      <c r="D921" s="709">
        <v>1.3</v>
      </c>
      <c r="E921" s="880">
        <v>1.5</v>
      </c>
      <c r="F921" s="880">
        <v>2</v>
      </c>
      <c r="G921" s="879">
        <f>+C921*D921*E921*F921</f>
        <v>1.17</v>
      </c>
      <c r="H921" s="2469"/>
      <c r="I921" s="2470"/>
    </row>
    <row r="922" spans="2:9" x14ac:dyDescent="0.2">
      <c r="C922" s="880">
        <v>0.5</v>
      </c>
      <c r="D922" s="880">
        <v>0.3</v>
      </c>
      <c r="E922" s="880">
        <v>1.1499999999999999</v>
      </c>
      <c r="F922" s="880">
        <v>4</v>
      </c>
      <c r="G922" s="879">
        <f>+C922*D922*E922*F922</f>
        <v>0.69</v>
      </c>
      <c r="H922" s="2469"/>
      <c r="I922" s="2470"/>
    </row>
    <row r="923" spans="2:9" x14ac:dyDescent="0.2">
      <c r="C923" s="880">
        <v>0.5</v>
      </c>
      <c r="D923" s="880">
        <f>1.3-0.6</f>
        <v>0.70000000000000007</v>
      </c>
      <c r="E923" s="880">
        <f>+E922</f>
        <v>1.1499999999999999</v>
      </c>
      <c r="F923" s="880">
        <v>2</v>
      </c>
      <c r="G923" s="879">
        <f>+C923*D923*E923*F923</f>
        <v>0.80500000000000005</v>
      </c>
      <c r="H923" s="2469"/>
      <c r="I923" s="2470"/>
    </row>
    <row r="924" spans="2:9" x14ac:dyDescent="0.2">
      <c r="C924" s="880"/>
      <c r="D924" s="709"/>
      <c r="E924" s="880"/>
      <c r="F924" s="880"/>
      <c r="G924" s="879">
        <f>+C924*D924*E924*F924</f>
        <v>0</v>
      </c>
      <c r="H924" s="2469"/>
      <c r="I924" s="2470"/>
    </row>
    <row r="925" spans="2:9" x14ac:dyDescent="0.2">
      <c r="C925" s="703"/>
      <c r="D925" s="2472" t="s">
        <v>6706</v>
      </c>
      <c r="E925" s="2473"/>
      <c r="F925" s="2474"/>
      <c r="G925" s="879">
        <f>SUM(G921:G924)</f>
        <v>2.665</v>
      </c>
      <c r="H925" s="703"/>
      <c r="I925" s="703"/>
    </row>
    <row r="928" spans="2:9" x14ac:dyDescent="0.2">
      <c r="B928" s="2471" t="s">
        <v>6834</v>
      </c>
      <c r="C928" s="2471"/>
      <c r="D928" s="2471"/>
      <c r="E928" s="2471"/>
      <c r="F928" s="2471"/>
      <c r="G928" s="2471"/>
      <c r="H928" s="2471"/>
      <c r="I928" s="2471"/>
    </row>
    <row r="929" spans="1:9" x14ac:dyDescent="0.2">
      <c r="C929" s="877" t="s">
        <v>6839</v>
      </c>
      <c r="D929" s="878" t="s">
        <v>6840</v>
      </c>
      <c r="E929" s="725"/>
      <c r="F929" s="881"/>
      <c r="G929" s="881"/>
      <c r="H929" s="2482"/>
      <c r="I929" s="2482"/>
    </row>
    <row r="930" spans="1:9" x14ac:dyDescent="0.2">
      <c r="C930" s="710">
        <v>49.8</v>
      </c>
      <c r="D930" s="727">
        <v>49.5</v>
      </c>
      <c r="E930" s="884" t="s">
        <v>7978</v>
      </c>
    </row>
    <row r="935" spans="1:9" ht="41.25" customHeight="1" x14ac:dyDescent="0.2">
      <c r="A935" s="2481" t="s">
        <v>8943</v>
      </c>
      <c r="B935" s="2481"/>
      <c r="C935" s="2481"/>
      <c r="D935" s="2481"/>
      <c r="E935" s="2481"/>
      <c r="F935" s="2481"/>
      <c r="G935" s="2481"/>
      <c r="H935" s="2481"/>
      <c r="I935" s="2481"/>
    </row>
    <row r="937" spans="1:9" s="1445" customFormat="1" x14ac:dyDescent="0.2">
      <c r="A937" s="2471" t="s">
        <v>8947</v>
      </c>
      <c r="B937" s="2471"/>
      <c r="C937" s="2471"/>
      <c r="D937" s="2471"/>
      <c r="E937" s="2471"/>
      <c r="F937" s="2471"/>
      <c r="G937" s="2471"/>
    </row>
    <row r="938" spans="1:9" s="1445" customFormat="1" ht="11.25" customHeight="1" x14ac:dyDescent="0.2">
      <c r="A938" s="1484"/>
      <c r="B938" s="2472" t="s">
        <v>8945</v>
      </c>
      <c r="C938" s="2473"/>
      <c r="D938" s="2473"/>
      <c r="E938" s="2473"/>
      <c r="F938" s="2473"/>
      <c r="G938" s="2474"/>
    </row>
    <row r="939" spans="1:9" s="1445" customFormat="1" x14ac:dyDescent="0.2">
      <c r="B939" s="1486" t="s">
        <v>6703</v>
      </c>
      <c r="C939" s="1486" t="s">
        <v>6704</v>
      </c>
      <c r="D939" s="1486"/>
      <c r="E939" s="1486" t="s">
        <v>6706</v>
      </c>
      <c r="F939" s="2475" t="s">
        <v>4</v>
      </c>
      <c r="G939" s="2476"/>
    </row>
    <row r="940" spans="1:9" s="1445" customFormat="1" x14ac:dyDescent="0.2">
      <c r="B940" s="1485">
        <v>13.51</v>
      </c>
      <c r="C940" s="1485">
        <v>4.2300000000000004</v>
      </c>
      <c r="D940" s="1485"/>
      <c r="E940" s="1487">
        <f>+B940*C940</f>
        <v>57.147300000000001</v>
      </c>
      <c r="F940" s="2477" t="s">
        <v>8944</v>
      </c>
      <c r="G940" s="2470"/>
    </row>
    <row r="941" spans="1:9" s="1445" customFormat="1" x14ac:dyDescent="0.2">
      <c r="B941" s="703"/>
      <c r="C941" s="2472" t="s">
        <v>6706</v>
      </c>
      <c r="D941" s="2473"/>
      <c r="E941" s="1487">
        <f>SUM(E940:E940)</f>
        <v>57.147300000000001</v>
      </c>
      <c r="F941" s="703"/>
      <c r="G941" s="703"/>
    </row>
    <row r="942" spans="1:9" s="1445" customFormat="1" x14ac:dyDescent="0.2"/>
    <row r="943" spans="1:9" x14ac:dyDescent="0.2">
      <c r="A943" s="2471" t="s">
        <v>6770</v>
      </c>
      <c r="B943" s="2471"/>
      <c r="C943" s="2471"/>
      <c r="D943" s="2471"/>
      <c r="E943" s="2471"/>
      <c r="F943" s="2471"/>
      <c r="G943" s="2471"/>
    </row>
    <row r="944" spans="1:9" x14ac:dyDescent="0.2">
      <c r="A944" s="714"/>
      <c r="B944" s="2472" t="s">
        <v>8945</v>
      </c>
      <c r="C944" s="2473"/>
      <c r="D944" s="2473"/>
      <c r="E944" s="2473"/>
      <c r="F944" s="2473"/>
      <c r="G944" s="2474"/>
    </row>
    <row r="945" spans="1:7" x14ac:dyDescent="0.2">
      <c r="B945" s="700" t="s">
        <v>6703</v>
      </c>
      <c r="C945" s="700" t="s">
        <v>6704</v>
      </c>
      <c r="D945" s="700" t="s">
        <v>6705</v>
      </c>
      <c r="E945" s="700" t="s">
        <v>6706</v>
      </c>
      <c r="F945" s="2475" t="s">
        <v>4</v>
      </c>
      <c r="G945" s="2476"/>
    </row>
    <row r="946" spans="1:7" x14ac:dyDescent="0.2">
      <c r="B946" s="701">
        <v>13.51</v>
      </c>
      <c r="C946" s="701">
        <v>4.2300000000000004</v>
      </c>
      <c r="D946" s="701">
        <v>3.7</v>
      </c>
      <c r="E946" s="702">
        <f>+B946*C946*D946</f>
        <v>211.44501000000002</v>
      </c>
      <c r="F946" s="2477" t="s">
        <v>8944</v>
      </c>
      <c r="G946" s="2470"/>
    </row>
    <row r="947" spans="1:7" ht="12" customHeight="1" x14ac:dyDescent="0.2">
      <c r="B947" s="703"/>
      <c r="C947" s="2472" t="s">
        <v>6706</v>
      </c>
      <c r="D947" s="2473"/>
      <c r="E947" s="702">
        <f>SUM(E946:E946)</f>
        <v>211.44501000000002</v>
      </c>
      <c r="F947" s="703"/>
      <c r="G947" s="703"/>
    </row>
    <row r="950" spans="1:7" x14ac:dyDescent="0.2">
      <c r="A950" s="2471" t="s">
        <v>7954</v>
      </c>
      <c r="B950" s="2471"/>
      <c r="C950" s="2471"/>
      <c r="D950" s="2471"/>
      <c r="E950" s="2471"/>
      <c r="F950" s="2471"/>
      <c r="G950" s="2471"/>
    </row>
    <row r="951" spans="1:7" x14ac:dyDescent="0.2">
      <c r="A951" s="1484"/>
      <c r="B951" s="2472"/>
      <c r="C951" s="2473"/>
      <c r="D951" s="2473"/>
      <c r="E951" s="2473"/>
      <c r="F951" s="2473"/>
      <c r="G951" s="2474"/>
    </row>
    <row r="952" spans="1:7" x14ac:dyDescent="0.2">
      <c r="A952" s="1445"/>
      <c r="B952" s="1486" t="s">
        <v>6703</v>
      </c>
      <c r="C952" s="1486" t="s">
        <v>6704</v>
      </c>
      <c r="D952" s="1486" t="s">
        <v>6705</v>
      </c>
      <c r="E952" s="1486" t="s">
        <v>6706</v>
      </c>
      <c r="F952" s="2475" t="s">
        <v>4</v>
      </c>
      <c r="G952" s="2476"/>
    </row>
    <row r="953" spans="1:7" x14ac:dyDescent="0.2">
      <c r="A953" s="1445"/>
      <c r="B953" s="1485">
        <f>+B946</f>
        <v>13.51</v>
      </c>
      <c r="C953" s="1485">
        <f>+C946</f>
        <v>4.2300000000000004</v>
      </c>
      <c r="D953" s="1485">
        <v>0.2</v>
      </c>
      <c r="E953" s="1487">
        <f>+B953*C953*D953</f>
        <v>11.429460000000001</v>
      </c>
      <c r="F953" s="2477" t="s">
        <v>8946</v>
      </c>
      <c r="G953" s="2470"/>
    </row>
    <row r="954" spans="1:7" x14ac:dyDescent="0.2">
      <c r="A954" s="1445"/>
      <c r="B954" s="703"/>
      <c r="C954" s="2472" t="s">
        <v>6706</v>
      </c>
      <c r="D954" s="2473"/>
      <c r="E954" s="1487">
        <f>SUM(E953:E953)</f>
        <v>11.429460000000001</v>
      </c>
      <c r="F954" s="703"/>
      <c r="G954" s="703"/>
    </row>
    <row r="957" spans="1:7" x14ac:dyDescent="0.2">
      <c r="A957" s="2471" t="s">
        <v>8948</v>
      </c>
      <c r="B957" s="2471"/>
      <c r="C957" s="2471"/>
      <c r="D957" s="2471"/>
      <c r="E957" s="2471"/>
      <c r="F957" s="2471"/>
      <c r="G957" s="2471"/>
    </row>
    <row r="958" spans="1:7" x14ac:dyDescent="0.2">
      <c r="A958" s="1484"/>
      <c r="B958" s="2472"/>
      <c r="C958" s="2473"/>
      <c r="D958" s="2473"/>
      <c r="E958" s="2473"/>
      <c r="F958" s="2473"/>
      <c r="G958" s="2474"/>
    </row>
    <row r="959" spans="1:7" x14ac:dyDescent="0.2">
      <c r="A959" s="1445"/>
      <c r="B959" s="1486" t="s">
        <v>6703</v>
      </c>
      <c r="C959" s="1486" t="s">
        <v>6704</v>
      </c>
      <c r="D959" s="1486" t="s">
        <v>6705</v>
      </c>
      <c r="E959" s="1486" t="s">
        <v>6706</v>
      </c>
      <c r="F959" s="2475" t="s">
        <v>4</v>
      </c>
      <c r="G959" s="2476"/>
    </row>
    <row r="960" spans="1:7" x14ac:dyDescent="0.2">
      <c r="A960" s="1445"/>
      <c r="B960" s="1485">
        <f>+B953</f>
        <v>13.51</v>
      </c>
      <c r="C960" s="1485">
        <f>+C953</f>
        <v>4.2300000000000004</v>
      </c>
      <c r="D960" s="1485">
        <v>0.25</v>
      </c>
      <c r="E960" s="1487">
        <f>+B960*C960*D960</f>
        <v>14.286825</v>
      </c>
      <c r="F960" s="2477"/>
      <c r="G960" s="2470"/>
    </row>
    <row r="961" spans="1:7" x14ac:dyDescent="0.2">
      <c r="A961" s="1445"/>
      <c r="B961" s="703"/>
      <c r="C961" s="2472" t="s">
        <v>6706</v>
      </c>
      <c r="D961" s="2473"/>
      <c r="E961" s="1487">
        <f>SUM(E960:E960)</f>
        <v>14.286825</v>
      </c>
      <c r="F961" s="703"/>
      <c r="G961" s="703"/>
    </row>
    <row r="963" spans="1:7" ht="11.25" customHeight="1" x14ac:dyDescent="0.2"/>
    <row r="964" spans="1:7" x14ac:dyDescent="0.2">
      <c r="A964" s="2471" t="s">
        <v>8949</v>
      </c>
      <c r="B964" s="2471"/>
      <c r="C964" s="2471"/>
      <c r="D964" s="2471"/>
      <c r="E964" s="2471"/>
      <c r="F964" s="2471"/>
      <c r="G964" s="2471"/>
    </row>
    <row r="965" spans="1:7" x14ac:dyDescent="0.2">
      <c r="A965" s="1484"/>
      <c r="B965" s="2472"/>
      <c r="C965" s="2473"/>
      <c r="D965" s="2473"/>
      <c r="E965" s="2473"/>
      <c r="F965" s="2473"/>
      <c r="G965" s="2474"/>
    </row>
    <row r="966" spans="1:7" ht="22.5" customHeight="1" x14ac:dyDescent="0.2">
      <c r="A966" s="1445"/>
      <c r="B966" s="2472" t="s">
        <v>8950</v>
      </c>
      <c r="C966" s="2474"/>
      <c r="D966" s="1486" t="s">
        <v>6705</v>
      </c>
      <c r="E966" s="1486" t="s">
        <v>6706</v>
      </c>
      <c r="F966" s="2475" t="s">
        <v>4</v>
      </c>
      <c r="G966" s="2476"/>
    </row>
    <row r="967" spans="1:7" x14ac:dyDescent="0.2">
      <c r="A967" s="1445"/>
      <c r="B967" s="2469">
        <v>6.53</v>
      </c>
      <c r="C967" s="2470"/>
      <c r="D967" s="1485">
        <v>3.34</v>
      </c>
      <c r="E967" s="1487">
        <f>D967*B967</f>
        <v>21.810199999999998</v>
      </c>
      <c r="F967" s="2477"/>
      <c r="G967" s="2470"/>
    </row>
    <row r="968" spans="1:7" x14ac:dyDescent="0.2">
      <c r="A968" s="1445"/>
      <c r="B968" s="703"/>
      <c r="C968" s="2472" t="s">
        <v>6706</v>
      </c>
      <c r="D968" s="2473"/>
      <c r="E968" s="1487">
        <f>SUM(E967:E967)</f>
        <v>21.810199999999998</v>
      </c>
      <c r="F968" s="703"/>
      <c r="G968" s="703"/>
    </row>
    <row r="971" spans="1:7" x14ac:dyDescent="0.2">
      <c r="A971" s="2471" t="s">
        <v>8951</v>
      </c>
      <c r="B971" s="2471"/>
      <c r="C971" s="2471"/>
      <c r="D971" s="2471"/>
      <c r="E971" s="2471"/>
      <c r="F971" s="2471"/>
      <c r="G971" s="2471"/>
    </row>
    <row r="972" spans="1:7" x14ac:dyDescent="0.2">
      <c r="A972" s="1484"/>
      <c r="B972" s="2472"/>
      <c r="C972" s="2473"/>
      <c r="D972" s="2473"/>
      <c r="E972" s="2473"/>
      <c r="F972" s="2473"/>
      <c r="G972" s="2474"/>
    </row>
    <row r="973" spans="1:7" x14ac:dyDescent="0.2">
      <c r="A973" s="1445"/>
      <c r="B973" s="1486" t="s">
        <v>6703</v>
      </c>
      <c r="C973" s="1486" t="s">
        <v>6704</v>
      </c>
      <c r="D973" s="1486" t="s">
        <v>6705</v>
      </c>
      <c r="E973" s="1486" t="s">
        <v>6706</v>
      </c>
      <c r="F973" s="2475" t="s">
        <v>4</v>
      </c>
      <c r="G973" s="2476"/>
    </row>
    <row r="974" spans="1:7" x14ac:dyDescent="0.2">
      <c r="A974" s="1445"/>
      <c r="B974" s="1485">
        <f>+B960</f>
        <v>13.51</v>
      </c>
      <c r="C974" s="1485">
        <f>+C960</f>
        <v>4.2300000000000004</v>
      </c>
      <c r="D974" s="1485">
        <v>0.25</v>
      </c>
      <c r="E974" s="1487">
        <f>+B974*C974*D974</f>
        <v>14.286825</v>
      </c>
      <c r="F974" s="2477"/>
      <c r="G974" s="2470"/>
    </row>
    <row r="975" spans="1:7" x14ac:dyDescent="0.2">
      <c r="A975" s="1445"/>
      <c r="B975" s="703"/>
      <c r="C975" s="2472" t="s">
        <v>6706</v>
      </c>
      <c r="D975" s="2473"/>
      <c r="E975" s="1487">
        <f>SUM(E974:E974)</f>
        <v>14.286825</v>
      </c>
      <c r="F975" s="703"/>
      <c r="G975" s="703"/>
    </row>
    <row r="978" spans="1:7" x14ac:dyDescent="0.2">
      <c r="A978" s="2471" t="s">
        <v>6834</v>
      </c>
      <c r="B978" s="2471"/>
      <c r="C978" s="2471"/>
      <c r="D978" s="2471"/>
      <c r="E978" s="2471"/>
      <c r="F978" s="2471"/>
      <c r="G978" s="2471"/>
    </row>
    <row r="979" spans="1:7" x14ac:dyDescent="0.2">
      <c r="A979" s="1484"/>
      <c r="B979" s="2472"/>
      <c r="C979" s="2473"/>
      <c r="D979" s="2473"/>
      <c r="E979" s="2473"/>
      <c r="F979" s="2473"/>
      <c r="G979" s="2474"/>
    </row>
    <row r="980" spans="1:7" x14ac:dyDescent="0.2">
      <c r="A980" s="1445"/>
      <c r="B980" s="1486" t="s">
        <v>6730</v>
      </c>
      <c r="C980" s="1486" t="s">
        <v>8952</v>
      </c>
      <c r="D980" s="1486"/>
      <c r="E980" s="1486" t="s">
        <v>6706</v>
      </c>
      <c r="F980" s="2475" t="s">
        <v>4</v>
      </c>
      <c r="G980" s="2476"/>
    </row>
    <row r="981" spans="1:7" x14ac:dyDescent="0.2">
      <c r="A981" s="1445"/>
      <c r="B981" s="1487">
        <f>+E975+E968+E961</f>
        <v>50.383850000000002</v>
      </c>
      <c r="C981" s="1485">
        <v>150</v>
      </c>
      <c r="D981" s="1485"/>
      <c r="E981" s="1487">
        <f>+C981*B981</f>
        <v>7557.5775000000003</v>
      </c>
      <c r="F981" s="2477"/>
      <c r="G981" s="2470"/>
    </row>
    <row r="982" spans="1:7" x14ac:dyDescent="0.2">
      <c r="A982" s="1445"/>
      <c r="B982" s="703"/>
      <c r="C982" s="2472" t="s">
        <v>6706</v>
      </c>
      <c r="D982" s="2473"/>
      <c r="E982" s="1487">
        <f>SUM(E981:E981)</f>
        <v>7557.5775000000003</v>
      </c>
      <c r="F982" s="703"/>
      <c r="G982" s="703"/>
    </row>
    <row r="986" spans="1:7" x14ac:dyDescent="0.2">
      <c r="A986" s="2471" t="s">
        <v>8953</v>
      </c>
      <c r="B986" s="2471"/>
      <c r="C986" s="2471"/>
      <c r="D986" s="2471"/>
      <c r="E986" s="2471"/>
      <c r="F986" s="2471"/>
      <c r="G986" s="2471"/>
    </row>
    <row r="987" spans="1:7" x14ac:dyDescent="0.2">
      <c r="A987" s="1484"/>
      <c r="B987" s="2472"/>
      <c r="C987" s="2473"/>
      <c r="D987" s="2473"/>
      <c r="E987" s="2473"/>
      <c r="F987" s="2473"/>
      <c r="G987" s="2474"/>
    </row>
    <row r="988" spans="1:7" x14ac:dyDescent="0.2">
      <c r="A988" s="1445"/>
      <c r="B988" s="1486" t="s">
        <v>6730</v>
      </c>
      <c r="C988" s="1486" t="s">
        <v>8952</v>
      </c>
      <c r="D988" s="1486"/>
      <c r="E988" s="1486" t="s">
        <v>6706</v>
      </c>
      <c r="F988" s="2475" t="s">
        <v>4</v>
      </c>
      <c r="G988" s="2476"/>
    </row>
    <row r="989" spans="1:7" x14ac:dyDescent="0.2">
      <c r="A989" s="1445"/>
      <c r="B989" s="1487">
        <v>20</v>
      </c>
      <c r="C989" s="1485">
        <v>1</v>
      </c>
      <c r="D989" s="1485"/>
      <c r="E989" s="1487">
        <f>+C989*B989</f>
        <v>20</v>
      </c>
      <c r="F989" s="2477"/>
      <c r="G989" s="2470"/>
    </row>
    <row r="990" spans="1:7" x14ac:dyDescent="0.2">
      <c r="A990" s="1445"/>
      <c r="B990" s="703"/>
      <c r="C990" s="2472" t="s">
        <v>6706</v>
      </c>
      <c r="D990" s="2473"/>
      <c r="E990" s="1487">
        <f>SUM(E989:E989)</f>
        <v>20</v>
      </c>
      <c r="F990" s="703"/>
      <c r="G990" s="703"/>
    </row>
    <row r="992" spans="1:7" x14ac:dyDescent="0.2">
      <c r="A992" s="2471" t="s">
        <v>9029</v>
      </c>
      <c r="B992" s="2471"/>
      <c r="C992" s="2471"/>
      <c r="D992" s="2471"/>
      <c r="E992" s="2471"/>
      <c r="F992" s="2471"/>
      <c r="G992" s="2471"/>
    </row>
    <row r="993" spans="1:9" x14ac:dyDescent="0.2">
      <c r="A993" s="1484"/>
      <c r="B993" s="2472"/>
      <c r="C993" s="2473"/>
      <c r="D993" s="2473"/>
      <c r="E993" s="2473"/>
      <c r="F993" s="2473"/>
      <c r="G993" s="2474"/>
    </row>
    <row r="994" spans="1:9" x14ac:dyDescent="0.2">
      <c r="A994" s="1445"/>
      <c r="B994" s="1486" t="s">
        <v>6703</v>
      </c>
      <c r="C994" s="1486" t="s">
        <v>6704</v>
      </c>
      <c r="D994" s="1486" t="s">
        <v>6705</v>
      </c>
      <c r="E994" s="1486" t="s">
        <v>6706</v>
      </c>
      <c r="F994" s="2475" t="s">
        <v>4</v>
      </c>
      <c r="G994" s="2476"/>
    </row>
    <row r="995" spans="1:9" x14ac:dyDescent="0.2">
      <c r="A995" s="1445"/>
      <c r="B995" s="1485">
        <f>+B960</f>
        <v>13.51</v>
      </c>
      <c r="C995" s="1485">
        <f t="shared" ref="C995" si="16">+C960</f>
        <v>4.2300000000000004</v>
      </c>
      <c r="D995" s="1485">
        <v>0.05</v>
      </c>
      <c r="E995" s="1487">
        <f>+B995*C995*D995</f>
        <v>2.8573650000000002</v>
      </c>
      <c r="F995" s="2477"/>
      <c r="G995" s="2470"/>
    </row>
    <row r="996" spans="1:9" x14ac:dyDescent="0.2">
      <c r="A996" s="1445"/>
      <c r="B996" s="703"/>
      <c r="C996" s="2472" t="s">
        <v>6706</v>
      </c>
      <c r="D996" s="2473"/>
      <c r="E996" s="1487">
        <f>SUM(E995:E995)</f>
        <v>2.8573650000000002</v>
      </c>
      <c r="F996" s="703"/>
      <c r="G996" s="703"/>
    </row>
    <row r="999" spans="1:9" ht="52.5" customHeight="1" x14ac:dyDescent="0.2">
      <c r="A999" s="2481" t="s">
        <v>8959</v>
      </c>
      <c r="B999" s="2481"/>
      <c r="C999" s="2481"/>
      <c r="D999" s="2481"/>
      <c r="E999" s="2481"/>
      <c r="F999" s="2481"/>
      <c r="G999" s="2481"/>
      <c r="H999" s="2481"/>
      <c r="I999" s="2481"/>
    </row>
    <row r="1000" spans="1:9" x14ac:dyDescent="0.2">
      <c r="A1000" s="1445"/>
      <c r="B1000" s="1445"/>
      <c r="C1000" s="1445"/>
      <c r="D1000" s="1445"/>
      <c r="E1000" s="1445"/>
      <c r="F1000" s="1445"/>
      <c r="G1000" s="1445"/>
      <c r="H1000" s="1445"/>
      <c r="I1000" s="1445"/>
    </row>
    <row r="1001" spans="1:9" x14ac:dyDescent="0.2">
      <c r="A1001" s="2471" t="s">
        <v>8947</v>
      </c>
      <c r="B1001" s="2471"/>
      <c r="C1001" s="2471"/>
      <c r="D1001" s="2471"/>
      <c r="E1001" s="2471"/>
      <c r="F1001" s="2471"/>
      <c r="G1001" s="2471"/>
      <c r="H1001" s="1445"/>
      <c r="I1001" s="1445"/>
    </row>
    <row r="1002" spans="1:9" x14ac:dyDescent="0.2">
      <c r="A1002" s="1503"/>
      <c r="B1002" s="2472" t="s">
        <v>8945</v>
      </c>
      <c r="C1002" s="2473"/>
      <c r="D1002" s="2473"/>
      <c r="E1002" s="2473"/>
      <c r="F1002" s="2473"/>
      <c r="G1002" s="2474"/>
      <c r="H1002" s="1445"/>
      <c r="I1002" s="1445"/>
    </row>
    <row r="1003" spans="1:9" x14ac:dyDescent="0.2">
      <c r="A1003" s="1445"/>
      <c r="B1003" s="1486" t="s">
        <v>6703</v>
      </c>
      <c r="C1003" s="1486" t="s">
        <v>6704</v>
      </c>
      <c r="D1003" s="1486"/>
      <c r="E1003" s="1486" t="s">
        <v>6706</v>
      </c>
      <c r="F1003" s="2475" t="s">
        <v>4</v>
      </c>
      <c r="G1003" s="2476"/>
      <c r="H1003" s="1445"/>
      <c r="I1003" s="1445"/>
    </row>
    <row r="1004" spans="1:9" x14ac:dyDescent="0.2">
      <c r="A1004" s="1445"/>
      <c r="B1004" s="1504">
        <v>10.25</v>
      </c>
      <c r="C1004" s="1504">
        <v>9.6</v>
      </c>
      <c r="D1004" s="1504"/>
      <c r="E1004" s="1505">
        <f>+B1004*C1004</f>
        <v>98.399999999999991</v>
      </c>
      <c r="F1004" s="2477" t="s">
        <v>8944</v>
      </c>
      <c r="G1004" s="2470"/>
      <c r="H1004" s="1445"/>
      <c r="I1004" s="1445"/>
    </row>
    <row r="1005" spans="1:9" x14ac:dyDescent="0.2">
      <c r="A1005" s="1445"/>
      <c r="B1005" s="703"/>
      <c r="C1005" s="2472" t="s">
        <v>6706</v>
      </c>
      <c r="D1005" s="2473"/>
      <c r="E1005" s="1505">
        <f>SUM(E1004:E1004)</f>
        <v>98.399999999999991</v>
      </c>
      <c r="F1005" s="703"/>
      <c r="G1005" s="703"/>
      <c r="H1005" s="1445"/>
      <c r="I1005" s="1445"/>
    </row>
    <row r="1006" spans="1:9" x14ac:dyDescent="0.2">
      <c r="A1006" s="1445"/>
      <c r="B1006" s="1445"/>
      <c r="C1006" s="1445"/>
      <c r="D1006" s="1445"/>
      <c r="E1006" s="1445"/>
      <c r="F1006" s="1445"/>
      <c r="G1006" s="1445"/>
      <c r="H1006" s="1445"/>
      <c r="I1006" s="1445"/>
    </row>
    <row r="1007" spans="1:9" x14ac:dyDescent="0.2">
      <c r="A1007" s="2471" t="s">
        <v>6770</v>
      </c>
      <c r="B1007" s="2471"/>
      <c r="C1007" s="2471"/>
      <c r="D1007" s="2471"/>
      <c r="E1007" s="2471"/>
      <c r="F1007" s="2471"/>
      <c r="G1007" s="2471"/>
      <c r="H1007" s="1445"/>
      <c r="I1007" s="1445"/>
    </row>
    <row r="1008" spans="1:9" x14ac:dyDescent="0.2">
      <c r="A1008" s="1503"/>
      <c r="B1008" s="2472" t="s">
        <v>8945</v>
      </c>
      <c r="C1008" s="2473"/>
      <c r="D1008" s="2473"/>
      <c r="E1008" s="2473"/>
      <c r="F1008" s="2473"/>
      <c r="G1008" s="2474"/>
      <c r="H1008" s="1445"/>
      <c r="I1008" s="1445"/>
    </row>
    <row r="1009" spans="1:9" x14ac:dyDescent="0.2">
      <c r="A1009" s="1445"/>
      <c r="B1009" s="1486" t="s">
        <v>6703</v>
      </c>
      <c r="C1009" s="1486" t="s">
        <v>6704</v>
      </c>
      <c r="D1009" s="1486" t="s">
        <v>6705</v>
      </c>
      <c r="E1009" s="1486" t="s">
        <v>6706</v>
      </c>
      <c r="F1009" s="2475" t="s">
        <v>4</v>
      </c>
      <c r="G1009" s="2476"/>
      <c r="H1009" s="1445"/>
      <c r="I1009" s="1445"/>
    </row>
    <row r="1010" spans="1:9" x14ac:dyDescent="0.2">
      <c r="A1010" s="1445"/>
      <c r="B1010" s="1504">
        <v>10.25</v>
      </c>
      <c r="C1010" s="1504">
        <v>9.6</v>
      </c>
      <c r="D1010" s="1504">
        <v>4.75</v>
      </c>
      <c r="E1010" s="1505">
        <f>+B1010*C1010*D1010</f>
        <v>467.4</v>
      </c>
      <c r="F1010" s="2477" t="s">
        <v>8944</v>
      </c>
      <c r="G1010" s="2470"/>
      <c r="H1010" s="1445"/>
      <c r="I1010" s="1445"/>
    </row>
    <row r="1011" spans="1:9" x14ac:dyDescent="0.2">
      <c r="A1011" s="1445"/>
      <c r="B1011" s="703"/>
      <c r="C1011" s="2472" t="s">
        <v>6706</v>
      </c>
      <c r="D1011" s="2473"/>
      <c r="E1011" s="1505">
        <f>SUM(E1010:E1010)</f>
        <v>467.4</v>
      </c>
      <c r="F1011" s="703"/>
      <c r="G1011" s="703"/>
      <c r="H1011" s="1445"/>
      <c r="I1011" s="1445"/>
    </row>
    <row r="1012" spans="1:9" x14ac:dyDescent="0.2">
      <c r="A1012" s="1445"/>
      <c r="B1012" s="1445"/>
      <c r="C1012" s="1445"/>
      <c r="D1012" s="1445"/>
      <c r="E1012" s="1445"/>
      <c r="F1012" s="1445"/>
      <c r="G1012" s="1445"/>
      <c r="H1012" s="1445"/>
      <c r="I1012" s="1445"/>
    </row>
    <row r="1013" spans="1:9" x14ac:dyDescent="0.2">
      <c r="A1013" s="1445"/>
      <c r="B1013" s="1445"/>
      <c r="C1013" s="1445"/>
      <c r="D1013" s="1445"/>
      <c r="E1013" s="1445"/>
      <c r="F1013" s="1445"/>
      <c r="G1013" s="1445"/>
      <c r="H1013" s="1445"/>
      <c r="I1013" s="1445"/>
    </row>
    <row r="1014" spans="1:9" x14ac:dyDescent="0.2">
      <c r="A1014" s="2471" t="s">
        <v>7954</v>
      </c>
      <c r="B1014" s="2471"/>
      <c r="C1014" s="2471"/>
      <c r="D1014" s="2471"/>
      <c r="E1014" s="2471"/>
      <c r="F1014" s="2471"/>
      <c r="G1014" s="2471"/>
      <c r="H1014" s="1445"/>
      <c r="I1014" s="1445"/>
    </row>
    <row r="1015" spans="1:9" x14ac:dyDescent="0.2">
      <c r="A1015" s="1503"/>
      <c r="B1015" s="2472"/>
      <c r="C1015" s="2473"/>
      <c r="D1015" s="2473"/>
      <c r="E1015" s="2473"/>
      <c r="F1015" s="2473"/>
      <c r="G1015" s="2474"/>
      <c r="H1015" s="1445"/>
      <c r="I1015" s="1445"/>
    </row>
    <row r="1016" spans="1:9" x14ac:dyDescent="0.2">
      <c r="A1016" s="1445"/>
      <c r="B1016" s="1486" t="s">
        <v>6703</v>
      </c>
      <c r="C1016" s="1486" t="s">
        <v>6704</v>
      </c>
      <c r="D1016" s="1486" t="s">
        <v>6705</v>
      </c>
      <c r="E1016" s="1486" t="s">
        <v>6706</v>
      </c>
      <c r="F1016" s="2475" t="s">
        <v>4</v>
      </c>
      <c r="G1016" s="2476"/>
      <c r="H1016" s="1445"/>
      <c r="I1016" s="1445"/>
    </row>
    <row r="1017" spans="1:9" x14ac:dyDescent="0.2">
      <c r="A1017" s="1445"/>
      <c r="B1017" s="1504">
        <f>+B1010</f>
        <v>10.25</v>
      </c>
      <c r="C1017" s="1504">
        <f>+C1010</f>
        <v>9.6</v>
      </c>
      <c r="D1017" s="1504">
        <v>0.2</v>
      </c>
      <c r="E1017" s="1505">
        <f>+B1017*C1017*D1017</f>
        <v>19.68</v>
      </c>
      <c r="F1017" s="2477" t="s">
        <v>8946</v>
      </c>
      <c r="G1017" s="2470"/>
      <c r="H1017" s="1445"/>
      <c r="I1017" s="1445"/>
    </row>
    <row r="1018" spans="1:9" x14ac:dyDescent="0.2">
      <c r="A1018" s="1445"/>
      <c r="B1018" s="703"/>
      <c r="C1018" s="2472" t="s">
        <v>6706</v>
      </c>
      <c r="D1018" s="2473"/>
      <c r="E1018" s="1505">
        <f>SUM(E1017:E1017)</f>
        <v>19.68</v>
      </c>
      <c r="F1018" s="703"/>
      <c r="G1018" s="703"/>
      <c r="H1018" s="1445"/>
      <c r="I1018" s="1445"/>
    </row>
    <row r="1019" spans="1:9" x14ac:dyDescent="0.2">
      <c r="A1019" s="1445"/>
      <c r="B1019" s="1445"/>
      <c r="C1019" s="1445"/>
      <c r="D1019" s="1445"/>
      <c r="E1019" s="1445"/>
      <c r="F1019" s="1445"/>
      <c r="G1019" s="1445"/>
      <c r="H1019" s="1445"/>
      <c r="I1019" s="1445"/>
    </row>
    <row r="1020" spans="1:9" x14ac:dyDescent="0.2">
      <c r="A1020" s="1445"/>
      <c r="B1020" s="1445"/>
      <c r="C1020" s="1445"/>
      <c r="D1020" s="1445"/>
      <c r="E1020" s="1445"/>
      <c r="F1020" s="1445"/>
      <c r="G1020" s="1445"/>
      <c r="H1020" s="1445"/>
      <c r="I1020" s="1445"/>
    </row>
    <row r="1021" spans="1:9" x14ac:dyDescent="0.2">
      <c r="A1021" s="2471" t="s">
        <v>8948</v>
      </c>
      <c r="B1021" s="2471"/>
      <c r="C1021" s="2471"/>
      <c r="D1021" s="2471"/>
      <c r="E1021" s="2471"/>
      <c r="F1021" s="2471"/>
      <c r="G1021" s="2471"/>
      <c r="H1021" s="1445"/>
      <c r="I1021" s="1445"/>
    </row>
    <row r="1022" spans="1:9" x14ac:dyDescent="0.2">
      <c r="A1022" s="1503"/>
      <c r="B1022" s="2472"/>
      <c r="C1022" s="2473"/>
      <c r="D1022" s="2473"/>
      <c r="E1022" s="2473"/>
      <c r="F1022" s="2473"/>
      <c r="G1022" s="2474"/>
      <c r="H1022" s="1445"/>
      <c r="I1022" s="1445"/>
    </row>
    <row r="1023" spans="1:9" x14ac:dyDescent="0.2">
      <c r="A1023" s="1445"/>
      <c r="B1023" s="1486" t="s">
        <v>6703</v>
      </c>
      <c r="C1023" s="1486" t="s">
        <v>6704</v>
      </c>
      <c r="D1023" s="1486" t="s">
        <v>6705</v>
      </c>
      <c r="E1023" s="1486" t="s">
        <v>6706</v>
      </c>
      <c r="F1023" s="2475" t="s">
        <v>4</v>
      </c>
      <c r="G1023" s="2476"/>
      <c r="H1023" s="1445"/>
      <c r="I1023" s="1445"/>
    </row>
    <row r="1024" spans="1:9" x14ac:dyDescent="0.2">
      <c r="A1024" s="1445"/>
      <c r="B1024" s="1504">
        <f>+B1017</f>
        <v>10.25</v>
      </c>
      <c r="C1024" s="1504">
        <f>+C1017</f>
        <v>9.6</v>
      </c>
      <c r="D1024" s="1504">
        <v>0.3</v>
      </c>
      <c r="E1024" s="1505">
        <f>+B1024*C1024*D1024</f>
        <v>29.519999999999996</v>
      </c>
      <c r="F1024" s="2477"/>
      <c r="G1024" s="2470"/>
      <c r="H1024" s="1445"/>
      <c r="I1024" s="1445"/>
    </row>
    <row r="1025" spans="1:9" s="1445" customFormat="1" x14ac:dyDescent="0.2">
      <c r="B1025" s="703">
        <v>7</v>
      </c>
      <c r="C1025" s="1622">
        <v>2.04</v>
      </c>
      <c r="D1025" s="1623">
        <v>0.3</v>
      </c>
      <c r="E1025" s="1625">
        <f>+B1025*C1025*D1025</f>
        <v>4.2839999999999998</v>
      </c>
      <c r="F1025" s="722"/>
      <c r="G1025" s="703"/>
    </row>
    <row r="1026" spans="1:9" x14ac:dyDescent="0.2">
      <c r="A1026" s="1445"/>
      <c r="B1026" s="703"/>
      <c r="C1026" s="2472" t="s">
        <v>6706</v>
      </c>
      <c r="D1026" s="2473"/>
      <c r="E1026" s="1505">
        <f>SUM(E1024:E1025)</f>
        <v>33.803999999999995</v>
      </c>
      <c r="F1026" s="703"/>
      <c r="G1026" s="703"/>
      <c r="H1026" s="1445"/>
      <c r="I1026" s="1445"/>
    </row>
    <row r="1027" spans="1:9" x14ac:dyDescent="0.2">
      <c r="A1027" s="1445"/>
      <c r="B1027" s="1445"/>
      <c r="C1027" s="1445"/>
      <c r="D1027" s="1445"/>
      <c r="E1027" s="1445"/>
      <c r="F1027" s="1445"/>
      <c r="G1027" s="1445"/>
      <c r="H1027" s="1445"/>
      <c r="I1027" s="1445"/>
    </row>
    <row r="1028" spans="1:9" x14ac:dyDescent="0.2">
      <c r="A1028" s="1445"/>
      <c r="B1028" s="1445"/>
      <c r="C1028" s="1445"/>
      <c r="D1028" s="1445"/>
      <c r="E1028" s="1445"/>
      <c r="F1028" s="1445"/>
      <c r="G1028" s="1445"/>
      <c r="H1028" s="1445"/>
      <c r="I1028" s="1445"/>
    </row>
    <row r="1029" spans="1:9" x14ac:dyDescent="0.2">
      <c r="A1029" s="2471" t="s">
        <v>8949</v>
      </c>
      <c r="B1029" s="2471"/>
      <c r="C1029" s="2471"/>
      <c r="D1029" s="2471"/>
      <c r="E1029" s="2471"/>
      <c r="F1029" s="2471"/>
      <c r="G1029" s="2471"/>
      <c r="H1029" s="1445"/>
      <c r="I1029" s="1445"/>
    </row>
    <row r="1030" spans="1:9" x14ac:dyDescent="0.2">
      <c r="A1030" s="1503"/>
      <c r="B1030" s="2472"/>
      <c r="C1030" s="2473"/>
      <c r="D1030" s="2473"/>
      <c r="E1030" s="2473"/>
      <c r="F1030" s="2473"/>
      <c r="G1030" s="2474"/>
      <c r="H1030" s="1445"/>
      <c r="I1030" s="1445"/>
    </row>
    <row r="1031" spans="1:9" x14ac:dyDescent="0.2">
      <c r="A1031" s="1445"/>
      <c r="B1031" s="2472" t="s">
        <v>8950</v>
      </c>
      <c r="C1031" s="2474"/>
      <c r="D1031" s="1486" t="s">
        <v>6705</v>
      </c>
      <c r="E1031" s="1486" t="s">
        <v>6706</v>
      </c>
      <c r="F1031" s="2475" t="s">
        <v>4</v>
      </c>
      <c r="G1031" s="2476"/>
      <c r="H1031" s="1445"/>
      <c r="I1031" s="1445"/>
    </row>
    <row r="1032" spans="1:9" x14ac:dyDescent="0.2">
      <c r="A1032" s="1445"/>
      <c r="B1032" s="2469">
        <v>22.455555555555556</v>
      </c>
      <c r="C1032" s="2470"/>
      <c r="D1032" s="1504">
        <v>3.9</v>
      </c>
      <c r="E1032" s="1505">
        <f>D1032*B1032</f>
        <v>87.576666666666668</v>
      </c>
      <c r="F1032" s="2477"/>
      <c r="G1032" s="2470"/>
      <c r="H1032" s="1445"/>
      <c r="I1032" s="1445"/>
    </row>
    <row r="1033" spans="1:9" x14ac:dyDescent="0.2">
      <c r="A1033" s="1445"/>
      <c r="B1033" s="703"/>
      <c r="C1033" s="2472" t="s">
        <v>6706</v>
      </c>
      <c r="D1033" s="2473"/>
      <c r="E1033" s="1505">
        <f>SUM(E1032:E1032)</f>
        <v>87.576666666666668</v>
      </c>
      <c r="F1033" s="703"/>
      <c r="G1033" s="703"/>
      <c r="H1033" s="1445"/>
      <c r="I1033" s="1445"/>
    </row>
    <row r="1034" spans="1:9" x14ac:dyDescent="0.2">
      <c r="A1034" s="1445"/>
      <c r="B1034" s="1445"/>
      <c r="C1034" s="1445"/>
      <c r="D1034" s="1445"/>
      <c r="E1034" s="1445"/>
      <c r="F1034" s="1445"/>
      <c r="G1034" s="1445"/>
      <c r="H1034" s="1445"/>
      <c r="I1034" s="1445"/>
    </row>
    <row r="1035" spans="1:9" x14ac:dyDescent="0.2">
      <c r="A1035" s="1445"/>
      <c r="B1035" s="1445"/>
      <c r="C1035" s="1445"/>
      <c r="D1035" s="1445"/>
      <c r="E1035" s="1445"/>
      <c r="F1035" s="1445"/>
      <c r="G1035" s="1445"/>
      <c r="H1035" s="1445"/>
      <c r="I1035" s="1445"/>
    </row>
    <row r="1036" spans="1:9" x14ac:dyDescent="0.2">
      <c r="A1036" s="2471" t="s">
        <v>8951</v>
      </c>
      <c r="B1036" s="2471"/>
      <c r="C1036" s="2471"/>
      <c r="D1036" s="2471"/>
      <c r="E1036" s="2471"/>
      <c r="F1036" s="2471"/>
      <c r="G1036" s="2471"/>
      <c r="H1036" s="1445"/>
      <c r="I1036" s="1445"/>
    </row>
    <row r="1037" spans="1:9" x14ac:dyDescent="0.2">
      <c r="A1037" s="1503"/>
      <c r="B1037" s="2472"/>
      <c r="C1037" s="2473"/>
      <c r="D1037" s="2473"/>
      <c r="E1037" s="2473"/>
      <c r="F1037" s="2473"/>
      <c r="G1037" s="2474"/>
      <c r="H1037" s="1445"/>
      <c r="I1037" s="1445"/>
    </row>
    <row r="1038" spans="1:9" x14ac:dyDescent="0.2">
      <c r="A1038" s="1445"/>
      <c r="B1038" s="1486" t="s">
        <v>6703</v>
      </c>
      <c r="C1038" s="1486" t="s">
        <v>6704</v>
      </c>
      <c r="D1038" s="1486" t="s">
        <v>6705</v>
      </c>
      <c r="E1038" s="1486" t="s">
        <v>6706</v>
      </c>
      <c r="F1038" s="2475" t="s">
        <v>4</v>
      </c>
      <c r="G1038" s="2476"/>
      <c r="H1038" s="1445"/>
      <c r="I1038" s="1445"/>
    </row>
    <row r="1039" spans="1:9" x14ac:dyDescent="0.2">
      <c r="A1039" s="1445"/>
      <c r="B1039" s="1504">
        <f>+B1024</f>
        <v>10.25</v>
      </c>
      <c r="C1039" s="1504">
        <f>+C1024</f>
        <v>9.6</v>
      </c>
      <c r="D1039" s="1504">
        <v>0.25</v>
      </c>
      <c r="E1039" s="1505">
        <f>+B1039*C1039*D1039</f>
        <v>24.599999999999998</v>
      </c>
      <c r="F1039" s="2477"/>
      <c r="G1039" s="2470"/>
      <c r="H1039" s="1445"/>
      <c r="I1039" s="1445"/>
    </row>
    <row r="1040" spans="1:9" x14ac:dyDescent="0.2">
      <c r="A1040" s="1445"/>
      <c r="B1040" s="703"/>
      <c r="C1040" s="2472" t="s">
        <v>6706</v>
      </c>
      <c r="D1040" s="2473"/>
      <c r="E1040" s="1505">
        <f>SUM(E1039:E1039)</f>
        <v>24.599999999999998</v>
      </c>
      <c r="F1040" s="703"/>
      <c r="G1040" s="703"/>
      <c r="H1040" s="1445"/>
      <c r="I1040" s="1445"/>
    </row>
    <row r="1041" spans="1:9" x14ac:dyDescent="0.2">
      <c r="A1041" s="1445"/>
      <c r="B1041" s="1445"/>
      <c r="C1041" s="1445"/>
      <c r="D1041" s="1445"/>
      <c r="E1041" s="1445"/>
      <c r="F1041" s="1445"/>
      <c r="G1041" s="1445"/>
      <c r="H1041" s="1445"/>
      <c r="I1041" s="1445"/>
    </row>
    <row r="1042" spans="1:9" x14ac:dyDescent="0.2">
      <c r="A1042" s="1445"/>
      <c r="B1042" s="1445"/>
      <c r="C1042" s="1445"/>
      <c r="D1042" s="1445"/>
      <c r="E1042" s="1445"/>
      <c r="F1042" s="1445"/>
      <c r="G1042" s="1445"/>
      <c r="H1042" s="1445"/>
      <c r="I1042" s="1445"/>
    </row>
    <row r="1043" spans="1:9" x14ac:dyDescent="0.2">
      <c r="A1043" s="2471" t="s">
        <v>6834</v>
      </c>
      <c r="B1043" s="2471"/>
      <c r="C1043" s="2471"/>
      <c r="D1043" s="2471"/>
      <c r="E1043" s="2471"/>
      <c r="F1043" s="2471"/>
      <c r="G1043" s="2471"/>
      <c r="H1043" s="1445"/>
      <c r="I1043" s="1445"/>
    </row>
    <row r="1044" spans="1:9" x14ac:dyDescent="0.2">
      <c r="A1044" s="1503"/>
      <c r="B1044" s="2472"/>
      <c r="C1044" s="2473"/>
      <c r="D1044" s="2473"/>
      <c r="E1044" s="2473"/>
      <c r="F1044" s="2473"/>
      <c r="G1044" s="2474"/>
      <c r="H1044" s="1445"/>
      <c r="I1044" s="1445"/>
    </row>
    <row r="1045" spans="1:9" x14ac:dyDescent="0.2">
      <c r="A1045" s="1445"/>
      <c r="B1045" s="1486" t="s">
        <v>6730</v>
      </c>
      <c r="C1045" s="1486" t="s">
        <v>8952</v>
      </c>
      <c r="D1045" s="1486"/>
      <c r="E1045" s="1486" t="s">
        <v>6706</v>
      </c>
      <c r="F1045" s="2475" t="s">
        <v>4</v>
      </c>
      <c r="G1045" s="2476"/>
      <c r="H1045" s="1445"/>
      <c r="I1045" s="1445"/>
    </row>
    <row r="1046" spans="1:9" x14ac:dyDescent="0.2">
      <c r="A1046" s="1445"/>
      <c r="B1046" s="1505">
        <f>+E1040+E1033+E1026</f>
        <v>145.98066666666665</v>
      </c>
      <c r="C1046" s="1504">
        <v>150</v>
      </c>
      <c r="D1046" s="1504"/>
      <c r="E1046" s="1505">
        <f>+C1046*B1046</f>
        <v>21897.1</v>
      </c>
      <c r="F1046" s="2477"/>
      <c r="G1046" s="2470"/>
      <c r="H1046" s="1445"/>
      <c r="I1046" s="1445"/>
    </row>
    <row r="1047" spans="1:9" x14ac:dyDescent="0.2">
      <c r="A1047" s="1445"/>
      <c r="B1047" s="703"/>
      <c r="C1047" s="2472" t="s">
        <v>6706</v>
      </c>
      <c r="D1047" s="2473"/>
      <c r="E1047" s="1505">
        <f>SUM(E1046:E1046)</f>
        <v>21897.1</v>
      </c>
      <c r="F1047" s="703"/>
      <c r="G1047" s="703"/>
      <c r="H1047" s="1445"/>
      <c r="I1047" s="1445"/>
    </row>
    <row r="1048" spans="1:9" x14ac:dyDescent="0.2">
      <c r="A1048" s="1445"/>
      <c r="B1048" s="1445"/>
      <c r="C1048" s="1445"/>
      <c r="D1048" s="1445"/>
      <c r="E1048" s="1445"/>
      <c r="F1048" s="1445"/>
      <c r="G1048" s="1445"/>
      <c r="H1048" s="1445"/>
      <c r="I1048" s="1445"/>
    </row>
    <row r="1049" spans="1:9" x14ac:dyDescent="0.2">
      <c r="A1049" s="1445"/>
      <c r="B1049" s="1445"/>
      <c r="C1049" s="1445"/>
      <c r="D1049" s="1445"/>
      <c r="E1049" s="1445"/>
      <c r="F1049" s="1445"/>
      <c r="G1049" s="1445"/>
      <c r="H1049" s="1445"/>
      <c r="I1049" s="1445"/>
    </row>
    <row r="1050" spans="1:9" x14ac:dyDescent="0.2">
      <c r="A1050" s="1445"/>
      <c r="B1050" s="1445"/>
      <c r="C1050" s="1445"/>
      <c r="D1050" s="1445"/>
      <c r="E1050" s="1445"/>
      <c r="F1050" s="1445"/>
      <c r="G1050" s="1445"/>
      <c r="H1050" s="1445"/>
      <c r="I1050" s="1445"/>
    </row>
    <row r="1051" spans="1:9" x14ac:dyDescent="0.2">
      <c r="A1051" s="2471" t="s">
        <v>8953</v>
      </c>
      <c r="B1051" s="2471"/>
      <c r="C1051" s="2471"/>
      <c r="D1051" s="2471"/>
      <c r="E1051" s="2471"/>
      <c r="F1051" s="2471"/>
      <c r="G1051" s="2471"/>
      <c r="H1051" s="1445"/>
      <c r="I1051" s="1445"/>
    </row>
    <row r="1052" spans="1:9" x14ac:dyDescent="0.2">
      <c r="A1052" s="1503"/>
      <c r="B1052" s="2472"/>
      <c r="C1052" s="2473"/>
      <c r="D1052" s="2473"/>
      <c r="E1052" s="2473"/>
      <c r="F1052" s="2473"/>
      <c r="G1052" s="2474"/>
      <c r="H1052" s="1445"/>
      <c r="I1052" s="1445"/>
    </row>
    <row r="1053" spans="1:9" x14ac:dyDescent="0.2">
      <c r="A1053" s="1445"/>
      <c r="B1053" s="1486" t="s">
        <v>6730</v>
      </c>
      <c r="C1053" s="1486" t="s">
        <v>8952</v>
      </c>
      <c r="D1053" s="1486"/>
      <c r="E1053" s="1486" t="s">
        <v>6706</v>
      </c>
      <c r="F1053" s="2475" t="s">
        <v>4</v>
      </c>
      <c r="G1053" s="2476"/>
      <c r="H1053" s="1445"/>
      <c r="I1053" s="1445"/>
    </row>
    <row r="1054" spans="1:9" x14ac:dyDescent="0.2">
      <c r="A1054" s="1445"/>
      <c r="B1054" s="1505">
        <v>20</v>
      </c>
      <c r="C1054" s="1504">
        <v>1</v>
      </c>
      <c r="D1054" s="1504"/>
      <c r="E1054" s="1505">
        <f>+C1054*B1054</f>
        <v>20</v>
      </c>
      <c r="F1054" s="2477"/>
      <c r="G1054" s="2470"/>
      <c r="H1054" s="1445"/>
      <c r="I1054" s="1445"/>
    </row>
    <row r="1055" spans="1:9" x14ac:dyDescent="0.2">
      <c r="A1055" s="1445"/>
      <c r="B1055" s="703"/>
      <c r="C1055" s="2472" t="s">
        <v>6706</v>
      </c>
      <c r="D1055" s="2473"/>
      <c r="E1055" s="1505">
        <f>SUM(E1054:E1054)</f>
        <v>20</v>
      </c>
      <c r="F1055" s="703"/>
      <c r="G1055" s="703"/>
      <c r="H1055" s="1445"/>
      <c r="I1055" s="1445"/>
    </row>
    <row r="1056" spans="1:9" x14ac:dyDescent="0.2">
      <c r="A1056" s="1445"/>
      <c r="B1056" s="1445"/>
      <c r="C1056" s="1445"/>
      <c r="D1056" s="1445"/>
      <c r="E1056" s="1445"/>
      <c r="F1056" s="1445"/>
      <c r="G1056" s="1445"/>
      <c r="H1056" s="1445"/>
      <c r="I1056" s="1445"/>
    </row>
    <row r="1057" spans="1:9" x14ac:dyDescent="0.2">
      <c r="A1057" s="2471" t="s">
        <v>8960</v>
      </c>
      <c r="B1057" s="2471"/>
      <c r="C1057" s="2471"/>
      <c r="D1057" s="2471"/>
      <c r="E1057" s="2471"/>
      <c r="F1057" s="2471"/>
      <c r="G1057" s="2471"/>
      <c r="H1057" s="1445"/>
      <c r="I1057" s="1445"/>
    </row>
    <row r="1058" spans="1:9" x14ac:dyDescent="0.2">
      <c r="A1058" s="1503"/>
      <c r="B1058" s="2472"/>
      <c r="C1058" s="2473"/>
      <c r="D1058" s="2473"/>
      <c r="E1058" s="2473"/>
      <c r="F1058" s="2473"/>
      <c r="G1058" s="2474"/>
      <c r="H1058" s="1445"/>
      <c r="I1058" s="1445"/>
    </row>
    <row r="1059" spans="1:9" x14ac:dyDescent="0.2">
      <c r="A1059" s="1445"/>
      <c r="B1059" s="1486" t="s">
        <v>6703</v>
      </c>
      <c r="C1059" s="1486" t="s">
        <v>6704</v>
      </c>
      <c r="D1059" s="1486" t="s">
        <v>6705</v>
      </c>
      <c r="E1059" s="1486" t="s">
        <v>6706</v>
      </c>
      <c r="F1059" s="2475" t="s">
        <v>4</v>
      </c>
      <c r="G1059" s="2476"/>
      <c r="H1059" s="1445"/>
      <c r="I1059" s="1445"/>
    </row>
    <row r="1060" spans="1:9" x14ac:dyDescent="0.2">
      <c r="A1060" s="1445"/>
      <c r="B1060" s="1504">
        <f>+B1024</f>
        <v>10.25</v>
      </c>
      <c r="C1060" s="1504">
        <f t="shared" ref="C1060" si="17">+C1024</f>
        <v>9.6</v>
      </c>
      <c r="D1060" s="1504">
        <v>0.05</v>
      </c>
      <c r="E1060" s="1505">
        <f>+B1060*C1060*D1060</f>
        <v>4.92</v>
      </c>
      <c r="F1060" s="2477"/>
      <c r="G1060" s="2470"/>
      <c r="H1060" s="1445"/>
      <c r="I1060" s="1445"/>
    </row>
    <row r="1061" spans="1:9" x14ac:dyDescent="0.2">
      <c r="A1061" s="1445"/>
      <c r="B1061" s="703"/>
      <c r="C1061" s="2472" t="s">
        <v>6706</v>
      </c>
      <c r="D1061" s="2473"/>
      <c r="E1061" s="1505">
        <f>SUM(E1060:E1060)</f>
        <v>4.92</v>
      </c>
      <c r="F1061" s="703"/>
      <c r="G1061" s="703"/>
      <c r="H1061" s="1445"/>
      <c r="I1061" s="1445"/>
    </row>
    <row r="1063" spans="1:9" ht="65.25" customHeight="1" x14ac:dyDescent="0.2">
      <c r="A1063" s="2481" t="s">
        <v>9076</v>
      </c>
      <c r="B1063" s="2481"/>
      <c r="C1063" s="2481"/>
      <c r="D1063" s="2481"/>
      <c r="E1063" s="2481"/>
      <c r="F1063" s="2481"/>
      <c r="G1063" s="2481"/>
      <c r="H1063" s="2481"/>
      <c r="I1063" s="2481"/>
    </row>
    <row r="1064" spans="1:9" x14ac:dyDescent="0.2">
      <c r="A1064" s="1445"/>
      <c r="B1064" s="1445"/>
      <c r="C1064" s="1445"/>
      <c r="D1064" s="1445"/>
      <c r="E1064" s="1445"/>
      <c r="F1064" s="1445"/>
      <c r="G1064" s="1445"/>
      <c r="H1064" s="1445"/>
      <c r="I1064" s="1445"/>
    </row>
    <row r="1065" spans="1:9" x14ac:dyDescent="0.2">
      <c r="A1065" s="2471" t="s">
        <v>8947</v>
      </c>
      <c r="B1065" s="2471"/>
      <c r="C1065" s="2471"/>
      <c r="D1065" s="2471"/>
      <c r="E1065" s="2471"/>
      <c r="F1065" s="2471"/>
      <c r="G1065" s="2471"/>
      <c r="H1065" s="1445"/>
      <c r="I1065" s="1445"/>
    </row>
    <row r="1066" spans="1:9" x14ac:dyDescent="0.2">
      <c r="A1066" s="1600"/>
      <c r="B1066" s="2472" t="s">
        <v>8945</v>
      </c>
      <c r="C1066" s="2473"/>
      <c r="D1066" s="2473"/>
      <c r="E1066" s="2473"/>
      <c r="F1066" s="2473"/>
      <c r="G1066" s="2474"/>
      <c r="H1066" s="1445"/>
      <c r="I1066" s="1445"/>
    </row>
    <row r="1067" spans="1:9" x14ac:dyDescent="0.2">
      <c r="A1067" s="1445"/>
      <c r="B1067" s="1486" t="s">
        <v>6703</v>
      </c>
      <c r="C1067" s="1486" t="s">
        <v>6704</v>
      </c>
      <c r="D1067" s="1486"/>
      <c r="E1067" s="1486" t="s">
        <v>6706</v>
      </c>
      <c r="F1067" s="2475" t="s">
        <v>4</v>
      </c>
      <c r="G1067" s="2476"/>
      <c r="H1067" s="1445"/>
      <c r="I1067" s="1445"/>
    </row>
    <row r="1068" spans="1:9" x14ac:dyDescent="0.2">
      <c r="A1068" s="1445"/>
      <c r="B1068" s="1599">
        <v>16</v>
      </c>
      <c r="C1068" s="1599">
        <v>11</v>
      </c>
      <c r="D1068" s="1599"/>
      <c r="E1068" s="1598">
        <f>+B1068*C1068</f>
        <v>176</v>
      </c>
      <c r="F1068" s="2477" t="s">
        <v>8944</v>
      </c>
      <c r="G1068" s="2470"/>
      <c r="H1068" s="1445"/>
      <c r="I1068" s="1445"/>
    </row>
    <row r="1069" spans="1:9" x14ac:dyDescent="0.2">
      <c r="A1069" s="1445"/>
      <c r="B1069" s="703"/>
      <c r="C1069" s="2472" t="s">
        <v>6706</v>
      </c>
      <c r="D1069" s="2473"/>
      <c r="E1069" s="1598">
        <f>SUM(E1068:E1068)</f>
        <v>176</v>
      </c>
      <c r="F1069" s="703"/>
      <c r="G1069" s="703"/>
      <c r="H1069" s="1445"/>
      <c r="I1069" s="1445"/>
    </row>
    <row r="1070" spans="1:9" x14ac:dyDescent="0.2">
      <c r="A1070" s="1445"/>
      <c r="B1070" s="1445"/>
      <c r="C1070" s="1445"/>
      <c r="D1070" s="1445"/>
      <c r="E1070" s="1445"/>
      <c r="F1070" s="1445"/>
      <c r="G1070" s="1445"/>
      <c r="H1070" s="1445"/>
      <c r="I1070" s="1445"/>
    </row>
    <row r="1071" spans="1:9" x14ac:dyDescent="0.2">
      <c r="A1071" s="2471" t="s">
        <v>6770</v>
      </c>
      <c r="B1071" s="2471"/>
      <c r="C1071" s="2471"/>
      <c r="D1071" s="2471"/>
      <c r="E1071" s="2471"/>
      <c r="F1071" s="2471"/>
      <c r="G1071" s="2471"/>
      <c r="H1071" s="1445"/>
      <c r="I1071" s="1445"/>
    </row>
    <row r="1072" spans="1:9" x14ac:dyDescent="0.2">
      <c r="A1072" s="1600"/>
      <c r="B1072" s="2472" t="s">
        <v>8945</v>
      </c>
      <c r="C1072" s="2473"/>
      <c r="D1072" s="2473"/>
      <c r="E1072" s="2473"/>
      <c r="F1072" s="2473"/>
      <c r="G1072" s="2474"/>
      <c r="H1072" s="1445"/>
      <c r="I1072" s="1445"/>
    </row>
    <row r="1073" spans="1:9" x14ac:dyDescent="0.2">
      <c r="A1073" s="1445"/>
      <c r="B1073" s="1486" t="s">
        <v>6703</v>
      </c>
      <c r="C1073" s="1486" t="s">
        <v>6704</v>
      </c>
      <c r="D1073" s="1486" t="s">
        <v>6705</v>
      </c>
      <c r="E1073" s="1486" t="s">
        <v>6706</v>
      </c>
      <c r="F1073" s="2475" t="s">
        <v>4</v>
      </c>
      <c r="G1073" s="2476"/>
      <c r="H1073" s="1445"/>
      <c r="I1073" s="1445"/>
    </row>
    <row r="1074" spans="1:9" x14ac:dyDescent="0.2">
      <c r="A1074" s="1445"/>
      <c r="B1074" s="1599">
        <f>+B1068</f>
        <v>16</v>
      </c>
      <c r="C1074" s="1599">
        <f>+C1068</f>
        <v>11</v>
      </c>
      <c r="D1074" s="1599">
        <v>1.8</v>
      </c>
      <c r="E1074" s="1598">
        <f>+B1074*C1074*D1074</f>
        <v>316.8</v>
      </c>
      <c r="F1074" s="2477" t="s">
        <v>8944</v>
      </c>
      <c r="G1074" s="2470"/>
      <c r="H1074" s="1445"/>
      <c r="I1074" s="1445"/>
    </row>
    <row r="1075" spans="1:9" x14ac:dyDescent="0.2">
      <c r="A1075" s="1445"/>
      <c r="B1075" s="703"/>
      <c r="C1075" s="2472" t="s">
        <v>6706</v>
      </c>
      <c r="D1075" s="2473"/>
      <c r="E1075" s="1598">
        <f>SUM(E1074:E1074)</f>
        <v>316.8</v>
      </c>
      <c r="F1075" s="703"/>
      <c r="G1075" s="703"/>
      <c r="H1075" s="1445"/>
      <c r="I1075" s="1445"/>
    </row>
    <row r="1076" spans="1:9" x14ac:dyDescent="0.2">
      <c r="A1076" s="1445"/>
      <c r="B1076" s="1445"/>
      <c r="C1076" s="1445"/>
      <c r="D1076" s="1445"/>
      <c r="E1076" s="1445"/>
      <c r="F1076" s="1445"/>
      <c r="G1076" s="1445"/>
      <c r="H1076" s="1445"/>
      <c r="I1076" s="1445"/>
    </row>
    <row r="1077" spans="1:9" x14ac:dyDescent="0.2">
      <c r="A1077" s="1445"/>
      <c r="B1077" s="1445"/>
      <c r="C1077" s="1445"/>
      <c r="D1077" s="1445"/>
      <c r="E1077" s="1445"/>
      <c r="F1077" s="1445"/>
      <c r="G1077" s="1445"/>
      <c r="H1077" s="1445"/>
      <c r="I1077" s="1445"/>
    </row>
    <row r="1078" spans="1:9" x14ac:dyDescent="0.2">
      <c r="A1078" s="2471" t="s">
        <v>7954</v>
      </c>
      <c r="B1078" s="2471"/>
      <c r="C1078" s="2471"/>
      <c r="D1078" s="2471"/>
      <c r="E1078" s="2471"/>
      <c r="F1078" s="2471"/>
      <c r="G1078" s="2471"/>
      <c r="H1078" s="1445"/>
      <c r="I1078" s="1445"/>
    </row>
    <row r="1079" spans="1:9" x14ac:dyDescent="0.2">
      <c r="A1079" s="1600"/>
      <c r="B1079" s="2472"/>
      <c r="C1079" s="2473"/>
      <c r="D1079" s="2473"/>
      <c r="E1079" s="2473"/>
      <c r="F1079" s="2473"/>
      <c r="G1079" s="2474"/>
      <c r="H1079" s="1445"/>
      <c r="I1079" s="1445"/>
    </row>
    <row r="1080" spans="1:9" x14ac:dyDescent="0.2">
      <c r="A1080" s="1445"/>
      <c r="B1080" s="1486" t="s">
        <v>6703</v>
      </c>
      <c r="C1080" s="1486" t="s">
        <v>6704</v>
      </c>
      <c r="D1080" s="1486" t="s">
        <v>6705</v>
      </c>
      <c r="E1080" s="1486" t="s">
        <v>6706</v>
      </c>
      <c r="F1080" s="2475" t="s">
        <v>4</v>
      </c>
      <c r="G1080" s="2476"/>
      <c r="H1080" s="1445"/>
      <c r="I1080" s="1445"/>
    </row>
    <row r="1081" spans="1:9" x14ac:dyDescent="0.2">
      <c r="A1081" s="1445"/>
      <c r="B1081" s="1599">
        <f>+B1074</f>
        <v>16</v>
      </c>
      <c r="C1081" s="1599">
        <f>+C1074</f>
        <v>11</v>
      </c>
      <c r="D1081" s="1599">
        <v>0.2</v>
      </c>
      <c r="E1081" s="1598">
        <f>+B1081*C1081*D1081</f>
        <v>35.200000000000003</v>
      </c>
      <c r="F1081" s="2477" t="s">
        <v>8946</v>
      </c>
      <c r="G1081" s="2470"/>
      <c r="H1081" s="1445"/>
      <c r="I1081" s="1445"/>
    </row>
    <row r="1082" spans="1:9" x14ac:dyDescent="0.2">
      <c r="A1082" s="1445"/>
      <c r="B1082" s="703"/>
      <c r="C1082" s="2472" t="s">
        <v>6706</v>
      </c>
      <c r="D1082" s="2473"/>
      <c r="E1082" s="1598">
        <f>SUM(E1081:E1081)</f>
        <v>35.200000000000003</v>
      </c>
      <c r="F1082" s="703"/>
      <c r="G1082" s="703"/>
      <c r="H1082" s="1445"/>
      <c r="I1082" s="1445"/>
    </row>
    <row r="1083" spans="1:9" x14ac:dyDescent="0.2">
      <c r="A1083" s="1445"/>
      <c r="B1083" s="1445"/>
      <c r="C1083" s="1445"/>
      <c r="D1083" s="1445"/>
      <c r="E1083" s="1445"/>
      <c r="F1083" s="1445"/>
      <c r="G1083" s="1445"/>
      <c r="H1083" s="1445"/>
      <c r="I1083" s="1445"/>
    </row>
    <row r="1084" spans="1:9" x14ac:dyDescent="0.2">
      <c r="A1084" s="2471" t="s">
        <v>9353</v>
      </c>
      <c r="B1084" s="2471"/>
      <c r="C1084" s="2471"/>
      <c r="D1084" s="2471"/>
      <c r="E1084" s="2471"/>
      <c r="F1084" s="2471"/>
      <c r="G1084" s="2471"/>
      <c r="H1084" s="1445"/>
      <c r="I1084" s="1445"/>
    </row>
    <row r="1085" spans="1:9" x14ac:dyDescent="0.2">
      <c r="A1085" s="1624"/>
      <c r="B1085" s="2472"/>
      <c r="C1085" s="2473"/>
      <c r="D1085" s="2473"/>
      <c r="E1085" s="2473"/>
      <c r="F1085" s="2473"/>
      <c r="G1085" s="2474"/>
    </row>
    <row r="1086" spans="1:9" x14ac:dyDescent="0.2">
      <c r="A1086" s="1445"/>
      <c r="B1086" s="2472" t="s">
        <v>9351</v>
      </c>
      <c r="C1086" s="2473"/>
      <c r="D1086" s="2474"/>
      <c r="E1086" s="1486" t="s">
        <v>6706</v>
      </c>
      <c r="F1086" s="2475" t="s">
        <v>4</v>
      </c>
      <c r="G1086" s="2476"/>
    </row>
    <row r="1087" spans="1:9" x14ac:dyDescent="0.2">
      <c r="A1087" s="1445"/>
      <c r="B1087" s="2469">
        <v>88.34</v>
      </c>
      <c r="C1087" s="2478"/>
      <c r="D1087" s="2470"/>
      <c r="E1087" s="1625">
        <f>+B1087</f>
        <v>88.34</v>
      </c>
      <c r="F1087" s="2477" t="s">
        <v>9352</v>
      </c>
      <c r="G1087" s="2470"/>
    </row>
    <row r="1088" spans="1:9" s="1445" customFormat="1" x14ac:dyDescent="0.2">
      <c r="B1088" s="2469">
        <v>88.34</v>
      </c>
      <c r="C1088" s="2478"/>
      <c r="D1088" s="2470"/>
      <c r="E1088" s="1625">
        <v>18.37</v>
      </c>
      <c r="F1088" s="2477" t="s">
        <v>9354</v>
      </c>
      <c r="G1088" s="2470"/>
    </row>
    <row r="1089" spans="2:7" s="1445" customFormat="1" x14ac:dyDescent="0.2">
      <c r="B1089" s="2469">
        <v>88.34</v>
      </c>
      <c r="C1089" s="2478"/>
      <c r="D1089" s="2470"/>
      <c r="E1089" s="1625"/>
      <c r="F1089" s="2477" t="s">
        <v>6009</v>
      </c>
      <c r="G1089" s="2470"/>
    </row>
  </sheetData>
  <mergeCells count="690">
    <mergeCell ref="F1059:G1059"/>
    <mergeCell ref="F1060:G1060"/>
    <mergeCell ref="C1061:D1061"/>
    <mergeCell ref="F1046:G1046"/>
    <mergeCell ref="C1047:D1047"/>
    <mergeCell ref="A1051:G1051"/>
    <mergeCell ref="B1052:G1052"/>
    <mergeCell ref="F1053:G1053"/>
    <mergeCell ref="F1054:G1054"/>
    <mergeCell ref="C1055:D1055"/>
    <mergeCell ref="A1057:G1057"/>
    <mergeCell ref="B1058:G1058"/>
    <mergeCell ref="C1033:D1033"/>
    <mergeCell ref="A1036:G1036"/>
    <mergeCell ref="B1037:G1037"/>
    <mergeCell ref="F1038:G1038"/>
    <mergeCell ref="F1039:G1039"/>
    <mergeCell ref="C1040:D1040"/>
    <mergeCell ref="A1043:G1043"/>
    <mergeCell ref="B1044:G1044"/>
    <mergeCell ref="F1045:G1045"/>
    <mergeCell ref="B1022:G1022"/>
    <mergeCell ref="F1023:G1023"/>
    <mergeCell ref="F1024:G1024"/>
    <mergeCell ref="C1026:D1026"/>
    <mergeCell ref="A1029:G1029"/>
    <mergeCell ref="B1030:G1030"/>
    <mergeCell ref="B1031:C1031"/>
    <mergeCell ref="F1031:G1031"/>
    <mergeCell ref="B1032:C1032"/>
    <mergeCell ref="F1032:G1032"/>
    <mergeCell ref="F1009:G1009"/>
    <mergeCell ref="F1010:G1010"/>
    <mergeCell ref="C1011:D1011"/>
    <mergeCell ref="A1014:G1014"/>
    <mergeCell ref="B1015:G1015"/>
    <mergeCell ref="F1016:G1016"/>
    <mergeCell ref="F1017:G1017"/>
    <mergeCell ref="C1018:D1018"/>
    <mergeCell ref="A1021:G1021"/>
    <mergeCell ref="A999:I999"/>
    <mergeCell ref="A1001:G1001"/>
    <mergeCell ref="B1002:G1002"/>
    <mergeCell ref="F1003:G1003"/>
    <mergeCell ref="F1004:G1004"/>
    <mergeCell ref="C1005:D1005"/>
    <mergeCell ref="A1007:G1007"/>
    <mergeCell ref="B1008:G1008"/>
    <mergeCell ref="A992:G992"/>
    <mergeCell ref="B993:G993"/>
    <mergeCell ref="F994:G994"/>
    <mergeCell ref="F995:G995"/>
    <mergeCell ref="C996:D996"/>
    <mergeCell ref="F939:G939"/>
    <mergeCell ref="C941:D941"/>
    <mergeCell ref="A964:G964"/>
    <mergeCell ref="B965:G965"/>
    <mergeCell ref="F967:G967"/>
    <mergeCell ref="B966:C966"/>
    <mergeCell ref="B967:C967"/>
    <mergeCell ref="A971:G971"/>
    <mergeCell ref="A950:G950"/>
    <mergeCell ref="B951:G951"/>
    <mergeCell ref="F952:G952"/>
    <mergeCell ref="F953:G953"/>
    <mergeCell ref="C954:D954"/>
    <mergeCell ref="A957:G957"/>
    <mergeCell ref="B958:G958"/>
    <mergeCell ref="F959:G959"/>
    <mergeCell ref="F960:G960"/>
    <mergeCell ref="B987:G987"/>
    <mergeCell ref="F940:G940"/>
    <mergeCell ref="C968:D968"/>
    <mergeCell ref="F988:G988"/>
    <mergeCell ref="F989:G989"/>
    <mergeCell ref="F945:G945"/>
    <mergeCell ref="B331:C331"/>
    <mergeCell ref="E331:F331"/>
    <mergeCell ref="B329:C329"/>
    <mergeCell ref="B330:C330"/>
    <mergeCell ref="F980:G980"/>
    <mergeCell ref="F981:G981"/>
    <mergeCell ref="C982:D982"/>
    <mergeCell ref="C961:D961"/>
    <mergeCell ref="A935:I935"/>
    <mergeCell ref="A943:G943"/>
    <mergeCell ref="B944:G944"/>
    <mergeCell ref="H924:I924"/>
    <mergeCell ref="D925:F925"/>
    <mergeCell ref="B928:I928"/>
    <mergeCell ref="B894:I894"/>
    <mergeCell ref="H895:I895"/>
    <mergeCell ref="C837:E837"/>
    <mergeCell ref="C838:E838"/>
    <mergeCell ref="G322:H322"/>
    <mergeCell ref="G323:H323"/>
    <mergeCell ref="G324:H324"/>
    <mergeCell ref="C325:E325"/>
    <mergeCell ref="B328:F328"/>
    <mergeCell ref="E329:F329"/>
    <mergeCell ref="B863:I863"/>
    <mergeCell ref="H864:I864"/>
    <mergeCell ref="H865:I865"/>
    <mergeCell ref="B858:I858"/>
    <mergeCell ref="H859:I859"/>
    <mergeCell ref="H860:I860"/>
    <mergeCell ref="D861:F861"/>
    <mergeCell ref="B853:I853"/>
    <mergeCell ref="H854:I854"/>
    <mergeCell ref="H855:I855"/>
    <mergeCell ref="D856:F856"/>
    <mergeCell ref="H848:I848"/>
    <mergeCell ref="A843:I843"/>
    <mergeCell ref="B845:I845"/>
    <mergeCell ref="H846:I846"/>
    <mergeCell ref="H847:I847"/>
    <mergeCell ref="D849:F849"/>
    <mergeCell ref="C836:E836"/>
    <mergeCell ref="H866:I866"/>
    <mergeCell ref="H867:I867"/>
    <mergeCell ref="H868:I868"/>
    <mergeCell ref="D869:F869"/>
    <mergeCell ref="B872:I872"/>
    <mergeCell ref="H873:I873"/>
    <mergeCell ref="B879:I879"/>
    <mergeCell ref="C990:D990"/>
    <mergeCell ref="C308:E308"/>
    <mergeCell ref="B310:F310"/>
    <mergeCell ref="C313:E313"/>
    <mergeCell ref="B315:F315"/>
    <mergeCell ref="C318:E318"/>
    <mergeCell ref="B320:H320"/>
    <mergeCell ref="G321:H321"/>
    <mergeCell ref="E330:F330"/>
    <mergeCell ref="A986:G986"/>
    <mergeCell ref="F966:G966"/>
    <mergeCell ref="B972:G972"/>
    <mergeCell ref="F973:G973"/>
    <mergeCell ref="F974:G974"/>
    <mergeCell ref="C975:D975"/>
    <mergeCell ref="A978:G978"/>
    <mergeCell ref="B979:G979"/>
    <mergeCell ref="C839:E839"/>
    <mergeCell ref="C840:E840"/>
    <mergeCell ref="C830:E830"/>
    <mergeCell ref="C831:E831"/>
    <mergeCell ref="C832:E832"/>
    <mergeCell ref="C833:E833"/>
    <mergeCell ref="C834:E834"/>
    <mergeCell ref="C835:E835"/>
    <mergeCell ref="C824:E824"/>
    <mergeCell ref="C825:E825"/>
    <mergeCell ref="C826:E826"/>
    <mergeCell ref="C827:E827"/>
    <mergeCell ref="C828:E828"/>
    <mergeCell ref="C829:E829"/>
    <mergeCell ref="C818:E818"/>
    <mergeCell ref="C819:E819"/>
    <mergeCell ref="C820:E820"/>
    <mergeCell ref="C821:E821"/>
    <mergeCell ref="C822:E822"/>
    <mergeCell ref="C823:E823"/>
    <mergeCell ref="D793:F793"/>
    <mergeCell ref="B797:I797"/>
    <mergeCell ref="H798:I798"/>
    <mergeCell ref="B801:I801"/>
    <mergeCell ref="B808:I808"/>
    <mergeCell ref="B816:I816"/>
    <mergeCell ref="H787:I787"/>
    <mergeCell ref="H788:I788"/>
    <mergeCell ref="H789:I789"/>
    <mergeCell ref="H790:I790"/>
    <mergeCell ref="H791:I791"/>
    <mergeCell ref="C792:D792"/>
    <mergeCell ref="H792:I792"/>
    <mergeCell ref="H781:I781"/>
    <mergeCell ref="H782:I782"/>
    <mergeCell ref="H783:I783"/>
    <mergeCell ref="H784:I784"/>
    <mergeCell ref="H785:I785"/>
    <mergeCell ref="H786:I786"/>
    <mergeCell ref="H773:I773"/>
    <mergeCell ref="H774:I774"/>
    <mergeCell ref="D775:F775"/>
    <mergeCell ref="B778:I778"/>
    <mergeCell ref="H779:I779"/>
    <mergeCell ref="H780:I780"/>
    <mergeCell ref="H758:I758"/>
    <mergeCell ref="H759:I759"/>
    <mergeCell ref="H760:I760"/>
    <mergeCell ref="D761:F761"/>
    <mergeCell ref="B771:I771"/>
    <mergeCell ref="H772:I772"/>
    <mergeCell ref="B763:I763"/>
    <mergeCell ref="H764:I764"/>
    <mergeCell ref="H765:I765"/>
    <mergeCell ref="H766:I766"/>
    <mergeCell ref="D767:F767"/>
    <mergeCell ref="B738:I738"/>
    <mergeCell ref="B745:I745"/>
    <mergeCell ref="B751:I751"/>
    <mergeCell ref="C753:E753"/>
    <mergeCell ref="A756:I756"/>
    <mergeCell ref="B757:I757"/>
    <mergeCell ref="H728:I728"/>
    <mergeCell ref="H729:I729"/>
    <mergeCell ref="H730:I730"/>
    <mergeCell ref="D731:F731"/>
    <mergeCell ref="B734:I734"/>
    <mergeCell ref="H735:I735"/>
    <mergeCell ref="B720:I720"/>
    <mergeCell ref="H721:I721"/>
    <mergeCell ref="H722:I722"/>
    <mergeCell ref="D723:F723"/>
    <mergeCell ref="B726:I726"/>
    <mergeCell ref="H727:I727"/>
    <mergeCell ref="A712:I712"/>
    <mergeCell ref="B713:I713"/>
    <mergeCell ref="H714:I714"/>
    <mergeCell ref="H715:I715"/>
    <mergeCell ref="D716:F716"/>
    <mergeCell ref="D684:E684"/>
    <mergeCell ref="A687:G687"/>
    <mergeCell ref="B694:K694"/>
    <mergeCell ref="D668:E668"/>
    <mergeCell ref="B671:H671"/>
    <mergeCell ref="E673:F673"/>
    <mergeCell ref="E674:F674"/>
    <mergeCell ref="B675:C675"/>
    <mergeCell ref="A678:G678"/>
    <mergeCell ref="B655:F655"/>
    <mergeCell ref="C658:D658"/>
    <mergeCell ref="A662:G662"/>
    <mergeCell ref="B665:H665"/>
    <mergeCell ref="G666:H666"/>
    <mergeCell ref="G667:H667"/>
    <mergeCell ref="B681:H681"/>
    <mergeCell ref="G682:H682"/>
    <mergeCell ref="G683:H683"/>
    <mergeCell ref="B642:D642"/>
    <mergeCell ref="B643:C643"/>
    <mergeCell ref="B644:C644"/>
    <mergeCell ref="B645:C645"/>
    <mergeCell ref="B650:F650"/>
    <mergeCell ref="C653:D653"/>
    <mergeCell ref="B618:C618"/>
    <mergeCell ref="B619:C619"/>
    <mergeCell ref="A622:G622"/>
    <mergeCell ref="C626:D626"/>
    <mergeCell ref="A629:G629"/>
    <mergeCell ref="A640:G640"/>
    <mergeCell ref="C605:D605"/>
    <mergeCell ref="A609:G609"/>
    <mergeCell ref="B611:C611"/>
    <mergeCell ref="B612:C612"/>
    <mergeCell ref="A615:G615"/>
    <mergeCell ref="B617:C617"/>
    <mergeCell ref="F598:G598"/>
    <mergeCell ref="F599:G599"/>
    <mergeCell ref="C600:D600"/>
    <mergeCell ref="B602:G602"/>
    <mergeCell ref="F603:G603"/>
    <mergeCell ref="F604:G604"/>
    <mergeCell ref="B582:C582"/>
    <mergeCell ref="B583:C583"/>
    <mergeCell ref="C584:D584"/>
    <mergeCell ref="A588:I588"/>
    <mergeCell ref="A596:G596"/>
    <mergeCell ref="B597:G597"/>
    <mergeCell ref="D592:E592"/>
    <mergeCell ref="A589:H589"/>
    <mergeCell ref="B590:E590"/>
    <mergeCell ref="D591:E591"/>
    <mergeCell ref="A565:G565"/>
    <mergeCell ref="A568:G568"/>
    <mergeCell ref="A576:G576"/>
    <mergeCell ref="B579:E579"/>
    <mergeCell ref="B580:C580"/>
    <mergeCell ref="B581:C581"/>
    <mergeCell ref="D554:E554"/>
    <mergeCell ref="B557:H557"/>
    <mergeCell ref="G558:H558"/>
    <mergeCell ref="G559:H559"/>
    <mergeCell ref="D560:E560"/>
    <mergeCell ref="E542:F542"/>
    <mergeCell ref="B543:C543"/>
    <mergeCell ref="A548:G548"/>
    <mergeCell ref="B551:H551"/>
    <mergeCell ref="G552:H552"/>
    <mergeCell ref="G553:H553"/>
    <mergeCell ref="G532:H532"/>
    <mergeCell ref="D533:E533"/>
    <mergeCell ref="B537:H537"/>
    <mergeCell ref="E539:F539"/>
    <mergeCell ref="E540:F540"/>
    <mergeCell ref="E541:F541"/>
    <mergeCell ref="G525:H525"/>
    <mergeCell ref="G526:H526"/>
    <mergeCell ref="D527:E527"/>
    <mergeCell ref="B530:H530"/>
    <mergeCell ref="G531:H531"/>
    <mergeCell ref="G515:H515"/>
    <mergeCell ref="G516:H516"/>
    <mergeCell ref="G517:H517"/>
    <mergeCell ref="G518:H518"/>
    <mergeCell ref="D519:E519"/>
    <mergeCell ref="B524:H524"/>
    <mergeCell ref="G509:H509"/>
    <mergeCell ref="G510:H510"/>
    <mergeCell ref="G511:H511"/>
    <mergeCell ref="G512:H512"/>
    <mergeCell ref="G513:H513"/>
    <mergeCell ref="G514:H514"/>
    <mergeCell ref="B498:C498"/>
    <mergeCell ref="A502:G502"/>
    <mergeCell ref="B505:H505"/>
    <mergeCell ref="G506:H506"/>
    <mergeCell ref="G507:H507"/>
    <mergeCell ref="G508:H508"/>
    <mergeCell ref="B499:C499"/>
    <mergeCell ref="C485:D485"/>
    <mergeCell ref="A488:G488"/>
    <mergeCell ref="A491:G491"/>
    <mergeCell ref="A494:G494"/>
    <mergeCell ref="B496:C496"/>
    <mergeCell ref="B497:C497"/>
    <mergeCell ref="B467:C467"/>
    <mergeCell ref="B468:C468"/>
    <mergeCell ref="A471:G471"/>
    <mergeCell ref="B473:F473"/>
    <mergeCell ref="C478:D478"/>
    <mergeCell ref="B480:F480"/>
    <mergeCell ref="B462:C462"/>
    <mergeCell ref="B463:C463"/>
    <mergeCell ref="B464:C464"/>
    <mergeCell ref="B465:C465"/>
    <mergeCell ref="B466:C466"/>
    <mergeCell ref="B456:C456"/>
    <mergeCell ref="B457:C457"/>
    <mergeCell ref="B458:C458"/>
    <mergeCell ref="B459:C459"/>
    <mergeCell ref="B450:C450"/>
    <mergeCell ref="B451:C451"/>
    <mergeCell ref="B452:C452"/>
    <mergeCell ref="B453:C453"/>
    <mergeCell ref="B454:C454"/>
    <mergeCell ref="B455:C455"/>
    <mergeCell ref="B443:C443"/>
    <mergeCell ref="B444:C444"/>
    <mergeCell ref="B445:C445"/>
    <mergeCell ref="B447:D447"/>
    <mergeCell ref="B448:C448"/>
    <mergeCell ref="B449:C449"/>
    <mergeCell ref="B434:C434"/>
    <mergeCell ref="B435:C435"/>
    <mergeCell ref="A438:G438"/>
    <mergeCell ref="B440:D440"/>
    <mergeCell ref="B441:C441"/>
    <mergeCell ref="B442:C442"/>
    <mergeCell ref="B429:C429"/>
    <mergeCell ref="B432:C432"/>
    <mergeCell ref="B433:C433"/>
    <mergeCell ref="B424:C424"/>
    <mergeCell ref="B425:C425"/>
    <mergeCell ref="B426:C426"/>
    <mergeCell ref="B427:C427"/>
    <mergeCell ref="B428:C428"/>
    <mergeCell ref="B417:D417"/>
    <mergeCell ref="B418:C418"/>
    <mergeCell ref="B419:C419"/>
    <mergeCell ref="B420:C420"/>
    <mergeCell ref="B421:C421"/>
    <mergeCell ref="B422:C422"/>
    <mergeCell ref="B410:C410"/>
    <mergeCell ref="B411:C411"/>
    <mergeCell ref="B382:C382"/>
    <mergeCell ref="B383:C383"/>
    <mergeCell ref="B384:C384"/>
    <mergeCell ref="B385:C385"/>
    <mergeCell ref="B386:C386"/>
    <mergeCell ref="A389:G389"/>
    <mergeCell ref="B423:C423"/>
    <mergeCell ref="B368:C368"/>
    <mergeCell ref="B369:C369"/>
    <mergeCell ref="B370:C370"/>
    <mergeCell ref="B371:C371"/>
    <mergeCell ref="B372:C372"/>
    <mergeCell ref="C395:D395"/>
    <mergeCell ref="A398:G398"/>
    <mergeCell ref="A407:G407"/>
    <mergeCell ref="B409:D409"/>
    <mergeCell ref="A375:G375"/>
    <mergeCell ref="B377:C377"/>
    <mergeCell ref="B378:C378"/>
    <mergeCell ref="B379:C379"/>
    <mergeCell ref="B380:C380"/>
    <mergeCell ref="B381:C381"/>
    <mergeCell ref="C300:E300"/>
    <mergeCell ref="A335:I335"/>
    <mergeCell ref="A347:G347"/>
    <mergeCell ref="B348:G348"/>
    <mergeCell ref="F349:G349"/>
    <mergeCell ref="C283:E283"/>
    <mergeCell ref="C284:E284"/>
    <mergeCell ref="C285:E285"/>
    <mergeCell ref="C286:E286"/>
    <mergeCell ref="A297:H297"/>
    <mergeCell ref="C299:E299"/>
    <mergeCell ref="C287:E287"/>
    <mergeCell ref="C288:E288"/>
    <mergeCell ref="C289:E289"/>
    <mergeCell ref="C290:E290"/>
    <mergeCell ref="C291:E291"/>
    <mergeCell ref="C292:E292"/>
    <mergeCell ref="C293:E293"/>
    <mergeCell ref="C294:E294"/>
    <mergeCell ref="A303:H303"/>
    <mergeCell ref="B305:H305"/>
    <mergeCell ref="G306:H306"/>
    <mergeCell ref="G307:H307"/>
    <mergeCell ref="A337:H337"/>
    <mergeCell ref="C277:E277"/>
    <mergeCell ref="C278:E278"/>
    <mergeCell ref="C279:E279"/>
    <mergeCell ref="C280:E280"/>
    <mergeCell ref="C281:E281"/>
    <mergeCell ref="C282:E282"/>
    <mergeCell ref="C271:E271"/>
    <mergeCell ref="C272:E272"/>
    <mergeCell ref="C273:E273"/>
    <mergeCell ref="C274:E274"/>
    <mergeCell ref="C275:E275"/>
    <mergeCell ref="C276:E276"/>
    <mergeCell ref="E263:F263"/>
    <mergeCell ref="E264:F264"/>
    <mergeCell ref="B265:C265"/>
    <mergeCell ref="E265:F265"/>
    <mergeCell ref="A268:H268"/>
    <mergeCell ref="C270:E270"/>
    <mergeCell ref="G252:H252"/>
    <mergeCell ref="G259:H259"/>
    <mergeCell ref="G253:H253"/>
    <mergeCell ref="G254:H254"/>
    <mergeCell ref="C255:E255"/>
    <mergeCell ref="B262:F262"/>
    <mergeCell ref="B257:H257"/>
    <mergeCell ref="G258:H258"/>
    <mergeCell ref="B243:F243"/>
    <mergeCell ref="C246:E246"/>
    <mergeCell ref="B248:H248"/>
    <mergeCell ref="G249:H249"/>
    <mergeCell ref="G250:H250"/>
    <mergeCell ref="G251:H251"/>
    <mergeCell ref="G233:H233"/>
    <mergeCell ref="G234:H234"/>
    <mergeCell ref="G235:H235"/>
    <mergeCell ref="C236:E236"/>
    <mergeCell ref="B238:F238"/>
    <mergeCell ref="C241:E241"/>
    <mergeCell ref="A221:H221"/>
    <mergeCell ref="B224:C224"/>
    <mergeCell ref="E224:H224"/>
    <mergeCell ref="A229:H229"/>
    <mergeCell ref="B231:H231"/>
    <mergeCell ref="G232:H232"/>
    <mergeCell ref="B200:C200"/>
    <mergeCell ref="A205:J205"/>
    <mergeCell ref="A176:H176"/>
    <mergeCell ref="A181:H181"/>
    <mergeCell ref="A185:H185"/>
    <mergeCell ref="B187:F187"/>
    <mergeCell ref="B194:D194"/>
    <mergeCell ref="A196:H196"/>
    <mergeCell ref="D211:E211"/>
    <mergeCell ref="D212:E212"/>
    <mergeCell ref="B215:E215"/>
    <mergeCell ref="F216:G216"/>
    <mergeCell ref="B219:D219"/>
    <mergeCell ref="A207:H207"/>
    <mergeCell ref="B208:E208"/>
    <mergeCell ref="D209:E209"/>
    <mergeCell ref="D210:E210"/>
    <mergeCell ref="B159:F159"/>
    <mergeCell ref="B163:D163"/>
    <mergeCell ref="A166:H166"/>
    <mergeCell ref="C168:E168"/>
    <mergeCell ref="C169:E169"/>
    <mergeCell ref="A171:H171"/>
    <mergeCell ref="C151:E151"/>
    <mergeCell ref="B153:H153"/>
    <mergeCell ref="G154:H154"/>
    <mergeCell ref="G155:H155"/>
    <mergeCell ref="G156:H156"/>
    <mergeCell ref="C157:E157"/>
    <mergeCell ref="G139:H139"/>
    <mergeCell ref="G140:H140"/>
    <mergeCell ref="C141:E141"/>
    <mergeCell ref="B143:F143"/>
    <mergeCell ref="C146:E146"/>
    <mergeCell ref="B148:F148"/>
    <mergeCell ref="C128:E128"/>
    <mergeCell ref="A131:H131"/>
    <mergeCell ref="A134:H134"/>
    <mergeCell ref="B136:H136"/>
    <mergeCell ref="G137:H137"/>
    <mergeCell ref="G138:H138"/>
    <mergeCell ref="A119:H119"/>
    <mergeCell ref="C121:E121"/>
    <mergeCell ref="C122:E122"/>
    <mergeCell ref="A125:H125"/>
    <mergeCell ref="C127:E127"/>
    <mergeCell ref="C115:E115"/>
    <mergeCell ref="C116:E116"/>
    <mergeCell ref="C117:E117"/>
    <mergeCell ref="C118:E118"/>
    <mergeCell ref="C109:E109"/>
    <mergeCell ref="C110:E110"/>
    <mergeCell ref="C111:E111"/>
    <mergeCell ref="C112:E112"/>
    <mergeCell ref="C113:E113"/>
    <mergeCell ref="C114:E114"/>
    <mergeCell ref="C103:E103"/>
    <mergeCell ref="C104:E104"/>
    <mergeCell ref="C105:E105"/>
    <mergeCell ref="C106:E106"/>
    <mergeCell ref="C107:E107"/>
    <mergeCell ref="C108:E108"/>
    <mergeCell ref="C85:E85"/>
    <mergeCell ref="C86:E86"/>
    <mergeCell ref="C87:E87"/>
    <mergeCell ref="C82:E82"/>
    <mergeCell ref="C83:E83"/>
    <mergeCell ref="C84:E84"/>
    <mergeCell ref="C65:E65"/>
    <mergeCell ref="B68:F68"/>
    <mergeCell ref="E69:F69"/>
    <mergeCell ref="E70:F70"/>
    <mergeCell ref="C78:E78"/>
    <mergeCell ref="C97:E97"/>
    <mergeCell ref="C98:E98"/>
    <mergeCell ref="C99:E99"/>
    <mergeCell ref="C100:E100"/>
    <mergeCell ref="C101:E101"/>
    <mergeCell ref="C102:E102"/>
    <mergeCell ref="C91:E91"/>
    <mergeCell ref="C92:E92"/>
    <mergeCell ref="C93:E93"/>
    <mergeCell ref="C94:E94"/>
    <mergeCell ref="C95:E95"/>
    <mergeCell ref="C96:E96"/>
    <mergeCell ref="B30:C30"/>
    <mergeCell ref="E30:H30"/>
    <mergeCell ref="A36:H36"/>
    <mergeCell ref="G61:H61"/>
    <mergeCell ref="G62:H62"/>
    <mergeCell ref="B57:H57"/>
    <mergeCell ref="G58:H58"/>
    <mergeCell ref="G59:H59"/>
    <mergeCell ref="G60:H60"/>
    <mergeCell ref="G41:H41"/>
    <mergeCell ref="G42:H42"/>
    <mergeCell ref="G63:H63"/>
    <mergeCell ref="G64:H64"/>
    <mergeCell ref="A1:J1"/>
    <mergeCell ref="A18:H18"/>
    <mergeCell ref="G19:H19"/>
    <mergeCell ref="G20:H20"/>
    <mergeCell ref="G21:H21"/>
    <mergeCell ref="G22:H22"/>
    <mergeCell ref="B38:H38"/>
    <mergeCell ref="G39:H39"/>
    <mergeCell ref="G40:H40"/>
    <mergeCell ref="A3:H3"/>
    <mergeCell ref="D5:E5"/>
    <mergeCell ref="D6:E6"/>
    <mergeCell ref="D8:E8"/>
    <mergeCell ref="B15:D15"/>
    <mergeCell ref="F12:G12"/>
    <mergeCell ref="B4:E4"/>
    <mergeCell ref="B11:E11"/>
    <mergeCell ref="D7:E7"/>
    <mergeCell ref="G43:H43"/>
    <mergeCell ref="G23:H23"/>
    <mergeCell ref="C24:E24"/>
    <mergeCell ref="A27:H27"/>
    <mergeCell ref="A366:G366"/>
    <mergeCell ref="G44:H44"/>
    <mergeCell ref="C45:E45"/>
    <mergeCell ref="B47:F47"/>
    <mergeCell ref="C50:E50"/>
    <mergeCell ref="B52:F52"/>
    <mergeCell ref="C88:E88"/>
    <mergeCell ref="C89:E89"/>
    <mergeCell ref="C90:E90"/>
    <mergeCell ref="C79:E79"/>
    <mergeCell ref="C80:E80"/>
    <mergeCell ref="C81:E81"/>
    <mergeCell ref="C55:E55"/>
    <mergeCell ref="B71:C71"/>
    <mergeCell ref="E71:F71"/>
    <mergeCell ref="A74:H74"/>
    <mergeCell ref="C76:E76"/>
    <mergeCell ref="C77:E77"/>
    <mergeCell ref="B338:E338"/>
    <mergeCell ref="D339:E339"/>
    <mergeCell ref="D340:E340"/>
    <mergeCell ref="D341:E341"/>
    <mergeCell ref="D342:E342"/>
    <mergeCell ref="F357:G357"/>
    <mergeCell ref="F358:G358"/>
    <mergeCell ref="F359:G359"/>
    <mergeCell ref="F360:G360"/>
    <mergeCell ref="F350:G350"/>
    <mergeCell ref="F351:G351"/>
    <mergeCell ref="F352:G352"/>
    <mergeCell ref="F353:G353"/>
    <mergeCell ref="C354:D354"/>
    <mergeCell ref="B356:G356"/>
    <mergeCell ref="D343:E343"/>
    <mergeCell ref="C1075:D1075"/>
    <mergeCell ref="A1078:G1078"/>
    <mergeCell ref="B1079:G1079"/>
    <mergeCell ref="F1080:G1080"/>
    <mergeCell ref="F1081:G1081"/>
    <mergeCell ref="C947:D947"/>
    <mergeCell ref="F361:G361"/>
    <mergeCell ref="C362:D362"/>
    <mergeCell ref="F946:G946"/>
    <mergeCell ref="B413:C413"/>
    <mergeCell ref="B412:C412"/>
    <mergeCell ref="B430:C430"/>
    <mergeCell ref="B431:C431"/>
    <mergeCell ref="B460:C460"/>
    <mergeCell ref="B461:C461"/>
    <mergeCell ref="B881:B882"/>
    <mergeCell ref="B883:B885"/>
    <mergeCell ref="B705:E705"/>
    <mergeCell ref="F706:G706"/>
    <mergeCell ref="B710:D710"/>
    <mergeCell ref="A899:I899"/>
    <mergeCell ref="B901:I901"/>
    <mergeCell ref="H902:I902"/>
    <mergeCell ref="D699:F699"/>
    <mergeCell ref="D698:F698"/>
    <mergeCell ref="D697:E697"/>
    <mergeCell ref="B696:E696"/>
    <mergeCell ref="A695:H695"/>
    <mergeCell ref="D702:F702"/>
    <mergeCell ref="D701:F701"/>
    <mergeCell ref="D700:F700"/>
    <mergeCell ref="A1063:I1063"/>
    <mergeCell ref="H910:I910"/>
    <mergeCell ref="H911:I911"/>
    <mergeCell ref="H903:I903"/>
    <mergeCell ref="H904:I904"/>
    <mergeCell ref="D905:F905"/>
    <mergeCell ref="B909:I909"/>
    <mergeCell ref="H929:I929"/>
    <mergeCell ref="D912:F912"/>
    <mergeCell ref="B914:I914"/>
    <mergeCell ref="H915:I915"/>
    <mergeCell ref="H916:I916"/>
    <mergeCell ref="D917:F917"/>
    <mergeCell ref="B919:I919"/>
    <mergeCell ref="H920:I920"/>
    <mergeCell ref="H922:I922"/>
    <mergeCell ref="H921:I921"/>
    <mergeCell ref="A1084:G1084"/>
    <mergeCell ref="B1085:G1085"/>
    <mergeCell ref="F1086:G1086"/>
    <mergeCell ref="F1087:G1087"/>
    <mergeCell ref="B1086:D1086"/>
    <mergeCell ref="B1087:D1087"/>
    <mergeCell ref="B1088:D1088"/>
    <mergeCell ref="B1089:D1089"/>
    <mergeCell ref="F1088:G1088"/>
    <mergeCell ref="F1089:G1089"/>
    <mergeCell ref="F1074:G1074"/>
    <mergeCell ref="A1065:G1065"/>
    <mergeCell ref="B1066:G1066"/>
    <mergeCell ref="F1067:G1067"/>
    <mergeCell ref="F1068:G1068"/>
    <mergeCell ref="C1069:D1069"/>
    <mergeCell ref="A1071:G1071"/>
    <mergeCell ref="B1072:G1072"/>
    <mergeCell ref="F1073:G1073"/>
    <mergeCell ref="C1082:D1082"/>
    <mergeCell ref="A937:G937"/>
    <mergeCell ref="B938:G938"/>
    <mergeCell ref="H923:I923"/>
  </mergeCells>
  <pageMargins left="0.7" right="0.7" top="0.75" bottom="0.75" header="0.3" footer="0.3"/>
  <pageSetup paperSize="9" scale="46" orientation="portrait" r:id="rId1"/>
  <rowBreaks count="8" manualBreakCount="8">
    <brk id="118" max="9" man="1"/>
    <brk id="204" max="9" man="1"/>
    <brk id="334" max="9" man="1"/>
    <brk id="470" max="9" man="1"/>
    <brk id="586" max="9" man="1"/>
    <brk id="692" max="9" man="1"/>
    <brk id="754" max="9" man="1"/>
    <brk id="889" max="9"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10"/>
  <sheetViews>
    <sheetView workbookViewId="0"/>
  </sheetViews>
  <sheetFormatPr baseColWidth="10" defaultRowHeight="15" x14ac:dyDescent="0.25"/>
  <cols>
    <col min="1" max="1" width="34.7109375" customWidth="1"/>
    <col min="15" max="15" width="80.5703125" bestFit="1" customWidth="1"/>
    <col min="16" max="16" width="12.5703125" style="1048" bestFit="1" customWidth="1"/>
    <col min="17" max="17" width="11.7109375" style="1048" bestFit="1" customWidth="1"/>
    <col min="18" max="18" width="8.7109375" style="1048" bestFit="1" customWidth="1"/>
    <col min="19" max="19" width="13.85546875" style="1048" bestFit="1" customWidth="1"/>
    <col min="20" max="21" width="8.5703125" style="1048" bestFit="1" customWidth="1"/>
  </cols>
  <sheetData>
    <row r="1" spans="1:21" ht="30" x14ac:dyDescent="0.25">
      <c r="A1" s="889" t="s">
        <v>8105</v>
      </c>
      <c r="O1" s="265"/>
      <c r="P1" s="1405" t="s">
        <v>8106</v>
      </c>
      <c r="Q1" s="1405" t="s">
        <v>8352</v>
      </c>
      <c r="R1" s="1405" t="s">
        <v>8353</v>
      </c>
      <c r="S1" s="1405" t="s">
        <v>8354</v>
      </c>
      <c r="T1" s="1405" t="s">
        <v>8355</v>
      </c>
      <c r="U1" s="1405" t="s">
        <v>8356</v>
      </c>
    </row>
    <row r="2" spans="1:21" s="1047" customFormat="1" x14ac:dyDescent="0.25">
      <c r="A2" s="1056" t="s">
        <v>8094</v>
      </c>
      <c r="B2" s="1056" t="s">
        <v>8095</v>
      </c>
      <c r="C2" s="1056" t="s">
        <v>7099</v>
      </c>
      <c r="D2" s="1056" t="s">
        <v>8086</v>
      </c>
      <c r="E2" s="1056" t="s">
        <v>6734</v>
      </c>
      <c r="F2" s="1056" t="s">
        <v>7079</v>
      </c>
      <c r="G2" s="1048"/>
      <c r="O2" s="265" t="s">
        <v>8357</v>
      </c>
      <c r="P2" s="1408">
        <f>+SUM(I28:I31)</f>
        <v>9</v>
      </c>
      <c r="Q2" s="1408">
        <f>+SUM(I7:I10)</f>
        <v>4</v>
      </c>
      <c r="R2" s="1408"/>
      <c r="S2" s="1408"/>
      <c r="T2" s="1408"/>
      <c r="U2" s="1408">
        <f>+SUM(P2:T2)</f>
        <v>13</v>
      </c>
    </row>
    <row r="3" spans="1:21" x14ac:dyDescent="0.25">
      <c r="A3" s="1402">
        <v>2639</v>
      </c>
      <c r="B3" s="1402">
        <v>80</v>
      </c>
      <c r="C3" s="1402" t="str">
        <f>+IF(B3&lt;100,"PN 10", IF(B3&lt;160,"PN 16",IF(B3&lt;250,"PN 25",IF(B3&lt;400,"PN 40","PN 60"))))</f>
        <v>PN 10</v>
      </c>
      <c r="D3" s="1402" t="s">
        <v>8096</v>
      </c>
      <c r="E3" s="1055" t="s">
        <v>8087</v>
      </c>
      <c r="F3" s="1403">
        <v>16</v>
      </c>
      <c r="O3" s="265" t="s">
        <v>8358</v>
      </c>
      <c r="P3" s="1408">
        <f>+SUM(J28:J31)</f>
        <v>20</v>
      </c>
      <c r="Q3" s="1408">
        <f>+SUM(J7:J10)</f>
        <v>6</v>
      </c>
      <c r="S3" s="1408"/>
      <c r="T3" s="1408"/>
      <c r="U3" s="1408">
        <f t="shared" ref="U3:U53" si="0">+SUM(P3:T3)</f>
        <v>26</v>
      </c>
    </row>
    <row r="4" spans="1:21" x14ac:dyDescent="0.25">
      <c r="A4" s="1402">
        <v>2544</v>
      </c>
      <c r="B4" s="1402">
        <v>175</v>
      </c>
      <c r="C4" s="1402" t="str">
        <f t="shared" ref="C4:C22" si="1">+IF(B4&lt;100,"PN 10", IF(B4&lt;160,"PN 16",IF(B4&lt;250,"PN 25",IF(B4&lt;400,"PN 40","PN 60"))))</f>
        <v>PN 25</v>
      </c>
      <c r="D4" s="1402" t="s">
        <v>8096</v>
      </c>
      <c r="E4" s="1055" t="s">
        <v>8088</v>
      </c>
      <c r="F4" s="1403">
        <v>16</v>
      </c>
      <c r="O4" s="265" t="s">
        <v>8359</v>
      </c>
      <c r="P4" s="1408">
        <f>+SUM(K28:K31)</f>
        <v>17</v>
      </c>
      <c r="Q4" s="1408">
        <f>+SUM(K7:K10)</f>
        <v>4</v>
      </c>
      <c r="R4" s="1408"/>
      <c r="S4" s="1408"/>
      <c r="T4" s="1408"/>
      <c r="U4" s="1408">
        <f t="shared" si="0"/>
        <v>21</v>
      </c>
    </row>
    <row r="5" spans="1:21" x14ac:dyDescent="0.25">
      <c r="A5" s="1402">
        <v>2581</v>
      </c>
      <c r="B5" s="1402">
        <v>138</v>
      </c>
      <c r="C5" s="1402" t="str">
        <f t="shared" si="1"/>
        <v>PN 16</v>
      </c>
      <c r="D5" s="1402" t="s">
        <v>8097</v>
      </c>
      <c r="E5" s="1055" t="s">
        <v>8089</v>
      </c>
      <c r="F5" s="1403">
        <v>16</v>
      </c>
      <c r="O5" s="265" t="s">
        <v>8360</v>
      </c>
      <c r="P5" s="1408">
        <f>+SUM(L28:L31)</f>
        <v>3</v>
      </c>
      <c r="Q5" s="1408">
        <f>+SUM(L7:L10)</f>
        <v>3</v>
      </c>
      <c r="R5" s="1408"/>
      <c r="S5" s="1408"/>
      <c r="T5" s="1408"/>
      <c r="U5" s="1408">
        <f t="shared" si="0"/>
        <v>6</v>
      </c>
    </row>
    <row r="6" spans="1:21" ht="15.75" thickBot="1" x14ac:dyDescent="0.3">
      <c r="A6" s="1402">
        <v>2554</v>
      </c>
      <c r="B6" s="1402">
        <v>89</v>
      </c>
      <c r="C6" s="1402" t="str">
        <f t="shared" si="1"/>
        <v>PN 10</v>
      </c>
      <c r="D6" s="1402" t="s">
        <v>8096</v>
      </c>
      <c r="E6" s="1055" t="s">
        <v>7098</v>
      </c>
      <c r="F6" s="1403">
        <v>10</v>
      </c>
      <c r="H6" s="1048" t="s">
        <v>7079</v>
      </c>
      <c r="I6" s="1048" t="s">
        <v>8107</v>
      </c>
      <c r="J6" s="1048" t="s">
        <v>8108</v>
      </c>
      <c r="K6" s="1048" t="s">
        <v>8109</v>
      </c>
      <c r="L6" s="1048" t="s">
        <v>8110</v>
      </c>
      <c r="M6" s="1048" t="s">
        <v>8111</v>
      </c>
      <c r="O6" s="1406" t="s">
        <v>8361</v>
      </c>
      <c r="P6" s="1409">
        <f>+SUM(M28:M32)</f>
        <v>7</v>
      </c>
      <c r="Q6" s="1409">
        <f>+SUM(M7:M11)</f>
        <v>3</v>
      </c>
      <c r="R6" s="1409"/>
      <c r="S6" s="1409"/>
      <c r="T6" s="1409"/>
      <c r="U6" s="1409">
        <f t="shared" si="0"/>
        <v>10</v>
      </c>
    </row>
    <row r="7" spans="1:21" x14ac:dyDescent="0.25">
      <c r="A7" s="1402">
        <v>2285</v>
      </c>
      <c r="B7" s="1402">
        <v>105</v>
      </c>
      <c r="C7" s="1402" t="str">
        <f t="shared" si="1"/>
        <v>PN 16</v>
      </c>
      <c r="D7" s="1402" t="s">
        <v>8096</v>
      </c>
      <c r="E7" s="1055" t="s">
        <v>7100</v>
      </c>
      <c r="F7" s="1403">
        <v>10</v>
      </c>
      <c r="H7" s="1048">
        <v>10</v>
      </c>
      <c r="I7" s="1048">
        <f>+COUNTIFS($C$3:$C$22,I$6,$F$3:$F$22,H$7)</f>
        <v>2</v>
      </c>
      <c r="J7" s="1048">
        <f>+COUNTIFS($C$3:$C$22,J$6,$F$3:$F$22,H$7)</f>
        <v>1</v>
      </c>
      <c r="K7" s="1048">
        <f>+COUNTIFS($C$3:$C$22,K$6,$F$3:$F$22,H$7)</f>
        <v>1</v>
      </c>
      <c r="L7" s="1048">
        <f>+COUNTIFS($C$3:$C$22,L$6,$F$3:$F$22,H$7)</f>
        <v>0</v>
      </c>
      <c r="M7" s="1048">
        <f>+COUNTIFS($C$3:$C$22,M$6,$F$3:$F$22,H$7)</f>
        <v>0</v>
      </c>
      <c r="O7" s="265" t="s">
        <v>8362</v>
      </c>
      <c r="P7" s="1408">
        <f t="shared" ref="P7:Q11" si="2">+P2</f>
        <v>9</v>
      </c>
      <c r="Q7" s="1408">
        <f t="shared" si="2"/>
        <v>4</v>
      </c>
      <c r="R7" s="1408">
        <f>+SUM(I91:I94)</f>
        <v>4</v>
      </c>
      <c r="S7" s="1408">
        <f>+SUM(I123:I126)</f>
        <v>0</v>
      </c>
      <c r="T7" s="1408"/>
      <c r="U7" s="1408">
        <f t="shared" si="0"/>
        <v>17</v>
      </c>
    </row>
    <row r="8" spans="1:21" x14ac:dyDescent="0.25">
      <c r="A8" s="1402">
        <v>2220</v>
      </c>
      <c r="B8" s="1402">
        <v>170</v>
      </c>
      <c r="C8" s="1402" t="str">
        <f t="shared" si="1"/>
        <v>PN 25</v>
      </c>
      <c r="D8" s="1402" t="s">
        <v>8096</v>
      </c>
      <c r="E8" s="1055" t="s">
        <v>7101</v>
      </c>
      <c r="F8" s="1403">
        <v>10</v>
      </c>
      <c r="H8" s="1048">
        <v>14</v>
      </c>
      <c r="I8" s="1048">
        <f>+COUNTIFS($C$3:$C$22,I$6,$F$3:$F$22,H$8)</f>
        <v>1</v>
      </c>
      <c r="J8" s="1048">
        <f>+COUNTIFS($C$3:$C$22,J$6,$F$3:$F$22,H$8)</f>
        <v>3</v>
      </c>
      <c r="K8" s="1048">
        <f>+COUNTIFS($C$3:$C$22,K$6,$F$3:$F$22,H$8)</f>
        <v>0</v>
      </c>
      <c r="L8" s="1048">
        <f>+COUNTIFS($C$3:$C$22,L$6,$F$3:$F$22,H$8)</f>
        <v>1</v>
      </c>
      <c r="M8" s="1048">
        <f>+COUNTIFS($C$3:$C$22,M$6,$F$3:$F$22,H$8)</f>
        <v>1</v>
      </c>
      <c r="O8" s="265" t="s">
        <v>8363</v>
      </c>
      <c r="P8" s="1408">
        <f t="shared" si="2"/>
        <v>20</v>
      </c>
      <c r="Q8" s="1408">
        <f t="shared" si="2"/>
        <v>6</v>
      </c>
      <c r="R8" s="1408">
        <f>+SUM(J91:J94)</f>
        <v>10</v>
      </c>
      <c r="S8" s="1408">
        <f>+SUM(J123:J126)</f>
        <v>1</v>
      </c>
      <c r="T8" s="1408"/>
      <c r="U8" s="1408">
        <f t="shared" si="0"/>
        <v>37</v>
      </c>
    </row>
    <row r="9" spans="1:21" x14ac:dyDescent="0.25">
      <c r="A9" s="1402">
        <v>2087</v>
      </c>
      <c r="B9" s="1402">
        <v>85</v>
      </c>
      <c r="C9" s="1402" t="str">
        <f t="shared" si="1"/>
        <v>PN 10</v>
      </c>
      <c r="D9" s="1402" t="s">
        <v>8096</v>
      </c>
      <c r="E9" s="1055" t="s">
        <v>7102</v>
      </c>
      <c r="F9" s="1403">
        <v>10</v>
      </c>
      <c r="H9" s="1048">
        <v>16</v>
      </c>
      <c r="I9" s="1048">
        <f>+COUNTIFS($C$3:$C$22,I$6,$F$3:$F$22,H$9)</f>
        <v>1</v>
      </c>
      <c r="J9" s="1048">
        <f>+COUNTIFS($C$3:$C$22,J$6,$F$3:$F$22,H$9)</f>
        <v>2</v>
      </c>
      <c r="K9" s="1048">
        <f>+COUNTIFS($C$3:$C$22,K$6,$F$3:$F$22,H$9)</f>
        <v>3</v>
      </c>
      <c r="L9" s="1048">
        <f>+COUNTIFS($C$3:$C$22,L$6,$F$3:$F$22,H$9)</f>
        <v>2</v>
      </c>
      <c r="M9" s="1048">
        <f>+COUNTIFS($C$3:$C$22,M$6,$F$3:$F$22,H$9)</f>
        <v>1</v>
      </c>
      <c r="O9" s="265" t="s">
        <v>8364</v>
      </c>
      <c r="P9" s="1408">
        <f t="shared" si="2"/>
        <v>17</v>
      </c>
      <c r="Q9" s="1408">
        <f t="shared" si="2"/>
        <v>4</v>
      </c>
      <c r="R9" s="1408">
        <f>+SUM(K91:K94)</f>
        <v>10</v>
      </c>
      <c r="S9" s="1408">
        <f>+SUM(K123:K126)</f>
        <v>4</v>
      </c>
      <c r="T9" s="1408"/>
      <c r="U9" s="1408">
        <f t="shared" si="0"/>
        <v>35</v>
      </c>
    </row>
    <row r="10" spans="1:21" x14ac:dyDescent="0.25">
      <c r="A10" s="1402">
        <v>1860</v>
      </c>
      <c r="B10" s="1402">
        <v>107</v>
      </c>
      <c r="C10" s="1402" t="str">
        <f t="shared" si="1"/>
        <v>PN 16</v>
      </c>
      <c r="D10" s="1402" t="s">
        <v>8096</v>
      </c>
      <c r="E10" s="1055" t="s">
        <v>7103</v>
      </c>
      <c r="F10" s="1403">
        <v>14</v>
      </c>
      <c r="H10" s="1048">
        <v>20</v>
      </c>
      <c r="I10" s="1048">
        <f>+COUNTIFS($C$3:$C$22,I$6,$F$3:$F$22,H$10)</f>
        <v>0</v>
      </c>
      <c r="J10" s="1048">
        <f>+COUNTIFS($C$3:$C$22,J$6,$F$3:$F$22,H$10)</f>
        <v>0</v>
      </c>
      <c r="K10" s="1048">
        <f>+COUNTIFS($C$3:$C$22,K$6,$F$3:$F$22,H$10)</f>
        <v>0</v>
      </c>
      <c r="L10" s="1048">
        <f>+COUNTIFS($C$3:$C$22,L$6,$F$3:$F$22,H$10)</f>
        <v>0</v>
      </c>
      <c r="M10" s="1048">
        <f>+COUNTIFS($C$3:$C$22,M$6,$F$3:$F$22,H$10)</f>
        <v>0</v>
      </c>
      <c r="O10" s="265" t="s">
        <v>8365</v>
      </c>
      <c r="P10" s="1408">
        <f t="shared" si="2"/>
        <v>3</v>
      </c>
      <c r="Q10" s="1408">
        <f t="shared" si="2"/>
        <v>3</v>
      </c>
      <c r="R10" s="1408">
        <f>+SUM(L91:L95)</f>
        <v>4</v>
      </c>
      <c r="S10" s="1408">
        <f>+SUM(L123:L126)</f>
        <v>2</v>
      </c>
      <c r="T10" s="1408"/>
      <c r="U10" s="1408">
        <f t="shared" si="0"/>
        <v>12</v>
      </c>
    </row>
    <row r="11" spans="1:21" ht="15.75" thickBot="1" x14ac:dyDescent="0.3">
      <c r="A11" s="1402">
        <v>1811</v>
      </c>
      <c r="B11" s="1402">
        <v>156</v>
      </c>
      <c r="C11" s="1402" t="str">
        <f t="shared" si="1"/>
        <v>PN 16</v>
      </c>
      <c r="D11" s="1402" t="s">
        <v>8096</v>
      </c>
      <c r="E11" s="1055" t="s">
        <v>7104</v>
      </c>
      <c r="F11" s="1403">
        <v>14</v>
      </c>
      <c r="H11" s="1048">
        <v>12</v>
      </c>
      <c r="I11" s="1048">
        <f>+COUNTIFS($C$3:$C$22,I$6,$F$3:$F$22,H$11)</f>
        <v>0</v>
      </c>
      <c r="J11" s="1048">
        <f>+COUNTIFS($C$3:$C$22,J$6,$F$3:$F$22,H$11)</f>
        <v>0</v>
      </c>
      <c r="K11" s="1048">
        <f>+COUNTIFS($C$3:$C$22,K$6,$F$3:$F$22,H$11)</f>
        <v>0</v>
      </c>
      <c r="L11" s="1048">
        <f>+COUNTIFS($C$3:$C$22,L$6,$F$3:$F$22,H$11)</f>
        <v>0</v>
      </c>
      <c r="M11" s="1048">
        <f>+COUNTIFS($C$3:$C$22,M$6,$F$3:$F$22,H$11)</f>
        <v>1</v>
      </c>
      <c r="O11" s="1406" t="s">
        <v>8366</v>
      </c>
      <c r="P11" s="1409">
        <f t="shared" si="2"/>
        <v>7</v>
      </c>
      <c r="Q11" s="1409">
        <f t="shared" si="2"/>
        <v>3</v>
      </c>
      <c r="R11" s="1409">
        <f>+SUM(M91:M95)</f>
        <v>3</v>
      </c>
      <c r="S11" s="1409">
        <f>+SUM(M123:M127)</f>
        <v>2</v>
      </c>
      <c r="T11" s="1409"/>
      <c r="U11" s="1409">
        <f t="shared" si="0"/>
        <v>15</v>
      </c>
    </row>
    <row r="12" spans="1:21" x14ac:dyDescent="0.25">
      <c r="A12" s="1402">
        <v>1704</v>
      </c>
      <c r="B12" s="1402">
        <v>46</v>
      </c>
      <c r="C12" s="1402" t="str">
        <f t="shared" si="1"/>
        <v>PN 10</v>
      </c>
      <c r="D12" s="1402" t="s">
        <v>8096</v>
      </c>
      <c r="E12" s="1055" t="s">
        <v>7105</v>
      </c>
      <c r="F12" s="1403">
        <v>14</v>
      </c>
      <c r="O12" s="265" t="s">
        <v>8367</v>
      </c>
      <c r="P12" s="1408">
        <f>+P2</f>
        <v>9</v>
      </c>
      <c r="Q12" s="1408"/>
      <c r="R12" s="1408">
        <f t="shared" ref="R12:S16" si="3">+R7</f>
        <v>4</v>
      </c>
      <c r="S12" s="1408">
        <f t="shared" si="3"/>
        <v>0</v>
      </c>
      <c r="T12" s="1408"/>
      <c r="U12" s="1408">
        <f t="shared" si="0"/>
        <v>13</v>
      </c>
    </row>
    <row r="13" spans="1:21" x14ac:dyDescent="0.25">
      <c r="A13" s="1402">
        <v>1634</v>
      </c>
      <c r="B13" s="1402">
        <v>116</v>
      </c>
      <c r="C13" s="1402" t="str">
        <f t="shared" si="1"/>
        <v>PN 16</v>
      </c>
      <c r="D13" s="1402" t="s">
        <v>8096</v>
      </c>
      <c r="E13" s="1055" t="s">
        <v>7106</v>
      </c>
      <c r="F13" s="1403">
        <v>14</v>
      </c>
      <c r="O13" s="265" t="s">
        <v>8368</v>
      </c>
      <c r="P13" s="1408">
        <f>+P3</f>
        <v>20</v>
      </c>
      <c r="Q13" s="1408"/>
      <c r="R13" s="1408">
        <f t="shared" si="3"/>
        <v>10</v>
      </c>
      <c r="S13" s="1408">
        <f t="shared" si="3"/>
        <v>1</v>
      </c>
      <c r="T13" s="1408"/>
      <c r="U13" s="1408">
        <f t="shared" si="0"/>
        <v>31</v>
      </c>
    </row>
    <row r="14" spans="1:21" x14ac:dyDescent="0.25">
      <c r="A14" s="1402">
        <v>1433</v>
      </c>
      <c r="B14" s="1402">
        <v>104</v>
      </c>
      <c r="C14" s="1402" t="str">
        <f t="shared" si="1"/>
        <v>PN 16</v>
      </c>
      <c r="D14" s="1402" t="s">
        <v>8096</v>
      </c>
      <c r="E14" s="1055" t="s">
        <v>7107</v>
      </c>
      <c r="F14" s="1403">
        <v>16</v>
      </c>
      <c r="O14" s="265" t="s">
        <v>8369</v>
      </c>
      <c r="P14" s="1408">
        <f>+P4</f>
        <v>17</v>
      </c>
      <c r="Q14" s="1408"/>
      <c r="R14" s="1408">
        <f t="shared" si="3"/>
        <v>10</v>
      </c>
      <c r="S14" s="1408">
        <f t="shared" si="3"/>
        <v>4</v>
      </c>
      <c r="T14" s="1408"/>
      <c r="U14" s="1408">
        <f t="shared" si="0"/>
        <v>31</v>
      </c>
    </row>
    <row r="15" spans="1:21" x14ac:dyDescent="0.25">
      <c r="A15" s="1402">
        <v>1318</v>
      </c>
      <c r="B15" s="1402">
        <v>219</v>
      </c>
      <c r="C15" s="1402" t="str">
        <f t="shared" si="1"/>
        <v>PN 25</v>
      </c>
      <c r="D15" s="1402" t="s">
        <v>8096</v>
      </c>
      <c r="E15" s="1055" t="s">
        <v>7108</v>
      </c>
      <c r="F15" s="1403">
        <v>16</v>
      </c>
      <c r="O15" s="265" t="s">
        <v>8370</v>
      </c>
      <c r="P15" s="1408">
        <f>+P5</f>
        <v>3</v>
      </c>
      <c r="Q15" s="1408"/>
      <c r="R15" s="1408">
        <f t="shared" si="3"/>
        <v>4</v>
      </c>
      <c r="S15" s="1408">
        <f t="shared" si="3"/>
        <v>2</v>
      </c>
      <c r="T15" s="1408"/>
      <c r="U15" s="1408">
        <f t="shared" si="0"/>
        <v>9</v>
      </c>
    </row>
    <row r="16" spans="1:21" ht="15.75" thickBot="1" x14ac:dyDescent="0.3">
      <c r="A16" s="1402">
        <v>1250</v>
      </c>
      <c r="B16" s="1402">
        <v>287</v>
      </c>
      <c r="C16" s="1402" t="str">
        <f t="shared" si="1"/>
        <v>PN 40</v>
      </c>
      <c r="D16" s="1402" t="s">
        <v>8096</v>
      </c>
      <c r="E16" s="1055" t="s">
        <v>7109</v>
      </c>
      <c r="F16" s="1403">
        <v>16</v>
      </c>
      <c r="O16" s="1406" t="s">
        <v>8371</v>
      </c>
      <c r="P16" s="1409">
        <f>+P6</f>
        <v>7</v>
      </c>
      <c r="Q16" s="1409"/>
      <c r="R16" s="1409">
        <f t="shared" si="3"/>
        <v>3</v>
      </c>
      <c r="S16" s="1409">
        <f t="shared" si="3"/>
        <v>2</v>
      </c>
      <c r="T16" s="1409"/>
      <c r="U16" s="1409">
        <f t="shared" si="0"/>
        <v>12</v>
      </c>
    </row>
    <row r="17" spans="1:21" x14ac:dyDescent="0.25">
      <c r="A17" s="1402">
        <v>1181</v>
      </c>
      <c r="B17" s="1402">
        <v>356</v>
      </c>
      <c r="C17" s="1402" t="str">
        <f t="shared" si="1"/>
        <v>PN 40</v>
      </c>
      <c r="D17" s="1402" t="s">
        <v>8096</v>
      </c>
      <c r="E17" s="1055" t="s">
        <v>7110</v>
      </c>
      <c r="F17" s="1403">
        <v>14</v>
      </c>
      <c r="O17" s="265" t="s">
        <v>8372</v>
      </c>
      <c r="P17" s="1408"/>
      <c r="Q17" s="1408"/>
      <c r="R17" s="1408">
        <f t="shared" ref="R17:S21" si="4">+R7</f>
        <v>4</v>
      </c>
      <c r="S17" s="1408">
        <f t="shared" si="4"/>
        <v>0</v>
      </c>
      <c r="T17" s="1408"/>
      <c r="U17" s="1408">
        <f t="shared" si="0"/>
        <v>4</v>
      </c>
    </row>
    <row r="18" spans="1:21" x14ac:dyDescent="0.25">
      <c r="A18" s="1402">
        <v>1133</v>
      </c>
      <c r="B18" s="1402">
        <v>404</v>
      </c>
      <c r="C18" s="1402" t="str">
        <f t="shared" si="1"/>
        <v>PN 60</v>
      </c>
      <c r="D18" s="1402" t="s">
        <v>8096</v>
      </c>
      <c r="E18" s="1055" t="s">
        <v>7111</v>
      </c>
      <c r="F18" s="1403">
        <v>14</v>
      </c>
      <c r="O18" s="265" t="s">
        <v>8373</v>
      </c>
      <c r="P18" s="1408"/>
      <c r="Q18" s="1408"/>
      <c r="R18" s="1408">
        <f t="shared" si="4"/>
        <v>10</v>
      </c>
      <c r="S18" s="1408">
        <f t="shared" si="4"/>
        <v>1</v>
      </c>
      <c r="T18" s="1408"/>
      <c r="U18" s="1408">
        <f t="shared" si="0"/>
        <v>11</v>
      </c>
    </row>
    <row r="19" spans="1:21" x14ac:dyDescent="0.25">
      <c r="A19" s="1402">
        <v>1060</v>
      </c>
      <c r="B19" s="1402">
        <v>477</v>
      </c>
      <c r="C19" s="1402" t="str">
        <f t="shared" si="1"/>
        <v>PN 60</v>
      </c>
      <c r="D19" s="1402" t="s">
        <v>8096</v>
      </c>
      <c r="E19" s="1055" t="s">
        <v>7112</v>
      </c>
      <c r="F19" s="1403">
        <v>12</v>
      </c>
      <c r="O19" s="265" t="s">
        <v>8374</v>
      </c>
      <c r="P19" s="1408"/>
      <c r="Q19" s="1408"/>
      <c r="R19" s="1408">
        <f t="shared" si="4"/>
        <v>10</v>
      </c>
      <c r="S19" s="1408">
        <f t="shared" si="4"/>
        <v>4</v>
      </c>
      <c r="T19" s="1408"/>
      <c r="U19" s="1408">
        <f t="shared" si="0"/>
        <v>14</v>
      </c>
    </row>
    <row r="20" spans="1:21" x14ac:dyDescent="0.25">
      <c r="A20" s="1402">
        <v>1035</v>
      </c>
      <c r="B20" s="1402">
        <v>502</v>
      </c>
      <c r="C20" s="1402" t="str">
        <f t="shared" si="1"/>
        <v>PN 60</v>
      </c>
      <c r="D20" s="1402" t="s">
        <v>8097</v>
      </c>
      <c r="E20" s="1055" t="s">
        <v>7113</v>
      </c>
      <c r="F20" s="1403">
        <v>16</v>
      </c>
      <c r="O20" s="265" t="s">
        <v>8375</v>
      </c>
      <c r="P20" s="1408"/>
      <c r="Q20" s="1408"/>
      <c r="R20" s="1408">
        <f t="shared" si="4"/>
        <v>4</v>
      </c>
      <c r="S20" s="1408">
        <f t="shared" si="4"/>
        <v>2</v>
      </c>
      <c r="T20" s="1408"/>
      <c r="U20" s="1408">
        <f t="shared" si="0"/>
        <v>6</v>
      </c>
    </row>
    <row r="21" spans="1:21" ht="15.75" thickBot="1" x14ac:dyDescent="0.3">
      <c r="A21" s="1402">
        <v>1156</v>
      </c>
      <c r="B21" s="1402">
        <v>381</v>
      </c>
      <c r="C21" s="1402" t="str">
        <f t="shared" si="1"/>
        <v>PN 40</v>
      </c>
      <c r="D21" s="1402" t="s">
        <v>8097</v>
      </c>
      <c r="E21" s="1055" t="s">
        <v>7114</v>
      </c>
      <c r="F21" s="1403">
        <v>16</v>
      </c>
      <c r="O21" s="1406" t="s">
        <v>8376</v>
      </c>
      <c r="P21" s="1409"/>
      <c r="Q21" s="1409"/>
      <c r="R21" s="1409">
        <f t="shared" si="4"/>
        <v>3</v>
      </c>
      <c r="S21" s="1409">
        <f t="shared" si="4"/>
        <v>2</v>
      </c>
      <c r="T21" s="1409"/>
      <c r="U21" s="1409">
        <f t="shared" si="0"/>
        <v>5</v>
      </c>
    </row>
    <row r="22" spans="1:21" x14ac:dyDescent="0.25">
      <c r="A22" s="1402">
        <v>1303</v>
      </c>
      <c r="B22" s="1402">
        <v>234</v>
      </c>
      <c r="C22" s="1402" t="str">
        <f t="shared" si="1"/>
        <v>PN 25</v>
      </c>
      <c r="D22" s="1402" t="s">
        <v>8097</v>
      </c>
      <c r="E22" s="1055" t="s">
        <v>7115</v>
      </c>
      <c r="F22" s="1403">
        <v>16</v>
      </c>
      <c r="O22" s="265" t="s">
        <v>8377</v>
      </c>
      <c r="P22" s="1408"/>
      <c r="Q22" s="1408"/>
      <c r="R22" s="1408"/>
      <c r="S22" s="1408">
        <f>+S8</f>
        <v>1</v>
      </c>
      <c r="T22" s="1408"/>
      <c r="U22" s="1408">
        <f t="shared" si="0"/>
        <v>1</v>
      </c>
    </row>
    <row r="23" spans="1:21" x14ac:dyDescent="0.25">
      <c r="O23" s="265" t="s">
        <v>8378</v>
      </c>
      <c r="P23" s="1408"/>
      <c r="Q23" s="1408"/>
      <c r="R23" s="1408"/>
      <c r="S23" s="1408">
        <f>+S9</f>
        <v>4</v>
      </c>
      <c r="T23" s="1408"/>
      <c r="U23" s="1408">
        <f t="shared" si="0"/>
        <v>4</v>
      </c>
    </row>
    <row r="24" spans="1:21" x14ac:dyDescent="0.25">
      <c r="O24" s="265" t="s">
        <v>8379</v>
      </c>
      <c r="P24" s="1408"/>
      <c r="Q24" s="1408"/>
      <c r="R24" s="1408"/>
      <c r="S24" s="1408">
        <f>+S10</f>
        <v>2</v>
      </c>
      <c r="T24" s="1408"/>
      <c r="U24" s="1408">
        <f t="shared" si="0"/>
        <v>2</v>
      </c>
    </row>
    <row r="25" spans="1:21" ht="15.75" thickBot="1" x14ac:dyDescent="0.3">
      <c r="A25" s="889" t="s">
        <v>8106</v>
      </c>
      <c r="O25" s="1406" t="s">
        <v>8380</v>
      </c>
      <c r="P25" s="1409"/>
      <c r="Q25" s="1409"/>
      <c r="R25" s="1409"/>
      <c r="S25" s="1409">
        <f>+S11</f>
        <v>2</v>
      </c>
      <c r="T25" s="1409"/>
      <c r="U25" s="1409">
        <f t="shared" si="0"/>
        <v>2</v>
      </c>
    </row>
    <row r="26" spans="1:21" s="1047" customFormat="1" x14ac:dyDescent="0.25">
      <c r="A26" s="1056" t="s">
        <v>8094</v>
      </c>
      <c r="B26" s="1056" t="s">
        <v>8095</v>
      </c>
      <c r="C26" s="1056" t="s">
        <v>7099</v>
      </c>
      <c r="D26" s="1056" t="s">
        <v>6734</v>
      </c>
      <c r="E26" s="1056" t="s">
        <v>7079</v>
      </c>
      <c r="O26" s="265" t="s">
        <v>8381</v>
      </c>
      <c r="P26" s="1408">
        <f>+I28</f>
        <v>1</v>
      </c>
      <c r="Q26" s="1408">
        <f>+I7</f>
        <v>2</v>
      </c>
      <c r="R26" s="1408">
        <f>+I91</f>
        <v>1</v>
      </c>
      <c r="S26" s="1408">
        <f>+I123</f>
        <v>0</v>
      </c>
      <c r="T26" s="1408"/>
      <c r="U26" s="1408">
        <f t="shared" si="0"/>
        <v>4</v>
      </c>
    </row>
    <row r="27" spans="1:21" x14ac:dyDescent="0.25">
      <c r="A27" s="1057">
        <v>2550</v>
      </c>
      <c r="B27" s="1055">
        <v>178</v>
      </c>
      <c r="C27" s="1055" t="str">
        <f>+IF(B27&lt;100,"PN 10", IF(B27&lt;160,"PN 16",IF(B27&lt;250,"PN 25",IF(B27&lt;400,"PN 40","PN 60"))))</f>
        <v>PN 25</v>
      </c>
      <c r="D27" s="1055" t="s">
        <v>8339</v>
      </c>
      <c r="E27" s="1404">
        <v>20</v>
      </c>
      <c r="F27" s="1629" t="s">
        <v>9384</v>
      </c>
      <c r="H27" s="1048" t="s">
        <v>7079</v>
      </c>
      <c r="I27" s="1048" t="s">
        <v>8107</v>
      </c>
      <c r="J27" s="1048" t="s">
        <v>8108</v>
      </c>
      <c r="K27" s="1048" t="s">
        <v>8109</v>
      </c>
      <c r="L27" s="1048" t="s">
        <v>8110</v>
      </c>
      <c r="M27" s="1048" t="s">
        <v>8111</v>
      </c>
      <c r="O27" s="265" t="s">
        <v>8382</v>
      </c>
      <c r="P27" s="1408">
        <f>+I29</f>
        <v>6</v>
      </c>
      <c r="Q27" s="1408">
        <f>+I8</f>
        <v>1</v>
      </c>
      <c r="R27" s="1408">
        <f>+I92</f>
        <v>3</v>
      </c>
      <c r="S27" s="1408">
        <f>+I124</f>
        <v>0</v>
      </c>
      <c r="T27" s="1408"/>
      <c r="U27" s="1408">
        <f t="shared" si="0"/>
        <v>10</v>
      </c>
    </row>
    <row r="28" spans="1:21" s="1058" customFormat="1" x14ac:dyDescent="0.25">
      <c r="A28" s="1057">
        <v>2546</v>
      </c>
      <c r="B28" s="1055">
        <v>178</v>
      </c>
      <c r="C28" s="1055" t="str">
        <f>+IF(B28&lt;100,"PN 10", IF(B28&lt;160,"PN 16",IF(B28&lt;250,"PN 25",IF(B28&lt;400,"PN 40","PN 60"))))</f>
        <v>PN 25</v>
      </c>
      <c r="D28" s="1055" t="s">
        <v>8340</v>
      </c>
      <c r="E28" s="1404">
        <v>20</v>
      </c>
      <c r="F28" s="1629" t="s">
        <v>9385</v>
      </c>
      <c r="H28" s="1048">
        <v>10</v>
      </c>
      <c r="I28" s="1048">
        <f t="shared" ref="I28:M31" si="5">+COUNTIFS($C$27:$C$82,I$27,$E$27:$E$82,$H28)</f>
        <v>1</v>
      </c>
      <c r="J28" s="1048">
        <f t="shared" si="5"/>
        <v>2</v>
      </c>
      <c r="K28" s="1048">
        <f t="shared" si="5"/>
        <v>0</v>
      </c>
      <c r="L28" s="1048">
        <f t="shared" si="5"/>
        <v>0</v>
      </c>
      <c r="M28" s="1048">
        <f t="shared" si="5"/>
        <v>0</v>
      </c>
      <c r="O28" s="265" t="s">
        <v>8383</v>
      </c>
      <c r="P28" s="1408">
        <f>+I30</f>
        <v>2</v>
      </c>
      <c r="Q28" s="1408">
        <f>+I9</f>
        <v>1</v>
      </c>
      <c r="R28" s="1408">
        <f>+I93</f>
        <v>0</v>
      </c>
      <c r="S28" s="1408">
        <f>+I125</f>
        <v>0</v>
      </c>
      <c r="T28" s="1408"/>
      <c r="U28" s="1408">
        <f t="shared" si="0"/>
        <v>3</v>
      </c>
    </row>
    <row r="29" spans="1:21" s="1058" customFormat="1" x14ac:dyDescent="0.25">
      <c r="A29" s="1057">
        <v>2562</v>
      </c>
      <c r="B29" s="1055">
        <v>178</v>
      </c>
      <c r="C29" s="1055" t="str">
        <f>+IF(B29&lt;100,"PN 10", IF(B29&lt;160,"PN 16",IF(B29&lt;250,"PN 25",IF(B29&lt;400,"PN 40","PN 60"))))</f>
        <v>PN 25</v>
      </c>
      <c r="D29" s="1055" t="s">
        <v>8341</v>
      </c>
      <c r="E29" s="1404">
        <v>20</v>
      </c>
      <c r="F29" s="1629">
        <v>1400</v>
      </c>
      <c r="H29" s="1048">
        <v>14</v>
      </c>
      <c r="I29" s="1048">
        <f t="shared" si="5"/>
        <v>6</v>
      </c>
      <c r="J29" s="1048">
        <f t="shared" si="5"/>
        <v>2</v>
      </c>
      <c r="K29" s="1048">
        <f t="shared" si="5"/>
        <v>3</v>
      </c>
      <c r="L29" s="1048">
        <f t="shared" si="5"/>
        <v>0</v>
      </c>
      <c r="M29" s="1048">
        <f t="shared" si="5"/>
        <v>4</v>
      </c>
      <c r="O29" s="265" t="s">
        <v>8384</v>
      </c>
      <c r="P29" s="1408">
        <f>+J28</f>
        <v>2</v>
      </c>
      <c r="Q29" s="1408">
        <f>+J7</f>
        <v>1</v>
      </c>
      <c r="R29" s="1408">
        <f>+J91</f>
        <v>1</v>
      </c>
      <c r="S29" s="1408">
        <f>+J123</f>
        <v>0</v>
      </c>
      <c r="T29" s="1408"/>
      <c r="U29" s="1408">
        <f t="shared" si="0"/>
        <v>4</v>
      </c>
    </row>
    <row r="30" spans="1:21" s="1058" customFormat="1" x14ac:dyDescent="0.25">
      <c r="A30" s="1057">
        <v>2710</v>
      </c>
      <c r="B30" s="1055">
        <v>9</v>
      </c>
      <c r="C30" s="1055" t="str">
        <f>+IF(B30&lt;100,"PN 10", IF(B30&lt;160,"PN 16",IF(B30&lt;250,"PN 25",IF(B30&lt;400,"PN 40","PN 60"))))</f>
        <v>PN 10</v>
      </c>
      <c r="D30" s="1055" t="s">
        <v>8087</v>
      </c>
      <c r="E30" s="1399">
        <v>16</v>
      </c>
      <c r="F30" s="1629">
        <v>2240</v>
      </c>
      <c r="H30" s="1048">
        <v>16</v>
      </c>
      <c r="I30" s="1048">
        <f>+COUNTIFS($C$27:$C$82,I$27,$E$27:$E$82,$H30)</f>
        <v>2</v>
      </c>
      <c r="J30" s="1048">
        <f t="shared" si="5"/>
        <v>16</v>
      </c>
      <c r="K30" s="1048">
        <f t="shared" ref="K30:M32" si="6">+COUNTIFS($C$27:$C$82,K$27,$E$27:$E$82,$H30)</f>
        <v>11</v>
      </c>
      <c r="L30" s="1048">
        <f t="shared" si="6"/>
        <v>3</v>
      </c>
      <c r="M30" s="1048">
        <f t="shared" si="6"/>
        <v>2</v>
      </c>
      <c r="O30" s="265" t="s">
        <v>8385</v>
      </c>
      <c r="P30" s="1408">
        <f>+J29</f>
        <v>2</v>
      </c>
      <c r="Q30" s="1408">
        <f>+J8</f>
        <v>3</v>
      </c>
      <c r="R30" s="1408">
        <f>+J92</f>
        <v>1</v>
      </c>
      <c r="S30" s="1408">
        <f>+J124</f>
        <v>0</v>
      </c>
      <c r="T30" s="1408"/>
      <c r="U30" s="1408">
        <f t="shared" si="0"/>
        <v>6</v>
      </c>
    </row>
    <row r="31" spans="1:21" s="1058" customFormat="1" x14ac:dyDescent="0.25">
      <c r="A31" s="1057">
        <v>2546</v>
      </c>
      <c r="B31" s="1055">
        <v>173</v>
      </c>
      <c r="C31" s="1055" t="str">
        <f t="shared" ref="C31:C82" si="7">+IF(B31&lt;100,"PN 10", IF(B31&lt;160,"PN 16",IF(B31&lt;250,"PN 25",IF(B31&lt;400,"PN 40","PN 60"))))</f>
        <v>PN 25</v>
      </c>
      <c r="D31" s="1055" t="s">
        <v>8088</v>
      </c>
      <c r="E31" s="1052">
        <v>16</v>
      </c>
      <c r="F31" s="1629">
        <v>3240</v>
      </c>
      <c r="H31" s="1048">
        <v>20</v>
      </c>
      <c r="I31" s="1048">
        <f>+COUNTIFS($C$27:$C$82,I$27,$E$27:$E$82,$H31)</f>
        <v>0</v>
      </c>
      <c r="J31" s="1048">
        <f t="shared" si="5"/>
        <v>0</v>
      </c>
      <c r="K31" s="1048">
        <f t="shared" si="6"/>
        <v>3</v>
      </c>
      <c r="L31" s="1048">
        <f t="shared" si="6"/>
        <v>0</v>
      </c>
      <c r="M31" s="1048">
        <f t="shared" si="6"/>
        <v>0</v>
      </c>
      <c r="O31" s="265" t="s">
        <v>8386</v>
      </c>
      <c r="P31" s="1408">
        <f>+J30</f>
        <v>16</v>
      </c>
      <c r="Q31" s="1408">
        <f>+J9</f>
        <v>2</v>
      </c>
      <c r="R31" s="1408">
        <f>+J93</f>
        <v>8</v>
      </c>
      <c r="S31" s="1408">
        <f>+J125</f>
        <v>1</v>
      </c>
      <c r="T31" s="1408"/>
      <c r="U31" s="1408">
        <f t="shared" si="0"/>
        <v>27</v>
      </c>
    </row>
    <row r="32" spans="1:21" x14ac:dyDescent="0.25">
      <c r="A32" s="1057">
        <v>2545</v>
      </c>
      <c r="B32" s="1055">
        <v>174</v>
      </c>
      <c r="C32" s="1055" t="str">
        <f t="shared" si="7"/>
        <v>PN 25</v>
      </c>
      <c r="D32" s="1055" t="s">
        <v>8089</v>
      </c>
      <c r="E32" s="1052">
        <v>16</v>
      </c>
      <c r="F32" s="1629">
        <v>3740</v>
      </c>
      <c r="H32" s="1048">
        <v>12</v>
      </c>
      <c r="I32" s="1048">
        <f>+COUNTIFS($C$27:$C$82,I$27,$E$27:$E$82,$H32)</f>
        <v>0</v>
      </c>
      <c r="J32" s="1048">
        <f>+COUNTIFS($C$27:$C$82,J$27,$E$27:$E$82,$H32)</f>
        <v>0</v>
      </c>
      <c r="K32" s="1048">
        <f t="shared" si="6"/>
        <v>0</v>
      </c>
      <c r="L32" s="1048">
        <f t="shared" si="6"/>
        <v>0</v>
      </c>
      <c r="M32" s="1048">
        <f t="shared" si="6"/>
        <v>1</v>
      </c>
      <c r="O32" s="265" t="s">
        <v>8387</v>
      </c>
      <c r="P32" s="1408">
        <f>+K28</f>
        <v>0</v>
      </c>
      <c r="Q32" s="1408">
        <f>+K7</f>
        <v>1</v>
      </c>
      <c r="R32" s="1408">
        <f>+K91</f>
        <v>0</v>
      </c>
      <c r="S32" s="1408">
        <f>+K123</f>
        <v>0</v>
      </c>
      <c r="T32" s="1408"/>
      <c r="U32" s="1408">
        <f t="shared" si="0"/>
        <v>1</v>
      </c>
    </row>
    <row r="33" spans="1:21" x14ac:dyDescent="0.25">
      <c r="A33" s="1057">
        <v>2544</v>
      </c>
      <c r="B33" s="1055">
        <v>175</v>
      </c>
      <c r="C33" s="1055" t="str">
        <f t="shared" si="7"/>
        <v>PN 25</v>
      </c>
      <c r="D33" s="1055" t="s">
        <v>8090</v>
      </c>
      <c r="E33" s="1052">
        <v>16</v>
      </c>
      <c r="F33" s="1629">
        <v>4220</v>
      </c>
      <c r="O33" s="265" t="s">
        <v>8388</v>
      </c>
      <c r="P33" s="1408">
        <f>+K29</f>
        <v>3</v>
      </c>
      <c r="Q33" s="1408">
        <f>+K8</f>
        <v>0</v>
      </c>
      <c r="R33" s="1408">
        <f>+K92</f>
        <v>2</v>
      </c>
      <c r="S33" s="1408">
        <f>+K124</f>
        <v>0</v>
      </c>
      <c r="T33" s="1408"/>
      <c r="U33" s="1408">
        <f t="shared" si="0"/>
        <v>5</v>
      </c>
    </row>
    <row r="34" spans="1:21" x14ac:dyDescent="0.25">
      <c r="A34" s="1057">
        <v>2543</v>
      </c>
      <c r="B34" s="1055">
        <v>176</v>
      </c>
      <c r="C34" s="1055" t="str">
        <f t="shared" si="7"/>
        <v>PN 25</v>
      </c>
      <c r="D34" s="1055" t="s">
        <v>8091</v>
      </c>
      <c r="E34" s="1052">
        <v>16</v>
      </c>
      <c r="F34" s="1629">
        <v>4740</v>
      </c>
      <c r="O34" s="265" t="s">
        <v>8389</v>
      </c>
      <c r="P34" s="1408">
        <f>+K30</f>
        <v>11</v>
      </c>
      <c r="Q34" s="1408">
        <f>+K9</f>
        <v>3</v>
      </c>
      <c r="R34" s="1408">
        <f>+K93</f>
        <v>4</v>
      </c>
      <c r="S34" s="1408">
        <f>+K125</f>
        <v>2</v>
      </c>
      <c r="T34" s="1408"/>
      <c r="U34" s="1408">
        <f t="shared" si="0"/>
        <v>20</v>
      </c>
    </row>
    <row r="35" spans="1:21" x14ac:dyDescent="0.25">
      <c r="A35" s="1057">
        <v>2540.9</v>
      </c>
      <c r="B35" s="1055">
        <v>178.09999999999991</v>
      </c>
      <c r="C35" s="1055" t="str">
        <f t="shared" si="7"/>
        <v>PN 25</v>
      </c>
      <c r="D35" s="1055" t="s">
        <v>8092</v>
      </c>
      <c r="E35" s="1052">
        <v>16</v>
      </c>
      <c r="F35" s="1629">
        <v>5086.0169999999998</v>
      </c>
      <c r="O35" s="265" t="s">
        <v>8465</v>
      </c>
      <c r="P35" s="1408">
        <f>+K31</f>
        <v>3</v>
      </c>
      <c r="Q35" s="1408">
        <f>+K10</f>
        <v>0</v>
      </c>
      <c r="R35" s="1408">
        <f>+K94</f>
        <v>4</v>
      </c>
      <c r="S35" s="1408">
        <f>+K126</f>
        <v>2</v>
      </c>
      <c r="T35" s="1408"/>
      <c r="U35" s="1408">
        <f t="shared" si="0"/>
        <v>9</v>
      </c>
    </row>
    <row r="36" spans="1:21" x14ac:dyDescent="0.25">
      <c r="A36" s="1057">
        <v>2542</v>
      </c>
      <c r="B36" s="1055">
        <v>177</v>
      </c>
      <c r="C36" s="1055" t="str">
        <f t="shared" si="7"/>
        <v>PN 25</v>
      </c>
      <c r="D36" s="1055" t="s">
        <v>8093</v>
      </c>
      <c r="E36" s="1052">
        <v>16</v>
      </c>
      <c r="F36" s="1629">
        <v>5492.3190000000004</v>
      </c>
      <c r="O36" s="265" t="s">
        <v>8390</v>
      </c>
      <c r="P36" s="1408">
        <f>+L28</f>
        <v>0</v>
      </c>
      <c r="Q36" s="1408">
        <f>+L7</f>
        <v>0</v>
      </c>
      <c r="R36" s="1408">
        <f>+L91</f>
        <v>0</v>
      </c>
      <c r="S36" s="1408">
        <f>+L123</f>
        <v>0</v>
      </c>
      <c r="T36" s="1408"/>
      <c r="U36" s="1408">
        <f t="shared" si="0"/>
        <v>0</v>
      </c>
    </row>
    <row r="37" spans="1:21" x14ac:dyDescent="0.25">
      <c r="A37" s="1057">
        <v>2541</v>
      </c>
      <c r="B37" s="1055">
        <v>178</v>
      </c>
      <c r="C37" s="1055" t="str">
        <f t="shared" si="7"/>
        <v>PN 25</v>
      </c>
      <c r="D37" s="1055" t="s">
        <v>8098</v>
      </c>
      <c r="E37" s="1052">
        <v>16</v>
      </c>
      <c r="F37" s="1629">
        <v>6000</v>
      </c>
      <c r="O37" s="265" t="s">
        <v>8391</v>
      </c>
      <c r="P37" s="1408">
        <f>+L29</f>
        <v>0</v>
      </c>
      <c r="Q37" s="1408">
        <f>+L8</f>
        <v>1</v>
      </c>
      <c r="R37" s="1408">
        <f>+L92</f>
        <v>1</v>
      </c>
      <c r="S37" s="1408">
        <f>+L124</f>
        <v>0</v>
      </c>
      <c r="T37" s="1408"/>
      <c r="U37" s="1408">
        <f t="shared" si="0"/>
        <v>2</v>
      </c>
    </row>
    <row r="38" spans="1:21" x14ac:dyDescent="0.25">
      <c r="A38" s="1057">
        <v>2543</v>
      </c>
      <c r="B38" s="1055">
        <v>176</v>
      </c>
      <c r="C38" s="1055" t="str">
        <f t="shared" si="7"/>
        <v>PN 25</v>
      </c>
      <c r="D38" s="1055" t="s">
        <v>8099</v>
      </c>
      <c r="E38" s="1052">
        <v>16</v>
      </c>
      <c r="F38" s="1629">
        <v>6548.0556999999999</v>
      </c>
      <c r="O38" s="265" t="s">
        <v>8392</v>
      </c>
      <c r="P38" s="1408">
        <f>+L30</f>
        <v>3</v>
      </c>
      <c r="Q38" s="1408">
        <f>+L9</f>
        <v>2</v>
      </c>
      <c r="R38" s="1408">
        <f>+L93</f>
        <v>3</v>
      </c>
      <c r="S38" s="1408">
        <f>+L125</f>
        <v>2</v>
      </c>
      <c r="T38" s="1408"/>
      <c r="U38" s="1408">
        <f t="shared" si="0"/>
        <v>10</v>
      </c>
    </row>
    <row r="39" spans="1:21" x14ac:dyDescent="0.25">
      <c r="A39" s="1057">
        <v>2553</v>
      </c>
      <c r="B39" s="1055">
        <v>166</v>
      </c>
      <c r="C39" s="1055" t="str">
        <f t="shared" si="7"/>
        <v>PN 25</v>
      </c>
      <c r="D39" s="1055" t="s">
        <v>8100</v>
      </c>
      <c r="E39" s="1052">
        <v>16</v>
      </c>
      <c r="F39" s="1629">
        <v>7456.8959999999997</v>
      </c>
      <c r="O39" s="265" t="s">
        <v>8468</v>
      </c>
      <c r="P39" s="1408">
        <f>+M29</f>
        <v>4</v>
      </c>
      <c r="Q39" s="1408">
        <f>+M8</f>
        <v>1</v>
      </c>
      <c r="R39" s="1408">
        <f>+M92</f>
        <v>1</v>
      </c>
      <c r="S39" s="1408">
        <f>+M124</f>
        <v>1</v>
      </c>
      <c r="T39" s="1408"/>
      <c r="U39" s="1408">
        <f t="shared" si="0"/>
        <v>7</v>
      </c>
    </row>
    <row r="40" spans="1:21" x14ac:dyDescent="0.25">
      <c r="A40" s="1057">
        <v>2565</v>
      </c>
      <c r="B40" s="1055">
        <v>154</v>
      </c>
      <c r="C40" s="1055" t="str">
        <f t="shared" si="7"/>
        <v>PN 16</v>
      </c>
      <c r="D40" s="1055" t="s">
        <v>8101</v>
      </c>
      <c r="E40" s="1052">
        <v>16</v>
      </c>
      <c r="F40" s="1629">
        <v>8142.6490000000003</v>
      </c>
      <c r="O40" s="265" t="s">
        <v>8469</v>
      </c>
      <c r="P40" s="1408">
        <f>+M30</f>
        <v>2</v>
      </c>
      <c r="Q40" s="1408">
        <f>+M9</f>
        <v>1</v>
      </c>
      <c r="R40" s="1408">
        <f>+M93</f>
        <v>0</v>
      </c>
      <c r="S40" s="1408">
        <f>+M125</f>
        <v>0</v>
      </c>
      <c r="T40" s="1408"/>
      <c r="U40" s="1408">
        <f t="shared" si="0"/>
        <v>3</v>
      </c>
    </row>
    <row r="41" spans="1:21" ht="15.75" thickBot="1" x14ac:dyDescent="0.3">
      <c r="A41" s="1057">
        <v>2571</v>
      </c>
      <c r="B41" s="1055">
        <v>148</v>
      </c>
      <c r="C41" s="1055" t="str">
        <f t="shared" si="7"/>
        <v>PN 16</v>
      </c>
      <c r="D41" s="1055" t="s">
        <v>8102</v>
      </c>
      <c r="E41" s="1052">
        <v>16</v>
      </c>
      <c r="F41" s="1629">
        <v>8625.0249999999996</v>
      </c>
      <c r="O41" s="1406" t="s">
        <v>8393</v>
      </c>
      <c r="P41" s="1409">
        <f>+M32</f>
        <v>1</v>
      </c>
      <c r="Q41" s="1409">
        <f>+M11</f>
        <v>1</v>
      </c>
      <c r="R41" s="1409">
        <f>+M95</f>
        <v>2</v>
      </c>
      <c r="S41" s="1409">
        <f>+M127</f>
        <v>1</v>
      </c>
      <c r="T41" s="1409"/>
      <c r="U41" s="1409">
        <f t="shared" si="0"/>
        <v>5</v>
      </c>
    </row>
    <row r="42" spans="1:21" x14ac:dyDescent="0.25">
      <c r="A42" s="1057">
        <v>2561</v>
      </c>
      <c r="B42" s="1055">
        <v>158</v>
      </c>
      <c r="C42" s="1055" t="str">
        <f t="shared" si="7"/>
        <v>PN 16</v>
      </c>
      <c r="D42" s="1055" t="s">
        <v>8103</v>
      </c>
      <c r="E42" s="1052">
        <v>16</v>
      </c>
      <c r="F42" s="1629">
        <v>8999.6620000000003</v>
      </c>
      <c r="O42" s="265" t="s">
        <v>8394</v>
      </c>
      <c r="P42" s="1408">
        <f t="shared" ref="P42:P47" si="8">+P26</f>
        <v>1</v>
      </c>
      <c r="Q42" s="1408"/>
      <c r="R42" s="1408">
        <f t="shared" ref="R42:S47" si="9">+R26</f>
        <v>1</v>
      </c>
      <c r="S42" s="1408">
        <f t="shared" si="9"/>
        <v>0</v>
      </c>
      <c r="T42" s="1408"/>
      <c r="U42" s="1408">
        <f t="shared" si="0"/>
        <v>2</v>
      </c>
    </row>
    <row r="43" spans="1:21" x14ac:dyDescent="0.25">
      <c r="A43" s="1057">
        <v>2577</v>
      </c>
      <c r="B43" s="1055">
        <v>142</v>
      </c>
      <c r="C43" s="1055" t="str">
        <f t="shared" si="7"/>
        <v>PN 16</v>
      </c>
      <c r="D43" s="1055" t="s">
        <v>8104</v>
      </c>
      <c r="E43" s="1052">
        <v>16</v>
      </c>
      <c r="F43" s="1629">
        <v>9724.75</v>
      </c>
      <c r="O43" s="265" t="s">
        <v>8395</v>
      </c>
      <c r="P43" s="1408">
        <f t="shared" si="8"/>
        <v>6</v>
      </c>
      <c r="Q43" s="1408"/>
      <c r="R43" s="1408">
        <f t="shared" si="9"/>
        <v>3</v>
      </c>
      <c r="S43" s="1408">
        <f t="shared" si="9"/>
        <v>0</v>
      </c>
      <c r="T43" s="1408"/>
      <c r="U43" s="1408">
        <f t="shared" si="0"/>
        <v>9</v>
      </c>
    </row>
    <row r="44" spans="1:21" x14ac:dyDescent="0.25">
      <c r="A44" s="1057">
        <v>2578</v>
      </c>
      <c r="B44" s="1055">
        <v>141</v>
      </c>
      <c r="C44" s="1055" t="str">
        <f t="shared" si="7"/>
        <v>PN 16</v>
      </c>
      <c r="D44" s="1055" t="s">
        <v>7172</v>
      </c>
      <c r="E44" s="1052">
        <v>16</v>
      </c>
      <c r="F44" s="1629">
        <v>9979.6710000000003</v>
      </c>
      <c r="O44" s="265" t="s">
        <v>8396</v>
      </c>
      <c r="P44" s="1408">
        <f t="shared" si="8"/>
        <v>2</v>
      </c>
      <c r="Q44" s="1408"/>
      <c r="R44" s="1408">
        <f t="shared" si="9"/>
        <v>0</v>
      </c>
      <c r="S44" s="1408">
        <f t="shared" si="9"/>
        <v>0</v>
      </c>
      <c r="T44" s="1408"/>
      <c r="U44" s="1408">
        <f t="shared" si="0"/>
        <v>2</v>
      </c>
    </row>
    <row r="45" spans="1:21" x14ac:dyDescent="0.25">
      <c r="A45" s="1057">
        <v>2579</v>
      </c>
      <c r="B45" s="1055">
        <v>140</v>
      </c>
      <c r="C45" s="1055" t="str">
        <f t="shared" si="7"/>
        <v>PN 16</v>
      </c>
      <c r="D45" s="1055" t="s">
        <v>8148</v>
      </c>
      <c r="E45" s="1052">
        <v>16</v>
      </c>
      <c r="F45" s="1629">
        <v>10499.871999999999</v>
      </c>
      <c r="O45" s="265" t="s">
        <v>8397</v>
      </c>
      <c r="P45" s="1408">
        <f t="shared" si="8"/>
        <v>2</v>
      </c>
      <c r="Q45" s="1408"/>
      <c r="R45" s="1408">
        <f t="shared" si="9"/>
        <v>1</v>
      </c>
      <c r="S45" s="1408">
        <f t="shared" si="9"/>
        <v>0</v>
      </c>
      <c r="T45" s="1408"/>
      <c r="U45" s="1408">
        <f t="shared" si="0"/>
        <v>3</v>
      </c>
    </row>
    <row r="46" spans="1:21" x14ac:dyDescent="0.25">
      <c r="A46" s="1057">
        <v>2580</v>
      </c>
      <c r="B46" s="1055">
        <v>139</v>
      </c>
      <c r="C46" s="1055" t="str">
        <f t="shared" si="7"/>
        <v>PN 16</v>
      </c>
      <c r="D46" s="1055" t="s">
        <v>8149</v>
      </c>
      <c r="E46" s="1052">
        <v>16</v>
      </c>
      <c r="F46" s="1629">
        <v>10927.067999999999</v>
      </c>
      <c r="O46" s="265" t="s">
        <v>8398</v>
      </c>
      <c r="P46" s="1408">
        <f t="shared" si="8"/>
        <v>2</v>
      </c>
      <c r="Q46" s="1408"/>
      <c r="R46" s="1408">
        <f t="shared" si="9"/>
        <v>1</v>
      </c>
      <c r="S46" s="1408">
        <f t="shared" si="9"/>
        <v>0</v>
      </c>
      <c r="T46" s="1408"/>
      <c r="U46" s="1408">
        <f t="shared" si="0"/>
        <v>3</v>
      </c>
    </row>
    <row r="47" spans="1:21" x14ac:dyDescent="0.25">
      <c r="A47" s="1057">
        <v>2580</v>
      </c>
      <c r="B47" s="1055">
        <v>139</v>
      </c>
      <c r="C47" s="1055" t="str">
        <f t="shared" si="7"/>
        <v>PN 16</v>
      </c>
      <c r="D47" s="1055" t="s">
        <v>8150</v>
      </c>
      <c r="E47" s="1052">
        <v>16</v>
      </c>
      <c r="F47" s="1629">
        <v>11188.763000000001</v>
      </c>
      <c r="O47" s="265" t="s">
        <v>8399</v>
      </c>
      <c r="P47" s="1408">
        <f t="shared" si="8"/>
        <v>16</v>
      </c>
      <c r="Q47" s="1408"/>
      <c r="R47" s="1408">
        <f t="shared" si="9"/>
        <v>8</v>
      </c>
      <c r="S47" s="1408">
        <f t="shared" si="9"/>
        <v>1</v>
      </c>
      <c r="T47" s="1408"/>
      <c r="U47" s="1408">
        <f t="shared" si="0"/>
        <v>25</v>
      </c>
    </row>
    <row r="48" spans="1:21" x14ac:dyDescent="0.25">
      <c r="A48" s="1057">
        <v>2573</v>
      </c>
      <c r="B48" s="1055">
        <v>146</v>
      </c>
      <c r="C48" s="1055" t="str">
        <f t="shared" si="7"/>
        <v>PN 16</v>
      </c>
      <c r="D48" s="1055" t="s">
        <v>8151</v>
      </c>
      <c r="E48" s="1052">
        <v>16</v>
      </c>
      <c r="F48" s="1629">
        <v>11588.936</v>
      </c>
      <c r="O48" s="265" t="s">
        <v>8400</v>
      </c>
      <c r="P48" s="1408">
        <f>+P33</f>
        <v>3</v>
      </c>
      <c r="Q48" s="1408"/>
      <c r="R48" s="1408">
        <f t="shared" ref="R48:S50" si="10">+R33</f>
        <v>2</v>
      </c>
      <c r="S48" s="1408">
        <f t="shared" si="10"/>
        <v>0</v>
      </c>
      <c r="T48" s="1408"/>
      <c r="U48" s="1408">
        <f t="shared" si="0"/>
        <v>5</v>
      </c>
    </row>
    <row r="49" spans="1:21" x14ac:dyDescent="0.25">
      <c r="A49" s="1057">
        <v>2566</v>
      </c>
      <c r="B49" s="1055">
        <v>153</v>
      </c>
      <c r="C49" s="1055" t="str">
        <f t="shared" si="7"/>
        <v>PN 16</v>
      </c>
      <c r="D49" s="1055" t="s">
        <v>8152</v>
      </c>
      <c r="E49" s="1052">
        <v>16</v>
      </c>
      <c r="F49" s="1629">
        <v>12067.955</v>
      </c>
      <c r="O49" s="265" t="s">
        <v>8401</v>
      </c>
      <c r="P49" s="1408">
        <f>+P34</f>
        <v>11</v>
      </c>
      <c r="Q49" s="1408"/>
      <c r="R49" s="1408">
        <f t="shared" si="10"/>
        <v>4</v>
      </c>
      <c r="S49" s="1408">
        <f t="shared" si="10"/>
        <v>2</v>
      </c>
      <c r="T49" s="1408"/>
      <c r="U49" s="1408">
        <f t="shared" si="0"/>
        <v>17</v>
      </c>
    </row>
    <row r="50" spans="1:21" x14ac:dyDescent="0.25">
      <c r="A50" s="1057">
        <v>2575</v>
      </c>
      <c r="B50" s="1055">
        <v>144</v>
      </c>
      <c r="C50" s="1055" t="str">
        <f t="shared" si="7"/>
        <v>PN 16</v>
      </c>
      <c r="D50" s="1055" t="s">
        <v>8153</v>
      </c>
      <c r="E50" s="1052">
        <v>16</v>
      </c>
      <c r="F50" s="1629">
        <v>13002.598</v>
      </c>
      <c r="O50" s="265" t="s">
        <v>8466</v>
      </c>
      <c r="P50" s="1408">
        <f>+P35</f>
        <v>3</v>
      </c>
      <c r="Q50" s="1408"/>
      <c r="R50" s="1408">
        <f t="shared" si="10"/>
        <v>4</v>
      </c>
      <c r="S50" s="1408">
        <f t="shared" si="10"/>
        <v>2</v>
      </c>
      <c r="T50" s="1408"/>
      <c r="U50" s="1408">
        <f t="shared" si="0"/>
        <v>9</v>
      </c>
    </row>
    <row r="51" spans="1:21" x14ac:dyDescent="0.25">
      <c r="A51" s="1057">
        <v>2579</v>
      </c>
      <c r="B51" s="1055">
        <v>140</v>
      </c>
      <c r="C51" s="1055" t="str">
        <f t="shared" si="7"/>
        <v>PN 16</v>
      </c>
      <c r="D51" s="1055" t="s">
        <v>8154</v>
      </c>
      <c r="E51" s="1052">
        <v>16</v>
      </c>
      <c r="F51" s="1629">
        <v>13294.255999999999</v>
      </c>
      <c r="O51" s="265" t="s">
        <v>8402</v>
      </c>
      <c r="P51" s="1408">
        <f>+P37</f>
        <v>0</v>
      </c>
      <c r="Q51" s="1408"/>
      <c r="R51" s="1408">
        <f t="shared" ref="R51:S53" si="11">+R37</f>
        <v>1</v>
      </c>
      <c r="S51" s="1408">
        <f t="shared" si="11"/>
        <v>0</v>
      </c>
      <c r="T51" s="1408"/>
      <c r="U51" s="1408">
        <f t="shared" si="0"/>
        <v>1</v>
      </c>
    </row>
    <row r="52" spans="1:21" x14ac:dyDescent="0.25">
      <c r="A52" s="1057">
        <v>2579</v>
      </c>
      <c r="B52" s="1055">
        <v>140</v>
      </c>
      <c r="C52" s="1055" t="str">
        <f t="shared" si="7"/>
        <v>PN 16</v>
      </c>
      <c r="D52" s="1055" t="s">
        <v>8155</v>
      </c>
      <c r="E52" s="1052">
        <v>16</v>
      </c>
      <c r="F52" s="1629">
        <v>14003.168</v>
      </c>
      <c r="O52" s="265" t="s">
        <v>8403</v>
      </c>
      <c r="P52" s="1408">
        <f>+P38</f>
        <v>3</v>
      </c>
      <c r="Q52" s="1408"/>
      <c r="R52" s="1408">
        <f t="shared" si="11"/>
        <v>3</v>
      </c>
      <c r="S52" s="1408">
        <f t="shared" si="11"/>
        <v>2</v>
      </c>
      <c r="T52" s="1408"/>
      <c r="U52" s="1408">
        <f t="shared" si="0"/>
        <v>8</v>
      </c>
    </row>
    <row r="53" spans="1:21" x14ac:dyDescent="0.25">
      <c r="A53" s="1057">
        <v>2579</v>
      </c>
      <c r="B53" s="1055">
        <v>140</v>
      </c>
      <c r="C53" s="1055" t="str">
        <f t="shared" si="7"/>
        <v>PN 16</v>
      </c>
      <c r="D53" s="1055" t="s">
        <v>8156</v>
      </c>
      <c r="E53" s="1052">
        <v>16</v>
      </c>
      <c r="F53" s="1629">
        <v>14492.468000000001</v>
      </c>
      <c r="O53" s="265" t="s">
        <v>8470</v>
      </c>
      <c r="P53" s="1408">
        <f>+P39</f>
        <v>4</v>
      </c>
      <c r="Q53" s="1039"/>
      <c r="R53" s="1408">
        <f t="shared" si="11"/>
        <v>1</v>
      </c>
      <c r="S53" s="1408">
        <f t="shared" si="11"/>
        <v>1</v>
      </c>
      <c r="T53" s="1039"/>
      <c r="U53" s="1039">
        <f t="shared" si="0"/>
        <v>6</v>
      </c>
    </row>
    <row r="54" spans="1:21" x14ac:dyDescent="0.25">
      <c r="A54" s="1057">
        <v>2640</v>
      </c>
      <c r="B54" s="1055">
        <v>79</v>
      </c>
      <c r="C54" s="1055" t="str">
        <f t="shared" si="7"/>
        <v>PN 10</v>
      </c>
      <c r="D54" s="1055" t="s">
        <v>8157</v>
      </c>
      <c r="E54" s="1052">
        <v>16</v>
      </c>
      <c r="F54" s="1629">
        <v>15761.528</v>
      </c>
      <c r="O54" s="265" t="s">
        <v>8404</v>
      </c>
      <c r="P54" s="1408">
        <f t="shared" ref="P54:P59" si="12">+P26</f>
        <v>1</v>
      </c>
      <c r="Q54" s="1408"/>
      <c r="R54" s="1408">
        <f t="shared" ref="R54:S59" si="13">+R26</f>
        <v>1</v>
      </c>
      <c r="S54" s="1408">
        <f t="shared" si="13"/>
        <v>0</v>
      </c>
      <c r="T54" s="1408"/>
      <c r="U54" s="1408">
        <f t="shared" ref="U54:U93" si="14">+SUM(P54:T54)</f>
        <v>2</v>
      </c>
    </row>
    <row r="55" spans="1:21" x14ac:dyDescent="0.25">
      <c r="A55" s="1057">
        <v>2583</v>
      </c>
      <c r="B55" s="1055">
        <v>60</v>
      </c>
      <c r="C55" s="1055" t="str">
        <f t="shared" si="7"/>
        <v>PN 10</v>
      </c>
      <c r="D55" s="1055" t="s">
        <v>7098</v>
      </c>
      <c r="E55" s="1052">
        <v>10</v>
      </c>
      <c r="F55" s="1629">
        <v>16453.437999999998</v>
      </c>
      <c r="O55" s="265" t="s">
        <v>8405</v>
      </c>
      <c r="P55" s="1408">
        <f t="shared" si="12"/>
        <v>6</v>
      </c>
      <c r="Q55" s="1408"/>
      <c r="R55" s="1408">
        <f t="shared" si="13"/>
        <v>3</v>
      </c>
      <c r="S55" s="1408">
        <f t="shared" si="13"/>
        <v>0</v>
      </c>
      <c r="T55" s="1408"/>
      <c r="U55" s="1408">
        <f t="shared" si="14"/>
        <v>9</v>
      </c>
    </row>
    <row r="56" spans="1:21" x14ac:dyDescent="0.25">
      <c r="A56" s="1057">
        <v>2532</v>
      </c>
      <c r="B56" s="1055">
        <v>111</v>
      </c>
      <c r="C56" s="1055" t="str">
        <f t="shared" si="7"/>
        <v>PN 16</v>
      </c>
      <c r="D56" s="1055" t="s">
        <v>7100</v>
      </c>
      <c r="E56" s="1052">
        <v>10</v>
      </c>
      <c r="F56" s="1629">
        <v>16959.044000000002</v>
      </c>
      <c r="O56" s="265" t="s">
        <v>8406</v>
      </c>
      <c r="P56" s="1408">
        <f t="shared" si="12"/>
        <v>2</v>
      </c>
      <c r="Q56" s="1408"/>
      <c r="R56" s="1408">
        <f t="shared" si="13"/>
        <v>0</v>
      </c>
      <c r="S56" s="1408">
        <f t="shared" si="13"/>
        <v>0</v>
      </c>
      <c r="T56" s="1408"/>
      <c r="U56" s="1408">
        <f t="shared" si="14"/>
        <v>2</v>
      </c>
    </row>
    <row r="57" spans="1:21" x14ac:dyDescent="0.25">
      <c r="A57" s="1057">
        <v>2349</v>
      </c>
      <c r="B57" s="1055">
        <v>41</v>
      </c>
      <c r="C57" s="1055" t="str">
        <f t="shared" si="7"/>
        <v>PN 10</v>
      </c>
      <c r="D57" s="1055" t="s">
        <v>7101</v>
      </c>
      <c r="E57" s="1052">
        <v>14</v>
      </c>
      <c r="F57" s="1629">
        <v>18729.794999999998</v>
      </c>
      <c r="O57" s="265" t="s">
        <v>8407</v>
      </c>
      <c r="P57" s="1408">
        <f t="shared" si="12"/>
        <v>2</v>
      </c>
      <c r="Q57" s="1408"/>
      <c r="R57" s="1408">
        <f t="shared" si="13"/>
        <v>1</v>
      </c>
      <c r="S57" s="1408">
        <f t="shared" si="13"/>
        <v>0</v>
      </c>
      <c r="T57" s="1408"/>
      <c r="U57" s="1408">
        <f t="shared" si="14"/>
        <v>3</v>
      </c>
    </row>
    <row r="58" spans="1:21" x14ac:dyDescent="0.25">
      <c r="A58" s="1057">
        <v>2281</v>
      </c>
      <c r="B58" s="1055">
        <v>109</v>
      </c>
      <c r="C58" s="1055" t="str">
        <f t="shared" si="7"/>
        <v>PN 16</v>
      </c>
      <c r="D58" s="1055" t="s">
        <v>7102</v>
      </c>
      <c r="E58" s="1052">
        <v>10</v>
      </c>
      <c r="F58" s="1629">
        <v>19612.695</v>
      </c>
      <c r="O58" s="265" t="s">
        <v>8408</v>
      </c>
      <c r="P58" s="1408">
        <f t="shared" si="12"/>
        <v>2</v>
      </c>
      <c r="Q58" s="1408"/>
      <c r="R58" s="1408">
        <f t="shared" si="13"/>
        <v>1</v>
      </c>
      <c r="S58" s="1408">
        <f t="shared" si="13"/>
        <v>0</v>
      </c>
      <c r="T58" s="1408"/>
      <c r="U58" s="1408">
        <f t="shared" si="14"/>
        <v>3</v>
      </c>
    </row>
    <row r="59" spans="1:21" x14ac:dyDescent="0.25">
      <c r="A59" s="1057">
        <v>2209</v>
      </c>
      <c r="B59" s="1055">
        <v>181</v>
      </c>
      <c r="C59" s="1055" t="str">
        <f t="shared" si="7"/>
        <v>PN 25</v>
      </c>
      <c r="D59" s="1055" t="s">
        <v>7103</v>
      </c>
      <c r="E59" s="1052">
        <v>14</v>
      </c>
      <c r="F59" s="1629">
        <v>20576.087</v>
      </c>
      <c r="O59" s="265" t="s">
        <v>8409</v>
      </c>
      <c r="P59" s="1408">
        <f t="shared" si="12"/>
        <v>16</v>
      </c>
      <c r="Q59" s="1408"/>
      <c r="R59" s="1408">
        <f t="shared" si="13"/>
        <v>8</v>
      </c>
      <c r="S59" s="1408">
        <f t="shared" si="13"/>
        <v>1</v>
      </c>
      <c r="T59" s="1408"/>
      <c r="U59" s="1408">
        <f t="shared" si="14"/>
        <v>25</v>
      </c>
    </row>
    <row r="60" spans="1:21" x14ac:dyDescent="0.25">
      <c r="A60" s="1057">
        <v>2205</v>
      </c>
      <c r="B60" s="1055">
        <v>185</v>
      </c>
      <c r="C60" s="1055" t="str">
        <f t="shared" si="7"/>
        <v>PN 25</v>
      </c>
      <c r="D60" s="1055" t="s">
        <v>7104</v>
      </c>
      <c r="E60" s="1052">
        <v>14</v>
      </c>
      <c r="F60" s="1629">
        <v>20835.705000000002</v>
      </c>
      <c r="O60" s="265" t="s">
        <v>8410</v>
      </c>
      <c r="P60" s="1408">
        <f>+P33</f>
        <v>3</v>
      </c>
      <c r="Q60" s="1408"/>
      <c r="R60" s="1408">
        <f t="shared" ref="R60:S62" si="15">+R33</f>
        <v>2</v>
      </c>
      <c r="S60" s="1408">
        <f t="shared" si="15"/>
        <v>0</v>
      </c>
      <c r="T60" s="1408"/>
      <c r="U60" s="1408">
        <f t="shared" si="14"/>
        <v>5</v>
      </c>
    </row>
    <row r="61" spans="1:21" x14ac:dyDescent="0.25">
      <c r="A61" s="1057">
        <v>2124</v>
      </c>
      <c r="B61" s="1055">
        <v>48</v>
      </c>
      <c r="C61" s="1055" t="str">
        <f t="shared" si="7"/>
        <v>PN 10</v>
      </c>
      <c r="D61" s="1055" t="s">
        <v>7105</v>
      </c>
      <c r="E61" s="1052">
        <v>14</v>
      </c>
      <c r="F61" s="1629">
        <v>21620.031999999999</v>
      </c>
      <c r="O61" s="265" t="s">
        <v>8411</v>
      </c>
      <c r="P61" s="1408">
        <f>+P34</f>
        <v>11</v>
      </c>
      <c r="Q61" s="1408"/>
      <c r="R61" s="1408">
        <f t="shared" si="15"/>
        <v>4</v>
      </c>
      <c r="S61" s="1408">
        <f t="shared" si="15"/>
        <v>2</v>
      </c>
      <c r="T61" s="1408"/>
      <c r="U61" s="1408">
        <f t="shared" si="14"/>
        <v>17</v>
      </c>
    </row>
    <row r="62" spans="1:21" x14ac:dyDescent="0.25">
      <c r="A62" s="1057">
        <v>2021</v>
      </c>
      <c r="B62" s="1055">
        <v>151</v>
      </c>
      <c r="C62" s="1055" t="str">
        <f t="shared" si="7"/>
        <v>PN 16</v>
      </c>
      <c r="D62" s="1055" t="s">
        <v>7106</v>
      </c>
      <c r="E62" s="1052">
        <v>14</v>
      </c>
      <c r="F62" s="1629">
        <v>22599.99</v>
      </c>
      <c r="O62" s="265" t="s">
        <v>8467</v>
      </c>
      <c r="P62" s="1408">
        <f>+P35</f>
        <v>3</v>
      </c>
      <c r="Q62" s="1408"/>
      <c r="R62" s="1408">
        <f t="shared" si="15"/>
        <v>4</v>
      </c>
      <c r="S62" s="1408">
        <f t="shared" si="15"/>
        <v>2</v>
      </c>
      <c r="T62" s="1408"/>
      <c r="U62" s="1408">
        <f t="shared" si="14"/>
        <v>9</v>
      </c>
    </row>
    <row r="63" spans="1:21" x14ac:dyDescent="0.25">
      <c r="A63" s="1057">
        <v>1882</v>
      </c>
      <c r="B63" s="1055">
        <v>85</v>
      </c>
      <c r="C63" s="1055" t="str">
        <f t="shared" si="7"/>
        <v>PN 10</v>
      </c>
      <c r="D63" s="1055" t="s">
        <v>7107</v>
      </c>
      <c r="E63" s="1052">
        <v>14</v>
      </c>
      <c r="F63" s="1629">
        <v>23612.477999999999</v>
      </c>
      <c r="O63" s="265" t="s">
        <v>8412</v>
      </c>
      <c r="P63" s="1408">
        <f>+P37</f>
        <v>0</v>
      </c>
      <c r="Q63" s="1408"/>
      <c r="R63" s="1408">
        <f t="shared" ref="R63:S65" si="16">+R37</f>
        <v>1</v>
      </c>
      <c r="S63" s="1408">
        <f t="shared" si="16"/>
        <v>0</v>
      </c>
      <c r="T63" s="1408"/>
      <c r="U63" s="1408">
        <f t="shared" si="14"/>
        <v>1</v>
      </c>
    </row>
    <row r="64" spans="1:21" x14ac:dyDescent="0.25">
      <c r="A64" s="1057">
        <v>1723</v>
      </c>
      <c r="B64" s="1055">
        <v>27</v>
      </c>
      <c r="C64" s="1055" t="str">
        <f t="shared" si="7"/>
        <v>PN 10</v>
      </c>
      <c r="D64" s="1055" t="s">
        <v>7108</v>
      </c>
      <c r="E64" s="1052">
        <v>14</v>
      </c>
      <c r="F64" s="1629">
        <v>26099.254000000001</v>
      </c>
      <c r="O64" s="265" t="s">
        <v>8413</v>
      </c>
      <c r="P64" s="1408">
        <f>+P38</f>
        <v>3</v>
      </c>
      <c r="Q64" s="1408"/>
      <c r="R64" s="1408">
        <f t="shared" si="16"/>
        <v>3</v>
      </c>
      <c r="S64" s="1408">
        <f t="shared" si="16"/>
        <v>2</v>
      </c>
      <c r="T64" s="1408"/>
      <c r="U64" s="1408">
        <f t="shared" si="14"/>
        <v>8</v>
      </c>
    </row>
    <row r="65" spans="1:21" x14ac:dyDescent="0.25">
      <c r="A65" s="1057">
        <v>1716</v>
      </c>
      <c r="B65" s="1055">
        <v>34</v>
      </c>
      <c r="C65" s="1055" t="str">
        <f t="shared" si="7"/>
        <v>PN 10</v>
      </c>
      <c r="D65" s="1055" t="s">
        <v>7109</v>
      </c>
      <c r="E65" s="1052">
        <v>14</v>
      </c>
      <c r="F65" s="1629">
        <v>26402.27</v>
      </c>
      <c r="O65" s="265" t="s">
        <v>8471</v>
      </c>
      <c r="P65" s="1408">
        <f>+P39</f>
        <v>4</v>
      </c>
      <c r="Q65" s="1408"/>
      <c r="R65" s="1408">
        <f t="shared" si="16"/>
        <v>1</v>
      </c>
      <c r="S65" s="1408">
        <f t="shared" si="16"/>
        <v>1</v>
      </c>
      <c r="T65" s="1408"/>
      <c r="U65" s="1408">
        <f t="shared" si="14"/>
        <v>6</v>
      </c>
    </row>
    <row r="66" spans="1:21" x14ac:dyDescent="0.25">
      <c r="A66" s="1057">
        <v>1680</v>
      </c>
      <c r="B66" s="1055">
        <v>70</v>
      </c>
      <c r="C66" s="1055" t="str">
        <f t="shared" si="7"/>
        <v>PN 10</v>
      </c>
      <c r="D66" s="1055" t="s">
        <v>7110</v>
      </c>
      <c r="E66" s="1052">
        <v>14</v>
      </c>
      <c r="F66" s="1629">
        <v>27031.195</v>
      </c>
      <c r="O66" s="265" t="s">
        <v>8414</v>
      </c>
      <c r="P66" s="1408"/>
      <c r="Q66" s="1408">
        <f t="shared" ref="Q66:Q74" si="17">+Q26</f>
        <v>2</v>
      </c>
      <c r="R66" s="1408"/>
      <c r="S66" s="1408"/>
      <c r="T66" s="1408"/>
      <c r="U66" s="1408">
        <f t="shared" si="14"/>
        <v>2</v>
      </c>
    </row>
    <row r="67" spans="1:21" x14ac:dyDescent="0.25">
      <c r="A67" s="1057">
        <v>1621</v>
      </c>
      <c r="B67" s="1055">
        <v>129</v>
      </c>
      <c r="C67" s="1055" t="str">
        <f t="shared" si="7"/>
        <v>PN 16</v>
      </c>
      <c r="D67" s="1055" t="s">
        <v>7111</v>
      </c>
      <c r="E67" s="1052">
        <v>14</v>
      </c>
      <c r="F67" s="1629">
        <v>27600</v>
      </c>
      <c r="O67" s="265" t="s">
        <v>8415</v>
      </c>
      <c r="P67" s="1408"/>
      <c r="Q67" s="1408">
        <f t="shared" si="17"/>
        <v>1</v>
      </c>
      <c r="R67" s="1408"/>
      <c r="S67" s="1408"/>
      <c r="T67" s="1408"/>
      <c r="U67" s="1408">
        <f t="shared" si="14"/>
        <v>1</v>
      </c>
    </row>
    <row r="68" spans="1:21" x14ac:dyDescent="0.25">
      <c r="A68" s="1057">
        <v>1578</v>
      </c>
      <c r="B68" s="1055">
        <v>172</v>
      </c>
      <c r="C68" s="1055" t="str">
        <f t="shared" si="7"/>
        <v>PN 25</v>
      </c>
      <c r="D68" s="1055" t="s">
        <v>7112</v>
      </c>
      <c r="E68" s="1052">
        <v>14</v>
      </c>
      <c r="F68" s="1629">
        <v>28071.012999999999</v>
      </c>
      <c r="O68" s="265" t="s">
        <v>8416</v>
      </c>
      <c r="P68" s="1408"/>
      <c r="Q68" s="1408">
        <f t="shared" si="17"/>
        <v>1</v>
      </c>
      <c r="R68" s="1408"/>
      <c r="S68" s="1408"/>
      <c r="T68" s="1408"/>
      <c r="U68" s="1408">
        <f t="shared" si="14"/>
        <v>1</v>
      </c>
    </row>
    <row r="69" spans="1:21" x14ac:dyDescent="0.25">
      <c r="A69" s="1057">
        <v>1486</v>
      </c>
      <c r="B69" s="1055">
        <v>51</v>
      </c>
      <c r="C69" s="1055" t="s">
        <v>8108</v>
      </c>
      <c r="D69" s="1055" t="s">
        <v>7113</v>
      </c>
      <c r="E69" s="1052">
        <v>16</v>
      </c>
      <c r="F69" s="1629">
        <v>29043.797999999999</v>
      </c>
      <c r="O69" s="265" t="s">
        <v>8417</v>
      </c>
      <c r="P69" s="1408"/>
      <c r="Q69" s="1408">
        <f t="shared" si="17"/>
        <v>1</v>
      </c>
      <c r="R69" s="1408"/>
      <c r="S69" s="1408"/>
      <c r="T69" s="1408"/>
      <c r="U69" s="1408">
        <f t="shared" si="14"/>
        <v>1</v>
      </c>
    </row>
    <row r="70" spans="1:21" x14ac:dyDescent="0.25">
      <c r="A70" s="1057">
        <v>1374</v>
      </c>
      <c r="B70" s="1055">
        <v>163</v>
      </c>
      <c r="C70" s="1055" t="str">
        <f t="shared" si="7"/>
        <v>PN 25</v>
      </c>
      <c r="D70" s="1055" t="s">
        <v>7114</v>
      </c>
      <c r="E70" s="1052">
        <v>16</v>
      </c>
      <c r="F70" s="1629">
        <v>30150.922999999999</v>
      </c>
      <c r="O70" s="265" t="s">
        <v>8418</v>
      </c>
      <c r="P70" s="1408"/>
      <c r="Q70" s="1408">
        <f t="shared" si="17"/>
        <v>3</v>
      </c>
      <c r="R70" s="1408"/>
      <c r="S70" s="1408"/>
      <c r="T70" s="1408"/>
      <c r="U70" s="1408">
        <f t="shared" si="14"/>
        <v>3</v>
      </c>
    </row>
    <row r="71" spans="1:21" x14ac:dyDescent="0.25">
      <c r="A71" s="1057">
        <v>1266</v>
      </c>
      <c r="B71" s="1055">
        <v>271</v>
      </c>
      <c r="C71" s="1055" t="str">
        <f t="shared" si="7"/>
        <v>PN 40</v>
      </c>
      <c r="D71" s="1055" t="s">
        <v>7115</v>
      </c>
      <c r="E71" s="1052">
        <v>16</v>
      </c>
      <c r="F71" s="1629">
        <v>31399.432000000001</v>
      </c>
      <c r="O71" s="265" t="s">
        <v>8419</v>
      </c>
      <c r="P71" s="1408"/>
      <c r="Q71" s="1408">
        <f t="shared" si="17"/>
        <v>2</v>
      </c>
      <c r="R71" s="1408"/>
      <c r="S71" s="1408"/>
      <c r="T71" s="1408"/>
      <c r="U71" s="1408">
        <f t="shared" si="14"/>
        <v>2</v>
      </c>
    </row>
    <row r="72" spans="1:21" x14ac:dyDescent="0.25">
      <c r="A72" s="1057">
        <v>1222</v>
      </c>
      <c r="B72" s="1055">
        <v>315</v>
      </c>
      <c r="C72" s="1055" t="str">
        <f>+IF(B72&lt;100,"PN 10", IF(B72&lt;160,"PN 16",IF(B72&lt;250,"PN 25",IF(B72&lt;400,"PN 40","PN 60"))))</f>
        <v>PN 40</v>
      </c>
      <c r="D72" s="1055" t="s">
        <v>7116</v>
      </c>
      <c r="E72" s="1052">
        <v>16</v>
      </c>
      <c r="F72" s="1629">
        <v>32016.027999999998</v>
      </c>
      <c r="O72" s="265" t="s">
        <v>8420</v>
      </c>
      <c r="P72" s="1408"/>
      <c r="Q72" s="1408">
        <f t="shared" si="17"/>
        <v>1</v>
      </c>
      <c r="R72" s="1408"/>
      <c r="S72" s="1408"/>
      <c r="T72" s="1408">
        <f>+K133</f>
        <v>2</v>
      </c>
      <c r="U72" s="1408">
        <f t="shared" si="14"/>
        <v>3</v>
      </c>
    </row>
    <row r="73" spans="1:21" x14ac:dyDescent="0.25">
      <c r="A73" s="1057">
        <v>1195</v>
      </c>
      <c r="B73" s="1055">
        <v>342</v>
      </c>
      <c r="C73" s="1055" t="s">
        <v>8111</v>
      </c>
      <c r="D73" s="1055" t="s">
        <v>7117</v>
      </c>
      <c r="E73" s="1052">
        <v>16</v>
      </c>
      <c r="F73" s="1629">
        <v>32470.846000000001</v>
      </c>
      <c r="O73" s="265" t="s">
        <v>8421</v>
      </c>
      <c r="P73" s="1408"/>
      <c r="Q73" s="1408">
        <f t="shared" si="17"/>
        <v>0</v>
      </c>
      <c r="R73" s="1408"/>
      <c r="S73" s="1408"/>
      <c r="T73" s="1408">
        <f>+K134</f>
        <v>3</v>
      </c>
      <c r="U73" s="1408">
        <f t="shared" si="14"/>
        <v>3</v>
      </c>
    </row>
    <row r="74" spans="1:21" x14ac:dyDescent="0.25">
      <c r="A74" s="1057">
        <v>1155</v>
      </c>
      <c r="B74" s="1055">
        <v>382</v>
      </c>
      <c r="C74" s="1055" t="s">
        <v>8111</v>
      </c>
      <c r="D74" s="1055" t="s">
        <v>7118</v>
      </c>
      <c r="E74" s="1052">
        <v>16</v>
      </c>
      <c r="F74" s="1629">
        <v>33011.733</v>
      </c>
      <c r="O74" s="265" t="s">
        <v>8422</v>
      </c>
      <c r="P74" s="1408"/>
      <c r="Q74" s="1408">
        <f t="shared" si="17"/>
        <v>3</v>
      </c>
      <c r="R74" s="1408"/>
      <c r="S74" s="1408"/>
      <c r="T74" s="1408">
        <f>+K135</f>
        <v>1</v>
      </c>
      <c r="U74" s="1408">
        <f t="shared" si="14"/>
        <v>4</v>
      </c>
    </row>
    <row r="75" spans="1:21" x14ac:dyDescent="0.25">
      <c r="A75" s="1057">
        <v>1136</v>
      </c>
      <c r="B75" s="1055">
        <v>401</v>
      </c>
      <c r="C75" s="1055" t="str">
        <f t="shared" si="7"/>
        <v>PN 60</v>
      </c>
      <c r="D75" s="1055" t="s">
        <v>7119</v>
      </c>
      <c r="E75" s="1052">
        <v>14</v>
      </c>
      <c r="F75" s="1629">
        <v>33330.161</v>
      </c>
      <c r="O75" s="265" t="s">
        <v>8423</v>
      </c>
      <c r="P75" s="1408"/>
      <c r="Q75" s="1408">
        <f>+Q37</f>
        <v>1</v>
      </c>
      <c r="R75" s="1408"/>
      <c r="S75" s="1408"/>
      <c r="T75" s="1408"/>
      <c r="U75" s="1408">
        <f t="shared" si="14"/>
        <v>1</v>
      </c>
    </row>
    <row r="76" spans="1:21" x14ac:dyDescent="0.25">
      <c r="A76" s="1057">
        <v>1143</v>
      </c>
      <c r="B76" s="1055">
        <v>394</v>
      </c>
      <c r="C76" s="1055" t="s">
        <v>8111</v>
      </c>
      <c r="D76" s="1055" t="s">
        <v>7120</v>
      </c>
      <c r="E76" s="1052">
        <v>14</v>
      </c>
      <c r="F76" s="1629">
        <v>33487.279999999999</v>
      </c>
      <c r="O76" s="265" t="s">
        <v>8424</v>
      </c>
      <c r="P76" s="1408"/>
      <c r="Q76" s="1408">
        <f>+Q38</f>
        <v>2</v>
      </c>
      <c r="R76" s="1408"/>
      <c r="S76" s="1408"/>
      <c r="T76" s="1408"/>
      <c r="U76" s="1408">
        <f t="shared" si="14"/>
        <v>2</v>
      </c>
    </row>
    <row r="77" spans="1:21" x14ac:dyDescent="0.25">
      <c r="A77" s="1057">
        <v>1092</v>
      </c>
      <c r="B77" s="1055">
        <v>445</v>
      </c>
      <c r="C77" s="1055" t="str">
        <f t="shared" si="7"/>
        <v>PN 60</v>
      </c>
      <c r="D77" s="1055" t="s">
        <v>7121</v>
      </c>
      <c r="E77" s="1052">
        <v>14</v>
      </c>
      <c r="F77" s="1629">
        <v>34562.332000000002</v>
      </c>
      <c r="O77" s="265" t="s">
        <v>8472</v>
      </c>
      <c r="P77" s="1408"/>
      <c r="Q77" s="1408">
        <f>+Q39</f>
        <v>1</v>
      </c>
      <c r="R77" s="1408"/>
      <c r="S77" s="1408"/>
      <c r="T77" s="1408"/>
      <c r="U77" s="1408">
        <f t="shared" si="14"/>
        <v>1</v>
      </c>
    </row>
    <row r="78" spans="1:21" x14ac:dyDescent="0.25">
      <c r="A78" s="1057">
        <v>1033</v>
      </c>
      <c r="B78" s="1055">
        <v>504</v>
      </c>
      <c r="C78" s="1055" t="str">
        <f t="shared" si="7"/>
        <v>PN 60</v>
      </c>
      <c r="D78" s="1055" t="s">
        <v>7122</v>
      </c>
      <c r="E78" s="1052">
        <v>12</v>
      </c>
      <c r="F78" s="1629">
        <v>35553.675999999999</v>
      </c>
      <c r="O78" s="265" t="s">
        <v>8473</v>
      </c>
      <c r="P78" s="1408"/>
      <c r="Q78" s="1408">
        <f>+Q40</f>
        <v>1</v>
      </c>
      <c r="R78" s="1408"/>
      <c r="S78" s="1408"/>
      <c r="T78" s="1408"/>
      <c r="U78" s="1408">
        <f t="shared" si="14"/>
        <v>1</v>
      </c>
    </row>
    <row r="79" spans="1:21" x14ac:dyDescent="0.25">
      <c r="A79" s="1057">
        <v>1110</v>
      </c>
      <c r="B79" s="1055">
        <v>427</v>
      </c>
      <c r="C79" s="1055" t="str">
        <f t="shared" si="7"/>
        <v>PN 60</v>
      </c>
      <c r="D79" s="1055" t="s">
        <v>7123</v>
      </c>
      <c r="E79" s="1052">
        <v>14</v>
      </c>
      <c r="F79" s="1629">
        <v>36560</v>
      </c>
      <c r="O79" s="265" t="s">
        <v>8478</v>
      </c>
      <c r="P79" s="1408"/>
      <c r="Q79" s="1408">
        <f t="shared" ref="Q79:Q85" si="18">+Q26</f>
        <v>2</v>
      </c>
      <c r="R79" s="1408"/>
      <c r="S79" s="1408"/>
      <c r="T79" s="1408"/>
      <c r="U79" s="1408">
        <f t="shared" si="14"/>
        <v>2</v>
      </c>
    </row>
    <row r="80" spans="1:21" x14ac:dyDescent="0.25">
      <c r="A80" s="1057">
        <v>1240</v>
      </c>
      <c r="B80" s="1055">
        <v>297</v>
      </c>
      <c r="C80" s="1055" t="str">
        <f t="shared" si="7"/>
        <v>PN 40</v>
      </c>
      <c r="D80" s="1055" t="s">
        <v>7124</v>
      </c>
      <c r="E80" s="1052">
        <v>16</v>
      </c>
      <c r="F80" s="1629">
        <v>37600</v>
      </c>
      <c r="O80" s="265" t="s">
        <v>8479</v>
      </c>
      <c r="P80" s="1408"/>
      <c r="Q80" s="1408">
        <f t="shared" si="18"/>
        <v>1</v>
      </c>
      <c r="R80" s="1408"/>
      <c r="S80" s="1408"/>
      <c r="T80" s="1408"/>
      <c r="U80" s="1408">
        <f t="shared" si="14"/>
        <v>1</v>
      </c>
    </row>
    <row r="81" spans="1:21" x14ac:dyDescent="0.25">
      <c r="A81" s="1057">
        <v>1336</v>
      </c>
      <c r="B81" s="1055">
        <v>201</v>
      </c>
      <c r="C81" s="1055" t="str">
        <f t="shared" si="7"/>
        <v>PN 25</v>
      </c>
      <c r="D81" s="1055" t="s">
        <v>7125</v>
      </c>
      <c r="E81" s="1052">
        <v>16</v>
      </c>
      <c r="F81" s="1629">
        <v>38700</v>
      </c>
      <c r="O81" s="265" t="s">
        <v>8480</v>
      </c>
      <c r="P81" s="1408"/>
      <c r="Q81" s="1408">
        <f t="shared" si="18"/>
        <v>1</v>
      </c>
      <c r="R81" s="1408"/>
      <c r="S81" s="1408"/>
      <c r="T81" s="1408"/>
      <c r="U81" s="1408">
        <f t="shared" si="14"/>
        <v>1</v>
      </c>
    </row>
    <row r="82" spans="1:21" x14ac:dyDescent="0.25">
      <c r="A82" s="1057">
        <v>1403</v>
      </c>
      <c r="B82" s="1055">
        <v>134</v>
      </c>
      <c r="C82" s="1055" t="str">
        <f t="shared" si="7"/>
        <v>PN 16</v>
      </c>
      <c r="D82" s="1055" t="s">
        <v>7126</v>
      </c>
      <c r="E82" s="1052">
        <v>16</v>
      </c>
      <c r="F82" s="1629">
        <v>39240</v>
      </c>
      <c r="O82" s="265" t="s">
        <v>8481</v>
      </c>
      <c r="P82" s="1408"/>
      <c r="Q82" s="1408">
        <f t="shared" si="18"/>
        <v>1</v>
      </c>
      <c r="R82" s="1408"/>
      <c r="S82" s="1408"/>
      <c r="T82" s="1408"/>
      <c r="U82" s="1408">
        <f t="shared" si="14"/>
        <v>1</v>
      </c>
    </row>
    <row r="83" spans="1:21" x14ac:dyDescent="0.25">
      <c r="F83" s="1054"/>
      <c r="O83" s="265" t="s">
        <v>8482</v>
      </c>
      <c r="P83" s="1408"/>
      <c r="Q83" s="1408">
        <f t="shared" si="18"/>
        <v>3</v>
      </c>
      <c r="R83" s="1408"/>
      <c r="S83" s="1408"/>
      <c r="T83" s="1408"/>
      <c r="U83" s="1408">
        <f t="shared" si="14"/>
        <v>3</v>
      </c>
    </row>
    <row r="84" spans="1:21" x14ac:dyDescent="0.25">
      <c r="A84" s="1063" t="s">
        <v>8112</v>
      </c>
      <c r="B84" s="1063"/>
      <c r="C84" s="1063"/>
      <c r="D84" s="1063"/>
      <c r="E84" s="1063"/>
      <c r="O84" s="265" t="s">
        <v>8483</v>
      </c>
      <c r="P84" s="1408"/>
      <c r="Q84" s="1408">
        <f t="shared" si="18"/>
        <v>2</v>
      </c>
      <c r="R84" s="1408"/>
      <c r="S84" s="1408"/>
      <c r="T84" s="1408"/>
      <c r="U84" s="1408">
        <f t="shared" si="14"/>
        <v>2</v>
      </c>
    </row>
    <row r="85" spans="1:21" x14ac:dyDescent="0.25">
      <c r="A85" s="1059" t="s">
        <v>8094</v>
      </c>
      <c r="B85" s="1059" t="s">
        <v>8095</v>
      </c>
      <c r="C85" s="1059" t="s">
        <v>7099</v>
      </c>
      <c r="D85" s="1059" t="s">
        <v>6734</v>
      </c>
      <c r="E85" s="1059" t="s">
        <v>7079</v>
      </c>
      <c r="F85" s="1063"/>
      <c r="O85" s="265" t="s">
        <v>8484</v>
      </c>
      <c r="P85" s="1408"/>
      <c r="Q85" s="1408">
        <f t="shared" si="18"/>
        <v>1</v>
      </c>
      <c r="R85" s="1408"/>
      <c r="S85" s="1408"/>
      <c r="T85" s="1408"/>
      <c r="U85" s="1408">
        <f t="shared" si="14"/>
        <v>1</v>
      </c>
    </row>
    <row r="86" spans="1:21" x14ac:dyDescent="0.25">
      <c r="A86" s="1061">
        <v>2550</v>
      </c>
      <c r="B86" s="1061">
        <v>178</v>
      </c>
      <c r="C86" s="1055" t="s">
        <v>8109</v>
      </c>
      <c r="D86" s="1064" t="s">
        <v>8339</v>
      </c>
      <c r="E86" s="1062">
        <v>20</v>
      </c>
      <c r="F86" s="1060">
        <v>580</v>
      </c>
      <c r="O86" s="265" t="s">
        <v>8485</v>
      </c>
      <c r="P86" s="1408"/>
      <c r="Q86" s="1408">
        <f>+Q34</f>
        <v>3</v>
      </c>
      <c r="R86" s="1408"/>
      <c r="S86" s="1408"/>
      <c r="T86" s="1408"/>
      <c r="U86" s="1408">
        <f t="shared" si="14"/>
        <v>3</v>
      </c>
    </row>
    <row r="87" spans="1:21" s="1058" customFormat="1" x14ac:dyDescent="0.25">
      <c r="A87" s="1061">
        <v>2546</v>
      </c>
      <c r="B87" s="1061">
        <v>178</v>
      </c>
      <c r="C87" s="1055" t="s">
        <v>8109</v>
      </c>
      <c r="D87" s="1064" t="s">
        <v>8340</v>
      </c>
      <c r="E87" s="1062">
        <v>20</v>
      </c>
      <c r="F87" s="1060">
        <v>936</v>
      </c>
      <c r="O87" s="265" t="s">
        <v>8486</v>
      </c>
      <c r="P87" s="1408"/>
      <c r="Q87" s="1408">
        <f>+Q37</f>
        <v>1</v>
      </c>
      <c r="R87" s="1408"/>
      <c r="S87" s="1408"/>
      <c r="T87" s="1408"/>
      <c r="U87" s="1408">
        <f t="shared" si="14"/>
        <v>1</v>
      </c>
    </row>
    <row r="88" spans="1:21" s="1058" customFormat="1" x14ac:dyDescent="0.25">
      <c r="A88" s="1061">
        <v>2546</v>
      </c>
      <c r="B88" s="1061">
        <v>178</v>
      </c>
      <c r="C88" s="1055" t="s">
        <v>8109</v>
      </c>
      <c r="D88" s="1064" t="s">
        <v>8341</v>
      </c>
      <c r="E88" s="1062">
        <v>20</v>
      </c>
      <c r="F88" s="1060">
        <v>1210</v>
      </c>
      <c r="O88" s="265" t="s">
        <v>8487</v>
      </c>
      <c r="P88" s="1408"/>
      <c r="Q88" s="1408">
        <f>+Q38</f>
        <v>2</v>
      </c>
      <c r="R88" s="1408"/>
      <c r="S88" s="1408"/>
      <c r="T88" s="1408"/>
      <c r="U88" s="1408">
        <f t="shared" si="14"/>
        <v>2</v>
      </c>
    </row>
    <row r="89" spans="1:21" s="1058" customFormat="1" x14ac:dyDescent="0.25">
      <c r="A89" s="1061">
        <v>2710</v>
      </c>
      <c r="B89" s="1061">
        <v>178</v>
      </c>
      <c r="C89" s="1055" t="s">
        <v>8109</v>
      </c>
      <c r="D89" s="1064" t="s">
        <v>8464</v>
      </c>
      <c r="E89" s="1062">
        <v>20</v>
      </c>
      <c r="F89" s="1060">
        <v>2140</v>
      </c>
      <c r="O89" s="265" t="s">
        <v>8488</v>
      </c>
      <c r="P89" s="1408"/>
      <c r="Q89" s="1408">
        <f>+Q39</f>
        <v>1</v>
      </c>
      <c r="R89" s="1408"/>
      <c r="S89" s="1408"/>
      <c r="T89" s="1408"/>
      <c r="U89" s="1408">
        <f t="shared" si="14"/>
        <v>1</v>
      </c>
    </row>
    <row r="90" spans="1:21" x14ac:dyDescent="0.25">
      <c r="A90" s="1061">
        <v>2541</v>
      </c>
      <c r="B90" s="1061">
        <v>178</v>
      </c>
      <c r="C90" s="1398" t="str">
        <f>+IF(B90&lt;100,"PN 10", IF(B90&lt;160,"PN 16",IF(B90&lt;250,"PN 25",IF(B90&lt;400,"PN 40","PN 60"))))</f>
        <v>PN 25</v>
      </c>
      <c r="D90" s="1064" t="s">
        <v>8113</v>
      </c>
      <c r="E90" s="1062">
        <v>16</v>
      </c>
      <c r="F90" s="1060">
        <v>5260</v>
      </c>
      <c r="H90" s="1048" t="s">
        <v>7079</v>
      </c>
      <c r="I90" s="1048" t="s">
        <v>8107</v>
      </c>
      <c r="J90" s="1048" t="s">
        <v>8108</v>
      </c>
      <c r="K90" s="1048" t="s">
        <v>8109</v>
      </c>
      <c r="L90" s="1048" t="s">
        <v>8110</v>
      </c>
      <c r="M90" s="1048" t="s">
        <v>8111</v>
      </c>
      <c r="O90" s="265" t="s">
        <v>8489</v>
      </c>
      <c r="P90" s="1408"/>
      <c r="Q90" s="1408">
        <f>+Q40</f>
        <v>1</v>
      </c>
      <c r="R90" s="1408"/>
      <c r="S90" s="1408"/>
      <c r="T90" s="1408"/>
      <c r="U90" s="1408">
        <f t="shared" si="14"/>
        <v>1</v>
      </c>
    </row>
    <row r="91" spans="1:21" x14ac:dyDescent="0.25">
      <c r="A91" s="1061">
        <v>2540.8000000000002</v>
      </c>
      <c r="B91" s="1061">
        <v>178.19999999999982</v>
      </c>
      <c r="C91" s="1053" t="str">
        <f t="shared" ref="C91:C116" si="19">+IF(B91&lt;100,"PN 10", IF(B91&lt;160,"PN 16",IF(B91&lt;250,"PN 25",IF(B91&lt;400,"PN 40","PN 60"))))</f>
        <v>PN 25</v>
      </c>
      <c r="D91" s="1064" t="s">
        <v>8114</v>
      </c>
      <c r="E91" s="1062">
        <v>16</v>
      </c>
      <c r="F91" s="1060">
        <v>5680.0709999999999</v>
      </c>
      <c r="H91" s="1048">
        <v>10</v>
      </c>
      <c r="I91" s="1048">
        <f t="shared" ref="I91:M95" si="20">+COUNTIFS($C$86:$C$116,I$27,$E$86:$E$116,$H91)</f>
        <v>1</v>
      </c>
      <c r="J91" s="1048">
        <f t="shared" si="20"/>
        <v>1</v>
      </c>
      <c r="K91" s="1048">
        <f t="shared" si="20"/>
        <v>0</v>
      </c>
      <c r="L91" s="1048">
        <f t="shared" si="20"/>
        <v>0</v>
      </c>
      <c r="M91" s="1048">
        <f t="shared" si="20"/>
        <v>0</v>
      </c>
      <c r="O91" s="265" t="s">
        <v>8425</v>
      </c>
      <c r="P91" s="1408"/>
      <c r="Q91" s="1408">
        <f t="shared" ref="Q91:Q97" si="21">+Q26</f>
        <v>2</v>
      </c>
      <c r="R91" s="1408"/>
      <c r="S91" s="1408"/>
      <c r="T91" s="1408"/>
      <c r="U91" s="1408">
        <f t="shared" si="14"/>
        <v>2</v>
      </c>
    </row>
    <row r="92" spans="1:21" x14ac:dyDescent="0.25">
      <c r="A92" s="1061">
        <v>2543</v>
      </c>
      <c r="B92" s="1061">
        <v>176</v>
      </c>
      <c r="C92" s="1053" t="str">
        <f t="shared" si="19"/>
        <v>PN 25</v>
      </c>
      <c r="D92" s="1064" t="s">
        <v>8115</v>
      </c>
      <c r="E92" s="1062">
        <v>16</v>
      </c>
      <c r="F92" s="1060">
        <v>6651.2139999999999</v>
      </c>
      <c r="H92" s="1048">
        <v>14</v>
      </c>
      <c r="I92" s="1048">
        <f t="shared" si="20"/>
        <v>3</v>
      </c>
      <c r="J92" s="1048">
        <f t="shared" si="20"/>
        <v>1</v>
      </c>
      <c r="K92" s="1048">
        <f t="shared" si="20"/>
        <v>2</v>
      </c>
      <c r="L92" s="1048">
        <f t="shared" si="20"/>
        <v>1</v>
      </c>
      <c r="M92" s="1048">
        <f t="shared" si="20"/>
        <v>1</v>
      </c>
      <c r="O92" s="265" t="s">
        <v>8426</v>
      </c>
      <c r="P92" s="1408"/>
      <c r="Q92" s="1408">
        <f t="shared" si="21"/>
        <v>1</v>
      </c>
      <c r="R92" s="1408"/>
      <c r="S92" s="1408"/>
      <c r="T92" s="1408"/>
      <c r="U92" s="1408">
        <f t="shared" si="14"/>
        <v>1</v>
      </c>
    </row>
    <row r="93" spans="1:21" x14ac:dyDescent="0.25">
      <c r="A93" s="1061">
        <v>2562.5</v>
      </c>
      <c r="B93" s="1061">
        <v>156.5</v>
      </c>
      <c r="C93" s="1053" t="str">
        <f t="shared" si="19"/>
        <v>PN 16</v>
      </c>
      <c r="D93" s="1064" t="s">
        <v>8116</v>
      </c>
      <c r="E93" s="1062">
        <v>16</v>
      </c>
      <c r="F93" s="1060">
        <v>9165.9519999999993</v>
      </c>
      <c r="H93" s="1048">
        <v>16</v>
      </c>
      <c r="I93" s="1048">
        <f t="shared" si="20"/>
        <v>0</v>
      </c>
      <c r="J93" s="1048">
        <f t="shared" si="20"/>
        <v>8</v>
      </c>
      <c r="K93" s="1048">
        <f t="shared" si="20"/>
        <v>4</v>
      </c>
      <c r="L93" s="1048">
        <f t="shared" si="20"/>
        <v>3</v>
      </c>
      <c r="M93" s="1048">
        <f t="shared" si="20"/>
        <v>0</v>
      </c>
      <c r="O93" s="265" t="s">
        <v>8427</v>
      </c>
      <c r="P93" s="1408"/>
      <c r="Q93" s="1408">
        <f t="shared" si="21"/>
        <v>1</v>
      </c>
      <c r="R93" s="1408"/>
      <c r="S93" s="1408"/>
      <c r="T93" s="1408"/>
      <c r="U93" s="1408">
        <f t="shared" si="14"/>
        <v>1</v>
      </c>
    </row>
    <row r="94" spans="1:21" x14ac:dyDescent="0.25">
      <c r="A94" s="1061">
        <v>2576</v>
      </c>
      <c r="B94" s="1061">
        <v>143</v>
      </c>
      <c r="C94" s="1053" t="str">
        <f t="shared" si="19"/>
        <v>PN 16</v>
      </c>
      <c r="D94" s="1064" t="s">
        <v>8117</v>
      </c>
      <c r="E94" s="1062">
        <v>16</v>
      </c>
      <c r="F94" s="1060">
        <v>9857.9449999999997</v>
      </c>
      <c r="H94" s="1048">
        <v>20</v>
      </c>
      <c r="I94" s="1048">
        <f t="shared" si="20"/>
        <v>0</v>
      </c>
      <c r="J94" s="1048">
        <f t="shared" si="20"/>
        <v>0</v>
      </c>
      <c r="K94" s="1048">
        <f t="shared" si="20"/>
        <v>4</v>
      </c>
      <c r="L94" s="1048">
        <f t="shared" si="20"/>
        <v>0</v>
      </c>
      <c r="M94" s="1048">
        <f t="shared" si="20"/>
        <v>0</v>
      </c>
      <c r="O94" s="265" t="s">
        <v>8428</v>
      </c>
      <c r="P94" s="1408"/>
      <c r="Q94" s="1408">
        <f t="shared" si="21"/>
        <v>1</v>
      </c>
      <c r="R94" s="1408"/>
      <c r="S94" s="1408"/>
      <c r="T94" s="1408"/>
      <c r="U94" s="1408">
        <f t="shared" ref="U94:U132" si="22">+SUM(P94:T94)</f>
        <v>1</v>
      </c>
    </row>
    <row r="95" spans="1:21" x14ac:dyDescent="0.25">
      <c r="A95" s="1061">
        <v>2575</v>
      </c>
      <c r="B95" s="1061">
        <v>144</v>
      </c>
      <c r="C95" s="1053" t="str">
        <f t="shared" si="19"/>
        <v>PN 16</v>
      </c>
      <c r="D95" s="1064" t="s">
        <v>8118</v>
      </c>
      <c r="E95" s="1062">
        <v>16</v>
      </c>
      <c r="F95" s="1060">
        <v>10166.290000000001</v>
      </c>
      <c r="H95" s="1048">
        <v>12</v>
      </c>
      <c r="I95" s="1048">
        <f t="shared" si="20"/>
        <v>0</v>
      </c>
      <c r="J95" s="1048">
        <f t="shared" si="20"/>
        <v>0</v>
      </c>
      <c r="K95" s="1048">
        <f t="shared" si="20"/>
        <v>0</v>
      </c>
      <c r="L95" s="1048">
        <f t="shared" si="20"/>
        <v>0</v>
      </c>
      <c r="M95" s="1048">
        <f t="shared" si="20"/>
        <v>2</v>
      </c>
      <c r="O95" s="265" t="s">
        <v>8429</v>
      </c>
      <c r="P95" s="1408"/>
      <c r="Q95" s="1408">
        <f t="shared" si="21"/>
        <v>3</v>
      </c>
      <c r="R95" s="1408"/>
      <c r="S95" s="1408"/>
      <c r="T95" s="1408"/>
      <c r="U95" s="1408">
        <f t="shared" si="22"/>
        <v>3</v>
      </c>
    </row>
    <row r="96" spans="1:21" x14ac:dyDescent="0.25">
      <c r="A96" s="1061">
        <v>2576</v>
      </c>
      <c r="B96" s="1061">
        <v>143</v>
      </c>
      <c r="C96" s="1053" t="str">
        <f t="shared" si="19"/>
        <v>PN 16</v>
      </c>
      <c r="D96" s="1064" t="s">
        <v>8119</v>
      </c>
      <c r="E96" s="1062">
        <v>16</v>
      </c>
      <c r="F96" s="1060">
        <v>10665.58</v>
      </c>
      <c r="O96" s="265" t="s">
        <v>8430</v>
      </c>
      <c r="P96" s="1408"/>
      <c r="Q96" s="1408">
        <f t="shared" si="21"/>
        <v>2</v>
      </c>
      <c r="R96" s="1408"/>
      <c r="S96" s="1408"/>
      <c r="T96" s="1408"/>
      <c r="U96" s="1408">
        <f t="shared" si="22"/>
        <v>2</v>
      </c>
    </row>
    <row r="97" spans="1:21" x14ac:dyDescent="0.25">
      <c r="A97" s="1061">
        <v>2578</v>
      </c>
      <c r="B97" s="1061">
        <v>141</v>
      </c>
      <c r="C97" s="1053" t="str">
        <f t="shared" si="19"/>
        <v>PN 16</v>
      </c>
      <c r="D97" s="1064" t="s">
        <v>8120</v>
      </c>
      <c r="E97" s="1062">
        <v>16</v>
      </c>
      <c r="F97" s="1060">
        <v>11025.375</v>
      </c>
      <c r="O97" s="265" t="s">
        <v>8431</v>
      </c>
      <c r="P97" s="1408"/>
      <c r="Q97" s="1408">
        <f t="shared" si="21"/>
        <v>1</v>
      </c>
      <c r="R97" s="1408"/>
      <c r="S97" s="1408"/>
      <c r="T97" s="1408"/>
      <c r="U97" s="1408">
        <f t="shared" si="22"/>
        <v>1</v>
      </c>
    </row>
    <row r="98" spans="1:21" x14ac:dyDescent="0.25">
      <c r="A98" s="1061">
        <v>2569</v>
      </c>
      <c r="B98" s="1061">
        <v>150</v>
      </c>
      <c r="C98" s="1053" t="str">
        <f t="shared" si="19"/>
        <v>PN 16</v>
      </c>
      <c r="D98" s="1064" t="s">
        <v>8121</v>
      </c>
      <c r="E98" s="1062">
        <v>16</v>
      </c>
      <c r="F98" s="1060">
        <v>11520</v>
      </c>
      <c r="O98" s="265" t="s">
        <v>8433</v>
      </c>
      <c r="P98" s="1408"/>
      <c r="Q98" s="1408">
        <f>+Q34</f>
        <v>3</v>
      </c>
      <c r="R98" s="1408"/>
      <c r="S98" s="1408"/>
      <c r="T98" s="1408"/>
      <c r="U98" s="1408">
        <f t="shared" si="22"/>
        <v>3</v>
      </c>
    </row>
    <row r="99" spans="1:21" x14ac:dyDescent="0.25">
      <c r="A99" s="1061">
        <v>2563</v>
      </c>
      <c r="B99" s="1061">
        <v>156</v>
      </c>
      <c r="C99" s="1053" t="str">
        <f t="shared" si="19"/>
        <v>PN 16</v>
      </c>
      <c r="D99" s="1064" t="s">
        <v>8122</v>
      </c>
      <c r="E99" s="1062">
        <v>16</v>
      </c>
      <c r="F99" s="1060">
        <v>11880</v>
      </c>
      <c r="O99" s="265" t="s">
        <v>8434</v>
      </c>
      <c r="P99" s="1408"/>
      <c r="Q99" s="1408">
        <f>+Q37</f>
        <v>1</v>
      </c>
      <c r="R99" s="1408"/>
      <c r="S99" s="1408"/>
      <c r="T99" s="1408"/>
      <c r="U99" s="1408">
        <f t="shared" si="22"/>
        <v>1</v>
      </c>
    </row>
    <row r="100" spans="1:21" x14ac:dyDescent="0.25">
      <c r="A100" s="1061">
        <v>2559</v>
      </c>
      <c r="B100" s="1061">
        <v>160</v>
      </c>
      <c r="C100" s="1053" t="str">
        <f t="shared" si="19"/>
        <v>PN 25</v>
      </c>
      <c r="D100" s="1064" t="s">
        <v>8123</v>
      </c>
      <c r="E100" s="1062">
        <v>16</v>
      </c>
      <c r="F100" s="1060">
        <v>12252.246999999999</v>
      </c>
      <c r="O100" s="265" t="s">
        <v>8435</v>
      </c>
      <c r="P100" s="1408"/>
      <c r="Q100" s="1408">
        <f>+Q38</f>
        <v>2</v>
      </c>
      <c r="R100" s="1408"/>
      <c r="S100" s="1408"/>
      <c r="T100" s="1408"/>
      <c r="U100" s="1408">
        <f t="shared" si="22"/>
        <v>2</v>
      </c>
    </row>
    <row r="101" spans="1:21" x14ac:dyDescent="0.25">
      <c r="A101" s="1061">
        <v>2578</v>
      </c>
      <c r="B101" s="1061">
        <v>141</v>
      </c>
      <c r="C101" s="1053" t="str">
        <f t="shared" si="19"/>
        <v>PN 16</v>
      </c>
      <c r="D101" s="1064" t="s">
        <v>8124</v>
      </c>
      <c r="E101" s="1062">
        <v>16</v>
      </c>
      <c r="F101" s="1060">
        <v>14079.32</v>
      </c>
      <c r="O101" s="265" t="s">
        <v>8476</v>
      </c>
      <c r="P101" s="1408"/>
      <c r="Q101" s="1408">
        <f>+Q39</f>
        <v>1</v>
      </c>
      <c r="R101" s="1408"/>
      <c r="S101" s="1408"/>
      <c r="T101" s="1408"/>
      <c r="U101" s="1408">
        <f t="shared" si="22"/>
        <v>1</v>
      </c>
    </row>
    <row r="102" spans="1:21" x14ac:dyDescent="0.25">
      <c r="A102" s="1061">
        <v>2267</v>
      </c>
      <c r="B102" s="1061">
        <v>123</v>
      </c>
      <c r="C102" s="1053" t="str">
        <f t="shared" si="19"/>
        <v>PN 16</v>
      </c>
      <c r="D102" s="1064" t="s">
        <v>8125</v>
      </c>
      <c r="E102" s="1062">
        <v>10</v>
      </c>
      <c r="F102" s="1060">
        <v>19448.45</v>
      </c>
      <c r="O102" s="265" t="s">
        <v>8477</v>
      </c>
      <c r="P102" s="1408"/>
      <c r="Q102" s="1408">
        <f>+Q40</f>
        <v>1</v>
      </c>
      <c r="R102" s="1408"/>
      <c r="S102" s="1408"/>
      <c r="T102" s="1408"/>
      <c r="U102" s="1408">
        <f t="shared" si="22"/>
        <v>1</v>
      </c>
    </row>
    <row r="103" spans="1:21" x14ac:dyDescent="0.25">
      <c r="A103" s="1061">
        <v>2206</v>
      </c>
      <c r="B103" s="1061">
        <v>184</v>
      </c>
      <c r="C103" s="1053" t="str">
        <f t="shared" si="19"/>
        <v>PN 25</v>
      </c>
      <c r="D103" s="1064" t="s">
        <v>8126</v>
      </c>
      <c r="E103" s="1062">
        <v>14</v>
      </c>
      <c r="F103" s="1060">
        <v>20528.136999999999</v>
      </c>
      <c r="O103" s="265" t="s">
        <v>8436</v>
      </c>
      <c r="P103" s="1408"/>
      <c r="Q103" s="1408">
        <f t="shared" ref="Q103:Q109" si="23">+Q26</f>
        <v>2</v>
      </c>
      <c r="R103" s="1408"/>
      <c r="S103" s="1408"/>
      <c r="T103" s="1408"/>
      <c r="U103" s="1408">
        <f t="shared" si="22"/>
        <v>2</v>
      </c>
    </row>
    <row r="104" spans="1:21" x14ac:dyDescent="0.25">
      <c r="A104" s="1061">
        <v>2202</v>
      </c>
      <c r="B104" s="1061">
        <v>188</v>
      </c>
      <c r="C104" s="1053" t="str">
        <f t="shared" si="19"/>
        <v>PN 25</v>
      </c>
      <c r="D104" s="1064" t="s">
        <v>8127</v>
      </c>
      <c r="E104" s="1062">
        <v>14</v>
      </c>
      <c r="F104" s="1060">
        <v>20740.191999999999</v>
      </c>
      <c r="O104" s="265" t="s">
        <v>8437</v>
      </c>
      <c r="P104" s="1408"/>
      <c r="Q104" s="1408">
        <f t="shared" si="23"/>
        <v>1</v>
      </c>
      <c r="R104" s="1408"/>
      <c r="S104" s="1408"/>
      <c r="T104" s="1408"/>
      <c r="U104" s="1408">
        <f t="shared" si="22"/>
        <v>1</v>
      </c>
    </row>
    <row r="105" spans="1:21" x14ac:dyDescent="0.25">
      <c r="A105" s="1061">
        <v>2085</v>
      </c>
      <c r="B105" s="1061">
        <v>87</v>
      </c>
      <c r="C105" s="1053" t="str">
        <f t="shared" si="19"/>
        <v>PN 10</v>
      </c>
      <c r="D105" s="1064" t="s">
        <v>8128</v>
      </c>
      <c r="E105" s="1062">
        <v>10</v>
      </c>
      <c r="F105" s="1060">
        <v>22016.86</v>
      </c>
      <c r="O105" s="265" t="s">
        <v>8438</v>
      </c>
      <c r="P105" s="1408"/>
      <c r="Q105" s="1408">
        <f t="shared" si="23"/>
        <v>1</v>
      </c>
      <c r="R105" s="1408"/>
      <c r="S105" s="1408"/>
      <c r="T105" s="1408"/>
      <c r="U105" s="1408">
        <f t="shared" si="22"/>
        <v>1</v>
      </c>
    </row>
    <row r="106" spans="1:21" x14ac:dyDescent="0.25">
      <c r="A106" s="1061">
        <v>1880</v>
      </c>
      <c r="B106" s="1061">
        <v>87</v>
      </c>
      <c r="C106" s="1053" t="str">
        <f t="shared" si="19"/>
        <v>PN 10</v>
      </c>
      <c r="D106" s="1064" t="s">
        <v>8129</v>
      </c>
      <c r="E106" s="1062">
        <v>14</v>
      </c>
      <c r="F106" s="1060">
        <v>23590.866000000002</v>
      </c>
      <c r="O106" s="265" t="s">
        <v>8439</v>
      </c>
      <c r="P106" s="1408"/>
      <c r="Q106" s="1408">
        <f t="shared" si="23"/>
        <v>1</v>
      </c>
      <c r="R106" s="1408"/>
      <c r="S106" s="1408"/>
      <c r="T106" s="1408"/>
      <c r="U106" s="1408">
        <f t="shared" si="22"/>
        <v>1</v>
      </c>
    </row>
    <row r="107" spans="1:21" x14ac:dyDescent="0.25">
      <c r="A107" s="1061">
        <v>1719</v>
      </c>
      <c r="B107" s="1061">
        <v>31</v>
      </c>
      <c r="C107" s="1053" t="str">
        <f t="shared" si="19"/>
        <v>PN 10</v>
      </c>
      <c r="D107" s="1064" t="s">
        <v>8130</v>
      </c>
      <c r="E107" s="1062">
        <v>14</v>
      </c>
      <c r="F107" s="1060">
        <v>25984.436000000002</v>
      </c>
      <c r="O107" s="265" t="s">
        <v>8440</v>
      </c>
      <c r="P107" s="1408"/>
      <c r="Q107" s="1408">
        <f t="shared" si="23"/>
        <v>3</v>
      </c>
      <c r="R107" s="1408"/>
      <c r="S107" s="1408"/>
      <c r="T107" s="1408"/>
      <c r="U107" s="1408">
        <f t="shared" si="22"/>
        <v>3</v>
      </c>
    </row>
    <row r="108" spans="1:21" x14ac:dyDescent="0.25">
      <c r="A108" s="1061">
        <v>1713</v>
      </c>
      <c r="B108" s="1061">
        <v>37</v>
      </c>
      <c r="C108" s="1053" t="str">
        <f t="shared" si="19"/>
        <v>PN 10</v>
      </c>
      <c r="D108" s="1064" t="s">
        <v>8131</v>
      </c>
      <c r="E108" s="1062">
        <v>14</v>
      </c>
      <c r="F108" s="1060">
        <v>26334.384999999998</v>
      </c>
      <c r="O108" s="265" t="s">
        <v>8441</v>
      </c>
      <c r="P108" s="1408"/>
      <c r="Q108" s="1408">
        <f t="shared" si="23"/>
        <v>2</v>
      </c>
      <c r="R108" s="1408"/>
      <c r="S108" s="1408"/>
      <c r="T108" s="1408"/>
      <c r="U108" s="1408">
        <f t="shared" si="22"/>
        <v>2</v>
      </c>
    </row>
    <row r="109" spans="1:21" x14ac:dyDescent="0.25">
      <c r="A109" s="1061">
        <v>1618</v>
      </c>
      <c r="B109" s="1061">
        <v>132</v>
      </c>
      <c r="C109" s="1053" t="str">
        <f t="shared" si="19"/>
        <v>PN 16</v>
      </c>
      <c r="D109" s="1064" t="s">
        <v>8132</v>
      </c>
      <c r="E109" s="1062">
        <v>14</v>
      </c>
      <c r="F109" s="1060">
        <v>27568.305</v>
      </c>
      <c r="O109" s="265" t="s">
        <v>8442</v>
      </c>
      <c r="P109" s="1408"/>
      <c r="Q109" s="1408">
        <f t="shared" si="23"/>
        <v>1</v>
      </c>
      <c r="R109" s="1408"/>
      <c r="S109" s="1408"/>
      <c r="T109" s="1408"/>
      <c r="U109" s="1408">
        <f t="shared" si="22"/>
        <v>1</v>
      </c>
    </row>
    <row r="110" spans="1:21" x14ac:dyDescent="0.25">
      <c r="A110" s="1061">
        <v>1263</v>
      </c>
      <c r="B110" s="1061">
        <v>274</v>
      </c>
      <c r="C110" s="1053" t="str">
        <f t="shared" si="19"/>
        <v>PN 40</v>
      </c>
      <c r="D110" s="1064" t="s">
        <v>8133</v>
      </c>
      <c r="E110" s="1062">
        <v>16</v>
      </c>
      <c r="F110" s="1060">
        <v>31321.005000000001</v>
      </c>
      <c r="O110" s="265" t="s">
        <v>8443</v>
      </c>
      <c r="P110" s="1408"/>
      <c r="Q110" s="1408">
        <f>+Q34</f>
        <v>3</v>
      </c>
      <c r="R110" s="1408"/>
      <c r="S110" s="1408"/>
      <c r="T110" s="1408"/>
      <c r="U110" s="1408">
        <f t="shared" si="22"/>
        <v>3</v>
      </c>
    </row>
    <row r="111" spans="1:21" x14ac:dyDescent="0.25">
      <c r="A111" s="1061">
        <v>1189</v>
      </c>
      <c r="B111" s="1061">
        <v>348</v>
      </c>
      <c r="C111" s="1053" t="str">
        <f t="shared" si="19"/>
        <v>PN 40</v>
      </c>
      <c r="D111" s="1064" t="s">
        <v>8134</v>
      </c>
      <c r="E111" s="1062">
        <v>16</v>
      </c>
      <c r="F111" s="1060">
        <v>32337.823</v>
      </c>
      <c r="O111" s="265" t="s">
        <v>8444</v>
      </c>
      <c r="P111" s="1408"/>
      <c r="Q111" s="1408">
        <f>+Q37</f>
        <v>1</v>
      </c>
      <c r="R111" s="1408"/>
      <c r="S111" s="1408"/>
      <c r="T111" s="1408"/>
      <c r="U111" s="1408">
        <f t="shared" si="22"/>
        <v>1</v>
      </c>
    </row>
    <row r="112" spans="1:21" x14ac:dyDescent="0.25">
      <c r="A112" s="1061">
        <v>1155</v>
      </c>
      <c r="B112" s="1061">
        <v>382</v>
      </c>
      <c r="C112" s="1053" t="str">
        <f t="shared" si="19"/>
        <v>PN 40</v>
      </c>
      <c r="D112" s="1064" t="s">
        <v>8135</v>
      </c>
      <c r="E112" s="1062">
        <v>16</v>
      </c>
      <c r="F112" s="1060">
        <v>32979.296999999999</v>
      </c>
      <c r="O112" s="265" t="s">
        <v>8445</v>
      </c>
      <c r="P112" s="1408"/>
      <c r="Q112" s="1408">
        <f>+Q38</f>
        <v>2</v>
      </c>
      <c r="R112" s="1408"/>
      <c r="S112" s="1408"/>
      <c r="T112" s="1408"/>
      <c r="U112" s="1408">
        <f t="shared" si="22"/>
        <v>2</v>
      </c>
    </row>
    <row r="113" spans="1:21" x14ac:dyDescent="0.25">
      <c r="A113" s="1061">
        <v>1136</v>
      </c>
      <c r="B113" s="1061">
        <v>399</v>
      </c>
      <c r="C113" s="1053" t="str">
        <f t="shared" si="19"/>
        <v>PN 40</v>
      </c>
      <c r="D113" s="1064" t="s">
        <v>8136</v>
      </c>
      <c r="E113" s="1062">
        <v>14</v>
      </c>
      <c r="F113" s="1060">
        <v>33301.841999999997</v>
      </c>
      <c r="O113" s="265" t="s">
        <v>8474</v>
      </c>
      <c r="P113" s="1408"/>
      <c r="Q113" s="1408">
        <f>+Q39</f>
        <v>1</v>
      </c>
      <c r="R113" s="1408"/>
      <c r="S113" s="1408"/>
      <c r="T113" s="1408"/>
      <c r="U113" s="1408">
        <f t="shared" si="22"/>
        <v>1</v>
      </c>
    </row>
    <row r="114" spans="1:21" x14ac:dyDescent="0.25">
      <c r="A114" s="1061">
        <v>1087</v>
      </c>
      <c r="B114" s="1061">
        <v>450</v>
      </c>
      <c r="C114" s="1053" t="str">
        <f t="shared" si="19"/>
        <v>PN 60</v>
      </c>
      <c r="D114" s="1064" t="s">
        <v>8137</v>
      </c>
      <c r="E114" s="1062">
        <v>14</v>
      </c>
      <c r="F114" s="1060">
        <v>34465.394999999997</v>
      </c>
      <c r="O114" s="265" t="s">
        <v>8475</v>
      </c>
      <c r="P114" s="1408"/>
      <c r="Q114" s="1408">
        <f>+Q40</f>
        <v>1</v>
      </c>
      <c r="R114" s="1408"/>
      <c r="S114" s="1408"/>
      <c r="T114" s="1408"/>
      <c r="U114" s="1408">
        <f t="shared" si="22"/>
        <v>1</v>
      </c>
    </row>
    <row r="115" spans="1:21" ht="15.75" thickBot="1" x14ac:dyDescent="0.3">
      <c r="A115" s="1061">
        <v>1018</v>
      </c>
      <c r="B115" s="1061">
        <v>519</v>
      </c>
      <c r="C115" s="1053" t="str">
        <f t="shared" si="19"/>
        <v>PN 60</v>
      </c>
      <c r="D115" s="1064" t="s">
        <v>8138</v>
      </c>
      <c r="E115" s="1062">
        <v>12</v>
      </c>
      <c r="F115" s="1060">
        <v>35432.334000000003</v>
      </c>
      <c r="O115" s="1406" t="s">
        <v>8446</v>
      </c>
      <c r="P115" s="1409"/>
      <c r="Q115" s="1409">
        <f>+Q41</f>
        <v>1</v>
      </c>
      <c r="R115" s="1409"/>
      <c r="S115" s="1409"/>
      <c r="T115" s="1409"/>
      <c r="U115" s="1409">
        <f t="shared" si="22"/>
        <v>1</v>
      </c>
    </row>
    <row r="116" spans="1:21" x14ac:dyDescent="0.25">
      <c r="A116" s="1061">
        <v>1022</v>
      </c>
      <c r="B116" s="1061">
        <v>515</v>
      </c>
      <c r="C116" s="1053" t="str">
        <f t="shared" si="19"/>
        <v>PN 60</v>
      </c>
      <c r="D116" s="1064" t="s">
        <v>8139</v>
      </c>
      <c r="E116" s="1062">
        <v>12</v>
      </c>
      <c r="F116" s="1060">
        <v>35845.023999999998</v>
      </c>
      <c r="O116" s="1410" t="s">
        <v>8447</v>
      </c>
      <c r="P116" s="1411"/>
      <c r="Q116" s="1411"/>
      <c r="R116" s="1411">
        <f>+R7</f>
        <v>4</v>
      </c>
      <c r="S116" s="1411"/>
      <c r="T116" s="1411"/>
      <c r="U116" s="1411">
        <f t="shared" si="22"/>
        <v>4</v>
      </c>
    </row>
    <row r="117" spans="1:21" x14ac:dyDescent="0.25">
      <c r="A117" s="1063"/>
      <c r="B117" s="1063"/>
      <c r="C117" s="1059"/>
      <c r="D117" s="1063"/>
      <c r="E117" s="1063"/>
      <c r="O117" s="1407" t="s">
        <v>8448</v>
      </c>
      <c r="P117" s="1039"/>
      <c r="Q117" s="1039"/>
      <c r="R117" s="1039">
        <f>+R8</f>
        <v>10</v>
      </c>
      <c r="S117" s="1039"/>
      <c r="T117" s="1039"/>
      <c r="U117" s="1039">
        <f t="shared" si="22"/>
        <v>10</v>
      </c>
    </row>
    <row r="118" spans="1:21" x14ac:dyDescent="0.25">
      <c r="A118" s="1063" t="s">
        <v>8140</v>
      </c>
      <c r="B118" s="1063"/>
      <c r="C118" s="1059"/>
      <c r="D118" s="1063"/>
      <c r="E118" s="1063"/>
      <c r="F118" s="1063"/>
      <c r="O118" s="1407" t="s">
        <v>8449</v>
      </c>
      <c r="P118" s="1039"/>
      <c r="Q118" s="1039"/>
      <c r="R118" s="1039">
        <f>+R9</f>
        <v>10</v>
      </c>
      <c r="S118" s="1039"/>
      <c r="T118" s="1039"/>
      <c r="U118" s="1039">
        <f t="shared" si="22"/>
        <v>10</v>
      </c>
    </row>
    <row r="119" spans="1:21" x14ac:dyDescent="0.25">
      <c r="A119" s="1059" t="s">
        <v>8094</v>
      </c>
      <c r="B119" s="1059" t="s">
        <v>8095</v>
      </c>
      <c r="C119" s="1059" t="s">
        <v>7099</v>
      </c>
      <c r="D119" s="1059" t="s">
        <v>6734</v>
      </c>
      <c r="E119" s="1059" t="s">
        <v>7079</v>
      </c>
      <c r="F119" s="1063"/>
      <c r="O119" s="1407" t="s">
        <v>8450</v>
      </c>
      <c r="P119" s="1039"/>
      <c r="Q119" s="1039"/>
      <c r="R119" s="1039">
        <f>+R10</f>
        <v>4</v>
      </c>
      <c r="S119" s="1039"/>
      <c r="T119" s="1039"/>
      <c r="U119" s="1039">
        <f t="shared" si="22"/>
        <v>4</v>
      </c>
    </row>
    <row r="120" spans="1:21" s="1058" customFormat="1" ht="15.75" thickBot="1" x14ac:dyDescent="0.3">
      <c r="A120" s="1061">
        <v>2546</v>
      </c>
      <c r="B120" s="1061">
        <v>178</v>
      </c>
      <c r="C120" s="1055" t="s">
        <v>8109</v>
      </c>
      <c r="D120" s="1064" t="s">
        <v>8342</v>
      </c>
      <c r="E120" s="1062">
        <v>20</v>
      </c>
      <c r="F120" s="1060">
        <v>1005</v>
      </c>
      <c r="O120" s="1406" t="s">
        <v>8451</v>
      </c>
      <c r="P120" s="1409"/>
      <c r="Q120" s="1409"/>
      <c r="R120" s="1409">
        <f>+R11</f>
        <v>3</v>
      </c>
      <c r="S120" s="1409"/>
      <c r="T120" s="1409"/>
      <c r="U120" s="1409">
        <f t="shared" si="22"/>
        <v>3</v>
      </c>
    </row>
    <row r="121" spans="1:21" s="1058" customFormat="1" x14ac:dyDescent="0.25">
      <c r="A121" s="1061">
        <v>2629</v>
      </c>
      <c r="B121" s="1061">
        <v>178</v>
      </c>
      <c r="C121" s="1055" t="s">
        <v>8109</v>
      </c>
      <c r="D121" s="1064" t="s">
        <v>8343</v>
      </c>
      <c r="E121" s="1062">
        <v>20</v>
      </c>
      <c r="F121" s="1060">
        <v>1950</v>
      </c>
      <c r="O121" s="1410" t="s">
        <v>8452</v>
      </c>
      <c r="P121" s="1411"/>
      <c r="Q121" s="1411"/>
      <c r="R121" s="1411">
        <f t="shared" ref="R121:S125" si="24">+R7</f>
        <v>4</v>
      </c>
      <c r="S121" s="1411">
        <f t="shared" si="24"/>
        <v>0</v>
      </c>
      <c r="T121" s="1411"/>
      <c r="U121" s="1411">
        <f t="shared" si="22"/>
        <v>4</v>
      </c>
    </row>
    <row r="122" spans="1:21" x14ac:dyDescent="0.25">
      <c r="A122" s="1061">
        <v>2541</v>
      </c>
      <c r="B122" s="1061">
        <v>178</v>
      </c>
      <c r="C122" s="1398" t="str">
        <f>+IF(B122&lt;100,"PN 10", IF(B122&lt;160,"PN 16",IF(B122&lt;250,"PN 25",IF(B122&lt;400,"PN 40","PN 60"))))</f>
        <v>PN 25</v>
      </c>
      <c r="D122" s="1064" t="s">
        <v>8141</v>
      </c>
      <c r="E122" s="1062">
        <v>16</v>
      </c>
      <c r="F122" s="1060">
        <v>5280</v>
      </c>
      <c r="H122" s="1048" t="s">
        <v>7079</v>
      </c>
      <c r="I122" s="1048" t="s">
        <v>8107</v>
      </c>
      <c r="J122" s="1048" t="s">
        <v>8108</v>
      </c>
      <c r="K122" s="1048" t="s">
        <v>8109</v>
      </c>
      <c r="L122" s="1048" t="s">
        <v>8110</v>
      </c>
      <c r="M122" s="1048" t="s">
        <v>8111</v>
      </c>
      <c r="O122" s="1407" t="s">
        <v>8453</v>
      </c>
      <c r="P122" s="1039"/>
      <c r="Q122" s="1039"/>
      <c r="R122" s="1039">
        <f t="shared" si="24"/>
        <v>10</v>
      </c>
      <c r="S122" s="1039">
        <f t="shared" si="24"/>
        <v>1</v>
      </c>
      <c r="T122" s="1039"/>
      <c r="U122" s="1039">
        <f t="shared" si="22"/>
        <v>11</v>
      </c>
    </row>
    <row r="123" spans="1:21" x14ac:dyDescent="0.25">
      <c r="A123" s="1061">
        <v>2578</v>
      </c>
      <c r="B123" s="1061">
        <v>141</v>
      </c>
      <c r="C123" s="1053" t="str">
        <f t="shared" ref="C123:C128" si="25">+IF(B123&lt;100,"PN 10", IF(B123&lt;160,"PN 16",IF(B123&lt;250,"PN 25",IF(B123&lt;400,"PN 40","PN 60"))))</f>
        <v>PN 16</v>
      </c>
      <c r="D123" s="1064" t="s">
        <v>8142</v>
      </c>
      <c r="E123" s="1062">
        <v>16</v>
      </c>
      <c r="F123" s="1060">
        <v>14104.004000000001</v>
      </c>
      <c r="H123" s="1048">
        <v>10</v>
      </c>
      <c r="I123" s="1048">
        <f t="shared" ref="I123:M127" si="26">+COUNTIFS($C$120:$C$128,I$27,$E$120:$E$128,$H123)</f>
        <v>0</v>
      </c>
      <c r="J123" s="1048">
        <f t="shared" si="26"/>
        <v>0</v>
      </c>
      <c r="K123" s="1048">
        <f t="shared" si="26"/>
        <v>0</v>
      </c>
      <c r="L123" s="1048">
        <f t="shared" si="26"/>
        <v>0</v>
      </c>
      <c r="M123" s="1048">
        <f t="shared" si="26"/>
        <v>0</v>
      </c>
      <c r="O123" s="1407" t="s">
        <v>8454</v>
      </c>
      <c r="P123" s="1039"/>
      <c r="Q123" s="1039"/>
      <c r="R123" s="1039">
        <f t="shared" si="24"/>
        <v>10</v>
      </c>
      <c r="S123" s="1039">
        <f t="shared" si="24"/>
        <v>4</v>
      </c>
      <c r="T123" s="1039"/>
      <c r="U123" s="1039">
        <f t="shared" si="22"/>
        <v>14</v>
      </c>
    </row>
    <row r="124" spans="1:21" x14ac:dyDescent="0.25">
      <c r="A124" s="1061">
        <v>1019</v>
      </c>
      <c r="B124" s="1061">
        <v>518</v>
      </c>
      <c r="C124" s="1053" t="str">
        <f t="shared" si="25"/>
        <v>PN 60</v>
      </c>
      <c r="D124" s="1064" t="s">
        <v>8143</v>
      </c>
      <c r="E124" s="1062">
        <v>12</v>
      </c>
      <c r="F124" s="1060">
        <v>35471.027999999998</v>
      </c>
      <c r="H124" s="1048">
        <v>14</v>
      </c>
      <c r="I124" s="1048">
        <f t="shared" si="26"/>
        <v>0</v>
      </c>
      <c r="J124" s="1048">
        <f t="shared" si="26"/>
        <v>0</v>
      </c>
      <c r="K124" s="1048">
        <f t="shared" si="26"/>
        <v>0</v>
      </c>
      <c r="L124" s="1048">
        <f t="shared" si="26"/>
        <v>0</v>
      </c>
      <c r="M124" s="1048">
        <f t="shared" si="26"/>
        <v>1</v>
      </c>
      <c r="O124" s="1407" t="s">
        <v>8455</v>
      </c>
      <c r="P124" s="1039"/>
      <c r="Q124" s="1039"/>
      <c r="R124" s="1039">
        <f t="shared" si="24"/>
        <v>4</v>
      </c>
      <c r="S124" s="1039">
        <f t="shared" si="24"/>
        <v>2</v>
      </c>
      <c r="T124" s="1039"/>
      <c r="U124" s="1039">
        <f t="shared" si="22"/>
        <v>6</v>
      </c>
    </row>
    <row r="125" spans="1:21" ht="15.75" thickBot="1" x14ac:dyDescent="0.3">
      <c r="A125" s="1061">
        <v>1112</v>
      </c>
      <c r="B125" s="1061">
        <v>425</v>
      </c>
      <c r="C125" s="1053" t="str">
        <f t="shared" si="25"/>
        <v>PN 60</v>
      </c>
      <c r="D125" s="1064" t="s">
        <v>8144</v>
      </c>
      <c r="E125" s="1062">
        <v>14</v>
      </c>
      <c r="F125" s="1060">
        <v>36585</v>
      </c>
      <c r="H125" s="1048">
        <v>16</v>
      </c>
      <c r="I125" s="1048">
        <f t="shared" si="26"/>
        <v>0</v>
      </c>
      <c r="J125" s="1048">
        <f t="shared" si="26"/>
        <v>1</v>
      </c>
      <c r="K125" s="1048">
        <f t="shared" si="26"/>
        <v>2</v>
      </c>
      <c r="L125" s="1048">
        <f t="shared" si="26"/>
        <v>2</v>
      </c>
      <c r="M125" s="1048">
        <f t="shared" si="26"/>
        <v>0</v>
      </c>
      <c r="O125" s="1406" t="s">
        <v>8456</v>
      </c>
      <c r="P125" s="1409"/>
      <c r="Q125" s="1409"/>
      <c r="R125" s="1409">
        <f t="shared" si="24"/>
        <v>3</v>
      </c>
      <c r="S125" s="1409">
        <f t="shared" si="24"/>
        <v>2</v>
      </c>
      <c r="T125" s="1409"/>
      <c r="U125" s="1409">
        <f t="shared" si="22"/>
        <v>5</v>
      </c>
    </row>
    <row r="126" spans="1:21" x14ac:dyDescent="0.25">
      <c r="A126" s="1061">
        <v>1182</v>
      </c>
      <c r="B126" s="1061">
        <v>355</v>
      </c>
      <c r="C126" s="1053" t="str">
        <f t="shared" si="25"/>
        <v>PN 40</v>
      </c>
      <c r="D126" s="1064" t="s">
        <v>8145</v>
      </c>
      <c r="E126" s="1062">
        <v>16</v>
      </c>
      <c r="F126" s="1060">
        <v>37160</v>
      </c>
      <c r="H126" s="1048">
        <v>20</v>
      </c>
      <c r="I126" s="1048">
        <f t="shared" si="26"/>
        <v>0</v>
      </c>
      <c r="J126" s="1048">
        <f t="shared" si="26"/>
        <v>0</v>
      </c>
      <c r="K126" s="1048">
        <f t="shared" si="26"/>
        <v>2</v>
      </c>
      <c r="L126" s="1048">
        <f t="shared" si="26"/>
        <v>0</v>
      </c>
      <c r="M126" s="1048">
        <f t="shared" si="26"/>
        <v>0</v>
      </c>
      <c r="O126" s="1407" t="s">
        <v>8457</v>
      </c>
      <c r="P126" s="1039"/>
      <c r="Q126" s="1039"/>
      <c r="R126" s="1039"/>
      <c r="S126" s="1039">
        <f>+S8</f>
        <v>1</v>
      </c>
      <c r="T126" s="1039"/>
      <c r="U126" s="1039">
        <f t="shared" si="22"/>
        <v>1</v>
      </c>
    </row>
    <row r="127" spans="1:21" x14ac:dyDescent="0.25">
      <c r="A127" s="1061">
        <v>1264</v>
      </c>
      <c r="B127" s="1061">
        <v>273</v>
      </c>
      <c r="C127" s="1053" t="str">
        <f t="shared" si="25"/>
        <v>PN 40</v>
      </c>
      <c r="D127" s="1064" t="s">
        <v>8146</v>
      </c>
      <c r="E127" s="1062">
        <v>16</v>
      </c>
      <c r="F127" s="1060">
        <v>37900</v>
      </c>
      <c r="H127" s="1048">
        <v>12</v>
      </c>
      <c r="I127" s="1048">
        <f t="shared" si="26"/>
        <v>0</v>
      </c>
      <c r="J127" s="1048">
        <f t="shared" si="26"/>
        <v>0</v>
      </c>
      <c r="K127" s="1048">
        <f t="shared" si="26"/>
        <v>0</v>
      </c>
      <c r="L127" s="1048">
        <f t="shared" si="26"/>
        <v>0</v>
      </c>
      <c r="M127" s="1048">
        <f t="shared" si="26"/>
        <v>1</v>
      </c>
      <c r="O127" s="1407" t="s">
        <v>8458</v>
      </c>
      <c r="P127" s="1039"/>
      <c r="Q127" s="1039"/>
      <c r="R127" s="1039"/>
      <c r="S127" s="1039">
        <f>+S9</f>
        <v>4</v>
      </c>
      <c r="T127" s="1039"/>
      <c r="U127" s="1039">
        <f t="shared" si="22"/>
        <v>4</v>
      </c>
    </row>
    <row r="128" spans="1:21" x14ac:dyDescent="0.25">
      <c r="A128" s="1061">
        <v>1335</v>
      </c>
      <c r="B128" s="1061">
        <v>202</v>
      </c>
      <c r="C128" s="1053" t="str">
        <f t="shared" si="25"/>
        <v>PN 25</v>
      </c>
      <c r="D128" s="1064" t="s">
        <v>8147</v>
      </c>
      <c r="E128" s="1062">
        <v>16</v>
      </c>
      <c r="F128" s="1060">
        <v>38725</v>
      </c>
      <c r="O128" s="1407" t="s">
        <v>8459</v>
      </c>
      <c r="P128" s="1039"/>
      <c r="Q128" s="1039"/>
      <c r="R128" s="1039"/>
      <c r="S128" s="1039">
        <f>+S10</f>
        <v>2</v>
      </c>
      <c r="T128" s="1039"/>
      <c r="U128" s="1039">
        <f t="shared" si="22"/>
        <v>2</v>
      </c>
    </row>
    <row r="129" spans="1:21" ht="15.75" thickBot="1" x14ac:dyDescent="0.3">
      <c r="O129" s="1406" t="s">
        <v>8460</v>
      </c>
      <c r="P129" s="1409"/>
      <c r="Q129" s="1409"/>
      <c r="R129" s="1409"/>
      <c r="S129" s="1409">
        <f>+S11</f>
        <v>2</v>
      </c>
      <c r="T129" s="1409"/>
      <c r="U129" s="1409">
        <f t="shared" si="22"/>
        <v>2</v>
      </c>
    </row>
    <row r="130" spans="1:21" x14ac:dyDescent="0.25">
      <c r="O130" s="1410" t="s">
        <v>8461</v>
      </c>
      <c r="P130" s="1411"/>
      <c r="Q130" s="1411"/>
      <c r="R130" s="1411"/>
      <c r="S130" s="1411"/>
      <c r="T130" s="1411">
        <f>+SUM(K133)</f>
        <v>2</v>
      </c>
      <c r="U130" s="1411">
        <f t="shared" si="22"/>
        <v>2</v>
      </c>
    </row>
    <row r="131" spans="1:21" x14ac:dyDescent="0.25">
      <c r="A131" t="s">
        <v>8355</v>
      </c>
      <c r="O131" s="1407" t="s">
        <v>8462</v>
      </c>
      <c r="P131" s="1039"/>
      <c r="Q131" s="1039"/>
      <c r="R131" s="1039"/>
      <c r="S131" s="1039"/>
      <c r="T131" s="1039">
        <f>+SUM(K134)</f>
        <v>3</v>
      </c>
      <c r="U131" s="1039">
        <f t="shared" si="22"/>
        <v>3</v>
      </c>
    </row>
    <row r="132" spans="1:21" ht="15.75" thickBot="1" x14ac:dyDescent="0.3">
      <c r="A132" s="1062" t="s">
        <v>8094</v>
      </c>
      <c r="B132" s="1062" t="s">
        <v>8095</v>
      </c>
      <c r="C132" s="1062" t="s">
        <v>7099</v>
      </c>
      <c r="D132" s="1062" t="s">
        <v>6734</v>
      </c>
      <c r="E132" s="1062" t="s">
        <v>7079</v>
      </c>
      <c r="H132" s="1048" t="s">
        <v>7079</v>
      </c>
      <c r="I132" s="1048" t="s">
        <v>8107</v>
      </c>
      <c r="J132" s="1048" t="s">
        <v>8108</v>
      </c>
      <c r="K132" s="1048" t="s">
        <v>8109</v>
      </c>
      <c r="L132" s="1048" t="s">
        <v>8110</v>
      </c>
      <c r="M132" s="1048" t="s">
        <v>8111</v>
      </c>
      <c r="O132" s="1406" t="s">
        <v>8463</v>
      </c>
      <c r="P132" s="1409"/>
      <c r="Q132" s="1409"/>
      <c r="R132" s="1409"/>
      <c r="S132" s="1409"/>
      <c r="T132" s="1409">
        <f>+SUM(K135)</f>
        <v>1</v>
      </c>
      <c r="U132" s="1409">
        <f t="shared" si="22"/>
        <v>1</v>
      </c>
    </row>
    <row r="133" spans="1:21" x14ac:dyDescent="0.25">
      <c r="A133" s="1049"/>
      <c r="B133" s="1049"/>
      <c r="C133" s="1403" t="s">
        <v>8109</v>
      </c>
      <c r="D133" s="1403" t="s">
        <v>7098</v>
      </c>
      <c r="E133" s="1049">
        <v>10</v>
      </c>
      <c r="H133" s="1048">
        <v>10</v>
      </c>
      <c r="I133" s="1048">
        <f>+COUNTIFS($C$133:$C$138,I$27,$E$133:$E$138,$H133)</f>
        <v>0</v>
      </c>
      <c r="J133" s="1048">
        <f t="shared" ref="J133:M134" si="27">+COUNTIFS($C$133:$C$138,J$27,$E$133:$E$138,$H133)</f>
        <v>0</v>
      </c>
      <c r="K133" s="1048">
        <f t="shared" si="27"/>
        <v>2</v>
      </c>
      <c r="L133" s="1048">
        <f t="shared" si="27"/>
        <v>0</v>
      </c>
      <c r="M133" s="1048">
        <f t="shared" si="27"/>
        <v>0</v>
      </c>
    </row>
    <row r="134" spans="1:21" x14ac:dyDescent="0.25">
      <c r="A134" s="1049"/>
      <c r="B134" s="1049"/>
      <c r="C134" s="1403" t="s">
        <v>8109</v>
      </c>
      <c r="D134" s="1403" t="s">
        <v>7100</v>
      </c>
      <c r="E134" s="1049">
        <v>14</v>
      </c>
      <c r="H134" s="1048">
        <v>14</v>
      </c>
      <c r="I134" s="1048">
        <f>+COUNTIFS($C$133:$C$138,I$27,$E$133:$E$138,$H134)</f>
        <v>0</v>
      </c>
      <c r="J134" s="1048">
        <f t="shared" si="27"/>
        <v>0</v>
      </c>
      <c r="K134" s="1048">
        <f t="shared" si="27"/>
        <v>3</v>
      </c>
      <c r="L134" s="1048">
        <f t="shared" si="27"/>
        <v>0</v>
      </c>
      <c r="M134" s="1048">
        <f t="shared" si="27"/>
        <v>0</v>
      </c>
    </row>
    <row r="135" spans="1:21" x14ac:dyDescent="0.25">
      <c r="A135" s="1049"/>
      <c r="B135" s="1049"/>
      <c r="C135" s="1403" t="s">
        <v>8109</v>
      </c>
      <c r="D135" s="1403" t="s">
        <v>7101</v>
      </c>
      <c r="E135" s="1049">
        <v>14</v>
      </c>
      <c r="H135" s="1048">
        <v>16</v>
      </c>
      <c r="I135" s="1048">
        <f t="shared" ref="I135:M137" si="28">+COUNTIFS($C$133:$C$138,I$27,$E$133:$E$138,$H135)</f>
        <v>0</v>
      </c>
      <c r="J135" s="1048">
        <f t="shared" si="28"/>
        <v>0</v>
      </c>
      <c r="K135" s="1048">
        <f t="shared" si="28"/>
        <v>1</v>
      </c>
      <c r="L135" s="1048">
        <f t="shared" si="28"/>
        <v>0</v>
      </c>
      <c r="M135" s="1048">
        <f t="shared" si="28"/>
        <v>0</v>
      </c>
    </row>
    <row r="136" spans="1:21" x14ac:dyDescent="0.25">
      <c r="A136" s="1049"/>
      <c r="B136" s="1049"/>
      <c r="C136" s="1403" t="s">
        <v>8109</v>
      </c>
      <c r="D136" s="1403" t="s">
        <v>7102</v>
      </c>
      <c r="E136" s="1049">
        <v>14</v>
      </c>
      <c r="H136" s="1048">
        <v>20</v>
      </c>
      <c r="I136" s="1048">
        <f t="shared" si="28"/>
        <v>0</v>
      </c>
      <c r="J136" s="1048">
        <f t="shared" si="28"/>
        <v>0</v>
      </c>
      <c r="K136" s="1048">
        <f t="shared" si="28"/>
        <v>0</v>
      </c>
      <c r="L136" s="1048">
        <f t="shared" si="28"/>
        <v>0</v>
      </c>
      <c r="M136" s="1048">
        <f t="shared" si="28"/>
        <v>0</v>
      </c>
    </row>
    <row r="137" spans="1:21" x14ac:dyDescent="0.25">
      <c r="A137" s="1049"/>
      <c r="B137" s="1049"/>
      <c r="C137" s="1403" t="s">
        <v>8109</v>
      </c>
      <c r="D137" s="1403" t="s">
        <v>7103</v>
      </c>
      <c r="E137" s="1049">
        <v>10</v>
      </c>
      <c r="H137" s="1048">
        <v>12</v>
      </c>
      <c r="I137" s="1048">
        <f t="shared" si="28"/>
        <v>0</v>
      </c>
      <c r="J137" s="1048">
        <f t="shared" si="28"/>
        <v>0</v>
      </c>
      <c r="K137" s="1048">
        <f t="shared" si="28"/>
        <v>0</v>
      </c>
      <c r="L137" s="1048">
        <f t="shared" si="28"/>
        <v>0</v>
      </c>
      <c r="M137" s="1048">
        <f t="shared" si="28"/>
        <v>0</v>
      </c>
    </row>
    <row r="138" spans="1:21" x14ac:dyDescent="0.25">
      <c r="A138" s="1049"/>
      <c r="B138" s="1049"/>
      <c r="C138" s="1403" t="s">
        <v>8109</v>
      </c>
      <c r="D138" s="1403" t="s">
        <v>7104</v>
      </c>
      <c r="E138" s="1049">
        <v>16</v>
      </c>
    </row>
    <row r="142" spans="1:21" x14ac:dyDescent="0.25">
      <c r="A142" t="s">
        <v>8556</v>
      </c>
    </row>
    <row r="143" spans="1:21" x14ac:dyDescent="0.25">
      <c r="C143" s="1442">
        <f>+SUM(I28:M32)</f>
        <v>56</v>
      </c>
    </row>
    <row r="144" spans="1:21" x14ac:dyDescent="0.25">
      <c r="A144" s="1467" t="s">
        <v>8021</v>
      </c>
      <c r="B144" s="1467" t="s">
        <v>5542</v>
      </c>
      <c r="C144" s="1467">
        <v>3.3149999999999999</v>
      </c>
      <c r="D144" s="1438">
        <f>+$C$143*C144</f>
        <v>185.64</v>
      </c>
    </row>
    <row r="145" spans="1:21" x14ac:dyDescent="0.25">
      <c r="A145" s="1467" t="s">
        <v>6345</v>
      </c>
      <c r="B145" s="1467" t="s">
        <v>5542</v>
      </c>
      <c r="C145" s="1467">
        <v>0.1105</v>
      </c>
      <c r="D145" s="1438">
        <f t="shared" ref="D145:D154" si="29">+$C$143*C145</f>
        <v>6.1879999999999997</v>
      </c>
    </row>
    <row r="146" spans="1:21" x14ac:dyDescent="0.25">
      <c r="A146" s="1467" t="s">
        <v>8022</v>
      </c>
      <c r="B146" s="1467" t="s">
        <v>5542</v>
      </c>
      <c r="C146" s="1467">
        <v>0.33150000000000002</v>
      </c>
      <c r="D146" s="1438">
        <f t="shared" si="29"/>
        <v>18.564</v>
      </c>
    </row>
    <row r="147" spans="1:21" ht="30" x14ac:dyDescent="0.25">
      <c r="A147" s="1467" t="s">
        <v>8023</v>
      </c>
      <c r="B147" s="1467" t="s">
        <v>5542</v>
      </c>
      <c r="C147" s="1467">
        <v>0.83699999999999997</v>
      </c>
      <c r="D147" s="1438">
        <f t="shared" si="29"/>
        <v>46.872</v>
      </c>
    </row>
    <row r="148" spans="1:21" x14ac:dyDescent="0.25">
      <c r="A148" s="1467" t="s">
        <v>5741</v>
      </c>
      <c r="B148" s="1467" t="s">
        <v>5550</v>
      </c>
      <c r="C148" s="1467">
        <v>73.010000000000005</v>
      </c>
      <c r="D148" s="1438">
        <f t="shared" si="29"/>
        <v>4088.5600000000004</v>
      </c>
    </row>
    <row r="149" spans="1:21" x14ac:dyDescent="0.25">
      <c r="A149" s="1467" t="s">
        <v>8024</v>
      </c>
      <c r="B149" s="1467" t="s">
        <v>5550</v>
      </c>
      <c r="C149" s="1467">
        <v>33.618584999999996</v>
      </c>
      <c r="D149" s="1438">
        <f t="shared" si="29"/>
        <v>1882.6407599999998</v>
      </c>
    </row>
    <row r="150" spans="1:21" x14ac:dyDescent="0.25">
      <c r="A150" s="1467" t="s">
        <v>6697</v>
      </c>
      <c r="B150" s="1467" t="s">
        <v>5542</v>
      </c>
      <c r="C150" s="1467">
        <f>+C144*1.3</f>
        <v>4.3094999999999999</v>
      </c>
      <c r="D150" s="1438">
        <f t="shared" si="29"/>
        <v>241.33199999999999</v>
      </c>
    </row>
    <row r="151" spans="1:21" x14ac:dyDescent="0.25">
      <c r="A151" s="1467" t="s">
        <v>8557</v>
      </c>
      <c r="B151" s="1467" t="s">
        <v>5542</v>
      </c>
      <c r="C151" s="1467">
        <v>0.54</v>
      </c>
      <c r="D151" s="1438">
        <f t="shared" si="29"/>
        <v>30.240000000000002</v>
      </c>
    </row>
    <row r="152" spans="1:21" x14ac:dyDescent="0.25">
      <c r="A152" s="1467" t="s">
        <v>8167</v>
      </c>
      <c r="B152" s="1467" t="s">
        <v>5556</v>
      </c>
      <c r="C152" s="1467">
        <v>2.2799999999999998</v>
      </c>
      <c r="D152" s="1438">
        <f t="shared" si="29"/>
        <v>127.67999999999999</v>
      </c>
    </row>
    <row r="153" spans="1:21" x14ac:dyDescent="0.25">
      <c r="A153" s="1467" t="s">
        <v>8167</v>
      </c>
      <c r="B153" s="1467" t="s">
        <v>5402</v>
      </c>
      <c r="C153" s="1467">
        <v>3</v>
      </c>
      <c r="D153" s="1438">
        <f t="shared" si="29"/>
        <v>168</v>
      </c>
    </row>
    <row r="154" spans="1:21" s="1441" customFormat="1" x14ac:dyDescent="0.25">
      <c r="A154" s="1467" t="s">
        <v>8565</v>
      </c>
      <c r="B154" s="1467" t="s">
        <v>5424</v>
      </c>
      <c r="C154" s="1467">
        <v>3</v>
      </c>
      <c r="D154" s="1438">
        <f t="shared" si="29"/>
        <v>168</v>
      </c>
      <c r="O154"/>
      <c r="P154" s="1048"/>
      <c r="Q154" s="1048"/>
      <c r="R154" s="1048"/>
      <c r="S154" s="1048"/>
      <c r="T154" s="1048"/>
      <c r="U154" s="1048"/>
    </row>
    <row r="156" spans="1:21" x14ac:dyDescent="0.25">
      <c r="A156" s="1441" t="s">
        <v>8559</v>
      </c>
    </row>
    <row r="157" spans="1:21" x14ac:dyDescent="0.25">
      <c r="C157" s="1442">
        <f>+SUM(I7:M11)</f>
        <v>20</v>
      </c>
    </row>
    <row r="158" spans="1:21" x14ac:dyDescent="0.25">
      <c r="A158" s="1467" t="s">
        <v>8021</v>
      </c>
      <c r="B158" s="1442" t="s">
        <v>5542</v>
      </c>
      <c r="C158" s="1442">
        <v>9.1960000000000015</v>
      </c>
      <c r="D158" s="1438">
        <f>+$C$157*C158</f>
        <v>183.92000000000002</v>
      </c>
    </row>
    <row r="159" spans="1:21" x14ac:dyDescent="0.25">
      <c r="A159" s="1467" t="s">
        <v>6345</v>
      </c>
      <c r="B159" s="1442" t="s">
        <v>5542</v>
      </c>
      <c r="C159" s="1442">
        <v>0.23750000000000002</v>
      </c>
      <c r="D159" s="1438">
        <f t="shared" ref="D159:D168" si="30">+$C$157*C159</f>
        <v>4.75</v>
      </c>
    </row>
    <row r="160" spans="1:21" x14ac:dyDescent="0.25">
      <c r="A160" s="1467" t="s">
        <v>8022</v>
      </c>
      <c r="B160" s="1442" t="s">
        <v>5542</v>
      </c>
      <c r="C160" s="1442">
        <v>0.71250000000000002</v>
      </c>
      <c r="D160" s="1438">
        <f t="shared" si="30"/>
        <v>14.25</v>
      </c>
    </row>
    <row r="161" spans="1:21" ht="30" x14ac:dyDescent="0.25">
      <c r="A161" s="1467" t="s">
        <v>8023</v>
      </c>
      <c r="B161" s="1442" t="s">
        <v>5542</v>
      </c>
      <c r="C161" s="1442">
        <v>2.6890000000000005</v>
      </c>
      <c r="D161" s="1438">
        <f t="shared" si="30"/>
        <v>53.780000000000008</v>
      </c>
    </row>
    <row r="162" spans="1:21" x14ac:dyDescent="0.25">
      <c r="A162" s="1467" t="s">
        <v>5741</v>
      </c>
      <c r="B162" s="1442" t="s">
        <v>5550</v>
      </c>
      <c r="C162" s="1442">
        <v>231.7</v>
      </c>
      <c r="D162" s="1438">
        <f t="shared" si="30"/>
        <v>4634</v>
      </c>
    </row>
    <row r="163" spans="1:21" x14ac:dyDescent="0.25">
      <c r="A163" s="1467" t="s">
        <v>8024</v>
      </c>
      <c r="B163" s="1442" t="s">
        <v>5550</v>
      </c>
      <c r="C163" s="1442">
        <v>102.14704500000002</v>
      </c>
      <c r="D163" s="1438">
        <f t="shared" si="30"/>
        <v>2042.9409000000005</v>
      </c>
    </row>
    <row r="164" spans="1:21" x14ac:dyDescent="0.25">
      <c r="A164" s="1467" t="s">
        <v>6697</v>
      </c>
      <c r="C164" s="1442">
        <f>+C158*1.3</f>
        <v>11.954800000000002</v>
      </c>
      <c r="D164" s="1438">
        <f t="shared" si="30"/>
        <v>239.09600000000006</v>
      </c>
    </row>
    <row r="165" spans="1:21" x14ac:dyDescent="0.25">
      <c r="A165" s="1467" t="s">
        <v>8557</v>
      </c>
      <c r="C165" s="1442">
        <v>0.94199999999999995</v>
      </c>
      <c r="D165" s="1438">
        <f t="shared" si="30"/>
        <v>18.84</v>
      </c>
    </row>
    <row r="166" spans="1:21" x14ac:dyDescent="0.25">
      <c r="A166" s="1467" t="s">
        <v>8167</v>
      </c>
      <c r="C166" s="1442">
        <v>4.71</v>
      </c>
      <c r="D166" s="1438">
        <f t="shared" si="30"/>
        <v>94.2</v>
      </c>
    </row>
    <row r="167" spans="1:21" x14ac:dyDescent="0.25">
      <c r="A167" s="1467" t="s">
        <v>8167</v>
      </c>
      <c r="C167" s="1442">
        <v>3</v>
      </c>
      <c r="D167" s="1438">
        <f t="shared" si="30"/>
        <v>60</v>
      </c>
    </row>
    <row r="168" spans="1:21" s="1441" customFormat="1" x14ac:dyDescent="0.25">
      <c r="A168" s="1467" t="s">
        <v>8565</v>
      </c>
      <c r="C168" s="1442">
        <v>5</v>
      </c>
      <c r="D168" s="1438">
        <f t="shared" si="30"/>
        <v>100</v>
      </c>
      <c r="O168"/>
      <c r="P168" s="1048"/>
      <c r="Q168" s="1048"/>
      <c r="R168" s="1048"/>
      <c r="S168" s="1048"/>
      <c r="T168" s="1048"/>
      <c r="U168" s="1048"/>
    </row>
    <row r="169" spans="1:21" x14ac:dyDescent="0.25">
      <c r="C169" s="1442"/>
    </row>
    <row r="170" spans="1:21" x14ac:dyDescent="0.25">
      <c r="A170" s="1441" t="s">
        <v>8561</v>
      </c>
    </row>
    <row r="171" spans="1:21" x14ac:dyDescent="0.25">
      <c r="C171" s="1442">
        <f>+SUM(I123:M127)</f>
        <v>9</v>
      </c>
    </row>
    <row r="172" spans="1:21" ht="15.75" x14ac:dyDescent="0.25">
      <c r="A172" s="1467" t="s">
        <v>8021</v>
      </c>
      <c r="B172" s="1442" t="s">
        <v>6421</v>
      </c>
      <c r="C172" s="1442">
        <f>+(1+0.15*2)*(1+0.4+0.15*2)*(0.1+1.8+0.2+0.05+0.15)</f>
        <v>5.0829999999999993</v>
      </c>
      <c r="D172" s="1438">
        <f>+$C$171*C172</f>
        <v>45.746999999999993</v>
      </c>
    </row>
    <row r="173" spans="1:21" ht="15.75" x14ac:dyDescent="0.25">
      <c r="A173" s="1467" t="s">
        <v>6345</v>
      </c>
      <c r="B173" s="1442" t="s">
        <v>6421</v>
      </c>
      <c r="C173" s="1442">
        <f>+(1+0.15*2)*(1+0.4+0.15*2)*0.05</f>
        <v>0.1105</v>
      </c>
      <c r="D173" s="1438">
        <f t="shared" ref="D173:D182" si="31">+$C$171*C173</f>
        <v>0.99450000000000005</v>
      </c>
    </row>
    <row r="174" spans="1:21" ht="15.75" x14ac:dyDescent="0.25">
      <c r="A174" s="1467" t="s">
        <v>8022</v>
      </c>
      <c r="B174" s="1442" t="s">
        <v>6421</v>
      </c>
      <c r="C174" s="1442">
        <f>+(1+0.15*2)*(1+0.6+0.15*2)*0.15</f>
        <v>0.3705</v>
      </c>
      <c r="D174" s="1438">
        <f t="shared" si="31"/>
        <v>3.3344999999999998</v>
      </c>
    </row>
    <row r="175" spans="1:21" ht="30" x14ac:dyDescent="0.25">
      <c r="A175" s="1467" t="s">
        <v>8023</v>
      </c>
      <c r="B175" s="1442" t="s">
        <v>6421</v>
      </c>
      <c r="C175" s="1442">
        <f>+(1+0.15*2)*(1+0.4+0.15*2)*0.1+1.8*1*0.15*2+(0.15*2+1.4)*0.15*1.8*2</f>
        <v>1.679</v>
      </c>
      <c r="D175" s="1438">
        <f t="shared" si="31"/>
        <v>15.111000000000001</v>
      </c>
    </row>
    <row r="176" spans="1:21" x14ac:dyDescent="0.25">
      <c r="A176" s="1467" t="s">
        <v>5741</v>
      </c>
      <c r="B176" s="1442" t="s">
        <v>5550</v>
      </c>
      <c r="C176" s="1442">
        <v>128</v>
      </c>
      <c r="D176" s="1438">
        <f t="shared" si="31"/>
        <v>1152</v>
      </c>
    </row>
    <row r="177" spans="1:21" x14ac:dyDescent="0.25">
      <c r="A177" s="1467" t="s">
        <v>8024</v>
      </c>
      <c r="B177" s="1442" t="s">
        <v>5550</v>
      </c>
      <c r="C177" s="1442">
        <f>+(C174+C175)*0.364*1650*0.05</f>
        <v>61.546485000000011</v>
      </c>
      <c r="D177" s="1438">
        <f t="shared" si="31"/>
        <v>553.91836500000011</v>
      </c>
    </row>
    <row r="178" spans="1:21" ht="15.75" x14ac:dyDescent="0.25">
      <c r="A178" s="1467" t="s">
        <v>6697</v>
      </c>
      <c r="B178" s="1442" t="s">
        <v>6421</v>
      </c>
      <c r="C178" s="1442">
        <f>+C172*1.3</f>
        <v>6.607899999999999</v>
      </c>
      <c r="D178" s="1438">
        <f t="shared" si="31"/>
        <v>59.471099999999993</v>
      </c>
    </row>
    <row r="179" spans="1:21" x14ac:dyDescent="0.25">
      <c r="A179" s="1467" t="s">
        <v>8557</v>
      </c>
      <c r="B179" s="1442"/>
      <c r="C179" s="1442">
        <v>0.57999999999999996</v>
      </c>
      <c r="D179" s="1438">
        <f t="shared" si="31"/>
        <v>5.22</v>
      </c>
    </row>
    <row r="180" spans="1:21" x14ac:dyDescent="0.25">
      <c r="A180" s="1467" t="s">
        <v>8167</v>
      </c>
      <c r="B180" s="1442"/>
      <c r="C180" s="1442">
        <v>2.89</v>
      </c>
      <c r="D180" s="1438">
        <f t="shared" si="31"/>
        <v>26.01</v>
      </c>
    </row>
    <row r="181" spans="1:21" x14ac:dyDescent="0.25">
      <c r="A181" s="1467" t="s">
        <v>8167</v>
      </c>
      <c r="B181" s="1442"/>
      <c r="C181" s="1442">
        <v>3</v>
      </c>
      <c r="D181" s="1438">
        <f t="shared" si="31"/>
        <v>27</v>
      </c>
    </row>
    <row r="182" spans="1:21" s="1441" customFormat="1" x14ac:dyDescent="0.25">
      <c r="A182" s="1467" t="s">
        <v>8565</v>
      </c>
      <c r="B182" s="1442"/>
      <c r="C182" s="1442">
        <v>5</v>
      </c>
      <c r="D182" s="1438">
        <f t="shared" si="31"/>
        <v>45</v>
      </c>
      <c r="O182"/>
      <c r="P182" s="1048"/>
      <c r="Q182" s="1048"/>
      <c r="R182" s="1048"/>
      <c r="S182" s="1048"/>
      <c r="T182" s="1048"/>
      <c r="U182" s="1048"/>
    </row>
    <row r="183" spans="1:21" x14ac:dyDescent="0.25">
      <c r="A183" s="1442"/>
    </row>
    <row r="184" spans="1:21" x14ac:dyDescent="0.25">
      <c r="A184" s="1441" t="s">
        <v>8563</v>
      </c>
      <c r="B184" s="1441"/>
      <c r="C184" s="1441"/>
      <c r="D184" s="1441"/>
    </row>
    <row r="185" spans="1:21" x14ac:dyDescent="0.25">
      <c r="A185" s="1441"/>
      <c r="B185" s="1441"/>
      <c r="C185" s="1442">
        <f>+SUM(I91:M95)</f>
        <v>31</v>
      </c>
      <c r="D185" s="1441"/>
    </row>
    <row r="186" spans="1:21" x14ac:dyDescent="0.25">
      <c r="A186" s="1467" t="s">
        <v>8021</v>
      </c>
      <c r="B186" s="1467" t="s">
        <v>5542</v>
      </c>
      <c r="C186" s="1467">
        <v>4.641</v>
      </c>
      <c r="D186" s="1438">
        <f>+$C$185*C186</f>
        <v>143.87100000000001</v>
      </c>
    </row>
    <row r="187" spans="1:21" x14ac:dyDescent="0.25">
      <c r="A187" s="1467" t="s">
        <v>6345</v>
      </c>
      <c r="B187" s="1467" t="s">
        <v>5542</v>
      </c>
      <c r="C187" s="1467">
        <v>0.1105</v>
      </c>
      <c r="D187" s="1438">
        <f t="shared" ref="D187:D196" si="32">+$C$185*C187</f>
        <v>3.4255</v>
      </c>
    </row>
    <row r="188" spans="1:21" x14ac:dyDescent="0.25">
      <c r="A188" s="1467" t="s">
        <v>8022</v>
      </c>
      <c r="B188" s="1467" t="s">
        <v>5542</v>
      </c>
      <c r="C188" s="1467">
        <v>0.33149999999999996</v>
      </c>
      <c r="D188" s="1438">
        <f t="shared" si="32"/>
        <v>10.276499999999999</v>
      </c>
    </row>
    <row r="189" spans="1:21" ht="30" x14ac:dyDescent="0.25">
      <c r="A189" s="1467" t="s">
        <v>8023</v>
      </c>
      <c r="B189" s="1467" t="s">
        <v>5542</v>
      </c>
      <c r="C189" s="1467">
        <v>1.5169999999999999</v>
      </c>
      <c r="D189" s="1438">
        <f t="shared" si="32"/>
        <v>47.026999999999994</v>
      </c>
    </row>
    <row r="190" spans="1:21" x14ac:dyDescent="0.25">
      <c r="A190" s="1467" t="s">
        <v>5741</v>
      </c>
      <c r="B190" s="1467" t="s">
        <v>5550</v>
      </c>
      <c r="C190" s="1467">
        <v>128</v>
      </c>
      <c r="D190" s="1438">
        <f t="shared" si="32"/>
        <v>3968</v>
      </c>
    </row>
    <row r="191" spans="1:21" x14ac:dyDescent="0.25">
      <c r="A191" s="1467" t="s">
        <v>8024</v>
      </c>
      <c r="B191" s="1467" t="s">
        <v>5550</v>
      </c>
      <c r="C191" s="1467">
        <v>55.510454999999993</v>
      </c>
      <c r="D191" s="1438">
        <f t="shared" si="32"/>
        <v>1720.8241049999997</v>
      </c>
    </row>
    <row r="192" spans="1:21" x14ac:dyDescent="0.25">
      <c r="A192" s="1467" t="s">
        <v>6697</v>
      </c>
      <c r="B192" s="1467" t="s">
        <v>5542</v>
      </c>
      <c r="C192" s="1467">
        <f>+C186*1.3</f>
        <v>6.0333000000000006</v>
      </c>
      <c r="D192" s="1438">
        <f t="shared" si="32"/>
        <v>187.03230000000002</v>
      </c>
    </row>
    <row r="193" spans="1:4" x14ac:dyDescent="0.25">
      <c r="A193" s="1467" t="s">
        <v>8557</v>
      </c>
      <c r="B193" s="1467" t="s">
        <v>5542</v>
      </c>
      <c r="C193" s="1467">
        <v>0.5</v>
      </c>
      <c r="D193" s="1438">
        <f t="shared" si="32"/>
        <v>15.5</v>
      </c>
    </row>
    <row r="194" spans="1:4" x14ac:dyDescent="0.25">
      <c r="A194" s="1467" t="s">
        <v>8167</v>
      </c>
      <c r="B194" s="1467" t="s">
        <v>5556</v>
      </c>
      <c r="C194" s="1467">
        <v>4.71</v>
      </c>
      <c r="D194" s="1438">
        <f t="shared" si="32"/>
        <v>146.01</v>
      </c>
    </row>
    <row r="195" spans="1:4" x14ac:dyDescent="0.25">
      <c r="A195" s="1467" t="s">
        <v>8167</v>
      </c>
      <c r="B195" s="1467" t="s">
        <v>5402</v>
      </c>
      <c r="C195" s="1467">
        <v>3</v>
      </c>
      <c r="D195" s="1438">
        <f t="shared" si="32"/>
        <v>93</v>
      </c>
    </row>
    <row r="196" spans="1:4" x14ac:dyDescent="0.25">
      <c r="A196" s="1467" t="s">
        <v>8565</v>
      </c>
      <c r="C196" s="1467">
        <v>5</v>
      </c>
      <c r="D196" s="1438">
        <f t="shared" si="32"/>
        <v>155</v>
      </c>
    </row>
    <row r="199" spans="1:4" x14ac:dyDescent="0.25">
      <c r="A199" s="1441" t="s">
        <v>8566</v>
      </c>
      <c r="C199">
        <f>+SUM(I133:M137)</f>
        <v>6</v>
      </c>
    </row>
    <row r="200" spans="1:4" x14ac:dyDescent="0.25">
      <c r="A200" t="s">
        <v>8021</v>
      </c>
      <c r="B200" t="s">
        <v>5542</v>
      </c>
      <c r="C200">
        <v>16.380000000000003</v>
      </c>
      <c r="D200" s="1438">
        <f>+$C$199*C200</f>
        <v>98.280000000000015</v>
      </c>
    </row>
    <row r="201" spans="1:4" x14ac:dyDescent="0.25">
      <c r="A201" t="s">
        <v>6345</v>
      </c>
      <c r="B201" t="s">
        <v>5542</v>
      </c>
      <c r="C201">
        <v>0.31500000000000006</v>
      </c>
      <c r="D201" s="1438">
        <f t="shared" ref="D201:D210" si="33">+$C$199*C201</f>
        <v>1.8900000000000003</v>
      </c>
    </row>
    <row r="202" spans="1:4" x14ac:dyDescent="0.25">
      <c r="A202" t="s">
        <v>8022</v>
      </c>
      <c r="B202" t="s">
        <v>5542</v>
      </c>
      <c r="C202">
        <v>2.3199999999999998</v>
      </c>
      <c r="D202" s="1438">
        <f t="shared" si="33"/>
        <v>13.919999999999998</v>
      </c>
    </row>
    <row r="203" spans="1:4" x14ac:dyDescent="0.25">
      <c r="A203" t="s">
        <v>8023</v>
      </c>
      <c r="B203" t="s">
        <v>5542</v>
      </c>
      <c r="C203">
        <v>7</v>
      </c>
      <c r="D203" s="1438">
        <f t="shared" si="33"/>
        <v>42</v>
      </c>
    </row>
    <row r="204" spans="1:4" x14ac:dyDescent="0.25">
      <c r="A204" t="s">
        <v>5741</v>
      </c>
      <c r="B204" t="s">
        <v>5550</v>
      </c>
      <c r="C204">
        <v>807</v>
      </c>
      <c r="D204" s="1438">
        <f t="shared" si="33"/>
        <v>4842</v>
      </c>
    </row>
    <row r="205" spans="1:4" x14ac:dyDescent="0.25">
      <c r="A205" t="s">
        <v>8024</v>
      </c>
      <c r="B205" t="s">
        <v>5550</v>
      </c>
      <c r="C205">
        <v>209.45925</v>
      </c>
      <c r="D205" s="1438">
        <f t="shared" si="33"/>
        <v>1256.7555</v>
      </c>
    </row>
    <row r="206" spans="1:4" x14ac:dyDescent="0.25">
      <c r="A206" t="s">
        <v>6697</v>
      </c>
      <c r="B206" t="s">
        <v>5542</v>
      </c>
      <c r="C206">
        <f>+C200*1.3</f>
        <v>21.294000000000004</v>
      </c>
      <c r="D206" s="1438">
        <f t="shared" si="33"/>
        <v>127.76400000000002</v>
      </c>
    </row>
    <row r="207" spans="1:4" x14ac:dyDescent="0.25">
      <c r="A207" s="1415" t="s">
        <v>8557</v>
      </c>
      <c r="C207">
        <v>1.1200000000000001</v>
      </c>
      <c r="D207" s="1438">
        <f t="shared" si="33"/>
        <v>6.7200000000000006</v>
      </c>
    </row>
    <row r="208" spans="1:4" x14ac:dyDescent="0.25">
      <c r="A208" s="1415" t="s">
        <v>8167</v>
      </c>
      <c r="C208">
        <v>5.0999999999999996</v>
      </c>
      <c r="D208" s="1438">
        <f t="shared" si="33"/>
        <v>30.599999999999998</v>
      </c>
    </row>
    <row r="209" spans="1:4" x14ac:dyDescent="0.25">
      <c r="A209" s="1415" t="s">
        <v>8167</v>
      </c>
      <c r="C209">
        <v>3</v>
      </c>
      <c r="D209" s="1438">
        <f t="shared" si="33"/>
        <v>18</v>
      </c>
    </row>
    <row r="210" spans="1:4" x14ac:dyDescent="0.25">
      <c r="A210" s="1415" t="s">
        <v>8565</v>
      </c>
      <c r="C210">
        <v>5</v>
      </c>
      <c r="D210" s="1438">
        <f t="shared" si="33"/>
        <v>30</v>
      </c>
    </row>
  </sheetData>
  <pageMargins left="0.7" right="0.7" top="0.75" bottom="0.75" header="0.3" footer="0.3"/>
  <pageSetup paperSize="9" scale="56" orientation="portrait" r:id="rId1"/>
  <rowBreaks count="1" manualBreakCount="1">
    <brk id="84" max="16383" man="1"/>
  </rowBreaks>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361"/>
  <sheetViews>
    <sheetView workbookViewId="0"/>
  </sheetViews>
  <sheetFormatPr baseColWidth="10" defaultRowHeight="15" x14ac:dyDescent="0.25"/>
  <cols>
    <col min="1" max="1" width="65" style="987" customWidth="1"/>
    <col min="2" max="2" width="11.42578125" style="1048"/>
    <col min="3" max="6" width="24.85546875" style="871" customWidth="1"/>
    <col min="8" max="9" width="24.85546875" style="871" customWidth="1"/>
    <col min="10" max="12" width="24.85546875" style="672" customWidth="1"/>
    <col min="13" max="13" width="17.7109375" bestFit="1" customWidth="1"/>
    <col min="14" max="14" width="14.42578125" customWidth="1"/>
    <col min="16" max="16" width="17" bestFit="1" customWidth="1"/>
  </cols>
  <sheetData>
    <row r="1" spans="1:20" x14ac:dyDescent="0.25">
      <c r="A1" s="984" t="s">
        <v>5403</v>
      </c>
      <c r="B1" s="985" t="s">
        <v>867</v>
      </c>
      <c r="C1" s="986" t="s">
        <v>870</v>
      </c>
      <c r="D1" s="870"/>
      <c r="E1" s="870" t="s">
        <v>8003</v>
      </c>
      <c r="F1" s="870" t="s">
        <v>8002</v>
      </c>
      <c r="H1" s="870"/>
      <c r="I1" s="870"/>
      <c r="J1" s="869"/>
      <c r="K1" s="865"/>
      <c r="L1" s="865"/>
      <c r="M1" s="732"/>
      <c r="O1">
        <v>1</v>
      </c>
    </row>
    <row r="2" spans="1:20" x14ac:dyDescent="0.25">
      <c r="A2" s="1303" t="s">
        <v>6834</v>
      </c>
      <c r="B2" s="1304" t="s">
        <v>5431</v>
      </c>
      <c r="C2" s="1305">
        <v>3887.5659999999998</v>
      </c>
      <c r="D2" s="946">
        <f>+F2+E2</f>
        <v>0.12520000000000001</v>
      </c>
      <c r="E2" s="946">
        <f>6.77/100</f>
        <v>6.7699999999999996E-2</v>
      </c>
      <c r="F2" s="946">
        <f>5.75/100</f>
        <v>5.7500000000000002E-2</v>
      </c>
      <c r="H2" s="866"/>
      <c r="I2" s="866"/>
      <c r="J2" s="866"/>
      <c r="K2" s="866"/>
      <c r="L2" s="866"/>
    </row>
    <row r="3" spans="1:20" x14ac:dyDescent="0.25">
      <c r="A3" s="1303" t="s">
        <v>6854</v>
      </c>
      <c r="B3" s="1304" t="s">
        <v>5431</v>
      </c>
      <c r="C3" s="1477">
        <f>1700*1.19*1.5</f>
        <v>3034.5</v>
      </c>
      <c r="D3" s="866">
        <v>2813</v>
      </c>
      <c r="E3" s="866">
        <f>1700*1.19</f>
        <v>2023</v>
      </c>
      <c r="F3" s="866">
        <f>1*40</f>
        <v>40</v>
      </c>
      <c r="H3" s="866"/>
      <c r="I3" s="866"/>
      <c r="J3" s="866"/>
      <c r="K3" s="866"/>
      <c r="L3" s="866"/>
    </row>
    <row r="4" spans="1:20" x14ac:dyDescent="0.25">
      <c r="A4" s="1303" t="s">
        <v>7927</v>
      </c>
      <c r="B4" s="1306" t="s">
        <v>5424</v>
      </c>
      <c r="C4" s="1305">
        <v>6242924.6559999995</v>
      </c>
      <c r="D4" s="866"/>
      <c r="E4" s="866"/>
      <c r="H4" s="866"/>
      <c r="I4" s="866"/>
      <c r="J4" s="866"/>
      <c r="K4" s="866"/>
      <c r="L4" s="866"/>
    </row>
    <row r="5" spans="1:20" x14ac:dyDescent="0.25">
      <c r="A5" s="1303" t="s">
        <v>6968</v>
      </c>
      <c r="B5" s="1306" t="s">
        <v>5424</v>
      </c>
      <c r="C5" s="1305">
        <f>+SUM!H1952</f>
        <v>118203</v>
      </c>
      <c r="D5" s="866"/>
      <c r="E5" s="866"/>
      <c r="H5" s="866"/>
      <c r="I5" s="866"/>
      <c r="J5" s="866"/>
      <c r="K5" s="866"/>
      <c r="L5" s="866"/>
    </row>
    <row r="6" spans="1:20" x14ac:dyDescent="0.25">
      <c r="A6" s="1303" t="s">
        <v>7034</v>
      </c>
      <c r="B6" s="1306" t="s">
        <v>5424</v>
      </c>
      <c r="C6" s="1305">
        <f>+SUM!H1953</f>
        <v>163560</v>
      </c>
      <c r="D6" s="866"/>
      <c r="E6" s="866"/>
      <c r="F6" s="866"/>
      <c r="H6" s="866"/>
      <c r="I6" s="866"/>
      <c r="J6" s="866"/>
      <c r="K6" s="866"/>
      <c r="L6" s="866"/>
      <c r="M6" s="627"/>
    </row>
    <row r="7" spans="1:20" x14ac:dyDescent="0.25">
      <c r="A7" s="1303" t="s">
        <v>7052</v>
      </c>
      <c r="B7" s="1306" t="s">
        <v>5424</v>
      </c>
      <c r="C7" s="1305">
        <f>+SUM!H1955</f>
        <v>258397</v>
      </c>
      <c r="D7" s="866"/>
      <c r="E7" s="866"/>
      <c r="F7" s="866"/>
      <c r="H7" s="866"/>
      <c r="I7" s="866"/>
      <c r="J7" s="866"/>
      <c r="K7" s="866"/>
      <c r="L7" s="866"/>
      <c r="M7" s="627"/>
    </row>
    <row r="8" spans="1:20" x14ac:dyDescent="0.25">
      <c r="A8" s="1303" t="s">
        <v>6976</v>
      </c>
      <c r="B8" s="1306" t="s">
        <v>5424</v>
      </c>
      <c r="C8" s="1305">
        <f>+SUM!H1957</f>
        <v>481058</v>
      </c>
      <c r="D8" s="866"/>
      <c r="E8" s="866"/>
      <c r="F8" s="866"/>
      <c r="H8" s="866"/>
      <c r="I8" s="866"/>
      <c r="J8" s="866"/>
      <c r="K8" s="866"/>
      <c r="L8" s="866"/>
    </row>
    <row r="9" spans="1:20" x14ac:dyDescent="0.25">
      <c r="A9" s="1303" t="s">
        <v>6979</v>
      </c>
      <c r="B9" s="1306" t="s">
        <v>5424</v>
      </c>
      <c r="C9" s="1305">
        <f>+SUM!H1961</f>
        <v>743577</v>
      </c>
      <c r="D9" s="866"/>
      <c r="E9" s="866"/>
      <c r="F9" s="866"/>
      <c r="H9" s="866"/>
      <c r="I9" s="866"/>
      <c r="J9" s="866"/>
      <c r="K9" s="866"/>
      <c r="L9" s="866"/>
    </row>
    <row r="10" spans="1:20" x14ac:dyDescent="0.25">
      <c r="A10" s="1303" t="s">
        <v>6855</v>
      </c>
      <c r="B10" s="1304" t="s">
        <v>5488</v>
      </c>
      <c r="C10" s="1305">
        <v>30</v>
      </c>
      <c r="D10" s="866"/>
      <c r="E10" s="866"/>
      <c r="F10" s="866"/>
      <c r="H10" s="866"/>
      <c r="I10" s="866"/>
      <c r="J10" s="866"/>
      <c r="K10" s="866"/>
      <c r="L10" s="866"/>
      <c r="M10" s="696"/>
    </row>
    <row r="11" spans="1:20" x14ac:dyDescent="0.25">
      <c r="A11" s="1303" t="s">
        <v>6913</v>
      </c>
      <c r="B11" s="1306" t="s">
        <v>5402</v>
      </c>
      <c r="C11" s="1305">
        <v>450.08</v>
      </c>
      <c r="D11" s="866"/>
      <c r="E11" s="866"/>
      <c r="F11" s="866"/>
      <c r="H11" s="866"/>
      <c r="I11" s="866"/>
      <c r="J11" s="866"/>
      <c r="K11" s="866"/>
      <c r="L11" s="866"/>
    </row>
    <row r="12" spans="1:20" x14ac:dyDescent="0.25">
      <c r="A12" s="1303" t="s">
        <v>6856</v>
      </c>
      <c r="B12" s="1304" t="s">
        <v>5431</v>
      </c>
      <c r="C12" s="1477">
        <f>+(E12+F12)*1.5</f>
        <v>4076.25</v>
      </c>
      <c r="D12" s="866">
        <v>4500.8</v>
      </c>
      <c r="E12" s="866">
        <f>2250*1.19</f>
        <v>2677.5</v>
      </c>
      <c r="F12" s="866">
        <f>1*40</f>
        <v>40</v>
      </c>
      <c r="H12" s="866"/>
      <c r="I12" s="866"/>
      <c r="J12" s="866"/>
      <c r="K12" s="866"/>
      <c r="L12" s="866"/>
    </row>
    <row r="13" spans="1:20" x14ac:dyDescent="0.25">
      <c r="A13" s="1303" t="s">
        <v>6917</v>
      </c>
      <c r="B13" s="1306" t="s">
        <v>5431</v>
      </c>
      <c r="C13" s="1305">
        <v>5684.016544859136</v>
      </c>
      <c r="D13" s="866"/>
      <c r="E13" s="866"/>
      <c r="F13" s="866"/>
      <c r="H13" s="866"/>
      <c r="I13" s="866"/>
      <c r="J13" s="866"/>
      <c r="K13" s="866"/>
      <c r="L13" s="866"/>
    </row>
    <row r="14" spans="1:20" x14ac:dyDescent="0.25">
      <c r="A14" s="1303" t="s">
        <v>6914</v>
      </c>
      <c r="B14" s="1306" t="s">
        <v>5734</v>
      </c>
      <c r="C14" s="1305">
        <v>5063.3999999999996</v>
      </c>
      <c r="D14" s="866"/>
      <c r="E14" s="866"/>
      <c r="F14" s="866"/>
      <c r="H14" s="866"/>
      <c r="I14" s="866"/>
      <c r="J14" s="866"/>
      <c r="K14" s="866"/>
      <c r="L14" s="866"/>
      <c r="M14" s="639"/>
      <c r="N14" s="639"/>
      <c r="O14" s="639"/>
      <c r="P14" s="639"/>
      <c r="Q14" s="639"/>
      <c r="R14" s="639"/>
      <c r="S14" s="639"/>
      <c r="T14" s="639"/>
    </row>
    <row r="15" spans="1:20" x14ac:dyDescent="0.25">
      <c r="A15" s="1303" t="s">
        <v>6857</v>
      </c>
      <c r="B15" s="1304" t="s">
        <v>6858</v>
      </c>
      <c r="C15" s="1305">
        <v>61886</v>
      </c>
      <c r="D15" s="866"/>
      <c r="E15" s="866"/>
      <c r="F15" s="866"/>
      <c r="H15" s="866"/>
      <c r="I15" s="866"/>
      <c r="J15" s="866"/>
      <c r="K15" s="866"/>
      <c r="L15" s="866"/>
      <c r="M15" s="639"/>
      <c r="N15" s="639"/>
      <c r="O15" s="639"/>
      <c r="P15" s="639"/>
      <c r="Q15" s="639"/>
      <c r="R15" s="639"/>
      <c r="S15" s="639"/>
      <c r="T15" s="639"/>
    </row>
    <row r="16" spans="1:20" x14ac:dyDescent="0.25">
      <c r="A16" s="1303" t="s">
        <v>6859</v>
      </c>
      <c r="B16" s="1304" t="s">
        <v>5542</v>
      </c>
      <c r="C16" s="1477">
        <f>+E16+F16</f>
        <v>99611</v>
      </c>
      <c r="D16" s="866">
        <v>96767.2</v>
      </c>
      <c r="E16" s="866">
        <f>(86900-20000)*1.19</f>
        <v>79611</v>
      </c>
      <c r="F16" s="866">
        <f>40*500</f>
        <v>20000</v>
      </c>
      <c r="H16" s="866"/>
      <c r="I16" s="866"/>
      <c r="J16" s="866"/>
      <c r="K16" s="866"/>
      <c r="L16" s="866"/>
      <c r="M16" s="639"/>
      <c r="N16" s="639"/>
      <c r="O16" s="639"/>
      <c r="P16" s="639"/>
      <c r="Q16" s="639"/>
      <c r="R16" s="639"/>
      <c r="S16" s="639"/>
      <c r="T16" s="639"/>
    </row>
    <row r="17" spans="1:20" x14ac:dyDescent="0.25">
      <c r="A17" s="1303" t="s">
        <v>6944</v>
      </c>
      <c r="B17" s="1304" t="s">
        <v>6858</v>
      </c>
      <c r="C17" s="1305">
        <v>2658.757584</v>
      </c>
      <c r="D17" s="866"/>
      <c r="E17" s="866"/>
      <c r="F17" s="866"/>
      <c r="H17" s="866"/>
      <c r="I17" s="866"/>
      <c r="J17" s="866"/>
      <c r="K17" s="866"/>
      <c r="L17" s="866"/>
      <c r="M17" s="639"/>
      <c r="N17" s="639"/>
      <c r="O17" s="639"/>
      <c r="P17" s="639"/>
      <c r="Q17" s="639"/>
      <c r="R17" s="639"/>
      <c r="S17" s="639"/>
      <c r="T17" s="639"/>
    </row>
    <row r="18" spans="1:20" x14ac:dyDescent="0.25">
      <c r="A18" s="1303" t="s">
        <v>6860</v>
      </c>
      <c r="B18" s="1304" t="s">
        <v>6858</v>
      </c>
      <c r="C18" s="1305">
        <v>484550.97323375999</v>
      </c>
      <c r="D18" s="866"/>
      <c r="E18" s="866"/>
      <c r="F18" s="866"/>
      <c r="H18" s="866"/>
      <c r="I18" s="866"/>
      <c r="J18" s="866"/>
      <c r="K18" s="866"/>
      <c r="L18" s="866"/>
      <c r="M18" s="639"/>
      <c r="N18" s="639"/>
      <c r="O18" s="639"/>
      <c r="P18" s="639"/>
      <c r="Q18" s="639"/>
      <c r="R18" s="639"/>
      <c r="S18" s="639"/>
      <c r="T18" s="639"/>
    </row>
    <row r="19" spans="1:20" x14ac:dyDescent="0.25">
      <c r="A19" s="1303" t="s">
        <v>6912</v>
      </c>
      <c r="B19" s="1306" t="s">
        <v>5542</v>
      </c>
      <c r="C19" s="1305">
        <v>506340</v>
      </c>
      <c r="D19" s="866"/>
      <c r="E19" s="866"/>
      <c r="F19" s="866"/>
      <c r="H19" s="866"/>
      <c r="I19" s="866"/>
      <c r="J19" s="866"/>
      <c r="K19" s="866"/>
      <c r="L19" s="866"/>
      <c r="M19" s="639"/>
      <c r="N19" s="639"/>
      <c r="O19" s="639"/>
      <c r="P19" s="639"/>
      <c r="Q19" s="639"/>
      <c r="R19" s="639"/>
      <c r="S19" s="639"/>
      <c r="T19" s="639"/>
    </row>
    <row r="20" spans="1:20" x14ac:dyDescent="0.25">
      <c r="A20" s="1303" t="s">
        <v>6901</v>
      </c>
      <c r="B20" s="1306" t="s">
        <v>5424</v>
      </c>
      <c r="C20" s="1305">
        <v>700</v>
      </c>
      <c r="D20" s="866"/>
      <c r="E20" s="866"/>
      <c r="F20" s="866"/>
      <c r="H20" s="866"/>
      <c r="I20" s="866"/>
      <c r="J20" s="866"/>
      <c r="K20" s="866"/>
      <c r="L20" s="866"/>
      <c r="M20" s="639"/>
      <c r="N20" s="639"/>
      <c r="O20" s="639"/>
      <c r="P20" s="639"/>
      <c r="Q20" s="639"/>
      <c r="R20" s="639"/>
      <c r="S20" s="639"/>
      <c r="T20" s="639"/>
    </row>
    <row r="21" spans="1:20" x14ac:dyDescent="0.25">
      <c r="A21" s="1303" t="s">
        <v>6947</v>
      </c>
      <c r="B21" s="1306" t="s">
        <v>6876</v>
      </c>
      <c r="C21" s="1305">
        <v>443126.26399999997</v>
      </c>
      <c r="D21" s="866"/>
      <c r="E21" s="866"/>
      <c r="F21" s="866"/>
      <c r="H21" s="866"/>
      <c r="I21" s="866"/>
      <c r="J21" s="866"/>
      <c r="K21" s="866"/>
      <c r="L21" s="866"/>
      <c r="M21" s="639"/>
      <c r="N21" s="639"/>
      <c r="O21" s="639"/>
      <c r="P21" s="639"/>
      <c r="Q21" s="639"/>
      <c r="R21" s="639"/>
      <c r="S21" s="639"/>
      <c r="T21" s="639"/>
    </row>
    <row r="22" spans="1:20" x14ac:dyDescent="0.25">
      <c r="A22" s="1303" t="s">
        <v>7938</v>
      </c>
      <c r="B22" s="1306" t="s">
        <v>5424</v>
      </c>
      <c r="C22" s="1305">
        <v>89930484.799999997</v>
      </c>
      <c r="D22" s="866"/>
      <c r="E22" s="866"/>
      <c r="F22" s="866"/>
      <c r="H22" s="866"/>
      <c r="I22" s="866"/>
      <c r="J22" s="866"/>
      <c r="K22" s="866"/>
      <c r="L22" s="866"/>
      <c r="M22" s="639"/>
      <c r="N22" s="639"/>
      <c r="O22" s="639"/>
      <c r="P22" s="639"/>
      <c r="Q22" s="639"/>
      <c r="R22" s="639"/>
      <c r="S22" s="639"/>
      <c r="T22" s="639"/>
    </row>
    <row r="23" spans="1:20" x14ac:dyDescent="0.25">
      <c r="A23" s="1307" t="s">
        <v>7016</v>
      </c>
      <c r="B23" s="1306" t="s">
        <v>5402</v>
      </c>
      <c r="C23" s="1305">
        <v>5873.5439999999999</v>
      </c>
      <c r="D23" s="866"/>
      <c r="E23" s="866"/>
      <c r="F23" s="866"/>
      <c r="H23" s="866"/>
      <c r="I23" s="866"/>
      <c r="J23" s="866"/>
      <c r="K23" s="866"/>
      <c r="L23" s="866"/>
      <c r="M23" s="639"/>
      <c r="N23" s="639"/>
      <c r="O23" s="639"/>
      <c r="P23" s="639"/>
      <c r="Q23" s="639"/>
      <c r="R23" s="639"/>
      <c r="S23" s="639"/>
      <c r="T23" s="639"/>
    </row>
    <row r="24" spans="1:20" x14ac:dyDescent="0.25">
      <c r="A24" s="1303" t="s">
        <v>7015</v>
      </c>
      <c r="B24" s="1306" t="s">
        <v>5402</v>
      </c>
      <c r="C24" s="1305">
        <v>104418.56</v>
      </c>
      <c r="D24" s="866"/>
      <c r="E24" s="866"/>
      <c r="F24" s="866"/>
      <c r="H24" s="866"/>
      <c r="I24" s="866"/>
      <c r="J24" s="866"/>
      <c r="K24" s="866"/>
      <c r="L24" s="866"/>
      <c r="M24" s="639"/>
      <c r="N24" s="639"/>
      <c r="O24" s="639"/>
      <c r="P24" s="639"/>
      <c r="Q24" s="639"/>
      <c r="R24" s="639"/>
      <c r="S24" s="639"/>
      <c r="T24" s="639"/>
    </row>
    <row r="25" spans="1:20" x14ac:dyDescent="0.25">
      <c r="A25" s="1307" t="s">
        <v>7017</v>
      </c>
      <c r="B25" s="1306" t="s">
        <v>5402</v>
      </c>
      <c r="C25" s="1305">
        <v>5873.5439999999999</v>
      </c>
      <c r="D25" s="866"/>
      <c r="E25" s="866"/>
      <c r="F25" s="866"/>
      <c r="H25" s="866"/>
      <c r="I25" s="866"/>
      <c r="J25" s="866"/>
      <c r="K25" s="866"/>
      <c r="L25" s="866"/>
      <c r="M25" s="639"/>
      <c r="N25" s="639"/>
      <c r="O25" s="639"/>
      <c r="P25" s="639"/>
      <c r="Q25" s="639"/>
      <c r="R25" s="639"/>
      <c r="S25" s="639"/>
      <c r="T25" s="639"/>
    </row>
    <row r="26" spans="1:20" x14ac:dyDescent="0.25">
      <c r="A26" s="1303" t="s">
        <v>6836</v>
      </c>
      <c r="B26" s="1304" t="s">
        <v>5550</v>
      </c>
      <c r="C26" s="1477">
        <f>+F26+E26</f>
        <v>470</v>
      </c>
      <c r="D26" s="866">
        <v>585.1</v>
      </c>
      <c r="E26" s="866">
        <v>430</v>
      </c>
      <c r="F26" s="866">
        <f>1*40</f>
        <v>40</v>
      </c>
      <c r="H26" s="866"/>
      <c r="I26" s="866"/>
      <c r="J26" s="866"/>
      <c r="K26" s="866"/>
      <c r="L26" s="866"/>
      <c r="M26" s="639"/>
      <c r="N26" s="639"/>
      <c r="O26" s="639"/>
      <c r="P26" s="639"/>
      <c r="Q26" s="639"/>
      <c r="R26" s="639"/>
      <c r="S26" s="639"/>
      <c r="T26" s="639"/>
    </row>
    <row r="27" spans="1:20" x14ac:dyDescent="0.25">
      <c r="A27" s="1303" t="s">
        <v>6903</v>
      </c>
      <c r="B27" s="1306" t="s">
        <v>17</v>
      </c>
      <c r="C27" s="1305">
        <v>31651.876</v>
      </c>
      <c r="D27" s="866"/>
      <c r="E27" s="866"/>
      <c r="F27" s="866"/>
      <c r="H27" s="866"/>
      <c r="I27" s="866"/>
      <c r="J27" s="866"/>
      <c r="K27" s="866"/>
      <c r="L27" s="866"/>
      <c r="M27" s="639"/>
      <c r="N27" s="639"/>
      <c r="O27" s="639"/>
      <c r="P27" s="639"/>
      <c r="Q27" s="639"/>
      <c r="R27" s="639"/>
      <c r="S27" s="639"/>
      <c r="T27" s="639"/>
    </row>
    <row r="28" spans="1:20" x14ac:dyDescent="0.25">
      <c r="A28" s="1303" t="s">
        <v>5579</v>
      </c>
      <c r="B28" s="1304" t="s">
        <v>5402</v>
      </c>
      <c r="C28" s="1305">
        <v>35241.264000000003</v>
      </c>
      <c r="D28" s="866"/>
      <c r="E28" s="866"/>
      <c r="F28" s="866"/>
      <c r="H28" s="866"/>
      <c r="I28" s="866"/>
      <c r="J28" s="866"/>
      <c r="K28" s="866"/>
      <c r="L28" s="866"/>
      <c r="M28" s="639"/>
      <c r="N28" s="639"/>
      <c r="O28" s="639"/>
      <c r="P28" s="639"/>
      <c r="Q28" s="639"/>
      <c r="R28" s="639"/>
      <c r="S28" s="639"/>
      <c r="T28" s="639"/>
    </row>
    <row r="29" spans="1:20" x14ac:dyDescent="0.25">
      <c r="A29" s="1303" t="s">
        <v>7385</v>
      </c>
      <c r="B29" s="1304" t="s">
        <v>5424</v>
      </c>
      <c r="C29" s="1308">
        <f>+AVERAGE(SUM!H1469,SUM!H1482)</f>
        <v>1373075.5</v>
      </c>
      <c r="D29" s="997"/>
      <c r="E29" s="866"/>
      <c r="F29" s="866"/>
      <c r="H29" s="866"/>
      <c r="I29" s="866"/>
      <c r="J29" s="866"/>
      <c r="K29" s="866"/>
      <c r="L29" s="866"/>
      <c r="M29" s="906"/>
      <c r="N29" s="907"/>
      <c r="O29" s="639"/>
      <c r="P29" s="639"/>
      <c r="Q29" s="639"/>
      <c r="R29" s="639"/>
      <c r="S29" s="639"/>
      <c r="T29" s="639"/>
    </row>
    <row r="30" spans="1:20" x14ac:dyDescent="0.25">
      <c r="A30" s="1303" t="s">
        <v>7552</v>
      </c>
      <c r="B30" s="1304" t="s">
        <v>5424</v>
      </c>
      <c r="C30" s="1308">
        <f>+AVERAGE(SUM!H1471,SUM!H1484)</f>
        <v>2412847</v>
      </c>
      <c r="D30" s="997"/>
      <c r="E30" s="866"/>
      <c r="F30" s="866"/>
      <c r="H30" s="866"/>
      <c r="I30" s="866"/>
      <c r="J30" s="866"/>
      <c r="K30" s="866"/>
      <c r="L30" s="866"/>
      <c r="M30" s="906"/>
      <c r="N30" s="907"/>
      <c r="O30" s="639"/>
      <c r="P30" s="639"/>
      <c r="Q30" s="639"/>
      <c r="R30" s="639"/>
      <c r="S30" s="639"/>
      <c r="T30" s="639"/>
    </row>
    <row r="31" spans="1:20" x14ac:dyDescent="0.25">
      <c r="A31" s="1303" t="s">
        <v>7923</v>
      </c>
      <c r="B31" s="1304" t="s">
        <v>5424</v>
      </c>
      <c r="C31" s="1308">
        <f>+SUM!H1454</f>
        <v>498925</v>
      </c>
      <c r="D31" s="997"/>
      <c r="E31" s="866"/>
      <c r="F31" s="866"/>
      <c r="H31" s="866"/>
      <c r="I31" s="866"/>
      <c r="J31" s="866"/>
      <c r="K31" s="866"/>
      <c r="L31" s="866"/>
      <c r="M31" s="906"/>
      <c r="N31" s="907"/>
      <c r="O31" s="639"/>
      <c r="P31" s="639"/>
      <c r="Q31" s="639"/>
      <c r="R31" s="639"/>
      <c r="S31" s="639"/>
      <c r="T31" s="639"/>
    </row>
    <row r="32" spans="1:20" x14ac:dyDescent="0.25">
      <c r="A32" s="1303" t="s">
        <v>7977</v>
      </c>
      <c r="B32" s="1304" t="s">
        <v>5424</v>
      </c>
      <c r="C32" s="1308">
        <f>+SUM!H1455</f>
        <v>946996</v>
      </c>
      <c r="D32" s="997"/>
      <c r="E32" s="866"/>
      <c r="F32" s="866"/>
      <c r="H32" s="866"/>
      <c r="I32" s="866"/>
      <c r="J32" s="866"/>
      <c r="K32" s="866"/>
      <c r="L32" s="866"/>
      <c r="M32" s="906"/>
      <c r="N32" s="907"/>
      <c r="O32" s="639"/>
      <c r="P32" s="639"/>
      <c r="Q32" s="639"/>
      <c r="R32" s="639"/>
      <c r="S32" s="639"/>
      <c r="T32" s="639"/>
    </row>
    <row r="33" spans="1:20" x14ac:dyDescent="0.25">
      <c r="A33" s="1303" t="s">
        <v>7386</v>
      </c>
      <c r="B33" s="1304" t="s">
        <v>5424</v>
      </c>
      <c r="C33" s="1308">
        <f>+SUM!H1456</f>
        <v>1485780</v>
      </c>
      <c r="D33" s="997"/>
      <c r="E33" s="866"/>
      <c r="F33" s="866"/>
      <c r="H33" s="866"/>
      <c r="I33" s="866"/>
      <c r="J33" s="866"/>
      <c r="K33" s="866"/>
      <c r="L33" s="866"/>
      <c r="M33" s="906"/>
      <c r="N33" s="907"/>
      <c r="O33" s="639"/>
      <c r="P33" s="639"/>
      <c r="Q33" s="639"/>
      <c r="R33" s="639"/>
      <c r="S33" s="639"/>
      <c r="T33" s="639"/>
    </row>
    <row r="34" spans="1:20" x14ac:dyDescent="0.25">
      <c r="A34" s="1303" t="s">
        <v>7553</v>
      </c>
      <c r="B34" s="1304" t="s">
        <v>5424</v>
      </c>
      <c r="C34" s="1308">
        <f>+SUM!H1458</f>
        <v>2751649</v>
      </c>
      <c r="D34" s="997"/>
      <c r="E34" s="866"/>
      <c r="F34" s="866"/>
      <c r="H34" s="866"/>
      <c r="I34" s="866"/>
      <c r="J34" s="866"/>
      <c r="K34" s="866"/>
      <c r="L34" s="866"/>
      <c r="M34" s="906"/>
      <c r="N34" s="907"/>
      <c r="O34" s="639"/>
      <c r="P34" s="639"/>
      <c r="Q34" s="639"/>
      <c r="R34" s="639"/>
      <c r="S34" s="639"/>
      <c r="T34" s="639"/>
    </row>
    <row r="35" spans="1:20" x14ac:dyDescent="0.25">
      <c r="A35" s="1303" t="s">
        <v>6995</v>
      </c>
      <c r="B35" s="1304" t="s">
        <v>5424</v>
      </c>
      <c r="C35" s="1308">
        <f>+SUM!H1440</f>
        <v>328494</v>
      </c>
      <c r="D35" s="997"/>
      <c r="E35" s="866"/>
      <c r="F35" s="866"/>
      <c r="H35" s="866"/>
      <c r="I35" s="866"/>
      <c r="J35" s="866"/>
      <c r="K35" s="866"/>
      <c r="L35" s="866"/>
      <c r="M35" s="906"/>
      <c r="N35" s="907"/>
      <c r="O35" s="639"/>
      <c r="P35" s="639"/>
      <c r="Q35" s="639"/>
      <c r="R35" s="639"/>
      <c r="S35" s="639"/>
      <c r="T35" s="639"/>
    </row>
    <row r="36" spans="1:20" x14ac:dyDescent="0.25">
      <c r="A36" s="1303" t="s">
        <v>6996</v>
      </c>
      <c r="B36" s="1306" t="s">
        <v>5424</v>
      </c>
      <c r="C36" s="1308">
        <f>+SUM!H1336</f>
        <v>175930</v>
      </c>
      <c r="D36" s="997"/>
      <c r="E36" s="866"/>
      <c r="F36" s="866"/>
      <c r="H36" s="866"/>
      <c r="I36" s="866"/>
      <c r="J36" s="866"/>
      <c r="K36" s="866"/>
      <c r="L36" s="866"/>
      <c r="M36" s="906"/>
      <c r="N36" s="907"/>
      <c r="O36" s="639"/>
      <c r="P36" s="639"/>
      <c r="Q36" s="639"/>
      <c r="R36" s="639"/>
      <c r="S36" s="639"/>
      <c r="T36" s="639"/>
    </row>
    <row r="37" spans="1:20" x14ac:dyDescent="0.25">
      <c r="A37" s="1303" t="s">
        <v>7924</v>
      </c>
      <c r="B37" s="1304" t="s">
        <v>5424</v>
      </c>
      <c r="C37" s="1308">
        <f>+SUM!H1441</f>
        <v>560776</v>
      </c>
      <c r="D37" s="997"/>
      <c r="E37" s="866"/>
      <c r="F37" s="866"/>
      <c r="H37" s="866"/>
      <c r="I37" s="866"/>
      <c r="J37" s="866"/>
      <c r="K37" s="866"/>
      <c r="L37" s="866"/>
      <c r="M37" s="906"/>
      <c r="N37" s="907"/>
      <c r="O37" s="639"/>
      <c r="P37" s="639"/>
      <c r="Q37" s="639"/>
      <c r="R37" s="639"/>
      <c r="S37" s="639"/>
      <c r="T37" s="639"/>
    </row>
    <row r="38" spans="1:20" x14ac:dyDescent="0.25">
      <c r="A38" s="1303" t="s">
        <v>7069</v>
      </c>
      <c r="B38" s="1304" t="s">
        <v>5424</v>
      </c>
      <c r="C38" s="1308">
        <f>+SUM!H1442</f>
        <v>988230</v>
      </c>
      <c r="D38" s="997"/>
      <c r="E38" s="866"/>
      <c r="F38" s="866"/>
      <c r="H38" s="866"/>
      <c r="I38" s="866"/>
      <c r="J38" s="866"/>
      <c r="K38" s="866"/>
      <c r="L38" s="866"/>
      <c r="M38" s="906"/>
      <c r="N38" s="907"/>
      <c r="O38" s="639"/>
      <c r="P38" s="639"/>
      <c r="Q38" s="639"/>
      <c r="R38" s="639"/>
      <c r="S38" s="639"/>
      <c r="T38" s="639"/>
    </row>
    <row r="39" spans="1:20" x14ac:dyDescent="0.25">
      <c r="A39" s="1303" t="s">
        <v>7387</v>
      </c>
      <c r="B39" s="1304" t="s">
        <v>5424</v>
      </c>
      <c r="C39" s="1308">
        <f>+SUM!H1443</f>
        <v>1782662</v>
      </c>
      <c r="D39" s="997"/>
      <c r="E39" s="866"/>
      <c r="F39" s="866"/>
      <c r="H39" s="866"/>
      <c r="I39" s="866"/>
      <c r="J39" s="866"/>
      <c r="K39" s="866"/>
      <c r="L39" s="866"/>
      <c r="M39" s="906"/>
      <c r="N39" s="907"/>
      <c r="O39" s="639"/>
      <c r="P39" s="639"/>
      <c r="Q39" s="639"/>
      <c r="R39" s="639"/>
      <c r="S39" s="639"/>
      <c r="T39" s="639"/>
    </row>
    <row r="40" spans="1:20" x14ac:dyDescent="0.25">
      <c r="A40" s="1303" t="s">
        <v>7554</v>
      </c>
      <c r="B40" s="1306" t="s">
        <v>5424</v>
      </c>
      <c r="C40" s="1308">
        <f>+SUM!H1445</f>
        <v>3322046</v>
      </c>
      <c r="D40" s="997"/>
      <c r="E40" s="866"/>
      <c r="F40" s="866"/>
      <c r="H40" s="866"/>
      <c r="I40" s="866"/>
      <c r="J40" s="866"/>
      <c r="K40" s="866"/>
      <c r="L40" s="866"/>
      <c r="M40" s="906"/>
      <c r="N40" s="907"/>
      <c r="O40" s="639"/>
      <c r="P40" s="639"/>
      <c r="Q40" s="639"/>
      <c r="R40" s="639"/>
      <c r="S40" s="639"/>
      <c r="T40" s="639"/>
    </row>
    <row r="41" spans="1:20" x14ac:dyDescent="0.25">
      <c r="A41" s="1303" t="s">
        <v>7713</v>
      </c>
      <c r="B41" s="1304" t="s">
        <v>5424</v>
      </c>
      <c r="C41" s="1308">
        <f>+SUM!H1446</f>
        <v>4288284</v>
      </c>
      <c r="D41" s="997"/>
      <c r="E41" s="866"/>
      <c r="F41" s="866"/>
      <c r="H41" s="866"/>
      <c r="I41" s="866"/>
      <c r="J41" s="866"/>
      <c r="K41" s="866"/>
      <c r="L41" s="866"/>
      <c r="M41" s="906"/>
      <c r="N41" s="907"/>
      <c r="O41" s="639"/>
      <c r="P41" s="639"/>
      <c r="Q41" s="639"/>
      <c r="R41" s="639"/>
      <c r="S41" s="639"/>
      <c r="T41" s="639"/>
    </row>
    <row r="42" spans="1:20" x14ac:dyDescent="0.25">
      <c r="A42" s="1303" t="s">
        <v>6955</v>
      </c>
      <c r="B42" s="1306" t="s">
        <v>5424</v>
      </c>
      <c r="C42" s="1305">
        <f>+SUM!H116</f>
        <v>143054</v>
      </c>
      <c r="D42" s="866"/>
      <c r="E42" s="866"/>
      <c r="F42" s="866"/>
      <c r="H42" s="866"/>
      <c r="I42" s="866"/>
      <c r="J42" s="866"/>
      <c r="K42" s="866"/>
      <c r="L42" s="866"/>
      <c r="M42" s="906"/>
      <c r="N42" s="639"/>
      <c r="O42" s="639"/>
      <c r="P42" s="639"/>
      <c r="Q42" s="639"/>
      <c r="R42" s="639"/>
      <c r="S42" s="639"/>
      <c r="T42" s="639"/>
    </row>
    <row r="43" spans="1:20" x14ac:dyDescent="0.25">
      <c r="A43" s="1303" t="s">
        <v>6861</v>
      </c>
      <c r="B43" s="1304" t="s">
        <v>5481</v>
      </c>
      <c r="C43" s="1305">
        <v>10126.799999999999</v>
      </c>
      <c r="D43" s="866"/>
      <c r="E43" s="866"/>
      <c r="F43" s="866"/>
      <c r="H43" s="866"/>
      <c r="I43" s="866"/>
      <c r="J43" s="866"/>
      <c r="K43" s="866"/>
      <c r="L43" s="866"/>
      <c r="M43" s="639"/>
      <c r="N43" s="639"/>
      <c r="O43" s="639"/>
      <c r="P43" s="639"/>
      <c r="Q43" s="639"/>
      <c r="R43" s="639"/>
      <c r="S43" s="639"/>
      <c r="T43" s="639"/>
    </row>
    <row r="44" spans="1:20" x14ac:dyDescent="0.25">
      <c r="A44" s="1303" t="s">
        <v>6862</v>
      </c>
      <c r="B44" s="1304" t="s">
        <v>5481</v>
      </c>
      <c r="C44" s="1305">
        <v>73138</v>
      </c>
      <c r="D44" s="866"/>
      <c r="E44" s="866"/>
      <c r="F44" s="866"/>
      <c r="H44" s="866"/>
      <c r="I44" s="866"/>
      <c r="J44" s="866"/>
      <c r="K44" s="866"/>
      <c r="L44" s="866"/>
      <c r="M44" s="639"/>
      <c r="N44" s="639"/>
      <c r="O44" s="639"/>
      <c r="P44" s="639"/>
      <c r="Q44" s="639"/>
      <c r="R44" s="639"/>
      <c r="S44" s="639"/>
      <c r="T44" s="639"/>
    </row>
    <row r="45" spans="1:20" x14ac:dyDescent="0.25">
      <c r="A45" s="1303" t="s">
        <v>6991</v>
      </c>
      <c r="B45" s="1306" t="s">
        <v>5424</v>
      </c>
      <c r="C45" s="1305">
        <v>4486996.0464000003</v>
      </c>
      <c r="D45" s="866"/>
      <c r="E45" s="866"/>
      <c r="F45" s="866"/>
      <c r="H45" s="866"/>
      <c r="I45" s="866"/>
      <c r="J45" s="866"/>
      <c r="K45" s="866"/>
      <c r="L45" s="866"/>
      <c r="M45" s="639"/>
      <c r="N45" s="639"/>
      <c r="O45" s="639"/>
      <c r="P45" s="639"/>
      <c r="Q45" s="639"/>
      <c r="R45" s="639"/>
      <c r="S45" s="639"/>
      <c r="T45" s="639"/>
    </row>
    <row r="46" spans="1:20" x14ac:dyDescent="0.25">
      <c r="A46" s="1303" t="s">
        <v>6990</v>
      </c>
      <c r="B46" s="1306" t="s">
        <v>5424</v>
      </c>
      <c r="C46" s="1305">
        <v>6937438.6031999998</v>
      </c>
      <c r="D46" s="866"/>
      <c r="E46" s="866"/>
      <c r="F46" s="866"/>
      <c r="H46" s="866"/>
      <c r="I46" s="866"/>
      <c r="J46" s="866"/>
      <c r="K46" s="866"/>
      <c r="L46" s="866"/>
      <c r="M46" s="639"/>
      <c r="N46" s="639"/>
      <c r="O46" s="639"/>
      <c r="P46" s="639"/>
      <c r="Q46" s="639"/>
      <c r="R46" s="639"/>
      <c r="S46" s="639"/>
      <c r="T46" s="639"/>
    </row>
    <row r="47" spans="1:20" ht="30" x14ac:dyDescent="0.25">
      <c r="A47" s="1309" t="s">
        <v>7067</v>
      </c>
      <c r="B47" s="1306"/>
      <c r="C47" s="1305">
        <f>+SUM!H2353</f>
        <v>1591521</v>
      </c>
      <c r="D47" s="997"/>
      <c r="E47" s="866"/>
      <c r="F47" s="866"/>
      <c r="H47" s="866"/>
      <c r="I47" s="866"/>
      <c r="J47" s="866"/>
      <c r="K47" s="866"/>
      <c r="L47" s="866"/>
      <c r="M47" s="639"/>
      <c r="N47" s="639"/>
      <c r="O47" s="639"/>
      <c r="P47" s="639"/>
      <c r="Q47" s="639"/>
      <c r="R47" s="639"/>
      <c r="S47" s="639"/>
      <c r="T47" s="639"/>
    </row>
    <row r="48" spans="1:20" x14ac:dyDescent="0.25">
      <c r="A48" s="1303" t="s">
        <v>6949</v>
      </c>
      <c r="B48" s="1304" t="s">
        <v>6858</v>
      </c>
      <c r="C48" s="1305">
        <v>381515.20157535333</v>
      </c>
      <c r="D48" s="866"/>
      <c r="E48" s="866"/>
      <c r="F48" s="866"/>
      <c r="H48" s="866"/>
      <c r="I48" s="866"/>
      <c r="J48" s="866"/>
      <c r="K48" s="866"/>
      <c r="L48" s="866"/>
      <c r="M48" s="639"/>
      <c r="N48" s="639"/>
      <c r="O48" s="639"/>
      <c r="P48" s="639"/>
      <c r="Q48" s="639"/>
      <c r="R48" s="639"/>
      <c r="S48" s="639"/>
      <c r="T48" s="639"/>
    </row>
    <row r="49" spans="1:20" x14ac:dyDescent="0.25">
      <c r="A49" s="1303" t="s">
        <v>6950</v>
      </c>
      <c r="B49" s="1304" t="s">
        <v>6858</v>
      </c>
      <c r="C49" s="1305">
        <v>701490.39918767998</v>
      </c>
      <c r="D49" s="866"/>
      <c r="E49" s="866"/>
      <c r="F49" s="866"/>
      <c r="H49" s="866"/>
      <c r="I49" s="866"/>
      <c r="J49" s="866"/>
      <c r="K49" s="866"/>
      <c r="L49" s="866"/>
      <c r="M49" s="639"/>
      <c r="N49" s="639"/>
      <c r="O49" s="639"/>
      <c r="P49" s="639"/>
      <c r="Q49" s="639"/>
      <c r="R49" s="639"/>
      <c r="S49" s="639"/>
      <c r="T49" s="639"/>
    </row>
    <row r="50" spans="1:20" x14ac:dyDescent="0.25">
      <c r="A50" s="1303" t="s">
        <v>6951</v>
      </c>
      <c r="B50" s="1304" t="s">
        <v>5542</v>
      </c>
      <c r="C50" s="1305">
        <v>847978.7178050743</v>
      </c>
      <c r="D50" s="866"/>
      <c r="E50" s="866"/>
      <c r="F50" s="866"/>
      <c r="H50" s="866"/>
      <c r="I50" s="866"/>
      <c r="J50" s="866"/>
      <c r="K50" s="866"/>
      <c r="L50" s="866"/>
      <c r="M50" s="639"/>
      <c r="N50" s="639"/>
      <c r="O50" s="639"/>
      <c r="P50" s="639"/>
      <c r="Q50" s="639"/>
      <c r="R50" s="639"/>
      <c r="S50" s="639"/>
      <c r="T50" s="639"/>
    </row>
    <row r="51" spans="1:20" x14ac:dyDescent="0.25">
      <c r="A51" s="1303" t="s">
        <v>6919</v>
      </c>
      <c r="B51" s="1306" t="s">
        <v>5734</v>
      </c>
      <c r="C51" s="1305">
        <v>2794.8353292991997</v>
      </c>
      <c r="D51" s="866"/>
      <c r="E51" s="866"/>
      <c r="F51" s="866"/>
      <c r="H51" s="866"/>
      <c r="I51" s="866"/>
      <c r="J51" s="866"/>
      <c r="K51" s="866"/>
      <c r="L51" s="866"/>
      <c r="M51" s="639"/>
      <c r="N51" s="639"/>
      <c r="O51" s="639"/>
      <c r="P51" s="639"/>
      <c r="Q51" s="639"/>
      <c r="R51" s="639"/>
      <c r="S51" s="639"/>
      <c r="T51" s="639"/>
    </row>
    <row r="52" spans="1:20" x14ac:dyDescent="0.25">
      <c r="A52" s="1303" t="s">
        <v>6863</v>
      </c>
      <c r="B52" s="1306" t="s">
        <v>5481</v>
      </c>
      <c r="C52" s="1305">
        <v>103518.39999999999</v>
      </c>
      <c r="D52" s="866"/>
      <c r="E52" s="866"/>
      <c r="F52" s="866"/>
      <c r="H52" s="866"/>
      <c r="I52" s="866"/>
      <c r="J52" s="866"/>
      <c r="K52" s="866"/>
      <c r="L52" s="866"/>
      <c r="M52" s="639"/>
      <c r="N52" s="639"/>
      <c r="O52" s="639"/>
      <c r="P52" s="639"/>
      <c r="Q52" s="639"/>
      <c r="R52" s="639"/>
      <c r="S52" s="639"/>
      <c r="T52" s="639"/>
    </row>
    <row r="53" spans="1:20" x14ac:dyDescent="0.25">
      <c r="A53" s="1303" t="s">
        <v>6983</v>
      </c>
      <c r="B53" s="1306" t="s">
        <v>5424</v>
      </c>
      <c r="C53" s="1308">
        <f>(2297900+946000)/2</f>
        <v>1621950</v>
      </c>
      <c r="D53" s="997"/>
      <c r="E53" s="866"/>
      <c r="F53" s="866"/>
      <c r="H53" s="866"/>
      <c r="I53" s="866"/>
      <c r="J53" s="866"/>
      <c r="K53" s="866"/>
      <c r="L53" s="866"/>
      <c r="M53" s="639"/>
      <c r="N53" s="639"/>
      <c r="O53" s="639"/>
      <c r="P53" s="639"/>
      <c r="Q53" s="639"/>
      <c r="R53" s="639"/>
      <c r="S53" s="639"/>
      <c r="T53" s="639"/>
    </row>
    <row r="54" spans="1:20" x14ac:dyDescent="0.25">
      <c r="A54" s="1303" t="s">
        <v>6878</v>
      </c>
      <c r="B54" s="1306" t="s">
        <v>5475</v>
      </c>
      <c r="C54" s="1305">
        <v>5626</v>
      </c>
      <c r="D54" s="866"/>
      <c r="E54" s="866"/>
      <c r="F54" s="866"/>
      <c r="H54" s="866"/>
      <c r="I54" s="866"/>
      <c r="J54" s="866"/>
      <c r="K54" s="866"/>
      <c r="L54" s="866"/>
      <c r="M54" s="639"/>
      <c r="N54" s="639"/>
      <c r="O54" s="639"/>
      <c r="P54" s="639"/>
      <c r="Q54" s="639"/>
      <c r="R54" s="639"/>
      <c r="S54" s="639"/>
      <c r="T54" s="639"/>
    </row>
    <row r="55" spans="1:20" x14ac:dyDescent="0.25">
      <c r="A55" s="1303" t="s">
        <v>6942</v>
      </c>
      <c r="B55" s="1306" t="s">
        <v>5424</v>
      </c>
      <c r="C55" s="1305">
        <v>1582593.8</v>
      </c>
      <c r="D55" s="866"/>
      <c r="E55" s="866"/>
      <c r="F55" s="866"/>
      <c r="H55" s="866"/>
      <c r="I55" s="866"/>
      <c r="J55" s="866"/>
      <c r="K55" s="866"/>
      <c r="L55" s="866"/>
      <c r="M55" s="639"/>
      <c r="N55" s="639"/>
      <c r="O55" s="639"/>
      <c r="P55" s="639"/>
      <c r="Q55" s="639"/>
      <c r="R55" s="639"/>
      <c r="S55" s="639"/>
      <c r="T55" s="639"/>
    </row>
    <row r="56" spans="1:20" x14ac:dyDescent="0.25">
      <c r="A56" s="1303" t="s">
        <v>6941</v>
      </c>
      <c r="B56" s="1304" t="s">
        <v>5424</v>
      </c>
      <c r="C56" s="1305">
        <v>1615900</v>
      </c>
      <c r="D56" s="866"/>
      <c r="E56" s="866"/>
      <c r="F56" s="866"/>
      <c r="H56" s="866"/>
      <c r="I56" s="866"/>
      <c r="J56" s="866"/>
      <c r="K56" s="866"/>
      <c r="L56" s="866"/>
      <c r="M56" s="639"/>
      <c r="N56" s="639"/>
      <c r="O56" s="639"/>
      <c r="P56" s="639"/>
      <c r="Q56" s="639"/>
      <c r="R56" s="639"/>
      <c r="S56" s="639"/>
      <c r="T56" s="639"/>
    </row>
    <row r="57" spans="1:20" x14ac:dyDescent="0.25">
      <c r="A57" s="1303" t="s">
        <v>6948</v>
      </c>
      <c r="B57" s="1306" t="s">
        <v>5424</v>
      </c>
      <c r="C57" s="1305">
        <v>143831.94848918397</v>
      </c>
      <c r="D57" s="866"/>
      <c r="E57" s="866"/>
      <c r="F57" s="866"/>
      <c r="H57" s="866"/>
      <c r="I57" s="866"/>
      <c r="J57" s="866"/>
      <c r="K57" s="866"/>
      <c r="L57" s="866"/>
      <c r="M57" s="639"/>
      <c r="N57" s="639"/>
      <c r="O57" s="639"/>
      <c r="P57" s="639"/>
      <c r="Q57" s="639"/>
      <c r="R57" s="639"/>
      <c r="S57" s="639"/>
      <c r="T57" s="639"/>
    </row>
    <row r="58" spans="1:20" x14ac:dyDescent="0.25">
      <c r="A58" s="1303" t="s">
        <v>6945</v>
      </c>
      <c r="B58" s="1306" t="s">
        <v>5431</v>
      </c>
      <c r="C58" s="1305">
        <v>6241.7499472</v>
      </c>
      <c r="D58" s="866"/>
      <c r="E58" s="866"/>
      <c r="F58" s="866"/>
      <c r="H58" s="866"/>
      <c r="I58" s="866"/>
      <c r="J58" s="866"/>
      <c r="K58" s="866"/>
      <c r="L58" s="866"/>
      <c r="M58" s="639"/>
      <c r="N58" s="639"/>
      <c r="O58" s="639"/>
      <c r="P58" s="639"/>
      <c r="Q58" s="639"/>
      <c r="R58" s="639"/>
      <c r="S58" s="639"/>
      <c r="T58" s="639"/>
    </row>
    <row r="59" spans="1:20" x14ac:dyDescent="0.25">
      <c r="A59" s="1303" t="s">
        <v>6946</v>
      </c>
      <c r="B59" s="1306" t="s">
        <v>5402</v>
      </c>
      <c r="C59" s="1305">
        <f>19400*1.19</f>
        <v>23086</v>
      </c>
      <c r="D59" s="866"/>
      <c r="E59" s="866"/>
      <c r="F59" s="866"/>
      <c r="H59" s="866"/>
      <c r="I59" s="866"/>
      <c r="J59" s="866"/>
      <c r="K59" s="866"/>
      <c r="L59" s="866"/>
      <c r="M59" s="639"/>
      <c r="N59" s="639"/>
      <c r="O59" s="639"/>
      <c r="P59" s="639"/>
      <c r="Q59" s="639"/>
      <c r="R59" s="639"/>
      <c r="S59" s="639"/>
      <c r="T59" s="639"/>
    </row>
    <row r="60" spans="1:20" x14ac:dyDescent="0.25">
      <c r="A60" s="1303" t="s">
        <v>6874</v>
      </c>
      <c r="B60" s="1306" t="s">
        <v>6875</v>
      </c>
      <c r="C60" s="1305">
        <v>202536</v>
      </c>
      <c r="D60" s="866"/>
      <c r="E60" s="866"/>
      <c r="F60" s="866"/>
      <c r="H60" s="866"/>
      <c r="I60" s="866"/>
      <c r="J60" s="866"/>
      <c r="K60" s="866"/>
      <c r="L60" s="866"/>
      <c r="M60" s="639"/>
      <c r="N60" s="639"/>
      <c r="O60" s="639"/>
      <c r="P60" s="639"/>
      <c r="Q60" s="639"/>
      <c r="R60" s="639"/>
      <c r="S60" s="639"/>
      <c r="T60" s="639"/>
    </row>
    <row r="61" spans="1:20" x14ac:dyDescent="0.25">
      <c r="A61" s="1303" t="s">
        <v>6879</v>
      </c>
      <c r="B61" s="1306" t="s">
        <v>6876</v>
      </c>
      <c r="C61" s="1305">
        <v>112520</v>
      </c>
      <c r="D61" s="866"/>
      <c r="E61" s="866"/>
      <c r="F61" s="866"/>
      <c r="H61" s="866"/>
      <c r="I61" s="866"/>
      <c r="J61" s="866"/>
      <c r="K61" s="866"/>
      <c r="L61" s="866"/>
      <c r="M61" s="639"/>
      <c r="N61" s="639"/>
      <c r="O61" s="639"/>
      <c r="P61" s="639"/>
      <c r="Q61" s="639"/>
      <c r="R61" s="639"/>
      <c r="S61" s="639"/>
      <c r="T61" s="639"/>
    </row>
    <row r="62" spans="1:20" x14ac:dyDescent="0.25">
      <c r="A62" s="1303" t="s">
        <v>6916</v>
      </c>
      <c r="B62" s="1306" t="s">
        <v>6876</v>
      </c>
      <c r="C62" s="1305">
        <v>15825.938</v>
      </c>
      <c r="D62" s="866"/>
      <c r="E62" s="866"/>
      <c r="F62" s="866"/>
      <c r="H62" s="866"/>
      <c r="I62" s="866"/>
      <c r="J62" s="866"/>
      <c r="K62" s="866"/>
      <c r="L62" s="866"/>
      <c r="M62" s="639"/>
      <c r="N62" s="639"/>
      <c r="O62" s="639"/>
      <c r="P62" s="639"/>
      <c r="Q62" s="639"/>
      <c r="R62" s="639"/>
      <c r="S62" s="639"/>
      <c r="T62" s="639"/>
    </row>
    <row r="63" spans="1:20" s="1522" customFormat="1" x14ac:dyDescent="0.25">
      <c r="A63" s="1314" t="s">
        <v>9073</v>
      </c>
      <c r="B63" s="1306" t="s">
        <v>6876</v>
      </c>
      <c r="C63" s="1305">
        <v>15450</v>
      </c>
      <c r="D63" s="866"/>
      <c r="E63" s="866"/>
      <c r="F63" s="866"/>
      <c r="H63" s="866"/>
      <c r="I63" s="866"/>
      <c r="J63" s="866"/>
      <c r="K63" s="866"/>
      <c r="L63" s="866"/>
      <c r="M63" s="639"/>
      <c r="N63" s="639"/>
      <c r="O63" s="639"/>
      <c r="P63" s="639"/>
      <c r="Q63" s="639"/>
      <c r="R63" s="639"/>
      <c r="S63" s="639"/>
      <c r="T63" s="639"/>
    </row>
    <row r="64" spans="1:20" x14ac:dyDescent="0.25">
      <c r="A64" s="1303" t="s">
        <v>6904</v>
      </c>
      <c r="B64" s="1304" t="s">
        <v>5424</v>
      </c>
      <c r="C64" s="1305">
        <f>+E64</f>
        <v>24090</v>
      </c>
      <c r="D64" s="866">
        <v>31651.876</v>
      </c>
      <c r="E64" s="866">
        <v>24090</v>
      </c>
      <c r="F64" s="868" t="s">
        <v>8686</v>
      </c>
      <c r="H64" s="866"/>
      <c r="I64" s="866"/>
      <c r="J64" s="866"/>
      <c r="K64" s="866"/>
      <c r="L64" s="866"/>
      <c r="M64" s="639"/>
      <c r="N64" s="639"/>
      <c r="O64" s="639"/>
      <c r="P64" s="639"/>
      <c r="Q64" s="639"/>
      <c r="R64" s="639"/>
      <c r="S64" s="639"/>
      <c r="T64" s="639"/>
    </row>
    <row r="65" spans="1:20" x14ac:dyDescent="0.25">
      <c r="A65" s="1303" t="s">
        <v>6864</v>
      </c>
      <c r="B65" s="1306" t="s">
        <v>5402</v>
      </c>
      <c r="C65" s="1305">
        <v>189911.25599999999</v>
      </c>
      <c r="D65" s="866"/>
      <c r="E65" s="866"/>
      <c r="F65" s="866"/>
      <c r="H65" s="866"/>
      <c r="I65" s="866"/>
      <c r="J65" s="866"/>
      <c r="K65" s="866"/>
      <c r="L65" s="866"/>
      <c r="M65" s="639"/>
      <c r="N65" s="639"/>
      <c r="O65" s="639"/>
      <c r="P65" s="639"/>
      <c r="Q65" s="639"/>
      <c r="R65" s="639"/>
      <c r="S65" s="639"/>
      <c r="T65" s="639"/>
    </row>
    <row r="66" spans="1:20" x14ac:dyDescent="0.25">
      <c r="A66" s="1303" t="s">
        <v>6885</v>
      </c>
      <c r="B66" s="1306" t="s">
        <v>5424</v>
      </c>
      <c r="C66" s="1305">
        <f>+SUM!H2029</f>
        <v>1527014</v>
      </c>
      <c r="D66" s="866"/>
      <c r="E66" s="866"/>
      <c r="F66" s="866"/>
      <c r="H66" s="866"/>
      <c r="I66" s="866"/>
      <c r="J66" s="866"/>
      <c r="K66" s="866"/>
      <c r="L66" s="866"/>
      <c r="M66" s="905"/>
      <c r="N66" s="639"/>
      <c r="O66" s="639"/>
      <c r="P66" s="639"/>
      <c r="Q66" s="639"/>
      <c r="R66" s="639"/>
      <c r="S66" s="639"/>
      <c r="T66" s="639"/>
    </row>
    <row r="67" spans="1:20" x14ac:dyDescent="0.25">
      <c r="A67" s="1303" t="s">
        <v>6975</v>
      </c>
      <c r="B67" s="1306" t="s">
        <v>5424</v>
      </c>
      <c r="C67" s="1305">
        <f>+SUM!H2031</f>
        <v>3000424</v>
      </c>
      <c r="D67" s="866"/>
      <c r="E67" s="866"/>
      <c r="F67" s="866"/>
      <c r="H67" s="866"/>
      <c r="I67" s="866"/>
      <c r="J67" s="866"/>
      <c r="K67" s="866"/>
      <c r="L67" s="866"/>
      <c r="M67" s="905"/>
      <c r="N67" s="639"/>
      <c r="O67" s="639"/>
      <c r="P67" s="639"/>
      <c r="Q67" s="639"/>
      <c r="R67" s="639"/>
      <c r="S67" s="639"/>
      <c r="T67" s="639"/>
    </row>
    <row r="68" spans="1:20" x14ac:dyDescent="0.25">
      <c r="A68" s="1303" t="s">
        <v>6978</v>
      </c>
      <c r="B68" s="1306" t="s">
        <v>5424</v>
      </c>
      <c r="C68" s="1305">
        <f>+SUM!H2033</f>
        <v>6650964</v>
      </c>
      <c r="D68" s="866"/>
      <c r="E68" s="866"/>
      <c r="F68" s="866"/>
      <c r="H68" s="866"/>
      <c r="I68" s="866"/>
      <c r="J68" s="866"/>
      <c r="K68" s="866"/>
      <c r="L68" s="866"/>
      <c r="M68" s="735"/>
    </row>
    <row r="69" spans="1:20" x14ac:dyDescent="0.25">
      <c r="A69" s="1303" t="s">
        <v>6865</v>
      </c>
      <c r="B69" s="1304" t="s">
        <v>5556</v>
      </c>
      <c r="C69" s="1305">
        <v>58999.096863999999</v>
      </c>
      <c r="D69" s="866"/>
      <c r="E69" s="866"/>
      <c r="F69" s="866"/>
      <c r="H69" s="866"/>
      <c r="I69" s="866"/>
      <c r="J69" s="866"/>
      <c r="K69" s="866"/>
      <c r="L69" s="866"/>
    </row>
    <row r="70" spans="1:20" x14ac:dyDescent="0.25">
      <c r="A70" s="1303" t="s">
        <v>6866</v>
      </c>
      <c r="B70" s="1304" t="s">
        <v>5556</v>
      </c>
      <c r="C70" s="1305">
        <v>198935.36</v>
      </c>
      <c r="D70" s="866"/>
      <c r="E70" s="866"/>
      <c r="F70" s="866"/>
      <c r="H70" s="866"/>
      <c r="I70" s="866"/>
      <c r="J70" s="866"/>
      <c r="K70" s="866"/>
      <c r="L70" s="866"/>
    </row>
    <row r="71" spans="1:20" x14ac:dyDescent="0.25">
      <c r="A71" s="1303" t="s">
        <v>6867</v>
      </c>
      <c r="B71" s="1304" t="s">
        <v>6858</v>
      </c>
      <c r="C71" s="1477">
        <f>+E71+F71</f>
        <v>99527.7</v>
      </c>
      <c r="D71" s="866">
        <v>90016</v>
      </c>
      <c r="E71" s="866">
        <f>(86830-20000)*1.19</f>
        <v>79527.7</v>
      </c>
      <c r="F71" s="866">
        <f>40*500</f>
        <v>20000</v>
      </c>
      <c r="H71" s="866"/>
      <c r="I71" s="866"/>
      <c r="J71" s="866"/>
      <c r="K71" s="866"/>
      <c r="L71" s="866"/>
    </row>
    <row r="72" spans="1:20" x14ac:dyDescent="0.25">
      <c r="A72" s="1303" t="s">
        <v>6939</v>
      </c>
      <c r="B72" s="1306" t="s">
        <v>9068</v>
      </c>
      <c r="C72" s="1305">
        <v>1</v>
      </c>
      <c r="D72" s="866"/>
      <c r="E72" s="866"/>
      <c r="F72" s="866"/>
      <c r="H72" s="866"/>
      <c r="I72" s="866"/>
      <c r="J72" s="866"/>
      <c r="K72" s="866"/>
      <c r="L72" s="866"/>
    </row>
    <row r="73" spans="1:20" x14ac:dyDescent="0.25">
      <c r="A73" s="1303" t="s">
        <v>6910</v>
      </c>
      <c r="B73" s="1306" t="s">
        <v>5431</v>
      </c>
      <c r="C73" s="1305">
        <f>10100*1.19</f>
        <v>12019</v>
      </c>
      <c r="D73" s="866"/>
      <c r="E73" s="866"/>
      <c r="F73" s="866"/>
      <c r="H73" s="866"/>
      <c r="I73" s="866"/>
      <c r="J73" s="866"/>
      <c r="K73" s="866"/>
      <c r="L73" s="866"/>
    </row>
    <row r="74" spans="1:20" x14ac:dyDescent="0.25">
      <c r="A74" s="1303" t="s">
        <v>6918</v>
      </c>
      <c r="B74" s="1306" t="s">
        <v>5431</v>
      </c>
      <c r="C74" s="1305">
        <v>15848.170277702398</v>
      </c>
      <c r="D74" s="866"/>
      <c r="E74" s="866"/>
      <c r="F74" s="866"/>
      <c r="H74" s="866"/>
      <c r="I74" s="866"/>
      <c r="J74" s="866"/>
      <c r="K74" s="866"/>
      <c r="L74" s="866"/>
    </row>
    <row r="75" spans="1:20" hidden="1" x14ac:dyDescent="0.25">
      <c r="A75" s="1310" t="e">
        <f>+#REF!</f>
        <v>#REF!</v>
      </c>
      <c r="B75" s="1311" t="s">
        <v>37</v>
      </c>
      <c r="C75" s="1305">
        <v>10636.515600000001</v>
      </c>
      <c r="D75" s="866"/>
      <c r="E75" s="867"/>
      <c r="F75" s="867"/>
      <c r="H75" s="867"/>
      <c r="I75" s="867"/>
      <c r="J75" s="867"/>
      <c r="K75" s="867"/>
      <c r="L75" s="867"/>
    </row>
    <row r="76" spans="1:20" hidden="1" x14ac:dyDescent="0.25">
      <c r="A76" s="1310" t="s">
        <v>7925</v>
      </c>
      <c r="B76" s="1311" t="s">
        <v>37</v>
      </c>
      <c r="C76" s="1305">
        <v>15654.9076</v>
      </c>
      <c r="D76" s="866"/>
      <c r="E76" s="867"/>
      <c r="F76" s="867"/>
      <c r="H76" s="867"/>
      <c r="I76" s="867"/>
      <c r="J76" s="867"/>
      <c r="K76" s="867"/>
      <c r="L76" s="867"/>
    </row>
    <row r="77" spans="1:20" hidden="1" x14ac:dyDescent="0.25">
      <c r="A77" s="1310" t="s">
        <v>7068</v>
      </c>
      <c r="B77" s="1311" t="s">
        <v>37</v>
      </c>
      <c r="C77" s="1305">
        <v>17226.811999999998</v>
      </c>
      <c r="D77" s="866"/>
      <c r="E77" s="867"/>
      <c r="F77" s="867"/>
      <c r="H77" s="867"/>
      <c r="I77" s="867"/>
      <c r="J77" s="867"/>
      <c r="K77" s="867"/>
      <c r="L77" s="867"/>
    </row>
    <row r="78" spans="1:20" hidden="1" x14ac:dyDescent="0.25">
      <c r="A78" s="1310" t="e">
        <f>+#REF!</f>
        <v>#REF!</v>
      </c>
      <c r="B78" s="1311" t="s">
        <v>37</v>
      </c>
      <c r="C78" s="1305">
        <v>19585.231199999998</v>
      </c>
      <c r="D78" s="866"/>
      <c r="E78" s="867"/>
      <c r="F78" s="867"/>
      <c r="H78" s="867"/>
      <c r="I78" s="867"/>
      <c r="J78" s="867"/>
      <c r="K78" s="867"/>
      <c r="L78" s="867"/>
    </row>
    <row r="79" spans="1:20" hidden="1" x14ac:dyDescent="0.25">
      <c r="A79" s="1310" t="e">
        <f>+#REF!</f>
        <v>#REF!</v>
      </c>
      <c r="B79" s="1311" t="s">
        <v>37</v>
      </c>
      <c r="C79" s="1305">
        <v>41365.727599999998</v>
      </c>
      <c r="D79" s="866"/>
      <c r="E79" s="867"/>
      <c r="F79" s="867"/>
      <c r="H79" s="867"/>
      <c r="I79" s="867"/>
      <c r="J79" s="867"/>
      <c r="K79" s="867"/>
      <c r="L79" s="867"/>
    </row>
    <row r="80" spans="1:20" hidden="1" x14ac:dyDescent="0.25">
      <c r="A80" s="1310" t="e">
        <f>+#REF!</f>
        <v>#REF!</v>
      </c>
      <c r="B80" s="1311" t="e">
        <f>+#REF!</f>
        <v>#REF!</v>
      </c>
      <c r="C80" s="1305">
        <v>39618.292000000001</v>
      </c>
      <c r="D80" s="866"/>
      <c r="E80" s="867"/>
      <c r="F80" s="867"/>
      <c r="H80" s="867"/>
      <c r="I80" s="867"/>
      <c r="J80" s="867"/>
      <c r="K80" s="867"/>
      <c r="L80" s="867"/>
    </row>
    <row r="81" spans="1:13" hidden="1" x14ac:dyDescent="0.25">
      <c r="A81" s="1310" t="e">
        <f>+#REF!</f>
        <v>#REF!</v>
      </c>
      <c r="B81" s="1311" t="e">
        <f>+#REF!</f>
        <v>#REF!</v>
      </c>
      <c r="C81" s="1305">
        <v>21433.934799999999</v>
      </c>
      <c r="D81" s="866"/>
      <c r="E81" s="867"/>
      <c r="F81" s="867"/>
      <c r="H81" s="867"/>
      <c r="I81" s="867"/>
      <c r="J81" s="867"/>
      <c r="K81" s="867"/>
      <c r="L81" s="867"/>
    </row>
    <row r="82" spans="1:13" hidden="1" x14ac:dyDescent="0.25">
      <c r="A82" s="1310" t="e">
        <f>+#REF!</f>
        <v>#REF!</v>
      </c>
      <c r="B82" s="1311" t="e">
        <f>+#REF!</f>
        <v>#REF!</v>
      </c>
      <c r="C82" s="1305">
        <v>141398.258</v>
      </c>
      <c r="D82" s="866"/>
      <c r="E82" s="867"/>
      <c r="F82" s="867"/>
      <c r="H82" s="867"/>
      <c r="I82" s="867"/>
      <c r="J82" s="867"/>
      <c r="K82" s="867"/>
      <c r="L82" s="867"/>
    </row>
    <row r="83" spans="1:13" hidden="1" x14ac:dyDescent="0.25">
      <c r="A83" s="1310" t="e">
        <f>+#REF!</f>
        <v>#REF!</v>
      </c>
      <c r="B83" s="1311" t="e">
        <f>+#REF!</f>
        <v>#REF!</v>
      </c>
      <c r="C83" s="1305">
        <v>84430.507199999993</v>
      </c>
      <c r="D83" s="866"/>
      <c r="E83" s="867"/>
      <c r="F83" s="867"/>
      <c r="H83" s="867"/>
      <c r="I83" s="867"/>
      <c r="J83" s="867"/>
      <c r="K83" s="867"/>
      <c r="L83" s="867"/>
    </row>
    <row r="84" spans="1:13" hidden="1" x14ac:dyDescent="0.25">
      <c r="A84" s="1310" t="e">
        <f>+#REF!</f>
        <v>#REF!</v>
      </c>
      <c r="B84" s="1311" t="e">
        <f>+#REF!</f>
        <v>#REF!</v>
      </c>
      <c r="C84" s="1305">
        <v>144265.64266666668</v>
      </c>
      <c r="D84" s="866"/>
      <c r="E84" s="867"/>
      <c r="F84" s="867"/>
      <c r="H84" s="867"/>
      <c r="I84" s="867"/>
      <c r="J84" s="867"/>
      <c r="K84" s="867"/>
      <c r="L84" s="867"/>
    </row>
    <row r="85" spans="1:13" hidden="1" x14ac:dyDescent="0.25">
      <c r="A85" s="1310" t="e">
        <f>+#REF!</f>
        <v>#REF!</v>
      </c>
      <c r="B85" s="1311" t="e">
        <f>+#REF!</f>
        <v>#REF!</v>
      </c>
      <c r="C85" s="1305">
        <v>17064.783199999998</v>
      </c>
      <c r="D85" s="866"/>
      <c r="E85" s="867"/>
      <c r="F85" s="867"/>
      <c r="H85" s="867"/>
      <c r="I85" s="867"/>
      <c r="J85" s="867"/>
      <c r="K85" s="867"/>
      <c r="L85" s="867"/>
    </row>
    <row r="86" spans="1:13" hidden="1" x14ac:dyDescent="0.25">
      <c r="A86" s="1310" t="s">
        <v>7033</v>
      </c>
      <c r="B86" s="1311" t="s">
        <v>14</v>
      </c>
      <c r="C86" s="1305">
        <v>57702.506399999998</v>
      </c>
      <c r="D86" s="866"/>
      <c r="E86" s="867"/>
      <c r="F86" s="867"/>
      <c r="H86" s="867"/>
      <c r="I86" s="867"/>
      <c r="J86" s="867"/>
      <c r="K86" s="867"/>
      <c r="L86" s="867"/>
    </row>
    <row r="87" spans="1:13" hidden="1" x14ac:dyDescent="0.25">
      <c r="A87" s="1310" t="s">
        <v>7047</v>
      </c>
      <c r="B87" s="1311" t="s">
        <v>37</v>
      </c>
      <c r="C87" s="1305">
        <v>12196.042799999999</v>
      </c>
      <c r="D87" s="866"/>
      <c r="E87" s="867"/>
      <c r="F87" s="867"/>
      <c r="H87" s="867"/>
      <c r="I87" s="867"/>
      <c r="J87" s="867"/>
      <c r="K87" s="867"/>
      <c r="L87" s="867"/>
    </row>
    <row r="88" spans="1:13" hidden="1" x14ac:dyDescent="0.25">
      <c r="A88" s="1310"/>
      <c r="B88" s="1311"/>
      <c r="C88" s="1305">
        <v>0</v>
      </c>
      <c r="D88" s="866"/>
      <c r="E88" s="867"/>
      <c r="F88" s="867"/>
      <c r="H88" s="867"/>
      <c r="I88" s="867"/>
      <c r="J88" s="867"/>
      <c r="K88" s="867"/>
      <c r="L88" s="867"/>
    </row>
    <row r="89" spans="1:13" hidden="1" x14ac:dyDescent="0.25">
      <c r="A89" s="1310"/>
      <c r="B89" s="1311"/>
      <c r="C89" s="1305">
        <v>0</v>
      </c>
      <c r="D89" s="866"/>
      <c r="E89" s="867"/>
      <c r="F89" s="867"/>
      <c r="H89" s="867"/>
      <c r="I89" s="867"/>
      <c r="J89" s="867"/>
      <c r="K89" s="867"/>
      <c r="L89" s="867"/>
    </row>
    <row r="90" spans="1:13" hidden="1" x14ac:dyDescent="0.25">
      <c r="A90" s="1310"/>
      <c r="B90" s="1311"/>
      <c r="C90" s="1305">
        <v>0</v>
      </c>
      <c r="D90" s="866"/>
      <c r="E90" s="867"/>
      <c r="F90" s="867"/>
      <c r="H90" s="867"/>
      <c r="I90" s="867"/>
      <c r="J90" s="867"/>
      <c r="K90" s="867"/>
      <c r="L90" s="867"/>
    </row>
    <row r="91" spans="1:13" hidden="1" x14ac:dyDescent="0.25">
      <c r="A91" s="1310"/>
      <c r="B91" s="1311"/>
      <c r="C91" s="1305">
        <v>0</v>
      </c>
      <c r="D91" s="866"/>
      <c r="E91" s="867"/>
      <c r="F91" s="867"/>
      <c r="H91" s="867"/>
      <c r="I91" s="867"/>
      <c r="J91" s="867"/>
      <c r="K91" s="867"/>
      <c r="L91" s="867"/>
    </row>
    <row r="92" spans="1:13" hidden="1" x14ac:dyDescent="0.25">
      <c r="A92" s="1310"/>
      <c r="B92" s="1311"/>
      <c r="C92" s="1305">
        <v>0</v>
      </c>
      <c r="D92" s="866"/>
      <c r="E92" s="867"/>
      <c r="F92" s="867"/>
      <c r="H92" s="867"/>
      <c r="I92" s="867"/>
      <c r="J92" s="867"/>
      <c r="K92" s="867"/>
      <c r="L92" s="867"/>
    </row>
    <row r="93" spans="1:13" x14ac:dyDescent="0.25">
      <c r="A93" s="1303" t="s">
        <v>7930</v>
      </c>
      <c r="B93" s="1306" t="s">
        <v>5431</v>
      </c>
      <c r="C93" s="1305">
        <v>10397.9732</v>
      </c>
      <c r="D93" s="866"/>
      <c r="E93" s="867"/>
      <c r="F93" s="867"/>
      <c r="H93" s="867"/>
      <c r="I93" s="867"/>
      <c r="J93" s="867"/>
      <c r="K93" s="867"/>
      <c r="L93" s="867"/>
    </row>
    <row r="94" spans="1:13" x14ac:dyDescent="0.25">
      <c r="A94" s="1303" t="s">
        <v>7173</v>
      </c>
      <c r="B94" s="1306" t="s">
        <v>5431</v>
      </c>
      <c r="C94" s="1305">
        <v>10397.9732</v>
      </c>
      <c r="D94" s="866"/>
      <c r="E94" s="867"/>
      <c r="F94" s="867"/>
      <c r="H94" s="867"/>
      <c r="I94" s="867"/>
      <c r="J94" s="867"/>
      <c r="K94" s="867"/>
      <c r="L94" s="867"/>
    </row>
    <row r="95" spans="1:13" x14ac:dyDescent="0.25">
      <c r="A95" s="1303" t="s">
        <v>7931</v>
      </c>
      <c r="B95" s="1306" t="s">
        <v>5431</v>
      </c>
      <c r="C95" s="1305">
        <v>10397.9732</v>
      </c>
      <c r="D95" s="866"/>
      <c r="E95" s="867"/>
      <c r="F95" s="867"/>
      <c r="H95" s="867"/>
      <c r="I95" s="867"/>
      <c r="J95" s="867"/>
      <c r="K95" s="867"/>
      <c r="L95" s="867"/>
    </row>
    <row r="96" spans="1:13" x14ac:dyDescent="0.25">
      <c r="A96" s="1303" t="s">
        <v>6693</v>
      </c>
      <c r="B96" s="1306" t="s">
        <v>5424</v>
      </c>
      <c r="C96" s="1305">
        <v>16315400</v>
      </c>
      <c r="D96" s="866"/>
      <c r="E96" s="866"/>
      <c r="F96" s="866"/>
      <c r="H96" s="866"/>
      <c r="I96" s="866"/>
      <c r="J96" s="866"/>
      <c r="K96" s="866"/>
      <c r="L96" s="866"/>
      <c r="M96" s="735"/>
    </row>
    <row r="97" spans="1:13" x14ac:dyDescent="0.25">
      <c r="A97" s="1303" t="str">
        <f>+SUM!B2385</f>
        <v>Macromedidor Tipo Woltman de 8"</v>
      </c>
      <c r="B97" s="1306" t="s">
        <v>5424</v>
      </c>
      <c r="C97" s="1305">
        <f>+SUM!H2385</f>
        <v>3498600</v>
      </c>
      <c r="D97" s="866"/>
      <c r="E97" s="866"/>
      <c r="F97" s="866"/>
      <c r="H97" s="866"/>
      <c r="I97" s="866"/>
      <c r="J97" s="866"/>
      <c r="K97" s="866"/>
      <c r="L97" s="866"/>
      <c r="M97" s="735"/>
    </row>
    <row r="98" spans="1:13" x14ac:dyDescent="0.25">
      <c r="A98" s="1314" t="s">
        <v>9037</v>
      </c>
      <c r="B98" s="1306" t="s">
        <v>5402</v>
      </c>
      <c r="C98" s="1305">
        <v>36569</v>
      </c>
      <c r="D98" s="866"/>
      <c r="E98" s="866"/>
      <c r="F98" s="866"/>
      <c r="H98" s="866"/>
      <c r="I98" s="866"/>
      <c r="J98" s="866"/>
      <c r="K98" s="866"/>
      <c r="L98" s="866"/>
    </row>
    <row r="99" spans="1:13" x14ac:dyDescent="0.25">
      <c r="A99" s="1303" t="s">
        <v>6986</v>
      </c>
      <c r="B99" s="1306" t="s">
        <v>5424</v>
      </c>
      <c r="C99" s="1305">
        <v>562600</v>
      </c>
      <c r="D99" s="866"/>
      <c r="E99" s="866"/>
      <c r="F99" s="866"/>
      <c r="H99" s="866"/>
      <c r="I99" s="866"/>
      <c r="J99" s="866"/>
      <c r="K99" s="866"/>
      <c r="L99" s="866"/>
    </row>
    <row r="100" spans="1:13" x14ac:dyDescent="0.25">
      <c r="A100" s="1303" t="s">
        <v>6985</v>
      </c>
      <c r="B100" s="1306" t="s">
        <v>5424</v>
      </c>
      <c r="C100" s="1305">
        <v>112520</v>
      </c>
      <c r="D100" s="866"/>
      <c r="E100" s="866"/>
      <c r="F100" s="866"/>
      <c r="H100" s="866"/>
      <c r="I100" s="866"/>
      <c r="J100" s="866"/>
      <c r="K100" s="866"/>
      <c r="L100" s="866"/>
    </row>
    <row r="101" spans="1:13" x14ac:dyDescent="0.25">
      <c r="A101" s="1303" t="s">
        <v>6868</v>
      </c>
      <c r="B101" s="1304" t="s">
        <v>5542</v>
      </c>
      <c r="C101" s="1305">
        <f>0.8*11252</f>
        <v>9001.6</v>
      </c>
      <c r="D101" s="866"/>
      <c r="E101" s="866"/>
      <c r="F101" s="866"/>
      <c r="H101" s="866"/>
      <c r="I101" s="866"/>
      <c r="J101" s="866"/>
      <c r="K101" s="866"/>
      <c r="L101" s="866"/>
    </row>
    <row r="102" spans="1:13" x14ac:dyDescent="0.25">
      <c r="A102" s="1303" t="s">
        <v>6877</v>
      </c>
      <c r="B102" s="1306" t="s">
        <v>5481</v>
      </c>
      <c r="C102" s="1305">
        <v>45008</v>
      </c>
      <c r="D102" s="866"/>
      <c r="E102" s="866"/>
      <c r="F102" s="866"/>
      <c r="H102" s="866"/>
      <c r="I102" s="866"/>
      <c r="J102" s="866"/>
      <c r="K102" s="866"/>
      <c r="L102" s="866"/>
    </row>
    <row r="103" spans="1:13" x14ac:dyDescent="0.25">
      <c r="A103" s="1303" t="s">
        <v>6902</v>
      </c>
      <c r="B103" s="1304" t="s">
        <v>5542</v>
      </c>
      <c r="C103" s="1305">
        <v>327242.41558880004</v>
      </c>
      <c r="D103" s="866"/>
      <c r="E103" s="866"/>
      <c r="F103" s="866"/>
      <c r="H103" s="866"/>
      <c r="I103" s="866"/>
      <c r="J103" s="866"/>
      <c r="K103" s="866"/>
      <c r="L103" s="866"/>
    </row>
    <row r="104" spans="1:13" x14ac:dyDescent="0.25">
      <c r="A104" s="1303" t="s">
        <v>6909</v>
      </c>
      <c r="B104" s="1304" t="s">
        <v>5542</v>
      </c>
      <c r="C104" s="1305">
        <v>8940.8392000000003</v>
      </c>
      <c r="D104" s="866"/>
      <c r="E104" s="866"/>
      <c r="F104" s="866"/>
      <c r="H104" s="866"/>
      <c r="I104" s="866"/>
      <c r="J104" s="866"/>
      <c r="K104" s="866"/>
      <c r="L104" s="866"/>
    </row>
    <row r="105" spans="1:13" x14ac:dyDescent="0.25">
      <c r="A105" s="1303" t="s">
        <v>6894</v>
      </c>
      <c r="B105" s="1306" t="s">
        <v>5424</v>
      </c>
      <c r="C105" s="1305">
        <f>+SUM!H863</f>
        <v>411237</v>
      </c>
      <c r="D105" s="866"/>
      <c r="E105" s="866"/>
      <c r="F105" s="866"/>
      <c r="H105" s="866"/>
      <c r="I105" s="866"/>
      <c r="J105" s="866"/>
      <c r="K105" s="866"/>
      <c r="L105" s="866"/>
    </row>
    <row r="106" spans="1:13" x14ac:dyDescent="0.25">
      <c r="A106" s="1303" t="s">
        <v>6898</v>
      </c>
      <c r="B106" s="1306" t="s">
        <v>5424</v>
      </c>
      <c r="C106" s="1305">
        <f>+SUM!H865</f>
        <v>695939</v>
      </c>
      <c r="D106" s="866"/>
      <c r="E106" s="866"/>
      <c r="F106" s="866"/>
      <c r="H106" s="866"/>
      <c r="I106" s="866"/>
      <c r="J106" s="866"/>
      <c r="K106" s="866"/>
      <c r="L106" s="866"/>
    </row>
    <row r="107" spans="1:13" x14ac:dyDescent="0.25">
      <c r="A107" s="1303" t="s">
        <v>6895</v>
      </c>
      <c r="B107" s="1306" t="s">
        <v>5424</v>
      </c>
      <c r="C107" s="1305">
        <f>+SUM!H867</f>
        <v>1075542</v>
      </c>
      <c r="D107" s="866"/>
      <c r="E107" s="866"/>
      <c r="F107" s="866"/>
      <c r="H107" s="866"/>
      <c r="I107" s="866"/>
      <c r="J107" s="866"/>
      <c r="K107" s="866"/>
      <c r="L107" s="866"/>
    </row>
    <row r="108" spans="1:13" x14ac:dyDescent="0.25">
      <c r="A108" s="1303" t="s">
        <v>6883</v>
      </c>
      <c r="B108" s="1304" t="s">
        <v>5424</v>
      </c>
      <c r="C108" s="1305">
        <f>+SUM!H873</f>
        <v>690667</v>
      </c>
      <c r="D108" s="866"/>
      <c r="E108" s="866"/>
      <c r="F108" s="866"/>
      <c r="H108" s="866"/>
      <c r="I108" s="866"/>
      <c r="J108" s="866"/>
      <c r="K108" s="866"/>
      <c r="L108" s="866"/>
    </row>
    <row r="109" spans="1:13" x14ac:dyDescent="0.25">
      <c r="A109" s="1303" t="s">
        <v>6884</v>
      </c>
      <c r="B109" s="1304" t="s">
        <v>5424</v>
      </c>
      <c r="C109" s="1305">
        <f>+SUM!H875</f>
        <v>1212621</v>
      </c>
      <c r="D109" s="866"/>
      <c r="E109" s="866"/>
      <c r="F109" s="866"/>
      <c r="H109" s="866"/>
      <c r="I109" s="866"/>
      <c r="J109" s="866"/>
      <c r="K109" s="866"/>
      <c r="L109" s="866"/>
    </row>
    <row r="110" spans="1:13" x14ac:dyDescent="0.25">
      <c r="A110" s="1303" t="s">
        <v>6889</v>
      </c>
      <c r="B110" s="1304" t="s">
        <v>5424</v>
      </c>
      <c r="C110" s="1305">
        <f>+SUM!H877</f>
        <v>1908560</v>
      </c>
      <c r="D110" s="866"/>
      <c r="E110" s="866"/>
      <c r="F110" s="866"/>
      <c r="H110" s="866"/>
      <c r="I110" s="866"/>
      <c r="J110" s="866"/>
      <c r="K110" s="866"/>
      <c r="L110" s="866"/>
    </row>
    <row r="111" spans="1:13" x14ac:dyDescent="0.25">
      <c r="A111" s="1303" t="s">
        <v>6958</v>
      </c>
      <c r="B111" s="1304" t="s">
        <v>5424</v>
      </c>
      <c r="C111" s="1305">
        <f>+SUM!H879</f>
        <v>2604499</v>
      </c>
      <c r="D111" s="866"/>
      <c r="E111" s="866"/>
      <c r="F111" s="866"/>
      <c r="H111" s="866"/>
      <c r="I111" s="866"/>
      <c r="J111" s="866"/>
      <c r="K111" s="866"/>
      <c r="L111" s="866"/>
    </row>
    <row r="112" spans="1:13" x14ac:dyDescent="0.25">
      <c r="A112" s="1303" t="s">
        <v>7037</v>
      </c>
      <c r="B112" s="1306" t="s">
        <v>5424</v>
      </c>
      <c r="C112" s="1305">
        <f>+SUM!H883</f>
        <v>930223.09360000002</v>
      </c>
      <c r="D112" s="866"/>
      <c r="E112" s="866"/>
      <c r="F112" s="866"/>
      <c r="H112" s="866"/>
      <c r="I112" s="866"/>
      <c r="J112" s="866"/>
      <c r="K112" s="866"/>
      <c r="L112" s="866"/>
    </row>
    <row r="113" spans="1:12" x14ac:dyDescent="0.25">
      <c r="A113" s="1303" t="s">
        <v>7048</v>
      </c>
      <c r="B113" s="1306" t="s">
        <v>5424</v>
      </c>
      <c r="C113" s="1305">
        <f>+SUM!H885</f>
        <v>1624034.916</v>
      </c>
      <c r="D113" s="866"/>
      <c r="E113" s="866"/>
      <c r="F113" s="866"/>
      <c r="H113" s="866"/>
      <c r="I113" s="866"/>
      <c r="J113" s="866"/>
      <c r="K113" s="866"/>
      <c r="L113" s="866"/>
    </row>
    <row r="114" spans="1:12" x14ac:dyDescent="0.25">
      <c r="A114" s="1303" t="s">
        <v>7051</v>
      </c>
      <c r="B114" s="1306" t="s">
        <v>5424</v>
      </c>
      <c r="C114" s="1305">
        <f>+SUM!H887</f>
        <v>2549118.0959999999</v>
      </c>
      <c r="D114" s="866"/>
      <c r="E114" s="866"/>
      <c r="F114" s="866"/>
      <c r="H114" s="866"/>
      <c r="I114" s="866"/>
      <c r="J114" s="866"/>
      <c r="K114" s="866"/>
      <c r="L114" s="866"/>
    </row>
    <row r="115" spans="1:12" x14ac:dyDescent="0.25">
      <c r="A115" s="1303" t="s">
        <v>6893</v>
      </c>
      <c r="B115" s="1306" t="s">
        <v>5424</v>
      </c>
      <c r="C115" s="1305">
        <f>+SUM!H893</f>
        <v>1217893</v>
      </c>
      <c r="D115" s="866"/>
      <c r="E115" s="866"/>
      <c r="F115" s="866"/>
      <c r="H115" s="866"/>
      <c r="I115" s="866"/>
      <c r="J115" s="866"/>
      <c r="K115" s="866"/>
      <c r="L115" s="866"/>
    </row>
    <row r="116" spans="1:12" x14ac:dyDescent="0.25">
      <c r="A116" s="1303" t="s">
        <v>6892</v>
      </c>
      <c r="B116" s="1306" t="s">
        <v>5424</v>
      </c>
      <c r="C116" s="1305">
        <f>+SUM!H895</f>
        <v>2119451</v>
      </c>
      <c r="D116" s="866"/>
      <c r="E116" s="866"/>
      <c r="F116" s="866"/>
      <c r="H116" s="866"/>
      <c r="I116" s="866"/>
      <c r="J116" s="866"/>
      <c r="K116" s="866"/>
      <c r="L116" s="866"/>
    </row>
    <row r="117" spans="1:12" x14ac:dyDescent="0.25">
      <c r="A117" s="1303" t="s">
        <v>6887</v>
      </c>
      <c r="B117" s="1306" t="s">
        <v>5424</v>
      </c>
      <c r="C117" s="1305">
        <f>+SUM!H901</f>
        <v>5725680</v>
      </c>
      <c r="D117" s="866"/>
      <c r="E117" s="866"/>
      <c r="F117" s="866"/>
      <c r="H117" s="866"/>
      <c r="I117" s="866"/>
      <c r="J117" s="866"/>
      <c r="K117" s="866"/>
      <c r="L117" s="866"/>
    </row>
    <row r="118" spans="1:12" x14ac:dyDescent="0.25">
      <c r="A118" s="1303" t="s">
        <v>6952</v>
      </c>
      <c r="B118" s="1306" t="s">
        <v>5424</v>
      </c>
      <c r="C118" s="1305">
        <f>+SUM!H923</f>
        <v>2630860</v>
      </c>
      <c r="D118" s="866"/>
      <c r="E118" s="868"/>
      <c r="F118" s="868"/>
      <c r="H118" s="868"/>
      <c r="I118" s="868"/>
      <c r="J118" s="868"/>
      <c r="K118" s="868"/>
      <c r="L118" s="868"/>
    </row>
    <row r="119" spans="1:12" x14ac:dyDescent="0.25">
      <c r="A119" s="1303" t="s">
        <v>6888</v>
      </c>
      <c r="B119" s="1306" t="s">
        <v>5424</v>
      </c>
      <c r="C119" s="1305">
        <f>+SUM!H925</f>
        <v>4544693</v>
      </c>
      <c r="D119" s="866"/>
      <c r="E119" s="866"/>
      <c r="F119" s="866"/>
      <c r="H119" s="866"/>
      <c r="I119" s="866"/>
      <c r="J119" s="866"/>
      <c r="K119" s="866"/>
      <c r="L119" s="866"/>
    </row>
    <row r="120" spans="1:12" x14ac:dyDescent="0.25">
      <c r="A120" s="1303" t="s">
        <v>7197</v>
      </c>
      <c r="B120" s="1306" t="s">
        <v>5424</v>
      </c>
      <c r="C120" s="1305">
        <f>+SUM!H927</f>
        <v>7096469</v>
      </c>
      <c r="D120" s="866"/>
      <c r="E120" s="866"/>
      <c r="F120" s="866"/>
      <c r="H120" s="866"/>
      <c r="I120" s="866"/>
      <c r="J120" s="866"/>
      <c r="K120" s="866"/>
      <c r="L120" s="866"/>
    </row>
    <row r="121" spans="1:12" x14ac:dyDescent="0.25">
      <c r="A121" s="1303" t="s">
        <v>6997</v>
      </c>
      <c r="B121" s="1306" t="s">
        <v>5424</v>
      </c>
      <c r="C121" s="1305">
        <f>+SUM!H862</f>
        <v>273314</v>
      </c>
      <c r="D121" s="866"/>
      <c r="E121" s="866"/>
      <c r="F121" s="866"/>
      <c r="H121" s="866"/>
      <c r="I121" s="866"/>
      <c r="J121" s="866"/>
      <c r="K121" s="866"/>
      <c r="L121" s="866"/>
    </row>
    <row r="122" spans="1:12" x14ac:dyDescent="0.25">
      <c r="A122" s="1303" t="s">
        <v>6998</v>
      </c>
      <c r="B122" s="1306" t="s">
        <v>5424</v>
      </c>
      <c r="C122" s="1305">
        <f>+SUM!H864</f>
        <v>546628</v>
      </c>
      <c r="D122" s="866"/>
      <c r="E122" s="866"/>
      <c r="F122" s="866"/>
      <c r="H122" s="866"/>
      <c r="I122" s="866"/>
      <c r="J122" s="866"/>
      <c r="K122" s="866"/>
      <c r="L122" s="866"/>
    </row>
    <row r="123" spans="1:12" x14ac:dyDescent="0.25">
      <c r="A123" s="1303" t="s">
        <v>6953</v>
      </c>
      <c r="B123" s="1306" t="s">
        <v>5424</v>
      </c>
      <c r="C123" s="1305">
        <f>+SUM!H922</f>
        <v>1837279</v>
      </c>
      <c r="D123" s="866"/>
      <c r="E123" s="868"/>
      <c r="F123" s="868"/>
      <c r="H123" s="868"/>
      <c r="I123" s="868"/>
      <c r="J123" s="868"/>
      <c r="K123" s="868"/>
      <c r="L123" s="868"/>
    </row>
    <row r="124" spans="1:12" x14ac:dyDescent="0.25">
      <c r="A124" s="1303" t="s">
        <v>6692</v>
      </c>
      <c r="B124" s="1306" t="s">
        <v>5424</v>
      </c>
      <c r="C124" s="1305">
        <f>+SUM!H913</f>
        <v>1977099</v>
      </c>
      <c r="D124" s="866"/>
      <c r="E124" s="866"/>
      <c r="F124" s="866"/>
      <c r="H124" s="866"/>
      <c r="I124" s="866"/>
      <c r="J124" s="866"/>
      <c r="K124" s="866"/>
      <c r="L124" s="866"/>
    </row>
    <row r="125" spans="1:12" x14ac:dyDescent="0.25">
      <c r="A125" s="1303" t="s">
        <v>6915</v>
      </c>
      <c r="B125" s="1306" t="s">
        <v>5424</v>
      </c>
      <c r="C125" s="1305">
        <v>9001.6</v>
      </c>
      <c r="D125" s="866"/>
      <c r="E125" s="866"/>
      <c r="F125" s="866"/>
      <c r="H125" s="866"/>
      <c r="I125" s="866"/>
      <c r="J125" s="866"/>
      <c r="K125" s="866"/>
      <c r="L125" s="866"/>
    </row>
    <row r="126" spans="1:12" x14ac:dyDescent="0.25">
      <c r="A126" s="1303" t="s">
        <v>7002</v>
      </c>
      <c r="B126" s="1306" t="s">
        <v>5424</v>
      </c>
      <c r="C126" s="1305">
        <v>342075.4276</v>
      </c>
      <c r="D126" s="866"/>
      <c r="E126" s="866"/>
      <c r="F126" s="866"/>
      <c r="H126" s="866"/>
      <c r="I126" s="866"/>
      <c r="J126" s="866"/>
      <c r="K126" s="866"/>
      <c r="L126" s="866"/>
    </row>
    <row r="127" spans="1:12" x14ac:dyDescent="0.25">
      <c r="A127" s="1303" t="s">
        <v>6969</v>
      </c>
      <c r="B127" s="1306" t="s">
        <v>5424</v>
      </c>
      <c r="C127" s="1305">
        <v>534492.50399999996</v>
      </c>
      <c r="D127" s="866"/>
      <c r="E127" s="866"/>
      <c r="F127" s="866"/>
      <c r="H127" s="866"/>
      <c r="I127" s="866"/>
      <c r="J127" s="866"/>
      <c r="K127" s="866"/>
      <c r="L127" s="866"/>
    </row>
    <row r="128" spans="1:12" x14ac:dyDescent="0.25">
      <c r="A128" s="1303" t="s">
        <v>6982</v>
      </c>
      <c r="B128" s="1306" t="s">
        <v>5424</v>
      </c>
      <c r="C128" s="1305">
        <v>908637.25679999997</v>
      </c>
      <c r="D128" s="866"/>
      <c r="E128" s="866"/>
      <c r="F128" s="866"/>
      <c r="H128" s="866"/>
      <c r="I128" s="866"/>
      <c r="J128" s="866"/>
      <c r="K128" s="866"/>
      <c r="L128" s="866"/>
    </row>
    <row r="129" spans="1:12" x14ac:dyDescent="0.25">
      <c r="A129" s="1303" t="s">
        <v>7007</v>
      </c>
      <c r="B129" s="1306" t="s">
        <v>5424</v>
      </c>
      <c r="C129" s="1305">
        <v>564641.1128</v>
      </c>
      <c r="D129" s="866"/>
      <c r="E129" s="866"/>
      <c r="F129" s="866"/>
      <c r="H129" s="866"/>
      <c r="I129" s="866"/>
      <c r="J129" s="866"/>
      <c r="K129" s="866"/>
      <c r="L129" s="866"/>
    </row>
    <row r="130" spans="1:12" x14ac:dyDescent="0.25">
      <c r="A130" s="1303" t="s">
        <v>6970</v>
      </c>
      <c r="B130" s="1306" t="s">
        <v>5424</v>
      </c>
      <c r="C130" s="1305">
        <v>1592788.112</v>
      </c>
      <c r="D130" s="866"/>
      <c r="E130" s="866"/>
      <c r="F130" s="866"/>
      <c r="H130" s="866"/>
      <c r="I130" s="866"/>
      <c r="J130" s="866"/>
      <c r="K130" s="866"/>
      <c r="L130" s="866"/>
    </row>
    <row r="131" spans="1:12" x14ac:dyDescent="0.25">
      <c r="A131" s="1303" t="s">
        <v>6971</v>
      </c>
      <c r="B131" s="1306" t="s">
        <v>5424</v>
      </c>
      <c r="C131" s="1305">
        <v>2608323.8695999999</v>
      </c>
      <c r="D131" s="866"/>
      <c r="E131" s="866"/>
      <c r="F131" s="866"/>
      <c r="H131" s="866"/>
      <c r="I131" s="866"/>
      <c r="J131" s="866"/>
      <c r="K131" s="866"/>
      <c r="L131" s="866"/>
    </row>
    <row r="132" spans="1:12" x14ac:dyDescent="0.25">
      <c r="A132" s="1303" t="s">
        <v>6972</v>
      </c>
      <c r="B132" s="1306" t="s">
        <v>5424</v>
      </c>
      <c r="C132" s="1305">
        <v>1395710.4572000001</v>
      </c>
      <c r="D132" s="866"/>
      <c r="E132" s="866"/>
      <c r="F132" s="866"/>
      <c r="H132" s="866"/>
      <c r="I132" s="866"/>
      <c r="J132" s="866"/>
      <c r="K132" s="866"/>
      <c r="L132" s="866"/>
    </row>
    <row r="133" spans="1:12" x14ac:dyDescent="0.25">
      <c r="A133" s="1303" t="s">
        <v>6973</v>
      </c>
      <c r="B133" s="1306" t="s">
        <v>5424</v>
      </c>
      <c r="C133" s="1305">
        <v>2260218.4951999998</v>
      </c>
      <c r="D133" s="866"/>
      <c r="E133" s="866"/>
      <c r="F133" s="866"/>
      <c r="H133" s="866"/>
      <c r="I133" s="866"/>
      <c r="J133" s="866"/>
      <c r="K133" s="866"/>
      <c r="L133" s="866"/>
    </row>
    <row r="134" spans="1:12" x14ac:dyDescent="0.25">
      <c r="A134" s="1312" t="s">
        <v>7003</v>
      </c>
      <c r="B134" s="1313" t="s">
        <v>5424</v>
      </c>
      <c r="C134" s="1305">
        <v>1387624.77</v>
      </c>
      <c r="D134" s="866"/>
      <c r="E134" s="866"/>
      <c r="F134" s="866"/>
      <c r="H134" s="866"/>
      <c r="I134" s="866"/>
      <c r="J134" s="866"/>
      <c r="K134" s="866"/>
      <c r="L134" s="866"/>
    </row>
    <row r="135" spans="1:12" x14ac:dyDescent="0.25">
      <c r="A135" s="1303" t="s">
        <v>6999</v>
      </c>
      <c r="B135" s="1306" t="s">
        <v>5424</v>
      </c>
      <c r="C135" s="1305">
        <v>5534053.1568</v>
      </c>
      <c r="D135" s="866"/>
      <c r="E135" s="866"/>
      <c r="F135" s="866"/>
      <c r="H135" s="866"/>
      <c r="I135" s="866"/>
      <c r="J135" s="866"/>
      <c r="K135" s="866"/>
      <c r="L135" s="866"/>
    </row>
    <row r="136" spans="1:12" x14ac:dyDescent="0.25">
      <c r="A136" s="1314" t="s">
        <v>9016</v>
      </c>
      <c r="B136" s="1304" t="s">
        <v>6858</v>
      </c>
      <c r="C136" s="1305">
        <v>361388.45941759995</v>
      </c>
      <c r="D136" s="866"/>
      <c r="E136" s="866"/>
      <c r="F136" s="866"/>
      <c r="H136" s="866"/>
      <c r="I136" s="866"/>
      <c r="J136" s="866"/>
      <c r="K136" s="866"/>
      <c r="L136" s="866"/>
    </row>
    <row r="137" spans="1:12" x14ac:dyDescent="0.25">
      <c r="A137" s="1303" t="s">
        <v>6908</v>
      </c>
      <c r="B137" s="1306" t="s">
        <v>5424</v>
      </c>
      <c r="C137" s="1305">
        <v>12660.750399999999</v>
      </c>
      <c r="D137" s="866"/>
      <c r="E137" s="866"/>
      <c r="F137" s="866"/>
      <c r="H137" s="866"/>
      <c r="I137" s="866"/>
      <c r="J137" s="866"/>
      <c r="K137" s="866"/>
      <c r="L137" s="866"/>
    </row>
    <row r="138" spans="1:12" x14ac:dyDescent="0.25">
      <c r="A138" s="1303" t="s">
        <v>6906</v>
      </c>
      <c r="B138" s="1306" t="s">
        <v>5424</v>
      </c>
      <c r="C138" s="1305">
        <v>25321.500799999998</v>
      </c>
      <c r="D138" s="866"/>
      <c r="E138" s="866"/>
      <c r="F138" s="866"/>
      <c r="H138" s="866"/>
      <c r="I138" s="866"/>
      <c r="J138" s="866"/>
      <c r="K138" s="866"/>
      <c r="L138" s="866"/>
    </row>
    <row r="139" spans="1:12" x14ac:dyDescent="0.25">
      <c r="A139" s="1303" t="s">
        <v>7557</v>
      </c>
      <c r="B139" s="1306" t="s">
        <v>5402</v>
      </c>
      <c r="C139" s="1305">
        <v>13502.4</v>
      </c>
      <c r="D139" s="866"/>
      <c r="E139" s="866"/>
      <c r="F139" s="866"/>
      <c r="H139" s="866"/>
      <c r="I139" s="866"/>
      <c r="J139" s="866"/>
      <c r="K139" s="866"/>
      <c r="L139" s="866"/>
    </row>
    <row r="140" spans="1:12" x14ac:dyDescent="0.25">
      <c r="A140" s="1303" t="s">
        <v>6940</v>
      </c>
      <c r="B140" s="1306" t="s">
        <v>6876</v>
      </c>
      <c r="C140" s="1305">
        <v>6330.3751999999995</v>
      </c>
      <c r="D140" s="866"/>
      <c r="E140" s="866"/>
      <c r="F140" s="866"/>
      <c r="H140" s="866"/>
      <c r="I140" s="866"/>
      <c r="J140" s="866"/>
      <c r="K140" s="866"/>
      <c r="L140" s="866"/>
    </row>
    <row r="141" spans="1:12" x14ac:dyDescent="0.25">
      <c r="A141" s="1303" t="s">
        <v>7053</v>
      </c>
      <c r="B141" s="1306" t="s">
        <v>5424</v>
      </c>
      <c r="C141" s="1308">
        <f>+SUM!H1316</f>
        <v>361480</v>
      </c>
      <c r="D141" s="997"/>
      <c r="E141" s="866"/>
      <c r="F141" s="866"/>
      <c r="H141" s="866"/>
      <c r="I141" s="866"/>
      <c r="J141" s="866"/>
      <c r="K141" s="866"/>
      <c r="L141" s="866"/>
    </row>
    <row r="142" spans="1:12" x14ac:dyDescent="0.25">
      <c r="A142" s="1303" t="s">
        <v>7061</v>
      </c>
      <c r="B142" s="1306" t="s">
        <v>5424</v>
      </c>
      <c r="C142" s="1308">
        <f>+SUM!H1262</f>
        <v>153938</v>
      </c>
      <c r="D142" s="997"/>
      <c r="E142" s="866"/>
      <c r="F142" s="866"/>
      <c r="H142" s="866"/>
      <c r="I142" s="866"/>
      <c r="J142" s="866"/>
      <c r="K142" s="866"/>
      <c r="L142" s="866"/>
    </row>
    <row r="143" spans="1:12" x14ac:dyDescent="0.25">
      <c r="A143" s="1303" t="s">
        <v>7060</v>
      </c>
      <c r="B143" s="1306" t="s">
        <v>5424</v>
      </c>
      <c r="C143" s="1308">
        <f>+SUM!H1266</f>
        <v>361480</v>
      </c>
      <c r="D143" s="997"/>
      <c r="E143" s="866"/>
      <c r="F143" s="866"/>
      <c r="H143" s="866"/>
      <c r="I143" s="866"/>
      <c r="J143" s="866"/>
      <c r="K143" s="866"/>
      <c r="L143" s="866"/>
    </row>
    <row r="144" spans="1:12" x14ac:dyDescent="0.25">
      <c r="A144" s="1303" t="s">
        <v>7054</v>
      </c>
      <c r="B144" s="1306" t="s">
        <v>5424</v>
      </c>
      <c r="C144" s="1308">
        <f>+SUM!H1267</f>
        <v>394467</v>
      </c>
      <c r="D144" s="997"/>
      <c r="E144" s="866"/>
      <c r="F144" s="866"/>
      <c r="H144" s="866"/>
      <c r="I144" s="866"/>
      <c r="J144" s="866"/>
      <c r="K144" s="866"/>
      <c r="L144" s="866"/>
    </row>
    <row r="145" spans="1:18" x14ac:dyDescent="0.25">
      <c r="A145" s="1303" t="s">
        <v>7055</v>
      </c>
      <c r="B145" s="1306" t="s">
        <v>5424</v>
      </c>
      <c r="C145" s="1308">
        <f>+SUM!H1270</f>
        <v>578643</v>
      </c>
      <c r="D145" s="997"/>
      <c r="E145" s="866"/>
      <c r="F145" s="866"/>
      <c r="H145" s="866"/>
      <c r="I145" s="866"/>
      <c r="J145" s="866"/>
      <c r="K145" s="866"/>
      <c r="L145" s="866"/>
    </row>
    <row r="146" spans="1:18" x14ac:dyDescent="0.25">
      <c r="A146" s="1303" t="s">
        <v>7056</v>
      </c>
      <c r="B146" s="1306" t="s">
        <v>5424</v>
      </c>
      <c r="C146" s="1308">
        <f>+SUM!H1271</f>
        <v>711965</v>
      </c>
      <c r="D146" s="997"/>
      <c r="E146" s="866"/>
      <c r="F146" s="866"/>
      <c r="H146" s="866"/>
      <c r="I146" s="908"/>
      <c r="J146" s="908"/>
      <c r="K146" s="908"/>
      <c r="L146" s="908"/>
      <c r="M146" s="909"/>
      <c r="N146" s="909"/>
      <c r="O146" s="909"/>
      <c r="P146" s="909"/>
      <c r="Q146" s="909"/>
      <c r="R146" s="909"/>
    </row>
    <row r="147" spans="1:18" x14ac:dyDescent="0.25">
      <c r="A147" s="1303" t="s">
        <v>7057</v>
      </c>
      <c r="B147" s="1306" t="s">
        <v>5424</v>
      </c>
      <c r="C147" s="1308">
        <f>+SUM!H1275</f>
        <v>970362</v>
      </c>
      <c r="D147" s="997"/>
      <c r="E147" s="866"/>
      <c r="F147" s="866"/>
      <c r="H147" s="866"/>
      <c r="I147" s="908"/>
      <c r="J147" s="908"/>
      <c r="K147" s="908"/>
      <c r="L147" s="908"/>
      <c r="M147" s="909"/>
      <c r="N147" s="909"/>
      <c r="O147" s="909"/>
      <c r="P147" s="909"/>
      <c r="Q147" s="909"/>
      <c r="R147" s="909"/>
    </row>
    <row r="148" spans="1:18" x14ac:dyDescent="0.25">
      <c r="A148" s="1303" t="s">
        <v>7058</v>
      </c>
      <c r="B148" s="1306" t="s">
        <v>5424</v>
      </c>
      <c r="C148" s="1308">
        <f>+SUM!H1286</f>
        <v>2182627</v>
      </c>
      <c r="D148" s="997"/>
      <c r="E148" s="866"/>
      <c r="F148" s="866"/>
      <c r="H148" s="866"/>
      <c r="I148" s="908"/>
      <c r="J148" s="908"/>
      <c r="K148" s="908"/>
      <c r="L148" s="908"/>
      <c r="M148" s="909"/>
      <c r="N148" s="909"/>
      <c r="O148" s="909"/>
      <c r="P148" s="909"/>
      <c r="Q148" s="909"/>
      <c r="R148" s="909"/>
    </row>
    <row r="149" spans="1:18" x14ac:dyDescent="0.25">
      <c r="A149" s="1303" t="s">
        <v>7059</v>
      </c>
      <c r="B149" s="1306" t="s">
        <v>5424</v>
      </c>
      <c r="C149" s="1308">
        <f>+SUM!H1291</f>
        <v>2754398</v>
      </c>
      <c r="D149" s="997"/>
      <c r="E149" s="866"/>
      <c r="F149" s="866"/>
      <c r="H149" s="866"/>
      <c r="I149" s="908"/>
      <c r="J149" s="908"/>
      <c r="K149" s="908"/>
      <c r="L149" s="908"/>
      <c r="M149" s="910"/>
      <c r="N149" s="909"/>
      <c r="O149" s="909"/>
      <c r="P149" s="909"/>
      <c r="Q149" s="909"/>
      <c r="R149" s="909"/>
    </row>
    <row r="150" spans="1:18" x14ac:dyDescent="0.25">
      <c r="A150" s="1303" t="s">
        <v>6869</v>
      </c>
      <c r="B150" s="1313" t="s">
        <v>6876</v>
      </c>
      <c r="C150" s="1305">
        <v>202536</v>
      </c>
      <c r="D150" s="866"/>
      <c r="E150" s="866"/>
      <c r="F150" s="866"/>
      <c r="H150" s="866"/>
      <c r="I150" s="908"/>
      <c r="J150" s="908"/>
      <c r="K150" s="908"/>
      <c r="L150" s="908"/>
      <c r="M150" s="909"/>
      <c r="N150" s="909"/>
      <c r="O150" s="909"/>
      <c r="P150" s="909"/>
      <c r="Q150" s="909"/>
      <c r="R150" s="909"/>
    </row>
    <row r="151" spans="1:18" x14ac:dyDescent="0.25">
      <c r="A151" s="1303" t="s">
        <v>6870</v>
      </c>
      <c r="B151" s="1304" t="s">
        <v>5542</v>
      </c>
      <c r="C151" s="1305">
        <v>2532.1500799999999</v>
      </c>
      <c r="D151" s="866"/>
      <c r="E151" s="866"/>
      <c r="F151" s="866"/>
      <c r="H151" s="866"/>
      <c r="I151" s="908"/>
      <c r="J151" s="908"/>
      <c r="K151" s="908"/>
      <c r="L151" s="908"/>
      <c r="M151" s="909"/>
      <c r="N151" s="909"/>
      <c r="O151" s="909"/>
      <c r="P151" s="909"/>
      <c r="Q151" s="909"/>
      <c r="R151" s="909"/>
    </row>
    <row r="152" spans="1:18" x14ac:dyDescent="0.25">
      <c r="A152" s="1303" t="s">
        <v>6907</v>
      </c>
      <c r="B152" s="1306" t="s">
        <v>5431</v>
      </c>
      <c r="C152" s="1305">
        <v>51782.469136</v>
      </c>
      <c r="D152" s="866"/>
      <c r="E152" s="866"/>
      <c r="F152" s="866"/>
      <c r="H152" s="866"/>
      <c r="I152" s="908"/>
      <c r="J152" s="908"/>
      <c r="K152" s="908"/>
      <c r="L152" s="908"/>
      <c r="M152" s="911"/>
      <c r="N152" s="909"/>
      <c r="O152" s="909"/>
      <c r="P152" s="909"/>
      <c r="Q152" s="909"/>
      <c r="R152" s="909"/>
    </row>
    <row r="153" spans="1:18" x14ac:dyDescent="0.25">
      <c r="A153" s="1303" t="s">
        <v>6871</v>
      </c>
      <c r="B153" s="1304" t="s">
        <v>6858</v>
      </c>
      <c r="C153" s="1305">
        <v>45008</v>
      </c>
      <c r="D153" s="866"/>
      <c r="E153" s="866"/>
      <c r="F153" s="866"/>
      <c r="H153" s="866"/>
      <c r="I153" s="908"/>
      <c r="J153" s="908"/>
      <c r="K153" s="908"/>
      <c r="L153" s="908"/>
      <c r="M153" s="909"/>
      <c r="N153" s="909"/>
      <c r="O153" s="909"/>
      <c r="P153" s="909"/>
      <c r="Q153" s="909"/>
      <c r="R153" s="909"/>
    </row>
    <row r="154" spans="1:18" x14ac:dyDescent="0.25">
      <c r="A154" s="1303" t="s">
        <v>7014</v>
      </c>
      <c r="B154" s="1306" t="s">
        <v>5424</v>
      </c>
      <c r="C154" s="1305">
        <v>62913096.062399991</v>
      </c>
      <c r="D154" s="866"/>
      <c r="E154" s="866"/>
      <c r="F154" s="866"/>
      <c r="H154" s="866"/>
      <c r="I154" s="908"/>
      <c r="J154" s="908"/>
      <c r="K154" s="908"/>
      <c r="L154" s="908"/>
      <c r="M154" s="909"/>
      <c r="N154" s="909"/>
      <c r="O154" s="909"/>
      <c r="P154" s="909"/>
      <c r="Q154" s="909"/>
      <c r="R154" s="909"/>
    </row>
    <row r="155" spans="1:18" x14ac:dyDescent="0.25">
      <c r="A155" s="1303" t="s">
        <v>6933</v>
      </c>
      <c r="B155" s="1306" t="s">
        <v>5424</v>
      </c>
      <c r="C155" s="1305">
        <v>107211.23438720001</v>
      </c>
      <c r="D155" s="866"/>
      <c r="E155" s="866"/>
      <c r="F155" s="866"/>
      <c r="H155" s="866"/>
      <c r="I155" s="908"/>
      <c r="J155" s="908"/>
      <c r="K155" s="908"/>
      <c r="L155" s="908"/>
      <c r="M155" s="909"/>
      <c r="N155" s="909"/>
      <c r="O155" s="909"/>
      <c r="P155" s="909"/>
      <c r="Q155" s="909"/>
      <c r="R155" s="909"/>
    </row>
    <row r="156" spans="1:18" x14ac:dyDescent="0.25">
      <c r="A156" s="1303" t="s">
        <v>6994</v>
      </c>
      <c r="B156" s="1306" t="s">
        <v>5424</v>
      </c>
      <c r="C156" s="1305">
        <v>227501.9376</v>
      </c>
      <c r="D156" s="866"/>
      <c r="E156" s="866"/>
      <c r="F156" s="866"/>
      <c r="H156" s="866"/>
      <c r="I156" s="908"/>
      <c r="J156" s="908"/>
      <c r="K156" s="908"/>
      <c r="L156" s="908"/>
      <c r="M156" s="910"/>
      <c r="N156" s="909"/>
      <c r="O156" s="909"/>
      <c r="P156" s="909"/>
      <c r="Q156" s="909"/>
      <c r="R156" s="909"/>
    </row>
    <row r="157" spans="1:18" x14ac:dyDescent="0.25">
      <c r="A157" s="1303" t="s">
        <v>6899</v>
      </c>
      <c r="B157" s="1306" t="s">
        <v>5424</v>
      </c>
      <c r="C157" s="1305">
        <v>470334.2166096</v>
      </c>
      <c r="D157" s="866"/>
      <c r="E157" s="866"/>
      <c r="F157" s="866"/>
      <c r="H157" s="866"/>
      <c r="I157" s="908"/>
      <c r="J157" s="908"/>
      <c r="K157" s="908"/>
      <c r="L157" s="908"/>
      <c r="M157" s="910"/>
      <c r="N157" s="909"/>
      <c r="O157" s="909"/>
      <c r="P157" s="909"/>
      <c r="Q157" s="909"/>
      <c r="R157" s="909"/>
    </row>
    <row r="158" spans="1:18" x14ac:dyDescent="0.25">
      <c r="A158" s="1303" t="s">
        <v>6900</v>
      </c>
      <c r="B158" s="1306" t="s">
        <v>5424</v>
      </c>
      <c r="C158" s="1305">
        <v>670804.53844320006</v>
      </c>
      <c r="D158" s="866"/>
      <c r="E158" s="866"/>
      <c r="F158" s="866"/>
      <c r="H158" s="866"/>
      <c r="I158" s="908"/>
      <c r="J158" s="908"/>
      <c r="K158" s="908"/>
      <c r="L158" s="908"/>
      <c r="M158" s="910"/>
      <c r="N158" s="909"/>
      <c r="O158" s="909"/>
      <c r="P158" s="909"/>
      <c r="Q158" s="909"/>
      <c r="R158" s="909"/>
    </row>
    <row r="159" spans="1:18" x14ac:dyDescent="0.25">
      <c r="A159" s="1314" t="s">
        <v>6930</v>
      </c>
      <c r="B159" s="1304" t="s">
        <v>5424</v>
      </c>
      <c r="C159" s="1305">
        <f>+SUM!H2408</f>
        <v>806802</v>
      </c>
      <c r="D159" s="866"/>
      <c r="E159" s="866"/>
      <c r="F159" s="866"/>
      <c r="H159" s="866"/>
      <c r="I159" s="908"/>
      <c r="J159" s="908"/>
      <c r="K159" s="908"/>
      <c r="L159" s="908"/>
      <c r="M159" s="910"/>
      <c r="N159" s="909"/>
      <c r="O159" s="909"/>
      <c r="P159" s="909"/>
      <c r="Q159" s="909"/>
      <c r="R159" s="909"/>
    </row>
    <row r="160" spans="1:18" x14ac:dyDescent="0.25">
      <c r="A160" s="1303" t="s">
        <v>7018</v>
      </c>
      <c r="B160" s="1306" t="s">
        <v>5424</v>
      </c>
      <c r="C160" s="1308">
        <f>+SUM!H1098</f>
        <v>591014</v>
      </c>
      <c r="D160" s="997"/>
      <c r="E160" s="866"/>
      <c r="F160" s="866"/>
      <c r="H160" s="866"/>
      <c r="I160" s="908"/>
      <c r="J160" s="908"/>
      <c r="K160" s="908"/>
      <c r="L160" s="908"/>
      <c r="M160" s="908"/>
      <c r="N160" s="909"/>
      <c r="O160" s="909"/>
      <c r="P160" s="909"/>
      <c r="Q160" s="909"/>
      <c r="R160" s="909"/>
    </row>
    <row r="161" spans="1:18" x14ac:dyDescent="0.25">
      <c r="A161" s="1303" t="s">
        <v>7063</v>
      </c>
      <c r="B161" s="1306" t="s">
        <v>5424</v>
      </c>
      <c r="C161" s="1308">
        <f>+SUM!H1100</f>
        <v>754573</v>
      </c>
      <c r="D161" s="997"/>
      <c r="E161" s="866"/>
      <c r="F161" s="866"/>
      <c r="H161" s="866"/>
      <c r="I161" s="908"/>
      <c r="J161" s="908"/>
      <c r="K161" s="908"/>
      <c r="L161" s="908"/>
      <c r="M161" s="908"/>
      <c r="N161" s="909"/>
      <c r="O161" s="909"/>
      <c r="P161" s="909"/>
      <c r="Q161" s="909"/>
      <c r="R161" s="909"/>
    </row>
    <row r="162" spans="1:18" x14ac:dyDescent="0.25">
      <c r="A162" s="1303" t="s">
        <v>7035</v>
      </c>
      <c r="B162" s="1306" t="s">
        <v>5424</v>
      </c>
      <c r="C162" s="1308">
        <f>+SUM!H1101</f>
        <v>831542</v>
      </c>
      <c r="D162" s="997"/>
      <c r="E162" s="866"/>
      <c r="F162" s="866"/>
      <c r="H162" s="866"/>
      <c r="I162" s="908"/>
      <c r="J162" s="908"/>
      <c r="K162" s="908"/>
      <c r="L162" s="908"/>
      <c r="M162" s="910"/>
      <c r="N162" s="909"/>
      <c r="O162" s="909"/>
      <c r="P162" s="909"/>
      <c r="Q162" s="909"/>
      <c r="R162" s="909"/>
    </row>
    <row r="163" spans="1:18" x14ac:dyDescent="0.25">
      <c r="A163" s="1303" t="s">
        <v>7019</v>
      </c>
      <c r="B163" s="1306" t="s">
        <v>5424</v>
      </c>
      <c r="C163" s="1308">
        <f>+SUM!H1102</f>
        <v>853533</v>
      </c>
      <c r="D163" s="997"/>
      <c r="E163" s="866"/>
      <c r="F163" s="866"/>
      <c r="H163" s="866"/>
      <c r="I163" s="908"/>
      <c r="J163" s="908"/>
      <c r="K163" s="908"/>
      <c r="L163" s="908"/>
      <c r="M163" s="908"/>
      <c r="N163" s="909"/>
      <c r="O163" s="909"/>
      <c r="P163" s="909"/>
      <c r="Q163" s="909"/>
      <c r="R163" s="909"/>
    </row>
    <row r="164" spans="1:18" x14ac:dyDescent="0.25">
      <c r="A164" s="1303" t="s">
        <v>7049</v>
      </c>
      <c r="B164" s="1306" t="s">
        <v>5424</v>
      </c>
      <c r="C164" s="1308">
        <f>+SUM!H1105</f>
        <v>1268617</v>
      </c>
      <c r="D164" s="997"/>
      <c r="E164" s="866"/>
      <c r="F164" s="866"/>
      <c r="H164" s="866"/>
      <c r="I164" s="908"/>
      <c r="J164" s="908"/>
      <c r="K164" s="908"/>
      <c r="L164" s="908"/>
      <c r="M164" s="908"/>
      <c r="N164" s="909"/>
      <c r="O164" s="909"/>
      <c r="P164" s="909"/>
      <c r="Q164" s="909"/>
      <c r="R164" s="909"/>
    </row>
    <row r="165" spans="1:18" x14ac:dyDescent="0.25">
      <c r="A165" s="1303" t="s">
        <v>7036</v>
      </c>
      <c r="B165" s="1306" t="s">
        <v>5424</v>
      </c>
      <c r="C165" s="1305">
        <f>+SUM!H1107</f>
        <v>1400565</v>
      </c>
      <c r="D165" s="866"/>
      <c r="E165" s="866"/>
      <c r="F165" s="866"/>
      <c r="H165" s="866"/>
      <c r="I165" s="908"/>
      <c r="J165" s="908"/>
      <c r="K165" s="908"/>
      <c r="L165" s="908"/>
      <c r="M165" s="908"/>
      <c r="N165" s="909"/>
      <c r="O165" s="909"/>
      <c r="P165" s="909"/>
      <c r="Q165" s="909"/>
      <c r="R165" s="909"/>
    </row>
    <row r="166" spans="1:18" x14ac:dyDescent="0.25">
      <c r="A166" s="1303" t="s">
        <v>7020</v>
      </c>
      <c r="B166" s="1306" t="s">
        <v>5424</v>
      </c>
      <c r="C166" s="1308">
        <f>+SUM!H1110</f>
        <v>2351684</v>
      </c>
      <c r="D166" s="997"/>
      <c r="E166" s="866"/>
      <c r="F166" s="866"/>
      <c r="H166" s="866"/>
      <c r="I166" s="908"/>
      <c r="J166" s="908"/>
      <c r="K166" s="908"/>
      <c r="L166" s="908"/>
      <c r="M166" s="912"/>
      <c r="N166" s="909"/>
      <c r="O166" s="909"/>
      <c r="P166" s="909"/>
      <c r="Q166" s="909"/>
      <c r="R166" s="909"/>
    </row>
    <row r="167" spans="1:18" x14ac:dyDescent="0.25">
      <c r="A167" s="1303" t="s">
        <v>7021</v>
      </c>
      <c r="B167" s="1306" t="s">
        <v>5424</v>
      </c>
      <c r="C167" s="1308">
        <f>+SUM!H1111</f>
        <v>2351684</v>
      </c>
      <c r="D167" s="997"/>
      <c r="E167" s="866"/>
      <c r="F167" s="866"/>
      <c r="H167" s="866"/>
      <c r="I167" s="908"/>
      <c r="J167" s="908"/>
      <c r="K167" s="908"/>
      <c r="L167" s="908"/>
      <c r="M167" s="913"/>
      <c r="N167" s="909"/>
      <c r="O167" s="909"/>
      <c r="P167" s="909"/>
      <c r="Q167" s="909"/>
      <c r="R167" s="909"/>
    </row>
    <row r="168" spans="1:18" x14ac:dyDescent="0.25">
      <c r="A168" s="1303" t="s">
        <v>7022</v>
      </c>
      <c r="B168" s="1306" t="s">
        <v>5424</v>
      </c>
      <c r="C168" s="1308">
        <f>+SUM!H1113</f>
        <v>2401164</v>
      </c>
      <c r="D168" s="997"/>
      <c r="E168" s="866"/>
      <c r="F168" s="866"/>
      <c r="H168" s="866"/>
      <c r="I168" s="908"/>
      <c r="J168" s="908"/>
      <c r="K168" s="908"/>
      <c r="L168" s="908"/>
      <c r="M168" s="912"/>
      <c r="N168" s="909"/>
      <c r="O168" s="909"/>
      <c r="P168" s="909"/>
      <c r="Q168" s="909"/>
      <c r="R168" s="909"/>
    </row>
    <row r="169" spans="1:18" x14ac:dyDescent="0.25">
      <c r="A169" s="1303" t="s">
        <v>7023</v>
      </c>
      <c r="B169" s="1306" t="s">
        <v>5424</v>
      </c>
      <c r="C169" s="1308">
        <f>+SUM!H1121</f>
        <v>3928178</v>
      </c>
      <c r="D169" s="997"/>
      <c r="E169" s="866"/>
      <c r="F169" s="866"/>
      <c r="H169" s="866"/>
      <c r="I169" s="908"/>
      <c r="J169" s="908"/>
      <c r="K169" s="908"/>
      <c r="L169" s="908"/>
      <c r="M169" s="912"/>
      <c r="N169" s="909"/>
      <c r="O169" s="909"/>
      <c r="P169" s="909"/>
      <c r="Q169" s="909"/>
      <c r="R169" s="909"/>
    </row>
    <row r="170" spans="1:18" x14ac:dyDescent="0.25">
      <c r="A170" s="1303" t="s">
        <v>7024</v>
      </c>
      <c r="B170" s="1306" t="s">
        <v>5424</v>
      </c>
      <c r="C170" s="1308">
        <f>+SUM!H1124</f>
        <v>4315773</v>
      </c>
      <c r="D170" s="997"/>
      <c r="E170" s="866"/>
      <c r="F170" s="866"/>
      <c r="H170" s="866"/>
      <c r="I170" s="908"/>
      <c r="J170" s="908"/>
      <c r="K170" s="908"/>
      <c r="L170" s="908"/>
      <c r="M170" s="913"/>
      <c r="N170" s="909"/>
      <c r="O170" s="909"/>
      <c r="P170" s="909"/>
      <c r="Q170" s="909"/>
      <c r="R170" s="909"/>
    </row>
    <row r="171" spans="1:18" x14ac:dyDescent="0.25">
      <c r="A171" s="1303" t="s">
        <v>7025</v>
      </c>
      <c r="B171" s="1306" t="s">
        <v>5424</v>
      </c>
      <c r="C171" s="1308">
        <f>+SUM!H1127</f>
        <v>4266293</v>
      </c>
      <c r="D171" s="997"/>
      <c r="E171" s="866"/>
      <c r="F171" s="866"/>
      <c r="H171" s="866"/>
      <c r="I171" s="908"/>
      <c r="J171" s="908"/>
      <c r="K171" s="908"/>
      <c r="L171" s="908"/>
      <c r="M171" s="913"/>
      <c r="N171" s="909"/>
      <c r="O171" s="909"/>
      <c r="P171" s="909"/>
      <c r="Q171" s="909"/>
      <c r="R171" s="909"/>
    </row>
    <row r="172" spans="1:18" x14ac:dyDescent="0.25">
      <c r="A172" s="1303" t="s">
        <v>7026</v>
      </c>
      <c r="B172" s="1306" t="s">
        <v>5424</v>
      </c>
      <c r="C172" s="1308">
        <f>+SUM!H1129</f>
        <v>4582416</v>
      </c>
      <c r="D172" s="997"/>
      <c r="E172" s="866"/>
      <c r="F172" s="866"/>
      <c r="H172" s="866"/>
      <c r="I172" s="908"/>
      <c r="J172" s="908"/>
      <c r="K172" s="908"/>
      <c r="L172" s="908"/>
      <c r="M172" s="913"/>
      <c r="N172" s="909"/>
      <c r="O172" s="909"/>
      <c r="P172" s="909"/>
      <c r="Q172" s="909"/>
      <c r="R172" s="909"/>
    </row>
    <row r="173" spans="1:18" x14ac:dyDescent="0.25">
      <c r="A173" s="1303" t="s">
        <v>7027</v>
      </c>
      <c r="B173" s="1306" t="s">
        <v>5424</v>
      </c>
      <c r="C173" s="1308">
        <f>+SUM!H1130</f>
        <v>4582416</v>
      </c>
      <c r="D173" s="997"/>
      <c r="E173" s="866"/>
      <c r="F173" s="866"/>
      <c r="H173" s="866"/>
      <c r="I173" s="908"/>
      <c r="J173" s="908"/>
      <c r="K173" s="908"/>
      <c r="L173" s="908"/>
      <c r="M173" s="912"/>
      <c r="N173" s="909"/>
      <c r="O173" s="909"/>
      <c r="P173" s="909"/>
      <c r="Q173" s="909"/>
      <c r="R173" s="909"/>
    </row>
    <row r="174" spans="1:18" x14ac:dyDescent="0.25">
      <c r="A174" s="1303" t="s">
        <v>7028</v>
      </c>
      <c r="B174" s="1306" t="s">
        <v>5424</v>
      </c>
      <c r="C174" s="1308">
        <f>+SUM!H982</f>
        <v>1047331</v>
      </c>
      <c r="D174" s="997"/>
      <c r="E174" s="866"/>
      <c r="F174" s="866"/>
      <c r="H174" s="866"/>
      <c r="I174" s="908"/>
      <c r="J174" s="908"/>
      <c r="K174" s="908"/>
      <c r="L174" s="908"/>
      <c r="M174" s="909"/>
      <c r="N174" s="909"/>
      <c r="O174" s="909"/>
      <c r="P174" s="909"/>
      <c r="Q174" s="909"/>
      <c r="R174" s="909"/>
    </row>
    <row r="175" spans="1:18" x14ac:dyDescent="0.25">
      <c r="A175" s="1303" t="s">
        <v>7029</v>
      </c>
      <c r="B175" s="1306" t="s">
        <v>5424</v>
      </c>
      <c r="C175" s="1308">
        <f>+SUM!H993</f>
        <v>2109781</v>
      </c>
      <c r="D175" s="997"/>
      <c r="E175" s="866"/>
      <c r="F175" s="866"/>
      <c r="H175" s="866"/>
      <c r="I175" s="908"/>
      <c r="J175" s="908"/>
      <c r="K175" s="908"/>
      <c r="L175" s="908"/>
      <c r="M175" s="909"/>
      <c r="N175" s="909"/>
      <c r="O175" s="909"/>
      <c r="P175" s="909"/>
      <c r="Q175" s="909"/>
      <c r="R175" s="909"/>
    </row>
    <row r="176" spans="1:18" x14ac:dyDescent="0.25">
      <c r="A176" s="1303" t="s">
        <v>7030</v>
      </c>
      <c r="B176" s="1306" t="s">
        <v>5424</v>
      </c>
      <c r="C176" s="1305">
        <v>1763825.2631999999</v>
      </c>
      <c r="D176" s="866"/>
      <c r="E176" s="866"/>
      <c r="F176" s="866"/>
      <c r="H176" s="866"/>
      <c r="I176" s="908"/>
      <c r="J176" s="908"/>
      <c r="K176" s="908"/>
      <c r="L176" s="908"/>
      <c r="M176" s="911"/>
      <c r="N176" s="909"/>
      <c r="O176" s="909"/>
      <c r="P176" s="909"/>
      <c r="Q176" s="909"/>
      <c r="R176" s="909"/>
    </row>
    <row r="177" spans="1:18" x14ac:dyDescent="0.25">
      <c r="A177" s="1314" t="s">
        <v>8336</v>
      </c>
      <c r="B177" s="1306" t="s">
        <v>5424</v>
      </c>
      <c r="C177" s="1305">
        <v>2579816.9276000001</v>
      </c>
      <c r="D177" s="866"/>
      <c r="E177" s="866"/>
      <c r="F177" s="866"/>
      <c r="H177" s="866"/>
      <c r="I177" s="908"/>
      <c r="J177" s="908"/>
      <c r="K177" s="908"/>
      <c r="L177" s="908"/>
      <c r="M177" s="909"/>
      <c r="N177" s="909"/>
      <c r="O177" s="909"/>
      <c r="P177" s="909"/>
      <c r="Q177" s="909"/>
      <c r="R177" s="909"/>
    </row>
    <row r="178" spans="1:18" x14ac:dyDescent="0.25">
      <c r="A178" s="1303" t="s">
        <v>7031</v>
      </c>
      <c r="B178" s="1306" t="s">
        <v>5424</v>
      </c>
      <c r="C178" s="1305">
        <f>+SUM!H199</f>
        <v>1277138</v>
      </c>
      <c r="D178" s="866"/>
      <c r="E178" s="866"/>
      <c r="F178" s="866"/>
      <c r="H178" s="866"/>
      <c r="I178" s="908"/>
      <c r="J178" s="908"/>
      <c r="K178" s="908"/>
      <c r="L178" s="908"/>
      <c r="M178" s="909"/>
      <c r="N178" s="909"/>
      <c r="O178" s="909"/>
      <c r="P178" s="909"/>
      <c r="Q178" s="909"/>
      <c r="R178" s="909"/>
    </row>
    <row r="179" spans="1:18" x14ac:dyDescent="0.25">
      <c r="A179" s="1303" t="s">
        <v>6920</v>
      </c>
      <c r="B179" s="1306" t="s">
        <v>5431</v>
      </c>
      <c r="C179" s="1305">
        <v>1125200</v>
      </c>
      <c r="D179" s="866"/>
      <c r="E179" s="866"/>
      <c r="F179" s="866"/>
      <c r="H179" s="866"/>
      <c r="I179" s="908"/>
      <c r="J179" s="908"/>
      <c r="K179" s="908"/>
      <c r="L179" s="908"/>
      <c r="M179" s="909"/>
      <c r="N179" s="909"/>
      <c r="O179" s="909"/>
      <c r="P179" s="909"/>
      <c r="Q179" s="909"/>
      <c r="R179" s="909"/>
    </row>
    <row r="180" spans="1:18" x14ac:dyDescent="0.25">
      <c r="A180" s="1303" t="s">
        <v>6922</v>
      </c>
      <c r="B180" s="1306" t="s">
        <v>5475</v>
      </c>
      <c r="C180" s="1305">
        <v>24762.857849350399</v>
      </c>
      <c r="D180" s="866"/>
      <c r="E180" s="866"/>
      <c r="F180" s="866"/>
      <c r="H180" s="866"/>
      <c r="I180" s="908"/>
      <c r="J180" s="908"/>
      <c r="K180" s="908"/>
      <c r="L180" s="908"/>
      <c r="M180" s="909"/>
      <c r="N180" s="909"/>
      <c r="O180" s="909"/>
      <c r="P180" s="909"/>
      <c r="Q180" s="909"/>
      <c r="R180" s="909"/>
    </row>
    <row r="181" spans="1:18" x14ac:dyDescent="0.25">
      <c r="A181" s="1303" t="s">
        <v>6923</v>
      </c>
      <c r="B181" s="1306" t="s">
        <v>5475</v>
      </c>
      <c r="C181" s="1305">
        <v>113111.523896112</v>
      </c>
      <c r="D181" s="866"/>
      <c r="E181" s="866"/>
      <c r="F181" s="866"/>
      <c r="H181" s="866"/>
      <c r="I181" s="908"/>
      <c r="J181" s="908"/>
      <c r="K181" s="908"/>
      <c r="L181" s="908"/>
      <c r="M181" s="909"/>
      <c r="N181" s="909"/>
      <c r="O181" s="909"/>
      <c r="P181" s="909"/>
      <c r="Q181" s="909"/>
      <c r="R181" s="909"/>
    </row>
    <row r="182" spans="1:18" x14ac:dyDescent="0.25">
      <c r="A182" s="1303" t="s">
        <v>6924</v>
      </c>
      <c r="B182" s="1306" t="s">
        <v>5475</v>
      </c>
      <c r="C182" s="1305">
        <v>67003.349874383988</v>
      </c>
      <c r="D182" s="866"/>
      <c r="E182" s="866"/>
      <c r="F182" s="866"/>
      <c r="H182" s="866"/>
      <c r="I182" s="908"/>
      <c r="J182" s="908"/>
      <c r="K182" s="908"/>
      <c r="L182" s="908"/>
      <c r="M182" s="909"/>
      <c r="N182" s="909"/>
      <c r="O182" s="909"/>
      <c r="P182" s="909"/>
      <c r="Q182" s="909"/>
      <c r="R182" s="909"/>
    </row>
    <row r="183" spans="1:18" x14ac:dyDescent="0.25">
      <c r="A183" s="1303" t="s">
        <v>6925</v>
      </c>
      <c r="B183" s="1306" t="s">
        <v>5475</v>
      </c>
      <c r="C183" s="1305">
        <v>78568.945364783984</v>
      </c>
      <c r="D183" s="866"/>
      <c r="E183" s="866"/>
      <c r="F183" s="866"/>
      <c r="H183" s="866"/>
      <c r="I183" s="908"/>
      <c r="J183" s="908"/>
      <c r="K183" s="908"/>
      <c r="L183" s="908"/>
      <c r="M183" s="909"/>
      <c r="N183" s="909"/>
      <c r="O183" s="909"/>
      <c r="P183" s="909"/>
      <c r="Q183" s="909"/>
      <c r="R183" s="909"/>
    </row>
    <row r="184" spans="1:18" x14ac:dyDescent="0.25">
      <c r="A184" s="1303" t="s">
        <v>6926</v>
      </c>
      <c r="B184" s="1306" t="s">
        <v>5475</v>
      </c>
      <c r="C184" s="1305">
        <v>91035.037379999994</v>
      </c>
      <c r="D184" s="866"/>
      <c r="E184" s="866"/>
      <c r="F184" s="866"/>
      <c r="H184" s="866"/>
      <c r="I184" s="908"/>
      <c r="J184" s="908"/>
      <c r="K184" s="908"/>
      <c r="L184" s="908"/>
      <c r="M184" s="909"/>
      <c r="N184" s="909"/>
      <c r="O184" s="909"/>
      <c r="P184" s="909"/>
      <c r="Q184" s="909"/>
      <c r="R184" s="909"/>
    </row>
    <row r="185" spans="1:18" x14ac:dyDescent="0.25">
      <c r="A185" s="1303" t="s">
        <v>6927</v>
      </c>
      <c r="B185" s="1306" t="s">
        <v>5475</v>
      </c>
      <c r="C185" s="1305">
        <v>126296.302755168</v>
      </c>
      <c r="D185" s="866"/>
      <c r="E185" s="866"/>
      <c r="F185" s="866"/>
      <c r="H185" s="866"/>
      <c r="I185" s="908"/>
      <c r="J185" s="908"/>
      <c r="K185" s="908"/>
      <c r="L185" s="908"/>
      <c r="M185" s="909"/>
      <c r="N185" s="909"/>
      <c r="O185" s="909"/>
      <c r="P185" s="909"/>
      <c r="Q185" s="909"/>
      <c r="R185" s="909"/>
    </row>
    <row r="186" spans="1:18" x14ac:dyDescent="0.25">
      <c r="A186" s="1303" t="s">
        <v>6928</v>
      </c>
      <c r="B186" s="1306" t="s">
        <v>5475</v>
      </c>
      <c r="C186" s="1305">
        <v>145572.29523916799</v>
      </c>
      <c r="D186" s="866"/>
      <c r="E186" s="866"/>
      <c r="F186" s="866"/>
      <c r="H186" s="866"/>
      <c r="I186" s="908"/>
      <c r="J186" s="908"/>
      <c r="K186" s="908"/>
      <c r="L186" s="908"/>
      <c r="M186" s="909"/>
      <c r="N186" s="909"/>
      <c r="O186" s="909"/>
      <c r="P186" s="909"/>
      <c r="Q186" s="909"/>
      <c r="R186" s="909"/>
    </row>
    <row r="187" spans="1:18" x14ac:dyDescent="0.25">
      <c r="A187" s="1303" t="s">
        <v>6929</v>
      </c>
      <c r="B187" s="1306" t="s">
        <v>5475</v>
      </c>
      <c r="C187" s="1305">
        <v>152203.236653664</v>
      </c>
      <c r="D187" s="866"/>
      <c r="E187" s="866"/>
      <c r="F187" s="866"/>
      <c r="H187" s="866"/>
      <c r="I187" s="908"/>
      <c r="J187" s="908"/>
      <c r="K187" s="908"/>
      <c r="L187" s="908"/>
      <c r="M187" s="909"/>
      <c r="N187" s="909"/>
      <c r="O187" s="909"/>
      <c r="P187" s="909"/>
      <c r="Q187" s="909"/>
      <c r="R187" s="909"/>
    </row>
    <row r="188" spans="1:18" x14ac:dyDescent="0.25">
      <c r="A188" s="1303" t="s">
        <v>6934</v>
      </c>
      <c r="B188" s="1306" t="s">
        <v>5475</v>
      </c>
      <c r="C188" s="1305">
        <v>5360.5617193600001</v>
      </c>
      <c r="D188" s="866"/>
      <c r="E188" s="866"/>
      <c r="F188" s="866"/>
      <c r="H188" s="866"/>
      <c r="I188" s="908"/>
      <c r="J188" s="908"/>
      <c r="K188" s="908"/>
      <c r="L188" s="908"/>
      <c r="M188" s="909"/>
      <c r="N188" s="909"/>
      <c r="O188" s="909"/>
      <c r="P188" s="909"/>
      <c r="Q188" s="909"/>
      <c r="R188" s="909"/>
    </row>
    <row r="189" spans="1:18" x14ac:dyDescent="0.25">
      <c r="A189" s="1303" t="s">
        <v>6931</v>
      </c>
      <c r="B189" s="1306" t="s">
        <v>5475</v>
      </c>
      <c r="C189" s="1305">
        <v>49200.720240000002</v>
      </c>
      <c r="D189" s="866"/>
      <c r="E189" s="866"/>
      <c r="F189" s="866"/>
      <c r="H189" s="866"/>
      <c r="I189" s="908"/>
      <c r="J189" s="908"/>
      <c r="K189" s="908"/>
      <c r="L189" s="908"/>
      <c r="M189" s="909"/>
      <c r="N189" s="909"/>
      <c r="O189" s="909"/>
      <c r="P189" s="909"/>
      <c r="Q189" s="909"/>
      <c r="R189" s="909"/>
    </row>
    <row r="190" spans="1:18" x14ac:dyDescent="0.25">
      <c r="A190" s="1303" t="s">
        <v>6932</v>
      </c>
      <c r="B190" s="1306" t="s">
        <v>5475</v>
      </c>
      <c r="C190" s="1305">
        <v>99223.736640000017</v>
      </c>
      <c r="D190" s="866"/>
      <c r="E190" s="866"/>
      <c r="F190" s="866"/>
      <c r="H190" s="866"/>
      <c r="I190" s="908"/>
      <c r="J190" s="908"/>
      <c r="K190" s="908"/>
      <c r="L190" s="908"/>
      <c r="M190" s="909"/>
      <c r="N190" s="909"/>
      <c r="O190" s="909"/>
      <c r="P190" s="909"/>
      <c r="Q190" s="909"/>
      <c r="R190" s="909"/>
    </row>
    <row r="191" spans="1:18" x14ac:dyDescent="0.25">
      <c r="A191" s="1303" t="s">
        <v>6936</v>
      </c>
      <c r="B191" s="1306" t="s">
        <v>5475</v>
      </c>
      <c r="C191" s="1305">
        <v>28836.884756064002</v>
      </c>
      <c r="D191" s="866"/>
      <c r="E191" s="866"/>
      <c r="F191" s="866"/>
      <c r="H191" s="866"/>
      <c r="I191" s="908"/>
      <c r="J191" s="908"/>
      <c r="K191" s="908"/>
      <c r="L191" s="908"/>
      <c r="M191" s="909"/>
      <c r="N191" s="909"/>
      <c r="O191" s="909"/>
      <c r="P191" s="909"/>
      <c r="Q191" s="909"/>
      <c r="R191" s="909"/>
    </row>
    <row r="192" spans="1:18" x14ac:dyDescent="0.25">
      <c r="A192" s="1303" t="s">
        <v>6938</v>
      </c>
      <c r="B192" s="1306" t="s">
        <v>5475</v>
      </c>
      <c r="C192" s="1305">
        <v>56285.898053279998</v>
      </c>
      <c r="D192" s="866"/>
      <c r="E192" s="866"/>
      <c r="F192" s="866"/>
      <c r="H192" s="866"/>
      <c r="I192" s="908"/>
      <c r="J192" s="908"/>
      <c r="K192" s="908"/>
      <c r="L192" s="908"/>
      <c r="M192" s="909"/>
      <c r="N192" s="909"/>
      <c r="O192" s="909"/>
      <c r="P192" s="909"/>
      <c r="Q192" s="909"/>
      <c r="R192" s="909"/>
    </row>
    <row r="193" spans="1:18" x14ac:dyDescent="0.25">
      <c r="A193" s="1303" t="s">
        <v>6905</v>
      </c>
      <c r="B193" s="1306" t="s">
        <v>5402</v>
      </c>
      <c r="C193" s="1305">
        <f>+SUM!H20</f>
        <v>77109</v>
      </c>
      <c r="D193" s="866"/>
      <c r="E193" s="866"/>
      <c r="F193" s="866"/>
      <c r="H193" s="866"/>
      <c r="I193" s="908"/>
      <c r="J193" s="908"/>
      <c r="K193" s="908"/>
      <c r="L193" s="908"/>
      <c r="M193" s="909"/>
      <c r="N193" s="909"/>
      <c r="O193" s="909"/>
      <c r="P193" s="909"/>
      <c r="Q193" s="909"/>
      <c r="R193" s="909"/>
    </row>
    <row r="194" spans="1:18" x14ac:dyDescent="0.25">
      <c r="A194" s="1303" t="s">
        <v>6993</v>
      </c>
      <c r="B194" s="1306" t="s">
        <v>5402</v>
      </c>
      <c r="C194" s="1305">
        <v>440150.33503999998</v>
      </c>
      <c r="D194" s="866"/>
      <c r="E194" s="866"/>
      <c r="F194" s="866"/>
      <c r="H194" s="866"/>
      <c r="I194" s="908"/>
      <c r="J194" s="908"/>
      <c r="K194" s="908"/>
      <c r="L194" s="908"/>
      <c r="M194" s="909"/>
      <c r="N194" s="914"/>
      <c r="O194" s="909"/>
      <c r="P194" s="909"/>
      <c r="Q194" s="909"/>
      <c r="R194" s="909"/>
    </row>
    <row r="195" spans="1:18" x14ac:dyDescent="0.25">
      <c r="A195" s="1303" t="s">
        <v>6992</v>
      </c>
      <c r="B195" s="1306" t="s">
        <v>5402</v>
      </c>
      <c r="C195" s="1305">
        <v>746477.93359999999</v>
      </c>
      <c r="D195" s="866"/>
      <c r="E195" s="866"/>
      <c r="F195" s="866"/>
      <c r="H195" s="866"/>
      <c r="I195" s="908"/>
      <c r="J195" s="908"/>
      <c r="K195" s="908"/>
      <c r="L195" s="908"/>
      <c r="M195" s="909"/>
      <c r="N195" s="914"/>
      <c r="O195" s="909"/>
      <c r="P195" s="909"/>
      <c r="Q195" s="909"/>
      <c r="R195" s="909"/>
    </row>
    <row r="196" spans="1:18" x14ac:dyDescent="0.25">
      <c r="A196" s="1314" t="s">
        <v>8335</v>
      </c>
      <c r="B196" s="1306" t="s">
        <v>5402</v>
      </c>
      <c r="C196" s="1305">
        <v>577697.93359999999</v>
      </c>
      <c r="D196" s="866"/>
      <c r="E196" s="866"/>
      <c r="F196" s="866"/>
      <c r="H196" s="866"/>
      <c r="I196" s="908"/>
      <c r="J196" s="908"/>
      <c r="K196" s="908"/>
      <c r="L196" s="908"/>
      <c r="M196" s="909"/>
      <c r="N196" s="914"/>
      <c r="O196" s="909"/>
      <c r="P196" s="909"/>
      <c r="Q196" s="909"/>
      <c r="R196" s="909"/>
    </row>
    <row r="197" spans="1:18" x14ac:dyDescent="0.25">
      <c r="A197" s="1303" t="s">
        <v>7926</v>
      </c>
      <c r="B197" s="1306"/>
      <c r="C197" s="1305">
        <v>288456.27199999994</v>
      </c>
      <c r="D197" s="866"/>
      <c r="E197" s="866"/>
      <c r="F197" s="866"/>
      <c r="H197" s="866"/>
      <c r="I197" s="908"/>
      <c r="J197" s="908"/>
      <c r="K197" s="908"/>
      <c r="L197" s="908"/>
      <c r="M197" s="909"/>
      <c r="N197" s="909"/>
      <c r="O197" s="909"/>
      <c r="P197" s="909"/>
      <c r="Q197" s="909"/>
      <c r="R197" s="909"/>
    </row>
    <row r="198" spans="1:18" x14ac:dyDescent="0.25">
      <c r="A198" s="1303" t="s">
        <v>7009</v>
      </c>
      <c r="B198" s="1306" t="s">
        <v>5402</v>
      </c>
      <c r="C198" s="1305">
        <v>462157.89679999999</v>
      </c>
      <c r="D198" s="866"/>
      <c r="E198" s="866"/>
      <c r="F198" s="866"/>
      <c r="H198" s="866"/>
      <c r="I198" s="908"/>
      <c r="J198" s="908"/>
      <c r="K198" s="908"/>
      <c r="L198" s="908"/>
      <c r="M198" s="911"/>
      <c r="N198" s="909"/>
      <c r="O198" s="909"/>
      <c r="P198" s="909"/>
      <c r="Q198" s="909"/>
      <c r="R198" s="909"/>
    </row>
    <row r="199" spans="1:18" x14ac:dyDescent="0.25">
      <c r="A199" s="1303" t="s">
        <v>7008</v>
      </c>
      <c r="B199" s="1306" t="s">
        <v>5402</v>
      </c>
      <c r="C199" s="1305">
        <f>+SUM!H834</f>
        <v>474110</v>
      </c>
      <c r="D199" s="866"/>
      <c r="E199" s="866"/>
      <c r="F199" s="866"/>
      <c r="H199" s="866"/>
      <c r="I199" s="908"/>
      <c r="J199" s="908"/>
      <c r="K199" s="908"/>
      <c r="L199" s="908"/>
      <c r="M199" s="911"/>
      <c r="N199" s="909"/>
      <c r="O199" s="909"/>
      <c r="P199" s="909"/>
      <c r="Q199" s="909"/>
      <c r="R199" s="909"/>
    </row>
    <row r="200" spans="1:18" x14ac:dyDescent="0.25">
      <c r="A200" s="1303" t="s">
        <v>7001</v>
      </c>
      <c r="B200" s="1306" t="s">
        <v>5402</v>
      </c>
      <c r="C200" s="1305">
        <f>+SUM!H26</f>
        <v>42330</v>
      </c>
      <c r="D200" s="866"/>
      <c r="E200" s="866"/>
      <c r="F200" s="866"/>
      <c r="H200" s="866"/>
      <c r="I200" s="908"/>
      <c r="J200" s="908"/>
      <c r="K200" s="908"/>
      <c r="L200" s="908"/>
      <c r="M200" s="909"/>
      <c r="N200" s="909"/>
      <c r="O200" s="909"/>
      <c r="P200" s="909"/>
      <c r="Q200" s="909"/>
      <c r="R200" s="909"/>
    </row>
    <row r="201" spans="1:18" x14ac:dyDescent="0.25">
      <c r="A201" s="1303" t="s">
        <v>6957</v>
      </c>
      <c r="B201" s="1306" t="s">
        <v>5402</v>
      </c>
      <c r="C201" s="1305">
        <f>+SUM!H27</f>
        <v>92427</v>
      </c>
      <c r="D201" s="866"/>
      <c r="E201" s="866"/>
      <c r="F201" s="866"/>
      <c r="H201" s="866"/>
      <c r="I201" s="908"/>
      <c r="J201" s="908"/>
      <c r="K201" s="908"/>
      <c r="L201" s="908"/>
      <c r="M201" s="909"/>
      <c r="N201" s="909"/>
      <c r="O201" s="909"/>
      <c r="P201" s="909"/>
      <c r="Q201" s="909"/>
      <c r="R201" s="909"/>
    </row>
    <row r="202" spans="1:18" x14ac:dyDescent="0.25">
      <c r="A202" s="1303" t="s">
        <v>6984</v>
      </c>
      <c r="B202" s="1306" t="s">
        <v>5424</v>
      </c>
      <c r="C202" s="1305">
        <v>3520525.76</v>
      </c>
      <c r="D202" s="866"/>
      <c r="E202" s="866"/>
      <c r="F202" s="866"/>
      <c r="H202" s="866"/>
      <c r="I202" s="908"/>
      <c r="J202" s="908"/>
      <c r="K202" s="908"/>
      <c r="L202" s="908"/>
      <c r="M202" s="909"/>
      <c r="N202" s="909"/>
      <c r="O202" s="909"/>
      <c r="P202" s="909"/>
      <c r="Q202" s="909"/>
      <c r="R202" s="909"/>
    </row>
    <row r="203" spans="1:18" x14ac:dyDescent="0.25">
      <c r="A203" s="1303" t="s">
        <v>6954</v>
      </c>
      <c r="B203" s="1306" t="s">
        <v>5424</v>
      </c>
      <c r="C203" s="1305">
        <v>1810422.0456000001</v>
      </c>
      <c r="D203" s="866"/>
      <c r="E203" s="866"/>
      <c r="F203" s="866"/>
      <c r="H203" s="866"/>
      <c r="I203" s="908"/>
      <c r="J203" s="908"/>
      <c r="K203" s="908"/>
      <c r="L203" s="908"/>
      <c r="M203" s="909"/>
      <c r="N203" s="909"/>
      <c r="O203" s="909"/>
      <c r="P203" s="909"/>
      <c r="Q203" s="909"/>
      <c r="R203" s="909"/>
    </row>
    <row r="204" spans="1:18" x14ac:dyDescent="0.25">
      <c r="A204" s="1303" t="s">
        <v>6896</v>
      </c>
      <c r="B204" s="1306" t="s">
        <v>5424</v>
      </c>
      <c r="C204" s="1308">
        <f>+SUM!H1911</f>
        <v>533287</v>
      </c>
      <c r="D204" s="997"/>
      <c r="E204" s="866"/>
      <c r="F204" s="866"/>
      <c r="H204" s="866"/>
      <c r="I204" s="908"/>
      <c r="J204" s="908"/>
      <c r="K204" s="908"/>
      <c r="L204" s="908"/>
      <c r="M204" s="911"/>
      <c r="N204" s="909"/>
      <c r="O204" s="909"/>
      <c r="P204" s="909"/>
      <c r="Q204" s="909"/>
      <c r="R204" s="909"/>
    </row>
    <row r="205" spans="1:18" x14ac:dyDescent="0.25">
      <c r="A205" s="1303" t="s">
        <v>6882</v>
      </c>
      <c r="B205" s="1306" t="s">
        <v>5424</v>
      </c>
      <c r="C205" s="1308">
        <f>+SUM!H1912</f>
        <v>703718</v>
      </c>
      <c r="D205" s="997"/>
      <c r="E205" s="866"/>
      <c r="F205" s="866"/>
      <c r="H205" s="866"/>
      <c r="I205" s="908"/>
      <c r="J205" s="908"/>
      <c r="K205" s="908"/>
      <c r="L205" s="908"/>
      <c r="M205" s="910"/>
      <c r="N205" s="909"/>
      <c r="O205" s="909"/>
      <c r="P205" s="909"/>
      <c r="Q205" s="909"/>
      <c r="R205" s="909"/>
    </row>
    <row r="206" spans="1:18" x14ac:dyDescent="0.25">
      <c r="A206" s="1303" t="s">
        <v>7139</v>
      </c>
      <c r="B206" s="1306" t="s">
        <v>5424</v>
      </c>
      <c r="C206" s="1308">
        <f>+SUM!H1913</f>
        <v>1285111</v>
      </c>
      <c r="D206" s="997"/>
      <c r="E206" s="866"/>
      <c r="F206" s="866"/>
      <c r="H206" s="866"/>
      <c r="I206" s="908"/>
      <c r="J206" s="908"/>
      <c r="K206" s="908"/>
      <c r="L206" s="908"/>
      <c r="M206" s="910"/>
      <c r="N206" s="909"/>
      <c r="O206" s="909"/>
      <c r="P206" s="909"/>
      <c r="Q206" s="909"/>
      <c r="R206" s="909"/>
    </row>
    <row r="207" spans="1:18" x14ac:dyDescent="0.25">
      <c r="A207" s="1303" t="s">
        <v>6890</v>
      </c>
      <c r="B207" s="1306" t="s">
        <v>5424</v>
      </c>
      <c r="C207" s="1308">
        <f>+SUM!H1914</f>
        <v>1818397</v>
      </c>
      <c r="D207" s="997"/>
      <c r="E207" s="866"/>
      <c r="F207" s="866"/>
      <c r="H207" s="866"/>
      <c r="I207" s="908"/>
      <c r="J207" s="908"/>
      <c r="K207" s="908"/>
      <c r="L207" s="908"/>
      <c r="M207" s="911"/>
      <c r="N207" s="909"/>
      <c r="O207" s="909"/>
      <c r="P207" s="909"/>
      <c r="Q207" s="909"/>
      <c r="R207" s="909"/>
    </row>
    <row r="208" spans="1:18" x14ac:dyDescent="0.25">
      <c r="A208" s="1303" t="s">
        <v>6960</v>
      </c>
      <c r="B208" s="1306" t="s">
        <v>5424</v>
      </c>
      <c r="C208" s="1308">
        <f>+SUM!H1916</f>
        <v>3106257</v>
      </c>
      <c r="D208" s="997"/>
      <c r="E208" s="866"/>
      <c r="F208" s="866"/>
      <c r="H208" s="866"/>
      <c r="I208" s="908"/>
      <c r="J208" s="908"/>
      <c r="K208" s="908"/>
      <c r="L208" s="908"/>
      <c r="M208" s="909"/>
      <c r="N208" s="909"/>
      <c r="O208" s="909"/>
      <c r="P208" s="909"/>
      <c r="Q208" s="909"/>
      <c r="R208" s="909"/>
    </row>
    <row r="209" spans="1:18" x14ac:dyDescent="0.25">
      <c r="A209" s="1303" t="s">
        <v>7005</v>
      </c>
      <c r="B209" s="1306" t="s">
        <v>5424</v>
      </c>
      <c r="C209" s="1308">
        <f>+SUM!H1917</f>
        <v>5240778</v>
      </c>
      <c r="D209" s="997"/>
      <c r="E209" s="866"/>
      <c r="F209" s="866"/>
      <c r="H209" s="866"/>
      <c r="I209" s="908"/>
      <c r="J209" s="908"/>
      <c r="K209" s="908"/>
      <c r="L209" s="908"/>
      <c r="M209" s="909"/>
      <c r="N209" s="909"/>
      <c r="O209" s="909"/>
      <c r="P209" s="909"/>
      <c r="Q209" s="909"/>
      <c r="R209" s="909"/>
    </row>
    <row r="210" spans="1:18" x14ac:dyDescent="0.25">
      <c r="A210" s="1303" t="s">
        <v>7032</v>
      </c>
      <c r="B210" s="1306" t="s">
        <v>5424</v>
      </c>
      <c r="C210" s="1308">
        <f>+SUM!H1925</f>
        <v>255648</v>
      </c>
      <c r="D210" s="997"/>
      <c r="E210" s="866"/>
      <c r="F210" s="866"/>
      <c r="H210" s="866"/>
      <c r="I210" s="908"/>
      <c r="J210" s="908"/>
      <c r="K210" s="908"/>
      <c r="L210" s="908"/>
      <c r="M210" s="909"/>
      <c r="N210" s="909"/>
      <c r="O210" s="909"/>
      <c r="P210" s="909"/>
      <c r="Q210" s="909"/>
      <c r="R210" s="909"/>
    </row>
    <row r="211" spans="1:18" x14ac:dyDescent="0.25">
      <c r="A211" s="1303" t="s">
        <v>7000</v>
      </c>
      <c r="B211" s="1306" t="s">
        <v>5424</v>
      </c>
      <c r="C211" s="1305">
        <v>111009.9816</v>
      </c>
      <c r="D211" s="866"/>
      <c r="E211" s="866"/>
      <c r="F211" s="866"/>
      <c r="H211" s="866"/>
      <c r="I211" s="908"/>
      <c r="J211" s="908"/>
      <c r="K211" s="908"/>
      <c r="L211" s="908"/>
      <c r="M211" s="909"/>
      <c r="N211" s="909"/>
      <c r="O211" s="909"/>
      <c r="P211" s="909"/>
      <c r="Q211" s="909"/>
      <c r="R211" s="909"/>
    </row>
    <row r="212" spans="1:18" x14ac:dyDescent="0.25">
      <c r="A212" s="1303" t="s">
        <v>7062</v>
      </c>
      <c r="B212" s="1306" t="s">
        <v>5424</v>
      </c>
      <c r="C212" s="1305">
        <v>205574.04</v>
      </c>
      <c r="D212" s="866"/>
      <c r="E212" s="866"/>
      <c r="F212" s="866"/>
      <c r="H212" s="866"/>
      <c r="I212" s="908"/>
      <c r="J212" s="908"/>
      <c r="K212" s="908"/>
      <c r="L212" s="908"/>
      <c r="M212" s="909"/>
      <c r="N212" s="909"/>
      <c r="O212" s="909"/>
      <c r="P212" s="909"/>
      <c r="Q212" s="909"/>
      <c r="R212" s="909"/>
    </row>
    <row r="213" spans="1:18" x14ac:dyDescent="0.25">
      <c r="A213" s="1303" t="s">
        <v>7066</v>
      </c>
      <c r="B213" s="1306" t="s">
        <v>5424</v>
      </c>
      <c r="C213" s="1305">
        <v>242577.36720000001</v>
      </c>
      <c r="D213" s="866"/>
      <c r="E213" s="866"/>
      <c r="F213" s="866"/>
      <c r="H213" s="866"/>
      <c r="I213" s="908"/>
      <c r="J213" s="908"/>
      <c r="K213" s="908"/>
      <c r="L213" s="908"/>
      <c r="M213" s="909"/>
      <c r="N213" s="909"/>
      <c r="O213" s="909"/>
      <c r="P213" s="909"/>
      <c r="Q213" s="909"/>
      <c r="R213" s="909"/>
    </row>
    <row r="214" spans="1:18" x14ac:dyDescent="0.25">
      <c r="A214" s="1303" t="s">
        <v>6935</v>
      </c>
      <c r="B214" s="1306" t="s">
        <v>5424</v>
      </c>
      <c r="C214" s="1305">
        <v>512564.60639999999</v>
      </c>
      <c r="D214" s="866"/>
      <c r="E214" s="866"/>
      <c r="F214" s="866"/>
      <c r="H214" s="866"/>
      <c r="I214" s="908"/>
      <c r="J214" s="908"/>
      <c r="K214" s="908"/>
      <c r="L214" s="908"/>
      <c r="M214" s="909"/>
      <c r="N214" s="909"/>
      <c r="O214" s="909"/>
      <c r="P214" s="909"/>
      <c r="Q214" s="909"/>
      <c r="R214" s="909"/>
    </row>
    <row r="215" spans="1:18" x14ac:dyDescent="0.25">
      <c r="A215" s="1303" t="s">
        <v>6937</v>
      </c>
      <c r="B215" s="1306" t="s">
        <v>5424</v>
      </c>
      <c r="C215" s="1305">
        <v>1000460.328</v>
      </c>
      <c r="D215" s="866"/>
      <c r="E215" s="866"/>
      <c r="F215" s="866"/>
      <c r="H215" s="866"/>
      <c r="I215" s="908"/>
      <c r="J215" s="908"/>
      <c r="K215" s="908"/>
      <c r="L215" s="908"/>
      <c r="M215" s="909"/>
      <c r="N215" s="909"/>
      <c r="O215" s="909"/>
      <c r="P215" s="909"/>
      <c r="Q215" s="909"/>
      <c r="R215" s="909"/>
    </row>
    <row r="216" spans="1:18" x14ac:dyDescent="0.25">
      <c r="A216" s="1303" t="s">
        <v>6959</v>
      </c>
      <c r="B216" s="1306" t="s">
        <v>5424</v>
      </c>
      <c r="C216" s="1305">
        <v>39585076.096000001</v>
      </c>
      <c r="D216" s="866"/>
      <c r="E216" s="866"/>
      <c r="F216" s="866"/>
      <c r="H216" s="866"/>
      <c r="I216" s="908"/>
      <c r="J216" s="908"/>
      <c r="K216" s="908"/>
      <c r="L216" s="908"/>
      <c r="M216" s="909"/>
      <c r="N216" s="909"/>
      <c r="O216" s="909"/>
      <c r="P216" s="909"/>
      <c r="Q216" s="909"/>
      <c r="R216" s="909"/>
    </row>
    <row r="217" spans="1:18" x14ac:dyDescent="0.25">
      <c r="A217" s="1303" t="s">
        <v>6961</v>
      </c>
      <c r="B217" s="1306" t="s">
        <v>5424</v>
      </c>
      <c r="C217" s="1305">
        <v>72440376</v>
      </c>
      <c r="D217" s="866"/>
      <c r="E217" s="866"/>
      <c r="F217" s="866"/>
      <c r="H217" s="866"/>
      <c r="I217" s="908"/>
      <c r="J217" s="908"/>
      <c r="K217" s="908"/>
      <c r="L217" s="908"/>
      <c r="M217" s="909"/>
      <c r="N217" s="909"/>
      <c r="O217" s="909"/>
      <c r="P217" s="909"/>
      <c r="Q217" s="909"/>
      <c r="R217" s="909"/>
    </row>
    <row r="218" spans="1:18" x14ac:dyDescent="0.25">
      <c r="A218" s="1303" t="s">
        <v>6962</v>
      </c>
      <c r="B218" s="1306" t="s">
        <v>5424</v>
      </c>
      <c r="C218" s="1305">
        <v>79684413.599999994</v>
      </c>
      <c r="D218" s="866"/>
      <c r="E218" s="866"/>
      <c r="F218" s="866"/>
      <c r="H218" s="866"/>
      <c r="I218" s="908"/>
      <c r="J218" s="908"/>
      <c r="K218" s="908"/>
      <c r="L218" s="908"/>
      <c r="M218" s="909"/>
      <c r="N218" s="909"/>
      <c r="O218" s="909"/>
      <c r="P218" s="909"/>
      <c r="Q218" s="909"/>
      <c r="R218" s="909"/>
    </row>
    <row r="219" spans="1:18" x14ac:dyDescent="0.25">
      <c r="A219" s="1303" t="s">
        <v>6963</v>
      </c>
      <c r="B219" s="1306" t="s">
        <v>5424</v>
      </c>
      <c r="C219" s="1305">
        <v>87652854.959999993</v>
      </c>
      <c r="D219" s="866"/>
      <c r="E219" s="866"/>
      <c r="F219" s="866"/>
      <c r="H219" s="866"/>
      <c r="I219" s="908"/>
      <c r="J219" s="908"/>
      <c r="K219" s="908"/>
      <c r="L219" s="908"/>
      <c r="M219" s="909"/>
      <c r="N219" s="909"/>
      <c r="O219" s="909"/>
      <c r="P219" s="909"/>
      <c r="Q219" s="909"/>
      <c r="R219" s="909"/>
    </row>
    <row r="220" spans="1:18" x14ac:dyDescent="0.25">
      <c r="A220" s="1303" t="s">
        <v>6988</v>
      </c>
      <c r="B220" s="1306" t="s">
        <v>5424</v>
      </c>
      <c r="C220" s="1305">
        <v>4523451.4012000002</v>
      </c>
      <c r="D220" s="866"/>
      <c r="E220" s="866"/>
      <c r="F220" s="866"/>
      <c r="H220" s="866"/>
      <c r="I220" s="908"/>
      <c r="J220" s="908"/>
      <c r="K220" s="908"/>
      <c r="L220" s="908"/>
      <c r="M220" s="909"/>
      <c r="N220" s="909"/>
      <c r="O220" s="909"/>
      <c r="P220" s="909"/>
      <c r="Q220" s="909"/>
      <c r="R220" s="909"/>
    </row>
    <row r="221" spans="1:18" x14ac:dyDescent="0.25">
      <c r="A221" s="1303" t="s">
        <v>6989</v>
      </c>
      <c r="B221" s="1306" t="s">
        <v>5424</v>
      </c>
      <c r="C221" s="1305">
        <f>+SUM!H2420</f>
        <v>19486292</v>
      </c>
      <c r="D221" s="866"/>
      <c r="E221" s="866"/>
      <c r="F221" s="866"/>
      <c r="H221" s="866"/>
      <c r="I221" s="908"/>
      <c r="J221" s="908"/>
      <c r="K221" s="908"/>
      <c r="L221" s="908"/>
      <c r="M221" s="909"/>
      <c r="N221" s="909"/>
      <c r="O221" s="909"/>
      <c r="P221" s="909"/>
      <c r="Q221" s="909"/>
      <c r="R221" s="909"/>
    </row>
    <row r="222" spans="1:18" x14ac:dyDescent="0.25">
      <c r="A222" s="1303" t="s">
        <v>7064</v>
      </c>
      <c r="B222" s="1306" t="s">
        <v>5424</v>
      </c>
      <c r="C222" s="1305">
        <f>+SUM!H2231</f>
        <v>1028089</v>
      </c>
      <c r="D222" s="866"/>
      <c r="E222" s="866"/>
      <c r="F222" s="866"/>
      <c r="H222" s="866"/>
      <c r="I222" s="908"/>
      <c r="J222" s="908"/>
      <c r="K222" s="908"/>
      <c r="L222" s="908"/>
      <c r="M222" s="909"/>
      <c r="N222" s="909"/>
      <c r="O222" s="909"/>
      <c r="P222" s="909"/>
      <c r="Q222" s="909"/>
      <c r="R222" s="909"/>
    </row>
    <row r="223" spans="1:18" x14ac:dyDescent="0.25">
      <c r="A223" s="1303" t="s">
        <v>6967</v>
      </c>
      <c r="B223" s="1306" t="s">
        <v>5424</v>
      </c>
      <c r="C223" s="1305">
        <f>+SUM!H2232</f>
        <v>1627349</v>
      </c>
      <c r="D223" s="866"/>
      <c r="E223" s="866"/>
      <c r="F223" s="866"/>
      <c r="H223" s="866"/>
      <c r="I223" s="908"/>
      <c r="J223" s="908"/>
      <c r="K223" s="908"/>
      <c r="L223" s="908"/>
      <c r="M223" s="909"/>
      <c r="N223" s="909"/>
      <c r="O223" s="909"/>
      <c r="P223" s="909"/>
      <c r="Q223" s="909"/>
      <c r="R223" s="909"/>
    </row>
    <row r="224" spans="1:18" x14ac:dyDescent="0.25">
      <c r="A224" s="1303" t="s">
        <v>6980</v>
      </c>
      <c r="B224" s="1306" t="s">
        <v>5424</v>
      </c>
      <c r="C224" s="1305">
        <v>24425321.757599998</v>
      </c>
      <c r="D224" s="866"/>
      <c r="E224" s="866"/>
      <c r="F224" s="866"/>
      <c r="H224" s="866"/>
      <c r="I224" s="908"/>
      <c r="J224" s="908"/>
      <c r="K224" s="908"/>
      <c r="L224" s="908"/>
      <c r="M224" s="909"/>
      <c r="N224" s="909"/>
      <c r="O224" s="909"/>
      <c r="P224" s="909"/>
      <c r="Q224" s="909"/>
      <c r="R224" s="909"/>
    </row>
    <row r="225" spans="1:18" x14ac:dyDescent="0.25">
      <c r="A225" s="1303" t="s">
        <v>6981</v>
      </c>
      <c r="B225" s="1306" t="s">
        <v>5424</v>
      </c>
      <c r="C225" s="1305">
        <v>27216996.9672</v>
      </c>
      <c r="D225" s="866"/>
      <c r="E225" s="866"/>
      <c r="F225" s="866"/>
      <c r="H225" s="866"/>
      <c r="I225" s="908"/>
      <c r="J225" s="908"/>
      <c r="K225" s="908"/>
      <c r="L225" s="908"/>
      <c r="M225" s="909"/>
      <c r="N225" s="909"/>
      <c r="O225" s="909"/>
      <c r="P225" s="909"/>
      <c r="Q225" s="909"/>
      <c r="R225" s="909"/>
    </row>
    <row r="226" spans="1:18" x14ac:dyDescent="0.25">
      <c r="A226" s="1303" t="s">
        <v>7065</v>
      </c>
      <c r="B226" s="1306" t="s">
        <v>37</v>
      </c>
      <c r="C226" s="1305">
        <f>+SUM!H2260</f>
        <v>2498750</v>
      </c>
      <c r="D226" s="866"/>
      <c r="E226" s="866"/>
      <c r="F226" s="866"/>
      <c r="H226" s="866"/>
      <c r="I226" s="908"/>
      <c r="J226" s="908"/>
      <c r="K226" s="908"/>
      <c r="L226" s="908"/>
      <c r="M226" s="909"/>
      <c r="N226" s="909"/>
      <c r="O226" s="909"/>
      <c r="P226" s="909"/>
      <c r="Q226" s="909"/>
      <c r="R226" s="909"/>
    </row>
    <row r="227" spans="1:18" x14ac:dyDescent="0.25">
      <c r="A227" s="1303" t="s">
        <v>7050</v>
      </c>
      <c r="B227" s="1306" t="s">
        <v>5424</v>
      </c>
      <c r="C227" s="1305">
        <f>+SUM!H2261</f>
        <v>4550804</v>
      </c>
      <c r="D227" s="866"/>
      <c r="E227" s="866"/>
      <c r="F227" s="866"/>
      <c r="H227" s="866"/>
      <c r="I227" s="908"/>
      <c r="J227" s="908"/>
      <c r="K227" s="908"/>
      <c r="L227" s="908"/>
      <c r="M227" s="909"/>
      <c r="N227" s="909"/>
      <c r="O227" s="909"/>
      <c r="P227" s="909"/>
      <c r="Q227" s="909"/>
      <c r="R227" s="909"/>
    </row>
    <row r="228" spans="1:18" x14ac:dyDescent="0.25">
      <c r="A228" s="1303" t="s">
        <v>6964</v>
      </c>
      <c r="B228" s="1306" t="s">
        <v>5424</v>
      </c>
      <c r="C228" s="1305">
        <v>5227062.5904000001</v>
      </c>
      <c r="D228" s="996"/>
      <c r="E228" s="866"/>
      <c r="F228" s="866"/>
      <c r="H228" s="866"/>
      <c r="I228" s="908"/>
      <c r="J228" s="908"/>
      <c r="K228" s="908"/>
      <c r="L228" s="908"/>
      <c r="M228" s="909"/>
      <c r="N228" s="909"/>
      <c r="O228" s="909"/>
      <c r="P228" s="909"/>
      <c r="Q228" s="909"/>
      <c r="R228" s="909"/>
    </row>
    <row r="229" spans="1:18" x14ac:dyDescent="0.25">
      <c r="A229" s="1303" t="s">
        <v>6965</v>
      </c>
      <c r="B229" s="1306" t="s">
        <v>5424</v>
      </c>
      <c r="C229" s="1305">
        <v>5749768.84944</v>
      </c>
      <c r="D229" s="996"/>
      <c r="E229" s="866"/>
      <c r="F229" s="866"/>
      <c r="H229" s="866"/>
      <c r="I229" s="908"/>
      <c r="J229" s="908"/>
      <c r="K229" s="908"/>
      <c r="L229" s="908"/>
      <c r="M229" s="909"/>
      <c r="N229" s="909"/>
      <c r="O229" s="909"/>
      <c r="P229" s="909"/>
      <c r="Q229" s="909"/>
      <c r="R229" s="909"/>
    </row>
    <row r="230" spans="1:18" x14ac:dyDescent="0.25">
      <c r="A230" s="1303" t="s">
        <v>6966</v>
      </c>
      <c r="B230" s="1306" t="s">
        <v>5424</v>
      </c>
      <c r="C230" s="1305">
        <f>+SUM!H2264</f>
        <v>12246350</v>
      </c>
      <c r="D230" s="996"/>
      <c r="E230" s="866"/>
      <c r="F230" s="866"/>
      <c r="H230" s="866"/>
      <c r="I230" s="908"/>
      <c r="J230" s="908"/>
      <c r="K230" s="908"/>
      <c r="L230" s="908"/>
      <c r="M230" s="909"/>
      <c r="N230" s="909"/>
      <c r="O230" s="909"/>
      <c r="P230" s="909"/>
      <c r="Q230" s="909"/>
      <c r="R230" s="909"/>
    </row>
    <row r="231" spans="1:18" x14ac:dyDescent="0.25">
      <c r="A231" s="1314" t="s">
        <v>8042</v>
      </c>
      <c r="B231" s="1306" t="s">
        <v>5424</v>
      </c>
      <c r="C231" s="1308">
        <f>+SUM!H2200</f>
        <v>1012970</v>
      </c>
      <c r="D231" s="997"/>
      <c r="E231" s="995"/>
      <c r="F231" s="866"/>
      <c r="H231" s="866"/>
      <c r="I231" s="908"/>
      <c r="J231" s="908"/>
      <c r="K231" s="908"/>
      <c r="L231" s="908"/>
      <c r="M231" s="909"/>
      <c r="N231" s="909"/>
      <c r="O231" s="909"/>
      <c r="P231" s="909"/>
      <c r="Q231" s="909"/>
      <c r="R231" s="909"/>
    </row>
    <row r="232" spans="1:18" x14ac:dyDescent="0.25">
      <c r="A232" s="1303" t="s">
        <v>6956</v>
      </c>
      <c r="B232" s="1306" t="s">
        <v>5424</v>
      </c>
      <c r="C232" s="1305">
        <f>+SUM!H2201</f>
        <v>1349710</v>
      </c>
      <c r="D232" s="866"/>
      <c r="E232" s="866"/>
      <c r="F232" s="866"/>
      <c r="H232" s="866"/>
      <c r="I232" s="908"/>
      <c r="J232" s="908"/>
      <c r="K232" s="908"/>
      <c r="L232" s="908"/>
      <c r="M232" s="909"/>
      <c r="N232" s="909"/>
      <c r="O232" s="909"/>
      <c r="P232" s="909"/>
      <c r="Q232" s="909"/>
      <c r="R232" s="909"/>
    </row>
    <row r="233" spans="1:18" x14ac:dyDescent="0.25">
      <c r="A233" s="1303" t="s">
        <v>6880</v>
      </c>
      <c r="B233" s="1306" t="s">
        <v>5424</v>
      </c>
      <c r="C233" s="1305">
        <f>+SUM!H2202</f>
        <v>2364054</v>
      </c>
      <c r="D233" s="866"/>
      <c r="E233" s="866"/>
      <c r="F233" s="866"/>
      <c r="H233" s="866"/>
      <c r="I233" s="908"/>
      <c r="J233" s="908"/>
      <c r="K233" s="908"/>
      <c r="L233" s="908"/>
      <c r="M233" s="909"/>
      <c r="N233" s="909"/>
      <c r="O233" s="909"/>
      <c r="P233" s="909"/>
      <c r="Q233" s="909"/>
      <c r="R233" s="909"/>
    </row>
    <row r="234" spans="1:18" x14ac:dyDescent="0.25">
      <c r="A234" s="1303" t="s">
        <v>6891</v>
      </c>
      <c r="B234" s="1306" t="s">
        <v>5424</v>
      </c>
      <c r="C234" s="1305">
        <f>+SUM!H2204</f>
        <v>5653113</v>
      </c>
      <c r="D234" s="866"/>
      <c r="E234" s="866"/>
      <c r="F234" s="866"/>
      <c r="H234" s="866"/>
      <c r="I234" s="908"/>
      <c r="J234" s="908"/>
      <c r="K234" s="908"/>
      <c r="L234" s="908"/>
      <c r="M234" s="909"/>
      <c r="N234" s="909"/>
      <c r="O234" s="909"/>
      <c r="P234" s="909"/>
      <c r="Q234" s="909"/>
      <c r="R234" s="909"/>
    </row>
    <row r="235" spans="1:18" x14ac:dyDescent="0.25">
      <c r="A235" s="1303" t="s">
        <v>6881</v>
      </c>
      <c r="B235" s="1306" t="s">
        <v>5424</v>
      </c>
      <c r="C235" s="1305">
        <f>+SUM!H2252</f>
        <v>5905148</v>
      </c>
      <c r="D235" s="866"/>
      <c r="E235" s="866"/>
      <c r="F235" s="866"/>
      <c r="H235" s="866"/>
      <c r="I235" s="908"/>
      <c r="J235" s="908"/>
      <c r="K235" s="908"/>
      <c r="L235" s="908"/>
      <c r="M235" s="909"/>
      <c r="N235" s="909"/>
      <c r="O235" s="909"/>
      <c r="P235" s="909"/>
      <c r="Q235" s="909"/>
      <c r="R235" s="909"/>
    </row>
    <row r="236" spans="1:18" x14ac:dyDescent="0.25">
      <c r="A236" s="1303" t="s">
        <v>6897</v>
      </c>
      <c r="B236" s="1306" t="s">
        <v>5424</v>
      </c>
      <c r="C236" s="1305">
        <f>+SUM!H2302</f>
        <v>1075542</v>
      </c>
      <c r="D236" s="866"/>
      <c r="E236" s="866"/>
      <c r="F236" s="866"/>
      <c r="H236" s="866"/>
      <c r="I236" s="908"/>
      <c r="J236" s="908"/>
      <c r="K236" s="908"/>
      <c r="L236" s="908"/>
      <c r="M236" s="909"/>
      <c r="N236" s="909"/>
      <c r="O236" s="909"/>
      <c r="P236" s="909"/>
      <c r="Q236" s="909"/>
      <c r="R236" s="909"/>
    </row>
    <row r="237" spans="1:18" x14ac:dyDescent="0.25">
      <c r="A237" s="1303" t="s">
        <v>6886</v>
      </c>
      <c r="B237" s="1306" t="s">
        <v>5424</v>
      </c>
      <c r="C237" s="1305">
        <f>+SUM!H2303</f>
        <v>1561996</v>
      </c>
      <c r="D237" s="866"/>
      <c r="E237" s="866"/>
      <c r="F237" s="866"/>
      <c r="H237" s="866"/>
      <c r="I237" s="908"/>
      <c r="J237" s="908"/>
      <c r="K237" s="908"/>
      <c r="L237" s="908"/>
      <c r="M237" s="909"/>
      <c r="N237" s="909"/>
      <c r="O237" s="909"/>
      <c r="P237" s="909"/>
      <c r="Q237" s="909"/>
      <c r="R237" s="909"/>
    </row>
    <row r="238" spans="1:18" x14ac:dyDescent="0.25">
      <c r="A238" s="1303" t="s">
        <v>7006</v>
      </c>
      <c r="B238" s="1306" t="s">
        <v>5424</v>
      </c>
      <c r="C238" s="1305">
        <f>+SUM!H2304</f>
        <v>3198508</v>
      </c>
      <c r="D238" s="866"/>
      <c r="E238" s="866"/>
      <c r="F238" s="866"/>
      <c r="H238" s="866"/>
      <c r="I238" s="908"/>
      <c r="J238" s="908"/>
      <c r="K238" s="908"/>
      <c r="L238" s="908"/>
      <c r="M238" s="909"/>
      <c r="N238" s="909"/>
      <c r="O238" s="909"/>
      <c r="P238" s="909"/>
      <c r="Q238" s="909"/>
      <c r="R238" s="909"/>
    </row>
    <row r="239" spans="1:18" x14ac:dyDescent="0.25">
      <c r="A239" s="1303" t="s">
        <v>6974</v>
      </c>
      <c r="B239" s="1306" t="s">
        <v>5424</v>
      </c>
      <c r="C239" s="1305">
        <f>+SUM!H2305</f>
        <v>4687395</v>
      </c>
      <c r="D239" s="866"/>
      <c r="E239" s="866"/>
      <c r="F239" s="866"/>
      <c r="H239" s="866"/>
      <c r="I239" s="908"/>
      <c r="J239" s="908"/>
      <c r="K239" s="908"/>
      <c r="L239" s="908"/>
      <c r="M239" s="909"/>
      <c r="N239" s="909"/>
      <c r="O239" s="909"/>
      <c r="P239" s="909"/>
      <c r="Q239" s="909"/>
      <c r="R239" s="909"/>
    </row>
    <row r="240" spans="1:18" x14ac:dyDescent="0.25">
      <c r="A240" s="1303" t="s">
        <v>6977</v>
      </c>
      <c r="B240" s="1306" t="s">
        <v>5424</v>
      </c>
      <c r="C240" s="1305">
        <f>+SUM!H2307</f>
        <v>8144595</v>
      </c>
      <c r="D240" s="866"/>
      <c r="E240" s="866"/>
      <c r="F240" s="866"/>
      <c r="H240" s="866"/>
      <c r="I240" s="908"/>
      <c r="J240" s="908"/>
      <c r="K240" s="908"/>
      <c r="L240" s="908"/>
      <c r="M240" s="909"/>
      <c r="N240" s="909"/>
      <c r="O240" s="909"/>
      <c r="P240" s="909"/>
      <c r="Q240" s="909"/>
      <c r="R240" s="909"/>
    </row>
    <row r="241" spans="1:18" x14ac:dyDescent="0.25">
      <c r="A241" s="1303" t="s">
        <v>7004</v>
      </c>
      <c r="B241" s="1306" t="s">
        <v>5424</v>
      </c>
      <c r="C241" s="1305">
        <f>+SUM!H2308</f>
        <v>11257341</v>
      </c>
      <c r="D241" s="866"/>
      <c r="E241" s="866"/>
      <c r="F241" s="866"/>
      <c r="H241" s="866"/>
      <c r="I241" s="908"/>
      <c r="J241" s="908"/>
      <c r="K241" s="908"/>
      <c r="L241" s="908"/>
      <c r="M241" s="909"/>
      <c r="N241" s="909"/>
      <c r="O241" s="909"/>
      <c r="P241" s="915"/>
      <c r="Q241" s="909"/>
      <c r="R241" s="909"/>
    </row>
    <row r="242" spans="1:18" x14ac:dyDescent="0.25">
      <c r="A242" s="1303" t="s">
        <v>7070</v>
      </c>
      <c r="B242" s="1306" t="s">
        <v>5424</v>
      </c>
      <c r="C242" s="1305">
        <f>+SUM!H2295</f>
        <v>1761848</v>
      </c>
      <c r="D242" s="866"/>
      <c r="E242" s="866"/>
      <c r="F242" s="866"/>
      <c r="H242" s="866"/>
      <c r="I242" s="908"/>
      <c r="J242" s="908"/>
      <c r="K242" s="908"/>
      <c r="L242" s="908"/>
      <c r="M242" s="909"/>
      <c r="N242" s="909"/>
      <c r="O242" s="909"/>
      <c r="P242" s="915"/>
      <c r="Q242" s="909"/>
      <c r="R242" s="909"/>
    </row>
    <row r="243" spans="1:18" x14ac:dyDescent="0.25">
      <c r="A243" s="1303" t="s">
        <v>6987</v>
      </c>
      <c r="B243" s="1306" t="s">
        <v>5424</v>
      </c>
      <c r="C243" s="1305">
        <v>7570345.5999999996</v>
      </c>
      <c r="D243" s="866"/>
      <c r="E243" s="866"/>
      <c r="F243" s="866"/>
      <c r="H243" s="866"/>
      <c r="I243" s="908"/>
      <c r="J243" s="908"/>
      <c r="K243" s="908"/>
      <c r="L243" s="908"/>
      <c r="M243" s="909"/>
      <c r="N243" s="909"/>
      <c r="O243" s="909"/>
      <c r="P243" s="909"/>
      <c r="Q243" s="909"/>
      <c r="R243" s="909"/>
    </row>
    <row r="244" spans="1:18" x14ac:dyDescent="0.25">
      <c r="A244" s="1303" t="s">
        <v>7961</v>
      </c>
      <c r="B244" s="1304" t="s">
        <v>5734</v>
      </c>
      <c r="C244" s="1305">
        <v>3682.7795999999998</v>
      </c>
      <c r="D244" s="866"/>
      <c r="E244" s="866"/>
      <c r="F244" s="866"/>
      <c r="H244" s="866"/>
      <c r="I244" s="908"/>
      <c r="J244" s="908"/>
      <c r="K244" s="908"/>
      <c r="L244" s="908"/>
      <c r="M244" s="909"/>
      <c r="N244" s="909"/>
      <c r="O244" s="909"/>
      <c r="P244" s="909"/>
      <c r="Q244" s="909"/>
      <c r="R244" s="909"/>
    </row>
    <row r="245" spans="1:18" x14ac:dyDescent="0.25">
      <c r="A245" s="1303" t="s">
        <v>6911</v>
      </c>
      <c r="B245" s="1306" t="s">
        <v>5542</v>
      </c>
      <c r="C245" s="1305">
        <v>506340</v>
      </c>
      <c r="D245" s="866"/>
      <c r="E245" s="866"/>
      <c r="F245" s="866"/>
      <c r="H245" s="866"/>
      <c r="I245" s="908"/>
      <c r="J245" s="908"/>
      <c r="K245" s="908"/>
      <c r="L245" s="908"/>
      <c r="M245" s="909"/>
      <c r="N245" s="909"/>
      <c r="O245" s="909"/>
      <c r="P245" s="909"/>
      <c r="Q245" s="909"/>
      <c r="R245" s="909"/>
    </row>
    <row r="246" spans="1:18" x14ac:dyDescent="0.25">
      <c r="A246" s="1303" t="s">
        <v>6872</v>
      </c>
      <c r="B246" s="1304" t="s">
        <v>5542</v>
      </c>
      <c r="C246" s="1305">
        <v>4500.8</v>
      </c>
      <c r="D246" s="866"/>
      <c r="E246" s="866"/>
      <c r="F246" s="866"/>
      <c r="H246" s="866"/>
      <c r="I246" s="908"/>
      <c r="J246" s="908"/>
      <c r="K246" s="908"/>
      <c r="L246" s="908"/>
      <c r="M246" s="909"/>
      <c r="N246" s="909"/>
      <c r="O246" s="909"/>
      <c r="P246" s="909"/>
      <c r="Q246" s="909"/>
      <c r="R246" s="909"/>
    </row>
    <row r="247" spans="1:18" x14ac:dyDescent="0.25">
      <c r="A247" s="1303" t="s">
        <v>6943</v>
      </c>
      <c r="B247" s="1306" t="s">
        <v>5481</v>
      </c>
      <c r="C247" s="1305">
        <v>82294.877599999993</v>
      </c>
      <c r="D247" s="866"/>
      <c r="E247" s="866"/>
      <c r="F247" s="866"/>
      <c r="H247" s="866"/>
      <c r="I247" s="908"/>
      <c r="J247" s="908"/>
      <c r="K247" s="908"/>
      <c r="L247" s="908"/>
      <c r="M247" s="909"/>
      <c r="N247" s="909"/>
      <c r="O247" s="909"/>
      <c r="P247" s="909"/>
      <c r="Q247" s="909"/>
      <c r="R247" s="909"/>
    </row>
    <row r="248" spans="1:18" x14ac:dyDescent="0.25">
      <c r="A248" s="1303" t="s">
        <v>6921</v>
      </c>
      <c r="B248" s="1313" t="s">
        <v>5424</v>
      </c>
      <c r="C248" s="1305">
        <v>1100</v>
      </c>
      <c r="D248" s="866"/>
      <c r="E248" s="866"/>
      <c r="F248" s="866"/>
      <c r="H248" s="866"/>
      <c r="I248" s="908"/>
      <c r="J248" s="908"/>
      <c r="K248" s="908"/>
      <c r="L248" s="908"/>
      <c r="M248" s="909"/>
      <c r="N248" s="909"/>
      <c r="O248" s="909"/>
      <c r="P248" s="909"/>
      <c r="Q248" s="909"/>
      <c r="R248" s="909"/>
    </row>
    <row r="249" spans="1:18" x14ac:dyDescent="0.25">
      <c r="A249" s="1303" t="s">
        <v>6873</v>
      </c>
      <c r="B249" s="1313" t="s">
        <v>5402</v>
      </c>
      <c r="C249" s="1305">
        <v>78.763999999999996</v>
      </c>
      <c r="D249" s="866"/>
      <c r="E249" s="866"/>
      <c r="F249" s="866"/>
      <c r="H249" s="866"/>
      <c r="I249" s="908"/>
      <c r="J249" s="908"/>
      <c r="K249" s="908"/>
      <c r="L249" s="908"/>
      <c r="M249" s="909"/>
      <c r="N249" s="909"/>
      <c r="O249" s="909"/>
      <c r="P249" s="909"/>
      <c r="Q249" s="909"/>
      <c r="R249" s="909"/>
    </row>
    <row r="250" spans="1:18" x14ac:dyDescent="0.25">
      <c r="A250" s="1314" t="s">
        <v>9013</v>
      </c>
      <c r="B250" s="1313" t="s">
        <v>5542</v>
      </c>
      <c r="C250" s="1305">
        <v>956.42</v>
      </c>
      <c r="D250" s="866"/>
      <c r="E250" s="866"/>
      <c r="F250" s="866"/>
      <c r="H250" s="866"/>
      <c r="I250" s="866"/>
      <c r="J250" s="866"/>
      <c r="K250" s="866"/>
      <c r="L250" s="866"/>
    </row>
    <row r="251" spans="1:18" x14ac:dyDescent="0.25">
      <c r="A251" s="1303" t="s">
        <v>7011</v>
      </c>
      <c r="B251" s="1313" t="s">
        <v>5424</v>
      </c>
      <c r="C251" s="1305">
        <f>+SUM!H2368</f>
        <v>751824</v>
      </c>
      <c r="D251" s="866"/>
      <c r="E251" s="866"/>
      <c r="F251" s="866"/>
      <c r="H251" s="866"/>
      <c r="I251" s="866"/>
      <c r="J251" s="866"/>
      <c r="K251" s="866"/>
      <c r="L251" s="866"/>
    </row>
    <row r="252" spans="1:18" x14ac:dyDescent="0.25">
      <c r="A252" s="1303" t="s">
        <v>7714</v>
      </c>
      <c r="B252" s="1313" t="s">
        <v>5402</v>
      </c>
      <c r="C252" s="1305">
        <f>+SUM!H2370</f>
        <v>426080</v>
      </c>
      <c r="D252" s="866"/>
      <c r="E252" s="866"/>
      <c r="F252" s="866"/>
      <c r="H252" s="866"/>
      <c r="I252" s="866"/>
      <c r="J252" s="866"/>
      <c r="K252" s="866"/>
      <c r="L252" s="866"/>
    </row>
    <row r="253" spans="1:18" x14ac:dyDescent="0.25">
      <c r="A253" s="1303" t="s">
        <v>7012</v>
      </c>
      <c r="B253" s="1313" t="s">
        <v>5424</v>
      </c>
      <c r="C253" s="1305">
        <f>+SUM!H2373</f>
        <v>343613</v>
      </c>
      <c r="D253" s="866"/>
      <c r="E253" s="866"/>
      <c r="F253" s="866"/>
      <c r="H253" s="866"/>
      <c r="I253" s="866"/>
      <c r="J253" s="866"/>
      <c r="K253" s="866"/>
      <c r="L253" s="866"/>
    </row>
    <row r="254" spans="1:18" x14ac:dyDescent="0.25">
      <c r="A254" s="1303" t="s">
        <v>7013</v>
      </c>
      <c r="B254" s="1313" t="s">
        <v>5424</v>
      </c>
      <c r="C254" s="1305">
        <f>+SUM!H2374</f>
        <v>995102</v>
      </c>
      <c r="D254" s="866"/>
      <c r="E254" s="866"/>
      <c r="F254" s="866"/>
      <c r="H254" s="866"/>
      <c r="I254" s="866"/>
      <c r="J254" s="866"/>
      <c r="K254" s="866"/>
      <c r="L254" s="866"/>
    </row>
    <row r="255" spans="1:18" x14ac:dyDescent="0.25">
      <c r="A255" s="1303" t="s">
        <v>7715</v>
      </c>
      <c r="B255" s="1313" t="s">
        <v>5424</v>
      </c>
      <c r="C255" s="1305">
        <f>+SUM!H2377</f>
        <v>145692</v>
      </c>
      <c r="D255" s="866"/>
      <c r="E255" s="866"/>
      <c r="F255" s="866"/>
      <c r="H255" s="866"/>
      <c r="I255" s="866"/>
      <c r="J255" s="866"/>
      <c r="K255" s="866"/>
      <c r="L255" s="866"/>
    </row>
    <row r="256" spans="1:18" x14ac:dyDescent="0.25">
      <c r="A256" s="1315" t="s">
        <v>7721</v>
      </c>
      <c r="B256" s="1313" t="s">
        <v>5424</v>
      </c>
      <c r="C256" s="1305">
        <f>+SUM!H255</f>
        <v>295398</v>
      </c>
      <c r="D256" s="866"/>
      <c r="E256" s="866"/>
      <c r="F256" s="866"/>
      <c r="H256" s="866"/>
      <c r="I256" s="866"/>
      <c r="J256" s="866"/>
      <c r="K256" s="866"/>
      <c r="L256" s="866"/>
    </row>
    <row r="257" spans="1:12" x14ac:dyDescent="0.25">
      <c r="A257" s="1315" t="s">
        <v>7878</v>
      </c>
      <c r="B257" s="1313" t="s">
        <v>5424</v>
      </c>
      <c r="C257" s="1305">
        <f>+SUM!H1953</f>
        <v>163560</v>
      </c>
      <c r="D257" s="866"/>
      <c r="E257" s="866"/>
      <c r="F257" s="866"/>
      <c r="H257" s="866"/>
      <c r="I257" s="866"/>
      <c r="J257" s="866"/>
      <c r="K257" s="866"/>
      <c r="L257" s="866"/>
    </row>
    <row r="258" spans="1:12" x14ac:dyDescent="0.25">
      <c r="A258" s="1312" t="s">
        <v>7180</v>
      </c>
      <c r="B258" s="1316" t="s">
        <v>5424</v>
      </c>
      <c r="C258" s="1305">
        <v>78750</v>
      </c>
      <c r="D258" s="866"/>
    </row>
    <row r="259" spans="1:12" x14ac:dyDescent="0.25">
      <c r="A259" s="1312" t="s">
        <v>7181</v>
      </c>
      <c r="B259" s="1316" t="s">
        <v>5424</v>
      </c>
      <c r="C259" s="1305">
        <v>105</v>
      </c>
      <c r="D259" s="866"/>
    </row>
    <row r="260" spans="1:12" x14ac:dyDescent="0.25">
      <c r="A260" s="1312" t="s">
        <v>7184</v>
      </c>
      <c r="B260" s="1316" t="s">
        <v>5424</v>
      </c>
      <c r="C260" s="1305">
        <v>3500</v>
      </c>
      <c r="D260" s="866"/>
    </row>
    <row r="261" spans="1:12" x14ac:dyDescent="0.25">
      <c r="A261" s="1312" t="s">
        <v>7185</v>
      </c>
      <c r="B261" s="1316" t="s">
        <v>5424</v>
      </c>
      <c r="C261" s="1305">
        <v>52500</v>
      </c>
      <c r="D261" s="866"/>
    </row>
    <row r="262" spans="1:12" x14ac:dyDescent="0.25">
      <c r="A262" s="1312" t="s">
        <v>8005</v>
      </c>
      <c r="B262" s="1316" t="s">
        <v>7203</v>
      </c>
      <c r="C262" s="1305">
        <v>42000</v>
      </c>
      <c r="D262" s="866"/>
    </row>
    <row r="263" spans="1:12" ht="17.25" x14ac:dyDescent="0.25">
      <c r="A263" s="1312" t="s">
        <v>8006</v>
      </c>
      <c r="B263" s="1316" t="s">
        <v>8007</v>
      </c>
      <c r="C263" s="1305">
        <v>42030.197</v>
      </c>
      <c r="D263" s="866"/>
    </row>
    <row r="264" spans="1:12" ht="17.25" x14ac:dyDescent="0.25">
      <c r="A264" s="1578" t="s">
        <v>8990</v>
      </c>
      <c r="B264" s="1316" t="s">
        <v>8007</v>
      </c>
      <c r="C264" s="1305">
        <f>+E264+F264</f>
        <v>30198.3</v>
      </c>
      <c r="D264" s="866">
        <v>46400</v>
      </c>
      <c r="E264" s="871">
        <f>8570*1.19</f>
        <v>10198.299999999999</v>
      </c>
      <c r="F264" s="871">
        <f>40*500</f>
        <v>20000</v>
      </c>
    </row>
    <row r="265" spans="1:12" x14ac:dyDescent="0.25">
      <c r="A265" s="1578" t="s">
        <v>9052</v>
      </c>
      <c r="B265" s="1316" t="s">
        <v>5424</v>
      </c>
      <c r="C265" s="1305">
        <v>73080</v>
      </c>
      <c r="D265" s="866"/>
    </row>
    <row r="266" spans="1:12" x14ac:dyDescent="0.25">
      <c r="A266" s="1312" t="s">
        <v>8011</v>
      </c>
      <c r="B266" s="1316" t="s">
        <v>5431</v>
      </c>
      <c r="C266" s="1305">
        <v>84000</v>
      </c>
      <c r="D266" s="866"/>
    </row>
    <row r="267" spans="1:12" x14ac:dyDescent="0.25">
      <c r="A267" s="1312" t="s">
        <v>7202</v>
      </c>
      <c r="B267" s="1316" t="s">
        <v>7203</v>
      </c>
      <c r="C267" s="1305">
        <v>65000</v>
      </c>
      <c r="D267" s="866"/>
    </row>
    <row r="268" spans="1:12" x14ac:dyDescent="0.25">
      <c r="A268" s="1312" t="s">
        <v>7962</v>
      </c>
      <c r="B268" s="1316" t="s">
        <v>5431</v>
      </c>
      <c r="C268" s="1305">
        <v>10100</v>
      </c>
      <c r="D268" s="866"/>
    </row>
    <row r="269" spans="1:12" x14ac:dyDescent="0.25">
      <c r="A269" s="1312" t="s">
        <v>7041</v>
      </c>
      <c r="B269" s="1316" t="s">
        <v>5486</v>
      </c>
      <c r="C269" s="1305">
        <v>14775.6</v>
      </c>
      <c r="D269" s="866"/>
    </row>
    <row r="270" spans="1:12" x14ac:dyDescent="0.25">
      <c r="A270" s="1312" t="s">
        <v>7039</v>
      </c>
      <c r="B270" s="1316" t="s">
        <v>7043</v>
      </c>
      <c r="C270" s="1305">
        <v>52500</v>
      </c>
      <c r="D270" s="866"/>
    </row>
    <row r="271" spans="1:12" x14ac:dyDescent="0.25">
      <c r="A271" s="1303" t="s">
        <v>8015</v>
      </c>
      <c r="B271" s="1316" t="s">
        <v>5424</v>
      </c>
      <c r="C271" s="1317">
        <f>+SUM!H1963</f>
        <v>1478908</v>
      </c>
      <c r="D271" s="866"/>
    </row>
    <row r="272" spans="1:12" x14ac:dyDescent="0.25">
      <c r="A272" s="1318" t="s">
        <v>8025</v>
      </c>
      <c r="B272" s="1316" t="s">
        <v>5402</v>
      </c>
      <c r="C272" s="1305">
        <f>243708/6</f>
        <v>40618</v>
      </c>
      <c r="D272" s="866"/>
    </row>
    <row r="273" spans="1:4" ht="17.25" x14ac:dyDescent="0.25">
      <c r="A273" s="1312" t="s">
        <v>8018</v>
      </c>
      <c r="B273" s="1316" t="s">
        <v>8007</v>
      </c>
      <c r="C273" s="1305">
        <v>403563.51874999999</v>
      </c>
      <c r="D273" s="866"/>
    </row>
    <row r="274" spans="1:4" ht="17.25" x14ac:dyDescent="0.25">
      <c r="A274" s="1319" t="s">
        <v>6719</v>
      </c>
      <c r="B274" s="1316" t="s">
        <v>8007</v>
      </c>
      <c r="C274" s="1317">
        <v>25050.327600000001</v>
      </c>
      <c r="D274" s="866"/>
    </row>
    <row r="275" spans="1:4" x14ac:dyDescent="0.25">
      <c r="A275" s="1315" t="s">
        <v>8026</v>
      </c>
      <c r="B275" s="1313" t="s">
        <v>5424</v>
      </c>
      <c r="C275" s="1317">
        <f>+SUM!H1930</f>
        <v>1565624</v>
      </c>
      <c r="D275" s="866"/>
    </row>
    <row r="276" spans="1:4" x14ac:dyDescent="0.25">
      <c r="A276" s="1315" t="s">
        <v>8027</v>
      </c>
      <c r="B276" s="1313" t="s">
        <v>5424</v>
      </c>
      <c r="C276" s="1308">
        <f>+SUM!H2232</f>
        <v>1627349</v>
      </c>
      <c r="D276" s="997"/>
    </row>
    <row r="277" spans="1:4" ht="17.25" x14ac:dyDescent="0.25">
      <c r="A277" s="1319" t="s">
        <v>6837</v>
      </c>
      <c r="B277" s="1316" t="s">
        <v>8007</v>
      </c>
      <c r="C277" s="1317">
        <v>12486.3444</v>
      </c>
      <c r="D277" s="866"/>
    </row>
    <row r="278" spans="1:4" x14ac:dyDescent="0.25">
      <c r="A278" s="1319" t="s">
        <v>8029</v>
      </c>
      <c r="B278" s="1316" t="s">
        <v>5424</v>
      </c>
      <c r="C278" s="1317">
        <v>202536</v>
      </c>
    </row>
    <row r="279" spans="1:4" x14ac:dyDescent="0.25">
      <c r="A279" s="1319" t="s">
        <v>8030</v>
      </c>
      <c r="B279" s="1316" t="s">
        <v>5424</v>
      </c>
      <c r="C279" s="1317">
        <v>11252</v>
      </c>
    </row>
    <row r="280" spans="1:4" x14ac:dyDescent="0.25">
      <c r="A280" s="1319" t="s">
        <v>8031</v>
      </c>
      <c r="B280" s="1313" t="s">
        <v>5424</v>
      </c>
      <c r="C280" s="1317">
        <v>5626</v>
      </c>
    </row>
    <row r="281" spans="1:4" x14ac:dyDescent="0.25">
      <c r="A281" s="1319" t="s">
        <v>8032</v>
      </c>
      <c r="B281" s="1316" t="s">
        <v>5402</v>
      </c>
      <c r="C281" s="1317">
        <v>90016</v>
      </c>
    </row>
    <row r="282" spans="1:4" ht="17.25" x14ac:dyDescent="0.25">
      <c r="A282" s="1319" t="s">
        <v>8034</v>
      </c>
      <c r="B282" s="1316" t="s">
        <v>8007</v>
      </c>
      <c r="C282" s="1317">
        <v>12486.3444</v>
      </c>
    </row>
    <row r="283" spans="1:4" ht="17.25" x14ac:dyDescent="0.25">
      <c r="A283" s="1319" t="s">
        <v>8035</v>
      </c>
      <c r="B283" s="1316" t="s">
        <v>8036</v>
      </c>
      <c r="C283" s="1317">
        <v>5626</v>
      </c>
    </row>
    <row r="284" spans="1:4" x14ac:dyDescent="0.25">
      <c r="A284" s="1320" t="s">
        <v>8038</v>
      </c>
      <c r="B284" s="1316" t="s">
        <v>5424</v>
      </c>
      <c r="C284" s="1317">
        <f>8619.032/10</f>
        <v>861.90319999999997</v>
      </c>
    </row>
    <row r="285" spans="1:4" x14ac:dyDescent="0.25">
      <c r="A285" s="1320" t="s">
        <v>8037</v>
      </c>
      <c r="B285" s="1313" t="s">
        <v>5556</v>
      </c>
      <c r="C285" s="1317">
        <v>225040</v>
      </c>
    </row>
    <row r="286" spans="1:4" x14ac:dyDescent="0.25">
      <c r="A286" s="1320" t="s">
        <v>7953</v>
      </c>
      <c r="B286" s="1313" t="s">
        <v>5431</v>
      </c>
      <c r="C286" s="1317">
        <v>4000</v>
      </c>
    </row>
    <row r="287" spans="1:4" x14ac:dyDescent="0.25">
      <c r="A287" s="1320" t="s">
        <v>8039</v>
      </c>
      <c r="B287" s="1313" t="s">
        <v>5431</v>
      </c>
      <c r="C287" s="1317">
        <v>10397.9732</v>
      </c>
    </row>
    <row r="288" spans="1:4" x14ac:dyDescent="0.25">
      <c r="A288" s="1320" t="s">
        <v>7038</v>
      </c>
      <c r="B288" s="1313" t="s">
        <v>5424</v>
      </c>
      <c r="C288" s="1317">
        <v>11477040</v>
      </c>
    </row>
    <row r="289" spans="1:4" x14ac:dyDescent="0.25">
      <c r="A289" s="1319" t="s">
        <v>7932</v>
      </c>
      <c r="B289" s="1313" t="s">
        <v>5424</v>
      </c>
      <c r="C289" s="1317">
        <v>32964.984400000001</v>
      </c>
    </row>
    <row r="290" spans="1:4" x14ac:dyDescent="0.25">
      <c r="A290" s="1319" t="s">
        <v>7928</v>
      </c>
      <c r="B290" s="1313" t="s">
        <v>5431</v>
      </c>
      <c r="C290" s="1317">
        <v>2414.6792</v>
      </c>
    </row>
    <row r="291" spans="1:4" x14ac:dyDescent="0.25">
      <c r="A291" s="1319" t="s">
        <v>7933</v>
      </c>
      <c r="B291" s="1313" t="s">
        <v>5556</v>
      </c>
      <c r="C291" s="1317">
        <v>2362.92</v>
      </c>
    </row>
    <row r="292" spans="1:4" x14ac:dyDescent="0.25">
      <c r="A292" s="1319" t="s">
        <v>7939</v>
      </c>
      <c r="B292" s="1313" t="s">
        <v>5431</v>
      </c>
      <c r="C292" s="1317">
        <v>378.06720000000001</v>
      </c>
    </row>
    <row r="293" spans="1:4" x14ac:dyDescent="0.25">
      <c r="A293" s="1320" t="s">
        <v>8040</v>
      </c>
      <c r="B293" s="1313" t="s">
        <v>5424</v>
      </c>
      <c r="C293" s="1317">
        <f>+SUM!H1962</f>
        <v>1285111</v>
      </c>
    </row>
    <row r="294" spans="1:4" x14ac:dyDescent="0.25">
      <c r="A294" s="1319" t="s">
        <v>8041</v>
      </c>
      <c r="B294" s="1313" t="s">
        <v>5424</v>
      </c>
      <c r="C294" s="1308">
        <f>+SUM!H2178</f>
        <v>2104688</v>
      </c>
      <c r="D294" s="997"/>
    </row>
    <row r="295" spans="1:4" x14ac:dyDescent="0.25">
      <c r="A295" s="1321" t="s">
        <v>8043</v>
      </c>
      <c r="B295" s="1313" t="s">
        <v>5424</v>
      </c>
      <c r="C295" s="1322">
        <f>+AVERAGE(SUM!H1473,SUM!H1486)</f>
        <v>4413359</v>
      </c>
    </row>
    <row r="296" spans="1:4" x14ac:dyDescent="0.25">
      <c r="A296" s="1228" t="s">
        <v>8044</v>
      </c>
      <c r="B296" s="1313" t="s">
        <v>5424</v>
      </c>
      <c r="C296" s="1323">
        <v>2010514.1111999999</v>
      </c>
    </row>
    <row r="297" spans="1:4" x14ac:dyDescent="0.25">
      <c r="A297" s="1314" t="s">
        <v>8158</v>
      </c>
      <c r="B297" s="1313" t="s">
        <v>5424</v>
      </c>
      <c r="C297" s="1227">
        <f>+SUM!H2028</f>
        <v>799930</v>
      </c>
    </row>
    <row r="298" spans="1:4" x14ac:dyDescent="0.25">
      <c r="A298" s="1228" t="s">
        <v>8266</v>
      </c>
      <c r="B298" s="1324" t="s">
        <v>5424</v>
      </c>
      <c r="C298" s="1227">
        <v>33600</v>
      </c>
    </row>
    <row r="299" spans="1:4" x14ac:dyDescent="0.25">
      <c r="A299" s="1228" t="s">
        <v>8267</v>
      </c>
      <c r="B299" s="1324" t="s">
        <v>5443</v>
      </c>
      <c r="C299" s="1227">
        <v>36750</v>
      </c>
    </row>
    <row r="300" spans="1:4" x14ac:dyDescent="0.25">
      <c r="A300" s="1228" t="s">
        <v>8270</v>
      </c>
      <c r="B300" s="1226" t="s">
        <v>5424</v>
      </c>
      <c r="C300" s="1227">
        <v>53083</v>
      </c>
    </row>
    <row r="301" spans="1:4" x14ac:dyDescent="0.25">
      <c r="A301" s="1228" t="s">
        <v>8268</v>
      </c>
      <c r="B301" s="1226" t="s">
        <v>5424</v>
      </c>
      <c r="C301" s="1227">
        <v>25596</v>
      </c>
    </row>
    <row r="302" spans="1:4" x14ac:dyDescent="0.25">
      <c r="A302" s="1228" t="s">
        <v>8271</v>
      </c>
      <c r="B302" s="1226" t="s">
        <v>5424</v>
      </c>
      <c r="C302" s="1227">
        <v>126000</v>
      </c>
    </row>
    <row r="303" spans="1:4" x14ac:dyDescent="0.25">
      <c r="A303" s="1228" t="s">
        <v>8276</v>
      </c>
      <c r="B303" s="1226" t="s">
        <v>5431</v>
      </c>
      <c r="C303" s="1227">
        <v>6800</v>
      </c>
    </row>
    <row r="304" spans="1:4" x14ac:dyDescent="0.25">
      <c r="A304" s="1228" t="s">
        <v>8275</v>
      </c>
      <c r="B304" s="1226" t="s">
        <v>5734</v>
      </c>
      <c r="C304" s="1227">
        <v>30170</v>
      </c>
    </row>
    <row r="305" spans="1:3" x14ac:dyDescent="0.25">
      <c r="A305" s="1228" t="s">
        <v>8278</v>
      </c>
      <c r="B305" s="1226" t="s">
        <v>5424</v>
      </c>
      <c r="C305" s="1227">
        <v>21568</v>
      </c>
    </row>
    <row r="306" spans="1:3" x14ac:dyDescent="0.25">
      <c r="A306" s="1225" t="s">
        <v>8279</v>
      </c>
      <c r="B306" s="1226" t="s">
        <v>5424</v>
      </c>
      <c r="C306" s="1227">
        <v>552</v>
      </c>
    </row>
    <row r="307" spans="1:3" x14ac:dyDescent="0.25">
      <c r="A307" s="1225" t="s">
        <v>8280</v>
      </c>
      <c r="B307" s="1226" t="s">
        <v>5424</v>
      </c>
      <c r="C307" s="1227">
        <v>352</v>
      </c>
    </row>
    <row r="308" spans="1:3" x14ac:dyDescent="0.25">
      <c r="A308" s="1225" t="s">
        <v>8281</v>
      </c>
      <c r="B308" s="1226" t="s">
        <v>5734</v>
      </c>
      <c r="C308" s="1227">
        <v>15225</v>
      </c>
    </row>
    <row r="309" spans="1:3" x14ac:dyDescent="0.25">
      <c r="A309" s="1225" t="s">
        <v>8282</v>
      </c>
      <c r="B309" s="1226" t="s">
        <v>5475</v>
      </c>
      <c r="C309" s="1227">
        <v>64575</v>
      </c>
    </row>
    <row r="310" spans="1:3" x14ac:dyDescent="0.25">
      <c r="A310" s="1225" t="s">
        <v>8283</v>
      </c>
      <c r="B310" s="1226" t="s">
        <v>5475</v>
      </c>
      <c r="C310" s="1227">
        <v>60585</v>
      </c>
    </row>
    <row r="311" spans="1:3" x14ac:dyDescent="0.25">
      <c r="A311" s="1225" t="s">
        <v>8287</v>
      </c>
      <c r="B311" s="1226" t="s">
        <v>5556</v>
      </c>
      <c r="C311" s="1227">
        <v>21943.95</v>
      </c>
    </row>
    <row r="312" spans="1:3" x14ac:dyDescent="0.25">
      <c r="A312" s="1225" t="s">
        <v>8288</v>
      </c>
      <c r="B312" s="1226" t="s">
        <v>5542</v>
      </c>
      <c r="C312" s="1227">
        <v>244805.40000000002</v>
      </c>
    </row>
    <row r="313" spans="1:3" x14ac:dyDescent="0.25">
      <c r="A313" s="1225" t="s">
        <v>8289</v>
      </c>
      <c r="B313" s="1226" t="s">
        <v>5424</v>
      </c>
      <c r="C313" s="1227">
        <v>131250</v>
      </c>
    </row>
    <row r="314" spans="1:3" x14ac:dyDescent="0.25">
      <c r="A314" s="1225" t="s">
        <v>8290</v>
      </c>
      <c r="B314" s="1226" t="s">
        <v>5734</v>
      </c>
      <c r="C314" s="1227">
        <v>3500</v>
      </c>
    </row>
    <row r="315" spans="1:3" x14ac:dyDescent="0.25">
      <c r="A315" s="1225" t="s">
        <v>8285</v>
      </c>
      <c r="B315" s="1226" t="s">
        <v>5424</v>
      </c>
      <c r="C315" s="1227">
        <v>1800</v>
      </c>
    </row>
    <row r="316" spans="1:3" x14ac:dyDescent="0.25">
      <c r="A316" s="1225" t="s">
        <v>8291</v>
      </c>
      <c r="B316" s="1226" t="s">
        <v>5424</v>
      </c>
      <c r="C316" s="1227">
        <v>268800</v>
      </c>
    </row>
    <row r="317" spans="1:3" x14ac:dyDescent="0.25">
      <c r="A317" s="1225" t="s">
        <v>8292</v>
      </c>
      <c r="B317" s="1226" t="s">
        <v>5556</v>
      </c>
      <c r="C317" s="1227">
        <v>147000</v>
      </c>
    </row>
    <row r="318" spans="1:3" x14ac:dyDescent="0.25">
      <c r="A318" s="1225" t="s">
        <v>8286</v>
      </c>
      <c r="B318" s="1226" t="s">
        <v>5556</v>
      </c>
      <c r="C318" s="1227">
        <v>29400</v>
      </c>
    </row>
    <row r="319" spans="1:3" x14ac:dyDescent="0.25">
      <c r="A319" s="1225" t="s">
        <v>8296</v>
      </c>
      <c r="B319" s="1226" t="s">
        <v>5424</v>
      </c>
      <c r="C319" s="1227">
        <v>2200000</v>
      </c>
    </row>
    <row r="320" spans="1:3" ht="30" x14ac:dyDescent="0.25">
      <c r="A320" s="1300" t="s">
        <v>8298</v>
      </c>
      <c r="B320" s="1324" t="s">
        <v>5424</v>
      </c>
      <c r="C320" s="1317">
        <v>16993200</v>
      </c>
    </row>
    <row r="321" spans="1:3" x14ac:dyDescent="0.25">
      <c r="A321" s="1225" t="s">
        <v>8300</v>
      </c>
      <c r="B321" s="1226" t="s">
        <v>5431</v>
      </c>
      <c r="C321" s="1227">
        <v>2800</v>
      </c>
    </row>
    <row r="322" spans="1:3" x14ac:dyDescent="0.25">
      <c r="A322" s="1225" t="s">
        <v>9074</v>
      </c>
      <c r="B322" s="1226" t="s">
        <v>5431</v>
      </c>
      <c r="C322" s="1227">
        <v>1006.4</v>
      </c>
    </row>
    <row r="323" spans="1:3" ht="30" x14ac:dyDescent="0.25">
      <c r="A323" s="1325" t="s">
        <v>8315</v>
      </c>
      <c r="B323" s="1326" t="s">
        <v>5424</v>
      </c>
      <c r="C323" s="1327">
        <v>1309000</v>
      </c>
    </row>
    <row r="324" spans="1:3" ht="45" x14ac:dyDescent="0.25">
      <c r="A324" s="1338" t="s">
        <v>8316</v>
      </c>
      <c r="B324" s="1326" t="s">
        <v>5424</v>
      </c>
      <c r="C324" s="1327">
        <v>3525375</v>
      </c>
    </row>
    <row r="325" spans="1:3" x14ac:dyDescent="0.25">
      <c r="A325" s="86" t="s">
        <v>8317</v>
      </c>
      <c r="B325" s="1048" t="s">
        <v>5424</v>
      </c>
      <c r="C325" s="871">
        <v>27667500</v>
      </c>
    </row>
    <row r="326" spans="1:3" x14ac:dyDescent="0.25">
      <c r="A326" s="336" t="s">
        <v>8318</v>
      </c>
      <c r="B326" s="1048" t="s">
        <v>5424</v>
      </c>
      <c r="C326" s="871">
        <v>6571180</v>
      </c>
    </row>
    <row r="327" spans="1:3" ht="60" x14ac:dyDescent="0.25">
      <c r="A327" s="1338" t="s">
        <v>8319</v>
      </c>
      <c r="B327" s="1326" t="s">
        <v>5424</v>
      </c>
      <c r="C327" s="1327">
        <v>37699200</v>
      </c>
    </row>
    <row r="328" spans="1:3" x14ac:dyDescent="0.25">
      <c r="A328" s="1342" t="s">
        <v>8320</v>
      </c>
      <c r="B328" s="1048" t="s">
        <v>5424</v>
      </c>
      <c r="C328" s="871">
        <v>1219750</v>
      </c>
    </row>
    <row r="329" spans="1:3" ht="30" x14ac:dyDescent="0.25">
      <c r="A329" s="1342" t="s">
        <v>8321</v>
      </c>
      <c r="B329" s="1048" t="s">
        <v>5424</v>
      </c>
      <c r="C329" s="871">
        <v>20789300</v>
      </c>
    </row>
    <row r="330" spans="1:3" x14ac:dyDescent="0.25">
      <c r="A330" s="1342" t="s">
        <v>8322</v>
      </c>
      <c r="B330" s="1048" t="s">
        <v>5734</v>
      </c>
      <c r="C330" s="871">
        <v>26061000</v>
      </c>
    </row>
    <row r="331" spans="1:3" x14ac:dyDescent="0.25">
      <c r="A331" s="1342" t="s">
        <v>8323</v>
      </c>
      <c r="B331" s="1048" t="s">
        <v>5424</v>
      </c>
      <c r="C331" s="871">
        <v>27310500</v>
      </c>
    </row>
    <row r="332" spans="1:3" x14ac:dyDescent="0.25">
      <c r="A332" s="1342" t="s">
        <v>8324</v>
      </c>
      <c r="B332" s="1048" t="s">
        <v>5424</v>
      </c>
      <c r="C332" s="871">
        <v>12102300</v>
      </c>
    </row>
    <row r="333" spans="1:3" x14ac:dyDescent="0.25">
      <c r="A333" s="1342" t="s">
        <v>8325</v>
      </c>
      <c r="B333" s="1048" t="s">
        <v>5424</v>
      </c>
      <c r="C333" s="871">
        <v>940100</v>
      </c>
    </row>
    <row r="334" spans="1:3" x14ac:dyDescent="0.25">
      <c r="A334" s="1342" t="s">
        <v>8326</v>
      </c>
      <c r="B334" s="1048" t="s">
        <v>5424</v>
      </c>
      <c r="C334" s="871">
        <v>13030500</v>
      </c>
    </row>
    <row r="335" spans="1:3" x14ac:dyDescent="0.25">
      <c r="A335" s="1342" t="s">
        <v>8327</v>
      </c>
      <c r="B335" s="1048" t="s">
        <v>5424</v>
      </c>
      <c r="C335" s="871">
        <v>8746500</v>
      </c>
    </row>
    <row r="336" spans="1:3" x14ac:dyDescent="0.25">
      <c r="A336" s="1342" t="s">
        <v>8328</v>
      </c>
      <c r="B336" s="1048" t="s">
        <v>5424</v>
      </c>
      <c r="C336" s="871">
        <v>20349000</v>
      </c>
    </row>
    <row r="337" spans="1:3" x14ac:dyDescent="0.25">
      <c r="A337" s="444" t="s">
        <v>7979</v>
      </c>
    </row>
    <row r="338" spans="1:3" x14ac:dyDescent="0.25">
      <c r="A338" s="444" t="s">
        <v>7980</v>
      </c>
    </row>
    <row r="339" spans="1:3" ht="45" x14ac:dyDescent="0.25">
      <c r="A339" s="1342" t="s">
        <v>9405</v>
      </c>
      <c r="B339" s="1048" t="s">
        <v>14</v>
      </c>
      <c r="C339" s="1724">
        <v>3024784</v>
      </c>
    </row>
    <row r="340" spans="1:3" x14ac:dyDescent="0.25">
      <c r="A340" s="1342" t="s">
        <v>9019</v>
      </c>
      <c r="B340" s="1048" t="s">
        <v>14</v>
      </c>
      <c r="C340" s="1724">
        <v>100000</v>
      </c>
    </row>
    <row r="341" spans="1:3" x14ac:dyDescent="0.25">
      <c r="A341" s="1342" t="s">
        <v>9020</v>
      </c>
      <c r="B341" s="1048" t="s">
        <v>9021</v>
      </c>
      <c r="C341" s="1724">
        <v>300000</v>
      </c>
    </row>
    <row r="342" spans="1:3" x14ac:dyDescent="0.25">
      <c r="A342" s="1342" t="s">
        <v>9404</v>
      </c>
      <c r="B342" s="1048" t="s">
        <v>14</v>
      </c>
      <c r="C342" s="1724">
        <v>1500000</v>
      </c>
    </row>
    <row r="343" spans="1:3" x14ac:dyDescent="0.25">
      <c r="A343" s="1342" t="s">
        <v>9022</v>
      </c>
      <c r="B343" s="1048" t="s">
        <v>9023</v>
      </c>
      <c r="C343" s="1724">
        <v>90000</v>
      </c>
    </row>
    <row r="344" spans="1:3" x14ac:dyDescent="0.25">
      <c r="A344" s="1342" t="s">
        <v>9043</v>
      </c>
      <c r="B344" s="1048" t="s">
        <v>14</v>
      </c>
      <c r="C344" s="1724">
        <f>180368*1.5</f>
        <v>270552</v>
      </c>
    </row>
    <row r="345" spans="1:3" x14ac:dyDescent="0.25">
      <c r="A345" s="86" t="s">
        <v>9357</v>
      </c>
      <c r="B345" s="1048" t="s">
        <v>5424</v>
      </c>
      <c r="C345" s="1724">
        <v>2479674.4</v>
      </c>
    </row>
    <row r="346" spans="1:3" x14ac:dyDescent="0.25">
      <c r="A346" s="86" t="s">
        <v>9358</v>
      </c>
      <c r="B346" s="1048" t="s">
        <v>5424</v>
      </c>
      <c r="C346" s="1724">
        <v>774490.08</v>
      </c>
    </row>
    <row r="347" spans="1:3" x14ac:dyDescent="0.25">
      <c r="A347" s="987" t="s">
        <v>9359</v>
      </c>
      <c r="B347" s="1048" t="s">
        <v>5424</v>
      </c>
      <c r="C347" s="1724">
        <v>1019382.5599999999</v>
      </c>
    </row>
    <row r="348" spans="1:3" x14ac:dyDescent="0.25">
      <c r="A348" s="987" t="s">
        <v>9360</v>
      </c>
      <c r="B348" s="1048" t="s">
        <v>5424</v>
      </c>
      <c r="C348" s="1724">
        <v>1403438.4</v>
      </c>
    </row>
    <row r="349" spans="1:3" x14ac:dyDescent="0.25">
      <c r="A349" s="86" t="s">
        <v>9361</v>
      </c>
      <c r="B349" s="1048" t="s">
        <v>5424</v>
      </c>
      <c r="C349" s="1724">
        <v>1749966.4</v>
      </c>
    </row>
    <row r="350" spans="1:3" x14ac:dyDescent="0.25">
      <c r="A350" s="987" t="s">
        <v>9362</v>
      </c>
      <c r="B350" s="1048" t="s">
        <v>5424</v>
      </c>
      <c r="C350" s="1724">
        <v>2598960</v>
      </c>
    </row>
    <row r="351" spans="1:3" x14ac:dyDescent="0.25">
      <c r="A351" s="987" t="s">
        <v>9363</v>
      </c>
      <c r="B351" s="1048" t="s">
        <v>5424</v>
      </c>
      <c r="C351" s="1724">
        <v>1999200</v>
      </c>
    </row>
    <row r="352" spans="1:3" x14ac:dyDescent="0.25">
      <c r="A352" s="987" t="s">
        <v>9364</v>
      </c>
      <c r="B352" s="1048" t="s">
        <v>5424</v>
      </c>
      <c r="C352" s="1724">
        <v>934761.65999999992</v>
      </c>
    </row>
    <row r="353" spans="1:3" x14ac:dyDescent="0.25">
      <c r="A353" s="86" t="s">
        <v>9367</v>
      </c>
      <c r="B353" s="1048" t="s">
        <v>5424</v>
      </c>
      <c r="C353" s="1724">
        <v>8678670</v>
      </c>
    </row>
    <row r="354" spans="1:3" x14ac:dyDescent="0.25">
      <c r="A354" s="86" t="s">
        <v>9369</v>
      </c>
      <c r="B354" s="1048" t="s">
        <v>5424</v>
      </c>
      <c r="C354" s="1724">
        <v>2975000</v>
      </c>
    </row>
    <row r="355" spans="1:3" x14ac:dyDescent="0.25">
      <c r="A355" s="987" t="s">
        <v>9368</v>
      </c>
      <c r="B355" s="1048" t="s">
        <v>5424</v>
      </c>
      <c r="C355" s="1724">
        <v>61880000</v>
      </c>
    </row>
    <row r="356" spans="1:3" ht="60" x14ac:dyDescent="0.25">
      <c r="A356" s="1338" t="s">
        <v>9373</v>
      </c>
      <c r="B356" s="1048" t="s">
        <v>5475</v>
      </c>
      <c r="C356" s="1724">
        <v>8930950</v>
      </c>
    </row>
    <row r="357" spans="1:3" x14ac:dyDescent="0.25">
      <c r="A357" s="86" t="s">
        <v>9372</v>
      </c>
      <c r="B357" s="1048" t="s">
        <v>5475</v>
      </c>
      <c r="C357" s="1724">
        <v>5000000</v>
      </c>
    </row>
    <row r="358" spans="1:3" x14ac:dyDescent="0.25">
      <c r="A358" s="86" t="s">
        <v>9376</v>
      </c>
      <c r="B358" s="1626" t="s">
        <v>5475</v>
      </c>
      <c r="C358" s="1724">
        <v>1700000</v>
      </c>
    </row>
    <row r="359" spans="1:3" x14ac:dyDescent="0.25">
      <c r="A359" s="86" t="s">
        <v>9381</v>
      </c>
      <c r="B359" s="1626" t="s">
        <v>5475</v>
      </c>
      <c r="C359" s="1724">
        <v>1700000</v>
      </c>
    </row>
    <row r="360" spans="1:3" x14ac:dyDescent="0.25">
      <c r="A360" s="987" t="s">
        <v>9374</v>
      </c>
      <c r="B360" s="1626" t="s">
        <v>5475</v>
      </c>
      <c r="C360" s="1724">
        <v>1700000</v>
      </c>
    </row>
    <row r="361" spans="1:3" x14ac:dyDescent="0.25">
      <c r="A361" s="86" t="s">
        <v>9375</v>
      </c>
      <c r="B361" s="1626" t="s">
        <v>5475</v>
      </c>
      <c r="C361" s="1724">
        <v>1700000</v>
      </c>
    </row>
  </sheetData>
  <conditionalFormatting sqref="A39:A40">
    <cfRule type="duplicateValues" dxfId="89" priority="89" stopIfTrue="1"/>
  </conditionalFormatting>
  <conditionalFormatting sqref="A119:A120">
    <cfRule type="duplicateValues" dxfId="88" priority="87" stopIfTrue="1"/>
  </conditionalFormatting>
  <conditionalFormatting sqref="A41:A42">
    <cfRule type="duplicateValues" dxfId="87" priority="86" stopIfTrue="1"/>
  </conditionalFormatting>
  <conditionalFormatting sqref="A207:A210">
    <cfRule type="duplicateValues" dxfId="86" priority="85" stopIfTrue="1"/>
  </conditionalFormatting>
  <conditionalFormatting sqref="A168:A169">
    <cfRule type="duplicateValues" dxfId="85" priority="83" stopIfTrue="1"/>
  </conditionalFormatting>
  <conditionalFormatting sqref="A116">
    <cfRule type="duplicateValues" dxfId="84" priority="81" stopIfTrue="1"/>
  </conditionalFormatting>
  <conditionalFormatting sqref="A115">
    <cfRule type="duplicateValues" dxfId="83" priority="80" stopIfTrue="1"/>
  </conditionalFormatting>
  <conditionalFormatting sqref="A148:A149">
    <cfRule type="duplicateValues" dxfId="82" priority="79" stopIfTrue="1"/>
  </conditionalFormatting>
  <conditionalFormatting sqref="A34">
    <cfRule type="duplicateValues" dxfId="81" priority="78" stopIfTrue="1"/>
  </conditionalFormatting>
  <conditionalFormatting sqref="A145:A146">
    <cfRule type="duplicateValues" dxfId="80" priority="77" stopIfTrue="1"/>
  </conditionalFormatting>
  <conditionalFormatting sqref="A35:A36">
    <cfRule type="duplicateValues" dxfId="79" priority="76" stopIfTrue="1"/>
  </conditionalFormatting>
  <conditionalFormatting sqref="A204">
    <cfRule type="duplicateValues" dxfId="78" priority="75" stopIfTrue="1"/>
  </conditionalFormatting>
  <conditionalFormatting sqref="A236">
    <cfRule type="duplicateValues" dxfId="77" priority="74" stopIfTrue="1"/>
  </conditionalFormatting>
  <conditionalFormatting sqref="A106">
    <cfRule type="duplicateValues" dxfId="76" priority="73" stopIfTrue="1"/>
  </conditionalFormatting>
  <conditionalFormatting sqref="A223:A230">
    <cfRule type="duplicateValues" dxfId="75" priority="72" stopIfTrue="1"/>
  </conditionalFormatting>
  <conditionalFormatting sqref="A158">
    <cfRule type="duplicateValues" dxfId="74" priority="71" stopIfTrue="1"/>
  </conditionalFormatting>
  <conditionalFormatting sqref="A103">
    <cfRule type="duplicateValues" dxfId="73" priority="69" stopIfTrue="1"/>
  </conditionalFormatting>
  <conditionalFormatting sqref="A125:A135">
    <cfRule type="duplicateValues" dxfId="72" priority="68" stopIfTrue="1"/>
  </conditionalFormatting>
  <conditionalFormatting sqref="A29">
    <cfRule type="duplicateValues" dxfId="71" priority="67" stopIfTrue="1"/>
  </conditionalFormatting>
  <conditionalFormatting sqref="A33">
    <cfRule type="duplicateValues" dxfId="70" priority="66" stopIfTrue="1"/>
  </conditionalFormatting>
  <conditionalFormatting sqref="A30">
    <cfRule type="duplicateValues" dxfId="69" priority="65" stopIfTrue="1"/>
  </conditionalFormatting>
  <conditionalFormatting sqref="A186:A187">
    <cfRule type="duplicateValues" dxfId="68" priority="64" stopIfTrue="1"/>
  </conditionalFormatting>
  <conditionalFormatting sqref="A189">
    <cfRule type="duplicateValues" dxfId="67" priority="63" stopIfTrue="1"/>
  </conditionalFormatting>
  <conditionalFormatting sqref="A190:A192">
    <cfRule type="duplicateValues" dxfId="66" priority="62" stopIfTrue="1"/>
  </conditionalFormatting>
  <conditionalFormatting sqref="A155:A156">
    <cfRule type="duplicateValues" dxfId="65" priority="61" stopIfTrue="1"/>
  </conditionalFormatting>
  <conditionalFormatting sqref="A188">
    <cfRule type="duplicateValues" dxfId="64" priority="60" stopIfTrue="1"/>
  </conditionalFormatting>
  <conditionalFormatting sqref="A118">
    <cfRule type="duplicateValues" dxfId="63" priority="59" stopIfTrue="1"/>
  </conditionalFormatting>
  <conditionalFormatting sqref="A118">
    <cfRule type="duplicateValues" dxfId="62" priority="58" stopIfTrue="1"/>
  </conditionalFormatting>
  <conditionalFormatting sqref="A123">
    <cfRule type="duplicateValues" dxfId="61" priority="57" stopIfTrue="1"/>
  </conditionalFormatting>
  <conditionalFormatting sqref="A123">
    <cfRule type="duplicateValues" dxfId="60" priority="56" stopIfTrue="1"/>
  </conditionalFormatting>
  <conditionalFormatting sqref="A232">
    <cfRule type="duplicateValues" dxfId="59" priority="55" stopIfTrue="1"/>
  </conditionalFormatting>
  <conditionalFormatting sqref="A111">
    <cfRule type="duplicateValues" dxfId="58" priority="54" stopIfTrue="1"/>
  </conditionalFormatting>
  <conditionalFormatting sqref="A166:A167">
    <cfRule type="duplicateValues" dxfId="57" priority="53" stopIfTrue="1"/>
  </conditionalFormatting>
  <conditionalFormatting sqref="A176">
    <cfRule type="duplicateValues" dxfId="56" priority="52" stopIfTrue="1"/>
  </conditionalFormatting>
  <conditionalFormatting sqref="A176">
    <cfRule type="duplicateValues" dxfId="55" priority="51" stopIfTrue="1"/>
  </conditionalFormatting>
  <conditionalFormatting sqref="A9">
    <cfRule type="duplicateValues" dxfId="54" priority="50" stopIfTrue="1"/>
  </conditionalFormatting>
  <conditionalFormatting sqref="A100">
    <cfRule type="duplicateValues" dxfId="53" priority="49" stopIfTrue="1"/>
  </conditionalFormatting>
  <conditionalFormatting sqref="A45">
    <cfRule type="duplicateValues" dxfId="52" priority="48" stopIfTrue="1"/>
  </conditionalFormatting>
  <conditionalFormatting sqref="A170">
    <cfRule type="duplicateValues" dxfId="51" priority="45" stopIfTrue="1"/>
  </conditionalFormatting>
  <conditionalFormatting sqref="A170">
    <cfRule type="duplicateValues" dxfId="50" priority="44" stopIfTrue="1"/>
  </conditionalFormatting>
  <conditionalFormatting sqref="A121:A122">
    <cfRule type="duplicateValues" dxfId="49" priority="43" stopIfTrue="1"/>
  </conditionalFormatting>
  <conditionalFormatting sqref="A121:A122">
    <cfRule type="duplicateValues" dxfId="48" priority="42" stopIfTrue="1"/>
  </conditionalFormatting>
  <conditionalFormatting sqref="A234">
    <cfRule type="duplicateValues" dxfId="47" priority="113" stopIfTrue="1"/>
  </conditionalFormatting>
  <conditionalFormatting sqref="A172">
    <cfRule type="duplicateValues" dxfId="46" priority="41" stopIfTrue="1"/>
  </conditionalFormatting>
  <conditionalFormatting sqref="A172">
    <cfRule type="duplicateValues" dxfId="45" priority="40" stopIfTrue="1"/>
  </conditionalFormatting>
  <conditionalFormatting sqref="A171">
    <cfRule type="duplicateValues" dxfId="44" priority="39" stopIfTrue="1"/>
  </conditionalFormatting>
  <conditionalFormatting sqref="A171">
    <cfRule type="duplicateValues" dxfId="43" priority="38" stopIfTrue="1"/>
  </conditionalFormatting>
  <conditionalFormatting sqref="A198">
    <cfRule type="duplicateValues" dxfId="42" priority="37" stopIfTrue="1"/>
  </conditionalFormatting>
  <conditionalFormatting sqref="A233:A235 A147 A117 A150:A154 A107:A110 A104:A105 A136:A141 A157 A124 A177:A185 A10:A28 A101:A102 A173:A175 A193:A197 A237:A243 A199:A203 A159:A160 A2:A8 A162:A169 A205 A37:A44 A207:A221 A119:A120 A96:A99 A245:A248 A46:A92">
    <cfRule type="duplicateValues" dxfId="41" priority="114" stopIfTrue="1"/>
  </conditionalFormatting>
  <conditionalFormatting sqref="A249:A255">
    <cfRule type="duplicateValues" dxfId="40" priority="34" stopIfTrue="1"/>
  </conditionalFormatting>
  <conditionalFormatting sqref="A165">
    <cfRule type="duplicateValues" dxfId="39" priority="33" stopIfTrue="1"/>
  </conditionalFormatting>
  <conditionalFormatting sqref="A112:A114">
    <cfRule type="duplicateValues" dxfId="38" priority="32" stopIfTrue="1"/>
  </conditionalFormatting>
  <conditionalFormatting sqref="A164">
    <cfRule type="duplicateValues" dxfId="37" priority="31" stopIfTrue="1"/>
  </conditionalFormatting>
  <conditionalFormatting sqref="A32">
    <cfRule type="duplicateValues" dxfId="36" priority="30" stopIfTrue="1"/>
  </conditionalFormatting>
  <conditionalFormatting sqref="A144">
    <cfRule type="duplicateValues" dxfId="35" priority="29" stopIfTrue="1"/>
  </conditionalFormatting>
  <conditionalFormatting sqref="A143">
    <cfRule type="duplicateValues" dxfId="34" priority="28" stopIfTrue="1"/>
  </conditionalFormatting>
  <conditionalFormatting sqref="A142">
    <cfRule type="duplicateValues" dxfId="33" priority="27" stopIfTrue="1"/>
  </conditionalFormatting>
  <conditionalFormatting sqref="A161">
    <cfRule type="duplicateValues" dxfId="32" priority="26" stopIfTrue="1"/>
  </conditionalFormatting>
  <conditionalFormatting sqref="A231">
    <cfRule type="duplicateValues" dxfId="31" priority="25" stopIfTrue="1"/>
  </conditionalFormatting>
  <conditionalFormatting sqref="A222">
    <cfRule type="duplicateValues" dxfId="30" priority="24" stopIfTrue="1"/>
  </conditionalFormatting>
  <conditionalFormatting sqref="A31">
    <cfRule type="duplicateValues" dxfId="29" priority="23" stopIfTrue="1"/>
  </conditionalFormatting>
  <conditionalFormatting sqref="A173:A175 A177:A178">
    <cfRule type="duplicateValues" dxfId="28" priority="115" stopIfTrue="1"/>
  </conditionalFormatting>
  <conditionalFormatting sqref="A206">
    <cfRule type="duplicateValues" dxfId="27" priority="22" stopIfTrue="1"/>
  </conditionalFormatting>
  <conditionalFormatting sqref="A93:A95">
    <cfRule type="duplicateValues" dxfId="26" priority="21" stopIfTrue="1"/>
  </conditionalFormatting>
  <conditionalFormatting sqref="A244">
    <cfRule type="duplicateValues" dxfId="25" priority="20" stopIfTrue="1"/>
  </conditionalFormatting>
  <conditionalFormatting sqref="A258">
    <cfRule type="duplicateValues" dxfId="24" priority="19" stopIfTrue="1"/>
  </conditionalFormatting>
  <conditionalFormatting sqref="A259">
    <cfRule type="duplicateValues" dxfId="23" priority="18" stopIfTrue="1"/>
  </conditionalFormatting>
  <conditionalFormatting sqref="A260">
    <cfRule type="duplicateValues" dxfId="22" priority="17" stopIfTrue="1"/>
  </conditionalFormatting>
  <conditionalFormatting sqref="A261">
    <cfRule type="duplicateValues" dxfId="21" priority="16" stopIfTrue="1"/>
  </conditionalFormatting>
  <conditionalFormatting sqref="A262">
    <cfRule type="duplicateValues" dxfId="20" priority="15" stopIfTrue="1"/>
  </conditionalFormatting>
  <conditionalFormatting sqref="A263">
    <cfRule type="duplicateValues" dxfId="19" priority="14" stopIfTrue="1"/>
  </conditionalFormatting>
  <conditionalFormatting sqref="A264">
    <cfRule type="duplicateValues" dxfId="18" priority="13" stopIfTrue="1"/>
  </conditionalFormatting>
  <conditionalFormatting sqref="A265">
    <cfRule type="duplicateValues" dxfId="17" priority="12" stopIfTrue="1"/>
  </conditionalFormatting>
  <conditionalFormatting sqref="A266">
    <cfRule type="duplicateValues" dxfId="16" priority="11" stopIfTrue="1"/>
  </conditionalFormatting>
  <conditionalFormatting sqref="A267">
    <cfRule type="duplicateValues" dxfId="15" priority="10" stopIfTrue="1"/>
  </conditionalFormatting>
  <conditionalFormatting sqref="A268">
    <cfRule type="duplicateValues" dxfId="14" priority="8" stopIfTrue="1"/>
  </conditionalFormatting>
  <conditionalFormatting sqref="A269">
    <cfRule type="duplicateValues" dxfId="13" priority="7" stopIfTrue="1"/>
  </conditionalFormatting>
  <conditionalFormatting sqref="A270">
    <cfRule type="duplicateValues" dxfId="12" priority="6" stopIfTrue="1"/>
  </conditionalFormatting>
  <conditionalFormatting sqref="A271">
    <cfRule type="duplicateValues" dxfId="11" priority="5" stopIfTrue="1"/>
  </conditionalFormatting>
  <conditionalFormatting sqref="A273">
    <cfRule type="duplicateValues" dxfId="10" priority="4" stopIfTrue="1"/>
  </conditionalFormatting>
  <conditionalFormatting sqref="A297">
    <cfRule type="duplicateValues" dxfId="9" priority="3" stopIfTrue="1"/>
  </conditionalFormatting>
  <conditionalFormatting sqref="A320">
    <cfRule type="containsErrors" dxfId="8" priority="1">
      <formula>ISERROR(A320)</formula>
    </cfRule>
  </conditionalFormatting>
  <conditionalFormatting sqref="A320">
    <cfRule type="containsErrors" dxfId="7" priority="2">
      <formula>ISERROR(A320)</formula>
    </cfRule>
  </conditionalFormatting>
  <pageMargins left="0.7" right="0.7" top="0.75" bottom="0.75" header="0.3" footer="0.3"/>
  <pageSetup paperSize="9" scale="64" orientation="portrait" r:id="rId1"/>
  <rowBreaks count="1" manualBreakCount="1">
    <brk id="270" max="2" man="1"/>
  </rowBreaks>
  <colBreaks count="1" manualBreakCount="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96"/>
  <sheetViews>
    <sheetView workbookViewId="0"/>
  </sheetViews>
  <sheetFormatPr baseColWidth="10" defaultColWidth="11.42578125" defaultRowHeight="12.75" x14ac:dyDescent="0.25"/>
  <cols>
    <col min="1" max="1" width="12.5703125" style="1032" customWidth="1"/>
    <col min="2" max="2" width="10" style="1032" bestFit="1" customWidth="1"/>
    <col min="3" max="3" width="17.42578125" style="133" bestFit="1" customWidth="1"/>
    <col min="4" max="4" width="20.5703125" style="1523" bestFit="1" customWidth="1"/>
    <col min="5" max="5" width="9.28515625" style="133" bestFit="1" customWidth="1"/>
    <col min="6" max="6" width="11.5703125" style="133" bestFit="1" customWidth="1"/>
    <col min="7" max="7" width="19.85546875" style="133" customWidth="1"/>
    <col min="8" max="8" width="8.7109375" style="133" customWidth="1"/>
    <col min="9" max="9" width="20.28515625" style="133" bestFit="1" customWidth="1"/>
    <col min="10" max="10" width="18.5703125" style="133" customWidth="1"/>
    <col min="11" max="11" width="12.42578125" style="133" bestFit="1" customWidth="1"/>
    <col min="12" max="12" width="14.5703125" style="133" customWidth="1"/>
    <col min="13" max="13" width="11.28515625" style="133" customWidth="1"/>
    <col min="14" max="14" width="8.7109375" style="133" customWidth="1"/>
    <col min="15" max="15" width="10.85546875" style="133" customWidth="1"/>
    <col min="16" max="16" width="8.7109375" style="133" customWidth="1"/>
    <col min="17" max="17" width="10.7109375" style="133" customWidth="1"/>
    <col min="18" max="18" width="8.7109375" style="133" customWidth="1"/>
    <col min="19" max="19" width="10.5703125" style="133" customWidth="1"/>
    <col min="20" max="20" width="11.42578125" style="133"/>
    <col min="21" max="21" width="11.42578125" style="133" hidden="1" customWidth="1"/>
    <col min="22" max="22" width="11.42578125" style="133"/>
    <col min="23" max="23" width="22.7109375" style="133" bestFit="1" customWidth="1"/>
    <col min="24" max="24" width="19" style="133" customWidth="1"/>
    <col min="25" max="16384" width="11.42578125" style="133"/>
  </cols>
  <sheetData>
    <row r="1" spans="1:20" ht="13.5" thickBot="1" x14ac:dyDescent="0.3">
      <c r="A1" s="1014" t="s">
        <v>8061</v>
      </c>
      <c r="B1" s="1015" t="s">
        <v>8062</v>
      </c>
      <c r="C1" s="1015" t="s">
        <v>8063</v>
      </c>
      <c r="D1" s="1015" t="s">
        <v>9391</v>
      </c>
      <c r="E1" s="1015" t="s">
        <v>8064</v>
      </c>
      <c r="F1" s="1015" t="s">
        <v>7081</v>
      </c>
      <c r="G1" s="1015" t="s">
        <v>7080</v>
      </c>
      <c r="I1" s="1036" t="s">
        <v>8065</v>
      </c>
      <c r="J1" s="1036" t="s">
        <v>9388</v>
      </c>
    </row>
    <row r="2" spans="1:20" ht="15" x14ac:dyDescent="0.25">
      <c r="A2" s="1016">
        <v>2220</v>
      </c>
      <c r="B2" s="1017">
        <v>5067</v>
      </c>
      <c r="C2" s="1018" t="s">
        <v>8065</v>
      </c>
      <c r="D2" s="1018"/>
      <c r="E2" s="1019">
        <v>400</v>
      </c>
      <c r="F2" s="1025">
        <f t="shared" ref="F2:F8" si="0">+B2-A2</f>
        <v>2847</v>
      </c>
      <c r="G2" s="1020" t="s">
        <v>7089</v>
      </c>
      <c r="H2" s="1037"/>
      <c r="I2" s="1036">
        <v>400</v>
      </c>
      <c r="J2" s="1036">
        <v>400</v>
      </c>
      <c r="K2" s="1039"/>
      <c r="L2" s="1039"/>
      <c r="M2" s="1039"/>
      <c r="N2" s="643"/>
      <c r="O2" s="643"/>
      <c r="P2" s="1040"/>
      <c r="Q2" s="1041"/>
      <c r="R2" s="1041"/>
      <c r="S2" s="1042"/>
      <c r="T2" s="1042"/>
    </row>
    <row r="3" spans="1:20" ht="15" x14ac:dyDescent="0.25">
      <c r="A3" s="1016">
        <v>5067</v>
      </c>
      <c r="B3" s="1017">
        <v>5640</v>
      </c>
      <c r="C3" s="1018" t="s">
        <v>8065</v>
      </c>
      <c r="D3" s="1018"/>
      <c r="E3" s="1019">
        <v>400</v>
      </c>
      <c r="F3" s="1025">
        <f t="shared" si="0"/>
        <v>573</v>
      </c>
      <c r="G3" s="1020" t="s">
        <v>7089</v>
      </c>
      <c r="H3" s="1037"/>
      <c r="I3" s="1036">
        <v>400</v>
      </c>
      <c r="J3" s="1036">
        <v>400</v>
      </c>
      <c r="K3" s="1039"/>
      <c r="L3" s="1039"/>
      <c r="M3" s="1039"/>
      <c r="N3" s="643"/>
      <c r="O3" s="643"/>
      <c r="P3" s="1040"/>
      <c r="Q3" s="1041"/>
      <c r="R3" s="1041"/>
      <c r="S3" s="1042"/>
      <c r="T3" s="1042"/>
    </row>
    <row r="4" spans="1:20" ht="15" x14ac:dyDescent="0.25">
      <c r="A4" s="1650">
        <f>+B2</f>
        <v>5067</v>
      </c>
      <c r="B4" s="1651">
        <v>5640</v>
      </c>
      <c r="C4" s="1018" t="s">
        <v>8065</v>
      </c>
      <c r="D4" s="1023"/>
      <c r="E4" s="1024">
        <v>400</v>
      </c>
      <c r="F4" s="1025">
        <f t="shared" si="0"/>
        <v>573</v>
      </c>
      <c r="G4" s="1026" t="s">
        <v>7089</v>
      </c>
      <c r="H4" s="1037"/>
      <c r="I4" s="1036">
        <v>400</v>
      </c>
      <c r="J4" s="1036">
        <v>400</v>
      </c>
      <c r="K4" s="1039"/>
      <c r="L4" s="1039"/>
      <c r="M4" s="1039"/>
      <c r="N4" s="643"/>
      <c r="O4" s="643"/>
      <c r="P4" s="1040"/>
      <c r="Q4" s="1041"/>
      <c r="R4" s="1041"/>
      <c r="S4" s="1042"/>
      <c r="T4" s="1042"/>
    </row>
    <row r="5" spans="1:20" s="1523" customFormat="1" ht="15" x14ac:dyDescent="0.25">
      <c r="A5" s="1650">
        <f>+B4</f>
        <v>5640</v>
      </c>
      <c r="B5" s="1651">
        <v>5800</v>
      </c>
      <c r="C5" s="1023" t="s">
        <v>7143</v>
      </c>
      <c r="D5" s="1023"/>
      <c r="E5" s="1024">
        <v>400</v>
      </c>
      <c r="F5" s="1025">
        <f t="shared" si="0"/>
        <v>160</v>
      </c>
      <c r="G5" s="1026" t="s">
        <v>7089</v>
      </c>
      <c r="H5" s="1037"/>
      <c r="I5" s="1036"/>
      <c r="J5" s="1036">
        <v>400</v>
      </c>
      <c r="K5" s="1039"/>
      <c r="L5" s="1039"/>
      <c r="M5" s="1039"/>
      <c r="N5" s="643"/>
      <c r="O5" s="643"/>
      <c r="P5" s="1040"/>
      <c r="Q5" s="1041"/>
      <c r="R5" s="1041"/>
      <c r="S5" s="1042"/>
      <c r="T5" s="1042"/>
    </row>
    <row r="6" spans="1:20" ht="15" x14ac:dyDescent="0.25">
      <c r="A6" s="1650">
        <f t="shared" ref="A6:A13" si="1">+B5</f>
        <v>5800</v>
      </c>
      <c r="B6" s="1022">
        <v>6433</v>
      </c>
      <c r="C6" s="1023" t="s">
        <v>8065</v>
      </c>
      <c r="D6" s="1023"/>
      <c r="E6" s="1024">
        <v>400</v>
      </c>
      <c r="F6" s="1025">
        <f t="shared" si="0"/>
        <v>633</v>
      </c>
      <c r="G6" s="1026" t="s">
        <v>7089</v>
      </c>
      <c r="H6" s="1037"/>
      <c r="I6" s="1036">
        <v>400</v>
      </c>
      <c r="J6" s="1036">
        <v>400</v>
      </c>
      <c r="K6" s="1039"/>
      <c r="L6" s="1039"/>
      <c r="M6" s="1039"/>
      <c r="N6" s="643"/>
      <c r="O6" s="643"/>
      <c r="P6" s="1040"/>
      <c r="Q6" s="1041"/>
      <c r="R6" s="1041"/>
      <c r="S6" s="1042"/>
      <c r="T6" s="1042"/>
    </row>
    <row r="7" spans="1:20" ht="15" x14ac:dyDescent="0.25">
      <c r="A7" s="1650">
        <f t="shared" si="1"/>
        <v>6433</v>
      </c>
      <c r="B7" s="1022">
        <v>6496</v>
      </c>
      <c r="C7" s="1023" t="s">
        <v>7143</v>
      </c>
      <c r="D7" s="1023"/>
      <c r="E7" s="1024">
        <v>400</v>
      </c>
      <c r="F7" s="1025">
        <f t="shared" si="0"/>
        <v>63</v>
      </c>
      <c r="G7" s="1026" t="s">
        <v>7089</v>
      </c>
      <c r="H7" s="1037"/>
      <c r="I7" s="1036">
        <v>400</v>
      </c>
      <c r="J7" s="1036">
        <v>400</v>
      </c>
      <c r="K7" s="1039"/>
      <c r="L7" s="1039"/>
      <c r="M7" s="1039"/>
      <c r="N7" s="643"/>
      <c r="O7" s="643"/>
      <c r="P7" s="1040"/>
      <c r="Q7" s="1041"/>
      <c r="R7" s="1041"/>
      <c r="S7" s="1042"/>
      <c r="T7" s="1042"/>
    </row>
    <row r="8" spans="1:20" ht="15" x14ac:dyDescent="0.25">
      <c r="A8" s="1650">
        <f t="shared" si="1"/>
        <v>6496</v>
      </c>
      <c r="B8" s="1022">
        <v>6550</v>
      </c>
      <c r="C8" s="1023" t="s">
        <v>7143</v>
      </c>
      <c r="D8" s="1023"/>
      <c r="E8" s="1024">
        <v>400</v>
      </c>
      <c r="F8" s="1025">
        <f t="shared" si="0"/>
        <v>54</v>
      </c>
      <c r="G8" s="1026" t="s">
        <v>8066</v>
      </c>
      <c r="H8" s="1037"/>
      <c r="I8" s="1036">
        <v>400</v>
      </c>
      <c r="J8" s="1036">
        <v>400</v>
      </c>
      <c r="K8" s="1039"/>
      <c r="L8" s="1039"/>
      <c r="M8" s="1039"/>
      <c r="N8" s="643"/>
      <c r="O8" s="643"/>
      <c r="P8" s="1040"/>
      <c r="Q8" s="1041"/>
      <c r="R8" s="1041"/>
      <c r="S8" s="1042"/>
      <c r="T8" s="1042"/>
    </row>
    <row r="9" spans="1:20" ht="15" x14ac:dyDescent="0.25">
      <c r="A9" s="1650">
        <f t="shared" si="1"/>
        <v>6550</v>
      </c>
      <c r="B9" s="1022">
        <v>10660</v>
      </c>
      <c r="C9" s="1023" t="s">
        <v>8065</v>
      </c>
      <c r="D9" s="1023"/>
      <c r="E9" s="1024">
        <v>400</v>
      </c>
      <c r="F9" s="1025">
        <f t="shared" ref="F9:F12" si="2">+B9-A9</f>
        <v>4110</v>
      </c>
      <c r="G9" s="1026" t="s">
        <v>7089</v>
      </c>
      <c r="H9" s="1037"/>
      <c r="I9" s="1036">
        <v>400</v>
      </c>
      <c r="J9" s="1036">
        <v>400</v>
      </c>
      <c r="K9" s="1039"/>
      <c r="L9" s="1039"/>
      <c r="M9" s="1039"/>
      <c r="N9" s="643"/>
      <c r="O9" s="643"/>
      <c r="P9" s="1040"/>
      <c r="Q9" s="1041"/>
      <c r="R9" s="1041"/>
      <c r="S9" s="1042"/>
      <c r="T9" s="1042"/>
    </row>
    <row r="10" spans="1:20" ht="15" x14ac:dyDescent="0.25">
      <c r="A10" s="1650">
        <f t="shared" si="1"/>
        <v>10660</v>
      </c>
      <c r="B10" s="1022">
        <v>10750</v>
      </c>
      <c r="C10" s="1023" t="s">
        <v>8067</v>
      </c>
      <c r="D10" s="1023"/>
      <c r="E10" s="1024">
        <v>400</v>
      </c>
      <c r="F10" s="1025">
        <f t="shared" si="2"/>
        <v>90</v>
      </c>
      <c r="G10" s="1026" t="s">
        <v>7089</v>
      </c>
      <c r="H10" s="1037"/>
      <c r="I10" s="1036">
        <v>400</v>
      </c>
      <c r="J10" s="1036">
        <v>400</v>
      </c>
      <c r="K10" s="1039"/>
      <c r="L10" s="1039"/>
      <c r="M10" s="1039"/>
      <c r="N10" s="643"/>
      <c r="O10" s="643"/>
      <c r="P10" s="1040"/>
      <c r="Q10" s="1041"/>
      <c r="R10" s="1041"/>
      <c r="S10" s="1042"/>
      <c r="T10" s="1042"/>
    </row>
    <row r="11" spans="1:20" ht="15" x14ac:dyDescent="0.25">
      <c r="A11" s="1650">
        <f t="shared" si="1"/>
        <v>10750</v>
      </c>
      <c r="B11" s="1022">
        <v>11340</v>
      </c>
      <c r="C11" s="1023" t="s">
        <v>8065</v>
      </c>
      <c r="D11" s="1023"/>
      <c r="E11" s="1024">
        <v>400</v>
      </c>
      <c r="F11" s="1025">
        <f t="shared" si="2"/>
        <v>590</v>
      </c>
      <c r="G11" s="1026" t="s">
        <v>7089</v>
      </c>
      <c r="H11" s="1037"/>
      <c r="I11" s="1036">
        <v>400</v>
      </c>
      <c r="J11" s="1036">
        <v>400</v>
      </c>
      <c r="K11" s="1043"/>
      <c r="L11" s="1039"/>
      <c r="M11" s="1039"/>
      <c r="N11" s="643"/>
      <c r="O11" s="643"/>
      <c r="P11" s="1040"/>
      <c r="Q11" s="1041"/>
      <c r="R11" s="1041"/>
      <c r="S11" s="1042"/>
      <c r="T11" s="1042"/>
    </row>
    <row r="12" spans="1:20" ht="15" x14ac:dyDescent="0.25">
      <c r="A12" s="1650">
        <f t="shared" si="1"/>
        <v>11340</v>
      </c>
      <c r="B12" s="1022">
        <v>11440</v>
      </c>
      <c r="C12" s="1023" t="s">
        <v>8067</v>
      </c>
      <c r="D12" s="1023"/>
      <c r="E12" s="1024">
        <v>400</v>
      </c>
      <c r="F12" s="1025">
        <f t="shared" si="2"/>
        <v>100</v>
      </c>
      <c r="G12" s="1026" t="s">
        <v>7089</v>
      </c>
      <c r="H12" s="1037"/>
      <c r="I12" s="1036">
        <v>400</v>
      </c>
      <c r="J12" s="1036">
        <v>400</v>
      </c>
      <c r="K12" s="1039"/>
      <c r="L12" s="1039"/>
      <c r="M12" s="1039"/>
      <c r="N12" s="643"/>
      <c r="O12" s="643"/>
      <c r="P12" s="1040"/>
      <c r="Q12" s="1041"/>
      <c r="R12" s="1041"/>
      <c r="S12" s="1042"/>
      <c r="T12" s="1042"/>
    </row>
    <row r="13" spans="1:20" ht="15" x14ac:dyDescent="0.25">
      <c r="A13" s="1650">
        <f t="shared" si="1"/>
        <v>11440</v>
      </c>
      <c r="B13" s="1027">
        <v>15932.2</v>
      </c>
      <c r="C13" s="1023" t="s">
        <v>8065</v>
      </c>
      <c r="D13" s="1023"/>
      <c r="E13" s="1024">
        <v>400</v>
      </c>
      <c r="F13" s="1025">
        <f>+B13-A13</f>
        <v>4492.2000000000007</v>
      </c>
      <c r="G13" s="1026" t="s">
        <v>7089</v>
      </c>
      <c r="H13" s="1037"/>
      <c r="I13" s="1036">
        <v>400</v>
      </c>
      <c r="J13" s="1036">
        <v>400</v>
      </c>
      <c r="K13" s="1043"/>
      <c r="L13" s="1039"/>
      <c r="M13" s="1039"/>
      <c r="N13" s="643"/>
      <c r="O13" s="643"/>
      <c r="P13" s="1040"/>
      <c r="Q13" s="1041"/>
      <c r="R13" s="1041"/>
      <c r="S13" s="1042"/>
      <c r="T13" s="1042"/>
    </row>
    <row r="14" spans="1:20" ht="15" x14ac:dyDescent="0.25">
      <c r="A14" s="1640" t="s">
        <v>8071</v>
      </c>
      <c r="B14" s="1641"/>
      <c r="C14" s="1642"/>
      <c r="D14" s="1642"/>
      <c r="E14" s="1643"/>
      <c r="F14" s="1644"/>
      <c r="G14" s="1645"/>
      <c r="H14" s="1037"/>
      <c r="I14" s="1036"/>
      <c r="J14" s="1036"/>
      <c r="K14" s="1039"/>
      <c r="L14" s="1039"/>
      <c r="M14" s="643"/>
      <c r="N14" s="1040"/>
      <c r="O14" s="1041"/>
      <c r="P14" s="1041"/>
      <c r="Q14" s="1042"/>
      <c r="R14" s="1042"/>
    </row>
    <row r="15" spans="1:20" ht="15" x14ac:dyDescent="0.25">
      <c r="A15" s="1021">
        <f>+B13</f>
        <v>15932.2</v>
      </c>
      <c r="B15" s="1022">
        <v>16132</v>
      </c>
      <c r="C15" s="1023" t="s">
        <v>8065</v>
      </c>
      <c r="D15" s="1023"/>
      <c r="E15" s="1024">
        <v>350</v>
      </c>
      <c r="F15" s="1025">
        <f>+B15-A15</f>
        <v>199.79999999999927</v>
      </c>
      <c r="G15" s="1026" t="s">
        <v>7089</v>
      </c>
      <c r="H15" s="1037"/>
      <c r="I15" s="1036">
        <v>350</v>
      </c>
      <c r="J15" s="1036">
        <v>350</v>
      </c>
      <c r="K15" s="1039"/>
      <c r="L15" s="1039"/>
      <c r="M15" s="643"/>
      <c r="N15" s="1040"/>
      <c r="O15" s="1041"/>
      <c r="P15" s="1041"/>
      <c r="Q15" s="1042"/>
      <c r="R15" s="1042"/>
    </row>
    <row r="16" spans="1:20" ht="15" x14ac:dyDescent="0.25">
      <c r="A16" s="1021">
        <f>+B15</f>
        <v>16132</v>
      </c>
      <c r="B16" s="1022">
        <v>16389</v>
      </c>
      <c r="C16" s="1023" t="s">
        <v>8065</v>
      </c>
      <c r="D16" s="1023"/>
      <c r="E16" s="1024">
        <v>250</v>
      </c>
      <c r="F16" s="1025">
        <f>+B16-A16</f>
        <v>257</v>
      </c>
      <c r="G16" s="1026" t="s">
        <v>7089</v>
      </c>
      <c r="H16" s="1037"/>
      <c r="I16" s="1036">
        <v>250</v>
      </c>
      <c r="J16" s="1036">
        <v>250</v>
      </c>
      <c r="K16" s="1044"/>
      <c r="L16" s="1039"/>
      <c r="M16" s="643"/>
      <c r="N16" s="1040"/>
      <c r="O16" s="1041"/>
      <c r="P16" s="1041"/>
      <c r="Q16" s="1042"/>
      <c r="R16" s="1042"/>
    </row>
    <row r="17" spans="1:18" ht="15" x14ac:dyDescent="0.25">
      <c r="A17" s="1021">
        <f t="shared" ref="A17:A18" si="3">+B16</f>
        <v>16389</v>
      </c>
      <c r="B17" s="1022">
        <v>16407</v>
      </c>
      <c r="C17" s="1023" t="s">
        <v>7143</v>
      </c>
      <c r="D17" s="1023"/>
      <c r="E17" s="1024">
        <v>250</v>
      </c>
      <c r="F17" s="1025">
        <f>+B17-A17</f>
        <v>18</v>
      </c>
      <c r="G17" s="1026" t="s">
        <v>7089</v>
      </c>
      <c r="H17" s="1037"/>
      <c r="I17" s="1036"/>
      <c r="J17" s="1036">
        <v>250</v>
      </c>
      <c r="K17" s="1039"/>
      <c r="L17" s="1039"/>
      <c r="M17" s="643"/>
      <c r="N17" s="1040"/>
      <c r="O17" s="1041"/>
      <c r="P17" s="1041"/>
      <c r="Q17" s="1042"/>
      <c r="R17" s="1042"/>
    </row>
    <row r="18" spans="1:18" ht="15" x14ac:dyDescent="0.25">
      <c r="A18" s="1021">
        <f t="shared" si="3"/>
        <v>16407</v>
      </c>
      <c r="B18" s="1022">
        <v>16972</v>
      </c>
      <c r="C18" s="1023" t="s">
        <v>8065</v>
      </c>
      <c r="D18" s="1023"/>
      <c r="E18" s="1024">
        <v>250</v>
      </c>
      <c r="F18" s="1025">
        <f>+B18-A18</f>
        <v>565</v>
      </c>
      <c r="G18" s="1026" t="s">
        <v>7089</v>
      </c>
      <c r="H18" s="1037"/>
      <c r="I18" s="1036">
        <v>250</v>
      </c>
      <c r="J18" s="1036">
        <v>250</v>
      </c>
      <c r="K18" s="1039"/>
      <c r="L18" s="1039"/>
      <c r="M18" s="643"/>
      <c r="N18" s="1040"/>
      <c r="O18" s="1041"/>
      <c r="P18" s="1041"/>
      <c r="Q18" s="1042"/>
      <c r="R18" s="1042"/>
    </row>
    <row r="19" spans="1:18" ht="15" x14ac:dyDescent="0.25">
      <c r="A19" s="1021"/>
      <c r="B19" s="1022"/>
      <c r="C19" s="1023" t="s">
        <v>7143</v>
      </c>
      <c r="D19" s="1023"/>
      <c r="E19" s="1024">
        <v>250</v>
      </c>
      <c r="F19" s="1025">
        <v>132</v>
      </c>
      <c r="G19" s="1026" t="s">
        <v>8066</v>
      </c>
      <c r="H19" s="1037"/>
      <c r="I19" s="1036"/>
      <c r="J19" s="1036">
        <v>250</v>
      </c>
      <c r="K19" s="1039"/>
      <c r="L19" s="1039"/>
      <c r="M19" s="643"/>
      <c r="N19" s="1040"/>
      <c r="O19" s="1041"/>
      <c r="P19" s="1041"/>
      <c r="Q19" s="1042"/>
      <c r="R19" s="1042"/>
    </row>
    <row r="20" spans="1:18" ht="15" x14ac:dyDescent="0.25">
      <c r="A20" s="1021">
        <v>17980</v>
      </c>
      <c r="B20" s="1022">
        <v>18300</v>
      </c>
      <c r="C20" s="1023" t="s">
        <v>8065</v>
      </c>
      <c r="D20" s="1023"/>
      <c r="E20" s="1024">
        <v>250</v>
      </c>
      <c r="F20" s="1025">
        <f>+B20-A20</f>
        <v>320</v>
      </c>
      <c r="G20" s="1026" t="s">
        <v>7089</v>
      </c>
      <c r="H20" s="1037"/>
      <c r="I20" s="1036">
        <v>250</v>
      </c>
      <c r="J20" s="1036">
        <v>250</v>
      </c>
      <c r="K20" s="1039"/>
      <c r="L20" s="1039"/>
      <c r="M20" s="643"/>
      <c r="N20" s="1040"/>
      <c r="O20" s="1041"/>
      <c r="P20" s="1041"/>
      <c r="Q20" s="1042"/>
      <c r="R20" s="1042"/>
    </row>
    <row r="21" spans="1:18" ht="15" x14ac:dyDescent="0.25">
      <c r="A21" s="1640" t="s">
        <v>8072</v>
      </c>
      <c r="B21" s="1646"/>
      <c r="C21" s="1642"/>
      <c r="D21" s="1642"/>
      <c r="E21" s="1643"/>
      <c r="F21" s="1644"/>
      <c r="G21" s="1645"/>
      <c r="H21" s="1037"/>
      <c r="I21" s="1036"/>
      <c r="J21" s="1036"/>
      <c r="K21" s="1039"/>
      <c r="L21" s="1039"/>
      <c r="M21" s="643"/>
      <c r="N21" s="1040"/>
      <c r="O21" s="1041"/>
      <c r="P21" s="1041"/>
      <c r="Q21" s="1042"/>
      <c r="R21" s="1042"/>
    </row>
    <row r="22" spans="1:18" ht="15" x14ac:dyDescent="0.25">
      <c r="A22" s="1021">
        <v>18316</v>
      </c>
      <c r="B22" s="1022">
        <v>18815</v>
      </c>
      <c r="C22" s="1023" t="s">
        <v>7143</v>
      </c>
      <c r="D22" s="1026" t="s">
        <v>7142</v>
      </c>
      <c r="E22" s="1024">
        <v>350</v>
      </c>
      <c r="F22" s="1025">
        <f t="shared" ref="F22:F28" si="4">+B22-A22</f>
        <v>499</v>
      </c>
      <c r="G22" s="1026" t="s">
        <v>7089</v>
      </c>
      <c r="H22" s="1037"/>
      <c r="I22" s="1036">
        <v>250</v>
      </c>
      <c r="J22" s="1036">
        <v>350</v>
      </c>
      <c r="K22" s="1039"/>
      <c r="L22" s="1039"/>
      <c r="M22" s="643"/>
      <c r="N22" s="1040"/>
      <c r="O22" s="1041"/>
      <c r="P22" s="1041"/>
      <c r="Q22" s="1042"/>
      <c r="R22" s="1042"/>
    </row>
    <row r="23" spans="1:18" ht="15" x14ac:dyDescent="0.25">
      <c r="A23" s="1021">
        <f>+B22</f>
        <v>18815</v>
      </c>
      <c r="B23" s="1022">
        <v>20488</v>
      </c>
      <c r="C23" s="1023" t="s">
        <v>8065</v>
      </c>
      <c r="D23" s="1023"/>
      <c r="E23" s="1024">
        <v>250</v>
      </c>
      <c r="F23" s="1025">
        <f t="shared" si="4"/>
        <v>1673</v>
      </c>
      <c r="G23" s="1026" t="s">
        <v>7089</v>
      </c>
      <c r="H23" s="1037"/>
      <c r="I23" s="1036">
        <v>250</v>
      </c>
      <c r="J23" s="1036">
        <v>250</v>
      </c>
      <c r="K23" s="1039"/>
      <c r="L23" s="1039"/>
      <c r="M23" s="643"/>
      <c r="N23" s="1040"/>
      <c r="O23" s="1041"/>
      <c r="P23" s="1041"/>
      <c r="Q23" s="1042"/>
      <c r="R23" s="1042"/>
    </row>
    <row r="24" spans="1:18" s="1523" customFormat="1" ht="15" x14ac:dyDescent="0.25">
      <c r="A24" s="1021">
        <f>+B23</f>
        <v>20488</v>
      </c>
      <c r="B24" s="1022">
        <v>20500</v>
      </c>
      <c r="C24" s="1023" t="s">
        <v>7143</v>
      </c>
      <c r="D24" s="1023"/>
      <c r="E24" s="1024">
        <v>250</v>
      </c>
      <c r="F24" s="1025">
        <f t="shared" si="4"/>
        <v>12</v>
      </c>
      <c r="G24" s="1026"/>
      <c r="H24" s="1037"/>
      <c r="I24" s="1036"/>
      <c r="J24" s="1036">
        <v>250</v>
      </c>
      <c r="K24" s="1039"/>
      <c r="L24" s="1039"/>
      <c r="M24" s="643"/>
      <c r="N24" s="1040"/>
      <c r="O24" s="1041"/>
      <c r="P24" s="1041"/>
      <c r="Q24" s="1042"/>
      <c r="R24" s="1042"/>
    </row>
    <row r="25" spans="1:18" ht="15" x14ac:dyDescent="0.25">
      <c r="A25" s="1021">
        <f>+B24</f>
        <v>20500</v>
      </c>
      <c r="B25" s="1022">
        <v>20532</v>
      </c>
      <c r="C25" s="1023" t="s">
        <v>8065</v>
      </c>
      <c r="D25" s="1023"/>
      <c r="E25" s="1024">
        <v>350</v>
      </c>
      <c r="F25" s="1025">
        <f t="shared" si="4"/>
        <v>32</v>
      </c>
      <c r="G25" s="1026" t="s">
        <v>7089</v>
      </c>
      <c r="H25" s="1037"/>
      <c r="I25" s="1036">
        <v>350</v>
      </c>
      <c r="J25" s="1036">
        <v>350</v>
      </c>
      <c r="K25" s="1039"/>
      <c r="L25" s="1039"/>
      <c r="M25" s="643"/>
      <c r="N25" s="1040"/>
      <c r="O25" s="1041"/>
      <c r="P25" s="1041"/>
      <c r="Q25" s="1042"/>
      <c r="R25" s="1042"/>
    </row>
    <row r="26" spans="1:18" ht="15" x14ac:dyDescent="0.25">
      <c r="A26" s="1021">
        <f t="shared" ref="A26:A50" si="5">+B25</f>
        <v>20532</v>
      </c>
      <c r="B26" s="1022">
        <v>20817</v>
      </c>
      <c r="C26" s="1023" t="s">
        <v>8067</v>
      </c>
      <c r="D26" s="1023"/>
      <c r="E26" s="1024">
        <v>350</v>
      </c>
      <c r="F26" s="1025">
        <f t="shared" si="4"/>
        <v>285</v>
      </c>
      <c r="G26" s="1026" t="s">
        <v>7089</v>
      </c>
      <c r="H26" s="1037"/>
      <c r="I26" s="1036">
        <v>350</v>
      </c>
      <c r="J26" s="1036">
        <v>350</v>
      </c>
      <c r="K26" s="1039"/>
      <c r="L26" s="1039"/>
      <c r="M26" s="643"/>
      <c r="N26" s="1040"/>
      <c r="O26" s="1041"/>
      <c r="P26" s="1041"/>
      <c r="Q26" s="1042"/>
      <c r="R26" s="1042"/>
    </row>
    <row r="27" spans="1:18" ht="15" x14ac:dyDescent="0.25">
      <c r="A27" s="1021">
        <f t="shared" si="5"/>
        <v>20817</v>
      </c>
      <c r="B27" s="1022">
        <v>21156</v>
      </c>
      <c r="C27" s="1023" t="s">
        <v>8065</v>
      </c>
      <c r="D27" s="1023"/>
      <c r="E27" s="1024">
        <v>350</v>
      </c>
      <c r="F27" s="1025">
        <f t="shared" si="4"/>
        <v>339</v>
      </c>
      <c r="G27" s="1026" t="s">
        <v>7089</v>
      </c>
      <c r="H27" s="1037"/>
      <c r="I27" s="1036">
        <v>350</v>
      </c>
      <c r="J27" s="1036">
        <v>350</v>
      </c>
      <c r="K27" s="1044"/>
      <c r="L27" s="1039"/>
      <c r="M27" s="643"/>
      <c r="N27" s="1040"/>
      <c r="O27" s="1041"/>
      <c r="P27" s="1041"/>
      <c r="Q27" s="1042"/>
      <c r="R27" s="1042"/>
    </row>
    <row r="28" spans="1:18" s="1523" customFormat="1" ht="15" x14ac:dyDescent="0.25">
      <c r="A28" s="1021">
        <v>21156</v>
      </c>
      <c r="B28" s="1022">
        <v>21168</v>
      </c>
      <c r="C28" s="1023" t="s">
        <v>8067</v>
      </c>
      <c r="D28" s="1023"/>
      <c r="E28" s="1024">
        <v>350</v>
      </c>
      <c r="F28" s="1025">
        <f t="shared" si="4"/>
        <v>12</v>
      </c>
      <c r="G28" s="1026" t="s">
        <v>7089</v>
      </c>
      <c r="H28" s="1037"/>
      <c r="I28" s="1036">
        <v>350</v>
      </c>
      <c r="J28" s="1036">
        <v>350</v>
      </c>
      <c r="K28" s="1631"/>
      <c r="L28" s="1039"/>
      <c r="M28" s="643"/>
      <c r="N28" s="1040"/>
      <c r="O28" s="1041"/>
      <c r="P28" s="1041"/>
      <c r="Q28" s="1042"/>
      <c r="R28" s="1042"/>
    </row>
    <row r="29" spans="1:18" ht="15" x14ac:dyDescent="0.25">
      <c r="A29" s="1640" t="s">
        <v>8073</v>
      </c>
      <c r="B29" s="1646"/>
      <c r="C29" s="1642"/>
      <c r="D29" s="1642"/>
      <c r="E29" s="1643"/>
      <c r="F29" s="1644"/>
      <c r="G29" s="1645"/>
      <c r="H29" s="1037"/>
      <c r="I29" s="1036"/>
      <c r="J29" s="1036"/>
      <c r="K29" s="1044"/>
      <c r="L29" s="1039"/>
      <c r="M29" s="643"/>
      <c r="N29" s="1040"/>
      <c r="O29" s="1041"/>
      <c r="P29" s="1041"/>
      <c r="Q29" s="1042"/>
      <c r="R29" s="1042"/>
    </row>
    <row r="30" spans="1:18" ht="15" x14ac:dyDescent="0.25">
      <c r="A30" s="1021">
        <v>21182</v>
      </c>
      <c r="B30" s="1022">
        <v>21192</v>
      </c>
      <c r="C30" s="1023" t="s">
        <v>8067</v>
      </c>
      <c r="D30" s="1023"/>
      <c r="E30" s="1024">
        <v>350</v>
      </c>
      <c r="F30" s="1025">
        <f>+B30-A30</f>
        <v>10</v>
      </c>
      <c r="G30" s="1026" t="s">
        <v>7089</v>
      </c>
      <c r="H30" s="1037"/>
      <c r="I30" s="1036">
        <v>350</v>
      </c>
      <c r="J30" s="1036">
        <v>350</v>
      </c>
      <c r="K30" s="1039"/>
      <c r="L30" s="1039"/>
      <c r="M30" s="643"/>
      <c r="N30" s="1040"/>
      <c r="O30" s="1041"/>
      <c r="P30" s="1041"/>
      <c r="Q30" s="1042"/>
      <c r="R30" s="1042"/>
    </row>
    <row r="31" spans="1:18" ht="15" x14ac:dyDescent="0.25">
      <c r="A31" s="1021">
        <f t="shared" si="5"/>
        <v>21192</v>
      </c>
      <c r="B31" s="1022">
        <v>21820.45</v>
      </c>
      <c r="C31" s="1023" t="s">
        <v>8065</v>
      </c>
      <c r="D31" s="1023"/>
      <c r="E31" s="1024">
        <v>350</v>
      </c>
      <c r="F31" s="1025">
        <f>+B31-A31</f>
        <v>628.45000000000073</v>
      </c>
      <c r="G31" s="1026" t="s">
        <v>7089</v>
      </c>
      <c r="H31" s="1037"/>
      <c r="I31" s="1036">
        <v>350</v>
      </c>
      <c r="J31" s="1036">
        <v>350</v>
      </c>
      <c r="K31" s="1039"/>
      <c r="L31" s="1039"/>
      <c r="M31" s="643"/>
      <c r="N31" s="1040"/>
      <c r="O31" s="1041"/>
      <c r="P31" s="1041"/>
      <c r="Q31" s="1042"/>
      <c r="R31" s="1042"/>
    </row>
    <row r="32" spans="1:18" ht="15" x14ac:dyDescent="0.25">
      <c r="A32" s="1021">
        <f t="shared" si="5"/>
        <v>21820.45</v>
      </c>
      <c r="B32" s="1022">
        <v>22400</v>
      </c>
      <c r="C32" s="1023" t="s">
        <v>8065</v>
      </c>
      <c r="D32" s="1023"/>
      <c r="E32" s="1024">
        <v>250</v>
      </c>
      <c r="F32" s="1025">
        <f>+B32-A32</f>
        <v>579.54999999999927</v>
      </c>
      <c r="G32" s="1026" t="s">
        <v>7089</v>
      </c>
      <c r="H32" s="1037"/>
      <c r="I32" s="1036">
        <v>250</v>
      </c>
      <c r="J32" s="1036">
        <v>250</v>
      </c>
      <c r="K32" s="1039"/>
      <c r="L32" s="1039"/>
      <c r="M32" s="643"/>
      <c r="N32" s="1040"/>
      <c r="O32" s="1041"/>
      <c r="P32" s="1041"/>
      <c r="Q32" s="1042"/>
      <c r="R32" s="1042"/>
    </row>
    <row r="33" spans="1:18" ht="15" x14ac:dyDescent="0.25">
      <c r="A33" s="1021">
        <f t="shared" si="5"/>
        <v>22400</v>
      </c>
      <c r="B33" s="1022">
        <v>22985</v>
      </c>
      <c r="C33" s="1023" t="s">
        <v>7143</v>
      </c>
      <c r="D33" s="1026" t="s">
        <v>7142</v>
      </c>
      <c r="E33" s="1024">
        <v>350</v>
      </c>
      <c r="F33" s="1025">
        <f>+B33-A33</f>
        <v>585</v>
      </c>
      <c r="G33" s="1026" t="s">
        <v>7089</v>
      </c>
      <c r="H33" s="1037"/>
      <c r="I33" s="1036">
        <v>250</v>
      </c>
      <c r="J33" s="1036">
        <v>350</v>
      </c>
      <c r="K33" s="1039"/>
      <c r="L33" s="1039"/>
      <c r="M33" s="643"/>
      <c r="N33" s="1040"/>
      <c r="O33" s="1041"/>
      <c r="P33" s="1041"/>
      <c r="Q33" s="1042"/>
      <c r="R33" s="1042"/>
    </row>
    <row r="34" spans="1:18" s="1523" customFormat="1" ht="15" x14ac:dyDescent="0.25">
      <c r="A34" s="1640" t="s">
        <v>9389</v>
      </c>
      <c r="B34" s="1646"/>
      <c r="C34" s="1642"/>
      <c r="D34" s="1642"/>
      <c r="E34" s="1643"/>
      <c r="F34" s="1644"/>
      <c r="G34" s="1645"/>
      <c r="H34" s="1037"/>
      <c r="I34" s="1036"/>
      <c r="J34" s="1036"/>
      <c r="K34" s="1039"/>
      <c r="L34" s="1039"/>
      <c r="M34" s="643"/>
      <c r="N34" s="1040"/>
      <c r="O34" s="1041"/>
      <c r="P34" s="1041"/>
      <c r="Q34" s="1042"/>
      <c r="R34" s="1042"/>
    </row>
    <row r="35" spans="1:18" ht="15" x14ac:dyDescent="0.25">
      <c r="A35" s="1021">
        <v>23000</v>
      </c>
      <c r="B35" s="1022">
        <v>24017</v>
      </c>
      <c r="C35" s="1023" t="s">
        <v>8067</v>
      </c>
      <c r="D35" s="1023"/>
      <c r="E35" s="1024">
        <v>350</v>
      </c>
      <c r="F35" s="1025">
        <f>+B35-A35</f>
        <v>1017</v>
      </c>
      <c r="G35" s="1026" t="s">
        <v>7089</v>
      </c>
      <c r="H35" s="1037"/>
      <c r="I35" s="1036">
        <v>350</v>
      </c>
      <c r="J35" s="1036">
        <v>350</v>
      </c>
      <c r="K35" s="1039"/>
      <c r="L35" s="1039"/>
      <c r="M35" s="643"/>
      <c r="N35" s="1040"/>
      <c r="O35" s="1041"/>
      <c r="P35" s="1041"/>
      <c r="Q35" s="1042"/>
      <c r="R35" s="1042"/>
    </row>
    <row r="36" spans="1:18" ht="15" x14ac:dyDescent="0.25">
      <c r="A36" s="1021">
        <f t="shared" si="5"/>
        <v>24017</v>
      </c>
      <c r="B36" s="1022">
        <v>25600</v>
      </c>
      <c r="C36" s="1023" t="s">
        <v>7143</v>
      </c>
      <c r="D36" s="1026" t="s">
        <v>7142</v>
      </c>
      <c r="E36" s="1024">
        <v>350</v>
      </c>
      <c r="F36" s="1025">
        <f>+B36-A36</f>
        <v>1583</v>
      </c>
      <c r="G36" s="1026" t="s">
        <v>7089</v>
      </c>
      <c r="H36" s="1037"/>
      <c r="I36" s="1036">
        <v>250</v>
      </c>
      <c r="J36" s="1036">
        <v>350</v>
      </c>
      <c r="K36" s="1039"/>
      <c r="L36" s="1039"/>
      <c r="M36" s="643"/>
      <c r="N36" s="1040"/>
      <c r="O36" s="1041"/>
      <c r="P36" s="1041"/>
      <c r="Q36" s="1042"/>
      <c r="R36" s="1042"/>
    </row>
    <row r="37" spans="1:18" s="1523" customFormat="1" ht="15" x14ac:dyDescent="0.25">
      <c r="A37" s="1640" t="s">
        <v>9390</v>
      </c>
      <c r="B37" s="1646"/>
      <c r="C37" s="1642"/>
      <c r="D37" s="1642"/>
      <c r="E37" s="1643"/>
      <c r="F37" s="1644"/>
      <c r="G37" s="1645"/>
      <c r="H37" s="1037"/>
      <c r="I37" s="1036"/>
      <c r="J37" s="1036"/>
      <c r="K37" s="1039"/>
      <c r="L37" s="1039"/>
      <c r="M37" s="643"/>
      <c r="N37" s="1040"/>
      <c r="O37" s="1041"/>
      <c r="P37" s="1041"/>
      <c r="Q37" s="1042"/>
      <c r="R37" s="1042"/>
    </row>
    <row r="38" spans="1:18" ht="15" x14ac:dyDescent="0.25">
      <c r="A38" s="1021">
        <v>25619</v>
      </c>
      <c r="B38" s="1022">
        <v>26296</v>
      </c>
      <c r="C38" s="1023" t="s">
        <v>7143</v>
      </c>
      <c r="D38" s="1026" t="s">
        <v>7142</v>
      </c>
      <c r="E38" s="1024">
        <v>350</v>
      </c>
      <c r="F38" s="1025">
        <f t="shared" ref="F38:F46" si="6">+B38-A38</f>
        <v>677</v>
      </c>
      <c r="G38" s="1026" t="s">
        <v>7089</v>
      </c>
      <c r="H38" s="1037"/>
      <c r="I38" s="1036">
        <v>250</v>
      </c>
      <c r="J38" s="1036">
        <v>350</v>
      </c>
      <c r="K38" s="1039"/>
      <c r="L38" s="1039"/>
      <c r="M38" s="643"/>
      <c r="N38" s="1040"/>
      <c r="O38" s="1041"/>
      <c r="P38" s="1041"/>
      <c r="Q38" s="1042"/>
      <c r="R38" s="1042"/>
    </row>
    <row r="39" spans="1:18" ht="15" x14ac:dyDescent="0.25">
      <c r="A39" s="1021">
        <f>+B38</f>
        <v>26296</v>
      </c>
      <c r="B39" s="1022">
        <v>26325</v>
      </c>
      <c r="C39" s="1023" t="s">
        <v>7143</v>
      </c>
      <c r="D39" s="1026" t="s">
        <v>7142</v>
      </c>
      <c r="E39" s="1024">
        <v>350</v>
      </c>
      <c r="F39" s="1025">
        <f t="shared" si="6"/>
        <v>29</v>
      </c>
      <c r="G39" s="1026" t="s">
        <v>7089</v>
      </c>
      <c r="H39" s="1037"/>
      <c r="I39" s="1036">
        <v>250</v>
      </c>
      <c r="J39" s="1036">
        <v>350</v>
      </c>
      <c r="K39" s="1044"/>
      <c r="L39" s="1039"/>
      <c r="M39" s="643"/>
      <c r="N39" s="1040"/>
      <c r="O39" s="1041"/>
      <c r="P39" s="1041"/>
      <c r="Q39" s="1042"/>
      <c r="R39" s="1042"/>
    </row>
    <row r="40" spans="1:18" s="1523" customFormat="1" ht="15" x14ac:dyDescent="0.25">
      <c r="A40" s="1021">
        <f t="shared" ref="A40:A43" si="7">+B39</f>
        <v>26325</v>
      </c>
      <c r="B40" s="1022">
        <v>27700</v>
      </c>
      <c r="C40" s="1023" t="s">
        <v>8067</v>
      </c>
      <c r="D40" s="1023"/>
      <c r="E40" s="1024">
        <v>350</v>
      </c>
      <c r="F40" s="1025">
        <f t="shared" si="6"/>
        <v>1375</v>
      </c>
      <c r="G40" s="1026" t="s">
        <v>7089</v>
      </c>
      <c r="H40" s="1037"/>
      <c r="I40" s="1036">
        <v>350</v>
      </c>
      <c r="J40" s="1036">
        <v>350</v>
      </c>
      <c r="K40" s="1631"/>
      <c r="L40" s="1039"/>
      <c r="M40" s="643"/>
      <c r="N40" s="1040"/>
      <c r="O40" s="1041"/>
      <c r="P40" s="1041"/>
      <c r="Q40" s="1042"/>
      <c r="R40" s="1042"/>
    </row>
    <row r="41" spans="1:18" s="1523" customFormat="1" ht="15" x14ac:dyDescent="0.25">
      <c r="A41" s="1021">
        <f t="shared" si="7"/>
        <v>27700</v>
      </c>
      <c r="B41" s="1022">
        <v>27745</v>
      </c>
      <c r="C41" s="1023" t="s">
        <v>7143</v>
      </c>
      <c r="D41" s="1026" t="s">
        <v>7142</v>
      </c>
      <c r="E41" s="1024">
        <v>350</v>
      </c>
      <c r="F41" s="1025">
        <f t="shared" si="6"/>
        <v>45</v>
      </c>
      <c r="G41" s="1026" t="s">
        <v>7089</v>
      </c>
      <c r="H41" s="1037"/>
      <c r="I41" s="1036">
        <v>250</v>
      </c>
      <c r="J41" s="1036">
        <v>350</v>
      </c>
      <c r="K41" s="1631"/>
      <c r="L41" s="1039"/>
      <c r="M41" s="643"/>
      <c r="N41" s="1040"/>
      <c r="O41" s="1041"/>
      <c r="P41" s="1041"/>
      <c r="Q41" s="1042"/>
      <c r="R41" s="1042"/>
    </row>
    <row r="42" spans="1:18" s="1523" customFormat="1" ht="15" x14ac:dyDescent="0.25">
      <c r="A42" s="1021">
        <f t="shared" si="7"/>
        <v>27745</v>
      </c>
      <c r="B42" s="1022">
        <v>27791</v>
      </c>
      <c r="C42" s="1023" t="s">
        <v>7143</v>
      </c>
      <c r="D42" s="1023"/>
      <c r="E42" s="1024">
        <v>350</v>
      </c>
      <c r="F42" s="1025">
        <f t="shared" si="6"/>
        <v>46</v>
      </c>
      <c r="G42" s="1026" t="s">
        <v>7089</v>
      </c>
      <c r="H42" s="1037"/>
      <c r="I42" s="1036"/>
      <c r="J42" s="1036">
        <v>350</v>
      </c>
      <c r="K42" s="1631"/>
      <c r="L42" s="1039"/>
      <c r="M42" s="643"/>
      <c r="N42" s="1040"/>
      <c r="O42" s="1041"/>
      <c r="P42" s="1041"/>
      <c r="Q42" s="1042"/>
      <c r="R42" s="1042"/>
    </row>
    <row r="43" spans="1:18" ht="15" x14ac:dyDescent="0.25">
      <c r="A43" s="1021">
        <f t="shared" si="7"/>
        <v>27791</v>
      </c>
      <c r="B43" s="1022">
        <v>28115</v>
      </c>
      <c r="C43" s="1023" t="s">
        <v>8065</v>
      </c>
      <c r="D43" s="1023"/>
      <c r="E43" s="1024">
        <v>350</v>
      </c>
      <c r="F43" s="1025">
        <f t="shared" si="6"/>
        <v>324</v>
      </c>
      <c r="G43" s="1026" t="s">
        <v>7089</v>
      </c>
      <c r="H43" s="1037"/>
      <c r="I43" s="1036">
        <v>350</v>
      </c>
      <c r="J43" s="1036">
        <v>350</v>
      </c>
      <c r="K43" s="1039"/>
      <c r="L43" s="1039"/>
      <c r="M43" s="643"/>
      <c r="N43" s="1040"/>
      <c r="O43" s="1041"/>
      <c r="P43" s="1041"/>
      <c r="Q43" s="1042"/>
      <c r="R43" s="1042"/>
    </row>
    <row r="44" spans="1:18" ht="15" x14ac:dyDescent="0.25">
      <c r="A44" s="1021">
        <f t="shared" si="5"/>
        <v>28115</v>
      </c>
      <c r="B44" s="1022">
        <v>28315</v>
      </c>
      <c r="C44" s="1023" t="s">
        <v>7143</v>
      </c>
      <c r="D44" s="1026" t="s">
        <v>7142</v>
      </c>
      <c r="E44" s="1024">
        <v>350</v>
      </c>
      <c r="F44" s="1025">
        <f t="shared" si="6"/>
        <v>200</v>
      </c>
      <c r="G44" s="1026" t="s">
        <v>7089</v>
      </c>
      <c r="H44" s="1037"/>
      <c r="I44" s="1036">
        <v>250</v>
      </c>
      <c r="J44" s="1036">
        <v>350</v>
      </c>
      <c r="K44" s="1039"/>
      <c r="L44" s="1039"/>
      <c r="M44" s="643"/>
      <c r="N44" s="1040"/>
      <c r="O44" s="1041"/>
      <c r="P44" s="1041"/>
      <c r="Q44" s="1042"/>
      <c r="R44" s="1042"/>
    </row>
    <row r="45" spans="1:18" ht="15" x14ac:dyDescent="0.25">
      <c r="A45" s="1021">
        <f t="shared" si="5"/>
        <v>28315</v>
      </c>
      <c r="B45" s="1022">
        <v>28535</v>
      </c>
      <c r="C45" s="1023" t="s">
        <v>8065</v>
      </c>
      <c r="D45" s="1023"/>
      <c r="E45" s="1024">
        <v>250</v>
      </c>
      <c r="F45" s="1025">
        <f t="shared" si="6"/>
        <v>220</v>
      </c>
      <c r="G45" s="1026" t="s">
        <v>7089</v>
      </c>
      <c r="H45" s="1037"/>
      <c r="I45" s="1036">
        <v>250</v>
      </c>
      <c r="J45" s="1036">
        <v>250</v>
      </c>
      <c r="K45" s="1039"/>
      <c r="L45" s="1039"/>
      <c r="M45" s="643"/>
      <c r="N45" s="1040"/>
      <c r="O45" s="1041"/>
      <c r="P45" s="1041"/>
      <c r="Q45" s="1042"/>
      <c r="R45" s="1042"/>
    </row>
    <row r="46" spans="1:18" ht="15" x14ac:dyDescent="0.25">
      <c r="A46" s="1021">
        <f t="shared" si="5"/>
        <v>28535</v>
      </c>
      <c r="B46" s="1022">
        <v>28545</v>
      </c>
      <c r="C46" s="1023" t="s">
        <v>8067</v>
      </c>
      <c r="D46" s="1023"/>
      <c r="E46" s="1024">
        <v>250</v>
      </c>
      <c r="F46" s="1025">
        <f t="shared" si="6"/>
        <v>10</v>
      </c>
      <c r="G46" s="1026" t="s">
        <v>7089</v>
      </c>
      <c r="H46" s="1037"/>
      <c r="I46" s="1036">
        <v>250</v>
      </c>
      <c r="J46" s="1036">
        <v>250</v>
      </c>
      <c r="K46" s="1039"/>
      <c r="L46" s="1039"/>
      <c r="M46" s="643"/>
      <c r="N46" s="1040"/>
      <c r="O46" s="1041"/>
      <c r="P46" s="1041"/>
      <c r="Q46" s="1042"/>
      <c r="R46" s="1042"/>
    </row>
    <row r="47" spans="1:18" ht="15" x14ac:dyDescent="0.25">
      <c r="A47" s="1640" t="s">
        <v>8074</v>
      </c>
      <c r="B47" s="1646"/>
      <c r="C47" s="1642"/>
      <c r="D47" s="1642"/>
      <c r="E47" s="1643"/>
      <c r="F47" s="1644"/>
      <c r="G47" s="1645"/>
      <c r="H47" s="1037"/>
      <c r="I47" s="1036"/>
      <c r="J47" s="1036"/>
      <c r="K47" s="1039"/>
      <c r="L47" s="1039"/>
      <c r="M47" s="643"/>
      <c r="N47" s="1040"/>
      <c r="O47" s="1041"/>
      <c r="P47" s="1041"/>
      <c r="Q47" s="1042"/>
      <c r="R47" s="1042"/>
    </row>
    <row r="48" spans="1:18" ht="15" x14ac:dyDescent="0.25">
      <c r="A48" s="1021">
        <f>+B46</f>
        <v>28545</v>
      </c>
      <c r="B48" s="1022">
        <v>28892</v>
      </c>
      <c r="C48" s="1023" t="s">
        <v>7143</v>
      </c>
      <c r="D48" s="1026" t="s">
        <v>7142</v>
      </c>
      <c r="E48" s="1024">
        <v>400</v>
      </c>
      <c r="F48" s="1025">
        <f>+B48-A48</f>
        <v>347</v>
      </c>
      <c r="G48" s="1026" t="s">
        <v>7089</v>
      </c>
      <c r="H48" s="1037"/>
      <c r="I48" s="1036">
        <v>250</v>
      </c>
      <c r="J48" s="1036">
        <v>400</v>
      </c>
      <c r="K48" s="1044"/>
      <c r="L48" s="1039"/>
      <c r="M48" s="643"/>
      <c r="N48" s="1040"/>
      <c r="O48" s="1041"/>
      <c r="P48" s="1041"/>
      <c r="Q48" s="1042"/>
      <c r="R48" s="1042"/>
    </row>
    <row r="49" spans="1:33" ht="15" x14ac:dyDescent="0.25">
      <c r="A49" s="1021">
        <f t="shared" si="5"/>
        <v>28892</v>
      </c>
      <c r="B49" s="1022">
        <v>28910</v>
      </c>
      <c r="C49" s="1023" t="s">
        <v>7143</v>
      </c>
      <c r="D49" s="1023"/>
      <c r="E49" s="1024">
        <v>400</v>
      </c>
      <c r="F49" s="1025">
        <f>+B49-A49</f>
        <v>18</v>
      </c>
      <c r="G49" s="1026" t="s">
        <v>7089</v>
      </c>
      <c r="H49" s="1037"/>
      <c r="I49" s="1036"/>
      <c r="J49" s="1036">
        <v>400</v>
      </c>
      <c r="K49" s="1039"/>
      <c r="L49" s="1039"/>
      <c r="M49" s="643"/>
      <c r="N49" s="1040"/>
      <c r="O49" s="1041"/>
      <c r="P49" s="1041"/>
      <c r="Q49" s="1042"/>
      <c r="R49" s="1042"/>
    </row>
    <row r="50" spans="1:33" ht="15" x14ac:dyDescent="0.25">
      <c r="A50" s="1021">
        <f t="shared" si="5"/>
        <v>28910</v>
      </c>
      <c r="B50" s="1022">
        <v>31280</v>
      </c>
      <c r="C50" s="1023" t="s">
        <v>7143</v>
      </c>
      <c r="D50" s="1026" t="s">
        <v>7142</v>
      </c>
      <c r="E50" s="1024">
        <v>400</v>
      </c>
      <c r="F50" s="1025">
        <f>+B50-A50</f>
        <v>2370</v>
      </c>
      <c r="G50" s="1026" t="s">
        <v>7089</v>
      </c>
      <c r="H50" s="1037"/>
      <c r="I50" s="1036">
        <v>350</v>
      </c>
      <c r="J50" s="1036">
        <v>400</v>
      </c>
      <c r="K50" s="1039"/>
      <c r="L50" s="1039"/>
      <c r="M50" s="643"/>
      <c r="N50" s="1040"/>
      <c r="O50" s="1041"/>
      <c r="P50" s="1041"/>
      <c r="Q50" s="1042"/>
      <c r="R50" s="1042"/>
    </row>
    <row r="51" spans="1:33" ht="15" x14ac:dyDescent="0.25">
      <c r="A51" s="1021"/>
      <c r="B51" s="1022"/>
      <c r="C51" s="1023" t="s">
        <v>7143</v>
      </c>
      <c r="D51" s="1026" t="s">
        <v>7142</v>
      </c>
      <c r="E51" s="1024">
        <v>400</v>
      </c>
      <c r="F51" s="1025">
        <v>35</v>
      </c>
      <c r="G51" s="1026" t="s">
        <v>8066</v>
      </c>
      <c r="H51" s="1037"/>
      <c r="I51" s="1036">
        <v>350</v>
      </c>
      <c r="J51" s="1036">
        <v>400</v>
      </c>
      <c r="K51" s="1044"/>
      <c r="L51" s="1039"/>
      <c r="M51" s="643"/>
      <c r="N51" s="1040"/>
      <c r="O51" s="1041"/>
      <c r="P51" s="1041"/>
      <c r="Q51" s="1042"/>
      <c r="R51" s="1042"/>
    </row>
    <row r="52" spans="1:33" ht="15" x14ac:dyDescent="0.25">
      <c r="A52" s="1021">
        <v>31342</v>
      </c>
      <c r="B52" s="1022">
        <v>32565</v>
      </c>
      <c r="C52" s="1023" t="s">
        <v>7143</v>
      </c>
      <c r="D52" s="1026" t="s">
        <v>7142</v>
      </c>
      <c r="E52" s="1024">
        <v>400</v>
      </c>
      <c r="F52" s="1025">
        <f t="shared" ref="F52:F63" si="8">+B52-A52</f>
        <v>1223</v>
      </c>
      <c r="G52" s="1026" t="s">
        <v>7089</v>
      </c>
      <c r="H52" s="1037"/>
      <c r="I52" s="1036">
        <v>350</v>
      </c>
      <c r="J52" s="1036">
        <v>400</v>
      </c>
      <c r="K52" s="1039"/>
      <c r="L52" s="1039"/>
      <c r="M52" s="1039"/>
      <c r="N52" s="1040"/>
      <c r="O52" s="1041"/>
      <c r="P52" s="1041"/>
      <c r="Q52" s="1042"/>
      <c r="R52" s="1042"/>
    </row>
    <row r="53" spans="1:33" ht="15" x14ac:dyDescent="0.25">
      <c r="A53" s="1021">
        <f t="shared" ref="A53:A63" si="9">+B52</f>
        <v>32565</v>
      </c>
      <c r="B53" s="1022">
        <v>32992</v>
      </c>
      <c r="C53" s="1023" t="s">
        <v>7143</v>
      </c>
      <c r="D53" s="1026" t="s">
        <v>7142</v>
      </c>
      <c r="E53" s="1024">
        <v>400</v>
      </c>
      <c r="F53" s="1025">
        <f t="shared" si="8"/>
        <v>427</v>
      </c>
      <c r="G53" s="1026" t="s">
        <v>7089</v>
      </c>
      <c r="H53" s="1037"/>
      <c r="I53" s="1036">
        <v>350</v>
      </c>
      <c r="J53" s="1036">
        <v>400</v>
      </c>
      <c r="K53" s="1039"/>
      <c r="L53" s="1039"/>
      <c r="M53" s="1039"/>
      <c r="N53" s="1040"/>
      <c r="O53" s="1041"/>
      <c r="P53" s="1041"/>
      <c r="Q53" s="1042"/>
      <c r="R53" s="1042"/>
    </row>
    <row r="54" spans="1:33" ht="15" x14ac:dyDescent="0.25">
      <c r="A54" s="1021">
        <f t="shared" si="9"/>
        <v>32992</v>
      </c>
      <c r="B54" s="1022">
        <v>33020</v>
      </c>
      <c r="C54" s="1023" t="s">
        <v>7143</v>
      </c>
      <c r="D54" s="1023"/>
      <c r="E54" s="1024">
        <v>400</v>
      </c>
      <c r="F54" s="1025">
        <f t="shared" si="8"/>
        <v>28</v>
      </c>
      <c r="G54" s="1026" t="s">
        <v>8066</v>
      </c>
      <c r="H54" s="1037"/>
      <c r="I54" s="1036"/>
      <c r="J54" s="1036">
        <v>400</v>
      </c>
      <c r="K54" s="1039"/>
      <c r="L54" s="1039"/>
      <c r="M54" s="1039"/>
      <c r="N54" s="1040"/>
      <c r="O54" s="1041"/>
      <c r="P54" s="1041"/>
      <c r="Q54" s="1042"/>
      <c r="R54" s="1042"/>
    </row>
    <row r="55" spans="1:33" ht="15" x14ac:dyDescent="0.25">
      <c r="A55" s="1021">
        <f t="shared" si="9"/>
        <v>33020</v>
      </c>
      <c r="B55" s="1022">
        <v>33300</v>
      </c>
      <c r="C55" s="1023" t="s">
        <v>7143</v>
      </c>
      <c r="D55" s="1026" t="s">
        <v>7142</v>
      </c>
      <c r="E55" s="1024">
        <v>400</v>
      </c>
      <c r="F55" s="1025">
        <f t="shared" si="8"/>
        <v>280</v>
      </c>
      <c r="G55" s="1026" t="s">
        <v>7089</v>
      </c>
      <c r="H55" s="1037"/>
      <c r="I55" s="1036">
        <v>350</v>
      </c>
      <c r="J55" s="1036">
        <v>400</v>
      </c>
      <c r="K55" s="1039"/>
      <c r="L55" s="1039"/>
      <c r="M55" s="1039"/>
      <c r="N55" s="1040"/>
      <c r="O55" s="1041"/>
      <c r="P55" s="1041"/>
      <c r="Q55" s="1042"/>
      <c r="R55" s="1042"/>
    </row>
    <row r="56" spans="1:33" ht="15" x14ac:dyDescent="0.25">
      <c r="A56" s="1021">
        <f t="shared" si="9"/>
        <v>33300</v>
      </c>
      <c r="B56" s="1022">
        <v>33340</v>
      </c>
      <c r="C56" s="1023" t="s">
        <v>7143</v>
      </c>
      <c r="D56" s="1026" t="s">
        <v>7142</v>
      </c>
      <c r="E56" s="1024">
        <v>350</v>
      </c>
      <c r="F56" s="1025">
        <f t="shared" si="8"/>
        <v>40</v>
      </c>
      <c r="G56" s="1026" t="s">
        <v>8066</v>
      </c>
      <c r="H56" s="1037"/>
      <c r="I56" s="1036"/>
      <c r="J56" s="1036">
        <v>350</v>
      </c>
      <c r="K56" s="1039"/>
      <c r="L56" s="1039"/>
      <c r="M56" s="1039"/>
      <c r="N56" s="1040"/>
      <c r="O56" s="1041"/>
      <c r="P56" s="1041"/>
      <c r="Q56" s="1042"/>
      <c r="R56" s="1042"/>
    </row>
    <row r="57" spans="1:33" ht="15" x14ac:dyDescent="0.25">
      <c r="A57" s="1021">
        <f t="shared" si="9"/>
        <v>33340</v>
      </c>
      <c r="B57" s="1022">
        <v>34552</v>
      </c>
      <c r="C57" s="1023" t="s">
        <v>8067</v>
      </c>
      <c r="D57" s="1023"/>
      <c r="E57" s="1024">
        <v>350</v>
      </c>
      <c r="F57" s="1025">
        <f t="shared" si="8"/>
        <v>1212</v>
      </c>
      <c r="G57" s="1026" t="s">
        <v>7089</v>
      </c>
      <c r="H57" s="1037"/>
      <c r="I57" s="1036">
        <v>250</v>
      </c>
      <c r="J57" s="1036">
        <v>350</v>
      </c>
      <c r="K57" s="1039"/>
      <c r="L57" s="1039"/>
      <c r="M57" s="1039"/>
      <c r="N57" s="1040"/>
      <c r="O57" s="1041"/>
      <c r="P57" s="1041"/>
      <c r="Q57" s="1042"/>
      <c r="R57" s="1042"/>
    </row>
    <row r="58" spans="1:33" ht="15" x14ac:dyDescent="0.25">
      <c r="A58" s="1021">
        <f>+B57</f>
        <v>34552</v>
      </c>
      <c r="B58" s="1022">
        <v>36429</v>
      </c>
      <c r="C58" s="1023" t="s">
        <v>7143</v>
      </c>
      <c r="D58" s="1026" t="s">
        <v>7142</v>
      </c>
      <c r="E58" s="1024">
        <v>305</v>
      </c>
      <c r="F58" s="1025">
        <f t="shared" si="8"/>
        <v>1877</v>
      </c>
      <c r="G58" s="1026" t="s">
        <v>8066</v>
      </c>
      <c r="H58" s="1037"/>
      <c r="I58" s="1036">
        <v>350</v>
      </c>
      <c r="J58" s="1036">
        <v>305</v>
      </c>
      <c r="K58" s="1043"/>
      <c r="L58" s="1039"/>
      <c r="M58" s="1039"/>
      <c r="N58" s="1039"/>
      <c r="O58" s="1039"/>
      <c r="P58" s="1040"/>
      <c r="Q58" s="1041"/>
      <c r="R58" s="1041"/>
      <c r="S58" s="1042"/>
      <c r="T58" s="1042"/>
    </row>
    <row r="59" spans="1:33" ht="15" x14ac:dyDescent="0.25">
      <c r="A59" s="1021">
        <f t="shared" si="9"/>
        <v>36429</v>
      </c>
      <c r="B59" s="1022">
        <v>36800</v>
      </c>
      <c r="C59" s="1023" t="s">
        <v>8065</v>
      </c>
      <c r="D59" s="1023"/>
      <c r="E59" s="1024">
        <v>350</v>
      </c>
      <c r="F59" s="1025">
        <f t="shared" si="8"/>
        <v>371</v>
      </c>
      <c r="G59" s="1026" t="s">
        <v>7089</v>
      </c>
      <c r="H59" s="1037"/>
      <c r="I59" s="1036">
        <v>350</v>
      </c>
      <c r="J59" s="1036">
        <v>350</v>
      </c>
      <c r="K59" s="1039"/>
      <c r="L59" s="1039"/>
      <c r="M59" s="1039"/>
      <c r="N59" s="1039"/>
      <c r="O59" s="1039"/>
      <c r="P59" s="1040"/>
      <c r="Q59" s="1041"/>
      <c r="R59" s="1041"/>
      <c r="S59" s="1042"/>
      <c r="T59" s="1042"/>
    </row>
    <row r="60" spans="1:33" ht="15" x14ac:dyDescent="0.25">
      <c r="A60" s="1021">
        <f t="shared" si="9"/>
        <v>36800</v>
      </c>
      <c r="B60" s="1022">
        <v>38274</v>
      </c>
      <c r="C60" s="1023" t="s">
        <v>7143</v>
      </c>
      <c r="D60" s="1026" t="s">
        <v>7142</v>
      </c>
      <c r="E60" s="1024">
        <v>400</v>
      </c>
      <c r="F60" s="1025">
        <f t="shared" si="8"/>
        <v>1474</v>
      </c>
      <c r="G60" s="1026" t="s">
        <v>7089</v>
      </c>
      <c r="H60" s="1037"/>
      <c r="I60" s="1036">
        <v>350</v>
      </c>
      <c r="J60" s="1036">
        <v>400</v>
      </c>
      <c r="K60" s="1043"/>
      <c r="L60" s="1039"/>
      <c r="M60" s="1039"/>
      <c r="N60" s="1039"/>
      <c r="O60" s="1039"/>
      <c r="P60" s="1040"/>
      <c r="Q60" s="1041"/>
      <c r="R60" s="1041"/>
      <c r="S60" s="1042"/>
      <c r="T60" s="1042"/>
    </row>
    <row r="61" spans="1:33" ht="15" x14ac:dyDescent="0.25">
      <c r="A61" s="1021">
        <f t="shared" si="9"/>
        <v>38274</v>
      </c>
      <c r="B61" s="1022">
        <v>38560</v>
      </c>
      <c r="C61" s="1023" t="s">
        <v>7143</v>
      </c>
      <c r="D61" s="1026" t="s">
        <v>7142</v>
      </c>
      <c r="E61" s="1024">
        <v>400</v>
      </c>
      <c r="F61" s="1025">
        <f t="shared" si="8"/>
        <v>286</v>
      </c>
      <c r="G61" s="1026" t="s">
        <v>7089</v>
      </c>
      <c r="H61" s="1037"/>
      <c r="I61" s="1036">
        <v>250</v>
      </c>
      <c r="J61" s="1036">
        <v>400</v>
      </c>
      <c r="K61" s="1648"/>
      <c r="L61" s="1039"/>
      <c r="M61" s="1044"/>
      <c r="N61" s="643"/>
      <c r="O61" s="643"/>
      <c r="P61" s="1040"/>
      <c r="Q61" s="1041"/>
      <c r="R61" s="1041"/>
      <c r="S61" s="1042"/>
      <c r="T61" s="1042"/>
    </row>
    <row r="62" spans="1:33" ht="15" x14ac:dyDescent="0.25">
      <c r="A62" s="1021">
        <f t="shared" si="9"/>
        <v>38560</v>
      </c>
      <c r="B62" s="1022">
        <v>38640</v>
      </c>
      <c r="C62" s="1023" t="s">
        <v>7143</v>
      </c>
      <c r="D62" s="1026" t="s">
        <v>7142</v>
      </c>
      <c r="E62" s="1024">
        <v>400</v>
      </c>
      <c r="F62" s="1025">
        <f t="shared" si="8"/>
        <v>80</v>
      </c>
      <c r="G62" s="1026" t="s">
        <v>7089</v>
      </c>
      <c r="H62" s="1037"/>
      <c r="I62" s="1036">
        <v>350</v>
      </c>
      <c r="J62" s="1036">
        <v>400</v>
      </c>
      <c r="K62" s="1043"/>
      <c r="L62" s="1039"/>
      <c r="M62" s="1039"/>
      <c r="N62" s="1039"/>
      <c r="O62" s="643"/>
      <c r="P62" s="1040"/>
      <c r="Q62" s="1041"/>
      <c r="R62" s="1041"/>
      <c r="S62" s="1042"/>
      <c r="T62" s="1042"/>
    </row>
    <row r="63" spans="1:33" ht="15.75" thickBot="1" x14ac:dyDescent="0.3">
      <c r="A63" s="1028">
        <f t="shared" si="9"/>
        <v>38640</v>
      </c>
      <c r="B63" s="1029">
        <v>39300</v>
      </c>
      <c r="C63" s="1023" t="s">
        <v>7143</v>
      </c>
      <c r="D63" s="1026" t="s">
        <v>7142</v>
      </c>
      <c r="E63" s="1030">
        <v>400</v>
      </c>
      <c r="F63" s="1025">
        <f t="shared" si="8"/>
        <v>660</v>
      </c>
      <c r="G63" s="1031" t="s">
        <v>7089</v>
      </c>
      <c r="H63" s="1037"/>
      <c r="I63" s="1036">
        <v>250</v>
      </c>
      <c r="J63" s="1036">
        <v>400</v>
      </c>
      <c r="K63" s="1039"/>
      <c r="L63" s="1039"/>
      <c r="M63" s="1039"/>
      <c r="N63" s="643"/>
      <c r="O63" s="643"/>
      <c r="P63" s="1040"/>
      <c r="Q63" s="1041"/>
      <c r="R63" s="1041"/>
      <c r="S63" s="1042"/>
      <c r="T63" s="1042"/>
    </row>
    <row r="64" spans="1:33" ht="15" x14ac:dyDescent="0.25">
      <c r="W64" s="1038"/>
      <c r="X64" s="1039"/>
      <c r="Y64" s="1039"/>
      <c r="Z64" s="1039"/>
      <c r="AA64" s="1039"/>
      <c r="AB64" s="643"/>
      <c r="AC64" s="1040"/>
      <c r="AD64" s="1041"/>
      <c r="AE64" s="1041"/>
      <c r="AF64" s="1042"/>
      <c r="AG64" s="1042"/>
    </row>
    <row r="65" spans="1:33" ht="15" x14ac:dyDescent="0.25">
      <c r="W65" s="1038"/>
      <c r="X65" s="1043"/>
      <c r="Y65" s="1039"/>
      <c r="Z65" s="1039"/>
      <c r="AA65" s="643"/>
      <c r="AB65" s="643"/>
      <c r="AC65" s="1040"/>
      <c r="AD65" s="1041"/>
      <c r="AE65" s="1041"/>
      <c r="AF65" s="1042"/>
      <c r="AG65" s="1042"/>
    </row>
    <row r="66" spans="1:33" ht="15" x14ac:dyDescent="0.25">
      <c r="W66" s="1038"/>
      <c r="X66" s="1039"/>
      <c r="Y66" s="1039"/>
      <c r="Z66" s="1039"/>
      <c r="AA66" s="643"/>
      <c r="AB66" s="643"/>
      <c r="AC66" s="1040"/>
      <c r="AD66" s="1041"/>
      <c r="AE66" s="1041"/>
      <c r="AF66" s="1042"/>
      <c r="AG66" s="1042"/>
    </row>
    <row r="67" spans="1:33" ht="15" x14ac:dyDescent="0.25">
      <c r="A67" s="133"/>
      <c r="B67" s="133"/>
      <c r="R67" s="1038"/>
      <c r="S67" s="1043"/>
      <c r="T67" s="1039"/>
      <c r="U67" s="1039"/>
      <c r="V67" s="643"/>
      <c r="W67" s="643"/>
      <c r="X67" s="1040"/>
      <c r="Y67" s="1041"/>
      <c r="Z67" s="1041"/>
      <c r="AA67" s="1042"/>
      <c r="AB67" s="1042"/>
    </row>
    <row r="68" spans="1:33" ht="15" x14ac:dyDescent="0.25">
      <c r="A68" s="133"/>
      <c r="B68" s="133"/>
      <c r="D68" s="1036">
        <v>400</v>
      </c>
      <c r="E68" s="1036">
        <v>350</v>
      </c>
      <c r="F68" s="1036">
        <v>250</v>
      </c>
      <c r="G68" s="1036">
        <v>305</v>
      </c>
      <c r="R68" s="1038"/>
      <c r="S68" s="1043"/>
      <c r="T68" s="1039"/>
      <c r="U68" s="1039"/>
      <c r="V68" s="643"/>
      <c r="W68" s="643"/>
      <c r="X68" s="1040"/>
      <c r="Y68" s="1041"/>
      <c r="Z68" s="1041"/>
      <c r="AA68" s="1042"/>
      <c r="AB68" s="1042"/>
    </row>
    <row r="69" spans="1:33" ht="15" x14ac:dyDescent="0.25">
      <c r="A69" s="133"/>
      <c r="B69" s="133"/>
      <c r="C69" s="1036" t="s">
        <v>7143</v>
      </c>
      <c r="D69" s="1036">
        <f>+SUMIFS($F$2:$F$63,$E$2:$E$63,D68,$C$2:$C$63,C69)</f>
        <v>7505</v>
      </c>
      <c r="E69" s="1036">
        <f>+SUMIFS($F$2:$F$63,$E$2:$E$63,E68,$C$2:$C$63,C69)</f>
        <v>3704</v>
      </c>
      <c r="F69" s="1036">
        <f>+SUMIFS($F$2:$F$63,$E$2:$E$63,F68,$C$2:$C$63,C69)</f>
        <v>162</v>
      </c>
      <c r="G69" s="1036">
        <f>+SUMIFS($F$2:$F$63,$E$2:$E$63,G68,$C$2:$C$63,C69)</f>
        <v>1877</v>
      </c>
      <c r="R69" s="1038"/>
      <c r="S69" s="1043"/>
      <c r="T69" s="1039"/>
      <c r="U69" s="1039"/>
      <c r="V69" s="643"/>
      <c r="W69" s="643"/>
      <c r="X69" s="1040"/>
      <c r="Y69" s="1041"/>
      <c r="Z69" s="1041"/>
      <c r="AA69" s="1042"/>
      <c r="AB69" s="1042"/>
    </row>
    <row r="70" spans="1:33" ht="15" x14ac:dyDescent="0.25">
      <c r="A70" s="133"/>
      <c r="B70" s="133"/>
      <c r="C70" s="1036" t="s">
        <v>8067</v>
      </c>
      <c r="D70" s="1036">
        <f>+SUMIFS($F$2:$F$63,$E$2:$E$63,D68,$C$2:$C$63,C70)</f>
        <v>190</v>
      </c>
      <c r="E70" s="1036">
        <f>+SUMIFS($F$2:$F$63,$E$2:$E$63,E68,$C$2:$C$63,C70)</f>
        <v>3911</v>
      </c>
      <c r="F70" s="1036">
        <f>+SUMIFS($F$2:$F$63,$E$2:$E$63,F68,$C$2:$C$63,C70)</f>
        <v>10</v>
      </c>
      <c r="G70" s="1036">
        <f>+SUMIFS($F$2:$F$63,$E$2:$E$63,G68,$C$2:$C$63,C70)</f>
        <v>0</v>
      </c>
      <c r="R70" s="1038"/>
      <c r="S70" s="1043"/>
      <c r="T70" s="1039"/>
      <c r="U70" s="1039"/>
      <c r="V70" s="643"/>
      <c r="W70" s="643"/>
      <c r="X70" s="1040"/>
      <c r="Y70" s="1041"/>
      <c r="Z70" s="1041"/>
      <c r="AA70" s="1042"/>
      <c r="AB70" s="1042"/>
    </row>
    <row r="71" spans="1:33" ht="15" x14ac:dyDescent="0.25">
      <c r="A71" s="133"/>
      <c r="B71" s="133"/>
      <c r="C71" s="1036" t="s">
        <v>8065</v>
      </c>
      <c r="D71" s="1036">
        <f>+SUMIFS($F$2:$F$63,$E$2:$E$63,D68,$C$2:$C$63,C71)</f>
        <v>13818.2</v>
      </c>
      <c r="E71" s="1036">
        <f>+SUMIFS($F$2:$F$63,$E$2:$E$63,E68,$C$2:$C$63,C71)</f>
        <v>1894.25</v>
      </c>
      <c r="F71" s="1036">
        <f>+SUMIFS($F$2:$F$63,$E$2:$E$63,F68,$C$2:$C$63,C71)</f>
        <v>3614.5499999999993</v>
      </c>
      <c r="G71" s="1036">
        <f>+SUMIFS($F$2:$F$63,$E$2:$E$63,G68,$C$2:$C$63,C71)</f>
        <v>0</v>
      </c>
      <c r="R71" s="1038"/>
      <c r="S71" s="1043"/>
      <c r="T71" s="1039"/>
      <c r="U71" s="1039"/>
      <c r="V71" s="643"/>
      <c r="W71" s="643"/>
      <c r="X71" s="1040"/>
      <c r="Y71" s="1041"/>
      <c r="Z71" s="1041"/>
      <c r="AA71" s="1042"/>
      <c r="AB71" s="1042"/>
    </row>
    <row r="72" spans="1:33" ht="15" x14ac:dyDescent="0.25">
      <c r="A72" s="133"/>
      <c r="B72" s="133"/>
      <c r="C72" s="1649" t="s">
        <v>7142</v>
      </c>
      <c r="D72" s="1649">
        <f>+SUMIFS($F$2:$F$63,$I$2:$I$63,D68,$D$2:$D$63,C72)</f>
        <v>0</v>
      </c>
      <c r="E72" s="1649">
        <f>+SUMIFS($F$2:$F$63,$I$2:$I$63,E68,$D$2:$D$63,C72)</f>
        <v>7766</v>
      </c>
      <c r="F72" s="1649">
        <f>+SUMIFS($F$2:$F$63,$I$2:$I$63,F68,$D$2:$D$63,C72)</f>
        <v>4911</v>
      </c>
      <c r="G72" s="1649">
        <f>+SUMIFS($F$2:$F$63,$I$2:$I$63,G68,$D$2:$D$63,C72)</f>
        <v>0</v>
      </c>
      <c r="R72" s="1038"/>
      <c r="S72" s="1043"/>
      <c r="T72" s="1043"/>
      <c r="U72" s="1039"/>
      <c r="V72" s="643"/>
      <c r="W72" s="643"/>
      <c r="X72" s="1040"/>
      <c r="Y72" s="1041"/>
      <c r="Z72" s="1041"/>
      <c r="AA72" s="1042"/>
      <c r="AB72" s="1042"/>
    </row>
    <row r="73" spans="1:33" s="1523" customFormat="1" ht="15" x14ac:dyDescent="0.25">
      <c r="C73" s="1649" t="s">
        <v>7143</v>
      </c>
      <c r="D73" s="1649">
        <f>+SUM(D69:D70)</f>
        <v>7695</v>
      </c>
      <c r="E73" s="1649">
        <f t="shared" ref="E73:G73" si="10">+SUM(E69:E70)</f>
        <v>7615</v>
      </c>
      <c r="F73" s="1649">
        <f t="shared" si="10"/>
        <v>172</v>
      </c>
      <c r="G73" s="1649">
        <f t="shared" si="10"/>
        <v>1877</v>
      </c>
      <c r="H73" s="1647"/>
      <c r="R73" s="1038"/>
      <c r="S73" s="1043"/>
      <c r="T73" s="1043"/>
      <c r="U73" s="1039"/>
      <c r="V73" s="643"/>
      <c r="W73" s="643"/>
      <c r="X73" s="1040"/>
      <c r="Y73" s="1041"/>
      <c r="Z73" s="1041"/>
      <c r="AA73" s="1042"/>
      <c r="AB73" s="1042"/>
    </row>
    <row r="74" spans="1:33" ht="15" x14ac:dyDescent="0.25">
      <c r="A74" s="133"/>
      <c r="B74" s="133"/>
      <c r="R74" s="1038"/>
      <c r="S74" s="1039"/>
      <c r="T74" s="1039"/>
      <c r="U74" s="1039"/>
      <c r="V74" s="643"/>
      <c r="W74" s="643"/>
      <c r="X74" s="1040"/>
      <c r="Y74" s="1041"/>
      <c r="Z74" s="1041"/>
      <c r="AA74" s="1042"/>
      <c r="AB74" s="1042"/>
    </row>
    <row r="75" spans="1:33" ht="15" x14ac:dyDescent="0.25">
      <c r="A75" s="133"/>
      <c r="B75" s="133"/>
      <c r="C75" s="133" t="s">
        <v>8070</v>
      </c>
      <c r="I75" s="133" t="s">
        <v>6497</v>
      </c>
      <c r="R75" s="1038"/>
      <c r="S75" s="1043"/>
      <c r="T75" s="1039"/>
      <c r="U75" s="1039"/>
      <c r="V75" s="643"/>
      <c r="W75" s="643"/>
      <c r="X75" s="1040"/>
      <c r="Y75" s="1041"/>
      <c r="Z75" s="1041"/>
      <c r="AA75" s="1042"/>
      <c r="AB75" s="1042"/>
    </row>
    <row r="76" spans="1:33" ht="15" x14ac:dyDescent="0.25">
      <c r="A76" s="133"/>
      <c r="B76" s="133"/>
      <c r="C76" s="1036" t="s">
        <v>7079</v>
      </c>
      <c r="D76" s="1036" t="s">
        <v>7081</v>
      </c>
      <c r="I76" s="1036" t="s">
        <v>7079</v>
      </c>
      <c r="J76" s="1036" t="s">
        <v>7081</v>
      </c>
      <c r="R76" s="1038"/>
      <c r="S76" s="1039"/>
      <c r="T76" s="1039"/>
      <c r="U76" s="1039"/>
      <c r="V76" s="643"/>
      <c r="W76" s="643"/>
      <c r="X76" s="1040"/>
      <c r="Y76" s="1041"/>
      <c r="Z76" s="1041"/>
      <c r="AA76" s="1042"/>
      <c r="AB76" s="1042"/>
    </row>
    <row r="77" spans="1:33" ht="15" x14ac:dyDescent="0.25">
      <c r="A77" s="133"/>
      <c r="B77" s="133"/>
      <c r="C77" s="1036">
        <v>400</v>
      </c>
      <c r="D77" s="1036"/>
      <c r="I77" s="1036">
        <v>400</v>
      </c>
      <c r="J77" s="1046">
        <f>+F8+F51+F54</f>
        <v>117</v>
      </c>
      <c r="R77" s="1038"/>
      <c r="S77" s="1043"/>
      <c r="T77" s="1039"/>
      <c r="U77" s="1039"/>
      <c r="V77" s="643"/>
      <c r="W77" s="643"/>
      <c r="X77" s="1040"/>
      <c r="Y77" s="1041"/>
      <c r="Z77" s="1041"/>
      <c r="AA77" s="1042"/>
      <c r="AB77" s="1042"/>
    </row>
    <row r="78" spans="1:33" x14ac:dyDescent="0.25">
      <c r="A78" s="133"/>
      <c r="B78" s="133"/>
      <c r="C78" s="1036">
        <v>350</v>
      </c>
      <c r="D78" s="1045">
        <f>+E72</f>
        <v>7766</v>
      </c>
      <c r="I78" s="1036">
        <v>350</v>
      </c>
      <c r="J78" s="1045">
        <f>+F56</f>
        <v>40</v>
      </c>
      <c r="R78" s="1042"/>
      <c r="S78" s="1042"/>
      <c r="T78" s="1042"/>
      <c r="U78" s="1042"/>
      <c r="V78" s="1042"/>
      <c r="W78" s="1042"/>
      <c r="X78" s="1042"/>
      <c r="Y78" s="1042"/>
      <c r="Z78" s="1042"/>
      <c r="AA78" s="1042"/>
      <c r="AB78" s="1042"/>
    </row>
    <row r="79" spans="1:33" x14ac:dyDescent="0.25">
      <c r="A79" s="133"/>
      <c r="B79" s="133"/>
      <c r="C79" s="1036">
        <v>250</v>
      </c>
      <c r="D79" s="1045">
        <f>+F72</f>
        <v>4911</v>
      </c>
      <c r="I79" s="1036">
        <v>500</v>
      </c>
      <c r="J79" s="1045">
        <f>40.68+27.1</f>
        <v>67.78</v>
      </c>
      <c r="R79" s="1042"/>
      <c r="S79" s="1042"/>
      <c r="T79" s="1042"/>
      <c r="U79" s="1042"/>
      <c r="V79" s="1042"/>
      <c r="W79" s="1042"/>
      <c r="X79" s="1042"/>
      <c r="Y79" s="1042"/>
      <c r="Z79" s="1042"/>
      <c r="AA79" s="1042"/>
      <c r="AB79" s="1042"/>
    </row>
    <row r="80" spans="1:33" x14ac:dyDescent="0.25">
      <c r="A80" s="133"/>
      <c r="B80" s="133"/>
      <c r="C80" s="1036">
        <v>305</v>
      </c>
      <c r="D80" s="1036"/>
      <c r="I80" s="1036"/>
      <c r="J80" s="1036"/>
      <c r="R80" s="1042"/>
      <c r="S80" s="1042"/>
      <c r="T80" s="1042"/>
      <c r="U80" s="1042"/>
      <c r="V80" s="1042"/>
      <c r="W80" s="1042"/>
      <c r="X80" s="1042"/>
      <c r="Y80" s="1042"/>
      <c r="Z80" s="1042"/>
      <c r="AA80" s="1042"/>
      <c r="AB80" s="1042"/>
    </row>
    <row r="81" spans="1:28" x14ac:dyDescent="0.25">
      <c r="A81" s="133"/>
      <c r="B81" s="133"/>
      <c r="R81" s="1042"/>
      <c r="S81" s="1042"/>
      <c r="T81" s="1042"/>
      <c r="U81" s="1042"/>
      <c r="V81" s="1042"/>
      <c r="W81" s="1042"/>
      <c r="X81" s="1042"/>
      <c r="Y81" s="1042"/>
      <c r="Z81" s="1042"/>
      <c r="AA81" s="1042"/>
      <c r="AB81" s="1042"/>
    </row>
    <row r="82" spans="1:28" x14ac:dyDescent="0.25">
      <c r="I82" s="1032" t="s">
        <v>8078</v>
      </c>
    </row>
    <row r="83" spans="1:28" x14ac:dyDescent="0.25">
      <c r="L83" s="133" t="s">
        <v>7099</v>
      </c>
    </row>
    <row r="84" spans="1:28" s="1523" customFormat="1" x14ac:dyDescent="0.25">
      <c r="A84" s="1454"/>
      <c r="B84" s="1454"/>
      <c r="I84" s="1454">
        <f>+A5</f>
        <v>5640</v>
      </c>
      <c r="J84" s="1454">
        <f>+B5</f>
        <v>5800</v>
      </c>
      <c r="K84" s="1037">
        <f>J84-I84</f>
        <v>160</v>
      </c>
      <c r="L84" s="1523">
        <v>25</v>
      </c>
    </row>
    <row r="85" spans="1:28" x14ac:dyDescent="0.25">
      <c r="I85" s="1022">
        <v>28545</v>
      </c>
      <c r="J85" s="1022">
        <v>31000</v>
      </c>
      <c r="K85" s="1037">
        <f>J85-I85</f>
        <v>2455</v>
      </c>
      <c r="L85" s="133">
        <v>25</v>
      </c>
    </row>
    <row r="86" spans="1:28" x14ac:dyDescent="0.25">
      <c r="I86" s="1022">
        <v>31000</v>
      </c>
      <c r="J86" s="1022">
        <v>33300</v>
      </c>
      <c r="K86" s="1037">
        <f>J86-I86</f>
        <v>2300</v>
      </c>
      <c r="L86" s="133">
        <v>40</v>
      </c>
    </row>
    <row r="87" spans="1:28" x14ac:dyDescent="0.25">
      <c r="I87" s="1022">
        <v>36800</v>
      </c>
      <c r="J87" s="1022">
        <v>38100</v>
      </c>
      <c r="K87" s="1037">
        <f>J87-I87</f>
        <v>1300</v>
      </c>
      <c r="L87" s="133">
        <v>40</v>
      </c>
    </row>
    <row r="88" spans="1:28" x14ac:dyDescent="0.25">
      <c r="I88" s="1022">
        <v>38100</v>
      </c>
      <c r="J88" s="1022">
        <v>39300</v>
      </c>
      <c r="K88" s="1037">
        <f>J88-I88</f>
        <v>1200</v>
      </c>
      <c r="L88" s="133">
        <v>25</v>
      </c>
    </row>
    <row r="90" spans="1:28" x14ac:dyDescent="0.25">
      <c r="I90" s="1036" t="s">
        <v>7099</v>
      </c>
      <c r="J90" s="1036">
        <v>25</v>
      </c>
      <c r="K90" s="1045">
        <f>+K88+K85+K84</f>
        <v>3815</v>
      </c>
    </row>
    <row r="91" spans="1:28" ht="15" x14ac:dyDescent="0.25">
      <c r="A91" s="1048">
        <v>2.86E-2</v>
      </c>
      <c r="B91" s="1049" t="s">
        <v>7079</v>
      </c>
      <c r="C91" s="1050">
        <v>16</v>
      </c>
      <c r="D91" s="1050">
        <v>14</v>
      </c>
      <c r="E91" s="1050">
        <v>10</v>
      </c>
      <c r="I91" s="1036" t="s">
        <v>7099</v>
      </c>
      <c r="J91" s="1036">
        <v>40</v>
      </c>
      <c r="K91" s="1045">
        <f>+K87+K86</f>
        <v>3600</v>
      </c>
      <c r="L91" s="1454"/>
    </row>
    <row r="92" spans="1:28" ht="15" x14ac:dyDescent="0.25">
      <c r="A92" s="1049" t="s">
        <v>8081</v>
      </c>
      <c r="B92" s="1049" t="s">
        <v>8082</v>
      </c>
      <c r="C92" s="1050">
        <v>7668</v>
      </c>
      <c r="D92" s="1050">
        <v>9582</v>
      </c>
      <c r="E92" s="1050">
        <v>3772</v>
      </c>
    </row>
    <row r="93" spans="1:28" ht="15" x14ac:dyDescent="0.25">
      <c r="A93" s="1050">
        <v>0.5</v>
      </c>
      <c r="B93" s="1051">
        <v>11.25</v>
      </c>
      <c r="C93" s="1051">
        <v>109.6524</v>
      </c>
      <c r="D93" s="1051">
        <v>137.02260000000001</v>
      </c>
      <c r="E93" s="1051">
        <v>53.939599999999999</v>
      </c>
    </row>
    <row r="94" spans="1:28" ht="15" x14ac:dyDescent="0.25">
      <c r="A94" s="1050">
        <v>0.35</v>
      </c>
      <c r="B94" s="1051">
        <v>22.5</v>
      </c>
      <c r="C94" s="1051">
        <v>76.756679999999989</v>
      </c>
      <c r="D94" s="1051">
        <v>95.915819999999997</v>
      </c>
      <c r="E94" s="1051">
        <v>37.757719999999999</v>
      </c>
    </row>
    <row r="95" spans="1:28" ht="15" x14ac:dyDescent="0.25">
      <c r="A95" s="1050">
        <v>0.12</v>
      </c>
      <c r="B95" s="1051">
        <v>45</v>
      </c>
      <c r="C95" s="1051">
        <v>26.316575999999998</v>
      </c>
      <c r="D95" s="1051">
        <v>32.885424</v>
      </c>
      <c r="E95" s="1051">
        <v>12.945504</v>
      </c>
    </row>
    <row r="96" spans="1:28" ht="15" x14ac:dyDescent="0.25">
      <c r="A96" s="1050">
        <v>0.03</v>
      </c>
      <c r="B96" s="1051">
        <v>90</v>
      </c>
      <c r="C96" s="1051">
        <v>6.5791439999999994</v>
      </c>
      <c r="D96" s="1051">
        <v>8.2213560000000001</v>
      </c>
      <c r="E96" s="1051">
        <v>3.2363759999999999</v>
      </c>
    </row>
  </sheetData>
  <pageMargins left="0.7" right="0.7" top="0.75" bottom="0.75" header="0.3" footer="0.3"/>
  <pageSetup scale="46" orientation="portrait" horizontalDpi="4294967295" verticalDpi="4294967295" r:id="rId1"/>
  <colBreaks count="1" manualBreakCount="1">
    <brk id="19"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3:L2442"/>
  <sheetViews>
    <sheetView workbookViewId="0"/>
  </sheetViews>
  <sheetFormatPr baseColWidth="10" defaultRowHeight="15" x14ac:dyDescent="0.25"/>
  <cols>
    <col min="2" max="2" width="69.28515625" customWidth="1"/>
    <col min="3" max="3" width="8.85546875" customWidth="1"/>
    <col min="4" max="4" width="15" customWidth="1"/>
    <col min="5" max="5" width="12.5703125" hidden="1" customWidth="1"/>
    <col min="6" max="6" width="13.85546875" hidden="1" customWidth="1"/>
    <col min="7" max="7" width="12.7109375" hidden="1" customWidth="1"/>
    <col min="8" max="8" width="14.5703125" bestFit="1" customWidth="1"/>
    <col min="9" max="9" width="12.85546875" bestFit="1" customWidth="1"/>
    <col min="10" max="10" width="12" bestFit="1" customWidth="1"/>
  </cols>
  <sheetData>
    <row r="3" spans="1:12" ht="21" x14ac:dyDescent="0.35">
      <c r="B3" s="2505" t="s">
        <v>865</v>
      </c>
      <c r="C3" s="2505"/>
      <c r="D3" s="2505"/>
      <c r="E3" s="2505"/>
      <c r="F3" s="2505"/>
      <c r="G3" s="2505"/>
    </row>
    <row r="4" spans="1:12" ht="15.75" thickBot="1" x14ac:dyDescent="0.3"/>
    <row r="5" spans="1:12" ht="54.75" customHeight="1" thickBot="1" x14ac:dyDescent="0.3">
      <c r="A5" s="51" t="s">
        <v>3</v>
      </c>
      <c r="B5" s="52" t="s">
        <v>866</v>
      </c>
      <c r="C5" s="53" t="s">
        <v>867</v>
      </c>
      <c r="D5" s="54" t="s">
        <v>868</v>
      </c>
      <c r="E5" s="55" t="s">
        <v>5399</v>
      </c>
      <c r="F5" s="54" t="s">
        <v>868</v>
      </c>
      <c r="G5" s="54" t="s">
        <v>869</v>
      </c>
      <c r="H5" s="56" t="s">
        <v>870</v>
      </c>
    </row>
    <row r="6" spans="1:12" ht="15.75" customHeight="1" x14ac:dyDescent="0.25">
      <c r="A6" s="57">
        <v>3</v>
      </c>
      <c r="B6" s="58" t="s">
        <v>32</v>
      </c>
      <c r="C6" s="9"/>
      <c r="D6" s="9"/>
      <c r="E6" s="10"/>
      <c r="F6" s="10"/>
      <c r="G6" s="59"/>
      <c r="H6" s="60"/>
      <c r="J6" s="870"/>
      <c r="K6" s="870" t="s">
        <v>8003</v>
      </c>
      <c r="L6" s="870" t="s">
        <v>8002</v>
      </c>
    </row>
    <row r="7" spans="1:12" ht="15.75" customHeight="1" x14ac:dyDescent="0.25">
      <c r="A7" s="78" t="s">
        <v>871</v>
      </c>
      <c r="B7" s="79" t="s">
        <v>872</v>
      </c>
      <c r="C7" s="26"/>
      <c r="D7" s="999"/>
      <c r="E7" s="29"/>
      <c r="F7" s="29"/>
      <c r="G7" s="127"/>
      <c r="H7" s="128"/>
      <c r="J7" s="946">
        <f>+L7+K7</f>
        <v>0.12520000000000001</v>
      </c>
      <c r="K7" s="946">
        <f>6.77/100</f>
        <v>6.7699999999999996E-2</v>
      </c>
      <c r="L7" s="946">
        <f>5.75/100</f>
        <v>5.7500000000000002E-2</v>
      </c>
    </row>
    <row r="8" spans="1:12" x14ac:dyDescent="0.25">
      <c r="A8" s="65" t="s">
        <v>873</v>
      </c>
      <c r="B8" s="66" t="s">
        <v>1078</v>
      </c>
      <c r="C8" s="67"/>
      <c r="D8" s="1000"/>
      <c r="E8" s="68"/>
      <c r="F8" s="68"/>
      <c r="G8" s="69"/>
      <c r="H8" s="70"/>
    </row>
    <row r="9" spans="1:12" x14ac:dyDescent="0.25">
      <c r="A9" s="65" t="s">
        <v>1077</v>
      </c>
      <c r="B9" s="66" t="s">
        <v>1079</v>
      </c>
      <c r="C9" s="67"/>
      <c r="D9" s="1000"/>
      <c r="E9" s="68"/>
      <c r="F9" s="68"/>
      <c r="G9" s="69"/>
      <c r="H9" s="70"/>
    </row>
    <row r="10" spans="1:12" x14ac:dyDescent="0.25">
      <c r="A10" s="71" t="s">
        <v>1082</v>
      </c>
      <c r="B10" s="72" t="s">
        <v>1080</v>
      </c>
      <c r="C10" s="67" t="s">
        <v>14</v>
      </c>
      <c r="D10" s="1001">
        <v>21559</v>
      </c>
      <c r="E10" s="74">
        <v>0.03</v>
      </c>
      <c r="F10" s="75">
        <f>+D10+D10*E10</f>
        <v>22205.77</v>
      </c>
      <c r="G10" s="76">
        <f>F10*0.19</f>
        <v>4219.0963000000002</v>
      </c>
      <c r="H10" s="77">
        <f>ROUND((F10+G10),0)</f>
        <v>26425</v>
      </c>
    </row>
    <row r="11" spans="1:12" x14ac:dyDescent="0.25">
      <c r="A11" s="65" t="s">
        <v>1081</v>
      </c>
      <c r="B11" s="66" t="s">
        <v>1083</v>
      </c>
      <c r="C11" s="67"/>
      <c r="D11" s="1001"/>
      <c r="E11" s="68"/>
      <c r="F11" s="68"/>
      <c r="G11" s="69"/>
      <c r="H11" s="70"/>
    </row>
    <row r="12" spans="1:12" x14ac:dyDescent="0.25">
      <c r="A12" s="65" t="s">
        <v>1089</v>
      </c>
      <c r="B12" s="72" t="s">
        <v>1084</v>
      </c>
      <c r="C12" s="67" t="s">
        <v>14</v>
      </c>
      <c r="D12" s="1001">
        <v>28706</v>
      </c>
      <c r="E12" s="74">
        <v>0.03</v>
      </c>
      <c r="F12" s="75">
        <f>+D12+D12*E12</f>
        <v>29567.18</v>
      </c>
      <c r="G12" s="76">
        <f>F12*0.19</f>
        <v>5617.7642000000005</v>
      </c>
      <c r="H12" s="77">
        <f>ROUND((F12+G12),0)</f>
        <v>35185</v>
      </c>
    </row>
    <row r="13" spans="1:12" x14ac:dyDescent="0.25">
      <c r="A13" s="65" t="s">
        <v>1088</v>
      </c>
      <c r="B13" s="66" t="s">
        <v>1085</v>
      </c>
      <c r="C13" s="67"/>
      <c r="D13" s="1001"/>
      <c r="E13" s="68"/>
      <c r="F13" s="68"/>
      <c r="G13" s="69"/>
      <c r="H13" s="70"/>
    </row>
    <row r="14" spans="1:12" x14ac:dyDescent="0.25">
      <c r="A14" s="71" t="s">
        <v>1090</v>
      </c>
      <c r="B14" s="72" t="s">
        <v>1087</v>
      </c>
      <c r="C14" s="67" t="s">
        <v>14</v>
      </c>
      <c r="D14" s="1001">
        <v>15385</v>
      </c>
      <c r="E14" s="74">
        <v>0.03</v>
      </c>
      <c r="F14" s="75">
        <f>+D14+D14*E14</f>
        <v>15846.55</v>
      </c>
      <c r="G14" s="76">
        <f>F14*0.19</f>
        <v>3010.8444999999997</v>
      </c>
      <c r="H14" s="77">
        <f>ROUND((F14+G14),0)</f>
        <v>18857</v>
      </c>
    </row>
    <row r="15" spans="1:12" x14ac:dyDescent="0.25">
      <c r="A15" s="71" t="s">
        <v>1091</v>
      </c>
      <c r="B15" s="72" t="s">
        <v>1086</v>
      </c>
      <c r="C15" s="67" t="s">
        <v>14</v>
      </c>
      <c r="D15" s="1001">
        <v>38729</v>
      </c>
      <c r="E15" s="74">
        <v>0.03</v>
      </c>
      <c r="F15" s="75">
        <f>+D15+D15*E15</f>
        <v>39890.870000000003</v>
      </c>
      <c r="G15" s="76">
        <f>F15*0.19</f>
        <v>7579.2653000000009</v>
      </c>
      <c r="H15" s="77">
        <f>ROUND((F15+G15),0)</f>
        <v>47470</v>
      </c>
    </row>
    <row r="16" spans="1:12" x14ac:dyDescent="0.25">
      <c r="A16" s="65" t="s">
        <v>874</v>
      </c>
      <c r="B16" s="66" t="s">
        <v>875</v>
      </c>
      <c r="C16" s="67"/>
      <c r="D16" s="1001"/>
      <c r="E16" s="68"/>
      <c r="F16" s="68"/>
      <c r="G16" s="69"/>
      <c r="H16" s="70"/>
    </row>
    <row r="17" spans="1:8" x14ac:dyDescent="0.25">
      <c r="A17" s="71" t="s">
        <v>1093</v>
      </c>
      <c r="B17" s="72" t="s">
        <v>1096</v>
      </c>
      <c r="C17" s="67"/>
      <c r="D17" s="1001">
        <v>19061</v>
      </c>
      <c r="E17" s="74">
        <v>0.03</v>
      </c>
      <c r="F17" s="75">
        <f>+D17+D17*E17</f>
        <v>19632.830000000002</v>
      </c>
      <c r="G17" s="76">
        <f>F17*0.19</f>
        <v>3730.2377000000006</v>
      </c>
      <c r="H17" s="77">
        <f>ROUND((F17+G17),0)</f>
        <v>23363</v>
      </c>
    </row>
    <row r="18" spans="1:8" x14ac:dyDescent="0.25">
      <c r="A18" s="71" t="s">
        <v>876</v>
      </c>
      <c r="B18" s="72" t="s">
        <v>1092</v>
      </c>
      <c r="C18" s="67" t="s">
        <v>14</v>
      </c>
      <c r="D18" s="1001">
        <v>26749</v>
      </c>
      <c r="E18" s="74">
        <v>0.03</v>
      </c>
      <c r="F18" s="75">
        <f>+D18+D18*E18</f>
        <v>27551.47</v>
      </c>
      <c r="G18" s="76">
        <f>F18*0.19</f>
        <v>5234.7793000000001</v>
      </c>
      <c r="H18" s="77">
        <f>ROUND((F18+G18),0)</f>
        <v>32786</v>
      </c>
    </row>
    <row r="19" spans="1:8" x14ac:dyDescent="0.25">
      <c r="A19" s="71" t="s">
        <v>1094</v>
      </c>
      <c r="B19" s="72" t="s">
        <v>1097</v>
      </c>
      <c r="C19" s="67"/>
      <c r="D19" s="1001">
        <v>48180</v>
      </c>
      <c r="E19" s="74">
        <v>0.03</v>
      </c>
      <c r="F19" s="75">
        <f>+D19+D19*E19</f>
        <v>49625.4</v>
      </c>
      <c r="G19" s="76">
        <f>F19*0.19</f>
        <v>9428.8260000000009</v>
      </c>
      <c r="H19" s="77">
        <f>ROUND((F19+G19),0)</f>
        <v>59054</v>
      </c>
    </row>
    <row r="20" spans="1:8" x14ac:dyDescent="0.25">
      <c r="A20" s="71" t="s">
        <v>1095</v>
      </c>
      <c r="B20" s="72" t="s">
        <v>1098</v>
      </c>
      <c r="C20" s="67" t="s">
        <v>14</v>
      </c>
      <c r="D20" s="1001">
        <v>62910</v>
      </c>
      <c r="E20" s="74">
        <v>0.03</v>
      </c>
      <c r="F20" s="75">
        <f>+D20+D20*E20</f>
        <v>64797.3</v>
      </c>
      <c r="G20" s="76">
        <f>F20*0.19</f>
        <v>12311.487000000001</v>
      </c>
      <c r="H20" s="77">
        <f>ROUND((F20+G20),0)</f>
        <v>77109</v>
      </c>
    </row>
    <row r="21" spans="1:8" x14ac:dyDescent="0.25">
      <c r="A21" s="78" t="s">
        <v>877</v>
      </c>
      <c r="B21" s="79" t="s">
        <v>878</v>
      </c>
      <c r="C21" s="26"/>
      <c r="D21" s="1001"/>
      <c r="E21" s="74"/>
      <c r="F21" s="75"/>
      <c r="G21" s="76"/>
      <c r="H21" s="77"/>
    </row>
    <row r="22" spans="1:8" x14ac:dyDescent="0.25">
      <c r="A22" s="44" t="s">
        <v>879</v>
      </c>
      <c r="B22" s="80" t="s">
        <v>880</v>
      </c>
      <c r="C22" s="14"/>
      <c r="D22" s="1001"/>
      <c r="E22" s="74"/>
      <c r="F22" s="75"/>
      <c r="G22" s="76"/>
      <c r="H22" s="77"/>
    </row>
    <row r="23" spans="1:8" x14ac:dyDescent="0.25">
      <c r="A23" s="43" t="s">
        <v>881</v>
      </c>
      <c r="B23" s="81" t="s">
        <v>1099</v>
      </c>
      <c r="C23" s="14" t="s">
        <v>14</v>
      </c>
      <c r="D23" s="68">
        <f>57382/6</f>
        <v>9563.6666666666661</v>
      </c>
      <c r="E23" s="74">
        <v>0.03</v>
      </c>
      <c r="F23" s="75">
        <f t="shared" ref="F23:F35" si="0">+D23+D23*E23</f>
        <v>9850.5766666666659</v>
      </c>
      <c r="G23" s="76">
        <f t="shared" ref="G23:G35" si="1">F23*0.19</f>
        <v>1871.6095666666665</v>
      </c>
      <c r="H23" s="77">
        <f t="shared" ref="H23:H35" si="2">ROUND((F23+G23),0)</f>
        <v>11722</v>
      </c>
    </row>
    <row r="24" spans="1:8" x14ac:dyDescent="0.25">
      <c r="A24" s="43" t="s">
        <v>1100</v>
      </c>
      <c r="B24" s="81" t="s">
        <v>1102</v>
      </c>
      <c r="C24" s="14" t="s">
        <v>14</v>
      </c>
      <c r="D24" s="68">
        <f>84175/6</f>
        <v>14029.166666666666</v>
      </c>
      <c r="E24" s="74">
        <v>0.03</v>
      </c>
      <c r="F24" s="75">
        <f t="shared" si="0"/>
        <v>14450.041666666666</v>
      </c>
      <c r="G24" s="76">
        <f t="shared" si="1"/>
        <v>2745.5079166666665</v>
      </c>
      <c r="H24" s="77">
        <f t="shared" si="2"/>
        <v>17196</v>
      </c>
    </row>
    <row r="25" spans="1:8" x14ac:dyDescent="0.25">
      <c r="A25" s="43" t="s">
        <v>882</v>
      </c>
      <c r="B25" s="81" t="s">
        <v>1103</v>
      </c>
      <c r="C25" s="14" t="s">
        <v>14</v>
      </c>
      <c r="D25" s="68">
        <f>125587/6</f>
        <v>20931.166666666668</v>
      </c>
      <c r="E25" s="74">
        <v>0.03</v>
      </c>
      <c r="F25" s="75">
        <f t="shared" si="0"/>
        <v>21559.101666666669</v>
      </c>
      <c r="G25" s="76">
        <f t="shared" si="1"/>
        <v>4096.2293166666668</v>
      </c>
      <c r="H25" s="77">
        <f t="shared" si="2"/>
        <v>25655</v>
      </c>
    </row>
    <row r="26" spans="1:8" x14ac:dyDescent="0.25">
      <c r="A26" s="43" t="s">
        <v>1101</v>
      </c>
      <c r="B26" s="81" t="s">
        <v>1104</v>
      </c>
      <c r="C26" s="14" t="s">
        <v>14</v>
      </c>
      <c r="D26" s="68">
        <f>207210/6</f>
        <v>34535</v>
      </c>
      <c r="E26" s="74">
        <v>0.03</v>
      </c>
      <c r="F26" s="75">
        <f t="shared" si="0"/>
        <v>35571.050000000003</v>
      </c>
      <c r="G26" s="76">
        <f t="shared" si="1"/>
        <v>6758.4995000000008</v>
      </c>
      <c r="H26" s="77">
        <f t="shared" si="2"/>
        <v>42330</v>
      </c>
    </row>
    <row r="27" spans="1:8" x14ac:dyDescent="0.25">
      <c r="A27" s="43" t="s">
        <v>883</v>
      </c>
      <c r="B27" s="81" t="s">
        <v>7723</v>
      </c>
      <c r="C27" s="14" t="s">
        <v>14</v>
      </c>
      <c r="D27" s="68">
        <f>452446/6</f>
        <v>75407.666666666672</v>
      </c>
      <c r="E27" s="74">
        <v>0.03</v>
      </c>
      <c r="F27" s="75">
        <f t="shared" si="0"/>
        <v>77669.896666666667</v>
      </c>
      <c r="G27" s="76">
        <f t="shared" si="1"/>
        <v>14757.280366666668</v>
      </c>
      <c r="H27" s="77">
        <f t="shared" si="2"/>
        <v>92427</v>
      </c>
    </row>
    <row r="28" spans="1:8" x14ac:dyDescent="0.25">
      <c r="A28" s="43" t="s">
        <v>884</v>
      </c>
      <c r="B28" s="81" t="s">
        <v>1106</v>
      </c>
      <c r="C28" s="14" t="s">
        <v>14</v>
      </c>
      <c r="D28" s="68">
        <f>766391/6</f>
        <v>127731.83333333333</v>
      </c>
      <c r="E28" s="74">
        <v>0.03</v>
      </c>
      <c r="F28" s="75">
        <f t="shared" si="0"/>
        <v>131563.78833333333</v>
      </c>
      <c r="G28" s="76">
        <f t="shared" si="1"/>
        <v>24997.119783333332</v>
      </c>
      <c r="H28" s="77">
        <f t="shared" si="2"/>
        <v>156561</v>
      </c>
    </row>
    <row r="29" spans="1:8" x14ac:dyDescent="0.25">
      <c r="A29" s="43" t="s">
        <v>885</v>
      </c>
      <c r="B29" s="81" t="s">
        <v>7221</v>
      </c>
      <c r="C29" s="14" t="s">
        <v>14</v>
      </c>
      <c r="D29" s="68">
        <f>1206456/6</f>
        <v>201076</v>
      </c>
      <c r="E29" s="74">
        <v>0.03</v>
      </c>
      <c r="F29" s="75">
        <f t="shared" si="0"/>
        <v>207108.28</v>
      </c>
      <c r="G29" s="76">
        <f t="shared" si="1"/>
        <v>39350.573199999999</v>
      </c>
      <c r="H29" s="77">
        <f t="shared" si="2"/>
        <v>246459</v>
      </c>
    </row>
    <row r="30" spans="1:8" x14ac:dyDescent="0.25">
      <c r="A30" s="43" t="s">
        <v>886</v>
      </c>
      <c r="B30" s="81" t="s">
        <v>1108</v>
      </c>
      <c r="C30" s="14" t="s">
        <v>14</v>
      </c>
      <c r="D30" s="68">
        <f>1688062/6</f>
        <v>281343.66666666669</v>
      </c>
      <c r="E30" s="74">
        <v>0.03</v>
      </c>
      <c r="F30" s="75">
        <f t="shared" si="0"/>
        <v>289783.97666666668</v>
      </c>
      <c r="G30" s="76">
        <f t="shared" si="1"/>
        <v>55058.955566666671</v>
      </c>
      <c r="H30" s="77">
        <f t="shared" si="2"/>
        <v>344843</v>
      </c>
    </row>
    <row r="31" spans="1:8" x14ac:dyDescent="0.25">
      <c r="A31" s="43" t="s">
        <v>1109</v>
      </c>
      <c r="B31" s="81" t="s">
        <v>7403</v>
      </c>
      <c r="C31" s="14" t="s">
        <v>14</v>
      </c>
      <c r="D31" s="1001">
        <f>2093404/6</f>
        <v>348900.66666666669</v>
      </c>
      <c r="E31" s="74">
        <v>0.03</v>
      </c>
      <c r="F31" s="75">
        <f t="shared" si="0"/>
        <v>359367.6866666667</v>
      </c>
      <c r="G31" s="76">
        <f t="shared" si="1"/>
        <v>68279.86046666668</v>
      </c>
      <c r="H31" s="77">
        <f t="shared" si="2"/>
        <v>427648</v>
      </c>
    </row>
    <row r="32" spans="1:8" x14ac:dyDescent="0.25">
      <c r="A32" s="43" t="s">
        <v>1110</v>
      </c>
      <c r="B32" s="81" t="s">
        <v>7558</v>
      </c>
      <c r="C32" s="14" t="s">
        <v>14</v>
      </c>
      <c r="D32" s="1001">
        <f>2747623/6</f>
        <v>457937.16666666669</v>
      </c>
      <c r="E32" s="74">
        <v>0.03</v>
      </c>
      <c r="F32" s="75">
        <f t="shared" si="0"/>
        <v>471675.28166666668</v>
      </c>
      <c r="G32" s="76">
        <f t="shared" si="1"/>
        <v>89618.303516666667</v>
      </c>
      <c r="H32" s="77">
        <f t="shared" si="2"/>
        <v>561294</v>
      </c>
    </row>
    <row r="33" spans="1:8" x14ac:dyDescent="0.25">
      <c r="A33" s="43" t="s">
        <v>1111</v>
      </c>
      <c r="B33" s="81" t="s">
        <v>1115</v>
      </c>
      <c r="C33" s="14" t="s">
        <v>14</v>
      </c>
      <c r="D33" s="1001">
        <f>3526526/6</f>
        <v>587754.33333333337</v>
      </c>
      <c r="E33" s="74">
        <v>0.03</v>
      </c>
      <c r="F33" s="75">
        <f t="shared" si="0"/>
        <v>605386.96333333338</v>
      </c>
      <c r="G33" s="76">
        <f t="shared" si="1"/>
        <v>115023.52303333335</v>
      </c>
      <c r="H33" s="77">
        <f t="shared" si="2"/>
        <v>720410</v>
      </c>
    </row>
    <row r="34" spans="1:8" x14ac:dyDescent="0.25">
      <c r="A34" s="43" t="s">
        <v>1112</v>
      </c>
      <c r="B34" s="81" t="s">
        <v>1116</v>
      </c>
      <c r="C34" s="14" t="s">
        <v>14</v>
      </c>
      <c r="D34" s="1001">
        <f>4392692/6</f>
        <v>732115.33333333337</v>
      </c>
      <c r="E34" s="74">
        <v>0.03</v>
      </c>
      <c r="F34" s="75">
        <f t="shared" si="0"/>
        <v>754078.79333333333</v>
      </c>
      <c r="G34" s="76">
        <f t="shared" si="1"/>
        <v>143274.97073333332</v>
      </c>
      <c r="H34" s="77">
        <f t="shared" si="2"/>
        <v>897354</v>
      </c>
    </row>
    <row r="35" spans="1:8" x14ac:dyDescent="0.25">
      <c r="A35" s="43" t="s">
        <v>1117</v>
      </c>
      <c r="B35" s="81" t="s">
        <v>1118</v>
      </c>
      <c r="C35" s="14" t="s">
        <v>14</v>
      </c>
      <c r="D35" s="1001">
        <f>6491324/6</f>
        <v>1081887.3333333333</v>
      </c>
      <c r="E35" s="74">
        <v>0.03</v>
      </c>
      <c r="F35" s="75">
        <f t="shared" si="0"/>
        <v>1114343.9533333331</v>
      </c>
      <c r="G35" s="76">
        <f t="shared" si="1"/>
        <v>211725.35113333329</v>
      </c>
      <c r="H35" s="77">
        <f t="shared" si="2"/>
        <v>1326069</v>
      </c>
    </row>
    <row r="36" spans="1:8" x14ac:dyDescent="0.25">
      <c r="A36" s="44" t="s">
        <v>1119</v>
      </c>
      <c r="B36" s="80" t="s">
        <v>1148</v>
      </c>
      <c r="C36" s="14"/>
      <c r="D36" s="1001"/>
      <c r="E36" s="74"/>
      <c r="F36" s="75"/>
      <c r="G36" s="76"/>
      <c r="H36" s="77"/>
    </row>
    <row r="37" spans="1:8" x14ac:dyDescent="0.25">
      <c r="A37" s="43" t="s">
        <v>1120</v>
      </c>
      <c r="B37" s="81" t="s">
        <v>1121</v>
      </c>
      <c r="C37" s="14" t="s">
        <v>14</v>
      </c>
      <c r="D37" s="68">
        <f>47661/6</f>
        <v>7943.5</v>
      </c>
      <c r="E37" s="74">
        <v>0.03</v>
      </c>
      <c r="F37" s="75">
        <f t="shared" ref="F37:F44" si="3">+D37+D37*E37</f>
        <v>8181.8050000000003</v>
      </c>
      <c r="G37" s="76">
        <f t="shared" ref="G37:G49" si="4">F37*0.19</f>
        <v>1554.54295</v>
      </c>
      <c r="H37" s="77">
        <f t="shared" ref="H37:H44" si="5">ROUND((F37+G37),0)</f>
        <v>9736</v>
      </c>
    </row>
    <row r="38" spans="1:8" x14ac:dyDescent="0.25">
      <c r="A38" s="43" t="s">
        <v>1134</v>
      </c>
      <c r="B38" s="81" t="s">
        <v>1122</v>
      </c>
      <c r="C38" s="14" t="s">
        <v>14</v>
      </c>
      <c r="D38" s="68">
        <f>70298/6</f>
        <v>11716.333333333334</v>
      </c>
      <c r="E38" s="74">
        <v>0.03</v>
      </c>
      <c r="F38" s="75">
        <f t="shared" si="3"/>
        <v>12067.823333333334</v>
      </c>
      <c r="G38" s="76">
        <f t="shared" si="4"/>
        <v>2292.8864333333336</v>
      </c>
      <c r="H38" s="77">
        <f t="shared" si="5"/>
        <v>14361</v>
      </c>
    </row>
    <row r="39" spans="1:8" x14ac:dyDescent="0.25">
      <c r="A39" s="43" t="s">
        <v>1135</v>
      </c>
      <c r="B39" s="81" t="s">
        <v>1123</v>
      </c>
      <c r="C39" s="14" t="s">
        <v>14</v>
      </c>
      <c r="D39" s="68">
        <f>104739/6</f>
        <v>17456.5</v>
      </c>
      <c r="E39" s="74">
        <v>0.03</v>
      </c>
      <c r="F39" s="75">
        <f t="shared" si="3"/>
        <v>17980.195</v>
      </c>
      <c r="G39" s="76">
        <f t="shared" si="4"/>
        <v>3416.2370500000002</v>
      </c>
      <c r="H39" s="77">
        <f t="shared" si="5"/>
        <v>21396</v>
      </c>
    </row>
    <row r="40" spans="1:8" x14ac:dyDescent="0.25">
      <c r="A40" s="43" t="s">
        <v>1136</v>
      </c>
      <c r="B40" s="81" t="s">
        <v>1124</v>
      </c>
      <c r="C40" s="14" t="s">
        <v>14</v>
      </c>
      <c r="D40" s="68">
        <f>172990/6</f>
        <v>28831.666666666668</v>
      </c>
      <c r="E40" s="74">
        <v>0.03</v>
      </c>
      <c r="F40" s="75">
        <f t="shared" si="3"/>
        <v>29696.616666666669</v>
      </c>
      <c r="G40" s="76">
        <f t="shared" si="4"/>
        <v>5642.3571666666667</v>
      </c>
      <c r="H40" s="77">
        <f t="shared" si="5"/>
        <v>35339</v>
      </c>
    </row>
    <row r="41" spans="1:8" x14ac:dyDescent="0.25">
      <c r="A41" s="43" t="s">
        <v>1137</v>
      </c>
      <c r="B41" s="81" t="s">
        <v>7724</v>
      </c>
      <c r="C41" s="14" t="s">
        <v>14</v>
      </c>
      <c r="D41" s="68">
        <f>370574/6</f>
        <v>61762.333333333336</v>
      </c>
      <c r="E41" s="74">
        <v>0.03</v>
      </c>
      <c r="F41" s="75">
        <f t="shared" si="3"/>
        <v>63615.203333333338</v>
      </c>
      <c r="G41" s="76">
        <f t="shared" si="4"/>
        <v>12086.888633333334</v>
      </c>
      <c r="H41" s="77">
        <f t="shared" si="5"/>
        <v>75702</v>
      </c>
    </row>
    <row r="42" spans="1:8" x14ac:dyDescent="0.25">
      <c r="A42" s="43" t="s">
        <v>1138</v>
      </c>
      <c r="B42" s="81" t="s">
        <v>1126</v>
      </c>
      <c r="C42" s="14" t="s">
        <v>14</v>
      </c>
      <c r="D42" s="68">
        <f>630423/6</f>
        <v>105070.5</v>
      </c>
      <c r="E42" s="74">
        <v>0.03</v>
      </c>
      <c r="F42" s="75">
        <f t="shared" si="3"/>
        <v>108222.61500000001</v>
      </c>
      <c r="G42" s="76">
        <f t="shared" si="4"/>
        <v>20562.296850000002</v>
      </c>
      <c r="H42" s="77">
        <f t="shared" si="5"/>
        <v>128785</v>
      </c>
    </row>
    <row r="43" spans="1:8" x14ac:dyDescent="0.25">
      <c r="A43" s="43" t="s">
        <v>1139</v>
      </c>
      <c r="B43" s="81" t="s">
        <v>7222</v>
      </c>
      <c r="C43" s="14" t="s">
        <v>14</v>
      </c>
      <c r="D43" s="68">
        <f>981269/6</f>
        <v>163544.83333333334</v>
      </c>
      <c r="E43" s="74">
        <v>0.03</v>
      </c>
      <c r="F43" s="75">
        <f t="shared" si="3"/>
        <v>168451.17833333334</v>
      </c>
      <c r="G43" s="76">
        <f t="shared" si="4"/>
        <v>32005.723883333336</v>
      </c>
      <c r="H43" s="77">
        <f t="shared" si="5"/>
        <v>200457</v>
      </c>
    </row>
    <row r="44" spans="1:8" x14ac:dyDescent="0.25">
      <c r="A44" s="43" t="s">
        <v>1140</v>
      </c>
      <c r="B44" s="81" t="s">
        <v>1128</v>
      </c>
      <c r="C44" s="14" t="s">
        <v>14</v>
      </c>
      <c r="D44" s="68">
        <f>1383252/6</f>
        <v>230542</v>
      </c>
      <c r="E44" s="74">
        <v>0.03</v>
      </c>
      <c r="F44" s="75">
        <f t="shared" si="3"/>
        <v>237458.26</v>
      </c>
      <c r="G44" s="76">
        <f t="shared" si="4"/>
        <v>45117.0694</v>
      </c>
      <c r="H44" s="77">
        <f t="shared" si="5"/>
        <v>282575</v>
      </c>
    </row>
    <row r="45" spans="1:8" x14ac:dyDescent="0.25">
      <c r="A45" s="43" t="s">
        <v>1141</v>
      </c>
      <c r="B45" s="81" t="s">
        <v>7404</v>
      </c>
      <c r="C45" s="14" t="s">
        <v>14</v>
      </c>
      <c r="D45" s="1001">
        <f>1402552/6</f>
        <v>233758.66666666666</v>
      </c>
      <c r="E45" s="74">
        <v>0.03</v>
      </c>
      <c r="F45" s="75">
        <f>+D45+D45*E45</f>
        <v>240771.42666666667</v>
      </c>
      <c r="G45" s="76">
        <f t="shared" si="4"/>
        <v>45746.571066666664</v>
      </c>
      <c r="H45" s="77">
        <f>ROUND((F45+G45),0)</f>
        <v>286518</v>
      </c>
    </row>
    <row r="46" spans="1:8" x14ac:dyDescent="0.25">
      <c r="A46" s="43" t="s">
        <v>1142</v>
      </c>
      <c r="B46" s="81" t="s">
        <v>7559</v>
      </c>
      <c r="C46" s="14" t="s">
        <v>14</v>
      </c>
      <c r="D46" s="1002">
        <f>1865261/6</f>
        <v>310876.83333333331</v>
      </c>
      <c r="E46" s="74">
        <v>0.03</v>
      </c>
      <c r="F46" s="75">
        <f>+D46+D46*E46</f>
        <v>320203.13833333331</v>
      </c>
      <c r="G46" s="76">
        <f t="shared" si="4"/>
        <v>60838.596283333332</v>
      </c>
      <c r="H46" s="77">
        <f>ROUND((F46+G46),0)</f>
        <v>381042</v>
      </c>
    </row>
    <row r="47" spans="1:8" x14ac:dyDescent="0.25">
      <c r="A47" s="43" t="s">
        <v>1143</v>
      </c>
      <c r="B47" s="81" t="s">
        <v>1131</v>
      </c>
      <c r="C47" s="14" t="s">
        <v>14</v>
      </c>
      <c r="D47" s="1002">
        <f>2364979/6</f>
        <v>394163.16666666669</v>
      </c>
      <c r="E47" s="74">
        <v>0.03</v>
      </c>
      <c r="F47" s="129">
        <f>+D47+D47*E47</f>
        <v>405988.0616666667</v>
      </c>
      <c r="G47" s="130">
        <f t="shared" si="4"/>
        <v>77137.731716666676</v>
      </c>
      <c r="H47" s="131">
        <f>ROUND((F47+G47),0)</f>
        <v>483126</v>
      </c>
    </row>
    <row r="48" spans="1:8" x14ac:dyDescent="0.25">
      <c r="A48" s="43" t="s">
        <v>1144</v>
      </c>
      <c r="B48" s="81" t="s">
        <v>1133</v>
      </c>
      <c r="C48" s="14" t="s">
        <v>14</v>
      </c>
      <c r="D48" s="1002">
        <f>3107271/6</f>
        <v>517878.5</v>
      </c>
      <c r="E48" s="74">
        <v>0.03</v>
      </c>
      <c r="F48" s="129">
        <f>+D48+D48*E48</f>
        <v>533414.85499999998</v>
      </c>
      <c r="G48" s="130">
        <f t="shared" si="4"/>
        <v>101348.82244999999</v>
      </c>
      <c r="H48" s="131">
        <f>ROUND((F48+G48),0)</f>
        <v>634764</v>
      </c>
    </row>
    <row r="49" spans="1:8" x14ac:dyDescent="0.25">
      <c r="A49" s="43" t="s">
        <v>1145</v>
      </c>
      <c r="B49" s="81" t="s">
        <v>1132</v>
      </c>
      <c r="C49" s="14" t="s">
        <v>14</v>
      </c>
      <c r="D49" s="999">
        <f>4440530/6</f>
        <v>740088.33333333337</v>
      </c>
      <c r="E49" s="74">
        <v>0.03</v>
      </c>
      <c r="F49" s="75">
        <f>+D49+D49*E49</f>
        <v>762290.9833333334</v>
      </c>
      <c r="G49" s="76">
        <f t="shared" si="4"/>
        <v>144835.28683333335</v>
      </c>
      <c r="H49" s="77">
        <f>ROUND((F49+G49),0)</f>
        <v>907126</v>
      </c>
    </row>
    <row r="50" spans="1:8" x14ac:dyDescent="0.25">
      <c r="A50" s="44" t="s">
        <v>1146</v>
      </c>
      <c r="B50" s="80" t="s">
        <v>1149</v>
      </c>
      <c r="C50" s="14"/>
      <c r="D50" s="999"/>
      <c r="E50" s="74"/>
      <c r="F50" s="26"/>
      <c r="G50" s="26"/>
      <c r="H50" s="92"/>
    </row>
    <row r="51" spans="1:8" x14ac:dyDescent="0.25">
      <c r="A51" s="43" t="s">
        <v>1147</v>
      </c>
      <c r="B51" s="81" t="s">
        <v>1150</v>
      </c>
      <c r="C51" s="14" t="s">
        <v>14</v>
      </c>
      <c r="D51" s="68">
        <f>84141/6</f>
        <v>14023.5</v>
      </c>
      <c r="E51" s="74">
        <v>0.03</v>
      </c>
      <c r="F51" s="75">
        <f t="shared" ref="F51:F61" si="6">+D51+D51*E51</f>
        <v>14444.205</v>
      </c>
      <c r="G51" s="76">
        <f t="shared" ref="G51:G61" si="7">F51*0.19</f>
        <v>2744.3989500000002</v>
      </c>
      <c r="H51" s="77">
        <f>ROUND((F51+G51),0)</f>
        <v>17189</v>
      </c>
    </row>
    <row r="52" spans="1:8" x14ac:dyDescent="0.25">
      <c r="A52" s="43" t="s">
        <v>1164</v>
      </c>
      <c r="B52" s="81" t="s">
        <v>1151</v>
      </c>
      <c r="C52" s="14" t="s">
        <v>14</v>
      </c>
      <c r="D52" s="68">
        <f>138709/6</f>
        <v>23118.166666666668</v>
      </c>
      <c r="E52" s="74">
        <v>0.03</v>
      </c>
      <c r="F52" s="75">
        <f t="shared" si="6"/>
        <v>23811.711666666666</v>
      </c>
      <c r="G52" s="76">
        <f t="shared" si="7"/>
        <v>4524.2252166666667</v>
      </c>
      <c r="H52" s="77">
        <f t="shared" ref="H52:H61" si="8">ROUND((F52+G52),0)</f>
        <v>28336</v>
      </c>
    </row>
    <row r="53" spans="1:8" x14ac:dyDescent="0.25">
      <c r="A53" s="43" t="s">
        <v>1165</v>
      </c>
      <c r="B53" s="81" t="s">
        <v>7725</v>
      </c>
      <c r="C53" s="14" t="s">
        <v>14</v>
      </c>
      <c r="D53" s="68">
        <f>302345/6</f>
        <v>50390.833333333336</v>
      </c>
      <c r="E53" s="74">
        <v>0.03</v>
      </c>
      <c r="F53" s="75">
        <f t="shared" si="6"/>
        <v>51902.558333333334</v>
      </c>
      <c r="G53" s="76">
        <f t="shared" si="7"/>
        <v>9861.4860833333332</v>
      </c>
      <c r="H53" s="77">
        <f t="shared" si="8"/>
        <v>61764</v>
      </c>
    </row>
    <row r="54" spans="1:8" x14ac:dyDescent="0.25">
      <c r="A54" s="43" t="s">
        <v>1166</v>
      </c>
      <c r="B54" s="81" t="s">
        <v>1153</v>
      </c>
      <c r="C54" s="14" t="s">
        <v>14</v>
      </c>
      <c r="D54" s="68">
        <f>514460/6</f>
        <v>85743.333333333328</v>
      </c>
      <c r="E54" s="74">
        <v>0.03</v>
      </c>
      <c r="F54" s="75">
        <f t="shared" si="6"/>
        <v>88315.633333333331</v>
      </c>
      <c r="G54" s="76">
        <f t="shared" si="7"/>
        <v>16779.970333333335</v>
      </c>
      <c r="H54" s="77">
        <f t="shared" si="8"/>
        <v>105096</v>
      </c>
    </row>
    <row r="55" spans="1:8" x14ac:dyDescent="0.25">
      <c r="A55" s="43" t="s">
        <v>1167</v>
      </c>
      <c r="B55" s="81" t="s">
        <v>7223</v>
      </c>
      <c r="C55" s="14" t="s">
        <v>14</v>
      </c>
      <c r="D55" s="68">
        <f>804172/6</f>
        <v>134028.66666666666</v>
      </c>
      <c r="E55" s="74">
        <v>0.03</v>
      </c>
      <c r="F55" s="75">
        <f t="shared" si="6"/>
        <v>138049.52666666664</v>
      </c>
      <c r="G55" s="76">
        <f t="shared" si="7"/>
        <v>26229.410066666664</v>
      </c>
      <c r="H55" s="77">
        <f t="shared" si="8"/>
        <v>164279</v>
      </c>
    </row>
    <row r="56" spans="1:8" x14ac:dyDescent="0.25">
      <c r="A56" s="43" t="s">
        <v>1168</v>
      </c>
      <c r="B56" s="81" t="s">
        <v>1155</v>
      </c>
      <c r="C56" s="14" t="s">
        <v>14</v>
      </c>
      <c r="D56" s="68">
        <f>1132870/6</f>
        <v>188811.66666666666</v>
      </c>
      <c r="E56" s="74">
        <v>0.03</v>
      </c>
      <c r="F56" s="75">
        <f t="shared" si="6"/>
        <v>194476.01666666666</v>
      </c>
      <c r="G56" s="76">
        <f t="shared" si="7"/>
        <v>36950.443166666664</v>
      </c>
      <c r="H56" s="77">
        <f t="shared" si="8"/>
        <v>231426</v>
      </c>
    </row>
    <row r="57" spans="1:8" x14ac:dyDescent="0.25">
      <c r="A57" s="43" t="s">
        <v>1169</v>
      </c>
      <c r="B57" s="81" t="s">
        <v>7405</v>
      </c>
      <c r="C57" s="14" t="s">
        <v>14</v>
      </c>
      <c r="D57" s="999">
        <f>1402552/6</f>
        <v>233758.66666666666</v>
      </c>
      <c r="E57" s="74">
        <v>0.03</v>
      </c>
      <c r="F57" s="75">
        <f t="shared" si="6"/>
        <v>240771.42666666667</v>
      </c>
      <c r="G57" s="76">
        <f t="shared" si="7"/>
        <v>45746.571066666664</v>
      </c>
      <c r="H57" s="77">
        <f t="shared" si="8"/>
        <v>286518</v>
      </c>
    </row>
    <row r="58" spans="1:8" x14ac:dyDescent="0.25">
      <c r="A58" s="43" t="s">
        <v>1170</v>
      </c>
      <c r="B58" s="81" t="s">
        <v>7560</v>
      </c>
      <c r="C58" s="14" t="s">
        <v>14</v>
      </c>
      <c r="D58" s="999">
        <f>1865261/6</f>
        <v>310876.83333333331</v>
      </c>
      <c r="E58" s="74">
        <v>0.03</v>
      </c>
      <c r="F58" s="75">
        <f t="shared" si="6"/>
        <v>320203.13833333331</v>
      </c>
      <c r="G58" s="76">
        <f t="shared" si="7"/>
        <v>60838.596283333332</v>
      </c>
      <c r="H58" s="77">
        <f t="shared" si="8"/>
        <v>381042</v>
      </c>
    </row>
    <row r="59" spans="1:8" x14ac:dyDescent="0.25">
      <c r="A59" s="43" t="s">
        <v>1171</v>
      </c>
      <c r="B59" s="81" t="s">
        <v>1158</v>
      </c>
      <c r="C59" s="14" t="s">
        <v>14</v>
      </c>
      <c r="D59" s="999">
        <f>2364979/6</f>
        <v>394163.16666666669</v>
      </c>
      <c r="E59" s="74">
        <v>0.03</v>
      </c>
      <c r="F59" s="75">
        <f t="shared" si="6"/>
        <v>405988.0616666667</v>
      </c>
      <c r="G59" s="76">
        <f t="shared" si="7"/>
        <v>77137.731716666676</v>
      </c>
      <c r="H59" s="77">
        <f t="shared" si="8"/>
        <v>483126</v>
      </c>
    </row>
    <row r="60" spans="1:8" x14ac:dyDescent="0.25">
      <c r="A60" s="43" t="s">
        <v>1172</v>
      </c>
      <c r="B60" s="81" t="s">
        <v>1159</v>
      </c>
      <c r="C60" s="14" t="s">
        <v>14</v>
      </c>
      <c r="D60" s="999">
        <f>3107271/6</f>
        <v>517878.5</v>
      </c>
      <c r="E60" s="74">
        <v>0.03</v>
      </c>
      <c r="F60" s="75">
        <f t="shared" si="6"/>
        <v>533414.85499999998</v>
      </c>
      <c r="G60" s="76">
        <f t="shared" si="7"/>
        <v>101348.82244999999</v>
      </c>
      <c r="H60" s="77">
        <f t="shared" si="8"/>
        <v>634764</v>
      </c>
    </row>
    <row r="61" spans="1:8" x14ac:dyDescent="0.25">
      <c r="A61" s="43" t="s">
        <v>1173</v>
      </c>
      <c r="B61" s="81" t="s">
        <v>1160</v>
      </c>
      <c r="C61" s="14" t="s">
        <v>14</v>
      </c>
      <c r="D61" s="999">
        <f>4440530/6</f>
        <v>740088.33333333337</v>
      </c>
      <c r="E61" s="74">
        <v>0.03</v>
      </c>
      <c r="F61" s="75">
        <f t="shared" si="6"/>
        <v>762290.9833333334</v>
      </c>
      <c r="G61" s="76">
        <f t="shared" si="7"/>
        <v>144835.28683333335</v>
      </c>
      <c r="H61" s="77">
        <f t="shared" si="8"/>
        <v>907126</v>
      </c>
    </row>
    <row r="62" spans="1:8" x14ac:dyDescent="0.25">
      <c r="A62" s="44" t="s">
        <v>1162</v>
      </c>
      <c r="B62" s="80" t="s">
        <v>1161</v>
      </c>
      <c r="C62" s="14"/>
      <c r="D62" s="999"/>
      <c r="E62" s="74"/>
      <c r="F62" s="26"/>
      <c r="G62" s="26"/>
      <c r="H62" s="92"/>
    </row>
    <row r="63" spans="1:8" x14ac:dyDescent="0.25">
      <c r="A63" s="43" t="s">
        <v>1163</v>
      </c>
      <c r="B63" s="81" t="s">
        <v>1183</v>
      </c>
      <c r="C63" s="14" t="s">
        <v>14</v>
      </c>
      <c r="D63" s="68">
        <f>114959/6</f>
        <v>19159.833333333332</v>
      </c>
      <c r="E63" s="74">
        <v>0.03</v>
      </c>
      <c r="F63" s="75">
        <f t="shared" ref="F63:F72" si="9">+D63+D63*E63</f>
        <v>19734.62833333333</v>
      </c>
      <c r="G63" s="76">
        <f t="shared" ref="G63:G72" si="10">F63*0.19</f>
        <v>3749.5793833333328</v>
      </c>
      <c r="H63" s="77">
        <f t="shared" ref="H63:H72" si="11">ROUND((F63+G63),0)</f>
        <v>23484</v>
      </c>
    </row>
    <row r="64" spans="1:8" x14ac:dyDescent="0.25">
      <c r="A64" s="43" t="s">
        <v>1174</v>
      </c>
      <c r="B64" s="81" t="s">
        <v>7726</v>
      </c>
      <c r="C64" s="14" t="s">
        <v>14</v>
      </c>
      <c r="D64" s="68">
        <f>243708/6</f>
        <v>40618</v>
      </c>
      <c r="E64" s="74">
        <v>0.03</v>
      </c>
      <c r="F64" s="75">
        <f t="shared" si="9"/>
        <v>41836.54</v>
      </c>
      <c r="G64" s="76">
        <f t="shared" si="10"/>
        <v>7948.9426000000003</v>
      </c>
      <c r="H64" s="77">
        <f t="shared" si="11"/>
        <v>49785</v>
      </c>
    </row>
    <row r="65" spans="1:8" x14ac:dyDescent="0.25">
      <c r="A65" s="43" t="s">
        <v>1175</v>
      </c>
      <c r="B65" s="81" t="s">
        <v>1185</v>
      </c>
      <c r="C65" s="14" t="s">
        <v>14</v>
      </c>
      <c r="D65" s="68">
        <f>411634/6</f>
        <v>68605.666666666672</v>
      </c>
      <c r="E65" s="74">
        <v>0.03</v>
      </c>
      <c r="F65" s="75">
        <f t="shared" si="9"/>
        <v>70663.83666666667</v>
      </c>
      <c r="G65" s="76">
        <f t="shared" si="10"/>
        <v>13426.128966666667</v>
      </c>
      <c r="H65" s="77">
        <f t="shared" si="11"/>
        <v>84090</v>
      </c>
    </row>
    <row r="66" spans="1:8" x14ac:dyDescent="0.25">
      <c r="A66" s="43" t="s">
        <v>1176</v>
      </c>
      <c r="B66" s="81" t="s">
        <v>7224</v>
      </c>
      <c r="C66" s="14" t="s">
        <v>14</v>
      </c>
      <c r="D66" s="68">
        <f>643693/6</f>
        <v>107282.16666666667</v>
      </c>
      <c r="E66" s="74">
        <v>0.03</v>
      </c>
      <c r="F66" s="75">
        <f t="shared" si="9"/>
        <v>110500.63166666667</v>
      </c>
      <c r="G66" s="76">
        <f t="shared" si="10"/>
        <v>20995.120016666668</v>
      </c>
      <c r="H66" s="77">
        <f t="shared" si="11"/>
        <v>131496</v>
      </c>
    </row>
    <row r="67" spans="1:8" x14ac:dyDescent="0.25">
      <c r="A67" s="43" t="s">
        <v>1177</v>
      </c>
      <c r="B67" s="81" t="s">
        <v>1187</v>
      </c>
      <c r="C67" s="14" t="s">
        <v>14</v>
      </c>
      <c r="D67" s="68">
        <f>911631/6</f>
        <v>151938.5</v>
      </c>
      <c r="E67" s="74">
        <v>0.03</v>
      </c>
      <c r="F67" s="75">
        <f t="shared" si="9"/>
        <v>156496.655</v>
      </c>
      <c r="G67" s="76">
        <f t="shared" si="10"/>
        <v>29734.364450000001</v>
      </c>
      <c r="H67" s="77">
        <f t="shared" si="11"/>
        <v>186231</v>
      </c>
    </row>
    <row r="68" spans="1:8" x14ac:dyDescent="0.25">
      <c r="A68" s="43" t="s">
        <v>1178</v>
      </c>
      <c r="B68" s="81" t="s">
        <v>7406</v>
      </c>
      <c r="C68" s="14" t="s">
        <v>14</v>
      </c>
      <c r="D68" s="999">
        <f>1151263/6</f>
        <v>191877.16666666666</v>
      </c>
      <c r="E68" s="74">
        <v>0.03</v>
      </c>
      <c r="F68" s="75">
        <f t="shared" si="9"/>
        <v>197633.48166666666</v>
      </c>
      <c r="G68" s="76">
        <f t="shared" si="10"/>
        <v>37550.361516666664</v>
      </c>
      <c r="H68" s="77">
        <f t="shared" si="11"/>
        <v>235184</v>
      </c>
    </row>
    <row r="69" spans="1:8" x14ac:dyDescent="0.25">
      <c r="A69" s="43" t="s">
        <v>1179</v>
      </c>
      <c r="B69" s="81" t="s">
        <v>7561</v>
      </c>
      <c r="C69" s="14" t="s">
        <v>14</v>
      </c>
      <c r="D69" s="999">
        <f>1549806/6</f>
        <v>258301</v>
      </c>
      <c r="E69" s="74">
        <v>0.03</v>
      </c>
      <c r="F69" s="75">
        <f t="shared" si="9"/>
        <v>266050.03000000003</v>
      </c>
      <c r="G69" s="76">
        <f t="shared" si="10"/>
        <v>50549.505700000009</v>
      </c>
      <c r="H69" s="77">
        <f t="shared" si="11"/>
        <v>316600</v>
      </c>
    </row>
    <row r="70" spans="1:8" x14ac:dyDescent="0.25">
      <c r="A70" s="43" t="s">
        <v>1180</v>
      </c>
      <c r="B70" s="81" t="s">
        <v>1190</v>
      </c>
      <c r="C70" s="14" t="s">
        <v>14</v>
      </c>
      <c r="D70" s="999">
        <f>2016258/6</f>
        <v>336043</v>
      </c>
      <c r="E70" s="74">
        <v>0.03</v>
      </c>
      <c r="F70" s="75">
        <f t="shared" si="9"/>
        <v>346124.29</v>
      </c>
      <c r="G70" s="76">
        <f t="shared" si="10"/>
        <v>65763.615099999995</v>
      </c>
      <c r="H70" s="77">
        <f t="shared" si="11"/>
        <v>411888</v>
      </c>
    </row>
    <row r="71" spans="1:8" x14ac:dyDescent="0.25">
      <c r="A71" s="43" t="s">
        <v>1181</v>
      </c>
      <c r="B71" s="81" t="s">
        <v>1191</v>
      </c>
      <c r="C71" s="14" t="s">
        <v>14</v>
      </c>
      <c r="D71" s="999">
        <f>2558587/6</f>
        <v>426431.16666666669</v>
      </c>
      <c r="E71" s="74">
        <v>0.03</v>
      </c>
      <c r="F71" s="75">
        <f t="shared" si="9"/>
        <v>439224.10166666668</v>
      </c>
      <c r="G71" s="76">
        <f t="shared" si="10"/>
        <v>83452.57931666667</v>
      </c>
      <c r="H71" s="77">
        <f t="shared" si="11"/>
        <v>522677</v>
      </c>
    </row>
    <row r="72" spans="1:8" x14ac:dyDescent="0.25">
      <c r="A72" s="43" t="s">
        <v>1182</v>
      </c>
      <c r="B72" s="81" t="s">
        <v>1192</v>
      </c>
      <c r="C72" s="14" t="s">
        <v>14</v>
      </c>
      <c r="D72" s="999">
        <f>3601814/6</f>
        <v>600302.33333333337</v>
      </c>
      <c r="E72" s="74">
        <v>0.03</v>
      </c>
      <c r="F72" s="75">
        <f t="shared" si="9"/>
        <v>618311.40333333332</v>
      </c>
      <c r="G72" s="76">
        <f t="shared" si="10"/>
        <v>117479.16663333333</v>
      </c>
      <c r="H72" s="77">
        <f t="shared" si="11"/>
        <v>735791</v>
      </c>
    </row>
    <row r="73" spans="1:8" x14ac:dyDescent="0.25">
      <c r="A73" s="44" t="s">
        <v>1193</v>
      </c>
      <c r="B73" s="80" t="s">
        <v>887</v>
      </c>
      <c r="C73" s="14"/>
      <c r="D73" s="999"/>
      <c r="E73" s="74"/>
      <c r="F73" s="26"/>
      <c r="G73" s="26"/>
      <c r="H73" s="92"/>
    </row>
    <row r="74" spans="1:8" x14ac:dyDescent="0.25">
      <c r="A74" s="43" t="s">
        <v>1196</v>
      </c>
      <c r="B74" s="81" t="s">
        <v>1194</v>
      </c>
      <c r="C74" s="14" t="s">
        <v>14</v>
      </c>
      <c r="D74" s="68">
        <v>1417.752</v>
      </c>
      <c r="E74" s="74">
        <v>0.03</v>
      </c>
      <c r="F74" s="75">
        <f>+D74+D74*E74</f>
        <v>1460.2845600000001</v>
      </c>
      <c r="G74" s="76">
        <f>F74*0.19</f>
        <v>277.45406639999999</v>
      </c>
      <c r="H74" s="77">
        <f>ROUND((F74+G74),0)</f>
        <v>1738</v>
      </c>
    </row>
    <row r="75" spans="1:8" x14ac:dyDescent="0.25">
      <c r="A75" s="43" t="s">
        <v>1197</v>
      </c>
      <c r="B75" s="81" t="s">
        <v>1195</v>
      </c>
      <c r="C75" s="14" t="s">
        <v>14</v>
      </c>
      <c r="D75" s="68">
        <v>2785.9951999999998</v>
      </c>
      <c r="E75" s="74">
        <v>0.03</v>
      </c>
      <c r="F75" s="75">
        <f>+D75+D75*E75</f>
        <v>2869.5750559999997</v>
      </c>
      <c r="G75" s="76">
        <f>F75*0.19</f>
        <v>545.2192606399999</v>
      </c>
      <c r="H75" s="77">
        <f>ROUND((F75+G75),0)</f>
        <v>3415</v>
      </c>
    </row>
    <row r="76" spans="1:8" x14ac:dyDescent="0.25">
      <c r="A76" s="44" t="s">
        <v>1675</v>
      </c>
      <c r="B76" s="80" t="s">
        <v>1676</v>
      </c>
      <c r="C76" s="14"/>
      <c r="D76" s="999"/>
      <c r="E76" s="74"/>
      <c r="F76" s="26"/>
      <c r="G76" s="26"/>
      <c r="H76" s="92"/>
    </row>
    <row r="77" spans="1:8" x14ac:dyDescent="0.25">
      <c r="A77" s="44" t="s">
        <v>1678</v>
      </c>
      <c r="B77" s="80" t="s">
        <v>1677</v>
      </c>
      <c r="C77" s="14"/>
      <c r="D77" s="999"/>
      <c r="E77" s="74"/>
      <c r="F77" s="26"/>
      <c r="G77" s="26"/>
      <c r="H77" s="92"/>
    </row>
    <row r="78" spans="1:8" x14ac:dyDescent="0.25">
      <c r="A78" s="43" t="s">
        <v>1679</v>
      </c>
      <c r="B78" s="81" t="s">
        <v>1682</v>
      </c>
      <c r="C78" s="14" t="s">
        <v>14</v>
      </c>
      <c r="D78" s="999"/>
      <c r="E78" s="74">
        <v>0.03</v>
      </c>
      <c r="F78" s="75">
        <f>+D78+D78*E78</f>
        <v>0</v>
      </c>
      <c r="G78" s="76">
        <f>F78*0.19</f>
        <v>0</v>
      </c>
      <c r="H78" s="77">
        <f>ROUND((F78+G78),0)</f>
        <v>0</v>
      </c>
    </row>
    <row r="79" spans="1:8" x14ac:dyDescent="0.25">
      <c r="A79" s="43" t="s">
        <v>1684</v>
      </c>
      <c r="B79" s="81" t="s">
        <v>1683</v>
      </c>
      <c r="C79" s="14" t="s">
        <v>14</v>
      </c>
      <c r="D79" s="999"/>
      <c r="E79" s="74">
        <v>0.03</v>
      </c>
      <c r="F79" s="75">
        <f>+D79+D79*E79</f>
        <v>0</v>
      </c>
      <c r="G79" s="76">
        <f>F79*0.19</f>
        <v>0</v>
      </c>
      <c r="H79" s="77">
        <f>ROUND((F79+G79),0)</f>
        <v>0</v>
      </c>
    </row>
    <row r="80" spans="1:8" x14ac:dyDescent="0.25">
      <c r="A80" s="43" t="s">
        <v>1685</v>
      </c>
      <c r="B80" s="81" t="s">
        <v>7727</v>
      </c>
      <c r="C80" s="14" t="s">
        <v>14</v>
      </c>
      <c r="D80" s="999"/>
      <c r="E80" s="74">
        <v>0.03</v>
      </c>
      <c r="F80" s="75">
        <f>+D80+D80*E80</f>
        <v>0</v>
      </c>
      <c r="G80" s="76">
        <f>F80*0.19</f>
        <v>0</v>
      </c>
      <c r="H80" s="77">
        <f>ROUND((F80+G80),0)</f>
        <v>0</v>
      </c>
    </row>
    <row r="81" spans="1:8" x14ac:dyDescent="0.25">
      <c r="A81" s="43" t="s">
        <v>1686</v>
      </c>
      <c r="B81" s="81" t="s">
        <v>1681</v>
      </c>
      <c r="C81" s="14" t="s">
        <v>14</v>
      </c>
      <c r="D81" s="999"/>
      <c r="E81" s="74">
        <v>0.03</v>
      </c>
      <c r="F81" s="75">
        <f>+D81+D81*E81</f>
        <v>0</v>
      </c>
      <c r="G81" s="76">
        <f>F81*0.19</f>
        <v>0</v>
      </c>
      <c r="H81" s="77">
        <f>ROUND((F81+G81),0)</f>
        <v>0</v>
      </c>
    </row>
    <row r="82" spans="1:8" x14ac:dyDescent="0.25">
      <c r="A82" s="44" t="s">
        <v>1687</v>
      </c>
      <c r="B82" s="80" t="s">
        <v>1688</v>
      </c>
      <c r="C82" s="14"/>
      <c r="D82" s="999"/>
      <c r="E82" s="74"/>
      <c r="F82" s="26"/>
      <c r="G82" s="26"/>
      <c r="H82" s="92"/>
    </row>
    <row r="83" spans="1:8" x14ac:dyDescent="0.25">
      <c r="A83" s="43" t="s">
        <v>1693</v>
      </c>
      <c r="B83" s="81" t="s">
        <v>1689</v>
      </c>
      <c r="C83" s="14" t="s">
        <v>14</v>
      </c>
      <c r="D83" s="999"/>
      <c r="E83" s="74">
        <v>0.03</v>
      </c>
      <c r="F83" s="75">
        <f>+D83+D83*E83</f>
        <v>0</v>
      </c>
      <c r="G83" s="76">
        <f>F83*0.19</f>
        <v>0</v>
      </c>
      <c r="H83" s="77">
        <f>ROUND((F83+G83),0)</f>
        <v>0</v>
      </c>
    </row>
    <row r="84" spans="1:8" x14ac:dyDescent="0.25">
      <c r="A84" s="43" t="s">
        <v>1694</v>
      </c>
      <c r="B84" s="81" t="s">
        <v>1690</v>
      </c>
      <c r="C84" s="14" t="s">
        <v>14</v>
      </c>
      <c r="D84" s="999"/>
      <c r="E84" s="74">
        <v>0.03</v>
      </c>
      <c r="F84" s="75">
        <f>+D84+D84*E84</f>
        <v>0</v>
      </c>
      <c r="G84" s="76">
        <f>F84*0.19</f>
        <v>0</v>
      </c>
      <c r="H84" s="77">
        <f>ROUND((F84+G84),0)</f>
        <v>0</v>
      </c>
    </row>
    <row r="85" spans="1:8" x14ac:dyDescent="0.25">
      <c r="A85" s="43" t="s">
        <v>1695</v>
      </c>
      <c r="B85" s="81" t="s">
        <v>7728</v>
      </c>
      <c r="C85" s="14" t="s">
        <v>14</v>
      </c>
      <c r="D85" s="999"/>
      <c r="E85" s="74">
        <v>0.03</v>
      </c>
      <c r="F85" s="75">
        <f>+D85+D85*E85</f>
        <v>0</v>
      </c>
      <c r="G85" s="76">
        <f>F85*0.19</f>
        <v>0</v>
      </c>
      <c r="H85" s="77">
        <f>ROUND((F85+G85),0)</f>
        <v>0</v>
      </c>
    </row>
    <row r="86" spans="1:8" x14ac:dyDescent="0.25">
      <c r="A86" s="43" t="s">
        <v>1696</v>
      </c>
      <c r="B86" s="81" t="s">
        <v>1692</v>
      </c>
      <c r="C86" s="14" t="s">
        <v>14</v>
      </c>
      <c r="D86" s="999"/>
      <c r="E86" s="74">
        <v>0.03</v>
      </c>
      <c r="F86" s="75">
        <f>+D86+D86*E86</f>
        <v>0</v>
      </c>
      <c r="G86" s="76">
        <f>F86*0.19</f>
        <v>0</v>
      </c>
      <c r="H86" s="77">
        <f>ROUND((F86+G86),0)</f>
        <v>0</v>
      </c>
    </row>
    <row r="87" spans="1:8" x14ac:dyDescent="0.25">
      <c r="A87" s="44" t="s">
        <v>1697</v>
      </c>
      <c r="B87" s="80" t="s">
        <v>1698</v>
      </c>
      <c r="C87" s="14"/>
      <c r="D87" s="999"/>
      <c r="E87" s="74"/>
      <c r="F87" s="26"/>
      <c r="G87" s="26"/>
      <c r="H87" s="92"/>
    </row>
    <row r="88" spans="1:8" x14ac:dyDescent="0.25">
      <c r="A88" s="43" t="s">
        <v>1707</v>
      </c>
      <c r="B88" s="81" t="s">
        <v>1699</v>
      </c>
      <c r="C88" s="14" t="s">
        <v>14</v>
      </c>
      <c r="D88" s="999"/>
      <c r="E88" s="74">
        <v>0.03</v>
      </c>
      <c r="F88" s="75">
        <f t="shared" ref="F88:F95" si="12">+D88+D88*E88</f>
        <v>0</v>
      </c>
      <c r="G88" s="76">
        <f t="shared" ref="G88:G95" si="13">F88*0.19</f>
        <v>0</v>
      </c>
      <c r="H88" s="77">
        <f t="shared" ref="H88:H95" si="14">ROUND((F88+G88),0)</f>
        <v>0</v>
      </c>
    </row>
    <row r="89" spans="1:8" x14ac:dyDescent="0.25">
      <c r="A89" s="43" t="s">
        <v>1708</v>
      </c>
      <c r="B89" s="81" t="s">
        <v>1700</v>
      </c>
      <c r="C89" s="14" t="s">
        <v>14</v>
      </c>
      <c r="D89" s="999"/>
      <c r="E89" s="74">
        <v>0.03</v>
      </c>
      <c r="F89" s="75">
        <f t="shared" si="12"/>
        <v>0</v>
      </c>
      <c r="G89" s="76">
        <f t="shared" si="13"/>
        <v>0</v>
      </c>
      <c r="H89" s="77">
        <f t="shared" si="14"/>
        <v>0</v>
      </c>
    </row>
    <row r="90" spans="1:8" x14ac:dyDescent="0.25">
      <c r="A90" s="43" t="s">
        <v>1709</v>
      </c>
      <c r="B90" s="81" t="s">
        <v>1701</v>
      </c>
      <c r="C90" s="14" t="s">
        <v>14</v>
      </c>
      <c r="D90" s="999"/>
      <c r="E90" s="74">
        <v>0.03</v>
      </c>
      <c r="F90" s="75">
        <f t="shared" si="12"/>
        <v>0</v>
      </c>
      <c r="G90" s="76">
        <f t="shared" si="13"/>
        <v>0</v>
      </c>
      <c r="H90" s="77">
        <f t="shared" si="14"/>
        <v>0</v>
      </c>
    </row>
    <row r="91" spans="1:8" x14ac:dyDescent="0.25">
      <c r="A91" s="43" t="s">
        <v>1710</v>
      </c>
      <c r="B91" s="81" t="s">
        <v>7729</v>
      </c>
      <c r="C91" s="14" t="s">
        <v>14</v>
      </c>
      <c r="D91" s="999"/>
      <c r="E91" s="74">
        <v>0.03</v>
      </c>
      <c r="F91" s="75">
        <f t="shared" si="12"/>
        <v>0</v>
      </c>
      <c r="G91" s="76">
        <f t="shared" si="13"/>
        <v>0</v>
      </c>
      <c r="H91" s="77">
        <f t="shared" si="14"/>
        <v>0</v>
      </c>
    </row>
    <row r="92" spans="1:8" x14ac:dyDescent="0.25">
      <c r="A92" s="43" t="s">
        <v>1711</v>
      </c>
      <c r="B92" s="81" t="s">
        <v>1703</v>
      </c>
      <c r="C92" s="14" t="s">
        <v>14</v>
      </c>
      <c r="D92" s="999"/>
      <c r="E92" s="74">
        <v>0.03</v>
      </c>
      <c r="F92" s="75">
        <f t="shared" si="12"/>
        <v>0</v>
      </c>
      <c r="G92" s="76">
        <f t="shared" si="13"/>
        <v>0</v>
      </c>
      <c r="H92" s="77">
        <f t="shared" si="14"/>
        <v>0</v>
      </c>
    </row>
    <row r="93" spans="1:8" x14ac:dyDescent="0.25">
      <c r="A93" s="43" t="s">
        <v>1712</v>
      </c>
      <c r="B93" s="81" t="s">
        <v>7225</v>
      </c>
      <c r="C93" s="14" t="s">
        <v>14</v>
      </c>
      <c r="D93" s="999"/>
      <c r="E93" s="74">
        <v>0.03</v>
      </c>
      <c r="F93" s="75">
        <f t="shared" si="12"/>
        <v>0</v>
      </c>
      <c r="G93" s="76">
        <f t="shared" si="13"/>
        <v>0</v>
      </c>
      <c r="H93" s="77">
        <f t="shared" si="14"/>
        <v>0</v>
      </c>
    </row>
    <row r="94" spans="1:8" x14ac:dyDescent="0.25">
      <c r="A94" s="43" t="s">
        <v>1713</v>
      </c>
      <c r="B94" s="81" t="s">
        <v>1704</v>
      </c>
      <c r="C94" s="14" t="s">
        <v>14</v>
      </c>
      <c r="D94" s="999"/>
      <c r="E94" s="74">
        <v>0.03</v>
      </c>
      <c r="F94" s="75">
        <f t="shared" si="12"/>
        <v>0</v>
      </c>
      <c r="G94" s="76">
        <f t="shared" si="13"/>
        <v>0</v>
      </c>
      <c r="H94" s="77">
        <f t="shared" si="14"/>
        <v>0</v>
      </c>
    </row>
    <row r="95" spans="1:8" x14ac:dyDescent="0.25">
      <c r="A95" s="43" t="s">
        <v>1714</v>
      </c>
      <c r="B95" s="81" t="s">
        <v>7407</v>
      </c>
      <c r="C95" s="14" t="s">
        <v>14</v>
      </c>
      <c r="D95" s="999"/>
      <c r="E95" s="74">
        <v>0.03</v>
      </c>
      <c r="F95" s="75">
        <f t="shared" si="12"/>
        <v>0</v>
      </c>
      <c r="G95" s="76">
        <f t="shared" si="13"/>
        <v>0</v>
      </c>
      <c r="H95" s="77">
        <f t="shared" si="14"/>
        <v>0</v>
      </c>
    </row>
    <row r="96" spans="1:8" x14ac:dyDescent="0.25">
      <c r="A96" s="44" t="s">
        <v>1198</v>
      </c>
      <c r="B96" s="80" t="s">
        <v>1199</v>
      </c>
      <c r="C96" s="14"/>
      <c r="D96" s="999"/>
      <c r="E96" s="74"/>
      <c r="F96" s="26"/>
      <c r="G96" s="26"/>
      <c r="H96" s="92"/>
    </row>
    <row r="97" spans="1:8" x14ac:dyDescent="0.25">
      <c r="A97" s="44" t="s">
        <v>889</v>
      </c>
      <c r="B97" s="80" t="s">
        <v>890</v>
      </c>
      <c r="C97" s="14"/>
      <c r="D97" s="1001"/>
      <c r="E97" s="74"/>
      <c r="F97" s="129"/>
      <c r="G97" s="130"/>
      <c r="H97" s="131"/>
    </row>
    <row r="98" spans="1:8" x14ac:dyDescent="0.25">
      <c r="A98" s="65" t="s">
        <v>891</v>
      </c>
      <c r="B98" s="66" t="s">
        <v>892</v>
      </c>
      <c r="C98" s="67"/>
      <c r="D98" s="1001"/>
      <c r="E98" s="74"/>
      <c r="F98" s="129"/>
      <c r="G98" s="130"/>
      <c r="H98" s="131"/>
    </row>
    <row r="99" spans="1:8" x14ac:dyDescent="0.25">
      <c r="A99" s="65" t="s">
        <v>893</v>
      </c>
      <c r="B99" s="66" t="s">
        <v>894</v>
      </c>
      <c r="C99" s="67"/>
      <c r="D99" s="1001"/>
      <c r="E99" s="74"/>
      <c r="F99" s="129"/>
      <c r="G99" s="130"/>
      <c r="H99" s="131"/>
    </row>
    <row r="100" spans="1:8" x14ac:dyDescent="0.25">
      <c r="A100" s="71" t="s">
        <v>1200</v>
      </c>
      <c r="B100" s="72" t="s">
        <v>1204</v>
      </c>
      <c r="C100" s="67" t="s">
        <v>37</v>
      </c>
      <c r="D100" s="1001"/>
      <c r="E100" s="74">
        <v>0.03</v>
      </c>
      <c r="F100" s="75">
        <f>+D100+D100*E100</f>
        <v>0</v>
      </c>
      <c r="G100" s="76">
        <f>F100*0.19</f>
        <v>0</v>
      </c>
      <c r="H100" s="77">
        <f>ROUND((F100+G100),0)</f>
        <v>0</v>
      </c>
    </row>
    <row r="101" spans="1:8" x14ac:dyDescent="0.25">
      <c r="A101" s="71" t="s">
        <v>1201</v>
      </c>
      <c r="B101" s="72" t="s">
        <v>1205</v>
      </c>
      <c r="C101" s="67" t="s">
        <v>37</v>
      </c>
      <c r="D101" s="1001"/>
      <c r="E101" s="74">
        <v>0.03</v>
      </c>
      <c r="F101" s="75">
        <f>+D101+D101*E101</f>
        <v>0</v>
      </c>
      <c r="G101" s="76">
        <f>F101*0.19</f>
        <v>0</v>
      </c>
      <c r="H101" s="77">
        <f>ROUND((F101+G101),0)</f>
        <v>0</v>
      </c>
    </row>
    <row r="102" spans="1:8" x14ac:dyDescent="0.25">
      <c r="A102" s="71" t="s">
        <v>895</v>
      </c>
      <c r="B102" s="72" t="s">
        <v>896</v>
      </c>
      <c r="C102" s="67" t="s">
        <v>37</v>
      </c>
      <c r="D102" s="1001"/>
      <c r="E102" s="74">
        <v>0.03</v>
      </c>
      <c r="F102" s="75">
        <f>+D102+D102*E102</f>
        <v>0</v>
      </c>
      <c r="G102" s="76">
        <f>F102*0.19</f>
        <v>0</v>
      </c>
      <c r="H102" s="77">
        <f>ROUND((F102+G102),0)</f>
        <v>0</v>
      </c>
    </row>
    <row r="103" spans="1:8" x14ac:dyDescent="0.25">
      <c r="A103" s="71" t="s">
        <v>1202</v>
      </c>
      <c r="B103" s="72" t="s">
        <v>1206</v>
      </c>
      <c r="C103" s="67" t="s">
        <v>37</v>
      </c>
      <c r="D103" s="1001"/>
      <c r="E103" s="74">
        <v>0.03</v>
      </c>
      <c r="F103" s="75">
        <f>+D103+D103*E103</f>
        <v>0</v>
      </c>
      <c r="G103" s="76">
        <f>F103*0.19</f>
        <v>0</v>
      </c>
      <c r="H103" s="77">
        <f>ROUND((F103+G103),0)</f>
        <v>0</v>
      </c>
    </row>
    <row r="104" spans="1:8" x14ac:dyDescent="0.25">
      <c r="A104" s="71" t="s">
        <v>1203</v>
      </c>
      <c r="B104" s="72" t="s">
        <v>1207</v>
      </c>
      <c r="C104" s="67" t="s">
        <v>37</v>
      </c>
      <c r="D104" s="1001"/>
      <c r="E104" s="74">
        <v>0.03</v>
      </c>
      <c r="F104" s="75">
        <f>+D104+D104*E104</f>
        <v>0</v>
      </c>
      <c r="G104" s="76">
        <f>F104*0.19</f>
        <v>0</v>
      </c>
      <c r="H104" s="77">
        <f>ROUND((F104+G104),0)</f>
        <v>0</v>
      </c>
    </row>
    <row r="105" spans="1:8" x14ac:dyDescent="0.25">
      <c r="A105" s="65" t="s">
        <v>1208</v>
      </c>
      <c r="B105" s="66" t="s">
        <v>1210</v>
      </c>
      <c r="C105" s="67"/>
      <c r="D105" s="1001"/>
      <c r="E105" s="74"/>
      <c r="F105" s="129"/>
      <c r="G105" s="130"/>
      <c r="H105" s="131"/>
    </row>
    <row r="106" spans="1:8" x14ac:dyDescent="0.25">
      <c r="A106" s="71" t="s">
        <v>1209</v>
      </c>
      <c r="B106" s="72" t="s">
        <v>1215</v>
      </c>
      <c r="C106" s="67" t="s">
        <v>37</v>
      </c>
      <c r="D106" s="1001"/>
      <c r="E106" s="74">
        <v>0.03</v>
      </c>
      <c r="F106" s="75">
        <f>+D106+D106*E106</f>
        <v>0</v>
      </c>
      <c r="G106" s="76">
        <f>F106*0.19</f>
        <v>0</v>
      </c>
      <c r="H106" s="77">
        <f>ROUND((F106+G106),0)</f>
        <v>0</v>
      </c>
    </row>
    <row r="107" spans="1:8" x14ac:dyDescent="0.25">
      <c r="A107" s="71" t="s">
        <v>1211</v>
      </c>
      <c r="B107" s="72" t="s">
        <v>1216</v>
      </c>
      <c r="C107" s="67" t="s">
        <v>37</v>
      </c>
      <c r="D107" s="1001"/>
      <c r="E107" s="74">
        <v>0.03</v>
      </c>
      <c r="F107" s="75">
        <f>+D107+D107*E107</f>
        <v>0</v>
      </c>
      <c r="G107" s="76">
        <f>F107*0.19</f>
        <v>0</v>
      </c>
      <c r="H107" s="77">
        <f>ROUND((F107+G107),0)</f>
        <v>0</v>
      </c>
    </row>
    <row r="108" spans="1:8" x14ac:dyDescent="0.25">
      <c r="A108" s="71" t="s">
        <v>1212</v>
      </c>
      <c r="B108" s="72" t="s">
        <v>1217</v>
      </c>
      <c r="C108" s="67" t="s">
        <v>37</v>
      </c>
      <c r="D108" s="1001"/>
      <c r="E108" s="74">
        <v>0.03</v>
      </c>
      <c r="F108" s="75">
        <f>+D108+D108*E108</f>
        <v>0</v>
      </c>
      <c r="G108" s="76">
        <f>F108*0.19</f>
        <v>0</v>
      </c>
      <c r="H108" s="77">
        <f>ROUND((F108+G108),0)</f>
        <v>0</v>
      </c>
    </row>
    <row r="109" spans="1:8" x14ac:dyDescent="0.25">
      <c r="A109" s="71" t="s">
        <v>1213</v>
      </c>
      <c r="B109" s="72" t="s">
        <v>1218</v>
      </c>
      <c r="C109" s="67" t="s">
        <v>37</v>
      </c>
      <c r="D109" s="1001"/>
      <c r="E109" s="74">
        <v>0.03</v>
      </c>
      <c r="F109" s="75">
        <f>+D109+D109*E109</f>
        <v>0</v>
      </c>
      <c r="G109" s="76">
        <f>F109*0.19</f>
        <v>0</v>
      </c>
      <c r="H109" s="77">
        <f>ROUND((F109+G109),0)</f>
        <v>0</v>
      </c>
    </row>
    <row r="110" spans="1:8" x14ac:dyDescent="0.25">
      <c r="A110" s="71" t="s">
        <v>1214</v>
      </c>
      <c r="B110" s="72" t="s">
        <v>1219</v>
      </c>
      <c r="C110" s="67" t="s">
        <v>37</v>
      </c>
      <c r="D110" s="1001"/>
      <c r="E110" s="74">
        <v>0.03</v>
      </c>
      <c r="F110" s="75">
        <f>+D110+D110*E110</f>
        <v>0</v>
      </c>
      <c r="G110" s="76">
        <f>F110*0.19</f>
        <v>0</v>
      </c>
      <c r="H110" s="77">
        <f>ROUND((F110+G110),0)</f>
        <v>0</v>
      </c>
    </row>
    <row r="111" spans="1:8" x14ac:dyDescent="0.25">
      <c r="A111" s="44" t="s">
        <v>897</v>
      </c>
      <c r="B111" s="80" t="s">
        <v>898</v>
      </c>
      <c r="C111" s="14"/>
      <c r="D111" s="1001"/>
      <c r="E111" s="74"/>
      <c r="F111" s="129"/>
      <c r="G111" s="130"/>
      <c r="H111" s="131"/>
    </row>
    <row r="112" spans="1:8" x14ac:dyDescent="0.25">
      <c r="A112" s="44" t="s">
        <v>899</v>
      </c>
      <c r="B112" s="80" t="s">
        <v>900</v>
      </c>
      <c r="C112" s="14"/>
      <c r="D112" s="1001"/>
      <c r="E112" s="74"/>
      <c r="F112" s="129"/>
      <c r="G112" s="130"/>
      <c r="H112" s="131"/>
    </row>
    <row r="113" spans="1:8" x14ac:dyDescent="0.25">
      <c r="A113" s="43" t="s">
        <v>1227</v>
      </c>
      <c r="B113" s="81" t="s">
        <v>1221</v>
      </c>
      <c r="C113" s="14" t="s">
        <v>902</v>
      </c>
      <c r="D113" s="68">
        <v>26107</v>
      </c>
      <c r="E113" s="74">
        <v>0.03</v>
      </c>
      <c r="F113" s="129">
        <f t="shared" ref="F113:F120" si="15">+D113+D113*E113</f>
        <v>26890.21</v>
      </c>
      <c r="G113" s="130">
        <f>F113*0.19</f>
        <v>5109.1399000000001</v>
      </c>
      <c r="H113" s="131">
        <f t="shared" ref="H113:H120" si="16">ROUND((F113+G113),0)</f>
        <v>31999</v>
      </c>
    </row>
    <row r="114" spans="1:8" x14ac:dyDescent="0.25">
      <c r="A114" s="43" t="s">
        <v>901</v>
      </c>
      <c r="B114" s="81" t="s">
        <v>1220</v>
      </c>
      <c r="C114" s="14" t="s">
        <v>902</v>
      </c>
      <c r="D114" s="68">
        <v>33552</v>
      </c>
      <c r="E114" s="74"/>
      <c r="F114" s="129"/>
      <c r="G114" s="130"/>
      <c r="H114" s="131"/>
    </row>
    <row r="115" spans="1:8" x14ac:dyDescent="0.25">
      <c r="A115" s="43" t="s">
        <v>903</v>
      </c>
      <c r="B115" s="81" t="s">
        <v>1262</v>
      </c>
      <c r="C115" s="14" t="s">
        <v>902</v>
      </c>
      <c r="D115" s="68">
        <v>60785</v>
      </c>
      <c r="E115" s="74">
        <v>0.03</v>
      </c>
      <c r="F115" s="129">
        <f t="shared" si="15"/>
        <v>62608.55</v>
      </c>
      <c r="G115" s="130">
        <f t="shared" ref="G115:G120" si="17">F115*0.19</f>
        <v>11895.6245</v>
      </c>
      <c r="H115" s="131">
        <f t="shared" si="16"/>
        <v>74504</v>
      </c>
    </row>
    <row r="116" spans="1:8" x14ac:dyDescent="0.25">
      <c r="A116" s="43" t="s">
        <v>904</v>
      </c>
      <c r="B116" s="81" t="s">
        <v>1222</v>
      </c>
      <c r="C116" s="14" t="s">
        <v>902</v>
      </c>
      <c r="D116" s="68">
        <v>116712</v>
      </c>
      <c r="E116" s="74">
        <v>0.03</v>
      </c>
      <c r="F116" s="129">
        <f t="shared" si="15"/>
        <v>120213.36</v>
      </c>
      <c r="G116" s="130">
        <f t="shared" si="17"/>
        <v>22840.538400000001</v>
      </c>
      <c r="H116" s="131">
        <f t="shared" si="16"/>
        <v>143054</v>
      </c>
    </row>
    <row r="117" spans="1:8" x14ac:dyDescent="0.25">
      <c r="A117" s="43" t="s">
        <v>905</v>
      </c>
      <c r="B117" s="81" t="s">
        <v>7730</v>
      </c>
      <c r="C117" s="14" t="s">
        <v>902</v>
      </c>
      <c r="D117" s="68">
        <v>311638</v>
      </c>
      <c r="E117" s="74">
        <v>0.03</v>
      </c>
      <c r="F117" s="129">
        <f t="shared" si="15"/>
        <v>320987.14</v>
      </c>
      <c r="G117" s="130">
        <f t="shared" si="17"/>
        <v>60987.556600000004</v>
      </c>
      <c r="H117" s="131">
        <f t="shared" si="16"/>
        <v>381975</v>
      </c>
    </row>
    <row r="118" spans="1:8" x14ac:dyDescent="0.25">
      <c r="A118" s="43" t="s">
        <v>906</v>
      </c>
      <c r="B118" s="81" t="s">
        <v>1224</v>
      </c>
      <c r="C118" s="14" t="s">
        <v>902</v>
      </c>
      <c r="D118" s="68">
        <v>741078</v>
      </c>
      <c r="E118" s="74">
        <v>0.03</v>
      </c>
      <c r="F118" s="129">
        <f t="shared" si="15"/>
        <v>763310.34</v>
      </c>
      <c r="G118" s="130">
        <f t="shared" si="17"/>
        <v>145028.96460000001</v>
      </c>
      <c r="H118" s="131">
        <f t="shared" si="16"/>
        <v>908339</v>
      </c>
    </row>
    <row r="119" spans="1:8" x14ac:dyDescent="0.25">
      <c r="A119" s="43" t="s">
        <v>907</v>
      </c>
      <c r="B119" s="81" t="s">
        <v>7226</v>
      </c>
      <c r="C119" s="14" t="s">
        <v>902</v>
      </c>
      <c r="D119" s="68">
        <v>1611809</v>
      </c>
      <c r="E119" s="74">
        <v>0.03</v>
      </c>
      <c r="F119" s="129">
        <f t="shared" si="15"/>
        <v>1660163.27</v>
      </c>
      <c r="G119" s="130">
        <f t="shared" si="17"/>
        <v>315431.02130000002</v>
      </c>
      <c r="H119" s="131">
        <f t="shared" si="16"/>
        <v>1975594</v>
      </c>
    </row>
    <row r="120" spans="1:8" x14ac:dyDescent="0.25">
      <c r="A120" s="43" t="s">
        <v>908</v>
      </c>
      <c r="B120" s="81" t="s">
        <v>1226</v>
      </c>
      <c r="C120" s="14" t="s">
        <v>902</v>
      </c>
      <c r="D120" s="68">
        <v>2187520</v>
      </c>
      <c r="E120" s="74">
        <v>0.03</v>
      </c>
      <c r="F120" s="129">
        <f t="shared" si="15"/>
        <v>2253145.6</v>
      </c>
      <c r="G120" s="130">
        <f t="shared" si="17"/>
        <v>428097.66400000005</v>
      </c>
      <c r="H120" s="131">
        <f t="shared" si="16"/>
        <v>2681243</v>
      </c>
    </row>
    <row r="121" spans="1:8" x14ac:dyDescent="0.25">
      <c r="A121" s="44" t="s">
        <v>909</v>
      </c>
      <c r="B121" s="80" t="s">
        <v>910</v>
      </c>
      <c r="C121" s="14"/>
      <c r="D121" s="1001"/>
      <c r="E121" s="74"/>
      <c r="F121" s="129"/>
      <c r="G121" s="130"/>
      <c r="H121" s="131"/>
    </row>
    <row r="122" spans="1:8" x14ac:dyDescent="0.25">
      <c r="A122" s="43" t="s">
        <v>911</v>
      </c>
      <c r="B122" s="81" t="s">
        <v>1228</v>
      </c>
      <c r="C122" s="14" t="s">
        <v>902</v>
      </c>
      <c r="D122" s="68">
        <v>22570</v>
      </c>
      <c r="E122" s="74">
        <v>0.03</v>
      </c>
      <c r="F122" s="129">
        <f t="shared" ref="F122:F129" si="18">+D122+D122*E122</f>
        <v>23247.1</v>
      </c>
      <c r="G122" s="130">
        <f t="shared" ref="G122:G129" si="19">F122*0.19</f>
        <v>4416.9489999999996</v>
      </c>
      <c r="H122" s="131">
        <f t="shared" ref="H122:H129" si="20">ROUND((F122+G122),0)</f>
        <v>27664</v>
      </c>
    </row>
    <row r="123" spans="1:8" x14ac:dyDescent="0.25">
      <c r="A123" s="43" t="s">
        <v>1235</v>
      </c>
      <c r="B123" s="81" t="s">
        <v>1229</v>
      </c>
      <c r="C123" s="14" t="s">
        <v>37</v>
      </c>
      <c r="D123" s="68">
        <v>25767</v>
      </c>
      <c r="E123" s="74">
        <v>0.03</v>
      </c>
      <c r="F123" s="129">
        <f t="shared" si="18"/>
        <v>26540.01</v>
      </c>
      <c r="G123" s="130">
        <f t="shared" si="19"/>
        <v>5042.6018999999997</v>
      </c>
      <c r="H123" s="131">
        <f t="shared" si="20"/>
        <v>31583</v>
      </c>
    </row>
    <row r="124" spans="1:8" x14ac:dyDescent="0.25">
      <c r="A124" s="43" t="s">
        <v>912</v>
      </c>
      <c r="B124" s="81" t="s">
        <v>1265</v>
      </c>
      <c r="C124" s="14" t="s">
        <v>37</v>
      </c>
      <c r="D124" s="68">
        <v>40759</v>
      </c>
      <c r="E124" s="74">
        <v>0.03</v>
      </c>
      <c r="F124" s="129">
        <f t="shared" si="18"/>
        <v>41981.77</v>
      </c>
      <c r="G124" s="130">
        <f t="shared" si="19"/>
        <v>7976.5362999999998</v>
      </c>
      <c r="H124" s="131">
        <f t="shared" si="20"/>
        <v>49958</v>
      </c>
    </row>
    <row r="125" spans="1:8" x14ac:dyDescent="0.25">
      <c r="A125" s="43" t="s">
        <v>913</v>
      </c>
      <c r="B125" s="81" t="s">
        <v>1230</v>
      </c>
      <c r="C125" s="14" t="s">
        <v>37</v>
      </c>
      <c r="D125" s="68">
        <v>82676</v>
      </c>
      <c r="E125" s="74">
        <v>0.03</v>
      </c>
      <c r="F125" s="129">
        <f t="shared" si="18"/>
        <v>85156.28</v>
      </c>
      <c r="G125" s="130">
        <f t="shared" si="19"/>
        <v>16179.6932</v>
      </c>
      <c r="H125" s="131">
        <f t="shared" si="20"/>
        <v>101336</v>
      </c>
    </row>
    <row r="126" spans="1:8" x14ac:dyDescent="0.25">
      <c r="A126" s="43" t="s">
        <v>914</v>
      </c>
      <c r="B126" s="81" t="s">
        <v>7731</v>
      </c>
      <c r="C126" s="14" t="s">
        <v>37</v>
      </c>
      <c r="D126" s="68">
        <v>226755</v>
      </c>
      <c r="E126" s="74">
        <v>0.03</v>
      </c>
      <c r="F126" s="129">
        <f t="shared" si="18"/>
        <v>233557.65</v>
      </c>
      <c r="G126" s="130">
        <f t="shared" si="19"/>
        <v>44375.953499999996</v>
      </c>
      <c r="H126" s="131">
        <f t="shared" si="20"/>
        <v>277934</v>
      </c>
    </row>
    <row r="127" spans="1:8" x14ac:dyDescent="0.25">
      <c r="A127" s="43" t="s">
        <v>915</v>
      </c>
      <c r="B127" s="81" t="s">
        <v>1232</v>
      </c>
      <c r="C127" s="14" t="s">
        <v>37</v>
      </c>
      <c r="D127" s="68">
        <v>492359</v>
      </c>
      <c r="E127" s="74">
        <v>0.03</v>
      </c>
      <c r="F127" s="129">
        <f t="shared" si="18"/>
        <v>507129.77</v>
      </c>
      <c r="G127" s="130">
        <f t="shared" si="19"/>
        <v>96354.656300000002</v>
      </c>
      <c r="H127" s="131">
        <f t="shared" si="20"/>
        <v>603484</v>
      </c>
    </row>
    <row r="128" spans="1:8" x14ac:dyDescent="0.25">
      <c r="A128" s="43" t="s">
        <v>916</v>
      </c>
      <c r="B128" s="81" t="s">
        <v>7227</v>
      </c>
      <c r="C128" s="14" t="s">
        <v>37</v>
      </c>
      <c r="D128" s="68">
        <v>1054433</v>
      </c>
      <c r="E128" s="74">
        <v>0.03</v>
      </c>
      <c r="F128" s="129">
        <f t="shared" si="18"/>
        <v>1086065.99</v>
      </c>
      <c r="G128" s="130">
        <f t="shared" si="19"/>
        <v>206352.53810000001</v>
      </c>
      <c r="H128" s="131">
        <f t="shared" si="20"/>
        <v>1292419</v>
      </c>
    </row>
    <row r="129" spans="1:8" x14ac:dyDescent="0.25">
      <c r="A129" s="43" t="s">
        <v>917</v>
      </c>
      <c r="B129" s="81" t="s">
        <v>1234</v>
      </c>
      <c r="C129" s="14" t="s">
        <v>37</v>
      </c>
      <c r="D129" s="68">
        <v>1480116</v>
      </c>
      <c r="E129" s="74">
        <v>0.03</v>
      </c>
      <c r="F129" s="129">
        <f t="shared" si="18"/>
        <v>1524519.48</v>
      </c>
      <c r="G129" s="130">
        <f t="shared" si="19"/>
        <v>289658.70120000001</v>
      </c>
      <c r="H129" s="131">
        <f t="shared" si="20"/>
        <v>1814178</v>
      </c>
    </row>
    <row r="130" spans="1:8" x14ac:dyDescent="0.25">
      <c r="A130" s="44" t="s">
        <v>918</v>
      </c>
      <c r="B130" s="80" t="s">
        <v>919</v>
      </c>
      <c r="C130" s="14"/>
      <c r="D130" s="1001"/>
      <c r="E130" s="74"/>
      <c r="F130" s="129"/>
      <c r="G130" s="130"/>
      <c r="H130" s="131"/>
    </row>
    <row r="131" spans="1:8" x14ac:dyDescent="0.25">
      <c r="A131" s="43" t="s">
        <v>920</v>
      </c>
      <c r="B131" s="81" t="s">
        <v>1236</v>
      </c>
      <c r="C131" s="14" t="s">
        <v>37</v>
      </c>
      <c r="D131" s="68">
        <v>19852</v>
      </c>
      <c r="E131" s="74">
        <v>0.03</v>
      </c>
      <c r="F131" s="129">
        <f t="shared" ref="F131:F138" si="21">+D131+D131*E131</f>
        <v>20447.560000000001</v>
      </c>
      <c r="G131" s="130">
        <f t="shared" ref="G131:G138" si="22">F131*0.19</f>
        <v>3885.0364000000004</v>
      </c>
      <c r="H131" s="131">
        <f t="shared" ref="H131:H138" si="23">ROUND((F131+G131),0)</f>
        <v>24333</v>
      </c>
    </row>
    <row r="132" spans="1:8" x14ac:dyDescent="0.25">
      <c r="A132" s="43" t="s">
        <v>1250</v>
      </c>
      <c r="B132" s="81" t="s">
        <v>1237</v>
      </c>
      <c r="C132" s="14" t="s">
        <v>37</v>
      </c>
      <c r="D132" s="68">
        <v>27910</v>
      </c>
      <c r="E132" s="74">
        <v>0.03</v>
      </c>
      <c r="F132" s="129">
        <f t="shared" si="21"/>
        <v>28747.3</v>
      </c>
      <c r="G132" s="130">
        <f t="shared" si="22"/>
        <v>5461.9870000000001</v>
      </c>
      <c r="H132" s="131">
        <f t="shared" si="23"/>
        <v>34209</v>
      </c>
    </row>
    <row r="133" spans="1:8" x14ac:dyDescent="0.25">
      <c r="A133" s="43" t="s">
        <v>921</v>
      </c>
      <c r="B133" s="81" t="s">
        <v>1263</v>
      </c>
      <c r="C133" s="14" t="s">
        <v>37</v>
      </c>
      <c r="D133" s="68">
        <v>40199</v>
      </c>
      <c r="E133" s="74">
        <v>0.03</v>
      </c>
      <c r="F133" s="129">
        <f t="shared" si="21"/>
        <v>41404.97</v>
      </c>
      <c r="G133" s="130">
        <f t="shared" si="22"/>
        <v>7866.9443000000001</v>
      </c>
      <c r="H133" s="131">
        <f t="shared" si="23"/>
        <v>49272</v>
      </c>
    </row>
    <row r="134" spans="1:8" x14ac:dyDescent="0.25">
      <c r="A134" s="43" t="s">
        <v>922</v>
      </c>
      <c r="B134" s="81" t="s">
        <v>1238</v>
      </c>
      <c r="C134" s="14" t="s">
        <v>37</v>
      </c>
      <c r="D134" s="68">
        <v>73699</v>
      </c>
      <c r="E134" s="74">
        <v>0.03</v>
      </c>
      <c r="F134" s="129">
        <f t="shared" si="21"/>
        <v>75909.97</v>
      </c>
      <c r="G134" s="130">
        <f t="shared" si="22"/>
        <v>14422.8943</v>
      </c>
      <c r="H134" s="131">
        <f t="shared" si="23"/>
        <v>90333</v>
      </c>
    </row>
    <row r="135" spans="1:8" x14ac:dyDescent="0.25">
      <c r="A135" s="43" t="s">
        <v>923</v>
      </c>
      <c r="B135" s="81" t="s">
        <v>7732</v>
      </c>
      <c r="C135" s="14" t="s">
        <v>37</v>
      </c>
      <c r="D135" s="68">
        <v>181088</v>
      </c>
      <c r="E135" s="74">
        <v>0.03</v>
      </c>
      <c r="F135" s="129">
        <f t="shared" si="21"/>
        <v>186520.64</v>
      </c>
      <c r="G135" s="130">
        <f t="shared" si="22"/>
        <v>35438.921600000001</v>
      </c>
      <c r="H135" s="131">
        <f t="shared" si="23"/>
        <v>221960</v>
      </c>
    </row>
    <row r="136" spans="1:8" x14ac:dyDescent="0.25">
      <c r="A136" s="43" t="s">
        <v>924</v>
      </c>
      <c r="B136" s="81" t="s">
        <v>1240</v>
      </c>
      <c r="C136" s="14" t="s">
        <v>37</v>
      </c>
      <c r="D136" s="68">
        <v>383160</v>
      </c>
      <c r="E136" s="74">
        <v>0.03</v>
      </c>
      <c r="F136" s="129">
        <f t="shared" si="21"/>
        <v>394654.8</v>
      </c>
      <c r="G136" s="130">
        <f t="shared" si="22"/>
        <v>74984.411999999997</v>
      </c>
      <c r="H136" s="131">
        <f t="shared" si="23"/>
        <v>469639</v>
      </c>
    </row>
    <row r="137" spans="1:8" x14ac:dyDescent="0.25">
      <c r="A137" s="43" t="s">
        <v>925</v>
      </c>
      <c r="B137" s="81" t="s">
        <v>7228</v>
      </c>
      <c r="C137" s="14" t="s">
        <v>37</v>
      </c>
      <c r="D137" s="68">
        <v>858571</v>
      </c>
      <c r="E137" s="74">
        <v>0.03</v>
      </c>
      <c r="F137" s="129">
        <f t="shared" si="21"/>
        <v>884328.13</v>
      </c>
      <c r="G137" s="130">
        <f t="shared" si="22"/>
        <v>168022.34470000002</v>
      </c>
      <c r="H137" s="131">
        <f t="shared" si="23"/>
        <v>1052350</v>
      </c>
    </row>
    <row r="138" spans="1:8" x14ac:dyDescent="0.25">
      <c r="A138" s="43" t="s">
        <v>926</v>
      </c>
      <c r="B138" s="81" t="s">
        <v>1242</v>
      </c>
      <c r="C138" s="14" t="s">
        <v>37</v>
      </c>
      <c r="D138" s="68">
        <v>1156175</v>
      </c>
      <c r="E138" s="74">
        <v>0.03</v>
      </c>
      <c r="F138" s="129">
        <f t="shared" si="21"/>
        <v>1190860.25</v>
      </c>
      <c r="G138" s="130">
        <f t="shared" si="22"/>
        <v>226263.44750000001</v>
      </c>
      <c r="H138" s="131">
        <f t="shared" si="23"/>
        <v>1417124</v>
      </c>
    </row>
    <row r="139" spans="1:8" x14ac:dyDescent="0.25">
      <c r="A139" s="44" t="s">
        <v>927</v>
      </c>
      <c r="B139" s="80" t="s">
        <v>928</v>
      </c>
      <c r="C139" s="14"/>
      <c r="D139" s="1001"/>
      <c r="E139" s="74"/>
      <c r="F139" s="129"/>
      <c r="G139" s="130"/>
      <c r="H139" s="131"/>
    </row>
    <row r="140" spans="1:8" x14ac:dyDescent="0.25">
      <c r="A140" s="43" t="s">
        <v>929</v>
      </c>
      <c r="B140" s="81" t="s">
        <v>1243</v>
      </c>
      <c r="C140" s="14" t="s">
        <v>37</v>
      </c>
      <c r="D140" s="68">
        <v>22953</v>
      </c>
      <c r="E140" s="74">
        <v>0.03</v>
      </c>
      <c r="F140" s="129">
        <f t="shared" ref="F140:F147" si="24">+D140+D140*E140</f>
        <v>23641.59</v>
      </c>
      <c r="G140" s="130">
        <f t="shared" ref="G140:G147" si="25">F140*0.19</f>
        <v>4491.9021000000002</v>
      </c>
      <c r="H140" s="131">
        <f t="shared" ref="H140:H147" si="26">ROUND((F140+G140),0)</f>
        <v>28133</v>
      </c>
    </row>
    <row r="141" spans="1:8" x14ac:dyDescent="0.25">
      <c r="A141" s="43" t="s">
        <v>1251</v>
      </c>
      <c r="B141" s="81" t="s">
        <v>1244</v>
      </c>
      <c r="C141" s="14" t="s">
        <v>37</v>
      </c>
      <c r="D141" s="68">
        <v>26389</v>
      </c>
      <c r="E141" s="74">
        <v>0.03</v>
      </c>
      <c r="F141" s="129">
        <f t="shared" si="24"/>
        <v>27180.67</v>
      </c>
      <c r="G141" s="130">
        <f t="shared" si="25"/>
        <v>5164.3272999999999</v>
      </c>
      <c r="H141" s="131">
        <f t="shared" si="26"/>
        <v>32345</v>
      </c>
    </row>
    <row r="142" spans="1:8" x14ac:dyDescent="0.25">
      <c r="A142" s="43" t="s">
        <v>930</v>
      </c>
      <c r="B142" s="81" t="s">
        <v>1264</v>
      </c>
      <c r="C142" s="14" t="s">
        <v>37</v>
      </c>
      <c r="D142" s="68">
        <v>36639</v>
      </c>
      <c r="E142" s="74">
        <v>0.03</v>
      </c>
      <c r="F142" s="129">
        <f t="shared" si="24"/>
        <v>37738.17</v>
      </c>
      <c r="G142" s="130">
        <f t="shared" si="25"/>
        <v>7170.2523000000001</v>
      </c>
      <c r="H142" s="131">
        <f t="shared" si="26"/>
        <v>44908</v>
      </c>
    </row>
    <row r="143" spans="1:8" x14ac:dyDescent="0.25">
      <c r="A143" s="43" t="s">
        <v>931</v>
      </c>
      <c r="B143" s="81" t="s">
        <v>1245</v>
      </c>
      <c r="C143" s="14" t="s">
        <v>37</v>
      </c>
      <c r="D143" s="68">
        <v>70021</v>
      </c>
      <c r="E143" s="74">
        <v>0.03</v>
      </c>
      <c r="F143" s="129">
        <f t="shared" si="24"/>
        <v>72121.63</v>
      </c>
      <c r="G143" s="130">
        <f t="shared" si="25"/>
        <v>13703.109700000001</v>
      </c>
      <c r="H143" s="131">
        <f t="shared" si="26"/>
        <v>85825</v>
      </c>
    </row>
    <row r="144" spans="1:8" x14ac:dyDescent="0.25">
      <c r="A144" s="43" t="s">
        <v>932</v>
      </c>
      <c r="B144" s="81" t="s">
        <v>7733</v>
      </c>
      <c r="C144" s="14" t="s">
        <v>37</v>
      </c>
      <c r="D144" s="68">
        <v>161924</v>
      </c>
      <c r="E144" s="74">
        <v>0.03</v>
      </c>
      <c r="F144" s="129">
        <f t="shared" si="24"/>
        <v>166781.72</v>
      </c>
      <c r="G144" s="130">
        <f t="shared" si="25"/>
        <v>31688.5268</v>
      </c>
      <c r="H144" s="131">
        <f t="shared" si="26"/>
        <v>198470</v>
      </c>
    </row>
    <row r="145" spans="1:8" x14ac:dyDescent="0.25">
      <c r="A145" s="43" t="s">
        <v>933</v>
      </c>
      <c r="B145" s="81" t="s">
        <v>1247</v>
      </c>
      <c r="C145" s="14" t="s">
        <v>37</v>
      </c>
      <c r="D145" s="68">
        <v>329015</v>
      </c>
      <c r="E145" s="74">
        <v>0.03</v>
      </c>
      <c r="F145" s="129">
        <f t="shared" si="24"/>
        <v>338885.45</v>
      </c>
      <c r="G145" s="130">
        <f t="shared" si="25"/>
        <v>64388.235500000003</v>
      </c>
      <c r="H145" s="131">
        <f t="shared" si="26"/>
        <v>403274</v>
      </c>
    </row>
    <row r="146" spans="1:8" x14ac:dyDescent="0.25">
      <c r="A146" s="43" t="s">
        <v>934</v>
      </c>
      <c r="B146" s="81" t="s">
        <v>7229</v>
      </c>
      <c r="C146" s="14" t="s">
        <v>37</v>
      </c>
      <c r="D146" s="68">
        <v>702386</v>
      </c>
      <c r="E146" s="74">
        <v>0.03</v>
      </c>
      <c r="F146" s="129">
        <f t="shared" si="24"/>
        <v>723457.58</v>
      </c>
      <c r="G146" s="130">
        <f t="shared" si="25"/>
        <v>137456.94019999998</v>
      </c>
      <c r="H146" s="131">
        <f t="shared" si="26"/>
        <v>860915</v>
      </c>
    </row>
    <row r="147" spans="1:8" x14ac:dyDescent="0.25">
      <c r="A147" s="43" t="s">
        <v>935</v>
      </c>
      <c r="B147" s="81" t="s">
        <v>1249</v>
      </c>
      <c r="C147" s="14" t="s">
        <v>37</v>
      </c>
      <c r="D147" s="68">
        <v>929716</v>
      </c>
      <c r="E147" s="74">
        <v>0.03</v>
      </c>
      <c r="F147" s="129">
        <f t="shared" si="24"/>
        <v>957607.48</v>
      </c>
      <c r="G147" s="130">
        <f t="shared" si="25"/>
        <v>181945.42120000001</v>
      </c>
      <c r="H147" s="131">
        <f t="shared" si="26"/>
        <v>1139553</v>
      </c>
    </row>
    <row r="148" spans="1:8" x14ac:dyDescent="0.25">
      <c r="A148" s="44" t="s">
        <v>1252</v>
      </c>
      <c r="B148" s="80" t="s">
        <v>1253</v>
      </c>
      <c r="C148" s="14"/>
      <c r="D148" s="1001"/>
      <c r="E148" s="74"/>
      <c r="F148" s="129"/>
      <c r="G148" s="130"/>
      <c r="H148" s="131"/>
    </row>
    <row r="149" spans="1:8" x14ac:dyDescent="0.25">
      <c r="A149" s="43" t="s">
        <v>1257</v>
      </c>
      <c r="B149" s="81" t="s">
        <v>1254</v>
      </c>
      <c r="C149" s="14" t="s">
        <v>37</v>
      </c>
      <c r="D149" s="68">
        <v>200350</v>
      </c>
      <c r="E149" s="74">
        <v>0.03</v>
      </c>
      <c r="F149" s="129">
        <f>+D149+D149*E149</f>
        <v>206360.5</v>
      </c>
      <c r="G149" s="130">
        <f>F149*0.19</f>
        <v>39208.495000000003</v>
      </c>
      <c r="H149" s="131">
        <f>ROUND((F149+G149),0)</f>
        <v>245569</v>
      </c>
    </row>
    <row r="150" spans="1:8" x14ac:dyDescent="0.25">
      <c r="A150" s="43" t="s">
        <v>1258</v>
      </c>
      <c r="B150" s="81" t="s">
        <v>7230</v>
      </c>
      <c r="C150" s="14" t="s">
        <v>37</v>
      </c>
      <c r="D150" s="68">
        <v>398741</v>
      </c>
      <c r="E150" s="74">
        <v>0.03</v>
      </c>
      <c r="F150" s="129">
        <f>+D150+D150*E150</f>
        <v>410703.23</v>
      </c>
      <c r="G150" s="130">
        <f>F150*0.19</f>
        <v>78033.613700000002</v>
      </c>
      <c r="H150" s="131">
        <f>ROUND((F150+G150),0)</f>
        <v>488737</v>
      </c>
    </row>
    <row r="151" spans="1:8" x14ac:dyDescent="0.25">
      <c r="A151" s="43" t="s">
        <v>1259</v>
      </c>
      <c r="B151" s="81" t="s">
        <v>1256</v>
      </c>
      <c r="C151" s="14" t="s">
        <v>37</v>
      </c>
      <c r="D151" s="68">
        <v>563417</v>
      </c>
      <c r="E151" s="74">
        <v>0.03</v>
      </c>
      <c r="F151" s="129">
        <f>+D151+D151*E151</f>
        <v>580319.51</v>
      </c>
      <c r="G151" s="130">
        <f>F151*0.19</f>
        <v>110260.7069</v>
      </c>
      <c r="H151" s="131">
        <f>ROUND((F151+G151),0)</f>
        <v>690580</v>
      </c>
    </row>
    <row r="152" spans="1:8" x14ac:dyDescent="0.25">
      <c r="A152" s="44" t="s">
        <v>1261</v>
      </c>
      <c r="B152" s="80" t="s">
        <v>1260</v>
      </c>
      <c r="C152" s="14"/>
      <c r="D152" s="1001"/>
      <c r="E152" s="74"/>
      <c r="F152" s="75"/>
      <c r="G152" s="76"/>
      <c r="H152" s="77"/>
    </row>
    <row r="153" spans="1:8" x14ac:dyDescent="0.25">
      <c r="A153" s="43" t="s">
        <v>1273</v>
      </c>
      <c r="B153" s="81" t="s">
        <v>1266</v>
      </c>
      <c r="C153" s="14" t="s">
        <v>37</v>
      </c>
      <c r="D153" s="68">
        <v>74789.793600000005</v>
      </c>
      <c r="E153" s="74">
        <v>0.03</v>
      </c>
      <c r="F153" s="129">
        <f t="shared" ref="F153:F159" si="27">+D153+D153*E153</f>
        <v>77033.487408000001</v>
      </c>
      <c r="G153" s="130">
        <f t="shared" ref="G153:G159" si="28">F153*0.19</f>
        <v>14636.362607520001</v>
      </c>
      <c r="H153" s="131">
        <f t="shared" ref="H153:H159" si="29">ROUND((F153+G153),0)</f>
        <v>91670</v>
      </c>
    </row>
    <row r="154" spans="1:8" x14ac:dyDescent="0.25">
      <c r="A154" s="43" t="s">
        <v>1274</v>
      </c>
      <c r="B154" s="81" t="s">
        <v>1267</v>
      </c>
      <c r="C154" s="14" t="s">
        <v>37</v>
      </c>
      <c r="D154" s="68">
        <v>69253.809599999993</v>
      </c>
      <c r="E154" s="74">
        <v>0.03</v>
      </c>
      <c r="F154" s="129">
        <f t="shared" si="27"/>
        <v>71331.42388799999</v>
      </c>
      <c r="G154" s="130">
        <f t="shared" si="28"/>
        <v>13552.970538719997</v>
      </c>
      <c r="H154" s="131">
        <f t="shared" si="29"/>
        <v>84884</v>
      </c>
    </row>
    <row r="155" spans="1:8" x14ac:dyDescent="0.25">
      <c r="A155" s="43" t="s">
        <v>1275</v>
      </c>
      <c r="B155" s="81" t="s">
        <v>1268</v>
      </c>
      <c r="C155" s="14" t="s">
        <v>37</v>
      </c>
      <c r="D155" s="68">
        <v>74574.880399999995</v>
      </c>
      <c r="E155" s="74">
        <v>0.03</v>
      </c>
      <c r="F155" s="129">
        <f t="shared" si="27"/>
        <v>76812.126811999988</v>
      </c>
      <c r="G155" s="130">
        <f t="shared" si="28"/>
        <v>14594.304094279998</v>
      </c>
      <c r="H155" s="131">
        <f t="shared" si="29"/>
        <v>91406</v>
      </c>
    </row>
    <row r="156" spans="1:8" x14ac:dyDescent="0.25">
      <c r="A156" s="43" t="s">
        <v>1276</v>
      </c>
      <c r="B156" s="81" t="s">
        <v>1269</v>
      </c>
      <c r="C156" s="14" t="s">
        <v>37</v>
      </c>
      <c r="D156" s="68">
        <v>101110.47199999999</v>
      </c>
      <c r="E156" s="74">
        <v>0.03</v>
      </c>
      <c r="F156" s="129">
        <f t="shared" si="27"/>
        <v>104143.78615999999</v>
      </c>
      <c r="G156" s="130">
        <f t="shared" si="28"/>
        <v>19787.319370399997</v>
      </c>
      <c r="H156" s="131">
        <f t="shared" si="29"/>
        <v>123931</v>
      </c>
    </row>
    <row r="157" spans="1:8" x14ac:dyDescent="0.25">
      <c r="A157" s="43" t="s">
        <v>1277</v>
      </c>
      <c r="B157" s="81" t="s">
        <v>1270</v>
      </c>
      <c r="C157" s="14" t="s">
        <v>37</v>
      </c>
      <c r="D157" s="68">
        <v>142662.9828</v>
      </c>
      <c r="E157" s="74">
        <v>0.03</v>
      </c>
      <c r="F157" s="129">
        <f t="shared" si="27"/>
        <v>146942.87228399998</v>
      </c>
      <c r="G157" s="130">
        <f t="shared" si="28"/>
        <v>27919.145733959998</v>
      </c>
      <c r="H157" s="131">
        <f t="shared" si="29"/>
        <v>174862</v>
      </c>
    </row>
    <row r="158" spans="1:8" x14ac:dyDescent="0.25">
      <c r="A158" s="43" t="s">
        <v>1278</v>
      </c>
      <c r="B158" s="81" t="s">
        <v>7734</v>
      </c>
      <c r="C158" s="14" t="s">
        <v>37</v>
      </c>
      <c r="D158" s="68">
        <v>307485.6544</v>
      </c>
      <c r="E158" s="74">
        <v>0.03</v>
      </c>
      <c r="F158" s="129">
        <f t="shared" si="27"/>
        <v>316710.224032</v>
      </c>
      <c r="G158" s="130">
        <f t="shared" si="28"/>
        <v>60174.942566079997</v>
      </c>
      <c r="H158" s="131">
        <f t="shared" si="29"/>
        <v>376885</v>
      </c>
    </row>
    <row r="159" spans="1:8" x14ac:dyDescent="0.25">
      <c r="A159" s="43" t="s">
        <v>1279</v>
      </c>
      <c r="B159" s="81" t="s">
        <v>1272</v>
      </c>
      <c r="C159" s="14" t="s">
        <v>37</v>
      </c>
      <c r="D159" s="68">
        <v>581730.65040000004</v>
      </c>
      <c r="E159" s="74">
        <v>0.03</v>
      </c>
      <c r="F159" s="129">
        <f t="shared" si="27"/>
        <v>599182.56991200009</v>
      </c>
      <c r="G159" s="130">
        <f t="shared" si="28"/>
        <v>113844.68828328002</v>
      </c>
      <c r="H159" s="131">
        <f t="shared" si="29"/>
        <v>713027</v>
      </c>
    </row>
    <row r="160" spans="1:8" x14ac:dyDescent="0.25">
      <c r="A160" s="44" t="s">
        <v>1280</v>
      </c>
      <c r="B160" s="80" t="s">
        <v>1281</v>
      </c>
      <c r="C160" s="14"/>
      <c r="D160" s="1001"/>
      <c r="E160" s="74"/>
      <c r="F160" s="75"/>
      <c r="G160" s="76"/>
      <c r="H160" s="77"/>
    </row>
    <row r="161" spans="1:8" x14ac:dyDescent="0.25">
      <c r="A161" s="43" t="s">
        <v>1288</v>
      </c>
      <c r="B161" s="81" t="s">
        <v>1282</v>
      </c>
      <c r="C161" s="14" t="s">
        <v>37</v>
      </c>
      <c r="D161" s="68">
        <v>76179.415599999993</v>
      </c>
      <c r="E161" s="74">
        <v>0.03</v>
      </c>
      <c r="F161" s="129">
        <f t="shared" ref="F161:F166" si="30">+D161+D161*E161</f>
        <v>78464.798067999989</v>
      </c>
      <c r="G161" s="130">
        <f t="shared" ref="G161:G166" si="31">F161*0.19</f>
        <v>14908.311632919998</v>
      </c>
      <c r="H161" s="131">
        <f t="shared" ref="H161:H166" si="32">ROUND((F161+G161),0)</f>
        <v>93373</v>
      </c>
    </row>
    <row r="162" spans="1:8" x14ac:dyDescent="0.25">
      <c r="A162" s="43" t="s">
        <v>1275</v>
      </c>
      <c r="B162" s="81" t="s">
        <v>1283</v>
      </c>
      <c r="C162" s="14" t="s">
        <v>37</v>
      </c>
      <c r="D162" s="68">
        <v>51005.315999999999</v>
      </c>
      <c r="E162" s="74">
        <v>0.03</v>
      </c>
      <c r="F162" s="129">
        <f t="shared" si="30"/>
        <v>52535.475480000001</v>
      </c>
      <c r="G162" s="130">
        <f t="shared" si="31"/>
        <v>9981.7403412000003</v>
      </c>
      <c r="H162" s="131">
        <f t="shared" si="32"/>
        <v>62517</v>
      </c>
    </row>
    <row r="163" spans="1:8" x14ac:dyDescent="0.25">
      <c r="A163" s="43" t="s">
        <v>1276</v>
      </c>
      <c r="B163" s="81" t="s">
        <v>1284</v>
      </c>
      <c r="C163" s="14" t="s">
        <v>37</v>
      </c>
      <c r="D163" s="68">
        <v>96955.108399999997</v>
      </c>
      <c r="E163" s="74">
        <v>0.03</v>
      </c>
      <c r="F163" s="129">
        <f t="shared" si="30"/>
        <v>99863.761652000001</v>
      </c>
      <c r="G163" s="130">
        <f t="shared" si="31"/>
        <v>18974.114713880001</v>
      </c>
      <c r="H163" s="131">
        <f t="shared" si="32"/>
        <v>118838</v>
      </c>
    </row>
    <row r="164" spans="1:8" x14ac:dyDescent="0.25">
      <c r="A164" s="43" t="s">
        <v>1277</v>
      </c>
      <c r="B164" s="81" t="s">
        <v>1285</v>
      </c>
      <c r="C164" s="14" t="s">
        <v>37</v>
      </c>
      <c r="D164" s="68">
        <v>121886.1648</v>
      </c>
      <c r="E164" s="74">
        <v>0.03</v>
      </c>
      <c r="F164" s="129">
        <f t="shared" si="30"/>
        <v>125542.749744</v>
      </c>
      <c r="G164" s="130">
        <f t="shared" si="31"/>
        <v>23853.122451359999</v>
      </c>
      <c r="H164" s="131">
        <f t="shared" si="32"/>
        <v>149396</v>
      </c>
    </row>
    <row r="165" spans="1:8" x14ac:dyDescent="0.25">
      <c r="A165" s="43" t="s">
        <v>1278</v>
      </c>
      <c r="B165" s="81" t="s">
        <v>7735</v>
      </c>
      <c r="C165" s="14" t="s">
        <v>37</v>
      </c>
      <c r="D165" s="68">
        <v>277014.11320000002</v>
      </c>
      <c r="E165" s="74">
        <v>0.03</v>
      </c>
      <c r="F165" s="129">
        <f t="shared" si="30"/>
        <v>285324.53659600002</v>
      </c>
      <c r="G165" s="130">
        <f t="shared" si="31"/>
        <v>54211.661953240007</v>
      </c>
      <c r="H165" s="131">
        <f t="shared" si="32"/>
        <v>339536</v>
      </c>
    </row>
    <row r="166" spans="1:8" x14ac:dyDescent="0.25">
      <c r="A166" s="43" t="s">
        <v>1279</v>
      </c>
      <c r="B166" s="81" t="s">
        <v>1287</v>
      </c>
      <c r="C166" s="14" t="s">
        <v>37</v>
      </c>
      <c r="D166" s="68">
        <v>890403.39079999994</v>
      </c>
      <c r="E166" s="74">
        <v>0.03</v>
      </c>
      <c r="F166" s="129">
        <f t="shared" si="30"/>
        <v>917115.49252399988</v>
      </c>
      <c r="G166" s="130">
        <f t="shared" si="31"/>
        <v>174251.94357955997</v>
      </c>
      <c r="H166" s="131">
        <f t="shared" si="32"/>
        <v>1091367</v>
      </c>
    </row>
    <row r="167" spans="1:8" x14ac:dyDescent="0.25">
      <c r="A167" s="44" t="s">
        <v>1289</v>
      </c>
      <c r="B167" s="80" t="s">
        <v>1290</v>
      </c>
      <c r="C167" s="14"/>
      <c r="D167" s="1001"/>
      <c r="E167" s="74"/>
      <c r="F167" s="75"/>
      <c r="G167" s="76"/>
      <c r="H167" s="77"/>
    </row>
    <row r="168" spans="1:8" x14ac:dyDescent="0.25">
      <c r="A168" s="44" t="s">
        <v>1291</v>
      </c>
      <c r="B168" s="80" t="s">
        <v>1294</v>
      </c>
      <c r="C168" s="14"/>
      <c r="D168" s="1001"/>
      <c r="E168" s="74"/>
      <c r="F168" s="75"/>
      <c r="G168" s="76"/>
      <c r="H168" s="77"/>
    </row>
    <row r="169" spans="1:8" x14ac:dyDescent="0.25">
      <c r="A169" s="43" t="s">
        <v>1292</v>
      </c>
      <c r="B169" s="81" t="s">
        <v>1293</v>
      </c>
      <c r="C169" s="14" t="s">
        <v>37</v>
      </c>
      <c r="D169" s="1001"/>
      <c r="E169" s="74">
        <v>0.03</v>
      </c>
      <c r="F169" s="129">
        <f t="shared" ref="F169:F180" si="33">+D169+D169*E169</f>
        <v>0</v>
      </c>
      <c r="G169" s="130">
        <f t="shared" ref="G169:G180" si="34">F169*0.19</f>
        <v>0</v>
      </c>
      <c r="H169" s="131">
        <f t="shared" ref="H169:H180" si="35">ROUND((F169+G169),0)</f>
        <v>0</v>
      </c>
    </row>
    <row r="170" spans="1:8" x14ac:dyDescent="0.25">
      <c r="A170" s="43" t="s">
        <v>1303</v>
      </c>
      <c r="B170" s="81" t="s">
        <v>1295</v>
      </c>
      <c r="C170" s="14" t="s">
        <v>37</v>
      </c>
      <c r="D170" s="1001"/>
      <c r="E170" s="74">
        <v>0.03</v>
      </c>
      <c r="F170" s="129">
        <f t="shared" si="33"/>
        <v>0</v>
      </c>
      <c r="G170" s="130">
        <f t="shared" si="34"/>
        <v>0</v>
      </c>
      <c r="H170" s="131">
        <f t="shared" si="35"/>
        <v>0</v>
      </c>
    </row>
    <row r="171" spans="1:8" x14ac:dyDescent="0.25">
      <c r="A171" s="43" t="s">
        <v>1304</v>
      </c>
      <c r="B171" s="81" t="s">
        <v>1296</v>
      </c>
      <c r="C171" s="14" t="s">
        <v>37</v>
      </c>
      <c r="D171" s="1001"/>
      <c r="E171" s="74">
        <v>0.03</v>
      </c>
      <c r="F171" s="129">
        <f t="shared" si="33"/>
        <v>0</v>
      </c>
      <c r="G171" s="130">
        <f t="shared" si="34"/>
        <v>0</v>
      </c>
      <c r="H171" s="131">
        <f t="shared" si="35"/>
        <v>0</v>
      </c>
    </row>
    <row r="172" spans="1:8" x14ac:dyDescent="0.25">
      <c r="A172" s="43" t="s">
        <v>1305</v>
      </c>
      <c r="B172" s="81" t="s">
        <v>1297</v>
      </c>
      <c r="C172" s="14" t="s">
        <v>37</v>
      </c>
      <c r="D172" s="1001"/>
      <c r="E172" s="74">
        <v>0.03</v>
      </c>
      <c r="F172" s="129">
        <f t="shared" si="33"/>
        <v>0</v>
      </c>
      <c r="G172" s="130">
        <f t="shared" si="34"/>
        <v>0</v>
      </c>
      <c r="H172" s="131">
        <f t="shared" si="35"/>
        <v>0</v>
      </c>
    </row>
    <row r="173" spans="1:8" x14ac:dyDescent="0.25">
      <c r="A173" s="43" t="s">
        <v>1306</v>
      </c>
      <c r="B173" s="81" t="s">
        <v>1298</v>
      </c>
      <c r="C173" s="14" t="s">
        <v>37</v>
      </c>
      <c r="D173" s="1001"/>
      <c r="E173" s="74">
        <v>0.03</v>
      </c>
      <c r="F173" s="129">
        <f t="shared" si="33"/>
        <v>0</v>
      </c>
      <c r="G173" s="130">
        <f t="shared" si="34"/>
        <v>0</v>
      </c>
      <c r="H173" s="131">
        <f t="shared" si="35"/>
        <v>0</v>
      </c>
    </row>
    <row r="174" spans="1:8" x14ac:dyDescent="0.25">
      <c r="A174" s="43" t="s">
        <v>1307</v>
      </c>
      <c r="B174" s="81" t="s">
        <v>1299</v>
      </c>
      <c r="C174" s="14" t="s">
        <v>37</v>
      </c>
      <c r="D174" s="1001"/>
      <c r="E174" s="74">
        <v>0.03</v>
      </c>
      <c r="F174" s="129">
        <f t="shared" si="33"/>
        <v>0</v>
      </c>
      <c r="G174" s="130">
        <f t="shared" si="34"/>
        <v>0</v>
      </c>
      <c r="H174" s="131">
        <f t="shared" si="35"/>
        <v>0</v>
      </c>
    </row>
    <row r="175" spans="1:8" x14ac:dyDescent="0.25">
      <c r="A175" s="43" t="s">
        <v>1308</v>
      </c>
      <c r="B175" s="81" t="s">
        <v>1300</v>
      </c>
      <c r="C175" s="14" t="s">
        <v>37</v>
      </c>
      <c r="D175" s="1001"/>
      <c r="E175" s="74">
        <v>0.03</v>
      </c>
      <c r="F175" s="129">
        <f t="shared" si="33"/>
        <v>0</v>
      </c>
      <c r="G175" s="130">
        <f t="shared" si="34"/>
        <v>0</v>
      </c>
      <c r="H175" s="131">
        <f t="shared" si="35"/>
        <v>0</v>
      </c>
    </row>
    <row r="176" spans="1:8" x14ac:dyDescent="0.25">
      <c r="A176" s="43" t="s">
        <v>1309</v>
      </c>
      <c r="B176" s="81" t="s">
        <v>1301</v>
      </c>
      <c r="C176" s="14" t="s">
        <v>37</v>
      </c>
      <c r="D176" s="1001"/>
      <c r="E176" s="74">
        <v>0.03</v>
      </c>
      <c r="F176" s="129">
        <f t="shared" si="33"/>
        <v>0</v>
      </c>
      <c r="G176" s="130">
        <f t="shared" si="34"/>
        <v>0</v>
      </c>
      <c r="H176" s="131">
        <f t="shared" si="35"/>
        <v>0</v>
      </c>
    </row>
    <row r="177" spans="1:8" x14ac:dyDescent="0.25">
      <c r="A177" s="43" t="s">
        <v>1310</v>
      </c>
      <c r="B177" s="81" t="s">
        <v>1302</v>
      </c>
      <c r="C177" s="14" t="s">
        <v>37</v>
      </c>
      <c r="D177" s="1001"/>
      <c r="E177" s="74">
        <v>0.03</v>
      </c>
      <c r="F177" s="129">
        <f t="shared" si="33"/>
        <v>0</v>
      </c>
      <c r="G177" s="130">
        <f t="shared" si="34"/>
        <v>0</v>
      </c>
      <c r="H177" s="131">
        <f t="shared" si="35"/>
        <v>0</v>
      </c>
    </row>
    <row r="178" spans="1:8" x14ac:dyDescent="0.25">
      <c r="A178" s="43" t="s">
        <v>1314</v>
      </c>
      <c r="B178" s="81" t="s">
        <v>1311</v>
      </c>
      <c r="C178" s="14" t="s">
        <v>37</v>
      </c>
      <c r="D178" s="1001"/>
      <c r="E178" s="74">
        <v>0.03</v>
      </c>
      <c r="F178" s="129">
        <f t="shared" si="33"/>
        <v>0</v>
      </c>
      <c r="G178" s="130">
        <f t="shared" si="34"/>
        <v>0</v>
      </c>
      <c r="H178" s="131">
        <f t="shared" si="35"/>
        <v>0</v>
      </c>
    </row>
    <row r="179" spans="1:8" x14ac:dyDescent="0.25">
      <c r="A179" s="43" t="s">
        <v>1315</v>
      </c>
      <c r="B179" s="81" t="s">
        <v>1312</v>
      </c>
      <c r="C179" s="14" t="s">
        <v>37</v>
      </c>
      <c r="D179" s="1001"/>
      <c r="E179" s="74">
        <v>0.03</v>
      </c>
      <c r="F179" s="129">
        <f t="shared" si="33"/>
        <v>0</v>
      </c>
      <c r="G179" s="130">
        <f t="shared" si="34"/>
        <v>0</v>
      </c>
      <c r="H179" s="131">
        <f t="shared" si="35"/>
        <v>0</v>
      </c>
    </row>
    <row r="180" spans="1:8" x14ac:dyDescent="0.25">
      <c r="A180" s="43" t="s">
        <v>1316</v>
      </c>
      <c r="B180" s="81" t="s">
        <v>1313</v>
      </c>
      <c r="C180" s="14" t="s">
        <v>37</v>
      </c>
      <c r="D180" s="1001"/>
      <c r="E180" s="74">
        <v>0.03</v>
      </c>
      <c r="F180" s="129">
        <f t="shared" si="33"/>
        <v>0</v>
      </c>
      <c r="G180" s="130">
        <f t="shared" si="34"/>
        <v>0</v>
      </c>
      <c r="H180" s="131">
        <f t="shared" si="35"/>
        <v>0</v>
      </c>
    </row>
    <row r="181" spans="1:8" x14ac:dyDescent="0.25">
      <c r="A181" s="44" t="s">
        <v>1317</v>
      </c>
      <c r="B181" s="80" t="s">
        <v>1318</v>
      </c>
      <c r="C181" s="14"/>
      <c r="D181" s="1001"/>
      <c r="E181" s="74"/>
      <c r="F181" s="75"/>
      <c r="G181" s="76"/>
      <c r="H181" s="77"/>
    </row>
    <row r="182" spans="1:8" x14ac:dyDescent="0.25">
      <c r="A182" s="43" t="s">
        <v>1326</v>
      </c>
      <c r="B182" s="81" t="s">
        <v>1320</v>
      </c>
      <c r="C182" s="14" t="s">
        <v>37</v>
      </c>
      <c r="D182" s="68">
        <v>121564</v>
      </c>
      <c r="E182" s="74">
        <v>0.03</v>
      </c>
      <c r="F182" s="129">
        <f t="shared" ref="F182:F199" si="36">+D182+D182*E182</f>
        <v>125210.92</v>
      </c>
      <c r="G182" s="130">
        <f t="shared" ref="G182:G199" si="37">F182*0.19</f>
        <v>23790.074799999999</v>
      </c>
      <c r="H182" s="131">
        <f t="shared" ref="H182:H199" si="38">ROUND((F182+G182),0)</f>
        <v>149001</v>
      </c>
    </row>
    <row r="183" spans="1:8" x14ac:dyDescent="0.25">
      <c r="A183" s="43" t="s">
        <v>1327</v>
      </c>
      <c r="B183" s="81" t="s">
        <v>1319</v>
      </c>
      <c r="C183" s="14" t="s">
        <v>37</v>
      </c>
      <c r="D183" s="68">
        <v>148761</v>
      </c>
      <c r="E183" s="74">
        <v>0.03</v>
      </c>
      <c r="F183" s="129">
        <f t="shared" si="36"/>
        <v>153223.82999999999</v>
      </c>
      <c r="G183" s="130">
        <f t="shared" si="37"/>
        <v>29112.527699999999</v>
      </c>
      <c r="H183" s="131">
        <f t="shared" si="38"/>
        <v>182336</v>
      </c>
    </row>
    <row r="184" spans="1:8" x14ac:dyDescent="0.25">
      <c r="A184" s="43" t="s">
        <v>1328</v>
      </c>
      <c r="B184" s="81" t="s">
        <v>1321</v>
      </c>
      <c r="C184" s="14" t="s">
        <v>37</v>
      </c>
      <c r="D184" s="68">
        <v>165350</v>
      </c>
      <c r="E184" s="74">
        <v>0.03</v>
      </c>
      <c r="F184" s="129">
        <f t="shared" si="36"/>
        <v>170310.5</v>
      </c>
      <c r="G184" s="130">
        <f t="shared" si="37"/>
        <v>32358.994999999999</v>
      </c>
      <c r="H184" s="131">
        <f t="shared" si="38"/>
        <v>202669</v>
      </c>
    </row>
    <row r="185" spans="1:8" x14ac:dyDescent="0.25">
      <c r="A185" s="43" t="s">
        <v>1329</v>
      </c>
      <c r="B185" s="81" t="s">
        <v>1322</v>
      </c>
      <c r="C185" s="14" t="s">
        <v>37</v>
      </c>
      <c r="D185" s="68">
        <v>174724</v>
      </c>
      <c r="E185" s="74">
        <v>0.03</v>
      </c>
      <c r="F185" s="129">
        <f t="shared" si="36"/>
        <v>179965.72</v>
      </c>
      <c r="G185" s="130">
        <f t="shared" si="37"/>
        <v>34193.486799999999</v>
      </c>
      <c r="H185" s="131">
        <f t="shared" si="38"/>
        <v>214159</v>
      </c>
    </row>
    <row r="186" spans="1:8" x14ac:dyDescent="0.25">
      <c r="A186" s="43" t="s">
        <v>1330</v>
      </c>
      <c r="B186" s="81" t="s">
        <v>1323</v>
      </c>
      <c r="C186" s="14" t="s">
        <v>37</v>
      </c>
      <c r="D186" s="68">
        <v>274259</v>
      </c>
      <c r="E186" s="74">
        <v>0.03</v>
      </c>
      <c r="F186" s="129">
        <f t="shared" si="36"/>
        <v>282486.77</v>
      </c>
      <c r="G186" s="130">
        <f t="shared" si="37"/>
        <v>53672.486300000004</v>
      </c>
      <c r="H186" s="131">
        <f t="shared" si="38"/>
        <v>336159</v>
      </c>
    </row>
    <row r="187" spans="1:8" x14ac:dyDescent="0.25">
      <c r="A187" s="43" t="s">
        <v>1331</v>
      </c>
      <c r="B187" s="81" t="s">
        <v>7736</v>
      </c>
      <c r="C187" s="14" t="s">
        <v>37</v>
      </c>
      <c r="D187" s="68">
        <v>406896</v>
      </c>
      <c r="E187" s="74">
        <v>0.03</v>
      </c>
      <c r="F187" s="129">
        <f t="shared" si="36"/>
        <v>419102.88</v>
      </c>
      <c r="G187" s="130">
        <f t="shared" si="37"/>
        <v>79629.547200000001</v>
      </c>
      <c r="H187" s="131">
        <f t="shared" si="38"/>
        <v>498732</v>
      </c>
    </row>
    <row r="188" spans="1:8" x14ac:dyDescent="0.25">
      <c r="A188" s="43" t="s">
        <v>1332</v>
      </c>
      <c r="B188" s="81" t="s">
        <v>1325</v>
      </c>
      <c r="C188" s="14" t="s">
        <v>37</v>
      </c>
      <c r="D188" s="68">
        <v>1065868</v>
      </c>
      <c r="E188" s="74">
        <v>0.03</v>
      </c>
      <c r="F188" s="129">
        <f t="shared" si="36"/>
        <v>1097844.04</v>
      </c>
      <c r="G188" s="130">
        <f t="shared" si="37"/>
        <v>208590.3676</v>
      </c>
      <c r="H188" s="131">
        <f t="shared" si="38"/>
        <v>1306434</v>
      </c>
    </row>
    <row r="189" spans="1:8" x14ac:dyDescent="0.25">
      <c r="A189" s="43" t="s">
        <v>1333</v>
      </c>
      <c r="B189" s="81" t="s">
        <v>1336</v>
      </c>
      <c r="C189" s="14" t="s">
        <v>37</v>
      </c>
      <c r="D189" s="68">
        <v>155883</v>
      </c>
      <c r="E189" s="74">
        <v>0.03</v>
      </c>
      <c r="F189" s="129">
        <f t="shared" si="36"/>
        <v>160559.49</v>
      </c>
      <c r="G189" s="130">
        <f t="shared" si="37"/>
        <v>30506.303099999997</v>
      </c>
      <c r="H189" s="131">
        <f t="shared" si="38"/>
        <v>191066</v>
      </c>
    </row>
    <row r="190" spans="1:8" x14ac:dyDescent="0.25">
      <c r="A190" s="43" t="s">
        <v>1334</v>
      </c>
      <c r="B190" s="81" t="s">
        <v>1337</v>
      </c>
      <c r="C190" s="14" t="s">
        <v>37</v>
      </c>
      <c r="D190" s="68">
        <v>165350</v>
      </c>
      <c r="E190" s="74">
        <v>0.03</v>
      </c>
      <c r="F190" s="129">
        <f t="shared" si="36"/>
        <v>170310.5</v>
      </c>
      <c r="G190" s="130">
        <f t="shared" si="37"/>
        <v>32358.994999999999</v>
      </c>
      <c r="H190" s="131">
        <f t="shared" si="38"/>
        <v>202669</v>
      </c>
    </row>
    <row r="191" spans="1:8" x14ac:dyDescent="0.25">
      <c r="A191" s="43" t="s">
        <v>1335</v>
      </c>
      <c r="B191" s="81" t="s">
        <v>1338</v>
      </c>
      <c r="C191" s="14" t="s">
        <v>37</v>
      </c>
      <c r="D191" s="68">
        <v>174724</v>
      </c>
      <c r="E191" s="74">
        <v>0.03</v>
      </c>
      <c r="F191" s="129">
        <f t="shared" si="36"/>
        <v>179965.72</v>
      </c>
      <c r="G191" s="130">
        <f t="shared" si="37"/>
        <v>34193.486799999999</v>
      </c>
      <c r="H191" s="131">
        <f t="shared" si="38"/>
        <v>214159</v>
      </c>
    </row>
    <row r="192" spans="1:8" x14ac:dyDescent="0.25">
      <c r="A192" s="43" t="s">
        <v>1347</v>
      </c>
      <c r="B192" s="81" t="s">
        <v>1339</v>
      </c>
      <c r="C192" s="14" t="s">
        <v>37</v>
      </c>
      <c r="D192" s="68">
        <v>174724</v>
      </c>
      <c r="E192" s="74">
        <v>0.03</v>
      </c>
      <c r="F192" s="129">
        <f t="shared" si="36"/>
        <v>179965.72</v>
      </c>
      <c r="G192" s="130">
        <f t="shared" si="37"/>
        <v>34193.486799999999</v>
      </c>
      <c r="H192" s="131">
        <f t="shared" si="38"/>
        <v>214159</v>
      </c>
    </row>
    <row r="193" spans="1:8" x14ac:dyDescent="0.25">
      <c r="A193" s="43" t="s">
        <v>1348</v>
      </c>
      <c r="B193" s="81" t="s">
        <v>1340</v>
      </c>
      <c r="C193" s="14" t="s">
        <v>37</v>
      </c>
      <c r="D193" s="68">
        <v>220468</v>
      </c>
      <c r="E193" s="74">
        <v>0.03</v>
      </c>
      <c r="F193" s="129">
        <f t="shared" si="36"/>
        <v>227082.04</v>
      </c>
      <c r="G193" s="130">
        <f t="shared" si="37"/>
        <v>43145.587599999999</v>
      </c>
      <c r="H193" s="131">
        <f t="shared" si="38"/>
        <v>270228</v>
      </c>
    </row>
    <row r="194" spans="1:8" x14ac:dyDescent="0.25">
      <c r="A194" s="43" t="s">
        <v>1349</v>
      </c>
      <c r="B194" s="81" t="s">
        <v>1341</v>
      </c>
      <c r="C194" s="14" t="s">
        <v>37</v>
      </c>
      <c r="D194" s="68">
        <v>269350</v>
      </c>
      <c r="E194" s="74">
        <v>0.03</v>
      </c>
      <c r="F194" s="129">
        <f t="shared" si="36"/>
        <v>277430.5</v>
      </c>
      <c r="G194" s="130">
        <f t="shared" si="37"/>
        <v>52711.794999999998</v>
      </c>
      <c r="H194" s="131">
        <f t="shared" si="38"/>
        <v>330142</v>
      </c>
    </row>
    <row r="195" spans="1:8" x14ac:dyDescent="0.25">
      <c r="A195" s="43" t="s">
        <v>1350</v>
      </c>
      <c r="B195" s="81" t="s">
        <v>1342</v>
      </c>
      <c r="C195" s="14" t="s">
        <v>37</v>
      </c>
      <c r="D195" s="68">
        <v>269350</v>
      </c>
      <c r="E195" s="74">
        <v>0.03</v>
      </c>
      <c r="F195" s="129">
        <f t="shared" si="36"/>
        <v>277430.5</v>
      </c>
      <c r="G195" s="130">
        <f t="shared" si="37"/>
        <v>52711.794999999998</v>
      </c>
      <c r="H195" s="131">
        <f t="shared" si="38"/>
        <v>330142</v>
      </c>
    </row>
    <row r="196" spans="1:8" x14ac:dyDescent="0.25">
      <c r="A196" s="43" t="s">
        <v>1351</v>
      </c>
      <c r="B196" s="81" t="s">
        <v>7737</v>
      </c>
      <c r="C196" s="14" t="s">
        <v>37</v>
      </c>
      <c r="D196" s="68">
        <v>603193</v>
      </c>
      <c r="E196" s="74">
        <v>0.03</v>
      </c>
      <c r="F196" s="129">
        <f t="shared" si="36"/>
        <v>621288.79</v>
      </c>
      <c r="G196" s="130">
        <f t="shared" si="37"/>
        <v>118044.87010000001</v>
      </c>
      <c r="H196" s="131">
        <f t="shared" si="38"/>
        <v>739334</v>
      </c>
    </row>
    <row r="197" spans="1:8" x14ac:dyDescent="0.25">
      <c r="A197" s="43" t="s">
        <v>1352</v>
      </c>
      <c r="B197" s="81" t="s">
        <v>7738</v>
      </c>
      <c r="C197" s="14" t="s">
        <v>37</v>
      </c>
      <c r="D197" s="68">
        <v>603193</v>
      </c>
      <c r="E197" s="74">
        <v>0.03</v>
      </c>
      <c r="F197" s="129">
        <f t="shared" si="36"/>
        <v>621288.79</v>
      </c>
      <c r="G197" s="130">
        <f t="shared" si="37"/>
        <v>118044.87010000001</v>
      </c>
      <c r="H197" s="131">
        <f t="shared" si="38"/>
        <v>739334</v>
      </c>
    </row>
    <row r="198" spans="1:8" x14ac:dyDescent="0.25">
      <c r="A198" s="43" t="s">
        <v>1353</v>
      </c>
      <c r="B198" s="81" t="s">
        <v>1346</v>
      </c>
      <c r="C198" s="14" t="s">
        <v>37</v>
      </c>
      <c r="D198" s="68">
        <v>1018064</v>
      </c>
      <c r="E198" s="74">
        <v>0.03</v>
      </c>
      <c r="F198" s="129">
        <f t="shared" si="36"/>
        <v>1048605.92</v>
      </c>
      <c r="G198" s="130">
        <f t="shared" si="37"/>
        <v>199235.12479999999</v>
      </c>
      <c r="H198" s="131">
        <f t="shared" si="38"/>
        <v>1247841</v>
      </c>
    </row>
    <row r="199" spans="1:8" x14ac:dyDescent="0.25">
      <c r="A199" s="43" t="s">
        <v>1354</v>
      </c>
      <c r="B199" s="81" t="s">
        <v>7739</v>
      </c>
      <c r="C199" s="14" t="s">
        <v>37</v>
      </c>
      <c r="D199" s="68">
        <v>1041966</v>
      </c>
      <c r="E199" s="74">
        <v>0.03</v>
      </c>
      <c r="F199" s="129">
        <f t="shared" si="36"/>
        <v>1073224.98</v>
      </c>
      <c r="G199" s="130">
        <f t="shared" si="37"/>
        <v>203912.74619999999</v>
      </c>
      <c r="H199" s="131">
        <f t="shared" si="38"/>
        <v>1277138</v>
      </c>
    </row>
    <row r="200" spans="1:8" x14ac:dyDescent="0.25">
      <c r="A200" s="44" t="s">
        <v>936</v>
      </c>
      <c r="B200" s="80" t="s">
        <v>1355</v>
      </c>
      <c r="C200" s="14"/>
      <c r="D200" s="1001"/>
      <c r="E200" s="74"/>
      <c r="F200" s="75"/>
      <c r="G200" s="76"/>
      <c r="H200" s="77"/>
    </row>
    <row r="201" spans="1:8" x14ac:dyDescent="0.25">
      <c r="A201" s="43" t="s">
        <v>1366</v>
      </c>
      <c r="B201" s="81" t="s">
        <v>1356</v>
      </c>
      <c r="C201" s="14" t="s">
        <v>37</v>
      </c>
      <c r="D201" s="68">
        <v>70674</v>
      </c>
      <c r="E201" s="74">
        <v>0.03</v>
      </c>
      <c r="F201" s="129">
        <f t="shared" ref="F201:F209" si="39">+D201+D201*E201</f>
        <v>72794.22</v>
      </c>
      <c r="G201" s="130">
        <f t="shared" ref="G201:G209" si="40">F201*0.19</f>
        <v>13830.9018</v>
      </c>
      <c r="H201" s="131">
        <f t="shared" ref="H201:H209" si="41">ROUND((F201+G201),0)</f>
        <v>86625</v>
      </c>
    </row>
    <row r="202" spans="1:8" x14ac:dyDescent="0.25">
      <c r="A202" s="43" t="s">
        <v>1367</v>
      </c>
      <c r="B202" s="81" t="s">
        <v>1357</v>
      </c>
      <c r="C202" s="14" t="s">
        <v>37</v>
      </c>
      <c r="D202" s="68">
        <v>81179</v>
      </c>
      <c r="E202" s="74">
        <v>0.03</v>
      </c>
      <c r="F202" s="129">
        <f t="shared" si="39"/>
        <v>83614.37</v>
      </c>
      <c r="G202" s="130">
        <f t="shared" si="40"/>
        <v>15886.730299999999</v>
      </c>
      <c r="H202" s="131">
        <f t="shared" si="41"/>
        <v>99501</v>
      </c>
    </row>
    <row r="203" spans="1:8" x14ac:dyDescent="0.25">
      <c r="A203" s="43" t="s">
        <v>1368</v>
      </c>
      <c r="B203" s="81" t="s">
        <v>1359</v>
      </c>
      <c r="C203" s="14" t="s">
        <v>37</v>
      </c>
      <c r="D203" s="68">
        <v>96786</v>
      </c>
      <c r="E203" s="74">
        <v>0.03</v>
      </c>
      <c r="F203" s="129">
        <f t="shared" si="39"/>
        <v>99689.58</v>
      </c>
      <c r="G203" s="130">
        <f t="shared" si="40"/>
        <v>18941.020199999999</v>
      </c>
      <c r="H203" s="131">
        <f t="shared" si="41"/>
        <v>118631</v>
      </c>
    </row>
    <row r="204" spans="1:8" x14ac:dyDescent="0.25">
      <c r="A204" s="43" t="s">
        <v>1369</v>
      </c>
      <c r="B204" s="81" t="s">
        <v>1358</v>
      </c>
      <c r="C204" s="14" t="s">
        <v>37</v>
      </c>
      <c r="D204" s="68">
        <v>101939</v>
      </c>
      <c r="E204" s="74">
        <v>0.03</v>
      </c>
      <c r="F204" s="129">
        <f t="shared" si="39"/>
        <v>104997.17</v>
      </c>
      <c r="G204" s="130">
        <f t="shared" si="40"/>
        <v>19949.462299999999</v>
      </c>
      <c r="H204" s="131">
        <f t="shared" si="41"/>
        <v>124947</v>
      </c>
    </row>
    <row r="205" spans="1:8" x14ac:dyDescent="0.25">
      <c r="A205" s="43" t="s">
        <v>1370</v>
      </c>
      <c r="B205" s="81" t="s">
        <v>1360</v>
      </c>
      <c r="C205" s="14" t="s">
        <v>37</v>
      </c>
      <c r="D205" s="68">
        <v>112344</v>
      </c>
      <c r="E205" s="74">
        <v>0.03</v>
      </c>
      <c r="F205" s="129">
        <f t="shared" si="39"/>
        <v>115714.32</v>
      </c>
      <c r="G205" s="130">
        <f t="shared" si="40"/>
        <v>21985.720800000003</v>
      </c>
      <c r="H205" s="131">
        <f t="shared" si="41"/>
        <v>137700</v>
      </c>
    </row>
    <row r="206" spans="1:8" x14ac:dyDescent="0.25">
      <c r="A206" s="43" t="s">
        <v>1371</v>
      </c>
      <c r="B206" s="81" t="s">
        <v>1361</v>
      </c>
      <c r="C206" s="14" t="s">
        <v>37</v>
      </c>
      <c r="D206" s="68">
        <v>117645</v>
      </c>
      <c r="E206" s="74">
        <v>0.03</v>
      </c>
      <c r="F206" s="129">
        <f t="shared" si="39"/>
        <v>121174.35</v>
      </c>
      <c r="G206" s="130">
        <f t="shared" si="40"/>
        <v>23023.126500000002</v>
      </c>
      <c r="H206" s="131">
        <f t="shared" si="41"/>
        <v>144197</v>
      </c>
    </row>
    <row r="207" spans="1:8" x14ac:dyDescent="0.25">
      <c r="A207" s="43" t="s">
        <v>1372</v>
      </c>
      <c r="B207" s="81" t="s">
        <v>1362</v>
      </c>
      <c r="C207" s="14" t="s">
        <v>37</v>
      </c>
      <c r="D207" s="68">
        <v>117645</v>
      </c>
      <c r="E207" s="74">
        <v>0.03</v>
      </c>
      <c r="F207" s="129">
        <f t="shared" si="39"/>
        <v>121174.35</v>
      </c>
      <c r="G207" s="130">
        <f t="shared" si="40"/>
        <v>23023.126500000002</v>
      </c>
      <c r="H207" s="131">
        <f t="shared" si="41"/>
        <v>144197</v>
      </c>
    </row>
    <row r="208" spans="1:8" x14ac:dyDescent="0.25">
      <c r="A208" s="43" t="s">
        <v>1373</v>
      </c>
      <c r="B208" s="81" t="s">
        <v>7740</v>
      </c>
      <c r="C208" s="14" t="s">
        <v>37</v>
      </c>
      <c r="D208" s="68">
        <v>323484</v>
      </c>
      <c r="E208" s="74">
        <v>0.03</v>
      </c>
      <c r="F208" s="129">
        <f t="shared" si="39"/>
        <v>333188.52</v>
      </c>
      <c r="G208" s="130">
        <f t="shared" si="40"/>
        <v>63305.818800000001</v>
      </c>
      <c r="H208" s="131">
        <f t="shared" si="41"/>
        <v>396494</v>
      </c>
    </row>
    <row r="209" spans="1:8" x14ac:dyDescent="0.25">
      <c r="A209" s="43" t="s">
        <v>1374</v>
      </c>
      <c r="B209" s="81" t="s">
        <v>7741</v>
      </c>
      <c r="C209" s="14" t="s">
        <v>37</v>
      </c>
      <c r="D209" s="68">
        <v>549155</v>
      </c>
      <c r="E209" s="74">
        <v>0.03</v>
      </c>
      <c r="F209" s="129">
        <f t="shared" si="39"/>
        <v>565629.65</v>
      </c>
      <c r="G209" s="130">
        <f t="shared" si="40"/>
        <v>107469.63350000001</v>
      </c>
      <c r="H209" s="131">
        <f t="shared" si="41"/>
        <v>673099</v>
      </c>
    </row>
    <row r="210" spans="1:8" x14ac:dyDescent="0.25">
      <c r="A210" s="44" t="s">
        <v>938</v>
      </c>
      <c r="B210" s="80" t="s">
        <v>1375</v>
      </c>
      <c r="C210" s="14"/>
      <c r="D210" s="1001"/>
      <c r="E210" s="74"/>
      <c r="F210" s="75"/>
      <c r="G210" s="76"/>
      <c r="H210" s="77"/>
    </row>
    <row r="211" spans="1:8" x14ac:dyDescent="0.25">
      <c r="A211" s="43" t="s">
        <v>939</v>
      </c>
      <c r="B211" s="300" t="s">
        <v>1397</v>
      </c>
      <c r="C211" s="14" t="s">
        <v>37</v>
      </c>
      <c r="D211" s="1001"/>
      <c r="E211" s="74">
        <v>0.03</v>
      </c>
      <c r="F211" s="129">
        <f t="shared" ref="F211:F232" si="42">+D211+D211*E211</f>
        <v>0</v>
      </c>
      <c r="G211" s="130">
        <f t="shared" ref="G211:G232" si="43">F211*0.19</f>
        <v>0</v>
      </c>
      <c r="H211" s="131">
        <f t="shared" ref="H211:H232" si="44">ROUND((F211+G211),0)</f>
        <v>0</v>
      </c>
    </row>
    <row r="212" spans="1:8" x14ac:dyDescent="0.25">
      <c r="A212" s="43" t="s">
        <v>940</v>
      </c>
      <c r="B212" s="300" t="s">
        <v>1398</v>
      </c>
      <c r="C212" s="14" t="s">
        <v>37</v>
      </c>
      <c r="D212" s="1001"/>
      <c r="E212" s="74">
        <v>0.03</v>
      </c>
      <c r="F212" s="129">
        <f t="shared" si="42"/>
        <v>0</v>
      </c>
      <c r="G212" s="130">
        <f t="shared" si="43"/>
        <v>0</v>
      </c>
      <c r="H212" s="131">
        <f t="shared" si="44"/>
        <v>0</v>
      </c>
    </row>
    <row r="213" spans="1:8" x14ac:dyDescent="0.25">
      <c r="A213" s="43" t="s">
        <v>1376</v>
      </c>
      <c r="B213" s="300" t="s">
        <v>1396</v>
      </c>
      <c r="C213" s="14" t="s">
        <v>37</v>
      </c>
      <c r="D213" s="1001"/>
      <c r="E213" s="74">
        <v>0.03</v>
      </c>
      <c r="F213" s="129">
        <f t="shared" si="42"/>
        <v>0</v>
      </c>
      <c r="G213" s="130">
        <f t="shared" si="43"/>
        <v>0</v>
      </c>
      <c r="H213" s="131">
        <f t="shared" si="44"/>
        <v>0</v>
      </c>
    </row>
    <row r="214" spans="1:8" x14ac:dyDescent="0.25">
      <c r="A214" s="43" t="s">
        <v>1377</v>
      </c>
      <c r="B214" s="1008" t="s">
        <v>1402</v>
      </c>
      <c r="C214" s="14" t="s">
        <v>37</v>
      </c>
      <c r="D214" s="1001"/>
      <c r="E214" s="74">
        <v>0.03</v>
      </c>
      <c r="F214" s="129">
        <f t="shared" si="42"/>
        <v>0</v>
      </c>
      <c r="G214" s="130">
        <f t="shared" si="43"/>
        <v>0</v>
      </c>
      <c r="H214" s="131">
        <f t="shared" si="44"/>
        <v>0</v>
      </c>
    </row>
    <row r="215" spans="1:8" x14ac:dyDescent="0.25">
      <c r="A215" s="43" t="s">
        <v>1378</v>
      </c>
      <c r="B215" s="1008" t="s">
        <v>1403</v>
      </c>
      <c r="C215" s="14" t="s">
        <v>37</v>
      </c>
      <c r="D215" s="1001"/>
      <c r="E215" s="74">
        <v>0.03</v>
      </c>
      <c r="F215" s="129">
        <f t="shared" si="42"/>
        <v>0</v>
      </c>
      <c r="G215" s="130">
        <f t="shared" si="43"/>
        <v>0</v>
      </c>
      <c r="H215" s="131">
        <f t="shared" si="44"/>
        <v>0</v>
      </c>
    </row>
    <row r="216" spans="1:8" x14ac:dyDescent="0.25">
      <c r="A216" s="43" t="s">
        <v>1379</v>
      </c>
      <c r="B216" s="1008" t="s">
        <v>1404</v>
      </c>
      <c r="C216" s="14" t="s">
        <v>37</v>
      </c>
      <c r="D216" s="1001"/>
      <c r="E216" s="74">
        <v>0.03</v>
      </c>
      <c r="F216" s="129">
        <f t="shared" si="42"/>
        <v>0</v>
      </c>
      <c r="G216" s="130">
        <f t="shared" si="43"/>
        <v>0</v>
      </c>
      <c r="H216" s="131">
        <f t="shared" si="44"/>
        <v>0</v>
      </c>
    </row>
    <row r="217" spans="1:8" x14ac:dyDescent="0.25">
      <c r="A217" s="43" t="s">
        <v>1380</v>
      </c>
      <c r="B217" s="1008" t="s">
        <v>1405</v>
      </c>
      <c r="C217" s="14" t="s">
        <v>37</v>
      </c>
      <c r="D217" s="1001"/>
      <c r="E217" s="74">
        <v>0.03</v>
      </c>
      <c r="F217" s="129">
        <f t="shared" si="42"/>
        <v>0</v>
      </c>
      <c r="G217" s="130">
        <f t="shared" si="43"/>
        <v>0</v>
      </c>
      <c r="H217" s="131">
        <f t="shared" si="44"/>
        <v>0</v>
      </c>
    </row>
    <row r="218" spans="1:8" x14ac:dyDescent="0.25">
      <c r="A218" s="43" t="s">
        <v>1381</v>
      </c>
      <c r="B218" s="1008" t="s">
        <v>1406</v>
      </c>
      <c r="C218" s="14" t="s">
        <v>37</v>
      </c>
      <c r="D218" s="1001"/>
      <c r="E218" s="74">
        <v>0.03</v>
      </c>
      <c r="F218" s="129">
        <f t="shared" si="42"/>
        <v>0</v>
      </c>
      <c r="G218" s="130">
        <f t="shared" si="43"/>
        <v>0</v>
      </c>
      <c r="H218" s="131">
        <f t="shared" si="44"/>
        <v>0</v>
      </c>
    </row>
    <row r="219" spans="1:8" x14ac:dyDescent="0.25">
      <c r="A219" s="43" t="s">
        <v>1382</v>
      </c>
      <c r="B219" s="1008" t="s">
        <v>1407</v>
      </c>
      <c r="C219" s="14" t="s">
        <v>37</v>
      </c>
      <c r="D219" s="1001"/>
      <c r="E219" s="74">
        <v>0.03</v>
      </c>
      <c r="F219" s="129">
        <f t="shared" si="42"/>
        <v>0</v>
      </c>
      <c r="G219" s="130">
        <f t="shared" si="43"/>
        <v>0</v>
      </c>
      <c r="H219" s="131">
        <f t="shared" si="44"/>
        <v>0</v>
      </c>
    </row>
    <row r="220" spans="1:8" x14ac:dyDescent="0.25">
      <c r="A220" s="43" t="s">
        <v>1383</v>
      </c>
      <c r="B220" s="1008" t="s">
        <v>1411</v>
      </c>
      <c r="C220" s="14" t="s">
        <v>37</v>
      </c>
      <c r="D220" s="1001"/>
      <c r="E220" s="74">
        <v>0.03</v>
      </c>
      <c r="F220" s="129">
        <f t="shared" si="42"/>
        <v>0</v>
      </c>
      <c r="G220" s="130">
        <f t="shared" si="43"/>
        <v>0</v>
      </c>
      <c r="H220" s="131">
        <f t="shared" si="44"/>
        <v>0</v>
      </c>
    </row>
    <row r="221" spans="1:8" x14ac:dyDescent="0.25">
      <c r="A221" s="43" t="s">
        <v>1384</v>
      </c>
      <c r="B221" s="300" t="s">
        <v>1415</v>
      </c>
      <c r="C221" s="14" t="s">
        <v>37</v>
      </c>
      <c r="D221" s="1001"/>
      <c r="E221" s="74">
        <v>0.03</v>
      </c>
      <c r="F221" s="129">
        <f t="shared" si="42"/>
        <v>0</v>
      </c>
      <c r="G221" s="130">
        <f t="shared" si="43"/>
        <v>0</v>
      </c>
      <c r="H221" s="131">
        <f t="shared" si="44"/>
        <v>0</v>
      </c>
    </row>
    <row r="222" spans="1:8" x14ac:dyDescent="0.25">
      <c r="A222" s="43" t="s">
        <v>1385</v>
      </c>
      <c r="B222" s="300" t="s">
        <v>1412</v>
      </c>
      <c r="C222" s="14" t="s">
        <v>37</v>
      </c>
      <c r="D222" s="1001"/>
      <c r="E222" s="74">
        <v>0.03</v>
      </c>
      <c r="F222" s="129">
        <f t="shared" si="42"/>
        <v>0</v>
      </c>
      <c r="G222" s="130">
        <f t="shared" si="43"/>
        <v>0</v>
      </c>
      <c r="H222" s="131">
        <f t="shared" si="44"/>
        <v>0</v>
      </c>
    </row>
    <row r="223" spans="1:8" x14ac:dyDescent="0.25">
      <c r="A223" s="43" t="s">
        <v>1386</v>
      </c>
      <c r="B223" s="300" t="s">
        <v>1413</v>
      </c>
      <c r="C223" s="14" t="s">
        <v>37</v>
      </c>
      <c r="D223" s="1001"/>
      <c r="E223" s="74">
        <v>0.03</v>
      </c>
      <c r="F223" s="129">
        <f t="shared" si="42"/>
        <v>0</v>
      </c>
      <c r="G223" s="130">
        <f t="shared" si="43"/>
        <v>0</v>
      </c>
      <c r="H223" s="131">
        <f t="shared" si="44"/>
        <v>0</v>
      </c>
    </row>
    <row r="224" spans="1:8" x14ac:dyDescent="0.25">
      <c r="A224" s="43" t="s">
        <v>1387</v>
      </c>
      <c r="B224" s="300" t="s">
        <v>1416</v>
      </c>
      <c r="C224" s="14" t="s">
        <v>37</v>
      </c>
      <c r="D224" s="1001"/>
      <c r="E224" s="74">
        <v>0.03</v>
      </c>
      <c r="F224" s="129">
        <f t="shared" si="42"/>
        <v>0</v>
      </c>
      <c r="G224" s="130">
        <f t="shared" si="43"/>
        <v>0</v>
      </c>
      <c r="H224" s="131">
        <f t="shared" si="44"/>
        <v>0</v>
      </c>
    </row>
    <row r="225" spans="1:8" x14ac:dyDescent="0.25">
      <c r="A225" s="43" t="s">
        <v>1388</v>
      </c>
      <c r="B225" s="300" t="s">
        <v>1414</v>
      </c>
      <c r="C225" s="14" t="s">
        <v>37</v>
      </c>
      <c r="D225" s="1001"/>
      <c r="E225" s="74">
        <v>0.03</v>
      </c>
      <c r="F225" s="129">
        <f t="shared" si="42"/>
        <v>0</v>
      </c>
      <c r="G225" s="130">
        <f t="shared" si="43"/>
        <v>0</v>
      </c>
      <c r="H225" s="131">
        <f t="shared" si="44"/>
        <v>0</v>
      </c>
    </row>
    <row r="226" spans="1:8" x14ac:dyDescent="0.25">
      <c r="A226" s="43" t="s">
        <v>1389</v>
      </c>
      <c r="B226" s="1008" t="s">
        <v>1417</v>
      </c>
      <c r="C226" s="14" t="s">
        <v>37</v>
      </c>
      <c r="D226" s="1001"/>
      <c r="E226" s="74">
        <v>0.03</v>
      </c>
      <c r="F226" s="129">
        <f t="shared" si="42"/>
        <v>0</v>
      </c>
      <c r="G226" s="130">
        <f t="shared" si="43"/>
        <v>0</v>
      </c>
      <c r="H226" s="131">
        <f t="shared" si="44"/>
        <v>0</v>
      </c>
    </row>
    <row r="227" spans="1:8" x14ac:dyDescent="0.25">
      <c r="A227" s="43" t="s">
        <v>1390</v>
      </c>
      <c r="B227" s="1008" t="s">
        <v>1410</v>
      </c>
      <c r="C227" s="14" t="s">
        <v>37</v>
      </c>
      <c r="D227" s="1001"/>
      <c r="E227" s="74">
        <v>0.03</v>
      </c>
      <c r="F227" s="129">
        <f t="shared" si="42"/>
        <v>0</v>
      </c>
      <c r="G227" s="130">
        <f t="shared" si="43"/>
        <v>0</v>
      </c>
      <c r="H227" s="131">
        <f t="shared" si="44"/>
        <v>0</v>
      </c>
    </row>
    <row r="228" spans="1:8" x14ac:dyDescent="0.25">
      <c r="A228" s="43" t="s">
        <v>1391</v>
      </c>
      <c r="B228" s="300" t="s">
        <v>1408</v>
      </c>
      <c r="C228" s="14" t="s">
        <v>37</v>
      </c>
      <c r="D228" s="1001"/>
      <c r="E228" s="74">
        <v>0.03</v>
      </c>
      <c r="F228" s="129">
        <f t="shared" si="42"/>
        <v>0</v>
      </c>
      <c r="G228" s="130">
        <f t="shared" si="43"/>
        <v>0</v>
      </c>
      <c r="H228" s="131">
        <f t="shared" si="44"/>
        <v>0</v>
      </c>
    </row>
    <row r="229" spans="1:8" x14ac:dyDescent="0.25">
      <c r="A229" s="43" t="s">
        <v>1392</v>
      </c>
      <c r="B229" s="1008" t="s">
        <v>1409</v>
      </c>
      <c r="C229" s="14" t="s">
        <v>37</v>
      </c>
      <c r="D229" s="1001"/>
      <c r="E229" s="74">
        <v>0.03</v>
      </c>
      <c r="F229" s="129">
        <f t="shared" si="42"/>
        <v>0</v>
      </c>
      <c r="G229" s="130">
        <f t="shared" si="43"/>
        <v>0</v>
      </c>
      <c r="H229" s="131">
        <f t="shared" si="44"/>
        <v>0</v>
      </c>
    </row>
    <row r="230" spans="1:8" x14ac:dyDescent="0.25">
      <c r="A230" s="43" t="s">
        <v>1393</v>
      </c>
      <c r="B230" s="300" t="s">
        <v>1399</v>
      </c>
      <c r="C230" s="14" t="s">
        <v>37</v>
      </c>
      <c r="D230" s="1001"/>
      <c r="E230" s="74">
        <v>0.03</v>
      </c>
      <c r="F230" s="129">
        <f t="shared" si="42"/>
        <v>0</v>
      </c>
      <c r="G230" s="130">
        <f t="shared" si="43"/>
        <v>0</v>
      </c>
      <c r="H230" s="131">
        <f t="shared" si="44"/>
        <v>0</v>
      </c>
    </row>
    <row r="231" spans="1:8" x14ac:dyDescent="0.25">
      <c r="A231" s="43" t="s">
        <v>1394</v>
      </c>
      <c r="B231" s="1008" t="s">
        <v>1400</v>
      </c>
      <c r="C231" s="14" t="s">
        <v>37</v>
      </c>
      <c r="D231" s="1001"/>
      <c r="E231" s="74">
        <v>0.03</v>
      </c>
      <c r="F231" s="129">
        <f t="shared" si="42"/>
        <v>0</v>
      </c>
      <c r="G231" s="130">
        <f t="shared" si="43"/>
        <v>0</v>
      </c>
      <c r="H231" s="131">
        <f t="shared" si="44"/>
        <v>0</v>
      </c>
    </row>
    <row r="232" spans="1:8" x14ac:dyDescent="0.25">
      <c r="A232" s="43" t="s">
        <v>1395</v>
      </c>
      <c r="B232" s="300" t="s">
        <v>1401</v>
      </c>
      <c r="C232" s="14" t="s">
        <v>37</v>
      </c>
      <c r="D232" s="1001"/>
      <c r="E232" s="74">
        <v>0.03</v>
      </c>
      <c r="F232" s="129">
        <f t="shared" si="42"/>
        <v>0</v>
      </c>
      <c r="G232" s="130">
        <f t="shared" si="43"/>
        <v>0</v>
      </c>
      <c r="H232" s="131">
        <f t="shared" si="44"/>
        <v>0</v>
      </c>
    </row>
    <row r="233" spans="1:8" x14ac:dyDescent="0.25">
      <c r="A233" s="44" t="s">
        <v>1365</v>
      </c>
      <c r="B233" s="80" t="s">
        <v>1454</v>
      </c>
      <c r="C233" s="14"/>
      <c r="D233" s="1001"/>
      <c r="E233" s="74"/>
      <c r="F233" s="75"/>
      <c r="G233" s="76"/>
      <c r="H233" s="77"/>
    </row>
    <row r="234" spans="1:8" x14ac:dyDescent="0.25">
      <c r="A234" s="43" t="s">
        <v>1418</v>
      </c>
      <c r="B234" s="300" t="s">
        <v>1435</v>
      </c>
      <c r="C234" s="14" t="s">
        <v>37</v>
      </c>
      <c r="D234" s="1001"/>
      <c r="E234" s="74">
        <v>0.03</v>
      </c>
      <c r="F234" s="129">
        <f t="shared" ref="F234:F250" si="45">+D234+D234*E234</f>
        <v>0</v>
      </c>
      <c r="G234" s="130">
        <f t="shared" ref="G234:G250" si="46">F234*0.19</f>
        <v>0</v>
      </c>
      <c r="H234" s="131">
        <f t="shared" ref="H234:H250" si="47">ROUND((F234+G234),0)</f>
        <v>0</v>
      </c>
    </row>
    <row r="235" spans="1:8" x14ac:dyDescent="0.25">
      <c r="A235" s="43" t="s">
        <v>1419</v>
      </c>
      <c r="B235" s="300" t="s">
        <v>1442</v>
      </c>
      <c r="C235" s="14" t="s">
        <v>37</v>
      </c>
      <c r="D235" s="1001"/>
      <c r="E235" s="74">
        <v>0.03</v>
      </c>
      <c r="F235" s="129">
        <f t="shared" si="45"/>
        <v>0</v>
      </c>
      <c r="G235" s="130">
        <f t="shared" si="46"/>
        <v>0</v>
      </c>
      <c r="H235" s="131">
        <f t="shared" si="47"/>
        <v>0</v>
      </c>
    </row>
    <row r="236" spans="1:8" x14ac:dyDescent="0.25">
      <c r="A236" s="43" t="s">
        <v>1420</v>
      </c>
      <c r="B236" s="1008" t="s">
        <v>1450</v>
      </c>
      <c r="C236" s="14" t="s">
        <v>37</v>
      </c>
      <c r="D236" s="1001"/>
      <c r="E236" s="74">
        <v>0.03</v>
      </c>
      <c r="F236" s="129">
        <f t="shared" si="45"/>
        <v>0</v>
      </c>
      <c r="G236" s="130">
        <f t="shared" si="46"/>
        <v>0</v>
      </c>
      <c r="H236" s="131">
        <f t="shared" si="47"/>
        <v>0</v>
      </c>
    </row>
    <row r="237" spans="1:8" x14ac:dyDescent="0.25">
      <c r="A237" s="43" t="s">
        <v>1421</v>
      </c>
      <c r="B237" s="1008" t="s">
        <v>1451</v>
      </c>
      <c r="C237" s="14" t="s">
        <v>37</v>
      </c>
      <c r="D237" s="1001"/>
      <c r="E237" s="74">
        <v>0.03</v>
      </c>
      <c r="F237" s="129">
        <f t="shared" si="45"/>
        <v>0</v>
      </c>
      <c r="G237" s="130">
        <f t="shared" si="46"/>
        <v>0</v>
      </c>
      <c r="H237" s="131">
        <f t="shared" si="47"/>
        <v>0</v>
      </c>
    </row>
    <row r="238" spans="1:8" x14ac:dyDescent="0.25">
      <c r="A238" s="43" t="s">
        <v>1422</v>
      </c>
      <c r="B238" s="1008" t="s">
        <v>1447</v>
      </c>
      <c r="C238" s="14" t="s">
        <v>37</v>
      </c>
      <c r="D238" s="1001"/>
      <c r="E238" s="74">
        <v>0.03</v>
      </c>
      <c r="F238" s="129">
        <f t="shared" si="45"/>
        <v>0</v>
      </c>
      <c r="G238" s="130">
        <f t="shared" si="46"/>
        <v>0</v>
      </c>
      <c r="H238" s="131">
        <f t="shared" si="47"/>
        <v>0</v>
      </c>
    </row>
    <row r="239" spans="1:8" x14ac:dyDescent="0.25">
      <c r="A239" s="43" t="s">
        <v>1423</v>
      </c>
      <c r="B239" s="1008" t="s">
        <v>1448</v>
      </c>
      <c r="C239" s="14" t="s">
        <v>37</v>
      </c>
      <c r="D239" s="1001"/>
      <c r="E239" s="74">
        <v>0.03</v>
      </c>
      <c r="F239" s="129">
        <f t="shared" si="45"/>
        <v>0</v>
      </c>
      <c r="G239" s="130">
        <f t="shared" si="46"/>
        <v>0</v>
      </c>
      <c r="H239" s="131">
        <f t="shared" si="47"/>
        <v>0</v>
      </c>
    </row>
    <row r="240" spans="1:8" x14ac:dyDescent="0.25">
      <c r="A240" s="43" t="s">
        <v>1424</v>
      </c>
      <c r="B240" s="1008" t="s">
        <v>1449</v>
      </c>
      <c r="C240" s="14" t="s">
        <v>37</v>
      </c>
      <c r="D240" s="1001"/>
      <c r="E240" s="74">
        <v>0.03</v>
      </c>
      <c r="F240" s="129">
        <f t="shared" si="45"/>
        <v>0</v>
      </c>
      <c r="G240" s="130">
        <f t="shared" si="46"/>
        <v>0</v>
      </c>
      <c r="H240" s="131">
        <f t="shared" si="47"/>
        <v>0</v>
      </c>
    </row>
    <row r="241" spans="1:8" x14ac:dyDescent="0.25">
      <c r="A241" s="43" t="s">
        <v>1425</v>
      </c>
      <c r="B241" s="1008" t="s">
        <v>1444</v>
      </c>
      <c r="C241" s="14" t="s">
        <v>37</v>
      </c>
      <c r="D241" s="1001"/>
      <c r="E241" s="74">
        <v>0.03</v>
      </c>
      <c r="F241" s="129">
        <f t="shared" si="45"/>
        <v>0</v>
      </c>
      <c r="G241" s="130">
        <f t="shared" si="46"/>
        <v>0</v>
      </c>
      <c r="H241" s="131">
        <f t="shared" si="47"/>
        <v>0</v>
      </c>
    </row>
    <row r="242" spans="1:8" x14ac:dyDescent="0.25">
      <c r="A242" s="43" t="s">
        <v>1426</v>
      </c>
      <c r="B242" s="1008" t="s">
        <v>1445</v>
      </c>
      <c r="C242" s="14" t="s">
        <v>37</v>
      </c>
      <c r="D242" s="1001"/>
      <c r="E242" s="74">
        <v>0.03</v>
      </c>
      <c r="F242" s="129">
        <f t="shared" si="45"/>
        <v>0</v>
      </c>
      <c r="G242" s="130">
        <f t="shared" si="46"/>
        <v>0</v>
      </c>
      <c r="H242" s="131">
        <f t="shared" si="47"/>
        <v>0</v>
      </c>
    </row>
    <row r="243" spans="1:8" x14ac:dyDescent="0.25">
      <c r="A243" s="43" t="s">
        <v>1427</v>
      </c>
      <c r="B243" s="1008" t="s">
        <v>1446</v>
      </c>
      <c r="C243" s="14" t="s">
        <v>37</v>
      </c>
      <c r="D243" s="1001"/>
      <c r="E243" s="74">
        <v>0.03</v>
      </c>
      <c r="F243" s="129">
        <f t="shared" si="45"/>
        <v>0</v>
      </c>
      <c r="G243" s="130">
        <f t="shared" si="46"/>
        <v>0</v>
      </c>
      <c r="H243" s="131">
        <f t="shared" si="47"/>
        <v>0</v>
      </c>
    </row>
    <row r="244" spans="1:8" x14ac:dyDescent="0.25">
      <c r="A244" s="43" t="s">
        <v>1428</v>
      </c>
      <c r="B244" s="1008" t="s">
        <v>1443</v>
      </c>
      <c r="C244" s="14" t="s">
        <v>37</v>
      </c>
      <c r="D244" s="1001"/>
      <c r="E244" s="74">
        <v>0.03</v>
      </c>
      <c r="F244" s="129">
        <f t="shared" si="45"/>
        <v>0</v>
      </c>
      <c r="G244" s="130">
        <f t="shared" si="46"/>
        <v>0</v>
      </c>
      <c r="H244" s="131">
        <f t="shared" si="47"/>
        <v>0</v>
      </c>
    </row>
    <row r="245" spans="1:8" x14ac:dyDescent="0.25">
      <c r="A245" s="43" t="s">
        <v>1429</v>
      </c>
      <c r="B245" s="1008" t="s">
        <v>1441</v>
      </c>
      <c r="C245" s="14" t="s">
        <v>37</v>
      </c>
      <c r="D245" s="1001"/>
      <c r="E245" s="74">
        <v>0.03</v>
      </c>
      <c r="F245" s="129">
        <f t="shared" si="45"/>
        <v>0</v>
      </c>
      <c r="G245" s="130">
        <f t="shared" si="46"/>
        <v>0</v>
      </c>
      <c r="H245" s="131">
        <f t="shared" si="47"/>
        <v>0</v>
      </c>
    </row>
    <row r="246" spans="1:8" x14ac:dyDescent="0.25">
      <c r="A246" s="43" t="s">
        <v>1430</v>
      </c>
      <c r="B246" s="1008" t="s">
        <v>1440</v>
      </c>
      <c r="C246" s="14" t="s">
        <v>37</v>
      </c>
      <c r="D246" s="1001"/>
      <c r="E246" s="74">
        <v>0.03</v>
      </c>
      <c r="F246" s="129">
        <f t="shared" si="45"/>
        <v>0</v>
      </c>
      <c r="G246" s="130">
        <f t="shared" si="46"/>
        <v>0</v>
      </c>
      <c r="H246" s="131">
        <f t="shared" si="47"/>
        <v>0</v>
      </c>
    </row>
    <row r="247" spans="1:8" x14ac:dyDescent="0.25">
      <c r="A247" s="43" t="s">
        <v>1431</v>
      </c>
      <c r="B247" s="1008" t="s">
        <v>1439</v>
      </c>
      <c r="C247" s="14" t="s">
        <v>37</v>
      </c>
      <c r="D247" s="1001"/>
      <c r="E247" s="74">
        <v>0.03</v>
      </c>
      <c r="F247" s="129">
        <f t="shared" si="45"/>
        <v>0</v>
      </c>
      <c r="G247" s="130">
        <f t="shared" si="46"/>
        <v>0</v>
      </c>
      <c r="H247" s="131">
        <f t="shared" si="47"/>
        <v>0</v>
      </c>
    </row>
    <row r="248" spans="1:8" x14ac:dyDescent="0.25">
      <c r="A248" s="43" t="s">
        <v>1432</v>
      </c>
      <c r="B248" s="1008" t="s">
        <v>1438</v>
      </c>
      <c r="C248" s="14" t="s">
        <v>37</v>
      </c>
      <c r="D248" s="1001"/>
      <c r="E248" s="74">
        <v>0.03</v>
      </c>
      <c r="F248" s="129">
        <f t="shared" si="45"/>
        <v>0</v>
      </c>
      <c r="G248" s="130">
        <f t="shared" si="46"/>
        <v>0</v>
      </c>
      <c r="H248" s="131">
        <f t="shared" si="47"/>
        <v>0</v>
      </c>
    </row>
    <row r="249" spans="1:8" x14ac:dyDescent="0.25">
      <c r="A249" s="43" t="s">
        <v>1433</v>
      </c>
      <c r="B249" s="1008" t="s">
        <v>1437</v>
      </c>
      <c r="C249" s="14" t="s">
        <v>37</v>
      </c>
      <c r="D249" s="1001"/>
      <c r="E249" s="74">
        <v>0.03</v>
      </c>
      <c r="F249" s="129">
        <f t="shared" si="45"/>
        <v>0</v>
      </c>
      <c r="G249" s="130">
        <f t="shared" si="46"/>
        <v>0</v>
      </c>
      <c r="H249" s="131">
        <f t="shared" si="47"/>
        <v>0</v>
      </c>
    </row>
    <row r="250" spans="1:8" x14ac:dyDescent="0.25">
      <c r="A250" s="43" t="s">
        <v>1434</v>
      </c>
      <c r="B250" s="300" t="s">
        <v>1436</v>
      </c>
      <c r="C250" s="14" t="s">
        <v>37</v>
      </c>
      <c r="D250" s="1001"/>
      <c r="E250" s="74">
        <v>0.03</v>
      </c>
      <c r="F250" s="129">
        <f t="shared" si="45"/>
        <v>0</v>
      </c>
      <c r="G250" s="130">
        <f t="shared" si="46"/>
        <v>0</v>
      </c>
      <c r="H250" s="131">
        <f t="shared" si="47"/>
        <v>0</v>
      </c>
    </row>
    <row r="251" spans="1:8" x14ac:dyDescent="0.25">
      <c r="A251" s="44" t="s">
        <v>941</v>
      </c>
      <c r="B251" s="1009" t="s">
        <v>1452</v>
      </c>
      <c r="C251" s="14"/>
      <c r="D251" s="1001"/>
      <c r="E251" s="74"/>
      <c r="F251" s="75"/>
      <c r="G251" s="76"/>
      <c r="H251" s="77"/>
    </row>
    <row r="252" spans="1:8" x14ac:dyDescent="0.25">
      <c r="A252" s="44" t="s">
        <v>943</v>
      </c>
      <c r="B252" s="1009" t="s">
        <v>1453</v>
      </c>
      <c r="C252" s="14"/>
      <c r="D252" s="1001"/>
      <c r="E252" s="74"/>
      <c r="F252" s="75"/>
      <c r="G252" s="76"/>
      <c r="H252" s="77"/>
    </row>
    <row r="253" spans="1:8" x14ac:dyDescent="0.25">
      <c r="A253" s="43" t="s">
        <v>1456</v>
      </c>
      <c r="B253" s="1010" t="s">
        <v>1457</v>
      </c>
      <c r="C253" s="14" t="s">
        <v>37</v>
      </c>
      <c r="D253" s="68">
        <v>74794.294399999999</v>
      </c>
      <c r="E253" s="74">
        <v>0.03</v>
      </c>
      <c r="F253" s="129">
        <f>+D253+D253*E253</f>
        <v>77038.123231999998</v>
      </c>
      <c r="G253" s="130">
        <f>F253*0.19</f>
        <v>14637.24341408</v>
      </c>
      <c r="H253" s="131">
        <f>ROUND((F253+G253),0)</f>
        <v>91675</v>
      </c>
    </row>
    <row r="254" spans="1:8" x14ac:dyDescent="0.25">
      <c r="A254" s="43" t="s">
        <v>1461</v>
      </c>
      <c r="B254" s="1010" t="s">
        <v>1458</v>
      </c>
      <c r="C254" s="14" t="s">
        <v>37</v>
      </c>
      <c r="D254" s="68">
        <v>85874.138800000001</v>
      </c>
      <c r="E254" s="74">
        <v>0.03</v>
      </c>
      <c r="F254" s="129">
        <f>+D254+D254*E254</f>
        <v>88450.362964</v>
      </c>
      <c r="G254" s="130">
        <f>F254*0.19</f>
        <v>16805.56896316</v>
      </c>
      <c r="H254" s="131">
        <f>ROUND((F254+G254),0)</f>
        <v>105256</v>
      </c>
    </row>
    <row r="255" spans="1:8" x14ac:dyDescent="0.25">
      <c r="A255" s="43" t="s">
        <v>1462</v>
      </c>
      <c r="B255" s="1010" t="s">
        <v>7742</v>
      </c>
      <c r="C255" s="14" t="s">
        <v>37</v>
      </c>
      <c r="D255" s="68">
        <v>241003.21239999999</v>
      </c>
      <c r="E255" s="74">
        <v>0.03</v>
      </c>
      <c r="F255" s="129">
        <f>+D255+D255*E255</f>
        <v>248233.30877199999</v>
      </c>
      <c r="G255" s="130">
        <f>F255*0.19</f>
        <v>47164.328666679998</v>
      </c>
      <c r="H255" s="131">
        <f>ROUND((F255+G255),0)</f>
        <v>295398</v>
      </c>
    </row>
    <row r="256" spans="1:8" x14ac:dyDescent="0.25">
      <c r="A256" s="43" t="s">
        <v>1463</v>
      </c>
      <c r="B256" s="1010" t="s">
        <v>1460</v>
      </c>
      <c r="C256" s="14" t="s">
        <v>37</v>
      </c>
      <c r="D256" s="68">
        <v>268704.51120000001</v>
      </c>
      <c r="E256" s="74">
        <v>0.03</v>
      </c>
      <c r="F256" s="129">
        <f>+D256+D256*E256</f>
        <v>276765.64653600001</v>
      </c>
      <c r="G256" s="130">
        <f>F256*0.19</f>
        <v>52585.472841840005</v>
      </c>
      <c r="H256" s="131">
        <f>ROUND((F256+G256),0)</f>
        <v>329351</v>
      </c>
    </row>
    <row r="257" spans="1:8" x14ac:dyDescent="0.25">
      <c r="A257" s="44" t="s">
        <v>1455</v>
      </c>
      <c r="B257" s="1009" t="s">
        <v>1474</v>
      </c>
      <c r="C257" s="14"/>
      <c r="D257" s="1001"/>
      <c r="E257" s="74"/>
      <c r="F257" s="75"/>
      <c r="G257" s="76"/>
      <c r="H257" s="77"/>
    </row>
    <row r="258" spans="1:8" x14ac:dyDescent="0.25">
      <c r="A258" s="43" t="s">
        <v>1476</v>
      </c>
      <c r="B258" s="1010" t="s">
        <v>1464</v>
      </c>
      <c r="C258" s="14" t="s">
        <v>37</v>
      </c>
      <c r="D258" s="1001"/>
      <c r="E258" s="74">
        <v>0.03</v>
      </c>
      <c r="F258" s="129">
        <f t="shared" ref="F258:F266" si="48">+D258+D258*E258</f>
        <v>0</v>
      </c>
      <c r="G258" s="130">
        <f t="shared" ref="G258:G266" si="49">F258*0.19</f>
        <v>0</v>
      </c>
      <c r="H258" s="131">
        <f t="shared" ref="H258:H266" si="50">ROUND((F258+G258),0)</f>
        <v>0</v>
      </c>
    </row>
    <row r="259" spans="1:8" x14ac:dyDescent="0.25">
      <c r="A259" s="43" t="s">
        <v>1477</v>
      </c>
      <c r="B259" s="1010" t="s">
        <v>1465</v>
      </c>
      <c r="C259" s="14" t="s">
        <v>37</v>
      </c>
      <c r="D259" s="1001"/>
      <c r="E259" s="74">
        <v>0.03</v>
      </c>
      <c r="F259" s="129">
        <f t="shared" si="48"/>
        <v>0</v>
      </c>
      <c r="G259" s="130">
        <f t="shared" si="49"/>
        <v>0</v>
      </c>
      <c r="H259" s="131">
        <f t="shared" si="50"/>
        <v>0</v>
      </c>
    </row>
    <row r="260" spans="1:8" x14ac:dyDescent="0.25">
      <c r="A260" s="43" t="s">
        <v>1478</v>
      </c>
      <c r="B260" s="1010" t="s">
        <v>1466</v>
      </c>
      <c r="C260" s="14" t="s">
        <v>37</v>
      </c>
      <c r="D260" s="1001"/>
      <c r="E260" s="74">
        <v>0.03</v>
      </c>
      <c r="F260" s="129">
        <f t="shared" si="48"/>
        <v>0</v>
      </c>
      <c r="G260" s="130">
        <f t="shared" si="49"/>
        <v>0</v>
      </c>
      <c r="H260" s="131">
        <f t="shared" si="50"/>
        <v>0</v>
      </c>
    </row>
    <row r="261" spans="1:8" x14ac:dyDescent="0.25">
      <c r="A261" s="43" t="s">
        <v>1479</v>
      </c>
      <c r="B261" s="1010" t="s">
        <v>1467</v>
      </c>
      <c r="C261" s="14" t="s">
        <v>37</v>
      </c>
      <c r="D261" s="1001"/>
      <c r="E261" s="74">
        <v>0.03</v>
      </c>
      <c r="F261" s="129">
        <f t="shared" si="48"/>
        <v>0</v>
      </c>
      <c r="G261" s="130">
        <f t="shared" si="49"/>
        <v>0</v>
      </c>
      <c r="H261" s="131">
        <f t="shared" si="50"/>
        <v>0</v>
      </c>
    </row>
    <row r="262" spans="1:8" x14ac:dyDescent="0.25">
      <c r="A262" s="43" t="s">
        <v>1480</v>
      </c>
      <c r="B262" s="1010" t="s">
        <v>1468</v>
      </c>
      <c r="C262" s="14" t="s">
        <v>37</v>
      </c>
      <c r="D262" s="1001"/>
      <c r="E262" s="74">
        <v>0.03</v>
      </c>
      <c r="F262" s="129">
        <f t="shared" si="48"/>
        <v>0</v>
      </c>
      <c r="G262" s="130">
        <f t="shared" si="49"/>
        <v>0</v>
      </c>
      <c r="H262" s="131">
        <f t="shared" si="50"/>
        <v>0</v>
      </c>
    </row>
    <row r="263" spans="1:8" x14ac:dyDescent="0.25">
      <c r="A263" s="43" t="s">
        <v>1481</v>
      </c>
      <c r="B263" s="1010" t="s">
        <v>1469</v>
      </c>
      <c r="C263" s="14" t="s">
        <v>37</v>
      </c>
      <c r="D263" s="1001"/>
      <c r="E263" s="74">
        <v>0.03</v>
      </c>
      <c r="F263" s="129">
        <f t="shared" si="48"/>
        <v>0</v>
      </c>
      <c r="G263" s="130">
        <f t="shared" si="49"/>
        <v>0</v>
      </c>
      <c r="H263" s="131">
        <f t="shared" si="50"/>
        <v>0</v>
      </c>
    </row>
    <row r="264" spans="1:8" x14ac:dyDescent="0.25">
      <c r="A264" s="43" t="s">
        <v>1482</v>
      </c>
      <c r="B264" s="1010" t="s">
        <v>1470</v>
      </c>
      <c r="C264" s="14" t="s">
        <v>37</v>
      </c>
      <c r="D264" s="1001"/>
      <c r="E264" s="74">
        <v>0.03</v>
      </c>
      <c r="F264" s="129">
        <f t="shared" si="48"/>
        <v>0</v>
      </c>
      <c r="G264" s="130">
        <f t="shared" si="49"/>
        <v>0</v>
      </c>
      <c r="H264" s="131">
        <f t="shared" si="50"/>
        <v>0</v>
      </c>
    </row>
    <row r="265" spans="1:8" x14ac:dyDescent="0.25">
      <c r="A265" s="43" t="s">
        <v>1483</v>
      </c>
      <c r="B265" s="1010" t="s">
        <v>1471</v>
      </c>
      <c r="C265" s="14" t="s">
        <v>37</v>
      </c>
      <c r="D265" s="1001"/>
      <c r="E265" s="74">
        <v>0.03</v>
      </c>
      <c r="F265" s="129">
        <f t="shared" si="48"/>
        <v>0</v>
      </c>
      <c r="G265" s="130">
        <f t="shared" si="49"/>
        <v>0</v>
      </c>
      <c r="H265" s="131">
        <f t="shared" si="50"/>
        <v>0</v>
      </c>
    </row>
    <row r="266" spans="1:8" x14ac:dyDescent="0.25">
      <c r="A266" s="43" t="s">
        <v>1484</v>
      </c>
      <c r="B266" s="1010" t="s">
        <v>1472</v>
      </c>
      <c r="C266" s="14" t="s">
        <v>37</v>
      </c>
      <c r="D266" s="1001"/>
      <c r="E266" s="74">
        <v>0.03</v>
      </c>
      <c r="F266" s="129">
        <f t="shared" si="48"/>
        <v>0</v>
      </c>
      <c r="G266" s="130">
        <f t="shared" si="49"/>
        <v>0</v>
      </c>
      <c r="H266" s="131">
        <f t="shared" si="50"/>
        <v>0</v>
      </c>
    </row>
    <row r="267" spans="1:8" x14ac:dyDescent="0.25">
      <c r="A267" s="44" t="s">
        <v>1475</v>
      </c>
      <c r="B267" s="1009" t="s">
        <v>1473</v>
      </c>
      <c r="C267" s="14"/>
      <c r="D267" s="1001"/>
      <c r="E267" s="74"/>
      <c r="F267" s="75"/>
      <c r="G267" s="76"/>
      <c r="H267" s="77"/>
    </row>
    <row r="268" spans="1:8" x14ac:dyDescent="0.25">
      <c r="A268" s="43" t="s">
        <v>1485</v>
      </c>
      <c r="B268" s="1010" t="s">
        <v>1486</v>
      </c>
      <c r="C268" s="14" t="s">
        <v>37</v>
      </c>
      <c r="D268" s="1001"/>
      <c r="E268" s="74">
        <v>0.03</v>
      </c>
      <c r="F268" s="129">
        <f t="shared" ref="F268:F276" si="51">+D268+D268*E268</f>
        <v>0</v>
      </c>
      <c r="G268" s="130">
        <f t="shared" ref="G268:G276" si="52">F268*0.19</f>
        <v>0</v>
      </c>
      <c r="H268" s="131">
        <f t="shared" ref="H268:H276" si="53">ROUND((F268+G268),0)</f>
        <v>0</v>
      </c>
    </row>
    <row r="269" spans="1:8" x14ac:dyDescent="0.25">
      <c r="A269" s="43" t="s">
        <v>1495</v>
      </c>
      <c r="B269" s="1010" t="s">
        <v>1487</v>
      </c>
      <c r="C269" s="14" t="s">
        <v>37</v>
      </c>
      <c r="D269" s="1001"/>
      <c r="E269" s="74">
        <v>0.03</v>
      </c>
      <c r="F269" s="129">
        <f t="shared" si="51"/>
        <v>0</v>
      </c>
      <c r="G269" s="130">
        <f t="shared" si="52"/>
        <v>0</v>
      </c>
      <c r="H269" s="131">
        <f t="shared" si="53"/>
        <v>0</v>
      </c>
    </row>
    <row r="270" spans="1:8" x14ac:dyDescent="0.25">
      <c r="A270" s="43" t="s">
        <v>1496</v>
      </c>
      <c r="B270" s="1010" t="s">
        <v>1488</v>
      </c>
      <c r="C270" s="14" t="s">
        <v>37</v>
      </c>
      <c r="D270" s="1001"/>
      <c r="E270" s="74">
        <v>0.03</v>
      </c>
      <c r="F270" s="129">
        <f t="shared" si="51"/>
        <v>0</v>
      </c>
      <c r="G270" s="130">
        <f t="shared" si="52"/>
        <v>0</v>
      </c>
      <c r="H270" s="131">
        <f t="shared" si="53"/>
        <v>0</v>
      </c>
    </row>
    <row r="271" spans="1:8" x14ac:dyDescent="0.25">
      <c r="A271" s="43" t="s">
        <v>1497</v>
      </c>
      <c r="B271" s="1010" t="s">
        <v>1489</v>
      </c>
      <c r="C271" s="14" t="s">
        <v>37</v>
      </c>
      <c r="D271" s="1001"/>
      <c r="E271" s="74">
        <v>0.03</v>
      </c>
      <c r="F271" s="129">
        <f t="shared" si="51"/>
        <v>0</v>
      </c>
      <c r="G271" s="130">
        <f t="shared" si="52"/>
        <v>0</v>
      </c>
      <c r="H271" s="131">
        <f t="shared" si="53"/>
        <v>0</v>
      </c>
    </row>
    <row r="272" spans="1:8" x14ac:dyDescent="0.25">
      <c r="A272" s="43" t="s">
        <v>1498</v>
      </c>
      <c r="B272" s="1010" t="s">
        <v>1490</v>
      </c>
      <c r="C272" s="14" t="s">
        <v>37</v>
      </c>
      <c r="D272" s="1001"/>
      <c r="E272" s="74">
        <v>0.03</v>
      </c>
      <c r="F272" s="129">
        <f t="shared" si="51"/>
        <v>0</v>
      </c>
      <c r="G272" s="130">
        <f t="shared" si="52"/>
        <v>0</v>
      </c>
      <c r="H272" s="131">
        <f t="shared" si="53"/>
        <v>0</v>
      </c>
    </row>
    <row r="273" spans="1:8" x14ac:dyDescent="0.25">
      <c r="A273" s="43" t="s">
        <v>1499</v>
      </c>
      <c r="B273" s="1010" t="s">
        <v>1491</v>
      </c>
      <c r="C273" s="14" t="s">
        <v>37</v>
      </c>
      <c r="D273" s="1001"/>
      <c r="E273" s="74">
        <v>0.03</v>
      </c>
      <c r="F273" s="129">
        <f t="shared" si="51"/>
        <v>0</v>
      </c>
      <c r="G273" s="130">
        <f t="shared" si="52"/>
        <v>0</v>
      </c>
      <c r="H273" s="131">
        <f t="shared" si="53"/>
        <v>0</v>
      </c>
    </row>
    <row r="274" spans="1:8" x14ac:dyDescent="0.25">
      <c r="A274" s="43" t="s">
        <v>1500</v>
      </c>
      <c r="B274" s="1010" t="s">
        <v>1492</v>
      </c>
      <c r="C274" s="14" t="s">
        <v>37</v>
      </c>
      <c r="D274" s="1001"/>
      <c r="E274" s="74">
        <v>0.03</v>
      </c>
      <c r="F274" s="129">
        <f t="shared" si="51"/>
        <v>0</v>
      </c>
      <c r="G274" s="130">
        <f t="shared" si="52"/>
        <v>0</v>
      </c>
      <c r="H274" s="131">
        <f t="shared" si="53"/>
        <v>0</v>
      </c>
    </row>
    <row r="275" spans="1:8" x14ac:dyDescent="0.25">
      <c r="A275" s="43" t="s">
        <v>1501</v>
      </c>
      <c r="B275" s="1010" t="s">
        <v>1493</v>
      </c>
      <c r="C275" s="14" t="s">
        <v>37</v>
      </c>
      <c r="D275" s="1001"/>
      <c r="E275" s="74">
        <v>0.03</v>
      </c>
      <c r="F275" s="129">
        <f t="shared" si="51"/>
        <v>0</v>
      </c>
      <c r="G275" s="130">
        <f t="shared" si="52"/>
        <v>0</v>
      </c>
      <c r="H275" s="131">
        <f t="shared" si="53"/>
        <v>0</v>
      </c>
    </row>
    <row r="276" spans="1:8" x14ac:dyDescent="0.25">
      <c r="A276" s="43" t="s">
        <v>1502</v>
      </c>
      <c r="B276" s="1010" t="s">
        <v>1494</v>
      </c>
      <c r="C276" s="14" t="s">
        <v>37</v>
      </c>
      <c r="D276" s="1001"/>
      <c r="E276" s="74">
        <v>0.03</v>
      </c>
      <c r="F276" s="129">
        <f t="shared" si="51"/>
        <v>0</v>
      </c>
      <c r="G276" s="130">
        <f t="shared" si="52"/>
        <v>0</v>
      </c>
      <c r="H276" s="131">
        <f t="shared" si="53"/>
        <v>0</v>
      </c>
    </row>
    <row r="277" spans="1:8" x14ac:dyDescent="0.25">
      <c r="A277" s="44" t="s">
        <v>1503</v>
      </c>
      <c r="B277" s="1009" t="s">
        <v>1526</v>
      </c>
      <c r="C277" s="14"/>
      <c r="D277" s="1001"/>
      <c r="E277" s="74"/>
      <c r="F277" s="75"/>
      <c r="G277" s="76"/>
      <c r="H277" s="77"/>
    </row>
    <row r="278" spans="1:8" x14ac:dyDescent="0.25">
      <c r="A278" s="43" t="s">
        <v>1515</v>
      </c>
      <c r="B278" s="1010" t="s">
        <v>1504</v>
      </c>
      <c r="C278" s="14" t="s">
        <v>37</v>
      </c>
      <c r="D278" s="68">
        <v>8038.4287999999997</v>
      </c>
      <c r="E278" s="74">
        <v>0.03</v>
      </c>
      <c r="F278" s="129">
        <f t="shared" ref="F278:F288" si="54">+D278+D278*E278</f>
        <v>8279.5816639999994</v>
      </c>
      <c r="G278" s="130">
        <f t="shared" ref="G278:G288" si="55">F278*0.19</f>
        <v>1573.1205161599999</v>
      </c>
      <c r="H278" s="131">
        <f t="shared" ref="H278:H288" si="56">ROUND((F278+G278),0)</f>
        <v>9853</v>
      </c>
    </row>
    <row r="279" spans="1:8" x14ac:dyDescent="0.25">
      <c r="A279" s="43" t="s">
        <v>1516</v>
      </c>
      <c r="B279" s="1010" t="s">
        <v>1505</v>
      </c>
      <c r="C279" s="14" t="s">
        <v>37</v>
      </c>
      <c r="D279" s="68">
        <v>5242.3068000000003</v>
      </c>
      <c r="E279" s="74">
        <v>0.03</v>
      </c>
      <c r="F279" s="129">
        <f t="shared" si="54"/>
        <v>5399.5760040000005</v>
      </c>
      <c r="G279" s="130">
        <f t="shared" si="55"/>
        <v>1025.91944076</v>
      </c>
      <c r="H279" s="131">
        <f t="shared" si="56"/>
        <v>6425</v>
      </c>
    </row>
    <row r="280" spans="1:8" x14ac:dyDescent="0.25">
      <c r="A280" s="43" t="s">
        <v>1517</v>
      </c>
      <c r="B280" s="1010" t="s">
        <v>1506</v>
      </c>
      <c r="C280" s="14" t="s">
        <v>37</v>
      </c>
      <c r="D280" s="68">
        <v>8517.7639999999992</v>
      </c>
      <c r="E280" s="74">
        <v>0.03</v>
      </c>
      <c r="F280" s="129">
        <f t="shared" si="54"/>
        <v>8773.2969199999989</v>
      </c>
      <c r="G280" s="130">
        <f t="shared" si="55"/>
        <v>1666.9264147999997</v>
      </c>
      <c r="H280" s="131">
        <f t="shared" si="56"/>
        <v>10440</v>
      </c>
    </row>
    <row r="281" spans="1:8" x14ac:dyDescent="0.25">
      <c r="A281" s="43" t="s">
        <v>1518</v>
      </c>
      <c r="B281" s="1010" t="s">
        <v>1507</v>
      </c>
      <c r="C281" s="14" t="s">
        <v>37</v>
      </c>
      <c r="D281" s="68">
        <v>7465.7020000000002</v>
      </c>
      <c r="E281" s="74">
        <v>0.03</v>
      </c>
      <c r="F281" s="129">
        <f t="shared" si="54"/>
        <v>7689.6730600000001</v>
      </c>
      <c r="G281" s="130">
        <f t="shared" si="55"/>
        <v>1461.0378814000001</v>
      </c>
      <c r="H281" s="131">
        <f t="shared" si="56"/>
        <v>9151</v>
      </c>
    </row>
    <row r="282" spans="1:8" x14ac:dyDescent="0.25">
      <c r="A282" s="43" t="s">
        <v>1519</v>
      </c>
      <c r="B282" s="1010" t="s">
        <v>1508</v>
      </c>
      <c r="C282" s="14" t="s">
        <v>37</v>
      </c>
      <c r="D282" s="68">
        <v>11915.868</v>
      </c>
      <c r="E282" s="74">
        <v>0.03</v>
      </c>
      <c r="F282" s="129">
        <f t="shared" si="54"/>
        <v>12273.34404</v>
      </c>
      <c r="G282" s="130">
        <f t="shared" si="55"/>
        <v>2331.9353676000001</v>
      </c>
      <c r="H282" s="131">
        <f t="shared" si="56"/>
        <v>14605</v>
      </c>
    </row>
    <row r="283" spans="1:8" x14ac:dyDescent="0.25">
      <c r="A283" s="43" t="s">
        <v>1520</v>
      </c>
      <c r="B283" s="1010" t="s">
        <v>1509</v>
      </c>
      <c r="C283" s="14" t="s">
        <v>37</v>
      </c>
      <c r="D283" s="68">
        <v>10485.738799999999</v>
      </c>
      <c r="E283" s="74">
        <v>0.03</v>
      </c>
      <c r="F283" s="129">
        <f t="shared" si="54"/>
        <v>10800.310963999998</v>
      </c>
      <c r="G283" s="130">
        <f t="shared" si="55"/>
        <v>2052.0590831599998</v>
      </c>
      <c r="H283" s="131">
        <f t="shared" si="56"/>
        <v>12852</v>
      </c>
    </row>
    <row r="284" spans="1:8" x14ac:dyDescent="0.25">
      <c r="A284" s="43" t="s">
        <v>1521</v>
      </c>
      <c r="B284" s="1010" t="s">
        <v>1510</v>
      </c>
      <c r="C284" s="14" t="s">
        <v>37</v>
      </c>
      <c r="D284" s="68">
        <v>13532.7804</v>
      </c>
      <c r="E284" s="74">
        <v>0.03</v>
      </c>
      <c r="F284" s="129">
        <f t="shared" si="54"/>
        <v>13938.763811999999</v>
      </c>
      <c r="G284" s="130">
        <f t="shared" si="55"/>
        <v>2648.3651242799997</v>
      </c>
      <c r="H284" s="131">
        <f t="shared" si="56"/>
        <v>16587</v>
      </c>
    </row>
    <row r="285" spans="1:8" x14ac:dyDescent="0.25">
      <c r="A285" s="43" t="s">
        <v>1522</v>
      </c>
      <c r="B285" s="1010" t="s">
        <v>1511</v>
      </c>
      <c r="C285" s="14" t="s">
        <v>37</v>
      </c>
      <c r="D285" s="68">
        <v>12865.5368</v>
      </c>
      <c r="E285" s="74">
        <v>0.03</v>
      </c>
      <c r="F285" s="129">
        <f t="shared" si="54"/>
        <v>13251.502903999999</v>
      </c>
      <c r="G285" s="130">
        <f t="shared" si="55"/>
        <v>2517.7855517599996</v>
      </c>
      <c r="H285" s="131">
        <f t="shared" si="56"/>
        <v>15769</v>
      </c>
    </row>
    <row r="286" spans="1:8" x14ac:dyDescent="0.25">
      <c r="A286" s="43" t="s">
        <v>1523</v>
      </c>
      <c r="B286" s="1010" t="s">
        <v>7743</v>
      </c>
      <c r="C286" s="14" t="s">
        <v>37</v>
      </c>
      <c r="D286" s="68">
        <v>17202.0576</v>
      </c>
      <c r="E286" s="74">
        <v>0.03</v>
      </c>
      <c r="F286" s="129">
        <f t="shared" si="54"/>
        <v>17718.119328000001</v>
      </c>
      <c r="G286" s="130">
        <f t="shared" si="55"/>
        <v>3366.4426723200004</v>
      </c>
      <c r="H286" s="131">
        <f t="shared" si="56"/>
        <v>21085</v>
      </c>
    </row>
    <row r="287" spans="1:8" x14ac:dyDescent="0.25">
      <c r="A287" s="43" t="s">
        <v>1524</v>
      </c>
      <c r="B287" s="1010" t="s">
        <v>7744</v>
      </c>
      <c r="C287" s="14" t="s">
        <v>37</v>
      </c>
      <c r="D287" s="68">
        <v>15090.057199999999</v>
      </c>
      <c r="E287" s="74">
        <v>0.03</v>
      </c>
      <c r="F287" s="129">
        <f t="shared" si="54"/>
        <v>15542.758915999999</v>
      </c>
      <c r="G287" s="130">
        <f t="shared" si="55"/>
        <v>2953.12419404</v>
      </c>
      <c r="H287" s="131">
        <f t="shared" si="56"/>
        <v>18496</v>
      </c>
    </row>
    <row r="288" spans="1:8" x14ac:dyDescent="0.25">
      <c r="A288" s="43" t="s">
        <v>1525</v>
      </c>
      <c r="B288" s="1010" t="s">
        <v>1514</v>
      </c>
      <c r="C288" s="14" t="s">
        <v>37</v>
      </c>
      <c r="D288" s="68">
        <v>36171.804400000001</v>
      </c>
      <c r="E288" s="74">
        <v>0.03</v>
      </c>
      <c r="F288" s="129">
        <f t="shared" si="54"/>
        <v>37256.958532000004</v>
      </c>
      <c r="G288" s="130">
        <f t="shared" si="55"/>
        <v>7078.8221210800011</v>
      </c>
      <c r="H288" s="131">
        <f t="shared" si="56"/>
        <v>44336</v>
      </c>
    </row>
    <row r="289" spans="1:8" x14ac:dyDescent="0.25">
      <c r="A289" s="44" t="s">
        <v>944</v>
      </c>
      <c r="B289" s="1009" t="s">
        <v>937</v>
      </c>
      <c r="C289" s="14"/>
      <c r="D289" s="1001"/>
      <c r="E289" s="74"/>
      <c r="F289" s="75"/>
      <c r="G289" s="76"/>
      <c r="H289" s="77"/>
    </row>
    <row r="290" spans="1:8" x14ac:dyDescent="0.25">
      <c r="A290" s="44" t="s">
        <v>945</v>
      </c>
      <c r="B290" s="1009" t="s">
        <v>1527</v>
      </c>
      <c r="C290" s="14"/>
      <c r="D290" s="1001"/>
      <c r="E290" s="74"/>
      <c r="F290" s="75"/>
      <c r="G290" s="76"/>
      <c r="H290" s="77"/>
    </row>
    <row r="291" spans="1:8" x14ac:dyDescent="0.25">
      <c r="A291" s="43" t="s">
        <v>1531</v>
      </c>
      <c r="B291" s="1010" t="s">
        <v>1541</v>
      </c>
      <c r="C291" s="14" t="s">
        <v>37</v>
      </c>
      <c r="D291" s="68">
        <v>1395.248</v>
      </c>
      <c r="E291" s="74">
        <v>0.03</v>
      </c>
      <c r="F291" s="129">
        <f t="shared" ref="F291:F299" si="57">+D291+D291*E291</f>
        <v>1437.10544</v>
      </c>
      <c r="G291" s="130">
        <f t="shared" ref="G291:G299" si="58">F291*0.19</f>
        <v>273.05003360000001</v>
      </c>
      <c r="H291" s="131">
        <f t="shared" ref="H291:H299" si="59">ROUND((F291+G291),0)</f>
        <v>1710</v>
      </c>
    </row>
    <row r="292" spans="1:8" x14ac:dyDescent="0.25">
      <c r="A292" s="43" t="s">
        <v>1532</v>
      </c>
      <c r="B292" s="1010" t="s">
        <v>1542</v>
      </c>
      <c r="C292" s="14" t="s">
        <v>37</v>
      </c>
      <c r="D292" s="68">
        <v>2785.9951999999998</v>
      </c>
      <c r="E292" s="74">
        <v>0.03</v>
      </c>
      <c r="F292" s="129">
        <f t="shared" si="57"/>
        <v>2869.5750559999997</v>
      </c>
      <c r="G292" s="130">
        <f t="shared" si="58"/>
        <v>545.2192606399999</v>
      </c>
      <c r="H292" s="131">
        <f t="shared" si="59"/>
        <v>3415</v>
      </c>
    </row>
    <row r="293" spans="1:8" x14ac:dyDescent="0.25">
      <c r="A293" s="43" t="s">
        <v>1533</v>
      </c>
      <c r="B293" s="1010" t="s">
        <v>1543</v>
      </c>
      <c r="C293" s="14" t="s">
        <v>37</v>
      </c>
      <c r="D293" s="1001"/>
      <c r="E293" s="74">
        <v>0.03</v>
      </c>
      <c r="F293" s="129">
        <f t="shared" si="57"/>
        <v>0</v>
      </c>
      <c r="G293" s="130">
        <f t="shared" si="58"/>
        <v>0</v>
      </c>
      <c r="H293" s="131">
        <f t="shared" si="59"/>
        <v>0</v>
      </c>
    </row>
    <row r="294" spans="1:8" x14ac:dyDescent="0.25">
      <c r="A294" s="43" t="s">
        <v>1534</v>
      </c>
      <c r="B294" s="1010" t="s">
        <v>1544</v>
      </c>
      <c r="C294" s="14" t="s">
        <v>37</v>
      </c>
      <c r="D294" s="1001"/>
      <c r="E294" s="74">
        <v>0.03</v>
      </c>
      <c r="F294" s="129">
        <f t="shared" si="57"/>
        <v>0</v>
      </c>
      <c r="G294" s="130">
        <f t="shared" si="58"/>
        <v>0</v>
      </c>
      <c r="H294" s="131">
        <f t="shared" si="59"/>
        <v>0</v>
      </c>
    </row>
    <row r="295" spans="1:8" x14ac:dyDescent="0.25">
      <c r="A295" s="43" t="s">
        <v>1535</v>
      </c>
      <c r="B295" s="1010" t="s">
        <v>1545</v>
      </c>
      <c r="C295" s="14" t="s">
        <v>37</v>
      </c>
      <c r="D295" s="1001"/>
      <c r="E295" s="74">
        <v>0.03</v>
      </c>
      <c r="F295" s="129">
        <f t="shared" si="57"/>
        <v>0</v>
      </c>
      <c r="G295" s="130">
        <f t="shared" si="58"/>
        <v>0</v>
      </c>
      <c r="H295" s="131">
        <f t="shared" si="59"/>
        <v>0</v>
      </c>
    </row>
    <row r="296" spans="1:8" x14ac:dyDescent="0.25">
      <c r="A296" s="43" t="s">
        <v>1536</v>
      </c>
      <c r="B296" s="1010" t="s">
        <v>1546</v>
      </c>
      <c r="C296" s="14" t="s">
        <v>37</v>
      </c>
      <c r="D296" s="1001"/>
      <c r="E296" s="74">
        <v>0.03</v>
      </c>
      <c r="F296" s="129">
        <f t="shared" si="57"/>
        <v>0</v>
      </c>
      <c r="G296" s="130">
        <f t="shared" si="58"/>
        <v>0</v>
      </c>
      <c r="H296" s="131">
        <f t="shared" si="59"/>
        <v>0</v>
      </c>
    </row>
    <row r="297" spans="1:8" x14ac:dyDescent="0.25">
      <c r="A297" s="43" t="s">
        <v>1537</v>
      </c>
      <c r="B297" s="1010" t="s">
        <v>1547</v>
      </c>
      <c r="C297" s="14" t="s">
        <v>37</v>
      </c>
      <c r="D297" s="1001"/>
      <c r="E297" s="74">
        <v>0.03</v>
      </c>
      <c r="F297" s="129">
        <f t="shared" si="57"/>
        <v>0</v>
      </c>
      <c r="G297" s="130">
        <f t="shared" si="58"/>
        <v>0</v>
      </c>
      <c r="H297" s="131">
        <f t="shared" si="59"/>
        <v>0</v>
      </c>
    </row>
    <row r="298" spans="1:8" x14ac:dyDescent="0.25">
      <c r="A298" s="43" t="s">
        <v>1538</v>
      </c>
      <c r="B298" s="1010" t="s">
        <v>1548</v>
      </c>
      <c r="C298" s="14" t="s">
        <v>37</v>
      </c>
      <c r="D298" s="1001"/>
      <c r="E298" s="74">
        <v>0.03</v>
      </c>
      <c r="F298" s="129">
        <f t="shared" si="57"/>
        <v>0</v>
      </c>
      <c r="G298" s="130">
        <f t="shared" si="58"/>
        <v>0</v>
      </c>
      <c r="H298" s="131">
        <f t="shared" si="59"/>
        <v>0</v>
      </c>
    </row>
    <row r="299" spans="1:8" x14ac:dyDescent="0.25">
      <c r="A299" s="43" t="s">
        <v>1539</v>
      </c>
      <c r="B299" s="1010" t="s">
        <v>1549</v>
      </c>
      <c r="C299" s="14" t="s">
        <v>37</v>
      </c>
      <c r="D299" s="1001"/>
      <c r="E299" s="74">
        <v>0.03</v>
      </c>
      <c r="F299" s="129">
        <f t="shared" si="57"/>
        <v>0</v>
      </c>
      <c r="G299" s="130">
        <f t="shared" si="58"/>
        <v>0</v>
      </c>
      <c r="H299" s="131">
        <f t="shared" si="59"/>
        <v>0</v>
      </c>
    </row>
    <row r="300" spans="1:8" x14ac:dyDescent="0.25">
      <c r="A300" s="44" t="s">
        <v>1528</v>
      </c>
      <c r="B300" s="1009" t="s">
        <v>1530</v>
      </c>
      <c r="C300" s="14"/>
      <c r="D300" s="1001"/>
      <c r="E300" s="74"/>
      <c r="F300" s="75"/>
      <c r="G300" s="76"/>
      <c r="H300" s="77"/>
    </row>
    <row r="301" spans="1:8" x14ac:dyDescent="0.25">
      <c r="A301" s="43" t="s">
        <v>1540</v>
      </c>
      <c r="B301" s="1010" t="s">
        <v>1550</v>
      </c>
      <c r="C301" s="14" t="s">
        <v>37</v>
      </c>
      <c r="D301" s="68">
        <v>1422.2528</v>
      </c>
      <c r="E301" s="74">
        <v>0.03</v>
      </c>
      <c r="F301" s="129">
        <f t="shared" ref="F301:F309" si="60">+D301+D301*E301</f>
        <v>1464.920384</v>
      </c>
      <c r="G301" s="130">
        <f t="shared" ref="G301:G309" si="61">F301*0.19</f>
        <v>278.33487295999998</v>
      </c>
      <c r="H301" s="131">
        <f t="shared" ref="H301:H309" si="62">ROUND((F301+G301),0)</f>
        <v>1743</v>
      </c>
    </row>
    <row r="302" spans="1:8" x14ac:dyDescent="0.25">
      <c r="A302" s="43" t="s">
        <v>1559</v>
      </c>
      <c r="B302" s="1010" t="s">
        <v>1551</v>
      </c>
      <c r="C302" s="14" t="s">
        <v>37</v>
      </c>
      <c r="D302" s="1001"/>
      <c r="E302" s="74">
        <v>0.03</v>
      </c>
      <c r="F302" s="129">
        <f t="shared" si="60"/>
        <v>0</v>
      </c>
      <c r="G302" s="130">
        <f t="shared" si="61"/>
        <v>0</v>
      </c>
      <c r="H302" s="131">
        <f t="shared" si="62"/>
        <v>0</v>
      </c>
    </row>
    <row r="303" spans="1:8" x14ac:dyDescent="0.25">
      <c r="A303" s="43" t="s">
        <v>1560</v>
      </c>
      <c r="B303" s="1010" t="s">
        <v>1552</v>
      </c>
      <c r="C303" s="14" t="s">
        <v>37</v>
      </c>
      <c r="D303" s="1001"/>
      <c r="E303" s="74">
        <v>0.03</v>
      </c>
      <c r="F303" s="129">
        <f t="shared" si="60"/>
        <v>0</v>
      </c>
      <c r="G303" s="130">
        <f t="shared" si="61"/>
        <v>0</v>
      </c>
      <c r="H303" s="131">
        <f t="shared" si="62"/>
        <v>0</v>
      </c>
    </row>
    <row r="304" spans="1:8" x14ac:dyDescent="0.25">
      <c r="A304" s="43" t="s">
        <v>1561</v>
      </c>
      <c r="B304" s="1010" t="s">
        <v>1553</v>
      </c>
      <c r="C304" s="14" t="s">
        <v>37</v>
      </c>
      <c r="D304" s="1001"/>
      <c r="E304" s="74">
        <v>0.03</v>
      </c>
      <c r="F304" s="129">
        <f t="shared" si="60"/>
        <v>0</v>
      </c>
      <c r="G304" s="130">
        <f t="shared" si="61"/>
        <v>0</v>
      </c>
      <c r="H304" s="131">
        <f t="shared" si="62"/>
        <v>0</v>
      </c>
    </row>
    <row r="305" spans="1:8" x14ac:dyDescent="0.25">
      <c r="A305" s="43" t="s">
        <v>1562</v>
      </c>
      <c r="B305" s="1010" t="s">
        <v>1554</v>
      </c>
      <c r="C305" s="14" t="s">
        <v>37</v>
      </c>
      <c r="D305" s="1001"/>
      <c r="E305" s="74">
        <v>0.03</v>
      </c>
      <c r="F305" s="129">
        <f t="shared" si="60"/>
        <v>0</v>
      </c>
      <c r="G305" s="130">
        <f t="shared" si="61"/>
        <v>0</v>
      </c>
      <c r="H305" s="131">
        <f t="shared" si="62"/>
        <v>0</v>
      </c>
    </row>
    <row r="306" spans="1:8" x14ac:dyDescent="0.25">
      <c r="A306" s="43" t="s">
        <v>1563</v>
      </c>
      <c r="B306" s="1010" t="s">
        <v>1555</v>
      </c>
      <c r="C306" s="14" t="s">
        <v>37</v>
      </c>
      <c r="D306" s="1001"/>
      <c r="E306" s="74">
        <v>0.03</v>
      </c>
      <c r="F306" s="129">
        <f t="shared" si="60"/>
        <v>0</v>
      </c>
      <c r="G306" s="130">
        <f t="shared" si="61"/>
        <v>0</v>
      </c>
      <c r="H306" s="131">
        <f t="shared" si="62"/>
        <v>0</v>
      </c>
    </row>
    <row r="307" spans="1:8" x14ac:dyDescent="0.25">
      <c r="A307" s="43" t="s">
        <v>1564</v>
      </c>
      <c r="B307" s="1010" t="s">
        <v>1556</v>
      </c>
      <c r="C307" s="14" t="s">
        <v>37</v>
      </c>
      <c r="D307" s="1001"/>
      <c r="E307" s="74">
        <v>0.03</v>
      </c>
      <c r="F307" s="129">
        <f t="shared" si="60"/>
        <v>0</v>
      </c>
      <c r="G307" s="130">
        <f t="shared" si="61"/>
        <v>0</v>
      </c>
      <c r="H307" s="131">
        <f t="shared" si="62"/>
        <v>0</v>
      </c>
    </row>
    <row r="308" spans="1:8" x14ac:dyDescent="0.25">
      <c r="A308" s="43" t="s">
        <v>1565</v>
      </c>
      <c r="B308" s="1010" t="s">
        <v>1557</v>
      </c>
      <c r="C308" s="14" t="s">
        <v>37</v>
      </c>
      <c r="D308" s="1001"/>
      <c r="E308" s="74">
        <v>0.03</v>
      </c>
      <c r="F308" s="129">
        <f t="shared" si="60"/>
        <v>0</v>
      </c>
      <c r="G308" s="130">
        <f t="shared" si="61"/>
        <v>0</v>
      </c>
      <c r="H308" s="131">
        <f t="shared" si="62"/>
        <v>0</v>
      </c>
    </row>
    <row r="309" spans="1:8" x14ac:dyDescent="0.25">
      <c r="A309" s="43" t="s">
        <v>1566</v>
      </c>
      <c r="B309" s="1010" t="s">
        <v>1558</v>
      </c>
      <c r="C309" s="14" t="s">
        <v>37</v>
      </c>
      <c r="D309" s="1001"/>
      <c r="E309" s="74">
        <v>0.03</v>
      </c>
      <c r="F309" s="129">
        <f t="shared" si="60"/>
        <v>0</v>
      </c>
      <c r="G309" s="130">
        <f t="shared" si="61"/>
        <v>0</v>
      </c>
      <c r="H309" s="131">
        <f t="shared" si="62"/>
        <v>0</v>
      </c>
    </row>
    <row r="310" spans="1:8" x14ac:dyDescent="0.25">
      <c r="A310" s="65" t="s">
        <v>1529</v>
      </c>
      <c r="B310" s="66" t="s">
        <v>1640</v>
      </c>
      <c r="C310" s="67"/>
      <c r="D310" s="1001"/>
      <c r="E310" s="74"/>
      <c r="F310" s="75"/>
      <c r="G310" s="76"/>
      <c r="H310" s="77"/>
    </row>
    <row r="311" spans="1:8" x14ac:dyDescent="0.25">
      <c r="A311" s="71" t="s">
        <v>939</v>
      </c>
      <c r="B311" s="83" t="s">
        <v>1567</v>
      </c>
      <c r="C311" s="67" t="s">
        <v>37</v>
      </c>
      <c r="D311" s="68">
        <v>1436.8804</v>
      </c>
      <c r="E311" s="74">
        <v>0.03</v>
      </c>
      <c r="F311" s="129">
        <f>+D311+D311*E311</f>
        <v>1479.9868120000001</v>
      </c>
      <c r="G311" s="130">
        <f>F311*0.19</f>
        <v>281.19749428</v>
      </c>
      <c r="H311" s="131">
        <f>ROUND((F311+G311),0)</f>
        <v>1761</v>
      </c>
    </row>
    <row r="312" spans="1:8" x14ac:dyDescent="0.25">
      <c r="A312" s="71" t="s">
        <v>940</v>
      </c>
      <c r="B312" s="83" t="s">
        <v>1568</v>
      </c>
      <c r="C312" s="67" t="s">
        <v>37</v>
      </c>
      <c r="D312" s="68">
        <v>1463.8851999999999</v>
      </c>
      <c r="E312" s="74">
        <v>0.03</v>
      </c>
      <c r="F312" s="129">
        <f>+D312+D312*E312</f>
        <v>1507.8017559999998</v>
      </c>
      <c r="G312" s="130">
        <f>F312*0.19</f>
        <v>286.48233363999998</v>
      </c>
      <c r="H312" s="131">
        <f>ROUND((F312+G312),0)</f>
        <v>1794</v>
      </c>
    </row>
    <row r="313" spans="1:8" x14ac:dyDescent="0.25">
      <c r="A313" s="71" t="s">
        <v>1376</v>
      </c>
      <c r="B313" s="83" t="s">
        <v>1638</v>
      </c>
      <c r="C313" s="67" t="s">
        <v>37</v>
      </c>
      <c r="D313" s="68">
        <v>2448.4351999999999</v>
      </c>
      <c r="E313" s="74">
        <v>0.03</v>
      </c>
      <c r="F313" s="129">
        <f>+D313+D313*E313</f>
        <v>2521.8882559999997</v>
      </c>
      <c r="G313" s="130">
        <f>F313*0.19</f>
        <v>479.15876863999995</v>
      </c>
      <c r="H313" s="131">
        <f>ROUND((F313+G313),0)</f>
        <v>3001</v>
      </c>
    </row>
    <row r="314" spans="1:8" x14ac:dyDescent="0.25">
      <c r="A314" s="71" t="s">
        <v>1377</v>
      </c>
      <c r="B314" s="83" t="s">
        <v>1639</v>
      </c>
      <c r="C314" s="67" t="s">
        <v>37</v>
      </c>
      <c r="D314" s="68">
        <v>2086.1208000000001</v>
      </c>
      <c r="E314" s="74">
        <v>0.03</v>
      </c>
      <c r="F314" s="129">
        <f>+D314+D314*E314</f>
        <v>2148.704424</v>
      </c>
      <c r="G314" s="130">
        <f>F314*0.19</f>
        <v>408.25384056000001</v>
      </c>
      <c r="H314" s="131">
        <f>ROUND((F314+G314),0)</f>
        <v>2557</v>
      </c>
    </row>
    <row r="315" spans="1:8" x14ac:dyDescent="0.25">
      <c r="A315" s="65" t="s">
        <v>946</v>
      </c>
      <c r="B315" s="84" t="s">
        <v>942</v>
      </c>
      <c r="C315" s="67"/>
      <c r="D315" s="1001"/>
      <c r="E315" s="74"/>
      <c r="F315" s="75"/>
      <c r="G315" s="76"/>
      <c r="H315" s="77"/>
    </row>
    <row r="316" spans="1:8" x14ac:dyDescent="0.25">
      <c r="A316" s="65" t="s">
        <v>947</v>
      </c>
      <c r="B316" s="84" t="s">
        <v>1569</v>
      </c>
      <c r="C316" s="67"/>
      <c r="D316" s="1001"/>
      <c r="E316" s="74"/>
      <c r="F316" s="75"/>
      <c r="G316" s="76"/>
      <c r="H316" s="77"/>
    </row>
    <row r="317" spans="1:8" x14ac:dyDescent="0.25">
      <c r="A317" s="71" t="s">
        <v>1579</v>
      </c>
      <c r="B317" s="83" t="s">
        <v>1571</v>
      </c>
      <c r="C317" s="14" t="s">
        <v>37</v>
      </c>
      <c r="D317" s="1001"/>
      <c r="E317" s="74">
        <v>0.03</v>
      </c>
      <c r="F317" s="129">
        <f t="shared" ref="F317:F325" si="63">+D317+D317*E317</f>
        <v>0</v>
      </c>
      <c r="G317" s="130">
        <f t="shared" ref="G317:G325" si="64">F317*0.19</f>
        <v>0</v>
      </c>
      <c r="H317" s="131">
        <f t="shared" ref="H317:H325" si="65">ROUND((F317+G317),0)</f>
        <v>0</v>
      </c>
    </row>
    <row r="318" spans="1:8" x14ac:dyDescent="0.25">
      <c r="A318" s="71" t="s">
        <v>1580</v>
      </c>
      <c r="B318" s="83" t="s">
        <v>1572</v>
      </c>
      <c r="C318" s="14" t="s">
        <v>37</v>
      </c>
      <c r="D318" s="1001"/>
      <c r="E318" s="74">
        <v>0.03</v>
      </c>
      <c r="F318" s="129">
        <f t="shared" si="63"/>
        <v>0</v>
      </c>
      <c r="G318" s="130">
        <f t="shared" si="64"/>
        <v>0</v>
      </c>
      <c r="H318" s="131">
        <f t="shared" si="65"/>
        <v>0</v>
      </c>
    </row>
    <row r="319" spans="1:8" x14ac:dyDescent="0.25">
      <c r="A319" s="71" t="s">
        <v>1581</v>
      </c>
      <c r="B319" s="83" t="s">
        <v>1570</v>
      </c>
      <c r="C319" s="14" t="s">
        <v>37</v>
      </c>
      <c r="D319" s="1001"/>
      <c r="E319" s="74">
        <v>0.03</v>
      </c>
      <c r="F319" s="129">
        <f t="shared" si="63"/>
        <v>0</v>
      </c>
      <c r="G319" s="130">
        <f t="shared" si="64"/>
        <v>0</v>
      </c>
      <c r="H319" s="131">
        <f t="shared" si="65"/>
        <v>0</v>
      </c>
    </row>
    <row r="320" spans="1:8" x14ac:dyDescent="0.25">
      <c r="A320" s="71" t="s">
        <v>1582</v>
      </c>
      <c r="B320" s="83" t="s">
        <v>1573</v>
      </c>
      <c r="C320" s="14" t="s">
        <v>37</v>
      </c>
      <c r="D320" s="68">
        <v>603.10720000000003</v>
      </c>
      <c r="E320" s="74">
        <v>0.03</v>
      </c>
      <c r="F320" s="129">
        <f t="shared" si="63"/>
        <v>621.20041600000002</v>
      </c>
      <c r="G320" s="130">
        <f t="shared" si="64"/>
        <v>118.02807904000001</v>
      </c>
      <c r="H320" s="131">
        <f t="shared" si="65"/>
        <v>739</v>
      </c>
    </row>
    <row r="321" spans="1:8" x14ac:dyDescent="0.25">
      <c r="A321" s="71" t="s">
        <v>1583</v>
      </c>
      <c r="B321" s="83" t="s">
        <v>1574</v>
      </c>
      <c r="C321" s="14" t="s">
        <v>37</v>
      </c>
      <c r="D321" s="1001"/>
      <c r="E321" s="74">
        <v>0.03</v>
      </c>
      <c r="F321" s="129">
        <f t="shared" si="63"/>
        <v>0</v>
      </c>
      <c r="G321" s="130">
        <f t="shared" si="64"/>
        <v>0</v>
      </c>
      <c r="H321" s="131">
        <f t="shared" si="65"/>
        <v>0</v>
      </c>
    </row>
    <row r="322" spans="1:8" x14ac:dyDescent="0.25">
      <c r="A322" s="71" t="s">
        <v>1584</v>
      </c>
      <c r="B322" s="83" t="s">
        <v>1575</v>
      </c>
      <c r="C322" s="14" t="s">
        <v>37</v>
      </c>
      <c r="D322" s="1001"/>
      <c r="E322" s="74">
        <v>0.03</v>
      </c>
      <c r="F322" s="129">
        <f t="shared" si="63"/>
        <v>0</v>
      </c>
      <c r="G322" s="130">
        <f t="shared" si="64"/>
        <v>0</v>
      </c>
      <c r="H322" s="131">
        <f t="shared" si="65"/>
        <v>0</v>
      </c>
    </row>
    <row r="323" spans="1:8" x14ac:dyDescent="0.25">
      <c r="A323" s="71" t="s">
        <v>1585</v>
      </c>
      <c r="B323" s="83" t="s">
        <v>1576</v>
      </c>
      <c r="C323" s="14" t="s">
        <v>37</v>
      </c>
      <c r="D323" s="1001"/>
      <c r="E323" s="74">
        <v>0.03</v>
      </c>
      <c r="F323" s="129">
        <f t="shared" si="63"/>
        <v>0</v>
      </c>
      <c r="G323" s="130">
        <f t="shared" si="64"/>
        <v>0</v>
      </c>
      <c r="H323" s="131">
        <f t="shared" si="65"/>
        <v>0</v>
      </c>
    </row>
    <row r="324" spans="1:8" x14ac:dyDescent="0.25">
      <c r="A324" s="71" t="s">
        <v>1586</v>
      </c>
      <c r="B324" s="83" t="s">
        <v>1577</v>
      </c>
      <c r="C324" s="14" t="s">
        <v>37</v>
      </c>
      <c r="D324" s="1001"/>
      <c r="E324" s="74">
        <v>0.03</v>
      </c>
      <c r="F324" s="129">
        <f t="shared" si="63"/>
        <v>0</v>
      </c>
      <c r="G324" s="130">
        <f t="shared" si="64"/>
        <v>0</v>
      </c>
      <c r="H324" s="131">
        <f t="shared" si="65"/>
        <v>0</v>
      </c>
    </row>
    <row r="325" spans="1:8" x14ac:dyDescent="0.25">
      <c r="A325" s="71" t="s">
        <v>1649</v>
      </c>
      <c r="B325" s="83" t="s">
        <v>1578</v>
      </c>
      <c r="C325" s="14" t="s">
        <v>37</v>
      </c>
      <c r="D325" s="1001"/>
      <c r="E325" s="74">
        <v>0.03</v>
      </c>
      <c r="F325" s="129">
        <f t="shared" si="63"/>
        <v>0</v>
      </c>
      <c r="G325" s="130">
        <f t="shared" si="64"/>
        <v>0</v>
      </c>
      <c r="H325" s="131">
        <f t="shared" si="65"/>
        <v>0</v>
      </c>
    </row>
    <row r="326" spans="1:8" x14ac:dyDescent="0.25">
      <c r="A326" s="65" t="s">
        <v>1642</v>
      </c>
      <c r="B326" s="84" t="s">
        <v>1641</v>
      </c>
      <c r="C326" s="67"/>
      <c r="D326" s="1001"/>
      <c r="E326" s="74"/>
      <c r="F326" s="75"/>
      <c r="G326" s="76"/>
      <c r="H326" s="77"/>
    </row>
    <row r="327" spans="1:8" x14ac:dyDescent="0.25">
      <c r="A327" s="43" t="s">
        <v>1596</v>
      </c>
      <c r="B327" s="83" t="s">
        <v>1643</v>
      </c>
      <c r="C327" s="14" t="s">
        <v>37</v>
      </c>
      <c r="D327" s="1001"/>
      <c r="E327" s="74">
        <v>0.03</v>
      </c>
      <c r="F327" s="129">
        <f t="shared" ref="F327:F332" si="66">+D327+D327*E327</f>
        <v>0</v>
      </c>
      <c r="G327" s="130">
        <f t="shared" ref="G327:G332" si="67">F327*0.19</f>
        <v>0</v>
      </c>
      <c r="H327" s="131">
        <f t="shared" ref="H327:H332" si="68">ROUND((F327+G327),0)</f>
        <v>0</v>
      </c>
    </row>
    <row r="328" spans="1:8" x14ac:dyDescent="0.25">
      <c r="A328" s="43" t="s">
        <v>1597</v>
      </c>
      <c r="B328" s="83" t="s">
        <v>1644</v>
      </c>
      <c r="C328" s="14" t="s">
        <v>37</v>
      </c>
      <c r="D328" s="1001"/>
      <c r="E328" s="74">
        <v>0.03</v>
      </c>
      <c r="F328" s="129">
        <f t="shared" si="66"/>
        <v>0</v>
      </c>
      <c r="G328" s="130">
        <f t="shared" si="67"/>
        <v>0</v>
      </c>
      <c r="H328" s="131">
        <f t="shared" si="68"/>
        <v>0</v>
      </c>
    </row>
    <row r="329" spans="1:8" x14ac:dyDescent="0.25">
      <c r="A329" s="43" t="s">
        <v>1598</v>
      </c>
      <c r="B329" s="83" t="s">
        <v>1648</v>
      </c>
      <c r="C329" s="14" t="s">
        <v>37</v>
      </c>
      <c r="D329" s="1001"/>
      <c r="E329" s="74">
        <v>0.03</v>
      </c>
      <c r="F329" s="129">
        <f t="shared" si="66"/>
        <v>0</v>
      </c>
      <c r="G329" s="130">
        <f t="shared" si="67"/>
        <v>0</v>
      </c>
      <c r="H329" s="131">
        <f t="shared" si="68"/>
        <v>0</v>
      </c>
    </row>
    <row r="330" spans="1:8" x14ac:dyDescent="0.25">
      <c r="A330" s="43" t="s">
        <v>1599</v>
      </c>
      <c r="B330" s="83" t="s">
        <v>1645</v>
      </c>
      <c r="C330" s="14" t="s">
        <v>37</v>
      </c>
      <c r="D330" s="1001"/>
      <c r="E330" s="74">
        <v>0.03</v>
      </c>
      <c r="F330" s="129">
        <f t="shared" si="66"/>
        <v>0</v>
      </c>
      <c r="G330" s="130">
        <f t="shared" si="67"/>
        <v>0</v>
      </c>
      <c r="H330" s="131">
        <f t="shared" si="68"/>
        <v>0</v>
      </c>
    </row>
    <row r="331" spans="1:8" x14ac:dyDescent="0.25">
      <c r="A331" s="43" t="s">
        <v>1600</v>
      </c>
      <c r="B331" s="83" t="s">
        <v>1646</v>
      </c>
      <c r="C331" s="14" t="s">
        <v>37</v>
      </c>
      <c r="D331" s="1001"/>
      <c r="E331" s="74">
        <v>0.03</v>
      </c>
      <c r="F331" s="129">
        <f t="shared" si="66"/>
        <v>0</v>
      </c>
      <c r="G331" s="130">
        <f t="shared" si="67"/>
        <v>0</v>
      </c>
      <c r="H331" s="131">
        <f t="shared" si="68"/>
        <v>0</v>
      </c>
    </row>
    <row r="332" spans="1:8" x14ac:dyDescent="0.25">
      <c r="A332" s="43" t="s">
        <v>1601</v>
      </c>
      <c r="B332" s="83" t="s">
        <v>1647</v>
      </c>
      <c r="C332" s="14" t="s">
        <v>37</v>
      </c>
      <c r="D332" s="1001"/>
      <c r="E332" s="74">
        <v>0.03</v>
      </c>
      <c r="F332" s="129">
        <f t="shared" si="66"/>
        <v>0</v>
      </c>
      <c r="G332" s="130">
        <f t="shared" si="67"/>
        <v>0</v>
      </c>
      <c r="H332" s="131">
        <f t="shared" si="68"/>
        <v>0</v>
      </c>
    </row>
    <row r="333" spans="1:8" x14ac:dyDescent="0.25">
      <c r="A333" s="44" t="s">
        <v>1650</v>
      </c>
      <c r="B333" s="80" t="s">
        <v>1587</v>
      </c>
      <c r="C333" s="14"/>
      <c r="D333" s="1001"/>
      <c r="E333" s="74"/>
      <c r="F333" s="75"/>
      <c r="G333" s="76"/>
      <c r="H333" s="77"/>
    </row>
    <row r="334" spans="1:8" x14ac:dyDescent="0.25">
      <c r="A334" s="43" t="s">
        <v>1602</v>
      </c>
      <c r="B334" s="81" t="s">
        <v>1588</v>
      </c>
      <c r="C334" s="14" t="s">
        <v>37</v>
      </c>
      <c r="D334" s="68">
        <v>15176.6976</v>
      </c>
      <c r="E334" s="74">
        <v>0.03</v>
      </c>
      <c r="F334" s="129">
        <f t="shared" ref="F334:F341" si="69">+D334+D334*E334</f>
        <v>15631.998528</v>
      </c>
      <c r="G334" s="130">
        <f t="shared" ref="G334:G341" si="70">F334*0.19</f>
        <v>2970.07972032</v>
      </c>
      <c r="H334" s="131">
        <f t="shared" ref="H334:H341" si="71">ROUND((F334+G334),0)</f>
        <v>18602</v>
      </c>
    </row>
    <row r="335" spans="1:8" x14ac:dyDescent="0.25">
      <c r="A335" s="43" t="s">
        <v>1610</v>
      </c>
      <c r="B335" s="81" t="s">
        <v>1618</v>
      </c>
      <c r="C335" s="14" t="s">
        <v>37</v>
      </c>
      <c r="D335" s="68">
        <v>19777.6404</v>
      </c>
      <c r="E335" s="74">
        <v>0.03</v>
      </c>
      <c r="F335" s="129">
        <f t="shared" si="69"/>
        <v>20370.969612000001</v>
      </c>
      <c r="G335" s="130">
        <f t="shared" si="70"/>
        <v>3870.4842262800003</v>
      </c>
      <c r="H335" s="131">
        <f t="shared" si="71"/>
        <v>24241</v>
      </c>
    </row>
    <row r="336" spans="1:8" x14ac:dyDescent="0.25">
      <c r="A336" s="43" t="s">
        <v>1611</v>
      </c>
      <c r="B336" s="81" t="s">
        <v>1589</v>
      </c>
      <c r="C336" s="14" t="s">
        <v>37</v>
      </c>
      <c r="D336" s="68">
        <v>25997.745999999999</v>
      </c>
      <c r="E336" s="74">
        <v>0.03</v>
      </c>
      <c r="F336" s="129">
        <f t="shared" si="69"/>
        <v>26777.678379999998</v>
      </c>
      <c r="G336" s="130">
        <f t="shared" si="70"/>
        <v>5087.7588921999995</v>
      </c>
      <c r="H336" s="131">
        <f t="shared" si="71"/>
        <v>31865</v>
      </c>
    </row>
    <row r="337" spans="1:8" x14ac:dyDescent="0.25">
      <c r="A337" s="43" t="s">
        <v>1612</v>
      </c>
      <c r="B337" s="81" t="s">
        <v>1590</v>
      </c>
      <c r="C337" s="14" t="s">
        <v>37</v>
      </c>
      <c r="D337" s="68">
        <v>42258.011200000001</v>
      </c>
      <c r="E337" s="74">
        <v>0.03</v>
      </c>
      <c r="F337" s="129">
        <f t="shared" si="69"/>
        <v>43525.751536000003</v>
      </c>
      <c r="G337" s="130">
        <f t="shared" si="70"/>
        <v>8269.8927918400004</v>
      </c>
      <c r="H337" s="131">
        <f t="shared" si="71"/>
        <v>51796</v>
      </c>
    </row>
    <row r="338" spans="1:8" x14ac:dyDescent="0.25">
      <c r="A338" s="43" t="s">
        <v>1613</v>
      </c>
      <c r="B338" s="81" t="s">
        <v>7745</v>
      </c>
      <c r="C338" s="14" t="s">
        <v>37</v>
      </c>
      <c r="D338" s="68">
        <v>98671.038400000005</v>
      </c>
      <c r="E338" s="74">
        <v>0.03</v>
      </c>
      <c r="F338" s="129">
        <f t="shared" si="69"/>
        <v>101631.16955200001</v>
      </c>
      <c r="G338" s="130">
        <f t="shared" si="70"/>
        <v>19309.92221488</v>
      </c>
      <c r="H338" s="131">
        <f t="shared" si="71"/>
        <v>120941</v>
      </c>
    </row>
    <row r="339" spans="1:8" x14ac:dyDescent="0.25">
      <c r="A339" s="43" t="s">
        <v>1614</v>
      </c>
      <c r="B339" s="81" t="s">
        <v>1592</v>
      </c>
      <c r="C339" s="14" t="s">
        <v>37</v>
      </c>
      <c r="D339" s="68">
        <v>181285.47279999999</v>
      </c>
      <c r="E339" s="74">
        <v>0.03</v>
      </c>
      <c r="F339" s="129">
        <f t="shared" si="69"/>
        <v>186724.03698399998</v>
      </c>
      <c r="G339" s="130">
        <f t="shared" si="70"/>
        <v>35477.567026959994</v>
      </c>
      <c r="H339" s="131">
        <f t="shared" si="71"/>
        <v>222202</v>
      </c>
    </row>
    <row r="340" spans="1:8" x14ac:dyDescent="0.25">
      <c r="A340" s="43" t="s">
        <v>1615</v>
      </c>
      <c r="B340" s="81" t="s">
        <v>7231</v>
      </c>
      <c r="C340" s="14" t="s">
        <v>37</v>
      </c>
      <c r="D340" s="68">
        <v>323901.1972</v>
      </c>
      <c r="E340" s="74">
        <v>0.03</v>
      </c>
      <c r="F340" s="129">
        <f t="shared" si="69"/>
        <v>333618.23311600002</v>
      </c>
      <c r="G340" s="130">
        <f t="shared" si="70"/>
        <v>63387.464292040007</v>
      </c>
      <c r="H340" s="131">
        <f t="shared" si="71"/>
        <v>397006</v>
      </c>
    </row>
    <row r="341" spans="1:8" x14ac:dyDescent="0.25">
      <c r="A341" s="43" t="s">
        <v>1620</v>
      </c>
      <c r="B341" s="81" t="s">
        <v>1594</v>
      </c>
      <c r="C341" s="14" t="s">
        <v>37</v>
      </c>
      <c r="D341" s="68">
        <v>501975.3492</v>
      </c>
      <c r="E341" s="74">
        <v>0.03</v>
      </c>
      <c r="F341" s="129">
        <f t="shared" si="69"/>
        <v>517034.60967600002</v>
      </c>
      <c r="G341" s="130">
        <f t="shared" si="70"/>
        <v>98236.575838440011</v>
      </c>
      <c r="H341" s="131">
        <f t="shared" si="71"/>
        <v>615271</v>
      </c>
    </row>
    <row r="342" spans="1:8" x14ac:dyDescent="0.25">
      <c r="A342" s="78" t="s">
        <v>1616</v>
      </c>
      <c r="B342" s="80" t="s">
        <v>1595</v>
      </c>
      <c r="C342" s="14"/>
      <c r="D342" s="1001"/>
      <c r="E342" s="74"/>
      <c r="F342" s="75"/>
      <c r="G342" s="76"/>
      <c r="H342" s="77"/>
    </row>
    <row r="343" spans="1:8" x14ac:dyDescent="0.25">
      <c r="A343" s="85" t="s">
        <v>1621</v>
      </c>
      <c r="B343" s="81" t="s">
        <v>1603</v>
      </c>
      <c r="C343" s="14" t="s">
        <v>37</v>
      </c>
      <c r="D343" s="68">
        <v>16735.099600000001</v>
      </c>
      <c r="E343" s="74">
        <v>0.03</v>
      </c>
      <c r="F343" s="129">
        <f t="shared" ref="F343:F351" si="72">+D343+D343*E343</f>
        <v>17237.152588000001</v>
      </c>
      <c r="G343" s="130">
        <f t="shared" ref="G343:G351" si="73">F343*0.19</f>
        <v>3275.05899172</v>
      </c>
      <c r="H343" s="131">
        <f t="shared" ref="H343:H351" si="74">ROUND((F343+G343),0)</f>
        <v>20512</v>
      </c>
    </row>
    <row r="344" spans="1:8" x14ac:dyDescent="0.25">
      <c r="A344" s="85" t="s">
        <v>1622</v>
      </c>
      <c r="B344" s="81" t="s">
        <v>1619</v>
      </c>
      <c r="C344" s="14" t="s">
        <v>37</v>
      </c>
      <c r="D344" s="68">
        <v>19483.963199999998</v>
      </c>
      <c r="E344" s="74">
        <v>0.03</v>
      </c>
      <c r="F344" s="129">
        <f t="shared" si="72"/>
        <v>20068.482096</v>
      </c>
      <c r="G344" s="130">
        <f t="shared" si="73"/>
        <v>3813.0115982399998</v>
      </c>
      <c r="H344" s="131">
        <f t="shared" si="74"/>
        <v>23881</v>
      </c>
    </row>
    <row r="345" spans="1:8" x14ac:dyDescent="0.25">
      <c r="A345" s="85" t="s">
        <v>1623</v>
      </c>
      <c r="B345" s="81" t="s">
        <v>1604</v>
      </c>
      <c r="C345" s="14" t="s">
        <v>37</v>
      </c>
      <c r="D345" s="68">
        <v>27722.677599999999</v>
      </c>
      <c r="E345" s="74">
        <v>0.03</v>
      </c>
      <c r="F345" s="129">
        <f t="shared" si="72"/>
        <v>28554.357927999998</v>
      </c>
      <c r="G345" s="130">
        <f t="shared" si="73"/>
        <v>5425.32800632</v>
      </c>
      <c r="H345" s="131">
        <f t="shared" si="74"/>
        <v>33980</v>
      </c>
    </row>
    <row r="346" spans="1:8" x14ac:dyDescent="0.25">
      <c r="A346" s="85" t="s">
        <v>1624</v>
      </c>
      <c r="B346" s="81" t="s">
        <v>1605</v>
      </c>
      <c r="C346" s="14" t="s">
        <v>37</v>
      </c>
      <c r="D346" s="68">
        <v>47536.324399999998</v>
      </c>
      <c r="E346" s="74">
        <v>0.03</v>
      </c>
      <c r="F346" s="129">
        <f t="shared" si="72"/>
        <v>48962.414131999998</v>
      </c>
      <c r="G346" s="130">
        <f t="shared" si="73"/>
        <v>9302.8586850800002</v>
      </c>
      <c r="H346" s="131">
        <f t="shared" si="74"/>
        <v>58265</v>
      </c>
    </row>
    <row r="347" spans="1:8" x14ac:dyDescent="0.25">
      <c r="A347" s="85" t="s">
        <v>1625</v>
      </c>
      <c r="B347" s="81" t="s">
        <v>7746</v>
      </c>
      <c r="C347" s="14" t="s">
        <v>37</v>
      </c>
      <c r="D347" s="68">
        <v>110076.0656</v>
      </c>
      <c r="E347" s="74">
        <v>0.03</v>
      </c>
      <c r="F347" s="129">
        <f t="shared" si="72"/>
        <v>113378.347568</v>
      </c>
      <c r="G347" s="130">
        <f t="shared" si="73"/>
        <v>21541.886037920001</v>
      </c>
      <c r="H347" s="131">
        <f t="shared" si="74"/>
        <v>134920</v>
      </c>
    </row>
    <row r="348" spans="1:8" x14ac:dyDescent="0.25">
      <c r="A348" s="85" t="s">
        <v>1626</v>
      </c>
      <c r="B348" s="81" t="s">
        <v>1607</v>
      </c>
      <c r="C348" s="14" t="s">
        <v>37</v>
      </c>
      <c r="D348" s="68">
        <v>202394.2248</v>
      </c>
      <c r="E348" s="74">
        <v>0.03</v>
      </c>
      <c r="F348" s="129">
        <f t="shared" si="72"/>
        <v>208466.05154399999</v>
      </c>
      <c r="G348" s="130">
        <f t="shared" si="73"/>
        <v>39608.549793359998</v>
      </c>
      <c r="H348" s="131">
        <f t="shared" si="74"/>
        <v>248075</v>
      </c>
    </row>
    <row r="349" spans="1:8" x14ac:dyDescent="0.25">
      <c r="A349" s="85" t="s">
        <v>1627</v>
      </c>
      <c r="B349" s="81" t="s">
        <v>7232</v>
      </c>
      <c r="C349" s="14" t="s">
        <v>37</v>
      </c>
      <c r="D349" s="68">
        <v>345687.31959999999</v>
      </c>
      <c r="E349" s="74">
        <v>0.03</v>
      </c>
      <c r="F349" s="129">
        <f t="shared" si="72"/>
        <v>356057.93918799999</v>
      </c>
      <c r="G349" s="130">
        <f t="shared" si="73"/>
        <v>67651.008445719999</v>
      </c>
      <c r="H349" s="131">
        <f t="shared" si="74"/>
        <v>423709</v>
      </c>
    </row>
    <row r="350" spans="1:8" x14ac:dyDescent="0.25">
      <c r="A350" s="85" t="s">
        <v>1628</v>
      </c>
      <c r="B350" s="81" t="s">
        <v>1608</v>
      </c>
      <c r="C350" s="14" t="s">
        <v>37</v>
      </c>
      <c r="D350" s="68">
        <v>632812.48</v>
      </c>
      <c r="E350" s="74">
        <v>0.03</v>
      </c>
      <c r="F350" s="129">
        <f t="shared" si="72"/>
        <v>651796.85439999995</v>
      </c>
      <c r="G350" s="130">
        <f t="shared" si="73"/>
        <v>123841.402336</v>
      </c>
      <c r="H350" s="131">
        <f t="shared" si="74"/>
        <v>775638</v>
      </c>
    </row>
    <row r="351" spans="1:8" x14ac:dyDescent="0.25">
      <c r="A351" s="110" t="s">
        <v>1652</v>
      </c>
      <c r="B351" s="109" t="s">
        <v>1637</v>
      </c>
      <c r="C351" s="14" t="s">
        <v>37</v>
      </c>
      <c r="D351" s="68">
        <v>37430.903200000001</v>
      </c>
      <c r="E351" s="74">
        <v>0.03</v>
      </c>
      <c r="F351" s="129">
        <f t="shared" si="72"/>
        <v>38553.830296</v>
      </c>
      <c r="G351" s="130">
        <f t="shared" si="73"/>
        <v>7325.2277562400004</v>
      </c>
      <c r="H351" s="131">
        <f t="shared" si="74"/>
        <v>45879</v>
      </c>
    </row>
    <row r="352" spans="1:8" x14ac:dyDescent="0.25">
      <c r="A352" s="78" t="s">
        <v>1651</v>
      </c>
      <c r="B352" s="80" t="s">
        <v>1617</v>
      </c>
      <c r="C352" s="14"/>
      <c r="D352" s="1001"/>
      <c r="E352" s="74"/>
      <c r="F352" s="75"/>
      <c r="G352" s="76"/>
      <c r="H352" s="77"/>
    </row>
    <row r="353" spans="1:9" x14ac:dyDescent="0.25">
      <c r="A353" s="85" t="s">
        <v>1653</v>
      </c>
      <c r="B353" s="81" t="s">
        <v>1629</v>
      </c>
      <c r="C353" s="14" t="s">
        <v>37</v>
      </c>
      <c r="D353" s="68">
        <v>14455.4444</v>
      </c>
      <c r="E353" s="74">
        <v>0.03</v>
      </c>
      <c r="F353" s="129">
        <f t="shared" ref="F353:F360" si="75">+D353+D353*E353</f>
        <v>14889.107732</v>
      </c>
      <c r="G353" s="130">
        <f t="shared" ref="G353:G360" si="76">F353*0.19</f>
        <v>2828.93046908</v>
      </c>
      <c r="H353" s="131">
        <f t="shared" ref="H353:H360" si="77">ROUND((F353+G353),0)</f>
        <v>17718</v>
      </c>
    </row>
    <row r="354" spans="1:9" x14ac:dyDescent="0.25">
      <c r="A354" s="85" t="s">
        <v>1654</v>
      </c>
      <c r="B354" s="81" t="s">
        <v>1630</v>
      </c>
      <c r="C354" s="14" t="s">
        <v>37</v>
      </c>
      <c r="D354" s="68">
        <v>18834.7228</v>
      </c>
      <c r="E354" s="74">
        <v>0.03</v>
      </c>
      <c r="F354" s="129">
        <f t="shared" si="75"/>
        <v>19399.764483999999</v>
      </c>
      <c r="G354" s="130">
        <f t="shared" si="76"/>
        <v>3685.9552519599997</v>
      </c>
      <c r="H354" s="131">
        <f t="shared" si="77"/>
        <v>23086</v>
      </c>
    </row>
    <row r="355" spans="1:9" x14ac:dyDescent="0.25">
      <c r="A355" s="85" t="s">
        <v>1655</v>
      </c>
      <c r="B355" s="81" t="s">
        <v>1631</v>
      </c>
      <c r="C355" s="14" t="s">
        <v>37</v>
      </c>
      <c r="D355" s="68">
        <v>24749.8992</v>
      </c>
      <c r="E355" s="74">
        <v>0.03</v>
      </c>
      <c r="F355" s="129">
        <f t="shared" si="75"/>
        <v>25492.396175999998</v>
      </c>
      <c r="G355" s="130">
        <f t="shared" si="76"/>
        <v>4843.5552734399998</v>
      </c>
      <c r="H355" s="131">
        <f t="shared" si="77"/>
        <v>30336</v>
      </c>
    </row>
    <row r="356" spans="1:9" x14ac:dyDescent="0.25">
      <c r="A356" s="85" t="s">
        <v>1656</v>
      </c>
      <c r="B356" s="81" t="s">
        <v>1632</v>
      </c>
      <c r="C356" s="14" t="s">
        <v>37</v>
      </c>
      <c r="D356" s="68">
        <v>40248.404000000002</v>
      </c>
      <c r="E356" s="74">
        <v>0.03</v>
      </c>
      <c r="F356" s="129">
        <f t="shared" si="75"/>
        <v>41455.856120000004</v>
      </c>
      <c r="G356" s="130">
        <f t="shared" si="76"/>
        <v>7876.6126628000011</v>
      </c>
      <c r="H356" s="131">
        <f t="shared" si="77"/>
        <v>49332</v>
      </c>
    </row>
    <row r="357" spans="1:9" x14ac:dyDescent="0.25">
      <c r="A357" s="85" t="s">
        <v>1657</v>
      </c>
      <c r="B357" s="81" t="s">
        <v>7747</v>
      </c>
      <c r="C357" s="14" t="s">
        <v>37</v>
      </c>
      <c r="D357" s="68">
        <v>93974.453599999993</v>
      </c>
      <c r="E357" s="74">
        <v>0.03</v>
      </c>
      <c r="F357" s="129">
        <f t="shared" si="75"/>
        <v>96793.687207999988</v>
      </c>
      <c r="G357" s="130">
        <f t="shared" si="76"/>
        <v>18390.800569519997</v>
      </c>
      <c r="H357" s="131">
        <f t="shared" si="77"/>
        <v>115184</v>
      </c>
    </row>
    <row r="358" spans="1:9" x14ac:dyDescent="0.25">
      <c r="A358" s="85" t="s">
        <v>1658</v>
      </c>
      <c r="B358" s="81" t="s">
        <v>1634</v>
      </c>
      <c r="C358" s="14" t="s">
        <v>37</v>
      </c>
      <c r="D358" s="68">
        <v>172654.06359999999</v>
      </c>
      <c r="E358" s="74">
        <v>0.03</v>
      </c>
      <c r="F358" s="129">
        <f t="shared" si="75"/>
        <v>177833.685508</v>
      </c>
      <c r="G358" s="130">
        <f t="shared" si="76"/>
        <v>33788.400246520003</v>
      </c>
      <c r="H358" s="131">
        <f t="shared" si="77"/>
        <v>211622</v>
      </c>
    </row>
    <row r="359" spans="1:9" x14ac:dyDescent="0.25">
      <c r="A359" s="85" t="s">
        <v>1659</v>
      </c>
      <c r="B359" s="81" t="s">
        <v>7233</v>
      </c>
      <c r="C359" s="14" t="s">
        <v>37</v>
      </c>
      <c r="D359" s="68">
        <v>308478.0808</v>
      </c>
      <c r="E359" s="74">
        <v>0.03</v>
      </c>
      <c r="F359" s="129">
        <f t="shared" si="75"/>
        <v>317732.42322399997</v>
      </c>
      <c r="G359" s="130">
        <f t="shared" si="76"/>
        <v>60369.160412559992</v>
      </c>
      <c r="H359" s="131">
        <f t="shared" si="77"/>
        <v>378102</v>
      </c>
    </row>
    <row r="360" spans="1:9" x14ac:dyDescent="0.25">
      <c r="A360" s="85" t="s">
        <v>1660</v>
      </c>
      <c r="B360" s="81" t="s">
        <v>1636</v>
      </c>
      <c r="C360" s="14" t="s">
        <v>37</v>
      </c>
      <c r="D360" s="68">
        <v>478071.6004</v>
      </c>
      <c r="E360" s="74">
        <v>0.03</v>
      </c>
      <c r="F360" s="129">
        <f t="shared" si="75"/>
        <v>492413.74841200002</v>
      </c>
      <c r="G360" s="130">
        <f t="shared" si="76"/>
        <v>93558.61219828001</v>
      </c>
      <c r="H360" s="131">
        <f t="shared" si="77"/>
        <v>585972</v>
      </c>
    </row>
    <row r="361" spans="1:9" x14ac:dyDescent="0.25">
      <c r="A361" s="78" t="s">
        <v>1661</v>
      </c>
      <c r="B361" s="80" t="s">
        <v>1662</v>
      </c>
      <c r="C361" s="14"/>
      <c r="D361" s="1001"/>
      <c r="E361" s="74"/>
      <c r="F361" s="75"/>
      <c r="G361" s="76"/>
      <c r="H361" s="77"/>
    </row>
    <row r="362" spans="1:9" x14ac:dyDescent="0.25">
      <c r="A362" s="85" t="s">
        <v>1663</v>
      </c>
      <c r="B362" s="81" t="s">
        <v>1664</v>
      </c>
      <c r="C362" s="14" t="s">
        <v>37</v>
      </c>
      <c r="D362" s="68">
        <v>32297.7408</v>
      </c>
      <c r="E362" s="74">
        <v>0.03</v>
      </c>
      <c r="F362" s="129">
        <f t="shared" ref="F362:F367" si="78">+D362+D362*E362</f>
        <v>33266.673023999996</v>
      </c>
      <c r="G362" s="130">
        <f t="shared" ref="G362:G367" si="79">F362*0.19</f>
        <v>6320.6678745599993</v>
      </c>
      <c r="H362" s="131">
        <f t="shared" ref="H362:H367" si="80">ROUND((F362+G362),0)</f>
        <v>39587</v>
      </c>
    </row>
    <row r="363" spans="1:9" x14ac:dyDescent="0.25">
      <c r="A363" s="85" t="s">
        <v>1670</v>
      </c>
      <c r="B363" s="81" t="s">
        <v>1665</v>
      </c>
      <c r="C363" s="14" t="s">
        <v>37</v>
      </c>
      <c r="D363" s="68">
        <v>45497.462</v>
      </c>
      <c r="E363" s="74">
        <v>0.03</v>
      </c>
      <c r="F363" s="129">
        <f t="shared" si="78"/>
        <v>46862.385860000002</v>
      </c>
      <c r="G363" s="130">
        <f t="shared" si="79"/>
        <v>8903.8533134000008</v>
      </c>
      <c r="H363" s="131">
        <f t="shared" si="80"/>
        <v>55766</v>
      </c>
    </row>
    <row r="364" spans="1:9" x14ac:dyDescent="0.25">
      <c r="A364" s="85" t="s">
        <v>1671</v>
      </c>
      <c r="B364" s="81" t="s">
        <v>7748</v>
      </c>
      <c r="C364" s="14" t="s">
        <v>37</v>
      </c>
      <c r="D364" s="68">
        <v>63608.681199999999</v>
      </c>
      <c r="E364" s="74">
        <v>0.03</v>
      </c>
      <c r="F364" s="129">
        <f t="shared" si="78"/>
        <v>65516.941635999996</v>
      </c>
      <c r="G364" s="130">
        <f t="shared" si="79"/>
        <v>12448.21891084</v>
      </c>
      <c r="H364" s="131">
        <f t="shared" si="80"/>
        <v>77965</v>
      </c>
    </row>
    <row r="365" spans="1:9" x14ac:dyDescent="0.25">
      <c r="A365" s="85" t="s">
        <v>1672</v>
      </c>
      <c r="B365" s="81" t="s">
        <v>1667</v>
      </c>
      <c r="C365" s="14" t="s">
        <v>37</v>
      </c>
      <c r="D365" s="68">
        <v>108090.0876</v>
      </c>
      <c r="E365" s="74">
        <v>0.03</v>
      </c>
      <c r="F365" s="129">
        <f t="shared" si="78"/>
        <v>111332.790228</v>
      </c>
      <c r="G365" s="130">
        <f t="shared" si="79"/>
        <v>21153.230143320001</v>
      </c>
      <c r="H365" s="131">
        <f t="shared" si="80"/>
        <v>132486</v>
      </c>
    </row>
    <row r="366" spans="1:9" s="86" customFormat="1" x14ac:dyDescent="0.25">
      <c r="A366" s="85" t="s">
        <v>1673</v>
      </c>
      <c r="B366" s="81" t="s">
        <v>7234</v>
      </c>
      <c r="C366" s="14" t="s">
        <v>37</v>
      </c>
      <c r="D366" s="68">
        <v>268976.80959999998</v>
      </c>
      <c r="E366" s="74">
        <v>0.03</v>
      </c>
      <c r="F366" s="129">
        <f t="shared" si="78"/>
        <v>277046.11388799996</v>
      </c>
      <c r="G366" s="130">
        <f t="shared" si="79"/>
        <v>52638.761638719996</v>
      </c>
      <c r="H366" s="131">
        <f t="shared" si="80"/>
        <v>329685</v>
      </c>
      <c r="I366"/>
    </row>
    <row r="367" spans="1:9" s="86" customFormat="1" x14ac:dyDescent="0.25">
      <c r="A367" s="85" t="s">
        <v>1674</v>
      </c>
      <c r="B367" s="81" t="s">
        <v>1669</v>
      </c>
      <c r="C367" s="14" t="s">
        <v>37</v>
      </c>
      <c r="D367" s="68">
        <v>293102.22279999999</v>
      </c>
      <c r="E367" s="74">
        <v>0.03</v>
      </c>
      <c r="F367" s="129">
        <f t="shared" si="78"/>
        <v>301895.28948400001</v>
      </c>
      <c r="G367" s="130">
        <f t="shared" si="79"/>
        <v>57360.105001960001</v>
      </c>
      <c r="H367" s="131">
        <f t="shared" si="80"/>
        <v>359255</v>
      </c>
      <c r="I367"/>
    </row>
    <row r="368" spans="1:9" x14ac:dyDescent="0.25">
      <c r="A368" s="61" t="s">
        <v>948</v>
      </c>
      <c r="B368" s="62" t="s">
        <v>949</v>
      </c>
      <c r="C368" s="63"/>
      <c r="D368" s="1003"/>
      <c r="E368" s="63"/>
      <c r="F368" s="63"/>
      <c r="G368" s="63"/>
      <c r="H368" s="82"/>
    </row>
    <row r="369" spans="1:8" x14ac:dyDescent="0.25">
      <c r="A369" s="44" t="s">
        <v>950</v>
      </c>
      <c r="B369" s="80" t="s">
        <v>1715</v>
      </c>
      <c r="C369" s="14"/>
      <c r="D369" s="1001"/>
      <c r="E369" s="74"/>
      <c r="F369" s="75"/>
      <c r="G369" s="76"/>
      <c r="H369" s="77"/>
    </row>
    <row r="370" spans="1:8" x14ac:dyDescent="0.25">
      <c r="A370" s="43" t="s">
        <v>1716</v>
      </c>
      <c r="B370" s="112" t="s">
        <v>1726</v>
      </c>
      <c r="C370" s="14" t="s">
        <v>14</v>
      </c>
      <c r="D370" s="1001"/>
      <c r="E370" s="74">
        <v>0.03</v>
      </c>
      <c r="F370" s="129">
        <f t="shared" ref="F370:F389" si="81">+D370+D370*E370</f>
        <v>0</v>
      </c>
      <c r="G370" s="130">
        <f t="shared" ref="G370:G389" si="82">F370*0.19</f>
        <v>0</v>
      </c>
      <c r="H370" s="131">
        <f t="shared" ref="H370:H389" si="83">ROUND((F370+G370),0)</f>
        <v>0</v>
      </c>
    </row>
    <row r="371" spans="1:8" x14ac:dyDescent="0.25">
      <c r="A371" s="43" t="s">
        <v>1717</v>
      </c>
      <c r="B371" s="112" t="s">
        <v>1727</v>
      </c>
      <c r="C371" s="14" t="s">
        <v>14</v>
      </c>
      <c r="D371" s="1001"/>
      <c r="E371" s="74">
        <v>0.03</v>
      </c>
      <c r="F371" s="129">
        <f t="shared" si="81"/>
        <v>0</v>
      </c>
      <c r="G371" s="130">
        <f t="shared" si="82"/>
        <v>0</v>
      </c>
      <c r="H371" s="131">
        <f t="shared" si="83"/>
        <v>0</v>
      </c>
    </row>
    <row r="372" spans="1:8" x14ac:dyDescent="0.25">
      <c r="A372" s="43" t="s">
        <v>951</v>
      </c>
      <c r="B372" s="112" t="s">
        <v>1728</v>
      </c>
      <c r="C372" s="14" t="s">
        <v>14</v>
      </c>
      <c r="D372" s="1001"/>
      <c r="E372" s="74">
        <v>0.03</v>
      </c>
      <c r="F372" s="129">
        <f t="shared" si="81"/>
        <v>0</v>
      </c>
      <c r="G372" s="130">
        <f t="shared" si="82"/>
        <v>0</v>
      </c>
      <c r="H372" s="131">
        <f t="shared" si="83"/>
        <v>0</v>
      </c>
    </row>
    <row r="373" spans="1:8" x14ac:dyDescent="0.25">
      <c r="A373" s="43" t="s">
        <v>1718</v>
      </c>
      <c r="B373" s="81" t="s">
        <v>1729</v>
      </c>
      <c r="C373" s="14" t="s">
        <v>14</v>
      </c>
      <c r="D373" s="1001"/>
      <c r="E373" s="74">
        <v>0.03</v>
      </c>
      <c r="F373" s="129">
        <f t="shared" si="81"/>
        <v>0</v>
      </c>
      <c r="G373" s="130">
        <f t="shared" si="82"/>
        <v>0</v>
      </c>
      <c r="H373" s="131">
        <f t="shared" si="83"/>
        <v>0</v>
      </c>
    </row>
    <row r="374" spans="1:8" x14ac:dyDescent="0.25">
      <c r="A374" s="43" t="s">
        <v>1719</v>
      </c>
      <c r="B374" s="81" t="s">
        <v>1730</v>
      </c>
      <c r="C374" s="14" t="s">
        <v>14</v>
      </c>
      <c r="D374" s="1001"/>
      <c r="E374" s="74">
        <v>0.03</v>
      </c>
      <c r="F374" s="129">
        <f t="shared" si="81"/>
        <v>0</v>
      </c>
      <c r="G374" s="130">
        <f t="shared" si="82"/>
        <v>0</v>
      </c>
      <c r="H374" s="131">
        <f t="shared" si="83"/>
        <v>0</v>
      </c>
    </row>
    <row r="375" spans="1:8" x14ac:dyDescent="0.25">
      <c r="A375" s="43" t="s">
        <v>952</v>
      </c>
      <c r="B375" s="111" t="s">
        <v>1784</v>
      </c>
      <c r="C375" s="14" t="s">
        <v>14</v>
      </c>
      <c r="D375" s="1001"/>
      <c r="E375" s="74">
        <v>0.03</v>
      </c>
      <c r="F375" s="129">
        <f t="shared" si="81"/>
        <v>0</v>
      </c>
      <c r="G375" s="130">
        <f t="shared" si="82"/>
        <v>0</v>
      </c>
      <c r="H375" s="131">
        <f t="shared" si="83"/>
        <v>0</v>
      </c>
    </row>
    <row r="376" spans="1:8" x14ac:dyDescent="0.25">
      <c r="A376" s="43" t="s">
        <v>1720</v>
      </c>
      <c r="B376" s="111" t="s">
        <v>1785</v>
      </c>
      <c r="C376" s="14" t="s">
        <v>14</v>
      </c>
      <c r="D376" s="1001"/>
      <c r="E376" s="74">
        <v>0.03</v>
      </c>
      <c r="F376" s="129">
        <f t="shared" si="81"/>
        <v>0</v>
      </c>
      <c r="G376" s="130">
        <f t="shared" si="82"/>
        <v>0</v>
      </c>
      <c r="H376" s="131">
        <f t="shared" si="83"/>
        <v>0</v>
      </c>
    </row>
    <row r="377" spans="1:8" x14ac:dyDescent="0.25">
      <c r="A377" s="43" t="s">
        <v>1721</v>
      </c>
      <c r="B377" s="81" t="s">
        <v>1731</v>
      </c>
      <c r="C377" s="14" t="s">
        <v>14</v>
      </c>
      <c r="D377" s="1001"/>
      <c r="E377" s="74">
        <v>0.03</v>
      </c>
      <c r="F377" s="129">
        <f t="shared" si="81"/>
        <v>0</v>
      </c>
      <c r="G377" s="130">
        <f t="shared" si="82"/>
        <v>0</v>
      </c>
      <c r="H377" s="131">
        <f t="shared" si="83"/>
        <v>0</v>
      </c>
    </row>
    <row r="378" spans="1:8" x14ac:dyDescent="0.25">
      <c r="A378" s="43" t="s">
        <v>1722</v>
      </c>
      <c r="B378" s="111" t="s">
        <v>1786</v>
      </c>
      <c r="C378" s="14" t="s">
        <v>14</v>
      </c>
      <c r="D378" s="1001"/>
      <c r="E378" s="74">
        <v>0.03</v>
      </c>
      <c r="F378" s="129">
        <f t="shared" si="81"/>
        <v>0</v>
      </c>
      <c r="G378" s="130">
        <f t="shared" si="82"/>
        <v>0</v>
      </c>
      <c r="H378" s="131">
        <f t="shared" si="83"/>
        <v>0</v>
      </c>
    </row>
    <row r="379" spans="1:8" x14ac:dyDescent="0.25">
      <c r="A379" s="43" t="s">
        <v>1723</v>
      </c>
      <c r="B379" s="81" t="s">
        <v>1732</v>
      </c>
      <c r="C379" s="14" t="s">
        <v>14</v>
      </c>
      <c r="D379" s="68">
        <v>25908.855199999998</v>
      </c>
      <c r="E379" s="74">
        <v>0.03</v>
      </c>
      <c r="F379" s="129">
        <f t="shared" si="81"/>
        <v>26686.120855999998</v>
      </c>
      <c r="G379" s="130">
        <f t="shared" si="82"/>
        <v>5070.3629626399998</v>
      </c>
      <c r="H379" s="131">
        <f t="shared" si="83"/>
        <v>31756</v>
      </c>
    </row>
    <row r="380" spans="1:8" x14ac:dyDescent="0.25">
      <c r="A380" s="43" t="s">
        <v>1724</v>
      </c>
      <c r="B380" s="111" t="s">
        <v>1787</v>
      </c>
      <c r="C380" s="14" t="s">
        <v>14</v>
      </c>
      <c r="D380" s="1001"/>
      <c r="E380" s="74">
        <v>0.03</v>
      </c>
      <c r="F380" s="129">
        <f t="shared" si="81"/>
        <v>0</v>
      </c>
      <c r="G380" s="130">
        <f t="shared" si="82"/>
        <v>0</v>
      </c>
      <c r="H380" s="131">
        <f t="shared" si="83"/>
        <v>0</v>
      </c>
    </row>
    <row r="381" spans="1:8" x14ac:dyDescent="0.25">
      <c r="A381" s="43" t="s">
        <v>1793</v>
      </c>
      <c r="B381" s="81" t="s">
        <v>1733</v>
      </c>
      <c r="C381" s="14" t="s">
        <v>14</v>
      </c>
      <c r="D381" s="1001"/>
      <c r="E381" s="74">
        <v>0.03</v>
      </c>
      <c r="F381" s="129">
        <f t="shared" si="81"/>
        <v>0</v>
      </c>
      <c r="G381" s="130">
        <f t="shared" si="82"/>
        <v>0</v>
      </c>
      <c r="H381" s="131">
        <f t="shared" si="83"/>
        <v>0</v>
      </c>
    </row>
    <row r="382" spans="1:8" x14ac:dyDescent="0.25">
      <c r="A382" s="43" t="s">
        <v>1794</v>
      </c>
      <c r="B382" s="111" t="s">
        <v>1788</v>
      </c>
      <c r="C382" s="14" t="s">
        <v>14</v>
      </c>
      <c r="D382" s="1001"/>
      <c r="E382" s="74">
        <v>0.03</v>
      </c>
      <c r="F382" s="129">
        <f t="shared" si="81"/>
        <v>0</v>
      </c>
      <c r="G382" s="130">
        <f t="shared" si="82"/>
        <v>0</v>
      </c>
      <c r="H382" s="131">
        <f t="shared" si="83"/>
        <v>0</v>
      </c>
    </row>
    <row r="383" spans="1:8" x14ac:dyDescent="0.25">
      <c r="A383" s="43" t="s">
        <v>1795</v>
      </c>
      <c r="B383" s="81" t="s">
        <v>1734</v>
      </c>
      <c r="C383" s="14" t="s">
        <v>14</v>
      </c>
      <c r="D383" s="1001"/>
      <c r="E383" s="74">
        <v>0.03</v>
      </c>
      <c r="F383" s="129">
        <f t="shared" si="81"/>
        <v>0</v>
      </c>
      <c r="G383" s="130">
        <f t="shared" si="82"/>
        <v>0</v>
      </c>
      <c r="H383" s="131">
        <f t="shared" si="83"/>
        <v>0</v>
      </c>
    </row>
    <row r="384" spans="1:8" x14ac:dyDescent="0.25">
      <c r="A384" s="43" t="s">
        <v>1796</v>
      </c>
      <c r="B384" s="81" t="s">
        <v>1735</v>
      </c>
      <c r="C384" s="14" t="s">
        <v>14</v>
      </c>
      <c r="D384" s="1001"/>
      <c r="E384" s="74">
        <v>0.03</v>
      </c>
      <c r="F384" s="129">
        <f t="shared" si="81"/>
        <v>0</v>
      </c>
      <c r="G384" s="130">
        <f t="shared" si="82"/>
        <v>0</v>
      </c>
      <c r="H384" s="131">
        <f t="shared" si="83"/>
        <v>0</v>
      </c>
    </row>
    <row r="385" spans="1:8" x14ac:dyDescent="0.25">
      <c r="A385" s="43" t="s">
        <v>1797</v>
      </c>
      <c r="B385" s="81" t="s">
        <v>1736</v>
      </c>
      <c r="C385" s="14" t="s">
        <v>14</v>
      </c>
      <c r="D385" s="1001"/>
      <c r="E385" s="74">
        <v>0.03</v>
      </c>
      <c r="F385" s="129">
        <f t="shared" si="81"/>
        <v>0</v>
      </c>
      <c r="G385" s="130">
        <f t="shared" si="82"/>
        <v>0</v>
      </c>
      <c r="H385" s="131">
        <f t="shared" si="83"/>
        <v>0</v>
      </c>
    </row>
    <row r="386" spans="1:8" x14ac:dyDescent="0.25">
      <c r="A386" s="43" t="s">
        <v>1798</v>
      </c>
      <c r="B386" s="111" t="s">
        <v>1789</v>
      </c>
      <c r="C386" s="14" t="s">
        <v>14</v>
      </c>
      <c r="D386" s="1001"/>
      <c r="E386" s="74">
        <v>0.03</v>
      </c>
      <c r="F386" s="129">
        <f t="shared" si="81"/>
        <v>0</v>
      </c>
      <c r="G386" s="130">
        <f t="shared" si="82"/>
        <v>0</v>
      </c>
      <c r="H386" s="131">
        <f t="shared" si="83"/>
        <v>0</v>
      </c>
    </row>
    <row r="387" spans="1:8" x14ac:dyDescent="0.25">
      <c r="A387" s="43" t="s">
        <v>1799</v>
      </c>
      <c r="B387" s="111" t="s">
        <v>1790</v>
      </c>
      <c r="C387" s="14" t="s">
        <v>14</v>
      </c>
      <c r="D387" s="1001"/>
      <c r="E387" s="74">
        <v>0.03</v>
      </c>
      <c r="F387" s="129">
        <f t="shared" si="81"/>
        <v>0</v>
      </c>
      <c r="G387" s="130">
        <f t="shared" si="82"/>
        <v>0</v>
      </c>
      <c r="H387" s="131">
        <f t="shared" si="83"/>
        <v>0</v>
      </c>
    </row>
    <row r="388" spans="1:8" x14ac:dyDescent="0.25">
      <c r="A388" s="43" t="s">
        <v>1800</v>
      </c>
      <c r="B388" s="111" t="s">
        <v>1791</v>
      </c>
      <c r="C388" s="14" t="s">
        <v>14</v>
      </c>
      <c r="D388" s="1001"/>
      <c r="E388" s="74">
        <v>0.03</v>
      </c>
      <c r="F388" s="129">
        <f t="shared" si="81"/>
        <v>0</v>
      </c>
      <c r="G388" s="130">
        <f t="shared" si="82"/>
        <v>0</v>
      </c>
      <c r="H388" s="131">
        <f t="shared" si="83"/>
        <v>0</v>
      </c>
    </row>
    <row r="389" spans="1:8" x14ac:dyDescent="0.25">
      <c r="A389" s="43" t="s">
        <v>1801</v>
      </c>
      <c r="B389" s="111" t="s">
        <v>1792</v>
      </c>
      <c r="C389" s="14" t="s">
        <v>14</v>
      </c>
      <c r="D389" s="1001"/>
      <c r="E389" s="74">
        <v>0.03</v>
      </c>
      <c r="F389" s="129">
        <f t="shared" si="81"/>
        <v>0</v>
      </c>
      <c r="G389" s="130">
        <f t="shared" si="82"/>
        <v>0</v>
      </c>
      <c r="H389" s="131">
        <f t="shared" si="83"/>
        <v>0</v>
      </c>
    </row>
    <row r="390" spans="1:8" x14ac:dyDescent="0.25">
      <c r="A390" s="44" t="s">
        <v>1748</v>
      </c>
      <c r="B390" s="80" t="s">
        <v>1725</v>
      </c>
      <c r="C390" s="14"/>
      <c r="D390" s="1001"/>
      <c r="E390" s="74"/>
      <c r="F390" s="75"/>
      <c r="G390" s="76"/>
      <c r="H390" s="77"/>
    </row>
    <row r="391" spans="1:8" x14ac:dyDescent="0.25">
      <c r="A391" s="43" t="s">
        <v>1749</v>
      </c>
      <c r="B391" s="112" t="s">
        <v>1737</v>
      </c>
      <c r="C391" s="14" t="s">
        <v>14</v>
      </c>
      <c r="D391" s="1001"/>
      <c r="E391" s="74">
        <v>0.03</v>
      </c>
      <c r="F391" s="129">
        <f t="shared" ref="F391:F410" si="84">+D391+D391*E391</f>
        <v>0</v>
      </c>
      <c r="G391" s="130">
        <f t="shared" ref="G391:G410" si="85">F391*0.19</f>
        <v>0</v>
      </c>
      <c r="H391" s="131">
        <f t="shared" ref="H391:H410" si="86">ROUND((F391+G391),0)</f>
        <v>0</v>
      </c>
    </row>
    <row r="392" spans="1:8" x14ac:dyDescent="0.25">
      <c r="A392" s="43" t="s">
        <v>1750</v>
      </c>
      <c r="B392" s="112" t="s">
        <v>1738</v>
      </c>
      <c r="C392" s="14" t="s">
        <v>14</v>
      </c>
      <c r="D392" s="1001"/>
      <c r="E392" s="74">
        <v>0.03</v>
      </c>
      <c r="F392" s="129">
        <f t="shared" si="84"/>
        <v>0</v>
      </c>
      <c r="G392" s="130">
        <f t="shared" si="85"/>
        <v>0</v>
      </c>
      <c r="H392" s="131">
        <f t="shared" si="86"/>
        <v>0</v>
      </c>
    </row>
    <row r="393" spans="1:8" x14ac:dyDescent="0.25">
      <c r="A393" s="43" t="s">
        <v>1751</v>
      </c>
      <c r="B393" s="112" t="s">
        <v>1739</v>
      </c>
      <c r="C393" s="14" t="s">
        <v>14</v>
      </c>
      <c r="D393" s="1001"/>
      <c r="E393" s="74">
        <v>0.03</v>
      </c>
      <c r="F393" s="129">
        <f t="shared" si="84"/>
        <v>0</v>
      </c>
      <c r="G393" s="130">
        <f t="shared" si="85"/>
        <v>0</v>
      </c>
      <c r="H393" s="131">
        <f t="shared" si="86"/>
        <v>0</v>
      </c>
    </row>
    <row r="394" spans="1:8" x14ac:dyDescent="0.25">
      <c r="A394" s="43" t="s">
        <v>1752</v>
      </c>
      <c r="B394" s="81" t="s">
        <v>1740</v>
      </c>
      <c r="C394" s="14" t="s">
        <v>14</v>
      </c>
      <c r="D394" s="1001"/>
      <c r="E394" s="74">
        <v>0.03</v>
      </c>
      <c r="F394" s="129">
        <f t="shared" si="84"/>
        <v>0</v>
      </c>
      <c r="G394" s="130">
        <f t="shared" si="85"/>
        <v>0</v>
      </c>
      <c r="H394" s="131">
        <f t="shared" si="86"/>
        <v>0</v>
      </c>
    </row>
    <row r="395" spans="1:8" x14ac:dyDescent="0.25">
      <c r="A395" s="43" t="s">
        <v>1753</v>
      </c>
      <c r="B395" s="81" t="s">
        <v>1741</v>
      </c>
      <c r="C395" s="14" t="s">
        <v>14</v>
      </c>
      <c r="D395" s="1001"/>
      <c r="E395" s="74">
        <v>0.03</v>
      </c>
      <c r="F395" s="129">
        <f t="shared" si="84"/>
        <v>0</v>
      </c>
      <c r="G395" s="130">
        <f t="shared" si="85"/>
        <v>0</v>
      </c>
      <c r="H395" s="131">
        <f t="shared" si="86"/>
        <v>0</v>
      </c>
    </row>
    <row r="396" spans="1:8" x14ac:dyDescent="0.25">
      <c r="A396" s="43" t="s">
        <v>1754</v>
      </c>
      <c r="B396" s="111" t="s">
        <v>1802</v>
      </c>
      <c r="C396" s="14" t="s">
        <v>14</v>
      </c>
      <c r="D396" s="1001"/>
      <c r="E396" s="74">
        <v>0.03</v>
      </c>
      <c r="F396" s="129">
        <f t="shared" si="84"/>
        <v>0</v>
      </c>
      <c r="G396" s="130">
        <f t="shared" si="85"/>
        <v>0</v>
      </c>
      <c r="H396" s="131">
        <f t="shared" si="86"/>
        <v>0</v>
      </c>
    </row>
    <row r="397" spans="1:8" x14ac:dyDescent="0.25">
      <c r="A397" s="43" t="s">
        <v>1755</v>
      </c>
      <c r="B397" s="111" t="s">
        <v>1803</v>
      </c>
      <c r="C397" s="14" t="s">
        <v>14</v>
      </c>
      <c r="D397" s="1001"/>
      <c r="E397" s="74">
        <v>0.03</v>
      </c>
      <c r="F397" s="129">
        <f t="shared" si="84"/>
        <v>0</v>
      </c>
      <c r="G397" s="130">
        <f t="shared" si="85"/>
        <v>0</v>
      </c>
      <c r="H397" s="131">
        <f t="shared" si="86"/>
        <v>0</v>
      </c>
    </row>
    <row r="398" spans="1:8" x14ac:dyDescent="0.25">
      <c r="A398" s="43" t="s">
        <v>1756</v>
      </c>
      <c r="B398" s="81" t="s">
        <v>1742</v>
      </c>
      <c r="C398" s="14" t="s">
        <v>14</v>
      </c>
      <c r="D398" s="1001"/>
      <c r="E398" s="74">
        <v>0.03</v>
      </c>
      <c r="F398" s="129">
        <f t="shared" si="84"/>
        <v>0</v>
      </c>
      <c r="G398" s="130">
        <f t="shared" si="85"/>
        <v>0</v>
      </c>
      <c r="H398" s="131">
        <f t="shared" si="86"/>
        <v>0</v>
      </c>
    </row>
    <row r="399" spans="1:8" x14ac:dyDescent="0.25">
      <c r="A399" s="43" t="s">
        <v>1757</v>
      </c>
      <c r="B399" s="111" t="s">
        <v>1804</v>
      </c>
      <c r="C399" s="14" t="s">
        <v>14</v>
      </c>
      <c r="D399" s="1001"/>
      <c r="E399" s="74">
        <v>0.03</v>
      </c>
      <c r="F399" s="129">
        <f t="shared" si="84"/>
        <v>0</v>
      </c>
      <c r="G399" s="130">
        <f t="shared" si="85"/>
        <v>0</v>
      </c>
      <c r="H399" s="131">
        <f t="shared" si="86"/>
        <v>0</v>
      </c>
    </row>
    <row r="400" spans="1:8" x14ac:dyDescent="0.25">
      <c r="A400" s="43" t="s">
        <v>1758</v>
      </c>
      <c r="B400" s="81" t="s">
        <v>1743</v>
      </c>
      <c r="C400" s="14" t="s">
        <v>14</v>
      </c>
      <c r="D400" s="1001"/>
      <c r="E400" s="74">
        <v>0.03</v>
      </c>
      <c r="F400" s="129">
        <f t="shared" si="84"/>
        <v>0</v>
      </c>
      <c r="G400" s="130">
        <f t="shared" si="85"/>
        <v>0</v>
      </c>
      <c r="H400" s="131">
        <f t="shared" si="86"/>
        <v>0</v>
      </c>
    </row>
    <row r="401" spans="1:8" x14ac:dyDescent="0.25">
      <c r="A401" s="43" t="s">
        <v>1759</v>
      </c>
      <c r="B401" s="111" t="s">
        <v>1805</v>
      </c>
      <c r="C401" s="14" t="s">
        <v>14</v>
      </c>
      <c r="D401" s="1001"/>
      <c r="E401" s="74">
        <v>0.03</v>
      </c>
      <c r="F401" s="129">
        <f t="shared" si="84"/>
        <v>0</v>
      </c>
      <c r="G401" s="130">
        <f t="shared" si="85"/>
        <v>0</v>
      </c>
      <c r="H401" s="131">
        <f t="shared" si="86"/>
        <v>0</v>
      </c>
    </row>
    <row r="402" spans="1:8" x14ac:dyDescent="0.25">
      <c r="A402" s="43" t="s">
        <v>1831</v>
      </c>
      <c r="B402" s="81" t="s">
        <v>1744</v>
      </c>
      <c r="C402" s="14" t="s">
        <v>14</v>
      </c>
      <c r="D402" s="1001"/>
      <c r="E402" s="74">
        <v>0.03</v>
      </c>
      <c r="F402" s="129">
        <f t="shared" si="84"/>
        <v>0</v>
      </c>
      <c r="G402" s="130">
        <f t="shared" si="85"/>
        <v>0</v>
      </c>
      <c r="H402" s="131">
        <f t="shared" si="86"/>
        <v>0</v>
      </c>
    </row>
    <row r="403" spans="1:8" x14ac:dyDescent="0.25">
      <c r="A403" s="43" t="s">
        <v>1832</v>
      </c>
      <c r="B403" s="111" t="s">
        <v>1818</v>
      </c>
      <c r="C403" s="14" t="s">
        <v>14</v>
      </c>
      <c r="D403" s="1001"/>
      <c r="E403" s="74">
        <v>0.03</v>
      </c>
      <c r="F403" s="129">
        <f t="shared" si="84"/>
        <v>0</v>
      </c>
      <c r="G403" s="130">
        <f t="shared" si="85"/>
        <v>0</v>
      </c>
      <c r="H403" s="131">
        <f t="shared" si="86"/>
        <v>0</v>
      </c>
    </row>
    <row r="404" spans="1:8" x14ac:dyDescent="0.25">
      <c r="A404" s="43" t="s">
        <v>1833</v>
      </c>
      <c r="B404" s="81" t="s">
        <v>1745</v>
      </c>
      <c r="C404" s="14" t="s">
        <v>14</v>
      </c>
      <c r="D404" s="1001"/>
      <c r="E404" s="74">
        <v>0.03</v>
      </c>
      <c r="F404" s="129">
        <f t="shared" si="84"/>
        <v>0</v>
      </c>
      <c r="G404" s="130">
        <f t="shared" si="85"/>
        <v>0</v>
      </c>
      <c r="H404" s="131">
        <f t="shared" si="86"/>
        <v>0</v>
      </c>
    </row>
    <row r="405" spans="1:8" x14ac:dyDescent="0.25">
      <c r="A405" s="43" t="s">
        <v>1834</v>
      </c>
      <c r="B405" s="81" t="s">
        <v>1746</v>
      </c>
      <c r="C405" s="14" t="s">
        <v>14</v>
      </c>
      <c r="D405" s="1001"/>
      <c r="E405" s="74">
        <v>0.03</v>
      </c>
      <c r="F405" s="129">
        <f t="shared" si="84"/>
        <v>0</v>
      </c>
      <c r="G405" s="130">
        <f t="shared" si="85"/>
        <v>0</v>
      </c>
      <c r="H405" s="131">
        <f t="shared" si="86"/>
        <v>0</v>
      </c>
    </row>
    <row r="406" spans="1:8" x14ac:dyDescent="0.25">
      <c r="A406" s="43" t="s">
        <v>1835</v>
      </c>
      <c r="B406" s="81" t="s">
        <v>1747</v>
      </c>
      <c r="C406" s="14" t="s">
        <v>14</v>
      </c>
      <c r="D406" s="1001"/>
      <c r="E406" s="74">
        <v>0.03</v>
      </c>
      <c r="F406" s="129">
        <f t="shared" si="84"/>
        <v>0</v>
      </c>
      <c r="G406" s="130">
        <f t="shared" si="85"/>
        <v>0</v>
      </c>
      <c r="H406" s="131">
        <f t="shared" si="86"/>
        <v>0</v>
      </c>
    </row>
    <row r="407" spans="1:8" x14ac:dyDescent="0.25">
      <c r="A407" s="43" t="s">
        <v>1836</v>
      </c>
      <c r="B407" s="111" t="s">
        <v>1806</v>
      </c>
      <c r="C407" s="14" t="s">
        <v>14</v>
      </c>
      <c r="D407" s="1001"/>
      <c r="E407" s="74">
        <v>0.03</v>
      </c>
      <c r="F407" s="129">
        <f t="shared" si="84"/>
        <v>0</v>
      </c>
      <c r="G407" s="130">
        <f t="shared" si="85"/>
        <v>0</v>
      </c>
      <c r="H407" s="131">
        <f t="shared" si="86"/>
        <v>0</v>
      </c>
    </row>
    <row r="408" spans="1:8" x14ac:dyDescent="0.25">
      <c r="A408" s="43" t="s">
        <v>1837</v>
      </c>
      <c r="B408" s="111" t="s">
        <v>1807</v>
      </c>
      <c r="C408" s="14" t="s">
        <v>14</v>
      </c>
      <c r="D408" s="1001"/>
      <c r="E408" s="74">
        <v>0.03</v>
      </c>
      <c r="F408" s="129">
        <f t="shared" si="84"/>
        <v>0</v>
      </c>
      <c r="G408" s="130">
        <f t="shared" si="85"/>
        <v>0</v>
      </c>
      <c r="H408" s="131">
        <f t="shared" si="86"/>
        <v>0</v>
      </c>
    </row>
    <row r="409" spans="1:8" x14ac:dyDescent="0.25">
      <c r="A409" s="43" t="s">
        <v>1838</v>
      </c>
      <c r="B409" s="111" t="s">
        <v>1808</v>
      </c>
      <c r="C409" s="14" t="s">
        <v>14</v>
      </c>
      <c r="D409" s="1001"/>
      <c r="E409" s="74">
        <v>0.03</v>
      </c>
      <c r="F409" s="129">
        <f t="shared" si="84"/>
        <v>0</v>
      </c>
      <c r="G409" s="130">
        <f t="shared" si="85"/>
        <v>0</v>
      </c>
      <c r="H409" s="131">
        <f t="shared" si="86"/>
        <v>0</v>
      </c>
    </row>
    <row r="410" spans="1:8" x14ac:dyDescent="0.25">
      <c r="A410" s="43" t="s">
        <v>1839</v>
      </c>
      <c r="B410" s="111" t="s">
        <v>1809</v>
      </c>
      <c r="C410" s="14" t="s">
        <v>14</v>
      </c>
      <c r="D410" s="1001"/>
      <c r="E410" s="74">
        <v>0.03</v>
      </c>
      <c r="F410" s="129">
        <f t="shared" si="84"/>
        <v>0</v>
      </c>
      <c r="G410" s="130">
        <f t="shared" si="85"/>
        <v>0</v>
      </c>
      <c r="H410" s="131">
        <f t="shared" si="86"/>
        <v>0</v>
      </c>
    </row>
    <row r="411" spans="1:8" x14ac:dyDescent="0.25">
      <c r="A411" s="44" t="s">
        <v>1760</v>
      </c>
      <c r="B411" s="80" t="s">
        <v>1783</v>
      </c>
      <c r="C411" s="14"/>
      <c r="D411" s="1001"/>
      <c r="E411" s="74"/>
      <c r="F411" s="75"/>
      <c r="G411" s="76"/>
      <c r="H411" s="77"/>
    </row>
    <row r="412" spans="1:8" x14ac:dyDescent="0.25">
      <c r="A412" s="43" t="s">
        <v>1761</v>
      </c>
      <c r="B412" s="111" t="s">
        <v>1816</v>
      </c>
      <c r="C412" s="14" t="s">
        <v>14</v>
      </c>
      <c r="D412" s="1001"/>
      <c r="E412" s="74">
        <v>0.03</v>
      </c>
      <c r="F412" s="129">
        <f t="shared" ref="F412:F432" si="87">+D412+D412*E412</f>
        <v>0</v>
      </c>
      <c r="G412" s="130">
        <f t="shared" ref="G412:G432" si="88">F412*0.19</f>
        <v>0</v>
      </c>
      <c r="H412" s="131">
        <f t="shared" ref="H412:H432" si="89">ROUND((F412+G412),0)</f>
        <v>0</v>
      </c>
    </row>
    <row r="413" spans="1:8" x14ac:dyDescent="0.25">
      <c r="A413" s="43" t="s">
        <v>1773</v>
      </c>
      <c r="B413" s="81" t="s">
        <v>1762</v>
      </c>
      <c r="C413" s="14" t="s">
        <v>14</v>
      </c>
      <c r="D413" s="1001"/>
      <c r="E413" s="74">
        <v>0.03</v>
      </c>
      <c r="F413" s="129">
        <f t="shared" si="87"/>
        <v>0</v>
      </c>
      <c r="G413" s="130">
        <f t="shared" si="88"/>
        <v>0</v>
      </c>
      <c r="H413" s="131">
        <f t="shared" si="89"/>
        <v>0</v>
      </c>
    </row>
    <row r="414" spans="1:8" x14ac:dyDescent="0.25">
      <c r="A414" s="43" t="s">
        <v>1774</v>
      </c>
      <c r="B414" s="81" t="s">
        <v>1763</v>
      </c>
      <c r="C414" s="14" t="s">
        <v>14</v>
      </c>
      <c r="D414" s="68">
        <v>9240.1424000000006</v>
      </c>
      <c r="E414" s="74">
        <v>0.03</v>
      </c>
      <c r="F414" s="129">
        <f t="shared" si="87"/>
        <v>9517.3466720000015</v>
      </c>
      <c r="G414" s="130">
        <f t="shared" si="88"/>
        <v>1808.2958676800004</v>
      </c>
      <c r="H414" s="131">
        <f t="shared" si="89"/>
        <v>11326</v>
      </c>
    </row>
    <row r="415" spans="1:8" x14ac:dyDescent="0.25">
      <c r="A415" s="43" t="s">
        <v>1775</v>
      </c>
      <c r="B415" s="81" t="s">
        <v>1764</v>
      </c>
      <c r="C415" s="14" t="s">
        <v>14</v>
      </c>
      <c r="D415" s="68">
        <v>12706.883599999999</v>
      </c>
      <c r="E415" s="74">
        <v>0.03</v>
      </c>
      <c r="F415" s="129">
        <f t="shared" si="87"/>
        <v>13088.090107999999</v>
      </c>
      <c r="G415" s="130">
        <f t="shared" si="88"/>
        <v>2486.7371205199997</v>
      </c>
      <c r="H415" s="131">
        <f t="shared" si="89"/>
        <v>15575</v>
      </c>
    </row>
    <row r="416" spans="1:8" x14ac:dyDescent="0.25">
      <c r="A416" s="43" t="s">
        <v>1776</v>
      </c>
      <c r="B416" s="81" t="s">
        <v>1765</v>
      </c>
      <c r="C416" s="14" t="s">
        <v>14</v>
      </c>
      <c r="D416" s="68">
        <v>18443.153200000001</v>
      </c>
      <c r="E416" s="74">
        <v>0.03</v>
      </c>
      <c r="F416" s="129">
        <f t="shared" si="87"/>
        <v>18996.447796</v>
      </c>
      <c r="G416" s="130">
        <f t="shared" si="88"/>
        <v>3609.3250812400001</v>
      </c>
      <c r="H416" s="131">
        <f t="shared" si="89"/>
        <v>22606</v>
      </c>
    </row>
    <row r="417" spans="1:8" x14ac:dyDescent="0.25">
      <c r="A417" s="43" t="s">
        <v>1777</v>
      </c>
      <c r="B417" s="81" t="s">
        <v>1766</v>
      </c>
      <c r="C417" s="14" t="s">
        <v>14</v>
      </c>
      <c r="D417" s="68">
        <v>26882.153200000001</v>
      </c>
      <c r="E417" s="74">
        <v>0.03</v>
      </c>
      <c r="F417" s="129">
        <f t="shared" si="87"/>
        <v>27688.617796000002</v>
      </c>
      <c r="G417" s="130">
        <f t="shared" si="88"/>
        <v>5260.8373812400005</v>
      </c>
      <c r="H417" s="131">
        <f t="shared" si="89"/>
        <v>32949</v>
      </c>
    </row>
    <row r="418" spans="1:8" x14ac:dyDescent="0.25">
      <c r="A418" s="43" t="s">
        <v>1778</v>
      </c>
      <c r="B418" s="111" t="s">
        <v>1814</v>
      </c>
      <c r="C418" s="14" t="s">
        <v>14</v>
      </c>
      <c r="D418" s="1001"/>
      <c r="E418" s="74">
        <v>0.03</v>
      </c>
      <c r="F418" s="129">
        <f t="shared" si="87"/>
        <v>0</v>
      </c>
      <c r="G418" s="130">
        <f t="shared" si="88"/>
        <v>0</v>
      </c>
      <c r="H418" s="131">
        <f t="shared" si="89"/>
        <v>0</v>
      </c>
    </row>
    <row r="419" spans="1:8" x14ac:dyDescent="0.25">
      <c r="A419" s="43" t="s">
        <v>1779</v>
      </c>
      <c r="B419" s="111" t="s">
        <v>1815</v>
      </c>
      <c r="C419" s="14" t="s">
        <v>14</v>
      </c>
      <c r="D419" s="1001"/>
      <c r="E419" s="74">
        <v>0.03</v>
      </c>
      <c r="F419" s="129">
        <f t="shared" si="87"/>
        <v>0</v>
      </c>
      <c r="G419" s="130">
        <f t="shared" si="88"/>
        <v>0</v>
      </c>
      <c r="H419" s="131">
        <f t="shared" si="89"/>
        <v>0</v>
      </c>
    </row>
    <row r="420" spans="1:8" x14ac:dyDescent="0.25">
      <c r="A420" s="43" t="s">
        <v>1780</v>
      </c>
      <c r="B420" s="81" t="s">
        <v>1767</v>
      </c>
      <c r="C420" s="14" t="s">
        <v>14</v>
      </c>
      <c r="D420" s="68">
        <v>56355.642</v>
      </c>
      <c r="E420" s="74">
        <v>0.03</v>
      </c>
      <c r="F420" s="129">
        <f t="shared" si="87"/>
        <v>58046.311260000002</v>
      </c>
      <c r="G420" s="130">
        <f t="shared" si="88"/>
        <v>11028.7991394</v>
      </c>
      <c r="H420" s="131">
        <f t="shared" si="89"/>
        <v>69075</v>
      </c>
    </row>
    <row r="421" spans="1:8" x14ac:dyDescent="0.25">
      <c r="A421" s="43" t="s">
        <v>1781</v>
      </c>
      <c r="B421" s="111" t="s">
        <v>1817</v>
      </c>
      <c r="C421" s="14" t="s">
        <v>14</v>
      </c>
      <c r="D421" s="1001"/>
      <c r="E421" s="74">
        <v>0.03</v>
      </c>
      <c r="F421" s="129">
        <f t="shared" si="87"/>
        <v>0</v>
      </c>
      <c r="G421" s="130">
        <f t="shared" si="88"/>
        <v>0</v>
      </c>
      <c r="H421" s="131">
        <f t="shared" si="89"/>
        <v>0</v>
      </c>
    </row>
    <row r="422" spans="1:8" x14ac:dyDescent="0.25">
      <c r="A422" s="43" t="s">
        <v>1782</v>
      </c>
      <c r="B422" s="81" t="s">
        <v>1768</v>
      </c>
      <c r="C422" s="14" t="s">
        <v>14</v>
      </c>
      <c r="D422" s="68">
        <v>87987.63946666666</v>
      </c>
      <c r="E422" s="74">
        <v>0.03</v>
      </c>
      <c r="F422" s="129">
        <f t="shared" si="87"/>
        <v>90627.268650666665</v>
      </c>
      <c r="G422" s="130">
        <f t="shared" si="88"/>
        <v>17219.181043626668</v>
      </c>
      <c r="H422" s="131">
        <f t="shared" si="89"/>
        <v>107846</v>
      </c>
    </row>
    <row r="423" spans="1:8" x14ac:dyDescent="0.25">
      <c r="A423" s="43" t="s">
        <v>1821</v>
      </c>
      <c r="B423" s="111" t="s">
        <v>1820</v>
      </c>
      <c r="C423" s="14" t="s">
        <v>14</v>
      </c>
      <c r="D423" s="1001"/>
      <c r="E423" s="74">
        <v>0.03</v>
      </c>
      <c r="F423" s="129">
        <f t="shared" si="87"/>
        <v>0</v>
      </c>
      <c r="G423" s="130">
        <f t="shared" si="88"/>
        <v>0</v>
      </c>
      <c r="H423" s="131">
        <f t="shared" si="89"/>
        <v>0</v>
      </c>
    </row>
    <row r="424" spans="1:8" x14ac:dyDescent="0.25">
      <c r="A424" s="43" t="s">
        <v>1822</v>
      </c>
      <c r="B424" s="81" t="s">
        <v>1769</v>
      </c>
      <c r="C424" s="14" t="s">
        <v>14</v>
      </c>
      <c r="D424" s="68">
        <v>142009.24160000001</v>
      </c>
      <c r="E424" s="74">
        <v>0.03</v>
      </c>
      <c r="F424" s="129">
        <f t="shared" si="87"/>
        <v>146269.51884800001</v>
      </c>
      <c r="G424" s="130">
        <f t="shared" si="88"/>
        <v>27791.208581120001</v>
      </c>
      <c r="H424" s="131">
        <f t="shared" si="89"/>
        <v>174061</v>
      </c>
    </row>
    <row r="425" spans="1:8" x14ac:dyDescent="0.25">
      <c r="A425" s="43" t="s">
        <v>1823</v>
      </c>
      <c r="B425" s="111" t="s">
        <v>1819</v>
      </c>
      <c r="C425" s="14" t="s">
        <v>14</v>
      </c>
      <c r="D425" s="1001"/>
      <c r="E425" s="74">
        <v>0.03</v>
      </c>
      <c r="F425" s="129">
        <f t="shared" si="87"/>
        <v>0</v>
      </c>
      <c r="G425" s="130">
        <f t="shared" si="88"/>
        <v>0</v>
      </c>
      <c r="H425" s="131">
        <f t="shared" si="89"/>
        <v>0</v>
      </c>
    </row>
    <row r="426" spans="1:8" x14ac:dyDescent="0.25">
      <c r="A426" s="43" t="s">
        <v>1824</v>
      </c>
      <c r="B426" s="81" t="s">
        <v>1770</v>
      </c>
      <c r="C426" s="14" t="s">
        <v>14</v>
      </c>
      <c r="D426" s="68">
        <v>227105.11706666669</v>
      </c>
      <c r="E426" s="74">
        <v>0.03</v>
      </c>
      <c r="F426" s="129">
        <f t="shared" si="87"/>
        <v>233918.27057866668</v>
      </c>
      <c r="G426" s="130">
        <f t="shared" si="88"/>
        <v>44444.471409946673</v>
      </c>
      <c r="H426" s="131">
        <f t="shared" si="89"/>
        <v>278363</v>
      </c>
    </row>
    <row r="427" spans="1:8" x14ac:dyDescent="0.25">
      <c r="A427" s="43" t="s">
        <v>1825</v>
      </c>
      <c r="B427" s="81" t="s">
        <v>1771</v>
      </c>
      <c r="C427" s="14" t="s">
        <v>14</v>
      </c>
      <c r="D427" s="68">
        <v>288778.64179999998</v>
      </c>
      <c r="E427" s="74">
        <v>0.03</v>
      </c>
      <c r="F427" s="129">
        <f t="shared" si="87"/>
        <v>297442.00105399999</v>
      </c>
      <c r="G427" s="130">
        <f t="shared" si="88"/>
        <v>56513.980200259997</v>
      </c>
      <c r="H427" s="131">
        <f t="shared" si="89"/>
        <v>353956</v>
      </c>
    </row>
    <row r="428" spans="1:8" x14ac:dyDescent="0.25">
      <c r="A428" s="43" t="s">
        <v>1826</v>
      </c>
      <c r="B428" s="81" t="s">
        <v>1772</v>
      </c>
      <c r="C428" s="14" t="s">
        <v>14</v>
      </c>
      <c r="D428" s="68">
        <v>365617.61213333334</v>
      </c>
      <c r="E428" s="74">
        <v>0.03</v>
      </c>
      <c r="F428" s="129">
        <f t="shared" si="87"/>
        <v>376586.14049733337</v>
      </c>
      <c r="G428" s="130">
        <f t="shared" si="88"/>
        <v>71551.366694493336</v>
      </c>
      <c r="H428" s="131">
        <f t="shared" si="89"/>
        <v>448138</v>
      </c>
    </row>
    <row r="429" spans="1:8" x14ac:dyDescent="0.25">
      <c r="A429" s="43" t="s">
        <v>1827</v>
      </c>
      <c r="B429" s="111" t="s">
        <v>1810</v>
      </c>
      <c r="C429" s="14" t="s">
        <v>14</v>
      </c>
      <c r="D429" s="1001"/>
      <c r="E429" s="74">
        <v>0.03</v>
      </c>
      <c r="F429" s="129">
        <f t="shared" si="87"/>
        <v>0</v>
      </c>
      <c r="G429" s="130">
        <f t="shared" si="88"/>
        <v>0</v>
      </c>
      <c r="H429" s="131">
        <f t="shared" si="89"/>
        <v>0</v>
      </c>
    </row>
    <row r="430" spans="1:8" x14ac:dyDescent="0.25">
      <c r="A430" s="43" t="s">
        <v>1828</v>
      </c>
      <c r="B430" s="111" t="s">
        <v>1811</v>
      </c>
      <c r="C430" s="14" t="s">
        <v>14</v>
      </c>
      <c r="D430" s="1001"/>
      <c r="E430" s="74">
        <v>0.03</v>
      </c>
      <c r="F430" s="129">
        <f t="shared" si="87"/>
        <v>0</v>
      </c>
      <c r="G430" s="130">
        <f t="shared" si="88"/>
        <v>0</v>
      </c>
      <c r="H430" s="131">
        <f t="shared" si="89"/>
        <v>0</v>
      </c>
    </row>
    <row r="431" spans="1:8" x14ac:dyDescent="0.25">
      <c r="A431" s="43" t="s">
        <v>1829</v>
      </c>
      <c r="B431" s="111" t="s">
        <v>1812</v>
      </c>
      <c r="C431" s="14" t="s">
        <v>14</v>
      </c>
      <c r="D431" s="1001"/>
      <c r="E431" s="74">
        <v>0.03</v>
      </c>
      <c r="F431" s="129">
        <f t="shared" si="87"/>
        <v>0</v>
      </c>
      <c r="G431" s="130">
        <f t="shared" si="88"/>
        <v>0</v>
      </c>
      <c r="H431" s="131">
        <f t="shared" si="89"/>
        <v>0</v>
      </c>
    </row>
    <row r="432" spans="1:8" x14ac:dyDescent="0.25">
      <c r="A432" s="43" t="s">
        <v>1830</v>
      </c>
      <c r="B432" s="111" t="s">
        <v>1813</v>
      </c>
      <c r="C432" s="14" t="s">
        <v>14</v>
      </c>
      <c r="D432" s="1001"/>
      <c r="E432" s="74">
        <v>0.03</v>
      </c>
      <c r="F432" s="129">
        <f t="shared" si="87"/>
        <v>0</v>
      </c>
      <c r="G432" s="130">
        <f t="shared" si="88"/>
        <v>0</v>
      </c>
      <c r="H432" s="131">
        <f t="shared" si="89"/>
        <v>0</v>
      </c>
    </row>
    <row r="433" spans="1:8" x14ac:dyDescent="0.25">
      <c r="A433" s="44" t="s">
        <v>1840</v>
      </c>
      <c r="B433" s="80" t="s">
        <v>1841</v>
      </c>
      <c r="C433" s="14"/>
      <c r="D433" s="1001"/>
      <c r="E433" s="74"/>
      <c r="F433" s="75"/>
      <c r="G433" s="76"/>
      <c r="H433" s="77"/>
    </row>
    <row r="434" spans="1:8" x14ac:dyDescent="0.25">
      <c r="A434" s="43" t="s">
        <v>1862</v>
      </c>
      <c r="B434" s="81" t="s">
        <v>1842</v>
      </c>
      <c r="C434" s="14" t="s">
        <v>14</v>
      </c>
      <c r="D434" s="1001"/>
      <c r="E434" s="74">
        <v>0.03</v>
      </c>
      <c r="F434" s="129">
        <f t="shared" ref="F434:F453" si="90">+D434+D434*E434</f>
        <v>0</v>
      </c>
      <c r="G434" s="130">
        <f t="shared" ref="G434:G453" si="91">F434*0.19</f>
        <v>0</v>
      </c>
      <c r="H434" s="131">
        <f t="shared" ref="H434:H453" si="92">ROUND((F434+G434),0)</f>
        <v>0</v>
      </c>
    </row>
    <row r="435" spans="1:8" x14ac:dyDescent="0.25">
      <c r="A435" s="43" t="s">
        <v>1863</v>
      </c>
      <c r="B435" s="81" t="s">
        <v>1843</v>
      </c>
      <c r="C435" s="14" t="s">
        <v>14</v>
      </c>
      <c r="D435" s="1001"/>
      <c r="E435" s="74">
        <v>0.03</v>
      </c>
      <c r="F435" s="129">
        <f t="shared" si="90"/>
        <v>0</v>
      </c>
      <c r="G435" s="130">
        <f t="shared" si="91"/>
        <v>0</v>
      </c>
      <c r="H435" s="131">
        <f t="shared" si="92"/>
        <v>0</v>
      </c>
    </row>
    <row r="436" spans="1:8" x14ac:dyDescent="0.25">
      <c r="A436" s="43" t="s">
        <v>1864</v>
      </c>
      <c r="B436" s="81" t="s">
        <v>1844</v>
      </c>
      <c r="C436" s="14" t="s">
        <v>14</v>
      </c>
      <c r="D436" s="1001"/>
      <c r="E436" s="74">
        <v>0.03</v>
      </c>
      <c r="F436" s="129">
        <f t="shared" si="90"/>
        <v>0</v>
      </c>
      <c r="G436" s="130">
        <f t="shared" si="91"/>
        <v>0</v>
      </c>
      <c r="H436" s="131">
        <f t="shared" si="92"/>
        <v>0</v>
      </c>
    </row>
    <row r="437" spans="1:8" x14ac:dyDescent="0.25">
      <c r="A437" s="43" t="s">
        <v>1865</v>
      </c>
      <c r="B437" s="81" t="s">
        <v>1845</v>
      </c>
      <c r="C437" s="14" t="s">
        <v>14</v>
      </c>
      <c r="D437" s="1001"/>
      <c r="E437" s="74">
        <v>0.03</v>
      </c>
      <c r="F437" s="129">
        <f t="shared" si="90"/>
        <v>0</v>
      </c>
      <c r="G437" s="130">
        <f t="shared" si="91"/>
        <v>0</v>
      </c>
      <c r="H437" s="131">
        <f t="shared" si="92"/>
        <v>0</v>
      </c>
    </row>
    <row r="438" spans="1:8" x14ac:dyDescent="0.25">
      <c r="A438" s="43" t="s">
        <v>1866</v>
      </c>
      <c r="B438" s="81" t="s">
        <v>1846</v>
      </c>
      <c r="C438" s="14" t="s">
        <v>14</v>
      </c>
      <c r="D438" s="1001"/>
      <c r="E438" s="74">
        <v>0.03</v>
      </c>
      <c r="F438" s="129">
        <f t="shared" si="90"/>
        <v>0</v>
      </c>
      <c r="G438" s="130">
        <f t="shared" si="91"/>
        <v>0</v>
      </c>
      <c r="H438" s="131">
        <f t="shared" si="92"/>
        <v>0</v>
      </c>
    </row>
    <row r="439" spans="1:8" x14ac:dyDescent="0.25">
      <c r="A439" s="43" t="s">
        <v>1867</v>
      </c>
      <c r="B439" s="111" t="s">
        <v>1847</v>
      </c>
      <c r="C439" s="14" t="s">
        <v>14</v>
      </c>
      <c r="D439" s="1001"/>
      <c r="E439" s="74">
        <v>0.03</v>
      </c>
      <c r="F439" s="129">
        <f t="shared" si="90"/>
        <v>0</v>
      </c>
      <c r="G439" s="130">
        <f t="shared" si="91"/>
        <v>0</v>
      </c>
      <c r="H439" s="131">
        <f t="shared" si="92"/>
        <v>0</v>
      </c>
    </row>
    <row r="440" spans="1:8" x14ac:dyDescent="0.25">
      <c r="A440" s="43" t="s">
        <v>1868</v>
      </c>
      <c r="B440" s="111" t="s">
        <v>1848</v>
      </c>
      <c r="C440" s="14" t="s">
        <v>14</v>
      </c>
      <c r="D440" s="1001"/>
      <c r="E440" s="74">
        <v>0.03</v>
      </c>
      <c r="F440" s="129">
        <f t="shared" si="90"/>
        <v>0</v>
      </c>
      <c r="G440" s="130">
        <f t="shared" si="91"/>
        <v>0</v>
      </c>
      <c r="H440" s="131">
        <f t="shared" si="92"/>
        <v>0</v>
      </c>
    </row>
    <row r="441" spans="1:8" x14ac:dyDescent="0.25">
      <c r="A441" s="43" t="s">
        <v>1869</v>
      </c>
      <c r="B441" s="81" t="s">
        <v>1849</v>
      </c>
      <c r="C441" s="14" t="s">
        <v>14</v>
      </c>
      <c r="D441" s="1001"/>
      <c r="E441" s="74">
        <v>0.03</v>
      </c>
      <c r="F441" s="129">
        <f t="shared" si="90"/>
        <v>0</v>
      </c>
      <c r="G441" s="130">
        <f t="shared" si="91"/>
        <v>0</v>
      </c>
      <c r="H441" s="131">
        <f t="shared" si="92"/>
        <v>0</v>
      </c>
    </row>
    <row r="442" spans="1:8" x14ac:dyDescent="0.25">
      <c r="A442" s="43" t="s">
        <v>1870</v>
      </c>
      <c r="B442" s="111" t="s">
        <v>1850</v>
      </c>
      <c r="C442" s="14" t="s">
        <v>14</v>
      </c>
      <c r="D442" s="1001"/>
      <c r="E442" s="74">
        <v>0.03</v>
      </c>
      <c r="F442" s="129">
        <f t="shared" si="90"/>
        <v>0</v>
      </c>
      <c r="G442" s="130">
        <f t="shared" si="91"/>
        <v>0</v>
      </c>
      <c r="H442" s="131">
        <f t="shared" si="92"/>
        <v>0</v>
      </c>
    </row>
    <row r="443" spans="1:8" x14ac:dyDescent="0.25">
      <c r="A443" s="43" t="s">
        <v>1871</v>
      </c>
      <c r="B443" s="81" t="s">
        <v>1851</v>
      </c>
      <c r="C443" s="14" t="s">
        <v>14</v>
      </c>
      <c r="D443" s="1001"/>
      <c r="E443" s="74">
        <v>0.03</v>
      </c>
      <c r="F443" s="129">
        <f t="shared" si="90"/>
        <v>0</v>
      </c>
      <c r="G443" s="130">
        <f t="shared" si="91"/>
        <v>0</v>
      </c>
      <c r="H443" s="131">
        <f t="shared" si="92"/>
        <v>0</v>
      </c>
    </row>
    <row r="444" spans="1:8" x14ac:dyDescent="0.25">
      <c r="A444" s="43" t="s">
        <v>1872</v>
      </c>
      <c r="B444" s="111" t="s">
        <v>1852</v>
      </c>
      <c r="C444" s="14" t="s">
        <v>14</v>
      </c>
      <c r="D444" s="1001"/>
      <c r="E444" s="74">
        <v>0.03</v>
      </c>
      <c r="F444" s="129">
        <f t="shared" si="90"/>
        <v>0</v>
      </c>
      <c r="G444" s="130">
        <f t="shared" si="91"/>
        <v>0</v>
      </c>
      <c r="H444" s="131">
        <f t="shared" si="92"/>
        <v>0</v>
      </c>
    </row>
    <row r="445" spans="1:8" x14ac:dyDescent="0.25">
      <c r="A445" s="43" t="s">
        <v>1873</v>
      </c>
      <c r="B445" s="81" t="s">
        <v>1853</v>
      </c>
      <c r="C445" s="14" t="s">
        <v>14</v>
      </c>
      <c r="D445" s="1001"/>
      <c r="E445" s="74">
        <v>0.03</v>
      </c>
      <c r="F445" s="129">
        <f t="shared" si="90"/>
        <v>0</v>
      </c>
      <c r="G445" s="130">
        <f t="shared" si="91"/>
        <v>0</v>
      </c>
      <c r="H445" s="131">
        <f t="shared" si="92"/>
        <v>0</v>
      </c>
    </row>
    <row r="446" spans="1:8" x14ac:dyDescent="0.25">
      <c r="A446" s="43" t="s">
        <v>1874</v>
      </c>
      <c r="B446" s="111" t="s">
        <v>1854</v>
      </c>
      <c r="C446" s="14" t="s">
        <v>14</v>
      </c>
      <c r="D446" s="1001"/>
      <c r="E446" s="74">
        <v>0.03</v>
      </c>
      <c r="F446" s="129">
        <f t="shared" si="90"/>
        <v>0</v>
      </c>
      <c r="G446" s="130">
        <f t="shared" si="91"/>
        <v>0</v>
      </c>
      <c r="H446" s="131">
        <f t="shared" si="92"/>
        <v>0</v>
      </c>
    </row>
    <row r="447" spans="1:8" x14ac:dyDescent="0.25">
      <c r="A447" s="43" t="s">
        <v>1875</v>
      </c>
      <c r="B447" s="81" t="s">
        <v>1855</v>
      </c>
      <c r="C447" s="14" t="s">
        <v>14</v>
      </c>
      <c r="D447" s="1001"/>
      <c r="E447" s="74">
        <v>0.03</v>
      </c>
      <c r="F447" s="129">
        <f t="shared" si="90"/>
        <v>0</v>
      </c>
      <c r="G447" s="130">
        <f t="shared" si="91"/>
        <v>0</v>
      </c>
      <c r="H447" s="131">
        <f t="shared" si="92"/>
        <v>0</v>
      </c>
    </row>
    <row r="448" spans="1:8" x14ac:dyDescent="0.25">
      <c r="A448" s="43" t="s">
        <v>1876</v>
      </c>
      <c r="B448" s="81" t="s">
        <v>1856</v>
      </c>
      <c r="C448" s="14" t="s">
        <v>14</v>
      </c>
      <c r="D448" s="1001"/>
      <c r="E448" s="74">
        <v>0.03</v>
      </c>
      <c r="F448" s="129">
        <f t="shared" si="90"/>
        <v>0</v>
      </c>
      <c r="G448" s="130">
        <f t="shared" si="91"/>
        <v>0</v>
      </c>
      <c r="H448" s="131">
        <f t="shared" si="92"/>
        <v>0</v>
      </c>
    </row>
    <row r="449" spans="1:8" x14ac:dyDescent="0.25">
      <c r="A449" s="43" t="s">
        <v>1877</v>
      </c>
      <c r="B449" s="81" t="s">
        <v>1857</v>
      </c>
      <c r="C449" s="14" t="s">
        <v>14</v>
      </c>
      <c r="D449" s="1001"/>
      <c r="E449" s="74">
        <v>0.03</v>
      </c>
      <c r="F449" s="129">
        <f t="shared" si="90"/>
        <v>0</v>
      </c>
      <c r="G449" s="130">
        <f t="shared" si="91"/>
        <v>0</v>
      </c>
      <c r="H449" s="131">
        <f t="shared" si="92"/>
        <v>0</v>
      </c>
    </row>
    <row r="450" spans="1:8" x14ac:dyDescent="0.25">
      <c r="A450" s="43" t="s">
        <v>1878</v>
      </c>
      <c r="B450" s="111" t="s">
        <v>1858</v>
      </c>
      <c r="C450" s="14" t="s">
        <v>14</v>
      </c>
      <c r="D450" s="1001"/>
      <c r="E450" s="74">
        <v>0.03</v>
      </c>
      <c r="F450" s="129">
        <f t="shared" si="90"/>
        <v>0</v>
      </c>
      <c r="G450" s="130">
        <f t="shared" si="91"/>
        <v>0</v>
      </c>
      <c r="H450" s="131">
        <f t="shared" si="92"/>
        <v>0</v>
      </c>
    </row>
    <row r="451" spans="1:8" x14ac:dyDescent="0.25">
      <c r="A451" s="43" t="s">
        <v>1879</v>
      </c>
      <c r="B451" s="111" t="s">
        <v>1859</v>
      </c>
      <c r="C451" s="14" t="s">
        <v>14</v>
      </c>
      <c r="D451" s="1001"/>
      <c r="E451" s="74">
        <v>0.03</v>
      </c>
      <c r="F451" s="129">
        <f t="shared" si="90"/>
        <v>0</v>
      </c>
      <c r="G451" s="130">
        <f t="shared" si="91"/>
        <v>0</v>
      </c>
      <c r="H451" s="131">
        <f t="shared" si="92"/>
        <v>0</v>
      </c>
    </row>
    <row r="452" spans="1:8" x14ac:dyDescent="0.25">
      <c r="A452" s="43" t="s">
        <v>1880</v>
      </c>
      <c r="B452" s="111" t="s">
        <v>1860</v>
      </c>
      <c r="C452" s="14" t="s">
        <v>14</v>
      </c>
      <c r="D452" s="1001"/>
      <c r="E452" s="74">
        <v>0.03</v>
      </c>
      <c r="F452" s="129">
        <f t="shared" si="90"/>
        <v>0</v>
      </c>
      <c r="G452" s="130">
        <f t="shared" si="91"/>
        <v>0</v>
      </c>
      <c r="H452" s="131">
        <f t="shared" si="92"/>
        <v>0</v>
      </c>
    </row>
    <row r="453" spans="1:8" x14ac:dyDescent="0.25">
      <c r="A453" s="43" t="s">
        <v>1881</v>
      </c>
      <c r="B453" s="111" t="s">
        <v>1861</v>
      </c>
      <c r="C453" s="14" t="s">
        <v>14</v>
      </c>
      <c r="D453" s="1001"/>
      <c r="E453" s="74">
        <v>0.03</v>
      </c>
      <c r="F453" s="129">
        <f t="shared" si="90"/>
        <v>0</v>
      </c>
      <c r="G453" s="130">
        <f t="shared" si="91"/>
        <v>0</v>
      </c>
      <c r="H453" s="131">
        <f t="shared" si="92"/>
        <v>0</v>
      </c>
    </row>
    <row r="454" spans="1:8" x14ac:dyDescent="0.25">
      <c r="A454" s="44" t="s">
        <v>1882</v>
      </c>
      <c r="B454" s="80" t="s">
        <v>1884</v>
      </c>
      <c r="C454" s="14"/>
      <c r="D454" s="1001"/>
      <c r="E454" s="74"/>
      <c r="F454" s="75"/>
      <c r="G454" s="76"/>
      <c r="H454" s="77"/>
    </row>
    <row r="455" spans="1:8" x14ac:dyDescent="0.25">
      <c r="A455" s="43" t="s">
        <v>1883</v>
      </c>
      <c r="B455" s="81" t="s">
        <v>1885</v>
      </c>
      <c r="C455" s="14" t="s">
        <v>14</v>
      </c>
      <c r="D455" s="1001"/>
      <c r="E455" s="74">
        <v>0.03</v>
      </c>
      <c r="F455" s="129">
        <f t="shared" ref="F455:F474" si="93">+D455+D455*E455</f>
        <v>0</v>
      </c>
      <c r="G455" s="130">
        <f t="shared" ref="G455:G474" si="94">F455*0.19</f>
        <v>0</v>
      </c>
      <c r="H455" s="131">
        <f t="shared" ref="H455:H474" si="95">ROUND((F455+G455),0)</f>
        <v>0</v>
      </c>
    </row>
    <row r="456" spans="1:8" x14ac:dyDescent="0.25">
      <c r="A456" s="43" t="s">
        <v>1905</v>
      </c>
      <c r="B456" s="81" t="s">
        <v>1886</v>
      </c>
      <c r="C456" s="14" t="s">
        <v>14</v>
      </c>
      <c r="D456" s="1001"/>
      <c r="E456" s="74">
        <v>0.03</v>
      </c>
      <c r="F456" s="129">
        <f t="shared" si="93"/>
        <v>0</v>
      </c>
      <c r="G456" s="130">
        <f t="shared" si="94"/>
        <v>0</v>
      </c>
      <c r="H456" s="131">
        <f t="shared" si="95"/>
        <v>0</v>
      </c>
    </row>
    <row r="457" spans="1:8" x14ac:dyDescent="0.25">
      <c r="A457" s="43" t="s">
        <v>1906</v>
      </c>
      <c r="B457" s="81" t="s">
        <v>1887</v>
      </c>
      <c r="C457" s="14" t="s">
        <v>14</v>
      </c>
      <c r="D457" s="1001"/>
      <c r="E457" s="74">
        <v>0.03</v>
      </c>
      <c r="F457" s="129">
        <f t="shared" si="93"/>
        <v>0</v>
      </c>
      <c r="G457" s="130">
        <f t="shared" si="94"/>
        <v>0</v>
      </c>
      <c r="H457" s="131">
        <f t="shared" si="95"/>
        <v>0</v>
      </c>
    </row>
    <row r="458" spans="1:8" x14ac:dyDescent="0.25">
      <c r="A458" s="43" t="s">
        <v>1907</v>
      </c>
      <c r="B458" s="81" t="s">
        <v>1888</v>
      </c>
      <c r="C458" s="14" t="s">
        <v>14</v>
      </c>
      <c r="D458" s="1001"/>
      <c r="E458" s="74">
        <v>0.03</v>
      </c>
      <c r="F458" s="129">
        <f t="shared" si="93"/>
        <v>0</v>
      </c>
      <c r="G458" s="130">
        <f t="shared" si="94"/>
        <v>0</v>
      </c>
      <c r="H458" s="131">
        <f t="shared" si="95"/>
        <v>0</v>
      </c>
    </row>
    <row r="459" spans="1:8" x14ac:dyDescent="0.25">
      <c r="A459" s="43" t="s">
        <v>1908</v>
      </c>
      <c r="B459" s="81" t="s">
        <v>1889</v>
      </c>
      <c r="C459" s="14" t="s">
        <v>14</v>
      </c>
      <c r="D459" s="1001"/>
      <c r="E459" s="74">
        <v>0.03</v>
      </c>
      <c r="F459" s="129">
        <f t="shared" si="93"/>
        <v>0</v>
      </c>
      <c r="G459" s="130">
        <f t="shared" si="94"/>
        <v>0</v>
      </c>
      <c r="H459" s="131">
        <f t="shared" si="95"/>
        <v>0</v>
      </c>
    </row>
    <row r="460" spans="1:8" x14ac:dyDescent="0.25">
      <c r="A460" s="43" t="s">
        <v>1909</v>
      </c>
      <c r="B460" s="111" t="s">
        <v>1890</v>
      </c>
      <c r="C460" s="14" t="s">
        <v>14</v>
      </c>
      <c r="D460" s="1001"/>
      <c r="E460" s="74">
        <v>0.03</v>
      </c>
      <c r="F460" s="129">
        <f t="shared" si="93"/>
        <v>0</v>
      </c>
      <c r="G460" s="130">
        <f t="shared" si="94"/>
        <v>0</v>
      </c>
      <c r="H460" s="131">
        <f t="shared" si="95"/>
        <v>0</v>
      </c>
    </row>
    <row r="461" spans="1:8" x14ac:dyDescent="0.25">
      <c r="A461" s="43" t="s">
        <v>1910</v>
      </c>
      <c r="B461" s="111" t="s">
        <v>1891</v>
      </c>
      <c r="C461" s="14" t="s">
        <v>14</v>
      </c>
      <c r="D461" s="1001"/>
      <c r="E461" s="74">
        <v>0.03</v>
      </c>
      <c r="F461" s="129">
        <f t="shared" si="93"/>
        <v>0</v>
      </c>
      <c r="G461" s="130">
        <f t="shared" si="94"/>
        <v>0</v>
      </c>
      <c r="H461" s="131">
        <f t="shared" si="95"/>
        <v>0</v>
      </c>
    </row>
    <row r="462" spans="1:8" x14ac:dyDescent="0.25">
      <c r="A462" s="43" t="s">
        <v>1911</v>
      </c>
      <c r="B462" s="81" t="s">
        <v>1892</v>
      </c>
      <c r="C462" s="14" t="s">
        <v>14</v>
      </c>
      <c r="D462" s="1001"/>
      <c r="E462" s="74">
        <v>0.03</v>
      </c>
      <c r="F462" s="129">
        <f t="shared" si="93"/>
        <v>0</v>
      </c>
      <c r="G462" s="130">
        <f t="shared" si="94"/>
        <v>0</v>
      </c>
      <c r="H462" s="131">
        <f t="shared" si="95"/>
        <v>0</v>
      </c>
    </row>
    <row r="463" spans="1:8" x14ac:dyDescent="0.25">
      <c r="A463" s="43" t="s">
        <v>1912</v>
      </c>
      <c r="B463" s="111" t="s">
        <v>1893</v>
      </c>
      <c r="C463" s="14" t="s">
        <v>14</v>
      </c>
      <c r="D463" s="1001"/>
      <c r="E463" s="74">
        <v>0.03</v>
      </c>
      <c r="F463" s="129">
        <f t="shared" si="93"/>
        <v>0</v>
      </c>
      <c r="G463" s="130">
        <f t="shared" si="94"/>
        <v>0</v>
      </c>
      <c r="H463" s="131">
        <f t="shared" si="95"/>
        <v>0</v>
      </c>
    </row>
    <row r="464" spans="1:8" x14ac:dyDescent="0.25">
      <c r="A464" s="43" t="s">
        <v>1913</v>
      </c>
      <c r="B464" s="81" t="s">
        <v>1894</v>
      </c>
      <c r="C464" s="14" t="s">
        <v>14</v>
      </c>
      <c r="D464" s="1001"/>
      <c r="E464" s="74">
        <v>0.03</v>
      </c>
      <c r="F464" s="129">
        <f t="shared" si="93"/>
        <v>0</v>
      </c>
      <c r="G464" s="130">
        <f t="shared" si="94"/>
        <v>0</v>
      </c>
      <c r="H464" s="131">
        <f t="shared" si="95"/>
        <v>0</v>
      </c>
    </row>
    <row r="465" spans="1:8" x14ac:dyDescent="0.25">
      <c r="A465" s="43" t="s">
        <v>1914</v>
      </c>
      <c r="B465" s="111" t="s">
        <v>1895</v>
      </c>
      <c r="C465" s="14" t="s">
        <v>14</v>
      </c>
      <c r="D465" s="1001"/>
      <c r="E465" s="74">
        <v>0.03</v>
      </c>
      <c r="F465" s="129">
        <f t="shared" si="93"/>
        <v>0</v>
      </c>
      <c r="G465" s="130">
        <f t="shared" si="94"/>
        <v>0</v>
      </c>
      <c r="H465" s="131">
        <f t="shared" si="95"/>
        <v>0</v>
      </c>
    </row>
    <row r="466" spans="1:8" x14ac:dyDescent="0.25">
      <c r="A466" s="43" t="s">
        <v>1915</v>
      </c>
      <c r="B466" s="81" t="s">
        <v>1896</v>
      </c>
      <c r="C466" s="14" t="s">
        <v>14</v>
      </c>
      <c r="D466" s="1001"/>
      <c r="E466" s="74">
        <v>0.03</v>
      </c>
      <c r="F466" s="129">
        <f t="shared" si="93"/>
        <v>0</v>
      </c>
      <c r="G466" s="130">
        <f t="shared" si="94"/>
        <v>0</v>
      </c>
      <c r="H466" s="131">
        <f t="shared" si="95"/>
        <v>0</v>
      </c>
    </row>
    <row r="467" spans="1:8" x14ac:dyDescent="0.25">
      <c r="A467" s="43" t="s">
        <v>1916</v>
      </c>
      <c r="B467" s="111" t="s">
        <v>1897</v>
      </c>
      <c r="C467" s="14" t="s">
        <v>14</v>
      </c>
      <c r="D467" s="1001"/>
      <c r="E467" s="74">
        <v>0.03</v>
      </c>
      <c r="F467" s="129">
        <f t="shared" si="93"/>
        <v>0</v>
      </c>
      <c r="G467" s="130">
        <f t="shared" si="94"/>
        <v>0</v>
      </c>
      <c r="H467" s="131">
        <f t="shared" si="95"/>
        <v>0</v>
      </c>
    </row>
    <row r="468" spans="1:8" x14ac:dyDescent="0.25">
      <c r="A468" s="43" t="s">
        <v>1917</v>
      </c>
      <c r="B468" s="81" t="s">
        <v>1898</v>
      </c>
      <c r="C468" s="14" t="s">
        <v>14</v>
      </c>
      <c r="D468" s="1001"/>
      <c r="E468" s="74">
        <v>0.03</v>
      </c>
      <c r="F468" s="129">
        <f t="shared" si="93"/>
        <v>0</v>
      </c>
      <c r="G468" s="130">
        <f t="shared" si="94"/>
        <v>0</v>
      </c>
      <c r="H468" s="131">
        <f t="shared" si="95"/>
        <v>0</v>
      </c>
    </row>
    <row r="469" spans="1:8" x14ac:dyDescent="0.25">
      <c r="A469" s="43" t="s">
        <v>1918</v>
      </c>
      <c r="B469" s="81" t="s">
        <v>1899</v>
      </c>
      <c r="C469" s="14" t="s">
        <v>14</v>
      </c>
      <c r="D469" s="1001"/>
      <c r="E469" s="74">
        <v>0.03</v>
      </c>
      <c r="F469" s="129">
        <f t="shared" si="93"/>
        <v>0</v>
      </c>
      <c r="G469" s="130">
        <f t="shared" si="94"/>
        <v>0</v>
      </c>
      <c r="H469" s="131">
        <f t="shared" si="95"/>
        <v>0</v>
      </c>
    </row>
    <row r="470" spans="1:8" x14ac:dyDescent="0.25">
      <c r="A470" s="43" t="s">
        <v>1919</v>
      </c>
      <c r="B470" s="81" t="s">
        <v>1900</v>
      </c>
      <c r="C470" s="14" t="s">
        <v>14</v>
      </c>
      <c r="D470" s="1001"/>
      <c r="E470" s="74">
        <v>0.03</v>
      </c>
      <c r="F470" s="129">
        <f t="shared" si="93"/>
        <v>0</v>
      </c>
      <c r="G470" s="130">
        <f t="shared" si="94"/>
        <v>0</v>
      </c>
      <c r="H470" s="131">
        <f t="shared" si="95"/>
        <v>0</v>
      </c>
    </row>
    <row r="471" spans="1:8" x14ac:dyDescent="0.25">
      <c r="A471" s="43" t="s">
        <v>1920</v>
      </c>
      <c r="B471" s="111" t="s">
        <v>1901</v>
      </c>
      <c r="C471" s="14" t="s">
        <v>14</v>
      </c>
      <c r="D471" s="1001"/>
      <c r="E471" s="74">
        <v>0.03</v>
      </c>
      <c r="F471" s="129">
        <f t="shared" si="93"/>
        <v>0</v>
      </c>
      <c r="G471" s="130">
        <f t="shared" si="94"/>
        <v>0</v>
      </c>
      <c r="H471" s="131">
        <f t="shared" si="95"/>
        <v>0</v>
      </c>
    </row>
    <row r="472" spans="1:8" x14ac:dyDescent="0.25">
      <c r="A472" s="43" t="s">
        <v>1921</v>
      </c>
      <c r="B472" s="111" t="s">
        <v>1902</v>
      </c>
      <c r="C472" s="14" t="s">
        <v>14</v>
      </c>
      <c r="D472" s="1001"/>
      <c r="E472" s="74">
        <v>0.03</v>
      </c>
      <c r="F472" s="129">
        <f t="shared" si="93"/>
        <v>0</v>
      </c>
      <c r="G472" s="130">
        <f t="shared" si="94"/>
        <v>0</v>
      </c>
      <c r="H472" s="131">
        <f t="shared" si="95"/>
        <v>0</v>
      </c>
    </row>
    <row r="473" spans="1:8" x14ac:dyDescent="0.25">
      <c r="A473" s="43" t="s">
        <v>1922</v>
      </c>
      <c r="B473" s="111" t="s">
        <v>1903</v>
      </c>
      <c r="C473" s="14" t="s">
        <v>14</v>
      </c>
      <c r="D473" s="1001"/>
      <c r="E473" s="74">
        <v>0.03</v>
      </c>
      <c r="F473" s="129">
        <f t="shared" si="93"/>
        <v>0</v>
      </c>
      <c r="G473" s="130">
        <f t="shared" si="94"/>
        <v>0</v>
      </c>
      <c r="H473" s="131">
        <f t="shared" si="95"/>
        <v>0</v>
      </c>
    </row>
    <row r="474" spans="1:8" x14ac:dyDescent="0.25">
      <c r="A474" s="43" t="s">
        <v>1923</v>
      </c>
      <c r="B474" s="111" t="s">
        <v>1904</v>
      </c>
      <c r="C474" s="14" t="s">
        <v>14</v>
      </c>
      <c r="D474" s="1001"/>
      <c r="E474" s="74">
        <v>0.03</v>
      </c>
      <c r="F474" s="129">
        <f t="shared" si="93"/>
        <v>0</v>
      </c>
      <c r="G474" s="130">
        <f t="shared" si="94"/>
        <v>0</v>
      </c>
      <c r="H474" s="131">
        <f t="shared" si="95"/>
        <v>0</v>
      </c>
    </row>
    <row r="475" spans="1:8" x14ac:dyDescent="0.25">
      <c r="A475" s="61" t="s">
        <v>1943</v>
      </c>
      <c r="B475" s="62" t="s">
        <v>953</v>
      </c>
      <c r="C475" s="63"/>
      <c r="D475" s="1003"/>
      <c r="E475" s="63"/>
      <c r="F475" s="63"/>
      <c r="G475" s="63"/>
      <c r="H475" s="82"/>
    </row>
    <row r="476" spans="1:8" x14ac:dyDescent="0.25">
      <c r="A476" s="78" t="s">
        <v>1944</v>
      </c>
      <c r="B476" s="79" t="s">
        <v>1945</v>
      </c>
      <c r="C476" s="26"/>
      <c r="D476" s="999"/>
      <c r="E476" s="26"/>
      <c r="F476" s="26"/>
      <c r="G476" s="26"/>
      <c r="H476" s="92"/>
    </row>
    <row r="477" spans="1:8" x14ac:dyDescent="0.25">
      <c r="A477" s="78" t="s">
        <v>1948</v>
      </c>
      <c r="B477" s="79" t="s">
        <v>1947</v>
      </c>
      <c r="C477" s="26"/>
      <c r="D477" s="999"/>
      <c r="E477" s="26"/>
      <c r="F477" s="26"/>
      <c r="G477" s="26"/>
      <c r="H477" s="92"/>
    </row>
    <row r="478" spans="1:8" x14ac:dyDescent="0.25">
      <c r="A478" s="85" t="s">
        <v>1949</v>
      </c>
      <c r="B478" s="88" t="s">
        <v>1950</v>
      </c>
      <c r="C478" s="26" t="s">
        <v>37</v>
      </c>
      <c r="D478" s="999"/>
      <c r="E478" s="74">
        <v>0.03</v>
      </c>
      <c r="F478" s="129">
        <f t="shared" ref="F478:F492" si="96">+D478+D478*E478</f>
        <v>0</v>
      </c>
      <c r="G478" s="130">
        <f t="shared" ref="G478:G492" si="97">F478*0.19</f>
        <v>0</v>
      </c>
      <c r="H478" s="131">
        <f t="shared" ref="H478:H492" si="98">ROUND((F478+G478),0)</f>
        <v>0</v>
      </c>
    </row>
    <row r="479" spans="1:8" x14ac:dyDescent="0.25">
      <c r="A479" s="85" t="s">
        <v>1966</v>
      </c>
      <c r="B479" s="88" t="s">
        <v>1964</v>
      </c>
      <c r="C479" s="26" t="s">
        <v>37</v>
      </c>
      <c r="D479" s="999"/>
      <c r="E479" s="74">
        <v>0.03</v>
      </c>
      <c r="F479" s="129">
        <f t="shared" si="96"/>
        <v>0</v>
      </c>
      <c r="G479" s="130">
        <f t="shared" si="97"/>
        <v>0</v>
      </c>
      <c r="H479" s="131">
        <f t="shared" si="98"/>
        <v>0</v>
      </c>
    </row>
    <row r="480" spans="1:8" x14ac:dyDescent="0.25">
      <c r="A480" s="85" t="s">
        <v>1967</v>
      </c>
      <c r="B480" s="88" t="s">
        <v>1951</v>
      </c>
      <c r="C480" s="26" t="s">
        <v>37</v>
      </c>
      <c r="D480" s="999"/>
      <c r="E480" s="74">
        <v>0.03</v>
      </c>
      <c r="F480" s="129">
        <f t="shared" si="96"/>
        <v>0</v>
      </c>
      <c r="G480" s="130">
        <f t="shared" si="97"/>
        <v>0</v>
      </c>
      <c r="H480" s="131">
        <f t="shared" si="98"/>
        <v>0</v>
      </c>
    </row>
    <row r="481" spans="1:8" x14ac:dyDescent="0.25">
      <c r="A481" s="85" t="s">
        <v>1968</v>
      </c>
      <c r="B481" s="88" t="s">
        <v>1952</v>
      </c>
      <c r="C481" s="26" t="s">
        <v>37</v>
      </c>
      <c r="D481" s="999"/>
      <c r="E481" s="74">
        <v>0.03</v>
      </c>
      <c r="F481" s="129">
        <f t="shared" si="96"/>
        <v>0</v>
      </c>
      <c r="G481" s="130">
        <f t="shared" si="97"/>
        <v>0</v>
      </c>
      <c r="H481" s="131">
        <f t="shared" si="98"/>
        <v>0</v>
      </c>
    </row>
    <row r="482" spans="1:8" x14ac:dyDescent="0.25">
      <c r="A482" s="85" t="s">
        <v>1969</v>
      </c>
      <c r="B482" s="113" t="s">
        <v>1953</v>
      </c>
      <c r="C482" s="26" t="s">
        <v>37</v>
      </c>
      <c r="D482" s="999"/>
      <c r="E482" s="74">
        <v>0.03</v>
      </c>
      <c r="F482" s="129">
        <f t="shared" si="96"/>
        <v>0</v>
      </c>
      <c r="G482" s="130">
        <f t="shared" si="97"/>
        <v>0</v>
      </c>
      <c r="H482" s="131">
        <f t="shared" si="98"/>
        <v>0</v>
      </c>
    </row>
    <row r="483" spans="1:8" x14ac:dyDescent="0.25">
      <c r="A483" s="85" t="s">
        <v>1970</v>
      </c>
      <c r="B483" s="113" t="s">
        <v>1955</v>
      </c>
      <c r="C483" s="26" t="s">
        <v>37</v>
      </c>
      <c r="D483" s="999"/>
      <c r="E483" s="74">
        <v>0.03</v>
      </c>
      <c r="F483" s="129">
        <f t="shared" si="96"/>
        <v>0</v>
      </c>
      <c r="G483" s="130">
        <f t="shared" si="97"/>
        <v>0</v>
      </c>
      <c r="H483" s="131">
        <f t="shared" si="98"/>
        <v>0</v>
      </c>
    </row>
    <row r="484" spans="1:8" x14ac:dyDescent="0.25">
      <c r="A484" s="85" t="s">
        <v>1971</v>
      </c>
      <c r="B484" s="88" t="s">
        <v>1954</v>
      </c>
      <c r="C484" s="26" t="s">
        <v>37</v>
      </c>
      <c r="D484" s="999"/>
      <c r="E484" s="74">
        <v>0.03</v>
      </c>
      <c r="F484" s="129">
        <f t="shared" si="96"/>
        <v>0</v>
      </c>
      <c r="G484" s="130">
        <f t="shared" si="97"/>
        <v>0</v>
      </c>
      <c r="H484" s="131">
        <f t="shared" si="98"/>
        <v>0</v>
      </c>
    </row>
    <row r="485" spans="1:8" x14ac:dyDescent="0.25">
      <c r="A485" s="85" t="s">
        <v>1972</v>
      </c>
      <c r="B485" s="113" t="s">
        <v>1956</v>
      </c>
      <c r="C485" s="26" t="s">
        <v>37</v>
      </c>
      <c r="D485" s="999"/>
      <c r="E485" s="74">
        <v>0.03</v>
      </c>
      <c r="F485" s="129">
        <f t="shared" si="96"/>
        <v>0</v>
      </c>
      <c r="G485" s="130">
        <f t="shared" si="97"/>
        <v>0</v>
      </c>
      <c r="H485" s="131">
        <f t="shared" si="98"/>
        <v>0</v>
      </c>
    </row>
    <row r="486" spans="1:8" x14ac:dyDescent="0.25">
      <c r="A486" s="85" t="s">
        <v>1973</v>
      </c>
      <c r="B486" s="88" t="s">
        <v>1957</v>
      </c>
      <c r="C486" s="26" t="s">
        <v>37</v>
      </c>
      <c r="D486" s="999"/>
      <c r="E486" s="74">
        <v>0.03</v>
      </c>
      <c r="F486" s="129">
        <f t="shared" si="96"/>
        <v>0</v>
      </c>
      <c r="G486" s="130">
        <f t="shared" si="97"/>
        <v>0</v>
      </c>
      <c r="H486" s="131">
        <f t="shared" si="98"/>
        <v>0</v>
      </c>
    </row>
    <row r="487" spans="1:8" x14ac:dyDescent="0.25">
      <c r="A487" s="85" t="s">
        <v>1974</v>
      </c>
      <c r="B487" s="113" t="s">
        <v>1958</v>
      </c>
      <c r="C487" s="26" t="s">
        <v>37</v>
      </c>
      <c r="D487" s="999"/>
      <c r="E487" s="74">
        <v>0.03</v>
      </c>
      <c r="F487" s="129">
        <f t="shared" si="96"/>
        <v>0</v>
      </c>
      <c r="G487" s="130">
        <f t="shared" si="97"/>
        <v>0</v>
      </c>
      <c r="H487" s="131">
        <f t="shared" si="98"/>
        <v>0</v>
      </c>
    </row>
    <row r="488" spans="1:8" x14ac:dyDescent="0.25">
      <c r="A488" s="85" t="s">
        <v>1975</v>
      </c>
      <c r="B488" s="88" t="s">
        <v>1959</v>
      </c>
      <c r="C488" s="26" t="s">
        <v>37</v>
      </c>
      <c r="D488" s="999"/>
      <c r="E488" s="74">
        <v>0.03</v>
      </c>
      <c r="F488" s="129">
        <f t="shared" si="96"/>
        <v>0</v>
      </c>
      <c r="G488" s="130">
        <f t="shared" si="97"/>
        <v>0</v>
      </c>
      <c r="H488" s="131">
        <f t="shared" si="98"/>
        <v>0</v>
      </c>
    </row>
    <row r="489" spans="1:8" x14ac:dyDescent="0.25">
      <c r="A489" s="85" t="s">
        <v>1976</v>
      </c>
      <c r="B489" s="113" t="s">
        <v>1960</v>
      </c>
      <c r="C489" s="26" t="s">
        <v>37</v>
      </c>
      <c r="D489" s="999"/>
      <c r="E489" s="74">
        <v>0.03</v>
      </c>
      <c r="F489" s="129">
        <f t="shared" si="96"/>
        <v>0</v>
      </c>
      <c r="G489" s="130">
        <f t="shared" si="97"/>
        <v>0</v>
      </c>
      <c r="H489" s="131">
        <f t="shared" si="98"/>
        <v>0</v>
      </c>
    </row>
    <row r="490" spans="1:8" x14ac:dyDescent="0.25">
      <c r="A490" s="85" t="s">
        <v>1977</v>
      </c>
      <c r="B490" s="88" t="s">
        <v>1961</v>
      </c>
      <c r="C490" s="26" t="s">
        <v>37</v>
      </c>
      <c r="D490" s="999"/>
      <c r="E490" s="74">
        <v>0.03</v>
      </c>
      <c r="F490" s="129">
        <f t="shared" si="96"/>
        <v>0</v>
      </c>
      <c r="G490" s="130">
        <f t="shared" si="97"/>
        <v>0</v>
      </c>
      <c r="H490" s="131">
        <f t="shared" si="98"/>
        <v>0</v>
      </c>
    </row>
    <row r="491" spans="1:8" x14ac:dyDescent="0.25">
      <c r="A491" s="85" t="s">
        <v>1978</v>
      </c>
      <c r="B491" s="88" t="s">
        <v>1962</v>
      </c>
      <c r="C491" s="26" t="s">
        <v>37</v>
      </c>
      <c r="D491" s="999"/>
      <c r="E491" s="74">
        <v>0.03</v>
      </c>
      <c r="F491" s="129">
        <f t="shared" si="96"/>
        <v>0</v>
      </c>
      <c r="G491" s="130">
        <f t="shared" si="97"/>
        <v>0</v>
      </c>
      <c r="H491" s="131">
        <f t="shared" si="98"/>
        <v>0</v>
      </c>
    </row>
    <row r="492" spans="1:8" x14ac:dyDescent="0.25">
      <c r="A492" s="85" t="s">
        <v>1979</v>
      </c>
      <c r="B492" s="88" t="s">
        <v>1963</v>
      </c>
      <c r="C492" s="26" t="s">
        <v>37</v>
      </c>
      <c r="D492" s="999"/>
      <c r="E492" s="74">
        <v>0.03</v>
      </c>
      <c r="F492" s="129">
        <f t="shared" si="96"/>
        <v>0</v>
      </c>
      <c r="G492" s="130">
        <f t="shared" si="97"/>
        <v>0</v>
      </c>
      <c r="H492" s="131">
        <f t="shared" si="98"/>
        <v>0</v>
      </c>
    </row>
    <row r="493" spans="1:8" x14ac:dyDescent="0.25">
      <c r="A493" s="78" t="s">
        <v>1946</v>
      </c>
      <c r="B493" s="79" t="s">
        <v>1965</v>
      </c>
      <c r="C493" s="26"/>
      <c r="D493" s="999"/>
      <c r="E493" s="26"/>
      <c r="F493" s="26"/>
      <c r="G493" s="26"/>
      <c r="H493" s="92"/>
    </row>
    <row r="494" spans="1:8" x14ac:dyDescent="0.25">
      <c r="A494" s="85" t="s">
        <v>1980</v>
      </c>
      <c r="B494" s="88" t="s">
        <v>1950</v>
      </c>
      <c r="C494" s="26" t="s">
        <v>37</v>
      </c>
      <c r="D494" s="999"/>
      <c r="E494" s="74">
        <v>0.03</v>
      </c>
      <c r="F494" s="129">
        <f t="shared" ref="F494:F508" si="99">+D494+D494*E494</f>
        <v>0</v>
      </c>
      <c r="G494" s="130">
        <f t="shared" ref="G494:G508" si="100">F494*0.19</f>
        <v>0</v>
      </c>
      <c r="H494" s="131">
        <f t="shared" ref="H494:H508" si="101">ROUND((F494+G494),0)</f>
        <v>0</v>
      </c>
    </row>
    <row r="495" spans="1:8" x14ac:dyDescent="0.25">
      <c r="A495" s="85" t="s">
        <v>1981</v>
      </c>
      <c r="B495" s="88" t="s">
        <v>1964</v>
      </c>
      <c r="C495" s="26" t="s">
        <v>37</v>
      </c>
      <c r="D495" s="999"/>
      <c r="E495" s="74">
        <v>0.03</v>
      </c>
      <c r="F495" s="129">
        <f t="shared" si="99"/>
        <v>0</v>
      </c>
      <c r="G495" s="130">
        <f t="shared" si="100"/>
        <v>0</v>
      </c>
      <c r="H495" s="131">
        <f t="shared" si="101"/>
        <v>0</v>
      </c>
    </row>
    <row r="496" spans="1:8" x14ac:dyDescent="0.25">
      <c r="A496" s="85" t="s">
        <v>1982</v>
      </c>
      <c r="B496" s="88" t="s">
        <v>1951</v>
      </c>
      <c r="C496" s="26" t="s">
        <v>37</v>
      </c>
      <c r="D496" s="999"/>
      <c r="E496" s="74">
        <v>0.03</v>
      </c>
      <c r="F496" s="129">
        <f t="shared" si="99"/>
        <v>0</v>
      </c>
      <c r="G496" s="130">
        <f t="shared" si="100"/>
        <v>0</v>
      </c>
      <c r="H496" s="131">
        <f t="shared" si="101"/>
        <v>0</v>
      </c>
    </row>
    <row r="497" spans="1:8" x14ac:dyDescent="0.25">
      <c r="A497" s="85" t="s">
        <v>1983</v>
      </c>
      <c r="B497" s="88" t="s">
        <v>1952</v>
      </c>
      <c r="C497" s="26" t="s">
        <v>37</v>
      </c>
      <c r="D497" s="999"/>
      <c r="E497" s="74">
        <v>0.03</v>
      </c>
      <c r="F497" s="129">
        <f t="shared" si="99"/>
        <v>0</v>
      </c>
      <c r="G497" s="130">
        <f t="shared" si="100"/>
        <v>0</v>
      </c>
      <c r="H497" s="131">
        <f t="shared" si="101"/>
        <v>0</v>
      </c>
    </row>
    <row r="498" spans="1:8" x14ac:dyDescent="0.25">
      <c r="A498" s="85" t="s">
        <v>1984</v>
      </c>
      <c r="B498" s="113" t="s">
        <v>1953</v>
      </c>
      <c r="C498" s="26" t="s">
        <v>37</v>
      </c>
      <c r="D498" s="999"/>
      <c r="E498" s="74">
        <v>0.03</v>
      </c>
      <c r="F498" s="129">
        <f t="shared" si="99"/>
        <v>0</v>
      </c>
      <c r="G498" s="130">
        <f t="shared" si="100"/>
        <v>0</v>
      </c>
      <c r="H498" s="131">
        <f t="shared" si="101"/>
        <v>0</v>
      </c>
    </row>
    <row r="499" spans="1:8" x14ac:dyDescent="0.25">
      <c r="A499" s="85" t="s">
        <v>1985</v>
      </c>
      <c r="B499" s="113" t="s">
        <v>1955</v>
      </c>
      <c r="C499" s="26" t="s">
        <v>37</v>
      </c>
      <c r="D499" s="999"/>
      <c r="E499" s="74">
        <v>0.03</v>
      </c>
      <c r="F499" s="129">
        <f t="shared" si="99"/>
        <v>0</v>
      </c>
      <c r="G499" s="130">
        <f t="shared" si="100"/>
        <v>0</v>
      </c>
      <c r="H499" s="131">
        <f t="shared" si="101"/>
        <v>0</v>
      </c>
    </row>
    <row r="500" spans="1:8" x14ac:dyDescent="0.25">
      <c r="A500" s="85" t="s">
        <v>1986</v>
      </c>
      <c r="B500" s="88" t="s">
        <v>1954</v>
      </c>
      <c r="C500" s="26" t="s">
        <v>37</v>
      </c>
      <c r="D500" s="999"/>
      <c r="E500" s="74">
        <v>0.03</v>
      </c>
      <c r="F500" s="129">
        <f t="shared" si="99"/>
        <v>0</v>
      </c>
      <c r="G500" s="130">
        <f t="shared" si="100"/>
        <v>0</v>
      </c>
      <c r="H500" s="131">
        <f t="shared" si="101"/>
        <v>0</v>
      </c>
    </row>
    <row r="501" spans="1:8" x14ac:dyDescent="0.25">
      <c r="A501" s="85" t="s">
        <v>1987</v>
      </c>
      <c r="B501" s="113" t="s">
        <v>1956</v>
      </c>
      <c r="C501" s="26" t="s">
        <v>37</v>
      </c>
      <c r="D501" s="999"/>
      <c r="E501" s="74">
        <v>0.03</v>
      </c>
      <c r="F501" s="129">
        <f t="shared" si="99"/>
        <v>0</v>
      </c>
      <c r="G501" s="130">
        <f t="shared" si="100"/>
        <v>0</v>
      </c>
      <c r="H501" s="131">
        <f t="shared" si="101"/>
        <v>0</v>
      </c>
    </row>
    <row r="502" spans="1:8" x14ac:dyDescent="0.25">
      <c r="A502" s="85" t="s">
        <v>1988</v>
      </c>
      <c r="B502" s="88" t="s">
        <v>1957</v>
      </c>
      <c r="C502" s="26" t="s">
        <v>37</v>
      </c>
      <c r="D502" s="999"/>
      <c r="E502" s="74">
        <v>0.03</v>
      </c>
      <c r="F502" s="129">
        <f t="shared" si="99"/>
        <v>0</v>
      </c>
      <c r="G502" s="130">
        <f t="shared" si="100"/>
        <v>0</v>
      </c>
      <c r="H502" s="131">
        <f t="shared" si="101"/>
        <v>0</v>
      </c>
    </row>
    <row r="503" spans="1:8" x14ac:dyDescent="0.25">
      <c r="A503" s="85" t="s">
        <v>1989</v>
      </c>
      <c r="B503" s="113" t="s">
        <v>1958</v>
      </c>
      <c r="C503" s="26" t="s">
        <v>37</v>
      </c>
      <c r="D503" s="999"/>
      <c r="E503" s="74">
        <v>0.03</v>
      </c>
      <c r="F503" s="129">
        <f t="shared" si="99"/>
        <v>0</v>
      </c>
      <c r="G503" s="130">
        <f t="shared" si="100"/>
        <v>0</v>
      </c>
      <c r="H503" s="131">
        <f t="shared" si="101"/>
        <v>0</v>
      </c>
    </row>
    <row r="504" spans="1:8" x14ac:dyDescent="0.25">
      <c r="A504" s="85" t="s">
        <v>1990</v>
      </c>
      <c r="B504" s="88" t="s">
        <v>1959</v>
      </c>
      <c r="C504" s="26" t="s">
        <v>37</v>
      </c>
      <c r="D504" s="999"/>
      <c r="E504" s="74">
        <v>0.03</v>
      </c>
      <c r="F504" s="129">
        <f t="shared" si="99"/>
        <v>0</v>
      </c>
      <c r="G504" s="130">
        <f t="shared" si="100"/>
        <v>0</v>
      </c>
      <c r="H504" s="131">
        <f t="shared" si="101"/>
        <v>0</v>
      </c>
    </row>
    <row r="505" spans="1:8" x14ac:dyDescent="0.25">
      <c r="A505" s="85" t="s">
        <v>1991</v>
      </c>
      <c r="B505" s="113" t="s">
        <v>1960</v>
      </c>
      <c r="C505" s="26" t="s">
        <v>37</v>
      </c>
      <c r="D505" s="999"/>
      <c r="E505" s="74">
        <v>0.03</v>
      </c>
      <c r="F505" s="129">
        <f t="shared" si="99"/>
        <v>0</v>
      </c>
      <c r="G505" s="130">
        <f t="shared" si="100"/>
        <v>0</v>
      </c>
      <c r="H505" s="131">
        <f t="shared" si="101"/>
        <v>0</v>
      </c>
    </row>
    <row r="506" spans="1:8" x14ac:dyDescent="0.25">
      <c r="A506" s="85" t="s">
        <v>1992</v>
      </c>
      <c r="B506" s="88" t="s">
        <v>1961</v>
      </c>
      <c r="C506" s="26" t="s">
        <v>37</v>
      </c>
      <c r="D506" s="999"/>
      <c r="E506" s="74">
        <v>0.03</v>
      </c>
      <c r="F506" s="129">
        <f t="shared" si="99"/>
        <v>0</v>
      </c>
      <c r="G506" s="130">
        <f t="shared" si="100"/>
        <v>0</v>
      </c>
      <c r="H506" s="131">
        <f t="shared" si="101"/>
        <v>0</v>
      </c>
    </row>
    <row r="507" spans="1:8" x14ac:dyDescent="0.25">
      <c r="A507" s="85" t="s">
        <v>1993</v>
      </c>
      <c r="B507" s="88" t="s">
        <v>1962</v>
      </c>
      <c r="C507" s="26" t="s">
        <v>37</v>
      </c>
      <c r="D507" s="999"/>
      <c r="E507" s="74">
        <v>0.03</v>
      </c>
      <c r="F507" s="129">
        <f t="shared" si="99"/>
        <v>0</v>
      </c>
      <c r="G507" s="130">
        <f t="shared" si="100"/>
        <v>0</v>
      </c>
      <c r="H507" s="131">
        <f t="shared" si="101"/>
        <v>0</v>
      </c>
    </row>
    <row r="508" spans="1:8" x14ac:dyDescent="0.25">
      <c r="A508" s="85" t="s">
        <v>1994</v>
      </c>
      <c r="B508" s="88" t="s">
        <v>1963</v>
      </c>
      <c r="C508" s="26" t="s">
        <v>37</v>
      </c>
      <c r="D508" s="999"/>
      <c r="E508" s="74">
        <v>0.03</v>
      </c>
      <c r="F508" s="129">
        <f t="shared" si="99"/>
        <v>0</v>
      </c>
      <c r="G508" s="130">
        <f t="shared" si="100"/>
        <v>0</v>
      </c>
      <c r="H508" s="131">
        <f t="shared" si="101"/>
        <v>0</v>
      </c>
    </row>
    <row r="509" spans="1:8" x14ac:dyDescent="0.25">
      <c r="A509" s="78" t="s">
        <v>1995</v>
      </c>
      <c r="B509" s="79" t="s">
        <v>1996</v>
      </c>
      <c r="C509" s="26"/>
      <c r="D509" s="999"/>
      <c r="E509" s="26"/>
      <c r="F509" s="26"/>
      <c r="G509" s="26"/>
      <c r="H509" s="92"/>
    </row>
    <row r="510" spans="1:8" x14ac:dyDescent="0.25">
      <c r="A510" s="85" t="s">
        <v>2012</v>
      </c>
      <c r="B510" s="88" t="s">
        <v>1997</v>
      </c>
      <c r="C510" s="26" t="s">
        <v>37</v>
      </c>
      <c r="D510" s="999"/>
      <c r="E510" s="74">
        <v>0.03</v>
      </c>
      <c r="F510" s="129">
        <f t="shared" ref="F510:F524" si="102">+D510+D510*E510</f>
        <v>0</v>
      </c>
      <c r="G510" s="130">
        <f t="shared" ref="G510:G524" si="103">F510*0.19</f>
        <v>0</v>
      </c>
      <c r="H510" s="131">
        <f t="shared" ref="H510:H524" si="104">ROUND((F510+G510),0)</f>
        <v>0</v>
      </c>
    </row>
    <row r="511" spans="1:8" x14ac:dyDescent="0.25">
      <c r="A511" s="85" t="s">
        <v>2013</v>
      </c>
      <c r="B511" s="88" t="s">
        <v>1998</v>
      </c>
      <c r="C511" s="26" t="s">
        <v>37</v>
      </c>
      <c r="D511" s="999"/>
      <c r="E511" s="74">
        <v>0.03</v>
      </c>
      <c r="F511" s="129">
        <f t="shared" si="102"/>
        <v>0</v>
      </c>
      <c r="G511" s="130">
        <f t="shared" si="103"/>
        <v>0</v>
      </c>
      <c r="H511" s="131">
        <f t="shared" si="104"/>
        <v>0</v>
      </c>
    </row>
    <row r="512" spans="1:8" x14ac:dyDescent="0.25">
      <c r="A512" s="85" t="s">
        <v>2014</v>
      </c>
      <c r="B512" s="88" t="s">
        <v>1999</v>
      </c>
      <c r="C512" s="26" t="s">
        <v>37</v>
      </c>
      <c r="D512" s="999"/>
      <c r="E512" s="74">
        <v>0.03</v>
      </c>
      <c r="F512" s="129">
        <f t="shared" si="102"/>
        <v>0</v>
      </c>
      <c r="G512" s="130">
        <f t="shared" si="103"/>
        <v>0</v>
      </c>
      <c r="H512" s="131">
        <f t="shared" si="104"/>
        <v>0</v>
      </c>
    </row>
    <row r="513" spans="1:8" x14ac:dyDescent="0.25">
      <c r="A513" s="85" t="s">
        <v>2015</v>
      </c>
      <c r="B513" s="88" t="s">
        <v>2000</v>
      </c>
      <c r="C513" s="26" t="s">
        <v>37</v>
      </c>
      <c r="D513" s="999"/>
      <c r="E513" s="74">
        <v>0.03</v>
      </c>
      <c r="F513" s="129">
        <f t="shared" si="102"/>
        <v>0</v>
      </c>
      <c r="G513" s="130">
        <f t="shared" si="103"/>
        <v>0</v>
      </c>
      <c r="H513" s="131">
        <f t="shared" si="104"/>
        <v>0</v>
      </c>
    </row>
    <row r="514" spans="1:8" x14ac:dyDescent="0.25">
      <c r="A514" s="85" t="s">
        <v>2016</v>
      </c>
      <c r="B514" s="113" t="s">
        <v>2001</v>
      </c>
      <c r="C514" s="26" t="s">
        <v>37</v>
      </c>
      <c r="D514" s="999"/>
      <c r="E514" s="74">
        <v>0.03</v>
      </c>
      <c r="F514" s="129">
        <f t="shared" si="102"/>
        <v>0</v>
      </c>
      <c r="G514" s="130">
        <f t="shared" si="103"/>
        <v>0</v>
      </c>
      <c r="H514" s="131">
        <f t="shared" si="104"/>
        <v>0</v>
      </c>
    </row>
    <row r="515" spans="1:8" x14ac:dyDescent="0.25">
      <c r="A515" s="85" t="s">
        <v>2017</v>
      </c>
      <c r="B515" s="113" t="s">
        <v>2002</v>
      </c>
      <c r="C515" s="26" t="s">
        <v>37</v>
      </c>
      <c r="D515" s="999"/>
      <c r="E515" s="74">
        <v>0.03</v>
      </c>
      <c r="F515" s="129">
        <f t="shared" si="102"/>
        <v>0</v>
      </c>
      <c r="G515" s="130">
        <f t="shared" si="103"/>
        <v>0</v>
      </c>
      <c r="H515" s="131">
        <f t="shared" si="104"/>
        <v>0</v>
      </c>
    </row>
    <row r="516" spans="1:8" x14ac:dyDescent="0.25">
      <c r="A516" s="85" t="s">
        <v>2018</v>
      </c>
      <c r="B516" s="88" t="s">
        <v>2003</v>
      </c>
      <c r="C516" s="26" t="s">
        <v>37</v>
      </c>
      <c r="D516" s="999"/>
      <c r="E516" s="74">
        <v>0.03</v>
      </c>
      <c r="F516" s="129">
        <f t="shared" si="102"/>
        <v>0</v>
      </c>
      <c r="G516" s="130">
        <f t="shared" si="103"/>
        <v>0</v>
      </c>
      <c r="H516" s="131">
        <f t="shared" si="104"/>
        <v>0</v>
      </c>
    </row>
    <row r="517" spans="1:8" x14ac:dyDescent="0.25">
      <c r="A517" s="85" t="s">
        <v>2019</v>
      </c>
      <c r="B517" s="113" t="s">
        <v>2004</v>
      </c>
      <c r="C517" s="26" t="s">
        <v>37</v>
      </c>
      <c r="D517" s="999"/>
      <c r="E517" s="74">
        <v>0.03</v>
      </c>
      <c r="F517" s="129">
        <f t="shared" si="102"/>
        <v>0</v>
      </c>
      <c r="G517" s="130">
        <f t="shared" si="103"/>
        <v>0</v>
      </c>
      <c r="H517" s="131">
        <f t="shared" si="104"/>
        <v>0</v>
      </c>
    </row>
    <row r="518" spans="1:8" x14ac:dyDescent="0.25">
      <c r="A518" s="85" t="s">
        <v>2020</v>
      </c>
      <c r="B518" s="88" t="s">
        <v>2005</v>
      </c>
      <c r="C518" s="26" t="s">
        <v>37</v>
      </c>
      <c r="D518" s="999"/>
      <c r="E518" s="74">
        <v>0.03</v>
      </c>
      <c r="F518" s="129">
        <f t="shared" si="102"/>
        <v>0</v>
      </c>
      <c r="G518" s="130">
        <f t="shared" si="103"/>
        <v>0</v>
      </c>
      <c r="H518" s="131">
        <f t="shared" si="104"/>
        <v>0</v>
      </c>
    </row>
    <row r="519" spans="1:8" x14ac:dyDescent="0.25">
      <c r="A519" s="85" t="s">
        <v>2021</v>
      </c>
      <c r="B519" s="113" t="s">
        <v>2006</v>
      </c>
      <c r="C519" s="26" t="s">
        <v>37</v>
      </c>
      <c r="D519" s="999"/>
      <c r="E519" s="74">
        <v>0.03</v>
      </c>
      <c r="F519" s="129">
        <f t="shared" si="102"/>
        <v>0</v>
      </c>
      <c r="G519" s="130">
        <f t="shared" si="103"/>
        <v>0</v>
      </c>
      <c r="H519" s="131">
        <f t="shared" si="104"/>
        <v>0</v>
      </c>
    </row>
    <row r="520" spans="1:8" x14ac:dyDescent="0.25">
      <c r="A520" s="85" t="s">
        <v>2022</v>
      </c>
      <c r="B520" s="88" t="s">
        <v>2007</v>
      </c>
      <c r="C520" s="26" t="s">
        <v>37</v>
      </c>
      <c r="D520" s="999"/>
      <c r="E520" s="74">
        <v>0.03</v>
      </c>
      <c r="F520" s="129">
        <f t="shared" si="102"/>
        <v>0</v>
      </c>
      <c r="G520" s="130">
        <f t="shared" si="103"/>
        <v>0</v>
      </c>
      <c r="H520" s="131">
        <f t="shared" si="104"/>
        <v>0</v>
      </c>
    </row>
    <row r="521" spans="1:8" x14ac:dyDescent="0.25">
      <c r="A521" s="85" t="s">
        <v>2023</v>
      </c>
      <c r="B521" s="113" t="s">
        <v>2008</v>
      </c>
      <c r="C521" s="26" t="s">
        <v>37</v>
      </c>
      <c r="D521" s="999"/>
      <c r="E521" s="74">
        <v>0.03</v>
      </c>
      <c r="F521" s="129">
        <f t="shared" si="102"/>
        <v>0</v>
      </c>
      <c r="G521" s="130">
        <f t="shared" si="103"/>
        <v>0</v>
      </c>
      <c r="H521" s="131">
        <f t="shared" si="104"/>
        <v>0</v>
      </c>
    </row>
    <row r="522" spans="1:8" x14ac:dyDescent="0.25">
      <c r="A522" s="85" t="s">
        <v>2024</v>
      </c>
      <c r="B522" s="88" t="s">
        <v>2009</v>
      </c>
      <c r="C522" s="26" t="s">
        <v>37</v>
      </c>
      <c r="D522" s="999"/>
      <c r="E522" s="74">
        <v>0.03</v>
      </c>
      <c r="F522" s="129">
        <f t="shared" si="102"/>
        <v>0</v>
      </c>
      <c r="G522" s="130">
        <f t="shared" si="103"/>
        <v>0</v>
      </c>
      <c r="H522" s="131">
        <f t="shared" si="104"/>
        <v>0</v>
      </c>
    </row>
    <row r="523" spans="1:8" x14ac:dyDescent="0.25">
      <c r="A523" s="85" t="s">
        <v>2025</v>
      </c>
      <c r="B523" s="88" t="s">
        <v>2010</v>
      </c>
      <c r="C523" s="26" t="s">
        <v>37</v>
      </c>
      <c r="D523" s="999"/>
      <c r="E523" s="74">
        <v>0.03</v>
      </c>
      <c r="F523" s="129">
        <f t="shared" si="102"/>
        <v>0</v>
      </c>
      <c r="G523" s="130">
        <f t="shared" si="103"/>
        <v>0</v>
      </c>
      <c r="H523" s="131">
        <f t="shared" si="104"/>
        <v>0</v>
      </c>
    </row>
    <row r="524" spans="1:8" x14ac:dyDescent="0.25">
      <c r="A524" s="85" t="s">
        <v>2026</v>
      </c>
      <c r="B524" s="88" t="s">
        <v>2011</v>
      </c>
      <c r="C524" s="26" t="s">
        <v>37</v>
      </c>
      <c r="D524" s="999"/>
      <c r="E524" s="74">
        <v>0.03</v>
      </c>
      <c r="F524" s="129">
        <f t="shared" si="102"/>
        <v>0</v>
      </c>
      <c r="G524" s="130">
        <f t="shared" si="103"/>
        <v>0</v>
      </c>
      <c r="H524" s="131">
        <f t="shared" si="104"/>
        <v>0</v>
      </c>
    </row>
    <row r="525" spans="1:8" x14ac:dyDescent="0.25">
      <c r="A525" s="78" t="s">
        <v>2027</v>
      </c>
      <c r="B525" s="79" t="s">
        <v>2028</v>
      </c>
      <c r="C525" s="26"/>
      <c r="D525" s="999"/>
      <c r="E525" s="26"/>
      <c r="F525" s="26"/>
      <c r="G525" s="26"/>
      <c r="H525" s="92"/>
    </row>
    <row r="526" spans="1:8" x14ac:dyDescent="0.25">
      <c r="A526" s="85" t="s">
        <v>2049</v>
      </c>
      <c r="B526" s="88" t="s">
        <v>1997</v>
      </c>
      <c r="C526" s="26" t="s">
        <v>37</v>
      </c>
      <c r="D526" s="999"/>
      <c r="E526" s="74">
        <v>0.03</v>
      </c>
      <c r="F526" s="129">
        <f t="shared" ref="F526:F540" si="105">+D526+D526*E526</f>
        <v>0</v>
      </c>
      <c r="G526" s="130">
        <f t="shared" ref="G526:G540" si="106">F526*0.19</f>
        <v>0</v>
      </c>
      <c r="H526" s="131">
        <f t="shared" ref="H526:H540" si="107">ROUND((F526+G526),0)</f>
        <v>0</v>
      </c>
    </row>
    <row r="527" spans="1:8" x14ac:dyDescent="0.25">
      <c r="A527" s="85" t="s">
        <v>2050</v>
      </c>
      <c r="B527" s="88" t="s">
        <v>1998</v>
      </c>
      <c r="C527" s="26" t="s">
        <v>37</v>
      </c>
      <c r="D527" s="999"/>
      <c r="E527" s="74">
        <v>0.03</v>
      </c>
      <c r="F527" s="129">
        <f t="shared" si="105"/>
        <v>0</v>
      </c>
      <c r="G527" s="130">
        <f t="shared" si="106"/>
        <v>0</v>
      </c>
      <c r="H527" s="131">
        <f t="shared" si="107"/>
        <v>0</v>
      </c>
    </row>
    <row r="528" spans="1:8" x14ac:dyDescent="0.25">
      <c r="A528" s="85" t="s">
        <v>2051</v>
      </c>
      <c r="B528" s="88" t="s">
        <v>1999</v>
      </c>
      <c r="C528" s="26" t="s">
        <v>37</v>
      </c>
      <c r="D528" s="999"/>
      <c r="E528" s="74">
        <v>0.03</v>
      </c>
      <c r="F528" s="129">
        <f t="shared" si="105"/>
        <v>0</v>
      </c>
      <c r="G528" s="130">
        <f t="shared" si="106"/>
        <v>0</v>
      </c>
      <c r="H528" s="131">
        <f t="shared" si="107"/>
        <v>0</v>
      </c>
    </row>
    <row r="529" spans="1:8" x14ac:dyDescent="0.25">
      <c r="A529" s="85" t="s">
        <v>2052</v>
      </c>
      <c r="B529" s="88" t="s">
        <v>2000</v>
      </c>
      <c r="C529" s="26" t="s">
        <v>37</v>
      </c>
      <c r="D529" s="999"/>
      <c r="E529" s="74">
        <v>0.03</v>
      </c>
      <c r="F529" s="129">
        <f t="shared" si="105"/>
        <v>0</v>
      </c>
      <c r="G529" s="130">
        <f t="shared" si="106"/>
        <v>0</v>
      </c>
      <c r="H529" s="131">
        <f t="shared" si="107"/>
        <v>0</v>
      </c>
    </row>
    <row r="530" spans="1:8" x14ac:dyDescent="0.25">
      <c r="A530" s="85" t="s">
        <v>2053</v>
      </c>
      <c r="B530" s="113" t="s">
        <v>2001</v>
      </c>
      <c r="C530" s="26" t="s">
        <v>37</v>
      </c>
      <c r="D530" s="999"/>
      <c r="E530" s="74">
        <v>0.03</v>
      </c>
      <c r="F530" s="129">
        <f t="shared" si="105"/>
        <v>0</v>
      </c>
      <c r="G530" s="130">
        <f t="shared" si="106"/>
        <v>0</v>
      </c>
      <c r="H530" s="131">
        <f t="shared" si="107"/>
        <v>0</v>
      </c>
    </row>
    <row r="531" spans="1:8" x14ac:dyDescent="0.25">
      <c r="A531" s="85" t="s">
        <v>2054</v>
      </c>
      <c r="B531" s="113" t="s">
        <v>2002</v>
      </c>
      <c r="C531" s="26" t="s">
        <v>37</v>
      </c>
      <c r="D531" s="999"/>
      <c r="E531" s="74">
        <v>0.03</v>
      </c>
      <c r="F531" s="129">
        <f t="shared" si="105"/>
        <v>0</v>
      </c>
      <c r="G531" s="130">
        <f t="shared" si="106"/>
        <v>0</v>
      </c>
      <c r="H531" s="131">
        <f t="shared" si="107"/>
        <v>0</v>
      </c>
    </row>
    <row r="532" spans="1:8" x14ac:dyDescent="0.25">
      <c r="A532" s="85" t="s">
        <v>2055</v>
      </c>
      <c r="B532" s="88" t="s">
        <v>2003</v>
      </c>
      <c r="C532" s="26" t="s">
        <v>37</v>
      </c>
      <c r="D532" s="999"/>
      <c r="E532" s="74">
        <v>0.03</v>
      </c>
      <c r="F532" s="129">
        <f t="shared" si="105"/>
        <v>0</v>
      </c>
      <c r="G532" s="130">
        <f t="shared" si="106"/>
        <v>0</v>
      </c>
      <c r="H532" s="131">
        <f t="shared" si="107"/>
        <v>0</v>
      </c>
    </row>
    <row r="533" spans="1:8" x14ac:dyDescent="0.25">
      <c r="A533" s="85" t="s">
        <v>2056</v>
      </c>
      <c r="B533" s="113" t="s">
        <v>2004</v>
      </c>
      <c r="C533" s="26" t="s">
        <v>37</v>
      </c>
      <c r="D533" s="999"/>
      <c r="E533" s="74">
        <v>0.03</v>
      </c>
      <c r="F533" s="129">
        <f t="shared" si="105"/>
        <v>0</v>
      </c>
      <c r="G533" s="130">
        <f t="shared" si="106"/>
        <v>0</v>
      </c>
      <c r="H533" s="131">
        <f t="shared" si="107"/>
        <v>0</v>
      </c>
    </row>
    <row r="534" spans="1:8" x14ac:dyDescent="0.25">
      <c r="A534" s="85" t="s">
        <v>2057</v>
      </c>
      <c r="B534" s="88" t="s">
        <v>2005</v>
      </c>
      <c r="C534" s="26" t="s">
        <v>37</v>
      </c>
      <c r="D534" s="999"/>
      <c r="E534" s="74">
        <v>0.03</v>
      </c>
      <c r="F534" s="129">
        <f t="shared" si="105"/>
        <v>0</v>
      </c>
      <c r="G534" s="130">
        <f t="shared" si="106"/>
        <v>0</v>
      </c>
      <c r="H534" s="131">
        <f t="shared" si="107"/>
        <v>0</v>
      </c>
    </row>
    <row r="535" spans="1:8" x14ac:dyDescent="0.25">
      <c r="A535" s="85" t="s">
        <v>2058</v>
      </c>
      <c r="B535" s="113" t="s">
        <v>2006</v>
      </c>
      <c r="C535" s="26" t="s">
        <v>37</v>
      </c>
      <c r="D535" s="999"/>
      <c r="E535" s="74">
        <v>0.03</v>
      </c>
      <c r="F535" s="129">
        <f t="shared" si="105"/>
        <v>0</v>
      </c>
      <c r="G535" s="130">
        <f t="shared" si="106"/>
        <v>0</v>
      </c>
      <c r="H535" s="131">
        <f t="shared" si="107"/>
        <v>0</v>
      </c>
    </row>
    <row r="536" spans="1:8" x14ac:dyDescent="0.25">
      <c r="A536" s="85" t="s">
        <v>2059</v>
      </c>
      <c r="B536" s="88" t="s">
        <v>2007</v>
      </c>
      <c r="C536" s="26" t="s">
        <v>37</v>
      </c>
      <c r="D536" s="999"/>
      <c r="E536" s="74">
        <v>0.03</v>
      </c>
      <c r="F536" s="129">
        <f t="shared" si="105"/>
        <v>0</v>
      </c>
      <c r="G536" s="130">
        <f t="shared" si="106"/>
        <v>0</v>
      </c>
      <c r="H536" s="131">
        <f t="shared" si="107"/>
        <v>0</v>
      </c>
    </row>
    <row r="537" spans="1:8" x14ac:dyDescent="0.25">
      <c r="A537" s="85" t="s">
        <v>2060</v>
      </c>
      <c r="B537" s="113" t="s">
        <v>2008</v>
      </c>
      <c r="C537" s="26" t="s">
        <v>37</v>
      </c>
      <c r="D537" s="999"/>
      <c r="E537" s="74">
        <v>0.03</v>
      </c>
      <c r="F537" s="129">
        <f t="shared" si="105"/>
        <v>0</v>
      </c>
      <c r="G537" s="130">
        <f t="shared" si="106"/>
        <v>0</v>
      </c>
      <c r="H537" s="131">
        <f t="shared" si="107"/>
        <v>0</v>
      </c>
    </row>
    <row r="538" spans="1:8" x14ac:dyDescent="0.25">
      <c r="A538" s="85" t="s">
        <v>2061</v>
      </c>
      <c r="B538" s="88" t="s">
        <v>2009</v>
      </c>
      <c r="C538" s="26" t="s">
        <v>37</v>
      </c>
      <c r="D538" s="999"/>
      <c r="E538" s="74">
        <v>0.03</v>
      </c>
      <c r="F538" s="129">
        <f t="shared" si="105"/>
        <v>0</v>
      </c>
      <c r="G538" s="130">
        <f t="shared" si="106"/>
        <v>0</v>
      </c>
      <c r="H538" s="131">
        <f t="shared" si="107"/>
        <v>0</v>
      </c>
    </row>
    <row r="539" spans="1:8" x14ac:dyDescent="0.25">
      <c r="A539" s="85" t="s">
        <v>2062</v>
      </c>
      <c r="B539" s="88" t="s">
        <v>2010</v>
      </c>
      <c r="C539" s="26" t="s">
        <v>37</v>
      </c>
      <c r="D539" s="999"/>
      <c r="E539" s="74">
        <v>0.03</v>
      </c>
      <c r="F539" s="129">
        <f t="shared" si="105"/>
        <v>0</v>
      </c>
      <c r="G539" s="130">
        <f t="shared" si="106"/>
        <v>0</v>
      </c>
      <c r="H539" s="131">
        <f t="shared" si="107"/>
        <v>0</v>
      </c>
    </row>
    <row r="540" spans="1:8" x14ac:dyDescent="0.25">
      <c r="A540" s="85" t="s">
        <v>2063</v>
      </c>
      <c r="B540" s="88" t="s">
        <v>2011</v>
      </c>
      <c r="C540" s="26" t="s">
        <v>37</v>
      </c>
      <c r="D540" s="999"/>
      <c r="E540" s="74">
        <v>0.03</v>
      </c>
      <c r="F540" s="129">
        <f t="shared" si="105"/>
        <v>0</v>
      </c>
      <c r="G540" s="130">
        <f t="shared" si="106"/>
        <v>0</v>
      </c>
      <c r="H540" s="131">
        <f t="shared" si="107"/>
        <v>0</v>
      </c>
    </row>
    <row r="541" spans="1:8" x14ac:dyDescent="0.25">
      <c r="A541" s="78" t="s">
        <v>2029</v>
      </c>
      <c r="B541" s="79" t="s">
        <v>2030</v>
      </c>
      <c r="C541" s="26"/>
      <c r="D541" s="999"/>
      <c r="E541" s="26"/>
      <c r="F541" s="26"/>
      <c r="G541" s="26"/>
      <c r="H541" s="92"/>
    </row>
    <row r="542" spans="1:8" x14ac:dyDescent="0.25">
      <c r="A542" s="78" t="s">
        <v>2031</v>
      </c>
      <c r="B542" s="79" t="s">
        <v>2047</v>
      </c>
      <c r="C542" s="26"/>
      <c r="D542" s="999"/>
      <c r="E542" s="26"/>
      <c r="F542" s="26"/>
      <c r="G542" s="26"/>
      <c r="H542" s="92"/>
    </row>
    <row r="543" spans="1:8" x14ac:dyDescent="0.25">
      <c r="A543" s="85" t="s">
        <v>2048</v>
      </c>
      <c r="B543" s="88" t="s">
        <v>2032</v>
      </c>
      <c r="C543" s="26" t="s">
        <v>37</v>
      </c>
      <c r="D543" s="999"/>
      <c r="E543" s="74">
        <v>0.03</v>
      </c>
      <c r="F543" s="129">
        <f t="shared" ref="F543:F557" si="108">+D543+D543*E543</f>
        <v>0</v>
      </c>
      <c r="G543" s="130">
        <f t="shared" ref="G543:G557" si="109">F543*0.19</f>
        <v>0</v>
      </c>
      <c r="H543" s="131">
        <f t="shared" ref="H543:H557" si="110">ROUND((F543+G543),0)</f>
        <v>0</v>
      </c>
    </row>
    <row r="544" spans="1:8" x14ac:dyDescent="0.25">
      <c r="A544" s="85" t="s">
        <v>2064</v>
      </c>
      <c r="B544" s="113" t="s">
        <v>2033</v>
      </c>
      <c r="C544" s="26" t="s">
        <v>37</v>
      </c>
      <c r="D544" s="999"/>
      <c r="E544" s="74">
        <v>0.03</v>
      </c>
      <c r="F544" s="129">
        <f t="shared" si="108"/>
        <v>0</v>
      </c>
      <c r="G544" s="130">
        <f t="shared" si="109"/>
        <v>0</v>
      </c>
      <c r="H544" s="131">
        <f t="shared" si="110"/>
        <v>0</v>
      </c>
    </row>
    <row r="545" spans="1:8" x14ac:dyDescent="0.25">
      <c r="A545" s="85" t="s">
        <v>2065</v>
      </c>
      <c r="B545" s="88" t="s">
        <v>2034</v>
      </c>
      <c r="C545" s="26" t="s">
        <v>37</v>
      </c>
      <c r="D545" s="999"/>
      <c r="E545" s="74">
        <v>0.03</v>
      </c>
      <c r="F545" s="129">
        <f t="shared" si="108"/>
        <v>0</v>
      </c>
      <c r="G545" s="130">
        <f t="shared" si="109"/>
        <v>0</v>
      </c>
      <c r="H545" s="131">
        <f t="shared" si="110"/>
        <v>0</v>
      </c>
    </row>
    <row r="546" spans="1:8" x14ac:dyDescent="0.25">
      <c r="A546" s="85" t="s">
        <v>2066</v>
      </c>
      <c r="B546" s="88" t="s">
        <v>2035</v>
      </c>
      <c r="C546" s="26" t="s">
        <v>37</v>
      </c>
      <c r="D546" s="999"/>
      <c r="E546" s="74">
        <v>0.03</v>
      </c>
      <c r="F546" s="129">
        <f t="shared" si="108"/>
        <v>0</v>
      </c>
      <c r="G546" s="130">
        <f t="shared" si="109"/>
        <v>0</v>
      </c>
      <c r="H546" s="131">
        <f t="shared" si="110"/>
        <v>0</v>
      </c>
    </row>
    <row r="547" spans="1:8" x14ac:dyDescent="0.25">
      <c r="A547" s="85" t="s">
        <v>2067</v>
      </c>
      <c r="B547" s="113" t="s">
        <v>2036</v>
      </c>
      <c r="C547" s="26" t="s">
        <v>37</v>
      </c>
      <c r="D547" s="999"/>
      <c r="E547" s="74">
        <v>0.03</v>
      </c>
      <c r="F547" s="129">
        <f t="shared" si="108"/>
        <v>0</v>
      </c>
      <c r="G547" s="130">
        <f t="shared" si="109"/>
        <v>0</v>
      </c>
      <c r="H547" s="131">
        <f t="shared" si="110"/>
        <v>0</v>
      </c>
    </row>
    <row r="548" spans="1:8" x14ac:dyDescent="0.25">
      <c r="A548" s="85" t="s">
        <v>2068</v>
      </c>
      <c r="B548" s="113" t="s">
        <v>2037</v>
      </c>
      <c r="C548" s="26" t="s">
        <v>37</v>
      </c>
      <c r="D548" s="999"/>
      <c r="E548" s="74">
        <v>0.03</v>
      </c>
      <c r="F548" s="129">
        <f t="shared" si="108"/>
        <v>0</v>
      </c>
      <c r="G548" s="130">
        <f t="shared" si="109"/>
        <v>0</v>
      </c>
      <c r="H548" s="131">
        <f t="shared" si="110"/>
        <v>0</v>
      </c>
    </row>
    <row r="549" spans="1:8" x14ac:dyDescent="0.25">
      <c r="A549" s="85" t="s">
        <v>2069</v>
      </c>
      <c r="B549" s="88" t="s">
        <v>2038</v>
      </c>
      <c r="C549" s="26" t="s">
        <v>37</v>
      </c>
      <c r="D549" s="999"/>
      <c r="E549" s="74">
        <v>0.03</v>
      </c>
      <c r="F549" s="129">
        <f t="shared" si="108"/>
        <v>0</v>
      </c>
      <c r="G549" s="130">
        <f t="shared" si="109"/>
        <v>0</v>
      </c>
      <c r="H549" s="131">
        <f t="shared" si="110"/>
        <v>0</v>
      </c>
    </row>
    <row r="550" spans="1:8" x14ac:dyDescent="0.25">
      <c r="A550" s="85" t="s">
        <v>2070</v>
      </c>
      <c r="B550" s="113" t="s">
        <v>2039</v>
      </c>
      <c r="C550" s="26" t="s">
        <v>37</v>
      </c>
      <c r="D550" s="999"/>
      <c r="E550" s="74">
        <v>0.03</v>
      </c>
      <c r="F550" s="129">
        <f t="shared" si="108"/>
        <v>0</v>
      </c>
      <c r="G550" s="130">
        <f t="shared" si="109"/>
        <v>0</v>
      </c>
      <c r="H550" s="131">
        <f t="shared" si="110"/>
        <v>0</v>
      </c>
    </row>
    <row r="551" spans="1:8" x14ac:dyDescent="0.25">
      <c r="A551" s="85" t="s">
        <v>2071</v>
      </c>
      <c r="B551" s="88" t="s">
        <v>2040</v>
      </c>
      <c r="C551" s="26" t="s">
        <v>37</v>
      </c>
      <c r="D551" s="999"/>
      <c r="E551" s="74">
        <v>0.03</v>
      </c>
      <c r="F551" s="129">
        <f t="shared" si="108"/>
        <v>0</v>
      </c>
      <c r="G551" s="130">
        <f t="shared" si="109"/>
        <v>0</v>
      </c>
      <c r="H551" s="131">
        <f t="shared" si="110"/>
        <v>0</v>
      </c>
    </row>
    <row r="552" spans="1:8" x14ac:dyDescent="0.25">
      <c r="A552" s="85" t="s">
        <v>2072</v>
      </c>
      <c r="B552" s="113" t="s">
        <v>2041</v>
      </c>
      <c r="C552" s="26" t="s">
        <v>37</v>
      </c>
      <c r="D552" s="999"/>
      <c r="E552" s="74">
        <v>0.03</v>
      </c>
      <c r="F552" s="129">
        <f t="shared" si="108"/>
        <v>0</v>
      </c>
      <c r="G552" s="130">
        <f t="shared" si="109"/>
        <v>0</v>
      </c>
      <c r="H552" s="131">
        <f t="shared" si="110"/>
        <v>0</v>
      </c>
    </row>
    <row r="553" spans="1:8" x14ac:dyDescent="0.25">
      <c r="A553" s="85" t="s">
        <v>2073</v>
      </c>
      <c r="B553" s="88" t="s">
        <v>2042</v>
      </c>
      <c r="C553" s="26" t="s">
        <v>37</v>
      </c>
      <c r="D553" s="999"/>
      <c r="E553" s="74">
        <v>0.03</v>
      </c>
      <c r="F553" s="129">
        <f t="shared" si="108"/>
        <v>0</v>
      </c>
      <c r="G553" s="130">
        <f t="shared" si="109"/>
        <v>0</v>
      </c>
      <c r="H553" s="131">
        <f t="shared" si="110"/>
        <v>0</v>
      </c>
    </row>
    <row r="554" spans="1:8" x14ac:dyDescent="0.25">
      <c r="A554" s="85" t="s">
        <v>2074</v>
      </c>
      <c r="B554" s="113" t="s">
        <v>2043</v>
      </c>
      <c r="C554" s="26" t="s">
        <v>37</v>
      </c>
      <c r="D554" s="999"/>
      <c r="E554" s="74">
        <v>0.03</v>
      </c>
      <c r="F554" s="129">
        <f t="shared" si="108"/>
        <v>0</v>
      </c>
      <c r="G554" s="130">
        <f t="shared" si="109"/>
        <v>0</v>
      </c>
      <c r="H554" s="131">
        <f t="shared" si="110"/>
        <v>0</v>
      </c>
    </row>
    <row r="555" spans="1:8" x14ac:dyDescent="0.25">
      <c r="A555" s="85" t="s">
        <v>2075</v>
      </c>
      <c r="B555" s="88" t="s">
        <v>2044</v>
      </c>
      <c r="C555" s="26" t="s">
        <v>37</v>
      </c>
      <c r="D555" s="999"/>
      <c r="E555" s="74">
        <v>0.03</v>
      </c>
      <c r="F555" s="129">
        <f t="shared" si="108"/>
        <v>0</v>
      </c>
      <c r="G555" s="130">
        <f t="shared" si="109"/>
        <v>0</v>
      </c>
      <c r="H555" s="131">
        <f t="shared" si="110"/>
        <v>0</v>
      </c>
    </row>
    <row r="556" spans="1:8" x14ac:dyDescent="0.25">
      <c r="A556" s="85" t="s">
        <v>2076</v>
      </c>
      <c r="B556" s="88" t="s">
        <v>2045</v>
      </c>
      <c r="C556" s="26" t="s">
        <v>37</v>
      </c>
      <c r="D556" s="999"/>
      <c r="E556" s="74">
        <v>0.03</v>
      </c>
      <c r="F556" s="129">
        <f t="shared" si="108"/>
        <v>0</v>
      </c>
      <c r="G556" s="130">
        <f t="shared" si="109"/>
        <v>0</v>
      </c>
      <c r="H556" s="131">
        <f t="shared" si="110"/>
        <v>0</v>
      </c>
    </row>
    <row r="557" spans="1:8" x14ac:dyDescent="0.25">
      <c r="A557" s="85" t="s">
        <v>2077</v>
      </c>
      <c r="B557" s="88" t="s">
        <v>2046</v>
      </c>
      <c r="C557" s="26" t="s">
        <v>37</v>
      </c>
      <c r="D557" s="999"/>
      <c r="E557" s="74">
        <v>0.03</v>
      </c>
      <c r="F557" s="129">
        <f t="shared" si="108"/>
        <v>0</v>
      </c>
      <c r="G557" s="130">
        <f t="shared" si="109"/>
        <v>0</v>
      </c>
      <c r="H557" s="131">
        <f t="shared" si="110"/>
        <v>0</v>
      </c>
    </row>
    <row r="558" spans="1:8" x14ac:dyDescent="0.25">
      <c r="A558" s="78" t="s">
        <v>2079</v>
      </c>
      <c r="B558" s="79" t="s">
        <v>2078</v>
      </c>
      <c r="C558" s="26"/>
      <c r="D558" s="999"/>
      <c r="E558" s="26"/>
      <c r="F558" s="26"/>
      <c r="G558" s="26"/>
      <c r="H558" s="92"/>
    </row>
    <row r="559" spans="1:8" x14ac:dyDescent="0.25">
      <c r="A559" s="85" t="s">
        <v>2080</v>
      </c>
      <c r="B559" s="88" t="s">
        <v>2032</v>
      </c>
      <c r="C559" s="26" t="s">
        <v>37</v>
      </c>
      <c r="D559" s="999"/>
      <c r="E559" s="74">
        <v>0.03</v>
      </c>
      <c r="F559" s="129">
        <f t="shared" ref="F559:F573" si="111">+D559+D559*E559</f>
        <v>0</v>
      </c>
      <c r="G559" s="130">
        <f t="shared" ref="G559:G573" si="112">F559*0.19</f>
        <v>0</v>
      </c>
      <c r="H559" s="131">
        <f t="shared" ref="H559:H573" si="113">ROUND((F559+G559),0)</f>
        <v>0</v>
      </c>
    </row>
    <row r="560" spans="1:8" x14ac:dyDescent="0.25">
      <c r="A560" s="85" t="s">
        <v>2081</v>
      </c>
      <c r="B560" s="113" t="s">
        <v>2033</v>
      </c>
      <c r="C560" s="26" t="s">
        <v>37</v>
      </c>
      <c r="D560" s="999"/>
      <c r="E560" s="74">
        <v>0.03</v>
      </c>
      <c r="F560" s="129">
        <f t="shared" si="111"/>
        <v>0</v>
      </c>
      <c r="G560" s="130">
        <f t="shared" si="112"/>
        <v>0</v>
      </c>
      <c r="H560" s="131">
        <f t="shared" si="113"/>
        <v>0</v>
      </c>
    </row>
    <row r="561" spans="1:8" x14ac:dyDescent="0.25">
      <c r="A561" s="85" t="s">
        <v>2082</v>
      </c>
      <c r="B561" s="88" t="s">
        <v>2034</v>
      </c>
      <c r="C561" s="26" t="s">
        <v>37</v>
      </c>
      <c r="D561" s="999"/>
      <c r="E561" s="74">
        <v>0.03</v>
      </c>
      <c r="F561" s="129">
        <f t="shared" si="111"/>
        <v>0</v>
      </c>
      <c r="G561" s="130">
        <f t="shared" si="112"/>
        <v>0</v>
      </c>
      <c r="H561" s="131">
        <f t="shared" si="113"/>
        <v>0</v>
      </c>
    </row>
    <row r="562" spans="1:8" x14ac:dyDescent="0.25">
      <c r="A562" s="85" t="s">
        <v>2083</v>
      </c>
      <c r="B562" s="88" t="s">
        <v>2035</v>
      </c>
      <c r="C562" s="26" t="s">
        <v>37</v>
      </c>
      <c r="D562" s="999"/>
      <c r="E562" s="74">
        <v>0.03</v>
      </c>
      <c r="F562" s="129">
        <f t="shared" si="111"/>
        <v>0</v>
      </c>
      <c r="G562" s="130">
        <f t="shared" si="112"/>
        <v>0</v>
      </c>
      <c r="H562" s="131">
        <f t="shared" si="113"/>
        <v>0</v>
      </c>
    </row>
    <row r="563" spans="1:8" x14ac:dyDescent="0.25">
      <c r="A563" s="85" t="s">
        <v>2084</v>
      </c>
      <c r="B563" s="113" t="s">
        <v>2036</v>
      </c>
      <c r="C563" s="26" t="s">
        <v>37</v>
      </c>
      <c r="D563" s="999"/>
      <c r="E563" s="74">
        <v>0.03</v>
      </c>
      <c r="F563" s="129">
        <f t="shared" si="111"/>
        <v>0</v>
      </c>
      <c r="G563" s="130">
        <f t="shared" si="112"/>
        <v>0</v>
      </c>
      <c r="H563" s="131">
        <f t="shared" si="113"/>
        <v>0</v>
      </c>
    </row>
    <row r="564" spans="1:8" x14ac:dyDescent="0.25">
      <c r="A564" s="85" t="s">
        <v>2085</v>
      </c>
      <c r="B564" s="113" t="s">
        <v>2037</v>
      </c>
      <c r="C564" s="26" t="s">
        <v>37</v>
      </c>
      <c r="D564" s="999"/>
      <c r="E564" s="74">
        <v>0.03</v>
      </c>
      <c r="F564" s="129">
        <f t="shared" si="111"/>
        <v>0</v>
      </c>
      <c r="G564" s="130">
        <f t="shared" si="112"/>
        <v>0</v>
      </c>
      <c r="H564" s="131">
        <f t="shared" si="113"/>
        <v>0</v>
      </c>
    </row>
    <row r="565" spans="1:8" x14ac:dyDescent="0.25">
      <c r="A565" s="85" t="s">
        <v>2086</v>
      </c>
      <c r="B565" s="88" t="s">
        <v>2038</v>
      </c>
      <c r="C565" s="26" t="s">
        <v>37</v>
      </c>
      <c r="D565" s="999"/>
      <c r="E565" s="74">
        <v>0.03</v>
      </c>
      <c r="F565" s="129">
        <f t="shared" si="111"/>
        <v>0</v>
      </c>
      <c r="G565" s="130">
        <f t="shared" si="112"/>
        <v>0</v>
      </c>
      <c r="H565" s="131">
        <f t="shared" si="113"/>
        <v>0</v>
      </c>
    </row>
    <row r="566" spans="1:8" x14ac:dyDescent="0.25">
      <c r="A566" s="85" t="s">
        <v>2087</v>
      </c>
      <c r="B566" s="113" t="s">
        <v>2039</v>
      </c>
      <c r="C566" s="26" t="s">
        <v>37</v>
      </c>
      <c r="D566" s="999"/>
      <c r="E566" s="74">
        <v>0.03</v>
      </c>
      <c r="F566" s="129">
        <f t="shared" si="111"/>
        <v>0</v>
      </c>
      <c r="G566" s="130">
        <f t="shared" si="112"/>
        <v>0</v>
      </c>
      <c r="H566" s="131">
        <f t="shared" si="113"/>
        <v>0</v>
      </c>
    </row>
    <row r="567" spans="1:8" x14ac:dyDescent="0.25">
      <c r="A567" s="85" t="s">
        <v>2088</v>
      </c>
      <c r="B567" s="88" t="s">
        <v>2040</v>
      </c>
      <c r="C567" s="26" t="s">
        <v>37</v>
      </c>
      <c r="D567" s="999"/>
      <c r="E567" s="74">
        <v>0.03</v>
      </c>
      <c r="F567" s="129">
        <f t="shared" si="111"/>
        <v>0</v>
      </c>
      <c r="G567" s="130">
        <f t="shared" si="112"/>
        <v>0</v>
      </c>
      <c r="H567" s="131">
        <f t="shared" si="113"/>
        <v>0</v>
      </c>
    </row>
    <row r="568" spans="1:8" x14ac:dyDescent="0.25">
      <c r="A568" s="85" t="s">
        <v>2089</v>
      </c>
      <c r="B568" s="113" t="s">
        <v>2041</v>
      </c>
      <c r="C568" s="26" t="s">
        <v>37</v>
      </c>
      <c r="D568" s="999"/>
      <c r="E568" s="74">
        <v>0.03</v>
      </c>
      <c r="F568" s="129">
        <f t="shared" si="111"/>
        <v>0</v>
      </c>
      <c r="G568" s="130">
        <f t="shared" si="112"/>
        <v>0</v>
      </c>
      <c r="H568" s="131">
        <f t="shared" si="113"/>
        <v>0</v>
      </c>
    </row>
    <row r="569" spans="1:8" x14ac:dyDescent="0.25">
      <c r="A569" s="85" t="s">
        <v>2090</v>
      </c>
      <c r="B569" s="88" t="s">
        <v>2042</v>
      </c>
      <c r="C569" s="26" t="s">
        <v>37</v>
      </c>
      <c r="D569" s="999"/>
      <c r="E569" s="74">
        <v>0.03</v>
      </c>
      <c r="F569" s="129">
        <f t="shared" si="111"/>
        <v>0</v>
      </c>
      <c r="G569" s="130">
        <f t="shared" si="112"/>
        <v>0</v>
      </c>
      <c r="H569" s="131">
        <f t="shared" si="113"/>
        <v>0</v>
      </c>
    </row>
    <row r="570" spans="1:8" x14ac:dyDescent="0.25">
      <c r="A570" s="85" t="s">
        <v>2091</v>
      </c>
      <c r="B570" s="113" t="s">
        <v>2043</v>
      </c>
      <c r="C570" s="26" t="s">
        <v>37</v>
      </c>
      <c r="D570" s="999"/>
      <c r="E570" s="74">
        <v>0.03</v>
      </c>
      <c r="F570" s="129">
        <f t="shared" si="111"/>
        <v>0</v>
      </c>
      <c r="G570" s="130">
        <f t="shared" si="112"/>
        <v>0</v>
      </c>
      <c r="H570" s="131">
        <f t="shared" si="113"/>
        <v>0</v>
      </c>
    </row>
    <row r="571" spans="1:8" x14ac:dyDescent="0.25">
      <c r="A571" s="85" t="s">
        <v>2092</v>
      </c>
      <c r="B571" s="88" t="s">
        <v>2044</v>
      </c>
      <c r="C571" s="26" t="s">
        <v>37</v>
      </c>
      <c r="D571" s="999"/>
      <c r="E571" s="74">
        <v>0.03</v>
      </c>
      <c r="F571" s="129">
        <f t="shared" si="111"/>
        <v>0</v>
      </c>
      <c r="G571" s="130">
        <f t="shared" si="112"/>
        <v>0</v>
      </c>
      <c r="H571" s="131">
        <f t="shared" si="113"/>
        <v>0</v>
      </c>
    </row>
    <row r="572" spans="1:8" x14ac:dyDescent="0.25">
      <c r="A572" s="85" t="s">
        <v>2093</v>
      </c>
      <c r="B572" s="88" t="s">
        <v>2045</v>
      </c>
      <c r="C572" s="26" t="s">
        <v>37</v>
      </c>
      <c r="D572" s="999"/>
      <c r="E572" s="74">
        <v>0.03</v>
      </c>
      <c r="F572" s="129">
        <f t="shared" si="111"/>
        <v>0</v>
      </c>
      <c r="G572" s="130">
        <f t="shared" si="112"/>
        <v>0</v>
      </c>
      <c r="H572" s="131">
        <f t="shared" si="113"/>
        <v>0</v>
      </c>
    </row>
    <row r="573" spans="1:8" x14ac:dyDescent="0.25">
      <c r="A573" s="85" t="s">
        <v>2094</v>
      </c>
      <c r="B573" s="88" t="s">
        <v>2046</v>
      </c>
      <c r="C573" s="26" t="s">
        <v>37</v>
      </c>
      <c r="D573" s="999"/>
      <c r="E573" s="74">
        <v>0.03</v>
      </c>
      <c r="F573" s="129">
        <f t="shared" si="111"/>
        <v>0</v>
      </c>
      <c r="G573" s="130">
        <f t="shared" si="112"/>
        <v>0</v>
      </c>
      <c r="H573" s="131">
        <f t="shared" si="113"/>
        <v>0</v>
      </c>
    </row>
    <row r="574" spans="1:8" x14ac:dyDescent="0.25">
      <c r="A574" s="85" t="s">
        <v>2096</v>
      </c>
      <c r="B574" s="79" t="s">
        <v>2095</v>
      </c>
      <c r="C574" s="26"/>
      <c r="D574" s="999"/>
      <c r="E574" s="26"/>
      <c r="F574" s="26"/>
      <c r="G574" s="26"/>
      <c r="H574" s="92"/>
    </row>
    <row r="575" spans="1:8" x14ac:dyDescent="0.25">
      <c r="A575" s="78" t="s">
        <v>2098</v>
      </c>
      <c r="B575" s="79" t="s">
        <v>2097</v>
      </c>
      <c r="C575" s="26"/>
      <c r="D575" s="999"/>
      <c r="E575" s="26"/>
      <c r="F575" s="26"/>
      <c r="G575" s="26"/>
      <c r="H575" s="92"/>
    </row>
    <row r="576" spans="1:8" x14ac:dyDescent="0.25">
      <c r="A576" s="85" t="s">
        <v>2099</v>
      </c>
      <c r="B576" s="88" t="s">
        <v>2100</v>
      </c>
      <c r="C576" s="26" t="s">
        <v>37</v>
      </c>
      <c r="D576" s="999"/>
      <c r="E576" s="74">
        <v>0.03</v>
      </c>
      <c r="F576" s="129">
        <f t="shared" ref="F576:F590" si="114">+D576+D576*E576</f>
        <v>0</v>
      </c>
      <c r="G576" s="130">
        <f t="shared" ref="G576:G590" si="115">F576*0.19</f>
        <v>0</v>
      </c>
      <c r="H576" s="131">
        <f t="shared" ref="H576:H590" si="116">ROUND((F576+G576),0)</f>
        <v>0</v>
      </c>
    </row>
    <row r="577" spans="1:8" x14ac:dyDescent="0.25">
      <c r="A577" s="85" t="s">
        <v>2116</v>
      </c>
      <c r="B577" s="88" t="s">
        <v>2101</v>
      </c>
      <c r="C577" s="26" t="s">
        <v>37</v>
      </c>
      <c r="D577" s="999"/>
      <c r="E577" s="74">
        <v>0.03</v>
      </c>
      <c r="F577" s="129">
        <f t="shared" si="114"/>
        <v>0</v>
      </c>
      <c r="G577" s="130">
        <f t="shared" si="115"/>
        <v>0</v>
      </c>
      <c r="H577" s="131">
        <f t="shared" si="116"/>
        <v>0</v>
      </c>
    </row>
    <row r="578" spans="1:8" x14ac:dyDescent="0.25">
      <c r="A578" s="85" t="s">
        <v>2117</v>
      </c>
      <c r="B578" s="88" t="s">
        <v>2102</v>
      </c>
      <c r="C578" s="26" t="s">
        <v>37</v>
      </c>
      <c r="D578" s="999"/>
      <c r="E578" s="74">
        <v>0.03</v>
      </c>
      <c r="F578" s="129">
        <f t="shared" si="114"/>
        <v>0</v>
      </c>
      <c r="G578" s="130">
        <f t="shared" si="115"/>
        <v>0</v>
      </c>
      <c r="H578" s="131">
        <f t="shared" si="116"/>
        <v>0</v>
      </c>
    </row>
    <row r="579" spans="1:8" x14ac:dyDescent="0.25">
      <c r="A579" s="85" t="s">
        <v>2118</v>
      </c>
      <c r="B579" s="88" t="s">
        <v>2103</v>
      </c>
      <c r="C579" s="26" t="s">
        <v>37</v>
      </c>
      <c r="D579" s="999"/>
      <c r="E579" s="74">
        <v>0.03</v>
      </c>
      <c r="F579" s="129">
        <f t="shared" si="114"/>
        <v>0</v>
      </c>
      <c r="G579" s="130">
        <f t="shared" si="115"/>
        <v>0</v>
      </c>
      <c r="H579" s="131">
        <f t="shared" si="116"/>
        <v>0</v>
      </c>
    </row>
    <row r="580" spans="1:8" x14ac:dyDescent="0.25">
      <c r="A580" s="85" t="s">
        <v>2119</v>
      </c>
      <c r="B580" s="88" t="s">
        <v>2105</v>
      </c>
      <c r="C580" s="26" t="s">
        <v>37</v>
      </c>
      <c r="D580" s="999"/>
      <c r="E580" s="74">
        <v>0.03</v>
      </c>
      <c r="F580" s="129">
        <f t="shared" si="114"/>
        <v>0</v>
      </c>
      <c r="G580" s="130">
        <f t="shared" si="115"/>
        <v>0</v>
      </c>
      <c r="H580" s="131">
        <f t="shared" si="116"/>
        <v>0</v>
      </c>
    </row>
    <row r="581" spans="1:8" x14ac:dyDescent="0.25">
      <c r="A581" s="85" t="s">
        <v>2120</v>
      </c>
      <c r="B581" s="88" t="s">
        <v>2104</v>
      </c>
      <c r="C581" s="26" t="s">
        <v>37</v>
      </c>
      <c r="D581" s="999"/>
      <c r="E581" s="74">
        <v>0.03</v>
      </c>
      <c r="F581" s="129">
        <f t="shared" si="114"/>
        <v>0</v>
      </c>
      <c r="G581" s="130">
        <f t="shared" si="115"/>
        <v>0</v>
      </c>
      <c r="H581" s="131">
        <f t="shared" si="116"/>
        <v>0</v>
      </c>
    </row>
    <row r="582" spans="1:8" x14ac:dyDescent="0.25">
      <c r="A582" s="85" t="s">
        <v>2121</v>
      </c>
      <c r="B582" s="88" t="s">
        <v>2106</v>
      </c>
      <c r="C582" s="26" t="s">
        <v>37</v>
      </c>
      <c r="D582" s="999"/>
      <c r="E582" s="74">
        <v>0.03</v>
      </c>
      <c r="F582" s="129">
        <f t="shared" si="114"/>
        <v>0</v>
      </c>
      <c r="G582" s="130">
        <f t="shared" si="115"/>
        <v>0</v>
      </c>
      <c r="H582" s="131">
        <f t="shared" si="116"/>
        <v>0</v>
      </c>
    </row>
    <row r="583" spans="1:8" x14ac:dyDescent="0.25">
      <c r="A583" s="85" t="s">
        <v>2122</v>
      </c>
      <c r="B583" s="88" t="s">
        <v>2107</v>
      </c>
      <c r="C583" s="26" t="s">
        <v>37</v>
      </c>
      <c r="D583" s="999"/>
      <c r="E583" s="74">
        <v>0.03</v>
      </c>
      <c r="F583" s="129">
        <f t="shared" si="114"/>
        <v>0</v>
      </c>
      <c r="G583" s="130">
        <f t="shared" si="115"/>
        <v>0</v>
      </c>
      <c r="H583" s="131">
        <f t="shared" si="116"/>
        <v>0</v>
      </c>
    </row>
    <row r="584" spans="1:8" x14ac:dyDescent="0.25">
      <c r="A584" s="85" t="s">
        <v>2123</v>
      </c>
      <c r="B584" s="88" t="s">
        <v>2108</v>
      </c>
      <c r="C584" s="26" t="s">
        <v>37</v>
      </c>
      <c r="D584" s="999"/>
      <c r="E584" s="74">
        <v>0.03</v>
      </c>
      <c r="F584" s="129">
        <f t="shared" si="114"/>
        <v>0</v>
      </c>
      <c r="G584" s="130">
        <f t="shared" si="115"/>
        <v>0</v>
      </c>
      <c r="H584" s="131">
        <f t="shared" si="116"/>
        <v>0</v>
      </c>
    </row>
    <row r="585" spans="1:8" x14ac:dyDescent="0.25">
      <c r="A585" s="85" t="s">
        <v>2124</v>
      </c>
      <c r="B585" s="88" t="s">
        <v>2109</v>
      </c>
      <c r="C585" s="26" t="s">
        <v>37</v>
      </c>
      <c r="D585" s="999"/>
      <c r="E585" s="74">
        <v>0.03</v>
      </c>
      <c r="F585" s="129">
        <f t="shared" si="114"/>
        <v>0</v>
      </c>
      <c r="G585" s="130">
        <f t="shared" si="115"/>
        <v>0</v>
      </c>
      <c r="H585" s="131">
        <f t="shared" si="116"/>
        <v>0</v>
      </c>
    </row>
    <row r="586" spans="1:8" x14ac:dyDescent="0.25">
      <c r="A586" s="85" t="s">
        <v>2125</v>
      </c>
      <c r="B586" s="88" t="s">
        <v>2110</v>
      </c>
      <c r="C586" s="26" t="s">
        <v>37</v>
      </c>
      <c r="D586" s="999"/>
      <c r="E586" s="74">
        <v>0.03</v>
      </c>
      <c r="F586" s="129">
        <f t="shared" si="114"/>
        <v>0</v>
      </c>
      <c r="G586" s="130">
        <f t="shared" si="115"/>
        <v>0</v>
      </c>
      <c r="H586" s="131">
        <f t="shared" si="116"/>
        <v>0</v>
      </c>
    </row>
    <row r="587" spans="1:8" x14ac:dyDescent="0.25">
      <c r="A587" s="85" t="s">
        <v>2126</v>
      </c>
      <c r="B587" s="88" t="s">
        <v>2111</v>
      </c>
      <c r="C587" s="26" t="s">
        <v>37</v>
      </c>
      <c r="D587" s="999"/>
      <c r="E587" s="74">
        <v>0.03</v>
      </c>
      <c r="F587" s="129">
        <f t="shared" si="114"/>
        <v>0</v>
      </c>
      <c r="G587" s="130">
        <f t="shared" si="115"/>
        <v>0</v>
      </c>
      <c r="H587" s="131">
        <f t="shared" si="116"/>
        <v>0</v>
      </c>
    </row>
    <row r="588" spans="1:8" x14ac:dyDescent="0.25">
      <c r="A588" s="85" t="s">
        <v>2127</v>
      </c>
      <c r="B588" s="88" t="s">
        <v>2112</v>
      </c>
      <c r="C588" s="26" t="s">
        <v>37</v>
      </c>
      <c r="D588" s="999"/>
      <c r="E588" s="74">
        <v>0.03</v>
      </c>
      <c r="F588" s="129">
        <f t="shared" si="114"/>
        <v>0</v>
      </c>
      <c r="G588" s="130">
        <f t="shared" si="115"/>
        <v>0</v>
      </c>
      <c r="H588" s="131">
        <f t="shared" si="116"/>
        <v>0</v>
      </c>
    </row>
    <row r="589" spans="1:8" x14ac:dyDescent="0.25">
      <c r="A589" s="85" t="s">
        <v>2128</v>
      </c>
      <c r="B589" s="88" t="s">
        <v>2113</v>
      </c>
      <c r="C589" s="26" t="s">
        <v>37</v>
      </c>
      <c r="D589" s="999"/>
      <c r="E589" s="74">
        <v>0.03</v>
      </c>
      <c r="F589" s="129">
        <f t="shared" si="114"/>
        <v>0</v>
      </c>
      <c r="G589" s="130">
        <f t="shared" si="115"/>
        <v>0</v>
      </c>
      <c r="H589" s="131">
        <f t="shared" si="116"/>
        <v>0</v>
      </c>
    </row>
    <row r="590" spans="1:8" x14ac:dyDescent="0.25">
      <c r="A590" s="85" t="s">
        <v>2129</v>
      </c>
      <c r="B590" s="88" t="s">
        <v>2114</v>
      </c>
      <c r="C590" s="26" t="s">
        <v>37</v>
      </c>
      <c r="D590" s="999"/>
      <c r="E590" s="74">
        <v>0.03</v>
      </c>
      <c r="F590" s="129">
        <f t="shared" si="114"/>
        <v>0</v>
      </c>
      <c r="G590" s="130">
        <f t="shared" si="115"/>
        <v>0</v>
      </c>
      <c r="H590" s="131">
        <f t="shared" si="116"/>
        <v>0</v>
      </c>
    </row>
    <row r="591" spans="1:8" x14ac:dyDescent="0.25">
      <c r="A591" s="78" t="s">
        <v>2130</v>
      </c>
      <c r="B591" s="79" t="s">
        <v>2115</v>
      </c>
      <c r="C591" s="26"/>
      <c r="D591" s="999"/>
      <c r="E591" s="26"/>
      <c r="F591" s="26"/>
      <c r="G591" s="26"/>
      <c r="H591" s="92"/>
    </row>
    <row r="592" spans="1:8" x14ac:dyDescent="0.25">
      <c r="A592" s="85" t="s">
        <v>2131</v>
      </c>
      <c r="B592" s="88" t="s">
        <v>2100</v>
      </c>
      <c r="C592" s="26" t="s">
        <v>37</v>
      </c>
      <c r="D592" s="999"/>
      <c r="E592" s="74">
        <v>0.03</v>
      </c>
      <c r="F592" s="129">
        <f t="shared" ref="F592:F606" si="117">+D592+D592*E592</f>
        <v>0</v>
      </c>
      <c r="G592" s="130">
        <f t="shared" ref="G592:G606" si="118">F592*0.19</f>
        <v>0</v>
      </c>
      <c r="H592" s="131">
        <f t="shared" ref="H592:H606" si="119">ROUND((F592+G592),0)</f>
        <v>0</v>
      </c>
    </row>
    <row r="593" spans="1:8" x14ac:dyDescent="0.25">
      <c r="A593" s="85" t="s">
        <v>2132</v>
      </c>
      <c r="B593" s="88" t="s">
        <v>2101</v>
      </c>
      <c r="C593" s="26" t="s">
        <v>37</v>
      </c>
      <c r="D593" s="999"/>
      <c r="E593" s="74">
        <v>0.03</v>
      </c>
      <c r="F593" s="129">
        <f t="shared" si="117"/>
        <v>0</v>
      </c>
      <c r="G593" s="130">
        <f t="shared" si="118"/>
        <v>0</v>
      </c>
      <c r="H593" s="131">
        <f t="shared" si="119"/>
        <v>0</v>
      </c>
    </row>
    <row r="594" spans="1:8" x14ac:dyDescent="0.25">
      <c r="A594" s="85" t="s">
        <v>2133</v>
      </c>
      <c r="B594" s="88" t="s">
        <v>2102</v>
      </c>
      <c r="C594" s="26" t="s">
        <v>37</v>
      </c>
      <c r="D594" s="999"/>
      <c r="E594" s="74">
        <v>0.03</v>
      </c>
      <c r="F594" s="129">
        <f t="shared" si="117"/>
        <v>0</v>
      </c>
      <c r="G594" s="130">
        <f t="shared" si="118"/>
        <v>0</v>
      </c>
      <c r="H594" s="131">
        <f t="shared" si="119"/>
        <v>0</v>
      </c>
    </row>
    <row r="595" spans="1:8" x14ac:dyDescent="0.25">
      <c r="A595" s="85" t="s">
        <v>2134</v>
      </c>
      <c r="B595" s="88" t="s">
        <v>2103</v>
      </c>
      <c r="C595" s="26" t="s">
        <v>37</v>
      </c>
      <c r="D595" s="999"/>
      <c r="E595" s="74">
        <v>0.03</v>
      </c>
      <c r="F595" s="129">
        <f t="shared" si="117"/>
        <v>0</v>
      </c>
      <c r="G595" s="130">
        <f t="shared" si="118"/>
        <v>0</v>
      </c>
      <c r="H595" s="131">
        <f t="shared" si="119"/>
        <v>0</v>
      </c>
    </row>
    <row r="596" spans="1:8" x14ac:dyDescent="0.25">
      <c r="A596" s="85" t="s">
        <v>2135</v>
      </c>
      <c r="B596" s="88" t="s">
        <v>2105</v>
      </c>
      <c r="C596" s="26" t="s">
        <v>37</v>
      </c>
      <c r="D596" s="999"/>
      <c r="E596" s="74">
        <v>0.03</v>
      </c>
      <c r="F596" s="129">
        <f t="shared" si="117"/>
        <v>0</v>
      </c>
      <c r="G596" s="130">
        <f t="shared" si="118"/>
        <v>0</v>
      </c>
      <c r="H596" s="131">
        <f t="shared" si="119"/>
        <v>0</v>
      </c>
    </row>
    <row r="597" spans="1:8" x14ac:dyDescent="0.25">
      <c r="A597" s="85" t="s">
        <v>2136</v>
      </c>
      <c r="B597" s="88" t="s">
        <v>2104</v>
      </c>
      <c r="C597" s="26" t="s">
        <v>37</v>
      </c>
      <c r="D597" s="999"/>
      <c r="E597" s="74">
        <v>0.03</v>
      </c>
      <c r="F597" s="129">
        <f t="shared" si="117"/>
        <v>0</v>
      </c>
      <c r="G597" s="130">
        <f t="shared" si="118"/>
        <v>0</v>
      </c>
      <c r="H597" s="131">
        <f t="shared" si="119"/>
        <v>0</v>
      </c>
    </row>
    <row r="598" spans="1:8" x14ac:dyDescent="0.25">
      <c r="A598" s="85" t="s">
        <v>2137</v>
      </c>
      <c r="B598" s="88" t="s">
        <v>2106</v>
      </c>
      <c r="C598" s="26" t="s">
        <v>37</v>
      </c>
      <c r="D598" s="999"/>
      <c r="E598" s="74">
        <v>0.03</v>
      </c>
      <c r="F598" s="129">
        <f t="shared" si="117"/>
        <v>0</v>
      </c>
      <c r="G598" s="130">
        <f t="shared" si="118"/>
        <v>0</v>
      </c>
      <c r="H598" s="131">
        <f t="shared" si="119"/>
        <v>0</v>
      </c>
    </row>
    <row r="599" spans="1:8" x14ac:dyDescent="0.25">
      <c r="A599" s="85" t="s">
        <v>2138</v>
      </c>
      <c r="B599" s="88" t="s">
        <v>2107</v>
      </c>
      <c r="C599" s="26" t="s">
        <v>37</v>
      </c>
      <c r="D599" s="999"/>
      <c r="E599" s="74">
        <v>0.03</v>
      </c>
      <c r="F599" s="129">
        <f t="shared" si="117"/>
        <v>0</v>
      </c>
      <c r="G599" s="130">
        <f t="shared" si="118"/>
        <v>0</v>
      </c>
      <c r="H599" s="131">
        <f t="shared" si="119"/>
        <v>0</v>
      </c>
    </row>
    <row r="600" spans="1:8" x14ac:dyDescent="0.25">
      <c r="A600" s="85" t="s">
        <v>2139</v>
      </c>
      <c r="B600" s="88" t="s">
        <v>2108</v>
      </c>
      <c r="C600" s="26" t="s">
        <v>37</v>
      </c>
      <c r="D600" s="999"/>
      <c r="E600" s="74">
        <v>0.03</v>
      </c>
      <c r="F600" s="129">
        <f t="shared" si="117"/>
        <v>0</v>
      </c>
      <c r="G600" s="130">
        <f t="shared" si="118"/>
        <v>0</v>
      </c>
      <c r="H600" s="131">
        <f t="shared" si="119"/>
        <v>0</v>
      </c>
    </row>
    <row r="601" spans="1:8" x14ac:dyDescent="0.25">
      <c r="A601" s="85" t="s">
        <v>2140</v>
      </c>
      <c r="B601" s="88" t="s">
        <v>2109</v>
      </c>
      <c r="C601" s="26" t="s">
        <v>37</v>
      </c>
      <c r="D601" s="999"/>
      <c r="E601" s="74">
        <v>0.03</v>
      </c>
      <c r="F601" s="129">
        <f t="shared" si="117"/>
        <v>0</v>
      </c>
      <c r="G601" s="130">
        <f t="shared" si="118"/>
        <v>0</v>
      </c>
      <c r="H601" s="131">
        <f t="shared" si="119"/>
        <v>0</v>
      </c>
    </row>
    <row r="602" spans="1:8" x14ac:dyDescent="0.25">
      <c r="A602" s="85" t="s">
        <v>2141</v>
      </c>
      <c r="B602" s="88" t="s">
        <v>2110</v>
      </c>
      <c r="C602" s="26" t="s">
        <v>37</v>
      </c>
      <c r="D602" s="999"/>
      <c r="E602" s="74">
        <v>0.03</v>
      </c>
      <c r="F602" s="129">
        <f t="shared" si="117"/>
        <v>0</v>
      </c>
      <c r="G602" s="130">
        <f t="shared" si="118"/>
        <v>0</v>
      </c>
      <c r="H602" s="131">
        <f t="shared" si="119"/>
        <v>0</v>
      </c>
    </row>
    <row r="603" spans="1:8" x14ac:dyDescent="0.25">
      <c r="A603" s="85" t="s">
        <v>2142</v>
      </c>
      <c r="B603" s="88" t="s">
        <v>2111</v>
      </c>
      <c r="C603" s="26" t="s">
        <v>37</v>
      </c>
      <c r="D603" s="999"/>
      <c r="E603" s="74">
        <v>0.03</v>
      </c>
      <c r="F603" s="129">
        <f t="shared" si="117"/>
        <v>0</v>
      </c>
      <c r="G603" s="130">
        <f t="shared" si="118"/>
        <v>0</v>
      </c>
      <c r="H603" s="131">
        <f t="shared" si="119"/>
        <v>0</v>
      </c>
    </row>
    <row r="604" spans="1:8" x14ac:dyDescent="0.25">
      <c r="A604" s="85" t="s">
        <v>2143</v>
      </c>
      <c r="B604" s="88" t="s">
        <v>2112</v>
      </c>
      <c r="C604" s="26" t="s">
        <v>37</v>
      </c>
      <c r="D604" s="999"/>
      <c r="E604" s="74">
        <v>0.03</v>
      </c>
      <c r="F604" s="129">
        <f t="shared" si="117"/>
        <v>0</v>
      </c>
      <c r="G604" s="130">
        <f t="shared" si="118"/>
        <v>0</v>
      </c>
      <c r="H604" s="131">
        <f t="shared" si="119"/>
        <v>0</v>
      </c>
    </row>
    <row r="605" spans="1:8" x14ac:dyDescent="0.25">
      <c r="A605" s="85" t="s">
        <v>2144</v>
      </c>
      <c r="B605" s="88" t="s">
        <v>2113</v>
      </c>
      <c r="C605" s="26" t="s">
        <v>37</v>
      </c>
      <c r="D605" s="999"/>
      <c r="E605" s="74">
        <v>0.03</v>
      </c>
      <c r="F605" s="129">
        <f t="shared" si="117"/>
        <v>0</v>
      </c>
      <c r="G605" s="130">
        <f t="shared" si="118"/>
        <v>0</v>
      </c>
      <c r="H605" s="131">
        <f t="shared" si="119"/>
        <v>0</v>
      </c>
    </row>
    <row r="606" spans="1:8" x14ac:dyDescent="0.25">
      <c r="A606" s="85" t="s">
        <v>2145</v>
      </c>
      <c r="B606" s="88" t="s">
        <v>2114</v>
      </c>
      <c r="C606" s="26" t="s">
        <v>37</v>
      </c>
      <c r="D606" s="999"/>
      <c r="E606" s="74">
        <v>0.03</v>
      </c>
      <c r="F606" s="129">
        <f t="shared" si="117"/>
        <v>0</v>
      </c>
      <c r="G606" s="130">
        <f t="shared" si="118"/>
        <v>0</v>
      </c>
      <c r="H606" s="131">
        <f t="shared" si="119"/>
        <v>0</v>
      </c>
    </row>
    <row r="607" spans="1:8" x14ac:dyDescent="0.25">
      <c r="A607" s="44" t="s">
        <v>954</v>
      </c>
      <c r="B607" s="80" t="s">
        <v>2146</v>
      </c>
      <c r="C607" s="26"/>
      <c r="D607" s="999"/>
      <c r="E607" s="26"/>
      <c r="F607" s="26"/>
      <c r="G607" s="26"/>
      <c r="H607" s="92"/>
    </row>
    <row r="608" spans="1:8" x14ac:dyDescent="0.25">
      <c r="A608" s="78" t="s">
        <v>2157</v>
      </c>
      <c r="B608" s="79" t="s">
        <v>2147</v>
      </c>
      <c r="C608" s="26"/>
      <c r="D608" s="999"/>
      <c r="E608" s="26"/>
      <c r="F608" s="26"/>
      <c r="G608" s="26"/>
      <c r="H608" s="92"/>
    </row>
    <row r="609" spans="1:8" x14ac:dyDescent="0.25">
      <c r="A609" s="85" t="s">
        <v>2158</v>
      </c>
      <c r="B609" s="88" t="s">
        <v>2148</v>
      </c>
      <c r="C609" s="26" t="s">
        <v>37</v>
      </c>
      <c r="D609" s="999"/>
      <c r="E609" s="74">
        <v>0.03</v>
      </c>
      <c r="F609" s="129">
        <f t="shared" ref="F609:F617" si="120">+D609+D609*E609</f>
        <v>0</v>
      </c>
      <c r="G609" s="130">
        <f t="shared" ref="G609:G617" si="121">F609*0.19</f>
        <v>0</v>
      </c>
      <c r="H609" s="131">
        <f t="shared" ref="H609:H617" si="122">ROUND((F609+G609),0)</f>
        <v>0</v>
      </c>
    </row>
    <row r="610" spans="1:8" x14ac:dyDescent="0.25">
      <c r="A610" s="85" t="s">
        <v>2159</v>
      </c>
      <c r="B610" s="88" t="s">
        <v>2149</v>
      </c>
      <c r="C610" s="26" t="s">
        <v>37</v>
      </c>
      <c r="D610" s="999"/>
      <c r="E610" s="74">
        <v>0.03</v>
      </c>
      <c r="F610" s="129">
        <f t="shared" si="120"/>
        <v>0</v>
      </c>
      <c r="G610" s="130">
        <f t="shared" si="121"/>
        <v>0</v>
      </c>
      <c r="H610" s="131">
        <f t="shared" si="122"/>
        <v>0</v>
      </c>
    </row>
    <row r="611" spans="1:8" x14ac:dyDescent="0.25">
      <c r="A611" s="85" t="s">
        <v>2160</v>
      </c>
      <c r="B611" s="88" t="s">
        <v>2150</v>
      </c>
      <c r="C611" s="26" t="s">
        <v>37</v>
      </c>
      <c r="D611" s="999"/>
      <c r="E611" s="74">
        <v>0.03</v>
      </c>
      <c r="F611" s="129">
        <f t="shared" si="120"/>
        <v>0</v>
      </c>
      <c r="G611" s="130">
        <f t="shared" si="121"/>
        <v>0</v>
      </c>
      <c r="H611" s="131">
        <f t="shared" si="122"/>
        <v>0</v>
      </c>
    </row>
    <row r="612" spans="1:8" x14ac:dyDescent="0.25">
      <c r="A612" s="85" t="s">
        <v>2161</v>
      </c>
      <c r="B612" s="88" t="s">
        <v>2151</v>
      </c>
      <c r="C612" s="26" t="s">
        <v>37</v>
      </c>
      <c r="D612" s="999"/>
      <c r="E612" s="74">
        <v>0.03</v>
      </c>
      <c r="F612" s="129">
        <f t="shared" si="120"/>
        <v>0</v>
      </c>
      <c r="G612" s="130">
        <f t="shared" si="121"/>
        <v>0</v>
      </c>
      <c r="H612" s="131">
        <f t="shared" si="122"/>
        <v>0</v>
      </c>
    </row>
    <row r="613" spans="1:8" x14ac:dyDescent="0.25">
      <c r="A613" s="85" t="s">
        <v>2162</v>
      </c>
      <c r="B613" s="88" t="s">
        <v>2152</v>
      </c>
      <c r="C613" s="26" t="s">
        <v>37</v>
      </c>
      <c r="D613" s="999"/>
      <c r="E613" s="74">
        <v>0.03</v>
      </c>
      <c r="F613" s="129">
        <f t="shared" si="120"/>
        <v>0</v>
      </c>
      <c r="G613" s="130">
        <f t="shared" si="121"/>
        <v>0</v>
      </c>
      <c r="H613" s="131">
        <f t="shared" si="122"/>
        <v>0</v>
      </c>
    </row>
    <row r="614" spans="1:8" x14ac:dyDescent="0.25">
      <c r="A614" s="85" t="s">
        <v>2163</v>
      </c>
      <c r="B614" s="88" t="s">
        <v>2153</v>
      </c>
      <c r="C614" s="26" t="s">
        <v>37</v>
      </c>
      <c r="D614" s="999"/>
      <c r="E614" s="74">
        <v>0.03</v>
      </c>
      <c r="F614" s="129">
        <f t="shared" si="120"/>
        <v>0</v>
      </c>
      <c r="G614" s="130">
        <f t="shared" si="121"/>
        <v>0</v>
      </c>
      <c r="H614" s="131">
        <f t="shared" si="122"/>
        <v>0</v>
      </c>
    </row>
    <row r="615" spans="1:8" x14ac:dyDescent="0.25">
      <c r="A615" s="85" t="s">
        <v>2164</v>
      </c>
      <c r="B615" s="88" t="s">
        <v>2154</v>
      </c>
      <c r="C615" s="26" t="s">
        <v>37</v>
      </c>
      <c r="D615" s="999"/>
      <c r="E615" s="74">
        <v>0.03</v>
      </c>
      <c r="F615" s="129">
        <f t="shared" si="120"/>
        <v>0</v>
      </c>
      <c r="G615" s="130">
        <f t="shared" si="121"/>
        <v>0</v>
      </c>
      <c r="H615" s="131">
        <f t="shared" si="122"/>
        <v>0</v>
      </c>
    </row>
    <row r="616" spans="1:8" x14ac:dyDescent="0.25">
      <c r="A616" s="85" t="s">
        <v>2165</v>
      </c>
      <c r="B616" s="88" t="s">
        <v>2155</v>
      </c>
      <c r="C616" s="26" t="s">
        <v>37</v>
      </c>
      <c r="D616" s="999"/>
      <c r="E616" s="74">
        <v>0.03</v>
      </c>
      <c r="F616" s="129">
        <f t="shared" si="120"/>
        <v>0</v>
      </c>
      <c r="G616" s="130">
        <f t="shared" si="121"/>
        <v>0</v>
      </c>
      <c r="H616" s="131">
        <f t="shared" si="122"/>
        <v>0</v>
      </c>
    </row>
    <row r="617" spans="1:8" x14ac:dyDescent="0.25">
      <c r="A617" s="85" t="s">
        <v>2166</v>
      </c>
      <c r="B617" s="88" t="s">
        <v>2156</v>
      </c>
      <c r="C617" s="26" t="s">
        <v>37</v>
      </c>
      <c r="D617" s="999"/>
      <c r="E617" s="74">
        <v>0.03</v>
      </c>
      <c r="F617" s="129">
        <f t="shared" si="120"/>
        <v>0</v>
      </c>
      <c r="G617" s="130">
        <f t="shared" si="121"/>
        <v>0</v>
      </c>
      <c r="H617" s="131">
        <f t="shared" si="122"/>
        <v>0</v>
      </c>
    </row>
    <row r="618" spans="1:8" x14ac:dyDescent="0.25">
      <c r="A618" s="78" t="s">
        <v>955</v>
      </c>
      <c r="B618" s="79" t="s">
        <v>2167</v>
      </c>
      <c r="C618" s="26"/>
      <c r="D618" s="999"/>
      <c r="E618" s="26"/>
      <c r="F618" s="26"/>
      <c r="G618" s="26"/>
      <c r="H618" s="92"/>
    </row>
    <row r="619" spans="1:8" x14ac:dyDescent="0.25">
      <c r="A619" s="85" t="s">
        <v>2168</v>
      </c>
      <c r="B619" s="88" t="s">
        <v>2148</v>
      </c>
      <c r="C619" s="26" t="s">
        <v>37</v>
      </c>
      <c r="D619" s="999"/>
      <c r="E619" s="74">
        <v>0.03</v>
      </c>
      <c r="F619" s="129">
        <f t="shared" ref="F619:F627" si="123">+D619+D619*E619</f>
        <v>0</v>
      </c>
      <c r="G619" s="130">
        <f t="shared" ref="G619:G627" si="124">F619*0.19</f>
        <v>0</v>
      </c>
      <c r="H619" s="131">
        <f t="shared" ref="H619:H627" si="125">ROUND((F619+G619),0)</f>
        <v>0</v>
      </c>
    </row>
    <row r="620" spans="1:8" x14ac:dyDescent="0.25">
      <c r="A620" s="85" t="s">
        <v>2169</v>
      </c>
      <c r="B620" s="88" t="s">
        <v>2149</v>
      </c>
      <c r="C620" s="26" t="s">
        <v>37</v>
      </c>
      <c r="D620" s="999"/>
      <c r="E620" s="74">
        <v>0.03</v>
      </c>
      <c r="F620" s="129">
        <f t="shared" si="123"/>
        <v>0</v>
      </c>
      <c r="G620" s="130">
        <f t="shared" si="124"/>
        <v>0</v>
      </c>
      <c r="H620" s="131">
        <f t="shared" si="125"/>
        <v>0</v>
      </c>
    </row>
    <row r="621" spans="1:8" x14ac:dyDescent="0.25">
      <c r="A621" s="85" t="s">
        <v>956</v>
      </c>
      <c r="B621" s="88" t="s">
        <v>2150</v>
      </c>
      <c r="C621" s="26" t="s">
        <v>37</v>
      </c>
      <c r="D621" s="999"/>
      <c r="E621" s="74">
        <v>0.03</v>
      </c>
      <c r="F621" s="129">
        <f t="shared" si="123"/>
        <v>0</v>
      </c>
      <c r="G621" s="130">
        <f t="shared" si="124"/>
        <v>0</v>
      </c>
      <c r="H621" s="131">
        <f t="shared" si="125"/>
        <v>0</v>
      </c>
    </row>
    <row r="622" spans="1:8" x14ac:dyDescent="0.25">
      <c r="A622" s="85" t="s">
        <v>2170</v>
      </c>
      <c r="B622" s="88" t="s">
        <v>2151</v>
      </c>
      <c r="C622" s="26" t="s">
        <v>37</v>
      </c>
      <c r="D622" s="999"/>
      <c r="E622" s="74">
        <v>0.03</v>
      </c>
      <c r="F622" s="129">
        <f t="shared" si="123"/>
        <v>0</v>
      </c>
      <c r="G622" s="130">
        <f t="shared" si="124"/>
        <v>0</v>
      </c>
      <c r="H622" s="131">
        <f t="shared" si="125"/>
        <v>0</v>
      </c>
    </row>
    <row r="623" spans="1:8" x14ac:dyDescent="0.25">
      <c r="A623" s="85" t="s">
        <v>2171</v>
      </c>
      <c r="B623" s="88" t="s">
        <v>2152</v>
      </c>
      <c r="C623" s="26" t="s">
        <v>37</v>
      </c>
      <c r="D623" s="999"/>
      <c r="E623" s="74">
        <v>0.03</v>
      </c>
      <c r="F623" s="129">
        <f t="shared" si="123"/>
        <v>0</v>
      </c>
      <c r="G623" s="130">
        <f t="shared" si="124"/>
        <v>0</v>
      </c>
      <c r="H623" s="131">
        <f t="shared" si="125"/>
        <v>0</v>
      </c>
    </row>
    <row r="624" spans="1:8" x14ac:dyDescent="0.25">
      <c r="A624" s="85" t="s">
        <v>2172</v>
      </c>
      <c r="B624" s="88" t="s">
        <v>2153</v>
      </c>
      <c r="C624" s="26" t="s">
        <v>37</v>
      </c>
      <c r="D624" s="999"/>
      <c r="E624" s="74">
        <v>0.03</v>
      </c>
      <c r="F624" s="129">
        <f t="shared" si="123"/>
        <v>0</v>
      </c>
      <c r="G624" s="130">
        <f t="shared" si="124"/>
        <v>0</v>
      </c>
      <c r="H624" s="131">
        <f t="shared" si="125"/>
        <v>0</v>
      </c>
    </row>
    <row r="625" spans="1:8" x14ac:dyDescent="0.25">
      <c r="A625" s="85" t="s">
        <v>2173</v>
      </c>
      <c r="B625" s="88" t="s">
        <v>2154</v>
      </c>
      <c r="C625" s="26" t="s">
        <v>37</v>
      </c>
      <c r="D625" s="999"/>
      <c r="E625" s="74">
        <v>0.03</v>
      </c>
      <c r="F625" s="129">
        <f t="shared" si="123"/>
        <v>0</v>
      </c>
      <c r="G625" s="130">
        <f t="shared" si="124"/>
        <v>0</v>
      </c>
      <c r="H625" s="131">
        <f t="shared" si="125"/>
        <v>0</v>
      </c>
    </row>
    <row r="626" spans="1:8" x14ac:dyDescent="0.25">
      <c r="A626" s="85" t="s">
        <v>2174</v>
      </c>
      <c r="B626" s="88" t="s">
        <v>2155</v>
      </c>
      <c r="C626" s="26" t="s">
        <v>37</v>
      </c>
      <c r="D626" s="999"/>
      <c r="E626" s="74">
        <v>0.03</v>
      </c>
      <c r="F626" s="129">
        <f t="shared" si="123"/>
        <v>0</v>
      </c>
      <c r="G626" s="130">
        <f t="shared" si="124"/>
        <v>0</v>
      </c>
      <c r="H626" s="131">
        <f t="shared" si="125"/>
        <v>0</v>
      </c>
    </row>
    <row r="627" spans="1:8" x14ac:dyDescent="0.25">
      <c r="A627" s="85" t="s">
        <v>2175</v>
      </c>
      <c r="B627" s="88" t="s">
        <v>2156</v>
      </c>
      <c r="C627" s="26" t="s">
        <v>37</v>
      </c>
      <c r="D627" s="999"/>
      <c r="E627" s="74">
        <v>0.03</v>
      </c>
      <c r="F627" s="129">
        <f t="shared" si="123"/>
        <v>0</v>
      </c>
      <c r="G627" s="130">
        <f t="shared" si="124"/>
        <v>0</v>
      </c>
      <c r="H627" s="131">
        <f t="shared" si="125"/>
        <v>0</v>
      </c>
    </row>
    <row r="628" spans="1:8" x14ac:dyDescent="0.25">
      <c r="A628" s="78" t="s">
        <v>2176</v>
      </c>
      <c r="B628" s="79" t="s">
        <v>2177</v>
      </c>
      <c r="C628" s="26"/>
      <c r="D628" s="999"/>
      <c r="E628" s="26"/>
      <c r="F628" s="26"/>
      <c r="G628" s="26"/>
      <c r="H628" s="92"/>
    </row>
    <row r="629" spans="1:8" x14ac:dyDescent="0.25">
      <c r="A629" s="85" t="s">
        <v>2178</v>
      </c>
      <c r="B629" s="88" t="s">
        <v>2179</v>
      </c>
      <c r="C629" s="26" t="s">
        <v>37</v>
      </c>
      <c r="D629" s="999"/>
      <c r="E629" s="74">
        <v>0.03</v>
      </c>
      <c r="F629" s="129">
        <f t="shared" ref="F629:F638" si="126">+D629+D629*E629</f>
        <v>0</v>
      </c>
      <c r="G629" s="130">
        <f t="shared" ref="G629:G638" si="127">F629*0.19</f>
        <v>0</v>
      </c>
      <c r="H629" s="131">
        <f t="shared" ref="H629:H638" si="128">ROUND((F629+G629),0)</f>
        <v>0</v>
      </c>
    </row>
    <row r="630" spans="1:8" x14ac:dyDescent="0.25">
      <c r="A630" s="85" t="s">
        <v>2189</v>
      </c>
      <c r="B630" s="88" t="s">
        <v>2180</v>
      </c>
      <c r="C630" s="26" t="s">
        <v>37</v>
      </c>
      <c r="D630" s="999"/>
      <c r="E630" s="74">
        <v>0.03</v>
      </c>
      <c r="F630" s="129">
        <f t="shared" si="126"/>
        <v>0</v>
      </c>
      <c r="G630" s="130">
        <f t="shared" si="127"/>
        <v>0</v>
      </c>
      <c r="H630" s="131">
        <f t="shared" si="128"/>
        <v>0</v>
      </c>
    </row>
    <row r="631" spans="1:8" x14ac:dyDescent="0.25">
      <c r="A631" s="85" t="s">
        <v>2190</v>
      </c>
      <c r="B631" s="88" t="s">
        <v>2181</v>
      </c>
      <c r="C631" s="26" t="s">
        <v>37</v>
      </c>
      <c r="D631" s="999"/>
      <c r="E631" s="74">
        <v>0.03</v>
      </c>
      <c r="F631" s="129">
        <f t="shared" si="126"/>
        <v>0</v>
      </c>
      <c r="G631" s="130">
        <f t="shared" si="127"/>
        <v>0</v>
      </c>
      <c r="H631" s="131">
        <f t="shared" si="128"/>
        <v>0</v>
      </c>
    </row>
    <row r="632" spans="1:8" x14ac:dyDescent="0.25">
      <c r="A632" s="85" t="s">
        <v>2191</v>
      </c>
      <c r="B632" s="88" t="s">
        <v>2182</v>
      </c>
      <c r="C632" s="26" t="s">
        <v>37</v>
      </c>
      <c r="D632" s="999"/>
      <c r="E632" s="74">
        <v>0.03</v>
      </c>
      <c r="F632" s="129">
        <f t="shared" si="126"/>
        <v>0</v>
      </c>
      <c r="G632" s="130">
        <f t="shared" si="127"/>
        <v>0</v>
      </c>
      <c r="H632" s="131">
        <f t="shared" si="128"/>
        <v>0</v>
      </c>
    </row>
    <row r="633" spans="1:8" x14ac:dyDescent="0.25">
      <c r="A633" s="85" t="s">
        <v>2192</v>
      </c>
      <c r="B633" s="88" t="s">
        <v>2183</v>
      </c>
      <c r="C633" s="26" t="s">
        <v>37</v>
      </c>
      <c r="D633" s="999"/>
      <c r="E633" s="74">
        <v>0.03</v>
      </c>
      <c r="F633" s="129">
        <f t="shared" si="126"/>
        <v>0</v>
      </c>
      <c r="G633" s="130">
        <f t="shared" si="127"/>
        <v>0</v>
      </c>
      <c r="H633" s="131">
        <f t="shared" si="128"/>
        <v>0</v>
      </c>
    </row>
    <row r="634" spans="1:8" x14ac:dyDescent="0.25">
      <c r="A634" s="85" t="s">
        <v>2193</v>
      </c>
      <c r="B634" s="88" t="s">
        <v>2184</v>
      </c>
      <c r="C634" s="26" t="s">
        <v>37</v>
      </c>
      <c r="D634" s="999"/>
      <c r="E634" s="74">
        <v>0.03</v>
      </c>
      <c r="F634" s="129">
        <f t="shared" si="126"/>
        <v>0</v>
      </c>
      <c r="G634" s="130">
        <f t="shared" si="127"/>
        <v>0</v>
      </c>
      <c r="H634" s="131">
        <f t="shared" si="128"/>
        <v>0</v>
      </c>
    </row>
    <row r="635" spans="1:8" x14ac:dyDescent="0.25">
      <c r="A635" s="85" t="s">
        <v>2194</v>
      </c>
      <c r="B635" s="88" t="s">
        <v>2185</v>
      </c>
      <c r="C635" s="26" t="s">
        <v>37</v>
      </c>
      <c r="D635" s="999"/>
      <c r="E635" s="74">
        <v>0.03</v>
      </c>
      <c r="F635" s="129">
        <f t="shared" si="126"/>
        <v>0</v>
      </c>
      <c r="G635" s="130">
        <f t="shared" si="127"/>
        <v>0</v>
      </c>
      <c r="H635" s="131">
        <f t="shared" si="128"/>
        <v>0</v>
      </c>
    </row>
    <row r="636" spans="1:8" x14ac:dyDescent="0.25">
      <c r="A636" s="85" t="s">
        <v>2195</v>
      </c>
      <c r="B636" s="88" t="s">
        <v>2186</v>
      </c>
      <c r="C636" s="26" t="s">
        <v>37</v>
      </c>
      <c r="D636" s="999"/>
      <c r="E636" s="74">
        <v>0.03</v>
      </c>
      <c r="F636" s="129">
        <f t="shared" si="126"/>
        <v>0</v>
      </c>
      <c r="G636" s="130">
        <f t="shared" si="127"/>
        <v>0</v>
      </c>
      <c r="H636" s="131">
        <f t="shared" si="128"/>
        <v>0</v>
      </c>
    </row>
    <row r="637" spans="1:8" x14ac:dyDescent="0.25">
      <c r="A637" s="85" t="s">
        <v>2196</v>
      </c>
      <c r="B637" s="88" t="s">
        <v>2187</v>
      </c>
      <c r="C637" s="26" t="s">
        <v>37</v>
      </c>
      <c r="D637" s="1001"/>
      <c r="E637" s="74">
        <v>0.03</v>
      </c>
      <c r="F637" s="129">
        <f t="shared" si="126"/>
        <v>0</v>
      </c>
      <c r="G637" s="130">
        <f t="shared" si="127"/>
        <v>0</v>
      </c>
      <c r="H637" s="131">
        <f t="shared" si="128"/>
        <v>0</v>
      </c>
    </row>
    <row r="638" spans="1:8" x14ac:dyDescent="0.25">
      <c r="A638" s="85" t="s">
        <v>2197</v>
      </c>
      <c r="B638" s="88" t="s">
        <v>2188</v>
      </c>
      <c r="C638" s="26" t="s">
        <v>37</v>
      </c>
      <c r="D638" s="1001"/>
      <c r="E638" s="74">
        <v>0.03</v>
      </c>
      <c r="F638" s="129">
        <f t="shared" si="126"/>
        <v>0</v>
      </c>
      <c r="G638" s="130">
        <f t="shared" si="127"/>
        <v>0</v>
      </c>
      <c r="H638" s="131">
        <f t="shared" si="128"/>
        <v>0</v>
      </c>
    </row>
    <row r="639" spans="1:8" x14ac:dyDescent="0.25">
      <c r="A639" s="78" t="s">
        <v>2198</v>
      </c>
      <c r="B639" s="79" t="s">
        <v>2199</v>
      </c>
      <c r="C639" s="14"/>
      <c r="D639" s="1001"/>
      <c r="E639" s="74"/>
      <c r="F639" s="75"/>
      <c r="G639" s="76"/>
      <c r="H639" s="77"/>
    </row>
    <row r="640" spans="1:8" x14ac:dyDescent="0.25">
      <c r="A640" s="85" t="s">
        <v>2200</v>
      </c>
      <c r="B640" s="88" t="s">
        <v>2201</v>
      </c>
      <c r="C640" s="26" t="s">
        <v>37</v>
      </c>
      <c r="D640" s="1001"/>
      <c r="E640" s="74">
        <v>0.05</v>
      </c>
      <c r="F640" s="129">
        <f t="shared" ref="F640:F649" si="129">+D640+D640*E640</f>
        <v>0</v>
      </c>
      <c r="G640" s="130">
        <f t="shared" ref="G640:G649" si="130">F640*0.19</f>
        <v>0</v>
      </c>
      <c r="H640" s="131">
        <f t="shared" ref="H640:H649" si="131">ROUND((F640+G640),0)</f>
        <v>0</v>
      </c>
    </row>
    <row r="641" spans="1:8" x14ac:dyDescent="0.25">
      <c r="A641" s="85" t="s">
        <v>2211</v>
      </c>
      <c r="B641" s="88" t="s">
        <v>2202</v>
      </c>
      <c r="C641" s="26" t="s">
        <v>37</v>
      </c>
      <c r="D641" s="1001"/>
      <c r="E641" s="74">
        <v>0.05</v>
      </c>
      <c r="F641" s="129">
        <f t="shared" si="129"/>
        <v>0</v>
      </c>
      <c r="G641" s="130">
        <f t="shared" si="130"/>
        <v>0</v>
      </c>
      <c r="H641" s="131">
        <f t="shared" si="131"/>
        <v>0</v>
      </c>
    </row>
    <row r="642" spans="1:8" x14ac:dyDescent="0.25">
      <c r="A642" s="85" t="s">
        <v>2212</v>
      </c>
      <c r="B642" s="88" t="s">
        <v>2203</v>
      </c>
      <c r="C642" s="26" t="s">
        <v>37</v>
      </c>
      <c r="D642" s="1001"/>
      <c r="E642" s="74">
        <v>0.05</v>
      </c>
      <c r="F642" s="129">
        <f t="shared" si="129"/>
        <v>0</v>
      </c>
      <c r="G642" s="130">
        <f t="shared" si="130"/>
        <v>0</v>
      </c>
      <c r="H642" s="131">
        <f t="shared" si="131"/>
        <v>0</v>
      </c>
    </row>
    <row r="643" spans="1:8" x14ac:dyDescent="0.25">
      <c r="A643" s="85" t="s">
        <v>2213</v>
      </c>
      <c r="B643" s="88" t="s">
        <v>2204</v>
      </c>
      <c r="C643" s="26" t="s">
        <v>37</v>
      </c>
      <c r="D643" s="1001"/>
      <c r="E643" s="74">
        <v>0.05</v>
      </c>
      <c r="F643" s="129">
        <f t="shared" si="129"/>
        <v>0</v>
      </c>
      <c r="G643" s="130">
        <f t="shared" si="130"/>
        <v>0</v>
      </c>
      <c r="H643" s="131">
        <f t="shared" si="131"/>
        <v>0</v>
      </c>
    </row>
    <row r="644" spans="1:8" x14ac:dyDescent="0.25">
      <c r="A644" s="85" t="s">
        <v>2214</v>
      </c>
      <c r="B644" s="88" t="s">
        <v>2205</v>
      </c>
      <c r="C644" s="26" t="s">
        <v>37</v>
      </c>
      <c r="D644" s="1001"/>
      <c r="E644" s="74">
        <v>0.05</v>
      </c>
      <c r="F644" s="129">
        <f t="shared" si="129"/>
        <v>0</v>
      </c>
      <c r="G644" s="130">
        <f t="shared" si="130"/>
        <v>0</v>
      </c>
      <c r="H644" s="131">
        <f t="shared" si="131"/>
        <v>0</v>
      </c>
    </row>
    <row r="645" spans="1:8" x14ac:dyDescent="0.25">
      <c r="A645" s="85" t="s">
        <v>2215</v>
      </c>
      <c r="B645" s="88" t="s">
        <v>2206</v>
      </c>
      <c r="C645" s="26" t="s">
        <v>37</v>
      </c>
      <c r="D645" s="1001"/>
      <c r="E645" s="74">
        <v>0.05</v>
      </c>
      <c r="F645" s="129">
        <f t="shared" si="129"/>
        <v>0</v>
      </c>
      <c r="G645" s="130">
        <f t="shared" si="130"/>
        <v>0</v>
      </c>
      <c r="H645" s="131">
        <f t="shared" si="131"/>
        <v>0</v>
      </c>
    </row>
    <row r="646" spans="1:8" x14ac:dyDescent="0.25">
      <c r="A646" s="85" t="s">
        <v>2216</v>
      </c>
      <c r="B646" s="88" t="s">
        <v>2207</v>
      </c>
      <c r="C646" s="26" t="s">
        <v>37</v>
      </c>
      <c r="D646" s="1001"/>
      <c r="E646" s="74">
        <v>0.05</v>
      </c>
      <c r="F646" s="129">
        <f t="shared" si="129"/>
        <v>0</v>
      </c>
      <c r="G646" s="130">
        <f t="shared" si="130"/>
        <v>0</v>
      </c>
      <c r="H646" s="131">
        <f t="shared" si="131"/>
        <v>0</v>
      </c>
    </row>
    <row r="647" spans="1:8" x14ac:dyDescent="0.25">
      <c r="A647" s="85" t="s">
        <v>2217</v>
      </c>
      <c r="B647" s="88" t="s">
        <v>2208</v>
      </c>
      <c r="C647" s="26" t="s">
        <v>37</v>
      </c>
      <c r="D647" s="1001"/>
      <c r="E647" s="74">
        <v>0.05</v>
      </c>
      <c r="F647" s="129">
        <f t="shared" si="129"/>
        <v>0</v>
      </c>
      <c r="G647" s="130">
        <f t="shared" si="130"/>
        <v>0</v>
      </c>
      <c r="H647" s="131">
        <f t="shared" si="131"/>
        <v>0</v>
      </c>
    </row>
    <row r="648" spans="1:8" x14ac:dyDescent="0.25">
      <c r="A648" s="85" t="s">
        <v>2218</v>
      </c>
      <c r="B648" s="88" t="s">
        <v>2210</v>
      </c>
      <c r="C648" s="26" t="s">
        <v>37</v>
      </c>
      <c r="D648" s="1001"/>
      <c r="E648" s="74">
        <v>0.05</v>
      </c>
      <c r="F648" s="129">
        <f t="shared" si="129"/>
        <v>0</v>
      </c>
      <c r="G648" s="130">
        <f t="shared" si="130"/>
        <v>0</v>
      </c>
      <c r="H648" s="131">
        <f t="shared" si="131"/>
        <v>0</v>
      </c>
    </row>
    <row r="649" spans="1:8" x14ac:dyDescent="0.25">
      <c r="A649" s="85" t="s">
        <v>2219</v>
      </c>
      <c r="B649" s="88" t="s">
        <v>2209</v>
      </c>
      <c r="C649" s="26" t="s">
        <v>37</v>
      </c>
      <c r="D649" s="1001"/>
      <c r="E649" s="74">
        <v>0.05</v>
      </c>
      <c r="F649" s="129">
        <f t="shared" si="129"/>
        <v>0</v>
      </c>
      <c r="G649" s="130">
        <f t="shared" si="130"/>
        <v>0</v>
      </c>
      <c r="H649" s="131">
        <f t="shared" si="131"/>
        <v>0</v>
      </c>
    </row>
    <row r="650" spans="1:8" x14ac:dyDescent="0.25">
      <c r="A650" s="78" t="s">
        <v>2220</v>
      </c>
      <c r="B650" s="79" t="s">
        <v>2222</v>
      </c>
      <c r="C650" s="14"/>
      <c r="D650" s="1001"/>
      <c r="E650" s="74"/>
      <c r="F650" s="75"/>
      <c r="G650" s="76"/>
      <c r="H650" s="77"/>
    </row>
    <row r="651" spans="1:8" x14ac:dyDescent="0.25">
      <c r="A651" s="78" t="s">
        <v>2221</v>
      </c>
      <c r="B651" s="79" t="s">
        <v>2223</v>
      </c>
      <c r="C651" s="14"/>
      <c r="D651" s="1001"/>
      <c r="E651" s="74"/>
      <c r="F651" s="75"/>
      <c r="G651" s="76"/>
      <c r="H651" s="77"/>
    </row>
    <row r="652" spans="1:8" x14ac:dyDescent="0.25">
      <c r="A652" s="85" t="s">
        <v>2224</v>
      </c>
      <c r="B652" s="88" t="s">
        <v>1951</v>
      </c>
      <c r="C652" s="26" t="s">
        <v>37</v>
      </c>
      <c r="D652" s="1001"/>
      <c r="E652" s="74">
        <v>0.03</v>
      </c>
      <c r="F652" s="129">
        <f>+D652+D652*E652</f>
        <v>0</v>
      </c>
      <c r="G652" s="130">
        <f>F652*0.19</f>
        <v>0</v>
      </c>
      <c r="H652" s="131">
        <f>ROUND((F652+G652),0)</f>
        <v>0</v>
      </c>
    </row>
    <row r="653" spans="1:8" x14ac:dyDescent="0.25">
      <c r="A653" s="85" t="s">
        <v>2225</v>
      </c>
      <c r="B653" s="88" t="s">
        <v>1952</v>
      </c>
      <c r="C653" s="26" t="s">
        <v>37</v>
      </c>
      <c r="D653" s="1001"/>
      <c r="E653" s="74">
        <v>0.03</v>
      </c>
      <c r="F653" s="129">
        <f>+D653+D653*E653</f>
        <v>0</v>
      </c>
      <c r="G653" s="130">
        <f>F653*0.19</f>
        <v>0</v>
      </c>
      <c r="H653" s="131">
        <f>ROUND((F653+G653),0)</f>
        <v>0</v>
      </c>
    </row>
    <row r="654" spans="1:8" x14ac:dyDescent="0.25">
      <c r="A654" s="85" t="s">
        <v>2226</v>
      </c>
      <c r="B654" s="88" t="s">
        <v>1954</v>
      </c>
      <c r="C654" s="26" t="s">
        <v>37</v>
      </c>
      <c r="D654" s="1001"/>
      <c r="E654" s="74">
        <v>0.03</v>
      </c>
      <c r="F654" s="129">
        <f>+D654+D654*E654</f>
        <v>0</v>
      </c>
      <c r="G654" s="130">
        <f>F654*0.19</f>
        <v>0</v>
      </c>
      <c r="H654" s="131">
        <f>ROUND((F654+G654),0)</f>
        <v>0</v>
      </c>
    </row>
    <row r="655" spans="1:8" x14ac:dyDescent="0.25">
      <c r="A655" s="85" t="s">
        <v>2227</v>
      </c>
      <c r="B655" s="88" t="s">
        <v>1957</v>
      </c>
      <c r="C655" s="26" t="s">
        <v>37</v>
      </c>
      <c r="D655" s="1001"/>
      <c r="E655" s="74">
        <v>0.03</v>
      </c>
      <c r="F655" s="129">
        <f>+D655+D655*E655</f>
        <v>0</v>
      </c>
      <c r="G655" s="130">
        <f>F655*0.19</f>
        <v>0</v>
      </c>
      <c r="H655" s="131">
        <f>ROUND((F655+G655),0)</f>
        <v>0</v>
      </c>
    </row>
    <row r="656" spans="1:8" x14ac:dyDescent="0.25">
      <c r="A656" s="78" t="s">
        <v>2228</v>
      </c>
      <c r="B656" s="79" t="s">
        <v>2229</v>
      </c>
      <c r="C656" s="14"/>
      <c r="D656" s="1001"/>
      <c r="E656" s="74"/>
      <c r="F656" s="75"/>
      <c r="G656" s="76"/>
      <c r="H656" s="77"/>
    </row>
    <row r="657" spans="1:8" x14ac:dyDescent="0.25">
      <c r="A657" s="85" t="s">
        <v>2230</v>
      </c>
      <c r="B657" s="88" t="s">
        <v>1999</v>
      </c>
      <c r="C657" s="26" t="s">
        <v>37</v>
      </c>
      <c r="D657" s="1001"/>
      <c r="E657" s="74">
        <v>0.03</v>
      </c>
      <c r="F657" s="129">
        <f>+D657+D657*E657</f>
        <v>0</v>
      </c>
      <c r="G657" s="130">
        <f>F657*0.19</f>
        <v>0</v>
      </c>
      <c r="H657" s="131">
        <f>ROUND((F657+G657),0)</f>
        <v>0</v>
      </c>
    </row>
    <row r="658" spans="1:8" x14ac:dyDescent="0.25">
      <c r="A658" s="85" t="s">
        <v>2231</v>
      </c>
      <c r="B658" s="88" t="s">
        <v>2000</v>
      </c>
      <c r="C658" s="26" t="s">
        <v>37</v>
      </c>
      <c r="D658" s="1001"/>
      <c r="E658" s="74">
        <v>0.03</v>
      </c>
      <c r="F658" s="129">
        <f>+D658+D658*E658</f>
        <v>0</v>
      </c>
      <c r="G658" s="130">
        <f>F658*0.19</f>
        <v>0</v>
      </c>
      <c r="H658" s="131">
        <f>ROUND((F658+G658),0)</f>
        <v>0</v>
      </c>
    </row>
    <row r="659" spans="1:8" x14ac:dyDescent="0.25">
      <c r="A659" s="85" t="s">
        <v>2232</v>
      </c>
      <c r="B659" s="88" t="s">
        <v>2003</v>
      </c>
      <c r="C659" s="26" t="s">
        <v>37</v>
      </c>
      <c r="D659" s="1001"/>
      <c r="E659" s="74">
        <v>0.03</v>
      </c>
      <c r="F659" s="129">
        <f>+D659+D659*E659</f>
        <v>0</v>
      </c>
      <c r="G659" s="130">
        <f>F659*0.19</f>
        <v>0</v>
      </c>
      <c r="H659" s="131">
        <f>ROUND((F659+G659),0)</f>
        <v>0</v>
      </c>
    </row>
    <row r="660" spans="1:8" x14ac:dyDescent="0.25">
      <c r="A660" s="85" t="s">
        <v>2233</v>
      </c>
      <c r="B660" s="88" t="s">
        <v>2005</v>
      </c>
      <c r="C660" s="26" t="s">
        <v>37</v>
      </c>
      <c r="D660" s="1001"/>
      <c r="E660" s="74">
        <v>0.03</v>
      </c>
      <c r="F660" s="129">
        <f>+D660+D660*E660</f>
        <v>0</v>
      </c>
      <c r="G660" s="130">
        <f>F660*0.19</f>
        <v>0</v>
      </c>
      <c r="H660" s="131">
        <f>ROUND((F660+G660),0)</f>
        <v>0</v>
      </c>
    </row>
    <row r="661" spans="1:8" x14ac:dyDescent="0.25">
      <c r="A661" s="78" t="s">
        <v>2234</v>
      </c>
      <c r="B661" s="79" t="s">
        <v>2235</v>
      </c>
      <c r="C661" s="14"/>
      <c r="D661" s="1001"/>
      <c r="E661" s="74"/>
      <c r="F661" s="75"/>
      <c r="G661" s="76"/>
      <c r="H661" s="77"/>
    </row>
    <row r="662" spans="1:8" x14ac:dyDescent="0.25">
      <c r="A662" s="85" t="s">
        <v>2236</v>
      </c>
      <c r="B662" s="88" t="s">
        <v>2032</v>
      </c>
      <c r="C662" s="26" t="s">
        <v>37</v>
      </c>
      <c r="D662" s="1001"/>
      <c r="E662" s="74">
        <v>0.03</v>
      </c>
      <c r="F662" s="129">
        <f>+D662+D662*E662</f>
        <v>0</v>
      </c>
      <c r="G662" s="130">
        <f>F662*0.19</f>
        <v>0</v>
      </c>
      <c r="H662" s="131">
        <f>ROUND((F662+G662),0)</f>
        <v>0</v>
      </c>
    </row>
    <row r="663" spans="1:8" x14ac:dyDescent="0.25">
      <c r="A663" s="85" t="s">
        <v>2237</v>
      </c>
      <c r="B663" s="88" t="s">
        <v>2034</v>
      </c>
      <c r="C663" s="26" t="s">
        <v>37</v>
      </c>
      <c r="D663" s="1001"/>
      <c r="E663" s="74">
        <v>0.03</v>
      </c>
      <c r="F663" s="129">
        <f>+D663+D663*E663</f>
        <v>0</v>
      </c>
      <c r="G663" s="130">
        <f>F663*0.19</f>
        <v>0</v>
      </c>
      <c r="H663" s="131">
        <f>ROUND((F663+G663),0)</f>
        <v>0</v>
      </c>
    </row>
    <row r="664" spans="1:8" x14ac:dyDescent="0.25">
      <c r="A664" s="85" t="s">
        <v>2238</v>
      </c>
      <c r="B664" s="88" t="s">
        <v>2035</v>
      </c>
      <c r="C664" s="26" t="s">
        <v>37</v>
      </c>
      <c r="D664" s="1001"/>
      <c r="E664" s="74">
        <v>0.03</v>
      </c>
      <c r="F664" s="129">
        <f>+D664+D664*E664</f>
        <v>0</v>
      </c>
      <c r="G664" s="130">
        <f>F664*0.19</f>
        <v>0</v>
      </c>
      <c r="H664" s="131">
        <f>ROUND((F664+G664),0)</f>
        <v>0</v>
      </c>
    </row>
    <row r="665" spans="1:8" x14ac:dyDescent="0.25">
      <c r="A665" s="85" t="s">
        <v>2239</v>
      </c>
      <c r="B665" s="88" t="s">
        <v>2038</v>
      </c>
      <c r="C665" s="26" t="s">
        <v>37</v>
      </c>
      <c r="D665" s="1001"/>
      <c r="E665" s="74">
        <v>0.03</v>
      </c>
      <c r="F665" s="129">
        <f>+D665+D665*E665</f>
        <v>0</v>
      </c>
      <c r="G665" s="130">
        <f>F665*0.19</f>
        <v>0</v>
      </c>
      <c r="H665" s="131">
        <f>ROUND((F665+G665),0)</f>
        <v>0</v>
      </c>
    </row>
    <row r="666" spans="1:8" x14ac:dyDescent="0.25">
      <c r="A666" s="85" t="s">
        <v>2240</v>
      </c>
      <c r="B666" s="88" t="s">
        <v>2040</v>
      </c>
      <c r="C666" s="26" t="s">
        <v>37</v>
      </c>
      <c r="D666" s="1001"/>
      <c r="E666" s="74">
        <v>0.03</v>
      </c>
      <c r="F666" s="129">
        <f>+D666+D666*E666</f>
        <v>0</v>
      </c>
      <c r="G666" s="130">
        <f>F666*0.19</f>
        <v>0</v>
      </c>
      <c r="H666" s="131">
        <f>ROUND((F666+G666),0)</f>
        <v>0</v>
      </c>
    </row>
    <row r="667" spans="1:8" x14ac:dyDescent="0.25">
      <c r="A667" s="78" t="s">
        <v>2242</v>
      </c>
      <c r="B667" s="79" t="s">
        <v>2241</v>
      </c>
      <c r="C667" s="14"/>
      <c r="D667" s="1001"/>
      <c r="E667" s="74"/>
      <c r="F667" s="75"/>
      <c r="G667" s="76"/>
      <c r="H667" s="77"/>
    </row>
    <row r="668" spans="1:8" x14ac:dyDescent="0.25">
      <c r="A668" s="85" t="s">
        <v>2243</v>
      </c>
      <c r="B668" s="88" t="s">
        <v>2101</v>
      </c>
      <c r="C668" s="26" t="s">
        <v>37</v>
      </c>
      <c r="D668" s="1001"/>
      <c r="E668" s="74">
        <v>0.03</v>
      </c>
      <c r="F668" s="129">
        <f>+D668+D668*E668</f>
        <v>0</v>
      </c>
      <c r="G668" s="130">
        <f>F668*0.19</f>
        <v>0</v>
      </c>
      <c r="H668" s="131">
        <f>ROUND((F668+G668),0)</f>
        <v>0</v>
      </c>
    </row>
    <row r="669" spans="1:8" x14ac:dyDescent="0.25">
      <c r="A669" s="85" t="s">
        <v>2244</v>
      </c>
      <c r="B669" s="88" t="s">
        <v>2103</v>
      </c>
      <c r="C669" s="26" t="s">
        <v>37</v>
      </c>
      <c r="D669" s="1001"/>
      <c r="E669" s="74">
        <v>0.03</v>
      </c>
      <c r="F669" s="129">
        <f>+D669+D669*E669</f>
        <v>0</v>
      </c>
      <c r="G669" s="130">
        <f>F669*0.19</f>
        <v>0</v>
      </c>
      <c r="H669" s="131">
        <f>ROUND((F669+G669),0)</f>
        <v>0</v>
      </c>
    </row>
    <row r="670" spans="1:8" x14ac:dyDescent="0.25">
      <c r="A670" s="85" t="s">
        <v>2245</v>
      </c>
      <c r="B670" s="88" t="s">
        <v>2104</v>
      </c>
      <c r="C670" s="26" t="s">
        <v>37</v>
      </c>
      <c r="D670" s="1001"/>
      <c r="E670" s="74">
        <v>0.03</v>
      </c>
      <c r="F670" s="129">
        <f>+D670+D670*E670</f>
        <v>0</v>
      </c>
      <c r="G670" s="130">
        <f>F670*0.19</f>
        <v>0</v>
      </c>
      <c r="H670" s="131">
        <f>ROUND((F670+G670),0)</f>
        <v>0</v>
      </c>
    </row>
    <row r="671" spans="1:8" x14ac:dyDescent="0.25">
      <c r="A671" s="85" t="s">
        <v>2246</v>
      </c>
      <c r="B671" s="88" t="s">
        <v>2107</v>
      </c>
      <c r="C671" s="26" t="s">
        <v>37</v>
      </c>
      <c r="D671" s="1001"/>
      <c r="E671" s="74">
        <v>0.03</v>
      </c>
      <c r="F671" s="129">
        <f>+D671+D671*E671</f>
        <v>0</v>
      </c>
      <c r="G671" s="130">
        <f>F671*0.19</f>
        <v>0</v>
      </c>
      <c r="H671" s="131">
        <f>ROUND((F671+G671),0)</f>
        <v>0</v>
      </c>
    </row>
    <row r="672" spans="1:8" x14ac:dyDescent="0.25">
      <c r="A672" s="78" t="s">
        <v>2247</v>
      </c>
      <c r="B672" s="79" t="s">
        <v>2268</v>
      </c>
      <c r="C672" s="14"/>
      <c r="D672" s="1001"/>
      <c r="E672" s="74"/>
      <c r="F672" s="75"/>
      <c r="G672" s="76"/>
      <c r="H672" s="77"/>
    </row>
    <row r="673" spans="1:8" x14ac:dyDescent="0.25">
      <c r="A673" s="85" t="s">
        <v>2248</v>
      </c>
      <c r="B673" s="88" t="s">
        <v>2249</v>
      </c>
      <c r="C673" s="26" t="s">
        <v>37</v>
      </c>
      <c r="D673" s="1001"/>
      <c r="E673" s="74">
        <v>0.03</v>
      </c>
      <c r="F673" s="129">
        <f t="shared" ref="F673:F682" si="132">+D673+D673*E673</f>
        <v>0</v>
      </c>
      <c r="G673" s="130">
        <f t="shared" ref="G673:G682" si="133">F673*0.19</f>
        <v>0</v>
      </c>
      <c r="H673" s="131">
        <f t="shared" ref="H673:H682" si="134">ROUND((F673+G673),0)</f>
        <v>0</v>
      </c>
    </row>
    <row r="674" spans="1:8" x14ac:dyDescent="0.25">
      <c r="A674" s="85" t="s">
        <v>2259</v>
      </c>
      <c r="B674" s="88" t="s">
        <v>2250</v>
      </c>
      <c r="C674" s="26" t="s">
        <v>37</v>
      </c>
      <c r="D674" s="1001"/>
      <c r="E674" s="74">
        <v>0.03</v>
      </c>
      <c r="F674" s="129">
        <f t="shared" si="132"/>
        <v>0</v>
      </c>
      <c r="G674" s="130">
        <f t="shared" si="133"/>
        <v>0</v>
      </c>
      <c r="H674" s="131">
        <f t="shared" si="134"/>
        <v>0</v>
      </c>
    </row>
    <row r="675" spans="1:8" x14ac:dyDescent="0.25">
      <c r="A675" s="85" t="s">
        <v>2260</v>
      </c>
      <c r="B675" s="88" t="s">
        <v>2251</v>
      </c>
      <c r="C675" s="26" t="s">
        <v>37</v>
      </c>
      <c r="D675" s="1001"/>
      <c r="E675" s="74">
        <v>0.03</v>
      </c>
      <c r="F675" s="129">
        <f t="shared" si="132"/>
        <v>0</v>
      </c>
      <c r="G675" s="130">
        <f t="shared" si="133"/>
        <v>0</v>
      </c>
      <c r="H675" s="131">
        <f t="shared" si="134"/>
        <v>0</v>
      </c>
    </row>
    <row r="676" spans="1:8" x14ac:dyDescent="0.25">
      <c r="A676" s="85" t="s">
        <v>2261</v>
      </c>
      <c r="B676" s="88" t="s">
        <v>2252</v>
      </c>
      <c r="C676" s="26" t="s">
        <v>37</v>
      </c>
      <c r="D676" s="1001"/>
      <c r="E676" s="74">
        <v>0.03</v>
      </c>
      <c r="F676" s="129">
        <f t="shared" si="132"/>
        <v>0</v>
      </c>
      <c r="G676" s="130">
        <f t="shared" si="133"/>
        <v>0</v>
      </c>
      <c r="H676" s="131">
        <f t="shared" si="134"/>
        <v>0</v>
      </c>
    </row>
    <row r="677" spans="1:8" x14ac:dyDescent="0.25">
      <c r="A677" s="85" t="s">
        <v>2262</v>
      </c>
      <c r="B677" s="88" t="s">
        <v>2253</v>
      </c>
      <c r="C677" s="26" t="s">
        <v>37</v>
      </c>
      <c r="D677" s="1001"/>
      <c r="E677" s="74">
        <v>0.03</v>
      </c>
      <c r="F677" s="129">
        <f t="shared" si="132"/>
        <v>0</v>
      </c>
      <c r="G677" s="130">
        <f t="shared" si="133"/>
        <v>0</v>
      </c>
      <c r="H677" s="131">
        <f t="shared" si="134"/>
        <v>0</v>
      </c>
    </row>
    <row r="678" spans="1:8" x14ac:dyDescent="0.25">
      <c r="A678" s="85" t="s">
        <v>2263</v>
      </c>
      <c r="B678" s="88" t="s">
        <v>2254</v>
      </c>
      <c r="C678" s="26" t="s">
        <v>37</v>
      </c>
      <c r="D678" s="1001"/>
      <c r="E678" s="74">
        <v>0.03</v>
      </c>
      <c r="F678" s="129">
        <f t="shared" si="132"/>
        <v>0</v>
      </c>
      <c r="G678" s="130">
        <f t="shared" si="133"/>
        <v>0</v>
      </c>
      <c r="H678" s="131">
        <f t="shared" si="134"/>
        <v>0</v>
      </c>
    </row>
    <row r="679" spans="1:8" x14ac:dyDescent="0.25">
      <c r="A679" s="85" t="s">
        <v>2264</v>
      </c>
      <c r="B679" s="88" t="s">
        <v>2255</v>
      </c>
      <c r="C679" s="26" t="s">
        <v>37</v>
      </c>
      <c r="D679" s="1001"/>
      <c r="E679" s="74">
        <v>0.03</v>
      </c>
      <c r="F679" s="129">
        <f t="shared" si="132"/>
        <v>0</v>
      </c>
      <c r="G679" s="130">
        <f t="shared" si="133"/>
        <v>0</v>
      </c>
      <c r="H679" s="131">
        <f t="shared" si="134"/>
        <v>0</v>
      </c>
    </row>
    <row r="680" spans="1:8" x14ac:dyDescent="0.25">
      <c r="A680" s="85" t="s">
        <v>2265</v>
      </c>
      <c r="B680" s="88" t="s">
        <v>2256</v>
      </c>
      <c r="C680" s="26" t="s">
        <v>37</v>
      </c>
      <c r="D680" s="1001"/>
      <c r="E680" s="74">
        <v>0.03</v>
      </c>
      <c r="F680" s="129">
        <f t="shared" si="132"/>
        <v>0</v>
      </c>
      <c r="G680" s="130">
        <f t="shared" si="133"/>
        <v>0</v>
      </c>
      <c r="H680" s="131">
        <f t="shared" si="134"/>
        <v>0</v>
      </c>
    </row>
    <row r="681" spans="1:8" x14ac:dyDescent="0.25">
      <c r="A681" s="85" t="s">
        <v>2266</v>
      </c>
      <c r="B681" s="88" t="s">
        <v>2257</v>
      </c>
      <c r="C681" s="26" t="s">
        <v>37</v>
      </c>
      <c r="D681" s="1001"/>
      <c r="E681" s="74">
        <v>0.03</v>
      </c>
      <c r="F681" s="129">
        <f t="shared" si="132"/>
        <v>0</v>
      </c>
      <c r="G681" s="130">
        <f t="shared" si="133"/>
        <v>0</v>
      </c>
      <c r="H681" s="131">
        <f t="shared" si="134"/>
        <v>0</v>
      </c>
    </row>
    <row r="682" spans="1:8" x14ac:dyDescent="0.25">
      <c r="A682" s="85" t="s">
        <v>2267</v>
      </c>
      <c r="B682" s="88" t="s">
        <v>2258</v>
      </c>
      <c r="C682" s="26" t="s">
        <v>37</v>
      </c>
      <c r="D682" s="1001"/>
      <c r="E682" s="74">
        <v>0.03</v>
      </c>
      <c r="F682" s="129">
        <f t="shared" si="132"/>
        <v>0</v>
      </c>
      <c r="G682" s="130">
        <f t="shared" si="133"/>
        <v>0</v>
      </c>
      <c r="H682" s="131">
        <f t="shared" si="134"/>
        <v>0</v>
      </c>
    </row>
    <row r="683" spans="1:8" x14ac:dyDescent="0.25">
      <c r="A683" s="78" t="s">
        <v>2269</v>
      </c>
      <c r="B683" s="79" t="s">
        <v>2270</v>
      </c>
      <c r="C683" s="14"/>
      <c r="D683" s="1001"/>
      <c r="E683" s="74"/>
      <c r="F683" s="75"/>
      <c r="G683" s="76"/>
      <c r="H683" s="77"/>
    </row>
    <row r="684" spans="1:8" x14ac:dyDescent="0.25">
      <c r="A684" s="85" t="s">
        <v>2271</v>
      </c>
      <c r="B684" s="88" t="s">
        <v>2272</v>
      </c>
      <c r="C684" s="14" t="s">
        <v>37</v>
      </c>
      <c r="D684" s="1001"/>
      <c r="E684" s="74">
        <v>0.05</v>
      </c>
      <c r="F684" s="129">
        <f t="shared" ref="F684:F708" si="135">+D684+D684*E684</f>
        <v>0</v>
      </c>
      <c r="G684" s="130">
        <f t="shared" ref="G684:G708" si="136">F684*0.19</f>
        <v>0</v>
      </c>
      <c r="H684" s="131">
        <f t="shared" ref="H684:H708" si="137">ROUND((F684+G684),0)</f>
        <v>0</v>
      </c>
    </row>
    <row r="685" spans="1:8" x14ac:dyDescent="0.25">
      <c r="A685" s="85" t="s">
        <v>2297</v>
      </c>
      <c r="B685" s="88" t="s">
        <v>2273</v>
      </c>
      <c r="C685" s="14" t="s">
        <v>37</v>
      </c>
      <c r="D685" s="1001"/>
      <c r="E685" s="74">
        <v>0.05</v>
      </c>
      <c r="F685" s="129">
        <f t="shared" si="135"/>
        <v>0</v>
      </c>
      <c r="G685" s="130">
        <f t="shared" si="136"/>
        <v>0</v>
      </c>
      <c r="H685" s="131">
        <f t="shared" si="137"/>
        <v>0</v>
      </c>
    </row>
    <row r="686" spans="1:8" x14ac:dyDescent="0.25">
      <c r="A686" s="85" t="s">
        <v>2298</v>
      </c>
      <c r="B686" s="88" t="s">
        <v>2274</v>
      </c>
      <c r="C686" s="14" t="s">
        <v>37</v>
      </c>
      <c r="D686" s="1001"/>
      <c r="E686" s="74">
        <v>0.05</v>
      </c>
      <c r="F686" s="129">
        <f t="shared" si="135"/>
        <v>0</v>
      </c>
      <c r="G686" s="130">
        <f t="shared" si="136"/>
        <v>0</v>
      </c>
      <c r="H686" s="131">
        <f t="shared" si="137"/>
        <v>0</v>
      </c>
    </row>
    <row r="687" spans="1:8" x14ac:dyDescent="0.25">
      <c r="A687" s="85" t="s">
        <v>2299</v>
      </c>
      <c r="B687" s="88" t="s">
        <v>2275</v>
      </c>
      <c r="C687" s="14" t="s">
        <v>37</v>
      </c>
      <c r="D687" s="1001"/>
      <c r="E687" s="74">
        <v>0.05</v>
      </c>
      <c r="F687" s="129">
        <f t="shared" si="135"/>
        <v>0</v>
      </c>
      <c r="G687" s="130">
        <f t="shared" si="136"/>
        <v>0</v>
      </c>
      <c r="H687" s="131">
        <f t="shared" si="137"/>
        <v>0</v>
      </c>
    </row>
    <row r="688" spans="1:8" x14ac:dyDescent="0.25">
      <c r="A688" s="85" t="s">
        <v>2300</v>
      </c>
      <c r="B688" s="88" t="s">
        <v>2276</v>
      </c>
      <c r="C688" s="14" t="s">
        <v>37</v>
      </c>
      <c r="D688" s="1001"/>
      <c r="E688" s="74">
        <v>0.05</v>
      </c>
      <c r="F688" s="129">
        <f t="shared" si="135"/>
        <v>0</v>
      </c>
      <c r="G688" s="130">
        <f t="shared" si="136"/>
        <v>0</v>
      </c>
      <c r="H688" s="131">
        <f t="shared" si="137"/>
        <v>0</v>
      </c>
    </row>
    <row r="689" spans="1:8" x14ac:dyDescent="0.25">
      <c r="A689" s="85" t="s">
        <v>2301</v>
      </c>
      <c r="B689" s="88" t="s">
        <v>2277</v>
      </c>
      <c r="C689" s="14" t="s">
        <v>37</v>
      </c>
      <c r="D689" s="1001"/>
      <c r="E689" s="74">
        <v>0.05</v>
      </c>
      <c r="F689" s="129">
        <f t="shared" si="135"/>
        <v>0</v>
      </c>
      <c r="G689" s="130">
        <f t="shared" si="136"/>
        <v>0</v>
      </c>
      <c r="H689" s="131">
        <f t="shared" si="137"/>
        <v>0</v>
      </c>
    </row>
    <row r="690" spans="1:8" x14ac:dyDescent="0.25">
      <c r="A690" s="85" t="s">
        <v>2302</v>
      </c>
      <c r="B690" s="88" t="s">
        <v>2279</v>
      </c>
      <c r="C690" s="14" t="s">
        <v>37</v>
      </c>
      <c r="D690" s="1001"/>
      <c r="E690" s="74">
        <v>0.05</v>
      </c>
      <c r="F690" s="129">
        <f t="shared" si="135"/>
        <v>0</v>
      </c>
      <c r="G690" s="130">
        <f t="shared" si="136"/>
        <v>0</v>
      </c>
      <c r="H690" s="131">
        <f t="shared" si="137"/>
        <v>0</v>
      </c>
    </row>
    <row r="691" spans="1:8" x14ac:dyDescent="0.25">
      <c r="A691" s="85" t="s">
        <v>2303</v>
      </c>
      <c r="B691" s="88" t="s">
        <v>2278</v>
      </c>
      <c r="C691" s="14" t="s">
        <v>37</v>
      </c>
      <c r="D691" s="1001"/>
      <c r="E691" s="74">
        <v>0.05</v>
      </c>
      <c r="F691" s="129">
        <f t="shared" si="135"/>
        <v>0</v>
      </c>
      <c r="G691" s="130">
        <f t="shared" si="136"/>
        <v>0</v>
      </c>
      <c r="H691" s="131">
        <f t="shared" si="137"/>
        <v>0</v>
      </c>
    </row>
    <row r="692" spans="1:8" x14ac:dyDescent="0.25">
      <c r="A692" s="85" t="s">
        <v>2304</v>
      </c>
      <c r="B692" s="88" t="s">
        <v>2280</v>
      </c>
      <c r="C692" s="14" t="s">
        <v>37</v>
      </c>
      <c r="D692" s="1001"/>
      <c r="E692" s="74">
        <v>0.05</v>
      </c>
      <c r="F692" s="129">
        <f t="shared" si="135"/>
        <v>0</v>
      </c>
      <c r="G692" s="130">
        <f t="shared" si="136"/>
        <v>0</v>
      </c>
      <c r="H692" s="131">
        <f t="shared" si="137"/>
        <v>0</v>
      </c>
    </row>
    <row r="693" spans="1:8" x14ac:dyDescent="0.25">
      <c r="A693" s="85" t="s">
        <v>2305</v>
      </c>
      <c r="B693" s="88" t="s">
        <v>2281</v>
      </c>
      <c r="C693" s="14" t="s">
        <v>37</v>
      </c>
      <c r="D693" s="1001"/>
      <c r="E693" s="74">
        <v>0.05</v>
      </c>
      <c r="F693" s="129">
        <f t="shared" si="135"/>
        <v>0</v>
      </c>
      <c r="G693" s="130">
        <f t="shared" si="136"/>
        <v>0</v>
      </c>
      <c r="H693" s="131">
        <f t="shared" si="137"/>
        <v>0</v>
      </c>
    </row>
    <row r="694" spans="1:8" x14ac:dyDescent="0.25">
      <c r="A694" s="85" t="s">
        <v>2306</v>
      </c>
      <c r="B694" s="88" t="s">
        <v>2282</v>
      </c>
      <c r="C694" s="14" t="s">
        <v>37</v>
      </c>
      <c r="D694" s="1001"/>
      <c r="E694" s="74">
        <v>0.05</v>
      </c>
      <c r="F694" s="129">
        <f t="shared" si="135"/>
        <v>0</v>
      </c>
      <c r="G694" s="130">
        <f t="shared" si="136"/>
        <v>0</v>
      </c>
      <c r="H694" s="131">
        <f t="shared" si="137"/>
        <v>0</v>
      </c>
    </row>
    <row r="695" spans="1:8" x14ac:dyDescent="0.25">
      <c r="A695" s="85" t="s">
        <v>2307</v>
      </c>
      <c r="B695" s="88" t="s">
        <v>2283</v>
      </c>
      <c r="C695" s="14" t="s">
        <v>37</v>
      </c>
      <c r="D695" s="1001"/>
      <c r="E695" s="74">
        <v>0.05</v>
      </c>
      <c r="F695" s="129">
        <f t="shared" si="135"/>
        <v>0</v>
      </c>
      <c r="G695" s="130">
        <f t="shared" si="136"/>
        <v>0</v>
      </c>
      <c r="H695" s="131">
        <f t="shared" si="137"/>
        <v>0</v>
      </c>
    </row>
    <row r="696" spans="1:8" x14ac:dyDescent="0.25">
      <c r="A696" s="85" t="s">
        <v>2308</v>
      </c>
      <c r="B696" s="88" t="s">
        <v>2284</v>
      </c>
      <c r="C696" s="14" t="s">
        <v>37</v>
      </c>
      <c r="D696" s="1001"/>
      <c r="E696" s="74">
        <v>0.05</v>
      </c>
      <c r="F696" s="129">
        <f t="shared" si="135"/>
        <v>0</v>
      </c>
      <c r="G696" s="130">
        <f t="shared" si="136"/>
        <v>0</v>
      </c>
      <c r="H696" s="131">
        <f t="shared" si="137"/>
        <v>0</v>
      </c>
    </row>
    <row r="697" spans="1:8" x14ac:dyDescent="0.25">
      <c r="A697" s="85" t="s">
        <v>2309</v>
      </c>
      <c r="B697" s="88" t="s">
        <v>2285</v>
      </c>
      <c r="C697" s="14" t="s">
        <v>37</v>
      </c>
      <c r="D697" s="1001"/>
      <c r="E697" s="74">
        <v>0.05</v>
      </c>
      <c r="F697" s="129">
        <f t="shared" si="135"/>
        <v>0</v>
      </c>
      <c r="G697" s="130">
        <f t="shared" si="136"/>
        <v>0</v>
      </c>
      <c r="H697" s="131">
        <f t="shared" si="137"/>
        <v>0</v>
      </c>
    </row>
    <row r="698" spans="1:8" x14ac:dyDescent="0.25">
      <c r="A698" s="85" t="s">
        <v>2310</v>
      </c>
      <c r="B698" s="88" t="s">
        <v>2286</v>
      </c>
      <c r="C698" s="14" t="s">
        <v>37</v>
      </c>
      <c r="D698" s="1001"/>
      <c r="E698" s="74">
        <v>0.05</v>
      </c>
      <c r="F698" s="129">
        <f t="shared" si="135"/>
        <v>0</v>
      </c>
      <c r="G698" s="130">
        <f t="shared" si="136"/>
        <v>0</v>
      </c>
      <c r="H698" s="131">
        <f t="shared" si="137"/>
        <v>0</v>
      </c>
    </row>
    <row r="699" spans="1:8" x14ac:dyDescent="0.25">
      <c r="A699" s="85" t="s">
        <v>2311</v>
      </c>
      <c r="B699" s="88" t="s">
        <v>2287</v>
      </c>
      <c r="C699" s="14" t="s">
        <v>37</v>
      </c>
      <c r="D699" s="1001"/>
      <c r="E699" s="74">
        <v>0.05</v>
      </c>
      <c r="F699" s="129">
        <f t="shared" si="135"/>
        <v>0</v>
      </c>
      <c r="G699" s="130">
        <f t="shared" si="136"/>
        <v>0</v>
      </c>
      <c r="H699" s="131">
        <f t="shared" si="137"/>
        <v>0</v>
      </c>
    </row>
    <row r="700" spans="1:8" x14ac:dyDescent="0.25">
      <c r="A700" s="85" t="s">
        <v>2312</v>
      </c>
      <c r="B700" s="88" t="s">
        <v>2288</v>
      </c>
      <c r="C700" s="14" t="s">
        <v>37</v>
      </c>
      <c r="D700" s="1001"/>
      <c r="E700" s="74">
        <v>0.05</v>
      </c>
      <c r="F700" s="129">
        <f t="shared" si="135"/>
        <v>0</v>
      </c>
      <c r="G700" s="130">
        <f t="shared" si="136"/>
        <v>0</v>
      </c>
      <c r="H700" s="131">
        <f t="shared" si="137"/>
        <v>0</v>
      </c>
    </row>
    <row r="701" spans="1:8" x14ac:dyDescent="0.25">
      <c r="A701" s="85" t="s">
        <v>2313</v>
      </c>
      <c r="B701" s="88" t="s">
        <v>2289</v>
      </c>
      <c r="C701" s="14" t="s">
        <v>37</v>
      </c>
      <c r="D701" s="1001"/>
      <c r="E701" s="74">
        <v>0.05</v>
      </c>
      <c r="F701" s="129">
        <f t="shared" si="135"/>
        <v>0</v>
      </c>
      <c r="G701" s="130">
        <f t="shared" si="136"/>
        <v>0</v>
      </c>
      <c r="H701" s="131">
        <f t="shared" si="137"/>
        <v>0</v>
      </c>
    </row>
    <row r="702" spans="1:8" x14ac:dyDescent="0.25">
      <c r="A702" s="85" t="s">
        <v>2314</v>
      </c>
      <c r="B702" s="88" t="s">
        <v>2290</v>
      </c>
      <c r="C702" s="14" t="s">
        <v>37</v>
      </c>
      <c r="D702" s="1001"/>
      <c r="E702" s="74">
        <v>0.05</v>
      </c>
      <c r="F702" s="129">
        <f t="shared" si="135"/>
        <v>0</v>
      </c>
      <c r="G702" s="130">
        <f t="shared" si="136"/>
        <v>0</v>
      </c>
      <c r="H702" s="131">
        <f t="shared" si="137"/>
        <v>0</v>
      </c>
    </row>
    <row r="703" spans="1:8" x14ac:dyDescent="0.25">
      <c r="A703" s="85" t="s">
        <v>2315</v>
      </c>
      <c r="B703" s="88" t="s">
        <v>2291</v>
      </c>
      <c r="C703" s="14" t="s">
        <v>37</v>
      </c>
      <c r="D703" s="1001"/>
      <c r="E703" s="74">
        <v>0.05</v>
      </c>
      <c r="F703" s="129">
        <f t="shared" si="135"/>
        <v>0</v>
      </c>
      <c r="G703" s="130">
        <f t="shared" si="136"/>
        <v>0</v>
      </c>
      <c r="H703" s="131">
        <f t="shared" si="137"/>
        <v>0</v>
      </c>
    </row>
    <row r="704" spans="1:8" x14ac:dyDescent="0.25">
      <c r="A704" s="85" t="s">
        <v>2316</v>
      </c>
      <c r="B704" s="88" t="s">
        <v>2293</v>
      </c>
      <c r="C704" s="14" t="s">
        <v>37</v>
      </c>
      <c r="D704" s="1001"/>
      <c r="E704" s="74">
        <v>0.05</v>
      </c>
      <c r="F704" s="129">
        <f t="shared" si="135"/>
        <v>0</v>
      </c>
      <c r="G704" s="130">
        <f t="shared" si="136"/>
        <v>0</v>
      </c>
      <c r="H704" s="131">
        <f t="shared" si="137"/>
        <v>0</v>
      </c>
    </row>
    <row r="705" spans="1:8" x14ac:dyDescent="0.25">
      <c r="A705" s="85" t="s">
        <v>2317</v>
      </c>
      <c r="B705" s="88" t="s">
        <v>2292</v>
      </c>
      <c r="C705" s="14" t="s">
        <v>37</v>
      </c>
      <c r="D705" s="1001"/>
      <c r="E705" s="74">
        <v>0.05</v>
      </c>
      <c r="F705" s="129">
        <f t="shared" si="135"/>
        <v>0</v>
      </c>
      <c r="G705" s="130">
        <f t="shared" si="136"/>
        <v>0</v>
      </c>
      <c r="H705" s="131">
        <f t="shared" si="137"/>
        <v>0</v>
      </c>
    </row>
    <row r="706" spans="1:8" x14ac:dyDescent="0.25">
      <c r="A706" s="85" t="s">
        <v>2318</v>
      </c>
      <c r="B706" s="88" t="s">
        <v>2294</v>
      </c>
      <c r="C706" s="14" t="s">
        <v>37</v>
      </c>
      <c r="D706" s="1001"/>
      <c r="E706" s="74">
        <v>0.05</v>
      </c>
      <c r="F706" s="129">
        <f t="shared" si="135"/>
        <v>0</v>
      </c>
      <c r="G706" s="130">
        <f t="shared" si="136"/>
        <v>0</v>
      </c>
      <c r="H706" s="131">
        <f t="shared" si="137"/>
        <v>0</v>
      </c>
    </row>
    <row r="707" spans="1:8" x14ac:dyDescent="0.25">
      <c r="A707" s="85" t="s">
        <v>2319</v>
      </c>
      <c r="B707" s="88" t="s">
        <v>2295</v>
      </c>
      <c r="C707" s="14" t="s">
        <v>37</v>
      </c>
      <c r="D707" s="1001"/>
      <c r="E707" s="74">
        <v>0.05</v>
      </c>
      <c r="F707" s="129">
        <f t="shared" si="135"/>
        <v>0</v>
      </c>
      <c r="G707" s="130">
        <f t="shared" si="136"/>
        <v>0</v>
      </c>
      <c r="H707" s="131">
        <f t="shared" si="137"/>
        <v>0</v>
      </c>
    </row>
    <row r="708" spans="1:8" x14ac:dyDescent="0.25">
      <c r="A708" s="85" t="s">
        <v>2320</v>
      </c>
      <c r="B708" s="88" t="s">
        <v>2296</v>
      </c>
      <c r="C708" s="14" t="s">
        <v>37</v>
      </c>
      <c r="D708" s="1001"/>
      <c r="E708" s="74">
        <v>0.05</v>
      </c>
      <c r="F708" s="129">
        <f t="shared" si="135"/>
        <v>0</v>
      </c>
      <c r="G708" s="130">
        <f t="shared" si="136"/>
        <v>0</v>
      </c>
      <c r="H708" s="131">
        <f t="shared" si="137"/>
        <v>0</v>
      </c>
    </row>
    <row r="709" spans="1:8" x14ac:dyDescent="0.25">
      <c r="A709" s="61" t="s">
        <v>2321</v>
      </c>
      <c r="B709" s="62" t="s">
        <v>2322</v>
      </c>
      <c r="C709" s="63"/>
      <c r="D709" s="1004"/>
      <c r="E709" s="114"/>
      <c r="F709" s="115"/>
      <c r="G709" s="116"/>
      <c r="H709" s="117"/>
    </row>
    <row r="710" spans="1:8" x14ac:dyDescent="0.25">
      <c r="A710" s="85" t="s">
        <v>2323</v>
      </c>
      <c r="B710" s="88" t="s">
        <v>2324</v>
      </c>
      <c r="C710" s="14" t="s">
        <v>14</v>
      </c>
      <c r="D710" s="1001"/>
      <c r="E710" s="74">
        <v>0.05</v>
      </c>
      <c r="F710" s="129">
        <f t="shared" ref="F710:F726" si="138">+D710+D710*E710</f>
        <v>0</v>
      </c>
      <c r="G710" s="130">
        <f t="shared" ref="G710:G726" si="139">F710*0.19</f>
        <v>0</v>
      </c>
      <c r="H710" s="131">
        <f t="shared" ref="H710:H726" si="140">ROUND((F710+G710),0)</f>
        <v>0</v>
      </c>
    </row>
    <row r="711" spans="1:8" x14ac:dyDescent="0.25">
      <c r="A711" s="85" t="s">
        <v>2336</v>
      </c>
      <c r="B711" s="88" t="s">
        <v>2325</v>
      </c>
      <c r="C711" s="14" t="s">
        <v>14</v>
      </c>
      <c r="D711" s="1001"/>
      <c r="E711" s="74">
        <v>0.05</v>
      </c>
      <c r="F711" s="129">
        <f t="shared" si="138"/>
        <v>0</v>
      </c>
      <c r="G711" s="130">
        <f t="shared" si="139"/>
        <v>0</v>
      </c>
      <c r="H711" s="131">
        <f t="shared" si="140"/>
        <v>0</v>
      </c>
    </row>
    <row r="712" spans="1:8" x14ac:dyDescent="0.25">
      <c r="A712" s="85" t="s">
        <v>2337</v>
      </c>
      <c r="B712" s="88" t="s">
        <v>2326</v>
      </c>
      <c r="C712" s="14" t="s">
        <v>14</v>
      </c>
      <c r="D712" s="1001"/>
      <c r="E712" s="74">
        <v>0.05</v>
      </c>
      <c r="F712" s="129">
        <f t="shared" si="138"/>
        <v>0</v>
      </c>
      <c r="G712" s="130">
        <f t="shared" si="139"/>
        <v>0</v>
      </c>
      <c r="H712" s="131">
        <f t="shared" si="140"/>
        <v>0</v>
      </c>
    </row>
    <row r="713" spans="1:8" x14ac:dyDescent="0.25">
      <c r="A713" s="85" t="s">
        <v>2338</v>
      </c>
      <c r="B713" s="88" t="s">
        <v>2327</v>
      </c>
      <c r="C713" s="14" t="s">
        <v>14</v>
      </c>
      <c r="D713" s="1001"/>
      <c r="E713" s="74">
        <v>0.05</v>
      </c>
      <c r="F713" s="129">
        <f t="shared" si="138"/>
        <v>0</v>
      </c>
      <c r="G713" s="130">
        <f t="shared" si="139"/>
        <v>0</v>
      </c>
      <c r="H713" s="131">
        <f t="shared" si="140"/>
        <v>0</v>
      </c>
    </row>
    <row r="714" spans="1:8" x14ac:dyDescent="0.25">
      <c r="A714" s="85" t="s">
        <v>2339</v>
      </c>
      <c r="B714" s="88" t="s">
        <v>2328</v>
      </c>
      <c r="C714" s="14" t="s">
        <v>14</v>
      </c>
      <c r="D714" s="1001"/>
      <c r="E714" s="74">
        <v>0.05</v>
      </c>
      <c r="F714" s="129">
        <f t="shared" si="138"/>
        <v>0</v>
      </c>
      <c r="G714" s="130">
        <f t="shared" si="139"/>
        <v>0</v>
      </c>
      <c r="H714" s="131">
        <f t="shared" si="140"/>
        <v>0</v>
      </c>
    </row>
    <row r="715" spans="1:8" x14ac:dyDescent="0.25">
      <c r="A715" s="85" t="s">
        <v>2340</v>
      </c>
      <c r="B715" s="88" t="s">
        <v>2329</v>
      </c>
      <c r="C715" s="14" t="s">
        <v>14</v>
      </c>
      <c r="D715" s="1001"/>
      <c r="E715" s="74">
        <v>0.05</v>
      </c>
      <c r="F715" s="129">
        <f t="shared" si="138"/>
        <v>0</v>
      </c>
      <c r="G715" s="130">
        <f t="shared" si="139"/>
        <v>0</v>
      </c>
      <c r="H715" s="131">
        <f t="shared" si="140"/>
        <v>0</v>
      </c>
    </row>
    <row r="716" spans="1:8" x14ac:dyDescent="0.25">
      <c r="A716" s="85" t="s">
        <v>2341</v>
      </c>
      <c r="B716" s="88" t="s">
        <v>2330</v>
      </c>
      <c r="C716" s="14" t="s">
        <v>14</v>
      </c>
      <c r="D716" s="1001"/>
      <c r="E716" s="74">
        <v>0.05</v>
      </c>
      <c r="F716" s="129">
        <f t="shared" si="138"/>
        <v>0</v>
      </c>
      <c r="G716" s="130">
        <f t="shared" si="139"/>
        <v>0</v>
      </c>
      <c r="H716" s="131">
        <f t="shared" si="140"/>
        <v>0</v>
      </c>
    </row>
    <row r="717" spans="1:8" x14ac:dyDescent="0.25">
      <c r="A717" s="85" t="s">
        <v>2342</v>
      </c>
      <c r="B717" s="88" t="s">
        <v>2331</v>
      </c>
      <c r="C717" s="14" t="s">
        <v>14</v>
      </c>
      <c r="D717" s="1001"/>
      <c r="E717" s="74">
        <v>0.05</v>
      </c>
      <c r="F717" s="129">
        <f t="shared" si="138"/>
        <v>0</v>
      </c>
      <c r="G717" s="130">
        <f t="shared" si="139"/>
        <v>0</v>
      </c>
      <c r="H717" s="131">
        <f t="shared" si="140"/>
        <v>0</v>
      </c>
    </row>
    <row r="718" spans="1:8" x14ac:dyDescent="0.25">
      <c r="A718" s="85" t="s">
        <v>2343</v>
      </c>
      <c r="B718" s="88" t="s">
        <v>2332</v>
      </c>
      <c r="C718" s="14" t="s">
        <v>14</v>
      </c>
      <c r="D718" s="1001"/>
      <c r="E718" s="74">
        <v>0.05</v>
      </c>
      <c r="F718" s="129">
        <f t="shared" si="138"/>
        <v>0</v>
      </c>
      <c r="G718" s="130">
        <f t="shared" si="139"/>
        <v>0</v>
      </c>
      <c r="H718" s="131">
        <f t="shared" si="140"/>
        <v>0</v>
      </c>
    </row>
    <row r="719" spans="1:8" x14ac:dyDescent="0.25">
      <c r="A719" s="85" t="s">
        <v>2344</v>
      </c>
      <c r="B719" s="88" t="s">
        <v>2333</v>
      </c>
      <c r="C719" s="14" t="s">
        <v>14</v>
      </c>
      <c r="D719" s="1001"/>
      <c r="E719" s="74">
        <v>0.05</v>
      </c>
      <c r="F719" s="129">
        <f t="shared" si="138"/>
        <v>0</v>
      </c>
      <c r="G719" s="130">
        <f t="shared" si="139"/>
        <v>0</v>
      </c>
      <c r="H719" s="131">
        <f t="shared" si="140"/>
        <v>0</v>
      </c>
    </row>
    <row r="720" spans="1:8" x14ac:dyDescent="0.25">
      <c r="A720" s="85" t="s">
        <v>2345</v>
      </c>
      <c r="B720" s="88" t="s">
        <v>2334</v>
      </c>
      <c r="C720" s="14" t="s">
        <v>14</v>
      </c>
      <c r="D720" s="1001"/>
      <c r="E720" s="74">
        <v>0.05</v>
      </c>
      <c r="F720" s="129">
        <f t="shared" si="138"/>
        <v>0</v>
      </c>
      <c r="G720" s="130">
        <f t="shared" si="139"/>
        <v>0</v>
      </c>
      <c r="H720" s="131">
        <f t="shared" si="140"/>
        <v>0</v>
      </c>
    </row>
    <row r="721" spans="1:8" x14ac:dyDescent="0.25">
      <c r="A721" s="85" t="s">
        <v>2346</v>
      </c>
      <c r="B721" s="88" t="s">
        <v>7749</v>
      </c>
      <c r="C721" s="14" t="s">
        <v>14</v>
      </c>
      <c r="D721" s="1001"/>
      <c r="E721" s="74">
        <v>0.05</v>
      </c>
      <c r="F721" s="129">
        <f t="shared" si="138"/>
        <v>0</v>
      </c>
      <c r="G721" s="130">
        <f t="shared" si="139"/>
        <v>0</v>
      </c>
      <c r="H721" s="131">
        <f t="shared" si="140"/>
        <v>0</v>
      </c>
    </row>
    <row r="722" spans="1:8" x14ac:dyDescent="0.25">
      <c r="A722" s="85" t="s">
        <v>2348</v>
      </c>
      <c r="B722" s="88" t="s">
        <v>2350</v>
      </c>
      <c r="C722" s="14" t="s">
        <v>14</v>
      </c>
      <c r="D722" s="1001"/>
      <c r="E722" s="74">
        <v>0.05</v>
      </c>
      <c r="F722" s="129">
        <f t="shared" si="138"/>
        <v>0</v>
      </c>
      <c r="G722" s="130">
        <f t="shared" si="139"/>
        <v>0</v>
      </c>
      <c r="H722" s="131">
        <f t="shared" si="140"/>
        <v>0</v>
      </c>
    </row>
    <row r="723" spans="1:8" x14ac:dyDescent="0.25">
      <c r="A723" s="85" t="s">
        <v>2349</v>
      </c>
      <c r="B723" s="88" t="s">
        <v>7235</v>
      </c>
      <c r="C723" s="14" t="s">
        <v>14</v>
      </c>
      <c r="D723" s="1001"/>
      <c r="E723" s="74">
        <v>0.05</v>
      </c>
      <c r="F723" s="129">
        <f t="shared" si="138"/>
        <v>0</v>
      </c>
      <c r="G723" s="130">
        <f t="shared" si="139"/>
        <v>0</v>
      </c>
      <c r="H723" s="131">
        <f t="shared" si="140"/>
        <v>0</v>
      </c>
    </row>
    <row r="724" spans="1:8" x14ac:dyDescent="0.25">
      <c r="A724" s="85" t="s">
        <v>2352</v>
      </c>
      <c r="B724" s="88" t="s">
        <v>2354</v>
      </c>
      <c r="C724" s="14" t="s">
        <v>14</v>
      </c>
      <c r="D724" s="1001"/>
      <c r="E724" s="74">
        <v>0.05</v>
      </c>
      <c r="F724" s="129">
        <f t="shared" si="138"/>
        <v>0</v>
      </c>
      <c r="G724" s="130">
        <f t="shared" si="139"/>
        <v>0</v>
      </c>
      <c r="H724" s="131">
        <f t="shared" si="140"/>
        <v>0</v>
      </c>
    </row>
    <row r="725" spans="1:8" x14ac:dyDescent="0.25">
      <c r="A725" s="85" t="s">
        <v>2353</v>
      </c>
      <c r="B725" s="88" t="s">
        <v>7562</v>
      </c>
      <c r="C725" s="14" t="s">
        <v>14</v>
      </c>
      <c r="D725" s="1001"/>
      <c r="E725" s="74">
        <v>0.05</v>
      </c>
      <c r="F725" s="129">
        <f t="shared" si="138"/>
        <v>0</v>
      </c>
      <c r="G725" s="130">
        <f t="shared" si="139"/>
        <v>0</v>
      </c>
      <c r="H725" s="131">
        <f t="shared" si="140"/>
        <v>0</v>
      </c>
    </row>
    <row r="726" spans="1:8" x14ac:dyDescent="0.25">
      <c r="A726" s="85" t="s">
        <v>2357</v>
      </c>
      <c r="B726" s="88" t="s">
        <v>2356</v>
      </c>
      <c r="C726" s="14" t="s">
        <v>14</v>
      </c>
      <c r="D726" s="1001"/>
      <c r="E726" s="74">
        <v>0.05</v>
      </c>
      <c r="F726" s="129">
        <f t="shared" si="138"/>
        <v>0</v>
      </c>
      <c r="G726" s="130">
        <f t="shared" si="139"/>
        <v>0</v>
      </c>
      <c r="H726" s="131">
        <f t="shared" si="140"/>
        <v>0</v>
      </c>
    </row>
    <row r="727" spans="1:8" x14ac:dyDescent="0.25">
      <c r="A727" s="61" t="s">
        <v>2359</v>
      </c>
      <c r="B727" s="62" t="s">
        <v>2358</v>
      </c>
      <c r="C727" s="64"/>
      <c r="D727" s="1005"/>
      <c r="E727" s="118"/>
      <c r="F727" s="119"/>
      <c r="G727" s="120"/>
      <c r="H727" s="121"/>
    </row>
    <row r="728" spans="1:8" x14ac:dyDescent="0.25">
      <c r="A728" s="78" t="s">
        <v>2360</v>
      </c>
      <c r="B728" s="79" t="s">
        <v>2361</v>
      </c>
      <c r="C728" s="14"/>
      <c r="D728" s="1001"/>
      <c r="E728" s="74"/>
      <c r="F728" s="75"/>
      <c r="G728" s="76"/>
      <c r="H728" s="77"/>
    </row>
    <row r="729" spans="1:8" x14ac:dyDescent="0.25">
      <c r="A729" s="85" t="s">
        <v>2362</v>
      </c>
      <c r="B729" s="88" t="s">
        <v>2363</v>
      </c>
      <c r="C729" s="26" t="s">
        <v>37</v>
      </c>
      <c r="D729" s="1001"/>
      <c r="E729" s="74">
        <v>0.05</v>
      </c>
      <c r="F729" s="129">
        <f t="shared" ref="F729:F739" si="141">+D729+D729*E729</f>
        <v>0</v>
      </c>
      <c r="G729" s="130">
        <f t="shared" ref="G729:G739" si="142">F729*0.19</f>
        <v>0</v>
      </c>
      <c r="H729" s="131">
        <f t="shared" ref="H729:H739" si="143">ROUND((F729+G729),0)</f>
        <v>0</v>
      </c>
    </row>
    <row r="730" spans="1:8" x14ac:dyDescent="0.25">
      <c r="A730" s="85" t="s">
        <v>2374</v>
      </c>
      <c r="B730" s="88" t="s">
        <v>2364</v>
      </c>
      <c r="C730" s="26" t="s">
        <v>37</v>
      </c>
      <c r="D730" s="1001"/>
      <c r="E730" s="74">
        <v>0.05</v>
      </c>
      <c r="F730" s="129">
        <f t="shared" si="141"/>
        <v>0</v>
      </c>
      <c r="G730" s="130">
        <f t="shared" si="142"/>
        <v>0</v>
      </c>
      <c r="H730" s="131">
        <f t="shared" si="143"/>
        <v>0</v>
      </c>
    </row>
    <row r="731" spans="1:8" x14ac:dyDescent="0.25">
      <c r="A731" s="85" t="s">
        <v>2375</v>
      </c>
      <c r="B731" s="88" t="s">
        <v>2365</v>
      </c>
      <c r="C731" s="26" t="s">
        <v>37</v>
      </c>
      <c r="D731" s="1001"/>
      <c r="E731" s="74">
        <v>0.05</v>
      </c>
      <c r="F731" s="129">
        <f t="shared" si="141"/>
        <v>0</v>
      </c>
      <c r="G731" s="130">
        <f t="shared" si="142"/>
        <v>0</v>
      </c>
      <c r="H731" s="131">
        <f t="shared" si="143"/>
        <v>0</v>
      </c>
    </row>
    <row r="732" spans="1:8" x14ac:dyDescent="0.25">
      <c r="A732" s="85" t="s">
        <v>2376</v>
      </c>
      <c r="B732" s="88" t="s">
        <v>2366</v>
      </c>
      <c r="C732" s="26" t="s">
        <v>37</v>
      </c>
      <c r="D732" s="1001"/>
      <c r="E732" s="74">
        <v>0.05</v>
      </c>
      <c r="F732" s="129">
        <f t="shared" si="141"/>
        <v>0</v>
      </c>
      <c r="G732" s="130">
        <f t="shared" si="142"/>
        <v>0</v>
      </c>
      <c r="H732" s="131">
        <f t="shared" si="143"/>
        <v>0</v>
      </c>
    </row>
    <row r="733" spans="1:8" x14ac:dyDescent="0.25">
      <c r="A733" s="85" t="s">
        <v>2377</v>
      </c>
      <c r="B733" s="88" t="s">
        <v>2367</v>
      </c>
      <c r="C733" s="26" t="s">
        <v>37</v>
      </c>
      <c r="D733" s="1001"/>
      <c r="E733" s="74">
        <v>0.05</v>
      </c>
      <c r="F733" s="129">
        <f t="shared" si="141"/>
        <v>0</v>
      </c>
      <c r="G733" s="130">
        <f t="shared" si="142"/>
        <v>0</v>
      </c>
      <c r="H733" s="131">
        <f t="shared" si="143"/>
        <v>0</v>
      </c>
    </row>
    <row r="734" spans="1:8" x14ac:dyDescent="0.25">
      <c r="A734" s="85" t="s">
        <v>2378</v>
      </c>
      <c r="B734" s="88" t="s">
        <v>2368</v>
      </c>
      <c r="C734" s="26" t="s">
        <v>37</v>
      </c>
      <c r="D734" s="1001"/>
      <c r="E734" s="74">
        <v>0.05</v>
      </c>
      <c r="F734" s="129">
        <f t="shared" si="141"/>
        <v>0</v>
      </c>
      <c r="G734" s="130">
        <f t="shared" si="142"/>
        <v>0</v>
      </c>
      <c r="H734" s="131">
        <f t="shared" si="143"/>
        <v>0</v>
      </c>
    </row>
    <row r="735" spans="1:8" x14ac:dyDescent="0.25">
      <c r="A735" s="85" t="s">
        <v>2379</v>
      </c>
      <c r="B735" s="88" t="s">
        <v>2369</v>
      </c>
      <c r="C735" s="26" t="s">
        <v>37</v>
      </c>
      <c r="D735" s="1001"/>
      <c r="E735" s="74">
        <v>0.05</v>
      </c>
      <c r="F735" s="129">
        <f t="shared" si="141"/>
        <v>0</v>
      </c>
      <c r="G735" s="130">
        <f t="shared" si="142"/>
        <v>0</v>
      </c>
      <c r="H735" s="131">
        <f t="shared" si="143"/>
        <v>0</v>
      </c>
    </row>
    <row r="736" spans="1:8" x14ac:dyDescent="0.25">
      <c r="A736" s="85" t="s">
        <v>2380</v>
      </c>
      <c r="B736" s="88" t="s">
        <v>2370</v>
      </c>
      <c r="C736" s="26" t="s">
        <v>37</v>
      </c>
      <c r="D736" s="1001"/>
      <c r="E736" s="74">
        <v>0.05</v>
      </c>
      <c r="F736" s="129">
        <f t="shared" si="141"/>
        <v>0</v>
      </c>
      <c r="G736" s="130">
        <f t="shared" si="142"/>
        <v>0</v>
      </c>
      <c r="H736" s="131">
        <f t="shared" si="143"/>
        <v>0</v>
      </c>
    </row>
    <row r="737" spans="1:8" x14ac:dyDescent="0.25">
      <c r="A737" s="85" t="s">
        <v>2381</v>
      </c>
      <c r="B737" s="88" t="s">
        <v>2371</v>
      </c>
      <c r="C737" s="26" t="s">
        <v>37</v>
      </c>
      <c r="D737" s="1001"/>
      <c r="E737" s="74">
        <v>0.05</v>
      </c>
      <c r="F737" s="129">
        <f t="shared" si="141"/>
        <v>0</v>
      </c>
      <c r="G737" s="130">
        <f t="shared" si="142"/>
        <v>0</v>
      </c>
      <c r="H737" s="131">
        <f t="shared" si="143"/>
        <v>0</v>
      </c>
    </row>
    <row r="738" spans="1:8" x14ac:dyDescent="0.25">
      <c r="A738" s="85" t="s">
        <v>2382</v>
      </c>
      <c r="B738" s="88" t="s">
        <v>2372</v>
      </c>
      <c r="C738" s="26" t="s">
        <v>37</v>
      </c>
      <c r="D738" s="1001"/>
      <c r="E738" s="74">
        <v>0.05</v>
      </c>
      <c r="F738" s="129">
        <f t="shared" si="141"/>
        <v>0</v>
      </c>
      <c r="G738" s="130">
        <f t="shared" si="142"/>
        <v>0</v>
      </c>
      <c r="H738" s="131">
        <f t="shared" si="143"/>
        <v>0</v>
      </c>
    </row>
    <row r="739" spans="1:8" x14ac:dyDescent="0.25">
      <c r="A739" s="85" t="s">
        <v>2383</v>
      </c>
      <c r="B739" s="88" t="s">
        <v>2373</v>
      </c>
      <c r="C739" s="26" t="s">
        <v>37</v>
      </c>
      <c r="D739" s="1001"/>
      <c r="E739" s="74">
        <v>0.05</v>
      </c>
      <c r="F739" s="129">
        <f t="shared" si="141"/>
        <v>0</v>
      </c>
      <c r="G739" s="130">
        <f t="shared" si="142"/>
        <v>0</v>
      </c>
      <c r="H739" s="131">
        <f t="shared" si="143"/>
        <v>0</v>
      </c>
    </row>
    <row r="740" spans="1:8" x14ac:dyDescent="0.25">
      <c r="A740" s="85" t="s">
        <v>2385</v>
      </c>
      <c r="B740" s="79" t="s">
        <v>2384</v>
      </c>
      <c r="C740" s="26"/>
      <c r="D740" s="1001"/>
      <c r="E740" s="74"/>
      <c r="F740" s="75"/>
      <c r="G740" s="76"/>
      <c r="H740" s="77"/>
    </row>
    <row r="741" spans="1:8" x14ac:dyDescent="0.25">
      <c r="A741" s="85" t="s">
        <v>2386</v>
      </c>
      <c r="B741" s="88" t="s">
        <v>2363</v>
      </c>
      <c r="C741" s="26" t="s">
        <v>37</v>
      </c>
      <c r="D741" s="1001"/>
      <c r="E741" s="74">
        <v>0.05</v>
      </c>
      <c r="F741" s="129">
        <f t="shared" ref="F741:F751" si="144">+D741+D741*E741</f>
        <v>0</v>
      </c>
      <c r="G741" s="130">
        <f t="shared" ref="G741:G751" si="145">F741*0.19</f>
        <v>0</v>
      </c>
      <c r="H741" s="131">
        <f t="shared" ref="H741:H751" si="146">ROUND((F741+G741),0)</f>
        <v>0</v>
      </c>
    </row>
    <row r="742" spans="1:8" x14ac:dyDescent="0.25">
      <c r="A742" s="85" t="s">
        <v>2387</v>
      </c>
      <c r="B742" s="88" t="s">
        <v>2364</v>
      </c>
      <c r="C742" s="26" t="s">
        <v>37</v>
      </c>
      <c r="D742" s="1001"/>
      <c r="E742" s="74">
        <v>0.05</v>
      </c>
      <c r="F742" s="129">
        <f t="shared" si="144"/>
        <v>0</v>
      </c>
      <c r="G742" s="130">
        <f t="shared" si="145"/>
        <v>0</v>
      </c>
      <c r="H742" s="131">
        <f t="shared" si="146"/>
        <v>0</v>
      </c>
    </row>
    <row r="743" spans="1:8" x14ac:dyDescent="0.25">
      <c r="A743" s="85" t="s">
        <v>2388</v>
      </c>
      <c r="B743" s="88" t="s">
        <v>2365</v>
      </c>
      <c r="C743" s="26" t="s">
        <v>37</v>
      </c>
      <c r="D743" s="1001"/>
      <c r="E743" s="74">
        <v>0.05</v>
      </c>
      <c r="F743" s="129">
        <f t="shared" si="144"/>
        <v>0</v>
      </c>
      <c r="G743" s="130">
        <f t="shared" si="145"/>
        <v>0</v>
      </c>
      <c r="H743" s="131">
        <f t="shared" si="146"/>
        <v>0</v>
      </c>
    </row>
    <row r="744" spans="1:8" x14ac:dyDescent="0.25">
      <c r="A744" s="85" t="s">
        <v>2389</v>
      </c>
      <c r="B744" s="88" t="s">
        <v>2366</v>
      </c>
      <c r="C744" s="26" t="s">
        <v>37</v>
      </c>
      <c r="D744" s="1001"/>
      <c r="E744" s="74">
        <v>0.05</v>
      </c>
      <c r="F744" s="129">
        <f t="shared" si="144"/>
        <v>0</v>
      </c>
      <c r="G744" s="130">
        <f t="shared" si="145"/>
        <v>0</v>
      </c>
      <c r="H744" s="131">
        <f t="shared" si="146"/>
        <v>0</v>
      </c>
    </row>
    <row r="745" spans="1:8" x14ac:dyDescent="0.25">
      <c r="A745" s="85" t="s">
        <v>2390</v>
      </c>
      <c r="B745" s="88" t="s">
        <v>2367</v>
      </c>
      <c r="C745" s="26" t="s">
        <v>37</v>
      </c>
      <c r="D745" s="1001"/>
      <c r="E745" s="74">
        <v>0.05</v>
      </c>
      <c r="F745" s="129">
        <f t="shared" si="144"/>
        <v>0</v>
      </c>
      <c r="G745" s="130">
        <f t="shared" si="145"/>
        <v>0</v>
      </c>
      <c r="H745" s="131">
        <f t="shared" si="146"/>
        <v>0</v>
      </c>
    </row>
    <row r="746" spans="1:8" x14ac:dyDescent="0.25">
      <c r="A746" s="85" t="s">
        <v>2391</v>
      </c>
      <c r="B746" s="88" t="s">
        <v>2368</v>
      </c>
      <c r="C746" s="26" t="s">
        <v>37</v>
      </c>
      <c r="D746" s="1001"/>
      <c r="E746" s="74">
        <v>0.05</v>
      </c>
      <c r="F746" s="129">
        <f t="shared" si="144"/>
        <v>0</v>
      </c>
      <c r="G746" s="130">
        <f t="shared" si="145"/>
        <v>0</v>
      </c>
      <c r="H746" s="131">
        <f t="shared" si="146"/>
        <v>0</v>
      </c>
    </row>
    <row r="747" spans="1:8" x14ac:dyDescent="0.25">
      <c r="A747" s="85" t="s">
        <v>2392</v>
      </c>
      <c r="B747" s="88" t="s">
        <v>2369</v>
      </c>
      <c r="C747" s="26" t="s">
        <v>37</v>
      </c>
      <c r="D747" s="1001"/>
      <c r="E747" s="74">
        <v>0.05</v>
      </c>
      <c r="F747" s="129">
        <f t="shared" si="144"/>
        <v>0</v>
      </c>
      <c r="G747" s="130">
        <f t="shared" si="145"/>
        <v>0</v>
      </c>
      <c r="H747" s="131">
        <f t="shared" si="146"/>
        <v>0</v>
      </c>
    </row>
    <row r="748" spans="1:8" x14ac:dyDescent="0.25">
      <c r="A748" s="85" t="s">
        <v>2393</v>
      </c>
      <c r="B748" s="88" t="s">
        <v>2370</v>
      </c>
      <c r="C748" s="26" t="s">
        <v>37</v>
      </c>
      <c r="D748" s="1001"/>
      <c r="E748" s="74">
        <v>0.05</v>
      </c>
      <c r="F748" s="129">
        <f t="shared" si="144"/>
        <v>0</v>
      </c>
      <c r="G748" s="130">
        <f t="shared" si="145"/>
        <v>0</v>
      </c>
      <c r="H748" s="131">
        <f t="shared" si="146"/>
        <v>0</v>
      </c>
    </row>
    <row r="749" spans="1:8" x14ac:dyDescent="0.25">
      <c r="A749" s="85" t="s">
        <v>2394</v>
      </c>
      <c r="B749" s="88" t="s">
        <v>2371</v>
      </c>
      <c r="C749" s="26" t="s">
        <v>37</v>
      </c>
      <c r="D749" s="1001"/>
      <c r="E749" s="74">
        <v>0.05</v>
      </c>
      <c r="F749" s="129">
        <f t="shared" si="144"/>
        <v>0</v>
      </c>
      <c r="G749" s="130">
        <f t="shared" si="145"/>
        <v>0</v>
      </c>
      <c r="H749" s="131">
        <f t="shared" si="146"/>
        <v>0</v>
      </c>
    </row>
    <row r="750" spans="1:8" x14ac:dyDescent="0.25">
      <c r="A750" s="85" t="s">
        <v>2395</v>
      </c>
      <c r="B750" s="88" t="s">
        <v>2372</v>
      </c>
      <c r="C750" s="26" t="s">
        <v>37</v>
      </c>
      <c r="D750" s="1001"/>
      <c r="E750" s="74">
        <v>0.05</v>
      </c>
      <c r="F750" s="129">
        <f t="shared" si="144"/>
        <v>0</v>
      </c>
      <c r="G750" s="130">
        <f t="shared" si="145"/>
        <v>0</v>
      </c>
      <c r="H750" s="131">
        <f t="shared" si="146"/>
        <v>0</v>
      </c>
    </row>
    <row r="751" spans="1:8" ht="15.75" customHeight="1" x14ac:dyDescent="0.25">
      <c r="A751" s="85" t="s">
        <v>2396</v>
      </c>
      <c r="B751" s="88" t="s">
        <v>2373</v>
      </c>
      <c r="C751" s="26" t="s">
        <v>37</v>
      </c>
      <c r="D751" s="999"/>
      <c r="E751" s="74">
        <v>0.05</v>
      </c>
      <c r="F751" s="129">
        <f t="shared" si="144"/>
        <v>0</v>
      </c>
      <c r="G751" s="130">
        <f t="shared" si="145"/>
        <v>0</v>
      </c>
      <c r="H751" s="131">
        <f t="shared" si="146"/>
        <v>0</v>
      </c>
    </row>
    <row r="752" spans="1:8" ht="15.75" customHeight="1" x14ac:dyDescent="0.25">
      <c r="A752" s="78" t="s">
        <v>2398</v>
      </c>
      <c r="B752" s="79" t="s">
        <v>2397</v>
      </c>
      <c r="C752" s="26"/>
      <c r="D752" s="999"/>
      <c r="E752" s="26"/>
      <c r="F752" s="26"/>
      <c r="G752" s="26"/>
      <c r="H752" s="92"/>
    </row>
    <row r="753" spans="1:8" ht="15.75" customHeight="1" x14ac:dyDescent="0.25">
      <c r="A753" s="85" t="s">
        <v>2416</v>
      </c>
      <c r="B753" s="88" t="s">
        <v>2399</v>
      </c>
      <c r="C753" s="26" t="s">
        <v>37</v>
      </c>
      <c r="D753" s="999"/>
      <c r="E753" s="74">
        <v>0.05</v>
      </c>
      <c r="F753" s="129">
        <f t="shared" ref="F753:F782" si="147">+D753+D753*E753</f>
        <v>0</v>
      </c>
      <c r="G753" s="130">
        <f t="shared" ref="G753:G782" si="148">F753*0.19</f>
        <v>0</v>
      </c>
      <c r="H753" s="131">
        <f t="shared" ref="H753:H782" si="149">ROUND((F753+G753),0)</f>
        <v>0</v>
      </c>
    </row>
    <row r="754" spans="1:8" ht="15.75" customHeight="1" x14ac:dyDescent="0.25">
      <c r="A754" s="85" t="s">
        <v>2417</v>
      </c>
      <c r="B754" s="88" t="s">
        <v>2400</v>
      </c>
      <c r="C754" s="26" t="s">
        <v>37</v>
      </c>
      <c r="D754" s="999"/>
      <c r="E754" s="74">
        <v>0.05</v>
      </c>
      <c r="F754" s="129">
        <f t="shared" si="147"/>
        <v>0</v>
      </c>
      <c r="G754" s="130">
        <f t="shared" si="148"/>
        <v>0</v>
      </c>
      <c r="H754" s="131">
        <f t="shared" si="149"/>
        <v>0</v>
      </c>
    </row>
    <row r="755" spans="1:8" ht="15.75" customHeight="1" x14ac:dyDescent="0.25">
      <c r="A755" s="85" t="s">
        <v>2418</v>
      </c>
      <c r="B755" s="88" t="s">
        <v>2401</v>
      </c>
      <c r="C755" s="26" t="s">
        <v>37</v>
      </c>
      <c r="D755" s="999"/>
      <c r="E755" s="74">
        <v>0.05</v>
      </c>
      <c r="F755" s="129">
        <f t="shared" si="147"/>
        <v>0</v>
      </c>
      <c r="G755" s="130">
        <f t="shared" si="148"/>
        <v>0</v>
      </c>
      <c r="H755" s="131">
        <f t="shared" si="149"/>
        <v>0</v>
      </c>
    </row>
    <row r="756" spans="1:8" ht="15.75" customHeight="1" x14ac:dyDescent="0.25">
      <c r="A756" s="85" t="s">
        <v>2419</v>
      </c>
      <c r="B756" s="88" t="s">
        <v>2402</v>
      </c>
      <c r="C756" s="26" t="s">
        <v>37</v>
      </c>
      <c r="D756" s="999"/>
      <c r="E756" s="74">
        <v>0.05</v>
      </c>
      <c r="F756" s="129">
        <f t="shared" si="147"/>
        <v>0</v>
      </c>
      <c r="G756" s="130">
        <f t="shared" si="148"/>
        <v>0</v>
      </c>
      <c r="H756" s="131">
        <f t="shared" si="149"/>
        <v>0</v>
      </c>
    </row>
    <row r="757" spans="1:8" ht="15.75" customHeight="1" x14ac:dyDescent="0.25">
      <c r="A757" s="85" t="s">
        <v>2420</v>
      </c>
      <c r="B757" s="88" t="s">
        <v>2405</v>
      </c>
      <c r="C757" s="26" t="s">
        <v>37</v>
      </c>
      <c r="D757" s="999"/>
      <c r="E757" s="74">
        <v>0.05</v>
      </c>
      <c r="F757" s="129">
        <f t="shared" si="147"/>
        <v>0</v>
      </c>
      <c r="G757" s="130">
        <f t="shared" si="148"/>
        <v>0</v>
      </c>
      <c r="H757" s="131">
        <f t="shared" si="149"/>
        <v>0</v>
      </c>
    </row>
    <row r="758" spans="1:8" ht="15.75" customHeight="1" x14ac:dyDescent="0.25">
      <c r="A758" s="85" t="s">
        <v>2421</v>
      </c>
      <c r="B758" s="88" t="s">
        <v>2403</v>
      </c>
      <c r="C758" s="26" t="s">
        <v>37</v>
      </c>
      <c r="D758" s="999"/>
      <c r="E758" s="74">
        <v>0.05</v>
      </c>
      <c r="F758" s="129">
        <f t="shared" si="147"/>
        <v>0</v>
      </c>
      <c r="G758" s="130">
        <f t="shared" si="148"/>
        <v>0</v>
      </c>
      <c r="H758" s="131">
        <f t="shared" si="149"/>
        <v>0</v>
      </c>
    </row>
    <row r="759" spans="1:8" ht="15.75" customHeight="1" x14ac:dyDescent="0.25">
      <c r="A759" s="85" t="s">
        <v>2422</v>
      </c>
      <c r="B759" s="88" t="s">
        <v>2404</v>
      </c>
      <c r="C759" s="26" t="s">
        <v>37</v>
      </c>
      <c r="D759" s="999"/>
      <c r="E759" s="74">
        <v>0.05</v>
      </c>
      <c r="F759" s="129">
        <f t="shared" si="147"/>
        <v>0</v>
      </c>
      <c r="G759" s="130">
        <f t="shared" si="148"/>
        <v>0</v>
      </c>
      <c r="H759" s="131">
        <f t="shared" si="149"/>
        <v>0</v>
      </c>
    </row>
    <row r="760" spans="1:8" ht="15.75" customHeight="1" x14ac:dyDescent="0.25">
      <c r="A760" s="85" t="s">
        <v>2423</v>
      </c>
      <c r="B760" s="88" t="s">
        <v>2406</v>
      </c>
      <c r="C760" s="26" t="s">
        <v>37</v>
      </c>
      <c r="D760" s="999"/>
      <c r="E760" s="74">
        <v>0.05</v>
      </c>
      <c r="F760" s="129">
        <f t="shared" si="147"/>
        <v>0</v>
      </c>
      <c r="G760" s="130">
        <f t="shared" si="148"/>
        <v>0</v>
      </c>
      <c r="H760" s="131">
        <f t="shared" si="149"/>
        <v>0</v>
      </c>
    </row>
    <row r="761" spans="1:8" ht="15.75" customHeight="1" x14ac:dyDescent="0.25">
      <c r="A761" s="85" t="s">
        <v>2424</v>
      </c>
      <c r="B761" s="88" t="s">
        <v>2407</v>
      </c>
      <c r="C761" s="26" t="s">
        <v>37</v>
      </c>
      <c r="D761" s="999"/>
      <c r="E761" s="74">
        <v>0.05</v>
      </c>
      <c r="F761" s="129">
        <f t="shared" si="147"/>
        <v>0</v>
      </c>
      <c r="G761" s="130">
        <f t="shared" si="148"/>
        <v>0</v>
      </c>
      <c r="H761" s="131">
        <f t="shared" si="149"/>
        <v>0</v>
      </c>
    </row>
    <row r="762" spans="1:8" ht="15.75" customHeight="1" x14ac:dyDescent="0.25">
      <c r="A762" s="85" t="s">
        <v>2425</v>
      </c>
      <c r="B762" s="88" t="s">
        <v>2408</v>
      </c>
      <c r="C762" s="26" t="s">
        <v>37</v>
      </c>
      <c r="D762" s="999"/>
      <c r="E762" s="74">
        <v>0.05</v>
      </c>
      <c r="F762" s="129">
        <f t="shared" si="147"/>
        <v>0</v>
      </c>
      <c r="G762" s="130">
        <f t="shared" si="148"/>
        <v>0</v>
      </c>
      <c r="H762" s="131">
        <f t="shared" si="149"/>
        <v>0</v>
      </c>
    </row>
    <row r="763" spans="1:8" ht="15.75" customHeight="1" x14ac:dyDescent="0.25">
      <c r="A763" s="85" t="s">
        <v>2426</v>
      </c>
      <c r="B763" s="88" t="s">
        <v>2409</v>
      </c>
      <c r="C763" s="26" t="s">
        <v>37</v>
      </c>
      <c r="D763" s="999"/>
      <c r="E763" s="74">
        <v>0.05</v>
      </c>
      <c r="F763" s="129">
        <f t="shared" si="147"/>
        <v>0</v>
      </c>
      <c r="G763" s="130">
        <f t="shared" si="148"/>
        <v>0</v>
      </c>
      <c r="H763" s="131">
        <f t="shared" si="149"/>
        <v>0</v>
      </c>
    </row>
    <row r="764" spans="1:8" ht="15.75" customHeight="1" x14ac:dyDescent="0.25">
      <c r="A764" s="85" t="s">
        <v>2427</v>
      </c>
      <c r="B764" s="88" t="s">
        <v>2410</v>
      </c>
      <c r="C764" s="26" t="s">
        <v>37</v>
      </c>
      <c r="D764" s="999"/>
      <c r="E764" s="74">
        <v>0.05</v>
      </c>
      <c r="F764" s="129">
        <f t="shared" si="147"/>
        <v>0</v>
      </c>
      <c r="G764" s="130">
        <f t="shared" si="148"/>
        <v>0</v>
      </c>
      <c r="H764" s="131">
        <f t="shared" si="149"/>
        <v>0</v>
      </c>
    </row>
    <row r="765" spans="1:8" ht="15.75" customHeight="1" x14ac:dyDescent="0.25">
      <c r="A765" s="85" t="s">
        <v>2428</v>
      </c>
      <c r="B765" s="88" t="s">
        <v>2411</v>
      </c>
      <c r="C765" s="26" t="s">
        <v>37</v>
      </c>
      <c r="D765" s="999"/>
      <c r="E765" s="74">
        <v>0.05</v>
      </c>
      <c r="F765" s="129">
        <f t="shared" si="147"/>
        <v>0</v>
      </c>
      <c r="G765" s="130">
        <f t="shared" si="148"/>
        <v>0</v>
      </c>
      <c r="H765" s="131">
        <f t="shared" si="149"/>
        <v>0</v>
      </c>
    </row>
    <row r="766" spans="1:8" ht="15.75" customHeight="1" x14ac:dyDescent="0.25">
      <c r="A766" s="85" t="s">
        <v>2429</v>
      </c>
      <c r="B766" s="88" t="s">
        <v>2412</v>
      </c>
      <c r="C766" s="26" t="s">
        <v>37</v>
      </c>
      <c r="D766" s="999"/>
      <c r="E766" s="74">
        <v>0.05</v>
      </c>
      <c r="F766" s="129">
        <f t="shared" si="147"/>
        <v>0</v>
      </c>
      <c r="G766" s="130">
        <f t="shared" si="148"/>
        <v>0</v>
      </c>
      <c r="H766" s="131">
        <f t="shared" si="149"/>
        <v>0</v>
      </c>
    </row>
    <row r="767" spans="1:8" ht="15.75" customHeight="1" x14ac:dyDescent="0.25">
      <c r="A767" s="85" t="s">
        <v>2430</v>
      </c>
      <c r="B767" s="88" t="s">
        <v>2413</v>
      </c>
      <c r="C767" s="26" t="s">
        <v>37</v>
      </c>
      <c r="D767" s="999"/>
      <c r="E767" s="74">
        <v>0.05</v>
      </c>
      <c r="F767" s="129">
        <f t="shared" si="147"/>
        <v>0</v>
      </c>
      <c r="G767" s="130">
        <f t="shared" si="148"/>
        <v>0</v>
      </c>
      <c r="H767" s="131">
        <f t="shared" si="149"/>
        <v>0</v>
      </c>
    </row>
    <row r="768" spans="1:8" ht="15.75" customHeight="1" x14ac:dyDescent="0.25">
      <c r="A768" s="85" t="s">
        <v>2431</v>
      </c>
      <c r="B768" s="88" t="s">
        <v>2414</v>
      </c>
      <c r="C768" s="26" t="s">
        <v>37</v>
      </c>
      <c r="D768" s="999"/>
      <c r="E768" s="74">
        <v>0.05</v>
      </c>
      <c r="F768" s="129">
        <f t="shared" si="147"/>
        <v>0</v>
      </c>
      <c r="G768" s="130">
        <f t="shared" si="148"/>
        <v>0</v>
      </c>
      <c r="H768" s="131">
        <f t="shared" si="149"/>
        <v>0</v>
      </c>
    </row>
    <row r="769" spans="1:8" ht="15.75" customHeight="1" x14ac:dyDescent="0.25">
      <c r="A769" s="85" t="s">
        <v>2432</v>
      </c>
      <c r="B769" s="88" t="s">
        <v>2415</v>
      </c>
      <c r="C769" s="26" t="s">
        <v>37</v>
      </c>
      <c r="D769" s="999"/>
      <c r="E769" s="74">
        <v>0.05</v>
      </c>
      <c r="F769" s="129">
        <f t="shared" si="147"/>
        <v>0</v>
      </c>
      <c r="G769" s="130">
        <f t="shared" si="148"/>
        <v>0</v>
      </c>
      <c r="H769" s="131">
        <f t="shared" si="149"/>
        <v>0</v>
      </c>
    </row>
    <row r="770" spans="1:8" ht="15.75" customHeight="1" x14ac:dyDescent="0.25">
      <c r="A770" s="85" t="s">
        <v>2441</v>
      </c>
      <c r="B770" s="88" t="s">
        <v>2433</v>
      </c>
      <c r="C770" s="26" t="s">
        <v>37</v>
      </c>
      <c r="D770" s="999"/>
      <c r="E770" s="74">
        <v>0.05</v>
      </c>
      <c r="F770" s="129">
        <f t="shared" si="147"/>
        <v>0</v>
      </c>
      <c r="G770" s="130">
        <f t="shared" si="148"/>
        <v>0</v>
      </c>
      <c r="H770" s="131">
        <f t="shared" si="149"/>
        <v>0</v>
      </c>
    </row>
    <row r="771" spans="1:8" ht="15.75" customHeight="1" x14ac:dyDescent="0.25">
      <c r="A771" s="85" t="s">
        <v>2442</v>
      </c>
      <c r="B771" s="88" t="s">
        <v>2434</v>
      </c>
      <c r="C771" s="26" t="s">
        <v>37</v>
      </c>
      <c r="D771" s="999"/>
      <c r="E771" s="74">
        <v>0.05</v>
      </c>
      <c r="F771" s="129">
        <f t="shared" si="147"/>
        <v>0</v>
      </c>
      <c r="G771" s="130">
        <f t="shared" si="148"/>
        <v>0</v>
      </c>
      <c r="H771" s="131">
        <f t="shared" si="149"/>
        <v>0</v>
      </c>
    </row>
    <row r="772" spans="1:8" ht="15.75" customHeight="1" x14ac:dyDescent="0.25">
      <c r="A772" s="85" t="s">
        <v>2443</v>
      </c>
      <c r="B772" s="88" t="s">
        <v>2435</v>
      </c>
      <c r="C772" s="26" t="s">
        <v>37</v>
      </c>
      <c r="D772" s="999"/>
      <c r="E772" s="74">
        <v>0.05</v>
      </c>
      <c r="F772" s="129">
        <f t="shared" si="147"/>
        <v>0</v>
      </c>
      <c r="G772" s="130">
        <f t="shared" si="148"/>
        <v>0</v>
      </c>
      <c r="H772" s="131">
        <f t="shared" si="149"/>
        <v>0</v>
      </c>
    </row>
    <row r="773" spans="1:8" ht="15.75" customHeight="1" x14ac:dyDescent="0.25">
      <c r="A773" s="85" t="s">
        <v>2444</v>
      </c>
      <c r="B773" s="88" t="s">
        <v>2436</v>
      </c>
      <c r="C773" s="26" t="s">
        <v>37</v>
      </c>
      <c r="D773" s="999"/>
      <c r="E773" s="74">
        <v>0.05</v>
      </c>
      <c r="F773" s="129">
        <f t="shared" si="147"/>
        <v>0</v>
      </c>
      <c r="G773" s="130">
        <f t="shared" si="148"/>
        <v>0</v>
      </c>
      <c r="H773" s="131">
        <f t="shared" si="149"/>
        <v>0</v>
      </c>
    </row>
    <row r="774" spans="1:8" ht="15.75" customHeight="1" x14ac:dyDescent="0.25">
      <c r="A774" s="85" t="s">
        <v>2445</v>
      </c>
      <c r="B774" s="88" t="s">
        <v>2437</v>
      </c>
      <c r="C774" s="26" t="s">
        <v>37</v>
      </c>
      <c r="D774" s="999"/>
      <c r="E774" s="74">
        <v>0.05</v>
      </c>
      <c r="F774" s="129">
        <f t="shared" si="147"/>
        <v>0</v>
      </c>
      <c r="G774" s="130">
        <f t="shared" si="148"/>
        <v>0</v>
      </c>
      <c r="H774" s="131">
        <f t="shared" si="149"/>
        <v>0</v>
      </c>
    </row>
    <row r="775" spans="1:8" ht="15.75" customHeight="1" x14ac:dyDescent="0.25">
      <c r="A775" s="85" t="s">
        <v>2446</v>
      </c>
      <c r="B775" s="88" t="s">
        <v>2438</v>
      </c>
      <c r="C775" s="26" t="s">
        <v>37</v>
      </c>
      <c r="D775" s="999"/>
      <c r="E775" s="74">
        <v>0.05</v>
      </c>
      <c r="F775" s="129">
        <f t="shared" si="147"/>
        <v>0</v>
      </c>
      <c r="G775" s="130">
        <f t="shared" si="148"/>
        <v>0</v>
      </c>
      <c r="H775" s="131">
        <f t="shared" si="149"/>
        <v>0</v>
      </c>
    </row>
    <row r="776" spans="1:8" ht="15.75" customHeight="1" x14ac:dyDescent="0.25">
      <c r="A776" s="85" t="s">
        <v>2447</v>
      </c>
      <c r="B776" s="88" t="s">
        <v>2439</v>
      </c>
      <c r="C776" s="26" t="s">
        <v>37</v>
      </c>
      <c r="D776" s="999"/>
      <c r="E776" s="74">
        <v>0.05</v>
      </c>
      <c r="F776" s="129">
        <f t="shared" si="147"/>
        <v>0</v>
      </c>
      <c r="G776" s="130">
        <f t="shared" si="148"/>
        <v>0</v>
      </c>
      <c r="H776" s="131">
        <f t="shared" si="149"/>
        <v>0</v>
      </c>
    </row>
    <row r="777" spans="1:8" ht="15.75" customHeight="1" x14ac:dyDescent="0.25">
      <c r="A777" s="85" t="s">
        <v>2448</v>
      </c>
      <c r="B777" s="88" t="s">
        <v>2440</v>
      </c>
      <c r="C777" s="26" t="s">
        <v>37</v>
      </c>
      <c r="D777" s="999"/>
      <c r="E777" s="74">
        <v>0.05</v>
      </c>
      <c r="F777" s="129">
        <f t="shared" si="147"/>
        <v>0</v>
      </c>
      <c r="G777" s="130">
        <f t="shared" si="148"/>
        <v>0</v>
      </c>
      <c r="H777" s="131">
        <f t="shared" si="149"/>
        <v>0</v>
      </c>
    </row>
    <row r="778" spans="1:8" ht="15.75" customHeight="1" x14ac:dyDescent="0.25">
      <c r="A778" s="85" t="s">
        <v>2454</v>
      </c>
      <c r="B778" s="88" t="s">
        <v>2449</v>
      </c>
      <c r="C778" s="26" t="s">
        <v>37</v>
      </c>
      <c r="D778" s="999"/>
      <c r="E778" s="74">
        <v>0.05</v>
      </c>
      <c r="F778" s="129">
        <f t="shared" si="147"/>
        <v>0</v>
      </c>
      <c r="G778" s="130">
        <f t="shared" si="148"/>
        <v>0</v>
      </c>
      <c r="H778" s="131">
        <f t="shared" si="149"/>
        <v>0</v>
      </c>
    </row>
    <row r="779" spans="1:8" ht="15.75" customHeight="1" x14ac:dyDescent="0.25">
      <c r="A779" s="85" t="s">
        <v>2455</v>
      </c>
      <c r="B779" s="88" t="s">
        <v>2450</v>
      </c>
      <c r="C779" s="26" t="s">
        <v>37</v>
      </c>
      <c r="D779" s="999"/>
      <c r="E779" s="74">
        <v>0.05</v>
      </c>
      <c r="F779" s="129">
        <f t="shared" si="147"/>
        <v>0</v>
      </c>
      <c r="G779" s="130">
        <f t="shared" si="148"/>
        <v>0</v>
      </c>
      <c r="H779" s="131">
        <f t="shared" si="149"/>
        <v>0</v>
      </c>
    </row>
    <row r="780" spans="1:8" ht="15.75" customHeight="1" x14ac:dyDescent="0.25">
      <c r="A780" s="85" t="s">
        <v>2456</v>
      </c>
      <c r="B780" s="88" t="s">
        <v>2451</v>
      </c>
      <c r="C780" s="26" t="s">
        <v>37</v>
      </c>
      <c r="D780" s="999"/>
      <c r="E780" s="74">
        <v>0.05</v>
      </c>
      <c r="F780" s="129">
        <f t="shared" si="147"/>
        <v>0</v>
      </c>
      <c r="G780" s="130">
        <f t="shared" si="148"/>
        <v>0</v>
      </c>
      <c r="H780" s="131">
        <f t="shared" si="149"/>
        <v>0</v>
      </c>
    </row>
    <row r="781" spans="1:8" ht="15.75" customHeight="1" x14ac:dyDescent="0.25">
      <c r="A781" s="85" t="s">
        <v>2457</v>
      </c>
      <c r="B781" s="88" t="s">
        <v>2452</v>
      </c>
      <c r="C781" s="26" t="s">
        <v>37</v>
      </c>
      <c r="D781" s="999"/>
      <c r="E781" s="74">
        <v>0.05</v>
      </c>
      <c r="F781" s="129">
        <f t="shared" si="147"/>
        <v>0</v>
      </c>
      <c r="G781" s="130">
        <f t="shared" si="148"/>
        <v>0</v>
      </c>
      <c r="H781" s="131">
        <f t="shared" si="149"/>
        <v>0</v>
      </c>
    </row>
    <row r="782" spans="1:8" ht="15.75" customHeight="1" x14ac:dyDescent="0.25">
      <c r="A782" s="85" t="s">
        <v>2458</v>
      </c>
      <c r="B782" s="88" t="s">
        <v>2453</v>
      </c>
      <c r="C782" s="26" t="s">
        <v>37</v>
      </c>
      <c r="D782" s="999"/>
      <c r="E782" s="74">
        <v>0.05</v>
      </c>
      <c r="F782" s="129">
        <f t="shared" si="147"/>
        <v>0</v>
      </c>
      <c r="G782" s="130">
        <f t="shared" si="148"/>
        <v>0</v>
      </c>
      <c r="H782" s="131">
        <f t="shared" si="149"/>
        <v>0</v>
      </c>
    </row>
    <row r="783" spans="1:8" ht="15.75" customHeight="1" x14ac:dyDescent="0.25">
      <c r="A783" s="78" t="s">
        <v>2459</v>
      </c>
      <c r="B783" s="79" t="s">
        <v>2461</v>
      </c>
      <c r="C783" s="26"/>
      <c r="D783" s="999"/>
      <c r="E783" s="26"/>
      <c r="F783" s="26"/>
      <c r="G783" s="26"/>
      <c r="H783" s="92"/>
    </row>
    <row r="784" spans="1:8" ht="15.75" customHeight="1" x14ac:dyDescent="0.25">
      <c r="A784" s="85" t="s">
        <v>2460</v>
      </c>
      <c r="B784" s="303" t="s">
        <v>2462</v>
      </c>
      <c r="C784" s="26" t="s">
        <v>37</v>
      </c>
      <c r="D784" s="999"/>
      <c r="E784" s="74">
        <v>0.05</v>
      </c>
      <c r="F784" s="129">
        <f t="shared" ref="F784:F802" si="150">+D784+D784*E784</f>
        <v>0</v>
      </c>
      <c r="G784" s="130">
        <f t="shared" ref="G784:G802" si="151">F784*0.19</f>
        <v>0</v>
      </c>
      <c r="H784" s="131">
        <f t="shared" ref="H784:H802" si="152">ROUND((F784+G784),0)</f>
        <v>0</v>
      </c>
    </row>
    <row r="785" spans="1:8" ht="15.75" customHeight="1" x14ac:dyDescent="0.25">
      <c r="A785" s="85" t="s">
        <v>2481</v>
      </c>
      <c r="B785" s="303" t="s">
        <v>2463</v>
      </c>
      <c r="C785" s="26" t="s">
        <v>37</v>
      </c>
      <c r="D785" s="999"/>
      <c r="E785" s="74">
        <v>0.05</v>
      </c>
      <c r="F785" s="129">
        <f t="shared" si="150"/>
        <v>0</v>
      </c>
      <c r="G785" s="130">
        <f t="shared" si="151"/>
        <v>0</v>
      </c>
      <c r="H785" s="131">
        <f t="shared" si="152"/>
        <v>0</v>
      </c>
    </row>
    <row r="786" spans="1:8" ht="15.75" customHeight="1" x14ac:dyDescent="0.25">
      <c r="A786" s="85" t="s">
        <v>2482</v>
      </c>
      <c r="B786" s="304" t="s">
        <v>2464</v>
      </c>
      <c r="C786" s="26" t="s">
        <v>37</v>
      </c>
      <c r="D786" s="999"/>
      <c r="E786" s="74">
        <v>0.05</v>
      </c>
      <c r="F786" s="129">
        <f t="shared" si="150"/>
        <v>0</v>
      </c>
      <c r="G786" s="130">
        <f t="shared" si="151"/>
        <v>0</v>
      </c>
      <c r="H786" s="131">
        <f t="shared" si="152"/>
        <v>0</v>
      </c>
    </row>
    <row r="787" spans="1:8" ht="15.75" customHeight="1" x14ac:dyDescent="0.25">
      <c r="A787" s="85" t="s">
        <v>2483</v>
      </c>
      <c r="B787" s="304" t="s">
        <v>2465</v>
      </c>
      <c r="C787" s="26" t="s">
        <v>37</v>
      </c>
      <c r="D787" s="999"/>
      <c r="E787" s="74">
        <v>0.05</v>
      </c>
      <c r="F787" s="129">
        <f t="shared" si="150"/>
        <v>0</v>
      </c>
      <c r="G787" s="130">
        <f t="shared" si="151"/>
        <v>0</v>
      </c>
      <c r="H787" s="131">
        <f t="shared" si="152"/>
        <v>0</v>
      </c>
    </row>
    <row r="788" spans="1:8" ht="15.75" customHeight="1" x14ac:dyDescent="0.25">
      <c r="A788" s="85" t="s">
        <v>2484</v>
      </c>
      <c r="B788" s="304" t="s">
        <v>2466</v>
      </c>
      <c r="C788" s="26" t="s">
        <v>37</v>
      </c>
      <c r="D788" s="999"/>
      <c r="E788" s="74">
        <v>0.05</v>
      </c>
      <c r="F788" s="129">
        <f t="shared" si="150"/>
        <v>0</v>
      </c>
      <c r="G788" s="130">
        <f t="shared" si="151"/>
        <v>0</v>
      </c>
      <c r="H788" s="131">
        <f t="shared" si="152"/>
        <v>0</v>
      </c>
    </row>
    <row r="789" spans="1:8" ht="15.75" customHeight="1" x14ac:dyDescent="0.25">
      <c r="A789" s="85" t="s">
        <v>2485</v>
      </c>
      <c r="B789" s="304" t="s">
        <v>2467</v>
      </c>
      <c r="C789" s="26" t="s">
        <v>37</v>
      </c>
      <c r="D789" s="999"/>
      <c r="E789" s="74">
        <v>0.05</v>
      </c>
      <c r="F789" s="129">
        <f t="shared" si="150"/>
        <v>0</v>
      </c>
      <c r="G789" s="130">
        <f t="shared" si="151"/>
        <v>0</v>
      </c>
      <c r="H789" s="131">
        <f t="shared" si="152"/>
        <v>0</v>
      </c>
    </row>
    <row r="790" spans="1:8" ht="15.75" customHeight="1" x14ac:dyDescent="0.25">
      <c r="A790" s="85" t="s">
        <v>2486</v>
      </c>
      <c r="B790" s="304" t="s">
        <v>2468</v>
      </c>
      <c r="C790" s="26" t="s">
        <v>37</v>
      </c>
      <c r="D790" s="999"/>
      <c r="E790" s="74">
        <v>0.05</v>
      </c>
      <c r="F790" s="129">
        <f t="shared" si="150"/>
        <v>0</v>
      </c>
      <c r="G790" s="130">
        <f t="shared" si="151"/>
        <v>0</v>
      </c>
      <c r="H790" s="131">
        <f t="shared" si="152"/>
        <v>0</v>
      </c>
    </row>
    <row r="791" spans="1:8" ht="15.75" customHeight="1" x14ac:dyDescent="0.25">
      <c r="A791" s="85" t="s">
        <v>2487</v>
      </c>
      <c r="B791" s="304" t="s">
        <v>2470</v>
      </c>
      <c r="C791" s="26" t="s">
        <v>37</v>
      </c>
      <c r="D791" s="999"/>
      <c r="E791" s="74">
        <v>0.05</v>
      </c>
      <c r="F791" s="129">
        <f t="shared" si="150"/>
        <v>0</v>
      </c>
      <c r="G791" s="130">
        <f t="shared" si="151"/>
        <v>0</v>
      </c>
      <c r="H791" s="131">
        <f t="shared" si="152"/>
        <v>0</v>
      </c>
    </row>
    <row r="792" spans="1:8" ht="15.75" customHeight="1" x14ac:dyDescent="0.25">
      <c r="A792" s="85" t="s">
        <v>2488</v>
      </c>
      <c r="B792" s="304" t="s">
        <v>2469</v>
      </c>
      <c r="C792" s="26" t="s">
        <v>37</v>
      </c>
      <c r="D792" s="999"/>
      <c r="E792" s="74">
        <v>0.05</v>
      </c>
      <c r="F792" s="129">
        <f t="shared" si="150"/>
        <v>0</v>
      </c>
      <c r="G792" s="130">
        <f t="shared" si="151"/>
        <v>0</v>
      </c>
      <c r="H792" s="131">
        <f t="shared" si="152"/>
        <v>0</v>
      </c>
    </row>
    <row r="793" spans="1:8" ht="15.75" customHeight="1" x14ac:dyDescent="0.25">
      <c r="A793" s="85" t="s">
        <v>2489</v>
      </c>
      <c r="B793" s="304" t="s">
        <v>2471</v>
      </c>
      <c r="C793" s="26" t="s">
        <v>37</v>
      </c>
      <c r="D793" s="999"/>
      <c r="E793" s="74">
        <v>0.05</v>
      </c>
      <c r="F793" s="129">
        <f t="shared" si="150"/>
        <v>0</v>
      </c>
      <c r="G793" s="130">
        <f t="shared" si="151"/>
        <v>0</v>
      </c>
      <c r="H793" s="131">
        <f t="shared" si="152"/>
        <v>0</v>
      </c>
    </row>
    <row r="794" spans="1:8" ht="15.75" customHeight="1" x14ac:dyDescent="0.25">
      <c r="A794" s="85" t="s">
        <v>2490</v>
      </c>
      <c r="B794" s="304" t="s">
        <v>2472</v>
      </c>
      <c r="C794" s="26" t="s">
        <v>37</v>
      </c>
      <c r="D794" s="999"/>
      <c r="E794" s="74">
        <v>0.05</v>
      </c>
      <c r="F794" s="129">
        <f t="shared" si="150"/>
        <v>0</v>
      </c>
      <c r="G794" s="130">
        <f t="shared" si="151"/>
        <v>0</v>
      </c>
      <c r="H794" s="131">
        <f t="shared" si="152"/>
        <v>0</v>
      </c>
    </row>
    <row r="795" spans="1:8" ht="15.75" customHeight="1" x14ac:dyDescent="0.25">
      <c r="A795" s="85" t="s">
        <v>2491</v>
      </c>
      <c r="B795" s="304" t="s">
        <v>2473</v>
      </c>
      <c r="C795" s="26" t="s">
        <v>37</v>
      </c>
      <c r="D795" s="999"/>
      <c r="E795" s="74">
        <v>0.05</v>
      </c>
      <c r="F795" s="129">
        <f t="shared" si="150"/>
        <v>0</v>
      </c>
      <c r="G795" s="130">
        <f t="shared" si="151"/>
        <v>0</v>
      </c>
      <c r="H795" s="131">
        <f t="shared" si="152"/>
        <v>0</v>
      </c>
    </row>
    <row r="796" spans="1:8" ht="15.75" customHeight="1" x14ac:dyDescent="0.25">
      <c r="A796" s="85" t="s">
        <v>2492</v>
      </c>
      <c r="B796" s="304" t="s">
        <v>2474</v>
      </c>
      <c r="C796" s="26" t="s">
        <v>37</v>
      </c>
      <c r="D796" s="999"/>
      <c r="E796" s="74">
        <v>0.05</v>
      </c>
      <c r="F796" s="129">
        <f t="shared" si="150"/>
        <v>0</v>
      </c>
      <c r="G796" s="130">
        <f t="shared" si="151"/>
        <v>0</v>
      </c>
      <c r="H796" s="131">
        <f t="shared" si="152"/>
        <v>0</v>
      </c>
    </row>
    <row r="797" spans="1:8" ht="15.75" customHeight="1" x14ac:dyDescent="0.25">
      <c r="A797" s="85" t="s">
        <v>2493</v>
      </c>
      <c r="B797" s="304" t="s">
        <v>2475</v>
      </c>
      <c r="C797" s="26" t="s">
        <v>37</v>
      </c>
      <c r="D797" s="999"/>
      <c r="E797" s="74">
        <v>0.05</v>
      </c>
      <c r="F797" s="129">
        <f t="shared" si="150"/>
        <v>0</v>
      </c>
      <c r="G797" s="130">
        <f t="shared" si="151"/>
        <v>0</v>
      </c>
      <c r="H797" s="131">
        <f t="shared" si="152"/>
        <v>0</v>
      </c>
    </row>
    <row r="798" spans="1:8" ht="15.75" customHeight="1" x14ac:dyDescent="0.25">
      <c r="A798" s="85" t="s">
        <v>2494</v>
      </c>
      <c r="B798" s="304" t="s">
        <v>2476</v>
      </c>
      <c r="C798" s="26" t="s">
        <v>37</v>
      </c>
      <c r="D798" s="999"/>
      <c r="E798" s="74">
        <v>0.05</v>
      </c>
      <c r="F798" s="129">
        <f t="shared" si="150"/>
        <v>0</v>
      </c>
      <c r="G798" s="130">
        <f t="shared" si="151"/>
        <v>0</v>
      </c>
      <c r="H798" s="131">
        <f t="shared" si="152"/>
        <v>0</v>
      </c>
    </row>
    <row r="799" spans="1:8" ht="15.75" customHeight="1" x14ac:dyDescent="0.25">
      <c r="A799" s="85" t="s">
        <v>2495</v>
      </c>
      <c r="B799" s="304" t="s">
        <v>2477</v>
      </c>
      <c r="C799" s="26" t="s">
        <v>37</v>
      </c>
      <c r="D799" s="999"/>
      <c r="E799" s="74">
        <v>0.05</v>
      </c>
      <c r="F799" s="129">
        <f t="shared" si="150"/>
        <v>0</v>
      </c>
      <c r="G799" s="130">
        <f t="shared" si="151"/>
        <v>0</v>
      </c>
      <c r="H799" s="131">
        <f t="shared" si="152"/>
        <v>0</v>
      </c>
    </row>
    <row r="800" spans="1:8" ht="15.75" customHeight="1" x14ac:dyDescent="0.25">
      <c r="A800" s="85" t="s">
        <v>2496</v>
      </c>
      <c r="B800" s="303" t="s">
        <v>2478</v>
      </c>
      <c r="C800" s="26" t="s">
        <v>37</v>
      </c>
      <c r="D800" s="999"/>
      <c r="E800" s="74">
        <v>0.05</v>
      </c>
      <c r="F800" s="129">
        <f t="shared" si="150"/>
        <v>0</v>
      </c>
      <c r="G800" s="130">
        <f t="shared" si="151"/>
        <v>0</v>
      </c>
      <c r="H800" s="131">
        <f t="shared" si="152"/>
        <v>0</v>
      </c>
    </row>
    <row r="801" spans="1:8" ht="15.75" customHeight="1" x14ac:dyDescent="0.25">
      <c r="A801" s="85" t="s">
        <v>2497</v>
      </c>
      <c r="B801" s="303" t="s">
        <v>2479</v>
      </c>
      <c r="C801" s="26" t="s">
        <v>37</v>
      </c>
      <c r="D801" s="999"/>
      <c r="E801" s="74">
        <v>0.05</v>
      </c>
      <c r="F801" s="129">
        <f t="shared" si="150"/>
        <v>0</v>
      </c>
      <c r="G801" s="130">
        <f t="shared" si="151"/>
        <v>0</v>
      </c>
      <c r="H801" s="131">
        <f t="shared" si="152"/>
        <v>0</v>
      </c>
    </row>
    <row r="802" spans="1:8" ht="15.75" customHeight="1" x14ac:dyDescent="0.25">
      <c r="A802" s="85" t="s">
        <v>2498</v>
      </c>
      <c r="B802" s="303" t="s">
        <v>2480</v>
      </c>
      <c r="C802" s="26" t="s">
        <v>37</v>
      </c>
      <c r="D802" s="999"/>
      <c r="E802" s="74">
        <v>0.05</v>
      </c>
      <c r="F802" s="129">
        <f t="shared" si="150"/>
        <v>0</v>
      </c>
      <c r="G802" s="130">
        <f t="shared" si="151"/>
        <v>0</v>
      </c>
      <c r="H802" s="131">
        <f t="shared" si="152"/>
        <v>0</v>
      </c>
    </row>
    <row r="803" spans="1:8" ht="15.75" customHeight="1" x14ac:dyDescent="0.25">
      <c r="A803" s="78" t="s">
        <v>2499</v>
      </c>
      <c r="B803" s="79" t="s">
        <v>2500</v>
      </c>
      <c r="C803" s="26"/>
      <c r="D803" s="999"/>
      <c r="E803" s="26"/>
      <c r="F803" s="26"/>
      <c r="G803" s="26"/>
      <c r="H803" s="92"/>
    </row>
    <row r="804" spans="1:8" ht="15.75" customHeight="1" x14ac:dyDescent="0.25">
      <c r="A804" s="78" t="s">
        <v>2501</v>
      </c>
      <c r="B804" s="79" t="s">
        <v>2502</v>
      </c>
      <c r="C804" s="26"/>
      <c r="D804" s="999"/>
      <c r="E804" s="26"/>
      <c r="F804" s="26"/>
      <c r="G804" s="26"/>
      <c r="H804" s="92"/>
    </row>
    <row r="805" spans="1:8" ht="15.75" customHeight="1" x14ac:dyDescent="0.25">
      <c r="A805" s="85" t="s">
        <v>2512</v>
      </c>
      <c r="B805" s="88" t="s">
        <v>2503</v>
      </c>
      <c r="C805" s="26" t="s">
        <v>37</v>
      </c>
      <c r="D805" s="999"/>
      <c r="E805" s="74">
        <v>0.05</v>
      </c>
      <c r="F805" s="129">
        <f t="shared" ref="F805:F815" si="153">+D805+D805*E805</f>
        <v>0</v>
      </c>
      <c r="G805" s="130">
        <f t="shared" ref="G805:G815" si="154">F805*0.19</f>
        <v>0</v>
      </c>
      <c r="H805" s="131">
        <f t="shared" ref="H805:H815" si="155">ROUND((F805+G805),0)</f>
        <v>0</v>
      </c>
    </row>
    <row r="806" spans="1:8" ht="15.75" customHeight="1" x14ac:dyDescent="0.25">
      <c r="A806" s="85" t="s">
        <v>2513</v>
      </c>
      <c r="B806" s="88" t="s">
        <v>2504</v>
      </c>
      <c r="C806" s="26" t="s">
        <v>37</v>
      </c>
      <c r="D806" s="999"/>
      <c r="E806" s="74">
        <v>0.05</v>
      </c>
      <c r="F806" s="129">
        <f t="shared" si="153"/>
        <v>0</v>
      </c>
      <c r="G806" s="130">
        <f t="shared" si="154"/>
        <v>0</v>
      </c>
      <c r="H806" s="131">
        <f t="shared" si="155"/>
        <v>0</v>
      </c>
    </row>
    <row r="807" spans="1:8" ht="15.75" customHeight="1" x14ac:dyDescent="0.25">
      <c r="A807" s="85" t="s">
        <v>2514</v>
      </c>
      <c r="B807" s="88" t="s">
        <v>2505</v>
      </c>
      <c r="C807" s="26" t="s">
        <v>37</v>
      </c>
      <c r="D807" s="999"/>
      <c r="E807" s="74">
        <v>0.05</v>
      </c>
      <c r="F807" s="129">
        <f t="shared" si="153"/>
        <v>0</v>
      </c>
      <c r="G807" s="130">
        <f t="shared" si="154"/>
        <v>0</v>
      </c>
      <c r="H807" s="131">
        <f t="shared" si="155"/>
        <v>0</v>
      </c>
    </row>
    <row r="808" spans="1:8" ht="15.75" customHeight="1" x14ac:dyDescent="0.25">
      <c r="A808" s="85" t="s">
        <v>2515</v>
      </c>
      <c r="B808" s="88" t="s">
        <v>2506</v>
      </c>
      <c r="C808" s="26" t="s">
        <v>37</v>
      </c>
      <c r="D808" s="999"/>
      <c r="E808" s="74">
        <v>0.05</v>
      </c>
      <c r="F808" s="129">
        <f t="shared" si="153"/>
        <v>0</v>
      </c>
      <c r="G808" s="130">
        <f t="shared" si="154"/>
        <v>0</v>
      </c>
      <c r="H808" s="131">
        <f t="shared" si="155"/>
        <v>0</v>
      </c>
    </row>
    <row r="809" spans="1:8" ht="15.75" customHeight="1" x14ac:dyDescent="0.25">
      <c r="A809" s="85" t="s">
        <v>2516</v>
      </c>
      <c r="B809" s="88" t="s">
        <v>2507</v>
      </c>
      <c r="C809" s="26" t="s">
        <v>37</v>
      </c>
      <c r="D809" s="999"/>
      <c r="E809" s="74">
        <v>0.05</v>
      </c>
      <c r="F809" s="129">
        <f t="shared" si="153"/>
        <v>0</v>
      </c>
      <c r="G809" s="130">
        <f t="shared" si="154"/>
        <v>0</v>
      </c>
      <c r="H809" s="131">
        <f t="shared" si="155"/>
        <v>0</v>
      </c>
    </row>
    <row r="810" spans="1:8" ht="15.75" customHeight="1" x14ac:dyDescent="0.25">
      <c r="A810" s="85" t="s">
        <v>2517</v>
      </c>
      <c r="B810" s="88" t="s">
        <v>2508</v>
      </c>
      <c r="C810" s="26" t="s">
        <v>37</v>
      </c>
      <c r="D810" s="999"/>
      <c r="E810" s="74">
        <v>0.05</v>
      </c>
      <c r="F810" s="129">
        <f t="shared" si="153"/>
        <v>0</v>
      </c>
      <c r="G810" s="130">
        <f t="shared" si="154"/>
        <v>0</v>
      </c>
      <c r="H810" s="131">
        <f t="shared" si="155"/>
        <v>0</v>
      </c>
    </row>
    <row r="811" spans="1:8" ht="15.75" customHeight="1" x14ac:dyDescent="0.25">
      <c r="A811" s="85" t="s">
        <v>2518</v>
      </c>
      <c r="B811" s="88" t="s">
        <v>2509</v>
      </c>
      <c r="C811" s="26" t="s">
        <v>37</v>
      </c>
      <c r="D811" s="999"/>
      <c r="E811" s="74">
        <v>0.05</v>
      </c>
      <c r="F811" s="129">
        <f t="shared" si="153"/>
        <v>0</v>
      </c>
      <c r="G811" s="130">
        <f t="shared" si="154"/>
        <v>0</v>
      </c>
      <c r="H811" s="131">
        <f t="shared" si="155"/>
        <v>0</v>
      </c>
    </row>
    <row r="812" spans="1:8" ht="15.75" customHeight="1" x14ac:dyDescent="0.25">
      <c r="A812" s="85" t="s">
        <v>2519</v>
      </c>
      <c r="B812" s="88" t="s">
        <v>2510</v>
      </c>
      <c r="C812" s="26" t="s">
        <v>37</v>
      </c>
      <c r="D812" s="999"/>
      <c r="E812" s="74">
        <v>0.05</v>
      </c>
      <c r="F812" s="129">
        <f t="shared" si="153"/>
        <v>0</v>
      </c>
      <c r="G812" s="130">
        <f t="shared" si="154"/>
        <v>0</v>
      </c>
      <c r="H812" s="131">
        <f t="shared" si="155"/>
        <v>0</v>
      </c>
    </row>
    <row r="813" spans="1:8" ht="15.75" customHeight="1" x14ac:dyDescent="0.25">
      <c r="A813" s="85" t="s">
        <v>2520</v>
      </c>
      <c r="B813" s="88" t="s">
        <v>2511</v>
      </c>
      <c r="C813" s="26" t="s">
        <v>37</v>
      </c>
      <c r="D813" s="999"/>
      <c r="E813" s="74">
        <v>0.05</v>
      </c>
      <c r="F813" s="129">
        <f t="shared" si="153"/>
        <v>0</v>
      </c>
      <c r="G813" s="130">
        <f t="shared" si="154"/>
        <v>0</v>
      </c>
      <c r="H813" s="131">
        <f t="shared" si="155"/>
        <v>0</v>
      </c>
    </row>
    <row r="814" spans="1:8" ht="15.75" customHeight="1" x14ac:dyDescent="0.25">
      <c r="A814" s="85" t="s">
        <v>2521</v>
      </c>
      <c r="B814" s="88" t="s">
        <v>2524</v>
      </c>
      <c r="C814" s="26" t="s">
        <v>37</v>
      </c>
      <c r="D814" s="999"/>
      <c r="E814" s="74">
        <v>0.05</v>
      </c>
      <c r="F814" s="129">
        <f t="shared" si="153"/>
        <v>0</v>
      </c>
      <c r="G814" s="130">
        <f t="shared" si="154"/>
        <v>0</v>
      </c>
      <c r="H814" s="131">
        <f t="shared" si="155"/>
        <v>0</v>
      </c>
    </row>
    <row r="815" spans="1:8" ht="15.75" customHeight="1" x14ac:dyDescent="0.25">
      <c r="A815" s="85" t="s">
        <v>2522</v>
      </c>
      <c r="B815" s="88" t="s">
        <v>2525</v>
      </c>
      <c r="C815" s="26" t="s">
        <v>37</v>
      </c>
      <c r="D815" s="999"/>
      <c r="E815" s="74">
        <v>0.05</v>
      </c>
      <c r="F815" s="129">
        <f t="shared" si="153"/>
        <v>0</v>
      </c>
      <c r="G815" s="130">
        <f t="shared" si="154"/>
        <v>0</v>
      </c>
      <c r="H815" s="131">
        <f t="shared" si="155"/>
        <v>0</v>
      </c>
    </row>
    <row r="816" spans="1:8" ht="15.75" customHeight="1" x14ac:dyDescent="0.25">
      <c r="A816" s="78" t="s">
        <v>2523</v>
      </c>
      <c r="B816" s="79" t="s">
        <v>2526</v>
      </c>
      <c r="C816" s="26"/>
      <c r="D816" s="999"/>
      <c r="E816" s="26"/>
      <c r="F816" s="26"/>
      <c r="G816" s="26"/>
      <c r="H816" s="92"/>
    </row>
    <row r="817" spans="1:8" ht="15.75" customHeight="1" x14ac:dyDescent="0.25">
      <c r="A817" s="85" t="s">
        <v>2512</v>
      </c>
      <c r="B817" s="88" t="s">
        <v>2527</v>
      </c>
      <c r="C817" s="26" t="s">
        <v>37</v>
      </c>
      <c r="D817" s="999"/>
      <c r="E817" s="74">
        <v>0.05</v>
      </c>
      <c r="F817" s="129">
        <f t="shared" ref="F817:F827" si="156">+D817+D817*E817</f>
        <v>0</v>
      </c>
      <c r="G817" s="130">
        <f t="shared" ref="G817:G827" si="157">F817*0.19</f>
        <v>0</v>
      </c>
      <c r="H817" s="131">
        <f t="shared" ref="H817:H827" si="158">ROUND((F817+G817),0)</f>
        <v>0</v>
      </c>
    </row>
    <row r="818" spans="1:8" ht="15.75" customHeight="1" x14ac:dyDescent="0.25">
      <c r="A818" s="85" t="s">
        <v>2513</v>
      </c>
      <c r="B818" s="88" t="s">
        <v>2537</v>
      </c>
      <c r="C818" s="26" t="s">
        <v>37</v>
      </c>
      <c r="D818" s="999"/>
      <c r="E818" s="74">
        <v>0.05</v>
      </c>
      <c r="F818" s="129">
        <f t="shared" si="156"/>
        <v>0</v>
      </c>
      <c r="G818" s="130">
        <f t="shared" si="157"/>
        <v>0</v>
      </c>
      <c r="H818" s="131">
        <f t="shared" si="158"/>
        <v>0</v>
      </c>
    </row>
    <row r="819" spans="1:8" ht="15.75" customHeight="1" x14ac:dyDescent="0.25">
      <c r="A819" s="85" t="s">
        <v>2514</v>
      </c>
      <c r="B819" s="88" t="s">
        <v>2528</v>
      </c>
      <c r="C819" s="26" t="s">
        <v>37</v>
      </c>
      <c r="D819" s="999"/>
      <c r="E819" s="74">
        <v>0.05</v>
      </c>
      <c r="F819" s="129">
        <f t="shared" si="156"/>
        <v>0</v>
      </c>
      <c r="G819" s="130">
        <f t="shared" si="157"/>
        <v>0</v>
      </c>
      <c r="H819" s="131">
        <f t="shared" si="158"/>
        <v>0</v>
      </c>
    </row>
    <row r="820" spans="1:8" ht="15.75" customHeight="1" x14ac:dyDescent="0.25">
      <c r="A820" s="85" t="s">
        <v>2515</v>
      </c>
      <c r="B820" s="88" t="s">
        <v>2529</v>
      </c>
      <c r="C820" s="26" t="s">
        <v>37</v>
      </c>
      <c r="D820" s="999"/>
      <c r="E820" s="74">
        <v>0.05</v>
      </c>
      <c r="F820" s="129">
        <f t="shared" si="156"/>
        <v>0</v>
      </c>
      <c r="G820" s="130">
        <f t="shared" si="157"/>
        <v>0</v>
      </c>
      <c r="H820" s="131">
        <f t="shared" si="158"/>
        <v>0</v>
      </c>
    </row>
    <row r="821" spans="1:8" ht="15.75" customHeight="1" x14ac:dyDescent="0.25">
      <c r="A821" s="85" t="s">
        <v>2516</v>
      </c>
      <c r="B821" s="88" t="s">
        <v>2530</v>
      </c>
      <c r="C821" s="26" t="s">
        <v>37</v>
      </c>
      <c r="D821" s="999"/>
      <c r="E821" s="74">
        <v>0.05</v>
      </c>
      <c r="F821" s="129">
        <f t="shared" si="156"/>
        <v>0</v>
      </c>
      <c r="G821" s="130">
        <f t="shared" si="157"/>
        <v>0</v>
      </c>
      <c r="H821" s="131">
        <f t="shared" si="158"/>
        <v>0</v>
      </c>
    </row>
    <row r="822" spans="1:8" ht="15.75" customHeight="1" x14ac:dyDescent="0.25">
      <c r="A822" s="85" t="s">
        <v>2517</v>
      </c>
      <c r="B822" s="88" t="s">
        <v>2531</v>
      </c>
      <c r="C822" s="26" t="s">
        <v>37</v>
      </c>
      <c r="D822" s="999"/>
      <c r="E822" s="74">
        <v>0.05</v>
      </c>
      <c r="F822" s="129">
        <f t="shared" si="156"/>
        <v>0</v>
      </c>
      <c r="G822" s="130">
        <f t="shared" si="157"/>
        <v>0</v>
      </c>
      <c r="H822" s="131">
        <f t="shared" si="158"/>
        <v>0</v>
      </c>
    </row>
    <row r="823" spans="1:8" ht="15.75" customHeight="1" x14ac:dyDescent="0.25">
      <c r="A823" s="85" t="s">
        <v>2518</v>
      </c>
      <c r="B823" s="88" t="s">
        <v>2532</v>
      </c>
      <c r="C823" s="26" t="s">
        <v>37</v>
      </c>
      <c r="D823" s="999"/>
      <c r="E823" s="74">
        <v>0.05</v>
      </c>
      <c r="F823" s="129">
        <f t="shared" si="156"/>
        <v>0</v>
      </c>
      <c r="G823" s="130">
        <f t="shared" si="157"/>
        <v>0</v>
      </c>
      <c r="H823" s="131">
        <f t="shared" si="158"/>
        <v>0</v>
      </c>
    </row>
    <row r="824" spans="1:8" ht="15.75" customHeight="1" x14ac:dyDescent="0.25">
      <c r="A824" s="85" t="s">
        <v>2519</v>
      </c>
      <c r="B824" s="88" t="s">
        <v>2533</v>
      </c>
      <c r="C824" s="26" t="s">
        <v>37</v>
      </c>
      <c r="D824" s="999"/>
      <c r="E824" s="74">
        <v>0.05</v>
      </c>
      <c r="F824" s="129">
        <f t="shared" si="156"/>
        <v>0</v>
      </c>
      <c r="G824" s="130">
        <f t="shared" si="157"/>
        <v>0</v>
      </c>
      <c r="H824" s="131">
        <f t="shared" si="158"/>
        <v>0</v>
      </c>
    </row>
    <row r="825" spans="1:8" ht="15.75" customHeight="1" x14ac:dyDescent="0.25">
      <c r="A825" s="85" t="s">
        <v>2520</v>
      </c>
      <c r="B825" s="88" t="s">
        <v>2534</v>
      </c>
      <c r="C825" s="26" t="s">
        <v>37</v>
      </c>
      <c r="D825" s="999"/>
      <c r="E825" s="74">
        <v>0.05</v>
      </c>
      <c r="F825" s="129">
        <f t="shared" si="156"/>
        <v>0</v>
      </c>
      <c r="G825" s="130">
        <f t="shared" si="157"/>
        <v>0</v>
      </c>
      <c r="H825" s="131">
        <f t="shared" si="158"/>
        <v>0</v>
      </c>
    </row>
    <row r="826" spans="1:8" ht="15.75" customHeight="1" x14ac:dyDescent="0.25">
      <c r="A826" s="85" t="s">
        <v>2521</v>
      </c>
      <c r="B826" s="88" t="s">
        <v>2535</v>
      </c>
      <c r="C826" s="26" t="s">
        <v>37</v>
      </c>
      <c r="D826" s="999"/>
      <c r="E826" s="74">
        <v>0.05</v>
      </c>
      <c r="F826" s="129">
        <f t="shared" si="156"/>
        <v>0</v>
      </c>
      <c r="G826" s="130">
        <f t="shared" si="157"/>
        <v>0</v>
      </c>
      <c r="H826" s="131">
        <f t="shared" si="158"/>
        <v>0</v>
      </c>
    </row>
    <row r="827" spans="1:8" ht="15.75" customHeight="1" x14ac:dyDescent="0.25">
      <c r="A827" s="85" t="s">
        <v>2522</v>
      </c>
      <c r="B827" s="88" t="s">
        <v>2536</v>
      </c>
      <c r="C827" s="26" t="s">
        <v>37</v>
      </c>
      <c r="D827" s="999"/>
      <c r="E827" s="74">
        <v>0.05</v>
      </c>
      <c r="F827" s="129">
        <f t="shared" si="156"/>
        <v>0</v>
      </c>
      <c r="G827" s="130">
        <f t="shared" si="157"/>
        <v>0</v>
      </c>
      <c r="H827" s="131">
        <f t="shared" si="158"/>
        <v>0</v>
      </c>
    </row>
    <row r="828" spans="1:8" ht="15.75" customHeight="1" x14ac:dyDescent="0.25">
      <c r="A828" s="78" t="s">
        <v>2538</v>
      </c>
      <c r="B828" s="79" t="s">
        <v>2539</v>
      </c>
      <c r="C828" s="26"/>
      <c r="D828" s="999"/>
      <c r="E828" s="26"/>
      <c r="F828" s="26"/>
      <c r="G828" s="26"/>
      <c r="H828" s="92"/>
    </row>
    <row r="829" spans="1:8" ht="15.75" customHeight="1" x14ac:dyDescent="0.25">
      <c r="A829" s="85" t="s">
        <v>2540</v>
      </c>
      <c r="B829" s="88" t="s">
        <v>2541</v>
      </c>
      <c r="C829" s="26" t="s">
        <v>14</v>
      </c>
      <c r="D829" s="999"/>
      <c r="E829" s="74">
        <v>0.05</v>
      </c>
      <c r="F829" s="129">
        <f t="shared" ref="F829:F840" si="159">+D829+D829*E829</f>
        <v>0</v>
      </c>
      <c r="G829" s="130">
        <f t="shared" ref="G829:G840" si="160">F829*0.19</f>
        <v>0</v>
      </c>
      <c r="H829" s="131">
        <f t="shared" ref="H829:H840" si="161">ROUND((F829+G829),0)</f>
        <v>0</v>
      </c>
    </row>
    <row r="830" spans="1:8" ht="15.75" customHeight="1" x14ac:dyDescent="0.25">
      <c r="A830" s="85" t="s">
        <v>888</v>
      </c>
      <c r="B830" s="88" t="s">
        <v>2542</v>
      </c>
      <c r="C830" s="26" t="s">
        <v>14</v>
      </c>
      <c r="D830" s="999"/>
      <c r="E830" s="74">
        <v>0.05</v>
      </c>
      <c r="F830" s="129">
        <f t="shared" si="159"/>
        <v>0</v>
      </c>
      <c r="G830" s="130">
        <f t="shared" si="160"/>
        <v>0</v>
      </c>
      <c r="H830" s="131">
        <f t="shared" si="161"/>
        <v>0</v>
      </c>
    </row>
    <row r="831" spans="1:8" ht="15.75" customHeight="1" x14ac:dyDescent="0.25">
      <c r="A831" s="85" t="s">
        <v>2553</v>
      </c>
      <c r="B831" s="88" t="s">
        <v>2543</v>
      </c>
      <c r="C831" s="26" t="s">
        <v>14</v>
      </c>
      <c r="D831" s="999"/>
      <c r="E831" s="74">
        <v>0.05</v>
      </c>
      <c r="F831" s="129">
        <f t="shared" si="159"/>
        <v>0</v>
      </c>
      <c r="G831" s="130">
        <f t="shared" si="160"/>
        <v>0</v>
      </c>
      <c r="H831" s="131">
        <f t="shared" si="161"/>
        <v>0</v>
      </c>
    </row>
    <row r="832" spans="1:8" ht="15.75" customHeight="1" x14ac:dyDescent="0.25">
      <c r="A832" s="85" t="s">
        <v>2554</v>
      </c>
      <c r="B832" s="88" t="s">
        <v>7750</v>
      </c>
      <c r="C832" s="26" t="s">
        <v>14</v>
      </c>
      <c r="D832" s="999"/>
      <c r="E832" s="74">
        <v>0.05</v>
      </c>
      <c r="F832" s="129">
        <f t="shared" si="159"/>
        <v>0</v>
      </c>
      <c r="G832" s="130">
        <f t="shared" si="160"/>
        <v>0</v>
      </c>
      <c r="H832" s="131">
        <f t="shared" si="161"/>
        <v>0</v>
      </c>
    </row>
    <row r="833" spans="1:8" ht="15.75" customHeight="1" x14ac:dyDescent="0.25">
      <c r="A833" s="85" t="s">
        <v>2555</v>
      </c>
      <c r="B833" s="88" t="s">
        <v>2545</v>
      </c>
      <c r="C833" s="26" t="s">
        <v>14</v>
      </c>
      <c r="D833" s="999"/>
      <c r="E833" s="74">
        <v>0.05</v>
      </c>
      <c r="F833" s="129">
        <f t="shared" si="159"/>
        <v>0</v>
      </c>
      <c r="G833" s="130">
        <f t="shared" si="160"/>
        <v>0</v>
      </c>
      <c r="H833" s="131">
        <f t="shared" si="161"/>
        <v>0</v>
      </c>
    </row>
    <row r="834" spans="1:8" ht="15.75" customHeight="1" x14ac:dyDescent="0.25">
      <c r="A834" s="85" t="s">
        <v>2556</v>
      </c>
      <c r="B834" s="88" t="s">
        <v>7236</v>
      </c>
      <c r="C834" s="26" t="s">
        <v>14</v>
      </c>
      <c r="D834" s="68">
        <v>379439.94400000002</v>
      </c>
      <c r="E834" s="74">
        <v>0.05</v>
      </c>
      <c r="F834" s="129">
        <f t="shared" si="159"/>
        <v>398411.9412</v>
      </c>
      <c r="G834" s="130">
        <f t="shared" si="160"/>
        <v>75698.268828</v>
      </c>
      <c r="H834" s="131">
        <f t="shared" si="161"/>
        <v>474110</v>
      </c>
    </row>
    <row r="835" spans="1:8" ht="15.75" customHeight="1" x14ac:dyDescent="0.25">
      <c r="A835" s="85" t="s">
        <v>2557</v>
      </c>
      <c r="B835" s="88" t="s">
        <v>2547</v>
      </c>
      <c r="C835" s="26" t="s">
        <v>14</v>
      </c>
      <c r="D835" s="999"/>
      <c r="E835" s="74">
        <v>0.05</v>
      </c>
      <c r="F835" s="129">
        <f t="shared" si="159"/>
        <v>0</v>
      </c>
      <c r="G835" s="130">
        <f t="shared" si="160"/>
        <v>0</v>
      </c>
      <c r="H835" s="131">
        <f t="shared" si="161"/>
        <v>0</v>
      </c>
    </row>
    <row r="836" spans="1:8" ht="15.75" customHeight="1" x14ac:dyDescent="0.25">
      <c r="A836" s="85" t="s">
        <v>2558</v>
      </c>
      <c r="B836" s="88" t="s">
        <v>7408</v>
      </c>
      <c r="C836" s="26" t="s">
        <v>14</v>
      </c>
      <c r="D836" s="68">
        <v>236342.63400000002</v>
      </c>
      <c r="E836" s="74">
        <v>0.05</v>
      </c>
      <c r="F836" s="129">
        <f t="shared" si="159"/>
        <v>248159.76570000002</v>
      </c>
      <c r="G836" s="130">
        <f t="shared" si="160"/>
        <v>47150.355483000007</v>
      </c>
      <c r="H836" s="131">
        <f>+H834*1.25</f>
        <v>592637.5</v>
      </c>
    </row>
    <row r="837" spans="1:8" ht="15.75" customHeight="1" x14ac:dyDescent="0.25">
      <c r="A837" s="85" t="s">
        <v>2559</v>
      </c>
      <c r="B837" s="88" t="s">
        <v>7563</v>
      </c>
      <c r="C837" s="26" t="s">
        <v>14</v>
      </c>
      <c r="D837" s="68">
        <v>277967.15760000004</v>
      </c>
      <c r="E837" s="74">
        <v>0.05</v>
      </c>
      <c r="F837" s="129">
        <f t="shared" si="159"/>
        <v>291865.51548000006</v>
      </c>
      <c r="G837" s="130">
        <f t="shared" si="160"/>
        <v>55454.447941200015</v>
      </c>
      <c r="H837" s="131">
        <f t="shared" si="161"/>
        <v>347320</v>
      </c>
    </row>
    <row r="838" spans="1:8" ht="15.75" customHeight="1" x14ac:dyDescent="0.25">
      <c r="A838" s="85" t="s">
        <v>957</v>
      </c>
      <c r="B838" s="88" t="s">
        <v>2550</v>
      </c>
      <c r="C838" s="26" t="s">
        <v>14</v>
      </c>
      <c r="D838" s="999"/>
      <c r="E838" s="74">
        <v>0.05</v>
      </c>
      <c r="F838" s="129">
        <f t="shared" si="159"/>
        <v>0</v>
      </c>
      <c r="G838" s="130">
        <f t="shared" si="160"/>
        <v>0</v>
      </c>
      <c r="H838" s="131">
        <f t="shared" si="161"/>
        <v>0</v>
      </c>
    </row>
    <row r="839" spans="1:8" ht="15.75" customHeight="1" x14ac:dyDescent="0.25">
      <c r="A839" s="85" t="s">
        <v>2560</v>
      </c>
      <c r="B839" s="88" t="s">
        <v>2551</v>
      </c>
      <c r="C839" s="26" t="s">
        <v>14</v>
      </c>
      <c r="D839" s="999"/>
      <c r="E839" s="74">
        <v>0.05</v>
      </c>
      <c r="F839" s="129">
        <f t="shared" si="159"/>
        <v>0</v>
      </c>
      <c r="G839" s="130">
        <f t="shared" si="160"/>
        <v>0</v>
      </c>
      <c r="H839" s="131">
        <f t="shared" si="161"/>
        <v>0</v>
      </c>
    </row>
    <row r="840" spans="1:8" ht="15.75" customHeight="1" x14ac:dyDescent="0.25">
      <c r="A840" s="85" t="s">
        <v>2561</v>
      </c>
      <c r="B840" s="88" t="s">
        <v>2552</v>
      </c>
      <c r="C840" s="26" t="s">
        <v>14</v>
      </c>
      <c r="D840" s="999"/>
      <c r="E840" s="74">
        <v>0.05</v>
      </c>
      <c r="F840" s="129">
        <f t="shared" si="159"/>
        <v>0</v>
      </c>
      <c r="G840" s="130">
        <f t="shared" si="160"/>
        <v>0</v>
      </c>
      <c r="H840" s="131">
        <f t="shared" si="161"/>
        <v>0</v>
      </c>
    </row>
    <row r="841" spans="1:8" ht="15.75" customHeight="1" x14ac:dyDescent="0.25">
      <c r="A841" s="78" t="s">
        <v>2564</v>
      </c>
      <c r="B841" s="79" t="s">
        <v>2563</v>
      </c>
      <c r="C841" s="26"/>
      <c r="D841" s="999"/>
      <c r="E841" s="26"/>
      <c r="F841" s="26"/>
      <c r="G841" s="26"/>
      <c r="H841" s="92"/>
    </row>
    <row r="842" spans="1:8" ht="15.75" customHeight="1" x14ac:dyDescent="0.25">
      <c r="A842" s="85" t="s">
        <v>2562</v>
      </c>
      <c r="B842" s="88" t="s">
        <v>2565</v>
      </c>
      <c r="C842" s="26" t="s">
        <v>37</v>
      </c>
      <c r="D842" s="68">
        <v>85065.12</v>
      </c>
      <c r="E842" s="74">
        <v>0.05</v>
      </c>
      <c r="F842" s="129">
        <f t="shared" ref="F842:F905" si="162">+D842+D842*E842</f>
        <v>89318.375999999989</v>
      </c>
      <c r="G842" s="130">
        <f t="shared" ref="G842:G873" si="163">F842*0.19</f>
        <v>16970.491439999998</v>
      </c>
      <c r="H842" s="131">
        <f t="shared" ref="H842:H881" si="164">ROUND((F842+G842),0)</f>
        <v>106289</v>
      </c>
    </row>
    <row r="843" spans="1:8" ht="15.75" customHeight="1" x14ac:dyDescent="0.25">
      <c r="A843" s="85" t="s">
        <v>2575</v>
      </c>
      <c r="B843" s="88" t="s">
        <v>2566</v>
      </c>
      <c r="C843" s="26" t="s">
        <v>37</v>
      </c>
      <c r="D843" s="68">
        <v>139243.5</v>
      </c>
      <c r="E843" s="74">
        <v>0.05</v>
      </c>
      <c r="F843" s="129">
        <f t="shared" si="162"/>
        <v>146205.67499999999</v>
      </c>
      <c r="G843" s="130">
        <f t="shared" si="163"/>
        <v>27779.078249999999</v>
      </c>
      <c r="H843" s="131">
        <f t="shared" si="164"/>
        <v>173985</v>
      </c>
    </row>
    <row r="844" spans="1:8" ht="15.75" customHeight="1" x14ac:dyDescent="0.25">
      <c r="A844" s="85" t="s">
        <v>2576</v>
      </c>
      <c r="B844" s="88" t="s">
        <v>2567</v>
      </c>
      <c r="C844" s="26" t="s">
        <v>37</v>
      </c>
      <c r="D844" s="68">
        <v>170130.24</v>
      </c>
      <c r="E844" s="74">
        <v>0.05</v>
      </c>
      <c r="F844" s="129">
        <f t="shared" si="162"/>
        <v>178636.75199999998</v>
      </c>
      <c r="G844" s="130">
        <f t="shared" si="163"/>
        <v>33940.982879999996</v>
      </c>
      <c r="H844" s="131">
        <f t="shared" si="164"/>
        <v>212578</v>
      </c>
    </row>
    <row r="845" spans="1:8" ht="15.75" customHeight="1" x14ac:dyDescent="0.25">
      <c r="A845" s="85" t="s">
        <v>2577</v>
      </c>
      <c r="B845" s="88" t="s">
        <v>2568</v>
      </c>
      <c r="C845" s="26" t="s">
        <v>37</v>
      </c>
      <c r="D845" s="68">
        <v>227853</v>
      </c>
      <c r="E845" s="74">
        <v>0.05</v>
      </c>
      <c r="F845" s="129">
        <f t="shared" si="162"/>
        <v>239245.65</v>
      </c>
      <c r="G845" s="130">
        <f t="shared" si="163"/>
        <v>45456.673499999997</v>
      </c>
      <c r="H845" s="131">
        <f t="shared" si="164"/>
        <v>284702</v>
      </c>
    </row>
    <row r="846" spans="1:8" ht="15.75" customHeight="1" x14ac:dyDescent="0.25">
      <c r="A846" s="85" t="s">
        <v>2578</v>
      </c>
      <c r="B846" s="88" t="s">
        <v>2569</v>
      </c>
      <c r="C846" s="26" t="s">
        <v>37</v>
      </c>
      <c r="D846" s="68">
        <v>283550.40000000002</v>
      </c>
      <c r="E846" s="74">
        <v>0.05</v>
      </c>
      <c r="F846" s="129">
        <f t="shared" si="162"/>
        <v>297727.92000000004</v>
      </c>
      <c r="G846" s="130">
        <f t="shared" si="163"/>
        <v>56568.304800000005</v>
      </c>
      <c r="H846" s="131">
        <f t="shared" si="164"/>
        <v>354296</v>
      </c>
    </row>
    <row r="847" spans="1:8" ht="15.75" customHeight="1" x14ac:dyDescent="0.25">
      <c r="A847" s="85" t="s">
        <v>2579</v>
      </c>
      <c r="B847" s="88" t="s">
        <v>2570</v>
      </c>
      <c r="C847" s="26" t="s">
        <v>37</v>
      </c>
      <c r="D847" s="68">
        <v>345999</v>
      </c>
      <c r="E847" s="74">
        <v>0.05</v>
      </c>
      <c r="F847" s="129">
        <f t="shared" si="162"/>
        <v>363298.95</v>
      </c>
      <c r="G847" s="130">
        <f t="shared" si="163"/>
        <v>69026.800499999998</v>
      </c>
      <c r="H847" s="131">
        <f t="shared" si="164"/>
        <v>432326</v>
      </c>
    </row>
    <row r="848" spans="1:8" ht="15.75" customHeight="1" x14ac:dyDescent="0.25">
      <c r="A848" s="85" t="s">
        <v>2580</v>
      </c>
      <c r="B848" s="88" t="s">
        <v>2571</v>
      </c>
      <c r="C848" s="26" t="s">
        <v>37</v>
      </c>
      <c r="D848" s="68">
        <v>396970.56</v>
      </c>
      <c r="E848" s="74">
        <v>0.05</v>
      </c>
      <c r="F848" s="129">
        <f t="shared" si="162"/>
        <v>416819.08799999999</v>
      </c>
      <c r="G848" s="130">
        <f t="shared" si="163"/>
        <v>79195.62672</v>
      </c>
      <c r="H848" s="131">
        <f t="shared" si="164"/>
        <v>496015</v>
      </c>
    </row>
    <row r="849" spans="1:8" ht="15.75" customHeight="1" x14ac:dyDescent="0.25">
      <c r="A849" s="85" t="s">
        <v>2581</v>
      </c>
      <c r="B849" s="88" t="s">
        <v>2572</v>
      </c>
      <c r="C849" s="26" t="s">
        <v>37</v>
      </c>
      <c r="D849" s="68">
        <v>464145</v>
      </c>
      <c r="E849" s="74">
        <v>0.05</v>
      </c>
      <c r="F849" s="129">
        <f t="shared" si="162"/>
        <v>487352.25</v>
      </c>
      <c r="G849" s="130">
        <f t="shared" si="163"/>
        <v>92596.927500000005</v>
      </c>
      <c r="H849" s="131">
        <f t="shared" si="164"/>
        <v>579949</v>
      </c>
    </row>
    <row r="850" spans="1:8" ht="15.75" customHeight="1" x14ac:dyDescent="0.25">
      <c r="A850" s="85" t="s">
        <v>2582</v>
      </c>
      <c r="B850" s="88" t="s">
        <v>2573</v>
      </c>
      <c r="C850" s="26" t="s">
        <v>37</v>
      </c>
      <c r="D850" s="68">
        <v>510390.72</v>
      </c>
      <c r="E850" s="74">
        <v>0.05</v>
      </c>
      <c r="F850" s="129">
        <f t="shared" si="162"/>
        <v>535910.25599999994</v>
      </c>
      <c r="G850" s="130">
        <f t="shared" si="163"/>
        <v>101822.94863999999</v>
      </c>
      <c r="H850" s="131">
        <f t="shared" si="164"/>
        <v>637733</v>
      </c>
    </row>
    <row r="851" spans="1:8" ht="15.75" customHeight="1" x14ac:dyDescent="0.25">
      <c r="A851" s="85" t="s">
        <v>2583</v>
      </c>
      <c r="B851" s="88" t="s">
        <v>2574</v>
      </c>
      <c r="C851" s="26" t="s">
        <v>37</v>
      </c>
      <c r="D851" s="68">
        <v>582291</v>
      </c>
      <c r="E851" s="74">
        <v>0.05</v>
      </c>
      <c r="F851" s="129">
        <f t="shared" si="162"/>
        <v>611405.55000000005</v>
      </c>
      <c r="G851" s="130">
        <f t="shared" si="163"/>
        <v>116167.05450000001</v>
      </c>
      <c r="H851" s="131">
        <f t="shared" si="164"/>
        <v>727573</v>
      </c>
    </row>
    <row r="852" spans="1:8" ht="15.75" customHeight="1" x14ac:dyDescent="0.25">
      <c r="A852" s="85" t="s">
        <v>2584</v>
      </c>
      <c r="B852" s="88" t="s">
        <v>2624</v>
      </c>
      <c r="C852" s="26" t="s">
        <v>37</v>
      </c>
      <c r="D852" s="68">
        <v>164054.16</v>
      </c>
      <c r="E852" s="74">
        <v>0.05</v>
      </c>
      <c r="F852" s="129">
        <f t="shared" si="162"/>
        <v>172256.86800000002</v>
      </c>
      <c r="G852" s="130">
        <f t="shared" si="163"/>
        <v>32728.804920000002</v>
      </c>
      <c r="H852" s="131">
        <f t="shared" si="164"/>
        <v>204986</v>
      </c>
    </row>
    <row r="853" spans="1:8" ht="15.75" customHeight="1" x14ac:dyDescent="0.25">
      <c r="A853" s="85" t="s">
        <v>2585</v>
      </c>
      <c r="B853" s="88" t="s">
        <v>2625</v>
      </c>
      <c r="C853" s="26" t="s">
        <v>37</v>
      </c>
      <c r="D853" s="68">
        <v>238401.75</v>
      </c>
      <c r="E853" s="74">
        <v>0.05</v>
      </c>
      <c r="F853" s="129">
        <f t="shared" si="162"/>
        <v>250321.83749999999</v>
      </c>
      <c r="G853" s="130">
        <f t="shared" si="163"/>
        <v>47561.149124999996</v>
      </c>
      <c r="H853" s="131">
        <f t="shared" si="164"/>
        <v>297883</v>
      </c>
    </row>
    <row r="854" spans="1:8" ht="15.75" customHeight="1" x14ac:dyDescent="0.25">
      <c r="A854" s="85" t="s">
        <v>2586</v>
      </c>
      <c r="B854" s="88" t="s">
        <v>2626</v>
      </c>
      <c r="C854" s="26" t="s">
        <v>37</v>
      </c>
      <c r="D854" s="68">
        <v>328108.32</v>
      </c>
      <c r="E854" s="74">
        <v>0.05</v>
      </c>
      <c r="F854" s="129">
        <f t="shared" si="162"/>
        <v>344513.73600000003</v>
      </c>
      <c r="G854" s="130">
        <f t="shared" si="163"/>
        <v>65457.609840000005</v>
      </c>
      <c r="H854" s="131">
        <f t="shared" si="164"/>
        <v>409971</v>
      </c>
    </row>
    <row r="855" spans="1:8" ht="15.75" customHeight="1" x14ac:dyDescent="0.25">
      <c r="A855" s="85" t="s">
        <v>2587</v>
      </c>
      <c r="B855" s="88" t="s">
        <v>2627</v>
      </c>
      <c r="C855" s="26" t="s">
        <v>37</v>
      </c>
      <c r="D855" s="68">
        <v>409291.5</v>
      </c>
      <c r="E855" s="74">
        <v>0.05</v>
      </c>
      <c r="F855" s="129">
        <f t="shared" si="162"/>
        <v>429756.07500000001</v>
      </c>
      <c r="G855" s="130">
        <f t="shared" si="163"/>
        <v>81653.654250000007</v>
      </c>
      <c r="H855" s="131">
        <f t="shared" si="164"/>
        <v>511410</v>
      </c>
    </row>
    <row r="856" spans="1:8" ht="15.75" customHeight="1" x14ac:dyDescent="0.25">
      <c r="A856" s="85" t="s">
        <v>2588</v>
      </c>
      <c r="B856" s="88" t="s">
        <v>2628</v>
      </c>
      <c r="C856" s="26" t="s">
        <v>37</v>
      </c>
      <c r="D856" s="68">
        <v>546847.19999999995</v>
      </c>
      <c r="E856" s="74">
        <v>0.05</v>
      </c>
      <c r="F856" s="129">
        <f t="shared" si="162"/>
        <v>574189.55999999994</v>
      </c>
      <c r="G856" s="130">
        <f t="shared" si="163"/>
        <v>109096.01639999999</v>
      </c>
      <c r="H856" s="131">
        <f t="shared" si="164"/>
        <v>683286</v>
      </c>
    </row>
    <row r="857" spans="1:8" ht="15.75" customHeight="1" x14ac:dyDescent="0.25">
      <c r="A857" s="85" t="s">
        <v>2589</v>
      </c>
      <c r="B857" s="88" t="s">
        <v>2629</v>
      </c>
      <c r="C857" s="26" t="s">
        <v>37</v>
      </c>
      <c r="D857" s="68">
        <v>637144.5</v>
      </c>
      <c r="E857" s="74">
        <v>0.05</v>
      </c>
      <c r="F857" s="129">
        <f t="shared" si="162"/>
        <v>669001.72499999998</v>
      </c>
      <c r="G857" s="130">
        <f t="shared" si="163"/>
        <v>127110.32775</v>
      </c>
      <c r="H857" s="131">
        <f t="shared" si="164"/>
        <v>796112</v>
      </c>
    </row>
    <row r="858" spans="1:8" ht="15.75" customHeight="1" x14ac:dyDescent="0.25">
      <c r="A858" s="85" t="s">
        <v>2590</v>
      </c>
      <c r="B858" s="88" t="s">
        <v>2630</v>
      </c>
      <c r="C858" s="26" t="s">
        <v>37</v>
      </c>
      <c r="D858" s="68">
        <v>765586.08</v>
      </c>
      <c r="E858" s="74">
        <v>0.05</v>
      </c>
      <c r="F858" s="129">
        <f t="shared" si="162"/>
        <v>803865.38399999996</v>
      </c>
      <c r="G858" s="130">
        <f t="shared" si="163"/>
        <v>152734.42296</v>
      </c>
      <c r="H858" s="131">
        <f t="shared" si="164"/>
        <v>956600</v>
      </c>
    </row>
    <row r="859" spans="1:8" ht="15.75" customHeight="1" x14ac:dyDescent="0.25">
      <c r="A859" s="85" t="s">
        <v>2591</v>
      </c>
      <c r="B859" s="88" t="s">
        <v>2631</v>
      </c>
      <c r="C859" s="26" t="s">
        <v>37</v>
      </c>
      <c r="D859" s="68">
        <v>864997.5</v>
      </c>
      <c r="E859" s="74">
        <v>0.05</v>
      </c>
      <c r="F859" s="129">
        <f t="shared" si="162"/>
        <v>908247.375</v>
      </c>
      <c r="G859" s="130">
        <f t="shared" si="163"/>
        <v>172567.00125</v>
      </c>
      <c r="H859" s="131">
        <f t="shared" si="164"/>
        <v>1080814</v>
      </c>
    </row>
    <row r="860" spans="1:8" ht="15.75" customHeight="1" x14ac:dyDescent="0.25">
      <c r="A860" s="85" t="s">
        <v>2592</v>
      </c>
      <c r="B860" s="88" t="s">
        <v>2632</v>
      </c>
      <c r="C860" s="26" t="s">
        <v>37</v>
      </c>
      <c r="D860" s="68">
        <v>984324.96</v>
      </c>
      <c r="E860" s="74">
        <v>0.05</v>
      </c>
      <c r="F860" s="129">
        <f t="shared" si="162"/>
        <v>1033541.208</v>
      </c>
      <c r="G860" s="130">
        <f t="shared" si="163"/>
        <v>196372.82952</v>
      </c>
      <c r="H860" s="131">
        <f t="shared" si="164"/>
        <v>1229914</v>
      </c>
    </row>
    <row r="861" spans="1:8" ht="15.75" customHeight="1" x14ac:dyDescent="0.25">
      <c r="A861" s="85" t="s">
        <v>2593</v>
      </c>
      <c r="B861" s="88" t="s">
        <v>2633</v>
      </c>
      <c r="C861" s="26" t="s">
        <v>37</v>
      </c>
      <c r="D861" s="68">
        <v>1092850.5</v>
      </c>
      <c r="E861" s="74">
        <v>0.05</v>
      </c>
      <c r="F861" s="129">
        <f t="shared" si="162"/>
        <v>1147493.0249999999</v>
      </c>
      <c r="G861" s="130">
        <f t="shared" si="163"/>
        <v>218023.67474999998</v>
      </c>
      <c r="H861" s="131">
        <f t="shared" si="164"/>
        <v>1365517</v>
      </c>
    </row>
    <row r="862" spans="1:8" ht="15.75" customHeight="1" x14ac:dyDescent="0.25">
      <c r="A862" s="85" t="s">
        <v>2644</v>
      </c>
      <c r="B862" s="88" t="s">
        <v>2634</v>
      </c>
      <c r="C862" s="26" t="s">
        <v>37</v>
      </c>
      <c r="D862" s="68">
        <v>218738.88</v>
      </c>
      <c r="E862" s="74">
        <v>0.05</v>
      </c>
      <c r="F862" s="129">
        <f t="shared" si="162"/>
        <v>229675.82399999999</v>
      </c>
      <c r="G862" s="130">
        <f t="shared" si="163"/>
        <v>43638.406559999996</v>
      </c>
      <c r="H862" s="131">
        <f t="shared" si="164"/>
        <v>273314</v>
      </c>
    </row>
    <row r="863" spans="1:8" ht="15.75" customHeight="1" x14ac:dyDescent="0.25">
      <c r="A863" s="85" t="s">
        <v>2645</v>
      </c>
      <c r="B863" s="88" t="s">
        <v>2635</v>
      </c>
      <c r="C863" s="26" t="s">
        <v>37</v>
      </c>
      <c r="D863" s="68">
        <v>329121</v>
      </c>
      <c r="E863" s="74">
        <v>0.05</v>
      </c>
      <c r="F863" s="129">
        <f t="shared" si="162"/>
        <v>345577.05</v>
      </c>
      <c r="G863" s="130">
        <f t="shared" si="163"/>
        <v>65659.639500000005</v>
      </c>
      <c r="H863" s="131">
        <f t="shared" si="164"/>
        <v>411237</v>
      </c>
    </row>
    <row r="864" spans="1:8" ht="15.75" customHeight="1" x14ac:dyDescent="0.25">
      <c r="A864" s="85" t="s">
        <v>2646</v>
      </c>
      <c r="B864" s="88" t="s">
        <v>2636</v>
      </c>
      <c r="C864" s="26" t="s">
        <v>37</v>
      </c>
      <c r="D864" s="68">
        <v>437477.76</v>
      </c>
      <c r="E864" s="74">
        <v>0.05</v>
      </c>
      <c r="F864" s="129">
        <f t="shared" si="162"/>
        <v>459351.64799999999</v>
      </c>
      <c r="G864" s="130">
        <f t="shared" si="163"/>
        <v>87276.813119999992</v>
      </c>
      <c r="H864" s="131">
        <f t="shared" si="164"/>
        <v>546628</v>
      </c>
    </row>
    <row r="865" spans="1:8" ht="15.75" customHeight="1" x14ac:dyDescent="0.25">
      <c r="A865" s="85" t="s">
        <v>2647</v>
      </c>
      <c r="B865" s="88" t="s">
        <v>2637</v>
      </c>
      <c r="C865" s="26" t="s">
        <v>37</v>
      </c>
      <c r="D865" s="68">
        <v>556974</v>
      </c>
      <c r="E865" s="74">
        <v>0.05</v>
      </c>
      <c r="F865" s="129">
        <f t="shared" si="162"/>
        <v>584822.69999999995</v>
      </c>
      <c r="G865" s="130">
        <f t="shared" si="163"/>
        <v>111116.31299999999</v>
      </c>
      <c r="H865" s="131">
        <f t="shared" si="164"/>
        <v>695939</v>
      </c>
    </row>
    <row r="866" spans="1:8" ht="15.75" customHeight="1" x14ac:dyDescent="0.25">
      <c r="A866" s="85" t="s">
        <v>2648</v>
      </c>
      <c r="B866" s="88" t="s">
        <v>2638</v>
      </c>
      <c r="C866" s="26" t="s">
        <v>37</v>
      </c>
      <c r="D866" s="68">
        <v>729129.6</v>
      </c>
      <c r="E866" s="74">
        <v>0.05</v>
      </c>
      <c r="F866" s="129">
        <f t="shared" si="162"/>
        <v>765586.08</v>
      </c>
      <c r="G866" s="130">
        <f t="shared" si="163"/>
        <v>145461.35519999999</v>
      </c>
      <c r="H866" s="131">
        <f t="shared" si="164"/>
        <v>911047</v>
      </c>
    </row>
    <row r="867" spans="1:8" ht="15.75" customHeight="1" x14ac:dyDescent="0.25">
      <c r="A867" s="85" t="s">
        <v>2649</v>
      </c>
      <c r="B867" s="88" t="s">
        <v>2639</v>
      </c>
      <c r="C867" s="26" t="s">
        <v>37</v>
      </c>
      <c r="D867" s="68">
        <v>860778</v>
      </c>
      <c r="E867" s="74">
        <v>0.05</v>
      </c>
      <c r="F867" s="129">
        <f t="shared" si="162"/>
        <v>903816.9</v>
      </c>
      <c r="G867" s="130">
        <f t="shared" si="163"/>
        <v>171725.21100000001</v>
      </c>
      <c r="H867" s="131">
        <f t="shared" si="164"/>
        <v>1075542</v>
      </c>
    </row>
    <row r="868" spans="1:8" ht="15.75" customHeight="1" x14ac:dyDescent="0.25">
      <c r="A868" s="85" t="s">
        <v>2650</v>
      </c>
      <c r="B868" s="88" t="s">
        <v>2640</v>
      </c>
      <c r="C868" s="26" t="s">
        <v>37</v>
      </c>
      <c r="D868" s="68">
        <v>1020781.44</v>
      </c>
      <c r="E868" s="74">
        <v>0.05</v>
      </c>
      <c r="F868" s="129">
        <f t="shared" si="162"/>
        <v>1071820.5119999999</v>
      </c>
      <c r="G868" s="130">
        <f t="shared" si="163"/>
        <v>203645.89727999998</v>
      </c>
      <c r="H868" s="131">
        <f t="shared" si="164"/>
        <v>1275466</v>
      </c>
    </row>
    <row r="869" spans="1:8" ht="15.75" customHeight="1" x14ac:dyDescent="0.25">
      <c r="A869" s="85" t="s">
        <v>2651</v>
      </c>
      <c r="B869" s="88" t="s">
        <v>2641</v>
      </c>
      <c r="C869" s="26" t="s">
        <v>37</v>
      </c>
      <c r="D869" s="68">
        <v>1164582</v>
      </c>
      <c r="E869" s="74">
        <v>0.05</v>
      </c>
      <c r="F869" s="129">
        <f t="shared" si="162"/>
        <v>1222811.1000000001</v>
      </c>
      <c r="G869" s="130">
        <f t="shared" si="163"/>
        <v>232334.10900000003</v>
      </c>
      <c r="H869" s="131">
        <f t="shared" si="164"/>
        <v>1455145</v>
      </c>
    </row>
    <row r="870" spans="1:8" ht="15.75" customHeight="1" x14ac:dyDescent="0.25">
      <c r="A870" s="85" t="s">
        <v>2652</v>
      </c>
      <c r="B870" s="88" t="s">
        <v>2642</v>
      </c>
      <c r="C870" s="26" t="s">
        <v>37</v>
      </c>
      <c r="D870" s="68">
        <v>1312433.28</v>
      </c>
      <c r="E870" s="74">
        <v>0.05</v>
      </c>
      <c r="F870" s="129">
        <f t="shared" si="162"/>
        <v>1378054.9440000001</v>
      </c>
      <c r="G870" s="130">
        <f t="shared" si="163"/>
        <v>261830.43936000002</v>
      </c>
      <c r="H870" s="131">
        <f t="shared" si="164"/>
        <v>1639885</v>
      </c>
    </row>
    <row r="871" spans="1:8" ht="15.75" customHeight="1" x14ac:dyDescent="0.25">
      <c r="A871" s="85" t="s">
        <v>2653</v>
      </c>
      <c r="B871" s="88" t="s">
        <v>2643</v>
      </c>
      <c r="C871" s="26" t="s">
        <v>37</v>
      </c>
      <c r="D871" s="68">
        <v>1468386</v>
      </c>
      <c r="E871" s="74">
        <v>0.05</v>
      </c>
      <c r="F871" s="129">
        <f t="shared" si="162"/>
        <v>1541805.3</v>
      </c>
      <c r="G871" s="130">
        <f t="shared" si="163"/>
        <v>292943.00699999998</v>
      </c>
      <c r="H871" s="131">
        <f t="shared" si="164"/>
        <v>1834748</v>
      </c>
    </row>
    <row r="872" spans="1:8" ht="15.75" customHeight="1" x14ac:dyDescent="0.25">
      <c r="A872" s="85" t="s">
        <v>2654</v>
      </c>
      <c r="B872" s="88" t="s">
        <v>7751</v>
      </c>
      <c r="C872" s="26" t="s">
        <v>37</v>
      </c>
      <c r="D872" s="68">
        <v>401021.27999999997</v>
      </c>
      <c r="E872" s="74">
        <v>0.05</v>
      </c>
      <c r="F872" s="129">
        <f t="shared" si="162"/>
        <v>421072.34399999998</v>
      </c>
      <c r="G872" s="130">
        <f t="shared" si="163"/>
        <v>80003.745360000001</v>
      </c>
      <c r="H872" s="131">
        <f t="shared" si="164"/>
        <v>501076</v>
      </c>
    </row>
    <row r="873" spans="1:8" ht="15.75" customHeight="1" x14ac:dyDescent="0.25">
      <c r="A873" s="85" t="s">
        <v>2655</v>
      </c>
      <c r="B873" s="88" t="s">
        <v>7752</v>
      </c>
      <c r="C873" s="26" t="s">
        <v>37</v>
      </c>
      <c r="D873" s="68">
        <v>552754.5</v>
      </c>
      <c r="E873" s="74">
        <v>0.05</v>
      </c>
      <c r="F873" s="129">
        <f t="shared" si="162"/>
        <v>580392.22499999998</v>
      </c>
      <c r="G873" s="130">
        <f t="shared" si="163"/>
        <v>110274.52275</v>
      </c>
      <c r="H873" s="131">
        <f t="shared" si="164"/>
        <v>690667</v>
      </c>
    </row>
    <row r="874" spans="1:8" ht="15.75" customHeight="1" x14ac:dyDescent="0.25">
      <c r="A874" s="85" t="s">
        <v>2656</v>
      </c>
      <c r="B874" s="88" t="s">
        <v>7753</v>
      </c>
      <c r="C874" s="26" t="s">
        <v>37</v>
      </c>
      <c r="D874" s="68">
        <v>802042.55999999994</v>
      </c>
      <c r="E874" s="74">
        <v>0.05</v>
      </c>
      <c r="F874" s="129">
        <f t="shared" si="162"/>
        <v>842144.68799999997</v>
      </c>
      <c r="G874" s="130">
        <f t="shared" ref="G874:G905" si="165">F874*0.19</f>
        <v>160007.49072</v>
      </c>
      <c r="H874" s="131">
        <f t="shared" si="164"/>
        <v>1002152</v>
      </c>
    </row>
    <row r="875" spans="1:8" ht="15.75" customHeight="1" x14ac:dyDescent="0.25">
      <c r="A875" s="85" t="s">
        <v>2657</v>
      </c>
      <c r="B875" s="88" t="s">
        <v>7754</v>
      </c>
      <c r="C875" s="26" t="s">
        <v>37</v>
      </c>
      <c r="D875" s="68">
        <v>970485</v>
      </c>
      <c r="E875" s="74">
        <v>0.05</v>
      </c>
      <c r="F875" s="129">
        <f t="shared" si="162"/>
        <v>1019009.25</v>
      </c>
      <c r="G875" s="130">
        <f t="shared" si="165"/>
        <v>193611.75750000001</v>
      </c>
      <c r="H875" s="131">
        <f t="shared" si="164"/>
        <v>1212621</v>
      </c>
    </row>
    <row r="876" spans="1:8" ht="15.75" customHeight="1" x14ac:dyDescent="0.25">
      <c r="A876" s="85" t="s">
        <v>2658</v>
      </c>
      <c r="B876" s="88" t="s">
        <v>7755</v>
      </c>
      <c r="C876" s="26" t="s">
        <v>37</v>
      </c>
      <c r="D876" s="68">
        <v>1336737.5999999999</v>
      </c>
      <c r="E876" s="74">
        <v>0.05</v>
      </c>
      <c r="F876" s="129">
        <f t="shared" si="162"/>
        <v>1403574.4799999997</v>
      </c>
      <c r="G876" s="130">
        <f t="shared" si="165"/>
        <v>266679.15119999996</v>
      </c>
      <c r="H876" s="131">
        <f t="shared" si="164"/>
        <v>1670254</v>
      </c>
    </row>
    <row r="877" spans="1:8" ht="15.75" customHeight="1" x14ac:dyDescent="0.25">
      <c r="A877" s="85" t="s">
        <v>2659</v>
      </c>
      <c r="B877" s="88" t="s">
        <v>7756</v>
      </c>
      <c r="C877" s="26" t="s">
        <v>37</v>
      </c>
      <c r="D877" s="68">
        <v>1527459</v>
      </c>
      <c r="E877" s="74">
        <v>0.05</v>
      </c>
      <c r="F877" s="129">
        <f t="shared" si="162"/>
        <v>1603831.95</v>
      </c>
      <c r="G877" s="130">
        <f t="shared" si="165"/>
        <v>304728.07049999997</v>
      </c>
      <c r="H877" s="131">
        <f t="shared" si="164"/>
        <v>1908560</v>
      </c>
    </row>
    <row r="878" spans="1:8" ht="15.75" customHeight="1" x14ac:dyDescent="0.25">
      <c r="A878" s="85" t="s">
        <v>2660</v>
      </c>
      <c r="B878" s="88" t="s">
        <v>7757</v>
      </c>
      <c r="C878" s="26" t="s">
        <v>37</v>
      </c>
      <c r="D878" s="68">
        <v>1871432.64</v>
      </c>
      <c r="E878" s="74">
        <v>0.05</v>
      </c>
      <c r="F878" s="129">
        <f t="shared" si="162"/>
        <v>1965004.2719999999</v>
      </c>
      <c r="G878" s="130">
        <f t="shared" si="165"/>
        <v>373350.81167999998</v>
      </c>
      <c r="H878" s="131">
        <f t="shared" si="164"/>
        <v>2338355</v>
      </c>
    </row>
    <row r="879" spans="1:8" ht="15.75" customHeight="1" x14ac:dyDescent="0.25">
      <c r="A879" s="85" t="s">
        <v>2661</v>
      </c>
      <c r="B879" s="88" t="s">
        <v>7758</v>
      </c>
      <c r="C879" s="26" t="s">
        <v>37</v>
      </c>
      <c r="D879" s="68">
        <v>2084433</v>
      </c>
      <c r="E879" s="74">
        <v>0.05</v>
      </c>
      <c r="F879" s="129">
        <f t="shared" si="162"/>
        <v>2188654.65</v>
      </c>
      <c r="G879" s="130">
        <f t="shared" si="165"/>
        <v>415844.3835</v>
      </c>
      <c r="H879" s="131">
        <f t="shared" si="164"/>
        <v>2604499</v>
      </c>
    </row>
    <row r="880" spans="1:8" ht="15.75" customHeight="1" x14ac:dyDescent="0.25">
      <c r="A880" s="85" t="s">
        <v>2662</v>
      </c>
      <c r="B880" s="88" t="s">
        <v>7759</v>
      </c>
      <c r="C880" s="26" t="s">
        <v>37</v>
      </c>
      <c r="D880" s="68">
        <v>2406127.6800000002</v>
      </c>
      <c r="E880" s="74">
        <v>0.05</v>
      </c>
      <c r="F880" s="129">
        <f t="shared" si="162"/>
        <v>2526434.0640000002</v>
      </c>
      <c r="G880" s="130">
        <f t="shared" si="165"/>
        <v>480022.47216000006</v>
      </c>
      <c r="H880" s="131">
        <f t="shared" si="164"/>
        <v>3006457</v>
      </c>
    </row>
    <row r="881" spans="1:8" ht="15.75" customHeight="1" x14ac:dyDescent="0.25">
      <c r="A881" s="85" t="s">
        <v>2663</v>
      </c>
      <c r="B881" s="88" t="s">
        <v>7760</v>
      </c>
      <c r="C881" s="26" t="s">
        <v>37</v>
      </c>
      <c r="D881" s="68">
        <v>2641407</v>
      </c>
      <c r="E881" s="74">
        <v>0.05</v>
      </c>
      <c r="F881" s="129">
        <f t="shared" si="162"/>
        <v>2773477.35</v>
      </c>
      <c r="G881" s="130">
        <f t="shared" si="165"/>
        <v>526960.69650000008</v>
      </c>
      <c r="H881" s="131">
        <f t="shared" si="164"/>
        <v>3300438</v>
      </c>
    </row>
    <row r="882" spans="1:8" ht="15.75" customHeight="1" x14ac:dyDescent="0.25">
      <c r="A882" s="85" t="s">
        <v>2664</v>
      </c>
      <c r="B882" s="88" t="s">
        <v>2614</v>
      </c>
      <c r="C882" s="26" t="s">
        <v>37</v>
      </c>
      <c r="D882" s="999"/>
      <c r="E882" s="74">
        <v>0.05</v>
      </c>
      <c r="F882" s="129">
        <f t="shared" si="162"/>
        <v>0</v>
      </c>
      <c r="G882" s="130">
        <f t="shared" si="165"/>
        <v>0</v>
      </c>
      <c r="H882" s="131">
        <f t="shared" ref="H882:H905" si="166">ROUND((F882+G882),0)</f>
        <v>0</v>
      </c>
    </row>
    <row r="883" spans="1:8" ht="15.75" customHeight="1" x14ac:dyDescent="0.25">
      <c r="A883" s="85" t="s">
        <v>2665</v>
      </c>
      <c r="B883" s="88" t="s">
        <v>2615</v>
      </c>
      <c r="C883" s="26" t="s">
        <v>37</v>
      </c>
      <c r="D883" s="999"/>
      <c r="E883" s="74">
        <v>0.05</v>
      </c>
      <c r="F883" s="129">
        <f t="shared" si="162"/>
        <v>0</v>
      </c>
      <c r="G883" s="130">
        <f t="shared" si="165"/>
        <v>0</v>
      </c>
      <c r="H883" s="131">
        <v>930223.09360000002</v>
      </c>
    </row>
    <row r="884" spans="1:8" ht="15.75" customHeight="1" x14ac:dyDescent="0.25">
      <c r="A884" s="85" t="s">
        <v>2666</v>
      </c>
      <c r="B884" s="88" t="s">
        <v>2616</v>
      </c>
      <c r="C884" s="26" t="s">
        <v>37</v>
      </c>
      <c r="D884" s="999"/>
      <c r="E884" s="74">
        <v>0.05</v>
      </c>
      <c r="F884" s="129">
        <f t="shared" si="162"/>
        <v>0</v>
      </c>
      <c r="G884" s="130">
        <f t="shared" si="165"/>
        <v>0</v>
      </c>
      <c r="H884" s="131">
        <f t="shared" si="166"/>
        <v>0</v>
      </c>
    </row>
    <row r="885" spans="1:8" ht="15.75" customHeight="1" x14ac:dyDescent="0.25">
      <c r="A885" s="85" t="s">
        <v>2667</v>
      </c>
      <c r="B885" s="88" t="s">
        <v>2617</v>
      </c>
      <c r="C885" s="26" t="s">
        <v>37</v>
      </c>
      <c r="D885" s="999"/>
      <c r="E885" s="74">
        <v>0.05</v>
      </c>
      <c r="F885" s="129">
        <f t="shared" si="162"/>
        <v>0</v>
      </c>
      <c r="G885" s="130">
        <f t="shared" si="165"/>
        <v>0</v>
      </c>
      <c r="H885" s="1013">
        <v>1624034.916</v>
      </c>
    </row>
    <row r="886" spans="1:8" ht="15.75" customHeight="1" x14ac:dyDescent="0.25">
      <c r="A886" s="85" t="s">
        <v>2668</v>
      </c>
      <c r="B886" s="88" t="s">
        <v>2618</v>
      </c>
      <c r="C886" s="26" t="s">
        <v>37</v>
      </c>
      <c r="D886" s="999"/>
      <c r="E886" s="74">
        <v>0.05</v>
      </c>
      <c r="F886" s="129">
        <f t="shared" si="162"/>
        <v>0</v>
      </c>
      <c r="G886" s="130">
        <f t="shared" si="165"/>
        <v>0</v>
      </c>
      <c r="H886" s="131">
        <f t="shared" si="166"/>
        <v>0</v>
      </c>
    </row>
    <row r="887" spans="1:8" ht="15.75" customHeight="1" x14ac:dyDescent="0.25">
      <c r="A887" s="85" t="s">
        <v>2669</v>
      </c>
      <c r="B887" s="88" t="s">
        <v>2619</v>
      </c>
      <c r="C887" s="26" t="s">
        <v>37</v>
      </c>
      <c r="D887" s="999"/>
      <c r="E887" s="74">
        <v>0.05</v>
      </c>
      <c r="F887" s="129">
        <f t="shared" si="162"/>
        <v>0</v>
      </c>
      <c r="G887" s="130">
        <f t="shared" si="165"/>
        <v>0</v>
      </c>
      <c r="H887" s="998">
        <v>2549118.0959999999</v>
      </c>
    </row>
    <row r="888" spans="1:8" ht="15.75" customHeight="1" x14ac:dyDescent="0.25">
      <c r="A888" s="85" t="s">
        <v>2670</v>
      </c>
      <c r="B888" s="88" t="s">
        <v>2620</v>
      </c>
      <c r="C888" s="26" t="s">
        <v>37</v>
      </c>
      <c r="D888" s="999"/>
      <c r="E888" s="74">
        <v>0.05</v>
      </c>
      <c r="F888" s="129">
        <f t="shared" si="162"/>
        <v>0</v>
      </c>
      <c r="G888" s="130">
        <f t="shared" si="165"/>
        <v>0</v>
      </c>
      <c r="H888" s="131">
        <f t="shared" si="166"/>
        <v>0</v>
      </c>
    </row>
    <row r="889" spans="1:8" ht="15.75" customHeight="1" x14ac:dyDescent="0.25">
      <c r="A889" s="85" t="s">
        <v>2671</v>
      </c>
      <c r="B889" s="88" t="s">
        <v>2621</v>
      </c>
      <c r="C889" s="26" t="s">
        <v>37</v>
      </c>
      <c r="D889" s="999"/>
      <c r="E889" s="74">
        <v>0.05</v>
      </c>
      <c r="F889" s="129">
        <f t="shared" si="162"/>
        <v>0</v>
      </c>
      <c r="G889" s="130">
        <f t="shared" si="165"/>
        <v>0</v>
      </c>
      <c r="H889" s="131">
        <f t="shared" si="166"/>
        <v>0</v>
      </c>
    </row>
    <row r="890" spans="1:8" ht="15.75" customHeight="1" x14ac:dyDescent="0.25">
      <c r="A890" s="85" t="s">
        <v>2672</v>
      </c>
      <c r="B890" s="88" t="s">
        <v>2622</v>
      </c>
      <c r="C890" s="26" t="s">
        <v>37</v>
      </c>
      <c r="D890" s="999"/>
      <c r="E890" s="74">
        <v>0.05</v>
      </c>
      <c r="F890" s="129">
        <f t="shared" si="162"/>
        <v>0</v>
      </c>
      <c r="G890" s="130">
        <f t="shared" si="165"/>
        <v>0</v>
      </c>
      <c r="H890" s="131">
        <f t="shared" si="166"/>
        <v>0</v>
      </c>
    </row>
    <row r="891" spans="1:8" ht="15.75" customHeight="1" x14ac:dyDescent="0.25">
      <c r="A891" s="85" t="s">
        <v>2673</v>
      </c>
      <c r="B891" s="88" t="s">
        <v>2623</v>
      </c>
      <c r="C891" s="26" t="s">
        <v>37</v>
      </c>
      <c r="D891" s="999"/>
      <c r="E891" s="74">
        <v>0.05</v>
      </c>
      <c r="F891" s="129">
        <f t="shared" si="162"/>
        <v>0</v>
      </c>
      <c r="G891" s="130">
        <f t="shared" si="165"/>
        <v>0</v>
      </c>
      <c r="H891" s="131">
        <f t="shared" si="166"/>
        <v>0</v>
      </c>
    </row>
    <row r="892" spans="1:8" ht="15.75" customHeight="1" x14ac:dyDescent="0.25">
      <c r="A892" s="85" t="s">
        <v>2674</v>
      </c>
      <c r="B892" s="88" t="s">
        <v>7237</v>
      </c>
      <c r="C892" s="26" t="s">
        <v>37</v>
      </c>
      <c r="D892" s="68">
        <v>692673.12</v>
      </c>
      <c r="E892" s="74">
        <v>0.05</v>
      </c>
      <c r="F892" s="129">
        <f t="shared" si="162"/>
        <v>727306.77599999995</v>
      </c>
      <c r="G892" s="130">
        <f t="shared" si="165"/>
        <v>138188.28743999999</v>
      </c>
      <c r="H892" s="131">
        <f t="shared" si="166"/>
        <v>865495</v>
      </c>
    </row>
    <row r="893" spans="1:8" ht="15.75" customHeight="1" x14ac:dyDescent="0.25">
      <c r="A893" s="85" t="s">
        <v>2675</v>
      </c>
      <c r="B893" s="88" t="s">
        <v>7238</v>
      </c>
      <c r="C893" s="26" t="s">
        <v>37</v>
      </c>
      <c r="D893" s="68">
        <v>974704.5</v>
      </c>
      <c r="E893" s="74">
        <v>0.05</v>
      </c>
      <c r="F893" s="129">
        <f t="shared" si="162"/>
        <v>1023439.725</v>
      </c>
      <c r="G893" s="130">
        <f t="shared" si="165"/>
        <v>194453.54775</v>
      </c>
      <c r="H893" s="131">
        <f t="shared" si="166"/>
        <v>1217893</v>
      </c>
    </row>
    <row r="894" spans="1:8" ht="15.75" customHeight="1" x14ac:dyDescent="0.25">
      <c r="A894" s="85" t="s">
        <v>2676</v>
      </c>
      <c r="B894" s="88" t="s">
        <v>7239</v>
      </c>
      <c r="C894" s="26" t="s">
        <v>37</v>
      </c>
      <c r="D894" s="68">
        <v>1385346.24</v>
      </c>
      <c r="E894" s="74">
        <v>0.05</v>
      </c>
      <c r="F894" s="129">
        <f t="shared" si="162"/>
        <v>1454613.5519999999</v>
      </c>
      <c r="G894" s="130">
        <f t="shared" si="165"/>
        <v>276376.57487999997</v>
      </c>
      <c r="H894" s="131">
        <f t="shared" si="166"/>
        <v>1730990</v>
      </c>
    </row>
    <row r="895" spans="1:8" ht="15.75" customHeight="1" x14ac:dyDescent="0.25">
      <c r="A895" s="85" t="s">
        <v>2677</v>
      </c>
      <c r="B895" s="88" t="s">
        <v>7240</v>
      </c>
      <c r="C895" s="26" t="s">
        <v>37</v>
      </c>
      <c r="D895" s="68">
        <v>1696239</v>
      </c>
      <c r="E895" s="74">
        <v>0.05</v>
      </c>
      <c r="F895" s="129">
        <f t="shared" si="162"/>
        <v>1781050.95</v>
      </c>
      <c r="G895" s="130">
        <f t="shared" si="165"/>
        <v>338399.68050000002</v>
      </c>
      <c r="H895" s="131">
        <f t="shared" si="166"/>
        <v>2119451</v>
      </c>
    </row>
    <row r="896" spans="1:8" ht="15.75" customHeight="1" x14ac:dyDescent="0.25">
      <c r="A896" s="85" t="s">
        <v>2678</v>
      </c>
      <c r="B896" s="88" t="s">
        <v>7241</v>
      </c>
      <c r="C896" s="26" t="s">
        <v>37</v>
      </c>
      <c r="D896" s="68">
        <v>2308910.4</v>
      </c>
      <c r="E896" s="74">
        <v>0.05</v>
      </c>
      <c r="F896" s="129">
        <f t="shared" si="162"/>
        <v>2424355.92</v>
      </c>
      <c r="G896" s="130">
        <f t="shared" si="165"/>
        <v>460627.62479999999</v>
      </c>
      <c r="H896" s="131">
        <f t="shared" si="166"/>
        <v>2884984</v>
      </c>
    </row>
    <row r="897" spans="1:8" ht="15.75" customHeight="1" x14ac:dyDescent="0.25">
      <c r="A897" s="85" t="s">
        <v>2679</v>
      </c>
      <c r="B897" s="88" t="s">
        <v>7242</v>
      </c>
      <c r="C897" s="26" t="s">
        <v>37</v>
      </c>
      <c r="D897" s="68">
        <v>2658285</v>
      </c>
      <c r="E897" s="74">
        <v>0.05</v>
      </c>
      <c r="F897" s="129">
        <f t="shared" si="162"/>
        <v>2791199.25</v>
      </c>
      <c r="G897" s="130">
        <f t="shared" si="165"/>
        <v>530327.85750000004</v>
      </c>
      <c r="H897" s="131">
        <f t="shared" si="166"/>
        <v>3321527</v>
      </c>
    </row>
    <row r="898" spans="1:8" ht="15.75" customHeight="1" x14ac:dyDescent="0.25">
      <c r="A898" s="85" t="s">
        <v>2680</v>
      </c>
      <c r="B898" s="88" t="s">
        <v>7243</v>
      </c>
      <c r="C898" s="26" t="s">
        <v>37</v>
      </c>
      <c r="D898" s="68">
        <v>3232474.56</v>
      </c>
      <c r="E898" s="74">
        <v>0.05</v>
      </c>
      <c r="F898" s="129">
        <f t="shared" si="162"/>
        <v>3394098.2880000002</v>
      </c>
      <c r="G898" s="130">
        <f t="shared" si="165"/>
        <v>644878.67472000001</v>
      </c>
      <c r="H898" s="131">
        <f t="shared" si="166"/>
        <v>4038977</v>
      </c>
    </row>
    <row r="899" spans="1:8" ht="15.75" customHeight="1" x14ac:dyDescent="0.25">
      <c r="A899" s="85" t="s">
        <v>2681</v>
      </c>
      <c r="B899" s="88" t="s">
        <v>7244</v>
      </c>
      <c r="C899" s="26" t="s">
        <v>37</v>
      </c>
      <c r="D899" s="68">
        <v>3620331</v>
      </c>
      <c r="E899" s="74">
        <v>0.05</v>
      </c>
      <c r="F899" s="129">
        <f t="shared" si="162"/>
        <v>3801347.55</v>
      </c>
      <c r="G899" s="130">
        <f t="shared" si="165"/>
        <v>722256.03449999995</v>
      </c>
      <c r="H899" s="131">
        <f t="shared" si="166"/>
        <v>4523604</v>
      </c>
    </row>
    <row r="900" spans="1:8" ht="15.75" customHeight="1" x14ac:dyDescent="0.25">
      <c r="A900" s="85" t="s">
        <v>2682</v>
      </c>
      <c r="B900" s="88" t="s">
        <v>7245</v>
      </c>
      <c r="C900" s="26" t="s">
        <v>37</v>
      </c>
      <c r="D900" s="68">
        <v>4156038.7199999997</v>
      </c>
      <c r="E900" s="74">
        <v>0.05</v>
      </c>
      <c r="F900" s="129">
        <f t="shared" si="162"/>
        <v>4363840.6559999995</v>
      </c>
      <c r="G900" s="130">
        <f t="shared" si="165"/>
        <v>829129.72463999991</v>
      </c>
      <c r="H900" s="131">
        <f t="shared" si="166"/>
        <v>5192970</v>
      </c>
    </row>
    <row r="901" spans="1:8" ht="15.75" customHeight="1" x14ac:dyDescent="0.25">
      <c r="A901" s="85" t="s">
        <v>2683</v>
      </c>
      <c r="B901" s="88" t="s">
        <v>7246</v>
      </c>
      <c r="C901" s="26" t="s">
        <v>37</v>
      </c>
      <c r="D901" s="68">
        <v>4582377</v>
      </c>
      <c r="E901" s="74">
        <v>0.05</v>
      </c>
      <c r="F901" s="129">
        <f t="shared" si="162"/>
        <v>4811495.8499999996</v>
      </c>
      <c r="G901" s="130">
        <f t="shared" si="165"/>
        <v>914184.21149999998</v>
      </c>
      <c r="H901" s="131">
        <f t="shared" si="166"/>
        <v>5725680</v>
      </c>
    </row>
    <row r="902" spans="1:8" ht="15.75" customHeight="1" x14ac:dyDescent="0.25">
      <c r="A902" s="85" t="s">
        <v>2684</v>
      </c>
      <c r="B902" s="88" t="s">
        <v>2692</v>
      </c>
      <c r="C902" s="26" t="s">
        <v>37</v>
      </c>
      <c r="D902" s="68">
        <v>935716.32</v>
      </c>
      <c r="E902" s="74">
        <v>0.05</v>
      </c>
      <c r="F902" s="129">
        <f t="shared" si="162"/>
        <v>982502.13599999994</v>
      </c>
      <c r="G902" s="130">
        <f t="shared" si="165"/>
        <v>186675.40583999999</v>
      </c>
      <c r="H902" s="131">
        <f t="shared" si="166"/>
        <v>1169178</v>
      </c>
    </row>
    <row r="903" spans="1:8" ht="15.75" customHeight="1" x14ac:dyDescent="0.25">
      <c r="A903" s="85" t="s">
        <v>2685</v>
      </c>
      <c r="B903" s="88" t="s">
        <v>2690</v>
      </c>
      <c r="C903" s="26" t="s">
        <v>37</v>
      </c>
      <c r="D903" s="68">
        <v>1333643.3</v>
      </c>
      <c r="E903" s="74">
        <v>0.05</v>
      </c>
      <c r="F903" s="129">
        <f t="shared" si="162"/>
        <v>1400325.4650000001</v>
      </c>
      <c r="G903" s="130">
        <f t="shared" si="165"/>
        <v>266061.83835000003</v>
      </c>
      <c r="H903" s="131">
        <f t="shared" si="166"/>
        <v>1666387</v>
      </c>
    </row>
    <row r="904" spans="1:8" ht="15.75" customHeight="1" x14ac:dyDescent="0.25">
      <c r="A904" s="85" t="s">
        <v>2686</v>
      </c>
      <c r="B904" s="88" t="s">
        <v>2694</v>
      </c>
      <c r="C904" s="26" t="s">
        <v>37</v>
      </c>
      <c r="D904" s="68">
        <v>1871432.64</v>
      </c>
      <c r="E904" s="74">
        <v>0.05</v>
      </c>
      <c r="F904" s="129">
        <f t="shared" si="162"/>
        <v>1965004.2719999999</v>
      </c>
      <c r="G904" s="130">
        <f t="shared" si="165"/>
        <v>373350.81167999998</v>
      </c>
      <c r="H904" s="131">
        <f t="shared" si="166"/>
        <v>2338355</v>
      </c>
    </row>
    <row r="905" spans="1:8" ht="15.75" customHeight="1" x14ac:dyDescent="0.25">
      <c r="A905" s="85" t="s">
        <v>2687</v>
      </c>
      <c r="B905" s="88" t="s">
        <v>2691</v>
      </c>
      <c r="C905" s="26" t="s">
        <v>37</v>
      </c>
      <c r="D905" s="68">
        <v>2303847</v>
      </c>
      <c r="E905" s="74">
        <v>0.05</v>
      </c>
      <c r="F905" s="129">
        <f t="shared" si="162"/>
        <v>2419039.35</v>
      </c>
      <c r="G905" s="130">
        <f t="shared" si="165"/>
        <v>459617.47650000005</v>
      </c>
      <c r="H905" s="131">
        <f t="shared" si="166"/>
        <v>2878657</v>
      </c>
    </row>
    <row r="906" spans="1:8" ht="15.75" customHeight="1" x14ac:dyDescent="0.25">
      <c r="A906" s="85" t="s">
        <v>2688</v>
      </c>
      <c r="B906" s="88" t="s">
        <v>2697</v>
      </c>
      <c r="C906" s="26" t="s">
        <v>37</v>
      </c>
      <c r="D906" s="68">
        <v>3119054.4</v>
      </c>
      <c r="E906" s="74">
        <v>0.05</v>
      </c>
      <c r="F906" s="129">
        <f t="shared" ref="F906:F960" si="167">+D906+D906*E906</f>
        <v>3275007.12</v>
      </c>
      <c r="G906" s="130">
        <f t="shared" ref="G906:G937" si="168">F906*0.19</f>
        <v>622251.35279999999</v>
      </c>
      <c r="H906" s="131">
        <f t="shared" ref="H906:H961" si="169">ROUND((F906+G906),0)</f>
        <v>3897258</v>
      </c>
    </row>
    <row r="907" spans="1:8" ht="15.75" customHeight="1" x14ac:dyDescent="0.25">
      <c r="A907" s="85" t="s">
        <v>2689</v>
      </c>
      <c r="B907" s="88" t="s">
        <v>2698</v>
      </c>
      <c r="C907" s="26" t="s">
        <v>37</v>
      </c>
      <c r="D907" s="68">
        <v>3603453</v>
      </c>
      <c r="E907" s="74">
        <v>0.05</v>
      </c>
      <c r="F907" s="129">
        <f t="shared" si="167"/>
        <v>3783625.65</v>
      </c>
      <c r="G907" s="130">
        <f t="shared" si="168"/>
        <v>718888.87349999999</v>
      </c>
      <c r="H907" s="131">
        <f t="shared" si="169"/>
        <v>4502515</v>
      </c>
    </row>
    <row r="908" spans="1:8" ht="15.75" customHeight="1" x14ac:dyDescent="0.25">
      <c r="A908" s="85" t="s">
        <v>2700</v>
      </c>
      <c r="B908" s="88" t="s">
        <v>2699</v>
      </c>
      <c r="C908" s="26" t="s">
        <v>37</v>
      </c>
      <c r="D908" s="68">
        <v>4366676.16</v>
      </c>
      <c r="E908" s="74">
        <v>0.05</v>
      </c>
      <c r="F908" s="129">
        <f t="shared" si="167"/>
        <v>4585009.9680000003</v>
      </c>
      <c r="G908" s="130">
        <f t="shared" si="168"/>
        <v>871151.89392000006</v>
      </c>
      <c r="H908" s="131">
        <f t="shared" si="169"/>
        <v>5456162</v>
      </c>
    </row>
    <row r="909" spans="1:8" ht="15.75" customHeight="1" x14ac:dyDescent="0.25">
      <c r="A909" s="85" t="s">
        <v>2701</v>
      </c>
      <c r="B909" s="88" t="s">
        <v>2696</v>
      </c>
      <c r="C909" s="26" t="s">
        <v>37</v>
      </c>
      <c r="D909" s="68">
        <v>4903059</v>
      </c>
      <c r="E909" s="74">
        <v>0.05</v>
      </c>
      <c r="F909" s="129">
        <f t="shared" si="167"/>
        <v>5148211.95</v>
      </c>
      <c r="G909" s="130">
        <f t="shared" si="168"/>
        <v>978160.2705000001</v>
      </c>
      <c r="H909" s="131">
        <f t="shared" si="169"/>
        <v>6126372</v>
      </c>
    </row>
    <row r="910" spans="1:8" ht="15.75" customHeight="1" x14ac:dyDescent="0.25">
      <c r="A910" s="85" t="s">
        <v>2702</v>
      </c>
      <c r="B910" s="88" t="s">
        <v>2695</v>
      </c>
      <c r="C910" s="26" t="s">
        <v>37</v>
      </c>
      <c r="D910" s="68">
        <v>5614297.9199999999</v>
      </c>
      <c r="E910" s="74">
        <v>0.05</v>
      </c>
      <c r="F910" s="129">
        <f t="shared" si="167"/>
        <v>5895012.8159999996</v>
      </c>
      <c r="G910" s="130">
        <f t="shared" si="168"/>
        <v>1120052.4350399999</v>
      </c>
      <c r="H910" s="131">
        <f t="shared" si="169"/>
        <v>7015065</v>
      </c>
    </row>
    <row r="911" spans="1:8" ht="15.75" customHeight="1" x14ac:dyDescent="0.25">
      <c r="A911" s="85" t="s">
        <v>2703</v>
      </c>
      <c r="B911" s="88" t="s">
        <v>2693</v>
      </c>
      <c r="C911" s="26" t="s">
        <v>37</v>
      </c>
      <c r="D911" s="68">
        <v>6202665</v>
      </c>
      <c r="E911" s="74">
        <v>0.05</v>
      </c>
      <c r="F911" s="129">
        <f t="shared" si="167"/>
        <v>6512798.25</v>
      </c>
      <c r="G911" s="130">
        <f t="shared" si="168"/>
        <v>1237431.6675</v>
      </c>
      <c r="H911" s="131">
        <f t="shared" si="169"/>
        <v>7750230</v>
      </c>
    </row>
    <row r="912" spans="1:8" ht="15.75" customHeight="1" x14ac:dyDescent="0.25">
      <c r="A912" s="85" t="s">
        <v>2734</v>
      </c>
      <c r="B912" s="88" t="s">
        <v>7409</v>
      </c>
      <c r="C912" s="26" t="s">
        <v>37</v>
      </c>
      <c r="D912" s="68">
        <v>1081542.24</v>
      </c>
      <c r="E912" s="74">
        <v>0.05</v>
      </c>
      <c r="F912" s="129">
        <f t="shared" si="167"/>
        <v>1135619.352</v>
      </c>
      <c r="G912" s="130">
        <f t="shared" si="168"/>
        <v>215767.67687999998</v>
      </c>
      <c r="H912" s="131">
        <f t="shared" si="169"/>
        <v>1351387</v>
      </c>
    </row>
    <row r="913" spans="1:10" ht="15.75" customHeight="1" x14ac:dyDescent="0.25">
      <c r="A913" s="85" t="s">
        <v>2735</v>
      </c>
      <c r="B913" s="88" t="s">
        <v>7410</v>
      </c>
      <c r="C913" s="26" t="s">
        <v>37</v>
      </c>
      <c r="D913" s="68">
        <v>1582312.5</v>
      </c>
      <c r="E913" s="74">
        <v>0.05</v>
      </c>
      <c r="F913" s="129">
        <f t="shared" si="167"/>
        <v>1661428.125</v>
      </c>
      <c r="G913" s="130">
        <f t="shared" si="168"/>
        <v>315671.34375</v>
      </c>
      <c r="H913" s="131">
        <f t="shared" si="169"/>
        <v>1977099</v>
      </c>
    </row>
    <row r="914" spans="1:10" ht="15.75" customHeight="1" x14ac:dyDescent="0.25">
      <c r="A914" s="85" t="s">
        <v>2736</v>
      </c>
      <c r="B914" s="88" t="s">
        <v>7411</v>
      </c>
      <c r="C914" s="26" t="s">
        <v>37</v>
      </c>
      <c r="D914" s="68">
        <v>2163084.48</v>
      </c>
      <c r="E914" s="74">
        <v>0.05</v>
      </c>
      <c r="F914" s="129">
        <f t="shared" si="167"/>
        <v>2271238.7039999999</v>
      </c>
      <c r="G914" s="130">
        <f t="shared" si="168"/>
        <v>431535.35375999997</v>
      </c>
      <c r="H914" s="131">
        <f t="shared" si="169"/>
        <v>2702774</v>
      </c>
    </row>
    <row r="915" spans="1:10" ht="15.75" customHeight="1" x14ac:dyDescent="0.25">
      <c r="A915" s="85" t="s">
        <v>2737</v>
      </c>
      <c r="B915" s="88" t="s">
        <v>7412</v>
      </c>
      <c r="C915" s="26" t="s">
        <v>37</v>
      </c>
      <c r="D915" s="68">
        <v>2708919</v>
      </c>
      <c r="E915" s="74">
        <v>0.05</v>
      </c>
      <c r="F915" s="129">
        <f t="shared" si="167"/>
        <v>2844364.95</v>
      </c>
      <c r="G915" s="130">
        <f t="shared" si="168"/>
        <v>540429.34050000005</v>
      </c>
      <c r="H915" s="131">
        <f t="shared" si="169"/>
        <v>3384794</v>
      </c>
    </row>
    <row r="916" spans="1:10" ht="15.75" customHeight="1" x14ac:dyDescent="0.25">
      <c r="A916" s="85" t="s">
        <v>2738</v>
      </c>
      <c r="B916" s="88" t="s">
        <v>7413</v>
      </c>
      <c r="C916" s="26" t="s">
        <v>37</v>
      </c>
      <c r="D916" s="68">
        <v>3605140.8</v>
      </c>
      <c r="E916" s="74">
        <v>0.05</v>
      </c>
      <c r="F916" s="129">
        <f t="shared" si="167"/>
        <v>3785397.84</v>
      </c>
      <c r="G916" s="130">
        <f t="shared" si="168"/>
        <v>719225.58959999995</v>
      </c>
      <c r="H916" s="131">
        <f t="shared" si="169"/>
        <v>4504623</v>
      </c>
    </row>
    <row r="917" spans="1:10" ht="15.75" customHeight="1" x14ac:dyDescent="0.25">
      <c r="A917" s="85" t="s">
        <v>2739</v>
      </c>
      <c r="B917" s="88" t="s">
        <v>7414</v>
      </c>
      <c r="C917" s="26" t="s">
        <v>37</v>
      </c>
      <c r="D917" s="68">
        <v>4211061</v>
      </c>
      <c r="E917" s="74">
        <v>0.05</v>
      </c>
      <c r="F917" s="129">
        <f t="shared" si="167"/>
        <v>4421614.05</v>
      </c>
      <c r="G917" s="130">
        <f t="shared" si="168"/>
        <v>840106.66949999996</v>
      </c>
      <c r="H917" s="131">
        <f t="shared" si="169"/>
        <v>5261721</v>
      </c>
    </row>
    <row r="918" spans="1:10" ht="15.75" customHeight="1" x14ac:dyDescent="0.25">
      <c r="A918" s="85" t="s">
        <v>2740</v>
      </c>
      <c r="B918" s="88" t="s">
        <v>7415</v>
      </c>
      <c r="C918" s="26" t="s">
        <v>37</v>
      </c>
      <c r="D918" s="68">
        <v>5047197.12</v>
      </c>
      <c r="E918" s="74">
        <v>0.05</v>
      </c>
      <c r="F918" s="129">
        <f t="shared" si="167"/>
        <v>5299556.9759999998</v>
      </c>
      <c r="G918" s="130">
        <f t="shared" si="168"/>
        <v>1006915.8254399999</v>
      </c>
      <c r="H918" s="131">
        <f t="shared" si="169"/>
        <v>6306473</v>
      </c>
    </row>
    <row r="919" spans="1:10" ht="15.75" customHeight="1" x14ac:dyDescent="0.25">
      <c r="A919" s="85" t="s">
        <v>2741</v>
      </c>
      <c r="B919" s="88" t="s">
        <v>7416</v>
      </c>
      <c r="C919" s="26" t="s">
        <v>37</v>
      </c>
      <c r="D919" s="68">
        <v>5713203</v>
      </c>
      <c r="E919" s="74">
        <v>0.05</v>
      </c>
      <c r="F919" s="129">
        <f t="shared" si="167"/>
        <v>5998863.1500000004</v>
      </c>
      <c r="G919" s="130">
        <f t="shared" si="168"/>
        <v>1139783.9985</v>
      </c>
      <c r="H919" s="131">
        <f t="shared" si="169"/>
        <v>7138647</v>
      </c>
    </row>
    <row r="920" spans="1:10" ht="15.75" customHeight="1" x14ac:dyDescent="0.25">
      <c r="A920" s="85" t="s">
        <v>2742</v>
      </c>
      <c r="B920" s="88" t="s">
        <v>7417</v>
      </c>
      <c r="C920" s="26" t="s">
        <v>37</v>
      </c>
      <c r="D920" s="68">
        <v>6489253.4399999995</v>
      </c>
      <c r="E920" s="74">
        <v>0.05</v>
      </c>
      <c r="F920" s="129">
        <f t="shared" si="167"/>
        <v>6813716.1119999997</v>
      </c>
      <c r="G920" s="130">
        <f t="shared" si="168"/>
        <v>1294606.06128</v>
      </c>
      <c r="H920" s="131">
        <f t="shared" si="169"/>
        <v>8108322</v>
      </c>
    </row>
    <row r="921" spans="1:10" ht="15.75" customHeight="1" x14ac:dyDescent="0.25">
      <c r="A921" s="85" t="s">
        <v>2743</v>
      </c>
      <c r="B921" s="88" t="s">
        <v>7418</v>
      </c>
      <c r="C921" s="26" t="s">
        <v>37</v>
      </c>
      <c r="D921" s="68">
        <v>7215345</v>
      </c>
      <c r="E921" s="74">
        <v>0.05</v>
      </c>
      <c r="F921" s="129">
        <f t="shared" si="167"/>
        <v>7576112.25</v>
      </c>
      <c r="G921" s="130">
        <f t="shared" si="168"/>
        <v>1439461.3275000001</v>
      </c>
      <c r="H921" s="131">
        <f t="shared" si="169"/>
        <v>9015574</v>
      </c>
    </row>
    <row r="922" spans="1:10" ht="15.75" customHeight="1" x14ac:dyDescent="0.25">
      <c r="A922" s="85" t="s">
        <v>2744</v>
      </c>
      <c r="B922" s="88" t="s">
        <v>7564</v>
      </c>
      <c r="C922" s="26" t="s">
        <v>37</v>
      </c>
      <c r="D922" s="68">
        <v>1470411.3599999999</v>
      </c>
      <c r="E922" s="74">
        <v>0.05</v>
      </c>
      <c r="F922" s="129">
        <f t="shared" si="167"/>
        <v>1543931.9279999998</v>
      </c>
      <c r="G922" s="130">
        <f t="shared" si="168"/>
        <v>293347.06631999998</v>
      </c>
      <c r="H922" s="131">
        <f t="shared" si="169"/>
        <v>1837279</v>
      </c>
      <c r="J922" s="635">
        <f>H922+H913</f>
        <v>3814378</v>
      </c>
    </row>
    <row r="923" spans="1:10" ht="15.75" customHeight="1" x14ac:dyDescent="0.25">
      <c r="A923" s="85" t="s">
        <v>2745</v>
      </c>
      <c r="B923" s="88" t="s">
        <v>7565</v>
      </c>
      <c r="C923" s="26" t="s">
        <v>37</v>
      </c>
      <c r="D923" s="68">
        <v>2105530.5</v>
      </c>
      <c r="E923" s="74">
        <v>0.05</v>
      </c>
      <c r="F923" s="129">
        <f t="shared" si="167"/>
        <v>2210807.0249999999</v>
      </c>
      <c r="G923" s="130">
        <f t="shared" si="168"/>
        <v>420053.33474999998</v>
      </c>
      <c r="H923" s="131">
        <f t="shared" si="169"/>
        <v>2630860</v>
      </c>
      <c r="J923">
        <f>J922/2</f>
        <v>1907189</v>
      </c>
    </row>
    <row r="924" spans="1:10" ht="15.75" customHeight="1" x14ac:dyDescent="0.25">
      <c r="A924" s="85" t="s">
        <v>2746</v>
      </c>
      <c r="B924" s="88" t="s">
        <v>7566</v>
      </c>
      <c r="C924" s="26" t="s">
        <v>37</v>
      </c>
      <c r="D924" s="68">
        <v>2940822.7199999997</v>
      </c>
      <c r="E924" s="74">
        <v>0.05</v>
      </c>
      <c r="F924" s="129">
        <f t="shared" si="167"/>
        <v>3087863.8559999997</v>
      </c>
      <c r="G924" s="130">
        <f t="shared" si="168"/>
        <v>586694.13263999997</v>
      </c>
      <c r="H924" s="131">
        <f t="shared" si="169"/>
        <v>3674558</v>
      </c>
    </row>
    <row r="925" spans="1:10" ht="15.75" customHeight="1" x14ac:dyDescent="0.25">
      <c r="A925" s="85" t="s">
        <v>2747</v>
      </c>
      <c r="B925" s="88" t="s">
        <v>7567</v>
      </c>
      <c r="C925" s="26" t="s">
        <v>37</v>
      </c>
      <c r="D925" s="68">
        <v>3637209</v>
      </c>
      <c r="E925" s="74">
        <v>0.05</v>
      </c>
      <c r="F925" s="129">
        <f t="shared" si="167"/>
        <v>3819069.45</v>
      </c>
      <c r="G925" s="130">
        <f t="shared" si="168"/>
        <v>725623.19550000003</v>
      </c>
      <c r="H925" s="131">
        <f t="shared" si="169"/>
        <v>4544693</v>
      </c>
    </row>
    <row r="926" spans="1:10" ht="15.75" customHeight="1" x14ac:dyDescent="0.25">
      <c r="A926" s="85" t="s">
        <v>2748</v>
      </c>
      <c r="B926" s="88" t="s">
        <v>7568</v>
      </c>
      <c r="C926" s="26" t="s">
        <v>37</v>
      </c>
      <c r="D926" s="68"/>
      <c r="E926" s="74">
        <v>0.05</v>
      </c>
      <c r="F926" s="129">
        <f t="shared" si="167"/>
        <v>0</v>
      </c>
      <c r="G926" s="130">
        <f t="shared" si="168"/>
        <v>0</v>
      </c>
      <c r="H926" s="131">
        <f t="shared" si="169"/>
        <v>0</v>
      </c>
    </row>
    <row r="927" spans="1:10" ht="15.75" customHeight="1" x14ac:dyDescent="0.25">
      <c r="A927" s="85" t="s">
        <v>2749</v>
      </c>
      <c r="B927" s="88" t="s">
        <v>7569</v>
      </c>
      <c r="C927" s="26" t="s">
        <v>37</v>
      </c>
      <c r="D927" s="68">
        <v>5679447</v>
      </c>
      <c r="E927" s="74">
        <v>0.05</v>
      </c>
      <c r="F927" s="129">
        <f t="shared" si="167"/>
        <v>5963419.3499999996</v>
      </c>
      <c r="G927" s="130">
        <f t="shared" si="168"/>
        <v>1133049.6764999998</v>
      </c>
      <c r="H927" s="131">
        <f t="shared" si="169"/>
        <v>7096469</v>
      </c>
    </row>
    <row r="928" spans="1:10" ht="15.75" customHeight="1" x14ac:dyDescent="0.25">
      <c r="A928" s="85" t="s">
        <v>2750</v>
      </c>
      <c r="B928" s="88" t="s">
        <v>7570</v>
      </c>
      <c r="C928" s="26" t="s">
        <v>37</v>
      </c>
      <c r="D928" s="68"/>
      <c r="E928" s="74">
        <v>0.05</v>
      </c>
      <c r="F928" s="129">
        <f t="shared" si="167"/>
        <v>0</v>
      </c>
      <c r="G928" s="130">
        <f t="shared" si="168"/>
        <v>0</v>
      </c>
      <c r="H928" s="131">
        <f t="shared" si="169"/>
        <v>0</v>
      </c>
    </row>
    <row r="929" spans="1:8" ht="15.75" customHeight="1" x14ac:dyDescent="0.25">
      <c r="A929" s="85" t="s">
        <v>2751</v>
      </c>
      <c r="B929" s="88" t="s">
        <v>7571</v>
      </c>
      <c r="C929" s="26" t="s">
        <v>37</v>
      </c>
      <c r="D929" s="68"/>
      <c r="E929" s="74">
        <v>0.05</v>
      </c>
      <c r="F929" s="129">
        <f t="shared" si="167"/>
        <v>0</v>
      </c>
      <c r="G929" s="130">
        <f t="shared" si="168"/>
        <v>0</v>
      </c>
      <c r="H929" s="131">
        <f t="shared" si="169"/>
        <v>0</v>
      </c>
    </row>
    <row r="930" spans="1:8" ht="15.75" customHeight="1" x14ac:dyDescent="0.25">
      <c r="A930" s="85" t="s">
        <v>2752</v>
      </c>
      <c r="B930" s="88" t="s">
        <v>7572</v>
      </c>
      <c r="C930" s="26" t="s">
        <v>37</v>
      </c>
      <c r="D930" s="68"/>
      <c r="E930" s="74">
        <v>0.05</v>
      </c>
      <c r="F930" s="129">
        <f t="shared" si="167"/>
        <v>0</v>
      </c>
      <c r="G930" s="130">
        <f t="shared" si="168"/>
        <v>0</v>
      </c>
      <c r="H930" s="131">
        <f t="shared" si="169"/>
        <v>0</v>
      </c>
    </row>
    <row r="931" spans="1:8" ht="15.75" customHeight="1" x14ac:dyDescent="0.25">
      <c r="A931" s="85" t="s">
        <v>2753</v>
      </c>
      <c r="B931" s="88" t="s">
        <v>7573</v>
      </c>
      <c r="C931" s="26" t="s">
        <v>37</v>
      </c>
      <c r="D931" s="68"/>
      <c r="E931" s="74">
        <v>0.05</v>
      </c>
      <c r="F931" s="129">
        <f t="shared" si="167"/>
        <v>0</v>
      </c>
      <c r="G931" s="130">
        <f t="shared" si="168"/>
        <v>0</v>
      </c>
      <c r="H931" s="131">
        <f t="shared" si="169"/>
        <v>0</v>
      </c>
    </row>
    <row r="932" spans="1:8" ht="15.75" customHeight="1" x14ac:dyDescent="0.25">
      <c r="A932" s="85" t="s">
        <v>2754</v>
      </c>
      <c r="B932" s="88" t="s">
        <v>2722</v>
      </c>
      <c r="C932" s="26" t="s">
        <v>37</v>
      </c>
      <c r="D932" s="68"/>
      <c r="E932" s="74">
        <v>0.05</v>
      </c>
      <c r="F932" s="129">
        <f t="shared" si="167"/>
        <v>0</v>
      </c>
      <c r="G932" s="130">
        <f t="shared" si="168"/>
        <v>0</v>
      </c>
      <c r="H932" s="131">
        <f t="shared" si="169"/>
        <v>0</v>
      </c>
    </row>
    <row r="933" spans="1:8" ht="15.75" customHeight="1" x14ac:dyDescent="0.25">
      <c r="A933" s="85" t="s">
        <v>2755</v>
      </c>
      <c r="B933" s="88" t="s">
        <v>2723</v>
      </c>
      <c r="C933" s="26" t="s">
        <v>37</v>
      </c>
      <c r="D933" s="68"/>
      <c r="E933" s="74">
        <v>0.05</v>
      </c>
      <c r="F933" s="129">
        <f t="shared" si="167"/>
        <v>0</v>
      </c>
      <c r="G933" s="130">
        <f t="shared" si="168"/>
        <v>0</v>
      </c>
      <c r="H933" s="131">
        <f t="shared" si="169"/>
        <v>0</v>
      </c>
    </row>
    <row r="934" spans="1:8" ht="15.75" customHeight="1" x14ac:dyDescent="0.25">
      <c r="A934" s="85" t="s">
        <v>2756</v>
      </c>
      <c r="B934" s="88" t="s">
        <v>2724</v>
      </c>
      <c r="C934" s="26" t="s">
        <v>37</v>
      </c>
      <c r="D934" s="68"/>
      <c r="E934" s="74">
        <v>0.05</v>
      </c>
      <c r="F934" s="129">
        <f t="shared" si="167"/>
        <v>0</v>
      </c>
      <c r="G934" s="130">
        <f t="shared" si="168"/>
        <v>0</v>
      </c>
      <c r="H934" s="131">
        <f t="shared" si="169"/>
        <v>0</v>
      </c>
    </row>
    <row r="935" spans="1:8" ht="15.75" customHeight="1" x14ac:dyDescent="0.25">
      <c r="A935" s="85" t="s">
        <v>2757</v>
      </c>
      <c r="B935" s="88" t="s">
        <v>2725</v>
      </c>
      <c r="C935" s="26" t="s">
        <v>37</v>
      </c>
      <c r="D935" s="68"/>
      <c r="E935" s="74">
        <v>0.05</v>
      </c>
      <c r="F935" s="129">
        <f t="shared" si="167"/>
        <v>0</v>
      </c>
      <c r="G935" s="130">
        <f t="shared" si="168"/>
        <v>0</v>
      </c>
      <c r="H935" s="131">
        <f t="shared" si="169"/>
        <v>0</v>
      </c>
    </row>
    <row r="936" spans="1:8" ht="15.75" customHeight="1" x14ac:dyDescent="0.25">
      <c r="A936" s="85" t="s">
        <v>2758</v>
      </c>
      <c r="B936" s="88" t="s">
        <v>2726</v>
      </c>
      <c r="C936" s="26" t="s">
        <v>37</v>
      </c>
      <c r="D936" s="68"/>
      <c r="E936" s="74">
        <v>0.05</v>
      </c>
      <c r="F936" s="129">
        <f t="shared" si="167"/>
        <v>0</v>
      </c>
      <c r="G936" s="130">
        <f t="shared" si="168"/>
        <v>0</v>
      </c>
      <c r="H936" s="131">
        <f t="shared" si="169"/>
        <v>0</v>
      </c>
    </row>
    <row r="937" spans="1:8" ht="15.75" customHeight="1" x14ac:dyDescent="0.25">
      <c r="A937" s="85" t="s">
        <v>2759</v>
      </c>
      <c r="B937" s="88" t="s">
        <v>2727</v>
      </c>
      <c r="C937" s="26" t="s">
        <v>37</v>
      </c>
      <c r="D937" s="68"/>
      <c r="E937" s="74">
        <v>0.05</v>
      </c>
      <c r="F937" s="129">
        <f t="shared" si="167"/>
        <v>0</v>
      </c>
      <c r="G937" s="130">
        <f t="shared" si="168"/>
        <v>0</v>
      </c>
      <c r="H937" s="131">
        <f t="shared" si="169"/>
        <v>0</v>
      </c>
    </row>
    <row r="938" spans="1:8" ht="15.75" customHeight="1" x14ac:dyDescent="0.25">
      <c r="A938" s="85" t="s">
        <v>2760</v>
      </c>
      <c r="B938" s="88" t="s">
        <v>2728</v>
      </c>
      <c r="C938" s="26" t="s">
        <v>37</v>
      </c>
      <c r="D938" s="68"/>
      <c r="E938" s="74">
        <v>0.05</v>
      </c>
      <c r="F938" s="129">
        <f t="shared" si="167"/>
        <v>0</v>
      </c>
      <c r="G938" s="130">
        <f t="shared" ref="G938:G952" si="170">F938*0.19</f>
        <v>0</v>
      </c>
      <c r="H938" s="131">
        <f t="shared" si="169"/>
        <v>0</v>
      </c>
    </row>
    <row r="939" spans="1:8" ht="15.75" customHeight="1" x14ac:dyDescent="0.25">
      <c r="A939" s="85" t="s">
        <v>2761</v>
      </c>
      <c r="B939" s="88" t="s">
        <v>2729</v>
      </c>
      <c r="C939" s="26" t="s">
        <v>37</v>
      </c>
      <c r="D939" s="68"/>
      <c r="E939" s="74">
        <v>0.05</v>
      </c>
      <c r="F939" s="129">
        <f t="shared" si="167"/>
        <v>0</v>
      </c>
      <c r="G939" s="130">
        <f t="shared" si="170"/>
        <v>0</v>
      </c>
      <c r="H939" s="131">
        <f t="shared" si="169"/>
        <v>0</v>
      </c>
    </row>
    <row r="940" spans="1:8" ht="15.75" customHeight="1" x14ac:dyDescent="0.25">
      <c r="A940" s="85" t="s">
        <v>2762</v>
      </c>
      <c r="B940" s="88" t="s">
        <v>2730</v>
      </c>
      <c r="C940" s="26" t="s">
        <v>37</v>
      </c>
      <c r="D940" s="68"/>
      <c r="E940" s="74">
        <v>0.05</v>
      </c>
      <c r="F940" s="129">
        <f t="shared" si="167"/>
        <v>0</v>
      </c>
      <c r="G940" s="130">
        <f t="shared" si="170"/>
        <v>0</v>
      </c>
      <c r="H940" s="131">
        <f t="shared" si="169"/>
        <v>0</v>
      </c>
    </row>
    <row r="941" spans="1:8" ht="15.75" customHeight="1" x14ac:dyDescent="0.25">
      <c r="A941" s="85" t="s">
        <v>2763</v>
      </c>
      <c r="B941" s="88" t="s">
        <v>2731</v>
      </c>
      <c r="C941" s="26" t="s">
        <v>37</v>
      </c>
      <c r="D941" s="68"/>
      <c r="E941" s="74">
        <v>0.05</v>
      </c>
      <c r="F941" s="129">
        <f t="shared" si="167"/>
        <v>0</v>
      </c>
      <c r="G941" s="130">
        <f t="shared" si="170"/>
        <v>0</v>
      </c>
      <c r="H941" s="131">
        <f t="shared" si="169"/>
        <v>0</v>
      </c>
    </row>
    <row r="942" spans="1:8" ht="15.75" customHeight="1" x14ac:dyDescent="0.25">
      <c r="A942" s="85" t="s">
        <v>2764</v>
      </c>
      <c r="B942" s="88" t="s">
        <v>2732</v>
      </c>
      <c r="C942" s="26" t="s">
        <v>37</v>
      </c>
      <c r="D942" s="68">
        <v>2223845.2799999998</v>
      </c>
      <c r="E942" s="74">
        <v>0.05</v>
      </c>
      <c r="F942" s="129">
        <f t="shared" si="167"/>
        <v>2335037.5439999998</v>
      </c>
      <c r="G942" s="130">
        <f t="shared" si="170"/>
        <v>443657.13335999998</v>
      </c>
      <c r="H942" s="131">
        <f t="shared" si="169"/>
        <v>2778695</v>
      </c>
    </row>
    <row r="943" spans="1:8" ht="15.75" customHeight="1" x14ac:dyDescent="0.25">
      <c r="A943" s="85" t="s">
        <v>2765</v>
      </c>
      <c r="B943" s="88" t="s">
        <v>2781</v>
      </c>
      <c r="C943" s="26" t="s">
        <v>37</v>
      </c>
      <c r="D943" s="68">
        <v>3109771.5</v>
      </c>
      <c r="E943" s="74">
        <v>0.05</v>
      </c>
      <c r="F943" s="129">
        <f t="shared" si="167"/>
        <v>3265260.0750000002</v>
      </c>
      <c r="G943" s="130">
        <f t="shared" si="170"/>
        <v>620399.41425000003</v>
      </c>
      <c r="H943" s="131">
        <f t="shared" si="169"/>
        <v>3885659</v>
      </c>
    </row>
    <row r="944" spans="1:8" ht="15.75" customHeight="1" x14ac:dyDescent="0.25">
      <c r="A944" s="85" t="s">
        <v>2766</v>
      </c>
      <c r="B944" s="88" t="s">
        <v>2733</v>
      </c>
      <c r="C944" s="26" t="s">
        <v>37</v>
      </c>
      <c r="D944" s="68">
        <v>4447690.5599999996</v>
      </c>
      <c r="E944" s="74">
        <v>0.05</v>
      </c>
      <c r="F944" s="129">
        <f t="shared" si="167"/>
        <v>4670075.0879999995</v>
      </c>
      <c r="G944" s="130">
        <f t="shared" si="170"/>
        <v>887314.26671999996</v>
      </c>
      <c r="H944" s="131">
        <f t="shared" si="169"/>
        <v>5557389</v>
      </c>
    </row>
    <row r="945" spans="1:8" ht="15.75" customHeight="1" x14ac:dyDescent="0.25">
      <c r="A945" s="85" t="s">
        <v>2767</v>
      </c>
      <c r="B945" s="88" t="s">
        <v>2775</v>
      </c>
      <c r="C945" s="26" t="s">
        <v>37</v>
      </c>
      <c r="D945" s="68">
        <v>5426277</v>
      </c>
      <c r="E945" s="74">
        <v>0.05</v>
      </c>
      <c r="F945" s="129">
        <f t="shared" si="167"/>
        <v>5697590.8499999996</v>
      </c>
      <c r="G945" s="130">
        <f t="shared" si="170"/>
        <v>1082542.2615</v>
      </c>
      <c r="H945" s="131">
        <f t="shared" si="169"/>
        <v>6780133</v>
      </c>
    </row>
    <row r="946" spans="1:8" ht="15.75" customHeight="1" x14ac:dyDescent="0.25">
      <c r="A946" s="85" t="s">
        <v>2768</v>
      </c>
      <c r="B946" s="88" t="s">
        <v>2774</v>
      </c>
      <c r="C946" s="26" t="s">
        <v>37</v>
      </c>
      <c r="D946" s="68">
        <v>7412817.5999999996</v>
      </c>
      <c r="E946" s="74">
        <v>0.05</v>
      </c>
      <c r="F946" s="129">
        <f t="shared" si="167"/>
        <v>7783458.4799999995</v>
      </c>
      <c r="G946" s="130">
        <f t="shared" si="170"/>
        <v>1478857.1111999999</v>
      </c>
      <c r="H946" s="131">
        <f t="shared" si="169"/>
        <v>9262316</v>
      </c>
    </row>
    <row r="947" spans="1:8" ht="15.75" customHeight="1" x14ac:dyDescent="0.25">
      <c r="A947" s="85" t="s">
        <v>2769</v>
      </c>
      <c r="B947" s="88" t="s">
        <v>2780</v>
      </c>
      <c r="C947" s="26" t="s">
        <v>37</v>
      </c>
      <c r="D947" s="68">
        <v>8514951</v>
      </c>
      <c r="E947" s="74">
        <v>0.05</v>
      </c>
      <c r="F947" s="129">
        <f t="shared" si="167"/>
        <v>8940698.5500000007</v>
      </c>
      <c r="G947" s="130">
        <f t="shared" si="170"/>
        <v>1698732.7245000002</v>
      </c>
      <c r="H947" s="131">
        <f t="shared" si="169"/>
        <v>10639431</v>
      </c>
    </row>
    <row r="948" spans="1:8" ht="15.75" customHeight="1" x14ac:dyDescent="0.25">
      <c r="A948" s="85" t="s">
        <v>2770</v>
      </c>
      <c r="B948" s="88" t="s">
        <v>2776</v>
      </c>
      <c r="C948" s="26" t="s">
        <v>37</v>
      </c>
      <c r="D948" s="68">
        <v>10377944.640000001</v>
      </c>
      <c r="E948" s="74">
        <v>0.05</v>
      </c>
      <c r="F948" s="129">
        <f t="shared" si="167"/>
        <v>10896841.872000001</v>
      </c>
      <c r="G948" s="130">
        <f t="shared" si="170"/>
        <v>2070399.9556800004</v>
      </c>
      <c r="H948" s="131">
        <f t="shared" si="169"/>
        <v>12967242</v>
      </c>
    </row>
    <row r="949" spans="1:8" ht="15.75" customHeight="1" x14ac:dyDescent="0.25">
      <c r="A949" s="85" t="s">
        <v>2771</v>
      </c>
      <c r="B949" s="88" t="s">
        <v>2777</v>
      </c>
      <c r="C949" s="26" t="s">
        <v>37</v>
      </c>
      <c r="D949" s="68">
        <v>11603625</v>
      </c>
      <c r="E949" s="74">
        <v>0.05</v>
      </c>
      <c r="F949" s="129">
        <f t="shared" si="167"/>
        <v>12183806.25</v>
      </c>
      <c r="G949" s="130">
        <f t="shared" si="170"/>
        <v>2314923.1875</v>
      </c>
      <c r="H949" s="131">
        <f t="shared" si="169"/>
        <v>14498729</v>
      </c>
    </row>
    <row r="950" spans="1:8" ht="15.75" customHeight="1" x14ac:dyDescent="0.25">
      <c r="A950" s="85" t="s">
        <v>2772</v>
      </c>
      <c r="B950" s="88" t="s">
        <v>2778</v>
      </c>
      <c r="C950" s="26" t="s">
        <v>37</v>
      </c>
      <c r="D950" s="68">
        <v>13343071.68</v>
      </c>
      <c r="E950" s="74">
        <v>0.05</v>
      </c>
      <c r="F950" s="129">
        <f t="shared" si="167"/>
        <v>14010225.264</v>
      </c>
      <c r="G950" s="130">
        <f t="shared" si="170"/>
        <v>2661942.8001600001</v>
      </c>
      <c r="H950" s="131">
        <f t="shared" si="169"/>
        <v>16672168</v>
      </c>
    </row>
    <row r="951" spans="1:8" ht="15.75" customHeight="1" x14ac:dyDescent="0.25">
      <c r="A951" s="85" t="s">
        <v>2773</v>
      </c>
      <c r="B951" s="88" t="s">
        <v>2779</v>
      </c>
      <c r="C951" s="26" t="s">
        <v>37</v>
      </c>
      <c r="D951" s="68">
        <v>14692299</v>
      </c>
      <c r="E951" s="74">
        <v>0.05</v>
      </c>
      <c r="F951" s="129">
        <f t="shared" si="167"/>
        <v>15426913.949999999</v>
      </c>
      <c r="G951" s="130">
        <f t="shared" si="170"/>
        <v>2931113.6505</v>
      </c>
      <c r="H951" s="131">
        <f t="shared" si="169"/>
        <v>18358028</v>
      </c>
    </row>
    <row r="952" spans="1:8" ht="15.75" customHeight="1" x14ac:dyDescent="0.25">
      <c r="A952" s="85" t="s">
        <v>2791</v>
      </c>
      <c r="B952" s="88" t="s">
        <v>2783</v>
      </c>
      <c r="C952" s="26" t="s">
        <v>37</v>
      </c>
      <c r="D952" s="68"/>
      <c r="E952" s="74">
        <v>0.05</v>
      </c>
      <c r="F952" s="129">
        <f t="shared" si="167"/>
        <v>0</v>
      </c>
      <c r="G952" s="130">
        <f t="shared" si="170"/>
        <v>0</v>
      </c>
      <c r="H952" s="131">
        <f t="shared" si="169"/>
        <v>0</v>
      </c>
    </row>
    <row r="953" spans="1:8" ht="15.75" customHeight="1" x14ac:dyDescent="0.25">
      <c r="A953" s="85" t="s">
        <v>2792</v>
      </c>
      <c r="B953" s="88" t="s">
        <v>2783</v>
      </c>
      <c r="C953" s="26" t="s">
        <v>37</v>
      </c>
      <c r="D953" s="68"/>
      <c r="E953" s="74"/>
      <c r="F953" s="129"/>
      <c r="G953" s="130"/>
      <c r="H953" s="131"/>
    </row>
    <row r="954" spans="1:8" ht="15.75" customHeight="1" x14ac:dyDescent="0.25">
      <c r="A954" s="85" t="s">
        <v>2792</v>
      </c>
      <c r="B954" s="88" t="s">
        <v>2784</v>
      </c>
      <c r="C954" s="26" t="s">
        <v>37</v>
      </c>
      <c r="D954" s="68"/>
      <c r="E954" s="74">
        <v>0.05</v>
      </c>
      <c r="F954" s="129">
        <f t="shared" si="167"/>
        <v>0</v>
      </c>
      <c r="G954" s="130">
        <f t="shared" ref="G954:G961" si="171">F954*0.19</f>
        <v>0</v>
      </c>
      <c r="H954" s="131">
        <f t="shared" si="169"/>
        <v>0</v>
      </c>
    </row>
    <row r="955" spans="1:8" ht="15.75" customHeight="1" x14ac:dyDescent="0.25">
      <c r="A955" s="85" t="s">
        <v>2793</v>
      </c>
      <c r="B955" s="88" t="s">
        <v>2785</v>
      </c>
      <c r="C955" s="26" t="s">
        <v>37</v>
      </c>
      <c r="D955" s="68"/>
      <c r="E955" s="74">
        <v>0.05</v>
      </c>
      <c r="F955" s="129">
        <f t="shared" si="167"/>
        <v>0</v>
      </c>
      <c r="G955" s="130">
        <f t="shared" si="171"/>
        <v>0</v>
      </c>
      <c r="H955" s="131">
        <f t="shared" si="169"/>
        <v>0</v>
      </c>
    </row>
    <row r="956" spans="1:8" ht="15.75" customHeight="1" x14ac:dyDescent="0.25">
      <c r="A956" s="85" t="s">
        <v>2794</v>
      </c>
      <c r="B956" s="88" t="s">
        <v>2786</v>
      </c>
      <c r="C956" s="26" t="s">
        <v>37</v>
      </c>
      <c r="D956" s="68"/>
      <c r="E956" s="74">
        <v>0.05</v>
      </c>
      <c r="F956" s="129">
        <f t="shared" si="167"/>
        <v>0</v>
      </c>
      <c r="G956" s="130">
        <f t="shared" si="171"/>
        <v>0</v>
      </c>
      <c r="H956" s="131">
        <f t="shared" si="169"/>
        <v>0</v>
      </c>
    </row>
    <row r="957" spans="1:8" ht="15.75" customHeight="1" x14ac:dyDescent="0.25">
      <c r="A957" s="85" t="s">
        <v>2795</v>
      </c>
      <c r="B957" s="88" t="s">
        <v>2787</v>
      </c>
      <c r="C957" s="26" t="s">
        <v>37</v>
      </c>
      <c r="D957" s="68"/>
      <c r="E957" s="74">
        <v>0.05</v>
      </c>
      <c r="F957" s="129">
        <f t="shared" si="167"/>
        <v>0</v>
      </c>
      <c r="G957" s="130">
        <f t="shared" si="171"/>
        <v>0</v>
      </c>
      <c r="H957" s="131">
        <f t="shared" si="169"/>
        <v>0</v>
      </c>
    </row>
    <row r="958" spans="1:8" ht="15.75" customHeight="1" x14ac:dyDescent="0.25">
      <c r="A958" s="85" t="s">
        <v>2796</v>
      </c>
      <c r="B958" s="88" t="s">
        <v>2788</v>
      </c>
      <c r="C958" s="26" t="s">
        <v>37</v>
      </c>
      <c r="D958" s="68"/>
      <c r="E958" s="74">
        <v>0.05</v>
      </c>
      <c r="F958" s="129">
        <f t="shared" si="167"/>
        <v>0</v>
      </c>
      <c r="G958" s="130">
        <f t="shared" si="171"/>
        <v>0</v>
      </c>
      <c r="H958" s="131">
        <f t="shared" si="169"/>
        <v>0</v>
      </c>
    </row>
    <row r="959" spans="1:8" ht="15.75" customHeight="1" x14ac:dyDescent="0.25">
      <c r="A959" s="85" t="s">
        <v>2797</v>
      </c>
      <c r="B959" s="88" t="s">
        <v>2789</v>
      </c>
      <c r="C959" s="26" t="s">
        <v>37</v>
      </c>
      <c r="D959" s="68"/>
      <c r="E959" s="74">
        <v>0.05</v>
      </c>
      <c r="F959" s="129">
        <f t="shared" si="167"/>
        <v>0</v>
      </c>
      <c r="G959" s="130">
        <f t="shared" si="171"/>
        <v>0</v>
      </c>
      <c r="H959" s="131">
        <f t="shared" si="169"/>
        <v>0</v>
      </c>
    </row>
    <row r="960" spans="1:8" ht="15.75" customHeight="1" x14ac:dyDescent="0.25">
      <c r="A960" s="85" t="s">
        <v>2798</v>
      </c>
      <c r="B960" s="88" t="s">
        <v>2790</v>
      </c>
      <c r="C960" s="26" t="s">
        <v>37</v>
      </c>
      <c r="D960" s="68"/>
      <c r="E960" s="74">
        <v>0.05</v>
      </c>
      <c r="F960" s="129">
        <f t="shared" si="167"/>
        <v>0</v>
      </c>
      <c r="G960" s="130">
        <f t="shared" si="171"/>
        <v>0</v>
      </c>
      <c r="H960" s="131">
        <f t="shared" si="169"/>
        <v>0</v>
      </c>
    </row>
    <row r="961" spans="1:9" ht="15.75" customHeight="1" x14ac:dyDescent="0.25">
      <c r="A961" s="85" t="s">
        <v>2799</v>
      </c>
      <c r="B961" s="88" t="s">
        <v>2782</v>
      </c>
      <c r="C961" s="26" t="s">
        <v>37</v>
      </c>
      <c r="D961" s="68"/>
      <c r="E961" s="74">
        <v>0.05</v>
      </c>
      <c r="F961" s="129">
        <f>+D962+D962*E961</f>
        <v>0</v>
      </c>
      <c r="G961" s="130">
        <f t="shared" si="171"/>
        <v>0</v>
      </c>
      <c r="H961" s="131">
        <f t="shared" si="169"/>
        <v>0</v>
      </c>
    </row>
    <row r="962" spans="1:9" s="87" customFormat="1" ht="15.75" customHeight="1" x14ac:dyDescent="0.25">
      <c r="A962" s="61" t="s">
        <v>958</v>
      </c>
      <c r="B962" s="62" t="s">
        <v>959</v>
      </c>
      <c r="C962" s="63"/>
      <c r="D962" s="68"/>
      <c r="E962" s="63"/>
      <c r="F962" s="63"/>
      <c r="G962" s="63"/>
      <c r="H962" s="82"/>
      <c r="I962"/>
    </row>
    <row r="963" spans="1:9" x14ac:dyDescent="0.25">
      <c r="A963" s="44" t="s">
        <v>960</v>
      </c>
      <c r="B963" s="80" t="s">
        <v>961</v>
      </c>
      <c r="C963" s="14"/>
      <c r="D963" s="68"/>
      <c r="E963" s="74"/>
      <c r="F963" s="75"/>
      <c r="G963" s="76"/>
      <c r="H963" s="77"/>
    </row>
    <row r="964" spans="1:9" x14ac:dyDescent="0.25">
      <c r="A964" s="44" t="s">
        <v>2801</v>
      </c>
      <c r="B964" s="80" t="s">
        <v>2800</v>
      </c>
      <c r="C964" s="14"/>
      <c r="D964" s="68"/>
      <c r="E964" s="74"/>
      <c r="F964" s="75"/>
      <c r="G964" s="76"/>
      <c r="H964" s="77"/>
    </row>
    <row r="965" spans="1:9" x14ac:dyDescent="0.25">
      <c r="A965" s="43" t="s">
        <v>2829</v>
      </c>
      <c r="B965" s="81" t="s">
        <v>2802</v>
      </c>
      <c r="C965" s="26" t="s">
        <v>37</v>
      </c>
      <c r="D965" s="68">
        <v>70400</v>
      </c>
      <c r="E965" s="74">
        <v>0.05</v>
      </c>
      <c r="F965" s="129">
        <f t="shared" ref="F965:F1027" si="172">+D965+D965*E965</f>
        <v>73920</v>
      </c>
      <c r="G965" s="130">
        <f t="shared" ref="G965:G996" si="173">F965*0.19</f>
        <v>14044.8</v>
      </c>
      <c r="H965" s="131">
        <f t="shared" ref="H965:H1027" si="174">ROUND((F965+G965),0)</f>
        <v>87965</v>
      </c>
    </row>
    <row r="966" spans="1:9" x14ac:dyDescent="0.25">
      <c r="A966" s="43" t="s">
        <v>2830</v>
      </c>
      <c r="B966" s="81" t="s">
        <v>2803</v>
      </c>
      <c r="C966" s="26" t="s">
        <v>37</v>
      </c>
      <c r="D966" s="68">
        <v>105600</v>
      </c>
      <c r="E966" s="74">
        <v>0.05</v>
      </c>
      <c r="F966" s="129">
        <f t="shared" si="172"/>
        <v>110880</v>
      </c>
      <c r="G966" s="130">
        <f t="shared" si="173"/>
        <v>21067.200000000001</v>
      </c>
      <c r="H966" s="131">
        <f t="shared" si="174"/>
        <v>131947</v>
      </c>
    </row>
    <row r="967" spans="1:9" x14ac:dyDescent="0.25">
      <c r="A967" s="43" t="s">
        <v>2831</v>
      </c>
      <c r="B967" s="81" t="s">
        <v>2804</v>
      </c>
      <c r="C967" s="26" t="s">
        <v>37</v>
      </c>
      <c r="D967" s="68">
        <v>140800</v>
      </c>
      <c r="E967" s="74">
        <v>0.05</v>
      </c>
      <c r="F967" s="129">
        <f t="shared" si="172"/>
        <v>147840</v>
      </c>
      <c r="G967" s="130">
        <f t="shared" si="173"/>
        <v>28089.599999999999</v>
      </c>
      <c r="H967" s="131">
        <f t="shared" si="174"/>
        <v>175930</v>
      </c>
    </row>
    <row r="968" spans="1:9" x14ac:dyDescent="0.25">
      <c r="A968" s="43" t="s">
        <v>2832</v>
      </c>
      <c r="B968" s="81" t="s">
        <v>2805</v>
      </c>
      <c r="C968" s="26" t="s">
        <v>37</v>
      </c>
      <c r="D968" s="68">
        <v>141900</v>
      </c>
      <c r="E968" s="74">
        <v>0.05</v>
      </c>
      <c r="F968" s="129">
        <f t="shared" si="172"/>
        <v>148995</v>
      </c>
      <c r="G968" s="130">
        <f t="shared" si="173"/>
        <v>28309.05</v>
      </c>
      <c r="H968" s="131">
        <f t="shared" si="174"/>
        <v>177304</v>
      </c>
    </row>
    <row r="969" spans="1:9" x14ac:dyDescent="0.25">
      <c r="A969" s="43" t="s">
        <v>2833</v>
      </c>
      <c r="B969" s="81" t="s">
        <v>2806</v>
      </c>
      <c r="C969" s="26" t="s">
        <v>37</v>
      </c>
      <c r="D969" s="68">
        <v>184800</v>
      </c>
      <c r="E969" s="74">
        <v>0.05</v>
      </c>
      <c r="F969" s="129">
        <f t="shared" si="172"/>
        <v>194040</v>
      </c>
      <c r="G969" s="130">
        <f t="shared" si="173"/>
        <v>36867.599999999999</v>
      </c>
      <c r="H969" s="131">
        <f t="shared" si="174"/>
        <v>230908</v>
      </c>
    </row>
    <row r="970" spans="1:9" x14ac:dyDescent="0.25">
      <c r="A970" s="43" t="s">
        <v>2834</v>
      </c>
      <c r="B970" s="81" t="s">
        <v>2807</v>
      </c>
      <c r="C970" s="26" t="s">
        <v>37</v>
      </c>
      <c r="D970" s="68">
        <v>192500</v>
      </c>
      <c r="E970" s="74">
        <v>0.05</v>
      </c>
      <c r="F970" s="129">
        <f t="shared" si="172"/>
        <v>202125</v>
      </c>
      <c r="G970" s="130">
        <f t="shared" si="173"/>
        <v>38403.75</v>
      </c>
      <c r="H970" s="131">
        <f t="shared" si="174"/>
        <v>240529</v>
      </c>
    </row>
    <row r="971" spans="1:9" x14ac:dyDescent="0.25">
      <c r="A971" s="43" t="s">
        <v>2835</v>
      </c>
      <c r="B971" s="81" t="s">
        <v>7761</v>
      </c>
      <c r="C971" s="26" t="s">
        <v>37</v>
      </c>
      <c r="D971" s="68">
        <v>254100</v>
      </c>
      <c r="E971" s="74">
        <v>0.05</v>
      </c>
      <c r="F971" s="129">
        <f t="shared" si="172"/>
        <v>266805</v>
      </c>
      <c r="G971" s="130">
        <f t="shared" si="173"/>
        <v>50692.95</v>
      </c>
      <c r="H971" s="131">
        <f t="shared" si="174"/>
        <v>317498</v>
      </c>
    </row>
    <row r="972" spans="1:9" x14ac:dyDescent="0.25">
      <c r="A972" s="43" t="s">
        <v>2836</v>
      </c>
      <c r="B972" s="81" t="s">
        <v>7762</v>
      </c>
      <c r="C972" s="26" t="s">
        <v>37</v>
      </c>
      <c r="D972" s="68">
        <v>262900</v>
      </c>
      <c r="E972" s="74">
        <v>0.05</v>
      </c>
      <c r="F972" s="129">
        <f t="shared" si="172"/>
        <v>276045</v>
      </c>
      <c r="G972" s="130">
        <f t="shared" si="173"/>
        <v>52448.55</v>
      </c>
      <c r="H972" s="131">
        <f t="shared" si="174"/>
        <v>328494</v>
      </c>
    </row>
    <row r="973" spans="1:9" x14ac:dyDescent="0.25">
      <c r="A973" s="43" t="s">
        <v>2837</v>
      </c>
      <c r="B973" s="81" t="s">
        <v>7763</v>
      </c>
      <c r="C973" s="26" t="s">
        <v>37</v>
      </c>
      <c r="D973" s="68">
        <v>308000</v>
      </c>
      <c r="E973" s="74">
        <v>0.05</v>
      </c>
      <c r="F973" s="129">
        <f t="shared" si="172"/>
        <v>323400</v>
      </c>
      <c r="G973" s="130">
        <f t="shared" si="173"/>
        <v>61446</v>
      </c>
      <c r="H973" s="131">
        <f t="shared" si="174"/>
        <v>384846</v>
      </c>
    </row>
    <row r="974" spans="1:9" x14ac:dyDescent="0.25">
      <c r="A974" s="43" t="s">
        <v>2838</v>
      </c>
      <c r="B974" s="81" t="s">
        <v>7764</v>
      </c>
      <c r="C974" s="26" t="s">
        <v>37</v>
      </c>
      <c r="D974" s="68">
        <v>368500</v>
      </c>
      <c r="E974" s="74">
        <v>0.05</v>
      </c>
      <c r="F974" s="129">
        <f t="shared" si="172"/>
        <v>386925</v>
      </c>
      <c r="G974" s="130">
        <f t="shared" si="173"/>
        <v>73515.75</v>
      </c>
      <c r="H974" s="131">
        <f t="shared" si="174"/>
        <v>460441</v>
      </c>
    </row>
    <row r="975" spans="1:9" x14ac:dyDescent="0.25">
      <c r="A975" s="43" t="s">
        <v>2839</v>
      </c>
      <c r="B975" s="81" t="s">
        <v>2812</v>
      </c>
      <c r="C975" s="26" t="s">
        <v>37</v>
      </c>
      <c r="D975" s="68">
        <v>449900</v>
      </c>
      <c r="E975" s="74">
        <v>0.05</v>
      </c>
      <c r="F975" s="129">
        <f t="shared" si="172"/>
        <v>472395</v>
      </c>
      <c r="G975" s="130">
        <f t="shared" si="173"/>
        <v>89755.05</v>
      </c>
      <c r="H975" s="131">
        <f t="shared" si="174"/>
        <v>562150</v>
      </c>
    </row>
    <row r="976" spans="1:9" x14ac:dyDescent="0.25">
      <c r="A976" s="43" t="s">
        <v>2840</v>
      </c>
      <c r="B976" s="81" t="s">
        <v>2813</v>
      </c>
      <c r="C976" s="26" t="s">
        <v>37</v>
      </c>
      <c r="D976" s="68">
        <v>514800</v>
      </c>
      <c r="E976" s="74">
        <v>0.05</v>
      </c>
      <c r="F976" s="129">
        <f t="shared" si="172"/>
        <v>540540</v>
      </c>
      <c r="G976" s="130">
        <f t="shared" si="173"/>
        <v>102702.6</v>
      </c>
      <c r="H976" s="131">
        <f t="shared" si="174"/>
        <v>643243</v>
      </c>
    </row>
    <row r="977" spans="1:8" x14ac:dyDescent="0.25">
      <c r="A977" s="43" t="s">
        <v>2841</v>
      </c>
      <c r="B977" s="81" t="s">
        <v>2814</v>
      </c>
      <c r="C977" s="26" t="s">
        <v>37</v>
      </c>
      <c r="D977" s="68">
        <v>587400</v>
      </c>
      <c r="E977" s="74">
        <v>0.05</v>
      </c>
      <c r="F977" s="129">
        <f t="shared" si="172"/>
        <v>616770</v>
      </c>
      <c r="G977" s="130">
        <f t="shared" si="173"/>
        <v>117186.3</v>
      </c>
      <c r="H977" s="131">
        <f t="shared" si="174"/>
        <v>733956</v>
      </c>
    </row>
    <row r="978" spans="1:8" x14ac:dyDescent="0.25">
      <c r="A978" s="43" t="s">
        <v>2842</v>
      </c>
      <c r="B978" s="81" t="s">
        <v>7765</v>
      </c>
      <c r="C978" s="26" t="s">
        <v>37</v>
      </c>
      <c r="D978" s="68">
        <v>616000</v>
      </c>
      <c r="E978" s="74">
        <v>0.05</v>
      </c>
      <c r="F978" s="129">
        <f t="shared" si="172"/>
        <v>646800</v>
      </c>
      <c r="G978" s="130">
        <f t="shared" si="173"/>
        <v>122892</v>
      </c>
      <c r="H978" s="131">
        <f t="shared" si="174"/>
        <v>769692</v>
      </c>
    </row>
    <row r="979" spans="1:8" x14ac:dyDescent="0.25">
      <c r="A979" s="43" t="s">
        <v>2843</v>
      </c>
      <c r="B979" s="81" t="s">
        <v>2816</v>
      </c>
      <c r="C979" s="26" t="s">
        <v>37</v>
      </c>
      <c r="D979" s="68">
        <v>662200</v>
      </c>
      <c r="E979" s="74">
        <v>0.05</v>
      </c>
      <c r="F979" s="129">
        <f t="shared" si="172"/>
        <v>695310</v>
      </c>
      <c r="G979" s="130">
        <f t="shared" si="173"/>
        <v>132108.9</v>
      </c>
      <c r="H979" s="131">
        <f t="shared" si="174"/>
        <v>827419</v>
      </c>
    </row>
    <row r="980" spans="1:8" x14ac:dyDescent="0.25">
      <c r="A980" s="43" t="s">
        <v>2844</v>
      </c>
      <c r="B980" s="81" t="s">
        <v>7247</v>
      </c>
      <c r="C980" s="26" t="s">
        <v>37</v>
      </c>
      <c r="D980" s="68">
        <v>667700</v>
      </c>
      <c r="E980" s="74">
        <v>0.05</v>
      </c>
      <c r="F980" s="129">
        <f t="shared" si="172"/>
        <v>701085</v>
      </c>
      <c r="G980" s="130">
        <f t="shared" si="173"/>
        <v>133206.15</v>
      </c>
      <c r="H980" s="131">
        <f t="shared" si="174"/>
        <v>834291</v>
      </c>
    </row>
    <row r="981" spans="1:8" x14ac:dyDescent="0.25">
      <c r="A981" s="43" t="s">
        <v>2845</v>
      </c>
      <c r="B981" s="81" t="s">
        <v>7248</v>
      </c>
      <c r="C981" s="26" t="s">
        <v>37</v>
      </c>
      <c r="D981" s="68">
        <v>808500</v>
      </c>
      <c r="E981" s="74">
        <v>0.05</v>
      </c>
      <c r="F981" s="129">
        <f t="shared" si="172"/>
        <v>848925</v>
      </c>
      <c r="G981" s="130">
        <f t="shared" si="173"/>
        <v>161295.75</v>
      </c>
      <c r="H981" s="131">
        <f t="shared" si="174"/>
        <v>1010221</v>
      </c>
    </row>
    <row r="982" spans="1:8" x14ac:dyDescent="0.25">
      <c r="A982" s="43" t="s">
        <v>2846</v>
      </c>
      <c r="B982" s="81" t="s">
        <v>7249</v>
      </c>
      <c r="C982" s="26" t="s">
        <v>37</v>
      </c>
      <c r="D982" s="68">
        <v>838200</v>
      </c>
      <c r="E982" s="74">
        <v>0.05</v>
      </c>
      <c r="F982" s="129">
        <f t="shared" si="172"/>
        <v>880110</v>
      </c>
      <c r="G982" s="130">
        <f t="shared" si="173"/>
        <v>167220.9</v>
      </c>
      <c r="H982" s="131">
        <f t="shared" si="174"/>
        <v>1047331</v>
      </c>
    </row>
    <row r="983" spans="1:8" x14ac:dyDescent="0.25">
      <c r="A983" s="43" t="s">
        <v>2847</v>
      </c>
      <c r="B983" s="81" t="s">
        <v>7766</v>
      </c>
      <c r="C983" s="26" t="s">
        <v>37</v>
      </c>
      <c r="D983" s="68">
        <v>881100</v>
      </c>
      <c r="E983" s="74">
        <v>0.05</v>
      </c>
      <c r="F983" s="129">
        <f t="shared" si="172"/>
        <v>925155</v>
      </c>
      <c r="G983" s="130">
        <f t="shared" si="173"/>
        <v>175779.45</v>
      </c>
      <c r="H983" s="131">
        <f t="shared" si="174"/>
        <v>1100934</v>
      </c>
    </row>
    <row r="984" spans="1:8" x14ac:dyDescent="0.25">
      <c r="A984" s="43" t="s">
        <v>2848</v>
      </c>
      <c r="B984" s="81" t="s">
        <v>7250</v>
      </c>
      <c r="C984" s="26" t="s">
        <v>37</v>
      </c>
      <c r="D984" s="68">
        <v>1027400</v>
      </c>
      <c r="E984" s="74">
        <v>0.05</v>
      </c>
      <c r="F984" s="129">
        <f t="shared" si="172"/>
        <v>1078770</v>
      </c>
      <c r="G984" s="130">
        <f t="shared" si="173"/>
        <v>204966.3</v>
      </c>
      <c r="H984" s="131">
        <f t="shared" si="174"/>
        <v>1283736</v>
      </c>
    </row>
    <row r="985" spans="1:8" x14ac:dyDescent="0.25">
      <c r="A985" s="43" t="s">
        <v>2849</v>
      </c>
      <c r="B985" s="81" t="s">
        <v>7251</v>
      </c>
      <c r="C985" s="26" t="s">
        <v>37</v>
      </c>
      <c r="D985" s="68">
        <v>1134100</v>
      </c>
      <c r="E985" s="74">
        <v>0.05</v>
      </c>
      <c r="F985" s="129">
        <f t="shared" si="172"/>
        <v>1190805</v>
      </c>
      <c r="G985" s="130">
        <f t="shared" si="173"/>
        <v>226252.95</v>
      </c>
      <c r="H985" s="131">
        <f t="shared" si="174"/>
        <v>1417058</v>
      </c>
    </row>
    <row r="986" spans="1:8" x14ac:dyDescent="0.25">
      <c r="A986" s="43" t="s">
        <v>2850</v>
      </c>
      <c r="B986" s="81" t="s">
        <v>2823</v>
      </c>
      <c r="C986" s="26" t="s">
        <v>37</v>
      </c>
      <c r="D986" s="68">
        <v>1174800</v>
      </c>
      <c r="E986" s="74">
        <v>0.05</v>
      </c>
      <c r="F986" s="129">
        <f t="shared" si="172"/>
        <v>1233540</v>
      </c>
      <c r="G986" s="130">
        <f t="shared" si="173"/>
        <v>234372.6</v>
      </c>
      <c r="H986" s="131">
        <f t="shared" si="174"/>
        <v>1467913</v>
      </c>
    </row>
    <row r="987" spans="1:8" x14ac:dyDescent="0.25">
      <c r="A987" s="43" t="s">
        <v>2851</v>
      </c>
      <c r="B987" s="81" t="s">
        <v>2827</v>
      </c>
      <c r="C987" s="26" t="s">
        <v>37</v>
      </c>
      <c r="D987" s="68">
        <v>1203400</v>
      </c>
      <c r="E987" s="74">
        <v>0.05</v>
      </c>
      <c r="F987" s="129">
        <f t="shared" si="172"/>
        <v>1263570</v>
      </c>
      <c r="G987" s="130">
        <f t="shared" si="173"/>
        <v>240078.3</v>
      </c>
      <c r="H987" s="131">
        <f t="shared" si="174"/>
        <v>1503648</v>
      </c>
    </row>
    <row r="988" spans="1:8" x14ac:dyDescent="0.25">
      <c r="A988" s="43" t="s">
        <v>2852</v>
      </c>
      <c r="B988" s="81" t="s">
        <v>7767</v>
      </c>
      <c r="C988" s="26" t="s">
        <v>37</v>
      </c>
      <c r="D988" s="68">
        <v>1467400</v>
      </c>
      <c r="E988" s="74">
        <v>0.05</v>
      </c>
      <c r="F988" s="129">
        <f t="shared" si="172"/>
        <v>1540770</v>
      </c>
      <c r="G988" s="130">
        <f t="shared" si="173"/>
        <v>292746.3</v>
      </c>
      <c r="H988" s="131">
        <f t="shared" si="174"/>
        <v>1833516</v>
      </c>
    </row>
    <row r="989" spans="1:8" x14ac:dyDescent="0.25">
      <c r="A989" s="43" t="s">
        <v>2853</v>
      </c>
      <c r="B989" s="81" t="s">
        <v>2825</v>
      </c>
      <c r="C989" s="26" t="s">
        <v>37</v>
      </c>
      <c r="D989" s="68">
        <v>1614800</v>
      </c>
      <c r="E989" s="74">
        <v>0.05</v>
      </c>
      <c r="F989" s="129">
        <f t="shared" si="172"/>
        <v>1695540</v>
      </c>
      <c r="G989" s="130">
        <f t="shared" si="173"/>
        <v>322152.59999999998</v>
      </c>
      <c r="H989" s="131">
        <f t="shared" si="174"/>
        <v>2017693</v>
      </c>
    </row>
    <row r="990" spans="1:8" x14ac:dyDescent="0.25">
      <c r="A990" s="43" t="s">
        <v>2854</v>
      </c>
      <c r="B990" s="81" t="s">
        <v>7252</v>
      </c>
      <c r="C990" s="26" t="s">
        <v>37</v>
      </c>
      <c r="D990" s="68">
        <v>1908500</v>
      </c>
      <c r="E990" s="74">
        <v>0.05</v>
      </c>
      <c r="F990" s="129">
        <f t="shared" si="172"/>
        <v>2003925</v>
      </c>
      <c r="G990" s="130">
        <f t="shared" si="173"/>
        <v>380745.75</v>
      </c>
      <c r="H990" s="131">
        <f t="shared" si="174"/>
        <v>2384671</v>
      </c>
    </row>
    <row r="991" spans="1:8" x14ac:dyDescent="0.25">
      <c r="A991" s="43" t="s">
        <v>2855</v>
      </c>
      <c r="B991" s="81" t="s">
        <v>2828</v>
      </c>
      <c r="C991" s="26" t="s">
        <v>37</v>
      </c>
      <c r="D991" s="68">
        <v>2202200</v>
      </c>
      <c r="E991" s="74">
        <v>0.05</v>
      </c>
      <c r="F991" s="129">
        <f t="shared" si="172"/>
        <v>2312310</v>
      </c>
      <c r="G991" s="130">
        <f t="shared" si="173"/>
        <v>439338.9</v>
      </c>
      <c r="H991" s="131">
        <f t="shared" si="174"/>
        <v>2751649</v>
      </c>
    </row>
    <row r="992" spans="1:8" x14ac:dyDescent="0.25">
      <c r="A992" s="43" t="s">
        <v>2856</v>
      </c>
      <c r="B992" s="81" t="s">
        <v>7419</v>
      </c>
      <c r="C992" s="26" t="s">
        <v>37</v>
      </c>
      <c r="D992" s="68">
        <v>1623600</v>
      </c>
      <c r="E992" s="74">
        <v>0.05</v>
      </c>
      <c r="F992" s="129">
        <f t="shared" si="172"/>
        <v>1704780</v>
      </c>
      <c r="G992" s="130">
        <f t="shared" si="173"/>
        <v>323908.2</v>
      </c>
      <c r="H992" s="131">
        <f t="shared" si="174"/>
        <v>2028688</v>
      </c>
    </row>
    <row r="993" spans="1:8" x14ac:dyDescent="0.25">
      <c r="A993" s="43" t="s">
        <v>2857</v>
      </c>
      <c r="B993" s="81" t="s">
        <v>7420</v>
      </c>
      <c r="C993" s="26" t="s">
        <v>37</v>
      </c>
      <c r="D993" s="68">
        <v>1688500</v>
      </c>
      <c r="E993" s="74">
        <v>0.05</v>
      </c>
      <c r="F993" s="129">
        <f t="shared" si="172"/>
        <v>1772925</v>
      </c>
      <c r="G993" s="130">
        <f t="shared" si="173"/>
        <v>336855.75</v>
      </c>
      <c r="H993" s="131">
        <f t="shared" si="174"/>
        <v>2109781</v>
      </c>
    </row>
    <row r="994" spans="1:8" x14ac:dyDescent="0.25">
      <c r="A994" s="43" t="s">
        <v>2858</v>
      </c>
      <c r="B994" s="81" t="s">
        <v>7768</v>
      </c>
      <c r="C994" s="26" t="s">
        <v>37</v>
      </c>
      <c r="D994" s="68">
        <v>1856800</v>
      </c>
      <c r="E994" s="74">
        <v>0.05</v>
      </c>
      <c r="F994" s="129">
        <f t="shared" si="172"/>
        <v>1949640</v>
      </c>
      <c r="G994" s="130">
        <f t="shared" si="173"/>
        <v>370431.6</v>
      </c>
      <c r="H994" s="131">
        <f t="shared" si="174"/>
        <v>2320072</v>
      </c>
    </row>
    <row r="995" spans="1:8" x14ac:dyDescent="0.25">
      <c r="A995" s="43" t="s">
        <v>2859</v>
      </c>
      <c r="B995" s="81" t="s">
        <v>7421</v>
      </c>
      <c r="C995" s="26" t="s">
        <v>37</v>
      </c>
      <c r="D995" s="68">
        <v>1923900</v>
      </c>
      <c r="E995" s="74">
        <v>0.05</v>
      </c>
      <c r="F995" s="129">
        <f t="shared" si="172"/>
        <v>2020095</v>
      </c>
      <c r="G995" s="130">
        <f t="shared" si="173"/>
        <v>383818.05</v>
      </c>
      <c r="H995" s="131">
        <f t="shared" si="174"/>
        <v>2403913</v>
      </c>
    </row>
    <row r="996" spans="1:8" x14ac:dyDescent="0.25">
      <c r="A996" s="43" t="s">
        <v>2860</v>
      </c>
      <c r="B996" s="81" t="s">
        <v>7422</v>
      </c>
      <c r="C996" s="26" t="s">
        <v>37</v>
      </c>
      <c r="D996" s="68">
        <v>2231900</v>
      </c>
      <c r="E996" s="74">
        <v>0.05</v>
      </c>
      <c r="F996" s="129">
        <f t="shared" si="172"/>
        <v>2343495</v>
      </c>
      <c r="G996" s="130">
        <f t="shared" si="173"/>
        <v>445264.05</v>
      </c>
      <c r="H996" s="131">
        <f t="shared" si="174"/>
        <v>2788759</v>
      </c>
    </row>
    <row r="997" spans="1:8" x14ac:dyDescent="0.25">
      <c r="A997" s="43" t="s">
        <v>2861</v>
      </c>
      <c r="B997" s="81" t="s">
        <v>7423</v>
      </c>
      <c r="C997" s="26" t="s">
        <v>37</v>
      </c>
      <c r="D997" s="68">
        <v>2328700</v>
      </c>
      <c r="E997" s="74">
        <v>0.05</v>
      </c>
      <c r="F997" s="129">
        <f t="shared" si="172"/>
        <v>2445135</v>
      </c>
      <c r="G997" s="130">
        <f t="shared" ref="G997:G1027" si="175">F997*0.19</f>
        <v>464575.65</v>
      </c>
      <c r="H997" s="131">
        <f t="shared" si="174"/>
        <v>2909711</v>
      </c>
    </row>
    <row r="998" spans="1:8" x14ac:dyDescent="0.25">
      <c r="A998" s="43" t="s">
        <v>2862</v>
      </c>
      <c r="B998" s="81" t="s">
        <v>7424</v>
      </c>
      <c r="C998" s="26" t="s">
        <v>37</v>
      </c>
      <c r="D998" s="68">
        <v>2465100</v>
      </c>
      <c r="E998" s="74">
        <v>0.05</v>
      </c>
      <c r="F998" s="129">
        <f t="shared" si="172"/>
        <v>2588355</v>
      </c>
      <c r="G998" s="130">
        <f t="shared" si="175"/>
        <v>491787.45</v>
      </c>
      <c r="H998" s="131">
        <f t="shared" si="174"/>
        <v>3080142</v>
      </c>
    </row>
    <row r="999" spans="1:8" x14ac:dyDescent="0.25">
      <c r="A999" s="43" t="s">
        <v>2863</v>
      </c>
      <c r="B999" s="81" t="s">
        <v>7574</v>
      </c>
      <c r="C999" s="26" t="s">
        <v>37</v>
      </c>
      <c r="D999" s="68">
        <v>2095500</v>
      </c>
      <c r="E999" s="74">
        <v>0.05</v>
      </c>
      <c r="F999" s="129">
        <f t="shared" si="172"/>
        <v>2200275</v>
      </c>
      <c r="G999" s="130">
        <f t="shared" si="175"/>
        <v>418052.25</v>
      </c>
      <c r="H999" s="131">
        <f t="shared" si="174"/>
        <v>2618327</v>
      </c>
    </row>
    <row r="1000" spans="1:8" x14ac:dyDescent="0.25">
      <c r="A1000" s="43" t="s">
        <v>2864</v>
      </c>
      <c r="B1000" s="81" t="s">
        <v>7769</v>
      </c>
      <c r="C1000" s="26" t="s">
        <v>37</v>
      </c>
      <c r="D1000" s="68">
        <v>2436500</v>
      </c>
      <c r="E1000" s="74">
        <v>0.05</v>
      </c>
      <c r="F1000" s="129">
        <f t="shared" si="172"/>
        <v>2558325</v>
      </c>
      <c r="G1000" s="130">
        <f t="shared" si="175"/>
        <v>486081.75</v>
      </c>
      <c r="H1000" s="131">
        <f t="shared" si="174"/>
        <v>3044407</v>
      </c>
    </row>
    <row r="1001" spans="1:8" x14ac:dyDescent="0.25">
      <c r="A1001" s="43" t="s">
        <v>2865</v>
      </c>
      <c r="B1001" s="81" t="s">
        <v>7575</v>
      </c>
      <c r="C1001" s="26" t="s">
        <v>37</v>
      </c>
      <c r="D1001" s="68">
        <v>2581700</v>
      </c>
      <c r="E1001" s="74">
        <v>0.05</v>
      </c>
      <c r="F1001" s="129">
        <f t="shared" si="172"/>
        <v>2710785</v>
      </c>
      <c r="G1001" s="130">
        <f t="shared" si="175"/>
        <v>515049.15</v>
      </c>
      <c r="H1001" s="131">
        <f t="shared" si="174"/>
        <v>3225834</v>
      </c>
    </row>
    <row r="1002" spans="1:8" x14ac:dyDescent="0.25">
      <c r="A1002" s="43" t="s">
        <v>2866</v>
      </c>
      <c r="B1002" s="81" t="s">
        <v>7576</v>
      </c>
      <c r="C1002" s="26" t="s">
        <v>37</v>
      </c>
      <c r="D1002" s="68">
        <v>2654300</v>
      </c>
      <c r="E1002" s="74">
        <v>0.05</v>
      </c>
      <c r="F1002" s="129">
        <f t="shared" si="172"/>
        <v>2787015</v>
      </c>
      <c r="G1002" s="130">
        <f t="shared" si="175"/>
        <v>529532.85</v>
      </c>
      <c r="H1002" s="131">
        <f t="shared" si="174"/>
        <v>3316548</v>
      </c>
    </row>
    <row r="1003" spans="1:8" x14ac:dyDescent="0.25">
      <c r="A1003" s="43" t="s">
        <v>2867</v>
      </c>
      <c r="B1003" s="81" t="s">
        <v>7577</v>
      </c>
      <c r="C1003" s="26" t="s">
        <v>37</v>
      </c>
      <c r="D1003" s="68">
        <v>2932600</v>
      </c>
      <c r="E1003" s="74">
        <v>0.05</v>
      </c>
      <c r="F1003" s="129">
        <f t="shared" si="172"/>
        <v>3079230</v>
      </c>
      <c r="G1003" s="130">
        <f t="shared" si="175"/>
        <v>585053.69999999995</v>
      </c>
      <c r="H1003" s="131">
        <f t="shared" si="174"/>
        <v>3664284</v>
      </c>
    </row>
    <row r="1004" spans="1:8" x14ac:dyDescent="0.25">
      <c r="A1004" s="43" t="s">
        <v>2868</v>
      </c>
      <c r="B1004" s="81" t="s">
        <v>7578</v>
      </c>
      <c r="C1004" s="26" t="s">
        <v>37</v>
      </c>
      <c r="D1004" s="68">
        <v>3212000</v>
      </c>
      <c r="E1004" s="74">
        <v>0.05</v>
      </c>
      <c r="F1004" s="129">
        <f t="shared" si="172"/>
        <v>3372600</v>
      </c>
      <c r="G1004" s="130">
        <f t="shared" si="175"/>
        <v>640794</v>
      </c>
      <c r="H1004" s="131">
        <f t="shared" si="174"/>
        <v>4013394</v>
      </c>
    </row>
    <row r="1005" spans="1:8" x14ac:dyDescent="0.25">
      <c r="A1005" s="43" t="s">
        <v>2869</v>
      </c>
      <c r="B1005" s="81" t="s">
        <v>7579</v>
      </c>
      <c r="C1005" s="26" t="s">
        <v>37</v>
      </c>
      <c r="D1005" s="68">
        <v>3436400</v>
      </c>
      <c r="E1005" s="74">
        <v>0.05</v>
      </c>
      <c r="F1005" s="129">
        <f t="shared" si="172"/>
        <v>3608220</v>
      </c>
      <c r="G1005" s="130">
        <f t="shared" si="175"/>
        <v>685561.8</v>
      </c>
      <c r="H1005" s="131">
        <f t="shared" si="174"/>
        <v>4293782</v>
      </c>
    </row>
    <row r="1006" spans="1:8" x14ac:dyDescent="0.25">
      <c r="A1006" s="43" t="s">
        <v>2870</v>
      </c>
      <c r="B1006" s="81" t="s">
        <v>7770</v>
      </c>
      <c r="C1006" s="26" t="s">
        <v>37</v>
      </c>
      <c r="D1006" s="68">
        <v>4992900</v>
      </c>
      <c r="E1006" s="74">
        <v>0.05</v>
      </c>
      <c r="F1006" s="129">
        <f t="shared" si="172"/>
        <v>5242545</v>
      </c>
      <c r="G1006" s="130">
        <f t="shared" si="175"/>
        <v>996083.55</v>
      </c>
      <c r="H1006" s="131">
        <f t="shared" si="174"/>
        <v>6238629</v>
      </c>
    </row>
    <row r="1007" spans="1:8" x14ac:dyDescent="0.25">
      <c r="A1007" s="43" t="s">
        <v>2891</v>
      </c>
      <c r="B1007" s="81" t="s">
        <v>2886</v>
      </c>
      <c r="C1007" s="26" t="s">
        <v>37</v>
      </c>
      <c r="D1007" s="68">
        <v>4992900</v>
      </c>
      <c r="E1007" s="74">
        <v>0.05</v>
      </c>
      <c r="F1007" s="129">
        <f t="shared" si="172"/>
        <v>5242545</v>
      </c>
      <c r="G1007" s="130">
        <f t="shared" si="175"/>
        <v>996083.55</v>
      </c>
      <c r="H1007" s="131">
        <f t="shared" si="174"/>
        <v>6238629</v>
      </c>
    </row>
    <row r="1008" spans="1:8" x14ac:dyDescent="0.25">
      <c r="A1008" s="43" t="s">
        <v>2892</v>
      </c>
      <c r="B1008" s="81" t="s">
        <v>7253</v>
      </c>
      <c r="C1008" s="26" t="s">
        <v>37</v>
      </c>
      <c r="D1008" s="68">
        <v>5361400</v>
      </c>
      <c r="E1008" s="74">
        <v>0.05</v>
      </c>
      <c r="F1008" s="129">
        <f t="shared" si="172"/>
        <v>5629470</v>
      </c>
      <c r="G1008" s="130">
        <f t="shared" si="175"/>
        <v>1069599.3</v>
      </c>
      <c r="H1008" s="131">
        <f t="shared" si="174"/>
        <v>6699069</v>
      </c>
    </row>
    <row r="1009" spans="1:8" x14ac:dyDescent="0.25">
      <c r="A1009" s="43" t="s">
        <v>2893</v>
      </c>
      <c r="B1009" s="81" t="s">
        <v>2887</v>
      </c>
      <c r="C1009" s="26" t="s">
        <v>37</v>
      </c>
      <c r="D1009" s="68">
        <v>5550600</v>
      </c>
      <c r="E1009" s="74">
        <v>0.05</v>
      </c>
      <c r="F1009" s="129">
        <f t="shared" si="172"/>
        <v>5828130</v>
      </c>
      <c r="G1009" s="130">
        <f t="shared" si="175"/>
        <v>1107344.7</v>
      </c>
      <c r="H1009" s="131">
        <f t="shared" si="174"/>
        <v>6935475</v>
      </c>
    </row>
    <row r="1010" spans="1:8" x14ac:dyDescent="0.25">
      <c r="A1010" s="43" t="s">
        <v>2894</v>
      </c>
      <c r="B1010" s="81" t="s">
        <v>7425</v>
      </c>
      <c r="C1010" s="26" t="s">
        <v>37</v>
      </c>
      <c r="D1010" s="68">
        <v>5783800</v>
      </c>
      <c r="E1010" s="74">
        <v>0.05</v>
      </c>
      <c r="F1010" s="129">
        <f t="shared" si="172"/>
        <v>6072990</v>
      </c>
      <c r="G1010" s="130">
        <f t="shared" si="175"/>
        <v>1153868.1000000001</v>
      </c>
      <c r="H1010" s="131">
        <f t="shared" si="174"/>
        <v>7226858</v>
      </c>
    </row>
    <row r="1011" spans="1:8" x14ac:dyDescent="0.25">
      <c r="A1011" s="43" t="s">
        <v>2895</v>
      </c>
      <c r="B1011" s="81" t="s">
        <v>7580</v>
      </c>
      <c r="C1011" s="26" t="s">
        <v>37</v>
      </c>
      <c r="D1011" s="68">
        <v>6268900</v>
      </c>
      <c r="E1011" s="74">
        <v>0.05</v>
      </c>
      <c r="F1011" s="129">
        <f t="shared" si="172"/>
        <v>6582345</v>
      </c>
      <c r="G1011" s="130">
        <f t="shared" si="175"/>
        <v>1250645.55</v>
      </c>
      <c r="H1011" s="131">
        <f t="shared" si="174"/>
        <v>7832991</v>
      </c>
    </row>
    <row r="1012" spans="1:8" x14ac:dyDescent="0.25">
      <c r="A1012" s="43" t="s">
        <v>2897</v>
      </c>
      <c r="B1012" s="81" t="s">
        <v>2890</v>
      </c>
      <c r="C1012" s="26" t="s">
        <v>37</v>
      </c>
      <c r="D1012" s="68">
        <v>6670400</v>
      </c>
      <c r="E1012" s="74">
        <v>0.05</v>
      </c>
      <c r="F1012" s="129">
        <f t="shared" si="172"/>
        <v>7003920</v>
      </c>
      <c r="G1012" s="130">
        <f t="shared" si="175"/>
        <v>1330744.8</v>
      </c>
      <c r="H1012" s="131">
        <f t="shared" si="174"/>
        <v>8334665</v>
      </c>
    </row>
    <row r="1013" spans="1:8" x14ac:dyDescent="0.25">
      <c r="A1013" s="43" t="s">
        <v>2913</v>
      </c>
      <c r="B1013" s="81" t="s">
        <v>2898</v>
      </c>
      <c r="C1013" s="26" t="s">
        <v>37</v>
      </c>
      <c r="D1013" s="68">
        <v>5404300</v>
      </c>
      <c r="E1013" s="74">
        <v>0.05</v>
      </c>
      <c r="F1013" s="129">
        <f t="shared" si="172"/>
        <v>5674515</v>
      </c>
      <c r="G1013" s="130">
        <f t="shared" si="175"/>
        <v>1078157.8500000001</v>
      </c>
      <c r="H1013" s="131">
        <f t="shared" si="174"/>
        <v>6752673</v>
      </c>
    </row>
    <row r="1014" spans="1:8" x14ac:dyDescent="0.25">
      <c r="A1014" s="43" t="s">
        <v>2914</v>
      </c>
      <c r="B1014" s="81" t="s">
        <v>7254</v>
      </c>
      <c r="C1014" s="26" t="s">
        <v>37</v>
      </c>
      <c r="D1014" s="68">
        <v>5473600</v>
      </c>
      <c r="E1014" s="74">
        <v>0.05</v>
      </c>
      <c r="F1014" s="129">
        <f t="shared" si="172"/>
        <v>5747280</v>
      </c>
      <c r="G1014" s="130">
        <f t="shared" si="175"/>
        <v>1091983.2</v>
      </c>
      <c r="H1014" s="131">
        <f t="shared" si="174"/>
        <v>6839263</v>
      </c>
    </row>
    <row r="1015" spans="1:8" x14ac:dyDescent="0.25">
      <c r="A1015" s="43" t="s">
        <v>2915</v>
      </c>
      <c r="B1015" s="81" t="s">
        <v>2900</v>
      </c>
      <c r="C1015" s="26" t="s">
        <v>37</v>
      </c>
      <c r="D1015" s="68">
        <v>6121500</v>
      </c>
      <c r="E1015" s="74">
        <v>0.05</v>
      </c>
      <c r="F1015" s="129">
        <f t="shared" si="172"/>
        <v>6427575</v>
      </c>
      <c r="G1015" s="130">
        <f t="shared" si="175"/>
        <v>1221239.25</v>
      </c>
      <c r="H1015" s="131">
        <f t="shared" si="174"/>
        <v>7648814</v>
      </c>
    </row>
    <row r="1016" spans="1:8" x14ac:dyDescent="0.25">
      <c r="A1016" s="43" t="s">
        <v>2916</v>
      </c>
      <c r="B1016" s="81" t="s">
        <v>7426</v>
      </c>
      <c r="C1016" s="26" t="s">
        <v>37</v>
      </c>
      <c r="D1016" s="68">
        <v>6437200</v>
      </c>
      <c r="E1016" s="74">
        <v>0.05</v>
      </c>
      <c r="F1016" s="129">
        <f t="shared" si="172"/>
        <v>6759060</v>
      </c>
      <c r="G1016" s="130">
        <f t="shared" si="175"/>
        <v>1284221.3999999999</v>
      </c>
      <c r="H1016" s="131">
        <f t="shared" si="174"/>
        <v>8043281</v>
      </c>
    </row>
    <row r="1017" spans="1:8" x14ac:dyDescent="0.25">
      <c r="A1017" s="43" t="s">
        <v>2917</v>
      </c>
      <c r="B1017" s="81" t="s">
        <v>7581</v>
      </c>
      <c r="C1017" s="26" t="s">
        <v>37</v>
      </c>
      <c r="D1017" s="68">
        <v>7186300</v>
      </c>
      <c r="E1017" s="74">
        <v>0.05</v>
      </c>
      <c r="F1017" s="129">
        <f t="shared" si="172"/>
        <v>7545615</v>
      </c>
      <c r="G1017" s="130">
        <f t="shared" si="175"/>
        <v>1433666.85</v>
      </c>
      <c r="H1017" s="131">
        <f t="shared" si="174"/>
        <v>8979282</v>
      </c>
    </row>
    <row r="1018" spans="1:8" x14ac:dyDescent="0.25">
      <c r="A1018" s="43" t="s">
        <v>2918</v>
      </c>
      <c r="B1018" s="81" t="s">
        <v>2903</v>
      </c>
      <c r="C1018" s="26" t="s">
        <v>37</v>
      </c>
      <c r="D1018" s="68">
        <v>7186300</v>
      </c>
      <c r="E1018" s="74">
        <v>0.05</v>
      </c>
      <c r="F1018" s="129">
        <f t="shared" si="172"/>
        <v>7545615</v>
      </c>
      <c r="G1018" s="130">
        <f t="shared" si="175"/>
        <v>1433666.85</v>
      </c>
      <c r="H1018" s="131">
        <f t="shared" si="174"/>
        <v>8979282</v>
      </c>
    </row>
    <row r="1019" spans="1:8" x14ac:dyDescent="0.25">
      <c r="A1019" s="43" t="s">
        <v>2919</v>
      </c>
      <c r="B1019" s="81" t="s">
        <v>2904</v>
      </c>
      <c r="C1019" s="26" t="s">
        <v>37</v>
      </c>
      <c r="D1019" s="68">
        <v>8125700</v>
      </c>
      <c r="E1019" s="74">
        <v>0.05</v>
      </c>
      <c r="F1019" s="129">
        <f t="shared" si="172"/>
        <v>8531985</v>
      </c>
      <c r="G1019" s="130">
        <f t="shared" si="175"/>
        <v>1621077.15</v>
      </c>
      <c r="H1019" s="131">
        <f t="shared" si="174"/>
        <v>10153062</v>
      </c>
    </row>
    <row r="1020" spans="1:8" x14ac:dyDescent="0.25">
      <c r="A1020" s="43" t="s">
        <v>2920</v>
      </c>
      <c r="B1020" s="81" t="s">
        <v>2905</v>
      </c>
      <c r="C1020" s="26" t="s">
        <v>37</v>
      </c>
      <c r="D1020" s="68">
        <v>6265600</v>
      </c>
      <c r="E1020" s="74">
        <v>0.05</v>
      </c>
      <c r="F1020" s="129">
        <f t="shared" si="172"/>
        <v>6578880</v>
      </c>
      <c r="G1020" s="130">
        <f t="shared" si="175"/>
        <v>1249987.2</v>
      </c>
      <c r="H1020" s="131">
        <f t="shared" si="174"/>
        <v>7828867</v>
      </c>
    </row>
    <row r="1021" spans="1:8" x14ac:dyDescent="0.25">
      <c r="A1021" s="43" t="s">
        <v>2921</v>
      </c>
      <c r="B1021" s="81" t="s">
        <v>7255</v>
      </c>
      <c r="C1021" s="26" t="s">
        <v>37</v>
      </c>
      <c r="D1021" s="68">
        <v>6856300</v>
      </c>
      <c r="E1021" s="74">
        <v>0.05</v>
      </c>
      <c r="F1021" s="129">
        <f t="shared" si="172"/>
        <v>7199115</v>
      </c>
      <c r="G1021" s="130">
        <f t="shared" si="175"/>
        <v>1367831.85</v>
      </c>
      <c r="H1021" s="131">
        <f t="shared" si="174"/>
        <v>8566947</v>
      </c>
    </row>
    <row r="1022" spans="1:8" x14ac:dyDescent="0.25">
      <c r="A1022" s="43" t="s">
        <v>2922</v>
      </c>
      <c r="B1022" s="81" t="s">
        <v>2907</v>
      </c>
      <c r="C1022" s="26" t="s">
        <v>37</v>
      </c>
      <c r="D1022" s="68">
        <v>7023500</v>
      </c>
      <c r="E1022" s="74">
        <v>0.05</v>
      </c>
      <c r="F1022" s="129">
        <f t="shared" si="172"/>
        <v>7374675</v>
      </c>
      <c r="G1022" s="130">
        <f t="shared" si="175"/>
        <v>1401188.25</v>
      </c>
      <c r="H1022" s="131">
        <f t="shared" si="174"/>
        <v>8775863</v>
      </c>
    </row>
    <row r="1023" spans="1:8" x14ac:dyDescent="0.25">
      <c r="A1023" s="43" t="s">
        <v>2923</v>
      </c>
      <c r="B1023" s="81" t="s">
        <v>7427</v>
      </c>
      <c r="C1023" s="26" t="s">
        <v>37</v>
      </c>
      <c r="D1023" s="68">
        <v>7310600</v>
      </c>
      <c r="E1023" s="74">
        <v>0.05</v>
      </c>
      <c r="F1023" s="129">
        <f t="shared" si="172"/>
        <v>7676130</v>
      </c>
      <c r="G1023" s="130">
        <f t="shared" si="175"/>
        <v>1458464.7</v>
      </c>
      <c r="H1023" s="131">
        <f t="shared" si="174"/>
        <v>9134595</v>
      </c>
    </row>
    <row r="1024" spans="1:8" x14ac:dyDescent="0.25">
      <c r="A1024" s="43" t="s">
        <v>2924</v>
      </c>
      <c r="B1024" s="81" t="s">
        <v>7582</v>
      </c>
      <c r="C1024" s="26" t="s">
        <v>37</v>
      </c>
      <c r="D1024" s="68">
        <v>8340200</v>
      </c>
      <c r="E1024" s="74">
        <v>0.05</v>
      </c>
      <c r="F1024" s="129">
        <f t="shared" si="172"/>
        <v>8757210</v>
      </c>
      <c r="G1024" s="130">
        <f t="shared" si="175"/>
        <v>1663869.9</v>
      </c>
      <c r="H1024" s="131">
        <f t="shared" si="174"/>
        <v>10421080</v>
      </c>
    </row>
    <row r="1025" spans="1:8" x14ac:dyDescent="0.25">
      <c r="A1025" s="43" t="s">
        <v>2925</v>
      </c>
      <c r="B1025" s="81" t="s">
        <v>2910</v>
      </c>
      <c r="C1025" s="26" t="s">
        <v>37</v>
      </c>
      <c r="D1025" s="68">
        <v>9340100</v>
      </c>
      <c r="E1025" s="74">
        <v>0.05</v>
      </c>
      <c r="F1025" s="129">
        <f t="shared" si="172"/>
        <v>9807105</v>
      </c>
      <c r="G1025" s="130">
        <f t="shared" si="175"/>
        <v>1863349.95</v>
      </c>
      <c r="H1025" s="131">
        <f t="shared" si="174"/>
        <v>11670455</v>
      </c>
    </row>
    <row r="1026" spans="1:8" x14ac:dyDescent="0.25">
      <c r="A1026" s="43" t="s">
        <v>2926</v>
      </c>
      <c r="B1026" s="81" t="s">
        <v>2911</v>
      </c>
      <c r="C1026" s="26" t="s">
        <v>37</v>
      </c>
      <c r="D1026" s="68">
        <v>10430200</v>
      </c>
      <c r="E1026" s="74">
        <v>0.05</v>
      </c>
      <c r="F1026" s="129">
        <f t="shared" si="172"/>
        <v>10951710</v>
      </c>
      <c r="G1026" s="130">
        <f t="shared" si="175"/>
        <v>2080824.9000000001</v>
      </c>
      <c r="H1026" s="131">
        <f t="shared" si="174"/>
        <v>13032535</v>
      </c>
    </row>
    <row r="1027" spans="1:8" x14ac:dyDescent="0.25">
      <c r="A1027" s="43" t="s">
        <v>2927</v>
      </c>
      <c r="B1027" s="81" t="s">
        <v>2912</v>
      </c>
      <c r="C1027" s="26" t="s">
        <v>37</v>
      </c>
      <c r="D1027" s="68">
        <v>11445500</v>
      </c>
      <c r="E1027" s="74">
        <v>0.05</v>
      </c>
      <c r="F1027" s="129">
        <f t="shared" si="172"/>
        <v>12017775</v>
      </c>
      <c r="G1027" s="130">
        <f t="shared" si="175"/>
        <v>2283377.25</v>
      </c>
      <c r="H1027" s="131">
        <f t="shared" si="174"/>
        <v>14301152</v>
      </c>
    </row>
    <row r="1028" spans="1:8" x14ac:dyDescent="0.25">
      <c r="A1028" s="44" t="s">
        <v>962</v>
      </c>
      <c r="B1028" s="80" t="s">
        <v>2929</v>
      </c>
      <c r="C1028" s="14"/>
      <c r="D1028" s="1001"/>
      <c r="E1028" s="74"/>
      <c r="F1028" s="75"/>
      <c r="G1028" s="76"/>
      <c r="H1028" s="77"/>
    </row>
    <row r="1029" spans="1:8" x14ac:dyDescent="0.25">
      <c r="A1029" s="43" t="s">
        <v>963</v>
      </c>
      <c r="B1029" s="81" t="s">
        <v>2928</v>
      </c>
      <c r="C1029" s="26" t="s">
        <v>37</v>
      </c>
      <c r="D1029" s="68">
        <v>79200</v>
      </c>
      <c r="E1029" s="74">
        <v>0.05</v>
      </c>
      <c r="F1029" s="129">
        <f t="shared" ref="F1029:F1091" si="176">+D1029+D1029*E1029</f>
        <v>83160</v>
      </c>
      <c r="G1029" s="130">
        <f t="shared" ref="G1029:G1060" si="177">F1029*0.19</f>
        <v>15800.4</v>
      </c>
      <c r="H1029" s="131">
        <f t="shared" ref="H1029:H1091" si="178">ROUND((F1029+G1029),0)</f>
        <v>98960</v>
      </c>
    </row>
    <row r="1030" spans="1:8" x14ac:dyDescent="0.25">
      <c r="A1030" s="43" t="s">
        <v>964</v>
      </c>
      <c r="B1030" s="81" t="s">
        <v>2990</v>
      </c>
      <c r="C1030" s="26" t="s">
        <v>37</v>
      </c>
      <c r="D1030" s="68">
        <v>123200</v>
      </c>
      <c r="E1030" s="74">
        <v>0.05</v>
      </c>
      <c r="F1030" s="129">
        <f t="shared" si="176"/>
        <v>129360</v>
      </c>
      <c r="G1030" s="130">
        <f t="shared" si="177"/>
        <v>24578.400000000001</v>
      </c>
      <c r="H1030" s="131">
        <f t="shared" si="178"/>
        <v>153938</v>
      </c>
    </row>
    <row r="1031" spans="1:8" x14ac:dyDescent="0.25">
      <c r="A1031" s="43" t="s">
        <v>965</v>
      </c>
      <c r="B1031" s="81" t="s">
        <v>2991</v>
      </c>
      <c r="C1031" s="26" t="s">
        <v>37</v>
      </c>
      <c r="D1031" s="68">
        <v>140800</v>
      </c>
      <c r="E1031" s="74">
        <v>0.05</v>
      </c>
      <c r="F1031" s="129">
        <f t="shared" si="176"/>
        <v>147840</v>
      </c>
      <c r="G1031" s="130">
        <f t="shared" si="177"/>
        <v>28089.599999999999</v>
      </c>
      <c r="H1031" s="131">
        <f t="shared" si="178"/>
        <v>175930</v>
      </c>
    </row>
    <row r="1032" spans="1:8" x14ac:dyDescent="0.25">
      <c r="A1032" s="43" t="s">
        <v>2930</v>
      </c>
      <c r="B1032" s="81" t="s">
        <v>2992</v>
      </c>
      <c r="C1032" s="26" t="s">
        <v>37</v>
      </c>
      <c r="D1032" s="68">
        <v>149600</v>
      </c>
      <c r="E1032" s="74">
        <v>0.05</v>
      </c>
      <c r="F1032" s="129">
        <f t="shared" si="176"/>
        <v>157080</v>
      </c>
      <c r="G1032" s="130">
        <f t="shared" si="177"/>
        <v>29845.200000000001</v>
      </c>
      <c r="H1032" s="131">
        <f t="shared" si="178"/>
        <v>186925</v>
      </c>
    </row>
    <row r="1033" spans="1:8" x14ac:dyDescent="0.25">
      <c r="A1033" s="43" t="s">
        <v>2931</v>
      </c>
      <c r="B1033" s="81" t="s">
        <v>2993</v>
      </c>
      <c r="C1033" s="26" t="s">
        <v>37</v>
      </c>
      <c r="D1033" s="68">
        <v>201300</v>
      </c>
      <c r="E1033" s="74">
        <v>0.05</v>
      </c>
      <c r="F1033" s="129">
        <f t="shared" si="176"/>
        <v>211365</v>
      </c>
      <c r="G1033" s="130">
        <f t="shared" si="177"/>
        <v>40159.35</v>
      </c>
      <c r="H1033" s="131">
        <f t="shared" si="178"/>
        <v>251524</v>
      </c>
    </row>
    <row r="1034" spans="1:8" x14ac:dyDescent="0.25">
      <c r="A1034" s="43" t="s">
        <v>966</v>
      </c>
      <c r="B1034" s="81" t="s">
        <v>2994</v>
      </c>
      <c r="C1034" s="26" t="s">
        <v>37</v>
      </c>
      <c r="D1034" s="68">
        <v>245300</v>
      </c>
      <c r="E1034" s="74">
        <v>0.05</v>
      </c>
      <c r="F1034" s="129">
        <f t="shared" si="176"/>
        <v>257565</v>
      </c>
      <c r="G1034" s="130">
        <f t="shared" si="177"/>
        <v>48937.35</v>
      </c>
      <c r="H1034" s="131">
        <f t="shared" si="178"/>
        <v>306502</v>
      </c>
    </row>
    <row r="1035" spans="1:8" x14ac:dyDescent="0.25">
      <c r="A1035" s="43" t="s">
        <v>967</v>
      </c>
      <c r="B1035" s="81" t="s">
        <v>7771</v>
      </c>
      <c r="C1035" s="26" t="s">
        <v>37</v>
      </c>
      <c r="D1035" s="68">
        <v>289300</v>
      </c>
      <c r="E1035" s="74">
        <v>0.05</v>
      </c>
      <c r="F1035" s="129">
        <f t="shared" si="176"/>
        <v>303765</v>
      </c>
      <c r="G1035" s="130">
        <f t="shared" si="177"/>
        <v>57715.35</v>
      </c>
      <c r="H1035" s="131">
        <f t="shared" si="178"/>
        <v>361480</v>
      </c>
    </row>
    <row r="1036" spans="1:8" x14ac:dyDescent="0.25">
      <c r="A1036" s="43" t="s">
        <v>2932</v>
      </c>
      <c r="B1036" s="81" t="s">
        <v>7772</v>
      </c>
      <c r="C1036" s="26" t="s">
        <v>37</v>
      </c>
      <c r="D1036" s="68">
        <v>315700</v>
      </c>
      <c r="E1036" s="74">
        <v>0.05</v>
      </c>
      <c r="F1036" s="129">
        <f t="shared" si="176"/>
        <v>331485</v>
      </c>
      <c r="G1036" s="130">
        <f t="shared" si="177"/>
        <v>62982.15</v>
      </c>
      <c r="H1036" s="131">
        <f t="shared" si="178"/>
        <v>394467</v>
      </c>
    </row>
    <row r="1037" spans="1:8" x14ac:dyDescent="0.25">
      <c r="A1037" s="43" t="s">
        <v>968</v>
      </c>
      <c r="B1037" s="81" t="s">
        <v>7773</v>
      </c>
      <c r="C1037" s="26" t="s">
        <v>37</v>
      </c>
      <c r="D1037" s="68">
        <v>323400</v>
      </c>
      <c r="E1037" s="74">
        <v>0.05</v>
      </c>
      <c r="F1037" s="129">
        <f t="shared" si="176"/>
        <v>339570</v>
      </c>
      <c r="G1037" s="130">
        <f t="shared" si="177"/>
        <v>64518.3</v>
      </c>
      <c r="H1037" s="131">
        <f t="shared" si="178"/>
        <v>404088</v>
      </c>
    </row>
    <row r="1038" spans="1:8" x14ac:dyDescent="0.25">
      <c r="A1038" s="43" t="s">
        <v>969</v>
      </c>
      <c r="B1038" s="81" t="s">
        <v>7774</v>
      </c>
      <c r="C1038" s="26" t="s">
        <v>37</v>
      </c>
      <c r="D1038" s="68">
        <v>403700</v>
      </c>
      <c r="E1038" s="74">
        <v>0.05</v>
      </c>
      <c r="F1038" s="129">
        <f t="shared" si="176"/>
        <v>423885</v>
      </c>
      <c r="G1038" s="130">
        <f t="shared" si="177"/>
        <v>80538.149999999994</v>
      </c>
      <c r="H1038" s="131">
        <f t="shared" si="178"/>
        <v>504423</v>
      </c>
    </row>
    <row r="1039" spans="1:8" x14ac:dyDescent="0.25">
      <c r="A1039" s="43" t="s">
        <v>970</v>
      </c>
      <c r="B1039" s="81" t="s">
        <v>2999</v>
      </c>
      <c r="C1039" s="26" t="s">
        <v>37</v>
      </c>
      <c r="D1039" s="68">
        <v>493900</v>
      </c>
      <c r="E1039" s="74">
        <v>0.05</v>
      </c>
      <c r="F1039" s="129">
        <f t="shared" si="176"/>
        <v>518595</v>
      </c>
      <c r="G1039" s="130">
        <f t="shared" si="177"/>
        <v>98533.05</v>
      </c>
      <c r="H1039" s="131">
        <f t="shared" si="178"/>
        <v>617128</v>
      </c>
    </row>
    <row r="1040" spans="1:8" x14ac:dyDescent="0.25">
      <c r="A1040" s="43" t="s">
        <v>971</v>
      </c>
      <c r="B1040" s="81" t="s">
        <v>3000</v>
      </c>
      <c r="C1040" s="26" t="s">
        <v>37</v>
      </c>
      <c r="D1040" s="68">
        <v>566500</v>
      </c>
      <c r="E1040" s="74">
        <v>0.05</v>
      </c>
      <c r="F1040" s="129">
        <f t="shared" si="176"/>
        <v>594825</v>
      </c>
      <c r="G1040" s="130">
        <f t="shared" si="177"/>
        <v>113016.75</v>
      </c>
      <c r="H1040" s="131">
        <f t="shared" si="178"/>
        <v>707842</v>
      </c>
    </row>
    <row r="1041" spans="1:8" x14ac:dyDescent="0.25">
      <c r="A1041" s="43" t="s">
        <v>2933</v>
      </c>
      <c r="B1041" s="81" t="s">
        <v>3001</v>
      </c>
      <c r="C1041" s="26" t="s">
        <v>37</v>
      </c>
      <c r="D1041" s="68">
        <v>645700</v>
      </c>
      <c r="E1041" s="74">
        <v>0.05</v>
      </c>
      <c r="F1041" s="129">
        <f t="shared" si="176"/>
        <v>677985</v>
      </c>
      <c r="G1041" s="130">
        <f t="shared" si="177"/>
        <v>128817.15000000001</v>
      </c>
      <c r="H1041" s="131">
        <f t="shared" si="178"/>
        <v>806802</v>
      </c>
    </row>
    <row r="1042" spans="1:8" x14ac:dyDescent="0.25">
      <c r="A1042" s="43" t="s">
        <v>2934</v>
      </c>
      <c r="B1042" s="81" t="s">
        <v>7775</v>
      </c>
      <c r="C1042" s="26" t="s">
        <v>37</v>
      </c>
      <c r="D1042" s="68">
        <v>677600</v>
      </c>
      <c r="E1042" s="74">
        <v>0.05</v>
      </c>
      <c r="F1042" s="129">
        <f t="shared" si="176"/>
        <v>711480</v>
      </c>
      <c r="G1042" s="130">
        <f t="shared" si="177"/>
        <v>135181.20000000001</v>
      </c>
      <c r="H1042" s="131">
        <f t="shared" si="178"/>
        <v>846661</v>
      </c>
    </row>
    <row r="1043" spans="1:8" x14ac:dyDescent="0.25">
      <c r="A1043" s="43" t="s">
        <v>2935</v>
      </c>
      <c r="B1043" s="81" t="s">
        <v>3003</v>
      </c>
      <c r="C1043" s="26" t="s">
        <v>37</v>
      </c>
      <c r="D1043" s="68">
        <v>728200</v>
      </c>
      <c r="E1043" s="74">
        <v>0.05</v>
      </c>
      <c r="F1043" s="129">
        <f t="shared" si="176"/>
        <v>764610</v>
      </c>
      <c r="G1043" s="130">
        <f t="shared" si="177"/>
        <v>145275.9</v>
      </c>
      <c r="H1043" s="131">
        <f t="shared" si="178"/>
        <v>909886</v>
      </c>
    </row>
    <row r="1044" spans="1:8" x14ac:dyDescent="0.25">
      <c r="A1044" s="43" t="s">
        <v>2936</v>
      </c>
      <c r="B1044" s="81" t="s">
        <v>7256</v>
      </c>
      <c r="C1044" s="26" t="s">
        <v>37</v>
      </c>
      <c r="D1044" s="68">
        <v>931700</v>
      </c>
      <c r="E1044" s="74">
        <v>0.05</v>
      </c>
      <c r="F1044" s="129">
        <f t="shared" si="176"/>
        <v>978285</v>
      </c>
      <c r="G1044" s="130">
        <f t="shared" si="177"/>
        <v>185874.15</v>
      </c>
      <c r="H1044" s="131">
        <f t="shared" si="178"/>
        <v>1164159</v>
      </c>
    </row>
    <row r="1045" spans="1:8" x14ac:dyDescent="0.25">
      <c r="A1045" s="43" t="s">
        <v>2937</v>
      </c>
      <c r="B1045" s="81" t="s">
        <v>7257</v>
      </c>
      <c r="C1045" s="26" t="s">
        <v>37</v>
      </c>
      <c r="D1045" s="68">
        <v>888800</v>
      </c>
      <c r="E1045" s="74">
        <v>0.05</v>
      </c>
      <c r="F1045" s="129">
        <f t="shared" si="176"/>
        <v>933240</v>
      </c>
      <c r="G1045" s="130">
        <f t="shared" si="177"/>
        <v>177315.6</v>
      </c>
      <c r="H1045" s="131">
        <f t="shared" si="178"/>
        <v>1110556</v>
      </c>
    </row>
    <row r="1046" spans="1:8" x14ac:dyDescent="0.25">
      <c r="A1046" s="43" t="s">
        <v>2938</v>
      </c>
      <c r="B1046" s="81" t="s">
        <v>7258</v>
      </c>
      <c r="C1046" s="26" t="s">
        <v>37</v>
      </c>
      <c r="D1046" s="68">
        <v>920700</v>
      </c>
      <c r="E1046" s="74">
        <v>0.05</v>
      </c>
      <c r="F1046" s="129">
        <f t="shared" si="176"/>
        <v>966735</v>
      </c>
      <c r="G1046" s="130">
        <f t="shared" si="177"/>
        <v>183679.65</v>
      </c>
      <c r="H1046" s="131">
        <f t="shared" si="178"/>
        <v>1150415</v>
      </c>
    </row>
    <row r="1047" spans="1:8" x14ac:dyDescent="0.25">
      <c r="A1047" s="43" t="s">
        <v>2939</v>
      </c>
      <c r="B1047" s="81" t="s">
        <v>7776</v>
      </c>
      <c r="C1047" s="26" t="s">
        <v>37</v>
      </c>
      <c r="D1047" s="68">
        <v>969100</v>
      </c>
      <c r="E1047" s="74">
        <v>0.05</v>
      </c>
      <c r="F1047" s="129">
        <f t="shared" si="176"/>
        <v>1017555</v>
      </c>
      <c r="G1047" s="130">
        <f t="shared" si="177"/>
        <v>193335.45</v>
      </c>
      <c r="H1047" s="131">
        <f t="shared" si="178"/>
        <v>1210890</v>
      </c>
    </row>
    <row r="1048" spans="1:8" x14ac:dyDescent="0.25">
      <c r="A1048" s="43" t="s">
        <v>2940</v>
      </c>
      <c r="B1048" s="81" t="s">
        <v>7259</v>
      </c>
      <c r="C1048" s="26" t="s">
        <v>37</v>
      </c>
      <c r="D1048" s="68">
        <v>1130800</v>
      </c>
      <c r="E1048" s="74">
        <v>0.05</v>
      </c>
      <c r="F1048" s="129">
        <f t="shared" si="176"/>
        <v>1187340</v>
      </c>
      <c r="G1048" s="130">
        <f t="shared" si="177"/>
        <v>225594.6</v>
      </c>
      <c r="H1048" s="131">
        <f t="shared" si="178"/>
        <v>1412935</v>
      </c>
    </row>
    <row r="1049" spans="1:8" x14ac:dyDescent="0.25">
      <c r="A1049" s="43" t="s">
        <v>2941</v>
      </c>
      <c r="B1049" s="81" t="s">
        <v>7260</v>
      </c>
      <c r="C1049" s="26" t="s">
        <v>37</v>
      </c>
      <c r="D1049" s="68">
        <v>1432200</v>
      </c>
      <c r="E1049" s="74">
        <v>0.05</v>
      </c>
      <c r="F1049" s="129">
        <f t="shared" si="176"/>
        <v>1503810</v>
      </c>
      <c r="G1049" s="130">
        <f t="shared" si="177"/>
        <v>285723.90000000002</v>
      </c>
      <c r="H1049" s="131">
        <f t="shared" si="178"/>
        <v>1789534</v>
      </c>
    </row>
    <row r="1050" spans="1:8" x14ac:dyDescent="0.25">
      <c r="A1050" s="43" t="s">
        <v>2942</v>
      </c>
      <c r="B1050" s="81" t="s">
        <v>3010</v>
      </c>
      <c r="C1050" s="26" t="s">
        <v>37</v>
      </c>
      <c r="D1050" s="68">
        <v>1292500</v>
      </c>
      <c r="E1050" s="74">
        <v>0.05</v>
      </c>
      <c r="F1050" s="129">
        <f t="shared" si="176"/>
        <v>1357125</v>
      </c>
      <c r="G1050" s="130">
        <f t="shared" si="177"/>
        <v>257853.75</v>
      </c>
      <c r="H1050" s="131">
        <f t="shared" si="178"/>
        <v>1614979</v>
      </c>
    </row>
    <row r="1051" spans="1:8" x14ac:dyDescent="0.25">
      <c r="A1051" s="43" t="s">
        <v>2943</v>
      </c>
      <c r="B1051" s="81" t="s">
        <v>3011</v>
      </c>
      <c r="C1051" s="26" t="s">
        <v>37</v>
      </c>
      <c r="D1051" s="68">
        <v>1571900</v>
      </c>
      <c r="E1051" s="74">
        <v>0.05</v>
      </c>
      <c r="F1051" s="129">
        <f t="shared" si="176"/>
        <v>1650495</v>
      </c>
      <c r="G1051" s="130">
        <f t="shared" si="177"/>
        <v>313594.05</v>
      </c>
      <c r="H1051" s="131">
        <f t="shared" si="178"/>
        <v>1964089</v>
      </c>
    </row>
    <row r="1052" spans="1:8" x14ac:dyDescent="0.25">
      <c r="A1052" s="43" t="s">
        <v>2944</v>
      </c>
      <c r="B1052" s="81" t="s">
        <v>7777</v>
      </c>
      <c r="C1052" s="26" t="s">
        <v>37</v>
      </c>
      <c r="D1052" s="68">
        <v>1614800</v>
      </c>
      <c r="E1052" s="74">
        <v>0.05</v>
      </c>
      <c r="F1052" s="129">
        <f t="shared" si="176"/>
        <v>1695540</v>
      </c>
      <c r="G1052" s="130">
        <f t="shared" si="177"/>
        <v>322152.59999999998</v>
      </c>
      <c r="H1052" s="131">
        <f t="shared" si="178"/>
        <v>2017693</v>
      </c>
    </row>
    <row r="1053" spans="1:8" x14ac:dyDescent="0.25">
      <c r="A1053" s="43" t="s">
        <v>2945</v>
      </c>
      <c r="B1053" s="81" t="s">
        <v>3013</v>
      </c>
      <c r="C1053" s="26" t="s">
        <v>37</v>
      </c>
      <c r="D1053" s="68">
        <v>1776500</v>
      </c>
      <c r="E1053" s="74">
        <v>0.05</v>
      </c>
      <c r="F1053" s="129">
        <f t="shared" si="176"/>
        <v>1865325</v>
      </c>
      <c r="G1053" s="130">
        <f t="shared" si="177"/>
        <v>354411.75</v>
      </c>
      <c r="H1053" s="131">
        <f t="shared" si="178"/>
        <v>2219737</v>
      </c>
    </row>
    <row r="1054" spans="1:8" x14ac:dyDescent="0.25">
      <c r="A1054" s="43" t="s">
        <v>972</v>
      </c>
      <c r="B1054" s="81" t="s">
        <v>7261</v>
      </c>
      <c r="C1054" s="26" t="s">
        <v>37</v>
      </c>
      <c r="D1054" s="68">
        <v>2098800</v>
      </c>
      <c r="E1054" s="74">
        <v>0.05</v>
      </c>
      <c r="F1054" s="129">
        <f t="shared" si="176"/>
        <v>2203740</v>
      </c>
      <c r="G1054" s="130">
        <f t="shared" si="177"/>
        <v>418710.6</v>
      </c>
      <c r="H1054" s="131">
        <f t="shared" si="178"/>
        <v>2622451</v>
      </c>
    </row>
    <row r="1055" spans="1:8" x14ac:dyDescent="0.25">
      <c r="A1055" s="43" t="s">
        <v>973</v>
      </c>
      <c r="B1055" s="81" t="s">
        <v>3015</v>
      </c>
      <c r="C1055" s="26" t="s">
        <v>37</v>
      </c>
      <c r="D1055" s="68">
        <v>2422200</v>
      </c>
      <c r="E1055" s="74">
        <v>0.05</v>
      </c>
      <c r="F1055" s="129">
        <f t="shared" si="176"/>
        <v>2543310</v>
      </c>
      <c r="G1055" s="130">
        <f t="shared" si="177"/>
        <v>483228.9</v>
      </c>
      <c r="H1055" s="131">
        <f t="shared" si="178"/>
        <v>3026539</v>
      </c>
    </row>
    <row r="1056" spans="1:8" x14ac:dyDescent="0.25">
      <c r="A1056" s="43" t="s">
        <v>2946</v>
      </c>
      <c r="B1056" s="81" t="s">
        <v>7428</v>
      </c>
      <c r="C1056" s="26" t="s">
        <v>37</v>
      </c>
      <c r="D1056" s="68">
        <v>2018500</v>
      </c>
      <c r="E1056" s="74">
        <v>0.05</v>
      </c>
      <c r="F1056" s="129">
        <f t="shared" si="176"/>
        <v>2119425</v>
      </c>
      <c r="G1056" s="130">
        <f t="shared" si="177"/>
        <v>402690.75</v>
      </c>
      <c r="H1056" s="131">
        <f t="shared" si="178"/>
        <v>2522116</v>
      </c>
    </row>
    <row r="1057" spans="1:8" x14ac:dyDescent="0.25">
      <c r="A1057" s="43" t="s">
        <v>2947</v>
      </c>
      <c r="B1057" s="81" t="s">
        <v>7429</v>
      </c>
      <c r="C1057" s="26" t="s">
        <v>37</v>
      </c>
      <c r="D1057" s="68">
        <v>1998700</v>
      </c>
      <c r="E1057" s="74">
        <v>0.05</v>
      </c>
      <c r="F1057" s="129">
        <f t="shared" si="176"/>
        <v>2098635</v>
      </c>
      <c r="G1057" s="130">
        <f t="shared" si="177"/>
        <v>398740.65</v>
      </c>
      <c r="H1057" s="131">
        <f t="shared" si="178"/>
        <v>2497376</v>
      </c>
    </row>
    <row r="1058" spans="1:8" x14ac:dyDescent="0.25">
      <c r="A1058" s="43" t="s">
        <v>2948</v>
      </c>
      <c r="B1058" s="81" t="s">
        <v>7778</v>
      </c>
      <c r="C1058" s="26" t="s">
        <v>37</v>
      </c>
      <c r="D1058" s="68">
        <v>2095500</v>
      </c>
      <c r="E1058" s="74">
        <v>0.05</v>
      </c>
      <c r="F1058" s="129">
        <f t="shared" si="176"/>
        <v>2200275</v>
      </c>
      <c r="G1058" s="130">
        <f t="shared" si="177"/>
        <v>418052.25</v>
      </c>
      <c r="H1058" s="131">
        <f t="shared" si="178"/>
        <v>2618327</v>
      </c>
    </row>
    <row r="1059" spans="1:8" x14ac:dyDescent="0.25">
      <c r="A1059" s="43" t="s">
        <v>2949</v>
      </c>
      <c r="B1059" s="81" t="s">
        <v>7430</v>
      </c>
      <c r="C1059" s="26" t="s">
        <v>37</v>
      </c>
      <c r="D1059" s="68">
        <v>2522300</v>
      </c>
      <c r="E1059" s="74">
        <v>0.05</v>
      </c>
      <c r="F1059" s="129">
        <f t="shared" si="176"/>
        <v>2648415</v>
      </c>
      <c r="G1059" s="130">
        <f t="shared" si="177"/>
        <v>503198.85000000003</v>
      </c>
      <c r="H1059" s="131">
        <f t="shared" si="178"/>
        <v>3151614</v>
      </c>
    </row>
    <row r="1060" spans="1:8" x14ac:dyDescent="0.25">
      <c r="A1060" s="43" t="s">
        <v>2950</v>
      </c>
      <c r="B1060" s="81" t="s">
        <v>7431</v>
      </c>
      <c r="C1060" s="26" t="s">
        <v>37</v>
      </c>
      <c r="D1060" s="68">
        <v>2328700</v>
      </c>
      <c r="E1060" s="74">
        <v>0.05</v>
      </c>
      <c r="F1060" s="129">
        <f t="shared" si="176"/>
        <v>2445135</v>
      </c>
      <c r="G1060" s="130">
        <f t="shared" si="177"/>
        <v>464575.65</v>
      </c>
      <c r="H1060" s="131">
        <f t="shared" si="178"/>
        <v>2909711</v>
      </c>
    </row>
    <row r="1061" spans="1:8" x14ac:dyDescent="0.25">
      <c r="A1061" s="43" t="s">
        <v>2951</v>
      </c>
      <c r="B1061" s="81" t="s">
        <v>7432</v>
      </c>
      <c r="C1061" s="26" t="s">
        <v>37</v>
      </c>
      <c r="D1061" s="68">
        <v>2299000</v>
      </c>
      <c r="E1061" s="74">
        <v>0.05</v>
      </c>
      <c r="F1061" s="129">
        <f t="shared" si="176"/>
        <v>2413950</v>
      </c>
      <c r="G1061" s="130">
        <f t="shared" ref="G1061:G1091" si="179">F1061*0.19</f>
        <v>458650.5</v>
      </c>
      <c r="H1061" s="131">
        <f t="shared" si="178"/>
        <v>2872601</v>
      </c>
    </row>
    <row r="1062" spans="1:8" x14ac:dyDescent="0.25">
      <c r="A1062" s="43" t="s">
        <v>2952</v>
      </c>
      <c r="B1062" s="81" t="s">
        <v>7433</v>
      </c>
      <c r="C1062" s="26" t="s">
        <v>37</v>
      </c>
      <c r="D1062" s="68">
        <v>2677400</v>
      </c>
      <c r="E1062" s="74">
        <v>0.05</v>
      </c>
      <c r="F1062" s="129">
        <f t="shared" si="176"/>
        <v>2811270</v>
      </c>
      <c r="G1062" s="130">
        <f t="shared" si="179"/>
        <v>534141.30000000005</v>
      </c>
      <c r="H1062" s="131">
        <f t="shared" si="178"/>
        <v>3345411</v>
      </c>
    </row>
    <row r="1063" spans="1:8" x14ac:dyDescent="0.25">
      <c r="A1063" s="43" t="s">
        <v>2953</v>
      </c>
      <c r="B1063" s="81" t="s">
        <v>7583</v>
      </c>
      <c r="C1063" s="26" t="s">
        <v>37</v>
      </c>
      <c r="D1063" s="68">
        <v>2619100</v>
      </c>
      <c r="E1063" s="74">
        <v>0.05</v>
      </c>
      <c r="F1063" s="129">
        <f t="shared" si="176"/>
        <v>2750055</v>
      </c>
      <c r="G1063" s="130">
        <f t="shared" si="179"/>
        <v>522510.45</v>
      </c>
      <c r="H1063" s="131">
        <f t="shared" si="178"/>
        <v>3272565</v>
      </c>
    </row>
    <row r="1064" spans="1:8" x14ac:dyDescent="0.25">
      <c r="A1064" s="43" t="s">
        <v>2954</v>
      </c>
      <c r="B1064" s="81" t="s">
        <v>7779</v>
      </c>
      <c r="C1064" s="26" t="s">
        <v>37</v>
      </c>
      <c r="D1064" s="68">
        <v>2813800</v>
      </c>
      <c r="E1064" s="74">
        <v>0.05</v>
      </c>
      <c r="F1064" s="129">
        <f t="shared" si="176"/>
        <v>2954490</v>
      </c>
      <c r="G1064" s="130">
        <f t="shared" si="179"/>
        <v>561353.1</v>
      </c>
      <c r="H1064" s="131">
        <f t="shared" si="178"/>
        <v>3515843</v>
      </c>
    </row>
    <row r="1065" spans="1:8" x14ac:dyDescent="0.25">
      <c r="A1065" s="43" t="s">
        <v>2955</v>
      </c>
      <c r="B1065" s="81" t="s">
        <v>7584</v>
      </c>
      <c r="C1065" s="26" t="s">
        <v>37</v>
      </c>
      <c r="D1065" s="68">
        <v>2872100</v>
      </c>
      <c r="E1065" s="74">
        <v>0.05</v>
      </c>
      <c r="F1065" s="129">
        <f t="shared" si="176"/>
        <v>3015705</v>
      </c>
      <c r="G1065" s="130">
        <f t="shared" si="179"/>
        <v>572983.94999999995</v>
      </c>
      <c r="H1065" s="131">
        <f t="shared" si="178"/>
        <v>3588689</v>
      </c>
    </row>
    <row r="1066" spans="1:8" x14ac:dyDescent="0.25">
      <c r="A1066" s="43" t="s">
        <v>2956</v>
      </c>
      <c r="B1066" s="81" t="s">
        <v>7585</v>
      </c>
      <c r="C1066" s="26" t="s">
        <v>37</v>
      </c>
      <c r="D1066" s="68">
        <v>2654300</v>
      </c>
      <c r="E1066" s="74">
        <v>0.05</v>
      </c>
      <c r="F1066" s="129">
        <f t="shared" si="176"/>
        <v>2787015</v>
      </c>
      <c r="G1066" s="130">
        <f t="shared" si="179"/>
        <v>529532.85</v>
      </c>
      <c r="H1066" s="131">
        <f t="shared" si="178"/>
        <v>3316548</v>
      </c>
    </row>
    <row r="1067" spans="1:8" x14ac:dyDescent="0.25">
      <c r="A1067" s="43" t="s">
        <v>2957</v>
      </c>
      <c r="B1067" s="81" t="s">
        <v>7586</v>
      </c>
      <c r="C1067" s="26" t="s">
        <v>37</v>
      </c>
      <c r="D1067" s="68">
        <v>3007400</v>
      </c>
      <c r="E1067" s="74">
        <v>0.05</v>
      </c>
      <c r="F1067" s="129">
        <f t="shared" si="176"/>
        <v>3157770</v>
      </c>
      <c r="G1067" s="130">
        <f t="shared" si="179"/>
        <v>599976.30000000005</v>
      </c>
      <c r="H1067" s="131">
        <f t="shared" si="178"/>
        <v>3757746</v>
      </c>
    </row>
    <row r="1068" spans="1:8" x14ac:dyDescent="0.25">
      <c r="A1068" s="43" t="s">
        <v>2958</v>
      </c>
      <c r="B1068" s="81" t="s">
        <v>7587</v>
      </c>
      <c r="C1068" s="26" t="s">
        <v>37</v>
      </c>
      <c r="D1068" s="68">
        <v>3212000</v>
      </c>
      <c r="E1068" s="74">
        <v>0.05</v>
      </c>
      <c r="F1068" s="129">
        <f t="shared" si="176"/>
        <v>3372600</v>
      </c>
      <c r="G1068" s="130">
        <f t="shared" si="179"/>
        <v>640794</v>
      </c>
      <c r="H1068" s="131">
        <f t="shared" si="178"/>
        <v>4013394</v>
      </c>
    </row>
    <row r="1069" spans="1:8" x14ac:dyDescent="0.25">
      <c r="A1069" s="43" t="s">
        <v>2959</v>
      </c>
      <c r="B1069" s="81" t="s">
        <v>7588</v>
      </c>
      <c r="C1069" s="26" t="s">
        <v>37</v>
      </c>
      <c r="D1069" s="68">
        <v>3570600</v>
      </c>
      <c r="E1069" s="74">
        <v>0.05</v>
      </c>
      <c r="F1069" s="129">
        <f t="shared" si="176"/>
        <v>3749130</v>
      </c>
      <c r="G1069" s="130">
        <f t="shared" si="179"/>
        <v>712334.7</v>
      </c>
      <c r="H1069" s="131">
        <f t="shared" si="178"/>
        <v>4461465</v>
      </c>
    </row>
    <row r="1070" spans="1:8" x14ac:dyDescent="0.25">
      <c r="A1070" s="43" t="s">
        <v>2960</v>
      </c>
      <c r="B1070" s="81" t="s">
        <v>7780</v>
      </c>
      <c r="C1070" s="26" t="s">
        <v>37</v>
      </c>
      <c r="D1070" s="68">
        <v>4992900</v>
      </c>
      <c r="E1070" s="74">
        <v>0.05</v>
      </c>
      <c r="F1070" s="129">
        <f t="shared" si="176"/>
        <v>5242545</v>
      </c>
      <c r="G1070" s="130">
        <f t="shared" si="179"/>
        <v>996083.55</v>
      </c>
      <c r="H1070" s="131">
        <f t="shared" si="178"/>
        <v>6238629</v>
      </c>
    </row>
    <row r="1071" spans="1:8" x14ac:dyDescent="0.25">
      <c r="A1071" s="43" t="s">
        <v>2961</v>
      </c>
      <c r="B1071" s="81" t="s">
        <v>3028</v>
      </c>
      <c r="C1071" s="26" t="s">
        <v>37</v>
      </c>
      <c r="D1071" s="68">
        <v>5199700</v>
      </c>
      <c r="E1071" s="74">
        <v>0.05</v>
      </c>
      <c r="F1071" s="129">
        <f t="shared" si="176"/>
        <v>5459685</v>
      </c>
      <c r="G1071" s="130">
        <f t="shared" si="179"/>
        <v>1037340.15</v>
      </c>
      <c r="H1071" s="131">
        <f t="shared" si="178"/>
        <v>6497025</v>
      </c>
    </row>
    <row r="1072" spans="1:8" x14ac:dyDescent="0.25">
      <c r="A1072" s="43" t="s">
        <v>2962</v>
      </c>
      <c r="B1072" s="81" t="s">
        <v>7262</v>
      </c>
      <c r="C1072" s="26" t="s">
        <v>37</v>
      </c>
      <c r="D1072" s="68">
        <v>5361400</v>
      </c>
      <c r="E1072" s="74">
        <v>0.05</v>
      </c>
      <c r="F1072" s="129">
        <f t="shared" si="176"/>
        <v>5629470</v>
      </c>
      <c r="G1072" s="130">
        <f t="shared" si="179"/>
        <v>1069599.3</v>
      </c>
      <c r="H1072" s="131">
        <f t="shared" si="178"/>
        <v>6699069</v>
      </c>
    </row>
    <row r="1073" spans="1:8" x14ac:dyDescent="0.25">
      <c r="A1073" s="43" t="s">
        <v>2963</v>
      </c>
      <c r="B1073" s="81" t="s">
        <v>3030</v>
      </c>
      <c r="C1073" s="26" t="s">
        <v>37</v>
      </c>
      <c r="D1073" s="68">
        <v>5550600</v>
      </c>
      <c r="E1073" s="74">
        <v>0.05</v>
      </c>
      <c r="F1073" s="129">
        <f t="shared" si="176"/>
        <v>5828130</v>
      </c>
      <c r="G1073" s="130">
        <f t="shared" si="179"/>
        <v>1107344.7</v>
      </c>
      <c r="H1073" s="131">
        <f t="shared" si="178"/>
        <v>6935475</v>
      </c>
    </row>
    <row r="1074" spans="1:8" x14ac:dyDescent="0.25">
      <c r="A1074" s="43" t="s">
        <v>2964</v>
      </c>
      <c r="B1074" s="81" t="s">
        <v>7434</v>
      </c>
      <c r="C1074" s="26" t="s">
        <v>37</v>
      </c>
      <c r="D1074" s="68">
        <v>5783800</v>
      </c>
      <c r="E1074" s="74">
        <v>0.05</v>
      </c>
      <c r="F1074" s="129">
        <f t="shared" si="176"/>
        <v>6072990</v>
      </c>
      <c r="G1074" s="130">
        <f t="shared" si="179"/>
        <v>1153868.1000000001</v>
      </c>
      <c r="H1074" s="131">
        <f t="shared" si="178"/>
        <v>7226858</v>
      </c>
    </row>
    <row r="1075" spans="1:8" x14ac:dyDescent="0.25">
      <c r="A1075" s="43" t="s">
        <v>2965</v>
      </c>
      <c r="B1075" s="81" t="s">
        <v>7589</v>
      </c>
      <c r="C1075" s="26" t="s">
        <v>37</v>
      </c>
      <c r="D1075" s="68">
        <v>6268900</v>
      </c>
      <c r="E1075" s="74">
        <v>0.05</v>
      </c>
      <c r="F1075" s="129">
        <f t="shared" si="176"/>
        <v>6582345</v>
      </c>
      <c r="G1075" s="130">
        <f t="shared" si="179"/>
        <v>1250645.55</v>
      </c>
      <c r="H1075" s="131">
        <f t="shared" si="178"/>
        <v>7832991</v>
      </c>
    </row>
    <row r="1076" spans="1:8" x14ac:dyDescent="0.25">
      <c r="A1076" s="43" t="s">
        <v>2966</v>
      </c>
      <c r="B1076" s="81" t="s">
        <v>3033</v>
      </c>
      <c r="C1076" s="26" t="s">
        <v>37</v>
      </c>
      <c r="D1076" s="68">
        <v>6670400</v>
      </c>
      <c r="E1076" s="74">
        <v>0.05</v>
      </c>
      <c r="F1076" s="129">
        <f t="shared" si="176"/>
        <v>7003920</v>
      </c>
      <c r="G1076" s="130">
        <f t="shared" si="179"/>
        <v>1330744.8</v>
      </c>
      <c r="H1076" s="131">
        <f t="shared" si="178"/>
        <v>8334665</v>
      </c>
    </row>
    <row r="1077" spans="1:8" x14ac:dyDescent="0.25">
      <c r="A1077" s="43" t="s">
        <v>2967</v>
      </c>
      <c r="B1077" s="81" t="s">
        <v>3034</v>
      </c>
      <c r="C1077" s="26" t="s">
        <v>37</v>
      </c>
      <c r="D1077" s="68">
        <v>5404300</v>
      </c>
      <c r="E1077" s="74">
        <v>0.05</v>
      </c>
      <c r="F1077" s="129">
        <f t="shared" si="176"/>
        <v>5674515</v>
      </c>
      <c r="G1077" s="130">
        <f t="shared" si="179"/>
        <v>1078157.8500000001</v>
      </c>
      <c r="H1077" s="131">
        <f t="shared" si="178"/>
        <v>6752673</v>
      </c>
    </row>
    <row r="1078" spans="1:8" x14ac:dyDescent="0.25">
      <c r="A1078" s="43" t="s">
        <v>2968</v>
      </c>
      <c r="B1078" s="81" t="s">
        <v>7263</v>
      </c>
      <c r="C1078" s="26" t="s">
        <v>37</v>
      </c>
      <c r="D1078" s="68">
        <v>5473600</v>
      </c>
      <c r="E1078" s="74">
        <v>0.05</v>
      </c>
      <c r="F1078" s="129">
        <f t="shared" si="176"/>
        <v>5747280</v>
      </c>
      <c r="G1078" s="130">
        <f t="shared" si="179"/>
        <v>1091983.2</v>
      </c>
      <c r="H1078" s="131">
        <f t="shared" si="178"/>
        <v>6839263</v>
      </c>
    </row>
    <row r="1079" spans="1:8" x14ac:dyDescent="0.25">
      <c r="A1079" s="43" t="s">
        <v>2969</v>
      </c>
      <c r="B1079" s="81" t="s">
        <v>3036</v>
      </c>
      <c r="C1079" s="26" t="s">
        <v>37</v>
      </c>
      <c r="D1079" s="68">
        <v>6121500</v>
      </c>
      <c r="E1079" s="74">
        <v>0.05</v>
      </c>
      <c r="F1079" s="129">
        <f t="shared" si="176"/>
        <v>6427575</v>
      </c>
      <c r="G1079" s="130">
        <f t="shared" si="179"/>
        <v>1221239.25</v>
      </c>
      <c r="H1079" s="131">
        <f t="shared" si="178"/>
        <v>7648814</v>
      </c>
    </row>
    <row r="1080" spans="1:8" x14ac:dyDescent="0.25">
      <c r="A1080" s="43" t="s">
        <v>2970</v>
      </c>
      <c r="B1080" s="81" t="s">
        <v>7435</v>
      </c>
      <c r="C1080" s="26" t="s">
        <v>37</v>
      </c>
      <c r="D1080" s="68">
        <v>6437200</v>
      </c>
      <c r="E1080" s="74">
        <v>0.05</v>
      </c>
      <c r="F1080" s="129">
        <f t="shared" si="176"/>
        <v>6759060</v>
      </c>
      <c r="G1080" s="130">
        <f t="shared" si="179"/>
        <v>1284221.3999999999</v>
      </c>
      <c r="H1080" s="131">
        <f t="shared" si="178"/>
        <v>8043281</v>
      </c>
    </row>
    <row r="1081" spans="1:8" x14ac:dyDescent="0.25">
      <c r="A1081" s="43" t="s">
        <v>2971</v>
      </c>
      <c r="B1081" s="81" t="s">
        <v>7590</v>
      </c>
      <c r="C1081" s="26" t="s">
        <v>37</v>
      </c>
      <c r="D1081" s="68">
        <v>7186300</v>
      </c>
      <c r="E1081" s="74">
        <v>0.05</v>
      </c>
      <c r="F1081" s="129">
        <f t="shared" si="176"/>
        <v>7545615</v>
      </c>
      <c r="G1081" s="130">
        <f t="shared" si="179"/>
        <v>1433666.85</v>
      </c>
      <c r="H1081" s="131">
        <f t="shared" si="178"/>
        <v>8979282</v>
      </c>
    </row>
    <row r="1082" spans="1:8" x14ac:dyDescent="0.25">
      <c r="A1082" s="43" t="s">
        <v>2972</v>
      </c>
      <c r="B1082" s="81" t="s">
        <v>3039</v>
      </c>
      <c r="C1082" s="26" t="s">
        <v>37</v>
      </c>
      <c r="D1082" s="68">
        <v>7186300</v>
      </c>
      <c r="E1082" s="74">
        <v>0.05</v>
      </c>
      <c r="F1082" s="129">
        <f t="shared" si="176"/>
        <v>7545615</v>
      </c>
      <c r="G1082" s="130">
        <f t="shared" si="179"/>
        <v>1433666.85</v>
      </c>
      <c r="H1082" s="131">
        <f t="shared" si="178"/>
        <v>8979282</v>
      </c>
    </row>
    <row r="1083" spans="1:8" x14ac:dyDescent="0.25">
      <c r="A1083" s="43" t="s">
        <v>2973</v>
      </c>
      <c r="B1083" s="81" t="s">
        <v>3040</v>
      </c>
      <c r="C1083" s="26" t="s">
        <v>37</v>
      </c>
      <c r="D1083" s="68">
        <v>8125700</v>
      </c>
      <c r="E1083" s="74">
        <v>0.05</v>
      </c>
      <c r="F1083" s="129">
        <f t="shared" si="176"/>
        <v>8531985</v>
      </c>
      <c r="G1083" s="130">
        <f t="shared" si="179"/>
        <v>1621077.15</v>
      </c>
      <c r="H1083" s="131">
        <f t="shared" si="178"/>
        <v>10153062</v>
      </c>
    </row>
    <row r="1084" spans="1:8" x14ac:dyDescent="0.25">
      <c r="A1084" s="43" t="s">
        <v>2974</v>
      </c>
      <c r="B1084" s="81" t="s">
        <v>3041</v>
      </c>
      <c r="C1084" s="26" t="s">
        <v>37</v>
      </c>
      <c r="D1084" s="1001"/>
      <c r="E1084" s="74">
        <v>0.05</v>
      </c>
      <c r="F1084" s="129">
        <f t="shared" si="176"/>
        <v>0</v>
      </c>
      <c r="G1084" s="130">
        <f t="shared" si="179"/>
        <v>0</v>
      </c>
      <c r="H1084" s="131">
        <f t="shared" si="178"/>
        <v>0</v>
      </c>
    </row>
    <row r="1085" spans="1:8" x14ac:dyDescent="0.25">
      <c r="A1085" s="43" t="s">
        <v>2975</v>
      </c>
      <c r="B1085" s="81" t="s">
        <v>7264</v>
      </c>
      <c r="C1085" s="26" t="s">
        <v>37</v>
      </c>
      <c r="D1085" s="1001"/>
      <c r="E1085" s="74">
        <v>0.05</v>
      </c>
      <c r="F1085" s="129">
        <f t="shared" si="176"/>
        <v>0</v>
      </c>
      <c r="G1085" s="130">
        <f t="shared" si="179"/>
        <v>0</v>
      </c>
      <c r="H1085" s="131">
        <f t="shared" si="178"/>
        <v>0</v>
      </c>
    </row>
    <row r="1086" spans="1:8" x14ac:dyDescent="0.25">
      <c r="A1086" s="43" t="s">
        <v>2976</v>
      </c>
      <c r="B1086" s="81" t="s">
        <v>3044</v>
      </c>
      <c r="C1086" s="26" t="s">
        <v>37</v>
      </c>
      <c r="D1086" s="1001"/>
      <c r="E1086" s="74">
        <v>0.05</v>
      </c>
      <c r="F1086" s="129">
        <f t="shared" si="176"/>
        <v>0</v>
      </c>
      <c r="G1086" s="130">
        <f t="shared" si="179"/>
        <v>0</v>
      </c>
      <c r="H1086" s="131">
        <f t="shared" si="178"/>
        <v>0</v>
      </c>
    </row>
    <row r="1087" spans="1:8" x14ac:dyDescent="0.25">
      <c r="A1087" s="43" t="s">
        <v>2977</v>
      </c>
      <c r="B1087" s="81" t="s">
        <v>7436</v>
      </c>
      <c r="C1087" s="26" t="s">
        <v>37</v>
      </c>
      <c r="D1087" s="1001"/>
      <c r="E1087" s="74">
        <v>0.05</v>
      </c>
      <c r="F1087" s="129">
        <f t="shared" si="176"/>
        <v>0</v>
      </c>
      <c r="G1087" s="130">
        <f t="shared" si="179"/>
        <v>0</v>
      </c>
      <c r="H1087" s="131">
        <f t="shared" si="178"/>
        <v>0</v>
      </c>
    </row>
    <row r="1088" spans="1:8" x14ac:dyDescent="0.25">
      <c r="A1088" s="43" t="s">
        <v>2978</v>
      </c>
      <c r="B1088" s="81" t="s">
        <v>7591</v>
      </c>
      <c r="C1088" s="26" t="s">
        <v>37</v>
      </c>
      <c r="D1088" s="1001"/>
      <c r="E1088" s="74">
        <v>0.05</v>
      </c>
      <c r="F1088" s="129">
        <f t="shared" si="176"/>
        <v>0</v>
      </c>
      <c r="G1088" s="130">
        <f t="shared" si="179"/>
        <v>0</v>
      </c>
      <c r="H1088" s="131">
        <f t="shared" si="178"/>
        <v>0</v>
      </c>
    </row>
    <row r="1089" spans="1:8" x14ac:dyDescent="0.25">
      <c r="A1089" s="43" t="s">
        <v>2979</v>
      </c>
      <c r="B1089" s="81" t="s">
        <v>3047</v>
      </c>
      <c r="C1089" s="26" t="s">
        <v>37</v>
      </c>
      <c r="D1089" s="1001"/>
      <c r="E1089" s="74">
        <v>0.05</v>
      </c>
      <c r="F1089" s="129">
        <f t="shared" si="176"/>
        <v>0</v>
      </c>
      <c r="G1089" s="130">
        <f t="shared" si="179"/>
        <v>0</v>
      </c>
      <c r="H1089" s="131">
        <f t="shared" si="178"/>
        <v>0</v>
      </c>
    </row>
    <row r="1090" spans="1:8" x14ac:dyDescent="0.25">
      <c r="A1090" s="43" t="s">
        <v>2980</v>
      </c>
      <c r="B1090" s="81" t="s">
        <v>3043</v>
      </c>
      <c r="C1090" s="26" t="s">
        <v>37</v>
      </c>
      <c r="D1090" s="1001"/>
      <c r="E1090" s="74">
        <v>0.05</v>
      </c>
      <c r="F1090" s="129">
        <f t="shared" si="176"/>
        <v>0</v>
      </c>
      <c r="G1090" s="130">
        <f t="shared" si="179"/>
        <v>0</v>
      </c>
      <c r="H1090" s="131">
        <f t="shared" si="178"/>
        <v>0</v>
      </c>
    </row>
    <row r="1091" spans="1:8" x14ac:dyDescent="0.25">
      <c r="A1091" s="43" t="s">
        <v>2981</v>
      </c>
      <c r="B1091" s="81" t="s">
        <v>2986</v>
      </c>
      <c r="C1091" s="26" t="s">
        <v>37</v>
      </c>
      <c r="D1091" s="1001"/>
      <c r="E1091" s="74">
        <v>0.05</v>
      </c>
      <c r="F1091" s="129">
        <f t="shared" si="176"/>
        <v>0</v>
      </c>
      <c r="G1091" s="130">
        <f t="shared" si="179"/>
        <v>0</v>
      </c>
      <c r="H1091" s="131">
        <f t="shared" si="178"/>
        <v>0</v>
      </c>
    </row>
    <row r="1092" spans="1:8" x14ac:dyDescent="0.25">
      <c r="A1092" s="44" t="s">
        <v>2983</v>
      </c>
      <c r="B1092" s="80" t="s">
        <v>2984</v>
      </c>
      <c r="C1092" s="14"/>
      <c r="D1092" s="1001"/>
      <c r="E1092" s="74"/>
      <c r="F1092" s="75"/>
      <c r="G1092" s="76"/>
      <c r="H1092" s="77"/>
    </row>
    <row r="1093" spans="1:8" x14ac:dyDescent="0.25">
      <c r="A1093" s="43" t="s">
        <v>2982</v>
      </c>
      <c r="B1093" s="81" t="s">
        <v>2985</v>
      </c>
      <c r="C1093" s="26" t="s">
        <v>37</v>
      </c>
      <c r="D1093" s="68">
        <v>167200</v>
      </c>
      <c r="E1093" s="74">
        <v>0.05</v>
      </c>
      <c r="F1093" s="129">
        <f t="shared" ref="F1093:F1155" si="180">+D1093+D1093*E1093</f>
        <v>175560</v>
      </c>
      <c r="G1093" s="130">
        <f t="shared" ref="G1093:G1124" si="181">F1093*0.19</f>
        <v>33356.400000000001</v>
      </c>
      <c r="H1093" s="131">
        <f t="shared" ref="H1093:H1155" si="182">ROUND((F1093+G1093),0)</f>
        <v>208916</v>
      </c>
    </row>
    <row r="1094" spans="1:8" x14ac:dyDescent="0.25">
      <c r="A1094" s="43" t="s">
        <v>3084</v>
      </c>
      <c r="B1094" s="81" t="s">
        <v>3048</v>
      </c>
      <c r="C1094" s="26" t="s">
        <v>37</v>
      </c>
      <c r="D1094" s="68">
        <v>227700</v>
      </c>
      <c r="E1094" s="74">
        <v>0.05</v>
      </c>
      <c r="F1094" s="129">
        <f t="shared" si="180"/>
        <v>239085</v>
      </c>
      <c r="G1094" s="130">
        <f t="shared" si="181"/>
        <v>45426.15</v>
      </c>
      <c r="H1094" s="131">
        <f t="shared" si="182"/>
        <v>284511</v>
      </c>
    </row>
    <row r="1095" spans="1:8" x14ac:dyDescent="0.25">
      <c r="A1095" s="43" t="s">
        <v>3085</v>
      </c>
      <c r="B1095" s="81" t="s">
        <v>3049</v>
      </c>
      <c r="C1095" s="26" t="s">
        <v>37</v>
      </c>
      <c r="D1095" s="68">
        <v>280500</v>
      </c>
      <c r="E1095" s="74">
        <v>0.05</v>
      </c>
      <c r="F1095" s="129">
        <f t="shared" si="180"/>
        <v>294525</v>
      </c>
      <c r="G1095" s="130">
        <f t="shared" si="181"/>
        <v>55959.75</v>
      </c>
      <c r="H1095" s="131">
        <f t="shared" si="182"/>
        <v>350485</v>
      </c>
    </row>
    <row r="1096" spans="1:8" x14ac:dyDescent="0.25">
      <c r="A1096" s="43" t="s">
        <v>3086</v>
      </c>
      <c r="B1096" s="81" t="s">
        <v>3050</v>
      </c>
      <c r="C1096" s="26" t="s">
        <v>37</v>
      </c>
      <c r="D1096" s="68">
        <v>377300</v>
      </c>
      <c r="E1096" s="74">
        <v>0.05</v>
      </c>
      <c r="F1096" s="129">
        <f t="shared" si="180"/>
        <v>396165</v>
      </c>
      <c r="G1096" s="130">
        <f t="shared" si="181"/>
        <v>75271.350000000006</v>
      </c>
      <c r="H1096" s="131">
        <f t="shared" si="182"/>
        <v>471436</v>
      </c>
    </row>
    <row r="1097" spans="1:8" x14ac:dyDescent="0.25">
      <c r="A1097" s="43" t="s">
        <v>3087</v>
      </c>
      <c r="B1097" s="81" t="s">
        <v>3051</v>
      </c>
      <c r="C1097" s="26" t="s">
        <v>37</v>
      </c>
      <c r="D1097" s="68">
        <v>473000</v>
      </c>
      <c r="E1097" s="74">
        <v>0.05</v>
      </c>
      <c r="F1097" s="129">
        <f t="shared" si="180"/>
        <v>496650</v>
      </c>
      <c r="G1097" s="130">
        <f t="shared" si="181"/>
        <v>94363.5</v>
      </c>
      <c r="H1097" s="131">
        <f t="shared" si="182"/>
        <v>591014</v>
      </c>
    </row>
    <row r="1098" spans="1:8" x14ac:dyDescent="0.25">
      <c r="A1098" s="43" t="s">
        <v>3088</v>
      </c>
      <c r="B1098" s="81" t="s">
        <v>3052</v>
      </c>
      <c r="C1098" s="26" t="s">
        <v>37</v>
      </c>
      <c r="D1098" s="68">
        <v>473000</v>
      </c>
      <c r="E1098" s="74">
        <v>0.05</v>
      </c>
      <c r="F1098" s="129">
        <f t="shared" si="180"/>
        <v>496650</v>
      </c>
      <c r="G1098" s="130">
        <f t="shared" si="181"/>
        <v>94363.5</v>
      </c>
      <c r="H1098" s="131">
        <f t="shared" si="182"/>
        <v>591014</v>
      </c>
    </row>
    <row r="1099" spans="1:8" x14ac:dyDescent="0.25">
      <c r="A1099" s="43" t="s">
        <v>3089</v>
      </c>
      <c r="B1099" s="81" t="s">
        <v>7781</v>
      </c>
      <c r="C1099" s="26" t="s">
        <v>37</v>
      </c>
      <c r="D1099" s="68">
        <v>569800</v>
      </c>
      <c r="E1099" s="74">
        <v>0.05</v>
      </c>
      <c r="F1099" s="129">
        <f t="shared" si="180"/>
        <v>598290</v>
      </c>
      <c r="G1099" s="130">
        <f t="shared" si="181"/>
        <v>113675.1</v>
      </c>
      <c r="H1099" s="131">
        <f t="shared" si="182"/>
        <v>711965</v>
      </c>
    </row>
    <row r="1100" spans="1:8" x14ac:dyDescent="0.25">
      <c r="A1100" s="43" t="s">
        <v>3090</v>
      </c>
      <c r="B1100" s="81" t="s">
        <v>7782</v>
      </c>
      <c r="C1100" s="26" t="s">
        <v>37</v>
      </c>
      <c r="D1100" s="68">
        <v>603900</v>
      </c>
      <c r="E1100" s="74">
        <v>0.05</v>
      </c>
      <c r="F1100" s="129">
        <f t="shared" si="180"/>
        <v>634095</v>
      </c>
      <c r="G1100" s="130">
        <f t="shared" si="181"/>
        <v>120478.05</v>
      </c>
      <c r="H1100" s="131">
        <f t="shared" si="182"/>
        <v>754573</v>
      </c>
    </row>
    <row r="1101" spans="1:8" x14ac:dyDescent="0.25">
      <c r="A1101" s="43" t="s">
        <v>3091</v>
      </c>
      <c r="B1101" s="81" t="s">
        <v>7783</v>
      </c>
      <c r="C1101" s="26" t="s">
        <v>37</v>
      </c>
      <c r="D1101" s="68">
        <v>665500</v>
      </c>
      <c r="E1101" s="74">
        <v>0.05</v>
      </c>
      <c r="F1101" s="129">
        <f t="shared" si="180"/>
        <v>698775</v>
      </c>
      <c r="G1101" s="130">
        <f t="shared" si="181"/>
        <v>132767.25</v>
      </c>
      <c r="H1101" s="131">
        <f t="shared" si="182"/>
        <v>831542</v>
      </c>
    </row>
    <row r="1102" spans="1:8" x14ac:dyDescent="0.25">
      <c r="A1102" s="43" t="s">
        <v>3092</v>
      </c>
      <c r="B1102" s="81" t="s">
        <v>7784</v>
      </c>
      <c r="C1102" s="26" t="s">
        <v>37</v>
      </c>
      <c r="D1102" s="68">
        <v>683100</v>
      </c>
      <c r="E1102" s="74">
        <v>0.05</v>
      </c>
      <c r="F1102" s="129">
        <f t="shared" si="180"/>
        <v>717255</v>
      </c>
      <c r="G1102" s="130">
        <f t="shared" si="181"/>
        <v>136278.45000000001</v>
      </c>
      <c r="H1102" s="131">
        <f t="shared" si="182"/>
        <v>853533</v>
      </c>
    </row>
    <row r="1103" spans="1:8" x14ac:dyDescent="0.25">
      <c r="A1103" s="43" t="s">
        <v>3093</v>
      </c>
      <c r="B1103" s="81" t="s">
        <v>3057</v>
      </c>
      <c r="C1103" s="26" t="s">
        <v>37</v>
      </c>
      <c r="D1103" s="68">
        <v>875600</v>
      </c>
      <c r="E1103" s="74">
        <v>0.05</v>
      </c>
      <c r="F1103" s="129">
        <f t="shared" si="180"/>
        <v>919380</v>
      </c>
      <c r="G1103" s="130">
        <f t="shared" si="181"/>
        <v>174682.2</v>
      </c>
      <c r="H1103" s="131">
        <f t="shared" si="182"/>
        <v>1094062</v>
      </c>
    </row>
    <row r="1104" spans="1:8" x14ac:dyDescent="0.25">
      <c r="A1104" s="43" t="s">
        <v>3094</v>
      </c>
      <c r="B1104" s="81" t="s">
        <v>3058</v>
      </c>
      <c r="C1104" s="26" t="s">
        <v>37</v>
      </c>
      <c r="D1104" s="68">
        <v>946000</v>
      </c>
      <c r="E1104" s="74">
        <v>0.05</v>
      </c>
      <c r="F1104" s="129">
        <f t="shared" si="180"/>
        <v>993300</v>
      </c>
      <c r="G1104" s="130">
        <f t="shared" si="181"/>
        <v>188727</v>
      </c>
      <c r="H1104" s="131">
        <f t="shared" si="182"/>
        <v>1182027</v>
      </c>
    </row>
    <row r="1105" spans="1:8" x14ac:dyDescent="0.25">
      <c r="A1105" s="43" t="s">
        <v>3095</v>
      </c>
      <c r="B1105" s="81" t="s">
        <v>3059</v>
      </c>
      <c r="C1105" s="26" t="s">
        <v>37</v>
      </c>
      <c r="D1105" s="68">
        <v>1015300</v>
      </c>
      <c r="E1105" s="74">
        <v>0.05</v>
      </c>
      <c r="F1105" s="129">
        <f t="shared" si="180"/>
        <v>1066065</v>
      </c>
      <c r="G1105" s="130">
        <f t="shared" si="181"/>
        <v>202552.35</v>
      </c>
      <c r="H1105" s="131">
        <f t="shared" si="182"/>
        <v>1268617</v>
      </c>
    </row>
    <row r="1106" spans="1:8" x14ac:dyDescent="0.25">
      <c r="A1106" s="43" t="s">
        <v>3096</v>
      </c>
      <c r="B1106" s="81" t="s">
        <v>7785</v>
      </c>
      <c r="C1106" s="26" t="s">
        <v>37</v>
      </c>
      <c r="D1106" s="68">
        <v>1120900</v>
      </c>
      <c r="E1106" s="74">
        <v>0.05</v>
      </c>
      <c r="F1106" s="129">
        <f t="shared" si="180"/>
        <v>1176945</v>
      </c>
      <c r="G1106" s="130">
        <f t="shared" si="181"/>
        <v>223619.55</v>
      </c>
      <c r="H1106" s="131">
        <f t="shared" si="182"/>
        <v>1400565</v>
      </c>
    </row>
    <row r="1107" spans="1:8" x14ac:dyDescent="0.25">
      <c r="A1107" s="43" t="s">
        <v>3097</v>
      </c>
      <c r="B1107" s="81" t="s">
        <v>3061</v>
      </c>
      <c r="C1107" s="26" t="s">
        <v>37</v>
      </c>
      <c r="D1107" s="68">
        <v>1120900</v>
      </c>
      <c r="E1107" s="74">
        <v>0.05</v>
      </c>
      <c r="F1107" s="129">
        <f t="shared" si="180"/>
        <v>1176945</v>
      </c>
      <c r="G1107" s="130">
        <f t="shared" si="181"/>
        <v>223619.55</v>
      </c>
      <c r="H1107" s="131">
        <f t="shared" si="182"/>
        <v>1400565</v>
      </c>
    </row>
    <row r="1108" spans="1:8" x14ac:dyDescent="0.25">
      <c r="A1108" s="43" t="s">
        <v>3098</v>
      </c>
      <c r="B1108" s="81" t="s">
        <v>7265</v>
      </c>
      <c r="C1108" s="26" t="s">
        <v>37</v>
      </c>
      <c r="D1108" s="68">
        <v>1416800</v>
      </c>
      <c r="E1108" s="74">
        <v>0.05</v>
      </c>
      <c r="F1108" s="129">
        <f t="shared" si="180"/>
        <v>1487640</v>
      </c>
      <c r="G1108" s="130">
        <f t="shared" si="181"/>
        <v>282651.59999999998</v>
      </c>
      <c r="H1108" s="131">
        <f t="shared" si="182"/>
        <v>1770292</v>
      </c>
    </row>
    <row r="1109" spans="1:8" x14ac:dyDescent="0.25">
      <c r="A1109" s="43" t="s">
        <v>3099</v>
      </c>
      <c r="B1109" s="81" t="s">
        <v>7266</v>
      </c>
      <c r="C1109" s="26" t="s">
        <v>37</v>
      </c>
      <c r="D1109" s="68">
        <v>1513600</v>
      </c>
      <c r="E1109" s="74">
        <v>0.05</v>
      </c>
      <c r="F1109" s="129">
        <f t="shared" si="180"/>
        <v>1589280</v>
      </c>
      <c r="G1109" s="130">
        <f t="shared" si="181"/>
        <v>301963.2</v>
      </c>
      <c r="H1109" s="131">
        <f t="shared" si="182"/>
        <v>1891243</v>
      </c>
    </row>
    <row r="1110" spans="1:8" x14ac:dyDescent="0.25">
      <c r="A1110" s="43" t="s">
        <v>3100</v>
      </c>
      <c r="B1110" s="81" t="s">
        <v>7267</v>
      </c>
      <c r="C1110" s="26" t="s">
        <v>37</v>
      </c>
      <c r="D1110" s="68">
        <v>1882100</v>
      </c>
      <c r="E1110" s="74">
        <v>0.05</v>
      </c>
      <c r="F1110" s="129">
        <f t="shared" si="180"/>
        <v>1976205</v>
      </c>
      <c r="G1110" s="130">
        <f t="shared" si="181"/>
        <v>375478.95</v>
      </c>
      <c r="H1110" s="131">
        <f t="shared" si="182"/>
        <v>2351684</v>
      </c>
    </row>
    <row r="1111" spans="1:8" x14ac:dyDescent="0.25">
      <c r="A1111" s="43" t="s">
        <v>3101</v>
      </c>
      <c r="B1111" s="81" t="s">
        <v>7722</v>
      </c>
      <c r="C1111" s="26" t="s">
        <v>37</v>
      </c>
      <c r="D1111" s="68">
        <v>1882100</v>
      </c>
      <c r="E1111" s="74">
        <v>0.05</v>
      </c>
      <c r="F1111" s="129">
        <f t="shared" si="180"/>
        <v>1976205</v>
      </c>
      <c r="G1111" s="130">
        <f t="shared" si="181"/>
        <v>375478.95</v>
      </c>
      <c r="H1111" s="131">
        <f t="shared" si="182"/>
        <v>2351684</v>
      </c>
    </row>
    <row r="1112" spans="1:8" x14ac:dyDescent="0.25">
      <c r="A1112" s="43" t="s">
        <v>3102</v>
      </c>
      <c r="B1112" s="81" t="s">
        <v>7268</v>
      </c>
      <c r="C1112" s="26" t="s">
        <v>37</v>
      </c>
      <c r="D1112" s="68">
        <v>1882100</v>
      </c>
      <c r="E1112" s="74">
        <v>0.05</v>
      </c>
      <c r="F1112" s="129">
        <f t="shared" si="180"/>
        <v>1976205</v>
      </c>
      <c r="G1112" s="130">
        <f t="shared" si="181"/>
        <v>375478.95</v>
      </c>
      <c r="H1112" s="131">
        <f t="shared" si="182"/>
        <v>2351684</v>
      </c>
    </row>
    <row r="1113" spans="1:8" x14ac:dyDescent="0.25">
      <c r="A1113" s="43" t="s">
        <v>3103</v>
      </c>
      <c r="B1113" s="81" t="s">
        <v>7269</v>
      </c>
      <c r="C1113" s="26" t="s">
        <v>37</v>
      </c>
      <c r="D1113" s="68">
        <v>1921700</v>
      </c>
      <c r="E1113" s="74">
        <v>0.05</v>
      </c>
      <c r="F1113" s="129">
        <f t="shared" si="180"/>
        <v>2017785</v>
      </c>
      <c r="G1113" s="130">
        <f t="shared" si="181"/>
        <v>383379.15</v>
      </c>
      <c r="H1113" s="131">
        <f t="shared" si="182"/>
        <v>2401164</v>
      </c>
    </row>
    <row r="1114" spans="1:8" x14ac:dyDescent="0.25">
      <c r="A1114" s="43" t="s">
        <v>3104</v>
      </c>
      <c r="B1114" s="81" t="s">
        <v>3068</v>
      </c>
      <c r="C1114" s="26" t="s">
        <v>37</v>
      </c>
      <c r="D1114" s="68">
        <v>2250600</v>
      </c>
      <c r="E1114" s="74">
        <v>0.05</v>
      </c>
      <c r="F1114" s="129">
        <f t="shared" si="180"/>
        <v>2363130</v>
      </c>
      <c r="G1114" s="130">
        <f t="shared" si="181"/>
        <v>448994.7</v>
      </c>
      <c r="H1114" s="131">
        <f t="shared" si="182"/>
        <v>2812125</v>
      </c>
    </row>
    <row r="1115" spans="1:8" x14ac:dyDescent="0.25">
      <c r="A1115" s="43" t="s">
        <v>3105</v>
      </c>
      <c r="B1115" s="81" t="s">
        <v>3069</v>
      </c>
      <c r="C1115" s="26" t="s">
        <v>37</v>
      </c>
      <c r="D1115" s="68">
        <v>2435400</v>
      </c>
      <c r="E1115" s="74">
        <v>0.05</v>
      </c>
      <c r="F1115" s="129">
        <f t="shared" si="180"/>
        <v>2557170</v>
      </c>
      <c r="G1115" s="130">
        <f t="shared" si="181"/>
        <v>485862.3</v>
      </c>
      <c r="H1115" s="131">
        <f t="shared" si="182"/>
        <v>3043032</v>
      </c>
    </row>
    <row r="1116" spans="1:8" x14ac:dyDescent="0.25">
      <c r="A1116" s="43" t="s">
        <v>3106</v>
      </c>
      <c r="B1116" s="81" t="s">
        <v>7786</v>
      </c>
      <c r="C1116" s="26" t="s">
        <v>37</v>
      </c>
      <c r="D1116" s="68">
        <v>2318800</v>
      </c>
      <c r="E1116" s="74">
        <v>0.05</v>
      </c>
      <c r="F1116" s="129">
        <f t="shared" si="180"/>
        <v>2434740</v>
      </c>
      <c r="G1116" s="130">
        <f t="shared" si="181"/>
        <v>462600.6</v>
      </c>
      <c r="H1116" s="131">
        <f t="shared" si="182"/>
        <v>2897341</v>
      </c>
    </row>
    <row r="1117" spans="1:8" x14ac:dyDescent="0.25">
      <c r="A1117" s="43" t="s">
        <v>3107</v>
      </c>
      <c r="B1117" s="81" t="s">
        <v>3071</v>
      </c>
      <c r="C1117" s="26" t="s">
        <v>37</v>
      </c>
      <c r="D1117" s="68">
        <v>3007400</v>
      </c>
      <c r="E1117" s="74">
        <v>0.05</v>
      </c>
      <c r="F1117" s="129">
        <f t="shared" si="180"/>
        <v>3157770</v>
      </c>
      <c r="G1117" s="130">
        <f t="shared" si="181"/>
        <v>599976.30000000005</v>
      </c>
      <c r="H1117" s="131">
        <f t="shared" si="182"/>
        <v>3757746</v>
      </c>
    </row>
    <row r="1118" spans="1:8" x14ac:dyDescent="0.25">
      <c r="A1118" s="43" t="s">
        <v>3108</v>
      </c>
      <c r="B1118" s="81" t="s">
        <v>7270</v>
      </c>
      <c r="C1118" s="26" t="s">
        <v>37</v>
      </c>
      <c r="D1118" s="68">
        <v>2493700</v>
      </c>
      <c r="E1118" s="74">
        <v>0.05</v>
      </c>
      <c r="F1118" s="129">
        <f t="shared" si="180"/>
        <v>2618385</v>
      </c>
      <c r="G1118" s="130">
        <f t="shared" si="181"/>
        <v>497493.15</v>
      </c>
      <c r="H1118" s="131">
        <f t="shared" si="182"/>
        <v>3115878</v>
      </c>
    </row>
    <row r="1119" spans="1:8" x14ac:dyDescent="0.25">
      <c r="A1119" s="43" t="s">
        <v>3109</v>
      </c>
      <c r="B1119" s="81" t="s">
        <v>3073</v>
      </c>
      <c r="C1119" s="26" t="s">
        <v>37</v>
      </c>
      <c r="D1119" s="68">
        <v>2559700</v>
      </c>
      <c r="E1119" s="74">
        <v>0.05</v>
      </c>
      <c r="F1119" s="129">
        <f t="shared" si="180"/>
        <v>2687685</v>
      </c>
      <c r="G1119" s="130">
        <f t="shared" si="181"/>
        <v>510660.15</v>
      </c>
      <c r="H1119" s="131">
        <f t="shared" si="182"/>
        <v>3198345</v>
      </c>
    </row>
    <row r="1120" spans="1:8" x14ac:dyDescent="0.25">
      <c r="A1120" s="43" t="s">
        <v>3110</v>
      </c>
      <c r="B1120" s="81" t="s">
        <v>7437</v>
      </c>
      <c r="C1120" s="26" t="s">
        <v>37</v>
      </c>
      <c r="D1120" s="68">
        <v>3085500</v>
      </c>
      <c r="E1120" s="74">
        <v>0.05</v>
      </c>
      <c r="F1120" s="129">
        <f t="shared" si="180"/>
        <v>3239775</v>
      </c>
      <c r="G1120" s="130">
        <f t="shared" si="181"/>
        <v>615557.25</v>
      </c>
      <c r="H1120" s="131">
        <f t="shared" si="182"/>
        <v>3855332</v>
      </c>
    </row>
    <row r="1121" spans="1:8" x14ac:dyDescent="0.25">
      <c r="A1121" s="43" t="s">
        <v>3111</v>
      </c>
      <c r="B1121" s="81" t="s">
        <v>7438</v>
      </c>
      <c r="C1121" s="26" t="s">
        <v>37</v>
      </c>
      <c r="D1121" s="68">
        <v>3143800</v>
      </c>
      <c r="E1121" s="74">
        <v>0.05</v>
      </c>
      <c r="F1121" s="129">
        <f t="shared" si="180"/>
        <v>3300990</v>
      </c>
      <c r="G1121" s="130">
        <f t="shared" si="181"/>
        <v>627188.1</v>
      </c>
      <c r="H1121" s="131">
        <f t="shared" si="182"/>
        <v>3928178</v>
      </c>
    </row>
    <row r="1122" spans="1:8" x14ac:dyDescent="0.25">
      <c r="A1122" s="43" t="s">
        <v>3112</v>
      </c>
      <c r="B1122" s="81" t="s">
        <v>7787</v>
      </c>
      <c r="C1122" s="26" t="s">
        <v>37</v>
      </c>
      <c r="D1122" s="68">
        <v>2801700</v>
      </c>
      <c r="E1122" s="74">
        <v>0.05</v>
      </c>
      <c r="F1122" s="129">
        <f t="shared" si="180"/>
        <v>2941785</v>
      </c>
      <c r="G1122" s="130">
        <f t="shared" si="181"/>
        <v>558939.15</v>
      </c>
      <c r="H1122" s="131">
        <f t="shared" si="182"/>
        <v>3500724</v>
      </c>
    </row>
    <row r="1123" spans="1:8" x14ac:dyDescent="0.25">
      <c r="A1123" s="43" t="s">
        <v>3113</v>
      </c>
      <c r="B1123" s="81" t="s">
        <v>7439</v>
      </c>
      <c r="C1123" s="26" t="s">
        <v>37</v>
      </c>
      <c r="D1123" s="68">
        <v>3337400</v>
      </c>
      <c r="E1123" s="74">
        <v>0.05</v>
      </c>
      <c r="F1123" s="129">
        <f t="shared" si="180"/>
        <v>3504270</v>
      </c>
      <c r="G1123" s="130">
        <f t="shared" si="181"/>
        <v>665811.30000000005</v>
      </c>
      <c r="H1123" s="131">
        <f t="shared" si="182"/>
        <v>4170081</v>
      </c>
    </row>
    <row r="1124" spans="1:8" x14ac:dyDescent="0.25">
      <c r="A1124" s="43" t="s">
        <v>3114</v>
      </c>
      <c r="B1124" s="81" t="s">
        <v>7440</v>
      </c>
      <c r="C1124" s="26" t="s">
        <v>37</v>
      </c>
      <c r="D1124" s="68">
        <v>3454000</v>
      </c>
      <c r="E1124" s="74">
        <v>0.05</v>
      </c>
      <c r="F1124" s="129">
        <f t="shared" si="180"/>
        <v>3626700</v>
      </c>
      <c r="G1124" s="130">
        <f t="shared" si="181"/>
        <v>689073</v>
      </c>
      <c r="H1124" s="131">
        <f t="shared" si="182"/>
        <v>4315773</v>
      </c>
    </row>
    <row r="1125" spans="1:8" x14ac:dyDescent="0.25">
      <c r="A1125" s="43" t="s">
        <v>3115</v>
      </c>
      <c r="B1125" s="81" t="s">
        <v>7441</v>
      </c>
      <c r="C1125" s="26" t="s">
        <v>37</v>
      </c>
      <c r="D1125" s="68">
        <v>3162500</v>
      </c>
      <c r="E1125" s="74">
        <v>0.05</v>
      </c>
      <c r="F1125" s="129">
        <f t="shared" si="180"/>
        <v>3320625</v>
      </c>
      <c r="G1125" s="130">
        <f t="shared" ref="G1125:G1155" si="183">F1125*0.19</f>
        <v>630918.75</v>
      </c>
      <c r="H1125" s="131">
        <f t="shared" si="182"/>
        <v>3951544</v>
      </c>
    </row>
    <row r="1126" spans="1:8" x14ac:dyDescent="0.25">
      <c r="A1126" s="43" t="s">
        <v>3116</v>
      </c>
      <c r="B1126" s="81" t="s">
        <v>7442</v>
      </c>
      <c r="C1126" s="26" t="s">
        <v>37</v>
      </c>
      <c r="D1126" s="68">
        <v>3368200</v>
      </c>
      <c r="E1126" s="74">
        <v>0.05</v>
      </c>
      <c r="F1126" s="129">
        <f t="shared" si="180"/>
        <v>3536610</v>
      </c>
      <c r="G1126" s="130">
        <f t="shared" si="183"/>
        <v>671955.9</v>
      </c>
      <c r="H1126" s="131">
        <f t="shared" si="182"/>
        <v>4208566</v>
      </c>
    </row>
    <row r="1127" spans="1:8" x14ac:dyDescent="0.25">
      <c r="A1127" s="43" t="s">
        <v>3117</v>
      </c>
      <c r="B1127" s="81" t="s">
        <v>7592</v>
      </c>
      <c r="C1127" s="26" t="s">
        <v>37</v>
      </c>
      <c r="D1127" s="68">
        <v>3414400</v>
      </c>
      <c r="E1127" s="74">
        <v>0.05</v>
      </c>
      <c r="F1127" s="129">
        <f t="shared" si="180"/>
        <v>3585120</v>
      </c>
      <c r="G1127" s="130">
        <f t="shared" si="183"/>
        <v>681172.8</v>
      </c>
      <c r="H1127" s="131">
        <f t="shared" si="182"/>
        <v>4266293</v>
      </c>
    </row>
    <row r="1128" spans="1:8" x14ac:dyDescent="0.25">
      <c r="A1128" s="43" t="s">
        <v>3118</v>
      </c>
      <c r="B1128" s="81" t="s">
        <v>7788</v>
      </c>
      <c r="C1128" s="26" t="s">
        <v>37</v>
      </c>
      <c r="D1128" s="68">
        <v>3686100</v>
      </c>
      <c r="E1128" s="74">
        <v>0.05</v>
      </c>
      <c r="F1128" s="129">
        <f t="shared" si="180"/>
        <v>3870405</v>
      </c>
      <c r="G1128" s="130">
        <f t="shared" si="183"/>
        <v>735376.95</v>
      </c>
      <c r="H1128" s="131">
        <f t="shared" si="182"/>
        <v>4605782</v>
      </c>
    </row>
    <row r="1129" spans="1:8" x14ac:dyDescent="0.25">
      <c r="A1129" s="43" t="s">
        <v>3119</v>
      </c>
      <c r="B1129" s="81" t="s">
        <v>7593</v>
      </c>
      <c r="C1129" s="26" t="s">
        <v>37</v>
      </c>
      <c r="D1129" s="68">
        <v>3667400</v>
      </c>
      <c r="E1129" s="74">
        <v>0.05</v>
      </c>
      <c r="F1129" s="129">
        <f t="shared" si="180"/>
        <v>3850770</v>
      </c>
      <c r="G1129" s="130">
        <f t="shared" si="183"/>
        <v>731646.3</v>
      </c>
      <c r="H1129" s="131">
        <f t="shared" si="182"/>
        <v>4582416</v>
      </c>
    </row>
    <row r="1130" spans="1:8" x14ac:dyDescent="0.25">
      <c r="A1130" s="43" t="s">
        <v>3120</v>
      </c>
      <c r="B1130" s="81" t="s">
        <v>7594</v>
      </c>
      <c r="C1130" s="26" t="s">
        <v>37</v>
      </c>
      <c r="D1130" s="68">
        <v>3667400</v>
      </c>
      <c r="E1130" s="74">
        <v>0.05</v>
      </c>
      <c r="F1130" s="129">
        <f t="shared" si="180"/>
        <v>3850770</v>
      </c>
      <c r="G1130" s="130">
        <f t="shared" si="183"/>
        <v>731646.3</v>
      </c>
      <c r="H1130" s="131">
        <f t="shared" si="182"/>
        <v>4582416</v>
      </c>
    </row>
    <row r="1131" spans="1:8" x14ac:dyDescent="0.25">
      <c r="A1131" s="43" t="s">
        <v>3121</v>
      </c>
      <c r="B1131" s="81" t="s">
        <v>7595</v>
      </c>
      <c r="C1131" s="26" t="s">
        <v>37</v>
      </c>
      <c r="D1131" s="68">
        <v>4016100</v>
      </c>
      <c r="E1131" s="74">
        <v>0.05</v>
      </c>
      <c r="F1131" s="129">
        <f t="shared" si="180"/>
        <v>4216905</v>
      </c>
      <c r="G1131" s="130">
        <f t="shared" si="183"/>
        <v>801211.95</v>
      </c>
      <c r="H1131" s="131">
        <f t="shared" si="182"/>
        <v>5018117</v>
      </c>
    </row>
    <row r="1132" spans="1:8" x14ac:dyDescent="0.25">
      <c r="A1132" s="43" t="s">
        <v>3122</v>
      </c>
      <c r="B1132" s="81" t="s">
        <v>7596</v>
      </c>
      <c r="C1132" s="26" t="s">
        <v>37</v>
      </c>
      <c r="D1132" s="68">
        <v>3696000</v>
      </c>
      <c r="E1132" s="74">
        <v>0.05</v>
      </c>
      <c r="F1132" s="129">
        <f t="shared" si="180"/>
        <v>3880800</v>
      </c>
      <c r="G1132" s="130">
        <f t="shared" si="183"/>
        <v>737352</v>
      </c>
      <c r="H1132" s="131">
        <f t="shared" si="182"/>
        <v>4618152</v>
      </c>
    </row>
    <row r="1133" spans="1:8" x14ac:dyDescent="0.25">
      <c r="A1133" s="43" t="s">
        <v>3123</v>
      </c>
      <c r="B1133" s="81" t="s">
        <v>7597</v>
      </c>
      <c r="C1133" s="26" t="s">
        <v>37</v>
      </c>
      <c r="D1133" s="68">
        <v>4365900</v>
      </c>
      <c r="E1133" s="74">
        <v>0.05</v>
      </c>
      <c r="F1133" s="129">
        <f t="shared" si="180"/>
        <v>4584195</v>
      </c>
      <c r="G1133" s="130">
        <f t="shared" si="183"/>
        <v>870997.05</v>
      </c>
      <c r="H1133" s="131">
        <f t="shared" si="182"/>
        <v>5455192</v>
      </c>
    </row>
    <row r="1134" spans="1:8" x14ac:dyDescent="0.25">
      <c r="A1134" s="43" t="s">
        <v>3124</v>
      </c>
      <c r="B1134" s="81" t="s">
        <v>7789</v>
      </c>
      <c r="C1134" s="26" t="s">
        <v>37</v>
      </c>
      <c r="D1134" s="68">
        <v>4999500</v>
      </c>
      <c r="E1134" s="74">
        <v>0.05</v>
      </c>
      <c r="F1134" s="129">
        <f t="shared" si="180"/>
        <v>5249475</v>
      </c>
      <c r="G1134" s="130">
        <f t="shared" si="183"/>
        <v>997400.25</v>
      </c>
      <c r="H1134" s="131">
        <f t="shared" si="182"/>
        <v>6246875</v>
      </c>
    </row>
    <row r="1135" spans="1:8" x14ac:dyDescent="0.25">
      <c r="A1135" s="43" t="s">
        <v>3125</v>
      </c>
      <c r="B1135" s="81" t="s">
        <v>3153</v>
      </c>
      <c r="C1135" s="26" t="s">
        <v>37</v>
      </c>
      <c r="D1135" s="68">
        <v>5232700</v>
      </c>
      <c r="E1135" s="74">
        <v>0.05</v>
      </c>
      <c r="F1135" s="129">
        <f t="shared" si="180"/>
        <v>5494335</v>
      </c>
      <c r="G1135" s="130">
        <f t="shared" si="183"/>
        <v>1043923.65</v>
      </c>
      <c r="H1135" s="131">
        <f t="shared" si="182"/>
        <v>6538259</v>
      </c>
    </row>
    <row r="1136" spans="1:8" x14ac:dyDescent="0.25">
      <c r="A1136" s="43" t="s">
        <v>3126</v>
      </c>
      <c r="B1136" s="81" t="s">
        <v>7271</v>
      </c>
      <c r="C1136" s="26" t="s">
        <v>37</v>
      </c>
      <c r="D1136" s="68">
        <v>5530800</v>
      </c>
      <c r="E1136" s="74">
        <v>0.05</v>
      </c>
      <c r="F1136" s="129">
        <f t="shared" si="180"/>
        <v>5807340</v>
      </c>
      <c r="G1136" s="130">
        <f t="shared" si="183"/>
        <v>1103394.6000000001</v>
      </c>
      <c r="H1136" s="131">
        <f t="shared" si="182"/>
        <v>6910735</v>
      </c>
    </row>
    <row r="1137" spans="1:8" x14ac:dyDescent="0.25">
      <c r="A1137" s="43" t="s">
        <v>3127</v>
      </c>
      <c r="B1137" s="81" t="s">
        <v>3168</v>
      </c>
      <c r="C1137" s="26" t="s">
        <v>37</v>
      </c>
      <c r="D1137" s="68">
        <v>5725500</v>
      </c>
      <c r="E1137" s="74">
        <v>0.05</v>
      </c>
      <c r="F1137" s="129">
        <f t="shared" si="180"/>
        <v>6011775</v>
      </c>
      <c r="G1137" s="130">
        <f t="shared" si="183"/>
        <v>1142237.25</v>
      </c>
      <c r="H1137" s="131">
        <f t="shared" si="182"/>
        <v>7154012</v>
      </c>
    </row>
    <row r="1138" spans="1:8" x14ac:dyDescent="0.25">
      <c r="A1138" s="43" t="s">
        <v>3128</v>
      </c>
      <c r="B1138" s="81" t="s">
        <v>7443</v>
      </c>
      <c r="C1138" s="26" t="s">
        <v>37</v>
      </c>
      <c r="D1138" s="68">
        <v>5803600</v>
      </c>
      <c r="E1138" s="74">
        <v>0.05</v>
      </c>
      <c r="F1138" s="129">
        <f t="shared" si="180"/>
        <v>6093780</v>
      </c>
      <c r="G1138" s="130">
        <f t="shared" si="183"/>
        <v>1157818.2</v>
      </c>
      <c r="H1138" s="131">
        <f t="shared" si="182"/>
        <v>7251598</v>
      </c>
    </row>
    <row r="1139" spans="1:8" x14ac:dyDescent="0.25">
      <c r="A1139" s="43" t="s">
        <v>3129</v>
      </c>
      <c r="B1139" s="81" t="s">
        <v>7598</v>
      </c>
      <c r="C1139" s="26" t="s">
        <v>37</v>
      </c>
      <c r="D1139" s="68">
        <v>6482300</v>
      </c>
      <c r="E1139" s="74">
        <v>0.05</v>
      </c>
      <c r="F1139" s="129">
        <f t="shared" si="180"/>
        <v>6806415</v>
      </c>
      <c r="G1139" s="130">
        <f t="shared" si="183"/>
        <v>1293218.8500000001</v>
      </c>
      <c r="H1139" s="131">
        <f t="shared" si="182"/>
        <v>8099634</v>
      </c>
    </row>
    <row r="1140" spans="1:8" x14ac:dyDescent="0.25">
      <c r="A1140" s="43" t="s">
        <v>3130</v>
      </c>
      <c r="B1140" s="81" t="s">
        <v>3171</v>
      </c>
      <c r="C1140" s="26" t="s">
        <v>37</v>
      </c>
      <c r="D1140" s="68">
        <v>6829900</v>
      </c>
      <c r="E1140" s="74">
        <v>0.05</v>
      </c>
      <c r="F1140" s="129">
        <f t="shared" si="180"/>
        <v>7171395</v>
      </c>
      <c r="G1140" s="130">
        <f t="shared" si="183"/>
        <v>1362565.05</v>
      </c>
      <c r="H1140" s="131">
        <f t="shared" si="182"/>
        <v>8533960</v>
      </c>
    </row>
    <row r="1141" spans="1:8" x14ac:dyDescent="0.25">
      <c r="A1141" s="43" t="s">
        <v>3131</v>
      </c>
      <c r="B1141" s="81" t="s">
        <v>3160</v>
      </c>
      <c r="C1141" s="26" t="s">
        <v>37</v>
      </c>
      <c r="D1141" s="68">
        <v>5852000</v>
      </c>
      <c r="E1141" s="74">
        <v>0.05</v>
      </c>
      <c r="F1141" s="129">
        <f t="shared" si="180"/>
        <v>6144600</v>
      </c>
      <c r="G1141" s="130">
        <f t="shared" si="183"/>
        <v>1167474</v>
      </c>
      <c r="H1141" s="131">
        <f t="shared" si="182"/>
        <v>7312074</v>
      </c>
    </row>
    <row r="1142" spans="1:8" x14ac:dyDescent="0.25">
      <c r="A1142" s="43" t="s">
        <v>3132</v>
      </c>
      <c r="B1142" s="81" t="s">
        <v>7272</v>
      </c>
      <c r="C1142" s="26" t="s">
        <v>37</v>
      </c>
      <c r="D1142" s="68">
        <v>5852000</v>
      </c>
      <c r="E1142" s="74">
        <v>0.05</v>
      </c>
      <c r="F1142" s="129">
        <f t="shared" si="180"/>
        <v>6144600</v>
      </c>
      <c r="G1142" s="130">
        <f t="shared" si="183"/>
        <v>1167474</v>
      </c>
      <c r="H1142" s="131">
        <f t="shared" si="182"/>
        <v>7312074</v>
      </c>
    </row>
    <row r="1143" spans="1:8" x14ac:dyDescent="0.25">
      <c r="A1143" s="43" t="s">
        <v>3133</v>
      </c>
      <c r="B1143" s="81" t="s">
        <v>3162</v>
      </c>
      <c r="C1143" s="26" t="s">
        <v>37</v>
      </c>
      <c r="D1143" s="68">
        <v>7498700</v>
      </c>
      <c r="E1143" s="74">
        <v>0.05</v>
      </c>
      <c r="F1143" s="129">
        <f t="shared" si="180"/>
        <v>7873635</v>
      </c>
      <c r="G1143" s="130">
        <f t="shared" si="183"/>
        <v>1495990.65</v>
      </c>
      <c r="H1143" s="131">
        <f t="shared" si="182"/>
        <v>9369626</v>
      </c>
    </row>
    <row r="1144" spans="1:8" x14ac:dyDescent="0.25">
      <c r="A1144" s="43" t="s">
        <v>3134</v>
      </c>
      <c r="B1144" s="81" t="s">
        <v>7444</v>
      </c>
      <c r="C1144" s="26" t="s">
        <v>37</v>
      </c>
      <c r="D1144" s="68">
        <v>7498700</v>
      </c>
      <c r="E1144" s="74">
        <v>0.05</v>
      </c>
      <c r="F1144" s="129">
        <f t="shared" si="180"/>
        <v>7873635</v>
      </c>
      <c r="G1144" s="130">
        <f t="shared" si="183"/>
        <v>1495990.65</v>
      </c>
      <c r="H1144" s="131">
        <f t="shared" si="182"/>
        <v>9369626</v>
      </c>
    </row>
    <row r="1145" spans="1:8" x14ac:dyDescent="0.25">
      <c r="A1145" s="43" t="s">
        <v>3135</v>
      </c>
      <c r="B1145" s="81" t="s">
        <v>7599</v>
      </c>
      <c r="C1145" s="26" t="s">
        <v>37</v>
      </c>
      <c r="D1145" s="68">
        <v>7498700</v>
      </c>
      <c r="E1145" s="74">
        <v>0.05</v>
      </c>
      <c r="F1145" s="129">
        <f t="shared" si="180"/>
        <v>7873635</v>
      </c>
      <c r="G1145" s="130">
        <f t="shared" si="183"/>
        <v>1495990.65</v>
      </c>
      <c r="H1145" s="131">
        <f t="shared" si="182"/>
        <v>9369626</v>
      </c>
    </row>
    <row r="1146" spans="1:8" x14ac:dyDescent="0.25">
      <c r="A1146" s="43" t="s">
        <v>3136</v>
      </c>
      <c r="B1146" s="81" t="s">
        <v>3165</v>
      </c>
      <c r="C1146" s="26" t="s">
        <v>37</v>
      </c>
      <c r="D1146" s="68">
        <v>8217000</v>
      </c>
      <c r="E1146" s="74">
        <v>0.05</v>
      </c>
      <c r="F1146" s="129">
        <f t="shared" si="180"/>
        <v>8627850</v>
      </c>
      <c r="G1146" s="130">
        <f t="shared" si="183"/>
        <v>1639291.5</v>
      </c>
      <c r="H1146" s="131">
        <f t="shared" si="182"/>
        <v>10267142</v>
      </c>
    </row>
    <row r="1147" spans="1:8" x14ac:dyDescent="0.25">
      <c r="A1147" s="43" t="s">
        <v>3137</v>
      </c>
      <c r="B1147" s="81" t="s">
        <v>3166</v>
      </c>
      <c r="C1147" s="26" t="s">
        <v>37</v>
      </c>
      <c r="D1147" s="68">
        <v>8848400</v>
      </c>
      <c r="E1147" s="74">
        <v>0.05</v>
      </c>
      <c r="F1147" s="129">
        <f t="shared" si="180"/>
        <v>9290820</v>
      </c>
      <c r="G1147" s="130">
        <f t="shared" si="183"/>
        <v>1765255.8</v>
      </c>
      <c r="H1147" s="131">
        <f t="shared" si="182"/>
        <v>11056076</v>
      </c>
    </row>
    <row r="1148" spans="1:8" x14ac:dyDescent="0.25">
      <c r="A1148" s="43" t="s">
        <v>3138</v>
      </c>
      <c r="B1148" s="81" t="s">
        <v>3154</v>
      </c>
      <c r="C1148" s="26" t="s">
        <v>37</v>
      </c>
      <c r="D1148" s="68">
        <v>6892160</v>
      </c>
      <c r="E1148" s="74">
        <v>0.05</v>
      </c>
      <c r="F1148" s="129">
        <f t="shared" si="180"/>
        <v>7236768</v>
      </c>
      <c r="G1148" s="130">
        <f t="shared" si="183"/>
        <v>1374985.92</v>
      </c>
      <c r="H1148" s="131">
        <f t="shared" si="182"/>
        <v>8611754</v>
      </c>
    </row>
    <row r="1149" spans="1:8" x14ac:dyDescent="0.25">
      <c r="A1149" s="43" t="s">
        <v>3139</v>
      </c>
      <c r="B1149" s="81" t="s">
        <v>7273</v>
      </c>
      <c r="C1149" s="26" t="s">
        <v>37</v>
      </c>
      <c r="D1149" s="68">
        <v>7541930</v>
      </c>
      <c r="E1149" s="74">
        <v>0.05</v>
      </c>
      <c r="F1149" s="129">
        <f t="shared" si="180"/>
        <v>7919026.5</v>
      </c>
      <c r="G1149" s="130">
        <f t="shared" si="183"/>
        <v>1504615.0349999999</v>
      </c>
      <c r="H1149" s="131">
        <f t="shared" si="182"/>
        <v>9423642</v>
      </c>
    </row>
    <row r="1150" spans="1:8" x14ac:dyDescent="0.25">
      <c r="A1150" s="43" t="s">
        <v>3140</v>
      </c>
      <c r="B1150" s="81" t="s">
        <v>3156</v>
      </c>
      <c r="C1150" s="26" t="s">
        <v>37</v>
      </c>
      <c r="D1150" s="68">
        <v>7725850</v>
      </c>
      <c r="E1150" s="74">
        <v>0.05</v>
      </c>
      <c r="F1150" s="129">
        <f t="shared" si="180"/>
        <v>8112142.5</v>
      </c>
      <c r="G1150" s="130">
        <f t="shared" si="183"/>
        <v>1541307.075</v>
      </c>
      <c r="H1150" s="131">
        <f t="shared" si="182"/>
        <v>9653450</v>
      </c>
    </row>
    <row r="1151" spans="1:8" x14ac:dyDescent="0.25">
      <c r="A1151" s="43" t="s">
        <v>3141</v>
      </c>
      <c r="B1151" s="81" t="s">
        <v>7445</v>
      </c>
      <c r="C1151" s="26" t="s">
        <v>37</v>
      </c>
      <c r="D1151" s="68">
        <v>8041660</v>
      </c>
      <c r="E1151" s="74">
        <v>0.05</v>
      </c>
      <c r="F1151" s="129">
        <f t="shared" si="180"/>
        <v>8443743</v>
      </c>
      <c r="G1151" s="130">
        <f t="shared" si="183"/>
        <v>1604311.17</v>
      </c>
      <c r="H1151" s="131">
        <f t="shared" si="182"/>
        <v>10048054</v>
      </c>
    </row>
    <row r="1152" spans="1:8" x14ac:dyDescent="0.25">
      <c r="A1152" s="43" t="s">
        <v>3142</v>
      </c>
      <c r="B1152" s="81" t="s">
        <v>7600</v>
      </c>
      <c r="C1152" s="26" t="s">
        <v>37</v>
      </c>
      <c r="D1152" s="68">
        <v>9174220</v>
      </c>
      <c r="E1152" s="74">
        <v>0.05</v>
      </c>
      <c r="F1152" s="129">
        <f t="shared" si="180"/>
        <v>9632931</v>
      </c>
      <c r="G1152" s="130">
        <f t="shared" si="183"/>
        <v>1830256.8900000001</v>
      </c>
      <c r="H1152" s="131">
        <f t="shared" si="182"/>
        <v>11463188</v>
      </c>
    </row>
    <row r="1153" spans="1:8" x14ac:dyDescent="0.25">
      <c r="A1153" s="43" t="s">
        <v>3143</v>
      </c>
      <c r="B1153" s="81" t="s">
        <v>3159</v>
      </c>
      <c r="C1153" s="26" t="s">
        <v>37</v>
      </c>
      <c r="D1153" s="68">
        <v>10274110</v>
      </c>
      <c r="E1153" s="74">
        <v>0.05</v>
      </c>
      <c r="F1153" s="129">
        <f t="shared" si="180"/>
        <v>10787815.5</v>
      </c>
      <c r="G1153" s="130">
        <f t="shared" si="183"/>
        <v>2049684.9450000001</v>
      </c>
      <c r="H1153" s="131">
        <f t="shared" si="182"/>
        <v>12837500</v>
      </c>
    </row>
    <row r="1154" spans="1:8" x14ac:dyDescent="0.25">
      <c r="A1154" s="43" t="s">
        <v>3144</v>
      </c>
      <c r="B1154" s="81" t="s">
        <v>3146</v>
      </c>
      <c r="C1154" s="26" t="s">
        <v>37</v>
      </c>
      <c r="D1154" s="68">
        <v>11456500</v>
      </c>
      <c r="E1154" s="74">
        <v>0.05</v>
      </c>
      <c r="F1154" s="129">
        <f t="shared" si="180"/>
        <v>12029325</v>
      </c>
      <c r="G1154" s="130">
        <f t="shared" si="183"/>
        <v>2285571.75</v>
      </c>
      <c r="H1154" s="131">
        <f t="shared" si="182"/>
        <v>14314897</v>
      </c>
    </row>
    <row r="1155" spans="1:8" x14ac:dyDescent="0.25">
      <c r="A1155" s="43" t="s">
        <v>3145</v>
      </c>
      <c r="B1155" s="81" t="s">
        <v>3147</v>
      </c>
      <c r="C1155" s="26" t="s">
        <v>37</v>
      </c>
      <c r="D1155" s="68">
        <v>12762200</v>
      </c>
      <c r="E1155" s="74">
        <v>0.05</v>
      </c>
      <c r="F1155" s="129">
        <f t="shared" si="180"/>
        <v>13400310</v>
      </c>
      <c r="G1155" s="130">
        <f t="shared" si="183"/>
        <v>2546058.9</v>
      </c>
      <c r="H1155" s="131">
        <f t="shared" si="182"/>
        <v>15946369</v>
      </c>
    </row>
    <row r="1156" spans="1:8" x14ac:dyDescent="0.25">
      <c r="A1156" s="44" t="s">
        <v>3172</v>
      </c>
      <c r="B1156" s="80" t="s">
        <v>974</v>
      </c>
      <c r="C1156" s="14"/>
      <c r="D1156" s="1001"/>
      <c r="E1156" s="74"/>
      <c r="F1156" s="75"/>
      <c r="G1156" s="76"/>
      <c r="H1156" s="77"/>
    </row>
    <row r="1157" spans="1:8" x14ac:dyDescent="0.25">
      <c r="A1157" s="44" t="s">
        <v>3173</v>
      </c>
      <c r="B1157" s="80" t="s">
        <v>3174</v>
      </c>
      <c r="C1157" s="14"/>
      <c r="D1157" s="1001"/>
      <c r="E1157" s="74"/>
      <c r="F1157" s="75"/>
      <c r="G1157" s="76"/>
      <c r="H1157" s="77"/>
    </row>
    <row r="1158" spans="1:8" x14ac:dyDescent="0.25">
      <c r="A1158" s="43" t="s">
        <v>3226</v>
      </c>
      <c r="B1158" s="81" t="s">
        <v>3175</v>
      </c>
      <c r="C1158" s="26" t="s">
        <v>37</v>
      </c>
      <c r="D1158" s="68">
        <v>70400</v>
      </c>
      <c r="E1158" s="74">
        <v>0.05</v>
      </c>
      <c r="F1158" s="129">
        <f t="shared" ref="F1158:F1221" si="184">+D1158+D1158*E1158</f>
        <v>73920</v>
      </c>
      <c r="G1158" s="130">
        <f t="shared" ref="G1158:G1189" si="185">F1158*0.19</f>
        <v>14044.8</v>
      </c>
      <c r="H1158" s="131">
        <f t="shared" ref="H1158:H1221" si="186">ROUND((F1158+G1158),0)</f>
        <v>87965</v>
      </c>
    </row>
    <row r="1159" spans="1:8" x14ac:dyDescent="0.25">
      <c r="A1159" s="43" t="s">
        <v>3227</v>
      </c>
      <c r="B1159" s="81" t="s">
        <v>3176</v>
      </c>
      <c r="C1159" s="26" t="s">
        <v>37</v>
      </c>
      <c r="D1159" s="68">
        <v>79200</v>
      </c>
      <c r="E1159" s="74">
        <v>0.05</v>
      </c>
      <c r="F1159" s="129">
        <f t="shared" si="184"/>
        <v>83160</v>
      </c>
      <c r="G1159" s="130">
        <f t="shared" si="185"/>
        <v>15800.4</v>
      </c>
      <c r="H1159" s="131">
        <f t="shared" si="186"/>
        <v>98960</v>
      </c>
    </row>
    <row r="1160" spans="1:8" x14ac:dyDescent="0.25">
      <c r="A1160" s="43" t="s">
        <v>3228</v>
      </c>
      <c r="B1160" s="81" t="s">
        <v>3177</v>
      </c>
      <c r="C1160" s="26" t="s">
        <v>37</v>
      </c>
      <c r="D1160" s="68">
        <v>90200</v>
      </c>
      <c r="E1160" s="74">
        <v>0.05</v>
      </c>
      <c r="F1160" s="129">
        <f t="shared" si="184"/>
        <v>94710</v>
      </c>
      <c r="G1160" s="130">
        <f t="shared" si="185"/>
        <v>17994.900000000001</v>
      </c>
      <c r="H1160" s="131">
        <f t="shared" si="186"/>
        <v>112705</v>
      </c>
    </row>
    <row r="1161" spans="1:8" x14ac:dyDescent="0.25">
      <c r="A1161" s="43" t="s">
        <v>3229</v>
      </c>
      <c r="B1161" s="81" t="s">
        <v>7790</v>
      </c>
      <c r="C1161" s="26" t="s">
        <v>37</v>
      </c>
      <c r="D1161" s="68">
        <v>123200</v>
      </c>
      <c r="E1161" s="74">
        <v>0.05</v>
      </c>
      <c r="F1161" s="129">
        <f t="shared" si="184"/>
        <v>129360</v>
      </c>
      <c r="G1161" s="130">
        <f t="shared" si="185"/>
        <v>24578.400000000001</v>
      </c>
      <c r="H1161" s="131">
        <f t="shared" si="186"/>
        <v>153938</v>
      </c>
    </row>
    <row r="1162" spans="1:8" x14ac:dyDescent="0.25">
      <c r="A1162" s="43" t="s">
        <v>3230</v>
      </c>
      <c r="B1162" s="81" t="s">
        <v>7791</v>
      </c>
      <c r="C1162" s="26" t="s">
        <v>37</v>
      </c>
      <c r="D1162" s="68">
        <v>140800</v>
      </c>
      <c r="E1162" s="74">
        <v>0.05</v>
      </c>
      <c r="F1162" s="129">
        <f t="shared" si="184"/>
        <v>147840</v>
      </c>
      <c r="G1162" s="130">
        <f t="shared" si="185"/>
        <v>28089.599999999999</v>
      </c>
      <c r="H1162" s="131">
        <f t="shared" si="186"/>
        <v>175930</v>
      </c>
    </row>
    <row r="1163" spans="1:8" x14ac:dyDescent="0.25">
      <c r="A1163" s="43" t="s">
        <v>3231</v>
      </c>
      <c r="B1163" s="81" t="s">
        <v>7792</v>
      </c>
      <c r="C1163" s="26" t="s">
        <v>37</v>
      </c>
      <c r="D1163" s="68">
        <v>170500</v>
      </c>
      <c r="E1163" s="74">
        <v>0.05</v>
      </c>
      <c r="F1163" s="129">
        <f t="shared" si="184"/>
        <v>179025</v>
      </c>
      <c r="G1163" s="130">
        <f t="shared" si="185"/>
        <v>34014.75</v>
      </c>
      <c r="H1163" s="131">
        <f t="shared" si="186"/>
        <v>213040</v>
      </c>
    </row>
    <row r="1164" spans="1:8" x14ac:dyDescent="0.25">
      <c r="A1164" s="43" t="s">
        <v>3232</v>
      </c>
      <c r="B1164" s="81" t="s">
        <v>3181</v>
      </c>
      <c r="C1164" s="26" t="s">
        <v>37</v>
      </c>
      <c r="D1164" s="68">
        <v>289300</v>
      </c>
      <c r="E1164" s="74">
        <v>0.05</v>
      </c>
      <c r="F1164" s="129">
        <f t="shared" si="184"/>
        <v>303765</v>
      </c>
      <c r="G1164" s="130">
        <f t="shared" si="185"/>
        <v>57715.35</v>
      </c>
      <c r="H1164" s="131">
        <f t="shared" si="186"/>
        <v>361480</v>
      </c>
    </row>
    <row r="1165" spans="1:8" x14ac:dyDescent="0.25">
      <c r="A1165" s="43" t="s">
        <v>3233</v>
      </c>
      <c r="B1165" s="81" t="s">
        <v>3182</v>
      </c>
      <c r="C1165" s="26" t="s">
        <v>37</v>
      </c>
      <c r="D1165" s="68">
        <v>245300</v>
      </c>
      <c r="E1165" s="74">
        <v>0.05</v>
      </c>
      <c r="F1165" s="129">
        <f t="shared" si="184"/>
        <v>257565</v>
      </c>
      <c r="G1165" s="130">
        <f t="shared" si="185"/>
        <v>48937.35</v>
      </c>
      <c r="H1165" s="131">
        <f t="shared" si="186"/>
        <v>306502</v>
      </c>
    </row>
    <row r="1166" spans="1:8" x14ac:dyDescent="0.25">
      <c r="A1166" s="43" t="s">
        <v>3234</v>
      </c>
      <c r="B1166" s="81" t="s">
        <v>3183</v>
      </c>
      <c r="C1166" s="26" t="s">
        <v>37</v>
      </c>
      <c r="D1166" s="68">
        <v>265100</v>
      </c>
      <c r="E1166" s="74">
        <v>0.05</v>
      </c>
      <c r="F1166" s="129">
        <f t="shared" si="184"/>
        <v>278355</v>
      </c>
      <c r="G1166" s="130">
        <f t="shared" si="185"/>
        <v>52887.45</v>
      </c>
      <c r="H1166" s="131">
        <f t="shared" si="186"/>
        <v>331242</v>
      </c>
    </row>
    <row r="1167" spans="1:8" x14ac:dyDescent="0.25">
      <c r="A1167" s="43" t="s">
        <v>3235</v>
      </c>
      <c r="B1167" s="81" t="s">
        <v>7793</v>
      </c>
      <c r="C1167" s="26" t="s">
        <v>37</v>
      </c>
      <c r="D1167" s="68">
        <v>294800</v>
      </c>
      <c r="E1167" s="74">
        <v>0.05</v>
      </c>
      <c r="F1167" s="129">
        <f t="shared" si="184"/>
        <v>309540</v>
      </c>
      <c r="G1167" s="130">
        <f t="shared" si="185"/>
        <v>58812.6</v>
      </c>
      <c r="H1167" s="131">
        <f t="shared" si="186"/>
        <v>368353</v>
      </c>
    </row>
    <row r="1168" spans="1:8" x14ac:dyDescent="0.25">
      <c r="A1168" s="43" t="s">
        <v>3236</v>
      </c>
      <c r="B1168" s="81" t="s">
        <v>7274</v>
      </c>
      <c r="C1168" s="26" t="s">
        <v>37</v>
      </c>
      <c r="D1168" s="1001"/>
      <c r="E1168" s="74">
        <v>0.05</v>
      </c>
      <c r="F1168" s="129">
        <f t="shared" si="184"/>
        <v>0</v>
      </c>
      <c r="G1168" s="130">
        <f t="shared" si="185"/>
        <v>0</v>
      </c>
      <c r="H1168" s="131">
        <f t="shared" si="186"/>
        <v>0</v>
      </c>
    </row>
    <row r="1169" spans="1:8" x14ac:dyDescent="0.25">
      <c r="A1169" s="43" t="s">
        <v>3237</v>
      </c>
      <c r="B1169" s="81" t="s">
        <v>7275</v>
      </c>
      <c r="C1169" s="26" t="s">
        <v>37</v>
      </c>
      <c r="D1169" s="68">
        <v>446600</v>
      </c>
      <c r="E1169" s="74">
        <v>0.05</v>
      </c>
      <c r="F1169" s="129">
        <f t="shared" si="184"/>
        <v>468930</v>
      </c>
      <c r="G1169" s="130">
        <f t="shared" si="185"/>
        <v>89096.7</v>
      </c>
      <c r="H1169" s="131">
        <f t="shared" si="186"/>
        <v>558027</v>
      </c>
    </row>
    <row r="1170" spans="1:8" x14ac:dyDescent="0.25">
      <c r="A1170" s="43" t="s">
        <v>3238</v>
      </c>
      <c r="B1170" s="81" t="s">
        <v>7276</v>
      </c>
      <c r="C1170" s="26" t="s">
        <v>37</v>
      </c>
      <c r="D1170" s="68">
        <v>446600</v>
      </c>
      <c r="E1170" s="74">
        <v>0.05</v>
      </c>
      <c r="F1170" s="129">
        <f t="shared" si="184"/>
        <v>468930</v>
      </c>
      <c r="G1170" s="130">
        <f t="shared" si="185"/>
        <v>89096.7</v>
      </c>
      <c r="H1170" s="131">
        <f t="shared" si="186"/>
        <v>558027</v>
      </c>
    </row>
    <row r="1171" spans="1:8" x14ac:dyDescent="0.25">
      <c r="A1171" s="43" t="s">
        <v>3239</v>
      </c>
      <c r="B1171" s="81" t="s">
        <v>7794</v>
      </c>
      <c r="C1171" s="26" t="s">
        <v>37</v>
      </c>
      <c r="D1171" s="68">
        <v>470800</v>
      </c>
      <c r="E1171" s="74">
        <v>0.05</v>
      </c>
      <c r="F1171" s="129">
        <f t="shared" si="184"/>
        <v>494340</v>
      </c>
      <c r="G1171" s="130">
        <f t="shared" si="185"/>
        <v>93924.6</v>
      </c>
      <c r="H1171" s="131">
        <f t="shared" si="186"/>
        <v>588265</v>
      </c>
    </row>
    <row r="1172" spans="1:8" x14ac:dyDescent="0.25">
      <c r="A1172" s="43" t="s">
        <v>3240</v>
      </c>
      <c r="B1172" s="81" t="s">
        <v>7277</v>
      </c>
      <c r="C1172" s="26" t="s">
        <v>37</v>
      </c>
      <c r="D1172" s="68">
        <v>557700</v>
      </c>
      <c r="E1172" s="74">
        <v>0.05</v>
      </c>
      <c r="F1172" s="129">
        <f t="shared" si="184"/>
        <v>585585</v>
      </c>
      <c r="G1172" s="130">
        <f t="shared" si="185"/>
        <v>111261.15</v>
      </c>
      <c r="H1172" s="131">
        <f t="shared" si="186"/>
        <v>696846</v>
      </c>
    </row>
    <row r="1173" spans="1:8" x14ac:dyDescent="0.25">
      <c r="A1173" s="43" t="s">
        <v>3241</v>
      </c>
      <c r="B1173" s="81" t="s">
        <v>3190</v>
      </c>
      <c r="C1173" s="26" t="s">
        <v>37</v>
      </c>
      <c r="D1173" s="68">
        <v>748000</v>
      </c>
      <c r="E1173" s="74">
        <v>0.05</v>
      </c>
      <c r="F1173" s="129">
        <f t="shared" si="184"/>
        <v>785400</v>
      </c>
      <c r="G1173" s="130">
        <f t="shared" si="185"/>
        <v>149226</v>
      </c>
      <c r="H1173" s="131">
        <f t="shared" si="186"/>
        <v>934626</v>
      </c>
    </row>
    <row r="1174" spans="1:8" x14ac:dyDescent="0.25">
      <c r="A1174" s="43" t="s">
        <v>3242</v>
      </c>
      <c r="B1174" s="81" t="s">
        <v>3191</v>
      </c>
      <c r="C1174" s="26" t="s">
        <v>37</v>
      </c>
      <c r="D1174" s="68">
        <v>778800</v>
      </c>
      <c r="E1174" s="74">
        <v>0.05</v>
      </c>
      <c r="F1174" s="129">
        <f t="shared" si="184"/>
        <v>817740</v>
      </c>
      <c r="G1174" s="130">
        <f t="shared" si="185"/>
        <v>155370.6</v>
      </c>
      <c r="H1174" s="131">
        <f t="shared" si="186"/>
        <v>973111</v>
      </c>
    </row>
    <row r="1175" spans="1:8" x14ac:dyDescent="0.25">
      <c r="A1175" s="43" t="s">
        <v>3243</v>
      </c>
      <c r="B1175" s="81" t="s">
        <v>7795</v>
      </c>
      <c r="C1175" s="26" t="s">
        <v>37</v>
      </c>
      <c r="D1175" s="68">
        <v>808500</v>
      </c>
      <c r="E1175" s="74">
        <v>0.05</v>
      </c>
      <c r="F1175" s="129">
        <f t="shared" si="184"/>
        <v>848925</v>
      </c>
      <c r="G1175" s="130">
        <f t="shared" si="185"/>
        <v>161295.75</v>
      </c>
      <c r="H1175" s="131">
        <f t="shared" si="186"/>
        <v>1010221</v>
      </c>
    </row>
    <row r="1176" spans="1:8" x14ac:dyDescent="0.25">
      <c r="A1176" s="43" t="s">
        <v>3244</v>
      </c>
      <c r="B1176" s="81" t="s">
        <v>3193</v>
      </c>
      <c r="C1176" s="26" t="s">
        <v>37</v>
      </c>
      <c r="D1176" s="68">
        <v>1027400</v>
      </c>
      <c r="E1176" s="74">
        <v>0.05</v>
      </c>
      <c r="F1176" s="129">
        <f t="shared" si="184"/>
        <v>1078770</v>
      </c>
      <c r="G1176" s="130">
        <f t="shared" si="185"/>
        <v>204966.3</v>
      </c>
      <c r="H1176" s="131">
        <f t="shared" si="186"/>
        <v>1283736</v>
      </c>
    </row>
    <row r="1177" spans="1:8" x14ac:dyDescent="0.25">
      <c r="A1177" s="43" t="s">
        <v>3245</v>
      </c>
      <c r="B1177" s="81" t="s">
        <v>7278</v>
      </c>
      <c r="C1177" s="26" t="s">
        <v>37</v>
      </c>
      <c r="D1177" s="68">
        <v>1101100</v>
      </c>
      <c r="E1177" s="74">
        <v>0.05</v>
      </c>
      <c r="F1177" s="129">
        <f t="shared" si="184"/>
        <v>1156155</v>
      </c>
      <c r="G1177" s="130">
        <f t="shared" si="185"/>
        <v>219669.45</v>
      </c>
      <c r="H1177" s="131">
        <f t="shared" si="186"/>
        <v>1375824</v>
      </c>
    </row>
    <row r="1178" spans="1:8" x14ac:dyDescent="0.25">
      <c r="A1178" s="43" t="s">
        <v>3246</v>
      </c>
      <c r="B1178" s="81" t="s">
        <v>7446</v>
      </c>
      <c r="C1178" s="26" t="s">
        <v>37</v>
      </c>
      <c r="D1178" s="1001"/>
      <c r="E1178" s="74">
        <v>0.05</v>
      </c>
      <c r="F1178" s="129">
        <f t="shared" si="184"/>
        <v>0</v>
      </c>
      <c r="G1178" s="130">
        <f t="shared" si="185"/>
        <v>0</v>
      </c>
      <c r="H1178" s="131">
        <f t="shared" si="186"/>
        <v>0</v>
      </c>
    </row>
    <row r="1179" spans="1:8" x14ac:dyDescent="0.25">
      <c r="A1179" s="43" t="s">
        <v>3247</v>
      </c>
      <c r="B1179" s="81" t="s">
        <v>7447</v>
      </c>
      <c r="C1179" s="26" t="s">
        <v>37</v>
      </c>
      <c r="D1179" s="68">
        <v>1291400</v>
      </c>
      <c r="E1179" s="74">
        <v>0.05</v>
      </c>
      <c r="F1179" s="129">
        <f t="shared" si="184"/>
        <v>1355970</v>
      </c>
      <c r="G1179" s="130">
        <f t="shared" si="185"/>
        <v>257634.30000000002</v>
      </c>
      <c r="H1179" s="131">
        <f t="shared" si="186"/>
        <v>1613604</v>
      </c>
    </row>
    <row r="1180" spans="1:8" x14ac:dyDescent="0.25">
      <c r="A1180" s="43" t="s">
        <v>3248</v>
      </c>
      <c r="B1180" s="81" t="s">
        <v>7796</v>
      </c>
      <c r="C1180" s="26" t="s">
        <v>37</v>
      </c>
      <c r="D1180" s="68">
        <v>1296900</v>
      </c>
      <c r="E1180" s="74">
        <v>0.05</v>
      </c>
      <c r="F1180" s="129">
        <f t="shared" si="184"/>
        <v>1361745</v>
      </c>
      <c r="G1180" s="130">
        <f t="shared" si="185"/>
        <v>258731.55000000002</v>
      </c>
      <c r="H1180" s="131">
        <f t="shared" si="186"/>
        <v>1620477</v>
      </c>
    </row>
    <row r="1181" spans="1:8" x14ac:dyDescent="0.25">
      <c r="A1181" s="43" t="s">
        <v>3249</v>
      </c>
      <c r="B1181" s="81" t="s">
        <v>7448</v>
      </c>
      <c r="C1181" s="26" t="s">
        <v>37</v>
      </c>
      <c r="D1181" s="68">
        <v>1310100</v>
      </c>
      <c r="E1181" s="74">
        <v>0.05</v>
      </c>
      <c r="F1181" s="129">
        <f t="shared" si="184"/>
        <v>1375605</v>
      </c>
      <c r="G1181" s="130">
        <f t="shared" si="185"/>
        <v>261364.95</v>
      </c>
      <c r="H1181" s="131">
        <f t="shared" si="186"/>
        <v>1636970</v>
      </c>
    </row>
    <row r="1182" spans="1:8" x14ac:dyDescent="0.25">
      <c r="A1182" s="43" t="s">
        <v>3250</v>
      </c>
      <c r="B1182" s="81" t="s">
        <v>7449</v>
      </c>
      <c r="C1182" s="26" t="s">
        <v>37</v>
      </c>
      <c r="D1182" s="68">
        <v>1523500</v>
      </c>
      <c r="E1182" s="74">
        <v>0.05</v>
      </c>
      <c r="F1182" s="129">
        <f t="shared" si="184"/>
        <v>1599675</v>
      </c>
      <c r="G1182" s="130">
        <f t="shared" si="185"/>
        <v>303938.25</v>
      </c>
      <c r="H1182" s="131">
        <f t="shared" si="186"/>
        <v>1903613</v>
      </c>
    </row>
    <row r="1183" spans="1:8" x14ac:dyDescent="0.25">
      <c r="A1183" s="43" t="s">
        <v>3251</v>
      </c>
      <c r="B1183" s="81" t="s">
        <v>7450</v>
      </c>
      <c r="C1183" s="26" t="s">
        <v>37</v>
      </c>
      <c r="D1183" s="68">
        <v>1573000</v>
      </c>
      <c r="E1183" s="74">
        <v>0.05</v>
      </c>
      <c r="F1183" s="129">
        <f t="shared" si="184"/>
        <v>1651650</v>
      </c>
      <c r="G1183" s="130">
        <f t="shared" si="185"/>
        <v>313813.5</v>
      </c>
      <c r="H1183" s="131">
        <f t="shared" si="186"/>
        <v>1965464</v>
      </c>
    </row>
    <row r="1184" spans="1:8" x14ac:dyDescent="0.25">
      <c r="A1184" s="43" t="s">
        <v>3252</v>
      </c>
      <c r="B1184" s="81" t="s">
        <v>7601</v>
      </c>
      <c r="C1184" s="26" t="s">
        <v>37</v>
      </c>
      <c r="D1184" s="68"/>
      <c r="E1184" s="74">
        <v>0.05</v>
      </c>
      <c r="F1184" s="129">
        <f t="shared" si="184"/>
        <v>0</v>
      </c>
      <c r="G1184" s="130">
        <f t="shared" si="185"/>
        <v>0</v>
      </c>
      <c r="H1184" s="131">
        <f t="shared" si="186"/>
        <v>0</v>
      </c>
    </row>
    <row r="1185" spans="1:8" x14ac:dyDescent="0.25">
      <c r="A1185" s="43" t="s">
        <v>3253</v>
      </c>
      <c r="B1185" s="81" t="s">
        <v>7797</v>
      </c>
      <c r="C1185" s="26" t="s">
        <v>37</v>
      </c>
      <c r="D1185" s="68">
        <v>1746800</v>
      </c>
      <c r="E1185" s="74">
        <v>0.05</v>
      </c>
      <c r="F1185" s="129">
        <f t="shared" si="184"/>
        <v>1834140</v>
      </c>
      <c r="G1185" s="130">
        <f t="shared" si="185"/>
        <v>348486.6</v>
      </c>
      <c r="H1185" s="131">
        <f t="shared" si="186"/>
        <v>2182627</v>
      </c>
    </row>
    <row r="1186" spans="1:8" x14ac:dyDescent="0.25">
      <c r="A1186" s="43" t="s">
        <v>3254</v>
      </c>
      <c r="B1186" s="81" t="s">
        <v>7602</v>
      </c>
      <c r="C1186" s="26" t="s">
        <v>37</v>
      </c>
      <c r="D1186" s="68">
        <v>1876600</v>
      </c>
      <c r="E1186" s="74">
        <v>0.05</v>
      </c>
      <c r="F1186" s="129">
        <f t="shared" si="184"/>
        <v>1970430</v>
      </c>
      <c r="G1186" s="130">
        <f t="shared" si="185"/>
        <v>374381.7</v>
      </c>
      <c r="H1186" s="131">
        <f t="shared" si="186"/>
        <v>2344812</v>
      </c>
    </row>
    <row r="1187" spans="1:8" x14ac:dyDescent="0.25">
      <c r="A1187" s="43" t="s">
        <v>3255</v>
      </c>
      <c r="B1187" s="81" t="s">
        <v>7603</v>
      </c>
      <c r="C1187" s="26" t="s">
        <v>37</v>
      </c>
      <c r="D1187" s="68">
        <v>2036100</v>
      </c>
      <c r="E1187" s="74">
        <v>0.05</v>
      </c>
      <c r="F1187" s="129">
        <f t="shared" si="184"/>
        <v>2137905</v>
      </c>
      <c r="G1187" s="130">
        <f t="shared" si="185"/>
        <v>406201.95</v>
      </c>
      <c r="H1187" s="131">
        <f t="shared" si="186"/>
        <v>2544107</v>
      </c>
    </row>
    <row r="1188" spans="1:8" x14ac:dyDescent="0.25">
      <c r="A1188" s="43" t="s">
        <v>3256</v>
      </c>
      <c r="B1188" s="81" t="s">
        <v>7604</v>
      </c>
      <c r="C1188" s="26" t="s">
        <v>37</v>
      </c>
      <c r="D1188" s="68">
        <v>2200000</v>
      </c>
      <c r="E1188" s="74">
        <v>0.05</v>
      </c>
      <c r="F1188" s="129">
        <f t="shared" si="184"/>
        <v>2310000</v>
      </c>
      <c r="G1188" s="130">
        <f t="shared" si="185"/>
        <v>438900</v>
      </c>
      <c r="H1188" s="131">
        <f t="shared" si="186"/>
        <v>2748900</v>
      </c>
    </row>
    <row r="1189" spans="1:8" x14ac:dyDescent="0.25">
      <c r="A1189" s="43" t="s">
        <v>3257</v>
      </c>
      <c r="B1189" s="81" t="s">
        <v>7605</v>
      </c>
      <c r="C1189" s="26" t="s">
        <v>37</v>
      </c>
      <c r="D1189" s="68">
        <v>2164800</v>
      </c>
      <c r="E1189" s="74">
        <v>0.05</v>
      </c>
      <c r="F1189" s="129">
        <f t="shared" si="184"/>
        <v>2273040</v>
      </c>
      <c r="G1189" s="130">
        <f t="shared" si="185"/>
        <v>431877.6</v>
      </c>
      <c r="H1189" s="131">
        <f t="shared" si="186"/>
        <v>2704918</v>
      </c>
    </row>
    <row r="1190" spans="1:8" x14ac:dyDescent="0.25">
      <c r="A1190" s="43" t="s">
        <v>3258</v>
      </c>
      <c r="B1190" s="81" t="s">
        <v>7798</v>
      </c>
      <c r="C1190" s="26" t="s">
        <v>37</v>
      </c>
      <c r="D1190" s="68"/>
      <c r="E1190" s="74">
        <v>0.05</v>
      </c>
      <c r="F1190" s="129">
        <f t="shared" si="184"/>
        <v>0</v>
      </c>
      <c r="G1190" s="130">
        <f t="shared" ref="G1190:G1208" si="187">F1190*0.19</f>
        <v>0</v>
      </c>
      <c r="H1190" s="131">
        <f t="shared" si="186"/>
        <v>0</v>
      </c>
    </row>
    <row r="1191" spans="1:8" x14ac:dyDescent="0.25">
      <c r="A1191" s="43" t="s">
        <v>3259</v>
      </c>
      <c r="B1191" s="81" t="s">
        <v>3208</v>
      </c>
      <c r="C1191" s="26" t="s">
        <v>37</v>
      </c>
      <c r="D1191" s="68"/>
      <c r="E1191" s="74">
        <v>0.05</v>
      </c>
      <c r="F1191" s="129">
        <f t="shared" si="184"/>
        <v>0</v>
      </c>
      <c r="G1191" s="130">
        <f t="shared" si="187"/>
        <v>0</v>
      </c>
      <c r="H1191" s="131">
        <f t="shared" si="186"/>
        <v>0</v>
      </c>
    </row>
    <row r="1192" spans="1:8" x14ac:dyDescent="0.25">
      <c r="A1192" s="43" t="s">
        <v>3260</v>
      </c>
      <c r="B1192" s="81" t="s">
        <v>7279</v>
      </c>
      <c r="C1192" s="26" t="s">
        <v>37</v>
      </c>
      <c r="D1192" s="68">
        <v>2625700</v>
      </c>
      <c r="E1192" s="74">
        <v>0.05</v>
      </c>
      <c r="F1192" s="129">
        <f t="shared" si="184"/>
        <v>2756985</v>
      </c>
      <c r="G1192" s="130">
        <f t="shared" si="187"/>
        <v>523827.15</v>
      </c>
      <c r="H1192" s="131">
        <f t="shared" si="186"/>
        <v>3280812</v>
      </c>
    </row>
    <row r="1193" spans="1:8" x14ac:dyDescent="0.25">
      <c r="A1193" s="43" t="s">
        <v>3261</v>
      </c>
      <c r="B1193" s="81" t="s">
        <v>3210</v>
      </c>
      <c r="C1193" s="26" t="s">
        <v>37</v>
      </c>
      <c r="D1193" s="68">
        <v>2758800</v>
      </c>
      <c r="E1193" s="74">
        <v>0.05</v>
      </c>
      <c r="F1193" s="129">
        <f t="shared" si="184"/>
        <v>2896740</v>
      </c>
      <c r="G1193" s="130">
        <f t="shared" si="187"/>
        <v>550380.6</v>
      </c>
      <c r="H1193" s="131">
        <f t="shared" si="186"/>
        <v>3447121</v>
      </c>
    </row>
    <row r="1194" spans="1:8" x14ac:dyDescent="0.25">
      <c r="A1194" s="43" t="s">
        <v>3262</v>
      </c>
      <c r="B1194" s="81" t="s">
        <v>7451</v>
      </c>
      <c r="C1194" s="26" t="s">
        <v>37</v>
      </c>
      <c r="D1194" s="68">
        <v>2880900</v>
      </c>
      <c r="E1194" s="74">
        <v>0.05</v>
      </c>
      <c r="F1194" s="129">
        <f t="shared" si="184"/>
        <v>3024945</v>
      </c>
      <c r="G1194" s="130">
        <f t="shared" si="187"/>
        <v>574739.55000000005</v>
      </c>
      <c r="H1194" s="131">
        <f t="shared" si="186"/>
        <v>3599685</v>
      </c>
    </row>
    <row r="1195" spans="1:8" x14ac:dyDescent="0.25">
      <c r="A1195" s="43" t="s">
        <v>3263</v>
      </c>
      <c r="B1195" s="81" t="s">
        <v>7606</v>
      </c>
      <c r="C1195" s="26" t="s">
        <v>37</v>
      </c>
      <c r="D1195" s="68">
        <v>3136100</v>
      </c>
      <c r="E1195" s="74">
        <v>0.05</v>
      </c>
      <c r="F1195" s="129">
        <f t="shared" si="184"/>
        <v>3292905</v>
      </c>
      <c r="G1195" s="130">
        <f t="shared" si="187"/>
        <v>625651.94999999995</v>
      </c>
      <c r="H1195" s="131">
        <f t="shared" si="186"/>
        <v>3918557</v>
      </c>
    </row>
    <row r="1196" spans="1:8" x14ac:dyDescent="0.25">
      <c r="A1196" s="43" t="s">
        <v>3264</v>
      </c>
      <c r="B1196" s="81" t="s">
        <v>3220</v>
      </c>
      <c r="C1196" s="26" t="s">
        <v>37</v>
      </c>
      <c r="D1196" s="68">
        <v>2445300</v>
      </c>
      <c r="E1196" s="74">
        <v>0.05</v>
      </c>
      <c r="F1196" s="129">
        <f t="shared" si="184"/>
        <v>2567565</v>
      </c>
      <c r="G1196" s="130">
        <f t="shared" si="187"/>
        <v>487837.35</v>
      </c>
      <c r="H1196" s="131">
        <f t="shared" si="186"/>
        <v>3055402</v>
      </c>
    </row>
    <row r="1197" spans="1:8" x14ac:dyDescent="0.25">
      <c r="A1197" s="43" t="s">
        <v>3265</v>
      </c>
      <c r="B1197" s="81" t="s">
        <v>7280</v>
      </c>
      <c r="C1197" s="26" t="s">
        <v>37</v>
      </c>
      <c r="D1197" s="68">
        <v>2796200</v>
      </c>
      <c r="E1197" s="74">
        <v>0.05</v>
      </c>
      <c r="F1197" s="129">
        <f t="shared" si="184"/>
        <v>2936010</v>
      </c>
      <c r="G1197" s="130">
        <f t="shared" si="187"/>
        <v>557841.9</v>
      </c>
      <c r="H1197" s="131">
        <f t="shared" si="186"/>
        <v>3493852</v>
      </c>
    </row>
    <row r="1198" spans="1:8" x14ac:dyDescent="0.25">
      <c r="A1198" s="43" t="s">
        <v>3266</v>
      </c>
      <c r="B1198" s="81" t="s">
        <v>3222</v>
      </c>
      <c r="C1198" s="26" t="s">
        <v>37</v>
      </c>
      <c r="D1198" s="68">
        <v>2950200</v>
      </c>
      <c r="E1198" s="74">
        <v>0.05</v>
      </c>
      <c r="F1198" s="129">
        <f t="shared" si="184"/>
        <v>3097710</v>
      </c>
      <c r="G1198" s="130">
        <f t="shared" si="187"/>
        <v>588564.9</v>
      </c>
      <c r="H1198" s="131">
        <f t="shared" si="186"/>
        <v>3686275</v>
      </c>
    </row>
    <row r="1199" spans="1:8" x14ac:dyDescent="0.25">
      <c r="A1199" s="43" t="s">
        <v>3267</v>
      </c>
      <c r="B1199" s="81" t="s">
        <v>7452</v>
      </c>
      <c r="C1199" s="26" t="s">
        <v>37</v>
      </c>
      <c r="D1199" s="68">
        <v>3353900</v>
      </c>
      <c r="E1199" s="74">
        <v>0.05</v>
      </c>
      <c r="F1199" s="129">
        <f t="shared" si="184"/>
        <v>3521595</v>
      </c>
      <c r="G1199" s="130">
        <f t="shared" si="187"/>
        <v>669103.05000000005</v>
      </c>
      <c r="H1199" s="131">
        <f t="shared" si="186"/>
        <v>4190698</v>
      </c>
    </row>
    <row r="1200" spans="1:8" x14ac:dyDescent="0.25">
      <c r="A1200" s="43" t="s">
        <v>3268</v>
      </c>
      <c r="B1200" s="81" t="s">
        <v>7607</v>
      </c>
      <c r="C1200" s="26" t="s">
        <v>37</v>
      </c>
      <c r="D1200" s="68">
        <v>3503500</v>
      </c>
      <c r="E1200" s="74">
        <v>0.05</v>
      </c>
      <c r="F1200" s="129">
        <f t="shared" si="184"/>
        <v>3678675</v>
      </c>
      <c r="G1200" s="130">
        <f t="shared" si="187"/>
        <v>698948.25</v>
      </c>
      <c r="H1200" s="131">
        <f t="shared" si="186"/>
        <v>4377623</v>
      </c>
    </row>
    <row r="1201" spans="1:8" x14ac:dyDescent="0.25">
      <c r="A1201" s="43" t="s">
        <v>3269</v>
      </c>
      <c r="B1201" s="81" t="s">
        <v>3225</v>
      </c>
      <c r="C1201" s="26" t="s">
        <v>37</v>
      </c>
      <c r="D1201" s="68">
        <v>3899500</v>
      </c>
      <c r="E1201" s="74">
        <v>0.05</v>
      </c>
      <c r="F1201" s="129">
        <f t="shared" si="184"/>
        <v>4094475</v>
      </c>
      <c r="G1201" s="130">
        <f t="shared" si="187"/>
        <v>777950.25</v>
      </c>
      <c r="H1201" s="131">
        <f t="shared" si="186"/>
        <v>4872425</v>
      </c>
    </row>
    <row r="1202" spans="1:8" x14ac:dyDescent="0.25">
      <c r="A1202" s="43" t="s">
        <v>3270</v>
      </c>
      <c r="B1202" s="81" t="s">
        <v>3217</v>
      </c>
      <c r="C1202" s="26" t="s">
        <v>37</v>
      </c>
      <c r="D1202" s="68"/>
      <c r="E1202" s="74">
        <v>0.05</v>
      </c>
      <c r="F1202" s="129">
        <f t="shared" si="184"/>
        <v>0</v>
      </c>
      <c r="G1202" s="130">
        <f t="shared" si="187"/>
        <v>0</v>
      </c>
      <c r="H1202" s="131">
        <f t="shared" si="186"/>
        <v>0</v>
      </c>
    </row>
    <row r="1203" spans="1:8" x14ac:dyDescent="0.25">
      <c r="A1203" s="43" t="s">
        <v>3271</v>
      </c>
      <c r="B1203" s="81" t="s">
        <v>7281</v>
      </c>
      <c r="C1203" s="26" t="s">
        <v>37</v>
      </c>
      <c r="D1203" s="68"/>
      <c r="E1203" s="74">
        <v>0.05</v>
      </c>
      <c r="F1203" s="129">
        <f t="shared" si="184"/>
        <v>0</v>
      </c>
      <c r="G1203" s="130">
        <f t="shared" si="187"/>
        <v>0</v>
      </c>
      <c r="H1203" s="131">
        <f t="shared" si="186"/>
        <v>0</v>
      </c>
    </row>
    <row r="1204" spans="1:8" x14ac:dyDescent="0.25">
      <c r="A1204" s="43" t="s">
        <v>3272</v>
      </c>
      <c r="B1204" s="81" t="s">
        <v>3216</v>
      </c>
      <c r="C1204" s="26" t="s">
        <v>37</v>
      </c>
      <c r="D1204" s="68">
        <v>3933600</v>
      </c>
      <c r="E1204" s="74">
        <v>0.05</v>
      </c>
      <c r="F1204" s="129">
        <f t="shared" si="184"/>
        <v>4130280</v>
      </c>
      <c r="G1204" s="130">
        <f t="shared" si="187"/>
        <v>784753.2</v>
      </c>
      <c r="H1204" s="131">
        <f t="shared" si="186"/>
        <v>4915033</v>
      </c>
    </row>
    <row r="1205" spans="1:8" x14ac:dyDescent="0.25">
      <c r="A1205" s="43" t="s">
        <v>3273</v>
      </c>
      <c r="B1205" s="81" t="s">
        <v>7453</v>
      </c>
      <c r="C1205" s="26" t="s">
        <v>37</v>
      </c>
      <c r="D1205" s="68">
        <v>4067800</v>
      </c>
      <c r="E1205" s="74">
        <v>0.05</v>
      </c>
      <c r="F1205" s="129">
        <f t="shared" si="184"/>
        <v>4271190</v>
      </c>
      <c r="G1205" s="130">
        <f t="shared" si="187"/>
        <v>811526.1</v>
      </c>
      <c r="H1205" s="131">
        <f t="shared" si="186"/>
        <v>5082716</v>
      </c>
    </row>
    <row r="1206" spans="1:8" x14ac:dyDescent="0.25">
      <c r="A1206" s="43" t="s">
        <v>3274</v>
      </c>
      <c r="B1206" s="81" t="s">
        <v>7608</v>
      </c>
      <c r="C1206" s="26" t="s">
        <v>37</v>
      </c>
      <c r="D1206" s="68">
        <v>4374700</v>
      </c>
      <c r="E1206" s="74">
        <v>0.05</v>
      </c>
      <c r="F1206" s="129">
        <f t="shared" si="184"/>
        <v>4593435</v>
      </c>
      <c r="G1206" s="130">
        <f t="shared" si="187"/>
        <v>872752.65</v>
      </c>
      <c r="H1206" s="131">
        <f t="shared" si="186"/>
        <v>5466188</v>
      </c>
    </row>
    <row r="1207" spans="1:8" x14ac:dyDescent="0.25">
      <c r="A1207" s="43" t="s">
        <v>3275</v>
      </c>
      <c r="B1207" s="81" t="s">
        <v>3213</v>
      </c>
      <c r="C1207" s="26" t="s">
        <v>37</v>
      </c>
      <c r="D1207" s="68">
        <v>4730000</v>
      </c>
      <c r="E1207" s="74">
        <v>0.05</v>
      </c>
      <c r="F1207" s="129">
        <f t="shared" si="184"/>
        <v>4966500</v>
      </c>
      <c r="G1207" s="130">
        <f t="shared" si="187"/>
        <v>943635</v>
      </c>
      <c r="H1207" s="131">
        <f t="shared" si="186"/>
        <v>5910135</v>
      </c>
    </row>
    <row r="1208" spans="1:8" x14ac:dyDescent="0.25">
      <c r="A1208" s="43" t="s">
        <v>3276</v>
      </c>
      <c r="B1208" s="81" t="s">
        <v>3212</v>
      </c>
      <c r="C1208" s="26" t="s">
        <v>37</v>
      </c>
      <c r="D1208" s="68">
        <v>5390000</v>
      </c>
      <c r="E1208" s="74">
        <v>0.05</v>
      </c>
      <c r="F1208" s="129">
        <f t="shared" si="184"/>
        <v>5659500</v>
      </c>
      <c r="G1208" s="130">
        <f t="shared" si="187"/>
        <v>1075305</v>
      </c>
      <c r="H1208" s="131">
        <f t="shared" si="186"/>
        <v>6734805</v>
      </c>
    </row>
    <row r="1209" spans="1:8" x14ac:dyDescent="0.25">
      <c r="A1209" s="44" t="s">
        <v>3277</v>
      </c>
      <c r="B1209" s="80" t="s">
        <v>3278</v>
      </c>
      <c r="C1209" s="26"/>
      <c r="D1209" s="1001"/>
      <c r="E1209" s="74"/>
      <c r="F1209" s="129"/>
      <c r="G1209" s="130"/>
      <c r="H1209" s="131"/>
    </row>
    <row r="1210" spans="1:8" x14ac:dyDescent="0.25">
      <c r="A1210" s="43" t="s">
        <v>3308</v>
      </c>
      <c r="B1210" s="81" t="s">
        <v>3279</v>
      </c>
      <c r="C1210" s="26" t="s">
        <v>37</v>
      </c>
      <c r="D1210" s="68">
        <v>70400</v>
      </c>
      <c r="E1210" s="74">
        <v>0.05</v>
      </c>
      <c r="F1210" s="129">
        <f t="shared" si="184"/>
        <v>73920</v>
      </c>
      <c r="G1210" s="130">
        <f t="shared" ref="G1210:G1241" si="188">F1210*0.19</f>
        <v>14044.8</v>
      </c>
      <c r="H1210" s="131">
        <f t="shared" si="186"/>
        <v>87965</v>
      </c>
    </row>
    <row r="1211" spans="1:8" x14ac:dyDescent="0.25">
      <c r="A1211" s="43" t="s">
        <v>3309</v>
      </c>
      <c r="B1211" s="81" t="s">
        <v>3280</v>
      </c>
      <c r="C1211" s="26" t="s">
        <v>37</v>
      </c>
      <c r="D1211" s="68">
        <v>88000</v>
      </c>
      <c r="E1211" s="74">
        <v>0.05</v>
      </c>
      <c r="F1211" s="129">
        <f t="shared" si="184"/>
        <v>92400</v>
      </c>
      <c r="G1211" s="130">
        <f t="shared" si="188"/>
        <v>17556</v>
      </c>
      <c r="H1211" s="131">
        <f t="shared" si="186"/>
        <v>109956</v>
      </c>
    </row>
    <row r="1212" spans="1:8" x14ac:dyDescent="0.25">
      <c r="A1212" s="43" t="s">
        <v>3310</v>
      </c>
      <c r="B1212" s="81" t="s">
        <v>3281</v>
      </c>
      <c r="C1212" s="26" t="s">
        <v>37</v>
      </c>
      <c r="D1212" s="68">
        <v>105600</v>
      </c>
      <c r="E1212" s="74">
        <v>0.05</v>
      </c>
      <c r="F1212" s="129">
        <f t="shared" si="184"/>
        <v>110880</v>
      </c>
      <c r="G1212" s="130">
        <f t="shared" si="188"/>
        <v>21067.200000000001</v>
      </c>
      <c r="H1212" s="131">
        <f t="shared" si="186"/>
        <v>131947</v>
      </c>
    </row>
    <row r="1213" spans="1:8" x14ac:dyDescent="0.25">
      <c r="A1213" s="43" t="s">
        <v>3311</v>
      </c>
      <c r="B1213" s="81" t="s">
        <v>7799</v>
      </c>
      <c r="C1213" s="26" t="s">
        <v>37</v>
      </c>
      <c r="D1213" s="68">
        <v>158400</v>
      </c>
      <c r="E1213" s="74">
        <v>0.05</v>
      </c>
      <c r="F1213" s="129">
        <f t="shared" si="184"/>
        <v>166320</v>
      </c>
      <c r="G1213" s="130">
        <f t="shared" si="188"/>
        <v>31600.799999999999</v>
      </c>
      <c r="H1213" s="131">
        <f t="shared" si="186"/>
        <v>197921</v>
      </c>
    </row>
    <row r="1214" spans="1:8" x14ac:dyDescent="0.25">
      <c r="A1214" s="43" t="s">
        <v>3312</v>
      </c>
      <c r="B1214" s="81" t="s">
        <v>7800</v>
      </c>
      <c r="C1214" s="26" t="s">
        <v>37</v>
      </c>
      <c r="D1214" s="68">
        <v>176000</v>
      </c>
      <c r="E1214" s="74">
        <v>0.05</v>
      </c>
      <c r="F1214" s="129">
        <f t="shared" si="184"/>
        <v>184800</v>
      </c>
      <c r="G1214" s="130">
        <f t="shared" si="188"/>
        <v>35112</v>
      </c>
      <c r="H1214" s="131">
        <f t="shared" si="186"/>
        <v>219912</v>
      </c>
    </row>
    <row r="1215" spans="1:8" x14ac:dyDescent="0.25">
      <c r="A1215" s="43" t="s">
        <v>3313</v>
      </c>
      <c r="B1215" s="81" t="s">
        <v>7801</v>
      </c>
      <c r="C1215" s="26" t="s">
        <v>37</v>
      </c>
      <c r="D1215" s="68">
        <v>227700</v>
      </c>
      <c r="E1215" s="74">
        <v>0.05</v>
      </c>
      <c r="F1215" s="129">
        <f t="shared" si="184"/>
        <v>239085</v>
      </c>
      <c r="G1215" s="130">
        <f t="shared" si="188"/>
        <v>45426.15</v>
      </c>
      <c r="H1215" s="131">
        <f t="shared" si="186"/>
        <v>284511</v>
      </c>
    </row>
    <row r="1216" spans="1:8" x14ac:dyDescent="0.25">
      <c r="A1216" s="43" t="s">
        <v>3314</v>
      </c>
      <c r="B1216" s="81" t="s">
        <v>3285</v>
      </c>
      <c r="C1216" s="26" t="s">
        <v>37</v>
      </c>
      <c r="D1216" s="68">
        <v>236500</v>
      </c>
      <c r="E1216" s="74">
        <v>0.05</v>
      </c>
      <c r="F1216" s="129">
        <f t="shared" si="184"/>
        <v>248325</v>
      </c>
      <c r="G1216" s="130">
        <f t="shared" si="188"/>
        <v>47181.75</v>
      </c>
      <c r="H1216" s="131">
        <f t="shared" si="186"/>
        <v>295507</v>
      </c>
    </row>
    <row r="1217" spans="1:8" x14ac:dyDescent="0.25">
      <c r="A1217" s="43" t="s">
        <v>3315</v>
      </c>
      <c r="B1217" s="81" t="s">
        <v>3286</v>
      </c>
      <c r="C1217" s="26" t="s">
        <v>37</v>
      </c>
      <c r="D1217" s="68">
        <v>315700</v>
      </c>
      <c r="E1217" s="74">
        <v>0.05</v>
      </c>
      <c r="F1217" s="129">
        <f t="shared" si="184"/>
        <v>331485</v>
      </c>
      <c r="G1217" s="130">
        <f t="shared" si="188"/>
        <v>62982.15</v>
      </c>
      <c r="H1217" s="131">
        <f t="shared" si="186"/>
        <v>394467</v>
      </c>
    </row>
    <row r="1218" spans="1:8" x14ac:dyDescent="0.25">
      <c r="A1218" s="43" t="s">
        <v>3316</v>
      </c>
      <c r="B1218" s="81" t="s">
        <v>3295</v>
      </c>
      <c r="C1218" s="26" t="s">
        <v>37</v>
      </c>
      <c r="D1218" s="68">
        <v>315700</v>
      </c>
      <c r="E1218" s="74">
        <v>0.05</v>
      </c>
      <c r="F1218" s="129">
        <f t="shared" si="184"/>
        <v>331485</v>
      </c>
      <c r="G1218" s="130">
        <f t="shared" si="188"/>
        <v>62982.15</v>
      </c>
      <c r="H1218" s="131">
        <f t="shared" si="186"/>
        <v>394467</v>
      </c>
    </row>
    <row r="1219" spans="1:8" x14ac:dyDescent="0.25">
      <c r="A1219" s="43" t="s">
        <v>3317</v>
      </c>
      <c r="B1219" s="81" t="s">
        <v>7802</v>
      </c>
      <c r="C1219" s="26" t="s">
        <v>37</v>
      </c>
      <c r="D1219" s="68">
        <v>333300</v>
      </c>
      <c r="E1219" s="74">
        <v>0.05</v>
      </c>
      <c r="F1219" s="129">
        <f t="shared" si="184"/>
        <v>349965</v>
      </c>
      <c r="G1219" s="130">
        <f t="shared" si="188"/>
        <v>66493.350000000006</v>
      </c>
      <c r="H1219" s="131">
        <f t="shared" si="186"/>
        <v>416458</v>
      </c>
    </row>
    <row r="1220" spans="1:8" x14ac:dyDescent="0.25">
      <c r="A1220" s="43" t="s">
        <v>3318</v>
      </c>
      <c r="B1220" s="81" t="s">
        <v>7282</v>
      </c>
      <c r="C1220" s="26" t="s">
        <v>37</v>
      </c>
      <c r="D1220" s="1001"/>
      <c r="E1220" s="74">
        <v>0.05</v>
      </c>
      <c r="F1220" s="129">
        <f t="shared" si="184"/>
        <v>0</v>
      </c>
      <c r="G1220" s="130">
        <f t="shared" si="188"/>
        <v>0</v>
      </c>
      <c r="H1220" s="131">
        <f t="shared" si="186"/>
        <v>0</v>
      </c>
    </row>
    <row r="1221" spans="1:8" x14ac:dyDescent="0.25">
      <c r="A1221" s="43" t="s">
        <v>3319</v>
      </c>
      <c r="B1221" s="81" t="s">
        <v>7283</v>
      </c>
      <c r="C1221" s="26" t="s">
        <v>37</v>
      </c>
      <c r="D1221" s="68">
        <v>426800</v>
      </c>
      <c r="E1221" s="74">
        <v>0.05</v>
      </c>
      <c r="F1221" s="129">
        <f t="shared" si="184"/>
        <v>448140</v>
      </c>
      <c r="G1221" s="130">
        <f t="shared" si="188"/>
        <v>85146.6</v>
      </c>
      <c r="H1221" s="131">
        <f t="shared" si="186"/>
        <v>533287</v>
      </c>
    </row>
    <row r="1222" spans="1:8" x14ac:dyDescent="0.25">
      <c r="A1222" s="43" t="s">
        <v>3320</v>
      </c>
      <c r="B1222" s="81" t="s">
        <v>7284</v>
      </c>
      <c r="C1222" s="26" t="s">
        <v>37</v>
      </c>
      <c r="D1222" s="68">
        <v>446600</v>
      </c>
      <c r="E1222" s="74">
        <v>0.05</v>
      </c>
      <c r="F1222" s="129">
        <f t="shared" ref="F1222:F1285" si="189">+D1222+D1222*E1222</f>
        <v>468930</v>
      </c>
      <c r="G1222" s="130">
        <f t="shared" si="188"/>
        <v>89096.7</v>
      </c>
      <c r="H1222" s="131">
        <f t="shared" ref="H1222:H1285" si="190">ROUND((F1222+G1222),0)</f>
        <v>558027</v>
      </c>
    </row>
    <row r="1223" spans="1:8" x14ac:dyDescent="0.25">
      <c r="A1223" s="43" t="s">
        <v>3321</v>
      </c>
      <c r="B1223" s="81" t="s">
        <v>7803</v>
      </c>
      <c r="C1223" s="26" t="s">
        <v>37</v>
      </c>
      <c r="D1223" s="68">
        <v>470800</v>
      </c>
      <c r="E1223" s="74">
        <v>0.05</v>
      </c>
      <c r="F1223" s="129">
        <f t="shared" si="189"/>
        <v>494340</v>
      </c>
      <c r="G1223" s="130">
        <f t="shared" si="188"/>
        <v>93924.6</v>
      </c>
      <c r="H1223" s="131">
        <f t="shared" si="190"/>
        <v>588265</v>
      </c>
    </row>
    <row r="1224" spans="1:8" x14ac:dyDescent="0.25">
      <c r="A1224" s="43" t="s">
        <v>3322</v>
      </c>
      <c r="B1224" s="81" t="s">
        <v>7285</v>
      </c>
      <c r="C1224" s="26" t="s">
        <v>37</v>
      </c>
      <c r="D1224" s="68">
        <v>601700</v>
      </c>
      <c r="E1224" s="74">
        <v>0.05</v>
      </c>
      <c r="F1224" s="129">
        <f t="shared" si="189"/>
        <v>631785</v>
      </c>
      <c r="G1224" s="130">
        <f t="shared" si="188"/>
        <v>120039.15</v>
      </c>
      <c r="H1224" s="131">
        <f t="shared" si="190"/>
        <v>751824</v>
      </c>
    </row>
    <row r="1225" spans="1:8" x14ac:dyDescent="0.25">
      <c r="A1225" s="43" t="s">
        <v>3323</v>
      </c>
      <c r="B1225" s="81" t="s">
        <v>3302</v>
      </c>
      <c r="C1225" s="26" t="s">
        <v>37</v>
      </c>
      <c r="D1225" s="68">
        <v>748000</v>
      </c>
      <c r="E1225" s="74">
        <v>0.05</v>
      </c>
      <c r="F1225" s="129">
        <f t="shared" si="189"/>
        <v>785400</v>
      </c>
      <c r="G1225" s="130">
        <f t="shared" si="188"/>
        <v>149226</v>
      </c>
      <c r="H1225" s="131">
        <f t="shared" si="190"/>
        <v>934626</v>
      </c>
    </row>
    <row r="1226" spans="1:8" x14ac:dyDescent="0.25">
      <c r="A1226" s="43" t="s">
        <v>3324</v>
      </c>
      <c r="B1226" s="81" t="s">
        <v>3303</v>
      </c>
      <c r="C1226" s="26" t="s">
        <v>37</v>
      </c>
      <c r="D1226" s="68">
        <v>778800</v>
      </c>
      <c r="E1226" s="74">
        <v>0.05</v>
      </c>
      <c r="F1226" s="129">
        <f t="shared" si="189"/>
        <v>817740</v>
      </c>
      <c r="G1226" s="130">
        <f t="shared" si="188"/>
        <v>155370.6</v>
      </c>
      <c r="H1226" s="131">
        <f t="shared" si="190"/>
        <v>973111</v>
      </c>
    </row>
    <row r="1227" spans="1:8" x14ac:dyDescent="0.25">
      <c r="A1227" s="43" t="s">
        <v>3325</v>
      </c>
      <c r="B1227" s="81" t="s">
        <v>7804</v>
      </c>
      <c r="C1227" s="26" t="s">
        <v>37</v>
      </c>
      <c r="D1227" s="68">
        <v>808500</v>
      </c>
      <c r="E1227" s="74">
        <v>0.05</v>
      </c>
      <c r="F1227" s="129">
        <f t="shared" si="189"/>
        <v>848925</v>
      </c>
      <c r="G1227" s="130">
        <f t="shared" si="188"/>
        <v>161295.75</v>
      </c>
      <c r="H1227" s="131">
        <f t="shared" si="190"/>
        <v>1010221</v>
      </c>
    </row>
    <row r="1228" spans="1:8" x14ac:dyDescent="0.25">
      <c r="A1228" s="43" t="s">
        <v>3326</v>
      </c>
      <c r="B1228" s="81" t="s">
        <v>3305</v>
      </c>
      <c r="C1228" s="26" t="s">
        <v>37</v>
      </c>
      <c r="D1228" s="68">
        <v>1007600</v>
      </c>
      <c r="E1228" s="74">
        <v>0.05</v>
      </c>
      <c r="F1228" s="129">
        <f t="shared" si="189"/>
        <v>1057980</v>
      </c>
      <c r="G1228" s="130">
        <f t="shared" si="188"/>
        <v>201016.2</v>
      </c>
      <c r="H1228" s="131">
        <f t="shared" si="190"/>
        <v>1258996</v>
      </c>
    </row>
    <row r="1229" spans="1:8" x14ac:dyDescent="0.25">
      <c r="A1229" s="43" t="s">
        <v>3327</v>
      </c>
      <c r="B1229" s="81" t="s">
        <v>7286</v>
      </c>
      <c r="C1229" s="26" t="s">
        <v>37</v>
      </c>
      <c r="D1229" s="68">
        <v>1027400</v>
      </c>
      <c r="E1229" s="74">
        <v>0.05</v>
      </c>
      <c r="F1229" s="129">
        <f t="shared" si="189"/>
        <v>1078770</v>
      </c>
      <c r="G1229" s="130">
        <f t="shared" si="188"/>
        <v>204966.3</v>
      </c>
      <c r="H1229" s="131">
        <f t="shared" si="190"/>
        <v>1283736</v>
      </c>
    </row>
    <row r="1230" spans="1:8" x14ac:dyDescent="0.25">
      <c r="A1230" s="43" t="s">
        <v>3328</v>
      </c>
      <c r="B1230" s="81" t="s">
        <v>7454</v>
      </c>
      <c r="C1230" s="26" t="s">
        <v>37</v>
      </c>
      <c r="D1230" s="68"/>
      <c r="E1230" s="74">
        <v>0.05</v>
      </c>
      <c r="F1230" s="129">
        <f t="shared" si="189"/>
        <v>0</v>
      </c>
      <c r="G1230" s="130">
        <f t="shared" si="188"/>
        <v>0</v>
      </c>
      <c r="H1230" s="131">
        <f t="shared" si="190"/>
        <v>0</v>
      </c>
    </row>
    <row r="1231" spans="1:8" x14ac:dyDescent="0.25">
      <c r="A1231" s="43" t="s">
        <v>3329</v>
      </c>
      <c r="B1231" s="81" t="s">
        <v>7455</v>
      </c>
      <c r="C1231" s="26" t="s">
        <v>37</v>
      </c>
      <c r="D1231" s="68">
        <v>1291400</v>
      </c>
      <c r="E1231" s="74">
        <v>0.05</v>
      </c>
      <c r="F1231" s="129">
        <f t="shared" si="189"/>
        <v>1355970</v>
      </c>
      <c r="G1231" s="130">
        <f t="shared" si="188"/>
        <v>257634.30000000002</v>
      </c>
      <c r="H1231" s="131">
        <f t="shared" si="190"/>
        <v>1613604</v>
      </c>
    </row>
    <row r="1232" spans="1:8" x14ac:dyDescent="0.25">
      <c r="A1232" s="43" t="s">
        <v>3330</v>
      </c>
      <c r="B1232" s="81" t="s">
        <v>7805</v>
      </c>
      <c r="C1232" s="26" t="s">
        <v>37</v>
      </c>
      <c r="D1232" s="68">
        <v>1296900</v>
      </c>
      <c r="E1232" s="74">
        <v>0.05</v>
      </c>
      <c r="F1232" s="129">
        <f t="shared" si="189"/>
        <v>1361745</v>
      </c>
      <c r="G1232" s="130">
        <f t="shared" si="188"/>
        <v>258731.55000000002</v>
      </c>
      <c r="H1232" s="131">
        <f t="shared" si="190"/>
        <v>1620477</v>
      </c>
    </row>
    <row r="1233" spans="1:8" x14ac:dyDescent="0.25">
      <c r="A1233" s="43" t="s">
        <v>3331</v>
      </c>
      <c r="B1233" s="81" t="s">
        <v>7456</v>
      </c>
      <c r="C1233" s="26" t="s">
        <v>37</v>
      </c>
      <c r="D1233" s="68">
        <v>1310100</v>
      </c>
      <c r="E1233" s="74">
        <v>0.05</v>
      </c>
      <c r="F1233" s="129">
        <f t="shared" si="189"/>
        <v>1375605</v>
      </c>
      <c r="G1233" s="130">
        <f t="shared" si="188"/>
        <v>261364.95</v>
      </c>
      <c r="H1233" s="131">
        <f t="shared" si="190"/>
        <v>1636970</v>
      </c>
    </row>
    <row r="1234" spans="1:8" x14ac:dyDescent="0.25">
      <c r="A1234" s="43" t="s">
        <v>3332</v>
      </c>
      <c r="B1234" s="81" t="s">
        <v>7457</v>
      </c>
      <c r="C1234" s="26" t="s">
        <v>37</v>
      </c>
      <c r="D1234" s="68">
        <v>1523500</v>
      </c>
      <c r="E1234" s="74">
        <v>0.05</v>
      </c>
      <c r="F1234" s="129">
        <f t="shared" si="189"/>
        <v>1599675</v>
      </c>
      <c r="G1234" s="130">
        <f t="shared" si="188"/>
        <v>303938.25</v>
      </c>
      <c r="H1234" s="131">
        <f t="shared" si="190"/>
        <v>1903613</v>
      </c>
    </row>
    <row r="1235" spans="1:8" x14ac:dyDescent="0.25">
      <c r="A1235" s="43" t="s">
        <v>3333</v>
      </c>
      <c r="B1235" s="81" t="s">
        <v>7458</v>
      </c>
      <c r="C1235" s="26" t="s">
        <v>37</v>
      </c>
      <c r="D1235" s="68">
        <v>1573000</v>
      </c>
      <c r="E1235" s="74">
        <v>0.05</v>
      </c>
      <c r="F1235" s="129">
        <f t="shared" si="189"/>
        <v>1651650</v>
      </c>
      <c r="G1235" s="130">
        <f t="shared" si="188"/>
        <v>313813.5</v>
      </c>
      <c r="H1235" s="131">
        <f t="shared" si="190"/>
        <v>1965464</v>
      </c>
    </row>
    <row r="1236" spans="1:8" x14ac:dyDescent="0.25">
      <c r="A1236" s="43" t="s">
        <v>3334</v>
      </c>
      <c r="B1236" s="81" t="s">
        <v>7609</v>
      </c>
      <c r="C1236" s="26" t="s">
        <v>37</v>
      </c>
      <c r="D1236" s="68"/>
      <c r="E1236" s="74">
        <v>0.05</v>
      </c>
      <c r="F1236" s="129">
        <f t="shared" si="189"/>
        <v>0</v>
      </c>
      <c r="G1236" s="130">
        <f t="shared" si="188"/>
        <v>0</v>
      </c>
      <c r="H1236" s="131">
        <f t="shared" si="190"/>
        <v>0</v>
      </c>
    </row>
    <row r="1237" spans="1:8" x14ac:dyDescent="0.25">
      <c r="A1237" s="43" t="s">
        <v>3335</v>
      </c>
      <c r="B1237" s="81" t="s">
        <v>7806</v>
      </c>
      <c r="C1237" s="26" t="s">
        <v>37</v>
      </c>
      <c r="D1237" s="68">
        <v>1436600</v>
      </c>
      <c r="E1237" s="74">
        <v>0.05</v>
      </c>
      <c r="F1237" s="129">
        <f t="shared" si="189"/>
        <v>1508430</v>
      </c>
      <c r="G1237" s="130">
        <f t="shared" si="188"/>
        <v>286601.7</v>
      </c>
      <c r="H1237" s="131">
        <f t="shared" si="190"/>
        <v>1795032</v>
      </c>
    </row>
    <row r="1238" spans="1:8" x14ac:dyDescent="0.25">
      <c r="A1238" s="43" t="s">
        <v>3336</v>
      </c>
      <c r="B1238" s="81" t="s">
        <v>7610</v>
      </c>
      <c r="C1238" s="26" t="s">
        <v>37</v>
      </c>
      <c r="D1238" s="68">
        <v>1876600</v>
      </c>
      <c r="E1238" s="74">
        <v>0.05</v>
      </c>
      <c r="F1238" s="129">
        <f t="shared" si="189"/>
        <v>1970430</v>
      </c>
      <c r="G1238" s="130">
        <f t="shared" si="188"/>
        <v>374381.7</v>
      </c>
      <c r="H1238" s="131">
        <f t="shared" si="190"/>
        <v>2344812</v>
      </c>
    </row>
    <row r="1239" spans="1:8" x14ac:dyDescent="0.25">
      <c r="A1239" s="43" t="s">
        <v>3337</v>
      </c>
      <c r="B1239" s="81" t="s">
        <v>7611</v>
      </c>
      <c r="C1239" s="26" t="s">
        <v>37</v>
      </c>
      <c r="D1239" s="68">
        <v>1876600</v>
      </c>
      <c r="E1239" s="74">
        <v>0.05</v>
      </c>
      <c r="F1239" s="129">
        <f t="shared" si="189"/>
        <v>1970430</v>
      </c>
      <c r="G1239" s="130">
        <f t="shared" si="188"/>
        <v>374381.7</v>
      </c>
      <c r="H1239" s="131">
        <f t="shared" si="190"/>
        <v>2344812</v>
      </c>
    </row>
    <row r="1240" spans="1:8" x14ac:dyDescent="0.25">
      <c r="A1240" s="43" t="s">
        <v>3338</v>
      </c>
      <c r="B1240" s="81" t="s">
        <v>7612</v>
      </c>
      <c r="C1240" s="26" t="s">
        <v>37</v>
      </c>
      <c r="D1240" s="68">
        <v>2200000</v>
      </c>
      <c r="E1240" s="74">
        <v>0.05</v>
      </c>
      <c r="F1240" s="129">
        <f t="shared" si="189"/>
        <v>2310000</v>
      </c>
      <c r="G1240" s="130">
        <f t="shared" si="188"/>
        <v>438900</v>
      </c>
      <c r="H1240" s="131">
        <f t="shared" si="190"/>
        <v>2748900</v>
      </c>
    </row>
    <row r="1241" spans="1:8" x14ac:dyDescent="0.25">
      <c r="A1241" s="43" t="s">
        <v>3339</v>
      </c>
      <c r="B1241" s="81" t="s">
        <v>7613</v>
      </c>
      <c r="C1241" s="26" t="s">
        <v>37</v>
      </c>
      <c r="D1241" s="68">
        <v>2164800</v>
      </c>
      <c r="E1241" s="74">
        <v>0.05</v>
      </c>
      <c r="F1241" s="129">
        <f t="shared" si="189"/>
        <v>2273040</v>
      </c>
      <c r="G1241" s="130">
        <f t="shared" si="188"/>
        <v>431877.6</v>
      </c>
      <c r="H1241" s="131">
        <f t="shared" si="190"/>
        <v>2704918</v>
      </c>
    </row>
    <row r="1242" spans="1:8" x14ac:dyDescent="0.25">
      <c r="A1242" s="43" t="s">
        <v>3340</v>
      </c>
      <c r="B1242" s="81" t="s">
        <v>7807</v>
      </c>
      <c r="C1242" s="26" t="s">
        <v>37</v>
      </c>
      <c r="D1242" s="1001">
        <v>1591700</v>
      </c>
      <c r="E1242" s="74">
        <v>0.05</v>
      </c>
      <c r="F1242" s="129">
        <f t="shared" si="189"/>
        <v>1671285</v>
      </c>
      <c r="G1242" s="130">
        <f t="shared" ref="G1242:G1260" si="191">F1242*0.19</f>
        <v>317544.15000000002</v>
      </c>
      <c r="H1242" s="131">
        <f t="shared" si="190"/>
        <v>1988829</v>
      </c>
    </row>
    <row r="1243" spans="1:8" x14ac:dyDescent="0.25">
      <c r="A1243" s="43" t="s">
        <v>3341</v>
      </c>
      <c r="B1243" s="81" t="s">
        <v>3377</v>
      </c>
      <c r="C1243" s="26" t="s">
        <v>37</v>
      </c>
      <c r="D1243" s="1001">
        <v>1746800</v>
      </c>
      <c r="E1243" s="74">
        <v>0.05</v>
      </c>
      <c r="F1243" s="129">
        <f t="shared" si="189"/>
        <v>1834140</v>
      </c>
      <c r="G1243" s="130">
        <f t="shared" si="191"/>
        <v>348486.6</v>
      </c>
      <c r="H1243" s="131">
        <f t="shared" si="190"/>
        <v>2182627</v>
      </c>
    </row>
    <row r="1244" spans="1:8" x14ac:dyDescent="0.25">
      <c r="A1244" s="43" t="s">
        <v>3342</v>
      </c>
      <c r="B1244" s="81" t="s">
        <v>7287</v>
      </c>
      <c r="C1244" s="26" t="s">
        <v>37</v>
      </c>
      <c r="D1244" s="68">
        <v>2625700</v>
      </c>
      <c r="E1244" s="74">
        <v>0.05</v>
      </c>
      <c r="F1244" s="129">
        <f t="shared" si="189"/>
        <v>2756985</v>
      </c>
      <c r="G1244" s="130">
        <f t="shared" si="191"/>
        <v>523827.15</v>
      </c>
      <c r="H1244" s="131">
        <f t="shared" si="190"/>
        <v>3280812</v>
      </c>
    </row>
    <row r="1245" spans="1:8" x14ac:dyDescent="0.25">
      <c r="A1245" s="43" t="s">
        <v>3343</v>
      </c>
      <c r="B1245" s="81" t="s">
        <v>3379</v>
      </c>
      <c r="C1245" s="26" t="s">
        <v>37</v>
      </c>
      <c r="D1245" s="68">
        <v>2758800</v>
      </c>
      <c r="E1245" s="74">
        <v>0.05</v>
      </c>
      <c r="F1245" s="129">
        <f t="shared" si="189"/>
        <v>2896740</v>
      </c>
      <c r="G1245" s="130">
        <f t="shared" si="191"/>
        <v>550380.6</v>
      </c>
      <c r="H1245" s="131">
        <f t="shared" si="190"/>
        <v>3447121</v>
      </c>
    </row>
    <row r="1246" spans="1:8" x14ac:dyDescent="0.25">
      <c r="A1246" s="43" t="s">
        <v>3344</v>
      </c>
      <c r="B1246" s="81" t="s">
        <v>7459</v>
      </c>
      <c r="C1246" s="26" t="s">
        <v>37</v>
      </c>
      <c r="D1246" s="68">
        <v>2880900</v>
      </c>
      <c r="E1246" s="74">
        <v>0.05</v>
      </c>
      <c r="F1246" s="129">
        <f t="shared" si="189"/>
        <v>3024945</v>
      </c>
      <c r="G1246" s="130">
        <f t="shared" si="191"/>
        <v>574739.55000000005</v>
      </c>
      <c r="H1246" s="131">
        <f t="shared" si="190"/>
        <v>3599685</v>
      </c>
    </row>
    <row r="1247" spans="1:8" x14ac:dyDescent="0.25">
      <c r="A1247" s="43" t="s">
        <v>3345</v>
      </c>
      <c r="B1247" s="81" t="s">
        <v>7614</v>
      </c>
      <c r="C1247" s="26" t="s">
        <v>37</v>
      </c>
      <c r="D1247" s="68">
        <v>3136100</v>
      </c>
      <c r="E1247" s="74">
        <v>0.05</v>
      </c>
      <c r="F1247" s="129">
        <f t="shared" si="189"/>
        <v>3292905</v>
      </c>
      <c r="G1247" s="130">
        <f t="shared" si="191"/>
        <v>625651.94999999995</v>
      </c>
      <c r="H1247" s="131">
        <f t="shared" si="190"/>
        <v>3918557</v>
      </c>
    </row>
    <row r="1248" spans="1:8" x14ac:dyDescent="0.25">
      <c r="A1248" s="43" t="s">
        <v>3346</v>
      </c>
      <c r="B1248" s="81" t="s">
        <v>3364</v>
      </c>
      <c r="C1248" s="26" t="s">
        <v>37</v>
      </c>
      <c r="D1248" s="68">
        <v>2445300</v>
      </c>
      <c r="E1248" s="74">
        <v>0.05</v>
      </c>
      <c r="F1248" s="129">
        <f t="shared" si="189"/>
        <v>2567565</v>
      </c>
      <c r="G1248" s="130">
        <f t="shared" si="191"/>
        <v>487837.35</v>
      </c>
      <c r="H1248" s="131">
        <f t="shared" si="190"/>
        <v>3055402</v>
      </c>
    </row>
    <row r="1249" spans="1:8" x14ac:dyDescent="0.25">
      <c r="A1249" s="43" t="s">
        <v>3347</v>
      </c>
      <c r="B1249" s="81" t="s">
        <v>7288</v>
      </c>
      <c r="C1249" s="26" t="s">
        <v>37</v>
      </c>
      <c r="D1249" s="68">
        <v>2796200</v>
      </c>
      <c r="E1249" s="74">
        <v>0.05</v>
      </c>
      <c r="F1249" s="129">
        <f t="shared" si="189"/>
        <v>2936010</v>
      </c>
      <c r="G1249" s="130">
        <f t="shared" si="191"/>
        <v>557841.9</v>
      </c>
      <c r="H1249" s="131">
        <f t="shared" si="190"/>
        <v>3493852</v>
      </c>
    </row>
    <row r="1250" spans="1:8" x14ac:dyDescent="0.25">
      <c r="A1250" s="43" t="s">
        <v>3348</v>
      </c>
      <c r="B1250" s="81" t="s">
        <v>3366</v>
      </c>
      <c r="C1250" s="26" t="s">
        <v>37</v>
      </c>
      <c r="D1250" s="68">
        <v>2950200</v>
      </c>
      <c r="E1250" s="74">
        <v>0.05</v>
      </c>
      <c r="F1250" s="129">
        <f t="shared" si="189"/>
        <v>3097710</v>
      </c>
      <c r="G1250" s="130">
        <f t="shared" si="191"/>
        <v>588564.9</v>
      </c>
      <c r="H1250" s="131">
        <f t="shared" si="190"/>
        <v>3686275</v>
      </c>
    </row>
    <row r="1251" spans="1:8" x14ac:dyDescent="0.25">
      <c r="A1251" s="43" t="s">
        <v>3349</v>
      </c>
      <c r="B1251" s="81" t="s">
        <v>7460</v>
      </c>
      <c r="C1251" s="26" t="s">
        <v>37</v>
      </c>
      <c r="D1251" s="68">
        <v>3353900</v>
      </c>
      <c r="E1251" s="74">
        <v>0.05</v>
      </c>
      <c r="F1251" s="129">
        <f t="shared" si="189"/>
        <v>3521595</v>
      </c>
      <c r="G1251" s="130">
        <f t="shared" si="191"/>
        <v>669103.05000000005</v>
      </c>
      <c r="H1251" s="131">
        <f t="shared" si="190"/>
        <v>4190698</v>
      </c>
    </row>
    <row r="1252" spans="1:8" x14ac:dyDescent="0.25">
      <c r="A1252" s="43" t="s">
        <v>3350</v>
      </c>
      <c r="B1252" s="81" t="s">
        <v>7615</v>
      </c>
      <c r="C1252" s="26" t="s">
        <v>37</v>
      </c>
      <c r="D1252" s="68">
        <v>3503500</v>
      </c>
      <c r="E1252" s="74">
        <v>0.05</v>
      </c>
      <c r="F1252" s="129">
        <f t="shared" si="189"/>
        <v>3678675</v>
      </c>
      <c r="G1252" s="130">
        <f t="shared" si="191"/>
        <v>698948.25</v>
      </c>
      <c r="H1252" s="131">
        <f t="shared" si="190"/>
        <v>4377623</v>
      </c>
    </row>
    <row r="1253" spans="1:8" x14ac:dyDescent="0.25">
      <c r="A1253" s="43" t="s">
        <v>3351</v>
      </c>
      <c r="B1253" s="81" t="s">
        <v>3294</v>
      </c>
      <c r="C1253" s="26" t="s">
        <v>37</v>
      </c>
      <c r="D1253" s="68">
        <v>3899500</v>
      </c>
      <c r="E1253" s="74">
        <v>0.05</v>
      </c>
      <c r="F1253" s="129">
        <f t="shared" si="189"/>
        <v>4094475</v>
      </c>
      <c r="G1253" s="130">
        <f t="shared" si="191"/>
        <v>777950.25</v>
      </c>
      <c r="H1253" s="131">
        <f t="shared" si="190"/>
        <v>4872425</v>
      </c>
    </row>
    <row r="1254" spans="1:8" x14ac:dyDescent="0.25">
      <c r="A1254" s="43" t="s">
        <v>3352</v>
      </c>
      <c r="B1254" s="81" t="s">
        <v>3293</v>
      </c>
      <c r="C1254" s="26" t="s">
        <v>37</v>
      </c>
      <c r="D1254" s="1001"/>
      <c r="E1254" s="74">
        <v>0.05</v>
      </c>
      <c r="F1254" s="129">
        <f t="shared" si="189"/>
        <v>0</v>
      </c>
      <c r="G1254" s="130">
        <f t="shared" si="191"/>
        <v>0</v>
      </c>
      <c r="H1254" s="131">
        <f t="shared" si="190"/>
        <v>0</v>
      </c>
    </row>
    <row r="1255" spans="1:8" x14ac:dyDescent="0.25">
      <c r="A1255" s="43" t="s">
        <v>3353</v>
      </c>
      <c r="B1255" s="81" t="s">
        <v>7289</v>
      </c>
      <c r="C1255" s="26" t="s">
        <v>37</v>
      </c>
      <c r="D1255" s="1001"/>
      <c r="E1255" s="74">
        <v>0.05</v>
      </c>
      <c r="F1255" s="129">
        <f t="shared" si="189"/>
        <v>0</v>
      </c>
      <c r="G1255" s="130">
        <f t="shared" si="191"/>
        <v>0</v>
      </c>
      <c r="H1255" s="131">
        <f t="shared" si="190"/>
        <v>0</v>
      </c>
    </row>
    <row r="1256" spans="1:8" x14ac:dyDescent="0.25">
      <c r="A1256" s="43" t="s">
        <v>3354</v>
      </c>
      <c r="B1256" s="81" t="s">
        <v>3291</v>
      </c>
      <c r="C1256" s="26" t="s">
        <v>37</v>
      </c>
      <c r="D1256" s="1001"/>
      <c r="E1256" s="74">
        <v>0.05</v>
      </c>
      <c r="F1256" s="129">
        <f t="shared" si="189"/>
        <v>0</v>
      </c>
      <c r="G1256" s="130">
        <f t="shared" si="191"/>
        <v>0</v>
      </c>
      <c r="H1256" s="131">
        <f t="shared" si="190"/>
        <v>0</v>
      </c>
    </row>
    <row r="1257" spans="1:8" x14ac:dyDescent="0.25">
      <c r="A1257" s="43" t="s">
        <v>3355</v>
      </c>
      <c r="B1257" s="81" t="s">
        <v>7461</v>
      </c>
      <c r="C1257" s="26" t="s">
        <v>37</v>
      </c>
      <c r="D1257" s="1001"/>
      <c r="E1257" s="74">
        <v>0.05</v>
      </c>
      <c r="F1257" s="129">
        <f t="shared" si="189"/>
        <v>0</v>
      </c>
      <c r="G1257" s="130">
        <f t="shared" si="191"/>
        <v>0</v>
      </c>
      <c r="H1257" s="131">
        <f t="shared" si="190"/>
        <v>0</v>
      </c>
    </row>
    <row r="1258" spans="1:8" x14ac:dyDescent="0.25">
      <c r="A1258" s="43" t="s">
        <v>3356</v>
      </c>
      <c r="B1258" s="81" t="s">
        <v>7616</v>
      </c>
      <c r="C1258" s="26" t="s">
        <v>37</v>
      </c>
      <c r="D1258" s="1001"/>
      <c r="E1258" s="74">
        <v>0.05</v>
      </c>
      <c r="F1258" s="129">
        <f t="shared" si="189"/>
        <v>0</v>
      </c>
      <c r="G1258" s="130">
        <f t="shared" si="191"/>
        <v>0</v>
      </c>
      <c r="H1258" s="131">
        <f t="shared" si="190"/>
        <v>0</v>
      </c>
    </row>
    <row r="1259" spans="1:8" x14ac:dyDescent="0.25">
      <c r="A1259" s="43" t="s">
        <v>3357</v>
      </c>
      <c r="B1259" s="81" t="s">
        <v>3288</v>
      </c>
      <c r="C1259" s="26" t="s">
        <v>37</v>
      </c>
      <c r="D1259" s="1001"/>
      <c r="E1259" s="74">
        <v>0.05</v>
      </c>
      <c r="F1259" s="129">
        <f t="shared" si="189"/>
        <v>0</v>
      </c>
      <c r="G1259" s="130">
        <f t="shared" si="191"/>
        <v>0</v>
      </c>
      <c r="H1259" s="131">
        <f t="shared" si="190"/>
        <v>0</v>
      </c>
    </row>
    <row r="1260" spans="1:8" x14ac:dyDescent="0.25">
      <c r="A1260" s="43" t="s">
        <v>3358</v>
      </c>
      <c r="B1260" s="81" t="s">
        <v>3287</v>
      </c>
      <c r="C1260" s="26" t="s">
        <v>37</v>
      </c>
      <c r="D1260" s="1001"/>
      <c r="E1260" s="74">
        <v>0.05</v>
      </c>
      <c r="F1260" s="129">
        <f t="shared" si="189"/>
        <v>0</v>
      </c>
      <c r="G1260" s="130">
        <f t="shared" si="191"/>
        <v>0</v>
      </c>
      <c r="H1260" s="131">
        <f t="shared" si="190"/>
        <v>0</v>
      </c>
    </row>
    <row r="1261" spans="1:8" x14ac:dyDescent="0.25">
      <c r="A1261" s="44" t="s">
        <v>3433</v>
      </c>
      <c r="B1261" s="80" t="s">
        <v>3432</v>
      </c>
      <c r="C1261" s="26"/>
      <c r="D1261" s="1001"/>
      <c r="E1261" s="74"/>
      <c r="F1261" s="129"/>
      <c r="G1261" s="130"/>
      <c r="H1261" s="131"/>
    </row>
    <row r="1262" spans="1:8" x14ac:dyDescent="0.25">
      <c r="A1262" s="43" t="s">
        <v>3434</v>
      </c>
      <c r="B1262" s="81" t="s">
        <v>3381</v>
      </c>
      <c r="C1262" s="26" t="s">
        <v>37</v>
      </c>
      <c r="D1262" s="68">
        <v>123200</v>
      </c>
      <c r="E1262" s="74">
        <v>0.05</v>
      </c>
      <c r="F1262" s="129">
        <f t="shared" si="189"/>
        <v>129360</v>
      </c>
      <c r="G1262" s="130">
        <f t="shared" ref="G1262:G1293" si="192">F1262*0.19</f>
        <v>24578.400000000001</v>
      </c>
      <c r="H1262" s="131">
        <f t="shared" si="190"/>
        <v>153938</v>
      </c>
    </row>
    <row r="1263" spans="1:8" x14ac:dyDescent="0.25">
      <c r="A1263" s="43" t="s">
        <v>3435</v>
      </c>
      <c r="B1263" s="81" t="s">
        <v>3382</v>
      </c>
      <c r="C1263" s="26" t="s">
        <v>37</v>
      </c>
      <c r="D1263" s="68">
        <v>184800</v>
      </c>
      <c r="E1263" s="74">
        <v>0.05</v>
      </c>
      <c r="F1263" s="129">
        <f t="shared" si="189"/>
        <v>194040</v>
      </c>
      <c r="G1263" s="130">
        <f t="shared" si="192"/>
        <v>36867.599999999999</v>
      </c>
      <c r="H1263" s="131">
        <f t="shared" si="190"/>
        <v>230908</v>
      </c>
    </row>
    <row r="1264" spans="1:8" x14ac:dyDescent="0.25">
      <c r="A1264" s="43" t="s">
        <v>3436</v>
      </c>
      <c r="B1264" s="81" t="s">
        <v>3383</v>
      </c>
      <c r="C1264" s="26" t="s">
        <v>37</v>
      </c>
      <c r="D1264" s="68">
        <v>205700</v>
      </c>
      <c r="E1264" s="74">
        <v>0.05</v>
      </c>
      <c r="F1264" s="129">
        <f t="shared" si="189"/>
        <v>215985</v>
      </c>
      <c r="G1264" s="130">
        <f t="shared" si="192"/>
        <v>41037.15</v>
      </c>
      <c r="H1264" s="131">
        <f t="shared" si="190"/>
        <v>257022</v>
      </c>
    </row>
    <row r="1265" spans="1:8" x14ac:dyDescent="0.25">
      <c r="A1265" s="43" t="s">
        <v>3437</v>
      </c>
      <c r="B1265" s="81" t="s">
        <v>7808</v>
      </c>
      <c r="C1265" s="26" t="s">
        <v>37</v>
      </c>
      <c r="D1265" s="68">
        <v>262900</v>
      </c>
      <c r="E1265" s="74">
        <v>0.05</v>
      </c>
      <c r="F1265" s="129">
        <f t="shared" si="189"/>
        <v>276045</v>
      </c>
      <c r="G1265" s="130">
        <f t="shared" si="192"/>
        <v>52448.55</v>
      </c>
      <c r="H1265" s="131">
        <f t="shared" si="190"/>
        <v>328494</v>
      </c>
    </row>
    <row r="1266" spans="1:8" x14ac:dyDescent="0.25">
      <c r="A1266" s="43" t="s">
        <v>3438</v>
      </c>
      <c r="B1266" s="81" t="s">
        <v>7809</v>
      </c>
      <c r="C1266" s="26" t="s">
        <v>37</v>
      </c>
      <c r="D1266" s="68">
        <v>289300</v>
      </c>
      <c r="E1266" s="74">
        <v>0.05</v>
      </c>
      <c r="F1266" s="129">
        <f t="shared" si="189"/>
        <v>303765</v>
      </c>
      <c r="G1266" s="130">
        <f t="shared" si="192"/>
        <v>57715.35</v>
      </c>
      <c r="H1266" s="131">
        <f t="shared" si="190"/>
        <v>361480</v>
      </c>
    </row>
    <row r="1267" spans="1:8" x14ac:dyDescent="0.25">
      <c r="A1267" s="43" t="s">
        <v>3439</v>
      </c>
      <c r="B1267" s="81" t="s">
        <v>7810</v>
      </c>
      <c r="C1267" s="26" t="s">
        <v>37</v>
      </c>
      <c r="D1267" s="68">
        <v>315700</v>
      </c>
      <c r="E1267" s="74">
        <v>0.05</v>
      </c>
      <c r="F1267" s="129">
        <f t="shared" si="189"/>
        <v>331485</v>
      </c>
      <c r="G1267" s="130">
        <f t="shared" si="192"/>
        <v>62982.15</v>
      </c>
      <c r="H1267" s="131">
        <f t="shared" si="190"/>
        <v>394467</v>
      </c>
    </row>
    <row r="1268" spans="1:8" x14ac:dyDescent="0.25">
      <c r="A1268" s="43" t="s">
        <v>3440</v>
      </c>
      <c r="B1268" s="81" t="s">
        <v>3387</v>
      </c>
      <c r="C1268" s="26" t="s">
        <v>37</v>
      </c>
      <c r="D1268" s="68">
        <v>403700</v>
      </c>
      <c r="E1268" s="74">
        <v>0.05</v>
      </c>
      <c r="F1268" s="129">
        <f t="shared" si="189"/>
        <v>423885</v>
      </c>
      <c r="G1268" s="130">
        <f t="shared" si="192"/>
        <v>80538.149999999994</v>
      </c>
      <c r="H1268" s="131">
        <f t="shared" si="190"/>
        <v>504423</v>
      </c>
    </row>
    <row r="1269" spans="1:8" x14ac:dyDescent="0.25">
      <c r="A1269" s="43" t="s">
        <v>3441</v>
      </c>
      <c r="B1269" s="81" t="s">
        <v>3388</v>
      </c>
      <c r="C1269" s="26" t="s">
        <v>37</v>
      </c>
      <c r="D1269" s="68">
        <v>437800</v>
      </c>
      <c r="E1269" s="74">
        <v>0.05</v>
      </c>
      <c r="F1269" s="129">
        <f t="shared" si="189"/>
        <v>459690</v>
      </c>
      <c r="G1269" s="130">
        <f t="shared" si="192"/>
        <v>87341.1</v>
      </c>
      <c r="H1269" s="131">
        <f t="shared" si="190"/>
        <v>547031</v>
      </c>
    </row>
    <row r="1270" spans="1:8" x14ac:dyDescent="0.25">
      <c r="A1270" s="43" t="s">
        <v>3442</v>
      </c>
      <c r="B1270" s="81" t="s">
        <v>3389</v>
      </c>
      <c r="C1270" s="26" t="s">
        <v>37</v>
      </c>
      <c r="D1270" s="68">
        <v>463100</v>
      </c>
      <c r="E1270" s="74">
        <v>0.05</v>
      </c>
      <c r="F1270" s="129">
        <f t="shared" si="189"/>
        <v>486255</v>
      </c>
      <c r="G1270" s="130">
        <f t="shared" si="192"/>
        <v>92388.45</v>
      </c>
      <c r="H1270" s="131">
        <f t="shared" si="190"/>
        <v>578643</v>
      </c>
    </row>
    <row r="1271" spans="1:8" x14ac:dyDescent="0.25">
      <c r="A1271" s="43" t="s">
        <v>3443</v>
      </c>
      <c r="B1271" s="81" t="s">
        <v>7811</v>
      </c>
      <c r="C1271" s="26" t="s">
        <v>37</v>
      </c>
      <c r="D1271" s="68">
        <v>569800</v>
      </c>
      <c r="E1271" s="74">
        <v>0.05</v>
      </c>
      <c r="F1271" s="129">
        <f t="shared" si="189"/>
        <v>598290</v>
      </c>
      <c r="G1271" s="130">
        <f t="shared" si="192"/>
        <v>113675.1</v>
      </c>
      <c r="H1271" s="131">
        <f t="shared" si="190"/>
        <v>711965</v>
      </c>
    </row>
    <row r="1272" spans="1:8" x14ac:dyDescent="0.25">
      <c r="A1272" s="43" t="s">
        <v>3444</v>
      </c>
      <c r="B1272" s="81" t="s">
        <v>7290</v>
      </c>
      <c r="C1272" s="26" t="s">
        <v>37</v>
      </c>
      <c r="D1272" s="1001"/>
      <c r="E1272" s="74">
        <v>0.05</v>
      </c>
      <c r="F1272" s="129">
        <f t="shared" si="189"/>
        <v>0</v>
      </c>
      <c r="G1272" s="130">
        <f t="shared" si="192"/>
        <v>0</v>
      </c>
      <c r="H1272" s="131">
        <f t="shared" si="190"/>
        <v>0</v>
      </c>
    </row>
    <row r="1273" spans="1:8" x14ac:dyDescent="0.25">
      <c r="A1273" s="43" t="s">
        <v>3445</v>
      </c>
      <c r="B1273" s="81" t="s">
        <v>7291</v>
      </c>
      <c r="C1273" s="26" t="s">
        <v>37</v>
      </c>
      <c r="D1273" s="68">
        <v>679800</v>
      </c>
      <c r="E1273" s="74">
        <v>0.05</v>
      </c>
      <c r="F1273" s="129">
        <f t="shared" si="189"/>
        <v>713790</v>
      </c>
      <c r="G1273" s="130">
        <f t="shared" si="192"/>
        <v>135620.1</v>
      </c>
      <c r="H1273" s="131">
        <f t="shared" si="190"/>
        <v>849410</v>
      </c>
    </row>
    <row r="1274" spans="1:8" x14ac:dyDescent="0.25">
      <c r="A1274" s="43" t="s">
        <v>3446</v>
      </c>
      <c r="B1274" s="81" t="s">
        <v>7292</v>
      </c>
      <c r="C1274" s="26" t="s">
        <v>37</v>
      </c>
      <c r="D1274" s="68">
        <v>679800</v>
      </c>
      <c r="E1274" s="74">
        <v>0.05</v>
      </c>
      <c r="F1274" s="129">
        <f t="shared" si="189"/>
        <v>713790</v>
      </c>
      <c r="G1274" s="130">
        <f t="shared" si="192"/>
        <v>135620.1</v>
      </c>
      <c r="H1274" s="131">
        <f t="shared" si="190"/>
        <v>849410</v>
      </c>
    </row>
    <row r="1275" spans="1:8" x14ac:dyDescent="0.25">
      <c r="A1275" s="43" t="s">
        <v>3447</v>
      </c>
      <c r="B1275" s="81" t="s">
        <v>7812</v>
      </c>
      <c r="C1275" s="26" t="s">
        <v>37</v>
      </c>
      <c r="D1275" s="68">
        <v>776600</v>
      </c>
      <c r="E1275" s="74">
        <v>0.05</v>
      </c>
      <c r="F1275" s="129">
        <f t="shared" si="189"/>
        <v>815430</v>
      </c>
      <c r="G1275" s="130">
        <f t="shared" si="192"/>
        <v>154931.70000000001</v>
      </c>
      <c r="H1275" s="131">
        <f t="shared" si="190"/>
        <v>970362</v>
      </c>
    </row>
    <row r="1276" spans="1:8" x14ac:dyDescent="0.25">
      <c r="A1276" s="43" t="s">
        <v>3448</v>
      </c>
      <c r="B1276" s="81" t="s">
        <v>7293</v>
      </c>
      <c r="C1276" s="26" t="s">
        <v>37</v>
      </c>
      <c r="D1276" s="68">
        <v>834900</v>
      </c>
      <c r="E1276" s="74">
        <v>0.05</v>
      </c>
      <c r="F1276" s="129">
        <f t="shared" si="189"/>
        <v>876645</v>
      </c>
      <c r="G1276" s="130">
        <f t="shared" si="192"/>
        <v>166562.54999999999</v>
      </c>
      <c r="H1276" s="131">
        <f t="shared" si="190"/>
        <v>1043208</v>
      </c>
    </row>
    <row r="1277" spans="1:8" x14ac:dyDescent="0.25">
      <c r="A1277" s="43" t="s">
        <v>3449</v>
      </c>
      <c r="B1277" s="81" t="s">
        <v>3396</v>
      </c>
      <c r="C1277" s="26" t="s">
        <v>37</v>
      </c>
      <c r="D1277" s="68">
        <v>1009800</v>
      </c>
      <c r="E1277" s="74">
        <v>0.05</v>
      </c>
      <c r="F1277" s="129">
        <f t="shared" si="189"/>
        <v>1060290</v>
      </c>
      <c r="G1277" s="130">
        <f t="shared" si="192"/>
        <v>201455.1</v>
      </c>
      <c r="H1277" s="131">
        <f t="shared" si="190"/>
        <v>1261745</v>
      </c>
    </row>
    <row r="1278" spans="1:8" x14ac:dyDescent="0.25">
      <c r="A1278" s="43" t="s">
        <v>3450</v>
      </c>
      <c r="B1278" s="81" t="s">
        <v>3397</v>
      </c>
      <c r="C1278" s="26" t="s">
        <v>37</v>
      </c>
      <c r="D1278" s="68">
        <v>1028500</v>
      </c>
      <c r="E1278" s="74">
        <v>0.05</v>
      </c>
      <c r="F1278" s="129">
        <f t="shared" si="189"/>
        <v>1079925</v>
      </c>
      <c r="G1278" s="130">
        <f t="shared" si="192"/>
        <v>205185.75</v>
      </c>
      <c r="H1278" s="131">
        <f t="shared" si="190"/>
        <v>1285111</v>
      </c>
    </row>
    <row r="1279" spans="1:8" x14ac:dyDescent="0.25">
      <c r="A1279" s="43" t="s">
        <v>3451</v>
      </c>
      <c r="B1279" s="81" t="s">
        <v>7813</v>
      </c>
      <c r="C1279" s="26" t="s">
        <v>37</v>
      </c>
      <c r="D1279" s="68">
        <v>1028500</v>
      </c>
      <c r="E1279" s="74">
        <v>0.05</v>
      </c>
      <c r="F1279" s="129">
        <f t="shared" si="189"/>
        <v>1079925</v>
      </c>
      <c r="G1279" s="130">
        <f t="shared" si="192"/>
        <v>205185.75</v>
      </c>
      <c r="H1279" s="131">
        <f t="shared" si="190"/>
        <v>1285111</v>
      </c>
    </row>
    <row r="1280" spans="1:8" x14ac:dyDescent="0.25">
      <c r="A1280" s="43" t="s">
        <v>3452</v>
      </c>
      <c r="B1280" s="81" t="s">
        <v>3399</v>
      </c>
      <c r="C1280" s="26" t="s">
        <v>37</v>
      </c>
      <c r="D1280" s="68">
        <v>1193500</v>
      </c>
      <c r="E1280" s="74">
        <v>0.05</v>
      </c>
      <c r="F1280" s="129">
        <f t="shared" si="189"/>
        <v>1253175</v>
      </c>
      <c r="G1280" s="130">
        <f t="shared" si="192"/>
        <v>238103.25</v>
      </c>
      <c r="H1280" s="131">
        <f t="shared" si="190"/>
        <v>1491278</v>
      </c>
    </row>
    <row r="1281" spans="1:8" x14ac:dyDescent="0.25">
      <c r="A1281" s="43" t="s">
        <v>3453</v>
      </c>
      <c r="B1281" s="81" t="s">
        <v>7294</v>
      </c>
      <c r="C1281" s="26" t="s">
        <v>37</v>
      </c>
      <c r="D1281" s="68">
        <v>1203400</v>
      </c>
      <c r="E1281" s="74">
        <v>0.05</v>
      </c>
      <c r="F1281" s="129">
        <f t="shared" si="189"/>
        <v>1263570</v>
      </c>
      <c r="G1281" s="130">
        <f t="shared" si="192"/>
        <v>240078.3</v>
      </c>
      <c r="H1281" s="131">
        <f t="shared" si="190"/>
        <v>1503648</v>
      </c>
    </row>
    <row r="1282" spans="1:8" x14ac:dyDescent="0.25">
      <c r="A1282" s="43" t="s">
        <v>3454</v>
      </c>
      <c r="B1282" s="81" t="s">
        <v>7462</v>
      </c>
      <c r="C1282" s="26" t="s">
        <v>37</v>
      </c>
      <c r="D1282" s="1001"/>
      <c r="E1282" s="74">
        <v>0.05</v>
      </c>
      <c r="F1282" s="129">
        <f t="shared" si="189"/>
        <v>0</v>
      </c>
      <c r="G1282" s="130">
        <f t="shared" si="192"/>
        <v>0</v>
      </c>
      <c r="H1282" s="131">
        <f t="shared" si="190"/>
        <v>0</v>
      </c>
    </row>
    <row r="1283" spans="1:8" x14ac:dyDescent="0.25">
      <c r="A1283" s="43" t="s">
        <v>3455</v>
      </c>
      <c r="B1283" s="81" t="s">
        <v>7463</v>
      </c>
      <c r="C1283" s="26" t="s">
        <v>37</v>
      </c>
      <c r="D1283" s="68">
        <v>1467400</v>
      </c>
      <c r="E1283" s="74">
        <v>0.05</v>
      </c>
      <c r="F1283" s="129">
        <f t="shared" si="189"/>
        <v>1540770</v>
      </c>
      <c r="G1283" s="130">
        <f t="shared" si="192"/>
        <v>292746.3</v>
      </c>
      <c r="H1283" s="131">
        <f t="shared" si="190"/>
        <v>1833516</v>
      </c>
    </row>
    <row r="1284" spans="1:8" x14ac:dyDescent="0.25">
      <c r="A1284" s="43" t="s">
        <v>3456</v>
      </c>
      <c r="B1284" s="81" t="s">
        <v>7814</v>
      </c>
      <c r="C1284" s="26" t="s">
        <v>37</v>
      </c>
      <c r="D1284" s="68">
        <v>1494900</v>
      </c>
      <c r="E1284" s="74">
        <v>0.05</v>
      </c>
      <c r="F1284" s="129">
        <f t="shared" si="189"/>
        <v>1569645</v>
      </c>
      <c r="G1284" s="130">
        <f t="shared" si="192"/>
        <v>298232.55</v>
      </c>
      <c r="H1284" s="131">
        <f t="shared" si="190"/>
        <v>1867878</v>
      </c>
    </row>
    <row r="1285" spans="1:8" x14ac:dyDescent="0.25">
      <c r="A1285" s="43" t="s">
        <v>3457</v>
      </c>
      <c r="B1285" s="81" t="s">
        <v>7464</v>
      </c>
      <c r="C1285" s="26" t="s">
        <v>37</v>
      </c>
      <c r="D1285" s="68">
        <v>1546600</v>
      </c>
      <c r="E1285" s="74">
        <v>0.05</v>
      </c>
      <c r="F1285" s="129">
        <f t="shared" si="189"/>
        <v>1623930</v>
      </c>
      <c r="G1285" s="130">
        <f t="shared" si="192"/>
        <v>308546.7</v>
      </c>
      <c r="H1285" s="131">
        <f t="shared" si="190"/>
        <v>1932477</v>
      </c>
    </row>
    <row r="1286" spans="1:8" x14ac:dyDescent="0.25">
      <c r="A1286" s="43" t="s">
        <v>3458</v>
      </c>
      <c r="B1286" s="81" t="s">
        <v>7465</v>
      </c>
      <c r="C1286" s="26" t="s">
        <v>37</v>
      </c>
      <c r="D1286" s="68">
        <v>1746800</v>
      </c>
      <c r="E1286" s="74">
        <v>0.05</v>
      </c>
      <c r="F1286" s="129">
        <f t="shared" ref="F1286:F1312" si="193">+D1286+D1286*E1286</f>
        <v>1834140</v>
      </c>
      <c r="G1286" s="130">
        <f t="shared" si="192"/>
        <v>348486.6</v>
      </c>
      <c r="H1286" s="131">
        <f t="shared" ref="H1286:H1312" si="194">ROUND((F1286+G1286),0)</f>
        <v>2182627</v>
      </c>
    </row>
    <row r="1287" spans="1:8" x14ac:dyDescent="0.25">
      <c r="A1287" s="43" t="s">
        <v>3459</v>
      </c>
      <c r="B1287" s="81" t="s">
        <v>7466</v>
      </c>
      <c r="C1287" s="26" t="s">
        <v>37</v>
      </c>
      <c r="D1287" s="68">
        <v>1863400</v>
      </c>
      <c r="E1287" s="74">
        <v>0.05</v>
      </c>
      <c r="F1287" s="129">
        <f t="shared" si="193"/>
        <v>1956570</v>
      </c>
      <c r="G1287" s="130">
        <f t="shared" si="192"/>
        <v>371748.3</v>
      </c>
      <c r="H1287" s="131">
        <f t="shared" si="194"/>
        <v>2328318</v>
      </c>
    </row>
    <row r="1288" spans="1:8" x14ac:dyDescent="0.25">
      <c r="A1288" s="43" t="s">
        <v>3460</v>
      </c>
      <c r="B1288" s="81" t="s">
        <v>7617</v>
      </c>
      <c r="C1288" s="26" t="s">
        <v>37</v>
      </c>
      <c r="D1288" s="1001"/>
      <c r="E1288" s="74">
        <v>0.05</v>
      </c>
      <c r="F1288" s="129">
        <f t="shared" si="193"/>
        <v>0</v>
      </c>
      <c r="G1288" s="130">
        <f t="shared" si="192"/>
        <v>0</v>
      </c>
      <c r="H1288" s="131">
        <f t="shared" si="194"/>
        <v>0</v>
      </c>
    </row>
    <row r="1289" spans="1:8" x14ac:dyDescent="0.25">
      <c r="A1289" s="43" t="s">
        <v>3461</v>
      </c>
      <c r="B1289" s="81" t="s">
        <v>7815</v>
      </c>
      <c r="C1289" s="26" t="s">
        <v>37</v>
      </c>
      <c r="D1289" s="68">
        <v>1843600</v>
      </c>
      <c r="E1289" s="74">
        <v>0.05</v>
      </c>
      <c r="F1289" s="129">
        <f t="shared" si="193"/>
        <v>1935780</v>
      </c>
      <c r="G1289" s="130">
        <f t="shared" si="192"/>
        <v>367798.2</v>
      </c>
      <c r="H1289" s="131">
        <f t="shared" si="194"/>
        <v>2303578</v>
      </c>
    </row>
    <row r="1290" spans="1:8" x14ac:dyDescent="0.25">
      <c r="A1290" s="43" t="s">
        <v>3462</v>
      </c>
      <c r="B1290" s="81" t="s">
        <v>7618</v>
      </c>
      <c r="C1290" s="26" t="s">
        <v>37</v>
      </c>
      <c r="D1290" s="68">
        <v>1843600</v>
      </c>
      <c r="E1290" s="74">
        <v>0.05</v>
      </c>
      <c r="F1290" s="129">
        <f t="shared" si="193"/>
        <v>1935780</v>
      </c>
      <c r="G1290" s="130">
        <f t="shared" si="192"/>
        <v>367798.2</v>
      </c>
      <c r="H1290" s="131">
        <f t="shared" si="194"/>
        <v>2303578</v>
      </c>
    </row>
    <row r="1291" spans="1:8" x14ac:dyDescent="0.25">
      <c r="A1291" s="43" t="s">
        <v>3463</v>
      </c>
      <c r="B1291" s="81" t="s">
        <v>7619</v>
      </c>
      <c r="C1291" s="26" t="s">
        <v>37</v>
      </c>
      <c r="D1291" s="68">
        <v>2204400</v>
      </c>
      <c r="E1291" s="74">
        <v>0.05</v>
      </c>
      <c r="F1291" s="129">
        <f t="shared" si="193"/>
        <v>2314620</v>
      </c>
      <c r="G1291" s="130">
        <f t="shared" si="192"/>
        <v>439777.8</v>
      </c>
      <c r="H1291" s="131">
        <f t="shared" si="194"/>
        <v>2754398</v>
      </c>
    </row>
    <row r="1292" spans="1:8" x14ac:dyDescent="0.25">
      <c r="A1292" s="43" t="s">
        <v>3464</v>
      </c>
      <c r="B1292" s="81" t="s">
        <v>7620</v>
      </c>
      <c r="C1292" s="26" t="s">
        <v>37</v>
      </c>
      <c r="D1292" s="68">
        <v>2385900</v>
      </c>
      <c r="E1292" s="74">
        <v>0.05</v>
      </c>
      <c r="F1292" s="129">
        <f t="shared" si="193"/>
        <v>2505195</v>
      </c>
      <c r="G1292" s="130">
        <f t="shared" si="192"/>
        <v>475987.05</v>
      </c>
      <c r="H1292" s="131">
        <f t="shared" si="194"/>
        <v>2981182</v>
      </c>
    </row>
    <row r="1293" spans="1:8" x14ac:dyDescent="0.25">
      <c r="A1293" s="43" t="s">
        <v>3465</v>
      </c>
      <c r="B1293" s="81" t="s">
        <v>7621</v>
      </c>
      <c r="C1293" s="26" t="s">
        <v>37</v>
      </c>
      <c r="D1293" s="68">
        <v>2483800</v>
      </c>
      <c r="E1293" s="74">
        <v>0.05</v>
      </c>
      <c r="F1293" s="129">
        <f t="shared" si="193"/>
        <v>2607990</v>
      </c>
      <c r="G1293" s="130">
        <f t="shared" si="192"/>
        <v>495518.1</v>
      </c>
      <c r="H1293" s="131">
        <f t="shared" si="194"/>
        <v>3103508</v>
      </c>
    </row>
    <row r="1294" spans="1:8" x14ac:dyDescent="0.25">
      <c r="A1294" s="43" t="s">
        <v>3466</v>
      </c>
      <c r="B1294" s="81" t="s">
        <v>7816</v>
      </c>
      <c r="C1294" s="26" t="s">
        <v>37</v>
      </c>
      <c r="D1294" s="1001">
        <v>2200000</v>
      </c>
      <c r="E1294" s="74">
        <v>0.05</v>
      </c>
      <c r="F1294" s="129">
        <f t="shared" si="193"/>
        <v>2310000</v>
      </c>
      <c r="G1294" s="130">
        <f t="shared" ref="G1294:G1312" si="195">F1294*0.19</f>
        <v>438900</v>
      </c>
      <c r="H1294" s="131">
        <f t="shared" si="194"/>
        <v>2748900</v>
      </c>
    </row>
    <row r="1295" spans="1:8" x14ac:dyDescent="0.25">
      <c r="A1295" s="43" t="s">
        <v>3467</v>
      </c>
      <c r="B1295" s="81" t="s">
        <v>3414</v>
      </c>
      <c r="C1295" s="26" t="s">
        <v>37</v>
      </c>
      <c r="D1295" s="1001">
        <v>2255000</v>
      </c>
      <c r="E1295" s="74">
        <v>0.05</v>
      </c>
      <c r="F1295" s="129">
        <f t="shared" si="193"/>
        <v>2367750</v>
      </c>
      <c r="G1295" s="130">
        <f t="shared" si="195"/>
        <v>449872.5</v>
      </c>
      <c r="H1295" s="131">
        <f t="shared" si="194"/>
        <v>2817623</v>
      </c>
    </row>
    <row r="1296" spans="1:8" x14ac:dyDescent="0.25">
      <c r="A1296" s="43" t="s">
        <v>3468</v>
      </c>
      <c r="B1296" s="81" t="s">
        <v>7295</v>
      </c>
      <c r="C1296" s="26" t="s">
        <v>37</v>
      </c>
      <c r="D1296" s="68">
        <v>2656500</v>
      </c>
      <c r="E1296" s="74">
        <v>0.05</v>
      </c>
      <c r="F1296" s="129">
        <f t="shared" si="193"/>
        <v>2789325</v>
      </c>
      <c r="G1296" s="130">
        <f t="shared" si="195"/>
        <v>529971.75</v>
      </c>
      <c r="H1296" s="131">
        <f t="shared" si="194"/>
        <v>3319297</v>
      </c>
    </row>
    <row r="1297" spans="1:8" x14ac:dyDescent="0.25">
      <c r="A1297" s="43" t="s">
        <v>3469</v>
      </c>
      <c r="B1297" s="81" t="s">
        <v>3416</v>
      </c>
      <c r="C1297" s="26" t="s">
        <v>37</v>
      </c>
      <c r="D1297" s="68">
        <v>3027200</v>
      </c>
      <c r="E1297" s="74">
        <v>0.05</v>
      </c>
      <c r="F1297" s="129">
        <f t="shared" si="193"/>
        <v>3178560</v>
      </c>
      <c r="G1297" s="130">
        <f t="shared" si="195"/>
        <v>603926.4</v>
      </c>
      <c r="H1297" s="131">
        <f t="shared" si="194"/>
        <v>3782486</v>
      </c>
    </row>
    <row r="1298" spans="1:8" x14ac:dyDescent="0.25">
      <c r="A1298" s="43" t="s">
        <v>3470</v>
      </c>
      <c r="B1298" s="81" t="s">
        <v>7467</v>
      </c>
      <c r="C1298" s="26" t="s">
        <v>37</v>
      </c>
      <c r="D1298" s="68">
        <v>3162500</v>
      </c>
      <c r="E1298" s="74">
        <v>0.05</v>
      </c>
      <c r="F1298" s="129">
        <f t="shared" si="193"/>
        <v>3320625</v>
      </c>
      <c r="G1298" s="130">
        <f t="shared" si="195"/>
        <v>630918.75</v>
      </c>
      <c r="H1298" s="131">
        <f t="shared" si="194"/>
        <v>3951544</v>
      </c>
    </row>
    <row r="1299" spans="1:8" x14ac:dyDescent="0.25">
      <c r="A1299" s="43" t="s">
        <v>3471</v>
      </c>
      <c r="B1299" s="81" t="s">
        <v>7622</v>
      </c>
      <c r="C1299" s="26" t="s">
        <v>37</v>
      </c>
      <c r="D1299" s="68">
        <v>3258200</v>
      </c>
      <c r="E1299" s="74">
        <v>0.05</v>
      </c>
      <c r="F1299" s="129">
        <f t="shared" si="193"/>
        <v>3421110</v>
      </c>
      <c r="G1299" s="130">
        <f t="shared" si="195"/>
        <v>650010.9</v>
      </c>
      <c r="H1299" s="131">
        <f t="shared" si="194"/>
        <v>4071121</v>
      </c>
    </row>
    <row r="1300" spans="1:8" x14ac:dyDescent="0.25">
      <c r="A1300" s="43" t="s">
        <v>3472</v>
      </c>
      <c r="B1300" s="81" t="s">
        <v>3419</v>
      </c>
      <c r="C1300" s="26" t="s">
        <v>37</v>
      </c>
      <c r="D1300" s="68">
        <v>3744400</v>
      </c>
      <c r="E1300" s="74">
        <v>0.05</v>
      </c>
      <c r="F1300" s="129">
        <f t="shared" si="193"/>
        <v>3931620</v>
      </c>
      <c r="G1300" s="130">
        <f t="shared" si="195"/>
        <v>747007.8</v>
      </c>
      <c r="H1300" s="131">
        <f t="shared" si="194"/>
        <v>4678628</v>
      </c>
    </row>
    <row r="1301" spans="1:8" x14ac:dyDescent="0.25">
      <c r="A1301" s="43" t="s">
        <v>3473</v>
      </c>
      <c r="B1301" s="81" t="s">
        <v>7296</v>
      </c>
      <c r="C1301" s="26" t="s">
        <v>37</v>
      </c>
      <c r="D1301" s="68">
        <v>2891900</v>
      </c>
      <c r="E1301" s="74">
        <v>0.05</v>
      </c>
      <c r="F1301" s="129">
        <f t="shared" si="193"/>
        <v>3036495</v>
      </c>
      <c r="G1301" s="130">
        <f t="shared" si="195"/>
        <v>576934.05000000005</v>
      </c>
      <c r="H1301" s="131">
        <f t="shared" si="194"/>
        <v>3613429</v>
      </c>
    </row>
    <row r="1302" spans="1:8" x14ac:dyDescent="0.25">
      <c r="A1302" s="43" t="s">
        <v>3474</v>
      </c>
      <c r="B1302" s="81" t="s">
        <v>3421</v>
      </c>
      <c r="C1302" s="26" t="s">
        <v>37</v>
      </c>
      <c r="D1302" s="68">
        <v>3143800</v>
      </c>
      <c r="E1302" s="74">
        <v>0.05</v>
      </c>
      <c r="F1302" s="129">
        <f t="shared" si="193"/>
        <v>3300990</v>
      </c>
      <c r="G1302" s="130">
        <f t="shared" si="195"/>
        <v>627188.1</v>
      </c>
      <c r="H1302" s="131">
        <f t="shared" si="194"/>
        <v>3928178</v>
      </c>
    </row>
    <row r="1303" spans="1:8" x14ac:dyDescent="0.25">
      <c r="A1303" s="43" t="s">
        <v>3475</v>
      </c>
      <c r="B1303" s="81" t="s">
        <v>7468</v>
      </c>
      <c r="C1303" s="26" t="s">
        <v>37</v>
      </c>
      <c r="D1303" s="68">
        <v>3404500</v>
      </c>
      <c r="E1303" s="74">
        <v>0.05</v>
      </c>
      <c r="F1303" s="129">
        <f t="shared" si="193"/>
        <v>3574725</v>
      </c>
      <c r="G1303" s="130">
        <f t="shared" si="195"/>
        <v>679197.75</v>
      </c>
      <c r="H1303" s="131">
        <f t="shared" si="194"/>
        <v>4253923</v>
      </c>
    </row>
    <row r="1304" spans="1:8" x14ac:dyDescent="0.25">
      <c r="A1304" s="43" t="s">
        <v>3476</v>
      </c>
      <c r="B1304" s="81" t="s">
        <v>7623</v>
      </c>
      <c r="C1304" s="26" t="s">
        <v>37</v>
      </c>
      <c r="D1304" s="68">
        <v>3839000</v>
      </c>
      <c r="E1304" s="74">
        <v>0.05</v>
      </c>
      <c r="F1304" s="129">
        <f t="shared" si="193"/>
        <v>4030950</v>
      </c>
      <c r="G1304" s="130">
        <f t="shared" si="195"/>
        <v>765880.5</v>
      </c>
      <c r="H1304" s="131">
        <f t="shared" si="194"/>
        <v>4796831</v>
      </c>
    </row>
    <row r="1305" spans="1:8" x14ac:dyDescent="0.25">
      <c r="A1305" s="43" t="s">
        <v>3477</v>
      </c>
      <c r="B1305" s="81" t="s">
        <v>3424</v>
      </c>
      <c r="C1305" s="26" t="s">
        <v>37</v>
      </c>
      <c r="D1305" s="68">
        <v>3938000</v>
      </c>
      <c r="E1305" s="74">
        <v>0.05</v>
      </c>
      <c r="F1305" s="129">
        <f t="shared" si="193"/>
        <v>4134900</v>
      </c>
      <c r="G1305" s="130">
        <f t="shared" si="195"/>
        <v>785631</v>
      </c>
      <c r="H1305" s="131">
        <f t="shared" si="194"/>
        <v>4920531</v>
      </c>
    </row>
    <row r="1306" spans="1:8" x14ac:dyDescent="0.25">
      <c r="A1306" s="43" t="s">
        <v>3478</v>
      </c>
      <c r="B1306" s="81" t="s">
        <v>3425</v>
      </c>
      <c r="C1306" s="26" t="s">
        <v>37</v>
      </c>
      <c r="D1306" s="1001"/>
      <c r="E1306" s="74">
        <v>0.05</v>
      </c>
      <c r="F1306" s="129">
        <f t="shared" si="193"/>
        <v>0</v>
      </c>
      <c r="G1306" s="130">
        <f t="shared" si="195"/>
        <v>0</v>
      </c>
      <c r="H1306" s="131">
        <f t="shared" si="194"/>
        <v>0</v>
      </c>
    </row>
    <row r="1307" spans="1:8" x14ac:dyDescent="0.25">
      <c r="A1307" s="43" t="s">
        <v>3479</v>
      </c>
      <c r="B1307" s="81" t="s">
        <v>7297</v>
      </c>
      <c r="C1307" s="26" t="s">
        <v>37</v>
      </c>
      <c r="D1307" s="1001"/>
      <c r="E1307" s="74">
        <v>0.05</v>
      </c>
      <c r="F1307" s="129">
        <f t="shared" si="193"/>
        <v>0</v>
      </c>
      <c r="G1307" s="130">
        <f t="shared" si="195"/>
        <v>0</v>
      </c>
      <c r="H1307" s="131">
        <f t="shared" si="194"/>
        <v>0</v>
      </c>
    </row>
    <row r="1308" spans="1:8" x14ac:dyDescent="0.25">
      <c r="A1308" s="43" t="s">
        <v>3480</v>
      </c>
      <c r="B1308" s="81" t="s">
        <v>3427</v>
      </c>
      <c r="C1308" s="26" t="s">
        <v>37</v>
      </c>
      <c r="D1308" s="68">
        <v>3795000</v>
      </c>
      <c r="E1308" s="74">
        <v>0.05</v>
      </c>
      <c r="F1308" s="129">
        <f t="shared" si="193"/>
        <v>3984750</v>
      </c>
      <c r="G1308" s="130">
        <f t="shared" si="195"/>
        <v>757102.5</v>
      </c>
      <c r="H1308" s="131">
        <f t="shared" si="194"/>
        <v>4741853</v>
      </c>
    </row>
    <row r="1309" spans="1:8" x14ac:dyDescent="0.25">
      <c r="A1309" s="43" t="s">
        <v>3481</v>
      </c>
      <c r="B1309" s="81" t="s">
        <v>7469</v>
      </c>
      <c r="C1309" s="26" t="s">
        <v>37</v>
      </c>
      <c r="D1309" s="68">
        <v>3795000</v>
      </c>
      <c r="E1309" s="74">
        <v>0.05</v>
      </c>
      <c r="F1309" s="129">
        <f t="shared" si="193"/>
        <v>3984750</v>
      </c>
      <c r="G1309" s="130">
        <f t="shared" si="195"/>
        <v>757102.5</v>
      </c>
      <c r="H1309" s="131">
        <f t="shared" si="194"/>
        <v>4741853</v>
      </c>
    </row>
    <row r="1310" spans="1:8" x14ac:dyDescent="0.25">
      <c r="A1310" s="43" t="s">
        <v>3482</v>
      </c>
      <c r="B1310" s="81" t="s">
        <v>7624</v>
      </c>
      <c r="C1310" s="26" t="s">
        <v>37</v>
      </c>
      <c r="D1310" s="68">
        <v>5322900</v>
      </c>
      <c r="E1310" s="74">
        <v>0.05</v>
      </c>
      <c r="F1310" s="129">
        <f t="shared" si="193"/>
        <v>5589045</v>
      </c>
      <c r="G1310" s="130">
        <f t="shared" si="195"/>
        <v>1061918.55</v>
      </c>
      <c r="H1310" s="131">
        <f t="shared" si="194"/>
        <v>6650964</v>
      </c>
    </row>
    <row r="1311" spans="1:8" x14ac:dyDescent="0.25">
      <c r="A1311" s="43" t="s">
        <v>3483</v>
      </c>
      <c r="B1311" s="81" t="s">
        <v>3430</v>
      </c>
      <c r="C1311" s="26" t="s">
        <v>37</v>
      </c>
      <c r="D1311" s="68">
        <v>5626500</v>
      </c>
      <c r="E1311" s="74">
        <v>0.05</v>
      </c>
      <c r="F1311" s="129">
        <f t="shared" si="193"/>
        <v>5907825</v>
      </c>
      <c r="G1311" s="130">
        <f t="shared" si="195"/>
        <v>1122486.75</v>
      </c>
      <c r="H1311" s="131">
        <f t="shared" si="194"/>
        <v>7030312</v>
      </c>
    </row>
    <row r="1312" spans="1:8" x14ac:dyDescent="0.25">
      <c r="A1312" s="43" t="s">
        <v>3484</v>
      </c>
      <c r="B1312" s="81" t="s">
        <v>3431</v>
      </c>
      <c r="C1312" s="26" t="s">
        <v>37</v>
      </c>
      <c r="D1312" s="68">
        <v>5899300</v>
      </c>
      <c r="E1312" s="74">
        <v>0.05</v>
      </c>
      <c r="F1312" s="129">
        <f t="shared" si="193"/>
        <v>6194265</v>
      </c>
      <c r="G1312" s="130">
        <f t="shared" si="195"/>
        <v>1176910.3500000001</v>
      </c>
      <c r="H1312" s="131">
        <f t="shared" si="194"/>
        <v>7371175</v>
      </c>
    </row>
    <row r="1313" spans="1:8" x14ac:dyDescent="0.25">
      <c r="A1313" s="78" t="s">
        <v>3485</v>
      </c>
      <c r="B1313" s="79" t="s">
        <v>3486</v>
      </c>
      <c r="C1313" s="26"/>
      <c r="D1313" s="1012"/>
      <c r="E1313" s="74"/>
      <c r="F1313" s="75"/>
      <c r="G1313" s="76"/>
      <c r="H1313" s="77"/>
    </row>
    <row r="1314" spans="1:8" x14ac:dyDescent="0.25">
      <c r="A1314" s="85" t="s">
        <v>3488</v>
      </c>
      <c r="B1314" s="88" t="s">
        <v>7808</v>
      </c>
      <c r="C1314" s="26" t="s">
        <v>37</v>
      </c>
      <c r="D1314" s="1012">
        <v>262900</v>
      </c>
      <c r="E1314" s="74">
        <v>0.05</v>
      </c>
      <c r="F1314" s="129">
        <f t="shared" ref="F1314:F1331" si="196">+D1314+D1314*E1314</f>
        <v>276045</v>
      </c>
      <c r="G1314" s="130">
        <f t="shared" ref="G1314:G1331" si="197">F1314*0.19</f>
        <v>52448.55</v>
      </c>
      <c r="H1314" s="131">
        <f t="shared" ref="H1314:H1331" si="198">ROUND((F1314+G1314),0)</f>
        <v>328494</v>
      </c>
    </row>
    <row r="1315" spans="1:8" x14ac:dyDescent="0.25">
      <c r="A1315" s="85" t="s">
        <v>3489</v>
      </c>
      <c r="B1315" s="88" t="s">
        <v>7817</v>
      </c>
      <c r="C1315" s="26" t="s">
        <v>37</v>
      </c>
      <c r="D1315" s="1012">
        <v>236292</v>
      </c>
      <c r="E1315" s="74">
        <v>0.05</v>
      </c>
      <c r="F1315" s="129">
        <f t="shared" si="196"/>
        <v>248106.6</v>
      </c>
      <c r="G1315" s="130">
        <f t="shared" si="197"/>
        <v>47140.254000000001</v>
      </c>
      <c r="H1315" s="131">
        <f t="shared" si="198"/>
        <v>295247</v>
      </c>
    </row>
    <row r="1316" spans="1:8" x14ac:dyDescent="0.25">
      <c r="A1316" s="85" t="s">
        <v>3490</v>
      </c>
      <c r="B1316" s="88" t="s">
        <v>7809</v>
      </c>
      <c r="C1316" s="26" t="s">
        <v>37</v>
      </c>
      <c r="D1316" s="1012">
        <v>289300</v>
      </c>
      <c r="E1316" s="74">
        <v>0.05</v>
      </c>
      <c r="F1316" s="129">
        <f t="shared" si="196"/>
        <v>303765</v>
      </c>
      <c r="G1316" s="130">
        <f t="shared" si="197"/>
        <v>57715.35</v>
      </c>
      <c r="H1316" s="131">
        <f t="shared" si="198"/>
        <v>361480</v>
      </c>
    </row>
    <row r="1317" spans="1:8" x14ac:dyDescent="0.25">
      <c r="A1317" s="85" t="s">
        <v>3491</v>
      </c>
      <c r="B1317" s="81" t="s">
        <v>7810</v>
      </c>
      <c r="C1317" s="26" t="s">
        <v>37</v>
      </c>
      <c r="D1317" s="68">
        <v>315700</v>
      </c>
      <c r="E1317" s="74">
        <v>0.05</v>
      </c>
      <c r="F1317" s="129">
        <f t="shared" si="196"/>
        <v>331485</v>
      </c>
      <c r="G1317" s="130">
        <f t="shared" si="197"/>
        <v>62982.15</v>
      </c>
      <c r="H1317" s="131">
        <f t="shared" si="198"/>
        <v>394467</v>
      </c>
    </row>
    <row r="1318" spans="1:8" x14ac:dyDescent="0.25">
      <c r="A1318" s="85" t="s">
        <v>3492</v>
      </c>
      <c r="B1318" s="81" t="s">
        <v>3389</v>
      </c>
      <c r="C1318" s="26" t="s">
        <v>37</v>
      </c>
      <c r="D1318" s="68">
        <v>463100</v>
      </c>
      <c r="E1318" s="74">
        <v>0.05</v>
      </c>
      <c r="F1318" s="129">
        <f t="shared" si="196"/>
        <v>486255</v>
      </c>
      <c r="G1318" s="130">
        <f t="shared" si="197"/>
        <v>92388.45</v>
      </c>
      <c r="H1318" s="131">
        <f t="shared" si="198"/>
        <v>578643</v>
      </c>
    </row>
    <row r="1319" spans="1:8" x14ac:dyDescent="0.25">
      <c r="A1319" s="85" t="s">
        <v>3493</v>
      </c>
      <c r="B1319" s="81" t="s">
        <v>7811</v>
      </c>
      <c r="C1319" s="26" t="s">
        <v>37</v>
      </c>
      <c r="D1319" s="68">
        <v>569800</v>
      </c>
      <c r="E1319" s="74">
        <v>0.05</v>
      </c>
      <c r="F1319" s="129">
        <f t="shared" si="196"/>
        <v>598290</v>
      </c>
      <c r="G1319" s="130">
        <f t="shared" si="197"/>
        <v>113675.1</v>
      </c>
      <c r="H1319" s="131">
        <f t="shared" si="198"/>
        <v>711965</v>
      </c>
    </row>
    <row r="1320" spans="1:8" x14ac:dyDescent="0.25">
      <c r="A1320" s="85" t="s">
        <v>3494</v>
      </c>
      <c r="B1320" s="81" t="s">
        <v>7292</v>
      </c>
      <c r="C1320" s="26" t="s">
        <v>37</v>
      </c>
      <c r="D1320" s="68">
        <v>679800</v>
      </c>
      <c r="E1320" s="74">
        <v>0.05</v>
      </c>
      <c r="F1320" s="129">
        <f t="shared" si="196"/>
        <v>713790</v>
      </c>
      <c r="G1320" s="130">
        <f t="shared" si="197"/>
        <v>135620.1</v>
      </c>
      <c r="H1320" s="131">
        <f t="shared" si="198"/>
        <v>849410</v>
      </c>
    </row>
    <row r="1321" spans="1:8" x14ac:dyDescent="0.25">
      <c r="A1321" s="85" t="s">
        <v>3495</v>
      </c>
      <c r="B1321" s="81" t="s">
        <v>7812</v>
      </c>
      <c r="C1321" s="26" t="s">
        <v>37</v>
      </c>
      <c r="D1321" s="68">
        <v>776600</v>
      </c>
      <c r="E1321" s="74">
        <v>0.05</v>
      </c>
      <c r="F1321" s="129">
        <f t="shared" si="196"/>
        <v>815430</v>
      </c>
      <c r="G1321" s="130">
        <f t="shared" si="197"/>
        <v>154931.70000000001</v>
      </c>
      <c r="H1321" s="131">
        <f t="shared" si="198"/>
        <v>970362</v>
      </c>
    </row>
    <row r="1322" spans="1:8" x14ac:dyDescent="0.25">
      <c r="A1322" s="85" t="s">
        <v>3496</v>
      </c>
      <c r="B1322" s="81" t="s">
        <v>7293</v>
      </c>
      <c r="C1322" s="26" t="s">
        <v>37</v>
      </c>
      <c r="D1322" s="68">
        <v>834900</v>
      </c>
      <c r="E1322" s="74">
        <v>0.05</v>
      </c>
      <c r="F1322" s="129">
        <f t="shared" si="196"/>
        <v>876645</v>
      </c>
      <c r="G1322" s="130">
        <f t="shared" si="197"/>
        <v>166562.54999999999</v>
      </c>
      <c r="H1322" s="131">
        <f t="shared" si="198"/>
        <v>1043208</v>
      </c>
    </row>
    <row r="1323" spans="1:8" x14ac:dyDescent="0.25">
      <c r="A1323" s="85" t="s">
        <v>3497</v>
      </c>
      <c r="B1323" s="81" t="s">
        <v>7813</v>
      </c>
      <c r="C1323" s="26" t="s">
        <v>37</v>
      </c>
      <c r="D1323" s="68">
        <v>1028500</v>
      </c>
      <c r="E1323" s="74">
        <v>0.05</v>
      </c>
      <c r="F1323" s="129">
        <f t="shared" si="196"/>
        <v>1079925</v>
      </c>
      <c r="G1323" s="130">
        <f t="shared" si="197"/>
        <v>205185.75</v>
      </c>
      <c r="H1323" s="131">
        <f t="shared" si="198"/>
        <v>1285111</v>
      </c>
    </row>
    <row r="1324" spans="1:8" x14ac:dyDescent="0.25">
      <c r="A1324" s="85" t="s">
        <v>3498</v>
      </c>
      <c r="B1324" s="81" t="s">
        <v>7294</v>
      </c>
      <c r="C1324" s="26" t="s">
        <v>37</v>
      </c>
      <c r="D1324" s="68">
        <v>1203400</v>
      </c>
      <c r="E1324" s="74">
        <v>0.05</v>
      </c>
      <c r="F1324" s="129">
        <f t="shared" si="196"/>
        <v>1263570</v>
      </c>
      <c r="G1324" s="130">
        <f t="shared" si="197"/>
        <v>240078.3</v>
      </c>
      <c r="H1324" s="131">
        <f t="shared" si="198"/>
        <v>1503648</v>
      </c>
    </row>
    <row r="1325" spans="1:8" x14ac:dyDescent="0.25">
      <c r="A1325" s="85" t="s">
        <v>3499</v>
      </c>
      <c r="B1325" s="81" t="s">
        <v>7464</v>
      </c>
      <c r="C1325" s="26" t="s">
        <v>37</v>
      </c>
      <c r="D1325" s="68">
        <v>1546600</v>
      </c>
      <c r="E1325" s="74">
        <v>0.05</v>
      </c>
      <c r="F1325" s="129">
        <f t="shared" si="196"/>
        <v>1623930</v>
      </c>
      <c r="G1325" s="130">
        <f t="shared" si="197"/>
        <v>308546.7</v>
      </c>
      <c r="H1325" s="131">
        <f t="shared" si="198"/>
        <v>1932477</v>
      </c>
    </row>
    <row r="1326" spans="1:8" x14ac:dyDescent="0.25">
      <c r="A1326" s="85" t="s">
        <v>3500</v>
      </c>
      <c r="B1326" s="81" t="s">
        <v>7466</v>
      </c>
      <c r="C1326" s="26" t="s">
        <v>37</v>
      </c>
      <c r="D1326" s="68">
        <v>1863400</v>
      </c>
      <c r="E1326" s="74">
        <v>0.05</v>
      </c>
      <c r="F1326" s="129">
        <f t="shared" si="196"/>
        <v>1956570</v>
      </c>
      <c r="G1326" s="130">
        <f t="shared" si="197"/>
        <v>371748.3</v>
      </c>
      <c r="H1326" s="131">
        <f t="shared" si="198"/>
        <v>2328318</v>
      </c>
    </row>
    <row r="1327" spans="1:8" x14ac:dyDescent="0.25">
      <c r="A1327" s="85" t="s">
        <v>3501</v>
      </c>
      <c r="B1327" s="81" t="s">
        <v>7815</v>
      </c>
      <c r="C1327" s="26" t="s">
        <v>37</v>
      </c>
      <c r="D1327" s="68">
        <v>1843600</v>
      </c>
      <c r="E1327" s="74">
        <v>0.05</v>
      </c>
      <c r="F1327" s="129">
        <f t="shared" si="196"/>
        <v>1935780</v>
      </c>
      <c r="G1327" s="130">
        <f t="shared" si="197"/>
        <v>367798.2</v>
      </c>
      <c r="H1327" s="131">
        <f t="shared" si="198"/>
        <v>2303578</v>
      </c>
    </row>
    <row r="1328" spans="1:8" x14ac:dyDescent="0.25">
      <c r="A1328" s="85" t="s">
        <v>3502</v>
      </c>
      <c r="B1328" s="81" t="s">
        <v>7296</v>
      </c>
      <c r="C1328" s="26" t="s">
        <v>37</v>
      </c>
      <c r="D1328" s="68">
        <v>2891900</v>
      </c>
      <c r="E1328" s="74">
        <v>0.05</v>
      </c>
      <c r="F1328" s="129">
        <f t="shared" si="196"/>
        <v>3036495</v>
      </c>
      <c r="G1328" s="130">
        <f t="shared" si="197"/>
        <v>576934.05000000005</v>
      </c>
      <c r="H1328" s="131">
        <f t="shared" si="198"/>
        <v>3613429</v>
      </c>
    </row>
    <row r="1329" spans="1:8" x14ac:dyDescent="0.25">
      <c r="A1329" s="85" t="s">
        <v>3503</v>
      </c>
      <c r="B1329" s="81" t="s">
        <v>3421</v>
      </c>
      <c r="C1329" s="26" t="s">
        <v>37</v>
      </c>
      <c r="D1329" s="68">
        <v>3143800</v>
      </c>
      <c r="E1329" s="74">
        <v>0.05</v>
      </c>
      <c r="F1329" s="129">
        <f t="shared" si="196"/>
        <v>3300990</v>
      </c>
      <c r="G1329" s="130">
        <f t="shared" si="197"/>
        <v>627188.1</v>
      </c>
      <c r="H1329" s="131">
        <f t="shared" si="198"/>
        <v>3928178</v>
      </c>
    </row>
    <row r="1330" spans="1:8" x14ac:dyDescent="0.25">
      <c r="A1330" s="85" t="s">
        <v>3504</v>
      </c>
      <c r="B1330" s="81" t="s">
        <v>3425</v>
      </c>
      <c r="C1330" s="26" t="s">
        <v>37</v>
      </c>
      <c r="D1330" s="68"/>
      <c r="E1330" s="74">
        <v>0.05</v>
      </c>
      <c r="F1330" s="129">
        <f t="shared" si="196"/>
        <v>0</v>
      </c>
      <c r="G1330" s="130">
        <f t="shared" si="197"/>
        <v>0</v>
      </c>
      <c r="H1330" s="131">
        <f t="shared" si="198"/>
        <v>0</v>
      </c>
    </row>
    <row r="1331" spans="1:8" x14ac:dyDescent="0.25">
      <c r="A1331" s="85" t="s">
        <v>3505</v>
      </c>
      <c r="B1331" s="81" t="s">
        <v>7469</v>
      </c>
      <c r="C1331" s="26" t="s">
        <v>37</v>
      </c>
      <c r="D1331" s="68">
        <v>3795000</v>
      </c>
      <c r="E1331" s="74">
        <v>0.05</v>
      </c>
      <c r="F1331" s="129">
        <f t="shared" si="196"/>
        <v>3984750</v>
      </c>
      <c r="G1331" s="130">
        <f t="shared" si="197"/>
        <v>757102.5</v>
      </c>
      <c r="H1331" s="131">
        <f t="shared" si="198"/>
        <v>4741853</v>
      </c>
    </row>
    <row r="1332" spans="1:8" x14ac:dyDescent="0.25">
      <c r="A1332" s="78" t="s">
        <v>975</v>
      </c>
      <c r="B1332" s="80" t="s">
        <v>3506</v>
      </c>
      <c r="C1332" s="26"/>
      <c r="D1332" s="68"/>
      <c r="E1332" s="74"/>
      <c r="F1332" s="75"/>
      <c r="G1332" s="76"/>
      <c r="H1332" s="77"/>
    </row>
    <row r="1333" spans="1:8" x14ac:dyDescent="0.25">
      <c r="A1333" s="78" t="s">
        <v>3507</v>
      </c>
      <c r="B1333" s="79" t="s">
        <v>3545</v>
      </c>
      <c r="C1333" s="26"/>
      <c r="D1333" s="68"/>
      <c r="E1333" s="74"/>
      <c r="F1333" s="75"/>
      <c r="G1333" s="76"/>
      <c r="H1333" s="77"/>
    </row>
    <row r="1334" spans="1:8" x14ac:dyDescent="0.25">
      <c r="A1334" s="85" t="s">
        <v>3508</v>
      </c>
      <c r="B1334" s="88" t="s">
        <v>3511</v>
      </c>
      <c r="C1334" s="26" t="s">
        <v>37</v>
      </c>
      <c r="D1334" s="68">
        <v>61600</v>
      </c>
      <c r="E1334" s="74">
        <v>0.05</v>
      </c>
      <c r="F1334" s="129">
        <f t="shared" ref="F1334:F1345" si="199">+D1334+D1334*E1334</f>
        <v>64680</v>
      </c>
      <c r="G1334" s="130">
        <f t="shared" ref="G1334:G1345" si="200">F1334*0.19</f>
        <v>12289.2</v>
      </c>
      <c r="H1334" s="131">
        <f t="shared" ref="H1334:H1345" si="201">ROUND((F1334+G1334),0)</f>
        <v>76969</v>
      </c>
    </row>
    <row r="1335" spans="1:8" x14ac:dyDescent="0.25">
      <c r="A1335" s="85" t="s">
        <v>3521</v>
      </c>
      <c r="B1335" s="88" t="s">
        <v>3512</v>
      </c>
      <c r="C1335" s="26" t="s">
        <v>37</v>
      </c>
      <c r="D1335" s="68">
        <v>89100</v>
      </c>
      <c r="E1335" s="74">
        <v>0.05</v>
      </c>
      <c r="F1335" s="129">
        <f t="shared" si="199"/>
        <v>93555</v>
      </c>
      <c r="G1335" s="130">
        <f t="shared" si="200"/>
        <v>17775.45</v>
      </c>
      <c r="H1335" s="131">
        <f t="shared" si="201"/>
        <v>111330</v>
      </c>
    </row>
    <row r="1336" spans="1:8" x14ac:dyDescent="0.25">
      <c r="A1336" s="85" t="s">
        <v>3522</v>
      </c>
      <c r="B1336" s="88" t="s">
        <v>3510</v>
      </c>
      <c r="C1336" s="26" t="s">
        <v>37</v>
      </c>
      <c r="D1336" s="68">
        <v>140800</v>
      </c>
      <c r="E1336" s="74">
        <v>0.05</v>
      </c>
      <c r="F1336" s="129">
        <f t="shared" si="199"/>
        <v>147840</v>
      </c>
      <c r="G1336" s="130">
        <f t="shared" si="200"/>
        <v>28089.599999999999</v>
      </c>
      <c r="H1336" s="131">
        <f t="shared" si="201"/>
        <v>175930</v>
      </c>
    </row>
    <row r="1337" spans="1:8" x14ac:dyDescent="0.25">
      <c r="A1337" s="85" t="s">
        <v>3523</v>
      </c>
      <c r="B1337" s="88" t="s">
        <v>7818</v>
      </c>
      <c r="C1337" s="26" t="s">
        <v>37</v>
      </c>
      <c r="D1337" s="68">
        <v>297000</v>
      </c>
      <c r="E1337" s="74">
        <v>0.05</v>
      </c>
      <c r="F1337" s="129">
        <f t="shared" si="199"/>
        <v>311850</v>
      </c>
      <c r="G1337" s="130">
        <f t="shared" si="200"/>
        <v>59251.5</v>
      </c>
      <c r="H1337" s="131">
        <f t="shared" si="201"/>
        <v>371102</v>
      </c>
    </row>
    <row r="1338" spans="1:8" x14ac:dyDescent="0.25">
      <c r="A1338" s="85" t="s">
        <v>3524</v>
      </c>
      <c r="B1338" s="88" t="s">
        <v>3513</v>
      </c>
      <c r="C1338" s="26" t="s">
        <v>37</v>
      </c>
      <c r="D1338" s="68">
        <v>559900</v>
      </c>
      <c r="E1338" s="74">
        <v>0.05</v>
      </c>
      <c r="F1338" s="129">
        <f t="shared" si="199"/>
        <v>587895</v>
      </c>
      <c r="G1338" s="130">
        <f t="shared" si="200"/>
        <v>111700.05</v>
      </c>
      <c r="H1338" s="131">
        <f t="shared" si="201"/>
        <v>699595</v>
      </c>
    </row>
    <row r="1339" spans="1:8" x14ac:dyDescent="0.25">
      <c r="A1339" s="85" t="s">
        <v>3525</v>
      </c>
      <c r="B1339" s="88" t="s">
        <v>7298</v>
      </c>
      <c r="C1339" s="26" t="s">
        <v>37</v>
      </c>
      <c r="D1339" s="68">
        <v>1040600</v>
      </c>
      <c r="E1339" s="74">
        <v>0.05</v>
      </c>
      <c r="F1339" s="129">
        <f t="shared" si="199"/>
        <v>1092630</v>
      </c>
      <c r="G1339" s="130">
        <f t="shared" si="200"/>
        <v>207599.7</v>
      </c>
      <c r="H1339" s="131">
        <f t="shared" si="201"/>
        <v>1300230</v>
      </c>
    </row>
    <row r="1340" spans="1:8" x14ac:dyDescent="0.25">
      <c r="A1340" s="85" t="s">
        <v>3526</v>
      </c>
      <c r="B1340" s="88" t="s">
        <v>3516</v>
      </c>
      <c r="C1340" s="26" t="s">
        <v>37</v>
      </c>
      <c r="D1340" s="68">
        <v>1214400</v>
      </c>
      <c r="E1340" s="74">
        <v>0.05</v>
      </c>
      <c r="F1340" s="129">
        <f t="shared" si="199"/>
        <v>1275120</v>
      </c>
      <c r="G1340" s="130">
        <f t="shared" si="200"/>
        <v>242272.8</v>
      </c>
      <c r="H1340" s="131">
        <f t="shared" si="201"/>
        <v>1517393</v>
      </c>
    </row>
    <row r="1341" spans="1:8" x14ac:dyDescent="0.25">
      <c r="A1341" s="85" t="s">
        <v>3527</v>
      </c>
      <c r="B1341" s="88" t="s">
        <v>7470</v>
      </c>
      <c r="C1341" s="26" t="s">
        <v>37</v>
      </c>
      <c r="D1341" s="68">
        <v>1901900</v>
      </c>
      <c r="E1341" s="74">
        <v>0.05</v>
      </c>
      <c r="F1341" s="129">
        <f t="shared" si="199"/>
        <v>1996995</v>
      </c>
      <c r="G1341" s="130">
        <f t="shared" si="200"/>
        <v>379429.05</v>
      </c>
      <c r="H1341" s="131">
        <f t="shared" si="201"/>
        <v>2376424</v>
      </c>
    </row>
    <row r="1342" spans="1:8" x14ac:dyDescent="0.25">
      <c r="A1342" s="85" t="s">
        <v>3528</v>
      </c>
      <c r="B1342" s="88" t="s">
        <v>7625</v>
      </c>
      <c r="C1342" s="26" t="s">
        <v>37</v>
      </c>
      <c r="D1342" s="68">
        <v>2668600</v>
      </c>
      <c r="E1342" s="74">
        <v>0.05</v>
      </c>
      <c r="F1342" s="129">
        <f t="shared" si="199"/>
        <v>2802030</v>
      </c>
      <c r="G1342" s="130">
        <f t="shared" si="200"/>
        <v>532385.69999999995</v>
      </c>
      <c r="H1342" s="131">
        <f t="shared" si="201"/>
        <v>3334416</v>
      </c>
    </row>
    <row r="1343" spans="1:8" x14ac:dyDescent="0.25">
      <c r="A1343" s="85" t="s">
        <v>3529</v>
      </c>
      <c r="B1343" s="88" t="s">
        <v>3519</v>
      </c>
      <c r="C1343" s="26" t="s">
        <v>37</v>
      </c>
      <c r="D1343" s="68">
        <v>3201000</v>
      </c>
      <c r="E1343" s="74">
        <v>0.05</v>
      </c>
      <c r="F1343" s="129">
        <f t="shared" si="199"/>
        <v>3361050</v>
      </c>
      <c r="G1343" s="130">
        <f t="shared" si="200"/>
        <v>638599.5</v>
      </c>
      <c r="H1343" s="131">
        <f t="shared" si="201"/>
        <v>3999650</v>
      </c>
    </row>
    <row r="1344" spans="1:8" x14ac:dyDescent="0.25">
      <c r="A1344" s="85" t="s">
        <v>3530</v>
      </c>
      <c r="B1344" s="88" t="s">
        <v>3520</v>
      </c>
      <c r="C1344" s="26" t="s">
        <v>37</v>
      </c>
      <c r="D1344" s="68">
        <v>4001800</v>
      </c>
      <c r="E1344" s="74">
        <v>0.05</v>
      </c>
      <c r="F1344" s="129">
        <f t="shared" si="199"/>
        <v>4201890</v>
      </c>
      <c r="G1344" s="130">
        <f t="shared" si="200"/>
        <v>798359.1</v>
      </c>
      <c r="H1344" s="131">
        <f t="shared" si="201"/>
        <v>5000249</v>
      </c>
    </row>
    <row r="1345" spans="1:8" x14ac:dyDescent="0.25">
      <c r="A1345" s="85" t="s">
        <v>3531</v>
      </c>
      <c r="B1345" s="88" t="s">
        <v>3509</v>
      </c>
      <c r="C1345" s="26" t="s">
        <v>37</v>
      </c>
      <c r="D1345" s="68">
        <v>5141400</v>
      </c>
      <c r="E1345" s="74">
        <v>0.05</v>
      </c>
      <c r="F1345" s="129">
        <f t="shared" si="199"/>
        <v>5398470</v>
      </c>
      <c r="G1345" s="130">
        <f t="shared" si="200"/>
        <v>1025709.3</v>
      </c>
      <c r="H1345" s="131">
        <f t="shared" si="201"/>
        <v>6424179</v>
      </c>
    </row>
    <row r="1346" spans="1:8" x14ac:dyDescent="0.25">
      <c r="A1346" s="78" t="s">
        <v>3532</v>
      </c>
      <c r="B1346" s="79" t="s">
        <v>3546</v>
      </c>
      <c r="C1346" s="26"/>
      <c r="D1346" s="1001"/>
      <c r="E1346" s="74"/>
      <c r="F1346" s="75"/>
      <c r="G1346" s="76"/>
      <c r="H1346" s="77"/>
    </row>
    <row r="1347" spans="1:8" x14ac:dyDescent="0.25">
      <c r="A1347" s="85" t="s">
        <v>3533</v>
      </c>
      <c r="B1347" s="88" t="s">
        <v>3511</v>
      </c>
      <c r="C1347" s="26" t="s">
        <v>37</v>
      </c>
      <c r="D1347" s="68">
        <v>73700</v>
      </c>
      <c r="E1347" s="74">
        <v>0.05</v>
      </c>
      <c r="F1347" s="129">
        <f t="shared" ref="F1347:F1358" si="202">+D1347+D1347*E1347</f>
        <v>77385</v>
      </c>
      <c r="G1347" s="130">
        <f t="shared" ref="G1347:G1358" si="203">F1347*0.19</f>
        <v>14703.15</v>
      </c>
      <c r="H1347" s="131">
        <f t="shared" ref="H1347:H1358" si="204">ROUND((F1347+G1347),0)</f>
        <v>92088</v>
      </c>
    </row>
    <row r="1348" spans="1:8" x14ac:dyDescent="0.25">
      <c r="A1348" s="85" t="s">
        <v>3534</v>
      </c>
      <c r="B1348" s="88" t="s">
        <v>3512</v>
      </c>
      <c r="C1348" s="26" t="s">
        <v>37</v>
      </c>
      <c r="D1348" s="68">
        <v>91300</v>
      </c>
      <c r="E1348" s="74">
        <v>0.05</v>
      </c>
      <c r="F1348" s="129">
        <f t="shared" si="202"/>
        <v>95865</v>
      </c>
      <c r="G1348" s="130">
        <f t="shared" si="203"/>
        <v>18214.349999999999</v>
      </c>
      <c r="H1348" s="131">
        <f t="shared" si="204"/>
        <v>114079</v>
      </c>
    </row>
    <row r="1349" spans="1:8" x14ac:dyDescent="0.25">
      <c r="A1349" s="85" t="s">
        <v>3535</v>
      </c>
      <c r="B1349" s="88" t="s">
        <v>3510</v>
      </c>
      <c r="C1349" s="26" t="s">
        <v>37</v>
      </c>
      <c r="D1349" s="68">
        <v>114400</v>
      </c>
      <c r="E1349" s="74">
        <v>0.05</v>
      </c>
      <c r="F1349" s="129">
        <f t="shared" si="202"/>
        <v>120120</v>
      </c>
      <c r="G1349" s="130">
        <f t="shared" si="203"/>
        <v>22822.799999999999</v>
      </c>
      <c r="H1349" s="131">
        <f t="shared" si="204"/>
        <v>142943</v>
      </c>
    </row>
    <row r="1350" spans="1:8" x14ac:dyDescent="0.25">
      <c r="A1350" s="85" t="s">
        <v>3536</v>
      </c>
      <c r="B1350" s="88" t="s">
        <v>7818</v>
      </c>
      <c r="C1350" s="26" t="s">
        <v>37</v>
      </c>
      <c r="D1350" s="68">
        <v>245300</v>
      </c>
      <c r="E1350" s="74">
        <v>0.05</v>
      </c>
      <c r="F1350" s="129">
        <f t="shared" si="202"/>
        <v>257565</v>
      </c>
      <c r="G1350" s="130">
        <f t="shared" si="203"/>
        <v>48937.35</v>
      </c>
      <c r="H1350" s="131">
        <f t="shared" si="204"/>
        <v>306502</v>
      </c>
    </row>
    <row r="1351" spans="1:8" x14ac:dyDescent="0.25">
      <c r="A1351" s="85" t="s">
        <v>3537</v>
      </c>
      <c r="B1351" s="88" t="s">
        <v>3513</v>
      </c>
      <c r="C1351" s="26" t="s">
        <v>37</v>
      </c>
      <c r="D1351" s="68">
        <v>534600</v>
      </c>
      <c r="E1351" s="74">
        <v>0.05</v>
      </c>
      <c r="F1351" s="129">
        <f t="shared" si="202"/>
        <v>561330</v>
      </c>
      <c r="G1351" s="130">
        <f t="shared" si="203"/>
        <v>106652.7</v>
      </c>
      <c r="H1351" s="131">
        <f t="shared" si="204"/>
        <v>667983</v>
      </c>
    </row>
    <row r="1352" spans="1:8" x14ac:dyDescent="0.25">
      <c r="A1352" s="85" t="s">
        <v>3538</v>
      </c>
      <c r="B1352" s="88" t="s">
        <v>7298</v>
      </c>
      <c r="C1352" s="26" t="s">
        <v>37</v>
      </c>
      <c r="D1352" s="68">
        <v>881100</v>
      </c>
      <c r="E1352" s="74">
        <v>0.05</v>
      </c>
      <c r="F1352" s="129">
        <f t="shared" si="202"/>
        <v>925155</v>
      </c>
      <c r="G1352" s="130">
        <f t="shared" si="203"/>
        <v>175779.45</v>
      </c>
      <c r="H1352" s="131">
        <f t="shared" si="204"/>
        <v>1100934</v>
      </c>
    </row>
    <row r="1353" spans="1:8" x14ac:dyDescent="0.25">
      <c r="A1353" s="85" t="s">
        <v>3539</v>
      </c>
      <c r="B1353" s="88" t="s">
        <v>3516</v>
      </c>
      <c r="C1353" s="26" t="s">
        <v>37</v>
      </c>
      <c r="D1353" s="68">
        <v>935000</v>
      </c>
      <c r="E1353" s="74">
        <v>0.05</v>
      </c>
      <c r="F1353" s="129">
        <f t="shared" si="202"/>
        <v>981750</v>
      </c>
      <c r="G1353" s="130">
        <f t="shared" si="203"/>
        <v>186532.5</v>
      </c>
      <c r="H1353" s="131">
        <f t="shared" si="204"/>
        <v>1168283</v>
      </c>
    </row>
    <row r="1354" spans="1:8" x14ac:dyDescent="0.25">
      <c r="A1354" s="85" t="s">
        <v>3540</v>
      </c>
      <c r="B1354" s="88" t="s">
        <v>7470</v>
      </c>
      <c r="C1354" s="26" t="s">
        <v>37</v>
      </c>
      <c r="D1354" s="68">
        <v>1346400</v>
      </c>
      <c r="E1354" s="74">
        <v>0.05</v>
      </c>
      <c r="F1354" s="129">
        <f t="shared" si="202"/>
        <v>1413720</v>
      </c>
      <c r="G1354" s="130">
        <f t="shared" si="203"/>
        <v>268606.8</v>
      </c>
      <c r="H1354" s="131">
        <f t="shared" si="204"/>
        <v>1682327</v>
      </c>
    </row>
    <row r="1355" spans="1:8" x14ac:dyDescent="0.25">
      <c r="A1355" s="85" t="s">
        <v>3541</v>
      </c>
      <c r="B1355" s="88" t="s">
        <v>7625</v>
      </c>
      <c r="C1355" s="26" t="s">
        <v>37</v>
      </c>
      <c r="D1355" s="68">
        <v>2000900</v>
      </c>
      <c r="E1355" s="74">
        <v>0.05</v>
      </c>
      <c r="F1355" s="129">
        <f t="shared" si="202"/>
        <v>2100945</v>
      </c>
      <c r="G1355" s="130">
        <f t="shared" si="203"/>
        <v>399179.55</v>
      </c>
      <c r="H1355" s="131">
        <f t="shared" si="204"/>
        <v>2500125</v>
      </c>
    </row>
    <row r="1356" spans="1:8" x14ac:dyDescent="0.25">
      <c r="A1356" s="85" t="s">
        <v>3542</v>
      </c>
      <c r="B1356" s="88" t="s">
        <v>3519</v>
      </c>
      <c r="C1356" s="26" t="s">
        <v>37</v>
      </c>
      <c r="D1356" s="68">
        <v>2668600</v>
      </c>
      <c r="E1356" s="74">
        <v>0.05</v>
      </c>
      <c r="F1356" s="129">
        <f t="shared" si="202"/>
        <v>2802030</v>
      </c>
      <c r="G1356" s="130">
        <f t="shared" si="203"/>
        <v>532385.69999999995</v>
      </c>
      <c r="H1356" s="131">
        <f t="shared" si="204"/>
        <v>3334416</v>
      </c>
    </row>
    <row r="1357" spans="1:8" x14ac:dyDescent="0.25">
      <c r="A1357" s="85" t="s">
        <v>3543</v>
      </c>
      <c r="B1357" s="88" t="s">
        <v>3520</v>
      </c>
      <c r="C1357" s="26" t="s">
        <v>37</v>
      </c>
      <c r="D1357" s="68">
        <v>3864300</v>
      </c>
      <c r="E1357" s="74">
        <v>0.05</v>
      </c>
      <c r="F1357" s="129">
        <f t="shared" si="202"/>
        <v>4057515</v>
      </c>
      <c r="G1357" s="130">
        <f t="shared" si="203"/>
        <v>770927.85</v>
      </c>
      <c r="H1357" s="131">
        <f t="shared" si="204"/>
        <v>4828443</v>
      </c>
    </row>
    <row r="1358" spans="1:8" x14ac:dyDescent="0.25">
      <c r="A1358" s="85" t="s">
        <v>3544</v>
      </c>
      <c r="B1358" s="88" t="s">
        <v>3509</v>
      </c>
      <c r="C1358" s="26" t="s">
        <v>37</v>
      </c>
      <c r="D1358" s="68">
        <v>4349400</v>
      </c>
      <c r="E1358" s="74">
        <v>0.05</v>
      </c>
      <c r="F1358" s="129">
        <f t="shared" si="202"/>
        <v>4566870</v>
      </c>
      <c r="G1358" s="130">
        <f t="shared" si="203"/>
        <v>867705.3</v>
      </c>
      <c r="H1358" s="131">
        <f t="shared" si="204"/>
        <v>5434575</v>
      </c>
    </row>
    <row r="1359" spans="1:8" x14ac:dyDescent="0.25">
      <c r="A1359" s="78" t="s">
        <v>976</v>
      </c>
      <c r="B1359" s="79" t="s">
        <v>3547</v>
      </c>
      <c r="C1359" s="26"/>
      <c r="D1359" s="1001"/>
      <c r="E1359" s="74"/>
      <c r="F1359" s="75"/>
      <c r="G1359" s="76"/>
      <c r="H1359" s="77"/>
    </row>
    <row r="1360" spans="1:8" x14ac:dyDescent="0.25">
      <c r="A1360" s="85" t="s">
        <v>3548</v>
      </c>
      <c r="B1360" s="88" t="s">
        <v>3511</v>
      </c>
      <c r="C1360" s="26" t="s">
        <v>37</v>
      </c>
      <c r="D1360" s="68">
        <v>58300</v>
      </c>
      <c r="E1360" s="74">
        <v>0.05</v>
      </c>
      <c r="F1360" s="129">
        <f t="shared" ref="F1360:F1371" si="205">+D1360+D1360*E1360</f>
        <v>61215</v>
      </c>
      <c r="G1360" s="130">
        <f t="shared" ref="G1360:G1371" si="206">F1360*0.19</f>
        <v>11630.85</v>
      </c>
      <c r="H1360" s="131">
        <f t="shared" ref="H1360:H1371" si="207">ROUND((F1360+G1360),0)</f>
        <v>72846</v>
      </c>
    </row>
    <row r="1361" spans="1:8" x14ac:dyDescent="0.25">
      <c r="A1361" s="85" t="s">
        <v>3549</v>
      </c>
      <c r="B1361" s="88" t="s">
        <v>3512</v>
      </c>
      <c r="C1361" s="26" t="s">
        <v>37</v>
      </c>
      <c r="D1361" s="68">
        <v>105600</v>
      </c>
      <c r="E1361" s="74">
        <v>0.05</v>
      </c>
      <c r="F1361" s="129">
        <f t="shared" si="205"/>
        <v>110880</v>
      </c>
      <c r="G1361" s="130">
        <f t="shared" si="206"/>
        <v>21067.200000000001</v>
      </c>
      <c r="H1361" s="131">
        <f t="shared" si="207"/>
        <v>131947</v>
      </c>
    </row>
    <row r="1362" spans="1:8" x14ac:dyDescent="0.25">
      <c r="A1362" s="85" t="s">
        <v>3550</v>
      </c>
      <c r="B1362" s="88" t="s">
        <v>3510</v>
      </c>
      <c r="C1362" s="26" t="s">
        <v>37</v>
      </c>
      <c r="D1362" s="68">
        <v>129800</v>
      </c>
      <c r="E1362" s="74">
        <v>0.05</v>
      </c>
      <c r="F1362" s="129">
        <f t="shared" si="205"/>
        <v>136290</v>
      </c>
      <c r="G1362" s="130">
        <f t="shared" si="206"/>
        <v>25895.1</v>
      </c>
      <c r="H1362" s="131">
        <f t="shared" si="207"/>
        <v>162185</v>
      </c>
    </row>
    <row r="1363" spans="1:8" x14ac:dyDescent="0.25">
      <c r="A1363" s="85" t="s">
        <v>3551</v>
      </c>
      <c r="B1363" s="88" t="s">
        <v>7818</v>
      </c>
      <c r="C1363" s="26" t="s">
        <v>37</v>
      </c>
      <c r="D1363" s="68">
        <v>210100</v>
      </c>
      <c r="E1363" s="74">
        <v>0.05</v>
      </c>
      <c r="F1363" s="129">
        <f t="shared" si="205"/>
        <v>220605</v>
      </c>
      <c r="G1363" s="130">
        <f t="shared" si="206"/>
        <v>41914.949999999997</v>
      </c>
      <c r="H1363" s="131">
        <f t="shared" si="207"/>
        <v>262520</v>
      </c>
    </row>
    <row r="1364" spans="1:8" x14ac:dyDescent="0.25">
      <c r="A1364" s="85" t="s">
        <v>3552</v>
      </c>
      <c r="B1364" s="88" t="s">
        <v>3513</v>
      </c>
      <c r="C1364" s="26" t="s">
        <v>37</v>
      </c>
      <c r="D1364" s="68">
        <v>342100</v>
      </c>
      <c r="E1364" s="74">
        <v>0.05</v>
      </c>
      <c r="F1364" s="129">
        <f t="shared" si="205"/>
        <v>359205</v>
      </c>
      <c r="G1364" s="130">
        <f t="shared" si="206"/>
        <v>68248.95</v>
      </c>
      <c r="H1364" s="131">
        <f t="shared" si="207"/>
        <v>427454</v>
      </c>
    </row>
    <row r="1365" spans="1:8" x14ac:dyDescent="0.25">
      <c r="A1365" s="85" t="s">
        <v>3553</v>
      </c>
      <c r="B1365" s="88" t="s">
        <v>7298</v>
      </c>
      <c r="C1365" s="26" t="s">
        <v>37</v>
      </c>
      <c r="D1365" s="68">
        <v>786500</v>
      </c>
      <c r="E1365" s="74">
        <v>0.05</v>
      </c>
      <c r="F1365" s="129">
        <f t="shared" si="205"/>
        <v>825825</v>
      </c>
      <c r="G1365" s="130">
        <f t="shared" si="206"/>
        <v>156906.75</v>
      </c>
      <c r="H1365" s="131">
        <f t="shared" si="207"/>
        <v>982732</v>
      </c>
    </row>
    <row r="1366" spans="1:8" x14ac:dyDescent="0.25">
      <c r="A1366" s="85" t="s">
        <v>977</v>
      </c>
      <c r="B1366" s="88" t="s">
        <v>3516</v>
      </c>
      <c r="C1366" s="26" t="s">
        <v>37</v>
      </c>
      <c r="D1366" s="68">
        <v>1001000</v>
      </c>
      <c r="E1366" s="74">
        <v>0.05</v>
      </c>
      <c r="F1366" s="129">
        <f t="shared" si="205"/>
        <v>1051050</v>
      </c>
      <c r="G1366" s="130">
        <f t="shared" si="206"/>
        <v>199699.5</v>
      </c>
      <c r="H1366" s="131">
        <f t="shared" si="207"/>
        <v>1250750</v>
      </c>
    </row>
    <row r="1367" spans="1:8" x14ac:dyDescent="0.25">
      <c r="A1367" s="85" t="s">
        <v>3554</v>
      </c>
      <c r="B1367" s="88" t="s">
        <v>7470</v>
      </c>
      <c r="C1367" s="26" t="s">
        <v>37</v>
      </c>
      <c r="D1367" s="68">
        <v>1268300</v>
      </c>
      <c r="E1367" s="74">
        <v>0.05</v>
      </c>
      <c r="F1367" s="129">
        <f t="shared" si="205"/>
        <v>1331715</v>
      </c>
      <c r="G1367" s="130">
        <f t="shared" si="206"/>
        <v>253025.85</v>
      </c>
      <c r="H1367" s="131">
        <f t="shared" si="207"/>
        <v>1584741</v>
      </c>
    </row>
    <row r="1368" spans="1:8" x14ac:dyDescent="0.25">
      <c r="A1368" s="85" t="s">
        <v>3555</v>
      </c>
      <c r="B1368" s="88" t="s">
        <v>7625</v>
      </c>
      <c r="C1368" s="26" t="s">
        <v>37</v>
      </c>
      <c r="D1368" s="68">
        <v>1667600</v>
      </c>
      <c r="E1368" s="74">
        <v>0.05</v>
      </c>
      <c r="F1368" s="129">
        <f t="shared" si="205"/>
        <v>1750980</v>
      </c>
      <c r="G1368" s="130">
        <f t="shared" si="206"/>
        <v>332686.2</v>
      </c>
      <c r="H1368" s="131">
        <f t="shared" si="207"/>
        <v>2083666</v>
      </c>
    </row>
    <row r="1369" spans="1:8" x14ac:dyDescent="0.25">
      <c r="A1369" s="85" t="s">
        <v>3556</v>
      </c>
      <c r="B1369" s="88" t="s">
        <v>3519</v>
      </c>
      <c r="C1369" s="26" t="s">
        <v>37</v>
      </c>
      <c r="D1369" s="68">
        <v>2387000</v>
      </c>
      <c r="E1369" s="74">
        <v>0.05</v>
      </c>
      <c r="F1369" s="129">
        <f t="shared" si="205"/>
        <v>2506350</v>
      </c>
      <c r="G1369" s="130">
        <f t="shared" si="206"/>
        <v>476206.5</v>
      </c>
      <c r="H1369" s="131">
        <f t="shared" si="207"/>
        <v>2982557</v>
      </c>
    </row>
    <row r="1370" spans="1:8" x14ac:dyDescent="0.25">
      <c r="A1370" s="85" t="s">
        <v>3557</v>
      </c>
      <c r="B1370" s="88" t="s">
        <v>3520</v>
      </c>
      <c r="C1370" s="26" t="s">
        <v>37</v>
      </c>
      <c r="D1370" s="68">
        <v>4229500</v>
      </c>
      <c r="E1370" s="74">
        <v>0.05</v>
      </c>
      <c r="F1370" s="129">
        <f t="shared" si="205"/>
        <v>4440975</v>
      </c>
      <c r="G1370" s="130">
        <f t="shared" si="206"/>
        <v>843785.25</v>
      </c>
      <c r="H1370" s="131">
        <f t="shared" si="207"/>
        <v>5284760</v>
      </c>
    </row>
    <row r="1371" spans="1:8" x14ac:dyDescent="0.25">
      <c r="A1371" s="85" t="s">
        <v>3558</v>
      </c>
      <c r="B1371" s="88" t="s">
        <v>3509</v>
      </c>
      <c r="C1371" s="26" t="s">
        <v>37</v>
      </c>
      <c r="D1371" s="68">
        <v>3977600</v>
      </c>
      <c r="E1371" s="74">
        <v>0.05</v>
      </c>
      <c r="F1371" s="129">
        <f t="shared" si="205"/>
        <v>4176480</v>
      </c>
      <c r="G1371" s="130">
        <f t="shared" si="206"/>
        <v>793531.2</v>
      </c>
      <c r="H1371" s="131">
        <f t="shared" si="207"/>
        <v>4970011</v>
      </c>
    </row>
    <row r="1372" spans="1:8" x14ac:dyDescent="0.25">
      <c r="A1372" s="78" t="s">
        <v>978</v>
      </c>
      <c r="B1372" s="79" t="s">
        <v>3570</v>
      </c>
      <c r="C1372" s="26"/>
      <c r="D1372" s="68"/>
      <c r="E1372" s="74"/>
      <c r="F1372" s="75"/>
      <c r="G1372" s="76"/>
      <c r="H1372" s="77"/>
    </row>
    <row r="1373" spans="1:8" x14ac:dyDescent="0.25">
      <c r="A1373" s="85" t="s">
        <v>3559</v>
      </c>
      <c r="B1373" s="88" t="s">
        <v>3511</v>
      </c>
      <c r="C1373" s="26" t="s">
        <v>37</v>
      </c>
      <c r="D1373" s="68">
        <v>52800</v>
      </c>
      <c r="E1373" s="74">
        <v>0.05</v>
      </c>
      <c r="F1373" s="129">
        <f t="shared" ref="F1373:F1384" si="208">+D1373+D1373*E1373</f>
        <v>55440</v>
      </c>
      <c r="G1373" s="130">
        <f t="shared" ref="G1373:G1384" si="209">F1373*0.19</f>
        <v>10533.6</v>
      </c>
      <c r="H1373" s="131">
        <f t="shared" ref="H1373:H1384" si="210">ROUND((F1373+G1373),0)</f>
        <v>65974</v>
      </c>
    </row>
    <row r="1374" spans="1:8" x14ac:dyDescent="0.25">
      <c r="A1374" s="85" t="s">
        <v>3560</v>
      </c>
      <c r="B1374" s="88" t="s">
        <v>3512</v>
      </c>
      <c r="C1374" s="26" t="s">
        <v>37</v>
      </c>
      <c r="D1374" s="68">
        <v>88000</v>
      </c>
      <c r="E1374" s="74">
        <v>0.05</v>
      </c>
      <c r="F1374" s="129">
        <f t="shared" si="208"/>
        <v>92400</v>
      </c>
      <c r="G1374" s="130">
        <f t="shared" si="209"/>
        <v>17556</v>
      </c>
      <c r="H1374" s="131">
        <f t="shared" si="210"/>
        <v>109956</v>
      </c>
    </row>
    <row r="1375" spans="1:8" x14ac:dyDescent="0.25">
      <c r="A1375" s="85" t="s">
        <v>3561</v>
      </c>
      <c r="B1375" s="88" t="s">
        <v>3510</v>
      </c>
      <c r="C1375" s="26" t="s">
        <v>37</v>
      </c>
      <c r="D1375" s="68">
        <v>105600</v>
      </c>
      <c r="E1375" s="74">
        <v>0.05</v>
      </c>
      <c r="F1375" s="129">
        <f t="shared" si="208"/>
        <v>110880</v>
      </c>
      <c r="G1375" s="130">
        <f t="shared" si="209"/>
        <v>21067.200000000001</v>
      </c>
      <c r="H1375" s="131">
        <f t="shared" si="210"/>
        <v>131947</v>
      </c>
    </row>
    <row r="1376" spans="1:8" x14ac:dyDescent="0.25">
      <c r="A1376" s="85" t="s">
        <v>3562</v>
      </c>
      <c r="B1376" s="88" t="s">
        <v>7818</v>
      </c>
      <c r="C1376" s="26" t="s">
        <v>37</v>
      </c>
      <c r="D1376" s="68">
        <v>201300</v>
      </c>
      <c r="E1376" s="74">
        <v>0.05</v>
      </c>
      <c r="F1376" s="129">
        <f t="shared" si="208"/>
        <v>211365</v>
      </c>
      <c r="G1376" s="130">
        <f t="shared" si="209"/>
        <v>40159.35</v>
      </c>
      <c r="H1376" s="131">
        <f t="shared" si="210"/>
        <v>251524</v>
      </c>
    </row>
    <row r="1377" spans="1:8" x14ac:dyDescent="0.25">
      <c r="A1377" s="85" t="s">
        <v>3563</v>
      </c>
      <c r="B1377" s="88" t="s">
        <v>3513</v>
      </c>
      <c r="C1377" s="26" t="s">
        <v>37</v>
      </c>
      <c r="D1377" s="68">
        <v>334400</v>
      </c>
      <c r="E1377" s="74">
        <v>0.05</v>
      </c>
      <c r="F1377" s="129">
        <f t="shared" si="208"/>
        <v>351120</v>
      </c>
      <c r="G1377" s="130">
        <f t="shared" si="209"/>
        <v>66712.800000000003</v>
      </c>
      <c r="H1377" s="131">
        <f t="shared" si="210"/>
        <v>417833</v>
      </c>
    </row>
    <row r="1378" spans="1:8" x14ac:dyDescent="0.25">
      <c r="A1378" s="85" t="s">
        <v>3564</v>
      </c>
      <c r="B1378" s="88" t="s">
        <v>7298</v>
      </c>
      <c r="C1378" s="26" t="s">
        <v>37</v>
      </c>
      <c r="D1378" s="68">
        <v>601700</v>
      </c>
      <c r="E1378" s="74">
        <v>0.05</v>
      </c>
      <c r="F1378" s="129">
        <f t="shared" si="208"/>
        <v>631785</v>
      </c>
      <c r="G1378" s="130">
        <f t="shared" si="209"/>
        <v>120039.15</v>
      </c>
      <c r="H1378" s="131">
        <f t="shared" si="210"/>
        <v>751824</v>
      </c>
    </row>
    <row r="1379" spans="1:8" x14ac:dyDescent="0.25">
      <c r="A1379" s="85" t="s">
        <v>3565</v>
      </c>
      <c r="B1379" s="88" t="s">
        <v>3516</v>
      </c>
      <c r="C1379" s="26" t="s">
        <v>37</v>
      </c>
      <c r="D1379" s="68">
        <v>867900</v>
      </c>
      <c r="E1379" s="74">
        <v>0.05</v>
      </c>
      <c r="F1379" s="129">
        <f t="shared" si="208"/>
        <v>911295</v>
      </c>
      <c r="G1379" s="130">
        <f t="shared" si="209"/>
        <v>173146.05</v>
      </c>
      <c r="H1379" s="131">
        <f t="shared" si="210"/>
        <v>1084441</v>
      </c>
    </row>
    <row r="1380" spans="1:8" x14ac:dyDescent="0.25">
      <c r="A1380" s="85" t="s">
        <v>3566</v>
      </c>
      <c r="B1380" s="88" t="s">
        <v>7470</v>
      </c>
      <c r="C1380" s="26" t="s">
        <v>37</v>
      </c>
      <c r="D1380" s="68">
        <v>1268300</v>
      </c>
      <c r="E1380" s="74">
        <v>0.05</v>
      </c>
      <c r="F1380" s="129">
        <f t="shared" si="208"/>
        <v>1331715</v>
      </c>
      <c r="G1380" s="130">
        <f t="shared" si="209"/>
        <v>253025.85</v>
      </c>
      <c r="H1380" s="131">
        <f t="shared" si="210"/>
        <v>1584741</v>
      </c>
    </row>
    <row r="1381" spans="1:8" x14ac:dyDescent="0.25">
      <c r="A1381" s="85" t="s">
        <v>3567</v>
      </c>
      <c r="B1381" s="88" t="s">
        <v>7625</v>
      </c>
      <c r="C1381" s="26" t="s">
        <v>37</v>
      </c>
      <c r="D1381" s="68">
        <v>1667600</v>
      </c>
      <c r="E1381" s="74">
        <v>0.05</v>
      </c>
      <c r="F1381" s="129">
        <f t="shared" si="208"/>
        <v>1750980</v>
      </c>
      <c r="G1381" s="130">
        <f t="shared" si="209"/>
        <v>332686.2</v>
      </c>
      <c r="H1381" s="131">
        <f t="shared" si="210"/>
        <v>2083666</v>
      </c>
    </row>
    <row r="1382" spans="1:8" x14ac:dyDescent="0.25">
      <c r="A1382" s="85" t="s">
        <v>3568</v>
      </c>
      <c r="B1382" s="88" t="s">
        <v>3519</v>
      </c>
      <c r="C1382" s="26" t="s">
        <v>37</v>
      </c>
      <c r="D1382" s="68">
        <v>2328700</v>
      </c>
      <c r="E1382" s="74">
        <v>0.05</v>
      </c>
      <c r="F1382" s="129">
        <f t="shared" si="208"/>
        <v>2445135</v>
      </c>
      <c r="G1382" s="130">
        <f t="shared" si="209"/>
        <v>464575.65</v>
      </c>
      <c r="H1382" s="131">
        <f t="shared" si="210"/>
        <v>2909711</v>
      </c>
    </row>
    <row r="1383" spans="1:8" x14ac:dyDescent="0.25">
      <c r="A1383" s="85" t="s">
        <v>3569</v>
      </c>
      <c r="B1383" s="88" t="s">
        <v>3520</v>
      </c>
      <c r="C1383" s="26" t="s">
        <v>37</v>
      </c>
      <c r="D1383" s="68">
        <v>3182300</v>
      </c>
      <c r="E1383" s="74">
        <v>0.05</v>
      </c>
      <c r="F1383" s="129">
        <f t="shared" si="208"/>
        <v>3341415</v>
      </c>
      <c r="G1383" s="130">
        <f t="shared" si="209"/>
        <v>634868.85</v>
      </c>
      <c r="H1383" s="131">
        <f t="shared" si="210"/>
        <v>3976284</v>
      </c>
    </row>
    <row r="1384" spans="1:8" x14ac:dyDescent="0.25">
      <c r="A1384" s="85" t="s">
        <v>3571</v>
      </c>
      <c r="B1384" s="88" t="s">
        <v>3509</v>
      </c>
      <c r="C1384" s="26" t="s">
        <v>37</v>
      </c>
      <c r="D1384" s="68">
        <v>3223000</v>
      </c>
      <c r="E1384" s="74">
        <v>0.05</v>
      </c>
      <c r="F1384" s="129">
        <f t="shared" si="208"/>
        <v>3384150</v>
      </c>
      <c r="G1384" s="130">
        <f t="shared" si="209"/>
        <v>642988.5</v>
      </c>
      <c r="H1384" s="131">
        <f t="shared" si="210"/>
        <v>4027139</v>
      </c>
    </row>
    <row r="1385" spans="1:8" x14ac:dyDescent="0.25">
      <c r="A1385" s="78" t="s">
        <v>3576</v>
      </c>
      <c r="B1385" s="79" t="s">
        <v>3572</v>
      </c>
      <c r="C1385" s="26"/>
      <c r="D1385" s="1001"/>
      <c r="E1385" s="74"/>
      <c r="F1385" s="75"/>
      <c r="G1385" s="76"/>
      <c r="H1385" s="77"/>
    </row>
    <row r="1386" spans="1:8" x14ac:dyDescent="0.25">
      <c r="A1386" s="85" t="s">
        <v>3577</v>
      </c>
      <c r="B1386" s="88" t="s">
        <v>3511</v>
      </c>
      <c r="C1386" s="26" t="s">
        <v>37</v>
      </c>
      <c r="D1386" s="68">
        <v>70400</v>
      </c>
      <c r="E1386" s="74">
        <v>0.05</v>
      </c>
      <c r="F1386" s="129">
        <f t="shared" ref="F1386:F1397" si="211">+D1386+D1386*E1386</f>
        <v>73920</v>
      </c>
      <c r="G1386" s="130">
        <f t="shared" ref="G1386:G1397" si="212">F1386*0.19</f>
        <v>14044.8</v>
      </c>
      <c r="H1386" s="131">
        <f t="shared" ref="H1386:H1397" si="213">ROUND((F1386+G1386),0)</f>
        <v>87965</v>
      </c>
    </row>
    <row r="1387" spans="1:8" x14ac:dyDescent="0.25">
      <c r="A1387" s="85" t="s">
        <v>3578</v>
      </c>
      <c r="B1387" s="88" t="s">
        <v>3512</v>
      </c>
      <c r="C1387" s="26" t="s">
        <v>37</v>
      </c>
      <c r="D1387" s="68">
        <v>96800</v>
      </c>
      <c r="E1387" s="74">
        <v>0.05</v>
      </c>
      <c r="F1387" s="129">
        <f t="shared" si="211"/>
        <v>101640</v>
      </c>
      <c r="G1387" s="130">
        <f t="shared" si="212"/>
        <v>19311.599999999999</v>
      </c>
      <c r="H1387" s="131">
        <f t="shared" si="213"/>
        <v>120952</v>
      </c>
    </row>
    <row r="1388" spans="1:8" x14ac:dyDescent="0.25">
      <c r="A1388" s="85" t="s">
        <v>3579</v>
      </c>
      <c r="B1388" s="88" t="s">
        <v>3510</v>
      </c>
      <c r="C1388" s="26" t="s">
        <v>37</v>
      </c>
      <c r="D1388" s="68">
        <v>192500</v>
      </c>
      <c r="E1388" s="74">
        <v>0.05</v>
      </c>
      <c r="F1388" s="129">
        <f t="shared" si="211"/>
        <v>202125</v>
      </c>
      <c r="G1388" s="130">
        <f t="shared" si="212"/>
        <v>38403.75</v>
      </c>
      <c r="H1388" s="131">
        <f t="shared" si="213"/>
        <v>240529</v>
      </c>
    </row>
    <row r="1389" spans="1:8" x14ac:dyDescent="0.25">
      <c r="A1389" s="85" t="s">
        <v>3580</v>
      </c>
      <c r="B1389" s="88" t="s">
        <v>7818</v>
      </c>
      <c r="C1389" s="26" t="s">
        <v>37</v>
      </c>
      <c r="D1389" s="68">
        <v>333300</v>
      </c>
      <c r="E1389" s="74">
        <v>0.05</v>
      </c>
      <c r="F1389" s="129">
        <f t="shared" si="211"/>
        <v>349965</v>
      </c>
      <c r="G1389" s="130">
        <f t="shared" si="212"/>
        <v>66493.350000000006</v>
      </c>
      <c r="H1389" s="131">
        <f t="shared" si="213"/>
        <v>416458</v>
      </c>
    </row>
    <row r="1390" spans="1:8" x14ac:dyDescent="0.25">
      <c r="A1390" s="85" t="s">
        <v>3581</v>
      </c>
      <c r="B1390" s="88" t="s">
        <v>3513</v>
      </c>
      <c r="C1390" s="26" t="s">
        <v>37</v>
      </c>
      <c r="D1390" s="68">
        <v>559900</v>
      </c>
      <c r="E1390" s="74">
        <v>0.05</v>
      </c>
      <c r="F1390" s="129">
        <f t="shared" si="211"/>
        <v>587895</v>
      </c>
      <c r="G1390" s="130">
        <f t="shared" si="212"/>
        <v>111700.05</v>
      </c>
      <c r="H1390" s="131">
        <f t="shared" si="213"/>
        <v>699595</v>
      </c>
    </row>
    <row r="1391" spans="1:8" x14ac:dyDescent="0.25">
      <c r="A1391" s="85" t="s">
        <v>3582</v>
      </c>
      <c r="B1391" s="88" t="s">
        <v>7298</v>
      </c>
      <c r="C1391" s="26" t="s">
        <v>37</v>
      </c>
      <c r="D1391" s="68">
        <v>1040600</v>
      </c>
      <c r="E1391" s="74">
        <v>0.05</v>
      </c>
      <c r="F1391" s="129">
        <f t="shared" si="211"/>
        <v>1092630</v>
      </c>
      <c r="G1391" s="130">
        <f t="shared" si="212"/>
        <v>207599.7</v>
      </c>
      <c r="H1391" s="131">
        <f t="shared" si="213"/>
        <v>1300230</v>
      </c>
    </row>
    <row r="1392" spans="1:8" x14ac:dyDescent="0.25">
      <c r="A1392" s="85" t="s">
        <v>3583</v>
      </c>
      <c r="B1392" s="88" t="s">
        <v>3516</v>
      </c>
      <c r="C1392" s="26" t="s">
        <v>37</v>
      </c>
      <c r="D1392" s="68">
        <v>1243000</v>
      </c>
      <c r="E1392" s="74">
        <v>0.05</v>
      </c>
      <c r="F1392" s="129">
        <f t="shared" si="211"/>
        <v>1305150</v>
      </c>
      <c r="G1392" s="130">
        <f t="shared" si="212"/>
        <v>247978.5</v>
      </c>
      <c r="H1392" s="131">
        <f t="shared" si="213"/>
        <v>1553129</v>
      </c>
    </row>
    <row r="1393" spans="1:8" x14ac:dyDescent="0.25">
      <c r="A1393" s="85" t="s">
        <v>3584</v>
      </c>
      <c r="B1393" s="88" t="s">
        <v>7470</v>
      </c>
      <c r="C1393" s="26" t="s">
        <v>37</v>
      </c>
      <c r="D1393" s="68">
        <v>1970100</v>
      </c>
      <c r="E1393" s="74">
        <v>0.05</v>
      </c>
      <c r="F1393" s="129">
        <f t="shared" si="211"/>
        <v>2068605</v>
      </c>
      <c r="G1393" s="130">
        <f t="shared" si="212"/>
        <v>393034.95</v>
      </c>
      <c r="H1393" s="131">
        <f t="shared" si="213"/>
        <v>2461640</v>
      </c>
    </row>
    <row r="1394" spans="1:8" x14ac:dyDescent="0.25">
      <c r="A1394" s="85" t="s">
        <v>3585</v>
      </c>
      <c r="B1394" s="88" t="s">
        <v>7625</v>
      </c>
      <c r="C1394" s="26" t="s">
        <v>37</v>
      </c>
      <c r="D1394" s="68">
        <v>2668600</v>
      </c>
      <c r="E1394" s="74">
        <v>0.05</v>
      </c>
      <c r="F1394" s="129">
        <f t="shared" si="211"/>
        <v>2802030</v>
      </c>
      <c r="G1394" s="130">
        <f t="shared" si="212"/>
        <v>532385.69999999995</v>
      </c>
      <c r="H1394" s="131">
        <f t="shared" si="213"/>
        <v>3334416</v>
      </c>
    </row>
    <row r="1395" spans="1:8" x14ac:dyDescent="0.25">
      <c r="A1395" s="85" t="s">
        <v>3586</v>
      </c>
      <c r="B1395" s="88" t="s">
        <v>3519</v>
      </c>
      <c r="C1395" s="26" t="s">
        <v>37</v>
      </c>
      <c r="D1395" s="68">
        <v>3686100</v>
      </c>
      <c r="E1395" s="74">
        <v>0.05</v>
      </c>
      <c r="F1395" s="129">
        <f t="shared" si="211"/>
        <v>3870405</v>
      </c>
      <c r="G1395" s="130">
        <f t="shared" si="212"/>
        <v>735376.95</v>
      </c>
      <c r="H1395" s="131">
        <f t="shared" si="213"/>
        <v>4605782</v>
      </c>
    </row>
    <row r="1396" spans="1:8" x14ac:dyDescent="0.25">
      <c r="A1396" s="85" t="s">
        <v>3587</v>
      </c>
      <c r="B1396" s="88" t="s">
        <v>3520</v>
      </c>
      <c r="C1396" s="26" t="s">
        <v>37</v>
      </c>
      <c r="D1396" s="68">
        <v>4346100</v>
      </c>
      <c r="E1396" s="74">
        <v>0.05</v>
      </c>
      <c r="F1396" s="129">
        <f t="shared" si="211"/>
        <v>4563405</v>
      </c>
      <c r="G1396" s="130">
        <f t="shared" si="212"/>
        <v>867046.95</v>
      </c>
      <c r="H1396" s="131">
        <f t="shared" si="213"/>
        <v>5430452</v>
      </c>
    </row>
    <row r="1397" spans="1:8" x14ac:dyDescent="0.25">
      <c r="A1397" s="85" t="s">
        <v>3588</v>
      </c>
      <c r="B1397" s="88" t="s">
        <v>3509</v>
      </c>
      <c r="C1397" s="26" t="s">
        <v>37</v>
      </c>
      <c r="D1397" s="68"/>
      <c r="E1397" s="74">
        <v>0.05</v>
      </c>
      <c r="F1397" s="129">
        <f t="shared" si="211"/>
        <v>0</v>
      </c>
      <c r="G1397" s="130">
        <f t="shared" si="212"/>
        <v>0</v>
      </c>
      <c r="H1397" s="131">
        <f t="shared" si="213"/>
        <v>0</v>
      </c>
    </row>
    <row r="1398" spans="1:8" x14ac:dyDescent="0.25">
      <c r="A1398" s="78" t="s">
        <v>3589</v>
      </c>
      <c r="B1398" s="79" t="s">
        <v>3573</v>
      </c>
      <c r="C1398" s="26"/>
      <c r="D1398" s="68"/>
      <c r="E1398" s="74"/>
      <c r="F1398" s="75"/>
      <c r="G1398" s="76"/>
      <c r="H1398" s="77"/>
    </row>
    <row r="1399" spans="1:8" x14ac:dyDescent="0.25">
      <c r="A1399" s="85" t="s">
        <v>3590</v>
      </c>
      <c r="B1399" s="88" t="s">
        <v>3511</v>
      </c>
      <c r="C1399" s="26" t="s">
        <v>37</v>
      </c>
      <c r="D1399" s="68">
        <v>73700</v>
      </c>
      <c r="E1399" s="74">
        <v>0.05</v>
      </c>
      <c r="F1399" s="129">
        <f t="shared" ref="F1399:F1410" si="214">+D1399+D1399*E1399</f>
        <v>77385</v>
      </c>
      <c r="G1399" s="130">
        <f t="shared" ref="G1399:G1410" si="215">F1399*0.19</f>
        <v>14703.15</v>
      </c>
      <c r="H1399" s="131">
        <f t="shared" ref="H1399:H1410" si="216">ROUND((F1399+G1399),0)</f>
        <v>92088</v>
      </c>
    </row>
    <row r="1400" spans="1:8" x14ac:dyDescent="0.25">
      <c r="A1400" s="85" t="s">
        <v>3591</v>
      </c>
      <c r="B1400" s="88" t="s">
        <v>3512</v>
      </c>
      <c r="C1400" s="26" t="s">
        <v>37</v>
      </c>
      <c r="D1400" s="68">
        <v>105600</v>
      </c>
      <c r="E1400" s="74">
        <v>0.05</v>
      </c>
      <c r="F1400" s="129">
        <f t="shared" si="214"/>
        <v>110880</v>
      </c>
      <c r="G1400" s="130">
        <f t="shared" si="215"/>
        <v>21067.200000000001</v>
      </c>
      <c r="H1400" s="131">
        <f t="shared" si="216"/>
        <v>131947</v>
      </c>
    </row>
    <row r="1401" spans="1:8" x14ac:dyDescent="0.25">
      <c r="A1401" s="85" t="s">
        <v>3592</v>
      </c>
      <c r="B1401" s="88" t="s">
        <v>3510</v>
      </c>
      <c r="C1401" s="26" t="s">
        <v>37</v>
      </c>
      <c r="D1401" s="68">
        <v>132000</v>
      </c>
      <c r="E1401" s="74">
        <v>0.05</v>
      </c>
      <c r="F1401" s="129">
        <f t="shared" si="214"/>
        <v>138600</v>
      </c>
      <c r="G1401" s="130">
        <f t="shared" si="215"/>
        <v>26334</v>
      </c>
      <c r="H1401" s="131">
        <f t="shared" si="216"/>
        <v>164934</v>
      </c>
    </row>
    <row r="1402" spans="1:8" x14ac:dyDescent="0.25">
      <c r="A1402" s="85" t="s">
        <v>3593</v>
      </c>
      <c r="B1402" s="88" t="s">
        <v>7818</v>
      </c>
      <c r="C1402" s="26" t="s">
        <v>37</v>
      </c>
      <c r="D1402" s="68">
        <v>289300</v>
      </c>
      <c r="E1402" s="74">
        <v>0.05</v>
      </c>
      <c r="F1402" s="129">
        <f t="shared" si="214"/>
        <v>303765</v>
      </c>
      <c r="G1402" s="130">
        <f t="shared" si="215"/>
        <v>57715.35</v>
      </c>
      <c r="H1402" s="131">
        <f t="shared" si="216"/>
        <v>361480</v>
      </c>
    </row>
    <row r="1403" spans="1:8" x14ac:dyDescent="0.25">
      <c r="A1403" s="85" t="s">
        <v>3594</v>
      </c>
      <c r="B1403" s="88" t="s">
        <v>3513</v>
      </c>
      <c r="C1403" s="26" t="s">
        <v>37</v>
      </c>
      <c r="D1403" s="68">
        <v>600600</v>
      </c>
      <c r="E1403" s="74">
        <v>0.05</v>
      </c>
      <c r="F1403" s="129">
        <f t="shared" si="214"/>
        <v>630630</v>
      </c>
      <c r="G1403" s="130">
        <f t="shared" si="215"/>
        <v>119819.7</v>
      </c>
      <c r="H1403" s="131">
        <f t="shared" si="216"/>
        <v>750450</v>
      </c>
    </row>
    <row r="1404" spans="1:8" x14ac:dyDescent="0.25">
      <c r="A1404" s="85" t="s">
        <v>979</v>
      </c>
      <c r="B1404" s="88" t="s">
        <v>7298</v>
      </c>
      <c r="C1404" s="26" t="s">
        <v>37</v>
      </c>
      <c r="D1404" s="68">
        <v>881100</v>
      </c>
      <c r="E1404" s="74">
        <v>0.05</v>
      </c>
      <c r="F1404" s="129">
        <f t="shared" si="214"/>
        <v>925155</v>
      </c>
      <c r="G1404" s="130">
        <f t="shared" si="215"/>
        <v>175779.45</v>
      </c>
      <c r="H1404" s="131">
        <f t="shared" si="216"/>
        <v>1100934</v>
      </c>
    </row>
    <row r="1405" spans="1:8" x14ac:dyDescent="0.25">
      <c r="A1405" s="85" t="s">
        <v>980</v>
      </c>
      <c r="B1405" s="88" t="s">
        <v>3516</v>
      </c>
      <c r="C1405" s="26" t="s">
        <v>37</v>
      </c>
      <c r="D1405" s="68">
        <v>1213300</v>
      </c>
      <c r="E1405" s="74">
        <v>0.05</v>
      </c>
      <c r="F1405" s="129">
        <f t="shared" si="214"/>
        <v>1273965</v>
      </c>
      <c r="G1405" s="130">
        <f t="shared" si="215"/>
        <v>242053.35</v>
      </c>
      <c r="H1405" s="131">
        <f t="shared" si="216"/>
        <v>1516018</v>
      </c>
    </row>
    <row r="1406" spans="1:8" x14ac:dyDescent="0.25">
      <c r="A1406" s="85" t="s">
        <v>3595</v>
      </c>
      <c r="B1406" s="88" t="s">
        <v>7470</v>
      </c>
      <c r="C1406" s="26" t="s">
        <v>37</v>
      </c>
      <c r="D1406" s="68">
        <v>1591700</v>
      </c>
      <c r="E1406" s="74">
        <v>0.05</v>
      </c>
      <c r="F1406" s="129">
        <f t="shared" si="214"/>
        <v>1671285</v>
      </c>
      <c r="G1406" s="130">
        <f t="shared" si="215"/>
        <v>317544.15000000002</v>
      </c>
      <c r="H1406" s="131">
        <f t="shared" si="216"/>
        <v>1988829</v>
      </c>
    </row>
    <row r="1407" spans="1:8" x14ac:dyDescent="0.25">
      <c r="A1407" s="85" t="s">
        <v>3596</v>
      </c>
      <c r="B1407" s="88" t="s">
        <v>7625</v>
      </c>
      <c r="C1407" s="26" t="s">
        <v>37</v>
      </c>
      <c r="D1407" s="68">
        <v>2153800</v>
      </c>
      <c r="E1407" s="74">
        <v>0.05</v>
      </c>
      <c r="F1407" s="129">
        <f t="shared" si="214"/>
        <v>2261490</v>
      </c>
      <c r="G1407" s="130">
        <f t="shared" si="215"/>
        <v>429683.1</v>
      </c>
      <c r="H1407" s="131">
        <f t="shared" si="216"/>
        <v>2691173</v>
      </c>
    </row>
    <row r="1408" spans="1:8" x14ac:dyDescent="0.25">
      <c r="A1408" s="85" t="s">
        <v>3597</v>
      </c>
      <c r="B1408" s="88" t="s">
        <v>3519</v>
      </c>
      <c r="C1408" s="26" t="s">
        <v>37</v>
      </c>
      <c r="D1408" s="68">
        <v>2697200</v>
      </c>
      <c r="E1408" s="74">
        <v>0.05</v>
      </c>
      <c r="F1408" s="129">
        <f t="shared" si="214"/>
        <v>2832060</v>
      </c>
      <c r="G1408" s="130">
        <f t="shared" si="215"/>
        <v>538091.4</v>
      </c>
      <c r="H1408" s="131">
        <f t="shared" si="216"/>
        <v>3370151</v>
      </c>
    </row>
    <row r="1409" spans="1:8" x14ac:dyDescent="0.25">
      <c r="A1409" s="85" t="s">
        <v>3598</v>
      </c>
      <c r="B1409" s="88" t="s">
        <v>3520</v>
      </c>
      <c r="C1409" s="26" t="s">
        <v>37</v>
      </c>
      <c r="D1409" s="68">
        <v>4251500</v>
      </c>
      <c r="E1409" s="74">
        <v>0.05</v>
      </c>
      <c r="F1409" s="129">
        <f t="shared" si="214"/>
        <v>4464075</v>
      </c>
      <c r="G1409" s="130">
        <f t="shared" si="215"/>
        <v>848174.25</v>
      </c>
      <c r="H1409" s="131">
        <f t="shared" si="216"/>
        <v>5312249</v>
      </c>
    </row>
    <row r="1410" spans="1:8" x14ac:dyDescent="0.25">
      <c r="A1410" s="85" t="s">
        <v>3599</v>
      </c>
      <c r="B1410" s="88" t="s">
        <v>3509</v>
      </c>
      <c r="C1410" s="26" t="s">
        <v>37</v>
      </c>
      <c r="D1410" s="68"/>
      <c r="E1410" s="74">
        <v>0.05</v>
      </c>
      <c r="F1410" s="129">
        <f t="shared" si="214"/>
        <v>0</v>
      </c>
      <c r="G1410" s="130">
        <f t="shared" si="215"/>
        <v>0</v>
      </c>
      <c r="H1410" s="131">
        <f t="shared" si="216"/>
        <v>0</v>
      </c>
    </row>
    <row r="1411" spans="1:8" x14ac:dyDescent="0.25">
      <c r="A1411" s="78" t="s">
        <v>981</v>
      </c>
      <c r="B1411" s="79" t="s">
        <v>3574</v>
      </c>
      <c r="C1411" s="26"/>
      <c r="D1411" s="68"/>
      <c r="E1411" s="74"/>
      <c r="F1411" s="75"/>
      <c r="G1411" s="76"/>
      <c r="H1411" s="77"/>
    </row>
    <row r="1412" spans="1:8" x14ac:dyDescent="0.25">
      <c r="A1412" s="85" t="s">
        <v>3600</v>
      </c>
      <c r="B1412" s="88" t="s">
        <v>3511</v>
      </c>
      <c r="C1412" s="26" t="s">
        <v>37</v>
      </c>
      <c r="D1412" s="68">
        <v>58300</v>
      </c>
      <c r="E1412" s="74">
        <v>0.05</v>
      </c>
      <c r="F1412" s="129">
        <f t="shared" ref="F1412:F1423" si="217">+D1412+D1412*E1412</f>
        <v>61215</v>
      </c>
      <c r="G1412" s="130">
        <f t="shared" ref="G1412:G1423" si="218">F1412*0.19</f>
        <v>11630.85</v>
      </c>
      <c r="H1412" s="131">
        <f t="shared" ref="H1412:H1423" si="219">ROUND((F1412+G1412),0)</f>
        <v>72846</v>
      </c>
    </row>
    <row r="1413" spans="1:8" x14ac:dyDescent="0.25">
      <c r="A1413" s="85" t="s">
        <v>3601</v>
      </c>
      <c r="B1413" s="88" t="s">
        <v>3512</v>
      </c>
      <c r="C1413" s="26" t="s">
        <v>37</v>
      </c>
      <c r="D1413" s="68">
        <v>123200</v>
      </c>
      <c r="E1413" s="74">
        <v>0.05</v>
      </c>
      <c r="F1413" s="129">
        <f t="shared" si="217"/>
        <v>129360</v>
      </c>
      <c r="G1413" s="130">
        <f t="shared" si="218"/>
        <v>24578.400000000001</v>
      </c>
      <c r="H1413" s="131">
        <f t="shared" si="219"/>
        <v>153938</v>
      </c>
    </row>
    <row r="1414" spans="1:8" x14ac:dyDescent="0.25">
      <c r="A1414" s="85" t="s">
        <v>3602</v>
      </c>
      <c r="B1414" s="88" t="s">
        <v>3510</v>
      </c>
      <c r="C1414" s="26" t="s">
        <v>37</v>
      </c>
      <c r="D1414" s="68">
        <v>149600</v>
      </c>
      <c r="E1414" s="74">
        <v>0.05</v>
      </c>
      <c r="F1414" s="129">
        <f t="shared" si="217"/>
        <v>157080</v>
      </c>
      <c r="G1414" s="130">
        <f t="shared" si="218"/>
        <v>29845.200000000001</v>
      </c>
      <c r="H1414" s="131">
        <f t="shared" si="219"/>
        <v>186925</v>
      </c>
    </row>
    <row r="1415" spans="1:8" x14ac:dyDescent="0.25">
      <c r="A1415" s="85" t="s">
        <v>3603</v>
      </c>
      <c r="B1415" s="88" t="s">
        <v>7818</v>
      </c>
      <c r="C1415" s="26" t="s">
        <v>37</v>
      </c>
      <c r="D1415" s="68">
        <v>276100</v>
      </c>
      <c r="E1415" s="74">
        <v>0.05</v>
      </c>
      <c r="F1415" s="129">
        <f t="shared" si="217"/>
        <v>289905</v>
      </c>
      <c r="G1415" s="130">
        <f t="shared" si="218"/>
        <v>55081.95</v>
      </c>
      <c r="H1415" s="131">
        <f t="shared" si="219"/>
        <v>344987</v>
      </c>
    </row>
    <row r="1416" spans="1:8" x14ac:dyDescent="0.25">
      <c r="A1416" s="85" t="s">
        <v>3604</v>
      </c>
      <c r="B1416" s="88" t="s">
        <v>3513</v>
      </c>
      <c r="C1416" s="26" t="s">
        <v>37</v>
      </c>
      <c r="D1416" s="68">
        <v>429000</v>
      </c>
      <c r="E1416" s="74">
        <v>0.05</v>
      </c>
      <c r="F1416" s="129">
        <f t="shared" si="217"/>
        <v>450450</v>
      </c>
      <c r="G1416" s="130">
        <f t="shared" si="218"/>
        <v>85585.5</v>
      </c>
      <c r="H1416" s="131">
        <f t="shared" si="219"/>
        <v>536036</v>
      </c>
    </row>
    <row r="1417" spans="1:8" x14ac:dyDescent="0.25">
      <c r="A1417" s="85" t="s">
        <v>3605</v>
      </c>
      <c r="B1417" s="88" t="s">
        <v>7298</v>
      </c>
      <c r="C1417" s="26" t="s">
        <v>37</v>
      </c>
      <c r="D1417" s="68">
        <v>805200</v>
      </c>
      <c r="E1417" s="74">
        <v>0.05</v>
      </c>
      <c r="F1417" s="129">
        <f t="shared" si="217"/>
        <v>845460</v>
      </c>
      <c r="G1417" s="130">
        <f t="shared" si="218"/>
        <v>160637.4</v>
      </c>
      <c r="H1417" s="131">
        <f t="shared" si="219"/>
        <v>1006097</v>
      </c>
    </row>
    <row r="1418" spans="1:8" x14ac:dyDescent="0.25">
      <c r="A1418" s="85" t="s">
        <v>982</v>
      </c>
      <c r="B1418" s="88" t="s">
        <v>3516</v>
      </c>
      <c r="C1418" s="26" t="s">
        <v>37</v>
      </c>
      <c r="D1418" s="68">
        <v>1292500</v>
      </c>
      <c r="E1418" s="74">
        <v>0.05</v>
      </c>
      <c r="F1418" s="129">
        <f t="shared" si="217"/>
        <v>1357125</v>
      </c>
      <c r="G1418" s="130">
        <f t="shared" si="218"/>
        <v>257853.75</v>
      </c>
      <c r="H1418" s="131">
        <f t="shared" si="219"/>
        <v>1614979</v>
      </c>
    </row>
    <row r="1419" spans="1:8" x14ac:dyDescent="0.25">
      <c r="A1419" s="85" t="s">
        <v>3606</v>
      </c>
      <c r="B1419" s="88" t="s">
        <v>7470</v>
      </c>
      <c r="C1419" s="26" t="s">
        <v>37</v>
      </c>
      <c r="D1419" s="68">
        <v>1630200</v>
      </c>
      <c r="E1419" s="74">
        <v>0.05</v>
      </c>
      <c r="F1419" s="129">
        <f t="shared" si="217"/>
        <v>1711710</v>
      </c>
      <c r="G1419" s="130">
        <f t="shared" si="218"/>
        <v>325224.90000000002</v>
      </c>
      <c r="H1419" s="131">
        <f t="shared" si="219"/>
        <v>2036935</v>
      </c>
    </row>
    <row r="1420" spans="1:8" x14ac:dyDescent="0.25">
      <c r="A1420" s="85" t="s">
        <v>3607</v>
      </c>
      <c r="B1420" s="88" t="s">
        <v>7625</v>
      </c>
      <c r="C1420" s="26" t="s">
        <v>37</v>
      </c>
      <c r="D1420" s="68">
        <v>2057000</v>
      </c>
      <c r="E1420" s="74">
        <v>0.05</v>
      </c>
      <c r="F1420" s="129">
        <f t="shared" si="217"/>
        <v>2159850</v>
      </c>
      <c r="G1420" s="130">
        <f t="shared" si="218"/>
        <v>410371.5</v>
      </c>
      <c r="H1420" s="131">
        <f t="shared" si="219"/>
        <v>2570222</v>
      </c>
    </row>
    <row r="1421" spans="1:8" x14ac:dyDescent="0.25">
      <c r="A1421" s="85" t="s">
        <v>3608</v>
      </c>
      <c r="B1421" s="88" t="s">
        <v>3519</v>
      </c>
      <c r="C1421" s="26" t="s">
        <v>37</v>
      </c>
      <c r="D1421" s="68">
        <v>2968900</v>
      </c>
      <c r="E1421" s="74">
        <v>0.05</v>
      </c>
      <c r="F1421" s="129">
        <f t="shared" si="217"/>
        <v>3117345</v>
      </c>
      <c r="G1421" s="130">
        <f t="shared" si="218"/>
        <v>592295.55000000005</v>
      </c>
      <c r="H1421" s="131">
        <f t="shared" si="219"/>
        <v>3709641</v>
      </c>
    </row>
    <row r="1422" spans="1:8" x14ac:dyDescent="0.25">
      <c r="A1422" s="85" t="s">
        <v>3609</v>
      </c>
      <c r="B1422" s="88" t="s">
        <v>3520</v>
      </c>
      <c r="C1422" s="26" t="s">
        <v>37</v>
      </c>
      <c r="D1422" s="68">
        <v>3627800</v>
      </c>
      <c r="E1422" s="74">
        <v>0.05</v>
      </c>
      <c r="F1422" s="129">
        <f t="shared" si="217"/>
        <v>3809190</v>
      </c>
      <c r="G1422" s="130">
        <f t="shared" si="218"/>
        <v>723746.1</v>
      </c>
      <c r="H1422" s="131">
        <f t="shared" si="219"/>
        <v>4532936</v>
      </c>
    </row>
    <row r="1423" spans="1:8" x14ac:dyDescent="0.25">
      <c r="A1423" s="85" t="s">
        <v>3610</v>
      </c>
      <c r="B1423" s="88" t="s">
        <v>3509</v>
      </c>
      <c r="C1423" s="26" t="s">
        <v>37</v>
      </c>
      <c r="D1423" s="1001"/>
      <c r="E1423" s="74">
        <v>0.05</v>
      </c>
      <c r="F1423" s="129">
        <f t="shared" si="217"/>
        <v>0</v>
      </c>
      <c r="G1423" s="130">
        <f t="shared" si="218"/>
        <v>0</v>
      </c>
      <c r="H1423" s="131">
        <f t="shared" si="219"/>
        <v>0</v>
      </c>
    </row>
    <row r="1424" spans="1:8" x14ac:dyDescent="0.25">
      <c r="A1424" s="78" t="s">
        <v>983</v>
      </c>
      <c r="B1424" s="79" t="s">
        <v>3575</v>
      </c>
      <c r="C1424" s="26"/>
      <c r="D1424" s="1001"/>
      <c r="E1424" s="74"/>
      <c r="F1424" s="75"/>
      <c r="G1424" s="76"/>
      <c r="H1424" s="77"/>
    </row>
    <row r="1425" spans="1:8" x14ac:dyDescent="0.25">
      <c r="A1425" s="85" t="s">
        <v>3611</v>
      </c>
      <c r="B1425" s="88" t="s">
        <v>3511</v>
      </c>
      <c r="C1425" s="26" t="s">
        <v>37</v>
      </c>
      <c r="D1425" s="68">
        <v>61600</v>
      </c>
      <c r="E1425" s="74">
        <v>0.05</v>
      </c>
      <c r="F1425" s="129">
        <f t="shared" ref="F1425:F1436" si="220">+D1425+D1425*E1425</f>
        <v>64680</v>
      </c>
      <c r="G1425" s="130">
        <f t="shared" ref="G1425:G1436" si="221">F1425*0.19</f>
        <v>12289.2</v>
      </c>
      <c r="H1425" s="131">
        <f t="shared" ref="H1425:H1436" si="222">ROUND((F1425+G1425),0)</f>
        <v>76969</v>
      </c>
    </row>
    <row r="1426" spans="1:8" x14ac:dyDescent="0.25">
      <c r="A1426" s="85" t="s">
        <v>3612</v>
      </c>
      <c r="B1426" s="88" t="s">
        <v>3512</v>
      </c>
      <c r="C1426" s="26" t="s">
        <v>37</v>
      </c>
      <c r="D1426" s="68">
        <v>114400</v>
      </c>
      <c r="E1426" s="74">
        <v>0.05</v>
      </c>
      <c r="F1426" s="129">
        <f t="shared" si="220"/>
        <v>120120</v>
      </c>
      <c r="G1426" s="130">
        <f t="shared" si="221"/>
        <v>22822.799999999999</v>
      </c>
      <c r="H1426" s="131">
        <f t="shared" si="222"/>
        <v>142943</v>
      </c>
    </row>
    <row r="1427" spans="1:8" x14ac:dyDescent="0.25">
      <c r="A1427" s="85" t="s">
        <v>3613</v>
      </c>
      <c r="B1427" s="88" t="s">
        <v>3510</v>
      </c>
      <c r="C1427" s="26" t="s">
        <v>37</v>
      </c>
      <c r="D1427" s="68">
        <v>140800</v>
      </c>
      <c r="E1427" s="74">
        <v>0.05</v>
      </c>
      <c r="F1427" s="129">
        <f t="shared" si="220"/>
        <v>147840</v>
      </c>
      <c r="G1427" s="130">
        <f t="shared" si="221"/>
        <v>28089.599999999999</v>
      </c>
      <c r="H1427" s="131">
        <f t="shared" si="222"/>
        <v>175930</v>
      </c>
    </row>
    <row r="1428" spans="1:8" x14ac:dyDescent="0.25">
      <c r="A1428" s="85" t="s">
        <v>3614</v>
      </c>
      <c r="B1428" s="88" t="s">
        <v>7818</v>
      </c>
      <c r="C1428" s="26" t="s">
        <v>37</v>
      </c>
      <c r="D1428" s="68">
        <v>259600</v>
      </c>
      <c r="E1428" s="74">
        <v>0.05</v>
      </c>
      <c r="F1428" s="129">
        <f t="shared" si="220"/>
        <v>272580</v>
      </c>
      <c r="G1428" s="130">
        <f t="shared" si="221"/>
        <v>51790.2</v>
      </c>
      <c r="H1428" s="131">
        <f t="shared" si="222"/>
        <v>324370</v>
      </c>
    </row>
    <row r="1429" spans="1:8" x14ac:dyDescent="0.25">
      <c r="A1429" s="85" t="s">
        <v>3615</v>
      </c>
      <c r="B1429" s="88" t="s">
        <v>3513</v>
      </c>
      <c r="C1429" s="26" t="s">
        <v>37</v>
      </c>
      <c r="D1429" s="68">
        <v>403700</v>
      </c>
      <c r="E1429" s="74">
        <v>0.05</v>
      </c>
      <c r="F1429" s="129">
        <f t="shared" si="220"/>
        <v>423885</v>
      </c>
      <c r="G1429" s="130">
        <f t="shared" si="221"/>
        <v>80538.149999999994</v>
      </c>
      <c r="H1429" s="131">
        <f t="shared" si="222"/>
        <v>504423</v>
      </c>
    </row>
    <row r="1430" spans="1:8" x14ac:dyDescent="0.25">
      <c r="A1430" s="85" t="s">
        <v>3616</v>
      </c>
      <c r="B1430" s="88" t="s">
        <v>7298</v>
      </c>
      <c r="C1430" s="26" t="s">
        <v>37</v>
      </c>
      <c r="D1430" s="68">
        <v>733700</v>
      </c>
      <c r="E1430" s="74">
        <v>0.05</v>
      </c>
      <c r="F1430" s="129">
        <f t="shared" si="220"/>
        <v>770385</v>
      </c>
      <c r="G1430" s="130">
        <f t="shared" si="221"/>
        <v>146373.15</v>
      </c>
      <c r="H1430" s="131">
        <f t="shared" si="222"/>
        <v>916758</v>
      </c>
    </row>
    <row r="1431" spans="1:8" x14ac:dyDescent="0.25">
      <c r="A1431" s="85" t="s">
        <v>984</v>
      </c>
      <c r="B1431" s="88" t="s">
        <v>3516</v>
      </c>
      <c r="C1431" s="26" t="s">
        <v>37</v>
      </c>
      <c r="D1431" s="68">
        <v>997700</v>
      </c>
      <c r="E1431" s="74">
        <v>0.05</v>
      </c>
      <c r="F1431" s="129">
        <f t="shared" si="220"/>
        <v>1047585</v>
      </c>
      <c r="G1431" s="130">
        <f t="shared" si="221"/>
        <v>199041.15</v>
      </c>
      <c r="H1431" s="131">
        <f t="shared" si="222"/>
        <v>1246626</v>
      </c>
    </row>
    <row r="1432" spans="1:8" x14ac:dyDescent="0.25">
      <c r="A1432" s="85" t="s">
        <v>3617</v>
      </c>
      <c r="B1432" s="88" t="s">
        <v>7470</v>
      </c>
      <c r="C1432" s="26" t="s">
        <v>37</v>
      </c>
      <c r="D1432" s="68">
        <v>1610400</v>
      </c>
      <c r="E1432" s="74">
        <v>0.05</v>
      </c>
      <c r="F1432" s="129">
        <f t="shared" si="220"/>
        <v>1690920</v>
      </c>
      <c r="G1432" s="130">
        <f t="shared" si="221"/>
        <v>321274.8</v>
      </c>
      <c r="H1432" s="131">
        <f t="shared" si="222"/>
        <v>2012195</v>
      </c>
    </row>
    <row r="1433" spans="1:8" x14ac:dyDescent="0.25">
      <c r="A1433" s="85" t="s">
        <v>3618</v>
      </c>
      <c r="B1433" s="88" t="s">
        <v>7625</v>
      </c>
      <c r="C1433" s="26" t="s">
        <v>37</v>
      </c>
      <c r="D1433" s="68">
        <v>2085600</v>
      </c>
      <c r="E1433" s="74">
        <v>0.05</v>
      </c>
      <c r="F1433" s="129">
        <f t="shared" si="220"/>
        <v>2189880</v>
      </c>
      <c r="G1433" s="130">
        <f t="shared" si="221"/>
        <v>416077.2</v>
      </c>
      <c r="H1433" s="131">
        <f t="shared" si="222"/>
        <v>2605957</v>
      </c>
    </row>
    <row r="1434" spans="1:8" x14ac:dyDescent="0.25">
      <c r="A1434" s="85" t="s">
        <v>3619</v>
      </c>
      <c r="B1434" s="88" t="s">
        <v>3519</v>
      </c>
      <c r="C1434" s="26" t="s">
        <v>37</v>
      </c>
      <c r="D1434" s="68">
        <v>2638900</v>
      </c>
      <c r="E1434" s="74">
        <v>0.05</v>
      </c>
      <c r="F1434" s="129">
        <f t="shared" si="220"/>
        <v>2770845</v>
      </c>
      <c r="G1434" s="130">
        <f t="shared" si="221"/>
        <v>526460.55000000005</v>
      </c>
      <c r="H1434" s="131">
        <f t="shared" si="222"/>
        <v>3297306</v>
      </c>
    </row>
    <row r="1435" spans="1:8" x14ac:dyDescent="0.25">
      <c r="A1435" s="85" t="s">
        <v>3620</v>
      </c>
      <c r="B1435" s="88" t="s">
        <v>3520</v>
      </c>
      <c r="C1435" s="26" t="s">
        <v>37</v>
      </c>
      <c r="D1435" s="68">
        <v>3627800</v>
      </c>
      <c r="E1435" s="74">
        <v>0.05</v>
      </c>
      <c r="F1435" s="129">
        <f t="shared" si="220"/>
        <v>3809190</v>
      </c>
      <c r="G1435" s="130">
        <f t="shared" si="221"/>
        <v>723746.1</v>
      </c>
      <c r="H1435" s="131">
        <f t="shared" si="222"/>
        <v>4532936</v>
      </c>
    </row>
    <row r="1436" spans="1:8" x14ac:dyDescent="0.25">
      <c r="A1436" s="85" t="s">
        <v>3621</v>
      </c>
      <c r="B1436" s="88" t="s">
        <v>3509</v>
      </c>
      <c r="C1436" s="26" t="s">
        <v>37</v>
      </c>
      <c r="D1436" s="1001"/>
      <c r="E1436" s="74">
        <v>0.05</v>
      </c>
      <c r="F1436" s="129">
        <f t="shared" si="220"/>
        <v>0</v>
      </c>
      <c r="G1436" s="130">
        <f t="shared" si="221"/>
        <v>0</v>
      </c>
      <c r="H1436" s="131">
        <f t="shared" si="222"/>
        <v>0</v>
      </c>
    </row>
    <row r="1437" spans="1:8" x14ac:dyDescent="0.25">
      <c r="A1437" s="78" t="s">
        <v>985</v>
      </c>
      <c r="B1437" s="79" t="s">
        <v>3632</v>
      </c>
      <c r="C1437" s="14"/>
      <c r="D1437" s="1001"/>
      <c r="E1437" s="74"/>
      <c r="F1437" s="75"/>
      <c r="G1437" s="76"/>
      <c r="H1437" s="77"/>
    </row>
    <row r="1438" spans="1:8" x14ac:dyDescent="0.25">
      <c r="A1438" s="85" t="s">
        <v>986</v>
      </c>
      <c r="B1438" s="88" t="s">
        <v>3511</v>
      </c>
      <c r="C1438" s="26" t="s">
        <v>37</v>
      </c>
      <c r="D1438" s="68">
        <v>105600</v>
      </c>
      <c r="E1438" s="74">
        <v>0.05</v>
      </c>
      <c r="F1438" s="129">
        <f t="shared" ref="F1438:F1449" si="223">+D1438+D1438*E1438</f>
        <v>110880</v>
      </c>
      <c r="G1438" s="130">
        <f t="shared" ref="G1438:G1449" si="224">F1438*0.19</f>
        <v>21067.200000000001</v>
      </c>
      <c r="H1438" s="131">
        <f t="shared" ref="H1438:H1449" si="225">ROUND((F1438+G1438),0)</f>
        <v>131947</v>
      </c>
    </row>
    <row r="1439" spans="1:8" x14ac:dyDescent="0.25">
      <c r="A1439" s="85" t="s">
        <v>987</v>
      </c>
      <c r="B1439" s="88" t="s">
        <v>3512</v>
      </c>
      <c r="C1439" s="26" t="s">
        <v>37</v>
      </c>
      <c r="D1439" s="68">
        <v>210100</v>
      </c>
      <c r="E1439" s="74">
        <v>0.05</v>
      </c>
      <c r="F1439" s="129">
        <f t="shared" si="223"/>
        <v>220605</v>
      </c>
      <c r="G1439" s="130">
        <f t="shared" si="224"/>
        <v>41914.949999999997</v>
      </c>
      <c r="H1439" s="131">
        <f t="shared" si="225"/>
        <v>262520</v>
      </c>
    </row>
    <row r="1440" spans="1:8" x14ac:dyDescent="0.25">
      <c r="A1440" s="85" t="s">
        <v>3622</v>
      </c>
      <c r="B1440" s="88" t="s">
        <v>3510</v>
      </c>
      <c r="C1440" s="26" t="s">
        <v>37</v>
      </c>
      <c r="D1440" s="68">
        <v>262900</v>
      </c>
      <c r="E1440" s="74">
        <v>0.05</v>
      </c>
      <c r="F1440" s="129">
        <f t="shared" si="223"/>
        <v>276045</v>
      </c>
      <c r="G1440" s="130">
        <f t="shared" si="224"/>
        <v>52448.55</v>
      </c>
      <c r="H1440" s="131">
        <f t="shared" si="225"/>
        <v>328494</v>
      </c>
    </row>
    <row r="1441" spans="1:8" x14ac:dyDescent="0.25">
      <c r="A1441" s="85" t="s">
        <v>3623</v>
      </c>
      <c r="B1441" s="88" t="s">
        <v>7818</v>
      </c>
      <c r="C1441" s="26" t="s">
        <v>37</v>
      </c>
      <c r="D1441" s="68">
        <v>448800</v>
      </c>
      <c r="E1441" s="74">
        <v>0.05</v>
      </c>
      <c r="F1441" s="129">
        <f t="shared" si="223"/>
        <v>471240</v>
      </c>
      <c r="G1441" s="130">
        <f t="shared" si="224"/>
        <v>89535.6</v>
      </c>
      <c r="H1441" s="131">
        <f t="shared" si="225"/>
        <v>560776</v>
      </c>
    </row>
    <row r="1442" spans="1:8" x14ac:dyDescent="0.25">
      <c r="A1442" s="85" t="s">
        <v>3624</v>
      </c>
      <c r="B1442" s="88" t="s">
        <v>3513</v>
      </c>
      <c r="C1442" s="26" t="s">
        <v>37</v>
      </c>
      <c r="D1442" s="68">
        <v>790900</v>
      </c>
      <c r="E1442" s="74">
        <v>0.05</v>
      </c>
      <c r="F1442" s="129">
        <f t="shared" si="223"/>
        <v>830445</v>
      </c>
      <c r="G1442" s="130">
        <f t="shared" si="224"/>
        <v>157784.54999999999</v>
      </c>
      <c r="H1442" s="131">
        <f t="shared" si="225"/>
        <v>988230</v>
      </c>
    </row>
    <row r="1443" spans="1:8" x14ac:dyDescent="0.25">
      <c r="A1443" s="85" t="s">
        <v>3625</v>
      </c>
      <c r="B1443" s="88" t="s">
        <v>7298</v>
      </c>
      <c r="C1443" s="26" t="s">
        <v>37</v>
      </c>
      <c r="D1443" s="68">
        <v>1426700</v>
      </c>
      <c r="E1443" s="74">
        <v>0.05</v>
      </c>
      <c r="F1443" s="129">
        <f t="shared" si="223"/>
        <v>1498035</v>
      </c>
      <c r="G1443" s="130">
        <f t="shared" si="224"/>
        <v>284626.65000000002</v>
      </c>
      <c r="H1443" s="131">
        <f t="shared" si="225"/>
        <v>1782662</v>
      </c>
    </row>
    <row r="1444" spans="1:8" x14ac:dyDescent="0.25">
      <c r="A1444" s="85" t="s">
        <v>3626</v>
      </c>
      <c r="B1444" s="88" t="s">
        <v>3516</v>
      </c>
      <c r="C1444" s="26" t="s">
        <v>37</v>
      </c>
      <c r="D1444" s="68">
        <v>1900800</v>
      </c>
      <c r="E1444" s="74">
        <v>0.05</v>
      </c>
      <c r="F1444" s="129">
        <f t="shared" si="223"/>
        <v>1995840</v>
      </c>
      <c r="G1444" s="130">
        <f t="shared" si="224"/>
        <v>379209.6</v>
      </c>
      <c r="H1444" s="131">
        <f t="shared" si="225"/>
        <v>2375050</v>
      </c>
    </row>
    <row r="1445" spans="1:8" x14ac:dyDescent="0.25">
      <c r="A1445" s="85" t="s">
        <v>3627</v>
      </c>
      <c r="B1445" s="88" t="s">
        <v>7470</v>
      </c>
      <c r="C1445" s="26" t="s">
        <v>37</v>
      </c>
      <c r="D1445" s="68">
        <v>2658700</v>
      </c>
      <c r="E1445" s="74">
        <v>0.05</v>
      </c>
      <c r="F1445" s="129">
        <f t="shared" si="223"/>
        <v>2791635</v>
      </c>
      <c r="G1445" s="130">
        <f t="shared" si="224"/>
        <v>530410.65</v>
      </c>
      <c r="H1445" s="131">
        <f t="shared" si="225"/>
        <v>3322046</v>
      </c>
    </row>
    <row r="1446" spans="1:8" x14ac:dyDescent="0.25">
      <c r="A1446" s="85" t="s">
        <v>3628</v>
      </c>
      <c r="B1446" s="88" t="s">
        <v>7625</v>
      </c>
      <c r="C1446" s="26" t="s">
        <v>37</v>
      </c>
      <c r="D1446" s="68">
        <v>3432000</v>
      </c>
      <c r="E1446" s="74">
        <v>0.05</v>
      </c>
      <c r="F1446" s="129">
        <f t="shared" si="223"/>
        <v>3603600</v>
      </c>
      <c r="G1446" s="130">
        <f t="shared" si="224"/>
        <v>684684</v>
      </c>
      <c r="H1446" s="131">
        <f t="shared" si="225"/>
        <v>4288284</v>
      </c>
    </row>
    <row r="1447" spans="1:8" x14ac:dyDescent="0.25">
      <c r="A1447" s="85" t="s">
        <v>3629</v>
      </c>
      <c r="B1447" s="88" t="s">
        <v>3519</v>
      </c>
      <c r="C1447" s="26" t="s">
        <v>37</v>
      </c>
      <c r="D1447" s="68">
        <v>4501200</v>
      </c>
      <c r="E1447" s="74">
        <v>0.05</v>
      </c>
      <c r="F1447" s="129">
        <f t="shared" si="223"/>
        <v>4726260</v>
      </c>
      <c r="G1447" s="130">
        <f t="shared" si="224"/>
        <v>897989.4</v>
      </c>
      <c r="H1447" s="131">
        <f t="shared" si="225"/>
        <v>5624249</v>
      </c>
    </row>
    <row r="1448" spans="1:8" x14ac:dyDescent="0.25">
      <c r="A1448" s="85" t="s">
        <v>3630</v>
      </c>
      <c r="B1448" s="88" t="s">
        <v>3520</v>
      </c>
      <c r="C1448" s="26" t="s">
        <v>37</v>
      </c>
      <c r="D1448" s="68">
        <v>6403100</v>
      </c>
      <c r="E1448" s="74">
        <v>0.05</v>
      </c>
      <c r="F1448" s="129">
        <f t="shared" si="223"/>
        <v>6723255</v>
      </c>
      <c r="G1448" s="130">
        <f t="shared" si="224"/>
        <v>1277418.45</v>
      </c>
      <c r="H1448" s="131">
        <f t="shared" si="225"/>
        <v>8000673</v>
      </c>
    </row>
    <row r="1449" spans="1:8" x14ac:dyDescent="0.25">
      <c r="A1449" s="85" t="s">
        <v>3631</v>
      </c>
      <c r="B1449" s="88" t="s">
        <v>3509</v>
      </c>
      <c r="C1449" s="26" t="s">
        <v>37</v>
      </c>
      <c r="D1449" s="68">
        <v>7815500</v>
      </c>
      <c r="E1449" s="74">
        <v>0.05</v>
      </c>
      <c r="F1449" s="129">
        <f t="shared" si="223"/>
        <v>8206275</v>
      </c>
      <c r="G1449" s="130">
        <f t="shared" si="224"/>
        <v>1559192.25</v>
      </c>
      <c r="H1449" s="131">
        <f t="shared" si="225"/>
        <v>9765467</v>
      </c>
    </row>
    <row r="1450" spans="1:8" x14ac:dyDescent="0.25">
      <c r="A1450" s="78" t="s">
        <v>988</v>
      </c>
      <c r="B1450" s="79" t="s">
        <v>3633</v>
      </c>
      <c r="C1450" s="14"/>
      <c r="D1450" s="68"/>
      <c r="E1450" s="74"/>
      <c r="F1450" s="75"/>
      <c r="G1450" s="76"/>
      <c r="H1450" s="77"/>
    </row>
    <row r="1451" spans="1:8" x14ac:dyDescent="0.25">
      <c r="A1451" s="85" t="s">
        <v>989</v>
      </c>
      <c r="B1451" s="88" t="s">
        <v>3511</v>
      </c>
      <c r="C1451" s="26" t="s">
        <v>37</v>
      </c>
      <c r="D1451" s="68">
        <v>91300</v>
      </c>
      <c r="E1451" s="74">
        <v>0.05</v>
      </c>
      <c r="F1451" s="129">
        <f t="shared" ref="F1451:F1462" si="226">+D1451+D1451*E1451</f>
        <v>95865</v>
      </c>
      <c r="G1451" s="130">
        <f t="shared" ref="G1451:G1462" si="227">F1451*0.19</f>
        <v>18214.349999999999</v>
      </c>
      <c r="H1451" s="131">
        <f t="shared" ref="H1451:H1462" si="228">ROUND((F1451+G1451),0)</f>
        <v>114079</v>
      </c>
    </row>
    <row r="1452" spans="1:8" x14ac:dyDescent="0.25">
      <c r="A1452" s="85" t="s">
        <v>3634</v>
      </c>
      <c r="B1452" s="88" t="s">
        <v>3512</v>
      </c>
      <c r="C1452" s="26" t="s">
        <v>37</v>
      </c>
      <c r="D1452" s="68">
        <v>158400</v>
      </c>
      <c r="E1452" s="74">
        <v>0.05</v>
      </c>
      <c r="F1452" s="129">
        <f t="shared" si="226"/>
        <v>166320</v>
      </c>
      <c r="G1452" s="130">
        <f t="shared" si="227"/>
        <v>31600.799999999999</v>
      </c>
      <c r="H1452" s="131">
        <f t="shared" si="228"/>
        <v>197921</v>
      </c>
    </row>
    <row r="1453" spans="1:8" x14ac:dyDescent="0.25">
      <c r="A1453" s="85" t="s">
        <v>3635</v>
      </c>
      <c r="B1453" s="88" t="s">
        <v>3510</v>
      </c>
      <c r="C1453" s="26" t="s">
        <v>37</v>
      </c>
      <c r="D1453" s="68">
        <v>262900</v>
      </c>
      <c r="E1453" s="74">
        <v>0.05</v>
      </c>
      <c r="F1453" s="129">
        <f t="shared" si="226"/>
        <v>276045</v>
      </c>
      <c r="G1453" s="130">
        <f t="shared" si="227"/>
        <v>52448.55</v>
      </c>
      <c r="H1453" s="131">
        <f t="shared" si="228"/>
        <v>328494</v>
      </c>
    </row>
    <row r="1454" spans="1:8" x14ac:dyDescent="0.25">
      <c r="A1454" s="85" t="s">
        <v>3636</v>
      </c>
      <c r="B1454" s="88" t="s">
        <v>7818</v>
      </c>
      <c r="C1454" s="26" t="s">
        <v>37</v>
      </c>
      <c r="D1454" s="68">
        <v>399300</v>
      </c>
      <c r="E1454" s="74">
        <v>0.05</v>
      </c>
      <c r="F1454" s="129">
        <f t="shared" si="226"/>
        <v>419265</v>
      </c>
      <c r="G1454" s="130">
        <f t="shared" si="227"/>
        <v>79660.350000000006</v>
      </c>
      <c r="H1454" s="131">
        <f t="shared" si="228"/>
        <v>498925</v>
      </c>
    </row>
    <row r="1455" spans="1:8" x14ac:dyDescent="0.25">
      <c r="A1455" s="85" t="s">
        <v>3637</v>
      </c>
      <c r="B1455" s="88" t="s">
        <v>3513</v>
      </c>
      <c r="C1455" s="26" t="s">
        <v>37</v>
      </c>
      <c r="D1455" s="68">
        <v>757900</v>
      </c>
      <c r="E1455" s="74">
        <v>0.05</v>
      </c>
      <c r="F1455" s="129">
        <f t="shared" si="226"/>
        <v>795795</v>
      </c>
      <c r="G1455" s="130">
        <f t="shared" si="227"/>
        <v>151201.04999999999</v>
      </c>
      <c r="H1455" s="131">
        <f t="shared" si="228"/>
        <v>946996</v>
      </c>
    </row>
    <row r="1456" spans="1:8" x14ac:dyDescent="0.25">
      <c r="A1456" s="85" t="s">
        <v>3638</v>
      </c>
      <c r="B1456" s="88" t="s">
        <v>7298</v>
      </c>
      <c r="C1456" s="26" t="s">
        <v>37</v>
      </c>
      <c r="D1456" s="68">
        <v>1189100</v>
      </c>
      <c r="E1456" s="74">
        <v>0.05</v>
      </c>
      <c r="F1456" s="129">
        <f t="shared" si="226"/>
        <v>1248555</v>
      </c>
      <c r="G1456" s="130">
        <f t="shared" si="227"/>
        <v>237225.45</v>
      </c>
      <c r="H1456" s="131">
        <f t="shared" si="228"/>
        <v>1485780</v>
      </c>
    </row>
    <row r="1457" spans="1:8" x14ac:dyDescent="0.25">
      <c r="A1457" s="85" t="s">
        <v>3639</v>
      </c>
      <c r="B1457" s="88" t="s">
        <v>3516</v>
      </c>
      <c r="C1457" s="26" t="s">
        <v>37</v>
      </c>
      <c r="D1457" s="68">
        <v>1620300</v>
      </c>
      <c r="E1457" s="74">
        <v>0.05</v>
      </c>
      <c r="F1457" s="129">
        <f t="shared" si="226"/>
        <v>1701315</v>
      </c>
      <c r="G1457" s="130">
        <f t="shared" si="227"/>
        <v>323249.84999999998</v>
      </c>
      <c r="H1457" s="131">
        <f t="shared" si="228"/>
        <v>2024565</v>
      </c>
    </row>
    <row r="1458" spans="1:8" x14ac:dyDescent="0.25">
      <c r="A1458" s="85" t="s">
        <v>3640</v>
      </c>
      <c r="B1458" s="88" t="s">
        <v>7470</v>
      </c>
      <c r="C1458" s="26" t="s">
        <v>37</v>
      </c>
      <c r="D1458" s="68">
        <v>2202200</v>
      </c>
      <c r="E1458" s="74">
        <v>0.05</v>
      </c>
      <c r="F1458" s="129">
        <f t="shared" si="226"/>
        <v>2312310</v>
      </c>
      <c r="G1458" s="130">
        <f t="shared" si="227"/>
        <v>439338.9</v>
      </c>
      <c r="H1458" s="131">
        <f t="shared" si="228"/>
        <v>2751649</v>
      </c>
    </row>
    <row r="1459" spans="1:8" x14ac:dyDescent="0.25">
      <c r="A1459" s="85" t="s">
        <v>3641</v>
      </c>
      <c r="B1459" s="88" t="s">
        <v>7625</v>
      </c>
      <c r="C1459" s="26" t="s">
        <v>37</v>
      </c>
      <c r="D1459" s="68">
        <v>3283500</v>
      </c>
      <c r="E1459" s="74">
        <v>0.05</v>
      </c>
      <c r="F1459" s="129">
        <f t="shared" si="226"/>
        <v>3447675</v>
      </c>
      <c r="G1459" s="130">
        <f t="shared" si="227"/>
        <v>655058.25</v>
      </c>
      <c r="H1459" s="131">
        <f t="shared" si="228"/>
        <v>4102733</v>
      </c>
    </row>
    <row r="1460" spans="1:8" x14ac:dyDescent="0.25">
      <c r="A1460" s="85" t="s">
        <v>3642</v>
      </c>
      <c r="B1460" s="88" t="s">
        <v>3519</v>
      </c>
      <c r="C1460" s="26" t="s">
        <v>37</v>
      </c>
      <c r="D1460" s="68">
        <v>3936900</v>
      </c>
      <c r="E1460" s="74">
        <v>0.05</v>
      </c>
      <c r="F1460" s="129">
        <f t="shared" si="226"/>
        <v>4133745</v>
      </c>
      <c r="G1460" s="130">
        <f t="shared" si="227"/>
        <v>785411.55</v>
      </c>
      <c r="H1460" s="131">
        <f t="shared" si="228"/>
        <v>4919157</v>
      </c>
    </row>
    <row r="1461" spans="1:8" x14ac:dyDescent="0.25">
      <c r="A1461" s="85" t="s">
        <v>3643</v>
      </c>
      <c r="B1461" s="88" t="s">
        <v>3520</v>
      </c>
      <c r="C1461" s="26" t="s">
        <v>37</v>
      </c>
      <c r="D1461" s="68">
        <v>3936900</v>
      </c>
      <c r="E1461" s="74">
        <v>0.05</v>
      </c>
      <c r="F1461" s="129">
        <f t="shared" si="226"/>
        <v>4133745</v>
      </c>
      <c r="G1461" s="130">
        <f t="shared" si="227"/>
        <v>785411.55</v>
      </c>
      <c r="H1461" s="131">
        <f t="shared" si="228"/>
        <v>4919157</v>
      </c>
    </row>
    <row r="1462" spans="1:8" x14ac:dyDescent="0.25">
      <c r="A1462" s="85" t="s">
        <v>3644</v>
      </c>
      <c r="B1462" s="88" t="s">
        <v>3509</v>
      </c>
      <c r="C1462" s="26" t="s">
        <v>37</v>
      </c>
      <c r="D1462" s="68">
        <v>7119200</v>
      </c>
      <c r="E1462" s="74">
        <v>0.05</v>
      </c>
      <c r="F1462" s="129">
        <f t="shared" si="226"/>
        <v>7475160</v>
      </c>
      <c r="G1462" s="130">
        <f t="shared" si="227"/>
        <v>1420280.4</v>
      </c>
      <c r="H1462" s="131">
        <f t="shared" si="228"/>
        <v>8895440</v>
      </c>
    </row>
    <row r="1463" spans="1:8" x14ac:dyDescent="0.25">
      <c r="A1463" s="78" t="s">
        <v>3645</v>
      </c>
      <c r="B1463" s="79" t="s">
        <v>3647</v>
      </c>
      <c r="C1463" s="14"/>
      <c r="D1463" s="68"/>
      <c r="E1463" s="74"/>
      <c r="F1463" s="75"/>
      <c r="G1463" s="76"/>
      <c r="H1463" s="77"/>
    </row>
    <row r="1464" spans="1:8" x14ac:dyDescent="0.25">
      <c r="A1464" s="85" t="s">
        <v>3646</v>
      </c>
      <c r="B1464" s="88" t="s">
        <v>3511</v>
      </c>
      <c r="C1464" s="26" t="s">
        <v>37</v>
      </c>
      <c r="D1464" s="68">
        <v>92400</v>
      </c>
      <c r="E1464" s="74">
        <v>0.05</v>
      </c>
      <c r="F1464" s="129">
        <f t="shared" ref="F1464:F1475" si="229">+D1464+D1464*E1464</f>
        <v>97020</v>
      </c>
      <c r="G1464" s="130">
        <f t="shared" ref="G1464:G1475" si="230">F1464*0.19</f>
        <v>18433.8</v>
      </c>
      <c r="H1464" s="131">
        <f t="shared" ref="H1464:H1475" si="231">ROUND((F1464+G1464),0)</f>
        <v>115454</v>
      </c>
    </row>
    <row r="1465" spans="1:8" x14ac:dyDescent="0.25">
      <c r="A1465" s="85" t="s">
        <v>3648</v>
      </c>
      <c r="B1465" s="88" t="s">
        <v>3512</v>
      </c>
      <c r="C1465" s="26" t="s">
        <v>37</v>
      </c>
      <c r="D1465" s="68">
        <v>156200</v>
      </c>
      <c r="E1465" s="74">
        <v>0.05</v>
      </c>
      <c r="F1465" s="129">
        <f t="shared" si="229"/>
        <v>164010</v>
      </c>
      <c r="G1465" s="130">
        <f t="shared" si="230"/>
        <v>31161.9</v>
      </c>
      <c r="H1465" s="131">
        <f t="shared" si="231"/>
        <v>195172</v>
      </c>
    </row>
    <row r="1466" spans="1:8" x14ac:dyDescent="0.25">
      <c r="A1466" s="85" t="s">
        <v>3649</v>
      </c>
      <c r="B1466" s="88" t="s">
        <v>3510</v>
      </c>
      <c r="C1466" s="26" t="s">
        <v>37</v>
      </c>
      <c r="D1466" s="68">
        <v>276100</v>
      </c>
      <c r="E1466" s="74">
        <v>0.05</v>
      </c>
      <c r="F1466" s="129">
        <f t="shared" si="229"/>
        <v>289905</v>
      </c>
      <c r="G1466" s="130">
        <f t="shared" si="230"/>
        <v>55081.95</v>
      </c>
      <c r="H1466" s="131">
        <f t="shared" si="231"/>
        <v>344987</v>
      </c>
    </row>
    <row r="1467" spans="1:8" x14ac:dyDescent="0.25">
      <c r="A1467" s="85" t="s">
        <v>3650</v>
      </c>
      <c r="B1467" s="88" t="s">
        <v>7818</v>
      </c>
      <c r="C1467" s="26" t="s">
        <v>37</v>
      </c>
      <c r="D1467" s="68">
        <v>421300</v>
      </c>
      <c r="E1467" s="74">
        <v>0.05</v>
      </c>
      <c r="F1467" s="129">
        <f t="shared" si="229"/>
        <v>442365</v>
      </c>
      <c r="G1467" s="130">
        <f t="shared" si="230"/>
        <v>84049.35</v>
      </c>
      <c r="H1467" s="131">
        <f t="shared" si="231"/>
        <v>526414</v>
      </c>
    </row>
    <row r="1468" spans="1:8" x14ac:dyDescent="0.25">
      <c r="A1468" s="85" t="s">
        <v>3651</v>
      </c>
      <c r="B1468" s="88" t="s">
        <v>3513</v>
      </c>
      <c r="C1468" s="26" t="s">
        <v>37</v>
      </c>
      <c r="D1468" s="68">
        <v>683100</v>
      </c>
      <c r="E1468" s="74">
        <v>0.05</v>
      </c>
      <c r="F1468" s="129">
        <f t="shared" si="229"/>
        <v>717255</v>
      </c>
      <c r="G1468" s="130">
        <f t="shared" si="230"/>
        <v>136278.45000000001</v>
      </c>
      <c r="H1468" s="131">
        <f t="shared" si="231"/>
        <v>853533</v>
      </c>
    </row>
    <row r="1469" spans="1:8" x14ac:dyDescent="0.25">
      <c r="A1469" s="85" t="s">
        <v>3652</v>
      </c>
      <c r="B1469" s="88" t="s">
        <v>7298</v>
      </c>
      <c r="C1469" s="26" t="s">
        <v>37</v>
      </c>
      <c r="D1469" s="68">
        <v>1203400</v>
      </c>
      <c r="E1469" s="74">
        <v>0.05</v>
      </c>
      <c r="F1469" s="129">
        <f t="shared" si="229"/>
        <v>1263570</v>
      </c>
      <c r="G1469" s="130">
        <f t="shared" si="230"/>
        <v>240078.3</v>
      </c>
      <c r="H1469" s="131">
        <f t="shared" si="231"/>
        <v>1503648</v>
      </c>
    </row>
    <row r="1470" spans="1:8" x14ac:dyDescent="0.25">
      <c r="A1470" s="85" t="s">
        <v>3653</v>
      </c>
      <c r="B1470" s="88" t="s">
        <v>3516</v>
      </c>
      <c r="C1470" s="26" t="s">
        <v>37</v>
      </c>
      <c r="D1470" s="68">
        <v>1478400</v>
      </c>
      <c r="E1470" s="74">
        <v>0.05</v>
      </c>
      <c r="F1470" s="129">
        <f t="shared" si="229"/>
        <v>1552320</v>
      </c>
      <c r="G1470" s="130">
        <f t="shared" si="230"/>
        <v>294940.79999999999</v>
      </c>
      <c r="H1470" s="131">
        <f t="shared" si="231"/>
        <v>1847261</v>
      </c>
    </row>
    <row r="1471" spans="1:8" x14ac:dyDescent="0.25">
      <c r="A1471" s="85" t="s">
        <v>3654</v>
      </c>
      <c r="B1471" s="88" t="s">
        <v>7470</v>
      </c>
      <c r="C1471" s="26" t="s">
        <v>37</v>
      </c>
      <c r="D1471" s="68">
        <v>1911800</v>
      </c>
      <c r="E1471" s="74">
        <v>0.05</v>
      </c>
      <c r="F1471" s="129">
        <f t="shared" si="229"/>
        <v>2007390</v>
      </c>
      <c r="G1471" s="130">
        <f t="shared" si="230"/>
        <v>381404.1</v>
      </c>
      <c r="H1471" s="131">
        <f t="shared" si="231"/>
        <v>2388794</v>
      </c>
    </row>
    <row r="1472" spans="1:8" x14ac:dyDescent="0.25">
      <c r="A1472" s="85" t="s">
        <v>3655</v>
      </c>
      <c r="B1472" s="88" t="s">
        <v>7625</v>
      </c>
      <c r="C1472" s="26" t="s">
        <v>37</v>
      </c>
      <c r="D1472" s="68">
        <v>2915000</v>
      </c>
      <c r="E1472" s="74">
        <v>0.05</v>
      </c>
      <c r="F1472" s="129">
        <f t="shared" si="229"/>
        <v>3060750</v>
      </c>
      <c r="G1472" s="130">
        <f t="shared" si="230"/>
        <v>581542.5</v>
      </c>
      <c r="H1472" s="131">
        <f t="shared" si="231"/>
        <v>3642293</v>
      </c>
    </row>
    <row r="1473" spans="1:8" x14ac:dyDescent="0.25">
      <c r="A1473" s="85" t="s">
        <v>3656</v>
      </c>
      <c r="B1473" s="88" t="s">
        <v>3519</v>
      </c>
      <c r="C1473" s="26" t="s">
        <v>37</v>
      </c>
      <c r="D1473" s="68">
        <v>4015000</v>
      </c>
      <c r="E1473" s="74">
        <v>0.05</v>
      </c>
      <c r="F1473" s="129">
        <f t="shared" si="229"/>
        <v>4215750</v>
      </c>
      <c r="G1473" s="130">
        <f t="shared" si="230"/>
        <v>800992.5</v>
      </c>
      <c r="H1473" s="131">
        <f t="shared" si="231"/>
        <v>5016743</v>
      </c>
    </row>
    <row r="1474" spans="1:8" x14ac:dyDescent="0.25">
      <c r="A1474" s="85" t="s">
        <v>3657</v>
      </c>
      <c r="B1474" s="88" t="s">
        <v>3520</v>
      </c>
      <c r="C1474" s="26" t="s">
        <v>37</v>
      </c>
      <c r="D1474" s="68">
        <v>4049100</v>
      </c>
      <c r="E1474" s="74">
        <v>0.05</v>
      </c>
      <c r="F1474" s="129">
        <f t="shared" si="229"/>
        <v>4251555</v>
      </c>
      <c r="G1474" s="130">
        <f t="shared" si="230"/>
        <v>807795.45</v>
      </c>
      <c r="H1474" s="131">
        <f t="shared" si="231"/>
        <v>5059350</v>
      </c>
    </row>
    <row r="1475" spans="1:8" x14ac:dyDescent="0.25">
      <c r="A1475" s="85" t="s">
        <v>3658</v>
      </c>
      <c r="B1475" s="88" t="s">
        <v>3509</v>
      </c>
      <c r="C1475" s="26" t="s">
        <v>37</v>
      </c>
      <c r="D1475" s="68">
        <v>5958700</v>
      </c>
      <c r="E1475" s="74">
        <v>0.05</v>
      </c>
      <c r="F1475" s="129">
        <f t="shared" si="229"/>
        <v>6256635</v>
      </c>
      <c r="G1475" s="130">
        <f t="shared" si="230"/>
        <v>1188760.6499999999</v>
      </c>
      <c r="H1475" s="131">
        <f t="shared" si="231"/>
        <v>7445396</v>
      </c>
    </row>
    <row r="1476" spans="1:8" x14ac:dyDescent="0.25">
      <c r="A1476" s="78" t="s">
        <v>3659</v>
      </c>
      <c r="B1476" s="79" t="s">
        <v>3661</v>
      </c>
      <c r="C1476" s="14"/>
      <c r="D1476" s="1001"/>
      <c r="E1476" s="74"/>
      <c r="F1476" s="75"/>
      <c r="G1476" s="76"/>
      <c r="H1476" s="77"/>
    </row>
    <row r="1477" spans="1:8" x14ac:dyDescent="0.25">
      <c r="A1477" s="85" t="s">
        <v>3660</v>
      </c>
      <c r="B1477" s="88" t="s">
        <v>3511</v>
      </c>
      <c r="C1477" s="26" t="s">
        <v>37</v>
      </c>
      <c r="D1477" s="68">
        <v>106700</v>
      </c>
      <c r="E1477" s="74">
        <v>0.05</v>
      </c>
      <c r="F1477" s="129">
        <f t="shared" ref="F1477:F1488" si="232">+D1477+D1477*E1477</f>
        <v>112035</v>
      </c>
      <c r="G1477" s="130">
        <f t="shared" ref="G1477:G1488" si="233">F1477*0.19</f>
        <v>21286.65</v>
      </c>
      <c r="H1477" s="131">
        <f t="shared" ref="H1477:H1488" si="234">ROUND((F1477+G1477),0)</f>
        <v>133322</v>
      </c>
    </row>
    <row r="1478" spans="1:8" x14ac:dyDescent="0.25">
      <c r="A1478" s="85" t="s">
        <v>3662</v>
      </c>
      <c r="B1478" s="88" t="s">
        <v>3512</v>
      </c>
      <c r="C1478" s="26" t="s">
        <v>37</v>
      </c>
      <c r="D1478" s="68">
        <v>156200</v>
      </c>
      <c r="E1478" s="74">
        <v>0.05</v>
      </c>
      <c r="F1478" s="129">
        <f t="shared" si="232"/>
        <v>164010</v>
      </c>
      <c r="G1478" s="130">
        <f t="shared" si="233"/>
        <v>31161.9</v>
      </c>
      <c r="H1478" s="131">
        <f t="shared" si="234"/>
        <v>195172</v>
      </c>
    </row>
    <row r="1479" spans="1:8" x14ac:dyDescent="0.25">
      <c r="A1479" s="85" t="s">
        <v>3663</v>
      </c>
      <c r="B1479" s="88" t="s">
        <v>3510</v>
      </c>
      <c r="C1479" s="26" t="s">
        <v>37</v>
      </c>
      <c r="D1479" s="68">
        <v>298100</v>
      </c>
      <c r="E1479" s="74">
        <v>0.05</v>
      </c>
      <c r="F1479" s="129">
        <f t="shared" si="232"/>
        <v>313005</v>
      </c>
      <c r="G1479" s="130">
        <f t="shared" si="233"/>
        <v>59470.95</v>
      </c>
      <c r="H1479" s="131">
        <f t="shared" si="234"/>
        <v>372476</v>
      </c>
    </row>
    <row r="1480" spans="1:8" x14ac:dyDescent="0.25">
      <c r="A1480" s="85" t="s">
        <v>3664</v>
      </c>
      <c r="B1480" s="88" t="s">
        <v>7818</v>
      </c>
      <c r="C1480" s="26" t="s">
        <v>37</v>
      </c>
      <c r="D1480" s="68">
        <v>400400</v>
      </c>
      <c r="E1480" s="74">
        <v>0.05</v>
      </c>
      <c r="F1480" s="129">
        <f t="shared" si="232"/>
        <v>420420</v>
      </c>
      <c r="G1480" s="130">
        <f t="shared" si="233"/>
        <v>79879.8</v>
      </c>
      <c r="H1480" s="131">
        <f t="shared" si="234"/>
        <v>500300</v>
      </c>
    </row>
    <row r="1481" spans="1:8" x14ac:dyDescent="0.25">
      <c r="A1481" s="85" t="s">
        <v>3665</v>
      </c>
      <c r="B1481" s="88" t="s">
        <v>3513</v>
      </c>
      <c r="C1481" s="26" t="s">
        <v>37</v>
      </c>
      <c r="D1481" s="68">
        <v>763400</v>
      </c>
      <c r="E1481" s="74">
        <v>0.05</v>
      </c>
      <c r="F1481" s="129">
        <f t="shared" si="232"/>
        <v>801570</v>
      </c>
      <c r="G1481" s="130">
        <f t="shared" si="233"/>
        <v>152298.29999999999</v>
      </c>
      <c r="H1481" s="131">
        <f t="shared" si="234"/>
        <v>953868</v>
      </c>
    </row>
    <row r="1482" spans="1:8" x14ac:dyDescent="0.25">
      <c r="A1482" s="85" t="s">
        <v>3666</v>
      </c>
      <c r="B1482" s="88" t="s">
        <v>7298</v>
      </c>
      <c r="C1482" s="26" t="s">
        <v>37</v>
      </c>
      <c r="D1482" s="68">
        <v>994400</v>
      </c>
      <c r="E1482" s="74">
        <v>0.05</v>
      </c>
      <c r="F1482" s="129">
        <f t="shared" si="232"/>
        <v>1044120</v>
      </c>
      <c r="G1482" s="130">
        <f t="shared" si="233"/>
        <v>198382.8</v>
      </c>
      <c r="H1482" s="131">
        <f t="shared" si="234"/>
        <v>1242503</v>
      </c>
    </row>
    <row r="1483" spans="1:8" x14ac:dyDescent="0.25">
      <c r="A1483" s="85" t="s">
        <v>3667</v>
      </c>
      <c r="B1483" s="88" t="s">
        <v>3516</v>
      </c>
      <c r="C1483" s="26" t="s">
        <v>37</v>
      </c>
      <c r="D1483" s="68">
        <v>1478400</v>
      </c>
      <c r="E1483" s="74">
        <v>0.05</v>
      </c>
      <c r="F1483" s="129">
        <f t="shared" si="232"/>
        <v>1552320</v>
      </c>
      <c r="G1483" s="130">
        <f t="shared" si="233"/>
        <v>294940.79999999999</v>
      </c>
      <c r="H1483" s="131">
        <f t="shared" si="234"/>
        <v>1847261</v>
      </c>
    </row>
    <row r="1484" spans="1:8" x14ac:dyDescent="0.25">
      <c r="A1484" s="85" t="s">
        <v>3668</v>
      </c>
      <c r="B1484" s="88" t="s">
        <v>7470</v>
      </c>
      <c r="C1484" s="26" t="s">
        <v>37</v>
      </c>
      <c r="D1484" s="68">
        <v>1950300</v>
      </c>
      <c r="E1484" s="74">
        <v>0.05</v>
      </c>
      <c r="F1484" s="129">
        <f t="shared" si="232"/>
        <v>2047815</v>
      </c>
      <c r="G1484" s="130">
        <f t="shared" si="233"/>
        <v>389084.85</v>
      </c>
      <c r="H1484" s="131">
        <f t="shared" si="234"/>
        <v>2436900</v>
      </c>
    </row>
    <row r="1485" spans="1:8" x14ac:dyDescent="0.25">
      <c r="A1485" s="85" t="s">
        <v>3669</v>
      </c>
      <c r="B1485" s="88" t="s">
        <v>7625</v>
      </c>
      <c r="C1485" s="26" t="s">
        <v>37</v>
      </c>
      <c r="D1485" s="68">
        <v>2401300</v>
      </c>
      <c r="E1485" s="74">
        <v>0.05</v>
      </c>
      <c r="F1485" s="129">
        <f t="shared" si="232"/>
        <v>2521365</v>
      </c>
      <c r="G1485" s="130">
        <f t="shared" si="233"/>
        <v>479059.35</v>
      </c>
      <c r="H1485" s="131">
        <f t="shared" si="234"/>
        <v>3000424</v>
      </c>
    </row>
    <row r="1486" spans="1:8" x14ac:dyDescent="0.25">
      <c r="A1486" s="85" t="s">
        <v>3670</v>
      </c>
      <c r="B1486" s="88" t="s">
        <v>3519</v>
      </c>
      <c r="C1486" s="26" t="s">
        <v>37</v>
      </c>
      <c r="D1486" s="68">
        <v>3049200</v>
      </c>
      <c r="E1486" s="74">
        <v>0.05</v>
      </c>
      <c r="F1486" s="129">
        <f t="shared" si="232"/>
        <v>3201660</v>
      </c>
      <c r="G1486" s="130">
        <f t="shared" si="233"/>
        <v>608315.4</v>
      </c>
      <c r="H1486" s="131">
        <f t="shared" si="234"/>
        <v>3809975</v>
      </c>
    </row>
    <row r="1487" spans="1:8" x14ac:dyDescent="0.25">
      <c r="A1487" s="85" t="s">
        <v>3671</v>
      </c>
      <c r="B1487" s="88" t="s">
        <v>3520</v>
      </c>
      <c r="C1487" s="26" t="s">
        <v>37</v>
      </c>
      <c r="D1487" s="68">
        <v>4049100</v>
      </c>
      <c r="E1487" s="74">
        <v>0.05</v>
      </c>
      <c r="F1487" s="129">
        <f t="shared" si="232"/>
        <v>4251555</v>
      </c>
      <c r="G1487" s="130">
        <f t="shared" si="233"/>
        <v>807795.45</v>
      </c>
      <c r="H1487" s="131">
        <f t="shared" si="234"/>
        <v>5059350</v>
      </c>
    </row>
    <row r="1488" spans="1:8" x14ac:dyDescent="0.25">
      <c r="A1488" s="85" t="s">
        <v>3672</v>
      </c>
      <c r="B1488" s="88" t="s">
        <v>3509</v>
      </c>
      <c r="C1488" s="26" t="s">
        <v>37</v>
      </c>
      <c r="D1488" s="68">
        <v>5958700</v>
      </c>
      <c r="E1488" s="74">
        <v>0.05</v>
      </c>
      <c r="F1488" s="129">
        <f t="shared" si="232"/>
        <v>6256635</v>
      </c>
      <c r="G1488" s="130">
        <f t="shared" si="233"/>
        <v>1188760.6499999999</v>
      </c>
      <c r="H1488" s="131">
        <f t="shared" si="234"/>
        <v>7445396</v>
      </c>
    </row>
    <row r="1489" spans="1:8" x14ac:dyDescent="0.25">
      <c r="A1489" s="78" t="s">
        <v>3673</v>
      </c>
      <c r="B1489" s="79" t="s">
        <v>3674</v>
      </c>
      <c r="C1489" s="14"/>
      <c r="D1489" s="1001"/>
      <c r="E1489" s="74"/>
      <c r="F1489" s="75"/>
      <c r="G1489" s="76"/>
      <c r="H1489" s="77"/>
    </row>
    <row r="1490" spans="1:8" x14ac:dyDescent="0.25">
      <c r="A1490" s="78" t="s">
        <v>3675</v>
      </c>
      <c r="B1490" s="79" t="s">
        <v>3676</v>
      </c>
      <c r="C1490" s="14"/>
      <c r="D1490" s="1001"/>
      <c r="E1490" s="74"/>
      <c r="F1490" s="75"/>
      <c r="G1490" s="76"/>
      <c r="H1490" s="77"/>
    </row>
    <row r="1491" spans="1:8" x14ac:dyDescent="0.25">
      <c r="A1491" s="85" t="s">
        <v>3738</v>
      </c>
      <c r="B1491" s="81" t="s">
        <v>3677</v>
      </c>
      <c r="C1491" s="26" t="s">
        <v>37</v>
      </c>
      <c r="D1491" s="68">
        <v>123200</v>
      </c>
      <c r="E1491" s="74">
        <v>0.05</v>
      </c>
      <c r="F1491" s="129">
        <f t="shared" ref="F1491:F1554" si="235">+D1491+D1491*E1491</f>
        <v>129360</v>
      </c>
      <c r="G1491" s="130">
        <f t="shared" ref="G1491:G1522" si="236">F1491*0.19</f>
        <v>24578.400000000001</v>
      </c>
      <c r="H1491" s="131">
        <f t="shared" ref="H1491:H1554" si="237">ROUND((F1491+G1491),0)</f>
        <v>153938</v>
      </c>
    </row>
    <row r="1492" spans="1:8" x14ac:dyDescent="0.25">
      <c r="A1492" s="85" t="s">
        <v>3739</v>
      </c>
      <c r="B1492" s="81" t="s">
        <v>3678</v>
      </c>
      <c r="C1492" s="26" t="s">
        <v>37</v>
      </c>
      <c r="D1492" s="68">
        <v>149600</v>
      </c>
      <c r="E1492" s="74">
        <v>0.05</v>
      </c>
      <c r="F1492" s="129">
        <f t="shared" si="235"/>
        <v>157080</v>
      </c>
      <c r="G1492" s="130">
        <f t="shared" si="236"/>
        <v>29845.200000000001</v>
      </c>
      <c r="H1492" s="131">
        <f t="shared" si="237"/>
        <v>186925</v>
      </c>
    </row>
    <row r="1493" spans="1:8" x14ac:dyDescent="0.25">
      <c r="A1493" s="85" t="s">
        <v>3740</v>
      </c>
      <c r="B1493" s="81" t="s">
        <v>3679</v>
      </c>
      <c r="C1493" s="26" t="s">
        <v>37</v>
      </c>
      <c r="D1493" s="68">
        <v>158400</v>
      </c>
      <c r="E1493" s="74">
        <v>0.05</v>
      </c>
      <c r="F1493" s="129">
        <f t="shared" si="235"/>
        <v>166320</v>
      </c>
      <c r="G1493" s="130">
        <f t="shared" si="236"/>
        <v>31600.799999999999</v>
      </c>
      <c r="H1493" s="131">
        <f t="shared" si="237"/>
        <v>197921</v>
      </c>
    </row>
    <row r="1494" spans="1:8" x14ac:dyDescent="0.25">
      <c r="A1494" s="85" t="s">
        <v>3741</v>
      </c>
      <c r="B1494" s="81" t="s">
        <v>3680</v>
      </c>
      <c r="C1494" s="26" t="s">
        <v>37</v>
      </c>
      <c r="D1494" s="68">
        <v>167200</v>
      </c>
      <c r="E1494" s="74">
        <v>0.05</v>
      </c>
      <c r="F1494" s="129">
        <f t="shared" si="235"/>
        <v>175560</v>
      </c>
      <c r="G1494" s="130">
        <f t="shared" si="236"/>
        <v>33356.400000000001</v>
      </c>
      <c r="H1494" s="131">
        <f t="shared" si="237"/>
        <v>208916</v>
      </c>
    </row>
    <row r="1495" spans="1:8" x14ac:dyDescent="0.25">
      <c r="A1495" s="85" t="s">
        <v>3742</v>
      </c>
      <c r="B1495" s="81" t="s">
        <v>3681</v>
      </c>
      <c r="C1495" s="26" t="s">
        <v>37</v>
      </c>
      <c r="D1495" s="68">
        <v>184800</v>
      </c>
      <c r="E1495" s="74">
        <v>0.05</v>
      </c>
      <c r="F1495" s="129">
        <f t="shared" si="235"/>
        <v>194040</v>
      </c>
      <c r="G1495" s="130">
        <f t="shared" si="236"/>
        <v>36867.599999999999</v>
      </c>
      <c r="H1495" s="131">
        <f t="shared" si="237"/>
        <v>230908</v>
      </c>
    </row>
    <row r="1496" spans="1:8" x14ac:dyDescent="0.25">
      <c r="A1496" s="85" t="s">
        <v>3743</v>
      </c>
      <c r="B1496" s="81" t="s">
        <v>3682</v>
      </c>
      <c r="C1496" s="26" t="s">
        <v>37</v>
      </c>
      <c r="D1496" s="68">
        <v>245300</v>
      </c>
      <c r="E1496" s="74">
        <v>0.05</v>
      </c>
      <c r="F1496" s="129">
        <f t="shared" si="235"/>
        <v>257565</v>
      </c>
      <c r="G1496" s="130">
        <f t="shared" si="236"/>
        <v>48937.35</v>
      </c>
      <c r="H1496" s="131">
        <f t="shared" si="237"/>
        <v>306502</v>
      </c>
    </row>
    <row r="1497" spans="1:8" x14ac:dyDescent="0.25">
      <c r="A1497" s="85" t="s">
        <v>3744</v>
      </c>
      <c r="B1497" s="81" t="s">
        <v>7819</v>
      </c>
      <c r="C1497" s="26" t="s">
        <v>37</v>
      </c>
      <c r="D1497" s="68">
        <v>315700</v>
      </c>
      <c r="E1497" s="74">
        <v>0.05</v>
      </c>
      <c r="F1497" s="129">
        <f t="shared" si="235"/>
        <v>331485</v>
      </c>
      <c r="G1497" s="130">
        <f t="shared" si="236"/>
        <v>62982.15</v>
      </c>
      <c r="H1497" s="131">
        <f t="shared" si="237"/>
        <v>394467</v>
      </c>
    </row>
    <row r="1498" spans="1:8" x14ac:dyDescent="0.25">
      <c r="A1498" s="85" t="s">
        <v>3745</v>
      </c>
      <c r="B1498" s="81" t="s">
        <v>7820</v>
      </c>
      <c r="C1498" s="26" t="s">
        <v>37</v>
      </c>
      <c r="D1498" s="68">
        <v>333300</v>
      </c>
      <c r="E1498" s="74">
        <v>0.05</v>
      </c>
      <c r="F1498" s="129">
        <f t="shared" si="235"/>
        <v>349965</v>
      </c>
      <c r="G1498" s="130">
        <f t="shared" si="236"/>
        <v>66493.350000000006</v>
      </c>
      <c r="H1498" s="131">
        <f t="shared" si="237"/>
        <v>416458</v>
      </c>
    </row>
    <row r="1499" spans="1:8" x14ac:dyDescent="0.25">
      <c r="A1499" s="85" t="s">
        <v>3746</v>
      </c>
      <c r="B1499" s="81" t="s">
        <v>7821</v>
      </c>
      <c r="C1499" s="26" t="s">
        <v>37</v>
      </c>
      <c r="D1499" s="68">
        <v>350900</v>
      </c>
      <c r="E1499" s="74">
        <v>0.05</v>
      </c>
      <c r="F1499" s="129">
        <f t="shared" si="235"/>
        <v>368445</v>
      </c>
      <c r="G1499" s="130">
        <f t="shared" si="236"/>
        <v>70004.55</v>
      </c>
      <c r="H1499" s="131">
        <f t="shared" si="237"/>
        <v>438450</v>
      </c>
    </row>
    <row r="1500" spans="1:8" x14ac:dyDescent="0.25">
      <c r="A1500" s="85" t="s">
        <v>3747</v>
      </c>
      <c r="B1500" s="81" t="s">
        <v>7822</v>
      </c>
      <c r="C1500" s="26" t="s">
        <v>37</v>
      </c>
      <c r="D1500" s="68">
        <v>490600</v>
      </c>
      <c r="E1500" s="74">
        <v>0.05</v>
      </c>
      <c r="F1500" s="129">
        <f t="shared" si="235"/>
        <v>515130</v>
      </c>
      <c r="G1500" s="130">
        <f t="shared" si="236"/>
        <v>97874.7</v>
      </c>
      <c r="H1500" s="131">
        <f t="shared" si="237"/>
        <v>613005</v>
      </c>
    </row>
    <row r="1501" spans="1:8" x14ac:dyDescent="0.25">
      <c r="A1501" s="85" t="s">
        <v>3748</v>
      </c>
      <c r="B1501" s="81" t="s">
        <v>3687</v>
      </c>
      <c r="C1501" s="26" t="s">
        <v>37</v>
      </c>
      <c r="D1501" s="68">
        <v>523600</v>
      </c>
      <c r="E1501" s="74">
        <v>0.05</v>
      </c>
      <c r="F1501" s="129">
        <f t="shared" si="235"/>
        <v>549780</v>
      </c>
      <c r="G1501" s="130">
        <f t="shared" si="236"/>
        <v>104458.2</v>
      </c>
      <c r="H1501" s="131">
        <f t="shared" si="237"/>
        <v>654238</v>
      </c>
    </row>
    <row r="1502" spans="1:8" x14ac:dyDescent="0.25">
      <c r="A1502" s="85" t="s">
        <v>3749</v>
      </c>
      <c r="B1502" s="81" t="s">
        <v>3688</v>
      </c>
      <c r="C1502" s="26" t="s">
        <v>37</v>
      </c>
      <c r="D1502" s="68">
        <v>577500</v>
      </c>
      <c r="E1502" s="74">
        <v>0.05</v>
      </c>
      <c r="F1502" s="129">
        <f t="shared" si="235"/>
        <v>606375</v>
      </c>
      <c r="G1502" s="130">
        <f t="shared" si="236"/>
        <v>115211.25</v>
      </c>
      <c r="H1502" s="131">
        <f t="shared" si="237"/>
        <v>721586</v>
      </c>
    </row>
    <row r="1503" spans="1:8" x14ac:dyDescent="0.25">
      <c r="A1503" s="85" t="s">
        <v>3750</v>
      </c>
      <c r="B1503" s="81" t="s">
        <v>7823</v>
      </c>
      <c r="C1503" s="26" t="s">
        <v>37</v>
      </c>
      <c r="D1503" s="68">
        <v>694100</v>
      </c>
      <c r="E1503" s="74">
        <v>0.05</v>
      </c>
      <c r="F1503" s="129">
        <f t="shared" si="235"/>
        <v>728805</v>
      </c>
      <c r="G1503" s="130">
        <f t="shared" si="236"/>
        <v>138472.95000000001</v>
      </c>
      <c r="H1503" s="131">
        <f t="shared" si="237"/>
        <v>867278</v>
      </c>
    </row>
    <row r="1504" spans="1:8" x14ac:dyDescent="0.25">
      <c r="A1504" s="85" t="s">
        <v>3751</v>
      </c>
      <c r="B1504" s="81" t="s">
        <v>3690</v>
      </c>
      <c r="C1504" s="26" t="s">
        <v>37</v>
      </c>
      <c r="D1504" s="68">
        <v>815100</v>
      </c>
      <c r="E1504" s="74">
        <v>0.05</v>
      </c>
      <c r="F1504" s="129">
        <f t="shared" si="235"/>
        <v>855855</v>
      </c>
      <c r="G1504" s="130">
        <f t="shared" si="236"/>
        <v>162612.45000000001</v>
      </c>
      <c r="H1504" s="131">
        <f t="shared" si="237"/>
        <v>1018467</v>
      </c>
    </row>
    <row r="1505" spans="1:8" x14ac:dyDescent="0.25">
      <c r="A1505" s="85" t="s">
        <v>3752</v>
      </c>
      <c r="B1505" s="81" t="s">
        <v>7299</v>
      </c>
      <c r="C1505" s="26" t="s">
        <v>37</v>
      </c>
      <c r="D1505" s="68">
        <v>869000</v>
      </c>
      <c r="E1505" s="74">
        <v>0.05</v>
      </c>
      <c r="F1505" s="129">
        <f t="shared" si="235"/>
        <v>912450</v>
      </c>
      <c r="G1505" s="130">
        <f t="shared" si="236"/>
        <v>173365.5</v>
      </c>
      <c r="H1505" s="131">
        <f t="shared" si="237"/>
        <v>1085816</v>
      </c>
    </row>
    <row r="1506" spans="1:8" x14ac:dyDescent="0.25">
      <c r="A1506" s="85" t="s">
        <v>3753</v>
      </c>
      <c r="B1506" s="81" t="s">
        <v>7300</v>
      </c>
      <c r="C1506" s="26" t="s">
        <v>37</v>
      </c>
      <c r="D1506" s="68">
        <v>905300</v>
      </c>
      <c r="E1506" s="74">
        <v>0.05</v>
      </c>
      <c r="F1506" s="129">
        <f t="shared" si="235"/>
        <v>950565</v>
      </c>
      <c r="G1506" s="130">
        <f t="shared" si="236"/>
        <v>180607.35</v>
      </c>
      <c r="H1506" s="131">
        <f t="shared" si="237"/>
        <v>1131172</v>
      </c>
    </row>
    <row r="1507" spans="1:8" x14ac:dyDescent="0.25">
      <c r="A1507" s="85" t="s">
        <v>3754</v>
      </c>
      <c r="B1507" s="81" t="s">
        <v>7824</v>
      </c>
      <c r="C1507" s="26" t="s">
        <v>37</v>
      </c>
      <c r="D1507" s="68">
        <v>1067000</v>
      </c>
      <c r="E1507" s="74">
        <v>0.05</v>
      </c>
      <c r="F1507" s="129">
        <f t="shared" si="235"/>
        <v>1120350</v>
      </c>
      <c r="G1507" s="130">
        <f t="shared" si="236"/>
        <v>212866.5</v>
      </c>
      <c r="H1507" s="131">
        <f t="shared" si="237"/>
        <v>1333217</v>
      </c>
    </row>
    <row r="1508" spans="1:8" x14ac:dyDescent="0.25">
      <c r="A1508" s="85" t="s">
        <v>3755</v>
      </c>
      <c r="B1508" s="81" t="s">
        <v>7301</v>
      </c>
      <c r="C1508" s="26" t="s">
        <v>37</v>
      </c>
      <c r="D1508" s="68">
        <v>1291400</v>
      </c>
      <c r="E1508" s="74">
        <v>0.05</v>
      </c>
      <c r="F1508" s="129">
        <f t="shared" si="235"/>
        <v>1355970</v>
      </c>
      <c r="G1508" s="130">
        <f t="shared" si="236"/>
        <v>257634.30000000002</v>
      </c>
      <c r="H1508" s="131">
        <f t="shared" si="237"/>
        <v>1613604</v>
      </c>
    </row>
    <row r="1509" spans="1:8" x14ac:dyDescent="0.25">
      <c r="A1509" s="85" t="s">
        <v>3756</v>
      </c>
      <c r="B1509" s="81" t="s">
        <v>7302</v>
      </c>
      <c r="C1509" s="26" t="s">
        <v>37</v>
      </c>
      <c r="D1509" s="68">
        <v>1645600</v>
      </c>
      <c r="E1509" s="74">
        <v>0.05</v>
      </c>
      <c r="F1509" s="129">
        <f t="shared" si="235"/>
        <v>1727880</v>
      </c>
      <c r="G1509" s="130">
        <f t="shared" si="236"/>
        <v>328297.2</v>
      </c>
      <c r="H1509" s="131">
        <f t="shared" si="237"/>
        <v>2056177</v>
      </c>
    </row>
    <row r="1510" spans="1:8" x14ac:dyDescent="0.25">
      <c r="A1510" s="85" t="s">
        <v>3757</v>
      </c>
      <c r="B1510" s="81" t="s">
        <v>3696</v>
      </c>
      <c r="C1510" s="26" t="s">
        <v>37</v>
      </c>
      <c r="D1510" s="68">
        <v>1338700</v>
      </c>
      <c r="E1510" s="74">
        <v>0.05</v>
      </c>
      <c r="F1510" s="129">
        <f t="shared" si="235"/>
        <v>1405635</v>
      </c>
      <c r="G1510" s="130">
        <f t="shared" si="236"/>
        <v>267070.65000000002</v>
      </c>
      <c r="H1510" s="131">
        <f t="shared" si="237"/>
        <v>1672706</v>
      </c>
    </row>
    <row r="1511" spans="1:8" x14ac:dyDescent="0.25">
      <c r="A1511" s="85" t="s">
        <v>3758</v>
      </c>
      <c r="B1511" s="81" t="s">
        <v>3697</v>
      </c>
      <c r="C1511" s="26" t="s">
        <v>37</v>
      </c>
      <c r="D1511" s="68">
        <v>1358500</v>
      </c>
      <c r="E1511" s="74">
        <v>0.05</v>
      </c>
      <c r="F1511" s="129">
        <f t="shared" si="235"/>
        <v>1426425</v>
      </c>
      <c r="G1511" s="130">
        <f t="shared" si="236"/>
        <v>271020.75</v>
      </c>
      <c r="H1511" s="131">
        <f t="shared" si="237"/>
        <v>1697446</v>
      </c>
    </row>
    <row r="1512" spans="1:8" x14ac:dyDescent="0.25">
      <c r="A1512" s="85" t="s">
        <v>3759</v>
      </c>
      <c r="B1512" s="81" t="s">
        <v>7825</v>
      </c>
      <c r="C1512" s="26" t="s">
        <v>37</v>
      </c>
      <c r="D1512" s="68">
        <v>1303500</v>
      </c>
      <c r="E1512" s="74">
        <v>0.05</v>
      </c>
      <c r="F1512" s="129">
        <f t="shared" si="235"/>
        <v>1368675</v>
      </c>
      <c r="G1512" s="130">
        <f t="shared" si="236"/>
        <v>260048.25</v>
      </c>
      <c r="H1512" s="131">
        <f t="shared" si="237"/>
        <v>1628723</v>
      </c>
    </row>
    <row r="1513" spans="1:8" x14ac:dyDescent="0.25">
      <c r="A1513" s="85" t="s">
        <v>3760</v>
      </c>
      <c r="B1513" s="81" t="s">
        <v>3699</v>
      </c>
      <c r="C1513" s="26" t="s">
        <v>37</v>
      </c>
      <c r="D1513" s="68">
        <v>1475100</v>
      </c>
      <c r="E1513" s="74">
        <v>0.05</v>
      </c>
      <c r="F1513" s="129">
        <f t="shared" si="235"/>
        <v>1548855</v>
      </c>
      <c r="G1513" s="130">
        <f t="shared" si="236"/>
        <v>294282.45</v>
      </c>
      <c r="H1513" s="131">
        <f t="shared" si="237"/>
        <v>1843137</v>
      </c>
    </row>
    <row r="1514" spans="1:8" x14ac:dyDescent="0.25">
      <c r="A1514" s="85" t="s">
        <v>3761</v>
      </c>
      <c r="B1514" s="81" t="s">
        <v>7303</v>
      </c>
      <c r="C1514" s="26" t="s">
        <v>37</v>
      </c>
      <c r="D1514" s="68">
        <v>1832600</v>
      </c>
      <c r="E1514" s="74">
        <v>0.05</v>
      </c>
      <c r="F1514" s="129">
        <f t="shared" si="235"/>
        <v>1924230</v>
      </c>
      <c r="G1514" s="130">
        <f t="shared" si="236"/>
        <v>365603.7</v>
      </c>
      <c r="H1514" s="131">
        <f t="shared" si="237"/>
        <v>2289834</v>
      </c>
    </row>
    <row r="1515" spans="1:8" x14ac:dyDescent="0.25">
      <c r="A1515" s="85" t="s">
        <v>3762</v>
      </c>
      <c r="B1515" s="81" t="s">
        <v>3701</v>
      </c>
      <c r="C1515" s="26" t="s">
        <v>37</v>
      </c>
      <c r="D1515" s="68">
        <v>2251700</v>
      </c>
      <c r="E1515" s="74">
        <v>0.05</v>
      </c>
      <c r="F1515" s="129">
        <f t="shared" si="235"/>
        <v>2364285</v>
      </c>
      <c r="G1515" s="130">
        <f t="shared" si="236"/>
        <v>449214.15</v>
      </c>
      <c r="H1515" s="131">
        <f t="shared" si="237"/>
        <v>2813499</v>
      </c>
    </row>
    <row r="1516" spans="1:8" x14ac:dyDescent="0.25">
      <c r="A1516" s="85" t="s">
        <v>3763</v>
      </c>
      <c r="B1516" s="81" t="s">
        <v>7471</v>
      </c>
      <c r="C1516" s="26" t="s">
        <v>37</v>
      </c>
      <c r="D1516" s="68">
        <v>1863400</v>
      </c>
      <c r="E1516" s="74">
        <v>0.05</v>
      </c>
      <c r="F1516" s="129">
        <f t="shared" si="235"/>
        <v>1956570</v>
      </c>
      <c r="G1516" s="130">
        <f t="shared" si="236"/>
        <v>371748.3</v>
      </c>
      <c r="H1516" s="131">
        <f t="shared" si="237"/>
        <v>2328318</v>
      </c>
    </row>
    <row r="1517" spans="1:8" x14ac:dyDescent="0.25">
      <c r="A1517" s="85" t="s">
        <v>3764</v>
      </c>
      <c r="B1517" s="81" t="s">
        <v>7472</v>
      </c>
      <c r="C1517" s="26" t="s">
        <v>37</v>
      </c>
      <c r="D1517" s="68">
        <v>2290200</v>
      </c>
      <c r="E1517" s="74">
        <v>0.05</v>
      </c>
      <c r="F1517" s="129">
        <f t="shared" si="235"/>
        <v>2404710</v>
      </c>
      <c r="G1517" s="130">
        <f t="shared" si="236"/>
        <v>456894.9</v>
      </c>
      <c r="H1517" s="131">
        <f t="shared" si="237"/>
        <v>2861605</v>
      </c>
    </row>
    <row r="1518" spans="1:8" x14ac:dyDescent="0.25">
      <c r="A1518" s="85" t="s">
        <v>3765</v>
      </c>
      <c r="B1518" s="81" t="s">
        <v>7826</v>
      </c>
      <c r="C1518" s="26" t="s">
        <v>37</v>
      </c>
      <c r="D1518" s="68">
        <v>2290200</v>
      </c>
      <c r="E1518" s="74">
        <v>0.05</v>
      </c>
      <c r="F1518" s="129">
        <f t="shared" si="235"/>
        <v>2404710</v>
      </c>
      <c r="G1518" s="130">
        <f t="shared" si="236"/>
        <v>456894.9</v>
      </c>
      <c r="H1518" s="131">
        <f t="shared" si="237"/>
        <v>2861605</v>
      </c>
    </row>
    <row r="1519" spans="1:8" x14ac:dyDescent="0.25">
      <c r="A1519" s="85" t="s">
        <v>3766</v>
      </c>
      <c r="B1519" s="81" t="s">
        <v>7473</v>
      </c>
      <c r="C1519" s="26" t="s">
        <v>37</v>
      </c>
      <c r="D1519" s="68">
        <v>2310000</v>
      </c>
      <c r="E1519" s="74">
        <v>0.05</v>
      </c>
      <c r="F1519" s="129">
        <f t="shared" si="235"/>
        <v>2425500</v>
      </c>
      <c r="G1519" s="130">
        <f t="shared" si="236"/>
        <v>460845</v>
      </c>
      <c r="H1519" s="131">
        <f t="shared" si="237"/>
        <v>2886345</v>
      </c>
    </row>
    <row r="1520" spans="1:8" x14ac:dyDescent="0.25">
      <c r="A1520" s="85" t="s">
        <v>3767</v>
      </c>
      <c r="B1520" s="81" t="s">
        <v>7474</v>
      </c>
      <c r="C1520" s="26" t="s">
        <v>37</v>
      </c>
      <c r="D1520" s="68">
        <v>2420000</v>
      </c>
      <c r="E1520" s="74">
        <v>0.05</v>
      </c>
      <c r="F1520" s="129">
        <f t="shared" si="235"/>
        <v>2541000</v>
      </c>
      <c r="G1520" s="130">
        <f t="shared" si="236"/>
        <v>482790</v>
      </c>
      <c r="H1520" s="131">
        <f t="shared" si="237"/>
        <v>3023790</v>
      </c>
    </row>
    <row r="1521" spans="1:8" x14ac:dyDescent="0.25">
      <c r="A1521" s="85" t="s">
        <v>3768</v>
      </c>
      <c r="B1521" s="81" t="s">
        <v>7475</v>
      </c>
      <c r="C1521" s="26" t="s">
        <v>37</v>
      </c>
      <c r="D1521" s="68">
        <v>2695000</v>
      </c>
      <c r="E1521" s="74">
        <v>0.05</v>
      </c>
      <c r="F1521" s="129">
        <f t="shared" si="235"/>
        <v>2829750</v>
      </c>
      <c r="G1521" s="130">
        <f t="shared" si="236"/>
        <v>537652.5</v>
      </c>
      <c r="H1521" s="131">
        <f t="shared" si="237"/>
        <v>3367403</v>
      </c>
    </row>
    <row r="1522" spans="1:8" x14ac:dyDescent="0.25">
      <c r="A1522" s="85" t="s">
        <v>3769</v>
      </c>
      <c r="B1522" s="81" t="s">
        <v>7476</v>
      </c>
      <c r="C1522" s="26" t="s">
        <v>37</v>
      </c>
      <c r="D1522" s="68">
        <v>2876500</v>
      </c>
      <c r="E1522" s="74">
        <v>0.05</v>
      </c>
      <c r="F1522" s="129">
        <f t="shared" si="235"/>
        <v>3020325</v>
      </c>
      <c r="G1522" s="130">
        <f t="shared" si="236"/>
        <v>573861.75</v>
      </c>
      <c r="H1522" s="131">
        <f t="shared" si="237"/>
        <v>3594187</v>
      </c>
    </row>
    <row r="1523" spans="1:8" x14ac:dyDescent="0.25">
      <c r="A1523" s="85" t="s">
        <v>3770</v>
      </c>
      <c r="B1523" s="81" t="s">
        <v>7626</v>
      </c>
      <c r="C1523" s="26" t="s">
        <v>37</v>
      </c>
      <c r="D1523" s="68">
        <v>2054800</v>
      </c>
      <c r="E1523" s="74">
        <v>0.05</v>
      </c>
      <c r="F1523" s="129">
        <f t="shared" si="235"/>
        <v>2157540</v>
      </c>
      <c r="G1523" s="130">
        <f t="shared" ref="G1523:G1550" si="238">F1523*0.19</f>
        <v>409932.6</v>
      </c>
      <c r="H1523" s="131">
        <f t="shared" si="237"/>
        <v>2567473</v>
      </c>
    </row>
    <row r="1524" spans="1:8" x14ac:dyDescent="0.25">
      <c r="A1524" s="85" t="s">
        <v>3771</v>
      </c>
      <c r="B1524" s="81" t="s">
        <v>7827</v>
      </c>
      <c r="C1524" s="26" t="s">
        <v>37</v>
      </c>
      <c r="D1524" s="68">
        <v>2445300</v>
      </c>
      <c r="E1524" s="74">
        <v>0.05</v>
      </c>
      <c r="F1524" s="129">
        <f t="shared" si="235"/>
        <v>2567565</v>
      </c>
      <c r="G1524" s="130">
        <f t="shared" si="238"/>
        <v>487837.35</v>
      </c>
      <c r="H1524" s="131">
        <f t="shared" si="237"/>
        <v>3055402</v>
      </c>
    </row>
    <row r="1525" spans="1:8" x14ac:dyDescent="0.25">
      <c r="A1525" s="85" t="s">
        <v>3772</v>
      </c>
      <c r="B1525" s="81" t="s">
        <v>7627</v>
      </c>
      <c r="C1525" s="26" t="s">
        <v>37</v>
      </c>
      <c r="D1525" s="68">
        <v>2743400</v>
      </c>
      <c r="E1525" s="74">
        <v>0.05</v>
      </c>
      <c r="F1525" s="129">
        <f t="shared" si="235"/>
        <v>2880570</v>
      </c>
      <c r="G1525" s="130">
        <f t="shared" si="238"/>
        <v>547308.30000000005</v>
      </c>
      <c r="H1525" s="131">
        <f t="shared" si="237"/>
        <v>3427878</v>
      </c>
    </row>
    <row r="1526" spans="1:8" x14ac:dyDescent="0.25">
      <c r="A1526" s="85" t="s">
        <v>3773</v>
      </c>
      <c r="B1526" s="81" t="s">
        <v>7628</v>
      </c>
      <c r="C1526" s="26" t="s">
        <v>37</v>
      </c>
      <c r="D1526" s="68">
        <v>2858900</v>
      </c>
      <c r="E1526" s="74">
        <v>0.05</v>
      </c>
      <c r="F1526" s="129">
        <f t="shared" si="235"/>
        <v>3001845</v>
      </c>
      <c r="G1526" s="130">
        <f t="shared" si="238"/>
        <v>570350.55000000005</v>
      </c>
      <c r="H1526" s="131">
        <f t="shared" si="237"/>
        <v>3572196</v>
      </c>
    </row>
    <row r="1527" spans="1:8" x14ac:dyDescent="0.25">
      <c r="A1527" s="85" t="s">
        <v>3774</v>
      </c>
      <c r="B1527" s="81" t="s">
        <v>7629</v>
      </c>
      <c r="C1527" s="26" t="s">
        <v>37</v>
      </c>
      <c r="D1527" s="68">
        <v>3492500</v>
      </c>
      <c r="E1527" s="74">
        <v>0.05</v>
      </c>
      <c r="F1527" s="129">
        <f t="shared" si="235"/>
        <v>3667125</v>
      </c>
      <c r="G1527" s="130">
        <f t="shared" si="238"/>
        <v>696753.75</v>
      </c>
      <c r="H1527" s="131">
        <f t="shared" si="237"/>
        <v>4363879</v>
      </c>
    </row>
    <row r="1528" spans="1:8" x14ac:dyDescent="0.25">
      <c r="A1528" s="85" t="s">
        <v>3775</v>
      </c>
      <c r="B1528" s="81" t="s">
        <v>7630</v>
      </c>
      <c r="C1528" s="26" t="s">
        <v>37</v>
      </c>
      <c r="D1528" s="68">
        <v>3492500</v>
      </c>
      <c r="E1528" s="74">
        <v>0.05</v>
      </c>
      <c r="F1528" s="129">
        <f t="shared" si="235"/>
        <v>3667125</v>
      </c>
      <c r="G1528" s="130">
        <f t="shared" si="238"/>
        <v>696753.75</v>
      </c>
      <c r="H1528" s="131">
        <f t="shared" si="237"/>
        <v>4363879</v>
      </c>
    </row>
    <row r="1529" spans="1:8" x14ac:dyDescent="0.25">
      <c r="A1529" s="85" t="s">
        <v>3776</v>
      </c>
      <c r="B1529" s="81" t="s">
        <v>7631</v>
      </c>
      <c r="C1529" s="26" t="s">
        <v>37</v>
      </c>
      <c r="D1529" s="68">
        <v>3782900</v>
      </c>
      <c r="E1529" s="74">
        <v>0.05</v>
      </c>
      <c r="F1529" s="129">
        <f t="shared" si="235"/>
        <v>3972045</v>
      </c>
      <c r="G1529" s="130">
        <f t="shared" si="238"/>
        <v>754688.55</v>
      </c>
      <c r="H1529" s="131">
        <f t="shared" si="237"/>
        <v>4726734</v>
      </c>
    </row>
    <row r="1530" spans="1:8" x14ac:dyDescent="0.25">
      <c r="A1530" s="85" t="s">
        <v>3777</v>
      </c>
      <c r="B1530" s="81" t="s">
        <v>3716</v>
      </c>
      <c r="C1530" s="26" t="s">
        <v>37</v>
      </c>
      <c r="D1530" s="68">
        <v>4743200</v>
      </c>
      <c r="E1530" s="74">
        <v>0.05</v>
      </c>
      <c r="F1530" s="129">
        <f t="shared" si="235"/>
        <v>4980360</v>
      </c>
      <c r="G1530" s="130">
        <f t="shared" si="238"/>
        <v>946268.4</v>
      </c>
      <c r="H1530" s="131">
        <f t="shared" si="237"/>
        <v>5926628</v>
      </c>
    </row>
    <row r="1531" spans="1:8" x14ac:dyDescent="0.25">
      <c r="A1531" s="85" t="s">
        <v>3778</v>
      </c>
      <c r="B1531" s="81" t="s">
        <v>7304</v>
      </c>
      <c r="C1531" s="26" t="s">
        <v>37</v>
      </c>
      <c r="D1531" s="68">
        <v>4876300</v>
      </c>
      <c r="E1531" s="74">
        <v>0.05</v>
      </c>
      <c r="F1531" s="129">
        <f t="shared" si="235"/>
        <v>5120115</v>
      </c>
      <c r="G1531" s="130">
        <f t="shared" si="238"/>
        <v>972821.85</v>
      </c>
      <c r="H1531" s="131">
        <f t="shared" si="237"/>
        <v>6092937</v>
      </c>
    </row>
    <row r="1532" spans="1:8" x14ac:dyDescent="0.25">
      <c r="A1532" s="85" t="s">
        <v>3779</v>
      </c>
      <c r="B1532" s="81" t="s">
        <v>3717</v>
      </c>
      <c r="C1532" s="26" t="s">
        <v>37</v>
      </c>
      <c r="D1532" s="68">
        <v>4967600</v>
      </c>
      <c r="E1532" s="74">
        <v>0.05</v>
      </c>
      <c r="F1532" s="129">
        <f t="shared" si="235"/>
        <v>5215980</v>
      </c>
      <c r="G1532" s="130">
        <f t="shared" si="238"/>
        <v>991036.2</v>
      </c>
      <c r="H1532" s="131">
        <f t="shared" si="237"/>
        <v>6207016</v>
      </c>
    </row>
    <row r="1533" spans="1:8" x14ac:dyDescent="0.25">
      <c r="A1533" s="85" t="s">
        <v>3780</v>
      </c>
      <c r="B1533" s="81" t="s">
        <v>7477</v>
      </c>
      <c r="C1533" s="26" t="s">
        <v>37</v>
      </c>
      <c r="D1533" s="68">
        <v>5245900</v>
      </c>
      <c r="E1533" s="74">
        <v>0.05</v>
      </c>
      <c r="F1533" s="129">
        <f t="shared" si="235"/>
        <v>5508195</v>
      </c>
      <c r="G1533" s="130">
        <f t="shared" si="238"/>
        <v>1046557.05</v>
      </c>
      <c r="H1533" s="131">
        <f t="shared" si="237"/>
        <v>6554752</v>
      </c>
    </row>
    <row r="1534" spans="1:8" x14ac:dyDescent="0.25">
      <c r="A1534" s="85" t="s">
        <v>3781</v>
      </c>
      <c r="B1534" s="81" t="s">
        <v>7632</v>
      </c>
      <c r="C1534" s="26" t="s">
        <v>37</v>
      </c>
      <c r="D1534" s="68">
        <v>5749700</v>
      </c>
      <c r="E1534" s="74">
        <v>0.05</v>
      </c>
      <c r="F1534" s="129">
        <f t="shared" si="235"/>
        <v>6037185</v>
      </c>
      <c r="G1534" s="130">
        <f t="shared" si="238"/>
        <v>1147065.1499999999</v>
      </c>
      <c r="H1534" s="131">
        <f t="shared" si="237"/>
        <v>7184250</v>
      </c>
    </row>
    <row r="1535" spans="1:8" x14ac:dyDescent="0.25">
      <c r="A1535" s="85" t="s">
        <v>3782</v>
      </c>
      <c r="B1535" s="81" t="s">
        <v>3720</v>
      </c>
      <c r="C1535" s="26" t="s">
        <v>37</v>
      </c>
      <c r="D1535" s="68">
        <v>6200700</v>
      </c>
      <c r="E1535" s="74">
        <v>0.05</v>
      </c>
      <c r="F1535" s="129">
        <f t="shared" si="235"/>
        <v>6510735</v>
      </c>
      <c r="G1535" s="130">
        <f t="shared" si="238"/>
        <v>1237039.6499999999</v>
      </c>
      <c r="H1535" s="131">
        <f t="shared" si="237"/>
        <v>7747775</v>
      </c>
    </row>
    <row r="1536" spans="1:8" x14ac:dyDescent="0.25">
      <c r="A1536" s="85" t="s">
        <v>3783</v>
      </c>
      <c r="B1536" s="81" t="s">
        <v>3721</v>
      </c>
      <c r="C1536" s="26" t="s">
        <v>37</v>
      </c>
      <c r="D1536" s="68">
        <v>5000600</v>
      </c>
      <c r="E1536" s="74">
        <v>0.05</v>
      </c>
      <c r="F1536" s="129">
        <f t="shared" si="235"/>
        <v>5250630</v>
      </c>
      <c r="G1536" s="130">
        <f t="shared" si="238"/>
        <v>997619.7</v>
      </c>
      <c r="H1536" s="131">
        <f t="shared" si="237"/>
        <v>6248250</v>
      </c>
    </row>
    <row r="1537" spans="1:8" x14ac:dyDescent="0.25">
      <c r="A1537" s="85" t="s">
        <v>3784</v>
      </c>
      <c r="B1537" s="81" t="s">
        <v>7305</v>
      </c>
      <c r="C1537" s="26" t="s">
        <v>37</v>
      </c>
      <c r="D1537" s="68">
        <v>5343800</v>
      </c>
      <c r="E1537" s="74">
        <v>0.05</v>
      </c>
      <c r="F1537" s="129">
        <f t="shared" si="235"/>
        <v>5610990</v>
      </c>
      <c r="G1537" s="130">
        <f t="shared" si="238"/>
        <v>1066088.1000000001</v>
      </c>
      <c r="H1537" s="131">
        <f t="shared" si="237"/>
        <v>6677078</v>
      </c>
    </row>
    <row r="1538" spans="1:8" x14ac:dyDescent="0.25">
      <c r="A1538" s="85" t="s">
        <v>3785</v>
      </c>
      <c r="B1538" s="81" t="s">
        <v>3723</v>
      </c>
      <c r="C1538" s="26" t="s">
        <v>37</v>
      </c>
      <c r="D1538" s="68">
        <v>5817900</v>
      </c>
      <c r="E1538" s="74">
        <v>0.05</v>
      </c>
      <c r="F1538" s="129">
        <f t="shared" si="235"/>
        <v>6108795</v>
      </c>
      <c r="G1538" s="130">
        <f t="shared" si="238"/>
        <v>1160671.05</v>
      </c>
      <c r="H1538" s="131">
        <f t="shared" si="237"/>
        <v>7269466</v>
      </c>
    </row>
    <row r="1539" spans="1:8" x14ac:dyDescent="0.25">
      <c r="A1539" s="85" t="s">
        <v>3786</v>
      </c>
      <c r="B1539" s="81" t="s">
        <v>7478</v>
      </c>
      <c r="C1539" s="26" t="s">
        <v>37</v>
      </c>
      <c r="D1539" s="68">
        <v>6112700</v>
      </c>
      <c r="E1539" s="74">
        <v>0.05</v>
      </c>
      <c r="F1539" s="129">
        <f t="shared" si="235"/>
        <v>6418335</v>
      </c>
      <c r="G1539" s="130">
        <f t="shared" si="238"/>
        <v>1219483.6499999999</v>
      </c>
      <c r="H1539" s="131">
        <f t="shared" si="237"/>
        <v>7637819</v>
      </c>
    </row>
    <row r="1540" spans="1:8" x14ac:dyDescent="0.25">
      <c r="A1540" s="85" t="s">
        <v>3787</v>
      </c>
      <c r="B1540" s="81" t="s">
        <v>7633</v>
      </c>
      <c r="C1540" s="26" t="s">
        <v>37</v>
      </c>
      <c r="D1540" s="68">
        <v>6680300</v>
      </c>
      <c r="E1540" s="74">
        <v>0.05</v>
      </c>
      <c r="F1540" s="129">
        <f t="shared" si="235"/>
        <v>7014315</v>
      </c>
      <c r="G1540" s="130">
        <f t="shared" si="238"/>
        <v>1332719.8500000001</v>
      </c>
      <c r="H1540" s="131">
        <f t="shared" si="237"/>
        <v>8347035</v>
      </c>
    </row>
    <row r="1541" spans="1:8" x14ac:dyDescent="0.25">
      <c r="A1541" s="85" t="s">
        <v>3788</v>
      </c>
      <c r="B1541" s="81" t="s">
        <v>3727</v>
      </c>
      <c r="C1541" s="26" t="s">
        <v>37</v>
      </c>
      <c r="D1541" s="68">
        <v>7085100</v>
      </c>
      <c r="E1541" s="74">
        <v>0.05</v>
      </c>
      <c r="F1541" s="129">
        <f t="shared" si="235"/>
        <v>7439355</v>
      </c>
      <c r="G1541" s="130">
        <f t="shared" si="238"/>
        <v>1413477.45</v>
      </c>
      <c r="H1541" s="131">
        <f t="shared" si="237"/>
        <v>8852832</v>
      </c>
    </row>
    <row r="1542" spans="1:8" x14ac:dyDescent="0.25">
      <c r="A1542" s="85" t="s">
        <v>3789</v>
      </c>
      <c r="B1542" s="81" t="s">
        <v>3728</v>
      </c>
      <c r="C1542" s="26" t="s">
        <v>37</v>
      </c>
      <c r="D1542" s="68">
        <v>7658288</v>
      </c>
      <c r="E1542" s="74">
        <v>0.05</v>
      </c>
      <c r="F1542" s="129">
        <f t="shared" si="235"/>
        <v>8041202.4000000004</v>
      </c>
      <c r="G1542" s="130">
        <f t="shared" si="238"/>
        <v>1527828.456</v>
      </c>
      <c r="H1542" s="131">
        <f t="shared" si="237"/>
        <v>9569031</v>
      </c>
    </row>
    <row r="1543" spans="1:8" x14ac:dyDescent="0.25">
      <c r="A1543" s="85" t="s">
        <v>3790</v>
      </c>
      <c r="B1543" s="81" t="s">
        <v>3729</v>
      </c>
      <c r="C1543" s="26" t="s">
        <v>37</v>
      </c>
      <c r="D1543" s="68">
        <v>6718800</v>
      </c>
      <c r="E1543" s="74">
        <v>0.05</v>
      </c>
      <c r="F1543" s="129">
        <f t="shared" si="235"/>
        <v>7054740</v>
      </c>
      <c r="G1543" s="130">
        <f t="shared" si="238"/>
        <v>1340400.6000000001</v>
      </c>
      <c r="H1543" s="131">
        <f t="shared" si="237"/>
        <v>8395141</v>
      </c>
    </row>
    <row r="1544" spans="1:8" x14ac:dyDescent="0.25">
      <c r="A1544" s="85" t="s">
        <v>3791</v>
      </c>
      <c r="B1544" s="81" t="s">
        <v>7306</v>
      </c>
      <c r="C1544" s="26" t="s">
        <v>37</v>
      </c>
      <c r="D1544" s="68">
        <v>6987200</v>
      </c>
      <c r="E1544" s="74">
        <v>0.05</v>
      </c>
      <c r="F1544" s="129">
        <f t="shared" si="235"/>
        <v>7336560</v>
      </c>
      <c r="G1544" s="130">
        <f t="shared" si="238"/>
        <v>1393946.4</v>
      </c>
      <c r="H1544" s="131">
        <f t="shared" si="237"/>
        <v>8730506</v>
      </c>
    </row>
    <row r="1545" spans="1:8" x14ac:dyDescent="0.25">
      <c r="A1545" s="85" t="s">
        <v>3792</v>
      </c>
      <c r="B1545" s="81" t="s">
        <v>3731</v>
      </c>
      <c r="C1545" s="26" t="s">
        <v>37</v>
      </c>
      <c r="D1545" s="68">
        <v>7132400</v>
      </c>
      <c r="E1545" s="74">
        <v>0.05</v>
      </c>
      <c r="F1545" s="129">
        <f t="shared" si="235"/>
        <v>7489020</v>
      </c>
      <c r="G1545" s="130">
        <f t="shared" si="238"/>
        <v>1422913.8</v>
      </c>
      <c r="H1545" s="131">
        <f t="shared" si="237"/>
        <v>8911934</v>
      </c>
    </row>
    <row r="1546" spans="1:8" x14ac:dyDescent="0.25">
      <c r="A1546" s="85" t="s">
        <v>3793</v>
      </c>
      <c r="B1546" s="81" t="s">
        <v>7479</v>
      </c>
      <c r="C1546" s="26" t="s">
        <v>37</v>
      </c>
      <c r="D1546" s="68">
        <v>7376600</v>
      </c>
      <c r="E1546" s="74">
        <v>0.05</v>
      </c>
      <c r="F1546" s="129">
        <f t="shared" si="235"/>
        <v>7745430</v>
      </c>
      <c r="G1546" s="130">
        <f t="shared" si="238"/>
        <v>1471631.7</v>
      </c>
      <c r="H1546" s="131">
        <f t="shared" si="237"/>
        <v>9217062</v>
      </c>
    </row>
    <row r="1547" spans="1:8" x14ac:dyDescent="0.25">
      <c r="A1547" s="85" t="s">
        <v>3794</v>
      </c>
      <c r="B1547" s="81" t="s">
        <v>7634</v>
      </c>
      <c r="C1547" s="26" t="s">
        <v>37</v>
      </c>
      <c r="D1547" s="68">
        <v>8431500</v>
      </c>
      <c r="E1547" s="74">
        <v>0.05</v>
      </c>
      <c r="F1547" s="129">
        <f t="shared" si="235"/>
        <v>8853075</v>
      </c>
      <c r="G1547" s="130">
        <f t="shared" si="238"/>
        <v>1682084.25</v>
      </c>
      <c r="H1547" s="131">
        <f t="shared" si="237"/>
        <v>10535159</v>
      </c>
    </row>
    <row r="1548" spans="1:8" x14ac:dyDescent="0.25">
      <c r="A1548" s="85" t="s">
        <v>3795</v>
      </c>
      <c r="B1548" s="81" t="s">
        <v>3734</v>
      </c>
      <c r="C1548" s="26" t="s">
        <v>37</v>
      </c>
      <c r="D1548" s="68">
        <v>9639300</v>
      </c>
      <c r="E1548" s="74">
        <v>0.05</v>
      </c>
      <c r="F1548" s="129">
        <f t="shared" si="235"/>
        <v>10121265</v>
      </c>
      <c r="G1548" s="130">
        <f t="shared" si="238"/>
        <v>1923040.35</v>
      </c>
      <c r="H1548" s="131">
        <f t="shared" si="237"/>
        <v>12044305</v>
      </c>
    </row>
    <row r="1549" spans="1:8" x14ac:dyDescent="0.25">
      <c r="A1549" s="85" t="s">
        <v>3796</v>
      </c>
      <c r="B1549" s="81" t="s">
        <v>3735</v>
      </c>
      <c r="C1549" s="26" t="s">
        <v>37</v>
      </c>
      <c r="D1549" s="68">
        <v>10700800</v>
      </c>
      <c r="E1549" s="74">
        <v>0.05</v>
      </c>
      <c r="F1549" s="129">
        <f t="shared" si="235"/>
        <v>11235840</v>
      </c>
      <c r="G1549" s="130">
        <f t="shared" si="238"/>
        <v>2134809.6000000001</v>
      </c>
      <c r="H1549" s="131">
        <f t="shared" si="237"/>
        <v>13370650</v>
      </c>
    </row>
    <row r="1550" spans="1:8" x14ac:dyDescent="0.25">
      <c r="A1550" s="85" t="s">
        <v>3918</v>
      </c>
      <c r="B1550" s="81" t="s">
        <v>3736</v>
      </c>
      <c r="C1550" s="26" t="s">
        <v>37</v>
      </c>
      <c r="D1550" s="68">
        <v>11508200</v>
      </c>
      <c r="E1550" s="74">
        <v>0.05</v>
      </c>
      <c r="F1550" s="129">
        <f t="shared" si="235"/>
        <v>12083610</v>
      </c>
      <c r="G1550" s="130">
        <f t="shared" si="238"/>
        <v>2295885.9</v>
      </c>
      <c r="H1550" s="131">
        <f t="shared" si="237"/>
        <v>14379496</v>
      </c>
    </row>
    <row r="1551" spans="1:8" x14ac:dyDescent="0.25">
      <c r="A1551" s="78" t="s">
        <v>3797</v>
      </c>
      <c r="B1551" s="80" t="s">
        <v>3737</v>
      </c>
      <c r="C1551" s="26"/>
      <c r="D1551" s="1001"/>
      <c r="E1551" s="74"/>
      <c r="F1551" s="129"/>
      <c r="G1551" s="130"/>
      <c r="H1551" s="131"/>
    </row>
    <row r="1552" spans="1:8" x14ac:dyDescent="0.25">
      <c r="A1552" s="85" t="s">
        <v>3798</v>
      </c>
      <c r="B1552" s="81" t="s">
        <v>3799</v>
      </c>
      <c r="C1552" s="26" t="s">
        <v>37</v>
      </c>
      <c r="D1552" s="68">
        <v>96800</v>
      </c>
      <c r="E1552" s="74">
        <v>0.05</v>
      </c>
      <c r="F1552" s="129">
        <f t="shared" si="235"/>
        <v>101640</v>
      </c>
      <c r="G1552" s="130">
        <f t="shared" ref="G1552:G1583" si="239">F1552*0.19</f>
        <v>19311.599999999999</v>
      </c>
      <c r="H1552" s="131">
        <f t="shared" si="237"/>
        <v>120952</v>
      </c>
    </row>
    <row r="1553" spans="1:8" x14ac:dyDescent="0.25">
      <c r="A1553" s="85" t="s">
        <v>3859</v>
      </c>
      <c r="B1553" s="81" t="s">
        <v>3800</v>
      </c>
      <c r="C1553" s="26" t="s">
        <v>37</v>
      </c>
      <c r="D1553" s="68">
        <v>140800</v>
      </c>
      <c r="E1553" s="74">
        <v>0.05</v>
      </c>
      <c r="F1553" s="129">
        <f t="shared" si="235"/>
        <v>147840</v>
      </c>
      <c r="G1553" s="130">
        <f t="shared" si="239"/>
        <v>28089.599999999999</v>
      </c>
      <c r="H1553" s="131">
        <f t="shared" si="237"/>
        <v>175930</v>
      </c>
    </row>
    <row r="1554" spans="1:8" x14ac:dyDescent="0.25">
      <c r="A1554" s="85" t="s">
        <v>3860</v>
      </c>
      <c r="B1554" s="81" t="s">
        <v>3801</v>
      </c>
      <c r="C1554" s="26" t="s">
        <v>37</v>
      </c>
      <c r="D1554" s="68">
        <v>192500</v>
      </c>
      <c r="E1554" s="74">
        <v>0.05</v>
      </c>
      <c r="F1554" s="129">
        <f t="shared" si="235"/>
        <v>202125</v>
      </c>
      <c r="G1554" s="130">
        <f t="shared" si="239"/>
        <v>38403.75</v>
      </c>
      <c r="H1554" s="131">
        <f t="shared" si="237"/>
        <v>240529</v>
      </c>
    </row>
    <row r="1555" spans="1:8" x14ac:dyDescent="0.25">
      <c r="A1555" s="85" t="s">
        <v>3861</v>
      </c>
      <c r="B1555" s="81" t="s">
        <v>3802</v>
      </c>
      <c r="C1555" s="26" t="s">
        <v>37</v>
      </c>
      <c r="D1555" s="68">
        <v>167200</v>
      </c>
      <c r="E1555" s="74">
        <v>0.05</v>
      </c>
      <c r="F1555" s="129">
        <f t="shared" ref="F1555:F1618" si="240">+D1555+D1555*E1555</f>
        <v>175560</v>
      </c>
      <c r="G1555" s="130">
        <f t="shared" si="239"/>
        <v>33356.400000000001</v>
      </c>
      <c r="H1555" s="131">
        <f t="shared" ref="H1555:H1618" si="241">ROUND((F1555+G1555),0)</f>
        <v>208916</v>
      </c>
    </row>
    <row r="1556" spans="1:8" x14ac:dyDescent="0.25">
      <c r="A1556" s="85" t="s">
        <v>3862</v>
      </c>
      <c r="B1556" s="81" t="s">
        <v>3803</v>
      </c>
      <c r="C1556" s="26" t="s">
        <v>37</v>
      </c>
      <c r="D1556" s="68">
        <v>210100</v>
      </c>
      <c r="E1556" s="74">
        <v>0.05</v>
      </c>
      <c r="F1556" s="129">
        <f t="shared" si="240"/>
        <v>220605</v>
      </c>
      <c r="G1556" s="130">
        <f t="shared" si="239"/>
        <v>41914.949999999997</v>
      </c>
      <c r="H1556" s="131">
        <f t="shared" si="241"/>
        <v>262520</v>
      </c>
    </row>
    <row r="1557" spans="1:8" x14ac:dyDescent="0.25">
      <c r="A1557" s="85" t="s">
        <v>3863</v>
      </c>
      <c r="B1557" s="81" t="s">
        <v>3804</v>
      </c>
      <c r="C1557" s="26" t="s">
        <v>37</v>
      </c>
      <c r="D1557" s="68">
        <v>225500</v>
      </c>
      <c r="E1557" s="74">
        <v>0.05</v>
      </c>
      <c r="F1557" s="129">
        <f t="shared" si="240"/>
        <v>236775</v>
      </c>
      <c r="G1557" s="130">
        <f t="shared" si="239"/>
        <v>44987.25</v>
      </c>
      <c r="H1557" s="131">
        <f t="shared" si="241"/>
        <v>281762</v>
      </c>
    </row>
    <row r="1558" spans="1:8" x14ac:dyDescent="0.25">
      <c r="A1558" s="85" t="s">
        <v>3864</v>
      </c>
      <c r="B1558" s="81" t="s">
        <v>7828</v>
      </c>
      <c r="C1558" s="26" t="s">
        <v>37</v>
      </c>
      <c r="D1558" s="68">
        <v>315700</v>
      </c>
      <c r="E1558" s="74">
        <v>0.05</v>
      </c>
      <c r="F1558" s="129">
        <f t="shared" si="240"/>
        <v>331485</v>
      </c>
      <c r="G1558" s="130">
        <f t="shared" si="239"/>
        <v>62982.15</v>
      </c>
      <c r="H1558" s="131">
        <f t="shared" si="241"/>
        <v>394467</v>
      </c>
    </row>
    <row r="1559" spans="1:8" x14ac:dyDescent="0.25">
      <c r="A1559" s="85" t="s">
        <v>3865</v>
      </c>
      <c r="B1559" s="81" t="s">
        <v>7829</v>
      </c>
      <c r="C1559" s="26" t="s">
        <v>37</v>
      </c>
      <c r="D1559" s="68">
        <v>315700</v>
      </c>
      <c r="E1559" s="74">
        <v>0.05</v>
      </c>
      <c r="F1559" s="129">
        <f t="shared" si="240"/>
        <v>331485</v>
      </c>
      <c r="G1559" s="130">
        <f t="shared" si="239"/>
        <v>62982.15</v>
      </c>
      <c r="H1559" s="131">
        <f t="shared" si="241"/>
        <v>394467</v>
      </c>
    </row>
    <row r="1560" spans="1:8" x14ac:dyDescent="0.25">
      <c r="A1560" s="85" t="s">
        <v>3866</v>
      </c>
      <c r="B1560" s="81" t="s">
        <v>7830</v>
      </c>
      <c r="C1560" s="26" t="s">
        <v>37</v>
      </c>
      <c r="D1560" s="68">
        <v>525800</v>
      </c>
      <c r="E1560" s="74">
        <v>0.05</v>
      </c>
      <c r="F1560" s="129">
        <f t="shared" si="240"/>
        <v>552090</v>
      </c>
      <c r="G1560" s="130">
        <f t="shared" si="239"/>
        <v>104897.1</v>
      </c>
      <c r="H1560" s="131">
        <f t="shared" si="241"/>
        <v>656987</v>
      </c>
    </row>
    <row r="1561" spans="1:8" x14ac:dyDescent="0.25">
      <c r="A1561" s="85" t="s">
        <v>3867</v>
      </c>
      <c r="B1561" s="81" t="s">
        <v>7831</v>
      </c>
      <c r="C1561" s="26" t="s">
        <v>37</v>
      </c>
      <c r="D1561" s="68">
        <v>525800</v>
      </c>
      <c r="E1561" s="74">
        <v>0.05</v>
      </c>
      <c r="F1561" s="129">
        <f t="shared" si="240"/>
        <v>552090</v>
      </c>
      <c r="G1561" s="130">
        <f t="shared" si="239"/>
        <v>104897.1</v>
      </c>
      <c r="H1561" s="131">
        <f t="shared" si="241"/>
        <v>656987</v>
      </c>
    </row>
    <row r="1562" spans="1:8" x14ac:dyDescent="0.25">
      <c r="A1562" s="85" t="s">
        <v>3868</v>
      </c>
      <c r="B1562" s="81" t="s">
        <v>3809</v>
      </c>
      <c r="C1562" s="26" t="s">
        <v>37</v>
      </c>
      <c r="D1562" s="68">
        <v>577500</v>
      </c>
      <c r="E1562" s="74">
        <v>0.05</v>
      </c>
      <c r="F1562" s="129">
        <f t="shared" si="240"/>
        <v>606375</v>
      </c>
      <c r="G1562" s="130">
        <f t="shared" si="239"/>
        <v>115211.25</v>
      </c>
      <c r="H1562" s="131">
        <f t="shared" si="241"/>
        <v>721586</v>
      </c>
    </row>
    <row r="1563" spans="1:8" x14ac:dyDescent="0.25">
      <c r="A1563" s="85" t="s">
        <v>3869</v>
      </c>
      <c r="B1563" s="81" t="s">
        <v>3810</v>
      </c>
      <c r="C1563" s="26" t="s">
        <v>37</v>
      </c>
      <c r="D1563" s="68">
        <v>635800</v>
      </c>
      <c r="E1563" s="74">
        <v>0.05</v>
      </c>
      <c r="F1563" s="129">
        <f t="shared" si="240"/>
        <v>667590</v>
      </c>
      <c r="G1563" s="130">
        <f t="shared" si="239"/>
        <v>126842.1</v>
      </c>
      <c r="H1563" s="131">
        <f t="shared" si="241"/>
        <v>794432</v>
      </c>
    </row>
    <row r="1564" spans="1:8" x14ac:dyDescent="0.25">
      <c r="A1564" s="85" t="s">
        <v>3870</v>
      </c>
      <c r="B1564" s="81" t="s">
        <v>7832</v>
      </c>
      <c r="C1564" s="26" t="s">
        <v>37</v>
      </c>
      <c r="D1564" s="68">
        <v>763400</v>
      </c>
      <c r="E1564" s="74">
        <v>0.05</v>
      </c>
      <c r="F1564" s="129">
        <f t="shared" si="240"/>
        <v>801570</v>
      </c>
      <c r="G1564" s="130">
        <f t="shared" si="239"/>
        <v>152298.29999999999</v>
      </c>
      <c r="H1564" s="131">
        <f t="shared" si="241"/>
        <v>953868</v>
      </c>
    </row>
    <row r="1565" spans="1:8" x14ac:dyDescent="0.25">
      <c r="A1565" s="85" t="s">
        <v>3871</v>
      </c>
      <c r="B1565" s="81" t="s">
        <v>3812</v>
      </c>
      <c r="C1565" s="26" t="s">
        <v>37</v>
      </c>
      <c r="D1565" s="68">
        <v>897600</v>
      </c>
      <c r="E1565" s="74">
        <v>0.05</v>
      </c>
      <c r="F1565" s="129">
        <f t="shared" si="240"/>
        <v>942480</v>
      </c>
      <c r="G1565" s="130">
        <f t="shared" si="239"/>
        <v>179071.2</v>
      </c>
      <c r="H1565" s="131">
        <f t="shared" si="241"/>
        <v>1121551</v>
      </c>
    </row>
    <row r="1566" spans="1:8" x14ac:dyDescent="0.25">
      <c r="A1566" s="85" t="s">
        <v>3872</v>
      </c>
      <c r="B1566" s="81" t="s">
        <v>7307</v>
      </c>
      <c r="C1566" s="26" t="s">
        <v>37</v>
      </c>
      <c r="D1566" s="68">
        <v>869000</v>
      </c>
      <c r="E1566" s="74">
        <v>0.05</v>
      </c>
      <c r="F1566" s="129">
        <f t="shared" si="240"/>
        <v>912450</v>
      </c>
      <c r="G1566" s="130">
        <f t="shared" si="239"/>
        <v>173365.5</v>
      </c>
      <c r="H1566" s="131">
        <f t="shared" si="241"/>
        <v>1085816</v>
      </c>
    </row>
    <row r="1567" spans="1:8" x14ac:dyDescent="0.25">
      <c r="A1567" s="85" t="s">
        <v>3873</v>
      </c>
      <c r="B1567" s="81" t="s">
        <v>7308</v>
      </c>
      <c r="C1567" s="26" t="s">
        <v>37</v>
      </c>
      <c r="D1567" s="68">
        <v>905300</v>
      </c>
      <c r="E1567" s="74">
        <v>0.05</v>
      </c>
      <c r="F1567" s="129">
        <f t="shared" si="240"/>
        <v>950565</v>
      </c>
      <c r="G1567" s="130">
        <f t="shared" si="239"/>
        <v>180607.35</v>
      </c>
      <c r="H1567" s="131">
        <f t="shared" si="241"/>
        <v>1131172</v>
      </c>
    </row>
    <row r="1568" spans="1:8" x14ac:dyDescent="0.25">
      <c r="A1568" s="85" t="s">
        <v>3874</v>
      </c>
      <c r="B1568" s="81" t="s">
        <v>7833</v>
      </c>
      <c r="C1568" s="26" t="s">
        <v>37</v>
      </c>
      <c r="D1568" s="68">
        <v>982300</v>
      </c>
      <c r="E1568" s="74">
        <v>0.05</v>
      </c>
      <c r="F1568" s="129">
        <f t="shared" si="240"/>
        <v>1031415</v>
      </c>
      <c r="G1568" s="130">
        <f t="shared" si="239"/>
        <v>195968.85</v>
      </c>
      <c r="H1568" s="131">
        <f t="shared" si="241"/>
        <v>1227384</v>
      </c>
    </row>
    <row r="1569" spans="1:8" x14ac:dyDescent="0.25">
      <c r="A1569" s="85" t="s">
        <v>3875</v>
      </c>
      <c r="B1569" s="81" t="s">
        <v>7309</v>
      </c>
      <c r="C1569" s="26" t="s">
        <v>37</v>
      </c>
      <c r="D1569" s="68">
        <v>1291400</v>
      </c>
      <c r="E1569" s="74">
        <v>0.05</v>
      </c>
      <c r="F1569" s="129">
        <f t="shared" si="240"/>
        <v>1355970</v>
      </c>
      <c r="G1569" s="130">
        <f t="shared" si="239"/>
        <v>257634.30000000002</v>
      </c>
      <c r="H1569" s="131">
        <f t="shared" si="241"/>
        <v>1613604</v>
      </c>
    </row>
    <row r="1570" spans="1:8" x14ac:dyDescent="0.25">
      <c r="A1570" s="85" t="s">
        <v>3876</v>
      </c>
      <c r="B1570" s="81" t="s">
        <v>7310</v>
      </c>
      <c r="C1570" s="26" t="s">
        <v>37</v>
      </c>
      <c r="D1570" s="68">
        <v>1645600</v>
      </c>
      <c r="E1570" s="74">
        <v>0.05</v>
      </c>
      <c r="F1570" s="129">
        <f t="shared" si="240"/>
        <v>1727880</v>
      </c>
      <c r="G1570" s="130">
        <f t="shared" si="239"/>
        <v>328297.2</v>
      </c>
      <c r="H1570" s="131">
        <f t="shared" si="241"/>
        <v>2056177</v>
      </c>
    </row>
    <row r="1571" spans="1:8" x14ac:dyDescent="0.25">
      <c r="A1571" s="85" t="s">
        <v>3877</v>
      </c>
      <c r="B1571" s="81" t="s">
        <v>3818</v>
      </c>
      <c r="C1571" s="26" t="s">
        <v>37</v>
      </c>
      <c r="D1571" s="68">
        <v>1116500</v>
      </c>
      <c r="E1571" s="74">
        <v>0.05</v>
      </c>
      <c r="F1571" s="129">
        <f t="shared" si="240"/>
        <v>1172325</v>
      </c>
      <c r="G1571" s="130">
        <f t="shared" si="239"/>
        <v>222741.75</v>
      </c>
      <c r="H1571" s="131">
        <f t="shared" si="241"/>
        <v>1395067</v>
      </c>
    </row>
    <row r="1572" spans="1:8" x14ac:dyDescent="0.25">
      <c r="A1572" s="85" t="s">
        <v>3878</v>
      </c>
      <c r="B1572" s="81" t="s">
        <v>3819</v>
      </c>
      <c r="C1572" s="26" t="s">
        <v>37</v>
      </c>
      <c r="D1572" s="68">
        <v>1210000</v>
      </c>
      <c r="E1572" s="74">
        <v>0.05</v>
      </c>
      <c r="F1572" s="129">
        <f t="shared" si="240"/>
        <v>1270500</v>
      </c>
      <c r="G1572" s="130">
        <f t="shared" si="239"/>
        <v>241395</v>
      </c>
      <c r="H1572" s="131">
        <f t="shared" si="241"/>
        <v>1511895</v>
      </c>
    </row>
    <row r="1573" spans="1:8" x14ac:dyDescent="0.25">
      <c r="A1573" s="85" t="s">
        <v>3879</v>
      </c>
      <c r="B1573" s="81" t="s">
        <v>7834</v>
      </c>
      <c r="C1573" s="26" t="s">
        <v>37</v>
      </c>
      <c r="D1573" s="68">
        <v>1303500</v>
      </c>
      <c r="E1573" s="74">
        <v>0.05</v>
      </c>
      <c r="F1573" s="129">
        <f t="shared" si="240"/>
        <v>1368675</v>
      </c>
      <c r="G1573" s="130">
        <f t="shared" si="239"/>
        <v>260048.25</v>
      </c>
      <c r="H1573" s="131">
        <f t="shared" si="241"/>
        <v>1628723</v>
      </c>
    </row>
    <row r="1574" spans="1:8" x14ac:dyDescent="0.25">
      <c r="A1574" s="85" t="s">
        <v>3880</v>
      </c>
      <c r="B1574" s="81" t="s">
        <v>3821</v>
      </c>
      <c r="C1574" s="26" t="s">
        <v>37</v>
      </c>
      <c r="D1574" s="68">
        <v>1475100</v>
      </c>
      <c r="E1574" s="74">
        <v>0.05</v>
      </c>
      <c r="F1574" s="129">
        <f t="shared" si="240"/>
        <v>1548855</v>
      </c>
      <c r="G1574" s="130">
        <f t="shared" si="239"/>
        <v>294282.45</v>
      </c>
      <c r="H1574" s="131">
        <f t="shared" si="241"/>
        <v>1843137</v>
      </c>
    </row>
    <row r="1575" spans="1:8" x14ac:dyDescent="0.25">
      <c r="A1575" s="85" t="s">
        <v>3881</v>
      </c>
      <c r="B1575" s="81" t="s">
        <v>7311</v>
      </c>
      <c r="C1575" s="26" t="s">
        <v>37</v>
      </c>
      <c r="D1575" s="68">
        <v>1797400</v>
      </c>
      <c r="E1575" s="74">
        <v>0.05</v>
      </c>
      <c r="F1575" s="129">
        <f t="shared" si="240"/>
        <v>1887270</v>
      </c>
      <c r="G1575" s="130">
        <f t="shared" si="239"/>
        <v>358581.3</v>
      </c>
      <c r="H1575" s="131">
        <f t="shared" si="241"/>
        <v>2245851</v>
      </c>
    </row>
    <row r="1576" spans="1:8" x14ac:dyDescent="0.25">
      <c r="A1576" s="85" t="s">
        <v>3882</v>
      </c>
      <c r="B1576" s="81" t="s">
        <v>3823</v>
      </c>
      <c r="C1576" s="26" t="s">
        <v>37</v>
      </c>
      <c r="D1576" s="68">
        <v>1832600</v>
      </c>
      <c r="E1576" s="74">
        <v>0.05</v>
      </c>
      <c r="F1576" s="129">
        <f t="shared" si="240"/>
        <v>1924230</v>
      </c>
      <c r="G1576" s="130">
        <f t="shared" si="239"/>
        <v>365603.7</v>
      </c>
      <c r="H1576" s="131">
        <f t="shared" si="241"/>
        <v>2289834</v>
      </c>
    </row>
    <row r="1577" spans="1:8" x14ac:dyDescent="0.25">
      <c r="A1577" s="85" t="s">
        <v>3883</v>
      </c>
      <c r="B1577" s="81" t="s">
        <v>7480</v>
      </c>
      <c r="C1577" s="26" t="s">
        <v>37</v>
      </c>
      <c r="D1577" s="68">
        <v>1863400</v>
      </c>
      <c r="E1577" s="74">
        <v>0.05</v>
      </c>
      <c r="F1577" s="129">
        <f t="shared" si="240"/>
        <v>1956570</v>
      </c>
      <c r="G1577" s="130">
        <f t="shared" si="239"/>
        <v>371748.3</v>
      </c>
      <c r="H1577" s="131">
        <f t="shared" si="241"/>
        <v>2328318</v>
      </c>
    </row>
    <row r="1578" spans="1:8" x14ac:dyDescent="0.25">
      <c r="A1578" s="85" t="s">
        <v>3884</v>
      </c>
      <c r="B1578" s="81" t="s">
        <v>7481</v>
      </c>
      <c r="C1578" s="26" t="s">
        <v>37</v>
      </c>
      <c r="D1578" s="68">
        <v>1863400</v>
      </c>
      <c r="E1578" s="74">
        <v>0.05</v>
      </c>
      <c r="F1578" s="129">
        <f t="shared" si="240"/>
        <v>1956570</v>
      </c>
      <c r="G1578" s="130">
        <f t="shared" si="239"/>
        <v>371748.3</v>
      </c>
      <c r="H1578" s="131">
        <f t="shared" si="241"/>
        <v>2328318</v>
      </c>
    </row>
    <row r="1579" spans="1:8" x14ac:dyDescent="0.25">
      <c r="A1579" s="85" t="s">
        <v>3885</v>
      </c>
      <c r="B1579" s="81" t="s">
        <v>7835</v>
      </c>
      <c r="C1579" s="26" t="s">
        <v>37</v>
      </c>
      <c r="D1579" s="68">
        <v>2115300</v>
      </c>
      <c r="E1579" s="74">
        <v>0.05</v>
      </c>
      <c r="F1579" s="129">
        <f t="shared" si="240"/>
        <v>2221065</v>
      </c>
      <c r="G1579" s="130">
        <f t="shared" si="239"/>
        <v>422002.35</v>
      </c>
      <c r="H1579" s="131">
        <f t="shared" si="241"/>
        <v>2643067</v>
      </c>
    </row>
    <row r="1580" spans="1:8" x14ac:dyDescent="0.25">
      <c r="A1580" s="85" t="s">
        <v>3886</v>
      </c>
      <c r="B1580" s="81" t="s">
        <v>7482</v>
      </c>
      <c r="C1580" s="26" t="s">
        <v>37</v>
      </c>
      <c r="D1580" s="68">
        <v>2310000</v>
      </c>
      <c r="E1580" s="74">
        <v>0.05</v>
      </c>
      <c r="F1580" s="129">
        <f t="shared" si="240"/>
        <v>2425500</v>
      </c>
      <c r="G1580" s="130">
        <f t="shared" si="239"/>
        <v>460845</v>
      </c>
      <c r="H1580" s="131">
        <f t="shared" si="241"/>
        <v>2886345</v>
      </c>
    </row>
    <row r="1581" spans="1:8" x14ac:dyDescent="0.25">
      <c r="A1581" s="85" t="s">
        <v>3887</v>
      </c>
      <c r="B1581" s="81" t="s">
        <v>7483</v>
      </c>
      <c r="C1581" s="26" t="s">
        <v>37</v>
      </c>
      <c r="D1581" s="68">
        <v>2750000</v>
      </c>
      <c r="E1581" s="74">
        <v>0.05</v>
      </c>
      <c r="F1581" s="129">
        <f t="shared" si="240"/>
        <v>2887500</v>
      </c>
      <c r="G1581" s="130">
        <f t="shared" si="239"/>
        <v>548625</v>
      </c>
      <c r="H1581" s="131">
        <f t="shared" si="241"/>
        <v>3436125</v>
      </c>
    </row>
    <row r="1582" spans="1:8" x14ac:dyDescent="0.25">
      <c r="A1582" s="85" t="s">
        <v>3888</v>
      </c>
      <c r="B1582" s="81" t="s">
        <v>7484</v>
      </c>
      <c r="C1582" s="26" t="s">
        <v>37</v>
      </c>
      <c r="D1582" s="68">
        <v>3104200</v>
      </c>
      <c r="E1582" s="74">
        <v>0.05</v>
      </c>
      <c r="F1582" s="129">
        <f t="shared" si="240"/>
        <v>3259410</v>
      </c>
      <c r="G1582" s="130">
        <f t="shared" si="239"/>
        <v>619287.9</v>
      </c>
      <c r="H1582" s="131">
        <f t="shared" si="241"/>
        <v>3878698</v>
      </c>
    </row>
    <row r="1583" spans="1:8" x14ac:dyDescent="0.25">
      <c r="A1583" s="85" t="s">
        <v>3889</v>
      </c>
      <c r="B1583" s="81" t="s">
        <v>7485</v>
      </c>
      <c r="C1583" s="26" t="s">
        <v>37</v>
      </c>
      <c r="D1583" s="68">
        <v>2876500</v>
      </c>
      <c r="E1583" s="74">
        <v>0.05</v>
      </c>
      <c r="F1583" s="129">
        <f t="shared" si="240"/>
        <v>3020325</v>
      </c>
      <c r="G1583" s="130">
        <f t="shared" si="239"/>
        <v>573861.75</v>
      </c>
      <c r="H1583" s="131">
        <f t="shared" si="241"/>
        <v>3594187</v>
      </c>
    </row>
    <row r="1584" spans="1:8" x14ac:dyDescent="0.25">
      <c r="A1584" s="85" t="s">
        <v>3890</v>
      </c>
      <c r="B1584" s="81" t="s">
        <v>7635</v>
      </c>
      <c r="C1584" s="26" t="s">
        <v>37</v>
      </c>
      <c r="D1584" s="68">
        <v>2054800</v>
      </c>
      <c r="E1584" s="74">
        <v>0.05</v>
      </c>
      <c r="F1584" s="129">
        <f t="shared" si="240"/>
        <v>2157540</v>
      </c>
      <c r="G1584" s="130">
        <f t="shared" ref="G1584:G1611" si="242">F1584*0.19</f>
        <v>409932.6</v>
      </c>
      <c r="H1584" s="131">
        <f t="shared" si="241"/>
        <v>2567473</v>
      </c>
    </row>
    <row r="1585" spans="1:8" x14ac:dyDescent="0.25">
      <c r="A1585" s="85" t="s">
        <v>3891</v>
      </c>
      <c r="B1585" s="81" t="s">
        <v>7836</v>
      </c>
      <c r="C1585" s="26" t="s">
        <v>37</v>
      </c>
      <c r="D1585" s="68">
        <v>2987600</v>
      </c>
      <c r="E1585" s="74">
        <v>0.05</v>
      </c>
      <c r="F1585" s="129">
        <f t="shared" si="240"/>
        <v>3136980</v>
      </c>
      <c r="G1585" s="130">
        <f t="shared" si="242"/>
        <v>596026.19999999995</v>
      </c>
      <c r="H1585" s="131">
        <f t="shared" si="241"/>
        <v>3733006</v>
      </c>
    </row>
    <row r="1586" spans="1:8" x14ac:dyDescent="0.25">
      <c r="A1586" s="85" t="s">
        <v>3892</v>
      </c>
      <c r="B1586" s="81" t="s">
        <v>7636</v>
      </c>
      <c r="C1586" s="26" t="s">
        <v>37</v>
      </c>
      <c r="D1586" s="68">
        <v>2987600</v>
      </c>
      <c r="E1586" s="74">
        <v>0.05</v>
      </c>
      <c r="F1586" s="129">
        <f t="shared" si="240"/>
        <v>3136980</v>
      </c>
      <c r="G1586" s="130">
        <f t="shared" si="242"/>
        <v>596026.19999999995</v>
      </c>
      <c r="H1586" s="131">
        <f t="shared" si="241"/>
        <v>3733006</v>
      </c>
    </row>
    <row r="1587" spans="1:8" x14ac:dyDescent="0.25">
      <c r="A1587" s="85" t="s">
        <v>3893</v>
      </c>
      <c r="B1587" s="81" t="s">
        <v>7637</v>
      </c>
      <c r="C1587" s="26" t="s">
        <v>37</v>
      </c>
      <c r="D1587" s="68">
        <v>2987600</v>
      </c>
      <c r="E1587" s="74">
        <v>0.05</v>
      </c>
      <c r="F1587" s="129">
        <f t="shared" si="240"/>
        <v>3136980</v>
      </c>
      <c r="G1587" s="130">
        <f t="shared" si="242"/>
        <v>596026.19999999995</v>
      </c>
      <c r="H1587" s="131">
        <f t="shared" si="241"/>
        <v>3733006</v>
      </c>
    </row>
    <row r="1588" spans="1:8" x14ac:dyDescent="0.25">
      <c r="A1588" s="85" t="s">
        <v>3894</v>
      </c>
      <c r="B1588" s="81" t="s">
        <v>7638</v>
      </c>
      <c r="C1588" s="26" t="s">
        <v>37</v>
      </c>
      <c r="D1588" s="68">
        <v>2987600</v>
      </c>
      <c r="E1588" s="74">
        <v>0.05</v>
      </c>
      <c r="F1588" s="129">
        <f t="shared" si="240"/>
        <v>3136980</v>
      </c>
      <c r="G1588" s="130">
        <f t="shared" si="242"/>
        <v>596026.19999999995</v>
      </c>
      <c r="H1588" s="131">
        <f t="shared" si="241"/>
        <v>3733006</v>
      </c>
    </row>
    <row r="1589" spans="1:8" x14ac:dyDescent="0.25">
      <c r="A1589" s="85" t="s">
        <v>3895</v>
      </c>
      <c r="B1589" s="81" t="s">
        <v>7639</v>
      </c>
      <c r="C1589" s="26" t="s">
        <v>37</v>
      </c>
      <c r="D1589" s="68">
        <v>3454000</v>
      </c>
      <c r="E1589" s="74">
        <v>0.05</v>
      </c>
      <c r="F1589" s="129">
        <f t="shared" si="240"/>
        <v>3626700</v>
      </c>
      <c r="G1589" s="130">
        <f t="shared" si="242"/>
        <v>689073</v>
      </c>
      <c r="H1589" s="131">
        <f t="shared" si="241"/>
        <v>4315773</v>
      </c>
    </row>
    <row r="1590" spans="1:8" x14ac:dyDescent="0.25">
      <c r="A1590" s="85" t="s">
        <v>3896</v>
      </c>
      <c r="B1590" s="81" t="s">
        <v>7640</v>
      </c>
      <c r="C1590" s="26" t="s">
        <v>37</v>
      </c>
      <c r="D1590" s="68">
        <v>3782900</v>
      </c>
      <c r="E1590" s="74">
        <v>0.05</v>
      </c>
      <c r="F1590" s="129">
        <f t="shared" si="240"/>
        <v>3972045</v>
      </c>
      <c r="G1590" s="130">
        <f t="shared" si="242"/>
        <v>754688.55</v>
      </c>
      <c r="H1590" s="131">
        <f t="shared" si="241"/>
        <v>4726734</v>
      </c>
    </row>
    <row r="1591" spans="1:8" x14ac:dyDescent="0.25">
      <c r="A1591" s="85" t="s">
        <v>3897</v>
      </c>
      <c r="B1591" s="81" t="s">
        <v>3838</v>
      </c>
      <c r="C1591" s="26" t="s">
        <v>37</v>
      </c>
      <c r="D1591" s="68">
        <v>4743200</v>
      </c>
      <c r="E1591" s="74">
        <v>0.05</v>
      </c>
      <c r="F1591" s="129">
        <f t="shared" si="240"/>
        <v>4980360</v>
      </c>
      <c r="G1591" s="130">
        <f t="shared" si="242"/>
        <v>946268.4</v>
      </c>
      <c r="H1591" s="131">
        <f t="shared" si="241"/>
        <v>5926628</v>
      </c>
    </row>
    <row r="1592" spans="1:8" x14ac:dyDescent="0.25">
      <c r="A1592" s="85" t="s">
        <v>3898</v>
      </c>
      <c r="B1592" s="81" t="s">
        <v>7312</v>
      </c>
      <c r="C1592" s="26" t="s">
        <v>37</v>
      </c>
      <c r="D1592" s="68">
        <v>4876300</v>
      </c>
      <c r="E1592" s="74">
        <v>0.05</v>
      </c>
      <c r="F1592" s="129">
        <f t="shared" si="240"/>
        <v>5120115</v>
      </c>
      <c r="G1592" s="130">
        <f t="shared" si="242"/>
        <v>972821.85</v>
      </c>
      <c r="H1592" s="131">
        <f t="shared" si="241"/>
        <v>6092937</v>
      </c>
    </row>
    <row r="1593" spans="1:8" x14ac:dyDescent="0.25">
      <c r="A1593" s="85" t="s">
        <v>3899</v>
      </c>
      <c r="B1593" s="81" t="s">
        <v>3840</v>
      </c>
      <c r="C1593" s="26" t="s">
        <v>37</v>
      </c>
      <c r="D1593" s="68">
        <v>4967600</v>
      </c>
      <c r="E1593" s="74">
        <v>0.05</v>
      </c>
      <c r="F1593" s="129">
        <f t="shared" si="240"/>
        <v>5215980</v>
      </c>
      <c r="G1593" s="130">
        <f t="shared" si="242"/>
        <v>991036.2</v>
      </c>
      <c r="H1593" s="131">
        <f t="shared" si="241"/>
        <v>6207016</v>
      </c>
    </row>
    <row r="1594" spans="1:8" x14ac:dyDescent="0.25">
      <c r="A1594" s="85" t="s">
        <v>3900</v>
      </c>
      <c r="B1594" s="81" t="s">
        <v>7486</v>
      </c>
      <c r="C1594" s="26" t="s">
        <v>37</v>
      </c>
      <c r="D1594" s="68">
        <v>5245900</v>
      </c>
      <c r="E1594" s="74">
        <v>0.05</v>
      </c>
      <c r="F1594" s="129">
        <f t="shared" si="240"/>
        <v>5508195</v>
      </c>
      <c r="G1594" s="130">
        <f t="shared" si="242"/>
        <v>1046557.05</v>
      </c>
      <c r="H1594" s="131">
        <f t="shared" si="241"/>
        <v>6554752</v>
      </c>
    </row>
    <row r="1595" spans="1:8" x14ac:dyDescent="0.25">
      <c r="A1595" s="85" t="s">
        <v>3901</v>
      </c>
      <c r="B1595" s="81" t="s">
        <v>7641</v>
      </c>
      <c r="C1595" s="26" t="s">
        <v>37</v>
      </c>
      <c r="D1595" s="68">
        <v>5749700</v>
      </c>
      <c r="E1595" s="74">
        <v>0.05</v>
      </c>
      <c r="F1595" s="129">
        <f t="shared" si="240"/>
        <v>6037185</v>
      </c>
      <c r="G1595" s="130">
        <f t="shared" si="242"/>
        <v>1147065.1499999999</v>
      </c>
      <c r="H1595" s="131">
        <f t="shared" si="241"/>
        <v>7184250</v>
      </c>
    </row>
    <row r="1596" spans="1:8" x14ac:dyDescent="0.25">
      <c r="A1596" s="85" t="s">
        <v>3902</v>
      </c>
      <c r="B1596" s="81" t="s">
        <v>3845</v>
      </c>
      <c r="C1596" s="26" t="s">
        <v>37</v>
      </c>
      <c r="D1596" s="68">
        <v>6200700</v>
      </c>
      <c r="E1596" s="74">
        <v>0.05</v>
      </c>
      <c r="F1596" s="129">
        <f t="shared" si="240"/>
        <v>6510735</v>
      </c>
      <c r="G1596" s="130">
        <f t="shared" si="242"/>
        <v>1237039.6499999999</v>
      </c>
      <c r="H1596" s="131">
        <f t="shared" si="241"/>
        <v>7747775</v>
      </c>
    </row>
    <row r="1597" spans="1:8" x14ac:dyDescent="0.25">
      <c r="A1597" s="85" t="s">
        <v>3903</v>
      </c>
      <c r="B1597" s="81" t="s">
        <v>3841</v>
      </c>
      <c r="C1597" s="26" t="s">
        <v>37</v>
      </c>
      <c r="D1597" s="68">
        <v>4583700</v>
      </c>
      <c r="E1597" s="74">
        <v>0.05</v>
      </c>
      <c r="F1597" s="129">
        <f t="shared" si="240"/>
        <v>4812885</v>
      </c>
      <c r="G1597" s="130">
        <f t="shared" si="242"/>
        <v>914448.15</v>
      </c>
      <c r="H1597" s="131">
        <f t="shared" si="241"/>
        <v>5727333</v>
      </c>
    </row>
    <row r="1598" spans="1:8" x14ac:dyDescent="0.25">
      <c r="A1598" s="85" t="s">
        <v>3904</v>
      </c>
      <c r="B1598" s="81" t="s">
        <v>7313</v>
      </c>
      <c r="C1598" s="26" t="s">
        <v>37</v>
      </c>
      <c r="D1598" s="68">
        <v>5343800</v>
      </c>
      <c r="E1598" s="74">
        <v>0.05</v>
      </c>
      <c r="F1598" s="129">
        <f t="shared" si="240"/>
        <v>5610990</v>
      </c>
      <c r="G1598" s="130">
        <f t="shared" si="242"/>
        <v>1066088.1000000001</v>
      </c>
      <c r="H1598" s="131">
        <f t="shared" si="241"/>
        <v>6677078</v>
      </c>
    </row>
    <row r="1599" spans="1:8" x14ac:dyDescent="0.25">
      <c r="A1599" s="85" t="s">
        <v>3905</v>
      </c>
      <c r="B1599" s="81" t="s">
        <v>3847</v>
      </c>
      <c r="C1599" s="26" t="s">
        <v>37</v>
      </c>
      <c r="D1599" s="68">
        <v>5817900</v>
      </c>
      <c r="E1599" s="74">
        <v>0.05</v>
      </c>
      <c r="F1599" s="129">
        <f t="shared" si="240"/>
        <v>6108795</v>
      </c>
      <c r="G1599" s="130">
        <f t="shared" si="242"/>
        <v>1160671.05</v>
      </c>
      <c r="H1599" s="131">
        <f t="shared" si="241"/>
        <v>7269466</v>
      </c>
    </row>
    <row r="1600" spans="1:8" x14ac:dyDescent="0.25">
      <c r="A1600" s="85" t="s">
        <v>3906</v>
      </c>
      <c r="B1600" s="81" t="s">
        <v>7487</v>
      </c>
      <c r="C1600" s="26" t="s">
        <v>37</v>
      </c>
      <c r="D1600" s="68">
        <v>6112700</v>
      </c>
      <c r="E1600" s="74">
        <v>0.05</v>
      </c>
      <c r="F1600" s="129">
        <f t="shared" si="240"/>
        <v>6418335</v>
      </c>
      <c r="G1600" s="130">
        <f t="shared" si="242"/>
        <v>1219483.6499999999</v>
      </c>
      <c r="H1600" s="131">
        <f t="shared" si="241"/>
        <v>7637819</v>
      </c>
    </row>
    <row r="1601" spans="1:8" x14ac:dyDescent="0.25">
      <c r="A1601" s="85" t="s">
        <v>3907</v>
      </c>
      <c r="B1601" s="81" t="s">
        <v>7642</v>
      </c>
      <c r="C1601" s="26" t="s">
        <v>37</v>
      </c>
      <c r="D1601" s="68">
        <v>6680300</v>
      </c>
      <c r="E1601" s="74">
        <v>0.05</v>
      </c>
      <c r="F1601" s="129">
        <f t="shared" si="240"/>
        <v>7014315</v>
      </c>
      <c r="G1601" s="130">
        <f t="shared" si="242"/>
        <v>1332719.8500000001</v>
      </c>
      <c r="H1601" s="131">
        <f t="shared" si="241"/>
        <v>8347035</v>
      </c>
    </row>
    <row r="1602" spans="1:8" x14ac:dyDescent="0.25">
      <c r="A1602" s="85" t="s">
        <v>3908</v>
      </c>
      <c r="B1602" s="81" t="s">
        <v>3850</v>
      </c>
      <c r="C1602" s="26" t="s">
        <v>37</v>
      </c>
      <c r="D1602" s="68">
        <v>7085100</v>
      </c>
      <c r="E1602" s="74">
        <v>0.05</v>
      </c>
      <c r="F1602" s="129">
        <f t="shared" si="240"/>
        <v>7439355</v>
      </c>
      <c r="G1602" s="130">
        <f t="shared" si="242"/>
        <v>1413477.45</v>
      </c>
      <c r="H1602" s="131">
        <f t="shared" si="241"/>
        <v>8852832</v>
      </c>
    </row>
    <row r="1603" spans="1:8" x14ac:dyDescent="0.25">
      <c r="A1603" s="85" t="s">
        <v>3909</v>
      </c>
      <c r="B1603" s="81" t="s">
        <v>3851</v>
      </c>
      <c r="C1603" s="26" t="s">
        <v>37</v>
      </c>
      <c r="D1603" s="68">
        <v>7658200</v>
      </c>
      <c r="E1603" s="74">
        <v>0.05</v>
      </c>
      <c r="F1603" s="129">
        <f t="shared" si="240"/>
        <v>8041110</v>
      </c>
      <c r="G1603" s="130">
        <f t="shared" si="242"/>
        <v>1527810.9</v>
      </c>
      <c r="H1603" s="131">
        <f t="shared" si="241"/>
        <v>9568921</v>
      </c>
    </row>
    <row r="1604" spans="1:8" x14ac:dyDescent="0.25">
      <c r="A1604" s="85" t="s">
        <v>3910</v>
      </c>
      <c r="B1604" s="81" t="s">
        <v>3842</v>
      </c>
      <c r="C1604" s="26" t="s">
        <v>37</v>
      </c>
      <c r="D1604" s="1001"/>
      <c r="E1604" s="74">
        <v>0.05</v>
      </c>
      <c r="F1604" s="129">
        <f t="shared" si="240"/>
        <v>0</v>
      </c>
      <c r="G1604" s="130">
        <f t="shared" si="242"/>
        <v>0</v>
      </c>
      <c r="H1604" s="131">
        <f t="shared" si="241"/>
        <v>0</v>
      </c>
    </row>
    <row r="1605" spans="1:8" x14ac:dyDescent="0.25">
      <c r="A1605" s="85" t="s">
        <v>3911</v>
      </c>
      <c r="B1605" s="81" t="s">
        <v>7314</v>
      </c>
      <c r="C1605" s="26" t="s">
        <v>37</v>
      </c>
      <c r="D1605" s="1001"/>
      <c r="E1605" s="74">
        <v>0.05</v>
      </c>
      <c r="F1605" s="129">
        <f t="shared" si="240"/>
        <v>0</v>
      </c>
      <c r="G1605" s="130">
        <f t="shared" si="242"/>
        <v>0</v>
      </c>
      <c r="H1605" s="131">
        <f t="shared" si="241"/>
        <v>0</v>
      </c>
    </row>
    <row r="1606" spans="1:8" x14ac:dyDescent="0.25">
      <c r="A1606" s="85" t="s">
        <v>3912</v>
      </c>
      <c r="B1606" s="81" t="s">
        <v>3853</v>
      </c>
      <c r="C1606" s="26" t="s">
        <v>37</v>
      </c>
      <c r="D1606" s="1001"/>
      <c r="E1606" s="74">
        <v>0.05</v>
      </c>
      <c r="F1606" s="129">
        <f t="shared" si="240"/>
        <v>0</v>
      </c>
      <c r="G1606" s="130">
        <f t="shared" si="242"/>
        <v>0</v>
      </c>
      <c r="H1606" s="131">
        <f t="shared" si="241"/>
        <v>0</v>
      </c>
    </row>
    <row r="1607" spans="1:8" x14ac:dyDescent="0.25">
      <c r="A1607" s="85" t="s">
        <v>3913</v>
      </c>
      <c r="B1607" s="81" t="s">
        <v>7488</v>
      </c>
      <c r="C1607" s="26" t="s">
        <v>37</v>
      </c>
      <c r="D1607" s="1001"/>
      <c r="E1607" s="74">
        <v>0.05</v>
      </c>
      <c r="F1607" s="129">
        <f t="shared" si="240"/>
        <v>0</v>
      </c>
      <c r="G1607" s="130">
        <f t="shared" si="242"/>
        <v>0</v>
      </c>
      <c r="H1607" s="131">
        <f t="shared" si="241"/>
        <v>0</v>
      </c>
    </row>
    <row r="1608" spans="1:8" x14ac:dyDescent="0.25">
      <c r="A1608" s="85" t="s">
        <v>3914</v>
      </c>
      <c r="B1608" s="81" t="s">
        <v>7643</v>
      </c>
      <c r="C1608" s="26" t="s">
        <v>37</v>
      </c>
      <c r="D1608" s="1001"/>
      <c r="E1608" s="74">
        <v>0.05</v>
      </c>
      <c r="F1608" s="129">
        <f t="shared" si="240"/>
        <v>0</v>
      </c>
      <c r="G1608" s="130">
        <f t="shared" si="242"/>
        <v>0</v>
      </c>
      <c r="H1608" s="131">
        <f t="shared" si="241"/>
        <v>0</v>
      </c>
    </row>
    <row r="1609" spans="1:8" x14ac:dyDescent="0.25">
      <c r="A1609" s="85" t="s">
        <v>3915</v>
      </c>
      <c r="B1609" s="81" t="s">
        <v>3856</v>
      </c>
      <c r="C1609" s="26" t="s">
        <v>37</v>
      </c>
      <c r="D1609" s="1001"/>
      <c r="E1609" s="74">
        <v>0.05</v>
      </c>
      <c r="F1609" s="129">
        <f t="shared" si="240"/>
        <v>0</v>
      </c>
      <c r="G1609" s="130">
        <f t="shared" si="242"/>
        <v>0</v>
      </c>
      <c r="H1609" s="131">
        <f t="shared" si="241"/>
        <v>0</v>
      </c>
    </row>
    <row r="1610" spans="1:8" x14ac:dyDescent="0.25">
      <c r="A1610" s="85" t="s">
        <v>3916</v>
      </c>
      <c r="B1610" s="81" t="s">
        <v>3857</v>
      </c>
      <c r="C1610" s="26" t="s">
        <v>37</v>
      </c>
      <c r="D1610" s="1001"/>
      <c r="E1610" s="74">
        <v>0.05</v>
      </c>
      <c r="F1610" s="129">
        <f t="shared" si="240"/>
        <v>0</v>
      </c>
      <c r="G1610" s="130">
        <f t="shared" si="242"/>
        <v>0</v>
      </c>
      <c r="H1610" s="131">
        <f t="shared" si="241"/>
        <v>0</v>
      </c>
    </row>
    <row r="1611" spans="1:8" x14ac:dyDescent="0.25">
      <c r="A1611" s="85" t="s">
        <v>3917</v>
      </c>
      <c r="B1611" s="81" t="s">
        <v>3858</v>
      </c>
      <c r="C1611" s="26" t="s">
        <v>37</v>
      </c>
      <c r="D1611" s="1001"/>
      <c r="E1611" s="74">
        <v>0.05</v>
      </c>
      <c r="F1611" s="129">
        <f t="shared" si="240"/>
        <v>0</v>
      </c>
      <c r="G1611" s="130">
        <f t="shared" si="242"/>
        <v>0</v>
      </c>
      <c r="H1611" s="131">
        <f t="shared" si="241"/>
        <v>0</v>
      </c>
    </row>
    <row r="1612" spans="1:8" x14ac:dyDescent="0.25">
      <c r="A1612" s="78" t="s">
        <v>3921</v>
      </c>
      <c r="B1612" s="79" t="s">
        <v>3919</v>
      </c>
      <c r="C1612" s="26"/>
      <c r="D1612" s="1001"/>
      <c r="E1612" s="74"/>
      <c r="F1612" s="129"/>
      <c r="G1612" s="130"/>
      <c r="H1612" s="131"/>
    </row>
    <row r="1613" spans="1:8" x14ac:dyDescent="0.25">
      <c r="A1613" s="85" t="s">
        <v>991</v>
      </c>
      <c r="B1613" s="81" t="s">
        <v>3920</v>
      </c>
      <c r="C1613" s="26" t="s">
        <v>37</v>
      </c>
      <c r="D1613" s="68">
        <v>165000</v>
      </c>
      <c r="E1613" s="74">
        <v>0.05</v>
      </c>
      <c r="F1613" s="129">
        <f t="shared" si="240"/>
        <v>173250</v>
      </c>
      <c r="G1613" s="130">
        <f t="shared" ref="G1613:G1644" si="243">F1613*0.19</f>
        <v>32917.5</v>
      </c>
      <c r="H1613" s="131">
        <f t="shared" si="241"/>
        <v>206168</v>
      </c>
    </row>
    <row r="1614" spans="1:8" x14ac:dyDescent="0.25">
      <c r="A1614" s="85" t="s">
        <v>992</v>
      </c>
      <c r="B1614" s="81" t="s">
        <v>3980</v>
      </c>
      <c r="C1614" s="26" t="s">
        <v>37</v>
      </c>
      <c r="D1614" s="68">
        <v>284900</v>
      </c>
      <c r="E1614" s="74">
        <v>0.05</v>
      </c>
      <c r="F1614" s="129">
        <f t="shared" si="240"/>
        <v>299145</v>
      </c>
      <c r="G1614" s="130">
        <f t="shared" si="243"/>
        <v>56837.55</v>
      </c>
      <c r="H1614" s="131">
        <f t="shared" si="241"/>
        <v>355983</v>
      </c>
    </row>
    <row r="1615" spans="1:8" x14ac:dyDescent="0.25">
      <c r="A1615" s="85" t="s">
        <v>3922</v>
      </c>
      <c r="B1615" s="81" t="s">
        <v>3981</v>
      </c>
      <c r="C1615" s="26" t="s">
        <v>37</v>
      </c>
      <c r="D1615" s="68">
        <v>350900</v>
      </c>
      <c r="E1615" s="74">
        <v>0.05</v>
      </c>
      <c r="F1615" s="129">
        <f t="shared" si="240"/>
        <v>368445</v>
      </c>
      <c r="G1615" s="130">
        <f t="shared" si="243"/>
        <v>70004.55</v>
      </c>
      <c r="H1615" s="131">
        <f t="shared" si="241"/>
        <v>438450</v>
      </c>
    </row>
    <row r="1616" spans="1:8" x14ac:dyDescent="0.25">
      <c r="A1616" s="85" t="s">
        <v>3923</v>
      </c>
      <c r="B1616" s="81" t="s">
        <v>3982</v>
      </c>
      <c r="C1616" s="26" t="s">
        <v>37</v>
      </c>
      <c r="D1616" s="68">
        <v>420200</v>
      </c>
      <c r="E1616" s="74">
        <v>0.05</v>
      </c>
      <c r="F1616" s="129">
        <f t="shared" si="240"/>
        <v>441210</v>
      </c>
      <c r="G1616" s="130">
        <f t="shared" si="243"/>
        <v>83829.899999999994</v>
      </c>
      <c r="H1616" s="131">
        <f t="shared" si="241"/>
        <v>525040</v>
      </c>
    </row>
    <row r="1617" spans="1:8" x14ac:dyDescent="0.25">
      <c r="A1617" s="85" t="s">
        <v>3924</v>
      </c>
      <c r="B1617" s="81" t="s">
        <v>3983</v>
      </c>
      <c r="C1617" s="26" t="s">
        <v>37</v>
      </c>
      <c r="D1617" s="68">
        <v>420200</v>
      </c>
      <c r="E1617" s="74">
        <v>0.05</v>
      </c>
      <c r="F1617" s="129">
        <f t="shared" si="240"/>
        <v>441210</v>
      </c>
      <c r="G1617" s="130">
        <f t="shared" si="243"/>
        <v>83829.899999999994</v>
      </c>
      <c r="H1617" s="131">
        <f t="shared" si="241"/>
        <v>525040</v>
      </c>
    </row>
    <row r="1618" spans="1:8" x14ac:dyDescent="0.25">
      <c r="A1618" s="85" t="s">
        <v>3925</v>
      </c>
      <c r="B1618" s="81" t="s">
        <v>3984</v>
      </c>
      <c r="C1618" s="26" t="s">
        <v>37</v>
      </c>
      <c r="D1618" s="68">
        <v>420200</v>
      </c>
      <c r="E1618" s="74">
        <v>0.05</v>
      </c>
      <c r="F1618" s="129">
        <f t="shared" si="240"/>
        <v>441210</v>
      </c>
      <c r="G1618" s="130">
        <f t="shared" si="243"/>
        <v>83829.899999999994</v>
      </c>
      <c r="H1618" s="131">
        <f t="shared" si="241"/>
        <v>525040</v>
      </c>
    </row>
    <row r="1619" spans="1:8" x14ac:dyDescent="0.25">
      <c r="A1619" s="85" t="s">
        <v>3926</v>
      </c>
      <c r="B1619" s="81" t="s">
        <v>7837</v>
      </c>
      <c r="C1619" s="26" t="s">
        <v>37</v>
      </c>
      <c r="D1619" s="68">
        <v>427900</v>
      </c>
      <c r="E1619" s="74">
        <v>0.05</v>
      </c>
      <c r="F1619" s="129">
        <f t="shared" ref="F1619:F1682" si="244">+D1619+D1619*E1619</f>
        <v>449295</v>
      </c>
      <c r="G1619" s="130">
        <f t="shared" si="243"/>
        <v>85366.05</v>
      </c>
      <c r="H1619" s="131">
        <f t="shared" ref="H1619:H1682" si="245">ROUND((F1619+G1619),0)</f>
        <v>534661</v>
      </c>
    </row>
    <row r="1620" spans="1:8" x14ac:dyDescent="0.25">
      <c r="A1620" s="85" t="s">
        <v>3927</v>
      </c>
      <c r="B1620" s="81" t="s">
        <v>7838</v>
      </c>
      <c r="C1620" s="26" t="s">
        <v>37</v>
      </c>
      <c r="D1620" s="68">
        <v>523600</v>
      </c>
      <c r="E1620" s="74">
        <v>0.05</v>
      </c>
      <c r="F1620" s="129">
        <f t="shared" si="244"/>
        <v>549780</v>
      </c>
      <c r="G1620" s="130">
        <f t="shared" si="243"/>
        <v>104458.2</v>
      </c>
      <c r="H1620" s="131">
        <f t="shared" si="245"/>
        <v>654238</v>
      </c>
    </row>
    <row r="1621" spans="1:8" x14ac:dyDescent="0.25">
      <c r="A1621" s="85" t="s">
        <v>3928</v>
      </c>
      <c r="B1621" s="81" t="s">
        <v>7839</v>
      </c>
      <c r="C1621" s="26" t="s">
        <v>37</v>
      </c>
      <c r="D1621" s="68">
        <v>762300</v>
      </c>
      <c r="E1621" s="74">
        <v>0.05</v>
      </c>
      <c r="F1621" s="129">
        <f t="shared" si="244"/>
        <v>800415</v>
      </c>
      <c r="G1621" s="130">
        <f t="shared" si="243"/>
        <v>152078.85</v>
      </c>
      <c r="H1621" s="131">
        <f t="shared" si="245"/>
        <v>952494</v>
      </c>
    </row>
    <row r="1622" spans="1:8" x14ac:dyDescent="0.25">
      <c r="A1622" s="85" t="s">
        <v>3929</v>
      </c>
      <c r="B1622" s="81" t="s">
        <v>7840</v>
      </c>
      <c r="C1622" s="26" t="s">
        <v>37</v>
      </c>
      <c r="D1622" s="68">
        <v>946000</v>
      </c>
      <c r="E1622" s="74">
        <v>0.05</v>
      </c>
      <c r="F1622" s="129">
        <f t="shared" si="244"/>
        <v>993300</v>
      </c>
      <c r="G1622" s="130">
        <f t="shared" si="243"/>
        <v>188727</v>
      </c>
      <c r="H1622" s="131">
        <f t="shared" si="245"/>
        <v>1182027</v>
      </c>
    </row>
    <row r="1623" spans="1:8" x14ac:dyDescent="0.25">
      <c r="A1623" s="85" t="s">
        <v>3930</v>
      </c>
      <c r="B1623" s="81" t="s">
        <v>3989</v>
      </c>
      <c r="C1623" s="26" t="s">
        <v>37</v>
      </c>
      <c r="D1623" s="68">
        <v>906400</v>
      </c>
      <c r="E1623" s="74">
        <v>0.05</v>
      </c>
      <c r="F1623" s="129">
        <f t="shared" si="244"/>
        <v>951720</v>
      </c>
      <c r="G1623" s="130">
        <f t="shared" si="243"/>
        <v>180826.8</v>
      </c>
      <c r="H1623" s="131">
        <f t="shared" si="245"/>
        <v>1132547</v>
      </c>
    </row>
    <row r="1624" spans="1:8" x14ac:dyDescent="0.25">
      <c r="A1624" s="85" t="s">
        <v>3931</v>
      </c>
      <c r="B1624" s="81" t="s">
        <v>3990</v>
      </c>
      <c r="C1624" s="26" t="s">
        <v>37</v>
      </c>
      <c r="D1624" s="68">
        <v>952600</v>
      </c>
      <c r="E1624" s="74">
        <v>0.05</v>
      </c>
      <c r="F1624" s="129">
        <f t="shared" si="244"/>
        <v>1000230</v>
      </c>
      <c r="G1624" s="130">
        <f t="shared" si="243"/>
        <v>190043.7</v>
      </c>
      <c r="H1624" s="131">
        <f t="shared" si="245"/>
        <v>1190274</v>
      </c>
    </row>
    <row r="1625" spans="1:8" x14ac:dyDescent="0.25">
      <c r="A1625" s="85" t="s">
        <v>3932</v>
      </c>
      <c r="B1625" s="81" t="s">
        <v>7841</v>
      </c>
      <c r="C1625" s="26" t="s">
        <v>37</v>
      </c>
      <c r="D1625" s="68">
        <v>1207800</v>
      </c>
      <c r="E1625" s="74">
        <v>0.05</v>
      </c>
      <c r="F1625" s="129">
        <f t="shared" si="244"/>
        <v>1268190</v>
      </c>
      <c r="G1625" s="130">
        <f t="shared" si="243"/>
        <v>240956.1</v>
      </c>
      <c r="H1625" s="131">
        <f t="shared" si="245"/>
        <v>1509146</v>
      </c>
    </row>
    <row r="1626" spans="1:8" x14ac:dyDescent="0.25">
      <c r="A1626" s="85" t="s">
        <v>3933</v>
      </c>
      <c r="B1626" s="81" t="s">
        <v>3992</v>
      </c>
      <c r="C1626" s="26" t="s">
        <v>37</v>
      </c>
      <c r="D1626" s="68">
        <v>1467400</v>
      </c>
      <c r="E1626" s="74">
        <v>0.05</v>
      </c>
      <c r="F1626" s="129">
        <f t="shared" si="244"/>
        <v>1540770</v>
      </c>
      <c r="G1626" s="130">
        <f t="shared" si="243"/>
        <v>292746.3</v>
      </c>
      <c r="H1626" s="131">
        <f t="shared" si="245"/>
        <v>1833516</v>
      </c>
    </row>
    <row r="1627" spans="1:8" x14ac:dyDescent="0.25">
      <c r="A1627" s="85" t="s">
        <v>3934</v>
      </c>
      <c r="B1627" s="81" t="s">
        <v>7315</v>
      </c>
      <c r="C1627" s="26" t="s">
        <v>37</v>
      </c>
      <c r="D1627" s="68">
        <v>1321100</v>
      </c>
      <c r="E1627" s="74">
        <v>0.05</v>
      </c>
      <c r="F1627" s="129">
        <f t="shared" si="244"/>
        <v>1387155</v>
      </c>
      <c r="G1627" s="130">
        <f t="shared" si="243"/>
        <v>263559.45</v>
      </c>
      <c r="H1627" s="131">
        <f t="shared" si="245"/>
        <v>1650714</v>
      </c>
    </row>
    <row r="1628" spans="1:8" x14ac:dyDescent="0.25">
      <c r="A1628" s="85" t="s">
        <v>3935</v>
      </c>
      <c r="B1628" s="81" t="s">
        <v>7316</v>
      </c>
      <c r="C1628" s="26" t="s">
        <v>37</v>
      </c>
      <c r="D1628" s="68">
        <v>1802900</v>
      </c>
      <c r="E1628" s="74">
        <v>0.05</v>
      </c>
      <c r="F1628" s="129">
        <f t="shared" si="244"/>
        <v>1893045</v>
      </c>
      <c r="G1628" s="130">
        <f t="shared" si="243"/>
        <v>359678.55</v>
      </c>
      <c r="H1628" s="131">
        <f t="shared" si="245"/>
        <v>2252724</v>
      </c>
    </row>
    <row r="1629" spans="1:8" x14ac:dyDescent="0.25">
      <c r="A1629" s="85" t="s">
        <v>3936</v>
      </c>
      <c r="B1629" s="81" t="s">
        <v>7842</v>
      </c>
      <c r="C1629" s="26" t="s">
        <v>37</v>
      </c>
      <c r="D1629" s="68">
        <v>1998700</v>
      </c>
      <c r="E1629" s="74">
        <v>0.05</v>
      </c>
      <c r="F1629" s="129">
        <f t="shared" si="244"/>
        <v>2098635</v>
      </c>
      <c r="G1629" s="130">
        <f t="shared" si="243"/>
        <v>398740.65</v>
      </c>
      <c r="H1629" s="131">
        <f t="shared" si="245"/>
        <v>2497376</v>
      </c>
    </row>
    <row r="1630" spans="1:8" x14ac:dyDescent="0.25">
      <c r="A1630" s="85" t="s">
        <v>3937</v>
      </c>
      <c r="B1630" s="81" t="s">
        <v>7317</v>
      </c>
      <c r="C1630" s="26" t="s">
        <v>37</v>
      </c>
      <c r="D1630" s="68">
        <v>2085600</v>
      </c>
      <c r="E1630" s="74">
        <v>0.05</v>
      </c>
      <c r="F1630" s="129">
        <f t="shared" si="244"/>
        <v>2189880</v>
      </c>
      <c r="G1630" s="130">
        <f t="shared" si="243"/>
        <v>416077.2</v>
      </c>
      <c r="H1630" s="131">
        <f t="shared" si="245"/>
        <v>2605957</v>
      </c>
    </row>
    <row r="1631" spans="1:8" x14ac:dyDescent="0.25">
      <c r="A1631" s="85" t="s">
        <v>3938</v>
      </c>
      <c r="B1631" s="81" t="s">
        <v>7318</v>
      </c>
      <c r="C1631" s="26" t="s">
        <v>37</v>
      </c>
      <c r="D1631" s="68">
        <v>2297900</v>
      </c>
      <c r="E1631" s="74">
        <v>0.05</v>
      </c>
      <c r="F1631" s="129">
        <f t="shared" si="244"/>
        <v>2412795</v>
      </c>
      <c r="G1631" s="130">
        <f t="shared" si="243"/>
        <v>458431.05</v>
      </c>
      <c r="H1631" s="131">
        <f t="shared" si="245"/>
        <v>2871226</v>
      </c>
    </row>
    <row r="1632" spans="1:8" x14ac:dyDescent="0.25">
      <c r="A1632" s="85" t="s">
        <v>3939</v>
      </c>
      <c r="B1632" s="81" t="s">
        <v>3998</v>
      </c>
      <c r="C1632" s="26" t="s">
        <v>37</v>
      </c>
      <c r="D1632" s="68">
        <v>2065800</v>
      </c>
      <c r="E1632" s="74">
        <v>0.05</v>
      </c>
      <c r="F1632" s="129">
        <f t="shared" si="244"/>
        <v>2169090</v>
      </c>
      <c r="G1632" s="130">
        <f t="shared" si="243"/>
        <v>412127.1</v>
      </c>
      <c r="H1632" s="131">
        <f t="shared" si="245"/>
        <v>2581217</v>
      </c>
    </row>
    <row r="1633" spans="1:8" x14ac:dyDescent="0.25">
      <c r="A1633" s="85" t="s">
        <v>3940</v>
      </c>
      <c r="B1633" s="81" t="s">
        <v>3999</v>
      </c>
      <c r="C1633" s="26" t="s">
        <v>37</v>
      </c>
      <c r="D1633" s="68">
        <v>2065800</v>
      </c>
      <c r="E1633" s="74">
        <v>0.05</v>
      </c>
      <c r="F1633" s="129">
        <f t="shared" si="244"/>
        <v>2169090</v>
      </c>
      <c r="G1633" s="130">
        <f t="shared" si="243"/>
        <v>412127.1</v>
      </c>
      <c r="H1633" s="131">
        <f t="shared" si="245"/>
        <v>2581217</v>
      </c>
    </row>
    <row r="1634" spans="1:8" x14ac:dyDescent="0.25">
      <c r="A1634" s="85" t="s">
        <v>3941</v>
      </c>
      <c r="B1634" s="81" t="s">
        <v>7843</v>
      </c>
      <c r="C1634" s="26" t="s">
        <v>37</v>
      </c>
      <c r="D1634" s="68">
        <v>2065800</v>
      </c>
      <c r="E1634" s="74">
        <v>0.05</v>
      </c>
      <c r="F1634" s="129">
        <f t="shared" si="244"/>
        <v>2169090</v>
      </c>
      <c r="G1634" s="130">
        <f t="shared" si="243"/>
        <v>412127.1</v>
      </c>
      <c r="H1634" s="131">
        <f t="shared" si="245"/>
        <v>2581217</v>
      </c>
    </row>
    <row r="1635" spans="1:8" x14ac:dyDescent="0.25">
      <c r="A1635" s="85" t="s">
        <v>3942</v>
      </c>
      <c r="B1635" s="81" t="s">
        <v>4001</v>
      </c>
      <c r="C1635" s="26" t="s">
        <v>37</v>
      </c>
      <c r="D1635" s="68">
        <v>2328700</v>
      </c>
      <c r="E1635" s="74">
        <v>0.05</v>
      </c>
      <c r="F1635" s="129">
        <f t="shared" si="244"/>
        <v>2445135</v>
      </c>
      <c r="G1635" s="130">
        <f t="shared" si="243"/>
        <v>464575.65</v>
      </c>
      <c r="H1635" s="131">
        <f t="shared" si="245"/>
        <v>2909711</v>
      </c>
    </row>
    <row r="1636" spans="1:8" x14ac:dyDescent="0.25">
      <c r="A1636" s="85" t="s">
        <v>3943</v>
      </c>
      <c r="B1636" s="81" t="s">
        <v>7319</v>
      </c>
      <c r="C1636" s="26" t="s">
        <v>37</v>
      </c>
      <c r="D1636" s="68">
        <v>2447500</v>
      </c>
      <c r="E1636" s="74">
        <v>0.05</v>
      </c>
      <c r="F1636" s="129">
        <f t="shared" si="244"/>
        <v>2569875</v>
      </c>
      <c r="G1636" s="130">
        <f t="shared" si="243"/>
        <v>488276.25</v>
      </c>
      <c r="H1636" s="131">
        <f t="shared" si="245"/>
        <v>3058151</v>
      </c>
    </row>
    <row r="1637" spans="1:8" x14ac:dyDescent="0.25">
      <c r="A1637" s="85" t="s">
        <v>3944</v>
      </c>
      <c r="B1637" s="81" t="s">
        <v>4003</v>
      </c>
      <c r="C1637" s="26" t="s">
        <v>37</v>
      </c>
      <c r="D1637" s="68">
        <v>3375900</v>
      </c>
      <c r="E1637" s="74">
        <v>0.05</v>
      </c>
      <c r="F1637" s="129">
        <f t="shared" si="244"/>
        <v>3544695</v>
      </c>
      <c r="G1637" s="130">
        <f t="shared" si="243"/>
        <v>673492.05</v>
      </c>
      <c r="H1637" s="131">
        <f t="shared" si="245"/>
        <v>4218187</v>
      </c>
    </row>
    <row r="1638" spans="1:8" x14ac:dyDescent="0.25">
      <c r="A1638" s="85" t="s">
        <v>3945</v>
      </c>
      <c r="B1638" s="81" t="s">
        <v>7489</v>
      </c>
      <c r="C1638" s="26" t="s">
        <v>37</v>
      </c>
      <c r="D1638" s="68">
        <v>2038300</v>
      </c>
      <c r="E1638" s="74">
        <v>0.05</v>
      </c>
      <c r="F1638" s="129">
        <f t="shared" si="244"/>
        <v>2140215</v>
      </c>
      <c r="G1638" s="130">
        <f t="shared" si="243"/>
        <v>406640.85</v>
      </c>
      <c r="H1638" s="131">
        <f t="shared" si="245"/>
        <v>2546856</v>
      </c>
    </row>
    <row r="1639" spans="1:8" x14ac:dyDescent="0.25">
      <c r="A1639" s="85" t="s">
        <v>3946</v>
      </c>
      <c r="B1639" s="81" t="s">
        <v>7490</v>
      </c>
      <c r="C1639" s="26" t="s">
        <v>37</v>
      </c>
      <c r="D1639" s="68">
        <v>2103200</v>
      </c>
      <c r="E1639" s="74">
        <v>0.05</v>
      </c>
      <c r="F1639" s="129">
        <f t="shared" si="244"/>
        <v>2208360</v>
      </c>
      <c r="G1639" s="130">
        <f t="shared" si="243"/>
        <v>419588.4</v>
      </c>
      <c r="H1639" s="131">
        <f t="shared" si="245"/>
        <v>2627948</v>
      </c>
    </row>
    <row r="1640" spans="1:8" x14ac:dyDescent="0.25">
      <c r="A1640" s="85" t="s">
        <v>3947</v>
      </c>
      <c r="B1640" s="81" t="s">
        <v>7844</v>
      </c>
      <c r="C1640" s="26" t="s">
        <v>37</v>
      </c>
      <c r="D1640" s="68">
        <v>2162600</v>
      </c>
      <c r="E1640" s="74">
        <v>0.05</v>
      </c>
      <c r="F1640" s="129">
        <f t="shared" si="244"/>
        <v>2270730</v>
      </c>
      <c r="G1640" s="130">
        <f t="shared" si="243"/>
        <v>431438.7</v>
      </c>
      <c r="H1640" s="131">
        <f t="shared" si="245"/>
        <v>2702169</v>
      </c>
    </row>
    <row r="1641" spans="1:8" x14ac:dyDescent="0.25">
      <c r="A1641" s="85" t="s">
        <v>3948</v>
      </c>
      <c r="B1641" s="81" t="s">
        <v>7491</v>
      </c>
      <c r="C1641" s="26" t="s">
        <v>37</v>
      </c>
      <c r="D1641" s="68">
        <v>2420000</v>
      </c>
      <c r="E1641" s="74">
        <v>0.05</v>
      </c>
      <c r="F1641" s="129">
        <f t="shared" si="244"/>
        <v>2541000</v>
      </c>
      <c r="G1641" s="130">
        <f t="shared" si="243"/>
        <v>482790</v>
      </c>
      <c r="H1641" s="131">
        <f t="shared" si="245"/>
        <v>3023790</v>
      </c>
    </row>
    <row r="1642" spans="1:8" x14ac:dyDescent="0.25">
      <c r="A1642" s="85" t="s">
        <v>3949</v>
      </c>
      <c r="B1642" s="81" t="s">
        <v>7492</v>
      </c>
      <c r="C1642" s="26" t="s">
        <v>37</v>
      </c>
      <c r="D1642" s="68">
        <v>3850000</v>
      </c>
      <c r="E1642" s="74">
        <v>0.05</v>
      </c>
      <c r="F1642" s="129">
        <f t="shared" si="244"/>
        <v>4042500</v>
      </c>
      <c r="G1642" s="130">
        <f t="shared" si="243"/>
        <v>768075</v>
      </c>
      <c r="H1642" s="131">
        <f t="shared" si="245"/>
        <v>4810575</v>
      </c>
    </row>
    <row r="1643" spans="1:8" x14ac:dyDescent="0.25">
      <c r="A1643" s="85" t="s">
        <v>3950</v>
      </c>
      <c r="B1643" s="81" t="s">
        <v>7493</v>
      </c>
      <c r="C1643" s="26" t="s">
        <v>37</v>
      </c>
      <c r="D1643" s="68">
        <v>4676100</v>
      </c>
      <c r="E1643" s="74">
        <v>0.05</v>
      </c>
      <c r="F1643" s="129">
        <f t="shared" si="244"/>
        <v>4909905</v>
      </c>
      <c r="G1643" s="130">
        <f t="shared" si="243"/>
        <v>932881.95</v>
      </c>
      <c r="H1643" s="131">
        <f t="shared" si="245"/>
        <v>5842787</v>
      </c>
    </row>
    <row r="1644" spans="1:8" x14ac:dyDescent="0.25">
      <c r="A1644" s="85" t="s">
        <v>3951</v>
      </c>
      <c r="B1644" s="81" t="s">
        <v>7494</v>
      </c>
      <c r="C1644" s="26" t="s">
        <v>37</v>
      </c>
      <c r="D1644" s="68">
        <v>4676100</v>
      </c>
      <c r="E1644" s="74">
        <v>0.05</v>
      </c>
      <c r="F1644" s="129">
        <f t="shared" si="244"/>
        <v>4909905</v>
      </c>
      <c r="G1644" s="130">
        <f t="shared" si="243"/>
        <v>932881.95</v>
      </c>
      <c r="H1644" s="131">
        <f t="shared" si="245"/>
        <v>5842787</v>
      </c>
    </row>
    <row r="1645" spans="1:8" x14ac:dyDescent="0.25">
      <c r="A1645" s="85" t="s">
        <v>3952</v>
      </c>
      <c r="B1645" s="81" t="s">
        <v>7644</v>
      </c>
      <c r="C1645" s="26" t="s">
        <v>37</v>
      </c>
      <c r="D1645" s="68">
        <v>3114100</v>
      </c>
      <c r="E1645" s="74">
        <v>0.05</v>
      </c>
      <c r="F1645" s="129">
        <f t="shared" si="244"/>
        <v>3269805</v>
      </c>
      <c r="G1645" s="130">
        <f t="shared" ref="G1645:G1672" si="246">F1645*0.19</f>
        <v>621262.94999999995</v>
      </c>
      <c r="H1645" s="131">
        <f t="shared" si="245"/>
        <v>3891068</v>
      </c>
    </row>
    <row r="1646" spans="1:8" x14ac:dyDescent="0.25">
      <c r="A1646" s="85" t="s">
        <v>3953</v>
      </c>
      <c r="B1646" s="81" t="s">
        <v>7845</v>
      </c>
      <c r="C1646" s="26" t="s">
        <v>37</v>
      </c>
      <c r="D1646" s="68">
        <v>3208700</v>
      </c>
      <c r="E1646" s="74">
        <v>0.05</v>
      </c>
      <c r="F1646" s="129">
        <f t="shared" si="244"/>
        <v>3369135</v>
      </c>
      <c r="G1646" s="130">
        <f t="shared" si="246"/>
        <v>640135.65</v>
      </c>
      <c r="H1646" s="131">
        <f t="shared" si="245"/>
        <v>4009271</v>
      </c>
    </row>
    <row r="1647" spans="1:8" x14ac:dyDescent="0.25">
      <c r="A1647" s="85" t="s">
        <v>3954</v>
      </c>
      <c r="B1647" s="81" t="s">
        <v>7645</v>
      </c>
      <c r="C1647" s="26" t="s">
        <v>37</v>
      </c>
      <c r="D1647" s="68">
        <v>3531000</v>
      </c>
      <c r="E1647" s="74">
        <v>0.05</v>
      </c>
      <c r="F1647" s="129">
        <f t="shared" si="244"/>
        <v>3707550</v>
      </c>
      <c r="G1647" s="130">
        <f t="shared" si="246"/>
        <v>704434.5</v>
      </c>
      <c r="H1647" s="131">
        <f t="shared" si="245"/>
        <v>4411985</v>
      </c>
    </row>
    <row r="1648" spans="1:8" x14ac:dyDescent="0.25">
      <c r="A1648" s="85" t="s">
        <v>3955</v>
      </c>
      <c r="B1648" s="81" t="s">
        <v>7646</v>
      </c>
      <c r="C1648" s="26" t="s">
        <v>37</v>
      </c>
      <c r="D1648" s="68">
        <v>3593700</v>
      </c>
      <c r="E1648" s="74">
        <v>0.05</v>
      </c>
      <c r="F1648" s="129">
        <f t="shared" si="244"/>
        <v>3773385</v>
      </c>
      <c r="G1648" s="130">
        <f t="shared" si="246"/>
        <v>716943.15</v>
      </c>
      <c r="H1648" s="131">
        <f t="shared" si="245"/>
        <v>4490328</v>
      </c>
    </row>
    <row r="1649" spans="1:8" x14ac:dyDescent="0.25">
      <c r="A1649" s="85" t="s">
        <v>3956</v>
      </c>
      <c r="B1649" s="81" t="s">
        <v>7647</v>
      </c>
      <c r="C1649" s="26" t="s">
        <v>37</v>
      </c>
      <c r="D1649" s="68">
        <v>3765300</v>
      </c>
      <c r="E1649" s="74">
        <v>0.05</v>
      </c>
      <c r="F1649" s="129">
        <f t="shared" si="244"/>
        <v>3953565</v>
      </c>
      <c r="G1649" s="130">
        <f t="shared" si="246"/>
        <v>751177.35</v>
      </c>
      <c r="H1649" s="131">
        <f t="shared" si="245"/>
        <v>4704742</v>
      </c>
    </row>
    <row r="1650" spans="1:8" x14ac:dyDescent="0.25">
      <c r="A1650" s="85" t="s">
        <v>3957</v>
      </c>
      <c r="B1650" s="81" t="s">
        <v>7648</v>
      </c>
      <c r="C1650" s="26" t="s">
        <v>37</v>
      </c>
      <c r="D1650" s="68">
        <v>3958900</v>
      </c>
      <c r="E1650" s="74">
        <v>0.05</v>
      </c>
      <c r="F1650" s="129">
        <f t="shared" si="244"/>
        <v>4156845</v>
      </c>
      <c r="G1650" s="130">
        <f t="shared" si="246"/>
        <v>789800.55</v>
      </c>
      <c r="H1650" s="131">
        <f t="shared" si="245"/>
        <v>4946646</v>
      </c>
    </row>
    <row r="1651" spans="1:8" x14ac:dyDescent="0.25">
      <c r="A1651" s="85" t="s">
        <v>3958</v>
      </c>
      <c r="B1651" s="81" t="s">
        <v>7649</v>
      </c>
      <c r="C1651" s="26" t="s">
        <v>37</v>
      </c>
      <c r="D1651" s="68">
        <v>4449500</v>
      </c>
      <c r="E1651" s="74">
        <v>0.05</v>
      </c>
      <c r="F1651" s="129">
        <f t="shared" si="244"/>
        <v>4671975</v>
      </c>
      <c r="G1651" s="130">
        <f t="shared" si="246"/>
        <v>887675.25</v>
      </c>
      <c r="H1651" s="131">
        <f t="shared" si="245"/>
        <v>5559650</v>
      </c>
    </row>
    <row r="1652" spans="1:8" x14ac:dyDescent="0.25">
      <c r="A1652" s="85" t="s">
        <v>3959</v>
      </c>
      <c r="B1652" s="81" t="s">
        <v>4018</v>
      </c>
      <c r="C1652" s="26" t="s">
        <v>37</v>
      </c>
      <c r="D1652" s="68">
        <v>5060000</v>
      </c>
      <c r="E1652" s="74">
        <v>0.05</v>
      </c>
      <c r="F1652" s="129">
        <f t="shared" si="244"/>
        <v>5313000</v>
      </c>
      <c r="G1652" s="130">
        <f t="shared" si="246"/>
        <v>1009470</v>
      </c>
      <c r="H1652" s="131">
        <f t="shared" si="245"/>
        <v>6322470</v>
      </c>
    </row>
    <row r="1653" spans="1:8" x14ac:dyDescent="0.25">
      <c r="A1653" s="85" t="s">
        <v>3960</v>
      </c>
      <c r="B1653" s="81" t="s">
        <v>7320</v>
      </c>
      <c r="C1653" s="26" t="s">
        <v>37</v>
      </c>
      <c r="D1653" s="68">
        <v>5275600</v>
      </c>
      <c r="E1653" s="74">
        <v>0.05</v>
      </c>
      <c r="F1653" s="129">
        <f t="shared" si="244"/>
        <v>5539380</v>
      </c>
      <c r="G1653" s="130">
        <f t="shared" si="246"/>
        <v>1052482.2</v>
      </c>
      <c r="H1653" s="131">
        <f t="shared" si="245"/>
        <v>6591862</v>
      </c>
    </row>
    <row r="1654" spans="1:8" x14ac:dyDescent="0.25">
      <c r="A1654" s="85" t="s">
        <v>3961</v>
      </c>
      <c r="B1654" s="81" t="s">
        <v>4020</v>
      </c>
      <c r="C1654" s="26" t="s">
        <v>37</v>
      </c>
      <c r="D1654" s="68">
        <v>5119400</v>
      </c>
      <c r="E1654" s="74">
        <v>0.05</v>
      </c>
      <c r="F1654" s="129">
        <f t="shared" si="244"/>
        <v>5375370</v>
      </c>
      <c r="G1654" s="130">
        <f t="shared" si="246"/>
        <v>1021320.3</v>
      </c>
      <c r="H1654" s="131">
        <f t="shared" si="245"/>
        <v>6396690</v>
      </c>
    </row>
    <row r="1655" spans="1:8" x14ac:dyDescent="0.25">
      <c r="A1655" s="85" t="s">
        <v>3962</v>
      </c>
      <c r="B1655" s="81" t="s">
        <v>7495</v>
      </c>
      <c r="C1655" s="26" t="s">
        <v>37</v>
      </c>
      <c r="D1655" s="68">
        <v>5720000</v>
      </c>
      <c r="E1655" s="74">
        <v>0.05</v>
      </c>
      <c r="F1655" s="129">
        <f t="shared" si="244"/>
        <v>6006000</v>
      </c>
      <c r="G1655" s="130">
        <f t="shared" si="246"/>
        <v>1141140</v>
      </c>
      <c r="H1655" s="131">
        <f t="shared" si="245"/>
        <v>7147140</v>
      </c>
    </row>
    <row r="1656" spans="1:8" x14ac:dyDescent="0.25">
      <c r="A1656" s="85" t="s">
        <v>3963</v>
      </c>
      <c r="B1656" s="81" t="s">
        <v>7650</v>
      </c>
      <c r="C1656" s="26" t="s">
        <v>37</v>
      </c>
      <c r="D1656" s="68">
        <v>6029100</v>
      </c>
      <c r="E1656" s="74">
        <v>0.05</v>
      </c>
      <c r="F1656" s="129">
        <f t="shared" si="244"/>
        <v>6330555</v>
      </c>
      <c r="G1656" s="130">
        <f t="shared" si="246"/>
        <v>1202805.45</v>
      </c>
      <c r="H1656" s="131">
        <f t="shared" si="245"/>
        <v>7533360</v>
      </c>
    </row>
    <row r="1657" spans="1:8" x14ac:dyDescent="0.25">
      <c r="A1657" s="85" t="s">
        <v>3964</v>
      </c>
      <c r="B1657" s="81" t="s">
        <v>4023</v>
      </c>
      <c r="C1657" s="26" t="s">
        <v>37</v>
      </c>
      <c r="D1657" s="68">
        <v>6640700</v>
      </c>
      <c r="E1657" s="74">
        <v>0.05</v>
      </c>
      <c r="F1657" s="129">
        <f t="shared" si="244"/>
        <v>6972735</v>
      </c>
      <c r="G1657" s="130">
        <f t="shared" si="246"/>
        <v>1324819.6499999999</v>
      </c>
      <c r="H1657" s="131">
        <f t="shared" si="245"/>
        <v>8297555</v>
      </c>
    </row>
    <row r="1658" spans="1:8" x14ac:dyDescent="0.25">
      <c r="A1658" s="85" t="s">
        <v>3965</v>
      </c>
      <c r="B1658" s="81" t="s">
        <v>4024</v>
      </c>
      <c r="C1658" s="26" t="s">
        <v>37</v>
      </c>
      <c r="D1658" s="68">
        <v>6319500</v>
      </c>
      <c r="E1658" s="74">
        <v>0.05</v>
      </c>
      <c r="F1658" s="129">
        <f t="shared" si="244"/>
        <v>6635475</v>
      </c>
      <c r="G1658" s="130">
        <f t="shared" si="246"/>
        <v>1260740.25</v>
      </c>
      <c r="H1658" s="131">
        <f t="shared" si="245"/>
        <v>7896215</v>
      </c>
    </row>
    <row r="1659" spans="1:8" x14ac:dyDescent="0.25">
      <c r="A1659" s="85" t="s">
        <v>3966</v>
      </c>
      <c r="B1659" s="81" t="s">
        <v>7321</v>
      </c>
      <c r="C1659" s="26" t="s">
        <v>37</v>
      </c>
      <c r="D1659" s="68">
        <v>6438300</v>
      </c>
      <c r="E1659" s="74">
        <v>0.05</v>
      </c>
      <c r="F1659" s="129">
        <f t="shared" si="244"/>
        <v>6760215</v>
      </c>
      <c r="G1659" s="130">
        <f t="shared" si="246"/>
        <v>1284440.8500000001</v>
      </c>
      <c r="H1659" s="131">
        <f t="shared" si="245"/>
        <v>8044656</v>
      </c>
    </row>
    <row r="1660" spans="1:8" x14ac:dyDescent="0.25">
      <c r="A1660" s="85" t="s">
        <v>3967</v>
      </c>
      <c r="B1660" s="81" t="s">
        <v>4026</v>
      </c>
      <c r="C1660" s="26" t="s">
        <v>37</v>
      </c>
      <c r="D1660" s="68">
        <v>6598900</v>
      </c>
      <c r="E1660" s="74">
        <v>0.05</v>
      </c>
      <c r="F1660" s="129">
        <f t="shared" si="244"/>
        <v>6928845</v>
      </c>
      <c r="G1660" s="130">
        <f t="shared" si="246"/>
        <v>1316480.55</v>
      </c>
      <c r="H1660" s="131">
        <f t="shared" si="245"/>
        <v>8245326</v>
      </c>
    </row>
    <row r="1661" spans="1:8" x14ac:dyDescent="0.25">
      <c r="A1661" s="85" t="s">
        <v>3968</v>
      </c>
      <c r="B1661" s="81" t="s">
        <v>7496</v>
      </c>
      <c r="C1661" s="26" t="s">
        <v>37</v>
      </c>
      <c r="D1661" s="68">
        <v>6879400</v>
      </c>
      <c r="E1661" s="74">
        <v>0.05</v>
      </c>
      <c r="F1661" s="129">
        <f t="shared" si="244"/>
        <v>7223370</v>
      </c>
      <c r="G1661" s="130">
        <f t="shared" si="246"/>
        <v>1372440.3</v>
      </c>
      <c r="H1661" s="131">
        <f t="shared" si="245"/>
        <v>8595810</v>
      </c>
    </row>
    <row r="1662" spans="1:8" x14ac:dyDescent="0.25">
      <c r="A1662" s="85" t="s">
        <v>3969</v>
      </c>
      <c r="B1662" s="81" t="s">
        <v>7651</v>
      </c>
      <c r="C1662" s="26" t="s">
        <v>37</v>
      </c>
      <c r="D1662" s="68">
        <v>7255600</v>
      </c>
      <c r="E1662" s="74">
        <v>0.05</v>
      </c>
      <c r="F1662" s="129">
        <f t="shared" si="244"/>
        <v>7618380</v>
      </c>
      <c r="G1662" s="130">
        <f t="shared" si="246"/>
        <v>1447492.2</v>
      </c>
      <c r="H1662" s="131">
        <f t="shared" si="245"/>
        <v>9065872</v>
      </c>
    </row>
    <row r="1663" spans="1:8" x14ac:dyDescent="0.25">
      <c r="A1663" s="85" t="s">
        <v>3970</v>
      </c>
      <c r="B1663" s="81" t="s">
        <v>4029</v>
      </c>
      <c r="C1663" s="26" t="s">
        <v>37</v>
      </c>
      <c r="D1663" s="68">
        <v>7538300</v>
      </c>
      <c r="E1663" s="74">
        <v>0.05</v>
      </c>
      <c r="F1663" s="129">
        <f t="shared" si="244"/>
        <v>7915215</v>
      </c>
      <c r="G1663" s="130">
        <f t="shared" si="246"/>
        <v>1503890.85</v>
      </c>
      <c r="H1663" s="131">
        <f t="shared" si="245"/>
        <v>9419106</v>
      </c>
    </row>
    <row r="1664" spans="1:8" x14ac:dyDescent="0.25">
      <c r="A1664" s="85" t="s">
        <v>3971</v>
      </c>
      <c r="B1664" s="81" t="s">
        <v>4030</v>
      </c>
      <c r="C1664" s="26" t="s">
        <v>37</v>
      </c>
      <c r="D1664" s="68">
        <v>8008000</v>
      </c>
      <c r="E1664" s="74">
        <v>0.05</v>
      </c>
      <c r="F1664" s="129">
        <f t="shared" si="244"/>
        <v>8408400</v>
      </c>
      <c r="G1664" s="130">
        <f t="shared" si="246"/>
        <v>1597596</v>
      </c>
      <c r="H1664" s="131">
        <f t="shared" si="245"/>
        <v>10005996</v>
      </c>
    </row>
    <row r="1665" spans="1:8" x14ac:dyDescent="0.25">
      <c r="A1665" s="85" t="s">
        <v>3972</v>
      </c>
      <c r="B1665" s="81" t="s">
        <v>4031</v>
      </c>
      <c r="C1665" s="26" t="s">
        <v>37</v>
      </c>
      <c r="D1665" s="68">
        <v>6920100</v>
      </c>
      <c r="E1665" s="74">
        <v>0.05</v>
      </c>
      <c r="F1665" s="129">
        <f t="shared" si="244"/>
        <v>7266105</v>
      </c>
      <c r="G1665" s="130">
        <f t="shared" si="246"/>
        <v>1380559.95</v>
      </c>
      <c r="H1665" s="131">
        <f t="shared" si="245"/>
        <v>8646665</v>
      </c>
    </row>
    <row r="1666" spans="1:8" x14ac:dyDescent="0.25">
      <c r="A1666" s="85" t="s">
        <v>3973</v>
      </c>
      <c r="B1666" s="81" t="s">
        <v>7322</v>
      </c>
      <c r="C1666" s="26" t="s">
        <v>37</v>
      </c>
      <c r="D1666" s="68">
        <v>7065300</v>
      </c>
      <c r="E1666" s="74">
        <v>0.05</v>
      </c>
      <c r="F1666" s="129">
        <f t="shared" si="244"/>
        <v>7418565</v>
      </c>
      <c r="G1666" s="130">
        <f t="shared" si="246"/>
        <v>1409527.35</v>
      </c>
      <c r="H1666" s="131">
        <f t="shared" si="245"/>
        <v>8828092</v>
      </c>
    </row>
    <row r="1667" spans="1:8" x14ac:dyDescent="0.25">
      <c r="A1667" s="85" t="s">
        <v>3974</v>
      </c>
      <c r="B1667" s="81" t="s">
        <v>4033</v>
      </c>
      <c r="C1667" s="26" t="s">
        <v>37</v>
      </c>
      <c r="D1667" s="68">
        <v>7538300</v>
      </c>
      <c r="E1667" s="74">
        <v>0.05</v>
      </c>
      <c r="F1667" s="129">
        <f t="shared" si="244"/>
        <v>7915215</v>
      </c>
      <c r="G1667" s="130">
        <f t="shared" si="246"/>
        <v>1503890.85</v>
      </c>
      <c r="H1667" s="131">
        <f t="shared" si="245"/>
        <v>9419106</v>
      </c>
    </row>
    <row r="1668" spans="1:8" x14ac:dyDescent="0.25">
      <c r="A1668" s="85" t="s">
        <v>3975</v>
      </c>
      <c r="B1668" s="81" t="s">
        <v>7497</v>
      </c>
      <c r="C1668" s="26" t="s">
        <v>37</v>
      </c>
      <c r="D1668" s="68">
        <v>8198300</v>
      </c>
      <c r="E1668" s="74">
        <v>0.05</v>
      </c>
      <c r="F1668" s="129">
        <f t="shared" si="244"/>
        <v>8608215</v>
      </c>
      <c r="G1668" s="130">
        <f t="shared" si="246"/>
        <v>1635560.85</v>
      </c>
      <c r="H1668" s="131">
        <f t="shared" si="245"/>
        <v>10243776</v>
      </c>
    </row>
    <row r="1669" spans="1:8" x14ac:dyDescent="0.25">
      <c r="A1669" s="85" t="s">
        <v>3976</v>
      </c>
      <c r="B1669" s="81" t="s">
        <v>7652</v>
      </c>
      <c r="C1669" s="26" t="s">
        <v>37</v>
      </c>
      <c r="D1669" s="68">
        <v>9035400</v>
      </c>
      <c r="E1669" s="74">
        <v>0.05</v>
      </c>
      <c r="F1669" s="129">
        <f t="shared" si="244"/>
        <v>9487170</v>
      </c>
      <c r="G1669" s="130">
        <f t="shared" si="246"/>
        <v>1802562.3</v>
      </c>
      <c r="H1669" s="131">
        <f t="shared" si="245"/>
        <v>11289732</v>
      </c>
    </row>
    <row r="1670" spans="1:8" x14ac:dyDescent="0.25">
      <c r="A1670" s="85" t="s">
        <v>3977</v>
      </c>
      <c r="B1670" s="81" t="s">
        <v>4036</v>
      </c>
      <c r="C1670" s="26" t="s">
        <v>37</v>
      </c>
      <c r="D1670" s="68">
        <v>10288300</v>
      </c>
      <c r="E1670" s="74">
        <v>0.05</v>
      </c>
      <c r="F1670" s="129">
        <f t="shared" si="244"/>
        <v>10802715</v>
      </c>
      <c r="G1670" s="130">
        <f t="shared" si="246"/>
        <v>2052515.85</v>
      </c>
      <c r="H1670" s="131">
        <f t="shared" si="245"/>
        <v>12855231</v>
      </c>
    </row>
    <row r="1671" spans="1:8" x14ac:dyDescent="0.25">
      <c r="A1671" s="85" t="s">
        <v>3978</v>
      </c>
      <c r="B1671" s="81" t="s">
        <v>4037</v>
      </c>
      <c r="C1671" s="26" t="s">
        <v>37</v>
      </c>
      <c r="D1671" s="68">
        <v>10891100</v>
      </c>
      <c r="E1671" s="74">
        <v>0.05</v>
      </c>
      <c r="F1671" s="129">
        <f t="shared" si="244"/>
        <v>11435655</v>
      </c>
      <c r="G1671" s="130">
        <f t="shared" si="246"/>
        <v>2172774.4500000002</v>
      </c>
      <c r="H1671" s="131">
        <f t="shared" si="245"/>
        <v>13608429</v>
      </c>
    </row>
    <row r="1672" spans="1:8" x14ac:dyDescent="0.25">
      <c r="A1672" s="85" t="s">
        <v>3979</v>
      </c>
      <c r="B1672" s="81" t="s">
        <v>4038</v>
      </c>
      <c r="C1672" s="26" t="s">
        <v>37</v>
      </c>
      <c r="D1672" s="68">
        <v>12266100</v>
      </c>
      <c r="E1672" s="74">
        <v>0.05</v>
      </c>
      <c r="F1672" s="129">
        <f t="shared" si="244"/>
        <v>12879405</v>
      </c>
      <c r="G1672" s="130">
        <f t="shared" si="246"/>
        <v>2447086.9500000002</v>
      </c>
      <c r="H1672" s="131">
        <f t="shared" si="245"/>
        <v>15326492</v>
      </c>
    </row>
    <row r="1673" spans="1:8" x14ac:dyDescent="0.25">
      <c r="A1673" s="78" t="s">
        <v>994</v>
      </c>
      <c r="B1673" s="79" t="s">
        <v>4039</v>
      </c>
      <c r="C1673" s="26"/>
      <c r="D1673" s="1001"/>
      <c r="E1673" s="74"/>
      <c r="F1673" s="129"/>
      <c r="G1673" s="130"/>
      <c r="H1673" s="131"/>
    </row>
    <row r="1674" spans="1:8" x14ac:dyDescent="0.25">
      <c r="A1674" s="78" t="s">
        <v>545</v>
      </c>
      <c r="B1674" s="79" t="s">
        <v>4100</v>
      </c>
      <c r="C1674" s="26"/>
      <c r="D1674" s="1001"/>
      <c r="E1674" s="74"/>
      <c r="F1674" s="129"/>
      <c r="G1674" s="130"/>
      <c r="H1674" s="131"/>
    </row>
    <row r="1675" spans="1:8" x14ac:dyDescent="0.25">
      <c r="A1675" s="85" t="s">
        <v>4099</v>
      </c>
      <c r="B1675" s="81" t="s">
        <v>4040</v>
      </c>
      <c r="C1675" s="26" t="s">
        <v>37</v>
      </c>
      <c r="D1675" s="68">
        <v>143000</v>
      </c>
      <c r="E1675" s="74">
        <v>0.05</v>
      </c>
      <c r="F1675" s="129">
        <f t="shared" si="244"/>
        <v>150150</v>
      </c>
      <c r="G1675" s="130">
        <f t="shared" ref="G1675:G1706" si="247">F1675*0.19</f>
        <v>28528.5</v>
      </c>
      <c r="H1675" s="131">
        <f t="shared" si="245"/>
        <v>178679</v>
      </c>
    </row>
    <row r="1676" spans="1:8" x14ac:dyDescent="0.25">
      <c r="A1676" s="85" t="s">
        <v>4101</v>
      </c>
      <c r="B1676" s="81" t="s">
        <v>4041</v>
      </c>
      <c r="C1676" s="26" t="s">
        <v>37</v>
      </c>
      <c r="D1676" s="68">
        <v>140800</v>
      </c>
      <c r="E1676" s="74">
        <v>0.05</v>
      </c>
      <c r="F1676" s="129">
        <f t="shared" si="244"/>
        <v>147840</v>
      </c>
      <c r="G1676" s="130">
        <f t="shared" si="247"/>
        <v>28089.599999999999</v>
      </c>
      <c r="H1676" s="131">
        <f t="shared" si="245"/>
        <v>175930</v>
      </c>
    </row>
    <row r="1677" spans="1:8" x14ac:dyDescent="0.25">
      <c r="A1677" s="85" t="s">
        <v>4102</v>
      </c>
      <c r="B1677" s="81" t="s">
        <v>4042</v>
      </c>
      <c r="C1677" s="26" t="s">
        <v>37</v>
      </c>
      <c r="D1677" s="68">
        <v>218900</v>
      </c>
      <c r="E1677" s="74">
        <v>0.05</v>
      </c>
      <c r="F1677" s="129">
        <f t="shared" si="244"/>
        <v>229845</v>
      </c>
      <c r="G1677" s="130">
        <f t="shared" si="247"/>
        <v>43670.55</v>
      </c>
      <c r="H1677" s="131">
        <f t="shared" si="245"/>
        <v>273516</v>
      </c>
    </row>
    <row r="1678" spans="1:8" x14ac:dyDescent="0.25">
      <c r="A1678" s="85" t="s">
        <v>4103</v>
      </c>
      <c r="B1678" s="81" t="s">
        <v>4043</v>
      </c>
      <c r="C1678" s="26" t="s">
        <v>37</v>
      </c>
      <c r="D1678" s="68">
        <v>227700</v>
      </c>
      <c r="E1678" s="74">
        <v>0.05</v>
      </c>
      <c r="F1678" s="129">
        <f t="shared" si="244"/>
        <v>239085</v>
      </c>
      <c r="G1678" s="130">
        <f t="shared" si="247"/>
        <v>45426.15</v>
      </c>
      <c r="H1678" s="131">
        <f t="shared" si="245"/>
        <v>284511</v>
      </c>
    </row>
    <row r="1679" spans="1:8" x14ac:dyDescent="0.25">
      <c r="A1679" s="85" t="s">
        <v>4104</v>
      </c>
      <c r="B1679" s="81" t="s">
        <v>4044</v>
      </c>
      <c r="C1679" s="26" t="s">
        <v>37</v>
      </c>
      <c r="D1679" s="68">
        <v>245300</v>
      </c>
      <c r="E1679" s="74">
        <v>0.05</v>
      </c>
      <c r="F1679" s="129">
        <f t="shared" si="244"/>
        <v>257565</v>
      </c>
      <c r="G1679" s="130">
        <f t="shared" si="247"/>
        <v>48937.35</v>
      </c>
      <c r="H1679" s="131">
        <f t="shared" si="245"/>
        <v>306502</v>
      </c>
    </row>
    <row r="1680" spans="1:8" x14ac:dyDescent="0.25">
      <c r="A1680" s="85" t="s">
        <v>4105</v>
      </c>
      <c r="B1680" s="81" t="s">
        <v>4076</v>
      </c>
      <c r="C1680" s="26" t="s">
        <v>37</v>
      </c>
      <c r="D1680" s="68">
        <v>271700</v>
      </c>
      <c r="E1680" s="74">
        <v>0.05</v>
      </c>
      <c r="F1680" s="129">
        <f t="shared" si="244"/>
        <v>285285</v>
      </c>
      <c r="G1680" s="130">
        <f t="shared" si="247"/>
        <v>54204.15</v>
      </c>
      <c r="H1680" s="131">
        <f t="shared" si="245"/>
        <v>339489</v>
      </c>
    </row>
    <row r="1681" spans="1:8" x14ac:dyDescent="0.25">
      <c r="A1681" s="85" t="s">
        <v>4106</v>
      </c>
      <c r="B1681" s="81" t="s">
        <v>7846</v>
      </c>
      <c r="C1681" s="26" t="s">
        <v>37</v>
      </c>
      <c r="D1681" s="68">
        <v>464200</v>
      </c>
      <c r="E1681" s="74">
        <v>0.05</v>
      </c>
      <c r="F1681" s="129">
        <f t="shared" si="244"/>
        <v>487410</v>
      </c>
      <c r="G1681" s="130">
        <f t="shared" si="247"/>
        <v>92607.9</v>
      </c>
      <c r="H1681" s="131">
        <f t="shared" si="245"/>
        <v>580018</v>
      </c>
    </row>
    <row r="1682" spans="1:8" x14ac:dyDescent="0.25">
      <c r="A1682" s="85" t="s">
        <v>4107</v>
      </c>
      <c r="B1682" s="81" t="s">
        <v>7847</v>
      </c>
      <c r="C1682" s="26" t="s">
        <v>37</v>
      </c>
      <c r="D1682" s="68">
        <v>508200</v>
      </c>
      <c r="E1682" s="74">
        <v>0.05</v>
      </c>
      <c r="F1682" s="129">
        <f t="shared" si="244"/>
        <v>533610</v>
      </c>
      <c r="G1682" s="130">
        <f t="shared" si="247"/>
        <v>101385.9</v>
      </c>
      <c r="H1682" s="131">
        <f t="shared" si="245"/>
        <v>634996</v>
      </c>
    </row>
    <row r="1683" spans="1:8" x14ac:dyDescent="0.25">
      <c r="A1683" s="85" t="s">
        <v>4108</v>
      </c>
      <c r="B1683" s="81" t="s">
        <v>7848</v>
      </c>
      <c r="C1683" s="26" t="s">
        <v>37</v>
      </c>
      <c r="D1683" s="68">
        <v>625900</v>
      </c>
      <c r="E1683" s="74">
        <v>0.05</v>
      </c>
      <c r="F1683" s="129">
        <f t="shared" ref="F1683:F1746" si="248">+D1683+D1683*E1683</f>
        <v>657195</v>
      </c>
      <c r="G1683" s="130">
        <f t="shared" si="247"/>
        <v>124867.05</v>
      </c>
      <c r="H1683" s="131">
        <f t="shared" ref="H1683:H1746" si="249">ROUND((F1683+G1683),0)</f>
        <v>782062</v>
      </c>
    </row>
    <row r="1684" spans="1:8" x14ac:dyDescent="0.25">
      <c r="A1684" s="85" t="s">
        <v>4109</v>
      </c>
      <c r="B1684" s="81" t="s">
        <v>4080</v>
      </c>
      <c r="C1684" s="26" t="s">
        <v>37</v>
      </c>
      <c r="D1684" s="68">
        <v>840400</v>
      </c>
      <c r="E1684" s="74">
        <v>0.05</v>
      </c>
      <c r="F1684" s="129">
        <f t="shared" si="248"/>
        <v>882420</v>
      </c>
      <c r="G1684" s="130">
        <f t="shared" si="247"/>
        <v>167659.79999999999</v>
      </c>
      <c r="H1684" s="131">
        <f t="shared" si="249"/>
        <v>1050080</v>
      </c>
    </row>
    <row r="1685" spans="1:8" x14ac:dyDescent="0.25">
      <c r="A1685" s="85" t="s">
        <v>4110</v>
      </c>
      <c r="B1685" s="81" t="s">
        <v>4081</v>
      </c>
      <c r="C1685" s="26" t="s">
        <v>37</v>
      </c>
      <c r="D1685" s="68">
        <v>919600</v>
      </c>
      <c r="E1685" s="74">
        <v>0.05</v>
      </c>
      <c r="F1685" s="129">
        <f t="shared" si="248"/>
        <v>965580</v>
      </c>
      <c r="G1685" s="130">
        <f t="shared" si="247"/>
        <v>183460.2</v>
      </c>
      <c r="H1685" s="131">
        <f t="shared" si="249"/>
        <v>1149040</v>
      </c>
    </row>
    <row r="1686" spans="1:8" x14ac:dyDescent="0.25">
      <c r="A1686" s="85" t="s">
        <v>4111</v>
      </c>
      <c r="B1686" s="81" t="s">
        <v>7849</v>
      </c>
      <c r="C1686" s="26" t="s">
        <v>37</v>
      </c>
      <c r="D1686" s="68">
        <v>1138500</v>
      </c>
      <c r="E1686" s="74">
        <v>0.05</v>
      </c>
      <c r="F1686" s="129">
        <f t="shared" si="248"/>
        <v>1195425</v>
      </c>
      <c r="G1686" s="130">
        <f t="shared" si="247"/>
        <v>227130.75</v>
      </c>
      <c r="H1686" s="131">
        <f t="shared" si="249"/>
        <v>1422556</v>
      </c>
    </row>
    <row r="1687" spans="1:8" x14ac:dyDescent="0.25">
      <c r="A1687" s="85" t="s">
        <v>4112</v>
      </c>
      <c r="B1687" s="81" t="s">
        <v>4083</v>
      </c>
      <c r="C1687" s="26" t="s">
        <v>37</v>
      </c>
      <c r="D1687" s="68">
        <v>1138500</v>
      </c>
      <c r="E1687" s="74">
        <v>0.05</v>
      </c>
      <c r="F1687" s="129">
        <f t="shared" si="248"/>
        <v>1195425</v>
      </c>
      <c r="G1687" s="130">
        <f t="shared" si="247"/>
        <v>227130.75</v>
      </c>
      <c r="H1687" s="131">
        <f t="shared" si="249"/>
        <v>1422556</v>
      </c>
    </row>
    <row r="1688" spans="1:8" x14ac:dyDescent="0.25">
      <c r="A1688" s="85" t="s">
        <v>4113</v>
      </c>
      <c r="B1688" s="81" t="s">
        <v>7323</v>
      </c>
      <c r="C1688" s="26" t="s">
        <v>37</v>
      </c>
      <c r="D1688" s="68">
        <v>1304600</v>
      </c>
      <c r="E1688" s="74">
        <v>0.05</v>
      </c>
      <c r="F1688" s="129">
        <f t="shared" si="248"/>
        <v>1369830</v>
      </c>
      <c r="G1688" s="130">
        <f t="shared" si="247"/>
        <v>260267.7</v>
      </c>
      <c r="H1688" s="131">
        <f t="shared" si="249"/>
        <v>1630098</v>
      </c>
    </row>
    <row r="1689" spans="1:8" x14ac:dyDescent="0.25">
      <c r="A1689" s="85" t="s">
        <v>4114</v>
      </c>
      <c r="B1689" s="81" t="s">
        <v>7324</v>
      </c>
      <c r="C1689" s="26" t="s">
        <v>37</v>
      </c>
      <c r="D1689" s="68">
        <v>1480600</v>
      </c>
      <c r="E1689" s="74">
        <v>0.05</v>
      </c>
      <c r="F1689" s="129">
        <f t="shared" si="248"/>
        <v>1554630</v>
      </c>
      <c r="G1689" s="130">
        <f t="shared" si="247"/>
        <v>295379.7</v>
      </c>
      <c r="H1689" s="131">
        <f t="shared" si="249"/>
        <v>1850010</v>
      </c>
    </row>
    <row r="1690" spans="1:8" x14ac:dyDescent="0.25">
      <c r="A1690" s="85" t="s">
        <v>4115</v>
      </c>
      <c r="B1690" s="81" t="s">
        <v>7850</v>
      </c>
      <c r="C1690" s="26" t="s">
        <v>37</v>
      </c>
      <c r="D1690" s="68">
        <v>1570800</v>
      </c>
      <c r="E1690" s="74">
        <v>0.05</v>
      </c>
      <c r="F1690" s="129">
        <f t="shared" si="248"/>
        <v>1649340</v>
      </c>
      <c r="G1690" s="130">
        <f t="shared" si="247"/>
        <v>313374.59999999998</v>
      </c>
      <c r="H1690" s="131">
        <f t="shared" si="249"/>
        <v>1962715</v>
      </c>
    </row>
    <row r="1691" spans="1:8" x14ac:dyDescent="0.25">
      <c r="A1691" s="85" t="s">
        <v>4116</v>
      </c>
      <c r="B1691" s="81" t="s">
        <v>7325</v>
      </c>
      <c r="C1691" s="26" t="s">
        <v>37</v>
      </c>
      <c r="D1691" s="68">
        <v>1756700</v>
      </c>
      <c r="E1691" s="74">
        <v>0.05</v>
      </c>
      <c r="F1691" s="129">
        <f t="shared" si="248"/>
        <v>1844535</v>
      </c>
      <c r="G1691" s="130">
        <f t="shared" si="247"/>
        <v>350461.65</v>
      </c>
      <c r="H1691" s="131">
        <f t="shared" si="249"/>
        <v>2194997</v>
      </c>
    </row>
    <row r="1692" spans="1:8" x14ac:dyDescent="0.25">
      <c r="A1692" s="85" t="s">
        <v>4117</v>
      </c>
      <c r="B1692" s="81" t="s">
        <v>7326</v>
      </c>
      <c r="C1692" s="26" t="s">
        <v>37</v>
      </c>
      <c r="D1692" s="68">
        <v>2191200</v>
      </c>
      <c r="E1692" s="74">
        <v>0.05</v>
      </c>
      <c r="F1692" s="129">
        <f t="shared" si="248"/>
        <v>2300760</v>
      </c>
      <c r="G1692" s="130">
        <f t="shared" si="247"/>
        <v>437144.4</v>
      </c>
      <c r="H1692" s="131">
        <f t="shared" si="249"/>
        <v>2737904</v>
      </c>
    </row>
    <row r="1693" spans="1:8" x14ac:dyDescent="0.25">
      <c r="A1693" s="85" t="s">
        <v>4118</v>
      </c>
      <c r="B1693" s="81" t="s">
        <v>4089</v>
      </c>
      <c r="C1693" s="26" t="s">
        <v>37</v>
      </c>
      <c r="D1693" s="68">
        <v>1805100</v>
      </c>
      <c r="E1693" s="74">
        <v>0.05</v>
      </c>
      <c r="F1693" s="129">
        <f t="shared" si="248"/>
        <v>1895355</v>
      </c>
      <c r="G1693" s="130">
        <f t="shared" si="247"/>
        <v>360117.45</v>
      </c>
      <c r="H1693" s="131">
        <f t="shared" si="249"/>
        <v>2255472</v>
      </c>
    </row>
    <row r="1694" spans="1:8" x14ac:dyDescent="0.25">
      <c r="A1694" s="85" t="s">
        <v>4119</v>
      </c>
      <c r="B1694" s="81" t="s">
        <v>4090</v>
      </c>
      <c r="C1694" s="26" t="s">
        <v>37</v>
      </c>
      <c r="D1694" s="68">
        <v>1920600</v>
      </c>
      <c r="E1694" s="74">
        <v>0.05</v>
      </c>
      <c r="F1694" s="129">
        <f t="shared" si="248"/>
        <v>2016630</v>
      </c>
      <c r="G1694" s="130">
        <f t="shared" si="247"/>
        <v>383159.7</v>
      </c>
      <c r="H1694" s="131">
        <f t="shared" si="249"/>
        <v>2399790</v>
      </c>
    </row>
    <row r="1695" spans="1:8" x14ac:dyDescent="0.25">
      <c r="A1695" s="85" t="s">
        <v>4120</v>
      </c>
      <c r="B1695" s="81" t="s">
        <v>7851</v>
      </c>
      <c r="C1695" s="26" t="s">
        <v>37</v>
      </c>
      <c r="D1695" s="68">
        <v>1837000</v>
      </c>
      <c r="E1695" s="74">
        <v>0.05</v>
      </c>
      <c r="F1695" s="129">
        <f t="shared" si="248"/>
        <v>1928850</v>
      </c>
      <c r="G1695" s="130">
        <f t="shared" si="247"/>
        <v>366481.5</v>
      </c>
      <c r="H1695" s="131">
        <f t="shared" si="249"/>
        <v>2295332</v>
      </c>
    </row>
    <row r="1696" spans="1:8" x14ac:dyDescent="0.25">
      <c r="A1696" s="85" t="s">
        <v>4121</v>
      </c>
      <c r="B1696" s="81" t="s">
        <v>4092</v>
      </c>
      <c r="C1696" s="26" t="s">
        <v>37</v>
      </c>
      <c r="D1696" s="68">
        <v>2018500</v>
      </c>
      <c r="E1696" s="74">
        <v>0.05</v>
      </c>
      <c r="F1696" s="129">
        <f t="shared" si="248"/>
        <v>2119425</v>
      </c>
      <c r="G1696" s="130">
        <f t="shared" si="247"/>
        <v>402690.75</v>
      </c>
      <c r="H1696" s="131">
        <f t="shared" si="249"/>
        <v>2522116</v>
      </c>
    </row>
    <row r="1697" spans="1:8" x14ac:dyDescent="0.25">
      <c r="A1697" s="85" t="s">
        <v>4122</v>
      </c>
      <c r="B1697" s="81" t="s">
        <v>7327</v>
      </c>
      <c r="C1697" s="26" t="s">
        <v>37</v>
      </c>
      <c r="D1697" s="68">
        <v>2396900</v>
      </c>
      <c r="E1697" s="74">
        <v>0.05</v>
      </c>
      <c r="F1697" s="129">
        <f t="shared" si="248"/>
        <v>2516745</v>
      </c>
      <c r="G1697" s="130">
        <f t="shared" si="247"/>
        <v>478181.55</v>
      </c>
      <c r="H1697" s="131">
        <f t="shared" si="249"/>
        <v>2994927</v>
      </c>
    </row>
    <row r="1698" spans="1:8" x14ac:dyDescent="0.25">
      <c r="A1698" s="85" t="s">
        <v>4123</v>
      </c>
      <c r="B1698" s="81" t="s">
        <v>4094</v>
      </c>
      <c r="C1698" s="26" t="s">
        <v>37</v>
      </c>
      <c r="D1698" s="68">
        <v>2915000</v>
      </c>
      <c r="E1698" s="74">
        <v>0.05</v>
      </c>
      <c r="F1698" s="129">
        <f t="shared" si="248"/>
        <v>3060750</v>
      </c>
      <c r="G1698" s="130">
        <f t="shared" si="247"/>
        <v>581542.5</v>
      </c>
      <c r="H1698" s="131">
        <f t="shared" si="249"/>
        <v>3642293</v>
      </c>
    </row>
    <row r="1699" spans="1:8" x14ac:dyDescent="0.25">
      <c r="A1699" s="85" t="s">
        <v>4124</v>
      </c>
      <c r="B1699" s="81" t="s">
        <v>7498</v>
      </c>
      <c r="C1699" s="26" t="s">
        <v>37</v>
      </c>
      <c r="D1699" s="68">
        <v>1855700</v>
      </c>
      <c r="E1699" s="74">
        <v>0.05</v>
      </c>
      <c r="F1699" s="129">
        <f t="shared" si="248"/>
        <v>1948485</v>
      </c>
      <c r="G1699" s="130">
        <f t="shared" si="247"/>
        <v>370212.15</v>
      </c>
      <c r="H1699" s="131">
        <f t="shared" si="249"/>
        <v>2318697</v>
      </c>
    </row>
    <row r="1700" spans="1:8" x14ac:dyDescent="0.25">
      <c r="A1700" s="85" t="s">
        <v>4125</v>
      </c>
      <c r="B1700" s="81" t="s">
        <v>7499</v>
      </c>
      <c r="C1700" s="26" t="s">
        <v>37</v>
      </c>
      <c r="D1700" s="68">
        <v>2268200</v>
      </c>
      <c r="E1700" s="74">
        <v>0.05</v>
      </c>
      <c r="F1700" s="129">
        <f t="shared" si="248"/>
        <v>2381610</v>
      </c>
      <c r="G1700" s="130">
        <f t="shared" si="247"/>
        <v>452505.9</v>
      </c>
      <c r="H1700" s="131">
        <f t="shared" si="249"/>
        <v>2834116</v>
      </c>
    </row>
    <row r="1701" spans="1:8" x14ac:dyDescent="0.25">
      <c r="A1701" s="85" t="s">
        <v>4126</v>
      </c>
      <c r="B1701" s="81" t="s">
        <v>7852</v>
      </c>
      <c r="C1701" s="26" t="s">
        <v>37</v>
      </c>
      <c r="D1701" s="68">
        <v>2548700</v>
      </c>
      <c r="E1701" s="74">
        <v>0.05</v>
      </c>
      <c r="F1701" s="129">
        <f t="shared" si="248"/>
        <v>2676135</v>
      </c>
      <c r="G1701" s="130">
        <f t="shared" si="247"/>
        <v>508465.65</v>
      </c>
      <c r="H1701" s="131">
        <f t="shared" si="249"/>
        <v>3184601</v>
      </c>
    </row>
    <row r="1702" spans="1:8" x14ac:dyDescent="0.25">
      <c r="A1702" s="85" t="s">
        <v>4127</v>
      </c>
      <c r="B1702" s="81" t="s">
        <v>7500</v>
      </c>
      <c r="C1702" s="26" t="s">
        <v>37</v>
      </c>
      <c r="D1702" s="68">
        <v>2977700</v>
      </c>
      <c r="E1702" s="74">
        <v>0.05</v>
      </c>
      <c r="F1702" s="129">
        <f t="shared" si="248"/>
        <v>3126585</v>
      </c>
      <c r="G1702" s="130">
        <f t="shared" si="247"/>
        <v>594051.15</v>
      </c>
      <c r="H1702" s="131">
        <f t="shared" si="249"/>
        <v>3720636</v>
      </c>
    </row>
    <row r="1703" spans="1:8" x14ac:dyDescent="0.25">
      <c r="A1703" s="85" t="s">
        <v>4128</v>
      </c>
      <c r="B1703" s="81" t="s">
        <v>7501</v>
      </c>
      <c r="C1703" s="26" t="s">
        <v>37</v>
      </c>
      <c r="D1703" s="68">
        <v>3232900</v>
      </c>
      <c r="E1703" s="74">
        <v>0.05</v>
      </c>
      <c r="F1703" s="129">
        <f t="shared" si="248"/>
        <v>3394545</v>
      </c>
      <c r="G1703" s="130">
        <f t="shared" si="247"/>
        <v>644963.55000000005</v>
      </c>
      <c r="H1703" s="131">
        <f t="shared" si="249"/>
        <v>4039509</v>
      </c>
    </row>
    <row r="1704" spans="1:8" x14ac:dyDescent="0.25">
      <c r="A1704" s="85" t="s">
        <v>4129</v>
      </c>
      <c r="B1704" s="81" t="s">
        <v>7502</v>
      </c>
      <c r="C1704" s="26" t="s">
        <v>37</v>
      </c>
      <c r="D1704" s="68">
        <v>3419900</v>
      </c>
      <c r="E1704" s="74">
        <v>0.05</v>
      </c>
      <c r="F1704" s="129">
        <f t="shared" si="248"/>
        <v>3590895</v>
      </c>
      <c r="G1704" s="130">
        <f t="shared" si="247"/>
        <v>682270.05</v>
      </c>
      <c r="H1704" s="131">
        <f t="shared" si="249"/>
        <v>4273165</v>
      </c>
    </row>
    <row r="1705" spans="1:8" x14ac:dyDescent="0.25">
      <c r="A1705" s="85" t="s">
        <v>4130</v>
      </c>
      <c r="B1705" s="81" t="s">
        <v>7503</v>
      </c>
      <c r="C1705" s="26" t="s">
        <v>37</v>
      </c>
      <c r="D1705" s="68">
        <v>3843400</v>
      </c>
      <c r="E1705" s="74">
        <v>0.05</v>
      </c>
      <c r="F1705" s="129">
        <f t="shared" si="248"/>
        <v>4035570</v>
      </c>
      <c r="G1705" s="130">
        <f t="shared" si="247"/>
        <v>766758.3</v>
      </c>
      <c r="H1705" s="131">
        <f t="shared" si="249"/>
        <v>4802328</v>
      </c>
    </row>
    <row r="1706" spans="1:8" x14ac:dyDescent="0.25">
      <c r="A1706" s="85" t="s">
        <v>4131</v>
      </c>
      <c r="B1706" s="81" t="s">
        <v>7653</v>
      </c>
      <c r="C1706" s="26" t="s">
        <v>37</v>
      </c>
      <c r="D1706" s="68">
        <v>3309900</v>
      </c>
      <c r="E1706" s="74">
        <v>0.05</v>
      </c>
      <c r="F1706" s="129">
        <f t="shared" si="248"/>
        <v>3475395</v>
      </c>
      <c r="G1706" s="130">
        <f t="shared" si="247"/>
        <v>660325.05000000005</v>
      </c>
      <c r="H1706" s="131">
        <f t="shared" si="249"/>
        <v>4135720</v>
      </c>
    </row>
    <row r="1707" spans="1:8" x14ac:dyDescent="0.25">
      <c r="A1707" s="85" t="s">
        <v>4132</v>
      </c>
      <c r="B1707" s="81" t="s">
        <v>7853</v>
      </c>
      <c r="C1707" s="26" t="s">
        <v>37</v>
      </c>
      <c r="D1707" s="68">
        <v>3705900</v>
      </c>
      <c r="E1707" s="74">
        <v>0.05</v>
      </c>
      <c r="F1707" s="129">
        <f t="shared" si="248"/>
        <v>3891195</v>
      </c>
      <c r="G1707" s="130">
        <f t="shared" ref="G1707:G1733" si="250">F1707*0.19</f>
        <v>739327.05</v>
      </c>
      <c r="H1707" s="131">
        <f t="shared" si="249"/>
        <v>4630522</v>
      </c>
    </row>
    <row r="1708" spans="1:8" x14ac:dyDescent="0.25">
      <c r="A1708" s="85" t="s">
        <v>4133</v>
      </c>
      <c r="B1708" s="81" t="s">
        <v>7654</v>
      </c>
      <c r="C1708" s="26" t="s">
        <v>37</v>
      </c>
      <c r="D1708" s="68">
        <v>4213000</v>
      </c>
      <c r="E1708" s="74">
        <v>0.05</v>
      </c>
      <c r="F1708" s="129">
        <f t="shared" si="248"/>
        <v>4423650</v>
      </c>
      <c r="G1708" s="130">
        <f t="shared" si="250"/>
        <v>840493.5</v>
      </c>
      <c r="H1708" s="131">
        <f t="shared" si="249"/>
        <v>5264144</v>
      </c>
    </row>
    <row r="1709" spans="1:8" x14ac:dyDescent="0.25">
      <c r="A1709" s="85" t="s">
        <v>4134</v>
      </c>
      <c r="B1709" s="81" t="s">
        <v>7655</v>
      </c>
      <c r="C1709" s="26" t="s">
        <v>37</v>
      </c>
      <c r="D1709" s="68">
        <v>4714600</v>
      </c>
      <c r="E1709" s="74">
        <v>0.05</v>
      </c>
      <c r="F1709" s="129">
        <f t="shared" si="248"/>
        <v>4950330</v>
      </c>
      <c r="G1709" s="130">
        <f t="shared" si="250"/>
        <v>940562.7</v>
      </c>
      <c r="H1709" s="131">
        <f t="shared" si="249"/>
        <v>5890893</v>
      </c>
    </row>
    <row r="1710" spans="1:8" x14ac:dyDescent="0.25">
      <c r="A1710" s="85" t="s">
        <v>4135</v>
      </c>
      <c r="B1710" s="81" t="s">
        <v>7656</v>
      </c>
      <c r="C1710" s="26" t="s">
        <v>37</v>
      </c>
      <c r="D1710" s="68">
        <v>5151300</v>
      </c>
      <c r="E1710" s="74">
        <v>0.05</v>
      </c>
      <c r="F1710" s="129">
        <f t="shared" si="248"/>
        <v>5408865</v>
      </c>
      <c r="G1710" s="130">
        <f t="shared" si="250"/>
        <v>1027684.35</v>
      </c>
      <c r="H1710" s="131">
        <f t="shared" si="249"/>
        <v>6436549</v>
      </c>
    </row>
    <row r="1711" spans="1:8" x14ac:dyDescent="0.25">
      <c r="A1711" s="85" t="s">
        <v>4136</v>
      </c>
      <c r="B1711" s="81" t="s">
        <v>7657</v>
      </c>
      <c r="C1711" s="26" t="s">
        <v>37</v>
      </c>
      <c r="D1711" s="68">
        <v>5770600</v>
      </c>
      <c r="E1711" s="74">
        <v>0.05</v>
      </c>
      <c r="F1711" s="129">
        <f t="shared" si="248"/>
        <v>6059130</v>
      </c>
      <c r="G1711" s="130">
        <f t="shared" si="250"/>
        <v>1151234.7</v>
      </c>
      <c r="H1711" s="131">
        <f t="shared" si="249"/>
        <v>7210365</v>
      </c>
    </row>
    <row r="1712" spans="1:8" x14ac:dyDescent="0.25">
      <c r="A1712" s="85" t="s">
        <v>4137</v>
      </c>
      <c r="B1712" s="81" t="s">
        <v>7658</v>
      </c>
      <c r="C1712" s="26" t="s">
        <v>37</v>
      </c>
      <c r="D1712" s="68">
        <v>6305200</v>
      </c>
      <c r="E1712" s="74">
        <v>0.05</v>
      </c>
      <c r="F1712" s="129">
        <f t="shared" si="248"/>
        <v>6620460</v>
      </c>
      <c r="G1712" s="130">
        <f t="shared" si="250"/>
        <v>1257887.3999999999</v>
      </c>
      <c r="H1712" s="131">
        <f t="shared" si="249"/>
        <v>7878347</v>
      </c>
    </row>
    <row r="1713" spans="1:8" x14ac:dyDescent="0.25">
      <c r="A1713" s="85" t="s">
        <v>4138</v>
      </c>
      <c r="B1713" s="81" t="s">
        <v>4065</v>
      </c>
      <c r="C1713" s="26" t="s">
        <v>37</v>
      </c>
      <c r="D1713" s="68">
        <v>6618700</v>
      </c>
      <c r="E1713" s="74">
        <v>0.05</v>
      </c>
      <c r="F1713" s="129">
        <f t="shared" si="248"/>
        <v>6949635</v>
      </c>
      <c r="G1713" s="130">
        <f t="shared" si="250"/>
        <v>1320430.6499999999</v>
      </c>
      <c r="H1713" s="131">
        <f t="shared" si="249"/>
        <v>8270066</v>
      </c>
    </row>
    <row r="1714" spans="1:8" x14ac:dyDescent="0.25">
      <c r="A1714" s="85" t="s">
        <v>4139</v>
      </c>
      <c r="B1714" s="81" t="s">
        <v>7328</v>
      </c>
      <c r="C1714" s="26" t="s">
        <v>37</v>
      </c>
      <c r="D1714" s="68">
        <v>6736400</v>
      </c>
      <c r="E1714" s="74">
        <v>0.05</v>
      </c>
      <c r="F1714" s="129">
        <f t="shared" si="248"/>
        <v>7073220</v>
      </c>
      <c r="G1714" s="130">
        <f t="shared" si="250"/>
        <v>1343911.8</v>
      </c>
      <c r="H1714" s="131">
        <f t="shared" si="249"/>
        <v>8417132</v>
      </c>
    </row>
    <row r="1715" spans="1:8" x14ac:dyDescent="0.25">
      <c r="A1715" s="85" t="s">
        <v>4140</v>
      </c>
      <c r="B1715" s="81" t="s">
        <v>4067</v>
      </c>
      <c r="C1715" s="26" t="s">
        <v>37</v>
      </c>
      <c r="D1715" s="68">
        <v>7012500</v>
      </c>
      <c r="E1715" s="74">
        <v>0.05</v>
      </c>
      <c r="F1715" s="129">
        <f t="shared" si="248"/>
        <v>7363125</v>
      </c>
      <c r="G1715" s="130">
        <f t="shared" si="250"/>
        <v>1398993.75</v>
      </c>
      <c r="H1715" s="131">
        <f t="shared" si="249"/>
        <v>8762119</v>
      </c>
    </row>
    <row r="1716" spans="1:8" x14ac:dyDescent="0.25">
      <c r="A1716" s="85" t="s">
        <v>4141</v>
      </c>
      <c r="B1716" s="81" t="s">
        <v>7504</v>
      </c>
      <c r="C1716" s="26" t="s">
        <v>37</v>
      </c>
      <c r="D1716" s="68">
        <v>7389800</v>
      </c>
      <c r="E1716" s="74">
        <v>0.05</v>
      </c>
      <c r="F1716" s="129">
        <f t="shared" si="248"/>
        <v>7759290</v>
      </c>
      <c r="G1716" s="130">
        <f t="shared" si="250"/>
        <v>1474265.1</v>
      </c>
      <c r="H1716" s="131">
        <f t="shared" si="249"/>
        <v>9233555</v>
      </c>
    </row>
    <row r="1717" spans="1:8" x14ac:dyDescent="0.25">
      <c r="A1717" s="85" t="s">
        <v>4142</v>
      </c>
      <c r="B1717" s="81" t="s">
        <v>7659</v>
      </c>
      <c r="C1717" s="26" t="s">
        <v>37</v>
      </c>
      <c r="D1717" s="68">
        <v>8025600</v>
      </c>
      <c r="E1717" s="74">
        <v>0.05</v>
      </c>
      <c r="F1717" s="129">
        <f t="shared" si="248"/>
        <v>8426880</v>
      </c>
      <c r="G1717" s="130">
        <f t="shared" si="250"/>
        <v>1601107.2</v>
      </c>
      <c r="H1717" s="131">
        <f t="shared" si="249"/>
        <v>10027987</v>
      </c>
    </row>
    <row r="1718" spans="1:8" x14ac:dyDescent="0.25">
      <c r="A1718" s="85" t="s">
        <v>4143</v>
      </c>
      <c r="B1718" s="81" t="s">
        <v>4070</v>
      </c>
      <c r="C1718" s="26" t="s">
        <v>37</v>
      </c>
      <c r="D1718" s="68">
        <v>8604200</v>
      </c>
      <c r="E1718" s="74">
        <v>0.05</v>
      </c>
      <c r="F1718" s="129">
        <f t="shared" si="248"/>
        <v>9034410</v>
      </c>
      <c r="G1718" s="130">
        <f t="shared" si="250"/>
        <v>1716537.9</v>
      </c>
      <c r="H1718" s="131">
        <f t="shared" si="249"/>
        <v>10750948</v>
      </c>
    </row>
    <row r="1719" spans="1:8" x14ac:dyDescent="0.25">
      <c r="A1719" s="85" t="s">
        <v>4144</v>
      </c>
      <c r="B1719" s="81" t="s">
        <v>4051</v>
      </c>
      <c r="C1719" s="26" t="s">
        <v>37</v>
      </c>
      <c r="D1719" s="68">
        <v>8203800</v>
      </c>
      <c r="E1719" s="74">
        <v>0.05</v>
      </c>
      <c r="F1719" s="129">
        <f t="shared" si="248"/>
        <v>8613990</v>
      </c>
      <c r="G1719" s="130">
        <f t="shared" si="250"/>
        <v>1636658.1</v>
      </c>
      <c r="H1719" s="131">
        <f t="shared" si="249"/>
        <v>10250648</v>
      </c>
    </row>
    <row r="1720" spans="1:8" x14ac:dyDescent="0.25">
      <c r="A1720" s="85" t="s">
        <v>4145</v>
      </c>
      <c r="B1720" s="81" t="s">
        <v>7329</v>
      </c>
      <c r="C1720" s="26" t="s">
        <v>37</v>
      </c>
      <c r="D1720" s="68">
        <v>8319300</v>
      </c>
      <c r="E1720" s="74">
        <v>0.05</v>
      </c>
      <c r="F1720" s="129">
        <f t="shared" si="248"/>
        <v>8735265</v>
      </c>
      <c r="G1720" s="130">
        <f t="shared" si="250"/>
        <v>1659700.35</v>
      </c>
      <c r="H1720" s="131">
        <f t="shared" si="249"/>
        <v>10394965</v>
      </c>
    </row>
    <row r="1721" spans="1:8" x14ac:dyDescent="0.25">
      <c r="A1721" s="85" t="s">
        <v>4146</v>
      </c>
      <c r="B1721" s="81" t="s">
        <v>4053</v>
      </c>
      <c r="C1721" s="26" t="s">
        <v>37</v>
      </c>
      <c r="D1721" s="68">
        <v>8699900</v>
      </c>
      <c r="E1721" s="74">
        <v>0.05</v>
      </c>
      <c r="F1721" s="129">
        <f t="shared" si="248"/>
        <v>9134895</v>
      </c>
      <c r="G1721" s="130">
        <f t="shared" si="250"/>
        <v>1735630.05</v>
      </c>
      <c r="H1721" s="131">
        <f t="shared" si="249"/>
        <v>10870525</v>
      </c>
    </row>
    <row r="1722" spans="1:8" x14ac:dyDescent="0.25">
      <c r="A1722" s="85" t="s">
        <v>4147</v>
      </c>
      <c r="B1722" s="81" t="s">
        <v>7505</v>
      </c>
      <c r="C1722" s="26" t="s">
        <v>37</v>
      </c>
      <c r="D1722" s="68">
        <v>9058500</v>
      </c>
      <c r="E1722" s="74">
        <v>0.05</v>
      </c>
      <c r="F1722" s="129">
        <f t="shared" si="248"/>
        <v>9511425</v>
      </c>
      <c r="G1722" s="130">
        <f t="shared" si="250"/>
        <v>1807170.75</v>
      </c>
      <c r="H1722" s="131">
        <f t="shared" si="249"/>
        <v>11318596</v>
      </c>
    </row>
    <row r="1723" spans="1:8" x14ac:dyDescent="0.25">
      <c r="A1723" s="85" t="s">
        <v>4148</v>
      </c>
      <c r="B1723" s="81" t="s">
        <v>7660</v>
      </c>
      <c r="C1723" s="26" t="s">
        <v>37</v>
      </c>
      <c r="D1723" s="68">
        <v>9464400</v>
      </c>
      <c r="E1723" s="74">
        <v>0.05</v>
      </c>
      <c r="F1723" s="129">
        <f t="shared" si="248"/>
        <v>9937620</v>
      </c>
      <c r="G1723" s="130">
        <f t="shared" si="250"/>
        <v>1888147.8</v>
      </c>
      <c r="H1723" s="131">
        <f t="shared" si="249"/>
        <v>11825768</v>
      </c>
    </row>
    <row r="1724" spans="1:8" x14ac:dyDescent="0.25">
      <c r="A1724" s="85" t="s">
        <v>4149</v>
      </c>
      <c r="B1724" s="81" t="s">
        <v>4056</v>
      </c>
      <c r="C1724" s="26" t="s">
        <v>37</v>
      </c>
      <c r="D1724" s="68">
        <v>10377400</v>
      </c>
      <c r="E1724" s="74">
        <v>0.05</v>
      </c>
      <c r="F1724" s="129">
        <f t="shared" si="248"/>
        <v>10896270</v>
      </c>
      <c r="G1724" s="130">
        <f t="shared" si="250"/>
        <v>2070291.3</v>
      </c>
      <c r="H1724" s="131">
        <f t="shared" si="249"/>
        <v>12966561</v>
      </c>
    </row>
    <row r="1725" spans="1:8" x14ac:dyDescent="0.25">
      <c r="A1725" s="85" t="s">
        <v>4150</v>
      </c>
      <c r="B1725" s="81" t="s">
        <v>4057</v>
      </c>
      <c r="C1725" s="26" t="s">
        <v>37</v>
      </c>
      <c r="D1725" s="68">
        <v>10557800</v>
      </c>
      <c r="E1725" s="74">
        <v>0.05</v>
      </c>
      <c r="F1725" s="129">
        <f t="shared" si="248"/>
        <v>11085690</v>
      </c>
      <c r="G1725" s="130">
        <f t="shared" si="250"/>
        <v>2106281.1</v>
      </c>
      <c r="H1725" s="131">
        <f t="shared" si="249"/>
        <v>13191971</v>
      </c>
    </row>
    <row r="1726" spans="1:8" x14ac:dyDescent="0.25">
      <c r="A1726" s="85" t="s">
        <v>4151</v>
      </c>
      <c r="B1726" s="81" t="s">
        <v>4058</v>
      </c>
      <c r="C1726" s="26" t="s">
        <v>37</v>
      </c>
      <c r="D1726" s="68">
        <v>11668800</v>
      </c>
      <c r="E1726" s="74">
        <v>0.05</v>
      </c>
      <c r="F1726" s="129">
        <f t="shared" si="248"/>
        <v>12252240</v>
      </c>
      <c r="G1726" s="130">
        <f t="shared" si="250"/>
        <v>2327925.6</v>
      </c>
      <c r="H1726" s="131">
        <f t="shared" si="249"/>
        <v>14580166</v>
      </c>
    </row>
    <row r="1727" spans="1:8" x14ac:dyDescent="0.25">
      <c r="A1727" s="85" t="s">
        <v>4152</v>
      </c>
      <c r="B1727" s="81" t="s">
        <v>7330</v>
      </c>
      <c r="C1727" s="26" t="s">
        <v>37</v>
      </c>
      <c r="D1727" s="68">
        <v>11900900</v>
      </c>
      <c r="E1727" s="74">
        <v>0.05</v>
      </c>
      <c r="F1727" s="129">
        <f t="shared" si="248"/>
        <v>12495945</v>
      </c>
      <c r="G1727" s="130">
        <f t="shared" si="250"/>
        <v>2374229.5499999998</v>
      </c>
      <c r="H1727" s="131">
        <f t="shared" si="249"/>
        <v>14870175</v>
      </c>
    </row>
    <row r="1728" spans="1:8" x14ac:dyDescent="0.25">
      <c r="A1728" s="85" t="s">
        <v>4153</v>
      </c>
      <c r="B1728" s="81" t="s">
        <v>4060</v>
      </c>
      <c r="C1728" s="26" t="s">
        <v>37</v>
      </c>
      <c r="D1728" s="68">
        <v>12340900</v>
      </c>
      <c r="E1728" s="74">
        <v>0.05</v>
      </c>
      <c r="F1728" s="129">
        <f t="shared" si="248"/>
        <v>12957945</v>
      </c>
      <c r="G1728" s="130">
        <f t="shared" si="250"/>
        <v>2462009.5499999998</v>
      </c>
      <c r="H1728" s="131">
        <f t="shared" si="249"/>
        <v>15419955</v>
      </c>
    </row>
    <row r="1729" spans="1:8" x14ac:dyDescent="0.25">
      <c r="A1729" s="85" t="s">
        <v>4154</v>
      </c>
      <c r="B1729" s="81" t="s">
        <v>7506</v>
      </c>
      <c r="C1729" s="26" t="s">
        <v>37</v>
      </c>
      <c r="D1729" s="68">
        <v>12597200</v>
      </c>
      <c r="E1729" s="74">
        <v>0.05</v>
      </c>
      <c r="F1729" s="129">
        <f t="shared" si="248"/>
        <v>13227060</v>
      </c>
      <c r="G1729" s="130">
        <f t="shared" si="250"/>
        <v>2513141.4</v>
      </c>
      <c r="H1729" s="131">
        <f t="shared" si="249"/>
        <v>15740201</v>
      </c>
    </row>
    <row r="1730" spans="1:8" x14ac:dyDescent="0.25">
      <c r="A1730" s="85" t="s">
        <v>4155</v>
      </c>
      <c r="B1730" s="81" t="s">
        <v>7661</v>
      </c>
      <c r="C1730" s="26" t="s">
        <v>37</v>
      </c>
      <c r="D1730" s="68">
        <v>13110900</v>
      </c>
      <c r="E1730" s="74">
        <v>0.05</v>
      </c>
      <c r="F1730" s="129">
        <f t="shared" si="248"/>
        <v>13766445</v>
      </c>
      <c r="G1730" s="130">
        <f t="shared" si="250"/>
        <v>2615624.5499999998</v>
      </c>
      <c r="H1730" s="131">
        <f t="shared" si="249"/>
        <v>16382070</v>
      </c>
    </row>
    <row r="1731" spans="1:8" x14ac:dyDescent="0.25">
      <c r="A1731" s="85" t="s">
        <v>4156</v>
      </c>
      <c r="B1731" s="81" t="s">
        <v>4063</v>
      </c>
      <c r="C1731" s="26" t="s">
        <v>37</v>
      </c>
      <c r="D1731" s="68">
        <v>13526700</v>
      </c>
      <c r="E1731" s="74">
        <v>0.05</v>
      </c>
      <c r="F1731" s="129">
        <f t="shared" si="248"/>
        <v>14203035</v>
      </c>
      <c r="G1731" s="130">
        <f t="shared" si="250"/>
        <v>2698576.65</v>
      </c>
      <c r="H1731" s="131">
        <f t="shared" si="249"/>
        <v>16901612</v>
      </c>
    </row>
    <row r="1732" spans="1:8" x14ac:dyDescent="0.25">
      <c r="A1732" s="85" t="s">
        <v>4157</v>
      </c>
      <c r="B1732" s="81" t="s">
        <v>4046</v>
      </c>
      <c r="C1732" s="26" t="s">
        <v>37</v>
      </c>
      <c r="D1732" s="68">
        <v>14389100</v>
      </c>
      <c r="E1732" s="74">
        <v>0.05</v>
      </c>
      <c r="F1732" s="129">
        <f t="shared" si="248"/>
        <v>15108555</v>
      </c>
      <c r="G1732" s="130">
        <f t="shared" si="250"/>
        <v>2870625.45</v>
      </c>
      <c r="H1732" s="131">
        <f t="shared" si="249"/>
        <v>17979180</v>
      </c>
    </row>
    <row r="1733" spans="1:8" x14ac:dyDescent="0.25">
      <c r="A1733" s="85" t="s">
        <v>4158</v>
      </c>
      <c r="B1733" s="81" t="s">
        <v>4045</v>
      </c>
      <c r="C1733" s="26" t="s">
        <v>37</v>
      </c>
      <c r="D1733" s="68">
        <v>16108400</v>
      </c>
      <c r="E1733" s="74">
        <v>0.05</v>
      </c>
      <c r="F1733" s="129">
        <f t="shared" si="248"/>
        <v>16913820</v>
      </c>
      <c r="G1733" s="130">
        <f t="shared" si="250"/>
        <v>3213625.8</v>
      </c>
      <c r="H1733" s="131">
        <f t="shared" si="249"/>
        <v>20127446</v>
      </c>
    </row>
    <row r="1734" spans="1:8" x14ac:dyDescent="0.25">
      <c r="A1734" s="85" t="s">
        <v>551</v>
      </c>
      <c r="B1734" s="79" t="s">
        <v>4159</v>
      </c>
      <c r="C1734" s="26"/>
      <c r="D1734" s="68"/>
      <c r="E1734" s="74"/>
      <c r="F1734" s="129"/>
      <c r="G1734" s="130"/>
      <c r="H1734" s="131"/>
    </row>
    <row r="1735" spans="1:8" x14ac:dyDescent="0.25">
      <c r="A1735" s="85" t="s">
        <v>553</v>
      </c>
      <c r="B1735" s="81" t="s">
        <v>4160</v>
      </c>
      <c r="C1735" s="26" t="s">
        <v>37</v>
      </c>
      <c r="D1735" s="68">
        <v>81400</v>
      </c>
      <c r="E1735" s="74">
        <v>0.05</v>
      </c>
      <c r="F1735" s="129">
        <f t="shared" si="248"/>
        <v>85470</v>
      </c>
      <c r="G1735" s="130">
        <f t="shared" ref="G1735:G1766" si="251">F1735*0.19</f>
        <v>16239.300000000001</v>
      </c>
      <c r="H1735" s="131">
        <f t="shared" si="249"/>
        <v>101709</v>
      </c>
    </row>
    <row r="1736" spans="1:8" x14ac:dyDescent="0.25">
      <c r="A1736" s="85" t="s">
        <v>554</v>
      </c>
      <c r="B1736" s="81" t="s">
        <v>4161</v>
      </c>
      <c r="C1736" s="26" t="s">
        <v>37</v>
      </c>
      <c r="D1736" s="68">
        <v>123200</v>
      </c>
      <c r="E1736" s="74">
        <v>0.05</v>
      </c>
      <c r="F1736" s="129">
        <f t="shared" si="248"/>
        <v>129360</v>
      </c>
      <c r="G1736" s="130">
        <f t="shared" si="251"/>
        <v>24578.400000000001</v>
      </c>
      <c r="H1736" s="131">
        <f t="shared" si="249"/>
        <v>153938</v>
      </c>
    </row>
    <row r="1737" spans="1:8" x14ac:dyDescent="0.25">
      <c r="A1737" s="85" t="s">
        <v>555</v>
      </c>
      <c r="B1737" s="81" t="s">
        <v>4162</v>
      </c>
      <c r="C1737" s="26" t="s">
        <v>37</v>
      </c>
      <c r="D1737" s="68">
        <v>160600</v>
      </c>
      <c r="E1737" s="74">
        <v>0.05</v>
      </c>
      <c r="F1737" s="129">
        <f t="shared" si="248"/>
        <v>168630</v>
      </c>
      <c r="G1737" s="130">
        <f t="shared" si="251"/>
        <v>32039.7</v>
      </c>
      <c r="H1737" s="131">
        <f t="shared" si="249"/>
        <v>200670</v>
      </c>
    </row>
    <row r="1738" spans="1:8" x14ac:dyDescent="0.25">
      <c r="A1738" s="85" t="s">
        <v>556</v>
      </c>
      <c r="B1738" s="81" t="s">
        <v>4163</v>
      </c>
      <c r="C1738" s="26" t="s">
        <v>37</v>
      </c>
      <c r="D1738" s="68">
        <v>298100</v>
      </c>
      <c r="E1738" s="74">
        <v>0.05</v>
      </c>
      <c r="F1738" s="129">
        <f t="shared" si="248"/>
        <v>313005</v>
      </c>
      <c r="G1738" s="130">
        <f t="shared" si="251"/>
        <v>59470.95</v>
      </c>
      <c r="H1738" s="131">
        <f t="shared" si="249"/>
        <v>372476</v>
      </c>
    </row>
    <row r="1739" spans="1:8" x14ac:dyDescent="0.25">
      <c r="A1739" s="85" t="s">
        <v>557</v>
      </c>
      <c r="B1739" s="81" t="s">
        <v>4164</v>
      </c>
      <c r="C1739" s="26" t="s">
        <v>37</v>
      </c>
      <c r="D1739" s="68">
        <v>298100</v>
      </c>
      <c r="E1739" s="74">
        <v>0.05</v>
      </c>
      <c r="F1739" s="129">
        <f t="shared" si="248"/>
        <v>313005</v>
      </c>
      <c r="G1739" s="130">
        <f t="shared" si="251"/>
        <v>59470.95</v>
      </c>
      <c r="H1739" s="131">
        <f t="shared" si="249"/>
        <v>372476</v>
      </c>
    </row>
    <row r="1740" spans="1:8" x14ac:dyDescent="0.25">
      <c r="A1740" s="85" t="s">
        <v>558</v>
      </c>
      <c r="B1740" s="81" t="s">
        <v>4165</v>
      </c>
      <c r="C1740" s="26" t="s">
        <v>37</v>
      </c>
      <c r="D1740" s="68">
        <v>268400</v>
      </c>
      <c r="E1740" s="74">
        <v>0.05</v>
      </c>
      <c r="F1740" s="129">
        <f t="shared" si="248"/>
        <v>281820</v>
      </c>
      <c r="G1740" s="130">
        <f t="shared" si="251"/>
        <v>53545.8</v>
      </c>
      <c r="H1740" s="131">
        <f t="shared" si="249"/>
        <v>335366</v>
      </c>
    </row>
    <row r="1741" spans="1:8" x14ac:dyDescent="0.25">
      <c r="A1741" s="85" t="s">
        <v>559</v>
      </c>
      <c r="B1741" s="81" t="s">
        <v>7854</v>
      </c>
      <c r="C1741" s="26" t="s">
        <v>37</v>
      </c>
      <c r="D1741" s="68">
        <v>464200</v>
      </c>
      <c r="E1741" s="74">
        <v>0.05</v>
      </c>
      <c r="F1741" s="129">
        <f t="shared" si="248"/>
        <v>487410</v>
      </c>
      <c r="G1741" s="130">
        <f t="shared" si="251"/>
        <v>92607.9</v>
      </c>
      <c r="H1741" s="131">
        <f t="shared" si="249"/>
        <v>580018</v>
      </c>
    </row>
    <row r="1742" spans="1:8" x14ac:dyDescent="0.25">
      <c r="A1742" s="85" t="s">
        <v>4219</v>
      </c>
      <c r="B1742" s="81" t="s">
        <v>7855</v>
      </c>
      <c r="C1742" s="26" t="s">
        <v>37</v>
      </c>
      <c r="D1742" s="68">
        <v>478500</v>
      </c>
      <c r="E1742" s="74">
        <v>0.05</v>
      </c>
      <c r="F1742" s="129">
        <f t="shared" si="248"/>
        <v>502425</v>
      </c>
      <c r="G1742" s="130">
        <f t="shared" si="251"/>
        <v>95460.75</v>
      </c>
      <c r="H1742" s="131">
        <f t="shared" si="249"/>
        <v>597886</v>
      </c>
    </row>
    <row r="1743" spans="1:8" x14ac:dyDescent="0.25">
      <c r="A1743" s="85" t="s">
        <v>4220</v>
      </c>
      <c r="B1743" s="81" t="s">
        <v>7856</v>
      </c>
      <c r="C1743" s="26" t="s">
        <v>37</v>
      </c>
      <c r="D1743" s="68">
        <v>625900</v>
      </c>
      <c r="E1743" s="74">
        <v>0.05</v>
      </c>
      <c r="F1743" s="129">
        <f t="shared" si="248"/>
        <v>657195</v>
      </c>
      <c r="G1743" s="130">
        <f t="shared" si="251"/>
        <v>124867.05</v>
      </c>
      <c r="H1743" s="131">
        <f t="shared" si="249"/>
        <v>782062</v>
      </c>
    </row>
    <row r="1744" spans="1:8" x14ac:dyDescent="0.25">
      <c r="A1744" s="85" t="s">
        <v>4221</v>
      </c>
      <c r="B1744" s="81" t="s">
        <v>4169</v>
      </c>
      <c r="C1744" s="26" t="s">
        <v>37</v>
      </c>
      <c r="D1744" s="68">
        <v>790900</v>
      </c>
      <c r="E1744" s="74">
        <v>0.05</v>
      </c>
      <c r="F1744" s="129">
        <f t="shared" si="248"/>
        <v>830445</v>
      </c>
      <c r="G1744" s="130">
        <f t="shared" si="251"/>
        <v>157784.54999999999</v>
      </c>
      <c r="H1744" s="131">
        <f t="shared" si="249"/>
        <v>988230</v>
      </c>
    </row>
    <row r="1745" spans="1:8" x14ac:dyDescent="0.25">
      <c r="A1745" s="85" t="s">
        <v>4222</v>
      </c>
      <c r="B1745" s="81" t="s">
        <v>4170</v>
      </c>
      <c r="C1745" s="26" t="s">
        <v>37</v>
      </c>
      <c r="D1745" s="68">
        <v>902000</v>
      </c>
      <c r="E1745" s="74">
        <v>0.05</v>
      </c>
      <c r="F1745" s="129">
        <f t="shared" si="248"/>
        <v>947100</v>
      </c>
      <c r="G1745" s="130">
        <f t="shared" si="251"/>
        <v>179949</v>
      </c>
      <c r="H1745" s="131">
        <f t="shared" si="249"/>
        <v>1127049</v>
      </c>
    </row>
    <row r="1746" spans="1:8" x14ac:dyDescent="0.25">
      <c r="A1746" s="85" t="s">
        <v>4223</v>
      </c>
      <c r="B1746" s="81" t="s">
        <v>7857</v>
      </c>
      <c r="C1746" s="26" t="s">
        <v>37</v>
      </c>
      <c r="D1746" s="68">
        <v>919600</v>
      </c>
      <c r="E1746" s="74">
        <v>0.05</v>
      </c>
      <c r="F1746" s="129">
        <f t="shared" si="248"/>
        <v>965580</v>
      </c>
      <c r="G1746" s="130">
        <f t="shared" si="251"/>
        <v>183460.2</v>
      </c>
      <c r="H1746" s="131">
        <f t="shared" si="249"/>
        <v>1149040</v>
      </c>
    </row>
    <row r="1747" spans="1:8" x14ac:dyDescent="0.25">
      <c r="A1747" s="85" t="s">
        <v>4224</v>
      </c>
      <c r="B1747" s="81" t="s">
        <v>4172</v>
      </c>
      <c r="C1747" s="26" t="s">
        <v>37</v>
      </c>
      <c r="D1747" s="68">
        <v>1048300</v>
      </c>
      <c r="E1747" s="74">
        <v>0.05</v>
      </c>
      <c r="F1747" s="129">
        <f t="shared" ref="F1747:F1810" si="252">+D1747+D1747*E1747</f>
        <v>1100715</v>
      </c>
      <c r="G1747" s="130">
        <f t="shared" si="251"/>
        <v>209135.85</v>
      </c>
      <c r="H1747" s="131">
        <f t="shared" ref="H1747:H1810" si="253">ROUND((F1747+G1747),0)</f>
        <v>1309851</v>
      </c>
    </row>
    <row r="1748" spans="1:8" x14ac:dyDescent="0.25">
      <c r="A1748" s="85" t="s">
        <v>4225</v>
      </c>
      <c r="B1748" s="81" t="s">
        <v>7331</v>
      </c>
      <c r="C1748" s="26" t="s">
        <v>37</v>
      </c>
      <c r="D1748" s="68">
        <v>1329900</v>
      </c>
      <c r="E1748" s="74">
        <v>0.05</v>
      </c>
      <c r="F1748" s="129">
        <f t="shared" si="252"/>
        <v>1396395</v>
      </c>
      <c r="G1748" s="130">
        <f t="shared" si="251"/>
        <v>265315.05</v>
      </c>
      <c r="H1748" s="131">
        <f t="shared" si="253"/>
        <v>1661710</v>
      </c>
    </row>
    <row r="1749" spans="1:8" x14ac:dyDescent="0.25">
      <c r="A1749" s="85" t="s">
        <v>4226</v>
      </c>
      <c r="B1749" s="81" t="s">
        <v>7332</v>
      </c>
      <c r="C1749" s="26" t="s">
        <v>37</v>
      </c>
      <c r="D1749" s="68">
        <v>1480600</v>
      </c>
      <c r="E1749" s="74">
        <v>0.05</v>
      </c>
      <c r="F1749" s="129">
        <f t="shared" si="252"/>
        <v>1554630</v>
      </c>
      <c r="G1749" s="130">
        <f t="shared" si="251"/>
        <v>295379.7</v>
      </c>
      <c r="H1749" s="131">
        <f t="shared" si="253"/>
        <v>1850010</v>
      </c>
    </row>
    <row r="1750" spans="1:8" x14ac:dyDescent="0.25">
      <c r="A1750" s="85" t="s">
        <v>4227</v>
      </c>
      <c r="B1750" s="81" t="s">
        <v>7858</v>
      </c>
      <c r="C1750" s="26" t="s">
        <v>37</v>
      </c>
      <c r="D1750" s="68">
        <v>1570800</v>
      </c>
      <c r="E1750" s="74">
        <v>0.05</v>
      </c>
      <c r="F1750" s="129">
        <f t="shared" si="252"/>
        <v>1649340</v>
      </c>
      <c r="G1750" s="130">
        <f t="shared" si="251"/>
        <v>313374.59999999998</v>
      </c>
      <c r="H1750" s="131">
        <f t="shared" si="253"/>
        <v>1962715</v>
      </c>
    </row>
    <row r="1751" spans="1:8" x14ac:dyDescent="0.25">
      <c r="A1751" s="85" t="s">
        <v>4228</v>
      </c>
      <c r="B1751" s="81" t="s">
        <v>7333</v>
      </c>
      <c r="C1751" s="26" t="s">
        <v>37</v>
      </c>
      <c r="D1751" s="68">
        <v>1756700</v>
      </c>
      <c r="E1751" s="74">
        <v>0.05</v>
      </c>
      <c r="F1751" s="129">
        <f t="shared" si="252"/>
        <v>1844535</v>
      </c>
      <c r="G1751" s="130">
        <f t="shared" si="251"/>
        <v>350461.65</v>
      </c>
      <c r="H1751" s="131">
        <f t="shared" si="253"/>
        <v>2194997</v>
      </c>
    </row>
    <row r="1752" spans="1:8" x14ac:dyDescent="0.25">
      <c r="A1752" s="85" t="s">
        <v>4229</v>
      </c>
      <c r="B1752" s="81" t="s">
        <v>7334</v>
      </c>
      <c r="C1752" s="26" t="s">
        <v>37</v>
      </c>
      <c r="D1752" s="68">
        <v>2191200</v>
      </c>
      <c r="E1752" s="74">
        <v>0.05</v>
      </c>
      <c r="F1752" s="129">
        <f t="shared" si="252"/>
        <v>2300760</v>
      </c>
      <c r="G1752" s="130">
        <f t="shared" si="251"/>
        <v>437144.4</v>
      </c>
      <c r="H1752" s="131">
        <f t="shared" si="253"/>
        <v>2737904</v>
      </c>
    </row>
    <row r="1753" spans="1:8" x14ac:dyDescent="0.25">
      <c r="A1753" s="85" t="s">
        <v>4230</v>
      </c>
      <c r="B1753" s="81" t="s">
        <v>4178</v>
      </c>
      <c r="C1753" s="26" t="s">
        <v>37</v>
      </c>
      <c r="D1753" s="68">
        <v>1522400</v>
      </c>
      <c r="E1753" s="74">
        <v>0.05</v>
      </c>
      <c r="F1753" s="129">
        <f t="shared" si="252"/>
        <v>1598520</v>
      </c>
      <c r="G1753" s="130">
        <f t="shared" si="251"/>
        <v>303718.8</v>
      </c>
      <c r="H1753" s="131">
        <f t="shared" si="253"/>
        <v>1902239</v>
      </c>
    </row>
    <row r="1754" spans="1:8" x14ac:dyDescent="0.25">
      <c r="A1754" s="85" t="s">
        <v>4231</v>
      </c>
      <c r="B1754" s="81" t="s">
        <v>4179</v>
      </c>
      <c r="C1754" s="26" t="s">
        <v>37</v>
      </c>
      <c r="D1754" s="68">
        <v>1698400</v>
      </c>
      <c r="E1754" s="74">
        <v>0.05</v>
      </c>
      <c r="F1754" s="129">
        <f t="shared" si="252"/>
        <v>1783320</v>
      </c>
      <c r="G1754" s="130">
        <f t="shared" si="251"/>
        <v>338830.8</v>
      </c>
      <c r="H1754" s="131">
        <f t="shared" si="253"/>
        <v>2122151</v>
      </c>
    </row>
    <row r="1755" spans="1:8" x14ac:dyDescent="0.25">
      <c r="A1755" s="85" t="s">
        <v>4232</v>
      </c>
      <c r="B1755" s="81" t="s">
        <v>7859</v>
      </c>
      <c r="C1755" s="26" t="s">
        <v>37</v>
      </c>
      <c r="D1755" s="68">
        <v>1837000</v>
      </c>
      <c r="E1755" s="74">
        <v>0.05</v>
      </c>
      <c r="F1755" s="129">
        <f t="shared" si="252"/>
        <v>1928850</v>
      </c>
      <c r="G1755" s="130">
        <f t="shared" si="251"/>
        <v>366481.5</v>
      </c>
      <c r="H1755" s="131">
        <f t="shared" si="253"/>
        <v>2295332</v>
      </c>
    </row>
    <row r="1756" spans="1:8" x14ac:dyDescent="0.25">
      <c r="A1756" s="85" t="s">
        <v>4233</v>
      </c>
      <c r="B1756" s="81" t="s">
        <v>4181</v>
      </c>
      <c r="C1756" s="26" t="s">
        <v>37</v>
      </c>
      <c r="D1756" s="68">
        <v>1980000</v>
      </c>
      <c r="E1756" s="74">
        <v>0.05</v>
      </c>
      <c r="F1756" s="129">
        <f t="shared" si="252"/>
        <v>2079000</v>
      </c>
      <c r="G1756" s="130">
        <f t="shared" si="251"/>
        <v>395010</v>
      </c>
      <c r="H1756" s="131">
        <f t="shared" si="253"/>
        <v>2474010</v>
      </c>
    </row>
    <row r="1757" spans="1:8" x14ac:dyDescent="0.25">
      <c r="A1757" s="85" t="s">
        <v>4234</v>
      </c>
      <c r="B1757" s="81" t="s">
        <v>7335</v>
      </c>
      <c r="C1757" s="26" t="s">
        <v>37</v>
      </c>
      <c r="D1757" s="68">
        <v>2396900</v>
      </c>
      <c r="E1757" s="74">
        <v>0.05</v>
      </c>
      <c r="F1757" s="129">
        <f t="shared" si="252"/>
        <v>2516745</v>
      </c>
      <c r="G1757" s="130">
        <f t="shared" si="251"/>
        <v>478181.55</v>
      </c>
      <c r="H1757" s="131">
        <f t="shared" si="253"/>
        <v>2994927</v>
      </c>
    </row>
    <row r="1758" spans="1:8" x14ac:dyDescent="0.25">
      <c r="A1758" s="85" t="s">
        <v>4235</v>
      </c>
      <c r="B1758" s="81" t="s">
        <v>4183</v>
      </c>
      <c r="C1758" s="26" t="s">
        <v>37</v>
      </c>
      <c r="D1758" s="68">
        <v>2915000</v>
      </c>
      <c r="E1758" s="74">
        <v>0.05</v>
      </c>
      <c r="F1758" s="129">
        <f t="shared" si="252"/>
        <v>3060750</v>
      </c>
      <c r="G1758" s="130">
        <f t="shared" si="251"/>
        <v>581542.5</v>
      </c>
      <c r="H1758" s="131">
        <f t="shared" si="253"/>
        <v>3642293</v>
      </c>
    </row>
    <row r="1759" spans="1:8" x14ac:dyDescent="0.25">
      <c r="A1759" s="85" t="s">
        <v>4236</v>
      </c>
      <c r="B1759" s="81" t="s">
        <v>7507</v>
      </c>
      <c r="C1759" s="26" t="s">
        <v>37</v>
      </c>
      <c r="D1759" s="68">
        <v>1855700</v>
      </c>
      <c r="E1759" s="74">
        <v>0.05</v>
      </c>
      <c r="F1759" s="129">
        <f t="shared" si="252"/>
        <v>1948485</v>
      </c>
      <c r="G1759" s="130">
        <f t="shared" si="251"/>
        <v>370212.15</v>
      </c>
      <c r="H1759" s="131">
        <f t="shared" si="253"/>
        <v>2318697</v>
      </c>
    </row>
    <row r="1760" spans="1:8" x14ac:dyDescent="0.25">
      <c r="A1760" s="85" t="s">
        <v>4237</v>
      </c>
      <c r="B1760" s="81" t="s">
        <v>7508</v>
      </c>
      <c r="C1760" s="26" t="s">
        <v>37</v>
      </c>
      <c r="D1760" s="68">
        <v>2268200</v>
      </c>
      <c r="E1760" s="74">
        <v>0.05</v>
      </c>
      <c r="F1760" s="129">
        <f t="shared" si="252"/>
        <v>2381610</v>
      </c>
      <c r="G1760" s="130">
        <f t="shared" si="251"/>
        <v>452505.9</v>
      </c>
      <c r="H1760" s="131">
        <f t="shared" si="253"/>
        <v>2834116</v>
      </c>
    </row>
    <row r="1761" spans="1:8" x14ac:dyDescent="0.25">
      <c r="A1761" s="85" t="s">
        <v>4238</v>
      </c>
      <c r="B1761" s="81" t="s">
        <v>7860</v>
      </c>
      <c r="C1761" s="26" t="s">
        <v>37</v>
      </c>
      <c r="D1761" s="68">
        <v>2548700</v>
      </c>
      <c r="E1761" s="74">
        <v>0.05</v>
      </c>
      <c r="F1761" s="129">
        <f t="shared" si="252"/>
        <v>2676135</v>
      </c>
      <c r="G1761" s="130">
        <f t="shared" si="251"/>
        <v>508465.65</v>
      </c>
      <c r="H1761" s="131">
        <f t="shared" si="253"/>
        <v>3184601</v>
      </c>
    </row>
    <row r="1762" spans="1:8" x14ac:dyDescent="0.25">
      <c r="A1762" s="85" t="s">
        <v>4239</v>
      </c>
      <c r="B1762" s="81" t="s">
        <v>7509</v>
      </c>
      <c r="C1762" s="26" t="s">
        <v>37</v>
      </c>
      <c r="D1762" s="68">
        <v>2977700</v>
      </c>
      <c r="E1762" s="74">
        <v>0.05</v>
      </c>
      <c r="F1762" s="129">
        <f t="shared" si="252"/>
        <v>3126585</v>
      </c>
      <c r="G1762" s="130">
        <f t="shared" si="251"/>
        <v>594051.15</v>
      </c>
      <c r="H1762" s="131">
        <f t="shared" si="253"/>
        <v>3720636</v>
      </c>
    </row>
    <row r="1763" spans="1:8" x14ac:dyDescent="0.25">
      <c r="A1763" s="85" t="s">
        <v>4240</v>
      </c>
      <c r="B1763" s="81" t="s">
        <v>7510</v>
      </c>
      <c r="C1763" s="26" t="s">
        <v>37</v>
      </c>
      <c r="D1763" s="68">
        <v>3232900</v>
      </c>
      <c r="E1763" s="74">
        <v>0.05</v>
      </c>
      <c r="F1763" s="129">
        <f t="shared" si="252"/>
        <v>3394545</v>
      </c>
      <c r="G1763" s="130">
        <f t="shared" si="251"/>
        <v>644963.55000000005</v>
      </c>
      <c r="H1763" s="131">
        <f t="shared" si="253"/>
        <v>4039509</v>
      </c>
    </row>
    <row r="1764" spans="1:8" x14ac:dyDescent="0.25">
      <c r="A1764" s="85" t="s">
        <v>4241</v>
      </c>
      <c r="B1764" s="81" t="s">
        <v>7511</v>
      </c>
      <c r="C1764" s="26" t="s">
        <v>37</v>
      </c>
      <c r="D1764" s="68">
        <v>3485900</v>
      </c>
      <c r="E1764" s="74">
        <v>0.05</v>
      </c>
      <c r="F1764" s="129">
        <f t="shared" si="252"/>
        <v>3660195</v>
      </c>
      <c r="G1764" s="130">
        <f t="shared" si="251"/>
        <v>695437.05</v>
      </c>
      <c r="H1764" s="131">
        <f t="shared" si="253"/>
        <v>4355632</v>
      </c>
    </row>
    <row r="1765" spans="1:8" x14ac:dyDescent="0.25">
      <c r="A1765" s="85" t="s">
        <v>4242</v>
      </c>
      <c r="B1765" s="81" t="s">
        <v>7512</v>
      </c>
      <c r="C1765" s="26" t="s">
        <v>37</v>
      </c>
      <c r="D1765" s="68">
        <v>3843400</v>
      </c>
      <c r="E1765" s="74">
        <v>0.05</v>
      </c>
      <c r="F1765" s="129">
        <f t="shared" si="252"/>
        <v>4035570</v>
      </c>
      <c r="G1765" s="130">
        <f t="shared" si="251"/>
        <v>766758.3</v>
      </c>
      <c r="H1765" s="131">
        <f t="shared" si="253"/>
        <v>4802328</v>
      </c>
    </row>
    <row r="1766" spans="1:8" x14ac:dyDescent="0.25">
      <c r="A1766" s="85" t="s">
        <v>4243</v>
      </c>
      <c r="B1766" s="81" t="s">
        <v>7662</v>
      </c>
      <c r="C1766" s="26" t="s">
        <v>37</v>
      </c>
      <c r="D1766" s="68">
        <v>3309900</v>
      </c>
      <c r="E1766" s="74">
        <v>0.05</v>
      </c>
      <c r="F1766" s="129">
        <f t="shared" si="252"/>
        <v>3475395</v>
      </c>
      <c r="G1766" s="130">
        <f t="shared" si="251"/>
        <v>660325.05000000005</v>
      </c>
      <c r="H1766" s="131">
        <f t="shared" si="253"/>
        <v>4135720</v>
      </c>
    </row>
    <row r="1767" spans="1:8" x14ac:dyDescent="0.25">
      <c r="A1767" s="85" t="s">
        <v>4244</v>
      </c>
      <c r="B1767" s="81" t="s">
        <v>7861</v>
      </c>
      <c r="C1767" s="26" t="s">
        <v>37</v>
      </c>
      <c r="D1767" s="68">
        <v>3686100</v>
      </c>
      <c r="E1767" s="74">
        <v>0.05</v>
      </c>
      <c r="F1767" s="129">
        <f t="shared" si="252"/>
        <v>3870405</v>
      </c>
      <c r="G1767" s="130">
        <f t="shared" ref="G1767:G1793" si="254">F1767*0.19</f>
        <v>735376.95</v>
      </c>
      <c r="H1767" s="131">
        <f t="shared" si="253"/>
        <v>4605782</v>
      </c>
    </row>
    <row r="1768" spans="1:8" x14ac:dyDescent="0.25">
      <c r="A1768" s="85" t="s">
        <v>4245</v>
      </c>
      <c r="B1768" s="81" t="s">
        <v>7663</v>
      </c>
      <c r="C1768" s="26" t="s">
        <v>37</v>
      </c>
      <c r="D1768" s="68">
        <v>4213000</v>
      </c>
      <c r="E1768" s="74">
        <v>0.05</v>
      </c>
      <c r="F1768" s="129">
        <f t="shared" si="252"/>
        <v>4423650</v>
      </c>
      <c r="G1768" s="130">
        <f t="shared" si="254"/>
        <v>840493.5</v>
      </c>
      <c r="H1768" s="131">
        <f t="shared" si="253"/>
        <v>5264144</v>
      </c>
    </row>
    <row r="1769" spans="1:8" x14ac:dyDescent="0.25">
      <c r="A1769" s="85" t="s">
        <v>4246</v>
      </c>
      <c r="B1769" s="81" t="s">
        <v>7664</v>
      </c>
      <c r="C1769" s="26" t="s">
        <v>37</v>
      </c>
      <c r="D1769" s="68">
        <v>4647500</v>
      </c>
      <c r="E1769" s="74">
        <v>0.05</v>
      </c>
      <c r="F1769" s="129">
        <f t="shared" si="252"/>
        <v>4879875</v>
      </c>
      <c r="G1769" s="130">
        <f t="shared" si="254"/>
        <v>927176.25</v>
      </c>
      <c r="H1769" s="131">
        <f t="shared" si="253"/>
        <v>5807051</v>
      </c>
    </row>
    <row r="1770" spans="1:8" x14ac:dyDescent="0.25">
      <c r="A1770" s="85" t="s">
        <v>4247</v>
      </c>
      <c r="B1770" s="81" t="s">
        <v>7665</v>
      </c>
      <c r="C1770" s="26" t="s">
        <v>37</v>
      </c>
      <c r="D1770" s="68">
        <v>5151300</v>
      </c>
      <c r="E1770" s="74">
        <v>0.05</v>
      </c>
      <c r="F1770" s="129">
        <f t="shared" si="252"/>
        <v>5408865</v>
      </c>
      <c r="G1770" s="130">
        <f t="shared" si="254"/>
        <v>1027684.35</v>
      </c>
      <c r="H1770" s="131">
        <f t="shared" si="253"/>
        <v>6436549</v>
      </c>
    </row>
    <row r="1771" spans="1:8" x14ac:dyDescent="0.25">
      <c r="A1771" s="85" t="s">
        <v>4248</v>
      </c>
      <c r="B1771" s="81" t="s">
        <v>7666</v>
      </c>
      <c r="C1771" s="26" t="s">
        <v>37</v>
      </c>
      <c r="D1771" s="68">
        <v>5770600</v>
      </c>
      <c r="E1771" s="74">
        <v>0.05</v>
      </c>
      <c r="F1771" s="129">
        <f t="shared" si="252"/>
        <v>6059130</v>
      </c>
      <c r="G1771" s="130">
        <f t="shared" si="254"/>
        <v>1151234.7</v>
      </c>
      <c r="H1771" s="131">
        <f t="shared" si="253"/>
        <v>7210365</v>
      </c>
    </row>
    <row r="1772" spans="1:8" x14ac:dyDescent="0.25">
      <c r="A1772" s="85" t="s">
        <v>4249</v>
      </c>
      <c r="B1772" s="81" t="s">
        <v>7667</v>
      </c>
      <c r="C1772" s="26" t="s">
        <v>37</v>
      </c>
      <c r="D1772" s="68">
        <v>6305200</v>
      </c>
      <c r="E1772" s="74">
        <v>0.05</v>
      </c>
      <c r="F1772" s="129">
        <f t="shared" si="252"/>
        <v>6620460</v>
      </c>
      <c r="G1772" s="130">
        <f t="shared" si="254"/>
        <v>1257887.3999999999</v>
      </c>
      <c r="H1772" s="131">
        <f t="shared" si="253"/>
        <v>7878347</v>
      </c>
    </row>
    <row r="1773" spans="1:8" x14ac:dyDescent="0.25">
      <c r="A1773" s="85" t="s">
        <v>4250</v>
      </c>
      <c r="B1773" s="81" t="s">
        <v>4198</v>
      </c>
      <c r="C1773" s="26" t="s">
        <v>37</v>
      </c>
      <c r="D1773" s="68">
        <v>6618700</v>
      </c>
      <c r="E1773" s="74">
        <v>0.05</v>
      </c>
      <c r="F1773" s="129">
        <f t="shared" si="252"/>
        <v>6949635</v>
      </c>
      <c r="G1773" s="130">
        <f t="shared" si="254"/>
        <v>1320430.6499999999</v>
      </c>
      <c r="H1773" s="131">
        <f t="shared" si="253"/>
        <v>8270066</v>
      </c>
    </row>
    <row r="1774" spans="1:8" x14ac:dyDescent="0.25">
      <c r="A1774" s="85" t="s">
        <v>4251</v>
      </c>
      <c r="B1774" s="81" t="s">
        <v>7336</v>
      </c>
      <c r="C1774" s="26" t="s">
        <v>37</v>
      </c>
      <c r="D1774" s="68">
        <v>6736400</v>
      </c>
      <c r="E1774" s="74">
        <v>0.05</v>
      </c>
      <c r="F1774" s="129">
        <f t="shared" si="252"/>
        <v>7073220</v>
      </c>
      <c r="G1774" s="130">
        <f t="shared" si="254"/>
        <v>1343911.8</v>
      </c>
      <c r="H1774" s="131">
        <f t="shared" si="253"/>
        <v>8417132</v>
      </c>
    </row>
    <row r="1775" spans="1:8" x14ac:dyDescent="0.25">
      <c r="A1775" s="85" t="s">
        <v>4252</v>
      </c>
      <c r="B1775" s="81" t="s">
        <v>4200</v>
      </c>
      <c r="C1775" s="26" t="s">
        <v>37</v>
      </c>
      <c r="D1775" s="68">
        <v>7012500</v>
      </c>
      <c r="E1775" s="74">
        <v>0.05</v>
      </c>
      <c r="F1775" s="129">
        <f t="shared" si="252"/>
        <v>7363125</v>
      </c>
      <c r="G1775" s="130">
        <f t="shared" si="254"/>
        <v>1398993.75</v>
      </c>
      <c r="H1775" s="131">
        <f t="shared" si="253"/>
        <v>8762119</v>
      </c>
    </row>
    <row r="1776" spans="1:8" x14ac:dyDescent="0.25">
      <c r="A1776" s="85" t="s">
        <v>4253</v>
      </c>
      <c r="B1776" s="81" t="s">
        <v>7513</v>
      </c>
      <c r="C1776" s="26" t="s">
        <v>37</v>
      </c>
      <c r="D1776" s="68">
        <v>7389800</v>
      </c>
      <c r="E1776" s="74">
        <v>0.05</v>
      </c>
      <c r="F1776" s="129">
        <f t="shared" si="252"/>
        <v>7759290</v>
      </c>
      <c r="G1776" s="130">
        <f t="shared" si="254"/>
        <v>1474265.1</v>
      </c>
      <c r="H1776" s="131">
        <f t="shared" si="253"/>
        <v>9233555</v>
      </c>
    </row>
    <row r="1777" spans="1:8" x14ac:dyDescent="0.25">
      <c r="A1777" s="85" t="s">
        <v>4254</v>
      </c>
      <c r="B1777" s="81" t="s">
        <v>7668</v>
      </c>
      <c r="C1777" s="26" t="s">
        <v>37</v>
      </c>
      <c r="D1777" s="68">
        <v>8025600</v>
      </c>
      <c r="E1777" s="74">
        <v>0.05</v>
      </c>
      <c r="F1777" s="129">
        <f t="shared" si="252"/>
        <v>8426880</v>
      </c>
      <c r="G1777" s="130">
        <f t="shared" si="254"/>
        <v>1601107.2</v>
      </c>
      <c r="H1777" s="131">
        <f t="shared" si="253"/>
        <v>10027987</v>
      </c>
    </row>
    <row r="1778" spans="1:8" x14ac:dyDescent="0.25">
      <c r="A1778" s="85" t="s">
        <v>4255</v>
      </c>
      <c r="B1778" s="81" t="s">
        <v>4203</v>
      </c>
      <c r="C1778" s="26" t="s">
        <v>37</v>
      </c>
      <c r="D1778" s="68">
        <v>8604200</v>
      </c>
      <c r="E1778" s="74">
        <v>0.05</v>
      </c>
      <c r="F1778" s="129">
        <f t="shared" si="252"/>
        <v>9034410</v>
      </c>
      <c r="G1778" s="130">
        <f t="shared" si="254"/>
        <v>1716537.9</v>
      </c>
      <c r="H1778" s="131">
        <f t="shared" si="253"/>
        <v>10750948</v>
      </c>
    </row>
    <row r="1779" spans="1:8" x14ac:dyDescent="0.25">
      <c r="A1779" s="85" t="s">
        <v>4256</v>
      </c>
      <c r="B1779" s="81" t="s">
        <v>4204</v>
      </c>
      <c r="C1779" s="26" t="s">
        <v>37</v>
      </c>
      <c r="D1779" s="68">
        <v>8203800</v>
      </c>
      <c r="E1779" s="74">
        <v>0.05</v>
      </c>
      <c r="F1779" s="129">
        <f t="shared" si="252"/>
        <v>8613990</v>
      </c>
      <c r="G1779" s="130">
        <f t="shared" si="254"/>
        <v>1636658.1</v>
      </c>
      <c r="H1779" s="131">
        <f t="shared" si="253"/>
        <v>10250648</v>
      </c>
    </row>
    <row r="1780" spans="1:8" x14ac:dyDescent="0.25">
      <c r="A1780" s="85" t="s">
        <v>4257</v>
      </c>
      <c r="B1780" s="81" t="s">
        <v>7337</v>
      </c>
      <c r="C1780" s="26" t="s">
        <v>37</v>
      </c>
      <c r="D1780" s="68">
        <v>8319300</v>
      </c>
      <c r="E1780" s="74">
        <v>0.05</v>
      </c>
      <c r="F1780" s="129">
        <f t="shared" si="252"/>
        <v>8735265</v>
      </c>
      <c r="G1780" s="130">
        <f t="shared" si="254"/>
        <v>1659700.35</v>
      </c>
      <c r="H1780" s="131">
        <f t="shared" si="253"/>
        <v>10394965</v>
      </c>
    </row>
    <row r="1781" spans="1:8" x14ac:dyDescent="0.25">
      <c r="A1781" s="85" t="s">
        <v>4258</v>
      </c>
      <c r="B1781" s="81" t="s">
        <v>4206</v>
      </c>
      <c r="C1781" s="26" t="s">
        <v>37</v>
      </c>
      <c r="D1781" s="68">
        <v>8699900</v>
      </c>
      <c r="E1781" s="74">
        <v>0.05</v>
      </c>
      <c r="F1781" s="129">
        <f t="shared" si="252"/>
        <v>9134895</v>
      </c>
      <c r="G1781" s="130">
        <f t="shared" si="254"/>
        <v>1735630.05</v>
      </c>
      <c r="H1781" s="131">
        <f t="shared" si="253"/>
        <v>10870525</v>
      </c>
    </row>
    <row r="1782" spans="1:8" x14ac:dyDescent="0.25">
      <c r="A1782" s="85" t="s">
        <v>4259</v>
      </c>
      <c r="B1782" s="81" t="s">
        <v>7514</v>
      </c>
      <c r="C1782" s="26" t="s">
        <v>37</v>
      </c>
      <c r="D1782" s="68">
        <v>9058500</v>
      </c>
      <c r="E1782" s="74">
        <v>0.05</v>
      </c>
      <c r="F1782" s="129">
        <f t="shared" si="252"/>
        <v>9511425</v>
      </c>
      <c r="G1782" s="130">
        <f t="shared" si="254"/>
        <v>1807170.75</v>
      </c>
      <c r="H1782" s="131">
        <f t="shared" si="253"/>
        <v>11318596</v>
      </c>
    </row>
    <row r="1783" spans="1:8" x14ac:dyDescent="0.25">
      <c r="A1783" s="85" t="s">
        <v>4260</v>
      </c>
      <c r="B1783" s="81" t="s">
        <v>7669</v>
      </c>
      <c r="C1783" s="26" t="s">
        <v>37</v>
      </c>
      <c r="D1783" s="68">
        <v>9464400</v>
      </c>
      <c r="E1783" s="74">
        <v>0.05</v>
      </c>
      <c r="F1783" s="129">
        <f t="shared" si="252"/>
        <v>9937620</v>
      </c>
      <c r="G1783" s="130">
        <f t="shared" si="254"/>
        <v>1888147.8</v>
      </c>
      <c r="H1783" s="131">
        <f t="shared" si="253"/>
        <v>11825768</v>
      </c>
    </row>
    <row r="1784" spans="1:8" x14ac:dyDescent="0.25">
      <c r="A1784" s="85" t="s">
        <v>4261</v>
      </c>
      <c r="B1784" s="81" t="s">
        <v>4209</v>
      </c>
      <c r="C1784" s="26" t="s">
        <v>37</v>
      </c>
      <c r="D1784" s="68">
        <v>10377400</v>
      </c>
      <c r="E1784" s="74">
        <v>0.05</v>
      </c>
      <c r="F1784" s="129">
        <f t="shared" si="252"/>
        <v>10896270</v>
      </c>
      <c r="G1784" s="130">
        <f t="shared" si="254"/>
        <v>2070291.3</v>
      </c>
      <c r="H1784" s="131">
        <f t="shared" si="253"/>
        <v>12966561</v>
      </c>
    </row>
    <row r="1785" spans="1:8" x14ac:dyDescent="0.25">
      <c r="A1785" s="85" t="s">
        <v>4262</v>
      </c>
      <c r="B1785" s="81" t="s">
        <v>4210</v>
      </c>
      <c r="C1785" s="26" t="s">
        <v>37</v>
      </c>
      <c r="D1785" s="68">
        <v>10557800</v>
      </c>
      <c r="E1785" s="74">
        <v>0.05</v>
      </c>
      <c r="F1785" s="129">
        <f t="shared" si="252"/>
        <v>11085690</v>
      </c>
      <c r="G1785" s="130">
        <f t="shared" si="254"/>
        <v>2106281.1</v>
      </c>
      <c r="H1785" s="131">
        <f t="shared" si="253"/>
        <v>13191971</v>
      </c>
    </row>
    <row r="1786" spans="1:8" x14ac:dyDescent="0.25">
      <c r="A1786" s="85" t="s">
        <v>4263</v>
      </c>
      <c r="B1786" s="81" t="s">
        <v>4211</v>
      </c>
      <c r="C1786" s="26" t="s">
        <v>37</v>
      </c>
      <c r="D1786" s="1001"/>
      <c r="E1786" s="74">
        <v>0.05</v>
      </c>
      <c r="F1786" s="129">
        <f t="shared" si="252"/>
        <v>0</v>
      </c>
      <c r="G1786" s="130">
        <f t="shared" si="254"/>
        <v>0</v>
      </c>
      <c r="H1786" s="131">
        <f t="shared" si="253"/>
        <v>0</v>
      </c>
    </row>
    <row r="1787" spans="1:8" x14ac:dyDescent="0.25">
      <c r="A1787" s="85" t="s">
        <v>4264</v>
      </c>
      <c r="B1787" s="81" t="s">
        <v>7338</v>
      </c>
      <c r="C1787" s="26" t="s">
        <v>37</v>
      </c>
      <c r="D1787" s="1001"/>
      <c r="E1787" s="74">
        <v>0.05</v>
      </c>
      <c r="F1787" s="129">
        <f t="shared" si="252"/>
        <v>0</v>
      </c>
      <c r="G1787" s="130">
        <f t="shared" si="254"/>
        <v>0</v>
      </c>
      <c r="H1787" s="131">
        <f t="shared" si="253"/>
        <v>0</v>
      </c>
    </row>
    <row r="1788" spans="1:8" x14ac:dyDescent="0.25">
      <c r="A1788" s="85" t="s">
        <v>4265</v>
      </c>
      <c r="B1788" s="81" t="s">
        <v>4213</v>
      </c>
      <c r="C1788" s="26" t="s">
        <v>37</v>
      </c>
      <c r="D1788" s="1001"/>
      <c r="E1788" s="74">
        <v>0.05</v>
      </c>
      <c r="F1788" s="129">
        <f t="shared" si="252"/>
        <v>0</v>
      </c>
      <c r="G1788" s="130">
        <f t="shared" si="254"/>
        <v>0</v>
      </c>
      <c r="H1788" s="131">
        <f t="shared" si="253"/>
        <v>0</v>
      </c>
    </row>
    <row r="1789" spans="1:8" x14ac:dyDescent="0.25">
      <c r="A1789" s="85" t="s">
        <v>4266</v>
      </c>
      <c r="B1789" s="81" t="s">
        <v>7515</v>
      </c>
      <c r="C1789" s="26" t="s">
        <v>37</v>
      </c>
      <c r="D1789" s="1001"/>
      <c r="E1789" s="74">
        <v>0.05</v>
      </c>
      <c r="F1789" s="129">
        <f t="shared" si="252"/>
        <v>0</v>
      </c>
      <c r="G1789" s="130">
        <f t="shared" si="254"/>
        <v>0</v>
      </c>
      <c r="H1789" s="131">
        <f t="shared" si="253"/>
        <v>0</v>
      </c>
    </row>
    <row r="1790" spans="1:8" x14ac:dyDescent="0.25">
      <c r="A1790" s="85" t="s">
        <v>4267</v>
      </c>
      <c r="B1790" s="81" t="s">
        <v>7670</v>
      </c>
      <c r="C1790" s="26" t="s">
        <v>37</v>
      </c>
      <c r="D1790" s="1001"/>
      <c r="E1790" s="74">
        <v>0.05</v>
      </c>
      <c r="F1790" s="129">
        <f t="shared" si="252"/>
        <v>0</v>
      </c>
      <c r="G1790" s="130">
        <f t="shared" si="254"/>
        <v>0</v>
      </c>
      <c r="H1790" s="131">
        <f t="shared" si="253"/>
        <v>0</v>
      </c>
    </row>
    <row r="1791" spans="1:8" x14ac:dyDescent="0.25">
      <c r="A1791" s="85" t="s">
        <v>4268</v>
      </c>
      <c r="B1791" s="81" t="s">
        <v>4216</v>
      </c>
      <c r="C1791" s="26" t="s">
        <v>37</v>
      </c>
      <c r="D1791" s="1001"/>
      <c r="E1791" s="74">
        <v>0.05</v>
      </c>
      <c r="F1791" s="129">
        <f t="shared" si="252"/>
        <v>0</v>
      </c>
      <c r="G1791" s="130">
        <f t="shared" si="254"/>
        <v>0</v>
      </c>
      <c r="H1791" s="131">
        <f t="shared" si="253"/>
        <v>0</v>
      </c>
    </row>
    <row r="1792" spans="1:8" x14ac:dyDescent="0.25">
      <c r="A1792" s="85" t="s">
        <v>4269</v>
      </c>
      <c r="B1792" s="81" t="s">
        <v>4217</v>
      </c>
      <c r="C1792" s="26" t="s">
        <v>37</v>
      </c>
      <c r="D1792" s="1001"/>
      <c r="E1792" s="74">
        <v>0.05</v>
      </c>
      <c r="F1792" s="129">
        <f t="shared" si="252"/>
        <v>0</v>
      </c>
      <c r="G1792" s="130">
        <f t="shared" si="254"/>
        <v>0</v>
      </c>
      <c r="H1792" s="131">
        <f t="shared" si="253"/>
        <v>0</v>
      </c>
    </row>
    <row r="1793" spans="1:8" x14ac:dyDescent="0.25">
      <c r="A1793" s="85" t="s">
        <v>4270</v>
      </c>
      <c r="B1793" s="81" t="s">
        <v>4218</v>
      </c>
      <c r="C1793" s="26" t="s">
        <v>37</v>
      </c>
      <c r="D1793" s="1001"/>
      <c r="E1793" s="74">
        <v>0.05</v>
      </c>
      <c r="F1793" s="129">
        <f t="shared" si="252"/>
        <v>0</v>
      </c>
      <c r="G1793" s="130">
        <f t="shared" si="254"/>
        <v>0</v>
      </c>
      <c r="H1793" s="131">
        <f t="shared" si="253"/>
        <v>0</v>
      </c>
    </row>
    <row r="1794" spans="1:8" x14ac:dyDescent="0.25">
      <c r="A1794" s="78" t="s">
        <v>996</v>
      </c>
      <c r="B1794" s="79" t="s">
        <v>4271</v>
      </c>
      <c r="C1794" s="26"/>
      <c r="D1794" s="1001"/>
      <c r="E1794" s="74"/>
      <c r="F1794" s="129"/>
      <c r="G1794" s="130"/>
      <c r="H1794" s="131"/>
    </row>
    <row r="1795" spans="1:8" x14ac:dyDescent="0.25">
      <c r="A1795" s="85" t="s">
        <v>4331</v>
      </c>
      <c r="B1795" s="81" t="s">
        <v>4272</v>
      </c>
      <c r="C1795" s="26" t="s">
        <v>37</v>
      </c>
      <c r="D1795" s="68">
        <v>192500</v>
      </c>
      <c r="E1795" s="74">
        <v>0.05</v>
      </c>
      <c r="F1795" s="129">
        <f t="shared" si="252"/>
        <v>202125</v>
      </c>
      <c r="G1795" s="130">
        <f t="shared" ref="G1795:G1826" si="255">F1795*0.19</f>
        <v>38403.75</v>
      </c>
      <c r="H1795" s="131">
        <f t="shared" si="253"/>
        <v>240529</v>
      </c>
    </row>
    <row r="1796" spans="1:8" x14ac:dyDescent="0.25">
      <c r="A1796" s="85" t="s">
        <v>4332</v>
      </c>
      <c r="B1796" s="81" t="s">
        <v>4273</v>
      </c>
      <c r="C1796" s="26" t="s">
        <v>37</v>
      </c>
      <c r="D1796" s="68">
        <v>222200</v>
      </c>
      <c r="E1796" s="74">
        <v>0.05</v>
      </c>
      <c r="F1796" s="129">
        <f t="shared" si="252"/>
        <v>233310</v>
      </c>
      <c r="G1796" s="130">
        <f t="shared" si="255"/>
        <v>44328.9</v>
      </c>
      <c r="H1796" s="131">
        <f t="shared" si="253"/>
        <v>277639</v>
      </c>
    </row>
    <row r="1797" spans="1:8" x14ac:dyDescent="0.25">
      <c r="A1797" s="85" t="s">
        <v>4333</v>
      </c>
      <c r="B1797" s="81" t="s">
        <v>4274</v>
      </c>
      <c r="C1797" s="26" t="s">
        <v>37</v>
      </c>
      <c r="D1797" s="68">
        <v>298100</v>
      </c>
      <c r="E1797" s="74">
        <v>0.05</v>
      </c>
      <c r="F1797" s="129">
        <f t="shared" si="252"/>
        <v>313005</v>
      </c>
      <c r="G1797" s="130">
        <f t="shared" si="255"/>
        <v>59470.95</v>
      </c>
      <c r="H1797" s="131">
        <f t="shared" si="253"/>
        <v>372476</v>
      </c>
    </row>
    <row r="1798" spans="1:8" x14ac:dyDescent="0.25">
      <c r="A1798" s="85" t="s">
        <v>4334</v>
      </c>
      <c r="B1798" s="81" t="s">
        <v>4275</v>
      </c>
      <c r="C1798" s="26" t="s">
        <v>37</v>
      </c>
      <c r="D1798" s="68">
        <v>313500</v>
      </c>
      <c r="E1798" s="74">
        <v>0.05</v>
      </c>
      <c r="F1798" s="129">
        <f t="shared" si="252"/>
        <v>329175</v>
      </c>
      <c r="G1798" s="130">
        <f t="shared" si="255"/>
        <v>62543.25</v>
      </c>
      <c r="H1798" s="131">
        <f t="shared" si="253"/>
        <v>391718</v>
      </c>
    </row>
    <row r="1799" spans="1:8" x14ac:dyDescent="0.25">
      <c r="A1799" s="85" t="s">
        <v>4335</v>
      </c>
      <c r="B1799" s="81" t="s">
        <v>4276</v>
      </c>
      <c r="C1799" s="26" t="s">
        <v>37</v>
      </c>
      <c r="D1799" s="68">
        <v>356400</v>
      </c>
      <c r="E1799" s="74">
        <v>0.05</v>
      </c>
      <c r="F1799" s="129">
        <f t="shared" si="252"/>
        <v>374220</v>
      </c>
      <c r="G1799" s="130">
        <f t="shared" si="255"/>
        <v>71101.8</v>
      </c>
      <c r="H1799" s="131">
        <f t="shared" si="253"/>
        <v>445322</v>
      </c>
    </row>
    <row r="1800" spans="1:8" x14ac:dyDescent="0.25">
      <c r="A1800" s="85" t="s">
        <v>4336</v>
      </c>
      <c r="B1800" s="81" t="s">
        <v>4277</v>
      </c>
      <c r="C1800" s="26" t="s">
        <v>37</v>
      </c>
      <c r="D1800" s="68">
        <v>499400</v>
      </c>
      <c r="E1800" s="74">
        <v>0.05</v>
      </c>
      <c r="F1800" s="129">
        <f t="shared" si="252"/>
        <v>524370</v>
      </c>
      <c r="G1800" s="130">
        <f t="shared" si="255"/>
        <v>99630.3</v>
      </c>
      <c r="H1800" s="131">
        <f t="shared" si="253"/>
        <v>624000</v>
      </c>
    </row>
    <row r="1801" spans="1:8" x14ac:dyDescent="0.25">
      <c r="A1801" s="85" t="s">
        <v>4337</v>
      </c>
      <c r="B1801" s="81" t="s">
        <v>7862</v>
      </c>
      <c r="C1801" s="26" t="s">
        <v>37</v>
      </c>
      <c r="D1801" s="68">
        <v>654500</v>
      </c>
      <c r="E1801" s="74">
        <v>0.05</v>
      </c>
      <c r="F1801" s="129">
        <f t="shared" si="252"/>
        <v>687225</v>
      </c>
      <c r="G1801" s="130">
        <f t="shared" si="255"/>
        <v>130572.75</v>
      </c>
      <c r="H1801" s="131">
        <f t="shared" si="253"/>
        <v>817798</v>
      </c>
    </row>
    <row r="1802" spans="1:8" x14ac:dyDescent="0.25">
      <c r="A1802" s="85" t="s">
        <v>4338</v>
      </c>
      <c r="B1802" s="81" t="s">
        <v>7863</v>
      </c>
      <c r="C1802" s="26" t="s">
        <v>37</v>
      </c>
      <c r="D1802" s="68">
        <v>740000</v>
      </c>
      <c r="E1802" s="74">
        <v>0.05</v>
      </c>
      <c r="F1802" s="129">
        <f t="shared" si="252"/>
        <v>777000</v>
      </c>
      <c r="G1802" s="130">
        <f t="shared" si="255"/>
        <v>147630</v>
      </c>
      <c r="H1802" s="131">
        <f t="shared" si="253"/>
        <v>924630</v>
      </c>
    </row>
    <row r="1803" spans="1:8" x14ac:dyDescent="0.25">
      <c r="A1803" s="85" t="s">
        <v>4339</v>
      </c>
      <c r="B1803" s="81" t="s">
        <v>7864</v>
      </c>
      <c r="C1803" s="26" t="s">
        <v>37</v>
      </c>
      <c r="D1803" s="68">
        <v>891000</v>
      </c>
      <c r="E1803" s="74">
        <v>0.05</v>
      </c>
      <c r="F1803" s="129">
        <f t="shared" si="252"/>
        <v>935550</v>
      </c>
      <c r="G1803" s="130">
        <f t="shared" si="255"/>
        <v>177754.5</v>
      </c>
      <c r="H1803" s="131">
        <f t="shared" si="253"/>
        <v>1113305</v>
      </c>
    </row>
    <row r="1804" spans="1:8" x14ac:dyDescent="0.25">
      <c r="A1804" s="85" t="s">
        <v>4340</v>
      </c>
      <c r="B1804" s="81" t="s">
        <v>4281</v>
      </c>
      <c r="C1804" s="26" t="s">
        <v>37</v>
      </c>
      <c r="D1804" s="68">
        <v>850300</v>
      </c>
      <c r="E1804" s="74">
        <v>0.05</v>
      </c>
      <c r="F1804" s="129">
        <f t="shared" si="252"/>
        <v>892815</v>
      </c>
      <c r="G1804" s="130">
        <f t="shared" si="255"/>
        <v>169634.85</v>
      </c>
      <c r="H1804" s="131">
        <f t="shared" si="253"/>
        <v>1062450</v>
      </c>
    </row>
    <row r="1805" spans="1:8" x14ac:dyDescent="0.25">
      <c r="A1805" s="85" t="s">
        <v>4341</v>
      </c>
      <c r="B1805" s="81" t="s">
        <v>4282</v>
      </c>
      <c r="C1805" s="26" t="s">
        <v>37</v>
      </c>
      <c r="D1805" s="68">
        <v>1225400</v>
      </c>
      <c r="E1805" s="74">
        <v>0.05</v>
      </c>
      <c r="F1805" s="129">
        <f t="shared" si="252"/>
        <v>1286670</v>
      </c>
      <c r="G1805" s="130">
        <f t="shared" si="255"/>
        <v>244467.3</v>
      </c>
      <c r="H1805" s="131">
        <f t="shared" si="253"/>
        <v>1531137</v>
      </c>
    </row>
    <row r="1806" spans="1:8" x14ac:dyDescent="0.25">
      <c r="A1806" s="85" t="s">
        <v>4342</v>
      </c>
      <c r="B1806" s="81" t="s">
        <v>7865</v>
      </c>
      <c r="C1806" s="26" t="s">
        <v>37</v>
      </c>
      <c r="D1806" s="68">
        <v>1254000</v>
      </c>
      <c r="E1806" s="74">
        <v>0.05</v>
      </c>
      <c r="F1806" s="129">
        <f t="shared" si="252"/>
        <v>1316700</v>
      </c>
      <c r="G1806" s="130">
        <f t="shared" si="255"/>
        <v>250173</v>
      </c>
      <c r="H1806" s="131">
        <f t="shared" si="253"/>
        <v>1566873</v>
      </c>
    </row>
    <row r="1807" spans="1:8" x14ac:dyDescent="0.25">
      <c r="A1807" s="85" t="s">
        <v>4343</v>
      </c>
      <c r="B1807" s="81" t="s">
        <v>4284</v>
      </c>
      <c r="C1807" s="26" t="s">
        <v>37</v>
      </c>
      <c r="D1807" s="68">
        <v>1540000</v>
      </c>
      <c r="E1807" s="74">
        <v>0.05</v>
      </c>
      <c r="F1807" s="129">
        <f t="shared" si="252"/>
        <v>1617000</v>
      </c>
      <c r="G1807" s="130">
        <f t="shared" si="255"/>
        <v>307230</v>
      </c>
      <c r="H1807" s="131">
        <f t="shared" si="253"/>
        <v>1924230</v>
      </c>
    </row>
    <row r="1808" spans="1:8" x14ac:dyDescent="0.25">
      <c r="A1808" s="85" t="s">
        <v>4344</v>
      </c>
      <c r="B1808" s="81" t="s">
        <v>7339</v>
      </c>
      <c r="C1808" s="26" t="s">
        <v>37</v>
      </c>
      <c r="D1808" s="68">
        <v>1492700</v>
      </c>
      <c r="E1808" s="74">
        <v>0.05</v>
      </c>
      <c r="F1808" s="129">
        <f t="shared" si="252"/>
        <v>1567335</v>
      </c>
      <c r="G1808" s="130">
        <f t="shared" si="255"/>
        <v>297793.65000000002</v>
      </c>
      <c r="H1808" s="131">
        <f t="shared" si="253"/>
        <v>1865129</v>
      </c>
    </row>
    <row r="1809" spans="1:8" x14ac:dyDescent="0.25">
      <c r="A1809" s="85" t="s">
        <v>4345</v>
      </c>
      <c r="B1809" s="81" t="s">
        <v>7340</v>
      </c>
      <c r="C1809" s="26" t="s">
        <v>37</v>
      </c>
      <c r="D1809" s="68">
        <v>1742400</v>
      </c>
      <c r="E1809" s="74">
        <v>0.05</v>
      </c>
      <c r="F1809" s="129">
        <f t="shared" si="252"/>
        <v>1829520</v>
      </c>
      <c r="G1809" s="130">
        <f t="shared" si="255"/>
        <v>347608.8</v>
      </c>
      <c r="H1809" s="131">
        <f t="shared" si="253"/>
        <v>2177129</v>
      </c>
    </row>
    <row r="1810" spans="1:8" x14ac:dyDescent="0.25">
      <c r="A1810" s="85" t="s">
        <v>4346</v>
      </c>
      <c r="B1810" s="81" t="s">
        <v>7866</v>
      </c>
      <c r="C1810" s="26" t="s">
        <v>37</v>
      </c>
      <c r="D1810" s="68">
        <v>2018500</v>
      </c>
      <c r="E1810" s="74">
        <v>0.05</v>
      </c>
      <c r="F1810" s="129">
        <f t="shared" si="252"/>
        <v>2119425</v>
      </c>
      <c r="G1810" s="130">
        <f t="shared" si="255"/>
        <v>402690.75</v>
      </c>
      <c r="H1810" s="131">
        <f t="shared" si="253"/>
        <v>2522116</v>
      </c>
    </row>
    <row r="1811" spans="1:8" x14ac:dyDescent="0.25">
      <c r="A1811" s="85" t="s">
        <v>4347</v>
      </c>
      <c r="B1811" s="81" t="s">
        <v>7341</v>
      </c>
      <c r="C1811" s="26" t="s">
        <v>37</v>
      </c>
      <c r="D1811" s="68">
        <v>2103200</v>
      </c>
      <c r="E1811" s="74">
        <v>0.05</v>
      </c>
      <c r="F1811" s="129">
        <f t="shared" ref="F1811:F1874" si="256">+D1811+D1811*E1811</f>
        <v>2208360</v>
      </c>
      <c r="G1811" s="130">
        <f t="shared" si="255"/>
        <v>419588.4</v>
      </c>
      <c r="H1811" s="131">
        <f t="shared" ref="H1811:H1874" si="257">ROUND((F1811+G1811),0)</f>
        <v>2627948</v>
      </c>
    </row>
    <row r="1812" spans="1:8" x14ac:dyDescent="0.25">
      <c r="A1812" s="85" t="s">
        <v>4348</v>
      </c>
      <c r="B1812" s="81" t="s">
        <v>7342</v>
      </c>
      <c r="C1812" s="26" t="s">
        <v>37</v>
      </c>
      <c r="D1812" s="68">
        <v>2308900</v>
      </c>
      <c r="E1812" s="74">
        <v>0.05</v>
      </c>
      <c r="F1812" s="129">
        <f t="shared" si="256"/>
        <v>2424345</v>
      </c>
      <c r="G1812" s="130">
        <f t="shared" si="255"/>
        <v>460625.55</v>
      </c>
      <c r="H1812" s="131">
        <f t="shared" si="257"/>
        <v>2884971</v>
      </c>
    </row>
    <row r="1813" spans="1:8" x14ac:dyDescent="0.25">
      <c r="A1813" s="85" t="s">
        <v>4349</v>
      </c>
      <c r="B1813" s="81" t="s">
        <v>4290</v>
      </c>
      <c r="C1813" s="26" t="s">
        <v>37</v>
      </c>
      <c r="D1813" s="68">
        <v>2403500</v>
      </c>
      <c r="E1813" s="74">
        <v>0.05</v>
      </c>
      <c r="F1813" s="129">
        <f t="shared" si="256"/>
        <v>2523675</v>
      </c>
      <c r="G1813" s="130">
        <f t="shared" si="255"/>
        <v>479498.25</v>
      </c>
      <c r="H1813" s="131">
        <f t="shared" si="257"/>
        <v>3003173</v>
      </c>
    </row>
    <row r="1814" spans="1:8" x14ac:dyDescent="0.25">
      <c r="A1814" s="85" t="s">
        <v>4350</v>
      </c>
      <c r="B1814" s="81" t="s">
        <v>4291</v>
      </c>
      <c r="C1814" s="26" t="s">
        <v>37</v>
      </c>
      <c r="D1814" s="68">
        <v>3100900</v>
      </c>
      <c r="E1814" s="74">
        <v>0.05</v>
      </c>
      <c r="F1814" s="129">
        <f t="shared" si="256"/>
        <v>3255945</v>
      </c>
      <c r="G1814" s="130">
        <f t="shared" si="255"/>
        <v>618629.55000000005</v>
      </c>
      <c r="H1814" s="131">
        <f t="shared" si="257"/>
        <v>3874575</v>
      </c>
    </row>
    <row r="1815" spans="1:8" x14ac:dyDescent="0.25">
      <c r="A1815" s="85" t="s">
        <v>4351</v>
      </c>
      <c r="B1815" s="81" t="s">
        <v>7867</v>
      </c>
      <c r="C1815" s="26" t="s">
        <v>37</v>
      </c>
      <c r="D1815" s="68">
        <v>3100900</v>
      </c>
      <c r="E1815" s="74">
        <v>0.05</v>
      </c>
      <c r="F1815" s="129">
        <f t="shared" si="256"/>
        <v>3255945</v>
      </c>
      <c r="G1815" s="130">
        <f t="shared" si="255"/>
        <v>618629.55000000005</v>
      </c>
      <c r="H1815" s="131">
        <f t="shared" si="257"/>
        <v>3874575</v>
      </c>
    </row>
    <row r="1816" spans="1:8" x14ac:dyDescent="0.25">
      <c r="A1816" s="85" t="s">
        <v>4352</v>
      </c>
      <c r="B1816" s="81" t="s">
        <v>4293</v>
      </c>
      <c r="C1816" s="26" t="s">
        <v>37</v>
      </c>
      <c r="D1816" s="68">
        <v>3100900</v>
      </c>
      <c r="E1816" s="74">
        <v>0.05</v>
      </c>
      <c r="F1816" s="129">
        <f t="shared" si="256"/>
        <v>3255945</v>
      </c>
      <c r="G1816" s="130">
        <f t="shared" si="255"/>
        <v>618629.55000000005</v>
      </c>
      <c r="H1816" s="131">
        <f t="shared" si="257"/>
        <v>3874575</v>
      </c>
    </row>
    <row r="1817" spans="1:8" x14ac:dyDescent="0.25">
      <c r="A1817" s="85" t="s">
        <v>4353</v>
      </c>
      <c r="B1817" s="81" t="s">
        <v>7343</v>
      </c>
      <c r="C1817" s="26" t="s">
        <v>37</v>
      </c>
      <c r="D1817" s="68">
        <v>3348400</v>
      </c>
      <c r="E1817" s="74">
        <v>0.05</v>
      </c>
      <c r="F1817" s="129">
        <f t="shared" si="256"/>
        <v>3515820</v>
      </c>
      <c r="G1817" s="130">
        <f t="shared" si="255"/>
        <v>668005.80000000005</v>
      </c>
      <c r="H1817" s="131">
        <f t="shared" si="257"/>
        <v>4183826</v>
      </c>
    </row>
    <row r="1818" spans="1:8" x14ac:dyDescent="0.25">
      <c r="A1818" s="85" t="s">
        <v>4354</v>
      </c>
      <c r="B1818" s="81" t="s">
        <v>4295</v>
      </c>
      <c r="C1818" s="26" t="s">
        <v>37</v>
      </c>
      <c r="D1818" s="68">
        <v>3430900</v>
      </c>
      <c r="E1818" s="74">
        <v>0.05</v>
      </c>
      <c r="F1818" s="129">
        <f t="shared" si="256"/>
        <v>3602445</v>
      </c>
      <c r="G1818" s="130">
        <f t="shared" si="255"/>
        <v>684464.55</v>
      </c>
      <c r="H1818" s="131">
        <f t="shared" si="257"/>
        <v>4286910</v>
      </c>
    </row>
    <row r="1819" spans="1:8" x14ac:dyDescent="0.25">
      <c r="A1819" s="85" t="s">
        <v>4355</v>
      </c>
      <c r="B1819" s="81" t="s">
        <v>7516</v>
      </c>
      <c r="C1819" s="26" t="s">
        <v>37</v>
      </c>
      <c r="D1819" s="68">
        <v>2927100</v>
      </c>
      <c r="E1819" s="74">
        <v>0.05</v>
      </c>
      <c r="F1819" s="129">
        <f t="shared" si="256"/>
        <v>3073455</v>
      </c>
      <c r="G1819" s="130">
        <f t="shared" si="255"/>
        <v>583956.44999999995</v>
      </c>
      <c r="H1819" s="131">
        <f t="shared" si="257"/>
        <v>3657411</v>
      </c>
    </row>
    <row r="1820" spans="1:8" x14ac:dyDescent="0.25">
      <c r="A1820" s="85" t="s">
        <v>4356</v>
      </c>
      <c r="B1820" s="81" t="s">
        <v>7517</v>
      </c>
      <c r="C1820" s="26" t="s">
        <v>37</v>
      </c>
      <c r="D1820" s="68">
        <v>3132800</v>
      </c>
      <c r="E1820" s="74">
        <v>0.05</v>
      </c>
      <c r="F1820" s="129">
        <f t="shared" si="256"/>
        <v>3289440</v>
      </c>
      <c r="G1820" s="130">
        <f t="shared" si="255"/>
        <v>624993.6</v>
      </c>
      <c r="H1820" s="131">
        <f t="shared" si="257"/>
        <v>3914434</v>
      </c>
    </row>
    <row r="1821" spans="1:8" x14ac:dyDescent="0.25">
      <c r="A1821" s="85" t="s">
        <v>4357</v>
      </c>
      <c r="B1821" s="81" t="s">
        <v>7868</v>
      </c>
      <c r="C1821" s="26" t="s">
        <v>37</v>
      </c>
      <c r="D1821" s="68">
        <v>3165800</v>
      </c>
      <c r="E1821" s="74">
        <v>0.05</v>
      </c>
      <c r="F1821" s="129">
        <f t="shared" si="256"/>
        <v>3324090</v>
      </c>
      <c r="G1821" s="130">
        <f t="shared" si="255"/>
        <v>631577.1</v>
      </c>
      <c r="H1821" s="131">
        <f t="shared" si="257"/>
        <v>3955667</v>
      </c>
    </row>
    <row r="1822" spans="1:8" x14ac:dyDescent="0.25">
      <c r="A1822" s="85" t="s">
        <v>4358</v>
      </c>
      <c r="B1822" s="81" t="s">
        <v>7518</v>
      </c>
      <c r="C1822" s="26" t="s">
        <v>37</v>
      </c>
      <c r="D1822" s="68">
        <v>3861000</v>
      </c>
      <c r="E1822" s="74">
        <v>0.05</v>
      </c>
      <c r="F1822" s="129">
        <f t="shared" si="256"/>
        <v>4054050</v>
      </c>
      <c r="G1822" s="130">
        <f t="shared" si="255"/>
        <v>770269.5</v>
      </c>
      <c r="H1822" s="131">
        <f t="shared" si="257"/>
        <v>4824320</v>
      </c>
    </row>
    <row r="1823" spans="1:8" x14ac:dyDescent="0.25">
      <c r="A1823" s="85" t="s">
        <v>4359</v>
      </c>
      <c r="B1823" s="81" t="s">
        <v>7519</v>
      </c>
      <c r="C1823" s="26" t="s">
        <v>37</v>
      </c>
      <c r="D1823" s="68">
        <v>3957800</v>
      </c>
      <c r="E1823" s="74">
        <v>0.05</v>
      </c>
      <c r="F1823" s="129">
        <f t="shared" si="256"/>
        <v>4155690</v>
      </c>
      <c r="G1823" s="130">
        <f t="shared" si="255"/>
        <v>789581.1</v>
      </c>
      <c r="H1823" s="131">
        <f t="shared" si="257"/>
        <v>4945271</v>
      </c>
    </row>
    <row r="1824" spans="1:8" x14ac:dyDescent="0.25">
      <c r="A1824" s="85" t="s">
        <v>4360</v>
      </c>
      <c r="B1824" s="81" t="s">
        <v>7520</v>
      </c>
      <c r="C1824" s="26" t="s">
        <v>37</v>
      </c>
      <c r="D1824" s="68">
        <v>4015000</v>
      </c>
      <c r="E1824" s="74">
        <v>0.05</v>
      </c>
      <c r="F1824" s="129">
        <f t="shared" si="256"/>
        <v>4215750</v>
      </c>
      <c r="G1824" s="130">
        <f t="shared" si="255"/>
        <v>800992.5</v>
      </c>
      <c r="H1824" s="131">
        <f t="shared" si="257"/>
        <v>5016743</v>
      </c>
    </row>
    <row r="1825" spans="1:8" x14ac:dyDescent="0.25">
      <c r="A1825" s="85" t="s">
        <v>4361</v>
      </c>
      <c r="B1825" s="81" t="s">
        <v>7521</v>
      </c>
      <c r="C1825" s="26" t="s">
        <v>37</v>
      </c>
      <c r="D1825" s="68">
        <v>4200900</v>
      </c>
      <c r="E1825" s="74">
        <v>0.05</v>
      </c>
      <c r="F1825" s="129">
        <f t="shared" si="256"/>
        <v>4410945</v>
      </c>
      <c r="G1825" s="130">
        <f t="shared" si="255"/>
        <v>838079.55</v>
      </c>
      <c r="H1825" s="131">
        <f t="shared" si="257"/>
        <v>5249025</v>
      </c>
    </row>
    <row r="1826" spans="1:8" x14ac:dyDescent="0.25">
      <c r="A1826" s="85" t="s">
        <v>4362</v>
      </c>
      <c r="B1826" s="81" t="s">
        <v>7671</v>
      </c>
      <c r="C1826" s="26" t="s">
        <v>37</v>
      </c>
      <c r="D1826" s="68">
        <v>5078700</v>
      </c>
      <c r="E1826" s="74">
        <v>0.05</v>
      </c>
      <c r="F1826" s="129">
        <f t="shared" si="256"/>
        <v>5332635</v>
      </c>
      <c r="G1826" s="130">
        <f t="shared" si="255"/>
        <v>1013200.65</v>
      </c>
      <c r="H1826" s="131">
        <f t="shared" si="257"/>
        <v>6345836</v>
      </c>
    </row>
    <row r="1827" spans="1:8" x14ac:dyDescent="0.25">
      <c r="A1827" s="85" t="s">
        <v>4363</v>
      </c>
      <c r="B1827" s="81" t="s">
        <v>7869</v>
      </c>
      <c r="C1827" s="26" t="s">
        <v>37</v>
      </c>
      <c r="D1827" s="68">
        <v>5151300</v>
      </c>
      <c r="E1827" s="74">
        <v>0.05</v>
      </c>
      <c r="F1827" s="129">
        <f t="shared" si="256"/>
        <v>5408865</v>
      </c>
      <c r="G1827" s="130">
        <f t="shared" ref="G1827:G1853" si="258">F1827*0.19</f>
        <v>1027684.35</v>
      </c>
      <c r="H1827" s="131">
        <f t="shared" si="257"/>
        <v>6436549</v>
      </c>
    </row>
    <row r="1828" spans="1:8" x14ac:dyDescent="0.25">
      <c r="A1828" s="85" t="s">
        <v>4364</v>
      </c>
      <c r="B1828" s="81" t="s">
        <v>7672</v>
      </c>
      <c r="C1828" s="26" t="s">
        <v>37</v>
      </c>
      <c r="D1828" s="68">
        <v>5374600</v>
      </c>
      <c r="E1828" s="74">
        <v>0.05</v>
      </c>
      <c r="F1828" s="129">
        <f t="shared" si="256"/>
        <v>5643330</v>
      </c>
      <c r="G1828" s="130">
        <f t="shared" si="258"/>
        <v>1072232.7</v>
      </c>
      <c r="H1828" s="131">
        <f t="shared" si="257"/>
        <v>6715563</v>
      </c>
    </row>
    <row r="1829" spans="1:8" x14ac:dyDescent="0.25">
      <c r="A1829" s="85" t="s">
        <v>4365</v>
      </c>
      <c r="B1829" s="81" t="s">
        <v>7673</v>
      </c>
      <c r="C1829" s="26" t="s">
        <v>37</v>
      </c>
      <c r="D1829" s="68">
        <v>5586900</v>
      </c>
      <c r="E1829" s="74">
        <v>0.05</v>
      </c>
      <c r="F1829" s="129">
        <f t="shared" si="256"/>
        <v>5866245</v>
      </c>
      <c r="G1829" s="130">
        <f t="shared" si="258"/>
        <v>1114586.55</v>
      </c>
      <c r="H1829" s="131">
        <f t="shared" si="257"/>
        <v>6980832</v>
      </c>
    </row>
    <row r="1830" spans="1:8" x14ac:dyDescent="0.25">
      <c r="A1830" s="85" t="s">
        <v>4366</v>
      </c>
      <c r="B1830" s="81" t="s">
        <v>7674</v>
      </c>
      <c r="C1830" s="26" t="s">
        <v>37</v>
      </c>
      <c r="D1830" s="68">
        <v>5761800</v>
      </c>
      <c r="E1830" s="74">
        <v>0.05</v>
      </c>
      <c r="F1830" s="129">
        <f t="shared" si="256"/>
        <v>6049890</v>
      </c>
      <c r="G1830" s="130">
        <f t="shared" si="258"/>
        <v>1149479.1000000001</v>
      </c>
      <c r="H1830" s="131">
        <f t="shared" si="257"/>
        <v>7199369</v>
      </c>
    </row>
    <row r="1831" spans="1:8" x14ac:dyDescent="0.25">
      <c r="A1831" s="85" t="s">
        <v>4367</v>
      </c>
      <c r="B1831" s="81" t="s">
        <v>7675</v>
      </c>
      <c r="C1831" s="26" t="s">
        <v>37</v>
      </c>
      <c r="D1831" s="68">
        <v>6241400</v>
      </c>
      <c r="E1831" s="74">
        <v>0.05</v>
      </c>
      <c r="F1831" s="129">
        <f t="shared" si="256"/>
        <v>6553470</v>
      </c>
      <c r="G1831" s="130">
        <f t="shared" si="258"/>
        <v>1245159.3</v>
      </c>
      <c r="H1831" s="131">
        <f t="shared" si="257"/>
        <v>7798629</v>
      </c>
    </row>
    <row r="1832" spans="1:8" x14ac:dyDescent="0.25">
      <c r="A1832" s="85" t="s">
        <v>4368</v>
      </c>
      <c r="B1832" s="81" t="s">
        <v>7676</v>
      </c>
      <c r="C1832" s="26" t="s">
        <v>37</v>
      </c>
      <c r="D1832" s="68">
        <v>6388800</v>
      </c>
      <c r="E1832" s="74">
        <v>0.05</v>
      </c>
      <c r="F1832" s="129">
        <f t="shared" si="256"/>
        <v>6708240</v>
      </c>
      <c r="G1832" s="130">
        <f t="shared" si="258"/>
        <v>1274565.6000000001</v>
      </c>
      <c r="H1832" s="131">
        <f t="shared" si="257"/>
        <v>7982806</v>
      </c>
    </row>
    <row r="1833" spans="1:8" x14ac:dyDescent="0.25">
      <c r="A1833" s="85" t="s">
        <v>4369</v>
      </c>
      <c r="B1833" s="81" t="s">
        <v>4310</v>
      </c>
      <c r="C1833" s="26" t="s">
        <v>37</v>
      </c>
      <c r="D1833" s="68">
        <v>6894800</v>
      </c>
      <c r="E1833" s="74">
        <v>0.05</v>
      </c>
      <c r="F1833" s="129">
        <f t="shared" si="256"/>
        <v>7239540</v>
      </c>
      <c r="G1833" s="130">
        <f t="shared" si="258"/>
        <v>1375512.6</v>
      </c>
      <c r="H1833" s="131">
        <f t="shared" si="257"/>
        <v>8615053</v>
      </c>
    </row>
    <row r="1834" spans="1:8" x14ac:dyDescent="0.25">
      <c r="A1834" s="85" t="s">
        <v>4370</v>
      </c>
      <c r="B1834" s="81" t="s">
        <v>7344</v>
      </c>
      <c r="C1834" s="26" t="s">
        <v>37</v>
      </c>
      <c r="D1834" s="68">
        <v>7257800</v>
      </c>
      <c r="E1834" s="74">
        <v>0.05</v>
      </c>
      <c r="F1834" s="129">
        <f t="shared" si="256"/>
        <v>7620690</v>
      </c>
      <c r="G1834" s="130">
        <f t="shared" si="258"/>
        <v>1447931.1</v>
      </c>
      <c r="H1834" s="131">
        <f t="shared" si="257"/>
        <v>9068621</v>
      </c>
    </row>
    <row r="1835" spans="1:8" x14ac:dyDescent="0.25">
      <c r="A1835" s="85" t="s">
        <v>4371</v>
      </c>
      <c r="B1835" s="81" t="s">
        <v>4312</v>
      </c>
      <c r="C1835" s="26" t="s">
        <v>37</v>
      </c>
      <c r="D1835" s="68">
        <v>7698900</v>
      </c>
      <c r="E1835" s="74">
        <v>0.05</v>
      </c>
      <c r="F1835" s="129">
        <f t="shared" si="256"/>
        <v>8083845</v>
      </c>
      <c r="G1835" s="130">
        <f t="shared" si="258"/>
        <v>1535930.55</v>
      </c>
      <c r="H1835" s="131">
        <f t="shared" si="257"/>
        <v>9619776</v>
      </c>
    </row>
    <row r="1836" spans="1:8" x14ac:dyDescent="0.25">
      <c r="A1836" s="85" t="s">
        <v>4372</v>
      </c>
      <c r="B1836" s="81" t="s">
        <v>7522</v>
      </c>
      <c r="C1836" s="26" t="s">
        <v>37</v>
      </c>
      <c r="D1836" s="68">
        <v>8319300</v>
      </c>
      <c r="E1836" s="74">
        <v>0.05</v>
      </c>
      <c r="F1836" s="129">
        <f t="shared" si="256"/>
        <v>8735265</v>
      </c>
      <c r="G1836" s="130">
        <f t="shared" si="258"/>
        <v>1659700.35</v>
      </c>
      <c r="H1836" s="131">
        <f t="shared" si="257"/>
        <v>10394965</v>
      </c>
    </row>
    <row r="1837" spans="1:8" x14ac:dyDescent="0.25">
      <c r="A1837" s="85" t="s">
        <v>4373</v>
      </c>
      <c r="B1837" s="81" t="s">
        <v>7677</v>
      </c>
      <c r="C1837" s="26" t="s">
        <v>37</v>
      </c>
      <c r="D1837" s="68">
        <v>8712000</v>
      </c>
      <c r="E1837" s="74">
        <v>0.05</v>
      </c>
      <c r="F1837" s="129">
        <f t="shared" si="256"/>
        <v>9147600</v>
      </c>
      <c r="G1837" s="130">
        <f t="shared" si="258"/>
        <v>1738044</v>
      </c>
      <c r="H1837" s="131">
        <f t="shared" si="257"/>
        <v>10885644</v>
      </c>
    </row>
    <row r="1838" spans="1:8" x14ac:dyDescent="0.25">
      <c r="A1838" s="85" t="s">
        <v>4374</v>
      </c>
      <c r="B1838" s="81" t="s">
        <v>4315</v>
      </c>
      <c r="C1838" s="26" t="s">
        <v>37</v>
      </c>
      <c r="D1838" s="68">
        <v>9289500</v>
      </c>
      <c r="E1838" s="74">
        <v>0.05</v>
      </c>
      <c r="F1838" s="129">
        <f t="shared" si="256"/>
        <v>9753975</v>
      </c>
      <c r="G1838" s="130">
        <f t="shared" si="258"/>
        <v>1853255.25</v>
      </c>
      <c r="H1838" s="131">
        <f t="shared" si="257"/>
        <v>11607230</v>
      </c>
    </row>
    <row r="1839" spans="1:8" x14ac:dyDescent="0.25">
      <c r="A1839" s="85" t="s">
        <v>4375</v>
      </c>
      <c r="B1839" s="81" t="s">
        <v>4316</v>
      </c>
      <c r="C1839" s="26" t="s">
        <v>37</v>
      </c>
      <c r="D1839" s="68">
        <v>8712000</v>
      </c>
      <c r="E1839" s="74">
        <v>0.05</v>
      </c>
      <c r="F1839" s="129">
        <f t="shared" si="256"/>
        <v>9147600</v>
      </c>
      <c r="G1839" s="130">
        <f t="shared" si="258"/>
        <v>1738044</v>
      </c>
      <c r="H1839" s="131">
        <f t="shared" si="257"/>
        <v>10885644</v>
      </c>
    </row>
    <row r="1840" spans="1:8" x14ac:dyDescent="0.25">
      <c r="A1840" s="85" t="s">
        <v>4376</v>
      </c>
      <c r="B1840" s="81" t="s">
        <v>7345</v>
      </c>
      <c r="C1840" s="26" t="s">
        <v>37</v>
      </c>
      <c r="D1840" s="68">
        <v>9722900</v>
      </c>
      <c r="E1840" s="74">
        <v>0.05</v>
      </c>
      <c r="F1840" s="129">
        <f t="shared" si="256"/>
        <v>10209045</v>
      </c>
      <c r="G1840" s="130">
        <f t="shared" si="258"/>
        <v>1939718.55</v>
      </c>
      <c r="H1840" s="131">
        <f t="shared" si="257"/>
        <v>12148764</v>
      </c>
    </row>
    <row r="1841" spans="1:8" x14ac:dyDescent="0.25">
      <c r="A1841" s="85" t="s">
        <v>4377</v>
      </c>
      <c r="B1841" s="81" t="s">
        <v>4318</v>
      </c>
      <c r="C1841" s="26" t="s">
        <v>37</v>
      </c>
      <c r="D1841" s="68">
        <v>9797700</v>
      </c>
      <c r="E1841" s="74">
        <v>0.05</v>
      </c>
      <c r="F1841" s="129">
        <f t="shared" si="256"/>
        <v>10287585</v>
      </c>
      <c r="G1841" s="130">
        <f t="shared" si="258"/>
        <v>1954641.15</v>
      </c>
      <c r="H1841" s="131">
        <f t="shared" si="257"/>
        <v>12242226</v>
      </c>
    </row>
    <row r="1842" spans="1:8" x14ac:dyDescent="0.25">
      <c r="A1842" s="85" t="s">
        <v>4378</v>
      </c>
      <c r="B1842" s="81" t="s">
        <v>7523</v>
      </c>
      <c r="C1842" s="26" t="s">
        <v>37</v>
      </c>
      <c r="D1842" s="68">
        <v>10161800</v>
      </c>
      <c r="E1842" s="74">
        <v>0.05</v>
      </c>
      <c r="F1842" s="129">
        <f t="shared" si="256"/>
        <v>10669890</v>
      </c>
      <c r="G1842" s="130">
        <f t="shared" si="258"/>
        <v>2027279.1</v>
      </c>
      <c r="H1842" s="131">
        <f t="shared" si="257"/>
        <v>12697169</v>
      </c>
    </row>
    <row r="1843" spans="1:8" x14ac:dyDescent="0.25">
      <c r="A1843" s="85" t="s">
        <v>4379</v>
      </c>
      <c r="B1843" s="81" t="s">
        <v>7678</v>
      </c>
      <c r="C1843" s="26" t="s">
        <v>37</v>
      </c>
      <c r="D1843" s="68">
        <v>10740400</v>
      </c>
      <c r="E1843" s="74">
        <v>0.05</v>
      </c>
      <c r="F1843" s="129">
        <f t="shared" si="256"/>
        <v>11277420</v>
      </c>
      <c r="G1843" s="130">
        <f t="shared" si="258"/>
        <v>2142709.7999999998</v>
      </c>
      <c r="H1843" s="131">
        <f t="shared" si="257"/>
        <v>13420130</v>
      </c>
    </row>
    <row r="1844" spans="1:8" x14ac:dyDescent="0.25">
      <c r="A1844" s="85" t="s">
        <v>4380</v>
      </c>
      <c r="B1844" s="81" t="s">
        <v>4321</v>
      </c>
      <c r="C1844" s="26" t="s">
        <v>37</v>
      </c>
      <c r="D1844" s="68">
        <v>11687500</v>
      </c>
      <c r="E1844" s="74">
        <v>0.05</v>
      </c>
      <c r="F1844" s="129">
        <f t="shared" si="256"/>
        <v>12271875</v>
      </c>
      <c r="G1844" s="130">
        <f t="shared" si="258"/>
        <v>2331656.25</v>
      </c>
      <c r="H1844" s="131">
        <f t="shared" si="257"/>
        <v>14603531</v>
      </c>
    </row>
    <row r="1845" spans="1:8" x14ac:dyDescent="0.25">
      <c r="A1845" s="85" t="s">
        <v>4381</v>
      </c>
      <c r="B1845" s="81" t="s">
        <v>4322</v>
      </c>
      <c r="C1845" s="26" t="s">
        <v>37</v>
      </c>
      <c r="D1845" s="68">
        <v>11902000</v>
      </c>
      <c r="E1845" s="74">
        <v>0.05</v>
      </c>
      <c r="F1845" s="129">
        <f t="shared" si="256"/>
        <v>12497100</v>
      </c>
      <c r="G1845" s="130">
        <f t="shared" si="258"/>
        <v>2374449</v>
      </c>
      <c r="H1845" s="131">
        <f t="shared" si="257"/>
        <v>14871549</v>
      </c>
    </row>
    <row r="1846" spans="1:8" x14ac:dyDescent="0.25">
      <c r="A1846" s="85" t="s">
        <v>4382</v>
      </c>
      <c r="B1846" s="81" t="s">
        <v>4323</v>
      </c>
      <c r="C1846" s="26" t="s">
        <v>37</v>
      </c>
      <c r="D1846" s="68">
        <v>12199000</v>
      </c>
      <c r="E1846" s="74">
        <v>0.05</v>
      </c>
      <c r="F1846" s="129">
        <f t="shared" si="256"/>
        <v>12808950</v>
      </c>
      <c r="G1846" s="130">
        <f t="shared" si="258"/>
        <v>2433700.5</v>
      </c>
      <c r="H1846" s="131">
        <f t="shared" si="257"/>
        <v>15242651</v>
      </c>
    </row>
    <row r="1847" spans="1:8" x14ac:dyDescent="0.25">
      <c r="A1847" s="85" t="s">
        <v>4383</v>
      </c>
      <c r="B1847" s="81" t="s">
        <v>7346</v>
      </c>
      <c r="C1847" s="26" t="s">
        <v>37</v>
      </c>
      <c r="D1847" s="68">
        <v>12441000</v>
      </c>
      <c r="E1847" s="74">
        <v>0.05</v>
      </c>
      <c r="F1847" s="129">
        <f t="shared" si="256"/>
        <v>13063050</v>
      </c>
      <c r="G1847" s="130">
        <f t="shared" si="258"/>
        <v>2481979.5</v>
      </c>
      <c r="H1847" s="131">
        <f t="shared" si="257"/>
        <v>15545030</v>
      </c>
    </row>
    <row r="1848" spans="1:8" x14ac:dyDescent="0.25">
      <c r="A1848" s="85" t="s">
        <v>4384</v>
      </c>
      <c r="B1848" s="81" t="s">
        <v>4325</v>
      </c>
      <c r="C1848" s="26" t="s">
        <v>37</v>
      </c>
      <c r="D1848" s="68">
        <v>12903000</v>
      </c>
      <c r="E1848" s="74">
        <v>0.05</v>
      </c>
      <c r="F1848" s="129">
        <f t="shared" si="256"/>
        <v>13548150</v>
      </c>
      <c r="G1848" s="130">
        <f t="shared" si="258"/>
        <v>2574148.5</v>
      </c>
      <c r="H1848" s="131">
        <f t="shared" si="257"/>
        <v>16122299</v>
      </c>
    </row>
    <row r="1849" spans="1:8" x14ac:dyDescent="0.25">
      <c r="A1849" s="85" t="s">
        <v>4385</v>
      </c>
      <c r="B1849" s="81" t="s">
        <v>7524</v>
      </c>
      <c r="C1849" s="26" t="s">
        <v>37</v>
      </c>
      <c r="D1849" s="68">
        <v>13169200</v>
      </c>
      <c r="E1849" s="74">
        <v>0.05</v>
      </c>
      <c r="F1849" s="129">
        <f t="shared" si="256"/>
        <v>13827660</v>
      </c>
      <c r="G1849" s="130">
        <f t="shared" si="258"/>
        <v>2627255.4</v>
      </c>
      <c r="H1849" s="131">
        <f t="shared" si="257"/>
        <v>16454915</v>
      </c>
    </row>
    <row r="1850" spans="1:8" x14ac:dyDescent="0.25">
      <c r="A1850" s="85" t="s">
        <v>4386</v>
      </c>
      <c r="B1850" s="81" t="s">
        <v>7679</v>
      </c>
      <c r="C1850" s="26" t="s">
        <v>37</v>
      </c>
      <c r="D1850" s="68">
        <v>13707100</v>
      </c>
      <c r="E1850" s="74">
        <v>0.05</v>
      </c>
      <c r="F1850" s="129">
        <f t="shared" si="256"/>
        <v>14392455</v>
      </c>
      <c r="G1850" s="130">
        <f t="shared" si="258"/>
        <v>2734566.45</v>
      </c>
      <c r="H1850" s="131">
        <f t="shared" si="257"/>
        <v>17127021</v>
      </c>
    </row>
    <row r="1851" spans="1:8" x14ac:dyDescent="0.25">
      <c r="A1851" s="85" t="s">
        <v>4387</v>
      </c>
      <c r="B1851" s="81" t="s">
        <v>4328</v>
      </c>
      <c r="C1851" s="26" t="s">
        <v>37</v>
      </c>
      <c r="D1851" s="68">
        <v>14141600</v>
      </c>
      <c r="E1851" s="74">
        <v>0.05</v>
      </c>
      <c r="F1851" s="129">
        <f t="shared" si="256"/>
        <v>14848680</v>
      </c>
      <c r="G1851" s="130">
        <f t="shared" si="258"/>
        <v>2821249.2</v>
      </c>
      <c r="H1851" s="131">
        <f t="shared" si="257"/>
        <v>17669929</v>
      </c>
    </row>
    <row r="1852" spans="1:8" x14ac:dyDescent="0.25">
      <c r="A1852" s="85" t="s">
        <v>4388</v>
      </c>
      <c r="B1852" s="81" t="s">
        <v>4329</v>
      </c>
      <c r="C1852" s="26" t="s">
        <v>37</v>
      </c>
      <c r="D1852" s="68">
        <v>15042500</v>
      </c>
      <c r="E1852" s="74">
        <v>0.05</v>
      </c>
      <c r="F1852" s="129">
        <f t="shared" si="256"/>
        <v>15794625</v>
      </c>
      <c r="G1852" s="130">
        <f t="shared" si="258"/>
        <v>3000978.75</v>
      </c>
      <c r="H1852" s="131">
        <f t="shared" si="257"/>
        <v>18795604</v>
      </c>
    </row>
    <row r="1853" spans="1:8" x14ac:dyDescent="0.25">
      <c r="A1853" s="85" t="s">
        <v>4389</v>
      </c>
      <c r="B1853" s="81" t="s">
        <v>4330</v>
      </c>
      <c r="C1853" s="26" t="s">
        <v>37</v>
      </c>
      <c r="D1853" s="68">
        <v>16839900</v>
      </c>
      <c r="E1853" s="74">
        <v>0.05</v>
      </c>
      <c r="F1853" s="129">
        <f t="shared" si="256"/>
        <v>17681895</v>
      </c>
      <c r="G1853" s="130">
        <f t="shared" si="258"/>
        <v>3359560.05</v>
      </c>
      <c r="H1853" s="131">
        <f t="shared" si="257"/>
        <v>21041455</v>
      </c>
    </row>
    <row r="1854" spans="1:8" x14ac:dyDescent="0.25">
      <c r="A1854" s="78" t="s">
        <v>4390</v>
      </c>
      <c r="B1854" s="80" t="s">
        <v>4391</v>
      </c>
      <c r="C1854" s="26"/>
      <c r="D1854" s="1001"/>
      <c r="E1854" s="74"/>
      <c r="F1854" s="129"/>
      <c r="G1854" s="130"/>
      <c r="H1854" s="131"/>
    </row>
    <row r="1855" spans="1:8" x14ac:dyDescent="0.25">
      <c r="A1855" s="85" t="s">
        <v>4393</v>
      </c>
      <c r="B1855" s="80" t="s">
        <v>4392</v>
      </c>
      <c r="C1855" s="26"/>
      <c r="D1855" s="1001"/>
      <c r="E1855" s="74"/>
      <c r="F1855" s="129"/>
      <c r="G1855" s="130"/>
      <c r="H1855" s="131"/>
    </row>
    <row r="1856" spans="1:8" x14ac:dyDescent="0.25">
      <c r="A1856" s="85" t="s">
        <v>4394</v>
      </c>
      <c r="B1856" s="81" t="s">
        <v>4398</v>
      </c>
      <c r="C1856" s="26" t="s">
        <v>37</v>
      </c>
      <c r="D1856" s="68">
        <v>35200</v>
      </c>
      <c r="E1856" s="74">
        <v>0.05</v>
      </c>
      <c r="F1856" s="129">
        <f t="shared" si="256"/>
        <v>36960</v>
      </c>
      <c r="G1856" s="130">
        <f t="shared" ref="G1856:G1867" si="259">F1856*0.19</f>
        <v>7022.4</v>
      </c>
      <c r="H1856" s="131">
        <f t="shared" si="257"/>
        <v>43982</v>
      </c>
    </row>
    <row r="1857" spans="1:8" x14ac:dyDescent="0.25">
      <c r="A1857" s="85" t="s">
        <v>4422</v>
      </c>
      <c r="B1857" s="81" t="s">
        <v>4399</v>
      </c>
      <c r="C1857" s="26" t="s">
        <v>37</v>
      </c>
      <c r="D1857" s="68">
        <v>36300</v>
      </c>
      <c r="E1857" s="74">
        <v>0.05</v>
      </c>
      <c r="F1857" s="129">
        <f t="shared" si="256"/>
        <v>38115</v>
      </c>
      <c r="G1857" s="130">
        <f t="shared" si="259"/>
        <v>7241.85</v>
      </c>
      <c r="H1857" s="131">
        <f t="shared" si="257"/>
        <v>45357</v>
      </c>
    </row>
    <row r="1858" spans="1:8" x14ac:dyDescent="0.25">
      <c r="A1858" s="85" t="s">
        <v>4423</v>
      </c>
      <c r="B1858" s="81" t="s">
        <v>4400</v>
      </c>
      <c r="C1858" s="26" t="s">
        <v>37</v>
      </c>
      <c r="D1858" s="68">
        <v>73700</v>
      </c>
      <c r="E1858" s="74">
        <v>0.05</v>
      </c>
      <c r="F1858" s="129">
        <f t="shared" si="256"/>
        <v>77385</v>
      </c>
      <c r="G1858" s="130">
        <f t="shared" si="259"/>
        <v>14703.15</v>
      </c>
      <c r="H1858" s="131">
        <f t="shared" si="257"/>
        <v>92088</v>
      </c>
    </row>
    <row r="1859" spans="1:8" x14ac:dyDescent="0.25">
      <c r="A1859" s="85" t="s">
        <v>4424</v>
      </c>
      <c r="B1859" s="81" t="s">
        <v>7870</v>
      </c>
      <c r="C1859" s="26" t="s">
        <v>37</v>
      </c>
      <c r="D1859" s="68">
        <v>193600</v>
      </c>
      <c r="E1859" s="74">
        <v>0.05</v>
      </c>
      <c r="F1859" s="129">
        <f t="shared" si="256"/>
        <v>203280</v>
      </c>
      <c r="G1859" s="130">
        <f t="shared" si="259"/>
        <v>38623.199999999997</v>
      </c>
      <c r="H1859" s="131">
        <f t="shared" si="257"/>
        <v>241903</v>
      </c>
    </row>
    <row r="1860" spans="1:8" x14ac:dyDescent="0.25">
      <c r="A1860" s="85" t="s">
        <v>4425</v>
      </c>
      <c r="B1860" s="81" t="s">
        <v>4402</v>
      </c>
      <c r="C1860" s="26" t="s">
        <v>37</v>
      </c>
      <c r="D1860" s="68">
        <v>385000</v>
      </c>
      <c r="E1860" s="74">
        <v>0.05</v>
      </c>
      <c r="F1860" s="129">
        <f t="shared" si="256"/>
        <v>404250</v>
      </c>
      <c r="G1860" s="130">
        <f t="shared" si="259"/>
        <v>76807.5</v>
      </c>
      <c r="H1860" s="131">
        <f t="shared" si="257"/>
        <v>481058</v>
      </c>
    </row>
    <row r="1861" spans="1:8" x14ac:dyDescent="0.25">
      <c r="A1861" s="85" t="s">
        <v>4426</v>
      </c>
      <c r="B1861" s="81" t="s">
        <v>7347</v>
      </c>
      <c r="C1861" s="26" t="s">
        <v>37</v>
      </c>
      <c r="D1861" s="68">
        <v>776600</v>
      </c>
      <c r="E1861" s="74">
        <v>0.05</v>
      </c>
      <c r="F1861" s="129">
        <f t="shared" si="256"/>
        <v>815430</v>
      </c>
      <c r="G1861" s="130">
        <f t="shared" si="259"/>
        <v>154931.70000000001</v>
      </c>
      <c r="H1861" s="131">
        <f t="shared" si="257"/>
        <v>970362</v>
      </c>
    </row>
    <row r="1862" spans="1:8" x14ac:dyDescent="0.25">
      <c r="A1862" s="85" t="s">
        <v>4427</v>
      </c>
      <c r="B1862" s="81" t="s">
        <v>4404</v>
      </c>
      <c r="C1862" s="26" t="s">
        <v>37</v>
      </c>
      <c r="D1862" s="68">
        <v>836000</v>
      </c>
      <c r="E1862" s="74">
        <v>0.05</v>
      </c>
      <c r="F1862" s="129">
        <f t="shared" si="256"/>
        <v>877800</v>
      </c>
      <c r="G1862" s="130">
        <f t="shared" si="259"/>
        <v>166782</v>
      </c>
      <c r="H1862" s="131">
        <f t="shared" si="257"/>
        <v>1044582</v>
      </c>
    </row>
    <row r="1863" spans="1:8" x14ac:dyDescent="0.25">
      <c r="A1863" s="85" t="s">
        <v>4428</v>
      </c>
      <c r="B1863" s="81" t="s">
        <v>7525</v>
      </c>
      <c r="C1863" s="26" t="s">
        <v>37</v>
      </c>
      <c r="D1863" s="68">
        <v>931700</v>
      </c>
      <c r="E1863" s="74">
        <v>0.05</v>
      </c>
      <c r="F1863" s="129">
        <f t="shared" si="256"/>
        <v>978285</v>
      </c>
      <c r="G1863" s="130">
        <f t="shared" si="259"/>
        <v>185874.15</v>
      </c>
      <c r="H1863" s="131">
        <f t="shared" si="257"/>
        <v>1164159</v>
      </c>
    </row>
    <row r="1864" spans="1:8" x14ac:dyDescent="0.25">
      <c r="A1864" s="85" t="s">
        <v>4429</v>
      </c>
      <c r="B1864" s="81" t="s">
        <v>7680</v>
      </c>
      <c r="C1864" s="26" t="s">
        <v>37</v>
      </c>
      <c r="D1864" s="68">
        <v>1067000</v>
      </c>
      <c r="E1864" s="74">
        <v>0.05</v>
      </c>
      <c r="F1864" s="129">
        <f t="shared" si="256"/>
        <v>1120350</v>
      </c>
      <c r="G1864" s="130">
        <f t="shared" si="259"/>
        <v>212866.5</v>
      </c>
      <c r="H1864" s="131">
        <f t="shared" si="257"/>
        <v>1333217</v>
      </c>
    </row>
    <row r="1865" spans="1:8" x14ac:dyDescent="0.25">
      <c r="A1865" s="85" t="s">
        <v>4430</v>
      </c>
      <c r="B1865" s="81" t="s">
        <v>4407</v>
      </c>
      <c r="C1865" s="26" t="s">
        <v>37</v>
      </c>
      <c r="D1865" s="68">
        <v>1534500</v>
      </c>
      <c r="E1865" s="74">
        <v>0.05</v>
      </c>
      <c r="F1865" s="129">
        <f t="shared" si="256"/>
        <v>1611225</v>
      </c>
      <c r="G1865" s="130">
        <f t="shared" si="259"/>
        <v>306132.75</v>
      </c>
      <c r="H1865" s="131">
        <f t="shared" si="257"/>
        <v>1917358</v>
      </c>
    </row>
    <row r="1866" spans="1:8" x14ac:dyDescent="0.25">
      <c r="A1866" s="85" t="s">
        <v>4431</v>
      </c>
      <c r="B1866" s="81" t="s">
        <v>4408</v>
      </c>
      <c r="C1866" s="26" t="s">
        <v>37</v>
      </c>
      <c r="D1866" s="68">
        <v>1727000</v>
      </c>
      <c r="E1866" s="74">
        <v>0.05</v>
      </c>
      <c r="F1866" s="129">
        <f t="shared" si="256"/>
        <v>1813350</v>
      </c>
      <c r="G1866" s="130">
        <f t="shared" si="259"/>
        <v>344536.5</v>
      </c>
      <c r="H1866" s="131">
        <f t="shared" si="257"/>
        <v>2157887</v>
      </c>
    </row>
    <row r="1867" spans="1:8" x14ac:dyDescent="0.25">
      <c r="A1867" s="85" t="s">
        <v>4432</v>
      </c>
      <c r="B1867" s="81" t="s">
        <v>4395</v>
      </c>
      <c r="C1867" s="26" t="s">
        <v>37</v>
      </c>
      <c r="D1867" s="68">
        <v>3240600</v>
      </c>
      <c r="E1867" s="74">
        <v>0.05</v>
      </c>
      <c r="F1867" s="129">
        <f t="shared" si="256"/>
        <v>3402630</v>
      </c>
      <c r="G1867" s="130">
        <f t="shared" si="259"/>
        <v>646499.69999999995</v>
      </c>
      <c r="H1867" s="131">
        <f t="shared" si="257"/>
        <v>4049130</v>
      </c>
    </row>
    <row r="1868" spans="1:8" x14ac:dyDescent="0.25">
      <c r="A1868" s="78" t="s">
        <v>4410</v>
      </c>
      <c r="B1868" s="80" t="s">
        <v>4409</v>
      </c>
      <c r="C1868" s="26"/>
      <c r="D1868" s="68"/>
      <c r="E1868" s="74"/>
      <c r="F1868" s="129"/>
      <c r="G1868" s="130"/>
      <c r="H1868" s="131"/>
    </row>
    <row r="1869" spans="1:8" x14ac:dyDescent="0.25">
      <c r="A1869" s="85" t="s">
        <v>4411</v>
      </c>
      <c r="B1869" s="81" t="s">
        <v>4397</v>
      </c>
      <c r="C1869" s="26" t="s">
        <v>37</v>
      </c>
      <c r="D1869" s="68">
        <v>53900</v>
      </c>
      <c r="E1869" s="74">
        <v>0.05</v>
      </c>
      <c r="F1869" s="129">
        <f t="shared" si="256"/>
        <v>56595</v>
      </c>
      <c r="G1869" s="130">
        <f t="shared" ref="G1869:G1880" si="260">F1869*0.19</f>
        <v>10753.05</v>
      </c>
      <c r="H1869" s="131">
        <f t="shared" si="257"/>
        <v>67348</v>
      </c>
    </row>
    <row r="1870" spans="1:8" x14ac:dyDescent="0.25">
      <c r="A1870" s="85" t="s">
        <v>4412</v>
      </c>
      <c r="B1870" s="81" t="s">
        <v>4434</v>
      </c>
      <c r="C1870" s="26" t="s">
        <v>37</v>
      </c>
      <c r="D1870" s="68">
        <v>71500</v>
      </c>
      <c r="E1870" s="74">
        <v>0.05</v>
      </c>
      <c r="F1870" s="129">
        <f t="shared" si="256"/>
        <v>75075</v>
      </c>
      <c r="G1870" s="130">
        <f t="shared" si="260"/>
        <v>14264.25</v>
      </c>
      <c r="H1870" s="131">
        <f t="shared" si="257"/>
        <v>89339</v>
      </c>
    </row>
    <row r="1871" spans="1:8" x14ac:dyDescent="0.25">
      <c r="A1871" s="85" t="s">
        <v>4413</v>
      </c>
      <c r="B1871" s="81" t="s">
        <v>4435</v>
      </c>
      <c r="C1871" s="26" t="s">
        <v>37</v>
      </c>
      <c r="D1871" s="68">
        <v>83600</v>
      </c>
      <c r="E1871" s="74">
        <v>0.05</v>
      </c>
      <c r="F1871" s="129">
        <f t="shared" si="256"/>
        <v>87780</v>
      </c>
      <c r="G1871" s="130">
        <f t="shared" si="260"/>
        <v>16678.2</v>
      </c>
      <c r="H1871" s="131">
        <f t="shared" si="257"/>
        <v>104458</v>
      </c>
    </row>
    <row r="1872" spans="1:8" x14ac:dyDescent="0.25">
      <c r="A1872" s="85" t="s">
        <v>4414</v>
      </c>
      <c r="B1872" s="81" t="s">
        <v>7871</v>
      </c>
      <c r="C1872" s="26" t="s">
        <v>37</v>
      </c>
      <c r="D1872" s="68">
        <v>232100</v>
      </c>
      <c r="E1872" s="74">
        <v>0.05</v>
      </c>
      <c r="F1872" s="129">
        <f t="shared" si="256"/>
        <v>243705</v>
      </c>
      <c r="G1872" s="130">
        <f t="shared" si="260"/>
        <v>46303.95</v>
      </c>
      <c r="H1872" s="131">
        <f t="shared" si="257"/>
        <v>290009</v>
      </c>
    </row>
    <row r="1873" spans="1:8" x14ac:dyDescent="0.25">
      <c r="A1873" s="85" t="s">
        <v>4415</v>
      </c>
      <c r="B1873" s="81" t="s">
        <v>4437</v>
      </c>
      <c r="C1873" s="26" t="s">
        <v>37</v>
      </c>
      <c r="D1873" s="68">
        <v>271700</v>
      </c>
      <c r="E1873" s="74">
        <v>0.05</v>
      </c>
      <c r="F1873" s="129">
        <f t="shared" si="256"/>
        <v>285285</v>
      </c>
      <c r="G1873" s="130">
        <f t="shared" si="260"/>
        <v>54204.15</v>
      </c>
      <c r="H1873" s="131">
        <f t="shared" si="257"/>
        <v>339489</v>
      </c>
    </row>
    <row r="1874" spans="1:8" x14ac:dyDescent="0.25">
      <c r="A1874" s="85" t="s">
        <v>4416</v>
      </c>
      <c r="B1874" s="81" t="s">
        <v>7348</v>
      </c>
      <c r="C1874" s="26" t="s">
        <v>37</v>
      </c>
      <c r="D1874" s="68">
        <v>311300</v>
      </c>
      <c r="E1874" s="74">
        <v>0.05</v>
      </c>
      <c r="F1874" s="129">
        <f t="shared" si="256"/>
        <v>326865</v>
      </c>
      <c r="G1874" s="130">
        <f t="shared" si="260"/>
        <v>62104.35</v>
      </c>
      <c r="H1874" s="131">
        <f t="shared" si="257"/>
        <v>388969</v>
      </c>
    </row>
    <row r="1875" spans="1:8" x14ac:dyDescent="0.25">
      <c r="A1875" s="85" t="s">
        <v>4417</v>
      </c>
      <c r="B1875" s="81" t="s">
        <v>4439</v>
      </c>
      <c r="C1875" s="26" t="s">
        <v>37</v>
      </c>
      <c r="D1875" s="68">
        <v>563200</v>
      </c>
      <c r="E1875" s="74">
        <v>0.05</v>
      </c>
      <c r="F1875" s="129">
        <f t="shared" ref="F1875:F1938" si="261">+D1875+D1875*E1875</f>
        <v>591360</v>
      </c>
      <c r="G1875" s="130">
        <f t="shared" si="260"/>
        <v>112358.39999999999</v>
      </c>
      <c r="H1875" s="131">
        <f t="shared" ref="H1875:H1938" si="262">ROUND((F1875+G1875),0)</f>
        <v>703718</v>
      </c>
    </row>
    <row r="1876" spans="1:8" x14ac:dyDescent="0.25">
      <c r="A1876" s="85" t="s">
        <v>4418</v>
      </c>
      <c r="B1876" s="81" t="s">
        <v>7526</v>
      </c>
      <c r="C1876" s="26" t="s">
        <v>37</v>
      </c>
      <c r="D1876" s="68">
        <v>873400</v>
      </c>
      <c r="E1876" s="74">
        <v>0.05</v>
      </c>
      <c r="F1876" s="129">
        <f t="shared" si="261"/>
        <v>917070</v>
      </c>
      <c r="G1876" s="130">
        <f t="shared" si="260"/>
        <v>174243.3</v>
      </c>
      <c r="H1876" s="131">
        <f t="shared" si="262"/>
        <v>1091313</v>
      </c>
    </row>
    <row r="1877" spans="1:8" x14ac:dyDescent="0.25">
      <c r="A1877" s="85" t="s">
        <v>4419</v>
      </c>
      <c r="B1877" s="81" t="s">
        <v>7681</v>
      </c>
      <c r="C1877" s="26" t="s">
        <v>37</v>
      </c>
      <c r="D1877" s="68">
        <v>1164900</v>
      </c>
      <c r="E1877" s="74">
        <v>0.05</v>
      </c>
      <c r="F1877" s="129">
        <f t="shared" si="261"/>
        <v>1223145</v>
      </c>
      <c r="G1877" s="130">
        <f t="shared" si="260"/>
        <v>232397.55</v>
      </c>
      <c r="H1877" s="131">
        <f t="shared" si="262"/>
        <v>1455543</v>
      </c>
    </row>
    <row r="1878" spans="1:8" x14ac:dyDescent="0.25">
      <c r="A1878" s="85" t="s">
        <v>4420</v>
      </c>
      <c r="B1878" s="81" t="s">
        <v>4442</v>
      </c>
      <c r="C1878" s="26" t="s">
        <v>37</v>
      </c>
      <c r="D1878" s="68">
        <v>1795200</v>
      </c>
      <c r="E1878" s="74">
        <v>0.05</v>
      </c>
      <c r="F1878" s="129">
        <f t="shared" si="261"/>
        <v>1884960</v>
      </c>
      <c r="G1878" s="130">
        <f t="shared" si="260"/>
        <v>358142.4</v>
      </c>
      <c r="H1878" s="131">
        <f t="shared" si="262"/>
        <v>2243102</v>
      </c>
    </row>
    <row r="1879" spans="1:8" x14ac:dyDescent="0.25">
      <c r="A1879" s="85" t="s">
        <v>4421</v>
      </c>
      <c r="B1879" s="81" t="s">
        <v>4443</v>
      </c>
      <c r="C1879" s="26" t="s">
        <v>37</v>
      </c>
      <c r="D1879" s="68">
        <v>1952500</v>
      </c>
      <c r="E1879" s="74">
        <v>0.05</v>
      </c>
      <c r="F1879" s="129">
        <f t="shared" si="261"/>
        <v>2050125</v>
      </c>
      <c r="G1879" s="130">
        <f t="shared" si="260"/>
        <v>389523.75</v>
      </c>
      <c r="H1879" s="131">
        <f t="shared" si="262"/>
        <v>2439649</v>
      </c>
    </row>
    <row r="1880" spans="1:8" x14ac:dyDescent="0.25">
      <c r="A1880" s="85" t="s">
        <v>4433</v>
      </c>
      <c r="B1880" s="81" t="s">
        <v>4396</v>
      </c>
      <c r="C1880" s="26" t="s">
        <v>37</v>
      </c>
      <c r="D1880" s="68">
        <v>2396900</v>
      </c>
      <c r="E1880" s="74">
        <v>0.05</v>
      </c>
      <c r="F1880" s="129">
        <f t="shared" si="261"/>
        <v>2516745</v>
      </c>
      <c r="G1880" s="130">
        <f t="shared" si="260"/>
        <v>478181.55</v>
      </c>
      <c r="H1880" s="131">
        <f t="shared" si="262"/>
        <v>2994927</v>
      </c>
    </row>
    <row r="1881" spans="1:8" x14ac:dyDescent="0.25">
      <c r="A1881" s="78" t="s">
        <v>4444</v>
      </c>
      <c r="B1881" s="80" t="s">
        <v>990</v>
      </c>
      <c r="C1881" s="26"/>
      <c r="D1881" s="68"/>
      <c r="E1881" s="74"/>
      <c r="F1881" s="129"/>
      <c r="G1881" s="130"/>
      <c r="H1881" s="131"/>
    </row>
    <row r="1882" spans="1:8" x14ac:dyDescent="0.25">
      <c r="A1882" s="78" t="s">
        <v>4445</v>
      </c>
      <c r="B1882" s="80" t="s">
        <v>4446</v>
      </c>
      <c r="C1882" s="26"/>
      <c r="D1882" s="68"/>
      <c r="E1882" s="74"/>
      <c r="F1882" s="129"/>
      <c r="G1882" s="130"/>
      <c r="H1882" s="131"/>
    </row>
    <row r="1883" spans="1:8" x14ac:dyDescent="0.25">
      <c r="A1883" s="85" t="s">
        <v>4458</v>
      </c>
      <c r="B1883" s="81" t="s">
        <v>4447</v>
      </c>
      <c r="C1883" s="26" t="s">
        <v>37</v>
      </c>
      <c r="D1883" s="68">
        <v>45100</v>
      </c>
      <c r="E1883" s="74">
        <v>0.05</v>
      </c>
      <c r="F1883" s="129">
        <f t="shared" si="261"/>
        <v>47355</v>
      </c>
      <c r="G1883" s="130">
        <f t="shared" ref="G1883:G1894" si="263">F1883*0.19</f>
        <v>8997.4500000000007</v>
      </c>
      <c r="H1883" s="131">
        <f t="shared" si="262"/>
        <v>56352</v>
      </c>
    </row>
    <row r="1884" spans="1:8" x14ac:dyDescent="0.25">
      <c r="A1884" s="85" t="s">
        <v>4459</v>
      </c>
      <c r="B1884" s="81" t="s">
        <v>4497</v>
      </c>
      <c r="C1884" s="26" t="s">
        <v>37</v>
      </c>
      <c r="D1884" s="68">
        <v>61600</v>
      </c>
      <c r="E1884" s="74">
        <v>0.05</v>
      </c>
      <c r="F1884" s="129">
        <f t="shared" si="261"/>
        <v>64680</v>
      </c>
      <c r="G1884" s="130">
        <f t="shared" si="263"/>
        <v>12289.2</v>
      </c>
      <c r="H1884" s="131">
        <f t="shared" si="262"/>
        <v>76969</v>
      </c>
    </row>
    <row r="1885" spans="1:8" x14ac:dyDescent="0.25">
      <c r="A1885" s="85" t="s">
        <v>4460</v>
      </c>
      <c r="B1885" s="81" t="s">
        <v>4448</v>
      </c>
      <c r="C1885" s="26" t="s">
        <v>37</v>
      </c>
      <c r="D1885" s="68">
        <v>70400</v>
      </c>
      <c r="E1885" s="74">
        <v>0.05</v>
      </c>
      <c r="F1885" s="129">
        <f t="shared" si="261"/>
        <v>73920</v>
      </c>
      <c r="G1885" s="130">
        <f t="shared" si="263"/>
        <v>14044.8</v>
      </c>
      <c r="H1885" s="131">
        <f t="shared" si="262"/>
        <v>87965</v>
      </c>
    </row>
    <row r="1886" spans="1:8" x14ac:dyDescent="0.25">
      <c r="A1886" s="85" t="s">
        <v>4461</v>
      </c>
      <c r="B1886" s="81" t="s">
        <v>7872</v>
      </c>
      <c r="C1886" s="26" t="s">
        <v>37</v>
      </c>
      <c r="D1886" s="68">
        <v>167200</v>
      </c>
      <c r="E1886" s="74">
        <v>0.05</v>
      </c>
      <c r="F1886" s="129">
        <f t="shared" si="261"/>
        <v>175560</v>
      </c>
      <c r="G1886" s="130">
        <f t="shared" si="263"/>
        <v>33356.400000000001</v>
      </c>
      <c r="H1886" s="131">
        <f t="shared" si="262"/>
        <v>208916</v>
      </c>
    </row>
    <row r="1887" spans="1:8" x14ac:dyDescent="0.25">
      <c r="A1887" s="85" t="s">
        <v>4462</v>
      </c>
      <c r="B1887" s="81" t="s">
        <v>4450</v>
      </c>
      <c r="C1887" s="26" t="s">
        <v>37</v>
      </c>
      <c r="D1887" s="68">
        <v>178200</v>
      </c>
      <c r="E1887" s="74">
        <v>0.05</v>
      </c>
      <c r="F1887" s="129">
        <f t="shared" si="261"/>
        <v>187110</v>
      </c>
      <c r="G1887" s="130">
        <f t="shared" si="263"/>
        <v>35550.9</v>
      </c>
      <c r="H1887" s="131">
        <f t="shared" si="262"/>
        <v>222661</v>
      </c>
    </row>
    <row r="1888" spans="1:8" x14ac:dyDescent="0.25">
      <c r="A1888" s="85" t="s">
        <v>4463</v>
      </c>
      <c r="B1888" s="81" t="s">
        <v>7349</v>
      </c>
      <c r="C1888" s="26" t="s">
        <v>37</v>
      </c>
      <c r="D1888" s="68">
        <v>284900</v>
      </c>
      <c r="E1888" s="74">
        <v>0.05</v>
      </c>
      <c r="F1888" s="129">
        <f t="shared" si="261"/>
        <v>299145</v>
      </c>
      <c r="G1888" s="130">
        <f t="shared" si="263"/>
        <v>56837.55</v>
      </c>
      <c r="H1888" s="131">
        <f t="shared" si="262"/>
        <v>355983</v>
      </c>
    </row>
    <row r="1889" spans="1:8" x14ac:dyDescent="0.25">
      <c r="A1889" s="85" t="s">
        <v>4464</v>
      </c>
      <c r="B1889" s="81" t="s">
        <v>4452</v>
      </c>
      <c r="C1889" s="26" t="s">
        <v>37</v>
      </c>
      <c r="D1889" s="68">
        <v>480700</v>
      </c>
      <c r="E1889" s="74">
        <v>0.05</v>
      </c>
      <c r="F1889" s="129">
        <f t="shared" si="261"/>
        <v>504735</v>
      </c>
      <c r="G1889" s="130">
        <f t="shared" si="263"/>
        <v>95899.65</v>
      </c>
      <c r="H1889" s="131">
        <f t="shared" si="262"/>
        <v>600635</v>
      </c>
    </row>
    <row r="1890" spans="1:8" x14ac:dyDescent="0.25">
      <c r="A1890" s="85" t="s">
        <v>4465</v>
      </c>
      <c r="B1890" s="81" t="s">
        <v>7527</v>
      </c>
      <c r="C1890" s="26" t="s">
        <v>37</v>
      </c>
      <c r="D1890" s="68">
        <v>668800</v>
      </c>
      <c r="E1890" s="74">
        <v>0.05</v>
      </c>
      <c r="F1890" s="129">
        <f t="shared" si="261"/>
        <v>702240</v>
      </c>
      <c r="G1890" s="130">
        <f t="shared" si="263"/>
        <v>133425.60000000001</v>
      </c>
      <c r="H1890" s="131">
        <f t="shared" si="262"/>
        <v>835666</v>
      </c>
    </row>
    <row r="1891" spans="1:8" x14ac:dyDescent="0.25">
      <c r="A1891" s="85" t="s">
        <v>4466</v>
      </c>
      <c r="B1891" s="81" t="s">
        <v>7682</v>
      </c>
      <c r="C1891" s="26" t="s">
        <v>37</v>
      </c>
      <c r="D1891" s="68">
        <v>911900</v>
      </c>
      <c r="E1891" s="74">
        <v>0.05</v>
      </c>
      <c r="F1891" s="129">
        <f t="shared" si="261"/>
        <v>957495</v>
      </c>
      <c r="G1891" s="130">
        <f t="shared" si="263"/>
        <v>181924.05</v>
      </c>
      <c r="H1891" s="131">
        <f t="shared" si="262"/>
        <v>1139419</v>
      </c>
    </row>
    <row r="1892" spans="1:8" x14ac:dyDescent="0.25">
      <c r="A1892" s="85" t="s">
        <v>4467</v>
      </c>
      <c r="B1892" s="81" t="s">
        <v>4455</v>
      </c>
      <c r="C1892" s="26" t="s">
        <v>37</v>
      </c>
      <c r="D1892" s="68">
        <v>955900</v>
      </c>
      <c r="E1892" s="74">
        <v>0.05</v>
      </c>
      <c r="F1892" s="129">
        <f t="shared" si="261"/>
        <v>1003695</v>
      </c>
      <c r="G1892" s="130">
        <f t="shared" si="263"/>
        <v>190702.05</v>
      </c>
      <c r="H1892" s="131">
        <f t="shared" si="262"/>
        <v>1194397</v>
      </c>
    </row>
    <row r="1893" spans="1:8" x14ac:dyDescent="0.25">
      <c r="A1893" s="85" t="s">
        <v>4468</v>
      </c>
      <c r="B1893" s="81" t="s">
        <v>4456</v>
      </c>
      <c r="C1893" s="26" t="s">
        <v>37</v>
      </c>
      <c r="D1893" s="68">
        <v>1134100</v>
      </c>
      <c r="E1893" s="74">
        <v>0.05</v>
      </c>
      <c r="F1893" s="129">
        <f t="shared" si="261"/>
        <v>1190805</v>
      </c>
      <c r="G1893" s="130">
        <f t="shared" si="263"/>
        <v>226252.95</v>
      </c>
      <c r="H1893" s="131">
        <f t="shared" si="262"/>
        <v>1417058</v>
      </c>
    </row>
    <row r="1894" spans="1:8" x14ac:dyDescent="0.25">
      <c r="A1894" s="85" t="s">
        <v>4469</v>
      </c>
      <c r="B1894" s="81" t="s">
        <v>4457</v>
      </c>
      <c r="C1894" s="26" t="s">
        <v>37</v>
      </c>
      <c r="D1894" s="68">
        <v>1574100</v>
      </c>
      <c r="E1894" s="74">
        <v>0.05</v>
      </c>
      <c r="F1894" s="129">
        <f t="shared" si="261"/>
        <v>1652805</v>
      </c>
      <c r="G1894" s="130">
        <f t="shared" si="263"/>
        <v>314032.95</v>
      </c>
      <c r="H1894" s="131">
        <f t="shared" si="262"/>
        <v>1966838</v>
      </c>
    </row>
    <row r="1895" spans="1:8" x14ac:dyDescent="0.25">
      <c r="A1895" s="78" t="s">
        <v>4470</v>
      </c>
      <c r="B1895" s="80" t="s">
        <v>4483</v>
      </c>
      <c r="C1895" s="26"/>
      <c r="D1895" s="68"/>
      <c r="E1895" s="74"/>
      <c r="F1895" s="129"/>
      <c r="G1895" s="130"/>
      <c r="H1895" s="131"/>
    </row>
    <row r="1896" spans="1:8" x14ac:dyDescent="0.25">
      <c r="A1896" s="85" t="s">
        <v>4471</v>
      </c>
      <c r="B1896" s="81" t="s">
        <v>4485</v>
      </c>
      <c r="C1896" s="26" t="s">
        <v>37</v>
      </c>
      <c r="D1896" s="68">
        <v>53636</v>
      </c>
      <c r="E1896" s="74">
        <v>0.05</v>
      </c>
      <c r="F1896" s="129">
        <f t="shared" si="261"/>
        <v>56317.8</v>
      </c>
      <c r="G1896" s="130">
        <f t="shared" ref="G1896:G1907" si="264">F1896*0.19</f>
        <v>10700.382000000001</v>
      </c>
      <c r="H1896" s="131">
        <f t="shared" si="262"/>
        <v>67018</v>
      </c>
    </row>
    <row r="1897" spans="1:8" x14ac:dyDescent="0.25">
      <c r="A1897" s="85" t="s">
        <v>4472</v>
      </c>
      <c r="B1897" s="81" t="s">
        <v>4486</v>
      </c>
      <c r="C1897" s="26" t="s">
        <v>37</v>
      </c>
      <c r="D1897" s="68">
        <v>57134</v>
      </c>
      <c r="E1897" s="74">
        <v>0.05</v>
      </c>
      <c r="F1897" s="129">
        <f t="shared" si="261"/>
        <v>59990.7</v>
      </c>
      <c r="G1897" s="130">
        <f t="shared" si="264"/>
        <v>11398.233</v>
      </c>
      <c r="H1897" s="131">
        <f t="shared" si="262"/>
        <v>71389</v>
      </c>
    </row>
    <row r="1898" spans="1:8" x14ac:dyDescent="0.25">
      <c r="A1898" s="85" t="s">
        <v>4473</v>
      </c>
      <c r="B1898" s="81" t="s">
        <v>4487</v>
      </c>
      <c r="C1898" s="26" t="s">
        <v>37</v>
      </c>
      <c r="D1898" s="68">
        <v>78122</v>
      </c>
      <c r="E1898" s="74">
        <v>0.05</v>
      </c>
      <c r="F1898" s="129">
        <f t="shared" si="261"/>
        <v>82028.100000000006</v>
      </c>
      <c r="G1898" s="130">
        <f t="shared" si="264"/>
        <v>15585.339000000002</v>
      </c>
      <c r="H1898" s="131">
        <f t="shared" si="262"/>
        <v>97613</v>
      </c>
    </row>
    <row r="1899" spans="1:8" x14ac:dyDescent="0.25">
      <c r="A1899" s="85" t="s">
        <v>4474</v>
      </c>
      <c r="B1899" s="81" t="s">
        <v>7873</v>
      </c>
      <c r="C1899" s="26" t="s">
        <v>37</v>
      </c>
      <c r="D1899" s="68">
        <v>125928</v>
      </c>
      <c r="E1899" s="74">
        <v>0.05</v>
      </c>
      <c r="F1899" s="129">
        <f t="shared" si="261"/>
        <v>132224.4</v>
      </c>
      <c r="G1899" s="130">
        <f t="shared" si="264"/>
        <v>25122.635999999999</v>
      </c>
      <c r="H1899" s="131">
        <f t="shared" si="262"/>
        <v>157347</v>
      </c>
    </row>
    <row r="1900" spans="1:8" x14ac:dyDescent="0.25">
      <c r="A1900" s="85" t="s">
        <v>4475</v>
      </c>
      <c r="B1900" s="81" t="s">
        <v>4489</v>
      </c>
      <c r="C1900" s="26" t="s">
        <v>37</v>
      </c>
      <c r="D1900" s="68">
        <v>201718</v>
      </c>
      <c r="E1900" s="74">
        <v>0.05</v>
      </c>
      <c r="F1900" s="129">
        <f t="shared" si="261"/>
        <v>211803.9</v>
      </c>
      <c r="G1900" s="130">
        <f t="shared" si="264"/>
        <v>40242.741000000002</v>
      </c>
      <c r="H1900" s="131">
        <f t="shared" si="262"/>
        <v>252047</v>
      </c>
    </row>
    <row r="1901" spans="1:8" x14ac:dyDescent="0.25">
      <c r="A1901" s="85" t="s">
        <v>4476</v>
      </c>
      <c r="B1901" s="81" t="s">
        <v>7350</v>
      </c>
      <c r="C1901" s="26" t="s">
        <v>37</v>
      </c>
      <c r="D1901" s="68">
        <v>333476</v>
      </c>
      <c r="E1901" s="74">
        <v>0.05</v>
      </c>
      <c r="F1901" s="129">
        <f t="shared" si="261"/>
        <v>350149.8</v>
      </c>
      <c r="G1901" s="130">
        <f t="shared" si="264"/>
        <v>66528.462</v>
      </c>
      <c r="H1901" s="131">
        <f t="shared" si="262"/>
        <v>416678</v>
      </c>
    </row>
    <row r="1902" spans="1:8" x14ac:dyDescent="0.25">
      <c r="A1902" s="85" t="s">
        <v>4477</v>
      </c>
      <c r="B1902" s="81" t="s">
        <v>4491</v>
      </c>
      <c r="C1902" s="26" t="s">
        <v>37</v>
      </c>
      <c r="D1902" s="68">
        <v>370788</v>
      </c>
      <c r="E1902" s="74">
        <v>0.05</v>
      </c>
      <c r="F1902" s="129">
        <f t="shared" si="261"/>
        <v>389327.4</v>
      </c>
      <c r="G1902" s="130">
        <f t="shared" si="264"/>
        <v>73972.206000000006</v>
      </c>
      <c r="H1902" s="131">
        <f t="shared" si="262"/>
        <v>463300</v>
      </c>
    </row>
    <row r="1903" spans="1:8" x14ac:dyDescent="0.25">
      <c r="A1903" s="85" t="s">
        <v>4478</v>
      </c>
      <c r="B1903" s="81" t="s">
        <v>7528</v>
      </c>
      <c r="C1903" s="26" t="s">
        <v>37</v>
      </c>
      <c r="D1903" s="68">
        <v>444246</v>
      </c>
      <c r="E1903" s="74">
        <v>0.05</v>
      </c>
      <c r="F1903" s="129">
        <f t="shared" si="261"/>
        <v>466458.3</v>
      </c>
      <c r="G1903" s="130">
        <f t="shared" si="264"/>
        <v>88627.077000000005</v>
      </c>
      <c r="H1903" s="131">
        <f t="shared" si="262"/>
        <v>555085</v>
      </c>
    </row>
    <row r="1904" spans="1:8" x14ac:dyDescent="0.25">
      <c r="A1904" s="85" t="s">
        <v>4479</v>
      </c>
      <c r="B1904" s="81" t="s">
        <v>7683</v>
      </c>
      <c r="C1904" s="26" t="s">
        <v>37</v>
      </c>
      <c r="D1904" s="68">
        <v>527032</v>
      </c>
      <c r="E1904" s="74">
        <v>0.05</v>
      </c>
      <c r="F1904" s="129">
        <f t="shared" si="261"/>
        <v>553383.6</v>
      </c>
      <c r="G1904" s="130">
        <f t="shared" si="264"/>
        <v>105142.88399999999</v>
      </c>
      <c r="H1904" s="131">
        <f t="shared" si="262"/>
        <v>658526</v>
      </c>
    </row>
    <row r="1905" spans="1:8" x14ac:dyDescent="0.25">
      <c r="A1905" s="85" t="s">
        <v>4480</v>
      </c>
      <c r="B1905" s="81" t="s">
        <v>4494</v>
      </c>
      <c r="C1905" s="26" t="s">
        <v>37</v>
      </c>
      <c r="D1905" s="68">
        <v>868670</v>
      </c>
      <c r="E1905" s="74">
        <v>0.05</v>
      </c>
      <c r="F1905" s="129">
        <f t="shared" si="261"/>
        <v>912103.5</v>
      </c>
      <c r="G1905" s="130">
        <f t="shared" si="264"/>
        <v>173299.66500000001</v>
      </c>
      <c r="H1905" s="131">
        <f t="shared" si="262"/>
        <v>1085403</v>
      </c>
    </row>
    <row r="1906" spans="1:8" x14ac:dyDescent="0.25">
      <c r="A1906" s="85" t="s">
        <v>4481</v>
      </c>
      <c r="B1906" s="81" t="s">
        <v>4495</v>
      </c>
      <c r="C1906" s="26" t="s">
        <v>37</v>
      </c>
      <c r="D1906" s="68">
        <v>1219636</v>
      </c>
      <c r="E1906" s="74">
        <v>0.05</v>
      </c>
      <c r="F1906" s="129">
        <f t="shared" si="261"/>
        <v>1280617.8</v>
      </c>
      <c r="G1906" s="130">
        <f t="shared" si="264"/>
        <v>243317.38200000001</v>
      </c>
      <c r="H1906" s="131">
        <f t="shared" si="262"/>
        <v>1523935</v>
      </c>
    </row>
    <row r="1907" spans="1:8" x14ac:dyDescent="0.25">
      <c r="A1907" s="85" t="s">
        <v>4482</v>
      </c>
      <c r="B1907" s="122" t="s">
        <v>4484</v>
      </c>
      <c r="C1907" s="26" t="s">
        <v>37</v>
      </c>
      <c r="D1907" s="1001"/>
      <c r="E1907" s="74">
        <v>0.05</v>
      </c>
      <c r="F1907" s="129">
        <f t="shared" si="261"/>
        <v>0</v>
      </c>
      <c r="G1907" s="130">
        <f t="shared" si="264"/>
        <v>0</v>
      </c>
      <c r="H1907" s="131">
        <f t="shared" si="262"/>
        <v>0</v>
      </c>
    </row>
    <row r="1908" spans="1:8" x14ac:dyDescent="0.25">
      <c r="A1908" s="78" t="s">
        <v>4496</v>
      </c>
      <c r="B1908" s="80" t="s">
        <v>4511</v>
      </c>
      <c r="C1908" s="26"/>
      <c r="D1908" s="1001"/>
      <c r="E1908" s="74"/>
      <c r="F1908" s="129"/>
      <c r="G1908" s="130"/>
      <c r="H1908" s="131"/>
    </row>
    <row r="1909" spans="1:8" x14ac:dyDescent="0.25">
      <c r="A1909" s="85" t="s">
        <v>4498</v>
      </c>
      <c r="B1909" s="81" t="s">
        <v>4512</v>
      </c>
      <c r="C1909" s="26" t="s">
        <v>37</v>
      </c>
      <c r="D1909" s="68">
        <v>165000</v>
      </c>
      <c r="E1909" s="74">
        <v>0.05</v>
      </c>
      <c r="F1909" s="129">
        <f t="shared" si="261"/>
        <v>173250</v>
      </c>
      <c r="G1909" s="130">
        <f t="shared" ref="G1909:G1920" si="265">F1909*0.19</f>
        <v>32917.5</v>
      </c>
      <c r="H1909" s="131">
        <f t="shared" si="262"/>
        <v>206168</v>
      </c>
    </row>
    <row r="1910" spans="1:8" x14ac:dyDescent="0.25">
      <c r="A1910" s="85" t="s">
        <v>4499</v>
      </c>
      <c r="B1910" s="81" t="s">
        <v>4513</v>
      </c>
      <c r="C1910" s="26" t="s">
        <v>37</v>
      </c>
      <c r="D1910" s="68">
        <v>271700</v>
      </c>
      <c r="E1910" s="74">
        <v>0.05</v>
      </c>
      <c r="F1910" s="129">
        <f t="shared" si="261"/>
        <v>285285</v>
      </c>
      <c r="G1910" s="130">
        <f t="shared" si="265"/>
        <v>54204.15</v>
      </c>
      <c r="H1910" s="131">
        <f t="shared" si="262"/>
        <v>339489</v>
      </c>
    </row>
    <row r="1911" spans="1:8" x14ac:dyDescent="0.25">
      <c r="A1911" s="85" t="s">
        <v>4500</v>
      </c>
      <c r="B1911" s="81" t="s">
        <v>4514</v>
      </c>
      <c r="C1911" s="26" t="s">
        <v>37</v>
      </c>
      <c r="D1911" s="68">
        <v>426800</v>
      </c>
      <c r="E1911" s="74">
        <v>0.05</v>
      </c>
      <c r="F1911" s="129">
        <f t="shared" si="261"/>
        <v>448140</v>
      </c>
      <c r="G1911" s="130">
        <f t="shared" si="265"/>
        <v>85146.6</v>
      </c>
      <c r="H1911" s="131">
        <f t="shared" si="262"/>
        <v>533287</v>
      </c>
    </row>
    <row r="1912" spans="1:8" x14ac:dyDescent="0.25">
      <c r="A1912" s="85" t="s">
        <v>4501</v>
      </c>
      <c r="B1912" s="81" t="s">
        <v>7874</v>
      </c>
      <c r="C1912" s="26" t="s">
        <v>37</v>
      </c>
      <c r="D1912" s="68">
        <v>563200</v>
      </c>
      <c r="E1912" s="74">
        <v>0.05</v>
      </c>
      <c r="F1912" s="129">
        <f t="shared" si="261"/>
        <v>591360</v>
      </c>
      <c r="G1912" s="130">
        <f t="shared" si="265"/>
        <v>112358.39999999999</v>
      </c>
      <c r="H1912" s="131">
        <f t="shared" si="262"/>
        <v>703718</v>
      </c>
    </row>
    <row r="1913" spans="1:8" x14ac:dyDescent="0.25">
      <c r="A1913" s="85" t="s">
        <v>4502</v>
      </c>
      <c r="B1913" s="81" t="s">
        <v>4516</v>
      </c>
      <c r="C1913" s="26" t="s">
        <v>37</v>
      </c>
      <c r="D1913" s="68">
        <v>1028500</v>
      </c>
      <c r="E1913" s="74">
        <v>0.05</v>
      </c>
      <c r="F1913" s="129">
        <f t="shared" si="261"/>
        <v>1079925</v>
      </c>
      <c r="G1913" s="130">
        <f t="shared" si="265"/>
        <v>205185.75</v>
      </c>
      <c r="H1913" s="131">
        <f t="shared" si="262"/>
        <v>1285111</v>
      </c>
    </row>
    <row r="1914" spans="1:8" x14ac:dyDescent="0.25">
      <c r="A1914" s="85" t="s">
        <v>4503</v>
      </c>
      <c r="B1914" s="81" t="s">
        <v>7351</v>
      </c>
      <c r="C1914" s="26" t="s">
        <v>37</v>
      </c>
      <c r="D1914" s="68">
        <v>1455300</v>
      </c>
      <c r="E1914" s="74">
        <v>0.05</v>
      </c>
      <c r="F1914" s="129">
        <f t="shared" si="261"/>
        <v>1528065</v>
      </c>
      <c r="G1914" s="130">
        <f t="shared" si="265"/>
        <v>290332.34999999998</v>
      </c>
      <c r="H1914" s="131">
        <f t="shared" si="262"/>
        <v>1818397</v>
      </c>
    </row>
    <row r="1915" spans="1:8" x14ac:dyDescent="0.25">
      <c r="A1915" s="85" t="s">
        <v>4504</v>
      </c>
      <c r="B1915" s="81" t="s">
        <v>4518</v>
      </c>
      <c r="C1915" s="26" t="s">
        <v>37</v>
      </c>
      <c r="D1915" s="68">
        <v>1998700</v>
      </c>
      <c r="E1915" s="74">
        <v>0.05</v>
      </c>
      <c r="F1915" s="129">
        <f t="shared" si="261"/>
        <v>2098635</v>
      </c>
      <c r="G1915" s="130">
        <f t="shared" si="265"/>
        <v>398740.65</v>
      </c>
      <c r="H1915" s="131">
        <f t="shared" si="262"/>
        <v>2497376</v>
      </c>
    </row>
    <row r="1916" spans="1:8" x14ac:dyDescent="0.25">
      <c r="A1916" s="85" t="s">
        <v>4505</v>
      </c>
      <c r="B1916" s="81" t="s">
        <v>7529</v>
      </c>
      <c r="C1916" s="26" t="s">
        <v>37</v>
      </c>
      <c r="D1916" s="68">
        <v>2486000</v>
      </c>
      <c r="E1916" s="74">
        <v>0.05</v>
      </c>
      <c r="F1916" s="129">
        <f t="shared" si="261"/>
        <v>2610300</v>
      </c>
      <c r="G1916" s="130">
        <f t="shared" si="265"/>
        <v>495957</v>
      </c>
      <c r="H1916" s="131">
        <f t="shared" si="262"/>
        <v>3106257</v>
      </c>
    </row>
    <row r="1917" spans="1:8" x14ac:dyDescent="0.25">
      <c r="A1917" s="85" t="s">
        <v>4506</v>
      </c>
      <c r="B1917" s="81" t="s">
        <v>7684</v>
      </c>
      <c r="C1917" s="26" t="s">
        <v>37</v>
      </c>
      <c r="D1917" s="68">
        <v>4194300</v>
      </c>
      <c r="E1917" s="74">
        <v>0.05</v>
      </c>
      <c r="F1917" s="129">
        <f t="shared" si="261"/>
        <v>4404015</v>
      </c>
      <c r="G1917" s="130">
        <f t="shared" si="265"/>
        <v>836762.85</v>
      </c>
      <c r="H1917" s="131">
        <f t="shared" si="262"/>
        <v>5240778</v>
      </c>
    </row>
    <row r="1918" spans="1:8" x14ac:dyDescent="0.25">
      <c r="A1918" s="85" t="s">
        <v>4507</v>
      </c>
      <c r="B1918" s="81" t="s">
        <v>4521</v>
      </c>
      <c r="C1918" s="26" t="s">
        <v>37</v>
      </c>
      <c r="D1918" s="68">
        <v>4648600</v>
      </c>
      <c r="E1918" s="74">
        <v>0.05</v>
      </c>
      <c r="F1918" s="129">
        <f t="shared" si="261"/>
        <v>4881030</v>
      </c>
      <c r="G1918" s="130">
        <f t="shared" si="265"/>
        <v>927395.7</v>
      </c>
      <c r="H1918" s="131">
        <f t="shared" si="262"/>
        <v>5808426</v>
      </c>
    </row>
    <row r="1919" spans="1:8" x14ac:dyDescent="0.25">
      <c r="A1919" s="85" t="s">
        <v>4508</v>
      </c>
      <c r="B1919" s="81" t="s">
        <v>4522</v>
      </c>
      <c r="C1919" s="26" t="s">
        <v>37</v>
      </c>
      <c r="D1919" s="68">
        <v>5679300</v>
      </c>
      <c r="E1919" s="74">
        <v>0.05</v>
      </c>
      <c r="F1919" s="129">
        <f t="shared" si="261"/>
        <v>5963265</v>
      </c>
      <c r="G1919" s="130">
        <f t="shared" si="265"/>
        <v>1133020.3500000001</v>
      </c>
      <c r="H1919" s="131">
        <f t="shared" si="262"/>
        <v>7096285</v>
      </c>
    </row>
    <row r="1920" spans="1:8" x14ac:dyDescent="0.25">
      <c r="A1920" s="85" t="s">
        <v>4509</v>
      </c>
      <c r="B1920" s="123" t="s">
        <v>4523</v>
      </c>
      <c r="C1920" s="26" t="s">
        <v>37</v>
      </c>
      <c r="D1920" s="68">
        <v>8083900</v>
      </c>
      <c r="E1920" s="74">
        <v>0.05</v>
      </c>
      <c r="F1920" s="129">
        <f t="shared" si="261"/>
        <v>8488095</v>
      </c>
      <c r="G1920" s="130">
        <f t="shared" si="265"/>
        <v>1612738.05</v>
      </c>
      <c r="H1920" s="131">
        <f t="shared" si="262"/>
        <v>10100833</v>
      </c>
    </row>
    <row r="1921" spans="1:8" x14ac:dyDescent="0.25">
      <c r="A1921" s="78" t="s">
        <v>4510</v>
      </c>
      <c r="B1921" s="80" t="s">
        <v>4535</v>
      </c>
      <c r="C1921" s="26"/>
      <c r="D1921" s="1001"/>
      <c r="E1921" s="74"/>
      <c r="F1921" s="129"/>
      <c r="G1921" s="130"/>
      <c r="H1921" s="131"/>
    </row>
    <row r="1922" spans="1:8" x14ac:dyDescent="0.25">
      <c r="A1922" s="85" t="s">
        <v>4536</v>
      </c>
      <c r="B1922" s="81" t="s">
        <v>4524</v>
      </c>
      <c r="C1922" s="26" t="s">
        <v>37</v>
      </c>
      <c r="D1922" s="68">
        <v>47300</v>
      </c>
      <c r="E1922" s="74">
        <v>0.05</v>
      </c>
      <c r="F1922" s="129">
        <f t="shared" si="261"/>
        <v>49665</v>
      </c>
      <c r="G1922" s="130">
        <f t="shared" ref="G1922:G1932" si="266">F1922*0.19</f>
        <v>9436.35</v>
      </c>
      <c r="H1922" s="131">
        <f t="shared" si="262"/>
        <v>59101</v>
      </c>
    </row>
    <row r="1923" spans="1:8" x14ac:dyDescent="0.25">
      <c r="A1923" s="85" t="s">
        <v>4537</v>
      </c>
      <c r="B1923" s="81" t="s">
        <v>4525</v>
      </c>
      <c r="C1923" s="26" t="s">
        <v>37</v>
      </c>
      <c r="D1923" s="68">
        <v>94600</v>
      </c>
      <c r="E1923" s="74">
        <v>0.05</v>
      </c>
      <c r="F1923" s="129">
        <f t="shared" si="261"/>
        <v>99330</v>
      </c>
      <c r="G1923" s="130">
        <f t="shared" si="266"/>
        <v>18872.7</v>
      </c>
      <c r="H1923" s="131">
        <f t="shared" si="262"/>
        <v>118203</v>
      </c>
    </row>
    <row r="1924" spans="1:8" x14ac:dyDescent="0.25">
      <c r="A1924" s="85" t="s">
        <v>4538</v>
      </c>
      <c r="B1924" s="81" t="s">
        <v>4526</v>
      </c>
      <c r="C1924" s="26" t="s">
        <v>37</v>
      </c>
      <c r="D1924" s="68">
        <v>124300</v>
      </c>
      <c r="E1924" s="74">
        <v>0.05</v>
      </c>
      <c r="F1924" s="129">
        <f t="shared" si="261"/>
        <v>130515</v>
      </c>
      <c r="G1924" s="130">
        <f t="shared" si="266"/>
        <v>24797.85</v>
      </c>
      <c r="H1924" s="131">
        <f t="shared" si="262"/>
        <v>155313</v>
      </c>
    </row>
    <row r="1925" spans="1:8" x14ac:dyDescent="0.25">
      <c r="A1925" s="85" t="s">
        <v>4539</v>
      </c>
      <c r="B1925" s="81" t="s">
        <v>7875</v>
      </c>
      <c r="C1925" s="26" t="s">
        <v>37</v>
      </c>
      <c r="D1925" s="68">
        <v>204600</v>
      </c>
      <c r="E1925" s="74">
        <v>0.05</v>
      </c>
      <c r="F1925" s="129">
        <f t="shared" si="261"/>
        <v>214830</v>
      </c>
      <c r="G1925" s="130">
        <f t="shared" si="266"/>
        <v>40817.699999999997</v>
      </c>
      <c r="H1925" s="131">
        <f t="shared" si="262"/>
        <v>255648</v>
      </c>
    </row>
    <row r="1926" spans="1:8" x14ac:dyDescent="0.25">
      <c r="A1926" s="85" t="s">
        <v>4540</v>
      </c>
      <c r="B1926" s="81" t="s">
        <v>4528</v>
      </c>
      <c r="C1926" s="26" t="s">
        <v>37</v>
      </c>
      <c r="D1926" s="68">
        <v>315700</v>
      </c>
      <c r="E1926" s="74">
        <v>0.05</v>
      </c>
      <c r="F1926" s="129">
        <f t="shared" si="261"/>
        <v>331485</v>
      </c>
      <c r="G1926" s="130">
        <f t="shared" si="266"/>
        <v>62982.15</v>
      </c>
      <c r="H1926" s="131">
        <f t="shared" si="262"/>
        <v>394467</v>
      </c>
    </row>
    <row r="1927" spans="1:8" x14ac:dyDescent="0.25">
      <c r="A1927" s="85" t="s">
        <v>4541</v>
      </c>
      <c r="B1927" s="81" t="s">
        <v>7352</v>
      </c>
      <c r="C1927" s="26" t="s">
        <v>37</v>
      </c>
      <c r="D1927" s="68">
        <v>462000</v>
      </c>
      <c r="E1927" s="74">
        <v>0.05</v>
      </c>
      <c r="F1927" s="129">
        <f t="shared" si="261"/>
        <v>485100</v>
      </c>
      <c r="G1927" s="130">
        <f t="shared" si="266"/>
        <v>92169</v>
      </c>
      <c r="H1927" s="131">
        <f t="shared" si="262"/>
        <v>577269</v>
      </c>
    </row>
    <row r="1928" spans="1:8" x14ac:dyDescent="0.25">
      <c r="A1928" s="85" t="s">
        <v>4542</v>
      </c>
      <c r="B1928" s="81" t="s">
        <v>4530</v>
      </c>
      <c r="C1928" s="26" t="s">
        <v>37</v>
      </c>
      <c r="D1928" s="68">
        <v>718300</v>
      </c>
      <c r="E1928" s="74">
        <v>0.05</v>
      </c>
      <c r="F1928" s="129">
        <f t="shared" si="261"/>
        <v>754215</v>
      </c>
      <c r="G1928" s="130">
        <f t="shared" si="266"/>
        <v>143300.85</v>
      </c>
      <c r="H1928" s="131">
        <f t="shared" si="262"/>
        <v>897516</v>
      </c>
    </row>
    <row r="1929" spans="1:8" x14ac:dyDescent="0.25">
      <c r="A1929" s="85" t="s">
        <v>4543</v>
      </c>
      <c r="B1929" s="81" t="s">
        <v>7530</v>
      </c>
      <c r="C1929" s="26" t="s">
        <v>37</v>
      </c>
      <c r="D1929" s="68">
        <v>976800</v>
      </c>
      <c r="E1929" s="74">
        <v>0.05</v>
      </c>
      <c r="F1929" s="129">
        <f t="shared" si="261"/>
        <v>1025640</v>
      </c>
      <c r="G1929" s="130">
        <f t="shared" si="266"/>
        <v>194871.6</v>
      </c>
      <c r="H1929" s="131">
        <f t="shared" si="262"/>
        <v>1220512</v>
      </c>
    </row>
    <row r="1930" spans="1:8" x14ac:dyDescent="0.25">
      <c r="A1930" s="85" t="s">
        <v>4544</v>
      </c>
      <c r="B1930" s="81" t="s">
        <v>7685</v>
      </c>
      <c r="C1930" s="26" t="s">
        <v>37</v>
      </c>
      <c r="D1930" s="68">
        <v>1253000</v>
      </c>
      <c r="E1930" s="74">
        <v>0.05</v>
      </c>
      <c r="F1930" s="129">
        <f t="shared" si="261"/>
        <v>1315650</v>
      </c>
      <c r="G1930" s="130">
        <f t="shared" si="266"/>
        <v>249973.5</v>
      </c>
      <c r="H1930" s="131">
        <f t="shared" si="262"/>
        <v>1565624</v>
      </c>
    </row>
    <row r="1931" spans="1:8" x14ac:dyDescent="0.25">
      <c r="A1931" s="85" t="s">
        <v>4545</v>
      </c>
      <c r="B1931" s="81" t="s">
        <v>4533</v>
      </c>
      <c r="C1931" s="26" t="s">
        <v>37</v>
      </c>
      <c r="D1931" s="68">
        <v>1740200</v>
      </c>
      <c r="E1931" s="74">
        <v>0.05</v>
      </c>
      <c r="F1931" s="129">
        <f t="shared" si="261"/>
        <v>1827210</v>
      </c>
      <c r="G1931" s="130">
        <f t="shared" si="266"/>
        <v>347169.9</v>
      </c>
      <c r="H1931" s="131">
        <f t="shared" si="262"/>
        <v>2174380</v>
      </c>
    </row>
    <row r="1932" spans="1:8" x14ac:dyDescent="0.25">
      <c r="A1932" s="85" t="s">
        <v>4546</v>
      </c>
      <c r="B1932" s="81" t="s">
        <v>4534</v>
      </c>
      <c r="C1932" s="26" t="s">
        <v>37</v>
      </c>
      <c r="D1932" s="68">
        <v>2789600</v>
      </c>
      <c r="E1932" s="74">
        <v>0.05</v>
      </c>
      <c r="F1932" s="129">
        <f t="shared" si="261"/>
        <v>2929080</v>
      </c>
      <c r="G1932" s="130">
        <f t="shared" si="266"/>
        <v>556525.19999999995</v>
      </c>
      <c r="H1932" s="131">
        <f t="shared" si="262"/>
        <v>3485605</v>
      </c>
    </row>
    <row r="1933" spans="1:8" x14ac:dyDescent="0.25">
      <c r="A1933" s="78" t="s">
        <v>4547</v>
      </c>
      <c r="B1933" s="80" t="s">
        <v>4548</v>
      </c>
      <c r="C1933" s="26"/>
      <c r="D1933" s="1001"/>
      <c r="E1933" s="74"/>
      <c r="F1933" s="129"/>
      <c r="G1933" s="130"/>
      <c r="H1933" s="131"/>
    </row>
    <row r="1934" spans="1:8" x14ac:dyDescent="0.25">
      <c r="A1934" s="78" t="s">
        <v>4549</v>
      </c>
      <c r="B1934" s="80" t="s">
        <v>4550</v>
      </c>
      <c r="C1934" s="26"/>
      <c r="D1934" s="1001"/>
      <c r="E1934" s="74"/>
      <c r="F1934" s="129"/>
      <c r="G1934" s="130"/>
      <c r="H1934" s="131"/>
    </row>
    <row r="1935" spans="1:8" x14ac:dyDescent="0.25">
      <c r="A1935" s="85" t="s">
        <v>4563</v>
      </c>
      <c r="B1935" s="81" t="s">
        <v>4551</v>
      </c>
      <c r="C1935" s="26" t="s">
        <v>37</v>
      </c>
      <c r="D1935" s="68">
        <v>58300</v>
      </c>
      <c r="E1935" s="74">
        <v>0.05</v>
      </c>
      <c r="F1935" s="129">
        <f t="shared" si="261"/>
        <v>61215</v>
      </c>
      <c r="G1935" s="130">
        <f t="shared" ref="G1935:G1948" si="267">F1935*0.19</f>
        <v>11630.85</v>
      </c>
      <c r="H1935" s="131">
        <f t="shared" si="262"/>
        <v>72846</v>
      </c>
    </row>
    <row r="1936" spans="1:8" x14ac:dyDescent="0.25">
      <c r="A1936" s="85" t="s">
        <v>4564</v>
      </c>
      <c r="B1936" s="81" t="s">
        <v>4552</v>
      </c>
      <c r="C1936" s="26" t="s">
        <v>37</v>
      </c>
      <c r="D1936" s="68">
        <v>80300</v>
      </c>
      <c r="E1936" s="74">
        <v>0.05</v>
      </c>
      <c r="F1936" s="129">
        <f t="shared" si="261"/>
        <v>84315</v>
      </c>
      <c r="G1936" s="130">
        <f t="shared" si="267"/>
        <v>16019.85</v>
      </c>
      <c r="H1936" s="131">
        <f t="shared" si="262"/>
        <v>100335</v>
      </c>
    </row>
    <row r="1937" spans="1:8" x14ac:dyDescent="0.25">
      <c r="A1937" s="85" t="s">
        <v>4565</v>
      </c>
      <c r="B1937" s="81" t="s">
        <v>4553</v>
      </c>
      <c r="C1937" s="26" t="s">
        <v>37</v>
      </c>
      <c r="D1937" s="68">
        <v>90200</v>
      </c>
      <c r="E1937" s="74">
        <v>0.05</v>
      </c>
      <c r="F1937" s="129">
        <f t="shared" si="261"/>
        <v>94710</v>
      </c>
      <c r="G1937" s="130">
        <f t="shared" si="267"/>
        <v>17994.900000000001</v>
      </c>
      <c r="H1937" s="131">
        <f t="shared" si="262"/>
        <v>112705</v>
      </c>
    </row>
    <row r="1938" spans="1:8" x14ac:dyDescent="0.25">
      <c r="A1938" s="85" t="s">
        <v>4566</v>
      </c>
      <c r="B1938" s="81" t="s">
        <v>7876</v>
      </c>
      <c r="C1938" s="26" t="s">
        <v>37</v>
      </c>
      <c r="D1938" s="68">
        <v>132000</v>
      </c>
      <c r="E1938" s="74">
        <v>0.05</v>
      </c>
      <c r="F1938" s="129">
        <f t="shared" si="261"/>
        <v>138600</v>
      </c>
      <c r="G1938" s="130">
        <f t="shared" si="267"/>
        <v>26334</v>
      </c>
      <c r="H1938" s="131">
        <f t="shared" si="262"/>
        <v>164934</v>
      </c>
    </row>
    <row r="1939" spans="1:8" x14ac:dyDescent="0.25">
      <c r="A1939" s="85" t="s">
        <v>4567</v>
      </c>
      <c r="B1939" s="81" t="s">
        <v>7877</v>
      </c>
      <c r="C1939" s="26" t="s">
        <v>37</v>
      </c>
      <c r="D1939" s="68">
        <v>174900</v>
      </c>
      <c r="E1939" s="74">
        <v>0.05</v>
      </c>
      <c r="F1939" s="129">
        <f t="shared" ref="F1939:F2006" si="268">+D1939+D1939*E1939</f>
        <v>183645</v>
      </c>
      <c r="G1939" s="130">
        <f t="shared" si="267"/>
        <v>34892.550000000003</v>
      </c>
      <c r="H1939" s="131">
        <f t="shared" ref="H1939:H2006" si="269">ROUND((F1939+G1939),0)</f>
        <v>218538</v>
      </c>
    </row>
    <row r="1940" spans="1:8" x14ac:dyDescent="0.25">
      <c r="A1940" s="85" t="s">
        <v>4568</v>
      </c>
      <c r="B1940" s="81" t="s">
        <v>4556</v>
      </c>
      <c r="C1940" s="26" t="s">
        <v>37</v>
      </c>
      <c r="D1940" s="68">
        <v>222200</v>
      </c>
      <c r="E1940" s="74">
        <v>0.05</v>
      </c>
      <c r="F1940" s="129">
        <f t="shared" si="268"/>
        <v>233310</v>
      </c>
      <c r="G1940" s="130">
        <f t="shared" si="267"/>
        <v>44328.9</v>
      </c>
      <c r="H1940" s="131">
        <f t="shared" si="269"/>
        <v>277639</v>
      </c>
    </row>
    <row r="1941" spans="1:8" x14ac:dyDescent="0.25">
      <c r="A1941" s="85" t="s">
        <v>4569</v>
      </c>
      <c r="B1941" s="81" t="s">
        <v>4557</v>
      </c>
      <c r="C1941" s="26" t="s">
        <v>37</v>
      </c>
      <c r="D1941" s="68">
        <v>222200</v>
      </c>
      <c r="E1941" s="74">
        <v>0.05</v>
      </c>
      <c r="F1941" s="129">
        <f t="shared" si="268"/>
        <v>233310</v>
      </c>
      <c r="G1941" s="130">
        <f t="shared" si="267"/>
        <v>44328.9</v>
      </c>
      <c r="H1941" s="131">
        <f t="shared" si="269"/>
        <v>277639</v>
      </c>
    </row>
    <row r="1942" spans="1:8" x14ac:dyDescent="0.25">
      <c r="A1942" s="85" t="s">
        <v>4570</v>
      </c>
      <c r="B1942" s="81" t="s">
        <v>7353</v>
      </c>
      <c r="C1942" s="26" t="s">
        <v>37</v>
      </c>
      <c r="D1942" s="68">
        <v>222200</v>
      </c>
      <c r="E1942" s="74">
        <v>0.05</v>
      </c>
      <c r="F1942" s="129">
        <f t="shared" si="268"/>
        <v>233310</v>
      </c>
      <c r="G1942" s="130">
        <f t="shared" si="267"/>
        <v>44328.9</v>
      </c>
      <c r="H1942" s="131">
        <f t="shared" si="269"/>
        <v>277639</v>
      </c>
    </row>
    <row r="1943" spans="1:8" x14ac:dyDescent="0.25">
      <c r="A1943" s="85" t="s">
        <v>4571</v>
      </c>
      <c r="B1943" s="81" t="s">
        <v>7354</v>
      </c>
      <c r="C1943" s="26" t="s">
        <v>37</v>
      </c>
      <c r="D1943" s="68">
        <v>229900</v>
      </c>
      <c r="E1943" s="74">
        <v>0.05</v>
      </c>
      <c r="F1943" s="129">
        <f t="shared" si="268"/>
        <v>241395</v>
      </c>
      <c r="G1943" s="130">
        <f t="shared" si="267"/>
        <v>45865.05</v>
      </c>
      <c r="H1943" s="131">
        <f t="shared" si="269"/>
        <v>287260</v>
      </c>
    </row>
    <row r="1944" spans="1:8" x14ac:dyDescent="0.25">
      <c r="A1944" s="85" t="s">
        <v>4572</v>
      </c>
      <c r="B1944" s="81" t="s">
        <v>4560</v>
      </c>
      <c r="C1944" s="26" t="s">
        <v>37</v>
      </c>
      <c r="D1944" s="68">
        <v>385000</v>
      </c>
      <c r="E1944" s="74">
        <v>0.05</v>
      </c>
      <c r="F1944" s="129">
        <f t="shared" si="268"/>
        <v>404250</v>
      </c>
      <c r="G1944" s="130">
        <f t="shared" si="267"/>
        <v>76807.5</v>
      </c>
      <c r="H1944" s="131">
        <f t="shared" si="269"/>
        <v>481058</v>
      </c>
    </row>
    <row r="1945" spans="1:8" x14ac:dyDescent="0.25">
      <c r="A1945" s="85" t="s">
        <v>4573</v>
      </c>
      <c r="B1945" s="81" t="s">
        <v>4562</v>
      </c>
      <c r="C1945" s="26" t="s">
        <v>37</v>
      </c>
      <c r="D1945" s="68">
        <v>393800</v>
      </c>
      <c r="E1945" s="74">
        <v>0.05</v>
      </c>
      <c r="F1945" s="129">
        <f t="shared" si="268"/>
        <v>413490</v>
      </c>
      <c r="G1945" s="130">
        <f t="shared" si="267"/>
        <v>78563.100000000006</v>
      </c>
      <c r="H1945" s="131">
        <f t="shared" si="269"/>
        <v>492053</v>
      </c>
    </row>
    <row r="1946" spans="1:8" x14ac:dyDescent="0.25">
      <c r="A1946" s="85" t="s">
        <v>4574</v>
      </c>
      <c r="B1946" s="81" t="s">
        <v>4561</v>
      </c>
      <c r="C1946" s="26" t="s">
        <v>37</v>
      </c>
      <c r="D1946" s="68">
        <v>437800</v>
      </c>
      <c r="E1946" s="74">
        <v>0.05</v>
      </c>
      <c r="F1946" s="129">
        <f t="shared" si="268"/>
        <v>459690</v>
      </c>
      <c r="G1946" s="130">
        <f t="shared" si="267"/>
        <v>87341.1</v>
      </c>
      <c r="H1946" s="131">
        <f t="shared" si="269"/>
        <v>547031</v>
      </c>
    </row>
    <row r="1947" spans="1:8" x14ac:dyDescent="0.25">
      <c r="A1947" s="85" t="s">
        <v>6547</v>
      </c>
      <c r="B1947" s="81" t="s">
        <v>7531</v>
      </c>
      <c r="C1947" s="26" t="s">
        <v>37</v>
      </c>
      <c r="D1947" s="68">
        <v>508200</v>
      </c>
      <c r="E1947" s="74">
        <v>0.05</v>
      </c>
      <c r="F1947" s="617">
        <f t="shared" si="268"/>
        <v>533610</v>
      </c>
      <c r="G1947" s="618">
        <f t="shared" si="267"/>
        <v>101385.9</v>
      </c>
      <c r="H1947" s="619">
        <f t="shared" si="269"/>
        <v>634996</v>
      </c>
    </row>
    <row r="1948" spans="1:8" x14ac:dyDescent="0.25">
      <c r="A1948" s="85" t="s">
        <v>6582</v>
      </c>
      <c r="B1948" s="81" t="s">
        <v>7686</v>
      </c>
      <c r="C1948" s="26" t="s">
        <v>37</v>
      </c>
      <c r="D1948" s="68">
        <v>517000</v>
      </c>
      <c r="E1948" s="74">
        <v>0.05</v>
      </c>
      <c r="F1948" s="617">
        <f>+D1948+D1948*E1948</f>
        <v>542850</v>
      </c>
      <c r="G1948" s="618">
        <f t="shared" si="267"/>
        <v>103141.5</v>
      </c>
      <c r="H1948" s="619">
        <f>ROUND((F1948+G1948),0)</f>
        <v>645992</v>
      </c>
    </row>
    <row r="1949" spans="1:8" x14ac:dyDescent="0.25">
      <c r="A1949" s="78" t="s">
        <v>4575</v>
      </c>
      <c r="B1949" s="80" t="s">
        <v>4576</v>
      </c>
      <c r="C1949" s="26"/>
      <c r="D1949" s="1001"/>
      <c r="E1949" s="74"/>
      <c r="F1949" s="617"/>
      <c r="G1949" s="618"/>
      <c r="H1949" s="619"/>
    </row>
    <row r="1950" spans="1:8" x14ac:dyDescent="0.25">
      <c r="A1950" s="85" t="s">
        <v>4590</v>
      </c>
      <c r="B1950" s="81" t="s">
        <v>4577</v>
      </c>
      <c r="C1950" s="26" t="s">
        <v>37</v>
      </c>
      <c r="D1950" s="68">
        <v>66000</v>
      </c>
      <c r="E1950" s="74">
        <v>0.05</v>
      </c>
      <c r="F1950" s="617">
        <f t="shared" ref="F1950:F1962" si="270">+D1950+D1950*E1950</f>
        <v>69300</v>
      </c>
      <c r="G1950" s="618">
        <f t="shared" ref="G1950:G1963" si="271">F1950*0.19</f>
        <v>13167</v>
      </c>
      <c r="H1950" s="619">
        <f t="shared" ref="H1950:H1962" si="272">ROUND((F1950+G1950),0)</f>
        <v>82467</v>
      </c>
    </row>
    <row r="1951" spans="1:8" x14ac:dyDescent="0.25">
      <c r="A1951" s="85" t="s">
        <v>4591</v>
      </c>
      <c r="B1951" s="81" t="s">
        <v>4578</v>
      </c>
      <c r="C1951" s="26" t="s">
        <v>37</v>
      </c>
      <c r="D1951" s="68">
        <v>80300</v>
      </c>
      <c r="E1951" s="74">
        <v>0.05</v>
      </c>
      <c r="F1951" s="617">
        <f t="shared" si="270"/>
        <v>84315</v>
      </c>
      <c r="G1951" s="618">
        <f t="shared" si="271"/>
        <v>16019.85</v>
      </c>
      <c r="H1951" s="619">
        <f t="shared" si="272"/>
        <v>100335</v>
      </c>
    </row>
    <row r="1952" spans="1:8" x14ac:dyDescent="0.25">
      <c r="A1952" s="85" t="s">
        <v>4592</v>
      </c>
      <c r="B1952" s="81" t="s">
        <v>4579</v>
      </c>
      <c r="C1952" s="26" t="s">
        <v>37</v>
      </c>
      <c r="D1952" s="68">
        <v>94600</v>
      </c>
      <c r="E1952" s="74">
        <v>0.05</v>
      </c>
      <c r="F1952" s="617">
        <f t="shared" si="270"/>
        <v>99330</v>
      </c>
      <c r="G1952" s="618">
        <f t="shared" si="271"/>
        <v>18872.7</v>
      </c>
      <c r="H1952" s="619">
        <f t="shared" si="272"/>
        <v>118203</v>
      </c>
    </row>
    <row r="1953" spans="1:8" x14ac:dyDescent="0.25">
      <c r="A1953" s="85" t="s">
        <v>4593</v>
      </c>
      <c r="B1953" s="81" t="s">
        <v>7878</v>
      </c>
      <c r="C1953" s="26" t="s">
        <v>37</v>
      </c>
      <c r="D1953" s="68">
        <v>130900</v>
      </c>
      <c r="E1953" s="74">
        <v>0.05</v>
      </c>
      <c r="F1953" s="617">
        <f t="shared" si="270"/>
        <v>137445</v>
      </c>
      <c r="G1953" s="618">
        <f t="shared" si="271"/>
        <v>26114.55</v>
      </c>
      <c r="H1953" s="619">
        <f t="shared" si="272"/>
        <v>163560</v>
      </c>
    </row>
    <row r="1954" spans="1:8" x14ac:dyDescent="0.25">
      <c r="A1954" s="85" t="s">
        <v>4594</v>
      </c>
      <c r="B1954" s="81" t="s">
        <v>7879</v>
      </c>
      <c r="C1954" s="26" t="s">
        <v>37</v>
      </c>
      <c r="D1954" s="68">
        <v>174900</v>
      </c>
      <c r="E1954" s="74">
        <v>0.05</v>
      </c>
      <c r="F1954" s="617">
        <f t="shared" si="270"/>
        <v>183645</v>
      </c>
      <c r="G1954" s="618">
        <f t="shared" si="271"/>
        <v>34892.550000000003</v>
      </c>
      <c r="H1954" s="619">
        <f t="shared" si="272"/>
        <v>218538</v>
      </c>
    </row>
    <row r="1955" spans="1:8" x14ac:dyDescent="0.25">
      <c r="A1955" s="85" t="s">
        <v>4595</v>
      </c>
      <c r="B1955" s="81" t="s">
        <v>4582</v>
      </c>
      <c r="C1955" s="26" t="s">
        <v>37</v>
      </c>
      <c r="D1955" s="68">
        <v>206800</v>
      </c>
      <c r="E1955" s="74">
        <v>0.05</v>
      </c>
      <c r="F1955" s="617">
        <f t="shared" si="270"/>
        <v>217140</v>
      </c>
      <c r="G1955" s="618">
        <f t="shared" si="271"/>
        <v>41256.6</v>
      </c>
      <c r="H1955" s="619">
        <f t="shared" si="272"/>
        <v>258397</v>
      </c>
    </row>
    <row r="1956" spans="1:8" x14ac:dyDescent="0.25">
      <c r="A1956" s="85" t="s">
        <v>4596</v>
      </c>
      <c r="B1956" s="81" t="s">
        <v>4583</v>
      </c>
      <c r="C1956" s="26" t="s">
        <v>37</v>
      </c>
      <c r="D1956" s="68">
        <v>215600</v>
      </c>
      <c r="E1956" s="74">
        <v>0.05</v>
      </c>
      <c r="F1956" s="617">
        <f t="shared" si="270"/>
        <v>226380</v>
      </c>
      <c r="G1956" s="618">
        <f t="shared" si="271"/>
        <v>43012.2</v>
      </c>
      <c r="H1956" s="619">
        <f t="shared" si="272"/>
        <v>269392</v>
      </c>
    </row>
    <row r="1957" spans="1:8" x14ac:dyDescent="0.25">
      <c r="A1957" s="85" t="s">
        <v>4597</v>
      </c>
      <c r="B1957" s="81" t="s">
        <v>7355</v>
      </c>
      <c r="C1957" s="26" t="s">
        <v>37</v>
      </c>
      <c r="D1957" s="68">
        <v>385000</v>
      </c>
      <c r="E1957" s="74">
        <v>0.05</v>
      </c>
      <c r="F1957" s="617">
        <f t="shared" si="270"/>
        <v>404250</v>
      </c>
      <c r="G1957" s="618">
        <f t="shared" si="271"/>
        <v>76807.5</v>
      </c>
      <c r="H1957" s="619">
        <f t="shared" si="272"/>
        <v>481058</v>
      </c>
    </row>
    <row r="1958" spans="1:8" x14ac:dyDescent="0.25">
      <c r="A1958" s="85" t="s">
        <v>4598</v>
      </c>
      <c r="B1958" s="81" t="s">
        <v>7356</v>
      </c>
      <c r="C1958" s="26" t="s">
        <v>37</v>
      </c>
      <c r="D1958" s="68">
        <v>446600</v>
      </c>
      <c r="E1958" s="74">
        <v>0.05</v>
      </c>
      <c r="F1958" s="617">
        <f t="shared" si="270"/>
        <v>468930</v>
      </c>
      <c r="G1958" s="618">
        <f t="shared" si="271"/>
        <v>89096.7</v>
      </c>
      <c r="H1958" s="619">
        <f t="shared" si="272"/>
        <v>558027</v>
      </c>
    </row>
    <row r="1959" spans="1:8" x14ac:dyDescent="0.25">
      <c r="A1959" s="85" t="s">
        <v>4599</v>
      </c>
      <c r="B1959" s="81" t="s">
        <v>4586</v>
      </c>
      <c r="C1959" s="26" t="s">
        <v>37</v>
      </c>
      <c r="D1959" s="68">
        <v>543400</v>
      </c>
      <c r="E1959" s="74">
        <v>0.05</v>
      </c>
      <c r="F1959" s="617">
        <f t="shared" si="270"/>
        <v>570570</v>
      </c>
      <c r="G1959" s="618">
        <f t="shared" si="271"/>
        <v>108408.3</v>
      </c>
      <c r="H1959" s="619">
        <f t="shared" si="272"/>
        <v>678978</v>
      </c>
    </row>
    <row r="1960" spans="1:8" x14ac:dyDescent="0.25">
      <c r="A1960" s="85" t="s">
        <v>4600</v>
      </c>
      <c r="B1960" s="81" t="s">
        <v>4587</v>
      </c>
      <c r="C1960" s="26" t="s">
        <v>37</v>
      </c>
      <c r="D1960" s="68">
        <v>561000</v>
      </c>
      <c r="E1960" s="74">
        <v>0.05</v>
      </c>
      <c r="F1960" s="617">
        <f t="shared" si="270"/>
        <v>589050</v>
      </c>
      <c r="G1960" s="618">
        <f t="shared" si="271"/>
        <v>111919.5</v>
      </c>
      <c r="H1960" s="619">
        <f t="shared" si="272"/>
        <v>700970</v>
      </c>
    </row>
    <row r="1961" spans="1:8" x14ac:dyDescent="0.25">
      <c r="A1961" s="85" t="s">
        <v>4601</v>
      </c>
      <c r="B1961" s="81" t="s">
        <v>4588</v>
      </c>
      <c r="C1961" s="26" t="s">
        <v>37</v>
      </c>
      <c r="D1961" s="68">
        <v>595100</v>
      </c>
      <c r="E1961" s="74">
        <v>0.05</v>
      </c>
      <c r="F1961" s="617">
        <f t="shared" si="270"/>
        <v>624855</v>
      </c>
      <c r="G1961" s="618">
        <f t="shared" si="271"/>
        <v>118722.45</v>
      </c>
      <c r="H1961" s="619">
        <f t="shared" si="272"/>
        <v>743577</v>
      </c>
    </row>
    <row r="1962" spans="1:8" x14ac:dyDescent="0.25">
      <c r="A1962" s="85" t="s">
        <v>6548</v>
      </c>
      <c r="B1962" s="81" t="s">
        <v>7532</v>
      </c>
      <c r="C1962" s="26" t="s">
        <v>37</v>
      </c>
      <c r="D1962" s="68">
        <v>1028500</v>
      </c>
      <c r="E1962" s="74">
        <v>0.05</v>
      </c>
      <c r="F1962" s="617">
        <f t="shared" si="270"/>
        <v>1079925</v>
      </c>
      <c r="G1962" s="618">
        <f t="shared" si="271"/>
        <v>205185.75</v>
      </c>
      <c r="H1962" s="619">
        <f t="shared" si="272"/>
        <v>1285111</v>
      </c>
    </row>
    <row r="1963" spans="1:8" x14ac:dyDescent="0.25">
      <c r="A1963" s="85" t="s">
        <v>6594</v>
      </c>
      <c r="B1963" s="81" t="s">
        <v>7687</v>
      </c>
      <c r="C1963" s="26" t="s">
        <v>37</v>
      </c>
      <c r="D1963" s="68">
        <v>1183600</v>
      </c>
      <c r="E1963" s="74">
        <v>0.05</v>
      </c>
      <c r="F1963" s="617">
        <f>+D1963+D1963*E1963</f>
        <v>1242780</v>
      </c>
      <c r="G1963" s="618">
        <f t="shared" si="271"/>
        <v>236128.2</v>
      </c>
      <c r="H1963" s="619">
        <f>ROUND((F1963+G1963),0)</f>
        <v>1478908</v>
      </c>
    </row>
    <row r="1964" spans="1:8" x14ac:dyDescent="0.25">
      <c r="A1964" s="78" t="s">
        <v>4589</v>
      </c>
      <c r="B1964" s="80" t="s">
        <v>993</v>
      </c>
      <c r="C1964" s="26"/>
      <c r="D1964" s="1001"/>
      <c r="E1964" s="74"/>
      <c r="F1964" s="129"/>
      <c r="G1964" s="130"/>
      <c r="H1964" s="131"/>
    </row>
    <row r="1965" spans="1:8" x14ac:dyDescent="0.25">
      <c r="A1965" s="78" t="s">
        <v>4603</v>
      </c>
      <c r="B1965" s="80" t="s">
        <v>4602</v>
      </c>
      <c r="C1965" s="26"/>
      <c r="D1965" s="1001"/>
      <c r="E1965" s="74"/>
      <c r="F1965" s="129"/>
      <c r="G1965" s="130"/>
      <c r="H1965" s="131"/>
    </row>
    <row r="1966" spans="1:8" x14ac:dyDescent="0.25">
      <c r="A1966" s="85" t="s">
        <v>4604</v>
      </c>
      <c r="B1966" s="81" t="s">
        <v>4605</v>
      </c>
      <c r="C1966" s="26" t="s">
        <v>37</v>
      </c>
      <c r="D1966" s="68">
        <v>50600</v>
      </c>
      <c r="E1966" s="74">
        <v>0.05</v>
      </c>
      <c r="F1966" s="129">
        <f t="shared" si="268"/>
        <v>53130</v>
      </c>
      <c r="G1966" s="130">
        <f t="shared" ref="G1966:G1977" si="273">F1966*0.19</f>
        <v>10094.700000000001</v>
      </c>
      <c r="H1966" s="131">
        <f t="shared" si="269"/>
        <v>63225</v>
      </c>
    </row>
    <row r="1967" spans="1:8" x14ac:dyDescent="0.25">
      <c r="A1967" s="85" t="s">
        <v>4616</v>
      </c>
      <c r="B1967" s="81" t="s">
        <v>4606</v>
      </c>
      <c r="C1967" s="26" t="s">
        <v>37</v>
      </c>
      <c r="D1967" s="68">
        <v>88000</v>
      </c>
      <c r="E1967" s="74">
        <v>0.05</v>
      </c>
      <c r="F1967" s="129">
        <f t="shared" si="268"/>
        <v>92400</v>
      </c>
      <c r="G1967" s="130">
        <f t="shared" si="273"/>
        <v>17556</v>
      </c>
      <c r="H1967" s="131">
        <f t="shared" si="269"/>
        <v>109956</v>
      </c>
    </row>
    <row r="1968" spans="1:8" x14ac:dyDescent="0.25">
      <c r="A1968" s="85" t="s">
        <v>4617</v>
      </c>
      <c r="B1968" s="81" t="s">
        <v>4606</v>
      </c>
      <c r="C1968" s="26" t="s">
        <v>37</v>
      </c>
      <c r="D1968" s="68">
        <v>114400</v>
      </c>
      <c r="E1968" s="74">
        <v>0.05</v>
      </c>
      <c r="F1968" s="129">
        <f t="shared" si="268"/>
        <v>120120</v>
      </c>
      <c r="G1968" s="130">
        <f t="shared" si="273"/>
        <v>22822.799999999999</v>
      </c>
      <c r="H1968" s="131">
        <f t="shared" si="269"/>
        <v>142943</v>
      </c>
    </row>
    <row r="1969" spans="1:8" x14ac:dyDescent="0.25">
      <c r="A1969" s="85" t="s">
        <v>4618</v>
      </c>
      <c r="B1969" s="81" t="s">
        <v>7880</v>
      </c>
      <c r="C1969" s="26" t="s">
        <v>37</v>
      </c>
      <c r="D1969" s="68">
        <v>184800</v>
      </c>
      <c r="E1969" s="74">
        <v>0.05</v>
      </c>
      <c r="F1969" s="129">
        <f t="shared" si="268"/>
        <v>194040</v>
      </c>
      <c r="G1969" s="130">
        <f t="shared" si="273"/>
        <v>36867.599999999999</v>
      </c>
      <c r="H1969" s="131">
        <f t="shared" si="269"/>
        <v>230908</v>
      </c>
    </row>
    <row r="1970" spans="1:8" x14ac:dyDescent="0.25">
      <c r="A1970" s="85" t="s">
        <v>4619</v>
      </c>
      <c r="B1970" s="81" t="s">
        <v>4608</v>
      </c>
      <c r="C1970" s="26" t="s">
        <v>37</v>
      </c>
      <c r="D1970" s="68">
        <v>298100</v>
      </c>
      <c r="E1970" s="74">
        <v>0.05</v>
      </c>
      <c r="F1970" s="129">
        <f t="shared" si="268"/>
        <v>313005</v>
      </c>
      <c r="G1970" s="130">
        <f t="shared" si="273"/>
        <v>59470.95</v>
      </c>
      <c r="H1970" s="131">
        <f t="shared" si="269"/>
        <v>372476</v>
      </c>
    </row>
    <row r="1971" spans="1:8" x14ac:dyDescent="0.25">
      <c r="A1971" s="85" t="s">
        <v>4620</v>
      </c>
      <c r="B1971" s="81" t="s">
        <v>7357</v>
      </c>
      <c r="C1971" s="26" t="s">
        <v>37</v>
      </c>
      <c r="D1971" s="68">
        <v>543400</v>
      </c>
      <c r="E1971" s="74">
        <v>0.05</v>
      </c>
      <c r="F1971" s="129">
        <f t="shared" si="268"/>
        <v>570570</v>
      </c>
      <c r="G1971" s="130">
        <f t="shared" si="273"/>
        <v>108408.3</v>
      </c>
      <c r="H1971" s="131">
        <f t="shared" si="269"/>
        <v>678978</v>
      </c>
    </row>
    <row r="1972" spans="1:8" x14ac:dyDescent="0.25">
      <c r="A1972" s="85" t="s">
        <v>4621</v>
      </c>
      <c r="B1972" s="81" t="s">
        <v>4610</v>
      </c>
      <c r="C1972" s="26" t="s">
        <v>37</v>
      </c>
      <c r="D1972" s="68">
        <v>698500</v>
      </c>
      <c r="E1972" s="74">
        <v>0.05</v>
      </c>
      <c r="F1972" s="129">
        <f t="shared" si="268"/>
        <v>733425</v>
      </c>
      <c r="G1972" s="130">
        <f t="shared" si="273"/>
        <v>139350.75</v>
      </c>
      <c r="H1972" s="131">
        <f t="shared" si="269"/>
        <v>872776</v>
      </c>
    </row>
    <row r="1973" spans="1:8" x14ac:dyDescent="0.25">
      <c r="A1973" s="85" t="s">
        <v>4622</v>
      </c>
      <c r="B1973" s="81" t="s">
        <v>7533</v>
      </c>
      <c r="C1973" s="26" t="s">
        <v>37</v>
      </c>
      <c r="D1973" s="68">
        <v>931700</v>
      </c>
      <c r="E1973" s="74">
        <v>0.05</v>
      </c>
      <c r="F1973" s="129">
        <f t="shared" si="268"/>
        <v>978285</v>
      </c>
      <c r="G1973" s="130">
        <f t="shared" si="273"/>
        <v>185874.15</v>
      </c>
      <c r="H1973" s="131">
        <f t="shared" si="269"/>
        <v>1164159</v>
      </c>
    </row>
    <row r="1974" spans="1:8" x14ac:dyDescent="0.25">
      <c r="A1974" s="85" t="s">
        <v>4623</v>
      </c>
      <c r="B1974" s="81" t="s">
        <v>7688</v>
      </c>
      <c r="C1974" s="26" t="s">
        <v>37</v>
      </c>
      <c r="D1974" s="68">
        <v>1241900</v>
      </c>
      <c r="E1974" s="74">
        <v>0.05</v>
      </c>
      <c r="F1974" s="129">
        <f t="shared" si="268"/>
        <v>1303995</v>
      </c>
      <c r="G1974" s="130">
        <f t="shared" si="273"/>
        <v>247759.05</v>
      </c>
      <c r="H1974" s="131">
        <f t="shared" si="269"/>
        <v>1551754</v>
      </c>
    </row>
    <row r="1975" spans="1:8" x14ac:dyDescent="0.25">
      <c r="A1975" s="85" t="s">
        <v>4624</v>
      </c>
      <c r="B1975" s="81" t="s">
        <v>4613</v>
      </c>
      <c r="C1975" s="26" t="s">
        <v>37</v>
      </c>
      <c r="D1975" s="68">
        <v>1533400</v>
      </c>
      <c r="E1975" s="74">
        <v>0.05</v>
      </c>
      <c r="F1975" s="129">
        <f t="shared" si="268"/>
        <v>1610070</v>
      </c>
      <c r="G1975" s="130">
        <f t="shared" si="273"/>
        <v>305913.3</v>
      </c>
      <c r="H1975" s="131">
        <f t="shared" si="269"/>
        <v>1915983</v>
      </c>
    </row>
    <row r="1976" spans="1:8" x14ac:dyDescent="0.25">
      <c r="A1976" s="85" t="s">
        <v>4625</v>
      </c>
      <c r="B1976" s="81" t="s">
        <v>4614</v>
      </c>
      <c r="C1976" s="26" t="s">
        <v>37</v>
      </c>
      <c r="D1976" s="68">
        <v>1775400</v>
      </c>
      <c r="E1976" s="74">
        <v>0.05</v>
      </c>
      <c r="F1976" s="129">
        <f t="shared" si="268"/>
        <v>1864170</v>
      </c>
      <c r="G1976" s="130">
        <f t="shared" si="273"/>
        <v>354192.3</v>
      </c>
      <c r="H1976" s="131">
        <f t="shared" si="269"/>
        <v>2218362</v>
      </c>
    </row>
    <row r="1977" spans="1:8" x14ac:dyDescent="0.25">
      <c r="A1977" s="85" t="s">
        <v>4626</v>
      </c>
      <c r="B1977" s="81" t="s">
        <v>4615</v>
      </c>
      <c r="C1977" s="26" t="s">
        <v>37</v>
      </c>
      <c r="D1977" s="68">
        <v>2425500</v>
      </c>
      <c r="E1977" s="74">
        <v>0.05</v>
      </c>
      <c r="F1977" s="129">
        <f t="shared" si="268"/>
        <v>2546775</v>
      </c>
      <c r="G1977" s="130">
        <f t="shared" si="273"/>
        <v>483887.25</v>
      </c>
      <c r="H1977" s="131">
        <f t="shared" si="269"/>
        <v>3030662</v>
      </c>
    </row>
    <row r="1978" spans="1:8" x14ac:dyDescent="0.25">
      <c r="A1978" s="78" t="s">
        <v>4627</v>
      </c>
      <c r="B1978" s="80" t="s">
        <v>4628</v>
      </c>
      <c r="C1978" s="26"/>
      <c r="D1978" s="1001"/>
      <c r="E1978" s="74"/>
      <c r="F1978" s="129"/>
      <c r="G1978" s="130"/>
      <c r="H1978" s="131"/>
    </row>
    <row r="1979" spans="1:8" x14ac:dyDescent="0.25">
      <c r="A1979" s="85" t="s">
        <v>4640</v>
      </c>
      <c r="B1979" s="81" t="s">
        <v>4629</v>
      </c>
      <c r="C1979" s="26" t="s">
        <v>37</v>
      </c>
      <c r="D1979" s="68">
        <v>53900</v>
      </c>
      <c r="E1979" s="74">
        <v>0.05</v>
      </c>
      <c r="F1979" s="129">
        <f t="shared" si="268"/>
        <v>56595</v>
      </c>
      <c r="G1979" s="130">
        <f t="shared" ref="G1979:G1990" si="274">F1979*0.19</f>
        <v>10753.05</v>
      </c>
      <c r="H1979" s="131">
        <f t="shared" si="269"/>
        <v>67348</v>
      </c>
    </row>
    <row r="1980" spans="1:8" x14ac:dyDescent="0.25">
      <c r="A1980" s="85" t="s">
        <v>4641</v>
      </c>
      <c r="B1980" s="81" t="s">
        <v>4630</v>
      </c>
      <c r="C1980" s="26" t="s">
        <v>37</v>
      </c>
      <c r="D1980" s="68">
        <v>83600</v>
      </c>
      <c r="E1980" s="74">
        <v>0.05</v>
      </c>
      <c r="F1980" s="129">
        <f t="shared" si="268"/>
        <v>87780</v>
      </c>
      <c r="G1980" s="130">
        <f t="shared" si="274"/>
        <v>16678.2</v>
      </c>
      <c r="H1980" s="131">
        <f t="shared" si="269"/>
        <v>104458</v>
      </c>
    </row>
    <row r="1981" spans="1:8" x14ac:dyDescent="0.25">
      <c r="A1981" s="85" t="s">
        <v>4642</v>
      </c>
      <c r="B1981" s="81" t="s">
        <v>4630</v>
      </c>
      <c r="C1981" s="26" t="s">
        <v>37</v>
      </c>
      <c r="D1981" s="68">
        <v>123200</v>
      </c>
      <c r="E1981" s="74">
        <v>0.05</v>
      </c>
      <c r="F1981" s="129">
        <f t="shared" si="268"/>
        <v>129360</v>
      </c>
      <c r="G1981" s="130">
        <f t="shared" si="274"/>
        <v>24578.400000000001</v>
      </c>
      <c r="H1981" s="131">
        <f t="shared" si="269"/>
        <v>153938</v>
      </c>
    </row>
    <row r="1982" spans="1:8" x14ac:dyDescent="0.25">
      <c r="A1982" s="85" t="s">
        <v>4643</v>
      </c>
      <c r="B1982" s="81" t="s">
        <v>7881</v>
      </c>
      <c r="C1982" s="26" t="s">
        <v>37</v>
      </c>
      <c r="D1982" s="68">
        <v>158400</v>
      </c>
      <c r="E1982" s="74">
        <v>0.05</v>
      </c>
      <c r="F1982" s="129">
        <f t="shared" si="268"/>
        <v>166320</v>
      </c>
      <c r="G1982" s="130">
        <f t="shared" si="274"/>
        <v>31600.799999999999</v>
      </c>
      <c r="H1982" s="131">
        <f t="shared" si="269"/>
        <v>197921</v>
      </c>
    </row>
    <row r="1983" spans="1:8" x14ac:dyDescent="0.25">
      <c r="A1983" s="85" t="s">
        <v>4644</v>
      </c>
      <c r="B1983" s="81" t="s">
        <v>4632</v>
      </c>
      <c r="C1983" s="26" t="s">
        <v>37</v>
      </c>
      <c r="D1983" s="68">
        <v>262900</v>
      </c>
      <c r="E1983" s="74">
        <v>0.05</v>
      </c>
      <c r="F1983" s="129">
        <f t="shared" si="268"/>
        <v>276045</v>
      </c>
      <c r="G1983" s="130">
        <f t="shared" si="274"/>
        <v>52448.55</v>
      </c>
      <c r="H1983" s="131">
        <f t="shared" si="269"/>
        <v>328494</v>
      </c>
    </row>
    <row r="1984" spans="1:8" x14ac:dyDescent="0.25">
      <c r="A1984" s="85" t="s">
        <v>4645</v>
      </c>
      <c r="B1984" s="81" t="s">
        <v>7358</v>
      </c>
      <c r="C1984" s="26" t="s">
        <v>37</v>
      </c>
      <c r="D1984" s="68">
        <v>441100</v>
      </c>
      <c r="E1984" s="74">
        <v>0.05</v>
      </c>
      <c r="F1984" s="129">
        <f t="shared" si="268"/>
        <v>463155</v>
      </c>
      <c r="G1984" s="130">
        <f t="shared" si="274"/>
        <v>87999.45</v>
      </c>
      <c r="H1984" s="131">
        <f t="shared" si="269"/>
        <v>551154</v>
      </c>
    </row>
    <row r="1985" spans="1:8" x14ac:dyDescent="0.25">
      <c r="A1985" s="85" t="s">
        <v>4646</v>
      </c>
      <c r="B1985" s="81" t="s">
        <v>4634</v>
      </c>
      <c r="C1985" s="26" t="s">
        <v>37</v>
      </c>
      <c r="D1985" s="68">
        <v>485100</v>
      </c>
      <c r="E1985" s="74">
        <v>0.05</v>
      </c>
      <c r="F1985" s="129">
        <f t="shared" si="268"/>
        <v>509355</v>
      </c>
      <c r="G1985" s="130">
        <f t="shared" si="274"/>
        <v>96777.45</v>
      </c>
      <c r="H1985" s="131">
        <f t="shared" si="269"/>
        <v>606132</v>
      </c>
    </row>
    <row r="1986" spans="1:8" x14ac:dyDescent="0.25">
      <c r="A1986" s="85" t="s">
        <v>4647</v>
      </c>
      <c r="B1986" s="81" t="s">
        <v>7534</v>
      </c>
      <c r="C1986" s="26" t="s">
        <v>37</v>
      </c>
      <c r="D1986" s="68">
        <v>693000</v>
      </c>
      <c r="E1986" s="74">
        <v>0.05</v>
      </c>
      <c r="F1986" s="129">
        <f t="shared" si="268"/>
        <v>727650</v>
      </c>
      <c r="G1986" s="130">
        <f t="shared" si="274"/>
        <v>138253.5</v>
      </c>
      <c r="H1986" s="131">
        <f t="shared" si="269"/>
        <v>865904</v>
      </c>
    </row>
    <row r="1987" spans="1:8" x14ac:dyDescent="0.25">
      <c r="A1987" s="85" t="s">
        <v>4648</v>
      </c>
      <c r="B1987" s="81" t="s">
        <v>7689</v>
      </c>
      <c r="C1987" s="26" t="s">
        <v>37</v>
      </c>
      <c r="D1987" s="68">
        <v>951500</v>
      </c>
      <c r="E1987" s="74">
        <v>0.05</v>
      </c>
      <c r="F1987" s="129">
        <f t="shared" si="268"/>
        <v>999075</v>
      </c>
      <c r="G1987" s="130">
        <f t="shared" si="274"/>
        <v>189824.25</v>
      </c>
      <c r="H1987" s="131">
        <f t="shared" si="269"/>
        <v>1188899</v>
      </c>
    </row>
    <row r="1988" spans="1:8" x14ac:dyDescent="0.25">
      <c r="A1988" s="85" t="s">
        <v>4649</v>
      </c>
      <c r="B1988" s="81" t="s">
        <v>4637</v>
      </c>
      <c r="C1988" s="26" t="s">
        <v>37</v>
      </c>
      <c r="D1988" s="68">
        <v>1348600</v>
      </c>
      <c r="E1988" s="74">
        <v>0.05</v>
      </c>
      <c r="F1988" s="129">
        <f t="shared" si="268"/>
        <v>1416030</v>
      </c>
      <c r="G1988" s="130">
        <f t="shared" si="274"/>
        <v>269045.7</v>
      </c>
      <c r="H1988" s="131">
        <f t="shared" si="269"/>
        <v>1685076</v>
      </c>
    </row>
    <row r="1989" spans="1:8" x14ac:dyDescent="0.25">
      <c r="A1989" s="85" t="s">
        <v>4650</v>
      </c>
      <c r="B1989" s="81" t="s">
        <v>4638</v>
      </c>
      <c r="C1989" s="26" t="s">
        <v>37</v>
      </c>
      <c r="D1989" s="68">
        <v>1834800</v>
      </c>
      <c r="E1989" s="74">
        <v>0.05</v>
      </c>
      <c r="F1989" s="129">
        <f t="shared" si="268"/>
        <v>1926540</v>
      </c>
      <c r="G1989" s="130">
        <f t="shared" si="274"/>
        <v>366042.6</v>
      </c>
      <c r="H1989" s="131">
        <f t="shared" si="269"/>
        <v>2292583</v>
      </c>
    </row>
    <row r="1990" spans="1:8" x14ac:dyDescent="0.25">
      <c r="A1990" s="85" t="s">
        <v>4651</v>
      </c>
      <c r="B1990" s="81" t="s">
        <v>4639</v>
      </c>
      <c r="C1990" s="26" t="s">
        <v>37</v>
      </c>
      <c r="D1990" s="68">
        <v>2588300</v>
      </c>
      <c r="E1990" s="74">
        <v>0.05</v>
      </c>
      <c r="F1990" s="129">
        <f t="shared" si="268"/>
        <v>2717715</v>
      </c>
      <c r="G1990" s="130">
        <f t="shared" si="274"/>
        <v>516365.85000000003</v>
      </c>
      <c r="H1990" s="131">
        <f t="shared" si="269"/>
        <v>3234081</v>
      </c>
    </row>
    <row r="1991" spans="1:8" x14ac:dyDescent="0.25">
      <c r="A1991" s="78" t="s">
        <v>4660</v>
      </c>
      <c r="B1991" s="80" t="s">
        <v>4671</v>
      </c>
      <c r="C1991" s="26"/>
      <c r="D1991" s="1001"/>
      <c r="E1991" s="74"/>
      <c r="F1991" s="129"/>
      <c r="G1991" s="130"/>
      <c r="H1991" s="131"/>
    </row>
    <row r="1992" spans="1:8" x14ac:dyDescent="0.25">
      <c r="A1992" s="85" t="s">
        <v>4661</v>
      </c>
      <c r="B1992" s="81" t="s">
        <v>4652</v>
      </c>
      <c r="C1992" s="26" t="s">
        <v>37</v>
      </c>
      <c r="D1992" s="68">
        <v>34100</v>
      </c>
      <c r="E1992" s="74">
        <v>0.05</v>
      </c>
      <c r="F1992" s="129">
        <f t="shared" si="268"/>
        <v>35805</v>
      </c>
      <c r="G1992" s="130">
        <f t="shared" ref="G1992:G1998" si="275">F1992*0.19</f>
        <v>6802.95</v>
      </c>
      <c r="H1992" s="131">
        <f t="shared" si="269"/>
        <v>42608</v>
      </c>
    </row>
    <row r="1993" spans="1:8" x14ac:dyDescent="0.25">
      <c r="A1993" s="85" t="s">
        <v>4662</v>
      </c>
      <c r="B1993" s="81" t="s">
        <v>4653</v>
      </c>
      <c r="C1993" s="26" t="s">
        <v>37</v>
      </c>
      <c r="D1993" s="68">
        <v>44000</v>
      </c>
      <c r="E1993" s="74">
        <v>0.05</v>
      </c>
      <c r="F1993" s="129">
        <f t="shared" si="268"/>
        <v>46200</v>
      </c>
      <c r="G1993" s="130">
        <f t="shared" si="275"/>
        <v>8778</v>
      </c>
      <c r="H1993" s="131">
        <f t="shared" si="269"/>
        <v>54978</v>
      </c>
    </row>
    <row r="1994" spans="1:8" x14ac:dyDescent="0.25">
      <c r="A1994" s="85" t="s">
        <v>4663</v>
      </c>
      <c r="B1994" s="81" t="s">
        <v>4654</v>
      </c>
      <c r="C1994" s="26" t="s">
        <v>37</v>
      </c>
      <c r="D1994" s="68">
        <v>52800</v>
      </c>
      <c r="E1994" s="74">
        <v>0.05</v>
      </c>
      <c r="F1994" s="129">
        <f t="shared" si="268"/>
        <v>55440</v>
      </c>
      <c r="G1994" s="130">
        <f t="shared" si="275"/>
        <v>10533.6</v>
      </c>
      <c r="H1994" s="131">
        <f t="shared" si="269"/>
        <v>65974</v>
      </c>
    </row>
    <row r="1995" spans="1:8" x14ac:dyDescent="0.25">
      <c r="A1995" s="85" t="s">
        <v>4664</v>
      </c>
      <c r="B1995" s="81" t="s">
        <v>7882</v>
      </c>
      <c r="C1995" s="26" t="s">
        <v>37</v>
      </c>
      <c r="D1995" s="68">
        <v>70400</v>
      </c>
      <c r="E1995" s="74">
        <v>0.05</v>
      </c>
      <c r="F1995" s="129">
        <f t="shared" si="268"/>
        <v>73920</v>
      </c>
      <c r="G1995" s="130">
        <f t="shared" si="275"/>
        <v>14044.8</v>
      </c>
      <c r="H1995" s="131">
        <f t="shared" si="269"/>
        <v>87965</v>
      </c>
    </row>
    <row r="1996" spans="1:8" x14ac:dyDescent="0.25">
      <c r="A1996" s="85" t="s">
        <v>4665</v>
      </c>
      <c r="B1996" s="81" t="s">
        <v>4656</v>
      </c>
      <c r="C1996" s="26" t="s">
        <v>37</v>
      </c>
      <c r="D1996" s="68">
        <v>90200</v>
      </c>
      <c r="E1996" s="74">
        <v>0.05</v>
      </c>
      <c r="F1996" s="129">
        <f t="shared" si="268"/>
        <v>94710</v>
      </c>
      <c r="G1996" s="130">
        <f t="shared" si="275"/>
        <v>17994.900000000001</v>
      </c>
      <c r="H1996" s="131">
        <f t="shared" si="269"/>
        <v>112705</v>
      </c>
    </row>
    <row r="1997" spans="1:8" x14ac:dyDescent="0.25">
      <c r="A1997" s="85" t="s">
        <v>4666</v>
      </c>
      <c r="B1997" s="81" t="s">
        <v>7359</v>
      </c>
      <c r="C1997" s="26" t="s">
        <v>37</v>
      </c>
      <c r="D1997" s="68">
        <v>165000</v>
      </c>
      <c r="E1997" s="74">
        <v>0.05</v>
      </c>
      <c r="F1997" s="129">
        <f t="shared" si="268"/>
        <v>173250</v>
      </c>
      <c r="G1997" s="130">
        <f t="shared" si="275"/>
        <v>32917.5</v>
      </c>
      <c r="H1997" s="131">
        <f t="shared" si="269"/>
        <v>206168</v>
      </c>
    </row>
    <row r="1998" spans="1:8" x14ac:dyDescent="0.25">
      <c r="A1998" s="85" t="s">
        <v>4667</v>
      </c>
      <c r="B1998" s="81" t="s">
        <v>4658</v>
      </c>
      <c r="C1998" s="26" t="s">
        <v>37</v>
      </c>
      <c r="D1998" s="68">
        <v>301400</v>
      </c>
      <c r="E1998" s="74">
        <v>0.05</v>
      </c>
      <c r="F1998" s="129">
        <f t="shared" si="268"/>
        <v>316470</v>
      </c>
      <c r="G1998" s="130">
        <f t="shared" si="275"/>
        <v>60129.3</v>
      </c>
      <c r="H1998" s="131">
        <f t="shared" si="269"/>
        <v>376599</v>
      </c>
    </row>
    <row r="1999" spans="1:8" x14ac:dyDescent="0.25">
      <c r="A1999" s="78" t="s">
        <v>4668</v>
      </c>
      <c r="B1999" s="80" t="s">
        <v>995</v>
      </c>
      <c r="C1999" s="26"/>
      <c r="D1999" s="1001"/>
      <c r="E1999" s="74"/>
      <c r="F1999" s="129"/>
      <c r="G1999" s="130"/>
      <c r="H1999" s="131"/>
    </row>
    <row r="2000" spans="1:8" x14ac:dyDescent="0.25">
      <c r="A2000" s="78" t="s">
        <v>4669</v>
      </c>
      <c r="B2000" s="80" t="s">
        <v>4670</v>
      </c>
      <c r="C2000" s="26"/>
      <c r="D2000" s="1001"/>
      <c r="E2000" s="74"/>
      <c r="F2000" s="129"/>
      <c r="G2000" s="130"/>
      <c r="H2000" s="131"/>
    </row>
    <row r="2001" spans="1:8" x14ac:dyDescent="0.25">
      <c r="A2001" s="78" t="s">
        <v>4672</v>
      </c>
      <c r="B2001" s="80" t="s">
        <v>4673</v>
      </c>
      <c r="C2001" s="26"/>
      <c r="D2001" s="1001"/>
      <c r="E2001" s="74"/>
      <c r="F2001" s="129"/>
      <c r="G2001" s="130"/>
      <c r="H2001" s="131"/>
    </row>
    <row r="2002" spans="1:8" x14ac:dyDescent="0.25">
      <c r="A2002" s="85" t="s">
        <v>4674</v>
      </c>
      <c r="B2002" s="81" t="s">
        <v>4683</v>
      </c>
      <c r="C2002" s="26" t="s">
        <v>37</v>
      </c>
      <c r="D2002" s="68">
        <v>18700</v>
      </c>
      <c r="E2002" s="74">
        <v>0.05</v>
      </c>
      <c r="F2002" s="129">
        <f t="shared" si="268"/>
        <v>19635</v>
      </c>
      <c r="G2002" s="130">
        <f t="shared" ref="G2002:G2008" si="276">F2002*0.19</f>
        <v>3730.65</v>
      </c>
      <c r="H2002" s="131">
        <f t="shared" si="269"/>
        <v>23366</v>
      </c>
    </row>
    <row r="2003" spans="1:8" x14ac:dyDescent="0.25">
      <c r="A2003" s="85" t="s">
        <v>4675</v>
      </c>
      <c r="B2003" s="81" t="s">
        <v>4684</v>
      </c>
      <c r="C2003" s="26" t="s">
        <v>37</v>
      </c>
      <c r="D2003" s="68">
        <v>20900</v>
      </c>
      <c r="E2003" s="74">
        <v>0.05</v>
      </c>
      <c r="F2003" s="129">
        <f t="shared" si="268"/>
        <v>21945</v>
      </c>
      <c r="G2003" s="130">
        <f t="shared" si="276"/>
        <v>4169.55</v>
      </c>
      <c r="H2003" s="131">
        <f t="shared" si="269"/>
        <v>26115</v>
      </c>
    </row>
    <row r="2004" spans="1:8" x14ac:dyDescent="0.25">
      <c r="A2004" s="85" t="s">
        <v>4676</v>
      </c>
      <c r="B2004" s="81" t="s">
        <v>4685</v>
      </c>
      <c r="C2004" s="26" t="s">
        <v>37</v>
      </c>
      <c r="D2004" s="68">
        <v>24200</v>
      </c>
      <c r="E2004" s="74">
        <v>0.05</v>
      </c>
      <c r="F2004" s="129">
        <f t="shared" si="268"/>
        <v>25410</v>
      </c>
      <c r="G2004" s="130">
        <f t="shared" si="276"/>
        <v>4827.8999999999996</v>
      </c>
      <c r="H2004" s="131">
        <f t="shared" si="269"/>
        <v>30238</v>
      </c>
    </row>
    <row r="2005" spans="1:8" x14ac:dyDescent="0.25">
      <c r="A2005" s="85" t="s">
        <v>4677</v>
      </c>
      <c r="B2005" s="81" t="s">
        <v>7883</v>
      </c>
      <c r="C2005" s="26" t="s">
        <v>37</v>
      </c>
      <c r="D2005" s="68">
        <v>36300</v>
      </c>
      <c r="E2005" s="74">
        <v>0.05</v>
      </c>
      <c r="F2005" s="129">
        <f t="shared" si="268"/>
        <v>38115</v>
      </c>
      <c r="G2005" s="130">
        <f t="shared" si="276"/>
        <v>7241.85</v>
      </c>
      <c r="H2005" s="131">
        <f t="shared" si="269"/>
        <v>45357</v>
      </c>
    </row>
    <row r="2006" spans="1:8" x14ac:dyDescent="0.25">
      <c r="A2006" s="85" t="s">
        <v>4678</v>
      </c>
      <c r="B2006" s="81" t="s">
        <v>4687</v>
      </c>
      <c r="C2006" s="26" t="s">
        <v>37</v>
      </c>
      <c r="D2006" s="1001">
        <v>47300</v>
      </c>
      <c r="E2006" s="74">
        <v>0.05</v>
      </c>
      <c r="F2006" s="129">
        <f t="shared" si="268"/>
        <v>49665</v>
      </c>
      <c r="G2006" s="130">
        <f t="shared" si="276"/>
        <v>9436.35</v>
      </c>
      <c r="H2006" s="131">
        <f t="shared" si="269"/>
        <v>59101</v>
      </c>
    </row>
    <row r="2007" spans="1:8" x14ac:dyDescent="0.25">
      <c r="A2007" s="85" t="s">
        <v>4679</v>
      </c>
      <c r="B2007" s="81" t="s">
        <v>7360</v>
      </c>
      <c r="C2007" s="26" t="s">
        <v>37</v>
      </c>
      <c r="D2007" s="1001">
        <v>51700</v>
      </c>
      <c r="E2007" s="74">
        <v>0.05</v>
      </c>
      <c r="F2007" s="129">
        <f t="shared" ref="F2007:F2032" si="277">+D2007+D2007*E2007</f>
        <v>54285</v>
      </c>
      <c r="G2007" s="130">
        <f t="shared" si="276"/>
        <v>10314.15</v>
      </c>
      <c r="H2007" s="131">
        <f t="shared" ref="H2007:H2032" si="278">ROUND((F2007+G2007),0)</f>
        <v>64599</v>
      </c>
    </row>
    <row r="2008" spans="1:8" x14ac:dyDescent="0.25">
      <c r="A2008" s="85" t="s">
        <v>4680</v>
      </c>
      <c r="B2008" s="81" t="s">
        <v>4689</v>
      </c>
      <c r="C2008" s="26" t="s">
        <v>37</v>
      </c>
      <c r="D2008" s="1001">
        <v>75900</v>
      </c>
      <c r="E2008" s="74">
        <v>0.05</v>
      </c>
      <c r="F2008" s="129">
        <f t="shared" si="277"/>
        <v>79695</v>
      </c>
      <c r="G2008" s="130">
        <f t="shared" si="276"/>
        <v>15142.05</v>
      </c>
      <c r="H2008" s="131">
        <f t="shared" si="278"/>
        <v>94837</v>
      </c>
    </row>
    <row r="2009" spans="1:8" x14ac:dyDescent="0.25">
      <c r="A2009" s="78" t="s">
        <v>4682</v>
      </c>
      <c r="B2009" s="80" t="s">
        <v>4681</v>
      </c>
      <c r="C2009" s="26"/>
      <c r="D2009" s="1001"/>
      <c r="E2009" s="74"/>
      <c r="F2009" s="129"/>
      <c r="G2009" s="130"/>
      <c r="H2009" s="131"/>
    </row>
    <row r="2010" spans="1:8" x14ac:dyDescent="0.25">
      <c r="A2010" s="85" t="s">
        <v>4690</v>
      </c>
      <c r="B2010" s="81" t="s">
        <v>4683</v>
      </c>
      <c r="C2010" s="26" t="s">
        <v>37</v>
      </c>
      <c r="D2010" s="68">
        <v>18700</v>
      </c>
      <c r="E2010" s="74">
        <v>0.05</v>
      </c>
      <c r="F2010" s="129">
        <f t="shared" si="277"/>
        <v>19635</v>
      </c>
      <c r="G2010" s="130">
        <f t="shared" ref="G2010:G2016" si="279">F2010*0.19</f>
        <v>3730.65</v>
      </c>
      <c r="H2010" s="131">
        <f t="shared" si="278"/>
        <v>23366</v>
      </c>
    </row>
    <row r="2011" spans="1:8" x14ac:dyDescent="0.25">
      <c r="A2011" s="85" t="s">
        <v>4691</v>
      </c>
      <c r="B2011" s="81" t="s">
        <v>4684</v>
      </c>
      <c r="C2011" s="26" t="s">
        <v>37</v>
      </c>
      <c r="D2011" s="68">
        <v>19800</v>
      </c>
      <c r="E2011" s="74">
        <v>0.05</v>
      </c>
      <c r="F2011" s="129">
        <f t="shared" si="277"/>
        <v>20790</v>
      </c>
      <c r="G2011" s="130">
        <f t="shared" si="279"/>
        <v>3950.1</v>
      </c>
      <c r="H2011" s="131">
        <f t="shared" si="278"/>
        <v>24740</v>
      </c>
    </row>
    <row r="2012" spans="1:8" x14ac:dyDescent="0.25">
      <c r="A2012" s="85" t="s">
        <v>4692</v>
      </c>
      <c r="B2012" s="81" t="s">
        <v>4685</v>
      </c>
      <c r="C2012" s="26" t="s">
        <v>37</v>
      </c>
      <c r="D2012" s="68">
        <v>24200</v>
      </c>
      <c r="E2012" s="74">
        <v>0.05</v>
      </c>
      <c r="F2012" s="129">
        <f t="shared" si="277"/>
        <v>25410</v>
      </c>
      <c r="G2012" s="130">
        <f t="shared" si="279"/>
        <v>4827.8999999999996</v>
      </c>
      <c r="H2012" s="131">
        <f t="shared" si="278"/>
        <v>30238</v>
      </c>
    </row>
    <row r="2013" spans="1:8" x14ac:dyDescent="0.25">
      <c r="A2013" s="85" t="s">
        <v>4693</v>
      </c>
      <c r="B2013" s="81" t="s">
        <v>7883</v>
      </c>
      <c r="C2013" s="26" t="s">
        <v>37</v>
      </c>
      <c r="D2013" s="68">
        <v>36300</v>
      </c>
      <c r="E2013" s="74">
        <v>0.05</v>
      </c>
      <c r="F2013" s="129">
        <f t="shared" si="277"/>
        <v>38115</v>
      </c>
      <c r="G2013" s="130">
        <f t="shared" si="279"/>
        <v>7241.85</v>
      </c>
      <c r="H2013" s="131">
        <f t="shared" si="278"/>
        <v>45357</v>
      </c>
    </row>
    <row r="2014" spans="1:8" x14ac:dyDescent="0.25">
      <c r="A2014" s="85" t="s">
        <v>4694</v>
      </c>
      <c r="B2014" s="81" t="s">
        <v>4687</v>
      </c>
      <c r="C2014" s="26" t="s">
        <v>37</v>
      </c>
      <c r="D2014" s="1001">
        <v>47300</v>
      </c>
      <c r="E2014" s="74">
        <v>0.05</v>
      </c>
      <c r="F2014" s="129">
        <f t="shared" si="277"/>
        <v>49665</v>
      </c>
      <c r="G2014" s="130">
        <f t="shared" si="279"/>
        <v>9436.35</v>
      </c>
      <c r="H2014" s="131">
        <f t="shared" si="278"/>
        <v>59101</v>
      </c>
    </row>
    <row r="2015" spans="1:8" x14ac:dyDescent="0.25">
      <c r="A2015" s="85" t="s">
        <v>4695</v>
      </c>
      <c r="B2015" s="81" t="s">
        <v>7360</v>
      </c>
      <c r="C2015" s="26" t="s">
        <v>37</v>
      </c>
      <c r="D2015" s="1001">
        <v>51700</v>
      </c>
      <c r="E2015" s="74">
        <v>0.05</v>
      </c>
      <c r="F2015" s="129">
        <f t="shared" si="277"/>
        <v>54285</v>
      </c>
      <c r="G2015" s="130">
        <f t="shared" si="279"/>
        <v>10314.15</v>
      </c>
      <c r="H2015" s="131">
        <f t="shared" si="278"/>
        <v>64599</v>
      </c>
    </row>
    <row r="2016" spans="1:8" x14ac:dyDescent="0.25">
      <c r="A2016" s="85" t="s">
        <v>4696</v>
      </c>
      <c r="B2016" s="81" t="s">
        <v>4689</v>
      </c>
      <c r="C2016" s="26" t="s">
        <v>37</v>
      </c>
      <c r="D2016" s="1001">
        <v>75900</v>
      </c>
      <c r="E2016" s="74">
        <v>0.05</v>
      </c>
      <c r="F2016" s="129">
        <f t="shared" si="277"/>
        <v>79695</v>
      </c>
      <c r="G2016" s="130">
        <f t="shared" si="279"/>
        <v>15142.05</v>
      </c>
      <c r="H2016" s="131">
        <f t="shared" si="278"/>
        <v>94837</v>
      </c>
    </row>
    <row r="2017" spans="1:8" x14ac:dyDescent="0.25">
      <c r="A2017" s="78" t="s">
        <v>4699</v>
      </c>
      <c r="B2017" s="80" t="s">
        <v>4697</v>
      </c>
      <c r="C2017" s="26"/>
      <c r="D2017" s="1001"/>
      <c r="E2017" s="74"/>
      <c r="F2017" s="129"/>
      <c r="G2017" s="130"/>
      <c r="H2017" s="131"/>
    </row>
    <row r="2018" spans="1:8" x14ac:dyDescent="0.25">
      <c r="A2018" s="85" t="s">
        <v>4698</v>
      </c>
      <c r="B2018" s="81" t="s">
        <v>4683</v>
      </c>
      <c r="C2018" s="26" t="s">
        <v>37</v>
      </c>
      <c r="D2018" s="1001"/>
      <c r="E2018" s="74">
        <v>0.05</v>
      </c>
      <c r="F2018" s="129">
        <f t="shared" si="277"/>
        <v>0</v>
      </c>
      <c r="G2018" s="130">
        <f t="shared" ref="G2018:G2024" si="280">F2018*0.19</f>
        <v>0</v>
      </c>
      <c r="H2018" s="131">
        <f t="shared" si="278"/>
        <v>0</v>
      </c>
    </row>
    <row r="2019" spans="1:8" x14ac:dyDescent="0.25">
      <c r="A2019" s="85" t="s">
        <v>4700</v>
      </c>
      <c r="B2019" s="81" t="s">
        <v>4684</v>
      </c>
      <c r="C2019" s="26" t="s">
        <v>37</v>
      </c>
      <c r="D2019" s="1001">
        <v>39600</v>
      </c>
      <c r="E2019" s="74">
        <v>0.05</v>
      </c>
      <c r="F2019" s="129">
        <f t="shared" si="277"/>
        <v>41580</v>
      </c>
      <c r="G2019" s="130">
        <f t="shared" si="280"/>
        <v>7900.2</v>
      </c>
      <c r="H2019" s="131">
        <f t="shared" si="278"/>
        <v>49480</v>
      </c>
    </row>
    <row r="2020" spans="1:8" x14ac:dyDescent="0.25">
      <c r="A2020" s="85" t="s">
        <v>4701</v>
      </c>
      <c r="B2020" s="81" t="s">
        <v>4685</v>
      </c>
      <c r="C2020" s="26" t="s">
        <v>37</v>
      </c>
      <c r="D2020" s="1001">
        <v>40700</v>
      </c>
      <c r="E2020" s="74">
        <v>0.05</v>
      </c>
      <c r="F2020" s="129">
        <f t="shared" si="277"/>
        <v>42735</v>
      </c>
      <c r="G2020" s="130">
        <f t="shared" si="280"/>
        <v>8119.6500000000005</v>
      </c>
      <c r="H2020" s="131">
        <f t="shared" si="278"/>
        <v>50855</v>
      </c>
    </row>
    <row r="2021" spans="1:8" x14ac:dyDescent="0.25">
      <c r="A2021" s="85" t="s">
        <v>4702</v>
      </c>
      <c r="B2021" s="81" t="s">
        <v>7883</v>
      </c>
      <c r="C2021" s="26" t="s">
        <v>37</v>
      </c>
      <c r="D2021" s="1001">
        <v>49500</v>
      </c>
      <c r="E2021" s="74">
        <v>0.05</v>
      </c>
      <c r="F2021" s="129">
        <f t="shared" si="277"/>
        <v>51975</v>
      </c>
      <c r="G2021" s="130">
        <f t="shared" si="280"/>
        <v>9875.25</v>
      </c>
      <c r="H2021" s="131">
        <f t="shared" si="278"/>
        <v>61850</v>
      </c>
    </row>
    <row r="2022" spans="1:8" x14ac:dyDescent="0.25">
      <c r="A2022" s="85" t="s">
        <v>4703</v>
      </c>
      <c r="B2022" s="81" t="s">
        <v>4687</v>
      </c>
      <c r="C2022" s="26" t="s">
        <v>37</v>
      </c>
      <c r="D2022" s="1001">
        <v>97900</v>
      </c>
      <c r="E2022" s="74">
        <v>0.05</v>
      </c>
      <c r="F2022" s="129">
        <f t="shared" si="277"/>
        <v>102795</v>
      </c>
      <c r="G2022" s="130">
        <f t="shared" si="280"/>
        <v>19531.05</v>
      </c>
      <c r="H2022" s="131">
        <f t="shared" si="278"/>
        <v>122326</v>
      </c>
    </row>
    <row r="2023" spans="1:8" x14ac:dyDescent="0.25">
      <c r="A2023" s="85" t="s">
        <v>4704</v>
      </c>
      <c r="B2023" s="81" t="s">
        <v>7360</v>
      </c>
      <c r="C2023" s="26" t="s">
        <v>37</v>
      </c>
      <c r="D2023" s="1001">
        <v>97900</v>
      </c>
      <c r="E2023" s="74">
        <v>0.05</v>
      </c>
      <c r="F2023" s="129">
        <f t="shared" si="277"/>
        <v>102795</v>
      </c>
      <c r="G2023" s="130">
        <f t="shared" si="280"/>
        <v>19531.05</v>
      </c>
      <c r="H2023" s="131">
        <f t="shared" si="278"/>
        <v>122326</v>
      </c>
    </row>
    <row r="2024" spans="1:8" x14ac:dyDescent="0.25">
      <c r="A2024" s="85" t="s">
        <v>4705</v>
      </c>
      <c r="B2024" s="81" t="s">
        <v>4689</v>
      </c>
      <c r="C2024" s="26" t="s">
        <v>37</v>
      </c>
      <c r="D2024" s="1001">
        <v>100100</v>
      </c>
      <c r="E2024" s="74">
        <v>0.05</v>
      </c>
      <c r="F2024" s="129">
        <f t="shared" si="277"/>
        <v>105105</v>
      </c>
      <c r="G2024" s="130">
        <f t="shared" si="280"/>
        <v>19969.95</v>
      </c>
      <c r="H2024" s="131">
        <f t="shared" si="278"/>
        <v>125075</v>
      </c>
    </row>
    <row r="2025" spans="1:8" x14ac:dyDescent="0.25">
      <c r="A2025" s="78" t="s">
        <v>4706</v>
      </c>
      <c r="B2025" s="80" t="s">
        <v>4707</v>
      </c>
      <c r="C2025" s="26"/>
      <c r="D2025" s="1001"/>
      <c r="E2025" s="74"/>
      <c r="F2025" s="129"/>
      <c r="G2025" s="130"/>
      <c r="H2025" s="131"/>
    </row>
    <row r="2026" spans="1:8" x14ac:dyDescent="0.25">
      <c r="A2026" s="85" t="s">
        <v>4715</v>
      </c>
      <c r="B2026" s="81" t="s">
        <v>4708</v>
      </c>
      <c r="C2026" s="26" t="s">
        <v>37</v>
      </c>
      <c r="D2026" s="68">
        <v>298100</v>
      </c>
      <c r="E2026" s="74">
        <v>0.05</v>
      </c>
      <c r="F2026" s="129">
        <f t="shared" si="277"/>
        <v>313005</v>
      </c>
      <c r="G2026" s="130">
        <f t="shared" ref="G2026:G2032" si="281">F2026*0.19</f>
        <v>59470.95</v>
      </c>
      <c r="H2026" s="131">
        <f t="shared" si="278"/>
        <v>372476</v>
      </c>
    </row>
    <row r="2027" spans="1:8" x14ac:dyDescent="0.25">
      <c r="A2027" s="85" t="s">
        <v>4716</v>
      </c>
      <c r="B2027" s="81" t="s">
        <v>4709</v>
      </c>
      <c r="C2027" s="26" t="s">
        <v>37</v>
      </c>
      <c r="D2027" s="68">
        <v>448800</v>
      </c>
      <c r="E2027" s="74">
        <v>0.05</v>
      </c>
      <c r="F2027" s="129">
        <f t="shared" si="277"/>
        <v>471240</v>
      </c>
      <c r="G2027" s="130">
        <f t="shared" si="281"/>
        <v>89535.6</v>
      </c>
      <c r="H2027" s="131">
        <f t="shared" si="278"/>
        <v>560776</v>
      </c>
    </row>
    <row r="2028" spans="1:8" x14ac:dyDescent="0.25">
      <c r="A2028" s="85" t="s">
        <v>4717</v>
      </c>
      <c r="B2028" s="81" t="s">
        <v>4710</v>
      </c>
      <c r="C2028" s="26" t="s">
        <v>37</v>
      </c>
      <c r="D2028" s="68">
        <v>640200</v>
      </c>
      <c r="E2028" s="74">
        <v>0.05</v>
      </c>
      <c r="F2028" s="129">
        <f t="shared" si="277"/>
        <v>672210</v>
      </c>
      <c r="G2028" s="130">
        <f t="shared" si="281"/>
        <v>127719.90000000001</v>
      </c>
      <c r="H2028" s="131">
        <f t="shared" si="278"/>
        <v>799930</v>
      </c>
    </row>
    <row r="2029" spans="1:8" x14ac:dyDescent="0.25">
      <c r="A2029" s="85" t="s">
        <v>4718</v>
      </c>
      <c r="B2029" s="81" t="s">
        <v>7884</v>
      </c>
      <c r="C2029" s="26" t="s">
        <v>37</v>
      </c>
      <c r="D2029" s="68">
        <v>1222100</v>
      </c>
      <c r="E2029" s="74">
        <v>0.05</v>
      </c>
      <c r="F2029" s="129">
        <f t="shared" si="277"/>
        <v>1283205</v>
      </c>
      <c r="G2029" s="130">
        <f t="shared" si="281"/>
        <v>243808.95</v>
      </c>
      <c r="H2029" s="131">
        <f t="shared" si="278"/>
        <v>1527014</v>
      </c>
    </row>
    <row r="2030" spans="1:8" x14ac:dyDescent="0.25">
      <c r="A2030" s="85" t="s">
        <v>4719</v>
      </c>
      <c r="B2030" s="81" t="s">
        <v>4712</v>
      </c>
      <c r="C2030" s="26" t="s">
        <v>37</v>
      </c>
      <c r="D2030" s="68">
        <v>1782000</v>
      </c>
      <c r="E2030" s="74">
        <v>0.05</v>
      </c>
      <c r="F2030" s="129">
        <f t="shared" si="277"/>
        <v>1871100</v>
      </c>
      <c r="G2030" s="130">
        <f t="shared" si="281"/>
        <v>355509</v>
      </c>
      <c r="H2030" s="131">
        <f t="shared" si="278"/>
        <v>2226609</v>
      </c>
    </row>
    <row r="2031" spans="1:8" x14ac:dyDescent="0.25">
      <c r="A2031" s="85" t="s">
        <v>4720</v>
      </c>
      <c r="B2031" s="81" t="s">
        <v>7361</v>
      </c>
      <c r="C2031" s="26" t="s">
        <v>37</v>
      </c>
      <c r="D2031" s="68">
        <v>2401300</v>
      </c>
      <c r="E2031" s="74">
        <v>0.05</v>
      </c>
      <c r="F2031" s="129">
        <f t="shared" si="277"/>
        <v>2521365</v>
      </c>
      <c r="G2031" s="130">
        <f t="shared" si="281"/>
        <v>479059.35</v>
      </c>
      <c r="H2031" s="131">
        <f t="shared" si="278"/>
        <v>3000424</v>
      </c>
    </row>
    <row r="2032" spans="1:8" x14ac:dyDescent="0.25">
      <c r="A2032" s="85" t="s">
        <v>4721</v>
      </c>
      <c r="B2032" s="81" t="s">
        <v>4714</v>
      </c>
      <c r="C2032" s="26" t="s">
        <v>37</v>
      </c>
      <c r="D2032" s="68">
        <v>2935900</v>
      </c>
      <c r="E2032" s="74">
        <v>0.05</v>
      </c>
      <c r="F2032" s="129">
        <f t="shared" si="277"/>
        <v>3082695</v>
      </c>
      <c r="G2032" s="130">
        <f t="shared" si="281"/>
        <v>585712.05000000005</v>
      </c>
      <c r="H2032" s="131">
        <f t="shared" si="278"/>
        <v>3668407</v>
      </c>
    </row>
    <row r="2033" spans="1:8" x14ac:dyDescent="0.25">
      <c r="A2033" s="85"/>
      <c r="B2033" s="81" t="s">
        <v>8059</v>
      </c>
      <c r="C2033" s="26" t="s">
        <v>37</v>
      </c>
      <c r="D2033" s="68">
        <v>5322900</v>
      </c>
      <c r="E2033" s="74">
        <v>0.05</v>
      </c>
      <c r="F2033" s="129">
        <f>+D2033+D2033*E2033</f>
        <v>5589045</v>
      </c>
      <c r="G2033" s="130">
        <f>F2033*0.19</f>
        <v>1061918.55</v>
      </c>
      <c r="H2033" s="131">
        <f>ROUND((F2033+G2033),0)</f>
        <v>6650964</v>
      </c>
    </row>
    <row r="2034" spans="1:8" x14ac:dyDescent="0.25">
      <c r="A2034" s="85"/>
      <c r="B2034" s="81" t="s">
        <v>8060</v>
      </c>
      <c r="C2034" s="26" t="s">
        <v>37</v>
      </c>
      <c r="D2034" s="68">
        <v>8731800</v>
      </c>
      <c r="E2034" s="74">
        <v>0.05</v>
      </c>
      <c r="F2034" s="129">
        <f>+D2034+D2034*E2034</f>
        <v>9168390</v>
      </c>
      <c r="G2034" s="130">
        <f>F2034*0.19</f>
        <v>1741994.1</v>
      </c>
      <c r="H2034" s="131">
        <f>ROUND((F2034+G2034),0)</f>
        <v>10910384</v>
      </c>
    </row>
    <row r="2035" spans="1:8" x14ac:dyDescent="0.25">
      <c r="A2035" s="61" t="s">
        <v>997</v>
      </c>
      <c r="B2035" s="62" t="s">
        <v>998</v>
      </c>
      <c r="C2035" s="63"/>
      <c r="D2035" s="73"/>
      <c r="E2035" s="63"/>
      <c r="F2035" s="63"/>
      <c r="G2035" s="63"/>
      <c r="H2035" s="82"/>
    </row>
    <row r="2036" spans="1:8" x14ac:dyDescent="0.25">
      <c r="A2036" s="44" t="s">
        <v>999</v>
      </c>
      <c r="B2036" s="80" t="s">
        <v>4739</v>
      </c>
      <c r="C2036" s="14"/>
      <c r="D2036" s="73"/>
      <c r="E2036" s="74"/>
      <c r="F2036" s="75"/>
      <c r="G2036" s="76"/>
      <c r="H2036" s="77"/>
    </row>
    <row r="2037" spans="1:8" x14ac:dyDescent="0.25">
      <c r="A2037" s="43" t="s">
        <v>1000</v>
      </c>
      <c r="B2037" s="81" t="s">
        <v>4738</v>
      </c>
      <c r="C2037" s="26" t="s">
        <v>37</v>
      </c>
      <c r="D2037" s="68">
        <v>75951</v>
      </c>
      <c r="E2037" s="74">
        <v>0.05</v>
      </c>
      <c r="F2037" s="129">
        <f t="shared" ref="F2037:F2100" si="282">+D2037+D2037*E2037</f>
        <v>79748.55</v>
      </c>
      <c r="G2037" s="130">
        <f t="shared" ref="G2037:G2084" si="283">F2037*0.19</f>
        <v>15152.2245</v>
      </c>
      <c r="H2037" s="131">
        <f t="shared" ref="H2037:H2100" si="284">ROUND((F2037+G2037),0)</f>
        <v>94901</v>
      </c>
    </row>
    <row r="2038" spans="1:8" x14ac:dyDescent="0.25">
      <c r="A2038" s="43" t="s">
        <v>4745</v>
      </c>
      <c r="B2038" s="81" t="s">
        <v>4740</v>
      </c>
      <c r="C2038" s="26" t="s">
        <v>37</v>
      </c>
      <c r="D2038" s="68">
        <v>102618.24000000001</v>
      </c>
      <c r="E2038" s="74">
        <v>0.05</v>
      </c>
      <c r="F2038" s="129">
        <f t="shared" si="282"/>
        <v>107749.152</v>
      </c>
      <c r="G2038" s="130">
        <f t="shared" si="283"/>
        <v>20472.338879999999</v>
      </c>
      <c r="H2038" s="131">
        <f t="shared" si="284"/>
        <v>128221</v>
      </c>
    </row>
    <row r="2039" spans="1:8" x14ac:dyDescent="0.25">
      <c r="A2039" s="43" t="s">
        <v>4746</v>
      </c>
      <c r="B2039" s="81" t="s">
        <v>4741</v>
      </c>
      <c r="C2039" s="26" t="s">
        <v>37</v>
      </c>
      <c r="D2039" s="68"/>
      <c r="E2039" s="74">
        <v>0.05</v>
      </c>
      <c r="F2039" s="129">
        <f t="shared" si="282"/>
        <v>0</v>
      </c>
      <c r="G2039" s="130">
        <f t="shared" si="283"/>
        <v>0</v>
      </c>
      <c r="H2039" s="131">
        <f t="shared" si="284"/>
        <v>0</v>
      </c>
    </row>
    <row r="2040" spans="1:8" x14ac:dyDescent="0.25">
      <c r="A2040" s="43" t="s">
        <v>4747</v>
      </c>
      <c r="B2040" s="81" t="s">
        <v>4742</v>
      </c>
      <c r="C2040" s="26" t="s">
        <v>37</v>
      </c>
      <c r="D2040" s="68"/>
      <c r="E2040" s="74">
        <v>0.05</v>
      </c>
      <c r="F2040" s="129">
        <f t="shared" si="282"/>
        <v>0</v>
      </c>
      <c r="G2040" s="130">
        <f t="shared" si="283"/>
        <v>0</v>
      </c>
      <c r="H2040" s="131">
        <f t="shared" si="284"/>
        <v>0</v>
      </c>
    </row>
    <row r="2041" spans="1:8" x14ac:dyDescent="0.25">
      <c r="A2041" s="43" t="s">
        <v>4748</v>
      </c>
      <c r="B2041" s="81" t="s">
        <v>4744</v>
      </c>
      <c r="C2041" s="26" t="s">
        <v>37</v>
      </c>
      <c r="D2041" s="68"/>
      <c r="E2041" s="74">
        <v>0.05</v>
      </c>
      <c r="F2041" s="129">
        <f t="shared" si="282"/>
        <v>0</v>
      </c>
      <c r="G2041" s="130">
        <f t="shared" si="283"/>
        <v>0</v>
      </c>
      <c r="H2041" s="131">
        <f t="shared" si="284"/>
        <v>0</v>
      </c>
    </row>
    <row r="2042" spans="1:8" x14ac:dyDescent="0.25">
      <c r="A2042" s="43" t="s">
        <v>4749</v>
      </c>
      <c r="B2042" s="81" t="s">
        <v>4743</v>
      </c>
      <c r="C2042" s="26" t="s">
        <v>37</v>
      </c>
      <c r="D2042" s="68">
        <v>131648.4</v>
      </c>
      <c r="E2042" s="74">
        <v>0.05</v>
      </c>
      <c r="F2042" s="129">
        <f t="shared" si="282"/>
        <v>138230.82</v>
      </c>
      <c r="G2042" s="130">
        <f t="shared" si="283"/>
        <v>26263.855800000001</v>
      </c>
      <c r="H2042" s="131">
        <f t="shared" si="284"/>
        <v>164495</v>
      </c>
    </row>
    <row r="2043" spans="1:8" x14ac:dyDescent="0.25">
      <c r="A2043" s="43" t="s">
        <v>1001</v>
      </c>
      <c r="B2043" s="81" t="s">
        <v>4750</v>
      </c>
      <c r="C2043" s="26" t="s">
        <v>37</v>
      </c>
      <c r="D2043" s="68">
        <v>130804.5</v>
      </c>
      <c r="E2043" s="74">
        <v>0.05</v>
      </c>
      <c r="F2043" s="129">
        <f t="shared" si="282"/>
        <v>137344.72500000001</v>
      </c>
      <c r="G2043" s="130">
        <f t="shared" si="283"/>
        <v>26095.497750000002</v>
      </c>
      <c r="H2043" s="131">
        <f t="shared" si="284"/>
        <v>163440</v>
      </c>
    </row>
    <row r="2044" spans="1:8" x14ac:dyDescent="0.25">
      <c r="A2044" s="43" t="s">
        <v>4777</v>
      </c>
      <c r="B2044" s="81" t="s">
        <v>4751</v>
      </c>
      <c r="C2044" s="26" t="s">
        <v>37</v>
      </c>
      <c r="D2044" s="68">
        <v>166754.63999999998</v>
      </c>
      <c r="E2044" s="74">
        <v>0.05</v>
      </c>
      <c r="F2044" s="129">
        <f t="shared" si="282"/>
        <v>175092.37199999997</v>
      </c>
      <c r="G2044" s="130">
        <f t="shared" si="283"/>
        <v>33267.550679999993</v>
      </c>
      <c r="H2044" s="131">
        <f t="shared" si="284"/>
        <v>208360</v>
      </c>
    </row>
    <row r="2045" spans="1:8" x14ac:dyDescent="0.25">
      <c r="A2045" s="43" t="s">
        <v>4778</v>
      </c>
      <c r="B2045" s="81" t="s">
        <v>4752</v>
      </c>
      <c r="C2045" s="26" t="s">
        <v>37</v>
      </c>
      <c r="D2045" s="68"/>
      <c r="E2045" s="74">
        <v>0.05</v>
      </c>
      <c r="F2045" s="129">
        <f t="shared" si="282"/>
        <v>0</v>
      </c>
      <c r="G2045" s="130">
        <f t="shared" si="283"/>
        <v>0</v>
      </c>
      <c r="H2045" s="131">
        <f t="shared" si="284"/>
        <v>0</v>
      </c>
    </row>
    <row r="2046" spans="1:8" x14ac:dyDescent="0.25">
      <c r="A2046" s="43" t="s">
        <v>4779</v>
      </c>
      <c r="B2046" s="81" t="s">
        <v>4753</v>
      </c>
      <c r="C2046" s="26" t="s">
        <v>37</v>
      </c>
      <c r="D2046" s="68"/>
      <c r="E2046" s="74">
        <v>0.05</v>
      </c>
      <c r="F2046" s="129">
        <f t="shared" si="282"/>
        <v>0</v>
      </c>
      <c r="G2046" s="130">
        <f t="shared" si="283"/>
        <v>0</v>
      </c>
      <c r="H2046" s="131">
        <f t="shared" si="284"/>
        <v>0</v>
      </c>
    </row>
    <row r="2047" spans="1:8" x14ac:dyDescent="0.25">
      <c r="A2047" s="43" t="s">
        <v>4780</v>
      </c>
      <c r="B2047" s="81" t="s">
        <v>4754</v>
      </c>
      <c r="C2047" s="26" t="s">
        <v>37</v>
      </c>
      <c r="D2047" s="68"/>
      <c r="E2047" s="74">
        <v>0.05</v>
      </c>
      <c r="F2047" s="129">
        <f t="shared" si="282"/>
        <v>0</v>
      </c>
      <c r="G2047" s="130">
        <f t="shared" si="283"/>
        <v>0</v>
      </c>
      <c r="H2047" s="131">
        <f t="shared" si="284"/>
        <v>0</v>
      </c>
    </row>
    <row r="2048" spans="1:8" x14ac:dyDescent="0.25">
      <c r="A2048" s="43" t="s">
        <v>4781</v>
      </c>
      <c r="B2048" s="81" t="s">
        <v>4755</v>
      </c>
      <c r="C2048" s="26" t="s">
        <v>37</v>
      </c>
      <c r="D2048" s="68">
        <v>206249.16</v>
      </c>
      <c r="E2048" s="74">
        <v>0.05</v>
      </c>
      <c r="F2048" s="129">
        <f t="shared" si="282"/>
        <v>216561.61800000002</v>
      </c>
      <c r="G2048" s="130">
        <f t="shared" si="283"/>
        <v>41146.707420000006</v>
      </c>
      <c r="H2048" s="131">
        <f t="shared" si="284"/>
        <v>257708</v>
      </c>
    </row>
    <row r="2049" spans="1:8" x14ac:dyDescent="0.25">
      <c r="A2049" s="43" t="s">
        <v>1002</v>
      </c>
      <c r="B2049" s="81" t="s">
        <v>4756</v>
      </c>
      <c r="C2049" s="26" t="s">
        <v>37</v>
      </c>
      <c r="D2049" s="68">
        <v>168780</v>
      </c>
      <c r="E2049" s="74">
        <v>0.05</v>
      </c>
      <c r="F2049" s="129">
        <f t="shared" si="282"/>
        <v>177219</v>
      </c>
      <c r="G2049" s="130">
        <f t="shared" si="283"/>
        <v>33671.61</v>
      </c>
      <c r="H2049" s="131">
        <f t="shared" si="284"/>
        <v>210891</v>
      </c>
    </row>
    <row r="2050" spans="1:8" x14ac:dyDescent="0.25">
      <c r="A2050" s="43" t="s">
        <v>1003</v>
      </c>
      <c r="B2050" s="81" t="s">
        <v>4757</v>
      </c>
      <c r="C2050" s="26" t="s">
        <v>37</v>
      </c>
      <c r="D2050" s="68">
        <v>222339.52</v>
      </c>
      <c r="E2050" s="74">
        <v>0.05</v>
      </c>
      <c r="F2050" s="129">
        <f t="shared" si="282"/>
        <v>233456.49599999998</v>
      </c>
      <c r="G2050" s="130">
        <f t="shared" si="283"/>
        <v>44356.734239999998</v>
      </c>
      <c r="H2050" s="131">
        <f t="shared" si="284"/>
        <v>277813</v>
      </c>
    </row>
    <row r="2051" spans="1:8" x14ac:dyDescent="0.25">
      <c r="A2051" s="43" t="s">
        <v>4782</v>
      </c>
      <c r="B2051" s="81" t="s">
        <v>4758</v>
      </c>
      <c r="C2051" s="26" t="s">
        <v>37</v>
      </c>
      <c r="D2051" s="68"/>
      <c r="E2051" s="74">
        <v>0.05</v>
      </c>
      <c r="F2051" s="129">
        <f t="shared" si="282"/>
        <v>0</v>
      </c>
      <c r="G2051" s="130">
        <f t="shared" si="283"/>
        <v>0</v>
      </c>
      <c r="H2051" s="131">
        <f t="shared" si="284"/>
        <v>0</v>
      </c>
    </row>
    <row r="2052" spans="1:8" x14ac:dyDescent="0.25">
      <c r="A2052" s="43" t="s">
        <v>4783</v>
      </c>
      <c r="B2052" s="81" t="s">
        <v>4759</v>
      </c>
      <c r="C2052" s="26" t="s">
        <v>37</v>
      </c>
      <c r="D2052" s="68"/>
      <c r="E2052" s="74">
        <v>0.05</v>
      </c>
      <c r="F2052" s="129">
        <f t="shared" si="282"/>
        <v>0</v>
      </c>
      <c r="G2052" s="130">
        <f t="shared" si="283"/>
        <v>0</v>
      </c>
      <c r="H2052" s="131">
        <f t="shared" si="284"/>
        <v>0</v>
      </c>
    </row>
    <row r="2053" spans="1:8" x14ac:dyDescent="0.25">
      <c r="A2053" s="43" t="s">
        <v>4784</v>
      </c>
      <c r="B2053" s="81" t="s">
        <v>4760</v>
      </c>
      <c r="C2053" s="26" t="s">
        <v>37</v>
      </c>
      <c r="D2053" s="68"/>
      <c r="E2053" s="74">
        <v>0.05</v>
      </c>
      <c r="F2053" s="129">
        <f t="shared" si="282"/>
        <v>0</v>
      </c>
      <c r="G2053" s="130">
        <f t="shared" si="283"/>
        <v>0</v>
      </c>
      <c r="H2053" s="131">
        <f t="shared" si="284"/>
        <v>0</v>
      </c>
    </row>
    <row r="2054" spans="1:8" x14ac:dyDescent="0.25">
      <c r="A2054" s="43" t="s">
        <v>4785</v>
      </c>
      <c r="B2054" s="81" t="s">
        <v>4761</v>
      </c>
      <c r="C2054" s="26" t="s">
        <v>37</v>
      </c>
      <c r="D2054" s="68">
        <v>280849.91999999998</v>
      </c>
      <c r="E2054" s="74">
        <v>0.05</v>
      </c>
      <c r="F2054" s="129">
        <f t="shared" si="282"/>
        <v>294892.41599999997</v>
      </c>
      <c r="G2054" s="130">
        <f t="shared" si="283"/>
        <v>56029.559039999993</v>
      </c>
      <c r="H2054" s="131">
        <f t="shared" si="284"/>
        <v>350922</v>
      </c>
    </row>
    <row r="2055" spans="1:8" x14ac:dyDescent="0.25">
      <c r="A2055" s="43" t="s">
        <v>4786</v>
      </c>
      <c r="B2055" s="81" t="s">
        <v>7885</v>
      </c>
      <c r="C2055" s="26" t="s">
        <v>37</v>
      </c>
      <c r="D2055" s="68">
        <v>303804</v>
      </c>
      <c r="E2055" s="74">
        <v>0.05</v>
      </c>
      <c r="F2055" s="129">
        <f t="shared" si="282"/>
        <v>318994.2</v>
      </c>
      <c r="G2055" s="130">
        <f t="shared" si="283"/>
        <v>60608.898000000001</v>
      </c>
      <c r="H2055" s="131">
        <f t="shared" si="284"/>
        <v>379603</v>
      </c>
    </row>
    <row r="2056" spans="1:8" x14ac:dyDescent="0.25">
      <c r="A2056" s="43" t="s">
        <v>4787</v>
      </c>
      <c r="B2056" s="81" t="s">
        <v>7886</v>
      </c>
      <c r="C2056" s="26" t="s">
        <v>37</v>
      </c>
      <c r="D2056" s="68">
        <v>376266.88</v>
      </c>
      <c r="E2056" s="74">
        <v>0.05</v>
      </c>
      <c r="F2056" s="129">
        <f t="shared" si="282"/>
        <v>395080.22399999999</v>
      </c>
      <c r="G2056" s="130">
        <f t="shared" si="283"/>
        <v>75065.242559999999</v>
      </c>
      <c r="H2056" s="131">
        <f t="shared" si="284"/>
        <v>470145</v>
      </c>
    </row>
    <row r="2057" spans="1:8" x14ac:dyDescent="0.25">
      <c r="A2057" s="43" t="s">
        <v>4788</v>
      </c>
      <c r="B2057" s="81" t="s">
        <v>7887</v>
      </c>
      <c r="C2057" s="26" t="s">
        <v>37</v>
      </c>
      <c r="D2057" s="68"/>
      <c r="E2057" s="74">
        <v>0.05</v>
      </c>
      <c r="F2057" s="129">
        <f t="shared" si="282"/>
        <v>0</v>
      </c>
      <c r="G2057" s="130">
        <f t="shared" si="283"/>
        <v>0</v>
      </c>
      <c r="H2057" s="131">
        <f t="shared" si="284"/>
        <v>0</v>
      </c>
    </row>
    <row r="2058" spans="1:8" x14ac:dyDescent="0.25">
      <c r="A2058" s="43" t="s">
        <v>4789</v>
      </c>
      <c r="B2058" s="81" t="s">
        <v>7888</v>
      </c>
      <c r="C2058" s="26" t="s">
        <v>37</v>
      </c>
      <c r="D2058" s="68"/>
      <c r="E2058" s="74">
        <v>0.05</v>
      </c>
      <c r="F2058" s="129">
        <f t="shared" si="282"/>
        <v>0</v>
      </c>
      <c r="G2058" s="130">
        <f t="shared" si="283"/>
        <v>0</v>
      </c>
      <c r="H2058" s="131">
        <f t="shared" si="284"/>
        <v>0</v>
      </c>
    </row>
    <row r="2059" spans="1:8" x14ac:dyDescent="0.25">
      <c r="A2059" s="43" t="s">
        <v>4790</v>
      </c>
      <c r="B2059" s="81" t="s">
        <v>7889</v>
      </c>
      <c r="C2059" s="26" t="s">
        <v>37</v>
      </c>
      <c r="D2059" s="68"/>
      <c r="E2059" s="74">
        <v>0.05</v>
      </c>
      <c r="F2059" s="129">
        <f t="shared" si="282"/>
        <v>0</v>
      </c>
      <c r="G2059" s="130">
        <f t="shared" si="283"/>
        <v>0</v>
      </c>
      <c r="H2059" s="131">
        <f t="shared" si="284"/>
        <v>0</v>
      </c>
    </row>
    <row r="2060" spans="1:8" x14ac:dyDescent="0.25">
      <c r="A2060" s="43" t="s">
        <v>4791</v>
      </c>
      <c r="B2060" s="81" t="s">
        <v>7890</v>
      </c>
      <c r="C2060" s="26" t="s">
        <v>37</v>
      </c>
      <c r="D2060" s="68">
        <v>456381.12</v>
      </c>
      <c r="E2060" s="74">
        <v>0.05</v>
      </c>
      <c r="F2060" s="129">
        <f t="shared" si="282"/>
        <v>479200.17599999998</v>
      </c>
      <c r="G2060" s="130">
        <f t="shared" si="283"/>
        <v>91048.033439999999</v>
      </c>
      <c r="H2060" s="131">
        <f t="shared" si="284"/>
        <v>570248</v>
      </c>
    </row>
    <row r="2061" spans="1:8" x14ac:dyDescent="0.25">
      <c r="A2061" s="43" t="s">
        <v>1004</v>
      </c>
      <c r="B2061" s="81" t="s">
        <v>4768</v>
      </c>
      <c r="C2061" s="26" t="s">
        <v>37</v>
      </c>
      <c r="D2061" s="68">
        <v>392413.5</v>
      </c>
      <c r="E2061" s="74">
        <v>0.05</v>
      </c>
      <c r="F2061" s="129">
        <f t="shared" si="282"/>
        <v>412034.17499999999</v>
      </c>
      <c r="G2061" s="130">
        <f t="shared" si="283"/>
        <v>78286.49325</v>
      </c>
      <c r="H2061" s="131">
        <f t="shared" si="284"/>
        <v>490321</v>
      </c>
    </row>
    <row r="2062" spans="1:8" x14ac:dyDescent="0.25">
      <c r="A2062" s="43" t="s">
        <v>4792</v>
      </c>
      <c r="B2062" s="81" t="s">
        <v>4769</v>
      </c>
      <c r="C2062" s="26" t="s">
        <v>37</v>
      </c>
      <c r="D2062" s="68">
        <v>491712.39999999997</v>
      </c>
      <c r="E2062" s="74">
        <v>0.05</v>
      </c>
      <c r="F2062" s="129">
        <f t="shared" si="282"/>
        <v>516298.01999999996</v>
      </c>
      <c r="G2062" s="130">
        <f t="shared" si="283"/>
        <v>98096.623799999987</v>
      </c>
      <c r="H2062" s="131">
        <f t="shared" si="284"/>
        <v>614395</v>
      </c>
    </row>
    <row r="2063" spans="1:8" x14ac:dyDescent="0.25">
      <c r="A2063" s="43" t="s">
        <v>4793</v>
      </c>
      <c r="B2063" s="81" t="s">
        <v>4770</v>
      </c>
      <c r="C2063" s="26" t="s">
        <v>37</v>
      </c>
      <c r="D2063" s="68">
        <v>601194.36</v>
      </c>
      <c r="E2063" s="74">
        <v>0.05</v>
      </c>
      <c r="F2063" s="129">
        <f t="shared" si="282"/>
        <v>631254.07799999998</v>
      </c>
      <c r="G2063" s="130">
        <f t="shared" si="283"/>
        <v>119938.27481999999</v>
      </c>
      <c r="H2063" s="131">
        <f t="shared" si="284"/>
        <v>751192</v>
      </c>
    </row>
    <row r="2064" spans="1:8" x14ac:dyDescent="0.25">
      <c r="A2064" s="43" t="s">
        <v>4794</v>
      </c>
      <c r="B2064" s="81" t="s">
        <v>7362</v>
      </c>
      <c r="C2064" s="26" t="s">
        <v>37</v>
      </c>
      <c r="D2064" s="68">
        <v>523218</v>
      </c>
      <c r="E2064" s="74">
        <v>0.05</v>
      </c>
      <c r="F2064" s="129">
        <f t="shared" si="282"/>
        <v>549378.9</v>
      </c>
      <c r="G2064" s="130">
        <f t="shared" si="283"/>
        <v>104381.99100000001</v>
      </c>
      <c r="H2064" s="131">
        <f t="shared" si="284"/>
        <v>653761</v>
      </c>
    </row>
    <row r="2065" spans="1:8" x14ac:dyDescent="0.25">
      <c r="A2065" s="43" t="s">
        <v>4795</v>
      </c>
      <c r="B2065" s="81" t="s">
        <v>7363</v>
      </c>
      <c r="C2065" s="26" t="s">
        <v>37</v>
      </c>
      <c r="D2065" s="68">
        <v>658467.04</v>
      </c>
      <c r="E2065" s="74">
        <v>0.05</v>
      </c>
      <c r="F2065" s="129">
        <f t="shared" si="282"/>
        <v>691390.39199999999</v>
      </c>
      <c r="G2065" s="130">
        <f t="shared" si="283"/>
        <v>131364.17447999999</v>
      </c>
      <c r="H2065" s="131">
        <f t="shared" si="284"/>
        <v>822755</v>
      </c>
    </row>
    <row r="2066" spans="1:8" x14ac:dyDescent="0.25">
      <c r="A2066" s="43" t="s">
        <v>4796</v>
      </c>
      <c r="B2066" s="81" t="s">
        <v>7364</v>
      </c>
      <c r="C2066" s="26" t="s">
        <v>37</v>
      </c>
      <c r="D2066" s="68">
        <v>807443.52</v>
      </c>
      <c r="E2066" s="74">
        <v>0.05</v>
      </c>
      <c r="F2066" s="129">
        <f t="shared" si="282"/>
        <v>847815.696</v>
      </c>
      <c r="G2066" s="130">
        <f t="shared" si="283"/>
        <v>161084.98224000001</v>
      </c>
      <c r="H2066" s="131">
        <f t="shared" si="284"/>
        <v>1008901</v>
      </c>
    </row>
    <row r="2067" spans="1:8" x14ac:dyDescent="0.25">
      <c r="A2067" s="43" t="s">
        <v>1005</v>
      </c>
      <c r="B2067" s="81" t="s">
        <v>4775</v>
      </c>
      <c r="C2067" s="26" t="s">
        <v>37</v>
      </c>
      <c r="D2067" s="68">
        <v>700437</v>
      </c>
      <c r="E2067" s="74">
        <v>0.05</v>
      </c>
      <c r="F2067" s="129">
        <f t="shared" si="282"/>
        <v>735458.85</v>
      </c>
      <c r="G2067" s="130">
        <f t="shared" si="283"/>
        <v>139737.18150000001</v>
      </c>
      <c r="H2067" s="131">
        <f t="shared" si="284"/>
        <v>875196</v>
      </c>
    </row>
    <row r="2068" spans="1:8" x14ac:dyDescent="0.25">
      <c r="A2068" s="43" t="s">
        <v>4797</v>
      </c>
      <c r="B2068" s="81" t="s">
        <v>4776</v>
      </c>
      <c r="C2068" s="26" t="s">
        <v>37</v>
      </c>
      <c r="D2068" s="68">
        <v>889358.08</v>
      </c>
      <c r="E2068" s="74">
        <v>0.05</v>
      </c>
      <c r="F2068" s="129">
        <f t="shared" si="282"/>
        <v>933825.98399999994</v>
      </c>
      <c r="G2068" s="130">
        <f t="shared" si="283"/>
        <v>177426.93695999999</v>
      </c>
      <c r="H2068" s="131">
        <f t="shared" si="284"/>
        <v>1111253</v>
      </c>
    </row>
    <row r="2069" spans="1:8" x14ac:dyDescent="0.25">
      <c r="A2069" s="43" t="s">
        <v>4798</v>
      </c>
      <c r="B2069" s="81" t="s">
        <v>4773</v>
      </c>
      <c r="C2069" s="26" t="s">
        <v>37</v>
      </c>
      <c r="D2069" s="68">
        <v>1097070</v>
      </c>
      <c r="E2069" s="74">
        <v>0.05</v>
      </c>
      <c r="F2069" s="129">
        <f t="shared" si="282"/>
        <v>1151923.5</v>
      </c>
      <c r="G2069" s="130">
        <f t="shared" si="283"/>
        <v>218865.465</v>
      </c>
      <c r="H2069" s="131">
        <f t="shared" si="284"/>
        <v>1370789</v>
      </c>
    </row>
    <row r="2070" spans="1:8" x14ac:dyDescent="0.25">
      <c r="A2070" s="43" t="s">
        <v>4814</v>
      </c>
      <c r="B2070" s="81" t="s">
        <v>7535</v>
      </c>
      <c r="C2070" s="26" t="s">
        <v>37</v>
      </c>
      <c r="D2070" s="68">
        <v>852339</v>
      </c>
      <c r="E2070" s="74">
        <v>0.05</v>
      </c>
      <c r="F2070" s="129">
        <f t="shared" si="282"/>
        <v>894955.95</v>
      </c>
      <c r="G2070" s="130">
        <f t="shared" si="283"/>
        <v>170041.6305</v>
      </c>
      <c r="H2070" s="131">
        <f t="shared" si="284"/>
        <v>1064998</v>
      </c>
    </row>
    <row r="2071" spans="1:8" x14ac:dyDescent="0.25">
      <c r="A2071" s="43" t="s">
        <v>4815</v>
      </c>
      <c r="B2071" s="81" t="s">
        <v>7536</v>
      </c>
      <c r="C2071" s="26" t="s">
        <v>37</v>
      </c>
      <c r="D2071" s="68">
        <v>1094594.5600000001</v>
      </c>
      <c r="E2071" s="74">
        <v>0.05</v>
      </c>
      <c r="F2071" s="129">
        <f t="shared" si="282"/>
        <v>1149324.2880000002</v>
      </c>
      <c r="G2071" s="130">
        <f t="shared" si="283"/>
        <v>218371.61472000004</v>
      </c>
      <c r="H2071" s="131">
        <f t="shared" si="284"/>
        <v>1367696</v>
      </c>
    </row>
    <row r="2072" spans="1:8" x14ac:dyDescent="0.25">
      <c r="A2072" s="43" t="s">
        <v>4816</v>
      </c>
      <c r="B2072" s="81" t="s">
        <v>7537</v>
      </c>
      <c r="C2072" s="26" t="s">
        <v>37</v>
      </c>
      <c r="D2072" s="68">
        <v>1360366.8</v>
      </c>
      <c r="E2072" s="74">
        <v>0.05</v>
      </c>
      <c r="F2072" s="129">
        <f t="shared" si="282"/>
        <v>1428385.1400000001</v>
      </c>
      <c r="G2072" s="130">
        <f t="shared" si="283"/>
        <v>271393.17660000001</v>
      </c>
      <c r="H2072" s="131">
        <f t="shared" si="284"/>
        <v>1699778</v>
      </c>
    </row>
    <row r="2073" spans="1:8" x14ac:dyDescent="0.25">
      <c r="A2073" s="43" t="s">
        <v>1006</v>
      </c>
      <c r="B2073" s="81" t="s">
        <v>7690</v>
      </c>
      <c r="C2073" s="26" t="s">
        <v>37</v>
      </c>
      <c r="D2073" s="68">
        <v>1139265</v>
      </c>
      <c r="E2073" s="74">
        <v>0.05</v>
      </c>
      <c r="F2073" s="129">
        <f t="shared" si="282"/>
        <v>1196228.25</v>
      </c>
      <c r="G2073" s="130">
        <f t="shared" si="283"/>
        <v>227283.36749999999</v>
      </c>
      <c r="H2073" s="131">
        <f t="shared" si="284"/>
        <v>1423512</v>
      </c>
    </row>
    <row r="2074" spans="1:8" x14ac:dyDescent="0.25">
      <c r="A2074" s="43" t="s">
        <v>4817</v>
      </c>
      <c r="B2074" s="81" t="s">
        <v>7691</v>
      </c>
      <c r="C2074" s="26" t="s">
        <v>37</v>
      </c>
      <c r="D2074" s="68">
        <v>1445206.88</v>
      </c>
      <c r="E2074" s="74">
        <v>0.05</v>
      </c>
      <c r="F2074" s="129">
        <f t="shared" si="282"/>
        <v>1517467.2239999999</v>
      </c>
      <c r="G2074" s="130">
        <f t="shared" si="283"/>
        <v>288318.77256000001</v>
      </c>
      <c r="H2074" s="131">
        <f t="shared" si="284"/>
        <v>1805786</v>
      </c>
    </row>
    <row r="2075" spans="1:8" x14ac:dyDescent="0.25">
      <c r="A2075" s="43" t="s">
        <v>4818</v>
      </c>
      <c r="B2075" s="81" t="s">
        <v>7692</v>
      </c>
      <c r="C2075" s="26" t="s">
        <v>37</v>
      </c>
      <c r="D2075" s="68">
        <v>1781641.68</v>
      </c>
      <c r="E2075" s="74">
        <v>0.05</v>
      </c>
      <c r="F2075" s="129">
        <f t="shared" si="282"/>
        <v>1870723.764</v>
      </c>
      <c r="G2075" s="130">
        <f t="shared" si="283"/>
        <v>355437.51516000001</v>
      </c>
      <c r="H2075" s="131">
        <f t="shared" si="284"/>
        <v>2226161</v>
      </c>
    </row>
    <row r="2076" spans="1:8" x14ac:dyDescent="0.25">
      <c r="A2076" s="43" t="s">
        <v>4819</v>
      </c>
      <c r="B2076" s="81" t="s">
        <v>4805</v>
      </c>
      <c r="C2076" s="26" t="s">
        <v>37</v>
      </c>
      <c r="D2076" s="68">
        <v>1354459.5</v>
      </c>
      <c r="E2076" s="74">
        <v>0.05</v>
      </c>
      <c r="F2076" s="129">
        <f t="shared" si="282"/>
        <v>1422182.4750000001</v>
      </c>
      <c r="G2076" s="130">
        <f t="shared" si="283"/>
        <v>270214.67025000002</v>
      </c>
      <c r="H2076" s="131">
        <f t="shared" si="284"/>
        <v>1692397</v>
      </c>
    </row>
    <row r="2077" spans="1:8" x14ac:dyDescent="0.25">
      <c r="A2077" s="43" t="s">
        <v>4820</v>
      </c>
      <c r="B2077" s="81" t="s">
        <v>4806</v>
      </c>
      <c r="C2077" s="26" t="s">
        <v>37</v>
      </c>
      <c r="D2077" s="68">
        <v>1688925.2</v>
      </c>
      <c r="E2077" s="74">
        <v>0.05</v>
      </c>
      <c r="F2077" s="129">
        <f t="shared" si="282"/>
        <v>1773371.46</v>
      </c>
      <c r="G2077" s="130">
        <f t="shared" si="283"/>
        <v>336940.57740000001</v>
      </c>
      <c r="H2077" s="131">
        <f t="shared" si="284"/>
        <v>2110312</v>
      </c>
    </row>
    <row r="2078" spans="1:8" x14ac:dyDescent="0.25">
      <c r="A2078" s="43" t="s">
        <v>4821</v>
      </c>
      <c r="B2078" s="81" t="s">
        <v>4807</v>
      </c>
      <c r="C2078" s="26" t="s">
        <v>37</v>
      </c>
      <c r="D2078" s="68">
        <v>2058103.32</v>
      </c>
      <c r="E2078" s="74">
        <v>0.05</v>
      </c>
      <c r="F2078" s="129">
        <f t="shared" si="282"/>
        <v>2161008.486</v>
      </c>
      <c r="G2078" s="130">
        <f t="shared" si="283"/>
        <v>410591.61233999999</v>
      </c>
      <c r="H2078" s="131">
        <f t="shared" si="284"/>
        <v>2571600</v>
      </c>
    </row>
    <row r="2079" spans="1:8" x14ac:dyDescent="0.25">
      <c r="A2079" s="43" t="s">
        <v>4822</v>
      </c>
      <c r="B2079" s="81" t="s">
        <v>4808</v>
      </c>
      <c r="C2079" s="26" t="s">
        <v>37</v>
      </c>
      <c r="D2079" s="68">
        <v>1679361</v>
      </c>
      <c r="E2079" s="74">
        <v>0.05</v>
      </c>
      <c r="F2079" s="129">
        <f t="shared" si="282"/>
        <v>1763329.05</v>
      </c>
      <c r="G2079" s="130">
        <f t="shared" si="283"/>
        <v>335032.51949999999</v>
      </c>
      <c r="H2079" s="131">
        <f t="shared" si="284"/>
        <v>2098362</v>
      </c>
    </row>
    <row r="2080" spans="1:8" x14ac:dyDescent="0.25">
      <c r="A2080" s="43" t="s">
        <v>4823</v>
      </c>
      <c r="B2080" s="81" t="s">
        <v>4809</v>
      </c>
      <c r="C2080" s="26" t="s">
        <v>37</v>
      </c>
      <c r="D2080" s="68">
        <v>2103673.92</v>
      </c>
      <c r="E2080" s="74">
        <v>0.05</v>
      </c>
      <c r="F2080" s="129">
        <f t="shared" si="282"/>
        <v>2208857.6159999999</v>
      </c>
      <c r="G2080" s="130">
        <f t="shared" si="283"/>
        <v>419682.94704</v>
      </c>
      <c r="H2080" s="131">
        <f t="shared" si="284"/>
        <v>2628541</v>
      </c>
    </row>
    <row r="2081" spans="1:8" x14ac:dyDescent="0.25">
      <c r="A2081" s="43" t="s">
        <v>4824</v>
      </c>
      <c r="B2081" s="81" t="s">
        <v>4810</v>
      </c>
      <c r="C2081" s="26" t="s">
        <v>37</v>
      </c>
      <c r="D2081" s="68">
        <v>2571532.08</v>
      </c>
      <c r="E2081" s="74">
        <v>0.05</v>
      </c>
      <c r="F2081" s="129">
        <f t="shared" si="282"/>
        <v>2700108.6839999999</v>
      </c>
      <c r="G2081" s="130">
        <f t="shared" si="283"/>
        <v>513020.64996000001</v>
      </c>
      <c r="H2081" s="131">
        <f t="shared" si="284"/>
        <v>3213129</v>
      </c>
    </row>
    <row r="2082" spans="1:8" x14ac:dyDescent="0.25">
      <c r="A2082" s="43" t="s">
        <v>4825</v>
      </c>
      <c r="B2082" s="81" t="s">
        <v>4811</v>
      </c>
      <c r="C2082" s="26" t="s">
        <v>37</v>
      </c>
      <c r="D2082" s="68">
        <v>1924092</v>
      </c>
      <c r="E2082" s="74">
        <v>0.05</v>
      </c>
      <c r="F2082" s="129">
        <f t="shared" si="282"/>
        <v>2020296.6</v>
      </c>
      <c r="G2082" s="130">
        <f t="shared" si="283"/>
        <v>383856.35400000005</v>
      </c>
      <c r="H2082" s="131">
        <f t="shared" si="284"/>
        <v>2404153</v>
      </c>
    </row>
    <row r="2083" spans="1:8" x14ac:dyDescent="0.25">
      <c r="A2083" s="43" t="s">
        <v>4826</v>
      </c>
      <c r="B2083" s="81" t="s">
        <v>4812</v>
      </c>
      <c r="C2083" s="26" t="s">
        <v>37</v>
      </c>
      <c r="D2083" s="68">
        <v>2497066.344</v>
      </c>
      <c r="E2083" s="74">
        <v>0.05</v>
      </c>
      <c r="F2083" s="129">
        <f t="shared" si="282"/>
        <v>2621919.6612</v>
      </c>
      <c r="G2083" s="130">
        <f t="shared" si="283"/>
        <v>498164.73562799999</v>
      </c>
      <c r="H2083" s="131">
        <f t="shared" si="284"/>
        <v>3120084</v>
      </c>
    </row>
    <row r="2084" spans="1:8" x14ac:dyDescent="0.25">
      <c r="A2084" s="43" t="s">
        <v>4827</v>
      </c>
      <c r="B2084" s="81" t="s">
        <v>4813</v>
      </c>
      <c r="C2084" s="26" t="s">
        <v>37</v>
      </c>
      <c r="D2084" s="68">
        <v>3124455.36</v>
      </c>
      <c r="E2084" s="74">
        <v>0.05</v>
      </c>
      <c r="F2084" s="129">
        <f t="shared" si="282"/>
        <v>3280678.128</v>
      </c>
      <c r="G2084" s="130">
        <f t="shared" si="283"/>
        <v>623328.84432000003</v>
      </c>
      <c r="H2084" s="131">
        <f t="shared" si="284"/>
        <v>3904007</v>
      </c>
    </row>
    <row r="2085" spans="1:8" x14ac:dyDescent="0.25">
      <c r="A2085" s="44" t="s">
        <v>1007</v>
      </c>
      <c r="B2085" s="80" t="s">
        <v>4828</v>
      </c>
      <c r="C2085" s="26"/>
      <c r="D2085" s="68"/>
      <c r="E2085" s="74"/>
      <c r="F2085" s="129"/>
      <c r="G2085" s="130"/>
      <c r="H2085" s="131"/>
    </row>
    <row r="2086" spans="1:8" x14ac:dyDescent="0.25">
      <c r="A2086" s="43" t="s">
        <v>4877</v>
      </c>
      <c r="B2086" s="81" t="s">
        <v>4829</v>
      </c>
      <c r="C2086" s="26" t="s">
        <v>37</v>
      </c>
      <c r="D2086" s="68">
        <v>135024</v>
      </c>
      <c r="E2086" s="74">
        <v>0.05</v>
      </c>
      <c r="F2086" s="129">
        <f t="shared" si="282"/>
        <v>141775.20000000001</v>
      </c>
      <c r="G2086" s="130">
        <f t="shared" ref="G2086:G2133" si="285">F2086*0.19</f>
        <v>26937.288000000004</v>
      </c>
      <c r="H2086" s="131">
        <f t="shared" si="284"/>
        <v>168712</v>
      </c>
    </row>
    <row r="2087" spans="1:8" x14ac:dyDescent="0.25">
      <c r="A2087" s="43" t="s">
        <v>4878</v>
      </c>
      <c r="B2087" s="81" t="s">
        <v>4830</v>
      </c>
      <c r="C2087" s="26" t="s">
        <v>37</v>
      </c>
      <c r="D2087" s="68">
        <v>162478.88</v>
      </c>
      <c r="E2087" s="74">
        <v>0.05</v>
      </c>
      <c r="F2087" s="129">
        <f t="shared" si="282"/>
        <v>170602.82399999999</v>
      </c>
      <c r="G2087" s="130">
        <f t="shared" si="285"/>
        <v>32414.53656</v>
      </c>
      <c r="H2087" s="131">
        <f t="shared" si="284"/>
        <v>203017</v>
      </c>
    </row>
    <row r="2088" spans="1:8" x14ac:dyDescent="0.25">
      <c r="A2088" s="43" t="s">
        <v>1008</v>
      </c>
      <c r="B2088" s="81" t="s">
        <v>4831</v>
      </c>
      <c r="C2088" s="26" t="s">
        <v>37</v>
      </c>
      <c r="D2088" s="68"/>
      <c r="E2088" s="74">
        <v>0.05</v>
      </c>
      <c r="F2088" s="129">
        <f t="shared" si="282"/>
        <v>0</v>
      </c>
      <c r="G2088" s="130">
        <f t="shared" si="285"/>
        <v>0</v>
      </c>
      <c r="H2088" s="131">
        <f t="shared" si="284"/>
        <v>0</v>
      </c>
    </row>
    <row r="2089" spans="1:8" x14ac:dyDescent="0.25">
      <c r="A2089" s="43" t="s">
        <v>1009</v>
      </c>
      <c r="B2089" s="81" t="s">
        <v>4832</v>
      </c>
      <c r="C2089" s="26" t="s">
        <v>37</v>
      </c>
      <c r="D2089" s="68"/>
      <c r="E2089" s="74">
        <v>0.05</v>
      </c>
      <c r="F2089" s="129">
        <f t="shared" si="282"/>
        <v>0</v>
      </c>
      <c r="G2089" s="130">
        <f t="shared" si="285"/>
        <v>0</v>
      </c>
      <c r="H2089" s="131">
        <f t="shared" si="284"/>
        <v>0</v>
      </c>
    </row>
    <row r="2090" spans="1:8" x14ac:dyDescent="0.25">
      <c r="A2090" s="43" t="s">
        <v>4879</v>
      </c>
      <c r="B2090" s="81" t="s">
        <v>4833</v>
      </c>
      <c r="C2090" s="26" t="s">
        <v>37</v>
      </c>
      <c r="D2090" s="68"/>
      <c r="E2090" s="74">
        <v>0.05</v>
      </c>
      <c r="F2090" s="129">
        <f t="shared" si="282"/>
        <v>0</v>
      </c>
      <c r="G2090" s="130">
        <f t="shared" si="285"/>
        <v>0</v>
      </c>
      <c r="H2090" s="131">
        <f t="shared" si="284"/>
        <v>0</v>
      </c>
    </row>
    <row r="2091" spans="1:8" x14ac:dyDescent="0.25">
      <c r="A2091" s="43" t="s">
        <v>4880</v>
      </c>
      <c r="B2091" s="81" t="s">
        <v>4849</v>
      </c>
      <c r="C2091" s="26" t="s">
        <v>37</v>
      </c>
      <c r="D2091" s="68">
        <v>193084.32</v>
      </c>
      <c r="E2091" s="74">
        <v>0.05</v>
      </c>
      <c r="F2091" s="129">
        <f t="shared" si="282"/>
        <v>202738.53600000002</v>
      </c>
      <c r="G2091" s="130">
        <f t="shared" si="285"/>
        <v>38520.321840000004</v>
      </c>
      <c r="H2091" s="131">
        <f t="shared" si="284"/>
        <v>241259</v>
      </c>
    </row>
    <row r="2092" spans="1:8" x14ac:dyDescent="0.25">
      <c r="A2092" s="43" t="s">
        <v>4881</v>
      </c>
      <c r="B2092" s="81" t="s">
        <v>4834</v>
      </c>
      <c r="C2092" s="26" t="s">
        <v>37</v>
      </c>
      <c r="D2092" s="68">
        <v>244731</v>
      </c>
      <c r="E2092" s="74">
        <v>0.05</v>
      </c>
      <c r="F2092" s="129">
        <f t="shared" si="282"/>
        <v>256967.55</v>
      </c>
      <c r="G2092" s="130">
        <f t="shared" si="285"/>
        <v>48823.834499999997</v>
      </c>
      <c r="H2092" s="131">
        <f t="shared" si="284"/>
        <v>305791</v>
      </c>
    </row>
    <row r="2093" spans="1:8" x14ac:dyDescent="0.25">
      <c r="A2093" s="43" t="s">
        <v>4882</v>
      </c>
      <c r="B2093" s="81" t="s">
        <v>4835</v>
      </c>
      <c r="C2093" s="26" t="s">
        <v>37</v>
      </c>
      <c r="D2093" s="68">
        <v>282200.15999999997</v>
      </c>
      <c r="E2093" s="74">
        <v>0.05</v>
      </c>
      <c r="F2093" s="129">
        <f t="shared" si="282"/>
        <v>296310.16799999995</v>
      </c>
      <c r="G2093" s="130">
        <f t="shared" si="285"/>
        <v>56298.931919999988</v>
      </c>
      <c r="H2093" s="131">
        <f t="shared" si="284"/>
        <v>352609</v>
      </c>
    </row>
    <row r="2094" spans="1:8" x14ac:dyDescent="0.25">
      <c r="A2094" s="43" t="s">
        <v>4883</v>
      </c>
      <c r="B2094" s="81" t="s">
        <v>4836</v>
      </c>
      <c r="C2094" s="26" t="s">
        <v>37</v>
      </c>
      <c r="D2094" s="68"/>
      <c r="E2094" s="74">
        <v>0.05</v>
      </c>
      <c r="F2094" s="129">
        <f t="shared" si="282"/>
        <v>0</v>
      </c>
      <c r="G2094" s="130">
        <f t="shared" si="285"/>
        <v>0</v>
      </c>
      <c r="H2094" s="131">
        <f t="shared" si="284"/>
        <v>0</v>
      </c>
    </row>
    <row r="2095" spans="1:8" x14ac:dyDescent="0.25">
      <c r="A2095" s="43" t="s">
        <v>4884</v>
      </c>
      <c r="B2095" s="81" t="s">
        <v>4837</v>
      </c>
      <c r="C2095" s="26" t="s">
        <v>37</v>
      </c>
      <c r="D2095" s="68"/>
      <c r="E2095" s="74">
        <v>0.05</v>
      </c>
      <c r="F2095" s="129">
        <f t="shared" si="282"/>
        <v>0</v>
      </c>
      <c r="G2095" s="130">
        <f t="shared" si="285"/>
        <v>0</v>
      </c>
      <c r="H2095" s="131">
        <f t="shared" si="284"/>
        <v>0</v>
      </c>
    </row>
    <row r="2096" spans="1:8" x14ac:dyDescent="0.25">
      <c r="A2096" s="43" t="s">
        <v>4885</v>
      </c>
      <c r="B2096" s="81" t="s">
        <v>4838</v>
      </c>
      <c r="C2096" s="26" t="s">
        <v>37</v>
      </c>
      <c r="D2096" s="68"/>
      <c r="E2096" s="74">
        <v>0.05</v>
      </c>
      <c r="F2096" s="129">
        <f t="shared" si="282"/>
        <v>0</v>
      </c>
      <c r="G2096" s="130">
        <f t="shared" si="285"/>
        <v>0</v>
      </c>
      <c r="H2096" s="131">
        <f t="shared" si="284"/>
        <v>0</v>
      </c>
    </row>
    <row r="2097" spans="1:8" x14ac:dyDescent="0.25">
      <c r="A2097" s="43" t="s">
        <v>4886</v>
      </c>
      <c r="B2097" s="81" t="s">
        <v>4850</v>
      </c>
      <c r="C2097" s="26" t="s">
        <v>37</v>
      </c>
      <c r="D2097" s="68">
        <v>324732.71999999997</v>
      </c>
      <c r="E2097" s="74">
        <v>0.05</v>
      </c>
      <c r="F2097" s="129">
        <f t="shared" si="282"/>
        <v>340969.35599999997</v>
      </c>
      <c r="G2097" s="130">
        <f t="shared" si="285"/>
        <v>64784.177639999994</v>
      </c>
      <c r="H2097" s="131">
        <f t="shared" si="284"/>
        <v>405754</v>
      </c>
    </row>
    <row r="2098" spans="1:8" x14ac:dyDescent="0.25">
      <c r="A2098" s="43" t="s">
        <v>4887</v>
      </c>
      <c r="B2098" s="81" t="s">
        <v>4839</v>
      </c>
      <c r="C2098" s="26" t="s">
        <v>37</v>
      </c>
      <c r="D2098" s="68">
        <v>320682</v>
      </c>
      <c r="E2098" s="74">
        <v>0.05</v>
      </c>
      <c r="F2098" s="129">
        <f t="shared" si="282"/>
        <v>336716.1</v>
      </c>
      <c r="G2098" s="130">
        <f t="shared" si="285"/>
        <v>63976.058999999994</v>
      </c>
      <c r="H2098" s="131">
        <f t="shared" si="284"/>
        <v>400692</v>
      </c>
    </row>
    <row r="2099" spans="1:8" x14ac:dyDescent="0.25">
      <c r="A2099" s="43" t="s">
        <v>4888</v>
      </c>
      <c r="B2099" s="81" t="s">
        <v>4840</v>
      </c>
      <c r="C2099" s="26" t="s">
        <v>37</v>
      </c>
      <c r="D2099" s="68">
        <v>376266.88</v>
      </c>
      <c r="E2099" s="74">
        <v>0.05</v>
      </c>
      <c r="F2099" s="129">
        <f t="shared" si="282"/>
        <v>395080.22399999999</v>
      </c>
      <c r="G2099" s="130">
        <f t="shared" si="285"/>
        <v>75065.242559999999</v>
      </c>
      <c r="H2099" s="131">
        <f t="shared" si="284"/>
        <v>470145</v>
      </c>
    </row>
    <row r="2100" spans="1:8" x14ac:dyDescent="0.25">
      <c r="A2100" s="43" t="s">
        <v>4889</v>
      </c>
      <c r="B2100" s="81" t="s">
        <v>4841</v>
      </c>
      <c r="C2100" s="26" t="s">
        <v>37</v>
      </c>
      <c r="D2100" s="68"/>
      <c r="E2100" s="74">
        <v>0.05</v>
      </c>
      <c r="F2100" s="129">
        <f t="shared" si="282"/>
        <v>0</v>
      </c>
      <c r="G2100" s="130">
        <f t="shared" si="285"/>
        <v>0</v>
      </c>
      <c r="H2100" s="131">
        <f t="shared" si="284"/>
        <v>0</v>
      </c>
    </row>
    <row r="2101" spans="1:8" x14ac:dyDescent="0.25">
      <c r="A2101" s="43" t="s">
        <v>4890</v>
      </c>
      <c r="B2101" s="81" t="s">
        <v>4842</v>
      </c>
      <c r="C2101" s="26" t="s">
        <v>37</v>
      </c>
      <c r="D2101" s="68"/>
      <c r="E2101" s="74">
        <v>0.05</v>
      </c>
      <c r="F2101" s="129">
        <f t="shared" ref="F2101:F2164" si="286">+D2101+D2101*E2101</f>
        <v>0</v>
      </c>
      <c r="G2101" s="130">
        <f t="shared" si="285"/>
        <v>0</v>
      </c>
      <c r="H2101" s="131">
        <f t="shared" ref="H2101:H2164" si="287">ROUND((F2101+G2101),0)</f>
        <v>0</v>
      </c>
    </row>
    <row r="2102" spans="1:8" x14ac:dyDescent="0.25">
      <c r="A2102" s="43" t="s">
        <v>4891</v>
      </c>
      <c r="B2102" s="81" t="s">
        <v>4843</v>
      </c>
      <c r="C2102" s="26" t="s">
        <v>37</v>
      </c>
      <c r="D2102" s="68"/>
      <c r="E2102" s="74">
        <v>0.05</v>
      </c>
      <c r="F2102" s="129">
        <f t="shared" si="286"/>
        <v>0</v>
      </c>
      <c r="G2102" s="130">
        <f t="shared" si="285"/>
        <v>0</v>
      </c>
      <c r="H2102" s="131">
        <f t="shared" si="287"/>
        <v>0</v>
      </c>
    </row>
    <row r="2103" spans="1:8" x14ac:dyDescent="0.25">
      <c r="A2103" s="43" t="s">
        <v>4892</v>
      </c>
      <c r="B2103" s="81" t="s">
        <v>4851</v>
      </c>
      <c r="C2103" s="26" t="s">
        <v>37</v>
      </c>
      <c r="D2103" s="68">
        <v>438828</v>
      </c>
      <c r="E2103" s="74">
        <v>0.05</v>
      </c>
      <c r="F2103" s="129">
        <f t="shared" si="286"/>
        <v>460769.4</v>
      </c>
      <c r="G2103" s="130">
        <f t="shared" si="285"/>
        <v>87546.186000000002</v>
      </c>
      <c r="H2103" s="131">
        <f t="shared" si="287"/>
        <v>548316</v>
      </c>
    </row>
    <row r="2104" spans="1:8" x14ac:dyDescent="0.25">
      <c r="A2104" s="43" t="s">
        <v>4893</v>
      </c>
      <c r="B2104" s="81" t="s">
        <v>7891</v>
      </c>
      <c r="C2104" s="26" t="s">
        <v>37</v>
      </c>
      <c r="D2104" s="68">
        <v>582291</v>
      </c>
      <c r="E2104" s="74">
        <v>0.05</v>
      </c>
      <c r="F2104" s="129">
        <f t="shared" si="286"/>
        <v>611405.55000000005</v>
      </c>
      <c r="G2104" s="130">
        <f t="shared" si="285"/>
        <v>116167.05450000001</v>
      </c>
      <c r="H2104" s="131">
        <f t="shared" si="287"/>
        <v>727573</v>
      </c>
    </row>
    <row r="2105" spans="1:8" x14ac:dyDescent="0.25">
      <c r="A2105" s="43" t="s">
        <v>4894</v>
      </c>
      <c r="B2105" s="81" t="s">
        <v>7892</v>
      </c>
      <c r="C2105" s="26" t="s">
        <v>37</v>
      </c>
      <c r="D2105" s="68">
        <v>658467.04</v>
      </c>
      <c r="E2105" s="74">
        <v>0.05</v>
      </c>
      <c r="F2105" s="129">
        <f t="shared" si="286"/>
        <v>691390.39199999999</v>
      </c>
      <c r="G2105" s="130">
        <f t="shared" si="285"/>
        <v>131364.17447999999</v>
      </c>
      <c r="H2105" s="131">
        <f t="shared" si="287"/>
        <v>822755</v>
      </c>
    </row>
    <row r="2106" spans="1:8" x14ac:dyDescent="0.25">
      <c r="A2106" s="43" t="s">
        <v>4895</v>
      </c>
      <c r="B2106" s="81" t="s">
        <v>7893</v>
      </c>
      <c r="C2106" s="26" t="s">
        <v>37</v>
      </c>
      <c r="D2106" s="68"/>
      <c r="E2106" s="74">
        <v>0.05</v>
      </c>
      <c r="F2106" s="129">
        <f t="shared" si="286"/>
        <v>0</v>
      </c>
      <c r="G2106" s="130">
        <f t="shared" si="285"/>
        <v>0</v>
      </c>
      <c r="H2106" s="131">
        <f t="shared" si="287"/>
        <v>0</v>
      </c>
    </row>
    <row r="2107" spans="1:8" x14ac:dyDescent="0.25">
      <c r="A2107" s="43" t="s">
        <v>1010</v>
      </c>
      <c r="B2107" s="81" t="s">
        <v>7894</v>
      </c>
      <c r="C2107" s="26" t="s">
        <v>37</v>
      </c>
      <c r="D2107" s="68"/>
      <c r="E2107" s="74">
        <v>0.05</v>
      </c>
      <c r="F2107" s="129">
        <f t="shared" si="286"/>
        <v>0</v>
      </c>
      <c r="G2107" s="130">
        <f t="shared" si="285"/>
        <v>0</v>
      </c>
      <c r="H2107" s="131">
        <f t="shared" si="287"/>
        <v>0</v>
      </c>
    </row>
    <row r="2108" spans="1:8" x14ac:dyDescent="0.25">
      <c r="A2108" s="43" t="s">
        <v>4896</v>
      </c>
      <c r="B2108" s="81" t="s">
        <v>7895</v>
      </c>
      <c r="C2108" s="26" t="s">
        <v>37</v>
      </c>
      <c r="D2108" s="68"/>
      <c r="E2108" s="74">
        <v>0.05</v>
      </c>
      <c r="F2108" s="129">
        <f t="shared" si="286"/>
        <v>0</v>
      </c>
      <c r="G2108" s="130">
        <f t="shared" si="285"/>
        <v>0</v>
      </c>
      <c r="H2108" s="131">
        <f t="shared" si="287"/>
        <v>0</v>
      </c>
    </row>
    <row r="2109" spans="1:8" x14ac:dyDescent="0.25">
      <c r="A2109" s="43" t="s">
        <v>4897</v>
      </c>
      <c r="B2109" s="81" t="s">
        <v>7896</v>
      </c>
      <c r="C2109" s="26" t="s">
        <v>37</v>
      </c>
      <c r="D2109" s="68">
        <v>746007.6</v>
      </c>
      <c r="E2109" s="74">
        <v>0.05</v>
      </c>
      <c r="F2109" s="129">
        <f t="shared" si="286"/>
        <v>783307.98</v>
      </c>
      <c r="G2109" s="130">
        <f t="shared" si="285"/>
        <v>148828.51620000001</v>
      </c>
      <c r="H2109" s="131">
        <f t="shared" si="287"/>
        <v>932136</v>
      </c>
    </row>
    <row r="2110" spans="1:8" x14ac:dyDescent="0.25">
      <c r="A2110" s="43" t="s">
        <v>4898</v>
      </c>
      <c r="B2110" s="81" t="s">
        <v>4853</v>
      </c>
      <c r="C2110" s="26" t="s">
        <v>37</v>
      </c>
      <c r="D2110" s="68">
        <v>751071</v>
      </c>
      <c r="E2110" s="74">
        <v>0.05</v>
      </c>
      <c r="F2110" s="129">
        <f t="shared" si="286"/>
        <v>788624.55</v>
      </c>
      <c r="G2110" s="130">
        <f t="shared" si="285"/>
        <v>149838.66450000001</v>
      </c>
      <c r="H2110" s="131">
        <f t="shared" si="287"/>
        <v>938463</v>
      </c>
    </row>
    <row r="2111" spans="1:8" x14ac:dyDescent="0.25">
      <c r="A2111" s="43" t="s">
        <v>4899</v>
      </c>
      <c r="B2111" s="81" t="s">
        <v>4854</v>
      </c>
      <c r="C2111" s="26" t="s">
        <v>37</v>
      </c>
      <c r="D2111" s="68">
        <v>855152</v>
      </c>
      <c r="E2111" s="74">
        <v>0.05</v>
      </c>
      <c r="F2111" s="129">
        <f t="shared" si="286"/>
        <v>897909.6</v>
      </c>
      <c r="G2111" s="130">
        <f t="shared" si="285"/>
        <v>170602.82399999999</v>
      </c>
      <c r="H2111" s="131">
        <f t="shared" si="287"/>
        <v>1068512</v>
      </c>
    </row>
    <row r="2112" spans="1:8" x14ac:dyDescent="0.25">
      <c r="A2112" s="43" t="s">
        <v>4900</v>
      </c>
      <c r="B2112" s="81" t="s">
        <v>4855</v>
      </c>
      <c r="C2112" s="26" t="s">
        <v>37</v>
      </c>
      <c r="D2112" s="68">
        <v>974198.16</v>
      </c>
      <c r="E2112" s="74">
        <v>0.05</v>
      </c>
      <c r="F2112" s="129">
        <f t="shared" si="286"/>
        <v>1022908.0680000001</v>
      </c>
      <c r="G2112" s="130">
        <f t="shared" si="285"/>
        <v>194352.53292000003</v>
      </c>
      <c r="H2112" s="131">
        <f t="shared" si="287"/>
        <v>1217261</v>
      </c>
    </row>
    <row r="2113" spans="1:8" x14ac:dyDescent="0.25">
      <c r="A2113" s="43" t="s">
        <v>4901</v>
      </c>
      <c r="B2113" s="81" t="s">
        <v>7365</v>
      </c>
      <c r="C2113" s="26" t="s">
        <v>37</v>
      </c>
      <c r="D2113" s="68">
        <v>1004241</v>
      </c>
      <c r="E2113" s="74">
        <v>0.05</v>
      </c>
      <c r="F2113" s="129">
        <f t="shared" si="286"/>
        <v>1054453.05</v>
      </c>
      <c r="G2113" s="130">
        <f t="shared" si="285"/>
        <v>200346.07950000002</v>
      </c>
      <c r="H2113" s="131">
        <f t="shared" si="287"/>
        <v>1254799</v>
      </c>
    </row>
    <row r="2114" spans="1:8" x14ac:dyDescent="0.25">
      <c r="A2114" s="43" t="s">
        <v>4902</v>
      </c>
      <c r="B2114" s="81" t="s">
        <v>7366</v>
      </c>
      <c r="C2114" s="26" t="s">
        <v>37</v>
      </c>
      <c r="D2114" s="68">
        <v>1145903.68</v>
      </c>
      <c r="E2114" s="74">
        <v>0.05</v>
      </c>
      <c r="F2114" s="129">
        <f t="shared" si="286"/>
        <v>1203198.8639999998</v>
      </c>
      <c r="G2114" s="130">
        <f t="shared" si="285"/>
        <v>228607.78415999998</v>
      </c>
      <c r="H2114" s="131">
        <f t="shared" si="287"/>
        <v>1431807</v>
      </c>
    </row>
    <row r="2115" spans="1:8" x14ac:dyDescent="0.25">
      <c r="A2115" s="43" t="s">
        <v>4903</v>
      </c>
      <c r="B2115" s="81" t="s">
        <v>7367</v>
      </c>
      <c r="C2115" s="26" t="s">
        <v>37</v>
      </c>
      <c r="D2115" s="68">
        <v>1307707.44</v>
      </c>
      <c r="E2115" s="74">
        <v>0.05</v>
      </c>
      <c r="F2115" s="129">
        <f t="shared" si="286"/>
        <v>1373092.8119999999</v>
      </c>
      <c r="G2115" s="130">
        <f t="shared" si="285"/>
        <v>260887.63428</v>
      </c>
      <c r="H2115" s="131">
        <f t="shared" si="287"/>
        <v>1633980</v>
      </c>
    </row>
    <row r="2116" spans="1:8" x14ac:dyDescent="0.25">
      <c r="A2116" s="43" t="s">
        <v>4904</v>
      </c>
      <c r="B2116" s="81" t="s">
        <v>4859</v>
      </c>
      <c r="C2116" s="26" t="s">
        <v>37</v>
      </c>
      <c r="D2116" s="68">
        <v>1350240</v>
      </c>
      <c r="E2116" s="74">
        <v>0.05</v>
      </c>
      <c r="F2116" s="129">
        <f t="shared" si="286"/>
        <v>1417752</v>
      </c>
      <c r="G2116" s="130">
        <f t="shared" si="285"/>
        <v>269372.88</v>
      </c>
      <c r="H2116" s="131">
        <f t="shared" si="287"/>
        <v>1687125</v>
      </c>
    </row>
    <row r="2117" spans="1:8" x14ac:dyDescent="0.25">
      <c r="A2117" s="43" t="s">
        <v>4905</v>
      </c>
      <c r="B2117" s="81" t="s">
        <v>4860</v>
      </c>
      <c r="C2117" s="26" t="s">
        <v>37</v>
      </c>
      <c r="D2117" s="68">
        <v>1547825.1199999999</v>
      </c>
      <c r="E2117" s="74">
        <v>0.05</v>
      </c>
      <c r="F2117" s="129">
        <f t="shared" si="286"/>
        <v>1625216.3759999999</v>
      </c>
      <c r="G2117" s="130">
        <f t="shared" si="285"/>
        <v>308791.11144000001</v>
      </c>
      <c r="H2117" s="131">
        <f t="shared" si="287"/>
        <v>1934007</v>
      </c>
    </row>
    <row r="2118" spans="1:8" x14ac:dyDescent="0.25">
      <c r="A2118" s="43" t="s">
        <v>4906</v>
      </c>
      <c r="B2118" s="81" t="s">
        <v>4861</v>
      </c>
      <c r="C2118" s="26" t="s">
        <v>37</v>
      </c>
      <c r="D2118" s="68">
        <v>1772865.1199999999</v>
      </c>
      <c r="E2118" s="74">
        <v>0.05</v>
      </c>
      <c r="F2118" s="129">
        <f t="shared" si="286"/>
        <v>1861508.3759999999</v>
      </c>
      <c r="G2118" s="130">
        <f t="shared" si="285"/>
        <v>353686.59143999999</v>
      </c>
      <c r="H2118" s="131">
        <f t="shared" si="287"/>
        <v>2215195</v>
      </c>
    </row>
    <row r="2119" spans="1:8" x14ac:dyDescent="0.25">
      <c r="A2119" s="43" t="s">
        <v>4907</v>
      </c>
      <c r="B2119" s="81" t="s">
        <v>7538</v>
      </c>
      <c r="C2119" s="26" t="s">
        <v>37</v>
      </c>
      <c r="D2119" s="68">
        <v>1603410</v>
      </c>
      <c r="E2119" s="74">
        <v>0.05</v>
      </c>
      <c r="F2119" s="129">
        <f t="shared" si="286"/>
        <v>1683580.5</v>
      </c>
      <c r="G2119" s="130">
        <f t="shared" si="285"/>
        <v>319880.29499999998</v>
      </c>
      <c r="H2119" s="131">
        <f t="shared" si="287"/>
        <v>2003461</v>
      </c>
    </row>
    <row r="2120" spans="1:8" x14ac:dyDescent="0.25">
      <c r="A2120" s="43" t="s">
        <v>4908</v>
      </c>
      <c r="B2120" s="81" t="s">
        <v>7539</v>
      </c>
      <c r="C2120" s="26" t="s">
        <v>37</v>
      </c>
      <c r="D2120" s="68">
        <v>1855679.8399999999</v>
      </c>
      <c r="E2120" s="74">
        <v>0.05</v>
      </c>
      <c r="F2120" s="129">
        <f t="shared" si="286"/>
        <v>1948463.8319999999</v>
      </c>
      <c r="G2120" s="130">
        <f t="shared" si="285"/>
        <v>370208.12807999999</v>
      </c>
      <c r="H2120" s="131">
        <f t="shared" si="287"/>
        <v>2318672</v>
      </c>
    </row>
    <row r="2121" spans="1:8" x14ac:dyDescent="0.25">
      <c r="A2121" s="43" t="s">
        <v>4909</v>
      </c>
      <c r="B2121" s="81" t="s">
        <v>7540</v>
      </c>
      <c r="C2121" s="26" t="s">
        <v>37</v>
      </c>
      <c r="D2121" s="68">
        <v>2141480.64</v>
      </c>
      <c r="E2121" s="74">
        <v>0.05</v>
      </c>
      <c r="F2121" s="129">
        <f t="shared" si="286"/>
        <v>2248554.6720000003</v>
      </c>
      <c r="G2121" s="130">
        <f t="shared" si="285"/>
        <v>427225.38768000004</v>
      </c>
      <c r="H2121" s="131">
        <f t="shared" si="287"/>
        <v>2675780</v>
      </c>
    </row>
    <row r="2122" spans="1:8" x14ac:dyDescent="0.25">
      <c r="A2122" s="43" t="s">
        <v>4910</v>
      </c>
      <c r="B2122" s="81" t="s">
        <v>7693</v>
      </c>
      <c r="C2122" s="26" t="s">
        <v>37</v>
      </c>
      <c r="D2122" s="68">
        <v>2160384</v>
      </c>
      <c r="E2122" s="74">
        <v>0.05</v>
      </c>
      <c r="F2122" s="129">
        <f t="shared" si="286"/>
        <v>2268403.2000000002</v>
      </c>
      <c r="G2122" s="130">
        <f t="shared" si="285"/>
        <v>430996.60800000007</v>
      </c>
      <c r="H2122" s="131">
        <f t="shared" si="287"/>
        <v>2699400</v>
      </c>
    </row>
    <row r="2123" spans="1:8" x14ac:dyDescent="0.25">
      <c r="A2123" s="43" t="s">
        <v>4911</v>
      </c>
      <c r="B2123" s="81" t="s">
        <v>7694</v>
      </c>
      <c r="C2123" s="26" t="s">
        <v>37</v>
      </c>
      <c r="D2123" s="68">
        <v>2479940.7999999998</v>
      </c>
      <c r="E2123" s="74">
        <v>0.05</v>
      </c>
      <c r="F2123" s="129">
        <f t="shared" si="286"/>
        <v>2603937.84</v>
      </c>
      <c r="G2123" s="130">
        <f t="shared" si="285"/>
        <v>494748.18959999998</v>
      </c>
      <c r="H2123" s="131">
        <f t="shared" si="287"/>
        <v>3098686</v>
      </c>
    </row>
    <row r="2124" spans="1:8" x14ac:dyDescent="0.25">
      <c r="A2124" s="43" t="s">
        <v>4912</v>
      </c>
      <c r="B2124" s="81" t="s">
        <v>7695</v>
      </c>
      <c r="C2124" s="26" t="s">
        <v>37</v>
      </c>
      <c r="D2124" s="68">
        <v>2843605.44</v>
      </c>
      <c r="E2124" s="74">
        <v>0.05</v>
      </c>
      <c r="F2124" s="129">
        <f t="shared" si="286"/>
        <v>2985785.7119999998</v>
      </c>
      <c r="G2124" s="130">
        <f t="shared" si="285"/>
        <v>567299.28527999995</v>
      </c>
      <c r="H2124" s="131">
        <f t="shared" si="287"/>
        <v>3553085</v>
      </c>
    </row>
    <row r="2125" spans="1:8" x14ac:dyDescent="0.25">
      <c r="A2125" s="43" t="s">
        <v>4913</v>
      </c>
      <c r="B2125" s="81" t="s">
        <v>4868</v>
      </c>
      <c r="C2125" s="26" t="s">
        <v>37</v>
      </c>
      <c r="D2125" s="68">
        <v>2582334</v>
      </c>
      <c r="E2125" s="74">
        <v>0.05</v>
      </c>
      <c r="F2125" s="129">
        <f t="shared" si="286"/>
        <v>2711450.7</v>
      </c>
      <c r="G2125" s="130">
        <f t="shared" si="285"/>
        <v>515175.63300000003</v>
      </c>
      <c r="H2125" s="131">
        <f t="shared" si="287"/>
        <v>3226626</v>
      </c>
    </row>
    <row r="2126" spans="1:8" x14ac:dyDescent="0.25">
      <c r="A2126" s="43" t="s">
        <v>4914</v>
      </c>
      <c r="B2126" s="81" t="s">
        <v>4869</v>
      </c>
      <c r="C2126" s="26" t="s">
        <v>37</v>
      </c>
      <c r="D2126" s="68">
        <v>2933171.36</v>
      </c>
      <c r="E2126" s="74">
        <v>0.05</v>
      </c>
      <c r="F2126" s="129">
        <f t="shared" si="286"/>
        <v>3079829.9279999998</v>
      </c>
      <c r="G2126" s="130">
        <f t="shared" si="285"/>
        <v>585167.68631999998</v>
      </c>
      <c r="H2126" s="131">
        <f t="shared" si="287"/>
        <v>3664998</v>
      </c>
    </row>
    <row r="2127" spans="1:8" x14ac:dyDescent="0.25">
      <c r="A2127" s="43" t="s">
        <v>4915</v>
      </c>
      <c r="B2127" s="81" t="s">
        <v>4870</v>
      </c>
      <c r="C2127" s="26" t="s">
        <v>37</v>
      </c>
      <c r="D2127" s="68">
        <v>3335092.8</v>
      </c>
      <c r="E2127" s="74">
        <v>0.05</v>
      </c>
      <c r="F2127" s="129">
        <f t="shared" si="286"/>
        <v>3501847.44</v>
      </c>
      <c r="G2127" s="130">
        <f t="shared" si="285"/>
        <v>665351.01359999995</v>
      </c>
      <c r="H2127" s="131">
        <f t="shared" si="287"/>
        <v>4167198</v>
      </c>
    </row>
    <row r="2128" spans="1:8" x14ac:dyDescent="0.25">
      <c r="A2128" s="43" t="s">
        <v>4916</v>
      </c>
      <c r="B2128" s="81" t="s">
        <v>4871</v>
      </c>
      <c r="C2128" s="26" t="s">
        <v>37</v>
      </c>
      <c r="D2128" s="68">
        <v>3223698</v>
      </c>
      <c r="E2128" s="74">
        <v>0.05</v>
      </c>
      <c r="F2128" s="129">
        <f t="shared" si="286"/>
        <v>3384882.9</v>
      </c>
      <c r="G2128" s="130">
        <f t="shared" si="285"/>
        <v>643127.75100000005</v>
      </c>
      <c r="H2128" s="131">
        <f t="shared" si="287"/>
        <v>4028011</v>
      </c>
    </row>
    <row r="2129" spans="1:8" x14ac:dyDescent="0.25">
      <c r="A2129" s="43" t="s">
        <v>4917</v>
      </c>
      <c r="B2129" s="81" t="s">
        <v>4872</v>
      </c>
      <c r="C2129" s="26" t="s">
        <v>37</v>
      </c>
      <c r="D2129" s="68">
        <v>3668602.08</v>
      </c>
      <c r="E2129" s="74">
        <v>0.05</v>
      </c>
      <c r="F2129" s="129">
        <f t="shared" si="286"/>
        <v>3852032.1839999999</v>
      </c>
      <c r="G2129" s="130">
        <f t="shared" si="285"/>
        <v>731886.11496000004</v>
      </c>
      <c r="H2129" s="131">
        <f t="shared" si="287"/>
        <v>4583918</v>
      </c>
    </row>
    <row r="2130" spans="1:8" x14ac:dyDescent="0.25">
      <c r="A2130" s="43" t="s">
        <v>4918</v>
      </c>
      <c r="B2130" s="81" t="s">
        <v>4873</v>
      </c>
      <c r="C2130" s="26" t="s">
        <v>37</v>
      </c>
      <c r="D2130" s="68">
        <v>4177642.56</v>
      </c>
      <c r="E2130" s="74">
        <v>0.05</v>
      </c>
      <c r="F2130" s="129">
        <f t="shared" si="286"/>
        <v>4386524.6880000001</v>
      </c>
      <c r="G2130" s="130">
        <f t="shared" si="285"/>
        <v>833439.69072000007</v>
      </c>
      <c r="H2130" s="131">
        <f t="shared" si="287"/>
        <v>5219964</v>
      </c>
    </row>
    <row r="2131" spans="1:8" x14ac:dyDescent="0.25">
      <c r="A2131" s="43" t="s">
        <v>4919</v>
      </c>
      <c r="B2131" s="81" t="s">
        <v>4874</v>
      </c>
      <c r="C2131" s="26" t="s">
        <v>37</v>
      </c>
      <c r="D2131" s="68">
        <v>3670965</v>
      </c>
      <c r="E2131" s="74">
        <v>0.05</v>
      </c>
      <c r="F2131" s="129">
        <f t="shared" si="286"/>
        <v>3854513.25</v>
      </c>
      <c r="G2131" s="130">
        <f t="shared" si="285"/>
        <v>732357.51749999996</v>
      </c>
      <c r="H2131" s="131">
        <f t="shared" si="287"/>
        <v>4586871</v>
      </c>
    </row>
    <row r="2132" spans="1:8" x14ac:dyDescent="0.25">
      <c r="A2132" s="43" t="s">
        <v>4920</v>
      </c>
      <c r="B2132" s="81" t="s">
        <v>4875</v>
      </c>
      <c r="C2132" s="26" t="s">
        <v>37</v>
      </c>
      <c r="D2132" s="68">
        <v>4267208.4799999995</v>
      </c>
      <c r="E2132" s="74">
        <v>0.05</v>
      </c>
      <c r="F2132" s="129">
        <f t="shared" si="286"/>
        <v>4480568.9039999992</v>
      </c>
      <c r="G2132" s="130">
        <f t="shared" si="285"/>
        <v>851308.09175999986</v>
      </c>
      <c r="H2132" s="131">
        <f t="shared" si="287"/>
        <v>5331877</v>
      </c>
    </row>
    <row r="2133" spans="1:8" x14ac:dyDescent="0.25">
      <c r="A2133" s="43" t="s">
        <v>4921</v>
      </c>
      <c r="B2133" s="81" t="s">
        <v>4876</v>
      </c>
      <c r="C2133" s="26" t="s">
        <v>37</v>
      </c>
      <c r="D2133" s="68">
        <v>4941203.28</v>
      </c>
      <c r="E2133" s="74">
        <v>0.05</v>
      </c>
      <c r="F2133" s="129">
        <f t="shared" si="286"/>
        <v>5188263.4440000001</v>
      </c>
      <c r="G2133" s="130">
        <f t="shared" si="285"/>
        <v>985770.05436000007</v>
      </c>
      <c r="H2133" s="131">
        <f t="shared" si="287"/>
        <v>6174033</v>
      </c>
    </row>
    <row r="2134" spans="1:8" x14ac:dyDescent="0.25">
      <c r="A2134" s="44" t="s">
        <v>4922</v>
      </c>
      <c r="B2134" s="80" t="s">
        <v>4923</v>
      </c>
      <c r="C2134" s="26"/>
      <c r="D2134" s="68"/>
      <c r="E2134" s="74"/>
      <c r="F2134" s="129"/>
      <c r="G2134" s="130"/>
      <c r="H2134" s="131"/>
    </row>
    <row r="2135" spans="1:8" x14ac:dyDescent="0.25">
      <c r="A2135" s="44" t="s">
        <v>999</v>
      </c>
      <c r="B2135" s="80" t="s">
        <v>4941</v>
      </c>
      <c r="C2135" s="26"/>
      <c r="D2135" s="68"/>
      <c r="E2135" s="74"/>
      <c r="F2135" s="129"/>
      <c r="G2135" s="130"/>
      <c r="H2135" s="131"/>
    </row>
    <row r="2136" spans="1:8" x14ac:dyDescent="0.25">
      <c r="A2136" s="43" t="s">
        <v>1000</v>
      </c>
      <c r="B2136" s="81" t="s">
        <v>4942</v>
      </c>
      <c r="C2136" s="26" t="s">
        <v>37</v>
      </c>
      <c r="D2136" s="68">
        <v>2548578</v>
      </c>
      <c r="E2136" s="74">
        <v>0.05</v>
      </c>
      <c r="F2136" s="129">
        <f t="shared" si="286"/>
        <v>2676006.9</v>
      </c>
      <c r="G2136" s="130">
        <f>F2136*0.19</f>
        <v>508441.31099999999</v>
      </c>
      <c r="H2136" s="131">
        <f t="shared" si="287"/>
        <v>3184448</v>
      </c>
    </row>
    <row r="2137" spans="1:8" x14ac:dyDescent="0.25">
      <c r="A2137" s="43" t="s">
        <v>4745</v>
      </c>
      <c r="B2137" s="81" t="s">
        <v>7897</v>
      </c>
      <c r="C2137" s="26" t="s">
        <v>37</v>
      </c>
      <c r="D2137" s="68">
        <v>3114553.6</v>
      </c>
      <c r="E2137" s="74">
        <v>0.05</v>
      </c>
      <c r="F2137" s="129">
        <f t="shared" si="286"/>
        <v>3270281.2800000003</v>
      </c>
      <c r="G2137" s="130">
        <f>F2137*0.19</f>
        <v>621353.4432000001</v>
      </c>
      <c r="H2137" s="131">
        <f t="shared" si="287"/>
        <v>3891635</v>
      </c>
    </row>
    <row r="2138" spans="1:8" x14ac:dyDescent="0.25">
      <c r="A2138" s="44" t="s">
        <v>1007</v>
      </c>
      <c r="B2138" s="80" t="s">
        <v>4924</v>
      </c>
      <c r="C2138" s="26"/>
      <c r="D2138" s="68"/>
      <c r="E2138" s="74"/>
      <c r="F2138" s="129"/>
      <c r="G2138" s="130"/>
      <c r="H2138" s="131"/>
    </row>
    <row r="2139" spans="1:8" x14ac:dyDescent="0.25">
      <c r="A2139" s="43" t="s">
        <v>4877</v>
      </c>
      <c r="B2139" s="81" t="s">
        <v>4925</v>
      </c>
      <c r="C2139" s="26" t="s">
        <v>37</v>
      </c>
      <c r="D2139" s="68">
        <v>1400874</v>
      </c>
      <c r="E2139" s="74">
        <v>0.05</v>
      </c>
      <c r="F2139" s="129">
        <f t="shared" si="286"/>
        <v>1470917.7</v>
      </c>
      <c r="G2139" s="130">
        <f>F2139*0.19</f>
        <v>279474.36300000001</v>
      </c>
      <c r="H2139" s="131">
        <f t="shared" si="287"/>
        <v>1750392</v>
      </c>
    </row>
    <row r="2140" spans="1:8" x14ac:dyDescent="0.25">
      <c r="A2140" s="43" t="s">
        <v>4878</v>
      </c>
      <c r="B2140" s="81" t="s">
        <v>4926</v>
      </c>
      <c r="C2140" s="26" t="s">
        <v>37</v>
      </c>
      <c r="D2140" s="68"/>
      <c r="E2140" s="74">
        <v>0.05</v>
      </c>
      <c r="F2140" s="129">
        <f t="shared" si="286"/>
        <v>0</v>
      </c>
      <c r="G2140" s="130">
        <f>F2140*0.19</f>
        <v>0</v>
      </c>
      <c r="H2140" s="131">
        <f t="shared" si="287"/>
        <v>0</v>
      </c>
    </row>
    <row r="2141" spans="1:8" x14ac:dyDescent="0.25">
      <c r="A2141" s="43" t="s">
        <v>1008</v>
      </c>
      <c r="B2141" s="81" t="s">
        <v>4927</v>
      </c>
      <c r="C2141" s="26" t="s">
        <v>37</v>
      </c>
      <c r="D2141" s="68">
        <v>2322412.7999999998</v>
      </c>
      <c r="E2141" s="74">
        <v>0.05</v>
      </c>
      <c r="F2141" s="129">
        <f t="shared" si="286"/>
        <v>2438533.44</v>
      </c>
      <c r="G2141" s="130">
        <f>F2141*0.19</f>
        <v>463321.35359999997</v>
      </c>
      <c r="H2141" s="131">
        <f t="shared" si="287"/>
        <v>2901855</v>
      </c>
    </row>
    <row r="2142" spans="1:8" x14ac:dyDescent="0.25">
      <c r="A2142" s="43" t="s">
        <v>1009</v>
      </c>
      <c r="B2142" s="81" t="s">
        <v>4928</v>
      </c>
      <c r="C2142" s="26" t="s">
        <v>37</v>
      </c>
      <c r="D2142" s="68"/>
      <c r="E2142" s="74">
        <v>0.05</v>
      </c>
      <c r="F2142" s="129">
        <f t="shared" si="286"/>
        <v>0</v>
      </c>
      <c r="G2142" s="130">
        <f>F2142*0.19</f>
        <v>0</v>
      </c>
      <c r="H2142" s="131">
        <f t="shared" si="287"/>
        <v>0</v>
      </c>
    </row>
    <row r="2143" spans="1:8" x14ac:dyDescent="0.25">
      <c r="A2143" s="44" t="s">
        <v>4922</v>
      </c>
      <c r="B2143" s="80" t="s">
        <v>4929</v>
      </c>
      <c r="C2143" s="26"/>
      <c r="D2143" s="68"/>
      <c r="E2143" s="74"/>
      <c r="F2143" s="129"/>
      <c r="G2143" s="130"/>
      <c r="H2143" s="131"/>
    </row>
    <row r="2144" spans="1:8" x14ac:dyDescent="0.25">
      <c r="A2144" s="43" t="s">
        <v>4934</v>
      </c>
      <c r="B2144" s="81" t="s">
        <v>4930</v>
      </c>
      <c r="C2144" s="26" t="s">
        <v>37</v>
      </c>
      <c r="D2144" s="68">
        <v>1557276.8</v>
      </c>
      <c r="E2144" s="74">
        <v>0.05</v>
      </c>
      <c r="F2144" s="129">
        <f t="shared" si="286"/>
        <v>1635140.6400000001</v>
      </c>
      <c r="G2144" s="130">
        <f>F2144*0.19</f>
        <v>310676.72160000005</v>
      </c>
      <c r="H2144" s="131">
        <f t="shared" si="287"/>
        <v>1945817</v>
      </c>
    </row>
    <row r="2145" spans="1:8" x14ac:dyDescent="0.25">
      <c r="A2145" s="43" t="s">
        <v>4935</v>
      </c>
      <c r="B2145" s="81" t="s">
        <v>4931</v>
      </c>
      <c r="C2145" s="26" t="s">
        <v>37</v>
      </c>
      <c r="D2145" s="68">
        <v>1766564</v>
      </c>
      <c r="E2145" s="74">
        <v>0.05</v>
      </c>
      <c r="F2145" s="129">
        <f t="shared" si="286"/>
        <v>1854892.2</v>
      </c>
      <c r="G2145" s="130">
        <f>F2145*0.19</f>
        <v>352429.51799999998</v>
      </c>
      <c r="H2145" s="131">
        <f t="shared" si="287"/>
        <v>2207322</v>
      </c>
    </row>
    <row r="2146" spans="1:8" x14ac:dyDescent="0.25">
      <c r="A2146" s="43" t="s">
        <v>4936</v>
      </c>
      <c r="B2146" s="81" t="s">
        <v>4932</v>
      </c>
      <c r="C2146" s="26" t="s">
        <v>37</v>
      </c>
      <c r="D2146" s="68">
        <v>2050114.4</v>
      </c>
      <c r="E2146" s="74">
        <v>0.05</v>
      </c>
      <c r="F2146" s="129">
        <f t="shared" si="286"/>
        <v>2152620.12</v>
      </c>
      <c r="G2146" s="130">
        <f>F2146*0.19</f>
        <v>408997.82280000002</v>
      </c>
      <c r="H2146" s="131">
        <f t="shared" si="287"/>
        <v>2561618</v>
      </c>
    </row>
    <row r="2147" spans="1:8" x14ac:dyDescent="0.25">
      <c r="A2147" s="43" t="s">
        <v>4937</v>
      </c>
      <c r="B2147" s="81" t="s">
        <v>4933</v>
      </c>
      <c r="C2147" s="26" t="s">
        <v>37</v>
      </c>
      <c r="D2147" s="68">
        <v>2205392</v>
      </c>
      <c r="E2147" s="74">
        <v>0.05</v>
      </c>
      <c r="F2147" s="129">
        <f t="shared" si="286"/>
        <v>2315661.6</v>
      </c>
      <c r="G2147" s="130">
        <f>F2147*0.19</f>
        <v>439975.70400000003</v>
      </c>
      <c r="H2147" s="131">
        <f t="shared" si="287"/>
        <v>2755637</v>
      </c>
    </row>
    <row r="2148" spans="1:8" x14ac:dyDescent="0.25">
      <c r="A2148" s="44" t="s">
        <v>4938</v>
      </c>
      <c r="B2148" s="80" t="s">
        <v>4939</v>
      </c>
      <c r="C2148" s="26"/>
      <c r="D2148" s="68"/>
      <c r="E2148" s="74"/>
      <c r="F2148" s="129"/>
      <c r="G2148" s="130"/>
      <c r="H2148" s="131"/>
    </row>
    <row r="2149" spans="1:8" x14ac:dyDescent="0.25">
      <c r="A2149" s="44" t="s">
        <v>4940</v>
      </c>
      <c r="B2149" s="80" t="s">
        <v>4950</v>
      </c>
      <c r="C2149" s="26"/>
      <c r="D2149" s="68"/>
      <c r="E2149" s="74"/>
      <c r="F2149" s="129"/>
      <c r="G2149" s="130"/>
      <c r="H2149" s="131"/>
    </row>
    <row r="2150" spans="1:8" x14ac:dyDescent="0.25">
      <c r="A2150" s="43" t="s">
        <v>1014</v>
      </c>
      <c r="B2150" s="81" t="s">
        <v>4944</v>
      </c>
      <c r="C2150" s="26" t="s">
        <v>37</v>
      </c>
      <c r="D2150" s="68">
        <v>434327.2</v>
      </c>
      <c r="E2150" s="74">
        <v>0.05</v>
      </c>
      <c r="F2150" s="129">
        <f t="shared" si="286"/>
        <v>456043.56</v>
      </c>
      <c r="G2150" s="130">
        <f>F2150*0.19</f>
        <v>86648.276400000002</v>
      </c>
      <c r="H2150" s="131">
        <f t="shared" si="287"/>
        <v>542692</v>
      </c>
    </row>
    <row r="2151" spans="1:8" x14ac:dyDescent="0.25">
      <c r="A2151" s="43" t="s">
        <v>1021</v>
      </c>
      <c r="B2151" s="81" t="s">
        <v>4945</v>
      </c>
      <c r="C2151" s="26" t="s">
        <v>37</v>
      </c>
      <c r="D2151" s="68">
        <v>505214.8</v>
      </c>
      <c r="E2151" s="74">
        <v>0.05</v>
      </c>
      <c r="F2151" s="129">
        <f t="shared" si="286"/>
        <v>530475.54</v>
      </c>
      <c r="G2151" s="130">
        <f>F2151*0.19</f>
        <v>100790.35260000001</v>
      </c>
      <c r="H2151" s="131">
        <f t="shared" si="287"/>
        <v>631266</v>
      </c>
    </row>
    <row r="2152" spans="1:8" x14ac:dyDescent="0.25">
      <c r="A2152" s="44" t="s">
        <v>1029</v>
      </c>
      <c r="B2152" s="80" t="s">
        <v>7898</v>
      </c>
      <c r="C2152" s="26"/>
      <c r="D2152" s="68"/>
      <c r="E2152" s="74"/>
      <c r="F2152" s="129"/>
      <c r="G2152" s="130"/>
      <c r="H2152" s="131"/>
    </row>
    <row r="2153" spans="1:8" x14ac:dyDescent="0.25">
      <c r="A2153" s="43" t="s">
        <v>1030</v>
      </c>
      <c r="B2153" s="81" t="s">
        <v>4946</v>
      </c>
      <c r="C2153" s="26" t="s">
        <v>37</v>
      </c>
      <c r="D2153" s="68">
        <v>354438</v>
      </c>
      <c r="E2153" s="74">
        <v>0.05</v>
      </c>
      <c r="F2153" s="129">
        <f t="shared" si="286"/>
        <v>372159.9</v>
      </c>
      <c r="G2153" s="130">
        <f>F2153*0.19</f>
        <v>70710.381000000008</v>
      </c>
      <c r="H2153" s="131">
        <f t="shared" si="287"/>
        <v>442870</v>
      </c>
    </row>
    <row r="2154" spans="1:8" x14ac:dyDescent="0.25">
      <c r="A2154" s="43" t="s">
        <v>4952</v>
      </c>
      <c r="B2154" s="81" t="s">
        <v>4947</v>
      </c>
      <c r="C2154" s="26" t="s">
        <v>37</v>
      </c>
      <c r="D2154" s="68">
        <v>459081.6</v>
      </c>
      <c r="E2154" s="74">
        <v>0.05</v>
      </c>
      <c r="F2154" s="129">
        <f t="shared" si="286"/>
        <v>482035.68</v>
      </c>
      <c r="G2154" s="130">
        <f>F2154*0.19</f>
        <v>91586.779200000004</v>
      </c>
      <c r="H2154" s="131">
        <f t="shared" si="287"/>
        <v>573622</v>
      </c>
    </row>
    <row r="2155" spans="1:8" x14ac:dyDescent="0.25">
      <c r="A2155" s="43" t="s">
        <v>4953</v>
      </c>
      <c r="B2155" s="81" t="s">
        <v>4944</v>
      </c>
      <c r="C2155" s="26" t="s">
        <v>37</v>
      </c>
      <c r="D2155" s="68">
        <v>483836</v>
      </c>
      <c r="E2155" s="74">
        <v>0.05</v>
      </c>
      <c r="F2155" s="129">
        <f t="shared" si="286"/>
        <v>508027.8</v>
      </c>
      <c r="G2155" s="130">
        <f>F2155*0.19</f>
        <v>96525.281999999992</v>
      </c>
      <c r="H2155" s="131">
        <f t="shared" si="287"/>
        <v>604553</v>
      </c>
    </row>
    <row r="2156" spans="1:8" x14ac:dyDescent="0.25">
      <c r="A2156" s="43" t="s">
        <v>4954</v>
      </c>
      <c r="B2156" s="81" t="s">
        <v>4945</v>
      </c>
      <c r="C2156" s="26" t="s">
        <v>37</v>
      </c>
      <c r="D2156" s="68">
        <v>547972.4</v>
      </c>
      <c r="E2156" s="74">
        <v>0.05</v>
      </c>
      <c r="F2156" s="129">
        <f t="shared" si="286"/>
        <v>575371.02</v>
      </c>
      <c r="G2156" s="130">
        <f>F2156*0.19</f>
        <v>109320.49380000001</v>
      </c>
      <c r="H2156" s="131">
        <f t="shared" si="287"/>
        <v>684692</v>
      </c>
    </row>
    <row r="2157" spans="1:8" x14ac:dyDescent="0.25">
      <c r="A2157" s="44" t="s">
        <v>1035</v>
      </c>
      <c r="B2157" s="80" t="s">
        <v>4951</v>
      </c>
      <c r="C2157" s="26"/>
      <c r="D2157" s="68"/>
      <c r="E2157" s="74"/>
      <c r="F2157" s="129"/>
      <c r="G2157" s="130"/>
      <c r="H2157" s="131"/>
    </row>
    <row r="2158" spans="1:8" x14ac:dyDescent="0.25">
      <c r="A2158" s="43" t="s">
        <v>4955</v>
      </c>
      <c r="B2158" s="81" t="s">
        <v>4947</v>
      </c>
      <c r="C2158" s="26" t="s">
        <v>37</v>
      </c>
      <c r="D2158" s="68">
        <v>209287.19999999998</v>
      </c>
      <c r="E2158" s="74">
        <v>0.05</v>
      </c>
      <c r="F2158" s="129">
        <f t="shared" si="286"/>
        <v>219751.56</v>
      </c>
      <c r="G2158" s="130">
        <f>F2158*0.19</f>
        <v>41752.796399999999</v>
      </c>
      <c r="H2158" s="131">
        <f t="shared" si="287"/>
        <v>261504</v>
      </c>
    </row>
    <row r="2159" spans="1:8" x14ac:dyDescent="0.25">
      <c r="A2159" s="44" t="s">
        <v>1011</v>
      </c>
      <c r="B2159" s="80" t="s">
        <v>1012</v>
      </c>
      <c r="C2159" s="26"/>
      <c r="D2159" s="68"/>
      <c r="E2159" s="74"/>
      <c r="F2159" s="129"/>
      <c r="G2159" s="130"/>
      <c r="H2159" s="131"/>
    </row>
    <row r="2160" spans="1:8" x14ac:dyDescent="0.25">
      <c r="A2160" s="44" t="s">
        <v>1013</v>
      </c>
      <c r="B2160" s="80" t="s">
        <v>4956</v>
      </c>
      <c r="C2160" s="26"/>
      <c r="D2160" s="68"/>
      <c r="E2160" s="74"/>
      <c r="F2160" s="129"/>
      <c r="G2160" s="130"/>
      <c r="H2160" s="131"/>
    </row>
    <row r="2161" spans="1:8" x14ac:dyDescent="0.25">
      <c r="A2161" s="44" t="s">
        <v>1014</v>
      </c>
      <c r="B2161" s="89" t="s">
        <v>4957</v>
      </c>
      <c r="C2161" s="26"/>
      <c r="D2161" s="68"/>
      <c r="E2161" s="74"/>
      <c r="F2161" s="129"/>
      <c r="G2161" s="130"/>
      <c r="H2161" s="131"/>
    </row>
    <row r="2162" spans="1:8" x14ac:dyDescent="0.25">
      <c r="A2162" s="43" t="s">
        <v>4969</v>
      </c>
      <c r="B2162" s="81" t="s">
        <v>4958</v>
      </c>
      <c r="C2162" s="26" t="s">
        <v>37</v>
      </c>
      <c r="D2162" s="68">
        <v>284675.59999999998</v>
      </c>
      <c r="E2162" s="74">
        <v>0.05</v>
      </c>
      <c r="F2162" s="129">
        <f t="shared" si="286"/>
        <v>298909.38</v>
      </c>
      <c r="G2162" s="130">
        <f t="shared" ref="G2162:G2172" si="288">F2162*0.19</f>
        <v>56792.782200000001</v>
      </c>
      <c r="H2162" s="131">
        <f t="shared" si="287"/>
        <v>355702</v>
      </c>
    </row>
    <row r="2163" spans="1:8" x14ac:dyDescent="0.25">
      <c r="A2163" s="43" t="s">
        <v>1015</v>
      </c>
      <c r="B2163" s="81" t="s">
        <v>4959</v>
      </c>
      <c r="C2163" s="26" t="s">
        <v>37</v>
      </c>
      <c r="D2163" s="68">
        <v>412948.39999999997</v>
      </c>
      <c r="E2163" s="74">
        <v>0.05</v>
      </c>
      <c r="F2163" s="129">
        <f t="shared" si="286"/>
        <v>433595.81999999995</v>
      </c>
      <c r="G2163" s="130">
        <f t="shared" si="288"/>
        <v>82383.205799999996</v>
      </c>
      <c r="H2163" s="131">
        <f t="shared" si="287"/>
        <v>515979</v>
      </c>
    </row>
    <row r="2164" spans="1:8" x14ac:dyDescent="0.25">
      <c r="A2164" s="43" t="s">
        <v>1016</v>
      </c>
      <c r="B2164" s="81" t="s">
        <v>4960</v>
      </c>
      <c r="C2164" s="26" t="s">
        <v>37</v>
      </c>
      <c r="D2164" s="68">
        <v>535595.19999999995</v>
      </c>
      <c r="E2164" s="74">
        <v>0.05</v>
      </c>
      <c r="F2164" s="129">
        <f t="shared" si="286"/>
        <v>562374.96</v>
      </c>
      <c r="G2164" s="130">
        <f t="shared" si="288"/>
        <v>106851.24239999999</v>
      </c>
      <c r="H2164" s="131">
        <f t="shared" si="287"/>
        <v>669226</v>
      </c>
    </row>
    <row r="2165" spans="1:8" x14ac:dyDescent="0.25">
      <c r="A2165" s="43" t="s">
        <v>1017</v>
      </c>
      <c r="B2165" s="81" t="s">
        <v>7899</v>
      </c>
      <c r="C2165" s="26" t="s">
        <v>37</v>
      </c>
      <c r="D2165" s="68">
        <v>966546.79999999993</v>
      </c>
      <c r="E2165" s="74">
        <v>0.05</v>
      </c>
      <c r="F2165" s="129">
        <f t="shared" ref="F2165:F2184" si="289">+D2165+D2165*E2165</f>
        <v>1014874.1399999999</v>
      </c>
      <c r="G2165" s="130">
        <f t="shared" si="288"/>
        <v>192826.08659999998</v>
      </c>
      <c r="H2165" s="131">
        <f t="shared" ref="H2165:H2184" si="290">ROUND((F2165+G2165),0)</f>
        <v>1207700</v>
      </c>
    </row>
    <row r="2166" spans="1:8" x14ac:dyDescent="0.25">
      <c r="A2166" s="43" t="s">
        <v>1018</v>
      </c>
      <c r="B2166" s="81" t="s">
        <v>4962</v>
      </c>
      <c r="C2166" s="26" t="s">
        <v>37</v>
      </c>
      <c r="D2166" s="68">
        <v>1430129.2</v>
      </c>
      <c r="E2166" s="74">
        <v>0.05</v>
      </c>
      <c r="F2166" s="129">
        <f t="shared" si="289"/>
        <v>1501635.66</v>
      </c>
      <c r="G2166" s="130">
        <f t="shared" si="288"/>
        <v>285310.77539999998</v>
      </c>
      <c r="H2166" s="131">
        <f t="shared" si="290"/>
        <v>1786946</v>
      </c>
    </row>
    <row r="2167" spans="1:8" x14ac:dyDescent="0.25">
      <c r="A2167" s="43" t="s">
        <v>1019</v>
      </c>
      <c r="B2167" s="81" t="s">
        <v>7368</v>
      </c>
      <c r="C2167" s="26" t="s">
        <v>37</v>
      </c>
      <c r="D2167" s="68">
        <v>2859133.1999999997</v>
      </c>
      <c r="E2167" s="74">
        <v>0.05</v>
      </c>
      <c r="F2167" s="129">
        <f t="shared" si="289"/>
        <v>3002089.86</v>
      </c>
      <c r="G2167" s="130">
        <f t="shared" si="288"/>
        <v>570397.07339999999</v>
      </c>
      <c r="H2167" s="131">
        <f t="shared" si="290"/>
        <v>3572487</v>
      </c>
    </row>
    <row r="2168" spans="1:8" x14ac:dyDescent="0.25">
      <c r="A2168" s="43" t="s">
        <v>1020</v>
      </c>
      <c r="B2168" s="81" t="s">
        <v>4964</v>
      </c>
      <c r="C2168" s="26" t="s">
        <v>37</v>
      </c>
      <c r="D2168" s="68">
        <v>3574760.4</v>
      </c>
      <c r="E2168" s="74">
        <v>0.05</v>
      </c>
      <c r="F2168" s="129">
        <f t="shared" si="289"/>
        <v>3753498.42</v>
      </c>
      <c r="G2168" s="130">
        <f t="shared" si="288"/>
        <v>713164.69979999994</v>
      </c>
      <c r="H2168" s="131">
        <f t="shared" si="290"/>
        <v>4466663</v>
      </c>
    </row>
    <row r="2169" spans="1:8" x14ac:dyDescent="0.25">
      <c r="A2169" s="43" t="s">
        <v>4970</v>
      </c>
      <c r="B2169" s="81" t="s">
        <v>7541</v>
      </c>
      <c r="C2169" s="26" t="s">
        <v>37</v>
      </c>
      <c r="D2169" s="68">
        <v>6026571.2000000002</v>
      </c>
      <c r="E2169" s="74">
        <v>0.05</v>
      </c>
      <c r="F2169" s="129">
        <f t="shared" si="289"/>
        <v>6327899.7599999998</v>
      </c>
      <c r="G2169" s="130">
        <f t="shared" si="288"/>
        <v>1202300.9543999999</v>
      </c>
      <c r="H2169" s="131">
        <f t="shared" si="290"/>
        <v>7530201</v>
      </c>
    </row>
    <row r="2170" spans="1:8" x14ac:dyDescent="0.25">
      <c r="A2170" s="43" t="s">
        <v>4971</v>
      </c>
      <c r="B2170" s="81" t="s">
        <v>7696</v>
      </c>
      <c r="C2170" s="26" t="s">
        <v>37</v>
      </c>
      <c r="D2170" s="68">
        <v>8566147.5999999996</v>
      </c>
      <c r="E2170" s="74">
        <v>0.05</v>
      </c>
      <c r="F2170" s="129">
        <f t="shared" si="289"/>
        <v>8994454.9800000004</v>
      </c>
      <c r="G2170" s="130">
        <f t="shared" si="288"/>
        <v>1708946.4462000001</v>
      </c>
      <c r="H2170" s="131">
        <f t="shared" si="290"/>
        <v>10703401</v>
      </c>
    </row>
    <row r="2171" spans="1:8" x14ac:dyDescent="0.25">
      <c r="A2171" s="43" t="s">
        <v>4972</v>
      </c>
      <c r="B2171" s="81" t="s">
        <v>4967</v>
      </c>
      <c r="C2171" s="26" t="s">
        <v>37</v>
      </c>
      <c r="D2171" s="68">
        <v>13176092</v>
      </c>
      <c r="E2171" s="74">
        <v>0.05</v>
      </c>
      <c r="F2171" s="129">
        <f t="shared" si="289"/>
        <v>13834896.6</v>
      </c>
      <c r="G2171" s="130">
        <f t="shared" si="288"/>
        <v>2628630.3539999998</v>
      </c>
      <c r="H2171" s="131">
        <f t="shared" si="290"/>
        <v>16463527</v>
      </c>
    </row>
    <row r="2172" spans="1:8" x14ac:dyDescent="0.25">
      <c r="A2172" s="43" t="s">
        <v>4973</v>
      </c>
      <c r="B2172" s="81" t="s">
        <v>4968</v>
      </c>
      <c r="C2172" s="26" t="s">
        <v>37</v>
      </c>
      <c r="D2172" s="68">
        <v>18138224</v>
      </c>
      <c r="E2172" s="74">
        <v>0.05</v>
      </c>
      <c r="F2172" s="129">
        <f t="shared" si="289"/>
        <v>19045135.199999999</v>
      </c>
      <c r="G2172" s="130">
        <f t="shared" si="288"/>
        <v>3618575.6880000001</v>
      </c>
      <c r="H2172" s="131">
        <f t="shared" si="290"/>
        <v>22663711</v>
      </c>
    </row>
    <row r="2173" spans="1:8" x14ac:dyDescent="0.25">
      <c r="A2173" s="44" t="s">
        <v>1021</v>
      </c>
      <c r="B2173" s="89" t="s">
        <v>4974</v>
      </c>
      <c r="C2173" s="26"/>
      <c r="D2173" s="1001"/>
      <c r="E2173" s="74"/>
      <c r="F2173" s="129"/>
      <c r="G2173" s="130"/>
      <c r="H2173" s="131"/>
    </row>
    <row r="2174" spans="1:8" x14ac:dyDescent="0.25">
      <c r="A2174" s="43" t="s">
        <v>1022</v>
      </c>
      <c r="B2174" s="81" t="s">
        <v>4975</v>
      </c>
      <c r="C2174" s="26" t="s">
        <v>37</v>
      </c>
      <c r="D2174" s="68">
        <v>321807.2</v>
      </c>
      <c r="E2174" s="74">
        <v>0.05</v>
      </c>
      <c r="F2174" s="129">
        <f t="shared" si="289"/>
        <v>337897.56</v>
      </c>
      <c r="G2174" s="130">
        <f t="shared" ref="G2174:G2184" si="291">F2174*0.19</f>
        <v>64200.536399999997</v>
      </c>
      <c r="H2174" s="131">
        <f t="shared" si="290"/>
        <v>402098</v>
      </c>
    </row>
    <row r="2175" spans="1:8" x14ac:dyDescent="0.25">
      <c r="A2175" s="43" t="s">
        <v>4985</v>
      </c>
      <c r="B2175" s="81" t="s">
        <v>4976</v>
      </c>
      <c r="C2175" s="26" t="s">
        <v>37</v>
      </c>
      <c r="D2175" s="68">
        <v>515341.6</v>
      </c>
      <c r="E2175" s="74">
        <v>0.05</v>
      </c>
      <c r="F2175" s="129">
        <f t="shared" si="289"/>
        <v>541108.67999999993</v>
      </c>
      <c r="G2175" s="130">
        <f t="shared" si="291"/>
        <v>102810.64919999999</v>
      </c>
      <c r="H2175" s="131">
        <f t="shared" si="290"/>
        <v>643919</v>
      </c>
    </row>
    <row r="2176" spans="1:8" x14ac:dyDescent="0.25">
      <c r="A2176" s="43" t="s">
        <v>4986</v>
      </c>
      <c r="B2176" s="81" t="s">
        <v>4977</v>
      </c>
      <c r="C2176" s="26" t="s">
        <v>37</v>
      </c>
      <c r="D2176" s="68">
        <v>651490.79999999993</v>
      </c>
      <c r="E2176" s="74">
        <v>0.05</v>
      </c>
      <c r="F2176" s="129">
        <f t="shared" si="289"/>
        <v>684065.34</v>
      </c>
      <c r="G2176" s="130">
        <f t="shared" si="291"/>
        <v>129972.41459999999</v>
      </c>
      <c r="H2176" s="131">
        <f t="shared" si="290"/>
        <v>814038</v>
      </c>
    </row>
    <row r="2177" spans="1:8" x14ac:dyDescent="0.25">
      <c r="A2177" s="43" t="s">
        <v>4987</v>
      </c>
      <c r="B2177" s="81" t="s">
        <v>7900</v>
      </c>
      <c r="C2177" s="26" t="s">
        <v>37</v>
      </c>
      <c r="D2177" s="68">
        <v>1221967.2</v>
      </c>
      <c r="E2177" s="74">
        <v>0.05</v>
      </c>
      <c r="F2177" s="129">
        <f t="shared" si="289"/>
        <v>1283065.56</v>
      </c>
      <c r="G2177" s="130">
        <f t="shared" si="291"/>
        <v>243782.45640000002</v>
      </c>
      <c r="H2177" s="131">
        <f t="shared" si="290"/>
        <v>1526848</v>
      </c>
    </row>
    <row r="2178" spans="1:8" x14ac:dyDescent="0.25">
      <c r="A2178" s="43" t="s">
        <v>4988</v>
      </c>
      <c r="B2178" s="81" t="s">
        <v>4984</v>
      </c>
      <c r="C2178" s="26" t="s">
        <v>37</v>
      </c>
      <c r="D2178" s="68">
        <v>1684424.4</v>
      </c>
      <c r="E2178" s="74">
        <v>0.05</v>
      </c>
      <c r="F2178" s="129">
        <f t="shared" si="289"/>
        <v>1768645.6199999999</v>
      </c>
      <c r="G2178" s="130">
        <f t="shared" si="291"/>
        <v>336042.6678</v>
      </c>
      <c r="H2178" s="131">
        <f t="shared" si="290"/>
        <v>2104688</v>
      </c>
    </row>
    <row r="2179" spans="1:8" x14ac:dyDescent="0.25">
      <c r="A2179" s="43" t="s">
        <v>4989</v>
      </c>
      <c r="B2179" s="81" t="s">
        <v>7369</v>
      </c>
      <c r="C2179" s="26" t="s">
        <v>37</v>
      </c>
      <c r="D2179" s="68">
        <v>2970528</v>
      </c>
      <c r="E2179" s="74">
        <v>0.05</v>
      </c>
      <c r="F2179" s="129">
        <f t="shared" si="289"/>
        <v>3119054.4</v>
      </c>
      <c r="G2179" s="130">
        <f t="shared" si="291"/>
        <v>592620.33600000001</v>
      </c>
      <c r="H2179" s="131">
        <f t="shared" si="290"/>
        <v>3711675</v>
      </c>
    </row>
    <row r="2180" spans="1:8" x14ac:dyDescent="0.25">
      <c r="A2180" s="43" t="s">
        <v>4990</v>
      </c>
      <c r="B2180" s="81" t="s">
        <v>4979</v>
      </c>
      <c r="C2180" s="26" t="s">
        <v>37</v>
      </c>
      <c r="D2180" s="68">
        <v>3754792.4</v>
      </c>
      <c r="E2180" s="74">
        <v>0.05</v>
      </c>
      <c r="F2180" s="129">
        <f t="shared" si="289"/>
        <v>3942532.02</v>
      </c>
      <c r="G2180" s="130">
        <f t="shared" si="291"/>
        <v>749081.08380000002</v>
      </c>
      <c r="H2180" s="131">
        <f t="shared" si="290"/>
        <v>4691613</v>
      </c>
    </row>
    <row r="2181" spans="1:8" x14ac:dyDescent="0.25">
      <c r="A2181" s="43" t="s">
        <v>4991</v>
      </c>
      <c r="B2181" s="81" t="s">
        <v>7542</v>
      </c>
      <c r="C2181" s="26" t="s">
        <v>37</v>
      </c>
      <c r="D2181" s="68">
        <v>6467649.5999999996</v>
      </c>
      <c r="E2181" s="74">
        <v>0.05</v>
      </c>
      <c r="F2181" s="129">
        <f t="shared" si="289"/>
        <v>6791032.0800000001</v>
      </c>
      <c r="G2181" s="130">
        <f t="shared" si="291"/>
        <v>1290296.0952000001</v>
      </c>
      <c r="H2181" s="131">
        <f t="shared" si="290"/>
        <v>8081328</v>
      </c>
    </row>
    <row r="2182" spans="1:8" x14ac:dyDescent="0.25">
      <c r="A2182" s="43" t="s">
        <v>4992</v>
      </c>
      <c r="B2182" s="81" t="s">
        <v>7697</v>
      </c>
      <c r="C2182" s="26" t="s">
        <v>37</v>
      </c>
      <c r="D2182" s="68">
        <v>8741678.8000000007</v>
      </c>
      <c r="E2182" s="74">
        <v>0.05</v>
      </c>
      <c r="F2182" s="129">
        <f t="shared" si="289"/>
        <v>9178762.7400000002</v>
      </c>
      <c r="G2182" s="130">
        <f t="shared" si="291"/>
        <v>1743964.9206000001</v>
      </c>
      <c r="H2182" s="131">
        <f t="shared" si="290"/>
        <v>10922728</v>
      </c>
    </row>
    <row r="2183" spans="1:8" x14ac:dyDescent="0.25">
      <c r="A2183" s="43" t="s">
        <v>4993</v>
      </c>
      <c r="B2183" s="81" t="s">
        <v>4982</v>
      </c>
      <c r="C2183" s="26" t="s">
        <v>37</v>
      </c>
      <c r="D2183" s="68">
        <v>13457392</v>
      </c>
      <c r="E2183" s="74">
        <v>0.05</v>
      </c>
      <c r="F2183" s="129">
        <f t="shared" si="289"/>
        <v>14130261.6</v>
      </c>
      <c r="G2183" s="130">
        <f t="shared" si="291"/>
        <v>2684749.7039999999</v>
      </c>
      <c r="H2183" s="131">
        <f t="shared" si="290"/>
        <v>16815011</v>
      </c>
    </row>
    <row r="2184" spans="1:8" x14ac:dyDescent="0.25">
      <c r="A2184" s="43" t="s">
        <v>4994</v>
      </c>
      <c r="B2184" s="81" t="s">
        <v>4983</v>
      </c>
      <c r="C2184" s="26" t="s">
        <v>37</v>
      </c>
      <c r="D2184" s="68">
        <v>19180159.199999999</v>
      </c>
      <c r="E2184" s="74">
        <v>0.05</v>
      </c>
      <c r="F2184" s="129">
        <f t="shared" si="289"/>
        <v>20139167.16</v>
      </c>
      <c r="G2184" s="130">
        <f t="shared" si="291"/>
        <v>3826441.7604</v>
      </c>
      <c r="H2184" s="131">
        <f t="shared" si="290"/>
        <v>23965609</v>
      </c>
    </row>
    <row r="2185" spans="1:8" x14ac:dyDescent="0.25">
      <c r="A2185" s="44" t="s">
        <v>5066</v>
      </c>
      <c r="B2185" s="80" t="s">
        <v>5052</v>
      </c>
      <c r="C2185" s="14"/>
      <c r="D2185" s="68"/>
      <c r="E2185" s="74"/>
      <c r="F2185" s="75"/>
      <c r="G2185" s="76"/>
      <c r="H2185" s="77"/>
    </row>
    <row r="2186" spans="1:8" x14ac:dyDescent="0.25">
      <c r="A2186" s="44" t="s">
        <v>1030</v>
      </c>
      <c r="B2186" s="89" t="s">
        <v>4957</v>
      </c>
      <c r="C2186" s="14"/>
      <c r="D2186" s="68"/>
      <c r="E2186" s="74"/>
      <c r="F2186" s="75"/>
      <c r="G2186" s="76"/>
      <c r="H2186" s="77"/>
    </row>
    <row r="2187" spans="1:8" x14ac:dyDescent="0.25">
      <c r="A2187" s="43" t="s">
        <v>5003</v>
      </c>
      <c r="B2187" s="81" t="s">
        <v>5054</v>
      </c>
      <c r="C2187" s="26" t="s">
        <v>37</v>
      </c>
      <c r="D2187" s="68">
        <v>458700</v>
      </c>
      <c r="E2187" s="74">
        <v>0.05</v>
      </c>
      <c r="F2187" s="129">
        <f t="shared" ref="F2187:F2197" si="292">+D2187+D2187*E2187</f>
        <v>481635</v>
      </c>
      <c r="G2187" s="130">
        <f t="shared" ref="G2187:G2197" si="293">F2187*0.19</f>
        <v>91510.65</v>
      </c>
      <c r="H2187" s="131">
        <f t="shared" ref="H2187:H2197" si="294">ROUND((F2187+G2187),0)</f>
        <v>573146</v>
      </c>
    </row>
    <row r="2188" spans="1:8" x14ac:dyDescent="0.25">
      <c r="A2188" s="43" t="s">
        <v>1023</v>
      </c>
      <c r="B2188" s="81" t="s">
        <v>5055</v>
      </c>
      <c r="C2188" s="26" t="s">
        <v>37</v>
      </c>
      <c r="D2188" s="68">
        <v>750200</v>
      </c>
      <c r="E2188" s="74">
        <v>0.05</v>
      </c>
      <c r="F2188" s="129">
        <f t="shared" si="292"/>
        <v>787710</v>
      </c>
      <c r="G2188" s="130">
        <f t="shared" si="293"/>
        <v>149664.9</v>
      </c>
      <c r="H2188" s="131">
        <f t="shared" si="294"/>
        <v>937375</v>
      </c>
    </row>
    <row r="2189" spans="1:8" x14ac:dyDescent="0.25">
      <c r="A2189" s="43" t="s">
        <v>1024</v>
      </c>
      <c r="B2189" s="81" t="s">
        <v>5056</v>
      </c>
      <c r="C2189" s="26" t="s">
        <v>37</v>
      </c>
      <c r="D2189" s="68">
        <v>870100</v>
      </c>
      <c r="E2189" s="74">
        <v>0.05</v>
      </c>
      <c r="F2189" s="129">
        <f t="shared" si="292"/>
        <v>913605</v>
      </c>
      <c r="G2189" s="130">
        <f t="shared" si="293"/>
        <v>173584.95</v>
      </c>
      <c r="H2189" s="131">
        <f t="shared" si="294"/>
        <v>1087190</v>
      </c>
    </row>
    <row r="2190" spans="1:8" x14ac:dyDescent="0.25">
      <c r="A2190" s="43" t="s">
        <v>1025</v>
      </c>
      <c r="B2190" s="81" t="s">
        <v>7901</v>
      </c>
      <c r="C2190" s="26" t="s">
        <v>37</v>
      </c>
      <c r="D2190" s="68">
        <v>1680800</v>
      </c>
      <c r="E2190" s="74">
        <v>0.05</v>
      </c>
      <c r="F2190" s="129">
        <f t="shared" si="292"/>
        <v>1764840</v>
      </c>
      <c r="G2190" s="130">
        <f t="shared" si="293"/>
        <v>335319.59999999998</v>
      </c>
      <c r="H2190" s="131">
        <f t="shared" si="294"/>
        <v>2100160</v>
      </c>
    </row>
    <row r="2191" spans="1:8" x14ac:dyDescent="0.25">
      <c r="A2191" s="43" t="s">
        <v>1026</v>
      </c>
      <c r="B2191" s="81" t="s">
        <v>5058</v>
      </c>
      <c r="C2191" s="26" t="s">
        <v>37</v>
      </c>
      <c r="D2191" s="68">
        <v>2910600</v>
      </c>
      <c r="E2191" s="74">
        <v>0.05</v>
      </c>
      <c r="F2191" s="129">
        <f t="shared" si="292"/>
        <v>3056130</v>
      </c>
      <c r="G2191" s="130">
        <f t="shared" si="293"/>
        <v>580664.69999999995</v>
      </c>
      <c r="H2191" s="131">
        <f t="shared" si="294"/>
        <v>3636795</v>
      </c>
    </row>
    <row r="2192" spans="1:8" x14ac:dyDescent="0.25">
      <c r="A2192" s="43" t="s">
        <v>1027</v>
      </c>
      <c r="B2192" s="81" t="s">
        <v>7370</v>
      </c>
      <c r="C2192" s="26" t="s">
        <v>37</v>
      </c>
      <c r="D2192" s="68">
        <v>4650800</v>
      </c>
      <c r="E2192" s="74">
        <v>0.05</v>
      </c>
      <c r="F2192" s="129">
        <f t="shared" si="292"/>
        <v>4883340</v>
      </c>
      <c r="G2192" s="130">
        <f t="shared" si="293"/>
        <v>927834.6</v>
      </c>
      <c r="H2192" s="131">
        <f t="shared" si="294"/>
        <v>5811175</v>
      </c>
    </row>
    <row r="2193" spans="1:8" x14ac:dyDescent="0.25">
      <c r="A2193" s="43" t="s">
        <v>1028</v>
      </c>
      <c r="B2193" s="81" t="s">
        <v>5060</v>
      </c>
      <c r="C2193" s="26" t="s">
        <v>37</v>
      </c>
      <c r="D2193" s="68">
        <v>5820100</v>
      </c>
      <c r="E2193" s="74">
        <v>0.05</v>
      </c>
      <c r="F2193" s="129">
        <f t="shared" si="292"/>
        <v>6111105</v>
      </c>
      <c r="G2193" s="130">
        <f t="shared" si="293"/>
        <v>1161109.95</v>
      </c>
      <c r="H2193" s="131">
        <f t="shared" si="294"/>
        <v>7272215</v>
      </c>
    </row>
    <row r="2194" spans="1:8" x14ac:dyDescent="0.25">
      <c r="A2194" s="43" t="s">
        <v>5004</v>
      </c>
      <c r="B2194" s="81" t="s">
        <v>7543</v>
      </c>
      <c r="C2194" s="26" t="s">
        <v>37</v>
      </c>
      <c r="D2194" s="68">
        <v>14730100</v>
      </c>
      <c r="E2194" s="74">
        <v>0.05</v>
      </c>
      <c r="F2194" s="129">
        <f t="shared" si="292"/>
        <v>15466605</v>
      </c>
      <c r="G2194" s="130">
        <f t="shared" si="293"/>
        <v>2938654.95</v>
      </c>
      <c r="H2194" s="131">
        <f t="shared" si="294"/>
        <v>18405260</v>
      </c>
    </row>
    <row r="2195" spans="1:8" x14ac:dyDescent="0.25">
      <c r="A2195" s="43" t="s">
        <v>5067</v>
      </c>
      <c r="B2195" s="81" t="s">
        <v>7698</v>
      </c>
      <c r="C2195" s="26" t="s">
        <v>37</v>
      </c>
      <c r="D2195" s="68">
        <v>14295600</v>
      </c>
      <c r="E2195" s="74">
        <v>0.05</v>
      </c>
      <c r="F2195" s="129">
        <f t="shared" si="292"/>
        <v>15010380</v>
      </c>
      <c r="G2195" s="130">
        <f t="shared" si="293"/>
        <v>2851972.2</v>
      </c>
      <c r="H2195" s="131">
        <f t="shared" si="294"/>
        <v>17862352</v>
      </c>
    </row>
    <row r="2196" spans="1:8" x14ac:dyDescent="0.25">
      <c r="A2196" s="43" t="s">
        <v>5068</v>
      </c>
      <c r="B2196" s="81" t="s">
        <v>5063</v>
      </c>
      <c r="C2196" s="26" t="s">
        <v>37</v>
      </c>
      <c r="D2196" s="68">
        <v>30630600</v>
      </c>
      <c r="E2196" s="74">
        <v>0.05</v>
      </c>
      <c r="F2196" s="129">
        <f t="shared" si="292"/>
        <v>32162130</v>
      </c>
      <c r="G2196" s="130">
        <f t="shared" si="293"/>
        <v>6110804.7000000002</v>
      </c>
      <c r="H2196" s="131">
        <f t="shared" si="294"/>
        <v>38272935</v>
      </c>
    </row>
    <row r="2197" spans="1:8" x14ac:dyDescent="0.25">
      <c r="A2197" s="43" t="s">
        <v>5069</v>
      </c>
      <c r="B2197" s="81" t="s">
        <v>5064</v>
      </c>
      <c r="C2197" s="26" t="s">
        <v>37</v>
      </c>
      <c r="D2197" s="68">
        <v>37741000</v>
      </c>
      <c r="E2197" s="74">
        <v>0.05</v>
      </c>
      <c r="F2197" s="129">
        <f t="shared" si="292"/>
        <v>39628050</v>
      </c>
      <c r="G2197" s="130">
        <f t="shared" si="293"/>
        <v>7529329.5</v>
      </c>
      <c r="H2197" s="131">
        <f t="shared" si="294"/>
        <v>47157380</v>
      </c>
    </row>
    <row r="2198" spans="1:8" x14ac:dyDescent="0.25">
      <c r="A2198" s="44" t="s">
        <v>4952</v>
      </c>
      <c r="B2198" s="89" t="s">
        <v>4974</v>
      </c>
      <c r="C2198" s="14"/>
      <c r="D2198" s="68"/>
      <c r="E2198" s="74"/>
      <c r="F2198" s="75"/>
      <c r="G2198" s="76"/>
      <c r="H2198" s="77"/>
    </row>
    <row r="2199" spans="1:8" x14ac:dyDescent="0.25">
      <c r="A2199" s="43" t="s">
        <v>5070</v>
      </c>
      <c r="B2199" s="81" t="s">
        <v>5054</v>
      </c>
      <c r="C2199" s="26" t="s">
        <v>37</v>
      </c>
      <c r="D2199" s="68">
        <v>536800</v>
      </c>
      <c r="E2199" s="74">
        <v>0.05</v>
      </c>
      <c r="F2199" s="129">
        <f t="shared" ref="F2199:F2210" si="295">+D2199+D2199*E2199</f>
        <v>563640</v>
      </c>
      <c r="G2199" s="130">
        <f t="shared" ref="G2199:G2210" si="296">F2199*0.19</f>
        <v>107091.6</v>
      </c>
      <c r="H2199" s="131">
        <f t="shared" ref="H2199:H2210" si="297">ROUND((F2199+G2199),0)</f>
        <v>670732</v>
      </c>
    </row>
    <row r="2200" spans="1:8" x14ac:dyDescent="0.25">
      <c r="A2200" s="43" t="s">
        <v>5011</v>
      </c>
      <c r="B2200" s="81" t="s">
        <v>5055</v>
      </c>
      <c r="C2200" s="26" t="s">
        <v>37</v>
      </c>
      <c r="D2200" s="68">
        <v>810700</v>
      </c>
      <c r="E2200" s="74">
        <v>0.05</v>
      </c>
      <c r="F2200" s="129">
        <f t="shared" si="295"/>
        <v>851235</v>
      </c>
      <c r="G2200" s="130">
        <f t="shared" si="296"/>
        <v>161734.65</v>
      </c>
      <c r="H2200" s="131">
        <f t="shared" si="297"/>
        <v>1012970</v>
      </c>
    </row>
    <row r="2201" spans="1:8" x14ac:dyDescent="0.25">
      <c r="A2201" s="43" t="s">
        <v>5012</v>
      </c>
      <c r="B2201" s="81" t="s">
        <v>5056</v>
      </c>
      <c r="C2201" s="26" t="s">
        <v>37</v>
      </c>
      <c r="D2201" s="68">
        <v>1080200</v>
      </c>
      <c r="E2201" s="74">
        <v>0.05</v>
      </c>
      <c r="F2201" s="129">
        <f t="shared" si="295"/>
        <v>1134210</v>
      </c>
      <c r="G2201" s="130">
        <f t="shared" si="296"/>
        <v>215499.9</v>
      </c>
      <c r="H2201" s="131">
        <f t="shared" si="297"/>
        <v>1349710</v>
      </c>
    </row>
    <row r="2202" spans="1:8" x14ac:dyDescent="0.25">
      <c r="A2202" s="43" t="s">
        <v>5013</v>
      </c>
      <c r="B2202" s="81" t="s">
        <v>7901</v>
      </c>
      <c r="C2202" s="26" t="s">
        <v>37</v>
      </c>
      <c r="D2202" s="68">
        <v>1892000</v>
      </c>
      <c r="E2202" s="74">
        <v>0.05</v>
      </c>
      <c r="F2202" s="129">
        <f t="shared" si="295"/>
        <v>1986600</v>
      </c>
      <c r="G2202" s="130">
        <f t="shared" si="296"/>
        <v>377454</v>
      </c>
      <c r="H2202" s="131">
        <f t="shared" si="297"/>
        <v>2364054</v>
      </c>
    </row>
    <row r="2203" spans="1:8" x14ac:dyDescent="0.25">
      <c r="A2203" s="43" t="s">
        <v>1034</v>
      </c>
      <c r="B2203" s="81" t="s">
        <v>5058</v>
      </c>
      <c r="C2203" s="26" t="s">
        <v>37</v>
      </c>
      <c r="D2203" s="68">
        <v>3210900</v>
      </c>
      <c r="E2203" s="74">
        <v>0.05</v>
      </c>
      <c r="F2203" s="129">
        <f t="shared" si="295"/>
        <v>3371445</v>
      </c>
      <c r="G2203" s="130">
        <f t="shared" si="296"/>
        <v>640574.55000000005</v>
      </c>
      <c r="H2203" s="131">
        <f t="shared" si="297"/>
        <v>4012020</v>
      </c>
    </row>
    <row r="2204" spans="1:8" x14ac:dyDescent="0.25">
      <c r="A2204" s="43" t="s">
        <v>1033</v>
      </c>
      <c r="B2204" s="81" t="s">
        <v>7370</v>
      </c>
      <c r="C2204" s="26" t="s">
        <v>37</v>
      </c>
      <c r="D2204" s="68">
        <v>4524300</v>
      </c>
      <c r="E2204" s="74">
        <v>0.05</v>
      </c>
      <c r="F2204" s="129">
        <f t="shared" si="295"/>
        <v>4750515</v>
      </c>
      <c r="G2204" s="130">
        <f t="shared" si="296"/>
        <v>902597.85</v>
      </c>
      <c r="H2204" s="131">
        <f t="shared" si="297"/>
        <v>5653113</v>
      </c>
    </row>
    <row r="2205" spans="1:8" x14ac:dyDescent="0.25">
      <c r="A2205" s="43" t="s">
        <v>5071</v>
      </c>
      <c r="B2205" s="81" t="s">
        <v>5060</v>
      </c>
      <c r="C2205" s="26" t="s">
        <v>37</v>
      </c>
      <c r="D2205" s="68">
        <v>8160900</v>
      </c>
      <c r="E2205" s="74">
        <v>0.05</v>
      </c>
      <c r="F2205" s="129">
        <f t="shared" si="295"/>
        <v>8568945</v>
      </c>
      <c r="G2205" s="130">
        <f t="shared" si="296"/>
        <v>1628099.55</v>
      </c>
      <c r="H2205" s="131">
        <f t="shared" si="297"/>
        <v>10197045</v>
      </c>
    </row>
    <row r="2206" spans="1:8" x14ac:dyDescent="0.25">
      <c r="A2206" s="43" t="s">
        <v>5072</v>
      </c>
      <c r="B2206" s="81" t="s">
        <v>7543</v>
      </c>
      <c r="C2206" s="26" t="s">
        <v>37</v>
      </c>
      <c r="D2206" s="68">
        <v>11250800</v>
      </c>
      <c r="E2206" s="74">
        <v>0.05</v>
      </c>
      <c r="F2206" s="129">
        <f t="shared" si="295"/>
        <v>11813340</v>
      </c>
      <c r="G2206" s="130">
        <f t="shared" si="296"/>
        <v>2244534.6</v>
      </c>
      <c r="H2206" s="131">
        <f t="shared" si="297"/>
        <v>14057875</v>
      </c>
    </row>
    <row r="2207" spans="1:8" x14ac:dyDescent="0.25">
      <c r="A2207" s="43" t="s">
        <v>5073</v>
      </c>
      <c r="B2207" s="81" t="s">
        <v>7698</v>
      </c>
      <c r="C2207" s="26" t="s">
        <v>37</v>
      </c>
      <c r="D2207" s="68">
        <v>15000700</v>
      </c>
      <c r="E2207" s="74">
        <v>0.05</v>
      </c>
      <c r="F2207" s="129">
        <f t="shared" si="295"/>
        <v>15750735</v>
      </c>
      <c r="G2207" s="130">
        <f t="shared" si="296"/>
        <v>2992639.65</v>
      </c>
      <c r="H2207" s="131">
        <f t="shared" si="297"/>
        <v>18743375</v>
      </c>
    </row>
    <row r="2208" spans="1:8" x14ac:dyDescent="0.25">
      <c r="A2208" s="43" t="s">
        <v>5074</v>
      </c>
      <c r="B2208" s="81" t="s">
        <v>5063</v>
      </c>
      <c r="C2208" s="26" t="s">
        <v>37</v>
      </c>
      <c r="D2208" s="68">
        <v>29475600</v>
      </c>
      <c r="E2208" s="74">
        <v>0.05</v>
      </c>
      <c r="F2208" s="129">
        <f t="shared" si="295"/>
        <v>30949380</v>
      </c>
      <c r="G2208" s="130">
        <f t="shared" si="296"/>
        <v>5880382.2000000002</v>
      </c>
      <c r="H2208" s="131">
        <f t="shared" si="297"/>
        <v>36829762</v>
      </c>
    </row>
    <row r="2209" spans="1:8" x14ac:dyDescent="0.25">
      <c r="A2209" s="43" t="s">
        <v>5075</v>
      </c>
      <c r="B2209" s="81" t="s">
        <v>5064</v>
      </c>
      <c r="C2209" s="26" t="s">
        <v>37</v>
      </c>
      <c r="D2209" s="68">
        <v>30120200</v>
      </c>
      <c r="E2209" s="74">
        <v>0.05</v>
      </c>
      <c r="F2209" s="129">
        <f t="shared" si="295"/>
        <v>31626210</v>
      </c>
      <c r="G2209" s="130">
        <f t="shared" si="296"/>
        <v>6008979.9000000004</v>
      </c>
      <c r="H2209" s="131">
        <f t="shared" si="297"/>
        <v>37635190</v>
      </c>
    </row>
    <row r="2210" spans="1:8" x14ac:dyDescent="0.25">
      <c r="A2210" s="43" t="s">
        <v>5076</v>
      </c>
      <c r="B2210" s="81" t="s">
        <v>5065</v>
      </c>
      <c r="C2210" s="26" t="s">
        <v>37</v>
      </c>
      <c r="D2210" s="68">
        <v>47100900</v>
      </c>
      <c r="E2210" s="74">
        <v>0.05</v>
      </c>
      <c r="F2210" s="129">
        <f t="shared" si="295"/>
        <v>49455945</v>
      </c>
      <c r="G2210" s="130">
        <f t="shared" si="296"/>
        <v>9396629.5500000007</v>
      </c>
      <c r="H2210" s="131">
        <f t="shared" si="297"/>
        <v>58852575</v>
      </c>
    </row>
    <row r="2211" spans="1:8" x14ac:dyDescent="0.25">
      <c r="A2211" s="44" t="s">
        <v>4955</v>
      </c>
      <c r="B2211" s="80" t="s">
        <v>5077</v>
      </c>
      <c r="C2211" s="14"/>
      <c r="D2211" s="68"/>
      <c r="E2211" s="74"/>
      <c r="F2211" s="75"/>
      <c r="G2211" s="76"/>
      <c r="H2211" s="77"/>
    </row>
    <row r="2212" spans="1:8" x14ac:dyDescent="0.25">
      <c r="A2212" s="43" t="s">
        <v>5022</v>
      </c>
      <c r="B2212" s="81" t="s">
        <v>5078</v>
      </c>
      <c r="C2212" s="26" t="s">
        <v>37</v>
      </c>
      <c r="D2212" s="68">
        <v>696300</v>
      </c>
      <c r="E2212" s="74">
        <v>0.05</v>
      </c>
      <c r="F2212" s="129">
        <f t="shared" ref="F2212:F2217" si="298">+D2212+D2212*E2212</f>
        <v>731115</v>
      </c>
      <c r="G2212" s="130">
        <f t="shared" ref="G2212:G2217" si="299">F2212*0.19</f>
        <v>138911.85</v>
      </c>
      <c r="H2212" s="131">
        <f t="shared" ref="H2212:H2217" si="300">ROUND((F2212+G2212),0)</f>
        <v>870027</v>
      </c>
    </row>
    <row r="2213" spans="1:8" x14ac:dyDescent="0.25">
      <c r="A2213" s="43" t="s">
        <v>5091</v>
      </c>
      <c r="B2213" s="81" t="s">
        <v>5079</v>
      </c>
      <c r="C2213" s="26" t="s">
        <v>37</v>
      </c>
      <c r="D2213" s="68">
        <v>1100000</v>
      </c>
      <c r="E2213" s="74">
        <v>0.05</v>
      </c>
      <c r="F2213" s="129">
        <f t="shared" si="298"/>
        <v>1155000</v>
      </c>
      <c r="G2213" s="130">
        <f t="shared" si="299"/>
        <v>219450</v>
      </c>
      <c r="H2213" s="131">
        <f t="shared" si="300"/>
        <v>1374450</v>
      </c>
    </row>
    <row r="2214" spans="1:8" x14ac:dyDescent="0.25">
      <c r="A2214" s="43" t="s">
        <v>5092</v>
      </c>
      <c r="B2214" s="81" t="s">
        <v>7902</v>
      </c>
      <c r="C2214" s="26" t="s">
        <v>37</v>
      </c>
      <c r="D2214" s="68">
        <v>1651100</v>
      </c>
      <c r="E2214" s="74">
        <v>0.05</v>
      </c>
      <c r="F2214" s="129">
        <f t="shared" si="298"/>
        <v>1733655</v>
      </c>
      <c r="G2214" s="130">
        <f t="shared" si="299"/>
        <v>329394.45</v>
      </c>
      <c r="H2214" s="131">
        <f t="shared" si="300"/>
        <v>2063049</v>
      </c>
    </row>
    <row r="2215" spans="1:8" x14ac:dyDescent="0.25">
      <c r="A2215" s="43" t="s">
        <v>5093</v>
      </c>
      <c r="B2215" s="81" t="s">
        <v>5081</v>
      </c>
      <c r="C2215" s="26" t="s">
        <v>37</v>
      </c>
      <c r="D2215" s="68">
        <v>2657600</v>
      </c>
      <c r="E2215" s="74">
        <v>0.05</v>
      </c>
      <c r="F2215" s="129">
        <f t="shared" si="298"/>
        <v>2790480</v>
      </c>
      <c r="G2215" s="130">
        <f t="shared" si="299"/>
        <v>530191.19999999995</v>
      </c>
      <c r="H2215" s="131">
        <f t="shared" si="300"/>
        <v>3320671</v>
      </c>
    </row>
    <row r="2216" spans="1:8" x14ac:dyDescent="0.25">
      <c r="A2216" s="43" t="s">
        <v>5094</v>
      </c>
      <c r="B2216" s="81" t="s">
        <v>7371</v>
      </c>
      <c r="C2216" s="26" t="s">
        <v>37</v>
      </c>
      <c r="D2216" s="68">
        <v>4210800</v>
      </c>
      <c r="E2216" s="74">
        <v>0.05</v>
      </c>
      <c r="F2216" s="129">
        <f t="shared" si="298"/>
        <v>4421340</v>
      </c>
      <c r="G2216" s="130">
        <f t="shared" si="299"/>
        <v>840054.6</v>
      </c>
      <c r="H2216" s="131">
        <f t="shared" si="300"/>
        <v>5261395</v>
      </c>
    </row>
    <row r="2217" spans="1:8" x14ac:dyDescent="0.25">
      <c r="A2217" s="43" t="s">
        <v>5095</v>
      </c>
      <c r="B2217" s="81" t="s">
        <v>5083</v>
      </c>
      <c r="C2217" s="26" t="s">
        <v>37</v>
      </c>
      <c r="D2217" s="68">
        <v>5892700</v>
      </c>
      <c r="E2217" s="74">
        <v>0.05</v>
      </c>
      <c r="F2217" s="129">
        <f t="shared" si="298"/>
        <v>6187335</v>
      </c>
      <c r="G2217" s="130">
        <f t="shared" si="299"/>
        <v>1175593.6499999999</v>
      </c>
      <c r="H2217" s="131">
        <f t="shared" si="300"/>
        <v>7362929</v>
      </c>
    </row>
    <row r="2218" spans="1:8" x14ac:dyDescent="0.25">
      <c r="A2218" s="44" t="s">
        <v>5023</v>
      </c>
      <c r="B2218" s="80" t="s">
        <v>5084</v>
      </c>
      <c r="C2218" s="14"/>
      <c r="D2218" s="68"/>
      <c r="E2218" s="74"/>
      <c r="F2218" s="75"/>
      <c r="G2218" s="76"/>
      <c r="H2218" s="77"/>
    </row>
    <row r="2219" spans="1:8" x14ac:dyDescent="0.25">
      <c r="A2219" s="43" t="s">
        <v>5096</v>
      </c>
      <c r="B2219" s="81" t="s">
        <v>5085</v>
      </c>
      <c r="C2219" s="26" t="s">
        <v>37</v>
      </c>
      <c r="D2219" s="68">
        <v>1020800</v>
      </c>
      <c r="E2219" s="74">
        <v>0.05</v>
      </c>
      <c r="F2219" s="129">
        <f t="shared" ref="F2219:F2224" si="301">+D2219+D2219*E2219</f>
        <v>1071840</v>
      </c>
      <c r="G2219" s="130">
        <f t="shared" ref="G2219:G2224" si="302">F2219*0.19</f>
        <v>203649.6</v>
      </c>
      <c r="H2219" s="131">
        <f t="shared" ref="H2219:H2224" si="303">ROUND((F2219+G2219),0)</f>
        <v>1275490</v>
      </c>
    </row>
    <row r="2220" spans="1:8" x14ac:dyDescent="0.25">
      <c r="A2220" s="43" t="s">
        <v>5097</v>
      </c>
      <c r="B2220" s="81" t="s">
        <v>5086</v>
      </c>
      <c r="C2220" s="26" t="s">
        <v>37</v>
      </c>
      <c r="D2220" s="68">
        <v>1623600</v>
      </c>
      <c r="E2220" s="74">
        <v>0.05</v>
      </c>
      <c r="F2220" s="129">
        <f t="shared" si="301"/>
        <v>1704780</v>
      </c>
      <c r="G2220" s="130">
        <f t="shared" si="302"/>
        <v>323908.2</v>
      </c>
      <c r="H2220" s="131">
        <f t="shared" si="303"/>
        <v>2028688</v>
      </c>
    </row>
    <row r="2221" spans="1:8" x14ac:dyDescent="0.25">
      <c r="A2221" s="43" t="s">
        <v>5098</v>
      </c>
      <c r="B2221" s="81" t="s">
        <v>7903</v>
      </c>
      <c r="C2221" s="26" t="s">
        <v>37</v>
      </c>
      <c r="D2221" s="68">
        <v>2957900</v>
      </c>
      <c r="E2221" s="74">
        <v>0.05</v>
      </c>
      <c r="F2221" s="129">
        <f t="shared" si="301"/>
        <v>3105795</v>
      </c>
      <c r="G2221" s="130">
        <f t="shared" si="302"/>
        <v>590101.05000000005</v>
      </c>
      <c r="H2221" s="131">
        <f t="shared" si="303"/>
        <v>3695896</v>
      </c>
    </row>
    <row r="2222" spans="1:8" x14ac:dyDescent="0.25">
      <c r="A2222" s="43" t="s">
        <v>5099</v>
      </c>
      <c r="B2222" s="81" t="s">
        <v>5088</v>
      </c>
      <c r="C2222" s="26" t="s">
        <v>37</v>
      </c>
      <c r="D2222" s="68">
        <v>3917100</v>
      </c>
      <c r="E2222" s="74">
        <v>0.05</v>
      </c>
      <c r="F2222" s="129">
        <f t="shared" si="301"/>
        <v>4112955</v>
      </c>
      <c r="G2222" s="130">
        <f t="shared" si="302"/>
        <v>781461.45</v>
      </c>
      <c r="H2222" s="131">
        <f t="shared" si="303"/>
        <v>4894416</v>
      </c>
    </row>
    <row r="2223" spans="1:8" x14ac:dyDescent="0.25">
      <c r="A2223" s="43" t="s">
        <v>5100</v>
      </c>
      <c r="B2223" s="81" t="s">
        <v>7372</v>
      </c>
      <c r="C2223" s="26" t="s">
        <v>37</v>
      </c>
      <c r="D2223" s="68">
        <v>6121500</v>
      </c>
      <c r="E2223" s="74">
        <v>0.05</v>
      </c>
      <c r="F2223" s="129">
        <f t="shared" si="301"/>
        <v>6427575</v>
      </c>
      <c r="G2223" s="130">
        <f t="shared" si="302"/>
        <v>1221239.25</v>
      </c>
      <c r="H2223" s="131">
        <f t="shared" si="303"/>
        <v>7648814</v>
      </c>
    </row>
    <row r="2224" spans="1:8" x14ac:dyDescent="0.25">
      <c r="A2224" s="43" t="s">
        <v>5101</v>
      </c>
      <c r="B2224" s="81" t="s">
        <v>5090</v>
      </c>
      <c r="C2224" s="26" t="s">
        <v>37</v>
      </c>
      <c r="D2224" s="68">
        <v>7500900</v>
      </c>
      <c r="E2224" s="74">
        <v>0.05</v>
      </c>
      <c r="F2224" s="129">
        <f t="shared" si="301"/>
        <v>7875945</v>
      </c>
      <c r="G2224" s="130">
        <f t="shared" si="302"/>
        <v>1496429.55</v>
      </c>
      <c r="H2224" s="131">
        <f t="shared" si="303"/>
        <v>9372375</v>
      </c>
    </row>
    <row r="2225" spans="1:8" x14ac:dyDescent="0.25">
      <c r="A2225" s="44" t="s">
        <v>5025</v>
      </c>
      <c r="B2225" s="80" t="s">
        <v>4995</v>
      </c>
      <c r="C2225" s="14"/>
      <c r="D2225" s="68"/>
      <c r="E2225" s="74"/>
      <c r="F2225" s="75"/>
      <c r="G2225" s="76"/>
      <c r="H2225" s="77"/>
    </row>
    <row r="2226" spans="1:8" x14ac:dyDescent="0.25">
      <c r="A2226" s="44" t="s">
        <v>5034</v>
      </c>
      <c r="B2226" s="80" t="s">
        <v>4996</v>
      </c>
      <c r="C2226" s="14"/>
      <c r="D2226" s="68"/>
      <c r="E2226" s="74"/>
      <c r="F2226" s="75"/>
      <c r="G2226" s="76"/>
      <c r="H2226" s="77"/>
    </row>
    <row r="2227" spans="1:8" x14ac:dyDescent="0.25">
      <c r="A2227" s="43" t="s">
        <v>5102</v>
      </c>
      <c r="B2227" s="81" t="s">
        <v>4997</v>
      </c>
      <c r="C2227" s="26" t="s">
        <v>37</v>
      </c>
      <c r="D2227" s="68">
        <v>628100</v>
      </c>
      <c r="E2227" s="74">
        <v>0.05</v>
      </c>
      <c r="F2227" s="129">
        <f t="shared" ref="F2227:F2234" si="304">+D2227+D2227*E2227</f>
        <v>659505</v>
      </c>
      <c r="G2227" s="130">
        <f t="shared" ref="G2227:G2234" si="305">F2227*0.19</f>
        <v>125305.95</v>
      </c>
      <c r="H2227" s="131">
        <f t="shared" ref="H2227:H2234" si="306">ROUND((F2227+G2227),0)</f>
        <v>784811</v>
      </c>
    </row>
    <row r="2228" spans="1:8" x14ac:dyDescent="0.25">
      <c r="A2228" s="43" t="s">
        <v>5103</v>
      </c>
      <c r="B2228" s="81" t="s">
        <v>4998</v>
      </c>
      <c r="C2228" s="26" t="s">
        <v>37</v>
      </c>
      <c r="D2228" s="68">
        <v>628100</v>
      </c>
      <c r="E2228" s="74">
        <v>0.05</v>
      </c>
      <c r="F2228" s="129">
        <f t="shared" si="304"/>
        <v>659505</v>
      </c>
      <c r="G2228" s="130">
        <f t="shared" si="305"/>
        <v>125305.95</v>
      </c>
      <c r="H2228" s="131">
        <f t="shared" si="306"/>
        <v>784811</v>
      </c>
    </row>
    <row r="2229" spans="1:8" x14ac:dyDescent="0.25">
      <c r="A2229" s="43" t="s">
        <v>5104</v>
      </c>
      <c r="B2229" s="81" t="s">
        <v>4999</v>
      </c>
      <c r="C2229" s="26" t="s">
        <v>37</v>
      </c>
      <c r="D2229" s="68">
        <v>628100</v>
      </c>
      <c r="E2229" s="74">
        <v>0.05</v>
      </c>
      <c r="F2229" s="129">
        <f t="shared" si="304"/>
        <v>659505</v>
      </c>
      <c r="G2229" s="130">
        <f t="shared" si="305"/>
        <v>125305.95</v>
      </c>
      <c r="H2229" s="131">
        <f t="shared" si="306"/>
        <v>784811</v>
      </c>
    </row>
    <row r="2230" spans="1:8" x14ac:dyDescent="0.25">
      <c r="A2230" s="43" t="s">
        <v>5105</v>
      </c>
      <c r="B2230" s="81" t="s">
        <v>1031</v>
      </c>
      <c r="C2230" s="26" t="s">
        <v>37</v>
      </c>
      <c r="D2230" s="68">
        <v>672100</v>
      </c>
      <c r="E2230" s="74">
        <v>0.05</v>
      </c>
      <c r="F2230" s="129">
        <f t="shared" si="304"/>
        <v>705705</v>
      </c>
      <c r="G2230" s="130">
        <f t="shared" si="305"/>
        <v>134083.95000000001</v>
      </c>
      <c r="H2230" s="131">
        <f t="shared" si="306"/>
        <v>839789</v>
      </c>
    </row>
    <row r="2231" spans="1:8" x14ac:dyDescent="0.25">
      <c r="A2231" s="43" t="s">
        <v>5106</v>
      </c>
      <c r="B2231" s="81" t="s">
        <v>1032</v>
      </c>
      <c r="C2231" s="26" t="s">
        <v>37</v>
      </c>
      <c r="D2231" s="68">
        <v>822800</v>
      </c>
      <c r="E2231" s="74">
        <v>0.05</v>
      </c>
      <c r="F2231" s="129">
        <f t="shared" si="304"/>
        <v>863940</v>
      </c>
      <c r="G2231" s="130">
        <f t="shared" si="305"/>
        <v>164148.6</v>
      </c>
      <c r="H2231" s="131">
        <f t="shared" si="306"/>
        <v>1028089</v>
      </c>
    </row>
    <row r="2232" spans="1:8" x14ac:dyDescent="0.25">
      <c r="A2232" s="43" t="s">
        <v>5107</v>
      </c>
      <c r="B2232" s="81" t="s">
        <v>5000</v>
      </c>
      <c r="C2232" s="26" t="s">
        <v>37</v>
      </c>
      <c r="D2232" s="68">
        <v>1302400</v>
      </c>
      <c r="E2232" s="74">
        <v>0.05</v>
      </c>
      <c r="F2232" s="129">
        <f t="shared" si="304"/>
        <v>1367520</v>
      </c>
      <c r="G2232" s="130">
        <f t="shared" si="305"/>
        <v>259828.80000000002</v>
      </c>
      <c r="H2232" s="131">
        <f t="shared" si="306"/>
        <v>1627349</v>
      </c>
    </row>
    <row r="2233" spans="1:8" x14ac:dyDescent="0.25">
      <c r="A2233" s="43" t="s">
        <v>5108</v>
      </c>
      <c r="B2233" s="81" t="s">
        <v>7904</v>
      </c>
      <c r="C2233" s="26" t="s">
        <v>37</v>
      </c>
      <c r="D2233" s="68">
        <v>3392400</v>
      </c>
      <c r="E2233" s="74">
        <v>0.05</v>
      </c>
      <c r="F2233" s="129">
        <f t="shared" si="304"/>
        <v>3562020</v>
      </c>
      <c r="G2233" s="130">
        <f t="shared" si="305"/>
        <v>676783.8</v>
      </c>
      <c r="H2233" s="131">
        <f t="shared" si="306"/>
        <v>4238804</v>
      </c>
    </row>
    <row r="2234" spans="1:8" x14ac:dyDescent="0.25">
      <c r="A2234" s="43" t="s">
        <v>5109</v>
      </c>
      <c r="B2234" s="81" t="s">
        <v>5002</v>
      </c>
      <c r="C2234" s="26" t="s">
        <v>37</v>
      </c>
      <c r="D2234" s="68">
        <v>5448300</v>
      </c>
      <c r="E2234" s="74">
        <v>0.05</v>
      </c>
      <c r="F2234" s="129">
        <f t="shared" si="304"/>
        <v>5720715</v>
      </c>
      <c r="G2234" s="130">
        <f t="shared" si="305"/>
        <v>1086935.8500000001</v>
      </c>
      <c r="H2234" s="131">
        <f t="shared" si="306"/>
        <v>6807651</v>
      </c>
    </row>
    <row r="2235" spans="1:8" x14ac:dyDescent="0.25">
      <c r="A2235" s="44" t="s">
        <v>5110</v>
      </c>
      <c r="B2235" s="80" t="s">
        <v>8045</v>
      </c>
      <c r="C2235" s="14"/>
      <c r="D2235" s="68"/>
      <c r="E2235" s="74"/>
      <c r="F2235" s="75"/>
      <c r="G2235" s="76"/>
      <c r="H2235" s="77"/>
    </row>
    <row r="2236" spans="1:8" x14ac:dyDescent="0.25">
      <c r="A2236" s="43" t="s">
        <v>5111</v>
      </c>
      <c r="B2236" s="81" t="s">
        <v>5006</v>
      </c>
      <c r="C2236" s="26" t="s">
        <v>37</v>
      </c>
      <c r="D2236" s="68">
        <v>212300</v>
      </c>
      <c r="E2236" s="74">
        <v>0.05</v>
      </c>
      <c r="F2236" s="129">
        <f>+D2236+D2236*E2236</f>
        <v>222915</v>
      </c>
      <c r="G2236" s="130">
        <f>F2236*0.19</f>
        <v>42353.85</v>
      </c>
      <c r="H2236" s="131">
        <f>ROUND((F2236+G2236),0)</f>
        <v>265269</v>
      </c>
    </row>
    <row r="2237" spans="1:8" x14ac:dyDescent="0.25">
      <c r="A2237" s="43" t="s">
        <v>5112</v>
      </c>
      <c r="B2237" s="81" t="s">
        <v>5007</v>
      </c>
      <c r="C2237" s="26" t="s">
        <v>37</v>
      </c>
      <c r="D2237" s="68">
        <v>231000</v>
      </c>
      <c r="E2237" s="74">
        <v>0.05</v>
      </c>
      <c r="F2237" s="129">
        <f>+D2237+D2237*E2237</f>
        <v>242550</v>
      </c>
      <c r="G2237" s="130">
        <f>F2237*0.19</f>
        <v>46084.5</v>
      </c>
      <c r="H2237" s="131">
        <f>ROUND((F2237+G2237),0)</f>
        <v>288635</v>
      </c>
    </row>
    <row r="2238" spans="1:8" x14ac:dyDescent="0.25">
      <c r="A2238" s="43" t="s">
        <v>5113</v>
      </c>
      <c r="B2238" s="81" t="s">
        <v>5008</v>
      </c>
      <c r="C2238" s="26" t="s">
        <v>37</v>
      </c>
      <c r="D2238" s="68">
        <v>238700</v>
      </c>
      <c r="E2238" s="74">
        <v>0.05</v>
      </c>
      <c r="F2238" s="129">
        <f>+D2238+D2238*E2238</f>
        <v>250635</v>
      </c>
      <c r="G2238" s="130">
        <f>F2238*0.19</f>
        <v>47620.65</v>
      </c>
      <c r="H2238" s="131">
        <f>ROUND((F2238+G2238),0)</f>
        <v>298256</v>
      </c>
    </row>
    <row r="2239" spans="1:8" x14ac:dyDescent="0.25">
      <c r="A2239" s="43" t="s">
        <v>5114</v>
      </c>
      <c r="B2239" s="81" t="s">
        <v>5009</v>
      </c>
      <c r="C2239" s="26" t="s">
        <v>37</v>
      </c>
      <c r="D2239" s="68">
        <v>256300</v>
      </c>
      <c r="E2239" s="74">
        <v>0.05</v>
      </c>
      <c r="F2239" s="129">
        <f>+D2239+D2239*E2239</f>
        <v>269115</v>
      </c>
      <c r="G2239" s="130">
        <f>F2239*0.19</f>
        <v>51131.85</v>
      </c>
      <c r="H2239" s="131">
        <f>ROUND((F2239+G2239),0)</f>
        <v>320247</v>
      </c>
    </row>
    <row r="2240" spans="1:8" x14ac:dyDescent="0.25">
      <c r="A2240" s="43" t="s">
        <v>5115</v>
      </c>
      <c r="B2240" s="81" t="s">
        <v>5010</v>
      </c>
      <c r="C2240" s="26" t="s">
        <v>37</v>
      </c>
      <c r="D2240" s="68">
        <v>319000</v>
      </c>
      <c r="E2240" s="74">
        <v>0.05</v>
      </c>
      <c r="F2240" s="129">
        <f>+D2240+D2240*E2240</f>
        <v>334950</v>
      </c>
      <c r="G2240" s="130">
        <f>F2240*0.19</f>
        <v>63640.5</v>
      </c>
      <c r="H2240" s="131">
        <f>ROUND((F2240+G2240),0)</f>
        <v>398591</v>
      </c>
    </row>
    <row r="2241" spans="1:8" x14ac:dyDescent="0.25">
      <c r="A2241" s="44" t="s">
        <v>1036</v>
      </c>
      <c r="B2241" s="80" t="s">
        <v>5016</v>
      </c>
      <c r="C2241" s="14"/>
      <c r="D2241" s="68"/>
      <c r="E2241" s="74"/>
      <c r="F2241" s="75"/>
      <c r="G2241" s="76"/>
      <c r="H2241" s="77"/>
    </row>
    <row r="2242" spans="1:8" x14ac:dyDescent="0.25">
      <c r="A2242" s="43" t="s">
        <v>5048</v>
      </c>
      <c r="B2242" s="81" t="s">
        <v>5017</v>
      </c>
      <c r="C2242" s="26" t="s">
        <v>37</v>
      </c>
      <c r="D2242" s="68">
        <v>25452.024000000001</v>
      </c>
      <c r="E2242" s="74">
        <v>0.05</v>
      </c>
      <c r="F2242" s="129">
        <f t="shared" ref="F2242:F2247" si="307">+D2242+D2242*E2242</f>
        <v>26724.625200000002</v>
      </c>
      <c r="G2242" s="130">
        <f t="shared" ref="G2242:G2247" si="308">F2242*0.19</f>
        <v>5077.6787880000002</v>
      </c>
      <c r="H2242" s="131">
        <f t="shared" ref="H2242:H2247" si="309">ROUND((F2242+G2242),0)</f>
        <v>31802</v>
      </c>
    </row>
    <row r="2243" spans="1:8" x14ac:dyDescent="0.25">
      <c r="A2243" s="43" t="s">
        <v>1038</v>
      </c>
      <c r="B2243" s="81" t="s">
        <v>5018</v>
      </c>
      <c r="C2243" s="26" t="s">
        <v>37</v>
      </c>
      <c r="D2243" s="68">
        <v>29237.196799999998</v>
      </c>
      <c r="E2243" s="74">
        <v>0.05</v>
      </c>
      <c r="F2243" s="129">
        <f t="shared" si="307"/>
        <v>30699.056639999999</v>
      </c>
      <c r="G2243" s="130">
        <f t="shared" si="308"/>
        <v>5832.8207616</v>
      </c>
      <c r="H2243" s="131">
        <f t="shared" si="309"/>
        <v>36532</v>
      </c>
    </row>
    <row r="2244" spans="1:8" x14ac:dyDescent="0.25">
      <c r="A2244" s="43" t="s">
        <v>1045</v>
      </c>
      <c r="B2244" s="81" t="s">
        <v>5019</v>
      </c>
      <c r="C2244" s="26" t="s">
        <v>37</v>
      </c>
      <c r="D2244" s="68">
        <v>67741.540800000002</v>
      </c>
      <c r="E2244" s="74">
        <v>0.05</v>
      </c>
      <c r="F2244" s="129">
        <f t="shared" si="307"/>
        <v>71128.617840000006</v>
      </c>
      <c r="G2244" s="130">
        <f t="shared" si="308"/>
        <v>13514.437389600002</v>
      </c>
      <c r="H2244" s="131">
        <f t="shared" si="309"/>
        <v>84643</v>
      </c>
    </row>
    <row r="2245" spans="1:8" x14ac:dyDescent="0.25">
      <c r="A2245" s="43" t="s">
        <v>5049</v>
      </c>
      <c r="B2245" s="81" t="s">
        <v>5024</v>
      </c>
      <c r="C2245" s="26" t="s">
        <v>37</v>
      </c>
      <c r="D2245" s="68">
        <v>159368.8272</v>
      </c>
      <c r="E2245" s="74">
        <v>0.05</v>
      </c>
      <c r="F2245" s="129">
        <f t="shared" si="307"/>
        <v>167337.26856</v>
      </c>
      <c r="G2245" s="130">
        <f t="shared" si="308"/>
        <v>31794.081026399999</v>
      </c>
      <c r="H2245" s="131">
        <f t="shared" si="309"/>
        <v>199131</v>
      </c>
    </row>
    <row r="2246" spans="1:8" x14ac:dyDescent="0.25">
      <c r="A2246" s="43" t="s">
        <v>5050</v>
      </c>
      <c r="B2246" s="81" t="s">
        <v>5020</v>
      </c>
      <c r="C2246" s="26" t="s">
        <v>37</v>
      </c>
      <c r="D2246" s="68">
        <v>186517.65280000001</v>
      </c>
      <c r="E2246" s="74">
        <v>0.05</v>
      </c>
      <c r="F2246" s="129">
        <f t="shared" si="307"/>
        <v>195843.53544000001</v>
      </c>
      <c r="G2246" s="130">
        <f t="shared" si="308"/>
        <v>37210.271733599999</v>
      </c>
      <c r="H2246" s="131">
        <f t="shared" si="309"/>
        <v>233054</v>
      </c>
    </row>
    <row r="2247" spans="1:8" x14ac:dyDescent="0.25">
      <c r="A2247" s="43" t="s">
        <v>5051</v>
      </c>
      <c r="B2247" s="81" t="s">
        <v>5021</v>
      </c>
      <c r="C2247" s="26" t="s">
        <v>37</v>
      </c>
      <c r="D2247" s="68">
        <v>2128572.3456000001</v>
      </c>
      <c r="E2247" s="74">
        <v>0.05</v>
      </c>
      <c r="F2247" s="129">
        <f t="shared" si="307"/>
        <v>2235000.96288</v>
      </c>
      <c r="G2247" s="130">
        <f t="shared" si="308"/>
        <v>424650.18294720002</v>
      </c>
      <c r="H2247" s="131">
        <f t="shared" si="309"/>
        <v>2659651</v>
      </c>
    </row>
    <row r="2248" spans="1:8" x14ac:dyDescent="0.25">
      <c r="A2248" s="44" t="s">
        <v>1054</v>
      </c>
      <c r="B2248" s="80" t="s">
        <v>5026</v>
      </c>
      <c r="C2248" s="14"/>
      <c r="D2248" s="68">
        <v>4369394.6431999998</v>
      </c>
      <c r="E2248" s="74"/>
      <c r="F2248" s="75"/>
      <c r="G2248" s="76"/>
      <c r="H2248" s="77"/>
    </row>
    <row r="2249" spans="1:8" x14ac:dyDescent="0.25">
      <c r="A2249" s="43" t="s">
        <v>1055</v>
      </c>
      <c r="B2249" s="81" t="s">
        <v>5027</v>
      </c>
      <c r="C2249" s="26" t="s">
        <v>37</v>
      </c>
      <c r="D2249" s="68"/>
      <c r="E2249" s="74">
        <v>0.05</v>
      </c>
      <c r="F2249" s="129">
        <f t="shared" ref="F2249:F2255" si="310">+D2249+D2249*E2249</f>
        <v>0</v>
      </c>
      <c r="G2249" s="130">
        <f t="shared" ref="G2249:G2255" si="311">F2249*0.19</f>
        <v>0</v>
      </c>
      <c r="H2249" s="131">
        <f t="shared" ref="H2249:H2255" si="312">ROUND((F2249+G2249),0)</f>
        <v>0</v>
      </c>
    </row>
    <row r="2250" spans="1:8" x14ac:dyDescent="0.25">
      <c r="A2250" s="43" t="s">
        <v>1056</v>
      </c>
      <c r="B2250" s="81" t="s">
        <v>5028</v>
      </c>
      <c r="C2250" s="26" t="s">
        <v>37</v>
      </c>
      <c r="D2250" s="68">
        <v>3038040</v>
      </c>
      <c r="E2250" s="74">
        <v>0.05</v>
      </c>
      <c r="F2250" s="129">
        <f t="shared" si="310"/>
        <v>3189942</v>
      </c>
      <c r="G2250" s="130">
        <f t="shared" si="311"/>
        <v>606088.98</v>
      </c>
      <c r="H2250" s="131">
        <f t="shared" si="312"/>
        <v>3796031</v>
      </c>
    </row>
    <row r="2251" spans="1:8" x14ac:dyDescent="0.25">
      <c r="A2251" s="43" t="s">
        <v>1057</v>
      </c>
      <c r="B2251" s="81" t="s">
        <v>5029</v>
      </c>
      <c r="C2251" s="26" t="s">
        <v>37</v>
      </c>
      <c r="D2251" s="68">
        <v>3713835.12</v>
      </c>
      <c r="E2251" s="74">
        <v>0.05</v>
      </c>
      <c r="F2251" s="129">
        <f t="shared" si="310"/>
        <v>3899526.8760000002</v>
      </c>
      <c r="G2251" s="130">
        <f t="shared" si="311"/>
        <v>740910.10644</v>
      </c>
      <c r="H2251" s="131">
        <f t="shared" si="312"/>
        <v>4640437</v>
      </c>
    </row>
    <row r="2252" spans="1:8" x14ac:dyDescent="0.25">
      <c r="A2252" s="43" t="s">
        <v>5116</v>
      </c>
      <c r="B2252" s="81" t="s">
        <v>7905</v>
      </c>
      <c r="C2252" s="26" t="s">
        <v>37</v>
      </c>
      <c r="D2252" s="68">
        <v>4726008.78</v>
      </c>
      <c r="E2252" s="74">
        <v>0.05</v>
      </c>
      <c r="F2252" s="129">
        <f t="shared" si="310"/>
        <v>4962309.2190000005</v>
      </c>
      <c r="G2252" s="130">
        <f t="shared" si="311"/>
        <v>942838.75161000015</v>
      </c>
      <c r="H2252" s="131">
        <f t="shared" si="312"/>
        <v>5905148</v>
      </c>
    </row>
    <row r="2253" spans="1:8" x14ac:dyDescent="0.25">
      <c r="A2253" s="43" t="s">
        <v>5117</v>
      </c>
      <c r="B2253" s="81" t="s">
        <v>5031</v>
      </c>
      <c r="C2253" s="26" t="s">
        <v>37</v>
      </c>
      <c r="D2253" s="68">
        <v>6526160</v>
      </c>
      <c r="E2253" s="74">
        <v>0.05</v>
      </c>
      <c r="F2253" s="129">
        <f t="shared" si="310"/>
        <v>6852468</v>
      </c>
      <c r="G2253" s="130">
        <f t="shared" si="311"/>
        <v>1301968.92</v>
      </c>
      <c r="H2253" s="131">
        <f t="shared" si="312"/>
        <v>8154437</v>
      </c>
    </row>
    <row r="2254" spans="1:8" x14ac:dyDescent="0.25">
      <c r="A2254" s="43" t="s">
        <v>5118</v>
      </c>
      <c r="B2254" s="81" t="s">
        <v>7373</v>
      </c>
      <c r="C2254" s="26" t="s">
        <v>37</v>
      </c>
      <c r="D2254" s="68">
        <v>10914440</v>
      </c>
      <c r="E2254" s="74">
        <v>0.05</v>
      </c>
      <c r="F2254" s="129">
        <f t="shared" si="310"/>
        <v>11460162</v>
      </c>
      <c r="G2254" s="130">
        <f t="shared" si="311"/>
        <v>2177430.7799999998</v>
      </c>
      <c r="H2254" s="131">
        <f t="shared" si="312"/>
        <v>13637593</v>
      </c>
    </row>
    <row r="2255" spans="1:8" x14ac:dyDescent="0.25">
      <c r="A2255" s="43" t="s">
        <v>5120</v>
      </c>
      <c r="B2255" s="81" t="s">
        <v>5033</v>
      </c>
      <c r="C2255" s="26" t="s">
        <v>37</v>
      </c>
      <c r="D2255" s="68">
        <v>14065000</v>
      </c>
      <c r="E2255" s="74">
        <v>0.05</v>
      </c>
      <c r="F2255" s="129">
        <f t="shared" si="310"/>
        <v>14768250</v>
      </c>
      <c r="G2255" s="130">
        <f t="shared" si="311"/>
        <v>2805967.5</v>
      </c>
      <c r="H2255" s="131">
        <f t="shared" si="312"/>
        <v>17574218</v>
      </c>
    </row>
    <row r="2256" spans="1:8" x14ac:dyDescent="0.25">
      <c r="A2256" s="44" t="s">
        <v>1059</v>
      </c>
      <c r="B2256" s="80" t="s">
        <v>5047</v>
      </c>
      <c r="C2256" s="14"/>
      <c r="D2256" s="68"/>
      <c r="E2256" s="74"/>
      <c r="F2256" s="75"/>
      <c r="G2256" s="76"/>
      <c r="H2256" s="77"/>
    </row>
    <row r="2257" spans="1:8" x14ac:dyDescent="0.25">
      <c r="A2257" s="43" t="s">
        <v>5119</v>
      </c>
      <c r="B2257" s="81" t="s">
        <v>5035</v>
      </c>
      <c r="C2257" s="26" t="s">
        <v>37</v>
      </c>
      <c r="D2257" s="68">
        <v>438900</v>
      </c>
      <c r="E2257" s="74">
        <v>0.05</v>
      </c>
      <c r="F2257" s="129">
        <f t="shared" ref="F2257:F2267" si="313">+D2257+D2257*E2257</f>
        <v>460845</v>
      </c>
      <c r="G2257" s="130">
        <f t="shared" ref="G2257:G2268" si="314">F2257*0.19</f>
        <v>87560.55</v>
      </c>
      <c r="H2257" s="131">
        <f t="shared" ref="H2257:H2267" si="315">ROUND((F2257+G2257),0)</f>
        <v>548406</v>
      </c>
    </row>
    <row r="2258" spans="1:8" x14ac:dyDescent="0.25">
      <c r="A2258" s="43" t="s">
        <v>5121</v>
      </c>
      <c r="B2258" s="81" t="s">
        <v>5036</v>
      </c>
      <c r="C2258" s="26" t="s">
        <v>37</v>
      </c>
      <c r="D2258" s="68">
        <v>783200</v>
      </c>
      <c r="E2258" s="74">
        <v>0.05</v>
      </c>
      <c r="F2258" s="129">
        <f t="shared" si="313"/>
        <v>822360</v>
      </c>
      <c r="G2258" s="130">
        <f t="shared" si="314"/>
        <v>156248.4</v>
      </c>
      <c r="H2258" s="131">
        <f t="shared" si="315"/>
        <v>978608</v>
      </c>
    </row>
    <row r="2259" spans="1:8" x14ac:dyDescent="0.25">
      <c r="A2259" s="43" t="s">
        <v>5122</v>
      </c>
      <c r="B2259" s="81" t="s">
        <v>5037</v>
      </c>
      <c r="C2259" s="26" t="s">
        <v>37</v>
      </c>
      <c r="D2259" s="68">
        <v>825000</v>
      </c>
      <c r="E2259" s="74">
        <v>0.05</v>
      </c>
      <c r="F2259" s="129">
        <f t="shared" si="313"/>
        <v>866250</v>
      </c>
      <c r="G2259" s="130">
        <f t="shared" si="314"/>
        <v>164587.5</v>
      </c>
      <c r="H2259" s="131">
        <f t="shared" si="315"/>
        <v>1030838</v>
      </c>
    </row>
    <row r="2260" spans="1:8" x14ac:dyDescent="0.25">
      <c r="A2260" s="43" t="s">
        <v>5123</v>
      </c>
      <c r="B2260" s="81" t="s">
        <v>7906</v>
      </c>
      <c r="C2260" s="26" t="s">
        <v>37</v>
      </c>
      <c r="D2260" s="68">
        <v>1999800</v>
      </c>
      <c r="E2260" s="74">
        <v>0.05</v>
      </c>
      <c r="F2260" s="129">
        <f t="shared" si="313"/>
        <v>2099790</v>
      </c>
      <c r="G2260" s="130">
        <f t="shared" si="314"/>
        <v>398960.1</v>
      </c>
      <c r="H2260" s="131">
        <f t="shared" si="315"/>
        <v>2498750</v>
      </c>
    </row>
    <row r="2261" spans="1:8" x14ac:dyDescent="0.25">
      <c r="A2261" s="43" t="s">
        <v>5124</v>
      </c>
      <c r="B2261" s="81" t="s">
        <v>5039</v>
      </c>
      <c r="C2261" s="26" t="s">
        <v>37</v>
      </c>
      <c r="D2261" s="68">
        <v>3642100</v>
      </c>
      <c r="E2261" s="74">
        <v>0.05</v>
      </c>
      <c r="F2261" s="129">
        <f t="shared" si="313"/>
        <v>3824205</v>
      </c>
      <c r="G2261" s="130">
        <f t="shared" si="314"/>
        <v>726598.95</v>
      </c>
      <c r="H2261" s="131">
        <f t="shared" si="315"/>
        <v>4550804</v>
      </c>
    </row>
    <row r="2262" spans="1:8" x14ac:dyDescent="0.25">
      <c r="A2262" s="43" t="s">
        <v>5125</v>
      </c>
      <c r="B2262" s="81" t="s">
        <v>7374</v>
      </c>
      <c r="C2262" s="26" t="s">
        <v>37</v>
      </c>
      <c r="D2262" s="68">
        <v>5820100</v>
      </c>
      <c r="E2262" s="74">
        <v>0.05</v>
      </c>
      <c r="F2262" s="129">
        <f t="shared" si="313"/>
        <v>6111105</v>
      </c>
      <c r="G2262" s="130">
        <f t="shared" si="314"/>
        <v>1161109.95</v>
      </c>
      <c r="H2262" s="131">
        <f t="shared" si="315"/>
        <v>7272215</v>
      </c>
    </row>
    <row r="2263" spans="1:8" x14ac:dyDescent="0.25">
      <c r="A2263" s="43" t="s">
        <v>5126</v>
      </c>
      <c r="B2263" s="81" t="s">
        <v>5041</v>
      </c>
      <c r="C2263" s="26" t="s">
        <v>37</v>
      </c>
      <c r="D2263" s="68">
        <v>7230300</v>
      </c>
      <c r="E2263" s="74">
        <v>0.05</v>
      </c>
      <c r="F2263" s="129">
        <f t="shared" si="313"/>
        <v>7591815</v>
      </c>
      <c r="G2263" s="130">
        <f t="shared" si="314"/>
        <v>1442444.85</v>
      </c>
      <c r="H2263" s="131">
        <f t="shared" si="315"/>
        <v>9034260</v>
      </c>
    </row>
    <row r="2264" spans="1:8" x14ac:dyDescent="0.25">
      <c r="A2264" s="43" t="s">
        <v>5127</v>
      </c>
      <c r="B2264" s="81" t="s">
        <v>7544</v>
      </c>
      <c r="C2264" s="26" t="s">
        <v>37</v>
      </c>
      <c r="D2264" s="68">
        <v>9801000</v>
      </c>
      <c r="E2264" s="74">
        <v>0.05</v>
      </c>
      <c r="F2264" s="129">
        <f t="shared" si="313"/>
        <v>10291050</v>
      </c>
      <c r="G2264" s="130">
        <f t="shared" si="314"/>
        <v>1955299.5</v>
      </c>
      <c r="H2264" s="131">
        <f t="shared" si="315"/>
        <v>12246350</v>
      </c>
    </row>
    <row r="2265" spans="1:8" x14ac:dyDescent="0.25">
      <c r="A2265" s="43" t="s">
        <v>5128</v>
      </c>
      <c r="B2265" s="81" t="s">
        <v>7699</v>
      </c>
      <c r="C2265" s="26" t="s">
        <v>37</v>
      </c>
      <c r="D2265" s="68">
        <v>18211600</v>
      </c>
      <c r="E2265" s="74">
        <v>0.05</v>
      </c>
      <c r="F2265" s="129">
        <f t="shared" si="313"/>
        <v>19122180</v>
      </c>
      <c r="G2265" s="130">
        <f t="shared" si="314"/>
        <v>3633214.2</v>
      </c>
      <c r="H2265" s="131">
        <f t="shared" si="315"/>
        <v>22755394</v>
      </c>
    </row>
    <row r="2266" spans="1:8" x14ac:dyDescent="0.25">
      <c r="A2266" s="43" t="s">
        <v>5129</v>
      </c>
      <c r="B2266" s="81" t="s">
        <v>5044</v>
      </c>
      <c r="C2266" s="26" t="s">
        <v>37</v>
      </c>
      <c r="D2266" s="68">
        <v>26460500</v>
      </c>
      <c r="E2266" s="74">
        <v>0.05</v>
      </c>
      <c r="F2266" s="129">
        <f t="shared" si="313"/>
        <v>27783525</v>
      </c>
      <c r="G2266" s="130">
        <f t="shared" si="314"/>
        <v>5278869.75</v>
      </c>
      <c r="H2266" s="131">
        <f t="shared" si="315"/>
        <v>33062395</v>
      </c>
    </row>
    <row r="2267" spans="1:8" x14ac:dyDescent="0.25">
      <c r="A2267" s="43" t="s">
        <v>5130</v>
      </c>
      <c r="B2267" s="81" t="s">
        <v>5045</v>
      </c>
      <c r="C2267" s="26" t="s">
        <v>37</v>
      </c>
      <c r="D2267" s="68">
        <v>26130500</v>
      </c>
      <c r="E2267" s="74">
        <v>0.05</v>
      </c>
      <c r="F2267" s="129">
        <f t="shared" si="313"/>
        <v>27437025</v>
      </c>
      <c r="G2267" s="130">
        <f t="shared" si="314"/>
        <v>5213034.75</v>
      </c>
      <c r="H2267" s="131">
        <f t="shared" si="315"/>
        <v>32650060</v>
      </c>
    </row>
    <row r="2268" spans="1:8" x14ac:dyDescent="0.25">
      <c r="A2268" s="43" t="s">
        <v>5131</v>
      </c>
      <c r="B2268" s="81" t="s">
        <v>5046</v>
      </c>
      <c r="C2268" s="26" t="s">
        <v>37</v>
      </c>
      <c r="D2268" s="68">
        <v>44880000</v>
      </c>
      <c r="E2268" s="74">
        <v>0.05</v>
      </c>
      <c r="F2268" s="129">
        <f>+D2268+D2268*E2268</f>
        <v>47124000</v>
      </c>
      <c r="G2268" s="130">
        <f t="shared" si="314"/>
        <v>8953560</v>
      </c>
      <c r="H2268" s="131">
        <f>ROUND((F2268+G2268),0)</f>
        <v>56077560</v>
      </c>
    </row>
    <row r="2269" spans="1:8" x14ac:dyDescent="0.25">
      <c r="A2269" s="44" t="s">
        <v>1060</v>
      </c>
      <c r="B2269" s="80" t="s">
        <v>5132</v>
      </c>
      <c r="C2269" s="14"/>
      <c r="D2269" s="68"/>
      <c r="E2269" s="74"/>
      <c r="F2269" s="75"/>
      <c r="G2269" s="76"/>
      <c r="H2269" s="77"/>
    </row>
    <row r="2270" spans="1:8" x14ac:dyDescent="0.25">
      <c r="A2270" s="43" t="s">
        <v>5139</v>
      </c>
      <c r="B2270" s="81" t="s">
        <v>5133</v>
      </c>
      <c r="C2270" s="26" t="s">
        <v>37</v>
      </c>
      <c r="D2270" s="68">
        <v>634700</v>
      </c>
      <c r="E2270" s="74">
        <v>0.05</v>
      </c>
      <c r="F2270" s="129">
        <f t="shared" ref="F2270:F2275" si="316">+D2270+D2270*E2270</f>
        <v>666435</v>
      </c>
      <c r="G2270" s="130">
        <f t="shared" ref="G2270:G2275" si="317">F2270*0.19</f>
        <v>126622.65000000001</v>
      </c>
      <c r="H2270" s="131">
        <f t="shared" ref="H2270:H2275" si="318">ROUND((F2270+G2270),0)</f>
        <v>793058</v>
      </c>
    </row>
    <row r="2271" spans="1:8" x14ac:dyDescent="0.25">
      <c r="A2271" s="43" t="s">
        <v>5140</v>
      </c>
      <c r="B2271" s="81" t="s">
        <v>5134</v>
      </c>
      <c r="C2271" s="26" t="s">
        <v>37</v>
      </c>
      <c r="D2271" s="68">
        <v>907500</v>
      </c>
      <c r="E2271" s="74">
        <v>0.05</v>
      </c>
      <c r="F2271" s="129">
        <f t="shared" si="316"/>
        <v>952875</v>
      </c>
      <c r="G2271" s="130">
        <f t="shared" si="317"/>
        <v>181046.25</v>
      </c>
      <c r="H2271" s="131">
        <f t="shared" si="318"/>
        <v>1133921</v>
      </c>
    </row>
    <row r="2272" spans="1:8" x14ac:dyDescent="0.25">
      <c r="A2272" s="43" t="s">
        <v>5141</v>
      </c>
      <c r="B2272" s="81" t="s">
        <v>5135</v>
      </c>
      <c r="C2272" s="26" t="s">
        <v>37</v>
      </c>
      <c r="D2272" s="68">
        <v>1350800</v>
      </c>
      <c r="E2272" s="74">
        <v>0.05</v>
      </c>
      <c r="F2272" s="129">
        <f t="shared" si="316"/>
        <v>1418340</v>
      </c>
      <c r="G2272" s="130">
        <f t="shared" si="317"/>
        <v>269484.59999999998</v>
      </c>
      <c r="H2272" s="131">
        <f t="shared" si="318"/>
        <v>1687825</v>
      </c>
    </row>
    <row r="2273" spans="1:8" x14ac:dyDescent="0.25">
      <c r="A2273" s="43" t="s">
        <v>5142</v>
      </c>
      <c r="B2273" s="81" t="s">
        <v>7907</v>
      </c>
      <c r="C2273" s="26" t="s">
        <v>37</v>
      </c>
      <c r="D2273" s="68">
        <v>3020600</v>
      </c>
      <c r="E2273" s="74">
        <v>0.05</v>
      </c>
      <c r="F2273" s="129">
        <f t="shared" si="316"/>
        <v>3171630</v>
      </c>
      <c r="G2273" s="130">
        <f t="shared" si="317"/>
        <v>602609.69999999995</v>
      </c>
      <c r="H2273" s="131">
        <f t="shared" si="318"/>
        <v>3774240</v>
      </c>
    </row>
    <row r="2274" spans="1:8" x14ac:dyDescent="0.25">
      <c r="A2274" s="43" t="s">
        <v>5143</v>
      </c>
      <c r="B2274" s="81" t="s">
        <v>5137</v>
      </c>
      <c r="C2274" s="26" t="s">
        <v>37</v>
      </c>
      <c r="D2274" s="68">
        <v>4950000</v>
      </c>
      <c r="E2274" s="74">
        <v>0.05</v>
      </c>
      <c r="F2274" s="129">
        <f t="shared" si="316"/>
        <v>5197500</v>
      </c>
      <c r="G2274" s="130">
        <f t="shared" si="317"/>
        <v>987525</v>
      </c>
      <c r="H2274" s="131">
        <f t="shared" si="318"/>
        <v>6185025</v>
      </c>
    </row>
    <row r="2275" spans="1:8" x14ac:dyDescent="0.25">
      <c r="A2275" s="43" t="s">
        <v>5144</v>
      </c>
      <c r="B2275" s="81" t="s">
        <v>7375</v>
      </c>
      <c r="C2275" s="26" t="s">
        <v>37</v>
      </c>
      <c r="D2275" s="68">
        <v>8195000</v>
      </c>
      <c r="E2275" s="74">
        <v>0.05</v>
      </c>
      <c r="F2275" s="129">
        <f t="shared" si="316"/>
        <v>8604750</v>
      </c>
      <c r="G2275" s="130">
        <f t="shared" si="317"/>
        <v>1634902.5</v>
      </c>
      <c r="H2275" s="131">
        <f t="shared" si="318"/>
        <v>10239653</v>
      </c>
    </row>
    <row r="2276" spans="1:8" x14ac:dyDescent="0.25">
      <c r="A2276" s="44" t="s">
        <v>1058</v>
      </c>
      <c r="B2276" s="80" t="s">
        <v>5145</v>
      </c>
      <c r="C2276" s="14"/>
      <c r="D2276" s="68"/>
      <c r="E2276" s="74"/>
      <c r="F2276" s="75"/>
      <c r="G2276" s="76"/>
      <c r="H2276" s="77"/>
    </row>
    <row r="2277" spans="1:8" x14ac:dyDescent="0.25">
      <c r="A2277" s="43" t="s">
        <v>5152</v>
      </c>
      <c r="B2277" s="81" t="s">
        <v>5146</v>
      </c>
      <c r="C2277" s="26" t="s">
        <v>37</v>
      </c>
      <c r="D2277" s="68">
        <v>3038040</v>
      </c>
      <c r="E2277" s="74">
        <v>0.05</v>
      </c>
      <c r="F2277" s="129">
        <f t="shared" ref="F2277:F2282" si="319">+D2277+D2277*E2277</f>
        <v>3189942</v>
      </c>
      <c r="G2277" s="130">
        <f t="shared" ref="G2277:G2282" si="320">F2277*0.19</f>
        <v>606088.98</v>
      </c>
      <c r="H2277" s="131">
        <f t="shared" ref="H2277:H2282" si="321">ROUND((F2277+G2277),0)</f>
        <v>3796031</v>
      </c>
    </row>
    <row r="2278" spans="1:8" x14ac:dyDescent="0.25">
      <c r="A2278" s="43" t="s">
        <v>5153</v>
      </c>
      <c r="B2278" s="81" t="s">
        <v>5147</v>
      </c>
      <c r="C2278" s="26" t="s">
        <v>37</v>
      </c>
      <c r="D2278" s="68">
        <v>3713835.12</v>
      </c>
      <c r="E2278" s="74">
        <v>0.05</v>
      </c>
      <c r="F2278" s="129">
        <f t="shared" si="319"/>
        <v>3899526.8760000002</v>
      </c>
      <c r="G2278" s="130">
        <f t="shared" si="320"/>
        <v>740910.10644</v>
      </c>
      <c r="H2278" s="131">
        <f t="shared" si="321"/>
        <v>4640437</v>
      </c>
    </row>
    <row r="2279" spans="1:8" x14ac:dyDescent="0.25">
      <c r="A2279" s="43" t="s">
        <v>5154</v>
      </c>
      <c r="B2279" s="81" t="s">
        <v>7908</v>
      </c>
      <c r="C2279" s="26" t="s">
        <v>37</v>
      </c>
      <c r="D2279" s="68">
        <v>4726008.78</v>
      </c>
      <c r="E2279" s="74">
        <v>0.05</v>
      </c>
      <c r="F2279" s="129">
        <f t="shared" si="319"/>
        <v>4962309.2190000005</v>
      </c>
      <c r="G2279" s="130">
        <f t="shared" si="320"/>
        <v>942838.75161000015</v>
      </c>
      <c r="H2279" s="131">
        <f t="shared" si="321"/>
        <v>5905148</v>
      </c>
    </row>
    <row r="2280" spans="1:8" x14ac:dyDescent="0.25">
      <c r="A2280" s="43" t="s">
        <v>5155</v>
      </c>
      <c r="B2280" s="81" t="s">
        <v>5149</v>
      </c>
      <c r="C2280" s="26" t="s">
        <v>37</v>
      </c>
      <c r="D2280" s="68">
        <v>6526160</v>
      </c>
      <c r="E2280" s="74">
        <v>0.05</v>
      </c>
      <c r="F2280" s="129">
        <f t="shared" si="319"/>
        <v>6852468</v>
      </c>
      <c r="G2280" s="130">
        <f t="shared" si="320"/>
        <v>1301968.92</v>
      </c>
      <c r="H2280" s="131">
        <f t="shared" si="321"/>
        <v>8154437</v>
      </c>
    </row>
    <row r="2281" spans="1:8" x14ac:dyDescent="0.25">
      <c r="A2281" s="43" t="s">
        <v>5156</v>
      </c>
      <c r="B2281" s="81" t="s">
        <v>7376</v>
      </c>
      <c r="C2281" s="26" t="s">
        <v>37</v>
      </c>
      <c r="D2281" s="68">
        <v>10914440</v>
      </c>
      <c r="E2281" s="74">
        <v>0.05</v>
      </c>
      <c r="F2281" s="129">
        <f t="shared" si="319"/>
        <v>11460162</v>
      </c>
      <c r="G2281" s="130">
        <f t="shared" si="320"/>
        <v>2177430.7799999998</v>
      </c>
      <c r="H2281" s="131">
        <f t="shared" si="321"/>
        <v>13637593</v>
      </c>
    </row>
    <row r="2282" spans="1:8" x14ac:dyDescent="0.25">
      <c r="A2282" s="43" t="s">
        <v>5157</v>
      </c>
      <c r="B2282" s="81" t="s">
        <v>5151</v>
      </c>
      <c r="C2282" s="26" t="s">
        <v>37</v>
      </c>
      <c r="D2282" s="68">
        <v>14065000</v>
      </c>
      <c r="E2282" s="74">
        <v>0.05</v>
      </c>
      <c r="F2282" s="129">
        <f t="shared" si="319"/>
        <v>14768250</v>
      </c>
      <c r="G2282" s="130">
        <f t="shared" si="320"/>
        <v>2805967.5</v>
      </c>
      <c r="H2282" s="131">
        <f t="shared" si="321"/>
        <v>17574218</v>
      </c>
    </row>
    <row r="2283" spans="1:8" x14ac:dyDescent="0.25">
      <c r="A2283" s="44" t="s">
        <v>5159</v>
      </c>
      <c r="B2283" s="80" t="s">
        <v>5158</v>
      </c>
      <c r="C2283" s="14"/>
      <c r="D2283" s="68"/>
      <c r="E2283" s="74"/>
      <c r="F2283" s="75"/>
      <c r="G2283" s="76"/>
      <c r="H2283" s="77"/>
    </row>
    <row r="2284" spans="1:8" x14ac:dyDescent="0.25">
      <c r="A2284" s="43" t="s">
        <v>5160</v>
      </c>
      <c r="B2284" s="81" t="s">
        <v>5167</v>
      </c>
      <c r="C2284" s="26" t="s">
        <v>37</v>
      </c>
      <c r="D2284" s="68">
        <v>896654</v>
      </c>
      <c r="E2284" s="74">
        <v>0.05</v>
      </c>
      <c r="F2284" s="129">
        <f t="shared" ref="F2284:F2290" si="322">+D2284+D2284*E2284</f>
        <v>941486.7</v>
      </c>
      <c r="G2284" s="130">
        <f t="shared" ref="G2284:G2290" si="323">F2284*0.19</f>
        <v>178882.473</v>
      </c>
      <c r="H2284" s="131">
        <f t="shared" ref="H2284:H2290" si="324">ROUND((F2284+G2284),0)</f>
        <v>1120369</v>
      </c>
    </row>
    <row r="2285" spans="1:8" x14ac:dyDescent="0.25">
      <c r="A2285" s="43" t="s">
        <v>5161</v>
      </c>
      <c r="B2285" s="81" t="s">
        <v>7909</v>
      </c>
      <c r="C2285" s="26" t="s">
        <v>37</v>
      </c>
      <c r="D2285" s="68">
        <v>1344200</v>
      </c>
      <c r="E2285" s="74">
        <v>0.05</v>
      </c>
      <c r="F2285" s="129">
        <f t="shared" si="322"/>
        <v>1411410</v>
      </c>
      <c r="G2285" s="130">
        <f t="shared" si="323"/>
        <v>268167.90000000002</v>
      </c>
      <c r="H2285" s="131">
        <f t="shared" si="324"/>
        <v>1679578</v>
      </c>
    </row>
    <row r="2286" spans="1:8" x14ac:dyDescent="0.25">
      <c r="A2286" s="43" t="s">
        <v>5162</v>
      </c>
      <c r="B2286" s="81" t="s">
        <v>5169</v>
      </c>
      <c r="C2286" s="26" t="s">
        <v>37</v>
      </c>
      <c r="D2286" s="68">
        <v>2176900</v>
      </c>
      <c r="E2286" s="74">
        <v>0.05</v>
      </c>
      <c r="F2286" s="129">
        <f t="shared" si="322"/>
        <v>2285745</v>
      </c>
      <c r="G2286" s="130">
        <f t="shared" si="323"/>
        <v>434291.55</v>
      </c>
      <c r="H2286" s="131">
        <f t="shared" si="324"/>
        <v>2720037</v>
      </c>
    </row>
    <row r="2287" spans="1:8" x14ac:dyDescent="0.25">
      <c r="A2287" s="43" t="s">
        <v>5163</v>
      </c>
      <c r="B2287" s="81" t="s">
        <v>7377</v>
      </c>
      <c r="C2287" s="26" t="s">
        <v>37</v>
      </c>
      <c r="D2287" s="68">
        <v>3040400</v>
      </c>
      <c r="E2287" s="74">
        <v>0.05</v>
      </c>
      <c r="F2287" s="129">
        <f t="shared" si="322"/>
        <v>3192420</v>
      </c>
      <c r="G2287" s="130">
        <f t="shared" si="323"/>
        <v>606559.80000000005</v>
      </c>
      <c r="H2287" s="131">
        <f t="shared" si="324"/>
        <v>3798980</v>
      </c>
    </row>
    <row r="2288" spans="1:8" x14ac:dyDescent="0.25">
      <c r="A2288" s="43" t="s">
        <v>5164</v>
      </c>
      <c r="B2288" s="81" t="s">
        <v>5171</v>
      </c>
      <c r="C2288" s="26" t="s">
        <v>37</v>
      </c>
      <c r="D2288" s="68">
        <v>3968800</v>
      </c>
      <c r="E2288" s="74">
        <v>0.05</v>
      </c>
      <c r="F2288" s="129">
        <f t="shared" si="322"/>
        <v>4167240</v>
      </c>
      <c r="G2288" s="130">
        <f t="shared" si="323"/>
        <v>791775.6</v>
      </c>
      <c r="H2288" s="131">
        <f t="shared" si="324"/>
        <v>4959016</v>
      </c>
    </row>
    <row r="2289" spans="1:8" x14ac:dyDescent="0.25">
      <c r="A2289" s="43" t="s">
        <v>5165</v>
      </c>
      <c r="B2289" s="81" t="s">
        <v>7545</v>
      </c>
      <c r="C2289" s="26" t="s">
        <v>37</v>
      </c>
      <c r="D2289" s="68">
        <v>4851000</v>
      </c>
      <c r="E2289" s="74">
        <v>0.05</v>
      </c>
      <c r="F2289" s="129">
        <f t="shared" si="322"/>
        <v>5093550</v>
      </c>
      <c r="G2289" s="130">
        <f t="shared" si="323"/>
        <v>967774.5</v>
      </c>
      <c r="H2289" s="131">
        <f t="shared" si="324"/>
        <v>6061325</v>
      </c>
    </row>
    <row r="2290" spans="1:8" x14ac:dyDescent="0.25">
      <c r="A2290" s="43" t="s">
        <v>5166</v>
      </c>
      <c r="B2290" s="81" t="s">
        <v>7700</v>
      </c>
      <c r="C2290" s="26" t="s">
        <v>37</v>
      </c>
      <c r="D2290" s="68">
        <v>5821200</v>
      </c>
      <c r="E2290" s="74">
        <v>0.05</v>
      </c>
      <c r="F2290" s="129">
        <f t="shared" si="322"/>
        <v>6112260</v>
      </c>
      <c r="G2290" s="130">
        <f t="shared" si="323"/>
        <v>1161329.3999999999</v>
      </c>
      <c r="H2290" s="131">
        <f t="shared" si="324"/>
        <v>7273589</v>
      </c>
    </row>
    <row r="2291" spans="1:8" x14ac:dyDescent="0.25">
      <c r="A2291" s="44" t="s">
        <v>5174</v>
      </c>
      <c r="B2291" s="80" t="s">
        <v>5175</v>
      </c>
      <c r="C2291" s="14"/>
      <c r="D2291" s="68"/>
      <c r="E2291" s="74"/>
      <c r="F2291" s="75"/>
      <c r="G2291" s="76"/>
      <c r="H2291" s="77"/>
    </row>
    <row r="2292" spans="1:8" x14ac:dyDescent="0.25">
      <c r="A2292" s="43" t="s">
        <v>5183</v>
      </c>
      <c r="B2292" s="81" t="s">
        <v>5176</v>
      </c>
      <c r="C2292" s="26" t="s">
        <v>37</v>
      </c>
      <c r="D2292" s="68">
        <v>134830.4656</v>
      </c>
      <c r="E2292" s="74">
        <v>0.05</v>
      </c>
      <c r="F2292" s="129">
        <f t="shared" ref="F2292:F2298" si="325">+D2292+D2292*E2292</f>
        <v>141571.98887999999</v>
      </c>
      <c r="G2292" s="130">
        <f t="shared" ref="G2292:G2298" si="326">F2292*0.19</f>
        <v>26898.6778872</v>
      </c>
      <c r="H2292" s="131">
        <f t="shared" ref="H2292:H2298" si="327">ROUND((F2292+G2292),0)</f>
        <v>168471</v>
      </c>
    </row>
    <row r="2293" spans="1:8" x14ac:dyDescent="0.25">
      <c r="A2293" s="43" t="s">
        <v>5184</v>
      </c>
      <c r="B2293" s="81" t="s">
        <v>5177</v>
      </c>
      <c r="C2293" s="26" t="s">
        <v>37</v>
      </c>
      <c r="D2293" s="68">
        <v>370946.93439999997</v>
      </c>
      <c r="E2293" s="74">
        <v>0.05</v>
      </c>
      <c r="F2293" s="129">
        <f t="shared" si="325"/>
        <v>389494.28111999994</v>
      </c>
      <c r="G2293" s="130">
        <f t="shared" si="326"/>
        <v>74003.913412799986</v>
      </c>
      <c r="H2293" s="131">
        <f t="shared" si="327"/>
        <v>463498</v>
      </c>
    </row>
    <row r="2294" spans="1:8" x14ac:dyDescent="0.25">
      <c r="A2294" s="43" t="s">
        <v>5185</v>
      </c>
      <c r="B2294" s="81" t="s">
        <v>5178</v>
      </c>
      <c r="C2294" s="26" t="s">
        <v>37</v>
      </c>
      <c r="D2294" s="68">
        <v>636561.64639999997</v>
      </c>
      <c r="E2294" s="74">
        <v>0.05</v>
      </c>
      <c r="F2294" s="129">
        <f t="shared" si="325"/>
        <v>668389.72872000001</v>
      </c>
      <c r="G2294" s="130">
        <f t="shared" si="326"/>
        <v>126994.04845680001</v>
      </c>
      <c r="H2294" s="131">
        <f t="shared" si="327"/>
        <v>795384</v>
      </c>
    </row>
    <row r="2295" spans="1:8" x14ac:dyDescent="0.25">
      <c r="A2295" s="43" t="s">
        <v>5186</v>
      </c>
      <c r="B2295" s="81" t="s">
        <v>7910</v>
      </c>
      <c r="C2295" s="26" t="s">
        <v>37</v>
      </c>
      <c r="D2295" s="68">
        <v>1410042.1295999999</v>
      </c>
      <c r="E2295" s="74">
        <v>0.05</v>
      </c>
      <c r="F2295" s="129">
        <f t="shared" si="325"/>
        <v>1480544.2360799999</v>
      </c>
      <c r="G2295" s="130">
        <f t="shared" si="326"/>
        <v>281303.40485519997</v>
      </c>
      <c r="H2295" s="131">
        <f t="shared" si="327"/>
        <v>1761848</v>
      </c>
    </row>
    <row r="2296" spans="1:8" x14ac:dyDescent="0.25">
      <c r="A2296" s="43" t="s">
        <v>5187</v>
      </c>
      <c r="B2296" s="81" t="s">
        <v>5180</v>
      </c>
      <c r="C2296" s="26" t="s">
        <v>37</v>
      </c>
      <c r="D2296" s="68">
        <v>1845206.4783999999</v>
      </c>
      <c r="E2296" s="74">
        <v>0.05</v>
      </c>
      <c r="F2296" s="129">
        <f t="shared" si="325"/>
        <v>1937466.8023199998</v>
      </c>
      <c r="G2296" s="130">
        <f t="shared" si="326"/>
        <v>368118.69244079996</v>
      </c>
      <c r="H2296" s="131">
        <f t="shared" si="327"/>
        <v>2305585</v>
      </c>
    </row>
    <row r="2297" spans="1:8" x14ac:dyDescent="0.25">
      <c r="A2297" s="43" t="s">
        <v>5188</v>
      </c>
      <c r="B2297" s="81" t="s">
        <v>5182</v>
      </c>
      <c r="C2297" s="26" t="s">
        <v>37</v>
      </c>
      <c r="D2297" s="68">
        <v>2758607.8319999999</v>
      </c>
      <c r="E2297" s="74">
        <v>0.05</v>
      </c>
      <c r="F2297" s="129">
        <f t="shared" si="325"/>
        <v>2896538.2236000001</v>
      </c>
      <c r="G2297" s="130">
        <f t="shared" si="326"/>
        <v>550342.26248400006</v>
      </c>
      <c r="H2297" s="131">
        <f t="shared" si="327"/>
        <v>3446880</v>
      </c>
    </row>
    <row r="2298" spans="1:8" x14ac:dyDescent="0.25">
      <c r="A2298" s="43" t="s">
        <v>5189</v>
      </c>
      <c r="B2298" s="81" t="s">
        <v>7378</v>
      </c>
      <c r="C2298" s="26" t="s">
        <v>37</v>
      </c>
      <c r="D2298" s="68">
        <v>4295896.5791999996</v>
      </c>
      <c r="E2298" s="74">
        <v>0.05</v>
      </c>
      <c r="F2298" s="129">
        <f t="shared" si="325"/>
        <v>4510691.4081599992</v>
      </c>
      <c r="G2298" s="130">
        <f t="shared" si="326"/>
        <v>857031.36755039985</v>
      </c>
      <c r="H2298" s="131">
        <f t="shared" si="327"/>
        <v>5367723</v>
      </c>
    </row>
    <row r="2299" spans="1:8" x14ac:dyDescent="0.25">
      <c r="A2299" s="44" t="s">
        <v>5190</v>
      </c>
      <c r="B2299" s="80" t="s">
        <v>5191</v>
      </c>
      <c r="C2299" s="14"/>
      <c r="D2299" s="68"/>
      <c r="E2299" s="74"/>
      <c r="F2299" s="75"/>
      <c r="G2299" s="76"/>
      <c r="H2299" s="77"/>
    </row>
    <row r="2300" spans="1:8" x14ac:dyDescent="0.25">
      <c r="A2300" s="43" t="s">
        <v>5203</v>
      </c>
      <c r="B2300" s="81" t="s">
        <v>5192</v>
      </c>
      <c r="C2300" s="26" t="s">
        <v>37</v>
      </c>
      <c r="D2300" s="68">
        <v>543471.6</v>
      </c>
      <c r="E2300" s="74">
        <v>0.05</v>
      </c>
      <c r="F2300" s="129">
        <f t="shared" ref="F2300:F2311" si="328">+D2300+D2300*E2300</f>
        <v>570645.17999999993</v>
      </c>
      <c r="G2300" s="130">
        <f t="shared" ref="G2300:G2311" si="329">F2300*0.19</f>
        <v>108422.58419999998</v>
      </c>
      <c r="H2300" s="131">
        <f t="shared" ref="H2300:H2311" si="330">ROUND((F2300+G2300),0)</f>
        <v>679068</v>
      </c>
    </row>
    <row r="2301" spans="1:8" x14ac:dyDescent="0.25">
      <c r="A2301" s="43" t="s">
        <v>5204</v>
      </c>
      <c r="B2301" s="81" t="s">
        <v>5193</v>
      </c>
      <c r="C2301" s="26" t="s">
        <v>37</v>
      </c>
      <c r="D2301" s="68">
        <v>752758.79999999993</v>
      </c>
      <c r="E2301" s="74">
        <v>0.05</v>
      </c>
      <c r="F2301" s="129">
        <f t="shared" si="328"/>
        <v>790396.73999999987</v>
      </c>
      <c r="G2301" s="130">
        <f t="shared" si="329"/>
        <v>150175.38059999997</v>
      </c>
      <c r="H2301" s="131">
        <f t="shared" si="330"/>
        <v>940572</v>
      </c>
    </row>
    <row r="2302" spans="1:8" x14ac:dyDescent="0.25">
      <c r="A2302" s="43" t="s">
        <v>5205</v>
      </c>
      <c r="B2302" s="81" t="s">
        <v>5194</v>
      </c>
      <c r="C2302" s="26" t="s">
        <v>37</v>
      </c>
      <c r="D2302" s="68">
        <v>860778</v>
      </c>
      <c r="E2302" s="74">
        <v>0.05</v>
      </c>
      <c r="F2302" s="129">
        <f t="shared" si="328"/>
        <v>903816.9</v>
      </c>
      <c r="G2302" s="130">
        <f t="shared" si="329"/>
        <v>171725.21100000001</v>
      </c>
      <c r="H2302" s="131">
        <f t="shared" si="330"/>
        <v>1075542</v>
      </c>
    </row>
    <row r="2303" spans="1:8" x14ac:dyDescent="0.25">
      <c r="A2303" s="43" t="s">
        <v>5206</v>
      </c>
      <c r="B2303" s="81" t="s">
        <v>7911</v>
      </c>
      <c r="C2303" s="26" t="s">
        <v>37</v>
      </c>
      <c r="D2303" s="68">
        <v>1250097.2</v>
      </c>
      <c r="E2303" s="74">
        <v>0.05</v>
      </c>
      <c r="F2303" s="129">
        <f t="shared" si="328"/>
        <v>1312602.06</v>
      </c>
      <c r="G2303" s="130">
        <f t="shared" si="329"/>
        <v>249394.39140000002</v>
      </c>
      <c r="H2303" s="131">
        <f t="shared" si="330"/>
        <v>1561996</v>
      </c>
    </row>
    <row r="2304" spans="1:8" x14ac:dyDescent="0.25">
      <c r="A2304" s="43" t="s">
        <v>5207</v>
      </c>
      <c r="B2304" s="81" t="s">
        <v>5196</v>
      </c>
      <c r="C2304" s="26" t="s">
        <v>37</v>
      </c>
      <c r="D2304" s="68">
        <v>2559830</v>
      </c>
      <c r="E2304" s="74">
        <v>0.05</v>
      </c>
      <c r="F2304" s="129">
        <f t="shared" si="328"/>
        <v>2687821.5</v>
      </c>
      <c r="G2304" s="130">
        <f t="shared" si="329"/>
        <v>510686.08500000002</v>
      </c>
      <c r="H2304" s="131">
        <f t="shared" si="330"/>
        <v>3198508</v>
      </c>
    </row>
    <row r="2305" spans="1:8" x14ac:dyDescent="0.25">
      <c r="A2305" s="43" t="s">
        <v>5208</v>
      </c>
      <c r="B2305" s="81" t="s">
        <v>7379</v>
      </c>
      <c r="C2305" s="26" t="s">
        <v>37</v>
      </c>
      <c r="D2305" s="68">
        <v>3751416.8</v>
      </c>
      <c r="E2305" s="74">
        <v>0.05</v>
      </c>
      <c r="F2305" s="129">
        <f t="shared" si="328"/>
        <v>3938987.6399999997</v>
      </c>
      <c r="G2305" s="130">
        <f t="shared" si="329"/>
        <v>748407.65159999998</v>
      </c>
      <c r="H2305" s="131">
        <f t="shared" si="330"/>
        <v>4687395</v>
      </c>
    </row>
    <row r="2306" spans="1:8" x14ac:dyDescent="0.25">
      <c r="A2306" s="43" t="s">
        <v>5209</v>
      </c>
      <c r="B2306" s="81" t="s">
        <v>5198</v>
      </c>
      <c r="C2306" s="26" t="s">
        <v>37</v>
      </c>
      <c r="D2306" s="68">
        <v>5189422.3999999994</v>
      </c>
      <c r="E2306" s="74">
        <v>0.05</v>
      </c>
      <c r="F2306" s="129">
        <f t="shared" si="328"/>
        <v>5448893.5199999996</v>
      </c>
      <c r="G2306" s="130">
        <f t="shared" si="329"/>
        <v>1035289.7688</v>
      </c>
      <c r="H2306" s="131">
        <f t="shared" si="330"/>
        <v>6484183</v>
      </c>
    </row>
    <row r="2307" spans="1:8" x14ac:dyDescent="0.25">
      <c r="A2307" s="43" t="s">
        <v>5210</v>
      </c>
      <c r="B2307" s="81" t="s">
        <v>7546</v>
      </c>
      <c r="C2307" s="26" t="s">
        <v>37</v>
      </c>
      <c r="D2307" s="68">
        <v>6518283.5999999996</v>
      </c>
      <c r="E2307" s="74">
        <v>0.05</v>
      </c>
      <c r="F2307" s="129">
        <f t="shared" si="328"/>
        <v>6844197.7799999993</v>
      </c>
      <c r="G2307" s="130">
        <f t="shared" si="329"/>
        <v>1300397.5781999999</v>
      </c>
      <c r="H2307" s="131">
        <f t="shared" si="330"/>
        <v>8144595</v>
      </c>
    </row>
    <row r="2308" spans="1:8" x14ac:dyDescent="0.25">
      <c r="A2308" s="43" t="s">
        <v>5211</v>
      </c>
      <c r="B2308" s="81" t="s">
        <v>7701</v>
      </c>
      <c r="C2308" s="26" t="s">
        <v>37</v>
      </c>
      <c r="D2308" s="68">
        <v>9009476.4000000004</v>
      </c>
      <c r="E2308" s="74">
        <v>0.05</v>
      </c>
      <c r="F2308" s="129">
        <f t="shared" si="328"/>
        <v>9459950.2200000007</v>
      </c>
      <c r="G2308" s="130">
        <f t="shared" si="329"/>
        <v>1797390.5418000002</v>
      </c>
      <c r="H2308" s="131">
        <f t="shared" si="330"/>
        <v>11257341</v>
      </c>
    </row>
    <row r="2309" spans="1:8" x14ac:dyDescent="0.25">
      <c r="A2309" s="43" t="s">
        <v>5212</v>
      </c>
      <c r="B2309" s="81" t="s">
        <v>5201</v>
      </c>
      <c r="C2309" s="26" t="s">
        <v>37</v>
      </c>
      <c r="D2309" s="68"/>
      <c r="E2309" s="74">
        <v>0.05</v>
      </c>
      <c r="F2309" s="129">
        <f t="shared" si="328"/>
        <v>0</v>
      </c>
      <c r="G2309" s="130">
        <f t="shared" si="329"/>
        <v>0</v>
      </c>
      <c r="H2309" s="131">
        <f t="shared" si="330"/>
        <v>0</v>
      </c>
    </row>
    <row r="2310" spans="1:8" x14ac:dyDescent="0.25">
      <c r="A2310" s="43" t="s">
        <v>5213</v>
      </c>
      <c r="B2310" s="81" t="s">
        <v>5202</v>
      </c>
      <c r="C2310" s="26" t="s">
        <v>37</v>
      </c>
      <c r="D2310" s="68">
        <v>22053920</v>
      </c>
      <c r="E2310" s="74">
        <v>0.05</v>
      </c>
      <c r="F2310" s="129">
        <f t="shared" si="328"/>
        <v>23156616</v>
      </c>
      <c r="G2310" s="130">
        <f t="shared" si="329"/>
        <v>4399757.04</v>
      </c>
      <c r="H2310" s="131">
        <f t="shared" si="330"/>
        <v>27556373</v>
      </c>
    </row>
    <row r="2311" spans="1:8" x14ac:dyDescent="0.25">
      <c r="A2311" s="43" t="s">
        <v>5230</v>
      </c>
      <c r="B2311" s="81" t="s">
        <v>5231</v>
      </c>
      <c r="C2311" s="26" t="s">
        <v>37</v>
      </c>
      <c r="D2311" s="68">
        <v>27004800</v>
      </c>
      <c r="E2311" s="74">
        <v>0.05</v>
      </c>
      <c r="F2311" s="129">
        <f t="shared" si="328"/>
        <v>28355040</v>
      </c>
      <c r="G2311" s="130">
        <f t="shared" si="329"/>
        <v>5387457.5999999996</v>
      </c>
      <c r="H2311" s="131">
        <f t="shared" si="330"/>
        <v>33742498</v>
      </c>
    </row>
    <row r="2312" spans="1:8" x14ac:dyDescent="0.25">
      <c r="A2312" s="44" t="s">
        <v>5214</v>
      </c>
      <c r="B2312" s="80" t="s">
        <v>5215</v>
      </c>
      <c r="C2312" s="14"/>
      <c r="D2312" s="68"/>
      <c r="E2312" s="74"/>
      <c r="F2312" s="75"/>
      <c r="G2312" s="76"/>
      <c r="H2312" s="77"/>
    </row>
    <row r="2313" spans="1:8" x14ac:dyDescent="0.25">
      <c r="A2313" s="43" t="s">
        <v>5223</v>
      </c>
      <c r="B2313" s="81" t="s">
        <v>5216</v>
      </c>
      <c r="C2313" s="26" t="s">
        <v>37</v>
      </c>
      <c r="D2313" s="68"/>
      <c r="E2313" s="74">
        <v>0.05</v>
      </c>
      <c r="F2313" s="129">
        <f t="shared" ref="F2313:F2324" si="331">+D2313+D2313*E2313</f>
        <v>0</v>
      </c>
      <c r="G2313" s="130">
        <f t="shared" ref="G2313:G2324" si="332">F2313*0.19</f>
        <v>0</v>
      </c>
      <c r="H2313" s="131">
        <f t="shared" ref="H2313:H2324" si="333">ROUND((F2313+G2313),0)</f>
        <v>0</v>
      </c>
    </row>
    <row r="2314" spans="1:8" x14ac:dyDescent="0.25">
      <c r="A2314" s="43" t="s">
        <v>5224</v>
      </c>
      <c r="B2314" s="81" t="s">
        <v>5217</v>
      </c>
      <c r="C2314" s="26" t="s">
        <v>37</v>
      </c>
      <c r="D2314" s="68"/>
      <c r="E2314" s="74">
        <v>0.05</v>
      </c>
      <c r="F2314" s="129">
        <f t="shared" si="331"/>
        <v>0</v>
      </c>
      <c r="G2314" s="130">
        <f t="shared" si="332"/>
        <v>0</v>
      </c>
      <c r="H2314" s="131">
        <f t="shared" si="333"/>
        <v>0</v>
      </c>
    </row>
    <row r="2315" spans="1:8" x14ac:dyDescent="0.25">
      <c r="A2315" s="43" t="s">
        <v>5225</v>
      </c>
      <c r="B2315" s="81" t="s">
        <v>5218</v>
      </c>
      <c r="C2315" s="26" t="s">
        <v>37</v>
      </c>
      <c r="D2315" s="68"/>
      <c r="E2315" s="74">
        <v>0.05</v>
      </c>
      <c r="F2315" s="129">
        <f t="shared" si="331"/>
        <v>0</v>
      </c>
      <c r="G2315" s="130">
        <f t="shared" si="332"/>
        <v>0</v>
      </c>
      <c r="H2315" s="131">
        <f t="shared" si="333"/>
        <v>0</v>
      </c>
    </row>
    <row r="2316" spans="1:8" x14ac:dyDescent="0.25">
      <c r="A2316" s="43" t="s">
        <v>5226</v>
      </c>
      <c r="B2316" s="81" t="s">
        <v>7912</v>
      </c>
      <c r="C2316" s="26" t="s">
        <v>37</v>
      </c>
      <c r="D2316" s="68"/>
      <c r="E2316" s="74">
        <v>0.05</v>
      </c>
      <c r="F2316" s="129">
        <f t="shared" si="331"/>
        <v>0</v>
      </c>
      <c r="G2316" s="130">
        <f t="shared" si="332"/>
        <v>0</v>
      </c>
      <c r="H2316" s="131">
        <f t="shared" si="333"/>
        <v>0</v>
      </c>
    </row>
    <row r="2317" spans="1:8" x14ac:dyDescent="0.25">
      <c r="A2317" s="43" t="s">
        <v>5227</v>
      </c>
      <c r="B2317" s="81" t="s">
        <v>5220</v>
      </c>
      <c r="C2317" s="26" t="s">
        <v>37</v>
      </c>
      <c r="D2317" s="68"/>
      <c r="E2317" s="74">
        <v>0.05</v>
      </c>
      <c r="F2317" s="129">
        <f t="shared" si="331"/>
        <v>0</v>
      </c>
      <c r="G2317" s="130">
        <f t="shared" si="332"/>
        <v>0</v>
      </c>
      <c r="H2317" s="131">
        <f t="shared" si="333"/>
        <v>0</v>
      </c>
    </row>
    <row r="2318" spans="1:8" x14ac:dyDescent="0.25">
      <c r="A2318" s="43" t="s">
        <v>5228</v>
      </c>
      <c r="B2318" s="81" t="s">
        <v>7380</v>
      </c>
      <c r="C2318" s="26" t="s">
        <v>37</v>
      </c>
      <c r="D2318" s="68"/>
      <c r="E2318" s="74">
        <v>0.05</v>
      </c>
      <c r="F2318" s="129">
        <f t="shared" si="331"/>
        <v>0</v>
      </c>
      <c r="G2318" s="130">
        <f t="shared" si="332"/>
        <v>0</v>
      </c>
      <c r="H2318" s="131">
        <f t="shared" si="333"/>
        <v>0</v>
      </c>
    </row>
    <row r="2319" spans="1:8" x14ac:dyDescent="0.25">
      <c r="A2319" s="43" t="s">
        <v>5229</v>
      </c>
      <c r="B2319" s="81" t="s">
        <v>5222</v>
      </c>
      <c r="C2319" s="26" t="s">
        <v>37</v>
      </c>
      <c r="D2319" s="68"/>
      <c r="E2319" s="74">
        <v>0.05</v>
      </c>
      <c r="F2319" s="129">
        <f t="shared" si="331"/>
        <v>0</v>
      </c>
      <c r="G2319" s="130">
        <f t="shared" si="332"/>
        <v>0</v>
      </c>
      <c r="H2319" s="131">
        <f t="shared" si="333"/>
        <v>0</v>
      </c>
    </row>
    <row r="2320" spans="1:8" x14ac:dyDescent="0.25">
      <c r="A2320" s="43" t="s">
        <v>5232</v>
      </c>
      <c r="B2320" s="122" t="s">
        <v>7547</v>
      </c>
      <c r="C2320" s="26" t="s">
        <v>37</v>
      </c>
      <c r="D2320" s="68"/>
      <c r="E2320" s="74">
        <v>0.05</v>
      </c>
      <c r="F2320" s="129">
        <f t="shared" si="331"/>
        <v>0</v>
      </c>
      <c r="G2320" s="130">
        <f t="shared" si="332"/>
        <v>0</v>
      </c>
      <c r="H2320" s="131">
        <f t="shared" si="333"/>
        <v>0</v>
      </c>
    </row>
    <row r="2321" spans="1:8" x14ac:dyDescent="0.25">
      <c r="A2321" s="43" t="s">
        <v>5233</v>
      </c>
      <c r="B2321" s="122" t="s">
        <v>7702</v>
      </c>
      <c r="C2321" s="26" t="s">
        <v>37</v>
      </c>
      <c r="D2321" s="68"/>
      <c r="E2321" s="74">
        <v>0.05</v>
      </c>
      <c r="F2321" s="129">
        <f t="shared" si="331"/>
        <v>0</v>
      </c>
      <c r="G2321" s="130">
        <f t="shared" si="332"/>
        <v>0</v>
      </c>
      <c r="H2321" s="131">
        <f t="shared" si="333"/>
        <v>0</v>
      </c>
    </row>
    <row r="2322" spans="1:8" x14ac:dyDescent="0.25">
      <c r="A2322" s="43" t="s">
        <v>5234</v>
      </c>
      <c r="B2322" s="122" t="s">
        <v>5239</v>
      </c>
      <c r="C2322" s="26" t="s">
        <v>37</v>
      </c>
      <c r="D2322" s="68"/>
      <c r="E2322" s="74">
        <v>0.05</v>
      </c>
      <c r="F2322" s="129">
        <f t="shared" si="331"/>
        <v>0</v>
      </c>
      <c r="G2322" s="130">
        <f t="shared" si="332"/>
        <v>0</v>
      </c>
      <c r="H2322" s="131">
        <f t="shared" si="333"/>
        <v>0</v>
      </c>
    </row>
    <row r="2323" spans="1:8" x14ac:dyDescent="0.25">
      <c r="A2323" s="43" t="s">
        <v>5235</v>
      </c>
      <c r="B2323" s="122" t="s">
        <v>5240</v>
      </c>
      <c r="C2323" s="26" t="s">
        <v>37</v>
      </c>
      <c r="D2323" s="68"/>
      <c r="E2323" s="74">
        <v>0.05</v>
      </c>
      <c r="F2323" s="129">
        <f t="shared" si="331"/>
        <v>0</v>
      </c>
      <c r="G2323" s="130">
        <f t="shared" si="332"/>
        <v>0</v>
      </c>
      <c r="H2323" s="131">
        <f t="shared" si="333"/>
        <v>0</v>
      </c>
    </row>
    <row r="2324" spans="1:8" x14ac:dyDescent="0.25">
      <c r="A2324" s="43" t="s">
        <v>5236</v>
      </c>
      <c r="B2324" s="122" t="s">
        <v>5241</v>
      </c>
      <c r="C2324" s="26" t="s">
        <v>37</v>
      </c>
      <c r="D2324" s="68"/>
      <c r="E2324" s="74">
        <v>0.05</v>
      </c>
      <c r="F2324" s="129">
        <f t="shared" si="331"/>
        <v>0</v>
      </c>
      <c r="G2324" s="130">
        <f t="shared" si="332"/>
        <v>0</v>
      </c>
      <c r="H2324" s="131">
        <f t="shared" si="333"/>
        <v>0</v>
      </c>
    </row>
    <row r="2325" spans="1:8" x14ac:dyDescent="0.25">
      <c r="A2325" s="44" t="s">
        <v>5242</v>
      </c>
      <c r="B2325" s="80" t="s">
        <v>5243</v>
      </c>
      <c r="C2325" s="14"/>
      <c r="D2325" s="68"/>
      <c r="E2325" s="74"/>
      <c r="F2325" s="75"/>
      <c r="G2325" s="76"/>
      <c r="H2325" s="77"/>
    </row>
    <row r="2326" spans="1:8" x14ac:dyDescent="0.25">
      <c r="A2326" s="43" t="s">
        <v>5252</v>
      </c>
      <c r="B2326" s="81" t="s">
        <v>5246</v>
      </c>
      <c r="C2326" s="26" t="s">
        <v>37</v>
      </c>
      <c r="D2326" s="68">
        <v>10200</v>
      </c>
      <c r="E2326" s="74">
        <v>0.05</v>
      </c>
      <c r="F2326" s="129">
        <f t="shared" ref="F2326:F2333" si="334">+D2326+D2326*E2326</f>
        <v>10710</v>
      </c>
      <c r="G2326" s="130">
        <f t="shared" ref="G2326:G2333" si="335">F2326*0.19</f>
        <v>2034.9</v>
      </c>
      <c r="H2326" s="131">
        <f t="shared" ref="H2326:H2333" si="336">ROUND((F2326+G2326),0)</f>
        <v>12745</v>
      </c>
    </row>
    <row r="2327" spans="1:8" x14ac:dyDescent="0.25">
      <c r="A2327" s="43" t="s">
        <v>5253</v>
      </c>
      <c r="B2327" s="81" t="s">
        <v>5245</v>
      </c>
      <c r="C2327" s="26" t="s">
        <v>37</v>
      </c>
      <c r="D2327" s="68">
        <v>15900</v>
      </c>
      <c r="E2327" s="74">
        <v>0.05</v>
      </c>
      <c r="F2327" s="129">
        <f t="shared" si="334"/>
        <v>16695</v>
      </c>
      <c r="G2327" s="130">
        <f t="shared" si="335"/>
        <v>3172.05</v>
      </c>
      <c r="H2327" s="131">
        <f t="shared" si="336"/>
        <v>19867</v>
      </c>
    </row>
    <row r="2328" spans="1:8" x14ac:dyDescent="0.25">
      <c r="A2328" s="43" t="s">
        <v>5254</v>
      </c>
      <c r="B2328" s="81" t="s">
        <v>5244</v>
      </c>
      <c r="C2328" s="26" t="s">
        <v>37</v>
      </c>
      <c r="D2328" s="68">
        <v>25400</v>
      </c>
      <c r="E2328" s="74">
        <v>0.05</v>
      </c>
      <c r="F2328" s="129">
        <f t="shared" si="334"/>
        <v>26670</v>
      </c>
      <c r="G2328" s="130">
        <f t="shared" si="335"/>
        <v>5067.3</v>
      </c>
      <c r="H2328" s="131">
        <f t="shared" si="336"/>
        <v>31737</v>
      </c>
    </row>
    <row r="2329" spans="1:8" x14ac:dyDescent="0.25">
      <c r="A2329" s="43" t="s">
        <v>5255</v>
      </c>
      <c r="B2329" s="81" t="s">
        <v>5247</v>
      </c>
      <c r="C2329" s="26" t="s">
        <v>37</v>
      </c>
      <c r="D2329" s="68">
        <v>51308</v>
      </c>
      <c r="E2329" s="74">
        <v>0.05</v>
      </c>
      <c r="F2329" s="129">
        <f t="shared" si="334"/>
        <v>53873.4</v>
      </c>
      <c r="G2329" s="130">
        <f t="shared" si="335"/>
        <v>10235.946</v>
      </c>
      <c r="H2329" s="131">
        <f t="shared" si="336"/>
        <v>64109</v>
      </c>
    </row>
    <row r="2330" spans="1:8" x14ac:dyDescent="0.25">
      <c r="A2330" s="43" t="s">
        <v>5256</v>
      </c>
      <c r="B2330" s="81" t="s">
        <v>5248</v>
      </c>
      <c r="C2330" s="26" t="s">
        <v>37</v>
      </c>
      <c r="D2330" s="68">
        <v>84000</v>
      </c>
      <c r="E2330" s="74">
        <v>0.05</v>
      </c>
      <c r="F2330" s="129">
        <f t="shared" si="334"/>
        <v>88200</v>
      </c>
      <c r="G2330" s="130">
        <f t="shared" si="335"/>
        <v>16758</v>
      </c>
      <c r="H2330" s="131">
        <f t="shared" si="336"/>
        <v>104958</v>
      </c>
    </row>
    <row r="2331" spans="1:8" x14ac:dyDescent="0.25">
      <c r="A2331" s="43" t="s">
        <v>5257</v>
      </c>
      <c r="B2331" s="81" t="s">
        <v>5249</v>
      </c>
      <c r="C2331" s="26" t="s">
        <v>37</v>
      </c>
      <c r="D2331" s="68">
        <v>190000</v>
      </c>
      <c r="E2331" s="74">
        <v>0.05</v>
      </c>
      <c r="F2331" s="129">
        <f t="shared" si="334"/>
        <v>199500</v>
      </c>
      <c r="G2331" s="130">
        <f t="shared" si="335"/>
        <v>37905</v>
      </c>
      <c r="H2331" s="131">
        <f t="shared" si="336"/>
        <v>237405</v>
      </c>
    </row>
    <row r="2332" spans="1:8" x14ac:dyDescent="0.25">
      <c r="A2332" s="43" t="s">
        <v>5258</v>
      </c>
      <c r="B2332" s="81" t="s">
        <v>5250</v>
      </c>
      <c r="C2332" s="26" t="s">
        <v>37</v>
      </c>
      <c r="D2332" s="68">
        <v>250000</v>
      </c>
      <c r="E2332" s="74">
        <v>0.05</v>
      </c>
      <c r="F2332" s="129">
        <f t="shared" si="334"/>
        <v>262500</v>
      </c>
      <c r="G2332" s="130">
        <f t="shared" si="335"/>
        <v>49875</v>
      </c>
      <c r="H2332" s="131">
        <f t="shared" si="336"/>
        <v>312375</v>
      </c>
    </row>
    <row r="2333" spans="1:8" x14ac:dyDescent="0.25">
      <c r="A2333" s="43" t="s">
        <v>5259</v>
      </c>
      <c r="B2333" s="81" t="s">
        <v>5251</v>
      </c>
      <c r="C2333" s="26" t="s">
        <v>37</v>
      </c>
      <c r="D2333" s="68">
        <v>390000</v>
      </c>
      <c r="E2333" s="74">
        <v>0.05</v>
      </c>
      <c r="F2333" s="129">
        <f t="shared" si="334"/>
        <v>409500</v>
      </c>
      <c r="G2333" s="130">
        <f t="shared" si="335"/>
        <v>77805</v>
      </c>
      <c r="H2333" s="131">
        <f t="shared" si="336"/>
        <v>487305</v>
      </c>
    </row>
    <row r="2334" spans="1:8" x14ac:dyDescent="0.25">
      <c r="A2334" s="44" t="s">
        <v>5260</v>
      </c>
      <c r="B2334" s="80" t="s">
        <v>1037</v>
      </c>
      <c r="C2334" s="14"/>
      <c r="D2334" s="1001"/>
      <c r="E2334" s="74"/>
      <c r="F2334" s="75"/>
      <c r="G2334" s="76"/>
      <c r="H2334" s="77"/>
    </row>
    <row r="2335" spans="1:8" x14ac:dyDescent="0.25">
      <c r="A2335" s="44" t="s">
        <v>5261</v>
      </c>
      <c r="B2335" s="80" t="s">
        <v>5262</v>
      </c>
      <c r="C2335" s="14"/>
      <c r="D2335" s="1001"/>
      <c r="E2335" s="74"/>
      <c r="F2335" s="75"/>
      <c r="G2335" s="76"/>
      <c r="H2335" s="77"/>
    </row>
    <row r="2336" spans="1:8" x14ac:dyDescent="0.25">
      <c r="A2336" s="43" t="s">
        <v>5279</v>
      </c>
      <c r="B2336" s="81" t="s">
        <v>5265</v>
      </c>
      <c r="C2336" s="26" t="s">
        <v>37</v>
      </c>
      <c r="D2336" s="1001"/>
      <c r="E2336" s="74">
        <v>0.05</v>
      </c>
      <c r="F2336" s="129">
        <f t="shared" ref="F2336:F2350" si="337">+D2336+D2336*E2336</f>
        <v>0</v>
      </c>
      <c r="G2336" s="130">
        <f t="shared" ref="G2336:G2350" si="338">F2336*0.19</f>
        <v>0</v>
      </c>
      <c r="H2336" s="131">
        <f t="shared" ref="H2336:H2350" si="339">ROUND((F2336+G2336),0)</f>
        <v>0</v>
      </c>
    </row>
    <row r="2337" spans="1:8" x14ac:dyDescent="0.25">
      <c r="A2337" s="43" t="s">
        <v>5280</v>
      </c>
      <c r="B2337" s="81" t="s">
        <v>7913</v>
      </c>
      <c r="C2337" s="26" t="s">
        <v>37</v>
      </c>
      <c r="D2337" s="68">
        <v>1397000</v>
      </c>
      <c r="E2337" s="74">
        <v>0.05</v>
      </c>
      <c r="F2337" s="129">
        <f t="shared" si="337"/>
        <v>1466850</v>
      </c>
      <c r="G2337" s="130">
        <f t="shared" si="338"/>
        <v>278701.5</v>
      </c>
      <c r="H2337" s="131">
        <f t="shared" si="339"/>
        <v>1745552</v>
      </c>
    </row>
    <row r="2338" spans="1:8" x14ac:dyDescent="0.25">
      <c r="A2338" s="43" t="s">
        <v>5281</v>
      </c>
      <c r="B2338" s="81" t="s">
        <v>1042</v>
      </c>
      <c r="C2338" s="26" t="s">
        <v>37</v>
      </c>
      <c r="D2338" s="68">
        <v>1889800</v>
      </c>
      <c r="E2338" s="74">
        <v>0.05</v>
      </c>
      <c r="F2338" s="129">
        <f t="shared" si="337"/>
        <v>1984290</v>
      </c>
      <c r="G2338" s="130">
        <f t="shared" si="338"/>
        <v>377015.1</v>
      </c>
      <c r="H2338" s="131">
        <f t="shared" si="339"/>
        <v>2361305</v>
      </c>
    </row>
    <row r="2339" spans="1:8" x14ac:dyDescent="0.25">
      <c r="A2339" s="43" t="s">
        <v>5282</v>
      </c>
      <c r="B2339" s="81" t="s">
        <v>7381</v>
      </c>
      <c r="C2339" s="26" t="s">
        <v>37</v>
      </c>
      <c r="D2339" s="68">
        <v>3245000</v>
      </c>
      <c r="E2339" s="74">
        <v>0.05</v>
      </c>
      <c r="F2339" s="129">
        <f t="shared" si="337"/>
        <v>3407250</v>
      </c>
      <c r="G2339" s="130">
        <f t="shared" si="338"/>
        <v>647377.5</v>
      </c>
      <c r="H2339" s="131">
        <f t="shared" si="339"/>
        <v>4054628</v>
      </c>
    </row>
    <row r="2340" spans="1:8" x14ac:dyDescent="0.25">
      <c r="A2340" s="43" t="s">
        <v>5283</v>
      </c>
      <c r="B2340" s="81" t="s">
        <v>1044</v>
      </c>
      <c r="C2340" s="26" t="s">
        <v>37</v>
      </c>
      <c r="D2340" s="68">
        <v>4477000</v>
      </c>
      <c r="E2340" s="74">
        <v>0.05</v>
      </c>
      <c r="F2340" s="129">
        <f t="shared" si="337"/>
        <v>4700850</v>
      </c>
      <c r="G2340" s="130">
        <f t="shared" si="338"/>
        <v>893161.5</v>
      </c>
      <c r="H2340" s="131">
        <f t="shared" si="339"/>
        <v>5594012</v>
      </c>
    </row>
    <row r="2341" spans="1:8" x14ac:dyDescent="0.25">
      <c r="A2341" s="43" t="s">
        <v>5284</v>
      </c>
      <c r="B2341" s="81" t="s">
        <v>7548</v>
      </c>
      <c r="C2341" s="26" t="s">
        <v>37</v>
      </c>
      <c r="D2341" s="68">
        <v>5231600</v>
      </c>
      <c r="E2341" s="74">
        <v>0.05</v>
      </c>
      <c r="F2341" s="129">
        <f t="shared" si="337"/>
        <v>5493180</v>
      </c>
      <c r="G2341" s="130">
        <f t="shared" si="338"/>
        <v>1043704.2000000001</v>
      </c>
      <c r="H2341" s="131">
        <f t="shared" si="339"/>
        <v>6536884</v>
      </c>
    </row>
    <row r="2342" spans="1:8" x14ac:dyDescent="0.25">
      <c r="A2342" s="43" t="s">
        <v>5285</v>
      </c>
      <c r="B2342" s="81" t="s">
        <v>7703</v>
      </c>
      <c r="C2342" s="26" t="s">
        <v>37</v>
      </c>
      <c r="D2342" s="68">
        <v>5955400</v>
      </c>
      <c r="E2342" s="74">
        <v>0.05</v>
      </c>
      <c r="F2342" s="129">
        <f t="shared" si="337"/>
        <v>6253170</v>
      </c>
      <c r="G2342" s="130">
        <f t="shared" si="338"/>
        <v>1188102.3</v>
      </c>
      <c r="H2342" s="131">
        <f t="shared" si="339"/>
        <v>7441272</v>
      </c>
    </row>
    <row r="2343" spans="1:8" x14ac:dyDescent="0.25">
      <c r="A2343" s="43" t="s">
        <v>5286</v>
      </c>
      <c r="B2343" s="81" t="s">
        <v>5271</v>
      </c>
      <c r="C2343" s="26" t="s">
        <v>37</v>
      </c>
      <c r="D2343" s="68">
        <v>6958600</v>
      </c>
      <c r="E2343" s="74">
        <v>0.05</v>
      </c>
      <c r="F2343" s="129">
        <f t="shared" si="337"/>
        <v>7306530</v>
      </c>
      <c r="G2343" s="130">
        <f t="shared" si="338"/>
        <v>1388240.7</v>
      </c>
      <c r="H2343" s="131">
        <f t="shared" si="339"/>
        <v>8694771</v>
      </c>
    </row>
    <row r="2344" spans="1:8" x14ac:dyDescent="0.25">
      <c r="A2344" s="43" t="s">
        <v>5287</v>
      </c>
      <c r="B2344" s="81" t="s">
        <v>5272</v>
      </c>
      <c r="C2344" s="26" t="s">
        <v>37</v>
      </c>
      <c r="D2344" s="68">
        <v>9076100</v>
      </c>
      <c r="E2344" s="74">
        <v>0.05</v>
      </c>
      <c r="F2344" s="129">
        <f t="shared" si="337"/>
        <v>9529905</v>
      </c>
      <c r="G2344" s="130">
        <f t="shared" si="338"/>
        <v>1810681.95</v>
      </c>
      <c r="H2344" s="131">
        <f t="shared" si="339"/>
        <v>11340587</v>
      </c>
    </row>
    <row r="2345" spans="1:8" x14ac:dyDescent="0.25">
      <c r="A2345" s="43" t="s">
        <v>5288</v>
      </c>
      <c r="B2345" s="81" t="s">
        <v>5273</v>
      </c>
      <c r="C2345" s="26" t="s">
        <v>37</v>
      </c>
      <c r="D2345" s="68">
        <v>11992200</v>
      </c>
      <c r="E2345" s="74">
        <v>0.05</v>
      </c>
      <c r="F2345" s="129">
        <f t="shared" si="337"/>
        <v>12591810</v>
      </c>
      <c r="G2345" s="130">
        <f t="shared" si="338"/>
        <v>2392443.9</v>
      </c>
      <c r="H2345" s="131">
        <f t="shared" si="339"/>
        <v>14984254</v>
      </c>
    </row>
    <row r="2346" spans="1:8" x14ac:dyDescent="0.25">
      <c r="A2346" s="43" t="s">
        <v>5289</v>
      </c>
      <c r="B2346" s="81" t="s">
        <v>5274</v>
      </c>
      <c r="C2346" s="26" t="s">
        <v>37</v>
      </c>
      <c r="D2346" s="68">
        <v>23185800</v>
      </c>
      <c r="E2346" s="74">
        <v>0.05</v>
      </c>
      <c r="F2346" s="129">
        <f t="shared" si="337"/>
        <v>24345090</v>
      </c>
      <c r="G2346" s="130">
        <f t="shared" si="338"/>
        <v>4625567.0999999996</v>
      </c>
      <c r="H2346" s="131">
        <f t="shared" si="339"/>
        <v>28970657</v>
      </c>
    </row>
    <row r="2347" spans="1:8" x14ac:dyDescent="0.25">
      <c r="A2347" s="43" t="s">
        <v>5290</v>
      </c>
      <c r="B2347" s="81" t="s">
        <v>7914</v>
      </c>
      <c r="C2347" s="26" t="s">
        <v>37</v>
      </c>
      <c r="D2347" s="68">
        <v>35200000</v>
      </c>
      <c r="E2347" s="74">
        <v>0.05</v>
      </c>
      <c r="F2347" s="129">
        <f t="shared" si="337"/>
        <v>36960000</v>
      </c>
      <c r="G2347" s="130">
        <f t="shared" si="338"/>
        <v>7022400</v>
      </c>
      <c r="H2347" s="131">
        <f t="shared" si="339"/>
        <v>43982400</v>
      </c>
    </row>
    <row r="2348" spans="1:8" x14ac:dyDescent="0.25">
      <c r="A2348" s="43" t="s">
        <v>5291</v>
      </c>
      <c r="B2348" s="81" t="s">
        <v>5276</v>
      </c>
      <c r="C2348" s="26" t="s">
        <v>37</v>
      </c>
      <c r="D2348" s="68">
        <v>36960000</v>
      </c>
      <c r="E2348" s="74">
        <v>0.05</v>
      </c>
      <c r="F2348" s="129">
        <f t="shared" si="337"/>
        <v>38808000</v>
      </c>
      <c r="G2348" s="130">
        <f t="shared" si="338"/>
        <v>7373520</v>
      </c>
      <c r="H2348" s="131">
        <f t="shared" si="339"/>
        <v>46181520</v>
      </c>
    </row>
    <row r="2349" spans="1:8" x14ac:dyDescent="0.25">
      <c r="A2349" s="43" t="s">
        <v>5292</v>
      </c>
      <c r="B2349" s="81" t="s">
        <v>5277</v>
      </c>
      <c r="C2349" s="26" t="s">
        <v>37</v>
      </c>
      <c r="D2349" s="68">
        <v>83541700</v>
      </c>
      <c r="E2349" s="74">
        <v>0.05</v>
      </c>
      <c r="F2349" s="129">
        <f t="shared" si="337"/>
        <v>87718785</v>
      </c>
      <c r="G2349" s="130">
        <f t="shared" si="338"/>
        <v>16666569.15</v>
      </c>
      <c r="H2349" s="131">
        <f t="shared" si="339"/>
        <v>104385354</v>
      </c>
    </row>
    <row r="2350" spans="1:8" x14ac:dyDescent="0.25">
      <c r="A2350" s="43" t="s">
        <v>5293</v>
      </c>
      <c r="B2350" s="81" t="s">
        <v>5278</v>
      </c>
      <c r="C2350" s="26" t="s">
        <v>37</v>
      </c>
      <c r="D2350" s="68">
        <v>92459400</v>
      </c>
      <c r="E2350" s="74">
        <v>0.05</v>
      </c>
      <c r="F2350" s="129">
        <f t="shared" si="337"/>
        <v>97082370</v>
      </c>
      <c r="G2350" s="130">
        <f t="shared" si="338"/>
        <v>18445650.300000001</v>
      </c>
      <c r="H2350" s="131">
        <f t="shared" si="339"/>
        <v>115528020</v>
      </c>
    </row>
    <row r="2351" spans="1:8" x14ac:dyDescent="0.25">
      <c r="A2351" s="44" t="s">
        <v>5267</v>
      </c>
      <c r="B2351" s="80" t="s">
        <v>5263</v>
      </c>
      <c r="C2351" s="14"/>
      <c r="D2351" s="1001"/>
      <c r="E2351" s="74"/>
      <c r="F2351" s="75"/>
      <c r="G2351" s="76"/>
      <c r="H2351" s="77"/>
    </row>
    <row r="2352" spans="1:8" x14ac:dyDescent="0.25">
      <c r="A2352" s="43" t="s">
        <v>5309</v>
      </c>
      <c r="B2352" s="81" t="s">
        <v>5294</v>
      </c>
      <c r="C2352" s="26" t="s">
        <v>37</v>
      </c>
      <c r="D2352" s="68">
        <v>1192712</v>
      </c>
      <c r="E2352" s="74">
        <v>0.05</v>
      </c>
      <c r="F2352" s="129">
        <f t="shared" ref="F2352:F2366" si="340">+D2352+D2352*E2352</f>
        <v>1252347.6000000001</v>
      </c>
      <c r="G2352" s="130">
        <f t="shared" ref="G2352:G2366" si="341">F2352*0.19</f>
        <v>237946.04400000002</v>
      </c>
      <c r="H2352" s="131">
        <f t="shared" ref="H2352:H2366" si="342">ROUND((F2352+G2352),0)</f>
        <v>1490294</v>
      </c>
    </row>
    <row r="2353" spans="1:8" x14ac:dyDescent="0.25">
      <c r="A2353" s="43" t="s">
        <v>1039</v>
      </c>
      <c r="B2353" s="81" t="s">
        <v>7915</v>
      </c>
      <c r="C2353" s="26" t="s">
        <v>37</v>
      </c>
      <c r="D2353" s="68">
        <v>1273726.3999999999</v>
      </c>
      <c r="E2353" s="74">
        <v>0.05</v>
      </c>
      <c r="F2353" s="129">
        <f t="shared" si="340"/>
        <v>1337412.72</v>
      </c>
      <c r="G2353" s="130">
        <f t="shared" si="341"/>
        <v>254108.41680000001</v>
      </c>
      <c r="H2353" s="131">
        <f t="shared" si="342"/>
        <v>1591521</v>
      </c>
    </row>
    <row r="2354" spans="1:8" x14ac:dyDescent="0.25">
      <c r="A2354" s="43" t="s">
        <v>1041</v>
      </c>
      <c r="B2354" s="81" t="s">
        <v>5296</v>
      </c>
      <c r="C2354" s="26" t="s">
        <v>37</v>
      </c>
      <c r="D2354" s="68">
        <v>1612411.5999999999</v>
      </c>
      <c r="E2354" s="74">
        <v>0.05</v>
      </c>
      <c r="F2354" s="129">
        <f t="shared" si="340"/>
        <v>1693032.18</v>
      </c>
      <c r="G2354" s="130">
        <f t="shared" si="341"/>
        <v>321676.11420000001</v>
      </c>
      <c r="H2354" s="131">
        <f t="shared" si="342"/>
        <v>2014708</v>
      </c>
    </row>
    <row r="2355" spans="1:8" x14ac:dyDescent="0.25">
      <c r="A2355" s="43" t="s">
        <v>1043</v>
      </c>
      <c r="B2355" s="81" t="s">
        <v>7382</v>
      </c>
      <c r="C2355" s="26" t="s">
        <v>37</v>
      </c>
      <c r="D2355" s="68">
        <v>1987103.2</v>
      </c>
      <c r="E2355" s="74">
        <v>0.05</v>
      </c>
      <c r="F2355" s="129">
        <f t="shared" si="340"/>
        <v>2086458.3599999999</v>
      </c>
      <c r="G2355" s="130">
        <f t="shared" si="341"/>
        <v>396427.08840000001</v>
      </c>
      <c r="H2355" s="131">
        <f t="shared" si="342"/>
        <v>2482885</v>
      </c>
    </row>
    <row r="2356" spans="1:8" x14ac:dyDescent="0.25">
      <c r="A2356" s="43" t="s">
        <v>5310</v>
      </c>
      <c r="B2356" s="81" t="s">
        <v>5298</v>
      </c>
      <c r="C2356" s="26" t="s">
        <v>37</v>
      </c>
      <c r="D2356" s="68">
        <v>3038040</v>
      </c>
      <c r="E2356" s="74">
        <v>0.05</v>
      </c>
      <c r="F2356" s="129">
        <f t="shared" si="340"/>
        <v>3189942</v>
      </c>
      <c r="G2356" s="130">
        <f t="shared" si="341"/>
        <v>606088.98</v>
      </c>
      <c r="H2356" s="131">
        <f t="shared" si="342"/>
        <v>3796031</v>
      </c>
    </row>
    <row r="2357" spans="1:8" x14ac:dyDescent="0.25">
      <c r="A2357" s="43" t="s">
        <v>5311</v>
      </c>
      <c r="B2357" s="81" t="s">
        <v>7549</v>
      </c>
      <c r="C2357" s="26" t="s">
        <v>37</v>
      </c>
      <c r="D2357" s="68">
        <v>3668152</v>
      </c>
      <c r="E2357" s="74">
        <v>0.05</v>
      </c>
      <c r="F2357" s="129">
        <f t="shared" si="340"/>
        <v>3851559.6</v>
      </c>
      <c r="G2357" s="130">
        <f t="shared" si="341"/>
        <v>731796.32400000002</v>
      </c>
      <c r="H2357" s="131">
        <f t="shared" si="342"/>
        <v>4583356</v>
      </c>
    </row>
    <row r="2358" spans="1:8" x14ac:dyDescent="0.25">
      <c r="A2358" s="43" t="s">
        <v>5312</v>
      </c>
      <c r="B2358" s="81" t="s">
        <v>7704</v>
      </c>
      <c r="C2358" s="26" t="s">
        <v>37</v>
      </c>
      <c r="D2358" s="68">
        <v>3780672</v>
      </c>
      <c r="E2358" s="74">
        <v>0.05</v>
      </c>
      <c r="F2358" s="129">
        <f t="shared" si="340"/>
        <v>3969705.6</v>
      </c>
      <c r="G2358" s="130">
        <f t="shared" si="341"/>
        <v>754244.06400000001</v>
      </c>
      <c r="H2358" s="131">
        <f t="shared" si="342"/>
        <v>4723950</v>
      </c>
    </row>
    <row r="2359" spans="1:8" x14ac:dyDescent="0.25">
      <c r="A2359" s="43" t="s">
        <v>5313</v>
      </c>
      <c r="B2359" s="81" t="s">
        <v>5301</v>
      </c>
      <c r="C2359" s="26" t="s">
        <v>37</v>
      </c>
      <c r="D2359" s="68">
        <v>5097156</v>
      </c>
      <c r="E2359" s="74">
        <v>0.05</v>
      </c>
      <c r="F2359" s="129">
        <f t="shared" si="340"/>
        <v>5352013.8</v>
      </c>
      <c r="G2359" s="130">
        <f t="shared" si="341"/>
        <v>1016882.622</v>
      </c>
      <c r="H2359" s="131">
        <f t="shared" si="342"/>
        <v>6368896</v>
      </c>
    </row>
    <row r="2360" spans="1:8" x14ac:dyDescent="0.25">
      <c r="A2360" s="43" t="s">
        <v>5314</v>
      </c>
      <c r="B2360" s="81" t="s">
        <v>5302</v>
      </c>
      <c r="C2360" s="26" t="s">
        <v>37</v>
      </c>
      <c r="D2360" s="68">
        <v>5400960</v>
      </c>
      <c r="E2360" s="74">
        <v>0.05</v>
      </c>
      <c r="F2360" s="129">
        <f t="shared" si="340"/>
        <v>5671008</v>
      </c>
      <c r="G2360" s="130">
        <f t="shared" si="341"/>
        <v>1077491.52</v>
      </c>
      <c r="H2360" s="131">
        <f t="shared" si="342"/>
        <v>6748500</v>
      </c>
    </row>
    <row r="2361" spans="1:8" x14ac:dyDescent="0.25">
      <c r="A2361" s="43" t="s">
        <v>5315</v>
      </c>
      <c r="B2361" s="81" t="s">
        <v>5303</v>
      </c>
      <c r="C2361" s="26" t="s">
        <v>37</v>
      </c>
      <c r="D2361" s="68">
        <v>8065433.5999999996</v>
      </c>
      <c r="E2361" s="74">
        <v>0.05</v>
      </c>
      <c r="F2361" s="129">
        <f t="shared" si="340"/>
        <v>8468705.2799999993</v>
      </c>
      <c r="G2361" s="130">
        <f t="shared" si="341"/>
        <v>1609054.0031999999</v>
      </c>
      <c r="H2361" s="131">
        <f t="shared" si="342"/>
        <v>10077759</v>
      </c>
    </row>
    <row r="2362" spans="1:8" x14ac:dyDescent="0.25">
      <c r="A2362" s="43" t="s">
        <v>5316</v>
      </c>
      <c r="B2362" s="81" t="s">
        <v>5304</v>
      </c>
      <c r="C2362" s="26" t="s">
        <v>37</v>
      </c>
      <c r="D2362" s="68">
        <v>14222528</v>
      </c>
      <c r="E2362" s="74">
        <v>0.05</v>
      </c>
      <c r="F2362" s="129">
        <f t="shared" si="340"/>
        <v>14933654.4</v>
      </c>
      <c r="G2362" s="130">
        <f t="shared" si="341"/>
        <v>2837394.3360000001</v>
      </c>
      <c r="H2362" s="131">
        <f t="shared" si="342"/>
        <v>17771049</v>
      </c>
    </row>
    <row r="2363" spans="1:8" x14ac:dyDescent="0.25">
      <c r="A2363" s="43" t="s">
        <v>5317</v>
      </c>
      <c r="B2363" s="81" t="s">
        <v>7916</v>
      </c>
      <c r="C2363" s="26" t="s">
        <v>37</v>
      </c>
      <c r="D2363" s="68">
        <v>14965160</v>
      </c>
      <c r="E2363" s="74">
        <v>0.05</v>
      </c>
      <c r="F2363" s="129">
        <f t="shared" si="340"/>
        <v>15713418</v>
      </c>
      <c r="G2363" s="130">
        <f t="shared" si="341"/>
        <v>2985549.42</v>
      </c>
      <c r="H2363" s="131">
        <f t="shared" si="342"/>
        <v>18698967</v>
      </c>
    </row>
    <row r="2364" spans="1:8" x14ac:dyDescent="0.25">
      <c r="A2364" s="43" t="s">
        <v>5318</v>
      </c>
      <c r="B2364" s="81" t="s">
        <v>5306</v>
      </c>
      <c r="C2364" s="26" t="s">
        <v>37</v>
      </c>
      <c r="D2364" s="68">
        <v>22263207.199999999</v>
      </c>
      <c r="E2364" s="74">
        <v>0.05</v>
      </c>
      <c r="F2364" s="129">
        <f t="shared" si="340"/>
        <v>23376367.559999999</v>
      </c>
      <c r="G2364" s="130">
        <f t="shared" si="341"/>
        <v>4441509.8363999994</v>
      </c>
      <c r="H2364" s="131">
        <f t="shared" si="342"/>
        <v>27817877</v>
      </c>
    </row>
    <row r="2365" spans="1:8" x14ac:dyDescent="0.25">
      <c r="A2365" s="43" t="s">
        <v>5319</v>
      </c>
      <c r="B2365" s="81" t="s">
        <v>5307</v>
      </c>
      <c r="C2365" s="26" t="s">
        <v>37</v>
      </c>
      <c r="D2365" s="68">
        <v>31952304.399999999</v>
      </c>
      <c r="E2365" s="74">
        <v>0.05</v>
      </c>
      <c r="F2365" s="129">
        <f t="shared" si="340"/>
        <v>33549919.619999997</v>
      </c>
      <c r="G2365" s="130">
        <f t="shared" si="341"/>
        <v>6374484.7277999995</v>
      </c>
      <c r="H2365" s="131">
        <f t="shared" si="342"/>
        <v>39924404</v>
      </c>
    </row>
    <row r="2366" spans="1:8" x14ac:dyDescent="0.25">
      <c r="A2366" s="43" t="s">
        <v>5320</v>
      </c>
      <c r="B2366" s="81" t="s">
        <v>5308</v>
      </c>
      <c r="C2366" s="26" t="s">
        <v>37</v>
      </c>
      <c r="D2366" s="68">
        <v>56496292</v>
      </c>
      <c r="E2366" s="74">
        <v>0.05</v>
      </c>
      <c r="F2366" s="129">
        <f t="shared" si="340"/>
        <v>59321106.600000001</v>
      </c>
      <c r="G2366" s="130">
        <f t="shared" si="341"/>
        <v>11271010.254000001</v>
      </c>
      <c r="H2366" s="131">
        <f t="shared" si="342"/>
        <v>70592117</v>
      </c>
    </row>
    <row r="2367" spans="1:8" x14ac:dyDescent="0.25">
      <c r="A2367" s="44" t="s">
        <v>5268</v>
      </c>
      <c r="B2367" s="80" t="s">
        <v>1046</v>
      </c>
      <c r="C2367" s="14"/>
      <c r="D2367" s="1001"/>
      <c r="E2367" s="74"/>
      <c r="F2367" s="75"/>
      <c r="G2367" s="76"/>
      <c r="H2367" s="77"/>
    </row>
    <row r="2368" spans="1:8" x14ac:dyDescent="0.25">
      <c r="A2368" s="43" t="s">
        <v>5324</v>
      </c>
      <c r="B2368" s="81" t="s">
        <v>1047</v>
      </c>
      <c r="C2368" s="14" t="s">
        <v>37</v>
      </c>
      <c r="D2368" s="68">
        <v>601700</v>
      </c>
      <c r="E2368" s="74">
        <v>0.05</v>
      </c>
      <c r="F2368" s="75">
        <f t="shared" ref="F2368:F2378" si="343">+D2368+D2368*E2368</f>
        <v>631785</v>
      </c>
      <c r="G2368" s="76">
        <f t="shared" ref="G2368:G2378" si="344">F2368*0.19</f>
        <v>120039.15</v>
      </c>
      <c r="H2368" s="77">
        <f t="shared" ref="H2368:H2378" si="345">ROUND((F2368+G2368),0)</f>
        <v>751824</v>
      </c>
    </row>
    <row r="2369" spans="1:10" x14ac:dyDescent="0.25">
      <c r="A2369" s="43" t="s">
        <v>5325</v>
      </c>
      <c r="B2369" s="81" t="s">
        <v>5321</v>
      </c>
      <c r="C2369" s="14" t="s">
        <v>14</v>
      </c>
      <c r="D2369" s="68">
        <v>275000</v>
      </c>
      <c r="E2369" s="74">
        <v>0.05</v>
      </c>
      <c r="F2369" s="75">
        <f t="shared" si="343"/>
        <v>288750</v>
      </c>
      <c r="G2369" s="76">
        <f t="shared" si="344"/>
        <v>54862.5</v>
      </c>
      <c r="H2369" s="77">
        <f t="shared" si="345"/>
        <v>343613</v>
      </c>
    </row>
    <row r="2370" spans="1:10" x14ac:dyDescent="0.25">
      <c r="A2370" s="43" t="s">
        <v>5326</v>
      </c>
      <c r="B2370" s="81" t="s">
        <v>7705</v>
      </c>
      <c r="C2370" s="14" t="s">
        <v>14</v>
      </c>
      <c r="D2370" s="68">
        <v>341000</v>
      </c>
      <c r="E2370" s="74">
        <v>0.05</v>
      </c>
      <c r="F2370" s="75">
        <f t="shared" si="343"/>
        <v>358050</v>
      </c>
      <c r="G2370" s="76">
        <f t="shared" si="344"/>
        <v>68029.5</v>
      </c>
      <c r="H2370" s="77">
        <f t="shared" si="345"/>
        <v>426080</v>
      </c>
    </row>
    <row r="2371" spans="1:10" x14ac:dyDescent="0.25">
      <c r="A2371" s="43" t="s">
        <v>5327</v>
      </c>
      <c r="B2371" s="81" t="s">
        <v>1049</v>
      </c>
      <c r="C2371" s="14" t="s">
        <v>14</v>
      </c>
      <c r="D2371" s="68">
        <v>491700</v>
      </c>
      <c r="E2371" s="74">
        <v>0.05</v>
      </c>
      <c r="F2371" s="75">
        <f t="shared" si="343"/>
        <v>516285</v>
      </c>
      <c r="G2371" s="76">
        <f t="shared" si="344"/>
        <v>98094.15</v>
      </c>
      <c r="H2371" s="77">
        <f t="shared" si="345"/>
        <v>614379</v>
      </c>
    </row>
    <row r="2372" spans="1:10" x14ac:dyDescent="0.25">
      <c r="A2372" s="43" t="s">
        <v>5328</v>
      </c>
      <c r="B2372" s="81" t="s">
        <v>7917</v>
      </c>
      <c r="C2372" s="14" t="s">
        <v>14</v>
      </c>
      <c r="D2372" s="68">
        <v>654500</v>
      </c>
      <c r="E2372" s="74">
        <v>0.05</v>
      </c>
      <c r="F2372" s="75">
        <f t="shared" si="343"/>
        <v>687225</v>
      </c>
      <c r="G2372" s="76">
        <f t="shared" si="344"/>
        <v>130572.75</v>
      </c>
      <c r="H2372" s="77">
        <f t="shared" si="345"/>
        <v>817798</v>
      </c>
    </row>
    <row r="2373" spans="1:10" x14ac:dyDescent="0.25">
      <c r="A2373" s="43" t="s">
        <v>5329</v>
      </c>
      <c r="B2373" s="81" t="s">
        <v>1051</v>
      </c>
      <c r="C2373" s="14" t="s">
        <v>37</v>
      </c>
      <c r="D2373" s="68">
        <v>275000</v>
      </c>
      <c r="E2373" s="74">
        <v>0.05</v>
      </c>
      <c r="F2373" s="75">
        <f t="shared" si="343"/>
        <v>288750</v>
      </c>
      <c r="G2373" s="76">
        <f t="shared" si="344"/>
        <v>54862.5</v>
      </c>
      <c r="H2373" s="77">
        <f t="shared" si="345"/>
        <v>343613</v>
      </c>
    </row>
    <row r="2374" spans="1:10" x14ac:dyDescent="0.25">
      <c r="A2374" s="43" t="s">
        <v>5330</v>
      </c>
      <c r="B2374" s="81" t="s">
        <v>1052</v>
      </c>
      <c r="C2374" s="14" t="s">
        <v>37</v>
      </c>
      <c r="D2374" s="68">
        <v>796400</v>
      </c>
      <c r="E2374" s="74">
        <v>0.05</v>
      </c>
      <c r="F2374" s="75">
        <f t="shared" si="343"/>
        <v>836220</v>
      </c>
      <c r="G2374" s="76">
        <f t="shared" si="344"/>
        <v>158881.79999999999</v>
      </c>
      <c r="H2374" s="77">
        <f t="shared" si="345"/>
        <v>995102</v>
      </c>
    </row>
    <row r="2375" spans="1:10" x14ac:dyDescent="0.25">
      <c r="A2375" s="43" t="s">
        <v>5331</v>
      </c>
      <c r="B2375" s="81" t="s">
        <v>5323</v>
      </c>
      <c r="C2375" s="14" t="s">
        <v>37</v>
      </c>
      <c r="D2375" s="68">
        <v>30316</v>
      </c>
      <c r="E2375" s="74">
        <v>0.05</v>
      </c>
      <c r="F2375" s="75">
        <f t="shared" si="343"/>
        <v>31831.8</v>
      </c>
      <c r="G2375" s="76">
        <f t="shared" si="344"/>
        <v>6048.0420000000004</v>
      </c>
      <c r="H2375" s="77">
        <f t="shared" si="345"/>
        <v>37880</v>
      </c>
    </row>
    <row r="2376" spans="1:10" x14ac:dyDescent="0.25">
      <c r="A2376" s="43" t="s">
        <v>5332</v>
      </c>
      <c r="B2376" s="81" t="s">
        <v>7918</v>
      </c>
      <c r="C2376" s="14" t="s">
        <v>37</v>
      </c>
      <c r="D2376" s="68">
        <v>51304</v>
      </c>
      <c r="E2376" s="74">
        <v>0.05</v>
      </c>
      <c r="F2376" s="75">
        <f t="shared" si="343"/>
        <v>53869.2</v>
      </c>
      <c r="G2376" s="76">
        <f t="shared" si="344"/>
        <v>10235.147999999999</v>
      </c>
      <c r="H2376" s="77">
        <f t="shared" si="345"/>
        <v>64104</v>
      </c>
    </row>
    <row r="2377" spans="1:10" x14ac:dyDescent="0.25">
      <c r="A2377" s="43" t="s">
        <v>5333</v>
      </c>
      <c r="B2377" s="81" t="s">
        <v>7706</v>
      </c>
      <c r="C2377" s="14" t="s">
        <v>37</v>
      </c>
      <c r="D2377" s="68">
        <v>116600</v>
      </c>
      <c r="E2377" s="74">
        <v>0.05</v>
      </c>
      <c r="F2377" s="75">
        <f t="shared" si="343"/>
        <v>122430</v>
      </c>
      <c r="G2377" s="76">
        <f t="shared" si="344"/>
        <v>23261.7</v>
      </c>
      <c r="H2377" s="77">
        <f t="shared" si="345"/>
        <v>145692</v>
      </c>
    </row>
    <row r="2378" spans="1:10" x14ac:dyDescent="0.25">
      <c r="A2378" s="43" t="s">
        <v>5334</v>
      </c>
      <c r="B2378" s="81" t="s">
        <v>5322</v>
      </c>
      <c r="C2378" s="14" t="s">
        <v>37</v>
      </c>
      <c r="D2378" s="68">
        <v>223872</v>
      </c>
      <c r="E2378" s="74">
        <v>0.05</v>
      </c>
      <c r="F2378" s="75">
        <f t="shared" si="343"/>
        <v>235065.60000000001</v>
      </c>
      <c r="G2378" s="76">
        <f t="shared" si="344"/>
        <v>44662.464</v>
      </c>
      <c r="H2378" s="77">
        <f t="shared" si="345"/>
        <v>279728</v>
      </c>
    </row>
    <row r="2379" spans="1:10" x14ac:dyDescent="0.25">
      <c r="A2379" s="44" t="s">
        <v>1061</v>
      </c>
      <c r="B2379" s="80" t="s">
        <v>5335</v>
      </c>
      <c r="C2379" s="14"/>
      <c r="D2379" s="1001"/>
      <c r="E2379" s="74"/>
      <c r="F2379" s="75"/>
      <c r="G2379" s="76"/>
      <c r="H2379" s="77"/>
    </row>
    <row r="2380" spans="1:10" x14ac:dyDescent="0.25">
      <c r="A2380" s="43" t="s">
        <v>1062</v>
      </c>
      <c r="B2380" s="81" t="s">
        <v>5369</v>
      </c>
      <c r="C2380" s="26" t="s">
        <v>37</v>
      </c>
      <c r="D2380" s="1001"/>
      <c r="E2380" s="74">
        <v>0.05</v>
      </c>
      <c r="F2380" s="129">
        <f t="shared" ref="F2380:F2391" si="346">+D2380+D2380*E2380</f>
        <v>0</v>
      </c>
      <c r="G2380" s="130">
        <f t="shared" ref="G2380:G2391" si="347">F2380*0.19</f>
        <v>0</v>
      </c>
      <c r="H2380" s="131">
        <f t="shared" ref="H2380:H2391" si="348">ROUND((F2380+G2380),0)</f>
        <v>0</v>
      </c>
    </row>
    <row r="2381" spans="1:10" x14ac:dyDescent="0.25">
      <c r="A2381" s="43" t="s">
        <v>1063</v>
      </c>
      <c r="B2381" s="81" t="s">
        <v>5336</v>
      </c>
      <c r="C2381" s="26" t="s">
        <v>37</v>
      </c>
      <c r="D2381" s="73">
        <v>825000</v>
      </c>
      <c r="E2381" s="74">
        <v>0.05</v>
      </c>
      <c r="F2381" s="129">
        <f t="shared" si="346"/>
        <v>866250</v>
      </c>
      <c r="G2381" s="130">
        <f t="shared" si="347"/>
        <v>164587.5</v>
      </c>
      <c r="H2381" s="131">
        <f t="shared" si="348"/>
        <v>1030838</v>
      </c>
      <c r="I2381" s="635"/>
    </row>
    <row r="2382" spans="1:10" x14ac:dyDescent="0.25">
      <c r="A2382" s="43" t="s">
        <v>5343</v>
      </c>
      <c r="B2382" s="81" t="s">
        <v>5337</v>
      </c>
      <c r="C2382" s="26" t="s">
        <v>37</v>
      </c>
      <c r="D2382" s="73">
        <v>990000</v>
      </c>
      <c r="E2382" s="74">
        <v>0.05</v>
      </c>
      <c r="F2382" s="129">
        <f t="shared" si="346"/>
        <v>1039500</v>
      </c>
      <c r="G2382" s="130">
        <f t="shared" si="347"/>
        <v>197505</v>
      </c>
      <c r="H2382" s="131">
        <f t="shared" si="348"/>
        <v>1237005</v>
      </c>
      <c r="I2382" s="635"/>
    </row>
    <row r="2383" spans="1:10" x14ac:dyDescent="0.25">
      <c r="A2383" s="43" t="s">
        <v>5344</v>
      </c>
      <c r="B2383" s="81" t="s">
        <v>5338</v>
      </c>
      <c r="C2383" s="26" t="s">
        <v>37</v>
      </c>
      <c r="D2383" s="73">
        <v>1300000</v>
      </c>
      <c r="E2383" s="74">
        <v>0.05</v>
      </c>
      <c r="F2383" s="129">
        <f t="shared" si="346"/>
        <v>1365000</v>
      </c>
      <c r="G2383" s="130">
        <f t="shared" si="347"/>
        <v>259350</v>
      </c>
      <c r="H2383" s="131">
        <f t="shared" si="348"/>
        <v>1624350</v>
      </c>
      <c r="I2383" s="635"/>
    </row>
    <row r="2384" spans="1:10" x14ac:dyDescent="0.25">
      <c r="A2384" s="43" t="s">
        <v>5345</v>
      </c>
      <c r="B2384" s="81" t="s">
        <v>7919</v>
      </c>
      <c r="C2384" s="26" t="s">
        <v>37</v>
      </c>
      <c r="D2384" s="73">
        <v>1850000</v>
      </c>
      <c r="E2384" s="74">
        <v>0.05</v>
      </c>
      <c r="F2384" s="129">
        <f t="shared" si="346"/>
        <v>1942500</v>
      </c>
      <c r="G2384" s="130">
        <f t="shared" si="347"/>
        <v>369075</v>
      </c>
      <c r="H2384" s="131">
        <f t="shared" si="348"/>
        <v>2311575</v>
      </c>
      <c r="I2384" s="635"/>
      <c r="J2384">
        <f>+I2384/2</f>
        <v>0</v>
      </c>
    </row>
    <row r="2385" spans="1:8" x14ac:dyDescent="0.25">
      <c r="A2385" s="43" t="s">
        <v>5346</v>
      </c>
      <c r="B2385" s="81" t="s">
        <v>5340</v>
      </c>
      <c r="C2385" s="26" t="s">
        <v>37</v>
      </c>
      <c r="D2385" s="73">
        <v>2800000</v>
      </c>
      <c r="E2385" s="74">
        <v>0.05</v>
      </c>
      <c r="F2385" s="129">
        <f t="shared" si="346"/>
        <v>2940000</v>
      </c>
      <c r="G2385" s="130">
        <f t="shared" si="347"/>
        <v>558600</v>
      </c>
      <c r="H2385" s="131">
        <f t="shared" si="348"/>
        <v>3498600</v>
      </c>
    </row>
    <row r="2386" spans="1:8" x14ac:dyDescent="0.25">
      <c r="A2386" s="43" t="s">
        <v>5347</v>
      </c>
      <c r="B2386" s="81" t="s">
        <v>7383</v>
      </c>
      <c r="C2386" s="26" t="s">
        <v>37</v>
      </c>
      <c r="D2386" s="73">
        <v>4250000</v>
      </c>
      <c r="E2386" s="74">
        <v>0.05</v>
      </c>
      <c r="F2386" s="129">
        <f t="shared" si="346"/>
        <v>4462500</v>
      </c>
      <c r="G2386" s="130">
        <f t="shared" si="347"/>
        <v>847875</v>
      </c>
      <c r="H2386" s="131">
        <f t="shared" si="348"/>
        <v>5310375</v>
      </c>
    </row>
    <row r="2387" spans="1:8" x14ac:dyDescent="0.25">
      <c r="A2387" s="43" t="s">
        <v>5374</v>
      </c>
      <c r="B2387" s="81" t="s">
        <v>5342</v>
      </c>
      <c r="C2387" s="26" t="s">
        <v>37</v>
      </c>
      <c r="D2387" s="73">
        <v>7900000</v>
      </c>
      <c r="E2387" s="74">
        <v>0.05</v>
      </c>
      <c r="F2387" s="129">
        <f t="shared" si="346"/>
        <v>8295000</v>
      </c>
      <c r="G2387" s="130">
        <f t="shared" si="347"/>
        <v>1576050</v>
      </c>
      <c r="H2387" s="131">
        <f t="shared" si="348"/>
        <v>9871050</v>
      </c>
    </row>
    <row r="2388" spans="1:8" x14ac:dyDescent="0.25">
      <c r="A2388" s="43" t="s">
        <v>5375</v>
      </c>
      <c r="B2388" s="81" t="s">
        <v>7550</v>
      </c>
      <c r="C2388" s="26" t="s">
        <v>37</v>
      </c>
      <c r="D2388" s="73">
        <v>9500000</v>
      </c>
      <c r="E2388" s="74">
        <v>0.05</v>
      </c>
      <c r="F2388" s="129">
        <f>+D2388+D2388*E2388</f>
        <v>9975000</v>
      </c>
      <c r="G2388" s="130">
        <f t="shared" si="347"/>
        <v>1895250</v>
      </c>
      <c r="H2388" s="131">
        <f t="shared" si="348"/>
        <v>11870250</v>
      </c>
    </row>
    <row r="2389" spans="1:8" x14ac:dyDescent="0.25">
      <c r="A2389" s="43" t="s">
        <v>5376</v>
      </c>
      <c r="B2389" s="81" t="s">
        <v>7707</v>
      </c>
      <c r="C2389" s="26" t="s">
        <v>37</v>
      </c>
      <c r="D2389" s="73">
        <v>12495000</v>
      </c>
      <c r="E2389" s="74">
        <v>0.05</v>
      </c>
      <c r="F2389" s="129">
        <f>+D2389+D2389*E2389</f>
        <v>13119750</v>
      </c>
      <c r="G2389" s="130">
        <f t="shared" si="347"/>
        <v>2492752.5</v>
      </c>
      <c r="H2389" s="131">
        <f t="shared" si="348"/>
        <v>15612503</v>
      </c>
    </row>
    <row r="2390" spans="1:8" x14ac:dyDescent="0.25">
      <c r="A2390" s="43" t="s">
        <v>5377</v>
      </c>
      <c r="B2390" s="81" t="s">
        <v>5372</v>
      </c>
      <c r="C2390" s="26" t="s">
        <v>37</v>
      </c>
      <c r="D2390" s="1001"/>
      <c r="E2390" s="74">
        <v>0.05</v>
      </c>
      <c r="F2390" s="129">
        <f t="shared" si="346"/>
        <v>0</v>
      </c>
      <c r="G2390" s="130">
        <f t="shared" si="347"/>
        <v>0</v>
      </c>
      <c r="H2390" s="131">
        <f t="shared" si="348"/>
        <v>0</v>
      </c>
    </row>
    <row r="2391" spans="1:8" x14ac:dyDescent="0.25">
      <c r="A2391" s="43" t="s">
        <v>5378</v>
      </c>
      <c r="B2391" s="81" t="s">
        <v>5373</v>
      </c>
      <c r="C2391" s="26" t="s">
        <v>37</v>
      </c>
      <c r="D2391" s="1001"/>
      <c r="E2391" s="74">
        <v>0.05</v>
      </c>
      <c r="F2391" s="129">
        <f t="shared" si="346"/>
        <v>0</v>
      </c>
      <c r="G2391" s="130">
        <f t="shared" si="347"/>
        <v>0</v>
      </c>
      <c r="H2391" s="131">
        <f t="shared" si="348"/>
        <v>0</v>
      </c>
    </row>
    <row r="2392" spans="1:8" x14ac:dyDescent="0.25">
      <c r="A2392" s="44" t="s">
        <v>5348</v>
      </c>
      <c r="B2392" s="80" t="s">
        <v>563</v>
      </c>
      <c r="C2392" s="14"/>
      <c r="D2392" s="1001"/>
      <c r="E2392" s="74"/>
      <c r="F2392" s="75"/>
      <c r="G2392" s="76"/>
      <c r="H2392" s="77"/>
    </row>
    <row r="2393" spans="1:8" x14ac:dyDescent="0.25">
      <c r="A2393" s="44" t="s">
        <v>5349</v>
      </c>
      <c r="B2393" s="80" t="s">
        <v>5350</v>
      </c>
      <c r="C2393" s="14"/>
      <c r="D2393" s="1001"/>
      <c r="E2393" s="74"/>
      <c r="F2393" s="75"/>
      <c r="G2393" s="76"/>
      <c r="H2393" s="77"/>
    </row>
    <row r="2394" spans="1:8" x14ac:dyDescent="0.25">
      <c r="A2394" s="43" t="s">
        <v>5356</v>
      </c>
      <c r="B2394" s="81" t="s">
        <v>5351</v>
      </c>
      <c r="C2394" s="26" t="s">
        <v>37</v>
      </c>
      <c r="D2394" s="68">
        <v>76356.072</v>
      </c>
      <c r="E2394" s="74">
        <v>0.05</v>
      </c>
      <c r="F2394" s="129">
        <f>+D2394+D2394*E2394</f>
        <v>80173.875599999999</v>
      </c>
      <c r="G2394" s="130">
        <f>F2394*0.19</f>
        <v>15233.036364</v>
      </c>
      <c r="H2394" s="131">
        <f>ROUND((F2394+G2394),0)</f>
        <v>95407</v>
      </c>
    </row>
    <row r="2395" spans="1:8" x14ac:dyDescent="0.25">
      <c r="A2395" s="43" t="s">
        <v>5357</v>
      </c>
      <c r="B2395" s="81" t="s">
        <v>5352</v>
      </c>
      <c r="C2395" s="26" t="s">
        <v>37</v>
      </c>
      <c r="D2395" s="68">
        <v>123866.5168</v>
      </c>
      <c r="E2395" s="74">
        <v>0.05</v>
      </c>
      <c r="F2395" s="129">
        <f>+D2395+D2395*E2395</f>
        <v>130059.84264</v>
      </c>
      <c r="G2395" s="130">
        <f>F2395*0.19</f>
        <v>24711.370101600001</v>
      </c>
      <c r="H2395" s="131">
        <f>ROUND((F2395+G2395),0)</f>
        <v>154771</v>
      </c>
    </row>
    <row r="2396" spans="1:8" x14ac:dyDescent="0.25">
      <c r="A2396" s="43" t="s">
        <v>5358</v>
      </c>
      <c r="B2396" s="81" t="s">
        <v>5353</v>
      </c>
      <c r="C2396" s="26" t="s">
        <v>37</v>
      </c>
      <c r="D2396" s="68">
        <v>200353.11199999999</v>
      </c>
      <c r="E2396" s="74">
        <v>0.05</v>
      </c>
      <c r="F2396" s="129">
        <f>+D2396+D2396*E2396</f>
        <v>210370.76759999999</v>
      </c>
      <c r="G2396" s="130">
        <f>F2396*0.19</f>
        <v>39970.445844000002</v>
      </c>
      <c r="H2396" s="131">
        <f>ROUND((F2396+G2396),0)</f>
        <v>250341</v>
      </c>
    </row>
    <row r="2397" spans="1:8" x14ac:dyDescent="0.25">
      <c r="A2397" s="43" t="s">
        <v>5359</v>
      </c>
      <c r="B2397" s="81" t="s">
        <v>5354</v>
      </c>
      <c r="C2397" s="26" t="s">
        <v>37</v>
      </c>
      <c r="D2397" s="68">
        <v>488417.81439999997</v>
      </c>
      <c r="E2397" s="74">
        <v>0.05</v>
      </c>
      <c r="F2397" s="129">
        <f>+D2397+D2397*E2397</f>
        <v>512838.70512</v>
      </c>
      <c r="G2397" s="130">
        <f>F2397*0.19</f>
        <v>97439.353972800003</v>
      </c>
      <c r="H2397" s="131">
        <f>ROUND((F2397+G2397),0)</f>
        <v>610278</v>
      </c>
    </row>
    <row r="2398" spans="1:8" x14ac:dyDescent="0.25">
      <c r="A2398" s="43" t="s">
        <v>5360</v>
      </c>
      <c r="B2398" s="81" t="s">
        <v>5355</v>
      </c>
      <c r="C2398" s="26" t="s">
        <v>37</v>
      </c>
      <c r="D2398" s="68">
        <v>591531.14240000001</v>
      </c>
      <c r="E2398" s="74">
        <v>0.05</v>
      </c>
      <c r="F2398" s="129">
        <f>+D2398+D2398*E2398</f>
        <v>621107.69952000002</v>
      </c>
      <c r="G2398" s="130">
        <f>F2398*0.19</f>
        <v>118010.46290880001</v>
      </c>
      <c r="H2398" s="131">
        <f>ROUND((F2398+G2398),0)</f>
        <v>739118</v>
      </c>
    </row>
    <row r="2399" spans="1:8" x14ac:dyDescent="0.25">
      <c r="A2399" s="44" t="s">
        <v>5349</v>
      </c>
      <c r="B2399" s="80" t="s">
        <v>5361</v>
      </c>
      <c r="C2399" s="14"/>
      <c r="D2399" s="1001"/>
      <c r="E2399" s="74"/>
      <c r="F2399" s="75"/>
      <c r="G2399" s="76"/>
      <c r="H2399" s="77"/>
    </row>
    <row r="2400" spans="1:8" x14ac:dyDescent="0.25">
      <c r="A2400" s="43" t="s">
        <v>5363</v>
      </c>
      <c r="B2400" s="81" t="s">
        <v>5351</v>
      </c>
      <c r="C2400" s="26" t="s">
        <v>37</v>
      </c>
      <c r="D2400" s="68">
        <v>50000</v>
      </c>
      <c r="E2400" s="74">
        <v>0.05</v>
      </c>
      <c r="F2400" s="129">
        <f>+D2400+D2400*E2400</f>
        <v>52500</v>
      </c>
      <c r="G2400" s="130">
        <f>F2400*0.19</f>
        <v>9975</v>
      </c>
      <c r="H2400" s="131">
        <f>ROUND((F2400+G2400),0)</f>
        <v>62475</v>
      </c>
    </row>
    <row r="2401" spans="1:8" x14ac:dyDescent="0.25">
      <c r="A2401" s="43" t="s">
        <v>5364</v>
      </c>
      <c r="B2401" s="81" t="s">
        <v>5352</v>
      </c>
      <c r="C2401" s="26" t="s">
        <v>37</v>
      </c>
      <c r="D2401" s="1001"/>
      <c r="E2401" s="74">
        <v>0.05</v>
      </c>
      <c r="F2401" s="129">
        <f>+D2401+D2401*E2401</f>
        <v>0</v>
      </c>
      <c r="G2401" s="130">
        <f>F2401*0.19</f>
        <v>0</v>
      </c>
      <c r="H2401" s="131">
        <f>ROUND((F2401+G2401),0)</f>
        <v>0</v>
      </c>
    </row>
    <row r="2402" spans="1:8" x14ac:dyDescent="0.25">
      <c r="A2402" s="43" t="s">
        <v>5365</v>
      </c>
      <c r="B2402" s="81" t="s">
        <v>5353</v>
      </c>
      <c r="C2402" s="26" t="s">
        <v>37</v>
      </c>
      <c r="D2402" s="1001"/>
      <c r="E2402" s="74">
        <v>0.05</v>
      </c>
      <c r="F2402" s="129">
        <f>+D2402+D2402*E2402</f>
        <v>0</v>
      </c>
      <c r="G2402" s="130">
        <f>F2402*0.19</f>
        <v>0</v>
      </c>
      <c r="H2402" s="131">
        <f>ROUND((F2402+G2402),0)</f>
        <v>0</v>
      </c>
    </row>
    <row r="2403" spans="1:8" x14ac:dyDescent="0.25">
      <c r="A2403" s="43" t="s">
        <v>4659</v>
      </c>
      <c r="B2403" s="80" t="s">
        <v>5362</v>
      </c>
      <c r="C2403" s="14"/>
      <c r="D2403" s="1001"/>
      <c r="E2403" s="74"/>
      <c r="F2403" s="75"/>
      <c r="G2403" s="76"/>
      <c r="H2403" s="77"/>
    </row>
    <row r="2404" spans="1:8" x14ac:dyDescent="0.25">
      <c r="A2404" s="43" t="s">
        <v>5366</v>
      </c>
      <c r="B2404" s="81" t="s">
        <v>5351</v>
      </c>
      <c r="C2404" s="26" t="s">
        <v>37</v>
      </c>
      <c r="D2404" s="68">
        <v>64000</v>
      </c>
      <c r="E2404" s="74">
        <v>0.05</v>
      </c>
      <c r="F2404" s="129">
        <f>+D2404+D2404*E2404</f>
        <v>67200</v>
      </c>
      <c r="G2404" s="130">
        <f>F2404*0.19</f>
        <v>12768</v>
      </c>
      <c r="H2404" s="131">
        <f>ROUND((F2404+G2404),0)</f>
        <v>79968</v>
      </c>
    </row>
    <row r="2405" spans="1:8" x14ac:dyDescent="0.25">
      <c r="A2405" s="43" t="s">
        <v>5367</v>
      </c>
      <c r="B2405" s="81" t="s">
        <v>5352</v>
      </c>
      <c r="C2405" s="26" t="s">
        <v>37</v>
      </c>
      <c r="D2405" s="1001">
        <v>165000</v>
      </c>
      <c r="E2405" s="74">
        <v>0.05</v>
      </c>
      <c r="F2405" s="129">
        <f>+D2405+D2405*E2405</f>
        <v>173250</v>
      </c>
      <c r="G2405" s="130">
        <f>F2405*0.19</f>
        <v>32917.5</v>
      </c>
      <c r="H2405" s="131">
        <f>ROUND((F2405+G2405),0)</f>
        <v>206168</v>
      </c>
    </row>
    <row r="2406" spans="1:8" x14ac:dyDescent="0.25">
      <c r="A2406" s="43" t="s">
        <v>5368</v>
      </c>
      <c r="B2406" s="81" t="s">
        <v>5353</v>
      </c>
      <c r="C2406" s="26" t="s">
        <v>37</v>
      </c>
      <c r="D2406" s="1001">
        <v>350000</v>
      </c>
      <c r="E2406" s="74">
        <v>0.05</v>
      </c>
      <c r="F2406" s="129">
        <f>+D2406+D2406*E2406</f>
        <v>367500</v>
      </c>
      <c r="G2406" s="130">
        <f>F2406*0.19</f>
        <v>69825</v>
      </c>
      <c r="H2406" s="131">
        <f>ROUND((F2406+G2406),0)</f>
        <v>437325</v>
      </c>
    </row>
    <row r="2407" spans="1:8" x14ac:dyDescent="0.25">
      <c r="A2407" s="306" t="s">
        <v>5387</v>
      </c>
      <c r="B2407" s="307" t="s">
        <v>4723</v>
      </c>
      <c r="C2407" s="308"/>
      <c r="D2407" s="1006"/>
      <c r="E2407" s="309"/>
      <c r="F2407" s="310"/>
      <c r="G2407" s="311"/>
      <c r="H2407" s="312"/>
    </row>
    <row r="2408" spans="1:8" x14ac:dyDescent="0.25">
      <c r="A2408" s="313" t="s">
        <v>5389</v>
      </c>
      <c r="B2408" s="123" t="s">
        <v>8049</v>
      </c>
      <c r="C2408" s="308" t="s">
        <v>37</v>
      </c>
      <c r="D2408" s="68">
        <v>645700</v>
      </c>
      <c r="E2408" s="309">
        <v>0.05</v>
      </c>
      <c r="F2408" s="310">
        <f t="shared" ref="F2408:F2417" si="349">+D2408+D2408*E2408</f>
        <v>677985</v>
      </c>
      <c r="G2408" s="311">
        <f>F2408*0.19</f>
        <v>128817.15000000001</v>
      </c>
      <c r="H2408" s="312">
        <f t="shared" ref="H2408:H2417" si="350">ROUND((F2408+G2408),0)</f>
        <v>806802</v>
      </c>
    </row>
    <row r="2409" spans="1:8" x14ac:dyDescent="0.25">
      <c r="A2409" s="313" t="s">
        <v>5717</v>
      </c>
      <c r="B2409" s="123" t="s">
        <v>8050</v>
      </c>
      <c r="C2409" s="308" t="s">
        <v>37</v>
      </c>
      <c r="D2409" s="68">
        <v>542300</v>
      </c>
      <c r="E2409" s="309">
        <v>0.05</v>
      </c>
      <c r="F2409" s="310">
        <f t="shared" si="349"/>
        <v>569415</v>
      </c>
      <c r="G2409" s="311">
        <f>F2409*0.19</f>
        <v>108188.85</v>
      </c>
      <c r="H2409" s="312">
        <f t="shared" si="350"/>
        <v>677604</v>
      </c>
    </row>
    <row r="2410" spans="1:8" x14ac:dyDescent="0.25">
      <c r="A2410" s="313" t="s">
        <v>5718</v>
      </c>
      <c r="B2410" s="123" t="s">
        <v>8051</v>
      </c>
      <c r="C2410" s="308"/>
      <c r="D2410" s="68">
        <v>105600</v>
      </c>
      <c r="E2410" s="309"/>
      <c r="F2410" s="310"/>
      <c r="G2410" s="311"/>
      <c r="H2410" s="312"/>
    </row>
    <row r="2411" spans="1:8" x14ac:dyDescent="0.25">
      <c r="A2411" s="313" t="s">
        <v>5719</v>
      </c>
      <c r="B2411" s="123" t="s">
        <v>8052</v>
      </c>
      <c r="C2411" s="308" t="s">
        <v>37</v>
      </c>
      <c r="D2411" s="68">
        <v>262900</v>
      </c>
      <c r="E2411" s="309">
        <v>0.05</v>
      </c>
      <c r="F2411" s="310">
        <f t="shared" si="349"/>
        <v>276045</v>
      </c>
      <c r="G2411" s="311">
        <f>F2411*0.19</f>
        <v>52448.55</v>
      </c>
      <c r="H2411" s="312">
        <f t="shared" si="350"/>
        <v>328494</v>
      </c>
    </row>
    <row r="2412" spans="1:8" x14ac:dyDescent="0.25">
      <c r="A2412" s="313" t="s">
        <v>5720</v>
      </c>
      <c r="B2412" s="123" t="s">
        <v>8053</v>
      </c>
      <c r="C2412" s="308" t="s">
        <v>37</v>
      </c>
      <c r="D2412" s="68">
        <v>138600</v>
      </c>
      <c r="E2412" s="309">
        <v>0.05</v>
      </c>
      <c r="F2412" s="310">
        <f t="shared" si="349"/>
        <v>145530</v>
      </c>
      <c r="G2412" s="311">
        <f>F2412*0.19</f>
        <v>27650.7</v>
      </c>
      <c r="H2412" s="312">
        <f t="shared" si="350"/>
        <v>173181</v>
      </c>
    </row>
    <row r="2413" spans="1:8" x14ac:dyDescent="0.25">
      <c r="A2413" s="313" t="s">
        <v>5721</v>
      </c>
      <c r="B2413" s="123" t="s">
        <v>8054</v>
      </c>
      <c r="C2413" s="308" t="s">
        <v>37</v>
      </c>
      <c r="D2413" s="68">
        <v>118800</v>
      </c>
      <c r="E2413" s="309">
        <v>0.05</v>
      </c>
      <c r="F2413" s="310">
        <f t="shared" si="349"/>
        <v>124740</v>
      </c>
      <c r="G2413" s="311">
        <f>F2413*0.19</f>
        <v>23700.6</v>
      </c>
      <c r="H2413" s="312">
        <f t="shared" si="350"/>
        <v>148441</v>
      </c>
    </row>
    <row r="2414" spans="1:8" x14ac:dyDescent="0.25">
      <c r="A2414" s="313" t="s">
        <v>5722</v>
      </c>
      <c r="B2414" s="123" t="s">
        <v>8055</v>
      </c>
      <c r="C2414" s="308"/>
      <c r="D2414" s="68">
        <v>302500</v>
      </c>
      <c r="E2414" s="309"/>
      <c r="F2414" s="310"/>
      <c r="G2414" s="311"/>
      <c r="H2414" s="312"/>
    </row>
    <row r="2415" spans="1:8" x14ac:dyDescent="0.25">
      <c r="A2415" s="313" t="s">
        <v>8046</v>
      </c>
      <c r="B2415" s="123" t="s">
        <v>8056</v>
      </c>
      <c r="C2415" s="308"/>
      <c r="D2415" s="68">
        <v>95700</v>
      </c>
      <c r="E2415" s="309"/>
      <c r="F2415" s="310"/>
      <c r="G2415" s="311"/>
      <c r="H2415" s="312"/>
    </row>
    <row r="2416" spans="1:8" x14ac:dyDescent="0.25">
      <c r="A2416" s="313" t="s">
        <v>8047</v>
      </c>
      <c r="B2416" s="123" t="s">
        <v>8057</v>
      </c>
      <c r="C2416" s="308" t="s">
        <v>37</v>
      </c>
      <c r="D2416" s="68">
        <v>140800</v>
      </c>
      <c r="E2416" s="309">
        <v>0.05</v>
      </c>
      <c r="F2416" s="310">
        <f t="shared" si="349"/>
        <v>147840</v>
      </c>
      <c r="G2416" s="311">
        <f>F2416*0.19</f>
        <v>28089.599999999999</v>
      </c>
      <c r="H2416" s="312">
        <f t="shared" si="350"/>
        <v>175930</v>
      </c>
    </row>
    <row r="2417" spans="1:8" x14ac:dyDescent="0.25">
      <c r="A2417" s="313" t="s">
        <v>8048</v>
      </c>
      <c r="B2417" s="123" t="s">
        <v>8058</v>
      </c>
      <c r="C2417" s="308" t="s">
        <v>37</v>
      </c>
      <c r="D2417" s="68">
        <v>158400</v>
      </c>
      <c r="E2417" s="309">
        <v>0.05</v>
      </c>
      <c r="F2417" s="310">
        <f t="shared" si="349"/>
        <v>166320</v>
      </c>
      <c r="G2417" s="311">
        <f>F2417*0.19</f>
        <v>31600.799999999999</v>
      </c>
      <c r="H2417" s="312">
        <f t="shared" si="350"/>
        <v>197921</v>
      </c>
    </row>
    <row r="2418" spans="1:8" x14ac:dyDescent="0.25">
      <c r="A2418" s="44" t="s">
        <v>5723</v>
      </c>
      <c r="B2418" s="80" t="s">
        <v>5388</v>
      </c>
      <c r="C2418" s="14"/>
      <c r="D2418" s="1001"/>
      <c r="E2418" s="74"/>
      <c r="F2418" s="75"/>
      <c r="G2418" s="76"/>
      <c r="H2418" s="77"/>
    </row>
    <row r="2419" spans="1:8" x14ac:dyDescent="0.25">
      <c r="A2419" s="43" t="s">
        <v>5724</v>
      </c>
      <c r="B2419" s="81" t="s">
        <v>7551</v>
      </c>
      <c r="C2419" s="14" t="s">
        <v>37</v>
      </c>
      <c r="D2419" s="68">
        <v>731380</v>
      </c>
      <c r="E2419" s="74">
        <v>0.05</v>
      </c>
      <c r="F2419" s="129">
        <f t="shared" ref="F2419:F2424" si="351">+D2419+D2419*E2419</f>
        <v>767949</v>
      </c>
      <c r="G2419" s="130">
        <f t="shared" ref="G2419:G2424" si="352">F2419*0.19</f>
        <v>145910.31</v>
      </c>
      <c r="H2419" s="131">
        <f t="shared" ref="H2419:H2424" si="353">ROUND((F2419+G2419),0)</f>
        <v>913859</v>
      </c>
    </row>
    <row r="2420" spans="1:8" x14ac:dyDescent="0.25">
      <c r="A2420" s="43" t="s">
        <v>5725</v>
      </c>
      <c r="B2420" s="81" t="s">
        <v>7920</v>
      </c>
      <c r="C2420" s="26" t="s">
        <v>37</v>
      </c>
      <c r="D2420" s="68">
        <v>15595272</v>
      </c>
      <c r="E2420" s="74">
        <v>0.05</v>
      </c>
      <c r="F2420" s="129">
        <f t="shared" si="351"/>
        <v>16375035.6</v>
      </c>
      <c r="G2420" s="130">
        <f t="shared" si="352"/>
        <v>3111256.764</v>
      </c>
      <c r="H2420" s="131">
        <f t="shared" si="353"/>
        <v>19486292</v>
      </c>
    </row>
    <row r="2421" spans="1:8" x14ac:dyDescent="0.25">
      <c r="A2421" s="43" t="s">
        <v>5726</v>
      </c>
      <c r="B2421" s="81" t="s">
        <v>5391</v>
      </c>
      <c r="C2421" s="26" t="s">
        <v>37</v>
      </c>
      <c r="D2421" s="1001"/>
      <c r="E2421" s="74">
        <v>0.05</v>
      </c>
      <c r="F2421" s="129">
        <f t="shared" si="351"/>
        <v>0</v>
      </c>
      <c r="G2421" s="130">
        <f t="shared" si="352"/>
        <v>0</v>
      </c>
      <c r="H2421" s="131">
        <f t="shared" si="353"/>
        <v>0</v>
      </c>
    </row>
    <row r="2422" spans="1:8" x14ac:dyDescent="0.25">
      <c r="A2422" s="43" t="s">
        <v>5727</v>
      </c>
      <c r="B2422" s="81" t="s">
        <v>5392</v>
      </c>
      <c r="C2422" s="26" t="s">
        <v>37</v>
      </c>
      <c r="D2422" s="1001"/>
      <c r="E2422" s="74">
        <v>0.05</v>
      </c>
      <c r="F2422" s="129">
        <f t="shared" si="351"/>
        <v>0</v>
      </c>
      <c r="G2422" s="130">
        <f t="shared" si="352"/>
        <v>0</v>
      </c>
      <c r="H2422" s="131">
        <f t="shared" si="353"/>
        <v>0</v>
      </c>
    </row>
    <row r="2423" spans="1:8" x14ac:dyDescent="0.25">
      <c r="A2423" s="43" t="s">
        <v>5728</v>
      </c>
      <c r="B2423" s="81" t="s">
        <v>5393</v>
      </c>
      <c r="C2423" s="26" t="s">
        <v>37</v>
      </c>
      <c r="D2423" s="1001"/>
      <c r="E2423" s="74">
        <v>0.05</v>
      </c>
      <c r="F2423" s="129">
        <f t="shared" si="351"/>
        <v>0</v>
      </c>
      <c r="G2423" s="130">
        <f t="shared" si="352"/>
        <v>0</v>
      </c>
      <c r="H2423" s="131">
        <f t="shared" si="353"/>
        <v>0</v>
      </c>
    </row>
    <row r="2424" spans="1:8" x14ac:dyDescent="0.25">
      <c r="A2424" s="43" t="s">
        <v>5729</v>
      </c>
      <c r="B2424" s="81" t="s">
        <v>5394</v>
      </c>
      <c r="C2424" s="26" t="s">
        <v>37</v>
      </c>
      <c r="D2424" s="1001"/>
      <c r="E2424" s="74">
        <v>0.05</v>
      </c>
      <c r="F2424" s="129">
        <f t="shared" si="351"/>
        <v>0</v>
      </c>
      <c r="G2424" s="130">
        <f t="shared" si="352"/>
        <v>0</v>
      </c>
      <c r="H2424" s="131">
        <f t="shared" si="353"/>
        <v>0</v>
      </c>
    </row>
    <row r="2425" spans="1:8" x14ac:dyDescent="0.25">
      <c r="A2425" s="78">
        <v>6</v>
      </c>
      <c r="B2425" s="79" t="s">
        <v>1064</v>
      </c>
      <c r="C2425" s="26"/>
      <c r="D2425" s="1001"/>
      <c r="E2425" s="26"/>
      <c r="F2425" s="26"/>
      <c r="G2425" s="26"/>
      <c r="H2425" s="92"/>
    </row>
    <row r="2426" spans="1:8" x14ac:dyDescent="0.25">
      <c r="A2426" s="85">
        <v>6</v>
      </c>
      <c r="B2426" s="81" t="s">
        <v>1065</v>
      </c>
      <c r="C2426" s="14" t="s">
        <v>37</v>
      </c>
      <c r="D2426" s="68">
        <v>9584453.5999999996</v>
      </c>
      <c r="E2426" s="74">
        <v>0.05</v>
      </c>
      <c r="F2426" s="75">
        <f>+D2426+D2426*E2426</f>
        <v>10063676.279999999</v>
      </c>
      <c r="G2426" s="76">
        <f>F2426*0.19</f>
        <v>1912098.4931999999</v>
      </c>
      <c r="H2426" s="77">
        <f>ROUND((F2426+G2426),0)</f>
        <v>11975775</v>
      </c>
    </row>
    <row r="2427" spans="1:8" x14ac:dyDescent="0.25">
      <c r="A2427" s="93">
        <v>4</v>
      </c>
      <c r="B2427" s="94" t="s">
        <v>1066</v>
      </c>
      <c r="C2427" s="22"/>
      <c r="D2427" s="1007"/>
      <c r="E2427" s="22"/>
      <c r="F2427" s="22"/>
      <c r="G2427" s="22"/>
      <c r="H2427" s="95"/>
    </row>
    <row r="2428" spans="1:8" x14ac:dyDescent="0.25">
      <c r="A2428" s="61">
        <v>4.0999999999999996</v>
      </c>
      <c r="B2428" s="62" t="s">
        <v>1067</v>
      </c>
      <c r="C2428" s="63"/>
      <c r="D2428" s="1003"/>
      <c r="E2428" s="63"/>
      <c r="F2428" s="63"/>
      <c r="G2428" s="63"/>
      <c r="H2428" s="82"/>
    </row>
    <row r="2429" spans="1:8" x14ac:dyDescent="0.25">
      <c r="A2429" s="43" t="s">
        <v>1068</v>
      </c>
      <c r="B2429" s="81" t="s">
        <v>1069</v>
      </c>
      <c r="C2429" s="14" t="s">
        <v>14</v>
      </c>
      <c r="D2429" s="68">
        <v>43498</v>
      </c>
      <c r="E2429" s="74">
        <v>0.02</v>
      </c>
      <c r="F2429" s="75">
        <f>+D2429+D2429*E2429</f>
        <v>44367.96</v>
      </c>
      <c r="G2429" s="76">
        <f>F2429*0.19</f>
        <v>8429.9123999999993</v>
      </c>
      <c r="H2429" s="77">
        <f>ROUND((F2429+G2429),0)</f>
        <v>52798</v>
      </c>
    </row>
    <row r="2430" spans="1:8" x14ac:dyDescent="0.25">
      <c r="A2430" s="61">
        <v>4.5</v>
      </c>
      <c r="B2430" s="62" t="s">
        <v>1070</v>
      </c>
      <c r="C2430" s="63"/>
      <c r="D2430" s="1003"/>
      <c r="E2430" s="63"/>
      <c r="F2430" s="63"/>
      <c r="G2430" s="63"/>
      <c r="H2430" s="82"/>
    </row>
    <row r="2431" spans="1:8" x14ac:dyDescent="0.25">
      <c r="A2431" s="43" t="s">
        <v>1071</v>
      </c>
      <c r="B2431" s="81" t="s">
        <v>1072</v>
      </c>
      <c r="C2431" s="14" t="s">
        <v>37</v>
      </c>
      <c r="D2431" s="68">
        <v>139261</v>
      </c>
      <c r="E2431" s="74">
        <v>0.02</v>
      </c>
      <c r="F2431" s="75">
        <f>+D2431+D2431*E2431</f>
        <v>142046.22</v>
      </c>
      <c r="G2431" s="76">
        <f>F2431*0.19</f>
        <v>26988.781800000001</v>
      </c>
      <c r="H2431" s="77">
        <f>ROUND((F2431+G2431),0)</f>
        <v>169035</v>
      </c>
    </row>
    <row r="2432" spans="1:8" x14ac:dyDescent="0.25">
      <c r="A2432" s="50" t="s">
        <v>1073</v>
      </c>
      <c r="B2432" s="91" t="s">
        <v>1074</v>
      </c>
      <c r="C2432" s="90" t="s">
        <v>37</v>
      </c>
      <c r="D2432" s="68">
        <v>56260</v>
      </c>
      <c r="E2432" s="96">
        <v>0.05</v>
      </c>
      <c r="F2432" s="97">
        <f>+D2432+D2432*E2432</f>
        <v>59073</v>
      </c>
      <c r="G2432" s="98">
        <f>F2432*0.19</f>
        <v>11223.87</v>
      </c>
      <c r="H2432" s="99">
        <f>ROUND((F2432+G2432),0)</f>
        <v>70297</v>
      </c>
    </row>
    <row r="2433" spans="1:8" ht="15.75" thickBot="1" x14ac:dyDescent="0.3">
      <c r="A2433" s="100" t="s">
        <v>1075</v>
      </c>
      <c r="B2433" s="101" t="s">
        <v>1076</v>
      </c>
      <c r="C2433" s="102" t="s">
        <v>37</v>
      </c>
      <c r="D2433" s="1011">
        <v>22504</v>
      </c>
      <c r="E2433" s="103">
        <v>0.05</v>
      </c>
      <c r="F2433" s="104">
        <f>+D2433+D2433*E2433</f>
        <v>23629.200000000001</v>
      </c>
      <c r="G2433" s="105">
        <f>F2433*0.19</f>
        <v>4489.5479999999998</v>
      </c>
      <c r="H2433" s="106">
        <f>ROUND((F2433+G2433),0)</f>
        <v>28119</v>
      </c>
    </row>
    <row r="2441" spans="1:8" x14ac:dyDescent="0.25">
      <c r="F2441" s="107"/>
    </row>
    <row r="2442" spans="1:8" x14ac:dyDescent="0.25">
      <c r="F2442" s="107"/>
    </row>
  </sheetData>
  <mergeCells count="1">
    <mergeCell ref="B3:G3"/>
  </mergeCells>
  <pageMargins left="0.7" right="0.7" top="0.75" bottom="0.75" header="0.3" footer="0.3"/>
  <pageSetup scale="24" orientation="portrait" r:id="rId1"/>
  <rowBreaks count="16" manualBreakCount="16">
    <brk id="75" max="16383" man="1"/>
    <brk id="159" max="16383" man="1"/>
    <brk id="256" max="16383" man="1"/>
    <brk id="367" max="16383" man="1"/>
    <brk id="474" max="16383" man="1"/>
    <brk id="573" max="16383" man="1"/>
    <brk id="682" max="16383" man="1"/>
    <brk id="782" max="16383" man="1"/>
    <brk id="881" max="16383" man="1"/>
    <brk id="961" max="16383" man="1"/>
    <brk id="1091" max="16383" man="1"/>
    <brk id="1631" max="11" man="1"/>
    <brk id="1785" max="16383" man="1"/>
    <brk id="1948" max="16383" man="1"/>
    <brk id="2133" max="16383" man="1"/>
    <brk id="2324"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B3:C21"/>
  <sheetViews>
    <sheetView workbookViewId="0"/>
  </sheetViews>
  <sheetFormatPr baseColWidth="10" defaultRowHeight="15" x14ac:dyDescent="0.25"/>
  <cols>
    <col min="2" max="2" width="44.7109375" customWidth="1"/>
  </cols>
  <sheetData>
    <row r="3" spans="2:3" x14ac:dyDescent="0.25">
      <c r="B3" s="584" t="s">
        <v>70</v>
      </c>
      <c r="C3" s="585"/>
    </row>
    <row r="4" spans="2:3" x14ac:dyDescent="0.25">
      <c r="B4" s="586" t="s">
        <v>5397</v>
      </c>
      <c r="C4" s="587" t="s">
        <v>72</v>
      </c>
    </row>
    <row r="5" spans="2:3" x14ac:dyDescent="0.25">
      <c r="B5" s="586" t="s">
        <v>73</v>
      </c>
      <c r="C5" s="587" t="s">
        <v>72</v>
      </c>
    </row>
    <row r="6" spans="2:3" x14ac:dyDescent="0.25">
      <c r="B6" s="586" t="s">
        <v>74</v>
      </c>
      <c r="C6" s="587" t="s">
        <v>72</v>
      </c>
    </row>
    <row r="7" spans="2:3" x14ac:dyDescent="0.25">
      <c r="B7" s="586" t="s">
        <v>75</v>
      </c>
      <c r="C7" s="587" t="s">
        <v>72</v>
      </c>
    </row>
    <row r="8" spans="2:3" x14ac:dyDescent="0.25">
      <c r="B8" s="588" t="s">
        <v>71</v>
      </c>
      <c r="C8" s="586"/>
    </row>
    <row r="9" spans="2:3" x14ac:dyDescent="0.25">
      <c r="B9" s="586" t="s">
        <v>76</v>
      </c>
      <c r="C9" s="587" t="s">
        <v>72</v>
      </c>
    </row>
    <row r="10" spans="2:3" x14ac:dyDescent="0.25">
      <c r="B10" s="586" t="s">
        <v>77</v>
      </c>
      <c r="C10" s="587" t="s">
        <v>72</v>
      </c>
    </row>
    <row r="11" spans="2:3" x14ac:dyDescent="0.25">
      <c r="B11" s="586" t="s">
        <v>78</v>
      </c>
      <c r="C11" s="587" t="s">
        <v>72</v>
      </c>
    </row>
    <row r="12" spans="2:3" x14ac:dyDescent="0.25">
      <c r="B12" s="586" t="s">
        <v>79</v>
      </c>
      <c r="C12" s="587" t="s">
        <v>72</v>
      </c>
    </row>
    <row r="13" spans="2:3" x14ac:dyDescent="0.25">
      <c r="B13" s="589" t="s">
        <v>80</v>
      </c>
      <c r="C13" s="587" t="s">
        <v>72</v>
      </c>
    </row>
    <row r="14" spans="2:3" x14ac:dyDescent="0.25">
      <c r="B14" s="586" t="s">
        <v>81</v>
      </c>
      <c r="C14" s="587" t="s">
        <v>72</v>
      </c>
    </row>
    <row r="15" spans="2:3" x14ac:dyDescent="0.25">
      <c r="B15" s="586" t="s">
        <v>82</v>
      </c>
      <c r="C15" s="587" t="s">
        <v>72</v>
      </c>
    </row>
    <row r="16" spans="2:3" x14ac:dyDescent="0.25">
      <c r="B16" s="589" t="s">
        <v>83</v>
      </c>
      <c r="C16" s="587" t="s">
        <v>72</v>
      </c>
    </row>
    <row r="17" spans="2:3" x14ac:dyDescent="0.25">
      <c r="B17" s="589" t="s">
        <v>84</v>
      </c>
      <c r="C17" s="587" t="s">
        <v>72</v>
      </c>
    </row>
    <row r="18" spans="2:3" x14ac:dyDescent="0.25">
      <c r="B18" s="586" t="s">
        <v>85</v>
      </c>
      <c r="C18" s="587" t="s">
        <v>72</v>
      </c>
    </row>
    <row r="19" spans="2:3" x14ac:dyDescent="0.25">
      <c r="B19" s="589" t="s">
        <v>86</v>
      </c>
      <c r="C19" s="587" t="s">
        <v>72</v>
      </c>
    </row>
    <row r="20" spans="2:3" x14ac:dyDescent="0.25">
      <c r="B20" s="589" t="s">
        <v>87</v>
      </c>
      <c r="C20" s="587" t="s">
        <v>72</v>
      </c>
    </row>
    <row r="21" spans="2:3" x14ac:dyDescent="0.25">
      <c r="B21" s="589" t="s">
        <v>88</v>
      </c>
      <c r="C21" s="587" t="s">
        <v>72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55"/>
  <sheetViews>
    <sheetView view="pageBreakPreview" topLeftCell="A34" zoomScale="60" zoomScaleNormal="70" workbookViewId="0">
      <selection activeCell="S17" sqref="S17"/>
    </sheetView>
  </sheetViews>
  <sheetFormatPr baseColWidth="10" defaultColWidth="11.42578125" defaultRowHeight="15" x14ac:dyDescent="0.25"/>
  <cols>
    <col min="1" max="1" width="70.85546875" style="1441" customWidth="1"/>
    <col min="2" max="2" width="24.5703125" style="1441" hidden="1" customWidth="1"/>
    <col min="3" max="6" width="5.5703125" style="1441" hidden="1" customWidth="1"/>
    <col min="7" max="7" width="5.28515625" style="1441" hidden="1" customWidth="1"/>
    <col min="8" max="14" width="5.140625" style="1441" hidden="1" customWidth="1"/>
    <col min="15" max="15" width="17.5703125" style="1441" bestFit="1" customWidth="1"/>
    <col min="16" max="17" width="18.28515625" style="1441" bestFit="1" customWidth="1"/>
    <col min="18" max="18" width="18.5703125" style="1441" bestFit="1" customWidth="1"/>
    <col min="19" max="19" width="18.28515625" style="1441" bestFit="1" customWidth="1"/>
    <col min="20" max="20" width="17.85546875" style="1441" bestFit="1" customWidth="1"/>
    <col min="21" max="22" width="18.28515625" style="1441" bestFit="1" customWidth="1"/>
    <col min="23" max="24" width="19.140625" style="1441" bestFit="1" customWidth="1"/>
    <col min="25" max="25" width="17.85546875" style="1441" bestFit="1" customWidth="1"/>
    <col min="26" max="26" width="18" style="1441" bestFit="1" customWidth="1"/>
    <col min="27" max="27" width="26.140625" style="1441" bestFit="1" customWidth="1"/>
    <col min="28" max="16384" width="11.42578125" style="1441"/>
  </cols>
  <sheetData>
    <row r="1" spans="1:27" x14ac:dyDescent="0.25">
      <c r="O1" s="2308" t="s">
        <v>8159</v>
      </c>
      <c r="P1" s="2308"/>
      <c r="Q1" s="2308"/>
      <c r="R1" s="2308"/>
      <c r="S1" s="2308"/>
      <c r="T1" s="2308"/>
      <c r="U1" s="2308"/>
      <c r="V1" s="2308"/>
      <c r="W1" s="2308"/>
    </row>
    <row r="2" spans="1:27" x14ac:dyDescent="0.25">
      <c r="O2" s="2308" t="s">
        <v>8345</v>
      </c>
      <c r="P2" s="2308"/>
      <c r="Q2" s="2308"/>
      <c r="R2" s="2308"/>
      <c r="S2" s="2308"/>
      <c r="T2" s="2308"/>
      <c r="U2" s="2308"/>
      <c r="V2" s="2308"/>
      <c r="W2" s="2308"/>
    </row>
    <row r="3" spans="1:27" x14ac:dyDescent="0.25">
      <c r="O3" s="2308" t="s">
        <v>8160</v>
      </c>
      <c r="P3" s="2308"/>
      <c r="Q3" s="2308"/>
      <c r="R3" s="2308"/>
      <c r="S3" s="2308"/>
      <c r="T3" s="2308"/>
      <c r="U3" s="2308"/>
      <c r="V3" s="2308"/>
      <c r="W3" s="2308"/>
    </row>
    <row r="4" spans="1:27" x14ac:dyDescent="0.25">
      <c r="O4" s="2308" t="s">
        <v>8958</v>
      </c>
      <c r="P4" s="2308"/>
      <c r="Q4" s="2308"/>
      <c r="R4" s="2308"/>
      <c r="S4" s="2308"/>
      <c r="T4" s="2308"/>
      <c r="U4" s="2308"/>
      <c r="V4" s="2308"/>
      <c r="W4" s="2308"/>
    </row>
    <row r="6" spans="1:27" ht="18.75" x14ac:dyDescent="0.3">
      <c r="A6" s="1049"/>
      <c r="B6" s="1049"/>
      <c r="C6" s="2307" t="s">
        <v>6694</v>
      </c>
      <c r="D6" s="2307"/>
      <c r="E6" s="2307"/>
      <c r="F6" s="2307"/>
      <c r="G6" s="2307"/>
      <c r="H6" s="2307"/>
      <c r="I6" s="2307"/>
      <c r="J6" s="2307"/>
      <c r="K6" s="2307"/>
      <c r="L6" s="2307"/>
      <c r="M6" s="2307"/>
      <c r="N6" s="2307"/>
      <c r="O6" s="2307" t="s">
        <v>6694</v>
      </c>
      <c r="P6" s="2307"/>
      <c r="Q6" s="2307"/>
      <c r="R6" s="2307"/>
      <c r="S6" s="2307"/>
      <c r="T6" s="2307"/>
      <c r="U6" s="2307"/>
      <c r="V6" s="2307"/>
      <c r="W6" s="2307"/>
      <c r="X6" s="2307"/>
      <c r="Y6" s="2307"/>
      <c r="Z6" s="2307"/>
      <c r="AA6" s="2304" t="s">
        <v>8356</v>
      </c>
    </row>
    <row r="7" spans="1:27" ht="15.75" customHeight="1" x14ac:dyDescent="0.25">
      <c r="A7" s="1489" t="s">
        <v>6695</v>
      </c>
      <c r="B7" s="1489"/>
      <c r="C7" s="1488">
        <v>1</v>
      </c>
      <c r="D7" s="1488">
        <v>2</v>
      </c>
      <c r="E7" s="1488">
        <v>3</v>
      </c>
      <c r="F7" s="1488">
        <v>4</v>
      </c>
      <c r="G7" s="1488">
        <v>5</v>
      </c>
      <c r="H7" s="1488">
        <v>6</v>
      </c>
      <c r="I7" s="1488">
        <v>7</v>
      </c>
      <c r="J7" s="1488">
        <v>8</v>
      </c>
      <c r="K7" s="1488">
        <v>9</v>
      </c>
      <c r="L7" s="1488">
        <v>10</v>
      </c>
      <c r="M7" s="1488">
        <v>11</v>
      </c>
      <c r="N7" s="1488">
        <v>12</v>
      </c>
      <c r="O7" s="1490">
        <v>1</v>
      </c>
      <c r="P7" s="1490">
        <v>2</v>
      </c>
      <c r="Q7" s="1490">
        <v>3</v>
      </c>
      <c r="R7" s="1490">
        <v>4</v>
      </c>
      <c r="S7" s="1490">
        <v>5</v>
      </c>
      <c r="T7" s="1490">
        <v>6</v>
      </c>
      <c r="U7" s="1490">
        <v>7</v>
      </c>
      <c r="V7" s="1490">
        <v>8</v>
      </c>
      <c r="W7" s="1490">
        <v>9</v>
      </c>
      <c r="X7" s="1490">
        <v>10</v>
      </c>
      <c r="Y7" s="1490">
        <v>11</v>
      </c>
      <c r="Z7" s="1490">
        <v>12</v>
      </c>
      <c r="AA7" s="2305"/>
    </row>
    <row r="8" spans="1:27" x14ac:dyDescent="0.25">
      <c r="A8" s="1491" t="str">
        <f>+RESUMEN!B10</f>
        <v>Tanque Bojaca.</v>
      </c>
      <c r="B8" s="1491"/>
      <c r="C8" s="1491"/>
      <c r="D8" s="1491"/>
      <c r="E8" s="1491"/>
      <c r="F8" s="1491"/>
      <c r="G8" s="1491"/>
      <c r="H8" s="1491"/>
      <c r="I8" s="1491"/>
      <c r="J8" s="1491"/>
      <c r="K8" s="1491"/>
      <c r="L8" s="1491"/>
      <c r="M8" s="1491"/>
      <c r="N8" s="1491"/>
      <c r="O8" s="1491"/>
      <c r="P8" s="1491"/>
      <c r="Q8" s="1491"/>
      <c r="R8" s="1491"/>
      <c r="S8" s="1491"/>
      <c r="T8" s="1491"/>
      <c r="U8" s="1491"/>
      <c r="V8" s="1491"/>
      <c r="W8" s="1491"/>
      <c r="X8" s="1491"/>
      <c r="Y8" s="1491"/>
      <c r="Z8" s="1491"/>
      <c r="AA8" s="2306"/>
    </row>
    <row r="9" spans="1:27" x14ac:dyDescent="0.25">
      <c r="A9" s="1492" t="str">
        <f>+RESUMEN!B11</f>
        <v xml:space="preserve">Subtotal Obra Civil </v>
      </c>
      <c r="B9" s="1457">
        <f>+RESUMEN!C11</f>
        <v>118123155</v>
      </c>
      <c r="C9" s="1493">
        <v>0.4</v>
      </c>
      <c r="D9" s="1493">
        <v>0.4</v>
      </c>
      <c r="E9" s="1493">
        <v>0.2</v>
      </c>
      <c r="F9" s="1493"/>
      <c r="G9" s="1493"/>
      <c r="H9" s="1493"/>
      <c r="I9" s="1493"/>
      <c r="J9" s="1493"/>
      <c r="K9" s="1493"/>
      <c r="L9" s="1493"/>
      <c r="M9" s="1493"/>
      <c r="N9" s="1493"/>
      <c r="O9" s="1494">
        <f>+C9*$B9</f>
        <v>47249262</v>
      </c>
      <c r="P9" s="1494">
        <f t="shared" ref="P9:Z24" si="0">+D9*$B9</f>
        <v>47249262</v>
      </c>
      <c r="Q9" s="1494">
        <f t="shared" si="0"/>
        <v>23624631</v>
      </c>
      <c r="R9" s="1494">
        <f t="shared" si="0"/>
        <v>0</v>
      </c>
      <c r="S9" s="1494">
        <f t="shared" si="0"/>
        <v>0</v>
      </c>
      <c r="T9" s="1494">
        <f t="shared" si="0"/>
        <v>0</v>
      </c>
      <c r="U9" s="1494">
        <f t="shared" si="0"/>
        <v>0</v>
      </c>
      <c r="V9" s="1494">
        <f t="shared" si="0"/>
        <v>0</v>
      </c>
      <c r="W9" s="1494">
        <f t="shared" si="0"/>
        <v>0</v>
      </c>
      <c r="X9" s="1494">
        <f t="shared" si="0"/>
        <v>0</v>
      </c>
      <c r="Y9" s="1494">
        <f t="shared" si="0"/>
        <v>0</v>
      </c>
      <c r="Z9" s="1494">
        <f t="shared" si="0"/>
        <v>0</v>
      </c>
      <c r="AA9" s="1494">
        <f>SUM(O9:Z9)</f>
        <v>118123155</v>
      </c>
    </row>
    <row r="10" spans="1:27" x14ac:dyDescent="0.25">
      <c r="A10" s="1492" t="str">
        <f>+RESUMEN!B12</f>
        <v xml:space="preserve">Subtotal Suministro </v>
      </c>
      <c r="B10" s="1457">
        <f>+RESUMEN!C12</f>
        <v>362220788</v>
      </c>
      <c r="C10" s="1493">
        <v>0.4</v>
      </c>
      <c r="D10" s="1493">
        <v>0.4</v>
      </c>
      <c r="E10" s="1493">
        <v>0.2</v>
      </c>
      <c r="F10" s="1493"/>
      <c r="G10" s="1493"/>
      <c r="H10" s="1493"/>
      <c r="I10" s="1493"/>
      <c r="J10" s="1493"/>
      <c r="K10" s="1493"/>
      <c r="L10" s="1493"/>
      <c r="M10" s="1493"/>
      <c r="N10" s="1493"/>
      <c r="O10" s="1494">
        <f t="shared" ref="O10:Z44" si="1">+C10*$B10</f>
        <v>144888315.20000002</v>
      </c>
      <c r="P10" s="1494">
        <f t="shared" si="0"/>
        <v>144888315.20000002</v>
      </c>
      <c r="Q10" s="1494">
        <f t="shared" si="0"/>
        <v>72444157.600000009</v>
      </c>
      <c r="R10" s="1494">
        <f t="shared" si="0"/>
        <v>0</v>
      </c>
      <c r="S10" s="1494">
        <f t="shared" si="0"/>
        <v>0</v>
      </c>
      <c r="T10" s="1494">
        <f t="shared" si="0"/>
        <v>0</v>
      </c>
      <c r="U10" s="1494">
        <f t="shared" si="0"/>
        <v>0</v>
      </c>
      <c r="V10" s="1494">
        <f t="shared" si="0"/>
        <v>0</v>
      </c>
      <c r="W10" s="1494">
        <f t="shared" si="0"/>
        <v>0</v>
      </c>
      <c r="X10" s="1494">
        <f t="shared" si="0"/>
        <v>0</v>
      </c>
      <c r="Y10" s="1494">
        <f t="shared" si="0"/>
        <v>0</v>
      </c>
      <c r="Z10" s="1494">
        <f t="shared" si="0"/>
        <v>0</v>
      </c>
      <c r="AA10" s="1494">
        <f t="shared" ref="AA10:AA44" si="2">SUM(O10:Z10)</f>
        <v>362220788.00000006</v>
      </c>
    </row>
    <row r="11" spans="1:27" x14ac:dyDescent="0.25">
      <c r="A11" s="1491" t="str">
        <f>+RESUMEN!B13</f>
        <v>Camara Llegada PTAP La Mesa</v>
      </c>
      <c r="B11" s="1491"/>
      <c r="C11" s="1491"/>
      <c r="D11" s="1491"/>
      <c r="E11" s="1491"/>
      <c r="F11" s="1491"/>
      <c r="G11" s="1491"/>
      <c r="H11" s="1491"/>
      <c r="I11" s="1491"/>
      <c r="J11" s="1491"/>
      <c r="K11" s="1491"/>
      <c r="L11" s="1491"/>
      <c r="M11" s="1491"/>
      <c r="N11" s="1491"/>
      <c r="O11" s="1491"/>
      <c r="P11" s="1491"/>
      <c r="Q11" s="1491"/>
      <c r="R11" s="1491"/>
      <c r="S11" s="1491"/>
      <c r="T11" s="1491"/>
      <c r="U11" s="1491"/>
      <c r="V11" s="1491"/>
      <c r="W11" s="1491"/>
      <c r="X11" s="1491"/>
      <c r="Y11" s="1491"/>
      <c r="Z11" s="1491"/>
      <c r="AA11" s="1491"/>
    </row>
    <row r="12" spans="1:27" x14ac:dyDescent="0.25">
      <c r="A12" s="1492" t="str">
        <f>+RESUMEN!B14</f>
        <v xml:space="preserve">Subtotal Obra Civil </v>
      </c>
      <c r="B12" s="1457">
        <f>+RESUMEN!C14</f>
        <v>58427249</v>
      </c>
      <c r="C12" s="1493"/>
      <c r="D12" s="1493"/>
      <c r="E12" s="1493"/>
      <c r="F12" s="1493">
        <v>0.5</v>
      </c>
      <c r="G12" s="1493">
        <v>0.5</v>
      </c>
      <c r="H12" s="1493"/>
      <c r="I12" s="1493"/>
      <c r="J12" s="1493"/>
      <c r="K12" s="1493"/>
      <c r="L12" s="1493"/>
      <c r="M12" s="1493"/>
      <c r="N12" s="1493"/>
      <c r="O12" s="1494">
        <f t="shared" si="1"/>
        <v>0</v>
      </c>
      <c r="P12" s="1494">
        <f t="shared" si="0"/>
        <v>0</v>
      </c>
      <c r="Q12" s="1494">
        <f t="shared" si="0"/>
        <v>0</v>
      </c>
      <c r="R12" s="1494">
        <f t="shared" si="0"/>
        <v>29213624.5</v>
      </c>
      <c r="S12" s="1494">
        <f t="shared" si="0"/>
        <v>29213624.5</v>
      </c>
      <c r="T12" s="1494">
        <f t="shared" si="0"/>
        <v>0</v>
      </c>
      <c r="U12" s="1494">
        <f t="shared" si="0"/>
        <v>0</v>
      </c>
      <c r="V12" s="1494">
        <f t="shared" si="0"/>
        <v>0</v>
      </c>
      <c r="W12" s="1494">
        <f t="shared" si="0"/>
        <v>0</v>
      </c>
      <c r="X12" s="1494">
        <f t="shared" si="0"/>
        <v>0</v>
      </c>
      <c r="Y12" s="1494">
        <f t="shared" si="0"/>
        <v>0</v>
      </c>
      <c r="Z12" s="1494">
        <f t="shared" si="0"/>
        <v>0</v>
      </c>
      <c r="AA12" s="1494">
        <f t="shared" si="2"/>
        <v>58427249</v>
      </c>
    </row>
    <row r="13" spans="1:27" x14ac:dyDescent="0.25">
      <c r="A13" s="1492" t="str">
        <f>+RESUMEN!B15</f>
        <v xml:space="preserve">Subtotal Suministro </v>
      </c>
      <c r="B13" s="1457">
        <f>+RESUMEN!C15</f>
        <v>194834543</v>
      </c>
      <c r="C13" s="1493"/>
      <c r="D13" s="1493"/>
      <c r="E13" s="1493"/>
      <c r="F13" s="1493">
        <v>0.5</v>
      </c>
      <c r="G13" s="1493">
        <v>0.5</v>
      </c>
      <c r="H13" s="1493"/>
      <c r="I13" s="1493"/>
      <c r="J13" s="1493"/>
      <c r="K13" s="1493"/>
      <c r="L13" s="1493"/>
      <c r="M13" s="1493"/>
      <c r="N13" s="1493"/>
      <c r="O13" s="1494">
        <f t="shared" si="1"/>
        <v>0</v>
      </c>
      <c r="P13" s="1494">
        <f t="shared" si="0"/>
        <v>0</v>
      </c>
      <c r="Q13" s="1494">
        <f t="shared" si="0"/>
        <v>0</v>
      </c>
      <c r="R13" s="1494">
        <f t="shared" si="0"/>
        <v>97417271.5</v>
      </c>
      <c r="S13" s="1494">
        <f t="shared" si="0"/>
        <v>97417271.5</v>
      </c>
      <c r="T13" s="1494">
        <f t="shared" si="0"/>
        <v>0</v>
      </c>
      <c r="U13" s="1494">
        <f t="shared" si="0"/>
        <v>0</v>
      </c>
      <c r="V13" s="1494">
        <f t="shared" si="0"/>
        <v>0</v>
      </c>
      <c r="W13" s="1494">
        <f t="shared" si="0"/>
        <v>0</v>
      </c>
      <c r="X13" s="1494">
        <f t="shared" si="0"/>
        <v>0</v>
      </c>
      <c r="Y13" s="1494">
        <f t="shared" si="0"/>
        <v>0</v>
      </c>
      <c r="Z13" s="1494">
        <f t="shared" si="0"/>
        <v>0</v>
      </c>
      <c r="AA13" s="1494">
        <f t="shared" si="2"/>
        <v>194834543</v>
      </c>
    </row>
    <row r="14" spans="1:27" x14ac:dyDescent="0.25">
      <c r="A14" s="1491" t="str">
        <f>+RESUMEN!B16</f>
        <v>Conduccion Tanque Casablanca - PTAP La Mesa</v>
      </c>
      <c r="B14" s="1491"/>
      <c r="C14" s="1491"/>
      <c r="D14" s="1491"/>
      <c r="E14" s="1491"/>
      <c r="F14" s="1491"/>
      <c r="G14" s="1491"/>
      <c r="H14" s="1491"/>
      <c r="I14" s="1491"/>
      <c r="J14" s="1491"/>
      <c r="K14" s="1491"/>
      <c r="L14" s="1491"/>
      <c r="M14" s="1491"/>
      <c r="N14" s="1491"/>
      <c r="O14" s="1491"/>
      <c r="P14" s="1491"/>
      <c r="Q14" s="1491"/>
      <c r="R14" s="1491"/>
      <c r="S14" s="1491"/>
      <c r="T14" s="1491"/>
      <c r="U14" s="1491"/>
      <c r="V14" s="1491"/>
      <c r="W14" s="1491"/>
      <c r="X14" s="1491"/>
      <c r="Y14" s="1491"/>
      <c r="Z14" s="1491"/>
      <c r="AA14" s="1491"/>
    </row>
    <row r="15" spans="1:27" x14ac:dyDescent="0.25">
      <c r="A15" s="1492" t="str">
        <f>+RESUMEN!B17</f>
        <v xml:space="preserve">Subtotal Obra Civil </v>
      </c>
      <c r="B15" s="1457">
        <f>+RESUMEN!C17</f>
        <v>5058850271</v>
      </c>
      <c r="C15" s="1493">
        <v>0.05</v>
      </c>
      <c r="D15" s="1493">
        <v>0.05</v>
      </c>
      <c r="E15" s="1493">
        <v>0.1</v>
      </c>
      <c r="F15" s="1493">
        <v>0.1</v>
      </c>
      <c r="G15" s="1493">
        <v>0.1</v>
      </c>
      <c r="H15" s="1493">
        <v>0.1</v>
      </c>
      <c r="I15" s="1493">
        <v>0.1</v>
      </c>
      <c r="J15" s="1493">
        <v>0.1</v>
      </c>
      <c r="K15" s="1493">
        <v>0.1</v>
      </c>
      <c r="L15" s="1493">
        <v>0.1</v>
      </c>
      <c r="M15" s="1493">
        <v>0.05</v>
      </c>
      <c r="N15" s="1493">
        <v>0.05</v>
      </c>
      <c r="O15" s="1494">
        <f t="shared" si="1"/>
        <v>252942513.55000001</v>
      </c>
      <c r="P15" s="1494">
        <f t="shared" si="0"/>
        <v>252942513.55000001</v>
      </c>
      <c r="Q15" s="1494">
        <f t="shared" si="0"/>
        <v>505885027.10000002</v>
      </c>
      <c r="R15" s="1494">
        <f t="shared" si="0"/>
        <v>505885027.10000002</v>
      </c>
      <c r="S15" s="1494">
        <f t="shared" si="0"/>
        <v>505885027.10000002</v>
      </c>
      <c r="T15" s="1494">
        <f t="shared" si="0"/>
        <v>505885027.10000002</v>
      </c>
      <c r="U15" s="1494">
        <f t="shared" si="0"/>
        <v>505885027.10000002</v>
      </c>
      <c r="V15" s="1494">
        <f t="shared" si="0"/>
        <v>505885027.10000002</v>
      </c>
      <c r="W15" s="1494">
        <f t="shared" si="0"/>
        <v>505885027.10000002</v>
      </c>
      <c r="X15" s="1494">
        <f t="shared" si="0"/>
        <v>505885027.10000002</v>
      </c>
      <c r="Y15" s="1494">
        <f t="shared" si="0"/>
        <v>252942513.55000001</v>
      </c>
      <c r="Z15" s="1494">
        <f t="shared" si="0"/>
        <v>252942513.55000001</v>
      </c>
      <c r="AA15" s="1494">
        <f t="shared" si="2"/>
        <v>5058850271</v>
      </c>
    </row>
    <row r="16" spans="1:27" x14ac:dyDescent="0.25">
      <c r="A16" s="1492" t="str">
        <f>+RESUMEN!B18</f>
        <v xml:space="preserve">Subtotal Suministro </v>
      </c>
      <c r="B16" s="1457">
        <f>+RESUMEN!C18</f>
        <v>5013591622</v>
      </c>
      <c r="C16" s="1493">
        <v>0.05</v>
      </c>
      <c r="D16" s="1493">
        <v>0.05</v>
      </c>
      <c r="E16" s="1493">
        <v>0.1</v>
      </c>
      <c r="F16" s="1493">
        <v>0.1</v>
      </c>
      <c r="G16" s="1493">
        <v>0.1</v>
      </c>
      <c r="H16" s="1493">
        <v>0.1</v>
      </c>
      <c r="I16" s="1493">
        <v>0.1</v>
      </c>
      <c r="J16" s="1493">
        <v>0.1</v>
      </c>
      <c r="K16" s="1493">
        <v>0.1</v>
      </c>
      <c r="L16" s="1493">
        <v>0.1</v>
      </c>
      <c r="M16" s="1493">
        <v>0.05</v>
      </c>
      <c r="N16" s="1493">
        <v>0.05</v>
      </c>
      <c r="O16" s="1494">
        <f t="shared" si="1"/>
        <v>250679581.10000002</v>
      </c>
      <c r="P16" s="1494">
        <f t="shared" si="0"/>
        <v>250679581.10000002</v>
      </c>
      <c r="Q16" s="1494">
        <f t="shared" si="0"/>
        <v>501359162.20000005</v>
      </c>
      <c r="R16" s="1494">
        <f t="shared" si="0"/>
        <v>501359162.20000005</v>
      </c>
      <c r="S16" s="1494">
        <f t="shared" si="0"/>
        <v>501359162.20000005</v>
      </c>
      <c r="T16" s="1494">
        <f t="shared" si="0"/>
        <v>501359162.20000005</v>
      </c>
      <c r="U16" s="1494">
        <f t="shared" si="0"/>
        <v>501359162.20000005</v>
      </c>
      <c r="V16" s="1494">
        <f t="shared" si="0"/>
        <v>501359162.20000005</v>
      </c>
      <c r="W16" s="1494">
        <f t="shared" si="0"/>
        <v>501359162.20000005</v>
      </c>
      <c r="X16" s="1494">
        <f t="shared" si="0"/>
        <v>501359162.20000005</v>
      </c>
      <c r="Y16" s="1494">
        <f t="shared" si="0"/>
        <v>250679581.10000002</v>
      </c>
      <c r="Z16" s="1494">
        <f t="shared" si="0"/>
        <v>250679581.10000002</v>
      </c>
      <c r="AA16" s="1494">
        <f t="shared" si="2"/>
        <v>5013591622</v>
      </c>
    </row>
    <row r="17" spans="1:27" x14ac:dyDescent="0.25">
      <c r="A17" s="1491" t="str">
        <f>+RESUMEN!B19</f>
        <v>Conduccion Caja Derivacion - Tanque Casablanca</v>
      </c>
      <c r="B17" s="1491"/>
      <c r="C17" s="1491"/>
      <c r="D17" s="1491"/>
      <c r="E17" s="1491"/>
      <c r="F17" s="1491"/>
      <c r="G17" s="1491"/>
      <c r="H17" s="1491"/>
      <c r="I17" s="1491"/>
      <c r="J17" s="1491"/>
      <c r="K17" s="1491"/>
      <c r="L17" s="1491"/>
      <c r="M17" s="1491"/>
      <c r="N17" s="1491"/>
      <c r="O17" s="1491"/>
      <c r="P17" s="1491"/>
      <c r="Q17" s="1491"/>
      <c r="R17" s="1491"/>
      <c r="S17" s="1491"/>
      <c r="T17" s="1491"/>
      <c r="U17" s="1491"/>
      <c r="V17" s="1491"/>
      <c r="W17" s="1491"/>
      <c r="X17" s="1491"/>
      <c r="Y17" s="1491"/>
      <c r="Z17" s="1491"/>
      <c r="AA17" s="1491"/>
    </row>
    <row r="18" spans="1:27" x14ac:dyDescent="0.25">
      <c r="A18" s="1492" t="str">
        <f>+RESUMEN!B20</f>
        <v xml:space="preserve">Subtotal Obra Civil </v>
      </c>
      <c r="B18" s="1457">
        <f>+RESUMEN!C20</f>
        <v>93259195</v>
      </c>
      <c r="C18" s="1493">
        <v>0.05</v>
      </c>
      <c r="D18" s="1493">
        <v>0.05</v>
      </c>
      <c r="E18" s="1493">
        <v>0.1</v>
      </c>
      <c r="F18" s="1493">
        <v>0.1</v>
      </c>
      <c r="G18" s="1493">
        <v>0.1</v>
      </c>
      <c r="H18" s="1493">
        <v>0.1</v>
      </c>
      <c r="I18" s="1493">
        <v>0.1</v>
      </c>
      <c r="J18" s="1493">
        <v>0.1</v>
      </c>
      <c r="K18" s="1493">
        <v>0.1</v>
      </c>
      <c r="L18" s="1493">
        <v>0.1</v>
      </c>
      <c r="M18" s="1493">
        <v>0.05</v>
      </c>
      <c r="N18" s="1493">
        <v>0.05</v>
      </c>
      <c r="O18" s="1494">
        <f t="shared" si="1"/>
        <v>4662959.75</v>
      </c>
      <c r="P18" s="1494">
        <f t="shared" si="0"/>
        <v>4662959.75</v>
      </c>
      <c r="Q18" s="1494">
        <f t="shared" si="0"/>
        <v>9325919.5</v>
      </c>
      <c r="R18" s="1494">
        <f t="shared" si="0"/>
        <v>9325919.5</v>
      </c>
      <c r="S18" s="1494">
        <f t="shared" si="0"/>
        <v>9325919.5</v>
      </c>
      <c r="T18" s="1494">
        <f t="shared" si="0"/>
        <v>9325919.5</v>
      </c>
      <c r="U18" s="1494">
        <f t="shared" si="0"/>
        <v>9325919.5</v>
      </c>
      <c r="V18" s="1494">
        <f t="shared" si="0"/>
        <v>9325919.5</v>
      </c>
      <c r="W18" s="1494">
        <f t="shared" si="0"/>
        <v>9325919.5</v>
      </c>
      <c r="X18" s="1494">
        <f t="shared" si="0"/>
        <v>9325919.5</v>
      </c>
      <c r="Y18" s="1494">
        <f t="shared" si="0"/>
        <v>4662959.75</v>
      </c>
      <c r="Z18" s="1494">
        <f t="shared" si="0"/>
        <v>4662959.75</v>
      </c>
      <c r="AA18" s="1494">
        <f t="shared" si="2"/>
        <v>93259195</v>
      </c>
    </row>
    <row r="19" spans="1:27" x14ac:dyDescent="0.25">
      <c r="A19" s="1492" t="str">
        <f>+RESUMEN!B21</f>
        <v xml:space="preserve">Subtotal Suministro </v>
      </c>
      <c r="B19" s="1457">
        <f>+RESUMEN!C21</f>
        <v>59271509</v>
      </c>
      <c r="C19" s="1493">
        <v>0.05</v>
      </c>
      <c r="D19" s="1493">
        <v>0.05</v>
      </c>
      <c r="E19" s="1493">
        <v>0.1</v>
      </c>
      <c r="F19" s="1493">
        <v>0.1</v>
      </c>
      <c r="G19" s="1493">
        <v>0.1</v>
      </c>
      <c r="H19" s="1493">
        <v>0.1</v>
      </c>
      <c r="I19" s="1493">
        <v>0.1</v>
      </c>
      <c r="J19" s="1493">
        <v>0.1</v>
      </c>
      <c r="K19" s="1493">
        <v>0.1</v>
      </c>
      <c r="L19" s="1493">
        <v>0.1</v>
      </c>
      <c r="M19" s="1493">
        <v>0.05</v>
      </c>
      <c r="N19" s="1493">
        <v>0.05</v>
      </c>
      <c r="O19" s="1494">
        <f t="shared" si="1"/>
        <v>2963575.45</v>
      </c>
      <c r="P19" s="1494">
        <f t="shared" si="0"/>
        <v>2963575.45</v>
      </c>
      <c r="Q19" s="1494">
        <f t="shared" si="0"/>
        <v>5927150.9000000004</v>
      </c>
      <c r="R19" s="1494">
        <f t="shared" si="0"/>
        <v>5927150.9000000004</v>
      </c>
      <c r="S19" s="1494">
        <f t="shared" si="0"/>
        <v>5927150.9000000004</v>
      </c>
      <c r="T19" s="1494">
        <f t="shared" si="0"/>
        <v>5927150.9000000004</v>
      </c>
      <c r="U19" s="1494">
        <f t="shared" si="0"/>
        <v>5927150.9000000004</v>
      </c>
      <c r="V19" s="1494">
        <f t="shared" si="0"/>
        <v>5927150.9000000004</v>
      </c>
      <c r="W19" s="1494">
        <f t="shared" si="0"/>
        <v>5927150.9000000004</v>
      </c>
      <c r="X19" s="1494">
        <f t="shared" si="0"/>
        <v>5927150.9000000004</v>
      </c>
      <c r="Y19" s="1494">
        <f t="shared" si="0"/>
        <v>2963575.45</v>
      </c>
      <c r="Z19" s="1494">
        <f t="shared" si="0"/>
        <v>2963575.45</v>
      </c>
      <c r="AA19" s="1494">
        <f t="shared" si="2"/>
        <v>59271509</v>
      </c>
    </row>
    <row r="20" spans="1:27" x14ac:dyDescent="0.25">
      <c r="A20" s="1491" t="str">
        <f>+RESUMEN!B22</f>
        <v>Linea de Alta presion</v>
      </c>
      <c r="B20" s="1491"/>
      <c r="C20" s="1491"/>
      <c r="D20" s="1491"/>
      <c r="E20" s="1491"/>
      <c r="F20" s="1491"/>
      <c r="G20" s="1491"/>
      <c r="H20" s="1491"/>
      <c r="I20" s="1491"/>
      <c r="J20" s="1491"/>
      <c r="K20" s="1491"/>
      <c r="L20" s="1491"/>
      <c r="M20" s="1491"/>
      <c r="N20" s="1491"/>
      <c r="O20" s="1491"/>
      <c r="P20" s="1491"/>
      <c r="Q20" s="1491"/>
      <c r="R20" s="1491"/>
      <c r="S20" s="1491"/>
      <c r="T20" s="1491"/>
      <c r="U20" s="1491"/>
      <c r="V20" s="1491"/>
      <c r="W20" s="1491"/>
      <c r="X20" s="1491"/>
      <c r="Y20" s="1491"/>
      <c r="Z20" s="1491"/>
      <c r="AA20" s="1491"/>
    </row>
    <row r="21" spans="1:27" x14ac:dyDescent="0.25">
      <c r="A21" s="1492" t="str">
        <f>+RESUMEN!B23</f>
        <v xml:space="preserve">Subtotal Obra Civil </v>
      </c>
      <c r="B21" s="1457">
        <f>+RESUMEN!C23</f>
        <v>550367761</v>
      </c>
      <c r="C21" s="1493"/>
      <c r="D21" s="1493">
        <v>0.1</v>
      </c>
      <c r="E21" s="1493">
        <v>0.1</v>
      </c>
      <c r="F21" s="1493">
        <v>0.1</v>
      </c>
      <c r="G21" s="1493">
        <v>0.1</v>
      </c>
      <c r="H21" s="1493">
        <v>0.1</v>
      </c>
      <c r="I21" s="1493">
        <v>0.1</v>
      </c>
      <c r="J21" s="1493">
        <v>0.1</v>
      </c>
      <c r="K21" s="1493">
        <v>0.1</v>
      </c>
      <c r="L21" s="1493">
        <v>0.1</v>
      </c>
      <c r="M21" s="1493">
        <v>0.1</v>
      </c>
      <c r="N21" s="1493"/>
      <c r="O21" s="1494">
        <f t="shared" si="1"/>
        <v>0</v>
      </c>
      <c r="P21" s="1494">
        <f t="shared" si="0"/>
        <v>55036776.100000001</v>
      </c>
      <c r="Q21" s="1494">
        <f t="shared" si="0"/>
        <v>55036776.100000001</v>
      </c>
      <c r="R21" s="1494">
        <f t="shared" si="0"/>
        <v>55036776.100000001</v>
      </c>
      <c r="S21" s="1494">
        <f t="shared" si="0"/>
        <v>55036776.100000001</v>
      </c>
      <c r="T21" s="1494">
        <f t="shared" si="0"/>
        <v>55036776.100000001</v>
      </c>
      <c r="U21" s="1494">
        <f t="shared" si="0"/>
        <v>55036776.100000001</v>
      </c>
      <c r="V21" s="1494">
        <f t="shared" si="0"/>
        <v>55036776.100000001</v>
      </c>
      <c r="W21" s="1494">
        <f t="shared" si="0"/>
        <v>55036776.100000001</v>
      </c>
      <c r="X21" s="1494">
        <f t="shared" si="0"/>
        <v>55036776.100000001</v>
      </c>
      <c r="Y21" s="1494">
        <f t="shared" si="0"/>
        <v>55036776.100000001</v>
      </c>
      <c r="Z21" s="1494">
        <f t="shared" si="0"/>
        <v>0</v>
      </c>
      <c r="AA21" s="1494">
        <f t="shared" si="2"/>
        <v>550367761.00000012</v>
      </c>
    </row>
    <row r="22" spans="1:27" x14ac:dyDescent="0.25">
      <c r="A22" s="1492" t="str">
        <f>+RESUMEN!B24</f>
        <v xml:space="preserve">Subtotal Suministro </v>
      </c>
      <c r="B22" s="1457">
        <f>+RESUMEN!C24</f>
        <v>1335077684</v>
      </c>
      <c r="C22" s="1493"/>
      <c r="D22" s="1493">
        <v>0.1</v>
      </c>
      <c r="E22" s="1493">
        <v>0.1</v>
      </c>
      <c r="F22" s="1493">
        <v>0.1</v>
      </c>
      <c r="G22" s="1493">
        <v>0.1</v>
      </c>
      <c r="H22" s="1493">
        <v>0.1</v>
      </c>
      <c r="I22" s="1493">
        <v>0.1</v>
      </c>
      <c r="J22" s="1493">
        <v>0.1</v>
      </c>
      <c r="K22" s="1493">
        <v>0.1</v>
      </c>
      <c r="L22" s="1493">
        <v>0.1</v>
      </c>
      <c r="M22" s="1493">
        <v>0.1</v>
      </c>
      <c r="N22" s="1493"/>
      <c r="O22" s="1494">
        <f t="shared" si="1"/>
        <v>0</v>
      </c>
      <c r="P22" s="1494">
        <f t="shared" si="0"/>
        <v>133507768.40000001</v>
      </c>
      <c r="Q22" s="1494">
        <f t="shared" si="0"/>
        <v>133507768.40000001</v>
      </c>
      <c r="R22" s="1494">
        <f t="shared" si="0"/>
        <v>133507768.40000001</v>
      </c>
      <c r="S22" s="1494">
        <f t="shared" si="0"/>
        <v>133507768.40000001</v>
      </c>
      <c r="T22" s="1494">
        <f t="shared" si="0"/>
        <v>133507768.40000001</v>
      </c>
      <c r="U22" s="1494">
        <f t="shared" si="0"/>
        <v>133507768.40000001</v>
      </c>
      <c r="V22" s="1494">
        <f t="shared" si="0"/>
        <v>133507768.40000001</v>
      </c>
      <c r="W22" s="1494">
        <f t="shared" si="0"/>
        <v>133507768.40000001</v>
      </c>
      <c r="X22" s="1494">
        <f t="shared" si="0"/>
        <v>133507768.40000001</v>
      </c>
      <c r="Y22" s="1494">
        <f t="shared" si="0"/>
        <v>133507768.40000001</v>
      </c>
      <c r="Z22" s="1494">
        <f t="shared" si="0"/>
        <v>0</v>
      </c>
      <c r="AA22" s="1494">
        <f t="shared" si="2"/>
        <v>1335077684</v>
      </c>
    </row>
    <row r="23" spans="1:27" x14ac:dyDescent="0.25">
      <c r="A23" s="1491" t="str">
        <f>+RESUMEN!B25</f>
        <v>Estructuras Especiales</v>
      </c>
      <c r="B23" s="1491"/>
      <c r="C23" s="1491"/>
      <c r="D23" s="1491"/>
      <c r="E23" s="1491"/>
      <c r="F23" s="1491"/>
      <c r="G23" s="1491"/>
      <c r="H23" s="1491"/>
      <c r="I23" s="1491"/>
      <c r="J23" s="1491"/>
      <c r="K23" s="1491"/>
      <c r="L23" s="1491"/>
      <c r="M23" s="1491"/>
      <c r="N23" s="1491"/>
      <c r="O23" s="1491"/>
      <c r="P23" s="1491"/>
      <c r="Q23" s="1491"/>
      <c r="R23" s="1491"/>
      <c r="S23" s="1491"/>
      <c r="T23" s="1491"/>
      <c r="U23" s="1491"/>
      <c r="V23" s="1491"/>
      <c r="W23" s="1491"/>
      <c r="X23" s="1491"/>
      <c r="Y23" s="1491"/>
      <c r="Z23" s="1491"/>
      <c r="AA23" s="1491"/>
    </row>
    <row r="24" spans="1:27" x14ac:dyDescent="0.25">
      <c r="A24" s="1492" t="str">
        <f>+RESUMEN!B26</f>
        <v xml:space="preserve">Subtotal Obra Civil </v>
      </c>
      <c r="B24" s="1457">
        <f>+RESUMEN!C26</f>
        <v>567096038</v>
      </c>
      <c r="C24" s="1493"/>
      <c r="D24" s="1493"/>
      <c r="E24" s="1493">
        <v>0.1</v>
      </c>
      <c r="F24" s="1493">
        <v>0.1</v>
      </c>
      <c r="G24" s="1493">
        <v>0.1</v>
      </c>
      <c r="H24" s="1493">
        <v>0.1</v>
      </c>
      <c r="I24" s="1493">
        <v>0.1</v>
      </c>
      <c r="J24" s="1493">
        <v>0.1</v>
      </c>
      <c r="K24" s="1493">
        <v>0.1</v>
      </c>
      <c r="L24" s="1493">
        <v>0.1</v>
      </c>
      <c r="M24" s="1493">
        <v>0.1</v>
      </c>
      <c r="N24" s="1493">
        <v>0.1</v>
      </c>
      <c r="O24" s="1494">
        <f t="shared" si="1"/>
        <v>0</v>
      </c>
      <c r="P24" s="1494">
        <f t="shared" si="0"/>
        <v>0</v>
      </c>
      <c r="Q24" s="1494">
        <f t="shared" si="0"/>
        <v>56709603.800000004</v>
      </c>
      <c r="R24" s="1494">
        <f t="shared" si="0"/>
        <v>56709603.800000004</v>
      </c>
      <c r="S24" s="1494">
        <f t="shared" si="0"/>
        <v>56709603.800000004</v>
      </c>
      <c r="T24" s="1494">
        <f t="shared" si="0"/>
        <v>56709603.800000004</v>
      </c>
      <c r="U24" s="1494">
        <f t="shared" si="0"/>
        <v>56709603.800000004</v>
      </c>
      <c r="V24" s="1494">
        <f t="shared" si="0"/>
        <v>56709603.800000004</v>
      </c>
      <c r="W24" s="1494">
        <f t="shared" si="0"/>
        <v>56709603.800000004</v>
      </c>
      <c r="X24" s="1494">
        <f t="shared" si="0"/>
        <v>56709603.800000004</v>
      </c>
      <c r="Y24" s="1494">
        <f t="shared" si="0"/>
        <v>56709603.800000004</v>
      </c>
      <c r="Z24" s="1494">
        <f t="shared" si="0"/>
        <v>56709603.800000004</v>
      </c>
      <c r="AA24" s="1494">
        <f t="shared" si="2"/>
        <v>567096038</v>
      </c>
    </row>
    <row r="25" spans="1:27" x14ac:dyDescent="0.25">
      <c r="A25" s="1492" t="str">
        <f>+RESUMEN!B27</f>
        <v xml:space="preserve">Subtotal Suministro </v>
      </c>
      <c r="B25" s="1457">
        <f>+RESUMEN!C27</f>
        <v>1911109931</v>
      </c>
      <c r="C25" s="1493"/>
      <c r="D25" s="1493"/>
      <c r="E25" s="1493">
        <v>0.1</v>
      </c>
      <c r="F25" s="1493">
        <v>0.1</v>
      </c>
      <c r="G25" s="1493">
        <v>0.1</v>
      </c>
      <c r="H25" s="1493">
        <v>0.1</v>
      </c>
      <c r="I25" s="1493">
        <v>0.1</v>
      </c>
      <c r="J25" s="1493">
        <v>0.1</v>
      </c>
      <c r="K25" s="1493">
        <v>0.1</v>
      </c>
      <c r="L25" s="1493">
        <v>0.1</v>
      </c>
      <c r="M25" s="1493">
        <v>0.1</v>
      </c>
      <c r="N25" s="1493">
        <v>0.1</v>
      </c>
      <c r="O25" s="1494">
        <f t="shared" si="1"/>
        <v>0</v>
      </c>
      <c r="P25" s="1494">
        <f t="shared" si="1"/>
        <v>0</v>
      </c>
      <c r="Q25" s="1494">
        <f t="shared" si="1"/>
        <v>191110993.10000002</v>
      </c>
      <c r="R25" s="1494">
        <f t="shared" si="1"/>
        <v>191110993.10000002</v>
      </c>
      <c r="S25" s="1494">
        <f t="shared" si="1"/>
        <v>191110993.10000002</v>
      </c>
      <c r="T25" s="1494">
        <f t="shared" si="1"/>
        <v>191110993.10000002</v>
      </c>
      <c r="U25" s="1494">
        <f t="shared" si="1"/>
        <v>191110993.10000002</v>
      </c>
      <c r="V25" s="1494">
        <f t="shared" si="1"/>
        <v>191110993.10000002</v>
      </c>
      <c r="W25" s="1494">
        <f t="shared" si="1"/>
        <v>191110993.10000002</v>
      </c>
      <c r="X25" s="1494">
        <f t="shared" si="1"/>
        <v>191110993.10000002</v>
      </c>
      <c r="Y25" s="1494">
        <f t="shared" si="1"/>
        <v>191110993.10000002</v>
      </c>
      <c r="Z25" s="1494">
        <f t="shared" si="1"/>
        <v>191110993.10000002</v>
      </c>
      <c r="AA25" s="1494">
        <f t="shared" si="2"/>
        <v>1911109931</v>
      </c>
    </row>
    <row r="26" spans="1:27" x14ac:dyDescent="0.25">
      <c r="A26" s="1491" t="str">
        <f>+RESUMEN!B28</f>
        <v>Tanque Cloración</v>
      </c>
      <c r="B26" s="1491"/>
      <c r="C26" s="1491"/>
      <c r="D26" s="1491"/>
      <c r="E26" s="1491"/>
      <c r="F26" s="1491"/>
      <c r="G26" s="1491"/>
      <c r="H26" s="1491"/>
      <c r="I26" s="1491"/>
      <c r="J26" s="1491"/>
      <c r="K26" s="1491"/>
      <c r="L26" s="1491"/>
      <c r="M26" s="1491"/>
      <c r="N26" s="1491"/>
      <c r="O26" s="1491"/>
      <c r="P26" s="1491"/>
      <c r="Q26" s="1491"/>
      <c r="R26" s="1491"/>
      <c r="S26" s="1491"/>
      <c r="T26" s="1491"/>
      <c r="U26" s="1491"/>
      <c r="V26" s="1491"/>
      <c r="W26" s="1491"/>
      <c r="X26" s="1491"/>
      <c r="Y26" s="1491"/>
      <c r="Z26" s="1491"/>
      <c r="AA26" s="1491"/>
    </row>
    <row r="27" spans="1:27" x14ac:dyDescent="0.25">
      <c r="A27" s="1492" t="str">
        <f>+RESUMEN!B29</f>
        <v xml:space="preserve">Subtotal Obra Civil </v>
      </c>
      <c r="B27" s="1457">
        <f>+RESUMEN!C29</f>
        <v>258247246</v>
      </c>
      <c r="C27" s="1493"/>
      <c r="D27" s="1493"/>
      <c r="E27" s="1493"/>
      <c r="F27" s="1493">
        <v>0.5</v>
      </c>
      <c r="G27" s="1493">
        <v>0.5</v>
      </c>
      <c r="H27" s="1493"/>
      <c r="I27" s="1493"/>
      <c r="J27" s="1493"/>
      <c r="K27" s="1493"/>
      <c r="L27" s="1493"/>
      <c r="M27" s="1493"/>
      <c r="N27" s="1493"/>
      <c r="O27" s="1494">
        <f t="shared" si="1"/>
        <v>0</v>
      </c>
      <c r="P27" s="1494">
        <f t="shared" si="1"/>
        <v>0</v>
      </c>
      <c r="Q27" s="1494">
        <f t="shared" si="1"/>
        <v>0</v>
      </c>
      <c r="R27" s="1494">
        <f t="shared" si="1"/>
        <v>129123623</v>
      </c>
      <c r="S27" s="1494">
        <f t="shared" si="1"/>
        <v>129123623</v>
      </c>
      <c r="T27" s="1494">
        <f t="shared" si="1"/>
        <v>0</v>
      </c>
      <c r="U27" s="1494">
        <f t="shared" si="1"/>
        <v>0</v>
      </c>
      <c r="V27" s="1494">
        <f t="shared" si="1"/>
        <v>0</v>
      </c>
      <c r="W27" s="1494">
        <f t="shared" si="1"/>
        <v>0</v>
      </c>
      <c r="X27" s="1494">
        <f t="shared" si="1"/>
        <v>0</v>
      </c>
      <c r="Y27" s="1494">
        <f t="shared" si="1"/>
        <v>0</v>
      </c>
      <c r="Z27" s="1494">
        <f t="shared" si="1"/>
        <v>0</v>
      </c>
      <c r="AA27" s="1494">
        <f t="shared" si="2"/>
        <v>258247246</v>
      </c>
    </row>
    <row r="28" spans="1:27" x14ac:dyDescent="0.25">
      <c r="A28" s="1492" t="str">
        <f>+RESUMEN!B30</f>
        <v xml:space="preserve">Subtotal Suministro </v>
      </c>
      <c r="B28" s="1457">
        <f>+RESUMEN!C30</f>
        <v>33392961</v>
      </c>
      <c r="C28" s="1493"/>
      <c r="D28" s="1493"/>
      <c r="E28" s="1493"/>
      <c r="F28" s="1493">
        <v>0.5</v>
      </c>
      <c r="G28" s="1493">
        <v>0.5</v>
      </c>
      <c r="H28" s="1493"/>
      <c r="I28" s="1493"/>
      <c r="J28" s="1493"/>
      <c r="K28" s="1493"/>
      <c r="L28" s="1493"/>
      <c r="M28" s="1493"/>
      <c r="N28" s="1493"/>
      <c r="O28" s="1494">
        <f t="shared" si="1"/>
        <v>0</v>
      </c>
      <c r="P28" s="1494">
        <f t="shared" si="1"/>
        <v>0</v>
      </c>
      <c r="Q28" s="1494">
        <f t="shared" si="1"/>
        <v>0</v>
      </c>
      <c r="R28" s="1494">
        <f t="shared" si="1"/>
        <v>16696480.5</v>
      </c>
      <c r="S28" s="1494">
        <f t="shared" si="1"/>
        <v>16696480.5</v>
      </c>
      <c r="T28" s="1494">
        <f t="shared" si="1"/>
        <v>0</v>
      </c>
      <c r="U28" s="1494">
        <f t="shared" si="1"/>
        <v>0</v>
      </c>
      <c r="V28" s="1494">
        <f t="shared" si="1"/>
        <v>0</v>
      </c>
      <c r="W28" s="1494">
        <f t="shared" si="1"/>
        <v>0</v>
      </c>
      <c r="X28" s="1494">
        <f t="shared" si="1"/>
        <v>0</v>
      </c>
      <c r="Y28" s="1494">
        <f t="shared" si="1"/>
        <v>0</v>
      </c>
      <c r="Z28" s="1494">
        <f t="shared" si="1"/>
        <v>0</v>
      </c>
      <c r="AA28" s="1494">
        <f t="shared" si="2"/>
        <v>33392961</v>
      </c>
    </row>
    <row r="29" spans="1:27" x14ac:dyDescent="0.25">
      <c r="A29" s="1491" t="str">
        <f>+RESUMEN!B31</f>
        <v>Caseta Cloración</v>
      </c>
      <c r="B29" s="1491"/>
      <c r="C29" s="1491"/>
      <c r="D29" s="1491"/>
      <c r="E29" s="1491"/>
      <c r="F29" s="1491"/>
      <c r="G29" s="1491"/>
      <c r="H29" s="1491"/>
      <c r="I29" s="1491"/>
      <c r="J29" s="1491"/>
      <c r="K29" s="1491"/>
      <c r="L29" s="1491"/>
      <c r="M29" s="1491"/>
      <c r="N29" s="1491"/>
      <c r="O29" s="1491"/>
      <c r="P29" s="1491"/>
      <c r="Q29" s="1491"/>
      <c r="R29" s="1491"/>
      <c r="S29" s="1491"/>
      <c r="T29" s="1491"/>
      <c r="U29" s="1491"/>
      <c r="V29" s="1491"/>
      <c r="W29" s="1491"/>
      <c r="X29" s="1491"/>
      <c r="Y29" s="1491"/>
      <c r="Z29" s="1491"/>
      <c r="AA29" s="1491"/>
    </row>
    <row r="30" spans="1:27" x14ac:dyDescent="0.25">
      <c r="A30" s="1492" t="str">
        <f>+RESUMEN!B32</f>
        <v xml:space="preserve">Subtotal Obra Civil </v>
      </c>
      <c r="B30" s="1457">
        <f>+RESUMEN!C32</f>
        <v>498588075</v>
      </c>
      <c r="C30" s="1493"/>
      <c r="D30" s="1493"/>
      <c r="E30" s="1493"/>
      <c r="F30" s="1493">
        <v>0.5</v>
      </c>
      <c r="G30" s="1493">
        <v>0.5</v>
      </c>
      <c r="H30" s="1493"/>
      <c r="I30" s="1493"/>
      <c r="J30" s="1493"/>
      <c r="K30" s="1493"/>
      <c r="L30" s="1493"/>
      <c r="M30" s="1493"/>
      <c r="N30" s="1493"/>
      <c r="O30" s="1494">
        <f t="shared" si="1"/>
        <v>0</v>
      </c>
      <c r="P30" s="1494">
        <f t="shared" si="1"/>
        <v>0</v>
      </c>
      <c r="Q30" s="1494">
        <f t="shared" si="1"/>
        <v>0</v>
      </c>
      <c r="R30" s="1494">
        <f t="shared" si="1"/>
        <v>249294037.5</v>
      </c>
      <c r="S30" s="1494">
        <f t="shared" si="1"/>
        <v>249294037.5</v>
      </c>
      <c r="T30" s="1494">
        <f t="shared" si="1"/>
        <v>0</v>
      </c>
      <c r="U30" s="1494">
        <f t="shared" si="1"/>
        <v>0</v>
      </c>
      <c r="V30" s="1494">
        <f t="shared" si="1"/>
        <v>0</v>
      </c>
      <c r="W30" s="1494">
        <f t="shared" si="1"/>
        <v>0</v>
      </c>
      <c r="X30" s="1494">
        <f t="shared" si="1"/>
        <v>0</v>
      </c>
      <c r="Y30" s="1494">
        <f t="shared" si="1"/>
        <v>0</v>
      </c>
      <c r="Z30" s="1494">
        <f t="shared" si="1"/>
        <v>0</v>
      </c>
      <c r="AA30" s="1494">
        <f t="shared" si="2"/>
        <v>498588075</v>
      </c>
    </row>
    <row r="31" spans="1:27" x14ac:dyDescent="0.25">
      <c r="A31" s="1492" t="e">
        <f>+RESUMEN!#REF!</f>
        <v>#REF!</v>
      </c>
      <c r="B31" s="1457" t="e">
        <f>+RESUMEN!#REF!</f>
        <v>#REF!</v>
      </c>
      <c r="C31" s="1493"/>
      <c r="D31" s="1493"/>
      <c r="E31" s="1493"/>
      <c r="F31" s="1493">
        <v>0.5</v>
      </c>
      <c r="G31" s="1493">
        <v>0.5</v>
      </c>
      <c r="H31" s="1493"/>
      <c r="I31" s="1493"/>
      <c r="J31" s="1493"/>
      <c r="K31" s="1493"/>
      <c r="L31" s="1493"/>
      <c r="M31" s="1493"/>
      <c r="N31" s="1493"/>
      <c r="O31" s="1494" t="e">
        <f t="shared" si="1"/>
        <v>#REF!</v>
      </c>
      <c r="P31" s="1494" t="e">
        <f t="shared" si="1"/>
        <v>#REF!</v>
      </c>
      <c r="Q31" s="1494" t="e">
        <f t="shared" si="1"/>
        <v>#REF!</v>
      </c>
      <c r="R31" s="1494" t="e">
        <f t="shared" si="1"/>
        <v>#REF!</v>
      </c>
      <c r="S31" s="1494" t="e">
        <f t="shared" si="1"/>
        <v>#REF!</v>
      </c>
      <c r="T31" s="1494" t="e">
        <f t="shared" si="1"/>
        <v>#REF!</v>
      </c>
      <c r="U31" s="1494" t="e">
        <f t="shared" si="1"/>
        <v>#REF!</v>
      </c>
      <c r="V31" s="1494" t="e">
        <f t="shared" si="1"/>
        <v>#REF!</v>
      </c>
      <c r="W31" s="1494" t="e">
        <f t="shared" si="1"/>
        <v>#REF!</v>
      </c>
      <c r="X31" s="1494" t="e">
        <f t="shared" si="1"/>
        <v>#REF!</v>
      </c>
      <c r="Y31" s="1494" t="e">
        <f t="shared" si="1"/>
        <v>#REF!</v>
      </c>
      <c r="Z31" s="1494" t="e">
        <f t="shared" si="1"/>
        <v>#REF!</v>
      </c>
      <c r="AA31" s="1494" t="e">
        <f t="shared" si="2"/>
        <v>#REF!</v>
      </c>
    </row>
    <row r="32" spans="1:27" s="1637" customFormat="1" x14ac:dyDescent="0.25">
      <c r="A32" s="1491" t="str">
        <f>+RESUMEN!B33</f>
        <v>Estación de Bombeo Casablanca Componente Mecanico</v>
      </c>
      <c r="B32" s="1491"/>
      <c r="C32" s="1491"/>
      <c r="D32" s="1491"/>
      <c r="E32" s="1491"/>
      <c r="F32" s="1491"/>
      <c r="G32" s="1491"/>
      <c r="H32" s="1491"/>
      <c r="I32" s="1491"/>
      <c r="J32" s="1491"/>
      <c r="K32" s="1491"/>
      <c r="L32" s="1491"/>
      <c r="M32" s="1491"/>
      <c r="N32" s="1491"/>
      <c r="O32" s="1491"/>
      <c r="P32" s="1491"/>
      <c r="Q32" s="1491"/>
      <c r="R32" s="1491"/>
      <c r="S32" s="1491"/>
      <c r="T32" s="1491"/>
      <c r="U32" s="1491"/>
      <c r="V32" s="1491"/>
      <c r="W32" s="1491"/>
      <c r="X32" s="1491"/>
      <c r="Y32" s="1491"/>
      <c r="Z32" s="1491"/>
      <c r="AA32" s="1491"/>
    </row>
    <row r="33" spans="1:27" s="1637" customFormat="1" x14ac:dyDescent="0.25">
      <c r="A33" s="1492" t="str">
        <f>+RESUMEN!B34</f>
        <v xml:space="preserve">Subtotal Obra Civil </v>
      </c>
      <c r="B33" s="1457">
        <f>+RESUMEN!C34</f>
        <v>107481659</v>
      </c>
      <c r="C33" s="1493"/>
      <c r="D33" s="1493">
        <v>0.2</v>
      </c>
      <c r="E33" s="1493">
        <v>0.2</v>
      </c>
      <c r="F33" s="1493">
        <v>0.2</v>
      </c>
      <c r="G33" s="1493">
        <v>0.1</v>
      </c>
      <c r="H33" s="1493">
        <v>0.1</v>
      </c>
      <c r="I33" s="1493">
        <v>0.1</v>
      </c>
      <c r="J33" s="1493">
        <v>0.1</v>
      </c>
      <c r="K33" s="1493"/>
      <c r="L33" s="1493"/>
      <c r="M33" s="1493"/>
      <c r="N33" s="1493"/>
      <c r="O33" s="1494">
        <f t="shared" si="1"/>
        <v>0</v>
      </c>
      <c r="P33" s="1494">
        <f t="shared" ref="P33:P34" si="3">+D33*$B33</f>
        <v>21496331.800000001</v>
      </c>
      <c r="Q33" s="1494">
        <f t="shared" ref="Q33:Q34" si="4">+E33*$B33</f>
        <v>21496331.800000001</v>
      </c>
      <c r="R33" s="1494">
        <f t="shared" ref="R33:R34" si="5">+F33*$B33</f>
        <v>21496331.800000001</v>
      </c>
      <c r="S33" s="1494">
        <f t="shared" ref="S33:S34" si="6">+G33*$B33</f>
        <v>10748165.9</v>
      </c>
      <c r="T33" s="1494">
        <f t="shared" ref="T33:T34" si="7">+H33*$B33</f>
        <v>10748165.9</v>
      </c>
      <c r="U33" s="1494">
        <f t="shared" ref="U33:U34" si="8">+I33*$B33</f>
        <v>10748165.9</v>
      </c>
      <c r="V33" s="1494">
        <f t="shared" ref="V33:V34" si="9">+J33*$B33</f>
        <v>10748165.9</v>
      </c>
      <c r="W33" s="1494">
        <f t="shared" ref="W33:W34" si="10">+K33*$B33</f>
        <v>0</v>
      </c>
      <c r="X33" s="1494">
        <f t="shared" ref="X33:X34" si="11">+L33*$B33</f>
        <v>0</v>
      </c>
      <c r="Y33" s="1494">
        <f t="shared" ref="Y33:Y34" si="12">+M33*$B33</f>
        <v>0</v>
      </c>
      <c r="Z33" s="1494">
        <f t="shared" ref="Z33:Z34" si="13">+N33*$B33</f>
        <v>0</v>
      </c>
      <c r="AA33" s="1494">
        <f t="shared" si="2"/>
        <v>107481659.00000003</v>
      </c>
    </row>
    <row r="34" spans="1:27" s="1637" customFormat="1" x14ac:dyDescent="0.25">
      <c r="A34" s="1492" t="str">
        <f>+RESUMEN!B35</f>
        <v xml:space="preserve">Subtotal Suministro </v>
      </c>
      <c r="B34" s="1457">
        <f>+RESUMEN!C35</f>
        <v>324709660</v>
      </c>
      <c r="C34" s="1493"/>
      <c r="D34" s="1493">
        <v>0.2</v>
      </c>
      <c r="E34" s="1493">
        <v>0.2</v>
      </c>
      <c r="F34" s="1493">
        <v>0.2</v>
      </c>
      <c r="G34" s="1493">
        <v>0.1</v>
      </c>
      <c r="H34" s="1493">
        <v>0.1</v>
      </c>
      <c r="I34" s="1493">
        <v>0.1</v>
      </c>
      <c r="J34" s="1493">
        <v>0.1</v>
      </c>
      <c r="K34" s="1493"/>
      <c r="L34" s="1493"/>
      <c r="M34" s="1493"/>
      <c r="N34" s="1493"/>
      <c r="O34" s="1494">
        <f t="shared" si="1"/>
        <v>0</v>
      </c>
      <c r="P34" s="1494">
        <f t="shared" si="3"/>
        <v>64941932</v>
      </c>
      <c r="Q34" s="1494">
        <f t="shared" si="4"/>
        <v>64941932</v>
      </c>
      <c r="R34" s="1494">
        <f t="shared" si="5"/>
        <v>64941932</v>
      </c>
      <c r="S34" s="1494">
        <f t="shared" si="6"/>
        <v>32470966</v>
      </c>
      <c r="T34" s="1494">
        <f t="shared" si="7"/>
        <v>32470966</v>
      </c>
      <c r="U34" s="1494">
        <f t="shared" si="8"/>
        <v>32470966</v>
      </c>
      <c r="V34" s="1494">
        <f t="shared" si="9"/>
        <v>32470966</v>
      </c>
      <c r="W34" s="1494">
        <f t="shared" si="10"/>
        <v>0</v>
      </c>
      <c r="X34" s="1494">
        <f t="shared" si="11"/>
        <v>0</v>
      </c>
      <c r="Y34" s="1494">
        <f t="shared" si="12"/>
        <v>0</v>
      </c>
      <c r="Z34" s="1494">
        <f t="shared" si="13"/>
        <v>0</v>
      </c>
      <c r="AA34" s="1494">
        <f t="shared" si="2"/>
        <v>324709660</v>
      </c>
    </row>
    <row r="35" spans="1:27" x14ac:dyDescent="0.25">
      <c r="A35" s="1491" t="str">
        <f>+RESUMEN!B36</f>
        <v>Estación de Bombeo Casablanca Componente Electrico</v>
      </c>
      <c r="B35" s="1491"/>
      <c r="C35" s="1491"/>
      <c r="D35" s="1491"/>
      <c r="E35" s="1491"/>
      <c r="F35" s="1491"/>
      <c r="G35" s="1491"/>
      <c r="H35" s="1491"/>
      <c r="I35" s="1491"/>
      <c r="J35" s="1491"/>
      <c r="K35" s="1491"/>
      <c r="L35" s="1491"/>
      <c r="M35" s="1491"/>
      <c r="N35" s="1491"/>
      <c r="O35" s="1491"/>
      <c r="P35" s="1491"/>
      <c r="Q35" s="1491"/>
      <c r="R35" s="1491"/>
      <c r="S35" s="1491"/>
      <c r="T35" s="1491"/>
      <c r="U35" s="1491"/>
      <c r="V35" s="1491"/>
      <c r="W35" s="1491"/>
      <c r="X35" s="1491"/>
      <c r="Y35" s="1491"/>
      <c r="Z35" s="1491"/>
      <c r="AA35" s="1491"/>
    </row>
    <row r="36" spans="1:27" x14ac:dyDescent="0.25">
      <c r="A36" s="1492" t="str">
        <f>+RESUMEN!B37</f>
        <v>Subtotal  Estación de Bombeo</v>
      </c>
      <c r="B36" s="1457">
        <f>+RESUMEN!C37</f>
        <v>1721205008</v>
      </c>
      <c r="C36" s="1493"/>
      <c r="D36" s="1493">
        <v>0.2</v>
      </c>
      <c r="E36" s="1493">
        <v>0.2</v>
      </c>
      <c r="F36" s="1493">
        <v>0.2</v>
      </c>
      <c r="G36" s="1493">
        <v>0.1</v>
      </c>
      <c r="H36" s="1493">
        <v>0.1</v>
      </c>
      <c r="I36" s="1493">
        <v>0.1</v>
      </c>
      <c r="J36" s="1493">
        <v>0.1</v>
      </c>
      <c r="K36" s="1493"/>
      <c r="L36" s="1493"/>
      <c r="M36" s="1493"/>
      <c r="N36" s="1493"/>
      <c r="O36" s="1494">
        <f t="shared" si="1"/>
        <v>0</v>
      </c>
      <c r="P36" s="1494">
        <f t="shared" si="1"/>
        <v>344241001.60000002</v>
      </c>
      <c r="Q36" s="1494">
        <f t="shared" si="1"/>
        <v>344241001.60000002</v>
      </c>
      <c r="R36" s="1494">
        <f t="shared" si="1"/>
        <v>344241001.60000002</v>
      </c>
      <c r="S36" s="1494">
        <f t="shared" si="1"/>
        <v>172120500.80000001</v>
      </c>
      <c r="T36" s="1494">
        <f t="shared" si="1"/>
        <v>172120500.80000001</v>
      </c>
      <c r="U36" s="1494">
        <f t="shared" si="1"/>
        <v>172120500.80000001</v>
      </c>
      <c r="V36" s="1494">
        <f t="shared" si="1"/>
        <v>172120500.80000001</v>
      </c>
      <c r="W36" s="1494">
        <f t="shared" si="1"/>
        <v>0</v>
      </c>
      <c r="X36" s="1494">
        <f t="shared" si="1"/>
        <v>0</v>
      </c>
      <c r="Y36" s="1494">
        <f t="shared" si="1"/>
        <v>0</v>
      </c>
      <c r="Z36" s="1494">
        <f t="shared" si="1"/>
        <v>0</v>
      </c>
      <c r="AA36" s="1494">
        <f t="shared" si="2"/>
        <v>1721205008</v>
      </c>
    </row>
    <row r="37" spans="1:27" x14ac:dyDescent="0.25">
      <c r="A37" s="1491" t="str">
        <f>+RESUMEN!B38</f>
        <v>Caja de control</v>
      </c>
      <c r="B37" s="1491"/>
      <c r="C37" s="1491"/>
      <c r="D37" s="1491"/>
      <c r="E37" s="1491"/>
      <c r="F37" s="1491"/>
      <c r="G37" s="1491"/>
      <c r="H37" s="1491"/>
      <c r="I37" s="1491"/>
      <c r="J37" s="1491"/>
      <c r="K37" s="1491"/>
      <c r="L37" s="1491"/>
      <c r="M37" s="1491"/>
      <c r="N37" s="1491"/>
      <c r="O37" s="1491"/>
      <c r="P37" s="1491"/>
      <c r="Q37" s="1491"/>
      <c r="R37" s="1491"/>
      <c r="S37" s="1491"/>
      <c r="T37" s="1491"/>
      <c r="U37" s="1491"/>
      <c r="V37" s="1491"/>
      <c r="W37" s="1491"/>
      <c r="X37" s="1491"/>
      <c r="Y37" s="1491"/>
      <c r="Z37" s="1491"/>
      <c r="AA37" s="1491"/>
    </row>
    <row r="38" spans="1:27" x14ac:dyDescent="0.25">
      <c r="A38" s="1492" t="str">
        <f>+RESUMEN!B39</f>
        <v xml:space="preserve">Subtotal Obra Civil </v>
      </c>
      <c r="B38" s="1457">
        <f>+RESUMEN!C39</f>
        <v>333579119</v>
      </c>
      <c r="C38" s="1493">
        <v>0.5</v>
      </c>
      <c r="D38" s="1493">
        <v>0.5</v>
      </c>
      <c r="E38" s="1493"/>
      <c r="F38" s="1493"/>
      <c r="G38" s="1493"/>
      <c r="H38" s="1493"/>
      <c r="I38" s="1493"/>
      <c r="J38" s="1493"/>
      <c r="K38" s="1493"/>
      <c r="L38" s="1493"/>
      <c r="M38" s="1493"/>
      <c r="N38" s="1493"/>
      <c r="O38" s="1494">
        <f t="shared" si="1"/>
        <v>166789559.5</v>
      </c>
      <c r="P38" s="1494">
        <f t="shared" si="1"/>
        <v>166789559.5</v>
      </c>
      <c r="Q38" s="1494">
        <f t="shared" si="1"/>
        <v>0</v>
      </c>
      <c r="R38" s="1494">
        <f t="shared" si="1"/>
        <v>0</v>
      </c>
      <c r="S38" s="1494">
        <f t="shared" si="1"/>
        <v>0</v>
      </c>
      <c r="T38" s="1494">
        <f t="shared" si="1"/>
        <v>0</v>
      </c>
      <c r="U38" s="1494">
        <f t="shared" si="1"/>
        <v>0</v>
      </c>
      <c r="V38" s="1494">
        <f t="shared" si="1"/>
        <v>0</v>
      </c>
      <c r="W38" s="1494">
        <f t="shared" si="1"/>
        <v>0</v>
      </c>
      <c r="X38" s="1494">
        <f t="shared" si="1"/>
        <v>0</v>
      </c>
      <c r="Y38" s="1494">
        <f t="shared" si="1"/>
        <v>0</v>
      </c>
      <c r="Z38" s="1494">
        <f t="shared" si="1"/>
        <v>0</v>
      </c>
      <c r="AA38" s="1494">
        <f t="shared" si="2"/>
        <v>333579119</v>
      </c>
    </row>
    <row r="39" spans="1:27" x14ac:dyDescent="0.25">
      <c r="A39" s="1492" t="str">
        <f>+RESUMEN!B40</f>
        <v xml:space="preserve">Subtotal Suministro </v>
      </c>
      <c r="B39" s="1457">
        <f>+RESUMEN!C40</f>
        <v>403476923</v>
      </c>
      <c r="C39" s="1493">
        <v>0.5</v>
      </c>
      <c r="D39" s="1493">
        <v>0.5</v>
      </c>
      <c r="E39" s="1493"/>
      <c r="F39" s="1493"/>
      <c r="G39" s="1493"/>
      <c r="H39" s="1493"/>
      <c r="I39" s="1493"/>
      <c r="J39" s="1493"/>
      <c r="K39" s="1493"/>
      <c r="L39" s="1493"/>
      <c r="M39" s="1493"/>
      <c r="N39" s="1493"/>
      <c r="O39" s="1494">
        <f t="shared" si="1"/>
        <v>201738461.5</v>
      </c>
      <c r="P39" s="1494">
        <f t="shared" si="1"/>
        <v>201738461.5</v>
      </c>
      <c r="Q39" s="1494">
        <f t="shared" si="1"/>
        <v>0</v>
      </c>
      <c r="R39" s="1494">
        <f t="shared" si="1"/>
        <v>0</v>
      </c>
      <c r="S39" s="1494">
        <f t="shared" si="1"/>
        <v>0</v>
      </c>
      <c r="T39" s="1494">
        <f t="shared" si="1"/>
        <v>0</v>
      </c>
      <c r="U39" s="1494">
        <f t="shared" si="1"/>
        <v>0</v>
      </c>
      <c r="V39" s="1494">
        <f t="shared" si="1"/>
        <v>0</v>
      </c>
      <c r="W39" s="1494">
        <f t="shared" si="1"/>
        <v>0</v>
      </c>
      <c r="X39" s="1494">
        <f t="shared" si="1"/>
        <v>0</v>
      </c>
      <c r="Y39" s="1494">
        <f t="shared" si="1"/>
        <v>0</v>
      </c>
      <c r="Z39" s="1494">
        <f t="shared" si="1"/>
        <v>0</v>
      </c>
      <c r="AA39" s="1494">
        <f t="shared" si="2"/>
        <v>403476923</v>
      </c>
    </row>
    <row r="40" spans="1:27" s="1522" customFormat="1" x14ac:dyDescent="0.25">
      <c r="A40" s="1491" t="str">
        <f>+RESUMEN!B41</f>
        <v>Camara de Quiebre de Presion</v>
      </c>
      <c r="B40" s="1491"/>
      <c r="C40" s="1491"/>
      <c r="D40" s="1491"/>
      <c r="E40" s="1491"/>
      <c r="F40" s="1491"/>
      <c r="G40" s="1491"/>
      <c r="H40" s="1491"/>
      <c r="I40" s="1491"/>
      <c r="J40" s="1491"/>
      <c r="K40" s="1491"/>
      <c r="L40" s="1491"/>
      <c r="M40" s="1491"/>
      <c r="N40" s="1491"/>
      <c r="O40" s="1491"/>
      <c r="P40" s="1491"/>
      <c r="Q40" s="1491"/>
      <c r="R40" s="1491"/>
      <c r="S40" s="1491"/>
      <c r="T40" s="1491"/>
      <c r="U40" s="1491"/>
      <c r="V40" s="1491"/>
      <c r="W40" s="1491"/>
      <c r="X40" s="1491"/>
      <c r="Y40" s="1491"/>
      <c r="Z40" s="1491"/>
      <c r="AA40" s="1491"/>
    </row>
    <row r="41" spans="1:27" s="1522" customFormat="1" x14ac:dyDescent="0.25">
      <c r="A41" s="1492" t="str">
        <f>+RESUMEN!B42</f>
        <v xml:space="preserve">Subtotal Obra Civil </v>
      </c>
      <c r="B41" s="1457">
        <f>+RESUMEN!C42</f>
        <v>388102549</v>
      </c>
      <c r="C41" s="1493"/>
      <c r="D41" s="1493"/>
      <c r="E41" s="1493"/>
      <c r="F41" s="1493"/>
      <c r="G41" s="1493"/>
      <c r="H41" s="1493"/>
      <c r="I41" s="1493"/>
      <c r="J41" s="1493"/>
      <c r="K41" s="1493">
        <v>0.25</v>
      </c>
      <c r="L41" s="1493">
        <v>0.25</v>
      </c>
      <c r="M41" s="1493">
        <v>0.25</v>
      </c>
      <c r="N41" s="1493">
        <v>0.25</v>
      </c>
      <c r="O41" s="1494">
        <f t="shared" ref="O41:O42" si="14">+C41*$B41</f>
        <v>0</v>
      </c>
      <c r="P41" s="1494">
        <f t="shared" ref="P41:P42" si="15">+D41*$B41</f>
        <v>0</v>
      </c>
      <c r="Q41" s="1494">
        <f t="shared" ref="Q41:Q42" si="16">+E41*$B41</f>
        <v>0</v>
      </c>
      <c r="R41" s="1494">
        <f t="shared" ref="R41:R42" si="17">+F41*$B41</f>
        <v>0</v>
      </c>
      <c r="S41" s="1494">
        <f t="shared" ref="S41:S42" si="18">+G41*$B41</f>
        <v>0</v>
      </c>
      <c r="T41" s="1494">
        <f t="shared" ref="T41:T42" si="19">+H41*$B41</f>
        <v>0</v>
      </c>
      <c r="U41" s="1494">
        <f t="shared" ref="U41:U42" si="20">+I41*$B41</f>
        <v>0</v>
      </c>
      <c r="V41" s="1494">
        <f t="shared" ref="V41:V42" si="21">+J41*$B41</f>
        <v>0</v>
      </c>
      <c r="W41" s="1494">
        <f t="shared" ref="W41:W42" si="22">+K41*$B41</f>
        <v>97025637.25</v>
      </c>
      <c r="X41" s="1494">
        <f t="shared" ref="X41:X42" si="23">+L41*$B41</f>
        <v>97025637.25</v>
      </c>
      <c r="Y41" s="1494">
        <f t="shared" ref="Y41:Y42" si="24">+M41*$B41</f>
        <v>97025637.25</v>
      </c>
      <c r="Z41" s="1494">
        <f t="shared" ref="Z41:Z42" si="25">+N41*$B41</f>
        <v>97025637.25</v>
      </c>
      <c r="AA41" s="1494">
        <f t="shared" ref="AA41:AA42" si="26">SUM(O41:Z41)</f>
        <v>388102549</v>
      </c>
    </row>
    <row r="42" spans="1:27" s="1522" customFormat="1" x14ac:dyDescent="0.25">
      <c r="A42" s="1492" t="str">
        <f>+RESUMEN!B43</f>
        <v xml:space="preserve">Subtotal Suministro </v>
      </c>
      <c r="B42" s="1457">
        <f>+RESUMEN!C43</f>
        <v>1366089271</v>
      </c>
      <c r="C42" s="1493"/>
      <c r="D42" s="1493"/>
      <c r="E42" s="1493"/>
      <c r="F42" s="1493"/>
      <c r="G42" s="1493"/>
      <c r="H42" s="1493"/>
      <c r="I42" s="1493"/>
      <c r="J42" s="1493"/>
      <c r="K42" s="1493">
        <v>0.25</v>
      </c>
      <c r="L42" s="1493">
        <v>0.25</v>
      </c>
      <c r="M42" s="1493">
        <v>0.25</v>
      </c>
      <c r="N42" s="1493">
        <v>0.25</v>
      </c>
      <c r="O42" s="1494">
        <f t="shared" si="14"/>
        <v>0</v>
      </c>
      <c r="P42" s="1494">
        <f t="shared" si="15"/>
        <v>0</v>
      </c>
      <c r="Q42" s="1494">
        <f t="shared" si="16"/>
        <v>0</v>
      </c>
      <c r="R42" s="1494">
        <f t="shared" si="17"/>
        <v>0</v>
      </c>
      <c r="S42" s="1494">
        <f t="shared" si="18"/>
        <v>0</v>
      </c>
      <c r="T42" s="1494">
        <f t="shared" si="19"/>
        <v>0</v>
      </c>
      <c r="U42" s="1494">
        <f t="shared" si="20"/>
        <v>0</v>
      </c>
      <c r="V42" s="1494">
        <f t="shared" si="21"/>
        <v>0</v>
      </c>
      <c r="W42" s="1494">
        <f t="shared" si="22"/>
        <v>341522317.75</v>
      </c>
      <c r="X42" s="1494">
        <f t="shared" si="23"/>
        <v>341522317.75</v>
      </c>
      <c r="Y42" s="1494">
        <f t="shared" si="24"/>
        <v>341522317.75</v>
      </c>
      <c r="Z42" s="1494">
        <f t="shared" si="25"/>
        <v>341522317.75</v>
      </c>
      <c r="AA42" s="1494">
        <f t="shared" si="26"/>
        <v>1366089271</v>
      </c>
    </row>
    <row r="43" spans="1:27" x14ac:dyDescent="0.25">
      <c r="A43" s="1491" t="str">
        <f>+RESUMEN!B50</f>
        <v>PLAN DE GESTIÓN SOCIAL</v>
      </c>
      <c r="B43" s="1491"/>
      <c r="C43" s="1491"/>
      <c r="D43" s="1491"/>
      <c r="E43" s="1491"/>
      <c r="F43" s="1491"/>
      <c r="G43" s="1491"/>
      <c r="H43" s="1491"/>
      <c r="I43" s="1491"/>
      <c r="J43" s="1491"/>
      <c r="K43" s="1491"/>
      <c r="L43" s="1491"/>
      <c r="M43" s="1491"/>
      <c r="N43" s="1491"/>
      <c r="O43" s="1491"/>
      <c r="P43" s="1491"/>
      <c r="Q43" s="1491"/>
      <c r="R43" s="1491"/>
      <c r="S43" s="1491"/>
      <c r="T43" s="1491"/>
      <c r="U43" s="1491"/>
      <c r="V43" s="1491"/>
      <c r="W43" s="1491"/>
      <c r="X43" s="1491"/>
      <c r="Y43" s="1491"/>
      <c r="Z43" s="1491"/>
      <c r="AA43" s="1491"/>
    </row>
    <row r="44" spans="1:27" x14ac:dyDescent="0.25">
      <c r="A44" s="1492" t="str">
        <f>+RESUMEN!B51</f>
        <v xml:space="preserve">Actividades del Plan de gestión social </v>
      </c>
      <c r="B44" s="1457">
        <f>+RESUMEN!C51</f>
        <v>381154400</v>
      </c>
      <c r="C44" s="1493">
        <v>0.1</v>
      </c>
      <c r="D44" s="1493">
        <v>0.1</v>
      </c>
      <c r="E44" s="1493">
        <v>0.1</v>
      </c>
      <c r="F44" s="1493">
        <v>0.1</v>
      </c>
      <c r="G44" s="1493">
        <v>0.1</v>
      </c>
      <c r="H44" s="1493">
        <v>0.08</v>
      </c>
      <c r="I44" s="1493">
        <v>7.0000000000000007E-2</v>
      </c>
      <c r="J44" s="1493">
        <v>7.0000000000000007E-2</v>
      </c>
      <c r="K44" s="1493">
        <v>7.0000000000000007E-2</v>
      </c>
      <c r="L44" s="1493">
        <v>7.0000000000000007E-2</v>
      </c>
      <c r="M44" s="1493">
        <v>7.0000000000000007E-2</v>
      </c>
      <c r="N44" s="1493">
        <v>7.0000000000000007E-2</v>
      </c>
      <c r="O44" s="1494">
        <f t="shared" si="1"/>
        <v>38115440</v>
      </c>
      <c r="P44" s="1494">
        <f t="shared" si="1"/>
        <v>38115440</v>
      </c>
      <c r="Q44" s="1494">
        <f t="shared" si="1"/>
        <v>38115440</v>
      </c>
      <c r="R44" s="1494">
        <f t="shared" si="1"/>
        <v>38115440</v>
      </c>
      <c r="S44" s="1494">
        <f t="shared" si="1"/>
        <v>38115440</v>
      </c>
      <c r="T44" s="1494">
        <f t="shared" si="1"/>
        <v>30492352</v>
      </c>
      <c r="U44" s="1494">
        <f t="shared" si="1"/>
        <v>26680808.000000004</v>
      </c>
      <c r="V44" s="1494">
        <f t="shared" si="1"/>
        <v>26680808.000000004</v>
      </c>
      <c r="W44" s="1494">
        <f t="shared" si="1"/>
        <v>26680808.000000004</v>
      </c>
      <c r="X44" s="1494">
        <f t="shared" si="1"/>
        <v>26680808.000000004</v>
      </c>
      <c r="Y44" s="1494">
        <f t="shared" si="1"/>
        <v>26680808.000000004</v>
      </c>
      <c r="Z44" s="1494">
        <f t="shared" si="1"/>
        <v>26680808.000000004</v>
      </c>
      <c r="AA44" s="1494">
        <f t="shared" si="2"/>
        <v>381154400</v>
      </c>
    </row>
    <row r="45" spans="1:27" x14ac:dyDescent="0.25">
      <c r="A45" s="1492"/>
      <c r="B45" s="1065"/>
      <c r="C45" s="1493"/>
      <c r="D45" s="1493"/>
      <c r="E45" s="1493"/>
      <c r="F45" s="1493"/>
      <c r="G45" s="1493"/>
      <c r="H45" s="1493"/>
      <c r="I45" s="1493"/>
      <c r="J45" s="1493"/>
      <c r="K45" s="1493"/>
      <c r="L45" s="1493"/>
      <c r="M45" s="1493"/>
      <c r="N45" s="1493"/>
      <c r="O45" s="635"/>
      <c r="P45" s="635"/>
      <c r="Q45" s="635"/>
      <c r="R45" s="635"/>
      <c r="S45" s="635"/>
      <c r="T45" s="635"/>
      <c r="U45" s="635"/>
      <c r="V45" s="635"/>
      <c r="W45" s="635"/>
      <c r="X45" s="635"/>
      <c r="Y45" s="635"/>
      <c r="Z45" s="635"/>
      <c r="AA45" s="635"/>
    </row>
    <row r="46" spans="1:27" x14ac:dyDescent="0.25">
      <c r="A46" s="1456" t="s">
        <v>8547</v>
      </c>
      <c r="B46" s="1494">
        <f>+B9+B12+B15+B18+B21+B24+B27+B30+B36+B38+B44+B41+B33</f>
        <v>10134481725</v>
      </c>
      <c r="C46" s="1495"/>
      <c r="D46" s="1495"/>
      <c r="E46" s="1495"/>
      <c r="F46" s="1495"/>
      <c r="G46" s="1495"/>
      <c r="H46" s="1495"/>
      <c r="I46" s="1495"/>
      <c r="J46" s="1495"/>
      <c r="K46" s="1495"/>
      <c r="L46" s="1495"/>
      <c r="M46" s="1495"/>
      <c r="N46" s="1495"/>
      <c r="O46" s="1494">
        <f t="shared" ref="O46:AA46" si="27">+O9+O12+O15+O18+O21+O24+O27+O30+O36+O38+O44+O41+O33</f>
        <v>509759734.80000001</v>
      </c>
      <c r="P46" s="1494">
        <f t="shared" si="27"/>
        <v>930533844.29999995</v>
      </c>
      <c r="Q46" s="1494">
        <f t="shared" si="27"/>
        <v>1054434730.9</v>
      </c>
      <c r="R46" s="1494">
        <f t="shared" si="27"/>
        <v>1438441384.8999999</v>
      </c>
      <c r="S46" s="1494">
        <f t="shared" si="27"/>
        <v>1255572718.2</v>
      </c>
      <c r="T46" s="1494">
        <f t="shared" si="27"/>
        <v>840318345.19999993</v>
      </c>
      <c r="U46" s="1494">
        <f t="shared" si="27"/>
        <v>836506801.19999993</v>
      </c>
      <c r="V46" s="1494">
        <f t="shared" si="27"/>
        <v>836506801.19999993</v>
      </c>
      <c r="W46" s="1494">
        <f t="shared" si="27"/>
        <v>750663771.75</v>
      </c>
      <c r="X46" s="1494">
        <f t="shared" si="27"/>
        <v>750663771.75</v>
      </c>
      <c r="Y46" s="1494">
        <f t="shared" si="27"/>
        <v>493058298.45000005</v>
      </c>
      <c r="Z46" s="1494">
        <f t="shared" si="27"/>
        <v>438021522.35000002</v>
      </c>
      <c r="AA46" s="1494">
        <f t="shared" si="27"/>
        <v>10134481725</v>
      </c>
    </row>
    <row r="47" spans="1:27" x14ac:dyDescent="0.25">
      <c r="A47" s="1456" t="s">
        <v>8548</v>
      </c>
      <c r="B47" s="1494" t="e">
        <f>+B10+B13+B16+B19+B22+B25+B28+B31+B39+B42+B34</f>
        <v>#REF!</v>
      </c>
      <c r="C47" s="1495"/>
      <c r="D47" s="1495"/>
      <c r="E47" s="1495"/>
      <c r="F47" s="1495"/>
      <c r="G47" s="1495"/>
      <c r="H47" s="1495"/>
      <c r="I47" s="1495"/>
      <c r="J47" s="1495"/>
      <c r="K47" s="1495"/>
      <c r="L47" s="1495"/>
      <c r="M47" s="1495"/>
      <c r="N47" s="1495"/>
      <c r="O47" s="1494" t="e">
        <f t="shared" ref="O47:AA47" si="28">+O10+O13+O16+O19+O22+O25+O28+O31+O39+O42+O34</f>
        <v>#REF!</v>
      </c>
      <c r="P47" s="1494" t="e">
        <f t="shared" si="28"/>
        <v>#REF!</v>
      </c>
      <c r="Q47" s="1494" t="e">
        <f t="shared" si="28"/>
        <v>#REF!</v>
      </c>
      <c r="R47" s="1494" t="e">
        <f t="shared" si="28"/>
        <v>#REF!</v>
      </c>
      <c r="S47" s="1494" t="e">
        <f t="shared" si="28"/>
        <v>#REF!</v>
      </c>
      <c r="T47" s="1494" t="e">
        <f t="shared" si="28"/>
        <v>#REF!</v>
      </c>
      <c r="U47" s="1494" t="e">
        <f t="shared" si="28"/>
        <v>#REF!</v>
      </c>
      <c r="V47" s="1494" t="e">
        <f t="shared" si="28"/>
        <v>#REF!</v>
      </c>
      <c r="W47" s="1494" t="e">
        <f t="shared" si="28"/>
        <v>#REF!</v>
      </c>
      <c r="X47" s="1494" t="e">
        <f t="shared" si="28"/>
        <v>#REF!</v>
      </c>
      <c r="Y47" s="1494" t="e">
        <f t="shared" si="28"/>
        <v>#REF!</v>
      </c>
      <c r="Z47" s="1494" t="e">
        <f t="shared" si="28"/>
        <v>#REF!</v>
      </c>
      <c r="AA47" s="1494" t="e">
        <f t="shared" si="28"/>
        <v>#REF!</v>
      </c>
    </row>
    <row r="48" spans="1:27" x14ac:dyDescent="0.25">
      <c r="A48" s="1496" t="s">
        <v>8549</v>
      </c>
      <c r="B48" s="1497" t="e">
        <f>+B46+B47</f>
        <v>#REF!</v>
      </c>
      <c r="C48" s="1498"/>
      <c r="D48" s="1498"/>
      <c r="E48" s="1498"/>
      <c r="F48" s="1498"/>
      <c r="G48" s="1498"/>
      <c r="H48" s="1498"/>
      <c r="I48" s="1498"/>
      <c r="J48" s="1498"/>
      <c r="K48" s="1498"/>
      <c r="L48" s="1498"/>
      <c r="M48" s="1498"/>
      <c r="N48" s="1498"/>
      <c r="O48" s="1497" t="e">
        <f>+O46+O47</f>
        <v>#REF!</v>
      </c>
      <c r="P48" s="1497" t="e">
        <f t="shared" ref="P48:Z48" si="29">+P46+P47</f>
        <v>#REF!</v>
      </c>
      <c r="Q48" s="1497" t="e">
        <f t="shared" si="29"/>
        <v>#REF!</v>
      </c>
      <c r="R48" s="1497" t="e">
        <f t="shared" si="29"/>
        <v>#REF!</v>
      </c>
      <c r="S48" s="1497" t="e">
        <f t="shared" si="29"/>
        <v>#REF!</v>
      </c>
      <c r="T48" s="1497" t="e">
        <f t="shared" si="29"/>
        <v>#REF!</v>
      </c>
      <c r="U48" s="1497" t="e">
        <f t="shared" si="29"/>
        <v>#REF!</v>
      </c>
      <c r="V48" s="1497" t="e">
        <f t="shared" si="29"/>
        <v>#REF!</v>
      </c>
      <c r="W48" s="1497" t="e">
        <f t="shared" si="29"/>
        <v>#REF!</v>
      </c>
      <c r="X48" s="1497" t="e">
        <f t="shared" si="29"/>
        <v>#REF!</v>
      </c>
      <c r="Y48" s="1497" t="e">
        <f t="shared" si="29"/>
        <v>#REF!</v>
      </c>
      <c r="Z48" s="1497" t="e">
        <f t="shared" si="29"/>
        <v>#REF!</v>
      </c>
      <c r="AA48" s="1497" t="e">
        <f>+AA46+AA47</f>
        <v>#REF!</v>
      </c>
    </row>
    <row r="49" spans="1:27" x14ac:dyDescent="0.25">
      <c r="A49" s="1456" t="s">
        <v>8550</v>
      </c>
      <c r="B49" s="1494">
        <f>+B46*0.08</f>
        <v>810758538</v>
      </c>
      <c r="C49" s="1494">
        <f t="shared" ref="C49:AA49" si="30">+C46*0.08</f>
        <v>0</v>
      </c>
      <c r="D49" s="1494">
        <f t="shared" si="30"/>
        <v>0</v>
      </c>
      <c r="E49" s="1494">
        <f t="shared" si="30"/>
        <v>0</v>
      </c>
      <c r="F49" s="1494">
        <f t="shared" si="30"/>
        <v>0</v>
      </c>
      <c r="G49" s="1494">
        <f t="shared" si="30"/>
        <v>0</v>
      </c>
      <c r="H49" s="1494">
        <f t="shared" si="30"/>
        <v>0</v>
      </c>
      <c r="I49" s="1494">
        <f t="shared" si="30"/>
        <v>0</v>
      </c>
      <c r="J49" s="1494">
        <f t="shared" si="30"/>
        <v>0</v>
      </c>
      <c r="K49" s="1494">
        <f t="shared" si="30"/>
        <v>0</v>
      </c>
      <c r="L49" s="1494">
        <f t="shared" si="30"/>
        <v>0</v>
      </c>
      <c r="M49" s="1494">
        <f t="shared" si="30"/>
        <v>0</v>
      </c>
      <c r="N49" s="1494">
        <f t="shared" si="30"/>
        <v>0</v>
      </c>
      <c r="O49" s="1494">
        <f t="shared" si="30"/>
        <v>40780778.784000002</v>
      </c>
      <c r="P49" s="1494">
        <f t="shared" si="30"/>
        <v>74442707.544</v>
      </c>
      <c r="Q49" s="1494">
        <f t="shared" si="30"/>
        <v>84354778.472000003</v>
      </c>
      <c r="R49" s="1494">
        <f t="shared" si="30"/>
        <v>115075310.792</v>
      </c>
      <c r="S49" s="1494">
        <f t="shared" si="30"/>
        <v>100445817.456</v>
      </c>
      <c r="T49" s="1494">
        <f t="shared" si="30"/>
        <v>67225467.615999997</v>
      </c>
      <c r="U49" s="1494">
        <f t="shared" si="30"/>
        <v>66920544.095999993</v>
      </c>
      <c r="V49" s="1494">
        <f t="shared" si="30"/>
        <v>66920544.095999993</v>
      </c>
      <c r="W49" s="1494">
        <f t="shared" si="30"/>
        <v>60053101.740000002</v>
      </c>
      <c r="X49" s="1494">
        <f t="shared" si="30"/>
        <v>60053101.740000002</v>
      </c>
      <c r="Y49" s="1494">
        <f t="shared" si="30"/>
        <v>39444663.876000002</v>
      </c>
      <c r="Z49" s="1494">
        <f t="shared" si="30"/>
        <v>35041721.788000003</v>
      </c>
      <c r="AA49" s="1494">
        <f t="shared" si="30"/>
        <v>810758538</v>
      </c>
    </row>
    <row r="50" spans="1:27" x14ac:dyDescent="0.25">
      <c r="A50" s="1456" t="s">
        <v>8957</v>
      </c>
      <c r="B50" s="1494" t="e">
        <f>+B47*0.04</f>
        <v>#REF!</v>
      </c>
      <c r="C50" s="1494">
        <f t="shared" ref="C50:AA50" si="31">+C47*0.04</f>
        <v>0</v>
      </c>
      <c r="D50" s="1494">
        <f t="shared" si="31"/>
        <v>0</v>
      </c>
      <c r="E50" s="1494">
        <f t="shared" si="31"/>
        <v>0</v>
      </c>
      <c r="F50" s="1494">
        <f t="shared" si="31"/>
        <v>0</v>
      </c>
      <c r="G50" s="1494">
        <f t="shared" si="31"/>
        <v>0</v>
      </c>
      <c r="H50" s="1494">
        <f t="shared" si="31"/>
        <v>0</v>
      </c>
      <c r="I50" s="1494">
        <f t="shared" si="31"/>
        <v>0</v>
      </c>
      <c r="J50" s="1494">
        <f t="shared" si="31"/>
        <v>0</v>
      </c>
      <c r="K50" s="1494">
        <f t="shared" si="31"/>
        <v>0</v>
      </c>
      <c r="L50" s="1494">
        <f t="shared" si="31"/>
        <v>0</v>
      </c>
      <c r="M50" s="1494">
        <f t="shared" si="31"/>
        <v>0</v>
      </c>
      <c r="N50" s="1494">
        <f t="shared" si="31"/>
        <v>0</v>
      </c>
      <c r="O50" s="1494" t="e">
        <f t="shared" si="31"/>
        <v>#REF!</v>
      </c>
      <c r="P50" s="1494" t="e">
        <f t="shared" si="31"/>
        <v>#REF!</v>
      </c>
      <c r="Q50" s="1494" t="e">
        <f t="shared" si="31"/>
        <v>#REF!</v>
      </c>
      <c r="R50" s="1494" t="e">
        <f t="shared" si="31"/>
        <v>#REF!</v>
      </c>
      <c r="S50" s="1494" t="e">
        <f t="shared" si="31"/>
        <v>#REF!</v>
      </c>
      <c r="T50" s="1494" t="e">
        <f t="shared" si="31"/>
        <v>#REF!</v>
      </c>
      <c r="U50" s="1494" t="e">
        <f t="shared" si="31"/>
        <v>#REF!</v>
      </c>
      <c r="V50" s="1494" t="e">
        <f t="shared" si="31"/>
        <v>#REF!</v>
      </c>
      <c r="W50" s="1494" t="e">
        <f t="shared" si="31"/>
        <v>#REF!</v>
      </c>
      <c r="X50" s="1494" t="e">
        <f t="shared" si="31"/>
        <v>#REF!</v>
      </c>
      <c r="Y50" s="1494" t="e">
        <f t="shared" si="31"/>
        <v>#REF!</v>
      </c>
      <c r="Z50" s="1494" t="e">
        <f t="shared" si="31"/>
        <v>#REF!</v>
      </c>
      <c r="AA50" s="1494" t="e">
        <f t="shared" si="31"/>
        <v>#REF!</v>
      </c>
    </row>
    <row r="51" spans="1:27" x14ac:dyDescent="0.25">
      <c r="A51" s="1496" t="s">
        <v>8551</v>
      </c>
      <c r="B51" s="1500" t="e">
        <f>+B50+B49</f>
        <v>#REF!</v>
      </c>
      <c r="C51" s="1500">
        <f t="shared" ref="C51:AA51" si="32">+C50+C49</f>
        <v>0</v>
      </c>
      <c r="D51" s="1500">
        <f t="shared" si="32"/>
        <v>0</v>
      </c>
      <c r="E51" s="1500">
        <f t="shared" si="32"/>
        <v>0</v>
      </c>
      <c r="F51" s="1500">
        <f t="shared" si="32"/>
        <v>0</v>
      </c>
      <c r="G51" s="1500">
        <f t="shared" si="32"/>
        <v>0</v>
      </c>
      <c r="H51" s="1500">
        <f t="shared" si="32"/>
        <v>0</v>
      </c>
      <c r="I51" s="1500">
        <f t="shared" si="32"/>
        <v>0</v>
      </c>
      <c r="J51" s="1500">
        <f t="shared" si="32"/>
        <v>0</v>
      </c>
      <c r="K51" s="1500">
        <f t="shared" si="32"/>
        <v>0</v>
      </c>
      <c r="L51" s="1500">
        <f t="shared" si="32"/>
        <v>0</v>
      </c>
      <c r="M51" s="1500">
        <f t="shared" si="32"/>
        <v>0</v>
      </c>
      <c r="N51" s="1500">
        <f t="shared" si="32"/>
        <v>0</v>
      </c>
      <c r="O51" s="1500" t="e">
        <f t="shared" si="32"/>
        <v>#REF!</v>
      </c>
      <c r="P51" s="1500" t="e">
        <f t="shared" si="32"/>
        <v>#REF!</v>
      </c>
      <c r="Q51" s="1500" t="e">
        <f t="shared" si="32"/>
        <v>#REF!</v>
      </c>
      <c r="R51" s="1500" t="e">
        <f t="shared" si="32"/>
        <v>#REF!</v>
      </c>
      <c r="S51" s="1500" t="e">
        <f t="shared" si="32"/>
        <v>#REF!</v>
      </c>
      <c r="T51" s="1500" t="e">
        <f t="shared" si="32"/>
        <v>#REF!</v>
      </c>
      <c r="U51" s="1500" t="e">
        <f t="shared" si="32"/>
        <v>#REF!</v>
      </c>
      <c r="V51" s="1500" t="e">
        <f t="shared" si="32"/>
        <v>#REF!</v>
      </c>
      <c r="W51" s="1500" t="e">
        <f t="shared" si="32"/>
        <v>#REF!</v>
      </c>
      <c r="X51" s="1500" t="e">
        <f t="shared" si="32"/>
        <v>#REF!</v>
      </c>
      <c r="Y51" s="1500" t="e">
        <f t="shared" si="32"/>
        <v>#REF!</v>
      </c>
      <c r="Z51" s="1500" t="e">
        <f t="shared" si="32"/>
        <v>#REF!</v>
      </c>
      <c r="AA51" s="1500" t="e">
        <f t="shared" si="32"/>
        <v>#REF!</v>
      </c>
    </row>
    <row r="52" spans="1:27" ht="30" x14ac:dyDescent="0.25">
      <c r="A52" s="1456" t="s">
        <v>8552</v>
      </c>
      <c r="B52" s="1501">
        <f>+RESUMEN!C58</f>
        <v>25379932609</v>
      </c>
      <c r="C52" s="1049"/>
      <c r="D52" s="1049"/>
      <c r="E52" s="1049"/>
      <c r="F52" s="1049"/>
      <c r="G52" s="1049"/>
      <c r="H52" s="1049"/>
      <c r="I52" s="1049"/>
      <c r="J52" s="1049"/>
      <c r="K52" s="1049"/>
      <c r="L52" s="1049"/>
      <c r="M52" s="1049"/>
      <c r="N52" s="1049"/>
      <c r="O52" s="1049"/>
      <c r="P52" s="1049"/>
      <c r="Q52" s="1049"/>
      <c r="R52" s="1049"/>
      <c r="S52" s="1049"/>
      <c r="T52" s="1049"/>
      <c r="U52" s="1049"/>
      <c r="V52" s="1049"/>
      <c r="W52" s="1049"/>
      <c r="X52" s="1049"/>
      <c r="Y52" s="1049"/>
      <c r="Z52" s="1049"/>
      <c r="AA52" s="1494">
        <f>B52</f>
        <v>25379932609</v>
      </c>
    </row>
    <row r="53" spans="1:27" x14ac:dyDescent="0.25">
      <c r="A53" s="1456" t="s">
        <v>8553</v>
      </c>
      <c r="B53" s="1501" t="e">
        <f>+RESUMEN!#REF!</f>
        <v>#REF!</v>
      </c>
      <c r="C53" s="1049"/>
      <c r="D53" s="1049"/>
      <c r="E53" s="1049"/>
      <c r="F53" s="1049"/>
      <c r="G53" s="1049"/>
      <c r="H53" s="1049"/>
      <c r="I53" s="1049"/>
      <c r="J53" s="1049"/>
      <c r="K53" s="1049"/>
      <c r="L53" s="1049"/>
      <c r="M53" s="1049"/>
      <c r="N53" s="1049"/>
      <c r="O53" s="1049"/>
      <c r="P53" s="1049"/>
      <c r="Q53" s="1049"/>
      <c r="R53" s="1049"/>
      <c r="S53" s="1049"/>
      <c r="T53" s="1049"/>
      <c r="U53" s="1049"/>
      <c r="V53" s="1049"/>
      <c r="W53" s="1049"/>
      <c r="X53" s="1049"/>
      <c r="Y53" s="1049"/>
      <c r="Z53" s="1049"/>
      <c r="AA53" s="1494" t="e">
        <f t="shared" ref="AA53:AA54" si="33">B53</f>
        <v>#REF!</v>
      </c>
    </row>
    <row r="54" spans="1:27" x14ac:dyDescent="0.25">
      <c r="A54" s="1456" t="s">
        <v>8554</v>
      </c>
      <c r="B54" s="1501" t="e">
        <f>+RESUMEN!#REF!</f>
        <v>#REF!</v>
      </c>
      <c r="C54" s="1049"/>
      <c r="D54" s="1049"/>
      <c r="E54" s="1049"/>
      <c r="F54" s="1049"/>
      <c r="G54" s="1049"/>
      <c r="H54" s="1049"/>
      <c r="I54" s="1049"/>
      <c r="J54" s="1049"/>
      <c r="K54" s="1049"/>
      <c r="L54" s="1049"/>
      <c r="M54" s="1049"/>
      <c r="N54" s="1049"/>
      <c r="O54" s="1049"/>
      <c r="P54" s="1049"/>
      <c r="Q54" s="1049"/>
      <c r="R54" s="1049"/>
      <c r="S54" s="1049"/>
      <c r="T54" s="1049"/>
      <c r="U54" s="1049"/>
      <c r="V54" s="1049"/>
      <c r="W54" s="1049"/>
      <c r="X54" s="1049"/>
      <c r="Y54" s="1049"/>
      <c r="Z54" s="1049"/>
      <c r="AA54" s="1494" t="e">
        <f t="shared" si="33"/>
        <v>#REF!</v>
      </c>
    </row>
    <row r="55" spans="1:27" x14ac:dyDescent="0.25">
      <c r="A55" s="1496" t="s">
        <v>8555</v>
      </c>
      <c r="B55" s="1502" t="e">
        <f>B48+B51+B52+B53+B54</f>
        <v>#REF!</v>
      </c>
      <c r="O55" s="1499"/>
      <c r="P55" s="1499"/>
      <c r="Q55" s="1499"/>
      <c r="R55" s="1499"/>
      <c r="S55" s="1499"/>
      <c r="T55" s="1499"/>
      <c r="U55" s="1499"/>
      <c r="V55" s="1499"/>
      <c r="W55" s="1499"/>
      <c r="X55" s="1499"/>
      <c r="Y55" s="1499"/>
      <c r="Z55" s="1499"/>
      <c r="AA55" s="1881" t="e">
        <f>AA48+AA51+AA54+AA53+AA52</f>
        <v>#REF!</v>
      </c>
    </row>
  </sheetData>
  <mergeCells count="7">
    <mergeCell ref="AA6:AA8"/>
    <mergeCell ref="C6:N6"/>
    <mergeCell ref="O6:Z6"/>
    <mergeCell ref="O1:W1"/>
    <mergeCell ref="O2:W2"/>
    <mergeCell ref="O3:W3"/>
    <mergeCell ref="O4:W4"/>
  </mergeCells>
  <pageMargins left="0.70866141732283472" right="0.70866141732283472" top="0.74803149606299213" bottom="0.74803149606299213" header="0.31496062992125984" footer="0.31496062992125984"/>
  <pageSetup scale="39" fitToHeight="0" orientation="landscape"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X4185"/>
  <sheetViews>
    <sheetView workbookViewId="0"/>
  </sheetViews>
  <sheetFormatPr baseColWidth="10" defaultColWidth="11.42578125" defaultRowHeight="12.75" x14ac:dyDescent="0.25"/>
  <cols>
    <col min="1" max="1" width="6.5703125" style="8" customWidth="1"/>
    <col min="2" max="2" width="28.7109375" style="8" customWidth="1"/>
    <col min="3" max="3" width="10.7109375" style="8" customWidth="1"/>
    <col min="4" max="4" width="14" style="8" customWidth="1"/>
    <col min="5" max="5" width="15.42578125" style="8" customWidth="1"/>
    <col min="6" max="6" width="14" style="133" customWidth="1"/>
    <col min="7" max="8" width="13.85546875" style="8" bestFit="1" customWidth="1"/>
    <col min="9" max="9" width="11.42578125" style="8"/>
    <col min="10" max="10" width="28" style="8" customWidth="1"/>
    <col min="11" max="11" width="12.140625" style="8" customWidth="1"/>
    <col min="12" max="12" width="11.42578125" style="8"/>
    <col min="13" max="13" width="14.140625" style="8" customWidth="1"/>
    <col min="14" max="14" width="12.42578125" style="8" bestFit="1" customWidth="1"/>
    <col min="15" max="15" width="13.140625" style="8" customWidth="1"/>
    <col min="16" max="16" width="12.140625" style="8" customWidth="1"/>
    <col min="17" max="17" width="11.42578125" style="8"/>
    <col min="18" max="18" width="28" style="8" customWidth="1"/>
    <col min="19" max="19" width="12.140625" style="8" customWidth="1"/>
    <col min="20" max="20" width="11.42578125" style="8"/>
    <col min="21" max="21" width="14.140625" style="8" customWidth="1"/>
    <col min="22" max="22" width="12.42578125" style="8" bestFit="1" customWidth="1"/>
    <col min="23" max="23" width="13.140625" style="8" customWidth="1"/>
    <col min="24" max="24" width="12.140625" style="8" customWidth="1"/>
    <col min="25" max="16384" width="11.42578125" style="8"/>
  </cols>
  <sheetData>
    <row r="1" spans="1:8" x14ac:dyDescent="0.25">
      <c r="A1" s="133"/>
      <c r="G1" s="134"/>
    </row>
    <row r="2" spans="1:8" x14ac:dyDescent="0.25">
      <c r="C2" s="135"/>
      <c r="G2" s="134"/>
    </row>
    <row r="3" spans="1:8" x14ac:dyDescent="0.25">
      <c r="C3" s="135"/>
      <c r="F3" s="8"/>
    </row>
    <row r="4" spans="1:8" ht="18.75" x14ac:dyDescent="0.25">
      <c r="C4" s="136"/>
      <c r="E4" s="474"/>
      <c r="F4" s="474"/>
      <c r="G4" s="474"/>
    </row>
    <row r="5" spans="1:8" ht="18.75" x14ac:dyDescent="0.25">
      <c r="C5" s="136"/>
      <c r="E5" s="474"/>
      <c r="F5" s="474"/>
      <c r="G5" s="474"/>
    </row>
    <row r="6" spans="1:8" x14ac:dyDescent="0.25">
      <c r="A6" s="133"/>
      <c r="G6" s="134"/>
    </row>
    <row r="7" spans="1:8" ht="18.75" x14ac:dyDescent="0.25">
      <c r="A7" s="133"/>
      <c r="B7" s="2506" t="s">
        <v>5400</v>
      </c>
      <c r="C7" s="2506"/>
      <c r="D7" s="2506"/>
      <c r="E7" s="2506"/>
      <c r="F7" s="2506"/>
      <c r="G7" s="2506"/>
    </row>
    <row r="8" spans="1:8" x14ac:dyDescent="0.25">
      <c r="A8" s="133"/>
      <c r="G8" s="134"/>
    </row>
    <row r="9" spans="1:8" x14ac:dyDescent="0.25">
      <c r="A9" s="133"/>
      <c r="G9" s="134"/>
    </row>
    <row r="10" spans="1:8" x14ac:dyDescent="0.25">
      <c r="A10" s="133"/>
      <c r="G10" s="134"/>
    </row>
    <row r="11" spans="1:8" s="140" customFormat="1" x14ac:dyDescent="0.25">
      <c r="A11" s="138" t="s">
        <v>3</v>
      </c>
      <c r="B11" s="138" t="s">
        <v>12</v>
      </c>
      <c r="C11" s="2451" t="s">
        <v>5401</v>
      </c>
      <c r="D11" s="2451"/>
      <c r="E11" s="2451"/>
      <c r="F11" s="138" t="s">
        <v>867</v>
      </c>
      <c r="G11" s="139" t="s">
        <v>5402</v>
      </c>
      <c r="H11" s="134"/>
    </row>
    <row r="12" spans="1:8" s="140" customFormat="1" x14ac:dyDescent="0.25">
      <c r="A12" s="141"/>
      <c r="F12" s="141"/>
      <c r="G12" s="134"/>
      <c r="H12" s="134"/>
    </row>
    <row r="13" spans="1:8" s="140" customFormat="1" x14ac:dyDescent="0.25">
      <c r="A13" s="141"/>
      <c r="F13" s="141"/>
      <c r="G13" s="142"/>
      <c r="H13" s="134"/>
    </row>
    <row r="14" spans="1:8" s="140" customFormat="1" ht="13.5" thickBot="1" x14ac:dyDescent="0.3">
      <c r="A14" s="141"/>
      <c r="F14" s="141"/>
      <c r="G14" s="134"/>
      <c r="H14" s="134"/>
    </row>
    <row r="15" spans="1:8" s="140" customFormat="1" ht="13.5" thickBot="1" x14ac:dyDescent="0.3">
      <c r="A15" s="141"/>
      <c r="B15" s="143" t="s">
        <v>5403</v>
      </c>
      <c r="C15" s="144" t="s">
        <v>867</v>
      </c>
      <c r="D15" s="144" t="s">
        <v>6</v>
      </c>
      <c r="E15" s="144" t="s">
        <v>5404</v>
      </c>
      <c r="F15" s="144" t="s">
        <v>5405</v>
      </c>
      <c r="G15" s="145" t="s">
        <v>868</v>
      </c>
      <c r="H15" s="134"/>
    </row>
    <row r="16" spans="1:8" s="140" customFormat="1" x14ac:dyDescent="0.2">
      <c r="A16" s="141"/>
      <c r="B16" s="217" t="s">
        <v>5440</v>
      </c>
      <c r="C16" s="147"/>
      <c r="D16" s="148"/>
      <c r="E16" s="148">
        <f>+H54</f>
        <v>1452.25</v>
      </c>
      <c r="F16" s="214">
        <v>0.1</v>
      </c>
      <c r="G16" s="360">
        <f>+E16*F16</f>
        <v>145.22499999999999</v>
      </c>
      <c r="H16" s="134"/>
    </row>
    <row r="17" spans="1:8" s="140" customFormat="1" x14ac:dyDescent="0.2">
      <c r="A17" s="141"/>
      <c r="B17" s="150" t="s">
        <v>5476</v>
      </c>
      <c r="C17" s="151" t="s">
        <v>5424</v>
      </c>
      <c r="D17" s="205">
        <v>1</v>
      </c>
      <c r="E17" s="148">
        <v>8500</v>
      </c>
      <c r="F17" s="215">
        <v>200</v>
      </c>
      <c r="G17" s="360">
        <f>+E17/F17</f>
        <v>42.5</v>
      </c>
      <c r="H17" s="134"/>
    </row>
    <row r="18" spans="1:8" s="140" customFormat="1" x14ac:dyDescent="0.2">
      <c r="A18" s="141"/>
      <c r="B18" s="150" t="s">
        <v>5477</v>
      </c>
      <c r="C18" s="151" t="s">
        <v>5424</v>
      </c>
      <c r="D18" s="205">
        <v>1</v>
      </c>
      <c r="E18" s="148">
        <v>30</v>
      </c>
      <c r="F18" s="215">
        <v>200</v>
      </c>
      <c r="G18" s="360">
        <f>+E18/F18</f>
        <v>0.15</v>
      </c>
      <c r="H18" s="134"/>
    </row>
    <row r="19" spans="1:8" s="140" customFormat="1" x14ac:dyDescent="0.25">
      <c r="A19" s="141"/>
      <c r="B19" s="155"/>
      <c r="C19" s="151"/>
      <c r="D19" s="152"/>
      <c r="E19" s="152"/>
      <c r="F19" s="151"/>
      <c r="G19" s="156"/>
      <c r="H19" s="134"/>
    </row>
    <row r="20" spans="1:8" s="140" customFormat="1" x14ac:dyDescent="0.25">
      <c r="A20" s="141"/>
      <c r="B20" s="155"/>
      <c r="C20" s="151"/>
      <c r="D20" s="152"/>
      <c r="E20" s="152"/>
      <c r="F20" s="151"/>
      <c r="G20" s="156"/>
      <c r="H20" s="134"/>
    </row>
    <row r="21" spans="1:8" s="140" customFormat="1" ht="13.5" thickBot="1" x14ac:dyDescent="0.3">
      <c r="A21" s="141"/>
      <c r="B21" s="155"/>
      <c r="C21" s="151"/>
      <c r="D21" s="152"/>
      <c r="E21" s="152"/>
      <c r="F21" s="151"/>
      <c r="G21" s="156"/>
      <c r="H21" s="134"/>
    </row>
    <row r="22" spans="1:8" s="140" customFormat="1" ht="13.5" thickBot="1" x14ac:dyDescent="0.3">
      <c r="A22" s="141"/>
      <c r="B22" s="157"/>
      <c r="C22" s="158"/>
      <c r="D22" s="159"/>
      <c r="E22" s="159"/>
      <c r="F22" s="158"/>
      <c r="G22" s="160"/>
      <c r="H22" s="161">
        <f>+SUM(G16:G22)</f>
        <v>187.875</v>
      </c>
    </row>
    <row r="23" spans="1:8" s="140" customFormat="1" ht="13.5" thickBot="1" x14ac:dyDescent="0.3">
      <c r="A23" s="141"/>
      <c r="B23" s="162"/>
      <c r="C23" s="163"/>
      <c r="D23" s="162"/>
      <c r="E23" s="162"/>
      <c r="F23" s="163"/>
      <c r="G23" s="164"/>
      <c r="H23" s="165"/>
    </row>
    <row r="24" spans="1:8" s="140" customFormat="1" ht="13.5" thickBot="1" x14ac:dyDescent="0.3">
      <c r="B24" s="143" t="s">
        <v>5408</v>
      </c>
      <c r="C24" s="144" t="s">
        <v>867</v>
      </c>
      <c r="D24" s="144" t="s">
        <v>6</v>
      </c>
      <c r="E24" s="144" t="s">
        <v>870</v>
      </c>
      <c r="F24" s="144" t="s">
        <v>5409</v>
      </c>
      <c r="G24" s="145" t="s">
        <v>868</v>
      </c>
      <c r="H24" s="134"/>
    </row>
    <row r="25" spans="1:8" s="140" customFormat="1" x14ac:dyDescent="0.25">
      <c r="B25" s="166" t="s">
        <v>5478</v>
      </c>
      <c r="C25" s="147" t="s">
        <v>5424</v>
      </c>
      <c r="D25" s="167">
        <v>0.02</v>
      </c>
      <c r="E25" s="366">
        <v>3500</v>
      </c>
      <c r="F25" s="169">
        <v>0.1</v>
      </c>
      <c r="G25" s="437">
        <f>+D25*E25*(1+F25)</f>
        <v>77</v>
      </c>
      <c r="H25" s="134"/>
    </row>
    <row r="26" spans="1:8" s="140" customFormat="1" x14ac:dyDescent="0.25">
      <c r="B26" s="155"/>
      <c r="C26" s="151"/>
      <c r="D26" s="152"/>
      <c r="E26" s="346"/>
      <c r="F26" s="169"/>
      <c r="G26" s="172"/>
      <c r="H26" s="134"/>
    </row>
    <row r="27" spans="1:8" s="140" customFormat="1" x14ac:dyDescent="0.25">
      <c r="B27" s="155"/>
      <c r="C27" s="151"/>
      <c r="D27" s="152"/>
      <c r="E27" s="346"/>
      <c r="F27" s="169"/>
      <c r="G27" s="172"/>
      <c r="H27" s="134"/>
    </row>
    <row r="28" spans="1:8" s="140" customFormat="1" x14ac:dyDescent="0.25">
      <c r="B28" s="155"/>
      <c r="C28" s="152"/>
      <c r="D28" s="152"/>
      <c r="E28" s="152"/>
      <c r="F28" s="151"/>
      <c r="G28" s="156"/>
      <c r="H28" s="134"/>
    </row>
    <row r="29" spans="1:8" s="140" customFormat="1" x14ac:dyDescent="0.25">
      <c r="B29" s="155"/>
      <c r="C29" s="152"/>
      <c r="D29" s="152"/>
      <c r="E29" s="152"/>
      <c r="F29" s="151"/>
      <c r="G29" s="156"/>
      <c r="H29" s="134"/>
    </row>
    <row r="30" spans="1:8" s="140" customFormat="1" x14ac:dyDescent="0.25">
      <c r="B30" s="155"/>
      <c r="C30" s="152"/>
      <c r="D30" s="152"/>
      <c r="E30" s="152"/>
      <c r="F30" s="151"/>
      <c r="G30" s="156"/>
      <c r="H30" s="134"/>
    </row>
    <row r="31" spans="1:8" s="140" customFormat="1" x14ac:dyDescent="0.25">
      <c r="B31" s="155"/>
      <c r="C31" s="152"/>
      <c r="D31" s="152"/>
      <c r="E31" s="152"/>
      <c r="F31" s="151"/>
      <c r="G31" s="156"/>
      <c r="H31" s="134"/>
    </row>
    <row r="32" spans="1:8" s="140" customFormat="1" x14ac:dyDescent="0.25">
      <c r="B32" s="155"/>
      <c r="C32" s="152"/>
      <c r="D32" s="152"/>
      <c r="E32" s="152"/>
      <c r="F32" s="151"/>
      <c r="G32" s="156"/>
      <c r="H32" s="134"/>
    </row>
    <row r="33" spans="2:8" s="140" customFormat="1" x14ac:dyDescent="0.25">
      <c r="B33" s="155"/>
      <c r="C33" s="152"/>
      <c r="D33" s="152"/>
      <c r="E33" s="152"/>
      <c r="F33" s="151"/>
      <c r="G33" s="156"/>
      <c r="H33" s="134"/>
    </row>
    <row r="34" spans="2:8" s="140" customFormat="1" x14ac:dyDescent="0.25">
      <c r="B34" s="155"/>
      <c r="C34" s="152"/>
      <c r="D34" s="152"/>
      <c r="E34" s="152"/>
      <c r="F34" s="151"/>
      <c r="G34" s="156"/>
      <c r="H34" s="134"/>
    </row>
    <row r="35" spans="2:8" s="140" customFormat="1" x14ac:dyDescent="0.25">
      <c r="B35" s="155"/>
      <c r="C35" s="152"/>
      <c r="D35" s="152"/>
      <c r="E35" s="152"/>
      <c r="F35" s="151"/>
      <c r="G35" s="156"/>
      <c r="H35" s="134"/>
    </row>
    <row r="36" spans="2:8" s="140" customFormat="1" ht="13.5" thickBot="1" x14ac:dyDescent="0.3">
      <c r="B36" s="155"/>
      <c r="C36" s="152"/>
      <c r="D36" s="152"/>
      <c r="E36" s="152"/>
      <c r="F36" s="151"/>
      <c r="G36" s="156"/>
      <c r="H36" s="134"/>
    </row>
    <row r="37" spans="2:8" s="140" customFormat="1" ht="13.5" thickBot="1" x14ac:dyDescent="0.3">
      <c r="B37" s="157"/>
      <c r="C37" s="159"/>
      <c r="D37" s="159"/>
      <c r="E37" s="159"/>
      <c r="F37" s="158"/>
      <c r="G37" s="160"/>
      <c r="H37" s="161">
        <f>+SUM(G25:G37)</f>
        <v>77</v>
      </c>
    </row>
    <row r="38" spans="2:8" s="140" customFormat="1" ht="13.5" thickBot="1" x14ac:dyDescent="0.3">
      <c r="B38" s="162"/>
      <c r="C38" s="162"/>
      <c r="D38" s="162"/>
      <c r="E38" s="162"/>
      <c r="F38" s="163"/>
      <c r="G38" s="164"/>
      <c r="H38" s="165"/>
    </row>
    <row r="39" spans="2:8" s="140" customFormat="1" ht="13.5" thickBot="1" x14ac:dyDescent="0.3">
      <c r="B39" s="143" t="s">
        <v>5410</v>
      </c>
      <c r="C39" s="144" t="s">
        <v>867</v>
      </c>
      <c r="D39" s="144" t="s">
        <v>6</v>
      </c>
      <c r="E39" s="144" t="s">
        <v>870</v>
      </c>
      <c r="F39" s="144" t="s">
        <v>5411</v>
      </c>
      <c r="G39" s="145" t="s">
        <v>868</v>
      </c>
      <c r="H39" s="134"/>
    </row>
    <row r="40" spans="2:8" s="140" customFormat="1" x14ac:dyDescent="0.25">
      <c r="B40" s="166"/>
      <c r="C40" s="148"/>
      <c r="D40" s="148"/>
      <c r="E40" s="148"/>
      <c r="F40" s="147"/>
      <c r="G40" s="172"/>
      <c r="H40" s="134"/>
    </row>
    <row r="41" spans="2:8" s="140" customFormat="1" x14ac:dyDescent="0.25">
      <c r="B41" s="166"/>
      <c r="C41" s="148"/>
      <c r="D41" s="148"/>
      <c r="E41" s="148"/>
      <c r="F41" s="147"/>
      <c r="G41" s="172"/>
      <c r="H41" s="134"/>
    </row>
    <row r="42" spans="2:8" s="140" customFormat="1" x14ac:dyDescent="0.25">
      <c r="B42" s="155"/>
      <c r="C42" s="152"/>
      <c r="D42" s="152"/>
      <c r="E42" s="152"/>
      <c r="F42" s="151"/>
      <c r="G42" s="156"/>
      <c r="H42" s="134"/>
    </row>
    <row r="43" spans="2:8" s="140" customFormat="1" x14ac:dyDescent="0.25">
      <c r="B43" s="155"/>
      <c r="C43" s="152"/>
      <c r="D43" s="152"/>
      <c r="E43" s="152"/>
      <c r="F43" s="151"/>
      <c r="G43" s="156"/>
      <c r="H43" s="134"/>
    </row>
    <row r="44" spans="2:8" s="140" customFormat="1" ht="13.5" thickBot="1" x14ac:dyDescent="0.3">
      <c r="B44" s="155"/>
      <c r="C44" s="152"/>
      <c r="D44" s="152"/>
      <c r="E44" s="152"/>
      <c r="F44" s="151"/>
      <c r="G44" s="156"/>
      <c r="H44" s="134"/>
    </row>
    <row r="45" spans="2:8" s="140" customFormat="1" ht="13.5" thickBot="1" x14ac:dyDescent="0.3">
      <c r="B45" s="157"/>
      <c r="C45" s="159"/>
      <c r="D45" s="159"/>
      <c r="E45" s="159"/>
      <c r="F45" s="158"/>
      <c r="G45" s="160"/>
      <c r="H45" s="161">
        <f>+SUM(G40:G45)</f>
        <v>0</v>
      </c>
    </row>
    <row r="46" spans="2:8" s="140" customFormat="1" ht="13.5" thickBot="1" x14ac:dyDescent="0.3">
      <c r="B46" s="162"/>
      <c r="C46" s="162"/>
      <c r="D46" s="162"/>
      <c r="E46" s="162"/>
      <c r="F46" s="173"/>
      <c r="G46" s="174"/>
      <c r="H46" s="165"/>
    </row>
    <row r="47" spans="2:8" s="140" customFormat="1" ht="13.5" thickBot="1" x14ac:dyDescent="0.3">
      <c r="B47" s="143" t="s">
        <v>5412</v>
      </c>
      <c r="C47" s="193" t="s">
        <v>5420</v>
      </c>
      <c r="D47" s="193" t="s">
        <v>5421</v>
      </c>
      <c r="E47" s="144" t="s">
        <v>5413</v>
      </c>
      <c r="F47" s="144" t="s">
        <v>5405</v>
      </c>
      <c r="G47" s="145" t="s">
        <v>868</v>
      </c>
      <c r="H47" s="134"/>
    </row>
    <row r="48" spans="2:8" s="140" customFormat="1" x14ac:dyDescent="0.25">
      <c r="B48" s="166" t="s">
        <v>5469</v>
      </c>
      <c r="C48" s="353">
        <v>70000</v>
      </c>
      <c r="D48" s="353">
        <f>0.85*C48</f>
        <v>59500</v>
      </c>
      <c r="E48" s="353">
        <f>+C48+D48</f>
        <v>129500</v>
      </c>
      <c r="F48" s="204">
        <v>200</v>
      </c>
      <c r="G48" s="351">
        <f>+E48/F48</f>
        <v>647.5</v>
      </c>
      <c r="H48" s="134"/>
    </row>
    <row r="49" spans="1:8" s="140" customFormat="1" x14ac:dyDescent="0.25">
      <c r="B49" s="166" t="s">
        <v>5470</v>
      </c>
      <c r="C49" s="346">
        <v>40000</v>
      </c>
      <c r="D49" s="353">
        <f>0.85*C49</f>
        <v>34000</v>
      </c>
      <c r="E49" s="353">
        <f>+C49+D49</f>
        <v>74000</v>
      </c>
      <c r="F49" s="204">
        <v>200</v>
      </c>
      <c r="G49" s="351">
        <f>+E49/F49</f>
        <v>370</v>
      </c>
      <c r="H49" s="134"/>
    </row>
    <row r="50" spans="1:8" s="140" customFormat="1" x14ac:dyDescent="0.25">
      <c r="B50" s="155" t="s">
        <v>5471</v>
      </c>
      <c r="C50" s="346">
        <v>25000</v>
      </c>
      <c r="D50" s="353">
        <f>0.85*C50</f>
        <v>21250</v>
      </c>
      <c r="E50" s="353">
        <f>+C50+D50</f>
        <v>46250</v>
      </c>
      <c r="F50" s="205">
        <v>200</v>
      </c>
      <c r="G50" s="351">
        <f>+E50/F50</f>
        <v>231.25</v>
      </c>
      <c r="H50" s="134"/>
    </row>
    <row r="51" spans="1:8" s="140" customFormat="1" x14ac:dyDescent="0.25">
      <c r="B51" s="155" t="s">
        <v>5472</v>
      </c>
      <c r="C51" s="213">
        <v>22000</v>
      </c>
      <c r="D51" s="353">
        <f>0.85*C51</f>
        <v>18700</v>
      </c>
      <c r="E51" s="353">
        <f>+C51+D51</f>
        <v>40700</v>
      </c>
      <c r="F51" s="205">
        <v>200</v>
      </c>
      <c r="G51" s="351">
        <f>+E51/F51</f>
        <v>203.5</v>
      </c>
      <c r="H51" s="134"/>
    </row>
    <row r="52" spans="1:8" s="140" customFormat="1" x14ac:dyDescent="0.25">
      <c r="B52" s="155"/>
      <c r="C52" s="152"/>
      <c r="D52" s="152"/>
      <c r="E52" s="152"/>
      <c r="F52" s="151"/>
      <c r="G52" s="156"/>
      <c r="H52" s="134"/>
    </row>
    <row r="53" spans="1:8" s="140" customFormat="1" ht="13.5" thickBot="1" x14ac:dyDescent="0.3">
      <c r="B53" s="155"/>
      <c r="C53" s="152"/>
      <c r="D53" s="152"/>
      <c r="E53" s="152"/>
      <c r="F53" s="151"/>
      <c r="G53" s="156"/>
      <c r="H53" s="134"/>
    </row>
    <row r="54" spans="1:8" s="140" customFormat="1" ht="13.5" thickBot="1" x14ac:dyDescent="0.3">
      <c r="B54" s="179"/>
      <c r="C54" s="180"/>
      <c r="D54" s="180"/>
      <c r="E54" s="180"/>
      <c r="F54" s="181"/>
      <c r="G54" s="182"/>
      <c r="H54" s="161">
        <f>+SUM(G48:G54)</f>
        <v>1452.25</v>
      </c>
    </row>
    <row r="55" spans="1:8" s="140" customFormat="1" ht="13.5" thickBot="1" x14ac:dyDescent="0.3">
      <c r="F55" s="141"/>
      <c r="G55" s="134"/>
      <c r="H55" s="134"/>
    </row>
    <row r="56" spans="1:8" s="140" customFormat="1" ht="13.5" thickBot="1" x14ac:dyDescent="0.3">
      <c r="E56" s="183" t="s">
        <v>5415</v>
      </c>
      <c r="F56" s="141"/>
      <c r="G56" s="134"/>
      <c r="H56" s="161">
        <f>ROUND(+H22+H37+H45+H54,0)</f>
        <v>1717</v>
      </c>
    </row>
    <row r="61" spans="1:8" ht="18.75" x14ac:dyDescent="0.25">
      <c r="A61" s="133"/>
      <c r="B61" s="2506" t="s">
        <v>5400</v>
      </c>
      <c r="C61" s="2506"/>
      <c r="D61" s="2506"/>
      <c r="E61" s="2506"/>
      <c r="F61" s="2506"/>
      <c r="G61" s="2506"/>
    </row>
    <row r="62" spans="1:8" x14ac:dyDescent="0.25">
      <c r="A62" s="133"/>
      <c r="G62" s="134"/>
    </row>
    <row r="63" spans="1:8" x14ac:dyDescent="0.25">
      <c r="A63" s="133"/>
      <c r="G63" s="134"/>
    </row>
    <row r="64" spans="1:8" x14ac:dyDescent="0.25">
      <c r="A64" s="133"/>
      <c r="G64" s="134"/>
    </row>
    <row r="65" spans="1:8" s="140" customFormat="1" x14ac:dyDescent="0.25">
      <c r="A65" s="138" t="s">
        <v>3</v>
      </c>
      <c r="B65" s="138" t="s">
        <v>5416</v>
      </c>
      <c r="C65" s="2451" t="s">
        <v>5417</v>
      </c>
      <c r="D65" s="2451"/>
      <c r="E65" s="2451"/>
      <c r="F65" s="138" t="s">
        <v>867</v>
      </c>
      <c r="G65" s="139" t="s">
        <v>5418</v>
      </c>
      <c r="H65" s="134"/>
    </row>
    <row r="66" spans="1:8" s="140" customFormat="1" x14ac:dyDescent="0.25">
      <c r="A66" s="141"/>
      <c r="F66" s="141"/>
      <c r="G66" s="134"/>
      <c r="H66" s="134"/>
    </row>
    <row r="67" spans="1:8" s="140" customFormat="1" x14ac:dyDescent="0.25">
      <c r="A67" s="141"/>
      <c r="F67" s="141"/>
      <c r="G67" s="142"/>
      <c r="H67" s="134"/>
    </row>
    <row r="68" spans="1:8" s="140" customFormat="1" ht="13.5" thickBot="1" x14ac:dyDescent="0.3">
      <c r="A68" s="141"/>
      <c r="F68" s="141"/>
      <c r="G68" s="134"/>
      <c r="H68" s="134"/>
    </row>
    <row r="69" spans="1:8" s="140" customFormat="1" ht="13.5" thickBot="1" x14ac:dyDescent="0.3">
      <c r="A69" s="141"/>
      <c r="B69" s="143" t="s">
        <v>5403</v>
      </c>
      <c r="C69" s="144" t="s">
        <v>867</v>
      </c>
      <c r="D69" s="144" t="s">
        <v>6</v>
      </c>
      <c r="E69" s="144" t="s">
        <v>5404</v>
      </c>
      <c r="F69" s="144" t="s">
        <v>5405</v>
      </c>
      <c r="G69" s="145" t="s">
        <v>868</v>
      </c>
      <c r="H69" s="134"/>
    </row>
    <row r="70" spans="1:8" s="140" customFormat="1" x14ac:dyDescent="0.25">
      <c r="A70" s="141"/>
      <c r="B70" s="217" t="s">
        <v>5440</v>
      </c>
      <c r="C70" s="147"/>
      <c r="D70" s="148"/>
      <c r="E70" s="148">
        <f>+H108</f>
        <v>1936.3333333333333</v>
      </c>
      <c r="F70" s="184">
        <v>0.1</v>
      </c>
      <c r="G70" s="360">
        <f>+E70*F70</f>
        <v>193.63333333333333</v>
      </c>
      <c r="H70" s="134"/>
    </row>
    <row r="71" spans="1:8" s="140" customFormat="1" x14ac:dyDescent="0.25">
      <c r="A71" s="141"/>
      <c r="B71" s="150" t="s">
        <v>5476</v>
      </c>
      <c r="C71" s="151" t="s">
        <v>5424</v>
      </c>
      <c r="D71" s="205">
        <v>1</v>
      </c>
      <c r="E71" s="148">
        <v>8500</v>
      </c>
      <c r="F71" s="216">
        <v>150</v>
      </c>
      <c r="G71" s="360">
        <f>+E71/F71</f>
        <v>56.666666666666664</v>
      </c>
      <c r="H71" s="134"/>
    </row>
    <row r="72" spans="1:8" s="140" customFormat="1" x14ac:dyDescent="0.25">
      <c r="A72" s="141"/>
      <c r="B72" s="150" t="s">
        <v>5477</v>
      </c>
      <c r="C72" s="151" t="s">
        <v>5424</v>
      </c>
      <c r="D72" s="205">
        <v>1</v>
      </c>
      <c r="E72" s="148">
        <v>30</v>
      </c>
      <c r="F72" s="216">
        <v>150</v>
      </c>
      <c r="G72" s="360">
        <f>+E72/F72</f>
        <v>0.2</v>
      </c>
      <c r="H72" s="134"/>
    </row>
    <row r="73" spans="1:8" s="140" customFormat="1" x14ac:dyDescent="0.25">
      <c r="A73" s="141"/>
      <c r="B73" s="186"/>
      <c r="C73" s="152"/>
      <c r="D73" s="152"/>
      <c r="E73" s="152"/>
      <c r="F73" s="151"/>
      <c r="G73" s="156"/>
      <c r="H73" s="134"/>
    </row>
    <row r="74" spans="1:8" s="140" customFormat="1" x14ac:dyDescent="0.25">
      <c r="A74" s="141"/>
      <c r="B74" s="186"/>
      <c r="C74" s="152"/>
      <c r="D74" s="152"/>
      <c r="E74" s="152"/>
      <c r="F74" s="151"/>
      <c r="G74" s="156"/>
      <c r="H74" s="134"/>
    </row>
    <row r="75" spans="1:8" s="140" customFormat="1" ht="13.5" thickBot="1" x14ac:dyDescent="0.3">
      <c r="A75" s="141"/>
      <c r="B75" s="186"/>
      <c r="C75" s="152"/>
      <c r="D75" s="152"/>
      <c r="E75" s="152"/>
      <c r="F75" s="151"/>
      <c r="G75" s="156"/>
      <c r="H75" s="134"/>
    </row>
    <row r="76" spans="1:8" s="140" customFormat="1" ht="13.5" thickBot="1" x14ac:dyDescent="0.3">
      <c r="A76" s="141"/>
      <c r="B76" s="187"/>
      <c r="C76" s="180"/>
      <c r="D76" s="180"/>
      <c r="E76" s="180"/>
      <c r="F76" s="181"/>
      <c r="G76" s="182"/>
      <c r="H76" s="161">
        <f>+SUM(G70:G76)</f>
        <v>250.49999999999997</v>
      </c>
    </row>
    <row r="77" spans="1:8" s="140" customFormat="1" ht="13.5" thickBot="1" x14ac:dyDescent="0.3">
      <c r="A77" s="141"/>
      <c r="B77" s="188"/>
      <c r="C77" s="189"/>
      <c r="D77" s="188"/>
      <c r="E77" s="188"/>
      <c r="F77" s="189"/>
      <c r="G77" s="190"/>
      <c r="H77" s="165"/>
    </row>
    <row r="78" spans="1:8" s="140" customFormat="1" ht="13.5" thickBot="1" x14ac:dyDescent="0.3">
      <c r="B78" s="143" t="s">
        <v>5408</v>
      </c>
      <c r="C78" s="144" t="s">
        <v>867</v>
      </c>
      <c r="D78" s="144" t="s">
        <v>6</v>
      </c>
      <c r="E78" s="144" t="s">
        <v>870</v>
      </c>
      <c r="F78" s="144" t="s">
        <v>5409</v>
      </c>
      <c r="G78" s="145" t="s">
        <v>868</v>
      </c>
      <c r="H78" s="134"/>
    </row>
    <row r="79" spans="1:8" s="140" customFormat="1" x14ac:dyDescent="0.25">
      <c r="B79" s="166" t="s">
        <v>5478</v>
      </c>
      <c r="C79" s="151" t="s">
        <v>5424</v>
      </c>
      <c r="D79" s="167">
        <v>2.5000000000000001E-2</v>
      </c>
      <c r="E79" s="366">
        <v>3500</v>
      </c>
      <c r="F79" s="169">
        <v>0.1</v>
      </c>
      <c r="G79" s="367">
        <f>+D79*E79*(1+F79)</f>
        <v>96.250000000000014</v>
      </c>
      <c r="H79" s="134"/>
    </row>
    <row r="80" spans="1:8" s="140" customFormat="1" x14ac:dyDescent="0.25">
      <c r="B80" s="155"/>
      <c r="C80" s="151"/>
      <c r="D80" s="152"/>
      <c r="E80" s="346"/>
      <c r="F80" s="169"/>
      <c r="G80" s="172"/>
      <c r="H80" s="134"/>
    </row>
    <row r="81" spans="2:8" s="140" customFormat="1" x14ac:dyDescent="0.25">
      <c r="B81" s="155"/>
      <c r="C81" s="151"/>
      <c r="D81" s="152"/>
      <c r="E81" s="346"/>
      <c r="F81" s="169"/>
      <c r="G81" s="172"/>
      <c r="H81" s="134"/>
    </row>
    <row r="82" spans="2:8" s="140" customFormat="1" x14ac:dyDescent="0.25">
      <c r="B82" s="155"/>
      <c r="C82" s="152"/>
      <c r="D82" s="152"/>
      <c r="E82" s="152"/>
      <c r="F82" s="151"/>
      <c r="G82" s="156"/>
      <c r="H82" s="134"/>
    </row>
    <row r="83" spans="2:8" s="140" customFormat="1" x14ac:dyDescent="0.25">
      <c r="B83" s="155"/>
      <c r="C83" s="152"/>
      <c r="D83" s="152"/>
      <c r="E83" s="152"/>
      <c r="F83" s="151"/>
      <c r="G83" s="156"/>
      <c r="H83" s="134"/>
    </row>
    <row r="84" spans="2:8" s="140" customFormat="1" x14ac:dyDescent="0.25">
      <c r="B84" s="155"/>
      <c r="C84" s="152"/>
      <c r="D84" s="152"/>
      <c r="E84" s="152"/>
      <c r="F84" s="151"/>
      <c r="G84" s="156"/>
      <c r="H84" s="134"/>
    </row>
    <row r="85" spans="2:8" s="140" customFormat="1" x14ac:dyDescent="0.25">
      <c r="B85" s="155"/>
      <c r="C85" s="152"/>
      <c r="D85" s="152"/>
      <c r="E85" s="152"/>
      <c r="F85" s="151"/>
      <c r="G85" s="156"/>
      <c r="H85" s="134"/>
    </row>
    <row r="86" spans="2:8" s="140" customFormat="1" x14ac:dyDescent="0.25">
      <c r="B86" s="155"/>
      <c r="C86" s="152"/>
      <c r="D86" s="152"/>
      <c r="E86" s="152"/>
      <c r="F86" s="151"/>
      <c r="G86" s="156"/>
      <c r="H86" s="134"/>
    </row>
    <row r="87" spans="2:8" s="140" customFormat="1" x14ac:dyDescent="0.25">
      <c r="B87" s="155"/>
      <c r="C87" s="152"/>
      <c r="D87" s="152"/>
      <c r="E87" s="152"/>
      <c r="F87" s="151"/>
      <c r="G87" s="156"/>
      <c r="H87" s="134"/>
    </row>
    <row r="88" spans="2:8" s="140" customFormat="1" x14ac:dyDescent="0.25">
      <c r="B88" s="155"/>
      <c r="C88" s="152"/>
      <c r="D88" s="152"/>
      <c r="E88" s="152"/>
      <c r="F88" s="151"/>
      <c r="G88" s="156"/>
      <c r="H88" s="134"/>
    </row>
    <row r="89" spans="2:8" s="140" customFormat="1" x14ac:dyDescent="0.25">
      <c r="B89" s="155"/>
      <c r="C89" s="152"/>
      <c r="D89" s="152"/>
      <c r="E89" s="152"/>
      <c r="F89" s="151"/>
      <c r="G89" s="156"/>
      <c r="H89" s="134"/>
    </row>
    <row r="90" spans="2:8" s="140" customFormat="1" ht="13.5" thickBot="1" x14ac:dyDescent="0.3">
      <c r="B90" s="155"/>
      <c r="C90" s="152"/>
      <c r="D90" s="152"/>
      <c r="E90" s="152"/>
      <c r="F90" s="151"/>
      <c r="G90" s="156"/>
      <c r="H90" s="134"/>
    </row>
    <row r="91" spans="2:8" s="140" customFormat="1" ht="13.5" thickBot="1" x14ac:dyDescent="0.3">
      <c r="B91" s="157"/>
      <c r="C91" s="159"/>
      <c r="D91" s="159"/>
      <c r="E91" s="159"/>
      <c r="F91" s="158"/>
      <c r="G91" s="160"/>
      <c r="H91" s="161">
        <f>+SUM(G79:G91)</f>
        <v>96.250000000000014</v>
      </c>
    </row>
    <row r="92" spans="2:8" s="140" customFormat="1" ht="13.5" thickBot="1" x14ac:dyDescent="0.3">
      <c r="B92" s="162"/>
      <c r="C92" s="162"/>
      <c r="D92" s="162"/>
      <c r="E92" s="162"/>
      <c r="F92" s="163"/>
      <c r="G92" s="164"/>
      <c r="H92" s="165"/>
    </row>
    <row r="93" spans="2:8" s="140" customFormat="1" ht="13.5" thickBot="1" x14ac:dyDescent="0.3">
      <c r="B93" s="143" t="s">
        <v>5410</v>
      </c>
      <c r="C93" s="144" t="s">
        <v>867</v>
      </c>
      <c r="D93" s="144" t="s">
        <v>6</v>
      </c>
      <c r="E93" s="144" t="s">
        <v>870</v>
      </c>
      <c r="F93" s="144" t="s">
        <v>5411</v>
      </c>
      <c r="G93" s="145" t="s">
        <v>868</v>
      </c>
      <c r="H93" s="134"/>
    </row>
    <row r="94" spans="2:8" s="140" customFormat="1" x14ac:dyDescent="0.25">
      <c r="B94" s="166"/>
      <c r="C94" s="148"/>
      <c r="D94" s="148"/>
      <c r="E94" s="148"/>
      <c r="F94" s="147"/>
      <c r="G94" s="172"/>
      <c r="H94" s="134"/>
    </row>
    <row r="95" spans="2:8" s="140" customFormat="1" x14ac:dyDescent="0.25">
      <c r="B95" s="166"/>
      <c r="C95" s="148"/>
      <c r="D95" s="148"/>
      <c r="E95" s="148"/>
      <c r="F95" s="147"/>
      <c r="G95" s="172"/>
      <c r="H95" s="134"/>
    </row>
    <row r="96" spans="2:8" s="140" customFormat="1" x14ac:dyDescent="0.25">
      <c r="B96" s="155"/>
      <c r="C96" s="152"/>
      <c r="D96" s="152"/>
      <c r="E96" s="152"/>
      <c r="F96" s="151"/>
      <c r="G96" s="156"/>
      <c r="H96" s="134"/>
    </row>
    <row r="97" spans="2:8" s="140" customFormat="1" x14ac:dyDescent="0.25">
      <c r="B97" s="155"/>
      <c r="C97" s="152"/>
      <c r="D97" s="152"/>
      <c r="E97" s="152"/>
      <c r="F97" s="151"/>
      <c r="G97" s="156"/>
      <c r="H97" s="134"/>
    </row>
    <row r="98" spans="2:8" s="140" customFormat="1" ht="13.5" thickBot="1" x14ac:dyDescent="0.3">
      <c r="B98" s="155"/>
      <c r="C98" s="152"/>
      <c r="D98" s="152"/>
      <c r="E98" s="152"/>
      <c r="F98" s="151"/>
      <c r="G98" s="156"/>
      <c r="H98" s="134"/>
    </row>
    <row r="99" spans="2:8" s="140" customFormat="1" ht="13.5" thickBot="1" x14ac:dyDescent="0.3">
      <c r="B99" s="157"/>
      <c r="C99" s="159"/>
      <c r="D99" s="159"/>
      <c r="E99" s="159"/>
      <c r="F99" s="158"/>
      <c r="G99" s="160"/>
      <c r="H99" s="161">
        <f>+SUM(G94:G99)</f>
        <v>0</v>
      </c>
    </row>
    <row r="100" spans="2:8" s="140" customFormat="1" ht="13.5" thickBot="1" x14ac:dyDescent="0.3">
      <c r="B100" s="162"/>
      <c r="C100" s="162"/>
      <c r="D100" s="162"/>
      <c r="E100" s="162"/>
      <c r="F100" s="173"/>
      <c r="G100" s="174"/>
      <c r="H100" s="165"/>
    </row>
    <row r="101" spans="2:8" s="140" customFormat="1" ht="13.5" thickBot="1" x14ac:dyDescent="0.3">
      <c r="B101" s="143" t="s">
        <v>5412</v>
      </c>
      <c r="C101" s="193" t="s">
        <v>5420</v>
      </c>
      <c r="D101" s="193" t="s">
        <v>5421</v>
      </c>
      <c r="E101" s="144" t="s">
        <v>5413</v>
      </c>
      <c r="F101" s="144" t="s">
        <v>5405</v>
      </c>
      <c r="G101" s="145" t="s">
        <v>868</v>
      </c>
      <c r="H101" s="134"/>
    </row>
    <row r="102" spans="2:8" s="140" customFormat="1" x14ac:dyDescent="0.25">
      <c r="B102" s="166" t="s">
        <v>5469</v>
      </c>
      <c r="C102" s="353">
        <v>70000</v>
      </c>
      <c r="D102" s="353">
        <f>0.85*C102</f>
        <v>59500</v>
      </c>
      <c r="E102" s="353">
        <f>+C102+D102</f>
        <v>129500</v>
      </c>
      <c r="F102" s="204">
        <v>150</v>
      </c>
      <c r="G102" s="351">
        <f>+E102/F102</f>
        <v>863.33333333333337</v>
      </c>
      <c r="H102" s="134"/>
    </row>
    <row r="103" spans="2:8" s="140" customFormat="1" x14ac:dyDescent="0.25">
      <c r="B103" s="166" t="s">
        <v>5470</v>
      </c>
      <c r="C103" s="346">
        <v>40000</v>
      </c>
      <c r="D103" s="353">
        <f>0.85*C103</f>
        <v>34000</v>
      </c>
      <c r="E103" s="353">
        <f>+C103+D103</f>
        <v>74000</v>
      </c>
      <c r="F103" s="204">
        <v>150</v>
      </c>
      <c r="G103" s="351">
        <f>+E103/F103</f>
        <v>493.33333333333331</v>
      </c>
      <c r="H103" s="134"/>
    </row>
    <row r="104" spans="2:8" s="140" customFormat="1" x14ac:dyDescent="0.25">
      <c r="B104" s="155" t="s">
        <v>5471</v>
      </c>
      <c r="C104" s="346">
        <v>25000</v>
      </c>
      <c r="D104" s="353">
        <f>0.85*C104</f>
        <v>21250</v>
      </c>
      <c r="E104" s="353">
        <f>+C104+D104</f>
        <v>46250</v>
      </c>
      <c r="F104" s="205">
        <v>150</v>
      </c>
      <c r="G104" s="351">
        <f>+E104/F104</f>
        <v>308.33333333333331</v>
      </c>
      <c r="H104" s="134"/>
    </row>
    <row r="105" spans="2:8" s="140" customFormat="1" x14ac:dyDescent="0.25">
      <c r="B105" s="155" t="s">
        <v>5472</v>
      </c>
      <c r="C105" s="213">
        <v>22000</v>
      </c>
      <c r="D105" s="353">
        <f>0.85*C105</f>
        <v>18700</v>
      </c>
      <c r="E105" s="353">
        <f>+C105+D105</f>
        <v>40700</v>
      </c>
      <c r="F105" s="205">
        <v>150</v>
      </c>
      <c r="G105" s="351">
        <f>+E105/F105</f>
        <v>271.33333333333331</v>
      </c>
      <c r="H105" s="134"/>
    </row>
    <row r="106" spans="2:8" s="140" customFormat="1" x14ac:dyDescent="0.25">
      <c r="B106" s="155"/>
      <c r="C106" s="152"/>
      <c r="D106" s="152"/>
      <c r="E106" s="152"/>
      <c r="F106" s="151"/>
      <c r="G106" s="156"/>
      <c r="H106" s="134"/>
    </row>
    <row r="107" spans="2:8" s="140" customFormat="1" ht="13.5" thickBot="1" x14ac:dyDescent="0.3">
      <c r="B107" s="155"/>
      <c r="C107" s="152"/>
      <c r="D107" s="152"/>
      <c r="E107" s="152"/>
      <c r="F107" s="151"/>
      <c r="G107" s="156"/>
      <c r="H107" s="134"/>
    </row>
    <row r="108" spans="2:8" s="140" customFormat="1" ht="13.5" thickBot="1" x14ac:dyDescent="0.3">
      <c r="B108" s="179"/>
      <c r="C108" s="180"/>
      <c r="D108" s="180"/>
      <c r="E108" s="180"/>
      <c r="F108" s="181"/>
      <c r="G108" s="182"/>
      <c r="H108" s="161">
        <f>+SUM(G102:G108)</f>
        <v>1936.3333333333333</v>
      </c>
    </row>
    <row r="109" spans="2:8" s="140" customFormat="1" ht="13.5" thickBot="1" x14ac:dyDescent="0.3">
      <c r="F109" s="141"/>
      <c r="G109" s="134"/>
      <c r="H109" s="134"/>
    </row>
    <row r="110" spans="2:8" s="140" customFormat="1" ht="13.5" thickBot="1" x14ac:dyDescent="0.3">
      <c r="E110" s="183" t="s">
        <v>5415</v>
      </c>
      <c r="F110" s="141"/>
      <c r="G110" s="134"/>
      <c r="H110" s="161">
        <f>ROUND(+H76+H91+H99+H108,0)</f>
        <v>2283</v>
      </c>
    </row>
    <row r="115" spans="1:8" ht="18.75" x14ac:dyDescent="0.25">
      <c r="A115" s="133"/>
      <c r="B115" s="2506" t="s">
        <v>5473</v>
      </c>
      <c r="C115" s="2506"/>
      <c r="D115" s="2506"/>
      <c r="E115" s="2506"/>
      <c r="F115" s="2506"/>
      <c r="G115" s="2506"/>
    </row>
    <row r="116" spans="1:8" x14ac:dyDescent="0.25">
      <c r="A116" s="133"/>
      <c r="G116" s="134"/>
    </row>
    <row r="117" spans="1:8" x14ac:dyDescent="0.25">
      <c r="A117" s="133"/>
      <c r="G117" s="134"/>
    </row>
    <row r="118" spans="1:8" x14ac:dyDescent="0.25">
      <c r="A118" s="133"/>
      <c r="G118" s="134"/>
    </row>
    <row r="119" spans="1:8" s="140" customFormat="1" x14ac:dyDescent="0.25">
      <c r="A119" s="138" t="s">
        <v>3</v>
      </c>
      <c r="B119" s="138" t="s">
        <v>5419</v>
      </c>
      <c r="C119" s="2451" t="s">
        <v>5965</v>
      </c>
      <c r="D119" s="2451"/>
      <c r="E119" s="2451"/>
      <c r="F119" s="138" t="s">
        <v>867</v>
      </c>
      <c r="G119" s="139" t="s">
        <v>5481</v>
      </c>
      <c r="H119" s="134"/>
    </row>
    <row r="120" spans="1:8" s="140" customFormat="1" x14ac:dyDescent="0.25">
      <c r="A120" s="141"/>
      <c r="F120" s="141"/>
      <c r="G120" s="134"/>
      <c r="H120" s="134"/>
    </row>
    <row r="121" spans="1:8" s="140" customFormat="1" x14ac:dyDescent="0.25">
      <c r="A121" s="141"/>
      <c r="F121" s="141"/>
      <c r="G121" s="142"/>
      <c r="H121" s="134"/>
    </row>
    <row r="122" spans="1:8" s="140" customFormat="1" ht="13.5" thickBot="1" x14ac:dyDescent="0.3">
      <c r="A122" s="141"/>
      <c r="F122" s="141"/>
      <c r="G122" s="134"/>
      <c r="H122" s="134"/>
    </row>
    <row r="123" spans="1:8" s="140" customFormat="1" ht="13.5" thickBot="1" x14ac:dyDescent="0.3">
      <c r="A123" s="141"/>
      <c r="B123" s="143" t="s">
        <v>5403</v>
      </c>
      <c r="C123" s="144" t="s">
        <v>867</v>
      </c>
      <c r="D123" s="144" t="s">
        <v>6</v>
      </c>
      <c r="E123" s="144" t="s">
        <v>5404</v>
      </c>
      <c r="F123" s="144" t="s">
        <v>5405</v>
      </c>
      <c r="G123" s="145" t="s">
        <v>868</v>
      </c>
      <c r="H123" s="134"/>
    </row>
    <row r="124" spans="1:8" s="140" customFormat="1" x14ac:dyDescent="0.25">
      <c r="A124" s="141"/>
      <c r="B124" s="217" t="s">
        <v>5440</v>
      </c>
      <c r="C124" s="147"/>
      <c r="D124" s="148"/>
      <c r="E124" s="148">
        <f>+H162</f>
        <v>5688.75</v>
      </c>
      <c r="F124" s="191">
        <v>0.05</v>
      </c>
      <c r="G124" s="360">
        <f>+E124*F124</f>
        <v>284.4375</v>
      </c>
      <c r="H124" s="134"/>
    </row>
    <row r="125" spans="1:8" s="140" customFormat="1" x14ac:dyDescent="0.25">
      <c r="A125" s="141"/>
      <c r="B125" s="150" t="s">
        <v>5479</v>
      </c>
      <c r="C125" s="151" t="s">
        <v>5424</v>
      </c>
      <c r="D125" s="205">
        <v>1</v>
      </c>
      <c r="E125" s="148">
        <v>3500</v>
      </c>
      <c r="F125" s="192">
        <v>1</v>
      </c>
      <c r="G125" s="360">
        <f>+E125/F125</f>
        <v>3500</v>
      </c>
      <c r="H125" s="134"/>
    </row>
    <row r="126" spans="1:8" s="140" customFormat="1" x14ac:dyDescent="0.25">
      <c r="A126" s="141"/>
      <c r="B126" s="154"/>
      <c r="C126" s="151"/>
      <c r="D126" s="152"/>
      <c r="E126" s="148"/>
      <c r="F126" s="185"/>
      <c r="G126" s="149"/>
      <c r="H126" s="134"/>
    </row>
    <row r="127" spans="1:8" s="140" customFormat="1" x14ac:dyDescent="0.25">
      <c r="A127" s="141"/>
      <c r="B127" s="155"/>
      <c r="C127" s="151"/>
      <c r="D127" s="152"/>
      <c r="E127" s="152"/>
      <c r="F127" s="151"/>
      <c r="G127" s="156"/>
      <c r="H127" s="134"/>
    </row>
    <row r="128" spans="1:8" s="140" customFormat="1" x14ac:dyDescent="0.25">
      <c r="A128" s="141"/>
      <c r="B128" s="155"/>
      <c r="C128" s="151"/>
      <c r="D128" s="152"/>
      <c r="E128" s="152"/>
      <c r="F128" s="151"/>
      <c r="G128" s="156"/>
      <c r="H128" s="134"/>
    </row>
    <row r="129" spans="1:8" s="140" customFormat="1" ht="13.5" thickBot="1" x14ac:dyDescent="0.3">
      <c r="A129" s="141"/>
      <c r="B129" s="155"/>
      <c r="C129" s="151"/>
      <c r="D129" s="152"/>
      <c r="E129" s="152"/>
      <c r="F129" s="151"/>
      <c r="G129" s="156"/>
      <c r="H129" s="134"/>
    </row>
    <row r="130" spans="1:8" s="140" customFormat="1" ht="13.5" thickBot="1" x14ac:dyDescent="0.3">
      <c r="A130" s="141"/>
      <c r="B130" s="157"/>
      <c r="C130" s="158"/>
      <c r="D130" s="159"/>
      <c r="E130" s="159"/>
      <c r="F130" s="158"/>
      <c r="G130" s="160"/>
      <c r="H130" s="161">
        <f>+SUM(G124:G130)</f>
        <v>3784.4375</v>
      </c>
    </row>
    <row r="131" spans="1:8" s="140" customFormat="1" ht="13.5" thickBot="1" x14ac:dyDescent="0.3">
      <c r="A131" s="141"/>
      <c r="B131" s="162"/>
      <c r="C131" s="163"/>
      <c r="D131" s="162"/>
      <c r="E131" s="162"/>
      <c r="F131" s="163"/>
      <c r="G131" s="164"/>
      <c r="H131" s="165"/>
    </row>
    <row r="132" spans="1:8" s="140" customFormat="1" ht="13.5" thickBot="1" x14ac:dyDescent="0.3">
      <c r="B132" s="143" t="s">
        <v>5408</v>
      </c>
      <c r="C132" s="144" t="s">
        <v>867</v>
      </c>
      <c r="D132" s="144" t="s">
        <v>6</v>
      </c>
      <c r="E132" s="144" t="s">
        <v>870</v>
      </c>
      <c r="F132" s="144" t="s">
        <v>5409</v>
      </c>
      <c r="G132" s="145" t="s">
        <v>868</v>
      </c>
      <c r="H132" s="134"/>
    </row>
    <row r="133" spans="1:8" s="140" customFormat="1" x14ac:dyDescent="0.25">
      <c r="B133" s="166" t="s">
        <v>5474</v>
      </c>
      <c r="C133" s="147" t="s">
        <v>5475</v>
      </c>
      <c r="D133" s="167">
        <v>0.25</v>
      </c>
      <c r="E133" s="366">
        <v>8800</v>
      </c>
      <c r="F133" s="169">
        <v>0.05</v>
      </c>
      <c r="G133" s="367">
        <f>+D133*E133*(1+F133)</f>
        <v>2310</v>
      </c>
      <c r="H133" s="134"/>
    </row>
    <row r="134" spans="1:8" s="140" customFormat="1" x14ac:dyDescent="0.25">
      <c r="B134" s="155" t="s">
        <v>5480</v>
      </c>
      <c r="C134" s="151" t="s">
        <v>5475</v>
      </c>
      <c r="D134" s="197">
        <v>0.04</v>
      </c>
      <c r="E134" s="346">
        <v>80000</v>
      </c>
      <c r="F134" s="169">
        <v>0.05</v>
      </c>
      <c r="G134" s="367">
        <f>+D134*E134*(1+F134)</f>
        <v>3360</v>
      </c>
      <c r="H134" s="134"/>
    </row>
    <row r="135" spans="1:8" s="140" customFormat="1" x14ac:dyDescent="0.25">
      <c r="B135" s="155"/>
      <c r="C135" s="151"/>
      <c r="D135" s="152"/>
      <c r="E135" s="346"/>
      <c r="F135" s="169"/>
      <c r="G135" s="172"/>
      <c r="H135" s="134"/>
    </row>
    <row r="136" spans="1:8" s="140" customFormat="1" x14ac:dyDescent="0.25">
      <c r="B136" s="155"/>
      <c r="C136" s="152"/>
      <c r="D136" s="152"/>
      <c r="E136" s="152"/>
      <c r="F136" s="151"/>
      <c r="G136" s="156"/>
      <c r="H136" s="134"/>
    </row>
    <row r="137" spans="1:8" s="140" customFormat="1" x14ac:dyDescent="0.25">
      <c r="B137" s="155"/>
      <c r="C137" s="152"/>
      <c r="D137" s="152"/>
      <c r="E137" s="152"/>
      <c r="F137" s="151"/>
      <c r="G137" s="156"/>
      <c r="H137" s="134"/>
    </row>
    <row r="138" spans="1:8" s="140" customFormat="1" x14ac:dyDescent="0.25">
      <c r="B138" s="155"/>
      <c r="C138" s="152"/>
      <c r="D138" s="152"/>
      <c r="E138" s="152"/>
      <c r="F138" s="151"/>
      <c r="G138" s="156"/>
      <c r="H138" s="134"/>
    </row>
    <row r="139" spans="1:8" s="140" customFormat="1" x14ac:dyDescent="0.25">
      <c r="B139" s="155"/>
      <c r="C139" s="152"/>
      <c r="D139" s="152"/>
      <c r="E139" s="152"/>
      <c r="F139" s="151"/>
      <c r="G139" s="156"/>
      <c r="H139" s="134"/>
    </row>
    <row r="140" spans="1:8" s="140" customFormat="1" x14ac:dyDescent="0.25">
      <c r="B140" s="155"/>
      <c r="C140" s="152"/>
      <c r="D140" s="152"/>
      <c r="E140" s="152"/>
      <c r="F140" s="151"/>
      <c r="G140" s="156"/>
      <c r="H140" s="134"/>
    </row>
    <row r="141" spans="1:8" s="140" customFormat="1" x14ac:dyDescent="0.25">
      <c r="B141" s="155"/>
      <c r="C141" s="152"/>
      <c r="D141" s="152"/>
      <c r="E141" s="152"/>
      <c r="F141" s="151"/>
      <c r="G141" s="156"/>
      <c r="H141" s="134"/>
    </row>
    <row r="142" spans="1:8" s="140" customFormat="1" x14ac:dyDescent="0.25">
      <c r="B142" s="155"/>
      <c r="C142" s="152"/>
      <c r="D142" s="152"/>
      <c r="E142" s="152"/>
      <c r="F142" s="151"/>
      <c r="G142" s="156"/>
      <c r="H142" s="134"/>
    </row>
    <row r="143" spans="1:8" s="140" customFormat="1" x14ac:dyDescent="0.25">
      <c r="B143" s="155"/>
      <c r="C143" s="152"/>
      <c r="D143" s="152"/>
      <c r="E143" s="152"/>
      <c r="F143" s="151"/>
      <c r="G143" s="156"/>
      <c r="H143" s="134"/>
    </row>
    <row r="144" spans="1:8" s="140" customFormat="1" ht="13.5" thickBot="1" x14ac:dyDescent="0.3">
      <c r="B144" s="155"/>
      <c r="C144" s="152"/>
      <c r="D144" s="152"/>
      <c r="E144" s="152"/>
      <c r="F144" s="151"/>
      <c r="G144" s="156"/>
      <c r="H144" s="134"/>
    </row>
    <row r="145" spans="2:8" s="140" customFormat="1" ht="13.5" thickBot="1" x14ac:dyDescent="0.3">
      <c r="B145" s="157"/>
      <c r="C145" s="159"/>
      <c r="D145" s="159"/>
      <c r="E145" s="159"/>
      <c r="F145" s="158"/>
      <c r="G145" s="160"/>
      <c r="H145" s="161">
        <f>+SUM(G133:G145)</f>
        <v>5670</v>
      </c>
    </row>
    <row r="146" spans="2:8" s="140" customFormat="1" ht="13.5" thickBot="1" x14ac:dyDescent="0.3">
      <c r="B146" s="162"/>
      <c r="C146" s="162"/>
      <c r="D146" s="162"/>
      <c r="E146" s="162"/>
      <c r="F146" s="163"/>
      <c r="G146" s="164"/>
      <c r="H146" s="165"/>
    </row>
    <row r="147" spans="2:8" s="140" customFormat="1" ht="13.5" thickBot="1" x14ac:dyDescent="0.3">
      <c r="B147" s="143" t="s">
        <v>5410</v>
      </c>
      <c r="C147" s="144" t="s">
        <v>867</v>
      </c>
      <c r="D147" s="144" t="s">
        <v>6</v>
      </c>
      <c r="E147" s="144" t="s">
        <v>870</v>
      </c>
      <c r="F147" s="144" t="s">
        <v>5411</v>
      </c>
      <c r="G147" s="145" t="s">
        <v>868</v>
      </c>
      <c r="H147" s="134"/>
    </row>
    <row r="148" spans="2:8" s="140" customFormat="1" x14ac:dyDescent="0.25">
      <c r="B148" s="166"/>
      <c r="C148" s="148"/>
      <c r="D148" s="148"/>
      <c r="E148" s="148"/>
      <c r="F148" s="147"/>
      <c r="G148" s="172"/>
      <c r="H148" s="134"/>
    </row>
    <row r="149" spans="2:8" s="140" customFormat="1" x14ac:dyDescent="0.25">
      <c r="B149" s="166"/>
      <c r="C149" s="148"/>
      <c r="D149" s="148"/>
      <c r="E149" s="148"/>
      <c r="F149" s="147"/>
      <c r="G149" s="172"/>
      <c r="H149" s="134"/>
    </row>
    <row r="150" spans="2:8" s="140" customFormat="1" x14ac:dyDescent="0.25">
      <c r="B150" s="155"/>
      <c r="C150" s="152"/>
      <c r="D150" s="152"/>
      <c r="E150" s="152"/>
      <c r="F150" s="151"/>
      <c r="G150" s="156"/>
      <c r="H150" s="134"/>
    </row>
    <row r="151" spans="2:8" s="140" customFormat="1" x14ac:dyDescent="0.25">
      <c r="B151" s="155"/>
      <c r="C151" s="152"/>
      <c r="D151" s="152"/>
      <c r="E151" s="152"/>
      <c r="F151" s="151"/>
      <c r="G151" s="156"/>
      <c r="H151" s="134"/>
    </row>
    <row r="152" spans="2:8" s="140" customFormat="1" ht="13.5" thickBot="1" x14ac:dyDescent="0.3">
      <c r="B152" s="155"/>
      <c r="C152" s="152"/>
      <c r="D152" s="152"/>
      <c r="E152" s="152"/>
      <c r="F152" s="151"/>
      <c r="G152" s="156"/>
      <c r="H152" s="134"/>
    </row>
    <row r="153" spans="2:8" s="140" customFormat="1" ht="13.5" thickBot="1" x14ac:dyDescent="0.3">
      <c r="B153" s="157"/>
      <c r="C153" s="159"/>
      <c r="D153" s="159"/>
      <c r="E153" s="159"/>
      <c r="F153" s="158"/>
      <c r="G153" s="160"/>
      <c r="H153" s="161">
        <f>+SUM(G148:G153)</f>
        <v>0</v>
      </c>
    </row>
    <row r="154" spans="2:8" s="140" customFormat="1" ht="13.5" thickBot="1" x14ac:dyDescent="0.3">
      <c r="B154" s="162"/>
      <c r="C154" s="162"/>
      <c r="D154" s="162"/>
      <c r="E154" s="162"/>
      <c r="F154" s="173"/>
      <c r="G154" s="174"/>
      <c r="H154" s="165"/>
    </row>
    <row r="155" spans="2:8" s="140" customFormat="1" ht="13.5" thickBot="1" x14ac:dyDescent="0.3">
      <c r="B155" s="143" t="s">
        <v>5412</v>
      </c>
      <c r="C155" s="193" t="s">
        <v>5420</v>
      </c>
      <c r="D155" s="193" t="s">
        <v>5421</v>
      </c>
      <c r="E155" s="144" t="s">
        <v>5413</v>
      </c>
      <c r="F155" s="144" t="s">
        <v>5405</v>
      </c>
      <c r="G155" s="145" t="s">
        <v>868</v>
      </c>
      <c r="H155" s="134"/>
    </row>
    <row r="156" spans="2:8" s="140" customFormat="1" x14ac:dyDescent="0.25">
      <c r="B156" s="194" t="s">
        <v>5650</v>
      </c>
      <c r="C156" s="345">
        <v>70000</v>
      </c>
      <c r="D156" s="345">
        <f>+C156*0.85</f>
        <v>59500</v>
      </c>
      <c r="E156" s="353">
        <f>+C156+D156</f>
        <v>129500</v>
      </c>
      <c r="F156" s="192">
        <v>160</v>
      </c>
      <c r="G156" s="351">
        <f>+E156/F156</f>
        <v>809.375</v>
      </c>
      <c r="H156" s="134"/>
    </row>
    <row r="157" spans="2:8" s="140" customFormat="1" x14ac:dyDescent="0.25">
      <c r="B157" s="194" t="s">
        <v>5651</v>
      </c>
      <c r="C157" s="345">
        <v>40000</v>
      </c>
      <c r="D157" s="345">
        <f>+C157*0.85</f>
        <v>34000</v>
      </c>
      <c r="E157" s="353">
        <f>+C157+D157</f>
        <v>74000</v>
      </c>
      <c r="F157" s="192">
        <v>80</v>
      </c>
      <c r="G157" s="351">
        <f>+E157/F157</f>
        <v>925</v>
      </c>
      <c r="H157" s="134"/>
    </row>
    <row r="158" spans="2:8" s="140" customFormat="1" x14ac:dyDescent="0.25">
      <c r="B158" s="195" t="s">
        <v>5635</v>
      </c>
      <c r="C158" s="345">
        <v>20600</v>
      </c>
      <c r="D158" s="345">
        <f>+C158*0.85</f>
        <v>17510</v>
      </c>
      <c r="E158" s="353">
        <f>+C158+D158</f>
        <v>38110</v>
      </c>
      <c r="F158" s="192">
        <v>8</v>
      </c>
      <c r="G158" s="351">
        <f>+E158/F158</f>
        <v>4763.75</v>
      </c>
      <c r="H158" s="134"/>
    </row>
    <row r="159" spans="2:8" s="140" customFormat="1" x14ac:dyDescent="0.25">
      <c r="B159" s="155"/>
      <c r="C159" s="152"/>
      <c r="D159" s="152"/>
      <c r="E159" s="152"/>
      <c r="F159" s="151"/>
      <c r="G159" s="156"/>
      <c r="H159" s="134"/>
    </row>
    <row r="160" spans="2:8" s="140" customFormat="1" x14ac:dyDescent="0.25">
      <c r="B160" s="155"/>
      <c r="C160" s="152"/>
      <c r="D160" s="152"/>
      <c r="E160" s="152"/>
      <c r="F160" s="151"/>
      <c r="G160" s="156"/>
      <c r="H160" s="134"/>
    </row>
    <row r="161" spans="1:8" s="140" customFormat="1" ht="13.5" thickBot="1" x14ac:dyDescent="0.3">
      <c r="B161" s="155"/>
      <c r="C161" s="152"/>
      <c r="D161" s="152"/>
      <c r="E161" s="152"/>
      <c r="F161" s="151"/>
      <c r="G161" s="156"/>
      <c r="H161" s="134"/>
    </row>
    <row r="162" spans="1:8" s="140" customFormat="1" ht="13.5" thickBot="1" x14ac:dyDescent="0.3">
      <c r="B162" s="179"/>
      <c r="C162" s="180"/>
      <c r="D162" s="180"/>
      <c r="E162" s="180"/>
      <c r="F162" s="181"/>
      <c r="G162" s="182"/>
      <c r="H162" s="161">
        <f>+SUM(G157:G162)</f>
        <v>5688.75</v>
      </c>
    </row>
    <row r="163" spans="1:8" s="140" customFormat="1" ht="13.5" thickBot="1" x14ac:dyDescent="0.3">
      <c r="F163" s="141"/>
      <c r="G163" s="134"/>
      <c r="H163" s="134"/>
    </row>
    <row r="164" spans="1:8" s="140" customFormat="1" ht="13.5" thickBot="1" x14ac:dyDescent="0.3">
      <c r="E164" s="183" t="s">
        <v>5415</v>
      </c>
      <c r="F164" s="141"/>
      <c r="G164" s="134"/>
      <c r="H164" s="161">
        <f>ROUND(+H130+H145+H153+H162,0)</f>
        <v>15143</v>
      </c>
    </row>
    <row r="169" spans="1:8" ht="18.75" x14ac:dyDescent="0.25">
      <c r="A169" s="133"/>
      <c r="B169" s="2506" t="s">
        <v>5400</v>
      </c>
      <c r="C169" s="2506"/>
      <c r="D169" s="2506"/>
      <c r="E169" s="2506"/>
      <c r="F169" s="2506"/>
      <c r="G169" s="2506"/>
    </row>
    <row r="170" spans="1:8" x14ac:dyDescent="0.25">
      <c r="A170" s="133"/>
      <c r="G170" s="134"/>
    </row>
    <row r="171" spans="1:8" x14ac:dyDescent="0.25">
      <c r="A171" s="133"/>
      <c r="G171" s="134"/>
    </row>
    <row r="172" spans="1:8" x14ac:dyDescent="0.25">
      <c r="A172" s="133"/>
      <c r="G172" s="134"/>
    </row>
    <row r="173" spans="1:8" s="140" customFormat="1" x14ac:dyDescent="0.25">
      <c r="A173" s="138" t="s">
        <v>3</v>
      </c>
      <c r="B173" s="138" t="s">
        <v>5422</v>
      </c>
      <c r="C173" s="2451" t="s">
        <v>5423</v>
      </c>
      <c r="D173" s="2451"/>
      <c r="E173" s="2451"/>
      <c r="F173" s="138" t="s">
        <v>867</v>
      </c>
      <c r="G173" s="139" t="s">
        <v>5424</v>
      </c>
      <c r="H173" s="134"/>
    </row>
    <row r="174" spans="1:8" s="140" customFormat="1" x14ac:dyDescent="0.25">
      <c r="A174" s="141"/>
      <c r="F174" s="141"/>
      <c r="G174" s="134"/>
      <c r="H174" s="134"/>
    </row>
    <row r="175" spans="1:8" s="140" customFormat="1" x14ac:dyDescent="0.25">
      <c r="A175" s="141"/>
      <c r="F175" s="141"/>
      <c r="G175" s="142"/>
      <c r="H175" s="134"/>
    </row>
    <row r="176" spans="1:8" s="140" customFormat="1" ht="13.5" thickBot="1" x14ac:dyDescent="0.3">
      <c r="A176" s="141"/>
      <c r="F176" s="141"/>
      <c r="G176" s="134"/>
      <c r="H176" s="134"/>
    </row>
    <row r="177" spans="1:8" s="140" customFormat="1" ht="13.5" thickBot="1" x14ac:dyDescent="0.3">
      <c r="A177" s="141"/>
      <c r="B177" s="143" t="s">
        <v>5403</v>
      </c>
      <c r="C177" s="144" t="s">
        <v>867</v>
      </c>
      <c r="D177" s="144" t="s">
        <v>6</v>
      </c>
      <c r="E177" s="144" t="s">
        <v>5404</v>
      </c>
      <c r="F177" s="144" t="s">
        <v>5405</v>
      </c>
      <c r="G177" s="145" t="s">
        <v>868</v>
      </c>
      <c r="H177" s="134"/>
    </row>
    <row r="178" spans="1:8" s="140" customFormat="1" x14ac:dyDescent="0.25">
      <c r="A178" s="141"/>
      <c r="B178" s="217" t="s">
        <v>5440</v>
      </c>
      <c r="C178" s="147" t="s">
        <v>5406</v>
      </c>
      <c r="D178" s="148"/>
      <c r="E178" s="148">
        <f>+H216</f>
        <v>118605.55555555556</v>
      </c>
      <c r="F178" s="191">
        <v>0.05</v>
      </c>
      <c r="G178" s="149">
        <f>+E178*F178</f>
        <v>5930.2777777777783</v>
      </c>
      <c r="H178" s="134"/>
    </row>
    <row r="179" spans="1:8" s="140" customFormat="1" x14ac:dyDescent="0.25">
      <c r="A179" s="141"/>
      <c r="B179" s="150" t="s">
        <v>5479</v>
      </c>
      <c r="C179" s="151" t="s">
        <v>5424</v>
      </c>
      <c r="D179" s="205">
        <v>1</v>
      </c>
      <c r="E179" s="148">
        <v>3500</v>
      </c>
      <c r="F179" s="192">
        <v>1</v>
      </c>
      <c r="G179" s="360">
        <f>+E179/F179</f>
        <v>3500</v>
      </c>
      <c r="H179" s="134"/>
    </row>
    <row r="180" spans="1:8" s="140" customFormat="1" x14ac:dyDescent="0.25">
      <c r="A180" s="141"/>
      <c r="B180" s="154"/>
      <c r="C180" s="151"/>
      <c r="D180" s="152"/>
      <c r="E180" s="148"/>
      <c r="F180" s="185"/>
      <c r="G180" s="149"/>
      <c r="H180" s="134"/>
    </row>
    <row r="181" spans="1:8" s="140" customFormat="1" x14ac:dyDescent="0.25">
      <c r="A181" s="141"/>
      <c r="B181" s="155"/>
      <c r="C181" s="151"/>
      <c r="D181" s="152"/>
      <c r="E181" s="152"/>
      <c r="F181" s="151"/>
      <c r="G181" s="156"/>
      <c r="H181" s="134"/>
    </row>
    <row r="182" spans="1:8" s="140" customFormat="1" x14ac:dyDescent="0.25">
      <c r="A182" s="141"/>
      <c r="B182" s="155"/>
      <c r="C182" s="151"/>
      <c r="D182" s="152"/>
      <c r="E182" s="152"/>
      <c r="F182" s="151"/>
      <c r="G182" s="156"/>
      <c r="H182" s="134"/>
    </row>
    <row r="183" spans="1:8" s="140" customFormat="1" ht="13.5" thickBot="1" x14ac:dyDescent="0.3">
      <c r="A183" s="141"/>
      <c r="B183" s="155"/>
      <c r="C183" s="151"/>
      <c r="D183" s="152"/>
      <c r="E183" s="152"/>
      <c r="F183" s="151"/>
      <c r="G183" s="156"/>
      <c r="H183" s="134"/>
    </row>
    <row r="184" spans="1:8" s="140" customFormat="1" ht="13.5" thickBot="1" x14ac:dyDescent="0.3">
      <c r="A184" s="141"/>
      <c r="B184" s="157"/>
      <c r="C184" s="158"/>
      <c r="D184" s="159"/>
      <c r="E184" s="159"/>
      <c r="F184" s="158"/>
      <c r="G184" s="160"/>
      <c r="H184" s="161">
        <f>+SUM(G178:G184)</f>
        <v>9430.2777777777774</v>
      </c>
    </row>
    <row r="185" spans="1:8" s="140" customFormat="1" ht="13.5" thickBot="1" x14ac:dyDescent="0.3">
      <c r="A185" s="141"/>
      <c r="B185" s="162"/>
      <c r="C185" s="163"/>
      <c r="D185" s="162"/>
      <c r="E185" s="162"/>
      <c r="F185" s="163"/>
      <c r="G185" s="164"/>
      <c r="H185" s="165"/>
    </row>
    <row r="186" spans="1:8" s="140" customFormat="1" ht="13.5" thickBot="1" x14ac:dyDescent="0.3">
      <c r="B186" s="143" t="s">
        <v>5408</v>
      </c>
      <c r="C186" s="144" t="s">
        <v>867</v>
      </c>
      <c r="D186" s="144" t="s">
        <v>6</v>
      </c>
      <c r="E186" s="144" t="s">
        <v>870</v>
      </c>
      <c r="F186" s="144" t="s">
        <v>5409</v>
      </c>
      <c r="G186" s="145" t="s">
        <v>868</v>
      </c>
      <c r="H186" s="134"/>
    </row>
    <row r="187" spans="1:8" s="140" customFormat="1" x14ac:dyDescent="0.25">
      <c r="B187" s="166" t="s">
        <v>5474</v>
      </c>
      <c r="C187" s="147" t="s">
        <v>5475</v>
      </c>
      <c r="D187" s="167">
        <v>0.25</v>
      </c>
      <c r="E187" s="366">
        <v>8800</v>
      </c>
      <c r="F187" s="169">
        <v>0.05</v>
      </c>
      <c r="G187" s="367">
        <f>+D187*E187*(1+F187)</f>
        <v>2310</v>
      </c>
      <c r="H187" s="134"/>
    </row>
    <row r="188" spans="1:8" s="140" customFormat="1" x14ac:dyDescent="0.25">
      <c r="B188" s="155" t="s">
        <v>5480</v>
      </c>
      <c r="C188" s="151" t="s">
        <v>5475</v>
      </c>
      <c r="D188" s="197">
        <v>0.04</v>
      </c>
      <c r="E188" s="346">
        <v>80000</v>
      </c>
      <c r="F188" s="169">
        <v>0.05</v>
      </c>
      <c r="G188" s="367">
        <f>+D188*E188*(1+F188)</f>
        <v>3360</v>
      </c>
      <c r="H188" s="134"/>
    </row>
    <row r="189" spans="1:8" s="140" customFormat="1" x14ac:dyDescent="0.25">
      <c r="B189" s="155"/>
      <c r="C189" s="151"/>
      <c r="D189" s="152"/>
      <c r="E189" s="346"/>
      <c r="F189" s="169"/>
      <c r="G189" s="172"/>
      <c r="H189" s="134"/>
    </row>
    <row r="190" spans="1:8" s="140" customFormat="1" x14ac:dyDescent="0.25">
      <c r="B190" s="155"/>
      <c r="C190" s="152"/>
      <c r="D190" s="152"/>
      <c r="E190" s="152"/>
      <c r="F190" s="151"/>
      <c r="G190" s="156"/>
      <c r="H190" s="134"/>
    </row>
    <row r="191" spans="1:8" s="140" customFormat="1" x14ac:dyDescent="0.25">
      <c r="B191" s="155"/>
      <c r="C191" s="152"/>
      <c r="D191" s="152"/>
      <c r="E191" s="152"/>
      <c r="F191" s="151"/>
      <c r="G191" s="156"/>
      <c r="H191" s="134"/>
    </row>
    <row r="192" spans="1:8" s="140" customFormat="1" x14ac:dyDescent="0.25">
      <c r="B192" s="155"/>
      <c r="C192" s="152"/>
      <c r="D192" s="152"/>
      <c r="E192" s="152"/>
      <c r="F192" s="151"/>
      <c r="G192" s="156"/>
      <c r="H192" s="134"/>
    </row>
    <row r="193" spans="2:8" s="140" customFormat="1" x14ac:dyDescent="0.25">
      <c r="B193" s="155"/>
      <c r="C193" s="152"/>
      <c r="D193" s="152"/>
      <c r="E193" s="152"/>
      <c r="F193" s="151"/>
      <c r="G193" s="156"/>
      <c r="H193" s="134"/>
    </row>
    <row r="194" spans="2:8" s="140" customFormat="1" x14ac:dyDescent="0.25">
      <c r="B194" s="155"/>
      <c r="C194" s="152"/>
      <c r="D194" s="152"/>
      <c r="E194" s="152"/>
      <c r="F194" s="151"/>
      <c r="G194" s="156"/>
      <c r="H194" s="134"/>
    </row>
    <row r="195" spans="2:8" s="140" customFormat="1" x14ac:dyDescent="0.25">
      <c r="B195" s="155"/>
      <c r="C195" s="152"/>
      <c r="D195" s="152"/>
      <c r="E195" s="152"/>
      <c r="F195" s="151"/>
      <c r="G195" s="156"/>
      <c r="H195" s="134"/>
    </row>
    <row r="196" spans="2:8" s="140" customFormat="1" x14ac:dyDescent="0.25">
      <c r="B196" s="155"/>
      <c r="C196" s="152"/>
      <c r="D196" s="152"/>
      <c r="E196" s="152"/>
      <c r="F196" s="151"/>
      <c r="G196" s="156"/>
      <c r="H196" s="134"/>
    </row>
    <row r="197" spans="2:8" s="140" customFormat="1" x14ac:dyDescent="0.25">
      <c r="B197" s="155"/>
      <c r="C197" s="152"/>
      <c r="D197" s="152"/>
      <c r="E197" s="152"/>
      <c r="F197" s="151"/>
      <c r="G197" s="156"/>
      <c r="H197" s="134"/>
    </row>
    <row r="198" spans="2:8" s="140" customFormat="1" ht="13.5" thickBot="1" x14ac:dyDescent="0.3">
      <c r="B198" s="155"/>
      <c r="C198" s="152"/>
      <c r="D198" s="152"/>
      <c r="E198" s="152"/>
      <c r="F198" s="151"/>
      <c r="G198" s="156"/>
      <c r="H198" s="134"/>
    </row>
    <row r="199" spans="2:8" s="140" customFormat="1" ht="13.5" thickBot="1" x14ac:dyDescent="0.3">
      <c r="B199" s="157"/>
      <c r="C199" s="159"/>
      <c r="D199" s="159"/>
      <c r="E199" s="159"/>
      <c r="F199" s="158"/>
      <c r="G199" s="160"/>
      <c r="H199" s="161">
        <f>+SUM(G187:G199)</f>
        <v>5670</v>
      </c>
    </row>
    <row r="200" spans="2:8" s="140" customFormat="1" ht="13.5" thickBot="1" x14ac:dyDescent="0.3">
      <c r="B200" s="162"/>
      <c r="C200" s="162"/>
      <c r="D200" s="162"/>
      <c r="E200" s="162"/>
      <c r="F200" s="163"/>
      <c r="G200" s="164"/>
      <c r="H200" s="165"/>
    </row>
    <row r="201" spans="2:8" s="140" customFormat="1" ht="13.5" thickBot="1" x14ac:dyDescent="0.3">
      <c r="B201" s="143" t="s">
        <v>5410</v>
      </c>
      <c r="C201" s="144" t="s">
        <v>867</v>
      </c>
      <c r="D201" s="144" t="s">
        <v>6</v>
      </c>
      <c r="E201" s="144" t="s">
        <v>870</v>
      </c>
      <c r="F201" s="144" t="s">
        <v>5411</v>
      </c>
      <c r="G201" s="145" t="s">
        <v>868</v>
      </c>
      <c r="H201" s="134"/>
    </row>
    <row r="202" spans="2:8" s="140" customFormat="1" x14ac:dyDescent="0.25">
      <c r="B202" s="166"/>
      <c r="C202" s="148"/>
      <c r="D202" s="148"/>
      <c r="E202" s="148"/>
      <c r="F202" s="147"/>
      <c r="G202" s="172"/>
      <c r="H202" s="134"/>
    </row>
    <row r="203" spans="2:8" s="140" customFormat="1" x14ac:dyDescent="0.25">
      <c r="B203" s="166"/>
      <c r="C203" s="148"/>
      <c r="D203" s="148"/>
      <c r="E203" s="148"/>
      <c r="F203" s="147"/>
      <c r="G203" s="172"/>
      <c r="H203" s="134"/>
    </row>
    <row r="204" spans="2:8" s="140" customFormat="1" x14ac:dyDescent="0.25">
      <c r="B204" s="155"/>
      <c r="C204" s="152"/>
      <c r="D204" s="152"/>
      <c r="E204" s="152"/>
      <c r="F204" s="151"/>
      <c r="G204" s="156"/>
      <c r="H204" s="134"/>
    </row>
    <row r="205" spans="2:8" s="140" customFormat="1" x14ac:dyDescent="0.25">
      <c r="B205" s="155"/>
      <c r="C205" s="152"/>
      <c r="D205" s="152"/>
      <c r="E205" s="152"/>
      <c r="F205" s="151"/>
      <c r="G205" s="156"/>
      <c r="H205" s="134"/>
    </row>
    <row r="206" spans="2:8" s="140" customFormat="1" ht="13.5" thickBot="1" x14ac:dyDescent="0.3">
      <c r="B206" s="155"/>
      <c r="C206" s="152"/>
      <c r="D206" s="152"/>
      <c r="E206" s="152"/>
      <c r="F206" s="151"/>
      <c r="G206" s="156"/>
      <c r="H206" s="134"/>
    </row>
    <row r="207" spans="2:8" s="140" customFormat="1" ht="13.5" thickBot="1" x14ac:dyDescent="0.3">
      <c r="B207" s="157"/>
      <c r="C207" s="159"/>
      <c r="D207" s="159"/>
      <c r="E207" s="159"/>
      <c r="F207" s="158"/>
      <c r="G207" s="160"/>
      <c r="H207" s="161">
        <f>+SUM(G202:G207)</f>
        <v>0</v>
      </c>
    </row>
    <row r="208" spans="2:8" s="140" customFormat="1" ht="13.5" thickBot="1" x14ac:dyDescent="0.3">
      <c r="B208" s="162"/>
      <c r="C208" s="162"/>
      <c r="D208" s="162"/>
      <c r="E208" s="162"/>
      <c r="F208" s="173"/>
      <c r="G208" s="174"/>
      <c r="H208" s="165"/>
    </row>
    <row r="209" spans="1:8" s="140" customFormat="1" ht="13.5" thickBot="1" x14ac:dyDescent="0.3">
      <c r="B209" s="143" t="s">
        <v>5412</v>
      </c>
      <c r="C209" s="193" t="s">
        <v>5420</v>
      </c>
      <c r="D209" s="193" t="s">
        <v>5421</v>
      </c>
      <c r="E209" s="144" t="s">
        <v>5413</v>
      </c>
      <c r="F209" s="144" t="s">
        <v>5405</v>
      </c>
      <c r="G209" s="145" t="s">
        <v>868</v>
      </c>
      <c r="H209" s="134"/>
    </row>
    <row r="210" spans="1:8" s="140" customFormat="1" x14ac:dyDescent="0.25">
      <c r="B210" s="194" t="s">
        <v>5650</v>
      </c>
      <c r="C210" s="345">
        <v>70000</v>
      </c>
      <c r="D210" s="345">
        <f>+C210*0.85</f>
        <v>59500</v>
      </c>
      <c r="E210" s="353">
        <f>+C210+D210</f>
        <v>129500</v>
      </c>
      <c r="F210" s="192">
        <v>6</v>
      </c>
      <c r="G210" s="351">
        <f>+E210/F210</f>
        <v>21583.333333333332</v>
      </c>
      <c r="H210" s="134"/>
    </row>
    <row r="211" spans="1:8" s="140" customFormat="1" x14ac:dyDescent="0.25">
      <c r="B211" s="194" t="s">
        <v>5651</v>
      </c>
      <c r="C211" s="345">
        <v>40000</v>
      </c>
      <c r="D211" s="345">
        <f>+C211*0.85</f>
        <v>34000</v>
      </c>
      <c r="E211" s="353">
        <f>+C211+D211</f>
        <v>74000</v>
      </c>
      <c r="F211" s="192">
        <v>6</v>
      </c>
      <c r="G211" s="351">
        <f>+E211/F211</f>
        <v>12333.333333333334</v>
      </c>
      <c r="H211" s="134"/>
    </row>
    <row r="212" spans="1:8" s="140" customFormat="1" x14ac:dyDescent="0.25">
      <c r="B212" s="195" t="s">
        <v>5635</v>
      </c>
      <c r="C212" s="345">
        <v>20600</v>
      </c>
      <c r="D212" s="345">
        <f>+C212*0.85</f>
        <v>17510</v>
      </c>
      <c r="E212" s="353">
        <f>+C212+D212</f>
        <v>38110</v>
      </c>
      <c r="F212" s="192">
        <v>0.45</v>
      </c>
      <c r="G212" s="351">
        <f>+E212/F212</f>
        <v>84688.888888888891</v>
      </c>
      <c r="H212" s="134"/>
    </row>
    <row r="213" spans="1:8" s="140" customFormat="1" x14ac:dyDescent="0.25">
      <c r="B213" s="155"/>
      <c r="C213" s="152"/>
      <c r="D213" s="152"/>
      <c r="E213" s="152"/>
      <c r="F213" s="151"/>
      <c r="G213" s="156"/>
      <c r="H213" s="134"/>
    </row>
    <row r="214" spans="1:8" s="140" customFormat="1" x14ac:dyDescent="0.25">
      <c r="B214" s="155"/>
      <c r="C214" s="152"/>
      <c r="D214" s="152"/>
      <c r="E214" s="152"/>
      <c r="F214" s="151"/>
      <c r="G214" s="156"/>
      <c r="H214" s="134"/>
    </row>
    <row r="215" spans="1:8" s="140" customFormat="1" ht="13.5" thickBot="1" x14ac:dyDescent="0.3">
      <c r="B215" s="155"/>
      <c r="C215" s="152"/>
      <c r="D215" s="152"/>
      <c r="E215" s="152"/>
      <c r="F215" s="151"/>
      <c r="G215" s="156"/>
      <c r="H215" s="134"/>
    </row>
    <row r="216" spans="1:8" s="140" customFormat="1" ht="13.5" thickBot="1" x14ac:dyDescent="0.3">
      <c r="B216" s="179"/>
      <c r="C216" s="180"/>
      <c r="D216" s="180"/>
      <c r="E216" s="180"/>
      <c r="F216" s="181"/>
      <c r="G216" s="182"/>
      <c r="H216" s="161">
        <f>+SUM(G210:G216)</f>
        <v>118605.55555555556</v>
      </c>
    </row>
    <row r="217" spans="1:8" s="140" customFormat="1" ht="13.5" thickBot="1" x14ac:dyDescent="0.3">
      <c r="F217" s="141"/>
      <c r="G217" s="134"/>
      <c r="H217" s="134"/>
    </row>
    <row r="218" spans="1:8" s="140" customFormat="1" ht="13.5" thickBot="1" x14ac:dyDescent="0.3">
      <c r="E218" s="183" t="s">
        <v>5415</v>
      </c>
      <c r="F218" s="141"/>
      <c r="G218" s="134"/>
      <c r="H218" s="161">
        <f>ROUND(+H184+H199+H207+H216,0)</f>
        <v>133706</v>
      </c>
    </row>
    <row r="223" spans="1:8" ht="18.75" x14ac:dyDescent="0.25">
      <c r="A223" s="133"/>
      <c r="B223" s="2506" t="s">
        <v>5400</v>
      </c>
      <c r="C223" s="2506"/>
      <c r="D223" s="2506"/>
      <c r="E223" s="2506"/>
      <c r="F223" s="2506"/>
      <c r="G223" s="2506"/>
    </row>
    <row r="224" spans="1:8" x14ac:dyDescent="0.25">
      <c r="A224" s="133"/>
      <c r="G224" s="134"/>
    </row>
    <row r="225" spans="1:8" x14ac:dyDescent="0.25">
      <c r="A225" s="133"/>
      <c r="G225" s="134"/>
    </row>
    <row r="226" spans="1:8" x14ac:dyDescent="0.25">
      <c r="A226" s="133"/>
      <c r="G226" s="134"/>
    </row>
    <row r="227" spans="1:8" s="140" customFormat="1" x14ac:dyDescent="0.25">
      <c r="A227" s="138" t="s">
        <v>3</v>
      </c>
      <c r="B227" s="138" t="s">
        <v>5425</v>
      </c>
      <c r="C227" s="2451" t="s">
        <v>5426</v>
      </c>
      <c r="D227" s="2451"/>
      <c r="E227" s="2451"/>
      <c r="F227" s="138" t="s">
        <v>867</v>
      </c>
      <c r="G227" s="139" t="s">
        <v>5424</v>
      </c>
      <c r="H227" s="134"/>
    </row>
    <row r="228" spans="1:8" s="140" customFormat="1" x14ac:dyDescent="0.25">
      <c r="A228" s="141"/>
      <c r="F228" s="141"/>
      <c r="G228" s="134"/>
      <c r="H228" s="134"/>
    </row>
    <row r="229" spans="1:8" s="140" customFormat="1" x14ac:dyDescent="0.25">
      <c r="A229" s="141"/>
      <c r="F229" s="141"/>
      <c r="G229" s="142"/>
      <c r="H229" s="134"/>
    </row>
    <row r="230" spans="1:8" s="140" customFormat="1" ht="13.5" thickBot="1" x14ac:dyDescent="0.3">
      <c r="A230" s="141"/>
      <c r="F230" s="141"/>
      <c r="G230" s="134"/>
      <c r="H230" s="134"/>
    </row>
    <row r="231" spans="1:8" s="140" customFormat="1" ht="13.5" thickBot="1" x14ac:dyDescent="0.3">
      <c r="A231" s="141"/>
      <c r="B231" s="143" t="s">
        <v>5403</v>
      </c>
      <c r="C231" s="144" t="s">
        <v>867</v>
      </c>
      <c r="D231" s="144" t="s">
        <v>6</v>
      </c>
      <c r="E231" s="144" t="s">
        <v>5404</v>
      </c>
      <c r="F231" s="144" t="s">
        <v>5405</v>
      </c>
      <c r="G231" s="145" t="s">
        <v>868</v>
      </c>
      <c r="H231" s="134"/>
    </row>
    <row r="232" spans="1:8" s="140" customFormat="1" x14ac:dyDescent="0.25">
      <c r="A232" s="141"/>
      <c r="B232" s="217" t="s">
        <v>5440</v>
      </c>
      <c r="C232" s="147" t="s">
        <v>5406</v>
      </c>
      <c r="D232" s="148"/>
      <c r="E232" s="148">
        <f>+H270</f>
        <v>238462.31884057968</v>
      </c>
      <c r="F232" s="184">
        <v>0.05</v>
      </c>
      <c r="G232" s="149">
        <f>+E232*F232</f>
        <v>11923.115942028984</v>
      </c>
      <c r="H232" s="134"/>
    </row>
    <row r="233" spans="1:8" s="140" customFormat="1" x14ac:dyDescent="0.25">
      <c r="A233" s="141"/>
      <c r="B233" s="150" t="s">
        <v>5479</v>
      </c>
      <c r="C233" s="151" t="s">
        <v>5424</v>
      </c>
      <c r="D233" s="205">
        <v>1</v>
      </c>
      <c r="E233" s="148">
        <v>3500</v>
      </c>
      <c r="F233" s="192">
        <v>1</v>
      </c>
      <c r="G233" s="360">
        <f>+E233/F233</f>
        <v>3500</v>
      </c>
      <c r="H233" s="134"/>
    </row>
    <row r="234" spans="1:8" s="140" customFormat="1" x14ac:dyDescent="0.25">
      <c r="A234" s="141"/>
      <c r="B234" s="154"/>
      <c r="C234" s="151"/>
      <c r="D234" s="152"/>
      <c r="E234" s="148"/>
      <c r="F234" s="185"/>
      <c r="G234" s="149"/>
      <c r="H234" s="134"/>
    </row>
    <row r="235" spans="1:8" s="140" customFormat="1" x14ac:dyDescent="0.25">
      <c r="A235" s="141"/>
      <c r="B235" s="155"/>
      <c r="C235" s="151"/>
      <c r="D235" s="152"/>
      <c r="E235" s="152"/>
      <c r="F235" s="151"/>
      <c r="G235" s="156"/>
      <c r="H235" s="134"/>
    </row>
    <row r="236" spans="1:8" s="140" customFormat="1" x14ac:dyDescent="0.25">
      <c r="A236" s="141"/>
      <c r="B236" s="155"/>
      <c r="C236" s="151"/>
      <c r="D236" s="152"/>
      <c r="E236" s="152"/>
      <c r="F236" s="151"/>
      <c r="G236" s="156"/>
      <c r="H236" s="134"/>
    </row>
    <row r="237" spans="1:8" s="140" customFormat="1" ht="13.5" thickBot="1" x14ac:dyDescent="0.3">
      <c r="A237" s="141"/>
      <c r="B237" s="155"/>
      <c r="C237" s="151"/>
      <c r="D237" s="152"/>
      <c r="E237" s="152"/>
      <c r="F237" s="151"/>
      <c r="G237" s="156"/>
      <c r="H237" s="134"/>
    </row>
    <row r="238" spans="1:8" s="140" customFormat="1" ht="13.5" thickBot="1" x14ac:dyDescent="0.3">
      <c r="A238" s="141"/>
      <c r="B238" s="157"/>
      <c r="C238" s="158"/>
      <c r="D238" s="159"/>
      <c r="E238" s="159"/>
      <c r="F238" s="158"/>
      <c r="G238" s="160"/>
      <c r="H238" s="161">
        <f>+SUM(G232:G238)</f>
        <v>15423.115942028984</v>
      </c>
    </row>
    <row r="239" spans="1:8" s="140" customFormat="1" ht="13.5" thickBot="1" x14ac:dyDescent="0.3">
      <c r="A239" s="141"/>
      <c r="B239" s="162"/>
      <c r="C239" s="163"/>
      <c r="D239" s="162"/>
      <c r="E239" s="162"/>
      <c r="F239" s="163"/>
      <c r="G239" s="164"/>
      <c r="H239" s="165"/>
    </row>
    <row r="240" spans="1:8" s="140" customFormat="1" ht="13.5" thickBot="1" x14ac:dyDescent="0.3">
      <c r="B240" s="143" t="s">
        <v>5408</v>
      </c>
      <c r="C240" s="144" t="s">
        <v>867</v>
      </c>
      <c r="D240" s="144" t="s">
        <v>6</v>
      </c>
      <c r="E240" s="144" t="s">
        <v>870</v>
      </c>
      <c r="F240" s="144" t="s">
        <v>5409</v>
      </c>
      <c r="G240" s="145" t="s">
        <v>868</v>
      </c>
      <c r="H240" s="134"/>
    </row>
    <row r="241" spans="2:8" s="140" customFormat="1" x14ac:dyDescent="0.25">
      <c r="B241" s="166" t="s">
        <v>5474</v>
      </c>
      <c r="C241" s="147" t="s">
        <v>5475</v>
      </c>
      <c r="D241" s="167">
        <v>0.25</v>
      </c>
      <c r="E241" s="366">
        <v>8800</v>
      </c>
      <c r="F241" s="169">
        <v>0.05</v>
      </c>
      <c r="G241" s="367">
        <f>+D241*E241*(1+F241)</f>
        <v>2310</v>
      </c>
      <c r="H241" s="134"/>
    </row>
    <row r="242" spans="2:8" s="140" customFormat="1" x14ac:dyDescent="0.25">
      <c r="B242" s="155" t="s">
        <v>5480</v>
      </c>
      <c r="C242" s="151" t="s">
        <v>5475</v>
      </c>
      <c r="D242" s="197">
        <v>0.04</v>
      </c>
      <c r="E242" s="346">
        <v>80000</v>
      </c>
      <c r="F242" s="169">
        <v>0.05</v>
      </c>
      <c r="G242" s="367">
        <f>+D242*E242*(1+F242)</f>
        <v>3360</v>
      </c>
      <c r="H242" s="134"/>
    </row>
    <row r="243" spans="2:8" s="140" customFormat="1" x14ac:dyDescent="0.25">
      <c r="B243" s="155"/>
      <c r="C243" s="151"/>
      <c r="D243" s="152"/>
      <c r="E243" s="346"/>
      <c r="F243" s="169"/>
      <c r="G243" s="172"/>
      <c r="H243" s="134"/>
    </row>
    <row r="244" spans="2:8" s="140" customFormat="1" x14ac:dyDescent="0.25">
      <c r="B244" s="155"/>
      <c r="C244" s="152"/>
      <c r="D244" s="152"/>
      <c r="E244" s="152"/>
      <c r="F244" s="151"/>
      <c r="G244" s="156"/>
      <c r="H244" s="134"/>
    </row>
    <row r="245" spans="2:8" s="140" customFormat="1" x14ac:dyDescent="0.25">
      <c r="B245" s="155"/>
      <c r="C245" s="152"/>
      <c r="D245" s="152"/>
      <c r="E245" s="152"/>
      <c r="F245" s="151"/>
      <c r="G245" s="156"/>
      <c r="H245" s="134"/>
    </row>
    <row r="246" spans="2:8" s="140" customFormat="1" x14ac:dyDescent="0.25">
      <c r="B246" s="155"/>
      <c r="C246" s="152"/>
      <c r="D246" s="152"/>
      <c r="E246" s="152"/>
      <c r="F246" s="151"/>
      <c r="G246" s="156"/>
      <c r="H246" s="134"/>
    </row>
    <row r="247" spans="2:8" s="140" customFormat="1" x14ac:dyDescent="0.25">
      <c r="B247" s="155"/>
      <c r="C247" s="152"/>
      <c r="D247" s="152"/>
      <c r="E247" s="152"/>
      <c r="F247" s="151"/>
      <c r="G247" s="156"/>
      <c r="H247" s="134"/>
    </row>
    <row r="248" spans="2:8" s="140" customFormat="1" x14ac:dyDescent="0.25">
      <c r="B248" s="155"/>
      <c r="C248" s="152"/>
      <c r="D248" s="152"/>
      <c r="E248" s="152"/>
      <c r="F248" s="151"/>
      <c r="G248" s="156"/>
      <c r="H248" s="134"/>
    </row>
    <row r="249" spans="2:8" s="140" customFormat="1" x14ac:dyDescent="0.25">
      <c r="B249" s="155"/>
      <c r="C249" s="152"/>
      <c r="D249" s="152"/>
      <c r="E249" s="152"/>
      <c r="F249" s="151"/>
      <c r="G249" s="156"/>
      <c r="H249" s="134"/>
    </row>
    <row r="250" spans="2:8" s="140" customFormat="1" x14ac:dyDescent="0.25">
      <c r="B250" s="155"/>
      <c r="C250" s="152"/>
      <c r="D250" s="152"/>
      <c r="E250" s="152"/>
      <c r="F250" s="151"/>
      <c r="G250" s="156"/>
      <c r="H250" s="134"/>
    </row>
    <row r="251" spans="2:8" s="140" customFormat="1" x14ac:dyDescent="0.25">
      <c r="B251" s="155"/>
      <c r="C251" s="152"/>
      <c r="D251" s="152"/>
      <c r="E251" s="152"/>
      <c r="F251" s="151"/>
      <c r="G251" s="156"/>
      <c r="H251" s="134"/>
    </row>
    <row r="252" spans="2:8" s="140" customFormat="1" ht="13.5" thickBot="1" x14ac:dyDescent="0.3">
      <c r="B252" s="155"/>
      <c r="C252" s="152"/>
      <c r="D252" s="152"/>
      <c r="E252" s="152"/>
      <c r="F252" s="151"/>
      <c r="G252" s="156"/>
      <c r="H252" s="134"/>
    </row>
    <row r="253" spans="2:8" s="140" customFormat="1" ht="13.5" thickBot="1" x14ac:dyDescent="0.3">
      <c r="B253" s="157"/>
      <c r="C253" s="159"/>
      <c r="D253" s="159"/>
      <c r="E253" s="159"/>
      <c r="F253" s="158"/>
      <c r="G253" s="160"/>
      <c r="H253" s="161">
        <f>+SUM(G241:G253)</f>
        <v>5670</v>
      </c>
    </row>
    <row r="254" spans="2:8" s="140" customFormat="1" ht="13.5" thickBot="1" x14ac:dyDescent="0.3">
      <c r="B254" s="162"/>
      <c r="C254" s="162"/>
      <c r="D254" s="162"/>
      <c r="E254" s="162"/>
      <c r="F254" s="163"/>
      <c r="G254" s="164"/>
      <c r="H254" s="165"/>
    </row>
    <row r="255" spans="2:8" s="140" customFormat="1" ht="13.5" thickBot="1" x14ac:dyDescent="0.3">
      <c r="B255" s="143" t="s">
        <v>5410</v>
      </c>
      <c r="C255" s="144" t="s">
        <v>867</v>
      </c>
      <c r="D255" s="144" t="s">
        <v>6</v>
      </c>
      <c r="E255" s="144" t="s">
        <v>870</v>
      </c>
      <c r="F255" s="144" t="s">
        <v>5411</v>
      </c>
      <c r="G255" s="145" t="s">
        <v>868</v>
      </c>
      <c r="H255" s="134"/>
    </row>
    <row r="256" spans="2:8" s="140" customFormat="1" x14ac:dyDescent="0.25">
      <c r="B256" s="166"/>
      <c r="C256" s="148"/>
      <c r="D256" s="148"/>
      <c r="E256" s="148"/>
      <c r="F256" s="147"/>
      <c r="G256" s="172"/>
      <c r="H256" s="134"/>
    </row>
    <row r="257" spans="2:8" s="140" customFormat="1" x14ac:dyDescent="0.25">
      <c r="B257" s="166"/>
      <c r="C257" s="148"/>
      <c r="D257" s="148"/>
      <c r="E257" s="148"/>
      <c r="F257" s="147"/>
      <c r="G257" s="172"/>
      <c r="H257" s="134"/>
    </row>
    <row r="258" spans="2:8" s="140" customFormat="1" x14ac:dyDescent="0.25">
      <c r="B258" s="155"/>
      <c r="C258" s="152"/>
      <c r="D258" s="152"/>
      <c r="E258" s="152"/>
      <c r="F258" s="151"/>
      <c r="G258" s="156"/>
      <c r="H258" s="134"/>
    </row>
    <row r="259" spans="2:8" s="140" customFormat="1" x14ac:dyDescent="0.25">
      <c r="B259" s="155"/>
      <c r="C259" s="152"/>
      <c r="D259" s="152"/>
      <c r="E259" s="152"/>
      <c r="F259" s="151"/>
      <c r="G259" s="156"/>
      <c r="H259" s="134"/>
    </row>
    <row r="260" spans="2:8" s="140" customFormat="1" ht="13.5" thickBot="1" x14ac:dyDescent="0.3">
      <c r="B260" s="155"/>
      <c r="C260" s="152"/>
      <c r="D260" s="152"/>
      <c r="E260" s="152"/>
      <c r="F260" s="151"/>
      <c r="G260" s="156"/>
      <c r="H260" s="134"/>
    </row>
    <row r="261" spans="2:8" s="140" customFormat="1" ht="13.5" thickBot="1" x14ac:dyDescent="0.3">
      <c r="B261" s="157"/>
      <c r="C261" s="159"/>
      <c r="D261" s="159"/>
      <c r="E261" s="159"/>
      <c r="F261" s="158"/>
      <c r="G261" s="160"/>
      <c r="H261" s="161">
        <f>+SUM(G256:G261)</f>
        <v>0</v>
      </c>
    </row>
    <row r="262" spans="2:8" s="140" customFormat="1" ht="13.5" thickBot="1" x14ac:dyDescent="0.3">
      <c r="B262" s="162"/>
      <c r="C262" s="162"/>
      <c r="D262" s="162"/>
      <c r="E262" s="162"/>
      <c r="F262" s="173"/>
      <c r="G262" s="174"/>
      <c r="H262" s="165"/>
    </row>
    <row r="263" spans="2:8" s="140" customFormat="1" ht="13.5" thickBot="1" x14ac:dyDescent="0.3">
      <c r="B263" s="143" t="s">
        <v>5412</v>
      </c>
      <c r="C263" s="144" t="s">
        <v>867</v>
      </c>
      <c r="D263" s="144" t="s">
        <v>6</v>
      </c>
      <c r="E263" s="144" t="s">
        <v>5413</v>
      </c>
      <c r="F263" s="144" t="s">
        <v>5405</v>
      </c>
      <c r="G263" s="145" t="s">
        <v>868</v>
      </c>
      <c r="H263" s="134"/>
    </row>
    <row r="264" spans="2:8" s="140" customFormat="1" x14ac:dyDescent="0.25">
      <c r="B264" s="194" t="s">
        <v>5650</v>
      </c>
      <c r="C264" s="345">
        <v>70000</v>
      </c>
      <c r="D264" s="345">
        <f>+C264*0.85</f>
        <v>59500</v>
      </c>
      <c r="E264" s="353">
        <f>+C264+D264</f>
        <v>129500</v>
      </c>
      <c r="F264" s="192">
        <v>3</v>
      </c>
      <c r="G264" s="351">
        <f>+E264/F264</f>
        <v>43166.666666666664</v>
      </c>
      <c r="H264" s="134"/>
    </row>
    <row r="265" spans="2:8" s="140" customFormat="1" x14ac:dyDescent="0.25">
      <c r="B265" s="194" t="s">
        <v>5651</v>
      </c>
      <c r="C265" s="345">
        <v>40000</v>
      </c>
      <c r="D265" s="345">
        <f>+C265*0.85</f>
        <v>34000</v>
      </c>
      <c r="E265" s="353">
        <f>+C265+D265</f>
        <v>74000</v>
      </c>
      <c r="F265" s="192">
        <v>2.5</v>
      </c>
      <c r="G265" s="351">
        <f>+E265/F265</f>
        <v>29600</v>
      </c>
      <c r="H265" s="134"/>
    </row>
    <row r="266" spans="2:8" s="140" customFormat="1" x14ac:dyDescent="0.25">
      <c r="B266" s="195" t="s">
        <v>5635</v>
      </c>
      <c r="C266" s="345">
        <v>20600</v>
      </c>
      <c r="D266" s="345">
        <f>+C266*0.85</f>
        <v>17510</v>
      </c>
      <c r="E266" s="353">
        <f>+C266+D266</f>
        <v>38110</v>
      </c>
      <c r="F266" s="192">
        <v>0.23</v>
      </c>
      <c r="G266" s="351">
        <f>+E266/F266</f>
        <v>165695.65217391303</v>
      </c>
      <c r="H266" s="134"/>
    </row>
    <row r="267" spans="2:8" s="140" customFormat="1" x14ac:dyDescent="0.25">
      <c r="B267" s="155"/>
      <c r="C267" s="152"/>
      <c r="D267" s="152"/>
      <c r="E267" s="152"/>
      <c r="F267" s="151"/>
      <c r="G267" s="156"/>
      <c r="H267" s="134"/>
    </row>
    <row r="268" spans="2:8" s="140" customFormat="1" x14ac:dyDescent="0.25">
      <c r="B268" s="155"/>
      <c r="C268" s="152"/>
      <c r="D268" s="152"/>
      <c r="E268" s="152"/>
      <c r="F268" s="151"/>
      <c r="G268" s="156"/>
      <c r="H268" s="134"/>
    </row>
    <row r="269" spans="2:8" s="140" customFormat="1" ht="13.5" thickBot="1" x14ac:dyDescent="0.3">
      <c r="B269" s="155"/>
      <c r="C269" s="152"/>
      <c r="D269" s="152"/>
      <c r="E269" s="152"/>
      <c r="F269" s="151"/>
      <c r="G269" s="156"/>
      <c r="H269" s="134"/>
    </row>
    <row r="270" spans="2:8" s="140" customFormat="1" ht="13.5" thickBot="1" x14ac:dyDescent="0.3">
      <c r="B270" s="179"/>
      <c r="C270" s="180"/>
      <c r="D270" s="180"/>
      <c r="E270" s="180"/>
      <c r="F270" s="181"/>
      <c r="G270" s="182"/>
      <c r="H270" s="161">
        <f>+SUM(G264:G270)</f>
        <v>238462.31884057968</v>
      </c>
    </row>
    <row r="271" spans="2:8" s="140" customFormat="1" ht="13.5" thickBot="1" x14ac:dyDescent="0.3">
      <c r="F271" s="141"/>
      <c r="G271" s="134"/>
      <c r="H271" s="134"/>
    </row>
    <row r="272" spans="2:8" s="140" customFormat="1" ht="13.5" thickBot="1" x14ac:dyDescent="0.3">
      <c r="E272" s="183" t="s">
        <v>5415</v>
      </c>
      <c r="F272" s="141"/>
      <c r="G272" s="134"/>
      <c r="H272" s="161">
        <f>ROUND(+H238+H253+H261+H270,0)</f>
        <v>259555</v>
      </c>
    </row>
    <row r="277" spans="1:8" ht="18.75" x14ac:dyDescent="0.25">
      <c r="A277" s="133"/>
      <c r="B277" s="2506" t="s">
        <v>5400</v>
      </c>
      <c r="C277" s="2506"/>
      <c r="D277" s="2506"/>
      <c r="E277" s="2506"/>
      <c r="F277" s="2506"/>
      <c r="G277" s="2506"/>
    </row>
    <row r="278" spans="1:8" x14ac:dyDescent="0.25">
      <c r="A278" s="133"/>
      <c r="G278" s="134"/>
    </row>
    <row r="279" spans="1:8" x14ac:dyDescent="0.25">
      <c r="A279" s="133"/>
      <c r="G279" s="134"/>
    </row>
    <row r="280" spans="1:8" x14ac:dyDescent="0.25">
      <c r="A280" s="133"/>
      <c r="G280" s="134"/>
    </row>
    <row r="281" spans="1:8" s="140" customFormat="1" x14ac:dyDescent="0.25">
      <c r="A281" s="138" t="s">
        <v>3</v>
      </c>
      <c r="B281" s="138" t="s">
        <v>5427</v>
      </c>
      <c r="C281" s="2451" t="s">
        <v>5428</v>
      </c>
      <c r="D281" s="2451"/>
      <c r="E281" s="2451"/>
      <c r="F281" s="138" t="s">
        <v>867</v>
      </c>
      <c r="G281" s="139" t="s">
        <v>5556</v>
      </c>
      <c r="H281" s="134"/>
    </row>
    <row r="282" spans="1:8" s="140" customFormat="1" x14ac:dyDescent="0.25">
      <c r="A282" s="141"/>
      <c r="F282" s="141"/>
      <c r="G282" s="134"/>
      <c r="H282" s="134"/>
    </row>
    <row r="283" spans="1:8" s="140" customFormat="1" x14ac:dyDescent="0.25">
      <c r="A283" s="141"/>
      <c r="F283" s="141"/>
      <c r="G283" s="142"/>
      <c r="H283" s="134"/>
    </row>
    <row r="284" spans="1:8" s="140" customFormat="1" ht="13.5" thickBot="1" x14ac:dyDescent="0.3">
      <c r="A284" s="141"/>
      <c r="F284" s="141"/>
      <c r="G284" s="134"/>
      <c r="H284" s="134"/>
    </row>
    <row r="285" spans="1:8" s="140" customFormat="1" ht="13.5" thickBot="1" x14ac:dyDescent="0.3">
      <c r="A285" s="141"/>
      <c r="B285" s="143" t="s">
        <v>5403</v>
      </c>
      <c r="C285" s="144" t="s">
        <v>867</v>
      </c>
      <c r="D285" s="144" t="s">
        <v>6</v>
      </c>
      <c r="E285" s="144" t="s">
        <v>5404</v>
      </c>
      <c r="F285" s="144" t="s">
        <v>5405</v>
      </c>
      <c r="G285" s="145" t="s">
        <v>868</v>
      </c>
      <c r="H285" s="134"/>
    </row>
    <row r="286" spans="1:8" s="140" customFormat="1" x14ac:dyDescent="0.25">
      <c r="A286" s="141"/>
      <c r="B286" s="217" t="s">
        <v>5440</v>
      </c>
      <c r="C286" s="147" t="s">
        <v>5406</v>
      </c>
      <c r="D286" s="148"/>
      <c r="E286" s="148">
        <f>+H324</f>
        <v>28295.463917525776</v>
      </c>
      <c r="F286" s="184">
        <v>0.1</v>
      </c>
      <c r="G286" s="360">
        <f>+E286*F286</f>
        <v>2829.5463917525776</v>
      </c>
      <c r="H286" s="134"/>
    </row>
    <row r="287" spans="1:8" s="140" customFormat="1" x14ac:dyDescent="0.25">
      <c r="A287" s="141"/>
      <c r="B287" s="150"/>
      <c r="C287" s="151"/>
      <c r="D287" s="152"/>
      <c r="E287" s="148"/>
      <c r="F287" s="185"/>
      <c r="G287" s="149"/>
      <c r="H287" s="134"/>
    </row>
    <row r="288" spans="1:8" s="140" customFormat="1" x14ac:dyDescent="0.25">
      <c r="A288" s="141"/>
      <c r="B288" s="154"/>
      <c r="C288" s="151"/>
      <c r="D288" s="152"/>
      <c r="E288" s="148"/>
      <c r="F288" s="185"/>
      <c r="G288" s="149"/>
      <c r="H288" s="134"/>
    </row>
    <row r="289" spans="1:8" s="140" customFormat="1" x14ac:dyDescent="0.25">
      <c r="A289" s="141"/>
      <c r="B289" s="155"/>
      <c r="C289" s="151"/>
      <c r="D289" s="152"/>
      <c r="E289" s="152"/>
      <c r="F289" s="151"/>
      <c r="G289" s="156"/>
      <c r="H289" s="134"/>
    </row>
    <row r="290" spans="1:8" s="140" customFormat="1" x14ac:dyDescent="0.25">
      <c r="A290" s="141"/>
      <c r="B290" s="155"/>
      <c r="C290" s="151"/>
      <c r="D290" s="152"/>
      <c r="E290" s="152"/>
      <c r="F290" s="151"/>
      <c r="G290" s="156"/>
      <c r="H290" s="134"/>
    </row>
    <row r="291" spans="1:8" s="140" customFormat="1" ht="13.5" thickBot="1" x14ac:dyDescent="0.3">
      <c r="A291" s="141"/>
      <c r="B291" s="155"/>
      <c r="C291" s="151"/>
      <c r="D291" s="152"/>
      <c r="E291" s="152"/>
      <c r="F291" s="151"/>
      <c r="G291" s="156"/>
      <c r="H291" s="134"/>
    </row>
    <row r="292" spans="1:8" s="140" customFormat="1" ht="13.5" thickBot="1" x14ac:dyDescent="0.3">
      <c r="A292" s="141"/>
      <c r="B292" s="157"/>
      <c r="C292" s="158"/>
      <c r="D292" s="159"/>
      <c r="E292" s="159"/>
      <c r="F292" s="158"/>
      <c r="G292" s="160"/>
      <c r="H292" s="161">
        <f>+SUM(G286:G292)</f>
        <v>2829.5463917525776</v>
      </c>
    </row>
    <row r="293" spans="1:8" s="140" customFormat="1" ht="13.5" thickBot="1" x14ac:dyDescent="0.3">
      <c r="A293" s="141"/>
      <c r="B293" s="162"/>
      <c r="C293" s="163"/>
      <c r="D293" s="162"/>
      <c r="E293" s="162"/>
      <c r="F293" s="163"/>
      <c r="G293" s="164"/>
      <c r="H293" s="165"/>
    </row>
    <row r="294" spans="1:8" s="140" customFormat="1" ht="13.5" thickBot="1" x14ac:dyDescent="0.3">
      <c r="B294" s="143" t="s">
        <v>5408</v>
      </c>
      <c r="C294" s="144" t="s">
        <v>867</v>
      </c>
      <c r="D294" s="144" t="s">
        <v>6</v>
      </c>
      <c r="E294" s="144" t="s">
        <v>870</v>
      </c>
      <c r="F294" s="144" t="s">
        <v>5409</v>
      </c>
      <c r="G294" s="145" t="s">
        <v>868</v>
      </c>
      <c r="H294" s="134"/>
    </row>
    <row r="295" spans="1:8" s="140" customFormat="1" x14ac:dyDescent="0.25">
      <c r="B295" s="155" t="s">
        <v>5625</v>
      </c>
      <c r="C295" s="151" t="s">
        <v>5430</v>
      </c>
      <c r="D295" s="197">
        <v>0.15</v>
      </c>
      <c r="E295" s="323">
        <f>+H2800</f>
        <v>62337</v>
      </c>
      <c r="F295" s="296">
        <v>0.1</v>
      </c>
      <c r="G295" s="367">
        <f t="shared" ref="G295:G304" si="0">+D295*E295*(1+F295)</f>
        <v>10285.605</v>
      </c>
      <c r="H295" s="134"/>
    </row>
    <row r="296" spans="1:8" s="140" customFormat="1" ht="25.5" x14ac:dyDescent="0.25">
      <c r="B296" s="196" t="s">
        <v>5626</v>
      </c>
      <c r="C296" s="151" t="s">
        <v>5430</v>
      </c>
      <c r="D296" s="197">
        <v>0.1</v>
      </c>
      <c r="E296" s="323">
        <f>+'[5]CAP 5'!H214</f>
        <v>279488.25</v>
      </c>
      <c r="F296" s="297">
        <v>0.1</v>
      </c>
      <c r="G296" s="367">
        <f t="shared" si="0"/>
        <v>30743.707500000004</v>
      </c>
      <c r="H296" s="134"/>
    </row>
    <row r="297" spans="1:8" s="140" customFormat="1" x14ac:dyDescent="0.25">
      <c r="B297" s="155" t="s">
        <v>5627</v>
      </c>
      <c r="C297" s="151" t="s">
        <v>14</v>
      </c>
      <c r="D297" s="197">
        <v>2.5</v>
      </c>
      <c r="E297" s="148">
        <v>4200</v>
      </c>
      <c r="F297" s="296">
        <v>0.05</v>
      </c>
      <c r="G297" s="367">
        <f t="shared" si="0"/>
        <v>11025</v>
      </c>
      <c r="H297" s="134"/>
    </row>
    <row r="298" spans="1:8" s="140" customFormat="1" x14ac:dyDescent="0.25">
      <c r="B298" s="155" t="s">
        <v>5628</v>
      </c>
      <c r="C298" s="151" t="s">
        <v>5432</v>
      </c>
      <c r="D298" s="197">
        <v>5.4</v>
      </c>
      <c r="E298" s="148">
        <v>9600</v>
      </c>
      <c r="F298" s="296">
        <v>0.05</v>
      </c>
      <c r="G298" s="367">
        <f t="shared" si="0"/>
        <v>54432</v>
      </c>
      <c r="H298" s="134"/>
    </row>
    <row r="299" spans="1:8" s="140" customFormat="1" x14ac:dyDescent="0.25">
      <c r="B299" s="155" t="s">
        <v>5629</v>
      </c>
      <c r="C299" s="151" t="s">
        <v>5431</v>
      </c>
      <c r="D299" s="197">
        <v>0.22</v>
      </c>
      <c r="E299" s="148">
        <v>2400</v>
      </c>
      <c r="F299" s="296">
        <v>0.1</v>
      </c>
      <c r="G299" s="367">
        <f t="shared" si="0"/>
        <v>580.80000000000007</v>
      </c>
      <c r="H299" s="134"/>
    </row>
    <row r="300" spans="1:8" s="140" customFormat="1" x14ac:dyDescent="0.25">
      <c r="B300" s="196" t="s">
        <v>5630</v>
      </c>
      <c r="C300" s="151" t="s">
        <v>37</v>
      </c>
      <c r="D300" s="197">
        <v>1.55</v>
      </c>
      <c r="E300" s="148">
        <v>454</v>
      </c>
      <c r="F300" s="297">
        <v>0.05</v>
      </c>
      <c r="G300" s="367">
        <f t="shared" si="0"/>
        <v>738.8850000000001</v>
      </c>
      <c r="H300" s="134"/>
    </row>
    <row r="301" spans="1:8" s="140" customFormat="1" x14ac:dyDescent="0.25">
      <c r="B301" s="155" t="s">
        <v>5631</v>
      </c>
      <c r="C301" s="151" t="s">
        <v>37</v>
      </c>
      <c r="D301" s="197">
        <v>0.77</v>
      </c>
      <c r="E301" s="148">
        <v>27557</v>
      </c>
      <c r="F301" s="296">
        <v>0.02</v>
      </c>
      <c r="G301" s="367">
        <f t="shared" si="0"/>
        <v>21643.267800000001</v>
      </c>
      <c r="H301" s="134"/>
    </row>
    <row r="302" spans="1:8" s="140" customFormat="1" x14ac:dyDescent="0.25">
      <c r="B302" s="166" t="s">
        <v>5632</v>
      </c>
      <c r="C302" s="147" t="s">
        <v>37</v>
      </c>
      <c r="D302" s="167">
        <v>0.3</v>
      </c>
      <c r="E302" s="148">
        <v>1100</v>
      </c>
      <c r="F302" s="296">
        <v>0</v>
      </c>
      <c r="G302" s="367">
        <f t="shared" si="0"/>
        <v>330</v>
      </c>
      <c r="H302" s="134"/>
    </row>
    <row r="303" spans="1:8" s="140" customFormat="1" x14ac:dyDescent="0.25">
      <c r="B303" s="155" t="s">
        <v>5633</v>
      </c>
      <c r="C303" s="151" t="s">
        <v>37</v>
      </c>
      <c r="D303" s="197">
        <v>0.1</v>
      </c>
      <c r="E303" s="148">
        <v>3300</v>
      </c>
      <c r="F303" s="296">
        <v>0</v>
      </c>
      <c r="G303" s="367">
        <f t="shared" si="0"/>
        <v>330</v>
      </c>
      <c r="H303" s="134"/>
    </row>
    <row r="304" spans="1:8" s="140" customFormat="1" x14ac:dyDescent="0.25">
      <c r="B304" s="155" t="s">
        <v>5634</v>
      </c>
      <c r="C304" s="151" t="s">
        <v>37</v>
      </c>
      <c r="D304" s="197">
        <v>0.15</v>
      </c>
      <c r="E304" s="148">
        <v>5000</v>
      </c>
      <c r="F304" s="296">
        <v>0</v>
      </c>
      <c r="G304" s="367">
        <f t="shared" si="0"/>
        <v>750</v>
      </c>
      <c r="H304" s="134"/>
    </row>
    <row r="305" spans="2:8" s="140" customFormat="1" x14ac:dyDescent="0.25">
      <c r="B305" s="155"/>
      <c r="C305" s="152"/>
      <c r="D305" s="152"/>
      <c r="E305" s="152"/>
      <c r="F305" s="151"/>
      <c r="G305" s="156"/>
      <c r="H305" s="134"/>
    </row>
    <row r="306" spans="2:8" s="140" customFormat="1" ht="13.5" thickBot="1" x14ac:dyDescent="0.3">
      <c r="B306" s="155"/>
      <c r="C306" s="152"/>
      <c r="D306" s="152"/>
      <c r="E306" s="152"/>
      <c r="F306" s="151"/>
      <c r="G306" s="156"/>
      <c r="H306" s="134"/>
    </row>
    <row r="307" spans="2:8" s="140" customFormat="1" ht="13.5" thickBot="1" x14ac:dyDescent="0.3">
      <c r="B307" s="157"/>
      <c r="C307" s="159"/>
      <c r="D307" s="159"/>
      <c r="E307" s="159"/>
      <c r="F307" s="158"/>
      <c r="G307" s="160"/>
      <c r="H307" s="161">
        <f>+SUM(G295:G307)</f>
        <v>130859.2653</v>
      </c>
    </row>
    <row r="308" spans="2:8" s="140" customFormat="1" ht="13.5" thickBot="1" x14ac:dyDescent="0.3">
      <c r="B308" s="162"/>
      <c r="C308" s="162"/>
      <c r="D308" s="162"/>
      <c r="E308" s="162"/>
      <c r="F308" s="163"/>
      <c r="G308" s="164"/>
      <c r="H308" s="165"/>
    </row>
    <row r="309" spans="2:8" s="140" customFormat="1" ht="13.5" thickBot="1" x14ac:dyDescent="0.3">
      <c r="B309" s="143" t="s">
        <v>5410</v>
      </c>
      <c r="C309" s="144" t="s">
        <v>867</v>
      </c>
      <c r="D309" s="144" t="s">
        <v>6</v>
      </c>
      <c r="E309" s="144" t="s">
        <v>870</v>
      </c>
      <c r="F309" s="144" t="s">
        <v>5411</v>
      </c>
      <c r="G309" s="145" t="s">
        <v>868</v>
      </c>
      <c r="H309" s="134"/>
    </row>
    <row r="310" spans="2:8" s="140" customFormat="1" x14ac:dyDescent="0.25">
      <c r="B310" s="166"/>
      <c r="C310" s="147"/>
      <c r="D310" s="167"/>
      <c r="E310" s="148"/>
      <c r="F310" s="177"/>
      <c r="G310" s="367"/>
      <c r="H310" s="134"/>
    </row>
    <row r="311" spans="2:8" s="140" customFormat="1" x14ac:dyDescent="0.25">
      <c r="B311" s="196"/>
      <c r="C311" s="151"/>
      <c r="D311" s="197"/>
      <c r="E311" s="148"/>
      <c r="F311" s="177"/>
      <c r="G311" s="367"/>
      <c r="H311" s="134"/>
    </row>
    <row r="312" spans="2:8" s="140" customFormat="1" x14ac:dyDescent="0.25">
      <c r="B312" s="155"/>
      <c r="C312" s="151"/>
      <c r="D312" s="197"/>
      <c r="E312" s="148"/>
      <c r="F312" s="177"/>
      <c r="G312" s="367"/>
      <c r="H312" s="134"/>
    </row>
    <row r="313" spans="2:8" s="140" customFormat="1" x14ac:dyDescent="0.25">
      <c r="B313" s="155"/>
      <c r="C313" s="151"/>
      <c r="D313" s="197"/>
      <c r="E313" s="148"/>
      <c r="F313" s="177"/>
      <c r="G313" s="367"/>
      <c r="H313" s="134"/>
    </row>
    <row r="314" spans="2:8" s="140" customFormat="1" ht="13.5" thickBot="1" x14ac:dyDescent="0.3">
      <c r="B314" s="155"/>
      <c r="C314" s="151"/>
      <c r="D314" s="197"/>
      <c r="E314" s="148"/>
      <c r="F314" s="177"/>
      <c r="G314" s="367"/>
      <c r="H314" s="134"/>
    </row>
    <row r="315" spans="2:8" s="140" customFormat="1" ht="13.5" thickBot="1" x14ac:dyDescent="0.3">
      <c r="B315" s="155"/>
      <c r="C315" s="151"/>
      <c r="D315" s="197"/>
      <c r="E315" s="148"/>
      <c r="F315" s="177"/>
      <c r="G315" s="367"/>
      <c r="H315" s="161">
        <f>SUM(G310:G315)</f>
        <v>0</v>
      </c>
    </row>
    <row r="316" spans="2:8" s="140" customFormat="1" ht="13.5" thickBot="1" x14ac:dyDescent="0.3">
      <c r="B316" s="162"/>
      <c r="C316" s="162"/>
      <c r="D316" s="162"/>
      <c r="E316" s="162"/>
      <c r="F316" s="173"/>
      <c r="G316" s="174"/>
      <c r="H316" s="165"/>
    </row>
    <row r="317" spans="2:8" s="140" customFormat="1" ht="13.5" thickBot="1" x14ac:dyDescent="0.3">
      <c r="B317" s="143" t="s">
        <v>5412</v>
      </c>
      <c r="C317" s="144" t="s">
        <v>867</v>
      </c>
      <c r="D317" s="144" t="s">
        <v>6</v>
      </c>
      <c r="E317" s="144" t="s">
        <v>5413</v>
      </c>
      <c r="F317" s="144" t="s">
        <v>5405</v>
      </c>
      <c r="G317" s="145" t="s">
        <v>868</v>
      </c>
      <c r="H317" s="134"/>
    </row>
    <row r="318" spans="2:8" s="140" customFormat="1" x14ac:dyDescent="0.25">
      <c r="B318" s="194" t="s">
        <v>5650</v>
      </c>
      <c r="C318" s="345">
        <v>70000</v>
      </c>
      <c r="D318" s="345">
        <f>+C318*0.85</f>
        <v>59500</v>
      </c>
      <c r="E318" s="353">
        <f>+C318+D318</f>
        <v>129500</v>
      </c>
      <c r="F318" s="192">
        <v>25</v>
      </c>
      <c r="G318" s="351">
        <f>+E318/F318</f>
        <v>5180</v>
      </c>
      <c r="H318" s="134"/>
    </row>
    <row r="319" spans="2:8" s="140" customFormat="1" x14ac:dyDescent="0.25">
      <c r="B319" s="194" t="s">
        <v>5651</v>
      </c>
      <c r="C319" s="345">
        <v>40000</v>
      </c>
      <c r="D319" s="345">
        <f>+C319*0.85</f>
        <v>34000</v>
      </c>
      <c r="E319" s="353">
        <f>+C319+D319</f>
        <v>74000</v>
      </c>
      <c r="F319" s="192">
        <v>4.8499999999999996</v>
      </c>
      <c r="G319" s="351">
        <f>+E319/F319</f>
        <v>15257.731958762888</v>
      </c>
      <c r="H319" s="134"/>
    </row>
    <row r="320" spans="2:8" s="140" customFormat="1" x14ac:dyDescent="0.25">
      <c r="B320" s="195" t="s">
        <v>5635</v>
      </c>
      <c r="C320" s="345">
        <v>20600</v>
      </c>
      <c r="D320" s="345">
        <f>+C320*0.85</f>
        <v>17510</v>
      </c>
      <c r="E320" s="353">
        <f>+C320+D320</f>
        <v>38110</v>
      </c>
      <c r="F320" s="192">
        <v>4.8499999999999996</v>
      </c>
      <c r="G320" s="351">
        <f>+E320/F320</f>
        <v>7857.7319587628872</v>
      </c>
      <c r="H320" s="134"/>
    </row>
    <row r="321" spans="1:8" s="140" customFormat="1" x14ac:dyDescent="0.25">
      <c r="B321" s="155"/>
      <c r="C321" s="152"/>
      <c r="D321" s="152"/>
      <c r="E321" s="152"/>
      <c r="F321" s="151"/>
      <c r="G321" s="156"/>
      <c r="H321" s="134"/>
    </row>
    <row r="322" spans="1:8" s="140" customFormat="1" x14ac:dyDescent="0.25">
      <c r="B322" s="155"/>
      <c r="C322" s="152"/>
      <c r="D322" s="152"/>
      <c r="E322" s="152"/>
      <c r="F322" s="151"/>
      <c r="G322" s="156"/>
      <c r="H322" s="134"/>
    </row>
    <row r="323" spans="1:8" s="140" customFormat="1" ht="13.5" thickBot="1" x14ac:dyDescent="0.3">
      <c r="B323" s="155"/>
      <c r="C323" s="152"/>
      <c r="D323" s="152"/>
      <c r="E323" s="152"/>
      <c r="F323" s="151"/>
      <c r="G323" s="156"/>
      <c r="H323" s="134"/>
    </row>
    <row r="324" spans="1:8" s="140" customFormat="1" ht="13.5" thickBot="1" x14ac:dyDescent="0.3">
      <c r="B324" s="179"/>
      <c r="C324" s="180"/>
      <c r="D324" s="180"/>
      <c r="E324" s="180"/>
      <c r="F324" s="181"/>
      <c r="G324" s="182"/>
      <c r="H324" s="161">
        <f>+SUM(G318:G324)</f>
        <v>28295.463917525776</v>
      </c>
    </row>
    <row r="325" spans="1:8" s="140" customFormat="1" ht="13.5" thickBot="1" x14ac:dyDescent="0.3">
      <c r="F325" s="141"/>
      <c r="G325" s="134"/>
      <c r="H325" s="134"/>
    </row>
    <row r="326" spans="1:8" s="140" customFormat="1" ht="13.5" thickBot="1" x14ac:dyDescent="0.3">
      <c r="E326" s="183" t="s">
        <v>5415</v>
      </c>
      <c r="F326" s="141"/>
      <c r="G326" s="134"/>
      <c r="H326" s="161">
        <f>+H292+H307+H315+H324</f>
        <v>161984.27560927835</v>
      </c>
    </row>
    <row r="328" spans="1:8" x14ac:dyDescent="0.25">
      <c r="H328" s="341"/>
    </row>
    <row r="331" spans="1:8" ht="18.75" x14ac:dyDescent="0.25">
      <c r="A331" s="133"/>
      <c r="B331" s="2506" t="s">
        <v>5400</v>
      </c>
      <c r="C331" s="2506"/>
      <c r="D331" s="2506"/>
      <c r="E331" s="2506"/>
      <c r="F331" s="2506"/>
      <c r="G331" s="2506"/>
    </row>
    <row r="332" spans="1:8" x14ac:dyDescent="0.25">
      <c r="A332" s="133"/>
      <c r="G332" s="134"/>
    </row>
    <row r="333" spans="1:8" x14ac:dyDescent="0.25">
      <c r="A333" s="133"/>
      <c r="G333" s="134"/>
    </row>
    <row r="334" spans="1:8" x14ac:dyDescent="0.25">
      <c r="A334" s="133"/>
      <c r="G334" s="134"/>
    </row>
    <row r="335" spans="1:8" s="140" customFormat="1" x14ac:dyDescent="0.25">
      <c r="A335" s="138" t="s">
        <v>3</v>
      </c>
      <c r="B335" s="138" t="s">
        <v>49</v>
      </c>
      <c r="C335" s="2451" t="s">
        <v>5433</v>
      </c>
      <c r="D335" s="2451"/>
      <c r="E335" s="2451"/>
      <c r="F335" s="138" t="s">
        <v>867</v>
      </c>
      <c r="G335" s="139" t="s">
        <v>5424</v>
      </c>
      <c r="H335" s="134"/>
    </row>
    <row r="336" spans="1:8" s="140" customFormat="1" x14ac:dyDescent="0.25">
      <c r="A336" s="141"/>
      <c r="F336" s="141"/>
      <c r="G336" s="134"/>
      <c r="H336" s="134"/>
    </row>
    <row r="337" spans="1:8" s="140" customFormat="1" x14ac:dyDescent="0.25">
      <c r="A337" s="141"/>
      <c r="F337" s="141"/>
      <c r="G337" s="142"/>
      <c r="H337" s="134"/>
    </row>
    <row r="338" spans="1:8" s="140" customFormat="1" ht="13.5" thickBot="1" x14ac:dyDescent="0.3">
      <c r="A338" s="141"/>
      <c r="F338" s="141"/>
      <c r="G338" s="134"/>
      <c r="H338" s="134"/>
    </row>
    <row r="339" spans="1:8" s="140" customFormat="1" ht="13.5" thickBot="1" x14ac:dyDescent="0.3">
      <c r="A339" s="141"/>
      <c r="B339" s="143" t="s">
        <v>5403</v>
      </c>
      <c r="C339" s="144" t="s">
        <v>867</v>
      </c>
      <c r="D339" s="144" t="s">
        <v>6</v>
      </c>
      <c r="E339" s="144" t="s">
        <v>5404</v>
      </c>
      <c r="F339" s="144" t="s">
        <v>5405</v>
      </c>
      <c r="G339" s="145" t="s">
        <v>868</v>
      </c>
      <c r="H339" s="134"/>
    </row>
    <row r="340" spans="1:8" s="140" customFormat="1" x14ac:dyDescent="0.25">
      <c r="A340" s="141"/>
      <c r="B340" s="217" t="s">
        <v>5440</v>
      </c>
      <c r="C340" s="147" t="s">
        <v>5406</v>
      </c>
      <c r="D340" s="148"/>
      <c r="E340" s="148">
        <f>+H379</f>
        <v>187220</v>
      </c>
      <c r="F340" s="184">
        <v>0.1</v>
      </c>
      <c r="G340" s="360">
        <f>+E340*F340</f>
        <v>18722</v>
      </c>
      <c r="H340" s="134"/>
    </row>
    <row r="341" spans="1:8" s="140" customFormat="1" x14ac:dyDescent="0.25">
      <c r="A341" s="141"/>
      <c r="B341" s="150"/>
      <c r="C341" s="151"/>
      <c r="D341" s="152"/>
      <c r="E341" s="148"/>
      <c r="F341" s="185"/>
      <c r="G341" s="149"/>
      <c r="H341" s="134"/>
    </row>
    <row r="342" spans="1:8" s="140" customFormat="1" x14ac:dyDescent="0.25">
      <c r="A342" s="141"/>
      <c r="B342" s="154"/>
      <c r="C342" s="151"/>
      <c r="D342" s="152"/>
      <c r="E342" s="148"/>
      <c r="F342" s="185"/>
      <c r="G342" s="149"/>
      <c r="H342" s="134"/>
    </row>
    <row r="343" spans="1:8" s="140" customFormat="1" x14ac:dyDescent="0.25">
      <c r="A343" s="141"/>
      <c r="B343" s="155"/>
      <c r="C343" s="151"/>
      <c r="D343" s="152"/>
      <c r="E343" s="152"/>
      <c r="F343" s="151"/>
      <c r="G343" s="156"/>
      <c r="H343" s="134"/>
    </row>
    <row r="344" spans="1:8" s="140" customFormat="1" x14ac:dyDescent="0.25">
      <c r="A344" s="141"/>
      <c r="B344" s="155"/>
      <c r="C344" s="151"/>
      <c r="D344" s="152"/>
      <c r="E344" s="152"/>
      <c r="F344" s="151"/>
      <c r="G344" s="156"/>
      <c r="H344" s="134"/>
    </row>
    <row r="345" spans="1:8" s="140" customFormat="1" ht="13.5" thickBot="1" x14ac:dyDescent="0.3">
      <c r="A345" s="141"/>
      <c r="B345" s="155"/>
      <c r="C345" s="151"/>
      <c r="D345" s="152"/>
      <c r="E345" s="152"/>
      <c r="F345" s="151"/>
      <c r="G345" s="156"/>
      <c r="H345" s="134"/>
    </row>
    <row r="346" spans="1:8" s="140" customFormat="1" ht="13.5" thickBot="1" x14ac:dyDescent="0.3">
      <c r="A346" s="141"/>
      <c r="B346" s="157"/>
      <c r="C346" s="158"/>
      <c r="D346" s="159"/>
      <c r="E346" s="159"/>
      <c r="F346" s="158"/>
      <c r="G346" s="160"/>
      <c r="H346" s="161">
        <f>+SUM(G340:G346)</f>
        <v>18722</v>
      </c>
    </row>
    <row r="347" spans="1:8" s="140" customFormat="1" ht="13.5" thickBot="1" x14ac:dyDescent="0.3">
      <c r="A347" s="141"/>
      <c r="B347" s="162"/>
      <c r="C347" s="163"/>
      <c r="D347" s="162"/>
      <c r="E347" s="162"/>
      <c r="F347" s="163"/>
      <c r="G347" s="164"/>
      <c r="H347" s="165"/>
    </row>
    <row r="348" spans="1:8" s="140" customFormat="1" ht="13.5" thickBot="1" x14ac:dyDescent="0.3">
      <c r="B348" s="143" t="s">
        <v>5408</v>
      </c>
      <c r="C348" s="144" t="s">
        <v>867</v>
      </c>
      <c r="D348" s="144" t="s">
        <v>6</v>
      </c>
      <c r="E348" s="144" t="s">
        <v>870</v>
      </c>
      <c r="F348" s="144" t="s">
        <v>5409</v>
      </c>
      <c r="G348" s="145" t="s">
        <v>868</v>
      </c>
      <c r="H348" s="134"/>
    </row>
    <row r="349" spans="1:8" s="140" customFormat="1" x14ac:dyDescent="0.25">
      <c r="B349" s="166" t="s">
        <v>5636</v>
      </c>
      <c r="C349" s="147" t="s">
        <v>37</v>
      </c>
      <c r="D349" s="167">
        <v>1</v>
      </c>
      <c r="E349" s="148">
        <v>1000000</v>
      </c>
      <c r="F349" s="169">
        <v>0</v>
      </c>
      <c r="G349" s="367">
        <f>+D349*E349*(1+F349)</f>
        <v>1000000</v>
      </c>
      <c r="H349" s="134"/>
    </row>
    <row r="350" spans="1:8" s="140" customFormat="1" ht="25.5" x14ac:dyDescent="0.25">
      <c r="B350" s="196" t="s">
        <v>5626</v>
      </c>
      <c r="C350" s="151" t="s">
        <v>5430</v>
      </c>
      <c r="D350" s="197">
        <v>0.3</v>
      </c>
      <c r="E350" s="148">
        <f>+E296</f>
        <v>279488.25</v>
      </c>
      <c r="F350" s="169">
        <v>0.05</v>
      </c>
      <c r="G350" s="367">
        <f>+D350*E350*(1+F350)</f>
        <v>88038.798750000002</v>
      </c>
      <c r="H350" s="134"/>
    </row>
    <row r="351" spans="1:8" s="140" customFormat="1" x14ac:dyDescent="0.25">
      <c r="B351" s="196"/>
      <c r="C351" s="151"/>
      <c r="D351" s="151"/>
      <c r="E351" s="148"/>
      <c r="F351" s="169"/>
      <c r="G351" s="367"/>
      <c r="H351" s="134"/>
    </row>
    <row r="352" spans="1:8" s="140" customFormat="1" x14ac:dyDescent="0.25">
      <c r="B352" s="155"/>
      <c r="C352" s="151"/>
      <c r="D352" s="151"/>
      <c r="E352" s="148"/>
      <c r="F352" s="151"/>
      <c r="G352" s="367"/>
      <c r="H352" s="134"/>
    </row>
    <row r="353" spans="2:8" s="140" customFormat="1" x14ac:dyDescent="0.25">
      <c r="B353" s="155"/>
      <c r="C353" s="151"/>
      <c r="D353" s="151"/>
      <c r="E353" s="148"/>
      <c r="F353" s="151"/>
      <c r="G353" s="367"/>
      <c r="H353" s="134"/>
    </row>
    <row r="354" spans="2:8" s="140" customFormat="1" x14ac:dyDescent="0.25">
      <c r="B354" s="155"/>
      <c r="C354" s="151"/>
      <c r="D354" s="151"/>
      <c r="E354" s="148"/>
      <c r="F354" s="151"/>
      <c r="G354" s="367"/>
      <c r="H354" s="134"/>
    </row>
    <row r="355" spans="2:8" s="140" customFormat="1" x14ac:dyDescent="0.25">
      <c r="B355" s="155"/>
      <c r="C355" s="151"/>
      <c r="D355" s="151"/>
      <c r="E355" s="148"/>
      <c r="F355" s="151"/>
      <c r="G355" s="367"/>
      <c r="H355" s="134"/>
    </row>
    <row r="356" spans="2:8" s="140" customFormat="1" x14ac:dyDescent="0.25">
      <c r="B356" s="155"/>
      <c r="C356" s="151"/>
      <c r="D356" s="151"/>
      <c r="E356" s="148"/>
      <c r="F356" s="151"/>
      <c r="G356" s="367"/>
      <c r="H356" s="134"/>
    </row>
    <row r="357" spans="2:8" s="140" customFormat="1" x14ac:dyDescent="0.25">
      <c r="B357" s="155"/>
      <c r="C357" s="151"/>
      <c r="D357" s="151"/>
      <c r="E357" s="148"/>
      <c r="F357" s="151"/>
      <c r="G357" s="367"/>
      <c r="H357" s="134"/>
    </row>
    <row r="358" spans="2:8" s="140" customFormat="1" x14ac:dyDescent="0.25">
      <c r="B358" s="155"/>
      <c r="C358" s="151"/>
      <c r="D358" s="151"/>
      <c r="E358" s="148"/>
      <c r="F358" s="151"/>
      <c r="G358" s="367"/>
      <c r="H358" s="134"/>
    </row>
    <row r="359" spans="2:8" s="140" customFormat="1" x14ac:dyDescent="0.25">
      <c r="B359" s="155"/>
      <c r="C359" s="152"/>
      <c r="D359" s="152"/>
      <c r="E359" s="152"/>
      <c r="F359" s="151"/>
      <c r="G359" s="156"/>
      <c r="H359" s="134"/>
    </row>
    <row r="360" spans="2:8" s="140" customFormat="1" ht="13.5" thickBot="1" x14ac:dyDescent="0.3">
      <c r="B360" s="155"/>
      <c r="C360" s="152"/>
      <c r="D360" s="152"/>
      <c r="E360" s="152"/>
      <c r="F360" s="151"/>
      <c r="G360" s="156"/>
      <c r="H360" s="134"/>
    </row>
    <row r="361" spans="2:8" s="140" customFormat="1" ht="13.5" thickBot="1" x14ac:dyDescent="0.3">
      <c r="B361" s="157"/>
      <c r="C361" s="159"/>
      <c r="D361" s="159"/>
      <c r="E361" s="159"/>
      <c r="F361" s="158"/>
      <c r="G361" s="160"/>
      <c r="H361" s="161">
        <f>+SUM(G349:G361)</f>
        <v>1088038.7987500001</v>
      </c>
    </row>
    <row r="362" spans="2:8" s="140" customFormat="1" ht="13.5" thickBot="1" x14ac:dyDescent="0.3">
      <c r="B362" s="162"/>
      <c r="C362" s="162"/>
      <c r="D362" s="162"/>
      <c r="E362" s="162"/>
      <c r="F362" s="163"/>
      <c r="G362" s="164"/>
      <c r="H362" s="165"/>
    </row>
    <row r="363" spans="2:8" s="140" customFormat="1" ht="13.5" thickBot="1" x14ac:dyDescent="0.3">
      <c r="B363" s="143" t="s">
        <v>5410</v>
      </c>
      <c r="C363" s="144" t="s">
        <v>867</v>
      </c>
      <c r="D363" s="144" t="s">
        <v>6</v>
      </c>
      <c r="E363" s="144" t="s">
        <v>870</v>
      </c>
      <c r="F363" s="144" t="s">
        <v>5411</v>
      </c>
      <c r="G363" s="145" t="s">
        <v>868</v>
      </c>
      <c r="H363" s="134"/>
    </row>
    <row r="364" spans="2:8" s="140" customFormat="1" x14ac:dyDescent="0.25">
      <c r="B364" s="166"/>
      <c r="C364" s="147"/>
      <c r="D364" s="167"/>
      <c r="E364" s="148"/>
      <c r="F364" s="167"/>
      <c r="G364" s="367"/>
      <c r="H364" s="134"/>
    </row>
    <row r="365" spans="2:8" s="140" customFormat="1" x14ac:dyDescent="0.25">
      <c r="B365" s="196"/>
      <c r="C365" s="151"/>
      <c r="D365" s="151"/>
      <c r="E365" s="148"/>
      <c r="F365" s="147"/>
      <c r="G365" s="367"/>
      <c r="H365" s="134"/>
    </row>
    <row r="366" spans="2:8" s="140" customFormat="1" x14ac:dyDescent="0.25">
      <c r="B366" s="196"/>
      <c r="C366" s="151"/>
      <c r="D366" s="151"/>
      <c r="E366" s="148"/>
      <c r="F366" s="151"/>
      <c r="G366" s="367"/>
      <c r="H366" s="134"/>
    </row>
    <row r="367" spans="2:8" s="140" customFormat="1" x14ac:dyDescent="0.25">
      <c r="B367" s="155"/>
      <c r="C367" s="151"/>
      <c r="D367" s="151"/>
      <c r="E367" s="148"/>
      <c r="F367" s="151"/>
      <c r="G367" s="367"/>
      <c r="H367" s="134"/>
    </row>
    <row r="368" spans="2:8" s="140" customFormat="1" x14ac:dyDescent="0.25">
      <c r="B368" s="155"/>
      <c r="C368" s="151"/>
      <c r="D368" s="151"/>
      <c r="E368" s="148"/>
      <c r="F368" s="151"/>
      <c r="G368" s="367"/>
      <c r="H368" s="134"/>
    </row>
    <row r="369" spans="2:8" s="140" customFormat="1" ht="13.5" thickBot="1" x14ac:dyDescent="0.3">
      <c r="B369" s="155"/>
      <c r="C369" s="151"/>
      <c r="D369" s="151"/>
      <c r="E369" s="148"/>
      <c r="F369" s="151"/>
      <c r="G369" s="367"/>
      <c r="H369" s="134"/>
    </row>
    <row r="370" spans="2:8" s="140" customFormat="1" ht="13.5" thickBot="1" x14ac:dyDescent="0.3">
      <c r="B370" s="157"/>
      <c r="C370" s="159"/>
      <c r="D370" s="159"/>
      <c r="E370" s="159"/>
      <c r="F370" s="158"/>
      <c r="G370" s="160"/>
      <c r="H370" s="161">
        <f>+SUM(G364:G370)</f>
        <v>0</v>
      </c>
    </row>
    <row r="371" spans="2:8" s="140" customFormat="1" ht="13.5" thickBot="1" x14ac:dyDescent="0.3">
      <c r="B371" s="162"/>
      <c r="C371" s="162"/>
      <c r="D371" s="162"/>
      <c r="E371" s="162"/>
      <c r="F371" s="173"/>
      <c r="G371" s="174"/>
      <c r="H371" s="165"/>
    </row>
    <row r="372" spans="2:8" s="140" customFormat="1" ht="13.5" thickBot="1" x14ac:dyDescent="0.3">
      <c r="B372" s="143" t="s">
        <v>5412</v>
      </c>
      <c r="C372" s="144" t="s">
        <v>867</v>
      </c>
      <c r="D372" s="144" t="s">
        <v>6</v>
      </c>
      <c r="E372" s="144" t="s">
        <v>5413</v>
      </c>
      <c r="F372" s="144" t="s">
        <v>5405</v>
      </c>
      <c r="G372" s="145" t="s">
        <v>868</v>
      </c>
      <c r="H372" s="134"/>
    </row>
    <row r="373" spans="2:8" s="140" customFormat="1" x14ac:dyDescent="0.25">
      <c r="B373" s="194" t="s">
        <v>5650</v>
      </c>
      <c r="C373" s="345">
        <v>70000</v>
      </c>
      <c r="D373" s="345">
        <f>+C373*0.85</f>
        <v>59500</v>
      </c>
      <c r="E373" s="353">
        <f>+C373+D373</f>
        <v>129500</v>
      </c>
      <c r="F373" s="192">
        <v>3.5</v>
      </c>
      <c r="G373" s="351">
        <f>+E373/F373</f>
        <v>37000</v>
      </c>
      <c r="H373" s="134"/>
    </row>
    <row r="374" spans="2:8" s="140" customFormat="1" x14ac:dyDescent="0.25">
      <c r="B374" s="194" t="s">
        <v>5651</v>
      </c>
      <c r="C374" s="345">
        <v>40000</v>
      </c>
      <c r="D374" s="345">
        <f>+C374*0.85</f>
        <v>34000</v>
      </c>
      <c r="E374" s="353">
        <f>+C374+D374</f>
        <v>74000</v>
      </c>
      <c r="F374" s="192">
        <v>1</v>
      </c>
      <c r="G374" s="351">
        <f>+E374/F374</f>
        <v>74000</v>
      </c>
      <c r="H374" s="134"/>
    </row>
    <row r="375" spans="2:8" s="140" customFormat="1" x14ac:dyDescent="0.25">
      <c r="B375" s="195" t="s">
        <v>5635</v>
      </c>
      <c r="C375" s="345">
        <v>20600</v>
      </c>
      <c r="D375" s="345">
        <f>+C375*0.85</f>
        <v>17510</v>
      </c>
      <c r="E375" s="353">
        <f>+C375+D375</f>
        <v>38110</v>
      </c>
      <c r="F375" s="192">
        <v>0.5</v>
      </c>
      <c r="G375" s="351">
        <f>+E375/F375</f>
        <v>76220</v>
      </c>
      <c r="H375" s="134"/>
    </row>
    <row r="376" spans="2:8" s="140" customFormat="1" x14ac:dyDescent="0.25">
      <c r="B376" s="155"/>
      <c r="C376" s="152"/>
      <c r="D376" s="152"/>
      <c r="E376" s="152"/>
      <c r="F376" s="151"/>
      <c r="G376" s="156"/>
      <c r="H376" s="134"/>
    </row>
    <row r="377" spans="2:8" s="140" customFormat="1" x14ac:dyDescent="0.25">
      <c r="B377" s="155"/>
      <c r="C377" s="152"/>
      <c r="D377" s="152"/>
      <c r="E377" s="152"/>
      <c r="F377" s="151"/>
      <c r="G377" s="156"/>
      <c r="H377" s="134"/>
    </row>
    <row r="378" spans="2:8" s="140" customFormat="1" ht="13.5" thickBot="1" x14ac:dyDescent="0.3">
      <c r="B378" s="155"/>
      <c r="C378" s="152"/>
      <c r="D378" s="152"/>
      <c r="E378" s="152"/>
      <c r="F378" s="151"/>
      <c r="G378" s="156"/>
      <c r="H378" s="134"/>
    </row>
    <row r="379" spans="2:8" s="140" customFormat="1" ht="13.5" thickBot="1" x14ac:dyDescent="0.3">
      <c r="B379" s="179"/>
      <c r="C379" s="180"/>
      <c r="D379" s="180"/>
      <c r="E379" s="180"/>
      <c r="F379" s="181"/>
      <c r="G379" s="182"/>
      <c r="H379" s="161">
        <f>+SUM(G373:G379)</f>
        <v>187220</v>
      </c>
    </row>
    <row r="380" spans="2:8" s="140" customFormat="1" ht="13.5" thickBot="1" x14ac:dyDescent="0.3">
      <c r="F380" s="141"/>
      <c r="G380" s="134"/>
      <c r="H380" s="134"/>
    </row>
    <row r="381" spans="2:8" s="140" customFormat="1" ht="13.5" thickBot="1" x14ac:dyDescent="0.3">
      <c r="E381" s="183" t="s">
        <v>5415</v>
      </c>
      <c r="F381" s="141"/>
      <c r="G381" s="134"/>
      <c r="H381" s="161">
        <f>ROUND(+H346+H361+H370+H379,0)</f>
        <v>1293981</v>
      </c>
    </row>
    <row r="383" spans="2:8" x14ac:dyDescent="0.25">
      <c r="H383" s="341"/>
    </row>
    <row r="386" spans="1:8" ht="18.75" x14ac:dyDescent="0.25">
      <c r="A386" s="133"/>
      <c r="B386" s="2506" t="s">
        <v>5400</v>
      </c>
      <c r="C386" s="2506"/>
      <c r="D386" s="2506"/>
      <c r="E386" s="2506"/>
      <c r="F386" s="2506"/>
      <c r="G386" s="2506"/>
    </row>
    <row r="387" spans="1:8" x14ac:dyDescent="0.25">
      <c r="A387" s="133"/>
      <c r="G387" s="134"/>
    </row>
    <row r="388" spans="1:8" x14ac:dyDescent="0.25">
      <c r="A388" s="133"/>
      <c r="G388" s="134"/>
    </row>
    <row r="389" spans="1:8" x14ac:dyDescent="0.25">
      <c r="A389" s="133"/>
      <c r="G389" s="134"/>
    </row>
    <row r="390" spans="1:8" s="140" customFormat="1" x14ac:dyDescent="0.25">
      <c r="A390" s="138" t="s">
        <v>3</v>
      </c>
      <c r="B390" s="138" t="s">
        <v>50</v>
      </c>
      <c r="C390" s="2451" t="s">
        <v>5434</v>
      </c>
      <c r="D390" s="2451"/>
      <c r="E390" s="2451"/>
      <c r="F390" s="138" t="s">
        <v>867</v>
      </c>
      <c r="G390" s="139" t="s">
        <v>5424</v>
      </c>
      <c r="H390" s="134"/>
    </row>
    <row r="391" spans="1:8" s="140" customFormat="1" x14ac:dyDescent="0.25">
      <c r="A391" s="141"/>
      <c r="F391" s="141"/>
      <c r="G391" s="134"/>
      <c r="H391" s="134"/>
    </row>
    <row r="392" spans="1:8" s="140" customFormat="1" x14ac:dyDescent="0.25">
      <c r="A392" s="141"/>
      <c r="F392" s="141"/>
      <c r="G392" s="142"/>
      <c r="H392" s="134"/>
    </row>
    <row r="393" spans="1:8" s="140" customFormat="1" ht="13.5" thickBot="1" x14ac:dyDescent="0.3">
      <c r="A393" s="141"/>
      <c r="F393" s="141"/>
      <c r="G393" s="134"/>
      <c r="H393" s="134"/>
    </row>
    <row r="394" spans="1:8" s="140" customFormat="1" ht="13.5" thickBot="1" x14ac:dyDescent="0.3">
      <c r="A394" s="141"/>
      <c r="B394" s="143" t="s">
        <v>5403</v>
      </c>
      <c r="C394" s="144" t="s">
        <v>867</v>
      </c>
      <c r="D394" s="144" t="s">
        <v>6</v>
      </c>
      <c r="E394" s="144" t="s">
        <v>5404</v>
      </c>
      <c r="F394" s="144" t="s">
        <v>5405</v>
      </c>
      <c r="G394" s="145" t="s">
        <v>868</v>
      </c>
      <c r="H394" s="134"/>
    </row>
    <row r="395" spans="1:8" s="140" customFormat="1" x14ac:dyDescent="0.25">
      <c r="A395" s="141"/>
      <c r="B395" s="217" t="s">
        <v>5440</v>
      </c>
      <c r="C395" s="147" t="s">
        <v>5406</v>
      </c>
      <c r="D395" s="148"/>
      <c r="E395" s="148">
        <f>+H434</f>
        <v>240130</v>
      </c>
      <c r="F395" s="184">
        <v>0.1</v>
      </c>
      <c r="G395" s="360">
        <f>+E395*F395</f>
        <v>24013</v>
      </c>
      <c r="H395" s="134"/>
    </row>
    <row r="396" spans="1:8" s="140" customFormat="1" x14ac:dyDescent="0.25">
      <c r="A396" s="141"/>
      <c r="B396" s="150"/>
      <c r="C396" s="151"/>
      <c r="D396" s="152"/>
      <c r="E396" s="148"/>
      <c r="F396" s="185"/>
      <c r="G396" s="149"/>
      <c r="H396" s="134"/>
    </row>
    <row r="397" spans="1:8" s="140" customFormat="1" x14ac:dyDescent="0.25">
      <c r="A397" s="141"/>
      <c r="B397" s="154"/>
      <c r="C397" s="151"/>
      <c r="D397" s="152"/>
      <c r="E397" s="148"/>
      <c r="F397" s="185"/>
      <c r="G397" s="149"/>
      <c r="H397" s="134"/>
    </row>
    <row r="398" spans="1:8" s="140" customFormat="1" x14ac:dyDescent="0.25">
      <c r="A398" s="141"/>
      <c r="B398" s="155"/>
      <c r="C398" s="151"/>
      <c r="D398" s="152"/>
      <c r="E398" s="152"/>
      <c r="F398" s="151"/>
      <c r="G398" s="156"/>
      <c r="H398" s="134"/>
    </row>
    <row r="399" spans="1:8" s="140" customFormat="1" x14ac:dyDescent="0.25">
      <c r="A399" s="141"/>
      <c r="B399" s="155"/>
      <c r="C399" s="151"/>
      <c r="D399" s="152"/>
      <c r="E399" s="152"/>
      <c r="F399" s="151"/>
      <c r="G399" s="156"/>
      <c r="H399" s="134"/>
    </row>
    <row r="400" spans="1:8" s="140" customFormat="1" ht="13.5" thickBot="1" x14ac:dyDescent="0.3">
      <c r="A400" s="141"/>
      <c r="B400" s="155"/>
      <c r="C400" s="151"/>
      <c r="D400" s="152"/>
      <c r="E400" s="152"/>
      <c r="F400" s="151"/>
      <c r="G400" s="156"/>
      <c r="H400" s="134"/>
    </row>
    <row r="401" spans="1:8" s="140" customFormat="1" ht="13.5" thickBot="1" x14ac:dyDescent="0.3">
      <c r="A401" s="141"/>
      <c r="B401" s="157"/>
      <c r="C401" s="158"/>
      <c r="D401" s="159"/>
      <c r="E401" s="159"/>
      <c r="F401" s="158"/>
      <c r="G401" s="160"/>
      <c r="H401" s="161">
        <f>+SUM(G395:G401)</f>
        <v>24013</v>
      </c>
    </row>
    <row r="402" spans="1:8" s="140" customFormat="1" ht="13.5" thickBot="1" x14ac:dyDescent="0.3">
      <c r="A402" s="141"/>
      <c r="B402" s="162"/>
      <c r="C402" s="163"/>
      <c r="D402" s="162"/>
      <c r="E402" s="162"/>
      <c r="F402" s="163"/>
      <c r="G402" s="164"/>
      <c r="H402" s="165"/>
    </row>
    <row r="403" spans="1:8" s="140" customFormat="1" ht="13.5" thickBot="1" x14ac:dyDescent="0.3">
      <c r="B403" s="143" t="s">
        <v>5408</v>
      </c>
      <c r="C403" s="144" t="s">
        <v>867</v>
      </c>
      <c r="D403" s="144" t="s">
        <v>6</v>
      </c>
      <c r="E403" s="144" t="s">
        <v>870</v>
      </c>
      <c r="F403" s="144" t="s">
        <v>5409</v>
      </c>
      <c r="G403" s="145" t="s">
        <v>868</v>
      </c>
      <c r="H403" s="134"/>
    </row>
    <row r="404" spans="1:8" s="140" customFormat="1" x14ac:dyDescent="0.25">
      <c r="B404" s="166" t="s">
        <v>5637</v>
      </c>
      <c r="C404" s="147" t="s">
        <v>5424</v>
      </c>
      <c r="D404" s="167">
        <v>1</v>
      </c>
      <c r="E404" s="148">
        <v>3000000</v>
      </c>
      <c r="F404" s="169">
        <v>0</v>
      </c>
      <c r="G404" s="367">
        <f>+D404*E404*(1+F404)</f>
        <v>3000000</v>
      </c>
      <c r="H404" s="134"/>
    </row>
    <row r="405" spans="1:8" s="140" customFormat="1" ht="25.5" x14ac:dyDescent="0.25">
      <c r="B405" s="196" t="s">
        <v>5626</v>
      </c>
      <c r="C405" s="151" t="s">
        <v>5430</v>
      </c>
      <c r="D405" s="197">
        <v>0.5</v>
      </c>
      <c r="E405" s="148">
        <f>+E350</f>
        <v>279488.25</v>
      </c>
      <c r="F405" s="169">
        <v>0.05</v>
      </c>
      <c r="G405" s="367">
        <f>+D405*E405*(1+F405)</f>
        <v>146731.33125000002</v>
      </c>
      <c r="H405" s="134"/>
    </row>
    <row r="406" spans="1:8" s="140" customFormat="1" x14ac:dyDescent="0.25">
      <c r="B406" s="196"/>
      <c r="C406" s="151"/>
      <c r="D406" s="151"/>
      <c r="E406" s="148"/>
      <c r="F406" s="169"/>
      <c r="G406" s="367"/>
      <c r="H406" s="134"/>
    </row>
    <row r="407" spans="1:8" s="140" customFormat="1" x14ac:dyDescent="0.25">
      <c r="B407" s="155"/>
      <c r="C407" s="151"/>
      <c r="D407" s="151"/>
      <c r="E407" s="148"/>
      <c r="F407" s="151"/>
      <c r="G407" s="367"/>
      <c r="H407" s="134"/>
    </row>
    <row r="408" spans="1:8" s="140" customFormat="1" x14ac:dyDescent="0.25">
      <c r="B408" s="155"/>
      <c r="C408" s="151"/>
      <c r="D408" s="151"/>
      <c r="E408" s="148"/>
      <c r="F408" s="151"/>
      <c r="G408" s="367"/>
      <c r="H408" s="134"/>
    </row>
    <row r="409" spans="1:8" s="140" customFormat="1" x14ac:dyDescent="0.25">
      <c r="B409" s="155"/>
      <c r="C409" s="151"/>
      <c r="D409" s="151"/>
      <c r="E409" s="148"/>
      <c r="F409" s="151"/>
      <c r="G409" s="367"/>
      <c r="H409" s="134"/>
    </row>
    <row r="410" spans="1:8" s="140" customFormat="1" x14ac:dyDescent="0.25">
      <c r="B410" s="155"/>
      <c r="C410" s="151"/>
      <c r="D410" s="151"/>
      <c r="E410" s="148"/>
      <c r="F410" s="151"/>
      <c r="G410" s="367"/>
      <c r="H410" s="134"/>
    </row>
    <row r="411" spans="1:8" s="140" customFormat="1" x14ac:dyDescent="0.25">
      <c r="B411" s="155"/>
      <c r="C411" s="151"/>
      <c r="D411" s="151"/>
      <c r="E411" s="148"/>
      <c r="F411" s="151"/>
      <c r="G411" s="367"/>
      <c r="H411" s="134"/>
    </row>
    <row r="412" spans="1:8" s="140" customFormat="1" x14ac:dyDescent="0.25">
      <c r="B412" s="155"/>
      <c r="C412" s="151"/>
      <c r="D412" s="151"/>
      <c r="E412" s="148"/>
      <c r="F412" s="151"/>
      <c r="G412" s="367"/>
      <c r="H412" s="134"/>
    </row>
    <row r="413" spans="1:8" s="140" customFormat="1" x14ac:dyDescent="0.25">
      <c r="B413" s="155"/>
      <c r="C413" s="151"/>
      <c r="D413" s="151"/>
      <c r="E413" s="148"/>
      <c r="F413" s="151"/>
      <c r="G413" s="367"/>
      <c r="H413" s="134"/>
    </row>
    <row r="414" spans="1:8" s="140" customFormat="1" x14ac:dyDescent="0.25">
      <c r="B414" s="155"/>
      <c r="C414" s="152"/>
      <c r="D414" s="152"/>
      <c r="E414" s="152"/>
      <c r="F414" s="151"/>
      <c r="G414" s="156"/>
      <c r="H414" s="134"/>
    </row>
    <row r="415" spans="1:8" s="140" customFormat="1" ht="13.5" thickBot="1" x14ac:dyDescent="0.3">
      <c r="B415" s="155"/>
      <c r="C415" s="152"/>
      <c r="D415" s="152"/>
      <c r="E415" s="152"/>
      <c r="F415" s="151"/>
      <c r="G415" s="156"/>
      <c r="H415" s="134"/>
    </row>
    <row r="416" spans="1:8" s="140" customFormat="1" ht="13.5" thickBot="1" x14ac:dyDescent="0.3">
      <c r="B416" s="157"/>
      <c r="C416" s="159"/>
      <c r="D416" s="159"/>
      <c r="E416" s="159"/>
      <c r="F416" s="158"/>
      <c r="G416" s="160"/>
      <c r="H416" s="161">
        <f>+SUM(G404:G416)</f>
        <v>3146731.3312499998</v>
      </c>
    </row>
    <row r="417" spans="2:8" s="140" customFormat="1" ht="13.5" thickBot="1" x14ac:dyDescent="0.3">
      <c r="B417" s="162"/>
      <c r="C417" s="162"/>
      <c r="D417" s="162"/>
      <c r="E417" s="162"/>
      <c r="F417" s="163"/>
      <c r="G417" s="164"/>
      <c r="H417" s="165"/>
    </row>
    <row r="418" spans="2:8" s="140" customFormat="1" ht="13.5" thickBot="1" x14ac:dyDescent="0.3">
      <c r="B418" s="143" t="s">
        <v>5410</v>
      </c>
      <c r="C418" s="144" t="s">
        <v>867</v>
      </c>
      <c r="D418" s="144" t="s">
        <v>6</v>
      </c>
      <c r="E418" s="144" t="s">
        <v>870</v>
      </c>
      <c r="F418" s="144" t="s">
        <v>5411</v>
      </c>
      <c r="G418" s="145" t="s">
        <v>868</v>
      </c>
      <c r="H418" s="134"/>
    </row>
    <row r="419" spans="2:8" s="140" customFormat="1" x14ac:dyDescent="0.25">
      <c r="B419" s="166"/>
      <c r="C419" s="147"/>
      <c r="D419" s="167"/>
      <c r="E419" s="148"/>
      <c r="F419" s="167"/>
      <c r="G419" s="367"/>
      <c r="H419" s="134"/>
    </row>
    <row r="420" spans="2:8" s="140" customFormat="1" x14ac:dyDescent="0.25">
      <c r="B420" s="196"/>
      <c r="C420" s="151"/>
      <c r="D420" s="151"/>
      <c r="E420" s="148"/>
      <c r="F420" s="147"/>
      <c r="G420" s="367"/>
      <c r="H420" s="134"/>
    </row>
    <row r="421" spans="2:8" s="140" customFormat="1" x14ac:dyDescent="0.25">
      <c r="B421" s="196"/>
      <c r="C421" s="151"/>
      <c r="D421" s="151"/>
      <c r="E421" s="148"/>
      <c r="F421" s="151"/>
      <c r="G421" s="367"/>
      <c r="H421" s="134"/>
    </row>
    <row r="422" spans="2:8" s="140" customFormat="1" x14ac:dyDescent="0.25">
      <c r="B422" s="155"/>
      <c r="C422" s="151"/>
      <c r="D422" s="151"/>
      <c r="E422" s="148"/>
      <c r="F422" s="151"/>
      <c r="G422" s="367"/>
      <c r="H422" s="134"/>
    </row>
    <row r="423" spans="2:8" s="140" customFormat="1" x14ac:dyDescent="0.25">
      <c r="B423" s="155"/>
      <c r="C423" s="151"/>
      <c r="D423" s="151"/>
      <c r="E423" s="148"/>
      <c r="F423" s="151"/>
      <c r="G423" s="367"/>
      <c r="H423" s="134"/>
    </row>
    <row r="424" spans="2:8" s="140" customFormat="1" ht="13.5" thickBot="1" x14ac:dyDescent="0.3">
      <c r="B424" s="155"/>
      <c r="C424" s="151"/>
      <c r="D424" s="151"/>
      <c r="E424" s="148"/>
      <c r="F424" s="151"/>
      <c r="G424" s="367"/>
      <c r="H424" s="134"/>
    </row>
    <row r="425" spans="2:8" s="140" customFormat="1" ht="13.5" thickBot="1" x14ac:dyDescent="0.3">
      <c r="B425" s="157"/>
      <c r="C425" s="159"/>
      <c r="D425" s="159"/>
      <c r="E425" s="159"/>
      <c r="F425" s="158"/>
      <c r="G425" s="160"/>
      <c r="H425" s="161">
        <f>+SUM(G419:G425)</f>
        <v>0</v>
      </c>
    </row>
    <row r="426" spans="2:8" s="140" customFormat="1" ht="13.5" thickBot="1" x14ac:dyDescent="0.3">
      <c r="B426" s="162"/>
      <c r="C426" s="162"/>
      <c r="D426" s="162"/>
      <c r="E426" s="162"/>
      <c r="F426" s="173"/>
      <c r="G426" s="174"/>
      <c r="H426" s="165"/>
    </row>
    <row r="427" spans="2:8" s="140" customFormat="1" ht="13.5" thickBot="1" x14ac:dyDescent="0.3">
      <c r="B427" s="143" t="s">
        <v>5412</v>
      </c>
      <c r="C427" s="144" t="s">
        <v>867</v>
      </c>
      <c r="D427" s="144" t="s">
        <v>6</v>
      </c>
      <c r="E427" s="144" t="s">
        <v>5413</v>
      </c>
      <c r="F427" s="144" t="s">
        <v>5405</v>
      </c>
      <c r="G427" s="145" t="s">
        <v>868</v>
      </c>
      <c r="H427" s="134"/>
    </row>
    <row r="428" spans="2:8" s="140" customFormat="1" x14ac:dyDescent="0.25">
      <c r="B428" s="194" t="s">
        <v>5650</v>
      </c>
      <c r="C428" s="345">
        <v>70000</v>
      </c>
      <c r="D428" s="345">
        <f>+C428*0.85</f>
        <v>59500</v>
      </c>
      <c r="E428" s="353">
        <f>+C428+D428</f>
        <v>129500</v>
      </c>
      <c r="F428" s="192">
        <v>2.5</v>
      </c>
      <c r="G428" s="351">
        <f>+E428/F428</f>
        <v>51800</v>
      </c>
      <c r="H428" s="134"/>
    </row>
    <row r="429" spans="2:8" s="140" customFormat="1" x14ac:dyDescent="0.25">
      <c r="B429" s="194" t="s">
        <v>5651</v>
      </c>
      <c r="C429" s="345">
        <v>40000</v>
      </c>
      <c r="D429" s="345">
        <f>+C429*0.85</f>
        <v>34000</v>
      </c>
      <c r="E429" s="353">
        <f>+C429+D429</f>
        <v>74000</v>
      </c>
      <c r="F429" s="192">
        <v>1</v>
      </c>
      <c r="G429" s="351">
        <f>+E429/F429</f>
        <v>74000</v>
      </c>
      <c r="H429" s="134"/>
    </row>
    <row r="430" spans="2:8" s="140" customFormat="1" x14ac:dyDescent="0.25">
      <c r="B430" s="195" t="s">
        <v>5635</v>
      </c>
      <c r="C430" s="345">
        <v>20600</v>
      </c>
      <c r="D430" s="345">
        <f>+C430*0.85</f>
        <v>17510</v>
      </c>
      <c r="E430" s="353">
        <f>+C430+D430</f>
        <v>38110</v>
      </c>
      <c r="F430" s="185">
        <f>1/3</f>
        <v>0.33333333333333331</v>
      </c>
      <c r="G430" s="351">
        <f>+E430/F430</f>
        <v>114330</v>
      </c>
      <c r="H430" s="134"/>
    </row>
    <row r="431" spans="2:8" s="140" customFormat="1" x14ac:dyDescent="0.25">
      <c r="B431" s="155"/>
      <c r="C431" s="152"/>
      <c r="D431" s="152"/>
      <c r="E431" s="152"/>
      <c r="F431" s="151"/>
      <c r="G431" s="156"/>
      <c r="H431" s="134"/>
    </row>
    <row r="432" spans="2:8" s="140" customFormat="1" x14ac:dyDescent="0.25">
      <c r="B432" s="155"/>
      <c r="C432" s="152"/>
      <c r="D432" s="152"/>
      <c r="E432" s="152"/>
      <c r="F432" s="151"/>
      <c r="G432" s="156"/>
      <c r="H432" s="134"/>
    </row>
    <row r="433" spans="1:8" s="140" customFormat="1" ht="13.5" thickBot="1" x14ac:dyDescent="0.3">
      <c r="B433" s="155"/>
      <c r="C433" s="152"/>
      <c r="D433" s="152"/>
      <c r="E433" s="152"/>
      <c r="F433" s="151"/>
      <c r="G433" s="156"/>
      <c r="H433" s="134"/>
    </row>
    <row r="434" spans="1:8" s="140" customFormat="1" ht="13.5" thickBot="1" x14ac:dyDescent="0.3">
      <c r="B434" s="179"/>
      <c r="C434" s="180"/>
      <c r="D434" s="180"/>
      <c r="E434" s="180"/>
      <c r="F434" s="181"/>
      <c r="G434" s="182"/>
      <c r="H434" s="161">
        <f>+SUM(G428:G434)</f>
        <v>240130</v>
      </c>
    </row>
    <row r="435" spans="1:8" s="140" customFormat="1" ht="13.5" thickBot="1" x14ac:dyDescent="0.3">
      <c r="F435" s="141"/>
      <c r="G435" s="134"/>
      <c r="H435" s="134"/>
    </row>
    <row r="436" spans="1:8" s="140" customFormat="1" ht="13.5" thickBot="1" x14ac:dyDescent="0.3">
      <c r="E436" s="183" t="s">
        <v>5415</v>
      </c>
      <c r="F436" s="141"/>
      <c r="G436" s="134"/>
      <c r="H436" s="161">
        <f>ROUND(+H401+H416+H425+H434,0)</f>
        <v>3410874</v>
      </c>
    </row>
    <row r="438" spans="1:8" x14ac:dyDescent="0.25">
      <c r="H438" s="341"/>
    </row>
    <row r="439" spans="1:8" ht="25.5" customHeight="1" x14ac:dyDescent="0.25"/>
    <row r="441" spans="1:8" ht="18.75" x14ac:dyDescent="0.25">
      <c r="A441" s="133"/>
      <c r="B441" s="2506" t="s">
        <v>5400</v>
      </c>
      <c r="C441" s="2506"/>
      <c r="D441" s="2506"/>
      <c r="E441" s="2506"/>
      <c r="F441" s="2506"/>
      <c r="G441" s="2506"/>
    </row>
    <row r="442" spans="1:8" x14ac:dyDescent="0.25">
      <c r="A442" s="133"/>
      <c r="G442" s="134"/>
    </row>
    <row r="443" spans="1:8" x14ac:dyDescent="0.25">
      <c r="A443" s="133"/>
      <c r="G443" s="134"/>
    </row>
    <row r="444" spans="1:8" x14ac:dyDescent="0.25">
      <c r="A444" s="133"/>
      <c r="G444" s="134"/>
    </row>
    <row r="445" spans="1:8" s="140" customFormat="1" x14ac:dyDescent="0.25">
      <c r="A445" s="138" t="s">
        <v>3</v>
      </c>
      <c r="B445" s="138" t="s">
        <v>51</v>
      </c>
      <c r="C445" s="2450" t="s">
        <v>5639</v>
      </c>
      <c r="D445" s="2450"/>
      <c r="E445" s="2450"/>
      <c r="F445" s="138" t="s">
        <v>867</v>
      </c>
      <c r="G445" s="139" t="s">
        <v>5424</v>
      </c>
      <c r="H445" s="134"/>
    </row>
    <row r="446" spans="1:8" s="140" customFormat="1" ht="24.95" customHeight="1" x14ac:dyDescent="0.25">
      <c r="A446" s="141"/>
      <c r="F446" s="141"/>
      <c r="G446" s="134"/>
      <c r="H446" s="134"/>
    </row>
    <row r="447" spans="1:8" s="140" customFormat="1" x14ac:dyDescent="0.25">
      <c r="A447" s="141"/>
      <c r="F447" s="141"/>
      <c r="G447" s="142"/>
      <c r="H447" s="134"/>
    </row>
    <row r="448" spans="1:8" s="140" customFormat="1" ht="13.5" thickBot="1" x14ac:dyDescent="0.3">
      <c r="A448" s="141"/>
      <c r="F448" s="141"/>
      <c r="G448" s="134"/>
      <c r="H448" s="134"/>
    </row>
    <row r="449" spans="1:8" s="140" customFormat="1" ht="13.5" thickBot="1" x14ac:dyDescent="0.3">
      <c r="A449" s="141"/>
      <c r="B449" s="143" t="s">
        <v>5403</v>
      </c>
      <c r="C449" s="144" t="s">
        <v>867</v>
      </c>
      <c r="D449" s="144" t="s">
        <v>6</v>
      </c>
      <c r="E449" s="144" t="s">
        <v>5435</v>
      </c>
      <c r="F449" s="144" t="s">
        <v>5405</v>
      </c>
      <c r="G449" s="145" t="s">
        <v>868</v>
      </c>
      <c r="H449" s="134"/>
    </row>
    <row r="450" spans="1:8" s="140" customFormat="1" x14ac:dyDescent="0.25">
      <c r="A450" s="141"/>
      <c r="B450" s="217" t="s">
        <v>5440</v>
      </c>
      <c r="C450" s="147"/>
      <c r="D450" s="148"/>
      <c r="E450" s="148">
        <f>+H489</f>
        <v>53156.666666666672</v>
      </c>
      <c r="F450" s="191">
        <v>1.02</v>
      </c>
      <c r="G450" s="360">
        <f>+E450*F450</f>
        <v>54219.8</v>
      </c>
      <c r="H450" s="134"/>
    </row>
    <row r="451" spans="1:8" s="140" customFormat="1" ht="12.75" customHeight="1" x14ac:dyDescent="0.25">
      <c r="A451" s="141"/>
      <c r="B451" s="150"/>
      <c r="C451" s="151"/>
      <c r="D451" s="152"/>
      <c r="E451" s="148"/>
      <c r="F451" s="185"/>
      <c r="G451" s="149"/>
      <c r="H451" s="134"/>
    </row>
    <row r="452" spans="1:8" s="140" customFormat="1" x14ac:dyDescent="0.25">
      <c r="A452" s="141"/>
      <c r="B452" s="154"/>
      <c r="C452" s="151"/>
      <c r="D452" s="152"/>
      <c r="E452" s="148"/>
      <c r="F452" s="185"/>
      <c r="G452" s="149"/>
      <c r="H452" s="134"/>
    </row>
    <row r="453" spans="1:8" s="140" customFormat="1" x14ac:dyDescent="0.25">
      <c r="A453" s="141"/>
      <c r="B453" s="155"/>
      <c r="C453" s="151"/>
      <c r="D453" s="152"/>
      <c r="E453" s="152"/>
      <c r="F453" s="151"/>
      <c r="G453" s="156"/>
      <c r="H453" s="134"/>
    </row>
    <row r="454" spans="1:8" s="140" customFormat="1" x14ac:dyDescent="0.25">
      <c r="A454" s="141"/>
      <c r="B454" s="155"/>
      <c r="C454" s="151"/>
      <c r="D454" s="152"/>
      <c r="E454" s="152"/>
      <c r="F454" s="151"/>
      <c r="G454" s="156"/>
      <c r="H454" s="134"/>
    </row>
    <row r="455" spans="1:8" s="140" customFormat="1" ht="13.5" thickBot="1" x14ac:dyDescent="0.3">
      <c r="A455" s="141"/>
      <c r="B455" s="155"/>
      <c r="C455" s="151"/>
      <c r="D455" s="152"/>
      <c r="E455" s="152"/>
      <c r="F455" s="151"/>
      <c r="G455" s="156"/>
      <c r="H455" s="134"/>
    </row>
    <row r="456" spans="1:8" s="140" customFormat="1" ht="13.5" thickBot="1" x14ac:dyDescent="0.3">
      <c r="A456" s="141"/>
      <c r="B456" s="157"/>
      <c r="C456" s="158"/>
      <c r="D456" s="159"/>
      <c r="E456" s="159"/>
      <c r="F456" s="158"/>
      <c r="G456" s="160"/>
      <c r="H456" s="161">
        <f>+SUM(G450:G456)</f>
        <v>54219.8</v>
      </c>
    </row>
    <row r="457" spans="1:8" s="140" customFormat="1" ht="13.5" thickBot="1" x14ac:dyDescent="0.3">
      <c r="A457" s="141"/>
      <c r="B457" s="162"/>
      <c r="C457" s="163"/>
      <c r="D457" s="162"/>
      <c r="E457" s="162"/>
      <c r="F457" s="163"/>
      <c r="G457" s="164"/>
      <c r="H457" s="165"/>
    </row>
    <row r="458" spans="1:8" s="140" customFormat="1" ht="13.5" thickBot="1" x14ac:dyDescent="0.3">
      <c r="B458" s="143" t="s">
        <v>5408</v>
      </c>
      <c r="C458" s="144" t="s">
        <v>867</v>
      </c>
      <c r="D458" s="144" t="s">
        <v>6</v>
      </c>
      <c r="E458" s="144" t="s">
        <v>870</v>
      </c>
      <c r="F458" s="144" t="s">
        <v>5409</v>
      </c>
      <c r="G458" s="145" t="s">
        <v>868</v>
      </c>
      <c r="H458" s="134"/>
    </row>
    <row r="459" spans="1:8" s="140" customFormat="1" ht="25.5" x14ac:dyDescent="0.25">
      <c r="B459" s="201" t="s">
        <v>5638</v>
      </c>
      <c r="C459" s="147" t="s">
        <v>37</v>
      </c>
      <c r="D459" s="167">
        <v>1</v>
      </c>
      <c r="E459" s="148">
        <v>150000</v>
      </c>
      <c r="F459" s="169">
        <v>0.02</v>
      </c>
      <c r="G459" s="367">
        <f>+D459*E459*(1+F459)</f>
        <v>153000</v>
      </c>
      <c r="H459" s="134"/>
    </row>
    <row r="460" spans="1:8" s="140" customFormat="1" x14ac:dyDescent="0.25">
      <c r="B460" s="196" t="s">
        <v>5642</v>
      </c>
      <c r="C460" s="147" t="s">
        <v>37</v>
      </c>
      <c r="D460" s="167">
        <v>1</v>
      </c>
      <c r="E460" s="323">
        <v>68000</v>
      </c>
      <c r="F460" s="169">
        <v>0.01</v>
      </c>
      <c r="G460" s="367">
        <f>+D460*E460*(1+F460)</f>
        <v>68680</v>
      </c>
      <c r="H460" s="134"/>
    </row>
    <row r="461" spans="1:8" s="140" customFormat="1" x14ac:dyDescent="0.25">
      <c r="B461" s="196" t="s">
        <v>5643</v>
      </c>
      <c r="C461" s="147" t="s">
        <v>37</v>
      </c>
      <c r="D461" s="167">
        <v>1</v>
      </c>
      <c r="E461" s="323">
        <v>115000</v>
      </c>
      <c r="F461" s="169">
        <v>0.01</v>
      </c>
      <c r="G461" s="367">
        <f>+D461*E461*(1+F461)</f>
        <v>116150</v>
      </c>
      <c r="H461" s="134"/>
    </row>
    <row r="462" spans="1:8" s="140" customFormat="1" x14ac:dyDescent="0.25">
      <c r="B462" s="155"/>
      <c r="C462" s="151"/>
      <c r="D462" s="151"/>
      <c r="E462" s="148"/>
      <c r="F462" s="151"/>
      <c r="G462" s="367"/>
      <c r="H462" s="134"/>
    </row>
    <row r="463" spans="1:8" s="140" customFormat="1" x14ac:dyDescent="0.25">
      <c r="B463" s="155"/>
      <c r="C463" s="151"/>
      <c r="D463" s="151"/>
      <c r="E463" s="148"/>
      <c r="F463" s="151"/>
      <c r="G463" s="367"/>
      <c r="H463" s="134"/>
    </row>
    <row r="464" spans="1:8" s="140" customFormat="1" x14ac:dyDescent="0.25">
      <c r="B464" s="155"/>
      <c r="C464" s="151"/>
      <c r="D464" s="151"/>
      <c r="E464" s="148"/>
      <c r="F464" s="151"/>
      <c r="G464" s="367"/>
      <c r="H464" s="134"/>
    </row>
    <row r="465" spans="2:8" s="140" customFormat="1" x14ac:dyDescent="0.25">
      <c r="B465" s="155"/>
      <c r="C465" s="151"/>
      <c r="D465" s="151"/>
      <c r="E465" s="148"/>
      <c r="F465" s="151"/>
      <c r="G465" s="367"/>
      <c r="H465" s="134"/>
    </row>
    <row r="466" spans="2:8" s="140" customFormat="1" x14ac:dyDescent="0.25">
      <c r="B466" s="155"/>
      <c r="C466" s="151"/>
      <c r="D466" s="151"/>
      <c r="E466" s="148"/>
      <c r="F466" s="151"/>
      <c r="G466" s="367"/>
      <c r="H466" s="134"/>
    </row>
    <row r="467" spans="2:8" s="140" customFormat="1" x14ac:dyDescent="0.25">
      <c r="B467" s="155"/>
      <c r="C467" s="151"/>
      <c r="D467" s="151"/>
      <c r="E467" s="148"/>
      <c r="F467" s="151"/>
      <c r="G467" s="367"/>
      <c r="H467" s="134"/>
    </row>
    <row r="468" spans="2:8" s="140" customFormat="1" x14ac:dyDescent="0.25">
      <c r="B468" s="155"/>
      <c r="C468" s="151"/>
      <c r="D468" s="151"/>
      <c r="E468" s="148"/>
      <c r="F468" s="151"/>
      <c r="G468" s="367"/>
      <c r="H468" s="134"/>
    </row>
    <row r="469" spans="2:8" s="140" customFormat="1" x14ac:dyDescent="0.25">
      <c r="B469" s="155"/>
      <c r="C469" s="152"/>
      <c r="D469" s="152"/>
      <c r="E469" s="152"/>
      <c r="F469" s="151"/>
      <c r="G469" s="156"/>
      <c r="H469" s="134"/>
    </row>
    <row r="470" spans="2:8" s="140" customFormat="1" ht="13.5" thickBot="1" x14ac:dyDescent="0.3">
      <c r="B470" s="155"/>
      <c r="C470" s="152"/>
      <c r="D470" s="152"/>
      <c r="E470" s="152"/>
      <c r="F470" s="151"/>
      <c r="G470" s="156"/>
      <c r="H470" s="134"/>
    </row>
    <row r="471" spans="2:8" s="140" customFormat="1" ht="13.5" thickBot="1" x14ac:dyDescent="0.3">
      <c r="B471" s="157"/>
      <c r="C471" s="159"/>
      <c r="D471" s="159"/>
      <c r="E471" s="159"/>
      <c r="F471" s="158"/>
      <c r="G471" s="160"/>
      <c r="H471" s="161">
        <f>+SUM(G459:G471)</f>
        <v>337830</v>
      </c>
    </row>
    <row r="472" spans="2:8" s="140" customFormat="1" ht="13.5" thickBot="1" x14ac:dyDescent="0.3">
      <c r="B472" s="162"/>
      <c r="C472" s="162"/>
      <c r="D472" s="162"/>
      <c r="E472" s="162"/>
      <c r="F472" s="163"/>
      <c r="G472" s="164"/>
      <c r="H472" s="165"/>
    </row>
    <row r="473" spans="2:8" s="140" customFormat="1" ht="13.5" thickBot="1" x14ac:dyDescent="0.3">
      <c r="B473" s="143" t="s">
        <v>5410</v>
      </c>
      <c r="C473" s="144" t="s">
        <v>867</v>
      </c>
      <c r="D473" s="144" t="s">
        <v>6</v>
      </c>
      <c r="E473" s="144" t="s">
        <v>870</v>
      </c>
      <c r="F473" s="144" t="s">
        <v>5411</v>
      </c>
      <c r="G473" s="145" t="s">
        <v>868</v>
      </c>
      <c r="H473" s="134"/>
    </row>
    <row r="474" spans="2:8" s="140" customFormat="1" x14ac:dyDescent="0.25">
      <c r="B474" s="201"/>
      <c r="C474" s="147"/>
      <c r="D474" s="167"/>
      <c r="E474" s="148"/>
      <c r="F474" s="167"/>
      <c r="G474" s="367"/>
      <c r="H474" s="134"/>
    </row>
    <row r="475" spans="2:8" s="140" customFormat="1" x14ac:dyDescent="0.25">
      <c r="B475" s="196"/>
      <c r="C475" s="151"/>
      <c r="D475" s="151"/>
      <c r="E475" s="148"/>
      <c r="F475" s="147"/>
      <c r="G475" s="367"/>
      <c r="H475" s="134"/>
    </row>
    <row r="476" spans="2:8" s="140" customFormat="1" x14ac:dyDescent="0.25">
      <c r="B476" s="196"/>
      <c r="C476" s="151"/>
      <c r="D476" s="151"/>
      <c r="E476" s="148"/>
      <c r="F476" s="151"/>
      <c r="G476" s="367"/>
      <c r="H476" s="134"/>
    </row>
    <row r="477" spans="2:8" s="140" customFormat="1" x14ac:dyDescent="0.25">
      <c r="B477" s="155"/>
      <c r="C477" s="151"/>
      <c r="D477" s="151"/>
      <c r="E477" s="148"/>
      <c r="F477" s="151"/>
      <c r="G477" s="367"/>
      <c r="H477" s="134"/>
    </row>
    <row r="478" spans="2:8" s="140" customFormat="1" x14ac:dyDescent="0.25">
      <c r="B478" s="155"/>
      <c r="C478" s="151"/>
      <c r="D478" s="151"/>
      <c r="E478" s="148"/>
      <c r="F478" s="151"/>
      <c r="G478" s="367"/>
      <c r="H478" s="134"/>
    </row>
    <row r="479" spans="2:8" s="140" customFormat="1" ht="13.5" thickBot="1" x14ac:dyDescent="0.3">
      <c r="B479" s="155"/>
      <c r="C479" s="151"/>
      <c r="D479" s="151"/>
      <c r="E479" s="148"/>
      <c r="F479" s="151"/>
      <c r="G479" s="367"/>
      <c r="H479" s="134"/>
    </row>
    <row r="480" spans="2:8" s="140" customFormat="1" ht="13.5" thickBot="1" x14ac:dyDescent="0.3">
      <c r="B480" s="157"/>
      <c r="C480" s="159"/>
      <c r="D480" s="159"/>
      <c r="E480" s="159"/>
      <c r="F480" s="158"/>
      <c r="G480" s="160"/>
      <c r="H480" s="161">
        <f>+SUM(G474:G480)</f>
        <v>0</v>
      </c>
    </row>
    <row r="481" spans="1:8" s="140" customFormat="1" ht="13.5" thickBot="1" x14ac:dyDescent="0.3">
      <c r="B481" s="162"/>
      <c r="C481" s="162"/>
      <c r="D481" s="162"/>
      <c r="E481" s="162"/>
      <c r="F481" s="173"/>
      <c r="G481" s="174"/>
      <c r="H481" s="165"/>
    </row>
    <row r="482" spans="1:8" s="140" customFormat="1" ht="13.5" thickBot="1" x14ac:dyDescent="0.3">
      <c r="B482" s="143" t="s">
        <v>5412</v>
      </c>
      <c r="C482" s="144" t="s">
        <v>867</v>
      </c>
      <c r="D482" s="144" t="s">
        <v>6</v>
      </c>
      <c r="E482" s="144" t="s">
        <v>5413</v>
      </c>
      <c r="F482" s="144" t="s">
        <v>5405</v>
      </c>
      <c r="G482" s="145" t="s">
        <v>868</v>
      </c>
      <c r="H482" s="134"/>
    </row>
    <row r="483" spans="1:8" s="140" customFormat="1" x14ac:dyDescent="0.25">
      <c r="B483" s="194" t="s">
        <v>5650</v>
      </c>
      <c r="C483" s="345">
        <v>70000</v>
      </c>
      <c r="D483" s="345">
        <f>+C483*0.85</f>
        <v>59500</v>
      </c>
      <c r="E483" s="353">
        <f>+C483+D483</f>
        <v>129500</v>
      </c>
      <c r="F483" s="192">
        <v>10</v>
      </c>
      <c r="G483" s="351">
        <f>+E483/F483</f>
        <v>12950</v>
      </c>
      <c r="H483" s="134"/>
    </row>
    <row r="484" spans="1:8" s="140" customFormat="1" x14ac:dyDescent="0.25">
      <c r="B484" s="194" t="s">
        <v>5651</v>
      </c>
      <c r="C484" s="345">
        <v>40000</v>
      </c>
      <c r="D484" s="345">
        <f>+C484*0.85</f>
        <v>34000</v>
      </c>
      <c r="E484" s="353">
        <f>+C484+D484</f>
        <v>74000</v>
      </c>
      <c r="F484" s="192">
        <v>5</v>
      </c>
      <c r="G484" s="351">
        <f>+E484/F484</f>
        <v>14800</v>
      </c>
      <c r="H484" s="134"/>
    </row>
    <row r="485" spans="1:8" s="140" customFormat="1" x14ac:dyDescent="0.25">
      <c r="B485" s="195" t="s">
        <v>5635</v>
      </c>
      <c r="C485" s="345">
        <v>20600</v>
      </c>
      <c r="D485" s="345">
        <f>+C485*0.85</f>
        <v>17510</v>
      </c>
      <c r="E485" s="353">
        <f>+C485+D485</f>
        <v>38110</v>
      </c>
      <c r="F485" s="298">
        <v>1.5</v>
      </c>
      <c r="G485" s="351">
        <f>+E485/F485</f>
        <v>25406.666666666668</v>
      </c>
      <c r="H485" s="134"/>
    </row>
    <row r="486" spans="1:8" s="140" customFormat="1" x14ac:dyDescent="0.25">
      <c r="B486" s="155"/>
      <c r="C486" s="152"/>
      <c r="D486" s="152"/>
      <c r="E486" s="152"/>
      <c r="F486" s="151"/>
      <c r="G486" s="156"/>
      <c r="H486" s="134"/>
    </row>
    <row r="487" spans="1:8" s="140" customFormat="1" x14ac:dyDescent="0.25">
      <c r="B487" s="155"/>
      <c r="C487" s="152"/>
      <c r="D487" s="152"/>
      <c r="E487" s="152"/>
      <c r="F487" s="151"/>
      <c r="G487" s="156"/>
      <c r="H487" s="134"/>
    </row>
    <row r="488" spans="1:8" s="140" customFormat="1" ht="13.5" thickBot="1" x14ac:dyDescent="0.3">
      <c r="B488" s="155"/>
      <c r="C488" s="152"/>
      <c r="D488" s="152"/>
      <c r="E488" s="152"/>
      <c r="F488" s="151"/>
      <c r="G488" s="156"/>
      <c r="H488" s="134"/>
    </row>
    <row r="489" spans="1:8" s="140" customFormat="1" ht="13.5" thickBot="1" x14ac:dyDescent="0.3">
      <c r="B489" s="179"/>
      <c r="C489" s="180"/>
      <c r="D489" s="180"/>
      <c r="E489" s="180"/>
      <c r="F489" s="181"/>
      <c r="G489" s="182"/>
      <c r="H489" s="161">
        <f>+SUM(G483:G489)</f>
        <v>53156.666666666672</v>
      </c>
    </row>
    <row r="490" spans="1:8" s="140" customFormat="1" ht="13.5" thickBot="1" x14ac:dyDescent="0.3">
      <c r="F490" s="141"/>
      <c r="G490" s="134"/>
      <c r="H490" s="134"/>
    </row>
    <row r="491" spans="1:8" s="140" customFormat="1" ht="13.5" thickBot="1" x14ac:dyDescent="0.3">
      <c r="E491" s="183" t="s">
        <v>5415</v>
      </c>
      <c r="F491" s="141"/>
      <c r="G491" s="134"/>
      <c r="H491" s="161">
        <f>ROUND(+H456+H471+H480+H489,0)</f>
        <v>445206</v>
      </c>
    </row>
    <row r="493" spans="1:8" x14ac:dyDescent="0.25">
      <c r="H493" s="341"/>
    </row>
    <row r="494" spans="1:8" ht="12.75" customHeight="1" x14ac:dyDescent="0.25"/>
    <row r="496" spans="1:8" ht="18.75" x14ac:dyDescent="0.25">
      <c r="A496" s="133"/>
      <c r="B496" s="2506" t="s">
        <v>5400</v>
      </c>
      <c r="C496" s="2506"/>
      <c r="D496" s="2506"/>
      <c r="E496" s="2506"/>
      <c r="F496" s="2506"/>
      <c r="G496" s="2506"/>
    </row>
    <row r="497" spans="1:8" x14ac:dyDescent="0.25">
      <c r="A497" s="133"/>
      <c r="G497" s="134"/>
    </row>
    <row r="498" spans="1:8" x14ac:dyDescent="0.25">
      <c r="A498" s="133"/>
      <c r="G498" s="134"/>
    </row>
    <row r="499" spans="1:8" x14ac:dyDescent="0.25">
      <c r="A499" s="133"/>
      <c r="G499" s="134"/>
    </row>
    <row r="500" spans="1:8" x14ac:dyDescent="0.25">
      <c r="A500" s="138" t="s">
        <v>3</v>
      </c>
      <c r="B500" s="138" t="s">
        <v>65</v>
      </c>
      <c r="C500" s="2450" t="s">
        <v>5640</v>
      </c>
      <c r="D500" s="2450"/>
      <c r="E500" s="2450"/>
      <c r="F500" s="138" t="s">
        <v>867</v>
      </c>
      <c r="G500" s="139" t="s">
        <v>5424</v>
      </c>
      <c r="H500" s="134"/>
    </row>
    <row r="501" spans="1:8" ht="24.95" customHeight="1" x14ac:dyDescent="0.25">
      <c r="A501" s="141"/>
      <c r="B501" s="140"/>
      <c r="C501" s="140"/>
      <c r="D501" s="140"/>
      <c r="E501" s="140"/>
      <c r="F501" s="141"/>
      <c r="G501" s="134"/>
      <c r="H501" s="134"/>
    </row>
    <row r="502" spans="1:8" x14ac:dyDescent="0.25">
      <c r="A502" s="141"/>
      <c r="B502" s="140"/>
      <c r="C502" s="140"/>
      <c r="D502" s="140"/>
      <c r="E502" s="140"/>
      <c r="F502" s="141"/>
      <c r="G502" s="142"/>
      <c r="H502" s="134"/>
    </row>
    <row r="503" spans="1:8" ht="13.5" thickBot="1" x14ac:dyDescent="0.3">
      <c r="A503" s="141"/>
      <c r="B503" s="140"/>
      <c r="C503" s="140"/>
      <c r="D503" s="140"/>
      <c r="E503" s="140"/>
      <c r="F503" s="141"/>
      <c r="G503" s="134"/>
      <c r="H503" s="134"/>
    </row>
    <row r="504" spans="1:8" ht="13.5" thickBot="1" x14ac:dyDescent="0.3">
      <c r="A504" s="141"/>
      <c r="B504" s="143" t="s">
        <v>5403</v>
      </c>
      <c r="C504" s="144" t="s">
        <v>867</v>
      </c>
      <c r="D504" s="144" t="s">
        <v>6</v>
      </c>
      <c r="E504" s="144" t="s">
        <v>5435</v>
      </c>
      <c r="F504" s="144" t="s">
        <v>5405</v>
      </c>
      <c r="G504" s="145" t="s">
        <v>868</v>
      </c>
      <c r="H504" s="134"/>
    </row>
    <row r="505" spans="1:8" x14ac:dyDescent="0.25">
      <c r="A505" s="141"/>
      <c r="B505" s="217" t="s">
        <v>5440</v>
      </c>
      <c r="C505" s="147"/>
      <c r="D505" s="148"/>
      <c r="E505" s="148">
        <f>+H544</f>
        <v>30463.333333333332</v>
      </c>
      <c r="F505" s="191">
        <v>1.02</v>
      </c>
      <c r="G505" s="360">
        <f>+E505*F505</f>
        <v>31072.6</v>
      </c>
      <c r="H505" s="134"/>
    </row>
    <row r="506" spans="1:8" ht="12.75" customHeight="1" x14ac:dyDescent="0.25">
      <c r="A506" s="141"/>
      <c r="B506" s="150"/>
      <c r="C506" s="151"/>
      <c r="D506" s="152"/>
      <c r="E506" s="148"/>
      <c r="F506" s="185"/>
      <c r="G506" s="149"/>
      <c r="H506" s="134"/>
    </row>
    <row r="507" spans="1:8" x14ac:dyDescent="0.25">
      <c r="A507" s="141"/>
      <c r="B507" s="154"/>
      <c r="C507" s="151"/>
      <c r="D507" s="152"/>
      <c r="E507" s="148"/>
      <c r="F507" s="185"/>
      <c r="G507" s="149"/>
      <c r="H507" s="134"/>
    </row>
    <row r="508" spans="1:8" x14ac:dyDescent="0.25">
      <c r="A508" s="141"/>
      <c r="B508" s="155"/>
      <c r="C508" s="151"/>
      <c r="D508" s="152"/>
      <c r="E508" s="152"/>
      <c r="F508" s="151"/>
      <c r="G508" s="156"/>
      <c r="H508" s="134"/>
    </row>
    <row r="509" spans="1:8" x14ac:dyDescent="0.25">
      <c r="A509" s="141"/>
      <c r="B509" s="155"/>
      <c r="C509" s="151"/>
      <c r="D509" s="152"/>
      <c r="E509" s="152"/>
      <c r="F509" s="151"/>
      <c r="G509" s="156"/>
      <c r="H509" s="134"/>
    </row>
    <row r="510" spans="1:8" ht="13.5" thickBot="1" x14ac:dyDescent="0.3">
      <c r="A510" s="141"/>
      <c r="B510" s="155"/>
      <c r="C510" s="151"/>
      <c r="D510" s="152"/>
      <c r="E510" s="152"/>
      <c r="F510" s="151"/>
      <c r="G510" s="156"/>
      <c r="H510" s="134"/>
    </row>
    <row r="511" spans="1:8" ht="13.5" thickBot="1" x14ac:dyDescent="0.3">
      <c r="A511" s="141"/>
      <c r="B511" s="157"/>
      <c r="C511" s="158"/>
      <c r="D511" s="159"/>
      <c r="E511" s="159"/>
      <c r="F511" s="158"/>
      <c r="G511" s="160"/>
      <c r="H511" s="161">
        <f>+SUM(G505:G511)</f>
        <v>31072.6</v>
      </c>
    </row>
    <row r="512" spans="1:8" ht="13.5" thickBot="1" x14ac:dyDescent="0.3">
      <c r="A512" s="141"/>
      <c r="B512" s="162"/>
      <c r="C512" s="163"/>
      <c r="D512" s="162"/>
      <c r="E512" s="162"/>
      <c r="F512" s="163"/>
      <c r="G512" s="164"/>
      <c r="H512" s="165"/>
    </row>
    <row r="513" spans="1:8" ht="13.5" thickBot="1" x14ac:dyDescent="0.3">
      <c r="A513" s="140"/>
      <c r="B513" s="143" t="s">
        <v>5408</v>
      </c>
      <c r="C513" s="144" t="s">
        <v>867</v>
      </c>
      <c r="D513" s="144" t="s">
        <v>6</v>
      </c>
      <c r="E513" s="144" t="s">
        <v>870</v>
      </c>
      <c r="F513" s="144" t="s">
        <v>5409</v>
      </c>
      <c r="G513" s="145" t="s">
        <v>868</v>
      </c>
      <c r="H513" s="134"/>
    </row>
    <row r="514" spans="1:8" ht="25.5" x14ac:dyDescent="0.25">
      <c r="A514" s="140"/>
      <c r="B514" s="201" t="s">
        <v>6263</v>
      </c>
      <c r="C514" s="147" t="s">
        <v>37</v>
      </c>
      <c r="D514" s="167">
        <v>1</v>
      </c>
      <c r="E514" s="148">
        <v>185600</v>
      </c>
      <c r="F514" s="169">
        <v>0.02</v>
      </c>
      <c r="G514" s="367">
        <f>+D514*E514*(1+F514)</f>
        <v>189312</v>
      </c>
      <c r="H514" s="134"/>
    </row>
    <row r="515" spans="1:8" x14ac:dyDescent="0.25">
      <c r="A515" s="140"/>
      <c r="B515" s="196"/>
      <c r="C515" s="147"/>
      <c r="D515" s="167"/>
      <c r="E515" s="148"/>
      <c r="F515" s="169"/>
      <c r="G515" s="367"/>
      <c r="H515" s="134"/>
    </row>
    <row r="516" spans="1:8" x14ac:dyDescent="0.25">
      <c r="A516" s="140"/>
      <c r="B516" s="196"/>
      <c r="C516" s="147"/>
      <c r="D516" s="167"/>
      <c r="E516" s="148"/>
      <c r="F516" s="169"/>
      <c r="G516" s="367"/>
      <c r="H516" s="134"/>
    </row>
    <row r="517" spans="1:8" x14ac:dyDescent="0.25">
      <c r="A517" s="140"/>
      <c r="B517" s="155"/>
      <c r="C517" s="151"/>
      <c r="D517" s="151"/>
      <c r="E517" s="148"/>
      <c r="F517" s="151"/>
      <c r="G517" s="367"/>
      <c r="H517" s="134"/>
    </row>
    <row r="518" spans="1:8" x14ac:dyDescent="0.25">
      <c r="A518" s="140"/>
      <c r="B518" s="155"/>
      <c r="C518" s="151"/>
      <c r="D518" s="151"/>
      <c r="E518" s="148"/>
      <c r="F518" s="151"/>
      <c r="G518" s="367"/>
      <c r="H518" s="134"/>
    </row>
    <row r="519" spans="1:8" x14ac:dyDescent="0.25">
      <c r="A519" s="140"/>
      <c r="B519" s="155"/>
      <c r="C519" s="151"/>
      <c r="D519" s="151"/>
      <c r="E519" s="148"/>
      <c r="F519" s="151"/>
      <c r="G519" s="367"/>
      <c r="H519" s="134"/>
    </row>
    <row r="520" spans="1:8" x14ac:dyDescent="0.25">
      <c r="A520" s="140"/>
      <c r="B520" s="155"/>
      <c r="C520" s="151"/>
      <c r="D520" s="151"/>
      <c r="E520" s="148"/>
      <c r="F520" s="151"/>
      <c r="G520" s="367"/>
      <c r="H520" s="134"/>
    </row>
    <row r="521" spans="1:8" x14ac:dyDescent="0.25">
      <c r="A521" s="140"/>
      <c r="B521" s="155"/>
      <c r="C521" s="151"/>
      <c r="D521" s="151"/>
      <c r="E521" s="148"/>
      <c r="F521" s="151"/>
      <c r="G521" s="367"/>
      <c r="H521" s="134"/>
    </row>
    <row r="522" spans="1:8" x14ac:dyDescent="0.25">
      <c r="A522" s="140"/>
      <c r="B522" s="155"/>
      <c r="C522" s="151"/>
      <c r="D522" s="151"/>
      <c r="E522" s="148"/>
      <c r="F522" s="151"/>
      <c r="G522" s="367"/>
      <c r="H522" s="134"/>
    </row>
    <row r="523" spans="1:8" x14ac:dyDescent="0.25">
      <c r="A523" s="140"/>
      <c r="B523" s="155"/>
      <c r="C523" s="151"/>
      <c r="D523" s="151"/>
      <c r="E523" s="148"/>
      <c r="F523" s="151"/>
      <c r="G523" s="367"/>
      <c r="H523" s="134"/>
    </row>
    <row r="524" spans="1:8" x14ac:dyDescent="0.25">
      <c r="A524" s="140"/>
      <c r="B524" s="155"/>
      <c r="C524" s="152"/>
      <c r="D524" s="152"/>
      <c r="E524" s="152"/>
      <c r="F524" s="151"/>
      <c r="G524" s="156"/>
      <c r="H524" s="134"/>
    </row>
    <row r="525" spans="1:8" ht="13.5" thickBot="1" x14ac:dyDescent="0.3">
      <c r="A525" s="140"/>
      <c r="B525" s="155"/>
      <c r="C525" s="152"/>
      <c r="D525" s="152"/>
      <c r="E525" s="152"/>
      <c r="F525" s="151"/>
      <c r="G525" s="156"/>
      <c r="H525" s="134"/>
    </row>
    <row r="526" spans="1:8" ht="13.5" thickBot="1" x14ac:dyDescent="0.3">
      <c r="A526" s="140"/>
      <c r="B526" s="157"/>
      <c r="C526" s="159"/>
      <c r="D526" s="159"/>
      <c r="E526" s="159"/>
      <c r="F526" s="158"/>
      <c r="G526" s="160"/>
      <c r="H526" s="161">
        <f>+SUM(G514:G526)</f>
        <v>189312</v>
      </c>
    </row>
    <row r="527" spans="1:8" ht="13.5" thickBot="1" x14ac:dyDescent="0.3">
      <c r="A527" s="140"/>
      <c r="B527" s="162"/>
      <c r="C527" s="162"/>
      <c r="D527" s="162"/>
      <c r="E527" s="162"/>
      <c r="F527" s="163"/>
      <c r="G527" s="164"/>
      <c r="H527" s="165"/>
    </row>
    <row r="528" spans="1:8" ht="13.5" thickBot="1" x14ac:dyDescent="0.3">
      <c r="A528" s="140"/>
      <c r="B528" s="143" t="s">
        <v>5410</v>
      </c>
      <c r="C528" s="144" t="s">
        <v>867</v>
      </c>
      <c r="D528" s="144" t="s">
        <v>6</v>
      </c>
      <c r="E528" s="144" t="s">
        <v>870</v>
      </c>
      <c r="F528" s="144" t="s">
        <v>5411</v>
      </c>
      <c r="G528" s="145" t="s">
        <v>868</v>
      </c>
      <c r="H528" s="134"/>
    </row>
    <row r="529" spans="1:8" x14ac:dyDescent="0.25">
      <c r="A529" s="140"/>
      <c r="B529" s="201"/>
      <c r="C529" s="147"/>
      <c r="D529" s="167"/>
      <c r="E529" s="148"/>
      <c r="F529" s="167"/>
      <c r="G529" s="367"/>
      <c r="H529" s="134"/>
    </row>
    <row r="530" spans="1:8" x14ac:dyDescent="0.25">
      <c r="A530" s="140"/>
      <c r="B530" s="196"/>
      <c r="C530" s="151"/>
      <c r="D530" s="151"/>
      <c r="E530" s="148"/>
      <c r="F530" s="147"/>
      <c r="G530" s="367"/>
      <c r="H530" s="134"/>
    </row>
    <row r="531" spans="1:8" x14ac:dyDescent="0.25">
      <c r="A531" s="140"/>
      <c r="B531" s="196"/>
      <c r="C531" s="151"/>
      <c r="D531" s="151"/>
      <c r="E531" s="148"/>
      <c r="F531" s="151"/>
      <c r="G531" s="367"/>
      <c r="H531" s="134"/>
    </row>
    <row r="532" spans="1:8" x14ac:dyDescent="0.25">
      <c r="A532" s="140"/>
      <c r="B532" s="155"/>
      <c r="C532" s="151"/>
      <c r="D532" s="151"/>
      <c r="E532" s="148"/>
      <c r="F532" s="151"/>
      <c r="G532" s="367"/>
      <c r="H532" s="134"/>
    </row>
    <row r="533" spans="1:8" x14ac:dyDescent="0.25">
      <c r="A533" s="140"/>
      <c r="B533" s="155"/>
      <c r="C533" s="151"/>
      <c r="D533" s="151"/>
      <c r="E533" s="148"/>
      <c r="F533" s="151"/>
      <c r="G533" s="367"/>
      <c r="H533" s="134"/>
    </row>
    <row r="534" spans="1:8" ht="13.5" thickBot="1" x14ac:dyDescent="0.3">
      <c r="A534" s="140"/>
      <c r="B534" s="155"/>
      <c r="C534" s="151"/>
      <c r="D534" s="151"/>
      <c r="E534" s="148"/>
      <c r="F534" s="151"/>
      <c r="G534" s="367"/>
      <c r="H534" s="134"/>
    </row>
    <row r="535" spans="1:8" ht="13.5" thickBot="1" x14ac:dyDescent="0.3">
      <c r="A535" s="140"/>
      <c r="B535" s="157"/>
      <c r="C535" s="159"/>
      <c r="D535" s="159"/>
      <c r="E535" s="159"/>
      <c r="F535" s="158"/>
      <c r="G535" s="160"/>
      <c r="H535" s="161">
        <f>+SUM(G529:G535)</f>
        <v>0</v>
      </c>
    </row>
    <row r="536" spans="1:8" ht="13.5" thickBot="1" x14ac:dyDescent="0.3">
      <c r="A536" s="140"/>
      <c r="B536" s="162"/>
      <c r="C536" s="162"/>
      <c r="D536" s="162"/>
      <c r="E536" s="162"/>
      <c r="F536" s="173"/>
      <c r="G536" s="174"/>
      <c r="H536" s="165"/>
    </row>
    <row r="537" spans="1:8" ht="13.5" thickBot="1" x14ac:dyDescent="0.3">
      <c r="A537" s="140"/>
      <c r="B537" s="143" t="s">
        <v>5412</v>
      </c>
      <c r="C537" s="144" t="s">
        <v>867</v>
      </c>
      <c r="D537" s="144" t="s">
        <v>6</v>
      </c>
      <c r="E537" s="144" t="s">
        <v>5413</v>
      </c>
      <c r="F537" s="144" t="s">
        <v>5405</v>
      </c>
      <c r="G537" s="145" t="s">
        <v>868</v>
      </c>
      <c r="H537" s="134"/>
    </row>
    <row r="538" spans="1:8" x14ac:dyDescent="0.25">
      <c r="A538" s="140"/>
      <c r="B538" s="194" t="s">
        <v>5650</v>
      </c>
      <c r="C538" s="345">
        <v>70000</v>
      </c>
      <c r="D538" s="345">
        <f>+C538*0.85</f>
        <v>59500</v>
      </c>
      <c r="E538" s="353">
        <f>+C538+D538</f>
        <v>129500</v>
      </c>
      <c r="F538" s="192">
        <v>20</v>
      </c>
      <c r="G538" s="351">
        <f>+E538/F538</f>
        <v>6475</v>
      </c>
      <c r="H538" s="134"/>
    </row>
    <row r="539" spans="1:8" x14ac:dyDescent="0.25">
      <c r="A539" s="140"/>
      <c r="B539" s="194" t="s">
        <v>5651</v>
      </c>
      <c r="C539" s="345">
        <v>40000</v>
      </c>
      <c r="D539" s="345">
        <f>+C539*0.85</f>
        <v>34000</v>
      </c>
      <c r="E539" s="353">
        <f>+C539+D539</f>
        <v>74000</v>
      </c>
      <c r="F539" s="192">
        <v>15</v>
      </c>
      <c r="G539" s="351">
        <f>+E539/F539</f>
        <v>4933.333333333333</v>
      </c>
      <c r="H539" s="134"/>
    </row>
    <row r="540" spans="1:8" x14ac:dyDescent="0.25">
      <c r="A540" s="140"/>
      <c r="B540" s="195" t="s">
        <v>5635</v>
      </c>
      <c r="C540" s="345">
        <v>20600</v>
      </c>
      <c r="D540" s="345">
        <f>+C540*0.85</f>
        <v>17510</v>
      </c>
      <c r="E540" s="353">
        <f>+C540+D540</f>
        <v>38110</v>
      </c>
      <c r="F540" s="298">
        <v>2</v>
      </c>
      <c r="G540" s="351">
        <f>+E540/F540</f>
        <v>19055</v>
      </c>
      <c r="H540" s="134"/>
    </row>
    <row r="541" spans="1:8" x14ac:dyDescent="0.25">
      <c r="A541" s="140"/>
      <c r="B541" s="155"/>
      <c r="C541" s="152"/>
      <c r="D541" s="152"/>
      <c r="E541" s="152"/>
      <c r="F541" s="151"/>
      <c r="G541" s="156"/>
      <c r="H541" s="134"/>
    </row>
    <row r="542" spans="1:8" x14ac:dyDescent="0.25">
      <c r="A542" s="140"/>
      <c r="B542" s="155"/>
      <c r="C542" s="152"/>
      <c r="D542" s="152"/>
      <c r="E542" s="152"/>
      <c r="F542" s="151"/>
      <c r="G542" s="156"/>
      <c r="H542" s="134"/>
    </row>
    <row r="543" spans="1:8" ht="13.5" thickBot="1" x14ac:dyDescent="0.3">
      <c r="A543" s="140"/>
      <c r="B543" s="155"/>
      <c r="C543" s="152"/>
      <c r="D543" s="152"/>
      <c r="E543" s="152"/>
      <c r="F543" s="151"/>
      <c r="G543" s="156"/>
      <c r="H543" s="134"/>
    </row>
    <row r="544" spans="1:8" ht="13.5" thickBot="1" x14ac:dyDescent="0.3">
      <c r="A544" s="140"/>
      <c r="B544" s="179"/>
      <c r="C544" s="180"/>
      <c r="D544" s="180"/>
      <c r="E544" s="180"/>
      <c r="F544" s="181"/>
      <c r="G544" s="182"/>
      <c r="H544" s="161">
        <f>+SUM(G538:G544)</f>
        <v>30463.333333333332</v>
      </c>
    </row>
    <row r="545" spans="1:8" ht="13.5" thickBot="1" x14ac:dyDescent="0.3">
      <c r="A545" s="140"/>
      <c r="B545" s="140"/>
      <c r="C545" s="140"/>
      <c r="D545" s="140"/>
      <c r="E545" s="140"/>
      <c r="F545" s="141"/>
      <c r="G545" s="134"/>
      <c r="H545" s="134"/>
    </row>
    <row r="546" spans="1:8" ht="13.5" thickBot="1" x14ac:dyDescent="0.3">
      <c r="A546" s="140"/>
      <c r="B546" s="140"/>
      <c r="C546" s="140"/>
      <c r="D546" s="140"/>
      <c r="E546" s="183" t="s">
        <v>5415</v>
      </c>
      <c r="F546" s="141"/>
      <c r="G546" s="134"/>
      <c r="H546" s="161">
        <f>ROUND(+H511+H526+H535+H544,0)</f>
        <v>250848</v>
      </c>
    </row>
    <row r="547" spans="1:8" x14ac:dyDescent="0.25">
      <c r="A547" s="140"/>
      <c r="B547" s="140"/>
      <c r="C547" s="140"/>
      <c r="D547" s="140"/>
      <c r="E547" s="183"/>
      <c r="F547" s="141"/>
      <c r="G547" s="134"/>
      <c r="H547" s="165"/>
    </row>
    <row r="548" spans="1:8" x14ac:dyDescent="0.25">
      <c r="A548" s="140"/>
      <c r="B548" s="140"/>
      <c r="C548" s="140"/>
      <c r="D548" s="140"/>
      <c r="E548" s="183"/>
      <c r="F548" s="141"/>
      <c r="G548" s="134"/>
      <c r="H548" s="165"/>
    </row>
    <row r="549" spans="1:8" x14ac:dyDescent="0.25">
      <c r="A549" s="140"/>
      <c r="B549" s="140"/>
      <c r="C549" s="140"/>
      <c r="D549" s="140"/>
      <c r="E549" s="183"/>
      <c r="F549" s="141"/>
      <c r="G549" s="134"/>
      <c r="H549" s="165"/>
    </row>
    <row r="550" spans="1:8" x14ac:dyDescent="0.25">
      <c r="A550" s="140"/>
      <c r="B550" s="140"/>
      <c r="C550" s="140"/>
      <c r="D550" s="140"/>
      <c r="E550" s="183"/>
      <c r="F550" s="141"/>
      <c r="G550" s="134"/>
      <c r="H550" s="165"/>
    </row>
    <row r="551" spans="1:8" ht="18.75" x14ac:dyDescent="0.25">
      <c r="A551" s="133"/>
      <c r="B551" s="2506" t="s">
        <v>5400</v>
      </c>
      <c r="C551" s="2506"/>
      <c r="D551" s="2506"/>
      <c r="E551" s="2506"/>
      <c r="F551" s="2506"/>
      <c r="G551" s="2506"/>
    </row>
    <row r="552" spans="1:8" x14ac:dyDescent="0.25">
      <c r="A552" s="133"/>
      <c r="G552" s="134"/>
    </row>
    <row r="553" spans="1:8" x14ac:dyDescent="0.25">
      <c r="A553" s="133"/>
      <c r="G553" s="134"/>
    </row>
    <row r="554" spans="1:8" x14ac:dyDescent="0.25">
      <c r="A554" s="133"/>
      <c r="G554" s="134"/>
    </row>
    <row r="555" spans="1:8" s="140" customFormat="1" x14ac:dyDescent="0.25">
      <c r="A555" s="138" t="s">
        <v>3</v>
      </c>
      <c r="B555" s="138" t="s">
        <v>53</v>
      </c>
      <c r="C555" s="2450" t="s">
        <v>5436</v>
      </c>
      <c r="D555" s="2450"/>
      <c r="E555" s="2450"/>
      <c r="F555" s="138" t="s">
        <v>867</v>
      </c>
      <c r="G555" s="139" t="s">
        <v>5424</v>
      </c>
      <c r="H555" s="134"/>
    </row>
    <row r="556" spans="1:8" s="140" customFormat="1" ht="12.75" customHeight="1" x14ac:dyDescent="0.25">
      <c r="A556" s="141"/>
      <c r="F556" s="141"/>
      <c r="G556" s="134"/>
      <c r="H556" s="134"/>
    </row>
    <row r="557" spans="1:8" s="140" customFormat="1" ht="12.75" customHeight="1" x14ac:dyDescent="0.25">
      <c r="A557" s="141"/>
      <c r="F557" s="141"/>
      <c r="G557" s="142"/>
      <c r="H557" s="134"/>
    </row>
    <row r="558" spans="1:8" s="140" customFormat="1" ht="13.5" thickBot="1" x14ac:dyDescent="0.3">
      <c r="A558" s="141"/>
      <c r="F558" s="141"/>
      <c r="G558" s="134"/>
      <c r="H558" s="134"/>
    </row>
    <row r="559" spans="1:8" s="140" customFormat="1" ht="13.5" thickBot="1" x14ac:dyDescent="0.3">
      <c r="A559" s="141"/>
      <c r="B559" s="143" t="s">
        <v>5403</v>
      </c>
      <c r="C559" s="144" t="s">
        <v>867</v>
      </c>
      <c r="D559" s="144" t="s">
        <v>6</v>
      </c>
      <c r="E559" s="144" t="s">
        <v>5435</v>
      </c>
      <c r="F559" s="144" t="s">
        <v>5405</v>
      </c>
      <c r="G559" s="145" t="s">
        <v>868</v>
      </c>
      <c r="H559" s="134"/>
    </row>
    <row r="560" spans="1:8" s="140" customFormat="1" x14ac:dyDescent="0.25">
      <c r="A560" s="141"/>
      <c r="B560" s="217" t="s">
        <v>5440</v>
      </c>
      <c r="C560" s="147" t="s">
        <v>5406</v>
      </c>
      <c r="D560" s="148"/>
      <c r="E560" s="148">
        <f>+H599</f>
        <v>658.6</v>
      </c>
      <c r="F560" s="191">
        <v>0.05</v>
      </c>
      <c r="G560" s="360">
        <f>E560*F560</f>
        <v>32.93</v>
      </c>
      <c r="H560" s="134"/>
    </row>
    <row r="561" spans="1:8" s="140" customFormat="1" x14ac:dyDescent="0.25">
      <c r="A561" s="141"/>
      <c r="B561" s="150"/>
      <c r="C561" s="151"/>
      <c r="D561" s="152"/>
      <c r="E561" s="148"/>
      <c r="F561" s="185"/>
      <c r="G561" s="149"/>
      <c r="H561" s="134"/>
    </row>
    <row r="562" spans="1:8" s="140" customFormat="1" x14ac:dyDescent="0.25">
      <c r="A562" s="141"/>
      <c r="B562" s="154"/>
      <c r="C562" s="151"/>
      <c r="D562" s="152"/>
      <c r="E562" s="148"/>
      <c r="F562" s="185"/>
      <c r="G562" s="149"/>
      <c r="H562" s="134"/>
    </row>
    <row r="563" spans="1:8" s="140" customFormat="1" x14ac:dyDescent="0.25">
      <c r="A563" s="141"/>
      <c r="B563" s="155"/>
      <c r="C563" s="151"/>
      <c r="D563" s="152"/>
      <c r="E563" s="152"/>
      <c r="F563" s="151"/>
      <c r="G563" s="156"/>
      <c r="H563" s="134"/>
    </row>
    <row r="564" spans="1:8" s="140" customFormat="1" x14ac:dyDescent="0.25">
      <c r="A564" s="141"/>
      <c r="B564" s="155"/>
      <c r="C564" s="151"/>
      <c r="D564" s="152"/>
      <c r="E564" s="152"/>
      <c r="F564" s="151"/>
      <c r="G564" s="156"/>
      <c r="H564" s="134"/>
    </row>
    <row r="565" spans="1:8" s="140" customFormat="1" ht="13.5" thickBot="1" x14ac:dyDescent="0.3">
      <c r="A565" s="141"/>
      <c r="B565" s="155"/>
      <c r="C565" s="151"/>
      <c r="D565" s="152"/>
      <c r="E565" s="152"/>
      <c r="F565" s="151"/>
      <c r="G565" s="156"/>
      <c r="H565" s="134"/>
    </row>
    <row r="566" spans="1:8" s="140" customFormat="1" ht="13.5" thickBot="1" x14ac:dyDescent="0.3">
      <c r="A566" s="141"/>
      <c r="B566" s="157"/>
      <c r="C566" s="158"/>
      <c r="D566" s="159"/>
      <c r="E566" s="159"/>
      <c r="F566" s="158"/>
      <c r="G566" s="160"/>
      <c r="H566" s="161">
        <f>+SUM(G560:G566)</f>
        <v>32.93</v>
      </c>
    </row>
    <row r="567" spans="1:8" s="140" customFormat="1" ht="13.5" thickBot="1" x14ac:dyDescent="0.3">
      <c r="A567" s="141"/>
      <c r="B567" s="162"/>
      <c r="C567" s="163"/>
      <c r="D567" s="162"/>
      <c r="E567" s="162"/>
      <c r="F567" s="163"/>
      <c r="G567" s="164"/>
      <c r="H567" s="165"/>
    </row>
    <row r="568" spans="1:8" s="140" customFormat="1" ht="13.5" thickBot="1" x14ac:dyDescent="0.3">
      <c r="B568" s="143" t="s">
        <v>5408</v>
      </c>
      <c r="C568" s="144" t="s">
        <v>867</v>
      </c>
      <c r="D568" s="144" t="s">
        <v>6</v>
      </c>
      <c r="E568" s="144" t="s">
        <v>870</v>
      </c>
      <c r="F568" s="144" t="s">
        <v>5409</v>
      </c>
      <c r="G568" s="145" t="s">
        <v>868</v>
      </c>
      <c r="H568" s="134"/>
    </row>
    <row r="569" spans="1:8" s="140" customFormat="1" x14ac:dyDescent="0.25">
      <c r="B569" s="201" t="s">
        <v>6264</v>
      </c>
      <c r="C569" s="147" t="s">
        <v>37</v>
      </c>
      <c r="D569" s="167">
        <v>0.2</v>
      </c>
      <c r="E569" s="148">
        <f>27000*1.16</f>
        <v>31319.999999999996</v>
      </c>
      <c r="F569" s="169">
        <v>0.02</v>
      </c>
      <c r="G569" s="367">
        <f>+D569*E569*(1+F569)</f>
        <v>6389.28</v>
      </c>
      <c r="H569" s="134"/>
    </row>
    <row r="570" spans="1:8" s="140" customFormat="1" x14ac:dyDescent="0.25">
      <c r="B570" s="196"/>
      <c r="C570" s="151"/>
      <c r="D570" s="151"/>
      <c r="E570" s="148"/>
      <c r="F570" s="169"/>
      <c r="G570" s="367"/>
      <c r="H570" s="134"/>
    </row>
    <row r="571" spans="1:8" s="140" customFormat="1" x14ac:dyDescent="0.25">
      <c r="B571" s="196"/>
      <c r="C571" s="151"/>
      <c r="D571" s="151"/>
      <c r="E571" s="148"/>
      <c r="F571" s="169"/>
      <c r="G571" s="367"/>
      <c r="H571" s="134"/>
    </row>
    <row r="572" spans="1:8" s="140" customFormat="1" x14ac:dyDescent="0.25">
      <c r="B572" s="155"/>
      <c r="C572" s="151"/>
      <c r="D572" s="151"/>
      <c r="E572" s="148"/>
      <c r="F572" s="151"/>
      <c r="G572" s="367"/>
      <c r="H572" s="134"/>
    </row>
    <row r="573" spans="1:8" s="140" customFormat="1" x14ac:dyDescent="0.25">
      <c r="B573" s="155"/>
      <c r="C573" s="151"/>
      <c r="D573" s="151"/>
      <c r="E573" s="148"/>
      <c r="F573" s="151"/>
      <c r="G573" s="367"/>
      <c r="H573" s="134"/>
    </row>
    <row r="574" spans="1:8" s="140" customFormat="1" x14ac:dyDescent="0.25">
      <c r="B574" s="155"/>
      <c r="C574" s="151"/>
      <c r="D574" s="151"/>
      <c r="E574" s="148"/>
      <c r="F574" s="151"/>
      <c r="G574" s="367"/>
      <c r="H574" s="134"/>
    </row>
    <row r="575" spans="1:8" s="140" customFormat="1" x14ac:dyDescent="0.25">
      <c r="B575" s="155" t="s">
        <v>5641</v>
      </c>
      <c r="C575" s="151"/>
      <c r="D575" s="151"/>
      <c r="E575" s="148"/>
      <c r="F575" s="151"/>
      <c r="G575" s="367"/>
      <c r="H575" s="134"/>
    </row>
    <row r="576" spans="1:8" s="140" customFormat="1" x14ac:dyDescent="0.25">
      <c r="B576" s="155"/>
      <c r="C576" s="151"/>
      <c r="D576" s="151"/>
      <c r="E576" s="148"/>
      <c r="F576" s="151"/>
      <c r="G576" s="367"/>
      <c r="H576" s="134"/>
    </row>
    <row r="577" spans="2:8" s="140" customFormat="1" x14ac:dyDescent="0.25">
      <c r="B577" s="155"/>
      <c r="C577" s="151"/>
      <c r="D577" s="151"/>
      <c r="E577" s="148"/>
      <c r="F577" s="151"/>
      <c r="G577" s="367"/>
      <c r="H577" s="134"/>
    </row>
    <row r="578" spans="2:8" s="140" customFormat="1" x14ac:dyDescent="0.25">
      <c r="B578" s="155"/>
      <c r="C578" s="151"/>
      <c r="D578" s="151"/>
      <c r="E578" s="148"/>
      <c r="F578" s="151"/>
      <c r="G578" s="367"/>
      <c r="H578" s="134"/>
    </row>
    <row r="579" spans="2:8" s="140" customFormat="1" x14ac:dyDescent="0.25">
      <c r="B579" s="155"/>
      <c r="C579" s="152"/>
      <c r="D579" s="152"/>
      <c r="E579" s="152"/>
      <c r="F579" s="151"/>
      <c r="G579" s="156"/>
      <c r="H579" s="134"/>
    </row>
    <row r="580" spans="2:8" s="140" customFormat="1" ht="13.5" thickBot="1" x14ac:dyDescent="0.3">
      <c r="B580" s="155"/>
      <c r="C580" s="152"/>
      <c r="D580" s="152"/>
      <c r="E580" s="152"/>
      <c r="F580" s="151"/>
      <c r="G580" s="156"/>
      <c r="H580" s="134"/>
    </row>
    <row r="581" spans="2:8" s="140" customFormat="1" ht="13.5" thickBot="1" x14ac:dyDescent="0.3">
      <c r="B581" s="157"/>
      <c r="C581" s="159"/>
      <c r="D581" s="159"/>
      <c r="E581" s="159"/>
      <c r="F581" s="158"/>
      <c r="G581" s="160"/>
      <c r="H581" s="161">
        <f>+SUM(G569:G581)</f>
        <v>6389.28</v>
      </c>
    </row>
    <row r="582" spans="2:8" s="140" customFormat="1" ht="13.5" thickBot="1" x14ac:dyDescent="0.3">
      <c r="B582" s="162"/>
      <c r="C582" s="162"/>
      <c r="D582" s="162"/>
      <c r="E582" s="162"/>
      <c r="F582" s="163"/>
      <c r="G582" s="164"/>
      <c r="H582" s="165"/>
    </row>
    <row r="583" spans="2:8" s="140" customFormat="1" ht="13.5" thickBot="1" x14ac:dyDescent="0.3">
      <c r="B583" s="143" t="s">
        <v>5410</v>
      </c>
      <c r="C583" s="144" t="s">
        <v>867</v>
      </c>
      <c r="D583" s="144" t="s">
        <v>6</v>
      </c>
      <c r="E583" s="144" t="s">
        <v>870</v>
      </c>
      <c r="F583" s="144" t="s">
        <v>5411</v>
      </c>
      <c r="G583" s="145" t="s">
        <v>868</v>
      </c>
      <c r="H583" s="134"/>
    </row>
    <row r="584" spans="2:8" s="140" customFormat="1" x14ac:dyDescent="0.25">
      <c r="B584" s="201"/>
      <c r="C584" s="147"/>
      <c r="D584" s="167"/>
      <c r="E584" s="148"/>
      <c r="F584" s="167"/>
      <c r="G584" s="367"/>
      <c r="H584" s="134"/>
    </row>
    <row r="585" spans="2:8" s="140" customFormat="1" x14ac:dyDescent="0.25">
      <c r="B585" s="196"/>
      <c r="C585" s="151"/>
      <c r="D585" s="151"/>
      <c r="E585" s="148"/>
      <c r="F585" s="147"/>
      <c r="G585" s="367"/>
      <c r="H585" s="134"/>
    </row>
    <row r="586" spans="2:8" s="140" customFormat="1" x14ac:dyDescent="0.25">
      <c r="B586" s="196"/>
      <c r="C586" s="151"/>
      <c r="D586" s="151"/>
      <c r="E586" s="148"/>
      <c r="F586" s="151"/>
      <c r="G586" s="367"/>
      <c r="H586" s="134"/>
    </row>
    <row r="587" spans="2:8" s="140" customFormat="1" x14ac:dyDescent="0.25">
      <c r="B587" s="155"/>
      <c r="C587" s="151"/>
      <c r="D587" s="151"/>
      <c r="E587" s="148"/>
      <c r="F587" s="151"/>
      <c r="G587" s="367"/>
      <c r="H587" s="134"/>
    </row>
    <row r="588" spans="2:8" s="140" customFormat="1" x14ac:dyDescent="0.25">
      <c r="B588" s="155"/>
      <c r="C588" s="151"/>
      <c r="D588" s="151"/>
      <c r="E588" s="148"/>
      <c r="F588" s="151"/>
      <c r="G588" s="367"/>
      <c r="H588" s="134"/>
    </row>
    <row r="589" spans="2:8" s="140" customFormat="1" ht="13.5" thickBot="1" x14ac:dyDescent="0.3">
      <c r="B589" s="155"/>
      <c r="C589" s="151"/>
      <c r="D589" s="151"/>
      <c r="E589" s="148"/>
      <c r="F589" s="151"/>
      <c r="G589" s="367"/>
      <c r="H589" s="134"/>
    </row>
    <row r="590" spans="2:8" s="140" customFormat="1" ht="13.5" thickBot="1" x14ac:dyDescent="0.3">
      <c r="B590" s="157"/>
      <c r="C590" s="159"/>
      <c r="D590" s="159"/>
      <c r="E590" s="159"/>
      <c r="F590" s="158"/>
      <c r="G590" s="160"/>
      <c r="H590" s="161">
        <f>+SUM(G584:G590)</f>
        <v>0</v>
      </c>
    </row>
    <row r="591" spans="2:8" s="140" customFormat="1" ht="13.5" thickBot="1" x14ac:dyDescent="0.3">
      <c r="B591" s="162"/>
      <c r="C591" s="162"/>
      <c r="D591" s="162"/>
      <c r="E591" s="162"/>
      <c r="F591" s="173"/>
      <c r="G591" s="174"/>
      <c r="H591" s="165"/>
    </row>
    <row r="592" spans="2:8" s="140" customFormat="1" ht="13.5" thickBot="1" x14ac:dyDescent="0.3">
      <c r="B592" s="143" t="s">
        <v>5412</v>
      </c>
      <c r="C592" s="144" t="s">
        <v>867</v>
      </c>
      <c r="D592" s="144" t="s">
        <v>6</v>
      </c>
      <c r="E592" s="144" t="s">
        <v>5413</v>
      </c>
      <c r="F592" s="144" t="s">
        <v>5405</v>
      </c>
      <c r="G592" s="145" t="s">
        <v>868</v>
      </c>
      <c r="H592" s="134"/>
    </row>
    <row r="593" spans="1:8" s="140" customFormat="1" x14ac:dyDescent="0.25">
      <c r="B593" s="194" t="s">
        <v>5650</v>
      </c>
      <c r="C593" s="345">
        <v>70000</v>
      </c>
      <c r="D593" s="345">
        <f>+C593*0.85</f>
        <v>59500</v>
      </c>
      <c r="E593" s="353">
        <f>+C593+D593</f>
        <v>129500</v>
      </c>
      <c r="F593" s="216">
        <v>1000</v>
      </c>
      <c r="G593" s="351">
        <f>+E593/F593</f>
        <v>129.5</v>
      </c>
      <c r="H593" s="134"/>
    </row>
    <row r="594" spans="1:8" s="140" customFormat="1" x14ac:dyDescent="0.25">
      <c r="B594" s="194" t="s">
        <v>5651</v>
      </c>
      <c r="C594" s="345">
        <v>40000</v>
      </c>
      <c r="D594" s="345">
        <f>+C594*0.85</f>
        <v>34000</v>
      </c>
      <c r="E594" s="353">
        <f>+C594+D594</f>
        <v>74000</v>
      </c>
      <c r="F594" s="216">
        <v>500</v>
      </c>
      <c r="G594" s="351">
        <f>+E594/F594</f>
        <v>148</v>
      </c>
      <c r="H594" s="134"/>
    </row>
    <row r="595" spans="1:8" s="140" customFormat="1" x14ac:dyDescent="0.25">
      <c r="B595" s="195" t="s">
        <v>5635</v>
      </c>
      <c r="C595" s="345">
        <v>20600</v>
      </c>
      <c r="D595" s="345">
        <f>+C595*0.85</f>
        <v>17510</v>
      </c>
      <c r="E595" s="353">
        <f>+C595+D595</f>
        <v>38110</v>
      </c>
      <c r="F595" s="216">
        <v>100</v>
      </c>
      <c r="G595" s="351">
        <f>+E595/F595</f>
        <v>381.1</v>
      </c>
      <c r="H595" s="134"/>
    </row>
    <row r="596" spans="1:8" s="140" customFormat="1" x14ac:dyDescent="0.25">
      <c r="B596" s="155"/>
      <c r="C596" s="152"/>
      <c r="D596" s="152"/>
      <c r="E596" s="152"/>
      <c r="F596" s="151"/>
      <c r="G596" s="156"/>
      <c r="H596" s="134"/>
    </row>
    <row r="597" spans="1:8" s="140" customFormat="1" x14ac:dyDescent="0.25">
      <c r="B597" s="155"/>
      <c r="C597" s="152"/>
      <c r="D597" s="152"/>
      <c r="E597" s="152"/>
      <c r="F597" s="151"/>
      <c r="G597" s="156"/>
      <c r="H597" s="134"/>
    </row>
    <row r="598" spans="1:8" s="140" customFormat="1" ht="13.5" thickBot="1" x14ac:dyDescent="0.3">
      <c r="B598" s="155"/>
      <c r="C598" s="152"/>
      <c r="D598" s="152"/>
      <c r="E598" s="152"/>
      <c r="F598" s="151"/>
      <c r="G598" s="156"/>
      <c r="H598" s="134"/>
    </row>
    <row r="599" spans="1:8" s="140" customFormat="1" ht="13.5" thickBot="1" x14ac:dyDescent="0.3">
      <c r="B599" s="179"/>
      <c r="C599" s="180"/>
      <c r="D599" s="180"/>
      <c r="E599" s="180"/>
      <c r="F599" s="181"/>
      <c r="G599" s="182"/>
      <c r="H599" s="161">
        <f>+SUM(G593:G599)</f>
        <v>658.6</v>
      </c>
    </row>
    <row r="600" spans="1:8" s="140" customFormat="1" ht="13.5" thickBot="1" x14ac:dyDescent="0.3">
      <c r="F600" s="141"/>
      <c r="G600" s="134"/>
      <c r="H600" s="134"/>
    </row>
    <row r="601" spans="1:8" s="140" customFormat="1" ht="13.5" thickBot="1" x14ac:dyDescent="0.3">
      <c r="E601" s="183" t="s">
        <v>5415</v>
      </c>
      <c r="F601" s="141"/>
      <c r="G601" s="134"/>
      <c r="H601" s="161">
        <f>ROUND(+H566+H581+H590+H599,0)</f>
        <v>7081</v>
      </c>
    </row>
    <row r="603" spans="1:8" x14ac:dyDescent="0.25">
      <c r="H603" s="341"/>
    </row>
    <row r="606" spans="1:8" ht="18.75" x14ac:dyDescent="0.25">
      <c r="A606" s="133"/>
      <c r="B606" s="2506" t="s">
        <v>5400</v>
      </c>
      <c r="C606" s="2506"/>
      <c r="D606" s="2506"/>
      <c r="E606" s="2506"/>
      <c r="F606" s="2506"/>
      <c r="G606" s="2506"/>
    </row>
    <row r="607" spans="1:8" x14ac:dyDescent="0.25">
      <c r="A607" s="133"/>
      <c r="G607" s="134"/>
    </row>
    <row r="608" spans="1:8" x14ac:dyDescent="0.25">
      <c r="A608" s="133"/>
      <c r="G608" s="134"/>
    </row>
    <row r="609" spans="1:8" x14ac:dyDescent="0.25">
      <c r="A609" s="133"/>
      <c r="G609" s="134"/>
    </row>
    <row r="610" spans="1:8" s="140" customFormat="1" x14ac:dyDescent="0.25">
      <c r="A610" s="138" t="s">
        <v>3</v>
      </c>
      <c r="B610" s="138" t="s">
        <v>5437</v>
      </c>
      <c r="C610" s="2451" t="s">
        <v>5438</v>
      </c>
      <c r="D610" s="2451"/>
      <c r="E610" s="2451"/>
      <c r="F610" s="138" t="s">
        <v>867</v>
      </c>
      <c r="G610" s="139" t="s">
        <v>5402</v>
      </c>
      <c r="H610" s="134"/>
    </row>
    <row r="611" spans="1:8" s="140" customFormat="1" x14ac:dyDescent="0.25">
      <c r="A611" s="141"/>
      <c r="F611" s="141"/>
      <c r="G611" s="134"/>
      <c r="H611" s="134"/>
    </row>
    <row r="612" spans="1:8" s="140" customFormat="1" x14ac:dyDescent="0.25">
      <c r="A612" s="141"/>
      <c r="F612" s="141"/>
      <c r="G612" s="142"/>
      <c r="H612" s="134"/>
    </row>
    <row r="613" spans="1:8" s="140" customFormat="1" ht="13.5" thickBot="1" x14ac:dyDescent="0.3">
      <c r="A613" s="141"/>
      <c r="F613" s="141"/>
      <c r="G613" s="134"/>
      <c r="H613" s="134"/>
    </row>
    <row r="614" spans="1:8" s="140" customFormat="1" ht="13.5" thickBot="1" x14ac:dyDescent="0.3">
      <c r="A614" s="141"/>
      <c r="B614" s="143" t="s">
        <v>5403</v>
      </c>
      <c r="C614" s="144" t="s">
        <v>867</v>
      </c>
      <c r="D614" s="144" t="s">
        <v>6</v>
      </c>
      <c r="E614" s="144" t="s">
        <v>5439</v>
      </c>
      <c r="F614" s="144" t="s">
        <v>5405</v>
      </c>
      <c r="G614" s="145" t="s">
        <v>868</v>
      </c>
      <c r="H614" s="134"/>
    </row>
    <row r="615" spans="1:8" s="140" customFormat="1" x14ac:dyDescent="0.25">
      <c r="A615" s="141"/>
      <c r="B615" s="166" t="s">
        <v>5440</v>
      </c>
      <c r="C615" s="147"/>
      <c r="D615" s="148"/>
      <c r="E615" s="148">
        <f>+H653</f>
        <v>1345.875</v>
      </c>
      <c r="F615" s="177">
        <v>0.05</v>
      </c>
      <c r="G615" s="172">
        <f>+E615*F615</f>
        <v>67.293750000000003</v>
      </c>
      <c r="H615" s="134"/>
    </row>
    <row r="616" spans="1:8" s="140" customFormat="1" x14ac:dyDescent="0.25">
      <c r="A616" s="141"/>
      <c r="B616" s="155"/>
      <c r="C616" s="151"/>
      <c r="D616" s="152"/>
      <c r="E616" s="152"/>
      <c r="F616" s="151"/>
      <c r="G616" s="156"/>
      <c r="H616" s="134"/>
    </row>
    <row r="617" spans="1:8" s="140" customFormat="1" x14ac:dyDescent="0.25">
      <c r="A617" s="141"/>
      <c r="B617" s="155"/>
      <c r="C617" s="151"/>
      <c r="D617" s="152"/>
      <c r="E617" s="152"/>
      <c r="F617" s="151"/>
      <c r="G617" s="156"/>
      <c r="H617" s="134"/>
    </row>
    <row r="618" spans="1:8" s="140" customFormat="1" x14ac:dyDescent="0.25">
      <c r="A618" s="141"/>
      <c r="B618" s="155"/>
      <c r="C618" s="151"/>
      <c r="D618" s="152"/>
      <c r="E618" s="152"/>
      <c r="F618" s="151"/>
      <c r="G618" s="156"/>
      <c r="H618" s="134"/>
    </row>
    <row r="619" spans="1:8" s="140" customFormat="1" x14ac:dyDescent="0.25">
      <c r="A619" s="141"/>
      <c r="B619" s="155"/>
      <c r="C619" s="151"/>
      <c r="D619" s="152"/>
      <c r="E619" s="152"/>
      <c r="F619" s="151"/>
      <c r="G619" s="156"/>
      <c r="H619" s="134"/>
    </row>
    <row r="620" spans="1:8" s="140" customFormat="1" ht="13.5" thickBot="1" x14ac:dyDescent="0.3">
      <c r="A620" s="141"/>
      <c r="B620" s="155"/>
      <c r="C620" s="151"/>
      <c r="D620" s="152"/>
      <c r="E620" s="152"/>
      <c r="F620" s="151"/>
      <c r="G620" s="156"/>
      <c r="H620" s="134"/>
    </row>
    <row r="621" spans="1:8" s="140" customFormat="1" ht="13.5" thickBot="1" x14ac:dyDescent="0.3">
      <c r="A621" s="141"/>
      <c r="B621" s="157"/>
      <c r="C621" s="158"/>
      <c r="D621" s="159"/>
      <c r="E621" s="159"/>
      <c r="F621" s="158"/>
      <c r="G621" s="160"/>
      <c r="H621" s="161">
        <f>+SUM(G615:G621)</f>
        <v>67.293750000000003</v>
      </c>
    </row>
    <row r="622" spans="1:8" s="140" customFormat="1" ht="13.5" thickBot="1" x14ac:dyDescent="0.3">
      <c r="A622" s="141"/>
      <c r="B622" s="162"/>
      <c r="C622" s="163"/>
      <c r="D622" s="162"/>
      <c r="E622" s="162"/>
      <c r="F622" s="163"/>
      <c r="G622" s="164"/>
      <c r="H622" s="165"/>
    </row>
    <row r="623" spans="1:8" s="140" customFormat="1" ht="13.5" thickBot="1" x14ac:dyDescent="0.3">
      <c r="B623" s="143" t="s">
        <v>5408</v>
      </c>
      <c r="C623" s="144" t="s">
        <v>867</v>
      </c>
      <c r="D623" s="144" t="s">
        <v>6</v>
      </c>
      <c r="E623" s="144" t="s">
        <v>870</v>
      </c>
      <c r="F623" s="144" t="s">
        <v>5409</v>
      </c>
      <c r="G623" s="145" t="s">
        <v>868</v>
      </c>
      <c r="H623" s="134"/>
    </row>
    <row r="624" spans="1:8" s="140" customFormat="1" x14ac:dyDescent="0.25">
      <c r="B624" s="166" t="s">
        <v>5441</v>
      </c>
      <c r="C624" s="147" t="s">
        <v>5424</v>
      </c>
      <c r="D624" s="167">
        <v>7.2999999999999995E-2</v>
      </c>
      <c r="E624" s="345">
        <f>20600*1.16</f>
        <v>23896</v>
      </c>
      <c r="F624" s="169">
        <v>0.01</v>
      </c>
      <c r="G624" s="172">
        <f>+D624*E624*(1+F624)</f>
        <v>1761.8520799999999</v>
      </c>
      <c r="H624" s="134"/>
    </row>
    <row r="625" spans="2:8" s="140" customFormat="1" x14ac:dyDescent="0.25">
      <c r="B625" s="155" t="s">
        <v>5442</v>
      </c>
      <c r="C625" s="151" t="s">
        <v>5443</v>
      </c>
      <c r="D625" s="197">
        <v>1.2E-2</v>
      </c>
      <c r="E625" s="346">
        <f>15500*1.16</f>
        <v>17980</v>
      </c>
      <c r="F625" s="169">
        <v>0.1</v>
      </c>
      <c r="G625" s="172">
        <f>+D625*E625*(1+F625)</f>
        <v>237.33600000000001</v>
      </c>
      <c r="H625" s="134"/>
    </row>
    <row r="626" spans="2:8" s="140" customFormat="1" x14ac:dyDescent="0.25">
      <c r="B626" s="155"/>
      <c r="C626" s="151"/>
      <c r="D626" s="152"/>
      <c r="E626" s="346"/>
      <c r="F626" s="169"/>
      <c r="G626" s="172"/>
      <c r="H626" s="134"/>
    </row>
    <row r="627" spans="2:8" s="140" customFormat="1" x14ac:dyDescent="0.25">
      <c r="B627" s="155"/>
      <c r="C627" s="152"/>
      <c r="D627" s="152"/>
      <c r="E627" s="152"/>
      <c r="F627" s="151"/>
      <c r="G627" s="156"/>
      <c r="H627" s="134"/>
    </row>
    <row r="628" spans="2:8" s="140" customFormat="1" x14ac:dyDescent="0.25">
      <c r="B628" s="155"/>
      <c r="C628" s="152"/>
      <c r="D628" s="152"/>
      <c r="E628" s="152"/>
      <c r="F628" s="151"/>
      <c r="G628" s="156"/>
      <c r="H628" s="134"/>
    </row>
    <row r="629" spans="2:8" s="140" customFormat="1" x14ac:dyDescent="0.25">
      <c r="B629" s="155"/>
      <c r="C629" s="152"/>
      <c r="D629" s="152"/>
      <c r="E629" s="152"/>
      <c r="F629" s="151"/>
      <c r="G629" s="156"/>
      <c r="H629" s="134"/>
    </row>
    <row r="630" spans="2:8" s="140" customFormat="1" x14ac:dyDescent="0.25">
      <c r="B630" s="155"/>
      <c r="C630" s="152"/>
      <c r="D630" s="152"/>
      <c r="E630" s="152"/>
      <c r="F630" s="151"/>
      <c r="G630" s="156"/>
      <c r="H630" s="134"/>
    </row>
    <row r="631" spans="2:8" s="140" customFormat="1" x14ac:dyDescent="0.25">
      <c r="B631" s="155"/>
      <c r="C631" s="152"/>
      <c r="D631" s="152"/>
      <c r="E631" s="152"/>
      <c r="F631" s="151"/>
      <c r="G631" s="156"/>
      <c r="H631" s="134"/>
    </row>
    <row r="632" spans="2:8" s="140" customFormat="1" x14ac:dyDescent="0.25">
      <c r="B632" s="155"/>
      <c r="C632" s="152"/>
      <c r="D632" s="152"/>
      <c r="E632" s="152"/>
      <c r="F632" s="151"/>
      <c r="G632" s="156"/>
      <c r="H632" s="134"/>
    </row>
    <row r="633" spans="2:8" s="140" customFormat="1" x14ac:dyDescent="0.25">
      <c r="B633" s="155" t="s">
        <v>5444</v>
      </c>
      <c r="C633" s="152"/>
      <c r="D633" s="152"/>
      <c r="E633" s="152"/>
      <c r="F633" s="151"/>
      <c r="G633" s="156"/>
      <c r="H633" s="134"/>
    </row>
    <row r="634" spans="2:8" s="140" customFormat="1" x14ac:dyDescent="0.25">
      <c r="B634" s="155"/>
      <c r="C634" s="152"/>
      <c r="D634" s="152"/>
      <c r="E634" s="152"/>
      <c r="F634" s="151"/>
      <c r="G634" s="156"/>
      <c r="H634" s="134"/>
    </row>
    <row r="635" spans="2:8" s="140" customFormat="1" ht="13.5" thickBot="1" x14ac:dyDescent="0.3">
      <c r="B635" s="155"/>
      <c r="C635" s="152"/>
      <c r="D635" s="152"/>
      <c r="E635" s="152"/>
      <c r="F635" s="151"/>
      <c r="G635" s="156"/>
      <c r="H635" s="134"/>
    </row>
    <row r="636" spans="2:8" s="140" customFormat="1" ht="13.5" thickBot="1" x14ac:dyDescent="0.3">
      <c r="B636" s="157"/>
      <c r="C636" s="159"/>
      <c r="D636" s="159"/>
      <c r="E636" s="159"/>
      <c r="F636" s="158"/>
      <c r="G636" s="160"/>
      <c r="H636" s="161">
        <f>+SUM(G624:G636)</f>
        <v>1999.1880799999999</v>
      </c>
    </row>
    <row r="637" spans="2:8" s="140" customFormat="1" ht="13.5" thickBot="1" x14ac:dyDescent="0.3">
      <c r="B637" s="162"/>
      <c r="C637" s="162"/>
      <c r="D637" s="162"/>
      <c r="E637" s="162"/>
      <c r="F637" s="163"/>
      <c r="G637" s="164"/>
      <c r="H637" s="165"/>
    </row>
    <row r="638" spans="2:8" s="140" customFormat="1" ht="13.5" thickBot="1" x14ac:dyDescent="0.3">
      <c r="B638" s="143" t="s">
        <v>5410</v>
      </c>
      <c r="C638" s="144" t="s">
        <v>867</v>
      </c>
      <c r="D638" s="144" t="s">
        <v>6</v>
      </c>
      <c r="E638" s="144" t="s">
        <v>870</v>
      </c>
      <c r="F638" s="144" t="s">
        <v>5411</v>
      </c>
      <c r="G638" s="145" t="s">
        <v>868</v>
      </c>
      <c r="H638" s="134"/>
    </row>
    <row r="639" spans="2:8" s="140" customFormat="1" x14ac:dyDescent="0.25">
      <c r="B639" s="166"/>
      <c r="C639" s="148"/>
      <c r="D639" s="148"/>
      <c r="E639" s="148"/>
      <c r="F639" s="147"/>
      <c r="G639" s="172"/>
      <c r="H639" s="134"/>
    </row>
    <row r="640" spans="2:8" s="140" customFormat="1" x14ac:dyDescent="0.25">
      <c r="B640" s="166"/>
      <c r="C640" s="148"/>
      <c r="D640" s="148"/>
      <c r="E640" s="148"/>
      <c r="F640" s="147"/>
      <c r="G640" s="172"/>
      <c r="H640" s="134"/>
    </row>
    <row r="641" spans="2:8" s="140" customFormat="1" x14ac:dyDescent="0.25">
      <c r="B641" s="155"/>
      <c r="C641" s="152"/>
      <c r="D641" s="152"/>
      <c r="E641" s="152"/>
      <c r="F641" s="151"/>
      <c r="G641" s="156"/>
      <c r="H641" s="134"/>
    </row>
    <row r="642" spans="2:8" s="140" customFormat="1" x14ac:dyDescent="0.25">
      <c r="B642" s="155"/>
      <c r="C642" s="152"/>
      <c r="D642" s="152"/>
      <c r="E642" s="152"/>
      <c r="F642" s="151"/>
      <c r="G642" s="156"/>
      <c r="H642" s="134"/>
    </row>
    <row r="643" spans="2:8" s="140" customFormat="1" ht="13.5" thickBot="1" x14ac:dyDescent="0.3">
      <c r="B643" s="155"/>
      <c r="C643" s="152"/>
      <c r="D643" s="152"/>
      <c r="E643" s="152"/>
      <c r="F643" s="151"/>
      <c r="G643" s="156"/>
      <c r="H643" s="134"/>
    </row>
    <row r="644" spans="2:8" s="140" customFormat="1" ht="13.5" thickBot="1" x14ac:dyDescent="0.3">
      <c r="B644" s="157"/>
      <c r="C644" s="159"/>
      <c r="D644" s="159"/>
      <c r="E644" s="159"/>
      <c r="F644" s="158"/>
      <c r="G644" s="160"/>
      <c r="H644" s="161">
        <f>+SUM(G639:G644)</f>
        <v>0</v>
      </c>
    </row>
    <row r="645" spans="2:8" s="140" customFormat="1" ht="13.5" thickBot="1" x14ac:dyDescent="0.3">
      <c r="B645" s="162"/>
      <c r="C645" s="162"/>
      <c r="D645" s="162"/>
      <c r="E645" s="162"/>
      <c r="F645" s="173"/>
      <c r="G645" s="174"/>
      <c r="H645" s="165"/>
    </row>
    <row r="646" spans="2:8" s="140" customFormat="1" ht="13.5" thickBot="1" x14ac:dyDescent="0.3">
      <c r="B646" s="143" t="s">
        <v>5412</v>
      </c>
      <c r="C646" s="144" t="s">
        <v>5420</v>
      </c>
      <c r="D646" s="144" t="s">
        <v>5421</v>
      </c>
      <c r="E646" s="144" t="s">
        <v>5413</v>
      </c>
      <c r="F646" s="144" t="s">
        <v>5405</v>
      </c>
      <c r="G646" s="145" t="s">
        <v>868</v>
      </c>
      <c r="H646" s="134"/>
    </row>
    <row r="647" spans="2:8" s="140" customFormat="1" x14ac:dyDescent="0.25">
      <c r="B647" s="194" t="s">
        <v>5650</v>
      </c>
      <c r="C647" s="345">
        <v>70000</v>
      </c>
      <c r="D647" s="345">
        <f>+C647*0.85</f>
        <v>59500</v>
      </c>
      <c r="E647" s="353">
        <f>+C647+D647</f>
        <v>129500</v>
      </c>
      <c r="F647" s="202">
        <v>1000</v>
      </c>
      <c r="G647" s="351">
        <f>+E647/F647</f>
        <v>129.5</v>
      </c>
      <c r="H647" s="134"/>
    </row>
    <row r="648" spans="2:8" s="140" customFormat="1" x14ac:dyDescent="0.25">
      <c r="B648" s="194" t="s">
        <v>5651</v>
      </c>
      <c r="C648" s="345">
        <v>40000</v>
      </c>
      <c r="D648" s="345">
        <f>+C648*0.85</f>
        <v>34000</v>
      </c>
      <c r="E648" s="353">
        <f>+C648+D648</f>
        <v>74000</v>
      </c>
      <c r="F648" s="202">
        <v>100</v>
      </c>
      <c r="G648" s="351">
        <f>+E648/F648</f>
        <v>740</v>
      </c>
      <c r="H648" s="134"/>
    </row>
    <row r="649" spans="2:8" s="140" customFormat="1" x14ac:dyDescent="0.25">
      <c r="B649" s="195" t="s">
        <v>5635</v>
      </c>
      <c r="C649" s="345">
        <v>20600</v>
      </c>
      <c r="D649" s="345">
        <f>+C649*0.85</f>
        <v>17510</v>
      </c>
      <c r="E649" s="353">
        <f>+C649+D649</f>
        <v>38110</v>
      </c>
      <c r="F649" s="205">
        <v>80</v>
      </c>
      <c r="G649" s="351">
        <f>+E649/F649</f>
        <v>476.375</v>
      </c>
      <c r="H649" s="134"/>
    </row>
    <row r="650" spans="2:8" s="140" customFormat="1" x14ac:dyDescent="0.25">
      <c r="B650" s="155"/>
      <c r="C650" s="152"/>
      <c r="D650" s="152"/>
      <c r="E650" s="152"/>
      <c r="F650" s="151"/>
      <c r="G650" s="156"/>
      <c r="H650" s="134"/>
    </row>
    <row r="651" spans="2:8" s="140" customFormat="1" x14ac:dyDescent="0.25">
      <c r="B651" s="155"/>
      <c r="C651" s="152"/>
      <c r="D651" s="152"/>
      <c r="E651" s="152"/>
      <c r="F651" s="151"/>
      <c r="G651" s="156"/>
      <c r="H651" s="134"/>
    </row>
    <row r="652" spans="2:8" s="140" customFormat="1" ht="13.5" thickBot="1" x14ac:dyDescent="0.3">
      <c r="B652" s="155"/>
      <c r="C652" s="152"/>
      <c r="D652" s="152"/>
      <c r="E652" s="152"/>
      <c r="F652" s="151"/>
      <c r="G652" s="156"/>
      <c r="H652" s="134"/>
    </row>
    <row r="653" spans="2:8" s="140" customFormat="1" ht="13.5" thickBot="1" x14ac:dyDescent="0.3">
      <c r="B653" s="179"/>
      <c r="C653" s="180"/>
      <c r="D653" s="180"/>
      <c r="E653" s="180"/>
      <c r="F653" s="181"/>
      <c r="G653" s="182"/>
      <c r="H653" s="161">
        <f>+SUM(G647:G653)</f>
        <v>1345.875</v>
      </c>
    </row>
    <row r="654" spans="2:8" s="140" customFormat="1" ht="13.5" thickBot="1" x14ac:dyDescent="0.3">
      <c r="F654" s="141"/>
      <c r="G654" s="134"/>
      <c r="H654" s="134"/>
    </row>
    <row r="655" spans="2:8" s="140" customFormat="1" ht="13.5" thickBot="1" x14ac:dyDescent="0.3">
      <c r="E655" s="183" t="s">
        <v>5415</v>
      </c>
      <c r="F655" s="141"/>
      <c r="G655" s="134"/>
      <c r="H655" s="161">
        <f>ROUND(+H621+H636+H644+H653,0)</f>
        <v>3412</v>
      </c>
    </row>
    <row r="660" spans="1:8" ht="18.75" x14ac:dyDescent="0.25">
      <c r="A660" s="133"/>
      <c r="B660" s="2506" t="s">
        <v>5400</v>
      </c>
      <c r="C660" s="2506"/>
      <c r="D660" s="2506"/>
      <c r="E660" s="2506"/>
      <c r="F660" s="2506"/>
      <c r="G660" s="2506"/>
    </row>
    <row r="661" spans="1:8" x14ac:dyDescent="0.25">
      <c r="A661" s="133"/>
      <c r="G661" s="134"/>
    </row>
    <row r="662" spans="1:8" x14ac:dyDescent="0.25">
      <c r="A662" s="133"/>
      <c r="G662" s="134"/>
    </row>
    <row r="663" spans="1:8" x14ac:dyDescent="0.25">
      <c r="A663" s="133"/>
      <c r="G663" s="134"/>
    </row>
    <row r="664" spans="1:8" s="140" customFormat="1" x14ac:dyDescent="0.25">
      <c r="A664" s="138" t="s">
        <v>3</v>
      </c>
      <c r="B664" s="138" t="s">
        <v>55</v>
      </c>
      <c r="C664" s="2450" t="s">
        <v>5966</v>
      </c>
      <c r="D664" s="2450"/>
      <c r="E664" s="2450"/>
      <c r="F664" s="138" t="s">
        <v>867</v>
      </c>
      <c r="G664" s="139" t="s">
        <v>5424</v>
      </c>
      <c r="H664" s="134"/>
    </row>
    <row r="665" spans="1:8" s="140" customFormat="1" ht="12.75" customHeight="1" x14ac:dyDescent="0.25">
      <c r="A665" s="141"/>
      <c r="F665" s="141"/>
      <c r="G665" s="134"/>
      <c r="H665" s="134"/>
    </row>
    <row r="666" spans="1:8" s="140" customFormat="1" x14ac:dyDescent="0.25">
      <c r="A666" s="141"/>
      <c r="F666" s="141"/>
      <c r="G666" s="142"/>
      <c r="H666" s="134"/>
    </row>
    <row r="667" spans="1:8" s="140" customFormat="1" ht="13.5" thickBot="1" x14ac:dyDescent="0.3">
      <c r="A667" s="141"/>
      <c r="F667" s="141"/>
      <c r="G667" s="134"/>
      <c r="H667" s="134"/>
    </row>
    <row r="668" spans="1:8" s="140" customFormat="1" ht="13.5" thickBot="1" x14ac:dyDescent="0.3">
      <c r="A668" s="141"/>
      <c r="B668" s="143" t="s">
        <v>5403</v>
      </c>
      <c r="C668" s="144" t="s">
        <v>867</v>
      </c>
      <c r="D668" s="144" t="s">
        <v>6</v>
      </c>
      <c r="E668" s="144" t="s">
        <v>5435</v>
      </c>
      <c r="F668" s="144" t="s">
        <v>5405</v>
      </c>
      <c r="G668" s="145" t="s">
        <v>868</v>
      </c>
      <c r="H668" s="134"/>
    </row>
    <row r="669" spans="1:8" s="140" customFormat="1" x14ac:dyDescent="0.25">
      <c r="A669" s="141"/>
      <c r="B669" s="166" t="s">
        <v>5440</v>
      </c>
      <c r="C669" s="147"/>
      <c r="D669" s="148"/>
      <c r="E669" s="148">
        <f>+H707</f>
        <v>0</v>
      </c>
      <c r="F669" s="177">
        <v>0.05</v>
      </c>
      <c r="G669" s="172">
        <f>+E669*F669</f>
        <v>0</v>
      </c>
      <c r="H669" s="134"/>
    </row>
    <row r="670" spans="1:8" s="140" customFormat="1" x14ac:dyDescent="0.25">
      <c r="A670" s="141"/>
      <c r="B670" s="150"/>
      <c r="C670" s="151"/>
      <c r="D670" s="152"/>
      <c r="E670" s="148"/>
      <c r="F670" s="185"/>
      <c r="G670" s="149"/>
      <c r="H670" s="134"/>
    </row>
    <row r="671" spans="1:8" s="140" customFormat="1" x14ac:dyDescent="0.25">
      <c r="A671" s="141"/>
      <c r="B671" s="154"/>
      <c r="C671" s="151"/>
      <c r="D671" s="152"/>
      <c r="E671" s="148"/>
      <c r="F671" s="185"/>
      <c r="G671" s="149"/>
      <c r="H671" s="134"/>
    </row>
    <row r="672" spans="1:8" s="140" customFormat="1" x14ac:dyDescent="0.25">
      <c r="A672" s="141"/>
      <c r="B672" s="155"/>
      <c r="C672" s="151"/>
      <c r="D672" s="152"/>
      <c r="E672" s="152"/>
      <c r="F672" s="151"/>
      <c r="G672" s="156"/>
      <c r="H672" s="134"/>
    </row>
    <row r="673" spans="1:9" s="140" customFormat="1" x14ac:dyDescent="0.25">
      <c r="A673" s="141"/>
      <c r="B673" s="155"/>
      <c r="C673" s="151"/>
      <c r="D673" s="152"/>
      <c r="E673" s="152"/>
      <c r="F673" s="151"/>
      <c r="G673" s="156"/>
      <c r="H673" s="134"/>
    </row>
    <row r="674" spans="1:9" s="140" customFormat="1" ht="13.5" thickBot="1" x14ac:dyDescent="0.3">
      <c r="A674" s="141"/>
      <c r="B674" s="155"/>
      <c r="C674" s="151"/>
      <c r="D674" s="152"/>
      <c r="E674" s="152"/>
      <c r="F674" s="151"/>
      <c r="G674" s="156"/>
      <c r="H674" s="134"/>
    </row>
    <row r="675" spans="1:9" s="140" customFormat="1" ht="13.5" thickBot="1" x14ac:dyDescent="0.3">
      <c r="A675" s="141"/>
      <c r="B675" s="157"/>
      <c r="C675" s="158"/>
      <c r="D675" s="159"/>
      <c r="E675" s="159"/>
      <c r="F675" s="158"/>
      <c r="G675" s="160"/>
      <c r="H675" s="161">
        <f>+SUM(G669:G675)</f>
        <v>0</v>
      </c>
    </row>
    <row r="676" spans="1:9" s="140" customFormat="1" ht="13.5" thickBot="1" x14ac:dyDescent="0.3">
      <c r="A676" s="141"/>
      <c r="B676" s="162"/>
      <c r="C676" s="163"/>
      <c r="D676" s="162"/>
      <c r="E676" s="162"/>
      <c r="F676" s="163"/>
      <c r="G676" s="164"/>
      <c r="H676" s="165"/>
    </row>
    <row r="677" spans="1:9" s="140" customFormat="1" ht="13.5" thickBot="1" x14ac:dyDescent="0.3">
      <c r="B677" s="143" t="s">
        <v>5408</v>
      </c>
      <c r="C677" s="144" t="s">
        <v>867</v>
      </c>
      <c r="D677" s="144" t="s">
        <v>6</v>
      </c>
      <c r="E677" s="144" t="s">
        <v>870</v>
      </c>
      <c r="F677" s="144" t="s">
        <v>5409</v>
      </c>
      <c r="G677" s="145" t="s">
        <v>868</v>
      </c>
      <c r="H677" s="134"/>
    </row>
    <row r="678" spans="1:9" s="140" customFormat="1" x14ac:dyDescent="0.25">
      <c r="B678" s="201" t="s">
        <v>5644</v>
      </c>
      <c r="C678" s="147" t="s">
        <v>5424</v>
      </c>
      <c r="D678" s="167">
        <v>0.1</v>
      </c>
      <c r="E678" s="148">
        <f>65000*1.16</f>
        <v>75400</v>
      </c>
      <c r="F678" s="169">
        <v>0.02</v>
      </c>
      <c r="G678" s="367">
        <f>+D678*E678*(1+F678)</f>
        <v>7690.8</v>
      </c>
      <c r="H678" s="134"/>
    </row>
    <row r="679" spans="1:9" s="140" customFormat="1" x14ac:dyDescent="0.25">
      <c r="B679" s="196" t="s">
        <v>5553</v>
      </c>
      <c r="C679" s="147" t="s">
        <v>6265</v>
      </c>
      <c r="D679" s="197">
        <v>200</v>
      </c>
      <c r="E679" s="148">
        <v>5</v>
      </c>
      <c r="F679" s="169">
        <v>0.05</v>
      </c>
      <c r="G679" s="367">
        <f>+D679*E679*(1+F679)</f>
        <v>1050</v>
      </c>
      <c r="H679" s="134"/>
      <c r="I679" s="432">
        <f>3.1416*0.24*0.24*1.1</f>
        <v>0.19905177599999999</v>
      </c>
    </row>
    <row r="680" spans="1:9" s="140" customFormat="1" x14ac:dyDescent="0.25">
      <c r="B680" s="196"/>
      <c r="C680" s="151"/>
      <c r="D680" s="151"/>
      <c r="E680" s="148"/>
      <c r="F680" s="169"/>
      <c r="G680" s="367"/>
      <c r="H680" s="134"/>
    </row>
    <row r="681" spans="1:9" s="140" customFormat="1" x14ac:dyDescent="0.25">
      <c r="B681" s="155"/>
      <c r="C681" s="151"/>
      <c r="D681" s="151"/>
      <c r="E681" s="148"/>
      <c r="F681" s="151"/>
      <c r="G681" s="367"/>
      <c r="H681" s="134"/>
    </row>
    <row r="682" spans="1:9" s="140" customFormat="1" x14ac:dyDescent="0.25">
      <c r="B682" s="155"/>
      <c r="C682" s="151"/>
      <c r="D682" s="151"/>
      <c r="E682" s="148"/>
      <c r="F682" s="151"/>
      <c r="G682" s="367"/>
      <c r="H682" s="134"/>
    </row>
    <row r="683" spans="1:9" s="140" customFormat="1" x14ac:dyDescent="0.25">
      <c r="B683" s="155"/>
      <c r="C683" s="151"/>
      <c r="D683" s="151"/>
      <c r="E683" s="148"/>
      <c r="F683" s="151"/>
      <c r="G683" s="367"/>
      <c r="H683" s="134"/>
    </row>
    <row r="684" spans="1:9" s="140" customFormat="1" x14ac:dyDescent="0.25">
      <c r="B684" s="155"/>
      <c r="C684" s="151"/>
      <c r="D684" s="151"/>
      <c r="E684" s="148"/>
      <c r="F684" s="151"/>
      <c r="G684" s="367"/>
      <c r="H684" s="134"/>
    </row>
    <row r="685" spans="1:9" s="140" customFormat="1" x14ac:dyDescent="0.25">
      <c r="B685" s="155"/>
      <c r="C685" s="151"/>
      <c r="D685" s="151"/>
      <c r="E685" s="148"/>
      <c r="F685" s="151"/>
      <c r="G685" s="367"/>
      <c r="H685" s="134"/>
    </row>
    <row r="686" spans="1:9" s="140" customFormat="1" x14ac:dyDescent="0.25">
      <c r="B686" s="155"/>
      <c r="C686" s="151"/>
      <c r="D686" s="151"/>
      <c r="E686" s="148"/>
      <c r="F686" s="151"/>
      <c r="G686" s="367"/>
      <c r="H686" s="134"/>
    </row>
    <row r="687" spans="1:9" s="140" customFormat="1" x14ac:dyDescent="0.25">
      <c r="B687" s="155" t="s">
        <v>5967</v>
      </c>
      <c r="C687" s="151"/>
      <c r="D687" s="151"/>
      <c r="E687" s="148"/>
      <c r="F687" s="151"/>
      <c r="G687" s="367"/>
      <c r="H687" s="134"/>
    </row>
    <row r="688" spans="1:9" s="140" customFormat="1" x14ac:dyDescent="0.25">
      <c r="B688" s="155"/>
      <c r="C688" s="152"/>
      <c r="D688" s="152"/>
      <c r="E688" s="152"/>
      <c r="F688" s="151"/>
      <c r="G688" s="156"/>
      <c r="H688" s="134"/>
    </row>
    <row r="689" spans="2:8" s="140" customFormat="1" ht="13.5" thickBot="1" x14ac:dyDescent="0.3">
      <c r="B689" s="155"/>
      <c r="C689" s="152"/>
      <c r="D689" s="152"/>
      <c r="E689" s="152"/>
      <c r="F689" s="151"/>
      <c r="G689" s="156"/>
      <c r="H689" s="134"/>
    </row>
    <row r="690" spans="2:8" s="140" customFormat="1" ht="13.5" thickBot="1" x14ac:dyDescent="0.3">
      <c r="B690" s="157"/>
      <c r="C690" s="159"/>
      <c r="D690" s="159"/>
      <c r="E690" s="159"/>
      <c r="F690" s="158"/>
      <c r="G690" s="160"/>
      <c r="H690" s="161">
        <f>+SUM(G678:G690)</f>
        <v>8740.7999999999993</v>
      </c>
    </row>
    <row r="691" spans="2:8" s="140" customFormat="1" ht="13.5" thickBot="1" x14ac:dyDescent="0.3">
      <c r="B691" s="162"/>
      <c r="C691" s="162"/>
      <c r="D691" s="162"/>
      <c r="E691" s="162"/>
      <c r="F691" s="163"/>
      <c r="G691" s="164"/>
      <c r="H691" s="165"/>
    </row>
    <row r="692" spans="2:8" s="140" customFormat="1" ht="13.5" thickBot="1" x14ac:dyDescent="0.3">
      <c r="B692" s="143" t="s">
        <v>5410</v>
      </c>
      <c r="C692" s="144" t="s">
        <v>867</v>
      </c>
      <c r="D692" s="144" t="s">
        <v>6</v>
      </c>
      <c r="E692" s="144" t="s">
        <v>870</v>
      </c>
      <c r="F692" s="144" t="s">
        <v>5411</v>
      </c>
      <c r="G692" s="145" t="s">
        <v>868</v>
      </c>
      <c r="H692" s="134"/>
    </row>
    <row r="693" spans="2:8" s="140" customFormat="1" x14ac:dyDescent="0.25">
      <c r="B693" s="201"/>
      <c r="C693" s="147"/>
      <c r="D693" s="167"/>
      <c r="E693" s="148"/>
      <c r="F693" s="169"/>
      <c r="G693" s="367"/>
      <c r="H693" s="134"/>
    </row>
    <row r="694" spans="2:8" s="140" customFormat="1" x14ac:dyDescent="0.25">
      <c r="B694" s="196"/>
      <c r="C694" s="151"/>
      <c r="D694" s="151"/>
      <c r="E694" s="148"/>
      <c r="F694" s="147"/>
      <c r="G694" s="367"/>
      <c r="H694" s="134"/>
    </row>
    <row r="695" spans="2:8" s="140" customFormat="1" x14ac:dyDescent="0.25">
      <c r="B695" s="196"/>
      <c r="C695" s="151"/>
      <c r="D695" s="151"/>
      <c r="E695" s="148"/>
      <c r="F695" s="151"/>
      <c r="G695" s="367"/>
      <c r="H695" s="134"/>
    </row>
    <row r="696" spans="2:8" s="140" customFormat="1" x14ac:dyDescent="0.25">
      <c r="B696" s="155"/>
      <c r="C696" s="151"/>
      <c r="D696" s="151"/>
      <c r="E696" s="148"/>
      <c r="F696" s="151"/>
      <c r="G696" s="367"/>
      <c r="H696" s="134"/>
    </row>
    <row r="697" spans="2:8" s="140" customFormat="1" x14ac:dyDescent="0.25">
      <c r="B697" s="155"/>
      <c r="C697" s="151"/>
      <c r="D697" s="151"/>
      <c r="E697" s="148"/>
      <c r="F697" s="151"/>
      <c r="G697" s="367"/>
      <c r="H697" s="134"/>
    </row>
    <row r="698" spans="2:8" s="140" customFormat="1" ht="13.5" thickBot="1" x14ac:dyDescent="0.3">
      <c r="B698" s="155"/>
      <c r="C698" s="151"/>
      <c r="D698" s="151"/>
      <c r="E698" s="148"/>
      <c r="F698" s="151"/>
      <c r="G698" s="367"/>
      <c r="H698" s="134"/>
    </row>
    <row r="699" spans="2:8" s="140" customFormat="1" ht="13.5" thickBot="1" x14ac:dyDescent="0.3">
      <c r="B699" s="157"/>
      <c r="C699" s="159"/>
      <c r="D699" s="159"/>
      <c r="E699" s="159"/>
      <c r="F699" s="158"/>
      <c r="G699" s="160"/>
      <c r="H699" s="161">
        <f>+SUM(G693:G699)</f>
        <v>0</v>
      </c>
    </row>
    <row r="700" spans="2:8" s="140" customFormat="1" ht="13.5" thickBot="1" x14ac:dyDescent="0.3">
      <c r="B700" s="162"/>
      <c r="C700" s="162"/>
      <c r="D700" s="162"/>
      <c r="E700" s="162"/>
      <c r="F700" s="173"/>
      <c r="G700" s="174"/>
      <c r="H700" s="165"/>
    </row>
    <row r="701" spans="2:8" s="140" customFormat="1" ht="13.5" thickBot="1" x14ac:dyDescent="0.3">
      <c r="B701" s="143" t="s">
        <v>5412</v>
      </c>
      <c r="C701" s="144" t="s">
        <v>5420</v>
      </c>
      <c r="D701" s="144" t="s">
        <v>5421</v>
      </c>
      <c r="E701" s="144" t="s">
        <v>5413</v>
      </c>
      <c r="F701" s="144" t="s">
        <v>5405</v>
      </c>
      <c r="G701" s="145" t="s">
        <v>868</v>
      </c>
      <c r="H701" s="134"/>
    </row>
    <row r="702" spans="2:8" s="140" customFormat="1" x14ac:dyDescent="0.25">
      <c r="B702" s="194" t="s">
        <v>5650</v>
      </c>
      <c r="C702" s="345">
        <v>70000</v>
      </c>
      <c r="D702" s="345">
        <f>+C702*0.85</f>
        <v>59500</v>
      </c>
      <c r="E702" s="353">
        <f>+C702+D702</f>
        <v>129500</v>
      </c>
      <c r="F702" s="202">
        <v>1000</v>
      </c>
      <c r="G702" s="351">
        <f>+E702/F702</f>
        <v>129.5</v>
      </c>
      <c r="H702" s="134"/>
    </row>
    <row r="703" spans="2:8" s="140" customFormat="1" x14ac:dyDescent="0.25">
      <c r="B703" s="194" t="s">
        <v>5651</v>
      </c>
      <c r="C703" s="345">
        <v>40000</v>
      </c>
      <c r="D703" s="345">
        <f>+C703*0.85</f>
        <v>34000</v>
      </c>
      <c r="E703" s="353">
        <f>+C703+D703</f>
        <v>74000</v>
      </c>
      <c r="F703" s="202">
        <v>100</v>
      </c>
      <c r="G703" s="351">
        <f>+E703/F703</f>
        <v>740</v>
      </c>
      <c r="H703" s="134"/>
    </row>
    <row r="704" spans="2:8" s="140" customFormat="1" x14ac:dyDescent="0.25">
      <c r="B704" s="195" t="s">
        <v>5635</v>
      </c>
      <c r="C704" s="345">
        <v>20600</v>
      </c>
      <c r="D704" s="345">
        <f>+C704*0.85</f>
        <v>17510</v>
      </c>
      <c r="E704" s="353">
        <f>+C704+D704</f>
        <v>38110</v>
      </c>
      <c r="F704" s="205">
        <v>100</v>
      </c>
      <c r="G704" s="351">
        <f>+E704/F704</f>
        <v>381.1</v>
      </c>
      <c r="H704" s="134"/>
    </row>
    <row r="705" spans="1:8" s="140" customFormat="1" x14ac:dyDescent="0.25">
      <c r="B705" s="155"/>
      <c r="C705" s="152"/>
      <c r="D705" s="152"/>
      <c r="E705" s="152"/>
      <c r="F705" s="151"/>
      <c r="G705" s="156"/>
      <c r="H705" s="134"/>
    </row>
    <row r="706" spans="1:8" s="140" customFormat="1" x14ac:dyDescent="0.25">
      <c r="B706" s="155"/>
      <c r="C706" s="152"/>
      <c r="D706" s="152"/>
      <c r="E706" s="152"/>
      <c r="F706" s="151"/>
      <c r="G706" s="156"/>
      <c r="H706" s="134"/>
    </row>
    <row r="707" spans="1:8" s="140" customFormat="1" ht="13.5" thickBot="1" x14ac:dyDescent="0.3">
      <c r="B707" s="155"/>
      <c r="C707" s="152"/>
      <c r="D707" s="152"/>
      <c r="E707" s="152"/>
      <c r="F707" s="151"/>
      <c r="G707" s="156"/>
      <c r="H707" s="134"/>
    </row>
    <row r="708" spans="1:8" s="140" customFormat="1" ht="13.5" thickBot="1" x14ac:dyDescent="0.3">
      <c r="B708" s="179"/>
      <c r="C708" s="180"/>
      <c r="D708" s="180"/>
      <c r="E708" s="180"/>
      <c r="F708" s="181"/>
      <c r="G708" s="182"/>
      <c r="H708" s="161">
        <f>+SUM(G702:G708)</f>
        <v>1250.5999999999999</v>
      </c>
    </row>
    <row r="709" spans="1:8" s="140" customFormat="1" ht="13.5" thickBot="1" x14ac:dyDescent="0.3">
      <c r="F709" s="141"/>
      <c r="G709" s="134"/>
      <c r="H709" s="134"/>
    </row>
    <row r="710" spans="1:8" s="140" customFormat="1" ht="13.5" thickBot="1" x14ac:dyDescent="0.3">
      <c r="E710" s="183" t="s">
        <v>5415</v>
      </c>
      <c r="F710" s="141"/>
      <c r="G710" s="134"/>
      <c r="H710" s="161">
        <f>ROUND(+H675+H690+H699+H708,0)</f>
        <v>9991</v>
      </c>
    </row>
    <row r="712" spans="1:8" x14ac:dyDescent="0.25">
      <c r="H712" s="341"/>
    </row>
    <row r="715" spans="1:8" ht="18.75" x14ac:dyDescent="0.25">
      <c r="A715" s="476"/>
      <c r="B715" s="2507" t="s">
        <v>5400</v>
      </c>
      <c r="C715" s="2507"/>
      <c r="D715" s="2507"/>
      <c r="E715" s="2507"/>
      <c r="F715" s="2507"/>
      <c r="G715" s="2507"/>
      <c r="H715" s="477"/>
    </row>
    <row r="716" spans="1:8" x14ac:dyDescent="0.25">
      <c r="A716" s="476"/>
      <c r="B716" s="477"/>
      <c r="C716" s="477"/>
      <c r="D716" s="477"/>
      <c r="E716" s="477"/>
      <c r="F716" s="476"/>
      <c r="G716" s="478"/>
      <c r="H716" s="477"/>
    </row>
    <row r="717" spans="1:8" x14ac:dyDescent="0.25">
      <c r="A717" s="476"/>
      <c r="B717" s="477"/>
      <c r="C717" s="477"/>
      <c r="D717" s="477"/>
      <c r="E717" s="477"/>
      <c r="F717" s="476"/>
      <c r="G717" s="478"/>
      <c r="H717" s="477"/>
    </row>
    <row r="718" spans="1:8" x14ac:dyDescent="0.25">
      <c r="A718" s="476"/>
      <c r="B718" s="477"/>
      <c r="C718" s="477"/>
      <c r="D718" s="477"/>
      <c r="E718" s="477"/>
      <c r="F718" s="476"/>
      <c r="G718" s="478"/>
      <c r="H718" s="477"/>
    </row>
    <row r="719" spans="1:8" s="140" customFormat="1" x14ac:dyDescent="0.25">
      <c r="A719" s="479" t="s">
        <v>3</v>
      </c>
      <c r="B719" s="479" t="s">
        <v>5445</v>
      </c>
      <c r="C719" s="2508" t="s">
        <v>5446</v>
      </c>
      <c r="D719" s="2508"/>
      <c r="E719" s="2508"/>
      <c r="F719" s="479" t="s">
        <v>867</v>
      </c>
      <c r="G719" s="480" t="s">
        <v>5447</v>
      </c>
      <c r="H719" s="478"/>
    </row>
    <row r="720" spans="1:8" s="140" customFormat="1" x14ac:dyDescent="0.25">
      <c r="A720" s="479"/>
      <c r="B720" s="481"/>
      <c r="C720" s="481"/>
      <c r="D720" s="481"/>
      <c r="E720" s="481"/>
      <c r="F720" s="479"/>
      <c r="G720" s="478"/>
      <c r="H720" s="478"/>
    </row>
    <row r="721" spans="1:8" s="140" customFormat="1" ht="12.75" customHeight="1" x14ac:dyDescent="0.25">
      <c r="A721" s="479"/>
      <c r="B721" s="481"/>
      <c r="C721" s="481"/>
      <c r="D721" s="481"/>
      <c r="E721" s="481"/>
      <c r="F721" s="479"/>
      <c r="G721" s="480"/>
      <c r="H721" s="478"/>
    </row>
    <row r="722" spans="1:8" s="140" customFormat="1" ht="13.5" thickBot="1" x14ac:dyDescent="0.3">
      <c r="A722" s="479"/>
      <c r="B722" s="481"/>
      <c r="C722" s="481"/>
      <c r="D722" s="481"/>
      <c r="E722" s="481"/>
      <c r="F722" s="479"/>
      <c r="G722" s="478"/>
      <c r="H722" s="478"/>
    </row>
    <row r="723" spans="1:8" s="140" customFormat="1" ht="13.5" thickBot="1" x14ac:dyDescent="0.3">
      <c r="A723" s="479"/>
      <c r="B723" s="482" t="s">
        <v>5403</v>
      </c>
      <c r="C723" s="483" t="s">
        <v>867</v>
      </c>
      <c r="D723" s="483" t="s">
        <v>6</v>
      </c>
      <c r="E723" s="483" t="s">
        <v>5435</v>
      </c>
      <c r="F723" s="483" t="s">
        <v>5405</v>
      </c>
      <c r="G723" s="484" t="s">
        <v>868</v>
      </c>
      <c r="H723" s="478"/>
    </row>
    <row r="724" spans="1:8" s="140" customFormat="1" x14ac:dyDescent="0.25">
      <c r="A724" s="479"/>
      <c r="B724" s="485"/>
      <c r="C724" s="486"/>
      <c r="D724" s="487"/>
      <c r="E724" s="487"/>
      <c r="F724" s="488"/>
      <c r="G724" s="489">
        <f>+E724*F724</f>
        <v>0</v>
      </c>
      <c r="H724" s="478"/>
    </row>
    <row r="725" spans="1:8" s="140" customFormat="1" x14ac:dyDescent="0.25">
      <c r="A725" s="479"/>
      <c r="B725" s="490"/>
      <c r="C725" s="491"/>
      <c r="D725" s="492"/>
      <c r="E725" s="487"/>
      <c r="F725" s="493"/>
      <c r="G725" s="494"/>
      <c r="H725" s="478"/>
    </row>
    <row r="726" spans="1:8" s="140" customFormat="1" x14ac:dyDescent="0.25">
      <c r="A726" s="479"/>
      <c r="B726" s="495"/>
      <c r="C726" s="491"/>
      <c r="D726" s="492"/>
      <c r="E726" s="487"/>
      <c r="F726" s="493"/>
      <c r="G726" s="494"/>
      <c r="H726" s="478"/>
    </row>
    <row r="727" spans="1:8" s="140" customFormat="1" x14ac:dyDescent="0.25">
      <c r="A727" s="479"/>
      <c r="B727" s="496"/>
      <c r="C727" s="491"/>
      <c r="D727" s="492"/>
      <c r="E727" s="492"/>
      <c r="F727" s="491"/>
      <c r="G727" s="497"/>
      <c r="H727" s="478"/>
    </row>
    <row r="728" spans="1:8" s="140" customFormat="1" x14ac:dyDescent="0.25">
      <c r="A728" s="479"/>
      <c r="B728" s="496"/>
      <c r="C728" s="491"/>
      <c r="D728" s="492"/>
      <c r="E728" s="492"/>
      <c r="F728" s="491"/>
      <c r="G728" s="497"/>
      <c r="H728" s="478"/>
    </row>
    <row r="729" spans="1:8" s="140" customFormat="1" ht="13.5" thickBot="1" x14ac:dyDescent="0.3">
      <c r="A729" s="479"/>
      <c r="B729" s="496"/>
      <c r="C729" s="491"/>
      <c r="D729" s="492"/>
      <c r="E729" s="492"/>
      <c r="F729" s="491"/>
      <c r="G729" s="497"/>
      <c r="H729" s="478"/>
    </row>
    <row r="730" spans="1:8" s="140" customFormat="1" ht="13.5" thickBot="1" x14ac:dyDescent="0.3">
      <c r="A730" s="479"/>
      <c r="B730" s="498"/>
      <c r="C730" s="499"/>
      <c r="D730" s="500"/>
      <c r="E730" s="500"/>
      <c r="F730" s="499"/>
      <c r="G730" s="501"/>
      <c r="H730" s="502">
        <f>+SUM(G724:G730)</f>
        <v>0</v>
      </c>
    </row>
    <row r="731" spans="1:8" s="140" customFormat="1" ht="13.5" thickBot="1" x14ac:dyDescent="0.3">
      <c r="A731" s="479"/>
      <c r="B731" s="503"/>
      <c r="C731" s="504"/>
      <c r="D731" s="503"/>
      <c r="E731" s="503"/>
      <c r="F731" s="504"/>
      <c r="G731" s="505"/>
      <c r="H731" s="506"/>
    </row>
    <row r="732" spans="1:8" s="140" customFormat="1" ht="13.5" thickBot="1" x14ac:dyDescent="0.3">
      <c r="A732" s="481"/>
      <c r="B732" s="482" t="s">
        <v>5408</v>
      </c>
      <c r="C732" s="483" t="s">
        <v>867</v>
      </c>
      <c r="D732" s="483" t="s">
        <v>6</v>
      </c>
      <c r="E732" s="483" t="s">
        <v>870</v>
      </c>
      <c r="F732" s="483" t="s">
        <v>5409</v>
      </c>
      <c r="G732" s="484" t="s">
        <v>868</v>
      </c>
      <c r="H732" s="478"/>
    </row>
    <row r="733" spans="1:8" s="140" customFormat="1" x14ac:dyDescent="0.25">
      <c r="A733" s="481"/>
      <c r="B733" s="507"/>
      <c r="C733" s="486"/>
      <c r="D733" s="508"/>
      <c r="E733" s="487"/>
      <c r="F733" s="509"/>
      <c r="G733" s="510">
        <f>+D733*E733*(1+F733)</f>
        <v>0</v>
      </c>
      <c r="H733" s="478"/>
    </row>
    <row r="734" spans="1:8" s="140" customFormat="1" x14ac:dyDescent="0.25">
      <c r="A734" s="481"/>
      <c r="B734" s="511"/>
      <c r="C734" s="491"/>
      <c r="D734" s="491"/>
      <c r="E734" s="487"/>
      <c r="F734" s="509"/>
      <c r="G734" s="512"/>
      <c r="H734" s="478"/>
    </row>
    <row r="735" spans="1:8" s="140" customFormat="1" x14ac:dyDescent="0.25">
      <c r="A735" s="481"/>
      <c r="B735" s="511"/>
      <c r="C735" s="491"/>
      <c r="D735" s="491"/>
      <c r="E735" s="487"/>
      <c r="F735" s="509"/>
      <c r="G735" s="510"/>
      <c r="H735" s="478"/>
    </row>
    <row r="736" spans="1:8" s="140" customFormat="1" x14ac:dyDescent="0.25">
      <c r="A736" s="481"/>
      <c r="B736" s="496"/>
      <c r="C736" s="491"/>
      <c r="D736" s="491"/>
      <c r="E736" s="487"/>
      <c r="F736" s="491"/>
      <c r="G736" s="510"/>
      <c r="H736" s="478"/>
    </row>
    <row r="737" spans="1:8" s="140" customFormat="1" x14ac:dyDescent="0.25">
      <c r="A737" s="481"/>
      <c r="B737" s="496"/>
      <c r="C737" s="491"/>
      <c r="D737" s="491"/>
      <c r="E737" s="487"/>
      <c r="F737" s="491"/>
      <c r="G737" s="510"/>
      <c r="H737" s="478"/>
    </row>
    <row r="738" spans="1:8" s="140" customFormat="1" x14ac:dyDescent="0.25">
      <c r="A738" s="481"/>
      <c r="B738" s="496"/>
      <c r="C738" s="491"/>
      <c r="D738" s="491"/>
      <c r="E738" s="487"/>
      <c r="F738" s="491"/>
      <c r="G738" s="510"/>
      <c r="H738" s="478"/>
    </row>
    <row r="739" spans="1:8" s="140" customFormat="1" x14ac:dyDescent="0.25">
      <c r="A739" s="481"/>
      <c r="B739" s="496"/>
      <c r="C739" s="491"/>
      <c r="D739" s="491"/>
      <c r="E739" s="487"/>
      <c r="F739" s="491"/>
      <c r="G739" s="510"/>
      <c r="H739" s="478"/>
    </row>
    <row r="740" spans="1:8" s="140" customFormat="1" x14ac:dyDescent="0.25">
      <c r="A740" s="481"/>
      <c r="B740" s="496"/>
      <c r="C740" s="491"/>
      <c r="D740" s="491"/>
      <c r="E740" s="487"/>
      <c r="F740" s="491"/>
      <c r="G740" s="510"/>
      <c r="H740" s="478"/>
    </row>
    <row r="741" spans="1:8" s="140" customFormat="1" x14ac:dyDescent="0.25">
      <c r="A741" s="481"/>
      <c r="B741" s="496"/>
      <c r="C741" s="491"/>
      <c r="D741" s="491"/>
      <c r="E741" s="487"/>
      <c r="F741" s="491"/>
      <c r="G741" s="510"/>
      <c r="H741" s="478"/>
    </row>
    <row r="742" spans="1:8" s="140" customFormat="1" x14ac:dyDescent="0.25">
      <c r="A742" s="481"/>
      <c r="B742" s="496"/>
      <c r="C742" s="491"/>
      <c r="D742" s="491"/>
      <c r="E742" s="487"/>
      <c r="F742" s="491"/>
      <c r="G742" s="510"/>
      <c r="H742" s="478"/>
    </row>
    <row r="743" spans="1:8" s="140" customFormat="1" x14ac:dyDescent="0.25">
      <c r="A743" s="481"/>
      <c r="B743" s="496"/>
      <c r="C743" s="492"/>
      <c r="D743" s="492"/>
      <c r="E743" s="492"/>
      <c r="F743" s="491"/>
      <c r="G743" s="497"/>
      <c r="H743" s="478"/>
    </row>
    <row r="744" spans="1:8" s="140" customFormat="1" ht="13.5" thickBot="1" x14ac:dyDescent="0.3">
      <c r="A744" s="481"/>
      <c r="B744" s="496"/>
      <c r="C744" s="492"/>
      <c r="D744" s="492"/>
      <c r="E744" s="492"/>
      <c r="F744" s="491"/>
      <c r="G744" s="497"/>
      <c r="H744" s="478"/>
    </row>
    <row r="745" spans="1:8" s="140" customFormat="1" ht="13.5" thickBot="1" x14ac:dyDescent="0.3">
      <c r="A745" s="481"/>
      <c r="B745" s="498"/>
      <c r="C745" s="500"/>
      <c r="D745" s="500"/>
      <c r="E745" s="500"/>
      <c r="F745" s="499"/>
      <c r="G745" s="501"/>
      <c r="H745" s="502">
        <f>+SUM(G733:G745)</f>
        <v>0</v>
      </c>
    </row>
    <row r="746" spans="1:8" s="140" customFormat="1" ht="13.5" thickBot="1" x14ac:dyDescent="0.3">
      <c r="A746" s="481"/>
      <c r="B746" s="503"/>
      <c r="C746" s="503"/>
      <c r="D746" s="503"/>
      <c r="E746" s="503"/>
      <c r="F746" s="504"/>
      <c r="G746" s="505"/>
      <c r="H746" s="506"/>
    </row>
    <row r="747" spans="1:8" s="140" customFormat="1" ht="13.5" thickBot="1" x14ac:dyDescent="0.3">
      <c r="A747" s="481"/>
      <c r="B747" s="482" t="s">
        <v>5410</v>
      </c>
      <c r="C747" s="483" t="s">
        <v>867</v>
      </c>
      <c r="D747" s="483" t="s">
        <v>6</v>
      </c>
      <c r="E747" s="483" t="s">
        <v>870</v>
      </c>
      <c r="F747" s="483" t="s">
        <v>5411</v>
      </c>
      <c r="G747" s="484" t="s">
        <v>868</v>
      </c>
      <c r="H747" s="478"/>
    </row>
    <row r="748" spans="1:8" s="140" customFormat="1" x14ac:dyDescent="0.25">
      <c r="A748" s="481"/>
      <c r="B748" s="507"/>
      <c r="C748" s="486"/>
      <c r="D748" s="508"/>
      <c r="E748" s="487"/>
      <c r="F748" s="509"/>
      <c r="G748" s="510">
        <f>+D748*E748*(1+F748)</f>
        <v>0</v>
      </c>
      <c r="H748" s="478"/>
    </row>
    <row r="749" spans="1:8" s="140" customFormat="1" x14ac:dyDescent="0.25">
      <c r="A749" s="481"/>
      <c r="B749" s="511"/>
      <c r="C749" s="491"/>
      <c r="D749" s="491"/>
      <c r="E749" s="487"/>
      <c r="F749" s="486"/>
      <c r="G749" s="510"/>
      <c r="H749" s="478"/>
    </row>
    <row r="750" spans="1:8" s="140" customFormat="1" x14ac:dyDescent="0.25">
      <c r="A750" s="481"/>
      <c r="B750" s="511"/>
      <c r="C750" s="491"/>
      <c r="D750" s="491"/>
      <c r="E750" s="487"/>
      <c r="F750" s="491"/>
      <c r="G750" s="510"/>
      <c r="H750" s="478"/>
    </row>
    <row r="751" spans="1:8" s="140" customFormat="1" x14ac:dyDescent="0.25">
      <c r="A751" s="481"/>
      <c r="B751" s="496"/>
      <c r="C751" s="491"/>
      <c r="D751" s="491"/>
      <c r="E751" s="487"/>
      <c r="F751" s="491"/>
      <c r="G751" s="510"/>
      <c r="H751" s="478"/>
    </row>
    <row r="752" spans="1:8" s="140" customFormat="1" x14ac:dyDescent="0.25">
      <c r="A752" s="481"/>
      <c r="B752" s="496"/>
      <c r="C752" s="491"/>
      <c r="D752" s="491"/>
      <c r="E752" s="487"/>
      <c r="F752" s="491"/>
      <c r="G752" s="510"/>
      <c r="H752" s="478"/>
    </row>
    <row r="753" spans="1:8" s="140" customFormat="1" ht="13.5" thickBot="1" x14ac:dyDescent="0.3">
      <c r="A753" s="481"/>
      <c r="B753" s="496"/>
      <c r="C753" s="491"/>
      <c r="D753" s="491"/>
      <c r="E753" s="487"/>
      <c r="F753" s="491"/>
      <c r="G753" s="510"/>
      <c r="H753" s="478"/>
    </row>
    <row r="754" spans="1:8" s="140" customFormat="1" ht="13.5" thickBot="1" x14ac:dyDescent="0.3">
      <c r="A754" s="481"/>
      <c r="B754" s="498"/>
      <c r="C754" s="500"/>
      <c r="D754" s="500"/>
      <c r="E754" s="500"/>
      <c r="F754" s="499"/>
      <c r="G754" s="501"/>
      <c r="H754" s="502">
        <f>+SUM(G748:G754)</f>
        <v>0</v>
      </c>
    </row>
    <row r="755" spans="1:8" s="140" customFormat="1" ht="13.5" thickBot="1" x14ac:dyDescent="0.3">
      <c r="A755" s="481"/>
      <c r="B755" s="503"/>
      <c r="C755" s="503"/>
      <c r="D755" s="503"/>
      <c r="E755" s="503"/>
      <c r="F755" s="513"/>
      <c r="G755" s="514"/>
      <c r="H755" s="506"/>
    </row>
    <row r="756" spans="1:8" s="140" customFormat="1" ht="13.5" thickBot="1" x14ac:dyDescent="0.3">
      <c r="A756" s="481"/>
      <c r="B756" s="482" t="s">
        <v>5412</v>
      </c>
      <c r="C756" s="483" t="s">
        <v>867</v>
      </c>
      <c r="D756" s="483" t="s">
        <v>6</v>
      </c>
      <c r="E756" s="483" t="s">
        <v>5448</v>
      </c>
      <c r="F756" s="483" t="s">
        <v>5405</v>
      </c>
      <c r="G756" s="484" t="s">
        <v>868</v>
      </c>
      <c r="H756" s="478"/>
    </row>
    <row r="757" spans="1:8" s="140" customFormat="1" x14ac:dyDescent="0.25">
      <c r="A757" s="481"/>
      <c r="B757" s="515" t="s">
        <v>5449</v>
      </c>
      <c r="C757" s="516" t="s">
        <v>5450</v>
      </c>
      <c r="D757" s="517">
        <v>1</v>
      </c>
      <c r="E757" s="518">
        <v>3500000</v>
      </c>
      <c r="F757" s="493">
        <v>1</v>
      </c>
      <c r="G757" s="519">
        <f>+E757/F757*D757</f>
        <v>3500000</v>
      </c>
      <c r="H757" s="478"/>
    </row>
    <row r="758" spans="1:8" s="140" customFormat="1" x14ac:dyDescent="0.25">
      <c r="A758" s="481"/>
      <c r="B758" s="515"/>
      <c r="C758" s="520"/>
      <c r="D758" s="516"/>
      <c r="E758" s="518"/>
      <c r="F758" s="486"/>
      <c r="G758" s="489"/>
      <c r="H758" s="478"/>
    </row>
    <row r="759" spans="1:8" s="140" customFormat="1" x14ac:dyDescent="0.25">
      <c r="A759" s="481"/>
      <c r="B759" s="496"/>
      <c r="C759" s="521"/>
      <c r="D759" s="522"/>
      <c r="E759" s="522"/>
      <c r="F759" s="491"/>
      <c r="G759" s="519"/>
      <c r="H759" s="478"/>
    </row>
    <row r="760" spans="1:8" s="140" customFormat="1" x14ac:dyDescent="0.25">
      <c r="A760" s="481"/>
      <c r="B760" s="496"/>
      <c r="C760" s="492"/>
      <c r="D760" s="492"/>
      <c r="E760" s="492"/>
      <c r="F760" s="491"/>
      <c r="G760" s="497"/>
      <c r="H760" s="478"/>
    </row>
    <row r="761" spans="1:8" s="140" customFormat="1" x14ac:dyDescent="0.25">
      <c r="A761" s="481"/>
      <c r="B761" s="496"/>
      <c r="C761" s="492"/>
      <c r="D761" s="492"/>
      <c r="E761" s="492"/>
      <c r="F761" s="491"/>
      <c r="G761" s="497"/>
      <c r="H761" s="478"/>
    </row>
    <row r="762" spans="1:8" s="140" customFormat="1" ht="13.5" thickBot="1" x14ac:dyDescent="0.3">
      <c r="A762" s="481"/>
      <c r="B762" s="496"/>
      <c r="C762" s="492"/>
      <c r="D762" s="492"/>
      <c r="E762" s="492"/>
      <c r="F762" s="491"/>
      <c r="G762" s="497"/>
      <c r="H762" s="478"/>
    </row>
    <row r="763" spans="1:8" s="140" customFormat="1" ht="13.5" thickBot="1" x14ac:dyDescent="0.3">
      <c r="A763" s="481"/>
      <c r="B763" s="523"/>
      <c r="C763" s="524"/>
      <c r="D763" s="524"/>
      <c r="E763" s="524"/>
      <c r="F763" s="525"/>
      <c r="G763" s="526"/>
      <c r="H763" s="502">
        <f>+SUM(G757:G763)</f>
        <v>3500000</v>
      </c>
    </row>
    <row r="764" spans="1:8" s="140" customFormat="1" ht="18.75" customHeight="1" thickBot="1" x14ac:dyDescent="0.3">
      <c r="A764" s="481"/>
      <c r="B764" s="481"/>
      <c r="C764" s="481"/>
      <c r="D764" s="481"/>
      <c r="E764" s="481"/>
      <c r="F764" s="479"/>
      <c r="G764" s="478"/>
      <c r="H764" s="478"/>
    </row>
    <row r="765" spans="1:8" s="140" customFormat="1" ht="12.75" customHeight="1" thickBot="1" x14ac:dyDescent="0.3">
      <c r="A765" s="481"/>
      <c r="B765" s="481"/>
      <c r="C765" s="481"/>
      <c r="D765" s="481"/>
      <c r="E765" s="527" t="s">
        <v>5415</v>
      </c>
      <c r="F765" s="479"/>
      <c r="G765" s="478"/>
      <c r="H765" s="502">
        <f>ROUND(+H730+H745+H754+H763,0)</f>
        <v>3500000</v>
      </c>
    </row>
    <row r="766" spans="1:8" ht="12.75" customHeight="1" x14ac:dyDescent="0.25">
      <c r="A766" s="477"/>
      <c r="B766" s="477"/>
      <c r="C766" s="477"/>
      <c r="D766" s="477"/>
      <c r="E766" s="477"/>
      <c r="F766" s="476"/>
      <c r="G766" s="477"/>
      <c r="H766" s="477"/>
    </row>
    <row r="767" spans="1:8" ht="12.75" customHeight="1" x14ac:dyDescent="0.25">
      <c r="A767" s="477"/>
      <c r="B767" s="477"/>
      <c r="C767" s="477"/>
      <c r="D767" s="477"/>
      <c r="E767" s="477"/>
      <c r="F767" s="476"/>
      <c r="G767" s="477"/>
      <c r="H767" s="528"/>
    </row>
    <row r="768" spans="1:8" ht="12.75" customHeight="1" x14ac:dyDescent="0.25">
      <c r="A768" s="477"/>
      <c r="B768" s="477"/>
      <c r="C768" s="477"/>
      <c r="D768" s="477"/>
      <c r="E768" s="477"/>
      <c r="F768" s="476"/>
      <c r="G768" s="477"/>
      <c r="H768" s="477"/>
    </row>
    <row r="769" spans="1:8" ht="12.75" hidden="1" customHeight="1" thickBot="1" x14ac:dyDescent="0.3">
      <c r="A769" s="477"/>
      <c r="B769" s="477"/>
      <c r="C769" s="477"/>
      <c r="D769" s="477"/>
      <c r="E769" s="477"/>
      <c r="F769" s="476"/>
      <c r="G769" s="477"/>
      <c r="H769" s="477"/>
    </row>
    <row r="770" spans="1:8" ht="12.75" hidden="1" customHeight="1" thickBot="1" x14ac:dyDescent="0.3">
      <c r="A770" s="476"/>
      <c r="B770" s="2507" t="s">
        <v>5400</v>
      </c>
      <c r="C770" s="2507"/>
      <c r="D770" s="2507"/>
      <c r="E770" s="2507"/>
      <c r="F770" s="2507"/>
      <c r="G770" s="2507"/>
      <c r="H770" s="477"/>
    </row>
    <row r="771" spans="1:8" ht="13.5" hidden="1" customHeight="1" thickBot="1" x14ac:dyDescent="0.3">
      <c r="A771" s="476"/>
      <c r="B771" s="477"/>
      <c r="C771" s="477"/>
      <c r="D771" s="477"/>
      <c r="E771" s="477"/>
      <c r="F771" s="476"/>
      <c r="G771" s="478"/>
      <c r="H771" s="477"/>
    </row>
    <row r="772" spans="1:8" ht="13.5" hidden="1" customHeight="1" x14ac:dyDescent="0.25">
      <c r="A772" s="476"/>
      <c r="B772" s="477"/>
      <c r="C772" s="477"/>
      <c r="D772" s="477"/>
      <c r="E772" s="477"/>
      <c r="F772" s="476"/>
      <c r="G772" s="478"/>
      <c r="H772" s="477"/>
    </row>
    <row r="773" spans="1:8" ht="12.75" hidden="1" customHeight="1" x14ac:dyDescent="0.25">
      <c r="A773" s="476"/>
      <c r="B773" s="477"/>
      <c r="C773" s="477"/>
      <c r="D773" s="477"/>
      <c r="E773" s="477"/>
      <c r="F773" s="476"/>
      <c r="G773" s="478"/>
      <c r="H773" s="477"/>
    </row>
    <row r="774" spans="1:8" s="140" customFormat="1" ht="12.75" hidden="1" customHeight="1" x14ac:dyDescent="0.25">
      <c r="A774" s="479" t="s">
        <v>3</v>
      </c>
      <c r="B774" s="479" t="s">
        <v>5451</v>
      </c>
      <c r="C774" s="2508" t="s">
        <v>5452</v>
      </c>
      <c r="D774" s="2508"/>
      <c r="E774" s="2508"/>
      <c r="F774" s="479" t="s">
        <v>867</v>
      </c>
      <c r="G774" s="480" t="s">
        <v>5447</v>
      </c>
      <c r="H774" s="478"/>
    </row>
    <row r="775" spans="1:8" s="140" customFormat="1" ht="12.75" hidden="1" customHeight="1" x14ac:dyDescent="0.25">
      <c r="A775" s="479"/>
      <c r="B775" s="481"/>
      <c r="C775" s="481"/>
      <c r="D775" s="481"/>
      <c r="E775" s="481"/>
      <c r="F775" s="479"/>
      <c r="G775" s="478"/>
      <c r="H775" s="478"/>
    </row>
    <row r="776" spans="1:8" s="140" customFormat="1" ht="12.75" hidden="1" customHeight="1" x14ac:dyDescent="0.25">
      <c r="A776" s="479"/>
      <c r="B776" s="481"/>
      <c r="C776" s="481"/>
      <c r="D776" s="481"/>
      <c r="E776" s="481"/>
      <c r="F776" s="479"/>
      <c r="G776" s="480"/>
      <c r="H776" s="478"/>
    </row>
    <row r="777" spans="1:8" s="140" customFormat="1" ht="12.75" hidden="1" customHeight="1" x14ac:dyDescent="0.25">
      <c r="A777" s="479"/>
      <c r="B777" s="481"/>
      <c r="C777" s="481"/>
      <c r="D777" s="481"/>
      <c r="E777" s="481"/>
      <c r="F777" s="479"/>
      <c r="G777" s="478"/>
      <c r="H777" s="478"/>
    </row>
    <row r="778" spans="1:8" s="140" customFormat="1" ht="13.5" hidden="1" customHeight="1" x14ac:dyDescent="0.25">
      <c r="A778" s="479"/>
      <c r="B778" s="482" t="s">
        <v>5403</v>
      </c>
      <c r="C778" s="483" t="s">
        <v>867</v>
      </c>
      <c r="D778" s="483" t="s">
        <v>6</v>
      </c>
      <c r="E778" s="483" t="s">
        <v>5435</v>
      </c>
      <c r="F778" s="483" t="s">
        <v>5405</v>
      </c>
      <c r="G778" s="484" t="s">
        <v>868</v>
      </c>
      <c r="H778" s="478"/>
    </row>
    <row r="779" spans="1:8" s="140" customFormat="1" ht="13.5" hidden="1" customHeight="1" x14ac:dyDescent="0.25">
      <c r="A779" s="479"/>
      <c r="B779" s="485"/>
      <c r="C779" s="486"/>
      <c r="D779" s="487"/>
      <c r="E779" s="487"/>
      <c r="F779" s="488"/>
      <c r="G779" s="489">
        <f>+E779*F779</f>
        <v>0</v>
      </c>
      <c r="H779" s="478"/>
    </row>
    <row r="780" spans="1:8" s="140" customFormat="1" ht="13.5" hidden="1" customHeight="1" x14ac:dyDescent="0.25">
      <c r="A780" s="479"/>
      <c r="B780" s="490"/>
      <c r="C780" s="491"/>
      <c r="D780" s="492"/>
      <c r="E780" s="487"/>
      <c r="F780" s="493"/>
      <c r="G780" s="494"/>
      <c r="H780" s="478"/>
    </row>
    <row r="781" spans="1:8" s="140" customFormat="1" ht="13.5" hidden="1" customHeight="1" x14ac:dyDescent="0.25">
      <c r="A781" s="479"/>
      <c r="B781" s="495"/>
      <c r="C781" s="491"/>
      <c r="D781" s="492"/>
      <c r="E781" s="487"/>
      <c r="F781" s="493"/>
      <c r="G781" s="494"/>
      <c r="H781" s="478"/>
    </row>
    <row r="782" spans="1:8" s="140" customFormat="1" ht="12.75" hidden="1" customHeight="1" x14ac:dyDescent="0.25">
      <c r="A782" s="479"/>
      <c r="B782" s="496"/>
      <c r="C782" s="491"/>
      <c r="D782" s="492"/>
      <c r="E782" s="492"/>
      <c r="F782" s="491"/>
      <c r="G782" s="497"/>
      <c r="H782" s="478"/>
    </row>
    <row r="783" spans="1:8" s="140" customFormat="1" ht="12.75" hidden="1" customHeight="1" thickBot="1" x14ac:dyDescent="0.3">
      <c r="A783" s="479"/>
      <c r="B783" s="496"/>
      <c r="C783" s="491"/>
      <c r="D783" s="492"/>
      <c r="E783" s="492"/>
      <c r="F783" s="491"/>
      <c r="G783" s="497"/>
      <c r="H783" s="478"/>
    </row>
    <row r="784" spans="1:8" s="140" customFormat="1" ht="12.75" hidden="1" customHeight="1" thickBot="1" x14ac:dyDescent="0.3">
      <c r="A784" s="479"/>
      <c r="B784" s="496"/>
      <c r="C784" s="491"/>
      <c r="D784" s="492"/>
      <c r="E784" s="492"/>
      <c r="F784" s="491"/>
      <c r="G784" s="497"/>
      <c r="H784" s="478"/>
    </row>
    <row r="785" spans="1:8" s="140" customFormat="1" ht="12.75" hidden="1" customHeight="1" x14ac:dyDescent="0.25">
      <c r="A785" s="479"/>
      <c r="B785" s="498"/>
      <c r="C785" s="499"/>
      <c r="D785" s="500"/>
      <c r="E785" s="500"/>
      <c r="F785" s="499"/>
      <c r="G785" s="501"/>
      <c r="H785" s="502">
        <f>+SUM(G779:G785)</f>
        <v>0</v>
      </c>
    </row>
    <row r="786" spans="1:8" s="140" customFormat="1" ht="12.75" hidden="1" customHeight="1" x14ac:dyDescent="0.25">
      <c r="A786" s="479"/>
      <c r="B786" s="503"/>
      <c r="C786" s="504"/>
      <c r="D786" s="503"/>
      <c r="E786" s="503"/>
      <c r="F786" s="504"/>
      <c r="G786" s="505"/>
      <c r="H786" s="506"/>
    </row>
    <row r="787" spans="1:8" s="140" customFormat="1" ht="12.75" hidden="1" customHeight="1" x14ac:dyDescent="0.25">
      <c r="A787" s="481"/>
      <c r="B787" s="482" t="s">
        <v>5408</v>
      </c>
      <c r="C787" s="483" t="s">
        <v>867</v>
      </c>
      <c r="D787" s="483" t="s">
        <v>6</v>
      </c>
      <c r="E787" s="483" t="s">
        <v>870</v>
      </c>
      <c r="F787" s="483" t="s">
        <v>5409</v>
      </c>
      <c r="G787" s="484" t="s">
        <v>868</v>
      </c>
      <c r="H787" s="478"/>
    </row>
    <row r="788" spans="1:8" s="140" customFormat="1" ht="12.75" hidden="1" customHeight="1" x14ac:dyDescent="0.25">
      <c r="A788" s="481"/>
      <c r="B788" s="507"/>
      <c r="C788" s="486"/>
      <c r="D788" s="508"/>
      <c r="E788" s="487"/>
      <c r="F788" s="509"/>
      <c r="G788" s="510">
        <f>+D788*E788*(1+F788)</f>
        <v>0</v>
      </c>
      <c r="H788" s="478"/>
    </row>
    <row r="789" spans="1:8" s="140" customFormat="1" ht="12.75" hidden="1" customHeight="1" x14ac:dyDescent="0.25">
      <c r="A789" s="481"/>
      <c r="B789" s="511"/>
      <c r="C789" s="491"/>
      <c r="D789" s="491"/>
      <c r="E789" s="487"/>
      <c r="F789" s="509"/>
      <c r="G789" s="512"/>
      <c r="H789" s="478"/>
    </row>
    <row r="790" spans="1:8" s="140" customFormat="1" ht="12.75" hidden="1" customHeight="1" thickBot="1" x14ac:dyDescent="0.3">
      <c r="A790" s="481"/>
      <c r="B790" s="511"/>
      <c r="C790" s="491"/>
      <c r="D790" s="491"/>
      <c r="E790" s="487"/>
      <c r="F790" s="509"/>
      <c r="G790" s="510"/>
      <c r="H790" s="478"/>
    </row>
    <row r="791" spans="1:8" s="140" customFormat="1" ht="12.75" hidden="1" customHeight="1" thickBot="1" x14ac:dyDescent="0.3">
      <c r="A791" s="481"/>
      <c r="B791" s="496"/>
      <c r="C791" s="491"/>
      <c r="D791" s="491"/>
      <c r="E791" s="487"/>
      <c r="F791" s="491"/>
      <c r="G791" s="510"/>
      <c r="H791" s="478"/>
    </row>
    <row r="792" spans="1:8" s="140" customFormat="1" ht="12.75" hidden="1" customHeight="1" thickBot="1" x14ac:dyDescent="0.3">
      <c r="A792" s="481"/>
      <c r="B792" s="496"/>
      <c r="C792" s="491"/>
      <c r="D792" s="491"/>
      <c r="E792" s="487"/>
      <c r="F792" s="491"/>
      <c r="G792" s="510"/>
      <c r="H792" s="478"/>
    </row>
    <row r="793" spans="1:8" s="140" customFormat="1" ht="13.5" hidden="1" customHeight="1" thickBot="1" x14ac:dyDescent="0.3">
      <c r="A793" s="481"/>
      <c r="B793" s="496"/>
      <c r="C793" s="491"/>
      <c r="D793" s="491"/>
      <c r="E793" s="487"/>
      <c r="F793" s="491"/>
      <c r="G793" s="510"/>
      <c r="H793" s="478"/>
    </row>
    <row r="794" spans="1:8" s="140" customFormat="1" ht="13.5" hidden="1" customHeight="1" x14ac:dyDescent="0.25">
      <c r="A794" s="481"/>
      <c r="B794" s="496"/>
      <c r="C794" s="491"/>
      <c r="D794" s="491"/>
      <c r="E794" s="487"/>
      <c r="F794" s="491"/>
      <c r="G794" s="510"/>
      <c r="H794" s="478"/>
    </row>
    <row r="795" spans="1:8" s="140" customFormat="1" ht="13.5" hidden="1" customHeight="1" x14ac:dyDescent="0.25">
      <c r="A795" s="481"/>
      <c r="B795" s="496"/>
      <c r="C795" s="491"/>
      <c r="D795" s="491"/>
      <c r="E795" s="487"/>
      <c r="F795" s="491"/>
      <c r="G795" s="510"/>
      <c r="H795" s="478"/>
    </row>
    <row r="796" spans="1:8" s="140" customFormat="1" ht="13.5" hidden="1" customHeight="1" x14ac:dyDescent="0.25">
      <c r="A796" s="481"/>
      <c r="B796" s="496"/>
      <c r="C796" s="491"/>
      <c r="D796" s="491"/>
      <c r="E796" s="487"/>
      <c r="F796" s="491"/>
      <c r="G796" s="510"/>
      <c r="H796" s="478"/>
    </row>
    <row r="797" spans="1:8" s="140" customFormat="1" ht="12.75" hidden="1" customHeight="1" x14ac:dyDescent="0.25">
      <c r="A797" s="481"/>
      <c r="B797" s="496"/>
      <c r="C797" s="491"/>
      <c r="D797" s="491"/>
      <c r="E797" s="487"/>
      <c r="F797" s="491"/>
      <c r="G797" s="510"/>
      <c r="H797" s="478"/>
    </row>
    <row r="798" spans="1:8" s="140" customFormat="1" ht="12.75" hidden="1" customHeight="1" x14ac:dyDescent="0.25">
      <c r="A798" s="481"/>
      <c r="B798" s="496"/>
      <c r="C798" s="492"/>
      <c r="D798" s="492"/>
      <c r="E798" s="492"/>
      <c r="F798" s="491"/>
      <c r="G798" s="497"/>
      <c r="H798" s="478"/>
    </row>
    <row r="799" spans="1:8" s="140" customFormat="1" ht="12.75" hidden="1" customHeight="1" x14ac:dyDescent="0.25">
      <c r="A799" s="481"/>
      <c r="B799" s="496"/>
      <c r="C799" s="492"/>
      <c r="D799" s="492"/>
      <c r="E799" s="492"/>
      <c r="F799" s="491"/>
      <c r="G799" s="497"/>
      <c r="H799" s="478"/>
    </row>
    <row r="800" spans="1:8" s="140" customFormat="1" ht="12.75" hidden="1" customHeight="1" x14ac:dyDescent="0.25">
      <c r="A800" s="481"/>
      <c r="B800" s="498"/>
      <c r="C800" s="500"/>
      <c r="D800" s="500"/>
      <c r="E800" s="500"/>
      <c r="F800" s="499"/>
      <c r="G800" s="501"/>
      <c r="H800" s="502">
        <f>+SUM(G788:G800)</f>
        <v>0</v>
      </c>
    </row>
    <row r="801" spans="1:8" s="140" customFormat="1" ht="12.75" hidden="1" customHeight="1" x14ac:dyDescent="0.25">
      <c r="A801" s="481"/>
      <c r="B801" s="503"/>
      <c r="C801" s="503"/>
      <c r="D801" s="503"/>
      <c r="E801" s="503"/>
      <c r="F801" s="504"/>
      <c r="G801" s="505"/>
      <c r="H801" s="506"/>
    </row>
    <row r="802" spans="1:8" s="140" customFormat="1" ht="13.5" hidden="1" customHeight="1" x14ac:dyDescent="0.25">
      <c r="A802" s="481"/>
      <c r="B802" s="482" t="s">
        <v>5410</v>
      </c>
      <c r="C802" s="483" t="s">
        <v>867</v>
      </c>
      <c r="D802" s="483" t="s">
        <v>6</v>
      </c>
      <c r="E802" s="483" t="s">
        <v>870</v>
      </c>
      <c r="F802" s="483" t="s">
        <v>5411</v>
      </c>
      <c r="G802" s="484" t="s">
        <v>868</v>
      </c>
      <c r="H802" s="478"/>
    </row>
    <row r="803" spans="1:8" s="140" customFormat="1" ht="13.5" hidden="1" customHeight="1" x14ac:dyDescent="0.25">
      <c r="A803" s="481"/>
      <c r="B803" s="507"/>
      <c r="C803" s="486"/>
      <c r="D803" s="508"/>
      <c r="E803" s="487"/>
      <c r="F803" s="509"/>
      <c r="G803" s="510">
        <f>+D803*E803*(1+F803)</f>
        <v>0</v>
      </c>
      <c r="H803" s="478"/>
    </row>
    <row r="804" spans="1:8" s="140" customFormat="1" ht="13.5" hidden="1" customHeight="1" x14ac:dyDescent="0.25">
      <c r="A804" s="481"/>
      <c r="B804" s="511"/>
      <c r="C804" s="491"/>
      <c r="D804" s="491"/>
      <c r="E804" s="487"/>
      <c r="F804" s="486"/>
      <c r="G804" s="510"/>
      <c r="H804" s="478"/>
    </row>
    <row r="805" spans="1:8" s="140" customFormat="1" ht="13.5" hidden="1" customHeight="1" thickBot="1" x14ac:dyDescent="0.3">
      <c r="A805" s="481"/>
      <c r="B805" s="511"/>
      <c r="C805" s="491"/>
      <c r="D805" s="491"/>
      <c r="E805" s="487"/>
      <c r="F805" s="491"/>
      <c r="G805" s="510"/>
      <c r="H805" s="478"/>
    </row>
    <row r="806" spans="1:8" s="140" customFormat="1" ht="12.75" hidden="1" customHeight="1" thickBot="1" x14ac:dyDescent="0.3">
      <c r="A806" s="481"/>
      <c r="B806" s="496"/>
      <c r="C806" s="491"/>
      <c r="D806" s="491"/>
      <c r="E806" s="487"/>
      <c r="F806" s="491"/>
      <c r="G806" s="510"/>
      <c r="H806" s="478"/>
    </row>
    <row r="807" spans="1:8" s="140" customFormat="1" ht="12.75" hidden="1" customHeight="1" thickBot="1" x14ac:dyDescent="0.3">
      <c r="A807" s="481"/>
      <c r="B807" s="496"/>
      <c r="C807" s="491"/>
      <c r="D807" s="491"/>
      <c r="E807" s="487"/>
      <c r="F807" s="491"/>
      <c r="G807" s="510"/>
      <c r="H807" s="478"/>
    </row>
    <row r="808" spans="1:8" s="140" customFormat="1" ht="12.75" hidden="1" customHeight="1" thickBot="1" x14ac:dyDescent="0.3">
      <c r="A808" s="481"/>
      <c r="B808" s="496"/>
      <c r="C808" s="491"/>
      <c r="D808" s="491"/>
      <c r="E808" s="487"/>
      <c r="F808" s="491"/>
      <c r="G808" s="510"/>
      <c r="H808" s="478"/>
    </row>
    <row r="809" spans="1:8" s="140" customFormat="1" ht="12.75" hidden="1" customHeight="1" x14ac:dyDescent="0.25">
      <c r="A809" s="481"/>
      <c r="B809" s="498"/>
      <c r="C809" s="500"/>
      <c r="D809" s="500"/>
      <c r="E809" s="500"/>
      <c r="F809" s="499"/>
      <c r="G809" s="501"/>
      <c r="H809" s="502">
        <f>+SUM(G803:G809)</f>
        <v>0</v>
      </c>
    </row>
    <row r="810" spans="1:8" s="140" customFormat="1" ht="12.75" hidden="1" customHeight="1" x14ac:dyDescent="0.25">
      <c r="A810" s="481"/>
      <c r="B810" s="503"/>
      <c r="C810" s="503"/>
      <c r="D810" s="503"/>
      <c r="E810" s="503"/>
      <c r="F810" s="513"/>
      <c r="G810" s="514"/>
      <c r="H810" s="506"/>
    </row>
    <row r="811" spans="1:8" s="140" customFormat="1" ht="13.5" hidden="1" customHeight="1" x14ac:dyDescent="0.25">
      <c r="A811" s="481"/>
      <c r="B811" s="482" t="s">
        <v>5412</v>
      </c>
      <c r="C811" s="483" t="s">
        <v>867</v>
      </c>
      <c r="D811" s="483" t="s">
        <v>6</v>
      </c>
      <c r="E811" s="483" t="s">
        <v>5448</v>
      </c>
      <c r="F811" s="483" t="s">
        <v>5405</v>
      </c>
      <c r="G811" s="484" t="s">
        <v>868</v>
      </c>
      <c r="H811" s="478"/>
    </row>
    <row r="812" spans="1:8" s="140" customFormat="1" ht="13.5" hidden="1" customHeight="1" x14ac:dyDescent="0.25">
      <c r="A812" s="481"/>
      <c r="B812" s="515" t="s">
        <v>5449</v>
      </c>
      <c r="C812" s="516" t="s">
        <v>5450</v>
      </c>
      <c r="D812" s="517">
        <v>1</v>
      </c>
      <c r="E812" s="518">
        <v>3500000</v>
      </c>
      <c r="F812" s="493">
        <v>1</v>
      </c>
      <c r="G812" s="519">
        <f>+E812/F812*D812</f>
        <v>3500000</v>
      </c>
      <c r="H812" s="478"/>
    </row>
    <row r="813" spans="1:8" s="140" customFormat="1" ht="13.5" hidden="1" customHeight="1" x14ac:dyDescent="0.25">
      <c r="A813" s="481"/>
      <c r="B813" s="515"/>
      <c r="C813" s="520"/>
      <c r="D813" s="516"/>
      <c r="E813" s="518"/>
      <c r="F813" s="486"/>
      <c r="G813" s="489"/>
      <c r="H813" s="478"/>
    </row>
    <row r="814" spans="1:8" s="140" customFormat="1" ht="13.5" hidden="1" customHeight="1" thickBot="1" x14ac:dyDescent="0.3">
      <c r="A814" s="481"/>
      <c r="B814" s="496"/>
      <c r="C814" s="521"/>
      <c r="D814" s="522"/>
      <c r="E814" s="522"/>
      <c r="F814" s="491"/>
      <c r="G814" s="519"/>
      <c r="H814" s="478"/>
    </row>
    <row r="815" spans="1:8" s="140" customFormat="1" ht="12.75" hidden="1" customHeight="1" thickBot="1" x14ac:dyDescent="0.3">
      <c r="A815" s="481"/>
      <c r="B815" s="496"/>
      <c r="C815" s="492"/>
      <c r="D815" s="492"/>
      <c r="E815" s="492"/>
      <c r="F815" s="491"/>
      <c r="G815" s="497"/>
      <c r="H815" s="478"/>
    </row>
    <row r="816" spans="1:8" s="140" customFormat="1" ht="12.75" hidden="1" customHeight="1" thickBot="1" x14ac:dyDescent="0.3">
      <c r="A816" s="481"/>
      <c r="B816" s="496"/>
      <c r="C816" s="492"/>
      <c r="D816" s="492"/>
      <c r="E816" s="492"/>
      <c r="F816" s="491"/>
      <c r="G816" s="497"/>
      <c r="H816" s="478"/>
    </row>
    <row r="817" spans="1:8" s="140" customFormat="1" ht="12.75" hidden="1" customHeight="1" thickBot="1" x14ac:dyDescent="0.3">
      <c r="A817" s="481"/>
      <c r="B817" s="496"/>
      <c r="C817" s="492"/>
      <c r="D817" s="492"/>
      <c r="E817" s="492"/>
      <c r="F817" s="491"/>
      <c r="G817" s="497"/>
      <c r="H817" s="478"/>
    </row>
    <row r="818" spans="1:8" s="140" customFormat="1" ht="12.75" hidden="1" customHeight="1" x14ac:dyDescent="0.25">
      <c r="A818" s="481"/>
      <c r="B818" s="523"/>
      <c r="C818" s="524"/>
      <c r="D818" s="524"/>
      <c r="E818" s="524"/>
      <c r="F818" s="525"/>
      <c r="G818" s="526"/>
      <c r="H818" s="502">
        <f>+SUM(B702:G818)</f>
        <v>14485674.6</v>
      </c>
    </row>
    <row r="819" spans="1:8" s="140" customFormat="1" ht="18.75" hidden="1" customHeight="1" x14ac:dyDescent="0.25">
      <c r="A819" s="481"/>
      <c r="B819" s="481"/>
      <c r="C819" s="481"/>
      <c r="D819" s="481"/>
      <c r="E819" s="481"/>
      <c r="F819" s="479"/>
      <c r="G819" s="478"/>
      <c r="H819" s="478"/>
    </row>
    <row r="820" spans="1:8" s="140" customFormat="1" ht="12.75" hidden="1" customHeight="1" x14ac:dyDescent="0.25">
      <c r="A820" s="481"/>
      <c r="B820" s="481"/>
      <c r="C820" s="481"/>
      <c r="D820" s="481"/>
      <c r="E820" s="527" t="s">
        <v>5415</v>
      </c>
      <c r="F820" s="479"/>
      <c r="G820" s="478"/>
      <c r="H820" s="502">
        <f>ROUND(+H785+H800+H809+H818,0)</f>
        <v>14485675</v>
      </c>
    </row>
    <row r="821" spans="1:8" ht="12.75" hidden="1" customHeight="1" x14ac:dyDescent="0.25"/>
    <row r="822" spans="1:8" ht="12.75" hidden="1" customHeight="1" x14ac:dyDescent="0.25">
      <c r="H822" s="341"/>
    </row>
    <row r="823" spans="1:8" ht="12.75" hidden="1" customHeight="1" thickBot="1" x14ac:dyDescent="0.3"/>
    <row r="824" spans="1:8" ht="12.75" hidden="1" customHeight="1" thickBot="1" x14ac:dyDescent="0.3"/>
    <row r="825" spans="1:8" ht="12.75" hidden="1" customHeight="1" thickBot="1" x14ac:dyDescent="0.3">
      <c r="A825" s="133"/>
      <c r="B825" s="2506" t="s">
        <v>5400</v>
      </c>
      <c r="C825" s="2506"/>
      <c r="D825" s="2506"/>
      <c r="E825" s="2506"/>
      <c r="F825" s="2506"/>
      <c r="G825" s="2506"/>
    </row>
    <row r="826" spans="1:8" ht="13.5" hidden="1" customHeight="1" thickBot="1" x14ac:dyDescent="0.3">
      <c r="A826" s="133"/>
      <c r="G826" s="134"/>
    </row>
    <row r="827" spans="1:8" ht="13.5" hidden="1" customHeight="1" x14ac:dyDescent="0.25">
      <c r="A827" s="133"/>
      <c r="G827" s="134"/>
    </row>
    <row r="828" spans="1:8" ht="12.75" hidden="1" customHeight="1" x14ac:dyDescent="0.25">
      <c r="A828" s="133"/>
      <c r="G828" s="134"/>
    </row>
    <row r="829" spans="1:8" s="140" customFormat="1" ht="12.75" hidden="1" customHeight="1" x14ac:dyDescent="0.25">
      <c r="A829" s="138" t="s">
        <v>3</v>
      </c>
      <c r="B829" s="138" t="s">
        <v>5453</v>
      </c>
      <c r="C829" s="2450" t="s">
        <v>6266</v>
      </c>
      <c r="D829" s="2450"/>
      <c r="E829" s="2450"/>
      <c r="F829" s="138" t="s">
        <v>867</v>
      </c>
      <c r="G829" s="139" t="s">
        <v>5402</v>
      </c>
      <c r="H829" s="134"/>
    </row>
    <row r="830" spans="1:8" s="140" customFormat="1" ht="12.75" hidden="1" customHeight="1" x14ac:dyDescent="0.25">
      <c r="A830" s="141"/>
      <c r="F830" s="141"/>
      <c r="G830" s="134"/>
      <c r="H830" s="134"/>
    </row>
    <row r="831" spans="1:8" s="140" customFormat="1" ht="12.75" hidden="1" customHeight="1" x14ac:dyDescent="0.25">
      <c r="A831" s="141"/>
      <c r="F831" s="141"/>
      <c r="G831" s="142"/>
      <c r="H831" s="134"/>
    </row>
    <row r="832" spans="1:8" s="140" customFormat="1" ht="12.75" hidden="1" customHeight="1" x14ac:dyDescent="0.25">
      <c r="A832" s="141"/>
      <c r="F832" s="141"/>
      <c r="G832" s="134"/>
      <c r="H832" s="134"/>
    </row>
    <row r="833" spans="1:8" s="140" customFormat="1" ht="13.5" hidden="1" customHeight="1" x14ac:dyDescent="0.25">
      <c r="A833" s="141"/>
      <c r="B833" s="143" t="s">
        <v>5403</v>
      </c>
      <c r="C833" s="144" t="s">
        <v>867</v>
      </c>
      <c r="D833" s="144" t="s">
        <v>6</v>
      </c>
      <c r="E833" s="144" t="s">
        <v>5404</v>
      </c>
      <c r="F833" s="144" t="s">
        <v>5405</v>
      </c>
      <c r="G833" s="145" t="s">
        <v>868</v>
      </c>
      <c r="H833" s="134"/>
    </row>
    <row r="834" spans="1:8" s="140" customFormat="1" ht="13.5" hidden="1" customHeight="1" x14ac:dyDescent="0.25">
      <c r="A834" s="141"/>
      <c r="B834" s="146" t="s">
        <v>5440</v>
      </c>
      <c r="C834" s="147" t="s">
        <v>5406</v>
      </c>
      <c r="D834" s="147"/>
      <c r="E834" s="148">
        <f>+H873</f>
        <v>1233.0250000000001</v>
      </c>
      <c r="F834" s="167">
        <v>0.1</v>
      </c>
      <c r="G834" s="360">
        <f>+E834*F834</f>
        <v>123.30250000000001</v>
      </c>
      <c r="H834" s="134"/>
    </row>
    <row r="835" spans="1:8" s="140" customFormat="1" ht="13.5" hidden="1" customHeight="1" x14ac:dyDescent="0.25">
      <c r="A835" s="141"/>
      <c r="B835" s="150"/>
      <c r="C835" s="151"/>
      <c r="D835" s="151"/>
      <c r="E835" s="366"/>
      <c r="F835" s="197"/>
      <c r="G835" s="360"/>
      <c r="H835" s="134"/>
    </row>
    <row r="836" spans="1:8" s="140" customFormat="1" ht="13.5" hidden="1" customHeight="1" x14ac:dyDescent="0.25">
      <c r="A836" s="141"/>
      <c r="B836" s="154"/>
      <c r="C836" s="151"/>
      <c r="D836" s="151"/>
      <c r="E836" s="366"/>
      <c r="F836" s="197"/>
      <c r="G836" s="360"/>
      <c r="H836" s="134"/>
    </row>
    <row r="837" spans="1:8" s="140" customFormat="1" ht="12.75" hidden="1" customHeight="1" x14ac:dyDescent="0.25">
      <c r="A837" s="141"/>
      <c r="B837" s="155"/>
      <c r="C837" s="151"/>
      <c r="D837" s="152"/>
      <c r="E837" s="152"/>
      <c r="F837" s="151"/>
      <c r="G837" s="156"/>
      <c r="H837" s="134"/>
    </row>
    <row r="838" spans="1:8" s="140" customFormat="1" ht="12.75" hidden="1" customHeight="1" thickBot="1" x14ac:dyDescent="0.3">
      <c r="A838" s="141"/>
      <c r="B838" s="155"/>
      <c r="C838" s="151"/>
      <c r="D838" s="152"/>
      <c r="E838" s="152"/>
      <c r="F838" s="151"/>
      <c r="G838" s="156"/>
      <c r="H838" s="134"/>
    </row>
    <row r="839" spans="1:8" s="140" customFormat="1" ht="12.75" hidden="1" customHeight="1" thickBot="1" x14ac:dyDescent="0.3">
      <c r="A839" s="141"/>
      <c r="B839" s="155"/>
      <c r="C839" s="151"/>
      <c r="D839" s="152"/>
      <c r="E839" s="152"/>
      <c r="F839" s="151"/>
      <c r="G839" s="156"/>
      <c r="H839" s="134"/>
    </row>
    <row r="840" spans="1:8" s="140" customFormat="1" ht="12.75" hidden="1" customHeight="1" x14ac:dyDescent="0.25">
      <c r="A840" s="141"/>
      <c r="B840" s="157"/>
      <c r="C840" s="158"/>
      <c r="D840" s="159"/>
      <c r="E840" s="159"/>
      <c r="F840" s="158"/>
      <c r="G840" s="160"/>
      <c r="H840" s="161">
        <f>+SUM(G834:G840)</f>
        <v>123.30250000000001</v>
      </c>
    </row>
    <row r="841" spans="1:8" s="140" customFormat="1" ht="12.75" hidden="1" customHeight="1" x14ac:dyDescent="0.25">
      <c r="A841" s="141"/>
      <c r="B841" s="162"/>
      <c r="C841" s="163"/>
      <c r="D841" s="162"/>
      <c r="E841" s="162"/>
      <c r="F841" s="163"/>
      <c r="G841" s="164"/>
      <c r="H841" s="165"/>
    </row>
    <row r="842" spans="1:8" s="140" customFormat="1" ht="12.75" hidden="1" customHeight="1" x14ac:dyDescent="0.25">
      <c r="B842" s="143" t="s">
        <v>5408</v>
      </c>
      <c r="C842" s="144" t="s">
        <v>867</v>
      </c>
      <c r="D842" s="144" t="s">
        <v>6</v>
      </c>
      <c r="E842" s="144" t="s">
        <v>870</v>
      </c>
      <c r="F842" s="144" t="s">
        <v>5409</v>
      </c>
      <c r="G842" s="145" t="s">
        <v>868</v>
      </c>
      <c r="H842" s="134"/>
    </row>
    <row r="843" spans="1:8" s="140" customFormat="1" ht="12.75" hidden="1" customHeight="1" x14ac:dyDescent="0.25">
      <c r="B843" s="201" t="s">
        <v>5652</v>
      </c>
      <c r="C843" s="147" t="s">
        <v>109</v>
      </c>
      <c r="D843" s="167">
        <v>0.66</v>
      </c>
      <c r="E843" s="148">
        <f>300000*1.16/250</f>
        <v>1392</v>
      </c>
      <c r="F843" s="169">
        <v>0.1</v>
      </c>
      <c r="G843" s="367">
        <f>+D843*E843*(1+F843)</f>
        <v>1010.5920000000001</v>
      </c>
      <c r="H843" s="134"/>
    </row>
    <row r="844" spans="1:8" s="140" customFormat="1" ht="12.75" hidden="1" customHeight="1" x14ac:dyDescent="0.25">
      <c r="B844" s="196" t="s">
        <v>5653</v>
      </c>
      <c r="C844" s="151" t="s">
        <v>37</v>
      </c>
      <c r="D844" s="197">
        <v>0.12</v>
      </c>
      <c r="E844" s="148">
        <f>+E624</f>
        <v>23896</v>
      </c>
      <c r="F844" s="169">
        <v>0.02</v>
      </c>
      <c r="G844" s="367">
        <f>+D844*E844*(1+F844)</f>
        <v>2924.8704000000002</v>
      </c>
      <c r="H844" s="134"/>
    </row>
    <row r="845" spans="1:8" s="140" customFormat="1" ht="12.75" hidden="1" customHeight="1" thickBot="1" x14ac:dyDescent="0.3">
      <c r="B845" s="196" t="s">
        <v>5654</v>
      </c>
      <c r="C845" s="151" t="s">
        <v>5656</v>
      </c>
      <c r="D845" s="197">
        <v>0.1</v>
      </c>
      <c r="E845" s="148">
        <v>4500</v>
      </c>
      <c r="F845" s="169">
        <v>0.1</v>
      </c>
      <c r="G845" s="367">
        <f>+D845*E845*(1+F845)</f>
        <v>495.00000000000006</v>
      </c>
      <c r="H845" s="134"/>
    </row>
    <row r="846" spans="1:8" s="140" customFormat="1" ht="12.75" hidden="1" customHeight="1" thickBot="1" x14ac:dyDescent="0.3">
      <c r="B846" s="155" t="s">
        <v>5655</v>
      </c>
      <c r="C846" s="151" t="s">
        <v>37</v>
      </c>
      <c r="D846" s="197">
        <v>1.6666666666666701E-2</v>
      </c>
      <c r="E846" s="148">
        <v>12500</v>
      </c>
      <c r="F846" s="296">
        <v>0.02</v>
      </c>
      <c r="G846" s="367">
        <f>+D846*E846*(1+F846)</f>
        <v>212.50000000000045</v>
      </c>
      <c r="H846" s="134"/>
    </row>
    <row r="847" spans="1:8" s="140" customFormat="1" ht="12.75" hidden="1" customHeight="1" thickBot="1" x14ac:dyDescent="0.3">
      <c r="B847" s="155"/>
      <c r="C847" s="151"/>
      <c r="D847" s="151"/>
      <c r="E847" s="148"/>
      <c r="F847" s="151"/>
      <c r="G847" s="367"/>
      <c r="H847" s="134"/>
    </row>
    <row r="848" spans="1:8" s="140" customFormat="1" ht="13.5" hidden="1" customHeight="1" thickBot="1" x14ac:dyDescent="0.3">
      <c r="B848" s="155"/>
      <c r="C848" s="151"/>
      <c r="D848" s="151"/>
      <c r="E848" s="148"/>
      <c r="F848" s="151"/>
      <c r="G848" s="367"/>
      <c r="H848" s="134"/>
    </row>
    <row r="849" spans="2:8" s="140" customFormat="1" ht="13.5" hidden="1" customHeight="1" x14ac:dyDescent="0.25">
      <c r="B849" s="155"/>
      <c r="C849" s="151"/>
      <c r="D849" s="151"/>
      <c r="E849" s="148"/>
      <c r="F849" s="151"/>
      <c r="G849" s="367"/>
      <c r="H849" s="134"/>
    </row>
    <row r="850" spans="2:8" s="140" customFormat="1" ht="13.5" hidden="1" customHeight="1" x14ac:dyDescent="0.25">
      <c r="B850" s="155"/>
      <c r="C850" s="151"/>
      <c r="D850" s="151"/>
      <c r="E850" s="148"/>
      <c r="F850" s="151"/>
      <c r="G850" s="367"/>
      <c r="H850" s="134"/>
    </row>
    <row r="851" spans="2:8" s="140" customFormat="1" ht="13.5" hidden="1" customHeight="1" x14ac:dyDescent="0.25">
      <c r="B851" s="155" t="s">
        <v>5657</v>
      </c>
      <c r="C851" s="151"/>
      <c r="D851" s="151"/>
      <c r="E851" s="148"/>
      <c r="F851" s="151"/>
      <c r="G851" s="367"/>
      <c r="H851" s="134"/>
    </row>
    <row r="852" spans="2:8" s="140" customFormat="1" ht="12.75" hidden="1" customHeight="1" x14ac:dyDescent="0.25">
      <c r="B852" s="155" t="s">
        <v>5658</v>
      </c>
      <c r="C852" s="151"/>
      <c r="D852" s="151"/>
      <c r="E852" s="148"/>
      <c r="F852" s="151"/>
      <c r="G852" s="367"/>
      <c r="H852" s="134"/>
    </row>
    <row r="853" spans="2:8" s="140" customFormat="1" ht="12.75" hidden="1" customHeight="1" x14ac:dyDescent="0.25">
      <c r="B853" s="155"/>
      <c r="C853" s="152"/>
      <c r="D853" s="152"/>
      <c r="E853" s="152"/>
      <c r="F853" s="151"/>
      <c r="G853" s="156"/>
      <c r="H853" s="134"/>
    </row>
    <row r="854" spans="2:8" s="140" customFormat="1" ht="12.75" hidden="1" customHeight="1" x14ac:dyDescent="0.25">
      <c r="B854" s="155"/>
      <c r="C854" s="152"/>
      <c r="D854" s="152"/>
      <c r="E854" s="152"/>
      <c r="F854" s="151"/>
      <c r="G854" s="156"/>
      <c r="H854" s="134"/>
    </row>
    <row r="855" spans="2:8" s="140" customFormat="1" ht="12.75" hidden="1" customHeight="1" x14ac:dyDescent="0.25">
      <c r="B855" s="157"/>
      <c r="C855" s="159"/>
      <c r="D855" s="159"/>
      <c r="E855" s="159"/>
      <c r="F855" s="158"/>
      <c r="G855" s="160"/>
      <c r="H855" s="161">
        <f>+SUM(G843:G855)</f>
        <v>4642.9624000000003</v>
      </c>
    </row>
    <row r="856" spans="2:8" s="140" customFormat="1" ht="12.75" hidden="1" customHeight="1" x14ac:dyDescent="0.25">
      <c r="B856" s="162"/>
      <c r="C856" s="162"/>
      <c r="D856" s="162"/>
      <c r="E856" s="162"/>
      <c r="F856" s="163"/>
      <c r="G856" s="164"/>
      <c r="H856" s="165"/>
    </row>
    <row r="857" spans="2:8" s="140" customFormat="1" ht="13.5" hidden="1" customHeight="1" x14ac:dyDescent="0.25">
      <c r="B857" s="143" t="s">
        <v>5410</v>
      </c>
      <c r="C857" s="144" t="s">
        <v>867</v>
      </c>
      <c r="D857" s="144" t="s">
        <v>6</v>
      </c>
      <c r="E857" s="144" t="s">
        <v>870</v>
      </c>
      <c r="F857" s="144" t="s">
        <v>5411</v>
      </c>
      <c r="G857" s="145" t="s">
        <v>868</v>
      </c>
      <c r="H857" s="134"/>
    </row>
    <row r="858" spans="2:8" s="140" customFormat="1" ht="13.5" hidden="1" customHeight="1" x14ac:dyDescent="0.25">
      <c r="B858" s="201"/>
      <c r="C858" s="147"/>
      <c r="D858" s="167"/>
      <c r="E858" s="148"/>
      <c r="F858" s="169"/>
      <c r="G858" s="367">
        <f>+D858*E858*(1+F858)</f>
        <v>0</v>
      </c>
      <c r="H858" s="134"/>
    </row>
    <row r="859" spans="2:8" s="140" customFormat="1" ht="13.5" hidden="1" customHeight="1" x14ac:dyDescent="0.25">
      <c r="B859" s="196"/>
      <c r="C859" s="151"/>
      <c r="D859" s="151"/>
      <c r="E859" s="148"/>
      <c r="F859" s="147"/>
      <c r="G859" s="367"/>
      <c r="H859" s="134"/>
    </row>
    <row r="860" spans="2:8" s="140" customFormat="1" ht="13.5" hidden="1" customHeight="1" thickBot="1" x14ac:dyDescent="0.3">
      <c r="B860" s="196"/>
      <c r="C860" s="151"/>
      <c r="D860" s="151"/>
      <c r="E860" s="148"/>
      <c r="F860" s="151"/>
      <c r="G860" s="367"/>
      <c r="H860" s="134"/>
    </row>
    <row r="861" spans="2:8" s="140" customFormat="1" ht="12.75" hidden="1" customHeight="1" thickBot="1" x14ac:dyDescent="0.3">
      <c r="B861" s="155"/>
      <c r="C861" s="151"/>
      <c r="D861" s="151"/>
      <c r="E861" s="148"/>
      <c r="F861" s="151"/>
      <c r="G861" s="367"/>
      <c r="H861" s="134"/>
    </row>
    <row r="862" spans="2:8" s="140" customFormat="1" ht="12.75" hidden="1" customHeight="1" thickBot="1" x14ac:dyDescent="0.3">
      <c r="B862" s="155"/>
      <c r="C862" s="151"/>
      <c r="D862" s="151"/>
      <c r="E862" s="148"/>
      <c r="F862" s="151"/>
      <c r="G862" s="367"/>
      <c r="H862" s="134"/>
    </row>
    <row r="863" spans="2:8" s="140" customFormat="1" ht="12.75" hidden="1" customHeight="1" thickBot="1" x14ac:dyDescent="0.3">
      <c r="B863" s="155"/>
      <c r="C863" s="151"/>
      <c r="D863" s="151"/>
      <c r="E863" s="148"/>
      <c r="F863" s="151"/>
      <c r="G863" s="367"/>
      <c r="H863" s="134"/>
    </row>
    <row r="864" spans="2:8" s="140" customFormat="1" ht="12.75" hidden="1" customHeight="1" x14ac:dyDescent="0.25">
      <c r="B864" s="157"/>
      <c r="C864" s="159"/>
      <c r="D864" s="159"/>
      <c r="E864" s="159"/>
      <c r="F864" s="158"/>
      <c r="G864" s="160"/>
      <c r="H864" s="161">
        <f>+SUM(G858:G864)</f>
        <v>0</v>
      </c>
    </row>
    <row r="865" spans="1:8" s="140" customFormat="1" ht="12.75" hidden="1" customHeight="1" x14ac:dyDescent="0.25">
      <c r="B865" s="162"/>
      <c r="C865" s="162"/>
      <c r="D865" s="162"/>
      <c r="E865" s="162"/>
      <c r="F865" s="173"/>
      <c r="G865" s="174"/>
      <c r="H865" s="165"/>
    </row>
    <row r="866" spans="1:8" s="140" customFormat="1" ht="13.5" hidden="1" customHeight="1" x14ac:dyDescent="0.25">
      <c r="B866" s="143" t="s">
        <v>5412</v>
      </c>
      <c r="C866" s="144" t="s">
        <v>5420</v>
      </c>
      <c r="D866" s="144" t="s">
        <v>5421</v>
      </c>
      <c r="E866" s="144" t="s">
        <v>5413</v>
      </c>
      <c r="F866" s="144" t="s">
        <v>5405</v>
      </c>
      <c r="G866" s="145" t="s">
        <v>868</v>
      </c>
      <c r="H866" s="134"/>
    </row>
    <row r="867" spans="1:8" s="140" customFormat="1" ht="13.5" hidden="1" customHeight="1" x14ac:dyDescent="0.25">
      <c r="B867" s="194" t="s">
        <v>5650</v>
      </c>
      <c r="C867" s="345">
        <v>70000</v>
      </c>
      <c r="D867" s="345">
        <f>+C867*0.85</f>
        <v>59500</v>
      </c>
      <c r="E867" s="353">
        <f>+C867+D867</f>
        <v>129500</v>
      </c>
      <c r="F867" s="202">
        <v>1000</v>
      </c>
      <c r="G867" s="351">
        <f>+E867/F867</f>
        <v>129.5</v>
      </c>
      <c r="H867" s="134"/>
    </row>
    <row r="868" spans="1:8" s="140" customFormat="1" ht="13.5" hidden="1" customHeight="1" x14ac:dyDescent="0.25">
      <c r="B868" s="194" t="s">
        <v>5651</v>
      </c>
      <c r="C868" s="345">
        <v>40000</v>
      </c>
      <c r="D868" s="345">
        <f>+C868*0.85</f>
        <v>34000</v>
      </c>
      <c r="E868" s="353">
        <f>+C868+D868</f>
        <v>74000</v>
      </c>
      <c r="F868" s="204">
        <v>100</v>
      </c>
      <c r="G868" s="351">
        <f>+E868/F868</f>
        <v>740</v>
      </c>
      <c r="H868" s="134"/>
    </row>
    <row r="869" spans="1:8" s="140" customFormat="1" ht="13.5" hidden="1" customHeight="1" thickBot="1" x14ac:dyDescent="0.3">
      <c r="B869" s="195" t="s">
        <v>5635</v>
      </c>
      <c r="C869" s="345">
        <v>19650</v>
      </c>
      <c r="D869" s="345">
        <f>+C869*0.85</f>
        <v>16702.5</v>
      </c>
      <c r="E869" s="353">
        <f>+C869+D869</f>
        <v>36352.5</v>
      </c>
      <c r="F869" s="205">
        <v>100</v>
      </c>
      <c r="G869" s="351">
        <f>+E869/F869</f>
        <v>363.52499999999998</v>
      </c>
      <c r="H869" s="134"/>
    </row>
    <row r="870" spans="1:8" s="140" customFormat="1" ht="12.75" hidden="1" customHeight="1" thickBot="1" x14ac:dyDescent="0.3">
      <c r="B870" s="155"/>
      <c r="C870" s="345"/>
      <c r="D870" s="345"/>
      <c r="E870" s="353"/>
      <c r="F870" s="205"/>
      <c r="G870" s="351"/>
      <c r="H870" s="134"/>
    </row>
    <row r="871" spans="1:8" s="140" customFormat="1" ht="12.75" hidden="1" customHeight="1" thickBot="1" x14ac:dyDescent="0.3">
      <c r="B871" s="155"/>
      <c r="C871" s="152"/>
      <c r="D871" s="152"/>
      <c r="E871" s="152"/>
      <c r="F871" s="151"/>
      <c r="G871" s="156"/>
      <c r="H871" s="134"/>
    </row>
    <row r="872" spans="1:8" s="140" customFormat="1" ht="12.75" hidden="1" customHeight="1" thickBot="1" x14ac:dyDescent="0.3">
      <c r="B872" s="155"/>
      <c r="C872" s="152"/>
      <c r="D872" s="152"/>
      <c r="E872" s="152"/>
      <c r="F872" s="151"/>
      <c r="G872" s="156"/>
      <c r="H872" s="134"/>
    </row>
    <row r="873" spans="1:8" s="140" customFormat="1" ht="12.75" hidden="1" customHeight="1" x14ac:dyDescent="0.25">
      <c r="B873" s="179"/>
      <c r="C873" s="180"/>
      <c r="D873" s="180"/>
      <c r="E873" s="180"/>
      <c r="F873" s="181"/>
      <c r="G873" s="182"/>
      <c r="H873" s="161">
        <f>+SUM(G867:G873)</f>
        <v>1233.0250000000001</v>
      </c>
    </row>
    <row r="874" spans="1:8" s="140" customFormat="1" ht="13.5" hidden="1" customHeight="1" thickBot="1" x14ac:dyDescent="0.3">
      <c r="F874" s="141"/>
      <c r="G874" s="134"/>
      <c r="H874" s="134"/>
    </row>
    <row r="875" spans="1:8" s="140" customFormat="1" ht="12.75" hidden="1" customHeight="1" x14ac:dyDescent="0.25">
      <c r="E875" s="183" t="s">
        <v>5415</v>
      </c>
      <c r="F875" s="141"/>
      <c r="G875" s="134"/>
      <c r="H875" s="161">
        <f>ROUND(+H840+H855+H864+H873,0)</f>
        <v>5999</v>
      </c>
    </row>
    <row r="876" spans="1:8" ht="13.5" hidden="1" customHeight="1" thickBot="1" x14ac:dyDescent="0.3"/>
    <row r="877" spans="1:8" ht="12.75" hidden="1" customHeight="1" x14ac:dyDescent="0.25">
      <c r="H877" s="341"/>
    </row>
    <row r="878" spans="1:8" ht="12.75" hidden="1" customHeight="1" thickBot="1" x14ac:dyDescent="0.3"/>
    <row r="880" spans="1:8" ht="18.75" x14ac:dyDescent="0.25">
      <c r="A880" s="133"/>
      <c r="B880" s="2506" t="s">
        <v>5400</v>
      </c>
      <c r="C880" s="2506"/>
      <c r="D880" s="2506"/>
      <c r="E880" s="2506"/>
      <c r="F880" s="2506"/>
      <c r="G880" s="2506"/>
    </row>
    <row r="881" spans="1:8" x14ac:dyDescent="0.25">
      <c r="A881" s="133"/>
      <c r="G881" s="134"/>
    </row>
    <row r="882" spans="1:8" x14ac:dyDescent="0.25">
      <c r="A882" s="133"/>
      <c r="G882" s="134"/>
    </row>
    <row r="883" spans="1:8" x14ac:dyDescent="0.25">
      <c r="A883" s="133"/>
      <c r="G883" s="134"/>
    </row>
    <row r="884" spans="1:8" x14ac:dyDescent="0.25">
      <c r="A884" s="138" t="s">
        <v>3</v>
      </c>
      <c r="B884" s="138" t="s">
        <v>5453</v>
      </c>
      <c r="C884" s="2450" t="s">
        <v>6267</v>
      </c>
      <c r="D884" s="2450"/>
      <c r="E884" s="2450"/>
      <c r="F884" s="138" t="s">
        <v>867</v>
      </c>
      <c r="G884" s="139" t="s">
        <v>5402</v>
      </c>
      <c r="H884" s="134"/>
    </row>
    <row r="885" spans="1:8" ht="24.95" customHeight="1" x14ac:dyDescent="0.25">
      <c r="A885" s="141"/>
      <c r="B885" s="140"/>
      <c r="C885" s="140"/>
      <c r="D885" s="140"/>
      <c r="E885" s="140"/>
      <c r="F885" s="141"/>
      <c r="G885" s="134"/>
      <c r="H885" s="134"/>
    </row>
    <row r="886" spans="1:8" ht="12.75" customHeight="1" x14ac:dyDescent="0.25">
      <c r="A886" s="141"/>
      <c r="B886" s="140"/>
      <c r="C886" s="140"/>
      <c r="D886" s="140"/>
      <c r="E886" s="140"/>
      <c r="F886" s="141"/>
      <c r="G886" s="142"/>
      <c r="H886" s="134"/>
    </row>
    <row r="887" spans="1:8" ht="13.5" thickBot="1" x14ac:dyDescent="0.3">
      <c r="A887" s="141"/>
      <c r="B887" s="140"/>
      <c r="C887" s="140"/>
      <c r="D887" s="140"/>
      <c r="E887" s="140"/>
      <c r="F887" s="141"/>
      <c r="G887" s="134"/>
      <c r="H887" s="134"/>
    </row>
    <row r="888" spans="1:8" ht="13.5" thickBot="1" x14ac:dyDescent="0.3">
      <c r="A888" s="141"/>
      <c r="B888" s="143" t="s">
        <v>5403</v>
      </c>
      <c r="C888" s="144" t="s">
        <v>867</v>
      </c>
      <c r="D888" s="144" t="s">
        <v>6</v>
      </c>
      <c r="E888" s="144" t="s">
        <v>5404</v>
      </c>
      <c r="F888" s="144" t="s">
        <v>5405</v>
      </c>
      <c r="G888" s="145" t="s">
        <v>868</v>
      </c>
      <c r="H888" s="134"/>
    </row>
    <row r="889" spans="1:8" x14ac:dyDescent="0.25">
      <c r="A889" s="141"/>
      <c r="B889" s="146" t="s">
        <v>5440</v>
      </c>
      <c r="C889" s="147" t="s">
        <v>5406</v>
      </c>
      <c r="D889" s="147"/>
      <c r="E889" s="148">
        <f>+H928</f>
        <v>4168.6666666666661</v>
      </c>
      <c r="F889" s="167">
        <v>0.1</v>
      </c>
      <c r="G889" s="360">
        <f>+E889*F889</f>
        <v>416.86666666666662</v>
      </c>
      <c r="H889" s="134"/>
    </row>
    <row r="890" spans="1:8" x14ac:dyDescent="0.25">
      <c r="A890" s="141"/>
      <c r="B890" s="150"/>
      <c r="C890" s="151"/>
      <c r="D890" s="151"/>
      <c r="E890" s="366"/>
      <c r="F890" s="197"/>
      <c r="G890" s="360"/>
      <c r="H890" s="134"/>
    </row>
    <row r="891" spans="1:8" x14ac:dyDescent="0.25">
      <c r="A891" s="141"/>
      <c r="B891" s="154"/>
      <c r="C891" s="151"/>
      <c r="D891" s="151"/>
      <c r="E891" s="366"/>
      <c r="F891" s="197"/>
      <c r="G891" s="360"/>
      <c r="H891" s="134"/>
    </row>
    <row r="892" spans="1:8" x14ac:dyDescent="0.25">
      <c r="A892" s="141"/>
      <c r="B892" s="155"/>
      <c r="C892" s="151"/>
      <c r="D892" s="152"/>
      <c r="E892" s="152"/>
      <c r="F892" s="151"/>
      <c r="G892" s="156"/>
      <c r="H892" s="134"/>
    </row>
    <row r="893" spans="1:8" x14ac:dyDescent="0.25">
      <c r="A893" s="141"/>
      <c r="B893" s="155"/>
      <c r="C893" s="151"/>
      <c r="D893" s="152"/>
      <c r="E893" s="152"/>
      <c r="F893" s="151"/>
      <c r="G893" s="156"/>
      <c r="H893" s="134"/>
    </row>
    <row r="894" spans="1:8" ht="13.5" thickBot="1" x14ac:dyDescent="0.3">
      <c r="A894" s="141"/>
      <c r="B894" s="155"/>
      <c r="C894" s="151"/>
      <c r="D894" s="152"/>
      <c r="E894" s="152"/>
      <c r="F894" s="151"/>
      <c r="G894" s="156"/>
      <c r="H894" s="134"/>
    </row>
    <row r="895" spans="1:8" ht="13.5" thickBot="1" x14ac:dyDescent="0.3">
      <c r="A895" s="141"/>
      <c r="B895" s="157"/>
      <c r="C895" s="158"/>
      <c r="D895" s="159"/>
      <c r="E895" s="159"/>
      <c r="F895" s="158"/>
      <c r="G895" s="160"/>
      <c r="H895" s="161">
        <f>+SUM(G889:G895)</f>
        <v>416.86666666666662</v>
      </c>
    </row>
    <row r="896" spans="1:8" ht="13.5" thickBot="1" x14ac:dyDescent="0.3">
      <c r="A896" s="141"/>
      <c r="B896" s="162"/>
      <c r="C896" s="163"/>
      <c r="D896" s="162"/>
      <c r="E896" s="162"/>
      <c r="F896" s="163"/>
      <c r="G896" s="164"/>
      <c r="H896" s="165"/>
    </row>
    <row r="897" spans="1:8" ht="13.5" thickBot="1" x14ac:dyDescent="0.3">
      <c r="A897" s="140"/>
      <c r="B897" s="143" t="s">
        <v>5408</v>
      </c>
      <c r="C897" s="144" t="s">
        <v>867</v>
      </c>
      <c r="D897" s="144" t="s">
        <v>6</v>
      </c>
      <c r="E897" s="144" t="s">
        <v>870</v>
      </c>
      <c r="F897" s="144" t="s">
        <v>5409</v>
      </c>
      <c r="G897" s="145" t="s">
        <v>868</v>
      </c>
      <c r="H897" s="134"/>
    </row>
    <row r="898" spans="1:8" x14ac:dyDescent="0.25">
      <c r="A898" s="140"/>
      <c r="B898" s="201" t="s">
        <v>5652</v>
      </c>
      <c r="C898" s="147" t="s">
        <v>109</v>
      </c>
      <c r="D898" s="167">
        <v>0.67</v>
      </c>
      <c r="E898" s="148">
        <f>135000*1.16/100</f>
        <v>1566</v>
      </c>
      <c r="F898" s="169">
        <v>0.1</v>
      </c>
      <c r="G898" s="367">
        <f>+D898*E898*(1+F898)</f>
        <v>1154.1420000000001</v>
      </c>
      <c r="H898" s="134"/>
    </row>
    <row r="899" spans="1:8" x14ac:dyDescent="0.25">
      <c r="A899" s="140"/>
      <c r="B899" s="196" t="s">
        <v>5654</v>
      </c>
      <c r="C899" s="151" t="s">
        <v>5656</v>
      </c>
      <c r="D899" s="197">
        <v>0.2</v>
      </c>
      <c r="E899" s="148">
        <v>4500</v>
      </c>
      <c r="F899" s="169">
        <v>0.1</v>
      </c>
      <c r="G899" s="367">
        <f>+D899*E899*(1+F899)</f>
        <v>990.00000000000011</v>
      </c>
      <c r="H899" s="134"/>
    </row>
    <row r="900" spans="1:8" x14ac:dyDescent="0.25">
      <c r="A900" s="140"/>
      <c r="B900" s="155" t="s">
        <v>5655</v>
      </c>
      <c r="C900" s="151" t="s">
        <v>37</v>
      </c>
      <c r="D900" s="197">
        <v>0.08</v>
      </c>
      <c r="E900" s="148">
        <v>12500</v>
      </c>
      <c r="F900" s="296">
        <v>0.02</v>
      </c>
      <c r="G900" s="367">
        <f>+D900*E900*(1+F900)</f>
        <v>1020</v>
      </c>
      <c r="H900" s="134"/>
    </row>
    <row r="901" spans="1:8" x14ac:dyDescent="0.25">
      <c r="A901" s="140"/>
      <c r="B901" s="155" t="s">
        <v>6268</v>
      </c>
      <c r="C901" s="151" t="s">
        <v>37</v>
      </c>
      <c r="D901" s="197">
        <v>0.08</v>
      </c>
      <c r="E901" s="148">
        <v>2500</v>
      </c>
      <c r="F901" s="296">
        <v>0.02</v>
      </c>
      <c r="G901" s="367">
        <f>+D901*E901*(1+F901)</f>
        <v>204</v>
      </c>
      <c r="H901" s="134"/>
    </row>
    <row r="902" spans="1:8" x14ac:dyDescent="0.25">
      <c r="A902" s="140"/>
      <c r="B902" s="155"/>
      <c r="C902" s="151"/>
      <c r="D902" s="151"/>
      <c r="E902" s="148"/>
      <c r="F902" s="151"/>
      <c r="G902" s="367"/>
      <c r="H902" s="134"/>
    </row>
    <row r="903" spans="1:8" x14ac:dyDescent="0.25">
      <c r="A903" s="140"/>
      <c r="B903" s="155"/>
      <c r="C903" s="151"/>
      <c r="D903" s="151"/>
      <c r="E903" s="148"/>
      <c r="F903" s="151"/>
      <c r="G903" s="367"/>
      <c r="H903" s="134"/>
    </row>
    <row r="904" spans="1:8" x14ac:dyDescent="0.25">
      <c r="A904" s="140"/>
      <c r="B904" s="155"/>
      <c r="C904" s="151"/>
      <c r="D904" s="151"/>
      <c r="E904" s="148"/>
      <c r="F904" s="151"/>
      <c r="G904" s="367"/>
      <c r="H904" s="134"/>
    </row>
    <row r="905" spans="1:8" x14ac:dyDescent="0.25">
      <c r="A905" s="140"/>
      <c r="B905" s="155"/>
      <c r="C905" s="151"/>
      <c r="D905" s="151"/>
      <c r="E905" s="148"/>
      <c r="F905" s="151"/>
      <c r="G905" s="367"/>
      <c r="H905" s="134"/>
    </row>
    <row r="906" spans="1:8" x14ac:dyDescent="0.25">
      <c r="A906" s="140"/>
      <c r="B906" s="155" t="s">
        <v>5657</v>
      </c>
      <c r="C906" s="151"/>
      <c r="D906" s="151"/>
      <c r="E906" s="148"/>
      <c r="F906" s="151"/>
      <c r="G906" s="367"/>
      <c r="H906" s="134"/>
    </row>
    <row r="907" spans="1:8" x14ac:dyDescent="0.25">
      <c r="A907" s="140"/>
      <c r="B907" s="155" t="s">
        <v>5658</v>
      </c>
      <c r="C907" s="151"/>
      <c r="D907" s="151"/>
      <c r="E907" s="148"/>
      <c r="F907" s="151"/>
      <c r="G907" s="367"/>
      <c r="H907" s="134"/>
    </row>
    <row r="908" spans="1:8" x14ac:dyDescent="0.25">
      <c r="A908" s="140"/>
      <c r="B908" s="155"/>
      <c r="C908" s="152"/>
      <c r="D908" s="152"/>
      <c r="E908" s="152"/>
      <c r="F908" s="151"/>
      <c r="G908" s="156"/>
      <c r="H908" s="134"/>
    </row>
    <row r="909" spans="1:8" ht="13.5" thickBot="1" x14ac:dyDescent="0.3">
      <c r="A909" s="140"/>
      <c r="B909" s="155"/>
      <c r="C909" s="152"/>
      <c r="D909" s="152"/>
      <c r="E909" s="152"/>
      <c r="F909" s="151"/>
      <c r="G909" s="156"/>
      <c r="H909" s="134"/>
    </row>
    <row r="910" spans="1:8" ht="13.5" thickBot="1" x14ac:dyDescent="0.3">
      <c r="A910" s="140"/>
      <c r="B910" s="157"/>
      <c r="C910" s="159"/>
      <c r="D910" s="159"/>
      <c r="E910" s="159"/>
      <c r="F910" s="158"/>
      <c r="G910" s="160"/>
      <c r="H910" s="161">
        <f>+SUM(G898:G910)</f>
        <v>3368.1420000000003</v>
      </c>
    </row>
    <row r="911" spans="1:8" ht="13.5" thickBot="1" x14ac:dyDescent="0.3">
      <c r="A911" s="140"/>
      <c r="B911" s="162"/>
      <c r="C911" s="162"/>
      <c r="D911" s="162"/>
      <c r="E911" s="162"/>
      <c r="F911" s="163"/>
      <c r="G911" s="164"/>
      <c r="H911" s="165"/>
    </row>
    <row r="912" spans="1:8" ht="13.5" thickBot="1" x14ac:dyDescent="0.3">
      <c r="A912" s="140"/>
      <c r="B912" s="143" t="s">
        <v>5410</v>
      </c>
      <c r="C912" s="144" t="s">
        <v>867</v>
      </c>
      <c r="D912" s="144" t="s">
        <v>6</v>
      </c>
      <c r="E912" s="144" t="s">
        <v>870</v>
      </c>
      <c r="F912" s="144" t="s">
        <v>5411</v>
      </c>
      <c r="G912" s="145" t="s">
        <v>868</v>
      </c>
      <c r="H912" s="134"/>
    </row>
    <row r="913" spans="1:8" x14ac:dyDescent="0.25">
      <c r="A913" s="140"/>
      <c r="B913" s="201"/>
      <c r="C913" s="147"/>
      <c r="D913" s="167"/>
      <c r="E913" s="148"/>
      <c r="F913" s="169"/>
      <c r="G913" s="367">
        <f>+D913*E913*(1+F913)</f>
        <v>0</v>
      </c>
      <c r="H913" s="134"/>
    </row>
    <row r="914" spans="1:8" x14ac:dyDescent="0.25">
      <c r="A914" s="140"/>
      <c r="B914" s="196"/>
      <c r="C914" s="151"/>
      <c r="D914" s="151"/>
      <c r="E914" s="148"/>
      <c r="F914" s="147"/>
      <c r="G914" s="367"/>
      <c r="H914" s="134"/>
    </row>
    <row r="915" spans="1:8" x14ac:dyDescent="0.25">
      <c r="A915" s="140"/>
      <c r="B915" s="196"/>
      <c r="C915" s="151"/>
      <c r="D915" s="151"/>
      <c r="E915" s="148"/>
      <c r="F915" s="151"/>
      <c r="G915" s="367"/>
      <c r="H915" s="134"/>
    </row>
    <row r="916" spans="1:8" x14ac:dyDescent="0.25">
      <c r="A916" s="140"/>
      <c r="B916" s="155"/>
      <c r="C916" s="151"/>
      <c r="D916" s="151"/>
      <c r="E916" s="148"/>
      <c r="F916" s="151"/>
      <c r="G916" s="367"/>
      <c r="H916" s="134"/>
    </row>
    <row r="917" spans="1:8" x14ac:dyDescent="0.25">
      <c r="A917" s="140"/>
      <c r="B917" s="155"/>
      <c r="C917" s="151"/>
      <c r="D917" s="151"/>
      <c r="E917" s="148"/>
      <c r="F917" s="151"/>
      <c r="G917" s="367"/>
      <c r="H917" s="134"/>
    </row>
    <row r="918" spans="1:8" ht="13.5" thickBot="1" x14ac:dyDescent="0.3">
      <c r="A918" s="140"/>
      <c r="B918" s="155"/>
      <c r="C918" s="151"/>
      <c r="D918" s="151"/>
      <c r="E918" s="148"/>
      <c r="F918" s="151"/>
      <c r="G918" s="367"/>
      <c r="H918" s="134"/>
    </row>
    <row r="919" spans="1:8" ht="13.5" thickBot="1" x14ac:dyDescent="0.3">
      <c r="A919" s="140"/>
      <c r="B919" s="157"/>
      <c r="C919" s="159"/>
      <c r="D919" s="159"/>
      <c r="E919" s="159"/>
      <c r="F919" s="158"/>
      <c r="G919" s="160"/>
      <c r="H919" s="161">
        <f>+SUM(G913:G919)</f>
        <v>0</v>
      </c>
    </row>
    <row r="920" spans="1:8" ht="13.5" thickBot="1" x14ac:dyDescent="0.3">
      <c r="A920" s="140"/>
      <c r="B920" s="162"/>
      <c r="C920" s="162"/>
      <c r="D920" s="162"/>
      <c r="E920" s="162"/>
      <c r="F920" s="173"/>
      <c r="G920" s="174"/>
      <c r="H920" s="165"/>
    </row>
    <row r="921" spans="1:8" ht="13.5" thickBot="1" x14ac:dyDescent="0.3">
      <c r="A921" s="140"/>
      <c r="B921" s="143" t="s">
        <v>5412</v>
      </c>
      <c r="C921" s="144" t="s">
        <v>5420</v>
      </c>
      <c r="D921" s="144" t="s">
        <v>5421</v>
      </c>
      <c r="E921" s="144" t="s">
        <v>5413</v>
      </c>
      <c r="F921" s="144" t="s">
        <v>5405</v>
      </c>
      <c r="G921" s="145" t="s">
        <v>868</v>
      </c>
      <c r="H921" s="134"/>
    </row>
    <row r="922" spans="1:8" x14ac:dyDescent="0.25">
      <c r="A922" s="140"/>
      <c r="B922" s="194" t="s">
        <v>5650</v>
      </c>
      <c r="C922" s="345">
        <v>70000</v>
      </c>
      <c r="D922" s="345">
        <f>+C922*0.85</f>
        <v>59500</v>
      </c>
      <c r="E922" s="353">
        <f>+C922+D922</f>
        <v>129500</v>
      </c>
      <c r="F922" s="202">
        <v>300</v>
      </c>
      <c r="G922" s="351">
        <f>+E922/F922</f>
        <v>431.66666666666669</v>
      </c>
      <c r="H922" s="134"/>
    </row>
    <row r="923" spans="1:8" x14ac:dyDescent="0.25">
      <c r="A923" s="140"/>
      <c r="B923" s="194" t="s">
        <v>5651</v>
      </c>
      <c r="C923" s="345">
        <v>40000</v>
      </c>
      <c r="D923" s="345">
        <f>+C923*0.85</f>
        <v>34000</v>
      </c>
      <c r="E923" s="353">
        <f>+C923+D923</f>
        <v>74000</v>
      </c>
      <c r="F923" s="204">
        <v>30</v>
      </c>
      <c r="G923" s="351">
        <f>+E923/F923</f>
        <v>2466.6666666666665</v>
      </c>
      <c r="H923" s="134"/>
    </row>
    <row r="924" spans="1:8" x14ac:dyDescent="0.25">
      <c r="A924" s="140"/>
      <c r="B924" s="195" t="s">
        <v>5635</v>
      </c>
      <c r="C924" s="345">
        <v>20600</v>
      </c>
      <c r="D924" s="345">
        <f>+C924*0.85</f>
        <v>17510</v>
      </c>
      <c r="E924" s="353">
        <f>+C924+D924</f>
        <v>38110</v>
      </c>
      <c r="F924" s="205">
        <v>30</v>
      </c>
      <c r="G924" s="351">
        <f>+E924/F924</f>
        <v>1270.3333333333333</v>
      </c>
      <c r="H924" s="134"/>
    </row>
    <row r="925" spans="1:8" x14ac:dyDescent="0.25">
      <c r="A925" s="140"/>
      <c r="B925" s="155"/>
      <c r="C925" s="345"/>
      <c r="D925" s="345"/>
      <c r="E925" s="353"/>
      <c r="F925" s="205"/>
      <c r="G925" s="351"/>
      <c r="H925" s="134"/>
    </row>
    <row r="926" spans="1:8" x14ac:dyDescent="0.25">
      <c r="A926" s="140"/>
      <c r="B926" s="155"/>
      <c r="C926" s="152"/>
      <c r="D926" s="152"/>
      <c r="E926" s="152"/>
      <c r="F926" s="151"/>
      <c r="G926" s="156"/>
      <c r="H926" s="134"/>
    </row>
    <row r="927" spans="1:8" ht="13.5" thickBot="1" x14ac:dyDescent="0.3">
      <c r="A927" s="140"/>
      <c r="B927" s="155"/>
      <c r="C927" s="152"/>
      <c r="D927" s="152"/>
      <c r="E927" s="152"/>
      <c r="F927" s="151"/>
      <c r="G927" s="156"/>
      <c r="H927" s="134"/>
    </row>
    <row r="928" spans="1:8" ht="13.5" thickBot="1" x14ac:dyDescent="0.3">
      <c r="A928" s="140"/>
      <c r="B928" s="179"/>
      <c r="C928" s="180"/>
      <c r="D928" s="180"/>
      <c r="E928" s="180"/>
      <c r="F928" s="181"/>
      <c r="G928" s="182"/>
      <c r="H928" s="161">
        <f>+SUM(G922:G928)</f>
        <v>4168.6666666666661</v>
      </c>
    </row>
    <row r="929" spans="1:8" ht="13.5" thickBot="1" x14ac:dyDescent="0.3">
      <c r="A929" s="140"/>
      <c r="B929" s="140"/>
      <c r="C929" s="140"/>
      <c r="D929" s="140"/>
      <c r="E929" s="140"/>
      <c r="F929" s="141"/>
      <c r="G929" s="134"/>
      <c r="H929" s="134"/>
    </row>
    <row r="930" spans="1:8" ht="13.5" thickBot="1" x14ac:dyDescent="0.3">
      <c r="A930" s="140"/>
      <c r="B930" s="140"/>
      <c r="C930" s="140"/>
      <c r="D930" s="140"/>
      <c r="E930" s="183" t="s">
        <v>5415</v>
      </c>
      <c r="F930" s="141"/>
      <c r="G930" s="134"/>
      <c r="H930" s="161">
        <f>ROUND(+H895+H910+H919+H928,0)</f>
        <v>7954</v>
      </c>
    </row>
    <row r="931" spans="1:8" x14ac:dyDescent="0.25">
      <c r="A931" s="140"/>
      <c r="B931" s="140"/>
      <c r="C931" s="140"/>
      <c r="D931" s="140"/>
      <c r="E931" s="183"/>
      <c r="F931" s="141"/>
      <c r="G931" s="134"/>
      <c r="H931" s="165"/>
    </row>
    <row r="932" spans="1:8" x14ac:dyDescent="0.25">
      <c r="A932" s="140"/>
      <c r="B932" s="140"/>
      <c r="C932" s="140"/>
      <c r="D932" s="140"/>
      <c r="E932" s="183"/>
      <c r="F932" s="141"/>
      <c r="G932" s="134"/>
      <c r="H932" s="165"/>
    </row>
    <row r="933" spans="1:8" ht="12.75" customHeight="1" x14ac:dyDescent="0.25">
      <c r="A933" s="140"/>
      <c r="B933" s="140"/>
      <c r="C933" s="140"/>
      <c r="D933" s="140"/>
      <c r="E933" s="183"/>
      <c r="F933" s="141"/>
      <c r="G933" s="134"/>
      <c r="H933" s="165"/>
    </row>
    <row r="934" spans="1:8" x14ac:dyDescent="0.25">
      <c r="A934" s="140"/>
      <c r="B934" s="140"/>
      <c r="C934" s="140"/>
      <c r="D934" s="140"/>
      <c r="E934" s="183"/>
      <c r="F934" s="141"/>
      <c r="G934" s="134"/>
      <c r="H934" s="165"/>
    </row>
    <row r="935" spans="1:8" ht="18.75" x14ac:dyDescent="0.25">
      <c r="A935" s="133"/>
      <c r="B935" s="2506" t="s">
        <v>5400</v>
      </c>
      <c r="C935" s="2506"/>
      <c r="D935" s="2506"/>
      <c r="E935" s="2506"/>
      <c r="F935" s="2506"/>
      <c r="G935" s="2506"/>
    </row>
    <row r="936" spans="1:8" x14ac:dyDescent="0.25">
      <c r="A936" s="133"/>
      <c r="G936" s="134"/>
    </row>
    <row r="937" spans="1:8" x14ac:dyDescent="0.25">
      <c r="A937" s="133"/>
      <c r="G937" s="134"/>
    </row>
    <row r="938" spans="1:8" x14ac:dyDescent="0.25">
      <c r="A938" s="133"/>
      <c r="G938" s="134"/>
    </row>
    <row r="939" spans="1:8" s="140" customFormat="1" x14ac:dyDescent="0.25">
      <c r="A939" s="138" t="s">
        <v>3</v>
      </c>
      <c r="B939" s="138" t="s">
        <v>5453</v>
      </c>
      <c r="C939" s="2450" t="s">
        <v>5659</v>
      </c>
      <c r="D939" s="2450"/>
      <c r="E939" s="2450"/>
      <c r="F939" s="138" t="s">
        <v>867</v>
      </c>
      <c r="G939" s="139" t="s">
        <v>5402</v>
      </c>
      <c r="H939" s="134"/>
    </row>
    <row r="940" spans="1:8" s="140" customFormat="1" ht="24.95" customHeight="1" x14ac:dyDescent="0.25">
      <c r="A940" s="141"/>
      <c r="F940" s="141"/>
      <c r="G940" s="134"/>
      <c r="H940" s="134"/>
    </row>
    <row r="941" spans="1:8" s="140" customFormat="1" ht="12.75" customHeight="1" x14ac:dyDescent="0.25">
      <c r="A941" s="141"/>
      <c r="F941" s="141"/>
      <c r="G941" s="142"/>
      <c r="H941" s="134"/>
    </row>
    <row r="942" spans="1:8" s="140" customFormat="1" ht="13.5" thickBot="1" x14ac:dyDescent="0.3">
      <c r="A942" s="141"/>
      <c r="F942" s="141"/>
      <c r="G942" s="134"/>
      <c r="H942" s="134"/>
    </row>
    <row r="943" spans="1:8" s="140" customFormat="1" ht="13.5" thickBot="1" x14ac:dyDescent="0.3">
      <c r="A943" s="141"/>
      <c r="B943" s="143" t="s">
        <v>5403</v>
      </c>
      <c r="C943" s="144" t="s">
        <v>867</v>
      </c>
      <c r="D943" s="144" t="s">
        <v>6</v>
      </c>
      <c r="E943" s="144" t="s">
        <v>5404</v>
      </c>
      <c r="F943" s="144" t="s">
        <v>5405</v>
      </c>
      <c r="G943" s="145" t="s">
        <v>868</v>
      </c>
      <c r="H943" s="134"/>
    </row>
    <row r="944" spans="1:8" s="140" customFormat="1" x14ac:dyDescent="0.25">
      <c r="A944" s="141"/>
      <c r="B944" s="146" t="s">
        <v>5440</v>
      </c>
      <c r="C944" s="147" t="s">
        <v>5406</v>
      </c>
      <c r="D944" s="147"/>
      <c r="E944" s="148">
        <f>+H983</f>
        <v>28798.333333333336</v>
      </c>
      <c r="F944" s="167">
        <v>0.1</v>
      </c>
      <c r="G944" s="360">
        <f>+E944*F944</f>
        <v>2879.8333333333339</v>
      </c>
      <c r="H944" s="134"/>
    </row>
    <row r="945" spans="1:8" s="140" customFormat="1" x14ac:dyDescent="0.25">
      <c r="A945" s="141"/>
      <c r="B945" s="150"/>
      <c r="C945" s="151"/>
      <c r="D945" s="151"/>
      <c r="E945" s="366"/>
      <c r="F945" s="197"/>
      <c r="G945" s="360"/>
      <c r="H945" s="134"/>
    </row>
    <row r="946" spans="1:8" s="140" customFormat="1" x14ac:dyDescent="0.25">
      <c r="A946" s="141"/>
      <c r="B946" s="154"/>
      <c r="C946" s="151"/>
      <c r="D946" s="151"/>
      <c r="E946" s="366"/>
      <c r="F946" s="197"/>
      <c r="G946" s="360"/>
      <c r="H946" s="134"/>
    </row>
    <row r="947" spans="1:8" s="140" customFormat="1" x14ac:dyDescent="0.25">
      <c r="A947" s="141"/>
      <c r="B947" s="155"/>
      <c r="C947" s="151"/>
      <c r="D947" s="152"/>
      <c r="E947" s="152"/>
      <c r="F947" s="151"/>
      <c r="G947" s="156"/>
      <c r="H947" s="134"/>
    </row>
    <row r="948" spans="1:8" s="140" customFormat="1" x14ac:dyDescent="0.25">
      <c r="A948" s="141"/>
      <c r="B948" s="155"/>
      <c r="C948" s="151"/>
      <c r="D948" s="152"/>
      <c r="E948" s="152"/>
      <c r="F948" s="151"/>
      <c r="G948" s="156"/>
      <c r="H948" s="134"/>
    </row>
    <row r="949" spans="1:8" s="140" customFormat="1" ht="13.5" thickBot="1" x14ac:dyDescent="0.3">
      <c r="A949" s="141"/>
      <c r="B949" s="155"/>
      <c r="C949" s="151"/>
      <c r="D949" s="152"/>
      <c r="E949" s="152"/>
      <c r="F949" s="151"/>
      <c r="G949" s="156"/>
      <c r="H949" s="134"/>
    </row>
    <row r="950" spans="1:8" s="140" customFormat="1" ht="13.5" thickBot="1" x14ac:dyDescent="0.3">
      <c r="A950" s="141"/>
      <c r="B950" s="157"/>
      <c r="C950" s="158"/>
      <c r="D950" s="159"/>
      <c r="E950" s="159"/>
      <c r="F950" s="158"/>
      <c r="G950" s="160"/>
      <c r="H950" s="161">
        <f>+SUM(G944:G950)</f>
        <v>2879.8333333333339</v>
      </c>
    </row>
    <row r="951" spans="1:8" s="140" customFormat="1" ht="13.5" thickBot="1" x14ac:dyDescent="0.3">
      <c r="A951" s="141"/>
      <c r="B951" s="162"/>
      <c r="C951" s="163"/>
      <c r="D951" s="162"/>
      <c r="E951" s="162"/>
      <c r="F951" s="163"/>
      <c r="G951" s="164"/>
      <c r="H951" s="165"/>
    </row>
    <row r="952" spans="1:8" s="140" customFormat="1" ht="13.5" thickBot="1" x14ac:dyDescent="0.3">
      <c r="B952" s="143" t="s">
        <v>5408</v>
      </c>
      <c r="C952" s="144" t="s">
        <v>867</v>
      </c>
      <c r="D952" s="144" t="s">
        <v>6</v>
      </c>
      <c r="E952" s="144" t="s">
        <v>870</v>
      </c>
      <c r="F952" s="144" t="s">
        <v>5409</v>
      </c>
      <c r="G952" s="145" t="s">
        <v>868</v>
      </c>
      <c r="H952" s="134"/>
    </row>
    <row r="953" spans="1:8" s="140" customFormat="1" x14ac:dyDescent="0.25">
      <c r="B953" s="201" t="s">
        <v>5660</v>
      </c>
      <c r="C953" s="147" t="s">
        <v>109</v>
      </c>
      <c r="D953" s="167">
        <v>2</v>
      </c>
      <c r="E953" s="148">
        <v>8000</v>
      </c>
      <c r="F953" s="169">
        <v>0.1</v>
      </c>
      <c r="G953" s="367">
        <f>+D953*E953*(1+F953)</f>
        <v>17600</v>
      </c>
      <c r="H953" s="134"/>
    </row>
    <row r="954" spans="1:8" s="140" customFormat="1" x14ac:dyDescent="0.25">
      <c r="B954" s="196" t="s">
        <v>5661</v>
      </c>
      <c r="C954" s="151" t="s">
        <v>14</v>
      </c>
      <c r="D954" s="197">
        <f>1/0.3</f>
        <v>3.3333333333333335</v>
      </c>
      <c r="E954" s="148">
        <v>2400</v>
      </c>
      <c r="F954" s="169">
        <v>0.1</v>
      </c>
      <c r="G954" s="367">
        <f>+D954*E954*(1+F954)</f>
        <v>8800</v>
      </c>
      <c r="H954" s="134"/>
    </row>
    <row r="955" spans="1:8" s="140" customFormat="1" x14ac:dyDescent="0.25">
      <c r="B955" s="196" t="s">
        <v>5662</v>
      </c>
      <c r="C955" s="151" t="s">
        <v>14</v>
      </c>
      <c r="D955" s="197">
        <v>8</v>
      </c>
      <c r="E955" s="148">
        <v>4700</v>
      </c>
      <c r="F955" s="169">
        <v>0.1</v>
      </c>
      <c r="G955" s="367">
        <f>+D955*E955*(1+F955)</f>
        <v>41360</v>
      </c>
      <c r="H955" s="134"/>
    </row>
    <row r="956" spans="1:8" s="140" customFormat="1" x14ac:dyDescent="0.25">
      <c r="B956" s="155" t="s">
        <v>5663</v>
      </c>
      <c r="C956" s="151" t="s">
        <v>5486</v>
      </c>
      <c r="D956" s="197">
        <v>1</v>
      </c>
      <c r="E956" s="148">
        <v>2200</v>
      </c>
      <c r="F956" s="296">
        <v>0.05</v>
      </c>
      <c r="G956" s="367">
        <f>+D956*E956*(1+F956)</f>
        <v>2310</v>
      </c>
      <c r="H956" s="134"/>
    </row>
    <row r="957" spans="1:8" s="140" customFormat="1" x14ac:dyDescent="0.25">
      <c r="B957" s="155"/>
      <c r="C957" s="151"/>
      <c r="D957" s="151"/>
      <c r="E957" s="148"/>
      <c r="F957" s="151"/>
      <c r="G957" s="367"/>
      <c r="H957" s="134"/>
    </row>
    <row r="958" spans="1:8" s="140" customFormat="1" x14ac:dyDescent="0.25">
      <c r="B958" s="155"/>
      <c r="C958" s="151"/>
      <c r="D958" s="151"/>
      <c r="E958" s="148"/>
      <c r="F958" s="151"/>
      <c r="G958" s="367"/>
      <c r="H958" s="134"/>
    </row>
    <row r="959" spans="1:8" s="140" customFormat="1" x14ac:dyDescent="0.25">
      <c r="B959" s="155"/>
      <c r="C959" s="151"/>
      <c r="D959" s="151"/>
      <c r="E959" s="148"/>
      <c r="F959" s="151"/>
      <c r="G959" s="367"/>
      <c r="H959" s="134"/>
    </row>
    <row r="960" spans="1:8" s="140" customFormat="1" x14ac:dyDescent="0.25">
      <c r="B960" s="155"/>
      <c r="C960" s="151"/>
      <c r="D960" s="151"/>
      <c r="E960" s="148"/>
      <c r="F960" s="151"/>
      <c r="G960" s="367"/>
      <c r="H960" s="134"/>
    </row>
    <row r="961" spans="2:8" s="140" customFormat="1" x14ac:dyDescent="0.25">
      <c r="B961" s="155"/>
      <c r="C961" s="151"/>
      <c r="D961" s="151"/>
      <c r="E961" s="148"/>
      <c r="F961" s="151"/>
      <c r="G961" s="367"/>
      <c r="H961" s="134"/>
    </row>
    <row r="962" spans="2:8" s="140" customFormat="1" x14ac:dyDescent="0.25">
      <c r="B962" s="155"/>
      <c r="C962" s="151"/>
      <c r="D962" s="151"/>
      <c r="E962" s="148"/>
      <c r="F962" s="151"/>
      <c r="G962" s="367"/>
      <c r="H962" s="134"/>
    </row>
    <row r="963" spans="2:8" s="140" customFormat="1" x14ac:dyDescent="0.25">
      <c r="B963" s="155"/>
      <c r="C963" s="152"/>
      <c r="D963" s="152"/>
      <c r="E963" s="152"/>
      <c r="F963" s="151"/>
      <c r="G963" s="156"/>
      <c r="H963" s="134"/>
    </row>
    <row r="964" spans="2:8" s="140" customFormat="1" ht="13.5" thickBot="1" x14ac:dyDescent="0.3">
      <c r="B964" s="155"/>
      <c r="C964" s="152"/>
      <c r="D964" s="152"/>
      <c r="E964" s="152"/>
      <c r="F964" s="151"/>
      <c r="G964" s="156"/>
      <c r="H964" s="134"/>
    </row>
    <row r="965" spans="2:8" s="140" customFormat="1" ht="13.5" thickBot="1" x14ac:dyDescent="0.3">
      <c r="B965" s="157"/>
      <c r="C965" s="159"/>
      <c r="D965" s="159"/>
      <c r="E965" s="159"/>
      <c r="F965" s="158"/>
      <c r="G965" s="160"/>
      <c r="H965" s="161">
        <f>+SUM(G953:G965)</f>
        <v>70070</v>
      </c>
    </row>
    <row r="966" spans="2:8" s="140" customFormat="1" ht="13.5" thickBot="1" x14ac:dyDescent="0.3">
      <c r="B966" s="162"/>
      <c r="C966" s="162"/>
      <c r="D966" s="162"/>
      <c r="E966" s="162"/>
      <c r="F966" s="163"/>
      <c r="G966" s="164"/>
      <c r="H966" s="165"/>
    </row>
    <row r="967" spans="2:8" s="140" customFormat="1" ht="13.5" thickBot="1" x14ac:dyDescent="0.3">
      <c r="B967" s="143" t="s">
        <v>5410</v>
      </c>
      <c r="C967" s="144" t="s">
        <v>867</v>
      </c>
      <c r="D967" s="144" t="s">
        <v>6</v>
      </c>
      <c r="E967" s="144" t="s">
        <v>870</v>
      </c>
      <c r="F967" s="144" t="s">
        <v>5411</v>
      </c>
      <c r="G967" s="145" t="s">
        <v>868</v>
      </c>
      <c r="H967" s="134"/>
    </row>
    <row r="968" spans="2:8" s="140" customFormat="1" x14ac:dyDescent="0.25">
      <c r="B968" s="201"/>
      <c r="C968" s="147"/>
      <c r="D968" s="167"/>
      <c r="E968" s="148"/>
      <c r="F968" s="169"/>
      <c r="G968" s="367">
        <f>+D968*E968*(1+F968)</f>
        <v>0</v>
      </c>
      <c r="H968" s="134"/>
    </row>
    <row r="969" spans="2:8" s="140" customFormat="1" x14ac:dyDescent="0.25">
      <c r="B969" s="196"/>
      <c r="C969" s="151"/>
      <c r="D969" s="151"/>
      <c r="E969" s="148"/>
      <c r="F969" s="147"/>
      <c r="G969" s="367"/>
      <c r="H969" s="134"/>
    </row>
    <row r="970" spans="2:8" s="140" customFormat="1" x14ac:dyDescent="0.25">
      <c r="B970" s="196"/>
      <c r="C970" s="151"/>
      <c r="D970" s="151"/>
      <c r="E970" s="148"/>
      <c r="F970" s="151"/>
      <c r="G970" s="367"/>
      <c r="H970" s="134"/>
    </row>
    <row r="971" spans="2:8" s="140" customFormat="1" x14ac:dyDescent="0.25">
      <c r="B971" s="155"/>
      <c r="C971" s="151"/>
      <c r="D971" s="151"/>
      <c r="E971" s="148"/>
      <c r="F971" s="151"/>
      <c r="G971" s="367"/>
      <c r="H971" s="134"/>
    </row>
    <row r="972" spans="2:8" s="140" customFormat="1" x14ac:dyDescent="0.25">
      <c r="B972" s="155"/>
      <c r="C972" s="151"/>
      <c r="D972" s="151"/>
      <c r="E972" s="148"/>
      <c r="F972" s="151"/>
      <c r="G972" s="367"/>
      <c r="H972" s="134"/>
    </row>
    <row r="973" spans="2:8" s="140" customFormat="1" ht="13.5" thickBot="1" x14ac:dyDescent="0.3">
      <c r="B973" s="155"/>
      <c r="C973" s="151"/>
      <c r="D973" s="151"/>
      <c r="E973" s="148"/>
      <c r="F973" s="151"/>
      <c r="G973" s="367"/>
      <c r="H973" s="134"/>
    </row>
    <row r="974" spans="2:8" s="140" customFormat="1" ht="13.5" thickBot="1" x14ac:dyDescent="0.3">
      <c r="B974" s="157"/>
      <c r="C974" s="159"/>
      <c r="D974" s="159"/>
      <c r="E974" s="159"/>
      <c r="F974" s="158"/>
      <c r="G974" s="160"/>
      <c r="H974" s="161">
        <f>+SUM(G968:G974)</f>
        <v>0</v>
      </c>
    </row>
    <row r="975" spans="2:8" s="140" customFormat="1" ht="13.5" thickBot="1" x14ac:dyDescent="0.3">
      <c r="B975" s="162"/>
      <c r="C975" s="162"/>
      <c r="D975" s="162"/>
      <c r="E975" s="162"/>
      <c r="F975" s="173"/>
      <c r="G975" s="174"/>
      <c r="H975" s="165"/>
    </row>
    <row r="976" spans="2:8" s="140" customFormat="1" ht="13.5" thickBot="1" x14ac:dyDescent="0.3">
      <c r="B976" s="143" t="s">
        <v>5412</v>
      </c>
      <c r="C976" s="144" t="s">
        <v>5420</v>
      </c>
      <c r="D976" s="144" t="s">
        <v>5421</v>
      </c>
      <c r="E976" s="144" t="s">
        <v>5413</v>
      </c>
      <c r="F976" s="144" t="s">
        <v>5405</v>
      </c>
      <c r="G976" s="145" t="s">
        <v>868</v>
      </c>
      <c r="H976" s="134"/>
    </row>
    <row r="977" spans="1:8" s="140" customFormat="1" x14ac:dyDescent="0.25">
      <c r="B977" s="194" t="s">
        <v>5650</v>
      </c>
      <c r="C977" s="345">
        <v>70000</v>
      </c>
      <c r="D977" s="345">
        <f>+C977*0.85</f>
        <v>59500</v>
      </c>
      <c r="E977" s="353">
        <f>+C977+D977</f>
        <v>129500</v>
      </c>
      <c r="F977" s="202">
        <v>100</v>
      </c>
      <c r="G977" s="351">
        <f>+E977/F977</f>
        <v>1295</v>
      </c>
      <c r="H977" s="134"/>
    </row>
    <row r="978" spans="1:8" s="140" customFormat="1" x14ac:dyDescent="0.25">
      <c r="B978" s="194" t="s">
        <v>5651</v>
      </c>
      <c r="C978" s="345">
        <v>40000</v>
      </c>
      <c r="D978" s="345">
        <f>+C978*0.85</f>
        <v>34000</v>
      </c>
      <c r="E978" s="353">
        <f>+C978+D978</f>
        <v>74000</v>
      </c>
      <c r="F978" s="204">
        <v>5</v>
      </c>
      <c r="G978" s="351">
        <f>+E978/F978</f>
        <v>14800</v>
      </c>
      <c r="H978" s="134"/>
    </row>
    <row r="979" spans="1:8" s="140" customFormat="1" x14ac:dyDescent="0.25">
      <c r="B979" s="195" t="s">
        <v>5635</v>
      </c>
      <c r="C979" s="345">
        <v>20600</v>
      </c>
      <c r="D979" s="345">
        <f>+C979*0.85</f>
        <v>17510</v>
      </c>
      <c r="E979" s="353">
        <f>+C979+D979</f>
        <v>38110</v>
      </c>
      <c r="F979" s="205">
        <v>3</v>
      </c>
      <c r="G979" s="351">
        <f>+E979/F979</f>
        <v>12703.333333333334</v>
      </c>
      <c r="H979" s="134"/>
    </row>
    <row r="980" spans="1:8" s="140" customFormat="1" x14ac:dyDescent="0.25">
      <c r="B980" s="155"/>
      <c r="C980" s="345"/>
      <c r="D980" s="345"/>
      <c r="E980" s="353"/>
      <c r="F980" s="205"/>
      <c r="G980" s="351"/>
      <c r="H980" s="134"/>
    </row>
    <row r="981" spans="1:8" s="140" customFormat="1" x14ac:dyDescent="0.25">
      <c r="B981" s="155"/>
      <c r="C981" s="152"/>
      <c r="D981" s="152"/>
      <c r="E981" s="152"/>
      <c r="F981" s="151"/>
      <c r="G981" s="156"/>
      <c r="H981" s="134"/>
    </row>
    <row r="982" spans="1:8" s="140" customFormat="1" ht="13.5" thickBot="1" x14ac:dyDescent="0.3">
      <c r="B982" s="155"/>
      <c r="C982" s="152"/>
      <c r="D982" s="152"/>
      <c r="E982" s="152"/>
      <c r="F982" s="151"/>
      <c r="G982" s="156"/>
      <c r="H982" s="134"/>
    </row>
    <row r="983" spans="1:8" s="140" customFormat="1" ht="13.5" thickBot="1" x14ac:dyDescent="0.3">
      <c r="B983" s="179"/>
      <c r="C983" s="180"/>
      <c r="D983" s="180"/>
      <c r="E983" s="180"/>
      <c r="F983" s="181"/>
      <c r="G983" s="182"/>
      <c r="H983" s="161">
        <f>+SUM(G977:G983)</f>
        <v>28798.333333333336</v>
      </c>
    </row>
    <row r="984" spans="1:8" s="140" customFormat="1" ht="13.5" thickBot="1" x14ac:dyDescent="0.3">
      <c r="F984" s="141"/>
      <c r="G984" s="134"/>
      <c r="H984" s="134"/>
    </row>
    <row r="985" spans="1:8" s="140" customFormat="1" ht="13.5" thickBot="1" x14ac:dyDescent="0.3">
      <c r="E985" s="183" t="s">
        <v>5415</v>
      </c>
      <c r="F985" s="141"/>
      <c r="G985" s="134"/>
      <c r="H985" s="161">
        <f>ROUND(+H950+H965+H974+H983,0)</f>
        <v>101748</v>
      </c>
    </row>
    <row r="990" spans="1:8" ht="18.75" x14ac:dyDescent="0.25">
      <c r="A990" s="133"/>
      <c r="B990" s="2506" t="s">
        <v>5400</v>
      </c>
      <c r="C990" s="2506"/>
      <c r="D990" s="2506"/>
      <c r="E990" s="2506"/>
      <c r="F990" s="2506"/>
      <c r="G990" s="2506"/>
    </row>
    <row r="991" spans="1:8" x14ac:dyDescent="0.25">
      <c r="A991" s="133"/>
      <c r="G991" s="134"/>
    </row>
    <row r="992" spans="1:8" x14ac:dyDescent="0.25">
      <c r="A992" s="133"/>
      <c r="G992" s="134"/>
    </row>
    <row r="993" spans="1:8" x14ac:dyDescent="0.25">
      <c r="A993" s="133"/>
      <c r="G993" s="134"/>
    </row>
    <row r="994" spans="1:8" s="140" customFormat="1" x14ac:dyDescent="0.25">
      <c r="A994" s="138" t="s">
        <v>3</v>
      </c>
      <c r="B994" s="138" t="s">
        <v>5453</v>
      </c>
      <c r="C994" s="2450" t="s">
        <v>62</v>
      </c>
      <c r="D994" s="2450"/>
      <c r="E994" s="2450"/>
      <c r="F994" s="138" t="s">
        <v>867</v>
      </c>
      <c r="G994" s="139" t="s">
        <v>5402</v>
      </c>
      <c r="H994" s="134"/>
    </row>
    <row r="995" spans="1:8" s="140" customFormat="1" ht="24.95" customHeight="1" x14ac:dyDescent="0.25">
      <c r="A995" s="141"/>
      <c r="F995" s="141"/>
      <c r="G995" s="134"/>
      <c r="H995" s="134"/>
    </row>
    <row r="996" spans="1:8" s="140" customFormat="1" x14ac:dyDescent="0.25">
      <c r="A996" s="141"/>
      <c r="F996" s="141"/>
      <c r="G996" s="142"/>
      <c r="H996" s="134"/>
    </row>
    <row r="997" spans="1:8" s="140" customFormat="1" ht="13.5" thickBot="1" x14ac:dyDescent="0.3">
      <c r="A997" s="141"/>
      <c r="F997" s="141"/>
      <c r="G997" s="134"/>
      <c r="H997" s="134"/>
    </row>
    <row r="998" spans="1:8" s="140" customFormat="1" ht="13.5" thickBot="1" x14ac:dyDescent="0.3">
      <c r="A998" s="141"/>
      <c r="B998" s="143" t="s">
        <v>5403</v>
      </c>
      <c r="C998" s="144" t="s">
        <v>867</v>
      </c>
      <c r="D998" s="144" t="s">
        <v>6</v>
      </c>
      <c r="E998" s="144" t="s">
        <v>5404</v>
      </c>
      <c r="F998" s="144" t="s">
        <v>5405</v>
      </c>
      <c r="G998" s="145" t="s">
        <v>868</v>
      </c>
      <c r="H998" s="134"/>
    </row>
    <row r="999" spans="1:8" s="140" customFormat="1" x14ac:dyDescent="0.25">
      <c r="A999" s="141"/>
      <c r="B999" s="146" t="s">
        <v>5440</v>
      </c>
      <c r="C999" s="147" t="s">
        <v>5406</v>
      </c>
      <c r="D999" s="147"/>
      <c r="E999" s="148">
        <f>+H1038</f>
        <v>1250.5999999999999</v>
      </c>
      <c r="F999" s="167">
        <v>0.1</v>
      </c>
      <c r="G999" s="360">
        <f>+E999*F999</f>
        <v>125.06</v>
      </c>
      <c r="H999" s="134"/>
    </row>
    <row r="1000" spans="1:8" s="140" customFormat="1" x14ac:dyDescent="0.25">
      <c r="A1000" s="141"/>
      <c r="B1000" s="150" t="s">
        <v>5664</v>
      </c>
      <c r="C1000" s="151" t="s">
        <v>5424</v>
      </c>
      <c r="D1000" s="151">
        <v>1</v>
      </c>
      <c r="E1000" s="366">
        <v>139000</v>
      </c>
      <c r="F1000" s="197">
        <v>1</v>
      </c>
      <c r="G1000" s="360">
        <f>+E1000*F1000</f>
        <v>139000</v>
      </c>
      <c r="H1000" s="134"/>
    </row>
    <row r="1001" spans="1:8" s="140" customFormat="1" x14ac:dyDescent="0.25">
      <c r="A1001" s="141"/>
      <c r="B1001" s="154"/>
      <c r="C1001" s="151"/>
      <c r="D1001" s="151"/>
      <c r="E1001" s="366"/>
      <c r="F1001" s="197"/>
      <c r="G1001" s="360"/>
      <c r="H1001" s="134"/>
    </row>
    <row r="1002" spans="1:8" s="140" customFormat="1" x14ac:dyDescent="0.25">
      <c r="A1002" s="141"/>
      <c r="B1002" s="155"/>
      <c r="C1002" s="151"/>
      <c r="D1002" s="152"/>
      <c r="E1002" s="152"/>
      <c r="F1002" s="151"/>
      <c r="G1002" s="156"/>
      <c r="H1002" s="134"/>
    </row>
    <row r="1003" spans="1:8" s="140" customFormat="1" x14ac:dyDescent="0.25">
      <c r="A1003" s="141"/>
      <c r="B1003" s="155"/>
      <c r="C1003" s="151"/>
      <c r="D1003" s="152"/>
      <c r="E1003" s="152"/>
      <c r="F1003" s="151"/>
      <c r="G1003" s="156"/>
      <c r="H1003" s="134"/>
    </row>
    <row r="1004" spans="1:8" s="140" customFormat="1" ht="13.5" thickBot="1" x14ac:dyDescent="0.3">
      <c r="A1004" s="141"/>
      <c r="B1004" s="155"/>
      <c r="C1004" s="151"/>
      <c r="D1004" s="152"/>
      <c r="E1004" s="152"/>
      <c r="F1004" s="151"/>
      <c r="G1004" s="156"/>
      <c r="H1004" s="134"/>
    </row>
    <row r="1005" spans="1:8" s="140" customFormat="1" ht="13.5" thickBot="1" x14ac:dyDescent="0.3">
      <c r="A1005" s="141"/>
      <c r="B1005" s="157"/>
      <c r="C1005" s="158"/>
      <c r="D1005" s="159"/>
      <c r="E1005" s="159"/>
      <c r="F1005" s="158"/>
      <c r="G1005" s="160"/>
      <c r="H1005" s="161">
        <f>+SUM(G999:G1005)</f>
        <v>139125.06</v>
      </c>
    </row>
    <row r="1006" spans="1:8" s="140" customFormat="1" ht="13.5" thickBot="1" x14ac:dyDescent="0.3">
      <c r="A1006" s="141"/>
      <c r="B1006" s="162"/>
      <c r="C1006" s="163"/>
      <c r="D1006" s="162"/>
      <c r="E1006" s="162"/>
      <c r="F1006" s="163"/>
      <c r="G1006" s="164"/>
      <c r="H1006" s="165"/>
    </row>
    <row r="1007" spans="1:8" s="140" customFormat="1" ht="13.5" thickBot="1" x14ac:dyDescent="0.3">
      <c r="B1007" s="143" t="s">
        <v>5408</v>
      </c>
      <c r="C1007" s="144" t="s">
        <v>867</v>
      </c>
      <c r="D1007" s="144" t="s">
        <v>6</v>
      </c>
      <c r="E1007" s="144" t="s">
        <v>870</v>
      </c>
      <c r="F1007" s="144" t="s">
        <v>5409</v>
      </c>
      <c r="G1007" s="145" t="s">
        <v>868</v>
      </c>
      <c r="H1007" s="134"/>
    </row>
    <row r="1008" spans="1:8" s="140" customFormat="1" x14ac:dyDescent="0.25">
      <c r="B1008" s="201" t="s">
        <v>5665</v>
      </c>
      <c r="C1008" s="151" t="s">
        <v>37</v>
      </c>
      <c r="D1008" s="167">
        <v>10</v>
      </c>
      <c r="E1008" s="148">
        <v>2800</v>
      </c>
      <c r="F1008" s="169">
        <v>0.1</v>
      </c>
      <c r="G1008" s="367">
        <f>+D1008*E1008*(1+F1008)</f>
        <v>30800.000000000004</v>
      </c>
      <c r="H1008" s="134"/>
    </row>
    <row r="1009" spans="2:8" s="140" customFormat="1" x14ac:dyDescent="0.25">
      <c r="B1009" s="196" t="s">
        <v>5667</v>
      </c>
      <c r="C1009" s="151" t="s">
        <v>37</v>
      </c>
      <c r="D1009" s="197">
        <v>1</v>
      </c>
      <c r="E1009" s="148">
        <v>65000</v>
      </c>
      <c r="F1009" s="169">
        <v>0.02</v>
      </c>
      <c r="G1009" s="367">
        <f>+D1009*E1009*(1+F1009)</f>
        <v>66300</v>
      </c>
      <c r="H1009" s="134"/>
    </row>
    <row r="1010" spans="2:8" s="140" customFormat="1" x14ac:dyDescent="0.25">
      <c r="B1010" s="196" t="s">
        <v>5668</v>
      </c>
      <c r="C1010" s="151" t="s">
        <v>37</v>
      </c>
      <c r="D1010" s="197">
        <v>1</v>
      </c>
      <c r="E1010" s="148">
        <v>4500</v>
      </c>
      <c r="F1010" s="169">
        <v>0.1</v>
      </c>
      <c r="G1010" s="367">
        <f>+D1010*E1010*(1+F1010)</f>
        <v>4950</v>
      </c>
      <c r="H1010" s="134"/>
    </row>
    <row r="1011" spans="2:8" s="140" customFormat="1" x14ac:dyDescent="0.25">
      <c r="B1011" s="155" t="s">
        <v>5655</v>
      </c>
      <c r="C1011" s="151" t="s">
        <v>37</v>
      </c>
      <c r="D1011" s="197">
        <v>1.6666666666666701E-2</v>
      </c>
      <c r="E1011" s="148">
        <v>12500</v>
      </c>
      <c r="F1011" s="296">
        <v>0.02</v>
      </c>
      <c r="G1011" s="367">
        <f>+D1011*E1011*(1+F1011)</f>
        <v>212.50000000000045</v>
      </c>
      <c r="H1011" s="134"/>
    </row>
    <row r="1012" spans="2:8" s="140" customFormat="1" x14ac:dyDescent="0.25">
      <c r="B1012" s="155"/>
      <c r="C1012" s="151"/>
      <c r="D1012" s="151"/>
      <c r="E1012" s="148"/>
      <c r="F1012" s="151"/>
      <c r="G1012" s="367"/>
      <c r="H1012" s="134"/>
    </row>
    <row r="1013" spans="2:8" s="140" customFormat="1" x14ac:dyDescent="0.25">
      <c r="B1013" s="155"/>
      <c r="C1013" s="151"/>
      <c r="D1013" s="151"/>
      <c r="E1013" s="148"/>
      <c r="F1013" s="151"/>
      <c r="G1013" s="367"/>
      <c r="H1013" s="134"/>
    </row>
    <row r="1014" spans="2:8" s="140" customFormat="1" x14ac:dyDescent="0.25">
      <c r="B1014" s="155"/>
      <c r="C1014" s="151"/>
      <c r="D1014" s="151"/>
      <c r="E1014" s="148"/>
      <c r="F1014" s="151"/>
      <c r="G1014" s="367"/>
      <c r="H1014" s="134"/>
    </row>
    <row r="1015" spans="2:8" s="140" customFormat="1" x14ac:dyDescent="0.25">
      <c r="B1015" s="155"/>
      <c r="C1015" s="151"/>
      <c r="D1015" s="151"/>
      <c r="E1015" s="148"/>
      <c r="F1015" s="151"/>
      <c r="G1015" s="367"/>
      <c r="H1015" s="134"/>
    </row>
    <row r="1016" spans="2:8" s="140" customFormat="1" x14ac:dyDescent="0.25">
      <c r="B1016" s="155"/>
      <c r="C1016" s="151"/>
      <c r="D1016" s="151"/>
      <c r="E1016" s="148"/>
      <c r="F1016" s="151"/>
      <c r="G1016" s="367"/>
      <c r="H1016" s="134"/>
    </row>
    <row r="1017" spans="2:8" s="140" customFormat="1" x14ac:dyDescent="0.25">
      <c r="B1017" s="155"/>
      <c r="C1017" s="151"/>
      <c r="D1017" s="151"/>
      <c r="E1017" s="148"/>
      <c r="F1017" s="151"/>
      <c r="G1017" s="367"/>
      <c r="H1017" s="134"/>
    </row>
    <row r="1018" spans="2:8" s="140" customFormat="1" x14ac:dyDescent="0.25">
      <c r="B1018" s="155"/>
      <c r="C1018" s="152"/>
      <c r="D1018" s="152"/>
      <c r="E1018" s="152"/>
      <c r="F1018" s="151"/>
      <c r="G1018" s="156"/>
      <c r="H1018" s="134"/>
    </row>
    <row r="1019" spans="2:8" s="140" customFormat="1" ht="13.5" thickBot="1" x14ac:dyDescent="0.3">
      <c r="B1019" s="155"/>
      <c r="C1019" s="152"/>
      <c r="D1019" s="152"/>
      <c r="E1019" s="152"/>
      <c r="F1019" s="151"/>
      <c r="G1019" s="156"/>
      <c r="H1019" s="134"/>
    </row>
    <row r="1020" spans="2:8" s="140" customFormat="1" ht="13.5" thickBot="1" x14ac:dyDescent="0.3">
      <c r="B1020" s="157"/>
      <c r="C1020" s="159"/>
      <c r="D1020" s="159"/>
      <c r="E1020" s="159"/>
      <c r="F1020" s="158"/>
      <c r="G1020" s="160"/>
      <c r="H1020" s="161">
        <f>+SUM(G1008:G1020)</f>
        <v>102262.5</v>
      </c>
    </row>
    <row r="1021" spans="2:8" s="140" customFormat="1" ht="13.5" thickBot="1" x14ac:dyDescent="0.3">
      <c r="B1021" s="162"/>
      <c r="C1021" s="162"/>
      <c r="D1021" s="162"/>
      <c r="E1021" s="162"/>
      <c r="F1021" s="163"/>
      <c r="G1021" s="164"/>
      <c r="H1021" s="165"/>
    </row>
    <row r="1022" spans="2:8" s="140" customFormat="1" ht="13.5" thickBot="1" x14ac:dyDescent="0.3">
      <c r="B1022" s="143" t="s">
        <v>5410</v>
      </c>
      <c r="C1022" s="144" t="s">
        <v>867</v>
      </c>
      <c r="D1022" s="144" t="s">
        <v>6</v>
      </c>
      <c r="E1022" s="144" t="s">
        <v>870</v>
      </c>
      <c r="F1022" s="144" t="s">
        <v>5411</v>
      </c>
      <c r="G1022" s="145" t="s">
        <v>868</v>
      </c>
      <c r="H1022" s="134"/>
    </row>
    <row r="1023" spans="2:8" s="140" customFormat="1" x14ac:dyDescent="0.25">
      <c r="B1023" s="201"/>
      <c r="C1023" s="147"/>
      <c r="D1023" s="167"/>
      <c r="E1023" s="148"/>
      <c r="F1023" s="169"/>
      <c r="G1023" s="367">
        <f>+D1023*E1023*(1+F1023)</f>
        <v>0</v>
      </c>
      <c r="H1023" s="134"/>
    </row>
    <row r="1024" spans="2:8" s="140" customFormat="1" x14ac:dyDescent="0.25">
      <c r="B1024" s="196"/>
      <c r="C1024" s="151"/>
      <c r="D1024" s="151"/>
      <c r="E1024" s="148"/>
      <c r="F1024" s="147"/>
      <c r="G1024" s="367"/>
      <c r="H1024" s="134"/>
    </row>
    <row r="1025" spans="2:8" s="140" customFormat="1" x14ac:dyDescent="0.25">
      <c r="B1025" s="196"/>
      <c r="C1025" s="151"/>
      <c r="D1025" s="151"/>
      <c r="E1025" s="148"/>
      <c r="F1025" s="151"/>
      <c r="G1025" s="367"/>
      <c r="H1025" s="134"/>
    </row>
    <row r="1026" spans="2:8" s="140" customFormat="1" x14ac:dyDescent="0.25">
      <c r="B1026" s="155"/>
      <c r="C1026" s="151"/>
      <c r="D1026" s="151"/>
      <c r="E1026" s="148"/>
      <c r="F1026" s="151"/>
      <c r="G1026" s="367"/>
      <c r="H1026" s="134"/>
    </row>
    <row r="1027" spans="2:8" s="140" customFormat="1" x14ac:dyDescent="0.25">
      <c r="B1027" s="155"/>
      <c r="C1027" s="151"/>
      <c r="D1027" s="151"/>
      <c r="E1027" s="148"/>
      <c r="F1027" s="151"/>
      <c r="G1027" s="367"/>
      <c r="H1027" s="134"/>
    </row>
    <row r="1028" spans="2:8" s="140" customFormat="1" ht="13.5" thickBot="1" x14ac:dyDescent="0.3">
      <c r="B1028" s="155"/>
      <c r="C1028" s="151"/>
      <c r="D1028" s="151"/>
      <c r="E1028" s="148"/>
      <c r="F1028" s="151"/>
      <c r="G1028" s="367"/>
      <c r="H1028" s="134"/>
    </row>
    <row r="1029" spans="2:8" s="140" customFormat="1" ht="13.5" thickBot="1" x14ac:dyDescent="0.3">
      <c r="B1029" s="157"/>
      <c r="C1029" s="159"/>
      <c r="D1029" s="159"/>
      <c r="E1029" s="159"/>
      <c r="F1029" s="158"/>
      <c r="G1029" s="160"/>
      <c r="H1029" s="161">
        <f>+SUM(G1023:G1029)</f>
        <v>0</v>
      </c>
    </row>
    <row r="1030" spans="2:8" s="140" customFormat="1" ht="13.5" thickBot="1" x14ac:dyDescent="0.3">
      <c r="B1030" s="162"/>
      <c r="C1030" s="162"/>
      <c r="D1030" s="162"/>
      <c r="E1030" s="162"/>
      <c r="F1030" s="173"/>
      <c r="G1030" s="174"/>
      <c r="H1030" s="165"/>
    </row>
    <row r="1031" spans="2:8" s="140" customFormat="1" ht="13.5" thickBot="1" x14ac:dyDescent="0.3">
      <c r="B1031" s="143" t="s">
        <v>5412</v>
      </c>
      <c r="C1031" s="144" t="s">
        <v>5420</v>
      </c>
      <c r="D1031" s="144" t="s">
        <v>5421</v>
      </c>
      <c r="E1031" s="144" t="s">
        <v>5413</v>
      </c>
      <c r="F1031" s="144" t="s">
        <v>5405</v>
      </c>
      <c r="G1031" s="145" t="s">
        <v>868</v>
      </c>
      <c r="H1031" s="134"/>
    </row>
    <row r="1032" spans="2:8" s="140" customFormat="1" x14ac:dyDescent="0.25">
      <c r="B1032" s="194" t="s">
        <v>5650</v>
      </c>
      <c r="C1032" s="345">
        <v>70000</v>
      </c>
      <c r="D1032" s="345">
        <f>+C1032*0.85</f>
        <v>59500</v>
      </c>
      <c r="E1032" s="353">
        <f>+C1032+D1032</f>
        <v>129500</v>
      </c>
      <c r="F1032" s="202">
        <v>1000</v>
      </c>
      <c r="G1032" s="351">
        <f>+E1032/F1032</f>
        <v>129.5</v>
      </c>
      <c r="H1032" s="134"/>
    </row>
    <row r="1033" spans="2:8" s="140" customFormat="1" x14ac:dyDescent="0.25">
      <c r="B1033" s="194" t="s">
        <v>5651</v>
      </c>
      <c r="C1033" s="345">
        <v>40000</v>
      </c>
      <c r="D1033" s="345">
        <f>+C1033*0.85</f>
        <v>34000</v>
      </c>
      <c r="E1033" s="353">
        <f>+C1033+D1033</f>
        <v>74000</v>
      </c>
      <c r="F1033" s="204">
        <v>100</v>
      </c>
      <c r="G1033" s="351">
        <f>+E1033/F1033</f>
        <v>740</v>
      </c>
      <c r="H1033" s="134"/>
    </row>
    <row r="1034" spans="2:8" s="140" customFormat="1" x14ac:dyDescent="0.25">
      <c r="B1034" s="195" t="s">
        <v>5635</v>
      </c>
      <c r="C1034" s="345">
        <v>20600</v>
      </c>
      <c r="D1034" s="345">
        <f>+C1034*0.85</f>
        <v>17510</v>
      </c>
      <c r="E1034" s="353">
        <f>+C1034+D1034</f>
        <v>38110</v>
      </c>
      <c r="F1034" s="205">
        <v>100</v>
      </c>
      <c r="G1034" s="351">
        <f>+E1034/F1034</f>
        <v>381.1</v>
      </c>
      <c r="H1034" s="134"/>
    </row>
    <row r="1035" spans="2:8" s="140" customFormat="1" x14ac:dyDescent="0.25">
      <c r="B1035" s="155"/>
      <c r="C1035" s="345"/>
      <c r="D1035" s="345"/>
      <c r="E1035" s="353"/>
      <c r="F1035" s="205"/>
      <c r="G1035" s="351"/>
      <c r="H1035" s="134"/>
    </row>
    <row r="1036" spans="2:8" s="140" customFormat="1" x14ac:dyDescent="0.25">
      <c r="B1036" s="155"/>
      <c r="C1036" s="152"/>
      <c r="D1036" s="152"/>
      <c r="E1036" s="152"/>
      <c r="F1036" s="151"/>
      <c r="G1036" s="156"/>
      <c r="H1036" s="134"/>
    </row>
    <row r="1037" spans="2:8" s="140" customFormat="1" ht="13.5" thickBot="1" x14ac:dyDescent="0.3">
      <c r="B1037" s="155"/>
      <c r="C1037" s="152"/>
      <c r="D1037" s="152"/>
      <c r="E1037" s="152"/>
      <c r="F1037" s="151"/>
      <c r="G1037" s="156"/>
      <c r="H1037" s="134"/>
    </row>
    <row r="1038" spans="2:8" s="140" customFormat="1" ht="13.5" thickBot="1" x14ac:dyDescent="0.3">
      <c r="B1038" s="179"/>
      <c r="C1038" s="180"/>
      <c r="D1038" s="180"/>
      <c r="E1038" s="180"/>
      <c r="F1038" s="181"/>
      <c r="G1038" s="182"/>
      <c r="H1038" s="161">
        <f>+SUM(G1032:G1038)</f>
        <v>1250.5999999999999</v>
      </c>
    </row>
    <row r="1039" spans="2:8" s="140" customFormat="1" ht="13.5" thickBot="1" x14ac:dyDescent="0.3">
      <c r="F1039" s="141"/>
      <c r="G1039" s="134"/>
      <c r="H1039" s="134"/>
    </row>
    <row r="1040" spans="2:8" s="140" customFormat="1" ht="13.5" thickBot="1" x14ac:dyDescent="0.3">
      <c r="E1040" s="183" t="s">
        <v>5415</v>
      </c>
      <c r="F1040" s="141"/>
      <c r="G1040" s="134"/>
      <c r="H1040" s="161">
        <f>ROUND(+H1005+H1020+H1029+H1038,0)</f>
        <v>242638</v>
      </c>
    </row>
    <row r="1045" spans="1:8" ht="18.75" x14ac:dyDescent="0.25">
      <c r="A1045" s="133"/>
      <c r="B1045" s="2506" t="s">
        <v>5400</v>
      </c>
      <c r="C1045" s="2506"/>
      <c r="D1045" s="2506"/>
      <c r="E1045" s="2506"/>
      <c r="F1045" s="2506"/>
      <c r="G1045" s="2506"/>
    </row>
    <row r="1046" spans="1:8" x14ac:dyDescent="0.25">
      <c r="A1046" s="133"/>
      <c r="G1046" s="134"/>
    </row>
    <row r="1047" spans="1:8" x14ac:dyDescent="0.25">
      <c r="A1047" s="133"/>
      <c r="G1047" s="134"/>
    </row>
    <row r="1048" spans="1:8" x14ac:dyDescent="0.25">
      <c r="A1048" s="133"/>
      <c r="G1048" s="134"/>
    </row>
    <row r="1049" spans="1:8" s="140" customFormat="1" x14ac:dyDescent="0.25">
      <c r="A1049" s="138" t="s">
        <v>3</v>
      </c>
      <c r="B1049" s="138" t="s">
        <v>5453</v>
      </c>
      <c r="C1049" s="2450" t="s">
        <v>5669</v>
      </c>
      <c r="D1049" s="2450"/>
      <c r="E1049" s="2450"/>
      <c r="F1049" s="138" t="s">
        <v>867</v>
      </c>
      <c r="G1049" s="139" t="s">
        <v>5670</v>
      </c>
      <c r="H1049" s="134"/>
    </row>
    <row r="1050" spans="1:8" s="140" customFormat="1" ht="24.95" customHeight="1" x14ac:dyDescent="0.25">
      <c r="A1050" s="141"/>
      <c r="F1050" s="141"/>
      <c r="G1050" s="134"/>
      <c r="H1050" s="134"/>
    </row>
    <row r="1051" spans="1:8" s="140" customFormat="1" ht="12.75" customHeight="1" x14ac:dyDescent="0.25">
      <c r="A1051" s="141"/>
      <c r="F1051" s="141"/>
      <c r="G1051" s="142"/>
      <c r="H1051" s="134"/>
    </row>
    <row r="1052" spans="1:8" s="140" customFormat="1" ht="13.5" thickBot="1" x14ac:dyDescent="0.3">
      <c r="A1052" s="141"/>
      <c r="F1052" s="141"/>
      <c r="G1052" s="134"/>
      <c r="H1052" s="134"/>
    </row>
    <row r="1053" spans="1:8" s="140" customFormat="1" ht="13.5" thickBot="1" x14ac:dyDescent="0.3">
      <c r="A1053" s="141"/>
      <c r="B1053" s="143" t="s">
        <v>5403</v>
      </c>
      <c r="C1053" s="144" t="s">
        <v>867</v>
      </c>
      <c r="D1053" s="144" t="s">
        <v>6</v>
      </c>
      <c r="E1053" s="144" t="s">
        <v>5404</v>
      </c>
      <c r="F1053" s="144" t="s">
        <v>5405</v>
      </c>
      <c r="G1053" s="145" t="s">
        <v>868</v>
      </c>
      <c r="H1053" s="134"/>
    </row>
    <row r="1054" spans="1:8" s="140" customFormat="1" x14ac:dyDescent="0.25">
      <c r="A1054" s="141"/>
      <c r="B1054" s="146"/>
      <c r="C1054" s="147"/>
      <c r="D1054" s="147"/>
      <c r="E1054" s="148"/>
      <c r="F1054" s="167"/>
      <c r="G1054" s="360"/>
      <c r="H1054" s="134"/>
    </row>
    <row r="1055" spans="1:8" s="140" customFormat="1" x14ac:dyDescent="0.25">
      <c r="A1055" s="141"/>
      <c r="B1055" s="150"/>
      <c r="C1055" s="151"/>
      <c r="D1055" s="151"/>
      <c r="E1055" s="366"/>
      <c r="F1055" s="197"/>
      <c r="G1055" s="360"/>
      <c r="H1055" s="134"/>
    </row>
    <row r="1056" spans="1:8" s="140" customFormat="1" x14ac:dyDescent="0.25">
      <c r="A1056" s="141"/>
      <c r="B1056" s="154"/>
      <c r="C1056" s="151"/>
      <c r="D1056" s="151"/>
      <c r="E1056" s="366"/>
      <c r="F1056" s="197"/>
      <c r="G1056" s="360"/>
      <c r="H1056" s="134"/>
    </row>
    <row r="1057" spans="1:8" s="140" customFormat="1" x14ac:dyDescent="0.25">
      <c r="A1057" s="141"/>
      <c r="B1057" s="155"/>
      <c r="C1057" s="151"/>
      <c r="D1057" s="152"/>
      <c r="E1057" s="152"/>
      <c r="F1057" s="151"/>
      <c r="G1057" s="156"/>
      <c r="H1057" s="134"/>
    </row>
    <row r="1058" spans="1:8" s="140" customFormat="1" x14ac:dyDescent="0.25">
      <c r="A1058" s="141"/>
      <c r="B1058" s="155"/>
      <c r="C1058" s="151"/>
      <c r="D1058" s="152"/>
      <c r="E1058" s="152"/>
      <c r="F1058" s="151"/>
      <c r="G1058" s="156"/>
      <c r="H1058" s="134"/>
    </row>
    <row r="1059" spans="1:8" s="140" customFormat="1" ht="13.5" thickBot="1" x14ac:dyDescent="0.3">
      <c r="A1059" s="141"/>
      <c r="B1059" s="155"/>
      <c r="C1059" s="151"/>
      <c r="D1059" s="152"/>
      <c r="E1059" s="152"/>
      <c r="F1059" s="151"/>
      <c r="G1059" s="156"/>
      <c r="H1059" s="134"/>
    </row>
    <row r="1060" spans="1:8" s="140" customFormat="1" ht="13.5" thickBot="1" x14ac:dyDescent="0.3">
      <c r="A1060" s="141"/>
      <c r="B1060" s="157"/>
      <c r="C1060" s="158"/>
      <c r="D1060" s="159"/>
      <c r="E1060" s="159"/>
      <c r="F1060" s="158"/>
      <c r="G1060" s="160"/>
      <c r="H1060" s="161">
        <f>+SUM(G1054:G1060)</f>
        <v>0</v>
      </c>
    </row>
    <row r="1061" spans="1:8" s="140" customFormat="1" ht="13.5" thickBot="1" x14ac:dyDescent="0.3">
      <c r="A1061" s="141"/>
      <c r="B1061" s="162"/>
      <c r="C1061" s="163"/>
      <c r="D1061" s="162"/>
      <c r="E1061" s="162"/>
      <c r="F1061" s="163"/>
      <c r="G1061" s="164"/>
      <c r="H1061" s="165"/>
    </row>
    <row r="1062" spans="1:8" s="140" customFormat="1" ht="13.5" thickBot="1" x14ac:dyDescent="0.3">
      <c r="B1062" s="143" t="s">
        <v>5408</v>
      </c>
      <c r="C1062" s="144" t="s">
        <v>867</v>
      </c>
      <c r="D1062" s="144" t="s">
        <v>6</v>
      </c>
      <c r="E1062" s="144" t="s">
        <v>870</v>
      </c>
      <c r="F1062" s="144" t="s">
        <v>5409</v>
      </c>
      <c r="G1062" s="145" t="s">
        <v>868</v>
      </c>
      <c r="H1062" s="134"/>
    </row>
    <row r="1063" spans="1:8" s="140" customFormat="1" x14ac:dyDescent="0.25">
      <c r="B1063" s="201" t="s">
        <v>5671</v>
      </c>
      <c r="C1063" s="147" t="s">
        <v>5672</v>
      </c>
      <c r="D1063" s="167">
        <v>1</v>
      </c>
      <c r="E1063" s="148">
        <f>314960*1.06</f>
        <v>333857.60000000003</v>
      </c>
      <c r="F1063" s="169"/>
      <c r="G1063" s="367">
        <f>+D1063*E1063*(1+F1063)</f>
        <v>333857.60000000003</v>
      </c>
      <c r="H1063" s="134"/>
    </row>
    <row r="1064" spans="1:8" s="140" customFormat="1" x14ac:dyDescent="0.25">
      <c r="B1064" s="196" t="s">
        <v>5673</v>
      </c>
      <c r="C1064" s="151" t="s">
        <v>5672</v>
      </c>
      <c r="D1064" s="197">
        <v>0.01</v>
      </c>
      <c r="E1064" s="148">
        <v>7200000</v>
      </c>
      <c r="F1064" s="169"/>
      <c r="G1064" s="367">
        <f>+D1064*E1064*(1+F1064)</f>
        <v>72000</v>
      </c>
      <c r="H1064" s="134"/>
    </row>
    <row r="1065" spans="1:8" s="140" customFormat="1" x14ac:dyDescent="0.25">
      <c r="B1065" s="196"/>
      <c r="C1065" s="151"/>
      <c r="D1065" s="197"/>
      <c r="E1065" s="148"/>
      <c r="F1065" s="169"/>
      <c r="G1065" s="367"/>
      <c r="H1065" s="134"/>
    </row>
    <row r="1066" spans="1:8" s="140" customFormat="1" x14ac:dyDescent="0.25">
      <c r="B1066" s="155"/>
      <c r="C1066" s="151"/>
      <c r="D1066" s="197"/>
      <c r="E1066" s="148"/>
      <c r="F1066" s="296"/>
      <c r="G1066" s="367"/>
      <c r="H1066" s="134"/>
    </row>
    <row r="1067" spans="1:8" s="140" customFormat="1" x14ac:dyDescent="0.25">
      <c r="B1067" s="155"/>
      <c r="C1067" s="151"/>
      <c r="D1067" s="151"/>
      <c r="E1067" s="148"/>
      <c r="F1067" s="151"/>
      <c r="G1067" s="367"/>
      <c r="H1067" s="134"/>
    </row>
    <row r="1068" spans="1:8" s="140" customFormat="1" x14ac:dyDescent="0.25">
      <c r="B1068" s="155"/>
      <c r="C1068" s="151"/>
      <c r="D1068" s="151"/>
      <c r="E1068" s="148"/>
      <c r="F1068" s="151"/>
      <c r="G1068" s="367"/>
      <c r="H1068" s="134"/>
    </row>
    <row r="1069" spans="1:8" s="140" customFormat="1" x14ac:dyDescent="0.25">
      <c r="B1069" s="155"/>
      <c r="C1069" s="151"/>
      <c r="D1069" s="151"/>
      <c r="E1069" s="148"/>
      <c r="F1069" s="151"/>
      <c r="G1069" s="367"/>
      <c r="H1069" s="134"/>
    </row>
    <row r="1070" spans="1:8" s="140" customFormat="1" x14ac:dyDescent="0.25">
      <c r="B1070" s="155"/>
      <c r="C1070" s="151"/>
      <c r="D1070" s="151"/>
      <c r="E1070" s="148"/>
      <c r="F1070" s="151"/>
      <c r="G1070" s="367"/>
      <c r="H1070" s="134"/>
    </row>
    <row r="1071" spans="1:8" s="140" customFormat="1" x14ac:dyDescent="0.25">
      <c r="B1071" s="155"/>
      <c r="C1071" s="151"/>
      <c r="D1071" s="151"/>
      <c r="E1071" s="148"/>
      <c r="F1071" s="151"/>
      <c r="G1071" s="367"/>
      <c r="H1071" s="134"/>
    </row>
    <row r="1072" spans="1:8" s="140" customFormat="1" x14ac:dyDescent="0.25">
      <c r="B1072" s="155"/>
      <c r="C1072" s="151"/>
      <c r="D1072" s="151"/>
      <c r="E1072" s="148"/>
      <c r="F1072" s="151"/>
      <c r="G1072" s="367"/>
      <c r="H1072" s="134"/>
    </row>
    <row r="1073" spans="2:8" s="140" customFormat="1" x14ac:dyDescent="0.25">
      <c r="B1073" s="155"/>
      <c r="C1073" s="152"/>
      <c r="D1073" s="152"/>
      <c r="E1073" s="152"/>
      <c r="F1073" s="151"/>
      <c r="G1073" s="156"/>
      <c r="H1073" s="134"/>
    </row>
    <row r="1074" spans="2:8" s="140" customFormat="1" ht="13.5" thickBot="1" x14ac:dyDescent="0.3">
      <c r="B1074" s="155"/>
      <c r="C1074" s="152"/>
      <c r="D1074" s="152"/>
      <c r="E1074" s="152"/>
      <c r="F1074" s="151"/>
      <c r="G1074" s="156"/>
      <c r="H1074" s="134"/>
    </row>
    <row r="1075" spans="2:8" s="140" customFormat="1" ht="13.5" thickBot="1" x14ac:dyDescent="0.3">
      <c r="B1075" s="157"/>
      <c r="C1075" s="159"/>
      <c r="D1075" s="159"/>
      <c r="E1075" s="159"/>
      <c r="F1075" s="158"/>
      <c r="G1075" s="160"/>
      <c r="H1075" s="161">
        <f>+SUM(G1063:G1075)</f>
        <v>405857.60000000003</v>
      </c>
    </row>
    <row r="1076" spans="2:8" s="140" customFormat="1" ht="13.5" thickBot="1" x14ac:dyDescent="0.3">
      <c r="B1076" s="162"/>
      <c r="C1076" s="162"/>
      <c r="D1076" s="162"/>
      <c r="E1076" s="162"/>
      <c r="F1076" s="163"/>
      <c r="G1076" s="164"/>
      <c r="H1076" s="165"/>
    </row>
    <row r="1077" spans="2:8" s="140" customFormat="1" ht="13.5" thickBot="1" x14ac:dyDescent="0.3">
      <c r="B1077" s="143" t="s">
        <v>5410</v>
      </c>
      <c r="C1077" s="144" t="s">
        <v>867</v>
      </c>
      <c r="D1077" s="144" t="s">
        <v>6</v>
      </c>
      <c r="E1077" s="144" t="s">
        <v>870</v>
      </c>
      <c r="F1077" s="144" t="s">
        <v>5411</v>
      </c>
      <c r="G1077" s="145" t="s">
        <v>868</v>
      </c>
      <c r="H1077" s="134"/>
    </row>
    <row r="1078" spans="2:8" s="140" customFormat="1" x14ac:dyDescent="0.25">
      <c r="B1078" s="201"/>
      <c r="C1078" s="147"/>
      <c r="D1078" s="167"/>
      <c r="E1078" s="148"/>
      <c r="F1078" s="169"/>
      <c r="G1078" s="367">
        <f>+D1078*E1078*(1+F1078)</f>
        <v>0</v>
      </c>
      <c r="H1078" s="134"/>
    </row>
    <row r="1079" spans="2:8" s="140" customFormat="1" x14ac:dyDescent="0.25">
      <c r="B1079" s="196"/>
      <c r="C1079" s="151"/>
      <c r="D1079" s="151"/>
      <c r="E1079" s="148"/>
      <c r="F1079" s="147"/>
      <c r="G1079" s="367"/>
      <c r="H1079" s="134"/>
    </row>
    <row r="1080" spans="2:8" s="140" customFormat="1" x14ac:dyDescent="0.25">
      <c r="B1080" s="196"/>
      <c r="C1080" s="151"/>
      <c r="D1080" s="151"/>
      <c r="E1080" s="148"/>
      <c r="F1080" s="151"/>
      <c r="G1080" s="367"/>
      <c r="H1080" s="134"/>
    </row>
    <row r="1081" spans="2:8" s="140" customFormat="1" x14ac:dyDescent="0.25">
      <c r="B1081" s="155"/>
      <c r="C1081" s="151"/>
      <c r="D1081" s="151"/>
      <c r="E1081" s="148"/>
      <c r="F1081" s="151"/>
      <c r="G1081" s="367"/>
      <c r="H1081" s="134"/>
    </row>
    <row r="1082" spans="2:8" s="140" customFormat="1" x14ac:dyDescent="0.25">
      <c r="B1082" s="155"/>
      <c r="C1082" s="151"/>
      <c r="D1082" s="151"/>
      <c r="E1082" s="148"/>
      <c r="F1082" s="151"/>
      <c r="G1082" s="367"/>
      <c r="H1082" s="134"/>
    </row>
    <row r="1083" spans="2:8" s="140" customFormat="1" ht="13.5" thickBot="1" x14ac:dyDescent="0.3">
      <c r="B1083" s="155"/>
      <c r="C1083" s="151"/>
      <c r="D1083" s="151"/>
      <c r="E1083" s="148"/>
      <c r="F1083" s="151"/>
      <c r="G1083" s="367"/>
      <c r="H1083" s="134"/>
    </row>
    <row r="1084" spans="2:8" s="140" customFormat="1" ht="13.5" thickBot="1" x14ac:dyDescent="0.3">
      <c r="B1084" s="157"/>
      <c r="C1084" s="159"/>
      <c r="D1084" s="159"/>
      <c r="E1084" s="159"/>
      <c r="F1084" s="158"/>
      <c r="G1084" s="160"/>
      <c r="H1084" s="161">
        <f>+SUM(G1078:G1084)</f>
        <v>0</v>
      </c>
    </row>
    <row r="1085" spans="2:8" s="140" customFormat="1" ht="13.5" thickBot="1" x14ac:dyDescent="0.3">
      <c r="B1085" s="162"/>
      <c r="C1085" s="162"/>
      <c r="D1085" s="162"/>
      <c r="E1085" s="162"/>
      <c r="F1085" s="173"/>
      <c r="G1085" s="174"/>
      <c r="H1085" s="165"/>
    </row>
    <row r="1086" spans="2:8" s="140" customFormat="1" ht="13.5" thickBot="1" x14ac:dyDescent="0.3">
      <c r="B1086" s="143" t="s">
        <v>5412</v>
      </c>
      <c r="C1086" s="144" t="s">
        <v>5420</v>
      </c>
      <c r="D1086" s="144" t="s">
        <v>5421</v>
      </c>
      <c r="E1086" s="144" t="s">
        <v>5413</v>
      </c>
      <c r="F1086" s="144" t="s">
        <v>5405</v>
      </c>
      <c r="G1086" s="145" t="s">
        <v>868</v>
      </c>
      <c r="H1086" s="134"/>
    </row>
    <row r="1087" spans="2:8" s="140" customFormat="1" x14ac:dyDescent="0.25">
      <c r="B1087" s="194"/>
      <c r="C1087" s="345"/>
      <c r="D1087" s="345"/>
      <c r="E1087" s="353"/>
      <c r="F1087" s="202"/>
      <c r="G1087" s="351"/>
      <c r="H1087" s="134"/>
    </row>
    <row r="1088" spans="2:8" s="140" customFormat="1" x14ac:dyDescent="0.25">
      <c r="B1088" s="194"/>
      <c r="C1088" s="345"/>
      <c r="D1088" s="345"/>
      <c r="E1088" s="353"/>
      <c r="F1088" s="204"/>
      <c r="G1088" s="351"/>
      <c r="H1088" s="134"/>
    </row>
    <row r="1089" spans="1:8" s="140" customFormat="1" x14ac:dyDescent="0.25">
      <c r="B1089" s="195"/>
      <c r="C1089" s="345"/>
      <c r="D1089" s="345"/>
      <c r="E1089" s="353"/>
      <c r="F1089" s="205"/>
      <c r="G1089" s="351"/>
      <c r="H1089" s="134"/>
    </row>
    <row r="1090" spans="1:8" s="140" customFormat="1" x14ac:dyDescent="0.25">
      <c r="B1090" s="155"/>
      <c r="C1090" s="345"/>
      <c r="D1090" s="345"/>
      <c r="E1090" s="353"/>
      <c r="F1090" s="205"/>
      <c r="G1090" s="351"/>
      <c r="H1090" s="134"/>
    </row>
    <row r="1091" spans="1:8" s="140" customFormat="1" x14ac:dyDescent="0.25">
      <c r="B1091" s="155"/>
      <c r="C1091" s="152"/>
      <c r="D1091" s="152"/>
      <c r="E1091" s="152"/>
      <c r="F1091" s="151"/>
      <c r="G1091" s="156"/>
      <c r="H1091" s="134"/>
    </row>
    <row r="1092" spans="1:8" s="140" customFormat="1" ht="13.5" thickBot="1" x14ac:dyDescent="0.3">
      <c r="B1092" s="155"/>
      <c r="C1092" s="152"/>
      <c r="D1092" s="152"/>
      <c r="E1092" s="152"/>
      <c r="F1092" s="151"/>
      <c r="G1092" s="156"/>
      <c r="H1092" s="134"/>
    </row>
    <row r="1093" spans="1:8" s="140" customFormat="1" ht="13.5" thickBot="1" x14ac:dyDescent="0.3">
      <c r="B1093" s="179"/>
      <c r="C1093" s="180"/>
      <c r="D1093" s="180"/>
      <c r="E1093" s="180"/>
      <c r="F1093" s="181"/>
      <c r="G1093" s="182"/>
      <c r="H1093" s="161">
        <f>+SUM(G1087:G1093)</f>
        <v>0</v>
      </c>
    </row>
    <row r="1094" spans="1:8" s="140" customFormat="1" ht="13.5" thickBot="1" x14ac:dyDescent="0.3">
      <c r="F1094" s="141"/>
      <c r="G1094" s="134"/>
      <c r="H1094" s="134"/>
    </row>
    <row r="1095" spans="1:8" s="140" customFormat="1" ht="13.5" thickBot="1" x14ac:dyDescent="0.3">
      <c r="E1095" s="183" t="s">
        <v>5415</v>
      </c>
      <c r="F1095" s="141"/>
      <c r="G1095" s="134"/>
      <c r="H1095" s="161">
        <f>ROUND(+H1060+H1075+H1084+H1093,0)</f>
        <v>405858</v>
      </c>
    </row>
    <row r="1100" spans="1:8" ht="18.75" x14ac:dyDescent="0.25">
      <c r="A1100" s="133"/>
      <c r="B1100" s="2506" t="s">
        <v>5400</v>
      </c>
      <c r="C1100" s="2506"/>
      <c r="D1100" s="2506"/>
      <c r="E1100" s="2506"/>
      <c r="F1100" s="2506"/>
      <c r="G1100" s="2506"/>
    </row>
    <row r="1101" spans="1:8" x14ac:dyDescent="0.25">
      <c r="A1101" s="133"/>
      <c r="G1101" s="134"/>
    </row>
    <row r="1102" spans="1:8" x14ac:dyDescent="0.25">
      <c r="A1102" s="133"/>
      <c r="G1102" s="134"/>
    </row>
    <row r="1103" spans="1:8" x14ac:dyDescent="0.25">
      <c r="A1103" s="133"/>
      <c r="G1103" s="134"/>
    </row>
    <row r="1104" spans="1:8" s="140" customFormat="1" x14ac:dyDescent="0.25">
      <c r="A1104" s="138" t="s">
        <v>3</v>
      </c>
      <c r="B1104" s="138" t="s">
        <v>5458</v>
      </c>
      <c r="C1104" s="2450" t="s">
        <v>5968</v>
      </c>
      <c r="D1104" s="2450"/>
      <c r="E1104" s="2450"/>
      <c r="F1104" s="138" t="s">
        <v>867</v>
      </c>
      <c r="G1104" s="139" t="s">
        <v>5454</v>
      </c>
      <c r="H1104" s="134"/>
    </row>
    <row r="1105" spans="1:8" s="140" customFormat="1" ht="24.95" customHeight="1" x14ac:dyDescent="0.25">
      <c r="A1105" s="141"/>
      <c r="F1105" s="141"/>
      <c r="G1105" s="134"/>
      <c r="H1105" s="134"/>
    </row>
    <row r="1106" spans="1:8" s="140" customFormat="1" ht="12.75" customHeight="1" x14ac:dyDescent="0.25">
      <c r="A1106" s="141"/>
      <c r="F1106" s="141"/>
      <c r="G1106" s="142"/>
      <c r="H1106" s="134"/>
    </row>
    <row r="1107" spans="1:8" s="140" customFormat="1" ht="13.5" thickBot="1" x14ac:dyDescent="0.3">
      <c r="A1107" s="141"/>
      <c r="F1107" s="141"/>
      <c r="G1107" s="134"/>
      <c r="H1107" s="134"/>
    </row>
    <row r="1108" spans="1:8" s="140" customFormat="1" ht="13.5" thickBot="1" x14ac:dyDescent="0.3">
      <c r="A1108" s="141"/>
      <c r="B1108" s="143" t="s">
        <v>5403</v>
      </c>
      <c r="C1108" s="144" t="s">
        <v>867</v>
      </c>
      <c r="D1108" s="144" t="s">
        <v>6</v>
      </c>
      <c r="E1108" s="144" t="s">
        <v>5404</v>
      </c>
      <c r="F1108" s="144" t="s">
        <v>5405</v>
      </c>
      <c r="G1108" s="145" t="s">
        <v>868</v>
      </c>
      <c r="H1108" s="134"/>
    </row>
    <row r="1109" spans="1:8" s="140" customFormat="1" x14ac:dyDescent="0.25">
      <c r="A1109" s="141"/>
      <c r="B1109" s="146" t="s">
        <v>5440</v>
      </c>
      <c r="C1109" s="147" t="s">
        <v>5406</v>
      </c>
      <c r="D1109" s="147"/>
      <c r="E1109" s="148">
        <f>+H1148</f>
        <v>20239</v>
      </c>
      <c r="F1109" s="167">
        <v>0.1</v>
      </c>
      <c r="G1109" s="360">
        <f>+E1109*F1109</f>
        <v>2023.9</v>
      </c>
      <c r="H1109" s="134"/>
    </row>
    <row r="1110" spans="1:8" s="140" customFormat="1" x14ac:dyDescent="0.25">
      <c r="A1110" s="141"/>
      <c r="B1110" s="150"/>
      <c r="C1110" s="151"/>
      <c r="D1110" s="151"/>
      <c r="E1110" s="366"/>
      <c r="F1110" s="151"/>
      <c r="G1110" s="360"/>
      <c r="H1110" s="134"/>
    </row>
    <row r="1111" spans="1:8" s="140" customFormat="1" x14ac:dyDescent="0.25">
      <c r="A1111" s="141"/>
      <c r="B1111" s="154"/>
      <c r="C1111" s="151"/>
      <c r="D1111" s="151"/>
      <c r="E1111" s="366"/>
      <c r="F1111" s="151"/>
      <c r="G1111" s="360"/>
      <c r="H1111" s="134"/>
    </row>
    <row r="1112" spans="1:8" s="140" customFormat="1" x14ac:dyDescent="0.25">
      <c r="A1112" s="141"/>
      <c r="B1112" s="155"/>
      <c r="C1112" s="151"/>
      <c r="D1112" s="152"/>
      <c r="E1112" s="152"/>
      <c r="F1112" s="151"/>
      <c r="G1112" s="156"/>
      <c r="H1112" s="134"/>
    </row>
    <row r="1113" spans="1:8" s="140" customFormat="1" x14ac:dyDescent="0.25">
      <c r="A1113" s="141"/>
      <c r="B1113" s="155"/>
      <c r="C1113" s="151"/>
      <c r="D1113" s="152"/>
      <c r="E1113" s="152"/>
      <c r="F1113" s="151"/>
      <c r="G1113" s="156"/>
      <c r="H1113" s="134"/>
    </row>
    <row r="1114" spans="1:8" s="140" customFormat="1" ht="13.5" thickBot="1" x14ac:dyDescent="0.3">
      <c r="A1114" s="141"/>
      <c r="B1114" s="155"/>
      <c r="C1114" s="151"/>
      <c r="D1114" s="152"/>
      <c r="E1114" s="152"/>
      <c r="F1114" s="151"/>
      <c r="G1114" s="156"/>
      <c r="H1114" s="134"/>
    </row>
    <row r="1115" spans="1:8" s="140" customFormat="1" ht="13.5" thickBot="1" x14ac:dyDescent="0.3">
      <c r="A1115" s="141"/>
      <c r="B1115" s="157"/>
      <c r="C1115" s="158"/>
      <c r="D1115" s="159"/>
      <c r="E1115" s="159"/>
      <c r="F1115" s="158"/>
      <c r="G1115" s="160"/>
      <c r="H1115" s="161">
        <f>+SUM(G1109:G1115)</f>
        <v>2023.9</v>
      </c>
    </row>
    <row r="1116" spans="1:8" s="140" customFormat="1" ht="13.5" thickBot="1" x14ac:dyDescent="0.3">
      <c r="A1116" s="141"/>
      <c r="B1116" s="162"/>
      <c r="C1116" s="163"/>
      <c r="D1116" s="162"/>
      <c r="E1116" s="162"/>
      <c r="F1116" s="163"/>
      <c r="G1116" s="164"/>
      <c r="H1116" s="165"/>
    </row>
    <row r="1117" spans="1:8" s="140" customFormat="1" ht="13.5" thickBot="1" x14ac:dyDescent="0.3">
      <c r="B1117" s="143" t="s">
        <v>5408</v>
      </c>
      <c r="C1117" s="144" t="s">
        <v>867</v>
      </c>
      <c r="D1117" s="144" t="s">
        <v>6</v>
      </c>
      <c r="E1117" s="144" t="s">
        <v>870</v>
      </c>
      <c r="F1117" s="144" t="s">
        <v>5409</v>
      </c>
      <c r="G1117" s="145" t="s">
        <v>868</v>
      </c>
      <c r="H1117" s="134"/>
    </row>
    <row r="1118" spans="1:8" s="140" customFormat="1" x14ac:dyDescent="0.25">
      <c r="B1118" s="201"/>
      <c r="C1118" s="147"/>
      <c r="D1118" s="167"/>
      <c r="E1118" s="148"/>
      <c r="F1118" s="169"/>
      <c r="G1118" s="367">
        <f>+D1118*E1118*(1+F1118)</f>
        <v>0</v>
      </c>
      <c r="H1118" s="134"/>
    </row>
    <row r="1119" spans="1:8" s="140" customFormat="1" x14ac:dyDescent="0.25">
      <c r="B1119" s="196"/>
      <c r="C1119" s="151"/>
      <c r="D1119" s="151"/>
      <c r="E1119" s="148"/>
      <c r="F1119" s="169"/>
      <c r="G1119" s="354"/>
      <c r="H1119" s="134"/>
    </row>
    <row r="1120" spans="1:8" s="140" customFormat="1" x14ac:dyDescent="0.25">
      <c r="B1120" s="196"/>
      <c r="C1120" s="151"/>
      <c r="D1120" s="151"/>
      <c r="E1120" s="148"/>
      <c r="F1120" s="169"/>
      <c r="G1120" s="367"/>
      <c r="H1120" s="134"/>
    </row>
    <row r="1121" spans="2:8" s="140" customFormat="1" x14ac:dyDescent="0.25">
      <c r="B1121" s="155"/>
      <c r="C1121" s="151"/>
      <c r="D1121" s="151"/>
      <c r="E1121" s="148"/>
      <c r="F1121" s="151"/>
      <c r="G1121" s="367"/>
      <c r="H1121" s="134"/>
    </row>
    <row r="1122" spans="2:8" s="140" customFormat="1" x14ac:dyDescent="0.25">
      <c r="B1122" s="155"/>
      <c r="C1122" s="151"/>
      <c r="D1122" s="151"/>
      <c r="E1122" s="148"/>
      <c r="F1122" s="151"/>
      <c r="G1122" s="367"/>
      <c r="H1122" s="134"/>
    </row>
    <row r="1123" spans="2:8" s="140" customFormat="1" x14ac:dyDescent="0.25">
      <c r="B1123" s="155"/>
      <c r="C1123" s="151"/>
      <c r="D1123" s="151"/>
      <c r="E1123" s="148"/>
      <c r="F1123" s="151"/>
      <c r="G1123" s="367"/>
      <c r="H1123" s="134"/>
    </row>
    <row r="1124" spans="2:8" s="140" customFormat="1" x14ac:dyDescent="0.25">
      <c r="B1124" s="155"/>
      <c r="C1124" s="151"/>
      <c r="D1124" s="151"/>
      <c r="E1124" s="148"/>
      <c r="F1124" s="151"/>
      <c r="G1124" s="367"/>
      <c r="H1124" s="134"/>
    </row>
    <row r="1125" spans="2:8" s="140" customFormat="1" x14ac:dyDescent="0.25">
      <c r="B1125" s="155"/>
      <c r="C1125" s="151"/>
      <c r="D1125" s="151"/>
      <c r="E1125" s="148"/>
      <c r="F1125" s="151"/>
      <c r="G1125" s="367"/>
      <c r="H1125" s="134"/>
    </row>
    <row r="1126" spans="2:8" s="140" customFormat="1" x14ac:dyDescent="0.25">
      <c r="B1126" s="155"/>
      <c r="C1126" s="151"/>
      <c r="D1126" s="151"/>
      <c r="E1126" s="148"/>
      <c r="F1126" s="151"/>
      <c r="G1126" s="367"/>
      <c r="H1126" s="134"/>
    </row>
    <row r="1127" spans="2:8" s="140" customFormat="1" x14ac:dyDescent="0.25">
      <c r="B1127" s="155"/>
      <c r="C1127" s="151"/>
      <c r="D1127" s="151"/>
      <c r="E1127" s="148"/>
      <c r="F1127" s="151"/>
      <c r="G1127" s="367"/>
      <c r="H1127" s="134"/>
    </row>
    <row r="1128" spans="2:8" s="140" customFormat="1" x14ac:dyDescent="0.25">
      <c r="B1128" s="155"/>
      <c r="C1128" s="152"/>
      <c r="D1128" s="152"/>
      <c r="E1128" s="152"/>
      <c r="F1128" s="151"/>
      <c r="G1128" s="156"/>
      <c r="H1128" s="134"/>
    </row>
    <row r="1129" spans="2:8" s="140" customFormat="1" ht="13.5" thickBot="1" x14ac:dyDescent="0.3">
      <c r="B1129" s="155"/>
      <c r="C1129" s="152"/>
      <c r="D1129" s="152"/>
      <c r="E1129" s="152"/>
      <c r="F1129" s="151"/>
      <c r="G1129" s="156"/>
      <c r="H1129" s="134"/>
    </row>
    <row r="1130" spans="2:8" s="140" customFormat="1" ht="13.5" thickBot="1" x14ac:dyDescent="0.3">
      <c r="B1130" s="157"/>
      <c r="C1130" s="159"/>
      <c r="D1130" s="159"/>
      <c r="E1130" s="159"/>
      <c r="F1130" s="158"/>
      <c r="G1130" s="160"/>
      <c r="H1130" s="161">
        <f>+SUM(G1118:G1130)</f>
        <v>0</v>
      </c>
    </row>
    <row r="1131" spans="2:8" s="140" customFormat="1" ht="13.5" thickBot="1" x14ac:dyDescent="0.3">
      <c r="B1131" s="162"/>
      <c r="C1131" s="162"/>
      <c r="D1131" s="162"/>
      <c r="E1131" s="162"/>
      <c r="F1131" s="163"/>
      <c r="G1131" s="164"/>
      <c r="H1131" s="165"/>
    </row>
    <row r="1132" spans="2:8" s="140" customFormat="1" ht="13.5" thickBot="1" x14ac:dyDescent="0.3">
      <c r="B1132" s="143" t="s">
        <v>5410</v>
      </c>
      <c r="C1132" s="144" t="s">
        <v>867</v>
      </c>
      <c r="D1132" s="144" t="s">
        <v>6</v>
      </c>
      <c r="E1132" s="144" t="s">
        <v>870</v>
      </c>
      <c r="F1132" s="144" t="s">
        <v>5411</v>
      </c>
      <c r="G1132" s="145" t="s">
        <v>868</v>
      </c>
      <c r="H1132" s="134"/>
    </row>
    <row r="1133" spans="2:8" s="140" customFormat="1" x14ac:dyDescent="0.25">
      <c r="B1133" s="201"/>
      <c r="C1133" s="147"/>
      <c r="D1133" s="167"/>
      <c r="E1133" s="148"/>
      <c r="F1133" s="169"/>
      <c r="G1133" s="367">
        <f>+D1133*E1133*(1+F1133)</f>
        <v>0</v>
      </c>
      <c r="H1133" s="134"/>
    </row>
    <row r="1134" spans="2:8" s="140" customFormat="1" x14ac:dyDescent="0.25">
      <c r="B1134" s="196"/>
      <c r="C1134" s="151"/>
      <c r="D1134" s="151"/>
      <c r="E1134" s="148"/>
      <c r="F1134" s="147"/>
      <c r="G1134" s="367"/>
      <c r="H1134" s="134"/>
    </row>
    <row r="1135" spans="2:8" s="140" customFormat="1" x14ac:dyDescent="0.25">
      <c r="B1135" s="196"/>
      <c r="C1135" s="151"/>
      <c r="D1135" s="151"/>
      <c r="E1135" s="148"/>
      <c r="F1135" s="151"/>
      <c r="G1135" s="367"/>
      <c r="H1135" s="134"/>
    </row>
    <row r="1136" spans="2:8" s="140" customFormat="1" x14ac:dyDescent="0.25">
      <c r="B1136" s="155"/>
      <c r="C1136" s="151"/>
      <c r="D1136" s="151"/>
      <c r="E1136" s="148"/>
      <c r="F1136" s="151"/>
      <c r="G1136" s="367"/>
      <c r="H1136" s="134"/>
    </row>
    <row r="1137" spans="2:8" s="140" customFormat="1" x14ac:dyDescent="0.25">
      <c r="B1137" s="155"/>
      <c r="C1137" s="151"/>
      <c r="D1137" s="151"/>
      <c r="E1137" s="148"/>
      <c r="F1137" s="151"/>
      <c r="G1137" s="367"/>
      <c r="H1137" s="134"/>
    </row>
    <row r="1138" spans="2:8" s="140" customFormat="1" ht="13.5" thickBot="1" x14ac:dyDescent="0.3">
      <c r="B1138" s="155"/>
      <c r="C1138" s="151"/>
      <c r="D1138" s="151"/>
      <c r="E1138" s="148"/>
      <c r="F1138" s="151"/>
      <c r="G1138" s="367"/>
      <c r="H1138" s="134"/>
    </row>
    <row r="1139" spans="2:8" s="140" customFormat="1" ht="13.5" thickBot="1" x14ac:dyDescent="0.3">
      <c r="B1139" s="157"/>
      <c r="C1139" s="159"/>
      <c r="D1139" s="159"/>
      <c r="E1139" s="159"/>
      <c r="F1139" s="158"/>
      <c r="G1139" s="160"/>
      <c r="H1139" s="161">
        <f>+SUM(G1133:G1139)</f>
        <v>0</v>
      </c>
    </row>
    <row r="1140" spans="2:8" s="140" customFormat="1" ht="13.5" thickBot="1" x14ac:dyDescent="0.3">
      <c r="B1140" s="162"/>
      <c r="C1140" s="162"/>
      <c r="D1140" s="162"/>
      <c r="E1140" s="162"/>
      <c r="F1140" s="173"/>
      <c r="G1140" s="174"/>
      <c r="H1140" s="165"/>
    </row>
    <row r="1141" spans="2:8" s="140" customFormat="1" ht="13.5" thickBot="1" x14ac:dyDescent="0.3">
      <c r="B1141" s="143" t="s">
        <v>5412</v>
      </c>
      <c r="C1141" s="144" t="s">
        <v>5420</v>
      </c>
      <c r="D1141" s="144" t="s">
        <v>5421</v>
      </c>
      <c r="E1141" s="144" t="s">
        <v>5413</v>
      </c>
      <c r="F1141" s="144" t="s">
        <v>5405</v>
      </c>
      <c r="G1141" s="145" t="s">
        <v>868</v>
      </c>
      <c r="H1141" s="134"/>
    </row>
    <row r="1142" spans="2:8" s="140" customFormat="1" x14ac:dyDescent="0.25">
      <c r="B1142" s="194" t="s">
        <v>5650</v>
      </c>
      <c r="C1142" s="345">
        <v>70000</v>
      </c>
      <c r="D1142" s="345">
        <f>+C1142*0.85</f>
        <v>59500</v>
      </c>
      <c r="E1142" s="353">
        <f>+C1142+D1142</f>
        <v>129500</v>
      </c>
      <c r="F1142" s="202">
        <v>100</v>
      </c>
      <c r="G1142" s="351">
        <f>+E1142/F1142</f>
        <v>1295</v>
      </c>
      <c r="H1142" s="134"/>
    </row>
    <row r="1143" spans="2:8" s="140" customFormat="1" x14ac:dyDescent="0.25">
      <c r="B1143" s="194" t="s">
        <v>5651</v>
      </c>
      <c r="C1143" s="345">
        <v>40000</v>
      </c>
      <c r="D1143" s="345">
        <f>+C1143*0.85</f>
        <v>34000</v>
      </c>
      <c r="E1143" s="353">
        <f>+C1143+D1143</f>
        <v>74000</v>
      </c>
      <c r="F1143" s="204">
        <v>20</v>
      </c>
      <c r="G1143" s="351">
        <f>+E1143/F1143</f>
        <v>3700</v>
      </c>
      <c r="H1143" s="134"/>
    </row>
    <row r="1144" spans="2:8" s="140" customFormat="1" x14ac:dyDescent="0.25">
      <c r="B1144" s="195" t="s">
        <v>5635</v>
      </c>
      <c r="C1144" s="345">
        <v>20600</v>
      </c>
      <c r="D1144" s="345">
        <f>+C1144*0.85</f>
        <v>17510</v>
      </c>
      <c r="E1144" s="353">
        <f>+C1144+D1144</f>
        <v>38110</v>
      </c>
      <c r="F1144" s="207">
        <v>2.5</v>
      </c>
      <c r="G1144" s="351">
        <f>+E1144/F1144</f>
        <v>15244</v>
      </c>
      <c r="H1144" s="134"/>
    </row>
    <row r="1145" spans="2:8" s="140" customFormat="1" x14ac:dyDescent="0.25">
      <c r="B1145" s="155"/>
      <c r="C1145" s="345"/>
      <c r="D1145" s="152"/>
      <c r="E1145" s="152"/>
      <c r="F1145" s="151"/>
      <c r="G1145" s="351"/>
      <c r="H1145" s="134"/>
    </row>
    <row r="1146" spans="2:8" s="140" customFormat="1" x14ac:dyDescent="0.25">
      <c r="B1146" s="155"/>
      <c r="C1146" s="152"/>
      <c r="D1146" s="152"/>
      <c r="E1146" s="152"/>
      <c r="F1146" s="151"/>
      <c r="G1146" s="156"/>
      <c r="H1146" s="134"/>
    </row>
    <row r="1147" spans="2:8" s="140" customFormat="1" ht="13.5" thickBot="1" x14ac:dyDescent="0.3">
      <c r="B1147" s="155"/>
      <c r="C1147" s="152"/>
      <c r="D1147" s="152"/>
      <c r="E1147" s="152"/>
      <c r="F1147" s="151"/>
      <c r="G1147" s="156"/>
      <c r="H1147" s="134"/>
    </row>
    <row r="1148" spans="2:8" s="140" customFormat="1" ht="13.5" thickBot="1" x14ac:dyDescent="0.3">
      <c r="B1148" s="179"/>
      <c r="C1148" s="180"/>
      <c r="D1148" s="180"/>
      <c r="E1148" s="180"/>
      <c r="F1148" s="181"/>
      <c r="G1148" s="182"/>
      <c r="H1148" s="161">
        <f>+SUM(G1142:G1148)</f>
        <v>20239</v>
      </c>
    </row>
    <row r="1149" spans="2:8" s="140" customFormat="1" ht="13.5" thickBot="1" x14ac:dyDescent="0.3">
      <c r="F1149" s="141"/>
      <c r="G1149" s="134"/>
      <c r="H1149" s="134"/>
    </row>
    <row r="1150" spans="2:8" s="140" customFormat="1" ht="13.5" thickBot="1" x14ac:dyDescent="0.3">
      <c r="E1150" s="183" t="s">
        <v>5415</v>
      </c>
      <c r="F1150" s="141"/>
      <c r="G1150" s="134"/>
      <c r="H1150" s="161">
        <f>ROUND(+H1115+H1130+H1139+H1148,0)</f>
        <v>22263</v>
      </c>
    </row>
    <row r="1152" spans="2:8" x14ac:dyDescent="0.25">
      <c r="H1152" s="341"/>
    </row>
    <row r="1155" spans="1:8" ht="18.75" x14ac:dyDescent="0.25">
      <c r="A1155" s="133"/>
      <c r="B1155" s="2506" t="s">
        <v>5400</v>
      </c>
      <c r="C1155" s="2506"/>
      <c r="D1155" s="2506"/>
      <c r="E1155" s="2506"/>
      <c r="F1155" s="2506"/>
      <c r="G1155" s="2506"/>
    </row>
    <row r="1156" spans="1:8" x14ac:dyDescent="0.25">
      <c r="A1156" s="133"/>
      <c r="G1156" s="134"/>
    </row>
    <row r="1157" spans="1:8" x14ac:dyDescent="0.25">
      <c r="A1157" s="133"/>
      <c r="G1157" s="134"/>
    </row>
    <row r="1158" spans="1:8" x14ac:dyDescent="0.25">
      <c r="A1158" s="133"/>
      <c r="G1158" s="134"/>
    </row>
    <row r="1159" spans="1:8" s="140" customFormat="1" x14ac:dyDescent="0.25">
      <c r="A1159" s="138" t="s">
        <v>3</v>
      </c>
      <c r="B1159" s="138" t="s">
        <v>89</v>
      </c>
      <c r="C1159" s="2450" t="s">
        <v>5969</v>
      </c>
      <c r="D1159" s="2450"/>
      <c r="E1159" s="2450"/>
      <c r="F1159" s="138" t="s">
        <v>867</v>
      </c>
      <c r="G1159" s="139" t="s">
        <v>5454</v>
      </c>
      <c r="H1159" s="134"/>
    </row>
    <row r="1160" spans="1:8" s="140" customFormat="1" ht="27" customHeight="1" x14ac:dyDescent="0.25">
      <c r="A1160" s="141"/>
      <c r="F1160" s="141"/>
      <c r="G1160" s="134"/>
      <c r="H1160" s="134"/>
    </row>
    <row r="1161" spans="1:8" s="140" customFormat="1" ht="12.75" customHeight="1" x14ac:dyDescent="0.25">
      <c r="A1161" s="141"/>
      <c r="F1161" s="141"/>
      <c r="G1161" s="142"/>
      <c r="H1161" s="134"/>
    </row>
    <row r="1162" spans="1:8" s="140" customFormat="1" ht="13.5" thickBot="1" x14ac:dyDescent="0.3">
      <c r="A1162" s="141"/>
      <c r="F1162" s="141"/>
      <c r="G1162" s="134"/>
      <c r="H1162" s="134"/>
    </row>
    <row r="1163" spans="1:8" s="140" customFormat="1" ht="13.5" thickBot="1" x14ac:dyDescent="0.3">
      <c r="A1163" s="141"/>
      <c r="B1163" s="143" t="s">
        <v>5403</v>
      </c>
      <c r="C1163" s="144" t="s">
        <v>867</v>
      </c>
      <c r="D1163" s="144" t="s">
        <v>6</v>
      </c>
      <c r="E1163" s="144" t="s">
        <v>5404</v>
      </c>
      <c r="F1163" s="144" t="s">
        <v>5405</v>
      </c>
      <c r="G1163" s="145" t="s">
        <v>868</v>
      </c>
      <c r="H1163" s="134"/>
    </row>
    <row r="1164" spans="1:8" s="140" customFormat="1" x14ac:dyDescent="0.25">
      <c r="A1164" s="141"/>
      <c r="B1164" s="146" t="s">
        <v>5440</v>
      </c>
      <c r="C1164" s="147" t="s">
        <v>5406</v>
      </c>
      <c r="D1164" s="147"/>
      <c r="E1164" s="148">
        <f>+H1203</f>
        <v>30401.666666666668</v>
      </c>
      <c r="F1164" s="167">
        <v>0.1</v>
      </c>
      <c r="G1164" s="360">
        <f>+E1164*F1164</f>
        <v>3040.166666666667</v>
      </c>
      <c r="H1164" s="134"/>
    </row>
    <row r="1165" spans="1:8" s="140" customFormat="1" x14ac:dyDescent="0.25">
      <c r="A1165" s="141"/>
      <c r="B1165" s="150"/>
      <c r="C1165" s="151"/>
      <c r="D1165" s="151"/>
      <c r="E1165" s="366"/>
      <c r="F1165" s="151"/>
      <c r="G1165" s="360"/>
      <c r="H1165" s="134"/>
    </row>
    <row r="1166" spans="1:8" s="140" customFormat="1" x14ac:dyDescent="0.25">
      <c r="A1166" s="141"/>
      <c r="B1166" s="154"/>
      <c r="C1166" s="151"/>
      <c r="D1166" s="151"/>
      <c r="E1166" s="366"/>
      <c r="F1166" s="151"/>
      <c r="G1166" s="360"/>
      <c r="H1166" s="134"/>
    </row>
    <row r="1167" spans="1:8" s="140" customFormat="1" x14ac:dyDescent="0.25">
      <c r="A1167" s="141"/>
      <c r="B1167" s="155"/>
      <c r="C1167" s="151"/>
      <c r="D1167" s="152"/>
      <c r="E1167" s="152"/>
      <c r="F1167" s="151"/>
      <c r="G1167" s="156"/>
      <c r="H1167" s="134"/>
    </row>
    <row r="1168" spans="1:8" s="140" customFormat="1" x14ac:dyDescent="0.25">
      <c r="A1168" s="141"/>
      <c r="B1168" s="155"/>
      <c r="C1168" s="151"/>
      <c r="D1168" s="152"/>
      <c r="E1168" s="152"/>
      <c r="F1168" s="151"/>
      <c r="G1168" s="156"/>
      <c r="H1168" s="134"/>
    </row>
    <row r="1169" spans="1:8" s="140" customFormat="1" ht="13.5" thickBot="1" x14ac:dyDescent="0.3">
      <c r="A1169" s="141"/>
      <c r="B1169" s="155"/>
      <c r="C1169" s="151"/>
      <c r="D1169" s="152"/>
      <c r="E1169" s="152"/>
      <c r="F1169" s="151"/>
      <c r="G1169" s="156"/>
      <c r="H1169" s="134"/>
    </row>
    <row r="1170" spans="1:8" s="140" customFormat="1" ht="13.5" thickBot="1" x14ac:dyDescent="0.3">
      <c r="A1170" s="141"/>
      <c r="B1170" s="157"/>
      <c r="C1170" s="158"/>
      <c r="D1170" s="159"/>
      <c r="E1170" s="159"/>
      <c r="F1170" s="158"/>
      <c r="G1170" s="160"/>
      <c r="H1170" s="161">
        <f>+SUM(G1164:G1170)</f>
        <v>3040.166666666667</v>
      </c>
    </row>
    <row r="1171" spans="1:8" s="140" customFormat="1" ht="13.5" thickBot="1" x14ac:dyDescent="0.3">
      <c r="A1171" s="141"/>
      <c r="B1171" s="162"/>
      <c r="C1171" s="163"/>
      <c r="D1171" s="162"/>
      <c r="E1171" s="162"/>
      <c r="F1171" s="163"/>
      <c r="G1171" s="164"/>
      <c r="H1171" s="165"/>
    </row>
    <row r="1172" spans="1:8" s="140" customFormat="1" ht="13.5" thickBot="1" x14ac:dyDescent="0.3">
      <c r="B1172" s="143" t="s">
        <v>5408</v>
      </c>
      <c r="C1172" s="144" t="s">
        <v>867</v>
      </c>
      <c r="D1172" s="144" t="s">
        <v>6</v>
      </c>
      <c r="E1172" s="144" t="s">
        <v>870</v>
      </c>
      <c r="F1172" s="144" t="s">
        <v>5409</v>
      </c>
      <c r="G1172" s="145" t="s">
        <v>868</v>
      </c>
      <c r="H1172" s="134"/>
    </row>
    <row r="1173" spans="1:8" s="140" customFormat="1" x14ac:dyDescent="0.25">
      <c r="B1173" s="201"/>
      <c r="C1173" s="147"/>
      <c r="D1173" s="167"/>
      <c r="E1173" s="148"/>
      <c r="F1173" s="169"/>
      <c r="G1173" s="367">
        <f>+D1173*E1173*(1+F1173)</f>
        <v>0</v>
      </c>
      <c r="H1173" s="134"/>
    </row>
    <row r="1174" spans="1:8" s="140" customFormat="1" x14ac:dyDescent="0.25">
      <c r="B1174" s="196"/>
      <c r="C1174" s="151"/>
      <c r="D1174" s="151"/>
      <c r="E1174" s="148"/>
      <c r="F1174" s="169"/>
      <c r="G1174" s="354"/>
      <c r="H1174" s="134"/>
    </row>
    <row r="1175" spans="1:8" s="140" customFormat="1" x14ac:dyDescent="0.25">
      <c r="B1175" s="196"/>
      <c r="C1175" s="151"/>
      <c r="D1175" s="151"/>
      <c r="E1175" s="148"/>
      <c r="F1175" s="169"/>
      <c r="G1175" s="367"/>
      <c r="H1175" s="134"/>
    </row>
    <row r="1176" spans="1:8" s="140" customFormat="1" x14ac:dyDescent="0.25">
      <c r="B1176" s="155"/>
      <c r="C1176" s="151"/>
      <c r="D1176" s="151"/>
      <c r="E1176" s="148"/>
      <c r="F1176" s="151"/>
      <c r="G1176" s="367"/>
      <c r="H1176" s="134"/>
    </row>
    <row r="1177" spans="1:8" s="140" customFormat="1" x14ac:dyDescent="0.25">
      <c r="B1177" s="155"/>
      <c r="C1177" s="151"/>
      <c r="D1177" s="151"/>
      <c r="E1177" s="148"/>
      <c r="F1177" s="151"/>
      <c r="G1177" s="367"/>
      <c r="H1177" s="134"/>
    </row>
    <row r="1178" spans="1:8" s="140" customFormat="1" x14ac:dyDescent="0.25">
      <c r="B1178" s="155"/>
      <c r="C1178" s="151"/>
      <c r="D1178" s="151"/>
      <c r="E1178" s="148"/>
      <c r="F1178" s="151"/>
      <c r="G1178" s="367"/>
      <c r="H1178" s="134"/>
    </row>
    <row r="1179" spans="1:8" s="140" customFormat="1" x14ac:dyDescent="0.25">
      <c r="B1179" s="155"/>
      <c r="C1179" s="151"/>
      <c r="D1179" s="151"/>
      <c r="E1179" s="148"/>
      <c r="F1179" s="151"/>
      <c r="G1179" s="367"/>
      <c r="H1179" s="134"/>
    </row>
    <row r="1180" spans="1:8" s="140" customFormat="1" x14ac:dyDescent="0.25">
      <c r="B1180" s="155"/>
      <c r="C1180" s="151"/>
      <c r="D1180" s="151"/>
      <c r="E1180" s="148"/>
      <c r="F1180" s="151"/>
      <c r="G1180" s="367"/>
      <c r="H1180" s="134"/>
    </row>
    <row r="1181" spans="1:8" s="140" customFormat="1" x14ac:dyDescent="0.25">
      <c r="B1181" s="155"/>
      <c r="C1181" s="151"/>
      <c r="D1181" s="151"/>
      <c r="E1181" s="148"/>
      <c r="F1181" s="151"/>
      <c r="G1181" s="367"/>
      <c r="H1181" s="134"/>
    </row>
    <row r="1182" spans="1:8" s="140" customFormat="1" x14ac:dyDescent="0.25">
      <c r="B1182" s="155"/>
      <c r="C1182" s="151"/>
      <c r="D1182" s="151"/>
      <c r="E1182" s="148"/>
      <c r="F1182" s="151"/>
      <c r="G1182" s="367"/>
      <c r="H1182" s="134"/>
    </row>
    <row r="1183" spans="1:8" s="140" customFormat="1" x14ac:dyDescent="0.25">
      <c r="B1183" s="155"/>
      <c r="C1183" s="152"/>
      <c r="D1183" s="152"/>
      <c r="E1183" s="152"/>
      <c r="F1183" s="151"/>
      <c r="G1183" s="156"/>
      <c r="H1183" s="134"/>
    </row>
    <row r="1184" spans="1:8" s="140" customFormat="1" ht="13.5" thickBot="1" x14ac:dyDescent="0.3">
      <c r="B1184" s="155"/>
      <c r="C1184" s="152"/>
      <c r="D1184" s="152"/>
      <c r="E1184" s="152"/>
      <c r="F1184" s="151"/>
      <c r="G1184" s="156"/>
      <c r="H1184" s="134"/>
    </row>
    <row r="1185" spans="2:8" s="140" customFormat="1" ht="13.5" thickBot="1" x14ac:dyDescent="0.3">
      <c r="B1185" s="157"/>
      <c r="C1185" s="159"/>
      <c r="D1185" s="159"/>
      <c r="E1185" s="159"/>
      <c r="F1185" s="158"/>
      <c r="G1185" s="160"/>
      <c r="H1185" s="161">
        <f>+SUM(G1173:G1185)</f>
        <v>0</v>
      </c>
    </row>
    <row r="1186" spans="2:8" s="140" customFormat="1" ht="13.5" thickBot="1" x14ac:dyDescent="0.3">
      <c r="B1186" s="162"/>
      <c r="C1186" s="162"/>
      <c r="D1186" s="162"/>
      <c r="E1186" s="162"/>
      <c r="F1186" s="163"/>
      <c r="G1186" s="164"/>
      <c r="H1186" s="165"/>
    </row>
    <row r="1187" spans="2:8" s="140" customFormat="1" ht="13.5" thickBot="1" x14ac:dyDescent="0.3">
      <c r="B1187" s="143" t="s">
        <v>5410</v>
      </c>
      <c r="C1187" s="144" t="s">
        <v>867</v>
      </c>
      <c r="D1187" s="144" t="s">
        <v>6</v>
      </c>
      <c r="E1187" s="144" t="s">
        <v>870</v>
      </c>
      <c r="F1187" s="144" t="s">
        <v>5411</v>
      </c>
      <c r="G1187" s="145" t="s">
        <v>868</v>
      </c>
      <c r="H1187" s="134"/>
    </row>
    <row r="1188" spans="2:8" s="140" customFormat="1" x14ac:dyDescent="0.25">
      <c r="B1188" s="201"/>
      <c r="C1188" s="147"/>
      <c r="D1188" s="167"/>
      <c r="E1188" s="148"/>
      <c r="F1188" s="169"/>
      <c r="G1188" s="367">
        <f>+D1188*E1188*(1+F1188)</f>
        <v>0</v>
      </c>
      <c r="H1188" s="134"/>
    </row>
    <row r="1189" spans="2:8" s="140" customFormat="1" x14ac:dyDescent="0.25">
      <c r="B1189" s="196"/>
      <c r="C1189" s="151"/>
      <c r="D1189" s="151"/>
      <c r="E1189" s="148"/>
      <c r="F1189" s="147"/>
      <c r="G1189" s="367"/>
      <c r="H1189" s="134"/>
    </row>
    <row r="1190" spans="2:8" s="140" customFormat="1" x14ac:dyDescent="0.25">
      <c r="B1190" s="196"/>
      <c r="C1190" s="151"/>
      <c r="D1190" s="151"/>
      <c r="E1190" s="148"/>
      <c r="F1190" s="151"/>
      <c r="G1190" s="367"/>
      <c r="H1190" s="134"/>
    </row>
    <row r="1191" spans="2:8" s="140" customFormat="1" x14ac:dyDescent="0.25">
      <c r="B1191" s="155"/>
      <c r="C1191" s="151"/>
      <c r="D1191" s="151"/>
      <c r="E1191" s="148"/>
      <c r="F1191" s="151"/>
      <c r="G1191" s="367"/>
      <c r="H1191" s="134"/>
    </row>
    <row r="1192" spans="2:8" s="140" customFormat="1" x14ac:dyDescent="0.25">
      <c r="B1192" s="155"/>
      <c r="C1192" s="151"/>
      <c r="D1192" s="151"/>
      <c r="E1192" s="148"/>
      <c r="F1192" s="151"/>
      <c r="G1192" s="367"/>
      <c r="H1192" s="134"/>
    </row>
    <row r="1193" spans="2:8" s="140" customFormat="1" ht="13.5" thickBot="1" x14ac:dyDescent="0.3">
      <c r="B1193" s="155"/>
      <c r="C1193" s="151"/>
      <c r="D1193" s="151"/>
      <c r="E1193" s="148"/>
      <c r="F1193" s="151"/>
      <c r="G1193" s="367"/>
      <c r="H1193" s="134"/>
    </row>
    <row r="1194" spans="2:8" s="140" customFormat="1" ht="13.5" thickBot="1" x14ac:dyDescent="0.3">
      <c r="B1194" s="157"/>
      <c r="C1194" s="159"/>
      <c r="D1194" s="159"/>
      <c r="E1194" s="159"/>
      <c r="F1194" s="158"/>
      <c r="G1194" s="160"/>
      <c r="H1194" s="161">
        <f>+SUM(G1188:G1194)</f>
        <v>0</v>
      </c>
    </row>
    <row r="1195" spans="2:8" s="140" customFormat="1" ht="13.5" thickBot="1" x14ac:dyDescent="0.3">
      <c r="B1195" s="162"/>
      <c r="C1195" s="162"/>
      <c r="D1195" s="162"/>
      <c r="E1195" s="162"/>
      <c r="F1195" s="173"/>
      <c r="G1195" s="174"/>
      <c r="H1195" s="165"/>
    </row>
    <row r="1196" spans="2:8" s="140" customFormat="1" ht="13.5" thickBot="1" x14ac:dyDescent="0.3">
      <c r="B1196" s="143" t="s">
        <v>5412</v>
      </c>
      <c r="C1196" s="144" t="s">
        <v>5420</v>
      </c>
      <c r="D1196" s="144" t="s">
        <v>5421</v>
      </c>
      <c r="E1196" s="144" t="s">
        <v>5413</v>
      </c>
      <c r="F1196" s="144" t="s">
        <v>5405</v>
      </c>
      <c r="G1196" s="145" t="s">
        <v>868</v>
      </c>
      <c r="H1196" s="134"/>
    </row>
    <row r="1197" spans="2:8" s="140" customFormat="1" x14ac:dyDescent="0.25">
      <c r="B1197" s="194" t="s">
        <v>5650</v>
      </c>
      <c r="C1197" s="345">
        <v>70000</v>
      </c>
      <c r="D1197" s="345">
        <f>+C1197*0.85</f>
        <v>59500</v>
      </c>
      <c r="E1197" s="353">
        <f>+C1197+D1197</f>
        <v>129500</v>
      </c>
      <c r="F1197" s="202">
        <v>100</v>
      </c>
      <c r="G1197" s="351">
        <f>E1197/F1197</f>
        <v>1295</v>
      </c>
      <c r="H1197" s="134"/>
    </row>
    <row r="1198" spans="2:8" s="140" customFormat="1" x14ac:dyDescent="0.25">
      <c r="B1198" s="194" t="s">
        <v>5651</v>
      </c>
      <c r="C1198" s="345">
        <v>40000</v>
      </c>
      <c r="D1198" s="345">
        <f>+C1198*0.85</f>
        <v>34000</v>
      </c>
      <c r="E1198" s="353">
        <f>+C1198+D1198</f>
        <v>74000</v>
      </c>
      <c r="F1198" s="204">
        <v>20</v>
      </c>
      <c r="G1198" s="351">
        <f>E1198/F1198</f>
        <v>3700</v>
      </c>
      <c r="H1198" s="134"/>
    </row>
    <row r="1199" spans="2:8" s="140" customFormat="1" x14ac:dyDescent="0.25">
      <c r="B1199" s="195" t="s">
        <v>5635</v>
      </c>
      <c r="C1199" s="345">
        <v>20600</v>
      </c>
      <c r="D1199" s="345">
        <f>+C1199*0.85</f>
        <v>17510</v>
      </c>
      <c r="E1199" s="353">
        <f>+C1199+D1199</f>
        <v>38110</v>
      </c>
      <c r="F1199" s="197">
        <v>1.5</v>
      </c>
      <c r="G1199" s="351">
        <f>E1199/F1199</f>
        <v>25406.666666666668</v>
      </c>
      <c r="H1199" s="134"/>
    </row>
    <row r="1200" spans="2:8" s="140" customFormat="1" x14ac:dyDescent="0.25">
      <c r="B1200" s="155"/>
      <c r="C1200" s="345"/>
      <c r="D1200" s="152"/>
      <c r="E1200" s="152"/>
      <c r="F1200" s="151"/>
      <c r="G1200" s="156"/>
      <c r="H1200" s="134"/>
    </row>
    <row r="1201" spans="1:8" s="140" customFormat="1" x14ac:dyDescent="0.25">
      <c r="B1201" s="155"/>
      <c r="C1201" s="152"/>
      <c r="D1201" s="152"/>
      <c r="E1201" s="152"/>
      <c r="F1201" s="151"/>
      <c r="G1201" s="156"/>
      <c r="H1201" s="134"/>
    </row>
    <row r="1202" spans="1:8" s="140" customFormat="1" ht="13.5" thickBot="1" x14ac:dyDescent="0.3">
      <c r="B1202" s="155"/>
      <c r="C1202" s="152"/>
      <c r="D1202" s="152"/>
      <c r="E1202" s="152"/>
      <c r="F1202" s="151"/>
      <c r="G1202" s="156"/>
      <c r="H1202" s="134"/>
    </row>
    <row r="1203" spans="1:8" s="140" customFormat="1" ht="13.5" thickBot="1" x14ac:dyDescent="0.3">
      <c r="B1203" s="179"/>
      <c r="C1203" s="180"/>
      <c r="D1203" s="180"/>
      <c r="E1203" s="180"/>
      <c r="F1203" s="181"/>
      <c r="G1203" s="182"/>
      <c r="H1203" s="161">
        <f>+SUM(G1197:G1203)</f>
        <v>30401.666666666668</v>
      </c>
    </row>
    <row r="1204" spans="1:8" s="140" customFormat="1" ht="13.5" thickBot="1" x14ac:dyDescent="0.3">
      <c r="F1204" s="141"/>
      <c r="G1204" s="134"/>
      <c r="H1204" s="134"/>
    </row>
    <row r="1205" spans="1:8" s="140" customFormat="1" ht="13.5" thickBot="1" x14ac:dyDescent="0.3">
      <c r="E1205" s="183" t="s">
        <v>5415</v>
      </c>
      <c r="F1205" s="141"/>
      <c r="G1205" s="134"/>
      <c r="H1205" s="161">
        <f>ROUND(+H1170+H1185+H1194+H1203,0)</f>
        <v>33442</v>
      </c>
    </row>
    <row r="1207" spans="1:8" x14ac:dyDescent="0.25">
      <c r="H1207" s="341"/>
    </row>
    <row r="1210" spans="1:8" ht="18.75" x14ac:dyDescent="0.25">
      <c r="A1210" s="133"/>
      <c r="B1210" s="2506" t="s">
        <v>5400</v>
      </c>
      <c r="C1210" s="2506"/>
      <c r="D1210" s="2506"/>
      <c r="E1210" s="2506"/>
      <c r="F1210" s="2506"/>
      <c r="G1210" s="2506"/>
    </row>
    <row r="1211" spans="1:8" x14ac:dyDescent="0.25">
      <c r="A1211" s="133"/>
      <c r="G1211" s="134"/>
    </row>
    <row r="1212" spans="1:8" x14ac:dyDescent="0.25">
      <c r="A1212" s="133"/>
      <c r="G1212" s="134"/>
    </row>
    <row r="1213" spans="1:8" x14ac:dyDescent="0.25">
      <c r="A1213" s="133"/>
      <c r="G1213" s="134"/>
    </row>
    <row r="1214" spans="1:8" s="140" customFormat="1" x14ac:dyDescent="0.25">
      <c r="A1214" s="138" t="s">
        <v>3</v>
      </c>
      <c r="B1214" s="138" t="s">
        <v>89</v>
      </c>
      <c r="C1214" s="2450" t="s">
        <v>5970</v>
      </c>
      <c r="D1214" s="2450"/>
      <c r="E1214" s="2450"/>
      <c r="F1214" s="138" t="s">
        <v>867</v>
      </c>
      <c r="G1214" s="139" t="s">
        <v>5454</v>
      </c>
      <c r="H1214" s="134"/>
    </row>
    <row r="1215" spans="1:8" s="140" customFormat="1" ht="27.75" customHeight="1" x14ac:dyDescent="0.25">
      <c r="A1215" s="141"/>
      <c r="F1215" s="141"/>
      <c r="G1215" s="134"/>
      <c r="H1215" s="134"/>
    </row>
    <row r="1216" spans="1:8" s="140" customFormat="1" ht="12.75" customHeight="1" x14ac:dyDescent="0.25">
      <c r="A1216" s="141"/>
      <c r="F1216" s="141"/>
      <c r="G1216" s="142"/>
      <c r="H1216" s="134"/>
    </row>
    <row r="1217" spans="1:8" s="140" customFormat="1" ht="13.5" thickBot="1" x14ac:dyDescent="0.3">
      <c r="A1217" s="141"/>
      <c r="F1217" s="141"/>
      <c r="G1217" s="134"/>
      <c r="H1217" s="134"/>
    </row>
    <row r="1218" spans="1:8" s="140" customFormat="1" ht="13.5" thickBot="1" x14ac:dyDescent="0.3">
      <c r="A1218" s="141"/>
      <c r="B1218" s="143" t="s">
        <v>5403</v>
      </c>
      <c r="C1218" s="144" t="s">
        <v>867</v>
      </c>
      <c r="D1218" s="144" t="s">
        <v>6</v>
      </c>
      <c r="E1218" s="144" t="s">
        <v>5404</v>
      </c>
      <c r="F1218" s="144" t="s">
        <v>5405</v>
      </c>
      <c r="G1218" s="145" t="s">
        <v>868</v>
      </c>
      <c r="H1218" s="134"/>
    </row>
    <row r="1219" spans="1:8" s="140" customFormat="1" x14ac:dyDescent="0.25">
      <c r="A1219" s="141"/>
      <c r="B1219" s="146" t="s">
        <v>5440</v>
      </c>
      <c r="C1219" s="147" t="s">
        <v>5406</v>
      </c>
      <c r="D1219" s="147"/>
      <c r="E1219" s="148">
        <f>+H1258</f>
        <v>46805</v>
      </c>
      <c r="F1219" s="167">
        <v>0.1</v>
      </c>
      <c r="G1219" s="360">
        <f>+E1219*F1219</f>
        <v>4680.5</v>
      </c>
      <c r="H1219" s="134"/>
    </row>
    <row r="1220" spans="1:8" s="140" customFormat="1" x14ac:dyDescent="0.25">
      <c r="A1220" s="141"/>
      <c r="B1220" s="150"/>
      <c r="C1220" s="151"/>
      <c r="D1220" s="151"/>
      <c r="E1220" s="366"/>
      <c r="F1220" s="151"/>
      <c r="G1220" s="360"/>
      <c r="H1220" s="134"/>
    </row>
    <row r="1221" spans="1:8" s="140" customFormat="1" x14ac:dyDescent="0.25">
      <c r="A1221" s="141"/>
      <c r="B1221" s="154"/>
      <c r="C1221" s="151"/>
      <c r="D1221" s="151"/>
      <c r="E1221" s="366"/>
      <c r="F1221" s="151"/>
      <c r="G1221" s="360"/>
      <c r="H1221" s="134"/>
    </row>
    <row r="1222" spans="1:8" s="140" customFormat="1" x14ac:dyDescent="0.25">
      <c r="A1222" s="141"/>
      <c r="B1222" s="155"/>
      <c r="C1222" s="151"/>
      <c r="D1222" s="152"/>
      <c r="E1222" s="152"/>
      <c r="F1222" s="151"/>
      <c r="G1222" s="156"/>
      <c r="H1222" s="134"/>
    </row>
    <row r="1223" spans="1:8" s="140" customFormat="1" x14ac:dyDescent="0.25">
      <c r="A1223" s="141"/>
      <c r="B1223" s="155"/>
      <c r="C1223" s="151"/>
      <c r="D1223" s="152"/>
      <c r="E1223" s="152"/>
      <c r="F1223" s="151"/>
      <c r="G1223" s="156"/>
      <c r="H1223" s="134"/>
    </row>
    <row r="1224" spans="1:8" s="140" customFormat="1" ht="13.5" thickBot="1" x14ac:dyDescent="0.3">
      <c r="A1224" s="141"/>
      <c r="B1224" s="155"/>
      <c r="C1224" s="151"/>
      <c r="D1224" s="152"/>
      <c r="E1224" s="152"/>
      <c r="F1224" s="151"/>
      <c r="G1224" s="156"/>
      <c r="H1224" s="134"/>
    </row>
    <row r="1225" spans="1:8" s="140" customFormat="1" ht="13.5" thickBot="1" x14ac:dyDescent="0.3">
      <c r="A1225" s="141"/>
      <c r="B1225" s="157"/>
      <c r="C1225" s="158"/>
      <c r="D1225" s="159"/>
      <c r="E1225" s="159"/>
      <c r="F1225" s="158"/>
      <c r="G1225" s="160"/>
      <c r="H1225" s="161">
        <f>+SUM(G1219:G1225)</f>
        <v>4680.5</v>
      </c>
    </row>
    <row r="1226" spans="1:8" s="140" customFormat="1" ht="13.5" thickBot="1" x14ac:dyDescent="0.3">
      <c r="A1226" s="141"/>
      <c r="B1226" s="162"/>
      <c r="C1226" s="163"/>
      <c r="D1226" s="162"/>
      <c r="E1226" s="162"/>
      <c r="F1226" s="163"/>
      <c r="G1226" s="164"/>
      <c r="H1226" s="165"/>
    </row>
    <row r="1227" spans="1:8" s="140" customFormat="1" ht="13.5" thickBot="1" x14ac:dyDescent="0.3">
      <c r="B1227" s="143" t="s">
        <v>5408</v>
      </c>
      <c r="C1227" s="144" t="s">
        <v>867</v>
      </c>
      <c r="D1227" s="144" t="s">
        <v>6</v>
      </c>
      <c r="E1227" s="144" t="s">
        <v>870</v>
      </c>
      <c r="F1227" s="144" t="s">
        <v>5409</v>
      </c>
      <c r="G1227" s="145" t="s">
        <v>868</v>
      </c>
      <c r="H1227" s="134"/>
    </row>
    <row r="1228" spans="1:8" s="140" customFormat="1" x14ac:dyDescent="0.25">
      <c r="B1228" s="201"/>
      <c r="C1228" s="147"/>
      <c r="D1228" s="167"/>
      <c r="E1228" s="148"/>
      <c r="F1228" s="169"/>
      <c r="G1228" s="367">
        <f>+D1228*E1228*(1+F1228)</f>
        <v>0</v>
      </c>
      <c r="H1228" s="134"/>
    </row>
    <row r="1229" spans="1:8" s="140" customFormat="1" x14ac:dyDescent="0.25">
      <c r="B1229" s="196"/>
      <c r="C1229" s="151"/>
      <c r="D1229" s="151"/>
      <c r="E1229" s="148"/>
      <c r="F1229" s="169"/>
      <c r="G1229" s="354"/>
      <c r="H1229" s="134"/>
    </row>
    <row r="1230" spans="1:8" s="140" customFormat="1" x14ac:dyDescent="0.25">
      <c r="B1230" s="196"/>
      <c r="C1230" s="151"/>
      <c r="D1230" s="151"/>
      <c r="E1230" s="148"/>
      <c r="F1230" s="169"/>
      <c r="G1230" s="367"/>
      <c r="H1230" s="134"/>
    </row>
    <row r="1231" spans="1:8" s="140" customFormat="1" x14ac:dyDescent="0.25">
      <c r="B1231" s="155"/>
      <c r="C1231" s="151"/>
      <c r="D1231" s="151"/>
      <c r="E1231" s="148"/>
      <c r="F1231" s="151"/>
      <c r="G1231" s="367"/>
      <c r="H1231" s="134"/>
    </row>
    <row r="1232" spans="1:8" s="140" customFormat="1" x14ac:dyDescent="0.25">
      <c r="B1232" s="155"/>
      <c r="C1232" s="151"/>
      <c r="D1232" s="151"/>
      <c r="E1232" s="148"/>
      <c r="F1232" s="151"/>
      <c r="G1232" s="367"/>
      <c r="H1232" s="134"/>
    </row>
    <row r="1233" spans="2:8" s="140" customFormat="1" x14ac:dyDescent="0.25">
      <c r="B1233" s="155"/>
      <c r="C1233" s="151"/>
      <c r="D1233" s="151"/>
      <c r="E1233" s="148"/>
      <c r="F1233" s="151"/>
      <c r="G1233" s="367"/>
      <c r="H1233" s="134"/>
    </row>
    <row r="1234" spans="2:8" s="140" customFormat="1" x14ac:dyDescent="0.25">
      <c r="B1234" s="155"/>
      <c r="C1234" s="151"/>
      <c r="D1234" s="151"/>
      <c r="E1234" s="148"/>
      <c r="F1234" s="151"/>
      <c r="G1234" s="367"/>
      <c r="H1234" s="134"/>
    </row>
    <row r="1235" spans="2:8" s="140" customFormat="1" x14ac:dyDescent="0.25">
      <c r="B1235" s="155"/>
      <c r="C1235" s="151"/>
      <c r="D1235" s="151"/>
      <c r="E1235" s="148"/>
      <c r="F1235" s="151"/>
      <c r="G1235" s="367"/>
      <c r="H1235" s="134"/>
    </row>
    <row r="1236" spans="2:8" s="140" customFormat="1" x14ac:dyDescent="0.25">
      <c r="B1236" s="155"/>
      <c r="C1236" s="151"/>
      <c r="D1236" s="151"/>
      <c r="E1236" s="148"/>
      <c r="F1236" s="151"/>
      <c r="G1236" s="367"/>
      <c r="H1236" s="134"/>
    </row>
    <row r="1237" spans="2:8" s="140" customFormat="1" x14ac:dyDescent="0.25">
      <c r="B1237" s="155"/>
      <c r="C1237" s="151"/>
      <c r="D1237" s="151"/>
      <c r="E1237" s="148"/>
      <c r="F1237" s="151"/>
      <c r="G1237" s="367"/>
      <c r="H1237" s="134"/>
    </row>
    <row r="1238" spans="2:8" s="140" customFormat="1" x14ac:dyDescent="0.25">
      <c r="B1238" s="155"/>
      <c r="C1238" s="152"/>
      <c r="D1238" s="152"/>
      <c r="E1238" s="152"/>
      <c r="F1238" s="151"/>
      <c r="G1238" s="156"/>
      <c r="H1238" s="134"/>
    </row>
    <row r="1239" spans="2:8" s="140" customFormat="1" ht="13.5" thickBot="1" x14ac:dyDescent="0.3">
      <c r="B1239" s="155"/>
      <c r="C1239" s="152"/>
      <c r="D1239" s="152"/>
      <c r="E1239" s="152"/>
      <c r="F1239" s="151"/>
      <c r="G1239" s="156"/>
      <c r="H1239" s="134"/>
    </row>
    <row r="1240" spans="2:8" s="140" customFormat="1" ht="13.5" thickBot="1" x14ac:dyDescent="0.3">
      <c r="B1240" s="157"/>
      <c r="C1240" s="159"/>
      <c r="D1240" s="159"/>
      <c r="E1240" s="159"/>
      <c r="F1240" s="158"/>
      <c r="G1240" s="160"/>
      <c r="H1240" s="161">
        <f>+SUM(G1228:G1240)</f>
        <v>0</v>
      </c>
    </row>
    <row r="1241" spans="2:8" s="140" customFormat="1" ht="13.5" thickBot="1" x14ac:dyDescent="0.3">
      <c r="B1241" s="162"/>
      <c r="C1241" s="162"/>
      <c r="D1241" s="162"/>
      <c r="E1241" s="162"/>
      <c r="F1241" s="163"/>
      <c r="G1241" s="164"/>
      <c r="H1241" s="165"/>
    </row>
    <row r="1242" spans="2:8" s="140" customFormat="1" ht="13.5" thickBot="1" x14ac:dyDescent="0.3">
      <c r="B1242" s="143" t="s">
        <v>5410</v>
      </c>
      <c r="C1242" s="144" t="s">
        <v>867</v>
      </c>
      <c r="D1242" s="144" t="s">
        <v>6</v>
      </c>
      <c r="E1242" s="144" t="s">
        <v>870</v>
      </c>
      <c r="F1242" s="144" t="s">
        <v>5411</v>
      </c>
      <c r="G1242" s="145" t="s">
        <v>868</v>
      </c>
      <c r="H1242" s="134"/>
    </row>
    <row r="1243" spans="2:8" s="140" customFormat="1" x14ac:dyDescent="0.25">
      <c r="B1243" s="201"/>
      <c r="C1243" s="147"/>
      <c r="D1243" s="167"/>
      <c r="E1243" s="148"/>
      <c r="F1243" s="169"/>
      <c r="G1243" s="367">
        <f>+D1243*E1243*(1+F1243)</f>
        <v>0</v>
      </c>
      <c r="H1243" s="134"/>
    </row>
    <row r="1244" spans="2:8" s="140" customFormat="1" x14ac:dyDescent="0.25">
      <c r="B1244" s="196"/>
      <c r="C1244" s="151"/>
      <c r="D1244" s="151"/>
      <c r="E1244" s="148"/>
      <c r="F1244" s="147"/>
      <c r="G1244" s="367"/>
      <c r="H1244" s="134"/>
    </row>
    <row r="1245" spans="2:8" s="140" customFormat="1" x14ac:dyDescent="0.25">
      <c r="B1245" s="196"/>
      <c r="C1245" s="151"/>
      <c r="D1245" s="151"/>
      <c r="E1245" s="148"/>
      <c r="F1245" s="151"/>
      <c r="G1245" s="367"/>
      <c r="H1245" s="134"/>
    </row>
    <row r="1246" spans="2:8" s="140" customFormat="1" x14ac:dyDescent="0.25">
      <c r="B1246" s="155"/>
      <c r="C1246" s="151"/>
      <c r="D1246" s="151"/>
      <c r="E1246" s="148"/>
      <c r="F1246" s="151"/>
      <c r="G1246" s="367"/>
      <c r="H1246" s="134"/>
    </row>
    <row r="1247" spans="2:8" s="140" customFormat="1" x14ac:dyDescent="0.25">
      <c r="B1247" s="155"/>
      <c r="C1247" s="151"/>
      <c r="D1247" s="151"/>
      <c r="E1247" s="148"/>
      <c r="F1247" s="151"/>
      <c r="G1247" s="367"/>
      <c r="H1247" s="134"/>
    </row>
    <row r="1248" spans="2:8" s="140" customFormat="1" ht="13.5" thickBot="1" x14ac:dyDescent="0.3">
      <c r="B1248" s="155"/>
      <c r="C1248" s="151"/>
      <c r="D1248" s="151"/>
      <c r="E1248" s="148"/>
      <c r="F1248" s="151"/>
      <c r="G1248" s="367"/>
      <c r="H1248" s="134"/>
    </row>
    <row r="1249" spans="2:8" s="140" customFormat="1" ht="13.5" thickBot="1" x14ac:dyDescent="0.3">
      <c r="B1249" s="157"/>
      <c r="C1249" s="159"/>
      <c r="D1249" s="159"/>
      <c r="E1249" s="159"/>
      <c r="F1249" s="158"/>
      <c r="G1249" s="160"/>
      <c r="H1249" s="161">
        <f>+SUM(G1243:G1249)</f>
        <v>0</v>
      </c>
    </row>
    <row r="1250" spans="2:8" s="140" customFormat="1" ht="13.5" thickBot="1" x14ac:dyDescent="0.3">
      <c r="B1250" s="162"/>
      <c r="C1250" s="162"/>
      <c r="D1250" s="162"/>
      <c r="E1250" s="162"/>
      <c r="F1250" s="173"/>
      <c r="G1250" s="174"/>
      <c r="H1250" s="165"/>
    </row>
    <row r="1251" spans="2:8" s="140" customFormat="1" ht="13.5" thickBot="1" x14ac:dyDescent="0.3">
      <c r="B1251" s="143" t="s">
        <v>5412</v>
      </c>
      <c r="C1251" s="144" t="s">
        <v>5420</v>
      </c>
      <c r="D1251" s="144" t="s">
        <v>5421</v>
      </c>
      <c r="E1251" s="144" t="s">
        <v>5413</v>
      </c>
      <c r="F1251" s="144" t="s">
        <v>5405</v>
      </c>
      <c r="G1251" s="145" t="s">
        <v>868</v>
      </c>
      <c r="H1251" s="134"/>
    </row>
    <row r="1252" spans="2:8" s="140" customFormat="1" x14ac:dyDescent="0.25">
      <c r="B1252" s="194" t="s">
        <v>5650</v>
      </c>
      <c r="C1252" s="345">
        <v>70000</v>
      </c>
      <c r="D1252" s="345">
        <f>+C1252*0.85</f>
        <v>59500</v>
      </c>
      <c r="E1252" s="353">
        <f>+C1252+D1252</f>
        <v>129500</v>
      </c>
      <c r="F1252" s="202">
        <v>100</v>
      </c>
      <c r="G1252" s="351">
        <f>+E1252/F1252</f>
        <v>1295</v>
      </c>
      <c r="H1252" s="134"/>
    </row>
    <row r="1253" spans="2:8" s="140" customFormat="1" x14ac:dyDescent="0.25">
      <c r="B1253" s="194" t="s">
        <v>5651</v>
      </c>
      <c r="C1253" s="345">
        <v>40000</v>
      </c>
      <c r="D1253" s="345">
        <f>+C1253*0.85</f>
        <v>34000</v>
      </c>
      <c r="E1253" s="353">
        <f>+C1253+D1253</f>
        <v>74000</v>
      </c>
      <c r="F1253" s="204">
        <v>10</v>
      </c>
      <c r="G1253" s="351">
        <f>+E1253/F1253</f>
        <v>7400</v>
      </c>
      <c r="H1253" s="134"/>
    </row>
    <row r="1254" spans="2:8" s="140" customFormat="1" x14ac:dyDescent="0.25">
      <c r="B1254" s="195" t="s">
        <v>5635</v>
      </c>
      <c r="C1254" s="345">
        <v>20600</v>
      </c>
      <c r="D1254" s="345">
        <f>+C1254*0.85</f>
        <v>17510</v>
      </c>
      <c r="E1254" s="353">
        <f>+C1254+D1254</f>
        <v>38110</v>
      </c>
      <c r="F1254" s="207">
        <v>1</v>
      </c>
      <c r="G1254" s="351">
        <f>+E1254/F1254</f>
        <v>38110</v>
      </c>
      <c r="H1254" s="134"/>
    </row>
    <row r="1255" spans="2:8" s="140" customFormat="1" x14ac:dyDescent="0.25">
      <c r="B1255" s="155"/>
      <c r="C1255" s="345"/>
      <c r="D1255" s="152"/>
      <c r="E1255" s="152"/>
      <c r="F1255" s="151"/>
      <c r="G1255" s="156"/>
      <c r="H1255" s="134"/>
    </row>
    <row r="1256" spans="2:8" s="140" customFormat="1" x14ac:dyDescent="0.25">
      <c r="B1256" s="155"/>
      <c r="C1256" s="152"/>
      <c r="D1256" s="152"/>
      <c r="E1256" s="152"/>
      <c r="F1256" s="151"/>
      <c r="G1256" s="156"/>
      <c r="H1256" s="134"/>
    </row>
    <row r="1257" spans="2:8" s="140" customFormat="1" ht="13.5" thickBot="1" x14ac:dyDescent="0.3">
      <c r="B1257" s="155"/>
      <c r="C1257" s="152"/>
      <c r="D1257" s="152"/>
      <c r="E1257" s="152"/>
      <c r="F1257" s="151"/>
      <c r="G1257" s="156"/>
      <c r="H1257" s="134"/>
    </row>
    <row r="1258" spans="2:8" s="140" customFormat="1" ht="13.5" thickBot="1" x14ac:dyDescent="0.3">
      <c r="B1258" s="179"/>
      <c r="C1258" s="180"/>
      <c r="D1258" s="180"/>
      <c r="E1258" s="180"/>
      <c r="F1258" s="181"/>
      <c r="G1258" s="182"/>
      <c r="H1258" s="161">
        <f>+SUM(G1252:G1258)</f>
        <v>46805</v>
      </c>
    </row>
    <row r="1259" spans="2:8" s="140" customFormat="1" ht="13.5" thickBot="1" x14ac:dyDescent="0.3">
      <c r="F1259" s="141"/>
      <c r="G1259" s="134"/>
      <c r="H1259" s="134"/>
    </row>
    <row r="1260" spans="2:8" s="140" customFormat="1" ht="13.5" thickBot="1" x14ac:dyDescent="0.3">
      <c r="E1260" s="183" t="s">
        <v>5415</v>
      </c>
      <c r="F1260" s="141"/>
      <c r="G1260" s="134"/>
      <c r="H1260" s="161">
        <f>ROUND(+H1225+H1240+H1249+H1258,0)</f>
        <v>51486</v>
      </c>
    </row>
    <row r="1262" spans="2:8" x14ac:dyDescent="0.25">
      <c r="H1262" s="341"/>
    </row>
    <row r="1265" spans="1:8" ht="18.75" x14ac:dyDescent="0.25">
      <c r="A1265" s="133"/>
      <c r="B1265" s="2506" t="s">
        <v>5400</v>
      </c>
      <c r="C1265" s="2506"/>
      <c r="D1265" s="2506"/>
      <c r="E1265" s="2506"/>
      <c r="F1265" s="2506"/>
      <c r="G1265" s="2506"/>
    </row>
    <row r="1266" spans="1:8" x14ac:dyDescent="0.25">
      <c r="A1266" s="133"/>
      <c r="G1266" s="134"/>
    </row>
    <row r="1267" spans="1:8" x14ac:dyDescent="0.25">
      <c r="A1267" s="133"/>
      <c r="G1267" s="134"/>
    </row>
    <row r="1268" spans="1:8" x14ac:dyDescent="0.25">
      <c r="A1268" s="133"/>
      <c r="G1268" s="134"/>
    </row>
    <row r="1269" spans="1:8" s="140" customFormat="1" x14ac:dyDescent="0.25">
      <c r="A1269" s="138" t="s">
        <v>3</v>
      </c>
      <c r="B1269" s="138" t="s">
        <v>95</v>
      </c>
      <c r="C1269" s="2450" t="s">
        <v>5971</v>
      </c>
      <c r="D1269" s="2450"/>
      <c r="E1269" s="2450"/>
      <c r="F1269" s="138" t="s">
        <v>867</v>
      </c>
      <c r="G1269" s="139" t="s">
        <v>5454</v>
      </c>
      <c r="H1269" s="134"/>
    </row>
    <row r="1270" spans="1:8" s="140" customFormat="1" ht="26.25" customHeight="1" x14ac:dyDescent="0.25">
      <c r="A1270" s="141"/>
      <c r="F1270" s="141"/>
      <c r="G1270" s="134"/>
      <c r="H1270" s="134"/>
    </row>
    <row r="1271" spans="1:8" s="140" customFormat="1" ht="12.75" customHeight="1" x14ac:dyDescent="0.25">
      <c r="A1271" s="141"/>
      <c r="F1271" s="141"/>
      <c r="G1271" s="142"/>
      <c r="H1271" s="134"/>
    </row>
    <row r="1272" spans="1:8" s="140" customFormat="1" ht="13.5" thickBot="1" x14ac:dyDescent="0.3">
      <c r="A1272" s="141"/>
      <c r="F1272" s="141"/>
      <c r="G1272" s="134"/>
      <c r="H1272" s="134"/>
    </row>
    <row r="1273" spans="1:8" s="140" customFormat="1" ht="13.5" thickBot="1" x14ac:dyDescent="0.3">
      <c r="A1273" s="141"/>
      <c r="B1273" s="143" t="s">
        <v>5403</v>
      </c>
      <c r="C1273" s="144" t="s">
        <v>867</v>
      </c>
      <c r="D1273" s="144" t="s">
        <v>6</v>
      </c>
      <c r="E1273" s="144" t="s">
        <v>5404</v>
      </c>
      <c r="F1273" s="144" t="s">
        <v>5405</v>
      </c>
      <c r="G1273" s="145" t="s">
        <v>868</v>
      </c>
      <c r="H1273" s="134"/>
    </row>
    <row r="1274" spans="1:8" s="140" customFormat="1" x14ac:dyDescent="0.25">
      <c r="A1274" s="141"/>
      <c r="B1274" s="146" t="s">
        <v>5440</v>
      </c>
      <c r="C1274" s="147" t="s">
        <v>5406</v>
      </c>
      <c r="D1274" s="147"/>
      <c r="E1274" s="148">
        <f>+H1313</f>
        <v>26772.142857142859</v>
      </c>
      <c r="F1274" s="167">
        <v>0.1</v>
      </c>
      <c r="G1274" s="360">
        <f>+E1274*F1274</f>
        <v>2677.2142857142862</v>
      </c>
      <c r="H1274" s="134"/>
    </row>
    <row r="1275" spans="1:8" s="140" customFormat="1" x14ac:dyDescent="0.25">
      <c r="A1275" s="141"/>
      <c r="B1275" s="150"/>
      <c r="C1275" s="151"/>
      <c r="D1275" s="151"/>
      <c r="E1275" s="366"/>
      <c r="F1275" s="151"/>
      <c r="G1275" s="360"/>
      <c r="H1275" s="134"/>
    </row>
    <row r="1276" spans="1:8" s="140" customFormat="1" x14ac:dyDescent="0.25">
      <c r="A1276" s="141"/>
      <c r="B1276" s="154"/>
      <c r="C1276" s="151"/>
      <c r="D1276" s="151"/>
      <c r="E1276" s="366"/>
      <c r="F1276" s="151"/>
      <c r="G1276" s="360"/>
      <c r="H1276" s="134"/>
    </row>
    <row r="1277" spans="1:8" s="140" customFormat="1" x14ac:dyDescent="0.25">
      <c r="A1277" s="141"/>
      <c r="B1277" s="155"/>
      <c r="C1277" s="151"/>
      <c r="D1277" s="152"/>
      <c r="E1277" s="152"/>
      <c r="F1277" s="151"/>
      <c r="G1277" s="156"/>
      <c r="H1277" s="134"/>
    </row>
    <row r="1278" spans="1:8" s="140" customFormat="1" x14ac:dyDescent="0.25">
      <c r="A1278" s="141"/>
      <c r="B1278" s="155"/>
      <c r="C1278" s="151"/>
      <c r="D1278" s="152"/>
      <c r="E1278" s="152"/>
      <c r="F1278" s="151"/>
      <c r="G1278" s="156"/>
      <c r="H1278" s="134"/>
    </row>
    <row r="1279" spans="1:8" s="140" customFormat="1" ht="13.5" thickBot="1" x14ac:dyDescent="0.3">
      <c r="A1279" s="141"/>
      <c r="B1279" s="155"/>
      <c r="C1279" s="151"/>
      <c r="D1279" s="152"/>
      <c r="E1279" s="152"/>
      <c r="F1279" s="151"/>
      <c r="G1279" s="156"/>
      <c r="H1279" s="134"/>
    </row>
    <row r="1280" spans="1:8" s="140" customFormat="1" ht="13.5" thickBot="1" x14ac:dyDescent="0.3">
      <c r="A1280" s="141"/>
      <c r="B1280" s="157"/>
      <c r="C1280" s="158"/>
      <c r="D1280" s="159"/>
      <c r="E1280" s="159"/>
      <c r="F1280" s="158"/>
      <c r="G1280" s="160"/>
      <c r="H1280" s="161">
        <f>+SUM(G1274:G1280)</f>
        <v>2677.2142857142862</v>
      </c>
    </row>
    <row r="1281" spans="1:8" s="140" customFormat="1" ht="13.5" thickBot="1" x14ac:dyDescent="0.3">
      <c r="A1281" s="141"/>
      <c r="B1281" s="162"/>
      <c r="C1281" s="163"/>
      <c r="D1281" s="162"/>
      <c r="E1281" s="162"/>
      <c r="F1281" s="163"/>
      <c r="G1281" s="164"/>
      <c r="H1281" s="165"/>
    </row>
    <row r="1282" spans="1:8" s="140" customFormat="1" ht="13.5" thickBot="1" x14ac:dyDescent="0.3">
      <c r="B1282" s="143" t="s">
        <v>5408</v>
      </c>
      <c r="C1282" s="144" t="s">
        <v>867</v>
      </c>
      <c r="D1282" s="144" t="s">
        <v>6</v>
      </c>
      <c r="E1282" s="144" t="s">
        <v>870</v>
      </c>
      <c r="F1282" s="144" t="s">
        <v>5409</v>
      </c>
      <c r="G1282" s="145" t="s">
        <v>868</v>
      </c>
      <c r="H1282" s="134"/>
    </row>
    <row r="1283" spans="1:8" s="140" customFormat="1" x14ac:dyDescent="0.25">
      <c r="B1283" s="201"/>
      <c r="C1283" s="147"/>
      <c r="D1283" s="167"/>
      <c r="E1283" s="148"/>
      <c r="F1283" s="169"/>
      <c r="G1283" s="367">
        <f>+D1283*E1283*(1+F1283)</f>
        <v>0</v>
      </c>
      <c r="H1283" s="134"/>
    </row>
    <row r="1284" spans="1:8" s="140" customFormat="1" x14ac:dyDescent="0.25">
      <c r="B1284" s="196"/>
      <c r="C1284" s="151"/>
      <c r="D1284" s="151"/>
      <c r="E1284" s="148"/>
      <c r="F1284" s="169"/>
      <c r="G1284" s="354"/>
      <c r="H1284" s="134"/>
    </row>
    <row r="1285" spans="1:8" s="140" customFormat="1" x14ac:dyDescent="0.25">
      <c r="B1285" s="196"/>
      <c r="C1285" s="151"/>
      <c r="D1285" s="151"/>
      <c r="E1285" s="148"/>
      <c r="F1285" s="169"/>
      <c r="G1285" s="367"/>
      <c r="H1285" s="134"/>
    </row>
    <row r="1286" spans="1:8" s="140" customFormat="1" x14ac:dyDescent="0.25">
      <c r="B1286" s="155"/>
      <c r="C1286" s="151"/>
      <c r="D1286" s="151"/>
      <c r="E1286" s="148"/>
      <c r="F1286" s="151"/>
      <c r="G1286" s="367"/>
      <c r="H1286" s="134"/>
    </row>
    <row r="1287" spans="1:8" s="140" customFormat="1" x14ac:dyDescent="0.25">
      <c r="B1287" s="155"/>
      <c r="C1287" s="151"/>
      <c r="D1287" s="151"/>
      <c r="E1287" s="148"/>
      <c r="F1287" s="151"/>
      <c r="G1287" s="367"/>
      <c r="H1287" s="134"/>
    </row>
    <row r="1288" spans="1:8" s="140" customFormat="1" x14ac:dyDescent="0.25">
      <c r="B1288" s="155"/>
      <c r="C1288" s="151"/>
      <c r="D1288" s="151"/>
      <c r="E1288" s="148"/>
      <c r="F1288" s="151"/>
      <c r="G1288" s="367"/>
      <c r="H1288" s="134"/>
    </row>
    <row r="1289" spans="1:8" s="140" customFormat="1" x14ac:dyDescent="0.25">
      <c r="B1289" s="155"/>
      <c r="C1289" s="151"/>
      <c r="D1289" s="151"/>
      <c r="E1289" s="148"/>
      <c r="F1289" s="151"/>
      <c r="G1289" s="367"/>
      <c r="H1289" s="134"/>
    </row>
    <row r="1290" spans="1:8" s="140" customFormat="1" x14ac:dyDescent="0.25">
      <c r="B1290" s="155"/>
      <c r="C1290" s="151"/>
      <c r="D1290" s="151"/>
      <c r="E1290" s="148"/>
      <c r="F1290" s="151"/>
      <c r="G1290" s="367"/>
      <c r="H1290" s="134"/>
    </row>
    <row r="1291" spans="1:8" s="140" customFormat="1" x14ac:dyDescent="0.25">
      <c r="B1291" s="155"/>
      <c r="C1291" s="151"/>
      <c r="D1291" s="151"/>
      <c r="E1291" s="148"/>
      <c r="F1291" s="151"/>
      <c r="G1291" s="367"/>
      <c r="H1291" s="134"/>
    </row>
    <row r="1292" spans="1:8" s="140" customFormat="1" x14ac:dyDescent="0.25">
      <c r="B1292" s="155"/>
      <c r="C1292" s="151"/>
      <c r="D1292" s="151"/>
      <c r="E1292" s="148"/>
      <c r="F1292" s="151"/>
      <c r="G1292" s="367"/>
      <c r="H1292" s="134"/>
    </row>
    <row r="1293" spans="1:8" s="140" customFormat="1" x14ac:dyDescent="0.25">
      <c r="B1293" s="155"/>
      <c r="C1293" s="152"/>
      <c r="D1293" s="152"/>
      <c r="E1293" s="152"/>
      <c r="F1293" s="151"/>
      <c r="G1293" s="156"/>
      <c r="H1293" s="134"/>
    </row>
    <row r="1294" spans="1:8" s="140" customFormat="1" ht="13.5" thickBot="1" x14ac:dyDescent="0.3">
      <c r="B1294" s="155"/>
      <c r="C1294" s="152"/>
      <c r="D1294" s="152"/>
      <c r="E1294" s="152"/>
      <c r="F1294" s="151"/>
      <c r="G1294" s="156"/>
      <c r="H1294" s="134"/>
    </row>
    <row r="1295" spans="1:8" s="140" customFormat="1" ht="13.5" thickBot="1" x14ac:dyDescent="0.3">
      <c r="B1295" s="157"/>
      <c r="C1295" s="159"/>
      <c r="D1295" s="159"/>
      <c r="E1295" s="159"/>
      <c r="F1295" s="158"/>
      <c r="G1295" s="160"/>
      <c r="H1295" s="161">
        <f>+SUM(G1283:G1295)</f>
        <v>0</v>
      </c>
    </row>
    <row r="1296" spans="1:8" s="140" customFormat="1" ht="13.5" thickBot="1" x14ac:dyDescent="0.3">
      <c r="B1296" s="162"/>
      <c r="C1296" s="162"/>
      <c r="D1296" s="162"/>
      <c r="E1296" s="162"/>
      <c r="F1296" s="163"/>
      <c r="G1296" s="164"/>
      <c r="H1296" s="165"/>
    </row>
    <row r="1297" spans="2:8" s="140" customFormat="1" ht="13.5" thickBot="1" x14ac:dyDescent="0.3">
      <c r="B1297" s="143" t="s">
        <v>5410</v>
      </c>
      <c r="C1297" s="144" t="s">
        <v>867</v>
      </c>
      <c r="D1297" s="144" t="s">
        <v>6</v>
      </c>
      <c r="E1297" s="144" t="s">
        <v>870</v>
      </c>
      <c r="F1297" s="144" t="s">
        <v>5411</v>
      </c>
      <c r="G1297" s="145" t="s">
        <v>868</v>
      </c>
      <c r="H1297" s="134"/>
    </row>
    <row r="1298" spans="2:8" s="140" customFormat="1" x14ac:dyDescent="0.25">
      <c r="B1298" s="201"/>
      <c r="C1298" s="147"/>
      <c r="D1298" s="167"/>
      <c r="E1298" s="148"/>
      <c r="F1298" s="169"/>
      <c r="G1298" s="367">
        <f>+D1298*E1298*(1+F1298)</f>
        <v>0</v>
      </c>
      <c r="H1298" s="134"/>
    </row>
    <row r="1299" spans="2:8" s="140" customFormat="1" x14ac:dyDescent="0.25">
      <c r="B1299" s="196"/>
      <c r="C1299" s="151"/>
      <c r="D1299" s="151"/>
      <c r="E1299" s="148"/>
      <c r="F1299" s="147"/>
      <c r="G1299" s="367"/>
      <c r="H1299" s="134"/>
    </row>
    <row r="1300" spans="2:8" s="140" customFormat="1" x14ac:dyDescent="0.25">
      <c r="B1300" s="196"/>
      <c r="C1300" s="151"/>
      <c r="D1300" s="151"/>
      <c r="E1300" s="148"/>
      <c r="F1300" s="151"/>
      <c r="G1300" s="367"/>
      <c r="H1300" s="134"/>
    </row>
    <row r="1301" spans="2:8" s="140" customFormat="1" x14ac:dyDescent="0.25">
      <c r="B1301" s="155"/>
      <c r="C1301" s="151"/>
      <c r="D1301" s="151"/>
      <c r="E1301" s="148"/>
      <c r="F1301" s="151"/>
      <c r="G1301" s="367"/>
      <c r="H1301" s="134"/>
    </row>
    <row r="1302" spans="2:8" s="140" customFormat="1" x14ac:dyDescent="0.25">
      <c r="B1302" s="155"/>
      <c r="C1302" s="151"/>
      <c r="D1302" s="151"/>
      <c r="E1302" s="148"/>
      <c r="F1302" s="151"/>
      <c r="G1302" s="367"/>
      <c r="H1302" s="134"/>
    </row>
    <row r="1303" spans="2:8" s="140" customFormat="1" ht="13.5" thickBot="1" x14ac:dyDescent="0.3">
      <c r="B1303" s="155"/>
      <c r="C1303" s="151"/>
      <c r="D1303" s="151"/>
      <c r="E1303" s="148"/>
      <c r="F1303" s="151"/>
      <c r="G1303" s="367"/>
      <c r="H1303" s="134"/>
    </row>
    <row r="1304" spans="2:8" s="140" customFormat="1" ht="13.5" thickBot="1" x14ac:dyDescent="0.3">
      <c r="B1304" s="157"/>
      <c r="C1304" s="159"/>
      <c r="D1304" s="159"/>
      <c r="E1304" s="159"/>
      <c r="F1304" s="158"/>
      <c r="G1304" s="160"/>
      <c r="H1304" s="161">
        <f>+SUM(G1298:G1304)</f>
        <v>0</v>
      </c>
    </row>
    <row r="1305" spans="2:8" s="140" customFormat="1" ht="13.5" thickBot="1" x14ac:dyDescent="0.3">
      <c r="B1305" s="162"/>
      <c r="C1305" s="162"/>
      <c r="D1305" s="162"/>
      <c r="E1305" s="162"/>
      <c r="F1305" s="173"/>
      <c r="G1305" s="174"/>
      <c r="H1305" s="165"/>
    </row>
    <row r="1306" spans="2:8" s="140" customFormat="1" ht="13.5" thickBot="1" x14ac:dyDescent="0.3">
      <c r="B1306" s="143" t="s">
        <v>5412</v>
      </c>
      <c r="C1306" s="144" t="s">
        <v>5420</v>
      </c>
      <c r="D1306" s="144" t="s">
        <v>5421</v>
      </c>
      <c r="E1306" s="144" t="s">
        <v>5413</v>
      </c>
      <c r="F1306" s="144" t="s">
        <v>5405</v>
      </c>
      <c r="G1306" s="145" t="s">
        <v>868</v>
      </c>
      <c r="H1306" s="134"/>
    </row>
    <row r="1307" spans="2:8" s="140" customFormat="1" x14ac:dyDescent="0.25">
      <c r="B1307" s="194" t="s">
        <v>5650</v>
      </c>
      <c r="C1307" s="345">
        <v>70000</v>
      </c>
      <c r="D1307" s="345">
        <f>+C1307*0.85</f>
        <v>59500</v>
      </c>
      <c r="E1307" s="353">
        <f>+C1307+D1307</f>
        <v>129500</v>
      </c>
      <c r="F1307" s="202">
        <v>100</v>
      </c>
      <c r="G1307" s="351">
        <f>+E1307/F1307</f>
        <v>1295</v>
      </c>
      <c r="H1307" s="134"/>
    </row>
    <row r="1308" spans="2:8" s="140" customFormat="1" x14ac:dyDescent="0.25">
      <c r="B1308" s="194" t="s">
        <v>5651</v>
      </c>
      <c r="C1308" s="345">
        <v>40000</v>
      </c>
      <c r="D1308" s="345">
        <f>+C1308*0.85</f>
        <v>34000</v>
      </c>
      <c r="E1308" s="353">
        <f>+C1308+D1308</f>
        <v>74000</v>
      </c>
      <c r="F1308" s="204">
        <v>20</v>
      </c>
      <c r="G1308" s="351">
        <f>+E1308/F1308</f>
        <v>3700</v>
      </c>
      <c r="H1308" s="134"/>
    </row>
    <row r="1309" spans="2:8" s="140" customFormat="1" x14ac:dyDescent="0.25">
      <c r="B1309" s="195" t="s">
        <v>5635</v>
      </c>
      <c r="C1309" s="345">
        <v>20600</v>
      </c>
      <c r="D1309" s="345">
        <f>+C1309*0.85</f>
        <v>17510</v>
      </c>
      <c r="E1309" s="353">
        <f>+C1309+D1309</f>
        <v>38110</v>
      </c>
      <c r="F1309" s="197">
        <v>1.75</v>
      </c>
      <c r="G1309" s="351">
        <f>+E1309/F1309</f>
        <v>21777.142857142859</v>
      </c>
      <c r="H1309" s="134"/>
    </row>
    <row r="1310" spans="2:8" s="140" customFormat="1" x14ac:dyDescent="0.25">
      <c r="B1310" s="155"/>
      <c r="C1310" s="345"/>
      <c r="D1310" s="152"/>
      <c r="E1310" s="152"/>
      <c r="F1310" s="151"/>
      <c r="G1310" s="156"/>
      <c r="H1310" s="134"/>
    </row>
    <row r="1311" spans="2:8" s="140" customFormat="1" x14ac:dyDescent="0.25">
      <c r="B1311" s="155"/>
      <c r="C1311" s="152"/>
      <c r="D1311" s="152"/>
      <c r="E1311" s="152"/>
      <c r="F1311" s="151"/>
      <c r="G1311" s="156"/>
      <c r="H1311" s="134"/>
    </row>
    <row r="1312" spans="2:8" s="140" customFormat="1" ht="13.5" thickBot="1" x14ac:dyDescent="0.3">
      <c r="B1312" s="155"/>
      <c r="C1312" s="152"/>
      <c r="D1312" s="152"/>
      <c r="E1312" s="152"/>
      <c r="F1312" s="151"/>
      <c r="G1312" s="156"/>
      <c r="H1312" s="134"/>
    </row>
    <row r="1313" spans="1:8" s="140" customFormat="1" ht="13.5" thickBot="1" x14ac:dyDescent="0.3">
      <c r="B1313" s="179"/>
      <c r="C1313" s="180"/>
      <c r="D1313" s="180"/>
      <c r="E1313" s="180"/>
      <c r="F1313" s="181"/>
      <c r="G1313" s="182"/>
      <c r="H1313" s="161">
        <f>+SUM(G1307:G1313)</f>
        <v>26772.142857142859</v>
      </c>
    </row>
    <row r="1314" spans="1:8" s="140" customFormat="1" ht="13.5" thickBot="1" x14ac:dyDescent="0.3">
      <c r="F1314" s="141"/>
      <c r="G1314" s="134"/>
      <c r="H1314" s="134"/>
    </row>
    <row r="1315" spans="1:8" s="140" customFormat="1" ht="13.5" thickBot="1" x14ac:dyDescent="0.3">
      <c r="E1315" s="183" t="s">
        <v>5415</v>
      </c>
      <c r="F1315" s="141"/>
      <c r="G1315" s="134"/>
      <c r="H1315" s="161">
        <f>ROUND(+H1280+H1295+H1304+H1313,0)</f>
        <v>29449</v>
      </c>
    </row>
    <row r="1317" spans="1:8" x14ac:dyDescent="0.25">
      <c r="H1317" s="341"/>
    </row>
    <row r="1318" spans="1:8" ht="27" customHeight="1" x14ac:dyDescent="0.25"/>
    <row r="1320" spans="1:8" ht="18.75" x14ac:dyDescent="0.25">
      <c r="A1320" s="133"/>
      <c r="B1320" s="2506" t="s">
        <v>5400</v>
      </c>
      <c r="C1320" s="2506"/>
      <c r="D1320" s="2506"/>
      <c r="E1320" s="2506"/>
      <c r="F1320" s="2506"/>
      <c r="G1320" s="2506"/>
    </row>
    <row r="1321" spans="1:8" x14ac:dyDescent="0.25">
      <c r="A1321" s="133"/>
      <c r="G1321" s="134"/>
    </row>
    <row r="1322" spans="1:8" x14ac:dyDescent="0.25">
      <c r="A1322" s="133"/>
      <c r="G1322" s="134"/>
    </row>
    <row r="1323" spans="1:8" x14ac:dyDescent="0.25">
      <c r="A1323" s="133"/>
      <c r="G1323" s="134"/>
    </row>
    <row r="1324" spans="1:8" s="140" customFormat="1" x14ac:dyDescent="0.25">
      <c r="A1324" s="138" t="s">
        <v>3</v>
      </c>
      <c r="B1324" s="138" t="s">
        <v>96</v>
      </c>
      <c r="C1324" s="2450" t="s">
        <v>5972</v>
      </c>
      <c r="D1324" s="2450"/>
      <c r="E1324" s="2450"/>
      <c r="F1324" s="138" t="s">
        <v>867</v>
      </c>
      <c r="G1324" s="139" t="s">
        <v>5454</v>
      </c>
      <c r="H1324" s="134"/>
    </row>
    <row r="1325" spans="1:8" s="140" customFormat="1" ht="32.25" customHeight="1" x14ac:dyDescent="0.25">
      <c r="A1325" s="141"/>
      <c r="F1325" s="141"/>
      <c r="G1325" s="134"/>
      <c r="H1325" s="134"/>
    </row>
    <row r="1326" spans="1:8" s="140" customFormat="1" ht="12.75" customHeight="1" x14ac:dyDescent="0.25">
      <c r="A1326" s="141"/>
      <c r="F1326" s="141"/>
      <c r="G1326" s="142"/>
      <c r="H1326" s="134"/>
    </row>
    <row r="1327" spans="1:8" s="140" customFormat="1" ht="13.5" thickBot="1" x14ac:dyDescent="0.3">
      <c r="A1327" s="141"/>
      <c r="F1327" s="141"/>
      <c r="G1327" s="134"/>
      <c r="H1327" s="134"/>
    </row>
    <row r="1328" spans="1:8" s="140" customFormat="1" ht="13.5" thickBot="1" x14ac:dyDescent="0.3">
      <c r="A1328" s="141"/>
      <c r="B1328" s="143" t="s">
        <v>5403</v>
      </c>
      <c r="C1328" s="144" t="s">
        <v>867</v>
      </c>
      <c r="D1328" s="144" t="s">
        <v>6</v>
      </c>
      <c r="E1328" s="144" t="s">
        <v>5404</v>
      </c>
      <c r="F1328" s="144" t="s">
        <v>5405</v>
      </c>
      <c r="G1328" s="145" t="s">
        <v>868</v>
      </c>
      <c r="H1328" s="134"/>
    </row>
    <row r="1329" spans="1:8" s="140" customFormat="1" x14ac:dyDescent="0.25">
      <c r="A1329" s="141"/>
      <c r="B1329" s="146" t="s">
        <v>5440</v>
      </c>
      <c r="C1329" s="147" t="s">
        <v>5406</v>
      </c>
      <c r="D1329" s="147"/>
      <c r="E1329" s="148">
        <f>+H1368</f>
        <v>43105</v>
      </c>
      <c r="F1329" s="167">
        <v>0.1</v>
      </c>
      <c r="G1329" s="360">
        <f>+E1329*F1329</f>
        <v>4310.5</v>
      </c>
      <c r="H1329" s="134"/>
    </row>
    <row r="1330" spans="1:8" s="140" customFormat="1" x14ac:dyDescent="0.25">
      <c r="A1330" s="141"/>
      <c r="B1330" s="150"/>
      <c r="C1330" s="151"/>
      <c r="D1330" s="151"/>
      <c r="E1330" s="366"/>
      <c r="F1330" s="151"/>
      <c r="G1330" s="360"/>
      <c r="H1330" s="134"/>
    </row>
    <row r="1331" spans="1:8" s="140" customFormat="1" x14ac:dyDescent="0.25">
      <c r="A1331" s="141"/>
      <c r="B1331" s="154"/>
      <c r="C1331" s="151"/>
      <c r="D1331" s="151"/>
      <c r="E1331" s="366"/>
      <c r="F1331" s="151"/>
      <c r="G1331" s="360"/>
      <c r="H1331" s="134"/>
    </row>
    <row r="1332" spans="1:8" s="140" customFormat="1" x14ac:dyDescent="0.25">
      <c r="A1332" s="141"/>
      <c r="B1332" s="155"/>
      <c r="C1332" s="151"/>
      <c r="D1332" s="152"/>
      <c r="E1332" s="152"/>
      <c r="F1332" s="151"/>
      <c r="G1332" s="156"/>
      <c r="H1332" s="134"/>
    </row>
    <row r="1333" spans="1:8" s="140" customFormat="1" x14ac:dyDescent="0.25">
      <c r="A1333" s="141"/>
      <c r="B1333" s="155"/>
      <c r="C1333" s="151"/>
      <c r="D1333" s="152"/>
      <c r="E1333" s="152"/>
      <c r="F1333" s="151"/>
      <c r="G1333" s="156"/>
      <c r="H1333" s="134"/>
    </row>
    <row r="1334" spans="1:8" s="140" customFormat="1" ht="13.5" thickBot="1" x14ac:dyDescent="0.3">
      <c r="A1334" s="141"/>
      <c r="B1334" s="155"/>
      <c r="C1334" s="151"/>
      <c r="D1334" s="152"/>
      <c r="E1334" s="152"/>
      <c r="F1334" s="151"/>
      <c r="G1334" s="156"/>
      <c r="H1334" s="134"/>
    </row>
    <row r="1335" spans="1:8" s="140" customFormat="1" ht="13.5" thickBot="1" x14ac:dyDescent="0.3">
      <c r="A1335" s="141"/>
      <c r="B1335" s="157"/>
      <c r="C1335" s="158"/>
      <c r="D1335" s="159"/>
      <c r="E1335" s="159"/>
      <c r="F1335" s="158"/>
      <c r="G1335" s="160"/>
      <c r="H1335" s="161">
        <f>+SUM(G1329:G1335)</f>
        <v>4310.5</v>
      </c>
    </row>
    <row r="1336" spans="1:8" s="140" customFormat="1" ht="13.5" thickBot="1" x14ac:dyDescent="0.3">
      <c r="A1336" s="141"/>
      <c r="B1336" s="162"/>
      <c r="C1336" s="163"/>
      <c r="D1336" s="162"/>
      <c r="E1336" s="162"/>
      <c r="F1336" s="163"/>
      <c r="G1336" s="164"/>
      <c r="H1336" s="165"/>
    </row>
    <row r="1337" spans="1:8" s="140" customFormat="1" ht="13.5" thickBot="1" x14ac:dyDescent="0.3">
      <c r="B1337" s="143" t="s">
        <v>5408</v>
      </c>
      <c r="C1337" s="144" t="s">
        <v>867</v>
      </c>
      <c r="D1337" s="144" t="s">
        <v>6</v>
      </c>
      <c r="E1337" s="144" t="s">
        <v>870</v>
      </c>
      <c r="F1337" s="144" t="s">
        <v>5409</v>
      </c>
      <c r="G1337" s="145" t="s">
        <v>868</v>
      </c>
      <c r="H1337" s="134"/>
    </row>
    <row r="1338" spans="1:8" s="140" customFormat="1" x14ac:dyDescent="0.25">
      <c r="B1338" s="201"/>
      <c r="C1338" s="147"/>
      <c r="D1338" s="167"/>
      <c r="E1338" s="148"/>
      <c r="F1338" s="169"/>
      <c r="G1338" s="367">
        <f>+D1338*E1338*(1+F1338)</f>
        <v>0</v>
      </c>
      <c r="H1338" s="134"/>
    </row>
    <row r="1339" spans="1:8" s="140" customFormat="1" x14ac:dyDescent="0.25">
      <c r="B1339" s="196"/>
      <c r="C1339" s="151"/>
      <c r="D1339" s="151"/>
      <c r="E1339" s="148"/>
      <c r="F1339" s="169"/>
      <c r="G1339" s="354"/>
      <c r="H1339" s="134"/>
    </row>
    <row r="1340" spans="1:8" s="140" customFormat="1" x14ac:dyDescent="0.25">
      <c r="B1340" s="196"/>
      <c r="C1340" s="151"/>
      <c r="D1340" s="151"/>
      <c r="E1340" s="148"/>
      <c r="F1340" s="169"/>
      <c r="G1340" s="367"/>
      <c r="H1340" s="134"/>
    </row>
    <row r="1341" spans="1:8" s="140" customFormat="1" x14ac:dyDescent="0.25">
      <c r="B1341" s="155"/>
      <c r="C1341" s="151"/>
      <c r="D1341" s="151"/>
      <c r="E1341" s="148"/>
      <c r="F1341" s="151"/>
      <c r="G1341" s="367"/>
      <c r="H1341" s="134"/>
    </row>
    <row r="1342" spans="1:8" s="140" customFormat="1" x14ac:dyDescent="0.25">
      <c r="B1342" s="155"/>
      <c r="C1342" s="151"/>
      <c r="D1342" s="151"/>
      <c r="E1342" s="148"/>
      <c r="F1342" s="151"/>
      <c r="G1342" s="367"/>
      <c r="H1342" s="134"/>
    </row>
    <row r="1343" spans="1:8" s="140" customFormat="1" x14ac:dyDescent="0.25">
      <c r="B1343" s="155"/>
      <c r="C1343" s="151"/>
      <c r="D1343" s="151"/>
      <c r="E1343" s="148"/>
      <c r="F1343" s="151"/>
      <c r="G1343" s="367"/>
      <c r="H1343" s="134"/>
    </row>
    <row r="1344" spans="1:8" s="140" customFormat="1" x14ac:dyDescent="0.25">
      <c r="B1344" s="155"/>
      <c r="C1344" s="151"/>
      <c r="D1344" s="151"/>
      <c r="E1344" s="148"/>
      <c r="F1344" s="151"/>
      <c r="G1344" s="367"/>
      <c r="H1344" s="134"/>
    </row>
    <row r="1345" spans="2:8" s="140" customFormat="1" x14ac:dyDescent="0.25">
      <c r="B1345" s="155"/>
      <c r="C1345" s="151"/>
      <c r="D1345" s="151"/>
      <c r="E1345" s="148"/>
      <c r="F1345" s="151"/>
      <c r="G1345" s="367"/>
      <c r="H1345" s="134"/>
    </row>
    <row r="1346" spans="2:8" s="140" customFormat="1" x14ac:dyDescent="0.25">
      <c r="B1346" s="155"/>
      <c r="C1346" s="151"/>
      <c r="D1346" s="151"/>
      <c r="E1346" s="148"/>
      <c r="F1346" s="151"/>
      <c r="G1346" s="367"/>
      <c r="H1346" s="134"/>
    </row>
    <row r="1347" spans="2:8" s="140" customFormat="1" x14ac:dyDescent="0.25">
      <c r="B1347" s="155"/>
      <c r="C1347" s="151"/>
      <c r="D1347" s="151"/>
      <c r="E1347" s="148"/>
      <c r="F1347" s="151"/>
      <c r="G1347" s="367"/>
      <c r="H1347" s="134"/>
    </row>
    <row r="1348" spans="2:8" s="140" customFormat="1" x14ac:dyDescent="0.25">
      <c r="B1348" s="155"/>
      <c r="C1348" s="152"/>
      <c r="D1348" s="152"/>
      <c r="E1348" s="152"/>
      <c r="F1348" s="151"/>
      <c r="G1348" s="156"/>
      <c r="H1348" s="134"/>
    </row>
    <row r="1349" spans="2:8" s="140" customFormat="1" ht="13.5" thickBot="1" x14ac:dyDescent="0.3">
      <c r="B1349" s="155"/>
      <c r="C1349" s="152"/>
      <c r="D1349" s="152"/>
      <c r="E1349" s="152"/>
      <c r="F1349" s="151"/>
      <c r="G1349" s="156"/>
      <c r="H1349" s="134"/>
    </row>
    <row r="1350" spans="2:8" s="140" customFormat="1" ht="13.5" thickBot="1" x14ac:dyDescent="0.3">
      <c r="B1350" s="157"/>
      <c r="C1350" s="159"/>
      <c r="D1350" s="159"/>
      <c r="E1350" s="159"/>
      <c r="F1350" s="158"/>
      <c r="G1350" s="160"/>
      <c r="H1350" s="161">
        <f>+SUM(G1338:G1350)</f>
        <v>0</v>
      </c>
    </row>
    <row r="1351" spans="2:8" s="140" customFormat="1" ht="13.5" thickBot="1" x14ac:dyDescent="0.3">
      <c r="B1351" s="162"/>
      <c r="C1351" s="162"/>
      <c r="D1351" s="162"/>
      <c r="E1351" s="162"/>
      <c r="F1351" s="163"/>
      <c r="G1351" s="164"/>
      <c r="H1351" s="165"/>
    </row>
    <row r="1352" spans="2:8" s="140" customFormat="1" ht="13.5" thickBot="1" x14ac:dyDescent="0.3">
      <c r="B1352" s="143" t="s">
        <v>5410</v>
      </c>
      <c r="C1352" s="144" t="s">
        <v>867</v>
      </c>
      <c r="D1352" s="144" t="s">
        <v>6</v>
      </c>
      <c r="E1352" s="144" t="s">
        <v>870</v>
      </c>
      <c r="F1352" s="144" t="s">
        <v>5411</v>
      </c>
      <c r="G1352" s="145" t="s">
        <v>868</v>
      </c>
      <c r="H1352" s="134"/>
    </row>
    <row r="1353" spans="2:8" s="140" customFormat="1" x14ac:dyDescent="0.25">
      <c r="B1353" s="201"/>
      <c r="C1353" s="147"/>
      <c r="D1353" s="167"/>
      <c r="E1353" s="148"/>
      <c r="F1353" s="169"/>
      <c r="G1353" s="367">
        <f>+D1353*E1353*(1+F1353)</f>
        <v>0</v>
      </c>
      <c r="H1353" s="134"/>
    </row>
    <row r="1354" spans="2:8" s="140" customFormat="1" x14ac:dyDescent="0.25">
      <c r="B1354" s="196"/>
      <c r="C1354" s="151"/>
      <c r="D1354" s="151"/>
      <c r="E1354" s="148"/>
      <c r="F1354" s="147"/>
      <c r="G1354" s="367"/>
      <c r="H1354" s="134"/>
    </row>
    <row r="1355" spans="2:8" s="140" customFormat="1" x14ac:dyDescent="0.25">
      <c r="B1355" s="196"/>
      <c r="C1355" s="151"/>
      <c r="D1355" s="151"/>
      <c r="E1355" s="148"/>
      <c r="F1355" s="151"/>
      <c r="G1355" s="367"/>
      <c r="H1355" s="134"/>
    </row>
    <row r="1356" spans="2:8" s="140" customFormat="1" x14ac:dyDescent="0.25">
      <c r="B1356" s="155"/>
      <c r="C1356" s="151"/>
      <c r="D1356" s="151"/>
      <c r="E1356" s="148"/>
      <c r="F1356" s="151"/>
      <c r="G1356" s="367"/>
      <c r="H1356" s="134"/>
    </row>
    <row r="1357" spans="2:8" s="140" customFormat="1" x14ac:dyDescent="0.25">
      <c r="B1357" s="155"/>
      <c r="C1357" s="151"/>
      <c r="D1357" s="151"/>
      <c r="E1357" s="148"/>
      <c r="F1357" s="151"/>
      <c r="G1357" s="367"/>
      <c r="H1357" s="134"/>
    </row>
    <row r="1358" spans="2:8" s="140" customFormat="1" ht="13.5" thickBot="1" x14ac:dyDescent="0.3">
      <c r="B1358" s="155"/>
      <c r="C1358" s="151"/>
      <c r="D1358" s="151"/>
      <c r="E1358" s="148"/>
      <c r="F1358" s="151"/>
      <c r="G1358" s="367"/>
      <c r="H1358" s="134"/>
    </row>
    <row r="1359" spans="2:8" s="140" customFormat="1" ht="13.5" thickBot="1" x14ac:dyDescent="0.3">
      <c r="B1359" s="157"/>
      <c r="C1359" s="159"/>
      <c r="D1359" s="159"/>
      <c r="E1359" s="159"/>
      <c r="F1359" s="158"/>
      <c r="G1359" s="160"/>
      <c r="H1359" s="161">
        <f>+SUM(G1353:G1359)</f>
        <v>0</v>
      </c>
    </row>
    <row r="1360" spans="2:8" s="140" customFormat="1" ht="13.5" thickBot="1" x14ac:dyDescent="0.3">
      <c r="B1360" s="162"/>
      <c r="C1360" s="162"/>
      <c r="D1360" s="162"/>
      <c r="E1360" s="162"/>
      <c r="F1360" s="173"/>
      <c r="G1360" s="174"/>
      <c r="H1360" s="165"/>
    </row>
    <row r="1361" spans="1:8" s="140" customFormat="1" ht="13.5" thickBot="1" x14ac:dyDescent="0.3">
      <c r="B1361" s="143" t="s">
        <v>5412</v>
      </c>
      <c r="C1361" s="144" t="s">
        <v>5420</v>
      </c>
      <c r="D1361" s="144" t="s">
        <v>5421</v>
      </c>
      <c r="E1361" s="144" t="s">
        <v>5413</v>
      </c>
      <c r="F1361" s="144" t="s">
        <v>5405</v>
      </c>
      <c r="G1361" s="145" t="s">
        <v>868</v>
      </c>
      <c r="H1361" s="134"/>
    </row>
    <row r="1362" spans="1:8" s="140" customFormat="1" x14ac:dyDescent="0.25">
      <c r="B1362" s="194" t="s">
        <v>5650</v>
      </c>
      <c r="C1362" s="345">
        <v>70000</v>
      </c>
      <c r="D1362" s="345">
        <f>+C1362*0.85</f>
        <v>59500</v>
      </c>
      <c r="E1362" s="353">
        <f>+C1362+D1362</f>
        <v>129500</v>
      </c>
      <c r="F1362" s="202">
        <v>100</v>
      </c>
      <c r="G1362" s="351">
        <f>+E1362/F1362</f>
        <v>1295</v>
      </c>
      <c r="H1362" s="134"/>
    </row>
    <row r="1363" spans="1:8" s="140" customFormat="1" x14ac:dyDescent="0.25">
      <c r="B1363" s="194" t="s">
        <v>5651</v>
      </c>
      <c r="C1363" s="345">
        <v>40000</v>
      </c>
      <c r="D1363" s="345">
        <f>+C1363*0.85</f>
        <v>34000</v>
      </c>
      <c r="E1363" s="353">
        <f>+C1363+D1363</f>
        <v>74000</v>
      </c>
      <c r="F1363" s="204">
        <v>20</v>
      </c>
      <c r="G1363" s="351">
        <f>+E1363/F1363</f>
        <v>3700</v>
      </c>
      <c r="H1363" s="134"/>
    </row>
    <row r="1364" spans="1:8" s="140" customFormat="1" x14ac:dyDescent="0.25">
      <c r="B1364" s="195" t="s">
        <v>5635</v>
      </c>
      <c r="C1364" s="345">
        <v>20600</v>
      </c>
      <c r="D1364" s="345">
        <f>+C1364*0.85</f>
        <v>17510</v>
      </c>
      <c r="E1364" s="353">
        <f>+C1364+D1364</f>
        <v>38110</v>
      </c>
      <c r="F1364" s="205">
        <v>1</v>
      </c>
      <c r="G1364" s="351">
        <f>+E1364/F1364</f>
        <v>38110</v>
      </c>
      <c r="H1364" s="134"/>
    </row>
    <row r="1365" spans="1:8" s="140" customFormat="1" x14ac:dyDescent="0.25">
      <c r="B1365" s="155"/>
      <c r="C1365" s="345"/>
      <c r="D1365" s="152"/>
      <c r="E1365" s="152"/>
      <c r="F1365" s="151"/>
      <c r="G1365" s="156"/>
      <c r="H1365" s="134"/>
    </row>
    <row r="1366" spans="1:8" s="140" customFormat="1" x14ac:dyDescent="0.25">
      <c r="B1366" s="155"/>
      <c r="C1366" s="152"/>
      <c r="D1366" s="152"/>
      <c r="E1366" s="152"/>
      <c r="F1366" s="151"/>
      <c r="G1366" s="156"/>
      <c r="H1366" s="134"/>
    </row>
    <row r="1367" spans="1:8" s="140" customFormat="1" ht="13.5" thickBot="1" x14ac:dyDescent="0.3">
      <c r="B1367" s="155"/>
      <c r="C1367" s="152"/>
      <c r="D1367" s="152"/>
      <c r="E1367" s="152"/>
      <c r="F1367" s="151"/>
      <c r="G1367" s="156"/>
      <c r="H1367" s="134"/>
    </row>
    <row r="1368" spans="1:8" s="140" customFormat="1" ht="13.5" thickBot="1" x14ac:dyDescent="0.3">
      <c r="B1368" s="179"/>
      <c r="C1368" s="180"/>
      <c r="D1368" s="180"/>
      <c r="E1368" s="180"/>
      <c r="F1368" s="181"/>
      <c r="G1368" s="182"/>
      <c r="H1368" s="161">
        <f>+SUM(G1362:G1368)</f>
        <v>43105</v>
      </c>
    </row>
    <row r="1369" spans="1:8" s="140" customFormat="1" ht="13.5" thickBot="1" x14ac:dyDescent="0.3">
      <c r="F1369" s="141"/>
      <c r="G1369" s="134"/>
      <c r="H1369" s="134"/>
    </row>
    <row r="1370" spans="1:8" s="140" customFormat="1" ht="13.5" thickBot="1" x14ac:dyDescent="0.3">
      <c r="E1370" s="183" t="s">
        <v>5415</v>
      </c>
      <c r="F1370" s="141"/>
      <c r="G1370" s="134"/>
      <c r="H1370" s="161">
        <f>ROUND(+H1335+H1350+H1359+H1368,0)</f>
        <v>47416</v>
      </c>
    </row>
    <row r="1372" spans="1:8" x14ac:dyDescent="0.25">
      <c r="H1372" s="341"/>
    </row>
    <row r="1373" spans="1:8" ht="27" customHeight="1" x14ac:dyDescent="0.25"/>
    <row r="1375" spans="1:8" ht="18.75" x14ac:dyDescent="0.25">
      <c r="A1375" s="133"/>
      <c r="B1375" s="2506" t="s">
        <v>5400</v>
      </c>
      <c r="C1375" s="2506"/>
      <c r="D1375" s="2506"/>
      <c r="E1375" s="2506"/>
      <c r="F1375" s="2506"/>
      <c r="G1375" s="2506"/>
    </row>
    <row r="1376" spans="1:8" x14ac:dyDescent="0.25">
      <c r="A1376" s="133"/>
      <c r="G1376" s="134"/>
    </row>
    <row r="1377" spans="1:8" x14ac:dyDescent="0.25">
      <c r="A1377" s="133"/>
      <c r="G1377" s="134"/>
    </row>
    <row r="1378" spans="1:8" x14ac:dyDescent="0.25">
      <c r="A1378" s="133"/>
      <c r="G1378" s="134"/>
    </row>
    <row r="1379" spans="1:8" s="140" customFormat="1" x14ac:dyDescent="0.25">
      <c r="A1379" s="138" t="s">
        <v>3</v>
      </c>
      <c r="B1379" s="138" t="s">
        <v>97</v>
      </c>
      <c r="C1379" s="2450" t="s">
        <v>5973</v>
      </c>
      <c r="D1379" s="2450"/>
      <c r="E1379" s="2450"/>
      <c r="F1379" s="138" t="s">
        <v>867</v>
      </c>
      <c r="G1379" s="139" t="s">
        <v>5454</v>
      </c>
      <c r="H1379" s="134"/>
    </row>
    <row r="1380" spans="1:8" s="140" customFormat="1" ht="28.5" customHeight="1" x14ac:dyDescent="0.25">
      <c r="A1380" s="141"/>
      <c r="F1380" s="141"/>
      <c r="G1380" s="134"/>
      <c r="H1380" s="134"/>
    </row>
    <row r="1381" spans="1:8" s="140" customFormat="1" ht="12.75" customHeight="1" x14ac:dyDescent="0.25">
      <c r="A1381" s="141"/>
      <c r="F1381" s="141"/>
      <c r="G1381" s="142"/>
      <c r="H1381" s="134"/>
    </row>
    <row r="1382" spans="1:8" s="140" customFormat="1" ht="13.5" thickBot="1" x14ac:dyDescent="0.3">
      <c r="A1382" s="141"/>
      <c r="F1382" s="141"/>
      <c r="G1382" s="134"/>
      <c r="H1382" s="134"/>
    </row>
    <row r="1383" spans="1:8" s="140" customFormat="1" ht="13.5" thickBot="1" x14ac:dyDescent="0.3">
      <c r="A1383" s="141"/>
      <c r="B1383" s="143" t="s">
        <v>5403</v>
      </c>
      <c r="C1383" s="144" t="s">
        <v>867</v>
      </c>
      <c r="D1383" s="144" t="s">
        <v>6</v>
      </c>
      <c r="E1383" s="144" t="s">
        <v>5404</v>
      </c>
      <c r="F1383" s="144" t="s">
        <v>5405</v>
      </c>
      <c r="G1383" s="145" t="s">
        <v>868</v>
      </c>
      <c r="H1383" s="134"/>
    </row>
    <row r="1384" spans="1:8" s="140" customFormat="1" x14ac:dyDescent="0.25">
      <c r="A1384" s="141"/>
      <c r="B1384" s="146" t="s">
        <v>5440</v>
      </c>
      <c r="C1384" s="147" t="s">
        <v>5406</v>
      </c>
      <c r="D1384" s="147"/>
      <c r="E1384" s="148">
        <f>+H1423</f>
        <v>51738.333333333336</v>
      </c>
      <c r="F1384" s="167">
        <v>0.1</v>
      </c>
      <c r="G1384" s="360">
        <f>+E1384*F1384</f>
        <v>5173.8333333333339</v>
      </c>
      <c r="H1384" s="134"/>
    </row>
    <row r="1385" spans="1:8" s="140" customFormat="1" x14ac:dyDescent="0.25">
      <c r="A1385" s="141"/>
      <c r="B1385" s="150"/>
      <c r="C1385" s="151"/>
      <c r="D1385" s="151"/>
      <c r="E1385" s="366"/>
      <c r="F1385" s="151"/>
      <c r="G1385" s="360"/>
      <c r="H1385" s="134"/>
    </row>
    <row r="1386" spans="1:8" s="140" customFormat="1" x14ac:dyDescent="0.25">
      <c r="A1386" s="141"/>
      <c r="B1386" s="154"/>
      <c r="C1386" s="151"/>
      <c r="D1386" s="151"/>
      <c r="E1386" s="366"/>
      <c r="F1386" s="151"/>
      <c r="G1386" s="360"/>
      <c r="H1386" s="134"/>
    </row>
    <row r="1387" spans="1:8" s="140" customFormat="1" x14ac:dyDescent="0.25">
      <c r="A1387" s="141"/>
      <c r="B1387" s="155"/>
      <c r="C1387" s="151"/>
      <c r="D1387" s="152"/>
      <c r="E1387" s="152"/>
      <c r="F1387" s="151"/>
      <c r="G1387" s="156"/>
      <c r="H1387" s="134"/>
    </row>
    <row r="1388" spans="1:8" s="140" customFormat="1" x14ac:dyDescent="0.25">
      <c r="A1388" s="141"/>
      <c r="B1388" s="155"/>
      <c r="C1388" s="151"/>
      <c r="D1388" s="152"/>
      <c r="E1388" s="152"/>
      <c r="F1388" s="151"/>
      <c r="G1388" s="156"/>
      <c r="H1388" s="134"/>
    </row>
    <row r="1389" spans="1:8" s="140" customFormat="1" ht="13.5" thickBot="1" x14ac:dyDescent="0.3">
      <c r="A1389" s="141"/>
      <c r="B1389" s="155"/>
      <c r="C1389" s="151"/>
      <c r="D1389" s="152"/>
      <c r="E1389" s="152"/>
      <c r="F1389" s="151"/>
      <c r="G1389" s="156"/>
      <c r="H1389" s="134"/>
    </row>
    <row r="1390" spans="1:8" s="140" customFormat="1" ht="13.5" thickBot="1" x14ac:dyDescent="0.3">
      <c r="A1390" s="141"/>
      <c r="B1390" s="157"/>
      <c r="C1390" s="158"/>
      <c r="D1390" s="159"/>
      <c r="E1390" s="159"/>
      <c r="F1390" s="158"/>
      <c r="G1390" s="160"/>
      <c r="H1390" s="161">
        <f>+SUM(G1384:G1390)</f>
        <v>5173.8333333333339</v>
      </c>
    </row>
    <row r="1391" spans="1:8" s="140" customFormat="1" ht="13.5" thickBot="1" x14ac:dyDescent="0.3">
      <c r="A1391" s="141"/>
      <c r="B1391" s="162"/>
      <c r="C1391" s="163"/>
      <c r="D1391" s="162"/>
      <c r="E1391" s="162"/>
      <c r="F1391" s="163"/>
      <c r="G1391" s="164"/>
      <c r="H1391" s="165"/>
    </row>
    <row r="1392" spans="1:8" s="140" customFormat="1" ht="13.5" thickBot="1" x14ac:dyDescent="0.3">
      <c r="B1392" s="143" t="s">
        <v>5408</v>
      </c>
      <c r="C1392" s="144" t="s">
        <v>867</v>
      </c>
      <c r="D1392" s="144" t="s">
        <v>6</v>
      </c>
      <c r="E1392" s="144" t="s">
        <v>870</v>
      </c>
      <c r="F1392" s="144" t="s">
        <v>5409</v>
      </c>
      <c r="G1392" s="145" t="s">
        <v>868</v>
      </c>
      <c r="H1392" s="134"/>
    </row>
    <row r="1393" spans="2:8" s="140" customFormat="1" x14ac:dyDescent="0.25">
      <c r="B1393" s="201"/>
      <c r="C1393" s="147"/>
      <c r="D1393" s="167"/>
      <c r="E1393" s="148"/>
      <c r="F1393" s="169"/>
      <c r="G1393" s="367">
        <f>+D1393*E1393*(1+F1393)</f>
        <v>0</v>
      </c>
      <c r="H1393" s="134"/>
    </row>
    <row r="1394" spans="2:8" s="140" customFormat="1" x14ac:dyDescent="0.25">
      <c r="B1394" s="196"/>
      <c r="C1394" s="151"/>
      <c r="D1394" s="151"/>
      <c r="E1394" s="148"/>
      <c r="F1394" s="169"/>
      <c r="G1394" s="354"/>
      <c r="H1394" s="134"/>
    </row>
    <row r="1395" spans="2:8" s="140" customFormat="1" x14ac:dyDescent="0.25">
      <c r="B1395" s="196"/>
      <c r="C1395" s="151"/>
      <c r="D1395" s="151"/>
      <c r="E1395" s="148"/>
      <c r="F1395" s="169"/>
      <c r="G1395" s="367"/>
      <c r="H1395" s="134"/>
    </row>
    <row r="1396" spans="2:8" s="140" customFormat="1" x14ac:dyDescent="0.25">
      <c r="B1396" s="155"/>
      <c r="C1396" s="151"/>
      <c r="D1396" s="151"/>
      <c r="E1396" s="148"/>
      <c r="F1396" s="151"/>
      <c r="G1396" s="367"/>
      <c r="H1396" s="134"/>
    </row>
    <row r="1397" spans="2:8" s="140" customFormat="1" x14ac:dyDescent="0.25">
      <c r="B1397" s="155"/>
      <c r="C1397" s="151"/>
      <c r="D1397" s="151"/>
      <c r="E1397" s="148"/>
      <c r="F1397" s="151"/>
      <c r="G1397" s="367"/>
      <c r="H1397" s="134"/>
    </row>
    <row r="1398" spans="2:8" s="140" customFormat="1" x14ac:dyDescent="0.25">
      <c r="B1398" s="155"/>
      <c r="C1398" s="151"/>
      <c r="D1398" s="151"/>
      <c r="E1398" s="148"/>
      <c r="F1398" s="151"/>
      <c r="G1398" s="367"/>
      <c r="H1398" s="134"/>
    </row>
    <row r="1399" spans="2:8" s="140" customFormat="1" x14ac:dyDescent="0.25">
      <c r="B1399" s="155"/>
      <c r="C1399" s="151"/>
      <c r="D1399" s="151"/>
      <c r="E1399" s="148"/>
      <c r="F1399" s="151"/>
      <c r="G1399" s="367"/>
      <c r="H1399" s="134"/>
    </row>
    <row r="1400" spans="2:8" s="140" customFormat="1" x14ac:dyDescent="0.25">
      <c r="B1400" s="155"/>
      <c r="C1400" s="151"/>
      <c r="D1400" s="151"/>
      <c r="E1400" s="148"/>
      <c r="F1400" s="151"/>
      <c r="G1400" s="367"/>
      <c r="H1400" s="134"/>
    </row>
    <row r="1401" spans="2:8" s="140" customFormat="1" x14ac:dyDescent="0.25">
      <c r="B1401" s="155"/>
      <c r="C1401" s="151"/>
      <c r="D1401" s="151"/>
      <c r="E1401" s="148"/>
      <c r="F1401" s="151"/>
      <c r="G1401" s="367"/>
      <c r="H1401" s="134"/>
    </row>
    <row r="1402" spans="2:8" s="140" customFormat="1" x14ac:dyDescent="0.25">
      <c r="B1402" s="155"/>
      <c r="C1402" s="151"/>
      <c r="D1402" s="151"/>
      <c r="E1402" s="148"/>
      <c r="F1402" s="151"/>
      <c r="G1402" s="367"/>
      <c r="H1402" s="134"/>
    </row>
    <row r="1403" spans="2:8" s="140" customFormat="1" x14ac:dyDescent="0.25">
      <c r="B1403" s="155"/>
      <c r="C1403" s="152"/>
      <c r="D1403" s="152"/>
      <c r="E1403" s="152"/>
      <c r="F1403" s="151"/>
      <c r="G1403" s="156"/>
      <c r="H1403" s="134"/>
    </row>
    <row r="1404" spans="2:8" s="140" customFormat="1" ht="13.5" thickBot="1" x14ac:dyDescent="0.3">
      <c r="B1404" s="155"/>
      <c r="C1404" s="152"/>
      <c r="D1404" s="152"/>
      <c r="E1404" s="152"/>
      <c r="F1404" s="151"/>
      <c r="G1404" s="156"/>
      <c r="H1404" s="134"/>
    </row>
    <row r="1405" spans="2:8" s="140" customFormat="1" ht="13.5" thickBot="1" x14ac:dyDescent="0.3">
      <c r="B1405" s="157"/>
      <c r="C1405" s="159"/>
      <c r="D1405" s="159"/>
      <c r="E1405" s="159"/>
      <c r="F1405" s="158"/>
      <c r="G1405" s="160"/>
      <c r="H1405" s="161">
        <f>+SUM(G1393:G1405)</f>
        <v>0</v>
      </c>
    </row>
    <row r="1406" spans="2:8" s="140" customFormat="1" ht="13.5" thickBot="1" x14ac:dyDescent="0.3">
      <c r="B1406" s="162"/>
      <c r="C1406" s="162"/>
      <c r="D1406" s="162"/>
      <c r="E1406" s="162"/>
      <c r="F1406" s="163"/>
      <c r="G1406" s="164"/>
      <c r="H1406" s="165"/>
    </row>
    <row r="1407" spans="2:8" s="140" customFormat="1" ht="13.5" thickBot="1" x14ac:dyDescent="0.3">
      <c r="B1407" s="143" t="s">
        <v>5410</v>
      </c>
      <c r="C1407" s="144" t="s">
        <v>867</v>
      </c>
      <c r="D1407" s="144" t="s">
        <v>6</v>
      </c>
      <c r="E1407" s="144" t="s">
        <v>870</v>
      </c>
      <c r="F1407" s="144" t="s">
        <v>5411</v>
      </c>
      <c r="G1407" s="145" t="s">
        <v>868</v>
      </c>
      <c r="H1407" s="134"/>
    </row>
    <row r="1408" spans="2:8" s="140" customFormat="1" x14ac:dyDescent="0.25">
      <c r="B1408" s="201"/>
      <c r="C1408" s="147"/>
      <c r="D1408" s="167"/>
      <c r="E1408" s="148"/>
      <c r="F1408" s="169"/>
      <c r="G1408" s="367">
        <f>+D1408*E1408*(1+F1408)</f>
        <v>0</v>
      </c>
      <c r="H1408" s="134"/>
    </row>
    <row r="1409" spans="2:8" s="140" customFormat="1" x14ac:dyDescent="0.25">
      <c r="B1409" s="196"/>
      <c r="C1409" s="151"/>
      <c r="D1409" s="151"/>
      <c r="E1409" s="148"/>
      <c r="F1409" s="147"/>
      <c r="G1409" s="367"/>
      <c r="H1409" s="134"/>
    </row>
    <row r="1410" spans="2:8" s="140" customFormat="1" x14ac:dyDescent="0.25">
      <c r="B1410" s="196"/>
      <c r="C1410" s="151"/>
      <c r="D1410" s="151"/>
      <c r="E1410" s="148"/>
      <c r="F1410" s="151"/>
      <c r="G1410" s="367"/>
      <c r="H1410" s="134"/>
    </row>
    <row r="1411" spans="2:8" s="140" customFormat="1" x14ac:dyDescent="0.25">
      <c r="B1411" s="155"/>
      <c r="C1411" s="151"/>
      <c r="D1411" s="151"/>
      <c r="E1411" s="148"/>
      <c r="F1411" s="151"/>
      <c r="G1411" s="367"/>
      <c r="H1411" s="134"/>
    </row>
    <row r="1412" spans="2:8" s="140" customFormat="1" x14ac:dyDescent="0.25">
      <c r="B1412" s="155"/>
      <c r="C1412" s="151"/>
      <c r="D1412" s="151"/>
      <c r="E1412" s="148"/>
      <c r="F1412" s="151"/>
      <c r="G1412" s="367"/>
      <c r="H1412" s="134"/>
    </row>
    <row r="1413" spans="2:8" s="140" customFormat="1" ht="13.5" thickBot="1" x14ac:dyDescent="0.3">
      <c r="B1413" s="155"/>
      <c r="C1413" s="151"/>
      <c r="D1413" s="151"/>
      <c r="E1413" s="148"/>
      <c r="F1413" s="151"/>
      <c r="G1413" s="367"/>
      <c r="H1413" s="134"/>
    </row>
    <row r="1414" spans="2:8" s="140" customFormat="1" ht="13.5" thickBot="1" x14ac:dyDescent="0.3">
      <c r="B1414" s="157"/>
      <c r="C1414" s="159"/>
      <c r="D1414" s="159"/>
      <c r="E1414" s="159"/>
      <c r="F1414" s="158"/>
      <c r="G1414" s="160"/>
      <c r="H1414" s="161">
        <f>+SUM(G1408:G1414)</f>
        <v>0</v>
      </c>
    </row>
    <row r="1415" spans="2:8" s="140" customFormat="1" ht="13.5" thickBot="1" x14ac:dyDescent="0.3">
      <c r="B1415" s="162"/>
      <c r="C1415" s="162"/>
      <c r="D1415" s="162"/>
      <c r="E1415" s="162"/>
      <c r="F1415" s="173"/>
      <c r="G1415" s="174"/>
      <c r="H1415" s="165"/>
    </row>
    <row r="1416" spans="2:8" s="140" customFormat="1" ht="13.5" thickBot="1" x14ac:dyDescent="0.3">
      <c r="B1416" s="143" t="s">
        <v>5412</v>
      </c>
      <c r="C1416" s="144" t="s">
        <v>5420</v>
      </c>
      <c r="D1416" s="144" t="s">
        <v>5421</v>
      </c>
      <c r="E1416" s="144" t="s">
        <v>5413</v>
      </c>
      <c r="F1416" s="144" t="s">
        <v>5405</v>
      </c>
      <c r="G1416" s="145" t="s">
        <v>868</v>
      </c>
      <c r="H1416" s="134"/>
    </row>
    <row r="1417" spans="2:8" s="140" customFormat="1" x14ac:dyDescent="0.25">
      <c r="B1417" s="194" t="s">
        <v>5650</v>
      </c>
      <c r="C1417" s="345">
        <v>70000</v>
      </c>
      <c r="D1417" s="345">
        <f>+C1417*0.85</f>
        <v>59500</v>
      </c>
      <c r="E1417" s="353">
        <f>+C1417+D1417</f>
        <v>129500</v>
      </c>
      <c r="F1417" s="202">
        <v>100</v>
      </c>
      <c r="G1417" s="351">
        <f>+E1417/F1417</f>
        <v>1295</v>
      </c>
      <c r="H1417" s="134"/>
    </row>
    <row r="1418" spans="2:8" s="140" customFormat="1" x14ac:dyDescent="0.25">
      <c r="B1418" s="194" t="s">
        <v>5651</v>
      </c>
      <c r="C1418" s="345">
        <v>40000</v>
      </c>
      <c r="D1418" s="345">
        <f>+C1418*0.85</f>
        <v>34000</v>
      </c>
      <c r="E1418" s="353">
        <f>+C1418+D1418</f>
        <v>74000</v>
      </c>
      <c r="F1418" s="204">
        <v>6</v>
      </c>
      <c r="G1418" s="351">
        <f>+E1418/F1418</f>
        <v>12333.333333333334</v>
      </c>
      <c r="H1418" s="134"/>
    </row>
    <row r="1419" spans="2:8" s="140" customFormat="1" x14ac:dyDescent="0.25">
      <c r="B1419" s="195" t="s">
        <v>5635</v>
      </c>
      <c r="C1419" s="345">
        <v>20600</v>
      </c>
      <c r="D1419" s="345">
        <f>+C1419*0.85</f>
        <v>17510</v>
      </c>
      <c r="E1419" s="353">
        <f>+C1419+D1419</f>
        <v>38110</v>
      </c>
      <c r="F1419" s="205">
        <v>1</v>
      </c>
      <c r="G1419" s="351">
        <f>+E1419/F1419</f>
        <v>38110</v>
      </c>
      <c r="H1419" s="134"/>
    </row>
    <row r="1420" spans="2:8" s="140" customFormat="1" x14ac:dyDescent="0.25">
      <c r="B1420" s="155"/>
      <c r="C1420" s="345"/>
      <c r="D1420" s="152"/>
      <c r="E1420" s="152"/>
      <c r="F1420" s="151"/>
      <c r="G1420" s="156"/>
      <c r="H1420" s="134"/>
    </row>
    <row r="1421" spans="2:8" s="140" customFormat="1" x14ac:dyDescent="0.25">
      <c r="B1421" s="155"/>
      <c r="C1421" s="152"/>
      <c r="D1421" s="152"/>
      <c r="E1421" s="152"/>
      <c r="F1421" s="151"/>
      <c r="G1421" s="156"/>
      <c r="H1421" s="134"/>
    </row>
    <row r="1422" spans="2:8" s="140" customFormat="1" ht="13.5" thickBot="1" x14ac:dyDescent="0.3">
      <c r="B1422" s="155"/>
      <c r="C1422" s="152"/>
      <c r="D1422" s="152"/>
      <c r="E1422" s="152"/>
      <c r="F1422" s="151"/>
      <c r="G1422" s="156"/>
      <c r="H1422" s="134"/>
    </row>
    <row r="1423" spans="2:8" s="140" customFormat="1" ht="13.5" thickBot="1" x14ac:dyDescent="0.3">
      <c r="B1423" s="179"/>
      <c r="C1423" s="180"/>
      <c r="D1423" s="180"/>
      <c r="E1423" s="180"/>
      <c r="F1423" s="181"/>
      <c r="G1423" s="182"/>
      <c r="H1423" s="161">
        <f>+SUM(G1417:G1423)</f>
        <v>51738.333333333336</v>
      </c>
    </row>
    <row r="1424" spans="2:8" s="140" customFormat="1" ht="13.5" thickBot="1" x14ac:dyDescent="0.3">
      <c r="F1424" s="141"/>
      <c r="G1424" s="134"/>
      <c r="H1424" s="134"/>
    </row>
    <row r="1425" spans="1:8" s="140" customFormat="1" ht="13.5" thickBot="1" x14ac:dyDescent="0.3">
      <c r="E1425" s="183" t="s">
        <v>5415</v>
      </c>
      <c r="F1425" s="141"/>
      <c r="G1425" s="134"/>
      <c r="H1425" s="161">
        <f>ROUND(+H1390+H1405+H1414+H1423,0)</f>
        <v>56912</v>
      </c>
    </row>
    <row r="1427" spans="1:8" x14ac:dyDescent="0.25">
      <c r="H1427" s="341"/>
    </row>
    <row r="1428" spans="1:8" ht="39.75" customHeight="1" x14ac:dyDescent="0.25"/>
    <row r="1430" spans="1:8" ht="18.75" x14ac:dyDescent="0.25">
      <c r="A1430" s="133"/>
      <c r="B1430" s="2506" t="s">
        <v>5400</v>
      </c>
      <c r="C1430" s="2506"/>
      <c r="D1430" s="2506"/>
      <c r="E1430" s="2506"/>
      <c r="F1430" s="2506"/>
      <c r="G1430" s="2506"/>
    </row>
    <row r="1431" spans="1:8" x14ac:dyDescent="0.25">
      <c r="A1431" s="133"/>
      <c r="G1431" s="134"/>
    </row>
    <row r="1432" spans="1:8" x14ac:dyDescent="0.25">
      <c r="A1432" s="133"/>
      <c r="G1432" s="134"/>
    </row>
    <row r="1433" spans="1:8" x14ac:dyDescent="0.25">
      <c r="A1433" s="133"/>
      <c r="G1433" s="134"/>
    </row>
    <row r="1434" spans="1:8" s="140" customFormat="1" x14ac:dyDescent="0.25">
      <c r="A1434" s="138" t="s">
        <v>3</v>
      </c>
      <c r="B1434" s="138" t="s">
        <v>98</v>
      </c>
      <c r="C1434" s="2450" t="s">
        <v>5974</v>
      </c>
      <c r="D1434" s="2450"/>
      <c r="E1434" s="2450"/>
      <c r="F1434" s="138" t="s">
        <v>867</v>
      </c>
      <c r="G1434" s="139" t="s">
        <v>5454</v>
      </c>
      <c r="H1434" s="134"/>
    </row>
    <row r="1435" spans="1:8" s="140" customFormat="1" ht="39.950000000000003" customHeight="1" x14ac:dyDescent="0.25">
      <c r="A1435" s="141"/>
      <c r="F1435" s="141"/>
      <c r="G1435" s="134"/>
      <c r="H1435" s="134"/>
    </row>
    <row r="1436" spans="1:8" s="140" customFormat="1" ht="12.75" customHeight="1" x14ac:dyDescent="0.25">
      <c r="A1436" s="141"/>
      <c r="F1436" s="141"/>
      <c r="G1436" s="142"/>
      <c r="H1436" s="134"/>
    </row>
    <row r="1437" spans="1:8" s="140" customFormat="1" ht="13.5" thickBot="1" x14ac:dyDescent="0.3">
      <c r="A1437" s="141"/>
      <c r="F1437" s="141"/>
      <c r="G1437" s="134"/>
      <c r="H1437" s="134"/>
    </row>
    <row r="1438" spans="1:8" s="140" customFormat="1" ht="13.5" thickBot="1" x14ac:dyDescent="0.3">
      <c r="A1438" s="141"/>
      <c r="B1438" s="143" t="s">
        <v>5403</v>
      </c>
      <c r="C1438" s="144" t="s">
        <v>867</v>
      </c>
      <c r="D1438" s="144" t="s">
        <v>6</v>
      </c>
      <c r="E1438" s="144" t="s">
        <v>5404</v>
      </c>
      <c r="F1438" s="144" t="s">
        <v>5405</v>
      </c>
      <c r="G1438" s="145" t="s">
        <v>868</v>
      </c>
      <c r="H1438" s="134"/>
    </row>
    <row r="1439" spans="1:8" s="140" customFormat="1" x14ac:dyDescent="0.25">
      <c r="A1439" s="141"/>
      <c r="B1439" s="146" t="s">
        <v>5440</v>
      </c>
      <c r="C1439" s="147" t="s">
        <v>5406</v>
      </c>
      <c r="D1439" s="147"/>
      <c r="E1439" s="148">
        <f>+H1478</f>
        <v>30472.142857142859</v>
      </c>
      <c r="F1439" s="167">
        <v>0.1</v>
      </c>
      <c r="G1439" s="360">
        <f>+E1439*F1439</f>
        <v>3047.2142857142862</v>
      </c>
      <c r="H1439" s="134"/>
    </row>
    <row r="1440" spans="1:8" s="140" customFormat="1" x14ac:dyDescent="0.25">
      <c r="A1440" s="141"/>
      <c r="B1440" s="150" t="s">
        <v>6269</v>
      </c>
      <c r="C1440" s="151" t="s">
        <v>5414</v>
      </c>
      <c r="D1440" s="151"/>
      <c r="E1440" s="366">
        <v>40000</v>
      </c>
      <c r="F1440" s="197">
        <v>4</v>
      </c>
      <c r="G1440" s="360">
        <f>+E1440/F1440</f>
        <v>10000</v>
      </c>
      <c r="H1440" s="134"/>
    </row>
    <row r="1441" spans="1:8" s="140" customFormat="1" x14ac:dyDescent="0.25">
      <c r="A1441" s="141"/>
      <c r="B1441" s="154"/>
      <c r="C1441" s="151"/>
      <c r="D1441" s="151"/>
      <c r="E1441" s="366"/>
      <c r="F1441" s="151"/>
      <c r="G1441" s="360"/>
      <c r="H1441" s="134"/>
    </row>
    <row r="1442" spans="1:8" s="140" customFormat="1" x14ac:dyDescent="0.25">
      <c r="A1442" s="141"/>
      <c r="B1442" s="155"/>
      <c r="C1442" s="151"/>
      <c r="D1442" s="152"/>
      <c r="E1442" s="152"/>
      <c r="F1442" s="151"/>
      <c r="G1442" s="156"/>
      <c r="H1442" s="134"/>
    </row>
    <row r="1443" spans="1:8" s="140" customFormat="1" x14ac:dyDescent="0.25">
      <c r="A1443" s="141"/>
      <c r="B1443" s="155"/>
      <c r="C1443" s="151"/>
      <c r="D1443" s="152"/>
      <c r="E1443" s="152"/>
      <c r="F1443" s="151"/>
      <c r="G1443" s="156"/>
      <c r="H1443" s="134"/>
    </row>
    <row r="1444" spans="1:8" s="140" customFormat="1" ht="13.5" thickBot="1" x14ac:dyDescent="0.3">
      <c r="A1444" s="141"/>
      <c r="B1444" s="155"/>
      <c r="C1444" s="151"/>
      <c r="D1444" s="152"/>
      <c r="E1444" s="152"/>
      <c r="F1444" s="151"/>
      <c r="G1444" s="156"/>
      <c r="H1444" s="134"/>
    </row>
    <row r="1445" spans="1:8" s="140" customFormat="1" ht="13.5" thickBot="1" x14ac:dyDescent="0.3">
      <c r="A1445" s="141"/>
      <c r="B1445" s="157"/>
      <c r="C1445" s="158"/>
      <c r="D1445" s="159"/>
      <c r="E1445" s="159"/>
      <c r="F1445" s="158"/>
      <c r="G1445" s="160"/>
      <c r="H1445" s="161">
        <f>+SUM(G1439:G1445)</f>
        <v>13047.214285714286</v>
      </c>
    </row>
    <row r="1446" spans="1:8" s="140" customFormat="1" ht="13.5" thickBot="1" x14ac:dyDescent="0.3">
      <c r="A1446" s="141"/>
      <c r="B1446" s="162"/>
      <c r="C1446" s="163"/>
      <c r="D1446" s="162"/>
      <c r="E1446" s="162"/>
      <c r="F1446" s="163"/>
      <c r="G1446" s="164"/>
      <c r="H1446" s="165"/>
    </row>
    <row r="1447" spans="1:8" s="140" customFormat="1" ht="13.5" thickBot="1" x14ac:dyDescent="0.3">
      <c r="B1447" s="143" t="s">
        <v>5408</v>
      </c>
      <c r="C1447" s="144" t="s">
        <v>867</v>
      </c>
      <c r="D1447" s="144" t="s">
        <v>6</v>
      </c>
      <c r="E1447" s="144" t="s">
        <v>870</v>
      </c>
      <c r="F1447" s="144" t="s">
        <v>5409</v>
      </c>
      <c r="G1447" s="145" t="s">
        <v>868</v>
      </c>
      <c r="H1447" s="134"/>
    </row>
    <row r="1448" spans="1:8" s="140" customFormat="1" x14ac:dyDescent="0.25">
      <c r="B1448" s="201"/>
      <c r="C1448" s="147"/>
      <c r="D1448" s="167"/>
      <c r="E1448" s="148"/>
      <c r="F1448" s="169"/>
      <c r="G1448" s="367">
        <f>+D1448*E1448*(1+F1448)</f>
        <v>0</v>
      </c>
      <c r="H1448" s="134"/>
    </row>
    <row r="1449" spans="1:8" s="140" customFormat="1" x14ac:dyDescent="0.25">
      <c r="B1449" s="196"/>
      <c r="C1449" s="151"/>
      <c r="D1449" s="151"/>
      <c r="E1449" s="148"/>
      <c r="F1449" s="169"/>
      <c r="G1449" s="354"/>
      <c r="H1449" s="134"/>
    </row>
    <row r="1450" spans="1:8" s="140" customFormat="1" x14ac:dyDescent="0.25">
      <c r="B1450" s="196"/>
      <c r="C1450" s="151"/>
      <c r="D1450" s="151"/>
      <c r="E1450" s="148"/>
      <c r="F1450" s="169"/>
      <c r="G1450" s="367"/>
      <c r="H1450" s="134"/>
    </row>
    <row r="1451" spans="1:8" s="140" customFormat="1" x14ac:dyDescent="0.25">
      <c r="B1451" s="155"/>
      <c r="C1451" s="151"/>
      <c r="D1451" s="151"/>
      <c r="E1451" s="148"/>
      <c r="F1451" s="151"/>
      <c r="G1451" s="367"/>
      <c r="H1451" s="134"/>
    </row>
    <row r="1452" spans="1:8" s="140" customFormat="1" x14ac:dyDescent="0.25">
      <c r="B1452" s="155"/>
      <c r="C1452" s="151"/>
      <c r="D1452" s="151"/>
      <c r="E1452" s="148"/>
      <c r="F1452" s="151"/>
      <c r="G1452" s="367"/>
      <c r="H1452" s="134"/>
    </row>
    <row r="1453" spans="1:8" s="140" customFormat="1" x14ac:dyDescent="0.25">
      <c r="B1453" s="155"/>
      <c r="C1453" s="151"/>
      <c r="D1453" s="151"/>
      <c r="E1453" s="148"/>
      <c r="F1453" s="151"/>
      <c r="G1453" s="367"/>
      <c r="H1453" s="134"/>
    </row>
    <row r="1454" spans="1:8" s="140" customFormat="1" x14ac:dyDescent="0.25">
      <c r="B1454" s="155"/>
      <c r="C1454" s="151"/>
      <c r="D1454" s="151"/>
      <c r="E1454" s="148"/>
      <c r="F1454" s="151"/>
      <c r="G1454" s="367"/>
      <c r="H1454" s="134"/>
    </row>
    <row r="1455" spans="1:8" s="140" customFormat="1" x14ac:dyDescent="0.25">
      <c r="B1455" s="155"/>
      <c r="C1455" s="151"/>
      <c r="D1455" s="151"/>
      <c r="E1455" s="148"/>
      <c r="F1455" s="151"/>
      <c r="G1455" s="367"/>
      <c r="H1455" s="134"/>
    </row>
    <row r="1456" spans="1:8" s="140" customFormat="1" x14ac:dyDescent="0.25">
      <c r="B1456" s="155"/>
      <c r="C1456" s="151"/>
      <c r="D1456" s="151"/>
      <c r="E1456" s="148"/>
      <c r="F1456" s="151"/>
      <c r="G1456" s="367"/>
      <c r="H1456" s="134"/>
    </row>
    <row r="1457" spans="2:8" s="140" customFormat="1" x14ac:dyDescent="0.25">
      <c r="B1457" s="155"/>
      <c r="C1457" s="151"/>
      <c r="D1457" s="151"/>
      <c r="E1457" s="148"/>
      <c r="F1457" s="151"/>
      <c r="G1457" s="367"/>
      <c r="H1457" s="134"/>
    </row>
    <row r="1458" spans="2:8" s="140" customFormat="1" x14ac:dyDescent="0.25">
      <c r="B1458" s="155"/>
      <c r="C1458" s="152"/>
      <c r="D1458" s="152"/>
      <c r="E1458" s="152"/>
      <c r="F1458" s="151"/>
      <c r="G1458" s="156"/>
      <c r="H1458" s="134"/>
    </row>
    <row r="1459" spans="2:8" s="140" customFormat="1" ht="13.5" thickBot="1" x14ac:dyDescent="0.3">
      <c r="B1459" s="155"/>
      <c r="C1459" s="152"/>
      <c r="D1459" s="152"/>
      <c r="E1459" s="152"/>
      <c r="F1459" s="151"/>
      <c r="G1459" s="156"/>
      <c r="H1459" s="134"/>
    </row>
    <row r="1460" spans="2:8" s="140" customFormat="1" ht="13.5" thickBot="1" x14ac:dyDescent="0.3">
      <c r="B1460" s="157"/>
      <c r="C1460" s="159"/>
      <c r="D1460" s="159"/>
      <c r="E1460" s="159"/>
      <c r="F1460" s="158"/>
      <c r="G1460" s="160"/>
      <c r="H1460" s="161">
        <f>+SUM(G1448:G1460)</f>
        <v>0</v>
      </c>
    </row>
    <row r="1461" spans="2:8" s="140" customFormat="1" ht="13.5" thickBot="1" x14ac:dyDescent="0.3">
      <c r="B1461" s="162"/>
      <c r="C1461" s="162"/>
      <c r="D1461" s="162"/>
      <c r="E1461" s="162"/>
      <c r="F1461" s="163"/>
      <c r="G1461" s="164"/>
      <c r="H1461" s="165"/>
    </row>
    <row r="1462" spans="2:8" s="140" customFormat="1" ht="13.5" thickBot="1" x14ac:dyDescent="0.3">
      <c r="B1462" s="143" t="s">
        <v>5410</v>
      </c>
      <c r="C1462" s="144" t="s">
        <v>867</v>
      </c>
      <c r="D1462" s="144" t="s">
        <v>6</v>
      </c>
      <c r="E1462" s="144" t="s">
        <v>870</v>
      </c>
      <c r="F1462" s="144" t="s">
        <v>5411</v>
      </c>
      <c r="G1462" s="145" t="s">
        <v>868</v>
      </c>
      <c r="H1462" s="134"/>
    </row>
    <row r="1463" spans="2:8" s="140" customFormat="1" x14ac:dyDescent="0.25">
      <c r="B1463" s="201"/>
      <c r="C1463" s="147"/>
      <c r="D1463" s="167"/>
      <c r="E1463" s="148"/>
      <c r="F1463" s="169"/>
      <c r="G1463" s="367">
        <f>+D1463*E1463*(1+F1463)</f>
        <v>0</v>
      </c>
      <c r="H1463" s="134"/>
    </row>
    <row r="1464" spans="2:8" s="140" customFormat="1" x14ac:dyDescent="0.25">
      <c r="B1464" s="196"/>
      <c r="C1464" s="151"/>
      <c r="D1464" s="151"/>
      <c r="E1464" s="148"/>
      <c r="F1464" s="147"/>
      <c r="G1464" s="367"/>
      <c r="H1464" s="134"/>
    </row>
    <row r="1465" spans="2:8" s="140" customFormat="1" x14ac:dyDescent="0.25">
      <c r="B1465" s="196"/>
      <c r="C1465" s="151"/>
      <c r="D1465" s="151"/>
      <c r="E1465" s="148"/>
      <c r="F1465" s="151"/>
      <c r="G1465" s="367"/>
      <c r="H1465" s="134"/>
    </row>
    <row r="1466" spans="2:8" s="140" customFormat="1" x14ac:dyDescent="0.25">
      <c r="B1466" s="155"/>
      <c r="C1466" s="151"/>
      <c r="D1466" s="151"/>
      <c r="E1466" s="148"/>
      <c r="F1466" s="151"/>
      <c r="G1466" s="367"/>
      <c r="H1466" s="134"/>
    </row>
    <row r="1467" spans="2:8" s="140" customFormat="1" x14ac:dyDescent="0.25">
      <c r="B1467" s="155"/>
      <c r="C1467" s="151"/>
      <c r="D1467" s="151"/>
      <c r="E1467" s="148"/>
      <c r="F1467" s="151"/>
      <c r="G1467" s="367"/>
      <c r="H1467" s="134"/>
    </row>
    <row r="1468" spans="2:8" s="140" customFormat="1" ht="13.5" thickBot="1" x14ac:dyDescent="0.3">
      <c r="B1468" s="155"/>
      <c r="C1468" s="151"/>
      <c r="D1468" s="151"/>
      <c r="E1468" s="148"/>
      <c r="F1468" s="151"/>
      <c r="G1468" s="367"/>
      <c r="H1468" s="134"/>
    </row>
    <row r="1469" spans="2:8" s="140" customFormat="1" ht="13.5" thickBot="1" x14ac:dyDescent="0.3">
      <c r="B1469" s="157"/>
      <c r="C1469" s="159"/>
      <c r="D1469" s="159"/>
      <c r="E1469" s="159"/>
      <c r="F1469" s="158"/>
      <c r="G1469" s="160"/>
      <c r="H1469" s="161">
        <f>+SUM(G1463:G1469)</f>
        <v>0</v>
      </c>
    </row>
    <row r="1470" spans="2:8" s="140" customFormat="1" ht="13.5" thickBot="1" x14ac:dyDescent="0.3">
      <c r="B1470" s="162"/>
      <c r="C1470" s="162"/>
      <c r="D1470" s="162"/>
      <c r="E1470" s="162"/>
      <c r="F1470" s="173"/>
      <c r="G1470" s="174"/>
      <c r="H1470" s="165"/>
    </row>
    <row r="1471" spans="2:8" s="140" customFormat="1" ht="13.5" thickBot="1" x14ac:dyDescent="0.3">
      <c r="B1471" s="143" t="s">
        <v>5412</v>
      </c>
      <c r="C1471" s="144" t="s">
        <v>5420</v>
      </c>
      <c r="D1471" s="144" t="s">
        <v>5421</v>
      </c>
      <c r="E1471" s="144" t="s">
        <v>5413</v>
      </c>
      <c r="F1471" s="144" t="s">
        <v>5405</v>
      </c>
      <c r="G1471" s="145" t="s">
        <v>868</v>
      </c>
      <c r="H1471" s="134"/>
    </row>
    <row r="1472" spans="2:8" s="140" customFormat="1" x14ac:dyDescent="0.25">
      <c r="B1472" s="194" t="s">
        <v>5650</v>
      </c>
      <c r="C1472" s="345">
        <v>70000</v>
      </c>
      <c r="D1472" s="345">
        <f>+C1472*0.85</f>
        <v>59500</v>
      </c>
      <c r="E1472" s="353">
        <f>+C1472+D1472</f>
        <v>129500</v>
      </c>
      <c r="F1472" s="202">
        <v>100</v>
      </c>
      <c r="G1472" s="351">
        <f>+E1472/F1472</f>
        <v>1295</v>
      </c>
      <c r="H1472" s="134"/>
    </row>
    <row r="1473" spans="1:8" s="140" customFormat="1" x14ac:dyDescent="0.25">
      <c r="B1473" s="194" t="s">
        <v>5651</v>
      </c>
      <c r="C1473" s="345">
        <v>40000</v>
      </c>
      <c r="D1473" s="345">
        <f>+C1473*0.85</f>
        <v>34000</v>
      </c>
      <c r="E1473" s="353">
        <f>+C1473+D1473</f>
        <v>74000</v>
      </c>
      <c r="F1473" s="204">
        <v>10</v>
      </c>
      <c r="G1473" s="351">
        <f>+E1473/F1473</f>
        <v>7400</v>
      </c>
      <c r="H1473" s="134"/>
    </row>
    <row r="1474" spans="1:8" s="140" customFormat="1" x14ac:dyDescent="0.25">
      <c r="B1474" s="195" t="s">
        <v>5635</v>
      </c>
      <c r="C1474" s="345">
        <v>20600</v>
      </c>
      <c r="D1474" s="345">
        <f>+C1474*0.85</f>
        <v>17510</v>
      </c>
      <c r="E1474" s="353">
        <f>+C1474+D1474</f>
        <v>38110</v>
      </c>
      <c r="F1474" s="197">
        <v>1.75</v>
      </c>
      <c r="G1474" s="351">
        <f>+E1474/F1474</f>
        <v>21777.142857142859</v>
      </c>
      <c r="H1474" s="134"/>
    </row>
    <row r="1475" spans="1:8" s="140" customFormat="1" x14ac:dyDescent="0.25">
      <c r="B1475" s="155"/>
      <c r="C1475" s="345"/>
      <c r="D1475" s="152"/>
      <c r="E1475" s="152"/>
      <c r="F1475" s="151"/>
      <c r="G1475" s="156"/>
      <c r="H1475" s="134"/>
    </row>
    <row r="1476" spans="1:8" s="140" customFormat="1" x14ac:dyDescent="0.25">
      <c r="B1476" s="155"/>
      <c r="C1476" s="152"/>
      <c r="D1476" s="152"/>
      <c r="E1476" s="152"/>
      <c r="F1476" s="151"/>
      <c r="G1476" s="156"/>
      <c r="H1476" s="134"/>
    </row>
    <row r="1477" spans="1:8" s="140" customFormat="1" ht="13.5" thickBot="1" x14ac:dyDescent="0.3">
      <c r="B1477" s="155"/>
      <c r="C1477" s="152"/>
      <c r="D1477" s="152"/>
      <c r="E1477" s="152"/>
      <c r="F1477" s="151"/>
      <c r="G1477" s="156"/>
      <c r="H1477" s="134"/>
    </row>
    <row r="1478" spans="1:8" s="140" customFormat="1" ht="13.5" thickBot="1" x14ac:dyDescent="0.3">
      <c r="B1478" s="179"/>
      <c r="C1478" s="180"/>
      <c r="D1478" s="180"/>
      <c r="E1478" s="180"/>
      <c r="F1478" s="181"/>
      <c r="G1478" s="182"/>
      <c r="H1478" s="161">
        <f>+SUM(G1472:G1478)</f>
        <v>30472.142857142859</v>
      </c>
    </row>
    <row r="1479" spans="1:8" s="140" customFormat="1" ht="13.5" thickBot="1" x14ac:dyDescent="0.3">
      <c r="F1479" s="141"/>
      <c r="G1479" s="134"/>
      <c r="H1479" s="134"/>
    </row>
    <row r="1480" spans="1:8" s="140" customFormat="1" ht="13.5" thickBot="1" x14ac:dyDescent="0.3">
      <c r="E1480" s="183" t="s">
        <v>5415</v>
      </c>
      <c r="F1480" s="141"/>
      <c r="G1480" s="134"/>
      <c r="H1480" s="161">
        <f>ROUND(+H1445+H1460+H1469+H1478,0)</f>
        <v>43519</v>
      </c>
    </row>
    <row r="1482" spans="1:8" x14ac:dyDescent="0.25">
      <c r="H1482" s="341"/>
    </row>
    <row r="1483" spans="1:8" ht="27" customHeight="1" x14ac:dyDescent="0.25"/>
    <row r="1485" spans="1:8" ht="18.75" x14ac:dyDescent="0.25">
      <c r="A1485" s="133"/>
      <c r="B1485" s="2506" t="s">
        <v>5400</v>
      </c>
      <c r="C1485" s="2506"/>
      <c r="D1485" s="2506"/>
      <c r="E1485" s="2506"/>
      <c r="F1485" s="2506"/>
      <c r="G1485" s="2506"/>
    </row>
    <row r="1486" spans="1:8" x14ac:dyDescent="0.25">
      <c r="A1486" s="133"/>
      <c r="G1486" s="134"/>
    </row>
    <row r="1487" spans="1:8" x14ac:dyDescent="0.25">
      <c r="A1487" s="133"/>
      <c r="G1487" s="134"/>
    </row>
    <row r="1488" spans="1:8" x14ac:dyDescent="0.25">
      <c r="A1488" s="133"/>
      <c r="G1488" s="134"/>
    </row>
    <row r="1489" spans="1:8" s="140" customFormat="1" x14ac:dyDescent="0.25">
      <c r="A1489" s="138" t="s">
        <v>3</v>
      </c>
      <c r="B1489" s="138" t="s">
        <v>99</v>
      </c>
      <c r="C1489" s="2450" t="s">
        <v>5975</v>
      </c>
      <c r="D1489" s="2450"/>
      <c r="E1489" s="2450"/>
      <c r="F1489" s="138" t="s">
        <v>867</v>
      </c>
      <c r="G1489" s="139" t="s">
        <v>5454</v>
      </c>
      <c r="H1489" s="134"/>
    </row>
    <row r="1490" spans="1:8" s="140" customFormat="1" ht="24.95" customHeight="1" x14ac:dyDescent="0.25">
      <c r="A1490" s="141"/>
      <c r="F1490" s="141"/>
      <c r="G1490" s="134"/>
      <c r="H1490" s="134"/>
    </row>
    <row r="1491" spans="1:8" s="140" customFormat="1" ht="12.75" customHeight="1" x14ac:dyDescent="0.25">
      <c r="A1491" s="141"/>
      <c r="F1491" s="141"/>
      <c r="G1491" s="142"/>
      <c r="H1491" s="134"/>
    </row>
    <row r="1492" spans="1:8" s="140" customFormat="1" ht="13.5" thickBot="1" x14ac:dyDescent="0.3">
      <c r="A1492" s="141"/>
      <c r="F1492" s="141"/>
      <c r="G1492" s="134"/>
      <c r="H1492" s="134"/>
    </row>
    <row r="1493" spans="1:8" s="140" customFormat="1" ht="13.5" thickBot="1" x14ac:dyDescent="0.3">
      <c r="A1493" s="141"/>
      <c r="B1493" s="143" t="s">
        <v>5403</v>
      </c>
      <c r="C1493" s="144" t="s">
        <v>867</v>
      </c>
      <c r="D1493" s="144" t="s">
        <v>6</v>
      </c>
      <c r="E1493" s="144" t="s">
        <v>5404</v>
      </c>
      <c r="F1493" s="144" t="s">
        <v>5405</v>
      </c>
      <c r="G1493" s="145" t="s">
        <v>868</v>
      </c>
      <c r="H1493" s="134"/>
    </row>
    <row r="1494" spans="1:8" s="140" customFormat="1" x14ac:dyDescent="0.25">
      <c r="A1494" s="141"/>
      <c r="B1494" s="146" t="s">
        <v>5440</v>
      </c>
      <c r="C1494" s="147" t="s">
        <v>5406</v>
      </c>
      <c r="D1494" s="147"/>
      <c r="E1494" s="148">
        <f>+H1533</f>
        <v>43105</v>
      </c>
      <c r="F1494" s="167">
        <v>0.1</v>
      </c>
      <c r="G1494" s="360">
        <f>+E1494*F1494</f>
        <v>4310.5</v>
      </c>
      <c r="H1494" s="134"/>
    </row>
    <row r="1495" spans="1:8" s="140" customFormat="1" x14ac:dyDescent="0.25">
      <c r="A1495" s="141"/>
      <c r="B1495" s="150" t="s">
        <v>6269</v>
      </c>
      <c r="C1495" s="151" t="s">
        <v>5414</v>
      </c>
      <c r="D1495" s="151"/>
      <c r="E1495" s="366">
        <v>40000</v>
      </c>
      <c r="F1495" s="197">
        <v>3</v>
      </c>
      <c r="G1495" s="360">
        <f>+E1495/F1495</f>
        <v>13333.333333333334</v>
      </c>
      <c r="H1495" s="134"/>
    </row>
    <row r="1496" spans="1:8" s="140" customFormat="1" x14ac:dyDescent="0.25">
      <c r="A1496" s="141"/>
      <c r="B1496" s="154"/>
      <c r="C1496" s="151"/>
      <c r="D1496" s="151"/>
      <c r="E1496" s="366"/>
      <c r="F1496" s="151"/>
      <c r="G1496" s="360"/>
      <c r="H1496" s="134"/>
    </row>
    <row r="1497" spans="1:8" s="140" customFormat="1" x14ac:dyDescent="0.25">
      <c r="A1497" s="141"/>
      <c r="B1497" s="155"/>
      <c r="C1497" s="151"/>
      <c r="D1497" s="152"/>
      <c r="E1497" s="152"/>
      <c r="F1497" s="151"/>
      <c r="G1497" s="156"/>
      <c r="H1497" s="134"/>
    </row>
    <row r="1498" spans="1:8" s="140" customFormat="1" x14ac:dyDescent="0.25">
      <c r="A1498" s="141"/>
      <c r="B1498" s="155"/>
      <c r="C1498" s="151"/>
      <c r="D1498" s="152"/>
      <c r="E1498" s="152"/>
      <c r="F1498" s="151"/>
      <c r="G1498" s="156"/>
      <c r="H1498" s="134"/>
    </row>
    <row r="1499" spans="1:8" s="140" customFormat="1" ht="13.5" thickBot="1" x14ac:dyDescent="0.3">
      <c r="A1499" s="141"/>
      <c r="B1499" s="155"/>
      <c r="C1499" s="151"/>
      <c r="D1499" s="152"/>
      <c r="E1499" s="152"/>
      <c r="F1499" s="151"/>
      <c r="G1499" s="156"/>
      <c r="H1499" s="134"/>
    </row>
    <row r="1500" spans="1:8" s="140" customFormat="1" ht="13.5" thickBot="1" x14ac:dyDescent="0.3">
      <c r="A1500" s="141"/>
      <c r="B1500" s="157"/>
      <c r="C1500" s="158"/>
      <c r="D1500" s="159"/>
      <c r="E1500" s="159"/>
      <c r="F1500" s="158"/>
      <c r="G1500" s="160"/>
      <c r="H1500" s="161">
        <f>+SUM(G1494:G1500)</f>
        <v>17643.833333333336</v>
      </c>
    </row>
    <row r="1501" spans="1:8" s="140" customFormat="1" ht="13.5" thickBot="1" x14ac:dyDescent="0.3">
      <c r="A1501" s="141"/>
      <c r="B1501" s="162"/>
      <c r="C1501" s="163"/>
      <c r="D1501" s="162"/>
      <c r="E1501" s="162"/>
      <c r="F1501" s="163"/>
      <c r="G1501" s="164"/>
      <c r="H1501" s="165"/>
    </row>
    <row r="1502" spans="1:8" s="140" customFormat="1" ht="13.5" thickBot="1" x14ac:dyDescent="0.3">
      <c r="B1502" s="143" t="s">
        <v>5408</v>
      </c>
      <c r="C1502" s="144" t="s">
        <v>867</v>
      </c>
      <c r="D1502" s="144" t="s">
        <v>6</v>
      </c>
      <c r="E1502" s="144" t="s">
        <v>870</v>
      </c>
      <c r="F1502" s="144" t="s">
        <v>5409</v>
      </c>
      <c r="G1502" s="145" t="s">
        <v>868</v>
      </c>
      <c r="H1502" s="134"/>
    </row>
    <row r="1503" spans="1:8" s="140" customFormat="1" x14ac:dyDescent="0.25">
      <c r="B1503" s="201"/>
      <c r="C1503" s="147"/>
      <c r="D1503" s="167"/>
      <c r="E1503" s="148"/>
      <c r="F1503" s="169"/>
      <c r="G1503" s="367">
        <f>+D1503*E1503*(1+F1503)</f>
        <v>0</v>
      </c>
      <c r="H1503" s="134"/>
    </row>
    <row r="1504" spans="1:8" s="140" customFormat="1" x14ac:dyDescent="0.25">
      <c r="B1504" s="196"/>
      <c r="C1504" s="151"/>
      <c r="D1504" s="151"/>
      <c r="E1504" s="148"/>
      <c r="F1504" s="169"/>
      <c r="G1504" s="354"/>
      <c r="H1504" s="134"/>
    </row>
    <row r="1505" spans="2:8" s="140" customFormat="1" x14ac:dyDescent="0.25">
      <c r="B1505" s="196"/>
      <c r="C1505" s="151"/>
      <c r="D1505" s="151"/>
      <c r="E1505" s="148"/>
      <c r="F1505" s="169"/>
      <c r="G1505" s="367"/>
      <c r="H1505" s="134"/>
    </row>
    <row r="1506" spans="2:8" s="140" customFormat="1" x14ac:dyDescent="0.25">
      <c r="B1506" s="155"/>
      <c r="C1506" s="151"/>
      <c r="D1506" s="151"/>
      <c r="E1506" s="148"/>
      <c r="F1506" s="151"/>
      <c r="G1506" s="367"/>
      <c r="H1506" s="134"/>
    </row>
    <row r="1507" spans="2:8" s="140" customFormat="1" x14ac:dyDescent="0.25">
      <c r="B1507" s="155"/>
      <c r="C1507" s="151"/>
      <c r="D1507" s="151"/>
      <c r="E1507" s="148"/>
      <c r="F1507" s="151"/>
      <c r="G1507" s="367"/>
      <c r="H1507" s="134"/>
    </row>
    <row r="1508" spans="2:8" s="140" customFormat="1" x14ac:dyDescent="0.25">
      <c r="B1508" s="155"/>
      <c r="C1508" s="151"/>
      <c r="D1508" s="151"/>
      <c r="E1508" s="148"/>
      <c r="F1508" s="151"/>
      <c r="G1508" s="367"/>
      <c r="H1508" s="134"/>
    </row>
    <row r="1509" spans="2:8" s="140" customFormat="1" x14ac:dyDescent="0.25">
      <c r="B1509" s="155"/>
      <c r="C1509" s="151"/>
      <c r="D1509" s="151"/>
      <c r="E1509" s="148"/>
      <c r="F1509" s="151"/>
      <c r="G1509" s="367"/>
      <c r="H1509" s="134"/>
    </row>
    <row r="1510" spans="2:8" s="140" customFormat="1" x14ac:dyDescent="0.25">
      <c r="B1510" s="155"/>
      <c r="C1510" s="151"/>
      <c r="D1510" s="151"/>
      <c r="E1510" s="148"/>
      <c r="F1510" s="151"/>
      <c r="G1510" s="367"/>
      <c r="H1510" s="134"/>
    </row>
    <row r="1511" spans="2:8" s="140" customFormat="1" x14ac:dyDescent="0.25">
      <c r="B1511" s="155"/>
      <c r="C1511" s="151"/>
      <c r="D1511" s="151"/>
      <c r="E1511" s="148"/>
      <c r="F1511" s="151"/>
      <c r="G1511" s="367"/>
      <c r="H1511" s="134"/>
    </row>
    <row r="1512" spans="2:8" s="140" customFormat="1" x14ac:dyDescent="0.25">
      <c r="B1512" s="155"/>
      <c r="C1512" s="151"/>
      <c r="D1512" s="151"/>
      <c r="E1512" s="148"/>
      <c r="F1512" s="151"/>
      <c r="G1512" s="367"/>
      <c r="H1512" s="134"/>
    </row>
    <row r="1513" spans="2:8" s="140" customFormat="1" x14ac:dyDescent="0.25">
      <c r="B1513" s="155"/>
      <c r="C1513" s="152"/>
      <c r="D1513" s="152"/>
      <c r="E1513" s="152"/>
      <c r="F1513" s="151"/>
      <c r="G1513" s="156"/>
      <c r="H1513" s="134"/>
    </row>
    <row r="1514" spans="2:8" s="140" customFormat="1" ht="13.5" thickBot="1" x14ac:dyDescent="0.3">
      <c r="B1514" s="155"/>
      <c r="C1514" s="152"/>
      <c r="D1514" s="152"/>
      <c r="E1514" s="152"/>
      <c r="F1514" s="151"/>
      <c r="G1514" s="156"/>
      <c r="H1514" s="134"/>
    </row>
    <row r="1515" spans="2:8" s="140" customFormat="1" ht="13.5" thickBot="1" x14ac:dyDescent="0.3">
      <c r="B1515" s="157"/>
      <c r="C1515" s="159"/>
      <c r="D1515" s="159"/>
      <c r="E1515" s="159"/>
      <c r="F1515" s="158"/>
      <c r="G1515" s="160"/>
      <c r="H1515" s="161">
        <f>+SUM(G1503:G1515)</f>
        <v>0</v>
      </c>
    </row>
    <row r="1516" spans="2:8" s="140" customFormat="1" ht="13.5" thickBot="1" x14ac:dyDescent="0.3">
      <c r="B1516" s="162"/>
      <c r="C1516" s="162"/>
      <c r="D1516" s="162"/>
      <c r="E1516" s="162"/>
      <c r="F1516" s="163"/>
      <c r="G1516" s="164"/>
      <c r="H1516" s="165"/>
    </row>
    <row r="1517" spans="2:8" s="140" customFormat="1" ht="13.5" thickBot="1" x14ac:dyDescent="0.3">
      <c r="B1517" s="143" t="s">
        <v>5410</v>
      </c>
      <c r="C1517" s="144" t="s">
        <v>867</v>
      </c>
      <c r="D1517" s="144" t="s">
        <v>6</v>
      </c>
      <c r="E1517" s="144" t="s">
        <v>870</v>
      </c>
      <c r="F1517" s="144" t="s">
        <v>5411</v>
      </c>
      <c r="G1517" s="145" t="s">
        <v>868</v>
      </c>
      <c r="H1517" s="134"/>
    </row>
    <row r="1518" spans="2:8" s="140" customFormat="1" x14ac:dyDescent="0.25">
      <c r="B1518" s="201"/>
      <c r="C1518" s="147"/>
      <c r="D1518" s="167"/>
      <c r="E1518" s="148"/>
      <c r="F1518" s="169"/>
      <c r="G1518" s="367">
        <f>+D1518*E1518*(1+F1518)</f>
        <v>0</v>
      </c>
      <c r="H1518" s="134"/>
    </row>
    <row r="1519" spans="2:8" s="140" customFormat="1" x14ac:dyDescent="0.25">
      <c r="B1519" s="196"/>
      <c r="C1519" s="151"/>
      <c r="D1519" s="151"/>
      <c r="E1519" s="148"/>
      <c r="F1519" s="147"/>
      <c r="G1519" s="367"/>
      <c r="H1519" s="134"/>
    </row>
    <row r="1520" spans="2:8" s="140" customFormat="1" x14ac:dyDescent="0.25">
      <c r="B1520" s="196"/>
      <c r="C1520" s="151"/>
      <c r="D1520" s="151"/>
      <c r="E1520" s="148"/>
      <c r="F1520" s="151"/>
      <c r="G1520" s="367"/>
      <c r="H1520" s="134"/>
    </row>
    <row r="1521" spans="2:8" s="140" customFormat="1" x14ac:dyDescent="0.25">
      <c r="B1521" s="155"/>
      <c r="C1521" s="151"/>
      <c r="D1521" s="151"/>
      <c r="E1521" s="148"/>
      <c r="F1521" s="151"/>
      <c r="G1521" s="367"/>
      <c r="H1521" s="134"/>
    </row>
    <row r="1522" spans="2:8" s="140" customFormat="1" x14ac:dyDescent="0.25">
      <c r="B1522" s="155"/>
      <c r="C1522" s="151"/>
      <c r="D1522" s="151"/>
      <c r="E1522" s="148"/>
      <c r="F1522" s="151"/>
      <c r="G1522" s="367"/>
      <c r="H1522" s="134"/>
    </row>
    <row r="1523" spans="2:8" s="140" customFormat="1" ht="13.5" thickBot="1" x14ac:dyDescent="0.3">
      <c r="B1523" s="155"/>
      <c r="C1523" s="151"/>
      <c r="D1523" s="151"/>
      <c r="E1523" s="148"/>
      <c r="F1523" s="151"/>
      <c r="G1523" s="367"/>
      <c r="H1523" s="134"/>
    </row>
    <row r="1524" spans="2:8" s="140" customFormat="1" ht="13.5" thickBot="1" x14ac:dyDescent="0.3">
      <c r="B1524" s="157"/>
      <c r="C1524" s="159"/>
      <c r="D1524" s="159"/>
      <c r="E1524" s="159"/>
      <c r="F1524" s="158"/>
      <c r="G1524" s="160"/>
      <c r="H1524" s="161">
        <f>+SUM(G1518:G1524)</f>
        <v>0</v>
      </c>
    </row>
    <row r="1525" spans="2:8" s="140" customFormat="1" ht="13.5" thickBot="1" x14ac:dyDescent="0.3">
      <c r="B1525" s="162"/>
      <c r="C1525" s="162"/>
      <c r="D1525" s="162"/>
      <c r="E1525" s="162"/>
      <c r="F1525" s="173"/>
      <c r="G1525" s="174"/>
      <c r="H1525" s="165"/>
    </row>
    <row r="1526" spans="2:8" s="140" customFormat="1" ht="13.5" thickBot="1" x14ac:dyDescent="0.3">
      <c r="B1526" s="143" t="s">
        <v>5412</v>
      </c>
      <c r="C1526" s="144" t="s">
        <v>5420</v>
      </c>
      <c r="D1526" s="144" t="s">
        <v>5421</v>
      </c>
      <c r="E1526" s="144" t="s">
        <v>5413</v>
      </c>
      <c r="F1526" s="144" t="s">
        <v>5405</v>
      </c>
      <c r="G1526" s="145" t="s">
        <v>868</v>
      </c>
      <c r="H1526" s="134"/>
    </row>
    <row r="1527" spans="2:8" s="140" customFormat="1" x14ac:dyDescent="0.25">
      <c r="B1527" s="194" t="s">
        <v>5650</v>
      </c>
      <c r="C1527" s="345">
        <v>70000</v>
      </c>
      <c r="D1527" s="345">
        <f>+C1527*0.85</f>
        <v>59500</v>
      </c>
      <c r="E1527" s="353">
        <f>+C1527+D1527</f>
        <v>129500</v>
      </c>
      <c r="F1527" s="202">
        <v>100</v>
      </c>
      <c r="G1527" s="351">
        <f>+E1527/F1527</f>
        <v>1295</v>
      </c>
      <c r="H1527" s="134"/>
    </row>
    <row r="1528" spans="2:8" s="140" customFormat="1" x14ac:dyDescent="0.25">
      <c r="B1528" s="194" t="s">
        <v>5651</v>
      </c>
      <c r="C1528" s="345">
        <v>40000</v>
      </c>
      <c r="D1528" s="345">
        <f>+C1528*0.85</f>
        <v>34000</v>
      </c>
      <c r="E1528" s="353">
        <f>+C1528+D1528</f>
        <v>74000</v>
      </c>
      <c r="F1528" s="204">
        <v>20</v>
      </c>
      <c r="G1528" s="351">
        <f>+E1528/F1528</f>
        <v>3700</v>
      </c>
      <c r="H1528" s="134"/>
    </row>
    <row r="1529" spans="2:8" s="140" customFormat="1" x14ac:dyDescent="0.25">
      <c r="B1529" s="195" t="s">
        <v>5635</v>
      </c>
      <c r="C1529" s="345">
        <v>20600</v>
      </c>
      <c r="D1529" s="345">
        <f>+C1529*0.85</f>
        <v>17510</v>
      </c>
      <c r="E1529" s="353">
        <f>+C1529+D1529</f>
        <v>38110</v>
      </c>
      <c r="F1529" s="207">
        <v>1</v>
      </c>
      <c r="G1529" s="351">
        <f>+E1529/F1529</f>
        <v>38110</v>
      </c>
      <c r="H1529" s="134"/>
    </row>
    <row r="1530" spans="2:8" s="140" customFormat="1" x14ac:dyDescent="0.25">
      <c r="B1530" s="155"/>
      <c r="C1530" s="345"/>
      <c r="D1530" s="152"/>
      <c r="E1530" s="152"/>
      <c r="F1530" s="151"/>
      <c r="G1530" s="156"/>
      <c r="H1530" s="134"/>
    </row>
    <row r="1531" spans="2:8" s="140" customFormat="1" x14ac:dyDescent="0.25">
      <c r="B1531" s="155"/>
      <c r="C1531" s="152"/>
      <c r="D1531" s="152"/>
      <c r="E1531" s="152"/>
      <c r="F1531" s="151"/>
      <c r="G1531" s="156"/>
      <c r="H1531" s="134"/>
    </row>
    <row r="1532" spans="2:8" s="140" customFormat="1" ht="13.5" thickBot="1" x14ac:dyDescent="0.3">
      <c r="B1532" s="155"/>
      <c r="C1532" s="152"/>
      <c r="D1532" s="152"/>
      <c r="E1532" s="152"/>
      <c r="F1532" s="151"/>
      <c r="G1532" s="156"/>
      <c r="H1532" s="134"/>
    </row>
    <row r="1533" spans="2:8" s="140" customFormat="1" ht="13.5" thickBot="1" x14ac:dyDescent="0.3">
      <c r="B1533" s="179"/>
      <c r="C1533" s="180"/>
      <c r="D1533" s="180"/>
      <c r="E1533" s="180"/>
      <c r="F1533" s="181"/>
      <c r="G1533" s="182"/>
      <c r="H1533" s="161">
        <f>+SUM(G1527:G1533)</f>
        <v>43105</v>
      </c>
    </row>
    <row r="1534" spans="2:8" s="140" customFormat="1" ht="13.5" thickBot="1" x14ac:dyDescent="0.3">
      <c r="F1534" s="141"/>
      <c r="G1534" s="134"/>
      <c r="H1534" s="134"/>
    </row>
    <row r="1535" spans="2:8" s="140" customFormat="1" ht="13.5" thickBot="1" x14ac:dyDescent="0.3">
      <c r="E1535" s="183" t="s">
        <v>5415</v>
      </c>
      <c r="F1535" s="141"/>
      <c r="G1535" s="134"/>
      <c r="H1535" s="161">
        <f>ROUND(+H1500+H1515+H1524+H1533,0)</f>
        <v>60749</v>
      </c>
    </row>
    <row r="1537" spans="1:8" x14ac:dyDescent="0.25">
      <c r="H1537" s="341"/>
    </row>
    <row r="1538" spans="1:8" ht="27" customHeight="1" x14ac:dyDescent="0.25"/>
    <row r="1540" spans="1:8" ht="18.75" x14ac:dyDescent="0.25">
      <c r="A1540" s="133"/>
      <c r="B1540" s="2506" t="s">
        <v>5400</v>
      </c>
      <c r="C1540" s="2506"/>
      <c r="D1540" s="2506"/>
      <c r="E1540" s="2506"/>
      <c r="F1540" s="2506"/>
      <c r="G1540" s="2506"/>
    </row>
    <row r="1541" spans="1:8" x14ac:dyDescent="0.25">
      <c r="A1541" s="133"/>
      <c r="G1541" s="134"/>
    </row>
    <row r="1542" spans="1:8" x14ac:dyDescent="0.25">
      <c r="A1542" s="133"/>
      <c r="G1542" s="134"/>
    </row>
    <row r="1543" spans="1:8" x14ac:dyDescent="0.25">
      <c r="A1543" s="133"/>
      <c r="G1543" s="134"/>
    </row>
    <row r="1544" spans="1:8" s="140" customFormat="1" x14ac:dyDescent="0.25">
      <c r="A1544" s="138" t="s">
        <v>3</v>
      </c>
      <c r="B1544" s="138" t="s">
        <v>5976</v>
      </c>
      <c r="C1544" s="2450" t="s">
        <v>5977</v>
      </c>
      <c r="D1544" s="2450"/>
      <c r="E1544" s="2450"/>
      <c r="F1544" s="138" t="s">
        <v>867</v>
      </c>
      <c r="G1544" s="139" t="s">
        <v>5454</v>
      </c>
      <c r="H1544" s="134"/>
    </row>
    <row r="1545" spans="1:8" s="140" customFormat="1" ht="24.95" customHeight="1" x14ac:dyDescent="0.25">
      <c r="A1545" s="141"/>
      <c r="F1545" s="141"/>
      <c r="G1545" s="134"/>
      <c r="H1545" s="134"/>
    </row>
    <row r="1546" spans="1:8" s="140" customFormat="1" ht="12.75" customHeight="1" x14ac:dyDescent="0.25">
      <c r="A1546" s="141"/>
      <c r="F1546" s="141"/>
      <c r="G1546" s="142"/>
      <c r="H1546" s="134"/>
    </row>
    <row r="1547" spans="1:8" s="140" customFormat="1" ht="13.5" thickBot="1" x14ac:dyDescent="0.3">
      <c r="A1547" s="141"/>
      <c r="F1547" s="141"/>
      <c r="G1547" s="134"/>
      <c r="H1547" s="134"/>
    </row>
    <row r="1548" spans="1:8" s="140" customFormat="1" ht="13.5" thickBot="1" x14ac:dyDescent="0.3">
      <c r="A1548" s="141"/>
      <c r="B1548" s="143" t="s">
        <v>5403</v>
      </c>
      <c r="C1548" s="144" t="s">
        <v>867</v>
      </c>
      <c r="D1548" s="144" t="s">
        <v>6</v>
      </c>
      <c r="E1548" s="144" t="s">
        <v>5404</v>
      </c>
      <c r="F1548" s="144" t="s">
        <v>5405</v>
      </c>
      <c r="G1548" s="145" t="s">
        <v>868</v>
      </c>
      <c r="H1548" s="134"/>
    </row>
    <row r="1549" spans="1:8" s="140" customFormat="1" x14ac:dyDescent="0.25">
      <c r="A1549" s="141"/>
      <c r="B1549" s="146" t="s">
        <v>5440</v>
      </c>
      <c r="C1549" s="147" t="s">
        <v>5406</v>
      </c>
      <c r="D1549" s="147"/>
      <c r="E1549" s="148">
        <f>+H1588</f>
        <v>64441.666666666672</v>
      </c>
      <c r="F1549" s="167">
        <v>0.1</v>
      </c>
      <c r="G1549" s="360">
        <f>+E1549*F1549</f>
        <v>6444.1666666666679</v>
      </c>
      <c r="H1549" s="134"/>
    </row>
    <row r="1550" spans="1:8" s="140" customFormat="1" x14ac:dyDescent="0.25">
      <c r="A1550" s="141"/>
      <c r="B1550" s="150" t="s">
        <v>6269</v>
      </c>
      <c r="C1550" s="151" t="s">
        <v>5414</v>
      </c>
      <c r="D1550" s="151"/>
      <c r="E1550" s="366">
        <v>40000</v>
      </c>
      <c r="F1550" s="197">
        <v>2</v>
      </c>
      <c r="G1550" s="360">
        <f>+E1550/F1550</f>
        <v>20000</v>
      </c>
      <c r="H1550" s="134"/>
    </row>
    <row r="1551" spans="1:8" s="140" customFormat="1" x14ac:dyDescent="0.25">
      <c r="A1551" s="141"/>
      <c r="B1551" s="154"/>
      <c r="C1551" s="151"/>
      <c r="D1551" s="151"/>
      <c r="E1551" s="366"/>
      <c r="F1551" s="151"/>
      <c r="G1551" s="360"/>
      <c r="H1551" s="134"/>
    </row>
    <row r="1552" spans="1:8" s="140" customFormat="1" x14ac:dyDescent="0.25">
      <c r="A1552" s="141"/>
      <c r="B1552" s="155"/>
      <c r="C1552" s="151"/>
      <c r="D1552" s="152"/>
      <c r="E1552" s="152"/>
      <c r="F1552" s="151"/>
      <c r="G1552" s="156"/>
      <c r="H1552" s="134"/>
    </row>
    <row r="1553" spans="1:8" s="140" customFormat="1" x14ac:dyDescent="0.25">
      <c r="A1553" s="141"/>
      <c r="B1553" s="155"/>
      <c r="C1553" s="151"/>
      <c r="D1553" s="152"/>
      <c r="E1553" s="152"/>
      <c r="F1553" s="151"/>
      <c r="G1553" s="156"/>
      <c r="H1553" s="134"/>
    </row>
    <row r="1554" spans="1:8" s="140" customFormat="1" ht="13.5" thickBot="1" x14ac:dyDescent="0.3">
      <c r="A1554" s="141"/>
      <c r="B1554" s="155"/>
      <c r="C1554" s="151"/>
      <c r="D1554" s="152"/>
      <c r="E1554" s="152"/>
      <c r="F1554" s="151"/>
      <c r="G1554" s="156"/>
      <c r="H1554" s="134"/>
    </row>
    <row r="1555" spans="1:8" s="140" customFormat="1" ht="13.5" thickBot="1" x14ac:dyDescent="0.3">
      <c r="A1555" s="141"/>
      <c r="B1555" s="157"/>
      <c r="C1555" s="158"/>
      <c r="D1555" s="159"/>
      <c r="E1555" s="159"/>
      <c r="F1555" s="158"/>
      <c r="G1555" s="160"/>
      <c r="H1555" s="161">
        <f>+SUM(G1549:G1555)</f>
        <v>26444.166666666668</v>
      </c>
    </row>
    <row r="1556" spans="1:8" s="140" customFormat="1" ht="13.5" thickBot="1" x14ac:dyDescent="0.3">
      <c r="A1556" s="141"/>
      <c r="B1556" s="162"/>
      <c r="C1556" s="163"/>
      <c r="D1556" s="162"/>
      <c r="E1556" s="162"/>
      <c r="F1556" s="163"/>
      <c r="G1556" s="164"/>
      <c r="H1556" s="165"/>
    </row>
    <row r="1557" spans="1:8" s="140" customFormat="1" ht="13.5" thickBot="1" x14ac:dyDescent="0.3">
      <c r="B1557" s="143" t="s">
        <v>5408</v>
      </c>
      <c r="C1557" s="144" t="s">
        <v>867</v>
      </c>
      <c r="D1557" s="144" t="s">
        <v>6</v>
      </c>
      <c r="E1557" s="144" t="s">
        <v>870</v>
      </c>
      <c r="F1557" s="144" t="s">
        <v>5409</v>
      </c>
      <c r="G1557" s="145" t="s">
        <v>868</v>
      </c>
      <c r="H1557" s="134"/>
    </row>
    <row r="1558" spans="1:8" s="140" customFormat="1" x14ac:dyDescent="0.25">
      <c r="B1558" s="201"/>
      <c r="C1558" s="147"/>
      <c r="D1558" s="167"/>
      <c r="E1558" s="148"/>
      <c r="F1558" s="169"/>
      <c r="G1558" s="367">
        <f>+D1558*E1558*(1+F1558)</f>
        <v>0</v>
      </c>
      <c r="H1558" s="134"/>
    </row>
    <row r="1559" spans="1:8" s="140" customFormat="1" x14ac:dyDescent="0.25">
      <c r="B1559" s="196"/>
      <c r="C1559" s="151"/>
      <c r="D1559" s="151"/>
      <c r="E1559" s="148"/>
      <c r="F1559" s="169"/>
      <c r="G1559" s="354"/>
      <c r="H1559" s="134"/>
    </row>
    <row r="1560" spans="1:8" s="140" customFormat="1" x14ac:dyDescent="0.25">
      <c r="B1560" s="196"/>
      <c r="C1560" s="151"/>
      <c r="D1560" s="151"/>
      <c r="E1560" s="148"/>
      <c r="F1560" s="169"/>
      <c r="G1560" s="367"/>
      <c r="H1560" s="134"/>
    </row>
    <row r="1561" spans="1:8" s="140" customFormat="1" x14ac:dyDescent="0.25">
      <c r="B1561" s="155"/>
      <c r="C1561" s="151"/>
      <c r="D1561" s="151"/>
      <c r="E1561" s="148"/>
      <c r="F1561" s="151"/>
      <c r="G1561" s="367"/>
      <c r="H1561" s="134"/>
    </row>
    <row r="1562" spans="1:8" s="140" customFormat="1" x14ac:dyDescent="0.25">
      <c r="B1562" s="155"/>
      <c r="C1562" s="151"/>
      <c r="D1562" s="151"/>
      <c r="E1562" s="148"/>
      <c r="F1562" s="151"/>
      <c r="G1562" s="367"/>
      <c r="H1562" s="134"/>
    </row>
    <row r="1563" spans="1:8" s="140" customFormat="1" x14ac:dyDescent="0.25">
      <c r="B1563" s="155"/>
      <c r="C1563" s="151"/>
      <c r="D1563" s="151"/>
      <c r="E1563" s="148"/>
      <c r="F1563" s="151"/>
      <c r="G1563" s="367"/>
      <c r="H1563" s="134"/>
    </row>
    <row r="1564" spans="1:8" s="140" customFormat="1" x14ac:dyDescent="0.25">
      <c r="B1564" s="155"/>
      <c r="C1564" s="151"/>
      <c r="D1564" s="151"/>
      <c r="E1564" s="148"/>
      <c r="F1564" s="151"/>
      <c r="G1564" s="367"/>
      <c r="H1564" s="134"/>
    </row>
    <row r="1565" spans="1:8" s="140" customFormat="1" x14ac:dyDescent="0.25">
      <c r="B1565" s="155"/>
      <c r="C1565" s="151"/>
      <c r="D1565" s="151"/>
      <c r="E1565" s="148"/>
      <c r="F1565" s="151"/>
      <c r="G1565" s="367"/>
      <c r="H1565" s="134"/>
    </row>
    <row r="1566" spans="1:8" s="140" customFormat="1" x14ac:dyDescent="0.25">
      <c r="B1566" s="155"/>
      <c r="C1566" s="151"/>
      <c r="D1566" s="151"/>
      <c r="E1566" s="148"/>
      <c r="F1566" s="151"/>
      <c r="G1566" s="367"/>
      <c r="H1566" s="134"/>
    </row>
    <row r="1567" spans="1:8" s="140" customFormat="1" x14ac:dyDescent="0.25">
      <c r="B1567" s="155"/>
      <c r="C1567" s="151"/>
      <c r="D1567" s="151"/>
      <c r="E1567" s="148"/>
      <c r="F1567" s="151"/>
      <c r="G1567" s="367"/>
      <c r="H1567" s="134"/>
    </row>
    <row r="1568" spans="1:8" s="140" customFormat="1" x14ac:dyDescent="0.25">
      <c r="B1568" s="155"/>
      <c r="C1568" s="152"/>
      <c r="D1568" s="152"/>
      <c r="E1568" s="152"/>
      <c r="F1568" s="151"/>
      <c r="G1568" s="156"/>
      <c r="H1568" s="134"/>
    </row>
    <row r="1569" spans="2:8" s="140" customFormat="1" ht="13.5" thickBot="1" x14ac:dyDescent="0.3">
      <c r="B1569" s="155"/>
      <c r="C1569" s="152"/>
      <c r="D1569" s="152"/>
      <c r="E1569" s="152"/>
      <c r="F1569" s="151"/>
      <c r="G1569" s="156"/>
      <c r="H1569" s="134"/>
    </row>
    <row r="1570" spans="2:8" s="140" customFormat="1" ht="13.5" thickBot="1" x14ac:dyDescent="0.3">
      <c r="B1570" s="157"/>
      <c r="C1570" s="159"/>
      <c r="D1570" s="159"/>
      <c r="E1570" s="159"/>
      <c r="F1570" s="158"/>
      <c r="G1570" s="160"/>
      <c r="H1570" s="161">
        <f>+SUM(G1558:G1570)</f>
        <v>0</v>
      </c>
    </row>
    <row r="1571" spans="2:8" s="140" customFormat="1" ht="13.5" thickBot="1" x14ac:dyDescent="0.3">
      <c r="B1571" s="162"/>
      <c r="C1571" s="162"/>
      <c r="D1571" s="162"/>
      <c r="E1571" s="162"/>
      <c r="F1571" s="163"/>
      <c r="G1571" s="164"/>
      <c r="H1571" s="165"/>
    </row>
    <row r="1572" spans="2:8" s="140" customFormat="1" ht="13.5" thickBot="1" x14ac:dyDescent="0.3">
      <c r="B1572" s="143" t="s">
        <v>5410</v>
      </c>
      <c r="C1572" s="144" t="s">
        <v>867</v>
      </c>
      <c r="D1572" s="144" t="s">
        <v>6</v>
      </c>
      <c r="E1572" s="144" t="s">
        <v>870</v>
      </c>
      <c r="F1572" s="144" t="s">
        <v>5411</v>
      </c>
      <c r="G1572" s="145" t="s">
        <v>868</v>
      </c>
      <c r="H1572" s="134"/>
    </row>
    <row r="1573" spans="2:8" s="140" customFormat="1" x14ac:dyDescent="0.25">
      <c r="B1573" s="201"/>
      <c r="C1573" s="147"/>
      <c r="D1573" s="167"/>
      <c r="E1573" s="148"/>
      <c r="F1573" s="169"/>
      <c r="G1573" s="367">
        <f>+D1573*E1573*(1+F1573)</f>
        <v>0</v>
      </c>
      <c r="H1573" s="134"/>
    </row>
    <row r="1574" spans="2:8" s="140" customFormat="1" x14ac:dyDescent="0.25">
      <c r="B1574" s="196"/>
      <c r="C1574" s="151"/>
      <c r="D1574" s="151"/>
      <c r="E1574" s="148"/>
      <c r="F1574" s="147"/>
      <c r="G1574" s="367"/>
      <c r="H1574" s="134"/>
    </row>
    <row r="1575" spans="2:8" s="140" customFormat="1" x14ac:dyDescent="0.25">
      <c r="B1575" s="196"/>
      <c r="C1575" s="151"/>
      <c r="D1575" s="151"/>
      <c r="E1575" s="148"/>
      <c r="F1575" s="151"/>
      <c r="G1575" s="367"/>
      <c r="H1575" s="134"/>
    </row>
    <row r="1576" spans="2:8" s="140" customFormat="1" x14ac:dyDescent="0.25">
      <c r="B1576" s="155"/>
      <c r="C1576" s="151"/>
      <c r="D1576" s="151"/>
      <c r="E1576" s="148"/>
      <c r="F1576" s="151"/>
      <c r="G1576" s="367"/>
      <c r="H1576" s="134"/>
    </row>
    <row r="1577" spans="2:8" s="140" customFormat="1" x14ac:dyDescent="0.25">
      <c r="B1577" s="155"/>
      <c r="C1577" s="151"/>
      <c r="D1577" s="151"/>
      <c r="E1577" s="148"/>
      <c r="F1577" s="151"/>
      <c r="G1577" s="367"/>
      <c r="H1577" s="134"/>
    </row>
    <row r="1578" spans="2:8" s="140" customFormat="1" ht="13.5" thickBot="1" x14ac:dyDescent="0.3">
      <c r="B1578" s="155"/>
      <c r="C1578" s="151"/>
      <c r="D1578" s="151"/>
      <c r="E1578" s="148"/>
      <c r="F1578" s="151"/>
      <c r="G1578" s="367"/>
      <c r="H1578" s="134"/>
    </row>
    <row r="1579" spans="2:8" s="140" customFormat="1" ht="13.5" thickBot="1" x14ac:dyDescent="0.3">
      <c r="B1579" s="157"/>
      <c r="C1579" s="159"/>
      <c r="D1579" s="159"/>
      <c r="E1579" s="159"/>
      <c r="F1579" s="158"/>
      <c r="G1579" s="160"/>
      <c r="H1579" s="161">
        <f>+SUM(G1573:G1579)</f>
        <v>0</v>
      </c>
    </row>
    <row r="1580" spans="2:8" s="140" customFormat="1" ht="13.5" thickBot="1" x14ac:dyDescent="0.3">
      <c r="B1580" s="162"/>
      <c r="C1580" s="162"/>
      <c r="D1580" s="162"/>
      <c r="E1580" s="162"/>
      <c r="F1580" s="173"/>
      <c r="G1580" s="174"/>
      <c r="H1580" s="165"/>
    </row>
    <row r="1581" spans="2:8" s="140" customFormat="1" ht="13.5" thickBot="1" x14ac:dyDescent="0.3">
      <c r="B1581" s="143" t="s">
        <v>5412</v>
      </c>
      <c r="C1581" s="144" t="s">
        <v>5420</v>
      </c>
      <c r="D1581" s="144" t="s">
        <v>5421</v>
      </c>
      <c r="E1581" s="144" t="s">
        <v>5413</v>
      </c>
      <c r="F1581" s="144" t="s">
        <v>5405</v>
      </c>
      <c r="G1581" s="145" t="s">
        <v>868</v>
      </c>
      <c r="H1581" s="134"/>
    </row>
    <row r="1582" spans="2:8" s="140" customFormat="1" x14ac:dyDescent="0.25">
      <c r="B1582" s="194" t="s">
        <v>5650</v>
      </c>
      <c r="C1582" s="345">
        <v>70000</v>
      </c>
      <c r="D1582" s="345">
        <f>+C1582*0.85</f>
        <v>59500</v>
      </c>
      <c r="E1582" s="353">
        <f>+C1582+D1582</f>
        <v>129500</v>
      </c>
      <c r="F1582" s="202">
        <v>100</v>
      </c>
      <c r="G1582" s="351">
        <f>+E1582/F1582</f>
        <v>1295</v>
      </c>
      <c r="H1582" s="134"/>
    </row>
    <row r="1583" spans="2:8" s="140" customFormat="1" x14ac:dyDescent="0.25">
      <c r="B1583" s="194" t="s">
        <v>5651</v>
      </c>
      <c r="C1583" s="345">
        <v>40000</v>
      </c>
      <c r="D1583" s="345">
        <f>+C1583*0.85</f>
        <v>34000</v>
      </c>
      <c r="E1583" s="353">
        <f>+C1583+D1583</f>
        <v>74000</v>
      </c>
      <c r="F1583" s="204">
        <v>6</v>
      </c>
      <c r="G1583" s="351">
        <f>+E1583/F1583</f>
        <v>12333.333333333334</v>
      </c>
      <c r="H1583" s="134"/>
    </row>
    <row r="1584" spans="2:8" s="140" customFormat="1" x14ac:dyDescent="0.25">
      <c r="B1584" s="195" t="s">
        <v>5635</v>
      </c>
      <c r="C1584" s="345">
        <v>20600</v>
      </c>
      <c r="D1584" s="345">
        <f>+C1584*0.85</f>
        <v>17510</v>
      </c>
      <c r="E1584" s="353">
        <f>+C1584+D1584</f>
        <v>38110</v>
      </c>
      <c r="F1584" s="197">
        <v>0.75</v>
      </c>
      <c r="G1584" s="351">
        <f>+E1584/F1584</f>
        <v>50813.333333333336</v>
      </c>
      <c r="H1584" s="134"/>
    </row>
    <row r="1585" spans="1:16" s="140" customFormat="1" x14ac:dyDescent="0.25">
      <c r="B1585" s="155"/>
      <c r="C1585" s="345"/>
      <c r="D1585" s="152"/>
      <c r="E1585" s="152"/>
      <c r="F1585" s="151"/>
      <c r="G1585" s="351"/>
      <c r="H1585" s="134"/>
    </row>
    <row r="1586" spans="1:16" s="140" customFormat="1" x14ac:dyDescent="0.25">
      <c r="B1586" s="155"/>
      <c r="C1586" s="152"/>
      <c r="D1586" s="152"/>
      <c r="E1586" s="152"/>
      <c r="F1586" s="151"/>
      <c r="G1586" s="156"/>
      <c r="H1586" s="134"/>
    </row>
    <row r="1587" spans="1:16" s="140" customFormat="1" ht="13.5" thickBot="1" x14ac:dyDescent="0.3">
      <c r="B1587" s="155"/>
      <c r="C1587" s="152"/>
      <c r="D1587" s="152"/>
      <c r="E1587" s="152"/>
      <c r="F1587" s="151"/>
      <c r="G1587" s="156"/>
      <c r="H1587" s="134"/>
    </row>
    <row r="1588" spans="1:16" s="140" customFormat="1" ht="13.5" thickBot="1" x14ac:dyDescent="0.3">
      <c r="B1588" s="179"/>
      <c r="C1588" s="180"/>
      <c r="D1588" s="180"/>
      <c r="E1588" s="180"/>
      <c r="F1588" s="181"/>
      <c r="G1588" s="182"/>
      <c r="H1588" s="161">
        <f>+SUM(G1582:G1588)</f>
        <v>64441.666666666672</v>
      </c>
    </row>
    <row r="1589" spans="1:16" s="140" customFormat="1" ht="13.5" thickBot="1" x14ac:dyDescent="0.3">
      <c r="F1589" s="141"/>
      <c r="G1589" s="134"/>
      <c r="H1589" s="134"/>
    </row>
    <row r="1590" spans="1:16" s="140" customFormat="1" ht="13.5" thickBot="1" x14ac:dyDescent="0.3">
      <c r="E1590" s="183" t="s">
        <v>5415</v>
      </c>
      <c r="F1590" s="141"/>
      <c r="G1590" s="134"/>
      <c r="H1590" s="161">
        <f>ROUND(+H1555+H1570+H1579+H1588,0)</f>
        <v>90886</v>
      </c>
    </row>
    <row r="1592" spans="1:16" x14ac:dyDescent="0.25">
      <c r="H1592" s="341"/>
    </row>
    <row r="1593" spans="1:16" ht="27" customHeight="1" x14ac:dyDescent="0.25"/>
    <row r="1595" spans="1:16" ht="18.75" x14ac:dyDescent="0.25">
      <c r="A1595" s="133"/>
      <c r="B1595" s="2506" t="s">
        <v>5400</v>
      </c>
      <c r="C1595" s="2506"/>
      <c r="D1595" s="2506"/>
      <c r="E1595" s="2506"/>
      <c r="F1595" s="2506"/>
      <c r="G1595" s="2506"/>
      <c r="I1595" s="133"/>
      <c r="J1595" s="2506" t="s">
        <v>5400</v>
      </c>
      <c r="K1595" s="2506"/>
      <c r="L1595" s="2506"/>
      <c r="M1595" s="2506"/>
      <c r="N1595" s="2506"/>
      <c r="O1595" s="2506"/>
    </row>
    <row r="1596" spans="1:16" x14ac:dyDescent="0.25">
      <c r="A1596" s="133"/>
      <c r="G1596" s="134"/>
      <c r="I1596" s="133"/>
      <c r="N1596" s="133"/>
      <c r="O1596" s="134"/>
    </row>
    <row r="1597" spans="1:16" x14ac:dyDescent="0.25">
      <c r="A1597" s="133"/>
      <c r="G1597" s="134"/>
      <c r="I1597" s="133"/>
      <c r="N1597" s="133"/>
      <c r="O1597" s="134"/>
    </row>
    <row r="1598" spans="1:16" x14ac:dyDescent="0.25">
      <c r="A1598" s="133"/>
      <c r="G1598" s="134"/>
      <c r="I1598" s="133"/>
      <c r="N1598" s="133"/>
      <c r="O1598" s="134"/>
    </row>
    <row r="1599" spans="1:16" s="140" customFormat="1" x14ac:dyDescent="0.25">
      <c r="A1599" s="138" t="s">
        <v>3</v>
      </c>
      <c r="B1599" s="138" t="s">
        <v>101</v>
      </c>
      <c r="C1599" s="2450" t="s">
        <v>6270</v>
      </c>
      <c r="D1599" s="2450"/>
      <c r="E1599" s="2450"/>
      <c r="F1599" s="138" t="s">
        <v>867</v>
      </c>
      <c r="G1599" s="139" t="s">
        <v>5454</v>
      </c>
      <c r="H1599" s="134"/>
      <c r="I1599" s="138" t="s">
        <v>3</v>
      </c>
      <c r="J1599" s="138" t="s">
        <v>101</v>
      </c>
      <c r="K1599" s="2450" t="s">
        <v>6271</v>
      </c>
      <c r="L1599" s="2450"/>
      <c r="M1599" s="2450"/>
      <c r="N1599" s="138" t="s">
        <v>867</v>
      </c>
      <c r="O1599" s="139" t="s">
        <v>5454</v>
      </c>
      <c r="P1599" s="134"/>
    </row>
    <row r="1600" spans="1:16" s="140" customFormat="1" ht="39.950000000000003" customHeight="1" x14ac:dyDescent="0.25">
      <c r="A1600" s="141"/>
      <c r="F1600" s="141"/>
      <c r="G1600" s="134"/>
      <c r="H1600" s="134"/>
      <c r="I1600" s="141"/>
      <c r="N1600" s="141"/>
      <c r="O1600" s="134"/>
      <c r="P1600" s="134"/>
    </row>
    <row r="1601" spans="1:16" s="140" customFormat="1" ht="12.75" customHeight="1" x14ac:dyDescent="0.25">
      <c r="A1601" s="141"/>
      <c r="F1601" s="141"/>
      <c r="G1601" s="142"/>
      <c r="H1601" s="134"/>
      <c r="I1601" s="141"/>
      <c r="N1601" s="141"/>
      <c r="O1601" s="142"/>
      <c r="P1601" s="134"/>
    </row>
    <row r="1602" spans="1:16" s="140" customFormat="1" ht="13.5" thickBot="1" x14ac:dyDescent="0.3">
      <c r="A1602" s="141"/>
      <c r="F1602" s="141"/>
      <c r="G1602" s="134"/>
      <c r="H1602" s="134"/>
      <c r="I1602" s="141"/>
      <c r="N1602" s="141"/>
      <c r="O1602" s="134"/>
      <c r="P1602" s="134"/>
    </row>
    <row r="1603" spans="1:16" s="140" customFormat="1" ht="13.5" thickBot="1" x14ac:dyDescent="0.3">
      <c r="A1603" s="141"/>
      <c r="B1603" s="143" t="s">
        <v>5403</v>
      </c>
      <c r="C1603" s="144" t="s">
        <v>867</v>
      </c>
      <c r="D1603" s="144" t="s">
        <v>6</v>
      </c>
      <c r="E1603" s="144" t="s">
        <v>5404</v>
      </c>
      <c r="F1603" s="144" t="s">
        <v>5405</v>
      </c>
      <c r="G1603" s="145" t="s">
        <v>868</v>
      </c>
      <c r="H1603" s="134"/>
      <c r="I1603" s="141"/>
      <c r="J1603" s="143" t="s">
        <v>5403</v>
      </c>
      <c r="K1603" s="144" t="s">
        <v>867</v>
      </c>
      <c r="L1603" s="144" t="s">
        <v>6</v>
      </c>
      <c r="M1603" s="144" t="s">
        <v>5404</v>
      </c>
      <c r="N1603" s="144" t="s">
        <v>5405</v>
      </c>
      <c r="O1603" s="145" t="s">
        <v>868</v>
      </c>
      <c r="P1603" s="134"/>
    </row>
    <row r="1604" spans="1:16" s="140" customFormat="1" x14ac:dyDescent="0.25">
      <c r="A1604" s="141"/>
      <c r="B1604" s="146" t="s">
        <v>5440</v>
      </c>
      <c r="C1604" s="147" t="s">
        <v>5406</v>
      </c>
      <c r="D1604" s="147"/>
      <c r="E1604" s="148">
        <f>+H1643</f>
        <v>1449.1666666666665</v>
      </c>
      <c r="F1604" s="167">
        <v>0.1</v>
      </c>
      <c r="G1604" s="360">
        <f>+E1604*F1604</f>
        <v>144.91666666666666</v>
      </c>
      <c r="H1604" s="134"/>
      <c r="I1604" s="141"/>
      <c r="J1604" s="146" t="s">
        <v>5440</v>
      </c>
      <c r="K1604" s="147" t="s">
        <v>5406</v>
      </c>
      <c r="L1604" s="147"/>
      <c r="M1604" s="148">
        <f>+P1643</f>
        <v>1660.8888888888887</v>
      </c>
      <c r="N1604" s="167">
        <v>0.1</v>
      </c>
      <c r="O1604" s="360">
        <f>+M1604*N1604</f>
        <v>166.08888888888887</v>
      </c>
      <c r="P1604" s="134"/>
    </row>
    <row r="1605" spans="1:16" s="140" customFormat="1" x14ac:dyDescent="0.25">
      <c r="A1605" s="141"/>
      <c r="B1605" s="150" t="s">
        <v>5646</v>
      </c>
      <c r="C1605" s="151" t="s">
        <v>5424</v>
      </c>
      <c r="D1605" s="205">
        <v>1</v>
      </c>
      <c r="E1605" s="366">
        <v>150000</v>
      </c>
      <c r="F1605" s="197">
        <v>12</v>
      </c>
      <c r="G1605" s="360">
        <f>+E1605/F1605</f>
        <v>12500</v>
      </c>
      <c r="H1605" s="134"/>
      <c r="I1605" s="141"/>
      <c r="J1605" s="150" t="s">
        <v>5646</v>
      </c>
      <c r="K1605" s="151" t="s">
        <v>5424</v>
      </c>
      <c r="L1605" s="205">
        <v>1</v>
      </c>
      <c r="M1605" s="366">
        <v>150000</v>
      </c>
      <c r="N1605" s="197">
        <v>25</v>
      </c>
      <c r="O1605" s="360">
        <f>+M1605/N1605</f>
        <v>6000</v>
      </c>
      <c r="P1605" s="134"/>
    </row>
    <row r="1606" spans="1:16" s="140" customFormat="1" x14ac:dyDescent="0.25">
      <c r="A1606" s="141"/>
      <c r="B1606" s="154"/>
      <c r="C1606" s="151"/>
      <c r="D1606" s="151"/>
      <c r="E1606" s="366"/>
      <c r="F1606" s="151"/>
      <c r="G1606" s="360"/>
      <c r="H1606" s="134"/>
      <c r="I1606" s="141"/>
      <c r="J1606" s="154"/>
      <c r="K1606" s="151"/>
      <c r="L1606" s="151"/>
      <c r="M1606" s="366"/>
      <c r="N1606" s="151"/>
      <c r="O1606" s="360"/>
      <c r="P1606" s="134"/>
    </row>
    <row r="1607" spans="1:16" s="140" customFormat="1" x14ac:dyDescent="0.25">
      <c r="A1607" s="141"/>
      <c r="B1607" s="155"/>
      <c r="C1607" s="151"/>
      <c r="D1607" s="152"/>
      <c r="E1607" s="152"/>
      <c r="F1607" s="151"/>
      <c r="G1607" s="156"/>
      <c r="H1607" s="134"/>
      <c r="I1607" s="141"/>
      <c r="J1607" s="155"/>
      <c r="K1607" s="151"/>
      <c r="L1607" s="152"/>
      <c r="M1607" s="152"/>
      <c r="N1607" s="151"/>
      <c r="O1607" s="156"/>
      <c r="P1607" s="134"/>
    </row>
    <row r="1608" spans="1:16" s="140" customFormat="1" x14ac:dyDescent="0.25">
      <c r="A1608" s="141"/>
      <c r="B1608" s="155"/>
      <c r="C1608" s="151"/>
      <c r="D1608" s="152"/>
      <c r="E1608" s="152"/>
      <c r="F1608" s="151"/>
      <c r="G1608" s="156"/>
      <c r="H1608" s="134"/>
      <c r="I1608" s="141"/>
      <c r="J1608" s="155"/>
      <c r="K1608" s="151"/>
      <c r="L1608" s="152"/>
      <c r="M1608" s="152"/>
      <c r="N1608" s="151"/>
      <c r="O1608" s="156"/>
      <c r="P1608" s="134"/>
    </row>
    <row r="1609" spans="1:16" s="140" customFormat="1" ht="13.5" thickBot="1" x14ac:dyDescent="0.3">
      <c r="A1609" s="141"/>
      <c r="B1609" s="155"/>
      <c r="C1609" s="151"/>
      <c r="D1609" s="152"/>
      <c r="E1609" s="152"/>
      <c r="F1609" s="151"/>
      <c r="G1609" s="156"/>
      <c r="H1609" s="134"/>
      <c r="I1609" s="141"/>
      <c r="J1609" s="155"/>
      <c r="K1609" s="151"/>
      <c r="L1609" s="152"/>
      <c r="M1609" s="152"/>
      <c r="N1609" s="151"/>
      <c r="O1609" s="156"/>
      <c r="P1609" s="134"/>
    </row>
    <row r="1610" spans="1:16" s="140" customFormat="1" ht="13.5" thickBot="1" x14ac:dyDescent="0.3">
      <c r="A1610" s="141"/>
      <c r="B1610" s="157"/>
      <c r="C1610" s="158"/>
      <c r="D1610" s="159"/>
      <c r="E1610" s="159"/>
      <c r="F1610" s="158"/>
      <c r="G1610" s="160"/>
      <c r="H1610" s="161">
        <f>+SUM(G1604:G1610)</f>
        <v>12644.916666666666</v>
      </c>
      <c r="I1610" s="141"/>
      <c r="J1610" s="157"/>
      <c r="K1610" s="158"/>
      <c r="L1610" s="159"/>
      <c r="M1610" s="159"/>
      <c r="N1610" s="158"/>
      <c r="O1610" s="160"/>
      <c r="P1610" s="161">
        <f>+SUM(O1604:O1610)</f>
        <v>6166.0888888888885</v>
      </c>
    </row>
    <row r="1611" spans="1:16" s="140" customFormat="1" ht="13.5" thickBot="1" x14ac:dyDescent="0.3">
      <c r="A1611" s="141"/>
      <c r="B1611" s="162"/>
      <c r="C1611" s="163"/>
      <c r="D1611" s="162"/>
      <c r="E1611" s="162"/>
      <c r="F1611" s="163"/>
      <c r="G1611" s="164"/>
      <c r="H1611" s="165"/>
      <c r="I1611" s="141"/>
      <c r="J1611" s="162"/>
      <c r="K1611" s="163"/>
      <c r="L1611" s="162"/>
      <c r="M1611" s="162"/>
      <c r="N1611" s="163"/>
      <c r="O1611" s="164"/>
      <c r="P1611" s="165"/>
    </row>
    <row r="1612" spans="1:16" s="140" customFormat="1" ht="13.5" thickBot="1" x14ac:dyDescent="0.3">
      <c r="B1612" s="143" t="s">
        <v>5408</v>
      </c>
      <c r="C1612" s="144" t="s">
        <v>867</v>
      </c>
      <c r="D1612" s="144" t="s">
        <v>6</v>
      </c>
      <c r="E1612" s="144" t="s">
        <v>870</v>
      </c>
      <c r="F1612" s="144" t="s">
        <v>5409</v>
      </c>
      <c r="G1612" s="145" t="s">
        <v>868</v>
      </c>
      <c r="H1612" s="134"/>
      <c r="J1612" s="143" t="s">
        <v>5408</v>
      </c>
      <c r="K1612" s="144" t="s">
        <v>867</v>
      </c>
      <c r="L1612" s="144" t="s">
        <v>6</v>
      </c>
      <c r="M1612" s="144" t="s">
        <v>870</v>
      </c>
      <c r="N1612" s="144" t="s">
        <v>5409</v>
      </c>
      <c r="O1612" s="145" t="s">
        <v>868</v>
      </c>
      <c r="P1612" s="134"/>
    </row>
    <row r="1613" spans="1:16" s="140" customFormat="1" x14ac:dyDescent="0.25">
      <c r="B1613" s="201"/>
      <c r="C1613" s="147"/>
      <c r="D1613" s="167"/>
      <c r="E1613" s="148"/>
      <c r="F1613" s="169"/>
      <c r="G1613" s="367">
        <f>+D1613*E1613*(1+F1613)</f>
        <v>0</v>
      </c>
      <c r="H1613" s="134"/>
      <c r="J1613" s="201"/>
      <c r="K1613" s="147"/>
      <c r="L1613" s="167"/>
      <c r="M1613" s="148"/>
      <c r="N1613" s="169"/>
      <c r="O1613" s="367">
        <f>+L1613*M1613*(1+N1613)</f>
        <v>0</v>
      </c>
      <c r="P1613" s="134"/>
    </row>
    <row r="1614" spans="1:16" s="140" customFormat="1" x14ac:dyDescent="0.25">
      <c r="B1614" s="196"/>
      <c r="C1614" s="151"/>
      <c r="D1614" s="151"/>
      <c r="E1614" s="148"/>
      <c r="F1614" s="169"/>
      <c r="G1614" s="354"/>
      <c r="H1614" s="134"/>
      <c r="J1614" s="196"/>
      <c r="K1614" s="151"/>
      <c r="L1614" s="151"/>
      <c r="M1614" s="148"/>
      <c r="N1614" s="169"/>
      <c r="O1614" s="354"/>
      <c r="P1614" s="134"/>
    </row>
    <row r="1615" spans="1:16" s="140" customFormat="1" x14ac:dyDescent="0.25">
      <c r="B1615" s="196"/>
      <c r="C1615" s="151"/>
      <c r="D1615" s="151"/>
      <c r="E1615" s="148"/>
      <c r="F1615" s="169"/>
      <c r="G1615" s="367"/>
      <c r="H1615" s="134"/>
      <c r="J1615" s="196"/>
      <c r="K1615" s="151"/>
      <c r="L1615" s="151"/>
      <c r="M1615" s="148"/>
      <c r="N1615" s="169"/>
      <c r="O1615" s="367"/>
      <c r="P1615" s="134"/>
    </row>
    <row r="1616" spans="1:16" s="140" customFormat="1" x14ac:dyDescent="0.25">
      <c r="B1616" s="155"/>
      <c r="C1616" s="151"/>
      <c r="D1616" s="151"/>
      <c r="E1616" s="148"/>
      <c r="F1616" s="151"/>
      <c r="G1616" s="367"/>
      <c r="H1616" s="134"/>
      <c r="J1616" s="155"/>
      <c r="K1616" s="151"/>
      <c r="L1616" s="151"/>
      <c r="M1616" s="148"/>
      <c r="N1616" s="151"/>
      <c r="O1616" s="367"/>
      <c r="P1616" s="134"/>
    </row>
    <row r="1617" spans="2:16" s="140" customFormat="1" x14ac:dyDescent="0.25">
      <c r="B1617" s="155"/>
      <c r="C1617" s="151"/>
      <c r="D1617" s="151"/>
      <c r="E1617" s="148"/>
      <c r="F1617" s="151"/>
      <c r="G1617" s="367"/>
      <c r="H1617" s="134"/>
      <c r="J1617" s="155"/>
      <c r="K1617" s="151"/>
      <c r="L1617" s="151"/>
      <c r="M1617" s="148"/>
      <c r="N1617" s="151"/>
      <c r="O1617" s="367"/>
      <c r="P1617" s="134"/>
    </row>
    <row r="1618" spans="2:16" s="140" customFormat="1" x14ac:dyDescent="0.25">
      <c r="B1618" s="155"/>
      <c r="C1618" s="151"/>
      <c r="D1618" s="151"/>
      <c r="E1618" s="148"/>
      <c r="F1618" s="151"/>
      <c r="G1618" s="367"/>
      <c r="H1618" s="134"/>
      <c r="J1618" s="155"/>
      <c r="K1618" s="151"/>
      <c r="L1618" s="151"/>
      <c r="M1618" s="148"/>
      <c r="N1618" s="151"/>
      <c r="O1618" s="367"/>
      <c r="P1618" s="134"/>
    </row>
    <row r="1619" spans="2:16" s="140" customFormat="1" x14ac:dyDescent="0.25">
      <c r="B1619" s="155"/>
      <c r="C1619" s="151"/>
      <c r="D1619" s="151"/>
      <c r="E1619" s="148"/>
      <c r="F1619" s="151"/>
      <c r="G1619" s="367"/>
      <c r="H1619" s="134"/>
      <c r="J1619" s="155"/>
      <c r="K1619" s="151"/>
      <c r="L1619" s="151"/>
      <c r="M1619" s="148"/>
      <c r="N1619" s="151"/>
      <c r="O1619" s="367"/>
      <c r="P1619" s="134"/>
    </row>
    <row r="1620" spans="2:16" s="140" customFormat="1" x14ac:dyDescent="0.25">
      <c r="B1620" s="155"/>
      <c r="C1620" s="151"/>
      <c r="D1620" s="151"/>
      <c r="E1620" s="148"/>
      <c r="F1620" s="151"/>
      <c r="G1620" s="367"/>
      <c r="H1620" s="134"/>
      <c r="J1620" s="155"/>
      <c r="K1620" s="151"/>
      <c r="L1620" s="151"/>
      <c r="M1620" s="148"/>
      <c r="N1620" s="151"/>
      <c r="O1620" s="367"/>
      <c r="P1620" s="134"/>
    </row>
    <row r="1621" spans="2:16" s="140" customFormat="1" x14ac:dyDescent="0.25">
      <c r="B1621" s="155"/>
      <c r="C1621" s="151"/>
      <c r="D1621" s="151"/>
      <c r="E1621" s="148"/>
      <c r="F1621" s="151"/>
      <c r="G1621" s="367"/>
      <c r="H1621" s="134"/>
      <c r="J1621" s="155"/>
      <c r="K1621" s="151"/>
      <c r="L1621" s="151"/>
      <c r="M1621" s="148"/>
      <c r="N1621" s="151"/>
      <c r="O1621" s="367"/>
      <c r="P1621" s="134"/>
    </row>
    <row r="1622" spans="2:16" s="140" customFormat="1" x14ac:dyDescent="0.25">
      <c r="B1622" s="155"/>
      <c r="C1622" s="151"/>
      <c r="D1622" s="151"/>
      <c r="E1622" s="148"/>
      <c r="F1622" s="151"/>
      <c r="G1622" s="367"/>
      <c r="H1622" s="134"/>
      <c r="J1622" s="155"/>
      <c r="K1622" s="151"/>
      <c r="L1622" s="151"/>
      <c r="M1622" s="148"/>
      <c r="N1622" s="151"/>
      <c r="O1622" s="367"/>
      <c r="P1622" s="134"/>
    </row>
    <row r="1623" spans="2:16" s="140" customFormat="1" x14ac:dyDescent="0.25">
      <c r="B1623" s="155"/>
      <c r="C1623" s="152"/>
      <c r="D1623" s="152"/>
      <c r="E1623" s="152"/>
      <c r="F1623" s="151"/>
      <c r="G1623" s="156"/>
      <c r="H1623" s="134"/>
      <c r="J1623" s="155"/>
      <c r="K1623" s="152"/>
      <c r="L1623" s="152"/>
      <c r="M1623" s="152"/>
      <c r="N1623" s="151"/>
      <c r="O1623" s="156"/>
      <c r="P1623" s="134"/>
    </row>
    <row r="1624" spans="2:16" s="140" customFormat="1" ht="13.5" thickBot="1" x14ac:dyDescent="0.3">
      <c r="B1624" s="155"/>
      <c r="C1624" s="152"/>
      <c r="D1624" s="152"/>
      <c r="E1624" s="152"/>
      <c r="F1624" s="151"/>
      <c r="G1624" s="156"/>
      <c r="H1624" s="134"/>
      <c r="J1624" s="155"/>
      <c r="K1624" s="152"/>
      <c r="L1624" s="152"/>
      <c r="M1624" s="152"/>
      <c r="N1624" s="151"/>
      <c r="O1624" s="156"/>
      <c r="P1624" s="134"/>
    </row>
    <row r="1625" spans="2:16" s="140" customFormat="1" ht="13.5" thickBot="1" x14ac:dyDescent="0.3">
      <c r="B1625" s="157"/>
      <c r="C1625" s="159"/>
      <c r="D1625" s="159"/>
      <c r="E1625" s="159"/>
      <c r="F1625" s="158"/>
      <c r="G1625" s="160"/>
      <c r="H1625" s="161">
        <f>+SUM(G1613:G1625)</f>
        <v>0</v>
      </c>
      <c r="J1625" s="157"/>
      <c r="K1625" s="159"/>
      <c r="L1625" s="159"/>
      <c r="M1625" s="159"/>
      <c r="N1625" s="158"/>
      <c r="O1625" s="160"/>
      <c r="P1625" s="161">
        <f>+SUM(O1613:O1625)</f>
        <v>0</v>
      </c>
    </row>
    <row r="1626" spans="2:16" s="140" customFormat="1" ht="13.5" thickBot="1" x14ac:dyDescent="0.3">
      <c r="B1626" s="162"/>
      <c r="C1626" s="162"/>
      <c r="D1626" s="162"/>
      <c r="E1626" s="162"/>
      <c r="F1626" s="163"/>
      <c r="G1626" s="164"/>
      <c r="H1626" s="165"/>
      <c r="J1626" s="162"/>
      <c r="K1626" s="162"/>
      <c r="L1626" s="162"/>
      <c r="M1626" s="162"/>
      <c r="N1626" s="163"/>
      <c r="O1626" s="164"/>
      <c r="P1626" s="165"/>
    </row>
    <row r="1627" spans="2:16" s="140" customFormat="1" ht="13.5" thickBot="1" x14ac:dyDescent="0.3">
      <c r="B1627" s="143" t="s">
        <v>5410</v>
      </c>
      <c r="C1627" s="144" t="s">
        <v>867</v>
      </c>
      <c r="D1627" s="144" t="s">
        <v>6</v>
      </c>
      <c r="E1627" s="144" t="s">
        <v>870</v>
      </c>
      <c r="F1627" s="144" t="s">
        <v>5411</v>
      </c>
      <c r="G1627" s="145" t="s">
        <v>868</v>
      </c>
      <c r="H1627" s="134"/>
      <c r="J1627" s="143" t="s">
        <v>5410</v>
      </c>
      <c r="K1627" s="144" t="s">
        <v>867</v>
      </c>
      <c r="L1627" s="144" t="s">
        <v>6</v>
      </c>
      <c r="M1627" s="144" t="s">
        <v>870</v>
      </c>
      <c r="N1627" s="144" t="s">
        <v>5411</v>
      </c>
      <c r="O1627" s="145" t="s">
        <v>868</v>
      </c>
      <c r="P1627" s="134"/>
    </row>
    <row r="1628" spans="2:16" s="140" customFormat="1" x14ac:dyDescent="0.25">
      <c r="B1628" s="201"/>
      <c r="C1628" s="147"/>
      <c r="D1628" s="167"/>
      <c r="E1628" s="148"/>
      <c r="F1628" s="169"/>
      <c r="G1628" s="367">
        <f>+D1628*E1628*(1+F1628)</f>
        <v>0</v>
      </c>
      <c r="H1628" s="134"/>
      <c r="J1628" s="201"/>
      <c r="K1628" s="147"/>
      <c r="L1628" s="167"/>
      <c r="M1628" s="148"/>
      <c r="N1628" s="169"/>
      <c r="O1628" s="367">
        <f>+L1628*M1628*(1+N1628)</f>
        <v>0</v>
      </c>
      <c r="P1628" s="134"/>
    </row>
    <row r="1629" spans="2:16" s="140" customFormat="1" x14ac:dyDescent="0.25">
      <c r="B1629" s="196"/>
      <c r="C1629" s="151"/>
      <c r="D1629" s="151"/>
      <c r="E1629" s="148"/>
      <c r="F1629" s="147"/>
      <c r="G1629" s="367"/>
      <c r="H1629" s="134"/>
      <c r="J1629" s="196"/>
      <c r="K1629" s="151"/>
      <c r="L1629" s="151"/>
      <c r="M1629" s="148"/>
      <c r="N1629" s="147"/>
      <c r="O1629" s="367"/>
      <c r="P1629" s="134"/>
    </row>
    <row r="1630" spans="2:16" s="140" customFormat="1" x14ac:dyDescent="0.25">
      <c r="B1630" s="196"/>
      <c r="C1630" s="151"/>
      <c r="D1630" s="151"/>
      <c r="E1630" s="148"/>
      <c r="F1630" s="151"/>
      <c r="G1630" s="367"/>
      <c r="H1630" s="134"/>
      <c r="J1630" s="196"/>
      <c r="K1630" s="151"/>
      <c r="L1630" s="151"/>
      <c r="M1630" s="148"/>
      <c r="N1630" s="151"/>
      <c r="O1630" s="367"/>
      <c r="P1630" s="134"/>
    </row>
    <row r="1631" spans="2:16" s="140" customFormat="1" x14ac:dyDescent="0.25">
      <c r="B1631" s="155"/>
      <c r="C1631" s="151"/>
      <c r="D1631" s="151"/>
      <c r="E1631" s="148"/>
      <c r="F1631" s="151"/>
      <c r="G1631" s="367"/>
      <c r="H1631" s="134"/>
      <c r="J1631" s="155"/>
      <c r="K1631" s="151"/>
      <c r="L1631" s="151"/>
      <c r="M1631" s="148"/>
      <c r="N1631" s="151"/>
      <c r="O1631" s="367"/>
      <c r="P1631" s="134"/>
    </row>
    <row r="1632" spans="2:16" s="140" customFormat="1" x14ac:dyDescent="0.25">
      <c r="B1632" s="155"/>
      <c r="C1632" s="151"/>
      <c r="D1632" s="151"/>
      <c r="E1632" s="148"/>
      <c r="F1632" s="151"/>
      <c r="G1632" s="367"/>
      <c r="H1632" s="134"/>
      <c r="J1632" s="155"/>
      <c r="K1632" s="151"/>
      <c r="L1632" s="151"/>
      <c r="M1632" s="148"/>
      <c r="N1632" s="151"/>
      <c r="O1632" s="367"/>
      <c r="P1632" s="134"/>
    </row>
    <row r="1633" spans="2:16" s="140" customFormat="1" ht="13.5" thickBot="1" x14ac:dyDescent="0.3">
      <c r="B1633" s="155"/>
      <c r="C1633" s="151"/>
      <c r="D1633" s="151"/>
      <c r="E1633" s="148"/>
      <c r="F1633" s="151"/>
      <c r="G1633" s="367"/>
      <c r="H1633" s="134"/>
      <c r="J1633" s="155"/>
      <c r="K1633" s="151"/>
      <c r="L1633" s="151"/>
      <c r="M1633" s="148"/>
      <c r="N1633" s="151"/>
      <c r="O1633" s="367"/>
      <c r="P1633" s="134"/>
    </row>
    <row r="1634" spans="2:16" s="140" customFormat="1" ht="13.5" thickBot="1" x14ac:dyDescent="0.3">
      <c r="B1634" s="157"/>
      <c r="C1634" s="159"/>
      <c r="D1634" s="159"/>
      <c r="E1634" s="159"/>
      <c r="F1634" s="158"/>
      <c r="G1634" s="160"/>
      <c r="H1634" s="161">
        <f>+SUM(G1628:G1634)</f>
        <v>0</v>
      </c>
      <c r="J1634" s="157"/>
      <c r="K1634" s="159"/>
      <c r="L1634" s="159"/>
      <c r="M1634" s="159"/>
      <c r="N1634" s="158"/>
      <c r="O1634" s="160"/>
      <c r="P1634" s="161">
        <f>+SUM(O1628:O1634)</f>
        <v>0</v>
      </c>
    </row>
    <row r="1635" spans="2:16" s="140" customFormat="1" ht="13.5" thickBot="1" x14ac:dyDescent="0.3">
      <c r="B1635" s="162"/>
      <c r="C1635" s="162"/>
      <c r="D1635" s="162"/>
      <c r="E1635" s="162"/>
      <c r="F1635" s="173"/>
      <c r="G1635" s="174"/>
      <c r="H1635" s="165"/>
      <c r="J1635" s="162"/>
      <c r="K1635" s="162"/>
      <c r="L1635" s="162"/>
      <c r="M1635" s="162"/>
      <c r="N1635" s="173"/>
      <c r="O1635" s="174"/>
      <c r="P1635" s="165"/>
    </row>
    <row r="1636" spans="2:16" s="140" customFormat="1" ht="13.5" thickBot="1" x14ac:dyDescent="0.3">
      <c r="B1636" s="143" t="s">
        <v>5412</v>
      </c>
      <c r="C1636" s="144" t="s">
        <v>5420</v>
      </c>
      <c r="D1636" s="144" t="s">
        <v>5421</v>
      </c>
      <c r="E1636" s="144" t="s">
        <v>5413</v>
      </c>
      <c r="F1636" s="144" t="s">
        <v>5405</v>
      </c>
      <c r="G1636" s="145" t="s">
        <v>868</v>
      </c>
      <c r="H1636" s="134"/>
      <c r="J1636" s="143" t="s">
        <v>5412</v>
      </c>
      <c r="K1636" s="144" t="s">
        <v>5420</v>
      </c>
      <c r="L1636" s="144" t="s">
        <v>5421</v>
      </c>
      <c r="M1636" s="144" t="s">
        <v>5413</v>
      </c>
      <c r="N1636" s="144" t="s">
        <v>5405</v>
      </c>
      <c r="O1636" s="145" t="s">
        <v>868</v>
      </c>
      <c r="P1636" s="134"/>
    </row>
    <row r="1637" spans="2:16" s="140" customFormat="1" x14ac:dyDescent="0.25">
      <c r="B1637" s="194" t="s">
        <v>5650</v>
      </c>
      <c r="C1637" s="345">
        <v>70000</v>
      </c>
      <c r="D1637" s="345">
        <f>+C1637*0.85</f>
        <v>59500</v>
      </c>
      <c r="E1637" s="353">
        <f>+C1637+D1637</f>
        <v>129500</v>
      </c>
      <c r="F1637" s="202">
        <v>1500</v>
      </c>
      <c r="G1637" s="351">
        <f>+E1637/F1637</f>
        <v>86.333333333333329</v>
      </c>
      <c r="H1637" s="134"/>
      <c r="J1637" s="194" t="s">
        <v>5650</v>
      </c>
      <c r="K1637" s="345">
        <v>70000</v>
      </c>
      <c r="L1637" s="345">
        <f>+K1637*0.85</f>
        <v>59500</v>
      </c>
      <c r="M1637" s="353">
        <f>+K1637+L1637</f>
        <v>129500</v>
      </c>
      <c r="N1637" s="202">
        <v>900</v>
      </c>
      <c r="O1637" s="351">
        <f>+M1637/N1637</f>
        <v>143.88888888888889</v>
      </c>
      <c r="P1637" s="134"/>
    </row>
    <row r="1638" spans="2:16" s="140" customFormat="1" x14ac:dyDescent="0.25">
      <c r="B1638" s="194" t="s">
        <v>5651</v>
      </c>
      <c r="C1638" s="345">
        <v>40000</v>
      </c>
      <c r="D1638" s="345">
        <f>+C1638*0.85</f>
        <v>34000</v>
      </c>
      <c r="E1638" s="353">
        <f>+C1638+D1638</f>
        <v>74000</v>
      </c>
      <c r="F1638" s="204">
        <v>800</v>
      </c>
      <c r="G1638" s="351">
        <f>+E1638/F1638</f>
        <v>92.5</v>
      </c>
      <c r="H1638" s="134"/>
      <c r="J1638" s="194" t="s">
        <v>5651</v>
      </c>
      <c r="K1638" s="345">
        <v>40000</v>
      </c>
      <c r="L1638" s="345">
        <f>+K1638*0.85</f>
        <v>34000</v>
      </c>
      <c r="M1638" s="353">
        <f>+K1638+L1638</f>
        <v>74000</v>
      </c>
      <c r="N1638" s="204">
        <v>300</v>
      </c>
      <c r="O1638" s="351">
        <f>+M1638/N1638</f>
        <v>246.66666666666666</v>
      </c>
      <c r="P1638" s="134"/>
    </row>
    <row r="1639" spans="2:16" s="140" customFormat="1" x14ac:dyDescent="0.25">
      <c r="B1639" s="195" t="s">
        <v>5635</v>
      </c>
      <c r="C1639" s="345">
        <v>20600</v>
      </c>
      <c r="D1639" s="345">
        <f>+C1639*0.85</f>
        <v>17510</v>
      </c>
      <c r="E1639" s="353">
        <f>+C1639+D1639</f>
        <v>38110</v>
      </c>
      <c r="F1639" s="205">
        <v>30</v>
      </c>
      <c r="G1639" s="351">
        <f>+E1639/F1639</f>
        <v>1270.3333333333333</v>
      </c>
      <c r="H1639" s="134"/>
      <c r="J1639" s="195" t="s">
        <v>5635</v>
      </c>
      <c r="K1639" s="345">
        <v>20600</v>
      </c>
      <c r="L1639" s="345">
        <f>+K1639*0.85</f>
        <v>17510</v>
      </c>
      <c r="M1639" s="353">
        <f>+K1639+L1639</f>
        <v>38110</v>
      </c>
      <c r="N1639" s="205">
        <v>30</v>
      </c>
      <c r="O1639" s="351">
        <f>+M1639/N1639</f>
        <v>1270.3333333333333</v>
      </c>
      <c r="P1639" s="134"/>
    </row>
    <row r="1640" spans="2:16" s="140" customFormat="1" x14ac:dyDescent="0.25">
      <c r="B1640" s="155"/>
      <c r="C1640" s="152"/>
      <c r="D1640" s="152"/>
      <c r="E1640" s="152"/>
      <c r="F1640" s="151"/>
      <c r="G1640" s="156"/>
      <c r="H1640" s="134"/>
      <c r="J1640" s="155"/>
      <c r="K1640" s="152"/>
      <c r="L1640" s="152"/>
      <c r="M1640" s="152"/>
      <c r="N1640" s="151"/>
      <c r="O1640" s="156"/>
      <c r="P1640" s="134"/>
    </row>
    <row r="1641" spans="2:16" s="140" customFormat="1" x14ac:dyDescent="0.25">
      <c r="B1641" s="155"/>
      <c r="C1641" s="152"/>
      <c r="D1641" s="152"/>
      <c r="E1641" s="152"/>
      <c r="F1641" s="151"/>
      <c r="G1641" s="156"/>
      <c r="H1641" s="134"/>
      <c r="J1641" s="155"/>
      <c r="K1641" s="152"/>
      <c r="L1641" s="152"/>
      <c r="M1641" s="152"/>
      <c r="N1641" s="151"/>
      <c r="O1641" s="156"/>
      <c r="P1641" s="134"/>
    </row>
    <row r="1642" spans="2:16" s="140" customFormat="1" ht="13.5" thickBot="1" x14ac:dyDescent="0.3">
      <c r="B1642" s="155"/>
      <c r="C1642" s="152"/>
      <c r="D1642" s="152"/>
      <c r="E1642" s="152"/>
      <c r="F1642" s="151"/>
      <c r="G1642" s="156"/>
      <c r="H1642" s="134"/>
      <c r="J1642" s="155"/>
      <c r="K1642" s="152"/>
      <c r="L1642" s="152"/>
      <c r="M1642" s="152"/>
      <c r="N1642" s="151"/>
      <c r="O1642" s="156"/>
      <c r="P1642" s="134"/>
    </row>
    <row r="1643" spans="2:16" s="140" customFormat="1" ht="13.5" thickBot="1" x14ac:dyDescent="0.3">
      <c r="B1643" s="179"/>
      <c r="C1643" s="180"/>
      <c r="D1643" s="180"/>
      <c r="E1643" s="180"/>
      <c r="F1643" s="181"/>
      <c r="G1643" s="182"/>
      <c r="H1643" s="161">
        <f>+SUM(G1637:G1643)</f>
        <v>1449.1666666666665</v>
      </c>
      <c r="J1643" s="179"/>
      <c r="K1643" s="180"/>
      <c r="L1643" s="180"/>
      <c r="M1643" s="180"/>
      <c r="N1643" s="181"/>
      <c r="O1643" s="182"/>
      <c r="P1643" s="161">
        <f>+SUM(O1637:O1643)</f>
        <v>1660.8888888888887</v>
      </c>
    </row>
    <row r="1644" spans="2:16" s="140" customFormat="1" ht="13.5" thickBot="1" x14ac:dyDescent="0.3">
      <c r="F1644" s="141"/>
      <c r="G1644" s="134"/>
      <c r="H1644" s="134"/>
      <c r="N1644" s="141"/>
      <c r="O1644" s="134"/>
      <c r="P1644" s="134"/>
    </row>
    <row r="1645" spans="2:16" s="140" customFormat="1" ht="13.5" thickBot="1" x14ac:dyDescent="0.3">
      <c r="E1645" s="183" t="s">
        <v>5415</v>
      </c>
      <c r="F1645" s="141"/>
      <c r="G1645" s="134"/>
      <c r="H1645" s="161">
        <f>ROUND(+H1610+H1625+H1634+H1643,0)</f>
        <v>14094</v>
      </c>
      <c r="M1645" s="183" t="s">
        <v>5415</v>
      </c>
      <c r="N1645" s="141"/>
      <c r="O1645" s="134"/>
      <c r="P1645" s="161">
        <f>ROUND(+P1610+P1625+P1634+P1643,0)</f>
        <v>7827</v>
      </c>
    </row>
    <row r="1646" spans="2:16" x14ac:dyDescent="0.25">
      <c r="N1646" s="133"/>
    </row>
    <row r="1647" spans="2:16" x14ac:dyDescent="0.25">
      <c r="H1647" s="341"/>
      <c r="N1647" s="133"/>
      <c r="P1647" s="341"/>
    </row>
    <row r="1648" spans="2:16" ht="12.75" customHeight="1" x14ac:dyDescent="0.25">
      <c r="N1648" s="133"/>
    </row>
    <row r="1649" spans="1:14" x14ac:dyDescent="0.25">
      <c r="N1649" s="133"/>
    </row>
    <row r="1650" spans="1:14" ht="18.75" x14ac:dyDescent="0.25">
      <c r="A1650" s="133"/>
      <c r="B1650" s="2506" t="s">
        <v>5400</v>
      </c>
      <c r="C1650" s="2506"/>
      <c r="D1650" s="2506"/>
      <c r="E1650" s="2506"/>
      <c r="F1650" s="2506"/>
      <c r="G1650" s="2506"/>
    </row>
    <row r="1651" spans="1:14" x14ac:dyDescent="0.25">
      <c r="A1651" s="133"/>
      <c r="G1651" s="134"/>
    </row>
    <row r="1652" spans="1:14" x14ac:dyDescent="0.25">
      <c r="A1652" s="133"/>
      <c r="G1652" s="134"/>
    </row>
    <row r="1653" spans="1:14" x14ac:dyDescent="0.25">
      <c r="A1653" s="133"/>
      <c r="G1653" s="134"/>
    </row>
    <row r="1654" spans="1:14" x14ac:dyDescent="0.25">
      <c r="A1654" s="138" t="s">
        <v>3</v>
      </c>
      <c r="B1654" s="138" t="s">
        <v>105</v>
      </c>
      <c r="C1654" s="2450" t="s">
        <v>6272</v>
      </c>
      <c r="D1654" s="2450"/>
      <c r="E1654" s="2450"/>
      <c r="F1654" s="138" t="s">
        <v>867</v>
      </c>
      <c r="G1654" s="139" t="s">
        <v>5454</v>
      </c>
      <c r="H1654" s="134"/>
    </row>
    <row r="1655" spans="1:14" ht="12.75" customHeight="1" x14ac:dyDescent="0.25">
      <c r="A1655" s="141"/>
      <c r="B1655" s="140"/>
      <c r="C1655" s="140"/>
      <c r="D1655" s="140"/>
      <c r="E1655" s="140"/>
      <c r="F1655" s="141"/>
      <c r="G1655" s="134"/>
      <c r="H1655" s="134"/>
    </row>
    <row r="1656" spans="1:14" ht="12.75" customHeight="1" x14ac:dyDescent="0.25">
      <c r="A1656" s="141"/>
      <c r="B1656" s="140"/>
      <c r="C1656" s="140"/>
      <c r="D1656" s="140"/>
      <c r="E1656" s="140"/>
      <c r="F1656" s="141"/>
      <c r="G1656" s="142"/>
      <c r="H1656" s="134"/>
    </row>
    <row r="1657" spans="1:14" ht="13.5" thickBot="1" x14ac:dyDescent="0.3">
      <c r="A1657" s="141"/>
      <c r="B1657" s="140"/>
      <c r="C1657" s="140"/>
      <c r="D1657" s="140"/>
      <c r="E1657" s="140"/>
      <c r="F1657" s="141"/>
      <c r="G1657" s="134"/>
      <c r="H1657" s="134"/>
    </row>
    <row r="1658" spans="1:14" ht="13.5" thickBot="1" x14ac:dyDescent="0.3">
      <c r="A1658" s="141"/>
      <c r="B1658" s="143" t="s">
        <v>5403</v>
      </c>
      <c r="C1658" s="144" t="s">
        <v>867</v>
      </c>
      <c r="D1658" s="144" t="s">
        <v>6</v>
      </c>
      <c r="E1658" s="144" t="s">
        <v>5404</v>
      </c>
      <c r="F1658" s="144" t="s">
        <v>5405</v>
      </c>
      <c r="G1658" s="145" t="s">
        <v>868</v>
      </c>
      <c r="H1658" s="134"/>
    </row>
    <row r="1659" spans="1:14" x14ac:dyDescent="0.25">
      <c r="A1659" s="141"/>
      <c r="B1659" s="146" t="s">
        <v>5440</v>
      </c>
      <c r="C1659" s="147" t="s">
        <v>5406</v>
      </c>
      <c r="D1659" s="167"/>
      <c r="E1659" s="148">
        <f>+H1698</f>
        <v>1018.1166666666668</v>
      </c>
      <c r="F1659" s="167">
        <v>0.1</v>
      </c>
      <c r="G1659" s="360">
        <f>+E1659*F1659</f>
        <v>101.81166666666668</v>
      </c>
      <c r="H1659" s="134"/>
    </row>
    <row r="1660" spans="1:14" x14ac:dyDescent="0.25">
      <c r="A1660" s="141"/>
      <c r="B1660" s="150" t="s">
        <v>5646</v>
      </c>
      <c r="C1660" s="151" t="s">
        <v>5424</v>
      </c>
      <c r="D1660" s="197">
        <v>1</v>
      </c>
      <c r="E1660" s="366">
        <v>150000</v>
      </c>
      <c r="F1660" s="212">
        <v>10</v>
      </c>
      <c r="G1660" s="360">
        <f>+E1660/F1660</f>
        <v>15000</v>
      </c>
      <c r="H1660" s="134"/>
    </row>
    <row r="1661" spans="1:14" x14ac:dyDescent="0.25">
      <c r="A1661" s="141"/>
      <c r="B1661" s="150" t="s">
        <v>6269</v>
      </c>
      <c r="C1661" s="151" t="s">
        <v>5414</v>
      </c>
      <c r="D1661" s="151"/>
      <c r="E1661" s="366">
        <v>40000</v>
      </c>
      <c r="F1661" s="212">
        <v>100</v>
      </c>
      <c r="G1661" s="360">
        <f>+E1661/F1661</f>
        <v>400</v>
      </c>
      <c r="H1661" s="134"/>
    </row>
    <row r="1662" spans="1:14" x14ac:dyDescent="0.25">
      <c r="A1662" s="141"/>
      <c r="B1662" s="155"/>
      <c r="C1662" s="151"/>
      <c r="D1662" s="152"/>
      <c r="E1662" s="152"/>
      <c r="F1662" s="151"/>
      <c r="G1662" s="156"/>
      <c r="H1662" s="134"/>
    </row>
    <row r="1663" spans="1:14" x14ac:dyDescent="0.25">
      <c r="A1663" s="141"/>
      <c r="B1663" s="155"/>
      <c r="C1663" s="151"/>
      <c r="D1663" s="152"/>
      <c r="E1663" s="152"/>
      <c r="F1663" s="151"/>
      <c r="G1663" s="156"/>
      <c r="H1663" s="134"/>
    </row>
    <row r="1664" spans="1:14" ht="13.5" thickBot="1" x14ac:dyDescent="0.3">
      <c r="A1664" s="141"/>
      <c r="B1664" s="155"/>
      <c r="C1664" s="151"/>
      <c r="D1664" s="152"/>
      <c r="E1664" s="152"/>
      <c r="F1664" s="151"/>
      <c r="G1664" s="156"/>
      <c r="H1664" s="134"/>
    </row>
    <row r="1665" spans="1:8" ht="13.5" thickBot="1" x14ac:dyDescent="0.3">
      <c r="A1665" s="141"/>
      <c r="B1665" s="157"/>
      <c r="C1665" s="158"/>
      <c r="D1665" s="159"/>
      <c r="E1665" s="159"/>
      <c r="F1665" s="158"/>
      <c r="G1665" s="160"/>
      <c r="H1665" s="161">
        <f>+SUM(G1659:G1665)</f>
        <v>15501.811666666666</v>
      </c>
    </row>
    <row r="1666" spans="1:8" ht="13.5" thickBot="1" x14ac:dyDescent="0.3">
      <c r="A1666" s="141"/>
      <c r="B1666" s="162"/>
      <c r="C1666" s="163"/>
      <c r="D1666" s="162"/>
      <c r="E1666" s="162"/>
      <c r="F1666" s="163"/>
      <c r="G1666" s="164"/>
      <c r="H1666" s="165"/>
    </row>
    <row r="1667" spans="1:8" ht="13.5" thickBot="1" x14ac:dyDescent="0.3">
      <c r="A1667" s="140"/>
      <c r="B1667" s="143" t="s">
        <v>5408</v>
      </c>
      <c r="C1667" s="144" t="s">
        <v>867</v>
      </c>
      <c r="D1667" s="144" t="s">
        <v>6</v>
      </c>
      <c r="E1667" s="144" t="s">
        <v>870</v>
      </c>
      <c r="F1667" s="144" t="s">
        <v>5409</v>
      </c>
      <c r="G1667" s="145" t="s">
        <v>868</v>
      </c>
      <c r="H1667" s="134"/>
    </row>
    <row r="1668" spans="1:8" x14ac:dyDescent="0.25">
      <c r="A1668" s="140"/>
      <c r="B1668" s="201"/>
      <c r="C1668" s="147"/>
      <c r="D1668" s="167"/>
      <c r="E1668" s="148"/>
      <c r="F1668" s="169"/>
      <c r="G1668" s="367">
        <f>+D1668*E1668*(1+F1668)</f>
        <v>0</v>
      </c>
      <c r="H1668" s="134"/>
    </row>
    <row r="1669" spans="1:8" x14ac:dyDescent="0.25">
      <c r="A1669" s="140"/>
      <c r="B1669" s="196"/>
      <c r="C1669" s="151"/>
      <c r="D1669" s="151"/>
      <c r="E1669" s="148"/>
      <c r="F1669" s="169"/>
      <c r="G1669" s="354"/>
      <c r="H1669" s="134"/>
    </row>
    <row r="1670" spans="1:8" x14ac:dyDescent="0.25">
      <c r="A1670" s="140"/>
      <c r="B1670" s="196"/>
      <c r="C1670" s="151"/>
      <c r="D1670" s="151"/>
      <c r="E1670" s="148"/>
      <c r="F1670" s="169"/>
      <c r="G1670" s="367"/>
      <c r="H1670" s="134"/>
    </row>
    <row r="1671" spans="1:8" x14ac:dyDescent="0.25">
      <c r="A1671" s="140"/>
      <c r="B1671" s="155"/>
      <c r="C1671" s="151"/>
      <c r="D1671" s="151"/>
      <c r="E1671" s="148"/>
      <c r="F1671" s="151"/>
      <c r="G1671" s="367"/>
      <c r="H1671" s="134"/>
    </row>
    <row r="1672" spans="1:8" x14ac:dyDescent="0.25">
      <c r="A1672" s="140"/>
      <c r="B1672" s="155"/>
      <c r="C1672" s="151"/>
      <c r="D1672" s="151"/>
      <c r="E1672" s="148"/>
      <c r="F1672" s="151"/>
      <c r="G1672" s="367"/>
      <c r="H1672" s="134"/>
    </row>
    <row r="1673" spans="1:8" x14ac:dyDescent="0.25">
      <c r="A1673" s="140"/>
      <c r="B1673" s="155"/>
      <c r="C1673" s="151"/>
      <c r="D1673" s="151"/>
      <c r="E1673" s="148"/>
      <c r="F1673" s="151"/>
      <c r="G1673" s="367"/>
      <c r="H1673" s="134"/>
    </row>
    <row r="1674" spans="1:8" x14ac:dyDescent="0.25">
      <c r="A1674" s="140"/>
      <c r="B1674" s="155"/>
      <c r="C1674" s="151"/>
      <c r="D1674" s="151"/>
      <c r="E1674" s="148"/>
      <c r="F1674" s="151"/>
      <c r="G1674" s="367"/>
      <c r="H1674" s="134"/>
    </row>
    <row r="1675" spans="1:8" x14ac:dyDescent="0.25">
      <c r="A1675" s="140"/>
      <c r="B1675" s="155"/>
      <c r="C1675" s="151"/>
      <c r="D1675" s="151"/>
      <c r="E1675" s="148"/>
      <c r="F1675" s="151"/>
      <c r="G1675" s="367"/>
      <c r="H1675" s="134"/>
    </row>
    <row r="1676" spans="1:8" x14ac:dyDescent="0.25">
      <c r="A1676" s="140"/>
      <c r="B1676" s="155"/>
      <c r="C1676" s="151"/>
      <c r="D1676" s="151"/>
      <c r="E1676" s="148"/>
      <c r="F1676" s="151"/>
      <c r="G1676" s="367"/>
      <c r="H1676" s="134"/>
    </row>
    <row r="1677" spans="1:8" x14ac:dyDescent="0.25">
      <c r="A1677" s="140"/>
      <c r="B1677" s="155"/>
      <c r="C1677" s="151"/>
      <c r="D1677" s="151"/>
      <c r="E1677" s="148"/>
      <c r="F1677" s="151"/>
      <c r="G1677" s="367"/>
      <c r="H1677" s="134"/>
    </row>
    <row r="1678" spans="1:8" x14ac:dyDescent="0.25">
      <c r="A1678" s="140"/>
      <c r="B1678" s="155"/>
      <c r="C1678" s="152"/>
      <c r="D1678" s="152"/>
      <c r="E1678" s="152"/>
      <c r="F1678" s="151"/>
      <c r="G1678" s="156"/>
      <c r="H1678" s="134"/>
    </row>
    <row r="1679" spans="1:8" ht="13.5" thickBot="1" x14ac:dyDescent="0.3">
      <c r="A1679" s="140"/>
      <c r="B1679" s="155"/>
      <c r="C1679" s="152"/>
      <c r="D1679" s="152"/>
      <c r="E1679" s="152"/>
      <c r="F1679" s="151"/>
      <c r="G1679" s="156"/>
      <c r="H1679" s="134"/>
    </row>
    <row r="1680" spans="1:8" ht="13.5" thickBot="1" x14ac:dyDescent="0.3">
      <c r="A1680" s="140"/>
      <c r="B1680" s="157"/>
      <c r="C1680" s="159"/>
      <c r="D1680" s="159"/>
      <c r="E1680" s="159"/>
      <c r="F1680" s="158"/>
      <c r="G1680" s="160"/>
      <c r="H1680" s="161">
        <f>+SUM(G1668:G1680)</f>
        <v>0</v>
      </c>
    </row>
    <row r="1681" spans="1:8" ht="13.5" thickBot="1" x14ac:dyDescent="0.3">
      <c r="A1681" s="140"/>
      <c r="B1681" s="162"/>
      <c r="C1681" s="162"/>
      <c r="D1681" s="162"/>
      <c r="E1681" s="162"/>
      <c r="F1681" s="163"/>
      <c r="G1681" s="164"/>
      <c r="H1681" s="165"/>
    </row>
    <row r="1682" spans="1:8" ht="13.5" thickBot="1" x14ac:dyDescent="0.3">
      <c r="A1682" s="140"/>
      <c r="B1682" s="143" t="s">
        <v>5410</v>
      </c>
      <c r="C1682" s="144" t="s">
        <v>867</v>
      </c>
      <c r="D1682" s="144" t="s">
        <v>6</v>
      </c>
      <c r="E1682" s="144" t="s">
        <v>870</v>
      </c>
      <c r="F1682" s="144" t="s">
        <v>5411</v>
      </c>
      <c r="G1682" s="145" t="s">
        <v>868</v>
      </c>
      <c r="H1682" s="134"/>
    </row>
    <row r="1683" spans="1:8" x14ac:dyDescent="0.25">
      <c r="A1683" s="140"/>
      <c r="B1683" s="201"/>
      <c r="C1683" s="147"/>
      <c r="D1683" s="167"/>
      <c r="E1683" s="148"/>
      <c r="F1683" s="169"/>
      <c r="G1683" s="367">
        <f>+D1683*E1683*(1+F1683)</f>
        <v>0</v>
      </c>
      <c r="H1683" s="134"/>
    </row>
    <row r="1684" spans="1:8" x14ac:dyDescent="0.25">
      <c r="A1684" s="140"/>
      <c r="B1684" s="196"/>
      <c r="C1684" s="151"/>
      <c r="D1684" s="151"/>
      <c r="E1684" s="148"/>
      <c r="F1684" s="147"/>
      <c r="G1684" s="367"/>
      <c r="H1684" s="134"/>
    </row>
    <row r="1685" spans="1:8" x14ac:dyDescent="0.25">
      <c r="A1685" s="140"/>
      <c r="B1685" s="196"/>
      <c r="C1685" s="151"/>
      <c r="D1685" s="151"/>
      <c r="E1685" s="148"/>
      <c r="F1685" s="151"/>
      <c r="G1685" s="367"/>
      <c r="H1685" s="134"/>
    </row>
    <row r="1686" spans="1:8" x14ac:dyDescent="0.25">
      <c r="A1686" s="140"/>
      <c r="B1686" s="155"/>
      <c r="C1686" s="151"/>
      <c r="D1686" s="151"/>
      <c r="E1686" s="148"/>
      <c r="F1686" s="151"/>
      <c r="G1686" s="367"/>
      <c r="H1686" s="134"/>
    </row>
    <row r="1687" spans="1:8" x14ac:dyDescent="0.25">
      <c r="A1687" s="140"/>
      <c r="B1687" s="155"/>
      <c r="C1687" s="151"/>
      <c r="D1687" s="151"/>
      <c r="E1687" s="148"/>
      <c r="F1687" s="151"/>
      <c r="G1687" s="367"/>
      <c r="H1687" s="134"/>
    </row>
    <row r="1688" spans="1:8" ht="13.5" thickBot="1" x14ac:dyDescent="0.3">
      <c r="A1688" s="140"/>
      <c r="B1688" s="155"/>
      <c r="C1688" s="151"/>
      <c r="D1688" s="151"/>
      <c r="E1688" s="148"/>
      <c r="F1688" s="151"/>
      <c r="G1688" s="367"/>
      <c r="H1688" s="134"/>
    </row>
    <row r="1689" spans="1:8" ht="13.5" thickBot="1" x14ac:dyDescent="0.3">
      <c r="A1689" s="140"/>
      <c r="B1689" s="157"/>
      <c r="C1689" s="159"/>
      <c r="D1689" s="159"/>
      <c r="E1689" s="159"/>
      <c r="F1689" s="158"/>
      <c r="G1689" s="160"/>
      <c r="H1689" s="161">
        <f>+SUM(G1683:G1689)</f>
        <v>0</v>
      </c>
    </row>
    <row r="1690" spans="1:8" ht="13.5" thickBot="1" x14ac:dyDescent="0.3">
      <c r="A1690" s="140"/>
      <c r="B1690" s="162"/>
      <c r="C1690" s="162"/>
      <c r="D1690" s="162"/>
      <c r="E1690" s="162"/>
      <c r="F1690" s="173"/>
      <c r="G1690" s="174"/>
      <c r="H1690" s="165"/>
    </row>
    <row r="1691" spans="1:8" ht="13.5" thickBot="1" x14ac:dyDescent="0.3">
      <c r="A1691" s="140"/>
      <c r="B1691" s="143" t="s">
        <v>5412</v>
      </c>
      <c r="C1691" s="144" t="s">
        <v>5420</v>
      </c>
      <c r="D1691" s="144" t="s">
        <v>5421</v>
      </c>
      <c r="E1691" s="144" t="s">
        <v>5413</v>
      </c>
      <c r="F1691" s="144" t="s">
        <v>5405</v>
      </c>
      <c r="G1691" s="145" t="s">
        <v>868</v>
      </c>
      <c r="H1691" s="134"/>
    </row>
    <row r="1692" spans="1:8" x14ac:dyDescent="0.25">
      <c r="A1692" s="140"/>
      <c r="B1692" s="194" t="s">
        <v>5650</v>
      </c>
      <c r="C1692" s="345">
        <v>70000</v>
      </c>
      <c r="D1692" s="345">
        <f>+C1692*0.85</f>
        <v>59500</v>
      </c>
      <c r="E1692" s="353">
        <f>+C1692+D1692</f>
        <v>129500</v>
      </c>
      <c r="F1692" s="202">
        <v>1200</v>
      </c>
      <c r="G1692" s="351">
        <f>+E1692/F1692</f>
        <v>107.91666666666667</v>
      </c>
      <c r="H1692" s="134"/>
    </row>
    <row r="1693" spans="1:8" x14ac:dyDescent="0.25">
      <c r="A1693" s="140"/>
      <c r="B1693" s="194" t="s">
        <v>5651</v>
      </c>
      <c r="C1693" s="345">
        <v>40000</v>
      </c>
      <c r="D1693" s="345">
        <f>+C1693*0.85</f>
        <v>34000</v>
      </c>
      <c r="E1693" s="353">
        <f>+C1693+D1693</f>
        <v>74000</v>
      </c>
      <c r="F1693" s="204">
        <v>500</v>
      </c>
      <c r="G1693" s="351">
        <f>+E1693/F1693</f>
        <v>148</v>
      </c>
      <c r="H1693" s="134"/>
    </row>
    <row r="1694" spans="1:8" x14ac:dyDescent="0.25">
      <c r="A1694" s="140"/>
      <c r="B1694" s="195" t="s">
        <v>5635</v>
      </c>
      <c r="C1694" s="345">
        <v>20600</v>
      </c>
      <c r="D1694" s="345">
        <f>+C1694*0.85</f>
        <v>17510</v>
      </c>
      <c r="E1694" s="353">
        <f>+C1694+D1694</f>
        <v>38110</v>
      </c>
      <c r="F1694" s="205">
        <v>50</v>
      </c>
      <c r="G1694" s="351">
        <f>+E1694/F1694</f>
        <v>762.2</v>
      </c>
      <c r="H1694" s="134"/>
    </row>
    <row r="1695" spans="1:8" x14ac:dyDescent="0.25">
      <c r="A1695" s="140"/>
      <c r="B1695" s="155"/>
      <c r="C1695" s="152"/>
      <c r="D1695" s="152"/>
      <c r="E1695" s="152"/>
      <c r="F1695" s="151"/>
      <c r="G1695" s="156"/>
      <c r="H1695" s="134"/>
    </row>
    <row r="1696" spans="1:8" x14ac:dyDescent="0.25">
      <c r="A1696" s="140"/>
      <c r="B1696" s="155"/>
      <c r="C1696" s="152"/>
      <c r="D1696" s="152"/>
      <c r="E1696" s="152"/>
      <c r="F1696" s="151"/>
      <c r="G1696" s="156"/>
      <c r="H1696" s="134"/>
    </row>
    <row r="1697" spans="1:8" ht="13.5" thickBot="1" x14ac:dyDescent="0.3">
      <c r="A1697" s="140"/>
      <c r="B1697" s="155"/>
      <c r="C1697" s="152"/>
      <c r="D1697" s="152"/>
      <c r="E1697" s="152"/>
      <c r="F1697" s="151"/>
      <c r="G1697" s="156"/>
      <c r="H1697" s="134"/>
    </row>
    <row r="1698" spans="1:8" ht="13.5" thickBot="1" x14ac:dyDescent="0.3">
      <c r="A1698" s="140"/>
      <c r="B1698" s="179"/>
      <c r="C1698" s="180"/>
      <c r="D1698" s="180"/>
      <c r="E1698" s="180"/>
      <c r="F1698" s="181"/>
      <c r="G1698" s="182"/>
      <c r="H1698" s="161">
        <f>+SUM(G1692:G1698)</f>
        <v>1018.1166666666668</v>
      </c>
    </row>
    <row r="1699" spans="1:8" ht="13.5" thickBot="1" x14ac:dyDescent="0.3">
      <c r="A1699" s="140"/>
      <c r="B1699" s="140"/>
      <c r="C1699" s="140"/>
      <c r="D1699" s="140"/>
      <c r="E1699" s="140"/>
      <c r="F1699" s="141"/>
      <c r="G1699" s="134"/>
      <c r="H1699" s="134"/>
    </row>
    <row r="1700" spans="1:8" ht="13.5" thickBot="1" x14ac:dyDescent="0.3">
      <c r="A1700" s="140"/>
      <c r="B1700" s="140"/>
      <c r="C1700" s="140"/>
      <c r="D1700" s="140"/>
      <c r="E1700" s="183" t="s">
        <v>5415</v>
      </c>
      <c r="F1700" s="141"/>
      <c r="G1700" s="134"/>
      <c r="H1700" s="161">
        <f>ROUND(+H1665+H1680+H1689+H1698,0)</f>
        <v>16520</v>
      </c>
    </row>
    <row r="1705" spans="1:8" ht="18.75" x14ac:dyDescent="0.25">
      <c r="A1705" s="133"/>
      <c r="B1705" s="2506" t="s">
        <v>5400</v>
      </c>
      <c r="C1705" s="2506"/>
      <c r="D1705" s="2506"/>
      <c r="E1705" s="2506"/>
      <c r="F1705" s="2506"/>
      <c r="G1705" s="2506"/>
    </row>
    <row r="1706" spans="1:8" x14ac:dyDescent="0.25">
      <c r="A1706" s="133"/>
      <c r="G1706" s="134"/>
    </row>
    <row r="1707" spans="1:8" x14ac:dyDescent="0.25">
      <c r="A1707" s="133"/>
      <c r="G1707" s="134"/>
    </row>
    <row r="1708" spans="1:8" x14ac:dyDescent="0.25">
      <c r="A1708" s="133"/>
      <c r="G1708" s="134"/>
    </row>
    <row r="1709" spans="1:8" s="140" customFormat="1" x14ac:dyDescent="0.25">
      <c r="A1709" s="138" t="s">
        <v>3</v>
      </c>
      <c r="B1709" s="138" t="s">
        <v>117</v>
      </c>
      <c r="C1709" s="2450" t="s">
        <v>5459</v>
      </c>
      <c r="D1709" s="2450"/>
      <c r="E1709" s="2450"/>
      <c r="F1709" s="138" t="s">
        <v>867</v>
      </c>
      <c r="G1709" s="139" t="s">
        <v>5454</v>
      </c>
      <c r="H1709" s="134"/>
    </row>
    <row r="1710" spans="1:8" s="140" customFormat="1" ht="24.95" customHeight="1" x14ac:dyDescent="0.25">
      <c r="A1710" s="141"/>
      <c r="F1710" s="141"/>
      <c r="G1710" s="134"/>
      <c r="H1710" s="134"/>
    </row>
    <row r="1711" spans="1:8" s="140" customFormat="1" ht="12.75" customHeight="1" x14ac:dyDescent="0.25">
      <c r="A1711" s="141"/>
      <c r="F1711" s="141"/>
      <c r="G1711" s="142"/>
      <c r="H1711" s="134"/>
    </row>
    <row r="1712" spans="1:8" s="140" customFormat="1" ht="13.5" thickBot="1" x14ac:dyDescent="0.3">
      <c r="A1712" s="141"/>
      <c r="F1712" s="141"/>
      <c r="G1712" s="134"/>
      <c r="H1712" s="134"/>
    </row>
    <row r="1713" spans="1:11" s="140" customFormat="1" ht="13.5" thickBot="1" x14ac:dyDescent="0.3">
      <c r="A1713" s="141"/>
      <c r="B1713" s="143" t="s">
        <v>5403</v>
      </c>
      <c r="C1713" s="144" t="s">
        <v>867</v>
      </c>
      <c r="D1713" s="144" t="s">
        <v>6</v>
      </c>
      <c r="E1713" s="144" t="s">
        <v>5404</v>
      </c>
      <c r="F1713" s="144" t="s">
        <v>5405</v>
      </c>
      <c r="G1713" s="145" t="s">
        <v>868</v>
      </c>
      <c r="H1713" s="134"/>
    </row>
    <row r="1714" spans="1:11" s="140" customFormat="1" x14ac:dyDescent="0.25">
      <c r="A1714" s="141"/>
      <c r="B1714" s="146" t="s">
        <v>5440</v>
      </c>
      <c r="C1714" s="147" t="s">
        <v>5406</v>
      </c>
      <c r="D1714" s="167"/>
      <c r="E1714" s="148">
        <f>+H1753</f>
        <v>30481.833333333336</v>
      </c>
      <c r="F1714" s="167">
        <v>0.2</v>
      </c>
      <c r="G1714" s="360">
        <f>+E1714*F1714</f>
        <v>6096.3666666666677</v>
      </c>
      <c r="H1714" s="134"/>
    </row>
    <row r="1715" spans="1:11" s="140" customFormat="1" x14ac:dyDescent="0.25">
      <c r="A1715" s="141"/>
      <c r="B1715" s="299" t="s">
        <v>5646</v>
      </c>
      <c r="C1715" s="151" t="s">
        <v>5424</v>
      </c>
      <c r="D1715" s="197">
        <v>1</v>
      </c>
      <c r="E1715" s="366">
        <v>150000</v>
      </c>
      <c r="F1715" s="197">
        <v>4</v>
      </c>
      <c r="G1715" s="360">
        <f>+E1715/F1715</f>
        <v>37500</v>
      </c>
      <c r="H1715" s="134"/>
    </row>
    <row r="1716" spans="1:11" s="140" customFormat="1" x14ac:dyDescent="0.25">
      <c r="A1716" s="141"/>
      <c r="B1716" s="154" t="s">
        <v>5647</v>
      </c>
      <c r="C1716" s="151" t="s">
        <v>5424</v>
      </c>
      <c r="D1716" s="197">
        <v>1</v>
      </c>
      <c r="E1716" s="366">
        <v>65000</v>
      </c>
      <c r="F1716" s="197">
        <v>4</v>
      </c>
      <c r="G1716" s="360">
        <f>+E1716/F1716</f>
        <v>16250</v>
      </c>
      <c r="H1716" s="134"/>
    </row>
    <row r="1717" spans="1:11" s="140" customFormat="1" x14ac:dyDescent="0.25">
      <c r="A1717" s="141"/>
      <c r="B1717" s="155"/>
      <c r="C1717" s="151"/>
      <c r="D1717" s="152"/>
      <c r="E1717" s="152"/>
      <c r="F1717" s="151"/>
      <c r="G1717" s="156"/>
      <c r="H1717" s="134"/>
    </row>
    <row r="1718" spans="1:11" s="140" customFormat="1" x14ac:dyDescent="0.25">
      <c r="A1718" s="141"/>
      <c r="B1718" s="155"/>
      <c r="C1718" s="151"/>
      <c r="D1718" s="152"/>
      <c r="E1718" s="152"/>
      <c r="F1718" s="151"/>
      <c r="G1718" s="156"/>
      <c r="H1718" s="134"/>
    </row>
    <row r="1719" spans="1:11" s="140" customFormat="1" ht="13.5" thickBot="1" x14ac:dyDescent="0.3">
      <c r="A1719" s="141"/>
      <c r="B1719" s="155"/>
      <c r="C1719" s="151"/>
      <c r="D1719" s="152"/>
      <c r="E1719" s="152"/>
      <c r="F1719" s="151"/>
      <c r="G1719" s="156"/>
      <c r="H1719" s="134"/>
    </row>
    <row r="1720" spans="1:11" s="140" customFormat="1" ht="13.5" thickBot="1" x14ac:dyDescent="0.3">
      <c r="A1720" s="141"/>
      <c r="B1720" s="157"/>
      <c r="C1720" s="158"/>
      <c r="D1720" s="159"/>
      <c r="E1720" s="159"/>
      <c r="F1720" s="158"/>
      <c r="G1720" s="160"/>
      <c r="H1720" s="161">
        <f>+SUM(G1714:G1720)</f>
        <v>59846.366666666669</v>
      </c>
    </row>
    <row r="1721" spans="1:11" s="140" customFormat="1" ht="13.5" thickBot="1" x14ac:dyDescent="0.3">
      <c r="A1721" s="141"/>
      <c r="B1721" s="162"/>
      <c r="C1721" s="163"/>
      <c r="D1721" s="162"/>
      <c r="E1721" s="162"/>
      <c r="F1721" s="163"/>
      <c r="G1721" s="164"/>
      <c r="H1721" s="165"/>
    </row>
    <row r="1722" spans="1:11" s="140" customFormat="1" ht="13.5" thickBot="1" x14ac:dyDescent="0.3">
      <c r="B1722" s="143" t="s">
        <v>5408</v>
      </c>
      <c r="C1722" s="144" t="s">
        <v>867</v>
      </c>
      <c r="D1722" s="144" t="s">
        <v>6</v>
      </c>
      <c r="E1722" s="144" t="s">
        <v>870</v>
      </c>
      <c r="F1722" s="144" t="s">
        <v>5409</v>
      </c>
      <c r="G1722" s="145" t="s">
        <v>868</v>
      </c>
      <c r="H1722" s="134"/>
    </row>
    <row r="1723" spans="1:11" s="140" customFormat="1" x14ac:dyDescent="0.25">
      <c r="B1723" s="166" t="s">
        <v>5731</v>
      </c>
      <c r="C1723" s="147" t="s">
        <v>5431</v>
      </c>
      <c r="D1723" s="167">
        <v>0.05</v>
      </c>
      <c r="E1723" s="148">
        <f>96756*1.16/25</f>
        <v>4489.4784</v>
      </c>
      <c r="F1723" s="169">
        <v>0.02</v>
      </c>
      <c r="G1723" s="367">
        <f>+D1723*E1723*(1+F1723)</f>
        <v>228.96339840000002</v>
      </c>
      <c r="H1723" s="134"/>
      <c r="I1723" s="140">
        <f>96756/25</f>
        <v>3870.24</v>
      </c>
      <c r="J1723" s="140">
        <v>2</v>
      </c>
      <c r="K1723" s="140">
        <f>+J1723*I1723</f>
        <v>7740.48</v>
      </c>
    </row>
    <row r="1724" spans="1:11" s="140" customFormat="1" x14ac:dyDescent="0.25">
      <c r="B1724" s="196" t="s">
        <v>5732</v>
      </c>
      <c r="C1724" s="151" t="s">
        <v>5431</v>
      </c>
      <c r="D1724" s="197">
        <v>0.05</v>
      </c>
      <c r="E1724" s="148">
        <f>269775*1.16/25</f>
        <v>12517.56</v>
      </c>
      <c r="F1724" s="169">
        <v>0.02</v>
      </c>
      <c r="G1724" s="367">
        <f>+D1724*E1724*(1+F1724)</f>
        <v>638.39556000000005</v>
      </c>
      <c r="H1724" s="134"/>
      <c r="I1724" s="140">
        <f>269775/25</f>
        <v>10791</v>
      </c>
      <c r="J1724" s="140">
        <v>0.5</v>
      </c>
      <c r="K1724" s="140">
        <f>+J1724*I1724</f>
        <v>5395.5</v>
      </c>
    </row>
    <row r="1725" spans="1:11" s="140" customFormat="1" x14ac:dyDescent="0.25">
      <c r="B1725" s="196" t="s">
        <v>5733</v>
      </c>
      <c r="C1725" s="151" t="s">
        <v>5734</v>
      </c>
      <c r="D1725" s="197">
        <v>6</v>
      </c>
      <c r="E1725" s="148">
        <f>1903*1.16</f>
        <v>2207.48</v>
      </c>
      <c r="F1725" s="169">
        <v>0.1</v>
      </c>
      <c r="G1725" s="367">
        <f>+D1725*E1725*(1+F1725)</f>
        <v>14569.368000000002</v>
      </c>
      <c r="H1725" s="134"/>
      <c r="I1725" s="140">
        <v>720</v>
      </c>
      <c r="J1725" s="140">
        <v>20</v>
      </c>
      <c r="K1725" s="140">
        <f>+J1725*I1725</f>
        <v>14400</v>
      </c>
    </row>
    <row r="1726" spans="1:11" s="140" customFormat="1" x14ac:dyDescent="0.25">
      <c r="B1726" s="155"/>
      <c r="C1726" s="151"/>
      <c r="D1726" s="197"/>
      <c r="E1726" s="148"/>
      <c r="F1726" s="151"/>
      <c r="G1726" s="367"/>
      <c r="H1726" s="134"/>
      <c r="I1726" s="140">
        <v>75</v>
      </c>
      <c r="J1726" s="140">
        <v>4</v>
      </c>
      <c r="K1726" s="140">
        <f>+J1726*I1726</f>
        <v>300</v>
      </c>
    </row>
    <row r="1727" spans="1:11" s="140" customFormat="1" x14ac:dyDescent="0.25">
      <c r="B1727" s="155"/>
      <c r="C1727" s="151"/>
      <c r="D1727" s="197"/>
      <c r="E1727" s="148"/>
      <c r="F1727" s="151"/>
      <c r="G1727" s="367"/>
      <c r="H1727" s="134"/>
      <c r="I1727" s="140">
        <v>1903</v>
      </c>
    </row>
    <row r="1728" spans="1:11" s="140" customFormat="1" x14ac:dyDescent="0.25">
      <c r="B1728" s="155"/>
      <c r="C1728" s="151"/>
      <c r="D1728" s="197"/>
      <c r="E1728" s="148"/>
      <c r="F1728" s="151"/>
      <c r="G1728" s="367"/>
      <c r="H1728" s="134"/>
      <c r="K1728" s="140">
        <f>SUM(K1723:K1727)</f>
        <v>27835.98</v>
      </c>
    </row>
    <row r="1729" spans="2:8" s="140" customFormat="1" x14ac:dyDescent="0.25">
      <c r="B1729" s="155"/>
      <c r="C1729" s="151"/>
      <c r="D1729" s="197"/>
      <c r="E1729" s="148"/>
      <c r="F1729" s="151"/>
      <c r="G1729" s="367"/>
      <c r="H1729" s="134"/>
    </row>
    <row r="1730" spans="2:8" s="140" customFormat="1" x14ac:dyDescent="0.25">
      <c r="B1730" s="155"/>
      <c r="C1730" s="151"/>
      <c r="D1730" s="197"/>
      <c r="E1730" s="148"/>
      <c r="F1730" s="151"/>
      <c r="G1730" s="367"/>
      <c r="H1730" s="134"/>
    </row>
    <row r="1731" spans="2:8" s="140" customFormat="1" x14ac:dyDescent="0.25">
      <c r="B1731" s="155"/>
      <c r="C1731" s="151"/>
      <c r="D1731" s="197"/>
      <c r="E1731" s="148"/>
      <c r="F1731" s="151"/>
      <c r="G1731" s="367"/>
      <c r="H1731" s="134"/>
    </row>
    <row r="1732" spans="2:8" s="140" customFormat="1" x14ac:dyDescent="0.25">
      <c r="B1732" s="155"/>
      <c r="C1732" s="151"/>
      <c r="D1732" s="197"/>
      <c r="E1732" s="148"/>
      <c r="F1732" s="151"/>
      <c r="G1732" s="367"/>
      <c r="H1732" s="134"/>
    </row>
    <row r="1733" spans="2:8" s="140" customFormat="1" x14ac:dyDescent="0.25">
      <c r="B1733" s="155"/>
      <c r="C1733" s="152"/>
      <c r="D1733" s="324"/>
      <c r="E1733" s="152"/>
      <c r="F1733" s="151"/>
      <c r="G1733" s="156"/>
      <c r="H1733" s="134"/>
    </row>
    <row r="1734" spans="2:8" s="140" customFormat="1" ht="13.5" thickBot="1" x14ac:dyDescent="0.3">
      <c r="B1734" s="155"/>
      <c r="C1734" s="152"/>
      <c r="D1734" s="324"/>
      <c r="E1734" s="152"/>
      <c r="F1734" s="151"/>
      <c r="G1734" s="156"/>
      <c r="H1734" s="134"/>
    </row>
    <row r="1735" spans="2:8" s="140" customFormat="1" ht="13.5" thickBot="1" x14ac:dyDescent="0.3">
      <c r="B1735" s="157"/>
      <c r="C1735" s="159"/>
      <c r="D1735" s="159"/>
      <c r="E1735" s="159"/>
      <c r="F1735" s="158"/>
      <c r="G1735" s="160"/>
      <c r="H1735" s="161">
        <f>+SUM(G1723:G1735)</f>
        <v>15436.726958400002</v>
      </c>
    </row>
    <row r="1736" spans="2:8" s="140" customFormat="1" ht="13.5" thickBot="1" x14ac:dyDescent="0.3">
      <c r="B1736" s="162"/>
      <c r="C1736" s="162"/>
      <c r="D1736" s="162"/>
      <c r="E1736" s="162"/>
      <c r="F1736" s="163"/>
      <c r="G1736" s="164"/>
      <c r="H1736" s="165"/>
    </row>
    <row r="1737" spans="2:8" s="140" customFormat="1" ht="13.5" thickBot="1" x14ac:dyDescent="0.3">
      <c r="B1737" s="143" t="s">
        <v>5410</v>
      </c>
      <c r="C1737" s="144" t="s">
        <v>867</v>
      </c>
      <c r="D1737" s="144" t="s">
        <v>6</v>
      </c>
      <c r="E1737" s="144" t="s">
        <v>870</v>
      </c>
      <c r="F1737" s="144" t="s">
        <v>5411</v>
      </c>
      <c r="G1737" s="145" t="s">
        <v>868</v>
      </c>
      <c r="H1737" s="134"/>
    </row>
    <row r="1738" spans="2:8" s="140" customFormat="1" x14ac:dyDescent="0.25">
      <c r="B1738" s="201" t="s">
        <v>5735</v>
      </c>
      <c r="C1738" s="147" t="s">
        <v>5431</v>
      </c>
      <c r="D1738" s="167">
        <v>0.05</v>
      </c>
      <c r="E1738" s="148">
        <v>1000000</v>
      </c>
      <c r="F1738" s="169">
        <v>0.01</v>
      </c>
      <c r="G1738" s="367">
        <f>+D1738*E1738*(1+F1738)</f>
        <v>50500</v>
      </c>
      <c r="H1738" s="134"/>
    </row>
    <row r="1739" spans="2:8" s="140" customFormat="1" x14ac:dyDescent="0.25">
      <c r="B1739" s="196"/>
      <c r="C1739" s="151"/>
      <c r="D1739" s="151"/>
      <c r="E1739" s="148"/>
      <c r="F1739" s="147"/>
      <c r="G1739" s="367"/>
      <c r="H1739" s="134"/>
    </row>
    <row r="1740" spans="2:8" s="140" customFormat="1" x14ac:dyDescent="0.25">
      <c r="B1740" s="196"/>
      <c r="C1740" s="151"/>
      <c r="D1740" s="151"/>
      <c r="E1740" s="148"/>
      <c r="F1740" s="151"/>
      <c r="G1740" s="367"/>
      <c r="H1740" s="134"/>
    </row>
    <row r="1741" spans="2:8" s="140" customFormat="1" x14ac:dyDescent="0.25">
      <c r="B1741" s="155"/>
      <c r="C1741" s="151"/>
      <c r="D1741" s="151"/>
      <c r="E1741" s="148"/>
      <c r="F1741" s="151"/>
      <c r="G1741" s="367"/>
      <c r="H1741" s="134"/>
    </row>
    <row r="1742" spans="2:8" s="140" customFormat="1" x14ac:dyDescent="0.25">
      <c r="B1742" s="155"/>
      <c r="C1742" s="151"/>
      <c r="D1742" s="151"/>
      <c r="E1742" s="148"/>
      <c r="F1742" s="151"/>
      <c r="G1742" s="367"/>
      <c r="H1742" s="134"/>
    </row>
    <row r="1743" spans="2:8" s="140" customFormat="1" ht="13.5" thickBot="1" x14ac:dyDescent="0.3">
      <c r="B1743" s="155"/>
      <c r="C1743" s="151"/>
      <c r="D1743" s="151"/>
      <c r="E1743" s="148"/>
      <c r="F1743" s="151"/>
      <c r="G1743" s="367"/>
      <c r="H1743" s="134"/>
    </row>
    <row r="1744" spans="2:8" s="140" customFormat="1" ht="13.5" thickBot="1" x14ac:dyDescent="0.3">
      <c r="B1744" s="157"/>
      <c r="C1744" s="159"/>
      <c r="D1744" s="159"/>
      <c r="E1744" s="159"/>
      <c r="F1744" s="158"/>
      <c r="G1744" s="160"/>
      <c r="H1744" s="161">
        <f>+SUM(G1738:G1744)</f>
        <v>50500</v>
      </c>
    </row>
    <row r="1745" spans="1:23" s="140" customFormat="1" ht="13.5" thickBot="1" x14ac:dyDescent="0.3">
      <c r="B1745" s="162"/>
      <c r="C1745" s="162"/>
      <c r="D1745" s="162"/>
      <c r="E1745" s="162"/>
      <c r="F1745" s="173"/>
      <c r="G1745" s="174"/>
      <c r="H1745" s="165"/>
    </row>
    <row r="1746" spans="1:23" s="140" customFormat="1" ht="13.5" thickBot="1" x14ac:dyDescent="0.3">
      <c r="B1746" s="143" t="s">
        <v>5412</v>
      </c>
      <c r="C1746" s="144" t="s">
        <v>5420</v>
      </c>
      <c r="D1746" s="144" t="s">
        <v>5421</v>
      </c>
      <c r="E1746" s="144" t="s">
        <v>5413</v>
      </c>
      <c r="F1746" s="144" t="s">
        <v>5405</v>
      </c>
      <c r="G1746" s="145" t="s">
        <v>868</v>
      </c>
      <c r="H1746" s="134"/>
    </row>
    <row r="1747" spans="1:23" s="140" customFormat="1" x14ac:dyDescent="0.25">
      <c r="B1747" s="194" t="s">
        <v>5650</v>
      </c>
      <c r="C1747" s="345">
        <v>70000</v>
      </c>
      <c r="D1747" s="345">
        <f>+C1747*0.85</f>
        <v>59500</v>
      </c>
      <c r="E1747" s="353">
        <f>+C1747+D1747</f>
        <v>129500</v>
      </c>
      <c r="F1747" s="202">
        <v>100</v>
      </c>
      <c r="G1747" s="351">
        <f>+E1747/F1747</f>
        <v>1295</v>
      </c>
      <c r="H1747" s="134"/>
    </row>
    <row r="1748" spans="1:23" s="140" customFormat="1" x14ac:dyDescent="0.25">
      <c r="B1748" s="194" t="s">
        <v>5651</v>
      </c>
      <c r="C1748" s="345">
        <v>40000</v>
      </c>
      <c r="D1748" s="345">
        <f>+C1748*0.85</f>
        <v>34000</v>
      </c>
      <c r="E1748" s="353">
        <f>+C1748+D1748</f>
        <v>74000</v>
      </c>
      <c r="F1748" s="204">
        <v>20</v>
      </c>
      <c r="G1748" s="351">
        <f>+E1748/F1748</f>
        <v>3700</v>
      </c>
      <c r="H1748" s="134"/>
    </row>
    <row r="1749" spans="1:23" s="140" customFormat="1" x14ac:dyDescent="0.25">
      <c r="B1749" s="195" t="s">
        <v>5635</v>
      </c>
      <c r="C1749" s="345">
        <v>20600</v>
      </c>
      <c r="D1749" s="345">
        <f>+C1749*0.85</f>
        <v>17510</v>
      </c>
      <c r="E1749" s="353">
        <f>+C1749+D1749</f>
        <v>38110</v>
      </c>
      <c r="F1749" s="205">
        <v>10</v>
      </c>
      <c r="G1749" s="351">
        <f>+E1749/F1749</f>
        <v>3811</v>
      </c>
      <c r="H1749" s="134"/>
    </row>
    <row r="1750" spans="1:23" s="140" customFormat="1" x14ac:dyDescent="0.25">
      <c r="B1750" s="155" t="s">
        <v>5648</v>
      </c>
      <c r="C1750" s="345">
        <v>20600</v>
      </c>
      <c r="D1750" s="345">
        <f>+C1750*0.85</f>
        <v>17510</v>
      </c>
      <c r="E1750" s="353">
        <f>+C1750+D1750</f>
        <v>38110</v>
      </c>
      <c r="F1750" s="205">
        <v>12</v>
      </c>
      <c r="G1750" s="351">
        <f>+E1750/F1750</f>
        <v>3175.8333333333335</v>
      </c>
      <c r="H1750" s="134"/>
    </row>
    <row r="1751" spans="1:23" s="140" customFormat="1" x14ac:dyDescent="0.25">
      <c r="B1751" s="155" t="s">
        <v>5649</v>
      </c>
      <c r="C1751" s="346">
        <v>120000</v>
      </c>
      <c r="D1751" s="213">
        <f>+C1751*0.85</f>
        <v>102000</v>
      </c>
      <c r="E1751" s="213">
        <f>+C1751+D1751</f>
        <v>222000</v>
      </c>
      <c r="F1751" s="205">
        <v>12</v>
      </c>
      <c r="G1751" s="344">
        <f>+E1751/F1751</f>
        <v>18500</v>
      </c>
      <c r="H1751" s="134"/>
    </row>
    <row r="1752" spans="1:23" s="140" customFormat="1" ht="13.5" thickBot="1" x14ac:dyDescent="0.3">
      <c r="B1752" s="155"/>
      <c r="C1752" s="152"/>
      <c r="D1752" s="152"/>
      <c r="E1752" s="152"/>
      <c r="F1752" s="151"/>
      <c r="G1752" s="156"/>
      <c r="H1752" s="134"/>
    </row>
    <row r="1753" spans="1:23" s="140" customFormat="1" ht="13.5" thickBot="1" x14ac:dyDescent="0.3">
      <c r="B1753" s="179"/>
      <c r="C1753" s="180"/>
      <c r="D1753" s="180"/>
      <c r="E1753" s="180"/>
      <c r="F1753" s="181"/>
      <c r="G1753" s="182"/>
      <c r="H1753" s="161">
        <f>+SUM(G1747:G1753)</f>
        <v>30481.833333333336</v>
      </c>
    </row>
    <row r="1754" spans="1:23" s="140" customFormat="1" ht="13.5" thickBot="1" x14ac:dyDescent="0.3">
      <c r="F1754" s="141"/>
      <c r="G1754" s="134"/>
      <c r="H1754" s="134"/>
    </row>
    <row r="1755" spans="1:23" s="140" customFormat="1" ht="13.5" thickBot="1" x14ac:dyDescent="0.3">
      <c r="E1755" s="183" t="s">
        <v>5415</v>
      </c>
      <c r="F1755" s="141"/>
      <c r="G1755" s="134"/>
      <c r="H1755" s="161">
        <f>ROUND(+H1720+H1735+H1744+H1753,0)</f>
        <v>156265</v>
      </c>
    </row>
    <row r="1757" spans="1:23" x14ac:dyDescent="0.25">
      <c r="H1757" s="341"/>
    </row>
    <row r="1760" spans="1:23" ht="18.75" x14ac:dyDescent="0.25">
      <c r="A1760" s="133"/>
      <c r="B1760" s="2506" t="s">
        <v>5400</v>
      </c>
      <c r="C1760" s="2506"/>
      <c r="D1760" s="2506"/>
      <c r="E1760" s="2506"/>
      <c r="F1760" s="2506"/>
      <c r="G1760" s="2506"/>
      <c r="I1760" s="133"/>
      <c r="J1760" s="2506" t="s">
        <v>5400</v>
      </c>
      <c r="K1760" s="2506"/>
      <c r="L1760" s="2506"/>
      <c r="M1760" s="2506"/>
      <c r="N1760" s="2506"/>
      <c r="O1760" s="2506"/>
      <c r="Q1760" s="133"/>
      <c r="R1760" s="2506" t="s">
        <v>5400</v>
      </c>
      <c r="S1760" s="2506"/>
      <c r="T1760" s="2506"/>
      <c r="U1760" s="2506"/>
      <c r="V1760" s="2506"/>
      <c r="W1760" s="2506"/>
    </row>
    <row r="1761" spans="1:24" x14ac:dyDescent="0.25">
      <c r="A1761" s="133"/>
      <c r="G1761" s="134"/>
      <c r="I1761" s="133"/>
      <c r="N1761" s="133"/>
      <c r="O1761" s="134"/>
      <c r="Q1761" s="133"/>
      <c r="V1761" s="133"/>
      <c r="W1761" s="134"/>
    </row>
    <row r="1762" spans="1:24" x14ac:dyDescent="0.25">
      <c r="A1762" s="133"/>
      <c r="G1762" s="134"/>
      <c r="I1762" s="133"/>
      <c r="N1762" s="133"/>
      <c r="O1762" s="134"/>
      <c r="Q1762" s="133"/>
      <c r="V1762" s="133"/>
      <c r="W1762" s="134"/>
    </row>
    <row r="1763" spans="1:24" x14ac:dyDescent="0.25">
      <c r="A1763" s="133"/>
      <c r="G1763" s="134"/>
      <c r="I1763" s="133"/>
      <c r="N1763" s="133"/>
      <c r="O1763" s="134"/>
      <c r="Q1763" s="133"/>
      <c r="V1763" s="133"/>
      <c r="W1763" s="134"/>
    </row>
    <row r="1764" spans="1:24" s="140" customFormat="1" ht="24.95" customHeight="1" x14ac:dyDescent="0.25">
      <c r="A1764" s="138" t="s">
        <v>3</v>
      </c>
      <c r="B1764" s="138" t="s">
        <v>5674</v>
      </c>
      <c r="C1764" s="2450" t="s">
        <v>5675</v>
      </c>
      <c r="D1764" s="2450"/>
      <c r="E1764" s="2450"/>
      <c r="F1764" s="138" t="s">
        <v>867</v>
      </c>
      <c r="G1764" s="139" t="s">
        <v>5454</v>
      </c>
      <c r="H1764" s="134"/>
      <c r="I1764" s="138" t="s">
        <v>3</v>
      </c>
      <c r="J1764" s="138" t="s">
        <v>5674</v>
      </c>
      <c r="K1764" s="2450" t="s">
        <v>6298</v>
      </c>
      <c r="L1764" s="2450"/>
      <c r="M1764" s="2450"/>
      <c r="N1764" s="138" t="s">
        <v>867</v>
      </c>
      <c r="O1764" s="139" t="s">
        <v>5454</v>
      </c>
      <c r="P1764" s="134"/>
      <c r="Q1764" s="138" t="s">
        <v>3</v>
      </c>
      <c r="R1764" s="138" t="s">
        <v>5674</v>
      </c>
      <c r="S1764" s="2450" t="s">
        <v>6308</v>
      </c>
      <c r="T1764" s="2450"/>
      <c r="U1764" s="2450"/>
      <c r="V1764" s="138" t="s">
        <v>867</v>
      </c>
      <c r="W1764" s="139" t="s">
        <v>5989</v>
      </c>
      <c r="X1764" s="134"/>
    </row>
    <row r="1765" spans="1:24" s="140" customFormat="1" ht="24.95" customHeight="1" x14ac:dyDescent="0.25">
      <c r="A1765" s="141"/>
      <c r="F1765" s="141"/>
      <c r="G1765" s="134"/>
      <c r="H1765" s="134"/>
      <c r="I1765" s="141"/>
      <c r="N1765" s="141"/>
      <c r="O1765" s="134"/>
      <c r="P1765" s="134"/>
      <c r="Q1765" s="141"/>
      <c r="V1765" s="141"/>
      <c r="W1765" s="134"/>
      <c r="X1765" s="134"/>
    </row>
    <row r="1766" spans="1:24" s="140" customFormat="1" ht="12.75" customHeight="1" x14ac:dyDescent="0.25">
      <c r="A1766" s="141"/>
      <c r="F1766" s="141"/>
      <c r="G1766" s="142"/>
      <c r="H1766" s="134"/>
      <c r="I1766" s="141"/>
      <c r="N1766" s="141"/>
      <c r="O1766" s="142"/>
      <c r="P1766" s="134"/>
      <c r="Q1766" s="141"/>
      <c r="V1766" s="141"/>
      <c r="W1766" s="142"/>
      <c r="X1766" s="134"/>
    </row>
    <row r="1767" spans="1:24" s="140" customFormat="1" ht="13.5" thickBot="1" x14ac:dyDescent="0.3">
      <c r="A1767" s="141"/>
      <c r="F1767" s="141"/>
      <c r="G1767" s="134"/>
      <c r="H1767" s="134"/>
      <c r="I1767" s="141"/>
      <c r="N1767" s="141"/>
      <c r="O1767" s="134"/>
      <c r="P1767" s="134"/>
      <c r="Q1767" s="141"/>
      <c r="V1767" s="141"/>
      <c r="W1767" s="134"/>
      <c r="X1767" s="134"/>
    </row>
    <row r="1768" spans="1:24" s="140" customFormat="1" ht="13.5" thickBot="1" x14ac:dyDescent="0.3">
      <c r="A1768" s="141"/>
      <c r="B1768" s="143" t="s">
        <v>5403</v>
      </c>
      <c r="C1768" s="144" t="s">
        <v>867</v>
      </c>
      <c r="D1768" s="144" t="s">
        <v>6</v>
      </c>
      <c r="E1768" s="144" t="s">
        <v>5404</v>
      </c>
      <c r="F1768" s="144" t="s">
        <v>5405</v>
      </c>
      <c r="G1768" s="145" t="s">
        <v>868</v>
      </c>
      <c r="H1768" s="134"/>
      <c r="I1768" s="141"/>
      <c r="J1768" s="143" t="s">
        <v>5403</v>
      </c>
      <c r="K1768" s="144" t="s">
        <v>867</v>
      </c>
      <c r="L1768" s="144" t="s">
        <v>6</v>
      </c>
      <c r="M1768" s="144" t="s">
        <v>5404</v>
      </c>
      <c r="N1768" s="144" t="s">
        <v>5405</v>
      </c>
      <c r="O1768" s="145" t="s">
        <v>868</v>
      </c>
      <c r="P1768" s="134"/>
      <c r="Q1768" s="141"/>
      <c r="R1768" s="143" t="s">
        <v>5403</v>
      </c>
      <c r="S1768" s="144" t="s">
        <v>867</v>
      </c>
      <c r="T1768" s="144" t="s">
        <v>6</v>
      </c>
      <c r="U1768" s="144" t="s">
        <v>5404</v>
      </c>
      <c r="V1768" s="144" t="s">
        <v>5405</v>
      </c>
      <c r="W1768" s="145" t="s">
        <v>868</v>
      </c>
      <c r="X1768" s="134"/>
    </row>
    <row r="1769" spans="1:24" s="140" customFormat="1" x14ac:dyDescent="0.25">
      <c r="A1769" s="141"/>
      <c r="B1769" s="146" t="s">
        <v>5440</v>
      </c>
      <c r="C1769" s="147" t="s">
        <v>5406</v>
      </c>
      <c r="D1769" s="147"/>
      <c r="E1769" s="148">
        <f>+H1808</f>
        <v>27750</v>
      </c>
      <c r="F1769" s="167">
        <v>0.1</v>
      </c>
      <c r="G1769" s="360">
        <f>+E1769*F1769</f>
        <v>2775</v>
      </c>
      <c r="H1769" s="134"/>
      <c r="I1769" s="141"/>
      <c r="J1769" s="146" t="s">
        <v>5440</v>
      </c>
      <c r="K1769" s="147" t="s">
        <v>5406</v>
      </c>
      <c r="L1769" s="147"/>
      <c r="M1769" s="148">
        <f>+P1808</f>
        <v>46805</v>
      </c>
      <c r="N1769" s="167">
        <v>0.1</v>
      </c>
      <c r="O1769" s="360">
        <f>+M1769*N1769</f>
        <v>4680.5</v>
      </c>
      <c r="P1769" s="134"/>
      <c r="Q1769" s="141"/>
      <c r="R1769" s="146" t="s">
        <v>5440</v>
      </c>
      <c r="S1769" s="147" t="s">
        <v>5406</v>
      </c>
      <c r="T1769" s="147"/>
      <c r="U1769" s="148">
        <f>+X1808</f>
        <v>33608.333333333336</v>
      </c>
      <c r="V1769" s="167">
        <v>0.3</v>
      </c>
      <c r="W1769" s="360">
        <f>+U1769*V1769</f>
        <v>10082.5</v>
      </c>
      <c r="X1769" s="134"/>
    </row>
    <row r="1770" spans="1:24" s="140" customFormat="1" x14ac:dyDescent="0.25">
      <c r="A1770" s="141"/>
      <c r="B1770" s="154" t="s">
        <v>5647</v>
      </c>
      <c r="C1770" s="151" t="s">
        <v>5407</v>
      </c>
      <c r="D1770" s="151"/>
      <c r="E1770" s="366">
        <v>65000</v>
      </c>
      <c r="F1770" s="197">
        <v>2</v>
      </c>
      <c r="G1770" s="360">
        <f>+E1770/F1770</f>
        <v>32500</v>
      </c>
      <c r="H1770" s="134"/>
      <c r="I1770" s="141"/>
      <c r="J1770" s="154" t="s">
        <v>5647</v>
      </c>
      <c r="K1770" s="151" t="s">
        <v>5407</v>
      </c>
      <c r="L1770" s="151"/>
      <c r="M1770" s="366">
        <v>65000</v>
      </c>
      <c r="N1770" s="197">
        <v>1</v>
      </c>
      <c r="O1770" s="360">
        <f>+M1770/N1770</f>
        <v>65000</v>
      </c>
      <c r="P1770" s="134"/>
      <c r="Q1770" s="141"/>
      <c r="R1770" s="154"/>
      <c r="S1770" s="151"/>
      <c r="T1770" s="151"/>
      <c r="U1770" s="366"/>
      <c r="V1770" s="197"/>
      <c r="W1770" s="360"/>
      <c r="X1770" s="134"/>
    </row>
    <row r="1771" spans="1:24" s="140" customFormat="1" x14ac:dyDescent="0.25">
      <c r="A1771" s="141"/>
      <c r="B1771" s="150"/>
      <c r="C1771" s="151"/>
      <c r="D1771" s="151"/>
      <c r="E1771" s="366"/>
      <c r="F1771" s="197"/>
      <c r="G1771" s="360"/>
      <c r="H1771" s="134"/>
      <c r="I1771" s="141"/>
      <c r="J1771" s="150"/>
      <c r="K1771" s="151"/>
      <c r="L1771" s="151"/>
      <c r="M1771" s="366"/>
      <c r="N1771" s="197"/>
      <c r="O1771" s="360"/>
      <c r="P1771" s="134"/>
      <c r="Q1771" s="141"/>
      <c r="R1771" s="150"/>
      <c r="S1771" s="151"/>
      <c r="T1771" s="151"/>
      <c r="U1771" s="366"/>
      <c r="V1771" s="197"/>
      <c r="W1771" s="360"/>
      <c r="X1771" s="134"/>
    </row>
    <row r="1772" spans="1:24" s="140" customFormat="1" x14ac:dyDescent="0.25">
      <c r="A1772" s="141"/>
      <c r="B1772" s="155"/>
      <c r="C1772" s="151"/>
      <c r="D1772" s="152"/>
      <c r="E1772" s="152"/>
      <c r="F1772" s="151"/>
      <c r="G1772" s="156"/>
      <c r="H1772" s="134"/>
      <c r="I1772" s="141"/>
      <c r="J1772" s="155"/>
      <c r="K1772" s="151"/>
      <c r="L1772" s="152"/>
      <c r="M1772" s="152"/>
      <c r="N1772" s="151"/>
      <c r="O1772" s="156"/>
      <c r="P1772" s="134"/>
      <c r="Q1772" s="141"/>
      <c r="R1772" s="155"/>
      <c r="S1772" s="151"/>
      <c r="T1772" s="152"/>
      <c r="U1772" s="152"/>
      <c r="V1772" s="151"/>
      <c r="W1772" s="156"/>
      <c r="X1772" s="134"/>
    </row>
    <row r="1773" spans="1:24" s="140" customFormat="1" x14ac:dyDescent="0.25">
      <c r="A1773" s="141"/>
      <c r="B1773" s="155"/>
      <c r="C1773" s="151"/>
      <c r="D1773" s="152"/>
      <c r="E1773" s="152"/>
      <c r="F1773" s="151"/>
      <c r="G1773" s="156"/>
      <c r="H1773" s="134"/>
      <c r="I1773" s="141"/>
      <c r="J1773" s="155"/>
      <c r="K1773" s="151"/>
      <c r="L1773" s="152"/>
      <c r="M1773" s="152"/>
      <c r="N1773" s="151"/>
      <c r="O1773" s="156"/>
      <c r="P1773" s="134"/>
      <c r="Q1773" s="141"/>
      <c r="R1773" s="155"/>
      <c r="S1773" s="151"/>
      <c r="T1773" s="152"/>
      <c r="U1773" s="152"/>
      <c r="V1773" s="151"/>
      <c r="W1773" s="156"/>
      <c r="X1773" s="134"/>
    </row>
    <row r="1774" spans="1:24" s="140" customFormat="1" ht="13.5" thickBot="1" x14ac:dyDescent="0.3">
      <c r="A1774" s="141"/>
      <c r="B1774" s="155"/>
      <c r="C1774" s="151"/>
      <c r="D1774" s="152"/>
      <c r="E1774" s="152"/>
      <c r="F1774" s="151"/>
      <c r="G1774" s="156"/>
      <c r="H1774" s="134"/>
      <c r="I1774" s="141"/>
      <c r="J1774" s="155"/>
      <c r="K1774" s="151"/>
      <c r="L1774" s="152"/>
      <c r="M1774" s="152"/>
      <c r="N1774" s="151"/>
      <c r="O1774" s="156"/>
      <c r="P1774" s="134"/>
      <c r="Q1774" s="141"/>
      <c r="R1774" s="155"/>
      <c r="S1774" s="151"/>
      <c r="T1774" s="152"/>
      <c r="U1774" s="152"/>
      <c r="V1774" s="151"/>
      <c r="W1774" s="156"/>
      <c r="X1774" s="134"/>
    </row>
    <row r="1775" spans="1:24" s="140" customFormat="1" ht="13.5" thickBot="1" x14ac:dyDescent="0.3">
      <c r="A1775" s="141"/>
      <c r="B1775" s="157"/>
      <c r="C1775" s="158"/>
      <c r="D1775" s="159"/>
      <c r="E1775" s="159"/>
      <c r="F1775" s="158"/>
      <c r="G1775" s="160"/>
      <c r="H1775" s="161">
        <f>+SUM(G1769:G1775)</f>
        <v>35275</v>
      </c>
      <c r="I1775" s="141"/>
      <c r="J1775" s="157"/>
      <c r="K1775" s="158"/>
      <c r="L1775" s="159"/>
      <c r="M1775" s="159"/>
      <c r="N1775" s="158"/>
      <c r="O1775" s="160"/>
      <c r="P1775" s="161">
        <f>+SUM(O1769:O1775)</f>
        <v>69680.5</v>
      </c>
      <c r="Q1775" s="141"/>
      <c r="R1775" s="157"/>
      <c r="S1775" s="158"/>
      <c r="T1775" s="159"/>
      <c r="U1775" s="159"/>
      <c r="V1775" s="158"/>
      <c r="W1775" s="160"/>
      <c r="X1775" s="161">
        <f>+SUM(W1769:W1775)</f>
        <v>10082.5</v>
      </c>
    </row>
    <row r="1776" spans="1:24" s="140" customFormat="1" ht="13.5" thickBot="1" x14ac:dyDescent="0.3">
      <c r="A1776" s="141"/>
      <c r="B1776" s="162"/>
      <c r="C1776" s="163"/>
      <c r="D1776" s="162"/>
      <c r="E1776" s="162"/>
      <c r="F1776" s="163"/>
      <c r="G1776" s="164"/>
      <c r="H1776" s="165"/>
      <c r="I1776" s="141"/>
      <c r="J1776" s="162"/>
      <c r="K1776" s="163"/>
      <c r="L1776" s="162"/>
      <c r="M1776" s="162"/>
      <c r="N1776" s="163"/>
      <c r="O1776" s="164"/>
      <c r="P1776" s="165"/>
      <c r="Q1776" s="141"/>
      <c r="R1776" s="162"/>
      <c r="S1776" s="163"/>
      <c r="T1776" s="162"/>
      <c r="U1776" s="162"/>
      <c r="V1776" s="163"/>
      <c r="W1776" s="164"/>
      <c r="X1776" s="165"/>
    </row>
    <row r="1777" spans="2:24" s="140" customFormat="1" ht="13.5" thickBot="1" x14ac:dyDescent="0.3">
      <c r="B1777" s="143" t="s">
        <v>5408</v>
      </c>
      <c r="C1777" s="144" t="s">
        <v>867</v>
      </c>
      <c r="D1777" s="144" t="s">
        <v>6</v>
      </c>
      <c r="E1777" s="144" t="s">
        <v>870</v>
      </c>
      <c r="F1777" s="144" t="s">
        <v>5409</v>
      </c>
      <c r="G1777" s="145" t="s">
        <v>868</v>
      </c>
      <c r="H1777" s="134"/>
      <c r="J1777" s="143" t="s">
        <v>5408</v>
      </c>
      <c r="K1777" s="144" t="s">
        <v>867</v>
      </c>
      <c r="L1777" s="144" t="s">
        <v>6</v>
      </c>
      <c r="M1777" s="144" t="s">
        <v>870</v>
      </c>
      <c r="N1777" s="144" t="s">
        <v>5409</v>
      </c>
      <c r="O1777" s="145" t="s">
        <v>868</v>
      </c>
      <c r="P1777" s="134"/>
      <c r="R1777" s="143" t="s">
        <v>5408</v>
      </c>
      <c r="S1777" s="144" t="s">
        <v>867</v>
      </c>
      <c r="T1777" s="144" t="s">
        <v>6</v>
      </c>
      <c r="U1777" s="144" t="s">
        <v>870</v>
      </c>
      <c r="V1777" s="144" t="s">
        <v>5409</v>
      </c>
      <c r="W1777" s="145" t="s">
        <v>868</v>
      </c>
      <c r="X1777" s="134"/>
    </row>
    <row r="1778" spans="2:24" s="140" customFormat="1" x14ac:dyDescent="0.25">
      <c r="B1778" s="201"/>
      <c r="C1778" s="147"/>
      <c r="D1778" s="206"/>
      <c r="E1778" s="148"/>
      <c r="F1778" s="169"/>
      <c r="G1778" s="367"/>
      <c r="H1778" s="134"/>
      <c r="J1778" s="201"/>
      <c r="K1778" s="147"/>
      <c r="L1778" s="206"/>
      <c r="M1778" s="148"/>
      <c r="N1778" s="169"/>
      <c r="O1778" s="367"/>
      <c r="P1778" s="134"/>
      <c r="R1778" s="201"/>
      <c r="S1778" s="147"/>
      <c r="T1778" s="206"/>
      <c r="U1778" s="148"/>
      <c r="V1778" s="169"/>
      <c r="W1778" s="367"/>
      <c r="X1778" s="134"/>
    </row>
    <row r="1779" spans="2:24" s="140" customFormat="1" x14ac:dyDescent="0.25">
      <c r="B1779" s="196"/>
      <c r="C1779" s="151"/>
      <c r="D1779" s="151"/>
      <c r="E1779" s="148"/>
      <c r="F1779" s="169"/>
      <c r="G1779" s="354"/>
      <c r="H1779" s="134"/>
      <c r="J1779" s="196"/>
      <c r="K1779" s="151"/>
      <c r="L1779" s="151"/>
      <c r="M1779" s="148"/>
      <c r="N1779" s="169"/>
      <c r="O1779" s="354"/>
      <c r="P1779" s="134"/>
      <c r="R1779" s="196"/>
      <c r="S1779" s="151"/>
      <c r="T1779" s="151"/>
      <c r="U1779" s="148"/>
      <c r="V1779" s="169"/>
      <c r="W1779" s="354"/>
      <c r="X1779" s="134"/>
    </row>
    <row r="1780" spans="2:24" s="140" customFormat="1" x14ac:dyDescent="0.25">
      <c r="B1780" s="196"/>
      <c r="C1780" s="151"/>
      <c r="D1780" s="151"/>
      <c r="E1780" s="148"/>
      <c r="F1780" s="169"/>
      <c r="G1780" s="367"/>
      <c r="H1780" s="134"/>
      <c r="J1780" s="196"/>
      <c r="K1780" s="151"/>
      <c r="L1780" s="151"/>
      <c r="M1780" s="148"/>
      <c r="N1780" s="169"/>
      <c r="O1780" s="367"/>
      <c r="P1780" s="134"/>
      <c r="R1780" s="196"/>
      <c r="S1780" s="151"/>
      <c r="T1780" s="151"/>
      <c r="U1780" s="148"/>
      <c r="V1780" s="169"/>
      <c r="W1780" s="367"/>
      <c r="X1780" s="134"/>
    </row>
    <row r="1781" spans="2:24" s="140" customFormat="1" x14ac:dyDescent="0.25">
      <c r="B1781" s="155"/>
      <c r="C1781" s="151"/>
      <c r="D1781" s="151"/>
      <c r="E1781" s="148"/>
      <c r="F1781" s="151"/>
      <c r="G1781" s="367"/>
      <c r="H1781" s="134"/>
      <c r="J1781" s="155"/>
      <c r="K1781" s="151"/>
      <c r="L1781" s="151"/>
      <c r="M1781" s="148"/>
      <c r="N1781" s="151"/>
      <c r="O1781" s="367"/>
      <c r="P1781" s="134"/>
      <c r="R1781" s="155"/>
      <c r="S1781" s="151"/>
      <c r="T1781" s="151"/>
      <c r="U1781" s="148"/>
      <c r="V1781" s="151"/>
      <c r="W1781" s="367"/>
      <c r="X1781" s="134"/>
    </row>
    <row r="1782" spans="2:24" s="140" customFormat="1" x14ac:dyDescent="0.25">
      <c r="B1782" s="155"/>
      <c r="C1782" s="151"/>
      <c r="D1782" s="151"/>
      <c r="E1782" s="148"/>
      <c r="F1782" s="151"/>
      <c r="G1782" s="367"/>
      <c r="H1782" s="134"/>
      <c r="J1782" s="155"/>
      <c r="K1782" s="151"/>
      <c r="L1782" s="151"/>
      <c r="M1782" s="148"/>
      <c r="N1782" s="151"/>
      <c r="O1782" s="367"/>
      <c r="P1782" s="134"/>
      <c r="R1782" s="155"/>
      <c r="S1782" s="151"/>
      <c r="T1782" s="151"/>
      <c r="U1782" s="148"/>
      <c r="V1782" s="151"/>
      <c r="W1782" s="367"/>
      <c r="X1782" s="134"/>
    </row>
    <row r="1783" spans="2:24" s="140" customFormat="1" x14ac:dyDescent="0.25">
      <c r="B1783" s="155"/>
      <c r="C1783" s="151"/>
      <c r="D1783" s="151"/>
      <c r="E1783" s="148"/>
      <c r="F1783" s="151"/>
      <c r="G1783" s="367"/>
      <c r="H1783" s="134"/>
      <c r="J1783" s="155"/>
      <c r="K1783" s="151"/>
      <c r="L1783" s="151"/>
      <c r="M1783" s="148"/>
      <c r="N1783" s="151"/>
      <c r="O1783" s="367"/>
      <c r="P1783" s="134"/>
      <c r="R1783" s="155"/>
      <c r="S1783" s="151"/>
      <c r="T1783" s="151"/>
      <c r="U1783" s="148"/>
      <c r="V1783" s="151"/>
      <c r="W1783" s="367"/>
      <c r="X1783" s="134"/>
    </row>
    <row r="1784" spans="2:24" s="140" customFormat="1" x14ac:dyDescent="0.25">
      <c r="B1784" s="155"/>
      <c r="C1784" s="151"/>
      <c r="D1784" s="151"/>
      <c r="E1784" s="148"/>
      <c r="F1784" s="151"/>
      <c r="G1784" s="367"/>
      <c r="H1784" s="134"/>
      <c r="J1784" s="155"/>
      <c r="K1784" s="151"/>
      <c r="L1784" s="151"/>
      <c r="M1784" s="148"/>
      <c r="N1784" s="151"/>
      <c r="O1784" s="367"/>
      <c r="P1784" s="134"/>
      <c r="R1784" s="155"/>
      <c r="S1784" s="151"/>
      <c r="T1784" s="151"/>
      <c r="U1784" s="148"/>
      <c r="V1784" s="151"/>
      <c r="W1784" s="367"/>
      <c r="X1784" s="134"/>
    </row>
    <row r="1785" spans="2:24" s="140" customFormat="1" x14ac:dyDescent="0.25">
      <c r="B1785" s="155"/>
      <c r="C1785" s="151"/>
      <c r="D1785" s="151"/>
      <c r="E1785" s="148"/>
      <c r="F1785" s="151"/>
      <c r="G1785" s="367"/>
      <c r="H1785" s="134"/>
      <c r="J1785" s="155"/>
      <c r="K1785" s="151"/>
      <c r="L1785" s="151"/>
      <c r="M1785" s="148"/>
      <c r="N1785" s="151"/>
      <c r="O1785" s="367"/>
      <c r="P1785" s="134"/>
      <c r="R1785" s="155"/>
      <c r="S1785" s="151"/>
      <c r="T1785" s="151"/>
      <c r="U1785" s="148"/>
      <c r="V1785" s="151"/>
      <c r="W1785" s="367"/>
      <c r="X1785" s="134"/>
    </row>
    <row r="1786" spans="2:24" s="140" customFormat="1" x14ac:dyDescent="0.25">
      <c r="B1786" s="155"/>
      <c r="C1786" s="151"/>
      <c r="D1786" s="151"/>
      <c r="E1786" s="148"/>
      <c r="F1786" s="151"/>
      <c r="G1786" s="367"/>
      <c r="H1786" s="134"/>
      <c r="J1786" s="155"/>
      <c r="K1786" s="151"/>
      <c r="L1786" s="151"/>
      <c r="M1786" s="148"/>
      <c r="N1786" s="151"/>
      <c r="O1786" s="367"/>
      <c r="P1786" s="134"/>
      <c r="R1786" s="155"/>
      <c r="S1786" s="151"/>
      <c r="T1786" s="151"/>
      <c r="U1786" s="148"/>
      <c r="V1786" s="151"/>
      <c r="W1786" s="367"/>
      <c r="X1786" s="134"/>
    </row>
    <row r="1787" spans="2:24" s="140" customFormat="1" x14ac:dyDescent="0.25">
      <c r="B1787" s="155"/>
      <c r="C1787" s="151"/>
      <c r="D1787" s="151"/>
      <c r="E1787" s="148"/>
      <c r="F1787" s="151"/>
      <c r="G1787" s="367"/>
      <c r="H1787" s="134"/>
      <c r="J1787" s="155"/>
      <c r="K1787" s="151"/>
      <c r="L1787" s="151"/>
      <c r="M1787" s="148"/>
      <c r="N1787" s="151"/>
      <c r="O1787" s="367"/>
      <c r="P1787" s="134"/>
      <c r="R1787" s="155"/>
      <c r="S1787" s="151"/>
      <c r="T1787" s="151"/>
      <c r="U1787" s="148"/>
      <c r="V1787" s="151"/>
      <c r="W1787" s="367"/>
      <c r="X1787" s="134"/>
    </row>
    <row r="1788" spans="2:24" s="140" customFormat="1" x14ac:dyDescent="0.25">
      <c r="B1788" s="155"/>
      <c r="C1788" s="152"/>
      <c r="D1788" s="152"/>
      <c r="E1788" s="152"/>
      <c r="F1788" s="151"/>
      <c r="G1788" s="156"/>
      <c r="H1788" s="134"/>
      <c r="J1788" s="155"/>
      <c r="K1788" s="152"/>
      <c r="L1788" s="152"/>
      <c r="M1788" s="152"/>
      <c r="N1788" s="151"/>
      <c r="O1788" s="156"/>
      <c r="P1788" s="134"/>
      <c r="R1788" s="155"/>
      <c r="S1788" s="152"/>
      <c r="T1788" s="152"/>
      <c r="U1788" s="152"/>
      <c r="V1788" s="151"/>
      <c r="W1788" s="156"/>
      <c r="X1788" s="134"/>
    </row>
    <row r="1789" spans="2:24" s="140" customFormat="1" ht="13.5" thickBot="1" x14ac:dyDescent="0.3">
      <c r="B1789" s="155"/>
      <c r="C1789" s="152"/>
      <c r="D1789" s="152"/>
      <c r="E1789" s="152"/>
      <c r="F1789" s="151"/>
      <c r="G1789" s="156"/>
      <c r="H1789" s="134"/>
      <c r="J1789" s="155"/>
      <c r="K1789" s="152"/>
      <c r="L1789" s="152"/>
      <c r="M1789" s="152"/>
      <c r="N1789" s="151"/>
      <c r="O1789" s="156"/>
      <c r="P1789" s="134"/>
      <c r="R1789" s="155"/>
      <c r="S1789" s="152"/>
      <c r="T1789" s="152"/>
      <c r="U1789" s="152"/>
      <c r="V1789" s="151"/>
      <c r="W1789" s="156"/>
      <c r="X1789" s="134"/>
    </row>
    <row r="1790" spans="2:24" s="140" customFormat="1" ht="13.5" thickBot="1" x14ac:dyDescent="0.3">
      <c r="B1790" s="157"/>
      <c r="C1790" s="159"/>
      <c r="D1790" s="159"/>
      <c r="E1790" s="159"/>
      <c r="F1790" s="158"/>
      <c r="G1790" s="160"/>
      <c r="H1790" s="161">
        <f>+SUM(G1778:G1790)</f>
        <v>0</v>
      </c>
      <c r="J1790" s="157"/>
      <c r="K1790" s="159"/>
      <c r="L1790" s="159"/>
      <c r="M1790" s="159"/>
      <c r="N1790" s="158"/>
      <c r="O1790" s="160"/>
      <c r="P1790" s="161">
        <f>+SUM(O1778:O1790)</f>
        <v>0</v>
      </c>
      <c r="R1790" s="157"/>
      <c r="S1790" s="159"/>
      <c r="T1790" s="159"/>
      <c r="U1790" s="159"/>
      <c r="V1790" s="158"/>
      <c r="W1790" s="160"/>
      <c r="X1790" s="161">
        <f>+SUM(W1778:W1790)</f>
        <v>0</v>
      </c>
    </row>
    <row r="1791" spans="2:24" s="140" customFormat="1" ht="13.5" thickBot="1" x14ac:dyDescent="0.3">
      <c r="B1791" s="162"/>
      <c r="C1791" s="162"/>
      <c r="D1791" s="162"/>
      <c r="E1791" s="162"/>
      <c r="F1791" s="163"/>
      <c r="G1791" s="164"/>
      <c r="H1791" s="165"/>
      <c r="J1791" s="162"/>
      <c r="K1791" s="162"/>
      <c r="L1791" s="162"/>
      <c r="M1791" s="162"/>
      <c r="N1791" s="163"/>
      <c r="O1791" s="164"/>
      <c r="P1791" s="165"/>
      <c r="R1791" s="162"/>
      <c r="S1791" s="162"/>
      <c r="T1791" s="162"/>
      <c r="U1791" s="162"/>
      <c r="V1791" s="163"/>
      <c r="W1791" s="164"/>
      <c r="X1791" s="165"/>
    </row>
    <row r="1792" spans="2:24" s="140" customFormat="1" ht="13.5" thickBot="1" x14ac:dyDescent="0.3">
      <c r="B1792" s="143" t="s">
        <v>5410</v>
      </c>
      <c r="C1792" s="144" t="s">
        <v>867</v>
      </c>
      <c r="D1792" s="144" t="s">
        <v>6</v>
      </c>
      <c r="E1792" s="144" t="s">
        <v>870</v>
      </c>
      <c r="F1792" s="144" t="s">
        <v>5411</v>
      </c>
      <c r="G1792" s="145" t="s">
        <v>868</v>
      </c>
      <c r="H1792" s="134"/>
      <c r="J1792" s="143" t="s">
        <v>5410</v>
      </c>
      <c r="K1792" s="144" t="s">
        <v>867</v>
      </c>
      <c r="L1792" s="144" t="s">
        <v>6</v>
      </c>
      <c r="M1792" s="144" t="s">
        <v>870</v>
      </c>
      <c r="N1792" s="144" t="s">
        <v>5411</v>
      </c>
      <c r="O1792" s="145" t="s">
        <v>868</v>
      </c>
      <c r="P1792" s="134"/>
      <c r="R1792" s="143" t="s">
        <v>5410</v>
      </c>
      <c r="S1792" s="144" t="s">
        <v>867</v>
      </c>
      <c r="T1792" s="144" t="s">
        <v>6</v>
      </c>
      <c r="U1792" s="144" t="s">
        <v>870</v>
      </c>
      <c r="V1792" s="144" t="s">
        <v>5411</v>
      </c>
      <c r="W1792" s="145" t="s">
        <v>868</v>
      </c>
      <c r="X1792" s="134"/>
    </row>
    <row r="1793" spans="2:24" s="140" customFormat="1" x14ac:dyDescent="0.25">
      <c r="B1793" s="201"/>
      <c r="C1793" s="147"/>
      <c r="D1793" s="167"/>
      <c r="E1793" s="148"/>
      <c r="F1793" s="169"/>
      <c r="G1793" s="367">
        <f>+D1793*E1793*(1+F1793)</f>
        <v>0</v>
      </c>
      <c r="H1793" s="134"/>
      <c r="J1793" s="201"/>
      <c r="K1793" s="147"/>
      <c r="L1793" s="167"/>
      <c r="M1793" s="148"/>
      <c r="N1793" s="169"/>
      <c r="O1793" s="367">
        <f>+L1793*M1793*(1+N1793)</f>
        <v>0</v>
      </c>
      <c r="P1793" s="134"/>
      <c r="R1793" s="201"/>
      <c r="S1793" s="147"/>
      <c r="T1793" s="167"/>
      <c r="U1793" s="148"/>
      <c r="V1793" s="169"/>
      <c r="W1793" s="367">
        <f>+T1793*U1793*(1+V1793)</f>
        <v>0</v>
      </c>
      <c r="X1793" s="134"/>
    </row>
    <row r="1794" spans="2:24" s="140" customFormat="1" x14ac:dyDescent="0.25">
      <c r="B1794" s="196"/>
      <c r="C1794" s="151"/>
      <c r="D1794" s="151"/>
      <c r="E1794" s="148"/>
      <c r="F1794" s="147"/>
      <c r="G1794" s="367"/>
      <c r="H1794" s="134"/>
      <c r="J1794" s="196"/>
      <c r="K1794" s="151"/>
      <c r="L1794" s="151"/>
      <c r="M1794" s="148"/>
      <c r="N1794" s="147"/>
      <c r="O1794" s="367"/>
      <c r="P1794" s="134"/>
      <c r="R1794" s="196"/>
      <c r="S1794" s="151"/>
      <c r="T1794" s="151"/>
      <c r="U1794" s="148"/>
      <c r="V1794" s="147"/>
      <c r="W1794" s="367"/>
      <c r="X1794" s="134"/>
    </row>
    <row r="1795" spans="2:24" s="140" customFormat="1" x14ac:dyDescent="0.25">
      <c r="B1795" s="196"/>
      <c r="C1795" s="151"/>
      <c r="D1795" s="151"/>
      <c r="E1795" s="148"/>
      <c r="F1795" s="151"/>
      <c r="G1795" s="367"/>
      <c r="H1795" s="134"/>
      <c r="J1795" s="196"/>
      <c r="K1795" s="151"/>
      <c r="L1795" s="151"/>
      <c r="M1795" s="148"/>
      <c r="N1795" s="151"/>
      <c r="O1795" s="367"/>
      <c r="P1795" s="134"/>
      <c r="R1795" s="196"/>
      <c r="S1795" s="151"/>
      <c r="T1795" s="151"/>
      <c r="U1795" s="148"/>
      <c r="V1795" s="151"/>
      <c r="W1795" s="367"/>
      <c r="X1795" s="134"/>
    </row>
    <row r="1796" spans="2:24" s="140" customFormat="1" x14ac:dyDescent="0.25">
      <c r="B1796" s="155"/>
      <c r="C1796" s="151"/>
      <c r="D1796" s="151"/>
      <c r="E1796" s="148"/>
      <c r="F1796" s="151"/>
      <c r="G1796" s="367"/>
      <c r="H1796" s="134"/>
      <c r="J1796" s="155"/>
      <c r="K1796" s="151"/>
      <c r="L1796" s="151"/>
      <c r="M1796" s="148"/>
      <c r="N1796" s="151"/>
      <c r="O1796" s="367"/>
      <c r="P1796" s="134"/>
      <c r="R1796" s="155"/>
      <c r="S1796" s="151"/>
      <c r="T1796" s="151"/>
      <c r="U1796" s="148"/>
      <c r="V1796" s="151"/>
      <c r="W1796" s="367"/>
      <c r="X1796" s="134"/>
    </row>
    <row r="1797" spans="2:24" s="140" customFormat="1" x14ac:dyDescent="0.25">
      <c r="B1797" s="155"/>
      <c r="C1797" s="151"/>
      <c r="D1797" s="151"/>
      <c r="E1797" s="148"/>
      <c r="F1797" s="151"/>
      <c r="G1797" s="367"/>
      <c r="H1797" s="134"/>
      <c r="J1797" s="155"/>
      <c r="K1797" s="151"/>
      <c r="L1797" s="151"/>
      <c r="M1797" s="148"/>
      <c r="N1797" s="151"/>
      <c r="O1797" s="367"/>
      <c r="P1797" s="134"/>
      <c r="R1797" s="155"/>
      <c r="S1797" s="151"/>
      <c r="T1797" s="151"/>
      <c r="U1797" s="148"/>
      <c r="V1797" s="151"/>
      <c r="W1797" s="367"/>
      <c r="X1797" s="134"/>
    </row>
    <row r="1798" spans="2:24" s="140" customFormat="1" ht="13.5" thickBot="1" x14ac:dyDescent="0.3">
      <c r="B1798" s="155"/>
      <c r="C1798" s="151"/>
      <c r="D1798" s="151"/>
      <c r="E1798" s="148"/>
      <c r="F1798" s="151"/>
      <c r="G1798" s="367"/>
      <c r="H1798" s="134"/>
      <c r="J1798" s="155"/>
      <c r="K1798" s="151"/>
      <c r="L1798" s="151"/>
      <c r="M1798" s="148"/>
      <c r="N1798" s="151"/>
      <c r="O1798" s="367"/>
      <c r="P1798" s="134"/>
      <c r="R1798" s="155"/>
      <c r="S1798" s="151"/>
      <c r="T1798" s="151"/>
      <c r="U1798" s="148"/>
      <c r="V1798" s="151"/>
      <c r="W1798" s="367"/>
      <c r="X1798" s="134"/>
    </row>
    <row r="1799" spans="2:24" s="140" customFormat="1" ht="13.5" thickBot="1" x14ac:dyDescent="0.3">
      <c r="B1799" s="157"/>
      <c r="C1799" s="159"/>
      <c r="D1799" s="159"/>
      <c r="E1799" s="159"/>
      <c r="F1799" s="158"/>
      <c r="G1799" s="160"/>
      <c r="H1799" s="161">
        <f>+SUM(G1793:G1799)</f>
        <v>0</v>
      </c>
      <c r="J1799" s="157"/>
      <c r="K1799" s="159"/>
      <c r="L1799" s="159"/>
      <c r="M1799" s="159"/>
      <c r="N1799" s="158"/>
      <c r="O1799" s="160"/>
      <c r="P1799" s="161">
        <f>+SUM(O1793:O1799)</f>
        <v>0</v>
      </c>
      <c r="R1799" s="157"/>
      <c r="S1799" s="159"/>
      <c r="T1799" s="159"/>
      <c r="U1799" s="159"/>
      <c r="V1799" s="158"/>
      <c r="W1799" s="160"/>
      <c r="X1799" s="161">
        <f>+SUM(W1793:W1799)</f>
        <v>0</v>
      </c>
    </row>
    <row r="1800" spans="2:24" s="140" customFormat="1" ht="13.5" thickBot="1" x14ac:dyDescent="0.3">
      <c r="B1800" s="162"/>
      <c r="C1800" s="162"/>
      <c r="D1800" s="162"/>
      <c r="E1800" s="162"/>
      <c r="F1800" s="173"/>
      <c r="G1800" s="174"/>
      <c r="H1800" s="165"/>
      <c r="J1800" s="162"/>
      <c r="K1800" s="162"/>
      <c r="L1800" s="162"/>
      <c r="M1800" s="162"/>
      <c r="N1800" s="173"/>
      <c r="O1800" s="174"/>
      <c r="P1800" s="165"/>
      <c r="R1800" s="162"/>
      <c r="S1800" s="162"/>
      <c r="T1800" s="162"/>
      <c r="U1800" s="162"/>
      <c r="V1800" s="173"/>
      <c r="W1800" s="174"/>
      <c r="X1800" s="165"/>
    </row>
    <row r="1801" spans="2:24" s="140" customFormat="1" ht="13.5" thickBot="1" x14ac:dyDescent="0.3">
      <c r="B1801" s="143" t="s">
        <v>5412</v>
      </c>
      <c r="C1801" s="144" t="s">
        <v>5420</v>
      </c>
      <c r="D1801" s="144" t="s">
        <v>5421</v>
      </c>
      <c r="E1801" s="144" t="s">
        <v>5413</v>
      </c>
      <c r="F1801" s="144" t="s">
        <v>5405</v>
      </c>
      <c r="G1801" s="145" t="s">
        <v>868</v>
      </c>
      <c r="H1801" s="134"/>
      <c r="J1801" s="143" t="s">
        <v>5412</v>
      </c>
      <c r="K1801" s="144" t="s">
        <v>5420</v>
      </c>
      <c r="L1801" s="144" t="s">
        <v>5421</v>
      </c>
      <c r="M1801" s="144" t="s">
        <v>5413</v>
      </c>
      <c r="N1801" s="144" t="s">
        <v>5405</v>
      </c>
      <c r="O1801" s="145" t="s">
        <v>868</v>
      </c>
      <c r="P1801" s="134"/>
      <c r="R1801" s="143" t="s">
        <v>5412</v>
      </c>
      <c r="S1801" s="144" t="s">
        <v>5420</v>
      </c>
      <c r="T1801" s="144" t="s">
        <v>5421</v>
      </c>
      <c r="U1801" s="144" t="s">
        <v>5413</v>
      </c>
      <c r="V1801" s="144" t="s">
        <v>5405</v>
      </c>
      <c r="W1801" s="145" t="s">
        <v>868</v>
      </c>
      <c r="X1801" s="134"/>
    </row>
    <row r="1802" spans="2:24" s="140" customFormat="1" x14ac:dyDescent="0.25">
      <c r="B1802" s="194" t="s">
        <v>5650</v>
      </c>
      <c r="C1802" s="345">
        <v>70000</v>
      </c>
      <c r="D1802" s="345">
        <f>+C1802*0.85</f>
        <v>59500</v>
      </c>
      <c r="E1802" s="353">
        <f>+C1802+D1802</f>
        <v>129500</v>
      </c>
      <c r="F1802" s="202">
        <v>100</v>
      </c>
      <c r="G1802" s="351">
        <f>+E1802/F1802</f>
        <v>1295</v>
      </c>
      <c r="H1802" s="134"/>
      <c r="J1802" s="194" t="s">
        <v>5650</v>
      </c>
      <c r="K1802" s="345">
        <v>70000</v>
      </c>
      <c r="L1802" s="345">
        <f>+K1802*0.85</f>
        <v>59500</v>
      </c>
      <c r="M1802" s="353">
        <f>+K1802+L1802</f>
        <v>129500</v>
      </c>
      <c r="N1802" s="202">
        <v>100</v>
      </c>
      <c r="O1802" s="351">
        <f>+M1802/N1802</f>
        <v>1295</v>
      </c>
      <c r="P1802" s="134"/>
      <c r="R1802" s="194" t="s">
        <v>5650</v>
      </c>
      <c r="S1802" s="345">
        <v>70000</v>
      </c>
      <c r="T1802" s="345">
        <f>+S1802*0.85</f>
        <v>59500</v>
      </c>
      <c r="U1802" s="353">
        <f>+S1802+T1802</f>
        <v>129500</v>
      </c>
      <c r="V1802" s="202">
        <v>50</v>
      </c>
      <c r="W1802" s="351">
        <f>+U1802/V1802</f>
        <v>2590</v>
      </c>
      <c r="X1802" s="134"/>
    </row>
    <row r="1803" spans="2:24" s="140" customFormat="1" x14ac:dyDescent="0.25">
      <c r="B1803" s="194" t="s">
        <v>5651</v>
      </c>
      <c r="C1803" s="345">
        <v>40000</v>
      </c>
      <c r="D1803" s="345">
        <f>+C1803*0.85</f>
        <v>34000</v>
      </c>
      <c r="E1803" s="353">
        <f>+C1803+D1803</f>
        <v>74000</v>
      </c>
      <c r="F1803" s="204">
        <v>10</v>
      </c>
      <c r="G1803" s="351">
        <f>+E1803/F1803</f>
        <v>7400</v>
      </c>
      <c r="H1803" s="134"/>
      <c r="J1803" s="194" t="s">
        <v>5651</v>
      </c>
      <c r="K1803" s="345">
        <v>40000</v>
      </c>
      <c r="L1803" s="345">
        <f>+K1803*0.85</f>
        <v>34000</v>
      </c>
      <c r="M1803" s="353">
        <f>+K1803+L1803</f>
        <v>74000</v>
      </c>
      <c r="N1803" s="204">
        <v>10</v>
      </c>
      <c r="O1803" s="351">
        <f>+M1803/N1803</f>
        <v>7400</v>
      </c>
      <c r="P1803" s="134"/>
      <c r="R1803" s="194" t="s">
        <v>5651</v>
      </c>
      <c r="S1803" s="345">
        <v>40000</v>
      </c>
      <c r="T1803" s="345">
        <f>+S1803*0.85</f>
        <v>34000</v>
      </c>
      <c r="U1803" s="353">
        <f>+S1803+T1803</f>
        <v>74000</v>
      </c>
      <c r="V1803" s="204">
        <v>3</v>
      </c>
      <c r="W1803" s="351">
        <f>+U1803/V1803</f>
        <v>24666.666666666668</v>
      </c>
      <c r="X1803" s="134"/>
    </row>
    <row r="1804" spans="2:24" s="140" customFormat="1" x14ac:dyDescent="0.25">
      <c r="B1804" s="195" t="s">
        <v>5635</v>
      </c>
      <c r="C1804" s="345">
        <v>20600</v>
      </c>
      <c r="D1804" s="345">
        <f>+C1804*0.85</f>
        <v>17510</v>
      </c>
      <c r="E1804" s="353">
        <f>+C1804+D1804</f>
        <v>38110</v>
      </c>
      <c r="F1804" s="205">
        <v>4</v>
      </c>
      <c r="G1804" s="351">
        <f>+E1804/F1804</f>
        <v>9527.5</v>
      </c>
      <c r="H1804" s="134"/>
      <c r="J1804" s="195" t="s">
        <v>5635</v>
      </c>
      <c r="K1804" s="345">
        <v>20600</v>
      </c>
      <c r="L1804" s="345">
        <f>+K1804*0.85</f>
        <v>17510</v>
      </c>
      <c r="M1804" s="353">
        <f>+K1804+L1804</f>
        <v>38110</v>
      </c>
      <c r="N1804" s="205">
        <v>2</v>
      </c>
      <c r="O1804" s="351">
        <f>+M1804/N1804</f>
        <v>19055</v>
      </c>
      <c r="P1804" s="134"/>
      <c r="R1804" s="195" t="s">
        <v>5635</v>
      </c>
      <c r="S1804" s="345">
        <v>20600</v>
      </c>
      <c r="T1804" s="345">
        <f>+S1804*0.85</f>
        <v>17510</v>
      </c>
      <c r="U1804" s="353">
        <f>+S1804+T1804</f>
        <v>38110</v>
      </c>
      <c r="V1804" s="205">
        <v>6</v>
      </c>
      <c r="W1804" s="351">
        <f>+U1804/V1804</f>
        <v>6351.666666666667</v>
      </c>
      <c r="X1804" s="134"/>
    </row>
    <row r="1805" spans="2:24" s="140" customFormat="1" x14ac:dyDescent="0.25">
      <c r="B1805" s="155" t="s">
        <v>5648</v>
      </c>
      <c r="C1805" s="345">
        <v>20600</v>
      </c>
      <c r="D1805" s="345">
        <f>+C1805*0.85</f>
        <v>17510</v>
      </c>
      <c r="E1805" s="353">
        <f>+C1805+D1805</f>
        <v>38110</v>
      </c>
      <c r="F1805" s="205">
        <v>4</v>
      </c>
      <c r="G1805" s="351">
        <f>+E1805/F1805</f>
        <v>9527.5</v>
      </c>
      <c r="H1805" s="134"/>
      <c r="J1805" s="155" t="s">
        <v>5648</v>
      </c>
      <c r="K1805" s="345">
        <v>20600</v>
      </c>
      <c r="L1805" s="345">
        <f>+K1805*0.85</f>
        <v>17510</v>
      </c>
      <c r="M1805" s="353">
        <f>+K1805+L1805</f>
        <v>38110</v>
      </c>
      <c r="N1805" s="205">
        <v>2</v>
      </c>
      <c r="O1805" s="351">
        <f>+M1805/N1805</f>
        <v>19055</v>
      </c>
      <c r="P1805" s="134"/>
      <c r="R1805" s="155"/>
      <c r="S1805" s="345"/>
      <c r="T1805" s="345"/>
      <c r="U1805" s="353"/>
      <c r="V1805" s="205"/>
      <c r="W1805" s="351"/>
      <c r="X1805" s="134"/>
    </row>
    <row r="1806" spans="2:24" s="140" customFormat="1" x14ac:dyDescent="0.25">
      <c r="B1806" s="155"/>
      <c r="C1806" s="152"/>
      <c r="D1806" s="152"/>
      <c r="E1806" s="152"/>
      <c r="F1806" s="151"/>
      <c r="G1806" s="156"/>
      <c r="H1806" s="134"/>
      <c r="J1806" s="155"/>
      <c r="K1806" s="152"/>
      <c r="L1806" s="152"/>
      <c r="M1806" s="152"/>
      <c r="N1806" s="151"/>
      <c r="O1806" s="156"/>
      <c r="P1806" s="134"/>
      <c r="R1806" s="155"/>
      <c r="S1806" s="152"/>
      <c r="T1806" s="152"/>
      <c r="U1806" s="152"/>
      <c r="V1806" s="151"/>
      <c r="W1806" s="156"/>
      <c r="X1806" s="134"/>
    </row>
    <row r="1807" spans="2:24" s="140" customFormat="1" ht="13.5" thickBot="1" x14ac:dyDescent="0.3">
      <c r="B1807" s="155"/>
      <c r="C1807" s="152"/>
      <c r="D1807" s="152"/>
      <c r="E1807" s="152"/>
      <c r="F1807" s="151"/>
      <c r="G1807" s="156"/>
      <c r="H1807" s="134"/>
      <c r="J1807" s="155"/>
      <c r="K1807" s="152"/>
      <c r="L1807" s="152"/>
      <c r="M1807" s="152"/>
      <c r="N1807" s="151"/>
      <c r="O1807" s="156"/>
      <c r="P1807" s="134"/>
      <c r="R1807" s="155"/>
      <c r="S1807" s="152"/>
      <c r="T1807" s="152"/>
      <c r="U1807" s="152"/>
      <c r="V1807" s="151"/>
      <c r="W1807" s="156"/>
      <c r="X1807" s="134"/>
    </row>
    <row r="1808" spans="2:24" s="140" customFormat="1" ht="13.5" thickBot="1" x14ac:dyDescent="0.3">
      <c r="B1808" s="179"/>
      <c r="C1808" s="180"/>
      <c r="D1808" s="180"/>
      <c r="E1808" s="180"/>
      <c r="F1808" s="181"/>
      <c r="G1808" s="182"/>
      <c r="H1808" s="161">
        <f>+SUM(G1802:G1808)</f>
        <v>27750</v>
      </c>
      <c r="J1808" s="179"/>
      <c r="K1808" s="180"/>
      <c r="L1808" s="180"/>
      <c r="M1808" s="180"/>
      <c r="N1808" s="181"/>
      <c r="O1808" s="182"/>
      <c r="P1808" s="161">
        <f>+SUM(O1802:O1808)</f>
        <v>46805</v>
      </c>
      <c r="R1808" s="179"/>
      <c r="S1808" s="180"/>
      <c r="T1808" s="180"/>
      <c r="U1808" s="180"/>
      <c r="V1808" s="181"/>
      <c r="W1808" s="182"/>
      <c r="X1808" s="161">
        <f>+SUM(W1802:W1808)</f>
        <v>33608.333333333336</v>
      </c>
    </row>
    <row r="1809" spans="1:24" s="140" customFormat="1" ht="13.5" thickBot="1" x14ac:dyDescent="0.3">
      <c r="F1809" s="141"/>
      <c r="G1809" s="134"/>
      <c r="H1809" s="134"/>
      <c r="N1809" s="141"/>
      <c r="O1809" s="134"/>
      <c r="P1809" s="134"/>
      <c r="V1809" s="141"/>
      <c r="W1809" s="134"/>
      <c r="X1809" s="134"/>
    </row>
    <row r="1810" spans="1:24" s="140" customFormat="1" ht="13.5" thickBot="1" x14ac:dyDescent="0.3">
      <c r="E1810" s="183" t="s">
        <v>5415</v>
      </c>
      <c r="F1810" s="141"/>
      <c r="G1810" s="134"/>
      <c r="H1810" s="161">
        <f>ROUND(+H1775+H1790+H1799+H1808,0)</f>
        <v>63025</v>
      </c>
      <c r="M1810" s="183" t="s">
        <v>5415</v>
      </c>
      <c r="N1810" s="141"/>
      <c r="O1810" s="134"/>
      <c r="P1810" s="161">
        <f>ROUND(+P1775+P1790+P1799+P1808,0)</f>
        <v>116486</v>
      </c>
      <c r="U1810" s="183" t="s">
        <v>5415</v>
      </c>
      <c r="V1810" s="141"/>
      <c r="W1810" s="134"/>
      <c r="X1810" s="161">
        <f>ROUND(+X1775+X1790+X1799+X1808,0)</f>
        <v>43691</v>
      </c>
    </row>
    <row r="1812" spans="1:24" x14ac:dyDescent="0.25">
      <c r="H1812" s="341"/>
    </row>
    <row r="1815" spans="1:24" ht="18.75" x14ac:dyDescent="0.25">
      <c r="A1815" s="133"/>
      <c r="B1815" s="2506" t="s">
        <v>5400</v>
      </c>
      <c r="C1815" s="2506"/>
      <c r="D1815" s="2506"/>
      <c r="E1815" s="2506"/>
      <c r="F1815" s="2506"/>
      <c r="G1815" s="2506"/>
    </row>
    <row r="1816" spans="1:24" x14ac:dyDescent="0.25">
      <c r="A1816" s="133"/>
      <c r="G1816" s="134"/>
    </row>
    <row r="1817" spans="1:24" x14ac:dyDescent="0.25">
      <c r="A1817" s="133"/>
      <c r="G1817" s="134"/>
    </row>
    <row r="1818" spans="1:24" x14ac:dyDescent="0.25">
      <c r="A1818" s="133"/>
      <c r="G1818" s="134"/>
    </row>
    <row r="1819" spans="1:24" s="140" customFormat="1" x14ac:dyDescent="0.25">
      <c r="A1819" s="138" t="s">
        <v>3</v>
      </c>
      <c r="B1819" s="138" t="s">
        <v>5456</v>
      </c>
      <c r="C1819" s="2450" t="s">
        <v>5676</v>
      </c>
      <c r="D1819" s="2450"/>
      <c r="E1819" s="2450"/>
      <c r="F1819" s="138" t="s">
        <v>867</v>
      </c>
      <c r="G1819" s="139" t="s">
        <v>5454</v>
      </c>
      <c r="H1819" s="134"/>
    </row>
    <row r="1820" spans="1:24" s="140" customFormat="1" ht="24.95" customHeight="1" x14ac:dyDescent="0.25">
      <c r="A1820" s="141"/>
      <c r="F1820" s="141"/>
      <c r="G1820" s="134"/>
      <c r="H1820" s="134"/>
    </row>
    <row r="1821" spans="1:24" s="140" customFormat="1" ht="12.75" customHeight="1" x14ac:dyDescent="0.25">
      <c r="A1821" s="141"/>
      <c r="F1821" s="141"/>
      <c r="G1821" s="142"/>
      <c r="H1821" s="134"/>
    </row>
    <row r="1822" spans="1:24" s="140" customFormat="1" ht="13.5" thickBot="1" x14ac:dyDescent="0.3">
      <c r="A1822" s="141"/>
      <c r="F1822" s="141"/>
      <c r="G1822" s="134"/>
      <c r="H1822" s="134"/>
    </row>
    <row r="1823" spans="1:24" s="140" customFormat="1" ht="13.5" thickBot="1" x14ac:dyDescent="0.3">
      <c r="A1823" s="141"/>
      <c r="B1823" s="143" t="s">
        <v>5403</v>
      </c>
      <c r="C1823" s="144" t="s">
        <v>867</v>
      </c>
      <c r="D1823" s="144" t="s">
        <v>6</v>
      </c>
      <c r="E1823" s="144" t="s">
        <v>5404</v>
      </c>
      <c r="F1823" s="144" t="s">
        <v>5405</v>
      </c>
      <c r="G1823" s="145" t="s">
        <v>868</v>
      </c>
      <c r="H1823" s="134"/>
    </row>
    <row r="1824" spans="1:24" s="140" customFormat="1" x14ac:dyDescent="0.25">
      <c r="A1824" s="141"/>
      <c r="B1824" s="146" t="s">
        <v>5440</v>
      </c>
      <c r="C1824" s="147" t="s">
        <v>5406</v>
      </c>
      <c r="D1824" s="147"/>
      <c r="E1824" s="148">
        <f>+H1863</f>
        <v>18222.5</v>
      </c>
      <c r="F1824" s="167">
        <v>0.1</v>
      </c>
      <c r="G1824" s="360">
        <f>+E1824*F1824</f>
        <v>1822.25</v>
      </c>
      <c r="H1824" s="134"/>
    </row>
    <row r="1825" spans="1:8" s="140" customFormat="1" x14ac:dyDescent="0.25">
      <c r="A1825" s="141"/>
      <c r="B1825" s="154" t="s">
        <v>5647</v>
      </c>
      <c r="C1825" s="151" t="s">
        <v>5407</v>
      </c>
      <c r="D1825" s="151"/>
      <c r="E1825" s="366">
        <v>65000</v>
      </c>
      <c r="F1825" s="197">
        <v>4</v>
      </c>
      <c r="G1825" s="360">
        <f>+E1825/F1825</f>
        <v>16250</v>
      </c>
      <c r="H1825" s="134"/>
    </row>
    <row r="1826" spans="1:8" s="140" customFormat="1" x14ac:dyDescent="0.25">
      <c r="A1826" s="141"/>
      <c r="B1826" s="300"/>
      <c r="C1826" s="151"/>
      <c r="D1826" s="151"/>
      <c r="E1826" s="366"/>
      <c r="F1826" s="197"/>
      <c r="G1826" s="360"/>
      <c r="H1826" s="134"/>
    </row>
    <row r="1827" spans="1:8" s="140" customFormat="1" x14ac:dyDescent="0.25">
      <c r="A1827" s="141"/>
      <c r="B1827" s="155"/>
      <c r="C1827" s="151"/>
      <c r="D1827" s="152"/>
      <c r="E1827" s="152"/>
      <c r="F1827" s="151"/>
      <c r="G1827" s="156"/>
      <c r="H1827" s="134"/>
    </row>
    <row r="1828" spans="1:8" s="140" customFormat="1" x14ac:dyDescent="0.25">
      <c r="A1828" s="141"/>
      <c r="B1828" s="155"/>
      <c r="C1828" s="151"/>
      <c r="D1828" s="152"/>
      <c r="E1828" s="152"/>
      <c r="F1828" s="151"/>
      <c r="G1828" s="156"/>
      <c r="H1828" s="134"/>
    </row>
    <row r="1829" spans="1:8" s="140" customFormat="1" ht="13.5" thickBot="1" x14ac:dyDescent="0.3">
      <c r="A1829" s="141"/>
      <c r="B1829" s="155"/>
      <c r="C1829" s="151"/>
      <c r="D1829" s="152"/>
      <c r="E1829" s="152"/>
      <c r="F1829" s="151"/>
      <c r="G1829" s="156"/>
      <c r="H1829" s="134"/>
    </row>
    <row r="1830" spans="1:8" s="140" customFormat="1" ht="13.5" thickBot="1" x14ac:dyDescent="0.3">
      <c r="A1830" s="141"/>
      <c r="B1830" s="157"/>
      <c r="C1830" s="158"/>
      <c r="D1830" s="159"/>
      <c r="E1830" s="159"/>
      <c r="F1830" s="158"/>
      <c r="G1830" s="160"/>
      <c r="H1830" s="161">
        <f>+SUM(G1824:G1830)</f>
        <v>18072.25</v>
      </c>
    </row>
    <row r="1831" spans="1:8" s="140" customFormat="1" ht="13.5" thickBot="1" x14ac:dyDescent="0.3">
      <c r="A1831" s="141"/>
      <c r="B1831" s="162"/>
      <c r="C1831" s="163"/>
      <c r="D1831" s="162"/>
      <c r="E1831" s="162"/>
      <c r="F1831" s="163"/>
      <c r="G1831" s="164"/>
      <c r="H1831" s="165"/>
    </row>
    <row r="1832" spans="1:8" s="140" customFormat="1" ht="13.5" thickBot="1" x14ac:dyDescent="0.3">
      <c r="B1832" s="143" t="s">
        <v>5408</v>
      </c>
      <c r="C1832" s="144" t="s">
        <v>867</v>
      </c>
      <c r="D1832" s="144" t="s">
        <v>6</v>
      </c>
      <c r="E1832" s="144" t="s">
        <v>870</v>
      </c>
      <c r="F1832" s="144" t="s">
        <v>5409</v>
      </c>
      <c r="G1832" s="145" t="s">
        <v>868</v>
      </c>
      <c r="H1832" s="134"/>
    </row>
    <row r="1833" spans="1:8" s="140" customFormat="1" x14ac:dyDescent="0.25">
      <c r="B1833" s="201"/>
      <c r="C1833" s="147"/>
      <c r="D1833" s="206"/>
      <c r="E1833" s="148"/>
      <c r="F1833" s="169"/>
      <c r="G1833" s="367"/>
      <c r="H1833" s="134"/>
    </row>
    <row r="1834" spans="1:8" s="140" customFormat="1" x14ac:dyDescent="0.25">
      <c r="B1834" s="196"/>
      <c r="C1834" s="151"/>
      <c r="D1834" s="151"/>
      <c r="E1834" s="148"/>
      <c r="F1834" s="169"/>
      <c r="G1834" s="354"/>
      <c r="H1834" s="134"/>
    </row>
    <row r="1835" spans="1:8" s="140" customFormat="1" x14ac:dyDescent="0.25">
      <c r="B1835" s="196"/>
      <c r="C1835" s="151"/>
      <c r="D1835" s="151"/>
      <c r="E1835" s="148"/>
      <c r="F1835" s="169"/>
      <c r="G1835" s="367"/>
      <c r="H1835" s="134"/>
    </row>
    <row r="1836" spans="1:8" s="140" customFormat="1" x14ac:dyDescent="0.25">
      <c r="B1836" s="155"/>
      <c r="C1836" s="151"/>
      <c r="D1836" s="151"/>
      <c r="E1836" s="148"/>
      <c r="F1836" s="151"/>
      <c r="G1836" s="367"/>
      <c r="H1836" s="134"/>
    </row>
    <row r="1837" spans="1:8" s="140" customFormat="1" x14ac:dyDescent="0.25">
      <c r="B1837" s="155"/>
      <c r="C1837" s="151"/>
      <c r="D1837" s="151"/>
      <c r="E1837" s="148"/>
      <c r="F1837" s="151"/>
      <c r="G1837" s="367"/>
      <c r="H1837" s="134"/>
    </row>
    <row r="1838" spans="1:8" s="140" customFormat="1" x14ac:dyDescent="0.25">
      <c r="B1838" s="155"/>
      <c r="C1838" s="151"/>
      <c r="D1838" s="151"/>
      <c r="E1838" s="148"/>
      <c r="F1838" s="151"/>
      <c r="G1838" s="367"/>
      <c r="H1838" s="134"/>
    </row>
    <row r="1839" spans="1:8" s="140" customFormat="1" x14ac:dyDescent="0.25">
      <c r="B1839" s="155"/>
      <c r="C1839" s="151"/>
      <c r="D1839" s="151"/>
      <c r="E1839" s="148"/>
      <c r="F1839" s="151"/>
      <c r="G1839" s="367"/>
      <c r="H1839" s="134"/>
    </row>
    <row r="1840" spans="1:8" s="140" customFormat="1" x14ac:dyDescent="0.25">
      <c r="B1840" s="155"/>
      <c r="C1840" s="151"/>
      <c r="D1840" s="151"/>
      <c r="E1840" s="148"/>
      <c r="F1840" s="151"/>
      <c r="G1840" s="367"/>
      <c r="H1840" s="134"/>
    </row>
    <row r="1841" spans="2:8" s="140" customFormat="1" x14ac:dyDescent="0.25">
      <c r="B1841" s="155"/>
      <c r="C1841" s="151"/>
      <c r="D1841" s="151"/>
      <c r="E1841" s="148"/>
      <c r="F1841" s="151"/>
      <c r="G1841" s="367"/>
      <c r="H1841" s="134"/>
    </row>
    <row r="1842" spans="2:8" s="140" customFormat="1" x14ac:dyDescent="0.25">
      <c r="B1842" s="155"/>
      <c r="C1842" s="151"/>
      <c r="D1842" s="151"/>
      <c r="E1842" s="148"/>
      <c r="F1842" s="151"/>
      <c r="G1842" s="367"/>
      <c r="H1842" s="134"/>
    </row>
    <row r="1843" spans="2:8" s="140" customFormat="1" x14ac:dyDescent="0.25">
      <c r="B1843" s="155"/>
      <c r="C1843" s="152"/>
      <c r="D1843" s="152"/>
      <c r="E1843" s="152"/>
      <c r="F1843" s="151"/>
      <c r="G1843" s="156"/>
      <c r="H1843" s="134"/>
    </row>
    <row r="1844" spans="2:8" s="140" customFormat="1" ht="13.5" thickBot="1" x14ac:dyDescent="0.3">
      <c r="B1844" s="155"/>
      <c r="C1844" s="152"/>
      <c r="D1844" s="152"/>
      <c r="E1844" s="152"/>
      <c r="F1844" s="151"/>
      <c r="G1844" s="156"/>
      <c r="H1844" s="134"/>
    </row>
    <row r="1845" spans="2:8" s="140" customFormat="1" ht="13.5" thickBot="1" x14ac:dyDescent="0.3">
      <c r="B1845" s="157"/>
      <c r="C1845" s="159"/>
      <c r="D1845" s="159"/>
      <c r="E1845" s="159"/>
      <c r="F1845" s="158"/>
      <c r="G1845" s="160"/>
      <c r="H1845" s="161">
        <f>+SUM(G1833:G1845)</f>
        <v>0</v>
      </c>
    </row>
    <row r="1846" spans="2:8" s="140" customFormat="1" ht="13.5" thickBot="1" x14ac:dyDescent="0.3">
      <c r="B1846" s="162"/>
      <c r="C1846" s="162"/>
      <c r="D1846" s="162"/>
      <c r="E1846" s="162"/>
      <c r="F1846" s="163"/>
      <c r="G1846" s="164"/>
      <c r="H1846" s="165"/>
    </row>
    <row r="1847" spans="2:8" s="140" customFormat="1" ht="13.5" thickBot="1" x14ac:dyDescent="0.3">
      <c r="B1847" s="143" t="s">
        <v>5410</v>
      </c>
      <c r="C1847" s="144" t="s">
        <v>867</v>
      </c>
      <c r="D1847" s="144" t="s">
        <v>6</v>
      </c>
      <c r="E1847" s="144" t="s">
        <v>870</v>
      </c>
      <c r="F1847" s="144" t="s">
        <v>5411</v>
      </c>
      <c r="G1847" s="145" t="s">
        <v>868</v>
      </c>
      <c r="H1847" s="134"/>
    </row>
    <row r="1848" spans="2:8" s="140" customFormat="1" x14ac:dyDescent="0.25">
      <c r="B1848" s="201"/>
      <c r="C1848" s="147"/>
      <c r="D1848" s="167"/>
      <c r="E1848" s="148"/>
      <c r="F1848" s="169"/>
      <c r="G1848" s="367">
        <f>+D1848*E1848*(1+F1848)</f>
        <v>0</v>
      </c>
      <c r="H1848" s="134"/>
    </row>
    <row r="1849" spans="2:8" s="140" customFormat="1" x14ac:dyDescent="0.25">
      <c r="B1849" s="196"/>
      <c r="C1849" s="151"/>
      <c r="D1849" s="151"/>
      <c r="E1849" s="148"/>
      <c r="F1849" s="147"/>
      <c r="G1849" s="367"/>
      <c r="H1849" s="134"/>
    </row>
    <row r="1850" spans="2:8" s="140" customFormat="1" x14ac:dyDescent="0.25">
      <c r="B1850" s="196"/>
      <c r="C1850" s="151"/>
      <c r="D1850" s="151"/>
      <c r="E1850" s="148"/>
      <c r="F1850" s="151"/>
      <c r="G1850" s="367"/>
      <c r="H1850" s="134"/>
    </row>
    <row r="1851" spans="2:8" s="140" customFormat="1" x14ac:dyDescent="0.25">
      <c r="B1851" s="155"/>
      <c r="C1851" s="151"/>
      <c r="D1851" s="151"/>
      <c r="E1851" s="148"/>
      <c r="F1851" s="151"/>
      <c r="G1851" s="367"/>
      <c r="H1851" s="134"/>
    </row>
    <row r="1852" spans="2:8" s="140" customFormat="1" x14ac:dyDescent="0.25">
      <c r="B1852" s="155"/>
      <c r="C1852" s="151"/>
      <c r="D1852" s="151"/>
      <c r="E1852" s="148"/>
      <c r="F1852" s="151"/>
      <c r="G1852" s="367"/>
      <c r="H1852" s="134"/>
    </row>
    <row r="1853" spans="2:8" s="140" customFormat="1" ht="13.5" thickBot="1" x14ac:dyDescent="0.3">
      <c r="B1853" s="155"/>
      <c r="C1853" s="151"/>
      <c r="D1853" s="151"/>
      <c r="E1853" s="148"/>
      <c r="F1853" s="151"/>
      <c r="G1853" s="367"/>
      <c r="H1853" s="134"/>
    </row>
    <row r="1854" spans="2:8" s="140" customFormat="1" ht="13.5" thickBot="1" x14ac:dyDescent="0.3">
      <c r="B1854" s="157"/>
      <c r="C1854" s="159"/>
      <c r="D1854" s="159"/>
      <c r="E1854" s="159"/>
      <c r="F1854" s="158"/>
      <c r="G1854" s="160"/>
      <c r="H1854" s="161">
        <f>+SUM(G1848:G1854)</f>
        <v>0</v>
      </c>
    </row>
    <row r="1855" spans="2:8" s="140" customFormat="1" ht="13.5" thickBot="1" x14ac:dyDescent="0.3">
      <c r="B1855" s="162"/>
      <c r="C1855" s="162"/>
      <c r="D1855" s="162"/>
      <c r="E1855" s="162"/>
      <c r="F1855" s="173"/>
      <c r="G1855" s="174"/>
      <c r="H1855" s="165"/>
    </row>
    <row r="1856" spans="2:8" s="140" customFormat="1" ht="13.5" thickBot="1" x14ac:dyDescent="0.3">
      <c r="B1856" s="143" t="s">
        <v>5412</v>
      </c>
      <c r="C1856" s="144" t="s">
        <v>5420</v>
      </c>
      <c r="D1856" s="144" t="s">
        <v>5421</v>
      </c>
      <c r="E1856" s="144" t="s">
        <v>5413</v>
      </c>
      <c r="F1856" s="144" t="s">
        <v>5405</v>
      </c>
      <c r="G1856" s="145" t="s">
        <v>868</v>
      </c>
      <c r="H1856" s="134"/>
    </row>
    <row r="1857" spans="1:8" s="140" customFormat="1" x14ac:dyDescent="0.25">
      <c r="B1857" s="194" t="s">
        <v>5650</v>
      </c>
      <c r="C1857" s="345">
        <v>70000</v>
      </c>
      <c r="D1857" s="345">
        <f>+C1857*0.85</f>
        <v>59500</v>
      </c>
      <c r="E1857" s="353">
        <f>+C1857+D1857</f>
        <v>129500</v>
      </c>
      <c r="F1857" s="202">
        <v>100</v>
      </c>
      <c r="G1857" s="351">
        <f>+E1857/F1857</f>
        <v>1295</v>
      </c>
      <c r="H1857" s="134"/>
    </row>
    <row r="1858" spans="1:8" s="140" customFormat="1" x14ac:dyDescent="0.25">
      <c r="B1858" s="194" t="s">
        <v>5651</v>
      </c>
      <c r="C1858" s="345">
        <v>40000</v>
      </c>
      <c r="D1858" s="345">
        <f>+C1858*0.85</f>
        <v>34000</v>
      </c>
      <c r="E1858" s="353">
        <f>+C1858+D1858</f>
        <v>74000</v>
      </c>
      <c r="F1858" s="204">
        <v>10</v>
      </c>
      <c r="G1858" s="351">
        <f>+E1858/F1858</f>
        <v>7400</v>
      </c>
      <c r="H1858" s="134"/>
    </row>
    <row r="1859" spans="1:8" s="140" customFormat="1" x14ac:dyDescent="0.25">
      <c r="B1859" s="195" t="s">
        <v>5635</v>
      </c>
      <c r="C1859" s="345">
        <v>20600</v>
      </c>
      <c r="D1859" s="345">
        <f>+C1859*0.85</f>
        <v>17510</v>
      </c>
      <c r="E1859" s="353">
        <f>+C1859+D1859</f>
        <v>38110</v>
      </c>
      <c r="F1859" s="205">
        <v>8</v>
      </c>
      <c r="G1859" s="351">
        <f>+E1859/F1859</f>
        <v>4763.75</v>
      </c>
      <c r="H1859" s="134"/>
    </row>
    <row r="1860" spans="1:8" s="140" customFormat="1" x14ac:dyDescent="0.25">
      <c r="B1860" s="195" t="s">
        <v>5635</v>
      </c>
      <c r="C1860" s="345">
        <v>20600</v>
      </c>
      <c r="D1860" s="345">
        <f>+C1860*0.85</f>
        <v>17510</v>
      </c>
      <c r="E1860" s="353">
        <f>+C1860+D1860</f>
        <v>38110</v>
      </c>
      <c r="F1860" s="205">
        <v>8</v>
      </c>
      <c r="G1860" s="351">
        <f>+E1860/F1860</f>
        <v>4763.75</v>
      </c>
      <c r="H1860" s="134"/>
    </row>
    <row r="1861" spans="1:8" s="140" customFormat="1" x14ac:dyDescent="0.25">
      <c r="B1861" s="155"/>
      <c r="C1861" s="152"/>
      <c r="D1861" s="152"/>
      <c r="E1861" s="152"/>
      <c r="F1861" s="151"/>
      <c r="G1861" s="156"/>
      <c r="H1861" s="134"/>
    </row>
    <row r="1862" spans="1:8" s="140" customFormat="1" ht="13.5" thickBot="1" x14ac:dyDescent="0.3">
      <c r="B1862" s="155"/>
      <c r="C1862" s="152"/>
      <c r="D1862" s="152"/>
      <c r="E1862" s="152"/>
      <c r="F1862" s="151"/>
      <c r="G1862" s="156"/>
      <c r="H1862" s="134"/>
    </row>
    <row r="1863" spans="1:8" s="140" customFormat="1" ht="13.5" thickBot="1" x14ac:dyDescent="0.3">
      <c r="B1863" s="179"/>
      <c r="C1863" s="180"/>
      <c r="D1863" s="180"/>
      <c r="E1863" s="180"/>
      <c r="F1863" s="181"/>
      <c r="G1863" s="182"/>
      <c r="H1863" s="161">
        <f>+SUM(G1857:G1863)</f>
        <v>18222.5</v>
      </c>
    </row>
    <row r="1864" spans="1:8" s="140" customFormat="1" ht="13.5" thickBot="1" x14ac:dyDescent="0.3">
      <c r="F1864" s="141"/>
      <c r="G1864" s="134"/>
      <c r="H1864" s="134"/>
    </row>
    <row r="1865" spans="1:8" s="140" customFormat="1" ht="13.5" thickBot="1" x14ac:dyDescent="0.3">
      <c r="E1865" s="183" t="s">
        <v>5415</v>
      </c>
      <c r="F1865" s="141"/>
      <c r="G1865" s="134"/>
      <c r="H1865" s="161">
        <f>ROUND(+H1830+H1845+H1854+H1863,0)</f>
        <v>36295</v>
      </c>
    </row>
    <row r="1867" spans="1:8" x14ac:dyDescent="0.25">
      <c r="H1867" s="341"/>
    </row>
    <row r="1870" spans="1:8" ht="18.75" x14ac:dyDescent="0.25">
      <c r="A1870" s="133"/>
      <c r="B1870" s="2506" t="s">
        <v>5400</v>
      </c>
      <c r="C1870" s="2506"/>
      <c r="D1870" s="2506"/>
      <c r="E1870" s="2506"/>
      <c r="F1870" s="2506"/>
      <c r="G1870" s="2506"/>
    </row>
    <row r="1871" spans="1:8" x14ac:dyDescent="0.25">
      <c r="A1871" s="133"/>
      <c r="G1871" s="134"/>
    </row>
    <row r="1872" spans="1:8" x14ac:dyDescent="0.25">
      <c r="A1872" s="133"/>
      <c r="G1872" s="134"/>
    </row>
    <row r="1873" spans="1:8" x14ac:dyDescent="0.25">
      <c r="A1873" s="133"/>
      <c r="G1873" s="134"/>
    </row>
    <row r="1874" spans="1:8" s="140" customFormat="1" x14ac:dyDescent="0.25">
      <c r="A1874" s="138" t="s">
        <v>3</v>
      </c>
      <c r="B1874" s="138" t="s">
        <v>5457</v>
      </c>
      <c r="C1874" s="2450" t="s">
        <v>5677</v>
      </c>
      <c r="D1874" s="2450"/>
      <c r="E1874" s="2450"/>
      <c r="F1874" s="138" t="s">
        <v>867</v>
      </c>
      <c r="G1874" s="139" t="s">
        <v>5454</v>
      </c>
      <c r="H1874" s="134"/>
    </row>
    <row r="1875" spans="1:8" s="140" customFormat="1" ht="24.95" customHeight="1" x14ac:dyDescent="0.25">
      <c r="A1875" s="141"/>
      <c r="F1875" s="141"/>
      <c r="G1875" s="134"/>
      <c r="H1875" s="134"/>
    </row>
    <row r="1876" spans="1:8" s="140" customFormat="1" ht="12.75" customHeight="1" x14ac:dyDescent="0.25">
      <c r="A1876" s="141"/>
      <c r="F1876" s="141"/>
      <c r="G1876" s="142"/>
      <c r="H1876" s="134"/>
    </row>
    <row r="1877" spans="1:8" s="140" customFormat="1" ht="13.5" thickBot="1" x14ac:dyDescent="0.3">
      <c r="A1877" s="141"/>
      <c r="F1877" s="141"/>
      <c r="G1877" s="134"/>
      <c r="H1877" s="134"/>
    </row>
    <row r="1878" spans="1:8" s="140" customFormat="1" ht="13.5" thickBot="1" x14ac:dyDescent="0.3">
      <c r="A1878" s="141"/>
      <c r="B1878" s="143" t="s">
        <v>5403</v>
      </c>
      <c r="C1878" s="144" t="s">
        <v>867</v>
      </c>
      <c r="D1878" s="144" t="s">
        <v>6</v>
      </c>
      <c r="E1878" s="144" t="s">
        <v>5404</v>
      </c>
      <c r="F1878" s="144" t="s">
        <v>5405</v>
      </c>
      <c r="G1878" s="145" t="s">
        <v>868</v>
      </c>
      <c r="H1878" s="134"/>
    </row>
    <row r="1879" spans="1:8" s="140" customFormat="1" x14ac:dyDescent="0.25">
      <c r="A1879" s="141"/>
      <c r="B1879" s="146" t="s">
        <v>5440</v>
      </c>
      <c r="C1879" s="147" t="s">
        <v>5406</v>
      </c>
      <c r="D1879" s="147"/>
      <c r="E1879" s="148">
        <f>+H1918</f>
        <v>23402.5</v>
      </c>
      <c r="F1879" s="167">
        <v>0.1</v>
      </c>
      <c r="G1879" s="360">
        <f>+E1879*F1879</f>
        <v>2340.25</v>
      </c>
      <c r="H1879" s="134"/>
    </row>
    <row r="1880" spans="1:8" s="140" customFormat="1" x14ac:dyDescent="0.25">
      <c r="A1880" s="141"/>
      <c r="B1880" s="154" t="s">
        <v>5647</v>
      </c>
      <c r="C1880" s="151" t="s">
        <v>5407</v>
      </c>
      <c r="D1880" s="151"/>
      <c r="E1880" s="366">
        <v>65000</v>
      </c>
      <c r="F1880" s="197">
        <v>6</v>
      </c>
      <c r="G1880" s="360">
        <f>+E1880/F1880</f>
        <v>10833.333333333334</v>
      </c>
      <c r="H1880" s="134"/>
    </row>
    <row r="1881" spans="1:8" s="140" customFormat="1" x14ac:dyDescent="0.25">
      <c r="A1881" s="141"/>
      <c r="B1881" s="154"/>
      <c r="C1881" s="151"/>
      <c r="D1881" s="151"/>
      <c r="E1881" s="366"/>
      <c r="F1881" s="151"/>
      <c r="G1881" s="360"/>
      <c r="H1881" s="134"/>
    </row>
    <row r="1882" spans="1:8" s="140" customFormat="1" x14ac:dyDescent="0.25">
      <c r="A1882" s="141"/>
      <c r="B1882" s="155"/>
      <c r="C1882" s="151"/>
      <c r="D1882" s="152"/>
      <c r="E1882" s="152"/>
      <c r="F1882" s="151"/>
      <c r="G1882" s="156"/>
      <c r="H1882" s="134"/>
    </row>
    <row r="1883" spans="1:8" s="140" customFormat="1" x14ac:dyDescent="0.25">
      <c r="A1883" s="141"/>
      <c r="B1883" s="155"/>
      <c r="C1883" s="151"/>
      <c r="D1883" s="152"/>
      <c r="E1883" s="152"/>
      <c r="F1883" s="151"/>
      <c r="G1883" s="156"/>
      <c r="H1883" s="134"/>
    </row>
    <row r="1884" spans="1:8" s="140" customFormat="1" ht="13.5" thickBot="1" x14ac:dyDescent="0.3">
      <c r="A1884" s="141"/>
      <c r="B1884" s="155"/>
      <c r="C1884" s="151"/>
      <c r="D1884" s="152"/>
      <c r="E1884" s="152"/>
      <c r="F1884" s="151"/>
      <c r="G1884" s="156"/>
      <c r="H1884" s="134"/>
    </row>
    <row r="1885" spans="1:8" s="140" customFormat="1" ht="13.5" thickBot="1" x14ac:dyDescent="0.3">
      <c r="A1885" s="141"/>
      <c r="B1885" s="157"/>
      <c r="C1885" s="158"/>
      <c r="D1885" s="159"/>
      <c r="E1885" s="159"/>
      <c r="F1885" s="158"/>
      <c r="G1885" s="160"/>
      <c r="H1885" s="161">
        <f>+SUM(G1879:G1885)</f>
        <v>13173.583333333334</v>
      </c>
    </row>
    <row r="1886" spans="1:8" s="140" customFormat="1" ht="13.5" thickBot="1" x14ac:dyDescent="0.3">
      <c r="A1886" s="141"/>
      <c r="B1886" s="162"/>
      <c r="C1886" s="163"/>
      <c r="D1886" s="162"/>
      <c r="E1886" s="162"/>
      <c r="F1886" s="163"/>
      <c r="G1886" s="164"/>
      <c r="H1886" s="165"/>
    </row>
    <row r="1887" spans="1:8" s="140" customFormat="1" ht="13.5" thickBot="1" x14ac:dyDescent="0.3">
      <c r="B1887" s="143" t="s">
        <v>5408</v>
      </c>
      <c r="C1887" s="144" t="s">
        <v>867</v>
      </c>
      <c r="D1887" s="144" t="s">
        <v>6</v>
      </c>
      <c r="E1887" s="144" t="s">
        <v>870</v>
      </c>
      <c r="F1887" s="144" t="s">
        <v>5409</v>
      </c>
      <c r="G1887" s="145" t="s">
        <v>868</v>
      </c>
      <c r="H1887" s="134"/>
    </row>
    <row r="1888" spans="1:8" s="140" customFormat="1" x14ac:dyDescent="0.25">
      <c r="B1888" s="201"/>
      <c r="C1888" s="147"/>
      <c r="D1888" s="206"/>
      <c r="E1888" s="148"/>
      <c r="F1888" s="169"/>
      <c r="G1888" s="367"/>
      <c r="H1888" s="134"/>
    </row>
    <row r="1889" spans="2:8" s="140" customFormat="1" x14ac:dyDescent="0.25">
      <c r="B1889" s="196"/>
      <c r="C1889" s="151"/>
      <c r="D1889" s="151"/>
      <c r="E1889" s="148"/>
      <c r="F1889" s="169"/>
      <c r="G1889" s="354"/>
      <c r="H1889" s="134"/>
    </row>
    <row r="1890" spans="2:8" s="140" customFormat="1" x14ac:dyDescent="0.25">
      <c r="B1890" s="196"/>
      <c r="C1890" s="151"/>
      <c r="D1890" s="151"/>
      <c r="E1890" s="148"/>
      <c r="F1890" s="169"/>
      <c r="G1890" s="367"/>
      <c r="H1890" s="134"/>
    </row>
    <row r="1891" spans="2:8" s="140" customFormat="1" x14ac:dyDescent="0.25">
      <c r="B1891" s="155"/>
      <c r="C1891" s="151"/>
      <c r="D1891" s="151"/>
      <c r="E1891" s="148"/>
      <c r="F1891" s="151"/>
      <c r="G1891" s="367"/>
      <c r="H1891" s="134"/>
    </row>
    <row r="1892" spans="2:8" s="140" customFormat="1" x14ac:dyDescent="0.25">
      <c r="B1892" s="155"/>
      <c r="C1892" s="151"/>
      <c r="D1892" s="151"/>
      <c r="E1892" s="148"/>
      <c r="F1892" s="151"/>
      <c r="G1892" s="367"/>
      <c r="H1892" s="134"/>
    </row>
    <row r="1893" spans="2:8" s="140" customFormat="1" x14ac:dyDescent="0.25">
      <c r="B1893" s="155"/>
      <c r="C1893" s="151"/>
      <c r="D1893" s="151"/>
      <c r="E1893" s="148"/>
      <c r="F1893" s="151"/>
      <c r="G1893" s="367"/>
      <c r="H1893" s="134"/>
    </row>
    <row r="1894" spans="2:8" s="140" customFormat="1" x14ac:dyDescent="0.25">
      <c r="B1894" s="155"/>
      <c r="C1894" s="151"/>
      <c r="D1894" s="151"/>
      <c r="E1894" s="148"/>
      <c r="F1894" s="151"/>
      <c r="G1894" s="367"/>
      <c r="H1894" s="134"/>
    </row>
    <row r="1895" spans="2:8" s="140" customFormat="1" x14ac:dyDescent="0.25">
      <c r="B1895" s="155"/>
      <c r="C1895" s="151"/>
      <c r="D1895" s="151"/>
      <c r="E1895" s="148"/>
      <c r="F1895" s="151"/>
      <c r="G1895" s="367"/>
      <c r="H1895" s="134"/>
    </row>
    <row r="1896" spans="2:8" s="140" customFormat="1" x14ac:dyDescent="0.25">
      <c r="B1896" s="155"/>
      <c r="C1896" s="151"/>
      <c r="D1896" s="151"/>
      <c r="E1896" s="148"/>
      <c r="F1896" s="151"/>
      <c r="G1896" s="367"/>
      <c r="H1896" s="134"/>
    </row>
    <row r="1897" spans="2:8" s="140" customFormat="1" x14ac:dyDescent="0.25">
      <c r="B1897" s="155"/>
      <c r="C1897" s="151"/>
      <c r="D1897" s="151"/>
      <c r="E1897" s="148"/>
      <c r="F1897" s="151"/>
      <c r="G1897" s="367"/>
      <c r="H1897" s="134"/>
    </row>
    <row r="1898" spans="2:8" s="140" customFormat="1" x14ac:dyDescent="0.25">
      <c r="B1898" s="155"/>
      <c r="C1898" s="152"/>
      <c r="D1898" s="152"/>
      <c r="E1898" s="152"/>
      <c r="F1898" s="151"/>
      <c r="G1898" s="156"/>
      <c r="H1898" s="134"/>
    </row>
    <row r="1899" spans="2:8" s="140" customFormat="1" ht="13.5" thickBot="1" x14ac:dyDescent="0.3">
      <c r="B1899" s="155"/>
      <c r="C1899" s="152"/>
      <c r="D1899" s="152"/>
      <c r="E1899" s="152"/>
      <c r="F1899" s="151"/>
      <c r="G1899" s="156"/>
      <c r="H1899" s="134"/>
    </row>
    <row r="1900" spans="2:8" s="140" customFormat="1" ht="13.5" thickBot="1" x14ac:dyDescent="0.3">
      <c r="B1900" s="157"/>
      <c r="C1900" s="159"/>
      <c r="D1900" s="159"/>
      <c r="E1900" s="159"/>
      <c r="F1900" s="158"/>
      <c r="G1900" s="160"/>
      <c r="H1900" s="161">
        <f>+SUM(G1888:G1900)</f>
        <v>0</v>
      </c>
    </row>
    <row r="1901" spans="2:8" s="140" customFormat="1" ht="13.5" thickBot="1" x14ac:dyDescent="0.3">
      <c r="B1901" s="162"/>
      <c r="C1901" s="162"/>
      <c r="D1901" s="162"/>
      <c r="E1901" s="162"/>
      <c r="F1901" s="163"/>
      <c r="G1901" s="164"/>
      <c r="H1901" s="165"/>
    </row>
    <row r="1902" spans="2:8" s="140" customFormat="1" ht="13.5" thickBot="1" x14ac:dyDescent="0.3">
      <c r="B1902" s="143" t="s">
        <v>5410</v>
      </c>
      <c r="C1902" s="144" t="s">
        <v>867</v>
      </c>
      <c r="D1902" s="144" t="s">
        <v>6</v>
      </c>
      <c r="E1902" s="144" t="s">
        <v>870</v>
      </c>
      <c r="F1902" s="144" t="s">
        <v>5411</v>
      </c>
      <c r="G1902" s="145" t="s">
        <v>868</v>
      </c>
      <c r="H1902" s="134"/>
    </row>
    <row r="1903" spans="2:8" s="140" customFormat="1" x14ac:dyDescent="0.25">
      <c r="B1903" s="201"/>
      <c r="C1903" s="147"/>
      <c r="D1903" s="167"/>
      <c r="E1903" s="148"/>
      <c r="F1903" s="169"/>
      <c r="G1903" s="367">
        <f>+D1903*E1903*(1+F1903)</f>
        <v>0</v>
      </c>
      <c r="H1903" s="134"/>
    </row>
    <row r="1904" spans="2:8" s="140" customFormat="1" x14ac:dyDescent="0.25">
      <c r="B1904" s="196"/>
      <c r="C1904" s="151"/>
      <c r="D1904" s="151"/>
      <c r="E1904" s="148"/>
      <c r="F1904" s="147"/>
      <c r="G1904" s="367"/>
      <c r="H1904" s="134"/>
    </row>
    <row r="1905" spans="2:8" s="140" customFormat="1" x14ac:dyDescent="0.25">
      <c r="B1905" s="196"/>
      <c r="C1905" s="151"/>
      <c r="D1905" s="151"/>
      <c r="E1905" s="148"/>
      <c r="F1905" s="151"/>
      <c r="G1905" s="367"/>
      <c r="H1905" s="134"/>
    </row>
    <row r="1906" spans="2:8" s="140" customFormat="1" x14ac:dyDescent="0.25">
      <c r="B1906" s="155"/>
      <c r="C1906" s="151"/>
      <c r="D1906" s="151"/>
      <c r="E1906" s="148"/>
      <c r="F1906" s="151"/>
      <c r="G1906" s="367"/>
      <c r="H1906" s="134"/>
    </row>
    <row r="1907" spans="2:8" s="140" customFormat="1" x14ac:dyDescent="0.25">
      <c r="B1907" s="155"/>
      <c r="C1907" s="151"/>
      <c r="D1907" s="151"/>
      <c r="E1907" s="148"/>
      <c r="F1907" s="151"/>
      <c r="G1907" s="367"/>
      <c r="H1907" s="134"/>
    </row>
    <row r="1908" spans="2:8" s="140" customFormat="1" ht="13.5" thickBot="1" x14ac:dyDescent="0.3">
      <c r="B1908" s="155"/>
      <c r="C1908" s="151"/>
      <c r="D1908" s="151"/>
      <c r="E1908" s="148"/>
      <c r="F1908" s="151"/>
      <c r="G1908" s="367"/>
      <c r="H1908" s="134"/>
    </row>
    <row r="1909" spans="2:8" s="140" customFormat="1" ht="13.5" thickBot="1" x14ac:dyDescent="0.3">
      <c r="B1909" s="157"/>
      <c r="C1909" s="159"/>
      <c r="D1909" s="159"/>
      <c r="E1909" s="159"/>
      <c r="F1909" s="158"/>
      <c r="G1909" s="160"/>
      <c r="H1909" s="161">
        <f>+SUM(G1903:G1909)</f>
        <v>0</v>
      </c>
    </row>
    <row r="1910" spans="2:8" s="140" customFormat="1" ht="13.5" thickBot="1" x14ac:dyDescent="0.3">
      <c r="B1910" s="162"/>
      <c r="C1910" s="162"/>
      <c r="D1910" s="162"/>
      <c r="E1910" s="162"/>
      <c r="F1910" s="173"/>
      <c r="G1910" s="174"/>
      <c r="H1910" s="165"/>
    </row>
    <row r="1911" spans="2:8" s="140" customFormat="1" ht="13.5" thickBot="1" x14ac:dyDescent="0.3">
      <c r="B1911" s="143" t="s">
        <v>5412</v>
      </c>
      <c r="C1911" s="144" t="s">
        <v>5420</v>
      </c>
      <c r="D1911" s="144" t="s">
        <v>5421</v>
      </c>
      <c r="E1911" s="144" t="s">
        <v>5413</v>
      </c>
      <c r="F1911" s="144" t="s">
        <v>5405</v>
      </c>
      <c r="G1911" s="145" t="s">
        <v>868</v>
      </c>
      <c r="H1911" s="134"/>
    </row>
    <row r="1912" spans="2:8" s="140" customFormat="1" x14ac:dyDescent="0.25">
      <c r="B1912" s="194" t="s">
        <v>5650</v>
      </c>
      <c r="C1912" s="345">
        <v>70000</v>
      </c>
      <c r="D1912" s="345">
        <f>+C1912*0.85</f>
        <v>59500</v>
      </c>
      <c r="E1912" s="353">
        <f>+C1912+D1912</f>
        <v>129500</v>
      </c>
      <c r="F1912" s="202">
        <v>200</v>
      </c>
      <c r="G1912" s="351">
        <f>+E1912/F1912</f>
        <v>647.5</v>
      </c>
      <c r="H1912" s="134"/>
    </row>
    <row r="1913" spans="2:8" s="140" customFormat="1" x14ac:dyDescent="0.25">
      <c r="B1913" s="194" t="s">
        <v>5651</v>
      </c>
      <c r="C1913" s="345">
        <v>40000</v>
      </c>
      <c r="D1913" s="345">
        <f>+C1913*0.85</f>
        <v>34000</v>
      </c>
      <c r="E1913" s="353">
        <f>+C1913+D1913</f>
        <v>74000</v>
      </c>
      <c r="F1913" s="204">
        <v>20</v>
      </c>
      <c r="G1913" s="351">
        <f>+E1913/F1913</f>
        <v>3700</v>
      </c>
      <c r="H1913" s="134"/>
    </row>
    <row r="1914" spans="2:8" s="140" customFormat="1" x14ac:dyDescent="0.25">
      <c r="B1914" s="195" t="s">
        <v>5635</v>
      </c>
      <c r="C1914" s="345">
        <v>20600</v>
      </c>
      <c r="D1914" s="345">
        <f>+C1914*0.85</f>
        <v>17510</v>
      </c>
      <c r="E1914" s="353">
        <f>+C1914+D1914</f>
        <v>38110</v>
      </c>
      <c r="F1914" s="205">
        <v>4</v>
      </c>
      <c r="G1914" s="351">
        <f>+E1914/F1914</f>
        <v>9527.5</v>
      </c>
      <c r="H1914" s="134"/>
    </row>
    <row r="1915" spans="2:8" s="140" customFormat="1" x14ac:dyDescent="0.25">
      <c r="B1915" s="155" t="s">
        <v>5648</v>
      </c>
      <c r="C1915" s="345">
        <v>20600</v>
      </c>
      <c r="D1915" s="345">
        <f>+C1915*0.85</f>
        <v>17510</v>
      </c>
      <c r="E1915" s="353">
        <f>+C1915+D1915</f>
        <v>38110</v>
      </c>
      <c r="F1915" s="205">
        <v>4</v>
      </c>
      <c r="G1915" s="351">
        <f>+E1915/F1915</f>
        <v>9527.5</v>
      </c>
      <c r="H1915" s="134"/>
    </row>
    <row r="1916" spans="2:8" s="140" customFormat="1" x14ac:dyDescent="0.25">
      <c r="B1916" s="155"/>
      <c r="C1916" s="152"/>
      <c r="D1916" s="152"/>
      <c r="E1916" s="152"/>
      <c r="F1916" s="151"/>
      <c r="G1916" s="156"/>
      <c r="H1916" s="134"/>
    </row>
    <row r="1917" spans="2:8" s="140" customFormat="1" ht="13.5" thickBot="1" x14ac:dyDescent="0.3">
      <c r="B1917" s="155"/>
      <c r="C1917" s="152"/>
      <c r="D1917" s="152"/>
      <c r="E1917" s="152"/>
      <c r="F1917" s="151"/>
      <c r="G1917" s="156"/>
      <c r="H1917" s="134"/>
    </row>
    <row r="1918" spans="2:8" s="140" customFormat="1" ht="13.5" thickBot="1" x14ac:dyDescent="0.3">
      <c r="B1918" s="179"/>
      <c r="C1918" s="180"/>
      <c r="D1918" s="180"/>
      <c r="E1918" s="180"/>
      <c r="F1918" s="181"/>
      <c r="G1918" s="182"/>
      <c r="H1918" s="161">
        <f>+SUM(G1912:G1918)</f>
        <v>23402.5</v>
      </c>
    </row>
    <row r="1919" spans="2:8" s="140" customFormat="1" ht="13.5" thickBot="1" x14ac:dyDescent="0.3">
      <c r="F1919" s="141"/>
      <c r="G1919" s="134"/>
      <c r="H1919" s="134"/>
    </row>
    <row r="1920" spans="2:8" s="140" customFormat="1" ht="13.5" thickBot="1" x14ac:dyDescent="0.3">
      <c r="E1920" s="183" t="s">
        <v>5415</v>
      </c>
      <c r="F1920" s="141"/>
      <c r="G1920" s="134"/>
      <c r="H1920" s="161">
        <f>ROUND(+H1885+H1900+H1909+H1918,0)</f>
        <v>36576</v>
      </c>
    </row>
    <row r="1925" spans="1:8" ht="18.75" x14ac:dyDescent="0.25">
      <c r="A1925" s="133"/>
      <c r="B1925" s="2506" t="s">
        <v>5400</v>
      </c>
      <c r="C1925" s="2506"/>
      <c r="D1925" s="2506"/>
      <c r="E1925" s="2506"/>
      <c r="F1925" s="2506"/>
      <c r="G1925" s="2506"/>
    </row>
    <row r="1926" spans="1:8" x14ac:dyDescent="0.25">
      <c r="A1926" s="133"/>
      <c r="G1926" s="134"/>
    </row>
    <row r="1927" spans="1:8" x14ac:dyDescent="0.25">
      <c r="A1927" s="133"/>
      <c r="G1927" s="134"/>
    </row>
    <row r="1928" spans="1:8" x14ac:dyDescent="0.25">
      <c r="A1928" s="133"/>
      <c r="G1928" s="134"/>
    </row>
    <row r="1929" spans="1:8" s="140" customFormat="1" x14ac:dyDescent="0.25">
      <c r="A1929" s="138" t="s">
        <v>3</v>
      </c>
      <c r="B1929" s="138" t="s">
        <v>5457</v>
      </c>
      <c r="C1929" s="2450" t="s">
        <v>5681</v>
      </c>
      <c r="D1929" s="2450"/>
      <c r="E1929" s="2450"/>
      <c r="F1929" s="138" t="s">
        <v>867</v>
      </c>
      <c r="G1929" s="139" t="s">
        <v>5454</v>
      </c>
      <c r="H1929" s="134"/>
    </row>
    <row r="1930" spans="1:8" s="140" customFormat="1" ht="12.75" customHeight="1" x14ac:dyDescent="0.25">
      <c r="A1930" s="141"/>
      <c r="F1930" s="141"/>
      <c r="G1930" s="134"/>
      <c r="H1930" s="134"/>
    </row>
    <row r="1931" spans="1:8" s="140" customFormat="1" ht="12.75" customHeight="1" x14ac:dyDescent="0.25">
      <c r="A1931" s="141"/>
      <c r="F1931" s="141"/>
      <c r="G1931" s="142"/>
      <c r="H1931" s="134"/>
    </row>
    <row r="1932" spans="1:8" s="140" customFormat="1" ht="13.5" thickBot="1" x14ac:dyDescent="0.3">
      <c r="A1932" s="141"/>
      <c r="F1932" s="141"/>
      <c r="G1932" s="134"/>
      <c r="H1932" s="134"/>
    </row>
    <row r="1933" spans="1:8" s="140" customFormat="1" ht="13.5" thickBot="1" x14ac:dyDescent="0.3">
      <c r="A1933" s="141"/>
      <c r="B1933" s="143" t="s">
        <v>5403</v>
      </c>
      <c r="C1933" s="144" t="s">
        <v>867</v>
      </c>
      <c r="D1933" s="144" t="s">
        <v>6</v>
      </c>
      <c r="E1933" s="144" t="s">
        <v>5439</v>
      </c>
      <c r="F1933" s="144" t="s">
        <v>5405</v>
      </c>
      <c r="G1933" s="145" t="s">
        <v>868</v>
      </c>
      <c r="H1933" s="134"/>
    </row>
    <row r="1934" spans="1:8" s="140" customFormat="1" x14ac:dyDescent="0.25">
      <c r="A1934" s="141"/>
      <c r="B1934" s="146" t="s">
        <v>5440</v>
      </c>
      <c r="C1934" s="147" t="s">
        <v>5406</v>
      </c>
      <c r="D1934" s="147"/>
      <c r="E1934" s="148">
        <f>+H1973</f>
        <v>10873.375</v>
      </c>
      <c r="F1934" s="167">
        <v>0.1</v>
      </c>
      <c r="G1934" s="360">
        <f>+E1934*F1934</f>
        <v>1087.3375000000001</v>
      </c>
      <c r="H1934" s="134"/>
    </row>
    <row r="1935" spans="1:8" s="140" customFormat="1" x14ac:dyDescent="0.25">
      <c r="A1935" s="141"/>
      <c r="B1935" s="154" t="s">
        <v>5647</v>
      </c>
      <c r="C1935" s="151" t="s">
        <v>5407</v>
      </c>
      <c r="D1935" s="151"/>
      <c r="E1935" s="366">
        <v>65000</v>
      </c>
      <c r="F1935" s="205">
        <v>1</v>
      </c>
      <c r="G1935" s="360">
        <f>+E1935/F1935</f>
        <v>65000</v>
      </c>
      <c r="H1935" s="134"/>
    </row>
    <row r="1936" spans="1:8" s="140" customFormat="1" x14ac:dyDescent="0.25">
      <c r="A1936" s="141"/>
      <c r="B1936" s="154" t="s">
        <v>5678</v>
      </c>
      <c r="C1936" s="151" t="s">
        <v>5407</v>
      </c>
      <c r="D1936" s="205">
        <v>1</v>
      </c>
      <c r="E1936" s="366">
        <v>92000</v>
      </c>
      <c r="F1936" s="205">
        <v>16</v>
      </c>
      <c r="G1936" s="360">
        <f>+E1936/F1936</f>
        <v>5750</v>
      </c>
      <c r="H1936" s="134"/>
    </row>
    <row r="1937" spans="1:8" s="140" customFormat="1" x14ac:dyDescent="0.25">
      <c r="A1937" s="141"/>
      <c r="B1937" s="155"/>
      <c r="C1937" s="151"/>
      <c r="D1937" s="152"/>
      <c r="E1937" s="152"/>
      <c r="F1937" s="151"/>
      <c r="G1937" s="156"/>
      <c r="H1937" s="134"/>
    </row>
    <row r="1938" spans="1:8" s="140" customFormat="1" x14ac:dyDescent="0.25">
      <c r="A1938" s="141"/>
      <c r="B1938" s="155"/>
      <c r="C1938" s="151"/>
      <c r="D1938" s="152"/>
      <c r="E1938" s="152"/>
      <c r="F1938" s="151"/>
      <c r="G1938" s="156"/>
      <c r="H1938" s="134"/>
    </row>
    <row r="1939" spans="1:8" s="140" customFormat="1" ht="13.5" thickBot="1" x14ac:dyDescent="0.3">
      <c r="A1939" s="141"/>
      <c r="B1939" s="155"/>
      <c r="C1939" s="151"/>
      <c r="D1939" s="152"/>
      <c r="E1939" s="152"/>
      <c r="F1939" s="151"/>
      <c r="G1939" s="156"/>
      <c r="H1939" s="134"/>
    </row>
    <row r="1940" spans="1:8" s="140" customFormat="1" ht="13.5" thickBot="1" x14ac:dyDescent="0.3">
      <c r="A1940" s="141"/>
      <c r="B1940" s="157"/>
      <c r="C1940" s="158"/>
      <c r="D1940" s="159"/>
      <c r="E1940" s="159"/>
      <c r="F1940" s="158"/>
      <c r="G1940" s="160"/>
      <c r="H1940" s="161">
        <f>+SUM(G1934:G1940)</f>
        <v>71837.337499999994</v>
      </c>
    </row>
    <row r="1941" spans="1:8" s="140" customFormat="1" ht="13.5" thickBot="1" x14ac:dyDescent="0.3">
      <c r="A1941" s="141"/>
      <c r="B1941" s="162"/>
      <c r="C1941" s="163"/>
      <c r="D1941" s="162"/>
      <c r="E1941" s="162"/>
      <c r="F1941" s="163"/>
      <c r="G1941" s="164"/>
      <c r="H1941" s="165"/>
    </row>
    <row r="1942" spans="1:8" s="140" customFormat="1" ht="13.5" thickBot="1" x14ac:dyDescent="0.3">
      <c r="B1942" s="143" t="s">
        <v>5408</v>
      </c>
      <c r="C1942" s="144" t="s">
        <v>867</v>
      </c>
      <c r="D1942" s="144" t="s">
        <v>6</v>
      </c>
      <c r="E1942" s="144" t="s">
        <v>870</v>
      </c>
      <c r="F1942" s="144" t="s">
        <v>5409</v>
      </c>
      <c r="G1942" s="145" t="s">
        <v>868</v>
      </c>
      <c r="H1942" s="134"/>
    </row>
    <row r="1943" spans="1:8" s="140" customFormat="1" x14ac:dyDescent="0.25">
      <c r="B1943" s="201" t="s">
        <v>5679</v>
      </c>
      <c r="C1943" s="147" t="s">
        <v>37</v>
      </c>
      <c r="D1943" s="301">
        <v>1.25E-3</v>
      </c>
      <c r="E1943" s="148">
        <v>400000</v>
      </c>
      <c r="F1943" s="169">
        <v>0.05</v>
      </c>
      <c r="G1943" s="367">
        <f>+D1943*E1943*(1+F1943)</f>
        <v>525</v>
      </c>
      <c r="H1943" s="134"/>
    </row>
    <row r="1944" spans="1:8" s="140" customFormat="1" x14ac:dyDescent="0.25">
      <c r="B1944" s="196"/>
      <c r="C1944" s="151"/>
      <c r="D1944" s="151"/>
      <c r="E1944" s="148"/>
      <c r="F1944" s="169"/>
      <c r="G1944" s="354"/>
      <c r="H1944" s="134"/>
    </row>
    <row r="1945" spans="1:8" s="140" customFormat="1" x14ac:dyDescent="0.25">
      <c r="B1945" s="196"/>
      <c r="C1945" s="151"/>
      <c r="D1945" s="151"/>
      <c r="E1945" s="148"/>
      <c r="F1945" s="169"/>
      <c r="G1945" s="367"/>
      <c r="H1945" s="134"/>
    </row>
    <row r="1946" spans="1:8" s="140" customFormat="1" x14ac:dyDescent="0.25">
      <c r="B1946" s="155"/>
      <c r="C1946" s="151"/>
      <c r="D1946" s="151"/>
      <c r="E1946" s="148"/>
      <c r="F1946" s="151"/>
      <c r="G1946" s="367"/>
      <c r="H1946" s="134"/>
    </row>
    <row r="1947" spans="1:8" s="140" customFormat="1" x14ac:dyDescent="0.25">
      <c r="B1947" s="155"/>
      <c r="C1947" s="151"/>
      <c r="D1947" s="151"/>
      <c r="E1947" s="148"/>
      <c r="F1947" s="151"/>
      <c r="G1947" s="367"/>
      <c r="H1947" s="134"/>
    </row>
    <row r="1948" spans="1:8" s="140" customFormat="1" x14ac:dyDescent="0.25">
      <c r="B1948" s="155"/>
      <c r="C1948" s="151"/>
      <c r="D1948" s="151"/>
      <c r="E1948" s="148"/>
      <c r="F1948" s="151"/>
      <c r="G1948" s="367"/>
      <c r="H1948" s="134"/>
    </row>
    <row r="1949" spans="1:8" s="140" customFormat="1" x14ac:dyDescent="0.25">
      <c r="B1949" s="155"/>
      <c r="C1949" s="151"/>
      <c r="D1949" s="151"/>
      <c r="E1949" s="148"/>
      <c r="F1949" s="151"/>
      <c r="G1949" s="367"/>
      <c r="H1949" s="134"/>
    </row>
    <row r="1950" spans="1:8" s="140" customFormat="1" x14ac:dyDescent="0.25">
      <c r="B1950" s="155"/>
      <c r="C1950" s="151"/>
      <c r="D1950" s="151"/>
      <c r="E1950" s="148"/>
      <c r="F1950" s="151"/>
      <c r="G1950" s="367"/>
      <c r="H1950" s="134"/>
    </row>
    <row r="1951" spans="1:8" s="140" customFormat="1" x14ac:dyDescent="0.25">
      <c r="B1951" s="155"/>
      <c r="C1951" s="151"/>
      <c r="D1951" s="151"/>
      <c r="E1951" s="148"/>
      <c r="F1951" s="151"/>
      <c r="G1951" s="367"/>
      <c r="H1951" s="134"/>
    </row>
    <row r="1952" spans="1:8" s="140" customFormat="1" x14ac:dyDescent="0.25">
      <c r="B1952" s="155"/>
      <c r="C1952" s="151"/>
      <c r="D1952" s="151"/>
      <c r="E1952" s="148"/>
      <c r="F1952" s="151"/>
      <c r="G1952" s="367"/>
      <c r="H1952" s="134"/>
    </row>
    <row r="1953" spans="2:8" s="140" customFormat="1" x14ac:dyDescent="0.25">
      <c r="B1953" s="155"/>
      <c r="C1953" s="152"/>
      <c r="D1953" s="152"/>
      <c r="E1953" s="152"/>
      <c r="F1953" s="151"/>
      <c r="G1953" s="156"/>
      <c r="H1953" s="134"/>
    </row>
    <row r="1954" spans="2:8" s="140" customFormat="1" ht="13.5" thickBot="1" x14ac:dyDescent="0.3">
      <c r="B1954" s="155"/>
      <c r="C1954" s="152"/>
      <c r="D1954" s="152"/>
      <c r="E1954" s="152"/>
      <c r="F1954" s="151"/>
      <c r="G1954" s="156"/>
      <c r="H1954" s="134"/>
    </row>
    <row r="1955" spans="2:8" s="140" customFormat="1" ht="13.5" thickBot="1" x14ac:dyDescent="0.3">
      <c r="B1955" s="157"/>
      <c r="C1955" s="159"/>
      <c r="D1955" s="159"/>
      <c r="E1955" s="159"/>
      <c r="F1955" s="158"/>
      <c r="G1955" s="160"/>
      <c r="H1955" s="161">
        <f>+SUM(G1943:G1955)</f>
        <v>525</v>
      </c>
    </row>
    <row r="1956" spans="2:8" s="140" customFormat="1" ht="13.5" thickBot="1" x14ac:dyDescent="0.3">
      <c r="B1956" s="162"/>
      <c r="C1956" s="162"/>
      <c r="D1956" s="162"/>
      <c r="E1956" s="162"/>
      <c r="F1956" s="163"/>
      <c r="G1956" s="164"/>
      <c r="H1956" s="165"/>
    </row>
    <row r="1957" spans="2:8" s="140" customFormat="1" ht="13.5" thickBot="1" x14ac:dyDescent="0.3">
      <c r="B1957" s="143" t="s">
        <v>5410</v>
      </c>
      <c r="C1957" s="144" t="s">
        <v>867</v>
      </c>
      <c r="D1957" s="144" t="s">
        <v>6</v>
      </c>
      <c r="E1957" s="144" t="s">
        <v>870</v>
      </c>
      <c r="F1957" s="144" t="s">
        <v>5411</v>
      </c>
      <c r="G1957" s="145" t="s">
        <v>868</v>
      </c>
      <c r="H1957" s="134"/>
    </row>
    <row r="1958" spans="2:8" s="140" customFormat="1" x14ac:dyDescent="0.25">
      <c r="B1958" s="201"/>
      <c r="C1958" s="147"/>
      <c r="D1958" s="167"/>
      <c r="E1958" s="148"/>
      <c r="F1958" s="169"/>
      <c r="G1958" s="367">
        <f>+D1958*E1958*(1+F1958)</f>
        <v>0</v>
      </c>
      <c r="H1958" s="134"/>
    </row>
    <row r="1959" spans="2:8" s="140" customFormat="1" x14ac:dyDescent="0.25">
      <c r="B1959" s="196"/>
      <c r="C1959" s="151"/>
      <c r="D1959" s="151"/>
      <c r="E1959" s="148"/>
      <c r="F1959" s="147"/>
      <c r="G1959" s="367"/>
      <c r="H1959" s="134"/>
    </row>
    <row r="1960" spans="2:8" s="140" customFormat="1" x14ac:dyDescent="0.25">
      <c r="B1960" s="196"/>
      <c r="C1960" s="151"/>
      <c r="D1960" s="151"/>
      <c r="E1960" s="148"/>
      <c r="F1960" s="151"/>
      <c r="G1960" s="367"/>
      <c r="H1960" s="134"/>
    </row>
    <row r="1961" spans="2:8" s="140" customFormat="1" x14ac:dyDescent="0.25">
      <c r="B1961" s="155"/>
      <c r="C1961" s="151"/>
      <c r="D1961" s="151"/>
      <c r="E1961" s="148"/>
      <c r="F1961" s="151"/>
      <c r="G1961" s="367"/>
      <c r="H1961" s="134"/>
    </row>
    <row r="1962" spans="2:8" s="140" customFormat="1" x14ac:dyDescent="0.25">
      <c r="B1962" s="155"/>
      <c r="C1962" s="151"/>
      <c r="D1962" s="151"/>
      <c r="E1962" s="148"/>
      <c r="F1962" s="151"/>
      <c r="G1962" s="367"/>
      <c r="H1962" s="134"/>
    </row>
    <row r="1963" spans="2:8" s="140" customFormat="1" ht="13.5" thickBot="1" x14ac:dyDescent="0.3">
      <c r="B1963" s="155"/>
      <c r="C1963" s="151"/>
      <c r="D1963" s="151"/>
      <c r="E1963" s="148"/>
      <c r="F1963" s="151"/>
      <c r="G1963" s="367"/>
      <c r="H1963" s="134"/>
    </row>
    <row r="1964" spans="2:8" s="140" customFormat="1" ht="13.5" thickBot="1" x14ac:dyDescent="0.3">
      <c r="B1964" s="157"/>
      <c r="C1964" s="159"/>
      <c r="D1964" s="159"/>
      <c r="E1964" s="159"/>
      <c r="F1964" s="158"/>
      <c r="G1964" s="160"/>
      <c r="H1964" s="161">
        <f>+SUM(G1958:G1964)</f>
        <v>0</v>
      </c>
    </row>
    <row r="1965" spans="2:8" s="140" customFormat="1" ht="13.5" thickBot="1" x14ac:dyDescent="0.3">
      <c r="B1965" s="162"/>
      <c r="C1965" s="162"/>
      <c r="D1965" s="162"/>
      <c r="E1965" s="162"/>
      <c r="F1965" s="173"/>
      <c r="G1965" s="174"/>
      <c r="H1965" s="165"/>
    </row>
    <row r="1966" spans="2:8" s="140" customFormat="1" ht="13.5" thickBot="1" x14ac:dyDescent="0.3">
      <c r="B1966" s="143" t="s">
        <v>5412</v>
      </c>
      <c r="C1966" s="144" t="s">
        <v>5420</v>
      </c>
      <c r="D1966" s="144" t="s">
        <v>5421</v>
      </c>
      <c r="E1966" s="144" t="s">
        <v>5413</v>
      </c>
      <c r="F1966" s="144" t="s">
        <v>5405</v>
      </c>
      <c r="G1966" s="145" t="s">
        <v>868</v>
      </c>
      <c r="H1966" s="134"/>
    </row>
    <row r="1967" spans="2:8" s="140" customFormat="1" x14ac:dyDescent="0.25">
      <c r="B1967" s="194" t="s">
        <v>5650</v>
      </c>
      <c r="C1967" s="345">
        <v>70000</v>
      </c>
      <c r="D1967" s="345">
        <f>+C1967*0.85</f>
        <v>59500</v>
      </c>
      <c r="E1967" s="353">
        <f>+C1967+D1967</f>
        <v>129500</v>
      </c>
      <c r="F1967" s="202">
        <v>1000</v>
      </c>
      <c r="G1967" s="351">
        <f>+E1967/F1967</f>
        <v>129.5</v>
      </c>
      <c r="H1967" s="134"/>
    </row>
    <row r="1968" spans="2:8" s="140" customFormat="1" x14ac:dyDescent="0.25">
      <c r="B1968" s="194" t="s">
        <v>5651</v>
      </c>
      <c r="C1968" s="345">
        <v>40000</v>
      </c>
      <c r="D1968" s="345">
        <f>+C1968*0.85</f>
        <v>34000</v>
      </c>
      <c r="E1968" s="353">
        <f>+C1968+D1968</f>
        <v>74000</v>
      </c>
      <c r="F1968" s="204">
        <v>100</v>
      </c>
      <c r="G1968" s="351">
        <f>+E1968/F1968</f>
        <v>740</v>
      </c>
      <c r="H1968" s="134"/>
    </row>
    <row r="1969" spans="1:8" s="140" customFormat="1" x14ac:dyDescent="0.25">
      <c r="B1969" s="195" t="s">
        <v>5635</v>
      </c>
      <c r="C1969" s="345">
        <v>20600</v>
      </c>
      <c r="D1969" s="345">
        <f>+C1969*0.85</f>
        <v>17510</v>
      </c>
      <c r="E1969" s="353">
        <f>+C1969+D1969</f>
        <v>38110</v>
      </c>
      <c r="F1969" s="205">
        <v>8</v>
      </c>
      <c r="G1969" s="351">
        <f>+E1969/F1969</f>
        <v>4763.75</v>
      </c>
      <c r="H1969" s="134"/>
    </row>
    <row r="1970" spans="1:8" s="140" customFormat="1" x14ac:dyDescent="0.25">
      <c r="B1970" s="155" t="s">
        <v>5680</v>
      </c>
      <c r="C1970" s="345">
        <v>20600</v>
      </c>
      <c r="D1970" s="345">
        <f>+C1970*0.85</f>
        <v>17510</v>
      </c>
      <c r="E1970" s="353">
        <f>+C1970+D1970</f>
        <v>38110</v>
      </c>
      <c r="F1970" s="205">
        <v>80</v>
      </c>
      <c r="G1970" s="351">
        <f>+E1970/F1970</f>
        <v>476.375</v>
      </c>
      <c r="H1970" s="134"/>
    </row>
    <row r="1971" spans="1:8" s="140" customFormat="1" x14ac:dyDescent="0.25">
      <c r="B1971" s="155" t="s">
        <v>5648</v>
      </c>
      <c r="C1971" s="345">
        <v>20600</v>
      </c>
      <c r="D1971" s="345">
        <f>+C1971*0.85</f>
        <v>17510</v>
      </c>
      <c r="E1971" s="353">
        <f>+C1971+D1971</f>
        <v>38110</v>
      </c>
      <c r="F1971" s="205">
        <v>8</v>
      </c>
      <c r="G1971" s="351">
        <f>+E1971/F1971</f>
        <v>4763.75</v>
      </c>
      <c r="H1971" s="134"/>
    </row>
    <row r="1972" spans="1:8" s="140" customFormat="1" ht="13.5" thickBot="1" x14ac:dyDescent="0.3">
      <c r="B1972" s="155"/>
      <c r="C1972" s="152"/>
      <c r="D1972" s="152"/>
      <c r="E1972" s="152"/>
      <c r="F1972" s="151"/>
      <c r="G1972" s="156"/>
      <c r="H1972" s="134"/>
    </row>
    <row r="1973" spans="1:8" s="140" customFormat="1" ht="13.5" thickBot="1" x14ac:dyDescent="0.3">
      <c r="B1973" s="179"/>
      <c r="C1973" s="180"/>
      <c r="D1973" s="180"/>
      <c r="E1973" s="180"/>
      <c r="F1973" s="181"/>
      <c r="G1973" s="182"/>
      <c r="H1973" s="161">
        <f>+SUM(G1967:G1973)</f>
        <v>10873.375</v>
      </c>
    </row>
    <row r="1974" spans="1:8" s="140" customFormat="1" ht="13.5" thickBot="1" x14ac:dyDescent="0.3">
      <c r="F1974" s="141"/>
      <c r="G1974" s="134"/>
      <c r="H1974" s="134"/>
    </row>
    <row r="1975" spans="1:8" s="140" customFormat="1" ht="13.5" thickBot="1" x14ac:dyDescent="0.3">
      <c r="E1975" s="183" t="s">
        <v>5415</v>
      </c>
      <c r="F1975" s="141"/>
      <c r="G1975" s="134"/>
      <c r="H1975" s="161">
        <f>ROUND(+H1940+H1955+H1964+H1973,0)</f>
        <v>83236</v>
      </c>
    </row>
    <row r="1980" spans="1:8" ht="18.75" x14ac:dyDescent="0.25">
      <c r="A1980" s="133"/>
      <c r="B1980" s="2506" t="s">
        <v>5400</v>
      </c>
      <c r="C1980" s="2506"/>
      <c r="D1980" s="2506"/>
      <c r="E1980" s="2506"/>
      <c r="F1980" s="2506"/>
      <c r="G1980" s="2506"/>
    </row>
    <row r="1981" spans="1:8" x14ac:dyDescent="0.25">
      <c r="A1981" s="133"/>
      <c r="G1981" s="134"/>
    </row>
    <row r="1982" spans="1:8" x14ac:dyDescent="0.25">
      <c r="A1982" s="133"/>
      <c r="G1982" s="134"/>
    </row>
    <row r="1983" spans="1:8" x14ac:dyDescent="0.25">
      <c r="A1983" s="133"/>
      <c r="G1983" s="134"/>
    </row>
    <row r="1984" spans="1:8" s="140" customFormat="1" x14ac:dyDescent="0.25">
      <c r="A1984" s="138" t="s">
        <v>3</v>
      </c>
      <c r="B1984" s="138" t="s">
        <v>5457</v>
      </c>
      <c r="C1984" s="2450" t="s">
        <v>5682</v>
      </c>
      <c r="D1984" s="2450"/>
      <c r="E1984" s="2450"/>
      <c r="F1984" s="138" t="s">
        <v>867</v>
      </c>
      <c r="G1984" s="139" t="s">
        <v>5454</v>
      </c>
      <c r="H1984" s="134"/>
    </row>
    <row r="1985" spans="1:8" s="140" customFormat="1" ht="12.75" customHeight="1" x14ac:dyDescent="0.25">
      <c r="A1985" s="141"/>
      <c r="F1985" s="141"/>
      <c r="G1985" s="134"/>
      <c r="H1985" s="134"/>
    </row>
    <row r="1986" spans="1:8" s="140" customFormat="1" ht="12.75" customHeight="1" x14ac:dyDescent="0.25">
      <c r="A1986" s="141"/>
      <c r="F1986" s="141"/>
      <c r="G1986" s="142"/>
      <c r="H1986" s="134"/>
    </row>
    <row r="1987" spans="1:8" s="140" customFormat="1" ht="13.5" thickBot="1" x14ac:dyDescent="0.3">
      <c r="A1987" s="141"/>
      <c r="F1987" s="141"/>
      <c r="G1987" s="134"/>
      <c r="H1987" s="134"/>
    </row>
    <row r="1988" spans="1:8" s="140" customFormat="1" ht="13.5" thickBot="1" x14ac:dyDescent="0.3">
      <c r="A1988" s="141"/>
      <c r="B1988" s="143" t="s">
        <v>5403</v>
      </c>
      <c r="C1988" s="144" t="s">
        <v>867</v>
      </c>
      <c r="D1988" s="144" t="s">
        <v>6</v>
      </c>
      <c r="E1988" s="144" t="s">
        <v>5404</v>
      </c>
      <c r="F1988" s="144" t="s">
        <v>5405</v>
      </c>
      <c r="G1988" s="145" t="s">
        <v>868</v>
      </c>
      <c r="H1988" s="134"/>
    </row>
    <row r="1989" spans="1:8" s="140" customFormat="1" x14ac:dyDescent="0.25">
      <c r="A1989" s="141"/>
      <c r="B1989" s="146" t="s">
        <v>5440</v>
      </c>
      <c r="C1989" s="147" t="s">
        <v>5406</v>
      </c>
      <c r="D1989" s="147"/>
      <c r="E1989" s="148">
        <f>+H2028</f>
        <v>5415.6900000000005</v>
      </c>
      <c r="F1989" s="167">
        <v>0.1</v>
      </c>
      <c r="G1989" s="360">
        <f>+E1989*F1989</f>
        <v>541.56900000000007</v>
      </c>
      <c r="H1989" s="134"/>
    </row>
    <row r="1990" spans="1:8" s="140" customFormat="1" x14ac:dyDescent="0.25">
      <c r="A1990" s="141"/>
      <c r="B1990" s="154" t="s">
        <v>5647</v>
      </c>
      <c r="C1990" s="151" t="s">
        <v>5407</v>
      </c>
      <c r="D1990" s="151"/>
      <c r="E1990" s="366">
        <v>65000</v>
      </c>
      <c r="F1990" s="205">
        <v>2</v>
      </c>
      <c r="G1990" s="360">
        <f>+E1990/F1990</f>
        <v>32500</v>
      </c>
      <c r="H1990" s="134"/>
    </row>
    <row r="1991" spans="1:8" s="140" customFormat="1" x14ac:dyDescent="0.25">
      <c r="A1991" s="141"/>
      <c r="B1991" s="154" t="s">
        <v>5678</v>
      </c>
      <c r="C1991" s="151" t="s">
        <v>5407</v>
      </c>
      <c r="D1991" s="205">
        <v>1</v>
      </c>
      <c r="E1991" s="366">
        <v>92000</v>
      </c>
      <c r="F1991" s="205">
        <v>32</v>
      </c>
      <c r="G1991" s="360">
        <f>+E1991/F1991</f>
        <v>2875</v>
      </c>
      <c r="H1991" s="134"/>
    </row>
    <row r="1992" spans="1:8" s="140" customFormat="1" x14ac:dyDescent="0.25">
      <c r="A1992" s="141"/>
      <c r="B1992" s="155"/>
      <c r="C1992" s="151"/>
      <c r="D1992" s="152"/>
      <c r="E1992" s="152"/>
      <c r="F1992" s="151"/>
      <c r="G1992" s="156"/>
      <c r="H1992" s="134"/>
    </row>
    <row r="1993" spans="1:8" s="140" customFormat="1" x14ac:dyDescent="0.25">
      <c r="A1993" s="141"/>
      <c r="B1993" s="155"/>
      <c r="C1993" s="151"/>
      <c r="D1993" s="152"/>
      <c r="E1993" s="152"/>
      <c r="F1993" s="151"/>
      <c r="G1993" s="156"/>
      <c r="H1993" s="134"/>
    </row>
    <row r="1994" spans="1:8" s="140" customFormat="1" ht="13.5" thickBot="1" x14ac:dyDescent="0.3">
      <c r="A1994" s="141"/>
      <c r="B1994" s="155"/>
      <c r="C1994" s="151"/>
      <c r="D1994" s="152"/>
      <c r="E1994" s="152"/>
      <c r="F1994" s="151"/>
      <c r="G1994" s="156"/>
      <c r="H1994" s="134"/>
    </row>
    <row r="1995" spans="1:8" s="140" customFormat="1" ht="13.5" thickBot="1" x14ac:dyDescent="0.3">
      <c r="A1995" s="141"/>
      <c r="B1995" s="157"/>
      <c r="C1995" s="158"/>
      <c r="D1995" s="159"/>
      <c r="E1995" s="159"/>
      <c r="F1995" s="158"/>
      <c r="G1995" s="160"/>
      <c r="H1995" s="161">
        <f>+SUM(G1989:G1995)</f>
        <v>35916.569000000003</v>
      </c>
    </row>
    <row r="1996" spans="1:8" s="140" customFormat="1" ht="13.5" thickBot="1" x14ac:dyDescent="0.3">
      <c r="A1996" s="141"/>
      <c r="B1996" s="162"/>
      <c r="C1996" s="163"/>
      <c r="D1996" s="162"/>
      <c r="E1996" s="162"/>
      <c r="F1996" s="163"/>
      <c r="G1996" s="164"/>
      <c r="H1996" s="165"/>
    </row>
    <row r="1997" spans="1:8" s="140" customFormat="1" ht="13.5" thickBot="1" x14ac:dyDescent="0.3">
      <c r="B1997" s="143" t="s">
        <v>5408</v>
      </c>
      <c r="C1997" s="144" t="s">
        <v>867</v>
      </c>
      <c r="D1997" s="144" t="s">
        <v>6</v>
      </c>
      <c r="E1997" s="144" t="s">
        <v>870</v>
      </c>
      <c r="F1997" s="144" t="s">
        <v>5409</v>
      </c>
      <c r="G1997" s="145" t="s">
        <v>868</v>
      </c>
      <c r="H1997" s="134"/>
    </row>
    <row r="1998" spans="1:8" s="140" customFormat="1" x14ac:dyDescent="0.25">
      <c r="B1998" s="201" t="s">
        <v>5679</v>
      </c>
      <c r="C1998" s="147" t="s">
        <v>37</v>
      </c>
      <c r="D1998" s="301">
        <f>0.00125/2</f>
        <v>6.2500000000000001E-4</v>
      </c>
      <c r="E1998" s="148">
        <v>400000</v>
      </c>
      <c r="F1998" s="169">
        <v>0.05</v>
      </c>
      <c r="G1998" s="367">
        <f>+D1998*E1998*(1+F1998)</f>
        <v>262.5</v>
      </c>
      <c r="H1998" s="134"/>
    </row>
    <row r="1999" spans="1:8" s="140" customFormat="1" x14ac:dyDescent="0.25">
      <c r="B1999" s="196"/>
      <c r="C1999" s="151"/>
      <c r="D1999" s="151"/>
      <c r="E1999" s="148"/>
      <c r="F1999" s="169"/>
      <c r="G1999" s="354"/>
      <c r="H1999" s="134"/>
    </row>
    <row r="2000" spans="1:8" s="140" customFormat="1" x14ac:dyDescent="0.25">
      <c r="B2000" s="196"/>
      <c r="C2000" s="151"/>
      <c r="D2000" s="151"/>
      <c r="E2000" s="148"/>
      <c r="F2000" s="169"/>
      <c r="G2000" s="367"/>
      <c r="H2000" s="134"/>
    </row>
    <row r="2001" spans="2:8" s="140" customFormat="1" x14ac:dyDescent="0.25">
      <c r="B2001" s="155"/>
      <c r="C2001" s="151"/>
      <c r="D2001" s="151"/>
      <c r="E2001" s="148"/>
      <c r="F2001" s="151"/>
      <c r="G2001" s="367"/>
      <c r="H2001" s="134"/>
    </row>
    <row r="2002" spans="2:8" s="140" customFormat="1" x14ac:dyDescent="0.25">
      <c r="B2002" s="155"/>
      <c r="C2002" s="151"/>
      <c r="D2002" s="151"/>
      <c r="E2002" s="148"/>
      <c r="F2002" s="151"/>
      <c r="G2002" s="367"/>
      <c r="H2002" s="134"/>
    </row>
    <row r="2003" spans="2:8" s="140" customFormat="1" x14ac:dyDescent="0.25">
      <c r="B2003" s="155"/>
      <c r="C2003" s="151"/>
      <c r="D2003" s="151"/>
      <c r="E2003" s="148"/>
      <c r="F2003" s="151"/>
      <c r="G2003" s="367"/>
      <c r="H2003" s="134"/>
    </row>
    <row r="2004" spans="2:8" s="140" customFormat="1" x14ac:dyDescent="0.25">
      <c r="B2004" s="155"/>
      <c r="C2004" s="151"/>
      <c r="D2004" s="151"/>
      <c r="E2004" s="148"/>
      <c r="F2004" s="151"/>
      <c r="G2004" s="367"/>
      <c r="H2004" s="134"/>
    </row>
    <row r="2005" spans="2:8" s="140" customFormat="1" x14ac:dyDescent="0.25">
      <c r="B2005" s="155"/>
      <c r="C2005" s="151"/>
      <c r="D2005" s="151"/>
      <c r="E2005" s="148"/>
      <c r="F2005" s="151"/>
      <c r="G2005" s="367"/>
      <c r="H2005" s="134"/>
    </row>
    <row r="2006" spans="2:8" s="140" customFormat="1" x14ac:dyDescent="0.25">
      <c r="B2006" s="155"/>
      <c r="C2006" s="151"/>
      <c r="D2006" s="151"/>
      <c r="E2006" s="148"/>
      <c r="F2006" s="151"/>
      <c r="G2006" s="367"/>
      <c r="H2006" s="134"/>
    </row>
    <row r="2007" spans="2:8" s="140" customFormat="1" x14ac:dyDescent="0.25">
      <c r="B2007" s="155"/>
      <c r="C2007" s="151"/>
      <c r="D2007" s="151"/>
      <c r="E2007" s="148"/>
      <c r="F2007" s="151"/>
      <c r="G2007" s="367"/>
      <c r="H2007" s="134"/>
    </row>
    <row r="2008" spans="2:8" s="140" customFormat="1" x14ac:dyDescent="0.25">
      <c r="B2008" s="155"/>
      <c r="C2008" s="152"/>
      <c r="D2008" s="152"/>
      <c r="E2008" s="152"/>
      <c r="F2008" s="151"/>
      <c r="G2008" s="156"/>
      <c r="H2008" s="134"/>
    </row>
    <row r="2009" spans="2:8" s="140" customFormat="1" ht="13.5" thickBot="1" x14ac:dyDescent="0.3">
      <c r="B2009" s="155"/>
      <c r="C2009" s="152"/>
      <c r="D2009" s="152"/>
      <c r="E2009" s="152"/>
      <c r="F2009" s="151"/>
      <c r="G2009" s="156"/>
      <c r="H2009" s="134"/>
    </row>
    <row r="2010" spans="2:8" s="140" customFormat="1" ht="13.5" thickBot="1" x14ac:dyDescent="0.3">
      <c r="B2010" s="157"/>
      <c r="C2010" s="159"/>
      <c r="D2010" s="159"/>
      <c r="E2010" s="159"/>
      <c r="F2010" s="158"/>
      <c r="G2010" s="160"/>
      <c r="H2010" s="161">
        <f>+SUM(G1998:G2010)</f>
        <v>262.5</v>
      </c>
    </row>
    <row r="2011" spans="2:8" s="140" customFormat="1" ht="13.5" thickBot="1" x14ac:dyDescent="0.3">
      <c r="B2011" s="162"/>
      <c r="C2011" s="162"/>
      <c r="D2011" s="162"/>
      <c r="E2011" s="162"/>
      <c r="F2011" s="163"/>
      <c r="G2011" s="164"/>
      <c r="H2011" s="165"/>
    </row>
    <row r="2012" spans="2:8" s="140" customFormat="1" ht="13.5" thickBot="1" x14ac:dyDescent="0.3">
      <c r="B2012" s="143" t="s">
        <v>5410</v>
      </c>
      <c r="C2012" s="144" t="s">
        <v>867</v>
      </c>
      <c r="D2012" s="144" t="s">
        <v>6</v>
      </c>
      <c r="E2012" s="144" t="s">
        <v>870</v>
      </c>
      <c r="F2012" s="144" t="s">
        <v>5411</v>
      </c>
      <c r="G2012" s="145" t="s">
        <v>868</v>
      </c>
      <c r="H2012" s="134"/>
    </row>
    <row r="2013" spans="2:8" s="140" customFormat="1" x14ac:dyDescent="0.25">
      <c r="B2013" s="201"/>
      <c r="C2013" s="147"/>
      <c r="D2013" s="167"/>
      <c r="E2013" s="148"/>
      <c r="F2013" s="169"/>
      <c r="G2013" s="367">
        <f>+D2013*E2013*(1+F2013)</f>
        <v>0</v>
      </c>
      <c r="H2013" s="134"/>
    </row>
    <row r="2014" spans="2:8" s="140" customFormat="1" x14ac:dyDescent="0.25">
      <c r="B2014" s="196"/>
      <c r="C2014" s="151"/>
      <c r="D2014" s="151"/>
      <c r="E2014" s="148"/>
      <c r="F2014" s="147"/>
      <c r="G2014" s="367"/>
      <c r="H2014" s="134"/>
    </row>
    <row r="2015" spans="2:8" s="140" customFormat="1" x14ac:dyDescent="0.25">
      <c r="B2015" s="196"/>
      <c r="C2015" s="151"/>
      <c r="D2015" s="151"/>
      <c r="E2015" s="148"/>
      <c r="F2015" s="151"/>
      <c r="G2015" s="367"/>
      <c r="H2015" s="134"/>
    </row>
    <row r="2016" spans="2:8" s="140" customFormat="1" x14ac:dyDescent="0.25">
      <c r="B2016" s="155"/>
      <c r="C2016" s="151"/>
      <c r="D2016" s="151"/>
      <c r="E2016" s="148"/>
      <c r="F2016" s="151"/>
      <c r="G2016" s="367"/>
      <c r="H2016" s="134"/>
    </row>
    <row r="2017" spans="2:8" s="140" customFormat="1" x14ac:dyDescent="0.25">
      <c r="B2017" s="155"/>
      <c r="C2017" s="151"/>
      <c r="D2017" s="151"/>
      <c r="E2017" s="148"/>
      <c r="F2017" s="151"/>
      <c r="G2017" s="367"/>
      <c r="H2017" s="134"/>
    </row>
    <row r="2018" spans="2:8" s="140" customFormat="1" ht="13.5" thickBot="1" x14ac:dyDescent="0.3">
      <c r="B2018" s="155"/>
      <c r="C2018" s="151"/>
      <c r="D2018" s="151"/>
      <c r="E2018" s="148"/>
      <c r="F2018" s="151"/>
      <c r="G2018" s="367"/>
      <c r="H2018" s="134"/>
    </row>
    <row r="2019" spans="2:8" s="140" customFormat="1" ht="13.5" thickBot="1" x14ac:dyDescent="0.3">
      <c r="B2019" s="157"/>
      <c r="C2019" s="159"/>
      <c r="D2019" s="159"/>
      <c r="E2019" s="159"/>
      <c r="F2019" s="158"/>
      <c r="G2019" s="160"/>
      <c r="H2019" s="161">
        <f>+SUM(G2013:G2019)</f>
        <v>0</v>
      </c>
    </row>
    <row r="2020" spans="2:8" s="140" customFormat="1" ht="13.5" thickBot="1" x14ac:dyDescent="0.3">
      <c r="B2020" s="162"/>
      <c r="C2020" s="162"/>
      <c r="D2020" s="162"/>
      <c r="E2020" s="162"/>
      <c r="F2020" s="173"/>
      <c r="G2020" s="174"/>
      <c r="H2020" s="165"/>
    </row>
    <row r="2021" spans="2:8" s="140" customFormat="1" ht="13.5" thickBot="1" x14ac:dyDescent="0.3">
      <c r="B2021" s="143" t="s">
        <v>5412</v>
      </c>
      <c r="C2021" s="144" t="s">
        <v>5420</v>
      </c>
      <c r="D2021" s="144" t="s">
        <v>5421</v>
      </c>
      <c r="E2021" s="144" t="s">
        <v>5413</v>
      </c>
      <c r="F2021" s="144" t="s">
        <v>5405</v>
      </c>
      <c r="G2021" s="145" t="s">
        <v>868</v>
      </c>
      <c r="H2021" s="134"/>
    </row>
    <row r="2022" spans="2:8" s="140" customFormat="1" x14ac:dyDescent="0.25">
      <c r="B2022" s="194" t="s">
        <v>5650</v>
      </c>
      <c r="C2022" s="345">
        <v>70000</v>
      </c>
      <c r="D2022" s="345">
        <f>+C2022*0.85</f>
        <v>59500</v>
      </c>
      <c r="E2022" s="353">
        <f>+C2022+D2022</f>
        <v>129500</v>
      </c>
      <c r="F2022" s="202">
        <v>1000</v>
      </c>
      <c r="G2022" s="351">
        <f>+E2022/F2022</f>
        <v>129.5</v>
      </c>
      <c r="H2022" s="134"/>
    </row>
    <row r="2023" spans="2:8" s="140" customFormat="1" x14ac:dyDescent="0.25">
      <c r="B2023" s="194" t="s">
        <v>5651</v>
      </c>
      <c r="C2023" s="345">
        <v>40000</v>
      </c>
      <c r="D2023" s="345">
        <f>+C2023*0.85</f>
        <v>34000</v>
      </c>
      <c r="E2023" s="353">
        <f>+C2023+D2023</f>
        <v>74000</v>
      </c>
      <c r="F2023" s="204">
        <v>200</v>
      </c>
      <c r="G2023" s="351">
        <f>+E2023/F2023</f>
        <v>370</v>
      </c>
      <c r="H2023" s="134"/>
    </row>
    <row r="2024" spans="2:8" s="140" customFormat="1" x14ac:dyDescent="0.25">
      <c r="B2024" s="195" t="s">
        <v>5635</v>
      </c>
      <c r="C2024" s="345">
        <v>20600</v>
      </c>
      <c r="D2024" s="345">
        <f>+C2024*0.85</f>
        <v>17510</v>
      </c>
      <c r="E2024" s="353">
        <f>+C2024+D2024</f>
        <v>38110</v>
      </c>
      <c r="F2024" s="205">
        <v>16</v>
      </c>
      <c r="G2024" s="351">
        <f>+E2024/F2024</f>
        <v>2381.875</v>
      </c>
      <c r="H2024" s="134"/>
    </row>
    <row r="2025" spans="2:8" s="140" customFormat="1" x14ac:dyDescent="0.25">
      <c r="B2025" s="155" t="s">
        <v>5680</v>
      </c>
      <c r="C2025" s="345">
        <v>20600</v>
      </c>
      <c r="D2025" s="345">
        <f>+C2025*0.85</f>
        <v>17510</v>
      </c>
      <c r="E2025" s="353">
        <f>+C2025+D2025</f>
        <v>38110</v>
      </c>
      <c r="F2025" s="205">
        <v>250</v>
      </c>
      <c r="G2025" s="351">
        <f>+E2025/F2025</f>
        <v>152.44</v>
      </c>
      <c r="H2025" s="134"/>
    </row>
    <row r="2026" spans="2:8" s="140" customFormat="1" x14ac:dyDescent="0.25">
      <c r="B2026" s="155" t="s">
        <v>5648</v>
      </c>
      <c r="C2026" s="345">
        <v>20600</v>
      </c>
      <c r="D2026" s="345">
        <f>+C2026*0.85</f>
        <v>17510</v>
      </c>
      <c r="E2026" s="353">
        <f>+C2026+D2026</f>
        <v>38110</v>
      </c>
      <c r="F2026" s="205">
        <v>16</v>
      </c>
      <c r="G2026" s="351">
        <f>+E2026/F2026</f>
        <v>2381.875</v>
      </c>
      <c r="H2026" s="134"/>
    </row>
    <row r="2027" spans="2:8" s="140" customFormat="1" ht="13.5" thickBot="1" x14ac:dyDescent="0.3">
      <c r="B2027" s="155"/>
      <c r="C2027" s="152"/>
      <c r="D2027" s="152"/>
      <c r="E2027" s="152"/>
      <c r="F2027" s="151"/>
      <c r="G2027" s="156"/>
      <c r="H2027" s="134"/>
    </row>
    <row r="2028" spans="2:8" s="140" customFormat="1" ht="13.5" thickBot="1" x14ac:dyDescent="0.3">
      <c r="B2028" s="179"/>
      <c r="C2028" s="180"/>
      <c r="D2028" s="180"/>
      <c r="E2028" s="180"/>
      <c r="F2028" s="181"/>
      <c r="G2028" s="182"/>
      <c r="H2028" s="161">
        <f>+SUM(G2022:G2028)</f>
        <v>5415.6900000000005</v>
      </c>
    </row>
    <row r="2029" spans="2:8" s="140" customFormat="1" ht="13.5" thickBot="1" x14ac:dyDescent="0.3">
      <c r="F2029" s="141"/>
      <c r="G2029" s="134"/>
      <c r="H2029" s="134"/>
    </row>
    <row r="2030" spans="2:8" s="140" customFormat="1" ht="13.5" thickBot="1" x14ac:dyDescent="0.3">
      <c r="E2030" s="183" t="s">
        <v>5415</v>
      </c>
      <c r="F2030" s="141"/>
      <c r="G2030" s="134"/>
      <c r="H2030" s="161">
        <f>ROUND(+H1995+H2010+H2019+H2028,0)</f>
        <v>41595</v>
      </c>
    </row>
    <row r="2035" spans="1:8" ht="18.75" x14ac:dyDescent="0.25">
      <c r="A2035" s="133"/>
      <c r="B2035" s="2506" t="s">
        <v>5400</v>
      </c>
      <c r="C2035" s="2506"/>
      <c r="D2035" s="2506"/>
      <c r="E2035" s="2506"/>
      <c r="F2035" s="2506"/>
      <c r="G2035" s="2506"/>
    </row>
    <row r="2036" spans="1:8" x14ac:dyDescent="0.25">
      <c r="A2036" s="133"/>
      <c r="G2036" s="134"/>
    </row>
    <row r="2037" spans="1:8" x14ac:dyDescent="0.25">
      <c r="A2037" s="133"/>
      <c r="G2037" s="134"/>
    </row>
    <row r="2038" spans="1:8" x14ac:dyDescent="0.25">
      <c r="A2038" s="133"/>
      <c r="G2038" s="134"/>
    </row>
    <row r="2039" spans="1:8" s="140" customFormat="1" x14ac:dyDescent="0.25">
      <c r="A2039" s="138" t="s">
        <v>3</v>
      </c>
      <c r="B2039" s="138" t="s">
        <v>5457</v>
      </c>
      <c r="C2039" s="2450" t="s">
        <v>5683</v>
      </c>
      <c r="D2039" s="2450"/>
      <c r="E2039" s="2450"/>
      <c r="F2039" s="138" t="s">
        <v>867</v>
      </c>
      <c r="G2039" s="139" t="s">
        <v>5454</v>
      </c>
      <c r="H2039" s="134"/>
    </row>
    <row r="2040" spans="1:8" s="140" customFormat="1" ht="12.75" customHeight="1" x14ac:dyDescent="0.25">
      <c r="A2040" s="141"/>
      <c r="F2040" s="141"/>
      <c r="G2040" s="134"/>
      <c r="H2040" s="134"/>
    </row>
    <row r="2041" spans="1:8" s="140" customFormat="1" ht="12.75" customHeight="1" x14ac:dyDescent="0.25">
      <c r="A2041" s="141"/>
      <c r="F2041" s="141"/>
      <c r="G2041" s="142"/>
      <c r="H2041" s="134"/>
    </row>
    <row r="2042" spans="1:8" s="140" customFormat="1" ht="13.5" thickBot="1" x14ac:dyDescent="0.3">
      <c r="A2042" s="141"/>
      <c r="F2042" s="141"/>
      <c r="G2042" s="134"/>
      <c r="H2042" s="134"/>
    </row>
    <row r="2043" spans="1:8" s="140" customFormat="1" ht="13.5" thickBot="1" x14ac:dyDescent="0.3">
      <c r="A2043" s="141"/>
      <c r="B2043" s="143" t="s">
        <v>5403</v>
      </c>
      <c r="C2043" s="144" t="s">
        <v>867</v>
      </c>
      <c r="D2043" s="144" t="s">
        <v>6</v>
      </c>
      <c r="E2043" s="144" t="s">
        <v>5404</v>
      </c>
      <c r="F2043" s="144" t="s">
        <v>5405</v>
      </c>
      <c r="G2043" s="145" t="s">
        <v>868</v>
      </c>
      <c r="H2043" s="134"/>
    </row>
    <row r="2044" spans="1:8" s="140" customFormat="1" x14ac:dyDescent="0.25">
      <c r="A2044" s="141"/>
      <c r="B2044" s="146" t="s">
        <v>5440</v>
      </c>
      <c r="C2044" s="147" t="s">
        <v>5406</v>
      </c>
      <c r="D2044" s="147"/>
      <c r="E2044" s="148">
        <f>+H2083</f>
        <v>10549.44</v>
      </c>
      <c r="F2044" s="167">
        <v>0.1</v>
      </c>
      <c r="G2044" s="360">
        <f>+E2044*F2044</f>
        <v>1054.9440000000002</v>
      </c>
      <c r="H2044" s="134"/>
    </row>
    <row r="2045" spans="1:8" s="140" customFormat="1" x14ac:dyDescent="0.25">
      <c r="A2045" s="141"/>
      <c r="B2045" s="154" t="s">
        <v>5678</v>
      </c>
      <c r="C2045" s="151" t="s">
        <v>5407</v>
      </c>
      <c r="D2045" s="205">
        <v>1</v>
      </c>
      <c r="E2045" s="366">
        <v>92000</v>
      </c>
      <c r="F2045" s="205">
        <v>50</v>
      </c>
      <c r="G2045" s="360">
        <f>+E2045/F2045</f>
        <v>1840</v>
      </c>
      <c r="H2045" s="134"/>
    </row>
    <row r="2046" spans="1:8" s="140" customFormat="1" x14ac:dyDescent="0.25">
      <c r="A2046" s="141"/>
      <c r="B2046" s="154"/>
      <c r="C2046" s="151"/>
      <c r="D2046" s="205"/>
      <c r="E2046" s="366"/>
      <c r="F2046" s="205"/>
      <c r="G2046" s="360"/>
      <c r="H2046" s="134"/>
    </row>
    <row r="2047" spans="1:8" s="140" customFormat="1" x14ac:dyDescent="0.25">
      <c r="A2047" s="141"/>
      <c r="B2047" s="155"/>
      <c r="C2047" s="151"/>
      <c r="D2047" s="152"/>
      <c r="E2047" s="152"/>
      <c r="F2047" s="151"/>
      <c r="G2047" s="156"/>
      <c r="H2047" s="134"/>
    </row>
    <row r="2048" spans="1:8" s="140" customFormat="1" x14ac:dyDescent="0.25">
      <c r="A2048" s="141"/>
      <c r="B2048" s="155"/>
      <c r="C2048" s="151"/>
      <c r="D2048" s="152"/>
      <c r="E2048" s="152"/>
      <c r="F2048" s="151"/>
      <c r="G2048" s="156"/>
      <c r="H2048" s="134"/>
    </row>
    <row r="2049" spans="1:8" s="140" customFormat="1" ht="13.5" thickBot="1" x14ac:dyDescent="0.3">
      <c r="A2049" s="141"/>
      <c r="B2049" s="155"/>
      <c r="C2049" s="151"/>
      <c r="D2049" s="152"/>
      <c r="E2049" s="152"/>
      <c r="F2049" s="151"/>
      <c r="G2049" s="156"/>
      <c r="H2049" s="134"/>
    </row>
    <row r="2050" spans="1:8" s="140" customFormat="1" ht="13.5" thickBot="1" x14ac:dyDescent="0.3">
      <c r="A2050" s="141"/>
      <c r="B2050" s="157"/>
      <c r="C2050" s="158"/>
      <c r="D2050" s="159"/>
      <c r="E2050" s="159"/>
      <c r="F2050" s="158"/>
      <c r="G2050" s="160"/>
      <c r="H2050" s="161">
        <f>+SUM(G2044:G2050)</f>
        <v>2894.9440000000004</v>
      </c>
    </row>
    <row r="2051" spans="1:8" s="140" customFormat="1" ht="13.5" thickBot="1" x14ac:dyDescent="0.3">
      <c r="A2051" s="141"/>
      <c r="B2051" s="162"/>
      <c r="C2051" s="163"/>
      <c r="D2051" s="162"/>
      <c r="E2051" s="162"/>
      <c r="F2051" s="163"/>
      <c r="G2051" s="164"/>
      <c r="H2051" s="165"/>
    </row>
    <row r="2052" spans="1:8" s="140" customFormat="1" ht="13.5" thickBot="1" x14ac:dyDescent="0.3">
      <c r="B2052" s="143" t="s">
        <v>5408</v>
      </c>
      <c r="C2052" s="144" t="s">
        <v>867</v>
      </c>
      <c r="D2052" s="144" t="s">
        <v>6</v>
      </c>
      <c r="E2052" s="144" t="s">
        <v>870</v>
      </c>
      <c r="F2052" s="144" t="s">
        <v>5409</v>
      </c>
      <c r="G2052" s="145" t="s">
        <v>868</v>
      </c>
      <c r="H2052" s="134"/>
    </row>
    <row r="2053" spans="1:8" s="140" customFormat="1" x14ac:dyDescent="0.25">
      <c r="B2053" s="201" t="s">
        <v>5679</v>
      </c>
      <c r="C2053" s="147" t="s">
        <v>37</v>
      </c>
      <c r="D2053" s="301">
        <v>1E-3</v>
      </c>
      <c r="E2053" s="148">
        <v>400000</v>
      </c>
      <c r="F2053" s="169">
        <v>0.05</v>
      </c>
      <c r="G2053" s="367">
        <f>+D2053*E2053*(1+F2053)</f>
        <v>420</v>
      </c>
      <c r="H2053" s="134"/>
    </row>
    <row r="2054" spans="1:8" s="140" customFormat="1" x14ac:dyDescent="0.25">
      <c r="B2054" s="196"/>
      <c r="C2054" s="151"/>
      <c r="D2054" s="151"/>
      <c r="E2054" s="148"/>
      <c r="F2054" s="169"/>
      <c r="G2054" s="354"/>
      <c r="H2054" s="134"/>
    </row>
    <row r="2055" spans="1:8" s="140" customFormat="1" x14ac:dyDescent="0.25">
      <c r="B2055" s="196"/>
      <c r="C2055" s="151"/>
      <c r="D2055" s="151"/>
      <c r="E2055" s="148"/>
      <c r="F2055" s="169"/>
      <c r="G2055" s="367"/>
      <c r="H2055" s="134"/>
    </row>
    <row r="2056" spans="1:8" s="140" customFormat="1" x14ac:dyDescent="0.25">
      <c r="B2056" s="155"/>
      <c r="C2056" s="151"/>
      <c r="D2056" s="151"/>
      <c r="E2056" s="148"/>
      <c r="F2056" s="151"/>
      <c r="G2056" s="367"/>
      <c r="H2056" s="134"/>
    </row>
    <row r="2057" spans="1:8" s="140" customFormat="1" x14ac:dyDescent="0.25">
      <c r="B2057" s="155"/>
      <c r="C2057" s="151"/>
      <c r="D2057" s="151"/>
      <c r="E2057" s="148"/>
      <c r="F2057" s="151"/>
      <c r="G2057" s="367"/>
      <c r="H2057" s="134"/>
    </row>
    <row r="2058" spans="1:8" s="140" customFormat="1" x14ac:dyDescent="0.25">
      <c r="B2058" s="155"/>
      <c r="C2058" s="151"/>
      <c r="D2058" s="151"/>
      <c r="E2058" s="148"/>
      <c r="F2058" s="151"/>
      <c r="G2058" s="367"/>
      <c r="H2058" s="134"/>
    </row>
    <row r="2059" spans="1:8" s="140" customFormat="1" x14ac:dyDescent="0.25">
      <c r="B2059" s="155"/>
      <c r="C2059" s="151"/>
      <c r="D2059" s="151"/>
      <c r="E2059" s="148"/>
      <c r="F2059" s="151"/>
      <c r="G2059" s="367"/>
      <c r="H2059" s="134"/>
    </row>
    <row r="2060" spans="1:8" s="140" customFormat="1" x14ac:dyDescent="0.25">
      <c r="B2060" s="155"/>
      <c r="C2060" s="151"/>
      <c r="D2060" s="151"/>
      <c r="E2060" s="148"/>
      <c r="F2060" s="151"/>
      <c r="G2060" s="367"/>
      <c r="H2060" s="134"/>
    </row>
    <row r="2061" spans="1:8" s="140" customFormat="1" x14ac:dyDescent="0.25">
      <c r="B2061" s="155"/>
      <c r="C2061" s="151"/>
      <c r="D2061" s="151"/>
      <c r="E2061" s="148"/>
      <c r="F2061" s="151"/>
      <c r="G2061" s="367"/>
      <c r="H2061" s="134"/>
    </row>
    <row r="2062" spans="1:8" s="140" customFormat="1" x14ac:dyDescent="0.25">
      <c r="B2062" s="155"/>
      <c r="C2062" s="151"/>
      <c r="D2062" s="151"/>
      <c r="E2062" s="148"/>
      <c r="F2062" s="151"/>
      <c r="G2062" s="367"/>
      <c r="H2062" s="134"/>
    </row>
    <row r="2063" spans="1:8" s="140" customFormat="1" x14ac:dyDescent="0.25">
      <c r="B2063" s="155"/>
      <c r="C2063" s="152"/>
      <c r="D2063" s="152"/>
      <c r="E2063" s="152"/>
      <c r="F2063" s="151"/>
      <c r="G2063" s="156"/>
      <c r="H2063" s="134"/>
    </row>
    <row r="2064" spans="1:8" s="140" customFormat="1" ht="13.5" thickBot="1" x14ac:dyDescent="0.3">
      <c r="B2064" s="155"/>
      <c r="C2064" s="152"/>
      <c r="D2064" s="152"/>
      <c r="E2064" s="152"/>
      <c r="F2064" s="151"/>
      <c r="G2064" s="156"/>
      <c r="H2064" s="134"/>
    </row>
    <row r="2065" spans="2:8" s="140" customFormat="1" ht="13.5" thickBot="1" x14ac:dyDescent="0.3">
      <c r="B2065" s="157"/>
      <c r="C2065" s="159"/>
      <c r="D2065" s="159"/>
      <c r="E2065" s="159"/>
      <c r="F2065" s="158"/>
      <c r="G2065" s="160"/>
      <c r="H2065" s="161">
        <f>+SUM(G2053:G2065)</f>
        <v>420</v>
      </c>
    </row>
    <row r="2066" spans="2:8" s="140" customFormat="1" ht="13.5" thickBot="1" x14ac:dyDescent="0.3">
      <c r="B2066" s="162"/>
      <c r="C2066" s="162"/>
      <c r="D2066" s="162"/>
      <c r="E2066" s="162"/>
      <c r="F2066" s="163"/>
      <c r="G2066" s="164"/>
      <c r="H2066" s="165"/>
    </row>
    <row r="2067" spans="2:8" s="140" customFormat="1" ht="13.5" thickBot="1" x14ac:dyDescent="0.3">
      <c r="B2067" s="143" t="s">
        <v>5410</v>
      </c>
      <c r="C2067" s="144" t="s">
        <v>867</v>
      </c>
      <c r="D2067" s="144" t="s">
        <v>6</v>
      </c>
      <c r="E2067" s="144" t="s">
        <v>870</v>
      </c>
      <c r="F2067" s="144" t="s">
        <v>5411</v>
      </c>
      <c r="G2067" s="145" t="s">
        <v>868</v>
      </c>
      <c r="H2067" s="134"/>
    </row>
    <row r="2068" spans="2:8" s="140" customFormat="1" x14ac:dyDescent="0.25">
      <c r="B2068" s="201"/>
      <c r="C2068" s="147"/>
      <c r="D2068" s="167"/>
      <c r="E2068" s="148"/>
      <c r="F2068" s="169"/>
      <c r="G2068" s="367">
        <f>+D2068*E2068*(1+F2068)</f>
        <v>0</v>
      </c>
      <c r="H2068" s="134"/>
    </row>
    <row r="2069" spans="2:8" s="140" customFormat="1" x14ac:dyDescent="0.25">
      <c r="B2069" s="196"/>
      <c r="C2069" s="151"/>
      <c r="D2069" s="151"/>
      <c r="E2069" s="148"/>
      <c r="F2069" s="147"/>
      <c r="G2069" s="367"/>
      <c r="H2069" s="134"/>
    </row>
    <row r="2070" spans="2:8" s="140" customFormat="1" x14ac:dyDescent="0.25">
      <c r="B2070" s="196"/>
      <c r="C2070" s="151"/>
      <c r="D2070" s="151"/>
      <c r="E2070" s="148"/>
      <c r="F2070" s="151"/>
      <c r="G2070" s="367"/>
      <c r="H2070" s="134"/>
    </row>
    <row r="2071" spans="2:8" s="140" customFormat="1" x14ac:dyDescent="0.25">
      <c r="B2071" s="155"/>
      <c r="C2071" s="151"/>
      <c r="D2071" s="151"/>
      <c r="E2071" s="148"/>
      <c r="F2071" s="151"/>
      <c r="G2071" s="367"/>
      <c r="H2071" s="134"/>
    </row>
    <row r="2072" spans="2:8" s="140" customFormat="1" x14ac:dyDescent="0.25">
      <c r="B2072" s="155"/>
      <c r="C2072" s="151"/>
      <c r="D2072" s="151"/>
      <c r="E2072" s="148"/>
      <c r="F2072" s="151"/>
      <c r="G2072" s="367"/>
      <c r="H2072" s="134"/>
    </row>
    <row r="2073" spans="2:8" s="140" customFormat="1" ht="13.5" thickBot="1" x14ac:dyDescent="0.3">
      <c r="B2073" s="155"/>
      <c r="C2073" s="151"/>
      <c r="D2073" s="151"/>
      <c r="E2073" s="148"/>
      <c r="F2073" s="151"/>
      <c r="G2073" s="367"/>
      <c r="H2073" s="134"/>
    </row>
    <row r="2074" spans="2:8" s="140" customFormat="1" ht="13.5" thickBot="1" x14ac:dyDescent="0.3">
      <c r="B2074" s="157"/>
      <c r="C2074" s="159"/>
      <c r="D2074" s="159"/>
      <c r="E2074" s="159"/>
      <c r="F2074" s="158"/>
      <c r="G2074" s="160"/>
      <c r="H2074" s="161">
        <f>+SUM(G2068:G2074)</f>
        <v>0</v>
      </c>
    </row>
    <row r="2075" spans="2:8" s="140" customFormat="1" ht="13.5" thickBot="1" x14ac:dyDescent="0.3">
      <c r="B2075" s="162"/>
      <c r="C2075" s="162"/>
      <c r="D2075" s="162"/>
      <c r="E2075" s="162"/>
      <c r="F2075" s="173"/>
      <c r="G2075" s="174"/>
      <c r="H2075" s="165"/>
    </row>
    <row r="2076" spans="2:8" s="140" customFormat="1" ht="13.5" thickBot="1" x14ac:dyDescent="0.3">
      <c r="B2076" s="143" t="s">
        <v>5412</v>
      </c>
      <c r="C2076" s="144" t="s">
        <v>5420</v>
      </c>
      <c r="D2076" s="144" t="s">
        <v>5421</v>
      </c>
      <c r="E2076" s="144" t="s">
        <v>5413</v>
      </c>
      <c r="F2076" s="144" t="s">
        <v>5405</v>
      </c>
      <c r="G2076" s="145" t="s">
        <v>868</v>
      </c>
      <c r="H2076" s="134"/>
    </row>
    <row r="2077" spans="2:8" s="140" customFormat="1" x14ac:dyDescent="0.25">
      <c r="B2077" s="194" t="s">
        <v>5650</v>
      </c>
      <c r="C2077" s="345">
        <v>70000</v>
      </c>
      <c r="D2077" s="345">
        <f>+C2077*0.85</f>
        <v>59500</v>
      </c>
      <c r="E2077" s="353">
        <f>+C2077+D2077</f>
        <v>129500</v>
      </c>
      <c r="F2077" s="202">
        <v>1000</v>
      </c>
      <c r="G2077" s="351">
        <f>+E2077/F2077</f>
        <v>129.5</v>
      </c>
      <c r="H2077" s="134"/>
    </row>
    <row r="2078" spans="2:8" s="140" customFormat="1" x14ac:dyDescent="0.25">
      <c r="B2078" s="194" t="s">
        <v>5651</v>
      </c>
      <c r="C2078" s="345">
        <v>40000</v>
      </c>
      <c r="D2078" s="345">
        <f>+C2078*0.85</f>
        <v>34000</v>
      </c>
      <c r="E2078" s="353">
        <f>+C2078+D2078</f>
        <v>74000</v>
      </c>
      <c r="F2078" s="204">
        <v>100</v>
      </c>
      <c r="G2078" s="351">
        <f>+E2078/F2078</f>
        <v>740</v>
      </c>
      <c r="H2078" s="134"/>
    </row>
    <row r="2079" spans="2:8" s="140" customFormat="1" x14ac:dyDescent="0.25">
      <c r="B2079" s="195" t="s">
        <v>5635</v>
      </c>
      <c r="C2079" s="345">
        <v>20600</v>
      </c>
      <c r="D2079" s="345">
        <f>+C2079*0.85</f>
        <v>17510</v>
      </c>
      <c r="E2079" s="353">
        <f>+C2079+D2079</f>
        <v>38110</v>
      </c>
      <c r="F2079" s="205">
        <v>4</v>
      </c>
      <c r="G2079" s="351">
        <f>+E2079/F2079</f>
        <v>9527.5</v>
      </c>
      <c r="H2079" s="134"/>
    </row>
    <row r="2080" spans="2:8" s="140" customFormat="1" x14ac:dyDescent="0.25">
      <c r="B2080" s="155" t="s">
        <v>5680</v>
      </c>
      <c r="C2080" s="345">
        <v>20600</v>
      </c>
      <c r="D2080" s="345">
        <f>+C2080*0.85</f>
        <v>17510</v>
      </c>
      <c r="E2080" s="353">
        <f>+C2080+D2080</f>
        <v>38110</v>
      </c>
      <c r="F2080" s="205">
        <v>250</v>
      </c>
      <c r="G2080" s="351">
        <f>+E2080/F2080</f>
        <v>152.44</v>
      </c>
      <c r="H2080" s="134"/>
    </row>
    <row r="2081" spans="1:8" s="140" customFormat="1" x14ac:dyDescent="0.25">
      <c r="B2081" s="155"/>
      <c r="C2081" s="345"/>
      <c r="D2081" s="345"/>
      <c r="E2081" s="353"/>
      <c r="F2081" s="205"/>
      <c r="G2081" s="351"/>
      <c r="H2081" s="134"/>
    </row>
    <row r="2082" spans="1:8" s="140" customFormat="1" ht="13.5" thickBot="1" x14ac:dyDescent="0.3">
      <c r="B2082" s="155"/>
      <c r="C2082" s="152"/>
      <c r="D2082" s="152"/>
      <c r="E2082" s="152"/>
      <c r="F2082" s="151"/>
      <c r="G2082" s="156"/>
      <c r="H2082" s="134"/>
    </row>
    <row r="2083" spans="1:8" s="140" customFormat="1" ht="13.5" thickBot="1" x14ac:dyDescent="0.3">
      <c r="B2083" s="179"/>
      <c r="C2083" s="180"/>
      <c r="D2083" s="180"/>
      <c r="E2083" s="180"/>
      <c r="F2083" s="181"/>
      <c r="G2083" s="182"/>
      <c r="H2083" s="161">
        <f>+SUM(G2077:G2083)</f>
        <v>10549.44</v>
      </c>
    </row>
    <row r="2084" spans="1:8" s="140" customFormat="1" ht="13.5" thickBot="1" x14ac:dyDescent="0.3">
      <c r="F2084" s="141"/>
      <c r="G2084" s="134"/>
      <c r="H2084" s="134"/>
    </row>
    <row r="2085" spans="1:8" s="140" customFormat="1" ht="13.5" thickBot="1" x14ac:dyDescent="0.3">
      <c r="E2085" s="183" t="s">
        <v>5415</v>
      </c>
      <c r="F2085" s="141"/>
      <c r="G2085" s="134"/>
      <c r="H2085" s="161">
        <f>ROUND(+H2050+H2065+H2074+H2083,0)</f>
        <v>13864</v>
      </c>
    </row>
    <row r="2090" spans="1:8" ht="18.75" x14ac:dyDescent="0.25">
      <c r="A2090" s="133"/>
      <c r="B2090" s="2506" t="s">
        <v>5400</v>
      </c>
      <c r="C2090" s="2506"/>
      <c r="D2090" s="2506"/>
      <c r="E2090" s="2506"/>
      <c r="F2090" s="2506"/>
      <c r="G2090" s="2506"/>
    </row>
    <row r="2091" spans="1:8" x14ac:dyDescent="0.25">
      <c r="A2091" s="133"/>
      <c r="G2091" s="134"/>
    </row>
    <row r="2092" spans="1:8" x14ac:dyDescent="0.25">
      <c r="A2092" s="133"/>
      <c r="G2092" s="134"/>
    </row>
    <row r="2093" spans="1:8" x14ac:dyDescent="0.25">
      <c r="A2093" s="133"/>
      <c r="G2093" s="134"/>
    </row>
    <row r="2094" spans="1:8" s="140" customFormat="1" x14ac:dyDescent="0.25">
      <c r="A2094" s="138" t="s">
        <v>3</v>
      </c>
      <c r="B2094" s="138" t="s">
        <v>5457</v>
      </c>
      <c r="C2094" s="2450" t="s">
        <v>5684</v>
      </c>
      <c r="D2094" s="2450"/>
      <c r="E2094" s="2450"/>
      <c r="F2094" s="138" t="s">
        <v>867</v>
      </c>
      <c r="G2094" s="139" t="s">
        <v>5402</v>
      </c>
      <c r="H2094" s="134"/>
    </row>
    <row r="2095" spans="1:8" s="140" customFormat="1" ht="12.75" customHeight="1" x14ac:dyDescent="0.25">
      <c r="A2095" s="141"/>
      <c r="F2095" s="141"/>
      <c r="G2095" s="134"/>
      <c r="H2095" s="134"/>
    </row>
    <row r="2096" spans="1:8" s="140" customFormat="1" ht="12.75" customHeight="1" x14ac:dyDescent="0.25">
      <c r="A2096" s="141"/>
      <c r="F2096" s="141"/>
      <c r="G2096" s="142"/>
      <c r="H2096" s="134"/>
    </row>
    <row r="2097" spans="1:8" s="140" customFormat="1" ht="13.5" thickBot="1" x14ac:dyDescent="0.3">
      <c r="A2097" s="141"/>
      <c r="F2097" s="141"/>
      <c r="G2097" s="134"/>
      <c r="H2097" s="134"/>
    </row>
    <row r="2098" spans="1:8" s="140" customFormat="1" ht="13.5" thickBot="1" x14ac:dyDescent="0.3">
      <c r="A2098" s="141"/>
      <c r="B2098" s="143" t="s">
        <v>5403</v>
      </c>
      <c r="C2098" s="144" t="s">
        <v>867</v>
      </c>
      <c r="D2098" s="144" t="s">
        <v>6</v>
      </c>
      <c r="E2098" s="144" t="s">
        <v>5404</v>
      </c>
      <c r="F2098" s="144" t="s">
        <v>5405</v>
      </c>
      <c r="G2098" s="145" t="s">
        <v>868</v>
      </c>
      <c r="H2098" s="134"/>
    </row>
    <row r="2099" spans="1:8" s="140" customFormat="1" x14ac:dyDescent="0.25">
      <c r="A2099" s="141"/>
      <c r="B2099" s="146" t="s">
        <v>5440</v>
      </c>
      <c r="C2099" s="147" t="s">
        <v>5406</v>
      </c>
      <c r="D2099" s="147"/>
      <c r="E2099" s="148">
        <f>+H2138</f>
        <v>1769.8333333333333</v>
      </c>
      <c r="F2099" s="167">
        <v>0.2</v>
      </c>
      <c r="G2099" s="360">
        <f>+E2099*F2099</f>
        <v>353.9666666666667</v>
      </c>
      <c r="H2099" s="134"/>
    </row>
    <row r="2100" spans="1:8" s="140" customFormat="1" x14ac:dyDescent="0.25">
      <c r="A2100" s="141"/>
      <c r="B2100" s="154"/>
      <c r="C2100" s="151"/>
      <c r="D2100" s="205"/>
      <c r="E2100" s="366"/>
      <c r="F2100" s="205"/>
      <c r="G2100" s="360"/>
      <c r="H2100" s="134"/>
    </row>
    <row r="2101" spans="1:8" s="140" customFormat="1" x14ac:dyDescent="0.25">
      <c r="A2101" s="141"/>
      <c r="B2101" s="154"/>
      <c r="C2101" s="151"/>
      <c r="D2101" s="205"/>
      <c r="E2101" s="366"/>
      <c r="F2101" s="205"/>
      <c r="G2101" s="360"/>
      <c r="H2101" s="134"/>
    </row>
    <row r="2102" spans="1:8" s="140" customFormat="1" x14ac:dyDescent="0.25">
      <c r="A2102" s="141"/>
      <c r="B2102" s="155"/>
      <c r="C2102" s="151"/>
      <c r="D2102" s="152"/>
      <c r="E2102" s="152"/>
      <c r="F2102" s="151"/>
      <c r="G2102" s="156"/>
      <c r="H2102" s="134"/>
    </row>
    <row r="2103" spans="1:8" s="140" customFormat="1" ht="12.75" customHeight="1" x14ac:dyDescent="0.25">
      <c r="A2103" s="141"/>
      <c r="B2103" s="155"/>
      <c r="C2103" s="151"/>
      <c r="D2103" s="152"/>
      <c r="E2103" s="152"/>
      <c r="F2103" s="151"/>
      <c r="G2103" s="156"/>
      <c r="H2103" s="134"/>
    </row>
    <row r="2104" spans="1:8" s="140" customFormat="1" ht="13.5" thickBot="1" x14ac:dyDescent="0.3">
      <c r="A2104" s="141"/>
      <c r="B2104" s="155"/>
      <c r="C2104" s="151"/>
      <c r="D2104" s="152"/>
      <c r="E2104" s="152"/>
      <c r="F2104" s="151"/>
      <c r="G2104" s="156"/>
      <c r="H2104" s="134"/>
    </row>
    <row r="2105" spans="1:8" s="140" customFormat="1" ht="13.5" thickBot="1" x14ac:dyDescent="0.3">
      <c r="A2105" s="141"/>
      <c r="B2105" s="157"/>
      <c r="C2105" s="158"/>
      <c r="D2105" s="159"/>
      <c r="E2105" s="159"/>
      <c r="F2105" s="158"/>
      <c r="G2105" s="160"/>
      <c r="H2105" s="161">
        <f>+SUM(G2099:G2105)</f>
        <v>353.9666666666667</v>
      </c>
    </row>
    <row r="2106" spans="1:8" s="140" customFormat="1" ht="13.5" thickBot="1" x14ac:dyDescent="0.3">
      <c r="A2106" s="141"/>
      <c r="B2106" s="162"/>
      <c r="C2106" s="163"/>
      <c r="D2106" s="162"/>
      <c r="E2106" s="162"/>
      <c r="F2106" s="163"/>
      <c r="G2106" s="164"/>
      <c r="H2106" s="165"/>
    </row>
    <row r="2107" spans="1:8" s="140" customFormat="1" ht="13.5" thickBot="1" x14ac:dyDescent="0.3">
      <c r="B2107" s="143" t="s">
        <v>5408</v>
      </c>
      <c r="C2107" s="144" t="s">
        <v>867</v>
      </c>
      <c r="D2107" s="144" t="s">
        <v>6</v>
      </c>
      <c r="E2107" s="144" t="s">
        <v>870</v>
      </c>
      <c r="F2107" s="144" t="s">
        <v>5409</v>
      </c>
      <c r="G2107" s="145" t="s">
        <v>868</v>
      </c>
      <c r="H2107" s="134"/>
    </row>
    <row r="2108" spans="1:8" s="140" customFormat="1" x14ac:dyDescent="0.25">
      <c r="B2108" s="201"/>
      <c r="C2108" s="147"/>
      <c r="D2108" s="301"/>
      <c r="E2108" s="148"/>
      <c r="F2108" s="169"/>
      <c r="G2108" s="367"/>
      <c r="H2108" s="134"/>
    </row>
    <row r="2109" spans="1:8" s="140" customFormat="1" x14ac:dyDescent="0.25">
      <c r="B2109" s="196"/>
      <c r="C2109" s="151"/>
      <c r="D2109" s="151"/>
      <c r="E2109" s="148"/>
      <c r="F2109" s="169"/>
      <c r="G2109" s="354"/>
      <c r="H2109" s="134"/>
    </row>
    <row r="2110" spans="1:8" s="140" customFormat="1" x14ac:dyDescent="0.25">
      <c r="B2110" s="196"/>
      <c r="C2110" s="151"/>
      <c r="D2110" s="151"/>
      <c r="E2110" s="148"/>
      <c r="F2110" s="169"/>
      <c r="G2110" s="367"/>
      <c r="H2110" s="134"/>
    </row>
    <row r="2111" spans="1:8" s="140" customFormat="1" x14ac:dyDescent="0.25">
      <c r="B2111" s="155"/>
      <c r="C2111" s="151"/>
      <c r="D2111" s="151"/>
      <c r="E2111" s="148"/>
      <c r="F2111" s="151"/>
      <c r="G2111" s="367"/>
      <c r="H2111" s="134"/>
    </row>
    <row r="2112" spans="1:8" s="140" customFormat="1" x14ac:dyDescent="0.25">
      <c r="B2112" s="155"/>
      <c r="C2112" s="151"/>
      <c r="D2112" s="151"/>
      <c r="E2112" s="148"/>
      <c r="F2112" s="151"/>
      <c r="G2112" s="367"/>
      <c r="H2112" s="134"/>
    </row>
    <row r="2113" spans="2:8" s="140" customFormat="1" x14ac:dyDescent="0.25">
      <c r="B2113" s="155"/>
      <c r="C2113" s="151"/>
      <c r="D2113" s="151"/>
      <c r="E2113" s="148"/>
      <c r="F2113" s="151"/>
      <c r="G2113" s="367"/>
      <c r="H2113" s="134"/>
    </row>
    <row r="2114" spans="2:8" s="140" customFormat="1" x14ac:dyDescent="0.25">
      <c r="B2114" s="155"/>
      <c r="C2114" s="151"/>
      <c r="D2114" s="151"/>
      <c r="E2114" s="148"/>
      <c r="F2114" s="151"/>
      <c r="G2114" s="367"/>
      <c r="H2114" s="134"/>
    </row>
    <row r="2115" spans="2:8" s="140" customFormat="1" x14ac:dyDescent="0.25">
      <c r="B2115" s="155"/>
      <c r="C2115" s="151"/>
      <c r="D2115" s="151"/>
      <c r="E2115" s="148"/>
      <c r="F2115" s="151"/>
      <c r="G2115" s="367"/>
      <c r="H2115" s="134"/>
    </row>
    <row r="2116" spans="2:8" s="140" customFormat="1" x14ac:dyDescent="0.25">
      <c r="B2116" s="155"/>
      <c r="C2116" s="151"/>
      <c r="D2116" s="151"/>
      <c r="E2116" s="148"/>
      <c r="F2116" s="151"/>
      <c r="G2116" s="367"/>
      <c r="H2116" s="134"/>
    </row>
    <row r="2117" spans="2:8" s="140" customFormat="1" x14ac:dyDescent="0.25">
      <c r="B2117" s="155"/>
      <c r="C2117" s="151"/>
      <c r="D2117" s="151"/>
      <c r="E2117" s="148"/>
      <c r="F2117" s="151"/>
      <c r="G2117" s="367"/>
      <c r="H2117" s="134"/>
    </row>
    <row r="2118" spans="2:8" s="140" customFormat="1" x14ac:dyDescent="0.25">
      <c r="B2118" s="155"/>
      <c r="C2118" s="152"/>
      <c r="D2118" s="152"/>
      <c r="E2118" s="152"/>
      <c r="F2118" s="151"/>
      <c r="G2118" s="156"/>
      <c r="H2118" s="134"/>
    </row>
    <row r="2119" spans="2:8" s="140" customFormat="1" ht="13.5" thickBot="1" x14ac:dyDescent="0.3">
      <c r="B2119" s="155"/>
      <c r="C2119" s="152"/>
      <c r="D2119" s="152"/>
      <c r="E2119" s="152"/>
      <c r="F2119" s="151"/>
      <c r="G2119" s="156"/>
      <c r="H2119" s="134"/>
    </row>
    <row r="2120" spans="2:8" s="140" customFormat="1" ht="13.5" thickBot="1" x14ac:dyDescent="0.3">
      <c r="B2120" s="157"/>
      <c r="C2120" s="159"/>
      <c r="D2120" s="159"/>
      <c r="E2120" s="159"/>
      <c r="F2120" s="158"/>
      <c r="G2120" s="160"/>
      <c r="H2120" s="161">
        <f>+SUM(G2108:G2120)</f>
        <v>0</v>
      </c>
    </row>
    <row r="2121" spans="2:8" s="140" customFormat="1" ht="13.5" thickBot="1" x14ac:dyDescent="0.3">
      <c r="B2121" s="162"/>
      <c r="C2121" s="162"/>
      <c r="D2121" s="162"/>
      <c r="E2121" s="162"/>
      <c r="F2121" s="163"/>
      <c r="G2121" s="164"/>
      <c r="H2121" s="165"/>
    </row>
    <row r="2122" spans="2:8" s="140" customFormat="1" ht="13.5" thickBot="1" x14ac:dyDescent="0.3">
      <c r="B2122" s="143" t="s">
        <v>5410</v>
      </c>
      <c r="C2122" s="144" t="s">
        <v>867</v>
      </c>
      <c r="D2122" s="144" t="s">
        <v>6</v>
      </c>
      <c r="E2122" s="144" t="s">
        <v>870</v>
      </c>
      <c r="F2122" s="144" t="s">
        <v>5411</v>
      </c>
      <c r="G2122" s="145" t="s">
        <v>868</v>
      </c>
      <c r="H2122" s="134"/>
    </row>
    <row r="2123" spans="2:8" s="140" customFormat="1" x14ac:dyDescent="0.25">
      <c r="B2123" s="201"/>
      <c r="C2123" s="147"/>
      <c r="D2123" s="167"/>
      <c r="E2123" s="148"/>
      <c r="F2123" s="169"/>
      <c r="G2123" s="367">
        <f>+D2123*E2123*(1+F2123)</f>
        <v>0</v>
      </c>
      <c r="H2123" s="134"/>
    </row>
    <row r="2124" spans="2:8" s="140" customFormat="1" x14ac:dyDescent="0.25">
      <c r="B2124" s="196"/>
      <c r="C2124" s="151"/>
      <c r="D2124" s="151"/>
      <c r="E2124" s="148"/>
      <c r="F2124" s="147"/>
      <c r="G2124" s="367"/>
      <c r="H2124" s="134"/>
    </row>
    <row r="2125" spans="2:8" s="140" customFormat="1" x14ac:dyDescent="0.25">
      <c r="B2125" s="196"/>
      <c r="C2125" s="151"/>
      <c r="D2125" s="151"/>
      <c r="E2125" s="148"/>
      <c r="F2125" s="151"/>
      <c r="G2125" s="367"/>
      <c r="H2125" s="134"/>
    </row>
    <row r="2126" spans="2:8" s="140" customFormat="1" x14ac:dyDescent="0.25">
      <c r="B2126" s="155"/>
      <c r="C2126" s="151"/>
      <c r="D2126" s="151"/>
      <c r="E2126" s="148"/>
      <c r="F2126" s="151"/>
      <c r="G2126" s="367"/>
      <c r="H2126" s="134"/>
    </row>
    <row r="2127" spans="2:8" s="140" customFormat="1" x14ac:dyDescent="0.25">
      <c r="B2127" s="155"/>
      <c r="C2127" s="151"/>
      <c r="D2127" s="151"/>
      <c r="E2127" s="148"/>
      <c r="F2127" s="151"/>
      <c r="G2127" s="367"/>
      <c r="H2127" s="134"/>
    </row>
    <row r="2128" spans="2:8" s="140" customFormat="1" ht="13.5" thickBot="1" x14ac:dyDescent="0.3">
      <c r="B2128" s="155"/>
      <c r="C2128" s="151"/>
      <c r="D2128" s="151"/>
      <c r="E2128" s="148"/>
      <c r="F2128" s="151"/>
      <c r="G2128" s="367"/>
      <c r="H2128" s="134"/>
    </row>
    <row r="2129" spans="2:8" s="140" customFormat="1" ht="13.5" thickBot="1" x14ac:dyDescent="0.3">
      <c r="B2129" s="157"/>
      <c r="C2129" s="159"/>
      <c r="D2129" s="159"/>
      <c r="E2129" s="159"/>
      <c r="F2129" s="158"/>
      <c r="G2129" s="160"/>
      <c r="H2129" s="161">
        <f>+SUM(G2123:G2129)</f>
        <v>0</v>
      </c>
    </row>
    <row r="2130" spans="2:8" s="140" customFormat="1" ht="13.5" thickBot="1" x14ac:dyDescent="0.3">
      <c r="B2130" s="162"/>
      <c r="C2130" s="162"/>
      <c r="D2130" s="162"/>
      <c r="E2130" s="162"/>
      <c r="F2130" s="173"/>
      <c r="G2130" s="174"/>
      <c r="H2130" s="165"/>
    </row>
    <row r="2131" spans="2:8" s="140" customFormat="1" ht="13.5" thickBot="1" x14ac:dyDescent="0.3">
      <c r="B2131" s="143" t="s">
        <v>5412</v>
      </c>
      <c r="C2131" s="144" t="s">
        <v>5420</v>
      </c>
      <c r="D2131" s="144" t="s">
        <v>5421</v>
      </c>
      <c r="E2131" s="144" t="s">
        <v>5413</v>
      </c>
      <c r="F2131" s="144" t="s">
        <v>5405</v>
      </c>
      <c r="G2131" s="145" t="s">
        <v>868</v>
      </c>
      <c r="H2131" s="134"/>
    </row>
    <row r="2132" spans="2:8" s="140" customFormat="1" x14ac:dyDescent="0.25">
      <c r="B2132" s="194" t="s">
        <v>5650</v>
      </c>
      <c r="C2132" s="345">
        <v>70000</v>
      </c>
      <c r="D2132" s="345">
        <f>+C2132*0.85</f>
        <v>59500</v>
      </c>
      <c r="E2132" s="353">
        <f>+C2132+D2132</f>
        <v>129500</v>
      </c>
      <c r="F2132" s="202">
        <v>1000</v>
      </c>
      <c r="G2132" s="351">
        <f>+E2132/F2132</f>
        <v>129.5</v>
      </c>
      <c r="H2132" s="134"/>
    </row>
    <row r="2133" spans="2:8" s="140" customFormat="1" x14ac:dyDescent="0.25">
      <c r="B2133" s="194" t="s">
        <v>5651</v>
      </c>
      <c r="C2133" s="345">
        <v>40000</v>
      </c>
      <c r="D2133" s="345">
        <f>+C2133*0.85</f>
        <v>34000</v>
      </c>
      <c r="E2133" s="353">
        <f>+C2133+D2133</f>
        <v>74000</v>
      </c>
      <c r="F2133" s="204">
        <v>200</v>
      </c>
      <c r="G2133" s="351">
        <f>+E2133/F2133</f>
        <v>370</v>
      </c>
      <c r="H2133" s="134"/>
    </row>
    <row r="2134" spans="2:8" s="140" customFormat="1" x14ac:dyDescent="0.25">
      <c r="B2134" s="195" t="s">
        <v>5635</v>
      </c>
      <c r="C2134" s="345">
        <v>20600</v>
      </c>
      <c r="D2134" s="345">
        <f>+C2134*0.85</f>
        <v>17510</v>
      </c>
      <c r="E2134" s="353">
        <f>+C2134+D2134</f>
        <v>38110</v>
      </c>
      <c r="F2134" s="205">
        <v>30</v>
      </c>
      <c r="G2134" s="351">
        <f>+E2134/F2134</f>
        <v>1270.3333333333333</v>
      </c>
      <c r="H2134" s="134"/>
    </row>
    <row r="2135" spans="2:8" s="140" customFormat="1" x14ac:dyDescent="0.25">
      <c r="B2135" s="155"/>
      <c r="C2135" s="345"/>
      <c r="D2135" s="345"/>
      <c r="E2135" s="353"/>
      <c r="F2135" s="205"/>
      <c r="G2135" s="351"/>
      <c r="H2135" s="134"/>
    </row>
    <row r="2136" spans="2:8" s="140" customFormat="1" x14ac:dyDescent="0.25">
      <c r="B2136" s="155"/>
      <c r="C2136" s="345"/>
      <c r="D2136" s="345"/>
      <c r="E2136" s="353"/>
      <c r="F2136" s="205"/>
      <c r="G2136" s="351"/>
      <c r="H2136" s="134"/>
    </row>
    <row r="2137" spans="2:8" s="140" customFormat="1" ht="13.5" thickBot="1" x14ac:dyDescent="0.3">
      <c r="B2137" s="155"/>
      <c r="C2137" s="152"/>
      <c r="D2137" s="152"/>
      <c r="E2137" s="152"/>
      <c r="F2137" s="151"/>
      <c r="G2137" s="156"/>
      <c r="H2137" s="134"/>
    </row>
    <row r="2138" spans="2:8" s="140" customFormat="1" ht="13.5" thickBot="1" x14ac:dyDescent="0.3">
      <c r="B2138" s="179"/>
      <c r="C2138" s="180"/>
      <c r="D2138" s="180"/>
      <c r="E2138" s="180"/>
      <c r="F2138" s="181"/>
      <c r="G2138" s="182"/>
      <c r="H2138" s="161">
        <f>+SUM(G2132:G2138)</f>
        <v>1769.8333333333333</v>
      </c>
    </row>
    <row r="2139" spans="2:8" s="140" customFormat="1" ht="13.5" thickBot="1" x14ac:dyDescent="0.3">
      <c r="F2139" s="141"/>
      <c r="G2139" s="134"/>
      <c r="H2139" s="134"/>
    </row>
    <row r="2140" spans="2:8" s="140" customFormat="1" ht="13.5" thickBot="1" x14ac:dyDescent="0.3">
      <c r="E2140" s="183" t="s">
        <v>5415</v>
      </c>
      <c r="F2140" s="141"/>
      <c r="G2140" s="134"/>
      <c r="H2140" s="161">
        <f>ROUND(+H2105+H2120+H2129+H2138,0)</f>
        <v>2124</v>
      </c>
    </row>
    <row r="2145" spans="1:8" ht="18.75" x14ac:dyDescent="0.25">
      <c r="A2145" s="133"/>
      <c r="B2145" s="2506" t="s">
        <v>5400</v>
      </c>
      <c r="C2145" s="2506"/>
      <c r="D2145" s="2506"/>
      <c r="E2145" s="2506"/>
      <c r="F2145" s="2506"/>
      <c r="G2145" s="2506"/>
    </row>
    <row r="2146" spans="1:8" x14ac:dyDescent="0.25">
      <c r="A2146" s="133"/>
      <c r="G2146" s="134"/>
    </row>
    <row r="2147" spans="1:8" x14ac:dyDescent="0.25">
      <c r="A2147" s="133"/>
      <c r="G2147" s="134"/>
    </row>
    <row r="2148" spans="1:8" x14ac:dyDescent="0.25">
      <c r="A2148" s="133"/>
      <c r="G2148" s="134"/>
    </row>
    <row r="2149" spans="1:8" s="140" customFormat="1" x14ac:dyDescent="0.25">
      <c r="A2149" s="138" t="s">
        <v>3</v>
      </c>
      <c r="B2149" s="138" t="s">
        <v>5457</v>
      </c>
      <c r="C2149" s="2450" t="s">
        <v>5978</v>
      </c>
      <c r="D2149" s="2450"/>
      <c r="E2149" s="2450"/>
      <c r="F2149" s="138" t="s">
        <v>867</v>
      </c>
      <c r="G2149" s="139" t="s">
        <v>5542</v>
      </c>
      <c r="H2149" s="134"/>
    </row>
    <row r="2150" spans="1:8" s="140" customFormat="1" ht="24.95" customHeight="1" x14ac:dyDescent="0.25">
      <c r="A2150" s="141"/>
      <c r="F2150" s="141"/>
      <c r="G2150" s="134"/>
      <c r="H2150" s="134"/>
    </row>
    <row r="2151" spans="1:8" s="140" customFormat="1" ht="12.75" customHeight="1" x14ac:dyDescent="0.25">
      <c r="A2151" s="141"/>
      <c r="F2151" s="141"/>
      <c r="G2151" s="142"/>
      <c r="H2151" s="134"/>
    </row>
    <row r="2152" spans="1:8" s="140" customFormat="1" ht="13.5" thickBot="1" x14ac:dyDescent="0.3">
      <c r="A2152" s="141"/>
      <c r="F2152" s="141"/>
      <c r="G2152" s="134"/>
      <c r="H2152" s="134"/>
    </row>
    <row r="2153" spans="1:8" s="140" customFormat="1" ht="13.5" thickBot="1" x14ac:dyDescent="0.3">
      <c r="A2153" s="141"/>
      <c r="B2153" s="143" t="s">
        <v>5403</v>
      </c>
      <c r="C2153" s="144" t="s">
        <v>867</v>
      </c>
      <c r="D2153" s="144" t="s">
        <v>6</v>
      </c>
      <c r="E2153" s="144" t="s">
        <v>5404</v>
      </c>
      <c r="F2153" s="144" t="s">
        <v>5405</v>
      </c>
      <c r="G2153" s="145" t="s">
        <v>868</v>
      </c>
      <c r="H2153" s="134"/>
    </row>
    <row r="2154" spans="1:8" s="140" customFormat="1" x14ac:dyDescent="0.25">
      <c r="A2154" s="141"/>
      <c r="B2154" s="146" t="s">
        <v>5440</v>
      </c>
      <c r="C2154" s="147" t="s">
        <v>5406</v>
      </c>
      <c r="D2154" s="147"/>
      <c r="E2154" s="148">
        <f>+H2193</f>
        <v>10397</v>
      </c>
      <c r="F2154" s="167">
        <v>0.2</v>
      </c>
      <c r="G2154" s="360">
        <f>+E2154*F2154</f>
        <v>2079.4</v>
      </c>
      <c r="H2154" s="134"/>
    </row>
    <row r="2155" spans="1:8" s="140" customFormat="1" x14ac:dyDescent="0.25">
      <c r="A2155" s="141"/>
      <c r="B2155" s="154"/>
      <c r="C2155" s="151"/>
      <c r="D2155" s="205"/>
      <c r="E2155" s="366"/>
      <c r="F2155" s="205"/>
      <c r="G2155" s="360"/>
      <c r="H2155" s="134"/>
    </row>
    <row r="2156" spans="1:8" s="140" customFormat="1" x14ac:dyDescent="0.25">
      <c r="A2156" s="141"/>
      <c r="B2156" s="154"/>
      <c r="C2156" s="151"/>
      <c r="D2156" s="205"/>
      <c r="E2156" s="366"/>
      <c r="F2156" s="205"/>
      <c r="G2156" s="360"/>
      <c r="H2156" s="134"/>
    </row>
    <row r="2157" spans="1:8" s="140" customFormat="1" x14ac:dyDescent="0.25">
      <c r="A2157" s="141"/>
      <c r="B2157" s="155"/>
      <c r="C2157" s="151"/>
      <c r="D2157" s="152"/>
      <c r="E2157" s="152"/>
      <c r="F2157" s="151"/>
      <c r="G2157" s="156"/>
      <c r="H2157" s="134"/>
    </row>
    <row r="2158" spans="1:8" s="140" customFormat="1" ht="12.75" customHeight="1" x14ac:dyDescent="0.25">
      <c r="A2158" s="141"/>
      <c r="B2158" s="155"/>
      <c r="C2158" s="151"/>
      <c r="D2158" s="152"/>
      <c r="E2158" s="152"/>
      <c r="F2158" s="151"/>
      <c r="G2158" s="156"/>
      <c r="H2158" s="134"/>
    </row>
    <row r="2159" spans="1:8" s="140" customFormat="1" ht="13.5" thickBot="1" x14ac:dyDescent="0.3">
      <c r="A2159" s="141"/>
      <c r="B2159" s="155"/>
      <c r="C2159" s="151"/>
      <c r="D2159" s="152"/>
      <c r="E2159" s="152"/>
      <c r="F2159" s="151"/>
      <c r="G2159" s="156"/>
      <c r="H2159" s="134"/>
    </row>
    <row r="2160" spans="1:8" s="140" customFormat="1" ht="13.5" thickBot="1" x14ac:dyDescent="0.3">
      <c r="A2160" s="141"/>
      <c r="B2160" s="157"/>
      <c r="C2160" s="158"/>
      <c r="D2160" s="159"/>
      <c r="E2160" s="159"/>
      <c r="F2160" s="158"/>
      <c r="G2160" s="160"/>
      <c r="H2160" s="161">
        <f>+SUM(G2154:G2160)</f>
        <v>2079.4</v>
      </c>
    </row>
    <row r="2161" spans="1:8" s="140" customFormat="1" ht="13.5" thickBot="1" x14ac:dyDescent="0.3">
      <c r="A2161" s="141"/>
      <c r="B2161" s="162"/>
      <c r="C2161" s="163"/>
      <c r="D2161" s="162"/>
      <c r="E2161" s="162"/>
      <c r="F2161" s="163"/>
      <c r="G2161" s="164"/>
      <c r="H2161" s="165"/>
    </row>
    <row r="2162" spans="1:8" s="140" customFormat="1" ht="13.5" thickBot="1" x14ac:dyDescent="0.3">
      <c r="B2162" s="143" t="s">
        <v>5408</v>
      </c>
      <c r="C2162" s="144" t="s">
        <v>867</v>
      </c>
      <c r="D2162" s="144" t="s">
        <v>6</v>
      </c>
      <c r="E2162" s="144" t="s">
        <v>870</v>
      </c>
      <c r="F2162" s="144" t="s">
        <v>5409</v>
      </c>
      <c r="G2162" s="145" t="s">
        <v>868</v>
      </c>
      <c r="H2162" s="134"/>
    </row>
    <row r="2163" spans="1:8" s="140" customFormat="1" x14ac:dyDescent="0.25">
      <c r="B2163" s="201"/>
      <c r="C2163" s="147"/>
      <c r="D2163" s="301"/>
      <c r="E2163" s="148"/>
      <c r="F2163" s="169"/>
      <c r="G2163" s="367"/>
      <c r="H2163" s="134"/>
    </row>
    <row r="2164" spans="1:8" s="140" customFormat="1" x14ac:dyDescent="0.25">
      <c r="B2164" s="196"/>
      <c r="C2164" s="151"/>
      <c r="D2164" s="151"/>
      <c r="E2164" s="148"/>
      <c r="F2164" s="169"/>
      <c r="G2164" s="354"/>
      <c r="H2164" s="134"/>
    </row>
    <row r="2165" spans="1:8" s="140" customFormat="1" x14ac:dyDescent="0.25">
      <c r="B2165" s="196"/>
      <c r="C2165" s="151"/>
      <c r="D2165" s="151"/>
      <c r="E2165" s="148"/>
      <c r="F2165" s="169"/>
      <c r="G2165" s="367"/>
      <c r="H2165" s="134"/>
    </row>
    <row r="2166" spans="1:8" s="140" customFormat="1" x14ac:dyDescent="0.25">
      <c r="B2166" s="155"/>
      <c r="C2166" s="151"/>
      <c r="D2166" s="151"/>
      <c r="E2166" s="148"/>
      <c r="F2166" s="151"/>
      <c r="G2166" s="367"/>
      <c r="H2166" s="134"/>
    </row>
    <row r="2167" spans="1:8" s="140" customFormat="1" x14ac:dyDescent="0.25">
      <c r="B2167" s="155"/>
      <c r="C2167" s="151"/>
      <c r="D2167" s="151"/>
      <c r="E2167" s="148"/>
      <c r="F2167" s="151"/>
      <c r="G2167" s="367"/>
      <c r="H2167" s="134"/>
    </row>
    <row r="2168" spans="1:8" s="140" customFormat="1" x14ac:dyDescent="0.25">
      <c r="B2168" s="155"/>
      <c r="C2168" s="151"/>
      <c r="D2168" s="151"/>
      <c r="E2168" s="148"/>
      <c r="F2168" s="151"/>
      <c r="G2168" s="367"/>
      <c r="H2168" s="134"/>
    </row>
    <row r="2169" spans="1:8" s="140" customFormat="1" x14ac:dyDescent="0.25">
      <c r="B2169" s="155"/>
      <c r="C2169" s="151"/>
      <c r="D2169" s="151"/>
      <c r="E2169" s="148"/>
      <c r="F2169" s="151"/>
      <c r="G2169" s="367"/>
      <c r="H2169" s="134"/>
    </row>
    <row r="2170" spans="1:8" s="140" customFormat="1" x14ac:dyDescent="0.25">
      <c r="B2170" s="155"/>
      <c r="C2170" s="151"/>
      <c r="D2170" s="151"/>
      <c r="E2170" s="148"/>
      <c r="F2170" s="151"/>
      <c r="G2170" s="367"/>
      <c r="H2170" s="134"/>
    </row>
    <row r="2171" spans="1:8" s="140" customFormat="1" x14ac:dyDescent="0.25">
      <c r="B2171" s="155"/>
      <c r="C2171" s="151"/>
      <c r="D2171" s="151"/>
      <c r="E2171" s="148"/>
      <c r="F2171" s="151"/>
      <c r="G2171" s="367"/>
      <c r="H2171" s="134"/>
    </row>
    <row r="2172" spans="1:8" s="140" customFormat="1" x14ac:dyDescent="0.25">
      <c r="B2172" s="155"/>
      <c r="C2172" s="151"/>
      <c r="D2172" s="151"/>
      <c r="E2172" s="148"/>
      <c r="F2172" s="151"/>
      <c r="G2172" s="367"/>
      <c r="H2172" s="134"/>
    </row>
    <row r="2173" spans="1:8" s="140" customFormat="1" x14ac:dyDescent="0.25">
      <c r="B2173" s="155"/>
      <c r="C2173" s="152"/>
      <c r="D2173" s="152"/>
      <c r="E2173" s="152"/>
      <c r="F2173" s="151"/>
      <c r="G2173" s="156"/>
      <c r="H2173" s="134"/>
    </row>
    <row r="2174" spans="1:8" s="140" customFormat="1" ht="13.5" thickBot="1" x14ac:dyDescent="0.3">
      <c r="B2174" s="155"/>
      <c r="C2174" s="152"/>
      <c r="D2174" s="152"/>
      <c r="E2174" s="152"/>
      <c r="F2174" s="151"/>
      <c r="G2174" s="156"/>
      <c r="H2174" s="134"/>
    </row>
    <row r="2175" spans="1:8" s="140" customFormat="1" ht="13.5" thickBot="1" x14ac:dyDescent="0.3">
      <c r="B2175" s="157"/>
      <c r="C2175" s="159"/>
      <c r="D2175" s="159"/>
      <c r="E2175" s="159"/>
      <c r="F2175" s="158"/>
      <c r="G2175" s="160"/>
      <c r="H2175" s="161">
        <f>+SUM(G2163:G2175)</f>
        <v>0</v>
      </c>
    </row>
    <row r="2176" spans="1:8" s="140" customFormat="1" ht="13.5" thickBot="1" x14ac:dyDescent="0.3">
      <c r="B2176" s="162"/>
      <c r="C2176" s="162"/>
      <c r="D2176" s="162"/>
      <c r="E2176" s="162"/>
      <c r="F2176" s="163"/>
      <c r="G2176" s="164"/>
      <c r="H2176" s="165"/>
    </row>
    <row r="2177" spans="2:8" s="140" customFormat="1" ht="13.5" thickBot="1" x14ac:dyDescent="0.3">
      <c r="B2177" s="143" t="s">
        <v>5410</v>
      </c>
      <c r="C2177" s="144" t="s">
        <v>867</v>
      </c>
      <c r="D2177" s="144" t="s">
        <v>6</v>
      </c>
      <c r="E2177" s="144" t="s">
        <v>870</v>
      </c>
      <c r="F2177" s="144" t="s">
        <v>5411</v>
      </c>
      <c r="G2177" s="145" t="s">
        <v>868</v>
      </c>
      <c r="H2177" s="134"/>
    </row>
    <row r="2178" spans="2:8" s="140" customFormat="1" x14ac:dyDescent="0.25">
      <c r="B2178" s="201"/>
      <c r="C2178" s="147"/>
      <c r="D2178" s="167"/>
      <c r="E2178" s="148"/>
      <c r="F2178" s="169"/>
      <c r="G2178" s="367">
        <f>+D2178*E2178*(1+F2178)</f>
        <v>0</v>
      </c>
      <c r="H2178" s="134"/>
    </row>
    <row r="2179" spans="2:8" s="140" customFormat="1" x14ac:dyDescent="0.25">
      <c r="B2179" s="196"/>
      <c r="C2179" s="151"/>
      <c r="D2179" s="151"/>
      <c r="E2179" s="148"/>
      <c r="F2179" s="147"/>
      <c r="G2179" s="367"/>
      <c r="H2179" s="134"/>
    </row>
    <row r="2180" spans="2:8" s="140" customFormat="1" x14ac:dyDescent="0.25">
      <c r="B2180" s="196"/>
      <c r="C2180" s="151"/>
      <c r="D2180" s="151"/>
      <c r="E2180" s="148"/>
      <c r="F2180" s="151"/>
      <c r="G2180" s="367"/>
      <c r="H2180" s="134"/>
    </row>
    <row r="2181" spans="2:8" s="140" customFormat="1" x14ac:dyDescent="0.25">
      <c r="B2181" s="155"/>
      <c r="C2181" s="151"/>
      <c r="D2181" s="151"/>
      <c r="E2181" s="148"/>
      <c r="F2181" s="151"/>
      <c r="G2181" s="367"/>
      <c r="H2181" s="134"/>
    </row>
    <row r="2182" spans="2:8" s="140" customFormat="1" x14ac:dyDescent="0.25">
      <c r="B2182" s="155"/>
      <c r="C2182" s="151"/>
      <c r="D2182" s="151"/>
      <c r="E2182" s="148"/>
      <c r="F2182" s="151"/>
      <c r="G2182" s="367"/>
      <c r="H2182" s="134"/>
    </row>
    <row r="2183" spans="2:8" s="140" customFormat="1" ht="13.5" thickBot="1" x14ac:dyDescent="0.3">
      <c r="B2183" s="155"/>
      <c r="C2183" s="151"/>
      <c r="D2183" s="151"/>
      <c r="E2183" s="148"/>
      <c r="F2183" s="151"/>
      <c r="G2183" s="367"/>
      <c r="H2183" s="134"/>
    </row>
    <row r="2184" spans="2:8" s="140" customFormat="1" ht="13.5" thickBot="1" x14ac:dyDescent="0.3">
      <c r="B2184" s="157"/>
      <c r="C2184" s="159"/>
      <c r="D2184" s="159"/>
      <c r="E2184" s="159"/>
      <c r="F2184" s="158"/>
      <c r="G2184" s="160"/>
      <c r="H2184" s="161">
        <f>+SUM(G2178:G2184)</f>
        <v>0</v>
      </c>
    </row>
    <row r="2185" spans="2:8" s="140" customFormat="1" ht="13.5" thickBot="1" x14ac:dyDescent="0.3">
      <c r="B2185" s="162"/>
      <c r="C2185" s="162"/>
      <c r="D2185" s="162"/>
      <c r="E2185" s="162"/>
      <c r="F2185" s="173"/>
      <c r="G2185" s="174"/>
      <c r="H2185" s="165"/>
    </row>
    <row r="2186" spans="2:8" s="140" customFormat="1" ht="13.5" thickBot="1" x14ac:dyDescent="0.3">
      <c r="B2186" s="143" t="s">
        <v>5412</v>
      </c>
      <c r="C2186" s="144" t="s">
        <v>5420</v>
      </c>
      <c r="D2186" s="144" t="s">
        <v>5421</v>
      </c>
      <c r="E2186" s="144" t="s">
        <v>5413</v>
      </c>
      <c r="F2186" s="144" t="s">
        <v>5405</v>
      </c>
      <c r="G2186" s="145" t="s">
        <v>868</v>
      </c>
      <c r="H2186" s="134"/>
    </row>
    <row r="2187" spans="2:8" s="140" customFormat="1" x14ac:dyDescent="0.25">
      <c r="B2187" s="194" t="s">
        <v>5650</v>
      </c>
      <c r="C2187" s="345">
        <v>70000</v>
      </c>
      <c r="D2187" s="345">
        <f>+C2187*0.85</f>
        <v>59500</v>
      </c>
      <c r="E2187" s="353">
        <f>+C2187+D2187</f>
        <v>129500</v>
      </c>
      <c r="F2187" s="202">
        <v>1000</v>
      </c>
      <c r="G2187" s="351">
        <f>+E2187/F2187</f>
        <v>129.5</v>
      </c>
      <c r="H2187" s="134"/>
    </row>
    <row r="2188" spans="2:8" s="140" customFormat="1" x14ac:dyDescent="0.25">
      <c r="B2188" s="194" t="s">
        <v>5651</v>
      </c>
      <c r="C2188" s="345">
        <v>40000</v>
      </c>
      <c r="D2188" s="345">
        <f>+C2188*0.85</f>
        <v>34000</v>
      </c>
      <c r="E2188" s="353">
        <f>+C2188+D2188</f>
        <v>74000</v>
      </c>
      <c r="F2188" s="204">
        <v>100</v>
      </c>
      <c r="G2188" s="351">
        <f>+E2188/F2188</f>
        <v>740</v>
      </c>
      <c r="H2188" s="134"/>
    </row>
    <row r="2189" spans="2:8" s="140" customFormat="1" x14ac:dyDescent="0.25">
      <c r="B2189" s="195" t="s">
        <v>5635</v>
      </c>
      <c r="C2189" s="345">
        <v>20600</v>
      </c>
      <c r="D2189" s="345">
        <f>+C2189*0.85</f>
        <v>17510</v>
      </c>
      <c r="E2189" s="353">
        <f>+C2189+D2189</f>
        <v>38110</v>
      </c>
      <c r="F2189" s="205">
        <v>4</v>
      </c>
      <c r="G2189" s="351">
        <f>+E2189/F2189</f>
        <v>9527.5</v>
      </c>
      <c r="H2189" s="134"/>
    </row>
    <row r="2190" spans="2:8" s="140" customFormat="1" x14ac:dyDescent="0.25">
      <c r="B2190" s="155"/>
      <c r="C2190" s="345"/>
      <c r="D2190" s="345"/>
      <c r="E2190" s="353"/>
      <c r="F2190" s="205"/>
      <c r="G2190" s="351"/>
      <c r="H2190" s="134"/>
    </row>
    <row r="2191" spans="2:8" s="140" customFormat="1" x14ac:dyDescent="0.25">
      <c r="B2191" s="155"/>
      <c r="C2191" s="345"/>
      <c r="D2191" s="345"/>
      <c r="E2191" s="353"/>
      <c r="F2191" s="205"/>
      <c r="G2191" s="351"/>
      <c r="H2191" s="134"/>
    </row>
    <row r="2192" spans="2:8" s="140" customFormat="1" ht="13.5" thickBot="1" x14ac:dyDescent="0.3">
      <c r="B2192" s="155"/>
      <c r="C2192" s="152"/>
      <c r="D2192" s="152"/>
      <c r="E2192" s="152"/>
      <c r="F2192" s="151"/>
      <c r="G2192" s="156"/>
      <c r="H2192" s="134"/>
    </row>
    <row r="2193" spans="1:8" s="140" customFormat="1" ht="13.5" thickBot="1" x14ac:dyDescent="0.3">
      <c r="B2193" s="179"/>
      <c r="C2193" s="180"/>
      <c r="D2193" s="180"/>
      <c r="E2193" s="180"/>
      <c r="F2193" s="181"/>
      <c r="G2193" s="182"/>
      <c r="H2193" s="161">
        <f>+SUM(G2187:G2193)</f>
        <v>10397</v>
      </c>
    </row>
    <row r="2194" spans="1:8" s="140" customFormat="1" ht="13.5" thickBot="1" x14ac:dyDescent="0.3">
      <c r="F2194" s="141"/>
      <c r="G2194" s="134"/>
      <c r="H2194" s="134"/>
    </row>
    <row r="2195" spans="1:8" s="140" customFormat="1" ht="13.5" thickBot="1" x14ac:dyDescent="0.3">
      <c r="E2195" s="183" t="s">
        <v>5415</v>
      </c>
      <c r="F2195" s="141"/>
      <c r="G2195" s="134"/>
      <c r="H2195" s="161">
        <f>ROUND(+H2160+H2175+H2184+H2193,0)</f>
        <v>12476</v>
      </c>
    </row>
    <row r="2200" spans="1:8" ht="18.75" x14ac:dyDescent="0.25">
      <c r="A2200" s="133"/>
      <c r="B2200" s="2506" t="s">
        <v>5400</v>
      </c>
      <c r="C2200" s="2506"/>
      <c r="D2200" s="2506"/>
      <c r="E2200" s="2506"/>
      <c r="F2200" s="2506"/>
      <c r="G2200" s="2506"/>
    </row>
    <row r="2201" spans="1:8" x14ac:dyDescent="0.25">
      <c r="A2201" s="133"/>
      <c r="G2201" s="134"/>
    </row>
    <row r="2202" spans="1:8" x14ac:dyDescent="0.25">
      <c r="A2202" s="133"/>
      <c r="G2202" s="134"/>
    </row>
    <row r="2203" spans="1:8" x14ac:dyDescent="0.25">
      <c r="A2203" s="133"/>
      <c r="G2203" s="134"/>
    </row>
    <row r="2204" spans="1:8" s="140" customFormat="1" x14ac:dyDescent="0.25">
      <c r="A2204" s="138" t="s">
        <v>3</v>
      </c>
      <c r="B2204" s="138" t="s">
        <v>5457</v>
      </c>
      <c r="C2204" s="2450" t="s">
        <v>5685</v>
      </c>
      <c r="D2204" s="2450"/>
      <c r="E2204" s="2450"/>
      <c r="F2204" s="138" t="s">
        <v>867</v>
      </c>
      <c r="G2204" s="139" t="s">
        <v>5402</v>
      </c>
      <c r="H2204" s="134"/>
    </row>
    <row r="2205" spans="1:8" s="140" customFormat="1" ht="12.75" customHeight="1" x14ac:dyDescent="0.25">
      <c r="A2205" s="141"/>
      <c r="F2205" s="141"/>
      <c r="G2205" s="134"/>
      <c r="H2205" s="134"/>
    </row>
    <row r="2206" spans="1:8" s="140" customFormat="1" ht="12.75" customHeight="1" x14ac:dyDescent="0.25">
      <c r="A2206" s="141"/>
      <c r="F2206" s="141"/>
      <c r="G2206" s="142"/>
      <c r="H2206" s="134"/>
    </row>
    <row r="2207" spans="1:8" s="140" customFormat="1" ht="13.5" thickBot="1" x14ac:dyDescent="0.3">
      <c r="A2207" s="141"/>
      <c r="F2207" s="141"/>
      <c r="G2207" s="134"/>
      <c r="H2207" s="134"/>
    </row>
    <row r="2208" spans="1:8" s="140" customFormat="1" ht="13.5" thickBot="1" x14ac:dyDescent="0.3">
      <c r="A2208" s="141"/>
      <c r="B2208" s="143" t="s">
        <v>5403</v>
      </c>
      <c r="C2208" s="144" t="s">
        <v>867</v>
      </c>
      <c r="D2208" s="144" t="s">
        <v>6</v>
      </c>
      <c r="E2208" s="144" t="s">
        <v>5404</v>
      </c>
      <c r="F2208" s="144" t="s">
        <v>5405</v>
      </c>
      <c r="G2208" s="145" t="s">
        <v>868</v>
      </c>
      <c r="H2208" s="134"/>
    </row>
    <row r="2209" spans="1:8" s="140" customFormat="1" x14ac:dyDescent="0.25">
      <c r="A2209" s="141"/>
      <c r="B2209" s="146" t="s">
        <v>5440</v>
      </c>
      <c r="C2209" s="147" t="s">
        <v>5406</v>
      </c>
      <c r="D2209" s="147"/>
      <c r="E2209" s="148">
        <f>+H2248</f>
        <v>19924.5</v>
      </c>
      <c r="F2209" s="167">
        <v>0.2</v>
      </c>
      <c r="G2209" s="360">
        <f>+E2209*F2209</f>
        <v>3984.9</v>
      </c>
      <c r="H2209" s="134"/>
    </row>
    <row r="2210" spans="1:8" s="140" customFormat="1" x14ac:dyDescent="0.25">
      <c r="A2210" s="141"/>
      <c r="B2210" s="154"/>
      <c r="C2210" s="151"/>
      <c r="D2210" s="205"/>
      <c r="E2210" s="366"/>
      <c r="F2210" s="205"/>
      <c r="G2210" s="360"/>
      <c r="H2210" s="134"/>
    </row>
    <row r="2211" spans="1:8" s="140" customFormat="1" ht="12.75" customHeight="1" x14ac:dyDescent="0.25">
      <c r="A2211" s="141"/>
      <c r="B2211" s="154"/>
      <c r="C2211" s="151"/>
      <c r="D2211" s="205"/>
      <c r="E2211" s="366"/>
      <c r="F2211" s="205"/>
      <c r="G2211" s="360"/>
      <c r="H2211" s="134"/>
    </row>
    <row r="2212" spans="1:8" s="140" customFormat="1" x14ac:dyDescent="0.25">
      <c r="A2212" s="141"/>
      <c r="B2212" s="155"/>
      <c r="C2212" s="151"/>
      <c r="D2212" s="152"/>
      <c r="E2212" s="152"/>
      <c r="F2212" s="151"/>
      <c r="G2212" s="156"/>
      <c r="H2212" s="134"/>
    </row>
    <row r="2213" spans="1:8" s="140" customFormat="1" x14ac:dyDescent="0.25">
      <c r="A2213" s="141"/>
      <c r="B2213" s="155"/>
      <c r="C2213" s="151"/>
      <c r="D2213" s="152"/>
      <c r="E2213" s="152"/>
      <c r="F2213" s="151"/>
      <c r="G2213" s="156"/>
      <c r="H2213" s="134"/>
    </row>
    <row r="2214" spans="1:8" s="140" customFormat="1" ht="13.5" thickBot="1" x14ac:dyDescent="0.3">
      <c r="A2214" s="141"/>
      <c r="B2214" s="155"/>
      <c r="C2214" s="151"/>
      <c r="D2214" s="152"/>
      <c r="E2214" s="152"/>
      <c r="F2214" s="151"/>
      <c r="G2214" s="156"/>
      <c r="H2214" s="134"/>
    </row>
    <row r="2215" spans="1:8" s="140" customFormat="1" ht="13.5" thickBot="1" x14ac:dyDescent="0.3">
      <c r="A2215" s="141"/>
      <c r="B2215" s="157"/>
      <c r="C2215" s="158"/>
      <c r="D2215" s="159"/>
      <c r="E2215" s="159"/>
      <c r="F2215" s="158"/>
      <c r="G2215" s="160"/>
      <c r="H2215" s="161">
        <f>+SUM(G2209:G2215)</f>
        <v>3984.9</v>
      </c>
    </row>
    <row r="2216" spans="1:8" s="140" customFormat="1" ht="13.5" thickBot="1" x14ac:dyDescent="0.3">
      <c r="A2216" s="141"/>
      <c r="B2216" s="162"/>
      <c r="C2216" s="163"/>
      <c r="D2216" s="162"/>
      <c r="E2216" s="162"/>
      <c r="F2216" s="163"/>
      <c r="G2216" s="164"/>
      <c r="H2216" s="165"/>
    </row>
    <row r="2217" spans="1:8" s="140" customFormat="1" ht="13.5" thickBot="1" x14ac:dyDescent="0.3">
      <c r="B2217" s="143" t="s">
        <v>5408</v>
      </c>
      <c r="C2217" s="144" t="s">
        <v>867</v>
      </c>
      <c r="D2217" s="144" t="s">
        <v>6</v>
      </c>
      <c r="E2217" s="144" t="s">
        <v>870</v>
      </c>
      <c r="F2217" s="144" t="s">
        <v>5409</v>
      </c>
      <c r="G2217" s="145" t="s">
        <v>868</v>
      </c>
      <c r="H2217" s="134"/>
    </row>
    <row r="2218" spans="1:8" s="140" customFormat="1" x14ac:dyDescent="0.25">
      <c r="B2218" s="201"/>
      <c r="C2218" s="147"/>
      <c r="D2218" s="301"/>
      <c r="E2218" s="148"/>
      <c r="F2218" s="169"/>
      <c r="G2218" s="367"/>
      <c r="H2218" s="134"/>
    </row>
    <row r="2219" spans="1:8" s="140" customFormat="1" x14ac:dyDescent="0.25">
      <c r="B2219" s="196"/>
      <c r="C2219" s="151"/>
      <c r="D2219" s="151"/>
      <c r="E2219" s="148"/>
      <c r="F2219" s="169"/>
      <c r="G2219" s="354"/>
      <c r="H2219" s="134"/>
    </row>
    <row r="2220" spans="1:8" s="140" customFormat="1" x14ac:dyDescent="0.25">
      <c r="B2220" s="196"/>
      <c r="C2220" s="151"/>
      <c r="D2220" s="151"/>
      <c r="E2220" s="148"/>
      <c r="F2220" s="169"/>
      <c r="G2220" s="367"/>
      <c r="H2220" s="134"/>
    </row>
    <row r="2221" spans="1:8" s="140" customFormat="1" x14ac:dyDescent="0.25">
      <c r="B2221" s="155"/>
      <c r="C2221" s="151"/>
      <c r="D2221" s="151"/>
      <c r="E2221" s="148"/>
      <c r="F2221" s="151"/>
      <c r="G2221" s="367"/>
      <c r="H2221" s="134"/>
    </row>
    <row r="2222" spans="1:8" s="140" customFormat="1" x14ac:dyDescent="0.25">
      <c r="B2222" s="155"/>
      <c r="C2222" s="151"/>
      <c r="D2222" s="151"/>
      <c r="E2222" s="148"/>
      <c r="F2222" s="151"/>
      <c r="G2222" s="367"/>
      <c r="H2222" s="134"/>
    </row>
    <row r="2223" spans="1:8" s="140" customFormat="1" x14ac:dyDescent="0.25">
      <c r="B2223" s="155"/>
      <c r="C2223" s="151"/>
      <c r="D2223" s="151"/>
      <c r="E2223" s="148"/>
      <c r="F2223" s="151"/>
      <c r="G2223" s="367"/>
      <c r="H2223" s="134"/>
    </row>
    <row r="2224" spans="1:8" s="140" customFormat="1" x14ac:dyDescent="0.25">
      <c r="B2224" s="155"/>
      <c r="C2224" s="151"/>
      <c r="D2224" s="151"/>
      <c r="E2224" s="148"/>
      <c r="F2224" s="151"/>
      <c r="G2224" s="367"/>
      <c r="H2224" s="134"/>
    </row>
    <row r="2225" spans="2:8" s="140" customFormat="1" x14ac:dyDescent="0.25">
      <c r="B2225" s="155"/>
      <c r="C2225" s="151"/>
      <c r="D2225" s="151"/>
      <c r="E2225" s="148"/>
      <c r="F2225" s="151"/>
      <c r="G2225" s="367"/>
      <c r="H2225" s="134"/>
    </row>
    <row r="2226" spans="2:8" s="140" customFormat="1" x14ac:dyDescent="0.25">
      <c r="B2226" s="155"/>
      <c r="C2226" s="151"/>
      <c r="D2226" s="151"/>
      <c r="E2226" s="148"/>
      <c r="F2226" s="151"/>
      <c r="G2226" s="367"/>
      <c r="H2226" s="134"/>
    </row>
    <row r="2227" spans="2:8" s="140" customFormat="1" x14ac:dyDescent="0.25">
      <c r="B2227" s="155"/>
      <c r="C2227" s="151"/>
      <c r="D2227" s="151"/>
      <c r="E2227" s="148"/>
      <c r="F2227" s="151"/>
      <c r="G2227" s="367"/>
      <c r="H2227" s="134"/>
    </row>
    <row r="2228" spans="2:8" s="140" customFormat="1" x14ac:dyDescent="0.25">
      <c r="B2228" s="155"/>
      <c r="C2228" s="152"/>
      <c r="D2228" s="152"/>
      <c r="E2228" s="152"/>
      <c r="F2228" s="151"/>
      <c r="G2228" s="156"/>
      <c r="H2228" s="134"/>
    </row>
    <row r="2229" spans="2:8" s="140" customFormat="1" ht="13.5" thickBot="1" x14ac:dyDescent="0.3">
      <c r="B2229" s="155"/>
      <c r="C2229" s="152"/>
      <c r="D2229" s="152"/>
      <c r="E2229" s="152"/>
      <c r="F2229" s="151"/>
      <c r="G2229" s="156"/>
      <c r="H2229" s="134"/>
    </row>
    <row r="2230" spans="2:8" s="140" customFormat="1" ht="13.5" thickBot="1" x14ac:dyDescent="0.3">
      <c r="B2230" s="157"/>
      <c r="C2230" s="159"/>
      <c r="D2230" s="159"/>
      <c r="E2230" s="159"/>
      <c r="F2230" s="158"/>
      <c r="G2230" s="160"/>
      <c r="H2230" s="161">
        <f>+SUM(G2218:G2230)</f>
        <v>0</v>
      </c>
    </row>
    <row r="2231" spans="2:8" s="140" customFormat="1" ht="13.5" thickBot="1" x14ac:dyDescent="0.3">
      <c r="B2231" s="162"/>
      <c r="C2231" s="162"/>
      <c r="D2231" s="162"/>
      <c r="E2231" s="162"/>
      <c r="F2231" s="163"/>
      <c r="G2231" s="164"/>
      <c r="H2231" s="165"/>
    </row>
    <row r="2232" spans="2:8" s="140" customFormat="1" ht="13.5" thickBot="1" x14ac:dyDescent="0.3">
      <c r="B2232" s="143" t="s">
        <v>5410</v>
      </c>
      <c r="C2232" s="144" t="s">
        <v>867</v>
      </c>
      <c r="D2232" s="144" t="s">
        <v>6</v>
      </c>
      <c r="E2232" s="144" t="s">
        <v>870</v>
      </c>
      <c r="F2232" s="144" t="s">
        <v>5411</v>
      </c>
      <c r="G2232" s="145" t="s">
        <v>868</v>
      </c>
      <c r="H2232" s="134"/>
    </row>
    <row r="2233" spans="2:8" s="140" customFormat="1" x14ac:dyDescent="0.25">
      <c r="B2233" s="201"/>
      <c r="C2233" s="147"/>
      <c r="D2233" s="167"/>
      <c r="E2233" s="148"/>
      <c r="F2233" s="169"/>
      <c r="G2233" s="367">
        <f>+D2233*E2233*(1+F2233)</f>
        <v>0</v>
      </c>
      <c r="H2233" s="134"/>
    </row>
    <row r="2234" spans="2:8" s="140" customFormat="1" x14ac:dyDescent="0.25">
      <c r="B2234" s="196"/>
      <c r="C2234" s="151"/>
      <c r="D2234" s="151"/>
      <c r="E2234" s="148"/>
      <c r="F2234" s="147"/>
      <c r="G2234" s="367"/>
      <c r="H2234" s="134"/>
    </row>
    <row r="2235" spans="2:8" s="140" customFormat="1" x14ac:dyDescent="0.25">
      <c r="B2235" s="196"/>
      <c r="C2235" s="151"/>
      <c r="D2235" s="151"/>
      <c r="E2235" s="148"/>
      <c r="F2235" s="151"/>
      <c r="G2235" s="367"/>
      <c r="H2235" s="134"/>
    </row>
    <row r="2236" spans="2:8" s="140" customFormat="1" x14ac:dyDescent="0.25">
      <c r="B2236" s="155"/>
      <c r="C2236" s="151"/>
      <c r="D2236" s="151"/>
      <c r="E2236" s="148"/>
      <c r="F2236" s="151"/>
      <c r="G2236" s="367"/>
      <c r="H2236" s="134"/>
    </row>
    <row r="2237" spans="2:8" s="140" customFormat="1" x14ac:dyDescent="0.25">
      <c r="B2237" s="155"/>
      <c r="C2237" s="151"/>
      <c r="D2237" s="151"/>
      <c r="E2237" s="148"/>
      <c r="F2237" s="151"/>
      <c r="G2237" s="367"/>
      <c r="H2237" s="134"/>
    </row>
    <row r="2238" spans="2:8" s="140" customFormat="1" ht="13.5" thickBot="1" x14ac:dyDescent="0.3">
      <c r="B2238" s="155"/>
      <c r="C2238" s="151"/>
      <c r="D2238" s="151"/>
      <c r="E2238" s="148"/>
      <c r="F2238" s="151"/>
      <c r="G2238" s="367"/>
      <c r="H2238" s="134"/>
    </row>
    <row r="2239" spans="2:8" s="140" customFormat="1" ht="13.5" thickBot="1" x14ac:dyDescent="0.3">
      <c r="B2239" s="157"/>
      <c r="C2239" s="159"/>
      <c r="D2239" s="159"/>
      <c r="E2239" s="159"/>
      <c r="F2239" s="158"/>
      <c r="G2239" s="160"/>
      <c r="H2239" s="161">
        <f>+SUM(G2233:G2239)</f>
        <v>0</v>
      </c>
    </row>
    <row r="2240" spans="2:8" s="140" customFormat="1" ht="13.5" thickBot="1" x14ac:dyDescent="0.3">
      <c r="B2240" s="162"/>
      <c r="C2240" s="162"/>
      <c r="D2240" s="162"/>
      <c r="E2240" s="162"/>
      <c r="F2240" s="173"/>
      <c r="G2240" s="174"/>
      <c r="H2240" s="165"/>
    </row>
    <row r="2241" spans="1:15" s="140" customFormat="1" ht="13.5" thickBot="1" x14ac:dyDescent="0.3">
      <c r="B2241" s="143" t="s">
        <v>5412</v>
      </c>
      <c r="C2241" s="144" t="s">
        <v>5420</v>
      </c>
      <c r="D2241" s="144" t="s">
        <v>5421</v>
      </c>
      <c r="E2241" s="144" t="s">
        <v>5413</v>
      </c>
      <c r="F2241" s="144" t="s">
        <v>5405</v>
      </c>
      <c r="G2241" s="145" t="s">
        <v>868</v>
      </c>
      <c r="H2241" s="134"/>
    </row>
    <row r="2242" spans="1:15" s="140" customFormat="1" x14ac:dyDescent="0.25">
      <c r="B2242" s="194" t="s">
        <v>5650</v>
      </c>
      <c r="C2242" s="345">
        <v>70000</v>
      </c>
      <c r="D2242" s="345">
        <f>+C2242*0.85</f>
        <v>59500</v>
      </c>
      <c r="E2242" s="353">
        <f>+C2242+D2242</f>
        <v>129500</v>
      </c>
      <c r="F2242" s="202">
        <v>1000</v>
      </c>
      <c r="G2242" s="351">
        <f>+E2242/F2242</f>
        <v>129.5</v>
      </c>
      <c r="H2242" s="134"/>
    </row>
    <row r="2243" spans="1:15" s="140" customFormat="1" x14ac:dyDescent="0.25">
      <c r="B2243" s="194" t="s">
        <v>5651</v>
      </c>
      <c r="C2243" s="345">
        <v>40000</v>
      </c>
      <c r="D2243" s="345">
        <f>+C2243*0.85</f>
        <v>34000</v>
      </c>
      <c r="E2243" s="353">
        <f>+C2243+D2243</f>
        <v>74000</v>
      </c>
      <c r="F2243" s="204">
        <v>100</v>
      </c>
      <c r="G2243" s="351">
        <f>+E2243/F2243</f>
        <v>740</v>
      </c>
      <c r="H2243" s="134"/>
    </row>
    <row r="2244" spans="1:15" s="140" customFormat="1" x14ac:dyDescent="0.25">
      <c r="B2244" s="195" t="s">
        <v>5635</v>
      </c>
      <c r="C2244" s="345">
        <v>20600</v>
      </c>
      <c r="D2244" s="345">
        <f>+C2244*0.85</f>
        <v>17510</v>
      </c>
      <c r="E2244" s="353">
        <f>+C2244+D2244</f>
        <v>38110</v>
      </c>
      <c r="F2244" s="205">
        <v>2</v>
      </c>
      <c r="G2244" s="351">
        <f>+E2244/F2244</f>
        <v>19055</v>
      </c>
      <c r="H2244" s="134"/>
    </row>
    <row r="2245" spans="1:15" s="140" customFormat="1" x14ac:dyDescent="0.25">
      <c r="B2245" s="155"/>
      <c r="C2245" s="345"/>
      <c r="D2245" s="345"/>
      <c r="E2245" s="353"/>
      <c r="F2245" s="205"/>
      <c r="G2245" s="351"/>
      <c r="H2245" s="134"/>
    </row>
    <row r="2246" spans="1:15" s="140" customFormat="1" x14ac:dyDescent="0.25">
      <c r="B2246" s="155"/>
      <c r="C2246" s="345"/>
      <c r="D2246" s="345"/>
      <c r="E2246" s="353"/>
      <c r="F2246" s="205"/>
      <c r="G2246" s="351"/>
      <c r="H2246" s="134"/>
    </row>
    <row r="2247" spans="1:15" s="140" customFormat="1" ht="13.5" thickBot="1" x14ac:dyDescent="0.3">
      <c r="B2247" s="155"/>
      <c r="C2247" s="152"/>
      <c r="D2247" s="152"/>
      <c r="E2247" s="152"/>
      <c r="F2247" s="151"/>
      <c r="G2247" s="156"/>
      <c r="H2247" s="134"/>
    </row>
    <row r="2248" spans="1:15" s="140" customFormat="1" ht="13.5" thickBot="1" x14ac:dyDescent="0.3">
      <c r="B2248" s="179"/>
      <c r="C2248" s="180"/>
      <c r="D2248" s="180"/>
      <c r="E2248" s="180"/>
      <c r="F2248" s="181"/>
      <c r="G2248" s="182"/>
      <c r="H2248" s="161">
        <f>+SUM(G2242:G2248)</f>
        <v>19924.5</v>
      </c>
    </row>
    <row r="2249" spans="1:15" s="140" customFormat="1" ht="13.5" thickBot="1" x14ac:dyDescent="0.3">
      <c r="F2249" s="141"/>
      <c r="G2249" s="134"/>
      <c r="H2249" s="134"/>
    </row>
    <row r="2250" spans="1:15" s="140" customFormat="1" ht="13.5" thickBot="1" x14ac:dyDescent="0.3">
      <c r="E2250" s="183" t="s">
        <v>5415</v>
      </c>
      <c r="F2250" s="141"/>
      <c r="G2250" s="134"/>
      <c r="H2250" s="161">
        <f>ROUND(+H2215+H2230+H2239+H2248,0)</f>
        <v>23909</v>
      </c>
    </row>
    <row r="2255" spans="1:15" ht="18.75" x14ac:dyDescent="0.25">
      <c r="A2255" s="133"/>
      <c r="B2255" s="2506" t="s">
        <v>5400</v>
      </c>
      <c r="C2255" s="2506"/>
      <c r="D2255" s="2506"/>
      <c r="E2255" s="2506"/>
      <c r="F2255" s="2506"/>
      <c r="G2255" s="2506"/>
      <c r="I2255" s="133"/>
      <c r="J2255" s="2506" t="s">
        <v>5400</v>
      </c>
      <c r="K2255" s="2506"/>
      <c r="L2255" s="2506"/>
      <c r="M2255" s="2506"/>
      <c r="N2255" s="2506"/>
      <c r="O2255" s="2506"/>
    </row>
    <row r="2256" spans="1:15" x14ac:dyDescent="0.25">
      <c r="A2256" s="133"/>
      <c r="G2256" s="134"/>
      <c r="I2256" s="133"/>
      <c r="N2256" s="133"/>
      <c r="O2256" s="134"/>
    </row>
    <row r="2257" spans="1:16" x14ac:dyDescent="0.25">
      <c r="A2257" s="133"/>
      <c r="G2257" s="134"/>
      <c r="I2257" s="133"/>
      <c r="N2257" s="133"/>
      <c r="O2257" s="134"/>
    </row>
    <row r="2258" spans="1:16" x14ac:dyDescent="0.25">
      <c r="A2258" s="133"/>
      <c r="G2258" s="134"/>
      <c r="I2258" s="133"/>
      <c r="N2258" s="133"/>
      <c r="O2258" s="134"/>
    </row>
    <row r="2259" spans="1:16" s="140" customFormat="1" x14ac:dyDescent="0.25">
      <c r="A2259" s="138" t="s">
        <v>3</v>
      </c>
      <c r="B2259" s="138" t="s">
        <v>5457</v>
      </c>
      <c r="C2259" s="2450" t="s">
        <v>112</v>
      </c>
      <c r="D2259" s="2450"/>
      <c r="E2259" s="2450"/>
      <c r="F2259" s="138" t="s">
        <v>867</v>
      </c>
      <c r="G2259" s="139" t="s">
        <v>5402</v>
      </c>
      <c r="H2259" s="134"/>
      <c r="I2259" s="138" t="s">
        <v>3</v>
      </c>
      <c r="J2259" s="138" t="s">
        <v>5457</v>
      </c>
      <c r="K2259" s="2450" t="s">
        <v>6395</v>
      </c>
      <c r="L2259" s="2450"/>
      <c r="M2259" s="2450"/>
      <c r="N2259" s="138" t="s">
        <v>867</v>
      </c>
      <c r="O2259" s="139" t="s">
        <v>5402</v>
      </c>
      <c r="P2259" s="134"/>
    </row>
    <row r="2260" spans="1:16" s="140" customFormat="1" ht="12.75" customHeight="1" x14ac:dyDescent="0.25">
      <c r="A2260" s="141"/>
      <c r="F2260" s="141"/>
      <c r="G2260" s="134"/>
      <c r="H2260" s="134"/>
      <c r="I2260" s="141"/>
      <c r="N2260" s="141"/>
      <c r="O2260" s="134"/>
      <c r="P2260" s="134"/>
    </row>
    <row r="2261" spans="1:16" s="140" customFormat="1" ht="12.75" customHeight="1" x14ac:dyDescent="0.25">
      <c r="A2261" s="141"/>
      <c r="F2261" s="141"/>
      <c r="G2261" s="142"/>
      <c r="H2261" s="134"/>
      <c r="I2261" s="141"/>
      <c r="N2261" s="141"/>
      <c r="O2261" s="142"/>
      <c r="P2261" s="134"/>
    </row>
    <row r="2262" spans="1:16" s="140" customFormat="1" ht="13.5" thickBot="1" x14ac:dyDescent="0.3">
      <c r="A2262" s="141"/>
      <c r="F2262" s="141"/>
      <c r="G2262" s="134"/>
      <c r="H2262" s="134"/>
      <c r="I2262" s="141"/>
      <c r="N2262" s="141"/>
      <c r="O2262" s="134"/>
      <c r="P2262" s="134"/>
    </row>
    <row r="2263" spans="1:16" s="140" customFormat="1" ht="13.5" thickBot="1" x14ac:dyDescent="0.3">
      <c r="A2263" s="141"/>
      <c r="B2263" s="143" t="s">
        <v>5403</v>
      </c>
      <c r="C2263" s="144" t="s">
        <v>867</v>
      </c>
      <c r="D2263" s="144" t="s">
        <v>6</v>
      </c>
      <c r="E2263" s="144" t="s">
        <v>5404</v>
      </c>
      <c r="F2263" s="144" t="s">
        <v>5405</v>
      </c>
      <c r="G2263" s="145" t="s">
        <v>868</v>
      </c>
      <c r="H2263" s="134"/>
      <c r="I2263" s="141"/>
      <c r="J2263" s="143" t="s">
        <v>5403</v>
      </c>
      <c r="K2263" s="144" t="s">
        <v>867</v>
      </c>
      <c r="L2263" s="144" t="s">
        <v>6</v>
      </c>
      <c r="M2263" s="144" t="s">
        <v>5404</v>
      </c>
      <c r="N2263" s="144" t="s">
        <v>5405</v>
      </c>
      <c r="O2263" s="145" t="s">
        <v>868</v>
      </c>
      <c r="P2263" s="134"/>
    </row>
    <row r="2264" spans="1:16" s="140" customFormat="1" x14ac:dyDescent="0.25">
      <c r="A2264" s="141"/>
      <c r="B2264" s="146" t="s">
        <v>5440</v>
      </c>
      <c r="C2264" s="147" t="s">
        <v>5406</v>
      </c>
      <c r="D2264" s="147"/>
      <c r="E2264" s="148">
        <f>+H2303</f>
        <v>3989.833333333333</v>
      </c>
      <c r="F2264" s="167">
        <v>0.2</v>
      </c>
      <c r="G2264" s="360">
        <f>+E2264*F2264</f>
        <v>797.9666666666667</v>
      </c>
      <c r="H2264" s="134"/>
      <c r="I2264" s="141"/>
      <c r="J2264" s="146" t="s">
        <v>5440</v>
      </c>
      <c r="K2264" s="147" t="s">
        <v>5406</v>
      </c>
      <c r="L2264" s="147"/>
      <c r="M2264" s="148">
        <f>+P2303</f>
        <v>15046.666666666668</v>
      </c>
      <c r="N2264" s="167">
        <v>0.2</v>
      </c>
      <c r="O2264" s="360">
        <f>+M2264*N2264</f>
        <v>3009.3333333333339</v>
      </c>
      <c r="P2264" s="134"/>
    </row>
    <row r="2265" spans="1:16" s="140" customFormat="1" x14ac:dyDescent="0.25">
      <c r="A2265" s="141"/>
      <c r="B2265" s="154" t="s">
        <v>5686</v>
      </c>
      <c r="C2265" s="151" t="s">
        <v>5666</v>
      </c>
      <c r="D2265" s="205">
        <v>1</v>
      </c>
      <c r="E2265" s="366">
        <v>120000</v>
      </c>
      <c r="F2265" s="205">
        <v>300</v>
      </c>
      <c r="G2265" s="360">
        <f>+D2265*E2265/F2265</f>
        <v>400</v>
      </c>
      <c r="H2265" s="134"/>
      <c r="I2265" s="141"/>
      <c r="J2265" s="154" t="s">
        <v>6398</v>
      </c>
      <c r="K2265" s="151" t="s">
        <v>5666</v>
      </c>
      <c r="L2265" s="205">
        <v>1</v>
      </c>
      <c r="M2265" s="366">
        <v>180000</v>
      </c>
      <c r="N2265" s="205">
        <v>30</v>
      </c>
      <c r="O2265" s="360">
        <f>+L2265*M2265/N2265</f>
        <v>6000</v>
      </c>
      <c r="P2265" s="134"/>
    </row>
    <row r="2266" spans="1:16" s="140" customFormat="1" x14ac:dyDescent="0.25">
      <c r="A2266" s="141"/>
      <c r="B2266" s="154"/>
      <c r="C2266" s="151"/>
      <c r="D2266" s="205"/>
      <c r="E2266" s="366"/>
      <c r="F2266" s="205"/>
      <c r="G2266" s="360"/>
      <c r="H2266" s="134"/>
      <c r="I2266" s="141"/>
      <c r="J2266" s="154" t="s">
        <v>6399</v>
      </c>
      <c r="K2266" s="151"/>
      <c r="L2266" s="205"/>
      <c r="M2266" s="366"/>
      <c r="N2266" s="205"/>
      <c r="O2266" s="360">
        <v>500</v>
      </c>
      <c r="P2266" s="134"/>
    </row>
    <row r="2267" spans="1:16" s="140" customFormat="1" x14ac:dyDescent="0.25">
      <c r="A2267" s="141"/>
      <c r="B2267" s="155"/>
      <c r="C2267" s="151"/>
      <c r="D2267" s="152"/>
      <c r="E2267" s="152"/>
      <c r="F2267" s="151"/>
      <c r="G2267" s="156"/>
      <c r="H2267" s="134"/>
      <c r="I2267" s="141"/>
      <c r="J2267" s="154"/>
      <c r="K2267" s="151"/>
      <c r="L2267" s="205"/>
      <c r="M2267" s="366"/>
      <c r="N2267" s="205"/>
      <c r="O2267" s="360"/>
      <c r="P2267" s="134"/>
    </row>
    <row r="2268" spans="1:16" s="140" customFormat="1" x14ac:dyDescent="0.25">
      <c r="A2268" s="141"/>
      <c r="B2268" s="155"/>
      <c r="C2268" s="151"/>
      <c r="D2268" s="152"/>
      <c r="E2268" s="152"/>
      <c r="F2268" s="151"/>
      <c r="G2268" s="156"/>
      <c r="H2268" s="134"/>
      <c r="I2268" s="141"/>
      <c r="J2268" s="155"/>
      <c r="K2268" s="151"/>
      <c r="L2268" s="152"/>
      <c r="M2268" s="152"/>
      <c r="N2268" s="151"/>
      <c r="O2268" s="156"/>
      <c r="P2268" s="134"/>
    </row>
    <row r="2269" spans="1:16" s="140" customFormat="1" ht="13.5" thickBot="1" x14ac:dyDescent="0.3">
      <c r="A2269" s="141"/>
      <c r="B2269" s="155"/>
      <c r="C2269" s="151"/>
      <c r="D2269" s="152"/>
      <c r="E2269" s="152"/>
      <c r="F2269" s="151"/>
      <c r="G2269" s="156"/>
      <c r="H2269" s="134"/>
      <c r="I2269" s="141"/>
      <c r="J2269" s="155"/>
      <c r="K2269" s="151"/>
      <c r="L2269" s="152"/>
      <c r="M2269" s="152"/>
      <c r="N2269" s="151"/>
      <c r="O2269" s="156"/>
      <c r="P2269" s="134"/>
    </row>
    <row r="2270" spans="1:16" s="140" customFormat="1" ht="13.5" thickBot="1" x14ac:dyDescent="0.3">
      <c r="A2270" s="141"/>
      <c r="B2270" s="157"/>
      <c r="C2270" s="158"/>
      <c r="D2270" s="159"/>
      <c r="E2270" s="159"/>
      <c r="F2270" s="158"/>
      <c r="G2270" s="160"/>
      <c r="H2270" s="161">
        <f>+SUM(G2264:G2270)</f>
        <v>1197.9666666666667</v>
      </c>
      <c r="I2270" s="141"/>
      <c r="J2270" s="157"/>
      <c r="K2270" s="158"/>
      <c r="L2270" s="159"/>
      <c r="M2270" s="159"/>
      <c r="N2270" s="158"/>
      <c r="O2270" s="160"/>
      <c r="P2270" s="161">
        <f>+SUM(O2264:O2270)</f>
        <v>9509.3333333333339</v>
      </c>
    </row>
    <row r="2271" spans="1:16" s="140" customFormat="1" ht="13.5" thickBot="1" x14ac:dyDescent="0.3">
      <c r="A2271" s="141"/>
      <c r="B2271" s="162"/>
      <c r="C2271" s="163"/>
      <c r="D2271" s="162"/>
      <c r="E2271" s="162"/>
      <c r="F2271" s="163"/>
      <c r="G2271" s="164"/>
      <c r="H2271" s="165"/>
      <c r="I2271" s="141"/>
      <c r="J2271" s="162"/>
      <c r="K2271" s="163"/>
      <c r="L2271" s="162"/>
      <c r="M2271" s="162"/>
      <c r="N2271" s="163"/>
      <c r="O2271" s="164"/>
      <c r="P2271" s="165"/>
    </row>
    <row r="2272" spans="1:16" s="140" customFormat="1" ht="13.5" thickBot="1" x14ac:dyDescent="0.3">
      <c r="B2272" s="143" t="s">
        <v>5408</v>
      </c>
      <c r="C2272" s="144" t="s">
        <v>867</v>
      </c>
      <c r="D2272" s="144" t="s">
        <v>6</v>
      </c>
      <c r="E2272" s="144" t="s">
        <v>870</v>
      </c>
      <c r="F2272" s="144" t="s">
        <v>5409</v>
      </c>
      <c r="G2272" s="145" t="s">
        <v>868</v>
      </c>
      <c r="H2272" s="134"/>
      <c r="J2272" s="143" t="s">
        <v>5408</v>
      </c>
      <c r="K2272" s="144" t="s">
        <v>867</v>
      </c>
      <c r="L2272" s="144" t="s">
        <v>6</v>
      </c>
      <c r="M2272" s="144" t="s">
        <v>870</v>
      </c>
      <c r="N2272" s="144" t="s">
        <v>5409</v>
      </c>
      <c r="O2272" s="145" t="s">
        <v>868</v>
      </c>
      <c r="P2272" s="134"/>
    </row>
    <row r="2273" spans="2:16" s="140" customFormat="1" x14ac:dyDescent="0.25">
      <c r="B2273" s="201"/>
      <c r="C2273" s="147"/>
      <c r="D2273" s="301"/>
      <c r="E2273" s="148"/>
      <c r="F2273" s="169"/>
      <c r="G2273" s="367"/>
      <c r="H2273" s="134"/>
      <c r="J2273" s="295" t="s">
        <v>5553</v>
      </c>
      <c r="K2273" s="202" t="s">
        <v>5488</v>
      </c>
      <c r="L2273" s="226">
        <v>10</v>
      </c>
      <c r="M2273" s="332">
        <v>20</v>
      </c>
      <c r="N2273" s="169">
        <v>0.05</v>
      </c>
      <c r="O2273" s="178">
        <f>+L2273*M2273*(1+N2273)</f>
        <v>210</v>
      </c>
      <c r="P2273" s="134"/>
    </row>
    <row r="2274" spans="2:16" s="140" customFormat="1" x14ac:dyDescent="0.25">
      <c r="B2274" s="196"/>
      <c r="C2274" s="151"/>
      <c r="D2274" s="151"/>
      <c r="E2274" s="148"/>
      <c r="F2274" s="169"/>
      <c r="G2274" s="354"/>
      <c r="H2274" s="134"/>
      <c r="J2274" s="450" t="s">
        <v>6392</v>
      </c>
      <c r="K2274" s="202" t="s">
        <v>5475</v>
      </c>
      <c r="L2274" s="202"/>
      <c r="M2274" s="228"/>
      <c r="N2274" s="169"/>
      <c r="O2274" s="178">
        <v>150</v>
      </c>
      <c r="P2274" s="134"/>
    </row>
    <row r="2275" spans="2:16" s="140" customFormat="1" x14ac:dyDescent="0.25">
      <c r="B2275" s="196"/>
      <c r="C2275" s="151"/>
      <c r="D2275" s="151"/>
      <c r="E2275" s="148"/>
      <c r="F2275" s="169"/>
      <c r="G2275" s="367"/>
      <c r="H2275" s="134"/>
      <c r="J2275" s="196"/>
      <c r="K2275" s="151"/>
      <c r="L2275" s="151"/>
      <c r="M2275" s="148"/>
      <c r="N2275" s="169"/>
      <c r="O2275" s="367"/>
      <c r="P2275" s="134"/>
    </row>
    <row r="2276" spans="2:16" s="140" customFormat="1" x14ac:dyDescent="0.25">
      <c r="B2276" s="155"/>
      <c r="C2276" s="151"/>
      <c r="D2276" s="151"/>
      <c r="E2276" s="148"/>
      <c r="F2276" s="151"/>
      <c r="G2276" s="367"/>
      <c r="H2276" s="134"/>
      <c r="J2276" s="155"/>
      <c r="K2276" s="151"/>
      <c r="L2276" s="151"/>
      <c r="M2276" s="148"/>
      <c r="N2276" s="151"/>
      <c r="O2276" s="367"/>
      <c r="P2276" s="134"/>
    </row>
    <row r="2277" spans="2:16" s="140" customFormat="1" x14ac:dyDescent="0.25">
      <c r="B2277" s="155"/>
      <c r="C2277" s="151"/>
      <c r="D2277" s="151"/>
      <c r="E2277" s="148"/>
      <c r="F2277" s="151"/>
      <c r="G2277" s="367"/>
      <c r="H2277" s="134"/>
      <c r="J2277" s="155"/>
      <c r="K2277" s="151"/>
      <c r="L2277" s="151"/>
      <c r="M2277" s="148"/>
      <c r="N2277" s="151"/>
      <c r="O2277" s="367"/>
      <c r="P2277" s="134"/>
    </row>
    <row r="2278" spans="2:16" s="140" customFormat="1" x14ac:dyDescent="0.25">
      <c r="B2278" s="155"/>
      <c r="C2278" s="151"/>
      <c r="D2278" s="151"/>
      <c r="E2278" s="148"/>
      <c r="F2278" s="151"/>
      <c r="G2278" s="367"/>
      <c r="H2278" s="134"/>
      <c r="J2278" s="155"/>
      <c r="K2278" s="151"/>
      <c r="L2278" s="151"/>
      <c r="M2278" s="148"/>
      <c r="N2278" s="151"/>
      <c r="O2278" s="367"/>
      <c r="P2278" s="134"/>
    </row>
    <row r="2279" spans="2:16" s="140" customFormat="1" x14ac:dyDescent="0.25">
      <c r="B2279" s="155"/>
      <c r="C2279" s="151"/>
      <c r="D2279" s="151"/>
      <c r="E2279" s="148"/>
      <c r="F2279" s="151"/>
      <c r="G2279" s="367"/>
      <c r="H2279" s="134"/>
      <c r="J2279" s="155"/>
      <c r="K2279" s="151"/>
      <c r="L2279" s="151"/>
      <c r="M2279" s="148"/>
      <c r="N2279" s="151"/>
      <c r="O2279" s="367"/>
      <c r="P2279" s="134"/>
    </row>
    <row r="2280" spans="2:16" s="140" customFormat="1" x14ac:dyDescent="0.25">
      <c r="B2280" s="155"/>
      <c r="C2280" s="151"/>
      <c r="D2280" s="151"/>
      <c r="E2280" s="148"/>
      <c r="F2280" s="151"/>
      <c r="G2280" s="367"/>
      <c r="H2280" s="134"/>
      <c r="J2280" s="155"/>
      <c r="K2280" s="151"/>
      <c r="L2280" s="151"/>
      <c r="M2280" s="148"/>
      <c r="N2280" s="151"/>
      <c r="O2280" s="367"/>
      <c r="P2280" s="134"/>
    </row>
    <row r="2281" spans="2:16" s="140" customFormat="1" x14ac:dyDescent="0.25">
      <c r="B2281" s="155"/>
      <c r="C2281" s="151"/>
      <c r="D2281" s="151"/>
      <c r="E2281" s="148"/>
      <c r="F2281" s="151"/>
      <c r="G2281" s="367"/>
      <c r="H2281" s="134"/>
      <c r="J2281" s="155"/>
      <c r="K2281" s="151"/>
      <c r="L2281" s="151"/>
      <c r="M2281" s="148"/>
      <c r="N2281" s="151"/>
      <c r="O2281" s="367"/>
      <c r="P2281" s="134"/>
    </row>
    <row r="2282" spans="2:16" s="140" customFormat="1" x14ac:dyDescent="0.25">
      <c r="B2282" s="155"/>
      <c r="C2282" s="151"/>
      <c r="D2282" s="151"/>
      <c r="E2282" s="148"/>
      <c r="F2282" s="151"/>
      <c r="G2282" s="367"/>
      <c r="H2282" s="134"/>
      <c r="J2282" s="155"/>
      <c r="K2282" s="151"/>
      <c r="L2282" s="151"/>
      <c r="M2282" s="148"/>
      <c r="N2282" s="151"/>
      <c r="O2282" s="367"/>
      <c r="P2282" s="134"/>
    </row>
    <row r="2283" spans="2:16" s="140" customFormat="1" x14ac:dyDescent="0.25">
      <c r="B2283" s="155"/>
      <c r="C2283" s="152"/>
      <c r="D2283" s="152"/>
      <c r="E2283" s="152"/>
      <c r="F2283" s="151"/>
      <c r="G2283" s="156"/>
      <c r="H2283" s="134"/>
      <c r="J2283" s="155"/>
      <c r="K2283" s="152"/>
      <c r="L2283" s="152"/>
      <c r="M2283" s="152"/>
      <c r="N2283" s="151"/>
      <c r="O2283" s="156"/>
      <c r="P2283" s="134"/>
    </row>
    <row r="2284" spans="2:16" s="140" customFormat="1" ht="13.5" thickBot="1" x14ac:dyDescent="0.3">
      <c r="B2284" s="155"/>
      <c r="C2284" s="152"/>
      <c r="D2284" s="152"/>
      <c r="E2284" s="152"/>
      <c r="F2284" s="151"/>
      <c r="G2284" s="156"/>
      <c r="H2284" s="134"/>
      <c r="J2284" s="155"/>
      <c r="K2284" s="152"/>
      <c r="L2284" s="152"/>
      <c r="M2284" s="152"/>
      <c r="N2284" s="151"/>
      <c r="O2284" s="156"/>
      <c r="P2284" s="134"/>
    </row>
    <row r="2285" spans="2:16" s="140" customFormat="1" ht="13.5" thickBot="1" x14ac:dyDescent="0.3">
      <c r="B2285" s="157"/>
      <c r="C2285" s="159"/>
      <c r="D2285" s="159"/>
      <c r="E2285" s="159"/>
      <c r="F2285" s="158"/>
      <c r="G2285" s="160"/>
      <c r="H2285" s="161">
        <f>+SUM(G2273:G2285)</f>
        <v>0</v>
      </c>
      <c r="J2285" s="157"/>
      <c r="K2285" s="159"/>
      <c r="L2285" s="159"/>
      <c r="M2285" s="159"/>
      <c r="N2285" s="158"/>
      <c r="O2285" s="160"/>
      <c r="P2285" s="161">
        <f>+SUM(O2273:O2285)</f>
        <v>360</v>
      </c>
    </row>
    <row r="2286" spans="2:16" s="140" customFormat="1" ht="13.5" thickBot="1" x14ac:dyDescent="0.3">
      <c r="B2286" s="162"/>
      <c r="C2286" s="162"/>
      <c r="D2286" s="162"/>
      <c r="E2286" s="162"/>
      <c r="F2286" s="163"/>
      <c r="G2286" s="164"/>
      <c r="H2286" s="165"/>
      <c r="J2286" s="162"/>
      <c r="K2286" s="162"/>
      <c r="L2286" s="162"/>
      <c r="M2286" s="162"/>
      <c r="N2286" s="163"/>
      <c r="O2286" s="164"/>
      <c r="P2286" s="165"/>
    </row>
    <row r="2287" spans="2:16" s="140" customFormat="1" ht="13.5" thickBot="1" x14ac:dyDescent="0.3">
      <c r="B2287" s="143" t="s">
        <v>5410</v>
      </c>
      <c r="C2287" s="144" t="s">
        <v>867</v>
      </c>
      <c r="D2287" s="144" t="s">
        <v>6</v>
      </c>
      <c r="E2287" s="144" t="s">
        <v>870</v>
      </c>
      <c r="F2287" s="144" t="s">
        <v>5411</v>
      </c>
      <c r="G2287" s="145" t="s">
        <v>868</v>
      </c>
      <c r="H2287" s="134"/>
      <c r="J2287" s="143" t="s">
        <v>5410</v>
      </c>
      <c r="K2287" s="144" t="s">
        <v>867</v>
      </c>
      <c r="L2287" s="144" t="s">
        <v>6</v>
      </c>
      <c r="M2287" s="144" t="s">
        <v>870</v>
      </c>
      <c r="N2287" s="144" t="s">
        <v>5411</v>
      </c>
      <c r="O2287" s="145" t="s">
        <v>868</v>
      </c>
      <c r="P2287" s="134"/>
    </row>
    <row r="2288" spans="2:16" s="140" customFormat="1" x14ac:dyDescent="0.25">
      <c r="B2288" s="201"/>
      <c r="C2288" s="147"/>
      <c r="D2288" s="167"/>
      <c r="E2288" s="148"/>
      <c r="F2288" s="169"/>
      <c r="G2288" s="367">
        <f>+D2288*E2288*(1+F2288)</f>
        <v>0</v>
      </c>
      <c r="H2288" s="134"/>
      <c r="J2288" s="201"/>
      <c r="K2288" s="147"/>
      <c r="L2288" s="167"/>
      <c r="M2288" s="148"/>
      <c r="N2288" s="169"/>
      <c r="O2288" s="367">
        <f>+L2288*M2288*(1+N2288)</f>
        <v>0</v>
      </c>
      <c r="P2288" s="134"/>
    </row>
    <row r="2289" spans="2:16" s="140" customFormat="1" x14ac:dyDescent="0.25">
      <c r="B2289" s="196"/>
      <c r="C2289" s="151"/>
      <c r="D2289" s="151"/>
      <c r="E2289" s="148"/>
      <c r="F2289" s="147"/>
      <c r="G2289" s="367"/>
      <c r="H2289" s="134"/>
      <c r="J2289" s="196"/>
      <c r="K2289" s="151"/>
      <c r="L2289" s="151"/>
      <c r="M2289" s="148"/>
      <c r="N2289" s="147"/>
      <c r="O2289" s="367"/>
      <c r="P2289" s="134"/>
    </row>
    <row r="2290" spans="2:16" s="140" customFormat="1" x14ac:dyDescent="0.25">
      <c r="B2290" s="196"/>
      <c r="C2290" s="151"/>
      <c r="D2290" s="151"/>
      <c r="E2290" s="148"/>
      <c r="F2290" s="151"/>
      <c r="G2290" s="367"/>
      <c r="H2290" s="134"/>
      <c r="J2290" s="196"/>
      <c r="K2290" s="151"/>
      <c r="L2290" s="151"/>
      <c r="M2290" s="148"/>
      <c r="N2290" s="151"/>
      <c r="O2290" s="367"/>
      <c r="P2290" s="134"/>
    </row>
    <row r="2291" spans="2:16" s="140" customFormat="1" x14ac:dyDescent="0.25">
      <c r="B2291" s="155"/>
      <c r="C2291" s="151"/>
      <c r="D2291" s="151"/>
      <c r="E2291" s="148"/>
      <c r="F2291" s="151"/>
      <c r="G2291" s="367"/>
      <c r="H2291" s="134"/>
      <c r="J2291" s="155"/>
      <c r="K2291" s="151"/>
      <c r="L2291" s="151"/>
      <c r="M2291" s="148"/>
      <c r="N2291" s="151"/>
      <c r="O2291" s="367"/>
      <c r="P2291" s="134"/>
    </row>
    <row r="2292" spans="2:16" s="140" customFormat="1" x14ac:dyDescent="0.25">
      <c r="B2292" s="155"/>
      <c r="C2292" s="151"/>
      <c r="D2292" s="151"/>
      <c r="E2292" s="148"/>
      <c r="F2292" s="151"/>
      <c r="G2292" s="367"/>
      <c r="H2292" s="134"/>
      <c r="J2292" s="155"/>
      <c r="K2292" s="151"/>
      <c r="L2292" s="151"/>
      <c r="M2292" s="148"/>
      <c r="N2292" s="151"/>
      <c r="O2292" s="367"/>
      <c r="P2292" s="134"/>
    </row>
    <row r="2293" spans="2:16" s="140" customFormat="1" ht="13.5" thickBot="1" x14ac:dyDescent="0.3">
      <c r="B2293" s="155"/>
      <c r="C2293" s="151"/>
      <c r="D2293" s="151"/>
      <c r="E2293" s="148"/>
      <c r="F2293" s="151"/>
      <c r="G2293" s="367"/>
      <c r="H2293" s="134"/>
      <c r="J2293" s="155"/>
      <c r="K2293" s="151"/>
      <c r="L2293" s="151"/>
      <c r="M2293" s="148"/>
      <c r="N2293" s="151"/>
      <c r="O2293" s="367"/>
      <c r="P2293" s="134"/>
    </row>
    <row r="2294" spans="2:16" s="140" customFormat="1" ht="13.5" thickBot="1" x14ac:dyDescent="0.3">
      <c r="B2294" s="157"/>
      <c r="C2294" s="159"/>
      <c r="D2294" s="159"/>
      <c r="E2294" s="159"/>
      <c r="F2294" s="158"/>
      <c r="G2294" s="160"/>
      <c r="H2294" s="161">
        <f>+SUM(G2288:G2294)</f>
        <v>0</v>
      </c>
      <c r="J2294" s="157"/>
      <c r="K2294" s="159"/>
      <c r="L2294" s="159"/>
      <c r="M2294" s="159"/>
      <c r="N2294" s="158"/>
      <c r="O2294" s="160"/>
      <c r="P2294" s="161">
        <f>+SUM(O2288:O2294)</f>
        <v>0</v>
      </c>
    </row>
    <row r="2295" spans="2:16" s="140" customFormat="1" ht="13.5" thickBot="1" x14ac:dyDescent="0.3">
      <c r="B2295" s="162"/>
      <c r="C2295" s="162"/>
      <c r="D2295" s="162"/>
      <c r="E2295" s="162"/>
      <c r="F2295" s="173"/>
      <c r="G2295" s="174"/>
      <c r="H2295" s="165"/>
      <c r="J2295" s="162"/>
      <c r="K2295" s="162"/>
      <c r="L2295" s="162"/>
      <c r="M2295" s="162"/>
      <c r="N2295" s="173"/>
      <c r="O2295" s="174"/>
      <c r="P2295" s="165"/>
    </row>
    <row r="2296" spans="2:16" s="140" customFormat="1" ht="13.5" thickBot="1" x14ac:dyDescent="0.3">
      <c r="B2296" s="143" t="s">
        <v>5412</v>
      </c>
      <c r="C2296" s="144" t="s">
        <v>5420</v>
      </c>
      <c r="D2296" s="144" t="s">
        <v>5421</v>
      </c>
      <c r="E2296" s="144" t="s">
        <v>5413</v>
      </c>
      <c r="F2296" s="144" t="s">
        <v>5405</v>
      </c>
      <c r="G2296" s="145" t="s">
        <v>868</v>
      </c>
      <c r="H2296" s="134"/>
      <c r="J2296" s="143" t="s">
        <v>5412</v>
      </c>
      <c r="K2296" s="144" t="s">
        <v>5420</v>
      </c>
      <c r="L2296" s="144" t="s">
        <v>5421</v>
      </c>
      <c r="M2296" s="144" t="s">
        <v>5413</v>
      </c>
      <c r="N2296" s="144" t="s">
        <v>5405</v>
      </c>
      <c r="O2296" s="145" t="s">
        <v>868</v>
      </c>
      <c r="P2296" s="134"/>
    </row>
    <row r="2297" spans="2:16" s="140" customFormat="1" x14ac:dyDescent="0.25">
      <c r="B2297" s="194" t="s">
        <v>5650</v>
      </c>
      <c r="C2297" s="345">
        <v>70000</v>
      </c>
      <c r="D2297" s="345">
        <f>+C2297*0.85</f>
        <v>59500</v>
      </c>
      <c r="E2297" s="353">
        <f>+C2297+D2297</f>
        <v>129500</v>
      </c>
      <c r="F2297" s="202">
        <v>600</v>
      </c>
      <c r="G2297" s="351">
        <f>+E2297/F2297</f>
        <v>215.83333333333334</v>
      </c>
      <c r="H2297" s="134"/>
      <c r="J2297" s="194" t="s">
        <v>5650</v>
      </c>
      <c r="K2297" s="345">
        <v>70000</v>
      </c>
      <c r="L2297" s="345">
        <f>+K2297*0.85</f>
        <v>59500</v>
      </c>
      <c r="M2297" s="353">
        <f>+K2297+L2297</f>
        <v>129500</v>
      </c>
      <c r="N2297" s="202">
        <v>100</v>
      </c>
      <c r="O2297" s="351">
        <f>+M2297/N2297</f>
        <v>1295</v>
      </c>
      <c r="P2297" s="134"/>
    </row>
    <row r="2298" spans="2:16" s="140" customFormat="1" x14ac:dyDescent="0.25">
      <c r="B2298" s="194" t="s">
        <v>5651</v>
      </c>
      <c r="C2298" s="345">
        <v>40000</v>
      </c>
      <c r="D2298" s="345">
        <f>+C2298*0.85</f>
        <v>34000</v>
      </c>
      <c r="E2298" s="353">
        <f>+C2298+D2298</f>
        <v>74000</v>
      </c>
      <c r="F2298" s="204">
        <v>60</v>
      </c>
      <c r="G2298" s="351">
        <f>+E2298/F2298</f>
        <v>1233.3333333333333</v>
      </c>
      <c r="H2298" s="134"/>
      <c r="J2298" s="194" t="s">
        <v>5651</v>
      </c>
      <c r="K2298" s="345">
        <v>40000</v>
      </c>
      <c r="L2298" s="345">
        <f>+K2298*0.85</f>
        <v>34000</v>
      </c>
      <c r="M2298" s="353">
        <f>+K2298+L2298</f>
        <v>74000</v>
      </c>
      <c r="N2298" s="204">
        <v>10</v>
      </c>
      <c r="O2298" s="351">
        <f>+M2298/N2298</f>
        <v>7400</v>
      </c>
      <c r="P2298" s="134"/>
    </row>
    <row r="2299" spans="2:16" s="140" customFormat="1" x14ac:dyDescent="0.25">
      <c r="B2299" s="195" t="s">
        <v>5635</v>
      </c>
      <c r="C2299" s="345">
        <v>20600</v>
      </c>
      <c r="D2299" s="345">
        <f>+C2299*0.85</f>
        <v>17510</v>
      </c>
      <c r="E2299" s="353">
        <f>+C2299+D2299</f>
        <v>38110</v>
      </c>
      <c r="F2299" s="205">
        <v>15</v>
      </c>
      <c r="G2299" s="351">
        <f>+E2299/F2299</f>
        <v>2540.6666666666665</v>
      </c>
      <c r="H2299" s="134"/>
      <c r="J2299" s="195" t="s">
        <v>5635</v>
      </c>
      <c r="K2299" s="345">
        <v>20600</v>
      </c>
      <c r="L2299" s="345">
        <f>+K2299*0.85</f>
        <v>17510</v>
      </c>
      <c r="M2299" s="353">
        <f>+K2299+L2299</f>
        <v>38110</v>
      </c>
      <c r="N2299" s="205">
        <v>6</v>
      </c>
      <c r="O2299" s="351">
        <f>+M2299/N2299</f>
        <v>6351.666666666667</v>
      </c>
      <c r="P2299" s="134"/>
    </row>
    <row r="2300" spans="2:16" s="140" customFormat="1" x14ac:dyDescent="0.25">
      <c r="B2300" s="155"/>
      <c r="C2300" s="345"/>
      <c r="D2300" s="345"/>
      <c r="E2300" s="353"/>
      <c r="F2300" s="205"/>
      <c r="G2300" s="351"/>
      <c r="H2300" s="134"/>
      <c r="J2300" s="155"/>
      <c r="K2300" s="345"/>
      <c r="L2300" s="345"/>
      <c r="M2300" s="353"/>
      <c r="N2300" s="205"/>
      <c r="O2300" s="351"/>
      <c r="P2300" s="134"/>
    </row>
    <row r="2301" spans="2:16" s="140" customFormat="1" x14ac:dyDescent="0.25">
      <c r="B2301" s="155"/>
      <c r="C2301" s="345"/>
      <c r="D2301" s="345"/>
      <c r="E2301" s="353"/>
      <c r="F2301" s="205"/>
      <c r="G2301" s="351"/>
      <c r="H2301" s="134"/>
      <c r="J2301" s="155"/>
      <c r="K2301" s="345"/>
      <c r="L2301" s="345"/>
      <c r="M2301" s="353"/>
      <c r="N2301" s="205"/>
      <c r="O2301" s="351"/>
      <c r="P2301" s="134"/>
    </row>
    <row r="2302" spans="2:16" s="140" customFormat="1" ht="13.5" thickBot="1" x14ac:dyDescent="0.3">
      <c r="B2302" s="155"/>
      <c r="C2302" s="152"/>
      <c r="D2302" s="152"/>
      <c r="E2302" s="152"/>
      <c r="F2302" s="151"/>
      <c r="G2302" s="156"/>
      <c r="H2302" s="134"/>
      <c r="J2302" s="155"/>
      <c r="K2302" s="152"/>
      <c r="L2302" s="152"/>
      <c r="M2302" s="152"/>
      <c r="N2302" s="151"/>
      <c r="O2302" s="156"/>
      <c r="P2302" s="134"/>
    </row>
    <row r="2303" spans="2:16" s="140" customFormat="1" ht="13.5" thickBot="1" x14ac:dyDescent="0.3">
      <c r="B2303" s="179"/>
      <c r="C2303" s="180"/>
      <c r="D2303" s="180"/>
      <c r="E2303" s="180"/>
      <c r="F2303" s="181"/>
      <c r="G2303" s="182"/>
      <c r="H2303" s="161">
        <f>+SUM(G2297:G2303)</f>
        <v>3989.833333333333</v>
      </c>
      <c r="J2303" s="179"/>
      <c r="K2303" s="180"/>
      <c r="L2303" s="180"/>
      <c r="M2303" s="180"/>
      <c r="N2303" s="181"/>
      <c r="O2303" s="182"/>
      <c r="P2303" s="161">
        <f>+SUM(O2297:O2303)</f>
        <v>15046.666666666668</v>
      </c>
    </row>
    <row r="2304" spans="2:16" s="140" customFormat="1" ht="13.5" thickBot="1" x14ac:dyDescent="0.3">
      <c r="F2304" s="141"/>
      <c r="G2304" s="134"/>
      <c r="H2304" s="134"/>
      <c r="N2304" s="141"/>
      <c r="O2304" s="134"/>
      <c r="P2304" s="134"/>
    </row>
    <row r="2305" spans="1:16" s="140" customFormat="1" ht="13.5" thickBot="1" x14ac:dyDescent="0.3">
      <c r="E2305" s="183" t="s">
        <v>5415</v>
      </c>
      <c r="F2305" s="141"/>
      <c r="G2305" s="134"/>
      <c r="H2305" s="161">
        <f>ROUND(+H2270+H2285+H2294+H2303,0)</f>
        <v>5188</v>
      </c>
      <c r="M2305" s="183" t="s">
        <v>5415</v>
      </c>
      <c r="N2305" s="141"/>
      <c r="O2305" s="134"/>
      <c r="P2305" s="161">
        <f>ROUND(+P2270+P2285+P2294+P2303,0)</f>
        <v>24916</v>
      </c>
    </row>
    <row r="2306" spans="1:16" x14ac:dyDescent="0.25">
      <c r="N2306" s="133"/>
    </row>
    <row r="2307" spans="1:16" x14ac:dyDescent="0.25">
      <c r="N2307" s="133"/>
    </row>
    <row r="2308" spans="1:16" ht="12.75" customHeight="1" x14ac:dyDescent="0.25">
      <c r="N2308" s="133"/>
    </row>
    <row r="2309" spans="1:16" x14ac:dyDescent="0.25">
      <c r="N2309" s="133"/>
    </row>
    <row r="2310" spans="1:16" ht="18.75" x14ac:dyDescent="0.25">
      <c r="A2310" s="133"/>
      <c r="B2310" s="2506" t="s">
        <v>5400</v>
      </c>
      <c r="C2310" s="2506"/>
      <c r="D2310" s="2506"/>
      <c r="E2310" s="2506"/>
      <c r="F2310" s="2506"/>
      <c r="G2310" s="2506"/>
      <c r="I2310" s="133"/>
      <c r="J2310" s="2506" t="s">
        <v>5400</v>
      </c>
      <c r="K2310" s="2506"/>
      <c r="L2310" s="2506"/>
      <c r="M2310" s="2506"/>
      <c r="N2310" s="2506"/>
      <c r="O2310" s="2506"/>
    </row>
    <row r="2311" spans="1:16" x14ac:dyDescent="0.25">
      <c r="A2311" s="133"/>
      <c r="G2311" s="134"/>
      <c r="I2311" s="133"/>
      <c r="N2311" s="133"/>
      <c r="O2311" s="134"/>
    </row>
    <row r="2312" spans="1:16" x14ac:dyDescent="0.25">
      <c r="A2312" s="133"/>
      <c r="G2312" s="134"/>
      <c r="I2312" s="133"/>
      <c r="N2312" s="133"/>
      <c r="O2312" s="134"/>
    </row>
    <row r="2313" spans="1:16" x14ac:dyDescent="0.25">
      <c r="A2313" s="133"/>
      <c r="G2313" s="134"/>
      <c r="I2313" s="133"/>
      <c r="N2313" s="133"/>
      <c r="O2313" s="134"/>
    </row>
    <row r="2314" spans="1:16" s="140" customFormat="1" ht="12.75" customHeight="1" x14ac:dyDescent="0.25">
      <c r="A2314" s="138" t="s">
        <v>3</v>
      </c>
      <c r="B2314" s="138" t="s">
        <v>5457</v>
      </c>
      <c r="C2314" s="2450" t="s">
        <v>113</v>
      </c>
      <c r="D2314" s="2450"/>
      <c r="E2314" s="2450"/>
      <c r="F2314" s="138" t="s">
        <v>867</v>
      </c>
      <c r="G2314" s="139" t="s">
        <v>5402</v>
      </c>
      <c r="H2314" s="134"/>
      <c r="I2314" s="138" t="s">
        <v>3</v>
      </c>
      <c r="J2314" s="138" t="s">
        <v>5457</v>
      </c>
      <c r="K2314" s="2450" t="s">
        <v>6400</v>
      </c>
      <c r="L2314" s="2450"/>
      <c r="M2314" s="2450"/>
      <c r="N2314" s="138" t="s">
        <v>867</v>
      </c>
      <c r="O2314" s="139" t="s">
        <v>5402</v>
      </c>
      <c r="P2314" s="134"/>
    </row>
    <row r="2315" spans="1:16" s="140" customFormat="1" ht="12.75" customHeight="1" x14ac:dyDescent="0.25">
      <c r="A2315" s="141"/>
      <c r="F2315" s="141"/>
      <c r="G2315" s="134"/>
      <c r="H2315" s="134"/>
      <c r="I2315" s="141"/>
      <c r="N2315" s="141"/>
      <c r="O2315" s="134"/>
      <c r="P2315" s="134"/>
    </row>
    <row r="2316" spans="1:16" s="140" customFormat="1" ht="12.75" customHeight="1" x14ac:dyDescent="0.25">
      <c r="A2316" s="141"/>
      <c r="F2316" s="141"/>
      <c r="G2316" s="142"/>
      <c r="H2316" s="134"/>
      <c r="I2316" s="141"/>
      <c r="N2316" s="141"/>
      <c r="O2316" s="142"/>
      <c r="P2316" s="134"/>
    </row>
    <row r="2317" spans="1:16" s="140" customFormat="1" ht="13.5" thickBot="1" x14ac:dyDescent="0.3">
      <c r="A2317" s="141"/>
      <c r="F2317" s="141"/>
      <c r="G2317" s="134"/>
      <c r="H2317" s="134"/>
      <c r="I2317" s="141"/>
      <c r="N2317" s="141"/>
      <c r="O2317" s="134"/>
      <c r="P2317" s="134"/>
    </row>
    <row r="2318" spans="1:16" s="140" customFormat="1" ht="13.5" thickBot="1" x14ac:dyDescent="0.3">
      <c r="A2318" s="141"/>
      <c r="B2318" s="143" t="s">
        <v>5403</v>
      </c>
      <c r="C2318" s="144" t="s">
        <v>867</v>
      </c>
      <c r="D2318" s="144" t="s">
        <v>6</v>
      </c>
      <c r="E2318" s="144" t="s">
        <v>5404</v>
      </c>
      <c r="F2318" s="144" t="s">
        <v>5405</v>
      </c>
      <c r="G2318" s="145" t="s">
        <v>868</v>
      </c>
      <c r="H2318" s="134"/>
      <c r="I2318" s="141"/>
      <c r="J2318" s="143" t="s">
        <v>5403</v>
      </c>
      <c r="K2318" s="144" t="s">
        <v>867</v>
      </c>
      <c r="L2318" s="144" t="s">
        <v>6</v>
      </c>
      <c r="M2318" s="144" t="s">
        <v>5404</v>
      </c>
      <c r="N2318" s="144" t="s">
        <v>5405</v>
      </c>
      <c r="O2318" s="145" t="s">
        <v>868</v>
      </c>
      <c r="P2318" s="134"/>
    </row>
    <row r="2319" spans="1:16" s="140" customFormat="1" x14ac:dyDescent="0.25">
      <c r="A2319" s="141"/>
      <c r="B2319" s="146" t="s">
        <v>5440</v>
      </c>
      <c r="C2319" s="147" t="s">
        <v>5406</v>
      </c>
      <c r="D2319" s="147"/>
      <c r="E2319" s="148">
        <f>+H2358</f>
        <v>5349.5833333333339</v>
      </c>
      <c r="F2319" s="167">
        <v>0.2</v>
      </c>
      <c r="G2319" s="360">
        <f>+E2319*F2319</f>
        <v>1069.9166666666667</v>
      </c>
      <c r="H2319" s="134"/>
      <c r="I2319" s="141"/>
      <c r="J2319" s="146" t="s">
        <v>5440</v>
      </c>
      <c r="K2319" s="147" t="s">
        <v>5406</v>
      </c>
      <c r="L2319" s="147"/>
      <c r="M2319" s="148">
        <f>+P2358</f>
        <v>15046.666666666668</v>
      </c>
      <c r="N2319" s="167">
        <v>0.2</v>
      </c>
      <c r="O2319" s="360">
        <f>+M2319*N2319</f>
        <v>3009.3333333333339</v>
      </c>
      <c r="P2319" s="134"/>
    </row>
    <row r="2320" spans="1:16" s="140" customFormat="1" x14ac:dyDescent="0.25">
      <c r="A2320" s="141"/>
      <c r="B2320" s="154" t="s">
        <v>5686</v>
      </c>
      <c r="C2320" s="151" t="s">
        <v>5666</v>
      </c>
      <c r="D2320" s="205">
        <v>1</v>
      </c>
      <c r="E2320" s="366">
        <v>120000</v>
      </c>
      <c r="F2320" s="205">
        <v>200</v>
      </c>
      <c r="G2320" s="360">
        <f>+D2320*E2320/F2320</f>
        <v>600</v>
      </c>
      <c r="H2320" s="134"/>
      <c r="I2320" s="141"/>
      <c r="J2320" s="154" t="s">
        <v>6398</v>
      </c>
      <c r="K2320" s="151" t="s">
        <v>5666</v>
      </c>
      <c r="L2320" s="205">
        <v>1</v>
      </c>
      <c r="M2320" s="366">
        <v>180000</v>
      </c>
      <c r="N2320" s="205">
        <v>30</v>
      </c>
      <c r="O2320" s="360">
        <f>+L2320*M2320/N2320</f>
        <v>6000</v>
      </c>
      <c r="P2320" s="134"/>
    </row>
    <row r="2321" spans="1:16" s="140" customFormat="1" x14ac:dyDescent="0.25">
      <c r="A2321" s="141"/>
      <c r="B2321" s="154"/>
      <c r="C2321" s="151"/>
      <c r="D2321" s="205"/>
      <c r="E2321" s="366"/>
      <c r="F2321" s="205"/>
      <c r="G2321" s="360"/>
      <c r="H2321" s="134"/>
      <c r="I2321" s="141"/>
      <c r="J2321" s="154" t="s">
        <v>6399</v>
      </c>
      <c r="K2321" s="151"/>
      <c r="L2321" s="205"/>
      <c r="M2321" s="366"/>
      <c r="N2321" s="205"/>
      <c r="O2321" s="360">
        <v>500</v>
      </c>
      <c r="P2321" s="134"/>
    </row>
    <row r="2322" spans="1:16" s="140" customFormat="1" x14ac:dyDescent="0.25">
      <c r="A2322" s="141"/>
      <c r="B2322" s="155"/>
      <c r="C2322" s="151"/>
      <c r="D2322" s="152"/>
      <c r="E2322" s="152"/>
      <c r="F2322" s="151"/>
      <c r="G2322" s="156"/>
      <c r="H2322" s="134"/>
      <c r="I2322" s="141"/>
      <c r="J2322" s="154"/>
      <c r="K2322" s="151"/>
      <c r="L2322" s="205"/>
      <c r="M2322" s="366"/>
      <c r="N2322" s="205"/>
      <c r="O2322" s="360"/>
      <c r="P2322" s="134"/>
    </row>
    <row r="2323" spans="1:16" s="140" customFormat="1" x14ac:dyDescent="0.25">
      <c r="A2323" s="141"/>
      <c r="B2323" s="155"/>
      <c r="C2323" s="151"/>
      <c r="D2323" s="152"/>
      <c r="E2323" s="152"/>
      <c r="F2323" s="151"/>
      <c r="G2323" s="156"/>
      <c r="H2323" s="134"/>
      <c r="I2323" s="141"/>
      <c r="J2323" s="155"/>
      <c r="K2323" s="151"/>
      <c r="L2323" s="152"/>
      <c r="M2323" s="152"/>
      <c r="N2323" s="151"/>
      <c r="O2323" s="156"/>
      <c r="P2323" s="134"/>
    </row>
    <row r="2324" spans="1:16" s="140" customFormat="1" ht="13.5" thickBot="1" x14ac:dyDescent="0.3">
      <c r="A2324" s="141"/>
      <c r="B2324" s="155"/>
      <c r="C2324" s="151"/>
      <c r="D2324" s="152"/>
      <c r="E2324" s="152"/>
      <c r="F2324" s="151"/>
      <c r="G2324" s="156"/>
      <c r="H2324" s="134"/>
      <c r="I2324" s="141"/>
      <c r="J2324" s="155"/>
      <c r="K2324" s="151"/>
      <c r="L2324" s="152"/>
      <c r="M2324" s="152"/>
      <c r="N2324" s="151"/>
      <c r="O2324" s="156"/>
      <c r="P2324" s="134"/>
    </row>
    <row r="2325" spans="1:16" s="140" customFormat="1" ht="13.5" thickBot="1" x14ac:dyDescent="0.3">
      <c r="A2325" s="141"/>
      <c r="B2325" s="157"/>
      <c r="C2325" s="158"/>
      <c r="D2325" s="159"/>
      <c r="E2325" s="159"/>
      <c r="F2325" s="158"/>
      <c r="G2325" s="160"/>
      <c r="H2325" s="161">
        <f>+SUM(G2319:G2325)</f>
        <v>1669.9166666666667</v>
      </c>
      <c r="I2325" s="141"/>
      <c r="J2325" s="157"/>
      <c r="K2325" s="158"/>
      <c r="L2325" s="159"/>
      <c r="M2325" s="159"/>
      <c r="N2325" s="158"/>
      <c r="O2325" s="160"/>
      <c r="P2325" s="161">
        <f>+SUM(O2319:O2325)</f>
        <v>9509.3333333333339</v>
      </c>
    </row>
    <row r="2326" spans="1:16" s="140" customFormat="1" ht="13.5" thickBot="1" x14ac:dyDescent="0.3">
      <c r="A2326" s="141"/>
      <c r="B2326" s="162"/>
      <c r="C2326" s="163"/>
      <c r="D2326" s="162"/>
      <c r="E2326" s="162"/>
      <c r="F2326" s="163"/>
      <c r="G2326" s="164"/>
      <c r="H2326" s="165"/>
      <c r="I2326" s="141"/>
      <c r="J2326" s="162"/>
      <c r="K2326" s="163"/>
      <c r="L2326" s="162"/>
      <c r="M2326" s="162"/>
      <c r="N2326" s="163"/>
      <c r="O2326" s="164"/>
      <c r="P2326" s="165"/>
    </row>
    <row r="2327" spans="1:16" s="140" customFormat="1" ht="13.5" thickBot="1" x14ac:dyDescent="0.3">
      <c r="B2327" s="143" t="s">
        <v>5408</v>
      </c>
      <c r="C2327" s="144" t="s">
        <v>867</v>
      </c>
      <c r="D2327" s="144" t="s">
        <v>6</v>
      </c>
      <c r="E2327" s="144" t="s">
        <v>870</v>
      </c>
      <c r="F2327" s="144" t="s">
        <v>5409</v>
      </c>
      <c r="G2327" s="145" t="s">
        <v>868</v>
      </c>
      <c r="H2327" s="134"/>
      <c r="J2327" s="143" t="s">
        <v>5408</v>
      </c>
      <c r="K2327" s="144" t="s">
        <v>867</v>
      </c>
      <c r="L2327" s="144" t="s">
        <v>6</v>
      </c>
      <c r="M2327" s="144" t="s">
        <v>870</v>
      </c>
      <c r="N2327" s="144" t="s">
        <v>5409</v>
      </c>
      <c r="O2327" s="145" t="s">
        <v>868</v>
      </c>
      <c r="P2327" s="134"/>
    </row>
    <row r="2328" spans="1:16" s="140" customFormat="1" x14ac:dyDescent="0.25">
      <c r="B2328" s="201"/>
      <c r="C2328" s="147"/>
      <c r="D2328" s="301"/>
      <c r="E2328" s="148"/>
      <c r="F2328" s="169"/>
      <c r="G2328" s="367"/>
      <c r="H2328" s="134"/>
      <c r="J2328" s="295" t="s">
        <v>5553</v>
      </c>
      <c r="K2328" s="202" t="s">
        <v>5488</v>
      </c>
      <c r="L2328" s="226">
        <v>10</v>
      </c>
      <c r="M2328" s="332">
        <v>20</v>
      </c>
      <c r="N2328" s="169">
        <v>0.05</v>
      </c>
      <c r="O2328" s="178">
        <f>+L2328*M2328*(1+N2328)</f>
        <v>210</v>
      </c>
      <c r="P2328" s="134"/>
    </row>
    <row r="2329" spans="1:16" s="140" customFormat="1" x14ac:dyDescent="0.25">
      <c r="B2329" s="196"/>
      <c r="C2329" s="151"/>
      <c r="D2329" s="151"/>
      <c r="E2329" s="148"/>
      <c r="F2329" s="169"/>
      <c r="G2329" s="354"/>
      <c r="H2329" s="134"/>
      <c r="J2329" s="450" t="s">
        <v>6392</v>
      </c>
      <c r="K2329" s="202" t="s">
        <v>5475</v>
      </c>
      <c r="L2329" s="202"/>
      <c r="M2329" s="228"/>
      <c r="N2329" s="169"/>
      <c r="O2329" s="178">
        <v>150</v>
      </c>
      <c r="P2329" s="134"/>
    </row>
    <row r="2330" spans="1:16" s="140" customFormat="1" x14ac:dyDescent="0.25">
      <c r="B2330" s="196"/>
      <c r="C2330" s="151"/>
      <c r="D2330" s="151"/>
      <c r="E2330" s="148"/>
      <c r="F2330" s="169"/>
      <c r="G2330" s="367"/>
      <c r="H2330" s="134"/>
      <c r="J2330" s="196"/>
      <c r="K2330" s="151"/>
      <c r="L2330" s="151"/>
      <c r="M2330" s="148"/>
      <c r="N2330" s="169"/>
      <c r="O2330" s="367"/>
      <c r="P2330" s="134"/>
    </row>
    <row r="2331" spans="1:16" s="140" customFormat="1" x14ac:dyDescent="0.25">
      <c r="B2331" s="155"/>
      <c r="C2331" s="151"/>
      <c r="D2331" s="151"/>
      <c r="E2331" s="148"/>
      <c r="F2331" s="151"/>
      <c r="G2331" s="367"/>
      <c r="H2331" s="134"/>
      <c r="J2331" s="155"/>
      <c r="K2331" s="151"/>
      <c r="L2331" s="151"/>
      <c r="M2331" s="148"/>
      <c r="N2331" s="151"/>
      <c r="O2331" s="367"/>
      <c r="P2331" s="134"/>
    </row>
    <row r="2332" spans="1:16" s="140" customFormat="1" x14ac:dyDescent="0.25">
      <c r="B2332" s="155"/>
      <c r="C2332" s="151"/>
      <c r="D2332" s="151"/>
      <c r="E2332" s="148"/>
      <c r="F2332" s="151"/>
      <c r="G2332" s="367"/>
      <c r="H2332" s="134"/>
      <c r="J2332" s="155"/>
      <c r="K2332" s="151"/>
      <c r="L2332" s="151"/>
      <c r="M2332" s="148"/>
      <c r="N2332" s="151"/>
      <c r="O2332" s="367"/>
      <c r="P2332" s="134"/>
    </row>
    <row r="2333" spans="1:16" s="140" customFormat="1" x14ac:dyDescent="0.25">
      <c r="B2333" s="155"/>
      <c r="C2333" s="151"/>
      <c r="D2333" s="151"/>
      <c r="E2333" s="148"/>
      <c r="F2333" s="151"/>
      <c r="G2333" s="367"/>
      <c r="H2333" s="134"/>
      <c r="J2333" s="155"/>
      <c r="K2333" s="151"/>
      <c r="L2333" s="151"/>
      <c r="M2333" s="148"/>
      <c r="N2333" s="151"/>
      <c r="O2333" s="367"/>
      <c r="P2333" s="134"/>
    </row>
    <row r="2334" spans="1:16" s="140" customFormat="1" x14ac:dyDescent="0.25">
      <c r="B2334" s="155"/>
      <c r="C2334" s="151"/>
      <c r="D2334" s="151"/>
      <c r="E2334" s="148"/>
      <c r="F2334" s="151"/>
      <c r="G2334" s="367"/>
      <c r="H2334" s="134"/>
      <c r="J2334" s="155"/>
      <c r="K2334" s="151"/>
      <c r="L2334" s="151"/>
      <c r="M2334" s="148"/>
      <c r="N2334" s="151"/>
      <c r="O2334" s="367"/>
      <c r="P2334" s="134"/>
    </row>
    <row r="2335" spans="1:16" s="140" customFormat="1" x14ac:dyDescent="0.25">
      <c r="B2335" s="155"/>
      <c r="C2335" s="151"/>
      <c r="D2335" s="151"/>
      <c r="E2335" s="148"/>
      <c r="F2335" s="151"/>
      <c r="G2335" s="367"/>
      <c r="H2335" s="134"/>
      <c r="J2335" s="155"/>
      <c r="K2335" s="151"/>
      <c r="L2335" s="151"/>
      <c r="M2335" s="148"/>
      <c r="N2335" s="151"/>
      <c r="O2335" s="367"/>
      <c r="P2335" s="134"/>
    </row>
    <row r="2336" spans="1:16" s="140" customFormat="1" x14ac:dyDescent="0.25">
      <c r="B2336" s="155"/>
      <c r="C2336" s="151"/>
      <c r="D2336" s="151"/>
      <c r="E2336" s="148"/>
      <c r="F2336" s="151"/>
      <c r="G2336" s="367"/>
      <c r="H2336" s="134"/>
      <c r="J2336" s="155"/>
      <c r="K2336" s="151"/>
      <c r="L2336" s="151"/>
      <c r="M2336" s="148"/>
      <c r="N2336" s="151"/>
      <c r="O2336" s="367"/>
      <c r="P2336" s="134"/>
    </row>
    <row r="2337" spans="2:16" s="140" customFormat="1" x14ac:dyDescent="0.25">
      <c r="B2337" s="155"/>
      <c r="C2337" s="151"/>
      <c r="D2337" s="151"/>
      <c r="E2337" s="148"/>
      <c r="F2337" s="151"/>
      <c r="G2337" s="367"/>
      <c r="H2337" s="134"/>
      <c r="J2337" s="155"/>
      <c r="K2337" s="151"/>
      <c r="L2337" s="151"/>
      <c r="M2337" s="148"/>
      <c r="N2337" s="151"/>
      <c r="O2337" s="367"/>
      <c r="P2337" s="134"/>
    </row>
    <row r="2338" spans="2:16" s="140" customFormat="1" x14ac:dyDescent="0.25">
      <c r="B2338" s="155"/>
      <c r="C2338" s="152"/>
      <c r="D2338" s="152"/>
      <c r="E2338" s="152"/>
      <c r="F2338" s="151"/>
      <c r="G2338" s="156"/>
      <c r="H2338" s="134"/>
      <c r="J2338" s="155"/>
      <c r="K2338" s="152"/>
      <c r="L2338" s="152"/>
      <c r="M2338" s="152"/>
      <c r="N2338" s="151"/>
      <c r="O2338" s="156"/>
      <c r="P2338" s="134"/>
    </row>
    <row r="2339" spans="2:16" s="140" customFormat="1" ht="13.5" thickBot="1" x14ac:dyDescent="0.3">
      <c r="B2339" s="155"/>
      <c r="C2339" s="152"/>
      <c r="D2339" s="152"/>
      <c r="E2339" s="152"/>
      <c r="F2339" s="151"/>
      <c r="G2339" s="156"/>
      <c r="H2339" s="134"/>
      <c r="J2339" s="155"/>
      <c r="K2339" s="152"/>
      <c r="L2339" s="152"/>
      <c r="M2339" s="152"/>
      <c r="N2339" s="151"/>
      <c r="O2339" s="156"/>
      <c r="P2339" s="134"/>
    </row>
    <row r="2340" spans="2:16" s="140" customFormat="1" ht="13.5" thickBot="1" x14ac:dyDescent="0.3">
      <c r="B2340" s="157"/>
      <c r="C2340" s="159"/>
      <c r="D2340" s="159"/>
      <c r="E2340" s="159"/>
      <c r="F2340" s="158"/>
      <c r="G2340" s="160"/>
      <c r="H2340" s="161">
        <f>+SUM(G2328:G2340)</f>
        <v>0</v>
      </c>
      <c r="J2340" s="157"/>
      <c r="K2340" s="159"/>
      <c r="L2340" s="159"/>
      <c r="M2340" s="159"/>
      <c r="N2340" s="158"/>
      <c r="O2340" s="160"/>
      <c r="P2340" s="161">
        <f>+SUM(O2328:O2340)</f>
        <v>360</v>
      </c>
    </row>
    <row r="2341" spans="2:16" s="140" customFormat="1" ht="13.5" thickBot="1" x14ac:dyDescent="0.3">
      <c r="B2341" s="162"/>
      <c r="C2341" s="162"/>
      <c r="D2341" s="162"/>
      <c r="E2341" s="162"/>
      <c r="F2341" s="163"/>
      <c r="G2341" s="164"/>
      <c r="H2341" s="165"/>
      <c r="J2341" s="162"/>
      <c r="K2341" s="162"/>
      <c r="L2341" s="162"/>
      <c r="M2341" s="162"/>
      <c r="N2341" s="163"/>
      <c r="O2341" s="164"/>
      <c r="P2341" s="165"/>
    </row>
    <row r="2342" spans="2:16" s="140" customFormat="1" ht="13.5" thickBot="1" x14ac:dyDescent="0.3">
      <c r="B2342" s="143" t="s">
        <v>5410</v>
      </c>
      <c r="C2342" s="144" t="s">
        <v>867</v>
      </c>
      <c r="D2342" s="144" t="s">
        <v>6</v>
      </c>
      <c r="E2342" s="144" t="s">
        <v>870</v>
      </c>
      <c r="F2342" s="144" t="s">
        <v>5411</v>
      </c>
      <c r="G2342" s="145" t="s">
        <v>868</v>
      </c>
      <c r="H2342" s="134"/>
      <c r="J2342" s="143" t="s">
        <v>5410</v>
      </c>
      <c r="K2342" s="144" t="s">
        <v>867</v>
      </c>
      <c r="L2342" s="144" t="s">
        <v>6</v>
      </c>
      <c r="M2342" s="144" t="s">
        <v>870</v>
      </c>
      <c r="N2342" s="144" t="s">
        <v>5411</v>
      </c>
      <c r="O2342" s="145" t="s">
        <v>868</v>
      </c>
      <c r="P2342" s="134"/>
    </row>
    <row r="2343" spans="2:16" s="140" customFormat="1" x14ac:dyDescent="0.25">
      <c r="B2343" s="201"/>
      <c r="C2343" s="147"/>
      <c r="D2343" s="167"/>
      <c r="E2343" s="148"/>
      <c r="F2343" s="169"/>
      <c r="G2343" s="367">
        <f>+D2343*E2343*(1+F2343)</f>
        <v>0</v>
      </c>
      <c r="H2343" s="134"/>
      <c r="J2343" s="201"/>
      <c r="K2343" s="147"/>
      <c r="L2343" s="167"/>
      <c r="M2343" s="148"/>
      <c r="N2343" s="169"/>
      <c r="O2343" s="367">
        <f>+L2343*M2343*(1+N2343)</f>
        <v>0</v>
      </c>
      <c r="P2343" s="134"/>
    </row>
    <row r="2344" spans="2:16" s="140" customFormat="1" x14ac:dyDescent="0.25">
      <c r="B2344" s="196"/>
      <c r="C2344" s="151"/>
      <c r="D2344" s="151"/>
      <c r="E2344" s="148"/>
      <c r="F2344" s="147"/>
      <c r="G2344" s="367"/>
      <c r="H2344" s="134"/>
      <c r="J2344" s="196"/>
      <c r="K2344" s="151"/>
      <c r="L2344" s="151"/>
      <c r="M2344" s="148"/>
      <c r="N2344" s="147"/>
      <c r="O2344" s="367"/>
      <c r="P2344" s="134"/>
    </row>
    <row r="2345" spans="2:16" s="140" customFormat="1" x14ac:dyDescent="0.25">
      <c r="B2345" s="196"/>
      <c r="C2345" s="151"/>
      <c r="D2345" s="151"/>
      <c r="E2345" s="148"/>
      <c r="F2345" s="151"/>
      <c r="G2345" s="367"/>
      <c r="H2345" s="134"/>
      <c r="J2345" s="196"/>
      <c r="K2345" s="151"/>
      <c r="L2345" s="151"/>
      <c r="M2345" s="148"/>
      <c r="N2345" s="151"/>
      <c r="O2345" s="367"/>
      <c r="P2345" s="134"/>
    </row>
    <row r="2346" spans="2:16" s="140" customFormat="1" x14ac:dyDescent="0.25">
      <c r="B2346" s="155"/>
      <c r="C2346" s="151"/>
      <c r="D2346" s="151"/>
      <c r="E2346" s="148"/>
      <c r="F2346" s="151"/>
      <c r="G2346" s="367"/>
      <c r="H2346" s="134"/>
      <c r="J2346" s="155"/>
      <c r="K2346" s="151"/>
      <c r="L2346" s="151"/>
      <c r="M2346" s="148"/>
      <c r="N2346" s="151"/>
      <c r="O2346" s="367"/>
      <c r="P2346" s="134"/>
    </row>
    <row r="2347" spans="2:16" s="140" customFormat="1" x14ac:dyDescent="0.25">
      <c r="B2347" s="155"/>
      <c r="C2347" s="151"/>
      <c r="D2347" s="151"/>
      <c r="E2347" s="148"/>
      <c r="F2347" s="151"/>
      <c r="G2347" s="367"/>
      <c r="H2347" s="134"/>
      <c r="J2347" s="155"/>
      <c r="K2347" s="151"/>
      <c r="L2347" s="151"/>
      <c r="M2347" s="148"/>
      <c r="N2347" s="151"/>
      <c r="O2347" s="367"/>
      <c r="P2347" s="134"/>
    </row>
    <row r="2348" spans="2:16" s="140" customFormat="1" ht="13.5" thickBot="1" x14ac:dyDescent="0.3">
      <c r="B2348" s="155"/>
      <c r="C2348" s="151"/>
      <c r="D2348" s="151"/>
      <c r="E2348" s="148"/>
      <c r="F2348" s="151"/>
      <c r="G2348" s="367"/>
      <c r="H2348" s="134"/>
      <c r="J2348" s="155"/>
      <c r="K2348" s="151"/>
      <c r="L2348" s="151"/>
      <c r="M2348" s="148"/>
      <c r="N2348" s="151"/>
      <c r="O2348" s="367"/>
      <c r="P2348" s="134"/>
    </row>
    <row r="2349" spans="2:16" s="140" customFormat="1" ht="13.5" thickBot="1" x14ac:dyDescent="0.3">
      <c r="B2349" s="157"/>
      <c r="C2349" s="159"/>
      <c r="D2349" s="159"/>
      <c r="E2349" s="159"/>
      <c r="F2349" s="158"/>
      <c r="G2349" s="160"/>
      <c r="H2349" s="161">
        <f>+SUM(G2343:G2349)</f>
        <v>0</v>
      </c>
      <c r="J2349" s="157"/>
      <c r="K2349" s="159"/>
      <c r="L2349" s="159"/>
      <c r="M2349" s="159"/>
      <c r="N2349" s="158"/>
      <c r="O2349" s="160"/>
      <c r="P2349" s="161">
        <f>+SUM(O2343:O2349)</f>
        <v>0</v>
      </c>
    </row>
    <row r="2350" spans="2:16" s="140" customFormat="1" ht="13.5" thickBot="1" x14ac:dyDescent="0.3">
      <c r="B2350" s="162"/>
      <c r="C2350" s="162"/>
      <c r="D2350" s="162"/>
      <c r="E2350" s="162"/>
      <c r="F2350" s="173"/>
      <c r="G2350" s="174"/>
      <c r="H2350" s="165"/>
      <c r="J2350" s="162"/>
      <c r="K2350" s="162"/>
      <c r="L2350" s="162"/>
      <c r="M2350" s="162"/>
      <c r="N2350" s="173"/>
      <c r="O2350" s="174"/>
      <c r="P2350" s="165"/>
    </row>
    <row r="2351" spans="2:16" s="140" customFormat="1" ht="13.5" thickBot="1" x14ac:dyDescent="0.3">
      <c r="B2351" s="143" t="s">
        <v>5412</v>
      </c>
      <c r="C2351" s="144" t="s">
        <v>5420</v>
      </c>
      <c r="D2351" s="144" t="s">
        <v>5421</v>
      </c>
      <c r="E2351" s="144" t="s">
        <v>5413</v>
      </c>
      <c r="F2351" s="144" t="s">
        <v>5405</v>
      </c>
      <c r="G2351" s="145" t="s">
        <v>868</v>
      </c>
      <c r="H2351" s="134"/>
      <c r="J2351" s="143" t="s">
        <v>5412</v>
      </c>
      <c r="K2351" s="144" t="s">
        <v>5420</v>
      </c>
      <c r="L2351" s="144" t="s">
        <v>5421</v>
      </c>
      <c r="M2351" s="144" t="s">
        <v>5413</v>
      </c>
      <c r="N2351" s="144" t="s">
        <v>5405</v>
      </c>
      <c r="O2351" s="145" t="s">
        <v>868</v>
      </c>
      <c r="P2351" s="134"/>
    </row>
    <row r="2352" spans="2:16" s="140" customFormat="1" x14ac:dyDescent="0.25">
      <c r="B2352" s="194" t="s">
        <v>5650</v>
      </c>
      <c r="C2352" s="345">
        <v>70000</v>
      </c>
      <c r="D2352" s="345">
        <f>+C2352*0.85</f>
        <v>59500</v>
      </c>
      <c r="E2352" s="353">
        <f>+C2352+D2352</f>
        <v>129500</v>
      </c>
      <c r="F2352" s="202">
        <v>400</v>
      </c>
      <c r="G2352" s="351">
        <f>+E2352/F2352</f>
        <v>323.75</v>
      </c>
      <c r="H2352" s="134"/>
      <c r="J2352" s="194" t="s">
        <v>5650</v>
      </c>
      <c r="K2352" s="345">
        <v>70000</v>
      </c>
      <c r="L2352" s="345">
        <f>+K2352*0.85</f>
        <v>59500</v>
      </c>
      <c r="M2352" s="353">
        <f>+K2352+L2352</f>
        <v>129500</v>
      </c>
      <c r="N2352" s="202">
        <v>100</v>
      </c>
      <c r="O2352" s="351">
        <f>+M2352/N2352</f>
        <v>1295</v>
      </c>
      <c r="P2352" s="134"/>
    </row>
    <row r="2353" spans="1:16" s="140" customFormat="1" x14ac:dyDescent="0.25">
      <c r="B2353" s="194" t="s">
        <v>5651</v>
      </c>
      <c r="C2353" s="345">
        <v>40000</v>
      </c>
      <c r="D2353" s="345">
        <f>+C2353*0.85</f>
        <v>34000</v>
      </c>
      <c r="E2353" s="353">
        <f>+C2353+D2353</f>
        <v>74000</v>
      </c>
      <c r="F2353" s="204">
        <v>40</v>
      </c>
      <c r="G2353" s="351">
        <f>+E2353/F2353</f>
        <v>1850</v>
      </c>
      <c r="H2353" s="134"/>
      <c r="J2353" s="194" t="s">
        <v>5651</v>
      </c>
      <c r="K2353" s="345">
        <v>40000</v>
      </c>
      <c r="L2353" s="345">
        <f>+K2353*0.85</f>
        <v>34000</v>
      </c>
      <c r="M2353" s="353">
        <f>+K2353+L2353</f>
        <v>74000</v>
      </c>
      <c r="N2353" s="204">
        <v>10</v>
      </c>
      <c r="O2353" s="351">
        <f>+M2353/N2353</f>
        <v>7400</v>
      </c>
      <c r="P2353" s="134"/>
    </row>
    <row r="2354" spans="1:16" s="140" customFormat="1" x14ac:dyDescent="0.25">
      <c r="B2354" s="195" t="s">
        <v>5635</v>
      </c>
      <c r="C2354" s="345">
        <v>20600</v>
      </c>
      <c r="D2354" s="345">
        <f>+C2354*0.85</f>
        <v>17510</v>
      </c>
      <c r="E2354" s="353">
        <f>+C2354+D2354</f>
        <v>38110</v>
      </c>
      <c r="F2354" s="205">
        <v>12</v>
      </c>
      <c r="G2354" s="351">
        <f>+E2354/F2354</f>
        <v>3175.8333333333335</v>
      </c>
      <c r="H2354" s="134"/>
      <c r="J2354" s="195" t="s">
        <v>5635</v>
      </c>
      <c r="K2354" s="345">
        <v>20600</v>
      </c>
      <c r="L2354" s="345">
        <f>+K2354*0.85</f>
        <v>17510</v>
      </c>
      <c r="M2354" s="353">
        <f>+K2354+L2354</f>
        <v>38110</v>
      </c>
      <c r="N2354" s="205">
        <v>6</v>
      </c>
      <c r="O2354" s="351">
        <f>+M2354/N2354</f>
        <v>6351.666666666667</v>
      </c>
      <c r="P2354" s="134"/>
    </row>
    <row r="2355" spans="1:16" s="140" customFormat="1" x14ac:dyDescent="0.25">
      <c r="B2355" s="155"/>
      <c r="C2355" s="345"/>
      <c r="D2355" s="345"/>
      <c r="E2355" s="353"/>
      <c r="F2355" s="205"/>
      <c r="G2355" s="351"/>
      <c r="H2355" s="134"/>
      <c r="J2355" s="155"/>
      <c r="K2355" s="345"/>
      <c r="L2355" s="345"/>
      <c r="M2355" s="353"/>
      <c r="N2355" s="205"/>
      <c r="O2355" s="351"/>
      <c r="P2355" s="134"/>
    </row>
    <row r="2356" spans="1:16" s="140" customFormat="1" x14ac:dyDescent="0.25">
      <c r="B2356" s="155"/>
      <c r="C2356" s="345"/>
      <c r="D2356" s="345"/>
      <c r="E2356" s="353"/>
      <c r="F2356" s="205"/>
      <c r="G2356" s="351"/>
      <c r="H2356" s="134"/>
      <c r="J2356" s="155"/>
      <c r="K2356" s="345"/>
      <c r="L2356" s="345"/>
      <c r="M2356" s="353"/>
      <c r="N2356" s="205"/>
      <c r="O2356" s="351"/>
      <c r="P2356" s="134"/>
    </row>
    <row r="2357" spans="1:16" s="140" customFormat="1" ht="13.5" thickBot="1" x14ac:dyDescent="0.3">
      <c r="B2357" s="155"/>
      <c r="C2357" s="152"/>
      <c r="D2357" s="152"/>
      <c r="E2357" s="152"/>
      <c r="F2357" s="151"/>
      <c r="G2357" s="156"/>
      <c r="H2357" s="134"/>
      <c r="J2357" s="155"/>
      <c r="K2357" s="152"/>
      <c r="L2357" s="152"/>
      <c r="M2357" s="152"/>
      <c r="N2357" s="151"/>
      <c r="O2357" s="156"/>
      <c r="P2357" s="134"/>
    </row>
    <row r="2358" spans="1:16" s="140" customFormat="1" ht="13.5" thickBot="1" x14ac:dyDescent="0.3">
      <c r="B2358" s="179"/>
      <c r="C2358" s="180"/>
      <c r="D2358" s="180"/>
      <c r="E2358" s="180"/>
      <c r="F2358" s="181"/>
      <c r="G2358" s="182"/>
      <c r="H2358" s="161">
        <f>+SUM(G2352:G2358)</f>
        <v>5349.5833333333339</v>
      </c>
      <c r="J2358" s="179"/>
      <c r="K2358" s="180"/>
      <c r="L2358" s="180"/>
      <c r="M2358" s="180"/>
      <c r="N2358" s="181"/>
      <c r="O2358" s="182"/>
      <c r="P2358" s="161">
        <f>+SUM(O2352:O2358)</f>
        <v>15046.666666666668</v>
      </c>
    </row>
    <row r="2359" spans="1:16" s="140" customFormat="1" ht="13.5" thickBot="1" x14ac:dyDescent="0.3">
      <c r="F2359" s="141"/>
      <c r="G2359" s="134"/>
      <c r="H2359" s="134"/>
      <c r="N2359" s="141"/>
      <c r="O2359" s="134"/>
      <c r="P2359" s="134"/>
    </row>
    <row r="2360" spans="1:16" s="140" customFormat="1" ht="13.5" thickBot="1" x14ac:dyDescent="0.3">
      <c r="E2360" s="183" t="s">
        <v>5415</v>
      </c>
      <c r="F2360" s="141"/>
      <c r="G2360" s="134"/>
      <c r="H2360" s="161">
        <f>ROUND(+H2325+H2340+H2349+H2358,0)</f>
        <v>7020</v>
      </c>
      <c r="M2360" s="183" t="s">
        <v>5415</v>
      </c>
      <c r="N2360" s="141"/>
      <c r="O2360" s="134"/>
      <c r="P2360" s="161">
        <f>ROUND(+P2325+P2340+P2349+P2358,0)</f>
        <v>24916</v>
      </c>
    </row>
    <row r="2361" spans="1:16" x14ac:dyDescent="0.25">
      <c r="N2361" s="133"/>
    </row>
    <row r="2362" spans="1:16" x14ac:dyDescent="0.25">
      <c r="N2362" s="133"/>
    </row>
    <row r="2363" spans="1:16" ht="12.75" customHeight="1" x14ac:dyDescent="0.25">
      <c r="N2363" s="133"/>
    </row>
    <row r="2364" spans="1:16" x14ac:dyDescent="0.25">
      <c r="N2364" s="133"/>
    </row>
    <row r="2365" spans="1:16" ht="18.75" x14ac:dyDescent="0.25">
      <c r="A2365" s="133"/>
      <c r="B2365" s="2506" t="s">
        <v>5400</v>
      </c>
      <c r="C2365" s="2506"/>
      <c r="D2365" s="2506"/>
      <c r="E2365" s="2506"/>
      <c r="F2365" s="2506"/>
      <c r="G2365" s="2506"/>
      <c r="I2365" s="133"/>
      <c r="J2365" s="2506" t="s">
        <v>5400</v>
      </c>
      <c r="K2365" s="2506"/>
      <c r="L2365" s="2506"/>
      <c r="M2365" s="2506"/>
      <c r="N2365" s="2506"/>
      <c r="O2365" s="2506"/>
    </row>
    <row r="2366" spans="1:16" x14ac:dyDescent="0.25">
      <c r="A2366" s="133"/>
      <c r="G2366" s="134"/>
      <c r="I2366" s="133"/>
      <c r="N2366" s="133"/>
      <c r="O2366" s="134"/>
    </row>
    <row r="2367" spans="1:16" x14ac:dyDescent="0.25">
      <c r="A2367" s="133"/>
      <c r="G2367" s="134"/>
      <c r="I2367" s="133"/>
      <c r="N2367" s="133"/>
      <c r="O2367" s="134"/>
    </row>
    <row r="2368" spans="1:16" x14ac:dyDescent="0.25">
      <c r="A2368" s="133"/>
      <c r="G2368" s="134"/>
      <c r="I2368" s="133"/>
      <c r="N2368" s="133"/>
      <c r="O2368" s="134"/>
    </row>
    <row r="2369" spans="1:16" s="140" customFormat="1" ht="12.75" customHeight="1" x14ac:dyDescent="0.25">
      <c r="A2369" s="138" t="s">
        <v>3</v>
      </c>
      <c r="B2369" s="138" t="s">
        <v>5457</v>
      </c>
      <c r="C2369" s="2450" t="s">
        <v>115</v>
      </c>
      <c r="D2369" s="2450"/>
      <c r="E2369" s="2450"/>
      <c r="F2369" s="138" t="s">
        <v>867</v>
      </c>
      <c r="G2369" s="139" t="s">
        <v>5402</v>
      </c>
      <c r="H2369" s="134"/>
      <c r="I2369" s="138" t="s">
        <v>3</v>
      </c>
      <c r="J2369" s="138" t="s">
        <v>5457</v>
      </c>
      <c r="K2369" s="2450" t="s">
        <v>6397</v>
      </c>
      <c r="L2369" s="2450"/>
      <c r="M2369" s="2450"/>
      <c r="N2369" s="138" t="s">
        <v>867</v>
      </c>
      <c r="O2369" s="139" t="s">
        <v>5402</v>
      </c>
      <c r="P2369" s="134"/>
    </row>
    <row r="2370" spans="1:16" s="140" customFormat="1" ht="12.75" customHeight="1" x14ac:dyDescent="0.25">
      <c r="A2370" s="141"/>
      <c r="F2370" s="141"/>
      <c r="G2370" s="134"/>
      <c r="H2370" s="134"/>
      <c r="I2370" s="141"/>
      <c r="N2370" s="141"/>
      <c r="O2370" s="134"/>
      <c r="P2370" s="134"/>
    </row>
    <row r="2371" spans="1:16" s="140" customFormat="1" ht="12.75" customHeight="1" x14ac:dyDescent="0.25">
      <c r="A2371" s="141"/>
      <c r="F2371" s="141"/>
      <c r="G2371" s="142"/>
      <c r="H2371" s="134"/>
      <c r="I2371" s="141"/>
      <c r="N2371" s="141"/>
      <c r="O2371" s="142"/>
      <c r="P2371" s="134"/>
    </row>
    <row r="2372" spans="1:16" s="140" customFormat="1" ht="13.5" thickBot="1" x14ac:dyDescent="0.3">
      <c r="A2372" s="141"/>
      <c r="F2372" s="141"/>
      <c r="G2372" s="134"/>
      <c r="H2372" s="134"/>
      <c r="I2372" s="141"/>
      <c r="N2372" s="141"/>
      <c r="O2372" s="134"/>
      <c r="P2372" s="134"/>
    </row>
    <row r="2373" spans="1:16" s="140" customFormat="1" ht="13.5" thickBot="1" x14ac:dyDescent="0.3">
      <c r="A2373" s="141"/>
      <c r="B2373" s="143" t="s">
        <v>5403</v>
      </c>
      <c r="C2373" s="144" t="s">
        <v>867</v>
      </c>
      <c r="D2373" s="144" t="s">
        <v>6</v>
      </c>
      <c r="E2373" s="144" t="s">
        <v>5404</v>
      </c>
      <c r="F2373" s="144" t="s">
        <v>5405</v>
      </c>
      <c r="G2373" s="145" t="s">
        <v>868</v>
      </c>
      <c r="H2373" s="134"/>
      <c r="I2373" s="141"/>
      <c r="J2373" s="143" t="s">
        <v>5403</v>
      </c>
      <c r="K2373" s="144" t="s">
        <v>867</v>
      </c>
      <c r="L2373" s="144" t="s">
        <v>6</v>
      </c>
      <c r="M2373" s="144" t="s">
        <v>5404</v>
      </c>
      <c r="N2373" s="144" t="s">
        <v>5405</v>
      </c>
      <c r="O2373" s="145" t="s">
        <v>868</v>
      </c>
      <c r="P2373" s="134"/>
    </row>
    <row r="2374" spans="1:16" s="140" customFormat="1" x14ac:dyDescent="0.25">
      <c r="A2374" s="141"/>
      <c r="B2374" s="146" t="s">
        <v>5440</v>
      </c>
      <c r="C2374" s="147" t="s">
        <v>5406</v>
      </c>
      <c r="D2374" s="147"/>
      <c r="E2374" s="148">
        <f>+H2413</f>
        <v>9534.6944444444453</v>
      </c>
      <c r="F2374" s="167">
        <v>0.2</v>
      </c>
      <c r="G2374" s="360">
        <f>+E2374*F2374</f>
        <v>1906.9388888888891</v>
      </c>
      <c r="H2374" s="134"/>
      <c r="I2374" s="141"/>
      <c r="J2374" s="146" t="s">
        <v>5440</v>
      </c>
      <c r="K2374" s="147" t="s">
        <v>5406</v>
      </c>
      <c r="L2374" s="147"/>
      <c r="M2374" s="148">
        <f>+P2413</f>
        <v>18222.5</v>
      </c>
      <c r="N2374" s="167">
        <v>0.2</v>
      </c>
      <c r="O2374" s="360">
        <f>+M2374*N2374</f>
        <v>3644.5</v>
      </c>
      <c r="P2374" s="134"/>
    </row>
    <row r="2375" spans="1:16" s="140" customFormat="1" x14ac:dyDescent="0.25">
      <c r="A2375" s="141"/>
      <c r="B2375" s="154" t="s">
        <v>5686</v>
      </c>
      <c r="C2375" s="151" t="s">
        <v>5666</v>
      </c>
      <c r="D2375" s="205">
        <v>1</v>
      </c>
      <c r="E2375" s="366">
        <v>120000</v>
      </c>
      <c r="F2375" s="205">
        <v>50</v>
      </c>
      <c r="G2375" s="360">
        <f>+D2375*E2375/F2375</f>
        <v>2400</v>
      </c>
      <c r="H2375" s="134"/>
      <c r="I2375" s="141"/>
      <c r="J2375" s="154" t="s">
        <v>6398</v>
      </c>
      <c r="K2375" s="151" t="s">
        <v>5666</v>
      </c>
      <c r="L2375" s="205">
        <v>1</v>
      </c>
      <c r="M2375" s="366">
        <v>180000</v>
      </c>
      <c r="N2375" s="205">
        <v>24</v>
      </c>
      <c r="O2375" s="360">
        <f>+L2375*M2375/N2375</f>
        <v>7500</v>
      </c>
      <c r="P2375" s="134"/>
    </row>
    <row r="2376" spans="1:16" s="140" customFormat="1" x14ac:dyDescent="0.25">
      <c r="A2376" s="141"/>
      <c r="B2376" s="154" t="s">
        <v>5647</v>
      </c>
      <c r="C2376" s="151" t="s">
        <v>5407</v>
      </c>
      <c r="D2376" s="151"/>
      <c r="E2376" s="366">
        <v>65000</v>
      </c>
      <c r="F2376" s="205">
        <v>15</v>
      </c>
      <c r="G2376" s="360">
        <f>+E2376/F2376</f>
        <v>4333.333333333333</v>
      </c>
      <c r="H2376" s="134"/>
      <c r="I2376" s="141"/>
      <c r="J2376" s="154" t="s">
        <v>6399</v>
      </c>
      <c r="K2376" s="151"/>
      <c r="L2376" s="205"/>
      <c r="M2376" s="366"/>
      <c r="N2376" s="205"/>
      <c r="O2376" s="360">
        <v>500</v>
      </c>
      <c r="P2376" s="134"/>
    </row>
    <row r="2377" spans="1:16" s="140" customFormat="1" x14ac:dyDescent="0.25">
      <c r="A2377" s="141"/>
      <c r="B2377" s="155"/>
      <c r="C2377" s="151"/>
      <c r="D2377" s="152"/>
      <c r="E2377" s="152"/>
      <c r="F2377" s="151"/>
      <c r="G2377" s="156"/>
      <c r="H2377" s="134"/>
      <c r="I2377" s="141"/>
      <c r="J2377" s="154"/>
      <c r="K2377" s="151"/>
      <c r="L2377" s="205"/>
      <c r="M2377" s="366"/>
      <c r="N2377" s="205"/>
      <c r="O2377" s="360"/>
      <c r="P2377" s="134"/>
    </row>
    <row r="2378" spans="1:16" s="140" customFormat="1" x14ac:dyDescent="0.25">
      <c r="A2378" s="141"/>
      <c r="B2378" s="155"/>
      <c r="C2378" s="151"/>
      <c r="D2378" s="152"/>
      <c r="E2378" s="152"/>
      <c r="F2378" s="151"/>
      <c r="G2378" s="156"/>
      <c r="H2378" s="134"/>
      <c r="I2378" s="141"/>
      <c r="J2378" s="155"/>
      <c r="K2378" s="151"/>
      <c r="L2378" s="152"/>
      <c r="M2378" s="152"/>
      <c r="N2378" s="151"/>
      <c r="O2378" s="156"/>
      <c r="P2378" s="134"/>
    </row>
    <row r="2379" spans="1:16" s="140" customFormat="1" ht="13.5" thickBot="1" x14ac:dyDescent="0.3">
      <c r="A2379" s="141"/>
      <c r="B2379" s="155"/>
      <c r="C2379" s="151"/>
      <c r="D2379" s="152"/>
      <c r="E2379" s="152"/>
      <c r="F2379" s="151"/>
      <c r="G2379" s="156"/>
      <c r="H2379" s="134"/>
      <c r="I2379" s="141"/>
      <c r="J2379" s="155"/>
      <c r="K2379" s="151"/>
      <c r="L2379" s="152"/>
      <c r="M2379" s="152"/>
      <c r="N2379" s="151"/>
      <c r="O2379" s="156"/>
      <c r="P2379" s="134"/>
    </row>
    <row r="2380" spans="1:16" s="140" customFormat="1" ht="13.5" thickBot="1" x14ac:dyDescent="0.3">
      <c r="A2380" s="141"/>
      <c r="B2380" s="157"/>
      <c r="C2380" s="158"/>
      <c r="D2380" s="159"/>
      <c r="E2380" s="159"/>
      <c r="F2380" s="158"/>
      <c r="G2380" s="160"/>
      <c r="H2380" s="161">
        <f>+SUM(G2374:G2380)</f>
        <v>8640.2722222222219</v>
      </c>
      <c r="I2380" s="141"/>
      <c r="J2380" s="157"/>
      <c r="K2380" s="158"/>
      <c r="L2380" s="159"/>
      <c r="M2380" s="159"/>
      <c r="N2380" s="158"/>
      <c r="O2380" s="160"/>
      <c r="P2380" s="161">
        <f>+SUM(O2374:O2380)</f>
        <v>11644.5</v>
      </c>
    </row>
    <row r="2381" spans="1:16" s="140" customFormat="1" ht="13.5" thickBot="1" x14ac:dyDescent="0.3">
      <c r="A2381" s="141"/>
      <c r="B2381" s="162"/>
      <c r="C2381" s="163"/>
      <c r="D2381" s="162"/>
      <c r="E2381" s="162"/>
      <c r="F2381" s="163"/>
      <c r="G2381" s="164"/>
      <c r="H2381" s="165"/>
      <c r="I2381" s="141"/>
      <c r="J2381" s="162"/>
      <c r="K2381" s="163"/>
      <c r="L2381" s="162"/>
      <c r="M2381" s="162"/>
      <c r="N2381" s="163"/>
      <c r="O2381" s="164"/>
      <c r="P2381" s="165"/>
    </row>
    <row r="2382" spans="1:16" s="140" customFormat="1" ht="13.5" thickBot="1" x14ac:dyDescent="0.3">
      <c r="B2382" s="143" t="s">
        <v>5408</v>
      </c>
      <c r="C2382" s="144" t="s">
        <v>867</v>
      </c>
      <c r="D2382" s="144" t="s">
        <v>6</v>
      </c>
      <c r="E2382" s="144" t="s">
        <v>870</v>
      </c>
      <c r="F2382" s="144" t="s">
        <v>5409</v>
      </c>
      <c r="G2382" s="145" t="s">
        <v>868</v>
      </c>
      <c r="H2382" s="134"/>
      <c r="J2382" s="143" t="s">
        <v>5408</v>
      </c>
      <c r="K2382" s="144" t="s">
        <v>867</v>
      </c>
      <c r="L2382" s="144" t="s">
        <v>6</v>
      </c>
      <c r="M2382" s="144" t="s">
        <v>870</v>
      </c>
      <c r="N2382" s="144" t="s">
        <v>5409</v>
      </c>
      <c r="O2382" s="145" t="s">
        <v>868</v>
      </c>
      <c r="P2382" s="134"/>
    </row>
    <row r="2383" spans="1:16" s="140" customFormat="1" x14ac:dyDescent="0.25">
      <c r="B2383" s="201"/>
      <c r="C2383" s="147"/>
      <c r="D2383" s="301"/>
      <c r="E2383" s="148"/>
      <c r="F2383" s="169"/>
      <c r="G2383" s="367"/>
      <c r="H2383" s="134"/>
      <c r="J2383" s="295" t="s">
        <v>5553</v>
      </c>
      <c r="K2383" s="202" t="s">
        <v>5488</v>
      </c>
      <c r="L2383" s="226">
        <v>10</v>
      </c>
      <c r="M2383" s="332">
        <v>20</v>
      </c>
      <c r="N2383" s="169">
        <v>0.05</v>
      </c>
      <c r="O2383" s="178">
        <f>+L2383*M2383*(1+N2383)</f>
        <v>210</v>
      </c>
      <c r="P2383" s="134"/>
    </row>
    <row r="2384" spans="1:16" s="140" customFormat="1" x14ac:dyDescent="0.25">
      <c r="B2384" s="196"/>
      <c r="C2384" s="151"/>
      <c r="D2384" s="151"/>
      <c r="E2384" s="148"/>
      <c r="F2384" s="169"/>
      <c r="G2384" s="354"/>
      <c r="H2384" s="134"/>
      <c r="J2384" s="450" t="s">
        <v>6392</v>
      </c>
      <c r="K2384" s="202" t="s">
        <v>5475</v>
      </c>
      <c r="L2384" s="202"/>
      <c r="M2384" s="228"/>
      <c r="N2384" s="169"/>
      <c r="O2384" s="178">
        <v>150</v>
      </c>
      <c r="P2384" s="134"/>
    </row>
    <row r="2385" spans="2:16" s="140" customFormat="1" x14ac:dyDescent="0.25">
      <c r="B2385" s="196"/>
      <c r="C2385" s="151"/>
      <c r="D2385" s="151"/>
      <c r="E2385" s="148"/>
      <c r="F2385" s="169"/>
      <c r="G2385" s="367"/>
      <c r="H2385" s="134"/>
      <c r="J2385" s="196"/>
      <c r="K2385" s="151"/>
      <c r="L2385" s="151"/>
      <c r="M2385" s="148"/>
      <c r="N2385" s="169"/>
      <c r="O2385" s="367"/>
      <c r="P2385" s="134"/>
    </row>
    <row r="2386" spans="2:16" s="140" customFormat="1" x14ac:dyDescent="0.25">
      <c r="B2386" s="155"/>
      <c r="C2386" s="151"/>
      <c r="D2386" s="151"/>
      <c r="E2386" s="148"/>
      <c r="F2386" s="151"/>
      <c r="G2386" s="367"/>
      <c r="H2386" s="134"/>
      <c r="J2386" s="155"/>
      <c r="K2386" s="151"/>
      <c r="L2386" s="151"/>
      <c r="M2386" s="148"/>
      <c r="N2386" s="151"/>
      <c r="O2386" s="367"/>
      <c r="P2386" s="134"/>
    </row>
    <row r="2387" spans="2:16" s="140" customFormat="1" x14ac:dyDescent="0.25">
      <c r="B2387" s="155"/>
      <c r="C2387" s="151"/>
      <c r="D2387" s="151"/>
      <c r="E2387" s="148"/>
      <c r="F2387" s="151"/>
      <c r="G2387" s="367"/>
      <c r="H2387" s="134"/>
      <c r="J2387" s="155"/>
      <c r="K2387" s="151"/>
      <c r="L2387" s="151"/>
      <c r="M2387" s="148"/>
      <c r="N2387" s="151"/>
      <c r="O2387" s="367"/>
      <c r="P2387" s="134"/>
    </row>
    <row r="2388" spans="2:16" s="140" customFormat="1" x14ac:dyDescent="0.25">
      <c r="B2388" s="155"/>
      <c r="C2388" s="151"/>
      <c r="D2388" s="151"/>
      <c r="E2388" s="148"/>
      <c r="F2388" s="151"/>
      <c r="G2388" s="367"/>
      <c r="H2388" s="134"/>
      <c r="J2388" s="155"/>
      <c r="K2388" s="151"/>
      <c r="L2388" s="151"/>
      <c r="M2388" s="148"/>
      <c r="N2388" s="151"/>
      <c r="O2388" s="367"/>
      <c r="P2388" s="134"/>
    </row>
    <row r="2389" spans="2:16" s="140" customFormat="1" x14ac:dyDescent="0.25">
      <c r="B2389" s="155"/>
      <c r="C2389" s="151"/>
      <c r="D2389" s="151"/>
      <c r="E2389" s="148"/>
      <c r="F2389" s="151"/>
      <c r="G2389" s="367"/>
      <c r="H2389" s="134"/>
      <c r="J2389" s="155"/>
      <c r="K2389" s="151"/>
      <c r="L2389" s="151"/>
      <c r="M2389" s="148"/>
      <c r="N2389" s="151"/>
      <c r="O2389" s="367"/>
      <c r="P2389" s="134"/>
    </row>
    <row r="2390" spans="2:16" s="140" customFormat="1" x14ac:dyDescent="0.25">
      <c r="B2390" s="155"/>
      <c r="C2390" s="151"/>
      <c r="D2390" s="151"/>
      <c r="E2390" s="148"/>
      <c r="F2390" s="151"/>
      <c r="G2390" s="367"/>
      <c r="H2390" s="134"/>
      <c r="J2390" s="155"/>
      <c r="K2390" s="151"/>
      <c r="L2390" s="151"/>
      <c r="M2390" s="148"/>
      <c r="N2390" s="151"/>
      <c r="O2390" s="367"/>
      <c r="P2390" s="134"/>
    </row>
    <row r="2391" spans="2:16" s="140" customFormat="1" x14ac:dyDescent="0.25">
      <c r="B2391" s="155"/>
      <c r="C2391" s="151"/>
      <c r="D2391" s="151"/>
      <c r="E2391" s="148"/>
      <c r="F2391" s="151"/>
      <c r="G2391" s="367"/>
      <c r="H2391" s="134"/>
      <c r="J2391" s="155"/>
      <c r="K2391" s="151"/>
      <c r="L2391" s="151"/>
      <c r="M2391" s="148"/>
      <c r="N2391" s="151"/>
      <c r="O2391" s="367"/>
      <c r="P2391" s="134"/>
    </row>
    <row r="2392" spans="2:16" s="140" customFormat="1" x14ac:dyDescent="0.25">
      <c r="B2392" s="155"/>
      <c r="C2392" s="151"/>
      <c r="D2392" s="151"/>
      <c r="E2392" s="148"/>
      <c r="F2392" s="151"/>
      <c r="G2392" s="367"/>
      <c r="H2392" s="134"/>
      <c r="J2392" s="155"/>
      <c r="K2392" s="151"/>
      <c r="L2392" s="151"/>
      <c r="M2392" s="148"/>
      <c r="N2392" s="151"/>
      <c r="O2392" s="367"/>
      <c r="P2392" s="134"/>
    </row>
    <row r="2393" spans="2:16" s="140" customFormat="1" x14ac:dyDescent="0.25">
      <c r="B2393" s="155"/>
      <c r="C2393" s="152"/>
      <c r="D2393" s="152"/>
      <c r="E2393" s="152"/>
      <c r="F2393" s="151"/>
      <c r="G2393" s="156"/>
      <c r="H2393" s="134"/>
      <c r="J2393" s="155"/>
      <c r="K2393" s="152"/>
      <c r="L2393" s="152"/>
      <c r="M2393" s="152"/>
      <c r="N2393" s="151"/>
      <c r="O2393" s="156"/>
      <c r="P2393" s="134"/>
    </row>
    <row r="2394" spans="2:16" s="140" customFormat="1" ht="13.5" thickBot="1" x14ac:dyDescent="0.3">
      <c r="B2394" s="155"/>
      <c r="C2394" s="152"/>
      <c r="D2394" s="152"/>
      <c r="E2394" s="152"/>
      <c r="F2394" s="151"/>
      <c r="G2394" s="156"/>
      <c r="H2394" s="134"/>
      <c r="J2394" s="155"/>
      <c r="K2394" s="152"/>
      <c r="L2394" s="152"/>
      <c r="M2394" s="152"/>
      <c r="N2394" s="151"/>
      <c r="O2394" s="156"/>
      <c r="P2394" s="134"/>
    </row>
    <row r="2395" spans="2:16" s="140" customFormat="1" ht="13.5" thickBot="1" x14ac:dyDescent="0.3">
      <c r="B2395" s="157"/>
      <c r="C2395" s="159"/>
      <c r="D2395" s="159"/>
      <c r="E2395" s="159"/>
      <c r="F2395" s="158"/>
      <c r="G2395" s="160"/>
      <c r="H2395" s="161">
        <f>+SUM(G2383:G2395)</f>
        <v>0</v>
      </c>
      <c r="J2395" s="157"/>
      <c r="K2395" s="159"/>
      <c r="L2395" s="159"/>
      <c r="M2395" s="159"/>
      <c r="N2395" s="158"/>
      <c r="O2395" s="160"/>
      <c r="P2395" s="161">
        <f>+SUM(O2383:O2395)</f>
        <v>360</v>
      </c>
    </row>
    <row r="2396" spans="2:16" s="140" customFormat="1" ht="13.5" thickBot="1" x14ac:dyDescent="0.3">
      <c r="B2396" s="162"/>
      <c r="C2396" s="162"/>
      <c r="D2396" s="162"/>
      <c r="E2396" s="162"/>
      <c r="F2396" s="163"/>
      <c r="G2396" s="164"/>
      <c r="H2396" s="165"/>
      <c r="J2396" s="162"/>
      <c r="K2396" s="162"/>
      <c r="L2396" s="162"/>
      <c r="M2396" s="162"/>
      <c r="N2396" s="163"/>
      <c r="O2396" s="164"/>
      <c r="P2396" s="165"/>
    </row>
    <row r="2397" spans="2:16" s="140" customFormat="1" ht="13.5" thickBot="1" x14ac:dyDescent="0.3">
      <c r="B2397" s="143" t="s">
        <v>5410</v>
      </c>
      <c r="C2397" s="144" t="s">
        <v>867</v>
      </c>
      <c r="D2397" s="144" t="s">
        <v>6</v>
      </c>
      <c r="E2397" s="144" t="s">
        <v>870</v>
      </c>
      <c r="F2397" s="144" t="s">
        <v>5411</v>
      </c>
      <c r="G2397" s="145" t="s">
        <v>868</v>
      </c>
      <c r="H2397" s="134"/>
      <c r="J2397" s="143" t="s">
        <v>5410</v>
      </c>
      <c r="K2397" s="144" t="s">
        <v>867</v>
      </c>
      <c r="L2397" s="144" t="s">
        <v>6</v>
      </c>
      <c r="M2397" s="144" t="s">
        <v>870</v>
      </c>
      <c r="N2397" s="144" t="s">
        <v>5411</v>
      </c>
      <c r="O2397" s="145" t="s">
        <v>868</v>
      </c>
      <c r="P2397" s="134"/>
    </row>
    <row r="2398" spans="2:16" s="140" customFormat="1" x14ac:dyDescent="0.25">
      <c r="B2398" s="201"/>
      <c r="C2398" s="147"/>
      <c r="D2398" s="167"/>
      <c r="E2398" s="148"/>
      <c r="F2398" s="169"/>
      <c r="G2398" s="367">
        <f>+D2398*E2398*(1+F2398)</f>
        <v>0</v>
      </c>
      <c r="H2398" s="134"/>
      <c r="J2398" s="201"/>
      <c r="K2398" s="147"/>
      <c r="L2398" s="167"/>
      <c r="M2398" s="148"/>
      <c r="N2398" s="169"/>
      <c r="O2398" s="367">
        <f>+L2398*M2398*(1+N2398)</f>
        <v>0</v>
      </c>
      <c r="P2398" s="134"/>
    </row>
    <row r="2399" spans="2:16" s="140" customFormat="1" x14ac:dyDescent="0.25">
      <c r="B2399" s="196"/>
      <c r="C2399" s="151"/>
      <c r="D2399" s="151"/>
      <c r="E2399" s="148"/>
      <c r="F2399" s="147"/>
      <c r="G2399" s="367"/>
      <c r="H2399" s="134"/>
      <c r="J2399" s="196"/>
      <c r="K2399" s="151"/>
      <c r="L2399" s="151"/>
      <c r="M2399" s="148"/>
      <c r="N2399" s="147"/>
      <c r="O2399" s="367"/>
      <c r="P2399" s="134"/>
    </row>
    <row r="2400" spans="2:16" s="140" customFormat="1" x14ac:dyDescent="0.25">
      <c r="B2400" s="196"/>
      <c r="C2400" s="151"/>
      <c r="D2400" s="151"/>
      <c r="E2400" s="148"/>
      <c r="F2400" s="151"/>
      <c r="G2400" s="367"/>
      <c r="H2400" s="134"/>
      <c r="J2400" s="196"/>
      <c r="K2400" s="151"/>
      <c r="L2400" s="151"/>
      <c r="M2400" s="148"/>
      <c r="N2400" s="151"/>
      <c r="O2400" s="367"/>
      <c r="P2400" s="134"/>
    </row>
    <row r="2401" spans="2:16" s="140" customFormat="1" x14ac:dyDescent="0.25">
      <c r="B2401" s="155"/>
      <c r="C2401" s="151"/>
      <c r="D2401" s="151"/>
      <c r="E2401" s="148"/>
      <c r="F2401" s="151"/>
      <c r="G2401" s="367"/>
      <c r="H2401" s="134"/>
      <c r="J2401" s="155"/>
      <c r="K2401" s="151"/>
      <c r="L2401" s="151"/>
      <c r="M2401" s="148"/>
      <c r="N2401" s="151"/>
      <c r="O2401" s="367"/>
      <c r="P2401" s="134"/>
    </row>
    <row r="2402" spans="2:16" s="140" customFormat="1" x14ac:dyDescent="0.25">
      <c r="B2402" s="155"/>
      <c r="C2402" s="151"/>
      <c r="D2402" s="151"/>
      <c r="E2402" s="148"/>
      <c r="F2402" s="151"/>
      <c r="G2402" s="367"/>
      <c r="H2402" s="134"/>
      <c r="J2402" s="155"/>
      <c r="K2402" s="151"/>
      <c r="L2402" s="151"/>
      <c r="M2402" s="148"/>
      <c r="N2402" s="151"/>
      <c r="O2402" s="367"/>
      <c r="P2402" s="134"/>
    </row>
    <row r="2403" spans="2:16" s="140" customFormat="1" ht="13.5" thickBot="1" x14ac:dyDescent="0.3">
      <c r="B2403" s="155"/>
      <c r="C2403" s="151"/>
      <c r="D2403" s="151"/>
      <c r="E2403" s="148"/>
      <c r="F2403" s="151"/>
      <c r="G2403" s="367"/>
      <c r="H2403" s="134"/>
      <c r="J2403" s="155"/>
      <c r="K2403" s="151"/>
      <c r="L2403" s="151"/>
      <c r="M2403" s="148"/>
      <c r="N2403" s="151"/>
      <c r="O2403" s="367"/>
      <c r="P2403" s="134"/>
    </row>
    <row r="2404" spans="2:16" s="140" customFormat="1" ht="13.5" thickBot="1" x14ac:dyDescent="0.3">
      <c r="B2404" s="157"/>
      <c r="C2404" s="159"/>
      <c r="D2404" s="159"/>
      <c r="E2404" s="159"/>
      <c r="F2404" s="158"/>
      <c r="G2404" s="160"/>
      <c r="H2404" s="161">
        <f>+SUM(G2398:G2404)</f>
        <v>0</v>
      </c>
      <c r="J2404" s="157"/>
      <c r="K2404" s="159"/>
      <c r="L2404" s="159"/>
      <c r="M2404" s="159"/>
      <c r="N2404" s="158"/>
      <c r="O2404" s="160"/>
      <c r="P2404" s="161">
        <f>+SUM(O2398:O2404)</f>
        <v>0</v>
      </c>
    </row>
    <row r="2405" spans="2:16" s="140" customFormat="1" ht="13.5" thickBot="1" x14ac:dyDescent="0.3">
      <c r="B2405" s="162"/>
      <c r="C2405" s="162"/>
      <c r="D2405" s="162"/>
      <c r="E2405" s="162"/>
      <c r="F2405" s="173"/>
      <c r="G2405" s="174"/>
      <c r="H2405" s="165"/>
      <c r="J2405" s="162"/>
      <c r="K2405" s="162"/>
      <c r="L2405" s="162"/>
      <c r="M2405" s="162"/>
      <c r="N2405" s="173"/>
      <c r="O2405" s="174"/>
      <c r="P2405" s="165"/>
    </row>
    <row r="2406" spans="2:16" s="140" customFormat="1" ht="13.5" thickBot="1" x14ac:dyDescent="0.3">
      <c r="B2406" s="143" t="s">
        <v>5412</v>
      </c>
      <c r="C2406" s="144" t="s">
        <v>5420</v>
      </c>
      <c r="D2406" s="144" t="s">
        <v>5421</v>
      </c>
      <c r="E2406" s="144" t="s">
        <v>5413</v>
      </c>
      <c r="F2406" s="144" t="s">
        <v>5405</v>
      </c>
      <c r="G2406" s="145" t="s">
        <v>868</v>
      </c>
      <c r="H2406" s="134"/>
      <c r="J2406" s="143" t="s">
        <v>5412</v>
      </c>
      <c r="K2406" s="144" t="s">
        <v>5420</v>
      </c>
      <c r="L2406" s="144" t="s">
        <v>5421</v>
      </c>
      <c r="M2406" s="144" t="s">
        <v>5413</v>
      </c>
      <c r="N2406" s="144" t="s">
        <v>5405</v>
      </c>
      <c r="O2406" s="145" t="s">
        <v>868</v>
      </c>
      <c r="P2406" s="134"/>
    </row>
    <row r="2407" spans="2:16" s="140" customFormat="1" x14ac:dyDescent="0.25">
      <c r="B2407" s="194" t="s">
        <v>5650</v>
      </c>
      <c r="C2407" s="345">
        <v>70000</v>
      </c>
      <c r="D2407" s="345">
        <f>+C2407*0.85</f>
        <v>59500</v>
      </c>
      <c r="E2407" s="353">
        <f>+C2407+D2407</f>
        <v>129500</v>
      </c>
      <c r="F2407" s="202">
        <v>200</v>
      </c>
      <c r="G2407" s="351">
        <f>+E2407/F2407</f>
        <v>647.5</v>
      </c>
      <c r="H2407" s="134"/>
      <c r="J2407" s="194" t="s">
        <v>5650</v>
      </c>
      <c r="K2407" s="345">
        <v>70000</v>
      </c>
      <c r="L2407" s="345">
        <f>+K2407*0.85</f>
        <v>59500</v>
      </c>
      <c r="M2407" s="353">
        <f>+K2407+L2407</f>
        <v>129500</v>
      </c>
      <c r="N2407" s="202">
        <v>100</v>
      </c>
      <c r="O2407" s="351">
        <f>+M2407/N2407</f>
        <v>1295</v>
      </c>
      <c r="P2407" s="134"/>
    </row>
    <row r="2408" spans="2:16" s="140" customFormat="1" x14ac:dyDescent="0.25">
      <c r="B2408" s="194" t="s">
        <v>5651</v>
      </c>
      <c r="C2408" s="345">
        <v>40000</v>
      </c>
      <c r="D2408" s="345">
        <f>+C2408*0.85</f>
        <v>34000</v>
      </c>
      <c r="E2408" s="353">
        <f>+C2408+D2408</f>
        <v>74000</v>
      </c>
      <c r="F2408" s="204">
        <v>20</v>
      </c>
      <c r="G2408" s="351">
        <f>+E2408/F2408</f>
        <v>3700</v>
      </c>
      <c r="H2408" s="134"/>
      <c r="J2408" s="194" t="s">
        <v>5651</v>
      </c>
      <c r="K2408" s="345">
        <v>40000</v>
      </c>
      <c r="L2408" s="345">
        <f>+K2408*0.85</f>
        <v>34000</v>
      </c>
      <c r="M2408" s="353">
        <f>+K2408+L2408</f>
        <v>74000</v>
      </c>
      <c r="N2408" s="204">
        <v>10</v>
      </c>
      <c r="O2408" s="351">
        <f>+M2408/N2408</f>
        <v>7400</v>
      </c>
      <c r="P2408" s="134"/>
    </row>
    <row r="2409" spans="2:16" s="140" customFormat="1" x14ac:dyDescent="0.25">
      <c r="B2409" s="195" t="s">
        <v>5635</v>
      </c>
      <c r="C2409" s="345">
        <v>20600</v>
      </c>
      <c r="D2409" s="345">
        <f>+C2409*0.85</f>
        <v>17510</v>
      </c>
      <c r="E2409" s="353">
        <f>+C2409+D2409</f>
        <v>38110</v>
      </c>
      <c r="F2409" s="205">
        <v>8</v>
      </c>
      <c r="G2409" s="351">
        <f>+E2409/F2409</f>
        <v>4763.75</v>
      </c>
      <c r="H2409" s="134"/>
      <c r="J2409" s="195" t="s">
        <v>5635</v>
      </c>
      <c r="K2409" s="345">
        <v>20600</v>
      </c>
      <c r="L2409" s="345">
        <f>+K2409*0.85</f>
        <v>17510</v>
      </c>
      <c r="M2409" s="353">
        <f>+K2409+L2409</f>
        <v>38110</v>
      </c>
      <c r="N2409" s="205">
        <v>4</v>
      </c>
      <c r="O2409" s="351">
        <f>+M2409/N2409</f>
        <v>9527.5</v>
      </c>
      <c r="P2409" s="134"/>
    </row>
    <row r="2410" spans="2:16" s="140" customFormat="1" x14ac:dyDescent="0.25">
      <c r="B2410" s="155" t="s">
        <v>5648</v>
      </c>
      <c r="C2410" s="345">
        <v>20600</v>
      </c>
      <c r="D2410" s="345">
        <f>+C2410*0.85</f>
        <v>17510</v>
      </c>
      <c r="E2410" s="353">
        <f>+C2410+D2410</f>
        <v>38110</v>
      </c>
      <c r="F2410" s="205">
        <v>90</v>
      </c>
      <c r="G2410" s="351">
        <f>+E2410/F2410</f>
        <v>423.44444444444446</v>
      </c>
      <c r="H2410" s="134"/>
      <c r="J2410" s="155"/>
      <c r="K2410" s="345"/>
      <c r="L2410" s="345"/>
      <c r="M2410" s="353"/>
      <c r="N2410" s="205"/>
      <c r="O2410" s="351"/>
      <c r="P2410" s="134"/>
    </row>
    <row r="2411" spans="2:16" s="140" customFormat="1" x14ac:dyDescent="0.25">
      <c r="B2411" s="155"/>
      <c r="C2411" s="345"/>
      <c r="D2411" s="345"/>
      <c r="E2411" s="353"/>
      <c r="F2411" s="205"/>
      <c r="G2411" s="351"/>
      <c r="H2411" s="134"/>
      <c r="J2411" s="155"/>
      <c r="K2411" s="345"/>
      <c r="L2411" s="345"/>
      <c r="M2411" s="353"/>
      <c r="N2411" s="205"/>
      <c r="O2411" s="351"/>
      <c r="P2411" s="134"/>
    </row>
    <row r="2412" spans="2:16" s="140" customFormat="1" ht="13.5" thickBot="1" x14ac:dyDescent="0.3">
      <c r="B2412" s="155"/>
      <c r="C2412" s="152"/>
      <c r="D2412" s="152"/>
      <c r="E2412" s="152"/>
      <c r="F2412" s="151"/>
      <c r="G2412" s="156"/>
      <c r="H2412" s="134"/>
      <c r="J2412" s="155"/>
      <c r="K2412" s="152"/>
      <c r="L2412" s="152"/>
      <c r="M2412" s="152"/>
      <c r="N2412" s="151"/>
      <c r="O2412" s="156"/>
      <c r="P2412" s="134"/>
    </row>
    <row r="2413" spans="2:16" s="140" customFormat="1" ht="13.5" thickBot="1" x14ac:dyDescent="0.3">
      <c r="B2413" s="179"/>
      <c r="C2413" s="180"/>
      <c r="D2413" s="180"/>
      <c r="E2413" s="180"/>
      <c r="F2413" s="181"/>
      <c r="G2413" s="182"/>
      <c r="H2413" s="161">
        <f>+SUM(G2407:G2413)</f>
        <v>9534.6944444444453</v>
      </c>
      <c r="J2413" s="179"/>
      <c r="K2413" s="180"/>
      <c r="L2413" s="180"/>
      <c r="M2413" s="180"/>
      <c r="N2413" s="181"/>
      <c r="O2413" s="182"/>
      <c r="P2413" s="161">
        <f>+SUM(O2407:O2413)</f>
        <v>18222.5</v>
      </c>
    </row>
    <row r="2414" spans="2:16" s="140" customFormat="1" ht="13.5" thickBot="1" x14ac:dyDescent="0.3">
      <c r="F2414" s="141"/>
      <c r="G2414" s="134"/>
      <c r="H2414" s="134"/>
      <c r="N2414" s="141"/>
      <c r="O2414" s="134"/>
      <c r="P2414" s="134"/>
    </row>
    <row r="2415" spans="2:16" s="140" customFormat="1" ht="13.5" thickBot="1" x14ac:dyDescent="0.3">
      <c r="E2415" s="183" t="s">
        <v>5415</v>
      </c>
      <c r="F2415" s="141"/>
      <c r="G2415" s="134"/>
      <c r="H2415" s="161">
        <f>ROUND(+H2380+H2395+H2404+H2413,0)</f>
        <v>18175</v>
      </c>
      <c r="M2415" s="183" t="s">
        <v>5415</v>
      </c>
      <c r="N2415" s="141"/>
      <c r="O2415" s="134"/>
      <c r="P2415" s="161">
        <f>ROUND(+P2380+P2395+P2404+P2413,0)</f>
        <v>30227</v>
      </c>
    </row>
    <row r="2416" spans="2:16" x14ac:dyDescent="0.25">
      <c r="N2416" s="133"/>
    </row>
    <row r="2417" spans="1:16" x14ac:dyDescent="0.25">
      <c r="N2417" s="133"/>
    </row>
    <row r="2418" spans="1:16" x14ac:dyDescent="0.25">
      <c r="N2418" s="133"/>
    </row>
    <row r="2419" spans="1:16" x14ac:dyDescent="0.25">
      <c r="N2419" s="133"/>
    </row>
    <row r="2420" spans="1:16" ht="18.75" x14ac:dyDescent="0.25">
      <c r="A2420" s="133"/>
      <c r="B2420" s="2506" t="s">
        <v>5400</v>
      </c>
      <c r="C2420" s="2506"/>
      <c r="D2420" s="2506"/>
      <c r="E2420" s="2506"/>
      <c r="F2420" s="2506"/>
      <c r="G2420" s="2506"/>
      <c r="I2420" s="133"/>
      <c r="J2420" s="2506" t="s">
        <v>5400</v>
      </c>
      <c r="K2420" s="2506"/>
      <c r="L2420" s="2506"/>
      <c r="M2420" s="2506"/>
      <c r="N2420" s="2506"/>
      <c r="O2420" s="2506"/>
    </row>
    <row r="2421" spans="1:16" x14ac:dyDescent="0.25">
      <c r="A2421" s="133"/>
      <c r="G2421" s="134"/>
      <c r="I2421" s="133"/>
      <c r="N2421" s="133"/>
      <c r="O2421" s="134"/>
    </row>
    <row r="2422" spans="1:16" x14ac:dyDescent="0.25">
      <c r="A2422" s="133"/>
      <c r="G2422" s="134"/>
      <c r="I2422" s="133"/>
      <c r="N2422" s="133"/>
      <c r="O2422" s="134"/>
    </row>
    <row r="2423" spans="1:16" x14ac:dyDescent="0.25">
      <c r="A2423" s="133"/>
      <c r="G2423" s="134"/>
      <c r="I2423" s="133"/>
      <c r="N2423" s="133"/>
      <c r="O2423" s="134"/>
    </row>
    <row r="2424" spans="1:16" s="140" customFormat="1" ht="12.75" customHeight="1" x14ac:dyDescent="0.25">
      <c r="A2424" s="138" t="s">
        <v>3</v>
      </c>
      <c r="B2424" s="138" t="s">
        <v>5457</v>
      </c>
      <c r="C2424" s="2450" t="s">
        <v>114</v>
      </c>
      <c r="D2424" s="2450"/>
      <c r="E2424" s="2450"/>
      <c r="F2424" s="138" t="s">
        <v>867</v>
      </c>
      <c r="G2424" s="139" t="s">
        <v>5402</v>
      </c>
      <c r="H2424" s="134"/>
      <c r="I2424" s="138" t="s">
        <v>3</v>
      </c>
      <c r="J2424" s="138" t="s">
        <v>5457</v>
      </c>
      <c r="K2424" s="2450" t="s">
        <v>6396</v>
      </c>
      <c r="L2424" s="2450"/>
      <c r="M2424" s="2450"/>
      <c r="N2424" s="138" t="s">
        <v>867</v>
      </c>
      <c r="O2424" s="139" t="s">
        <v>5402</v>
      </c>
      <c r="P2424" s="134"/>
    </row>
    <row r="2425" spans="1:16" s="140" customFormat="1" ht="12.75" customHeight="1" x14ac:dyDescent="0.25">
      <c r="A2425" s="141"/>
      <c r="F2425" s="141"/>
      <c r="G2425" s="134"/>
      <c r="H2425" s="134"/>
      <c r="I2425" s="141"/>
      <c r="N2425" s="141"/>
      <c r="O2425" s="134"/>
      <c r="P2425" s="134"/>
    </row>
    <row r="2426" spans="1:16" s="140" customFormat="1" ht="12.75" customHeight="1" x14ac:dyDescent="0.25">
      <c r="A2426" s="141"/>
      <c r="F2426" s="141"/>
      <c r="G2426" s="142"/>
      <c r="H2426" s="134"/>
      <c r="I2426" s="141"/>
      <c r="N2426" s="141"/>
      <c r="O2426" s="142"/>
      <c r="P2426" s="134"/>
    </row>
    <row r="2427" spans="1:16" s="140" customFormat="1" ht="13.5" thickBot="1" x14ac:dyDescent="0.3">
      <c r="A2427" s="141"/>
      <c r="F2427" s="141"/>
      <c r="G2427" s="134"/>
      <c r="H2427" s="134"/>
      <c r="I2427" s="141"/>
      <c r="N2427" s="141"/>
      <c r="O2427" s="134"/>
      <c r="P2427" s="134"/>
    </row>
    <row r="2428" spans="1:16" s="140" customFormat="1" ht="13.5" thickBot="1" x14ac:dyDescent="0.3">
      <c r="A2428" s="141"/>
      <c r="B2428" s="143" t="s">
        <v>5403</v>
      </c>
      <c r="C2428" s="144" t="s">
        <v>867</v>
      </c>
      <c r="D2428" s="144" t="s">
        <v>6</v>
      </c>
      <c r="E2428" s="144" t="s">
        <v>5404</v>
      </c>
      <c r="F2428" s="144" t="s">
        <v>5405</v>
      </c>
      <c r="G2428" s="145" t="s">
        <v>868</v>
      </c>
      <c r="H2428" s="134"/>
      <c r="I2428" s="141"/>
      <c r="J2428" s="143" t="s">
        <v>5403</v>
      </c>
      <c r="K2428" s="144" t="s">
        <v>867</v>
      </c>
      <c r="L2428" s="144" t="s">
        <v>6</v>
      </c>
      <c r="M2428" s="144" t="s">
        <v>5404</v>
      </c>
      <c r="N2428" s="144" t="s">
        <v>5405</v>
      </c>
      <c r="O2428" s="145" t="s">
        <v>868</v>
      </c>
      <c r="P2428" s="134"/>
    </row>
    <row r="2429" spans="1:16" s="140" customFormat="1" x14ac:dyDescent="0.25">
      <c r="A2429" s="141"/>
      <c r="B2429" s="146" t="s">
        <v>5440</v>
      </c>
      <c r="C2429" s="147" t="s">
        <v>5406</v>
      </c>
      <c r="D2429" s="147"/>
      <c r="E2429" s="148">
        <f>+H2468</f>
        <v>29020.333333333332</v>
      </c>
      <c r="F2429" s="167">
        <v>0.2</v>
      </c>
      <c r="G2429" s="360">
        <f>+E2429*F2429</f>
        <v>5804.0666666666666</v>
      </c>
      <c r="H2429" s="134"/>
      <c r="I2429" s="141"/>
      <c r="J2429" s="146" t="s">
        <v>5440</v>
      </c>
      <c r="K2429" s="147" t="s">
        <v>5406</v>
      </c>
      <c r="L2429" s="147"/>
      <c r="M2429" s="148">
        <f>+P2468</f>
        <v>21398.333333333336</v>
      </c>
      <c r="N2429" s="167">
        <v>0.2</v>
      </c>
      <c r="O2429" s="360">
        <f>+M2429*N2429</f>
        <v>4279.666666666667</v>
      </c>
      <c r="P2429" s="134"/>
    </row>
    <row r="2430" spans="1:16" s="140" customFormat="1" x14ac:dyDescent="0.25">
      <c r="A2430" s="141"/>
      <c r="B2430" s="154" t="s">
        <v>5686</v>
      </c>
      <c r="C2430" s="151" t="s">
        <v>5666</v>
      </c>
      <c r="D2430" s="205">
        <v>1</v>
      </c>
      <c r="E2430" s="366">
        <v>120000</v>
      </c>
      <c r="F2430" s="205">
        <v>10</v>
      </c>
      <c r="G2430" s="360">
        <f>+D2430*E2430/F2430</f>
        <v>12000</v>
      </c>
      <c r="H2430" s="134"/>
      <c r="I2430" s="141"/>
      <c r="J2430" s="154" t="s">
        <v>6398</v>
      </c>
      <c r="K2430" s="151" t="s">
        <v>5666</v>
      </c>
      <c r="L2430" s="205">
        <v>1</v>
      </c>
      <c r="M2430" s="366">
        <v>180000</v>
      </c>
      <c r="N2430" s="205">
        <v>5</v>
      </c>
      <c r="O2430" s="360">
        <f>+L2430*M2430/N2430</f>
        <v>36000</v>
      </c>
      <c r="P2430" s="134"/>
    </row>
    <row r="2431" spans="1:16" s="140" customFormat="1" x14ac:dyDescent="0.25">
      <c r="A2431" s="141"/>
      <c r="B2431" s="154" t="s">
        <v>5647</v>
      </c>
      <c r="C2431" s="151" t="s">
        <v>5407</v>
      </c>
      <c r="D2431" s="151"/>
      <c r="E2431" s="366">
        <v>65000</v>
      </c>
      <c r="F2431" s="205">
        <v>5</v>
      </c>
      <c r="G2431" s="360">
        <f>+E2431/F2431</f>
        <v>13000</v>
      </c>
      <c r="H2431" s="134"/>
      <c r="I2431" s="141"/>
      <c r="J2431" s="154" t="s">
        <v>6399</v>
      </c>
      <c r="K2431" s="151"/>
      <c r="L2431" s="205"/>
      <c r="M2431" s="366"/>
      <c r="N2431" s="205"/>
      <c r="O2431" s="360">
        <v>2500</v>
      </c>
      <c r="P2431" s="134"/>
    </row>
    <row r="2432" spans="1:16" s="140" customFormat="1" x14ac:dyDescent="0.25">
      <c r="A2432" s="141"/>
      <c r="B2432" s="155"/>
      <c r="C2432" s="151"/>
      <c r="D2432" s="152"/>
      <c r="E2432" s="152"/>
      <c r="F2432" s="151"/>
      <c r="G2432" s="156"/>
      <c r="H2432" s="134"/>
      <c r="I2432" s="141"/>
      <c r="J2432" s="154"/>
      <c r="K2432" s="151"/>
      <c r="L2432" s="205"/>
      <c r="M2432" s="366"/>
      <c r="N2432" s="205"/>
      <c r="O2432" s="360"/>
      <c r="P2432" s="134"/>
    </row>
    <row r="2433" spans="1:16" s="140" customFormat="1" x14ac:dyDescent="0.25">
      <c r="A2433" s="141"/>
      <c r="B2433" s="155"/>
      <c r="C2433" s="151"/>
      <c r="D2433" s="152"/>
      <c r="E2433" s="152"/>
      <c r="F2433" s="151"/>
      <c r="G2433" s="156"/>
      <c r="H2433" s="134"/>
      <c r="I2433" s="141"/>
      <c r="J2433" s="155"/>
      <c r="K2433" s="151"/>
      <c r="L2433" s="152"/>
      <c r="M2433" s="152"/>
      <c r="N2433" s="151"/>
      <c r="O2433" s="156"/>
      <c r="P2433" s="134"/>
    </row>
    <row r="2434" spans="1:16" s="140" customFormat="1" ht="13.5" thickBot="1" x14ac:dyDescent="0.3">
      <c r="A2434" s="141"/>
      <c r="B2434" s="155"/>
      <c r="C2434" s="151"/>
      <c r="D2434" s="152"/>
      <c r="E2434" s="152"/>
      <c r="F2434" s="151"/>
      <c r="G2434" s="156"/>
      <c r="H2434" s="134"/>
      <c r="I2434" s="141"/>
      <c r="J2434" s="155"/>
      <c r="K2434" s="151"/>
      <c r="L2434" s="152"/>
      <c r="M2434" s="152"/>
      <c r="N2434" s="151"/>
      <c r="O2434" s="156"/>
      <c r="P2434" s="134"/>
    </row>
    <row r="2435" spans="1:16" s="140" customFormat="1" ht="13.5" thickBot="1" x14ac:dyDescent="0.3">
      <c r="A2435" s="141"/>
      <c r="B2435" s="157"/>
      <c r="C2435" s="158"/>
      <c r="D2435" s="159"/>
      <c r="E2435" s="159"/>
      <c r="F2435" s="158"/>
      <c r="G2435" s="160"/>
      <c r="H2435" s="161">
        <f>+SUM(G2429:G2435)</f>
        <v>30804.066666666666</v>
      </c>
      <c r="I2435" s="141"/>
      <c r="J2435" s="157"/>
      <c r="K2435" s="158"/>
      <c r="L2435" s="159"/>
      <c r="M2435" s="159"/>
      <c r="N2435" s="158"/>
      <c r="O2435" s="160"/>
      <c r="P2435" s="161">
        <f>+SUM(O2429:O2435)</f>
        <v>42779.666666666664</v>
      </c>
    </row>
    <row r="2436" spans="1:16" s="140" customFormat="1" ht="13.5" thickBot="1" x14ac:dyDescent="0.3">
      <c r="A2436" s="141"/>
      <c r="B2436" s="162"/>
      <c r="C2436" s="163"/>
      <c r="D2436" s="162"/>
      <c r="E2436" s="162"/>
      <c r="F2436" s="163"/>
      <c r="G2436" s="164"/>
      <c r="H2436" s="165"/>
      <c r="I2436" s="141"/>
      <c r="J2436" s="162"/>
      <c r="K2436" s="163"/>
      <c r="L2436" s="162"/>
      <c r="M2436" s="162"/>
      <c r="N2436" s="163"/>
      <c r="O2436" s="164"/>
      <c r="P2436" s="165"/>
    </row>
    <row r="2437" spans="1:16" s="140" customFormat="1" ht="13.5" thickBot="1" x14ac:dyDescent="0.3">
      <c r="B2437" s="143" t="s">
        <v>5408</v>
      </c>
      <c r="C2437" s="144" t="s">
        <v>867</v>
      </c>
      <c r="D2437" s="144" t="s">
        <v>6</v>
      </c>
      <c r="E2437" s="144" t="s">
        <v>870</v>
      </c>
      <c r="F2437" s="144" t="s">
        <v>5409</v>
      </c>
      <c r="G2437" s="145" t="s">
        <v>868</v>
      </c>
      <c r="H2437" s="134"/>
      <c r="J2437" s="143" t="s">
        <v>5408</v>
      </c>
      <c r="K2437" s="144" t="s">
        <v>867</v>
      </c>
      <c r="L2437" s="144" t="s">
        <v>6</v>
      </c>
      <c r="M2437" s="144" t="s">
        <v>870</v>
      </c>
      <c r="N2437" s="144" t="s">
        <v>5409</v>
      </c>
      <c r="O2437" s="145" t="s">
        <v>868</v>
      </c>
      <c r="P2437" s="134"/>
    </row>
    <row r="2438" spans="1:16" s="140" customFormat="1" x14ac:dyDescent="0.25">
      <c r="B2438" s="201"/>
      <c r="C2438" s="147"/>
      <c r="D2438" s="301"/>
      <c r="E2438" s="148"/>
      <c r="F2438" s="169"/>
      <c r="G2438" s="367"/>
      <c r="H2438" s="134"/>
      <c r="J2438" s="295" t="s">
        <v>5553</v>
      </c>
      <c r="K2438" s="202" t="s">
        <v>5488</v>
      </c>
      <c r="L2438" s="226">
        <v>20</v>
      </c>
      <c r="M2438" s="332">
        <v>20</v>
      </c>
      <c r="N2438" s="169">
        <v>0.05</v>
      </c>
      <c r="O2438" s="178">
        <f>+L2438*M2438*(1+N2438)</f>
        <v>420</v>
      </c>
      <c r="P2438" s="134"/>
    </row>
    <row r="2439" spans="1:16" s="140" customFormat="1" x14ac:dyDescent="0.25">
      <c r="B2439" s="196"/>
      <c r="C2439" s="151"/>
      <c r="D2439" s="151"/>
      <c r="E2439" s="148"/>
      <c r="F2439" s="169"/>
      <c r="G2439" s="354"/>
      <c r="H2439" s="134"/>
      <c r="J2439" s="450" t="s">
        <v>6392</v>
      </c>
      <c r="K2439" s="202" t="s">
        <v>5475</v>
      </c>
      <c r="L2439" s="202"/>
      <c r="M2439" s="228"/>
      <c r="N2439" s="169"/>
      <c r="O2439" s="178">
        <v>300</v>
      </c>
      <c r="P2439" s="134"/>
    </row>
    <row r="2440" spans="1:16" s="140" customFormat="1" x14ac:dyDescent="0.25">
      <c r="B2440" s="196"/>
      <c r="C2440" s="151"/>
      <c r="D2440" s="151"/>
      <c r="E2440" s="148"/>
      <c r="F2440" s="169"/>
      <c r="G2440" s="367"/>
      <c r="H2440" s="134"/>
      <c r="J2440" s="196"/>
      <c r="K2440" s="151"/>
      <c r="L2440" s="151"/>
      <c r="M2440" s="148"/>
      <c r="N2440" s="169"/>
      <c r="O2440" s="367"/>
      <c r="P2440" s="134"/>
    </row>
    <row r="2441" spans="1:16" s="140" customFormat="1" x14ac:dyDescent="0.25">
      <c r="B2441" s="155"/>
      <c r="C2441" s="151"/>
      <c r="D2441" s="151"/>
      <c r="E2441" s="148"/>
      <c r="F2441" s="151"/>
      <c r="G2441" s="367"/>
      <c r="H2441" s="134"/>
      <c r="J2441" s="155"/>
      <c r="K2441" s="151"/>
      <c r="L2441" s="151"/>
      <c r="M2441" s="148"/>
      <c r="N2441" s="151"/>
      <c r="O2441" s="367"/>
      <c r="P2441" s="134"/>
    </row>
    <row r="2442" spans="1:16" s="140" customFormat="1" x14ac:dyDescent="0.25">
      <c r="B2442" s="155"/>
      <c r="C2442" s="151"/>
      <c r="D2442" s="151"/>
      <c r="E2442" s="148"/>
      <c r="F2442" s="151"/>
      <c r="G2442" s="367"/>
      <c r="H2442" s="134"/>
      <c r="J2442" s="155"/>
      <c r="K2442" s="151"/>
      <c r="L2442" s="151"/>
      <c r="M2442" s="148"/>
      <c r="N2442" s="151"/>
      <c r="O2442" s="367"/>
      <c r="P2442" s="134"/>
    </row>
    <row r="2443" spans="1:16" s="140" customFormat="1" x14ac:dyDescent="0.25">
      <c r="B2443" s="155"/>
      <c r="C2443" s="151"/>
      <c r="D2443" s="151"/>
      <c r="E2443" s="148"/>
      <c r="F2443" s="151"/>
      <c r="G2443" s="367"/>
      <c r="H2443" s="134"/>
      <c r="J2443" s="155"/>
      <c r="K2443" s="151"/>
      <c r="L2443" s="151"/>
      <c r="M2443" s="148"/>
      <c r="N2443" s="151"/>
      <c r="O2443" s="367"/>
      <c r="P2443" s="134"/>
    </row>
    <row r="2444" spans="1:16" s="140" customFormat="1" x14ac:dyDescent="0.25">
      <c r="B2444" s="155"/>
      <c r="C2444" s="151"/>
      <c r="D2444" s="151"/>
      <c r="E2444" s="148"/>
      <c r="F2444" s="151"/>
      <c r="G2444" s="367"/>
      <c r="H2444" s="134"/>
      <c r="J2444" s="155"/>
      <c r="K2444" s="151"/>
      <c r="L2444" s="151"/>
      <c r="M2444" s="148"/>
      <c r="N2444" s="151"/>
      <c r="O2444" s="367"/>
      <c r="P2444" s="134"/>
    </row>
    <row r="2445" spans="1:16" s="140" customFormat="1" x14ac:dyDescent="0.25">
      <c r="B2445" s="155"/>
      <c r="C2445" s="151"/>
      <c r="D2445" s="151"/>
      <c r="E2445" s="148"/>
      <c r="F2445" s="151"/>
      <c r="G2445" s="367"/>
      <c r="H2445" s="134"/>
      <c r="J2445" s="155"/>
      <c r="K2445" s="151"/>
      <c r="L2445" s="151"/>
      <c r="M2445" s="148"/>
      <c r="N2445" s="151"/>
      <c r="O2445" s="367"/>
      <c r="P2445" s="134"/>
    </row>
    <row r="2446" spans="1:16" s="140" customFormat="1" x14ac:dyDescent="0.25">
      <c r="B2446" s="155"/>
      <c r="C2446" s="151"/>
      <c r="D2446" s="151"/>
      <c r="E2446" s="148"/>
      <c r="F2446" s="151"/>
      <c r="G2446" s="367"/>
      <c r="H2446" s="134"/>
      <c r="J2446" s="155"/>
      <c r="K2446" s="151"/>
      <c r="L2446" s="151"/>
      <c r="M2446" s="148"/>
      <c r="N2446" s="151"/>
      <c r="O2446" s="367"/>
      <c r="P2446" s="134"/>
    </row>
    <row r="2447" spans="1:16" s="140" customFormat="1" x14ac:dyDescent="0.25">
      <c r="B2447" s="155"/>
      <c r="C2447" s="151"/>
      <c r="D2447" s="151"/>
      <c r="E2447" s="148"/>
      <c r="F2447" s="151"/>
      <c r="G2447" s="367"/>
      <c r="H2447" s="134"/>
      <c r="J2447" s="155"/>
      <c r="K2447" s="151"/>
      <c r="L2447" s="151"/>
      <c r="M2447" s="148"/>
      <c r="N2447" s="151"/>
      <c r="O2447" s="367"/>
      <c r="P2447" s="134"/>
    </row>
    <row r="2448" spans="1:16" s="140" customFormat="1" x14ac:dyDescent="0.25">
      <c r="B2448" s="155"/>
      <c r="C2448" s="152"/>
      <c r="D2448" s="152"/>
      <c r="E2448" s="152"/>
      <c r="F2448" s="151"/>
      <c r="G2448" s="156"/>
      <c r="H2448" s="134"/>
      <c r="J2448" s="155"/>
      <c r="K2448" s="152"/>
      <c r="L2448" s="152"/>
      <c r="M2448" s="152"/>
      <c r="N2448" s="151"/>
      <c r="O2448" s="156"/>
      <c r="P2448" s="134"/>
    </row>
    <row r="2449" spans="2:16" s="140" customFormat="1" ht="13.5" thickBot="1" x14ac:dyDescent="0.3">
      <c r="B2449" s="155"/>
      <c r="C2449" s="152"/>
      <c r="D2449" s="152"/>
      <c r="E2449" s="152"/>
      <c r="F2449" s="151"/>
      <c r="G2449" s="156"/>
      <c r="H2449" s="134"/>
      <c r="J2449" s="155"/>
      <c r="K2449" s="152"/>
      <c r="L2449" s="152"/>
      <c r="M2449" s="152"/>
      <c r="N2449" s="151"/>
      <c r="O2449" s="156"/>
      <c r="P2449" s="134"/>
    </row>
    <row r="2450" spans="2:16" s="140" customFormat="1" ht="13.5" thickBot="1" x14ac:dyDescent="0.3">
      <c r="B2450" s="157"/>
      <c r="C2450" s="159"/>
      <c r="D2450" s="159"/>
      <c r="E2450" s="159"/>
      <c r="F2450" s="158"/>
      <c r="G2450" s="160"/>
      <c r="H2450" s="161">
        <f>+SUM(G2438:G2450)</f>
        <v>0</v>
      </c>
      <c r="J2450" s="157"/>
      <c r="K2450" s="159"/>
      <c r="L2450" s="159"/>
      <c r="M2450" s="159"/>
      <c r="N2450" s="158"/>
      <c r="O2450" s="160"/>
      <c r="P2450" s="161">
        <f>+SUM(O2438:O2450)</f>
        <v>720</v>
      </c>
    </row>
    <row r="2451" spans="2:16" s="140" customFormat="1" ht="13.5" thickBot="1" x14ac:dyDescent="0.3">
      <c r="B2451" s="162"/>
      <c r="C2451" s="162"/>
      <c r="D2451" s="162"/>
      <c r="E2451" s="162"/>
      <c r="F2451" s="163"/>
      <c r="G2451" s="164"/>
      <c r="H2451" s="165"/>
      <c r="J2451" s="162"/>
      <c r="K2451" s="162"/>
      <c r="L2451" s="162"/>
      <c r="M2451" s="162"/>
      <c r="N2451" s="163"/>
      <c r="O2451" s="164"/>
      <c r="P2451" s="165"/>
    </row>
    <row r="2452" spans="2:16" s="140" customFormat="1" ht="13.5" thickBot="1" x14ac:dyDescent="0.3">
      <c r="B2452" s="143" t="s">
        <v>5410</v>
      </c>
      <c r="C2452" s="144" t="s">
        <v>867</v>
      </c>
      <c r="D2452" s="144" t="s">
        <v>6</v>
      </c>
      <c r="E2452" s="144" t="s">
        <v>870</v>
      </c>
      <c r="F2452" s="144" t="s">
        <v>5411</v>
      </c>
      <c r="G2452" s="145" t="s">
        <v>868</v>
      </c>
      <c r="H2452" s="134"/>
      <c r="J2452" s="143" t="s">
        <v>5410</v>
      </c>
      <c r="K2452" s="144" t="s">
        <v>867</v>
      </c>
      <c r="L2452" s="144" t="s">
        <v>6</v>
      </c>
      <c r="M2452" s="144" t="s">
        <v>870</v>
      </c>
      <c r="N2452" s="144" t="s">
        <v>5411</v>
      </c>
      <c r="O2452" s="145" t="s">
        <v>868</v>
      </c>
      <c r="P2452" s="134"/>
    </row>
    <row r="2453" spans="2:16" s="140" customFormat="1" x14ac:dyDescent="0.25">
      <c r="B2453" s="201"/>
      <c r="C2453" s="147"/>
      <c r="D2453" s="167"/>
      <c r="E2453" s="148"/>
      <c r="F2453" s="169"/>
      <c r="G2453" s="367">
        <f>+D2453*E2453*(1+F2453)</f>
        <v>0</v>
      </c>
      <c r="H2453" s="134"/>
      <c r="J2453" s="201"/>
      <c r="K2453" s="147"/>
      <c r="L2453" s="167"/>
      <c r="M2453" s="148"/>
      <c r="N2453" s="169"/>
      <c r="O2453" s="367">
        <f>+L2453*M2453*(1+N2453)</f>
        <v>0</v>
      </c>
      <c r="P2453" s="134"/>
    </row>
    <row r="2454" spans="2:16" s="140" customFormat="1" x14ac:dyDescent="0.25">
      <c r="B2454" s="196"/>
      <c r="C2454" s="151"/>
      <c r="D2454" s="151"/>
      <c r="E2454" s="148"/>
      <c r="F2454" s="147"/>
      <c r="G2454" s="367"/>
      <c r="H2454" s="134"/>
      <c r="J2454" s="196"/>
      <c r="K2454" s="151"/>
      <c r="L2454" s="151"/>
      <c r="M2454" s="148"/>
      <c r="N2454" s="147"/>
      <c r="O2454" s="367"/>
      <c r="P2454" s="134"/>
    </row>
    <row r="2455" spans="2:16" s="140" customFormat="1" x14ac:dyDescent="0.25">
      <c r="B2455" s="196"/>
      <c r="C2455" s="151"/>
      <c r="D2455" s="151"/>
      <c r="E2455" s="148"/>
      <c r="F2455" s="151"/>
      <c r="G2455" s="367"/>
      <c r="H2455" s="134"/>
      <c r="J2455" s="196"/>
      <c r="K2455" s="151"/>
      <c r="L2455" s="151"/>
      <c r="M2455" s="148"/>
      <c r="N2455" s="151"/>
      <c r="O2455" s="367"/>
      <c r="P2455" s="134"/>
    </row>
    <row r="2456" spans="2:16" s="140" customFormat="1" x14ac:dyDescent="0.25">
      <c r="B2456" s="155"/>
      <c r="C2456" s="151"/>
      <c r="D2456" s="151"/>
      <c r="E2456" s="148"/>
      <c r="F2456" s="151"/>
      <c r="G2456" s="367"/>
      <c r="H2456" s="134"/>
      <c r="J2456" s="155"/>
      <c r="K2456" s="151"/>
      <c r="L2456" s="151"/>
      <c r="M2456" s="148"/>
      <c r="N2456" s="151"/>
      <c r="O2456" s="367"/>
      <c r="P2456" s="134"/>
    </row>
    <row r="2457" spans="2:16" s="140" customFormat="1" x14ac:dyDescent="0.25">
      <c r="B2457" s="155"/>
      <c r="C2457" s="151"/>
      <c r="D2457" s="151"/>
      <c r="E2457" s="148"/>
      <c r="F2457" s="151"/>
      <c r="G2457" s="367"/>
      <c r="H2457" s="134"/>
      <c r="J2457" s="155"/>
      <c r="K2457" s="151"/>
      <c r="L2457" s="151"/>
      <c r="M2457" s="148"/>
      <c r="N2457" s="151"/>
      <c r="O2457" s="367"/>
      <c r="P2457" s="134"/>
    </row>
    <row r="2458" spans="2:16" s="140" customFormat="1" ht="13.5" thickBot="1" x14ac:dyDescent="0.3">
      <c r="B2458" s="155"/>
      <c r="C2458" s="151"/>
      <c r="D2458" s="151"/>
      <c r="E2458" s="148"/>
      <c r="F2458" s="151"/>
      <c r="G2458" s="367"/>
      <c r="H2458" s="134"/>
      <c r="J2458" s="155"/>
      <c r="K2458" s="151"/>
      <c r="L2458" s="151"/>
      <c r="M2458" s="148"/>
      <c r="N2458" s="151"/>
      <c r="O2458" s="367"/>
      <c r="P2458" s="134"/>
    </row>
    <row r="2459" spans="2:16" s="140" customFormat="1" ht="13.5" thickBot="1" x14ac:dyDescent="0.3">
      <c r="B2459" s="157"/>
      <c r="C2459" s="159"/>
      <c r="D2459" s="159"/>
      <c r="E2459" s="159"/>
      <c r="F2459" s="158"/>
      <c r="G2459" s="160"/>
      <c r="H2459" s="161">
        <f>+SUM(G2453:G2459)</f>
        <v>0</v>
      </c>
      <c r="J2459" s="157"/>
      <c r="K2459" s="159"/>
      <c r="L2459" s="159"/>
      <c r="M2459" s="159"/>
      <c r="N2459" s="158"/>
      <c r="O2459" s="160"/>
      <c r="P2459" s="161">
        <f>+SUM(O2453:O2459)</f>
        <v>0</v>
      </c>
    </row>
    <row r="2460" spans="2:16" s="140" customFormat="1" ht="13.5" thickBot="1" x14ac:dyDescent="0.3">
      <c r="B2460" s="162"/>
      <c r="C2460" s="162"/>
      <c r="D2460" s="162"/>
      <c r="E2460" s="162"/>
      <c r="F2460" s="173"/>
      <c r="G2460" s="174"/>
      <c r="H2460" s="165"/>
      <c r="J2460" s="162"/>
      <c r="K2460" s="162"/>
      <c r="L2460" s="162"/>
      <c r="M2460" s="162"/>
      <c r="N2460" s="173"/>
      <c r="O2460" s="174"/>
      <c r="P2460" s="165"/>
    </row>
    <row r="2461" spans="2:16" s="140" customFormat="1" ht="13.5" thickBot="1" x14ac:dyDescent="0.3">
      <c r="B2461" s="143" t="s">
        <v>5412</v>
      </c>
      <c r="C2461" s="144" t="s">
        <v>5420</v>
      </c>
      <c r="D2461" s="144" t="s">
        <v>5421</v>
      </c>
      <c r="E2461" s="144" t="s">
        <v>5413</v>
      </c>
      <c r="F2461" s="144" t="s">
        <v>5405</v>
      </c>
      <c r="G2461" s="145" t="s">
        <v>868</v>
      </c>
      <c r="H2461" s="134"/>
      <c r="J2461" s="143" t="s">
        <v>5412</v>
      </c>
      <c r="K2461" s="144" t="s">
        <v>5420</v>
      </c>
      <c r="L2461" s="144" t="s">
        <v>5421</v>
      </c>
      <c r="M2461" s="144" t="s">
        <v>5413</v>
      </c>
      <c r="N2461" s="144" t="s">
        <v>5405</v>
      </c>
      <c r="O2461" s="145" t="s">
        <v>868</v>
      </c>
      <c r="P2461" s="134"/>
    </row>
    <row r="2462" spans="2:16" s="140" customFormat="1" x14ac:dyDescent="0.25">
      <c r="B2462" s="194" t="s">
        <v>5650</v>
      </c>
      <c r="C2462" s="345">
        <v>70000</v>
      </c>
      <c r="D2462" s="345">
        <f>+C2462*0.85</f>
        <v>59500</v>
      </c>
      <c r="E2462" s="353">
        <f>+C2462+D2462</f>
        <v>129500</v>
      </c>
      <c r="F2462" s="202">
        <v>100</v>
      </c>
      <c r="G2462" s="351">
        <f>+E2462/F2462</f>
        <v>1295</v>
      </c>
      <c r="H2462" s="134"/>
      <c r="J2462" s="194" t="s">
        <v>5650</v>
      </c>
      <c r="K2462" s="345">
        <v>70000</v>
      </c>
      <c r="L2462" s="345">
        <f>+K2462*0.85</f>
        <v>59500</v>
      </c>
      <c r="M2462" s="353">
        <f>+K2462+L2462</f>
        <v>129500</v>
      </c>
      <c r="N2462" s="202">
        <v>100</v>
      </c>
      <c r="O2462" s="351">
        <f>+M2462/N2462</f>
        <v>1295</v>
      </c>
      <c r="P2462" s="134"/>
    </row>
    <row r="2463" spans="2:16" s="140" customFormat="1" x14ac:dyDescent="0.25">
      <c r="B2463" s="194" t="s">
        <v>5651</v>
      </c>
      <c r="C2463" s="345">
        <v>40000</v>
      </c>
      <c r="D2463" s="345">
        <f>+C2463*0.85</f>
        <v>34000</v>
      </c>
      <c r="E2463" s="353">
        <f>+C2463+D2463</f>
        <v>74000</v>
      </c>
      <c r="F2463" s="204">
        <v>10</v>
      </c>
      <c r="G2463" s="351">
        <f>+E2463/F2463</f>
        <v>7400</v>
      </c>
      <c r="H2463" s="134"/>
      <c r="J2463" s="194" t="s">
        <v>5651</v>
      </c>
      <c r="K2463" s="345">
        <v>40000</v>
      </c>
      <c r="L2463" s="345">
        <f>+K2463*0.85</f>
        <v>34000</v>
      </c>
      <c r="M2463" s="353">
        <f>+K2463+L2463</f>
        <v>74000</v>
      </c>
      <c r="N2463" s="204">
        <v>10</v>
      </c>
      <c r="O2463" s="351">
        <f>+M2463/N2463</f>
        <v>7400</v>
      </c>
      <c r="P2463" s="134"/>
    </row>
    <row r="2464" spans="2:16" s="140" customFormat="1" x14ac:dyDescent="0.25">
      <c r="B2464" s="195" t="s">
        <v>5635</v>
      </c>
      <c r="C2464" s="345">
        <v>20600</v>
      </c>
      <c r="D2464" s="345">
        <f>+C2464*0.85</f>
        <v>17510</v>
      </c>
      <c r="E2464" s="353">
        <f>+C2464+D2464</f>
        <v>38110</v>
      </c>
      <c r="F2464" s="205">
        <v>2</v>
      </c>
      <c r="G2464" s="351">
        <f>+E2464/F2464</f>
        <v>19055</v>
      </c>
      <c r="H2464" s="134"/>
      <c r="J2464" s="195" t="s">
        <v>5635</v>
      </c>
      <c r="K2464" s="345">
        <v>20600</v>
      </c>
      <c r="L2464" s="345">
        <f>+K2464*0.85</f>
        <v>17510</v>
      </c>
      <c r="M2464" s="353">
        <f>+K2464+L2464</f>
        <v>38110</v>
      </c>
      <c r="N2464" s="205">
        <v>3</v>
      </c>
      <c r="O2464" s="351">
        <f>+M2464/N2464</f>
        <v>12703.333333333334</v>
      </c>
      <c r="P2464" s="134"/>
    </row>
    <row r="2465" spans="1:16" s="140" customFormat="1" x14ac:dyDescent="0.25">
      <c r="B2465" s="155" t="s">
        <v>5648</v>
      </c>
      <c r="C2465" s="345">
        <v>20600</v>
      </c>
      <c r="D2465" s="345">
        <f>+C2465*0.85</f>
        <v>17510</v>
      </c>
      <c r="E2465" s="353">
        <f>+C2465+D2465</f>
        <v>38110</v>
      </c>
      <c r="F2465" s="205">
        <v>30</v>
      </c>
      <c r="G2465" s="351">
        <f>+E2465/F2465</f>
        <v>1270.3333333333333</v>
      </c>
      <c r="H2465" s="134"/>
      <c r="J2465" s="155"/>
      <c r="K2465" s="345"/>
      <c r="L2465" s="345"/>
      <c r="M2465" s="353"/>
      <c r="N2465" s="205"/>
      <c r="O2465" s="351"/>
      <c r="P2465" s="134"/>
    </row>
    <row r="2466" spans="1:16" s="140" customFormat="1" x14ac:dyDescent="0.25">
      <c r="B2466" s="155"/>
      <c r="C2466" s="345"/>
      <c r="D2466" s="345"/>
      <c r="E2466" s="353"/>
      <c r="F2466" s="205"/>
      <c r="G2466" s="351"/>
      <c r="H2466" s="134"/>
      <c r="J2466" s="155"/>
      <c r="K2466" s="345"/>
      <c r="L2466" s="345"/>
      <c r="M2466" s="353"/>
      <c r="N2466" s="205"/>
      <c r="O2466" s="351"/>
      <c r="P2466" s="134"/>
    </row>
    <row r="2467" spans="1:16" s="140" customFormat="1" ht="13.5" thickBot="1" x14ac:dyDescent="0.3">
      <c r="B2467" s="155"/>
      <c r="C2467" s="152"/>
      <c r="D2467" s="152"/>
      <c r="E2467" s="152"/>
      <c r="F2467" s="151"/>
      <c r="G2467" s="156"/>
      <c r="H2467" s="134"/>
      <c r="J2467" s="155"/>
      <c r="K2467" s="152"/>
      <c r="L2467" s="152"/>
      <c r="M2467" s="152"/>
      <c r="N2467" s="151"/>
      <c r="O2467" s="156"/>
      <c r="P2467" s="134"/>
    </row>
    <row r="2468" spans="1:16" s="140" customFormat="1" ht="13.5" thickBot="1" x14ac:dyDescent="0.3">
      <c r="B2468" s="179"/>
      <c r="C2468" s="180"/>
      <c r="D2468" s="180"/>
      <c r="E2468" s="180"/>
      <c r="F2468" s="181"/>
      <c r="G2468" s="182"/>
      <c r="H2468" s="161">
        <f>+SUM(G2462:G2468)</f>
        <v>29020.333333333332</v>
      </c>
      <c r="J2468" s="179"/>
      <c r="K2468" s="180"/>
      <c r="L2468" s="180"/>
      <c r="M2468" s="180"/>
      <c r="N2468" s="181"/>
      <c r="O2468" s="182"/>
      <c r="P2468" s="161">
        <f>+SUM(O2462:O2468)</f>
        <v>21398.333333333336</v>
      </c>
    </row>
    <row r="2469" spans="1:16" s="140" customFormat="1" ht="13.5" thickBot="1" x14ac:dyDescent="0.3">
      <c r="F2469" s="141"/>
      <c r="G2469" s="134"/>
      <c r="H2469" s="134"/>
      <c r="N2469" s="141"/>
      <c r="O2469" s="134"/>
      <c r="P2469" s="134"/>
    </row>
    <row r="2470" spans="1:16" s="140" customFormat="1" ht="13.5" thickBot="1" x14ac:dyDescent="0.3">
      <c r="E2470" s="183" t="s">
        <v>5415</v>
      </c>
      <c r="F2470" s="141"/>
      <c r="G2470" s="134"/>
      <c r="H2470" s="161">
        <f>ROUND(+H2435+H2450+H2459+H2468,0)</f>
        <v>59824</v>
      </c>
      <c r="M2470" s="183" t="s">
        <v>5415</v>
      </c>
      <c r="N2470" s="141"/>
      <c r="O2470" s="134"/>
      <c r="P2470" s="161">
        <f>ROUND(+P2435+P2450+P2459+P2468,0)</f>
        <v>64898</v>
      </c>
    </row>
    <row r="2475" spans="1:16" ht="18.75" x14ac:dyDescent="0.25">
      <c r="A2475" s="133"/>
      <c r="B2475" s="2506" t="s">
        <v>5400</v>
      </c>
      <c r="C2475" s="2506"/>
      <c r="D2475" s="2506"/>
      <c r="E2475" s="2506"/>
      <c r="F2475" s="2506"/>
      <c r="G2475" s="2506"/>
    </row>
    <row r="2476" spans="1:16" x14ac:dyDescent="0.25">
      <c r="A2476" s="133"/>
      <c r="G2476" s="134"/>
    </row>
    <row r="2477" spans="1:16" x14ac:dyDescent="0.25">
      <c r="A2477" s="133"/>
      <c r="G2477" s="134"/>
    </row>
    <row r="2478" spans="1:16" x14ac:dyDescent="0.25">
      <c r="A2478" s="133"/>
      <c r="G2478" s="134"/>
    </row>
    <row r="2479" spans="1:16" s="140" customFormat="1" x14ac:dyDescent="0.25">
      <c r="A2479" s="138" t="s">
        <v>3</v>
      </c>
      <c r="B2479" s="138" t="s">
        <v>136</v>
      </c>
      <c r="C2479" s="2450" t="s">
        <v>137</v>
      </c>
      <c r="D2479" s="2450"/>
      <c r="E2479" s="2450"/>
      <c r="F2479" s="138" t="s">
        <v>867</v>
      </c>
      <c r="G2479" s="139" t="s">
        <v>5418</v>
      </c>
      <c r="H2479" s="134"/>
    </row>
    <row r="2480" spans="1:16" s="140" customFormat="1" ht="12.75" customHeight="1" x14ac:dyDescent="0.25">
      <c r="A2480" s="141"/>
      <c r="F2480" s="141"/>
      <c r="G2480" s="134"/>
      <c r="H2480" s="134"/>
    </row>
    <row r="2481" spans="1:11" s="140" customFormat="1" ht="12.75" customHeight="1" x14ac:dyDescent="0.25">
      <c r="A2481" s="141"/>
      <c r="F2481" s="141"/>
      <c r="G2481" s="142"/>
      <c r="H2481" s="134"/>
    </row>
    <row r="2482" spans="1:11" s="140" customFormat="1" ht="13.5" thickBot="1" x14ac:dyDescent="0.3">
      <c r="A2482" s="141"/>
      <c r="F2482" s="141"/>
      <c r="G2482" s="134"/>
      <c r="H2482" s="134"/>
    </row>
    <row r="2483" spans="1:11" s="140" customFormat="1" ht="13.5" thickBot="1" x14ac:dyDescent="0.3">
      <c r="A2483" s="141"/>
      <c r="B2483" s="143" t="s">
        <v>5403</v>
      </c>
      <c r="C2483" s="144" t="s">
        <v>867</v>
      </c>
      <c r="D2483" s="144" t="s">
        <v>6</v>
      </c>
      <c r="E2483" s="144" t="s">
        <v>5404</v>
      </c>
      <c r="F2483" s="144" t="s">
        <v>5405</v>
      </c>
      <c r="G2483" s="145" t="s">
        <v>868</v>
      </c>
      <c r="H2483" s="134"/>
    </row>
    <row r="2484" spans="1:11" s="140" customFormat="1" x14ac:dyDescent="0.25">
      <c r="A2484" s="141"/>
      <c r="B2484" s="146" t="s">
        <v>5440</v>
      </c>
      <c r="C2484" s="147" t="s">
        <v>5406</v>
      </c>
      <c r="D2484" s="147"/>
      <c r="E2484" s="148">
        <f>+H2523</f>
        <v>6302.333333333333</v>
      </c>
      <c r="F2484" s="167">
        <v>0.1</v>
      </c>
      <c r="G2484" s="360">
        <f>+E2484*F2484</f>
        <v>630.23333333333335</v>
      </c>
      <c r="H2484" s="134"/>
    </row>
    <row r="2485" spans="1:11" s="140" customFormat="1" x14ac:dyDescent="0.25">
      <c r="A2485" s="141"/>
      <c r="B2485" s="150"/>
      <c r="C2485" s="151"/>
      <c r="D2485" s="151"/>
      <c r="E2485" s="366"/>
      <c r="F2485" s="208"/>
      <c r="G2485" s="360"/>
      <c r="H2485" s="134"/>
    </row>
    <row r="2486" spans="1:11" s="140" customFormat="1" x14ac:dyDescent="0.25">
      <c r="A2486" s="141"/>
      <c r="B2486" s="154"/>
      <c r="C2486" s="151"/>
      <c r="D2486" s="151"/>
      <c r="E2486" s="366"/>
      <c r="F2486" s="151"/>
      <c r="G2486" s="360"/>
      <c r="H2486" s="134"/>
    </row>
    <row r="2487" spans="1:11" s="140" customFormat="1" x14ac:dyDescent="0.25">
      <c r="A2487" s="141"/>
      <c r="B2487" s="155"/>
      <c r="C2487" s="151"/>
      <c r="D2487" s="152"/>
      <c r="E2487" s="152"/>
      <c r="F2487" s="151"/>
      <c r="G2487" s="156"/>
      <c r="H2487" s="134"/>
    </row>
    <row r="2488" spans="1:11" s="140" customFormat="1" x14ac:dyDescent="0.25">
      <c r="A2488" s="141"/>
      <c r="B2488" s="155"/>
      <c r="C2488" s="151"/>
      <c r="D2488" s="152"/>
      <c r="E2488" s="152"/>
      <c r="F2488" s="151"/>
      <c r="G2488" s="156"/>
      <c r="H2488" s="134"/>
    </row>
    <row r="2489" spans="1:11" s="140" customFormat="1" ht="13.5" thickBot="1" x14ac:dyDescent="0.3">
      <c r="A2489" s="141"/>
      <c r="B2489" s="155"/>
      <c r="C2489" s="151"/>
      <c r="D2489" s="152"/>
      <c r="E2489" s="152"/>
      <c r="F2489" s="151"/>
      <c r="G2489" s="156"/>
      <c r="H2489" s="134"/>
    </row>
    <row r="2490" spans="1:11" s="140" customFormat="1" ht="13.5" thickBot="1" x14ac:dyDescent="0.3">
      <c r="A2490" s="141"/>
      <c r="B2490" s="157"/>
      <c r="C2490" s="158"/>
      <c r="D2490" s="159"/>
      <c r="E2490" s="159"/>
      <c r="F2490" s="158"/>
      <c r="G2490" s="160"/>
      <c r="H2490" s="161">
        <f>+SUM(G2484:G2490)</f>
        <v>630.23333333333335</v>
      </c>
    </row>
    <row r="2491" spans="1:11" s="140" customFormat="1" ht="13.5" thickBot="1" x14ac:dyDescent="0.3">
      <c r="A2491" s="141"/>
      <c r="B2491" s="162"/>
      <c r="C2491" s="163"/>
      <c r="D2491" s="162"/>
      <c r="E2491" s="162"/>
      <c r="F2491" s="163"/>
      <c r="G2491" s="164"/>
      <c r="H2491" s="165"/>
    </row>
    <row r="2492" spans="1:11" s="140" customFormat="1" ht="13.5" thickBot="1" x14ac:dyDescent="0.3">
      <c r="B2492" s="143" t="s">
        <v>5408</v>
      </c>
      <c r="C2492" s="144" t="s">
        <v>867</v>
      </c>
      <c r="D2492" s="144" t="s">
        <v>6</v>
      </c>
      <c r="E2492" s="144" t="s">
        <v>870</v>
      </c>
      <c r="F2492" s="144" t="s">
        <v>5409</v>
      </c>
      <c r="G2492" s="145" t="s">
        <v>868</v>
      </c>
      <c r="H2492" s="134"/>
    </row>
    <row r="2493" spans="1:11" s="140" customFormat="1" x14ac:dyDescent="0.25">
      <c r="B2493" s="201" t="s">
        <v>5687</v>
      </c>
      <c r="C2493" s="147" t="s">
        <v>14</v>
      </c>
      <c r="D2493" s="167">
        <v>0.4</v>
      </c>
      <c r="E2493" s="366">
        <v>9440</v>
      </c>
      <c r="F2493" s="169">
        <v>0.05</v>
      </c>
      <c r="G2493" s="367">
        <f>+D2493*E2493*(1+F2493)</f>
        <v>3964.8</v>
      </c>
      <c r="H2493" s="134"/>
      <c r="J2493" s="529"/>
      <c r="K2493" s="529"/>
    </row>
    <row r="2494" spans="1:11" s="140" customFormat="1" x14ac:dyDescent="0.25">
      <c r="B2494" s="196" t="s">
        <v>5689</v>
      </c>
      <c r="C2494" s="151" t="s">
        <v>5432</v>
      </c>
      <c r="D2494" s="197">
        <v>0.2</v>
      </c>
      <c r="E2494" s="366">
        <v>12500</v>
      </c>
      <c r="F2494" s="169">
        <v>0.05</v>
      </c>
      <c r="G2494" s="367">
        <f>+D2494*E2494*(1+F2494)</f>
        <v>2625</v>
      </c>
      <c r="H2494" s="134"/>
      <c r="J2494" s="529"/>
      <c r="K2494" s="529"/>
    </row>
    <row r="2495" spans="1:11" s="140" customFormat="1" x14ac:dyDescent="0.25">
      <c r="B2495" s="196"/>
      <c r="C2495" s="151"/>
      <c r="D2495" s="151"/>
      <c r="E2495" s="148"/>
      <c r="F2495" s="169"/>
      <c r="G2495" s="367"/>
      <c r="H2495" s="134"/>
      <c r="J2495" s="529"/>
      <c r="K2495" s="529"/>
    </row>
    <row r="2496" spans="1:11" s="140" customFormat="1" x14ac:dyDescent="0.25">
      <c r="B2496" s="155"/>
      <c r="C2496" s="151"/>
      <c r="D2496" s="151"/>
      <c r="E2496" s="148"/>
      <c r="F2496" s="151"/>
      <c r="G2496" s="367"/>
      <c r="H2496" s="134"/>
      <c r="J2496" s="529"/>
      <c r="K2496" s="529"/>
    </row>
    <row r="2497" spans="2:11" s="140" customFormat="1" x14ac:dyDescent="0.25">
      <c r="B2497" s="155"/>
      <c r="C2497" s="151"/>
      <c r="D2497" s="151"/>
      <c r="E2497" s="148"/>
      <c r="F2497" s="151"/>
      <c r="G2497" s="367"/>
      <c r="H2497" s="134"/>
      <c r="J2497" s="529"/>
      <c r="K2497" s="529"/>
    </row>
    <row r="2498" spans="2:11" s="140" customFormat="1" x14ac:dyDescent="0.25">
      <c r="B2498" s="155"/>
      <c r="C2498" s="151"/>
      <c r="D2498" s="151"/>
      <c r="E2498" s="148"/>
      <c r="F2498" s="151"/>
      <c r="G2498" s="367"/>
      <c r="H2498" s="134"/>
      <c r="J2498" s="529"/>
      <c r="K2498" s="529"/>
    </row>
    <row r="2499" spans="2:11" s="140" customFormat="1" x14ac:dyDescent="0.25">
      <c r="B2499" s="155" t="s">
        <v>6273</v>
      </c>
      <c r="C2499" s="151"/>
      <c r="D2499" s="151"/>
      <c r="E2499" s="148"/>
      <c r="F2499" s="151"/>
      <c r="G2499" s="367"/>
      <c r="H2499" s="134"/>
      <c r="K2499" s="529"/>
    </row>
    <row r="2500" spans="2:11" s="140" customFormat="1" x14ac:dyDescent="0.25">
      <c r="B2500" s="155"/>
      <c r="C2500" s="151"/>
      <c r="D2500" s="151"/>
      <c r="E2500" s="148"/>
      <c r="F2500" s="151"/>
      <c r="G2500" s="367"/>
      <c r="H2500" s="134"/>
      <c r="K2500" s="529"/>
    </row>
    <row r="2501" spans="2:11" s="140" customFormat="1" x14ac:dyDescent="0.25">
      <c r="B2501" s="155"/>
      <c r="C2501" s="151"/>
      <c r="D2501" s="151"/>
      <c r="E2501" s="148"/>
      <c r="F2501" s="151"/>
      <c r="G2501" s="367"/>
      <c r="H2501" s="134"/>
      <c r="K2501" s="529"/>
    </row>
    <row r="2502" spans="2:11" s="140" customFormat="1" x14ac:dyDescent="0.25">
      <c r="B2502" s="155"/>
      <c r="C2502" s="151"/>
      <c r="D2502" s="151"/>
      <c r="E2502" s="148"/>
      <c r="F2502" s="151"/>
      <c r="G2502" s="367"/>
      <c r="H2502" s="134"/>
      <c r="K2502" s="529"/>
    </row>
    <row r="2503" spans="2:11" s="140" customFormat="1" x14ac:dyDescent="0.25">
      <c r="B2503" s="155"/>
      <c r="C2503" s="152"/>
      <c r="D2503" s="152"/>
      <c r="E2503" s="152"/>
      <c r="F2503" s="151"/>
      <c r="G2503" s="156"/>
      <c r="H2503" s="134"/>
      <c r="K2503" s="529"/>
    </row>
    <row r="2504" spans="2:11" s="140" customFormat="1" ht="13.5" thickBot="1" x14ac:dyDescent="0.3">
      <c r="B2504" s="155"/>
      <c r="C2504" s="152"/>
      <c r="D2504" s="152"/>
      <c r="E2504" s="152"/>
      <c r="F2504" s="151"/>
      <c r="G2504" s="156"/>
      <c r="H2504" s="134"/>
      <c r="K2504" s="529"/>
    </row>
    <row r="2505" spans="2:11" s="140" customFormat="1" ht="13.5" thickBot="1" x14ac:dyDescent="0.3">
      <c r="B2505" s="157"/>
      <c r="C2505" s="159"/>
      <c r="D2505" s="159"/>
      <c r="E2505" s="159"/>
      <c r="F2505" s="158"/>
      <c r="G2505" s="160"/>
      <c r="H2505" s="161">
        <f>+SUM(G2493:G2505)</f>
        <v>6589.8</v>
      </c>
      <c r="K2505" s="529"/>
    </row>
    <row r="2506" spans="2:11" s="140" customFormat="1" ht="13.5" thickBot="1" x14ac:dyDescent="0.3">
      <c r="B2506" s="162"/>
      <c r="C2506" s="162"/>
      <c r="D2506" s="162"/>
      <c r="E2506" s="162"/>
      <c r="F2506" s="163"/>
      <c r="G2506" s="164"/>
      <c r="H2506" s="165"/>
      <c r="K2506" s="529"/>
    </row>
    <row r="2507" spans="2:11" s="140" customFormat="1" ht="13.5" thickBot="1" x14ac:dyDescent="0.3">
      <c r="B2507" s="143" t="s">
        <v>5410</v>
      </c>
      <c r="C2507" s="144" t="s">
        <v>867</v>
      </c>
      <c r="D2507" s="144" t="s">
        <v>6</v>
      </c>
      <c r="E2507" s="144" t="s">
        <v>870</v>
      </c>
      <c r="F2507" s="144" t="s">
        <v>5411</v>
      </c>
      <c r="G2507" s="145" t="s">
        <v>868</v>
      </c>
      <c r="H2507" s="134"/>
      <c r="K2507" s="529"/>
    </row>
    <row r="2508" spans="2:11" s="140" customFormat="1" x14ac:dyDescent="0.25">
      <c r="B2508" s="201"/>
      <c r="C2508" s="147"/>
      <c r="D2508" s="167"/>
      <c r="E2508" s="148"/>
      <c r="F2508" s="169"/>
      <c r="G2508" s="367">
        <f>+D2508*E2508*(1+F2508)</f>
        <v>0</v>
      </c>
      <c r="H2508" s="134"/>
      <c r="K2508" s="529"/>
    </row>
    <row r="2509" spans="2:11" s="140" customFormat="1" x14ac:dyDescent="0.25">
      <c r="B2509" s="196"/>
      <c r="C2509" s="151"/>
      <c r="D2509" s="151"/>
      <c r="E2509" s="148"/>
      <c r="F2509" s="147"/>
      <c r="G2509" s="367"/>
      <c r="H2509" s="134"/>
      <c r="K2509" s="529"/>
    </row>
    <row r="2510" spans="2:11" s="140" customFormat="1" x14ac:dyDescent="0.25">
      <c r="B2510" s="196"/>
      <c r="C2510" s="151"/>
      <c r="D2510" s="151"/>
      <c r="E2510" s="148"/>
      <c r="F2510" s="151"/>
      <c r="G2510" s="367"/>
      <c r="H2510" s="134"/>
    </row>
    <row r="2511" spans="2:11" s="140" customFormat="1" x14ac:dyDescent="0.25">
      <c r="B2511" s="155"/>
      <c r="C2511" s="151"/>
      <c r="D2511" s="151"/>
      <c r="E2511" s="148"/>
      <c r="F2511" s="151"/>
      <c r="G2511" s="367"/>
      <c r="H2511" s="134"/>
    </row>
    <row r="2512" spans="2:11" s="140" customFormat="1" x14ac:dyDescent="0.25">
      <c r="B2512" s="155"/>
      <c r="C2512" s="151"/>
      <c r="D2512" s="151"/>
      <c r="E2512" s="148"/>
      <c r="F2512" s="151"/>
      <c r="G2512" s="367"/>
      <c r="H2512" s="134"/>
    </row>
    <row r="2513" spans="2:8" s="140" customFormat="1" ht="13.5" thickBot="1" x14ac:dyDescent="0.3">
      <c r="B2513" s="155"/>
      <c r="C2513" s="151"/>
      <c r="D2513" s="151"/>
      <c r="E2513" s="148"/>
      <c r="F2513" s="151"/>
      <c r="G2513" s="367"/>
      <c r="H2513" s="134"/>
    </row>
    <row r="2514" spans="2:8" s="140" customFormat="1" ht="13.5" thickBot="1" x14ac:dyDescent="0.3">
      <c r="B2514" s="157"/>
      <c r="C2514" s="159"/>
      <c r="D2514" s="159"/>
      <c r="E2514" s="159"/>
      <c r="F2514" s="158"/>
      <c r="G2514" s="160"/>
      <c r="H2514" s="161">
        <f>+SUM(G2508:G2514)</f>
        <v>0</v>
      </c>
    </row>
    <row r="2515" spans="2:8" s="140" customFormat="1" ht="13.5" thickBot="1" x14ac:dyDescent="0.3">
      <c r="B2515" s="162"/>
      <c r="C2515" s="162"/>
      <c r="D2515" s="162"/>
      <c r="E2515" s="162"/>
      <c r="F2515" s="173"/>
      <c r="G2515" s="174"/>
      <c r="H2515" s="165"/>
    </row>
    <row r="2516" spans="2:8" s="140" customFormat="1" ht="13.5" thickBot="1" x14ac:dyDescent="0.3">
      <c r="B2516" s="143" t="s">
        <v>5412</v>
      </c>
      <c r="C2516" s="144" t="s">
        <v>5420</v>
      </c>
      <c r="D2516" s="144" t="s">
        <v>5421</v>
      </c>
      <c r="E2516" s="144" t="s">
        <v>5413</v>
      </c>
      <c r="F2516" s="144" t="s">
        <v>5405</v>
      </c>
      <c r="G2516" s="145" t="s">
        <v>868</v>
      </c>
      <c r="H2516" s="134"/>
    </row>
    <row r="2517" spans="2:8" s="140" customFormat="1" x14ac:dyDescent="0.25">
      <c r="B2517" s="194" t="s">
        <v>5650</v>
      </c>
      <c r="C2517" s="345">
        <v>70000</v>
      </c>
      <c r="D2517" s="345">
        <f>+C2517*0.85</f>
        <v>59500</v>
      </c>
      <c r="E2517" s="353">
        <f>+C2517+D2517</f>
        <v>129500</v>
      </c>
      <c r="F2517" s="202">
        <v>100</v>
      </c>
      <c r="G2517" s="351">
        <f>+E2517/F2517</f>
        <v>1295</v>
      </c>
      <c r="H2517" s="134"/>
    </row>
    <row r="2518" spans="2:8" s="140" customFormat="1" x14ac:dyDescent="0.25">
      <c r="B2518" s="194" t="s">
        <v>5651</v>
      </c>
      <c r="C2518" s="345">
        <v>40000</v>
      </c>
      <c r="D2518" s="345">
        <f>+C2518*0.85</f>
        <v>34000</v>
      </c>
      <c r="E2518" s="353">
        <f>+C2518+D2518</f>
        <v>74000</v>
      </c>
      <c r="F2518" s="204">
        <v>30</v>
      </c>
      <c r="G2518" s="351">
        <f>+E2518/F2518</f>
        <v>2466.6666666666665</v>
      </c>
      <c r="H2518" s="134"/>
    </row>
    <row r="2519" spans="2:8" s="140" customFormat="1" x14ac:dyDescent="0.25">
      <c r="B2519" s="195" t="s">
        <v>5635</v>
      </c>
      <c r="C2519" s="345">
        <v>20600</v>
      </c>
      <c r="D2519" s="345">
        <f>+C2519*0.85</f>
        <v>17510</v>
      </c>
      <c r="E2519" s="353">
        <f>+C2519+D2519</f>
        <v>38110</v>
      </c>
      <c r="F2519" s="205">
        <v>15</v>
      </c>
      <c r="G2519" s="351">
        <f>+E2519/F2519</f>
        <v>2540.6666666666665</v>
      </c>
      <c r="H2519" s="134"/>
    </row>
    <row r="2520" spans="2:8" s="140" customFormat="1" x14ac:dyDescent="0.25">
      <c r="B2520" s="155"/>
      <c r="C2520" s="345"/>
      <c r="D2520" s="152"/>
      <c r="E2520" s="152"/>
      <c r="F2520" s="151"/>
      <c r="G2520" s="156"/>
      <c r="H2520" s="134"/>
    </row>
    <row r="2521" spans="2:8" s="140" customFormat="1" x14ac:dyDescent="0.25">
      <c r="B2521" s="155"/>
      <c r="C2521" s="152"/>
      <c r="D2521" s="152"/>
      <c r="E2521" s="152"/>
      <c r="F2521" s="151"/>
      <c r="G2521" s="156"/>
      <c r="H2521" s="134"/>
    </row>
    <row r="2522" spans="2:8" s="140" customFormat="1" ht="13.5" thickBot="1" x14ac:dyDescent="0.3">
      <c r="B2522" s="155"/>
      <c r="C2522" s="152"/>
      <c r="D2522" s="152"/>
      <c r="E2522" s="152"/>
      <c r="F2522" s="151"/>
      <c r="G2522" s="156"/>
      <c r="H2522" s="134"/>
    </row>
    <row r="2523" spans="2:8" s="140" customFormat="1" ht="13.5" thickBot="1" x14ac:dyDescent="0.3">
      <c r="B2523" s="179"/>
      <c r="C2523" s="180"/>
      <c r="D2523" s="180"/>
      <c r="E2523" s="180"/>
      <c r="F2523" s="181"/>
      <c r="G2523" s="182"/>
      <c r="H2523" s="161">
        <f>+SUM(G2517:G2523)</f>
        <v>6302.333333333333</v>
      </c>
    </row>
    <row r="2524" spans="2:8" s="140" customFormat="1" ht="13.5" thickBot="1" x14ac:dyDescent="0.3">
      <c r="F2524" s="141"/>
      <c r="G2524" s="134"/>
      <c r="H2524" s="134"/>
    </row>
    <row r="2525" spans="2:8" s="140" customFormat="1" ht="13.5" thickBot="1" x14ac:dyDescent="0.3">
      <c r="E2525" s="183" t="s">
        <v>5415</v>
      </c>
      <c r="F2525" s="141"/>
      <c r="G2525" s="134"/>
      <c r="H2525" s="161">
        <f>ROUND(+H2490+H2505+H2514+H2523,0)</f>
        <v>13522</v>
      </c>
    </row>
    <row r="2527" spans="2:8" x14ac:dyDescent="0.25">
      <c r="H2527" s="341"/>
    </row>
    <row r="2530" spans="1:8" ht="18.75" x14ac:dyDescent="0.25">
      <c r="A2530" s="133"/>
      <c r="B2530" s="2506" t="s">
        <v>5400</v>
      </c>
      <c r="C2530" s="2506"/>
      <c r="D2530" s="2506"/>
      <c r="E2530" s="2506"/>
      <c r="F2530" s="2506"/>
      <c r="G2530" s="2506"/>
    </row>
    <row r="2531" spans="1:8" x14ac:dyDescent="0.25">
      <c r="A2531" s="133"/>
      <c r="G2531" s="134"/>
    </row>
    <row r="2532" spans="1:8" x14ac:dyDescent="0.25">
      <c r="A2532" s="133"/>
      <c r="G2532" s="134"/>
    </row>
    <row r="2533" spans="1:8" x14ac:dyDescent="0.25">
      <c r="A2533" s="133"/>
      <c r="G2533" s="134"/>
    </row>
    <row r="2534" spans="1:8" s="140" customFormat="1" x14ac:dyDescent="0.25">
      <c r="A2534" s="138" t="s">
        <v>3</v>
      </c>
      <c r="B2534" s="138" t="s">
        <v>138</v>
      </c>
      <c r="C2534" s="2450" t="s">
        <v>141</v>
      </c>
      <c r="D2534" s="2450"/>
      <c r="E2534" s="2450"/>
      <c r="F2534" s="138" t="s">
        <v>867</v>
      </c>
      <c r="G2534" s="139" t="s">
        <v>5418</v>
      </c>
      <c r="H2534" s="134"/>
    </row>
    <row r="2535" spans="1:8" s="140" customFormat="1" ht="12.75" customHeight="1" x14ac:dyDescent="0.25">
      <c r="A2535" s="141"/>
      <c r="F2535" s="141"/>
      <c r="G2535" s="134"/>
      <c r="H2535" s="134"/>
    </row>
    <row r="2536" spans="1:8" s="140" customFormat="1" ht="12.75" customHeight="1" x14ac:dyDescent="0.25">
      <c r="A2536" s="141"/>
      <c r="F2536" s="141"/>
      <c r="G2536" s="142"/>
      <c r="H2536" s="134"/>
    </row>
    <row r="2537" spans="1:8" s="140" customFormat="1" ht="13.5" thickBot="1" x14ac:dyDescent="0.3">
      <c r="A2537" s="141"/>
      <c r="F2537" s="141"/>
      <c r="G2537" s="134"/>
      <c r="H2537" s="134"/>
    </row>
    <row r="2538" spans="1:8" s="140" customFormat="1" ht="13.5" thickBot="1" x14ac:dyDescent="0.3">
      <c r="A2538" s="141"/>
      <c r="B2538" s="143" t="s">
        <v>5403</v>
      </c>
      <c r="C2538" s="144" t="s">
        <v>867</v>
      </c>
      <c r="D2538" s="144" t="s">
        <v>6</v>
      </c>
      <c r="E2538" s="144" t="s">
        <v>5404</v>
      </c>
      <c r="F2538" s="144" t="s">
        <v>5405</v>
      </c>
      <c r="G2538" s="145" t="s">
        <v>868</v>
      </c>
      <c r="H2538" s="134"/>
    </row>
    <row r="2539" spans="1:8" s="140" customFormat="1" x14ac:dyDescent="0.25">
      <c r="A2539" s="141"/>
      <c r="B2539" s="146" t="s">
        <v>5440</v>
      </c>
      <c r="C2539" s="147" t="s">
        <v>5406</v>
      </c>
      <c r="D2539" s="147"/>
      <c r="E2539" s="148">
        <f>+H2578</f>
        <v>8806</v>
      </c>
      <c r="F2539" s="167">
        <v>0.1</v>
      </c>
      <c r="G2539" s="360">
        <f>+E2539*F2539</f>
        <v>880.6</v>
      </c>
      <c r="H2539" s="134"/>
    </row>
    <row r="2540" spans="1:8" s="140" customFormat="1" x14ac:dyDescent="0.25">
      <c r="A2540" s="141"/>
      <c r="B2540" s="150"/>
      <c r="C2540" s="151"/>
      <c r="D2540" s="151"/>
      <c r="E2540" s="366"/>
      <c r="F2540" s="208"/>
      <c r="G2540" s="360"/>
      <c r="H2540" s="134"/>
    </row>
    <row r="2541" spans="1:8" s="140" customFormat="1" x14ac:dyDescent="0.25">
      <c r="A2541" s="141"/>
      <c r="B2541" s="154"/>
      <c r="C2541" s="151"/>
      <c r="D2541" s="151"/>
      <c r="E2541" s="366"/>
      <c r="F2541" s="151"/>
      <c r="G2541" s="360"/>
      <c r="H2541" s="134"/>
    </row>
    <row r="2542" spans="1:8" s="140" customFormat="1" x14ac:dyDescent="0.25">
      <c r="A2542" s="141"/>
      <c r="B2542" s="155"/>
      <c r="C2542" s="151"/>
      <c r="D2542" s="152"/>
      <c r="E2542" s="152"/>
      <c r="F2542" s="151"/>
      <c r="G2542" s="156"/>
      <c r="H2542" s="134"/>
    </row>
    <row r="2543" spans="1:8" s="140" customFormat="1" x14ac:dyDescent="0.25">
      <c r="A2543" s="141"/>
      <c r="B2543" s="155"/>
      <c r="C2543" s="151"/>
      <c r="D2543" s="152"/>
      <c r="E2543" s="152"/>
      <c r="F2543" s="151"/>
      <c r="G2543" s="156"/>
      <c r="H2543" s="134"/>
    </row>
    <row r="2544" spans="1:8" s="140" customFormat="1" ht="13.5" thickBot="1" x14ac:dyDescent="0.3">
      <c r="A2544" s="141"/>
      <c r="B2544" s="155"/>
      <c r="C2544" s="151"/>
      <c r="D2544" s="152"/>
      <c r="E2544" s="152"/>
      <c r="F2544" s="151"/>
      <c r="G2544" s="156"/>
      <c r="H2544" s="134"/>
    </row>
    <row r="2545" spans="1:8" s="140" customFormat="1" ht="13.5" thickBot="1" x14ac:dyDescent="0.3">
      <c r="A2545" s="141"/>
      <c r="B2545" s="157"/>
      <c r="C2545" s="158"/>
      <c r="D2545" s="159"/>
      <c r="E2545" s="159"/>
      <c r="F2545" s="158"/>
      <c r="G2545" s="160"/>
      <c r="H2545" s="161">
        <f>+SUM(G2539:G2545)</f>
        <v>880.6</v>
      </c>
    </row>
    <row r="2546" spans="1:8" s="140" customFormat="1" ht="13.5" thickBot="1" x14ac:dyDescent="0.3">
      <c r="A2546" s="141"/>
      <c r="B2546" s="162"/>
      <c r="C2546" s="163"/>
      <c r="D2546" s="162"/>
      <c r="E2546" s="162"/>
      <c r="F2546" s="163"/>
      <c r="G2546" s="164"/>
      <c r="H2546" s="165"/>
    </row>
    <row r="2547" spans="1:8" s="140" customFormat="1" ht="13.5" thickBot="1" x14ac:dyDescent="0.3">
      <c r="B2547" s="143" t="s">
        <v>5408</v>
      </c>
      <c r="C2547" s="144" t="s">
        <v>867</v>
      </c>
      <c r="D2547" s="144" t="s">
        <v>6</v>
      </c>
      <c r="E2547" s="144" t="s">
        <v>870</v>
      </c>
      <c r="F2547" s="144" t="s">
        <v>5409</v>
      </c>
      <c r="G2547" s="145" t="s">
        <v>868</v>
      </c>
      <c r="H2547" s="134"/>
    </row>
    <row r="2548" spans="1:8" s="140" customFormat="1" x14ac:dyDescent="0.25">
      <c r="B2548" s="201" t="s">
        <v>6274</v>
      </c>
      <c r="C2548" s="147" t="s">
        <v>17</v>
      </c>
      <c r="D2548" s="167">
        <v>0.1</v>
      </c>
      <c r="E2548" s="366">
        <v>75000</v>
      </c>
      <c r="F2548" s="169">
        <v>0.05</v>
      </c>
      <c r="G2548" s="367">
        <f>+D2548*E2548*(1+F2548)</f>
        <v>7875</v>
      </c>
      <c r="H2548" s="134"/>
    </row>
    <row r="2549" spans="1:8" s="140" customFormat="1" x14ac:dyDescent="0.25">
      <c r="B2549" s="196" t="s">
        <v>5689</v>
      </c>
      <c r="C2549" s="151" t="s">
        <v>5432</v>
      </c>
      <c r="D2549" s="197">
        <v>0.2</v>
      </c>
      <c r="E2549" s="366">
        <v>12500</v>
      </c>
      <c r="F2549" s="169">
        <v>0.05</v>
      </c>
      <c r="G2549" s="367">
        <f>+D2549*E2549*(1+F2549)</f>
        <v>2625</v>
      </c>
      <c r="H2549" s="134"/>
    </row>
    <row r="2550" spans="1:8" s="140" customFormat="1" x14ac:dyDescent="0.25">
      <c r="B2550" s="201" t="s">
        <v>5687</v>
      </c>
      <c r="C2550" s="147" t="s">
        <v>14</v>
      </c>
      <c r="D2550" s="167">
        <v>0.1</v>
      </c>
      <c r="E2550" s="366">
        <v>9440</v>
      </c>
      <c r="F2550" s="169">
        <v>0.05</v>
      </c>
      <c r="G2550" s="367">
        <f>+D2550*E2550*(1+F2550)</f>
        <v>991.2</v>
      </c>
      <c r="H2550" s="134"/>
    </row>
    <row r="2551" spans="1:8" s="140" customFormat="1" x14ac:dyDescent="0.25">
      <c r="B2551" s="196" t="s">
        <v>5688</v>
      </c>
      <c r="C2551" s="151" t="s">
        <v>591</v>
      </c>
      <c r="D2551" s="197">
        <v>0.3</v>
      </c>
      <c r="E2551" s="366">
        <v>2200</v>
      </c>
      <c r="F2551" s="169">
        <v>0.1</v>
      </c>
      <c r="G2551" s="367">
        <f>+D2551*E2551*(1+F2551)</f>
        <v>726.00000000000011</v>
      </c>
      <c r="H2551" s="134"/>
    </row>
    <row r="2552" spans="1:8" s="140" customFormat="1" x14ac:dyDescent="0.25">
      <c r="B2552" s="155"/>
      <c r="C2552" s="151"/>
      <c r="D2552" s="151"/>
      <c r="E2552" s="148"/>
      <c r="F2552" s="151"/>
      <c r="G2552" s="367"/>
      <c r="H2552" s="134"/>
    </row>
    <row r="2553" spans="1:8" s="140" customFormat="1" x14ac:dyDescent="0.25">
      <c r="B2553" s="155"/>
      <c r="C2553" s="151"/>
      <c r="D2553" s="151"/>
      <c r="E2553" s="148"/>
      <c r="F2553" s="151"/>
      <c r="G2553" s="367"/>
      <c r="H2553" s="134"/>
    </row>
    <row r="2554" spans="1:8" s="140" customFormat="1" x14ac:dyDescent="0.25">
      <c r="B2554" s="155" t="s">
        <v>5690</v>
      </c>
      <c r="C2554" s="151"/>
      <c r="D2554" s="151"/>
      <c r="E2554" s="148"/>
      <c r="F2554" s="151"/>
      <c r="G2554" s="367"/>
      <c r="H2554" s="134"/>
    </row>
    <row r="2555" spans="1:8" s="140" customFormat="1" x14ac:dyDescent="0.25">
      <c r="B2555" s="155" t="s">
        <v>5691</v>
      </c>
      <c r="C2555" s="151"/>
      <c r="D2555" s="151"/>
      <c r="E2555" s="148"/>
      <c r="F2555" s="151"/>
      <c r="G2555" s="367"/>
      <c r="H2555" s="134"/>
    </row>
    <row r="2556" spans="1:8" s="140" customFormat="1" x14ac:dyDescent="0.25">
      <c r="B2556" s="155"/>
      <c r="C2556" s="151"/>
      <c r="D2556" s="151"/>
      <c r="E2556" s="148"/>
      <c r="F2556" s="151"/>
      <c r="G2556" s="367"/>
      <c r="H2556" s="134"/>
    </row>
    <row r="2557" spans="1:8" s="140" customFormat="1" x14ac:dyDescent="0.25">
      <c r="B2557" s="155"/>
      <c r="C2557" s="151"/>
      <c r="D2557" s="151"/>
      <c r="E2557" s="148"/>
      <c r="F2557" s="151"/>
      <c r="G2557" s="367"/>
      <c r="H2557" s="134"/>
    </row>
    <row r="2558" spans="1:8" s="140" customFormat="1" x14ac:dyDescent="0.25">
      <c r="B2558" s="155"/>
      <c r="C2558" s="152"/>
      <c r="D2558" s="152"/>
      <c r="E2558" s="152"/>
      <c r="F2558" s="151"/>
      <c r="G2558" s="156"/>
      <c r="H2558" s="134"/>
    </row>
    <row r="2559" spans="1:8" s="140" customFormat="1" ht="13.5" thickBot="1" x14ac:dyDescent="0.3">
      <c r="B2559" s="155"/>
      <c r="C2559" s="152"/>
      <c r="D2559" s="152"/>
      <c r="E2559" s="152"/>
      <c r="F2559" s="151"/>
      <c r="G2559" s="156"/>
      <c r="H2559" s="134"/>
    </row>
    <row r="2560" spans="1:8" s="140" customFormat="1" ht="13.5" thickBot="1" x14ac:dyDescent="0.3">
      <c r="B2560" s="157"/>
      <c r="C2560" s="159"/>
      <c r="D2560" s="159"/>
      <c r="E2560" s="159"/>
      <c r="F2560" s="158"/>
      <c r="G2560" s="160"/>
      <c r="H2560" s="161">
        <f>+SUM(G2548:G2560)</f>
        <v>12217.2</v>
      </c>
    </row>
    <row r="2561" spans="2:8" s="140" customFormat="1" ht="13.5" thickBot="1" x14ac:dyDescent="0.3">
      <c r="B2561" s="162"/>
      <c r="C2561" s="162"/>
      <c r="D2561" s="162"/>
      <c r="E2561" s="162"/>
      <c r="F2561" s="163"/>
      <c r="G2561" s="164"/>
      <c r="H2561" s="165"/>
    </row>
    <row r="2562" spans="2:8" s="140" customFormat="1" ht="13.5" thickBot="1" x14ac:dyDescent="0.3">
      <c r="B2562" s="143" t="s">
        <v>5410</v>
      </c>
      <c r="C2562" s="144" t="s">
        <v>867</v>
      </c>
      <c r="D2562" s="144" t="s">
        <v>6</v>
      </c>
      <c r="E2562" s="144" t="s">
        <v>870</v>
      </c>
      <c r="F2562" s="144" t="s">
        <v>5411</v>
      </c>
      <c r="G2562" s="145" t="s">
        <v>868</v>
      </c>
      <c r="H2562" s="134"/>
    </row>
    <row r="2563" spans="2:8" s="140" customFormat="1" x14ac:dyDescent="0.25">
      <c r="B2563" s="196"/>
      <c r="C2563" s="151"/>
      <c r="D2563" s="197"/>
      <c r="E2563" s="366"/>
      <c r="F2563" s="197"/>
      <c r="G2563" s="367"/>
      <c r="H2563" s="134"/>
    </row>
    <row r="2564" spans="2:8" s="140" customFormat="1" x14ac:dyDescent="0.25">
      <c r="B2564" s="196"/>
      <c r="C2564" s="151"/>
      <c r="D2564" s="151"/>
      <c r="E2564" s="148"/>
      <c r="F2564" s="147"/>
      <c r="G2564" s="367"/>
      <c r="H2564" s="134"/>
    </row>
    <row r="2565" spans="2:8" s="140" customFormat="1" x14ac:dyDescent="0.25">
      <c r="B2565" s="196"/>
      <c r="C2565" s="151"/>
      <c r="D2565" s="151"/>
      <c r="E2565" s="148"/>
      <c r="F2565" s="151"/>
      <c r="G2565" s="367"/>
      <c r="H2565" s="134"/>
    </row>
    <row r="2566" spans="2:8" s="140" customFormat="1" x14ac:dyDescent="0.25">
      <c r="B2566" s="155"/>
      <c r="C2566" s="151"/>
      <c r="D2566" s="151"/>
      <c r="E2566" s="148"/>
      <c r="F2566" s="151"/>
      <c r="G2566" s="367"/>
      <c r="H2566" s="134"/>
    </row>
    <row r="2567" spans="2:8" s="140" customFormat="1" x14ac:dyDescent="0.25">
      <c r="B2567" s="155"/>
      <c r="C2567" s="151"/>
      <c r="D2567" s="151"/>
      <c r="E2567" s="148"/>
      <c r="F2567" s="151"/>
      <c r="G2567" s="367"/>
      <c r="H2567" s="134"/>
    </row>
    <row r="2568" spans="2:8" s="140" customFormat="1" ht="13.5" thickBot="1" x14ac:dyDescent="0.3">
      <c r="B2568" s="155"/>
      <c r="C2568" s="151"/>
      <c r="D2568" s="151"/>
      <c r="E2568" s="148"/>
      <c r="F2568" s="151"/>
      <c r="G2568" s="367"/>
      <c r="H2568" s="134"/>
    </row>
    <row r="2569" spans="2:8" s="140" customFormat="1" ht="13.5" thickBot="1" x14ac:dyDescent="0.3">
      <c r="B2569" s="157"/>
      <c r="C2569" s="159"/>
      <c r="D2569" s="159"/>
      <c r="E2569" s="159"/>
      <c r="F2569" s="158"/>
      <c r="G2569" s="160"/>
      <c r="H2569" s="161">
        <f>+SUM(G2563:G2569)</f>
        <v>0</v>
      </c>
    </row>
    <row r="2570" spans="2:8" s="140" customFormat="1" ht="13.5" thickBot="1" x14ac:dyDescent="0.3">
      <c r="B2570" s="162"/>
      <c r="C2570" s="162"/>
      <c r="D2570" s="162"/>
      <c r="E2570" s="162"/>
      <c r="F2570" s="173"/>
      <c r="G2570" s="174"/>
      <c r="H2570" s="165"/>
    </row>
    <row r="2571" spans="2:8" s="140" customFormat="1" ht="13.5" thickBot="1" x14ac:dyDescent="0.3">
      <c r="B2571" s="143" t="s">
        <v>5412</v>
      </c>
      <c r="C2571" s="144" t="s">
        <v>5420</v>
      </c>
      <c r="D2571" s="144" t="s">
        <v>5421</v>
      </c>
      <c r="E2571" s="144" t="s">
        <v>5413</v>
      </c>
      <c r="F2571" s="144" t="s">
        <v>5405</v>
      </c>
      <c r="G2571" s="145" t="s">
        <v>868</v>
      </c>
      <c r="H2571" s="134"/>
    </row>
    <row r="2572" spans="2:8" s="140" customFormat="1" x14ac:dyDescent="0.25">
      <c r="B2572" s="194" t="s">
        <v>5650</v>
      </c>
      <c r="C2572" s="345">
        <v>70000</v>
      </c>
      <c r="D2572" s="345">
        <f>+C2572*0.85</f>
        <v>59500</v>
      </c>
      <c r="E2572" s="353">
        <f>+C2572+D2572</f>
        <v>129500</v>
      </c>
      <c r="F2572" s="202">
        <v>100</v>
      </c>
      <c r="G2572" s="351">
        <f>+E2572/F2572</f>
        <v>1295</v>
      </c>
      <c r="H2572" s="134"/>
    </row>
    <row r="2573" spans="2:8" s="140" customFormat="1" x14ac:dyDescent="0.25">
      <c r="B2573" s="194" t="s">
        <v>5651</v>
      </c>
      <c r="C2573" s="345">
        <v>40000</v>
      </c>
      <c r="D2573" s="345">
        <f>+C2573*0.85</f>
        <v>34000</v>
      </c>
      <c r="E2573" s="353">
        <f>+C2573+D2573</f>
        <v>74000</v>
      </c>
      <c r="F2573" s="204">
        <v>20</v>
      </c>
      <c r="G2573" s="351">
        <f>+E2573/F2573</f>
        <v>3700</v>
      </c>
      <c r="H2573" s="134"/>
    </row>
    <row r="2574" spans="2:8" s="140" customFormat="1" x14ac:dyDescent="0.25">
      <c r="B2574" s="195" t="s">
        <v>5635</v>
      </c>
      <c r="C2574" s="345">
        <v>20600</v>
      </c>
      <c r="D2574" s="345">
        <f>+C2574*0.85</f>
        <v>17510</v>
      </c>
      <c r="E2574" s="353">
        <f>+C2574+D2574</f>
        <v>38110</v>
      </c>
      <c r="F2574" s="205">
        <v>10</v>
      </c>
      <c r="G2574" s="351">
        <f>+E2574/F2574</f>
        <v>3811</v>
      </c>
      <c r="H2574" s="134"/>
    </row>
    <row r="2575" spans="2:8" s="140" customFormat="1" x14ac:dyDescent="0.25">
      <c r="B2575" s="155"/>
      <c r="C2575" s="345"/>
      <c r="D2575" s="152"/>
      <c r="E2575" s="152"/>
      <c r="F2575" s="151"/>
      <c r="G2575" s="156"/>
      <c r="H2575" s="134"/>
    </row>
    <row r="2576" spans="2:8" s="140" customFormat="1" x14ac:dyDescent="0.25">
      <c r="B2576" s="155"/>
      <c r="C2576" s="152"/>
      <c r="D2576" s="152"/>
      <c r="E2576" s="152"/>
      <c r="F2576" s="151"/>
      <c r="G2576" s="156"/>
      <c r="H2576" s="134"/>
    </row>
    <row r="2577" spans="1:8" s="140" customFormat="1" ht="13.5" thickBot="1" x14ac:dyDescent="0.3">
      <c r="B2577" s="155"/>
      <c r="C2577" s="152"/>
      <c r="D2577" s="152"/>
      <c r="E2577" s="152"/>
      <c r="F2577" s="151"/>
      <c r="G2577" s="156"/>
      <c r="H2577" s="134"/>
    </row>
    <row r="2578" spans="1:8" s="140" customFormat="1" ht="13.5" thickBot="1" x14ac:dyDescent="0.3">
      <c r="B2578" s="179"/>
      <c r="C2578" s="180"/>
      <c r="D2578" s="180"/>
      <c r="E2578" s="180"/>
      <c r="F2578" s="181"/>
      <c r="G2578" s="182"/>
      <c r="H2578" s="161">
        <f>+SUM(G2572:G2578)</f>
        <v>8806</v>
      </c>
    </row>
    <row r="2579" spans="1:8" s="140" customFormat="1" ht="13.5" thickBot="1" x14ac:dyDescent="0.3">
      <c r="F2579" s="141"/>
      <c r="G2579" s="134"/>
      <c r="H2579" s="134"/>
    </row>
    <row r="2580" spans="1:8" s="140" customFormat="1" ht="13.5" thickBot="1" x14ac:dyDescent="0.3">
      <c r="E2580" s="183" t="s">
        <v>5415</v>
      </c>
      <c r="F2580" s="141"/>
      <c r="G2580" s="134"/>
      <c r="H2580" s="161">
        <f>ROUND(+H2545+H2560+H2569+H2578,0)</f>
        <v>21904</v>
      </c>
    </row>
    <row r="2582" spans="1:8" x14ac:dyDescent="0.25">
      <c r="H2582" s="341"/>
    </row>
    <row r="2585" spans="1:8" ht="18.75" x14ac:dyDescent="0.25">
      <c r="A2585" s="133"/>
      <c r="B2585" s="2506" t="s">
        <v>5400</v>
      </c>
      <c r="C2585" s="2506"/>
      <c r="D2585" s="2506"/>
      <c r="E2585" s="2506"/>
      <c r="F2585" s="2506"/>
      <c r="G2585" s="2506"/>
    </row>
    <row r="2586" spans="1:8" x14ac:dyDescent="0.25">
      <c r="A2586" s="133"/>
      <c r="G2586" s="134"/>
    </row>
    <row r="2587" spans="1:8" x14ac:dyDescent="0.25">
      <c r="A2587" s="133"/>
      <c r="G2587" s="134"/>
    </row>
    <row r="2588" spans="1:8" x14ac:dyDescent="0.25">
      <c r="A2588" s="133"/>
      <c r="G2588" s="134"/>
    </row>
    <row r="2589" spans="1:8" s="140" customFormat="1" x14ac:dyDescent="0.25">
      <c r="A2589" s="138" t="s">
        <v>3</v>
      </c>
      <c r="B2589" s="138" t="s">
        <v>139</v>
      </c>
      <c r="C2589" s="2450" t="s">
        <v>5461</v>
      </c>
      <c r="D2589" s="2450"/>
      <c r="E2589" s="2450"/>
      <c r="F2589" s="138" t="s">
        <v>867</v>
      </c>
      <c r="G2589" s="139" t="s">
        <v>5418</v>
      </c>
      <c r="H2589" s="134"/>
    </row>
    <row r="2590" spans="1:8" s="140" customFormat="1" ht="12.75" customHeight="1" x14ac:dyDescent="0.25">
      <c r="A2590" s="141"/>
      <c r="F2590" s="141"/>
      <c r="G2590" s="134"/>
      <c r="H2590" s="134"/>
    </row>
    <row r="2591" spans="1:8" s="140" customFormat="1" ht="12.75" customHeight="1" x14ac:dyDescent="0.25">
      <c r="A2591" s="141"/>
      <c r="F2591" s="141"/>
      <c r="G2591" s="142"/>
      <c r="H2591" s="134"/>
    </row>
    <row r="2592" spans="1:8" s="140" customFormat="1" ht="13.5" thickBot="1" x14ac:dyDescent="0.3">
      <c r="A2592" s="141"/>
      <c r="F2592" s="141"/>
      <c r="G2592" s="134"/>
      <c r="H2592" s="134"/>
    </row>
    <row r="2593" spans="1:8" s="140" customFormat="1" ht="13.5" thickBot="1" x14ac:dyDescent="0.3">
      <c r="A2593" s="141"/>
      <c r="B2593" s="143" t="s">
        <v>5403</v>
      </c>
      <c r="C2593" s="144" t="s">
        <v>867</v>
      </c>
      <c r="D2593" s="144" t="s">
        <v>6</v>
      </c>
      <c r="E2593" s="144" t="s">
        <v>5404</v>
      </c>
      <c r="F2593" s="144" t="s">
        <v>5405</v>
      </c>
      <c r="G2593" s="145" t="s">
        <v>868</v>
      </c>
      <c r="H2593" s="134"/>
    </row>
    <row r="2594" spans="1:8" s="140" customFormat="1" x14ac:dyDescent="0.25">
      <c r="A2594" s="141"/>
      <c r="B2594" s="146" t="s">
        <v>5440</v>
      </c>
      <c r="C2594" s="147" t="s">
        <v>5406</v>
      </c>
      <c r="D2594" s="147"/>
      <c r="E2594" s="148">
        <f>+H2633</f>
        <v>13850.333333333332</v>
      </c>
      <c r="F2594" s="167">
        <v>0.1</v>
      </c>
      <c r="G2594" s="360">
        <f>+E2594*F2594</f>
        <v>1385.0333333333333</v>
      </c>
      <c r="H2594" s="134"/>
    </row>
    <row r="2595" spans="1:8" s="140" customFormat="1" x14ac:dyDescent="0.25">
      <c r="A2595" s="141"/>
      <c r="B2595" s="150"/>
      <c r="C2595" s="151"/>
      <c r="D2595" s="151"/>
      <c r="E2595" s="366"/>
      <c r="F2595" s="208"/>
      <c r="G2595" s="360"/>
      <c r="H2595" s="134"/>
    </row>
    <row r="2596" spans="1:8" s="140" customFormat="1" x14ac:dyDescent="0.25">
      <c r="A2596" s="141"/>
      <c r="B2596" s="154"/>
      <c r="C2596" s="151"/>
      <c r="D2596" s="151"/>
      <c r="E2596" s="366"/>
      <c r="F2596" s="151"/>
      <c r="G2596" s="360"/>
      <c r="H2596" s="134"/>
    </row>
    <row r="2597" spans="1:8" s="140" customFormat="1" x14ac:dyDescent="0.25">
      <c r="A2597" s="141"/>
      <c r="B2597" s="155"/>
      <c r="C2597" s="151"/>
      <c r="D2597" s="152"/>
      <c r="E2597" s="152"/>
      <c r="F2597" s="151"/>
      <c r="G2597" s="156"/>
      <c r="H2597" s="134"/>
    </row>
    <row r="2598" spans="1:8" s="140" customFormat="1" x14ac:dyDescent="0.25">
      <c r="A2598" s="141"/>
      <c r="B2598" s="155"/>
      <c r="C2598" s="151"/>
      <c r="D2598" s="152"/>
      <c r="E2598" s="152"/>
      <c r="F2598" s="151"/>
      <c r="G2598" s="156"/>
      <c r="H2598" s="134"/>
    </row>
    <row r="2599" spans="1:8" s="140" customFormat="1" ht="13.5" thickBot="1" x14ac:dyDescent="0.3">
      <c r="A2599" s="141"/>
      <c r="B2599" s="155"/>
      <c r="C2599" s="151"/>
      <c r="D2599" s="152"/>
      <c r="E2599" s="152"/>
      <c r="F2599" s="151"/>
      <c r="G2599" s="156"/>
      <c r="H2599" s="134"/>
    </row>
    <row r="2600" spans="1:8" s="140" customFormat="1" ht="13.5" thickBot="1" x14ac:dyDescent="0.3">
      <c r="A2600" s="141"/>
      <c r="B2600" s="157"/>
      <c r="C2600" s="158"/>
      <c r="D2600" s="159"/>
      <c r="E2600" s="159"/>
      <c r="F2600" s="158"/>
      <c r="G2600" s="160"/>
      <c r="H2600" s="161">
        <f>+SUM(G2594:G2600)</f>
        <v>1385.0333333333333</v>
      </c>
    </row>
    <row r="2601" spans="1:8" s="140" customFormat="1" ht="13.5" thickBot="1" x14ac:dyDescent="0.3">
      <c r="A2601" s="141"/>
      <c r="B2601" s="162"/>
      <c r="C2601" s="163"/>
      <c r="D2601" s="162"/>
      <c r="E2601" s="162"/>
      <c r="F2601" s="163"/>
      <c r="G2601" s="164"/>
      <c r="H2601" s="165"/>
    </row>
    <row r="2602" spans="1:8" s="140" customFormat="1" ht="13.5" thickBot="1" x14ac:dyDescent="0.3">
      <c r="B2602" s="143" t="s">
        <v>5408</v>
      </c>
      <c r="C2602" s="144" t="s">
        <v>867</v>
      </c>
      <c r="D2602" s="144" t="s">
        <v>6</v>
      </c>
      <c r="E2602" s="144" t="s">
        <v>870</v>
      </c>
      <c r="F2602" s="144" t="s">
        <v>5409</v>
      </c>
      <c r="G2602" s="145" t="s">
        <v>868</v>
      </c>
      <c r="H2602" s="134"/>
    </row>
    <row r="2603" spans="1:8" s="140" customFormat="1" x14ac:dyDescent="0.25">
      <c r="B2603" s="201" t="s">
        <v>6274</v>
      </c>
      <c r="C2603" s="147" t="s">
        <v>17</v>
      </c>
      <c r="D2603" s="167">
        <v>0.1</v>
      </c>
      <c r="E2603" s="366">
        <v>75000</v>
      </c>
      <c r="F2603" s="169">
        <v>0.05</v>
      </c>
      <c r="G2603" s="367">
        <f>+D2603*E2603*(1+F2603)</f>
        <v>7875</v>
      </c>
      <c r="H2603" s="134"/>
    </row>
    <row r="2604" spans="1:8" s="140" customFormat="1" x14ac:dyDescent="0.25">
      <c r="B2604" s="196" t="s">
        <v>5689</v>
      </c>
      <c r="C2604" s="151" t="s">
        <v>5432</v>
      </c>
      <c r="D2604" s="197">
        <v>0.2</v>
      </c>
      <c r="E2604" s="366">
        <v>12500</v>
      </c>
      <c r="F2604" s="169">
        <v>0.05</v>
      </c>
      <c r="G2604" s="367">
        <f>+D2604*E2604*(1+F2604)</f>
        <v>2625</v>
      </c>
      <c r="H2604" s="134"/>
    </row>
    <row r="2605" spans="1:8" s="140" customFormat="1" x14ac:dyDescent="0.25">
      <c r="B2605" s="201" t="s">
        <v>5687</v>
      </c>
      <c r="C2605" s="147" t="s">
        <v>14</v>
      </c>
      <c r="D2605" s="167">
        <v>0.2</v>
      </c>
      <c r="E2605" s="366">
        <v>9440</v>
      </c>
      <c r="F2605" s="169">
        <v>0.05</v>
      </c>
      <c r="G2605" s="367">
        <f>+D2605*E2605*(1+F2605)</f>
        <v>1982.4</v>
      </c>
      <c r="H2605" s="134"/>
    </row>
    <row r="2606" spans="1:8" s="140" customFormat="1" x14ac:dyDescent="0.25">
      <c r="B2606" s="196" t="s">
        <v>5688</v>
      </c>
      <c r="C2606" s="151" t="s">
        <v>591</v>
      </c>
      <c r="D2606" s="197">
        <v>0.3</v>
      </c>
      <c r="E2606" s="366">
        <v>2200</v>
      </c>
      <c r="F2606" s="169">
        <v>0.1</v>
      </c>
      <c r="G2606" s="367">
        <f>+D2606*E2606*(1+F2606)</f>
        <v>726.00000000000011</v>
      </c>
      <c r="H2606" s="134"/>
    </row>
    <row r="2607" spans="1:8" s="140" customFormat="1" x14ac:dyDescent="0.25">
      <c r="B2607" s="155"/>
      <c r="C2607" s="151"/>
      <c r="D2607" s="151"/>
      <c r="E2607" s="148"/>
      <c r="F2607" s="151"/>
      <c r="G2607" s="367"/>
      <c r="H2607" s="134"/>
    </row>
    <row r="2608" spans="1:8" s="140" customFormat="1" x14ac:dyDescent="0.25">
      <c r="B2608" s="155"/>
      <c r="C2608" s="151"/>
      <c r="D2608" s="151"/>
      <c r="E2608" s="148"/>
      <c r="F2608" s="151"/>
      <c r="G2608" s="367"/>
      <c r="H2608" s="134"/>
    </row>
    <row r="2609" spans="2:8" s="140" customFormat="1" x14ac:dyDescent="0.25">
      <c r="B2609" s="155" t="s">
        <v>5690</v>
      </c>
      <c r="C2609" s="151"/>
      <c r="D2609" s="151"/>
      <c r="E2609" s="148"/>
      <c r="F2609" s="151"/>
      <c r="G2609" s="367"/>
      <c r="H2609" s="134"/>
    </row>
    <row r="2610" spans="2:8" s="140" customFormat="1" x14ac:dyDescent="0.25">
      <c r="B2610" s="155" t="s">
        <v>5692</v>
      </c>
      <c r="C2610" s="151"/>
      <c r="D2610" s="151"/>
      <c r="E2610" s="148"/>
      <c r="F2610" s="151"/>
      <c r="G2610" s="367"/>
      <c r="H2610" s="134"/>
    </row>
    <row r="2611" spans="2:8" s="140" customFormat="1" x14ac:dyDescent="0.25">
      <c r="B2611" s="155"/>
      <c r="C2611" s="151"/>
      <c r="D2611" s="151"/>
      <c r="E2611" s="148"/>
      <c r="F2611" s="151"/>
      <c r="G2611" s="367"/>
      <c r="H2611" s="134"/>
    </row>
    <row r="2612" spans="2:8" s="140" customFormat="1" x14ac:dyDescent="0.25">
      <c r="B2612" s="155"/>
      <c r="C2612" s="151"/>
      <c r="D2612" s="151"/>
      <c r="E2612" s="148"/>
      <c r="F2612" s="151"/>
      <c r="G2612" s="367"/>
      <c r="H2612" s="134"/>
    </row>
    <row r="2613" spans="2:8" s="140" customFormat="1" x14ac:dyDescent="0.25">
      <c r="B2613" s="155"/>
      <c r="C2613" s="152"/>
      <c r="D2613" s="152"/>
      <c r="E2613" s="152"/>
      <c r="F2613" s="151"/>
      <c r="G2613" s="156"/>
      <c r="H2613" s="134"/>
    </row>
    <row r="2614" spans="2:8" s="140" customFormat="1" ht="13.5" thickBot="1" x14ac:dyDescent="0.3">
      <c r="B2614" s="155"/>
      <c r="C2614" s="152"/>
      <c r="D2614" s="152"/>
      <c r="E2614" s="152"/>
      <c r="F2614" s="151"/>
      <c r="G2614" s="156"/>
      <c r="H2614" s="134"/>
    </row>
    <row r="2615" spans="2:8" s="140" customFormat="1" ht="13.5" thickBot="1" x14ac:dyDescent="0.3">
      <c r="B2615" s="157"/>
      <c r="C2615" s="159"/>
      <c r="D2615" s="159"/>
      <c r="E2615" s="159"/>
      <c r="F2615" s="158"/>
      <c r="G2615" s="160"/>
      <c r="H2615" s="161">
        <f>+SUM(G2603:G2615)</f>
        <v>13208.4</v>
      </c>
    </row>
    <row r="2616" spans="2:8" s="140" customFormat="1" ht="13.5" thickBot="1" x14ac:dyDescent="0.3">
      <c r="B2616" s="162"/>
      <c r="C2616" s="162"/>
      <c r="D2616" s="162"/>
      <c r="E2616" s="162"/>
      <c r="F2616" s="163"/>
      <c r="G2616" s="164"/>
      <c r="H2616" s="165"/>
    </row>
    <row r="2617" spans="2:8" s="140" customFormat="1" ht="13.5" thickBot="1" x14ac:dyDescent="0.3">
      <c r="B2617" s="143" t="s">
        <v>5410</v>
      </c>
      <c r="C2617" s="144" t="s">
        <v>867</v>
      </c>
      <c r="D2617" s="144" t="s">
        <v>6</v>
      </c>
      <c r="E2617" s="144" t="s">
        <v>870</v>
      </c>
      <c r="F2617" s="144" t="s">
        <v>5411</v>
      </c>
      <c r="G2617" s="145" t="s">
        <v>868</v>
      </c>
      <c r="H2617" s="134"/>
    </row>
    <row r="2618" spans="2:8" s="140" customFormat="1" x14ac:dyDescent="0.25">
      <c r="B2618" s="196"/>
      <c r="C2618" s="151"/>
      <c r="D2618" s="197"/>
      <c r="E2618" s="366"/>
      <c r="F2618" s="197"/>
      <c r="G2618" s="367"/>
      <c r="H2618" s="134"/>
    </row>
    <row r="2619" spans="2:8" s="140" customFormat="1" x14ac:dyDescent="0.25">
      <c r="B2619" s="196"/>
      <c r="C2619" s="151"/>
      <c r="D2619" s="151"/>
      <c r="E2619" s="148"/>
      <c r="F2619" s="147"/>
      <c r="G2619" s="367"/>
      <c r="H2619" s="134"/>
    </row>
    <row r="2620" spans="2:8" s="140" customFormat="1" x14ac:dyDescent="0.25">
      <c r="B2620" s="196"/>
      <c r="C2620" s="151"/>
      <c r="D2620" s="151"/>
      <c r="E2620" s="148"/>
      <c r="F2620" s="151"/>
      <c r="G2620" s="367"/>
      <c r="H2620" s="134"/>
    </row>
    <row r="2621" spans="2:8" s="140" customFormat="1" x14ac:dyDescent="0.25">
      <c r="B2621" s="155"/>
      <c r="C2621" s="151"/>
      <c r="D2621" s="151"/>
      <c r="E2621" s="148"/>
      <c r="F2621" s="151"/>
      <c r="G2621" s="367"/>
      <c r="H2621" s="134"/>
    </row>
    <row r="2622" spans="2:8" s="140" customFormat="1" x14ac:dyDescent="0.25">
      <c r="B2622" s="155"/>
      <c r="C2622" s="151"/>
      <c r="D2622" s="151"/>
      <c r="E2622" s="148"/>
      <c r="F2622" s="151"/>
      <c r="G2622" s="367"/>
      <c r="H2622" s="134"/>
    </row>
    <row r="2623" spans="2:8" s="140" customFormat="1" ht="13.5" thickBot="1" x14ac:dyDescent="0.3">
      <c r="B2623" s="155"/>
      <c r="C2623" s="151"/>
      <c r="D2623" s="151"/>
      <c r="E2623" s="148"/>
      <c r="F2623" s="151"/>
      <c r="G2623" s="367"/>
      <c r="H2623" s="134"/>
    </row>
    <row r="2624" spans="2:8" s="140" customFormat="1" ht="13.5" thickBot="1" x14ac:dyDescent="0.3">
      <c r="B2624" s="157"/>
      <c r="C2624" s="159"/>
      <c r="D2624" s="159"/>
      <c r="E2624" s="159"/>
      <c r="F2624" s="158"/>
      <c r="G2624" s="160"/>
      <c r="H2624" s="161">
        <f>+SUM(G2618:G2624)</f>
        <v>0</v>
      </c>
    </row>
    <row r="2625" spans="1:15" s="140" customFormat="1" ht="13.5" thickBot="1" x14ac:dyDescent="0.3">
      <c r="B2625" s="162"/>
      <c r="C2625" s="162"/>
      <c r="D2625" s="162"/>
      <c r="E2625" s="162"/>
      <c r="F2625" s="173"/>
      <c r="G2625" s="174"/>
      <c r="H2625" s="165"/>
    </row>
    <row r="2626" spans="1:15" s="140" customFormat="1" ht="13.5" thickBot="1" x14ac:dyDescent="0.3">
      <c r="B2626" s="143" t="s">
        <v>5412</v>
      </c>
      <c r="C2626" s="144" t="s">
        <v>5420</v>
      </c>
      <c r="D2626" s="144" t="s">
        <v>5421</v>
      </c>
      <c r="E2626" s="144" t="s">
        <v>5413</v>
      </c>
      <c r="F2626" s="144" t="s">
        <v>5405</v>
      </c>
      <c r="G2626" s="145" t="s">
        <v>868</v>
      </c>
      <c r="H2626" s="134"/>
    </row>
    <row r="2627" spans="1:15" s="140" customFormat="1" x14ac:dyDescent="0.25">
      <c r="B2627" s="194" t="s">
        <v>5650</v>
      </c>
      <c r="C2627" s="345">
        <v>70000</v>
      </c>
      <c r="D2627" s="345">
        <f>+C2627*0.85</f>
        <v>59500</v>
      </c>
      <c r="E2627" s="353">
        <f>+C2627+D2627</f>
        <v>129500</v>
      </c>
      <c r="F2627" s="202">
        <v>100</v>
      </c>
      <c r="G2627" s="351">
        <f>+E2627/F2627</f>
        <v>1295</v>
      </c>
      <c r="H2627" s="134"/>
    </row>
    <row r="2628" spans="1:15" s="140" customFormat="1" x14ac:dyDescent="0.25">
      <c r="B2628" s="194" t="s">
        <v>5651</v>
      </c>
      <c r="C2628" s="345">
        <v>40000</v>
      </c>
      <c r="D2628" s="345">
        <f>+C2628*0.85</f>
        <v>34000</v>
      </c>
      <c r="E2628" s="353">
        <f>+C2628+D2628</f>
        <v>74000</v>
      </c>
      <c r="F2628" s="204">
        <v>15</v>
      </c>
      <c r="G2628" s="351">
        <f>+E2628/F2628</f>
        <v>4933.333333333333</v>
      </c>
      <c r="H2628" s="134"/>
    </row>
    <row r="2629" spans="1:15" s="140" customFormat="1" x14ac:dyDescent="0.25">
      <c r="B2629" s="195" t="s">
        <v>5635</v>
      </c>
      <c r="C2629" s="345">
        <v>20600</v>
      </c>
      <c r="D2629" s="345">
        <f>+C2629*0.85</f>
        <v>17510</v>
      </c>
      <c r="E2629" s="353">
        <f>+C2629+D2629</f>
        <v>38110</v>
      </c>
      <c r="F2629" s="205">
        <v>5</v>
      </c>
      <c r="G2629" s="351">
        <f>+E2629/F2629</f>
        <v>7622</v>
      </c>
      <c r="H2629" s="134"/>
    </row>
    <row r="2630" spans="1:15" s="140" customFormat="1" x14ac:dyDescent="0.25">
      <c r="B2630" s="155"/>
      <c r="C2630" s="345"/>
      <c r="D2630" s="152"/>
      <c r="E2630" s="152"/>
      <c r="F2630" s="151"/>
      <c r="G2630" s="156"/>
      <c r="H2630" s="134"/>
    </row>
    <row r="2631" spans="1:15" s="140" customFormat="1" x14ac:dyDescent="0.25">
      <c r="B2631" s="155"/>
      <c r="C2631" s="152"/>
      <c r="D2631" s="152"/>
      <c r="E2631" s="152"/>
      <c r="F2631" s="151"/>
      <c r="G2631" s="156"/>
      <c r="H2631" s="134"/>
    </row>
    <row r="2632" spans="1:15" s="140" customFormat="1" ht="13.5" thickBot="1" x14ac:dyDescent="0.3">
      <c r="B2632" s="155"/>
      <c r="C2632" s="152"/>
      <c r="D2632" s="152"/>
      <c r="E2632" s="152"/>
      <c r="F2632" s="151"/>
      <c r="G2632" s="156"/>
      <c r="H2632" s="134"/>
    </row>
    <row r="2633" spans="1:15" s="140" customFormat="1" ht="13.5" thickBot="1" x14ac:dyDescent="0.3">
      <c r="B2633" s="179"/>
      <c r="C2633" s="180"/>
      <c r="D2633" s="180"/>
      <c r="E2633" s="180"/>
      <c r="F2633" s="181"/>
      <c r="G2633" s="182"/>
      <c r="H2633" s="161">
        <f>+SUM(G2627:G2633)</f>
        <v>13850.333333333332</v>
      </c>
    </row>
    <row r="2634" spans="1:15" s="140" customFormat="1" ht="13.5" thickBot="1" x14ac:dyDescent="0.3">
      <c r="F2634" s="141"/>
      <c r="G2634" s="134"/>
      <c r="H2634" s="134"/>
    </row>
    <row r="2635" spans="1:15" s="140" customFormat="1" ht="13.5" thickBot="1" x14ac:dyDescent="0.3">
      <c r="E2635" s="183" t="s">
        <v>5415</v>
      </c>
      <c r="F2635" s="141"/>
      <c r="G2635" s="134"/>
      <c r="H2635" s="161">
        <f>ROUND(+H2600+H2615+H2624+H2633,0)</f>
        <v>28444</v>
      </c>
    </row>
    <row r="2637" spans="1:15" x14ac:dyDescent="0.25">
      <c r="H2637" s="341"/>
    </row>
    <row r="2640" spans="1:15" ht="18.75" x14ac:dyDescent="0.25">
      <c r="A2640" s="133"/>
      <c r="B2640" s="2506" t="s">
        <v>5400</v>
      </c>
      <c r="C2640" s="2506"/>
      <c r="D2640" s="2506"/>
      <c r="E2640" s="2506"/>
      <c r="F2640" s="2506"/>
      <c r="G2640" s="2506"/>
      <c r="I2640" s="133"/>
      <c r="J2640" s="2506" t="s">
        <v>5400</v>
      </c>
      <c r="K2640" s="2506"/>
      <c r="L2640" s="2506"/>
      <c r="M2640" s="2506"/>
      <c r="N2640" s="2506"/>
      <c r="O2640" s="2506"/>
    </row>
    <row r="2641" spans="1:16" x14ac:dyDescent="0.25">
      <c r="A2641" s="133"/>
      <c r="G2641" s="134"/>
      <c r="I2641" s="133"/>
      <c r="N2641" s="133"/>
      <c r="O2641" s="134"/>
    </row>
    <row r="2642" spans="1:16" x14ac:dyDescent="0.25">
      <c r="A2642" s="133"/>
      <c r="G2642" s="134"/>
      <c r="I2642" s="133"/>
      <c r="N2642" s="133"/>
      <c r="O2642" s="134"/>
    </row>
    <row r="2643" spans="1:16" x14ac:dyDescent="0.25">
      <c r="A2643" s="133"/>
      <c r="G2643" s="134"/>
      <c r="I2643" s="133"/>
      <c r="N2643" s="133"/>
      <c r="O2643" s="134"/>
    </row>
    <row r="2644" spans="1:16" s="140" customFormat="1" x14ac:dyDescent="0.25">
      <c r="A2644" s="138" t="s">
        <v>3</v>
      </c>
      <c r="B2644" s="138" t="s">
        <v>140</v>
      </c>
      <c r="C2644" s="2450" t="s">
        <v>6275</v>
      </c>
      <c r="D2644" s="2450"/>
      <c r="E2644" s="2450"/>
      <c r="F2644" s="138" t="s">
        <v>867</v>
      </c>
      <c r="G2644" s="139" t="s">
        <v>5418</v>
      </c>
      <c r="H2644" s="134"/>
      <c r="I2644" s="138" t="s">
        <v>3</v>
      </c>
      <c r="J2644" s="138" t="s">
        <v>140</v>
      </c>
      <c r="K2644" s="2450" t="s">
        <v>6276</v>
      </c>
      <c r="L2644" s="2450"/>
      <c r="M2644" s="2450"/>
      <c r="N2644" s="138" t="s">
        <v>867</v>
      </c>
      <c r="O2644" s="139" t="s">
        <v>5418</v>
      </c>
      <c r="P2644" s="134"/>
    </row>
    <row r="2645" spans="1:16" s="140" customFormat="1" ht="12.75" customHeight="1" x14ac:dyDescent="0.25">
      <c r="A2645" s="141"/>
      <c r="F2645" s="141"/>
      <c r="G2645" s="134"/>
      <c r="H2645" s="134"/>
      <c r="I2645" s="141"/>
      <c r="N2645" s="141"/>
      <c r="O2645" s="134"/>
      <c r="P2645" s="134"/>
    </row>
    <row r="2646" spans="1:16" s="140" customFormat="1" ht="12.75" customHeight="1" x14ac:dyDescent="0.25">
      <c r="A2646" s="141"/>
      <c r="F2646" s="141"/>
      <c r="G2646" s="142"/>
      <c r="H2646" s="134"/>
      <c r="I2646" s="141"/>
      <c r="N2646" s="141"/>
      <c r="O2646" s="142"/>
      <c r="P2646" s="134"/>
    </row>
    <row r="2647" spans="1:16" s="140" customFormat="1" ht="13.5" thickBot="1" x14ac:dyDescent="0.3">
      <c r="A2647" s="141"/>
      <c r="F2647" s="141"/>
      <c r="G2647" s="134"/>
      <c r="H2647" s="134"/>
      <c r="I2647" s="141"/>
      <c r="N2647" s="141"/>
      <c r="O2647" s="134"/>
      <c r="P2647" s="134"/>
    </row>
    <row r="2648" spans="1:16" s="140" customFormat="1" ht="13.5" thickBot="1" x14ac:dyDescent="0.3">
      <c r="A2648" s="141"/>
      <c r="B2648" s="143" t="s">
        <v>5403</v>
      </c>
      <c r="C2648" s="144" t="s">
        <v>867</v>
      </c>
      <c r="D2648" s="144" t="s">
        <v>6</v>
      </c>
      <c r="E2648" s="144" t="s">
        <v>5404</v>
      </c>
      <c r="F2648" s="144" t="s">
        <v>5405</v>
      </c>
      <c r="G2648" s="145" t="s">
        <v>868</v>
      </c>
      <c r="H2648" s="134"/>
      <c r="I2648" s="141"/>
      <c r="J2648" s="143" t="s">
        <v>5403</v>
      </c>
      <c r="K2648" s="144" t="s">
        <v>867</v>
      </c>
      <c r="L2648" s="144" t="s">
        <v>6</v>
      </c>
      <c r="M2648" s="144" t="s">
        <v>5404</v>
      </c>
      <c r="N2648" s="144" t="s">
        <v>5405</v>
      </c>
      <c r="O2648" s="145" t="s">
        <v>868</v>
      </c>
      <c r="P2648" s="134"/>
    </row>
    <row r="2649" spans="1:16" s="140" customFormat="1" x14ac:dyDescent="0.25">
      <c r="A2649" s="141"/>
      <c r="B2649" s="146" t="s">
        <v>5440</v>
      </c>
      <c r="C2649" s="147" t="s">
        <v>5406</v>
      </c>
      <c r="D2649" s="147"/>
      <c r="E2649" s="148">
        <f>+H2688</f>
        <v>21398.333333333336</v>
      </c>
      <c r="F2649" s="167">
        <v>0.1</v>
      </c>
      <c r="G2649" s="360">
        <f>+E2649*F2649</f>
        <v>2139.8333333333335</v>
      </c>
      <c r="H2649" s="134"/>
      <c r="I2649" s="141"/>
      <c r="J2649" s="146" t="s">
        <v>5440</v>
      </c>
      <c r="K2649" s="147" t="s">
        <v>5406</v>
      </c>
      <c r="L2649" s="147"/>
      <c r="M2649" s="148">
        <f>+P2688</f>
        <v>64395.416666666672</v>
      </c>
      <c r="N2649" s="167">
        <v>0.1</v>
      </c>
      <c r="O2649" s="360">
        <f>+M2649*N2649</f>
        <v>6439.5416666666679</v>
      </c>
      <c r="P2649" s="134"/>
    </row>
    <row r="2650" spans="1:16" s="140" customFormat="1" x14ac:dyDescent="0.25">
      <c r="A2650" s="141"/>
      <c r="B2650" s="150" t="s">
        <v>5696</v>
      </c>
      <c r="C2650" s="151" t="s">
        <v>5407</v>
      </c>
      <c r="D2650" s="151"/>
      <c r="E2650" s="366">
        <v>120000</v>
      </c>
      <c r="F2650" s="197">
        <v>35</v>
      </c>
      <c r="G2650" s="360">
        <f>+E2650/F2650</f>
        <v>3428.5714285714284</v>
      </c>
      <c r="H2650" s="134"/>
      <c r="I2650" s="141"/>
      <c r="J2650" s="150" t="s">
        <v>5696</v>
      </c>
      <c r="K2650" s="151" t="s">
        <v>5407</v>
      </c>
      <c r="L2650" s="151"/>
      <c r="M2650" s="366">
        <v>120000</v>
      </c>
      <c r="N2650" s="197">
        <v>35</v>
      </c>
      <c r="O2650" s="360">
        <f>+M2650/N2650</f>
        <v>3428.5714285714284</v>
      </c>
      <c r="P2650" s="134"/>
    </row>
    <row r="2651" spans="1:16" s="140" customFormat="1" x14ac:dyDescent="0.25">
      <c r="A2651" s="141"/>
      <c r="B2651" s="154"/>
      <c r="C2651" s="151"/>
      <c r="D2651" s="151"/>
      <c r="E2651" s="366"/>
      <c r="F2651" s="151"/>
      <c r="G2651" s="360"/>
      <c r="H2651" s="134"/>
      <c r="I2651" s="141"/>
      <c r="J2651" s="154"/>
      <c r="K2651" s="151"/>
      <c r="L2651" s="151"/>
      <c r="M2651" s="366"/>
      <c r="N2651" s="151"/>
      <c r="O2651" s="360"/>
      <c r="P2651" s="134"/>
    </row>
    <row r="2652" spans="1:16" s="140" customFormat="1" x14ac:dyDescent="0.25">
      <c r="A2652" s="141"/>
      <c r="B2652" s="155"/>
      <c r="C2652" s="151"/>
      <c r="D2652" s="152"/>
      <c r="E2652" s="152"/>
      <c r="F2652" s="151"/>
      <c r="G2652" s="156"/>
      <c r="H2652" s="134"/>
      <c r="I2652" s="141"/>
      <c r="J2652" s="155"/>
      <c r="K2652" s="151"/>
      <c r="L2652" s="152"/>
      <c r="M2652" s="152"/>
      <c r="N2652" s="151"/>
      <c r="O2652" s="156"/>
      <c r="P2652" s="134"/>
    </row>
    <row r="2653" spans="1:16" s="140" customFormat="1" x14ac:dyDescent="0.25">
      <c r="A2653" s="141"/>
      <c r="B2653" s="155"/>
      <c r="C2653" s="151"/>
      <c r="D2653" s="152"/>
      <c r="E2653" s="152"/>
      <c r="F2653" s="151"/>
      <c r="G2653" s="156"/>
      <c r="H2653" s="134"/>
      <c r="I2653" s="141"/>
      <c r="J2653" s="155"/>
      <c r="K2653" s="151"/>
      <c r="L2653" s="152"/>
      <c r="M2653" s="152"/>
      <c r="N2653" s="151"/>
      <c r="O2653" s="156"/>
      <c r="P2653" s="134"/>
    </row>
    <row r="2654" spans="1:16" s="140" customFormat="1" ht="13.5" thickBot="1" x14ac:dyDescent="0.3">
      <c r="A2654" s="141"/>
      <c r="B2654" s="155"/>
      <c r="C2654" s="151"/>
      <c r="D2654" s="152"/>
      <c r="E2654" s="152"/>
      <c r="F2654" s="151"/>
      <c r="G2654" s="156"/>
      <c r="H2654" s="134"/>
      <c r="I2654" s="141"/>
      <c r="J2654" s="155"/>
      <c r="K2654" s="151"/>
      <c r="L2654" s="152"/>
      <c r="M2654" s="152"/>
      <c r="N2654" s="151"/>
      <c r="O2654" s="156"/>
      <c r="P2654" s="134"/>
    </row>
    <row r="2655" spans="1:16" s="140" customFormat="1" ht="13.5" thickBot="1" x14ac:dyDescent="0.3">
      <c r="A2655" s="141"/>
      <c r="B2655" s="157"/>
      <c r="C2655" s="158"/>
      <c r="D2655" s="159"/>
      <c r="E2655" s="159"/>
      <c r="F2655" s="158"/>
      <c r="G2655" s="160"/>
      <c r="H2655" s="161">
        <f>+SUM(G2649:G2655)</f>
        <v>5568.4047619047615</v>
      </c>
      <c r="I2655" s="141"/>
      <c r="J2655" s="157"/>
      <c r="K2655" s="158"/>
      <c r="L2655" s="159"/>
      <c r="M2655" s="159"/>
      <c r="N2655" s="158"/>
      <c r="O2655" s="160"/>
      <c r="P2655" s="161">
        <f>+SUM(O2649:O2655)</f>
        <v>9868.1130952380954</v>
      </c>
    </row>
    <row r="2656" spans="1:16" s="140" customFormat="1" ht="13.5" thickBot="1" x14ac:dyDescent="0.3">
      <c r="A2656" s="141"/>
      <c r="B2656" s="162"/>
      <c r="C2656" s="163"/>
      <c r="D2656" s="162"/>
      <c r="E2656" s="162"/>
      <c r="F2656" s="163"/>
      <c r="G2656" s="164"/>
      <c r="H2656" s="165"/>
      <c r="I2656" s="141"/>
      <c r="J2656" s="162"/>
      <c r="K2656" s="163"/>
      <c r="L2656" s="162"/>
      <c r="M2656" s="162"/>
      <c r="N2656" s="163"/>
      <c r="O2656" s="164"/>
      <c r="P2656" s="165"/>
    </row>
    <row r="2657" spans="2:17" s="140" customFormat="1" ht="13.5" thickBot="1" x14ac:dyDescent="0.3">
      <c r="B2657" s="143" t="s">
        <v>5408</v>
      </c>
      <c r="C2657" s="144" t="s">
        <v>867</v>
      </c>
      <c r="D2657" s="144" t="s">
        <v>6</v>
      </c>
      <c r="E2657" s="144" t="s">
        <v>870</v>
      </c>
      <c r="F2657" s="144" t="s">
        <v>5409</v>
      </c>
      <c r="G2657" s="145" t="s">
        <v>868</v>
      </c>
      <c r="H2657" s="134"/>
      <c r="J2657" s="143" t="s">
        <v>5408</v>
      </c>
      <c r="K2657" s="144" t="s">
        <v>867</v>
      </c>
      <c r="L2657" s="144" t="s">
        <v>6</v>
      </c>
      <c r="M2657" s="144" t="s">
        <v>870</v>
      </c>
      <c r="N2657" s="144" t="s">
        <v>5409</v>
      </c>
      <c r="O2657" s="145" t="s">
        <v>868</v>
      </c>
      <c r="P2657" s="134"/>
    </row>
    <row r="2658" spans="2:17" s="140" customFormat="1" x14ac:dyDescent="0.25">
      <c r="B2658" s="201" t="s">
        <v>5979</v>
      </c>
      <c r="C2658" s="147" t="s">
        <v>5462</v>
      </c>
      <c r="D2658" s="167">
        <v>0.05</v>
      </c>
      <c r="E2658" s="366">
        <v>165000</v>
      </c>
      <c r="F2658" s="169">
        <v>0.05</v>
      </c>
      <c r="G2658" s="367">
        <f>+D2658*E2658*(1+F2658)</f>
        <v>8662.5</v>
      </c>
      <c r="H2658" s="210"/>
      <c r="J2658" s="201" t="s">
        <v>5693</v>
      </c>
      <c r="K2658" s="147" t="s">
        <v>5462</v>
      </c>
      <c r="L2658" s="206">
        <v>1.6E-2</v>
      </c>
      <c r="M2658" s="366">
        <f>349765*2.5</f>
        <v>874412.5</v>
      </c>
      <c r="N2658" s="169">
        <v>0.05</v>
      </c>
      <c r="O2658" s="367">
        <f>+L2658*M2658*(1+N2658)</f>
        <v>14690.130000000001</v>
      </c>
      <c r="P2658" s="210"/>
      <c r="Q2658" s="432">
        <f>0.02*0.8</f>
        <v>1.6E-2</v>
      </c>
    </row>
    <row r="2659" spans="2:17" s="140" customFormat="1" x14ac:dyDescent="0.25">
      <c r="B2659" s="196" t="s">
        <v>5694</v>
      </c>
      <c r="C2659" s="151" t="s">
        <v>37</v>
      </c>
      <c r="D2659" s="197">
        <v>0.2</v>
      </c>
      <c r="E2659" s="366">
        <v>30900</v>
      </c>
      <c r="F2659" s="169">
        <v>0.1</v>
      </c>
      <c r="G2659" s="367">
        <f>+D2659*E2659*(1+F2659)</f>
        <v>6798.0000000000009</v>
      </c>
      <c r="H2659" s="134"/>
      <c r="J2659" s="196" t="s">
        <v>5694</v>
      </c>
      <c r="K2659" s="151" t="s">
        <v>37</v>
      </c>
      <c r="L2659" s="274">
        <v>0.2</v>
      </c>
      <c r="M2659" s="366">
        <v>30900</v>
      </c>
      <c r="N2659" s="169">
        <v>0.1</v>
      </c>
      <c r="O2659" s="367">
        <f>+L2659*M2659*(1+N2659)</f>
        <v>6798.0000000000009</v>
      </c>
      <c r="P2659" s="134"/>
    </row>
    <row r="2660" spans="2:17" s="140" customFormat="1" x14ac:dyDescent="0.25">
      <c r="B2660" s="201" t="s">
        <v>5687</v>
      </c>
      <c r="C2660" s="147" t="s">
        <v>14</v>
      </c>
      <c r="D2660" s="167">
        <v>0.2</v>
      </c>
      <c r="E2660" s="366">
        <v>9440</v>
      </c>
      <c r="F2660" s="169">
        <v>0.05</v>
      </c>
      <c r="G2660" s="367">
        <f>+D2660*E2660*(1+F2660)</f>
        <v>1982.4</v>
      </c>
      <c r="H2660" s="134"/>
      <c r="J2660" s="196" t="s">
        <v>5695</v>
      </c>
      <c r="K2660" s="151" t="s">
        <v>14</v>
      </c>
      <c r="L2660" s="274">
        <v>2E-3</v>
      </c>
      <c r="M2660" s="366">
        <v>2233420</v>
      </c>
      <c r="N2660" s="169">
        <v>0.05</v>
      </c>
      <c r="O2660" s="367">
        <f>+L2660*M2660*(1+N2660)</f>
        <v>4690.1820000000007</v>
      </c>
      <c r="P2660" s="134"/>
    </row>
    <row r="2661" spans="2:17" s="140" customFormat="1" x14ac:dyDescent="0.25">
      <c r="B2661" s="155"/>
      <c r="C2661" s="151"/>
      <c r="D2661" s="151"/>
      <c r="E2661" s="148"/>
      <c r="F2661" s="151"/>
      <c r="G2661" s="367"/>
      <c r="H2661" s="134"/>
      <c r="J2661" s="155"/>
      <c r="K2661" s="151"/>
      <c r="L2661" s="151"/>
      <c r="M2661" s="148"/>
      <c r="N2661" s="151"/>
      <c r="O2661" s="367"/>
      <c r="P2661" s="134"/>
    </row>
    <row r="2662" spans="2:17" s="140" customFormat="1" x14ac:dyDescent="0.25">
      <c r="B2662" s="155"/>
      <c r="C2662" s="151"/>
      <c r="D2662" s="151"/>
      <c r="E2662" s="148"/>
      <c r="F2662" s="151"/>
      <c r="G2662" s="367"/>
      <c r="H2662" s="134"/>
      <c r="J2662" s="155"/>
      <c r="K2662" s="151"/>
      <c r="L2662" s="151"/>
      <c r="M2662" s="148"/>
      <c r="N2662" s="151"/>
      <c r="O2662" s="367"/>
      <c r="P2662" s="134"/>
    </row>
    <row r="2663" spans="2:17" s="140" customFormat="1" x14ac:dyDescent="0.25">
      <c r="B2663" s="155"/>
      <c r="C2663" s="151"/>
      <c r="D2663" s="151"/>
      <c r="E2663" s="148"/>
      <c r="F2663" s="151"/>
      <c r="G2663" s="367"/>
      <c r="H2663" s="134"/>
      <c r="J2663" s="155"/>
      <c r="K2663" s="151"/>
      <c r="L2663" s="151"/>
      <c r="M2663" s="148"/>
      <c r="N2663" s="151"/>
      <c r="O2663" s="367"/>
      <c r="P2663" s="134"/>
    </row>
    <row r="2664" spans="2:17" s="140" customFormat="1" x14ac:dyDescent="0.25">
      <c r="B2664" s="155" t="s">
        <v>5980</v>
      </c>
      <c r="C2664" s="151"/>
      <c r="D2664" s="151"/>
      <c r="E2664" s="148"/>
      <c r="F2664" s="151"/>
      <c r="G2664" s="367"/>
      <c r="H2664" s="134"/>
      <c r="J2664" s="155" t="s">
        <v>6277</v>
      </c>
      <c r="K2664" s="151"/>
      <c r="L2664" s="151"/>
      <c r="M2664" s="148"/>
      <c r="N2664" s="151"/>
      <c r="O2664" s="367"/>
      <c r="P2664" s="134"/>
    </row>
    <row r="2665" spans="2:17" s="140" customFormat="1" x14ac:dyDescent="0.25">
      <c r="B2665" s="155"/>
      <c r="C2665" s="151"/>
      <c r="D2665" s="151"/>
      <c r="E2665" s="148"/>
      <c r="F2665" s="151"/>
      <c r="G2665" s="367"/>
      <c r="H2665" s="134"/>
      <c r="J2665" s="155"/>
      <c r="K2665" s="151"/>
      <c r="L2665" s="151"/>
      <c r="M2665" s="148"/>
      <c r="N2665" s="151"/>
      <c r="O2665" s="367"/>
      <c r="P2665" s="134"/>
    </row>
    <row r="2666" spans="2:17" s="140" customFormat="1" x14ac:dyDescent="0.25">
      <c r="B2666" s="155"/>
      <c r="C2666" s="151"/>
      <c r="D2666" s="151"/>
      <c r="E2666" s="148"/>
      <c r="F2666" s="151"/>
      <c r="G2666" s="367"/>
      <c r="H2666" s="134"/>
      <c r="J2666" s="155"/>
      <c r="K2666" s="151"/>
      <c r="L2666" s="151"/>
      <c r="M2666" s="148"/>
      <c r="N2666" s="151"/>
      <c r="O2666" s="367"/>
      <c r="P2666" s="134"/>
    </row>
    <row r="2667" spans="2:17" s="140" customFormat="1" x14ac:dyDescent="0.25">
      <c r="B2667" s="155"/>
      <c r="C2667" s="151"/>
      <c r="D2667" s="151"/>
      <c r="E2667" s="148"/>
      <c r="F2667" s="151"/>
      <c r="G2667" s="367"/>
      <c r="H2667" s="134"/>
      <c r="J2667" s="155"/>
      <c r="K2667" s="151"/>
      <c r="L2667" s="151"/>
      <c r="M2667" s="148"/>
      <c r="N2667" s="151"/>
      <c r="O2667" s="367"/>
      <c r="P2667" s="134"/>
    </row>
    <row r="2668" spans="2:17" s="140" customFormat="1" x14ac:dyDescent="0.25">
      <c r="B2668" s="155"/>
      <c r="C2668" s="152"/>
      <c r="D2668" s="152"/>
      <c r="E2668" s="152"/>
      <c r="F2668" s="151"/>
      <c r="G2668" s="156"/>
      <c r="H2668" s="134"/>
      <c r="J2668" s="155"/>
      <c r="K2668" s="152"/>
      <c r="L2668" s="152"/>
      <c r="M2668" s="152"/>
      <c r="N2668" s="151"/>
      <c r="O2668" s="156"/>
      <c r="P2668" s="134"/>
    </row>
    <row r="2669" spans="2:17" s="140" customFormat="1" ht="13.5" thickBot="1" x14ac:dyDescent="0.3">
      <c r="B2669" s="155"/>
      <c r="C2669" s="152"/>
      <c r="D2669" s="152"/>
      <c r="E2669" s="152"/>
      <c r="F2669" s="151"/>
      <c r="G2669" s="156"/>
      <c r="H2669" s="134"/>
      <c r="J2669" s="155"/>
      <c r="K2669" s="152"/>
      <c r="L2669" s="152"/>
      <c r="M2669" s="152"/>
      <c r="N2669" s="151"/>
      <c r="O2669" s="156"/>
      <c r="P2669" s="134"/>
    </row>
    <row r="2670" spans="2:17" s="140" customFormat="1" ht="13.5" thickBot="1" x14ac:dyDescent="0.3">
      <c r="B2670" s="157"/>
      <c r="C2670" s="159"/>
      <c r="D2670" s="159"/>
      <c r="E2670" s="159"/>
      <c r="F2670" s="158"/>
      <c r="G2670" s="160"/>
      <c r="H2670" s="161">
        <f>+SUM(G2658:G2670)</f>
        <v>17442.900000000001</v>
      </c>
      <c r="J2670" s="157"/>
      <c r="K2670" s="159"/>
      <c r="L2670" s="159"/>
      <c r="M2670" s="159"/>
      <c r="N2670" s="158"/>
      <c r="O2670" s="160"/>
      <c r="P2670" s="161">
        <f>+SUM(O2658:O2670)</f>
        <v>26178.312000000002</v>
      </c>
    </row>
    <row r="2671" spans="2:17" s="140" customFormat="1" ht="13.5" thickBot="1" x14ac:dyDescent="0.3">
      <c r="B2671" s="162"/>
      <c r="C2671" s="162"/>
      <c r="D2671" s="162"/>
      <c r="E2671" s="162"/>
      <c r="F2671" s="163"/>
      <c r="G2671" s="164"/>
      <c r="H2671" s="165"/>
      <c r="J2671" s="162"/>
      <c r="K2671" s="162"/>
      <c r="L2671" s="162"/>
      <c r="M2671" s="162"/>
      <c r="N2671" s="163"/>
      <c r="O2671" s="164"/>
      <c r="P2671" s="165"/>
    </row>
    <row r="2672" spans="2:17" s="140" customFormat="1" ht="13.5" thickBot="1" x14ac:dyDescent="0.3">
      <c r="B2672" s="143" t="s">
        <v>5410</v>
      </c>
      <c r="C2672" s="144" t="s">
        <v>867</v>
      </c>
      <c r="D2672" s="144" t="s">
        <v>6</v>
      </c>
      <c r="E2672" s="144" t="s">
        <v>870</v>
      </c>
      <c r="F2672" s="144" t="s">
        <v>5411</v>
      </c>
      <c r="G2672" s="145" t="s">
        <v>868</v>
      </c>
      <c r="H2672" s="134"/>
      <c r="J2672" s="143" t="s">
        <v>5410</v>
      </c>
      <c r="K2672" s="144" t="s">
        <v>867</v>
      </c>
      <c r="L2672" s="144" t="s">
        <v>6</v>
      </c>
      <c r="M2672" s="144" t="s">
        <v>870</v>
      </c>
      <c r="N2672" s="144" t="s">
        <v>5411</v>
      </c>
      <c r="O2672" s="145" t="s">
        <v>868</v>
      </c>
      <c r="P2672" s="134"/>
    </row>
    <row r="2673" spans="2:16" s="140" customFormat="1" x14ac:dyDescent="0.25">
      <c r="B2673" s="201"/>
      <c r="C2673" s="147"/>
      <c r="D2673" s="211"/>
      <c r="E2673" s="366"/>
      <c r="F2673" s="167"/>
      <c r="G2673" s="367"/>
      <c r="H2673" s="134"/>
      <c r="J2673" s="201"/>
      <c r="K2673" s="147"/>
      <c r="L2673" s="211"/>
      <c r="M2673" s="366"/>
      <c r="N2673" s="167"/>
      <c r="O2673" s="367"/>
      <c r="P2673" s="134"/>
    </row>
    <row r="2674" spans="2:16" s="140" customFormat="1" x14ac:dyDescent="0.25">
      <c r="B2674" s="196"/>
      <c r="C2674" s="151"/>
      <c r="D2674" s="212"/>
      <c r="E2674" s="366"/>
      <c r="F2674" s="197"/>
      <c r="G2674" s="367"/>
      <c r="H2674" s="134"/>
      <c r="J2674" s="196"/>
      <c r="K2674" s="151"/>
      <c r="L2674" s="212"/>
      <c r="M2674" s="366"/>
      <c r="N2674" s="197"/>
      <c r="O2674" s="367"/>
      <c r="P2674" s="134"/>
    </row>
    <row r="2675" spans="2:16" s="140" customFormat="1" x14ac:dyDescent="0.25">
      <c r="B2675" s="196"/>
      <c r="C2675" s="151"/>
      <c r="D2675" s="151"/>
      <c r="E2675" s="148"/>
      <c r="F2675" s="151"/>
      <c r="G2675" s="367"/>
      <c r="H2675" s="134"/>
      <c r="J2675" s="196"/>
      <c r="K2675" s="151"/>
      <c r="L2675" s="151"/>
      <c r="M2675" s="148"/>
      <c r="N2675" s="151"/>
      <c r="O2675" s="367"/>
      <c r="P2675" s="134"/>
    </row>
    <row r="2676" spans="2:16" s="140" customFormat="1" x14ac:dyDescent="0.25">
      <c r="B2676" s="155"/>
      <c r="C2676" s="151"/>
      <c r="D2676" s="151"/>
      <c r="E2676" s="148"/>
      <c r="F2676" s="151"/>
      <c r="G2676" s="367"/>
      <c r="H2676" s="134"/>
      <c r="J2676" s="155"/>
      <c r="K2676" s="151"/>
      <c r="L2676" s="151"/>
      <c r="M2676" s="148"/>
      <c r="N2676" s="151"/>
      <c r="O2676" s="367"/>
      <c r="P2676" s="134"/>
    </row>
    <row r="2677" spans="2:16" s="140" customFormat="1" x14ac:dyDescent="0.25">
      <c r="B2677" s="155"/>
      <c r="C2677" s="151"/>
      <c r="D2677" s="151"/>
      <c r="E2677" s="148"/>
      <c r="F2677" s="151"/>
      <c r="G2677" s="367"/>
      <c r="H2677" s="134"/>
      <c r="J2677" s="155"/>
      <c r="K2677" s="151"/>
      <c r="L2677" s="151"/>
      <c r="M2677" s="148"/>
      <c r="N2677" s="151"/>
      <c r="O2677" s="367"/>
      <c r="P2677" s="134"/>
    </row>
    <row r="2678" spans="2:16" s="140" customFormat="1" ht="13.5" thickBot="1" x14ac:dyDescent="0.3">
      <c r="B2678" s="155"/>
      <c r="C2678" s="151"/>
      <c r="D2678" s="151"/>
      <c r="E2678" s="148"/>
      <c r="F2678" s="151"/>
      <c r="G2678" s="367"/>
      <c r="H2678" s="134"/>
      <c r="J2678" s="155"/>
      <c r="K2678" s="151"/>
      <c r="L2678" s="151"/>
      <c r="M2678" s="148"/>
      <c r="N2678" s="151"/>
      <c r="O2678" s="367"/>
      <c r="P2678" s="134"/>
    </row>
    <row r="2679" spans="2:16" s="140" customFormat="1" ht="13.5" thickBot="1" x14ac:dyDescent="0.3">
      <c r="B2679" s="157"/>
      <c r="C2679" s="159"/>
      <c r="D2679" s="159"/>
      <c r="E2679" s="159"/>
      <c r="F2679" s="158"/>
      <c r="G2679" s="160"/>
      <c r="H2679" s="161">
        <f>+SUM(G2673:G2679)</f>
        <v>0</v>
      </c>
      <c r="J2679" s="157"/>
      <c r="K2679" s="159"/>
      <c r="L2679" s="159"/>
      <c r="M2679" s="159"/>
      <c r="N2679" s="158"/>
      <c r="O2679" s="160"/>
      <c r="P2679" s="161">
        <f>+SUM(O2673:O2679)</f>
        <v>0</v>
      </c>
    </row>
    <row r="2680" spans="2:16" s="140" customFormat="1" ht="13.5" thickBot="1" x14ac:dyDescent="0.3">
      <c r="B2680" s="162"/>
      <c r="C2680" s="162"/>
      <c r="D2680" s="162"/>
      <c r="E2680" s="162"/>
      <c r="F2680" s="173"/>
      <c r="G2680" s="174"/>
      <c r="H2680" s="165"/>
      <c r="J2680" s="162"/>
      <c r="K2680" s="162"/>
      <c r="L2680" s="162"/>
      <c r="M2680" s="162"/>
      <c r="N2680" s="173"/>
      <c r="O2680" s="174"/>
      <c r="P2680" s="165"/>
    </row>
    <row r="2681" spans="2:16" s="140" customFormat="1" ht="13.5" thickBot="1" x14ac:dyDescent="0.3">
      <c r="B2681" s="143" t="s">
        <v>5412</v>
      </c>
      <c r="C2681" s="144" t="s">
        <v>5420</v>
      </c>
      <c r="D2681" s="144" t="s">
        <v>5421</v>
      </c>
      <c r="E2681" s="144" t="s">
        <v>5413</v>
      </c>
      <c r="F2681" s="144" t="s">
        <v>5405</v>
      </c>
      <c r="G2681" s="145" t="s">
        <v>868</v>
      </c>
      <c r="H2681" s="134"/>
      <c r="J2681" s="143" t="s">
        <v>5412</v>
      </c>
      <c r="K2681" s="144" t="s">
        <v>5420</v>
      </c>
      <c r="L2681" s="144" t="s">
        <v>5421</v>
      </c>
      <c r="M2681" s="144" t="s">
        <v>5413</v>
      </c>
      <c r="N2681" s="144" t="s">
        <v>5405</v>
      </c>
      <c r="O2681" s="145" t="s">
        <v>868</v>
      </c>
      <c r="P2681" s="134"/>
    </row>
    <row r="2682" spans="2:16" s="140" customFormat="1" x14ac:dyDescent="0.25">
      <c r="B2682" s="194" t="s">
        <v>5650</v>
      </c>
      <c r="C2682" s="345">
        <v>70000</v>
      </c>
      <c r="D2682" s="345">
        <f>+C2682*0.85</f>
        <v>59500</v>
      </c>
      <c r="E2682" s="353">
        <f>+C2682+D2682</f>
        <v>129500</v>
      </c>
      <c r="F2682" s="202">
        <v>100</v>
      </c>
      <c r="G2682" s="351">
        <f>+E2682/F2682</f>
        <v>1295</v>
      </c>
      <c r="H2682" s="134"/>
      <c r="J2682" s="194" t="s">
        <v>5650</v>
      </c>
      <c r="K2682" s="345">
        <v>70000</v>
      </c>
      <c r="L2682" s="345">
        <f>+K2682*0.85</f>
        <v>59500</v>
      </c>
      <c r="M2682" s="353">
        <f>+K2682+L2682</f>
        <v>129500</v>
      </c>
      <c r="N2682" s="202">
        <v>80</v>
      </c>
      <c r="O2682" s="351">
        <f>+M2682/N2682</f>
        <v>1618.75</v>
      </c>
      <c r="P2682" s="134"/>
    </row>
    <row r="2683" spans="2:16" s="140" customFormat="1" x14ac:dyDescent="0.25">
      <c r="B2683" s="194" t="s">
        <v>5651</v>
      </c>
      <c r="C2683" s="345">
        <v>40000</v>
      </c>
      <c r="D2683" s="345">
        <f>+C2683*0.85</f>
        <v>34000</v>
      </c>
      <c r="E2683" s="353">
        <f>+C2683+D2683</f>
        <v>74000</v>
      </c>
      <c r="F2683" s="204">
        <v>10</v>
      </c>
      <c r="G2683" s="351">
        <f>+E2683/F2683</f>
        <v>7400</v>
      </c>
      <c r="H2683" s="134"/>
      <c r="J2683" s="194" t="s">
        <v>5651</v>
      </c>
      <c r="K2683" s="345">
        <v>40000</v>
      </c>
      <c r="L2683" s="345">
        <f>+K2683*0.85</f>
        <v>34000</v>
      </c>
      <c r="M2683" s="353">
        <f>+K2683+L2683</f>
        <v>74000</v>
      </c>
      <c r="N2683" s="204">
        <v>3</v>
      </c>
      <c r="O2683" s="351">
        <f>+M2683/N2683</f>
        <v>24666.666666666668</v>
      </c>
      <c r="P2683" s="134"/>
    </row>
    <row r="2684" spans="2:16" s="140" customFormat="1" x14ac:dyDescent="0.25">
      <c r="B2684" s="195" t="s">
        <v>5635</v>
      </c>
      <c r="C2684" s="345">
        <v>20600</v>
      </c>
      <c r="D2684" s="345">
        <f>+C2684*0.85</f>
        <v>17510</v>
      </c>
      <c r="E2684" s="353">
        <f>+C2684+D2684</f>
        <v>38110</v>
      </c>
      <c r="F2684" s="205">
        <v>3</v>
      </c>
      <c r="G2684" s="351">
        <f>+E2684/F2684</f>
        <v>12703.333333333334</v>
      </c>
      <c r="H2684" s="134"/>
      <c r="J2684" s="195" t="s">
        <v>5635</v>
      </c>
      <c r="K2684" s="345">
        <v>20600</v>
      </c>
      <c r="L2684" s="345">
        <f>+K2684*0.85</f>
        <v>17510</v>
      </c>
      <c r="M2684" s="353">
        <f>+K2684+L2684</f>
        <v>38110</v>
      </c>
      <c r="N2684" s="205">
        <v>1</v>
      </c>
      <c r="O2684" s="351">
        <f>+M2684/N2684</f>
        <v>38110</v>
      </c>
      <c r="P2684" s="134"/>
    </row>
    <row r="2685" spans="2:16" s="140" customFormat="1" x14ac:dyDescent="0.25">
      <c r="B2685" s="155"/>
      <c r="C2685" s="345"/>
      <c r="D2685" s="152"/>
      <c r="E2685" s="152"/>
      <c r="F2685" s="151"/>
      <c r="G2685" s="156"/>
      <c r="H2685" s="134"/>
      <c r="J2685" s="155"/>
      <c r="K2685" s="345"/>
      <c r="L2685" s="152"/>
      <c r="M2685" s="152"/>
      <c r="N2685" s="151"/>
      <c r="O2685" s="156"/>
      <c r="P2685" s="134"/>
    </row>
    <row r="2686" spans="2:16" s="140" customFormat="1" x14ac:dyDescent="0.25">
      <c r="B2686" s="155"/>
      <c r="C2686" s="152"/>
      <c r="D2686" s="152"/>
      <c r="E2686" s="152"/>
      <c r="F2686" s="151"/>
      <c r="G2686" s="156"/>
      <c r="H2686" s="134"/>
      <c r="J2686" s="155"/>
      <c r="K2686" s="152"/>
      <c r="L2686" s="152"/>
      <c r="M2686" s="152"/>
      <c r="N2686" s="151"/>
      <c r="O2686" s="156"/>
      <c r="P2686" s="134"/>
    </row>
    <row r="2687" spans="2:16" s="140" customFormat="1" ht="13.5" thickBot="1" x14ac:dyDescent="0.3">
      <c r="B2687" s="155"/>
      <c r="C2687" s="152"/>
      <c r="D2687" s="152"/>
      <c r="E2687" s="152"/>
      <c r="F2687" s="151"/>
      <c r="G2687" s="156"/>
      <c r="H2687" s="134"/>
      <c r="J2687" s="155"/>
      <c r="K2687" s="152"/>
      <c r="L2687" s="152"/>
      <c r="M2687" s="152"/>
      <c r="N2687" s="151"/>
      <c r="O2687" s="156"/>
      <c r="P2687" s="134"/>
    </row>
    <row r="2688" spans="2:16" s="140" customFormat="1" ht="13.5" thickBot="1" x14ac:dyDescent="0.3">
      <c r="B2688" s="179"/>
      <c r="C2688" s="180"/>
      <c r="D2688" s="180"/>
      <c r="E2688" s="180"/>
      <c r="F2688" s="181"/>
      <c r="G2688" s="182"/>
      <c r="H2688" s="161">
        <f>+SUM(G2682:G2688)</f>
        <v>21398.333333333336</v>
      </c>
      <c r="J2688" s="179"/>
      <c r="K2688" s="180"/>
      <c r="L2688" s="180"/>
      <c r="M2688" s="180"/>
      <c r="N2688" s="181"/>
      <c r="O2688" s="182"/>
      <c r="P2688" s="161">
        <f>+SUM(O2682:O2688)</f>
        <v>64395.416666666672</v>
      </c>
    </row>
    <row r="2689" spans="1:16" s="140" customFormat="1" ht="13.5" thickBot="1" x14ac:dyDescent="0.3">
      <c r="F2689" s="141"/>
      <c r="G2689" s="134"/>
      <c r="H2689" s="134"/>
      <c r="N2689" s="141"/>
      <c r="O2689" s="134"/>
      <c r="P2689" s="134"/>
    </row>
    <row r="2690" spans="1:16" s="140" customFormat="1" ht="13.5" thickBot="1" x14ac:dyDescent="0.3">
      <c r="E2690" s="183" t="s">
        <v>5415</v>
      </c>
      <c r="F2690" s="141"/>
      <c r="G2690" s="134"/>
      <c r="H2690" s="161">
        <f>ROUND(+H2655+H2670+H2679+H2688,0)</f>
        <v>44410</v>
      </c>
      <c r="M2690" s="183" t="s">
        <v>5415</v>
      </c>
      <c r="N2690" s="141"/>
      <c r="O2690" s="134"/>
      <c r="P2690" s="161">
        <f>ROUND(+P2655+P2670+P2679+P2688,0)</f>
        <v>100442</v>
      </c>
    </row>
    <row r="2692" spans="1:16" x14ac:dyDescent="0.25">
      <c r="H2692" s="341"/>
    </row>
    <row r="2695" spans="1:16" ht="18.75" x14ac:dyDescent="0.25">
      <c r="A2695" s="133"/>
      <c r="B2695" s="2506" t="s">
        <v>5400</v>
      </c>
      <c r="C2695" s="2506"/>
      <c r="D2695" s="2506"/>
      <c r="E2695" s="2506"/>
      <c r="F2695" s="2506"/>
      <c r="G2695" s="2506"/>
    </row>
    <row r="2696" spans="1:16" x14ac:dyDescent="0.25">
      <c r="A2696" s="133"/>
      <c r="G2696" s="134"/>
    </row>
    <row r="2697" spans="1:16" x14ac:dyDescent="0.25">
      <c r="A2697" s="133"/>
      <c r="G2697" s="134"/>
    </row>
    <row r="2698" spans="1:16" x14ac:dyDescent="0.25">
      <c r="A2698" s="133"/>
      <c r="G2698" s="134"/>
    </row>
    <row r="2699" spans="1:16" s="140" customFormat="1" x14ac:dyDescent="0.25">
      <c r="A2699" s="138" t="s">
        <v>3</v>
      </c>
      <c r="B2699" s="138" t="s">
        <v>147</v>
      </c>
      <c r="C2699" s="2450" t="s">
        <v>5463</v>
      </c>
      <c r="D2699" s="2450"/>
      <c r="E2699" s="2450"/>
      <c r="F2699" s="138" t="s">
        <v>867</v>
      </c>
      <c r="G2699" s="139" t="s">
        <v>5454</v>
      </c>
      <c r="H2699" s="134"/>
    </row>
    <row r="2700" spans="1:16" s="140" customFormat="1" ht="12.75" customHeight="1" x14ac:dyDescent="0.25">
      <c r="A2700" s="141"/>
      <c r="F2700" s="141"/>
      <c r="G2700" s="134"/>
      <c r="H2700" s="134"/>
    </row>
    <row r="2701" spans="1:16" s="140" customFormat="1" ht="24.95" customHeight="1" x14ac:dyDescent="0.25">
      <c r="A2701" s="141"/>
      <c r="F2701" s="141"/>
      <c r="G2701" s="142"/>
      <c r="H2701" s="134"/>
    </row>
    <row r="2702" spans="1:16" s="140" customFormat="1" ht="13.5" thickBot="1" x14ac:dyDescent="0.3">
      <c r="A2702" s="141"/>
      <c r="F2702" s="141"/>
      <c r="G2702" s="134"/>
      <c r="H2702" s="134"/>
    </row>
    <row r="2703" spans="1:16" s="140" customFormat="1" ht="13.5" thickBot="1" x14ac:dyDescent="0.3">
      <c r="A2703" s="141"/>
      <c r="B2703" s="143" t="s">
        <v>5403</v>
      </c>
      <c r="C2703" s="144" t="s">
        <v>867</v>
      </c>
      <c r="D2703" s="144" t="s">
        <v>6</v>
      </c>
      <c r="E2703" s="144" t="s">
        <v>5404</v>
      </c>
      <c r="F2703" s="144" t="s">
        <v>5405</v>
      </c>
      <c r="G2703" s="145" t="s">
        <v>868</v>
      </c>
      <c r="H2703" s="134"/>
    </row>
    <row r="2704" spans="1:16" s="140" customFormat="1" x14ac:dyDescent="0.25">
      <c r="A2704" s="141"/>
      <c r="B2704" s="146" t="s">
        <v>5440</v>
      </c>
      <c r="C2704" s="147" t="s">
        <v>5406</v>
      </c>
      <c r="D2704" s="147"/>
      <c r="E2704" s="148">
        <f>+H2743</f>
        <v>6709.333333333333</v>
      </c>
      <c r="F2704" s="167">
        <v>0.1</v>
      </c>
      <c r="G2704" s="360">
        <f>+E2704*F2704</f>
        <v>670.93333333333339</v>
      </c>
      <c r="H2704" s="134"/>
    </row>
    <row r="2705" spans="1:8" s="140" customFormat="1" x14ac:dyDescent="0.25">
      <c r="A2705" s="141"/>
      <c r="B2705" s="150" t="s">
        <v>5697</v>
      </c>
      <c r="C2705" s="151" t="s">
        <v>5407</v>
      </c>
      <c r="D2705" s="151"/>
      <c r="E2705" s="366">
        <v>9000</v>
      </c>
      <c r="F2705" s="205">
        <v>20</v>
      </c>
      <c r="G2705" s="360">
        <f>+E2705/F2705</f>
        <v>450</v>
      </c>
      <c r="H2705" s="134"/>
    </row>
    <row r="2706" spans="1:8" s="140" customFormat="1" x14ac:dyDescent="0.25">
      <c r="A2706" s="141"/>
      <c r="B2706" s="150" t="s">
        <v>5736</v>
      </c>
      <c r="C2706" s="151" t="s">
        <v>5481</v>
      </c>
      <c r="D2706" s="205">
        <v>1</v>
      </c>
      <c r="E2706" s="366">
        <v>40000</v>
      </c>
      <c r="F2706" s="205">
        <v>60</v>
      </c>
      <c r="G2706" s="360">
        <f>+E2706/F2706</f>
        <v>666.66666666666663</v>
      </c>
      <c r="H2706" s="134"/>
    </row>
    <row r="2707" spans="1:8" s="140" customFormat="1" x14ac:dyDescent="0.25">
      <c r="A2707" s="141"/>
      <c r="B2707" s="155"/>
      <c r="C2707" s="151"/>
      <c r="D2707" s="152"/>
      <c r="E2707" s="152"/>
      <c r="F2707" s="151"/>
      <c r="G2707" s="156"/>
      <c r="H2707" s="134"/>
    </row>
    <row r="2708" spans="1:8" s="140" customFormat="1" x14ac:dyDescent="0.25">
      <c r="A2708" s="141"/>
      <c r="B2708" s="155"/>
      <c r="C2708" s="151"/>
      <c r="D2708" s="152"/>
      <c r="E2708" s="152"/>
      <c r="F2708" s="151"/>
      <c r="G2708" s="156"/>
      <c r="H2708" s="134"/>
    </row>
    <row r="2709" spans="1:8" s="140" customFormat="1" ht="13.5" thickBot="1" x14ac:dyDescent="0.3">
      <c r="A2709" s="141"/>
      <c r="B2709" s="155"/>
      <c r="C2709" s="151"/>
      <c r="D2709" s="152"/>
      <c r="E2709" s="152"/>
      <c r="F2709" s="151"/>
      <c r="G2709" s="156"/>
      <c r="H2709" s="134"/>
    </row>
    <row r="2710" spans="1:8" s="140" customFormat="1" ht="13.5" thickBot="1" x14ac:dyDescent="0.3">
      <c r="A2710" s="141"/>
      <c r="B2710" s="157"/>
      <c r="C2710" s="158"/>
      <c r="D2710" s="159"/>
      <c r="E2710" s="159"/>
      <c r="F2710" s="158"/>
      <c r="G2710" s="160"/>
      <c r="H2710" s="161">
        <f>+SUM(G2704:G2710)</f>
        <v>1787.6</v>
      </c>
    </row>
    <row r="2711" spans="1:8" s="140" customFormat="1" ht="13.5" thickBot="1" x14ac:dyDescent="0.3">
      <c r="A2711" s="141"/>
      <c r="B2711" s="162"/>
      <c r="C2711" s="163"/>
      <c r="D2711" s="162"/>
      <c r="E2711" s="162"/>
      <c r="F2711" s="163"/>
      <c r="G2711" s="164"/>
      <c r="H2711" s="165"/>
    </row>
    <row r="2712" spans="1:8" s="140" customFormat="1" ht="13.5" thickBot="1" x14ac:dyDescent="0.3">
      <c r="B2712" s="143" t="s">
        <v>5408</v>
      </c>
      <c r="C2712" s="144" t="s">
        <v>867</v>
      </c>
      <c r="D2712" s="144" t="s">
        <v>6</v>
      </c>
      <c r="E2712" s="144" t="s">
        <v>870</v>
      </c>
      <c r="F2712" s="144" t="s">
        <v>5409</v>
      </c>
      <c r="G2712" s="145" t="s">
        <v>868</v>
      </c>
      <c r="H2712" s="134"/>
    </row>
    <row r="2713" spans="1:8" s="140" customFormat="1" x14ac:dyDescent="0.25">
      <c r="B2713" s="201" t="s">
        <v>5698</v>
      </c>
      <c r="C2713" s="147" t="s">
        <v>5464</v>
      </c>
      <c r="D2713" s="167">
        <v>1</v>
      </c>
      <c r="E2713" s="366">
        <v>2000</v>
      </c>
      <c r="F2713" s="169">
        <v>0.3</v>
      </c>
      <c r="G2713" s="367">
        <f>+D2713*E2713*(1+F2713)</f>
        <v>2600</v>
      </c>
      <c r="H2713" s="134"/>
    </row>
    <row r="2714" spans="1:8" s="140" customFormat="1" x14ac:dyDescent="0.25">
      <c r="B2714" s="196"/>
      <c r="C2714" s="151"/>
      <c r="D2714" s="151"/>
      <c r="E2714" s="366"/>
      <c r="F2714" s="169"/>
      <c r="G2714" s="367"/>
      <c r="H2714" s="134"/>
    </row>
    <row r="2715" spans="1:8" s="140" customFormat="1" x14ac:dyDescent="0.25">
      <c r="B2715" s="196"/>
      <c r="C2715" s="151"/>
      <c r="D2715" s="151"/>
      <c r="E2715" s="366"/>
      <c r="F2715" s="169"/>
      <c r="G2715" s="367"/>
      <c r="H2715" s="134"/>
    </row>
    <row r="2716" spans="1:8" s="140" customFormat="1" x14ac:dyDescent="0.25">
      <c r="B2716" s="155"/>
      <c r="C2716" s="151"/>
      <c r="D2716" s="151"/>
      <c r="E2716" s="148"/>
      <c r="F2716" s="151"/>
      <c r="G2716" s="367"/>
      <c r="H2716" s="134"/>
    </row>
    <row r="2717" spans="1:8" s="140" customFormat="1" x14ac:dyDescent="0.25">
      <c r="B2717" s="155"/>
      <c r="C2717" s="151"/>
      <c r="D2717" s="151"/>
      <c r="E2717" s="148"/>
      <c r="F2717" s="151"/>
      <c r="G2717" s="367"/>
      <c r="H2717" s="134"/>
    </row>
    <row r="2718" spans="1:8" s="140" customFormat="1" x14ac:dyDescent="0.25">
      <c r="B2718" s="155"/>
      <c r="C2718" s="151"/>
      <c r="D2718" s="151"/>
      <c r="E2718" s="148"/>
      <c r="F2718" s="151"/>
      <c r="G2718" s="367"/>
      <c r="H2718" s="134"/>
    </row>
    <row r="2719" spans="1:8" s="140" customFormat="1" x14ac:dyDescent="0.25">
      <c r="B2719" s="155"/>
      <c r="C2719" s="151"/>
      <c r="D2719" s="151"/>
      <c r="E2719" s="148"/>
      <c r="F2719" s="151"/>
      <c r="G2719" s="367"/>
      <c r="H2719" s="134"/>
    </row>
    <row r="2720" spans="1:8" s="140" customFormat="1" x14ac:dyDescent="0.25">
      <c r="B2720" s="155"/>
      <c r="C2720" s="151"/>
      <c r="D2720" s="151"/>
      <c r="E2720" s="148"/>
      <c r="F2720" s="151"/>
      <c r="G2720" s="367"/>
      <c r="H2720" s="134"/>
    </row>
    <row r="2721" spans="2:8" s="140" customFormat="1" x14ac:dyDescent="0.25">
      <c r="B2721" s="155"/>
      <c r="C2721" s="151"/>
      <c r="D2721" s="151"/>
      <c r="E2721" s="148"/>
      <c r="F2721" s="151"/>
      <c r="G2721" s="367"/>
      <c r="H2721" s="134"/>
    </row>
    <row r="2722" spans="2:8" s="140" customFormat="1" x14ac:dyDescent="0.25">
      <c r="B2722" s="155"/>
      <c r="C2722" s="151"/>
      <c r="D2722" s="151"/>
      <c r="E2722" s="148"/>
      <c r="F2722" s="151"/>
      <c r="G2722" s="367"/>
      <c r="H2722" s="134"/>
    </row>
    <row r="2723" spans="2:8" s="140" customFormat="1" x14ac:dyDescent="0.25">
      <c r="B2723" s="155"/>
      <c r="C2723" s="152"/>
      <c r="D2723" s="152"/>
      <c r="E2723" s="152"/>
      <c r="F2723" s="151"/>
      <c r="G2723" s="156"/>
      <c r="H2723" s="134"/>
    </row>
    <row r="2724" spans="2:8" s="140" customFormat="1" ht="13.5" thickBot="1" x14ac:dyDescent="0.3">
      <c r="B2724" s="155"/>
      <c r="C2724" s="152"/>
      <c r="D2724" s="152"/>
      <c r="E2724" s="152"/>
      <c r="F2724" s="151"/>
      <c r="G2724" s="156"/>
      <c r="H2724" s="134"/>
    </row>
    <row r="2725" spans="2:8" s="140" customFormat="1" ht="13.5" thickBot="1" x14ac:dyDescent="0.3">
      <c r="B2725" s="157"/>
      <c r="C2725" s="159"/>
      <c r="D2725" s="159"/>
      <c r="E2725" s="159"/>
      <c r="F2725" s="158"/>
      <c r="G2725" s="160"/>
      <c r="H2725" s="161">
        <f>+SUM(G2713:G2725)</f>
        <v>2600</v>
      </c>
    </row>
    <row r="2726" spans="2:8" s="140" customFormat="1" ht="13.5" thickBot="1" x14ac:dyDescent="0.3">
      <c r="B2726" s="162"/>
      <c r="C2726" s="162"/>
      <c r="D2726" s="162"/>
      <c r="E2726" s="162"/>
      <c r="F2726" s="163"/>
      <c r="G2726" s="164"/>
      <c r="H2726" s="165"/>
    </row>
    <row r="2727" spans="2:8" s="140" customFormat="1" ht="13.5" thickBot="1" x14ac:dyDescent="0.3">
      <c r="B2727" s="143" t="s">
        <v>5410</v>
      </c>
      <c r="C2727" s="144" t="s">
        <v>867</v>
      </c>
      <c r="D2727" s="144" t="s">
        <v>6</v>
      </c>
      <c r="E2727" s="144" t="s">
        <v>870</v>
      </c>
      <c r="F2727" s="144" t="s">
        <v>5411</v>
      </c>
      <c r="G2727" s="145" t="s">
        <v>868</v>
      </c>
      <c r="H2727" s="134"/>
    </row>
    <row r="2728" spans="2:8" s="140" customFormat="1" x14ac:dyDescent="0.25">
      <c r="B2728" s="201"/>
      <c r="C2728" s="147"/>
      <c r="D2728" s="167"/>
      <c r="E2728" s="366"/>
      <c r="F2728" s="169"/>
      <c r="G2728" s="367"/>
      <c r="H2728" s="134"/>
    </row>
    <row r="2729" spans="2:8" s="140" customFormat="1" x14ac:dyDescent="0.25">
      <c r="B2729" s="196"/>
      <c r="C2729" s="151"/>
      <c r="D2729" s="151"/>
      <c r="E2729" s="366"/>
      <c r="F2729" s="147"/>
      <c r="G2729" s="367"/>
      <c r="H2729" s="134"/>
    </row>
    <row r="2730" spans="2:8" s="140" customFormat="1" x14ac:dyDescent="0.25">
      <c r="B2730" s="196"/>
      <c r="C2730" s="151"/>
      <c r="D2730" s="151"/>
      <c r="E2730" s="148"/>
      <c r="F2730" s="151"/>
      <c r="G2730" s="367"/>
      <c r="H2730" s="134"/>
    </row>
    <row r="2731" spans="2:8" s="140" customFormat="1" x14ac:dyDescent="0.25">
      <c r="B2731" s="155"/>
      <c r="C2731" s="151"/>
      <c r="D2731" s="151"/>
      <c r="E2731" s="148"/>
      <c r="F2731" s="151"/>
      <c r="G2731" s="367"/>
      <c r="H2731" s="134"/>
    </row>
    <row r="2732" spans="2:8" s="140" customFormat="1" x14ac:dyDescent="0.25">
      <c r="B2732" s="155"/>
      <c r="C2732" s="151"/>
      <c r="D2732" s="151"/>
      <c r="E2732" s="148"/>
      <c r="F2732" s="151"/>
      <c r="G2732" s="367"/>
      <c r="H2732" s="134"/>
    </row>
    <row r="2733" spans="2:8" s="140" customFormat="1" ht="13.5" thickBot="1" x14ac:dyDescent="0.3">
      <c r="B2733" s="155"/>
      <c r="C2733" s="151"/>
      <c r="D2733" s="151"/>
      <c r="E2733" s="148"/>
      <c r="F2733" s="151"/>
      <c r="G2733" s="367"/>
      <c r="H2733" s="134"/>
    </row>
    <row r="2734" spans="2:8" s="140" customFormat="1" ht="13.5" thickBot="1" x14ac:dyDescent="0.3">
      <c r="B2734" s="157"/>
      <c r="C2734" s="159"/>
      <c r="D2734" s="159"/>
      <c r="E2734" s="159"/>
      <c r="F2734" s="158"/>
      <c r="G2734" s="160"/>
      <c r="H2734" s="161">
        <f>+SUM(G2728:G2734)</f>
        <v>0</v>
      </c>
    </row>
    <row r="2735" spans="2:8" s="140" customFormat="1" ht="13.5" thickBot="1" x14ac:dyDescent="0.3">
      <c r="B2735" s="162"/>
      <c r="C2735" s="162"/>
      <c r="D2735" s="162"/>
      <c r="E2735" s="162"/>
      <c r="F2735" s="173"/>
      <c r="G2735" s="174"/>
      <c r="H2735" s="165"/>
    </row>
    <row r="2736" spans="2:8" s="140" customFormat="1" ht="13.5" thickBot="1" x14ac:dyDescent="0.3">
      <c r="B2736" s="143" t="s">
        <v>5412</v>
      </c>
      <c r="C2736" s="144" t="s">
        <v>5420</v>
      </c>
      <c r="D2736" s="144" t="s">
        <v>5421</v>
      </c>
      <c r="E2736" s="144" t="s">
        <v>5413</v>
      </c>
      <c r="F2736" s="144" t="s">
        <v>5405</v>
      </c>
      <c r="G2736" s="145" t="s">
        <v>868</v>
      </c>
      <c r="H2736" s="134"/>
    </row>
    <row r="2737" spans="1:15" s="140" customFormat="1" x14ac:dyDescent="0.25">
      <c r="B2737" s="194" t="s">
        <v>5650</v>
      </c>
      <c r="C2737" s="345">
        <v>70000</v>
      </c>
      <c r="D2737" s="345">
        <f>+C2737*0.85</f>
        <v>59500</v>
      </c>
      <c r="E2737" s="353">
        <f>+C2737+D2737</f>
        <v>129500</v>
      </c>
      <c r="F2737" s="202">
        <v>300</v>
      </c>
      <c r="G2737" s="351">
        <f>+E2737/F2737</f>
        <v>431.66666666666669</v>
      </c>
      <c r="H2737" s="134"/>
    </row>
    <row r="2738" spans="1:15" s="140" customFormat="1" x14ac:dyDescent="0.25">
      <c r="B2738" s="194" t="s">
        <v>5651</v>
      </c>
      <c r="C2738" s="345">
        <v>40000</v>
      </c>
      <c r="D2738" s="345">
        <f>+C2738*0.85</f>
        <v>34000</v>
      </c>
      <c r="E2738" s="353">
        <f>+C2738+D2738</f>
        <v>74000</v>
      </c>
      <c r="F2738" s="204">
        <v>30</v>
      </c>
      <c r="G2738" s="351">
        <f>+E2738/F2738</f>
        <v>2466.6666666666665</v>
      </c>
      <c r="H2738" s="134"/>
    </row>
    <row r="2739" spans="1:15" s="140" customFormat="1" x14ac:dyDescent="0.25">
      <c r="B2739" s="195" t="s">
        <v>5635</v>
      </c>
      <c r="C2739" s="345">
        <v>20600</v>
      </c>
      <c r="D2739" s="345">
        <f>+C2739*0.85</f>
        <v>17510</v>
      </c>
      <c r="E2739" s="353">
        <f>+C2739+D2739</f>
        <v>38110</v>
      </c>
      <c r="F2739" s="205">
        <v>10</v>
      </c>
      <c r="G2739" s="351">
        <f>+E2739/F2739</f>
        <v>3811</v>
      </c>
      <c r="H2739" s="134"/>
    </row>
    <row r="2740" spans="1:15" s="140" customFormat="1" x14ac:dyDescent="0.25">
      <c r="B2740" s="155"/>
      <c r="C2740" s="345"/>
      <c r="D2740" s="152"/>
      <c r="E2740" s="152"/>
      <c r="F2740" s="151"/>
      <c r="G2740" s="156"/>
      <c r="H2740" s="134"/>
    </row>
    <row r="2741" spans="1:15" s="140" customFormat="1" x14ac:dyDescent="0.25">
      <c r="B2741" s="155"/>
      <c r="C2741" s="152"/>
      <c r="D2741" s="152"/>
      <c r="E2741" s="152"/>
      <c r="F2741" s="151"/>
      <c r="G2741" s="156"/>
      <c r="H2741" s="134"/>
    </row>
    <row r="2742" spans="1:15" s="140" customFormat="1" ht="13.5" thickBot="1" x14ac:dyDescent="0.3">
      <c r="B2742" s="155"/>
      <c r="C2742" s="152"/>
      <c r="D2742" s="152"/>
      <c r="E2742" s="152"/>
      <c r="F2742" s="151"/>
      <c r="G2742" s="156"/>
      <c r="H2742" s="134"/>
    </row>
    <row r="2743" spans="1:15" s="140" customFormat="1" ht="13.5" thickBot="1" x14ac:dyDescent="0.3">
      <c r="B2743" s="179"/>
      <c r="C2743" s="180"/>
      <c r="D2743" s="180"/>
      <c r="E2743" s="180"/>
      <c r="F2743" s="181"/>
      <c r="G2743" s="182"/>
      <c r="H2743" s="161">
        <f>+SUM(G2737:G2743)</f>
        <v>6709.333333333333</v>
      </c>
    </row>
    <row r="2744" spans="1:15" s="140" customFormat="1" ht="13.5" thickBot="1" x14ac:dyDescent="0.3">
      <c r="F2744" s="141"/>
      <c r="G2744" s="134"/>
      <c r="H2744" s="134"/>
    </row>
    <row r="2745" spans="1:15" s="140" customFormat="1" ht="13.5" thickBot="1" x14ac:dyDescent="0.3">
      <c r="E2745" s="183" t="s">
        <v>5415</v>
      </c>
      <c r="F2745" s="141"/>
      <c r="G2745" s="134"/>
      <c r="H2745" s="161">
        <f>ROUND(+H2710+H2725+H2734+H2743,0)</f>
        <v>11097</v>
      </c>
    </row>
    <row r="2747" spans="1:15" x14ac:dyDescent="0.25">
      <c r="H2747" s="341"/>
    </row>
    <row r="2749" spans="1:15" ht="21" x14ac:dyDescent="0.25">
      <c r="I2749" s="2313" t="s">
        <v>5737</v>
      </c>
      <c r="J2749" s="2313"/>
      <c r="K2749" s="2313"/>
      <c r="L2749" s="2313"/>
      <c r="M2749" s="2313"/>
      <c r="N2749" s="2313"/>
      <c r="O2749" s="2313"/>
    </row>
    <row r="2750" spans="1:15" ht="18.75" x14ac:dyDescent="0.25">
      <c r="A2750" s="133"/>
      <c r="B2750" s="2506" t="s">
        <v>5400</v>
      </c>
      <c r="C2750" s="2506"/>
      <c r="D2750" s="2506"/>
      <c r="E2750" s="2506"/>
      <c r="F2750" s="2506"/>
      <c r="G2750" s="2506"/>
      <c r="I2750" s="2506" t="s">
        <v>5400</v>
      </c>
      <c r="J2750" s="2506"/>
      <c r="K2750" s="2506"/>
      <c r="L2750" s="2506"/>
      <c r="M2750" s="2506"/>
      <c r="N2750" s="2506"/>
      <c r="O2750" s="2506"/>
    </row>
    <row r="2751" spans="1:15" x14ac:dyDescent="0.25">
      <c r="A2751" s="133"/>
      <c r="G2751" s="134"/>
      <c r="I2751" s="133"/>
      <c r="N2751" s="133"/>
      <c r="O2751" s="134"/>
    </row>
    <row r="2752" spans="1:15" x14ac:dyDescent="0.25">
      <c r="A2752" s="133"/>
      <c r="G2752" s="134"/>
      <c r="I2752" s="133"/>
      <c r="N2752" s="133"/>
      <c r="O2752" s="134"/>
    </row>
    <row r="2753" spans="1:16" x14ac:dyDescent="0.25">
      <c r="A2753" s="133"/>
      <c r="G2753" s="134"/>
      <c r="I2753" s="133"/>
      <c r="N2753" s="133"/>
      <c r="O2753" s="134"/>
    </row>
    <row r="2754" spans="1:16" s="140" customFormat="1" x14ac:dyDescent="0.25">
      <c r="A2754" s="138" t="s">
        <v>3</v>
      </c>
      <c r="B2754" s="138" t="s">
        <v>149</v>
      </c>
      <c r="C2754" s="2450" t="s">
        <v>150</v>
      </c>
      <c r="D2754" s="2450"/>
      <c r="E2754" s="2450"/>
      <c r="F2754" s="138" t="s">
        <v>867</v>
      </c>
      <c r="G2754" s="139" t="s">
        <v>5454</v>
      </c>
      <c r="H2754" s="134"/>
      <c r="I2754" s="138" t="s">
        <v>3</v>
      </c>
      <c r="J2754" s="138" t="s">
        <v>149</v>
      </c>
      <c r="K2754" s="2450" t="s">
        <v>150</v>
      </c>
      <c r="L2754" s="2450"/>
      <c r="M2754" s="2450"/>
      <c r="N2754" s="138" t="s">
        <v>867</v>
      </c>
      <c r="O2754" s="139" t="s">
        <v>5454</v>
      </c>
      <c r="P2754" s="134"/>
    </row>
    <row r="2755" spans="1:16" s="140" customFormat="1" x14ac:dyDescent="0.25">
      <c r="A2755" s="141"/>
      <c r="F2755" s="141"/>
      <c r="G2755" s="134"/>
      <c r="H2755" s="134"/>
      <c r="I2755" s="141"/>
      <c r="N2755" s="141"/>
      <c r="O2755" s="134"/>
      <c r="P2755" s="134"/>
    </row>
    <row r="2756" spans="1:16" s="140" customFormat="1" ht="12.75" customHeight="1" x14ac:dyDescent="0.25">
      <c r="A2756" s="141"/>
      <c r="F2756" s="141"/>
      <c r="G2756" s="142"/>
      <c r="H2756" s="134"/>
      <c r="I2756" s="141"/>
      <c r="N2756" s="141"/>
      <c r="O2756" s="142"/>
      <c r="P2756" s="134"/>
    </row>
    <row r="2757" spans="1:16" s="140" customFormat="1" ht="13.5" thickBot="1" x14ac:dyDescent="0.3">
      <c r="A2757" s="141"/>
      <c r="F2757" s="141"/>
      <c r="G2757" s="134"/>
      <c r="H2757" s="134"/>
      <c r="I2757" s="141"/>
      <c r="N2757" s="141"/>
      <c r="O2757" s="134"/>
      <c r="P2757" s="134"/>
    </row>
    <row r="2758" spans="1:16" s="140" customFormat="1" ht="13.5" thickBot="1" x14ac:dyDescent="0.3">
      <c r="A2758" s="141"/>
      <c r="B2758" s="143" t="s">
        <v>5403</v>
      </c>
      <c r="C2758" s="144" t="s">
        <v>867</v>
      </c>
      <c r="D2758" s="144" t="s">
        <v>6</v>
      </c>
      <c r="E2758" s="144" t="s">
        <v>5404</v>
      </c>
      <c r="F2758" s="144" t="s">
        <v>5405</v>
      </c>
      <c r="G2758" s="145" t="s">
        <v>868</v>
      </c>
      <c r="H2758" s="134"/>
      <c r="I2758" s="141"/>
      <c r="J2758" s="143" t="s">
        <v>5403</v>
      </c>
      <c r="K2758" s="144" t="s">
        <v>867</v>
      </c>
      <c r="L2758" s="144" t="s">
        <v>6</v>
      </c>
      <c r="M2758" s="144" t="s">
        <v>5404</v>
      </c>
      <c r="N2758" s="144" t="s">
        <v>5405</v>
      </c>
      <c r="O2758" s="145" t="s">
        <v>868</v>
      </c>
      <c r="P2758" s="134"/>
    </row>
    <row r="2759" spans="1:16" s="140" customFormat="1" x14ac:dyDescent="0.25">
      <c r="A2759" s="141"/>
      <c r="B2759" s="146" t="s">
        <v>5440</v>
      </c>
      <c r="C2759" s="147" t="s">
        <v>5406</v>
      </c>
      <c r="D2759" s="147"/>
      <c r="E2759" s="148">
        <f>+H2798</f>
        <v>7942.666666666667</v>
      </c>
      <c r="F2759" s="167">
        <v>0.1</v>
      </c>
      <c r="G2759" s="360">
        <f>+E2759*F2759</f>
        <v>794.26666666666677</v>
      </c>
      <c r="H2759" s="134"/>
      <c r="I2759" s="141"/>
      <c r="J2759" s="146" t="s">
        <v>5440</v>
      </c>
      <c r="K2759" s="147" t="s">
        <v>5406</v>
      </c>
      <c r="L2759" s="204"/>
      <c r="M2759" s="148">
        <f>+P2798</f>
        <v>1250.5999999999999</v>
      </c>
      <c r="N2759" s="167">
        <v>0.1</v>
      </c>
      <c r="O2759" s="360">
        <f>+M2759*N2759</f>
        <v>125.06</v>
      </c>
      <c r="P2759" s="134"/>
    </row>
    <row r="2760" spans="1:16" s="140" customFormat="1" x14ac:dyDescent="0.25">
      <c r="A2760" s="141"/>
      <c r="B2760" s="150" t="s">
        <v>5697</v>
      </c>
      <c r="C2760" s="151" t="s">
        <v>5407</v>
      </c>
      <c r="D2760" s="151"/>
      <c r="E2760" s="366">
        <v>9000</v>
      </c>
      <c r="F2760" s="205">
        <v>15</v>
      </c>
      <c r="G2760" s="360">
        <f>+E2760/F2760</f>
        <v>600</v>
      </c>
      <c r="H2760" s="134"/>
      <c r="I2760" s="141"/>
      <c r="J2760" s="150" t="s">
        <v>5738</v>
      </c>
      <c r="K2760" s="151" t="s">
        <v>5407</v>
      </c>
      <c r="L2760" s="205"/>
      <c r="M2760" s="366">
        <v>80000</v>
      </c>
      <c r="N2760" s="205">
        <v>20</v>
      </c>
      <c r="O2760" s="360">
        <f>+M2760/N2760</f>
        <v>4000</v>
      </c>
      <c r="P2760" s="134"/>
    </row>
    <row r="2761" spans="1:16" s="140" customFormat="1" ht="12.75" customHeight="1" x14ac:dyDescent="0.25">
      <c r="A2761" s="141"/>
      <c r="B2761" s="150" t="s">
        <v>5736</v>
      </c>
      <c r="C2761" s="151" t="s">
        <v>5481</v>
      </c>
      <c r="D2761" s="205">
        <v>1</v>
      </c>
      <c r="E2761" s="366">
        <v>40000</v>
      </c>
      <c r="F2761" s="205">
        <v>40</v>
      </c>
      <c r="G2761" s="360">
        <f>+E2761/F2761</f>
        <v>1000</v>
      </c>
      <c r="H2761" s="134"/>
      <c r="I2761" s="141"/>
      <c r="J2761" s="150" t="s">
        <v>5736</v>
      </c>
      <c r="K2761" s="151" t="s">
        <v>5407</v>
      </c>
      <c r="L2761" s="205">
        <v>1</v>
      </c>
      <c r="M2761" s="366">
        <v>40000</v>
      </c>
      <c r="N2761" s="205">
        <v>80</v>
      </c>
      <c r="O2761" s="360">
        <f>+M2761/N2761</f>
        <v>500</v>
      </c>
      <c r="P2761" s="134"/>
    </row>
    <row r="2762" spans="1:16" s="140" customFormat="1" ht="12.75" customHeight="1" x14ac:dyDescent="0.25">
      <c r="A2762" s="141"/>
      <c r="B2762" s="155"/>
      <c r="C2762" s="151"/>
      <c r="D2762" s="152"/>
      <c r="E2762" s="152"/>
      <c r="F2762" s="151"/>
      <c r="G2762" s="156"/>
      <c r="H2762" s="134"/>
      <c r="I2762" s="141"/>
      <c r="J2762" s="155" t="s">
        <v>5739</v>
      </c>
      <c r="K2762" s="151" t="s">
        <v>5407</v>
      </c>
      <c r="L2762" s="205">
        <v>1</v>
      </c>
      <c r="M2762" s="152">
        <v>150000</v>
      </c>
      <c r="N2762" s="205">
        <v>30</v>
      </c>
      <c r="O2762" s="360">
        <f>+M2762/N2762</f>
        <v>5000</v>
      </c>
      <c r="P2762" s="134"/>
    </row>
    <row r="2763" spans="1:16" s="140" customFormat="1" ht="12.75" customHeight="1" x14ac:dyDescent="0.25">
      <c r="A2763" s="141"/>
      <c r="B2763" s="155"/>
      <c r="C2763" s="151"/>
      <c r="D2763" s="152"/>
      <c r="E2763" s="152"/>
      <c r="F2763" s="151"/>
      <c r="G2763" s="156"/>
      <c r="H2763" s="134"/>
      <c r="I2763" s="141"/>
      <c r="J2763" s="155"/>
      <c r="K2763" s="151"/>
      <c r="L2763" s="205"/>
      <c r="M2763" s="152"/>
      <c r="N2763" s="205"/>
      <c r="O2763" s="156"/>
      <c r="P2763" s="134"/>
    </row>
    <row r="2764" spans="1:16" s="140" customFormat="1" ht="13.5" thickBot="1" x14ac:dyDescent="0.3">
      <c r="A2764" s="141"/>
      <c r="B2764" s="155"/>
      <c r="C2764" s="151"/>
      <c r="D2764" s="152"/>
      <c r="E2764" s="152"/>
      <c r="F2764" s="151"/>
      <c r="G2764" s="156"/>
      <c r="H2764" s="134"/>
      <c r="I2764" s="141"/>
      <c r="J2764" s="155"/>
      <c r="K2764" s="151"/>
      <c r="L2764" s="205"/>
      <c r="M2764" s="152"/>
      <c r="N2764" s="205"/>
      <c r="O2764" s="156"/>
      <c r="P2764" s="134"/>
    </row>
    <row r="2765" spans="1:16" s="140" customFormat="1" ht="13.5" thickBot="1" x14ac:dyDescent="0.3">
      <c r="A2765" s="141"/>
      <c r="B2765" s="157"/>
      <c r="C2765" s="158"/>
      <c r="D2765" s="159"/>
      <c r="E2765" s="159"/>
      <c r="F2765" s="158"/>
      <c r="G2765" s="160"/>
      <c r="H2765" s="161">
        <f>+SUM(G2759:G2765)</f>
        <v>2394.2666666666669</v>
      </c>
      <c r="I2765" s="141"/>
      <c r="J2765" s="157"/>
      <c r="K2765" s="158"/>
      <c r="L2765" s="327"/>
      <c r="M2765" s="159"/>
      <c r="N2765" s="327"/>
      <c r="O2765" s="160"/>
      <c r="P2765" s="161">
        <f>+SUM(O2759:O2765)</f>
        <v>9625.0600000000013</v>
      </c>
    </row>
    <row r="2766" spans="1:16" s="140" customFormat="1" ht="13.5" thickBot="1" x14ac:dyDescent="0.3">
      <c r="A2766" s="141"/>
      <c r="B2766" s="162"/>
      <c r="C2766" s="163"/>
      <c r="D2766" s="162"/>
      <c r="E2766" s="162"/>
      <c r="F2766" s="163"/>
      <c r="G2766" s="164"/>
      <c r="H2766" s="165"/>
      <c r="I2766" s="141"/>
      <c r="J2766" s="162"/>
      <c r="K2766" s="163"/>
      <c r="L2766" s="162"/>
      <c r="M2766" s="162"/>
      <c r="N2766" s="163"/>
      <c r="O2766" s="164"/>
      <c r="P2766" s="165"/>
    </row>
    <row r="2767" spans="1:16" s="140" customFormat="1" ht="13.5" thickBot="1" x14ac:dyDescent="0.3">
      <c r="B2767" s="143" t="s">
        <v>5408</v>
      </c>
      <c r="C2767" s="144" t="s">
        <v>867</v>
      </c>
      <c r="D2767" s="144" t="s">
        <v>6</v>
      </c>
      <c r="E2767" s="144" t="s">
        <v>870</v>
      </c>
      <c r="F2767" s="144" t="s">
        <v>5409</v>
      </c>
      <c r="G2767" s="145" t="s">
        <v>868</v>
      </c>
      <c r="H2767" s="134"/>
      <c r="J2767" s="143" t="s">
        <v>5408</v>
      </c>
      <c r="K2767" s="144" t="s">
        <v>867</v>
      </c>
      <c r="L2767" s="144" t="s">
        <v>6</v>
      </c>
      <c r="M2767" s="144" t="s">
        <v>870</v>
      </c>
      <c r="N2767" s="144" t="s">
        <v>5409</v>
      </c>
      <c r="O2767" s="145" t="s">
        <v>868</v>
      </c>
      <c r="P2767" s="134"/>
    </row>
    <row r="2768" spans="1:16" s="140" customFormat="1" ht="25.5" x14ac:dyDescent="0.25">
      <c r="B2768" s="302" t="s">
        <v>150</v>
      </c>
      <c r="C2768" s="147" t="s">
        <v>5464</v>
      </c>
      <c r="D2768" s="167">
        <v>1</v>
      </c>
      <c r="E2768" s="438">
        <v>40000</v>
      </c>
      <c r="F2768" s="169">
        <v>0.3</v>
      </c>
      <c r="G2768" s="367">
        <f>+D2768*E2768*(1+F2768)</f>
        <v>52000</v>
      </c>
      <c r="H2768" s="134"/>
      <c r="J2768" s="302" t="s">
        <v>150</v>
      </c>
      <c r="K2768" s="147" t="s">
        <v>5464</v>
      </c>
      <c r="L2768" s="167">
        <v>1</v>
      </c>
      <c r="M2768" s="438">
        <f>+E2768</f>
        <v>40000</v>
      </c>
      <c r="N2768" s="169">
        <v>0.3</v>
      </c>
      <c r="O2768" s="367">
        <f>+L2768*M2768*(1+N2768)</f>
        <v>52000</v>
      </c>
      <c r="P2768" s="134"/>
    </row>
    <row r="2769" spans="2:16" s="140" customFormat="1" x14ac:dyDescent="0.25">
      <c r="B2769" s="196"/>
      <c r="C2769" s="151"/>
      <c r="D2769" s="151"/>
      <c r="E2769" s="366"/>
      <c r="F2769" s="169"/>
      <c r="G2769" s="367"/>
      <c r="H2769" s="134"/>
      <c r="J2769" s="196"/>
      <c r="K2769" s="151"/>
      <c r="L2769" s="151"/>
      <c r="M2769" s="366"/>
      <c r="N2769" s="169"/>
      <c r="O2769" s="367"/>
      <c r="P2769" s="134"/>
    </row>
    <row r="2770" spans="2:16" s="140" customFormat="1" ht="12.75" customHeight="1" x14ac:dyDescent="0.25">
      <c r="B2770" s="196"/>
      <c r="C2770" s="151"/>
      <c r="D2770" s="151"/>
      <c r="E2770" s="366"/>
      <c r="F2770" s="169"/>
      <c r="G2770" s="367"/>
      <c r="H2770" s="134"/>
      <c r="J2770" s="196"/>
      <c r="K2770" s="151"/>
      <c r="L2770" s="151"/>
      <c r="M2770" s="366"/>
      <c r="N2770" s="169"/>
      <c r="O2770" s="367"/>
      <c r="P2770" s="134"/>
    </row>
    <row r="2771" spans="2:16" s="140" customFormat="1" x14ac:dyDescent="0.25">
      <c r="B2771" s="155"/>
      <c r="C2771" s="151"/>
      <c r="D2771" s="151"/>
      <c r="E2771" s="148"/>
      <c r="F2771" s="151"/>
      <c r="G2771" s="367"/>
      <c r="H2771" s="134"/>
      <c r="J2771" s="155"/>
      <c r="K2771" s="151"/>
      <c r="L2771" s="151"/>
      <c r="M2771" s="148"/>
      <c r="N2771" s="151"/>
      <c r="O2771" s="367"/>
      <c r="P2771" s="134"/>
    </row>
    <row r="2772" spans="2:16" s="140" customFormat="1" x14ac:dyDescent="0.25">
      <c r="B2772" s="155"/>
      <c r="C2772" s="151"/>
      <c r="D2772" s="151"/>
      <c r="E2772" s="148"/>
      <c r="F2772" s="151"/>
      <c r="G2772" s="367"/>
      <c r="H2772" s="134"/>
      <c r="J2772" s="155"/>
      <c r="K2772" s="151"/>
      <c r="L2772" s="151"/>
      <c r="M2772" s="148"/>
      <c r="N2772" s="151"/>
      <c r="O2772" s="367"/>
      <c r="P2772" s="134"/>
    </row>
    <row r="2773" spans="2:16" s="140" customFormat="1" x14ac:dyDescent="0.25">
      <c r="B2773" s="155"/>
      <c r="C2773" s="151"/>
      <c r="D2773" s="151"/>
      <c r="E2773" s="148"/>
      <c r="F2773" s="151"/>
      <c r="G2773" s="367"/>
      <c r="H2773" s="134"/>
      <c r="J2773" s="155"/>
      <c r="K2773" s="151"/>
      <c r="L2773" s="151"/>
      <c r="M2773" s="148"/>
      <c r="N2773" s="151"/>
      <c r="O2773" s="367"/>
      <c r="P2773" s="134"/>
    </row>
    <row r="2774" spans="2:16" s="140" customFormat="1" x14ac:dyDescent="0.25">
      <c r="B2774" s="155"/>
      <c r="C2774" s="151"/>
      <c r="D2774" s="151"/>
      <c r="E2774" s="148"/>
      <c r="F2774" s="151"/>
      <c r="G2774" s="367"/>
      <c r="H2774" s="134"/>
      <c r="J2774" s="155"/>
      <c r="K2774" s="151"/>
      <c r="L2774" s="151"/>
      <c r="M2774" s="148"/>
      <c r="N2774" s="151"/>
      <c r="O2774" s="367"/>
      <c r="P2774" s="134"/>
    </row>
    <row r="2775" spans="2:16" s="140" customFormat="1" x14ac:dyDescent="0.25">
      <c r="B2775" s="155"/>
      <c r="C2775" s="151"/>
      <c r="D2775" s="151"/>
      <c r="E2775" s="148"/>
      <c r="F2775" s="151"/>
      <c r="G2775" s="367"/>
      <c r="H2775" s="134"/>
      <c r="J2775" s="155"/>
      <c r="K2775" s="151"/>
      <c r="L2775" s="151"/>
      <c r="M2775" s="148"/>
      <c r="N2775" s="151"/>
      <c r="O2775" s="367"/>
      <c r="P2775" s="134"/>
    </row>
    <row r="2776" spans="2:16" s="140" customFormat="1" x14ac:dyDescent="0.25">
      <c r="B2776" s="155"/>
      <c r="C2776" s="151"/>
      <c r="D2776" s="151"/>
      <c r="E2776" s="148"/>
      <c r="F2776" s="151"/>
      <c r="G2776" s="367"/>
      <c r="H2776" s="134"/>
      <c r="J2776" s="155"/>
      <c r="K2776" s="151"/>
      <c r="L2776" s="151"/>
      <c r="M2776" s="148"/>
      <c r="N2776" s="151"/>
      <c r="O2776" s="367"/>
      <c r="P2776" s="134"/>
    </row>
    <row r="2777" spans="2:16" s="140" customFormat="1" x14ac:dyDescent="0.25">
      <c r="B2777" s="155"/>
      <c r="C2777" s="151"/>
      <c r="D2777" s="151"/>
      <c r="E2777" s="148"/>
      <c r="F2777" s="151"/>
      <c r="G2777" s="367"/>
      <c r="H2777" s="134"/>
      <c r="J2777" s="155"/>
      <c r="K2777" s="151"/>
      <c r="L2777" s="151"/>
      <c r="M2777" s="148"/>
      <c r="N2777" s="151"/>
      <c r="O2777" s="367"/>
      <c r="P2777" s="134"/>
    </row>
    <row r="2778" spans="2:16" s="140" customFormat="1" x14ac:dyDescent="0.25">
      <c r="B2778" s="155"/>
      <c r="C2778" s="152"/>
      <c r="D2778" s="152"/>
      <c r="E2778" s="152"/>
      <c r="F2778" s="151"/>
      <c r="G2778" s="156"/>
      <c r="H2778" s="134"/>
      <c r="J2778" s="155"/>
      <c r="K2778" s="152"/>
      <c r="L2778" s="152"/>
      <c r="M2778" s="152"/>
      <c r="N2778" s="151"/>
      <c r="O2778" s="156"/>
      <c r="P2778" s="134"/>
    </row>
    <row r="2779" spans="2:16" s="140" customFormat="1" ht="13.5" thickBot="1" x14ac:dyDescent="0.3">
      <c r="B2779" s="155"/>
      <c r="C2779" s="152"/>
      <c r="D2779" s="152"/>
      <c r="E2779" s="152"/>
      <c r="F2779" s="151"/>
      <c r="G2779" s="156"/>
      <c r="H2779" s="134"/>
      <c r="J2779" s="155"/>
      <c r="K2779" s="152"/>
      <c r="L2779" s="152"/>
      <c r="M2779" s="152"/>
      <c r="N2779" s="151"/>
      <c r="O2779" s="156"/>
      <c r="P2779" s="134"/>
    </row>
    <row r="2780" spans="2:16" s="140" customFormat="1" ht="13.5" thickBot="1" x14ac:dyDescent="0.3">
      <c r="B2780" s="157"/>
      <c r="C2780" s="159"/>
      <c r="D2780" s="159"/>
      <c r="E2780" s="159"/>
      <c r="F2780" s="158"/>
      <c r="G2780" s="160"/>
      <c r="H2780" s="161">
        <f>+SUM(G2768:G2780)</f>
        <v>52000</v>
      </c>
      <c r="J2780" s="157"/>
      <c r="K2780" s="159"/>
      <c r="L2780" s="159"/>
      <c r="M2780" s="159"/>
      <c r="N2780" s="158"/>
      <c r="O2780" s="160"/>
      <c r="P2780" s="161">
        <f>+SUM(O2768:O2780)</f>
        <v>52000</v>
      </c>
    </row>
    <row r="2781" spans="2:16" s="140" customFormat="1" ht="13.5" thickBot="1" x14ac:dyDescent="0.3">
      <c r="B2781" s="162"/>
      <c r="C2781" s="162"/>
      <c r="D2781" s="162"/>
      <c r="E2781" s="162"/>
      <c r="F2781" s="163"/>
      <c r="G2781" s="164"/>
      <c r="H2781" s="165"/>
      <c r="J2781" s="162"/>
      <c r="K2781" s="162"/>
      <c r="L2781" s="162"/>
      <c r="M2781" s="162"/>
      <c r="N2781" s="163"/>
      <c r="O2781" s="164"/>
      <c r="P2781" s="165"/>
    </row>
    <row r="2782" spans="2:16" s="140" customFormat="1" ht="13.5" thickBot="1" x14ac:dyDescent="0.3">
      <c r="B2782" s="143" t="s">
        <v>5410</v>
      </c>
      <c r="C2782" s="144" t="s">
        <v>867</v>
      </c>
      <c r="D2782" s="144" t="s">
        <v>6</v>
      </c>
      <c r="E2782" s="144" t="s">
        <v>870</v>
      </c>
      <c r="F2782" s="144" t="s">
        <v>5411</v>
      </c>
      <c r="G2782" s="145" t="s">
        <v>868</v>
      </c>
      <c r="H2782" s="134"/>
      <c r="J2782" s="143" t="s">
        <v>5410</v>
      </c>
      <c r="K2782" s="144" t="s">
        <v>867</v>
      </c>
      <c r="L2782" s="144" t="s">
        <v>6</v>
      </c>
      <c r="M2782" s="144" t="s">
        <v>870</v>
      </c>
      <c r="N2782" s="144" t="s">
        <v>5411</v>
      </c>
      <c r="O2782" s="145" t="s">
        <v>868</v>
      </c>
      <c r="P2782" s="134"/>
    </row>
    <row r="2783" spans="2:16" s="140" customFormat="1" x14ac:dyDescent="0.25">
      <c r="B2783" s="201"/>
      <c r="C2783" s="147"/>
      <c r="D2783" s="211"/>
      <c r="E2783" s="366"/>
      <c r="F2783" s="167"/>
      <c r="G2783" s="367"/>
      <c r="H2783" s="134"/>
      <c r="J2783" s="201"/>
      <c r="K2783" s="147"/>
      <c r="L2783" s="211"/>
      <c r="M2783" s="366"/>
      <c r="N2783" s="167"/>
      <c r="O2783" s="367"/>
      <c r="P2783" s="134"/>
    </row>
    <row r="2784" spans="2:16" s="140" customFormat="1" x14ac:dyDescent="0.25">
      <c r="B2784" s="196"/>
      <c r="C2784" s="151"/>
      <c r="D2784" s="151"/>
      <c r="E2784" s="366"/>
      <c r="F2784" s="147"/>
      <c r="G2784" s="367"/>
      <c r="H2784" s="134"/>
      <c r="J2784" s="196"/>
      <c r="K2784" s="151"/>
      <c r="L2784" s="151"/>
      <c r="M2784" s="366"/>
      <c r="N2784" s="147"/>
      <c r="O2784" s="367"/>
      <c r="P2784" s="134"/>
    </row>
    <row r="2785" spans="2:16" s="140" customFormat="1" x14ac:dyDescent="0.25">
      <c r="B2785" s="196"/>
      <c r="C2785" s="151"/>
      <c r="D2785" s="151"/>
      <c r="E2785" s="148"/>
      <c r="F2785" s="151"/>
      <c r="G2785" s="367"/>
      <c r="H2785" s="134"/>
      <c r="J2785" s="196"/>
      <c r="K2785" s="151"/>
      <c r="L2785" s="151"/>
      <c r="M2785" s="148"/>
      <c r="N2785" s="151"/>
      <c r="O2785" s="367"/>
      <c r="P2785" s="134"/>
    </row>
    <row r="2786" spans="2:16" s="140" customFormat="1" x14ac:dyDescent="0.25">
      <c r="B2786" s="155"/>
      <c r="C2786" s="151"/>
      <c r="D2786" s="151"/>
      <c r="E2786" s="148"/>
      <c r="F2786" s="151"/>
      <c r="G2786" s="367"/>
      <c r="H2786" s="134"/>
      <c r="J2786" s="155"/>
      <c r="K2786" s="151"/>
      <c r="L2786" s="151"/>
      <c r="M2786" s="148"/>
      <c r="N2786" s="151"/>
      <c r="O2786" s="367"/>
      <c r="P2786" s="134"/>
    </row>
    <row r="2787" spans="2:16" s="140" customFormat="1" x14ac:dyDescent="0.25">
      <c r="B2787" s="155"/>
      <c r="C2787" s="151"/>
      <c r="D2787" s="151"/>
      <c r="E2787" s="148"/>
      <c r="F2787" s="151"/>
      <c r="G2787" s="367"/>
      <c r="H2787" s="134"/>
      <c r="J2787" s="155"/>
      <c r="K2787" s="151"/>
      <c r="L2787" s="151"/>
      <c r="M2787" s="148"/>
      <c r="N2787" s="151"/>
      <c r="O2787" s="367"/>
      <c r="P2787" s="134"/>
    </row>
    <row r="2788" spans="2:16" s="140" customFormat="1" ht="13.5" thickBot="1" x14ac:dyDescent="0.3">
      <c r="B2788" s="155"/>
      <c r="C2788" s="151"/>
      <c r="D2788" s="151"/>
      <c r="E2788" s="148"/>
      <c r="F2788" s="151"/>
      <c r="G2788" s="367"/>
      <c r="H2788" s="134"/>
      <c r="J2788" s="155"/>
      <c r="K2788" s="151"/>
      <c r="L2788" s="151"/>
      <c r="M2788" s="148"/>
      <c r="N2788" s="151"/>
      <c r="O2788" s="367"/>
      <c r="P2788" s="134"/>
    </row>
    <row r="2789" spans="2:16" s="140" customFormat="1" ht="13.5" thickBot="1" x14ac:dyDescent="0.3">
      <c r="B2789" s="157"/>
      <c r="C2789" s="159"/>
      <c r="D2789" s="159"/>
      <c r="E2789" s="159"/>
      <c r="F2789" s="158"/>
      <c r="G2789" s="160"/>
      <c r="H2789" s="161">
        <f>+SUM(G2783:G2789)</f>
        <v>0</v>
      </c>
      <c r="J2789" s="157"/>
      <c r="K2789" s="159"/>
      <c r="L2789" s="159"/>
      <c r="M2789" s="159"/>
      <c r="N2789" s="158"/>
      <c r="O2789" s="160"/>
      <c r="P2789" s="161">
        <f>+SUM(O2783:O2789)</f>
        <v>0</v>
      </c>
    </row>
    <row r="2790" spans="2:16" s="140" customFormat="1" ht="13.5" thickBot="1" x14ac:dyDescent="0.3">
      <c r="B2790" s="162"/>
      <c r="C2790" s="162"/>
      <c r="D2790" s="162"/>
      <c r="E2790" s="162"/>
      <c r="F2790" s="173"/>
      <c r="G2790" s="174"/>
      <c r="H2790" s="165"/>
      <c r="J2790" s="162"/>
      <c r="K2790" s="162"/>
      <c r="L2790" s="162"/>
      <c r="M2790" s="162"/>
      <c r="N2790" s="173"/>
      <c r="O2790" s="174"/>
      <c r="P2790" s="165"/>
    </row>
    <row r="2791" spans="2:16" s="140" customFormat="1" ht="13.5" thickBot="1" x14ac:dyDescent="0.3">
      <c r="B2791" s="143" t="s">
        <v>5412</v>
      </c>
      <c r="C2791" s="144" t="s">
        <v>5420</v>
      </c>
      <c r="D2791" s="144" t="s">
        <v>5421</v>
      </c>
      <c r="E2791" s="144" t="s">
        <v>5413</v>
      </c>
      <c r="F2791" s="144" t="s">
        <v>5405</v>
      </c>
      <c r="G2791" s="145" t="s">
        <v>868</v>
      </c>
      <c r="H2791" s="134"/>
      <c r="J2791" s="143" t="s">
        <v>5412</v>
      </c>
      <c r="K2791" s="144" t="s">
        <v>5420</v>
      </c>
      <c r="L2791" s="144" t="s">
        <v>5421</v>
      </c>
      <c r="M2791" s="144" t="s">
        <v>5413</v>
      </c>
      <c r="N2791" s="144" t="s">
        <v>5405</v>
      </c>
      <c r="O2791" s="145" t="s">
        <v>868</v>
      </c>
      <c r="P2791" s="134"/>
    </row>
    <row r="2792" spans="2:16" s="140" customFormat="1" x14ac:dyDescent="0.25">
      <c r="B2792" s="194" t="s">
        <v>5650</v>
      </c>
      <c r="C2792" s="345">
        <v>70000</v>
      </c>
      <c r="D2792" s="345">
        <f>+C2792*0.85</f>
        <v>59500</v>
      </c>
      <c r="E2792" s="353">
        <f>+C2792+D2792</f>
        <v>129500</v>
      </c>
      <c r="F2792" s="202">
        <v>300</v>
      </c>
      <c r="G2792" s="351">
        <f>+E2792/F2792</f>
        <v>431.66666666666669</v>
      </c>
      <c r="H2792" s="134"/>
      <c r="J2792" s="194" t="s">
        <v>5650</v>
      </c>
      <c r="K2792" s="345">
        <v>70000</v>
      </c>
      <c r="L2792" s="345">
        <f>+K2792*0.85</f>
        <v>59500</v>
      </c>
      <c r="M2792" s="353">
        <f>+K2792+L2792</f>
        <v>129500</v>
      </c>
      <c r="N2792" s="202">
        <v>1000</v>
      </c>
      <c r="O2792" s="351">
        <f>+M2792/N2792</f>
        <v>129.5</v>
      </c>
      <c r="P2792" s="134"/>
    </row>
    <row r="2793" spans="2:16" s="140" customFormat="1" x14ac:dyDescent="0.25">
      <c r="B2793" s="194" t="s">
        <v>5651</v>
      </c>
      <c r="C2793" s="345">
        <v>40000</v>
      </c>
      <c r="D2793" s="345">
        <f>+C2793*0.85</f>
        <v>34000</v>
      </c>
      <c r="E2793" s="353">
        <f>+C2793+D2793</f>
        <v>74000</v>
      </c>
      <c r="F2793" s="204">
        <v>20</v>
      </c>
      <c r="G2793" s="351">
        <f>+E2793/F2793</f>
        <v>3700</v>
      </c>
      <c r="H2793" s="134"/>
      <c r="J2793" s="194" t="s">
        <v>5651</v>
      </c>
      <c r="K2793" s="345">
        <v>40000</v>
      </c>
      <c r="L2793" s="345">
        <f>+K2793*0.85</f>
        <v>34000</v>
      </c>
      <c r="M2793" s="353">
        <f>+K2793+L2793</f>
        <v>74000</v>
      </c>
      <c r="N2793" s="204">
        <v>100</v>
      </c>
      <c r="O2793" s="351">
        <f>+M2793/N2793</f>
        <v>740</v>
      </c>
      <c r="P2793" s="134"/>
    </row>
    <row r="2794" spans="2:16" s="140" customFormat="1" x14ac:dyDescent="0.25">
      <c r="B2794" s="195" t="s">
        <v>5635</v>
      </c>
      <c r="C2794" s="345">
        <v>20600</v>
      </c>
      <c r="D2794" s="345">
        <f>+C2794*0.85</f>
        <v>17510</v>
      </c>
      <c r="E2794" s="353">
        <f>+C2794+D2794</f>
        <v>38110</v>
      </c>
      <c r="F2794" s="205">
        <v>10</v>
      </c>
      <c r="G2794" s="351">
        <f>+E2794/F2794</f>
        <v>3811</v>
      </c>
      <c r="H2794" s="134"/>
      <c r="J2794" s="195" t="s">
        <v>5635</v>
      </c>
      <c r="K2794" s="345">
        <v>20600</v>
      </c>
      <c r="L2794" s="345">
        <f>+K2794*0.85</f>
        <v>17510</v>
      </c>
      <c r="M2794" s="353">
        <f>+K2794+L2794</f>
        <v>38110</v>
      </c>
      <c r="N2794" s="205">
        <v>100</v>
      </c>
      <c r="O2794" s="351">
        <f>+M2794/N2794</f>
        <v>381.1</v>
      </c>
      <c r="P2794" s="134"/>
    </row>
    <row r="2795" spans="2:16" s="140" customFormat="1" x14ac:dyDescent="0.25">
      <c r="B2795" s="155"/>
      <c r="C2795" s="345"/>
      <c r="D2795" s="152"/>
      <c r="E2795" s="152"/>
      <c r="F2795" s="151"/>
      <c r="G2795" s="156"/>
      <c r="H2795" s="134"/>
      <c r="J2795" s="155"/>
      <c r="K2795" s="345"/>
      <c r="L2795" s="152"/>
      <c r="M2795" s="152"/>
      <c r="N2795" s="151"/>
      <c r="O2795" s="156"/>
      <c r="P2795" s="134"/>
    </row>
    <row r="2796" spans="2:16" s="140" customFormat="1" x14ac:dyDescent="0.25">
      <c r="B2796" s="155"/>
      <c r="C2796" s="152"/>
      <c r="D2796" s="152"/>
      <c r="E2796" s="152"/>
      <c r="F2796" s="151"/>
      <c r="G2796" s="156"/>
      <c r="H2796" s="134"/>
      <c r="J2796" s="155"/>
      <c r="K2796" s="152"/>
      <c r="L2796" s="152"/>
      <c r="M2796" s="152"/>
      <c r="N2796" s="151"/>
      <c r="O2796" s="156"/>
      <c r="P2796" s="134"/>
    </row>
    <row r="2797" spans="2:16" s="140" customFormat="1" ht="13.5" thickBot="1" x14ac:dyDescent="0.3">
      <c r="B2797" s="155"/>
      <c r="C2797" s="152"/>
      <c r="D2797" s="152"/>
      <c r="E2797" s="152"/>
      <c r="F2797" s="151"/>
      <c r="G2797" s="156"/>
      <c r="H2797" s="134"/>
      <c r="J2797" s="155"/>
      <c r="K2797" s="152"/>
      <c r="L2797" s="152"/>
      <c r="M2797" s="152"/>
      <c r="N2797" s="151"/>
      <c r="O2797" s="156"/>
      <c r="P2797" s="134"/>
    </row>
    <row r="2798" spans="2:16" s="140" customFormat="1" ht="13.5" thickBot="1" x14ac:dyDescent="0.3">
      <c r="B2798" s="179"/>
      <c r="C2798" s="180"/>
      <c r="D2798" s="180"/>
      <c r="E2798" s="180"/>
      <c r="F2798" s="181"/>
      <c r="G2798" s="182"/>
      <c r="H2798" s="161">
        <f>+SUM(G2792:G2798)</f>
        <v>7942.666666666667</v>
      </c>
      <c r="J2798" s="179"/>
      <c r="K2798" s="180"/>
      <c r="L2798" s="180"/>
      <c r="M2798" s="180"/>
      <c r="N2798" s="181"/>
      <c r="O2798" s="182"/>
      <c r="P2798" s="161">
        <f>+SUM(O2792:O2798)</f>
        <v>1250.5999999999999</v>
      </c>
    </row>
    <row r="2799" spans="2:16" s="140" customFormat="1" ht="13.5" thickBot="1" x14ac:dyDescent="0.3">
      <c r="F2799" s="141"/>
      <c r="G2799" s="134"/>
      <c r="H2799" s="134"/>
      <c r="N2799" s="141"/>
      <c r="O2799" s="134"/>
      <c r="P2799" s="134"/>
    </row>
    <row r="2800" spans="2:16" s="140" customFormat="1" ht="13.5" thickBot="1" x14ac:dyDescent="0.3">
      <c r="E2800" s="183" t="s">
        <v>5415</v>
      </c>
      <c r="F2800" s="141"/>
      <c r="G2800" s="134"/>
      <c r="H2800" s="161">
        <f>ROUND(+H2765+H2780+H2789+H2798,0)</f>
        <v>62337</v>
      </c>
      <c r="M2800" s="183" t="s">
        <v>5415</v>
      </c>
      <c r="N2800" s="141"/>
      <c r="O2800" s="134"/>
      <c r="P2800" s="161">
        <f>ROUND(+P2765+P2780+P2789+P2798,0)</f>
        <v>62876</v>
      </c>
    </row>
    <row r="2801" spans="1:16" x14ac:dyDescent="0.25">
      <c r="O2801" s="133"/>
    </row>
    <row r="2802" spans="1:16" x14ac:dyDescent="0.25">
      <c r="H2802" s="341"/>
      <c r="O2802" s="133"/>
    </row>
    <row r="2803" spans="1:16" x14ac:dyDescent="0.25">
      <c r="O2803" s="133"/>
    </row>
    <row r="2804" spans="1:16" ht="12.75" customHeight="1" x14ac:dyDescent="0.25">
      <c r="O2804" s="133"/>
    </row>
    <row r="2805" spans="1:16" ht="18.75" x14ac:dyDescent="0.25">
      <c r="A2805" s="133"/>
      <c r="B2805" s="2506" t="s">
        <v>5400</v>
      </c>
      <c r="C2805" s="2506"/>
      <c r="D2805" s="2506"/>
      <c r="E2805" s="2506"/>
      <c r="F2805" s="2506"/>
      <c r="G2805" s="2506"/>
      <c r="I2805" s="133"/>
      <c r="J2805" s="474" t="s">
        <v>5400</v>
      </c>
      <c r="K2805" s="474"/>
      <c r="L2805" s="474"/>
      <c r="M2805" s="474"/>
      <c r="N2805" s="474"/>
      <c r="O2805" s="474"/>
    </row>
    <row r="2806" spans="1:16" x14ac:dyDescent="0.25">
      <c r="A2806" s="133"/>
      <c r="G2806" s="134"/>
      <c r="I2806" s="133"/>
      <c r="N2806" s="133"/>
      <c r="O2806" s="134"/>
    </row>
    <row r="2807" spans="1:16" x14ac:dyDescent="0.25">
      <c r="A2807" s="133"/>
      <c r="G2807" s="134"/>
      <c r="I2807" s="133"/>
      <c r="N2807" s="133"/>
      <c r="O2807" s="134"/>
    </row>
    <row r="2808" spans="1:16" x14ac:dyDescent="0.25">
      <c r="A2808" s="133"/>
      <c r="G2808" s="134"/>
      <c r="I2808" s="133"/>
      <c r="N2808" s="133"/>
      <c r="O2808" s="134"/>
    </row>
    <row r="2809" spans="1:16" s="140" customFormat="1" ht="38.25" x14ac:dyDescent="0.25">
      <c r="A2809" s="138" t="s">
        <v>3</v>
      </c>
      <c r="B2809" s="138" t="s">
        <v>153</v>
      </c>
      <c r="C2809" s="2450" t="s">
        <v>151</v>
      </c>
      <c r="D2809" s="2450"/>
      <c r="E2809" s="2450"/>
      <c r="F2809" s="138" t="s">
        <v>867</v>
      </c>
      <c r="G2809" s="139" t="s">
        <v>5454</v>
      </c>
      <c r="H2809" s="134"/>
      <c r="I2809" s="138" t="s">
        <v>3</v>
      </c>
      <c r="J2809" s="138" t="s">
        <v>153</v>
      </c>
      <c r="K2809" s="475" t="s">
        <v>151</v>
      </c>
      <c r="L2809" s="475"/>
      <c r="M2809" s="475"/>
      <c r="N2809" s="138" t="s">
        <v>867</v>
      </c>
      <c r="O2809" s="139" t="s">
        <v>5454</v>
      </c>
      <c r="P2809" s="134"/>
    </row>
    <row r="2810" spans="1:16" s="140" customFormat="1" x14ac:dyDescent="0.25">
      <c r="A2810" s="141"/>
      <c r="F2810" s="141"/>
      <c r="G2810" s="134"/>
      <c r="H2810" s="134"/>
      <c r="I2810" s="141"/>
      <c r="N2810" s="141"/>
      <c r="O2810" s="134"/>
      <c r="P2810" s="134"/>
    </row>
    <row r="2811" spans="1:16" s="140" customFormat="1" ht="12.75" customHeight="1" x14ac:dyDescent="0.25">
      <c r="A2811" s="141"/>
      <c r="F2811" s="141"/>
      <c r="G2811" s="142"/>
      <c r="H2811" s="134"/>
      <c r="I2811" s="141"/>
      <c r="N2811" s="141"/>
      <c r="O2811" s="142"/>
      <c r="P2811" s="134"/>
    </row>
    <row r="2812" spans="1:16" s="140" customFormat="1" ht="13.5" thickBot="1" x14ac:dyDescent="0.3">
      <c r="A2812" s="141"/>
      <c r="F2812" s="141"/>
      <c r="G2812" s="134"/>
      <c r="H2812" s="134"/>
      <c r="I2812" s="141"/>
      <c r="N2812" s="141"/>
      <c r="O2812" s="134"/>
      <c r="P2812" s="134"/>
    </row>
    <row r="2813" spans="1:16" s="140" customFormat="1" ht="13.5" thickBot="1" x14ac:dyDescent="0.3">
      <c r="A2813" s="141"/>
      <c r="B2813" s="143" t="s">
        <v>5403</v>
      </c>
      <c r="C2813" s="144" t="s">
        <v>867</v>
      </c>
      <c r="D2813" s="144" t="s">
        <v>6</v>
      </c>
      <c r="E2813" s="144" t="s">
        <v>5404</v>
      </c>
      <c r="F2813" s="144" t="s">
        <v>5405</v>
      </c>
      <c r="G2813" s="145" t="s">
        <v>868</v>
      </c>
      <c r="H2813" s="134"/>
      <c r="I2813" s="141"/>
      <c r="J2813" s="143" t="s">
        <v>5403</v>
      </c>
      <c r="K2813" s="144" t="s">
        <v>867</v>
      </c>
      <c r="L2813" s="144" t="s">
        <v>6</v>
      </c>
      <c r="M2813" s="144" t="s">
        <v>5404</v>
      </c>
      <c r="N2813" s="144" t="s">
        <v>5405</v>
      </c>
      <c r="O2813" s="145" t="s">
        <v>868</v>
      </c>
      <c r="P2813" s="134"/>
    </row>
    <row r="2814" spans="1:16" s="140" customFormat="1" x14ac:dyDescent="0.25">
      <c r="A2814" s="141"/>
      <c r="B2814" s="146" t="s">
        <v>5440</v>
      </c>
      <c r="C2814" s="147" t="s">
        <v>5406</v>
      </c>
      <c r="D2814" s="147"/>
      <c r="E2814" s="148">
        <f>+H2853</f>
        <v>11969.5</v>
      </c>
      <c r="F2814" s="167">
        <v>0.1</v>
      </c>
      <c r="G2814" s="360">
        <f>+E2814*F2814</f>
        <v>1196.95</v>
      </c>
      <c r="H2814" s="134"/>
      <c r="I2814" s="141"/>
      <c r="J2814" s="146" t="s">
        <v>5440</v>
      </c>
      <c r="K2814" s="147" t="s">
        <v>5406</v>
      </c>
      <c r="L2814" s="147"/>
      <c r="M2814" s="148">
        <f>+P2853</f>
        <v>2775</v>
      </c>
      <c r="N2814" s="167">
        <v>0.1</v>
      </c>
      <c r="O2814" s="360">
        <f>+M2814*N2814</f>
        <v>277.5</v>
      </c>
      <c r="P2814" s="134"/>
    </row>
    <row r="2815" spans="1:16" s="140" customFormat="1" x14ac:dyDescent="0.25">
      <c r="A2815" s="141"/>
      <c r="B2815" s="150" t="s">
        <v>5700</v>
      </c>
      <c r="C2815" s="151" t="s">
        <v>5407</v>
      </c>
      <c r="D2815" s="151"/>
      <c r="E2815" s="366">
        <v>25000</v>
      </c>
      <c r="F2815" s="205">
        <v>10</v>
      </c>
      <c r="G2815" s="360">
        <f>+E2815/F2815</f>
        <v>2500</v>
      </c>
      <c r="H2815" s="134"/>
      <c r="I2815" s="141"/>
      <c r="J2815" s="150" t="s">
        <v>5738</v>
      </c>
      <c r="K2815" s="151" t="s">
        <v>5407</v>
      </c>
      <c r="L2815" s="205"/>
      <c r="M2815" s="366">
        <v>80000</v>
      </c>
      <c r="N2815" s="205">
        <v>15</v>
      </c>
      <c r="O2815" s="360">
        <f>+M2815/N2815</f>
        <v>5333.333333333333</v>
      </c>
      <c r="P2815" s="134"/>
    </row>
    <row r="2816" spans="1:16" s="140" customFormat="1" ht="12.75" customHeight="1" x14ac:dyDescent="0.25">
      <c r="A2816" s="141"/>
      <c r="B2816" s="150" t="s">
        <v>5736</v>
      </c>
      <c r="C2816" s="151" t="s">
        <v>5481</v>
      </c>
      <c r="D2816" s="205">
        <v>1</v>
      </c>
      <c r="E2816" s="366">
        <v>40000</v>
      </c>
      <c r="F2816" s="205">
        <v>30</v>
      </c>
      <c r="G2816" s="360">
        <f>+E2816/F2816</f>
        <v>1333.3333333333333</v>
      </c>
      <c r="H2816" s="134"/>
      <c r="I2816" s="141"/>
      <c r="J2816" s="150" t="s">
        <v>5736</v>
      </c>
      <c r="K2816" s="151" t="s">
        <v>5407</v>
      </c>
      <c r="L2816" s="205">
        <v>1</v>
      </c>
      <c r="M2816" s="366">
        <v>40000</v>
      </c>
      <c r="N2816" s="205">
        <v>40</v>
      </c>
      <c r="O2816" s="360">
        <f>+M2816/N2816</f>
        <v>1000</v>
      </c>
      <c r="P2816" s="134"/>
    </row>
    <row r="2817" spans="1:16" s="140" customFormat="1" ht="12.75" customHeight="1" x14ac:dyDescent="0.25">
      <c r="A2817" s="141"/>
      <c r="B2817" s="155"/>
      <c r="C2817" s="151"/>
      <c r="D2817" s="152"/>
      <c r="E2817" s="152"/>
      <c r="F2817" s="151"/>
      <c r="G2817" s="156"/>
      <c r="H2817" s="134"/>
      <c r="I2817" s="141"/>
      <c r="J2817" s="155" t="s">
        <v>5739</v>
      </c>
      <c r="K2817" s="151" t="s">
        <v>5407</v>
      </c>
      <c r="L2817" s="205">
        <v>1</v>
      </c>
      <c r="M2817" s="152">
        <v>150000</v>
      </c>
      <c r="N2817" s="205">
        <v>25</v>
      </c>
      <c r="O2817" s="360">
        <f>+M2817/N2817</f>
        <v>6000</v>
      </c>
      <c r="P2817" s="134"/>
    </row>
    <row r="2818" spans="1:16" s="140" customFormat="1" ht="12.75" customHeight="1" x14ac:dyDescent="0.25">
      <c r="A2818" s="141"/>
      <c r="B2818" s="155"/>
      <c r="C2818" s="151"/>
      <c r="D2818" s="152"/>
      <c r="E2818" s="152"/>
      <c r="F2818" s="151"/>
      <c r="G2818" s="156"/>
      <c r="H2818" s="134"/>
      <c r="I2818" s="141"/>
      <c r="J2818" s="155"/>
      <c r="K2818" s="151"/>
      <c r="L2818" s="152"/>
      <c r="M2818" s="152"/>
      <c r="N2818" s="151"/>
      <c r="O2818" s="156"/>
      <c r="P2818" s="134"/>
    </row>
    <row r="2819" spans="1:16" s="140" customFormat="1" ht="13.5" thickBot="1" x14ac:dyDescent="0.3">
      <c r="A2819" s="141"/>
      <c r="B2819" s="155"/>
      <c r="C2819" s="151"/>
      <c r="D2819" s="152"/>
      <c r="E2819" s="152"/>
      <c r="F2819" s="151"/>
      <c r="G2819" s="156"/>
      <c r="H2819" s="134"/>
      <c r="I2819" s="141"/>
      <c r="J2819" s="155"/>
      <c r="K2819" s="151"/>
      <c r="L2819" s="152"/>
      <c r="M2819" s="152"/>
      <c r="N2819" s="151"/>
      <c r="O2819" s="156"/>
      <c r="P2819" s="134"/>
    </row>
    <row r="2820" spans="1:16" s="140" customFormat="1" ht="13.5" thickBot="1" x14ac:dyDescent="0.3">
      <c r="A2820" s="141"/>
      <c r="B2820" s="157"/>
      <c r="C2820" s="158"/>
      <c r="D2820" s="159"/>
      <c r="E2820" s="159"/>
      <c r="F2820" s="158"/>
      <c r="G2820" s="160"/>
      <c r="H2820" s="161">
        <f>+SUM(G2814:G2820)</f>
        <v>5030.2833333333328</v>
      </c>
      <c r="I2820" s="141"/>
      <c r="J2820" s="157"/>
      <c r="K2820" s="158"/>
      <c r="L2820" s="159"/>
      <c r="M2820" s="159"/>
      <c r="N2820" s="158"/>
      <c r="O2820" s="160"/>
      <c r="P2820" s="161">
        <f>+SUM(O2814:O2820)</f>
        <v>12610.833333333332</v>
      </c>
    </row>
    <row r="2821" spans="1:16" s="140" customFormat="1" ht="13.5" thickBot="1" x14ac:dyDescent="0.3">
      <c r="A2821" s="141"/>
      <c r="B2821" s="162"/>
      <c r="C2821" s="163"/>
      <c r="D2821" s="162"/>
      <c r="E2821" s="162"/>
      <c r="F2821" s="163"/>
      <c r="G2821" s="164"/>
      <c r="H2821" s="165"/>
      <c r="I2821" s="141"/>
      <c r="J2821" s="162"/>
      <c r="K2821" s="163"/>
      <c r="L2821" s="162"/>
      <c r="M2821" s="162"/>
      <c r="N2821" s="163"/>
      <c r="O2821" s="164"/>
      <c r="P2821" s="165"/>
    </row>
    <row r="2822" spans="1:16" s="140" customFormat="1" ht="13.5" thickBot="1" x14ac:dyDescent="0.3">
      <c r="B2822" s="143" t="s">
        <v>5408</v>
      </c>
      <c r="C2822" s="144" t="s">
        <v>867</v>
      </c>
      <c r="D2822" s="144" t="s">
        <v>6</v>
      </c>
      <c r="E2822" s="144" t="s">
        <v>870</v>
      </c>
      <c r="F2822" s="144" t="s">
        <v>5409</v>
      </c>
      <c r="G2822" s="145" t="s">
        <v>868</v>
      </c>
      <c r="H2822" s="134"/>
      <c r="J2822" s="143" t="s">
        <v>5408</v>
      </c>
      <c r="K2822" s="144" t="s">
        <v>867</v>
      </c>
      <c r="L2822" s="144" t="s">
        <v>6</v>
      </c>
      <c r="M2822" s="144" t="s">
        <v>870</v>
      </c>
      <c r="N2822" s="144" t="s">
        <v>5409</v>
      </c>
      <c r="O2822" s="145" t="s">
        <v>868</v>
      </c>
      <c r="P2822" s="134"/>
    </row>
    <row r="2823" spans="1:16" s="140" customFormat="1" x14ac:dyDescent="0.25">
      <c r="B2823" s="302" t="s">
        <v>5699</v>
      </c>
      <c r="C2823" s="147" t="s">
        <v>5464</v>
      </c>
      <c r="D2823" s="167">
        <v>1</v>
      </c>
      <c r="E2823" s="438">
        <v>90000</v>
      </c>
      <c r="F2823" s="169">
        <v>0.3</v>
      </c>
      <c r="G2823" s="367">
        <f>+D2823*E2823*(1+F2823)</f>
        <v>117000</v>
      </c>
      <c r="H2823" s="134"/>
      <c r="J2823" s="302" t="s">
        <v>5699</v>
      </c>
      <c r="K2823" s="147" t="s">
        <v>5464</v>
      </c>
      <c r="L2823" s="167">
        <v>1</v>
      </c>
      <c r="M2823" s="438">
        <f>+E2823</f>
        <v>90000</v>
      </c>
      <c r="N2823" s="169">
        <v>0.3</v>
      </c>
      <c r="O2823" s="367">
        <f>+L2823*M2823*(1+N2823)</f>
        <v>117000</v>
      </c>
      <c r="P2823" s="134"/>
    </row>
    <row r="2824" spans="1:16" s="140" customFormat="1" x14ac:dyDescent="0.25">
      <c r="B2824" s="196"/>
      <c r="C2824" s="151"/>
      <c r="D2824" s="151"/>
      <c r="E2824" s="366"/>
      <c r="F2824" s="169"/>
      <c r="G2824" s="367"/>
      <c r="H2824" s="134"/>
      <c r="J2824" s="196"/>
      <c r="K2824" s="151"/>
      <c r="L2824" s="151"/>
      <c r="M2824" s="366"/>
      <c r="N2824" s="169"/>
      <c r="O2824" s="367"/>
      <c r="P2824" s="134"/>
    </row>
    <row r="2825" spans="1:16" s="140" customFormat="1" ht="12.75" customHeight="1" x14ac:dyDescent="0.25">
      <c r="B2825" s="196"/>
      <c r="C2825" s="151"/>
      <c r="D2825" s="151"/>
      <c r="E2825" s="366"/>
      <c r="F2825" s="169"/>
      <c r="G2825" s="367"/>
      <c r="H2825" s="134"/>
      <c r="J2825" s="196"/>
      <c r="K2825" s="151"/>
      <c r="L2825" s="151"/>
      <c r="M2825" s="366"/>
      <c r="N2825" s="169"/>
      <c r="O2825" s="367"/>
      <c r="P2825" s="134"/>
    </row>
    <row r="2826" spans="1:16" s="140" customFormat="1" x14ac:dyDescent="0.25">
      <c r="B2826" s="155"/>
      <c r="C2826" s="151"/>
      <c r="D2826" s="151"/>
      <c r="E2826" s="148"/>
      <c r="F2826" s="151"/>
      <c r="G2826" s="367"/>
      <c r="H2826" s="134"/>
      <c r="J2826" s="155"/>
      <c r="K2826" s="151"/>
      <c r="L2826" s="151"/>
      <c r="M2826" s="148"/>
      <c r="N2826" s="151"/>
      <c r="O2826" s="367"/>
      <c r="P2826" s="134"/>
    </row>
    <row r="2827" spans="1:16" s="140" customFormat="1" x14ac:dyDescent="0.25">
      <c r="B2827" s="155"/>
      <c r="C2827" s="151"/>
      <c r="D2827" s="151"/>
      <c r="E2827" s="148"/>
      <c r="F2827" s="151"/>
      <c r="G2827" s="367"/>
      <c r="H2827" s="134"/>
      <c r="J2827" s="155"/>
      <c r="K2827" s="151"/>
      <c r="L2827" s="151"/>
      <c r="M2827" s="148"/>
      <c r="N2827" s="151"/>
      <c r="O2827" s="367"/>
      <c r="P2827" s="134"/>
    </row>
    <row r="2828" spans="1:16" s="140" customFormat="1" x14ac:dyDescent="0.25">
      <c r="B2828" s="155"/>
      <c r="C2828" s="151"/>
      <c r="D2828" s="151"/>
      <c r="E2828" s="148"/>
      <c r="F2828" s="151"/>
      <c r="G2828" s="367"/>
      <c r="H2828" s="134"/>
      <c r="J2828" s="155"/>
      <c r="K2828" s="151"/>
      <c r="L2828" s="151"/>
      <c r="M2828" s="148"/>
      <c r="N2828" s="151"/>
      <c r="O2828" s="367"/>
      <c r="P2828" s="134"/>
    </row>
    <row r="2829" spans="1:16" s="140" customFormat="1" x14ac:dyDescent="0.25">
      <c r="B2829" s="155"/>
      <c r="C2829" s="151"/>
      <c r="D2829" s="151"/>
      <c r="E2829" s="148"/>
      <c r="F2829" s="151"/>
      <c r="G2829" s="367"/>
      <c r="H2829" s="134"/>
      <c r="J2829" s="155"/>
      <c r="K2829" s="151"/>
      <c r="L2829" s="151"/>
      <c r="M2829" s="148"/>
      <c r="N2829" s="151"/>
      <c r="O2829" s="367"/>
      <c r="P2829" s="134"/>
    </row>
    <row r="2830" spans="1:16" s="140" customFormat="1" x14ac:dyDescent="0.25">
      <c r="B2830" s="155"/>
      <c r="C2830" s="151"/>
      <c r="D2830" s="151"/>
      <c r="E2830" s="148"/>
      <c r="F2830" s="151"/>
      <c r="G2830" s="367"/>
      <c r="H2830" s="134"/>
      <c r="J2830" s="155"/>
      <c r="K2830" s="151"/>
      <c r="L2830" s="151"/>
      <c r="M2830" s="148"/>
      <c r="N2830" s="151"/>
      <c r="O2830" s="367"/>
      <c r="P2830" s="134"/>
    </row>
    <row r="2831" spans="1:16" s="140" customFormat="1" x14ac:dyDescent="0.25">
      <c r="B2831" s="155"/>
      <c r="C2831" s="151"/>
      <c r="D2831" s="151"/>
      <c r="E2831" s="148"/>
      <c r="F2831" s="151"/>
      <c r="G2831" s="367"/>
      <c r="H2831" s="134"/>
      <c r="J2831" s="155"/>
      <c r="K2831" s="151"/>
      <c r="L2831" s="151"/>
      <c r="M2831" s="148"/>
      <c r="N2831" s="151"/>
      <c r="O2831" s="367"/>
      <c r="P2831" s="134"/>
    </row>
    <row r="2832" spans="1:16" s="140" customFormat="1" x14ac:dyDescent="0.25">
      <c r="B2832" s="155"/>
      <c r="C2832" s="151"/>
      <c r="D2832" s="151"/>
      <c r="E2832" s="148"/>
      <c r="F2832" s="151"/>
      <c r="G2832" s="367"/>
      <c r="H2832" s="134"/>
      <c r="J2832" s="155"/>
      <c r="K2832" s="151"/>
      <c r="L2832" s="151"/>
      <c r="M2832" s="148"/>
      <c r="N2832" s="151"/>
      <c r="O2832" s="367"/>
      <c r="P2832" s="134"/>
    </row>
    <row r="2833" spans="2:16" s="140" customFormat="1" x14ac:dyDescent="0.25">
      <c r="B2833" s="155"/>
      <c r="C2833" s="152"/>
      <c r="D2833" s="152"/>
      <c r="E2833" s="152"/>
      <c r="F2833" s="151"/>
      <c r="G2833" s="156"/>
      <c r="H2833" s="134"/>
      <c r="J2833" s="155"/>
      <c r="K2833" s="152"/>
      <c r="L2833" s="152"/>
      <c r="M2833" s="152"/>
      <c r="N2833" s="151"/>
      <c r="O2833" s="156"/>
      <c r="P2833" s="134"/>
    </row>
    <row r="2834" spans="2:16" s="140" customFormat="1" ht="13.5" thickBot="1" x14ac:dyDescent="0.3">
      <c r="B2834" s="155"/>
      <c r="C2834" s="152"/>
      <c r="D2834" s="152"/>
      <c r="E2834" s="152"/>
      <c r="F2834" s="151"/>
      <c r="G2834" s="156"/>
      <c r="H2834" s="134"/>
      <c r="J2834" s="155"/>
      <c r="K2834" s="152"/>
      <c r="L2834" s="152"/>
      <c r="M2834" s="152"/>
      <c r="N2834" s="151"/>
      <c r="O2834" s="156"/>
      <c r="P2834" s="134"/>
    </row>
    <row r="2835" spans="2:16" s="140" customFormat="1" ht="13.5" thickBot="1" x14ac:dyDescent="0.3">
      <c r="B2835" s="157"/>
      <c r="C2835" s="159"/>
      <c r="D2835" s="159"/>
      <c r="E2835" s="159"/>
      <c r="F2835" s="158"/>
      <c r="G2835" s="160"/>
      <c r="H2835" s="161">
        <f>+SUM(G2823:G2835)</f>
        <v>117000</v>
      </c>
      <c r="J2835" s="157"/>
      <c r="K2835" s="159"/>
      <c r="L2835" s="159"/>
      <c r="M2835" s="159"/>
      <c r="N2835" s="158"/>
      <c r="O2835" s="160"/>
      <c r="P2835" s="161">
        <f>+SUM(O2823:O2835)</f>
        <v>117000</v>
      </c>
    </row>
    <row r="2836" spans="2:16" s="140" customFormat="1" ht="13.5" thickBot="1" x14ac:dyDescent="0.3">
      <c r="B2836" s="162"/>
      <c r="C2836" s="162"/>
      <c r="D2836" s="162"/>
      <c r="E2836" s="162"/>
      <c r="F2836" s="163"/>
      <c r="G2836" s="164"/>
      <c r="H2836" s="165"/>
      <c r="J2836" s="162"/>
      <c r="K2836" s="162"/>
      <c r="L2836" s="162"/>
      <c r="M2836" s="162"/>
      <c r="N2836" s="163"/>
      <c r="O2836" s="164"/>
      <c r="P2836" s="165"/>
    </row>
    <row r="2837" spans="2:16" s="140" customFormat="1" ht="13.5" thickBot="1" x14ac:dyDescent="0.3">
      <c r="B2837" s="143" t="s">
        <v>5410</v>
      </c>
      <c r="C2837" s="144" t="s">
        <v>867</v>
      </c>
      <c r="D2837" s="144" t="s">
        <v>6</v>
      </c>
      <c r="E2837" s="144" t="s">
        <v>870</v>
      </c>
      <c r="F2837" s="144" t="s">
        <v>5411</v>
      </c>
      <c r="G2837" s="145" t="s">
        <v>868</v>
      </c>
      <c r="H2837" s="134"/>
      <c r="J2837" s="143" t="s">
        <v>5410</v>
      </c>
      <c r="K2837" s="144" t="s">
        <v>867</v>
      </c>
      <c r="L2837" s="144" t="s">
        <v>6</v>
      </c>
      <c r="M2837" s="144" t="s">
        <v>870</v>
      </c>
      <c r="N2837" s="144" t="s">
        <v>5411</v>
      </c>
      <c r="O2837" s="145" t="s">
        <v>868</v>
      </c>
      <c r="P2837" s="134"/>
    </row>
    <row r="2838" spans="2:16" s="140" customFormat="1" x14ac:dyDescent="0.25">
      <c r="B2838" s="201"/>
      <c r="C2838" s="147"/>
      <c r="D2838" s="211"/>
      <c r="E2838" s="366"/>
      <c r="F2838" s="167"/>
      <c r="G2838" s="367"/>
      <c r="H2838" s="134"/>
      <c r="J2838" s="201"/>
      <c r="K2838" s="147"/>
      <c r="L2838" s="211"/>
      <c r="M2838" s="366"/>
      <c r="N2838" s="167"/>
      <c r="O2838" s="367"/>
      <c r="P2838" s="134"/>
    </row>
    <row r="2839" spans="2:16" s="140" customFormat="1" x14ac:dyDescent="0.25">
      <c r="B2839" s="196"/>
      <c r="C2839" s="151"/>
      <c r="D2839" s="151"/>
      <c r="E2839" s="366"/>
      <c r="F2839" s="147"/>
      <c r="G2839" s="367"/>
      <c r="H2839" s="134"/>
      <c r="J2839" s="196"/>
      <c r="K2839" s="151"/>
      <c r="L2839" s="151"/>
      <c r="M2839" s="366"/>
      <c r="N2839" s="147"/>
      <c r="O2839" s="367"/>
      <c r="P2839" s="134"/>
    </row>
    <row r="2840" spans="2:16" s="140" customFormat="1" x14ac:dyDescent="0.25">
      <c r="B2840" s="196"/>
      <c r="C2840" s="151"/>
      <c r="D2840" s="151"/>
      <c r="E2840" s="148"/>
      <c r="F2840" s="151"/>
      <c r="G2840" s="367"/>
      <c r="H2840" s="134"/>
      <c r="J2840" s="196"/>
      <c r="K2840" s="151"/>
      <c r="L2840" s="151"/>
      <c r="M2840" s="148"/>
      <c r="N2840" s="151"/>
      <c r="O2840" s="367"/>
      <c r="P2840" s="134"/>
    </row>
    <row r="2841" spans="2:16" s="140" customFormat="1" x14ac:dyDescent="0.25">
      <c r="B2841" s="155"/>
      <c r="C2841" s="151"/>
      <c r="D2841" s="151"/>
      <c r="E2841" s="148"/>
      <c r="F2841" s="151"/>
      <c r="G2841" s="367"/>
      <c r="H2841" s="134"/>
      <c r="J2841" s="155"/>
      <c r="K2841" s="151"/>
      <c r="L2841" s="151"/>
      <c r="M2841" s="148"/>
      <c r="N2841" s="151"/>
      <c r="O2841" s="367"/>
      <c r="P2841" s="134"/>
    </row>
    <row r="2842" spans="2:16" s="140" customFormat="1" x14ac:dyDescent="0.25">
      <c r="B2842" s="155"/>
      <c r="C2842" s="151"/>
      <c r="D2842" s="151"/>
      <c r="E2842" s="148"/>
      <c r="F2842" s="151"/>
      <c r="G2842" s="367"/>
      <c r="H2842" s="134"/>
      <c r="J2842" s="155"/>
      <c r="K2842" s="151"/>
      <c r="L2842" s="151"/>
      <c r="M2842" s="148"/>
      <c r="N2842" s="151"/>
      <c r="O2842" s="367"/>
      <c r="P2842" s="134"/>
    </row>
    <row r="2843" spans="2:16" s="140" customFormat="1" ht="13.5" thickBot="1" x14ac:dyDescent="0.3">
      <c r="B2843" s="155"/>
      <c r="C2843" s="151"/>
      <c r="D2843" s="151"/>
      <c r="E2843" s="148"/>
      <c r="F2843" s="151"/>
      <c r="G2843" s="367"/>
      <c r="H2843" s="134"/>
      <c r="J2843" s="155"/>
      <c r="K2843" s="151"/>
      <c r="L2843" s="151"/>
      <c r="M2843" s="148"/>
      <c r="N2843" s="151"/>
      <c r="O2843" s="367"/>
      <c r="P2843" s="134"/>
    </row>
    <row r="2844" spans="2:16" s="140" customFormat="1" ht="13.5" thickBot="1" x14ac:dyDescent="0.3">
      <c r="B2844" s="157"/>
      <c r="C2844" s="159"/>
      <c r="D2844" s="159"/>
      <c r="E2844" s="159"/>
      <c r="F2844" s="158"/>
      <c r="G2844" s="160"/>
      <c r="H2844" s="161">
        <f>+SUM(G2838:G2844)</f>
        <v>0</v>
      </c>
      <c r="J2844" s="157"/>
      <c r="K2844" s="159"/>
      <c r="L2844" s="159"/>
      <c r="M2844" s="159"/>
      <c r="N2844" s="158"/>
      <c r="O2844" s="160"/>
      <c r="P2844" s="161">
        <f>+SUM(O2838:O2844)</f>
        <v>0</v>
      </c>
    </row>
    <row r="2845" spans="2:16" s="140" customFormat="1" ht="13.5" thickBot="1" x14ac:dyDescent="0.3">
      <c r="B2845" s="162"/>
      <c r="C2845" s="162"/>
      <c r="D2845" s="162"/>
      <c r="E2845" s="162"/>
      <c r="F2845" s="173"/>
      <c r="G2845" s="174"/>
      <c r="H2845" s="165"/>
      <c r="J2845" s="162"/>
      <c r="K2845" s="162"/>
      <c r="L2845" s="162"/>
      <c r="M2845" s="162"/>
      <c r="N2845" s="173"/>
      <c r="O2845" s="174"/>
      <c r="P2845" s="165"/>
    </row>
    <row r="2846" spans="2:16" s="140" customFormat="1" ht="13.5" thickBot="1" x14ac:dyDescent="0.3">
      <c r="B2846" s="143" t="s">
        <v>5412</v>
      </c>
      <c r="C2846" s="144" t="s">
        <v>5420</v>
      </c>
      <c r="D2846" s="144" t="s">
        <v>5421</v>
      </c>
      <c r="E2846" s="144" t="s">
        <v>5413</v>
      </c>
      <c r="F2846" s="144" t="s">
        <v>5405</v>
      </c>
      <c r="G2846" s="145" t="s">
        <v>868</v>
      </c>
      <c r="H2846" s="134"/>
      <c r="J2846" s="143" t="s">
        <v>5412</v>
      </c>
      <c r="K2846" s="144" t="s">
        <v>5420</v>
      </c>
      <c r="L2846" s="144" t="s">
        <v>5421</v>
      </c>
      <c r="M2846" s="144" t="s">
        <v>5413</v>
      </c>
      <c r="N2846" s="144" t="s">
        <v>5405</v>
      </c>
      <c r="O2846" s="145" t="s">
        <v>868</v>
      </c>
      <c r="P2846" s="134"/>
    </row>
    <row r="2847" spans="2:16" s="140" customFormat="1" x14ac:dyDescent="0.25">
      <c r="B2847" s="194" t="s">
        <v>5650</v>
      </c>
      <c r="C2847" s="345">
        <v>70000</v>
      </c>
      <c r="D2847" s="345">
        <f>+C2847*0.85</f>
        <v>59500</v>
      </c>
      <c r="E2847" s="353">
        <f>+C2847+D2847</f>
        <v>129500</v>
      </c>
      <c r="F2847" s="202">
        <v>200</v>
      </c>
      <c r="G2847" s="351">
        <f>+E2847/F2847</f>
        <v>647.5</v>
      </c>
      <c r="H2847" s="134"/>
      <c r="J2847" s="194" t="s">
        <v>5650</v>
      </c>
      <c r="K2847" s="345">
        <v>70000</v>
      </c>
      <c r="L2847" s="345">
        <f>+K2847*0.85</f>
        <v>59500</v>
      </c>
      <c r="M2847" s="353">
        <f>+K2847+L2847</f>
        <v>129500</v>
      </c>
      <c r="N2847" s="202">
        <v>1000</v>
      </c>
      <c r="O2847" s="351">
        <f>+M2847/N2847</f>
        <v>129.5</v>
      </c>
      <c r="P2847" s="134"/>
    </row>
    <row r="2848" spans="2:16" s="140" customFormat="1" x14ac:dyDescent="0.25">
      <c r="B2848" s="194" t="s">
        <v>5651</v>
      </c>
      <c r="C2848" s="345">
        <v>40000</v>
      </c>
      <c r="D2848" s="345">
        <f>+C2848*0.85</f>
        <v>34000</v>
      </c>
      <c r="E2848" s="353">
        <f>+C2848+D2848</f>
        <v>74000</v>
      </c>
      <c r="F2848" s="204">
        <v>20</v>
      </c>
      <c r="G2848" s="351">
        <f>+E2848/F2848</f>
        <v>3700</v>
      </c>
      <c r="H2848" s="134"/>
      <c r="J2848" s="194" t="s">
        <v>5651</v>
      </c>
      <c r="K2848" s="345">
        <v>40000</v>
      </c>
      <c r="L2848" s="345">
        <f>+K2848*0.85</f>
        <v>34000</v>
      </c>
      <c r="M2848" s="353">
        <f>+K2848+L2848</f>
        <v>74000</v>
      </c>
      <c r="N2848" s="204">
        <v>100</v>
      </c>
      <c r="O2848" s="351">
        <f>+M2848/N2848</f>
        <v>740</v>
      </c>
      <c r="P2848" s="134"/>
    </row>
    <row r="2849" spans="1:16" s="140" customFormat="1" x14ac:dyDescent="0.25">
      <c r="B2849" s="195" t="s">
        <v>5635</v>
      </c>
      <c r="C2849" s="345">
        <v>20600</v>
      </c>
      <c r="D2849" s="345">
        <f>+C2849*0.85</f>
        <v>17510</v>
      </c>
      <c r="E2849" s="353">
        <f>+C2849+D2849</f>
        <v>38110</v>
      </c>
      <c r="F2849" s="205">
        <v>5</v>
      </c>
      <c r="G2849" s="351">
        <f>+E2849/F2849</f>
        <v>7622</v>
      </c>
      <c r="H2849" s="134"/>
      <c r="J2849" s="195" t="s">
        <v>5635</v>
      </c>
      <c r="K2849" s="345">
        <v>20600</v>
      </c>
      <c r="L2849" s="345">
        <f>+K2849*0.85</f>
        <v>17510</v>
      </c>
      <c r="M2849" s="353">
        <f>+K2849+L2849</f>
        <v>38110</v>
      </c>
      <c r="N2849" s="205">
        <v>20</v>
      </c>
      <c r="O2849" s="351">
        <f>+M2849/N2849</f>
        <v>1905.5</v>
      </c>
      <c r="P2849" s="134"/>
    </row>
    <row r="2850" spans="1:16" s="140" customFormat="1" x14ac:dyDescent="0.25">
      <c r="B2850" s="155"/>
      <c r="C2850" s="345"/>
      <c r="D2850" s="152"/>
      <c r="E2850" s="152"/>
      <c r="F2850" s="151"/>
      <c r="G2850" s="156"/>
      <c r="H2850" s="134"/>
      <c r="J2850" s="155"/>
      <c r="K2850" s="345"/>
      <c r="L2850" s="152"/>
      <c r="M2850" s="152"/>
      <c r="N2850" s="151"/>
      <c r="O2850" s="156"/>
      <c r="P2850" s="134"/>
    </row>
    <row r="2851" spans="1:16" s="140" customFormat="1" x14ac:dyDescent="0.25">
      <c r="B2851" s="155"/>
      <c r="C2851" s="152"/>
      <c r="D2851" s="152"/>
      <c r="E2851" s="152"/>
      <c r="F2851" s="151"/>
      <c r="G2851" s="156"/>
      <c r="H2851" s="134"/>
      <c r="J2851" s="155"/>
      <c r="K2851" s="152"/>
      <c r="L2851" s="152"/>
      <c r="M2851" s="152"/>
      <c r="N2851" s="151"/>
      <c r="O2851" s="156"/>
      <c r="P2851" s="134"/>
    </row>
    <row r="2852" spans="1:16" s="140" customFormat="1" ht="13.5" thickBot="1" x14ac:dyDescent="0.3">
      <c r="B2852" s="155"/>
      <c r="C2852" s="152"/>
      <c r="D2852" s="152"/>
      <c r="E2852" s="152"/>
      <c r="F2852" s="151"/>
      <c r="G2852" s="156"/>
      <c r="H2852" s="134"/>
      <c r="J2852" s="155"/>
      <c r="K2852" s="152"/>
      <c r="L2852" s="152"/>
      <c r="M2852" s="152"/>
      <c r="N2852" s="151"/>
      <c r="O2852" s="156"/>
      <c r="P2852" s="134"/>
    </row>
    <row r="2853" spans="1:16" s="140" customFormat="1" ht="13.5" thickBot="1" x14ac:dyDescent="0.3">
      <c r="B2853" s="179"/>
      <c r="C2853" s="180"/>
      <c r="D2853" s="180"/>
      <c r="E2853" s="180"/>
      <c r="F2853" s="181"/>
      <c r="G2853" s="182"/>
      <c r="H2853" s="161">
        <f>+SUM(G2847:G2853)</f>
        <v>11969.5</v>
      </c>
      <c r="J2853" s="179"/>
      <c r="K2853" s="180"/>
      <c r="L2853" s="180"/>
      <c r="M2853" s="180"/>
      <c r="N2853" s="181"/>
      <c r="O2853" s="182"/>
      <c r="P2853" s="161">
        <f>+SUM(O2847:O2853)</f>
        <v>2775</v>
      </c>
    </row>
    <row r="2854" spans="1:16" s="140" customFormat="1" ht="13.5" thickBot="1" x14ac:dyDescent="0.3">
      <c r="F2854" s="141"/>
      <c r="G2854" s="134"/>
      <c r="H2854" s="134"/>
      <c r="N2854" s="141"/>
      <c r="O2854" s="134"/>
      <c r="P2854" s="134"/>
    </row>
    <row r="2855" spans="1:16" s="140" customFormat="1" ht="13.5" thickBot="1" x14ac:dyDescent="0.3">
      <c r="E2855" s="183" t="s">
        <v>5415</v>
      </c>
      <c r="F2855" s="141"/>
      <c r="G2855" s="134"/>
      <c r="H2855" s="161">
        <f>ROUND(+H2820+H2835+H2844+H2853,0)</f>
        <v>134000</v>
      </c>
      <c r="M2855" s="183" t="s">
        <v>5415</v>
      </c>
      <c r="N2855" s="141"/>
      <c r="O2855" s="134"/>
      <c r="P2855" s="161">
        <f>ROUND(+P2820+P2835+P2844+P2853,0)</f>
        <v>132386</v>
      </c>
    </row>
    <row r="2856" spans="1:16" x14ac:dyDescent="0.25">
      <c r="O2856" s="133"/>
    </row>
    <row r="2857" spans="1:16" x14ac:dyDescent="0.25">
      <c r="H2857" s="341"/>
      <c r="O2857" s="133"/>
    </row>
    <row r="2858" spans="1:16" x14ac:dyDescent="0.25">
      <c r="O2858" s="133"/>
    </row>
    <row r="2859" spans="1:16" ht="12.75" customHeight="1" x14ac:dyDescent="0.25">
      <c r="O2859" s="133"/>
    </row>
    <row r="2860" spans="1:16" ht="18.75" x14ac:dyDescent="0.25">
      <c r="A2860" s="133"/>
      <c r="B2860" s="2506" t="s">
        <v>5400</v>
      </c>
      <c r="C2860" s="2506"/>
      <c r="D2860" s="2506"/>
      <c r="E2860" s="2506"/>
      <c r="F2860" s="2506"/>
      <c r="G2860" s="2506"/>
      <c r="I2860" s="133"/>
      <c r="J2860" s="474" t="s">
        <v>5400</v>
      </c>
      <c r="K2860" s="474"/>
      <c r="L2860" s="474"/>
      <c r="M2860" s="474"/>
      <c r="N2860" s="474"/>
      <c r="O2860" s="474"/>
    </row>
    <row r="2861" spans="1:16" x14ac:dyDescent="0.25">
      <c r="A2861" s="133"/>
      <c r="G2861" s="134"/>
      <c r="I2861" s="133"/>
      <c r="N2861" s="133"/>
      <c r="O2861" s="134"/>
    </row>
    <row r="2862" spans="1:16" x14ac:dyDescent="0.25">
      <c r="A2862" s="133"/>
      <c r="G2862" s="134"/>
      <c r="I2862" s="133"/>
      <c r="N2862" s="133"/>
      <c r="O2862" s="134"/>
    </row>
    <row r="2863" spans="1:16" x14ac:dyDescent="0.25">
      <c r="A2863" s="133"/>
      <c r="G2863" s="134"/>
      <c r="I2863" s="133"/>
      <c r="N2863" s="133"/>
      <c r="O2863" s="134"/>
    </row>
    <row r="2864" spans="1:16" s="140" customFormat="1" ht="51" x14ac:dyDescent="0.25">
      <c r="A2864" s="138" t="s">
        <v>3</v>
      </c>
      <c r="B2864" s="138" t="s">
        <v>154</v>
      </c>
      <c r="C2864" s="2450" t="s">
        <v>5465</v>
      </c>
      <c r="D2864" s="2450"/>
      <c r="E2864" s="2450"/>
      <c r="F2864" s="138" t="s">
        <v>867</v>
      </c>
      <c r="G2864" s="139" t="s">
        <v>5454</v>
      </c>
      <c r="H2864" s="134"/>
      <c r="I2864" s="138" t="s">
        <v>3</v>
      </c>
      <c r="J2864" s="138" t="s">
        <v>154</v>
      </c>
      <c r="K2864" s="475" t="s">
        <v>5465</v>
      </c>
      <c r="L2864" s="475"/>
      <c r="M2864" s="475"/>
      <c r="N2864" s="138" t="s">
        <v>867</v>
      </c>
      <c r="O2864" s="139" t="s">
        <v>5454</v>
      </c>
      <c r="P2864" s="134"/>
    </row>
    <row r="2865" spans="1:16" s="140" customFormat="1" x14ac:dyDescent="0.25">
      <c r="A2865" s="141"/>
      <c r="F2865" s="141"/>
      <c r="G2865" s="134"/>
      <c r="H2865" s="134"/>
      <c r="I2865" s="141"/>
      <c r="N2865" s="141"/>
      <c r="O2865" s="134"/>
      <c r="P2865" s="134"/>
    </row>
    <row r="2866" spans="1:16" s="140" customFormat="1" ht="12.75" customHeight="1" x14ac:dyDescent="0.25">
      <c r="A2866" s="141"/>
      <c r="F2866" s="141"/>
      <c r="G2866" s="142"/>
      <c r="H2866" s="134"/>
      <c r="I2866" s="141"/>
      <c r="N2866" s="141"/>
      <c r="O2866" s="142"/>
      <c r="P2866" s="134"/>
    </row>
    <row r="2867" spans="1:16" s="140" customFormat="1" ht="13.5" thickBot="1" x14ac:dyDescent="0.3">
      <c r="A2867" s="141"/>
      <c r="F2867" s="141"/>
      <c r="G2867" s="134"/>
      <c r="H2867" s="134"/>
      <c r="I2867" s="141"/>
      <c r="N2867" s="141"/>
      <c r="O2867" s="134"/>
      <c r="P2867" s="134"/>
    </row>
    <row r="2868" spans="1:16" s="140" customFormat="1" ht="13.5" thickBot="1" x14ac:dyDescent="0.3">
      <c r="A2868" s="141"/>
      <c r="B2868" s="143" t="s">
        <v>5403</v>
      </c>
      <c r="C2868" s="144" t="s">
        <v>867</v>
      </c>
      <c r="D2868" s="144" t="s">
        <v>6</v>
      </c>
      <c r="E2868" s="144" t="s">
        <v>5404</v>
      </c>
      <c r="F2868" s="144" t="s">
        <v>5405</v>
      </c>
      <c r="G2868" s="145" t="s">
        <v>868</v>
      </c>
      <c r="H2868" s="134"/>
      <c r="I2868" s="141"/>
      <c r="J2868" s="143" t="s">
        <v>5403</v>
      </c>
      <c r="K2868" s="144" t="s">
        <v>867</v>
      </c>
      <c r="L2868" s="144" t="s">
        <v>6</v>
      </c>
      <c r="M2868" s="144" t="s">
        <v>5404</v>
      </c>
      <c r="N2868" s="144" t="s">
        <v>5405</v>
      </c>
      <c r="O2868" s="145" t="s">
        <v>868</v>
      </c>
      <c r="P2868" s="134"/>
    </row>
    <row r="2869" spans="1:16" s="140" customFormat="1" x14ac:dyDescent="0.25">
      <c r="A2869" s="141"/>
      <c r="B2869" s="146" t="s">
        <v>5440</v>
      </c>
      <c r="C2869" s="147" t="s">
        <v>5406</v>
      </c>
      <c r="D2869" s="147"/>
      <c r="E2869" s="148">
        <f>+H2908</f>
        <v>11969.5</v>
      </c>
      <c r="F2869" s="167">
        <v>0.1</v>
      </c>
      <c r="G2869" s="360">
        <f>+E2869*F2869</f>
        <v>1196.95</v>
      </c>
      <c r="H2869" s="134"/>
      <c r="I2869" s="141"/>
      <c r="J2869" s="146" t="s">
        <v>5440</v>
      </c>
      <c r="K2869" s="147" t="s">
        <v>5406</v>
      </c>
      <c r="L2869" s="147"/>
      <c r="M2869" s="148">
        <f>+P2908</f>
        <v>2775</v>
      </c>
      <c r="N2869" s="167">
        <v>0.1</v>
      </c>
      <c r="O2869" s="360">
        <f>+M2869*N2869</f>
        <v>277.5</v>
      </c>
      <c r="P2869" s="134"/>
    </row>
    <row r="2870" spans="1:16" s="140" customFormat="1" x14ac:dyDescent="0.25">
      <c r="A2870" s="141"/>
      <c r="B2870" s="150" t="s">
        <v>5700</v>
      </c>
      <c r="C2870" s="151" t="s">
        <v>5407</v>
      </c>
      <c r="D2870" s="151"/>
      <c r="E2870" s="366">
        <v>25000</v>
      </c>
      <c r="F2870" s="205">
        <v>8</v>
      </c>
      <c r="G2870" s="360">
        <f>+E2870/F2870</f>
        <v>3125</v>
      </c>
      <c r="H2870" s="134"/>
      <c r="I2870" s="141"/>
      <c r="J2870" s="150" t="s">
        <v>5738</v>
      </c>
      <c r="K2870" s="151" t="s">
        <v>5407</v>
      </c>
      <c r="L2870" s="205"/>
      <c r="M2870" s="366">
        <v>80000</v>
      </c>
      <c r="N2870" s="205">
        <v>15</v>
      </c>
      <c r="O2870" s="360">
        <f>+M2870/N2870</f>
        <v>5333.333333333333</v>
      </c>
      <c r="P2870" s="134"/>
    </row>
    <row r="2871" spans="1:16" s="140" customFormat="1" ht="12.75" customHeight="1" x14ac:dyDescent="0.25">
      <c r="A2871" s="141"/>
      <c r="B2871" s="150" t="s">
        <v>5736</v>
      </c>
      <c r="C2871" s="151" t="s">
        <v>5481</v>
      </c>
      <c r="D2871" s="205">
        <v>1</v>
      </c>
      <c r="E2871" s="366">
        <v>40000</v>
      </c>
      <c r="F2871" s="205">
        <v>30</v>
      </c>
      <c r="G2871" s="360">
        <f>+E2871/F2871</f>
        <v>1333.3333333333333</v>
      </c>
      <c r="H2871" s="134"/>
      <c r="I2871" s="141"/>
      <c r="J2871" s="150" t="s">
        <v>5736</v>
      </c>
      <c r="K2871" s="151" t="s">
        <v>5407</v>
      </c>
      <c r="L2871" s="205">
        <v>1</v>
      </c>
      <c r="M2871" s="366">
        <v>40000</v>
      </c>
      <c r="N2871" s="205">
        <v>40</v>
      </c>
      <c r="O2871" s="360">
        <f>+M2871/N2871</f>
        <v>1000</v>
      </c>
      <c r="P2871" s="134"/>
    </row>
    <row r="2872" spans="1:16" s="140" customFormat="1" ht="12.75" customHeight="1" x14ac:dyDescent="0.25">
      <c r="A2872" s="141"/>
      <c r="B2872" s="155"/>
      <c r="C2872" s="151"/>
      <c r="D2872" s="152"/>
      <c r="E2872" s="152"/>
      <c r="F2872" s="151"/>
      <c r="G2872" s="156"/>
      <c r="H2872" s="134"/>
      <c r="I2872" s="141"/>
      <c r="J2872" s="155" t="s">
        <v>5739</v>
      </c>
      <c r="K2872" s="151" t="s">
        <v>5407</v>
      </c>
      <c r="L2872" s="205">
        <v>1</v>
      </c>
      <c r="M2872" s="152">
        <v>150000</v>
      </c>
      <c r="N2872" s="205">
        <v>25</v>
      </c>
      <c r="O2872" s="360">
        <f>+M2872/N2872</f>
        <v>6000</v>
      </c>
      <c r="P2872" s="134"/>
    </row>
    <row r="2873" spans="1:16" s="140" customFormat="1" ht="12.75" customHeight="1" x14ac:dyDescent="0.25">
      <c r="A2873" s="141"/>
      <c r="B2873" s="155"/>
      <c r="C2873" s="151"/>
      <c r="D2873" s="152"/>
      <c r="E2873" s="152"/>
      <c r="F2873" s="151"/>
      <c r="G2873" s="156"/>
      <c r="H2873" s="134"/>
      <c r="I2873" s="141"/>
      <c r="J2873" s="155"/>
      <c r="K2873" s="151"/>
      <c r="L2873" s="152"/>
      <c r="M2873" s="152"/>
      <c r="N2873" s="151"/>
      <c r="O2873" s="156"/>
      <c r="P2873" s="134"/>
    </row>
    <row r="2874" spans="1:16" s="140" customFormat="1" ht="13.5" thickBot="1" x14ac:dyDescent="0.3">
      <c r="A2874" s="141"/>
      <c r="B2874" s="155"/>
      <c r="C2874" s="151"/>
      <c r="D2874" s="152"/>
      <c r="E2874" s="152"/>
      <c r="F2874" s="151"/>
      <c r="G2874" s="156"/>
      <c r="H2874" s="134"/>
      <c r="I2874" s="141"/>
      <c r="J2874" s="155"/>
      <c r="K2874" s="151"/>
      <c r="L2874" s="152"/>
      <c r="M2874" s="152"/>
      <c r="N2874" s="151"/>
      <c r="O2874" s="156"/>
      <c r="P2874" s="134"/>
    </row>
    <row r="2875" spans="1:16" s="140" customFormat="1" ht="13.5" thickBot="1" x14ac:dyDescent="0.3">
      <c r="A2875" s="141"/>
      <c r="B2875" s="157"/>
      <c r="C2875" s="158"/>
      <c r="D2875" s="159"/>
      <c r="E2875" s="159"/>
      <c r="F2875" s="158"/>
      <c r="G2875" s="160"/>
      <c r="H2875" s="161">
        <f>+SUM(G2869:G2875)</f>
        <v>5655.2833333333328</v>
      </c>
      <c r="I2875" s="141"/>
      <c r="J2875" s="157"/>
      <c r="K2875" s="158"/>
      <c r="L2875" s="159"/>
      <c r="M2875" s="159"/>
      <c r="N2875" s="158"/>
      <c r="O2875" s="160"/>
      <c r="P2875" s="161">
        <f>+SUM(O2869:O2875)</f>
        <v>12610.833333333332</v>
      </c>
    </row>
    <row r="2876" spans="1:16" s="140" customFormat="1" ht="13.5" thickBot="1" x14ac:dyDescent="0.3">
      <c r="A2876" s="141"/>
      <c r="B2876" s="162"/>
      <c r="C2876" s="163"/>
      <c r="D2876" s="162"/>
      <c r="E2876" s="162"/>
      <c r="F2876" s="163"/>
      <c r="G2876" s="164"/>
      <c r="H2876" s="165"/>
      <c r="I2876" s="141"/>
      <c r="J2876" s="162"/>
      <c r="K2876" s="163"/>
      <c r="L2876" s="162"/>
      <c r="M2876" s="162"/>
      <c r="N2876" s="163"/>
      <c r="O2876" s="164"/>
      <c r="P2876" s="165"/>
    </row>
    <row r="2877" spans="1:16" s="140" customFormat="1" ht="13.5" thickBot="1" x14ac:dyDescent="0.3">
      <c r="B2877" s="143" t="s">
        <v>5408</v>
      </c>
      <c r="C2877" s="144" t="s">
        <v>867</v>
      </c>
      <c r="D2877" s="144" t="s">
        <v>6</v>
      </c>
      <c r="E2877" s="144" t="s">
        <v>870</v>
      </c>
      <c r="F2877" s="144" t="s">
        <v>5409</v>
      </c>
      <c r="G2877" s="145" t="s">
        <v>868</v>
      </c>
      <c r="H2877" s="134"/>
      <c r="J2877" s="143" t="s">
        <v>5408</v>
      </c>
      <c r="K2877" s="144" t="s">
        <v>867</v>
      </c>
      <c r="L2877" s="144" t="s">
        <v>6</v>
      </c>
      <c r="M2877" s="144" t="s">
        <v>870</v>
      </c>
      <c r="N2877" s="144" t="s">
        <v>5409</v>
      </c>
      <c r="O2877" s="145" t="s">
        <v>868</v>
      </c>
      <c r="P2877" s="134"/>
    </row>
    <row r="2878" spans="1:16" s="140" customFormat="1" x14ac:dyDescent="0.25">
      <c r="B2878" s="302" t="s">
        <v>5701</v>
      </c>
      <c r="C2878" s="147" t="s">
        <v>5464</v>
      </c>
      <c r="D2878" s="167">
        <v>1</v>
      </c>
      <c r="E2878" s="438">
        <v>95000</v>
      </c>
      <c r="F2878" s="169">
        <v>0.3</v>
      </c>
      <c r="G2878" s="367">
        <f>+D2878*E2878*(1+F2878)</f>
        <v>123500</v>
      </c>
      <c r="H2878" s="134"/>
      <c r="J2878" s="302" t="s">
        <v>5701</v>
      </c>
      <c r="K2878" s="147" t="s">
        <v>5464</v>
      </c>
      <c r="L2878" s="167">
        <v>1</v>
      </c>
      <c r="M2878" s="438">
        <f>+E2878</f>
        <v>95000</v>
      </c>
      <c r="N2878" s="169">
        <v>0.3</v>
      </c>
      <c r="O2878" s="367">
        <f>+L2878*M2878*(1+N2878)</f>
        <v>123500</v>
      </c>
      <c r="P2878" s="134"/>
    </row>
    <row r="2879" spans="1:16" s="140" customFormat="1" x14ac:dyDescent="0.25">
      <c r="B2879" s="196"/>
      <c r="C2879" s="151"/>
      <c r="D2879" s="151"/>
      <c r="E2879" s="366"/>
      <c r="F2879" s="169"/>
      <c r="G2879" s="367"/>
      <c r="H2879" s="134"/>
      <c r="J2879" s="196"/>
      <c r="K2879" s="151"/>
      <c r="L2879" s="151"/>
      <c r="M2879" s="366"/>
      <c r="N2879" s="169"/>
      <c r="O2879" s="367"/>
      <c r="P2879" s="134"/>
    </row>
    <row r="2880" spans="1:16" s="140" customFormat="1" x14ac:dyDescent="0.25">
      <c r="B2880" s="196"/>
      <c r="C2880" s="151"/>
      <c r="D2880" s="151"/>
      <c r="E2880" s="366"/>
      <c r="F2880" s="169"/>
      <c r="G2880" s="367"/>
      <c r="H2880" s="134"/>
      <c r="J2880" s="196"/>
      <c r="K2880" s="151"/>
      <c r="L2880" s="151"/>
      <c r="M2880" s="366"/>
      <c r="N2880" s="169"/>
      <c r="O2880" s="367"/>
      <c r="P2880" s="134"/>
    </row>
    <row r="2881" spans="2:16" s="140" customFormat="1" x14ac:dyDescent="0.25">
      <c r="B2881" s="155"/>
      <c r="C2881" s="151"/>
      <c r="D2881" s="151"/>
      <c r="E2881" s="148"/>
      <c r="F2881" s="151"/>
      <c r="G2881" s="367"/>
      <c r="H2881" s="134"/>
      <c r="J2881" s="155"/>
      <c r="K2881" s="151"/>
      <c r="L2881" s="151"/>
      <c r="M2881" s="148"/>
      <c r="N2881" s="151"/>
      <c r="O2881" s="367"/>
      <c r="P2881" s="134"/>
    </row>
    <row r="2882" spans="2:16" s="140" customFormat="1" x14ac:dyDescent="0.25">
      <c r="B2882" s="155"/>
      <c r="C2882" s="151"/>
      <c r="D2882" s="151"/>
      <c r="E2882" s="148"/>
      <c r="F2882" s="151"/>
      <c r="G2882" s="367"/>
      <c r="H2882" s="134"/>
      <c r="J2882" s="155"/>
      <c r="K2882" s="151"/>
      <c r="L2882" s="151"/>
      <c r="M2882" s="148"/>
      <c r="N2882" s="151"/>
      <c r="O2882" s="367"/>
      <c r="P2882" s="134"/>
    </row>
    <row r="2883" spans="2:16" s="140" customFormat="1" x14ac:dyDescent="0.25">
      <c r="B2883" s="155"/>
      <c r="C2883" s="151"/>
      <c r="D2883" s="151"/>
      <c r="E2883" s="148"/>
      <c r="F2883" s="151"/>
      <c r="G2883" s="367"/>
      <c r="H2883" s="134"/>
      <c r="J2883" s="155"/>
      <c r="K2883" s="151"/>
      <c r="L2883" s="151"/>
      <c r="M2883" s="148"/>
      <c r="N2883" s="151"/>
      <c r="O2883" s="367"/>
      <c r="P2883" s="134"/>
    </row>
    <row r="2884" spans="2:16" s="140" customFormat="1" x14ac:dyDescent="0.25">
      <c r="B2884" s="155"/>
      <c r="C2884" s="151"/>
      <c r="D2884" s="151"/>
      <c r="E2884" s="148"/>
      <c r="F2884" s="151"/>
      <c r="G2884" s="367"/>
      <c r="H2884" s="134"/>
      <c r="J2884" s="155"/>
      <c r="K2884" s="151"/>
      <c r="L2884" s="151"/>
      <c r="M2884" s="148"/>
      <c r="N2884" s="151"/>
      <c r="O2884" s="367"/>
      <c r="P2884" s="134"/>
    </row>
    <row r="2885" spans="2:16" s="140" customFormat="1" x14ac:dyDescent="0.25">
      <c r="B2885" s="155"/>
      <c r="C2885" s="151"/>
      <c r="D2885" s="151"/>
      <c r="E2885" s="148"/>
      <c r="F2885" s="151"/>
      <c r="G2885" s="367"/>
      <c r="H2885" s="134"/>
      <c r="J2885" s="155"/>
      <c r="K2885" s="151"/>
      <c r="L2885" s="151"/>
      <c r="M2885" s="148"/>
      <c r="N2885" s="151"/>
      <c r="O2885" s="367"/>
      <c r="P2885" s="134"/>
    </row>
    <row r="2886" spans="2:16" s="140" customFormat="1" x14ac:dyDescent="0.25">
      <c r="B2886" s="155"/>
      <c r="C2886" s="151"/>
      <c r="D2886" s="151"/>
      <c r="E2886" s="148"/>
      <c r="F2886" s="151"/>
      <c r="G2886" s="367"/>
      <c r="H2886" s="134"/>
      <c r="J2886" s="155"/>
      <c r="K2886" s="151"/>
      <c r="L2886" s="151"/>
      <c r="M2886" s="148"/>
      <c r="N2886" s="151"/>
      <c r="O2886" s="367"/>
      <c r="P2886" s="134"/>
    </row>
    <row r="2887" spans="2:16" s="140" customFormat="1" x14ac:dyDescent="0.25">
      <c r="B2887" s="155"/>
      <c r="C2887" s="151"/>
      <c r="D2887" s="151"/>
      <c r="E2887" s="148"/>
      <c r="F2887" s="151"/>
      <c r="G2887" s="367"/>
      <c r="H2887" s="134"/>
      <c r="J2887" s="155"/>
      <c r="K2887" s="151"/>
      <c r="L2887" s="151"/>
      <c r="M2887" s="148"/>
      <c r="N2887" s="151"/>
      <c r="O2887" s="367"/>
      <c r="P2887" s="134"/>
    </row>
    <row r="2888" spans="2:16" s="140" customFormat="1" x14ac:dyDescent="0.25">
      <c r="B2888" s="155"/>
      <c r="C2888" s="152"/>
      <c r="D2888" s="152"/>
      <c r="E2888" s="152"/>
      <c r="F2888" s="151"/>
      <c r="G2888" s="156"/>
      <c r="H2888" s="134"/>
      <c r="J2888" s="155"/>
      <c r="K2888" s="152"/>
      <c r="L2888" s="152"/>
      <c r="M2888" s="152"/>
      <c r="N2888" s="151"/>
      <c r="O2888" s="156"/>
      <c r="P2888" s="134"/>
    </row>
    <row r="2889" spans="2:16" s="140" customFormat="1" ht="13.5" thickBot="1" x14ac:dyDescent="0.3">
      <c r="B2889" s="155"/>
      <c r="C2889" s="152"/>
      <c r="D2889" s="152"/>
      <c r="E2889" s="152"/>
      <c r="F2889" s="151"/>
      <c r="G2889" s="156"/>
      <c r="H2889" s="134"/>
      <c r="J2889" s="155"/>
      <c r="K2889" s="152"/>
      <c r="L2889" s="152"/>
      <c r="M2889" s="152"/>
      <c r="N2889" s="151"/>
      <c r="O2889" s="156"/>
      <c r="P2889" s="134"/>
    </row>
    <row r="2890" spans="2:16" s="140" customFormat="1" ht="13.5" thickBot="1" x14ac:dyDescent="0.3">
      <c r="B2890" s="157"/>
      <c r="C2890" s="159"/>
      <c r="D2890" s="159"/>
      <c r="E2890" s="159"/>
      <c r="F2890" s="158"/>
      <c r="G2890" s="160"/>
      <c r="H2890" s="161">
        <f>+SUM(G2878:G2890)</f>
        <v>123500</v>
      </c>
      <c r="J2890" s="157"/>
      <c r="K2890" s="159"/>
      <c r="L2890" s="159"/>
      <c r="M2890" s="159"/>
      <c r="N2890" s="158"/>
      <c r="O2890" s="160"/>
      <c r="P2890" s="161">
        <f>+SUM(O2878:O2890)</f>
        <v>123500</v>
      </c>
    </row>
    <row r="2891" spans="2:16" s="140" customFormat="1" ht="13.5" thickBot="1" x14ac:dyDescent="0.3">
      <c r="B2891" s="162"/>
      <c r="C2891" s="162"/>
      <c r="D2891" s="162"/>
      <c r="E2891" s="162"/>
      <c r="F2891" s="163"/>
      <c r="G2891" s="164"/>
      <c r="H2891" s="165"/>
      <c r="J2891" s="162"/>
      <c r="K2891" s="162"/>
      <c r="L2891" s="162"/>
      <c r="M2891" s="162"/>
      <c r="N2891" s="163"/>
      <c r="O2891" s="164"/>
      <c r="P2891" s="165"/>
    </row>
    <row r="2892" spans="2:16" s="140" customFormat="1" ht="13.5" thickBot="1" x14ac:dyDescent="0.3">
      <c r="B2892" s="143" t="s">
        <v>5410</v>
      </c>
      <c r="C2892" s="144" t="s">
        <v>867</v>
      </c>
      <c r="D2892" s="144" t="s">
        <v>6</v>
      </c>
      <c r="E2892" s="144" t="s">
        <v>870</v>
      </c>
      <c r="F2892" s="144" t="s">
        <v>5411</v>
      </c>
      <c r="G2892" s="145" t="s">
        <v>868</v>
      </c>
      <c r="H2892" s="134"/>
      <c r="J2892" s="143" t="s">
        <v>5410</v>
      </c>
      <c r="K2892" s="144" t="s">
        <v>867</v>
      </c>
      <c r="L2892" s="144" t="s">
        <v>6</v>
      </c>
      <c r="M2892" s="144" t="s">
        <v>870</v>
      </c>
      <c r="N2892" s="144" t="s">
        <v>5411</v>
      </c>
      <c r="O2892" s="145" t="s">
        <v>868</v>
      </c>
      <c r="P2892" s="134"/>
    </row>
    <row r="2893" spans="2:16" s="140" customFormat="1" x14ac:dyDescent="0.25">
      <c r="B2893" s="201"/>
      <c r="C2893" s="147"/>
      <c r="D2893" s="211"/>
      <c r="E2893" s="366"/>
      <c r="F2893" s="167"/>
      <c r="G2893" s="367"/>
      <c r="H2893" s="134"/>
      <c r="J2893" s="201"/>
      <c r="K2893" s="147"/>
      <c r="L2893" s="211"/>
      <c r="M2893" s="366"/>
      <c r="N2893" s="167"/>
      <c r="O2893" s="367"/>
      <c r="P2893" s="134"/>
    </row>
    <row r="2894" spans="2:16" s="140" customFormat="1" x14ac:dyDescent="0.25">
      <c r="B2894" s="196"/>
      <c r="C2894" s="151"/>
      <c r="D2894" s="151"/>
      <c r="E2894" s="366"/>
      <c r="F2894" s="147"/>
      <c r="G2894" s="367"/>
      <c r="H2894" s="134"/>
      <c r="J2894" s="196"/>
      <c r="K2894" s="151"/>
      <c r="L2894" s="151"/>
      <c r="M2894" s="366"/>
      <c r="N2894" s="147"/>
      <c r="O2894" s="367"/>
      <c r="P2894" s="134"/>
    </row>
    <row r="2895" spans="2:16" s="140" customFormat="1" x14ac:dyDescent="0.25">
      <c r="B2895" s="196"/>
      <c r="C2895" s="151"/>
      <c r="D2895" s="151"/>
      <c r="E2895" s="148"/>
      <c r="F2895" s="151"/>
      <c r="G2895" s="367"/>
      <c r="H2895" s="134"/>
      <c r="J2895" s="196"/>
      <c r="K2895" s="151"/>
      <c r="L2895" s="151"/>
      <c r="M2895" s="148"/>
      <c r="N2895" s="151"/>
      <c r="O2895" s="367"/>
      <c r="P2895" s="134"/>
    </row>
    <row r="2896" spans="2:16" s="140" customFormat="1" x14ac:dyDescent="0.25">
      <c r="B2896" s="155"/>
      <c r="C2896" s="151"/>
      <c r="D2896" s="151"/>
      <c r="E2896" s="148"/>
      <c r="F2896" s="151"/>
      <c r="G2896" s="367"/>
      <c r="H2896" s="134"/>
      <c r="J2896" s="155"/>
      <c r="K2896" s="151"/>
      <c r="L2896" s="151"/>
      <c r="M2896" s="148"/>
      <c r="N2896" s="151"/>
      <c r="O2896" s="367"/>
      <c r="P2896" s="134"/>
    </row>
    <row r="2897" spans="2:16" s="140" customFormat="1" x14ac:dyDescent="0.25">
      <c r="B2897" s="155"/>
      <c r="C2897" s="151"/>
      <c r="D2897" s="151"/>
      <c r="E2897" s="148"/>
      <c r="F2897" s="151"/>
      <c r="G2897" s="367"/>
      <c r="H2897" s="134"/>
      <c r="J2897" s="155"/>
      <c r="K2897" s="151"/>
      <c r="L2897" s="151"/>
      <c r="M2897" s="148"/>
      <c r="N2897" s="151"/>
      <c r="O2897" s="367"/>
      <c r="P2897" s="134"/>
    </row>
    <row r="2898" spans="2:16" s="140" customFormat="1" ht="13.5" thickBot="1" x14ac:dyDescent="0.3">
      <c r="B2898" s="155"/>
      <c r="C2898" s="151"/>
      <c r="D2898" s="151"/>
      <c r="E2898" s="148"/>
      <c r="F2898" s="151"/>
      <c r="G2898" s="367"/>
      <c r="H2898" s="134"/>
      <c r="J2898" s="155"/>
      <c r="K2898" s="151"/>
      <c r="L2898" s="151"/>
      <c r="M2898" s="148"/>
      <c r="N2898" s="151"/>
      <c r="O2898" s="367"/>
      <c r="P2898" s="134"/>
    </row>
    <row r="2899" spans="2:16" s="140" customFormat="1" ht="13.5" thickBot="1" x14ac:dyDescent="0.3">
      <c r="B2899" s="157"/>
      <c r="C2899" s="159"/>
      <c r="D2899" s="159"/>
      <c r="E2899" s="159"/>
      <c r="F2899" s="158"/>
      <c r="G2899" s="160"/>
      <c r="H2899" s="161">
        <f>+SUM(G2893:G2899)</f>
        <v>0</v>
      </c>
      <c r="J2899" s="157"/>
      <c r="K2899" s="159"/>
      <c r="L2899" s="159"/>
      <c r="M2899" s="159"/>
      <c r="N2899" s="158"/>
      <c r="O2899" s="160"/>
      <c r="P2899" s="161">
        <f>+SUM(O2893:O2899)</f>
        <v>0</v>
      </c>
    </row>
    <row r="2900" spans="2:16" s="140" customFormat="1" ht="13.5" thickBot="1" x14ac:dyDescent="0.3">
      <c r="B2900" s="162"/>
      <c r="C2900" s="162"/>
      <c r="D2900" s="162"/>
      <c r="E2900" s="162"/>
      <c r="F2900" s="173"/>
      <c r="G2900" s="174"/>
      <c r="H2900" s="165"/>
      <c r="J2900" s="162"/>
      <c r="K2900" s="162"/>
      <c r="L2900" s="162"/>
      <c r="M2900" s="162"/>
      <c r="N2900" s="173"/>
      <c r="O2900" s="174"/>
      <c r="P2900" s="165"/>
    </row>
    <row r="2901" spans="2:16" s="140" customFormat="1" ht="13.5" thickBot="1" x14ac:dyDescent="0.3">
      <c r="B2901" s="143" t="s">
        <v>5412</v>
      </c>
      <c r="C2901" s="144" t="s">
        <v>5420</v>
      </c>
      <c r="D2901" s="144" t="s">
        <v>5421</v>
      </c>
      <c r="E2901" s="144" t="s">
        <v>5413</v>
      </c>
      <c r="F2901" s="144" t="s">
        <v>5405</v>
      </c>
      <c r="G2901" s="145" t="s">
        <v>868</v>
      </c>
      <c r="H2901" s="134"/>
      <c r="J2901" s="143" t="s">
        <v>5412</v>
      </c>
      <c r="K2901" s="144" t="s">
        <v>5420</v>
      </c>
      <c r="L2901" s="144" t="s">
        <v>5421</v>
      </c>
      <c r="M2901" s="144" t="s">
        <v>5413</v>
      </c>
      <c r="N2901" s="144" t="s">
        <v>5405</v>
      </c>
      <c r="O2901" s="145" t="s">
        <v>868</v>
      </c>
      <c r="P2901" s="134"/>
    </row>
    <row r="2902" spans="2:16" s="140" customFormat="1" x14ac:dyDescent="0.25">
      <c r="B2902" s="194" t="s">
        <v>5650</v>
      </c>
      <c r="C2902" s="345">
        <v>70000</v>
      </c>
      <c r="D2902" s="345">
        <f>+C2902*0.85</f>
        <v>59500</v>
      </c>
      <c r="E2902" s="353">
        <f>+C2902+D2902</f>
        <v>129500</v>
      </c>
      <c r="F2902" s="202">
        <v>200</v>
      </c>
      <c r="G2902" s="351">
        <f>+E2902/F2902</f>
        <v>647.5</v>
      </c>
      <c r="H2902" s="134"/>
      <c r="J2902" s="194" t="s">
        <v>5650</v>
      </c>
      <c r="K2902" s="345">
        <v>70000</v>
      </c>
      <c r="L2902" s="345">
        <f>+K2902*0.85</f>
        <v>59500</v>
      </c>
      <c r="M2902" s="353">
        <f>+K2902+L2902</f>
        <v>129500</v>
      </c>
      <c r="N2902" s="202">
        <v>1000</v>
      </c>
      <c r="O2902" s="351">
        <f>+M2902/N2902</f>
        <v>129.5</v>
      </c>
      <c r="P2902" s="134"/>
    </row>
    <row r="2903" spans="2:16" s="140" customFormat="1" x14ac:dyDescent="0.25">
      <c r="B2903" s="194" t="s">
        <v>5651</v>
      </c>
      <c r="C2903" s="345">
        <v>40000</v>
      </c>
      <c r="D2903" s="345">
        <f>+C2903*0.85</f>
        <v>34000</v>
      </c>
      <c r="E2903" s="353">
        <f>+C2903+D2903</f>
        <v>74000</v>
      </c>
      <c r="F2903" s="204">
        <v>20</v>
      </c>
      <c r="G2903" s="351">
        <f>+E2903/F2903</f>
        <v>3700</v>
      </c>
      <c r="H2903" s="134"/>
      <c r="J2903" s="194" t="s">
        <v>5651</v>
      </c>
      <c r="K2903" s="345">
        <v>40000</v>
      </c>
      <c r="L2903" s="345">
        <f>+K2903*0.85</f>
        <v>34000</v>
      </c>
      <c r="M2903" s="353">
        <f>+K2903+L2903</f>
        <v>74000</v>
      </c>
      <c r="N2903" s="204">
        <v>100</v>
      </c>
      <c r="O2903" s="351">
        <f>+M2903/N2903</f>
        <v>740</v>
      </c>
      <c r="P2903" s="134"/>
    </row>
    <row r="2904" spans="2:16" s="140" customFormat="1" x14ac:dyDescent="0.25">
      <c r="B2904" s="195" t="s">
        <v>5635</v>
      </c>
      <c r="C2904" s="345">
        <v>20600</v>
      </c>
      <c r="D2904" s="345">
        <f>+C2904*0.85</f>
        <v>17510</v>
      </c>
      <c r="E2904" s="353">
        <f>+C2904+D2904</f>
        <v>38110</v>
      </c>
      <c r="F2904" s="205">
        <v>5</v>
      </c>
      <c r="G2904" s="351">
        <f>+E2904/F2904</f>
        <v>7622</v>
      </c>
      <c r="H2904" s="134"/>
      <c r="J2904" s="195" t="s">
        <v>5635</v>
      </c>
      <c r="K2904" s="345">
        <v>20600</v>
      </c>
      <c r="L2904" s="345">
        <f>+K2904*0.85</f>
        <v>17510</v>
      </c>
      <c r="M2904" s="353">
        <f>+K2904+L2904</f>
        <v>38110</v>
      </c>
      <c r="N2904" s="205">
        <v>20</v>
      </c>
      <c r="O2904" s="351">
        <f>+M2904/N2904</f>
        <v>1905.5</v>
      </c>
      <c r="P2904" s="134"/>
    </row>
    <row r="2905" spans="2:16" s="140" customFormat="1" x14ac:dyDescent="0.25">
      <c r="B2905" s="155"/>
      <c r="C2905" s="345"/>
      <c r="D2905" s="152"/>
      <c r="E2905" s="152"/>
      <c r="F2905" s="151"/>
      <c r="G2905" s="156"/>
      <c r="H2905" s="134"/>
      <c r="J2905" s="155"/>
      <c r="K2905" s="345"/>
      <c r="L2905" s="152"/>
      <c r="M2905" s="152"/>
      <c r="N2905" s="151"/>
      <c r="O2905" s="156"/>
      <c r="P2905" s="134"/>
    </row>
    <row r="2906" spans="2:16" s="140" customFormat="1" x14ac:dyDescent="0.25">
      <c r="B2906" s="155"/>
      <c r="C2906" s="152"/>
      <c r="D2906" s="152"/>
      <c r="E2906" s="152"/>
      <c r="F2906" s="151"/>
      <c r="G2906" s="156"/>
      <c r="H2906" s="134"/>
      <c r="J2906" s="155"/>
      <c r="K2906" s="152"/>
      <c r="L2906" s="152"/>
      <c r="M2906" s="152"/>
      <c r="N2906" s="151"/>
      <c r="O2906" s="156"/>
      <c r="P2906" s="134"/>
    </row>
    <row r="2907" spans="2:16" s="140" customFormat="1" ht="13.5" thickBot="1" x14ac:dyDescent="0.3">
      <c r="B2907" s="155"/>
      <c r="C2907" s="152"/>
      <c r="D2907" s="152"/>
      <c r="E2907" s="152"/>
      <c r="F2907" s="151"/>
      <c r="G2907" s="156"/>
      <c r="H2907" s="134"/>
      <c r="J2907" s="155"/>
      <c r="K2907" s="152"/>
      <c r="L2907" s="152"/>
      <c r="M2907" s="152"/>
      <c r="N2907" s="151"/>
      <c r="O2907" s="156"/>
      <c r="P2907" s="134"/>
    </row>
    <row r="2908" spans="2:16" s="140" customFormat="1" ht="13.5" thickBot="1" x14ac:dyDescent="0.3">
      <c r="B2908" s="179"/>
      <c r="C2908" s="180"/>
      <c r="D2908" s="180"/>
      <c r="E2908" s="180"/>
      <c r="F2908" s="181"/>
      <c r="G2908" s="182"/>
      <c r="H2908" s="161">
        <f>+SUM(G2902:G2908)</f>
        <v>11969.5</v>
      </c>
      <c r="J2908" s="179"/>
      <c r="K2908" s="180"/>
      <c r="L2908" s="180"/>
      <c r="M2908" s="180"/>
      <c r="N2908" s="181"/>
      <c r="O2908" s="182"/>
      <c r="P2908" s="161">
        <f>+SUM(O2902:O2908)</f>
        <v>2775</v>
      </c>
    </row>
    <row r="2909" spans="2:16" s="140" customFormat="1" ht="13.5" thickBot="1" x14ac:dyDescent="0.3">
      <c r="F2909" s="141"/>
      <c r="G2909" s="134"/>
      <c r="H2909" s="134"/>
      <c r="N2909" s="141"/>
      <c r="O2909" s="134"/>
      <c r="P2909" s="134"/>
    </row>
    <row r="2910" spans="2:16" s="140" customFormat="1" ht="13.5" thickBot="1" x14ac:dyDescent="0.3">
      <c r="E2910" s="183" t="s">
        <v>5415</v>
      </c>
      <c r="F2910" s="141"/>
      <c r="G2910" s="134"/>
      <c r="H2910" s="161">
        <f>ROUND(+H2875+H2890+H2899+H2908,0)</f>
        <v>141125</v>
      </c>
      <c r="M2910" s="183" t="s">
        <v>5415</v>
      </c>
      <c r="N2910" s="141"/>
      <c r="O2910" s="134"/>
      <c r="P2910" s="161">
        <f>ROUND(+P2875+P2890+P2899+P2908,0)</f>
        <v>138886</v>
      </c>
    </row>
    <row r="2912" spans="2:16" x14ac:dyDescent="0.25">
      <c r="H2912" s="341"/>
    </row>
    <row r="2915" spans="1:8" ht="18.75" x14ac:dyDescent="0.25">
      <c r="A2915" s="133"/>
      <c r="B2915" s="2506" t="s">
        <v>5400</v>
      </c>
      <c r="C2915" s="2506"/>
      <c r="D2915" s="2506"/>
      <c r="E2915" s="2506"/>
      <c r="F2915" s="2506"/>
      <c r="G2915" s="2506"/>
    </row>
    <row r="2916" spans="1:8" x14ac:dyDescent="0.25">
      <c r="A2916" s="133"/>
      <c r="G2916" s="134"/>
    </row>
    <row r="2917" spans="1:8" x14ac:dyDescent="0.25">
      <c r="A2917" s="133"/>
      <c r="G2917" s="134"/>
    </row>
    <row r="2918" spans="1:8" x14ac:dyDescent="0.25">
      <c r="A2918" s="133"/>
      <c r="G2918" s="134"/>
    </row>
    <row r="2919" spans="1:8" s="140" customFormat="1" x14ac:dyDescent="0.25">
      <c r="A2919" s="138" t="s">
        <v>3</v>
      </c>
      <c r="B2919" s="138" t="s">
        <v>155</v>
      </c>
      <c r="C2919" s="2450" t="s">
        <v>158</v>
      </c>
      <c r="D2919" s="2450"/>
      <c r="E2919" s="2450"/>
      <c r="F2919" s="138" t="s">
        <v>867</v>
      </c>
      <c r="G2919" s="139" t="s">
        <v>5454</v>
      </c>
      <c r="H2919" s="134"/>
    </row>
    <row r="2920" spans="1:8" s="140" customFormat="1" ht="24.95" customHeight="1" x14ac:dyDescent="0.25">
      <c r="A2920" s="141"/>
      <c r="F2920" s="141"/>
      <c r="G2920" s="134"/>
      <c r="H2920" s="134"/>
    </row>
    <row r="2921" spans="1:8" s="140" customFormat="1" ht="12.75" customHeight="1" x14ac:dyDescent="0.25">
      <c r="A2921" s="141"/>
      <c r="F2921" s="141"/>
      <c r="G2921" s="142"/>
      <c r="H2921" s="134"/>
    </row>
    <row r="2922" spans="1:8" s="140" customFormat="1" ht="13.5" thickBot="1" x14ac:dyDescent="0.3">
      <c r="A2922" s="141"/>
      <c r="F2922" s="141"/>
      <c r="G2922" s="134"/>
      <c r="H2922" s="134"/>
    </row>
    <row r="2923" spans="1:8" s="140" customFormat="1" ht="13.5" thickBot="1" x14ac:dyDescent="0.3">
      <c r="A2923" s="141"/>
      <c r="B2923" s="143" t="s">
        <v>5403</v>
      </c>
      <c r="C2923" s="144" t="s">
        <v>867</v>
      </c>
      <c r="D2923" s="144" t="s">
        <v>6</v>
      </c>
      <c r="E2923" s="144" t="s">
        <v>5404</v>
      </c>
      <c r="F2923" s="144" t="s">
        <v>5405</v>
      </c>
      <c r="G2923" s="145" t="s">
        <v>868</v>
      </c>
      <c r="H2923" s="134"/>
    </row>
    <row r="2924" spans="1:8" s="140" customFormat="1" x14ac:dyDescent="0.25">
      <c r="A2924" s="141"/>
      <c r="B2924" s="146" t="s">
        <v>5440</v>
      </c>
      <c r="C2924" s="147" t="s">
        <v>5406</v>
      </c>
      <c r="D2924" s="147"/>
      <c r="E2924" s="148">
        <f>+H2963</f>
        <v>4803.833333333333</v>
      </c>
      <c r="F2924" s="167">
        <v>0.1</v>
      </c>
      <c r="G2924" s="360">
        <f>+E2924*F2924</f>
        <v>480.38333333333333</v>
      </c>
      <c r="H2924" s="134"/>
    </row>
    <row r="2925" spans="1:8" s="140" customFormat="1" x14ac:dyDescent="0.25">
      <c r="A2925" s="141"/>
      <c r="B2925" s="150" t="s">
        <v>5736</v>
      </c>
      <c r="C2925" s="151" t="s">
        <v>5481</v>
      </c>
      <c r="D2925" s="205">
        <v>1</v>
      </c>
      <c r="E2925" s="366">
        <v>40000</v>
      </c>
      <c r="F2925" s="205">
        <v>40</v>
      </c>
      <c r="G2925" s="360">
        <f>+E2925/F2925</f>
        <v>1000</v>
      </c>
      <c r="H2925" s="134"/>
    </row>
    <row r="2926" spans="1:8" s="140" customFormat="1" x14ac:dyDescent="0.25">
      <c r="A2926" s="141"/>
      <c r="B2926" s="154"/>
      <c r="C2926" s="151"/>
      <c r="D2926" s="151"/>
      <c r="E2926" s="366"/>
      <c r="F2926" s="151"/>
      <c r="G2926" s="360"/>
      <c r="H2926" s="134"/>
    </row>
    <row r="2927" spans="1:8" s="140" customFormat="1" x14ac:dyDescent="0.25">
      <c r="A2927" s="141"/>
      <c r="B2927" s="155"/>
      <c r="C2927" s="151"/>
      <c r="D2927" s="152"/>
      <c r="E2927" s="152"/>
      <c r="F2927" s="151"/>
      <c r="G2927" s="156"/>
      <c r="H2927" s="134"/>
    </row>
    <row r="2928" spans="1:8" s="140" customFormat="1" x14ac:dyDescent="0.25">
      <c r="A2928" s="141"/>
      <c r="B2928" s="155"/>
      <c r="C2928" s="151"/>
      <c r="D2928" s="152"/>
      <c r="E2928" s="152"/>
      <c r="F2928" s="151"/>
      <c r="G2928" s="156"/>
      <c r="H2928" s="134"/>
    </row>
    <row r="2929" spans="1:8" s="140" customFormat="1" ht="13.5" thickBot="1" x14ac:dyDescent="0.3">
      <c r="A2929" s="141"/>
      <c r="B2929" s="155"/>
      <c r="C2929" s="151"/>
      <c r="D2929" s="152"/>
      <c r="E2929" s="152"/>
      <c r="F2929" s="151"/>
      <c r="G2929" s="156"/>
      <c r="H2929" s="134"/>
    </row>
    <row r="2930" spans="1:8" s="140" customFormat="1" ht="13.5" thickBot="1" x14ac:dyDescent="0.3">
      <c r="A2930" s="141"/>
      <c r="B2930" s="157"/>
      <c r="C2930" s="158"/>
      <c r="D2930" s="159"/>
      <c r="E2930" s="159"/>
      <c r="F2930" s="158"/>
      <c r="G2930" s="160"/>
      <c r="H2930" s="161">
        <f>+SUM(G2924:G2930)</f>
        <v>1480.3833333333332</v>
      </c>
    </row>
    <row r="2931" spans="1:8" s="140" customFormat="1" ht="13.5" thickBot="1" x14ac:dyDescent="0.3">
      <c r="A2931" s="141"/>
      <c r="B2931" s="162"/>
      <c r="C2931" s="163"/>
      <c r="D2931" s="162"/>
      <c r="E2931" s="162"/>
      <c r="F2931" s="163"/>
      <c r="G2931" s="164"/>
      <c r="H2931" s="165"/>
    </row>
    <row r="2932" spans="1:8" s="140" customFormat="1" ht="13.5" thickBot="1" x14ac:dyDescent="0.3">
      <c r="B2932" s="143" t="s">
        <v>5408</v>
      </c>
      <c r="C2932" s="144" t="s">
        <v>867</v>
      </c>
      <c r="D2932" s="144" t="s">
        <v>6</v>
      </c>
      <c r="E2932" s="144" t="s">
        <v>870</v>
      </c>
      <c r="F2932" s="144" t="s">
        <v>5409</v>
      </c>
      <c r="G2932" s="145" t="s">
        <v>868</v>
      </c>
      <c r="H2932" s="134"/>
    </row>
    <row r="2933" spans="1:8" s="140" customFormat="1" x14ac:dyDescent="0.25">
      <c r="B2933" s="201" t="s">
        <v>5702</v>
      </c>
      <c r="C2933" s="147" t="s">
        <v>5430</v>
      </c>
      <c r="D2933" s="167">
        <v>1</v>
      </c>
      <c r="E2933" s="438">
        <v>55000</v>
      </c>
      <c r="F2933" s="169">
        <v>0.35</v>
      </c>
      <c r="G2933" s="367">
        <f>+D2933*E2933*(1+F2933)</f>
        <v>74250</v>
      </c>
      <c r="H2933" s="134"/>
    </row>
    <row r="2934" spans="1:8" s="140" customFormat="1" x14ac:dyDescent="0.25">
      <c r="B2934" s="196"/>
      <c r="C2934" s="151"/>
      <c r="D2934" s="151"/>
      <c r="E2934" s="366"/>
      <c r="F2934" s="169"/>
      <c r="G2934" s="367"/>
      <c r="H2934" s="134"/>
    </row>
    <row r="2935" spans="1:8" s="140" customFormat="1" x14ac:dyDescent="0.25">
      <c r="B2935" s="196"/>
      <c r="C2935" s="151"/>
      <c r="D2935" s="151"/>
      <c r="E2935" s="366"/>
      <c r="F2935" s="169"/>
      <c r="G2935" s="367"/>
      <c r="H2935" s="134"/>
    </row>
    <row r="2936" spans="1:8" s="140" customFormat="1" x14ac:dyDescent="0.25">
      <c r="B2936" s="155"/>
      <c r="C2936" s="151"/>
      <c r="D2936" s="151"/>
      <c r="E2936" s="148"/>
      <c r="F2936" s="151"/>
      <c r="G2936" s="367"/>
      <c r="H2936" s="134"/>
    </row>
    <row r="2937" spans="1:8" s="140" customFormat="1" x14ac:dyDescent="0.25">
      <c r="B2937" s="155"/>
      <c r="C2937" s="151"/>
      <c r="D2937" s="151"/>
      <c r="E2937" s="148"/>
      <c r="F2937" s="151"/>
      <c r="G2937" s="367"/>
      <c r="H2937" s="134"/>
    </row>
    <row r="2938" spans="1:8" s="140" customFormat="1" x14ac:dyDescent="0.25">
      <c r="B2938" s="155"/>
      <c r="C2938" s="151"/>
      <c r="D2938" s="151"/>
      <c r="E2938" s="148"/>
      <c r="F2938" s="151"/>
      <c r="G2938" s="367"/>
      <c r="H2938" s="134"/>
    </row>
    <row r="2939" spans="1:8" s="140" customFormat="1" x14ac:dyDescent="0.25">
      <c r="B2939" s="155"/>
      <c r="C2939" s="151"/>
      <c r="D2939" s="151"/>
      <c r="E2939" s="148"/>
      <c r="F2939" s="151"/>
      <c r="G2939" s="367"/>
      <c r="H2939" s="134"/>
    </row>
    <row r="2940" spans="1:8" s="140" customFormat="1" x14ac:dyDescent="0.25">
      <c r="B2940" s="155"/>
      <c r="C2940" s="151"/>
      <c r="D2940" s="151"/>
      <c r="E2940" s="148"/>
      <c r="F2940" s="151"/>
      <c r="G2940" s="367"/>
      <c r="H2940" s="134"/>
    </row>
    <row r="2941" spans="1:8" s="140" customFormat="1" x14ac:dyDescent="0.25">
      <c r="B2941" s="155"/>
      <c r="C2941" s="151"/>
      <c r="D2941" s="151"/>
      <c r="E2941" s="148"/>
      <c r="F2941" s="151"/>
      <c r="G2941" s="367"/>
      <c r="H2941" s="134"/>
    </row>
    <row r="2942" spans="1:8" s="140" customFormat="1" x14ac:dyDescent="0.25">
      <c r="B2942" s="155"/>
      <c r="C2942" s="151"/>
      <c r="D2942" s="151"/>
      <c r="E2942" s="148"/>
      <c r="F2942" s="151"/>
      <c r="G2942" s="367"/>
      <c r="H2942" s="134"/>
    </row>
    <row r="2943" spans="1:8" s="140" customFormat="1" x14ac:dyDescent="0.25">
      <c r="B2943" s="155"/>
      <c r="C2943" s="152"/>
      <c r="D2943" s="152"/>
      <c r="E2943" s="152"/>
      <c r="F2943" s="151"/>
      <c r="G2943" s="156"/>
      <c r="H2943" s="134"/>
    </row>
    <row r="2944" spans="1:8" s="140" customFormat="1" ht="13.5" thickBot="1" x14ac:dyDescent="0.3">
      <c r="B2944" s="155"/>
      <c r="C2944" s="152"/>
      <c r="D2944" s="152"/>
      <c r="E2944" s="152"/>
      <c r="F2944" s="151"/>
      <c r="G2944" s="156"/>
      <c r="H2944" s="134"/>
    </row>
    <row r="2945" spans="2:8" s="140" customFormat="1" ht="13.5" thickBot="1" x14ac:dyDescent="0.3">
      <c r="B2945" s="157"/>
      <c r="C2945" s="159"/>
      <c r="D2945" s="159"/>
      <c r="E2945" s="159"/>
      <c r="F2945" s="158"/>
      <c r="G2945" s="160"/>
      <c r="H2945" s="161">
        <f>+SUM(G2933:G2945)</f>
        <v>74250</v>
      </c>
    </row>
    <row r="2946" spans="2:8" s="140" customFormat="1" ht="13.5" thickBot="1" x14ac:dyDescent="0.3">
      <c r="B2946" s="162"/>
      <c r="C2946" s="162"/>
      <c r="D2946" s="162"/>
      <c r="E2946" s="162"/>
      <c r="F2946" s="163"/>
      <c r="G2946" s="164"/>
      <c r="H2946" s="165"/>
    </row>
    <row r="2947" spans="2:8" s="140" customFormat="1" ht="13.5" thickBot="1" x14ac:dyDescent="0.3">
      <c r="B2947" s="143" t="s">
        <v>5410</v>
      </c>
      <c r="C2947" s="144" t="s">
        <v>867</v>
      </c>
      <c r="D2947" s="144" t="s">
        <v>6</v>
      </c>
      <c r="E2947" s="144" t="s">
        <v>870</v>
      </c>
      <c r="F2947" s="144" t="s">
        <v>5411</v>
      </c>
      <c r="G2947" s="145" t="s">
        <v>868</v>
      </c>
      <c r="H2947" s="134"/>
    </row>
    <row r="2948" spans="2:8" s="140" customFormat="1" x14ac:dyDescent="0.25">
      <c r="B2948" s="201"/>
      <c r="C2948" s="147"/>
      <c r="D2948" s="167"/>
      <c r="E2948" s="366"/>
      <c r="F2948" s="169"/>
      <c r="G2948" s="367"/>
      <c r="H2948" s="134"/>
    </row>
    <row r="2949" spans="2:8" s="140" customFormat="1" x14ac:dyDescent="0.25">
      <c r="B2949" s="196"/>
      <c r="C2949" s="151"/>
      <c r="D2949" s="151"/>
      <c r="E2949" s="366"/>
      <c r="F2949" s="147"/>
      <c r="G2949" s="367"/>
      <c r="H2949" s="134"/>
    </row>
    <row r="2950" spans="2:8" s="140" customFormat="1" x14ac:dyDescent="0.25">
      <c r="B2950" s="196"/>
      <c r="C2950" s="151"/>
      <c r="D2950" s="151"/>
      <c r="E2950" s="148"/>
      <c r="F2950" s="151"/>
      <c r="G2950" s="367"/>
      <c r="H2950" s="134"/>
    </row>
    <row r="2951" spans="2:8" s="140" customFormat="1" x14ac:dyDescent="0.25">
      <c r="B2951" s="155"/>
      <c r="C2951" s="151"/>
      <c r="D2951" s="151"/>
      <c r="E2951" s="148"/>
      <c r="F2951" s="151"/>
      <c r="G2951" s="367"/>
      <c r="H2951" s="134"/>
    </row>
    <row r="2952" spans="2:8" s="140" customFormat="1" x14ac:dyDescent="0.25">
      <c r="B2952" s="155"/>
      <c r="C2952" s="151"/>
      <c r="D2952" s="151"/>
      <c r="E2952" s="148"/>
      <c r="F2952" s="151"/>
      <c r="G2952" s="367"/>
      <c r="H2952" s="134"/>
    </row>
    <row r="2953" spans="2:8" s="140" customFormat="1" ht="13.5" thickBot="1" x14ac:dyDescent="0.3">
      <c r="B2953" s="155"/>
      <c r="C2953" s="151"/>
      <c r="D2953" s="151"/>
      <c r="E2953" s="148"/>
      <c r="F2953" s="151"/>
      <c r="G2953" s="367"/>
      <c r="H2953" s="134"/>
    </row>
    <row r="2954" spans="2:8" s="140" customFormat="1" ht="13.5" thickBot="1" x14ac:dyDescent="0.3">
      <c r="B2954" s="157"/>
      <c r="C2954" s="159"/>
      <c r="D2954" s="159"/>
      <c r="E2954" s="159"/>
      <c r="F2954" s="158"/>
      <c r="G2954" s="160"/>
      <c r="H2954" s="161">
        <f>+SUM(G2948:G2954)</f>
        <v>0</v>
      </c>
    </row>
    <row r="2955" spans="2:8" s="140" customFormat="1" ht="13.5" thickBot="1" x14ac:dyDescent="0.3">
      <c r="B2955" s="162"/>
      <c r="C2955" s="162"/>
      <c r="D2955" s="162"/>
      <c r="E2955" s="162"/>
      <c r="F2955" s="173"/>
      <c r="G2955" s="174"/>
      <c r="H2955" s="165"/>
    </row>
    <row r="2956" spans="2:8" s="140" customFormat="1" ht="13.5" thickBot="1" x14ac:dyDescent="0.3">
      <c r="B2956" s="143" t="s">
        <v>5412</v>
      </c>
      <c r="C2956" s="144" t="s">
        <v>5420</v>
      </c>
      <c r="D2956" s="144" t="s">
        <v>5421</v>
      </c>
      <c r="E2956" s="144" t="s">
        <v>5413</v>
      </c>
      <c r="F2956" s="144" t="s">
        <v>5405</v>
      </c>
      <c r="G2956" s="145" t="s">
        <v>868</v>
      </c>
      <c r="H2956" s="134"/>
    </row>
    <row r="2957" spans="2:8" s="140" customFormat="1" x14ac:dyDescent="0.25">
      <c r="B2957" s="194" t="s">
        <v>5650</v>
      </c>
      <c r="C2957" s="345">
        <v>70000</v>
      </c>
      <c r="D2957" s="345">
        <f>+C2957*0.85</f>
        <v>59500</v>
      </c>
      <c r="E2957" s="353">
        <f>+C2957+D2957</f>
        <v>129500</v>
      </c>
      <c r="F2957" s="202">
        <v>300</v>
      </c>
      <c r="G2957" s="351">
        <f>+E2957/F2957</f>
        <v>431.66666666666669</v>
      </c>
      <c r="H2957" s="134"/>
    </row>
    <row r="2958" spans="2:8" s="140" customFormat="1" x14ac:dyDescent="0.25">
      <c r="B2958" s="194" t="s">
        <v>5651</v>
      </c>
      <c r="C2958" s="345">
        <v>40000</v>
      </c>
      <c r="D2958" s="345">
        <f>+C2958*0.85</f>
        <v>34000</v>
      </c>
      <c r="E2958" s="353">
        <f>+C2958+D2958</f>
        <v>74000</v>
      </c>
      <c r="F2958" s="204">
        <v>30</v>
      </c>
      <c r="G2958" s="351">
        <f>+E2958/F2958</f>
        <v>2466.6666666666665</v>
      </c>
      <c r="H2958" s="134"/>
    </row>
    <row r="2959" spans="2:8" s="140" customFormat="1" x14ac:dyDescent="0.25">
      <c r="B2959" s="195" t="s">
        <v>5635</v>
      </c>
      <c r="C2959" s="345">
        <v>20600</v>
      </c>
      <c r="D2959" s="345">
        <f>+C2959*0.85</f>
        <v>17510</v>
      </c>
      <c r="E2959" s="353">
        <f>+C2959+D2959</f>
        <v>38110</v>
      </c>
      <c r="F2959" s="205">
        <v>20</v>
      </c>
      <c r="G2959" s="351">
        <f>+E2959/F2959</f>
        <v>1905.5</v>
      </c>
      <c r="H2959" s="134"/>
    </row>
    <row r="2960" spans="2:8" s="140" customFormat="1" x14ac:dyDescent="0.25">
      <c r="B2960" s="155"/>
      <c r="C2960" s="152"/>
      <c r="D2960" s="152"/>
      <c r="E2960" s="152"/>
      <c r="F2960" s="151"/>
      <c r="G2960" s="156"/>
      <c r="H2960" s="134"/>
    </row>
    <row r="2961" spans="1:8" s="140" customFormat="1" x14ac:dyDescent="0.25">
      <c r="B2961" s="155"/>
      <c r="C2961" s="152"/>
      <c r="D2961" s="152"/>
      <c r="E2961" s="152"/>
      <c r="F2961" s="151"/>
      <c r="G2961" s="156"/>
      <c r="H2961" s="134"/>
    </row>
    <row r="2962" spans="1:8" s="140" customFormat="1" ht="13.5" thickBot="1" x14ac:dyDescent="0.3">
      <c r="B2962" s="155"/>
      <c r="C2962" s="152"/>
      <c r="D2962" s="152"/>
      <c r="E2962" s="152"/>
      <c r="F2962" s="151"/>
      <c r="G2962" s="156"/>
      <c r="H2962" s="134"/>
    </row>
    <row r="2963" spans="1:8" s="140" customFormat="1" ht="13.5" thickBot="1" x14ac:dyDescent="0.3">
      <c r="B2963" s="179"/>
      <c r="C2963" s="180"/>
      <c r="D2963" s="180"/>
      <c r="E2963" s="180"/>
      <c r="F2963" s="181"/>
      <c r="G2963" s="182"/>
      <c r="H2963" s="161">
        <f>+SUM(G2957:G2963)</f>
        <v>4803.833333333333</v>
      </c>
    </row>
    <row r="2964" spans="1:8" s="140" customFormat="1" ht="13.5" thickBot="1" x14ac:dyDescent="0.3">
      <c r="F2964" s="141"/>
      <c r="G2964" s="134"/>
      <c r="H2964" s="134"/>
    </row>
    <row r="2965" spans="1:8" s="140" customFormat="1" ht="13.5" thickBot="1" x14ac:dyDescent="0.3">
      <c r="E2965" s="183" t="s">
        <v>5415</v>
      </c>
      <c r="F2965" s="141"/>
      <c r="G2965" s="134"/>
      <c r="H2965" s="161">
        <f>ROUND(+H2930+H2945+H2954+H2963,0)</f>
        <v>80534</v>
      </c>
    </row>
    <row r="2967" spans="1:8" x14ac:dyDescent="0.25">
      <c r="H2967" s="341"/>
    </row>
    <row r="2970" spans="1:8" ht="18.75" x14ac:dyDescent="0.25">
      <c r="A2970" s="133"/>
      <c r="B2970" s="2506" t="s">
        <v>5400</v>
      </c>
      <c r="C2970" s="2506"/>
      <c r="D2970" s="2506"/>
      <c r="E2970" s="2506"/>
      <c r="F2970" s="2506"/>
      <c r="G2970" s="2506"/>
    </row>
    <row r="2971" spans="1:8" x14ac:dyDescent="0.25">
      <c r="A2971" s="133"/>
      <c r="G2971" s="134"/>
    </row>
    <row r="2972" spans="1:8" x14ac:dyDescent="0.25">
      <c r="A2972" s="133"/>
      <c r="G2972" s="134"/>
    </row>
    <row r="2973" spans="1:8" x14ac:dyDescent="0.25">
      <c r="A2973" s="133"/>
      <c r="G2973" s="134"/>
    </row>
    <row r="2974" spans="1:8" s="140" customFormat="1" x14ac:dyDescent="0.25">
      <c r="A2974" s="138" t="s">
        <v>3</v>
      </c>
      <c r="B2974" s="138" t="s">
        <v>156</v>
      </c>
      <c r="C2974" s="2450" t="s">
        <v>159</v>
      </c>
      <c r="D2974" s="2450"/>
      <c r="E2974" s="2450"/>
      <c r="F2974" s="138" t="s">
        <v>867</v>
      </c>
      <c r="G2974" s="139" t="s">
        <v>5454</v>
      </c>
      <c r="H2974" s="134"/>
    </row>
    <row r="2975" spans="1:8" s="140" customFormat="1" ht="24.95" customHeight="1" x14ac:dyDescent="0.25">
      <c r="A2975" s="141"/>
      <c r="F2975" s="141"/>
      <c r="G2975" s="134"/>
      <c r="H2975" s="134"/>
    </row>
    <row r="2976" spans="1:8" s="140" customFormat="1" ht="12.75" customHeight="1" x14ac:dyDescent="0.25">
      <c r="A2976" s="141"/>
      <c r="F2976" s="141"/>
      <c r="G2976" s="142"/>
      <c r="H2976" s="134"/>
    </row>
    <row r="2977" spans="1:8" s="140" customFormat="1" ht="13.5" thickBot="1" x14ac:dyDescent="0.3">
      <c r="A2977" s="141"/>
      <c r="F2977" s="141"/>
      <c r="G2977" s="134"/>
      <c r="H2977" s="134"/>
    </row>
    <row r="2978" spans="1:8" s="140" customFormat="1" ht="13.5" thickBot="1" x14ac:dyDescent="0.3">
      <c r="A2978" s="141"/>
      <c r="B2978" s="143" t="s">
        <v>5403</v>
      </c>
      <c r="C2978" s="144" t="s">
        <v>867</v>
      </c>
      <c r="D2978" s="144" t="s">
        <v>6</v>
      </c>
      <c r="E2978" s="144" t="s">
        <v>5404</v>
      </c>
      <c r="F2978" s="144" t="s">
        <v>5405</v>
      </c>
      <c r="G2978" s="145" t="s">
        <v>868</v>
      </c>
      <c r="H2978" s="134"/>
    </row>
    <row r="2979" spans="1:8" s="140" customFormat="1" x14ac:dyDescent="0.25">
      <c r="A2979" s="141"/>
      <c r="B2979" s="146" t="s">
        <v>5440</v>
      </c>
      <c r="C2979" s="147" t="s">
        <v>5406</v>
      </c>
      <c r="D2979" s="147"/>
      <c r="E2979" s="148">
        <f>+H3018</f>
        <v>5439</v>
      </c>
      <c r="F2979" s="167">
        <v>0.1</v>
      </c>
      <c r="G2979" s="360">
        <f>+E2979*F2979</f>
        <v>543.9</v>
      </c>
      <c r="H2979" s="134"/>
    </row>
    <row r="2980" spans="1:8" s="140" customFormat="1" x14ac:dyDescent="0.25">
      <c r="A2980" s="141"/>
      <c r="B2980" s="150" t="s">
        <v>5736</v>
      </c>
      <c r="C2980" s="151" t="s">
        <v>5481</v>
      </c>
      <c r="D2980" s="205">
        <v>1</v>
      </c>
      <c r="E2980" s="366">
        <v>40000</v>
      </c>
      <c r="F2980" s="205">
        <v>30</v>
      </c>
      <c r="G2980" s="360">
        <f>+E2980/F2980</f>
        <v>1333.3333333333333</v>
      </c>
      <c r="H2980" s="134"/>
    </row>
    <row r="2981" spans="1:8" s="140" customFormat="1" x14ac:dyDescent="0.25">
      <c r="A2981" s="141"/>
      <c r="B2981" s="154"/>
      <c r="C2981" s="151"/>
      <c r="D2981" s="151"/>
      <c r="E2981" s="366"/>
      <c r="F2981" s="151"/>
      <c r="G2981" s="360"/>
      <c r="H2981" s="134"/>
    </row>
    <row r="2982" spans="1:8" s="140" customFormat="1" x14ac:dyDescent="0.25">
      <c r="A2982" s="141"/>
      <c r="B2982" s="155"/>
      <c r="C2982" s="151"/>
      <c r="D2982" s="152"/>
      <c r="E2982" s="152"/>
      <c r="F2982" s="151"/>
      <c r="G2982" s="156"/>
      <c r="H2982" s="134"/>
    </row>
    <row r="2983" spans="1:8" s="140" customFormat="1" x14ac:dyDescent="0.25">
      <c r="A2983" s="141"/>
      <c r="B2983" s="155"/>
      <c r="C2983" s="151"/>
      <c r="D2983" s="152"/>
      <c r="E2983" s="152"/>
      <c r="F2983" s="151"/>
      <c r="G2983" s="156"/>
      <c r="H2983" s="134"/>
    </row>
    <row r="2984" spans="1:8" s="140" customFormat="1" ht="13.5" thickBot="1" x14ac:dyDescent="0.3">
      <c r="A2984" s="141"/>
      <c r="B2984" s="155"/>
      <c r="C2984" s="151"/>
      <c r="D2984" s="152"/>
      <c r="E2984" s="152"/>
      <c r="F2984" s="151"/>
      <c r="G2984" s="156"/>
      <c r="H2984" s="134"/>
    </row>
    <row r="2985" spans="1:8" s="140" customFormat="1" ht="13.5" thickBot="1" x14ac:dyDescent="0.3">
      <c r="A2985" s="141"/>
      <c r="B2985" s="157"/>
      <c r="C2985" s="158"/>
      <c r="D2985" s="159"/>
      <c r="E2985" s="159"/>
      <c r="F2985" s="158"/>
      <c r="G2985" s="160"/>
      <c r="H2985" s="161">
        <f>+SUM(G2979:G2985)</f>
        <v>1877.2333333333331</v>
      </c>
    </row>
    <row r="2986" spans="1:8" s="140" customFormat="1" ht="13.5" thickBot="1" x14ac:dyDescent="0.3">
      <c r="A2986" s="141"/>
      <c r="B2986" s="162"/>
      <c r="C2986" s="163"/>
      <c r="D2986" s="162"/>
      <c r="E2986" s="162"/>
      <c r="F2986" s="163"/>
      <c r="G2986" s="164"/>
      <c r="H2986" s="165"/>
    </row>
    <row r="2987" spans="1:8" s="140" customFormat="1" ht="13.5" thickBot="1" x14ac:dyDescent="0.3">
      <c r="B2987" s="143" t="s">
        <v>5408</v>
      </c>
      <c r="C2987" s="144" t="s">
        <v>867</v>
      </c>
      <c r="D2987" s="144" t="s">
        <v>6</v>
      </c>
      <c r="E2987" s="144" t="s">
        <v>870</v>
      </c>
      <c r="F2987" s="144" t="s">
        <v>5409</v>
      </c>
      <c r="G2987" s="145" t="s">
        <v>868</v>
      </c>
      <c r="H2987" s="134"/>
    </row>
    <row r="2988" spans="1:8" s="140" customFormat="1" x14ac:dyDescent="0.25">
      <c r="B2988" s="201" t="s">
        <v>5703</v>
      </c>
      <c r="C2988" s="147" t="s">
        <v>5430</v>
      </c>
      <c r="D2988" s="167">
        <v>1</v>
      </c>
      <c r="E2988" s="438">
        <v>77000</v>
      </c>
      <c r="F2988" s="169">
        <v>0.25</v>
      </c>
      <c r="G2988" s="367">
        <f>+D2988*E2988*(1+F2988)</f>
        <v>96250</v>
      </c>
      <c r="H2988" s="134"/>
    </row>
    <row r="2989" spans="1:8" s="140" customFormat="1" x14ac:dyDescent="0.25">
      <c r="B2989" s="196"/>
      <c r="C2989" s="151"/>
      <c r="D2989" s="151"/>
      <c r="E2989" s="366"/>
      <c r="F2989" s="169"/>
      <c r="G2989" s="367"/>
      <c r="H2989" s="134"/>
    </row>
    <row r="2990" spans="1:8" s="140" customFormat="1" x14ac:dyDescent="0.25">
      <c r="B2990" s="196"/>
      <c r="C2990" s="151"/>
      <c r="D2990" s="151"/>
      <c r="E2990" s="366"/>
      <c r="F2990" s="169"/>
      <c r="G2990" s="367"/>
      <c r="H2990" s="134"/>
    </row>
    <row r="2991" spans="1:8" s="140" customFormat="1" x14ac:dyDescent="0.25">
      <c r="B2991" s="155"/>
      <c r="C2991" s="151"/>
      <c r="D2991" s="151"/>
      <c r="E2991" s="148"/>
      <c r="F2991" s="151"/>
      <c r="G2991" s="367"/>
      <c r="H2991" s="134"/>
    </row>
    <row r="2992" spans="1:8" s="140" customFormat="1" x14ac:dyDescent="0.25">
      <c r="B2992" s="155"/>
      <c r="C2992" s="151"/>
      <c r="D2992" s="151"/>
      <c r="E2992" s="148"/>
      <c r="F2992" s="151"/>
      <c r="G2992" s="367"/>
      <c r="H2992" s="134"/>
    </row>
    <row r="2993" spans="2:8" s="140" customFormat="1" x14ac:dyDescent="0.25">
      <c r="B2993" s="155"/>
      <c r="C2993" s="151"/>
      <c r="D2993" s="151"/>
      <c r="E2993" s="148"/>
      <c r="F2993" s="151"/>
      <c r="G2993" s="367"/>
      <c r="H2993" s="134"/>
    </row>
    <row r="2994" spans="2:8" s="140" customFormat="1" x14ac:dyDescent="0.25">
      <c r="B2994" s="155"/>
      <c r="C2994" s="151"/>
      <c r="D2994" s="151"/>
      <c r="E2994" s="148"/>
      <c r="F2994" s="151"/>
      <c r="G2994" s="367"/>
      <c r="H2994" s="134"/>
    </row>
    <row r="2995" spans="2:8" s="140" customFormat="1" x14ac:dyDescent="0.25">
      <c r="B2995" s="155"/>
      <c r="C2995" s="151"/>
      <c r="D2995" s="151"/>
      <c r="E2995" s="148"/>
      <c r="F2995" s="151"/>
      <c r="G2995" s="367"/>
      <c r="H2995" s="134"/>
    </row>
    <row r="2996" spans="2:8" s="140" customFormat="1" x14ac:dyDescent="0.25">
      <c r="B2996" s="155"/>
      <c r="C2996" s="151"/>
      <c r="D2996" s="151"/>
      <c r="E2996" s="148"/>
      <c r="F2996" s="151"/>
      <c r="G2996" s="367"/>
      <c r="H2996" s="134"/>
    </row>
    <row r="2997" spans="2:8" s="140" customFormat="1" x14ac:dyDescent="0.25">
      <c r="B2997" s="155"/>
      <c r="C2997" s="151"/>
      <c r="D2997" s="151"/>
      <c r="E2997" s="148"/>
      <c r="F2997" s="151"/>
      <c r="G2997" s="367"/>
      <c r="H2997" s="134"/>
    </row>
    <row r="2998" spans="2:8" s="140" customFormat="1" x14ac:dyDescent="0.25">
      <c r="B2998" s="155"/>
      <c r="C2998" s="152"/>
      <c r="D2998" s="152"/>
      <c r="E2998" s="152"/>
      <c r="F2998" s="151"/>
      <c r="G2998" s="156"/>
      <c r="H2998" s="134"/>
    </row>
    <row r="2999" spans="2:8" s="140" customFormat="1" ht="13.5" thickBot="1" x14ac:dyDescent="0.3">
      <c r="B2999" s="155"/>
      <c r="C2999" s="152"/>
      <c r="D2999" s="152"/>
      <c r="E2999" s="152"/>
      <c r="F2999" s="151"/>
      <c r="G2999" s="156"/>
      <c r="H2999" s="134"/>
    </row>
    <row r="3000" spans="2:8" s="140" customFormat="1" ht="13.5" thickBot="1" x14ac:dyDescent="0.3">
      <c r="B3000" s="157"/>
      <c r="C3000" s="159"/>
      <c r="D3000" s="159"/>
      <c r="E3000" s="159"/>
      <c r="F3000" s="158"/>
      <c r="G3000" s="160"/>
      <c r="H3000" s="161">
        <f>+SUM(G2988:G3000)</f>
        <v>96250</v>
      </c>
    </row>
    <row r="3001" spans="2:8" s="140" customFormat="1" ht="13.5" thickBot="1" x14ac:dyDescent="0.3">
      <c r="B3001" s="162"/>
      <c r="C3001" s="162"/>
      <c r="D3001" s="162"/>
      <c r="E3001" s="162"/>
      <c r="F3001" s="163"/>
      <c r="G3001" s="164"/>
      <c r="H3001" s="165"/>
    </row>
    <row r="3002" spans="2:8" s="140" customFormat="1" ht="13.5" thickBot="1" x14ac:dyDescent="0.3">
      <c r="B3002" s="143" t="s">
        <v>5410</v>
      </c>
      <c r="C3002" s="144" t="s">
        <v>867</v>
      </c>
      <c r="D3002" s="144" t="s">
        <v>6</v>
      </c>
      <c r="E3002" s="144" t="s">
        <v>870</v>
      </c>
      <c r="F3002" s="144" t="s">
        <v>5411</v>
      </c>
      <c r="G3002" s="145" t="s">
        <v>868</v>
      </c>
      <c r="H3002" s="134"/>
    </row>
    <row r="3003" spans="2:8" s="140" customFormat="1" x14ac:dyDescent="0.25">
      <c r="B3003" s="201"/>
      <c r="C3003" s="147"/>
      <c r="D3003" s="167"/>
      <c r="E3003" s="366"/>
      <c r="F3003" s="169"/>
      <c r="G3003" s="367"/>
      <c r="H3003" s="134"/>
    </row>
    <row r="3004" spans="2:8" s="140" customFormat="1" x14ac:dyDescent="0.25">
      <c r="B3004" s="196"/>
      <c r="C3004" s="151"/>
      <c r="D3004" s="151"/>
      <c r="E3004" s="366"/>
      <c r="F3004" s="147"/>
      <c r="G3004" s="367"/>
      <c r="H3004" s="134"/>
    </row>
    <row r="3005" spans="2:8" s="140" customFormat="1" x14ac:dyDescent="0.25">
      <c r="B3005" s="196"/>
      <c r="C3005" s="151"/>
      <c r="D3005" s="151"/>
      <c r="E3005" s="148"/>
      <c r="F3005" s="151"/>
      <c r="G3005" s="367"/>
      <c r="H3005" s="134"/>
    </row>
    <row r="3006" spans="2:8" s="140" customFormat="1" x14ac:dyDescent="0.25">
      <c r="B3006" s="155"/>
      <c r="C3006" s="151"/>
      <c r="D3006" s="151"/>
      <c r="E3006" s="148"/>
      <c r="F3006" s="151"/>
      <c r="G3006" s="367"/>
      <c r="H3006" s="134"/>
    </row>
    <row r="3007" spans="2:8" s="140" customFormat="1" x14ac:dyDescent="0.25">
      <c r="B3007" s="155"/>
      <c r="C3007" s="151"/>
      <c r="D3007" s="151"/>
      <c r="E3007" s="148"/>
      <c r="F3007" s="151"/>
      <c r="G3007" s="367"/>
      <c r="H3007" s="134"/>
    </row>
    <row r="3008" spans="2:8" s="140" customFormat="1" ht="13.5" thickBot="1" x14ac:dyDescent="0.3">
      <c r="B3008" s="155"/>
      <c r="C3008" s="151"/>
      <c r="D3008" s="151"/>
      <c r="E3008" s="148"/>
      <c r="F3008" s="151"/>
      <c r="G3008" s="367"/>
      <c r="H3008" s="134"/>
    </row>
    <row r="3009" spans="2:8" s="140" customFormat="1" ht="13.5" thickBot="1" x14ac:dyDescent="0.3">
      <c r="B3009" s="157"/>
      <c r="C3009" s="159"/>
      <c r="D3009" s="159"/>
      <c r="E3009" s="159"/>
      <c r="F3009" s="158"/>
      <c r="G3009" s="160"/>
      <c r="H3009" s="161">
        <f>+SUM(G3003:G3009)</f>
        <v>0</v>
      </c>
    </row>
    <row r="3010" spans="2:8" s="140" customFormat="1" ht="13.5" thickBot="1" x14ac:dyDescent="0.3">
      <c r="B3010" s="162"/>
      <c r="C3010" s="162"/>
      <c r="D3010" s="162"/>
      <c r="E3010" s="162"/>
      <c r="F3010" s="173"/>
      <c r="G3010" s="174"/>
      <c r="H3010" s="165"/>
    </row>
    <row r="3011" spans="2:8" s="140" customFormat="1" ht="13.5" thickBot="1" x14ac:dyDescent="0.3">
      <c r="B3011" s="143" t="s">
        <v>5412</v>
      </c>
      <c r="C3011" s="144" t="s">
        <v>5420</v>
      </c>
      <c r="D3011" s="144" t="s">
        <v>5421</v>
      </c>
      <c r="E3011" s="144" t="s">
        <v>5413</v>
      </c>
      <c r="F3011" s="144" t="s">
        <v>5405</v>
      </c>
      <c r="G3011" s="145" t="s">
        <v>868</v>
      </c>
      <c r="H3011" s="134"/>
    </row>
    <row r="3012" spans="2:8" s="140" customFormat="1" x14ac:dyDescent="0.25">
      <c r="B3012" s="194" t="s">
        <v>5650</v>
      </c>
      <c r="C3012" s="345">
        <v>70000</v>
      </c>
      <c r="D3012" s="345">
        <f>+C3012*0.85</f>
        <v>59500</v>
      </c>
      <c r="E3012" s="353">
        <f>+C3012+D3012</f>
        <v>129500</v>
      </c>
      <c r="F3012" s="202">
        <v>300</v>
      </c>
      <c r="G3012" s="351">
        <f>+E3012/F3012</f>
        <v>431.66666666666669</v>
      </c>
      <c r="H3012" s="134"/>
    </row>
    <row r="3013" spans="2:8" s="140" customFormat="1" x14ac:dyDescent="0.25">
      <c r="B3013" s="194" t="s">
        <v>5651</v>
      </c>
      <c r="C3013" s="345">
        <v>40000</v>
      </c>
      <c r="D3013" s="345">
        <f>+C3013*0.85</f>
        <v>34000</v>
      </c>
      <c r="E3013" s="353">
        <f>+C3013+D3013</f>
        <v>74000</v>
      </c>
      <c r="F3013" s="204">
        <v>30</v>
      </c>
      <c r="G3013" s="351">
        <f>+E3013/F3013</f>
        <v>2466.6666666666665</v>
      </c>
      <c r="H3013" s="134"/>
    </row>
    <row r="3014" spans="2:8" s="140" customFormat="1" x14ac:dyDescent="0.25">
      <c r="B3014" s="195" t="s">
        <v>5635</v>
      </c>
      <c r="C3014" s="345">
        <v>20600</v>
      </c>
      <c r="D3014" s="345">
        <f>+C3014*0.85</f>
        <v>17510</v>
      </c>
      <c r="E3014" s="353">
        <f>+C3014+D3014</f>
        <v>38110</v>
      </c>
      <c r="F3014" s="205">
        <v>15</v>
      </c>
      <c r="G3014" s="351">
        <f>+E3014/F3014</f>
        <v>2540.6666666666665</v>
      </c>
      <c r="H3014" s="134"/>
    </row>
    <row r="3015" spans="2:8" s="140" customFormat="1" x14ac:dyDescent="0.25">
      <c r="B3015" s="155"/>
      <c r="C3015" s="152"/>
      <c r="D3015" s="152"/>
      <c r="E3015" s="152"/>
      <c r="F3015" s="151"/>
      <c r="G3015" s="156"/>
      <c r="H3015" s="134"/>
    </row>
    <row r="3016" spans="2:8" s="140" customFormat="1" x14ac:dyDescent="0.25">
      <c r="B3016" s="155"/>
      <c r="C3016" s="152"/>
      <c r="D3016" s="152"/>
      <c r="E3016" s="152"/>
      <c r="F3016" s="151"/>
      <c r="G3016" s="156"/>
      <c r="H3016" s="134"/>
    </row>
    <row r="3017" spans="2:8" s="140" customFormat="1" ht="13.5" thickBot="1" x14ac:dyDescent="0.3">
      <c r="B3017" s="155"/>
      <c r="C3017" s="152"/>
      <c r="D3017" s="152"/>
      <c r="E3017" s="152"/>
      <c r="F3017" s="151"/>
      <c r="G3017" s="156"/>
      <c r="H3017" s="134"/>
    </row>
    <row r="3018" spans="2:8" s="140" customFormat="1" ht="13.5" thickBot="1" x14ac:dyDescent="0.3">
      <c r="B3018" s="179"/>
      <c r="C3018" s="180"/>
      <c r="D3018" s="180"/>
      <c r="E3018" s="180"/>
      <c r="F3018" s="181"/>
      <c r="G3018" s="182"/>
      <c r="H3018" s="161">
        <f>+SUM(G3012:G3018)</f>
        <v>5439</v>
      </c>
    </row>
    <row r="3019" spans="2:8" s="140" customFormat="1" ht="13.5" thickBot="1" x14ac:dyDescent="0.3">
      <c r="F3019" s="141"/>
      <c r="G3019" s="134"/>
      <c r="H3019" s="134"/>
    </row>
    <row r="3020" spans="2:8" s="140" customFormat="1" ht="13.5" thickBot="1" x14ac:dyDescent="0.3">
      <c r="E3020" s="183" t="s">
        <v>5415</v>
      </c>
      <c r="F3020" s="141"/>
      <c r="G3020" s="134"/>
      <c r="H3020" s="161">
        <f>ROUND(+H2985+H3000+H3009+H3018,0)</f>
        <v>103566</v>
      </c>
    </row>
    <row r="3022" spans="2:8" x14ac:dyDescent="0.25">
      <c r="H3022" s="341"/>
    </row>
    <row r="3025" spans="1:8" ht="18.75" x14ac:dyDescent="0.25">
      <c r="A3025" s="133"/>
      <c r="B3025" s="2506" t="s">
        <v>5400</v>
      </c>
      <c r="C3025" s="2506"/>
      <c r="D3025" s="2506"/>
      <c r="E3025" s="2506"/>
      <c r="F3025" s="2506"/>
      <c r="G3025" s="2506"/>
    </row>
    <row r="3026" spans="1:8" x14ac:dyDescent="0.25">
      <c r="A3026" s="133"/>
      <c r="G3026" s="134"/>
    </row>
    <row r="3027" spans="1:8" x14ac:dyDescent="0.25">
      <c r="A3027" s="133"/>
      <c r="G3027" s="134"/>
    </row>
    <row r="3028" spans="1:8" x14ac:dyDescent="0.25">
      <c r="A3028" s="133"/>
      <c r="G3028" s="134"/>
    </row>
    <row r="3029" spans="1:8" s="140" customFormat="1" x14ac:dyDescent="0.25">
      <c r="A3029" s="138" t="s">
        <v>3</v>
      </c>
      <c r="B3029" s="138" t="s">
        <v>157</v>
      </c>
      <c r="C3029" s="2450" t="s">
        <v>169</v>
      </c>
      <c r="D3029" s="2450"/>
      <c r="E3029" s="2450"/>
      <c r="F3029" s="138" t="s">
        <v>867</v>
      </c>
      <c r="G3029" s="139" t="s">
        <v>5454</v>
      </c>
      <c r="H3029" s="134"/>
    </row>
    <row r="3030" spans="1:8" s="140" customFormat="1" ht="12.75" customHeight="1" x14ac:dyDescent="0.25">
      <c r="A3030" s="141"/>
      <c r="F3030" s="141"/>
      <c r="G3030" s="134"/>
      <c r="H3030" s="134"/>
    </row>
    <row r="3031" spans="1:8" s="140" customFormat="1" ht="12.75" customHeight="1" x14ac:dyDescent="0.25">
      <c r="A3031" s="141"/>
      <c r="F3031" s="141"/>
      <c r="G3031" s="142"/>
      <c r="H3031" s="134"/>
    </row>
    <row r="3032" spans="1:8" s="140" customFormat="1" ht="13.5" thickBot="1" x14ac:dyDescent="0.3">
      <c r="A3032" s="141"/>
      <c r="F3032" s="141"/>
      <c r="G3032" s="134"/>
      <c r="H3032" s="134"/>
    </row>
    <row r="3033" spans="1:8" s="140" customFormat="1" ht="13.5" thickBot="1" x14ac:dyDescent="0.3">
      <c r="A3033" s="141"/>
      <c r="B3033" s="143" t="s">
        <v>5403</v>
      </c>
      <c r="C3033" s="144" t="s">
        <v>867</v>
      </c>
      <c r="D3033" s="144" t="s">
        <v>6</v>
      </c>
      <c r="E3033" s="144" t="s">
        <v>5404</v>
      </c>
      <c r="F3033" s="144" t="s">
        <v>5405</v>
      </c>
      <c r="G3033" s="145" t="s">
        <v>868</v>
      </c>
      <c r="H3033" s="134"/>
    </row>
    <row r="3034" spans="1:8" s="140" customFormat="1" x14ac:dyDescent="0.25">
      <c r="A3034" s="141"/>
      <c r="B3034" s="146" t="s">
        <v>5440</v>
      </c>
      <c r="C3034" s="147" t="s">
        <v>5406</v>
      </c>
      <c r="D3034" s="147"/>
      <c r="E3034" s="148">
        <f>+H3073</f>
        <v>5439</v>
      </c>
      <c r="F3034" s="167">
        <v>0.1</v>
      </c>
      <c r="G3034" s="360">
        <f>+E3034*F3034</f>
        <v>543.9</v>
      </c>
      <c r="H3034" s="134"/>
    </row>
    <row r="3035" spans="1:8" s="140" customFormat="1" x14ac:dyDescent="0.25">
      <c r="A3035" s="141"/>
      <c r="B3035" s="150" t="s">
        <v>5736</v>
      </c>
      <c r="C3035" s="151" t="s">
        <v>5481</v>
      </c>
      <c r="D3035" s="205">
        <v>1</v>
      </c>
      <c r="E3035" s="366">
        <v>40000</v>
      </c>
      <c r="F3035" s="205">
        <v>30</v>
      </c>
      <c r="G3035" s="360">
        <f>+E3035/F3035</f>
        <v>1333.3333333333333</v>
      </c>
      <c r="H3035" s="134"/>
    </row>
    <row r="3036" spans="1:8" s="140" customFormat="1" x14ac:dyDescent="0.25">
      <c r="A3036" s="141"/>
      <c r="B3036" s="154"/>
      <c r="C3036" s="151"/>
      <c r="D3036" s="151"/>
      <c r="E3036" s="366"/>
      <c r="F3036" s="151"/>
      <c r="G3036" s="360"/>
      <c r="H3036" s="134"/>
    </row>
    <row r="3037" spans="1:8" s="140" customFormat="1" x14ac:dyDescent="0.25">
      <c r="A3037" s="141"/>
      <c r="B3037" s="155"/>
      <c r="C3037" s="151"/>
      <c r="D3037" s="152"/>
      <c r="E3037" s="152"/>
      <c r="F3037" s="151"/>
      <c r="G3037" s="156"/>
      <c r="H3037" s="134"/>
    </row>
    <row r="3038" spans="1:8" s="140" customFormat="1" x14ac:dyDescent="0.25">
      <c r="A3038" s="141"/>
      <c r="B3038" s="155"/>
      <c r="C3038" s="151"/>
      <c r="D3038" s="152"/>
      <c r="E3038" s="152"/>
      <c r="F3038" s="151"/>
      <c r="G3038" s="156"/>
      <c r="H3038" s="134"/>
    </row>
    <row r="3039" spans="1:8" s="140" customFormat="1" ht="13.5" thickBot="1" x14ac:dyDescent="0.3">
      <c r="A3039" s="141"/>
      <c r="B3039" s="155"/>
      <c r="C3039" s="151"/>
      <c r="D3039" s="152"/>
      <c r="E3039" s="152"/>
      <c r="F3039" s="151"/>
      <c r="G3039" s="156"/>
      <c r="H3039" s="134"/>
    </row>
    <row r="3040" spans="1:8" s="140" customFormat="1" ht="13.5" thickBot="1" x14ac:dyDescent="0.3">
      <c r="A3040" s="141"/>
      <c r="B3040" s="157"/>
      <c r="C3040" s="158"/>
      <c r="D3040" s="159"/>
      <c r="E3040" s="159"/>
      <c r="F3040" s="158"/>
      <c r="G3040" s="160"/>
      <c r="H3040" s="161">
        <f>+SUM(G3034:G3040)</f>
        <v>1877.2333333333331</v>
      </c>
    </row>
    <row r="3041" spans="1:8" s="140" customFormat="1" ht="13.5" thickBot="1" x14ac:dyDescent="0.3">
      <c r="A3041" s="141"/>
      <c r="B3041" s="162"/>
      <c r="C3041" s="163"/>
      <c r="D3041" s="162"/>
      <c r="E3041" s="162"/>
      <c r="F3041" s="163"/>
      <c r="G3041" s="164"/>
      <c r="H3041" s="165"/>
    </row>
    <row r="3042" spans="1:8" s="140" customFormat="1" ht="13.5" thickBot="1" x14ac:dyDescent="0.3">
      <c r="B3042" s="143" t="s">
        <v>5408</v>
      </c>
      <c r="C3042" s="144" t="s">
        <v>867</v>
      </c>
      <c r="D3042" s="144" t="s">
        <v>6</v>
      </c>
      <c r="E3042" s="144" t="s">
        <v>870</v>
      </c>
      <c r="F3042" s="144" t="s">
        <v>5409</v>
      </c>
      <c r="G3042" s="145" t="s">
        <v>868</v>
      </c>
      <c r="H3042" s="134"/>
    </row>
    <row r="3043" spans="1:8" s="140" customFormat="1" x14ac:dyDescent="0.25">
      <c r="B3043" s="201" t="s">
        <v>5704</v>
      </c>
      <c r="C3043" s="147" t="s">
        <v>5430</v>
      </c>
      <c r="D3043" s="167">
        <v>1</v>
      </c>
      <c r="E3043" s="438">
        <v>80000</v>
      </c>
      <c r="F3043" s="169">
        <v>0.25</v>
      </c>
      <c r="G3043" s="367">
        <f>+D3043*E3043*(1+F3043)</f>
        <v>100000</v>
      </c>
      <c r="H3043" s="134"/>
    </row>
    <row r="3044" spans="1:8" s="140" customFormat="1" x14ac:dyDescent="0.25">
      <c r="B3044" s="196"/>
      <c r="C3044" s="151"/>
      <c r="D3044" s="151"/>
      <c r="E3044" s="366"/>
      <c r="F3044" s="169"/>
      <c r="G3044" s="367"/>
      <c r="H3044" s="134"/>
    </row>
    <row r="3045" spans="1:8" s="140" customFormat="1" x14ac:dyDescent="0.25">
      <c r="B3045" s="196"/>
      <c r="C3045" s="151"/>
      <c r="D3045" s="151"/>
      <c r="E3045" s="366"/>
      <c r="F3045" s="169"/>
      <c r="G3045" s="367"/>
      <c r="H3045" s="134"/>
    </row>
    <row r="3046" spans="1:8" s="140" customFormat="1" x14ac:dyDescent="0.25">
      <c r="B3046" s="155"/>
      <c r="C3046" s="151"/>
      <c r="D3046" s="151"/>
      <c r="E3046" s="148"/>
      <c r="F3046" s="151"/>
      <c r="G3046" s="367"/>
      <c r="H3046" s="134"/>
    </row>
    <row r="3047" spans="1:8" s="140" customFormat="1" x14ac:dyDescent="0.25">
      <c r="B3047" s="155"/>
      <c r="C3047" s="151"/>
      <c r="D3047" s="151"/>
      <c r="E3047" s="148"/>
      <c r="F3047" s="151"/>
      <c r="G3047" s="367"/>
      <c r="H3047" s="134"/>
    </row>
    <row r="3048" spans="1:8" s="140" customFormat="1" x14ac:dyDescent="0.25">
      <c r="B3048" s="155"/>
      <c r="C3048" s="151"/>
      <c r="D3048" s="151"/>
      <c r="E3048" s="148"/>
      <c r="F3048" s="151"/>
      <c r="G3048" s="367"/>
      <c r="H3048" s="134"/>
    </row>
    <row r="3049" spans="1:8" s="140" customFormat="1" x14ac:dyDescent="0.25">
      <c r="B3049" s="155"/>
      <c r="C3049" s="151"/>
      <c r="D3049" s="151"/>
      <c r="E3049" s="148"/>
      <c r="F3049" s="151"/>
      <c r="G3049" s="367"/>
      <c r="H3049" s="134"/>
    </row>
    <row r="3050" spans="1:8" s="140" customFormat="1" x14ac:dyDescent="0.25">
      <c r="B3050" s="155"/>
      <c r="C3050" s="151"/>
      <c r="D3050" s="151"/>
      <c r="E3050" s="148"/>
      <c r="F3050" s="151"/>
      <c r="G3050" s="367"/>
      <c r="H3050" s="134"/>
    </row>
    <row r="3051" spans="1:8" s="140" customFormat="1" x14ac:dyDescent="0.25">
      <c r="B3051" s="155"/>
      <c r="C3051" s="151"/>
      <c r="D3051" s="151"/>
      <c r="E3051" s="148"/>
      <c r="F3051" s="151"/>
      <c r="G3051" s="367"/>
      <c r="H3051" s="134"/>
    </row>
    <row r="3052" spans="1:8" s="140" customFormat="1" x14ac:dyDescent="0.25">
      <c r="B3052" s="155"/>
      <c r="C3052" s="151"/>
      <c r="D3052" s="151"/>
      <c r="E3052" s="148"/>
      <c r="F3052" s="151"/>
      <c r="G3052" s="367"/>
      <c r="H3052" s="134"/>
    </row>
    <row r="3053" spans="1:8" s="140" customFormat="1" x14ac:dyDescent="0.25">
      <c r="B3053" s="155"/>
      <c r="C3053" s="152"/>
      <c r="D3053" s="152"/>
      <c r="E3053" s="152"/>
      <c r="F3053" s="151"/>
      <c r="G3053" s="156"/>
      <c r="H3053" s="134"/>
    </row>
    <row r="3054" spans="1:8" s="140" customFormat="1" ht="13.5" thickBot="1" x14ac:dyDescent="0.3">
      <c r="B3054" s="155"/>
      <c r="C3054" s="152"/>
      <c r="D3054" s="152"/>
      <c r="E3054" s="152"/>
      <c r="F3054" s="151"/>
      <c r="G3054" s="156"/>
      <c r="H3054" s="134"/>
    </row>
    <row r="3055" spans="1:8" s="140" customFormat="1" ht="13.5" thickBot="1" x14ac:dyDescent="0.3">
      <c r="B3055" s="157"/>
      <c r="C3055" s="159"/>
      <c r="D3055" s="159"/>
      <c r="E3055" s="159"/>
      <c r="F3055" s="158"/>
      <c r="G3055" s="160"/>
      <c r="H3055" s="161">
        <f>+SUM(G3043:G3055)</f>
        <v>100000</v>
      </c>
    </row>
    <row r="3056" spans="1:8" s="140" customFormat="1" ht="13.5" thickBot="1" x14ac:dyDescent="0.3">
      <c r="B3056" s="162"/>
      <c r="C3056" s="162"/>
      <c r="D3056" s="162"/>
      <c r="E3056" s="162"/>
      <c r="F3056" s="163"/>
      <c r="G3056" s="164"/>
      <c r="H3056" s="165"/>
    </row>
    <row r="3057" spans="2:8" s="140" customFormat="1" ht="13.5" thickBot="1" x14ac:dyDescent="0.3">
      <c r="B3057" s="143" t="s">
        <v>5410</v>
      </c>
      <c r="C3057" s="144" t="s">
        <v>867</v>
      </c>
      <c r="D3057" s="144" t="s">
        <v>6</v>
      </c>
      <c r="E3057" s="144" t="s">
        <v>870</v>
      </c>
      <c r="F3057" s="144" t="s">
        <v>5411</v>
      </c>
      <c r="G3057" s="145" t="s">
        <v>868</v>
      </c>
      <c r="H3057" s="134"/>
    </row>
    <row r="3058" spans="2:8" s="140" customFormat="1" x14ac:dyDescent="0.25">
      <c r="B3058" s="201"/>
      <c r="C3058" s="147"/>
      <c r="D3058" s="167"/>
      <c r="E3058" s="366"/>
      <c r="F3058" s="169"/>
      <c r="G3058" s="367"/>
      <c r="H3058" s="134"/>
    </row>
    <row r="3059" spans="2:8" s="140" customFormat="1" x14ac:dyDescent="0.25">
      <c r="B3059" s="196"/>
      <c r="C3059" s="151"/>
      <c r="D3059" s="151"/>
      <c r="E3059" s="366"/>
      <c r="F3059" s="147"/>
      <c r="G3059" s="367"/>
      <c r="H3059" s="134"/>
    </row>
    <row r="3060" spans="2:8" s="140" customFormat="1" x14ac:dyDescent="0.25">
      <c r="B3060" s="196"/>
      <c r="C3060" s="151"/>
      <c r="D3060" s="151"/>
      <c r="E3060" s="148"/>
      <c r="F3060" s="151"/>
      <c r="G3060" s="367"/>
      <c r="H3060" s="134"/>
    </row>
    <row r="3061" spans="2:8" s="140" customFormat="1" x14ac:dyDescent="0.25">
      <c r="B3061" s="155"/>
      <c r="C3061" s="151"/>
      <c r="D3061" s="151"/>
      <c r="E3061" s="148"/>
      <c r="F3061" s="151"/>
      <c r="G3061" s="367"/>
      <c r="H3061" s="134"/>
    </row>
    <row r="3062" spans="2:8" s="140" customFormat="1" x14ac:dyDescent="0.25">
      <c r="B3062" s="155"/>
      <c r="C3062" s="151"/>
      <c r="D3062" s="151"/>
      <c r="E3062" s="148"/>
      <c r="F3062" s="151"/>
      <c r="G3062" s="367"/>
      <c r="H3062" s="134"/>
    </row>
    <row r="3063" spans="2:8" s="140" customFormat="1" ht="13.5" thickBot="1" x14ac:dyDescent="0.3">
      <c r="B3063" s="155"/>
      <c r="C3063" s="151"/>
      <c r="D3063" s="151"/>
      <c r="E3063" s="148"/>
      <c r="F3063" s="151"/>
      <c r="G3063" s="367"/>
      <c r="H3063" s="134"/>
    </row>
    <row r="3064" spans="2:8" s="140" customFormat="1" ht="13.5" thickBot="1" x14ac:dyDescent="0.3">
      <c r="B3064" s="157"/>
      <c r="C3064" s="159"/>
      <c r="D3064" s="159"/>
      <c r="E3064" s="159"/>
      <c r="F3064" s="158"/>
      <c r="G3064" s="160"/>
      <c r="H3064" s="161">
        <f>+SUM(G3058:G3064)</f>
        <v>0</v>
      </c>
    </row>
    <row r="3065" spans="2:8" s="140" customFormat="1" ht="13.5" thickBot="1" x14ac:dyDescent="0.3">
      <c r="B3065" s="162"/>
      <c r="C3065" s="162"/>
      <c r="D3065" s="162"/>
      <c r="E3065" s="162"/>
      <c r="F3065" s="173"/>
      <c r="G3065" s="174"/>
      <c r="H3065" s="165"/>
    </row>
    <row r="3066" spans="2:8" s="140" customFormat="1" ht="13.5" thickBot="1" x14ac:dyDescent="0.3">
      <c r="B3066" s="143" t="s">
        <v>5412</v>
      </c>
      <c r="C3066" s="144" t="s">
        <v>5420</v>
      </c>
      <c r="D3066" s="144" t="s">
        <v>5421</v>
      </c>
      <c r="E3066" s="144" t="s">
        <v>5413</v>
      </c>
      <c r="F3066" s="144" t="s">
        <v>5405</v>
      </c>
      <c r="G3066" s="145" t="s">
        <v>868</v>
      </c>
      <c r="H3066" s="134"/>
    </row>
    <row r="3067" spans="2:8" s="140" customFormat="1" x14ac:dyDescent="0.25">
      <c r="B3067" s="194" t="s">
        <v>5650</v>
      </c>
      <c r="C3067" s="345">
        <v>70000</v>
      </c>
      <c r="D3067" s="345">
        <f>+C3067*0.85</f>
        <v>59500</v>
      </c>
      <c r="E3067" s="353">
        <f>+C3067+D3067</f>
        <v>129500</v>
      </c>
      <c r="F3067" s="202">
        <v>300</v>
      </c>
      <c r="G3067" s="351">
        <f>+E3067/F3067</f>
        <v>431.66666666666669</v>
      </c>
      <c r="H3067" s="134"/>
    </row>
    <row r="3068" spans="2:8" s="140" customFormat="1" x14ac:dyDescent="0.25">
      <c r="B3068" s="194" t="s">
        <v>5651</v>
      </c>
      <c r="C3068" s="345">
        <v>40000</v>
      </c>
      <c r="D3068" s="345">
        <f>+C3068*0.85</f>
        <v>34000</v>
      </c>
      <c r="E3068" s="353">
        <f>+C3068+D3068</f>
        <v>74000</v>
      </c>
      <c r="F3068" s="204">
        <v>30</v>
      </c>
      <c r="G3068" s="351">
        <f>+E3068/F3068</f>
        <v>2466.6666666666665</v>
      </c>
      <c r="H3068" s="134"/>
    </row>
    <row r="3069" spans="2:8" s="140" customFormat="1" x14ac:dyDescent="0.25">
      <c r="B3069" s="195" t="s">
        <v>5635</v>
      </c>
      <c r="C3069" s="345">
        <v>20600</v>
      </c>
      <c r="D3069" s="345">
        <f>+C3069*0.85</f>
        <v>17510</v>
      </c>
      <c r="E3069" s="353">
        <f>+C3069+D3069</f>
        <v>38110</v>
      </c>
      <c r="F3069" s="205">
        <v>15</v>
      </c>
      <c r="G3069" s="351">
        <f>+E3069/F3069</f>
        <v>2540.6666666666665</v>
      </c>
      <c r="H3069" s="134"/>
    </row>
    <row r="3070" spans="2:8" s="140" customFormat="1" x14ac:dyDescent="0.25">
      <c r="B3070" s="155"/>
      <c r="C3070" s="152"/>
      <c r="D3070" s="152"/>
      <c r="E3070" s="152"/>
      <c r="F3070" s="151"/>
      <c r="G3070" s="156"/>
      <c r="H3070" s="134"/>
    </row>
    <row r="3071" spans="2:8" s="140" customFormat="1" x14ac:dyDescent="0.25">
      <c r="B3071" s="155"/>
      <c r="C3071" s="152"/>
      <c r="D3071" s="152"/>
      <c r="E3071" s="152"/>
      <c r="F3071" s="151"/>
      <c r="G3071" s="156"/>
      <c r="H3071" s="134"/>
    </row>
    <row r="3072" spans="2:8" s="140" customFormat="1" ht="13.5" thickBot="1" x14ac:dyDescent="0.3">
      <c r="B3072" s="155"/>
      <c r="C3072" s="152"/>
      <c r="D3072" s="152"/>
      <c r="E3072" s="152"/>
      <c r="F3072" s="151"/>
      <c r="G3072" s="156"/>
      <c r="H3072" s="134"/>
    </row>
    <row r="3073" spans="1:8" s="140" customFormat="1" ht="13.5" thickBot="1" x14ac:dyDescent="0.3">
      <c r="B3073" s="179"/>
      <c r="C3073" s="180"/>
      <c r="D3073" s="180"/>
      <c r="E3073" s="180"/>
      <c r="F3073" s="181"/>
      <c r="G3073" s="182"/>
      <c r="H3073" s="161">
        <f>+SUM(G3067:G3073)</f>
        <v>5439</v>
      </c>
    </row>
    <row r="3074" spans="1:8" s="140" customFormat="1" ht="13.5" thickBot="1" x14ac:dyDescent="0.3">
      <c r="F3074" s="141"/>
      <c r="G3074" s="134"/>
      <c r="H3074" s="134"/>
    </row>
    <row r="3075" spans="1:8" s="140" customFormat="1" ht="13.5" thickBot="1" x14ac:dyDescent="0.3">
      <c r="E3075" s="183" t="s">
        <v>5415</v>
      </c>
      <c r="F3075" s="141"/>
      <c r="G3075" s="134"/>
      <c r="H3075" s="161">
        <f>ROUND(+H3040+H3055+H3064+H3073,0)</f>
        <v>107316</v>
      </c>
    </row>
    <row r="3076" spans="1:8" s="140" customFormat="1" x14ac:dyDescent="0.25">
      <c r="E3076" s="183"/>
      <c r="F3076" s="141"/>
      <c r="G3076" s="134"/>
      <c r="H3076" s="165"/>
    </row>
    <row r="3077" spans="1:8" s="140" customFormat="1" x14ac:dyDescent="0.25">
      <c r="E3077" s="183"/>
      <c r="F3077" s="141"/>
      <c r="G3077" s="134"/>
      <c r="H3077" s="165"/>
    </row>
    <row r="3078" spans="1:8" s="140" customFormat="1" ht="12.75" customHeight="1" x14ac:dyDescent="0.25">
      <c r="E3078" s="183"/>
      <c r="F3078" s="141"/>
      <c r="G3078" s="134"/>
      <c r="H3078" s="165"/>
    </row>
    <row r="3079" spans="1:8" s="140" customFormat="1" x14ac:dyDescent="0.25">
      <c r="E3079" s="183"/>
      <c r="F3079" s="141"/>
      <c r="G3079" s="134"/>
      <c r="H3079" s="165"/>
    </row>
    <row r="3080" spans="1:8" ht="18.75" x14ac:dyDescent="0.25">
      <c r="B3080" s="2506" t="s">
        <v>5400</v>
      </c>
      <c r="C3080" s="2506"/>
      <c r="D3080" s="2506"/>
      <c r="E3080" s="2506"/>
      <c r="F3080" s="2506"/>
      <c r="G3080" s="2506"/>
    </row>
    <row r="3081" spans="1:8" x14ac:dyDescent="0.25">
      <c r="H3081" s="341"/>
    </row>
    <row r="3082" spans="1:8" ht="12.75" customHeight="1" x14ac:dyDescent="0.25"/>
    <row r="3084" spans="1:8" x14ac:dyDescent="0.25">
      <c r="A3084" s="138" t="s">
        <v>3</v>
      </c>
      <c r="B3084" s="138" t="s">
        <v>157</v>
      </c>
      <c r="C3084" s="2450" t="s">
        <v>161</v>
      </c>
      <c r="D3084" s="2450"/>
      <c r="E3084" s="2450"/>
      <c r="F3084" s="138" t="s">
        <v>867</v>
      </c>
      <c r="G3084" s="139" t="s">
        <v>5454</v>
      </c>
      <c r="H3084" s="134"/>
    </row>
    <row r="3085" spans="1:8" ht="12.75" customHeight="1" x14ac:dyDescent="0.25">
      <c r="A3085" s="141"/>
      <c r="B3085" s="140"/>
      <c r="C3085" s="140"/>
      <c r="D3085" s="140"/>
      <c r="E3085" s="140"/>
      <c r="F3085" s="141"/>
      <c r="G3085" s="134"/>
      <c r="H3085" s="134"/>
    </row>
    <row r="3086" spans="1:8" x14ac:dyDescent="0.25">
      <c r="A3086" s="141"/>
      <c r="B3086" s="140"/>
      <c r="C3086" s="140"/>
      <c r="D3086" s="140"/>
      <c r="E3086" s="140"/>
      <c r="F3086" s="141"/>
      <c r="G3086" s="142"/>
      <c r="H3086" s="134"/>
    </row>
    <row r="3087" spans="1:8" ht="13.5" thickBot="1" x14ac:dyDescent="0.3">
      <c r="A3087" s="141"/>
      <c r="B3087" s="140"/>
      <c r="C3087" s="140"/>
      <c r="D3087" s="140"/>
      <c r="E3087" s="140"/>
      <c r="F3087" s="141"/>
      <c r="G3087" s="134"/>
      <c r="H3087" s="134"/>
    </row>
    <row r="3088" spans="1:8" ht="13.5" thickBot="1" x14ac:dyDescent="0.3">
      <c r="A3088" s="141"/>
      <c r="B3088" s="143" t="s">
        <v>5403</v>
      </c>
      <c r="C3088" s="144" t="s">
        <v>867</v>
      </c>
      <c r="D3088" s="144" t="s">
        <v>6</v>
      </c>
      <c r="E3088" s="144" t="s">
        <v>5404</v>
      </c>
      <c r="F3088" s="144" t="s">
        <v>5405</v>
      </c>
      <c r="G3088" s="145" t="s">
        <v>868</v>
      </c>
      <c r="H3088" s="134"/>
    </row>
    <row r="3089" spans="1:8" x14ac:dyDescent="0.25">
      <c r="A3089" s="141"/>
      <c r="B3089" s="146" t="s">
        <v>5440</v>
      </c>
      <c r="C3089" s="147" t="s">
        <v>5406</v>
      </c>
      <c r="D3089" s="147"/>
      <c r="E3089" s="148">
        <f>+H3128</f>
        <v>10520.333333333332</v>
      </c>
      <c r="F3089" s="167">
        <v>0.1</v>
      </c>
      <c r="G3089" s="360">
        <f>+E3089*F3089</f>
        <v>1052.0333333333333</v>
      </c>
      <c r="H3089" s="134"/>
    </row>
    <row r="3090" spans="1:8" x14ac:dyDescent="0.25">
      <c r="A3090" s="141"/>
      <c r="B3090" s="150" t="s">
        <v>5736</v>
      </c>
      <c r="C3090" s="151" t="s">
        <v>5481</v>
      </c>
      <c r="D3090" s="205">
        <v>1</v>
      </c>
      <c r="E3090" s="366">
        <v>40000</v>
      </c>
      <c r="F3090" s="205">
        <v>25</v>
      </c>
      <c r="G3090" s="360">
        <f>+E3090/F3090</f>
        <v>1600</v>
      </c>
      <c r="H3090" s="134"/>
    </row>
    <row r="3091" spans="1:8" x14ac:dyDescent="0.25">
      <c r="A3091" s="141"/>
      <c r="B3091" s="154"/>
      <c r="C3091" s="151"/>
      <c r="D3091" s="151"/>
      <c r="E3091" s="366"/>
      <c r="F3091" s="151"/>
      <c r="G3091" s="360"/>
      <c r="H3091" s="134"/>
    </row>
    <row r="3092" spans="1:8" x14ac:dyDescent="0.25">
      <c r="A3092" s="141"/>
      <c r="B3092" s="155"/>
      <c r="C3092" s="151"/>
      <c r="D3092" s="152"/>
      <c r="E3092" s="152"/>
      <c r="F3092" s="151"/>
      <c r="G3092" s="156"/>
      <c r="H3092" s="134"/>
    </row>
    <row r="3093" spans="1:8" x14ac:dyDescent="0.25">
      <c r="A3093" s="141"/>
      <c r="B3093" s="155"/>
      <c r="C3093" s="151"/>
      <c r="D3093" s="152"/>
      <c r="E3093" s="152"/>
      <c r="F3093" s="151"/>
      <c r="G3093" s="156"/>
      <c r="H3093" s="134"/>
    </row>
    <row r="3094" spans="1:8" ht="13.5" thickBot="1" x14ac:dyDescent="0.3">
      <c r="A3094" s="141"/>
      <c r="B3094" s="155"/>
      <c r="C3094" s="151"/>
      <c r="D3094" s="152"/>
      <c r="E3094" s="152"/>
      <c r="F3094" s="151"/>
      <c r="G3094" s="156"/>
      <c r="H3094" s="134"/>
    </row>
    <row r="3095" spans="1:8" ht="13.5" thickBot="1" x14ac:dyDescent="0.3">
      <c r="A3095" s="141"/>
      <c r="B3095" s="157"/>
      <c r="C3095" s="158"/>
      <c r="D3095" s="159"/>
      <c r="E3095" s="159"/>
      <c r="F3095" s="158"/>
      <c r="G3095" s="160"/>
      <c r="H3095" s="161">
        <f>+SUM(G3089:G3095)</f>
        <v>2652.0333333333333</v>
      </c>
    </row>
    <row r="3096" spans="1:8" ht="13.5" thickBot="1" x14ac:dyDescent="0.3">
      <c r="A3096" s="141"/>
      <c r="B3096" s="162"/>
      <c r="C3096" s="163"/>
      <c r="D3096" s="162"/>
      <c r="E3096" s="162"/>
      <c r="F3096" s="163"/>
      <c r="G3096" s="164"/>
      <c r="H3096" s="165"/>
    </row>
    <row r="3097" spans="1:8" ht="13.5" thickBot="1" x14ac:dyDescent="0.3">
      <c r="A3097" s="140"/>
      <c r="B3097" s="143" t="s">
        <v>5408</v>
      </c>
      <c r="C3097" s="144" t="s">
        <v>867</v>
      </c>
      <c r="D3097" s="144" t="s">
        <v>6</v>
      </c>
      <c r="E3097" s="144" t="s">
        <v>870</v>
      </c>
      <c r="F3097" s="144" t="s">
        <v>5409</v>
      </c>
      <c r="G3097" s="145" t="s">
        <v>868</v>
      </c>
      <c r="H3097" s="134"/>
    </row>
    <row r="3098" spans="1:8" x14ac:dyDescent="0.25">
      <c r="A3098" s="140"/>
      <c r="B3098" s="201" t="s">
        <v>5705</v>
      </c>
      <c r="C3098" s="147" t="s">
        <v>5430</v>
      </c>
      <c r="D3098" s="167">
        <v>1</v>
      </c>
      <c r="E3098" s="438">
        <v>60000</v>
      </c>
      <c r="F3098" s="169">
        <v>0.25</v>
      </c>
      <c r="G3098" s="367">
        <f>+D3098*E3098*(1+F3098)</f>
        <v>75000</v>
      </c>
      <c r="H3098" s="134"/>
    </row>
    <row r="3099" spans="1:8" x14ac:dyDescent="0.25">
      <c r="A3099" s="140"/>
      <c r="B3099" s="196"/>
      <c r="C3099" s="151"/>
      <c r="D3099" s="151"/>
      <c r="E3099" s="366"/>
      <c r="F3099" s="169"/>
      <c r="G3099" s="367"/>
      <c r="H3099" s="134"/>
    </row>
    <row r="3100" spans="1:8" x14ac:dyDescent="0.25">
      <c r="A3100" s="140"/>
      <c r="B3100" s="196"/>
      <c r="C3100" s="151"/>
      <c r="D3100" s="151"/>
      <c r="E3100" s="366"/>
      <c r="F3100" s="169"/>
      <c r="G3100" s="367"/>
      <c r="H3100" s="134"/>
    </row>
    <row r="3101" spans="1:8" x14ac:dyDescent="0.25">
      <c r="A3101" s="140"/>
      <c r="B3101" s="155"/>
      <c r="C3101" s="151"/>
      <c r="D3101" s="151"/>
      <c r="E3101" s="148"/>
      <c r="F3101" s="151"/>
      <c r="G3101" s="367"/>
      <c r="H3101" s="134"/>
    </row>
    <row r="3102" spans="1:8" x14ac:dyDescent="0.25">
      <c r="A3102" s="140"/>
      <c r="B3102" s="155"/>
      <c r="C3102" s="151"/>
      <c r="D3102" s="151"/>
      <c r="E3102" s="148"/>
      <c r="F3102" s="151"/>
      <c r="G3102" s="367"/>
      <c r="H3102" s="134"/>
    </row>
    <row r="3103" spans="1:8" x14ac:dyDescent="0.25">
      <c r="A3103" s="140"/>
      <c r="B3103" s="155"/>
      <c r="C3103" s="151"/>
      <c r="D3103" s="151"/>
      <c r="E3103" s="148"/>
      <c r="F3103" s="151"/>
      <c r="G3103" s="367"/>
      <c r="H3103" s="134"/>
    </row>
    <row r="3104" spans="1:8" x14ac:dyDescent="0.25">
      <c r="A3104" s="140"/>
      <c r="B3104" s="155"/>
      <c r="C3104" s="151"/>
      <c r="D3104" s="151"/>
      <c r="E3104" s="148"/>
      <c r="F3104" s="151"/>
      <c r="G3104" s="367"/>
      <c r="H3104" s="134"/>
    </row>
    <row r="3105" spans="1:8" x14ac:dyDescent="0.25">
      <c r="A3105" s="140"/>
      <c r="B3105" s="155"/>
      <c r="C3105" s="151"/>
      <c r="D3105" s="151"/>
      <c r="E3105" s="148"/>
      <c r="F3105" s="151"/>
      <c r="G3105" s="367"/>
      <c r="H3105" s="134"/>
    </row>
    <row r="3106" spans="1:8" x14ac:dyDescent="0.25">
      <c r="A3106" s="140"/>
      <c r="B3106" s="155"/>
      <c r="C3106" s="151"/>
      <c r="D3106" s="151"/>
      <c r="E3106" s="148"/>
      <c r="F3106" s="151"/>
      <c r="G3106" s="367"/>
      <c r="H3106" s="134"/>
    </row>
    <row r="3107" spans="1:8" x14ac:dyDescent="0.25">
      <c r="A3107" s="140"/>
      <c r="B3107" s="155"/>
      <c r="C3107" s="151"/>
      <c r="D3107" s="151"/>
      <c r="E3107" s="148"/>
      <c r="F3107" s="151"/>
      <c r="G3107" s="367"/>
      <c r="H3107" s="134"/>
    </row>
    <row r="3108" spans="1:8" x14ac:dyDescent="0.25">
      <c r="A3108" s="140"/>
      <c r="B3108" s="155"/>
      <c r="C3108" s="152"/>
      <c r="D3108" s="152"/>
      <c r="E3108" s="152"/>
      <c r="F3108" s="151"/>
      <c r="G3108" s="156"/>
      <c r="H3108" s="134"/>
    </row>
    <row r="3109" spans="1:8" ht="13.5" thickBot="1" x14ac:dyDescent="0.3">
      <c r="A3109" s="140"/>
      <c r="B3109" s="155"/>
      <c r="C3109" s="152"/>
      <c r="D3109" s="152"/>
      <c r="E3109" s="152"/>
      <c r="F3109" s="151"/>
      <c r="G3109" s="156"/>
      <c r="H3109" s="134"/>
    </row>
    <row r="3110" spans="1:8" ht="13.5" thickBot="1" x14ac:dyDescent="0.3">
      <c r="A3110" s="140"/>
      <c r="B3110" s="157"/>
      <c r="C3110" s="159"/>
      <c r="D3110" s="159"/>
      <c r="E3110" s="159"/>
      <c r="F3110" s="158"/>
      <c r="G3110" s="160"/>
      <c r="H3110" s="161">
        <f>+SUM(G3098:G3110)</f>
        <v>75000</v>
      </c>
    </row>
    <row r="3111" spans="1:8" ht="13.5" thickBot="1" x14ac:dyDescent="0.3">
      <c r="A3111" s="140"/>
      <c r="B3111" s="162"/>
      <c r="C3111" s="162"/>
      <c r="D3111" s="162"/>
      <c r="E3111" s="162"/>
      <c r="F3111" s="163"/>
      <c r="G3111" s="164"/>
      <c r="H3111" s="165"/>
    </row>
    <row r="3112" spans="1:8" ht="13.5" thickBot="1" x14ac:dyDescent="0.3">
      <c r="A3112" s="140"/>
      <c r="B3112" s="143" t="s">
        <v>5410</v>
      </c>
      <c r="C3112" s="144" t="s">
        <v>867</v>
      </c>
      <c r="D3112" s="144" t="s">
        <v>6</v>
      </c>
      <c r="E3112" s="144" t="s">
        <v>870</v>
      </c>
      <c r="F3112" s="144" t="s">
        <v>5411</v>
      </c>
      <c r="G3112" s="145" t="s">
        <v>868</v>
      </c>
      <c r="H3112" s="134"/>
    </row>
    <row r="3113" spans="1:8" x14ac:dyDescent="0.25">
      <c r="A3113" s="140"/>
      <c r="B3113" s="201"/>
      <c r="C3113" s="147"/>
      <c r="D3113" s="167"/>
      <c r="E3113" s="366"/>
      <c r="F3113" s="169"/>
      <c r="G3113" s="367"/>
      <c r="H3113" s="134"/>
    </row>
    <row r="3114" spans="1:8" x14ac:dyDescent="0.25">
      <c r="A3114" s="140"/>
      <c r="B3114" s="196"/>
      <c r="C3114" s="151"/>
      <c r="D3114" s="151"/>
      <c r="E3114" s="366"/>
      <c r="F3114" s="147"/>
      <c r="G3114" s="367"/>
      <c r="H3114" s="134"/>
    </row>
    <row r="3115" spans="1:8" x14ac:dyDescent="0.25">
      <c r="A3115" s="140"/>
      <c r="B3115" s="196"/>
      <c r="C3115" s="151"/>
      <c r="D3115" s="151"/>
      <c r="E3115" s="148"/>
      <c r="F3115" s="151"/>
      <c r="G3115" s="367"/>
      <c r="H3115" s="134"/>
    </row>
    <row r="3116" spans="1:8" x14ac:dyDescent="0.25">
      <c r="A3116" s="140"/>
      <c r="B3116" s="155"/>
      <c r="C3116" s="151"/>
      <c r="D3116" s="151"/>
      <c r="E3116" s="148"/>
      <c r="F3116" s="151"/>
      <c r="G3116" s="367"/>
      <c r="H3116" s="134"/>
    </row>
    <row r="3117" spans="1:8" x14ac:dyDescent="0.25">
      <c r="A3117" s="140"/>
      <c r="B3117" s="155"/>
      <c r="C3117" s="151"/>
      <c r="D3117" s="151"/>
      <c r="E3117" s="148"/>
      <c r="F3117" s="151"/>
      <c r="G3117" s="367"/>
      <c r="H3117" s="134"/>
    </row>
    <row r="3118" spans="1:8" ht="13.5" thickBot="1" x14ac:dyDescent="0.3">
      <c r="A3118" s="140"/>
      <c r="B3118" s="155"/>
      <c r="C3118" s="151"/>
      <c r="D3118" s="151"/>
      <c r="E3118" s="148"/>
      <c r="F3118" s="151"/>
      <c r="G3118" s="367"/>
      <c r="H3118" s="134"/>
    </row>
    <row r="3119" spans="1:8" ht="13.5" thickBot="1" x14ac:dyDescent="0.3">
      <c r="A3119" s="140"/>
      <c r="B3119" s="157"/>
      <c r="C3119" s="159"/>
      <c r="D3119" s="159"/>
      <c r="E3119" s="159"/>
      <c r="F3119" s="158"/>
      <c r="G3119" s="160"/>
      <c r="H3119" s="161">
        <f>+SUM(G3113:G3119)</f>
        <v>0</v>
      </c>
    </row>
    <row r="3120" spans="1:8" ht="13.5" thickBot="1" x14ac:dyDescent="0.3">
      <c r="A3120" s="140"/>
      <c r="B3120" s="162"/>
      <c r="C3120" s="162"/>
      <c r="D3120" s="162"/>
      <c r="E3120" s="162"/>
      <c r="F3120" s="173"/>
      <c r="G3120" s="174"/>
      <c r="H3120" s="165"/>
    </row>
    <row r="3121" spans="1:8" ht="13.5" thickBot="1" x14ac:dyDescent="0.3">
      <c r="A3121" s="140"/>
      <c r="B3121" s="143" t="s">
        <v>5412</v>
      </c>
      <c r="C3121" s="144" t="s">
        <v>5420</v>
      </c>
      <c r="D3121" s="144" t="s">
        <v>5421</v>
      </c>
      <c r="E3121" s="144" t="s">
        <v>5413</v>
      </c>
      <c r="F3121" s="144" t="s">
        <v>5405</v>
      </c>
      <c r="G3121" s="145" t="s">
        <v>868</v>
      </c>
      <c r="H3121" s="134"/>
    </row>
    <row r="3122" spans="1:8" x14ac:dyDescent="0.25">
      <c r="A3122" s="140"/>
      <c r="B3122" s="194" t="s">
        <v>5650</v>
      </c>
      <c r="C3122" s="345">
        <v>70000</v>
      </c>
      <c r="D3122" s="345">
        <f>+C3122*0.85</f>
        <v>59500</v>
      </c>
      <c r="E3122" s="353">
        <f>+C3122+D3122</f>
        <v>129500</v>
      </c>
      <c r="F3122" s="202">
        <v>300</v>
      </c>
      <c r="G3122" s="351">
        <f>+E3122/F3122</f>
        <v>431.66666666666669</v>
      </c>
      <c r="H3122" s="134"/>
    </row>
    <row r="3123" spans="1:8" x14ac:dyDescent="0.25">
      <c r="A3123" s="140"/>
      <c r="B3123" s="194" t="s">
        <v>5651</v>
      </c>
      <c r="C3123" s="345">
        <v>40000</v>
      </c>
      <c r="D3123" s="345">
        <f>+C3123*0.85</f>
        <v>34000</v>
      </c>
      <c r="E3123" s="353">
        <f>+C3123+D3123</f>
        <v>74000</v>
      </c>
      <c r="F3123" s="204">
        <v>30</v>
      </c>
      <c r="G3123" s="351">
        <f>+E3123/F3123</f>
        <v>2466.6666666666665</v>
      </c>
      <c r="H3123" s="134"/>
    </row>
    <row r="3124" spans="1:8" x14ac:dyDescent="0.25">
      <c r="A3124" s="140"/>
      <c r="B3124" s="195" t="s">
        <v>5635</v>
      </c>
      <c r="C3124" s="345">
        <v>20600</v>
      </c>
      <c r="D3124" s="345">
        <f>+C3124*0.85</f>
        <v>17510</v>
      </c>
      <c r="E3124" s="353">
        <f>+C3124+D3124</f>
        <v>38110</v>
      </c>
      <c r="F3124" s="205">
        <v>5</v>
      </c>
      <c r="G3124" s="351">
        <f>+E3124/F3124</f>
        <v>7622</v>
      </c>
      <c r="H3124" s="134"/>
    </row>
    <row r="3125" spans="1:8" x14ac:dyDescent="0.25">
      <c r="A3125" s="140"/>
      <c r="B3125" s="155"/>
      <c r="C3125" s="152"/>
      <c r="D3125" s="152"/>
      <c r="E3125" s="152"/>
      <c r="F3125" s="151"/>
      <c r="G3125" s="156"/>
      <c r="H3125" s="134"/>
    </row>
    <row r="3126" spans="1:8" x14ac:dyDescent="0.25">
      <c r="A3126" s="140"/>
      <c r="B3126" s="155"/>
      <c r="C3126" s="152"/>
      <c r="D3126" s="152"/>
      <c r="E3126" s="152"/>
      <c r="F3126" s="151"/>
      <c r="G3126" s="156"/>
      <c r="H3126" s="134"/>
    </row>
    <row r="3127" spans="1:8" ht="13.5" thickBot="1" x14ac:dyDescent="0.3">
      <c r="A3127" s="140"/>
      <c r="B3127" s="155"/>
      <c r="C3127" s="152"/>
      <c r="D3127" s="152"/>
      <c r="E3127" s="152"/>
      <c r="F3127" s="151"/>
      <c r="G3127" s="156"/>
      <c r="H3127" s="134"/>
    </row>
    <row r="3128" spans="1:8" ht="13.5" thickBot="1" x14ac:dyDescent="0.3">
      <c r="A3128" s="140"/>
      <c r="B3128" s="179"/>
      <c r="C3128" s="180"/>
      <c r="D3128" s="180"/>
      <c r="E3128" s="180"/>
      <c r="F3128" s="181"/>
      <c r="G3128" s="182"/>
      <c r="H3128" s="161">
        <f>+SUM(G3122:G3128)</f>
        <v>10520.333333333332</v>
      </c>
    </row>
    <row r="3129" spans="1:8" ht="13.5" thickBot="1" x14ac:dyDescent="0.3">
      <c r="A3129" s="140"/>
      <c r="B3129" s="140"/>
      <c r="C3129" s="140"/>
      <c r="D3129" s="140"/>
      <c r="E3129" s="140"/>
      <c r="F3129" s="141"/>
      <c r="G3129" s="134"/>
      <c r="H3129" s="134"/>
    </row>
    <row r="3130" spans="1:8" ht="13.5" thickBot="1" x14ac:dyDescent="0.3">
      <c r="A3130" s="140"/>
      <c r="B3130" s="140"/>
      <c r="C3130" s="140"/>
      <c r="D3130" s="140"/>
      <c r="E3130" s="183" t="s">
        <v>5415</v>
      </c>
      <c r="F3130" s="141"/>
      <c r="G3130" s="134"/>
      <c r="H3130" s="161">
        <f>ROUND(+H3095+H3110+H3119+H3128,0)</f>
        <v>88172</v>
      </c>
    </row>
    <row r="3133" spans="1:8" ht="12.75" customHeight="1" x14ac:dyDescent="0.25"/>
    <row r="3135" spans="1:8" ht="18.75" x14ac:dyDescent="0.25">
      <c r="A3135" s="133"/>
      <c r="B3135" s="2506" t="s">
        <v>5400</v>
      </c>
      <c r="C3135" s="2506"/>
      <c r="D3135" s="2506"/>
      <c r="E3135" s="2506"/>
      <c r="F3135" s="2506"/>
      <c r="G3135" s="2506"/>
    </row>
    <row r="3136" spans="1:8" x14ac:dyDescent="0.25">
      <c r="A3136" s="133"/>
      <c r="G3136" s="134"/>
    </row>
    <row r="3137" spans="1:8" ht="12.75" customHeight="1" x14ac:dyDescent="0.25">
      <c r="A3137" s="133"/>
      <c r="G3137" s="134"/>
    </row>
    <row r="3138" spans="1:8" x14ac:dyDescent="0.25">
      <c r="A3138" s="133"/>
      <c r="G3138" s="134"/>
    </row>
    <row r="3139" spans="1:8" s="140" customFormat="1" x14ac:dyDescent="0.25">
      <c r="A3139" s="138" t="s">
        <v>3</v>
      </c>
      <c r="B3139" s="138" t="s">
        <v>5466</v>
      </c>
      <c r="C3139" s="2450" t="s">
        <v>5467</v>
      </c>
      <c r="D3139" s="2450"/>
      <c r="E3139" s="2450"/>
      <c r="F3139" s="138" t="s">
        <v>867</v>
      </c>
      <c r="G3139" s="139" t="s">
        <v>5454</v>
      </c>
      <c r="H3139" s="134"/>
    </row>
    <row r="3140" spans="1:8" s="140" customFormat="1" ht="12.75" customHeight="1" x14ac:dyDescent="0.25">
      <c r="A3140" s="141"/>
      <c r="F3140" s="141"/>
      <c r="G3140" s="134"/>
      <c r="H3140" s="134"/>
    </row>
    <row r="3141" spans="1:8" s="140" customFormat="1" x14ac:dyDescent="0.25">
      <c r="A3141" s="141"/>
      <c r="F3141" s="141"/>
      <c r="G3141" s="142"/>
      <c r="H3141" s="134"/>
    </row>
    <row r="3142" spans="1:8" s="140" customFormat="1" ht="13.5" thickBot="1" x14ac:dyDescent="0.3">
      <c r="A3142" s="141"/>
      <c r="F3142" s="141"/>
      <c r="G3142" s="134"/>
      <c r="H3142" s="134"/>
    </row>
    <row r="3143" spans="1:8" s="140" customFormat="1" ht="13.5" thickBot="1" x14ac:dyDescent="0.3">
      <c r="A3143" s="141"/>
      <c r="B3143" s="143" t="s">
        <v>5403</v>
      </c>
      <c r="C3143" s="144" t="s">
        <v>867</v>
      </c>
      <c r="D3143" s="144" t="s">
        <v>6</v>
      </c>
      <c r="E3143" s="144" t="s">
        <v>5404</v>
      </c>
      <c r="F3143" s="144" t="s">
        <v>5405</v>
      </c>
      <c r="G3143" s="145" t="s">
        <v>868</v>
      </c>
      <c r="H3143" s="134"/>
    </row>
    <row r="3144" spans="1:8" s="140" customFormat="1" x14ac:dyDescent="0.25">
      <c r="A3144" s="141"/>
      <c r="B3144" s="146" t="s">
        <v>5440</v>
      </c>
      <c r="C3144" s="147" t="s">
        <v>5406</v>
      </c>
      <c r="D3144" s="147"/>
      <c r="E3144" s="148">
        <f>+H3183</f>
        <v>1039.7</v>
      </c>
      <c r="F3144" s="167">
        <v>0.1</v>
      </c>
      <c r="G3144" s="360">
        <f>+E3144*F3144</f>
        <v>103.97000000000001</v>
      </c>
      <c r="H3144" s="134"/>
    </row>
    <row r="3145" spans="1:8" s="140" customFormat="1" x14ac:dyDescent="0.25">
      <c r="A3145" s="141"/>
      <c r="B3145" s="150" t="s">
        <v>5736</v>
      </c>
      <c r="C3145" s="151" t="s">
        <v>5481</v>
      </c>
      <c r="D3145" s="205">
        <v>1</v>
      </c>
      <c r="E3145" s="366">
        <v>40000</v>
      </c>
      <c r="F3145" s="205">
        <v>20</v>
      </c>
      <c r="G3145" s="360">
        <f>+E3145/F3145</f>
        <v>2000</v>
      </c>
      <c r="H3145" s="134"/>
    </row>
    <row r="3146" spans="1:8" s="140" customFormat="1" x14ac:dyDescent="0.25">
      <c r="A3146" s="141"/>
      <c r="B3146" s="154"/>
      <c r="C3146" s="151"/>
      <c r="D3146" s="205"/>
      <c r="E3146" s="366"/>
      <c r="F3146" s="151"/>
      <c r="G3146" s="360"/>
      <c r="H3146" s="134"/>
    </row>
    <row r="3147" spans="1:8" s="140" customFormat="1" x14ac:dyDescent="0.25">
      <c r="A3147" s="141"/>
      <c r="B3147" s="155"/>
      <c r="C3147" s="151"/>
      <c r="D3147" s="325"/>
      <c r="E3147" s="152"/>
      <c r="F3147" s="151"/>
      <c r="G3147" s="156"/>
      <c r="H3147" s="134"/>
    </row>
    <row r="3148" spans="1:8" s="140" customFormat="1" x14ac:dyDescent="0.25">
      <c r="A3148" s="141"/>
      <c r="B3148" s="155"/>
      <c r="C3148" s="151"/>
      <c r="D3148" s="325"/>
      <c r="E3148" s="152"/>
      <c r="F3148" s="151"/>
      <c r="G3148" s="156"/>
      <c r="H3148" s="134"/>
    </row>
    <row r="3149" spans="1:8" s="140" customFormat="1" ht="13.5" thickBot="1" x14ac:dyDescent="0.3">
      <c r="A3149" s="141"/>
      <c r="B3149" s="155"/>
      <c r="C3149" s="151"/>
      <c r="D3149" s="325"/>
      <c r="E3149" s="152"/>
      <c r="F3149" s="151"/>
      <c r="G3149" s="156"/>
      <c r="H3149" s="134"/>
    </row>
    <row r="3150" spans="1:8" s="140" customFormat="1" ht="13.5" thickBot="1" x14ac:dyDescent="0.3">
      <c r="A3150" s="141"/>
      <c r="B3150" s="157"/>
      <c r="C3150" s="158"/>
      <c r="D3150" s="326"/>
      <c r="E3150" s="159"/>
      <c r="F3150" s="158"/>
      <c r="G3150" s="160"/>
      <c r="H3150" s="161">
        <f>+SUM(G3144:G3150)</f>
        <v>2103.9699999999998</v>
      </c>
    </row>
    <row r="3151" spans="1:8" s="140" customFormat="1" ht="13.5" thickBot="1" x14ac:dyDescent="0.3">
      <c r="A3151" s="141"/>
      <c r="B3151" s="162"/>
      <c r="C3151" s="163"/>
      <c r="D3151" s="162"/>
      <c r="E3151" s="162"/>
      <c r="F3151" s="163"/>
      <c r="G3151" s="164"/>
      <c r="H3151" s="165"/>
    </row>
    <row r="3152" spans="1:8" s="140" customFormat="1" ht="13.5" thickBot="1" x14ac:dyDescent="0.3">
      <c r="B3152" s="143" t="s">
        <v>5408</v>
      </c>
      <c r="C3152" s="144" t="s">
        <v>867</v>
      </c>
      <c r="D3152" s="144" t="s">
        <v>6</v>
      </c>
      <c r="E3152" s="144" t="s">
        <v>870</v>
      </c>
      <c r="F3152" s="144" t="s">
        <v>5409</v>
      </c>
      <c r="G3152" s="145" t="s">
        <v>868</v>
      </c>
      <c r="H3152" s="134"/>
    </row>
    <row r="3153" spans="2:8" s="140" customFormat="1" x14ac:dyDescent="0.25">
      <c r="B3153" s="201"/>
      <c r="C3153" s="147"/>
      <c r="D3153" s="167"/>
      <c r="E3153" s="366"/>
      <c r="F3153" s="169"/>
      <c r="G3153" s="367">
        <f>+D3153*E3153*(1+F3153)</f>
        <v>0</v>
      </c>
      <c r="H3153" s="134"/>
    </row>
    <row r="3154" spans="2:8" s="140" customFormat="1" x14ac:dyDescent="0.25">
      <c r="B3154" s="196"/>
      <c r="C3154" s="151"/>
      <c r="D3154" s="151"/>
      <c r="E3154" s="366"/>
      <c r="F3154" s="169"/>
      <c r="G3154" s="367"/>
      <c r="H3154" s="134"/>
    </row>
    <row r="3155" spans="2:8" s="140" customFormat="1" x14ac:dyDescent="0.25">
      <c r="B3155" s="196"/>
      <c r="C3155" s="151"/>
      <c r="D3155" s="151"/>
      <c r="E3155" s="366"/>
      <c r="F3155" s="169"/>
      <c r="G3155" s="367"/>
      <c r="H3155" s="134"/>
    </row>
    <row r="3156" spans="2:8" s="140" customFormat="1" x14ac:dyDescent="0.25">
      <c r="B3156" s="155"/>
      <c r="C3156" s="151"/>
      <c r="D3156" s="151"/>
      <c r="E3156" s="148"/>
      <c r="F3156" s="151"/>
      <c r="G3156" s="367"/>
      <c r="H3156" s="134"/>
    </row>
    <row r="3157" spans="2:8" s="140" customFormat="1" x14ac:dyDescent="0.25">
      <c r="B3157" s="155"/>
      <c r="C3157" s="151"/>
      <c r="D3157" s="151"/>
      <c r="E3157" s="148"/>
      <c r="F3157" s="151"/>
      <c r="G3157" s="367"/>
      <c r="H3157" s="134"/>
    </row>
    <row r="3158" spans="2:8" s="140" customFormat="1" x14ac:dyDescent="0.25">
      <c r="B3158" s="155"/>
      <c r="C3158" s="151"/>
      <c r="D3158" s="151"/>
      <c r="E3158" s="148"/>
      <c r="F3158" s="151"/>
      <c r="G3158" s="367"/>
      <c r="H3158" s="134"/>
    </row>
    <row r="3159" spans="2:8" s="140" customFormat="1" x14ac:dyDescent="0.25">
      <c r="B3159" s="155"/>
      <c r="C3159" s="151"/>
      <c r="D3159" s="151"/>
      <c r="E3159" s="148"/>
      <c r="F3159" s="151"/>
      <c r="G3159" s="367"/>
      <c r="H3159" s="134"/>
    </row>
    <row r="3160" spans="2:8" s="140" customFormat="1" x14ac:dyDescent="0.25">
      <c r="B3160" s="155"/>
      <c r="C3160" s="151"/>
      <c r="D3160" s="151"/>
      <c r="E3160" s="148"/>
      <c r="F3160" s="151"/>
      <c r="G3160" s="367"/>
      <c r="H3160" s="134"/>
    </row>
    <row r="3161" spans="2:8" s="140" customFormat="1" x14ac:dyDescent="0.25">
      <c r="B3161" s="155"/>
      <c r="C3161" s="151"/>
      <c r="D3161" s="151"/>
      <c r="E3161" s="148"/>
      <c r="F3161" s="151"/>
      <c r="G3161" s="367"/>
      <c r="H3161" s="134"/>
    </row>
    <row r="3162" spans="2:8" s="140" customFormat="1" x14ac:dyDescent="0.25">
      <c r="B3162" s="155"/>
      <c r="C3162" s="151"/>
      <c r="D3162" s="151"/>
      <c r="E3162" s="148"/>
      <c r="F3162" s="151"/>
      <c r="G3162" s="367"/>
      <c r="H3162" s="134"/>
    </row>
    <row r="3163" spans="2:8" s="140" customFormat="1" x14ac:dyDescent="0.25">
      <c r="B3163" s="155"/>
      <c r="C3163" s="152"/>
      <c r="D3163" s="152"/>
      <c r="E3163" s="152"/>
      <c r="F3163" s="151"/>
      <c r="G3163" s="156"/>
      <c r="H3163" s="134"/>
    </row>
    <row r="3164" spans="2:8" s="140" customFormat="1" ht="13.5" thickBot="1" x14ac:dyDescent="0.3">
      <c r="B3164" s="155"/>
      <c r="C3164" s="152"/>
      <c r="D3164" s="152"/>
      <c r="E3164" s="152"/>
      <c r="F3164" s="151"/>
      <c r="G3164" s="156"/>
      <c r="H3164" s="134"/>
    </row>
    <row r="3165" spans="2:8" s="140" customFormat="1" ht="13.5" thickBot="1" x14ac:dyDescent="0.3">
      <c r="B3165" s="157"/>
      <c r="C3165" s="159"/>
      <c r="D3165" s="159"/>
      <c r="E3165" s="159"/>
      <c r="F3165" s="158"/>
      <c r="G3165" s="160"/>
      <c r="H3165" s="161">
        <f>+SUM(G3153:G3165)</f>
        <v>0</v>
      </c>
    </row>
    <row r="3166" spans="2:8" s="140" customFormat="1" ht="13.5" thickBot="1" x14ac:dyDescent="0.3">
      <c r="B3166" s="162"/>
      <c r="C3166" s="162"/>
      <c r="D3166" s="162"/>
      <c r="E3166" s="162"/>
      <c r="F3166" s="163"/>
      <c r="G3166" s="164"/>
      <c r="H3166" s="165"/>
    </row>
    <row r="3167" spans="2:8" s="140" customFormat="1" ht="13.5" thickBot="1" x14ac:dyDescent="0.3">
      <c r="B3167" s="143" t="s">
        <v>5410</v>
      </c>
      <c r="C3167" s="144" t="s">
        <v>867</v>
      </c>
      <c r="D3167" s="144" t="s">
        <v>6</v>
      </c>
      <c r="E3167" s="144" t="s">
        <v>870</v>
      </c>
      <c r="F3167" s="144" t="s">
        <v>5411</v>
      </c>
      <c r="G3167" s="145" t="s">
        <v>868</v>
      </c>
      <c r="H3167" s="134"/>
    </row>
    <row r="3168" spans="2:8" s="140" customFormat="1" ht="25.5" x14ac:dyDescent="0.25">
      <c r="B3168" s="201" t="s">
        <v>6278</v>
      </c>
      <c r="C3168" s="147" t="s">
        <v>5430</v>
      </c>
      <c r="D3168" s="167">
        <v>1.3</v>
      </c>
      <c r="E3168" s="366">
        <v>850</v>
      </c>
      <c r="F3168" s="167">
        <v>10</v>
      </c>
      <c r="G3168" s="367">
        <f>+D3168*E3168*(F3168)</f>
        <v>11050</v>
      </c>
      <c r="H3168" s="134"/>
    </row>
    <row r="3169" spans="2:8" s="140" customFormat="1" x14ac:dyDescent="0.25">
      <c r="B3169" s="196"/>
      <c r="C3169" s="151"/>
      <c r="D3169" s="151"/>
      <c r="E3169" s="366"/>
      <c r="F3169" s="147"/>
      <c r="G3169" s="367"/>
      <c r="H3169" s="134"/>
    </row>
    <row r="3170" spans="2:8" s="140" customFormat="1" x14ac:dyDescent="0.25">
      <c r="B3170" s="196"/>
      <c r="C3170" s="151"/>
      <c r="D3170" s="151"/>
      <c r="E3170" s="148"/>
      <c r="F3170" s="151"/>
      <c r="G3170" s="367"/>
      <c r="H3170" s="134"/>
    </row>
    <row r="3171" spans="2:8" s="140" customFormat="1" x14ac:dyDescent="0.25">
      <c r="B3171" s="155"/>
      <c r="C3171" s="151"/>
      <c r="D3171" s="151"/>
      <c r="E3171" s="148"/>
      <c r="F3171" s="151"/>
      <c r="G3171" s="367"/>
      <c r="H3171" s="134"/>
    </row>
    <row r="3172" spans="2:8" s="140" customFormat="1" x14ac:dyDescent="0.25">
      <c r="B3172" s="155"/>
      <c r="C3172" s="151"/>
      <c r="D3172" s="151"/>
      <c r="E3172" s="148"/>
      <c r="F3172" s="151"/>
      <c r="G3172" s="367"/>
      <c r="H3172" s="134"/>
    </row>
    <row r="3173" spans="2:8" s="140" customFormat="1" ht="13.5" thickBot="1" x14ac:dyDescent="0.3">
      <c r="B3173" s="155"/>
      <c r="C3173" s="151"/>
      <c r="D3173" s="151"/>
      <c r="E3173" s="148"/>
      <c r="F3173" s="151"/>
      <c r="G3173" s="367"/>
      <c r="H3173" s="134"/>
    </row>
    <row r="3174" spans="2:8" s="140" customFormat="1" ht="13.5" thickBot="1" x14ac:dyDescent="0.3">
      <c r="B3174" s="157"/>
      <c r="C3174" s="159"/>
      <c r="D3174" s="159"/>
      <c r="E3174" s="159"/>
      <c r="F3174" s="158"/>
      <c r="G3174" s="160"/>
      <c r="H3174" s="161">
        <f>+SUM(G3168:G3174)</f>
        <v>11050</v>
      </c>
    </row>
    <row r="3175" spans="2:8" s="140" customFormat="1" ht="13.5" thickBot="1" x14ac:dyDescent="0.3">
      <c r="B3175" s="162"/>
      <c r="C3175" s="162"/>
      <c r="D3175" s="162"/>
      <c r="E3175" s="162"/>
      <c r="F3175" s="173"/>
      <c r="G3175" s="174"/>
      <c r="H3175" s="165"/>
    </row>
    <row r="3176" spans="2:8" s="140" customFormat="1" ht="13.5" thickBot="1" x14ac:dyDescent="0.3">
      <c r="B3176" s="143" t="s">
        <v>5412</v>
      </c>
      <c r="C3176" s="144" t="s">
        <v>5420</v>
      </c>
      <c r="D3176" s="144" t="s">
        <v>5421</v>
      </c>
      <c r="E3176" s="144" t="s">
        <v>5413</v>
      </c>
      <c r="F3176" s="144" t="s">
        <v>5405</v>
      </c>
      <c r="G3176" s="145" t="s">
        <v>868</v>
      </c>
      <c r="H3176" s="134"/>
    </row>
    <row r="3177" spans="2:8" s="140" customFormat="1" x14ac:dyDescent="0.25">
      <c r="B3177" s="194" t="s">
        <v>5650</v>
      </c>
      <c r="C3177" s="345">
        <v>70000</v>
      </c>
      <c r="D3177" s="345">
        <f>+C3177*0.85</f>
        <v>59500</v>
      </c>
      <c r="E3177" s="353">
        <f>+C3177+D3177</f>
        <v>129500</v>
      </c>
      <c r="F3177" s="202">
        <v>1000</v>
      </c>
      <c r="G3177" s="351">
        <f>+E3177/F3177</f>
        <v>129.5</v>
      </c>
      <c r="H3177" s="134"/>
    </row>
    <row r="3178" spans="2:8" s="140" customFormat="1" x14ac:dyDescent="0.25">
      <c r="B3178" s="194" t="s">
        <v>5651</v>
      </c>
      <c r="C3178" s="345">
        <v>40000</v>
      </c>
      <c r="D3178" s="345">
        <f>+C3178*0.85</f>
        <v>34000</v>
      </c>
      <c r="E3178" s="353">
        <f>+C3178+D3178</f>
        <v>74000</v>
      </c>
      <c r="F3178" s="204">
        <v>500</v>
      </c>
      <c r="G3178" s="351">
        <f>+E3178/F3178</f>
        <v>148</v>
      </c>
      <c r="H3178" s="134"/>
    </row>
    <row r="3179" spans="2:8" s="140" customFormat="1" x14ac:dyDescent="0.25">
      <c r="B3179" s="195" t="s">
        <v>5635</v>
      </c>
      <c r="C3179" s="345">
        <v>20600</v>
      </c>
      <c r="D3179" s="345">
        <f>+C3179*0.85</f>
        <v>17510</v>
      </c>
      <c r="E3179" s="353">
        <f>+C3179+D3179</f>
        <v>38110</v>
      </c>
      <c r="F3179" s="205">
        <v>50</v>
      </c>
      <c r="G3179" s="351">
        <f>+E3179/F3179</f>
        <v>762.2</v>
      </c>
      <c r="H3179" s="134"/>
    </row>
    <row r="3180" spans="2:8" s="140" customFormat="1" x14ac:dyDescent="0.25">
      <c r="B3180" s="155"/>
      <c r="C3180" s="152"/>
      <c r="D3180" s="152"/>
      <c r="E3180" s="152"/>
      <c r="F3180" s="151"/>
      <c r="G3180" s="156"/>
      <c r="H3180" s="134"/>
    </row>
    <row r="3181" spans="2:8" s="140" customFormat="1" x14ac:dyDescent="0.25">
      <c r="B3181" s="155"/>
      <c r="C3181" s="152"/>
      <c r="D3181" s="152"/>
      <c r="E3181" s="152"/>
      <c r="F3181" s="151"/>
      <c r="G3181" s="156"/>
      <c r="H3181" s="134"/>
    </row>
    <row r="3182" spans="2:8" s="140" customFormat="1" ht="13.5" thickBot="1" x14ac:dyDescent="0.3">
      <c r="B3182" s="155"/>
      <c r="C3182" s="152"/>
      <c r="D3182" s="152"/>
      <c r="E3182" s="152"/>
      <c r="F3182" s="151"/>
      <c r="G3182" s="156"/>
      <c r="H3182" s="134"/>
    </row>
    <row r="3183" spans="2:8" s="140" customFormat="1" ht="13.5" thickBot="1" x14ac:dyDescent="0.3">
      <c r="B3183" s="179"/>
      <c r="C3183" s="180"/>
      <c r="D3183" s="180"/>
      <c r="E3183" s="180"/>
      <c r="F3183" s="181"/>
      <c r="G3183" s="182"/>
      <c r="H3183" s="161">
        <f>+SUM(G3177:G3183)</f>
        <v>1039.7</v>
      </c>
    </row>
    <row r="3184" spans="2:8" s="140" customFormat="1" ht="13.5" thickBot="1" x14ac:dyDescent="0.3">
      <c r="F3184" s="141"/>
      <c r="G3184" s="134"/>
      <c r="H3184" s="134"/>
    </row>
    <row r="3185" spans="1:8" s="140" customFormat="1" ht="13.5" thickBot="1" x14ac:dyDescent="0.3">
      <c r="E3185" s="183" t="s">
        <v>5415</v>
      </c>
      <c r="F3185" s="141"/>
      <c r="G3185" s="134"/>
      <c r="H3185" s="161">
        <f>ROUND(+H3150+H3165+H3174+H3183,0)</f>
        <v>14194</v>
      </c>
    </row>
    <row r="3187" spans="1:8" x14ac:dyDescent="0.25">
      <c r="H3187" s="341"/>
    </row>
    <row r="3188" spans="1:8" ht="12.75" customHeight="1" x14ac:dyDescent="0.25"/>
    <row r="3190" spans="1:8" ht="18.75" x14ac:dyDescent="0.25">
      <c r="A3190" s="133"/>
      <c r="B3190" s="2506" t="s">
        <v>5400</v>
      </c>
      <c r="C3190" s="2506"/>
      <c r="D3190" s="2506"/>
      <c r="E3190" s="2506"/>
      <c r="F3190" s="2506"/>
      <c r="G3190" s="2506"/>
    </row>
    <row r="3191" spans="1:8" x14ac:dyDescent="0.25">
      <c r="A3191" s="133"/>
      <c r="G3191" s="134"/>
    </row>
    <row r="3192" spans="1:8" ht="12.75" customHeight="1" x14ac:dyDescent="0.25">
      <c r="A3192" s="133"/>
      <c r="G3192" s="134"/>
    </row>
    <row r="3193" spans="1:8" x14ac:dyDescent="0.25">
      <c r="A3193" s="133"/>
      <c r="G3193" s="134"/>
    </row>
    <row r="3194" spans="1:8" s="140" customFormat="1" x14ac:dyDescent="0.25">
      <c r="A3194" s="138" t="s">
        <v>3</v>
      </c>
      <c r="B3194" s="138" t="s">
        <v>164</v>
      </c>
      <c r="C3194" s="2450" t="s">
        <v>5468</v>
      </c>
      <c r="D3194" s="2450"/>
      <c r="E3194" s="2450"/>
      <c r="F3194" s="138" t="s">
        <v>867</v>
      </c>
      <c r="G3194" s="139" t="s">
        <v>5454</v>
      </c>
      <c r="H3194" s="134"/>
    </row>
    <row r="3195" spans="1:8" s="140" customFormat="1" ht="12.75" customHeight="1" x14ac:dyDescent="0.25">
      <c r="A3195" s="141"/>
      <c r="F3195" s="141"/>
      <c r="G3195" s="134"/>
      <c r="H3195" s="134"/>
    </row>
    <row r="3196" spans="1:8" s="140" customFormat="1" x14ac:dyDescent="0.25">
      <c r="A3196" s="141"/>
      <c r="F3196" s="141"/>
      <c r="G3196" s="142"/>
      <c r="H3196" s="134"/>
    </row>
    <row r="3197" spans="1:8" s="140" customFormat="1" ht="13.5" thickBot="1" x14ac:dyDescent="0.3">
      <c r="A3197" s="141"/>
      <c r="F3197" s="141"/>
      <c r="G3197" s="134"/>
      <c r="H3197" s="134"/>
    </row>
    <row r="3198" spans="1:8" s="140" customFormat="1" ht="13.5" thickBot="1" x14ac:dyDescent="0.3">
      <c r="A3198" s="141"/>
      <c r="B3198" s="143" t="s">
        <v>5403</v>
      </c>
      <c r="C3198" s="144" t="s">
        <v>867</v>
      </c>
      <c r="D3198" s="144" t="s">
        <v>6</v>
      </c>
      <c r="E3198" s="144" t="s">
        <v>5404</v>
      </c>
      <c r="F3198" s="144" t="s">
        <v>5405</v>
      </c>
      <c r="G3198" s="145" t="s">
        <v>868</v>
      </c>
      <c r="H3198" s="134"/>
    </row>
    <row r="3199" spans="1:8" s="140" customFormat="1" x14ac:dyDescent="0.25">
      <c r="A3199" s="141"/>
      <c r="B3199" s="146" t="s">
        <v>5440</v>
      </c>
      <c r="C3199" s="147" t="s">
        <v>5406</v>
      </c>
      <c r="D3199" s="147"/>
      <c r="E3199" s="148">
        <f>+H3238</f>
        <v>102425.96153846153</v>
      </c>
      <c r="F3199" s="211">
        <v>0.1</v>
      </c>
      <c r="G3199" s="360">
        <f>+E3199*F3199</f>
        <v>10242.596153846154</v>
      </c>
      <c r="H3199" s="134"/>
    </row>
    <row r="3200" spans="1:8" s="140" customFormat="1" x14ac:dyDescent="0.25">
      <c r="A3200" s="141"/>
      <c r="B3200" s="150"/>
      <c r="C3200" s="151"/>
      <c r="D3200" s="151"/>
      <c r="E3200" s="366"/>
      <c r="F3200" s="208"/>
      <c r="G3200" s="360"/>
      <c r="H3200" s="134"/>
    </row>
    <row r="3201" spans="1:8" s="140" customFormat="1" x14ac:dyDescent="0.25">
      <c r="A3201" s="141"/>
      <c r="B3201" s="154"/>
      <c r="C3201" s="151"/>
      <c r="D3201" s="151"/>
      <c r="E3201" s="366"/>
      <c r="F3201" s="151"/>
      <c r="G3201" s="360"/>
      <c r="H3201" s="134"/>
    </row>
    <row r="3202" spans="1:8" s="140" customFormat="1" x14ac:dyDescent="0.25">
      <c r="A3202" s="141"/>
      <c r="B3202" s="155"/>
      <c r="C3202" s="151"/>
      <c r="D3202" s="152"/>
      <c r="E3202" s="152"/>
      <c r="F3202" s="151"/>
      <c r="G3202" s="156"/>
      <c r="H3202" s="134"/>
    </row>
    <row r="3203" spans="1:8" s="140" customFormat="1" x14ac:dyDescent="0.25">
      <c r="A3203" s="141"/>
      <c r="B3203" s="155"/>
      <c r="C3203" s="151"/>
      <c r="D3203" s="152"/>
      <c r="E3203" s="152"/>
      <c r="F3203" s="151"/>
      <c r="G3203" s="156"/>
      <c r="H3203" s="134"/>
    </row>
    <row r="3204" spans="1:8" s="140" customFormat="1" ht="13.5" thickBot="1" x14ac:dyDescent="0.3">
      <c r="A3204" s="141"/>
      <c r="B3204" s="155"/>
      <c r="C3204" s="151"/>
      <c r="D3204" s="152"/>
      <c r="E3204" s="152"/>
      <c r="F3204" s="151"/>
      <c r="G3204" s="156"/>
      <c r="H3204" s="134"/>
    </row>
    <row r="3205" spans="1:8" s="140" customFormat="1" ht="13.5" thickBot="1" x14ac:dyDescent="0.3">
      <c r="A3205" s="141"/>
      <c r="B3205" s="157"/>
      <c r="C3205" s="158"/>
      <c r="D3205" s="159"/>
      <c r="E3205" s="159"/>
      <c r="F3205" s="158"/>
      <c r="G3205" s="160"/>
      <c r="H3205" s="161">
        <f>+SUM(G3199:G3205)</f>
        <v>10242.596153846154</v>
      </c>
    </row>
    <row r="3206" spans="1:8" s="140" customFormat="1" ht="13.5" thickBot="1" x14ac:dyDescent="0.3">
      <c r="A3206" s="141"/>
      <c r="B3206" s="162"/>
      <c r="C3206" s="163"/>
      <c r="D3206" s="162"/>
      <c r="E3206" s="162"/>
      <c r="F3206" s="163"/>
      <c r="G3206" s="164"/>
      <c r="H3206" s="165"/>
    </row>
    <row r="3207" spans="1:8" s="140" customFormat="1" ht="13.5" thickBot="1" x14ac:dyDescent="0.3">
      <c r="B3207" s="143" t="s">
        <v>5408</v>
      </c>
      <c r="C3207" s="144" t="s">
        <v>867</v>
      </c>
      <c r="D3207" s="144" t="s">
        <v>6</v>
      </c>
      <c r="E3207" s="144" t="s">
        <v>870</v>
      </c>
      <c r="F3207" s="144" t="s">
        <v>5409</v>
      </c>
      <c r="G3207" s="145" t="s">
        <v>868</v>
      </c>
      <c r="H3207" s="134"/>
    </row>
    <row r="3208" spans="1:8" s="140" customFormat="1" x14ac:dyDescent="0.25">
      <c r="B3208" s="201" t="s">
        <v>5706</v>
      </c>
      <c r="C3208" s="147" t="s">
        <v>5430</v>
      </c>
      <c r="D3208" s="211">
        <v>1</v>
      </c>
      <c r="E3208" s="438">
        <v>60000</v>
      </c>
      <c r="F3208" s="169">
        <v>0.3</v>
      </c>
      <c r="G3208" s="367">
        <f>+D3208*E3208*(1+F3208)</f>
        <v>78000</v>
      </c>
      <c r="H3208" s="134"/>
    </row>
    <row r="3209" spans="1:8" s="140" customFormat="1" ht="25.5" x14ac:dyDescent="0.25">
      <c r="B3209" s="196" t="s">
        <v>5707</v>
      </c>
      <c r="C3209" s="151" t="s">
        <v>5430</v>
      </c>
      <c r="D3209" s="212">
        <v>0.3</v>
      </c>
      <c r="E3209" s="438">
        <f>+'APU CAP 5'!H214</f>
        <v>326392.25</v>
      </c>
      <c r="F3209" s="169">
        <v>0.05</v>
      </c>
      <c r="G3209" s="367">
        <f>+D3209*E3209*(1+F3209)</f>
        <v>102813.55875000001</v>
      </c>
      <c r="H3209" s="134"/>
    </row>
    <row r="3210" spans="1:8" s="140" customFormat="1" x14ac:dyDescent="0.25">
      <c r="B3210" s="196"/>
      <c r="C3210" s="151"/>
      <c r="D3210" s="151"/>
      <c r="E3210" s="366"/>
      <c r="F3210" s="169"/>
      <c r="G3210" s="367"/>
      <c r="H3210" s="134"/>
    </row>
    <row r="3211" spans="1:8" s="140" customFormat="1" x14ac:dyDescent="0.25">
      <c r="B3211" s="155"/>
      <c r="C3211" s="151"/>
      <c r="D3211" s="151"/>
      <c r="E3211" s="148"/>
      <c r="F3211" s="151"/>
      <c r="G3211" s="367"/>
      <c r="H3211" s="134"/>
    </row>
    <row r="3212" spans="1:8" s="140" customFormat="1" x14ac:dyDescent="0.25">
      <c r="B3212" s="155"/>
      <c r="C3212" s="151"/>
      <c r="D3212" s="151"/>
      <c r="E3212" s="148"/>
      <c r="F3212" s="151"/>
      <c r="G3212" s="367"/>
      <c r="H3212" s="134"/>
    </row>
    <row r="3213" spans="1:8" s="140" customFormat="1" x14ac:dyDescent="0.25">
      <c r="B3213" s="155"/>
      <c r="C3213" s="151"/>
      <c r="D3213" s="151"/>
      <c r="E3213" s="148"/>
      <c r="F3213" s="151"/>
      <c r="G3213" s="367"/>
      <c r="H3213" s="134"/>
    </row>
    <row r="3214" spans="1:8" s="140" customFormat="1" x14ac:dyDescent="0.25">
      <c r="B3214" s="155"/>
      <c r="C3214" s="151"/>
      <c r="D3214" s="151"/>
      <c r="E3214" s="148"/>
      <c r="F3214" s="151"/>
      <c r="G3214" s="367"/>
      <c r="H3214" s="134"/>
    </row>
    <row r="3215" spans="1:8" s="140" customFormat="1" x14ac:dyDescent="0.25">
      <c r="B3215" s="155"/>
      <c r="C3215" s="151"/>
      <c r="D3215" s="151"/>
      <c r="E3215" s="148"/>
      <c r="F3215" s="151"/>
      <c r="G3215" s="367"/>
      <c r="H3215" s="134"/>
    </row>
    <row r="3216" spans="1:8" s="140" customFormat="1" x14ac:dyDescent="0.25">
      <c r="B3216" s="155"/>
      <c r="C3216" s="151"/>
      <c r="D3216" s="151"/>
      <c r="E3216" s="148"/>
      <c r="F3216" s="151"/>
      <c r="G3216" s="367"/>
      <c r="H3216" s="134"/>
    </row>
    <row r="3217" spans="2:8" s="140" customFormat="1" x14ac:dyDescent="0.25">
      <c r="B3217" s="155"/>
      <c r="C3217" s="151"/>
      <c r="D3217" s="151"/>
      <c r="E3217" s="148"/>
      <c r="F3217" s="151"/>
      <c r="G3217" s="367"/>
      <c r="H3217" s="134"/>
    </row>
    <row r="3218" spans="2:8" s="140" customFormat="1" x14ac:dyDescent="0.25">
      <c r="B3218" s="155"/>
      <c r="C3218" s="152"/>
      <c r="D3218" s="152"/>
      <c r="E3218" s="152"/>
      <c r="F3218" s="151"/>
      <c r="G3218" s="156"/>
      <c r="H3218" s="134"/>
    </row>
    <row r="3219" spans="2:8" s="140" customFormat="1" ht="13.5" thickBot="1" x14ac:dyDescent="0.3">
      <c r="B3219" s="155"/>
      <c r="C3219" s="152"/>
      <c r="D3219" s="152"/>
      <c r="E3219" s="152"/>
      <c r="F3219" s="151"/>
      <c r="G3219" s="156"/>
      <c r="H3219" s="134"/>
    </row>
    <row r="3220" spans="2:8" s="140" customFormat="1" ht="13.5" thickBot="1" x14ac:dyDescent="0.3">
      <c r="B3220" s="157"/>
      <c r="C3220" s="159"/>
      <c r="D3220" s="159"/>
      <c r="E3220" s="159"/>
      <c r="F3220" s="158"/>
      <c r="G3220" s="160"/>
      <c r="H3220" s="161">
        <f>+SUM(G3208:G3220)</f>
        <v>180813.55875000003</v>
      </c>
    </row>
    <row r="3221" spans="2:8" s="140" customFormat="1" ht="13.5" thickBot="1" x14ac:dyDescent="0.3">
      <c r="B3221" s="162"/>
      <c r="C3221" s="162"/>
      <c r="D3221" s="162"/>
      <c r="E3221" s="162"/>
      <c r="F3221" s="163"/>
      <c r="G3221" s="164"/>
      <c r="H3221" s="165"/>
    </row>
    <row r="3222" spans="2:8" s="140" customFormat="1" ht="13.5" thickBot="1" x14ac:dyDescent="0.3">
      <c r="B3222" s="143" t="s">
        <v>5410</v>
      </c>
      <c r="C3222" s="144" t="s">
        <v>867</v>
      </c>
      <c r="D3222" s="144" t="s">
        <v>6</v>
      </c>
      <c r="E3222" s="144" t="s">
        <v>870</v>
      </c>
      <c r="F3222" s="144" t="s">
        <v>5411</v>
      </c>
      <c r="G3222" s="145" t="s">
        <v>868</v>
      </c>
      <c r="H3222" s="134"/>
    </row>
    <row r="3223" spans="2:8" s="140" customFormat="1" x14ac:dyDescent="0.25">
      <c r="B3223" s="201"/>
      <c r="C3223" s="147"/>
      <c r="D3223" s="167"/>
      <c r="E3223" s="366"/>
      <c r="F3223" s="169"/>
      <c r="G3223" s="367">
        <f>+D3223*E3223*(1+F3223)</f>
        <v>0</v>
      </c>
      <c r="H3223" s="134"/>
    </row>
    <row r="3224" spans="2:8" s="140" customFormat="1" x14ac:dyDescent="0.25">
      <c r="B3224" s="196"/>
      <c r="C3224" s="151"/>
      <c r="D3224" s="151"/>
      <c r="E3224" s="366"/>
      <c r="F3224" s="147"/>
      <c r="G3224" s="367"/>
      <c r="H3224" s="134"/>
    </row>
    <row r="3225" spans="2:8" s="140" customFormat="1" x14ac:dyDescent="0.25">
      <c r="B3225" s="196"/>
      <c r="C3225" s="151"/>
      <c r="D3225" s="151"/>
      <c r="E3225" s="148"/>
      <c r="F3225" s="151"/>
      <c r="G3225" s="367"/>
      <c r="H3225" s="134"/>
    </row>
    <row r="3226" spans="2:8" s="140" customFormat="1" x14ac:dyDescent="0.25">
      <c r="B3226" s="155"/>
      <c r="C3226" s="151"/>
      <c r="D3226" s="151"/>
      <c r="E3226" s="148"/>
      <c r="F3226" s="151"/>
      <c r="G3226" s="367"/>
      <c r="H3226" s="134"/>
    </row>
    <row r="3227" spans="2:8" s="140" customFormat="1" x14ac:dyDescent="0.25">
      <c r="B3227" s="155"/>
      <c r="C3227" s="151"/>
      <c r="D3227" s="151"/>
      <c r="E3227" s="148"/>
      <c r="F3227" s="151"/>
      <c r="G3227" s="367"/>
      <c r="H3227" s="134"/>
    </row>
    <row r="3228" spans="2:8" s="140" customFormat="1" ht="13.5" thickBot="1" x14ac:dyDescent="0.3">
      <c r="B3228" s="155"/>
      <c r="C3228" s="151"/>
      <c r="D3228" s="151"/>
      <c r="E3228" s="148"/>
      <c r="F3228" s="151"/>
      <c r="G3228" s="367"/>
      <c r="H3228" s="134"/>
    </row>
    <row r="3229" spans="2:8" s="140" customFormat="1" ht="13.5" thickBot="1" x14ac:dyDescent="0.3">
      <c r="B3229" s="157"/>
      <c r="C3229" s="159"/>
      <c r="D3229" s="159"/>
      <c r="E3229" s="159"/>
      <c r="F3229" s="158"/>
      <c r="G3229" s="160"/>
      <c r="H3229" s="161">
        <f>+SUM(G3223:G3229)</f>
        <v>0</v>
      </c>
    </row>
    <row r="3230" spans="2:8" s="140" customFormat="1" ht="13.5" thickBot="1" x14ac:dyDescent="0.3">
      <c r="B3230" s="162"/>
      <c r="C3230" s="162"/>
      <c r="D3230" s="162"/>
      <c r="E3230" s="162"/>
      <c r="F3230" s="173"/>
      <c r="G3230" s="174"/>
      <c r="H3230" s="165"/>
    </row>
    <row r="3231" spans="2:8" s="140" customFormat="1" ht="13.5" thickBot="1" x14ac:dyDescent="0.3">
      <c r="B3231" s="143" t="s">
        <v>5412</v>
      </c>
      <c r="C3231" s="144" t="s">
        <v>5420</v>
      </c>
      <c r="D3231" s="144" t="s">
        <v>5421</v>
      </c>
      <c r="E3231" s="144" t="s">
        <v>5413</v>
      </c>
      <c r="F3231" s="144" t="s">
        <v>5405</v>
      </c>
      <c r="G3231" s="145" t="s">
        <v>868</v>
      </c>
      <c r="H3231" s="134"/>
    </row>
    <row r="3232" spans="2:8" s="140" customFormat="1" x14ac:dyDescent="0.25">
      <c r="B3232" s="194" t="s">
        <v>5650</v>
      </c>
      <c r="C3232" s="345">
        <v>70000</v>
      </c>
      <c r="D3232" s="345">
        <f>+C3232*0.85</f>
        <v>59500</v>
      </c>
      <c r="E3232" s="353">
        <f>+C3232+D3232</f>
        <v>129500</v>
      </c>
      <c r="F3232" s="202">
        <v>8</v>
      </c>
      <c r="G3232" s="351">
        <f>+E3232/F3232</f>
        <v>16187.5</v>
      </c>
      <c r="H3232" s="134"/>
    </row>
    <row r="3233" spans="1:8" s="140" customFormat="1" x14ac:dyDescent="0.25">
      <c r="B3233" s="194" t="s">
        <v>5651</v>
      </c>
      <c r="C3233" s="345">
        <v>40000</v>
      </c>
      <c r="D3233" s="345">
        <f>+C3233*0.85</f>
        <v>34000</v>
      </c>
      <c r="E3233" s="353">
        <f>+C3233+D3233</f>
        <v>74000</v>
      </c>
      <c r="F3233" s="209">
        <v>1.3</v>
      </c>
      <c r="G3233" s="351">
        <f>+E3233/F3233</f>
        <v>56923.076923076922</v>
      </c>
      <c r="H3233" s="134"/>
    </row>
    <row r="3234" spans="1:8" s="140" customFormat="1" x14ac:dyDescent="0.25">
      <c r="B3234" s="195" t="s">
        <v>5635</v>
      </c>
      <c r="C3234" s="345">
        <v>20600</v>
      </c>
      <c r="D3234" s="345">
        <f>+C3234*0.85</f>
        <v>17510</v>
      </c>
      <c r="E3234" s="353">
        <f>+C3234+D3234</f>
        <v>38110</v>
      </c>
      <c r="F3234" s="207">
        <v>1.3</v>
      </c>
      <c r="G3234" s="351">
        <f>+E3234/F3234</f>
        <v>29315.384615384613</v>
      </c>
      <c r="H3234" s="134"/>
    </row>
    <row r="3235" spans="1:8" s="140" customFormat="1" x14ac:dyDescent="0.25">
      <c r="B3235" s="155"/>
      <c r="C3235" s="152"/>
      <c r="D3235" s="152"/>
      <c r="E3235" s="152"/>
      <c r="F3235" s="151"/>
      <c r="G3235" s="156"/>
      <c r="H3235" s="134"/>
    </row>
    <row r="3236" spans="1:8" s="140" customFormat="1" x14ac:dyDescent="0.25">
      <c r="B3236" s="155"/>
      <c r="C3236" s="152"/>
      <c r="D3236" s="152"/>
      <c r="E3236" s="152"/>
      <c r="F3236" s="151"/>
      <c r="G3236" s="156"/>
      <c r="H3236" s="134"/>
    </row>
    <row r="3237" spans="1:8" s="140" customFormat="1" ht="13.5" thickBot="1" x14ac:dyDescent="0.3">
      <c r="B3237" s="155"/>
      <c r="C3237" s="152"/>
      <c r="D3237" s="152"/>
      <c r="E3237" s="152"/>
      <c r="F3237" s="151"/>
      <c r="G3237" s="156"/>
      <c r="H3237" s="134"/>
    </row>
    <row r="3238" spans="1:8" s="140" customFormat="1" ht="13.5" thickBot="1" x14ac:dyDescent="0.3">
      <c r="B3238" s="179"/>
      <c r="C3238" s="180"/>
      <c r="D3238" s="180"/>
      <c r="E3238" s="180"/>
      <c r="F3238" s="181"/>
      <c r="G3238" s="182"/>
      <c r="H3238" s="161">
        <f>+SUM(G3232:G3238)</f>
        <v>102425.96153846153</v>
      </c>
    </row>
    <row r="3239" spans="1:8" s="140" customFormat="1" ht="13.5" thickBot="1" x14ac:dyDescent="0.3">
      <c r="F3239" s="141"/>
      <c r="G3239" s="134"/>
      <c r="H3239" s="134"/>
    </row>
    <row r="3240" spans="1:8" s="140" customFormat="1" ht="13.5" thickBot="1" x14ac:dyDescent="0.3">
      <c r="E3240" s="183" t="s">
        <v>5415</v>
      </c>
      <c r="F3240" s="141"/>
      <c r="G3240" s="134"/>
      <c r="H3240" s="161">
        <f>ROUND(+H3205+H3220+H3229+H3238,0)</f>
        <v>293482</v>
      </c>
    </row>
    <row r="3242" spans="1:8" x14ac:dyDescent="0.25">
      <c r="H3242" s="341"/>
    </row>
    <row r="3243" spans="1:8" ht="27" customHeight="1" x14ac:dyDescent="0.25"/>
    <row r="3245" spans="1:8" ht="18.75" x14ac:dyDescent="0.25">
      <c r="A3245" s="133"/>
      <c r="B3245" s="2506" t="s">
        <v>5400</v>
      </c>
      <c r="C3245" s="2506"/>
      <c r="D3245" s="2506"/>
      <c r="E3245" s="2506"/>
      <c r="F3245" s="2506"/>
      <c r="G3245" s="2506"/>
    </row>
    <row r="3246" spans="1:8" x14ac:dyDescent="0.25">
      <c r="A3246" s="133"/>
      <c r="G3246" s="134"/>
    </row>
    <row r="3247" spans="1:8" x14ac:dyDescent="0.25">
      <c r="A3247" s="133"/>
      <c r="G3247" s="134"/>
    </row>
    <row r="3248" spans="1:8" x14ac:dyDescent="0.25">
      <c r="A3248" s="133"/>
      <c r="G3248" s="134"/>
    </row>
    <row r="3249" spans="1:8" s="140" customFormat="1" x14ac:dyDescent="0.25">
      <c r="A3249" s="138" t="s">
        <v>3</v>
      </c>
      <c r="B3249" s="138" t="s">
        <v>171</v>
      </c>
      <c r="C3249" s="2450" t="s">
        <v>166</v>
      </c>
      <c r="D3249" s="2450"/>
      <c r="E3249" s="2450"/>
      <c r="F3249" s="138" t="s">
        <v>867</v>
      </c>
      <c r="G3249" s="139" t="s">
        <v>5454</v>
      </c>
      <c r="H3249" s="134"/>
    </row>
    <row r="3250" spans="1:8" s="140" customFormat="1" ht="24.95" customHeight="1" x14ac:dyDescent="0.25">
      <c r="A3250" s="141"/>
      <c r="F3250" s="141"/>
      <c r="G3250" s="134"/>
      <c r="H3250" s="134"/>
    </row>
    <row r="3251" spans="1:8" s="140" customFormat="1" x14ac:dyDescent="0.25">
      <c r="A3251" s="141"/>
      <c r="F3251" s="141"/>
      <c r="G3251" s="142"/>
      <c r="H3251" s="134"/>
    </row>
    <row r="3252" spans="1:8" s="140" customFormat="1" ht="13.5" thickBot="1" x14ac:dyDescent="0.3">
      <c r="A3252" s="141"/>
      <c r="F3252" s="141"/>
      <c r="G3252" s="134"/>
      <c r="H3252" s="134"/>
    </row>
    <row r="3253" spans="1:8" s="140" customFormat="1" ht="13.5" thickBot="1" x14ac:dyDescent="0.3">
      <c r="A3253" s="141"/>
      <c r="B3253" s="143" t="s">
        <v>5403</v>
      </c>
      <c r="C3253" s="144" t="s">
        <v>867</v>
      </c>
      <c r="D3253" s="144" t="s">
        <v>6</v>
      </c>
      <c r="E3253" s="144" t="s">
        <v>5404</v>
      </c>
      <c r="F3253" s="144" t="s">
        <v>5405</v>
      </c>
      <c r="G3253" s="145" t="s">
        <v>868</v>
      </c>
      <c r="H3253" s="134"/>
    </row>
    <row r="3254" spans="1:8" s="140" customFormat="1" x14ac:dyDescent="0.25">
      <c r="A3254" s="141"/>
      <c r="B3254" s="146" t="s">
        <v>5440</v>
      </c>
      <c r="C3254" s="147" t="s">
        <v>5406</v>
      </c>
      <c r="D3254" s="147"/>
      <c r="E3254" s="148">
        <f>+H3293</f>
        <v>45880</v>
      </c>
      <c r="F3254" s="211">
        <v>0.05</v>
      </c>
      <c r="G3254" s="360">
        <f>+E3254*F3254</f>
        <v>2294</v>
      </c>
      <c r="H3254" s="134"/>
    </row>
    <row r="3255" spans="1:8" s="140" customFormat="1" x14ac:dyDescent="0.25">
      <c r="A3255" s="141"/>
      <c r="B3255" s="150"/>
      <c r="C3255" s="151"/>
      <c r="D3255" s="151"/>
      <c r="E3255" s="366"/>
      <c r="F3255" s="208"/>
      <c r="G3255" s="360"/>
      <c r="H3255" s="134"/>
    </row>
    <row r="3256" spans="1:8" s="140" customFormat="1" x14ac:dyDescent="0.25">
      <c r="A3256" s="141"/>
      <c r="B3256" s="154"/>
      <c r="C3256" s="151"/>
      <c r="D3256" s="151"/>
      <c r="E3256" s="366"/>
      <c r="F3256" s="151"/>
      <c r="G3256" s="360"/>
      <c r="H3256" s="134"/>
    </row>
    <row r="3257" spans="1:8" s="140" customFormat="1" x14ac:dyDescent="0.25">
      <c r="A3257" s="141"/>
      <c r="B3257" s="155"/>
      <c r="C3257" s="151"/>
      <c r="D3257" s="152"/>
      <c r="E3257" s="152"/>
      <c r="F3257" s="151"/>
      <c r="G3257" s="156"/>
      <c r="H3257" s="134"/>
    </row>
    <row r="3258" spans="1:8" s="140" customFormat="1" x14ac:dyDescent="0.25">
      <c r="A3258" s="141"/>
      <c r="B3258" s="155"/>
      <c r="C3258" s="151"/>
      <c r="D3258" s="152"/>
      <c r="E3258" s="152"/>
      <c r="F3258" s="151"/>
      <c r="G3258" s="156"/>
      <c r="H3258" s="134"/>
    </row>
    <row r="3259" spans="1:8" s="140" customFormat="1" ht="13.5" thickBot="1" x14ac:dyDescent="0.3">
      <c r="A3259" s="141"/>
      <c r="B3259" s="155"/>
      <c r="C3259" s="151"/>
      <c r="D3259" s="152"/>
      <c r="E3259" s="152"/>
      <c r="F3259" s="151"/>
      <c r="G3259" s="156"/>
      <c r="H3259" s="134"/>
    </row>
    <row r="3260" spans="1:8" s="140" customFormat="1" ht="13.5" thickBot="1" x14ac:dyDescent="0.3">
      <c r="A3260" s="141"/>
      <c r="B3260" s="157"/>
      <c r="C3260" s="158"/>
      <c r="D3260" s="159"/>
      <c r="E3260" s="159"/>
      <c r="F3260" s="158"/>
      <c r="G3260" s="160"/>
      <c r="H3260" s="161">
        <f>+SUM(G3254:G3260)</f>
        <v>2294</v>
      </c>
    </row>
    <row r="3261" spans="1:8" s="140" customFormat="1" ht="13.5" thickBot="1" x14ac:dyDescent="0.3">
      <c r="A3261" s="141"/>
      <c r="B3261" s="162"/>
      <c r="C3261" s="163"/>
      <c r="D3261" s="162"/>
      <c r="E3261" s="162"/>
      <c r="F3261" s="163"/>
      <c r="G3261" s="164"/>
      <c r="H3261" s="165"/>
    </row>
    <row r="3262" spans="1:8" s="140" customFormat="1" ht="13.5" thickBot="1" x14ac:dyDescent="0.3">
      <c r="B3262" s="143" t="s">
        <v>5408</v>
      </c>
      <c r="C3262" s="144" t="s">
        <v>867</v>
      </c>
      <c r="D3262" s="144" t="s">
        <v>6</v>
      </c>
      <c r="E3262" s="144" t="s">
        <v>870</v>
      </c>
      <c r="F3262" s="144" t="s">
        <v>5409</v>
      </c>
      <c r="G3262" s="145" t="s">
        <v>868</v>
      </c>
      <c r="H3262" s="134"/>
    </row>
    <row r="3263" spans="1:8" s="140" customFormat="1" x14ac:dyDescent="0.25">
      <c r="B3263" s="201" t="s">
        <v>5708</v>
      </c>
      <c r="C3263" s="147" t="s">
        <v>5464</v>
      </c>
      <c r="D3263" s="211">
        <v>1</v>
      </c>
      <c r="E3263" s="366">
        <f>54520/2</f>
        <v>27260</v>
      </c>
      <c r="F3263" s="169">
        <v>0.05</v>
      </c>
      <c r="G3263" s="367">
        <f>+D3263*E3263*(1+F3263)</f>
        <v>28623</v>
      </c>
      <c r="H3263" s="134"/>
    </row>
    <row r="3264" spans="1:8" s="140" customFormat="1" x14ac:dyDescent="0.25">
      <c r="B3264" s="201" t="s">
        <v>5706</v>
      </c>
      <c r="C3264" s="151" t="s">
        <v>5430</v>
      </c>
      <c r="D3264" s="212">
        <v>1</v>
      </c>
      <c r="E3264" s="366">
        <f>+E3208</f>
        <v>60000</v>
      </c>
      <c r="F3264" s="169">
        <v>0.2</v>
      </c>
      <c r="G3264" s="367">
        <f>+D3264*E3264*(1+F3264)</f>
        <v>72000</v>
      </c>
      <c r="H3264" s="134"/>
    </row>
    <row r="3265" spans="2:8" s="140" customFormat="1" x14ac:dyDescent="0.25">
      <c r="B3265" s="196" t="s">
        <v>5740</v>
      </c>
      <c r="C3265" s="151" t="s">
        <v>591</v>
      </c>
      <c r="D3265" s="212">
        <v>2</v>
      </c>
      <c r="E3265" s="366">
        <v>4500</v>
      </c>
      <c r="F3265" s="169">
        <v>0.2</v>
      </c>
      <c r="G3265" s="367">
        <f>+D3265*E3265*(1+F3265)</f>
        <v>10800</v>
      </c>
      <c r="H3265" s="134"/>
    </row>
    <row r="3266" spans="2:8" s="140" customFormat="1" x14ac:dyDescent="0.25">
      <c r="B3266" s="201" t="s">
        <v>6279</v>
      </c>
      <c r="C3266" s="151" t="s">
        <v>14</v>
      </c>
      <c r="D3266" s="212">
        <f>0.3/2/2</f>
        <v>7.4999999999999997E-2</v>
      </c>
      <c r="E3266" s="366">
        <v>56640</v>
      </c>
      <c r="F3266" s="169">
        <v>0.05</v>
      </c>
      <c r="G3266" s="367">
        <f>+D3266*E3266*(1+F3266)</f>
        <v>4460.4000000000005</v>
      </c>
      <c r="H3266" s="134"/>
    </row>
    <row r="3267" spans="2:8" s="140" customFormat="1" x14ac:dyDescent="0.25">
      <c r="B3267" s="155"/>
      <c r="C3267" s="151"/>
      <c r="D3267" s="151"/>
      <c r="E3267" s="148"/>
      <c r="F3267" s="151"/>
      <c r="G3267" s="367"/>
      <c r="H3267" s="134"/>
    </row>
    <row r="3268" spans="2:8" s="140" customFormat="1" x14ac:dyDescent="0.25">
      <c r="B3268" s="155"/>
      <c r="C3268" s="151"/>
      <c r="D3268" s="151"/>
      <c r="E3268" s="148"/>
      <c r="F3268" s="151"/>
      <c r="G3268" s="367"/>
      <c r="H3268" s="134"/>
    </row>
    <row r="3269" spans="2:8" s="140" customFormat="1" x14ac:dyDescent="0.25">
      <c r="B3269" s="155"/>
      <c r="C3269" s="151"/>
      <c r="D3269" s="151"/>
      <c r="E3269" s="148"/>
      <c r="F3269" s="151"/>
      <c r="G3269" s="367"/>
      <c r="H3269" s="134"/>
    </row>
    <row r="3270" spans="2:8" s="140" customFormat="1" x14ac:dyDescent="0.25">
      <c r="B3270" s="155"/>
      <c r="C3270" s="151"/>
      <c r="D3270" s="151"/>
      <c r="E3270" s="148"/>
      <c r="F3270" s="151"/>
      <c r="G3270" s="367"/>
      <c r="H3270" s="134"/>
    </row>
    <row r="3271" spans="2:8" s="140" customFormat="1" x14ac:dyDescent="0.25">
      <c r="B3271" s="155"/>
      <c r="C3271" s="151"/>
      <c r="D3271" s="151"/>
      <c r="E3271" s="148"/>
      <c r="F3271" s="151"/>
      <c r="G3271" s="367"/>
      <c r="H3271" s="134"/>
    </row>
    <row r="3272" spans="2:8" s="140" customFormat="1" x14ac:dyDescent="0.25">
      <c r="B3272" s="155"/>
      <c r="C3272" s="151"/>
      <c r="D3272" s="151"/>
      <c r="E3272" s="148"/>
      <c r="F3272" s="151"/>
      <c r="G3272" s="367"/>
      <c r="H3272" s="134"/>
    </row>
    <row r="3273" spans="2:8" s="140" customFormat="1" x14ac:dyDescent="0.25">
      <c r="B3273" s="155"/>
      <c r="C3273" s="152"/>
      <c r="D3273" s="152"/>
      <c r="E3273" s="152"/>
      <c r="F3273" s="151"/>
      <c r="G3273" s="156"/>
      <c r="H3273" s="134"/>
    </row>
    <row r="3274" spans="2:8" s="140" customFormat="1" ht="13.5" thickBot="1" x14ac:dyDescent="0.3">
      <c r="B3274" s="155"/>
      <c r="C3274" s="152"/>
      <c r="D3274" s="152"/>
      <c r="E3274" s="152"/>
      <c r="F3274" s="151"/>
      <c r="G3274" s="156"/>
      <c r="H3274" s="134"/>
    </row>
    <row r="3275" spans="2:8" s="140" customFormat="1" ht="13.5" thickBot="1" x14ac:dyDescent="0.3">
      <c r="B3275" s="157"/>
      <c r="C3275" s="159"/>
      <c r="D3275" s="159"/>
      <c r="E3275" s="159"/>
      <c r="F3275" s="158"/>
      <c r="G3275" s="160"/>
      <c r="H3275" s="161">
        <f>+SUM(G3263:G3275)</f>
        <v>115883.4</v>
      </c>
    </row>
    <row r="3276" spans="2:8" s="140" customFormat="1" ht="13.5" thickBot="1" x14ac:dyDescent="0.3">
      <c r="B3276" s="162"/>
      <c r="C3276" s="162"/>
      <c r="D3276" s="162"/>
      <c r="E3276" s="162"/>
      <c r="F3276" s="163"/>
      <c r="G3276" s="164"/>
      <c r="H3276" s="165"/>
    </row>
    <row r="3277" spans="2:8" s="140" customFormat="1" ht="13.5" thickBot="1" x14ac:dyDescent="0.3">
      <c r="B3277" s="143" t="s">
        <v>5410</v>
      </c>
      <c r="C3277" s="144" t="s">
        <v>867</v>
      </c>
      <c r="D3277" s="144" t="s">
        <v>6</v>
      </c>
      <c r="E3277" s="144" t="s">
        <v>870</v>
      </c>
      <c r="F3277" s="144" t="s">
        <v>5411</v>
      </c>
      <c r="G3277" s="145" t="s">
        <v>868</v>
      </c>
      <c r="H3277" s="134"/>
    </row>
    <row r="3278" spans="2:8" s="140" customFormat="1" x14ac:dyDescent="0.25">
      <c r="B3278" s="201"/>
      <c r="C3278" s="147"/>
      <c r="D3278" s="211"/>
      <c r="E3278" s="366"/>
      <c r="F3278" s="167"/>
      <c r="G3278" s="367"/>
      <c r="H3278" s="134"/>
    </row>
    <row r="3279" spans="2:8" s="140" customFormat="1" x14ac:dyDescent="0.25">
      <c r="B3279" s="196"/>
      <c r="C3279" s="151"/>
      <c r="D3279" s="212"/>
      <c r="E3279" s="366"/>
      <c r="F3279" s="167"/>
      <c r="G3279" s="367"/>
      <c r="H3279" s="134"/>
    </row>
    <row r="3280" spans="2:8" s="140" customFormat="1" x14ac:dyDescent="0.25">
      <c r="B3280" s="196"/>
      <c r="C3280" s="151"/>
      <c r="D3280" s="151"/>
      <c r="E3280" s="148"/>
      <c r="F3280" s="151"/>
      <c r="G3280" s="367"/>
      <c r="H3280" s="134"/>
    </row>
    <row r="3281" spans="2:8" s="140" customFormat="1" x14ac:dyDescent="0.25">
      <c r="B3281" s="155"/>
      <c r="C3281" s="151"/>
      <c r="D3281" s="151"/>
      <c r="E3281" s="148"/>
      <c r="F3281" s="151"/>
      <c r="G3281" s="367"/>
      <c r="H3281" s="134"/>
    </row>
    <row r="3282" spans="2:8" s="140" customFormat="1" x14ac:dyDescent="0.25">
      <c r="B3282" s="155"/>
      <c r="C3282" s="151"/>
      <c r="D3282" s="151"/>
      <c r="E3282" s="148"/>
      <c r="F3282" s="151"/>
      <c r="G3282" s="367"/>
      <c r="H3282" s="134"/>
    </row>
    <row r="3283" spans="2:8" s="140" customFormat="1" ht="13.5" thickBot="1" x14ac:dyDescent="0.3">
      <c r="B3283" s="155"/>
      <c r="C3283" s="151"/>
      <c r="D3283" s="151"/>
      <c r="E3283" s="148"/>
      <c r="F3283" s="151"/>
      <c r="G3283" s="367"/>
      <c r="H3283" s="134"/>
    </row>
    <row r="3284" spans="2:8" s="140" customFormat="1" ht="13.5" thickBot="1" x14ac:dyDescent="0.3">
      <c r="B3284" s="157"/>
      <c r="C3284" s="159"/>
      <c r="D3284" s="159"/>
      <c r="E3284" s="159"/>
      <c r="F3284" s="158"/>
      <c r="G3284" s="160"/>
      <c r="H3284" s="161">
        <f>+SUM(G3278:G3284)</f>
        <v>0</v>
      </c>
    </row>
    <row r="3285" spans="2:8" s="140" customFormat="1" ht="13.5" thickBot="1" x14ac:dyDescent="0.3">
      <c r="B3285" s="162"/>
      <c r="C3285" s="162"/>
      <c r="D3285" s="162"/>
      <c r="E3285" s="162"/>
      <c r="F3285" s="173"/>
      <c r="G3285" s="174"/>
      <c r="H3285" s="165"/>
    </row>
    <row r="3286" spans="2:8" s="140" customFormat="1" ht="13.5" thickBot="1" x14ac:dyDescent="0.3">
      <c r="B3286" s="143" t="s">
        <v>5412</v>
      </c>
      <c r="C3286" s="144" t="s">
        <v>5420</v>
      </c>
      <c r="D3286" s="144" t="s">
        <v>5421</v>
      </c>
      <c r="E3286" s="144" t="s">
        <v>5413</v>
      </c>
      <c r="F3286" s="144" t="s">
        <v>5405</v>
      </c>
      <c r="G3286" s="145" t="s">
        <v>868</v>
      </c>
      <c r="H3286" s="134"/>
    </row>
    <row r="3287" spans="2:8" s="140" customFormat="1" x14ac:dyDescent="0.25">
      <c r="B3287" s="194" t="s">
        <v>5650</v>
      </c>
      <c r="C3287" s="345">
        <v>70000</v>
      </c>
      <c r="D3287" s="345">
        <f>+C3287*0.85</f>
        <v>59500</v>
      </c>
      <c r="E3287" s="353">
        <f>+C3287+D3287</f>
        <v>129500</v>
      </c>
      <c r="F3287" s="202">
        <v>60</v>
      </c>
      <c r="G3287" s="351">
        <f>+E3287/F3287</f>
        <v>2158.3333333333335</v>
      </c>
      <c r="H3287" s="134"/>
    </row>
    <row r="3288" spans="2:8" s="140" customFormat="1" x14ac:dyDescent="0.25">
      <c r="B3288" s="194" t="s">
        <v>5651</v>
      </c>
      <c r="C3288" s="345">
        <v>40000</v>
      </c>
      <c r="D3288" s="345">
        <f>+C3288*0.85</f>
        <v>34000</v>
      </c>
      <c r="E3288" s="353">
        <f>+C3288+D3288</f>
        <v>74000</v>
      </c>
      <c r="F3288" s="204">
        <v>3</v>
      </c>
      <c r="G3288" s="351">
        <f>+E3288/F3288</f>
        <v>24666.666666666668</v>
      </c>
      <c r="H3288" s="134"/>
    </row>
    <row r="3289" spans="2:8" s="140" customFormat="1" x14ac:dyDescent="0.25">
      <c r="B3289" s="195" t="s">
        <v>5635</v>
      </c>
      <c r="C3289" s="345">
        <v>20600</v>
      </c>
      <c r="D3289" s="345">
        <f>+C3289*0.85</f>
        <v>17510</v>
      </c>
      <c r="E3289" s="353">
        <f>+C3289+D3289</f>
        <v>38110</v>
      </c>
      <c r="F3289" s="205">
        <v>2</v>
      </c>
      <c r="G3289" s="351">
        <f>+E3289/F3289</f>
        <v>19055</v>
      </c>
      <c r="H3289" s="134"/>
    </row>
    <row r="3290" spans="2:8" s="140" customFormat="1" x14ac:dyDescent="0.25">
      <c r="B3290" s="155"/>
      <c r="C3290" s="152"/>
      <c r="D3290" s="152"/>
      <c r="E3290" s="152"/>
      <c r="F3290" s="151"/>
      <c r="G3290" s="156"/>
      <c r="H3290" s="134"/>
    </row>
    <row r="3291" spans="2:8" s="140" customFormat="1" x14ac:dyDescent="0.25">
      <c r="B3291" s="155"/>
      <c r="C3291" s="152"/>
      <c r="D3291" s="152"/>
      <c r="E3291" s="152"/>
      <c r="F3291" s="151"/>
      <c r="G3291" s="156"/>
      <c r="H3291" s="134"/>
    </row>
    <row r="3292" spans="2:8" s="140" customFormat="1" ht="13.5" thickBot="1" x14ac:dyDescent="0.3">
      <c r="B3292" s="155"/>
      <c r="C3292" s="152"/>
      <c r="D3292" s="152"/>
      <c r="E3292" s="152"/>
      <c r="F3292" s="151"/>
      <c r="G3292" s="156"/>
      <c r="H3292" s="134"/>
    </row>
    <row r="3293" spans="2:8" s="140" customFormat="1" ht="13.5" thickBot="1" x14ac:dyDescent="0.3">
      <c r="B3293" s="179"/>
      <c r="C3293" s="180"/>
      <c r="D3293" s="180"/>
      <c r="E3293" s="180"/>
      <c r="F3293" s="181"/>
      <c r="G3293" s="182"/>
      <c r="H3293" s="161">
        <f>+SUM(G3287:G3293)</f>
        <v>45880</v>
      </c>
    </row>
    <row r="3294" spans="2:8" s="140" customFormat="1" ht="13.5" thickBot="1" x14ac:dyDescent="0.3">
      <c r="F3294" s="141"/>
      <c r="G3294" s="134"/>
      <c r="H3294" s="134"/>
    </row>
    <row r="3295" spans="2:8" s="140" customFormat="1" ht="13.5" thickBot="1" x14ac:dyDescent="0.3">
      <c r="E3295" s="183" t="s">
        <v>5415</v>
      </c>
      <c r="F3295" s="141"/>
      <c r="G3295" s="134"/>
      <c r="H3295" s="161">
        <f>ROUND(+H3260+H3275+H3284+H3293,0)</f>
        <v>164057</v>
      </c>
    </row>
    <row r="3297" spans="1:8" x14ac:dyDescent="0.25">
      <c r="H3297" s="341"/>
    </row>
    <row r="3300" spans="1:8" ht="18.75" x14ac:dyDescent="0.25">
      <c r="A3300" s="133"/>
      <c r="B3300" s="2506" t="s">
        <v>5400</v>
      </c>
      <c r="C3300" s="2506"/>
      <c r="D3300" s="2506"/>
      <c r="E3300" s="2506"/>
      <c r="F3300" s="2506"/>
      <c r="G3300" s="2506"/>
    </row>
    <row r="3301" spans="1:8" x14ac:dyDescent="0.25">
      <c r="A3301" s="133"/>
      <c r="G3301" s="134"/>
    </row>
    <row r="3302" spans="1:8" x14ac:dyDescent="0.25">
      <c r="A3302" s="133"/>
      <c r="G3302" s="134"/>
    </row>
    <row r="3303" spans="1:8" x14ac:dyDescent="0.25">
      <c r="A3303" s="133"/>
      <c r="G3303" s="134"/>
    </row>
    <row r="3304" spans="1:8" s="140" customFormat="1" x14ac:dyDescent="0.25">
      <c r="A3304" s="138" t="s">
        <v>3</v>
      </c>
      <c r="B3304" s="138" t="s">
        <v>172</v>
      </c>
      <c r="C3304" s="2450" t="s">
        <v>167</v>
      </c>
      <c r="D3304" s="2450"/>
      <c r="E3304" s="2450"/>
      <c r="F3304" s="138" t="s">
        <v>867</v>
      </c>
      <c r="G3304" s="139" t="s">
        <v>5454</v>
      </c>
      <c r="H3304" s="134"/>
    </row>
    <row r="3305" spans="1:8" s="140" customFormat="1" ht="12.75" customHeight="1" x14ac:dyDescent="0.25">
      <c r="A3305" s="141"/>
      <c r="F3305" s="141"/>
      <c r="G3305" s="134"/>
      <c r="H3305" s="134"/>
    </row>
    <row r="3306" spans="1:8" s="140" customFormat="1" x14ac:dyDescent="0.25">
      <c r="A3306" s="141"/>
      <c r="F3306" s="141"/>
      <c r="G3306" s="142"/>
      <c r="H3306" s="134"/>
    </row>
    <row r="3307" spans="1:8" s="140" customFormat="1" ht="13.5" thickBot="1" x14ac:dyDescent="0.3">
      <c r="A3307" s="141"/>
      <c r="F3307" s="141"/>
      <c r="G3307" s="134"/>
      <c r="H3307" s="134"/>
    </row>
    <row r="3308" spans="1:8" s="140" customFormat="1" ht="13.5" thickBot="1" x14ac:dyDescent="0.3">
      <c r="A3308" s="141"/>
      <c r="B3308" s="143" t="s">
        <v>5403</v>
      </c>
      <c r="C3308" s="144" t="s">
        <v>867</v>
      </c>
      <c r="D3308" s="144" t="s">
        <v>6</v>
      </c>
      <c r="E3308" s="144" t="s">
        <v>5404</v>
      </c>
      <c r="F3308" s="144" t="s">
        <v>5405</v>
      </c>
      <c r="G3308" s="145" t="s">
        <v>868</v>
      </c>
      <c r="H3308" s="134"/>
    </row>
    <row r="3309" spans="1:8" s="140" customFormat="1" x14ac:dyDescent="0.25">
      <c r="A3309" s="141"/>
      <c r="B3309" s="146" t="s">
        <v>5440</v>
      </c>
      <c r="C3309" s="147" t="s">
        <v>5406</v>
      </c>
      <c r="D3309" s="147"/>
      <c r="E3309" s="148">
        <f>+H3348</f>
        <v>89975.294117647063</v>
      </c>
      <c r="F3309" s="211">
        <v>0.1</v>
      </c>
      <c r="G3309" s="360">
        <f>+E3309*F3309</f>
        <v>8997.5294117647063</v>
      </c>
      <c r="H3309" s="134"/>
    </row>
    <row r="3310" spans="1:8" s="140" customFormat="1" ht="12.75" customHeight="1" x14ac:dyDescent="0.25">
      <c r="A3310" s="141"/>
      <c r="B3310" s="150"/>
      <c r="C3310" s="151"/>
      <c r="D3310" s="151"/>
      <c r="E3310" s="366"/>
      <c r="F3310" s="208"/>
      <c r="G3310" s="360"/>
      <c r="H3310" s="134"/>
    </row>
    <row r="3311" spans="1:8" s="140" customFormat="1" ht="12.75" customHeight="1" x14ac:dyDescent="0.25">
      <c r="A3311" s="141"/>
      <c r="B3311" s="154"/>
      <c r="C3311" s="151"/>
      <c r="D3311" s="151"/>
      <c r="E3311" s="366"/>
      <c r="F3311" s="151"/>
      <c r="G3311" s="360"/>
      <c r="H3311" s="134"/>
    </row>
    <row r="3312" spans="1:8" s="140" customFormat="1" ht="12.75" customHeight="1" x14ac:dyDescent="0.25">
      <c r="A3312" s="141"/>
      <c r="B3312" s="155"/>
      <c r="C3312" s="151"/>
      <c r="D3312" s="152"/>
      <c r="E3312" s="152"/>
      <c r="F3312" s="151"/>
      <c r="G3312" s="156"/>
      <c r="H3312" s="134"/>
    </row>
    <row r="3313" spans="1:8" s="140" customFormat="1" x14ac:dyDescent="0.25">
      <c r="A3313" s="141"/>
      <c r="B3313" s="155"/>
      <c r="C3313" s="151"/>
      <c r="D3313" s="152"/>
      <c r="E3313" s="152"/>
      <c r="F3313" s="151"/>
      <c r="G3313" s="156"/>
      <c r="H3313" s="134"/>
    </row>
    <row r="3314" spans="1:8" s="140" customFormat="1" ht="13.5" thickBot="1" x14ac:dyDescent="0.3">
      <c r="A3314" s="141"/>
      <c r="B3314" s="155"/>
      <c r="C3314" s="151"/>
      <c r="D3314" s="152"/>
      <c r="E3314" s="152"/>
      <c r="F3314" s="151"/>
      <c r="G3314" s="156"/>
      <c r="H3314" s="134"/>
    </row>
    <row r="3315" spans="1:8" s="140" customFormat="1" ht="13.5" thickBot="1" x14ac:dyDescent="0.3">
      <c r="A3315" s="141"/>
      <c r="B3315" s="157"/>
      <c r="C3315" s="158"/>
      <c r="D3315" s="159"/>
      <c r="E3315" s="159"/>
      <c r="F3315" s="158"/>
      <c r="G3315" s="160"/>
      <c r="H3315" s="161">
        <f>+SUM(G3309:G3315)</f>
        <v>8997.5294117647063</v>
      </c>
    </row>
    <row r="3316" spans="1:8" s="140" customFormat="1" ht="13.5" thickBot="1" x14ac:dyDescent="0.3">
      <c r="A3316" s="141"/>
      <c r="B3316" s="162"/>
      <c r="C3316" s="163"/>
      <c r="D3316" s="162"/>
      <c r="E3316" s="162"/>
      <c r="F3316" s="163"/>
      <c r="G3316" s="164"/>
      <c r="H3316" s="165"/>
    </row>
    <row r="3317" spans="1:8" s="140" customFormat="1" ht="13.5" thickBot="1" x14ac:dyDescent="0.3">
      <c r="B3317" s="143" t="s">
        <v>5408</v>
      </c>
      <c r="C3317" s="144" t="s">
        <v>867</v>
      </c>
      <c r="D3317" s="144" t="s">
        <v>6</v>
      </c>
      <c r="E3317" s="144" t="s">
        <v>870</v>
      </c>
      <c r="F3317" s="144" t="s">
        <v>5409</v>
      </c>
      <c r="G3317" s="145" t="s">
        <v>868</v>
      </c>
      <c r="H3317" s="134"/>
    </row>
    <row r="3318" spans="1:8" s="140" customFormat="1" x14ac:dyDescent="0.25">
      <c r="B3318" s="201" t="s">
        <v>5709</v>
      </c>
      <c r="C3318" s="147" t="s">
        <v>37</v>
      </c>
      <c r="D3318" s="211">
        <v>0.5</v>
      </c>
      <c r="E3318" s="366">
        <v>20000</v>
      </c>
      <c r="F3318" s="169">
        <v>0</v>
      </c>
      <c r="G3318" s="367">
        <f>+D3318*E3318*(1+F3318)</f>
        <v>10000</v>
      </c>
      <c r="H3318" s="134"/>
    </row>
    <row r="3319" spans="1:8" s="140" customFormat="1" ht="12.75" customHeight="1" x14ac:dyDescent="0.25">
      <c r="B3319" s="196" t="s">
        <v>5707</v>
      </c>
      <c r="C3319" s="151" t="s">
        <v>5430</v>
      </c>
      <c r="D3319" s="212">
        <v>1</v>
      </c>
      <c r="E3319" s="366">
        <f>+'APU CAP 5'!H214</f>
        <v>326392.25</v>
      </c>
      <c r="F3319" s="169">
        <v>0.05</v>
      </c>
      <c r="G3319" s="367">
        <f>+D3319*E3319*(1+F3319)</f>
        <v>342711.86249999999</v>
      </c>
      <c r="H3319" s="134"/>
    </row>
    <row r="3320" spans="1:8" s="140" customFormat="1" x14ac:dyDescent="0.25">
      <c r="B3320" s="196"/>
      <c r="C3320" s="151"/>
      <c r="D3320" s="151"/>
      <c r="E3320" s="366"/>
      <c r="F3320" s="169"/>
      <c r="G3320" s="367"/>
      <c r="H3320" s="134"/>
    </row>
    <row r="3321" spans="1:8" s="140" customFormat="1" x14ac:dyDescent="0.25">
      <c r="B3321" s="155"/>
      <c r="C3321" s="151"/>
      <c r="D3321" s="151"/>
      <c r="E3321" s="366"/>
      <c r="F3321" s="151"/>
      <c r="G3321" s="367"/>
      <c r="H3321" s="134"/>
    </row>
    <row r="3322" spans="1:8" s="140" customFormat="1" x14ac:dyDescent="0.25">
      <c r="B3322" s="155"/>
      <c r="C3322" s="151"/>
      <c r="D3322" s="151"/>
      <c r="E3322" s="148"/>
      <c r="F3322" s="151"/>
      <c r="G3322" s="367"/>
      <c r="H3322" s="134"/>
    </row>
    <row r="3323" spans="1:8" s="140" customFormat="1" x14ac:dyDescent="0.25">
      <c r="B3323" s="155"/>
      <c r="C3323" s="151"/>
      <c r="D3323" s="151"/>
      <c r="E3323" s="148"/>
      <c r="F3323" s="151"/>
      <c r="G3323" s="367"/>
      <c r="H3323" s="134"/>
    </row>
    <row r="3324" spans="1:8" s="140" customFormat="1" x14ac:dyDescent="0.25">
      <c r="B3324" s="155"/>
      <c r="C3324" s="151"/>
      <c r="D3324" s="151"/>
      <c r="E3324" s="148"/>
      <c r="F3324" s="151"/>
      <c r="G3324" s="367"/>
      <c r="H3324" s="134"/>
    </row>
    <row r="3325" spans="1:8" s="140" customFormat="1" x14ac:dyDescent="0.25">
      <c r="B3325" s="155"/>
      <c r="C3325" s="151"/>
      <c r="D3325" s="151"/>
      <c r="E3325" s="148"/>
      <c r="F3325" s="151"/>
      <c r="G3325" s="367"/>
      <c r="H3325" s="134"/>
    </row>
    <row r="3326" spans="1:8" s="140" customFormat="1" x14ac:dyDescent="0.25">
      <c r="B3326" s="155"/>
      <c r="C3326" s="151"/>
      <c r="D3326" s="151"/>
      <c r="E3326" s="148"/>
      <c r="F3326" s="151"/>
      <c r="G3326" s="367"/>
      <c r="H3326" s="134"/>
    </row>
    <row r="3327" spans="1:8" s="140" customFormat="1" x14ac:dyDescent="0.25">
      <c r="B3327" s="155"/>
      <c r="C3327" s="151"/>
      <c r="D3327" s="151"/>
      <c r="E3327" s="148"/>
      <c r="F3327" s="151"/>
      <c r="G3327" s="367"/>
      <c r="H3327" s="134"/>
    </row>
    <row r="3328" spans="1:8" s="140" customFormat="1" x14ac:dyDescent="0.25">
      <c r="B3328" s="155"/>
      <c r="C3328" s="152"/>
      <c r="D3328" s="152"/>
      <c r="E3328" s="152"/>
      <c r="F3328" s="151"/>
      <c r="G3328" s="156"/>
      <c r="H3328" s="134"/>
    </row>
    <row r="3329" spans="2:8" s="140" customFormat="1" ht="13.5" thickBot="1" x14ac:dyDescent="0.3">
      <c r="B3329" s="155"/>
      <c r="C3329" s="152"/>
      <c r="D3329" s="152"/>
      <c r="E3329" s="152"/>
      <c r="F3329" s="151"/>
      <c r="G3329" s="156"/>
      <c r="H3329" s="134"/>
    </row>
    <row r="3330" spans="2:8" s="140" customFormat="1" ht="13.5" thickBot="1" x14ac:dyDescent="0.3">
      <c r="B3330" s="157"/>
      <c r="C3330" s="159"/>
      <c r="D3330" s="159"/>
      <c r="E3330" s="159"/>
      <c r="F3330" s="158"/>
      <c r="G3330" s="160"/>
      <c r="H3330" s="161">
        <f>+SUM(G3318:G3330)</f>
        <v>352711.86249999999</v>
      </c>
    </row>
    <row r="3331" spans="2:8" s="140" customFormat="1" ht="13.5" thickBot="1" x14ac:dyDescent="0.3">
      <c r="B3331" s="162"/>
      <c r="C3331" s="162"/>
      <c r="D3331" s="162"/>
      <c r="E3331" s="162"/>
      <c r="F3331" s="163"/>
      <c r="G3331" s="164"/>
      <c r="H3331" s="165"/>
    </row>
    <row r="3332" spans="2:8" s="140" customFormat="1" ht="13.5" thickBot="1" x14ac:dyDescent="0.3">
      <c r="B3332" s="143" t="s">
        <v>5410</v>
      </c>
      <c r="C3332" s="144" t="s">
        <v>867</v>
      </c>
      <c r="D3332" s="144" t="s">
        <v>6</v>
      </c>
      <c r="E3332" s="144" t="s">
        <v>870</v>
      </c>
      <c r="F3332" s="144" t="s">
        <v>5411</v>
      </c>
      <c r="G3332" s="145" t="s">
        <v>868</v>
      </c>
      <c r="H3332" s="134"/>
    </row>
    <row r="3333" spans="2:8" s="140" customFormat="1" x14ac:dyDescent="0.25">
      <c r="B3333" s="201"/>
      <c r="C3333" s="147"/>
      <c r="D3333" s="211"/>
      <c r="E3333" s="366"/>
      <c r="F3333" s="167"/>
      <c r="G3333" s="367"/>
      <c r="H3333" s="134"/>
    </row>
    <row r="3334" spans="2:8" s="140" customFormat="1" x14ac:dyDescent="0.25">
      <c r="B3334" s="196"/>
      <c r="C3334" s="151"/>
      <c r="D3334" s="151"/>
      <c r="E3334" s="366"/>
      <c r="F3334" s="147"/>
      <c r="G3334" s="367"/>
      <c r="H3334" s="134"/>
    </row>
    <row r="3335" spans="2:8" s="140" customFormat="1" x14ac:dyDescent="0.25">
      <c r="B3335" s="196"/>
      <c r="C3335" s="151"/>
      <c r="D3335" s="151"/>
      <c r="E3335" s="148"/>
      <c r="F3335" s="151"/>
      <c r="G3335" s="367"/>
      <c r="H3335" s="134"/>
    </row>
    <row r="3336" spans="2:8" s="140" customFormat="1" x14ac:dyDescent="0.25">
      <c r="B3336" s="155"/>
      <c r="C3336" s="151"/>
      <c r="D3336" s="151"/>
      <c r="E3336" s="148"/>
      <c r="F3336" s="151"/>
      <c r="G3336" s="367"/>
      <c r="H3336" s="134"/>
    </row>
    <row r="3337" spans="2:8" s="140" customFormat="1" x14ac:dyDescent="0.25">
      <c r="B3337" s="155"/>
      <c r="C3337" s="151"/>
      <c r="D3337" s="151"/>
      <c r="E3337" s="148"/>
      <c r="F3337" s="151"/>
      <c r="G3337" s="367"/>
      <c r="H3337" s="134"/>
    </row>
    <row r="3338" spans="2:8" s="140" customFormat="1" ht="13.5" thickBot="1" x14ac:dyDescent="0.3">
      <c r="B3338" s="155"/>
      <c r="C3338" s="151"/>
      <c r="D3338" s="151"/>
      <c r="E3338" s="148"/>
      <c r="F3338" s="151"/>
      <c r="G3338" s="367"/>
      <c r="H3338" s="134"/>
    </row>
    <row r="3339" spans="2:8" s="140" customFormat="1" ht="13.5" thickBot="1" x14ac:dyDescent="0.3">
      <c r="B3339" s="157"/>
      <c r="C3339" s="159"/>
      <c r="D3339" s="159"/>
      <c r="E3339" s="159"/>
      <c r="F3339" s="158"/>
      <c r="G3339" s="160"/>
      <c r="H3339" s="161">
        <f>+SUM(G3333:G3339)</f>
        <v>0</v>
      </c>
    </row>
    <row r="3340" spans="2:8" s="140" customFormat="1" ht="13.5" thickBot="1" x14ac:dyDescent="0.3">
      <c r="B3340" s="162"/>
      <c r="C3340" s="162"/>
      <c r="D3340" s="162"/>
      <c r="E3340" s="162"/>
      <c r="F3340" s="173"/>
      <c r="G3340" s="174"/>
      <c r="H3340" s="165"/>
    </row>
    <row r="3341" spans="2:8" s="140" customFormat="1" ht="13.5" thickBot="1" x14ac:dyDescent="0.3">
      <c r="B3341" s="143" t="s">
        <v>5412</v>
      </c>
      <c r="C3341" s="144" t="s">
        <v>5420</v>
      </c>
      <c r="D3341" s="144" t="s">
        <v>5421</v>
      </c>
      <c r="E3341" s="144" t="s">
        <v>5413</v>
      </c>
      <c r="F3341" s="144" t="s">
        <v>5405</v>
      </c>
      <c r="G3341" s="145" t="s">
        <v>868</v>
      </c>
      <c r="H3341" s="134"/>
    </row>
    <row r="3342" spans="2:8" s="140" customFormat="1" x14ac:dyDescent="0.25">
      <c r="B3342" s="194" t="s">
        <v>5650</v>
      </c>
      <c r="C3342" s="345">
        <v>70000</v>
      </c>
      <c r="D3342" s="345">
        <f>+C3342*0.85</f>
        <v>59500</v>
      </c>
      <c r="E3342" s="353">
        <f>+C3342+D3342</f>
        <v>129500</v>
      </c>
      <c r="F3342" s="202">
        <v>8.5</v>
      </c>
      <c r="G3342" s="351">
        <f>+E3342/F3342</f>
        <v>15235.294117647059</v>
      </c>
      <c r="H3342" s="134"/>
    </row>
    <row r="3343" spans="2:8" s="140" customFormat="1" x14ac:dyDescent="0.25">
      <c r="B3343" s="194" t="s">
        <v>5651</v>
      </c>
      <c r="C3343" s="345">
        <v>40000</v>
      </c>
      <c r="D3343" s="345">
        <f>+C3343*0.85</f>
        <v>34000</v>
      </c>
      <c r="E3343" s="353">
        <f>+C3343+D3343</f>
        <v>74000</v>
      </c>
      <c r="F3343" s="209">
        <v>1.5</v>
      </c>
      <c r="G3343" s="351">
        <f>+E3343/F3343</f>
        <v>49333.333333333336</v>
      </c>
      <c r="H3343" s="134"/>
    </row>
    <row r="3344" spans="2:8" s="140" customFormat="1" x14ac:dyDescent="0.25">
      <c r="B3344" s="195" t="s">
        <v>5635</v>
      </c>
      <c r="C3344" s="345">
        <v>20600</v>
      </c>
      <c r="D3344" s="345">
        <f>+C3344*0.85</f>
        <v>17510</v>
      </c>
      <c r="E3344" s="353">
        <f>+C3344+D3344</f>
        <v>38110</v>
      </c>
      <c r="F3344" s="207">
        <v>1.5</v>
      </c>
      <c r="G3344" s="351">
        <f>+E3344/F3344</f>
        <v>25406.666666666668</v>
      </c>
      <c r="H3344" s="134"/>
    </row>
    <row r="3345" spans="1:8" s="140" customFormat="1" x14ac:dyDescent="0.25">
      <c r="B3345" s="155"/>
      <c r="C3345" s="152"/>
      <c r="D3345" s="152"/>
      <c r="E3345" s="152"/>
      <c r="F3345" s="151"/>
      <c r="G3345" s="156"/>
      <c r="H3345" s="134"/>
    </row>
    <row r="3346" spans="1:8" s="140" customFormat="1" x14ac:dyDescent="0.25">
      <c r="B3346" s="155"/>
      <c r="C3346" s="152"/>
      <c r="D3346" s="152"/>
      <c r="E3346" s="152"/>
      <c r="F3346" s="151"/>
      <c r="G3346" s="156"/>
      <c r="H3346" s="134"/>
    </row>
    <row r="3347" spans="1:8" s="140" customFormat="1" ht="13.5" thickBot="1" x14ac:dyDescent="0.3">
      <c r="B3347" s="155"/>
      <c r="C3347" s="152"/>
      <c r="D3347" s="152"/>
      <c r="E3347" s="152"/>
      <c r="F3347" s="151"/>
      <c r="G3347" s="156"/>
      <c r="H3347" s="134"/>
    </row>
    <row r="3348" spans="1:8" s="140" customFormat="1" ht="13.5" thickBot="1" x14ac:dyDescent="0.3">
      <c r="B3348" s="179"/>
      <c r="C3348" s="180"/>
      <c r="D3348" s="180"/>
      <c r="E3348" s="180"/>
      <c r="F3348" s="181"/>
      <c r="G3348" s="182"/>
      <c r="H3348" s="161">
        <f>+SUM(G3342:G3348)</f>
        <v>89975.294117647063</v>
      </c>
    </row>
    <row r="3349" spans="1:8" s="140" customFormat="1" ht="13.5" thickBot="1" x14ac:dyDescent="0.3">
      <c r="F3349" s="141"/>
      <c r="G3349" s="134"/>
      <c r="H3349" s="134"/>
    </row>
    <row r="3350" spans="1:8" s="140" customFormat="1" ht="13.5" thickBot="1" x14ac:dyDescent="0.3">
      <c r="E3350" s="183" t="s">
        <v>5415</v>
      </c>
      <c r="F3350" s="141"/>
      <c r="G3350" s="134"/>
      <c r="H3350" s="161">
        <f>ROUND(+H3315+H3330+H3339+H3348,0)</f>
        <v>451685</v>
      </c>
    </row>
    <row r="3352" spans="1:8" x14ac:dyDescent="0.25">
      <c r="H3352" s="341"/>
    </row>
    <row r="3353" spans="1:8" ht="12.75" customHeight="1" x14ac:dyDescent="0.25"/>
    <row r="3355" spans="1:8" ht="18.75" x14ac:dyDescent="0.25">
      <c r="A3355" s="133"/>
      <c r="B3355" s="2506" t="s">
        <v>5400</v>
      </c>
      <c r="C3355" s="2506"/>
      <c r="D3355" s="2506"/>
      <c r="E3355" s="2506"/>
      <c r="F3355" s="2506"/>
      <c r="G3355" s="2506"/>
    </row>
    <row r="3356" spans="1:8" x14ac:dyDescent="0.25">
      <c r="A3356" s="133"/>
      <c r="G3356" s="134"/>
    </row>
    <row r="3357" spans="1:8" x14ac:dyDescent="0.25">
      <c r="A3357" s="133"/>
      <c r="G3357" s="134"/>
    </row>
    <row r="3358" spans="1:8" x14ac:dyDescent="0.25">
      <c r="A3358" s="133"/>
      <c r="G3358" s="134"/>
    </row>
    <row r="3359" spans="1:8" s="140" customFormat="1" x14ac:dyDescent="0.25">
      <c r="A3359" s="138" t="s">
        <v>3</v>
      </c>
      <c r="B3359" s="138" t="s">
        <v>173</v>
      </c>
      <c r="C3359" s="2450" t="s">
        <v>168</v>
      </c>
      <c r="D3359" s="2450"/>
      <c r="E3359" s="2450"/>
      <c r="F3359" s="138" t="s">
        <v>867</v>
      </c>
      <c r="G3359" s="139" t="s">
        <v>5454</v>
      </c>
      <c r="H3359" s="134"/>
    </row>
    <row r="3360" spans="1:8" s="140" customFormat="1" ht="12.75" customHeight="1" x14ac:dyDescent="0.25">
      <c r="A3360" s="141"/>
      <c r="F3360" s="141"/>
      <c r="G3360" s="134"/>
      <c r="H3360" s="134"/>
    </row>
    <row r="3361" spans="1:8" s="140" customFormat="1" x14ac:dyDescent="0.25">
      <c r="A3361" s="141"/>
      <c r="F3361" s="141"/>
      <c r="G3361" s="142"/>
      <c r="H3361" s="134"/>
    </row>
    <row r="3362" spans="1:8" s="140" customFormat="1" ht="13.5" thickBot="1" x14ac:dyDescent="0.3">
      <c r="A3362" s="141"/>
      <c r="F3362" s="141"/>
      <c r="G3362" s="134"/>
      <c r="H3362" s="134"/>
    </row>
    <row r="3363" spans="1:8" s="140" customFormat="1" ht="13.5" thickBot="1" x14ac:dyDescent="0.3">
      <c r="A3363" s="141"/>
      <c r="B3363" s="143" t="s">
        <v>5403</v>
      </c>
      <c r="C3363" s="144" t="s">
        <v>867</v>
      </c>
      <c r="D3363" s="144" t="s">
        <v>6</v>
      </c>
      <c r="E3363" s="144" t="s">
        <v>5404</v>
      </c>
      <c r="F3363" s="144" t="s">
        <v>5405</v>
      </c>
      <c r="G3363" s="145" t="s">
        <v>868</v>
      </c>
      <c r="H3363" s="134"/>
    </row>
    <row r="3364" spans="1:8" s="140" customFormat="1" x14ac:dyDescent="0.25">
      <c r="A3364" s="141"/>
      <c r="B3364" s="146" t="s">
        <v>5440</v>
      </c>
      <c r="C3364" s="147" t="s">
        <v>5406</v>
      </c>
      <c r="D3364" s="147"/>
      <c r="E3364" s="148">
        <f>+H3403</f>
        <v>26738.666666666668</v>
      </c>
      <c r="F3364" s="211">
        <v>0.05</v>
      </c>
      <c r="G3364" s="360">
        <f>+E3364*F3364</f>
        <v>1336.9333333333334</v>
      </c>
      <c r="H3364" s="134"/>
    </row>
    <row r="3365" spans="1:8" s="140" customFormat="1" ht="12.75" customHeight="1" x14ac:dyDescent="0.25">
      <c r="A3365" s="141"/>
      <c r="B3365" s="150"/>
      <c r="C3365" s="151"/>
      <c r="D3365" s="151"/>
      <c r="E3365" s="366"/>
      <c r="F3365" s="208"/>
      <c r="G3365" s="360"/>
      <c r="H3365" s="134"/>
    </row>
    <row r="3366" spans="1:8" s="140" customFormat="1" ht="12.75" customHeight="1" x14ac:dyDescent="0.25">
      <c r="A3366" s="141"/>
      <c r="B3366" s="154"/>
      <c r="C3366" s="151"/>
      <c r="D3366" s="151"/>
      <c r="E3366" s="366"/>
      <c r="F3366" s="151"/>
      <c r="G3366" s="360"/>
      <c r="H3366" s="134"/>
    </row>
    <row r="3367" spans="1:8" s="140" customFormat="1" ht="12.75" customHeight="1" x14ac:dyDescent="0.25">
      <c r="A3367" s="141"/>
      <c r="B3367" s="155"/>
      <c r="C3367" s="151"/>
      <c r="D3367" s="152"/>
      <c r="E3367" s="152"/>
      <c r="F3367" s="151"/>
      <c r="G3367" s="156"/>
      <c r="H3367" s="134"/>
    </row>
    <row r="3368" spans="1:8" s="140" customFormat="1" x14ac:dyDescent="0.25">
      <c r="A3368" s="141"/>
      <c r="B3368" s="155"/>
      <c r="C3368" s="151"/>
      <c r="D3368" s="152"/>
      <c r="E3368" s="152"/>
      <c r="F3368" s="151"/>
      <c r="G3368" s="156"/>
      <c r="H3368" s="134"/>
    </row>
    <row r="3369" spans="1:8" s="140" customFormat="1" ht="13.5" thickBot="1" x14ac:dyDescent="0.3">
      <c r="A3369" s="141"/>
      <c r="B3369" s="155"/>
      <c r="C3369" s="151"/>
      <c r="D3369" s="152"/>
      <c r="E3369" s="152"/>
      <c r="F3369" s="151"/>
      <c r="G3369" s="156"/>
      <c r="H3369" s="134"/>
    </row>
    <row r="3370" spans="1:8" s="140" customFormat="1" ht="13.5" thickBot="1" x14ac:dyDescent="0.3">
      <c r="A3370" s="141"/>
      <c r="B3370" s="157"/>
      <c r="C3370" s="158"/>
      <c r="D3370" s="159"/>
      <c r="E3370" s="159"/>
      <c r="F3370" s="158"/>
      <c r="G3370" s="160"/>
      <c r="H3370" s="161">
        <f>+SUM(G3364:G3370)</f>
        <v>1336.9333333333334</v>
      </c>
    </row>
    <row r="3371" spans="1:8" s="140" customFormat="1" ht="13.5" thickBot="1" x14ac:dyDescent="0.3">
      <c r="A3371" s="141"/>
      <c r="B3371" s="162"/>
      <c r="C3371" s="163"/>
      <c r="D3371" s="162"/>
      <c r="E3371" s="162"/>
      <c r="F3371" s="163"/>
      <c r="G3371" s="164"/>
      <c r="H3371" s="165"/>
    </row>
    <row r="3372" spans="1:8" s="140" customFormat="1" ht="13.5" thickBot="1" x14ac:dyDescent="0.3">
      <c r="B3372" s="143" t="s">
        <v>5408</v>
      </c>
      <c r="C3372" s="144" t="s">
        <v>867</v>
      </c>
      <c r="D3372" s="144" t="s">
        <v>6</v>
      </c>
      <c r="E3372" s="144" t="s">
        <v>870</v>
      </c>
      <c r="F3372" s="144" t="s">
        <v>5409</v>
      </c>
      <c r="G3372" s="145" t="s">
        <v>868</v>
      </c>
      <c r="H3372" s="134"/>
    </row>
    <row r="3373" spans="1:8" s="140" customFormat="1" x14ac:dyDescent="0.25">
      <c r="B3373" s="201" t="s">
        <v>5709</v>
      </c>
      <c r="C3373" s="147" t="s">
        <v>37</v>
      </c>
      <c r="D3373" s="211">
        <v>0.5</v>
      </c>
      <c r="E3373" s="366">
        <v>20000</v>
      </c>
      <c r="F3373" s="169">
        <v>0</v>
      </c>
      <c r="G3373" s="367">
        <f>+D3373*E3373*(1+F3373)</f>
        <v>10000</v>
      </c>
      <c r="H3373" s="134"/>
    </row>
    <row r="3374" spans="1:8" s="140" customFormat="1" ht="12.75" customHeight="1" x14ac:dyDescent="0.25">
      <c r="B3374" s="196" t="s">
        <v>5710</v>
      </c>
      <c r="C3374" s="151" t="s">
        <v>5464</v>
      </c>
      <c r="D3374" s="197">
        <v>1</v>
      </c>
      <c r="E3374" s="366">
        <v>5000</v>
      </c>
      <c r="F3374" s="169">
        <v>0.2</v>
      </c>
      <c r="G3374" s="367">
        <f>+D3374*E3374*(1+F3374)</f>
        <v>6000</v>
      </c>
      <c r="H3374" s="134"/>
    </row>
    <row r="3375" spans="1:8" s="140" customFormat="1" x14ac:dyDescent="0.25">
      <c r="B3375" s="196"/>
      <c r="C3375" s="151"/>
      <c r="D3375" s="151"/>
      <c r="E3375" s="366"/>
      <c r="F3375" s="169"/>
      <c r="G3375" s="367"/>
      <c r="H3375" s="134"/>
    </row>
    <row r="3376" spans="1:8" s="140" customFormat="1" x14ac:dyDescent="0.25">
      <c r="B3376" s="155"/>
      <c r="C3376" s="151"/>
      <c r="D3376" s="151"/>
      <c r="E3376" s="366"/>
      <c r="F3376" s="151"/>
      <c r="G3376" s="367"/>
      <c r="H3376" s="134"/>
    </row>
    <row r="3377" spans="2:8" s="140" customFormat="1" x14ac:dyDescent="0.25">
      <c r="B3377" s="155"/>
      <c r="C3377" s="151"/>
      <c r="D3377" s="151"/>
      <c r="E3377" s="148"/>
      <c r="F3377" s="151"/>
      <c r="G3377" s="367"/>
      <c r="H3377" s="134"/>
    </row>
    <row r="3378" spans="2:8" s="140" customFormat="1" x14ac:dyDescent="0.25">
      <c r="B3378" s="155"/>
      <c r="C3378" s="151"/>
      <c r="D3378" s="151"/>
      <c r="E3378" s="148"/>
      <c r="F3378" s="151"/>
      <c r="G3378" s="367"/>
      <c r="H3378" s="134"/>
    </row>
    <row r="3379" spans="2:8" s="140" customFormat="1" x14ac:dyDescent="0.25">
      <c r="B3379" s="155"/>
      <c r="C3379" s="151"/>
      <c r="D3379" s="151"/>
      <c r="E3379" s="148"/>
      <c r="F3379" s="151"/>
      <c r="G3379" s="367"/>
      <c r="H3379" s="134"/>
    </row>
    <row r="3380" spans="2:8" s="140" customFormat="1" x14ac:dyDescent="0.25">
      <c r="B3380" s="155"/>
      <c r="C3380" s="151"/>
      <c r="D3380" s="151"/>
      <c r="E3380" s="148"/>
      <c r="F3380" s="151"/>
      <c r="G3380" s="367"/>
      <c r="H3380" s="134"/>
    </row>
    <row r="3381" spans="2:8" s="140" customFormat="1" x14ac:dyDescent="0.25">
      <c r="B3381" s="155"/>
      <c r="C3381" s="151"/>
      <c r="D3381" s="151"/>
      <c r="E3381" s="148"/>
      <c r="F3381" s="151"/>
      <c r="G3381" s="367"/>
      <c r="H3381" s="134"/>
    </row>
    <row r="3382" spans="2:8" s="140" customFormat="1" x14ac:dyDescent="0.25">
      <c r="B3382" s="155"/>
      <c r="C3382" s="151"/>
      <c r="D3382" s="151"/>
      <c r="E3382" s="148"/>
      <c r="F3382" s="151"/>
      <c r="G3382" s="367"/>
      <c r="H3382" s="134"/>
    </row>
    <row r="3383" spans="2:8" s="140" customFormat="1" x14ac:dyDescent="0.25">
      <c r="B3383" s="155"/>
      <c r="C3383" s="152"/>
      <c r="D3383" s="152"/>
      <c r="E3383" s="152"/>
      <c r="F3383" s="151"/>
      <c r="G3383" s="156"/>
      <c r="H3383" s="134"/>
    </row>
    <row r="3384" spans="2:8" s="140" customFormat="1" ht="13.5" thickBot="1" x14ac:dyDescent="0.3">
      <c r="B3384" s="155"/>
      <c r="C3384" s="152"/>
      <c r="D3384" s="152"/>
      <c r="E3384" s="152"/>
      <c r="F3384" s="151"/>
      <c r="G3384" s="156"/>
      <c r="H3384" s="134"/>
    </row>
    <row r="3385" spans="2:8" s="140" customFormat="1" ht="13.5" thickBot="1" x14ac:dyDescent="0.3">
      <c r="B3385" s="157"/>
      <c r="C3385" s="159"/>
      <c r="D3385" s="159"/>
      <c r="E3385" s="159"/>
      <c r="F3385" s="158"/>
      <c r="G3385" s="160"/>
      <c r="H3385" s="161">
        <f>+SUM(G3373:G3385)</f>
        <v>16000</v>
      </c>
    </row>
    <row r="3386" spans="2:8" s="140" customFormat="1" ht="13.5" thickBot="1" x14ac:dyDescent="0.3">
      <c r="B3386" s="162"/>
      <c r="C3386" s="162"/>
      <c r="D3386" s="162"/>
      <c r="E3386" s="162"/>
      <c r="F3386" s="163"/>
      <c r="G3386" s="164"/>
      <c r="H3386" s="165"/>
    </row>
    <row r="3387" spans="2:8" s="140" customFormat="1" ht="13.5" thickBot="1" x14ac:dyDescent="0.3">
      <c r="B3387" s="143" t="s">
        <v>5410</v>
      </c>
      <c r="C3387" s="144" t="s">
        <v>867</v>
      </c>
      <c r="D3387" s="144" t="s">
        <v>6</v>
      </c>
      <c r="E3387" s="144" t="s">
        <v>870</v>
      </c>
      <c r="F3387" s="144" t="s">
        <v>5411</v>
      </c>
      <c r="G3387" s="145" t="s">
        <v>868</v>
      </c>
      <c r="H3387" s="134"/>
    </row>
    <row r="3388" spans="2:8" s="140" customFormat="1" x14ac:dyDescent="0.25">
      <c r="B3388" s="201"/>
      <c r="C3388" s="147"/>
      <c r="D3388" s="211"/>
      <c r="E3388" s="366"/>
      <c r="F3388" s="167"/>
      <c r="G3388" s="367"/>
      <c r="H3388" s="134"/>
    </row>
    <row r="3389" spans="2:8" s="140" customFormat="1" x14ac:dyDescent="0.25">
      <c r="B3389" s="196"/>
      <c r="C3389" s="151"/>
      <c r="D3389" s="151"/>
      <c r="E3389" s="366"/>
      <c r="F3389" s="147"/>
      <c r="G3389" s="367"/>
      <c r="H3389" s="134"/>
    </row>
    <row r="3390" spans="2:8" s="140" customFormat="1" x14ac:dyDescent="0.25">
      <c r="B3390" s="196"/>
      <c r="C3390" s="151"/>
      <c r="D3390" s="151"/>
      <c r="E3390" s="148"/>
      <c r="F3390" s="151"/>
      <c r="G3390" s="367"/>
      <c r="H3390" s="134"/>
    </row>
    <row r="3391" spans="2:8" s="140" customFormat="1" x14ac:dyDescent="0.25">
      <c r="B3391" s="155"/>
      <c r="C3391" s="151"/>
      <c r="D3391" s="151"/>
      <c r="E3391" s="148"/>
      <c r="F3391" s="151"/>
      <c r="G3391" s="367"/>
      <c r="H3391" s="134"/>
    </row>
    <row r="3392" spans="2:8" s="140" customFormat="1" x14ac:dyDescent="0.25">
      <c r="B3392" s="155"/>
      <c r="C3392" s="151"/>
      <c r="D3392" s="151"/>
      <c r="E3392" s="148"/>
      <c r="F3392" s="151"/>
      <c r="G3392" s="367"/>
      <c r="H3392" s="134"/>
    </row>
    <row r="3393" spans="2:8" s="140" customFormat="1" ht="13.5" thickBot="1" x14ac:dyDescent="0.3">
      <c r="B3393" s="155"/>
      <c r="C3393" s="151"/>
      <c r="D3393" s="151"/>
      <c r="E3393" s="148"/>
      <c r="F3393" s="151"/>
      <c r="G3393" s="367"/>
      <c r="H3393" s="134"/>
    </row>
    <row r="3394" spans="2:8" s="140" customFormat="1" ht="13.5" thickBot="1" x14ac:dyDescent="0.3">
      <c r="B3394" s="157"/>
      <c r="C3394" s="159"/>
      <c r="D3394" s="159"/>
      <c r="E3394" s="159"/>
      <c r="F3394" s="158"/>
      <c r="G3394" s="160"/>
      <c r="H3394" s="161">
        <f>+SUM(G3388:G3394)</f>
        <v>0</v>
      </c>
    </row>
    <row r="3395" spans="2:8" s="140" customFormat="1" ht="13.5" thickBot="1" x14ac:dyDescent="0.3">
      <c r="B3395" s="162"/>
      <c r="C3395" s="162"/>
      <c r="D3395" s="162"/>
      <c r="E3395" s="162"/>
      <c r="F3395" s="173"/>
      <c r="G3395" s="174"/>
      <c r="H3395" s="165"/>
    </row>
    <row r="3396" spans="2:8" s="140" customFormat="1" ht="13.5" thickBot="1" x14ac:dyDescent="0.3">
      <c r="B3396" s="143" t="s">
        <v>5412</v>
      </c>
      <c r="C3396" s="144" t="s">
        <v>5420</v>
      </c>
      <c r="D3396" s="144" t="s">
        <v>5421</v>
      </c>
      <c r="E3396" s="144" t="s">
        <v>5413</v>
      </c>
      <c r="F3396" s="144" t="s">
        <v>5405</v>
      </c>
      <c r="G3396" s="145" t="s">
        <v>868</v>
      </c>
      <c r="H3396" s="134"/>
    </row>
    <row r="3397" spans="2:8" s="140" customFormat="1" x14ac:dyDescent="0.25">
      <c r="B3397" s="194" t="s">
        <v>5650</v>
      </c>
      <c r="C3397" s="345">
        <v>70000</v>
      </c>
      <c r="D3397" s="345">
        <f>+C3397*0.85</f>
        <v>59500</v>
      </c>
      <c r="E3397" s="353">
        <f>+C3397+D3397</f>
        <v>129500</v>
      </c>
      <c r="F3397" s="202">
        <v>30</v>
      </c>
      <c r="G3397" s="351">
        <f>+E3397/F3397</f>
        <v>4316.666666666667</v>
      </c>
      <c r="H3397" s="134"/>
    </row>
    <row r="3398" spans="2:8" s="140" customFormat="1" x14ac:dyDescent="0.25">
      <c r="B3398" s="194" t="s">
        <v>5651</v>
      </c>
      <c r="C3398" s="345">
        <v>40000</v>
      </c>
      <c r="D3398" s="345">
        <f>+C3398*0.85</f>
        <v>34000</v>
      </c>
      <c r="E3398" s="353">
        <f>+C3398+D3398</f>
        <v>74000</v>
      </c>
      <c r="F3398" s="209">
        <v>5</v>
      </c>
      <c r="G3398" s="351">
        <f>+E3398/F3398</f>
        <v>14800</v>
      </c>
      <c r="H3398" s="134"/>
    </row>
    <row r="3399" spans="2:8" s="140" customFormat="1" x14ac:dyDescent="0.25">
      <c r="B3399" s="195" t="s">
        <v>5635</v>
      </c>
      <c r="C3399" s="345">
        <v>20600</v>
      </c>
      <c r="D3399" s="345">
        <f>+C3399*0.85</f>
        <v>17510</v>
      </c>
      <c r="E3399" s="353">
        <f>+C3399+D3399</f>
        <v>38110</v>
      </c>
      <c r="F3399" s="207">
        <v>5</v>
      </c>
      <c r="G3399" s="351">
        <f>+E3399/F3399</f>
        <v>7622</v>
      </c>
      <c r="H3399" s="134"/>
    </row>
    <row r="3400" spans="2:8" s="140" customFormat="1" x14ac:dyDescent="0.25">
      <c r="B3400" s="155"/>
      <c r="C3400" s="152"/>
      <c r="D3400" s="152"/>
      <c r="E3400" s="152"/>
      <c r="F3400" s="151"/>
      <c r="G3400" s="156"/>
      <c r="H3400" s="134"/>
    </row>
    <row r="3401" spans="2:8" s="140" customFormat="1" x14ac:dyDescent="0.25">
      <c r="B3401" s="155"/>
      <c r="C3401" s="152"/>
      <c r="D3401" s="152"/>
      <c r="E3401" s="152"/>
      <c r="F3401" s="151"/>
      <c r="G3401" s="156"/>
      <c r="H3401" s="134"/>
    </row>
    <row r="3402" spans="2:8" s="140" customFormat="1" ht="13.5" thickBot="1" x14ac:dyDescent="0.3">
      <c r="B3402" s="155"/>
      <c r="C3402" s="152"/>
      <c r="D3402" s="152"/>
      <c r="E3402" s="152"/>
      <c r="F3402" s="151"/>
      <c r="G3402" s="156"/>
      <c r="H3402" s="134"/>
    </row>
    <row r="3403" spans="2:8" s="140" customFormat="1" ht="13.5" thickBot="1" x14ac:dyDescent="0.3">
      <c r="B3403" s="179"/>
      <c r="C3403" s="180"/>
      <c r="D3403" s="180"/>
      <c r="E3403" s="180"/>
      <c r="F3403" s="181"/>
      <c r="G3403" s="182"/>
      <c r="H3403" s="161">
        <f>+SUM(G3397:G3403)</f>
        <v>26738.666666666668</v>
      </c>
    </row>
    <row r="3404" spans="2:8" s="140" customFormat="1" ht="13.5" thickBot="1" x14ac:dyDescent="0.3">
      <c r="F3404" s="141"/>
      <c r="G3404" s="134"/>
      <c r="H3404" s="134"/>
    </row>
    <row r="3405" spans="2:8" s="140" customFormat="1" ht="13.5" thickBot="1" x14ac:dyDescent="0.3">
      <c r="E3405" s="183" t="s">
        <v>5415</v>
      </c>
      <c r="F3405" s="141"/>
      <c r="G3405" s="134"/>
      <c r="H3405" s="161">
        <f>ROUND(+H3370+H3385+H3394+H3403,0)</f>
        <v>44076</v>
      </c>
    </row>
    <row r="3407" spans="2:8" x14ac:dyDescent="0.25">
      <c r="H3407" s="341"/>
    </row>
    <row r="3408" spans="2:8" ht="12.75" customHeight="1" x14ac:dyDescent="0.25"/>
    <row r="3410" spans="1:8" ht="18.75" x14ac:dyDescent="0.25">
      <c r="A3410" s="133"/>
      <c r="B3410" s="2506" t="s">
        <v>5400</v>
      </c>
      <c r="C3410" s="2506"/>
      <c r="D3410" s="2506"/>
      <c r="E3410" s="2506"/>
      <c r="F3410" s="2506"/>
      <c r="G3410" s="2506"/>
    </row>
    <row r="3411" spans="1:8" x14ac:dyDescent="0.25">
      <c r="A3411" s="133"/>
      <c r="G3411" s="134"/>
    </row>
    <row r="3412" spans="1:8" ht="12.75" customHeight="1" x14ac:dyDescent="0.25">
      <c r="A3412" s="133"/>
      <c r="G3412" s="134"/>
    </row>
    <row r="3413" spans="1:8" x14ac:dyDescent="0.25">
      <c r="A3413" s="133"/>
      <c r="G3413" s="134"/>
    </row>
    <row r="3414" spans="1:8" x14ac:dyDescent="0.25">
      <c r="A3414" s="138" t="s">
        <v>3</v>
      </c>
      <c r="B3414" s="138" t="s">
        <v>173</v>
      </c>
      <c r="C3414" s="2450" t="s">
        <v>170</v>
      </c>
      <c r="D3414" s="2450"/>
      <c r="E3414" s="2450"/>
      <c r="F3414" s="138" t="s">
        <v>867</v>
      </c>
      <c r="G3414" s="139" t="s">
        <v>5454</v>
      </c>
      <c r="H3414" s="134"/>
    </row>
    <row r="3415" spans="1:8" ht="12.75" customHeight="1" x14ac:dyDescent="0.25">
      <c r="A3415" s="141"/>
      <c r="B3415" s="140"/>
      <c r="C3415" s="140"/>
      <c r="D3415" s="140"/>
      <c r="E3415" s="140"/>
      <c r="F3415" s="141"/>
      <c r="G3415" s="134"/>
      <c r="H3415" s="134"/>
    </row>
    <row r="3416" spans="1:8" x14ac:dyDescent="0.25">
      <c r="A3416" s="141"/>
      <c r="B3416" s="140"/>
      <c r="C3416" s="140"/>
      <c r="D3416" s="140"/>
      <c r="E3416" s="140"/>
      <c r="F3416" s="141"/>
      <c r="G3416" s="142"/>
      <c r="H3416" s="134"/>
    </row>
    <row r="3417" spans="1:8" ht="13.5" thickBot="1" x14ac:dyDescent="0.3">
      <c r="A3417" s="141"/>
      <c r="B3417" s="140"/>
      <c r="C3417" s="140"/>
      <c r="D3417" s="140"/>
      <c r="E3417" s="140"/>
      <c r="F3417" s="141"/>
      <c r="G3417" s="134"/>
      <c r="H3417" s="134"/>
    </row>
    <row r="3418" spans="1:8" ht="13.5" thickBot="1" x14ac:dyDescent="0.3">
      <c r="A3418" s="141"/>
      <c r="B3418" s="143" t="s">
        <v>5403</v>
      </c>
      <c r="C3418" s="144" t="s">
        <v>867</v>
      </c>
      <c r="D3418" s="144" t="s">
        <v>6</v>
      </c>
      <c r="E3418" s="144" t="s">
        <v>5404</v>
      </c>
      <c r="F3418" s="144" t="s">
        <v>5405</v>
      </c>
      <c r="G3418" s="145" t="s">
        <v>868</v>
      </c>
      <c r="H3418" s="134"/>
    </row>
    <row r="3419" spans="1:8" x14ac:dyDescent="0.25">
      <c r="A3419" s="141"/>
      <c r="B3419" s="146" t="s">
        <v>5440</v>
      </c>
      <c r="C3419" s="147" t="s">
        <v>5406</v>
      </c>
      <c r="D3419" s="147"/>
      <c r="E3419" s="148">
        <f>+H3458</f>
        <v>26738.666666666668</v>
      </c>
      <c r="F3419" s="211">
        <v>0.05</v>
      </c>
      <c r="G3419" s="360">
        <f>+E3419*F3419</f>
        <v>1336.9333333333334</v>
      </c>
      <c r="H3419" s="134"/>
    </row>
    <row r="3420" spans="1:8" ht="12.75" customHeight="1" x14ac:dyDescent="0.25">
      <c r="A3420" s="141"/>
      <c r="B3420" s="150"/>
      <c r="C3420" s="151"/>
      <c r="D3420" s="151"/>
      <c r="E3420" s="366"/>
      <c r="F3420" s="208"/>
      <c r="G3420" s="360"/>
      <c r="H3420" s="134"/>
    </row>
    <row r="3421" spans="1:8" ht="12.75" customHeight="1" x14ac:dyDescent="0.25">
      <c r="A3421" s="141"/>
      <c r="B3421" s="154"/>
      <c r="C3421" s="151"/>
      <c r="D3421" s="151"/>
      <c r="E3421" s="366"/>
      <c r="F3421" s="151"/>
      <c r="G3421" s="360"/>
      <c r="H3421" s="134"/>
    </row>
    <row r="3422" spans="1:8" ht="12.75" customHeight="1" x14ac:dyDescent="0.25">
      <c r="A3422" s="141"/>
      <c r="B3422" s="155"/>
      <c r="C3422" s="151"/>
      <c r="D3422" s="152"/>
      <c r="E3422" s="152"/>
      <c r="F3422" s="151"/>
      <c r="G3422" s="156"/>
      <c r="H3422" s="134"/>
    </row>
    <row r="3423" spans="1:8" x14ac:dyDescent="0.25">
      <c r="A3423" s="141"/>
      <c r="B3423" s="155"/>
      <c r="C3423" s="151"/>
      <c r="D3423" s="152"/>
      <c r="E3423" s="152"/>
      <c r="F3423" s="151"/>
      <c r="G3423" s="156"/>
      <c r="H3423" s="134"/>
    </row>
    <row r="3424" spans="1:8" ht="13.5" thickBot="1" x14ac:dyDescent="0.3">
      <c r="A3424" s="141"/>
      <c r="B3424" s="155"/>
      <c r="C3424" s="151"/>
      <c r="D3424" s="152"/>
      <c r="E3424" s="152"/>
      <c r="F3424" s="151"/>
      <c r="G3424" s="156"/>
      <c r="H3424" s="134"/>
    </row>
    <row r="3425" spans="1:8" ht="13.5" thickBot="1" x14ac:dyDescent="0.3">
      <c r="A3425" s="141"/>
      <c r="B3425" s="157"/>
      <c r="C3425" s="158"/>
      <c r="D3425" s="159"/>
      <c r="E3425" s="159"/>
      <c r="F3425" s="158"/>
      <c r="G3425" s="160"/>
      <c r="H3425" s="161">
        <f>+SUM(G3419:G3425)</f>
        <v>1336.9333333333334</v>
      </c>
    </row>
    <row r="3426" spans="1:8" ht="13.5" thickBot="1" x14ac:dyDescent="0.3">
      <c r="A3426" s="141"/>
      <c r="B3426" s="162"/>
      <c r="C3426" s="163"/>
      <c r="D3426" s="162"/>
      <c r="E3426" s="162"/>
      <c r="F3426" s="163"/>
      <c r="G3426" s="164"/>
      <c r="H3426" s="165"/>
    </row>
    <row r="3427" spans="1:8" ht="13.5" thickBot="1" x14ac:dyDescent="0.3">
      <c r="A3427" s="140"/>
      <c r="B3427" s="143" t="s">
        <v>5408</v>
      </c>
      <c r="C3427" s="144" t="s">
        <v>867</v>
      </c>
      <c r="D3427" s="144" t="s">
        <v>6</v>
      </c>
      <c r="E3427" s="144" t="s">
        <v>870</v>
      </c>
      <c r="F3427" s="144" t="s">
        <v>5409</v>
      </c>
      <c r="G3427" s="145" t="s">
        <v>868</v>
      </c>
      <c r="H3427" s="134"/>
    </row>
    <row r="3428" spans="1:8" x14ac:dyDescent="0.25">
      <c r="A3428" s="140"/>
      <c r="B3428" s="196" t="s">
        <v>5710</v>
      </c>
      <c r="C3428" s="151" t="s">
        <v>5464</v>
      </c>
      <c r="D3428" s="197">
        <v>1</v>
      </c>
      <c r="E3428" s="366">
        <v>5000</v>
      </c>
      <c r="F3428" s="169">
        <v>0.2</v>
      </c>
      <c r="G3428" s="367">
        <f>+D3428*E3428*(1+F3428)</f>
        <v>6000</v>
      </c>
      <c r="H3428" s="134"/>
    </row>
    <row r="3429" spans="1:8" ht="12.75" customHeight="1" x14ac:dyDescent="0.25">
      <c r="A3429" s="140"/>
      <c r="B3429" s="196" t="s">
        <v>5711</v>
      </c>
      <c r="C3429" s="151" t="s">
        <v>17</v>
      </c>
      <c r="D3429" s="197">
        <v>3</v>
      </c>
      <c r="E3429" s="366">
        <v>3994</v>
      </c>
      <c r="F3429" s="169">
        <v>0.2</v>
      </c>
      <c r="G3429" s="367">
        <f>+D3429*E3429*(1+F3429)</f>
        <v>14378.4</v>
      </c>
      <c r="H3429" s="134"/>
    </row>
    <row r="3430" spans="1:8" x14ac:dyDescent="0.25">
      <c r="A3430" s="140"/>
      <c r="B3430" s="196"/>
      <c r="C3430" s="151"/>
      <c r="D3430" s="151"/>
      <c r="E3430" s="366"/>
      <c r="F3430" s="169"/>
      <c r="G3430" s="367"/>
      <c r="H3430" s="134"/>
    </row>
    <row r="3431" spans="1:8" x14ac:dyDescent="0.25">
      <c r="A3431" s="140"/>
      <c r="B3431" s="155"/>
      <c r="C3431" s="151"/>
      <c r="D3431" s="151"/>
      <c r="E3431" s="366"/>
      <c r="F3431" s="151"/>
      <c r="G3431" s="367"/>
      <c r="H3431" s="134"/>
    </row>
    <row r="3432" spans="1:8" x14ac:dyDescent="0.25">
      <c r="A3432" s="140"/>
      <c r="B3432" s="155"/>
      <c r="C3432" s="151"/>
      <c r="D3432" s="151"/>
      <c r="E3432" s="148"/>
      <c r="F3432" s="151"/>
      <c r="G3432" s="367"/>
      <c r="H3432" s="134"/>
    </row>
    <row r="3433" spans="1:8" x14ac:dyDescent="0.25">
      <c r="A3433" s="140"/>
      <c r="B3433" s="155"/>
      <c r="C3433" s="151"/>
      <c r="D3433" s="151"/>
      <c r="E3433" s="148"/>
      <c r="F3433" s="151"/>
      <c r="G3433" s="367"/>
      <c r="H3433" s="134"/>
    </row>
    <row r="3434" spans="1:8" x14ac:dyDescent="0.25">
      <c r="A3434" s="140"/>
      <c r="B3434" s="155"/>
      <c r="C3434" s="151"/>
      <c r="D3434" s="151"/>
      <c r="E3434" s="148"/>
      <c r="F3434" s="151"/>
      <c r="G3434" s="367"/>
      <c r="H3434" s="134"/>
    </row>
    <row r="3435" spans="1:8" x14ac:dyDescent="0.25">
      <c r="A3435" s="140"/>
      <c r="B3435" s="155"/>
      <c r="C3435" s="151"/>
      <c r="D3435" s="151"/>
      <c r="E3435" s="148"/>
      <c r="F3435" s="151"/>
      <c r="G3435" s="367"/>
      <c r="H3435" s="134"/>
    </row>
    <row r="3436" spans="1:8" x14ac:dyDescent="0.25">
      <c r="A3436" s="140"/>
      <c r="B3436" s="155"/>
      <c r="C3436" s="151"/>
      <c r="D3436" s="151"/>
      <c r="E3436" s="148"/>
      <c r="F3436" s="151"/>
      <c r="G3436" s="367"/>
      <c r="H3436" s="134"/>
    </row>
    <row r="3437" spans="1:8" x14ac:dyDescent="0.25">
      <c r="A3437" s="140"/>
      <c r="B3437" s="155"/>
      <c r="C3437" s="151"/>
      <c r="D3437" s="151"/>
      <c r="E3437" s="148"/>
      <c r="F3437" s="151"/>
      <c r="G3437" s="367"/>
      <c r="H3437" s="134"/>
    </row>
    <row r="3438" spans="1:8" x14ac:dyDescent="0.25">
      <c r="A3438" s="140"/>
      <c r="B3438" s="155"/>
      <c r="C3438" s="152"/>
      <c r="D3438" s="152"/>
      <c r="E3438" s="152"/>
      <c r="F3438" s="151"/>
      <c r="G3438" s="156"/>
      <c r="H3438" s="134"/>
    </row>
    <row r="3439" spans="1:8" ht="13.5" thickBot="1" x14ac:dyDescent="0.3">
      <c r="A3439" s="140"/>
      <c r="B3439" s="155"/>
      <c r="C3439" s="152"/>
      <c r="D3439" s="152"/>
      <c r="E3439" s="152"/>
      <c r="F3439" s="151"/>
      <c r="G3439" s="156"/>
      <c r="H3439" s="134"/>
    </row>
    <row r="3440" spans="1:8" ht="13.5" thickBot="1" x14ac:dyDescent="0.3">
      <c r="A3440" s="140"/>
      <c r="B3440" s="157"/>
      <c r="C3440" s="159"/>
      <c r="D3440" s="159"/>
      <c r="E3440" s="159"/>
      <c r="F3440" s="158"/>
      <c r="G3440" s="160"/>
      <c r="H3440" s="161">
        <f>+SUM(G3428:G3440)</f>
        <v>20378.400000000001</v>
      </c>
    </row>
    <row r="3441" spans="1:8" ht="13.5" thickBot="1" x14ac:dyDescent="0.3">
      <c r="A3441" s="140"/>
      <c r="B3441" s="162"/>
      <c r="C3441" s="162"/>
      <c r="D3441" s="162"/>
      <c r="E3441" s="162"/>
      <c r="F3441" s="163"/>
      <c r="G3441" s="164"/>
      <c r="H3441" s="165"/>
    </row>
    <row r="3442" spans="1:8" ht="13.5" thickBot="1" x14ac:dyDescent="0.3">
      <c r="A3442" s="140"/>
      <c r="B3442" s="143" t="s">
        <v>5410</v>
      </c>
      <c r="C3442" s="144" t="s">
        <v>867</v>
      </c>
      <c r="D3442" s="144" t="s">
        <v>6</v>
      </c>
      <c r="E3442" s="144" t="s">
        <v>870</v>
      </c>
      <c r="F3442" s="144" t="s">
        <v>5411</v>
      </c>
      <c r="G3442" s="145" t="s">
        <v>868</v>
      </c>
      <c r="H3442" s="134"/>
    </row>
    <row r="3443" spans="1:8" x14ac:dyDescent="0.25">
      <c r="A3443" s="140"/>
      <c r="B3443" s="201"/>
      <c r="C3443" s="147"/>
      <c r="D3443" s="211"/>
      <c r="E3443" s="366"/>
      <c r="F3443" s="167"/>
      <c r="G3443" s="367"/>
      <c r="H3443" s="134"/>
    </row>
    <row r="3444" spans="1:8" x14ac:dyDescent="0.25">
      <c r="A3444" s="140"/>
      <c r="B3444" s="196"/>
      <c r="C3444" s="151"/>
      <c r="D3444" s="151"/>
      <c r="E3444" s="366"/>
      <c r="F3444" s="147"/>
      <c r="G3444" s="367"/>
      <c r="H3444" s="134"/>
    </row>
    <row r="3445" spans="1:8" x14ac:dyDescent="0.25">
      <c r="A3445" s="140"/>
      <c r="B3445" s="196"/>
      <c r="C3445" s="151"/>
      <c r="D3445" s="151"/>
      <c r="E3445" s="148"/>
      <c r="F3445" s="151"/>
      <c r="G3445" s="367"/>
      <c r="H3445" s="134"/>
    </row>
    <row r="3446" spans="1:8" x14ac:dyDescent="0.25">
      <c r="A3446" s="140"/>
      <c r="B3446" s="155"/>
      <c r="C3446" s="151"/>
      <c r="D3446" s="151"/>
      <c r="E3446" s="148"/>
      <c r="F3446" s="151"/>
      <c r="G3446" s="367"/>
      <c r="H3446" s="134"/>
    </row>
    <row r="3447" spans="1:8" x14ac:dyDescent="0.25">
      <c r="A3447" s="140"/>
      <c r="B3447" s="155"/>
      <c r="C3447" s="151"/>
      <c r="D3447" s="151"/>
      <c r="E3447" s="148"/>
      <c r="F3447" s="151"/>
      <c r="G3447" s="367"/>
      <c r="H3447" s="134"/>
    </row>
    <row r="3448" spans="1:8" ht="13.5" thickBot="1" x14ac:dyDescent="0.3">
      <c r="A3448" s="140"/>
      <c r="B3448" s="155"/>
      <c r="C3448" s="151"/>
      <c r="D3448" s="151"/>
      <c r="E3448" s="148"/>
      <c r="F3448" s="151"/>
      <c r="G3448" s="367"/>
      <c r="H3448" s="134"/>
    </row>
    <row r="3449" spans="1:8" ht="13.5" thickBot="1" x14ac:dyDescent="0.3">
      <c r="A3449" s="140"/>
      <c r="B3449" s="157"/>
      <c r="C3449" s="159"/>
      <c r="D3449" s="159"/>
      <c r="E3449" s="159"/>
      <c r="F3449" s="158"/>
      <c r="G3449" s="160"/>
      <c r="H3449" s="161">
        <f>+SUM(G3443:G3449)</f>
        <v>0</v>
      </c>
    </row>
    <row r="3450" spans="1:8" ht="13.5" thickBot="1" x14ac:dyDescent="0.3">
      <c r="A3450" s="140"/>
      <c r="B3450" s="162"/>
      <c r="C3450" s="162"/>
      <c r="D3450" s="162"/>
      <c r="E3450" s="162"/>
      <c r="F3450" s="173"/>
      <c r="G3450" s="174"/>
      <c r="H3450" s="165"/>
    </row>
    <row r="3451" spans="1:8" ht="13.5" thickBot="1" x14ac:dyDescent="0.3">
      <c r="A3451" s="140"/>
      <c r="B3451" s="143" t="s">
        <v>5412</v>
      </c>
      <c r="C3451" s="144" t="s">
        <v>5420</v>
      </c>
      <c r="D3451" s="144" t="s">
        <v>5421</v>
      </c>
      <c r="E3451" s="144" t="s">
        <v>5413</v>
      </c>
      <c r="F3451" s="144" t="s">
        <v>5405</v>
      </c>
      <c r="G3451" s="145" t="s">
        <v>868</v>
      </c>
      <c r="H3451" s="134"/>
    </row>
    <row r="3452" spans="1:8" x14ac:dyDescent="0.25">
      <c r="A3452" s="140"/>
      <c r="B3452" s="194" t="s">
        <v>5650</v>
      </c>
      <c r="C3452" s="345">
        <v>70000</v>
      </c>
      <c r="D3452" s="345">
        <f>+C3452*0.85</f>
        <v>59500</v>
      </c>
      <c r="E3452" s="353">
        <f>+C3452+D3452</f>
        <v>129500</v>
      </c>
      <c r="F3452" s="202">
        <v>30</v>
      </c>
      <c r="G3452" s="351">
        <f>+E3452/F3452</f>
        <v>4316.666666666667</v>
      </c>
      <c r="H3452" s="134"/>
    </row>
    <row r="3453" spans="1:8" x14ac:dyDescent="0.25">
      <c r="A3453" s="140"/>
      <c r="B3453" s="194" t="s">
        <v>5651</v>
      </c>
      <c r="C3453" s="345">
        <v>40000</v>
      </c>
      <c r="D3453" s="345">
        <f>+C3453*0.85</f>
        <v>34000</v>
      </c>
      <c r="E3453" s="353">
        <f>+C3453+D3453</f>
        <v>74000</v>
      </c>
      <c r="F3453" s="209">
        <v>5</v>
      </c>
      <c r="G3453" s="351">
        <f>+E3453/F3453</f>
        <v>14800</v>
      </c>
      <c r="H3453" s="134"/>
    </row>
    <row r="3454" spans="1:8" x14ac:dyDescent="0.25">
      <c r="A3454" s="140"/>
      <c r="B3454" s="195" t="s">
        <v>5635</v>
      </c>
      <c r="C3454" s="345">
        <v>20600</v>
      </c>
      <c r="D3454" s="345">
        <f>+C3454*0.85</f>
        <v>17510</v>
      </c>
      <c r="E3454" s="353">
        <f>+C3454+D3454</f>
        <v>38110</v>
      </c>
      <c r="F3454" s="207">
        <v>5</v>
      </c>
      <c r="G3454" s="351">
        <f>+E3454/F3454</f>
        <v>7622</v>
      </c>
      <c r="H3454" s="134"/>
    </row>
    <row r="3455" spans="1:8" x14ac:dyDescent="0.25">
      <c r="A3455" s="140"/>
      <c r="B3455" s="155"/>
      <c r="C3455" s="152"/>
      <c r="D3455" s="152"/>
      <c r="E3455" s="152"/>
      <c r="F3455" s="151"/>
      <c r="G3455" s="156"/>
      <c r="H3455" s="134"/>
    </row>
    <row r="3456" spans="1:8" x14ac:dyDescent="0.25">
      <c r="A3456" s="140"/>
      <c r="B3456" s="155"/>
      <c r="C3456" s="152"/>
      <c r="D3456" s="152"/>
      <c r="E3456" s="152"/>
      <c r="F3456" s="151"/>
      <c r="G3456" s="156"/>
      <c r="H3456" s="134"/>
    </row>
    <row r="3457" spans="1:8" ht="13.5" thickBot="1" x14ac:dyDescent="0.3">
      <c r="A3457" s="140"/>
      <c r="B3457" s="155"/>
      <c r="C3457" s="152"/>
      <c r="D3457" s="152"/>
      <c r="E3457" s="152"/>
      <c r="F3457" s="151"/>
      <c r="G3457" s="156"/>
      <c r="H3457" s="134"/>
    </row>
    <row r="3458" spans="1:8" ht="13.5" thickBot="1" x14ac:dyDescent="0.3">
      <c r="A3458" s="140"/>
      <c r="B3458" s="179"/>
      <c r="C3458" s="180"/>
      <c r="D3458" s="180"/>
      <c r="E3458" s="180"/>
      <c r="F3458" s="181"/>
      <c r="G3458" s="182"/>
      <c r="H3458" s="161">
        <f>+SUM(G3452:G3458)</f>
        <v>26738.666666666668</v>
      </c>
    </row>
    <row r="3459" spans="1:8" ht="13.5" thickBot="1" x14ac:dyDescent="0.3">
      <c r="A3459" s="140"/>
      <c r="B3459" s="140"/>
      <c r="C3459" s="140"/>
      <c r="D3459" s="140"/>
      <c r="E3459" s="140"/>
      <c r="F3459" s="141"/>
      <c r="G3459" s="134"/>
      <c r="H3459" s="134"/>
    </row>
    <row r="3460" spans="1:8" ht="13.5" thickBot="1" x14ac:dyDescent="0.3">
      <c r="A3460" s="140"/>
      <c r="B3460" s="140"/>
      <c r="C3460" s="140"/>
      <c r="D3460" s="140"/>
      <c r="E3460" s="183" t="s">
        <v>5415</v>
      </c>
      <c r="F3460" s="141"/>
      <c r="G3460" s="134"/>
      <c r="H3460" s="161">
        <f>ROUND(+H3425+H3440+H3449+H3458,0)</f>
        <v>48454</v>
      </c>
    </row>
    <row r="3462" spans="1:8" x14ac:dyDescent="0.25">
      <c r="B3462" s="8" t="s">
        <v>5981</v>
      </c>
    </row>
    <row r="3463" spans="1:8" ht="12.75" customHeight="1" x14ac:dyDescent="0.25"/>
    <row r="3465" spans="1:8" ht="18.75" x14ac:dyDescent="0.25">
      <c r="A3465" s="133"/>
      <c r="B3465" s="2506" t="s">
        <v>5400</v>
      </c>
      <c r="C3465" s="2506"/>
      <c r="D3465" s="2506"/>
      <c r="E3465" s="2506"/>
      <c r="F3465" s="2506"/>
      <c r="G3465" s="2506"/>
    </row>
    <row r="3466" spans="1:8" x14ac:dyDescent="0.25">
      <c r="A3466" s="133"/>
      <c r="G3466" s="134"/>
    </row>
    <row r="3467" spans="1:8" ht="12.75" customHeight="1" x14ac:dyDescent="0.25">
      <c r="A3467" s="133"/>
      <c r="G3467" s="134"/>
    </row>
    <row r="3468" spans="1:8" x14ac:dyDescent="0.25">
      <c r="A3468" s="133"/>
      <c r="G3468" s="134"/>
    </row>
    <row r="3469" spans="1:8" x14ac:dyDescent="0.25">
      <c r="A3469" s="138" t="s">
        <v>3</v>
      </c>
      <c r="B3469" s="138" t="s">
        <v>173</v>
      </c>
      <c r="C3469" s="2450" t="s">
        <v>5742</v>
      </c>
      <c r="D3469" s="2450"/>
      <c r="E3469" s="2450"/>
      <c r="F3469" s="138" t="s">
        <v>867</v>
      </c>
      <c r="G3469" s="139" t="s">
        <v>5454</v>
      </c>
      <c r="H3469" s="134"/>
    </row>
    <row r="3470" spans="1:8" ht="12.75" customHeight="1" x14ac:dyDescent="0.25">
      <c r="A3470" s="141"/>
      <c r="B3470" s="140"/>
      <c r="C3470" s="140"/>
      <c r="D3470" s="140"/>
      <c r="E3470" s="140"/>
      <c r="F3470" s="141"/>
      <c r="G3470" s="134"/>
      <c r="H3470" s="134"/>
    </row>
    <row r="3471" spans="1:8" x14ac:dyDescent="0.25">
      <c r="A3471" s="141"/>
      <c r="B3471" s="140"/>
      <c r="C3471" s="140"/>
      <c r="D3471" s="140"/>
      <c r="E3471" s="140"/>
      <c r="F3471" s="141"/>
      <c r="G3471" s="142"/>
      <c r="H3471" s="134"/>
    </row>
    <row r="3472" spans="1:8" ht="13.5" thickBot="1" x14ac:dyDescent="0.3">
      <c r="A3472" s="141"/>
      <c r="B3472" s="140"/>
      <c r="C3472" s="140"/>
      <c r="D3472" s="140"/>
      <c r="E3472" s="140"/>
      <c r="F3472" s="141"/>
      <c r="G3472" s="134"/>
      <c r="H3472" s="134"/>
    </row>
    <row r="3473" spans="1:8" ht="13.5" thickBot="1" x14ac:dyDescent="0.3">
      <c r="A3473" s="141"/>
      <c r="B3473" s="143" t="s">
        <v>5403</v>
      </c>
      <c r="C3473" s="144" t="s">
        <v>867</v>
      </c>
      <c r="D3473" s="144" t="s">
        <v>6</v>
      </c>
      <c r="E3473" s="144" t="s">
        <v>5404</v>
      </c>
      <c r="F3473" s="144" t="s">
        <v>5405</v>
      </c>
      <c r="G3473" s="145" t="s">
        <v>868</v>
      </c>
      <c r="H3473" s="134"/>
    </row>
    <row r="3474" spans="1:8" x14ac:dyDescent="0.25">
      <c r="A3474" s="141"/>
      <c r="B3474" s="146" t="s">
        <v>5440</v>
      </c>
      <c r="C3474" s="147" t="s">
        <v>5406</v>
      </c>
      <c r="D3474" s="147"/>
      <c r="E3474" s="148">
        <f>+H3513</f>
        <v>10992.083333333332</v>
      </c>
      <c r="F3474" s="211">
        <v>0.05</v>
      </c>
      <c r="G3474" s="360">
        <f>+E3474*F3474</f>
        <v>549.60416666666663</v>
      </c>
      <c r="H3474" s="134"/>
    </row>
    <row r="3475" spans="1:8" x14ac:dyDescent="0.25">
      <c r="A3475" s="141"/>
      <c r="B3475" s="150"/>
      <c r="C3475" s="151"/>
      <c r="D3475" s="151"/>
      <c r="E3475" s="366"/>
      <c r="F3475" s="208"/>
      <c r="G3475" s="360"/>
      <c r="H3475" s="134"/>
    </row>
    <row r="3476" spans="1:8" x14ac:dyDescent="0.25">
      <c r="A3476" s="141"/>
      <c r="B3476" s="154"/>
      <c r="C3476" s="151"/>
      <c r="D3476" s="151"/>
      <c r="E3476" s="366"/>
      <c r="F3476" s="151"/>
      <c r="G3476" s="360"/>
      <c r="H3476" s="134"/>
    </row>
    <row r="3477" spans="1:8" x14ac:dyDescent="0.25">
      <c r="A3477" s="141"/>
      <c r="B3477" s="155"/>
      <c r="C3477" s="151"/>
      <c r="D3477" s="152"/>
      <c r="E3477" s="152"/>
      <c r="F3477" s="151"/>
      <c r="G3477" s="156"/>
      <c r="H3477" s="134"/>
    </row>
    <row r="3478" spans="1:8" x14ac:dyDescent="0.25">
      <c r="A3478" s="141"/>
      <c r="B3478" s="155"/>
      <c r="C3478" s="151"/>
      <c r="D3478" s="152"/>
      <c r="E3478" s="152"/>
      <c r="F3478" s="151"/>
      <c r="G3478" s="156"/>
      <c r="H3478" s="134"/>
    </row>
    <row r="3479" spans="1:8" ht="13.5" thickBot="1" x14ac:dyDescent="0.3">
      <c r="A3479" s="141"/>
      <c r="B3479" s="155"/>
      <c r="C3479" s="151"/>
      <c r="D3479" s="152"/>
      <c r="E3479" s="152"/>
      <c r="F3479" s="151"/>
      <c r="G3479" s="156"/>
      <c r="H3479" s="134"/>
    </row>
    <row r="3480" spans="1:8" ht="13.5" thickBot="1" x14ac:dyDescent="0.3">
      <c r="A3480" s="141"/>
      <c r="B3480" s="157"/>
      <c r="C3480" s="158"/>
      <c r="D3480" s="159"/>
      <c r="E3480" s="159"/>
      <c r="F3480" s="158"/>
      <c r="G3480" s="160"/>
      <c r="H3480" s="161">
        <f>+SUM(G3474:G3480)</f>
        <v>549.60416666666663</v>
      </c>
    </row>
    <row r="3481" spans="1:8" ht="13.5" thickBot="1" x14ac:dyDescent="0.3">
      <c r="A3481" s="141"/>
      <c r="B3481" s="162"/>
      <c r="C3481" s="163"/>
      <c r="D3481" s="162"/>
      <c r="E3481" s="162"/>
      <c r="F3481" s="163"/>
      <c r="G3481" s="164"/>
      <c r="H3481" s="165"/>
    </row>
    <row r="3482" spans="1:8" ht="13.5" thickBot="1" x14ac:dyDescent="0.3">
      <c r="A3482" s="140"/>
      <c r="B3482" s="143" t="s">
        <v>5408</v>
      </c>
      <c r="C3482" s="144" t="s">
        <v>867</v>
      </c>
      <c r="D3482" s="144" t="s">
        <v>6</v>
      </c>
      <c r="E3482" s="144" t="s">
        <v>870</v>
      </c>
      <c r="F3482" s="144" t="s">
        <v>5409</v>
      </c>
      <c r="G3482" s="145" t="s">
        <v>868</v>
      </c>
      <c r="H3482" s="134"/>
    </row>
    <row r="3483" spans="1:8" x14ac:dyDescent="0.25">
      <c r="A3483" s="140"/>
      <c r="B3483" s="201" t="s">
        <v>5715</v>
      </c>
      <c r="C3483" s="147" t="s">
        <v>14</v>
      </c>
      <c r="D3483" s="211">
        <v>1</v>
      </c>
      <c r="E3483" s="366">
        <f>14148*1.16</f>
        <v>16411.68</v>
      </c>
      <c r="F3483" s="169">
        <v>0.05</v>
      </c>
      <c r="G3483" s="367">
        <f>+D3483*E3483*(1+F3483)</f>
        <v>17232.264000000003</v>
      </c>
      <c r="H3483" s="134"/>
    </row>
    <row r="3484" spans="1:8" x14ac:dyDescent="0.25">
      <c r="A3484" s="140"/>
      <c r="B3484" s="196" t="s">
        <v>5714</v>
      </c>
      <c r="C3484" s="151" t="s">
        <v>37</v>
      </c>
      <c r="D3484" s="197">
        <v>0.02</v>
      </c>
      <c r="E3484" s="366">
        <f>2427*1.16</f>
        <v>2815.3199999999997</v>
      </c>
      <c r="F3484" s="169">
        <v>0.05</v>
      </c>
      <c r="G3484" s="367">
        <f>+D3484*E3484*(1+F3484)</f>
        <v>59.121719999999996</v>
      </c>
      <c r="H3484" s="134"/>
    </row>
    <row r="3485" spans="1:8" x14ac:dyDescent="0.25">
      <c r="A3485" s="140"/>
      <c r="B3485" s="196" t="s">
        <v>5712</v>
      </c>
      <c r="C3485" s="151" t="s">
        <v>5464</v>
      </c>
      <c r="D3485" s="197">
        <v>0.25</v>
      </c>
      <c r="E3485" s="366">
        <v>80000</v>
      </c>
      <c r="F3485" s="169">
        <v>0.2</v>
      </c>
      <c r="G3485" s="367">
        <f>+D3485*E3485*(1+F3485)</f>
        <v>24000</v>
      </c>
      <c r="H3485" s="134"/>
    </row>
    <row r="3486" spans="1:8" x14ac:dyDescent="0.25">
      <c r="A3486" s="140"/>
      <c r="B3486" s="196" t="s">
        <v>5713</v>
      </c>
      <c r="C3486" s="151" t="s">
        <v>17</v>
      </c>
      <c r="D3486" s="197">
        <v>2</v>
      </c>
      <c r="E3486" s="366">
        <v>3994</v>
      </c>
      <c r="F3486" s="169">
        <v>0.05</v>
      </c>
      <c r="G3486" s="367">
        <f>+D3486*E3486*(1+F3486)</f>
        <v>8387.4</v>
      </c>
      <c r="H3486" s="134"/>
    </row>
    <row r="3487" spans="1:8" x14ac:dyDescent="0.25">
      <c r="A3487" s="140"/>
      <c r="B3487" s="155"/>
      <c r="C3487" s="151"/>
      <c r="D3487" s="151"/>
      <c r="E3487" s="148"/>
      <c r="F3487" s="151"/>
      <c r="G3487" s="367"/>
      <c r="H3487" s="134"/>
    </row>
    <row r="3488" spans="1:8" x14ac:dyDescent="0.25">
      <c r="A3488" s="140"/>
      <c r="B3488" s="155"/>
      <c r="C3488" s="151"/>
      <c r="D3488" s="151"/>
      <c r="E3488" s="148"/>
      <c r="F3488" s="151"/>
      <c r="G3488" s="367"/>
      <c r="H3488" s="134"/>
    </row>
    <row r="3489" spans="1:8" x14ac:dyDescent="0.25">
      <c r="A3489" s="140"/>
      <c r="B3489" s="155"/>
      <c r="C3489" s="151"/>
      <c r="D3489" s="151"/>
      <c r="E3489" s="148"/>
      <c r="F3489" s="151"/>
      <c r="G3489" s="367"/>
      <c r="H3489" s="134"/>
    </row>
    <row r="3490" spans="1:8" x14ac:dyDescent="0.25">
      <c r="A3490" s="140"/>
      <c r="B3490" s="155"/>
      <c r="C3490" s="151"/>
      <c r="D3490" s="151"/>
      <c r="E3490" s="148"/>
      <c r="F3490" s="151"/>
      <c r="G3490" s="367"/>
      <c r="H3490" s="134"/>
    </row>
    <row r="3491" spans="1:8" x14ac:dyDescent="0.25">
      <c r="A3491" s="140"/>
      <c r="B3491" s="155"/>
      <c r="C3491" s="151"/>
      <c r="D3491" s="151"/>
      <c r="E3491" s="148"/>
      <c r="F3491" s="151"/>
      <c r="G3491" s="367"/>
      <c r="H3491" s="134"/>
    </row>
    <row r="3492" spans="1:8" x14ac:dyDescent="0.25">
      <c r="A3492" s="140"/>
      <c r="B3492" s="155"/>
      <c r="C3492" s="151"/>
      <c r="D3492" s="151"/>
      <c r="E3492" s="148"/>
      <c r="F3492" s="151"/>
      <c r="G3492" s="367"/>
      <c r="H3492" s="134"/>
    </row>
    <row r="3493" spans="1:8" x14ac:dyDescent="0.25">
      <c r="A3493" s="140"/>
      <c r="B3493" s="155"/>
      <c r="C3493" s="152"/>
      <c r="D3493" s="152"/>
      <c r="E3493" s="152"/>
      <c r="F3493" s="151"/>
      <c r="G3493" s="156"/>
      <c r="H3493" s="134"/>
    </row>
    <row r="3494" spans="1:8" ht="13.5" thickBot="1" x14ac:dyDescent="0.3">
      <c r="A3494" s="140"/>
      <c r="B3494" s="155"/>
      <c r="C3494" s="152"/>
      <c r="D3494" s="152"/>
      <c r="E3494" s="152"/>
      <c r="F3494" s="151"/>
      <c r="G3494" s="156"/>
      <c r="H3494" s="134"/>
    </row>
    <row r="3495" spans="1:8" ht="13.5" thickBot="1" x14ac:dyDescent="0.3">
      <c r="A3495" s="140"/>
      <c r="B3495" s="157"/>
      <c r="C3495" s="159"/>
      <c r="D3495" s="159"/>
      <c r="E3495" s="159"/>
      <c r="F3495" s="158"/>
      <c r="G3495" s="160"/>
      <c r="H3495" s="161">
        <f>+SUM(G3483:G3495)</f>
        <v>49678.785720000007</v>
      </c>
    </row>
    <row r="3496" spans="1:8" ht="13.5" thickBot="1" x14ac:dyDescent="0.3">
      <c r="A3496" s="140"/>
      <c r="B3496" s="162"/>
      <c r="C3496" s="162"/>
      <c r="D3496" s="162"/>
      <c r="E3496" s="162"/>
      <c r="F3496" s="163"/>
      <c r="G3496" s="164"/>
      <c r="H3496" s="165"/>
    </row>
    <row r="3497" spans="1:8" ht="13.5" thickBot="1" x14ac:dyDescent="0.3">
      <c r="A3497" s="140"/>
      <c r="B3497" s="143" t="s">
        <v>5410</v>
      </c>
      <c r="C3497" s="144" t="s">
        <v>867</v>
      </c>
      <c r="D3497" s="144" t="s">
        <v>6</v>
      </c>
      <c r="E3497" s="144" t="s">
        <v>870</v>
      </c>
      <c r="F3497" s="144" t="s">
        <v>5411</v>
      </c>
      <c r="G3497" s="145" t="s">
        <v>868</v>
      </c>
      <c r="H3497" s="134"/>
    </row>
    <row r="3498" spans="1:8" x14ac:dyDescent="0.25">
      <c r="A3498" s="140"/>
      <c r="B3498" s="201"/>
      <c r="C3498" s="147"/>
      <c r="D3498" s="211"/>
      <c r="E3498" s="366"/>
      <c r="F3498" s="167"/>
      <c r="G3498" s="367"/>
      <c r="H3498" s="134"/>
    </row>
    <row r="3499" spans="1:8" x14ac:dyDescent="0.25">
      <c r="A3499" s="140"/>
      <c r="B3499" s="196"/>
      <c r="C3499" s="151"/>
      <c r="D3499" s="151"/>
      <c r="E3499" s="366"/>
      <c r="F3499" s="147"/>
      <c r="G3499" s="367"/>
      <c r="H3499" s="134"/>
    </row>
    <row r="3500" spans="1:8" x14ac:dyDescent="0.25">
      <c r="A3500" s="140"/>
      <c r="B3500" s="196"/>
      <c r="C3500" s="151"/>
      <c r="D3500" s="151"/>
      <c r="E3500" s="148"/>
      <c r="F3500" s="151"/>
      <c r="G3500" s="367"/>
      <c r="H3500" s="134"/>
    </row>
    <row r="3501" spans="1:8" x14ac:dyDescent="0.25">
      <c r="A3501" s="140"/>
      <c r="B3501" s="155"/>
      <c r="C3501" s="151"/>
      <c r="D3501" s="151"/>
      <c r="E3501" s="148"/>
      <c r="F3501" s="151"/>
      <c r="G3501" s="367"/>
      <c r="H3501" s="134"/>
    </row>
    <row r="3502" spans="1:8" x14ac:dyDescent="0.25">
      <c r="A3502" s="140"/>
      <c r="B3502" s="155"/>
      <c r="C3502" s="151"/>
      <c r="D3502" s="151"/>
      <c r="E3502" s="148"/>
      <c r="F3502" s="151"/>
      <c r="G3502" s="367"/>
      <c r="H3502" s="134"/>
    </row>
    <row r="3503" spans="1:8" ht="13.5" thickBot="1" x14ac:dyDescent="0.3">
      <c r="A3503" s="140"/>
      <c r="B3503" s="155"/>
      <c r="C3503" s="151"/>
      <c r="D3503" s="151"/>
      <c r="E3503" s="148"/>
      <c r="F3503" s="151"/>
      <c r="G3503" s="367"/>
      <c r="H3503" s="134"/>
    </row>
    <row r="3504" spans="1:8" ht="13.5" thickBot="1" x14ac:dyDescent="0.3">
      <c r="A3504" s="140"/>
      <c r="B3504" s="157"/>
      <c r="C3504" s="159"/>
      <c r="D3504" s="159"/>
      <c r="E3504" s="159"/>
      <c r="F3504" s="158"/>
      <c r="G3504" s="160"/>
      <c r="H3504" s="161">
        <f>+SUM(G3498:G3504)</f>
        <v>0</v>
      </c>
    </row>
    <row r="3505" spans="1:8" ht="13.5" thickBot="1" x14ac:dyDescent="0.3">
      <c r="A3505" s="140"/>
      <c r="B3505" s="162"/>
      <c r="C3505" s="162"/>
      <c r="D3505" s="162"/>
      <c r="E3505" s="162"/>
      <c r="F3505" s="173"/>
      <c r="G3505" s="174"/>
      <c r="H3505" s="165"/>
    </row>
    <row r="3506" spans="1:8" ht="13.5" thickBot="1" x14ac:dyDescent="0.3">
      <c r="A3506" s="140"/>
      <c r="B3506" s="143" t="s">
        <v>5412</v>
      </c>
      <c r="C3506" s="144" t="s">
        <v>5420</v>
      </c>
      <c r="D3506" s="144" t="s">
        <v>5421</v>
      </c>
      <c r="E3506" s="144" t="s">
        <v>5413</v>
      </c>
      <c r="F3506" s="144" t="s">
        <v>5405</v>
      </c>
      <c r="G3506" s="145" t="s">
        <v>868</v>
      </c>
      <c r="H3506" s="134"/>
    </row>
    <row r="3507" spans="1:8" x14ac:dyDescent="0.25">
      <c r="A3507" s="140"/>
      <c r="B3507" s="194" t="s">
        <v>5650</v>
      </c>
      <c r="C3507" s="345">
        <v>70000</v>
      </c>
      <c r="D3507" s="345">
        <f>+C3507*0.85</f>
        <v>59500</v>
      </c>
      <c r="E3507" s="353">
        <f>+C3507+D3507</f>
        <v>129500</v>
      </c>
      <c r="F3507" s="204">
        <v>100</v>
      </c>
      <c r="G3507" s="351">
        <f>+E3507/F3507</f>
        <v>1295</v>
      </c>
      <c r="H3507" s="134"/>
    </row>
    <row r="3508" spans="1:8" x14ac:dyDescent="0.25">
      <c r="A3508" s="140"/>
      <c r="B3508" s="194" t="s">
        <v>5651</v>
      </c>
      <c r="C3508" s="345">
        <v>40000</v>
      </c>
      <c r="D3508" s="345">
        <f>+C3508*0.85</f>
        <v>34000</v>
      </c>
      <c r="E3508" s="353">
        <f>+C3508+D3508</f>
        <v>74000</v>
      </c>
      <c r="F3508" s="204">
        <v>15</v>
      </c>
      <c r="G3508" s="351">
        <f>+E3508/F3508</f>
        <v>4933.333333333333</v>
      </c>
      <c r="H3508" s="134"/>
    </row>
    <row r="3509" spans="1:8" x14ac:dyDescent="0.25">
      <c r="A3509" s="140"/>
      <c r="B3509" s="195" t="s">
        <v>5635</v>
      </c>
      <c r="C3509" s="345">
        <v>20600</v>
      </c>
      <c r="D3509" s="345">
        <f>+C3509*0.85</f>
        <v>17510</v>
      </c>
      <c r="E3509" s="353">
        <f>+C3509+D3509</f>
        <v>38110</v>
      </c>
      <c r="F3509" s="205">
        <v>8</v>
      </c>
      <c r="G3509" s="351">
        <f>+E3509/F3509</f>
        <v>4763.75</v>
      </c>
      <c r="H3509" s="134"/>
    </row>
    <row r="3510" spans="1:8" x14ac:dyDescent="0.25">
      <c r="A3510" s="140"/>
      <c r="B3510" s="155"/>
      <c r="C3510" s="152"/>
      <c r="D3510" s="152"/>
      <c r="E3510" s="152"/>
      <c r="F3510" s="151"/>
      <c r="G3510" s="156"/>
      <c r="H3510" s="134"/>
    </row>
    <row r="3511" spans="1:8" x14ac:dyDescent="0.25">
      <c r="A3511" s="140"/>
      <c r="B3511" s="155"/>
      <c r="C3511" s="152"/>
      <c r="D3511" s="152"/>
      <c r="E3511" s="152"/>
      <c r="F3511" s="151"/>
      <c r="G3511" s="156"/>
      <c r="H3511" s="134"/>
    </row>
    <row r="3512" spans="1:8" ht="13.5" thickBot="1" x14ac:dyDescent="0.3">
      <c r="A3512" s="140"/>
      <c r="B3512" s="155"/>
      <c r="C3512" s="152"/>
      <c r="D3512" s="152"/>
      <c r="E3512" s="152"/>
      <c r="F3512" s="151"/>
      <c r="G3512" s="156"/>
      <c r="H3512" s="134"/>
    </row>
    <row r="3513" spans="1:8" ht="13.5" thickBot="1" x14ac:dyDescent="0.3">
      <c r="A3513" s="140"/>
      <c r="B3513" s="179"/>
      <c r="C3513" s="180"/>
      <c r="D3513" s="180"/>
      <c r="E3513" s="180"/>
      <c r="F3513" s="181"/>
      <c r="G3513" s="182"/>
      <c r="H3513" s="161">
        <f>+SUM(G3507:G3513)</f>
        <v>10992.083333333332</v>
      </c>
    </row>
    <row r="3514" spans="1:8" ht="13.5" thickBot="1" x14ac:dyDescent="0.3">
      <c r="A3514" s="140"/>
      <c r="B3514" s="140"/>
      <c r="C3514" s="140"/>
      <c r="D3514" s="140"/>
      <c r="E3514" s="140"/>
      <c r="F3514" s="141"/>
      <c r="G3514" s="134"/>
      <c r="H3514" s="134"/>
    </row>
    <row r="3515" spans="1:8" ht="13.5" thickBot="1" x14ac:dyDescent="0.3">
      <c r="A3515" s="140"/>
      <c r="B3515" s="140"/>
      <c r="C3515" s="140"/>
      <c r="D3515" s="140"/>
      <c r="E3515" s="183" t="s">
        <v>5415</v>
      </c>
      <c r="F3515" s="141"/>
      <c r="G3515" s="134"/>
      <c r="H3515" s="161">
        <f>ROUND(+H3480+H3495+H3504+H3513,0)</f>
        <v>61220</v>
      </c>
    </row>
    <row r="3520" spans="1:8" ht="18.75" x14ac:dyDescent="0.25">
      <c r="A3520" s="133"/>
      <c r="B3520" s="2506" t="s">
        <v>5400</v>
      </c>
      <c r="C3520" s="2506"/>
      <c r="D3520" s="2506"/>
      <c r="E3520" s="2506"/>
      <c r="F3520" s="2506"/>
      <c r="G3520" s="2506"/>
    </row>
    <row r="3521" spans="1:8" x14ac:dyDescent="0.25">
      <c r="A3521" s="133"/>
      <c r="G3521" s="134"/>
    </row>
    <row r="3522" spans="1:8" ht="12.75" customHeight="1" x14ac:dyDescent="0.25">
      <c r="A3522" s="133"/>
      <c r="G3522" s="134"/>
    </row>
    <row r="3523" spans="1:8" x14ac:dyDescent="0.25">
      <c r="A3523" s="133"/>
      <c r="G3523" s="134"/>
    </row>
    <row r="3524" spans="1:8" x14ac:dyDescent="0.25">
      <c r="A3524" s="138" t="s">
        <v>3</v>
      </c>
      <c r="B3524" s="138" t="s">
        <v>173</v>
      </c>
      <c r="C3524" s="2450" t="s">
        <v>5743</v>
      </c>
      <c r="D3524" s="2450"/>
      <c r="E3524" s="2450"/>
      <c r="F3524" s="138" t="s">
        <v>867</v>
      </c>
      <c r="G3524" s="139" t="s">
        <v>5454</v>
      </c>
      <c r="H3524" s="134"/>
    </row>
    <row r="3525" spans="1:8" ht="12.75" customHeight="1" x14ac:dyDescent="0.25">
      <c r="A3525" s="141"/>
      <c r="B3525" s="140"/>
      <c r="C3525" s="140"/>
      <c r="D3525" s="140"/>
      <c r="E3525" s="140"/>
      <c r="F3525" s="141"/>
      <c r="G3525" s="134"/>
      <c r="H3525" s="134"/>
    </row>
    <row r="3526" spans="1:8" x14ac:dyDescent="0.25">
      <c r="A3526" s="141"/>
      <c r="B3526" s="140"/>
      <c r="C3526" s="140"/>
      <c r="D3526" s="140"/>
      <c r="E3526" s="140"/>
      <c r="F3526" s="141"/>
      <c r="G3526" s="142"/>
      <c r="H3526" s="134"/>
    </row>
    <row r="3527" spans="1:8" ht="13.5" thickBot="1" x14ac:dyDescent="0.3">
      <c r="A3527" s="141"/>
      <c r="B3527" s="140"/>
      <c r="C3527" s="140"/>
      <c r="D3527" s="140"/>
      <c r="E3527" s="140"/>
      <c r="F3527" s="141"/>
      <c r="G3527" s="134"/>
      <c r="H3527" s="134"/>
    </row>
    <row r="3528" spans="1:8" ht="13.5" thickBot="1" x14ac:dyDescent="0.3">
      <c r="A3528" s="141"/>
      <c r="B3528" s="143" t="s">
        <v>5403</v>
      </c>
      <c r="C3528" s="144" t="s">
        <v>867</v>
      </c>
      <c r="D3528" s="144" t="s">
        <v>6</v>
      </c>
      <c r="E3528" s="144" t="s">
        <v>5404</v>
      </c>
      <c r="F3528" s="144" t="s">
        <v>5405</v>
      </c>
      <c r="G3528" s="145" t="s">
        <v>868</v>
      </c>
      <c r="H3528" s="134"/>
    </row>
    <row r="3529" spans="1:8" x14ac:dyDescent="0.25">
      <c r="A3529" s="141"/>
      <c r="B3529" s="146" t="s">
        <v>5440</v>
      </c>
      <c r="C3529" s="147" t="s">
        <v>5406</v>
      </c>
      <c r="D3529" s="147"/>
      <c r="E3529" s="148">
        <f>+H3568</f>
        <v>16317</v>
      </c>
      <c r="F3529" s="211">
        <v>0.05</v>
      </c>
      <c r="G3529" s="360">
        <f>+E3529*F3529</f>
        <v>815.85</v>
      </c>
      <c r="H3529" s="134"/>
    </row>
    <row r="3530" spans="1:8" x14ac:dyDescent="0.25">
      <c r="A3530" s="141"/>
      <c r="B3530" s="150"/>
      <c r="C3530" s="151"/>
      <c r="D3530" s="151"/>
      <c r="E3530" s="366"/>
      <c r="F3530" s="208"/>
      <c r="G3530" s="360"/>
      <c r="H3530" s="134"/>
    </row>
    <row r="3531" spans="1:8" x14ac:dyDescent="0.25">
      <c r="A3531" s="141"/>
      <c r="B3531" s="154"/>
      <c r="C3531" s="151"/>
      <c r="D3531" s="151"/>
      <c r="E3531" s="366"/>
      <c r="F3531" s="151"/>
      <c r="G3531" s="360"/>
      <c r="H3531" s="134"/>
    </row>
    <row r="3532" spans="1:8" x14ac:dyDescent="0.25">
      <c r="A3532" s="141"/>
      <c r="B3532" s="155"/>
      <c r="C3532" s="151"/>
      <c r="D3532" s="152"/>
      <c r="E3532" s="152"/>
      <c r="F3532" s="151"/>
      <c r="G3532" s="156"/>
      <c r="H3532" s="134"/>
    </row>
    <row r="3533" spans="1:8" x14ac:dyDescent="0.25">
      <c r="A3533" s="141"/>
      <c r="B3533" s="155"/>
      <c r="C3533" s="151"/>
      <c r="D3533" s="152"/>
      <c r="E3533" s="152"/>
      <c r="F3533" s="151"/>
      <c r="G3533" s="156"/>
      <c r="H3533" s="134"/>
    </row>
    <row r="3534" spans="1:8" ht="13.5" thickBot="1" x14ac:dyDescent="0.3">
      <c r="A3534" s="141"/>
      <c r="B3534" s="155"/>
      <c r="C3534" s="151"/>
      <c r="D3534" s="152"/>
      <c r="E3534" s="152"/>
      <c r="F3534" s="151"/>
      <c r="G3534" s="156"/>
      <c r="H3534" s="134"/>
    </row>
    <row r="3535" spans="1:8" ht="13.5" thickBot="1" x14ac:dyDescent="0.3">
      <c r="A3535" s="141"/>
      <c r="B3535" s="157"/>
      <c r="C3535" s="158"/>
      <c r="D3535" s="159"/>
      <c r="E3535" s="159"/>
      <c r="F3535" s="158"/>
      <c r="G3535" s="160"/>
      <c r="H3535" s="161">
        <f>+SUM(G3529:G3535)</f>
        <v>815.85</v>
      </c>
    </row>
    <row r="3536" spans="1:8" ht="13.5" thickBot="1" x14ac:dyDescent="0.3">
      <c r="A3536" s="141"/>
      <c r="B3536" s="162"/>
      <c r="C3536" s="163"/>
      <c r="D3536" s="162"/>
      <c r="E3536" s="162"/>
      <c r="F3536" s="163"/>
      <c r="G3536" s="164"/>
      <c r="H3536" s="165"/>
    </row>
    <row r="3537" spans="1:8" ht="13.5" thickBot="1" x14ac:dyDescent="0.3">
      <c r="A3537" s="140"/>
      <c r="B3537" s="143" t="s">
        <v>5408</v>
      </c>
      <c r="C3537" s="144" t="s">
        <v>867</v>
      </c>
      <c r="D3537" s="144" t="s">
        <v>6</v>
      </c>
      <c r="E3537" s="144" t="s">
        <v>870</v>
      </c>
      <c r="F3537" s="144" t="s">
        <v>5409</v>
      </c>
      <c r="G3537" s="145" t="s">
        <v>868</v>
      </c>
      <c r="H3537" s="134"/>
    </row>
    <row r="3538" spans="1:8" x14ac:dyDescent="0.25">
      <c r="A3538" s="140"/>
      <c r="B3538" s="201" t="s">
        <v>6309</v>
      </c>
      <c r="C3538" s="147" t="s">
        <v>14</v>
      </c>
      <c r="D3538" s="211">
        <v>1</v>
      </c>
      <c r="E3538" s="366">
        <f>24600*1.16</f>
        <v>28535.999999999996</v>
      </c>
      <c r="F3538" s="169">
        <v>0.05</v>
      </c>
      <c r="G3538" s="367">
        <f>+D3538*E3538*(1+F3538)</f>
        <v>29962.799999999996</v>
      </c>
      <c r="H3538" s="134"/>
    </row>
    <row r="3539" spans="1:8" x14ac:dyDescent="0.25">
      <c r="A3539" s="140"/>
      <c r="B3539" s="196" t="s">
        <v>5714</v>
      </c>
      <c r="C3539" s="151" t="s">
        <v>37</v>
      </c>
      <c r="D3539" s="197">
        <v>0.02</v>
      </c>
      <c r="E3539" s="366">
        <f>4599*1.16</f>
        <v>5334.8399999999992</v>
      </c>
      <c r="F3539" s="169">
        <v>0.05</v>
      </c>
      <c r="G3539" s="367">
        <f>+D3539*E3539*(1+F3539)</f>
        <v>112.03163999999998</v>
      </c>
      <c r="H3539" s="134"/>
    </row>
    <row r="3540" spans="1:8" x14ac:dyDescent="0.25">
      <c r="A3540" s="140"/>
      <c r="B3540" s="196" t="s">
        <v>5712</v>
      </c>
      <c r="C3540" s="151" t="s">
        <v>5464</v>
      </c>
      <c r="D3540" s="197">
        <v>0.25</v>
      </c>
      <c r="E3540" s="366">
        <v>80000</v>
      </c>
      <c r="F3540" s="169">
        <v>0.2</v>
      </c>
      <c r="G3540" s="367">
        <f>+D3540*E3540*(1+F3540)</f>
        <v>24000</v>
      </c>
      <c r="H3540" s="134"/>
    </row>
    <row r="3541" spans="1:8" x14ac:dyDescent="0.25">
      <c r="A3541" s="140"/>
      <c r="B3541" s="196" t="s">
        <v>5713</v>
      </c>
      <c r="C3541" s="151" t="s">
        <v>17</v>
      </c>
      <c r="D3541" s="197">
        <v>2</v>
      </c>
      <c r="E3541" s="366">
        <v>3994</v>
      </c>
      <c r="F3541" s="169">
        <v>0.05</v>
      </c>
      <c r="G3541" s="367">
        <f>+D3541*E3541*(1+F3541)</f>
        <v>8387.4</v>
      </c>
      <c r="H3541" s="134"/>
    </row>
    <row r="3542" spans="1:8" x14ac:dyDescent="0.25">
      <c r="A3542" s="140"/>
      <c r="B3542" s="155"/>
      <c r="C3542" s="151"/>
      <c r="D3542" s="151"/>
      <c r="E3542" s="148"/>
      <c r="F3542" s="151"/>
      <c r="G3542" s="367"/>
      <c r="H3542" s="134"/>
    </row>
    <row r="3543" spans="1:8" x14ac:dyDescent="0.25">
      <c r="A3543" s="140"/>
      <c r="B3543" s="155"/>
      <c r="C3543" s="151"/>
      <c r="D3543" s="151"/>
      <c r="E3543" s="148"/>
      <c r="F3543" s="151"/>
      <c r="G3543" s="367"/>
      <c r="H3543" s="134"/>
    </row>
    <row r="3544" spans="1:8" x14ac:dyDescent="0.25">
      <c r="A3544" s="140"/>
      <c r="B3544" s="155"/>
      <c r="C3544" s="151"/>
      <c r="D3544" s="151"/>
      <c r="E3544" s="148"/>
      <c r="F3544" s="151"/>
      <c r="G3544" s="367"/>
      <c r="H3544" s="134"/>
    </row>
    <row r="3545" spans="1:8" x14ac:dyDescent="0.25">
      <c r="A3545" s="140"/>
      <c r="B3545" s="155"/>
      <c r="C3545" s="151"/>
      <c r="D3545" s="151"/>
      <c r="E3545" s="148"/>
      <c r="F3545" s="151"/>
      <c r="G3545" s="367"/>
      <c r="H3545" s="134"/>
    </row>
    <row r="3546" spans="1:8" x14ac:dyDescent="0.25">
      <c r="A3546" s="140"/>
      <c r="B3546" s="155"/>
      <c r="C3546" s="151"/>
      <c r="D3546" s="151"/>
      <c r="E3546" s="148"/>
      <c r="F3546" s="151"/>
      <c r="G3546" s="367"/>
      <c r="H3546" s="134"/>
    </row>
    <row r="3547" spans="1:8" x14ac:dyDescent="0.25">
      <c r="A3547" s="140"/>
      <c r="B3547" s="155"/>
      <c r="C3547" s="151"/>
      <c r="D3547" s="151"/>
      <c r="E3547" s="148"/>
      <c r="F3547" s="151"/>
      <c r="G3547" s="367"/>
      <c r="H3547" s="134"/>
    </row>
    <row r="3548" spans="1:8" x14ac:dyDescent="0.25">
      <c r="A3548" s="140"/>
      <c r="B3548" s="155"/>
      <c r="C3548" s="152"/>
      <c r="D3548" s="152"/>
      <c r="E3548" s="152"/>
      <c r="F3548" s="151"/>
      <c r="G3548" s="156"/>
      <c r="H3548" s="134"/>
    </row>
    <row r="3549" spans="1:8" ht="13.5" thickBot="1" x14ac:dyDescent="0.3">
      <c r="A3549" s="140"/>
      <c r="B3549" s="155"/>
      <c r="C3549" s="152"/>
      <c r="D3549" s="152"/>
      <c r="E3549" s="152"/>
      <c r="F3549" s="151"/>
      <c r="G3549" s="156"/>
      <c r="H3549" s="134"/>
    </row>
    <row r="3550" spans="1:8" ht="13.5" thickBot="1" x14ac:dyDescent="0.3">
      <c r="A3550" s="140"/>
      <c r="B3550" s="157"/>
      <c r="C3550" s="159"/>
      <c r="D3550" s="159"/>
      <c r="E3550" s="159"/>
      <c r="F3550" s="158"/>
      <c r="G3550" s="160"/>
      <c r="H3550" s="161">
        <f>+SUM(G3538:G3550)</f>
        <v>62462.231639999998</v>
      </c>
    </row>
    <row r="3551" spans="1:8" ht="13.5" thickBot="1" x14ac:dyDescent="0.3">
      <c r="A3551" s="140"/>
      <c r="B3551" s="162"/>
      <c r="C3551" s="162"/>
      <c r="D3551" s="162"/>
      <c r="E3551" s="162"/>
      <c r="F3551" s="163"/>
      <c r="G3551" s="164"/>
      <c r="H3551" s="165"/>
    </row>
    <row r="3552" spans="1:8" ht="13.5" thickBot="1" x14ac:dyDescent="0.3">
      <c r="A3552" s="140"/>
      <c r="B3552" s="143" t="s">
        <v>5410</v>
      </c>
      <c r="C3552" s="144" t="s">
        <v>867</v>
      </c>
      <c r="D3552" s="144" t="s">
        <v>6</v>
      </c>
      <c r="E3552" s="144" t="s">
        <v>870</v>
      </c>
      <c r="F3552" s="144" t="s">
        <v>5411</v>
      </c>
      <c r="G3552" s="145" t="s">
        <v>868</v>
      </c>
      <c r="H3552" s="134"/>
    </row>
    <row r="3553" spans="1:8" x14ac:dyDescent="0.25">
      <c r="A3553" s="140"/>
      <c r="B3553" s="201"/>
      <c r="C3553" s="147"/>
      <c r="D3553" s="211"/>
      <c r="E3553" s="366"/>
      <c r="F3553" s="167"/>
      <c r="G3553" s="367"/>
      <c r="H3553" s="134"/>
    </row>
    <row r="3554" spans="1:8" x14ac:dyDescent="0.25">
      <c r="A3554" s="140"/>
      <c r="B3554" s="196"/>
      <c r="C3554" s="151"/>
      <c r="D3554" s="151"/>
      <c r="E3554" s="366"/>
      <c r="F3554" s="147"/>
      <c r="G3554" s="367"/>
      <c r="H3554" s="134"/>
    </row>
    <row r="3555" spans="1:8" x14ac:dyDescent="0.25">
      <c r="A3555" s="140"/>
      <c r="B3555" s="196"/>
      <c r="C3555" s="151"/>
      <c r="D3555" s="151"/>
      <c r="E3555" s="148"/>
      <c r="F3555" s="151"/>
      <c r="G3555" s="367"/>
      <c r="H3555" s="134"/>
    </row>
    <row r="3556" spans="1:8" x14ac:dyDescent="0.25">
      <c r="A3556" s="140"/>
      <c r="B3556" s="155"/>
      <c r="C3556" s="151"/>
      <c r="D3556" s="151"/>
      <c r="E3556" s="148"/>
      <c r="F3556" s="151"/>
      <c r="G3556" s="367"/>
      <c r="H3556" s="134"/>
    </row>
    <row r="3557" spans="1:8" x14ac:dyDescent="0.25">
      <c r="A3557" s="140"/>
      <c r="B3557" s="155"/>
      <c r="C3557" s="151"/>
      <c r="D3557" s="151"/>
      <c r="E3557" s="148"/>
      <c r="F3557" s="151"/>
      <c r="G3557" s="367"/>
      <c r="H3557" s="134"/>
    </row>
    <row r="3558" spans="1:8" ht="13.5" thickBot="1" x14ac:dyDescent="0.3">
      <c r="A3558" s="140"/>
      <c r="B3558" s="155"/>
      <c r="C3558" s="151"/>
      <c r="D3558" s="151"/>
      <c r="E3558" s="148"/>
      <c r="F3558" s="151"/>
      <c r="G3558" s="367"/>
      <c r="H3558" s="134"/>
    </row>
    <row r="3559" spans="1:8" ht="13.5" thickBot="1" x14ac:dyDescent="0.3">
      <c r="A3559" s="140"/>
      <c r="B3559" s="157"/>
      <c r="C3559" s="159"/>
      <c r="D3559" s="159"/>
      <c r="E3559" s="159"/>
      <c r="F3559" s="158"/>
      <c r="G3559" s="160"/>
      <c r="H3559" s="161">
        <f>+SUM(G3553:G3559)</f>
        <v>0</v>
      </c>
    </row>
    <row r="3560" spans="1:8" ht="13.5" thickBot="1" x14ac:dyDescent="0.3">
      <c r="A3560" s="140"/>
      <c r="B3560" s="162"/>
      <c r="C3560" s="162"/>
      <c r="D3560" s="162"/>
      <c r="E3560" s="162"/>
      <c r="F3560" s="173"/>
      <c r="G3560" s="174"/>
      <c r="H3560" s="165"/>
    </row>
    <row r="3561" spans="1:8" ht="13.5" thickBot="1" x14ac:dyDescent="0.3">
      <c r="A3561" s="140"/>
      <c r="B3561" s="143" t="s">
        <v>5412</v>
      </c>
      <c r="C3561" s="144" t="s">
        <v>5420</v>
      </c>
      <c r="D3561" s="144" t="s">
        <v>5421</v>
      </c>
      <c r="E3561" s="144" t="s">
        <v>5413</v>
      </c>
      <c r="F3561" s="144" t="s">
        <v>5405</v>
      </c>
      <c r="G3561" s="145" t="s">
        <v>868</v>
      </c>
      <c r="H3561" s="134"/>
    </row>
    <row r="3562" spans="1:8" x14ac:dyDescent="0.25">
      <c r="A3562" s="140"/>
      <c r="B3562" s="194" t="s">
        <v>5650</v>
      </c>
      <c r="C3562" s="345">
        <v>70000</v>
      </c>
      <c r="D3562" s="345">
        <f>+C3562*0.85</f>
        <v>59500</v>
      </c>
      <c r="E3562" s="353">
        <f>+C3562+D3562</f>
        <v>129500</v>
      </c>
      <c r="F3562" s="204">
        <v>100</v>
      </c>
      <c r="G3562" s="351">
        <f>+E3562/F3562</f>
        <v>1295</v>
      </c>
      <c r="H3562" s="134"/>
    </row>
    <row r="3563" spans="1:8" x14ac:dyDescent="0.25">
      <c r="A3563" s="140"/>
      <c r="B3563" s="194" t="s">
        <v>5651</v>
      </c>
      <c r="C3563" s="345">
        <v>40000</v>
      </c>
      <c r="D3563" s="345">
        <f>+C3563*0.85</f>
        <v>34000</v>
      </c>
      <c r="E3563" s="353">
        <f>+C3563+D3563</f>
        <v>74000</v>
      </c>
      <c r="F3563" s="204">
        <v>10</v>
      </c>
      <c r="G3563" s="351">
        <f>+E3563/F3563</f>
        <v>7400</v>
      </c>
      <c r="H3563" s="134"/>
    </row>
    <row r="3564" spans="1:8" x14ac:dyDescent="0.25">
      <c r="A3564" s="140"/>
      <c r="B3564" s="195" t="s">
        <v>5635</v>
      </c>
      <c r="C3564" s="345">
        <v>20600</v>
      </c>
      <c r="D3564" s="345">
        <f>+C3564*0.85</f>
        <v>17510</v>
      </c>
      <c r="E3564" s="353">
        <f>+C3564+D3564</f>
        <v>38110</v>
      </c>
      <c r="F3564" s="205">
        <v>5</v>
      </c>
      <c r="G3564" s="351">
        <f>+E3564/F3564</f>
        <v>7622</v>
      </c>
      <c r="H3564" s="134"/>
    </row>
    <row r="3565" spans="1:8" x14ac:dyDescent="0.25">
      <c r="A3565" s="140"/>
      <c r="B3565" s="155"/>
      <c r="C3565" s="152"/>
      <c r="D3565" s="152"/>
      <c r="E3565" s="152"/>
      <c r="F3565" s="151"/>
      <c r="G3565" s="156"/>
      <c r="H3565" s="134"/>
    </row>
    <row r="3566" spans="1:8" x14ac:dyDescent="0.25">
      <c r="A3566" s="140"/>
      <c r="B3566" s="155"/>
      <c r="C3566" s="152"/>
      <c r="D3566" s="152"/>
      <c r="E3566" s="152"/>
      <c r="F3566" s="151"/>
      <c r="G3566" s="156"/>
      <c r="H3566" s="134"/>
    </row>
    <row r="3567" spans="1:8" ht="13.5" thickBot="1" x14ac:dyDescent="0.3">
      <c r="A3567" s="140"/>
      <c r="B3567" s="155"/>
      <c r="C3567" s="152"/>
      <c r="D3567" s="152"/>
      <c r="E3567" s="152"/>
      <c r="F3567" s="151"/>
      <c r="G3567" s="156"/>
      <c r="H3567" s="134"/>
    </row>
    <row r="3568" spans="1:8" ht="13.5" thickBot="1" x14ac:dyDescent="0.3">
      <c r="A3568" s="140"/>
      <c r="B3568" s="179"/>
      <c r="C3568" s="180"/>
      <c r="D3568" s="180"/>
      <c r="E3568" s="180"/>
      <c r="F3568" s="181"/>
      <c r="G3568" s="182"/>
      <c r="H3568" s="161">
        <f>+SUM(G3562:G3568)</f>
        <v>16317</v>
      </c>
    </row>
    <row r="3569" spans="1:8" ht="13.5" thickBot="1" x14ac:dyDescent="0.3">
      <c r="A3569" s="140"/>
      <c r="B3569" s="140"/>
      <c r="C3569" s="140"/>
      <c r="D3569" s="140"/>
      <c r="E3569" s="140"/>
      <c r="F3569" s="141"/>
      <c r="G3569" s="134"/>
      <c r="H3569" s="134"/>
    </row>
    <row r="3570" spans="1:8" ht="13.5" thickBot="1" x14ac:dyDescent="0.3">
      <c r="A3570" s="140"/>
      <c r="B3570" s="140"/>
      <c r="C3570" s="140"/>
      <c r="D3570" s="140"/>
      <c r="E3570" s="183" t="s">
        <v>5415</v>
      </c>
      <c r="F3570" s="141"/>
      <c r="G3570" s="134"/>
      <c r="H3570" s="161">
        <f>ROUND(+H3535+H3550+H3559+H3568,0)</f>
        <v>79595</v>
      </c>
    </row>
    <row r="3573" spans="1:8" ht="12.75" customHeight="1" x14ac:dyDescent="0.25"/>
    <row r="3575" spans="1:8" ht="18.75" x14ac:dyDescent="0.25">
      <c r="A3575" s="133"/>
      <c r="B3575" s="2506" t="s">
        <v>5400</v>
      </c>
      <c r="C3575" s="2506"/>
      <c r="D3575" s="2506"/>
      <c r="E3575" s="2506"/>
      <c r="F3575" s="2506"/>
      <c r="G3575" s="2506"/>
    </row>
    <row r="3576" spans="1:8" x14ac:dyDescent="0.25">
      <c r="A3576" s="133"/>
      <c r="G3576" s="134"/>
    </row>
    <row r="3577" spans="1:8" ht="12.75" customHeight="1" x14ac:dyDescent="0.25">
      <c r="A3577" s="133"/>
      <c r="G3577" s="134"/>
    </row>
    <row r="3578" spans="1:8" x14ac:dyDescent="0.25">
      <c r="A3578" s="133"/>
      <c r="G3578" s="134"/>
    </row>
    <row r="3579" spans="1:8" x14ac:dyDescent="0.25">
      <c r="A3579" s="138" t="s">
        <v>3</v>
      </c>
      <c r="B3579" s="138" t="s">
        <v>173</v>
      </c>
      <c r="C3579" s="2450" t="s">
        <v>5744</v>
      </c>
      <c r="D3579" s="2450"/>
      <c r="E3579" s="2450"/>
      <c r="F3579" s="138" t="s">
        <v>867</v>
      </c>
      <c r="G3579" s="139" t="s">
        <v>5454</v>
      </c>
      <c r="H3579" s="134"/>
    </row>
    <row r="3580" spans="1:8" ht="12.75" customHeight="1" x14ac:dyDescent="0.25">
      <c r="A3580" s="141"/>
      <c r="B3580" s="140"/>
      <c r="C3580" s="140"/>
      <c r="D3580" s="140"/>
      <c r="E3580" s="140"/>
      <c r="F3580" s="141"/>
      <c r="G3580" s="134"/>
      <c r="H3580" s="134"/>
    </row>
    <row r="3581" spans="1:8" x14ac:dyDescent="0.25">
      <c r="A3581" s="141"/>
      <c r="B3581" s="140"/>
      <c r="C3581" s="140"/>
      <c r="D3581" s="140"/>
      <c r="E3581" s="140"/>
      <c r="F3581" s="141"/>
      <c r="G3581" s="142"/>
      <c r="H3581" s="134"/>
    </row>
    <row r="3582" spans="1:8" ht="13.5" thickBot="1" x14ac:dyDescent="0.3">
      <c r="A3582" s="141"/>
      <c r="B3582" s="140"/>
      <c r="C3582" s="140"/>
      <c r="D3582" s="140"/>
      <c r="E3582" s="140"/>
      <c r="F3582" s="141"/>
      <c r="G3582" s="134"/>
      <c r="H3582" s="134"/>
    </row>
    <row r="3583" spans="1:8" ht="13.5" thickBot="1" x14ac:dyDescent="0.3">
      <c r="A3583" s="141"/>
      <c r="B3583" s="143" t="s">
        <v>5403</v>
      </c>
      <c r="C3583" s="144" t="s">
        <v>867</v>
      </c>
      <c r="D3583" s="144" t="s">
        <v>6</v>
      </c>
      <c r="E3583" s="144" t="s">
        <v>5404</v>
      </c>
      <c r="F3583" s="144" t="s">
        <v>5405</v>
      </c>
      <c r="G3583" s="145" t="s">
        <v>868</v>
      </c>
      <c r="H3583" s="134"/>
    </row>
    <row r="3584" spans="1:8" x14ac:dyDescent="0.25">
      <c r="A3584" s="141"/>
      <c r="B3584" s="146" t="s">
        <v>5440</v>
      </c>
      <c r="C3584" s="147" t="s">
        <v>5406</v>
      </c>
      <c r="D3584" s="147"/>
      <c r="E3584" s="148">
        <f>+H3623</f>
        <v>20072.5</v>
      </c>
      <c r="F3584" s="211">
        <v>0.05</v>
      </c>
      <c r="G3584" s="360">
        <f>+E3584*F3584</f>
        <v>1003.625</v>
      </c>
      <c r="H3584" s="134"/>
    </row>
    <row r="3585" spans="1:8" x14ac:dyDescent="0.25">
      <c r="A3585" s="141"/>
      <c r="B3585" s="150"/>
      <c r="C3585" s="151"/>
      <c r="D3585" s="151"/>
      <c r="E3585" s="366"/>
      <c r="F3585" s="208"/>
      <c r="G3585" s="360"/>
      <c r="H3585" s="134"/>
    </row>
    <row r="3586" spans="1:8" x14ac:dyDescent="0.25">
      <c r="A3586" s="141"/>
      <c r="B3586" s="154"/>
      <c r="C3586" s="151"/>
      <c r="D3586" s="151"/>
      <c r="E3586" s="366"/>
      <c r="F3586" s="151"/>
      <c r="G3586" s="360"/>
      <c r="H3586" s="134"/>
    </row>
    <row r="3587" spans="1:8" x14ac:dyDescent="0.25">
      <c r="A3587" s="141"/>
      <c r="B3587" s="155"/>
      <c r="C3587" s="151"/>
      <c r="D3587" s="152"/>
      <c r="E3587" s="152"/>
      <c r="F3587" s="151"/>
      <c r="G3587" s="156"/>
      <c r="H3587" s="134"/>
    </row>
    <row r="3588" spans="1:8" x14ac:dyDescent="0.25">
      <c r="A3588" s="141"/>
      <c r="B3588" s="155"/>
      <c r="C3588" s="151"/>
      <c r="D3588" s="152"/>
      <c r="E3588" s="152"/>
      <c r="F3588" s="151"/>
      <c r="G3588" s="156"/>
      <c r="H3588" s="134"/>
    </row>
    <row r="3589" spans="1:8" ht="13.5" thickBot="1" x14ac:dyDescent="0.3">
      <c r="A3589" s="141"/>
      <c r="B3589" s="155"/>
      <c r="C3589" s="151"/>
      <c r="D3589" s="152"/>
      <c r="E3589" s="152"/>
      <c r="F3589" s="151"/>
      <c r="G3589" s="156"/>
      <c r="H3589" s="134"/>
    </row>
    <row r="3590" spans="1:8" ht="13.5" thickBot="1" x14ac:dyDescent="0.3">
      <c r="A3590" s="141"/>
      <c r="B3590" s="157"/>
      <c r="C3590" s="158"/>
      <c r="D3590" s="159"/>
      <c r="E3590" s="159"/>
      <c r="F3590" s="158"/>
      <c r="G3590" s="160"/>
      <c r="H3590" s="161">
        <f>+SUM(G3584:G3590)</f>
        <v>1003.625</v>
      </c>
    </row>
    <row r="3591" spans="1:8" ht="13.5" thickBot="1" x14ac:dyDescent="0.3">
      <c r="A3591" s="141"/>
      <c r="B3591" s="162"/>
      <c r="C3591" s="163"/>
      <c r="D3591" s="162"/>
      <c r="E3591" s="162"/>
      <c r="F3591" s="163"/>
      <c r="G3591" s="164"/>
      <c r="H3591" s="165"/>
    </row>
    <row r="3592" spans="1:8" ht="13.5" thickBot="1" x14ac:dyDescent="0.3">
      <c r="A3592" s="140"/>
      <c r="B3592" s="143" t="s">
        <v>5408</v>
      </c>
      <c r="C3592" s="144" t="s">
        <v>867</v>
      </c>
      <c r="D3592" s="144" t="s">
        <v>6</v>
      </c>
      <c r="E3592" s="144" t="s">
        <v>870</v>
      </c>
      <c r="F3592" s="144" t="s">
        <v>5409</v>
      </c>
      <c r="G3592" s="145" t="s">
        <v>868</v>
      </c>
      <c r="H3592" s="134"/>
    </row>
    <row r="3593" spans="1:8" x14ac:dyDescent="0.25">
      <c r="A3593" s="140"/>
      <c r="B3593" s="201" t="s">
        <v>6310</v>
      </c>
      <c r="C3593" s="147" t="s">
        <v>14</v>
      </c>
      <c r="D3593" s="211">
        <v>1</v>
      </c>
      <c r="E3593" s="366">
        <f>56332*1.16</f>
        <v>65345.119999999995</v>
      </c>
      <c r="F3593" s="169">
        <v>0.05</v>
      </c>
      <c r="G3593" s="367">
        <f>+D3593*E3593*(1+F3593)</f>
        <v>68612.376000000004</v>
      </c>
      <c r="H3593" s="134"/>
    </row>
    <row r="3594" spans="1:8" x14ac:dyDescent="0.25">
      <c r="A3594" s="140"/>
      <c r="B3594" s="196" t="s">
        <v>5714</v>
      </c>
      <c r="C3594" s="151" t="s">
        <v>37</v>
      </c>
      <c r="D3594" s="197">
        <v>0.02</v>
      </c>
      <c r="E3594" s="366">
        <f>2427*1.16</f>
        <v>2815.3199999999997</v>
      </c>
      <c r="F3594" s="169">
        <v>0.05</v>
      </c>
      <c r="G3594" s="367">
        <f>+D3594*E3594*(1+F3594)</f>
        <v>59.121719999999996</v>
      </c>
      <c r="H3594" s="134"/>
    </row>
    <row r="3595" spans="1:8" x14ac:dyDescent="0.25">
      <c r="A3595" s="140"/>
      <c r="B3595" s="196" t="s">
        <v>5712</v>
      </c>
      <c r="C3595" s="151" t="s">
        <v>5464</v>
      </c>
      <c r="D3595" s="197">
        <v>0.25</v>
      </c>
      <c r="E3595" s="366">
        <v>80000</v>
      </c>
      <c r="F3595" s="169">
        <v>0.2</v>
      </c>
      <c r="G3595" s="367">
        <f>+D3595*E3595*(1+F3595)</f>
        <v>24000</v>
      </c>
      <c r="H3595" s="134"/>
    </row>
    <row r="3596" spans="1:8" x14ac:dyDescent="0.25">
      <c r="A3596" s="140"/>
      <c r="B3596" s="196" t="s">
        <v>5713</v>
      </c>
      <c r="C3596" s="151" t="s">
        <v>17</v>
      </c>
      <c r="D3596" s="197">
        <v>2</v>
      </c>
      <c r="E3596" s="366">
        <v>3994</v>
      </c>
      <c r="F3596" s="169">
        <v>0.05</v>
      </c>
      <c r="G3596" s="367">
        <f>+D3596*E3596*(1+F3596)</f>
        <v>8387.4</v>
      </c>
      <c r="H3596" s="134"/>
    </row>
    <row r="3597" spans="1:8" x14ac:dyDescent="0.25">
      <c r="A3597" s="140"/>
      <c r="B3597" s="155"/>
      <c r="C3597" s="151"/>
      <c r="D3597" s="151"/>
      <c r="E3597" s="148"/>
      <c r="F3597" s="151"/>
      <c r="G3597" s="367"/>
      <c r="H3597" s="134"/>
    </row>
    <row r="3598" spans="1:8" x14ac:dyDescent="0.25">
      <c r="A3598" s="140"/>
      <c r="B3598" s="155"/>
      <c r="C3598" s="151"/>
      <c r="D3598" s="151"/>
      <c r="E3598" s="148"/>
      <c r="F3598" s="151"/>
      <c r="G3598" s="367"/>
      <c r="H3598" s="134"/>
    </row>
    <row r="3599" spans="1:8" x14ac:dyDescent="0.25">
      <c r="A3599" s="140"/>
      <c r="B3599" s="155"/>
      <c r="C3599" s="151"/>
      <c r="D3599" s="151"/>
      <c r="E3599" s="148"/>
      <c r="F3599" s="151"/>
      <c r="G3599" s="367"/>
      <c r="H3599" s="134"/>
    </row>
    <row r="3600" spans="1:8" x14ac:dyDescent="0.25">
      <c r="A3600" s="140"/>
      <c r="B3600" s="155"/>
      <c r="C3600" s="151"/>
      <c r="D3600" s="151"/>
      <c r="E3600" s="148"/>
      <c r="F3600" s="151"/>
      <c r="G3600" s="367"/>
      <c r="H3600" s="134"/>
    </row>
    <row r="3601" spans="1:8" x14ac:dyDescent="0.25">
      <c r="A3601" s="140"/>
      <c r="B3601" s="155"/>
      <c r="C3601" s="151"/>
      <c r="D3601" s="151"/>
      <c r="E3601" s="148"/>
      <c r="F3601" s="151"/>
      <c r="G3601" s="367"/>
      <c r="H3601" s="134"/>
    </row>
    <row r="3602" spans="1:8" x14ac:dyDescent="0.25">
      <c r="A3602" s="140"/>
      <c r="B3602" s="155"/>
      <c r="C3602" s="151"/>
      <c r="D3602" s="151"/>
      <c r="E3602" s="148"/>
      <c r="F3602" s="151"/>
      <c r="G3602" s="367"/>
      <c r="H3602" s="134"/>
    </row>
    <row r="3603" spans="1:8" x14ac:dyDescent="0.25">
      <c r="A3603" s="140"/>
      <c r="B3603" s="155"/>
      <c r="C3603" s="152"/>
      <c r="D3603" s="152"/>
      <c r="E3603" s="152"/>
      <c r="F3603" s="151"/>
      <c r="G3603" s="156"/>
      <c r="H3603" s="134"/>
    </row>
    <row r="3604" spans="1:8" ht="13.5" thickBot="1" x14ac:dyDescent="0.3">
      <c r="A3604" s="140"/>
      <c r="B3604" s="155"/>
      <c r="C3604" s="152"/>
      <c r="D3604" s="152"/>
      <c r="E3604" s="152"/>
      <c r="F3604" s="151"/>
      <c r="G3604" s="156"/>
      <c r="H3604" s="134"/>
    </row>
    <row r="3605" spans="1:8" ht="13.5" thickBot="1" x14ac:dyDescent="0.3">
      <c r="A3605" s="140"/>
      <c r="B3605" s="157"/>
      <c r="C3605" s="159"/>
      <c r="D3605" s="159"/>
      <c r="E3605" s="159"/>
      <c r="F3605" s="158"/>
      <c r="G3605" s="160"/>
      <c r="H3605" s="161">
        <f>+SUM(G3593:G3605)</f>
        <v>101058.89771999999</v>
      </c>
    </row>
    <row r="3606" spans="1:8" ht="13.5" thickBot="1" x14ac:dyDescent="0.3">
      <c r="A3606" s="140"/>
      <c r="B3606" s="162"/>
      <c r="C3606" s="162"/>
      <c r="D3606" s="162"/>
      <c r="E3606" s="162"/>
      <c r="F3606" s="163"/>
      <c r="G3606" s="164"/>
      <c r="H3606" s="165"/>
    </row>
    <row r="3607" spans="1:8" ht="13.5" thickBot="1" x14ac:dyDescent="0.3">
      <c r="A3607" s="140"/>
      <c r="B3607" s="143" t="s">
        <v>5410</v>
      </c>
      <c r="C3607" s="144" t="s">
        <v>867</v>
      </c>
      <c r="D3607" s="144" t="s">
        <v>6</v>
      </c>
      <c r="E3607" s="144" t="s">
        <v>870</v>
      </c>
      <c r="F3607" s="144" t="s">
        <v>5411</v>
      </c>
      <c r="G3607" s="145" t="s">
        <v>868</v>
      </c>
      <c r="H3607" s="134"/>
    </row>
    <row r="3608" spans="1:8" x14ac:dyDescent="0.25">
      <c r="A3608" s="140"/>
      <c r="B3608" s="201"/>
      <c r="C3608" s="147"/>
      <c r="D3608" s="211"/>
      <c r="E3608" s="366"/>
      <c r="F3608" s="167"/>
      <c r="G3608" s="367"/>
      <c r="H3608" s="134"/>
    </row>
    <row r="3609" spans="1:8" x14ac:dyDescent="0.25">
      <c r="A3609" s="140"/>
      <c r="B3609" s="196"/>
      <c r="C3609" s="151"/>
      <c r="D3609" s="151"/>
      <c r="E3609" s="366"/>
      <c r="F3609" s="147"/>
      <c r="G3609" s="367"/>
      <c r="H3609" s="134"/>
    </row>
    <row r="3610" spans="1:8" x14ac:dyDescent="0.25">
      <c r="A3610" s="140"/>
      <c r="B3610" s="196"/>
      <c r="C3610" s="151"/>
      <c r="D3610" s="151"/>
      <c r="E3610" s="148"/>
      <c r="F3610" s="151"/>
      <c r="G3610" s="367"/>
      <c r="H3610" s="134"/>
    </row>
    <row r="3611" spans="1:8" x14ac:dyDescent="0.25">
      <c r="A3611" s="140"/>
      <c r="B3611" s="155"/>
      <c r="C3611" s="151"/>
      <c r="D3611" s="151"/>
      <c r="E3611" s="148"/>
      <c r="F3611" s="151"/>
      <c r="G3611" s="367"/>
      <c r="H3611" s="134"/>
    </row>
    <row r="3612" spans="1:8" x14ac:dyDescent="0.25">
      <c r="A3612" s="140"/>
      <c r="B3612" s="155"/>
      <c r="C3612" s="151"/>
      <c r="D3612" s="151"/>
      <c r="E3612" s="148"/>
      <c r="F3612" s="151"/>
      <c r="G3612" s="367"/>
      <c r="H3612" s="134"/>
    </row>
    <row r="3613" spans="1:8" ht="13.5" thickBot="1" x14ac:dyDescent="0.3">
      <c r="A3613" s="140"/>
      <c r="B3613" s="155"/>
      <c r="C3613" s="151"/>
      <c r="D3613" s="151"/>
      <c r="E3613" s="148"/>
      <c r="F3613" s="151"/>
      <c r="G3613" s="367"/>
      <c r="H3613" s="134"/>
    </row>
    <row r="3614" spans="1:8" ht="13.5" thickBot="1" x14ac:dyDescent="0.3">
      <c r="A3614" s="140"/>
      <c r="B3614" s="157"/>
      <c r="C3614" s="159"/>
      <c r="D3614" s="159"/>
      <c r="E3614" s="159"/>
      <c r="F3614" s="158"/>
      <c r="G3614" s="160"/>
      <c r="H3614" s="161">
        <f>+SUM(G3608:G3614)</f>
        <v>0</v>
      </c>
    </row>
    <row r="3615" spans="1:8" ht="13.5" thickBot="1" x14ac:dyDescent="0.3">
      <c r="A3615" s="140"/>
      <c r="B3615" s="162"/>
      <c r="C3615" s="162"/>
      <c r="D3615" s="162"/>
      <c r="E3615" s="162"/>
      <c r="F3615" s="173"/>
      <c r="G3615" s="174"/>
      <c r="H3615" s="165"/>
    </row>
    <row r="3616" spans="1:8" ht="13.5" thickBot="1" x14ac:dyDescent="0.3">
      <c r="A3616" s="140"/>
      <c r="B3616" s="143" t="s">
        <v>5412</v>
      </c>
      <c r="C3616" s="144" t="s">
        <v>5420</v>
      </c>
      <c r="D3616" s="144" t="s">
        <v>5421</v>
      </c>
      <c r="E3616" s="144" t="s">
        <v>5413</v>
      </c>
      <c r="F3616" s="144" t="s">
        <v>5405</v>
      </c>
      <c r="G3616" s="145" t="s">
        <v>868</v>
      </c>
      <c r="H3616" s="134"/>
    </row>
    <row r="3617" spans="1:8" x14ac:dyDescent="0.25">
      <c r="A3617" s="140"/>
      <c r="B3617" s="194" t="s">
        <v>5650</v>
      </c>
      <c r="C3617" s="345">
        <v>70000</v>
      </c>
      <c r="D3617" s="345">
        <f>+C3617*0.85</f>
        <v>59500</v>
      </c>
      <c r="E3617" s="353">
        <f>+C3617+D3617</f>
        <v>129500</v>
      </c>
      <c r="F3617" s="204">
        <v>100</v>
      </c>
      <c r="G3617" s="351">
        <f>+E3617/F3617</f>
        <v>1295</v>
      </c>
      <c r="H3617" s="134"/>
    </row>
    <row r="3618" spans="1:8" x14ac:dyDescent="0.25">
      <c r="A3618" s="140"/>
      <c r="B3618" s="194" t="s">
        <v>5651</v>
      </c>
      <c r="C3618" s="345">
        <v>40000</v>
      </c>
      <c r="D3618" s="345">
        <f>+C3618*0.85</f>
        <v>34000</v>
      </c>
      <c r="E3618" s="353">
        <f>+C3618+D3618</f>
        <v>74000</v>
      </c>
      <c r="F3618" s="204">
        <v>8</v>
      </c>
      <c r="G3618" s="351">
        <f>+E3618/F3618</f>
        <v>9250</v>
      </c>
      <c r="H3618" s="134"/>
    </row>
    <row r="3619" spans="1:8" x14ac:dyDescent="0.25">
      <c r="A3619" s="140"/>
      <c r="B3619" s="195" t="s">
        <v>5635</v>
      </c>
      <c r="C3619" s="345">
        <v>20600</v>
      </c>
      <c r="D3619" s="345">
        <f>+C3619*0.85</f>
        <v>17510</v>
      </c>
      <c r="E3619" s="353">
        <f>+C3619+D3619</f>
        <v>38110</v>
      </c>
      <c r="F3619" s="205">
        <v>4</v>
      </c>
      <c r="G3619" s="351">
        <f>+E3619/F3619</f>
        <v>9527.5</v>
      </c>
      <c r="H3619" s="134"/>
    </row>
    <row r="3620" spans="1:8" x14ac:dyDescent="0.25">
      <c r="A3620" s="140"/>
      <c r="B3620" s="155"/>
      <c r="C3620" s="152"/>
      <c r="D3620" s="152"/>
      <c r="E3620" s="152"/>
      <c r="F3620" s="151"/>
      <c r="G3620" s="156"/>
      <c r="H3620" s="134"/>
    </row>
    <row r="3621" spans="1:8" x14ac:dyDescent="0.25">
      <c r="A3621" s="140"/>
      <c r="B3621" s="155"/>
      <c r="C3621" s="152"/>
      <c r="D3621" s="152"/>
      <c r="E3621" s="152"/>
      <c r="F3621" s="151"/>
      <c r="G3621" s="156"/>
      <c r="H3621" s="134"/>
    </row>
    <row r="3622" spans="1:8" ht="13.5" thickBot="1" x14ac:dyDescent="0.3">
      <c r="A3622" s="140"/>
      <c r="B3622" s="155"/>
      <c r="C3622" s="152"/>
      <c r="D3622" s="152"/>
      <c r="E3622" s="152"/>
      <c r="F3622" s="151"/>
      <c r="G3622" s="156"/>
      <c r="H3622" s="134"/>
    </row>
    <row r="3623" spans="1:8" ht="13.5" thickBot="1" x14ac:dyDescent="0.3">
      <c r="A3623" s="140"/>
      <c r="B3623" s="179"/>
      <c r="C3623" s="180"/>
      <c r="D3623" s="180"/>
      <c r="E3623" s="180"/>
      <c r="F3623" s="181"/>
      <c r="G3623" s="182"/>
      <c r="H3623" s="161">
        <f>+SUM(G3617:G3623)</f>
        <v>20072.5</v>
      </c>
    </row>
    <row r="3624" spans="1:8" ht="13.5" thickBot="1" x14ac:dyDescent="0.3">
      <c r="A3624" s="140"/>
      <c r="B3624" s="140"/>
      <c r="C3624" s="140"/>
      <c r="D3624" s="140"/>
      <c r="E3624" s="140"/>
      <c r="F3624" s="141"/>
      <c r="G3624" s="134"/>
      <c r="H3624" s="134"/>
    </row>
    <row r="3625" spans="1:8" ht="13.5" thickBot="1" x14ac:dyDescent="0.3">
      <c r="A3625" s="140"/>
      <c r="B3625" s="140"/>
      <c r="C3625" s="140"/>
      <c r="D3625" s="140"/>
      <c r="E3625" s="183" t="s">
        <v>5415</v>
      </c>
      <c r="F3625" s="141"/>
      <c r="G3625" s="134"/>
      <c r="H3625" s="161">
        <f>ROUND(+H3590+H3605+H3614+H3623,0)</f>
        <v>122135</v>
      </c>
    </row>
    <row r="3630" spans="1:8" ht="18.75" x14ac:dyDescent="0.25">
      <c r="A3630" s="133"/>
      <c r="B3630" s="2506" t="s">
        <v>5400</v>
      </c>
      <c r="C3630" s="2506"/>
      <c r="D3630" s="2506"/>
      <c r="E3630" s="2506"/>
      <c r="F3630" s="2506"/>
      <c r="G3630" s="2506"/>
    </row>
    <row r="3631" spans="1:8" x14ac:dyDescent="0.25">
      <c r="A3631" s="133"/>
      <c r="G3631" s="134"/>
    </row>
    <row r="3632" spans="1:8" ht="12.75" customHeight="1" x14ac:dyDescent="0.25">
      <c r="A3632" s="133"/>
      <c r="G3632" s="134"/>
    </row>
    <row r="3633" spans="1:8" x14ac:dyDescent="0.25">
      <c r="A3633" s="133"/>
      <c r="G3633" s="134"/>
    </row>
    <row r="3634" spans="1:8" x14ac:dyDescent="0.25">
      <c r="A3634" s="138" t="s">
        <v>3</v>
      </c>
      <c r="B3634" s="138" t="s">
        <v>173</v>
      </c>
      <c r="C3634" s="2450" t="s">
        <v>5745</v>
      </c>
      <c r="D3634" s="2450"/>
      <c r="E3634" s="2450"/>
      <c r="F3634" s="138" t="s">
        <v>867</v>
      </c>
      <c r="G3634" s="139" t="s">
        <v>5454</v>
      </c>
      <c r="H3634" s="134"/>
    </row>
    <row r="3635" spans="1:8" ht="12.75" customHeight="1" x14ac:dyDescent="0.25">
      <c r="A3635" s="141"/>
      <c r="B3635" s="140"/>
      <c r="C3635" s="140"/>
      <c r="D3635" s="140"/>
      <c r="E3635" s="140"/>
      <c r="F3635" s="141"/>
      <c r="G3635" s="134"/>
      <c r="H3635" s="134"/>
    </row>
    <row r="3636" spans="1:8" x14ac:dyDescent="0.25">
      <c r="A3636" s="141"/>
      <c r="B3636" s="140"/>
      <c r="C3636" s="140"/>
      <c r="D3636" s="140"/>
      <c r="E3636" s="140"/>
      <c r="F3636" s="141"/>
      <c r="G3636" s="142"/>
      <c r="H3636" s="134"/>
    </row>
    <row r="3637" spans="1:8" ht="13.5" thickBot="1" x14ac:dyDescent="0.3">
      <c r="A3637" s="141"/>
      <c r="B3637" s="140"/>
      <c r="C3637" s="140"/>
      <c r="D3637" s="140"/>
      <c r="E3637" s="140"/>
      <c r="F3637" s="141"/>
      <c r="G3637" s="134"/>
      <c r="H3637" s="134"/>
    </row>
    <row r="3638" spans="1:8" ht="13.5" thickBot="1" x14ac:dyDescent="0.3">
      <c r="A3638" s="141"/>
      <c r="B3638" s="143" t="s">
        <v>5403</v>
      </c>
      <c r="C3638" s="144" t="s">
        <v>867</v>
      </c>
      <c r="D3638" s="144" t="s">
        <v>6</v>
      </c>
      <c r="E3638" s="144" t="s">
        <v>5404</v>
      </c>
      <c r="F3638" s="144" t="s">
        <v>5405</v>
      </c>
      <c r="G3638" s="145" t="s">
        <v>868</v>
      </c>
      <c r="H3638" s="134"/>
    </row>
    <row r="3639" spans="1:8" x14ac:dyDescent="0.25">
      <c r="A3639" s="141"/>
      <c r="B3639" s="146" t="s">
        <v>5440</v>
      </c>
      <c r="C3639" s="147" t="s">
        <v>5406</v>
      </c>
      <c r="D3639" s="147"/>
      <c r="E3639" s="148">
        <f>+H3678</f>
        <v>26331.666666666668</v>
      </c>
      <c r="F3639" s="211">
        <v>0.05</v>
      </c>
      <c r="G3639" s="360">
        <f>+E3639*F3639</f>
        <v>1316.5833333333335</v>
      </c>
      <c r="H3639" s="134"/>
    </row>
    <row r="3640" spans="1:8" x14ac:dyDescent="0.25">
      <c r="A3640" s="141"/>
      <c r="B3640" s="150"/>
      <c r="C3640" s="151"/>
      <c r="D3640" s="151"/>
      <c r="E3640" s="366"/>
      <c r="F3640" s="208"/>
      <c r="G3640" s="360"/>
      <c r="H3640" s="134"/>
    </row>
    <row r="3641" spans="1:8" x14ac:dyDescent="0.25">
      <c r="A3641" s="141"/>
      <c r="B3641" s="154"/>
      <c r="C3641" s="151"/>
      <c r="D3641" s="151"/>
      <c r="E3641" s="366"/>
      <c r="F3641" s="151"/>
      <c r="G3641" s="360"/>
      <c r="H3641" s="134"/>
    </row>
    <row r="3642" spans="1:8" x14ac:dyDescent="0.25">
      <c r="A3642" s="141"/>
      <c r="B3642" s="155"/>
      <c r="C3642" s="151"/>
      <c r="D3642" s="152"/>
      <c r="E3642" s="152"/>
      <c r="F3642" s="151"/>
      <c r="G3642" s="156"/>
      <c r="H3642" s="134"/>
    </row>
    <row r="3643" spans="1:8" x14ac:dyDescent="0.25">
      <c r="A3643" s="141"/>
      <c r="B3643" s="155"/>
      <c r="C3643" s="151"/>
      <c r="D3643" s="152"/>
      <c r="E3643" s="152"/>
      <c r="F3643" s="151"/>
      <c r="G3643" s="156"/>
      <c r="H3643" s="134"/>
    </row>
    <row r="3644" spans="1:8" ht="13.5" thickBot="1" x14ac:dyDescent="0.3">
      <c r="A3644" s="141"/>
      <c r="B3644" s="155"/>
      <c r="C3644" s="151"/>
      <c r="D3644" s="152"/>
      <c r="E3644" s="152"/>
      <c r="F3644" s="151"/>
      <c r="G3644" s="156"/>
      <c r="H3644" s="134"/>
    </row>
    <row r="3645" spans="1:8" ht="13.5" thickBot="1" x14ac:dyDescent="0.3">
      <c r="A3645" s="141"/>
      <c r="B3645" s="157"/>
      <c r="C3645" s="158"/>
      <c r="D3645" s="159"/>
      <c r="E3645" s="159"/>
      <c r="F3645" s="158"/>
      <c r="G3645" s="160"/>
      <c r="H3645" s="161">
        <f>+SUM(G3639:G3645)</f>
        <v>1316.5833333333335</v>
      </c>
    </row>
    <row r="3646" spans="1:8" ht="13.5" thickBot="1" x14ac:dyDescent="0.3">
      <c r="A3646" s="141"/>
      <c r="B3646" s="162"/>
      <c r="C3646" s="163"/>
      <c r="D3646" s="162"/>
      <c r="E3646" s="162"/>
      <c r="F3646" s="163"/>
      <c r="G3646" s="164"/>
      <c r="H3646" s="165"/>
    </row>
    <row r="3647" spans="1:8" ht="13.5" thickBot="1" x14ac:dyDescent="0.3">
      <c r="A3647" s="140"/>
      <c r="B3647" s="143" t="s">
        <v>5408</v>
      </c>
      <c r="C3647" s="144" t="s">
        <v>867</v>
      </c>
      <c r="D3647" s="144" t="s">
        <v>6</v>
      </c>
      <c r="E3647" s="144" t="s">
        <v>870</v>
      </c>
      <c r="F3647" s="144" t="s">
        <v>5409</v>
      </c>
      <c r="G3647" s="145" t="s">
        <v>868</v>
      </c>
      <c r="H3647" s="134"/>
    </row>
    <row r="3648" spans="1:8" x14ac:dyDescent="0.25">
      <c r="A3648" s="140"/>
      <c r="B3648" s="201" t="s">
        <v>6311</v>
      </c>
      <c r="C3648" s="147" t="s">
        <v>14</v>
      </c>
      <c r="D3648" s="211">
        <v>1</v>
      </c>
      <c r="E3648" s="366">
        <f>76495*1.16</f>
        <v>88734.2</v>
      </c>
      <c r="F3648" s="169">
        <v>0.05</v>
      </c>
      <c r="G3648" s="367">
        <f>+D3648*E3648*(1+F3648)</f>
        <v>93170.91</v>
      </c>
      <c r="H3648" s="134"/>
    </row>
    <row r="3649" spans="1:8" x14ac:dyDescent="0.25">
      <c r="A3649" s="140"/>
      <c r="B3649" s="196" t="s">
        <v>5714</v>
      </c>
      <c r="C3649" s="151" t="s">
        <v>37</v>
      </c>
      <c r="D3649" s="197">
        <v>0.02</v>
      </c>
      <c r="E3649" s="366">
        <f>4599*1.16</f>
        <v>5334.8399999999992</v>
      </c>
      <c r="F3649" s="169">
        <v>0.05</v>
      </c>
      <c r="G3649" s="367">
        <f>+D3649*E3649*(1+F3649)</f>
        <v>112.03163999999998</v>
      </c>
      <c r="H3649" s="134"/>
    </row>
    <row r="3650" spans="1:8" x14ac:dyDescent="0.25">
      <c r="A3650" s="140"/>
      <c r="B3650" s="196" t="s">
        <v>5712</v>
      </c>
      <c r="C3650" s="151" t="s">
        <v>5464</v>
      </c>
      <c r="D3650" s="197">
        <v>0.25</v>
      </c>
      <c r="E3650" s="366">
        <v>80000</v>
      </c>
      <c r="F3650" s="169">
        <v>0.2</v>
      </c>
      <c r="G3650" s="367">
        <f>+D3650*E3650*(1+F3650)</f>
        <v>24000</v>
      </c>
      <c r="H3650" s="134"/>
    </row>
    <row r="3651" spans="1:8" x14ac:dyDescent="0.25">
      <c r="A3651" s="140"/>
      <c r="B3651" s="196" t="s">
        <v>5713</v>
      </c>
      <c r="C3651" s="151" t="s">
        <v>17</v>
      </c>
      <c r="D3651" s="197">
        <v>2</v>
      </c>
      <c r="E3651" s="366">
        <v>3994</v>
      </c>
      <c r="F3651" s="169">
        <v>0.05</v>
      </c>
      <c r="G3651" s="367">
        <f>+D3651*E3651*(1+F3651)</f>
        <v>8387.4</v>
      </c>
      <c r="H3651" s="134"/>
    </row>
    <row r="3652" spans="1:8" x14ac:dyDescent="0.25">
      <c r="A3652" s="140"/>
      <c r="B3652" s="155"/>
      <c r="C3652" s="151"/>
      <c r="D3652" s="151"/>
      <c r="E3652" s="148"/>
      <c r="F3652" s="151"/>
      <c r="G3652" s="367"/>
      <c r="H3652" s="134"/>
    </row>
    <row r="3653" spans="1:8" x14ac:dyDescent="0.25">
      <c r="A3653" s="140"/>
      <c r="B3653" s="155"/>
      <c r="C3653" s="151"/>
      <c r="D3653" s="151"/>
      <c r="E3653" s="148"/>
      <c r="F3653" s="151"/>
      <c r="G3653" s="367"/>
      <c r="H3653" s="134"/>
    </row>
    <row r="3654" spans="1:8" x14ac:dyDescent="0.25">
      <c r="A3654" s="140"/>
      <c r="B3654" s="155"/>
      <c r="C3654" s="151"/>
      <c r="D3654" s="151"/>
      <c r="E3654" s="148"/>
      <c r="F3654" s="151"/>
      <c r="G3654" s="367"/>
      <c r="H3654" s="134"/>
    </row>
    <row r="3655" spans="1:8" x14ac:dyDescent="0.25">
      <c r="A3655" s="140"/>
      <c r="B3655" s="155"/>
      <c r="C3655" s="151"/>
      <c r="D3655" s="151"/>
      <c r="E3655" s="148"/>
      <c r="F3655" s="151"/>
      <c r="G3655" s="367"/>
      <c r="H3655" s="134"/>
    </row>
    <row r="3656" spans="1:8" x14ac:dyDescent="0.25">
      <c r="A3656" s="140"/>
      <c r="B3656" s="155"/>
      <c r="C3656" s="151"/>
      <c r="D3656" s="151"/>
      <c r="E3656" s="148"/>
      <c r="F3656" s="151"/>
      <c r="G3656" s="367"/>
      <c r="H3656" s="134"/>
    </row>
    <row r="3657" spans="1:8" x14ac:dyDescent="0.25">
      <c r="A3657" s="140"/>
      <c r="B3657" s="155"/>
      <c r="C3657" s="151"/>
      <c r="D3657" s="151"/>
      <c r="E3657" s="148"/>
      <c r="F3657" s="151"/>
      <c r="G3657" s="367"/>
      <c r="H3657" s="134"/>
    </row>
    <row r="3658" spans="1:8" x14ac:dyDescent="0.25">
      <c r="A3658" s="140"/>
      <c r="B3658" s="155"/>
      <c r="C3658" s="152"/>
      <c r="D3658" s="152"/>
      <c r="E3658" s="152"/>
      <c r="F3658" s="151"/>
      <c r="G3658" s="156"/>
      <c r="H3658" s="134"/>
    </row>
    <row r="3659" spans="1:8" ht="13.5" thickBot="1" x14ac:dyDescent="0.3">
      <c r="A3659" s="140"/>
      <c r="B3659" s="155"/>
      <c r="C3659" s="152"/>
      <c r="D3659" s="152"/>
      <c r="E3659" s="152"/>
      <c r="F3659" s="151"/>
      <c r="G3659" s="156"/>
      <c r="H3659" s="134"/>
    </row>
    <row r="3660" spans="1:8" ht="13.5" thickBot="1" x14ac:dyDescent="0.3">
      <c r="A3660" s="140"/>
      <c r="B3660" s="157"/>
      <c r="C3660" s="159"/>
      <c r="D3660" s="159"/>
      <c r="E3660" s="159"/>
      <c r="F3660" s="158"/>
      <c r="G3660" s="160"/>
      <c r="H3660" s="161">
        <f>+SUM(G3648:G3660)</f>
        <v>125670.34164</v>
      </c>
    </row>
    <row r="3661" spans="1:8" ht="13.5" thickBot="1" x14ac:dyDescent="0.3">
      <c r="A3661" s="140"/>
      <c r="B3661" s="162"/>
      <c r="C3661" s="162"/>
      <c r="D3661" s="162"/>
      <c r="E3661" s="162"/>
      <c r="F3661" s="163"/>
      <c r="G3661" s="164"/>
      <c r="H3661" s="165"/>
    </row>
    <row r="3662" spans="1:8" ht="13.5" thickBot="1" x14ac:dyDescent="0.3">
      <c r="A3662" s="140"/>
      <c r="B3662" s="143" t="s">
        <v>5410</v>
      </c>
      <c r="C3662" s="144" t="s">
        <v>867</v>
      </c>
      <c r="D3662" s="144" t="s">
        <v>6</v>
      </c>
      <c r="E3662" s="144" t="s">
        <v>870</v>
      </c>
      <c r="F3662" s="144" t="s">
        <v>5411</v>
      </c>
      <c r="G3662" s="145" t="s">
        <v>868</v>
      </c>
      <c r="H3662" s="134"/>
    </row>
    <row r="3663" spans="1:8" x14ac:dyDescent="0.25">
      <c r="A3663" s="140"/>
      <c r="B3663" s="201"/>
      <c r="C3663" s="147"/>
      <c r="D3663" s="211"/>
      <c r="E3663" s="366"/>
      <c r="F3663" s="167"/>
      <c r="G3663" s="367"/>
      <c r="H3663" s="134"/>
    </row>
    <row r="3664" spans="1:8" x14ac:dyDescent="0.25">
      <c r="A3664" s="140"/>
      <c r="B3664" s="196"/>
      <c r="C3664" s="151"/>
      <c r="D3664" s="151"/>
      <c r="E3664" s="366"/>
      <c r="F3664" s="147"/>
      <c r="G3664" s="367"/>
      <c r="H3664" s="134"/>
    </row>
    <row r="3665" spans="1:8" x14ac:dyDescent="0.25">
      <c r="A3665" s="140"/>
      <c r="B3665" s="196"/>
      <c r="C3665" s="151"/>
      <c r="D3665" s="151"/>
      <c r="E3665" s="148"/>
      <c r="F3665" s="151"/>
      <c r="G3665" s="367"/>
      <c r="H3665" s="134"/>
    </row>
    <row r="3666" spans="1:8" x14ac:dyDescent="0.25">
      <c r="A3666" s="140"/>
      <c r="B3666" s="155"/>
      <c r="C3666" s="151"/>
      <c r="D3666" s="151"/>
      <c r="E3666" s="148"/>
      <c r="F3666" s="151"/>
      <c r="G3666" s="367"/>
      <c r="H3666" s="134"/>
    </row>
    <row r="3667" spans="1:8" x14ac:dyDescent="0.25">
      <c r="A3667" s="140"/>
      <c r="B3667" s="155"/>
      <c r="C3667" s="151"/>
      <c r="D3667" s="151"/>
      <c r="E3667" s="148"/>
      <c r="F3667" s="151"/>
      <c r="G3667" s="367"/>
      <c r="H3667" s="134"/>
    </row>
    <row r="3668" spans="1:8" ht="13.5" thickBot="1" x14ac:dyDescent="0.3">
      <c r="A3668" s="140"/>
      <c r="B3668" s="155"/>
      <c r="C3668" s="151"/>
      <c r="D3668" s="151"/>
      <c r="E3668" s="148"/>
      <c r="F3668" s="151"/>
      <c r="G3668" s="367"/>
      <c r="H3668" s="134"/>
    </row>
    <row r="3669" spans="1:8" ht="13.5" thickBot="1" x14ac:dyDescent="0.3">
      <c r="A3669" s="140"/>
      <c r="B3669" s="157"/>
      <c r="C3669" s="159"/>
      <c r="D3669" s="159"/>
      <c r="E3669" s="159"/>
      <c r="F3669" s="158"/>
      <c r="G3669" s="160"/>
      <c r="H3669" s="161">
        <f>+SUM(G3663:G3669)</f>
        <v>0</v>
      </c>
    </row>
    <row r="3670" spans="1:8" ht="13.5" thickBot="1" x14ac:dyDescent="0.3">
      <c r="A3670" s="140"/>
      <c r="B3670" s="162"/>
      <c r="C3670" s="162"/>
      <c r="D3670" s="162"/>
      <c r="E3670" s="162"/>
      <c r="F3670" s="173"/>
      <c r="G3670" s="174"/>
      <c r="H3670" s="165"/>
    </row>
    <row r="3671" spans="1:8" ht="13.5" thickBot="1" x14ac:dyDescent="0.3">
      <c r="A3671" s="140"/>
      <c r="B3671" s="143" t="s">
        <v>5412</v>
      </c>
      <c r="C3671" s="144" t="s">
        <v>5420</v>
      </c>
      <c r="D3671" s="144" t="s">
        <v>5421</v>
      </c>
      <c r="E3671" s="144" t="s">
        <v>5413</v>
      </c>
      <c r="F3671" s="144" t="s">
        <v>5405</v>
      </c>
      <c r="G3671" s="145" t="s">
        <v>868</v>
      </c>
      <c r="H3671" s="134"/>
    </row>
    <row r="3672" spans="1:8" x14ac:dyDescent="0.25">
      <c r="A3672" s="140"/>
      <c r="B3672" s="194" t="s">
        <v>5650</v>
      </c>
      <c r="C3672" s="345">
        <v>70000</v>
      </c>
      <c r="D3672" s="345">
        <f>+C3672*0.85</f>
        <v>59500</v>
      </c>
      <c r="E3672" s="353">
        <f>+C3672+D3672</f>
        <v>129500</v>
      </c>
      <c r="F3672" s="204">
        <v>100</v>
      </c>
      <c r="G3672" s="351">
        <f>+E3672/F3672</f>
        <v>1295</v>
      </c>
      <c r="H3672" s="134"/>
    </row>
    <row r="3673" spans="1:8" x14ac:dyDescent="0.25">
      <c r="A3673" s="140"/>
      <c r="B3673" s="194" t="s">
        <v>5651</v>
      </c>
      <c r="C3673" s="345">
        <v>40000</v>
      </c>
      <c r="D3673" s="345">
        <f>+C3673*0.85</f>
        <v>34000</v>
      </c>
      <c r="E3673" s="353">
        <f>+C3673+D3673</f>
        <v>74000</v>
      </c>
      <c r="F3673" s="204">
        <v>6</v>
      </c>
      <c r="G3673" s="351">
        <f>+E3673/F3673</f>
        <v>12333.333333333334</v>
      </c>
      <c r="H3673" s="134"/>
    </row>
    <row r="3674" spans="1:8" x14ac:dyDescent="0.25">
      <c r="A3674" s="140"/>
      <c r="B3674" s="195" t="s">
        <v>5635</v>
      </c>
      <c r="C3674" s="345">
        <v>20600</v>
      </c>
      <c r="D3674" s="345">
        <f>+C3674*0.85</f>
        <v>17510</v>
      </c>
      <c r="E3674" s="353">
        <f>+C3674+D3674</f>
        <v>38110</v>
      </c>
      <c r="F3674" s="205">
        <v>3</v>
      </c>
      <c r="G3674" s="351">
        <f>+E3674/F3674</f>
        <v>12703.333333333334</v>
      </c>
      <c r="H3674" s="134"/>
    </row>
    <row r="3675" spans="1:8" x14ac:dyDescent="0.25">
      <c r="A3675" s="140"/>
      <c r="B3675" s="155"/>
      <c r="C3675" s="152"/>
      <c r="D3675" s="152"/>
      <c r="E3675" s="152"/>
      <c r="F3675" s="151"/>
      <c r="G3675" s="156"/>
      <c r="H3675" s="134"/>
    </row>
    <row r="3676" spans="1:8" x14ac:dyDescent="0.25">
      <c r="A3676" s="140"/>
      <c r="B3676" s="155"/>
      <c r="C3676" s="152"/>
      <c r="D3676" s="152"/>
      <c r="E3676" s="152"/>
      <c r="F3676" s="151"/>
      <c r="G3676" s="156"/>
      <c r="H3676" s="134"/>
    </row>
    <row r="3677" spans="1:8" ht="13.5" thickBot="1" x14ac:dyDescent="0.3">
      <c r="A3677" s="140"/>
      <c r="B3677" s="155"/>
      <c r="C3677" s="152"/>
      <c r="D3677" s="152"/>
      <c r="E3677" s="152"/>
      <c r="F3677" s="151"/>
      <c r="G3677" s="156"/>
      <c r="H3677" s="134"/>
    </row>
    <row r="3678" spans="1:8" ht="13.5" thickBot="1" x14ac:dyDescent="0.3">
      <c r="A3678" s="140"/>
      <c r="B3678" s="179"/>
      <c r="C3678" s="180"/>
      <c r="D3678" s="180"/>
      <c r="E3678" s="180"/>
      <c r="F3678" s="181"/>
      <c r="G3678" s="182"/>
      <c r="H3678" s="161">
        <f>+SUM(G3672:G3678)</f>
        <v>26331.666666666668</v>
      </c>
    </row>
    <row r="3679" spans="1:8" ht="13.5" thickBot="1" x14ac:dyDescent="0.3">
      <c r="A3679" s="140"/>
      <c r="B3679" s="140"/>
      <c r="C3679" s="140"/>
      <c r="D3679" s="140"/>
      <c r="E3679" s="140"/>
      <c r="F3679" s="141"/>
      <c r="G3679" s="134"/>
      <c r="H3679" s="134"/>
    </row>
    <row r="3680" spans="1:8" ht="13.5" thickBot="1" x14ac:dyDescent="0.3">
      <c r="A3680" s="140"/>
      <c r="B3680" s="140"/>
      <c r="C3680" s="140"/>
      <c r="D3680" s="140"/>
      <c r="E3680" s="183" t="s">
        <v>5415</v>
      </c>
      <c r="F3680" s="141"/>
      <c r="G3680" s="134"/>
      <c r="H3680" s="161">
        <f>ROUND(+H3645+H3660+H3669+H3678,0)</f>
        <v>153319</v>
      </c>
    </row>
    <row r="3685" spans="1:8" ht="18.75" x14ac:dyDescent="0.25">
      <c r="A3685" s="133"/>
      <c r="B3685" s="2506" t="s">
        <v>5400</v>
      </c>
      <c r="C3685" s="2506"/>
      <c r="D3685" s="2506"/>
      <c r="E3685" s="2506"/>
      <c r="F3685" s="2506"/>
      <c r="G3685" s="2506"/>
    </row>
    <row r="3686" spans="1:8" x14ac:dyDescent="0.25">
      <c r="A3686" s="133"/>
      <c r="G3686" s="134"/>
    </row>
    <row r="3687" spans="1:8" ht="12.75" customHeight="1" x14ac:dyDescent="0.25">
      <c r="A3687" s="133"/>
      <c r="G3687" s="134"/>
    </row>
    <row r="3688" spans="1:8" x14ac:dyDescent="0.25">
      <c r="A3688" s="133"/>
      <c r="G3688" s="134"/>
    </row>
    <row r="3689" spans="1:8" x14ac:dyDescent="0.25">
      <c r="A3689" s="138" t="s">
        <v>3</v>
      </c>
      <c r="B3689" s="138" t="s">
        <v>173</v>
      </c>
      <c r="C3689" s="2450" t="s">
        <v>5987</v>
      </c>
      <c r="D3689" s="2450"/>
      <c r="E3689" s="2450"/>
      <c r="F3689" s="138" t="s">
        <v>867</v>
      </c>
      <c r="G3689" s="139" t="s">
        <v>5454</v>
      </c>
      <c r="H3689" s="134"/>
    </row>
    <row r="3690" spans="1:8" ht="12.75" customHeight="1" x14ac:dyDescent="0.25">
      <c r="A3690" s="141"/>
      <c r="B3690" s="140"/>
      <c r="C3690" s="140"/>
      <c r="D3690" s="140"/>
      <c r="E3690" s="140"/>
      <c r="F3690" s="141"/>
      <c r="G3690" s="134"/>
      <c r="H3690" s="134"/>
    </row>
    <row r="3691" spans="1:8" x14ac:dyDescent="0.25">
      <c r="A3691" s="141"/>
      <c r="B3691" s="140"/>
      <c r="C3691" s="140"/>
      <c r="D3691" s="140"/>
      <c r="E3691" s="140"/>
      <c r="F3691" s="141"/>
      <c r="G3691" s="142"/>
      <c r="H3691" s="134"/>
    </row>
    <row r="3692" spans="1:8" ht="13.5" thickBot="1" x14ac:dyDescent="0.3">
      <c r="A3692" s="141"/>
      <c r="B3692" s="140"/>
      <c r="C3692" s="140"/>
      <c r="D3692" s="140"/>
      <c r="E3692" s="140"/>
      <c r="F3692" s="141"/>
      <c r="G3692" s="134"/>
      <c r="H3692" s="134"/>
    </row>
    <row r="3693" spans="1:8" ht="13.5" thickBot="1" x14ac:dyDescent="0.3">
      <c r="A3693" s="141"/>
      <c r="B3693" s="143" t="s">
        <v>5403</v>
      </c>
      <c r="C3693" s="144" t="s">
        <v>867</v>
      </c>
      <c r="D3693" s="144" t="s">
        <v>6</v>
      </c>
      <c r="E3693" s="144" t="s">
        <v>5404</v>
      </c>
      <c r="F3693" s="144" t="s">
        <v>5405</v>
      </c>
      <c r="G3693" s="145" t="s">
        <v>868</v>
      </c>
      <c r="H3693" s="134"/>
    </row>
    <row r="3694" spans="1:8" x14ac:dyDescent="0.25">
      <c r="A3694" s="141"/>
      <c r="B3694" s="146" t="s">
        <v>5440</v>
      </c>
      <c r="C3694" s="147" t="s">
        <v>5406</v>
      </c>
      <c r="D3694" s="147"/>
      <c r="E3694" s="148">
        <f>+H3733</f>
        <v>35150</v>
      </c>
      <c r="F3694" s="211">
        <v>0.05</v>
      </c>
      <c r="G3694" s="360">
        <f>+E3694*F3694</f>
        <v>1757.5</v>
      </c>
      <c r="H3694" s="134"/>
    </row>
    <row r="3695" spans="1:8" x14ac:dyDescent="0.25">
      <c r="A3695" s="141"/>
      <c r="B3695" s="150"/>
      <c r="C3695" s="151"/>
      <c r="D3695" s="151"/>
      <c r="E3695" s="366"/>
      <c r="F3695" s="208"/>
      <c r="G3695" s="360"/>
      <c r="H3695" s="134"/>
    </row>
    <row r="3696" spans="1:8" x14ac:dyDescent="0.25">
      <c r="A3696" s="141"/>
      <c r="B3696" s="154"/>
      <c r="C3696" s="151"/>
      <c r="D3696" s="151"/>
      <c r="E3696" s="366"/>
      <c r="F3696" s="151"/>
      <c r="G3696" s="360"/>
      <c r="H3696" s="134"/>
    </row>
    <row r="3697" spans="1:8" x14ac:dyDescent="0.25">
      <c r="A3697" s="141"/>
      <c r="B3697" s="155"/>
      <c r="C3697" s="151"/>
      <c r="D3697" s="152"/>
      <c r="E3697" s="152"/>
      <c r="F3697" s="151"/>
      <c r="G3697" s="156"/>
      <c r="H3697" s="134"/>
    </row>
    <row r="3698" spans="1:8" x14ac:dyDescent="0.25">
      <c r="A3698" s="141"/>
      <c r="B3698" s="155"/>
      <c r="C3698" s="151"/>
      <c r="D3698" s="152"/>
      <c r="E3698" s="152"/>
      <c r="F3698" s="151"/>
      <c r="G3698" s="156"/>
      <c r="H3698" s="134"/>
    </row>
    <row r="3699" spans="1:8" ht="13.5" thickBot="1" x14ac:dyDescent="0.3">
      <c r="A3699" s="141"/>
      <c r="B3699" s="155"/>
      <c r="C3699" s="151"/>
      <c r="D3699" s="152"/>
      <c r="E3699" s="152"/>
      <c r="F3699" s="151"/>
      <c r="G3699" s="156"/>
      <c r="H3699" s="134"/>
    </row>
    <row r="3700" spans="1:8" ht="13.5" thickBot="1" x14ac:dyDescent="0.3">
      <c r="A3700" s="141"/>
      <c r="B3700" s="157"/>
      <c r="C3700" s="158"/>
      <c r="D3700" s="159"/>
      <c r="E3700" s="159"/>
      <c r="F3700" s="158"/>
      <c r="G3700" s="160"/>
      <c r="H3700" s="161">
        <f>+SUM(G3694:G3700)</f>
        <v>1757.5</v>
      </c>
    </row>
    <row r="3701" spans="1:8" ht="13.5" thickBot="1" x14ac:dyDescent="0.3">
      <c r="A3701" s="141"/>
      <c r="B3701" s="162"/>
      <c r="C3701" s="163"/>
      <c r="D3701" s="162"/>
      <c r="E3701" s="162"/>
      <c r="F3701" s="163"/>
      <c r="G3701" s="164"/>
      <c r="H3701" s="165"/>
    </row>
    <row r="3702" spans="1:8" ht="13.5" thickBot="1" x14ac:dyDescent="0.3">
      <c r="A3702" s="140"/>
      <c r="B3702" s="143" t="s">
        <v>5408</v>
      </c>
      <c r="C3702" s="144" t="s">
        <v>867</v>
      </c>
      <c r="D3702" s="144" t="s">
        <v>6</v>
      </c>
      <c r="E3702" s="144" t="s">
        <v>870</v>
      </c>
      <c r="F3702" s="144" t="s">
        <v>5409</v>
      </c>
      <c r="G3702" s="145" t="s">
        <v>868</v>
      </c>
      <c r="H3702" s="134"/>
    </row>
    <row r="3703" spans="1:8" x14ac:dyDescent="0.25">
      <c r="A3703" s="140"/>
      <c r="B3703" s="201" t="s">
        <v>5988</v>
      </c>
      <c r="C3703" s="147" t="s">
        <v>5464</v>
      </c>
      <c r="D3703" s="211">
        <v>1</v>
      </c>
      <c r="E3703" s="366">
        <v>60000</v>
      </c>
      <c r="F3703" s="169">
        <v>0.1</v>
      </c>
      <c r="G3703" s="367">
        <f>+D3703*E3703*(1+F3703)</f>
        <v>66000</v>
      </c>
      <c r="H3703" s="134"/>
    </row>
    <row r="3704" spans="1:8" x14ac:dyDescent="0.25">
      <c r="A3704" s="140"/>
      <c r="B3704" s="196" t="s">
        <v>5712</v>
      </c>
      <c r="C3704" s="151" t="s">
        <v>5464</v>
      </c>
      <c r="D3704" s="197">
        <v>0.15</v>
      </c>
      <c r="E3704" s="366">
        <v>80000</v>
      </c>
      <c r="F3704" s="169">
        <v>0.2</v>
      </c>
      <c r="G3704" s="367">
        <f>+D3704*E3704*(1+F3704)</f>
        <v>14400</v>
      </c>
      <c r="H3704" s="134"/>
    </row>
    <row r="3705" spans="1:8" x14ac:dyDescent="0.25">
      <c r="A3705" s="140"/>
      <c r="B3705" s="196"/>
      <c r="C3705" s="151"/>
      <c r="D3705" s="197"/>
      <c r="E3705" s="366"/>
      <c r="F3705" s="169"/>
      <c r="G3705" s="367"/>
      <c r="H3705" s="134"/>
    </row>
    <row r="3706" spans="1:8" x14ac:dyDescent="0.25">
      <c r="A3706" s="140"/>
      <c r="B3706" s="196"/>
      <c r="C3706" s="151"/>
      <c r="D3706" s="197"/>
      <c r="E3706" s="366"/>
      <c r="F3706" s="169"/>
      <c r="G3706" s="367"/>
      <c r="H3706" s="134"/>
    </row>
    <row r="3707" spans="1:8" x14ac:dyDescent="0.25">
      <c r="A3707" s="140"/>
      <c r="B3707" s="155"/>
      <c r="C3707" s="151"/>
      <c r="D3707" s="151"/>
      <c r="E3707" s="148"/>
      <c r="F3707" s="151"/>
      <c r="G3707" s="367"/>
      <c r="H3707" s="134"/>
    </row>
    <row r="3708" spans="1:8" x14ac:dyDescent="0.25">
      <c r="A3708" s="140"/>
      <c r="B3708" s="155"/>
      <c r="C3708" s="151"/>
      <c r="D3708" s="151"/>
      <c r="E3708" s="148"/>
      <c r="F3708" s="151"/>
      <c r="G3708" s="367"/>
      <c r="H3708" s="134"/>
    </row>
    <row r="3709" spans="1:8" x14ac:dyDescent="0.25">
      <c r="A3709" s="140"/>
      <c r="B3709" s="155"/>
      <c r="C3709" s="151"/>
      <c r="D3709" s="151"/>
      <c r="E3709" s="148"/>
      <c r="F3709" s="151"/>
      <c r="G3709" s="367"/>
      <c r="H3709" s="134"/>
    </row>
    <row r="3710" spans="1:8" x14ac:dyDescent="0.25">
      <c r="A3710" s="140"/>
      <c r="B3710" s="155"/>
      <c r="C3710" s="151"/>
      <c r="D3710" s="151"/>
      <c r="E3710" s="148"/>
      <c r="F3710" s="151"/>
      <c r="G3710" s="367"/>
      <c r="H3710" s="134"/>
    </row>
    <row r="3711" spans="1:8" x14ac:dyDescent="0.25">
      <c r="A3711" s="140"/>
      <c r="B3711" s="155"/>
      <c r="C3711" s="151"/>
      <c r="D3711" s="151"/>
      <c r="E3711" s="148"/>
      <c r="F3711" s="151"/>
      <c r="G3711" s="367"/>
      <c r="H3711" s="134"/>
    </row>
    <row r="3712" spans="1:8" x14ac:dyDescent="0.25">
      <c r="A3712" s="140"/>
      <c r="B3712" s="155"/>
      <c r="C3712" s="151"/>
      <c r="D3712" s="151"/>
      <c r="E3712" s="148"/>
      <c r="F3712" s="151"/>
      <c r="G3712" s="367"/>
      <c r="H3712" s="134"/>
    </row>
    <row r="3713" spans="1:8" x14ac:dyDescent="0.25">
      <c r="A3713" s="140"/>
      <c r="B3713" s="155"/>
      <c r="C3713" s="152"/>
      <c r="D3713" s="152"/>
      <c r="E3713" s="152"/>
      <c r="F3713" s="151"/>
      <c r="G3713" s="156"/>
      <c r="H3713" s="134"/>
    </row>
    <row r="3714" spans="1:8" ht="13.5" thickBot="1" x14ac:dyDescent="0.3">
      <c r="A3714" s="140"/>
      <c r="B3714" s="155"/>
      <c r="C3714" s="152"/>
      <c r="D3714" s="152"/>
      <c r="E3714" s="152"/>
      <c r="F3714" s="151"/>
      <c r="G3714" s="156"/>
      <c r="H3714" s="134"/>
    </row>
    <row r="3715" spans="1:8" ht="13.5" thickBot="1" x14ac:dyDescent="0.3">
      <c r="A3715" s="140"/>
      <c r="B3715" s="157"/>
      <c r="C3715" s="159"/>
      <c r="D3715" s="159"/>
      <c r="E3715" s="159"/>
      <c r="F3715" s="158"/>
      <c r="G3715" s="160"/>
      <c r="H3715" s="161">
        <f>+SUM(G3703:G3715)</f>
        <v>80400</v>
      </c>
    </row>
    <row r="3716" spans="1:8" ht="13.5" thickBot="1" x14ac:dyDescent="0.3">
      <c r="A3716" s="140"/>
      <c r="B3716" s="162"/>
      <c r="C3716" s="162"/>
      <c r="D3716" s="162"/>
      <c r="E3716" s="162"/>
      <c r="F3716" s="163"/>
      <c r="G3716" s="164"/>
      <c r="H3716" s="165"/>
    </row>
    <row r="3717" spans="1:8" ht="13.5" thickBot="1" x14ac:dyDescent="0.3">
      <c r="A3717" s="140"/>
      <c r="B3717" s="143" t="s">
        <v>5410</v>
      </c>
      <c r="C3717" s="144" t="s">
        <v>867</v>
      </c>
      <c r="D3717" s="144" t="s">
        <v>6</v>
      </c>
      <c r="E3717" s="144" t="s">
        <v>870</v>
      </c>
      <c r="F3717" s="144" t="s">
        <v>5411</v>
      </c>
      <c r="G3717" s="145" t="s">
        <v>868</v>
      </c>
      <c r="H3717" s="134"/>
    </row>
    <row r="3718" spans="1:8" x14ac:dyDescent="0.25">
      <c r="A3718" s="140"/>
      <c r="B3718" s="201"/>
      <c r="C3718" s="147"/>
      <c r="D3718" s="211"/>
      <c r="E3718" s="366"/>
      <c r="F3718" s="167"/>
      <c r="G3718" s="367"/>
      <c r="H3718" s="134"/>
    </row>
    <row r="3719" spans="1:8" x14ac:dyDescent="0.25">
      <c r="A3719" s="140"/>
      <c r="B3719" s="196"/>
      <c r="C3719" s="151"/>
      <c r="D3719" s="151"/>
      <c r="E3719" s="366"/>
      <c r="F3719" s="147"/>
      <c r="G3719" s="367"/>
      <c r="H3719" s="134"/>
    </row>
    <row r="3720" spans="1:8" x14ac:dyDescent="0.25">
      <c r="A3720" s="140"/>
      <c r="B3720" s="196"/>
      <c r="C3720" s="151"/>
      <c r="D3720" s="151"/>
      <c r="E3720" s="148"/>
      <c r="F3720" s="151"/>
      <c r="G3720" s="367"/>
      <c r="H3720" s="134"/>
    </row>
    <row r="3721" spans="1:8" x14ac:dyDescent="0.25">
      <c r="A3721" s="140"/>
      <c r="B3721" s="155"/>
      <c r="C3721" s="151"/>
      <c r="D3721" s="151"/>
      <c r="E3721" s="148"/>
      <c r="F3721" s="151"/>
      <c r="G3721" s="367"/>
      <c r="H3721" s="134"/>
    </row>
    <row r="3722" spans="1:8" x14ac:dyDescent="0.25">
      <c r="A3722" s="140"/>
      <c r="B3722" s="155"/>
      <c r="C3722" s="151"/>
      <c r="D3722" s="151"/>
      <c r="E3722" s="148"/>
      <c r="F3722" s="151"/>
      <c r="G3722" s="367"/>
      <c r="H3722" s="134"/>
    </row>
    <row r="3723" spans="1:8" ht="13.5" thickBot="1" x14ac:dyDescent="0.3">
      <c r="A3723" s="140"/>
      <c r="B3723" s="155"/>
      <c r="C3723" s="151"/>
      <c r="D3723" s="151"/>
      <c r="E3723" s="148"/>
      <c r="F3723" s="151"/>
      <c r="G3723" s="367"/>
      <c r="H3723" s="134"/>
    </row>
    <row r="3724" spans="1:8" ht="13.5" thickBot="1" x14ac:dyDescent="0.3">
      <c r="A3724" s="140"/>
      <c r="B3724" s="157"/>
      <c r="C3724" s="159"/>
      <c r="D3724" s="159"/>
      <c r="E3724" s="159"/>
      <c r="F3724" s="158"/>
      <c r="G3724" s="160"/>
      <c r="H3724" s="161">
        <f>+SUM(G3718:G3724)</f>
        <v>0</v>
      </c>
    </row>
    <row r="3725" spans="1:8" ht="13.5" thickBot="1" x14ac:dyDescent="0.3">
      <c r="A3725" s="140"/>
      <c r="B3725" s="162"/>
      <c r="C3725" s="162"/>
      <c r="D3725" s="162"/>
      <c r="E3725" s="162"/>
      <c r="F3725" s="173"/>
      <c r="G3725" s="174"/>
      <c r="H3725" s="165"/>
    </row>
    <row r="3726" spans="1:8" ht="13.5" thickBot="1" x14ac:dyDescent="0.3">
      <c r="A3726" s="140"/>
      <c r="B3726" s="143" t="s">
        <v>5412</v>
      </c>
      <c r="C3726" s="144" t="s">
        <v>5420</v>
      </c>
      <c r="D3726" s="144" t="s">
        <v>5421</v>
      </c>
      <c r="E3726" s="144" t="s">
        <v>5413</v>
      </c>
      <c r="F3726" s="144" t="s">
        <v>5405</v>
      </c>
      <c r="G3726" s="145" t="s">
        <v>868</v>
      </c>
      <c r="H3726" s="134"/>
    </row>
    <row r="3727" spans="1:8" x14ac:dyDescent="0.25">
      <c r="A3727" s="140"/>
      <c r="B3727" s="194" t="s">
        <v>5650</v>
      </c>
      <c r="C3727" s="345">
        <v>70000</v>
      </c>
      <c r="D3727" s="345">
        <f>+C3727*0.85</f>
        <v>59500</v>
      </c>
      <c r="E3727" s="353">
        <f>+C3727+D3727</f>
        <v>129500</v>
      </c>
      <c r="F3727" s="204">
        <v>100</v>
      </c>
      <c r="G3727" s="351">
        <f>+E3727/F3727</f>
        <v>1295</v>
      </c>
      <c r="H3727" s="134"/>
    </row>
    <row r="3728" spans="1:8" x14ac:dyDescent="0.25">
      <c r="A3728" s="140"/>
      <c r="B3728" s="194" t="s">
        <v>5651</v>
      </c>
      <c r="C3728" s="345">
        <v>40000</v>
      </c>
      <c r="D3728" s="345">
        <f>+C3728*0.85</f>
        <v>34000</v>
      </c>
      <c r="E3728" s="353">
        <f>+C3728+D3728</f>
        <v>74000</v>
      </c>
      <c r="F3728" s="204">
        <v>5</v>
      </c>
      <c r="G3728" s="351">
        <f>+E3728/F3728</f>
        <v>14800</v>
      </c>
      <c r="H3728" s="134"/>
    </row>
    <row r="3729" spans="1:8" x14ac:dyDescent="0.25">
      <c r="A3729" s="140"/>
      <c r="B3729" s="195" t="s">
        <v>5635</v>
      </c>
      <c r="C3729" s="345">
        <v>20600</v>
      </c>
      <c r="D3729" s="345">
        <f>+C3729*0.85</f>
        <v>17510</v>
      </c>
      <c r="E3729" s="353">
        <f>+C3729+D3729</f>
        <v>38110</v>
      </c>
      <c r="F3729" s="205">
        <v>2</v>
      </c>
      <c r="G3729" s="351">
        <f>+E3729/F3729</f>
        <v>19055</v>
      </c>
      <c r="H3729" s="134"/>
    </row>
    <row r="3730" spans="1:8" x14ac:dyDescent="0.25">
      <c r="A3730" s="140"/>
      <c r="B3730" s="155"/>
      <c r="C3730" s="152"/>
      <c r="D3730" s="152"/>
      <c r="E3730" s="152"/>
      <c r="F3730" s="151"/>
      <c r="G3730" s="156"/>
      <c r="H3730" s="134"/>
    </row>
    <row r="3731" spans="1:8" x14ac:dyDescent="0.25">
      <c r="A3731" s="140"/>
      <c r="B3731" s="155"/>
      <c r="C3731" s="152"/>
      <c r="D3731" s="152"/>
      <c r="E3731" s="152"/>
      <c r="F3731" s="151"/>
      <c r="G3731" s="156"/>
      <c r="H3731" s="134"/>
    </row>
    <row r="3732" spans="1:8" ht="13.5" thickBot="1" x14ac:dyDescent="0.3">
      <c r="A3732" s="140"/>
      <c r="B3732" s="155"/>
      <c r="C3732" s="152"/>
      <c r="D3732" s="152"/>
      <c r="E3732" s="152"/>
      <c r="F3732" s="151"/>
      <c r="G3732" s="156"/>
      <c r="H3732" s="134"/>
    </row>
    <row r="3733" spans="1:8" ht="13.5" thickBot="1" x14ac:dyDescent="0.3">
      <c r="A3733" s="140"/>
      <c r="B3733" s="179"/>
      <c r="C3733" s="180"/>
      <c r="D3733" s="180"/>
      <c r="E3733" s="180"/>
      <c r="F3733" s="181"/>
      <c r="G3733" s="182"/>
      <c r="H3733" s="161">
        <f>+SUM(G3727:G3733)</f>
        <v>35150</v>
      </c>
    </row>
    <row r="3734" spans="1:8" ht="13.5" thickBot="1" x14ac:dyDescent="0.3">
      <c r="A3734" s="140"/>
      <c r="B3734" s="140"/>
      <c r="C3734" s="140"/>
      <c r="D3734" s="140"/>
      <c r="E3734" s="140"/>
      <c r="F3734" s="141"/>
      <c r="G3734" s="134"/>
      <c r="H3734" s="134"/>
    </row>
    <row r="3735" spans="1:8" ht="13.5" thickBot="1" x14ac:dyDescent="0.3">
      <c r="A3735" s="140"/>
      <c r="B3735" s="140"/>
      <c r="C3735" s="140"/>
      <c r="D3735" s="140"/>
      <c r="E3735" s="183" t="s">
        <v>5415</v>
      </c>
      <c r="F3735" s="141"/>
      <c r="G3735" s="134"/>
      <c r="H3735" s="161">
        <f>ROUND(+H3700+H3715+H3724+H3733,0)</f>
        <v>117308</v>
      </c>
    </row>
    <row r="3738" spans="1:8" ht="12.75" customHeight="1" x14ac:dyDescent="0.25"/>
    <row r="3740" spans="1:8" ht="18.75" x14ac:dyDescent="0.25">
      <c r="A3740" s="133"/>
      <c r="B3740" s="2506" t="s">
        <v>5400</v>
      </c>
      <c r="C3740" s="2506"/>
      <c r="D3740" s="2506"/>
      <c r="E3740" s="2506"/>
      <c r="F3740" s="2506"/>
      <c r="G3740" s="2506"/>
    </row>
    <row r="3741" spans="1:8" x14ac:dyDescent="0.25">
      <c r="A3741" s="133"/>
      <c r="G3741" s="134"/>
    </row>
    <row r="3742" spans="1:8" ht="15" customHeight="1" x14ac:dyDescent="0.25">
      <c r="A3742" s="133"/>
      <c r="G3742" s="134"/>
    </row>
    <row r="3743" spans="1:8" x14ac:dyDescent="0.25">
      <c r="A3743" s="133"/>
      <c r="G3743" s="134"/>
    </row>
    <row r="3744" spans="1:8" ht="15" x14ac:dyDescent="0.25">
      <c r="A3744" s="138" t="s">
        <v>3</v>
      </c>
      <c r="B3744" s="138" t="s">
        <v>173</v>
      </c>
      <c r="C3744" s="2450" t="s">
        <v>186</v>
      </c>
      <c r="D3744" s="2450"/>
      <c r="E3744" s="2450"/>
      <c r="F3744" s="138" t="s">
        <v>867</v>
      </c>
      <c r="G3744" s="139" t="s">
        <v>5989</v>
      </c>
      <c r="H3744" s="134"/>
    </row>
    <row r="3745" spans="1:8" ht="12.75" customHeight="1" x14ac:dyDescent="0.25">
      <c r="A3745" s="141"/>
      <c r="B3745" s="140"/>
      <c r="C3745" s="140"/>
      <c r="D3745" s="140"/>
      <c r="E3745" s="140"/>
      <c r="F3745" s="141"/>
      <c r="G3745" s="134"/>
      <c r="H3745" s="134"/>
    </row>
    <row r="3746" spans="1:8" x14ac:dyDescent="0.25">
      <c r="A3746" s="141"/>
      <c r="B3746" s="140"/>
      <c r="C3746" s="140"/>
      <c r="D3746" s="140"/>
      <c r="E3746" s="140"/>
      <c r="F3746" s="141"/>
      <c r="G3746" s="142"/>
      <c r="H3746" s="134"/>
    </row>
    <row r="3747" spans="1:8" ht="13.5" thickBot="1" x14ac:dyDescent="0.3">
      <c r="A3747" s="141"/>
      <c r="B3747" s="140"/>
      <c r="C3747" s="140"/>
      <c r="D3747" s="140"/>
      <c r="E3747" s="140"/>
      <c r="F3747" s="141"/>
      <c r="G3747" s="134"/>
      <c r="H3747" s="134"/>
    </row>
    <row r="3748" spans="1:8" ht="13.5" thickBot="1" x14ac:dyDescent="0.3">
      <c r="A3748" s="141"/>
      <c r="B3748" s="143" t="s">
        <v>5403</v>
      </c>
      <c r="C3748" s="144" t="s">
        <v>867</v>
      </c>
      <c r="D3748" s="144" t="s">
        <v>6</v>
      </c>
      <c r="E3748" s="144" t="s">
        <v>5404</v>
      </c>
      <c r="F3748" s="144" t="s">
        <v>5405</v>
      </c>
      <c r="G3748" s="145" t="s">
        <v>868</v>
      </c>
      <c r="H3748" s="134"/>
    </row>
    <row r="3749" spans="1:8" x14ac:dyDescent="0.25">
      <c r="A3749" s="141"/>
      <c r="B3749" s="146" t="s">
        <v>5440</v>
      </c>
      <c r="C3749" s="147" t="s">
        <v>5406</v>
      </c>
      <c r="D3749" s="147"/>
      <c r="E3749" s="148">
        <f>+H3788</f>
        <v>1631.7</v>
      </c>
      <c r="F3749" s="211">
        <v>0.05</v>
      </c>
      <c r="G3749" s="360">
        <f>+E3749*F3749</f>
        <v>81.585000000000008</v>
      </c>
      <c r="H3749" s="134"/>
    </row>
    <row r="3750" spans="1:8" x14ac:dyDescent="0.25">
      <c r="A3750" s="141"/>
      <c r="B3750" s="150"/>
      <c r="C3750" s="151"/>
      <c r="D3750" s="151"/>
      <c r="E3750" s="366"/>
      <c r="F3750" s="208"/>
      <c r="G3750" s="360"/>
      <c r="H3750" s="134"/>
    </row>
    <row r="3751" spans="1:8" x14ac:dyDescent="0.25">
      <c r="A3751" s="141"/>
      <c r="B3751" s="154"/>
      <c r="C3751" s="151"/>
      <c r="D3751" s="151"/>
      <c r="E3751" s="366"/>
      <c r="F3751" s="151"/>
      <c r="G3751" s="360"/>
      <c r="H3751" s="134"/>
    </row>
    <row r="3752" spans="1:8" x14ac:dyDescent="0.25">
      <c r="A3752" s="141"/>
      <c r="B3752" s="155"/>
      <c r="C3752" s="151"/>
      <c r="D3752" s="152"/>
      <c r="E3752" s="152"/>
      <c r="F3752" s="151"/>
      <c r="G3752" s="156"/>
      <c r="H3752" s="134"/>
    </row>
    <row r="3753" spans="1:8" x14ac:dyDescent="0.25">
      <c r="A3753" s="141"/>
      <c r="B3753" s="155"/>
      <c r="C3753" s="151"/>
      <c r="D3753" s="152"/>
      <c r="E3753" s="152"/>
      <c r="F3753" s="151"/>
      <c r="G3753" s="156"/>
      <c r="H3753" s="134"/>
    </row>
    <row r="3754" spans="1:8" ht="13.5" thickBot="1" x14ac:dyDescent="0.3">
      <c r="A3754" s="141"/>
      <c r="B3754" s="155"/>
      <c r="C3754" s="151"/>
      <c r="D3754" s="152"/>
      <c r="E3754" s="152"/>
      <c r="F3754" s="151"/>
      <c r="G3754" s="156"/>
      <c r="H3754" s="134"/>
    </row>
    <row r="3755" spans="1:8" ht="13.5" thickBot="1" x14ac:dyDescent="0.3">
      <c r="A3755" s="141"/>
      <c r="B3755" s="157"/>
      <c r="C3755" s="158"/>
      <c r="D3755" s="159"/>
      <c r="E3755" s="159"/>
      <c r="F3755" s="158"/>
      <c r="G3755" s="160"/>
      <c r="H3755" s="161">
        <f>+SUM(G3749:G3755)</f>
        <v>81.585000000000008</v>
      </c>
    </row>
    <row r="3756" spans="1:8" ht="13.5" thickBot="1" x14ac:dyDescent="0.3">
      <c r="A3756" s="141"/>
      <c r="B3756" s="162"/>
      <c r="C3756" s="163"/>
      <c r="D3756" s="162"/>
      <c r="E3756" s="162"/>
      <c r="F3756" s="163"/>
      <c r="G3756" s="164"/>
      <c r="H3756" s="165"/>
    </row>
    <row r="3757" spans="1:8" ht="13.5" thickBot="1" x14ac:dyDescent="0.3">
      <c r="A3757" s="140"/>
      <c r="B3757" s="143" t="s">
        <v>5408</v>
      </c>
      <c r="C3757" s="144" t="s">
        <v>867</v>
      </c>
      <c r="D3757" s="144" t="s">
        <v>6</v>
      </c>
      <c r="E3757" s="144" t="s">
        <v>870</v>
      </c>
      <c r="F3757" s="144" t="s">
        <v>5409</v>
      </c>
      <c r="G3757" s="145" t="s">
        <v>868</v>
      </c>
      <c r="H3757" s="134"/>
    </row>
    <row r="3758" spans="1:8" x14ac:dyDescent="0.25">
      <c r="A3758" s="140"/>
      <c r="B3758" s="196" t="s">
        <v>5713</v>
      </c>
      <c r="C3758" s="151" t="s">
        <v>17</v>
      </c>
      <c r="D3758" s="197">
        <v>1</v>
      </c>
      <c r="E3758" s="366">
        <v>3994</v>
      </c>
      <c r="F3758" s="169">
        <v>0.05</v>
      </c>
      <c r="G3758" s="367">
        <f>+D3758*E3758*(1+F3758)</f>
        <v>4193.7</v>
      </c>
      <c r="H3758" s="134"/>
    </row>
    <row r="3759" spans="1:8" x14ac:dyDescent="0.25">
      <c r="A3759" s="140"/>
      <c r="B3759" s="196"/>
      <c r="C3759" s="151"/>
      <c r="D3759" s="197"/>
      <c r="E3759" s="366"/>
      <c r="F3759" s="169"/>
      <c r="G3759" s="367"/>
      <c r="H3759" s="134"/>
    </row>
    <row r="3760" spans="1:8" x14ac:dyDescent="0.25">
      <c r="A3760" s="140"/>
      <c r="B3760" s="196"/>
      <c r="C3760" s="151"/>
      <c r="D3760" s="197"/>
      <c r="E3760" s="366"/>
      <c r="F3760" s="169"/>
      <c r="G3760" s="367"/>
      <c r="H3760" s="134"/>
    </row>
    <row r="3761" spans="1:8" x14ac:dyDescent="0.25">
      <c r="A3761" s="140"/>
      <c r="B3761" s="196"/>
      <c r="C3761" s="151"/>
      <c r="D3761" s="197"/>
      <c r="E3761" s="366"/>
      <c r="F3761" s="169"/>
      <c r="G3761" s="367"/>
      <c r="H3761" s="134"/>
    </row>
    <row r="3762" spans="1:8" x14ac:dyDescent="0.25">
      <c r="A3762" s="140"/>
      <c r="B3762" s="155"/>
      <c r="C3762" s="151"/>
      <c r="D3762" s="151"/>
      <c r="E3762" s="148"/>
      <c r="F3762" s="151"/>
      <c r="G3762" s="367"/>
      <c r="H3762" s="134"/>
    </row>
    <row r="3763" spans="1:8" x14ac:dyDescent="0.25">
      <c r="A3763" s="140"/>
      <c r="B3763" s="155"/>
      <c r="C3763" s="151"/>
      <c r="D3763" s="151"/>
      <c r="E3763" s="148"/>
      <c r="F3763" s="151"/>
      <c r="G3763" s="367"/>
      <c r="H3763" s="134"/>
    </row>
    <row r="3764" spans="1:8" x14ac:dyDescent="0.25">
      <c r="A3764" s="140"/>
      <c r="B3764" s="155"/>
      <c r="C3764" s="151"/>
      <c r="D3764" s="151"/>
      <c r="E3764" s="148"/>
      <c r="F3764" s="151"/>
      <c r="G3764" s="367"/>
      <c r="H3764" s="134"/>
    </row>
    <row r="3765" spans="1:8" x14ac:dyDescent="0.25">
      <c r="A3765" s="140"/>
      <c r="B3765" s="155"/>
      <c r="C3765" s="151"/>
      <c r="D3765" s="151"/>
      <c r="E3765" s="148"/>
      <c r="F3765" s="151"/>
      <c r="G3765" s="367"/>
      <c r="H3765" s="134"/>
    </row>
    <row r="3766" spans="1:8" x14ac:dyDescent="0.25">
      <c r="A3766" s="140"/>
      <c r="B3766" s="155"/>
      <c r="C3766" s="151"/>
      <c r="D3766" s="151"/>
      <c r="E3766" s="148"/>
      <c r="F3766" s="151"/>
      <c r="G3766" s="367"/>
      <c r="H3766" s="134"/>
    </row>
    <row r="3767" spans="1:8" x14ac:dyDescent="0.25">
      <c r="A3767" s="140"/>
      <c r="B3767" s="155"/>
      <c r="C3767" s="151"/>
      <c r="D3767" s="151"/>
      <c r="E3767" s="148"/>
      <c r="F3767" s="151"/>
      <c r="G3767" s="367"/>
      <c r="H3767" s="134"/>
    </row>
    <row r="3768" spans="1:8" x14ac:dyDescent="0.25">
      <c r="A3768" s="140"/>
      <c r="B3768" s="155"/>
      <c r="C3768" s="152"/>
      <c r="D3768" s="152"/>
      <c r="E3768" s="152"/>
      <c r="F3768" s="151"/>
      <c r="G3768" s="156"/>
      <c r="H3768" s="134"/>
    </row>
    <row r="3769" spans="1:8" ht="13.5" thickBot="1" x14ac:dyDescent="0.3">
      <c r="A3769" s="140"/>
      <c r="B3769" s="155"/>
      <c r="C3769" s="152"/>
      <c r="D3769" s="152"/>
      <c r="E3769" s="152"/>
      <c r="F3769" s="151"/>
      <c r="G3769" s="156"/>
      <c r="H3769" s="134"/>
    </row>
    <row r="3770" spans="1:8" ht="13.5" thickBot="1" x14ac:dyDescent="0.3">
      <c r="A3770" s="140"/>
      <c r="B3770" s="157"/>
      <c r="C3770" s="159"/>
      <c r="D3770" s="159"/>
      <c r="E3770" s="159"/>
      <c r="F3770" s="158"/>
      <c r="G3770" s="160"/>
      <c r="H3770" s="161">
        <f>+SUM(G3758:G3770)</f>
        <v>4193.7</v>
      </c>
    </row>
    <row r="3771" spans="1:8" ht="13.5" thickBot="1" x14ac:dyDescent="0.3">
      <c r="A3771" s="140"/>
      <c r="B3771" s="162"/>
      <c r="C3771" s="162"/>
      <c r="D3771" s="162"/>
      <c r="E3771" s="162"/>
      <c r="F3771" s="163"/>
      <c r="G3771" s="164"/>
      <c r="H3771" s="165"/>
    </row>
    <row r="3772" spans="1:8" ht="13.5" thickBot="1" x14ac:dyDescent="0.3">
      <c r="A3772" s="140"/>
      <c r="B3772" s="143" t="s">
        <v>5410</v>
      </c>
      <c r="C3772" s="144" t="s">
        <v>867</v>
      </c>
      <c r="D3772" s="144" t="s">
        <v>6</v>
      </c>
      <c r="E3772" s="144" t="s">
        <v>870</v>
      </c>
      <c r="F3772" s="144" t="s">
        <v>5411</v>
      </c>
      <c r="G3772" s="145" t="s">
        <v>868</v>
      </c>
      <c r="H3772" s="134"/>
    </row>
    <row r="3773" spans="1:8" x14ac:dyDescent="0.25">
      <c r="A3773" s="140"/>
      <c r="B3773" s="201"/>
      <c r="C3773" s="147"/>
      <c r="D3773" s="211"/>
      <c r="E3773" s="366"/>
      <c r="F3773" s="167"/>
      <c r="G3773" s="367"/>
      <c r="H3773" s="134"/>
    </row>
    <row r="3774" spans="1:8" x14ac:dyDescent="0.25">
      <c r="A3774" s="140"/>
      <c r="B3774" s="196"/>
      <c r="C3774" s="151"/>
      <c r="D3774" s="151"/>
      <c r="E3774" s="366"/>
      <c r="F3774" s="147"/>
      <c r="G3774" s="367"/>
      <c r="H3774" s="134"/>
    </row>
    <row r="3775" spans="1:8" x14ac:dyDescent="0.25">
      <c r="A3775" s="140"/>
      <c r="B3775" s="196"/>
      <c r="C3775" s="151"/>
      <c r="D3775" s="151"/>
      <c r="E3775" s="148"/>
      <c r="F3775" s="151"/>
      <c r="G3775" s="367"/>
      <c r="H3775" s="134"/>
    </row>
    <row r="3776" spans="1:8" x14ac:dyDescent="0.25">
      <c r="A3776" s="140"/>
      <c r="B3776" s="155"/>
      <c r="C3776" s="151"/>
      <c r="D3776" s="151"/>
      <c r="E3776" s="148"/>
      <c r="F3776" s="151"/>
      <c r="G3776" s="367"/>
      <c r="H3776" s="134"/>
    </row>
    <row r="3777" spans="1:8" x14ac:dyDescent="0.25">
      <c r="A3777" s="140"/>
      <c r="B3777" s="155"/>
      <c r="C3777" s="151"/>
      <c r="D3777" s="151"/>
      <c r="E3777" s="148"/>
      <c r="F3777" s="151"/>
      <c r="G3777" s="367"/>
      <c r="H3777" s="134"/>
    </row>
    <row r="3778" spans="1:8" ht="13.5" thickBot="1" x14ac:dyDescent="0.3">
      <c r="A3778" s="140"/>
      <c r="B3778" s="155"/>
      <c r="C3778" s="151"/>
      <c r="D3778" s="151"/>
      <c r="E3778" s="148"/>
      <c r="F3778" s="151"/>
      <c r="G3778" s="367"/>
      <c r="H3778" s="134"/>
    </row>
    <row r="3779" spans="1:8" ht="13.5" thickBot="1" x14ac:dyDescent="0.3">
      <c r="A3779" s="140"/>
      <c r="B3779" s="157"/>
      <c r="C3779" s="159"/>
      <c r="D3779" s="159"/>
      <c r="E3779" s="159"/>
      <c r="F3779" s="158"/>
      <c r="G3779" s="160"/>
      <c r="H3779" s="161">
        <f>+SUM(G3773:G3779)</f>
        <v>0</v>
      </c>
    </row>
    <row r="3780" spans="1:8" ht="13.5" thickBot="1" x14ac:dyDescent="0.3">
      <c r="A3780" s="140"/>
      <c r="B3780" s="162"/>
      <c r="C3780" s="162"/>
      <c r="D3780" s="162"/>
      <c r="E3780" s="162"/>
      <c r="F3780" s="173"/>
      <c r="G3780" s="174"/>
      <c r="H3780" s="165"/>
    </row>
    <row r="3781" spans="1:8" ht="13.5" thickBot="1" x14ac:dyDescent="0.3">
      <c r="A3781" s="140"/>
      <c r="B3781" s="143" t="s">
        <v>5412</v>
      </c>
      <c r="C3781" s="144" t="s">
        <v>5420</v>
      </c>
      <c r="D3781" s="144" t="s">
        <v>5421</v>
      </c>
      <c r="E3781" s="144" t="s">
        <v>5413</v>
      </c>
      <c r="F3781" s="144" t="s">
        <v>5405</v>
      </c>
      <c r="G3781" s="145" t="s">
        <v>868</v>
      </c>
      <c r="H3781" s="134"/>
    </row>
    <row r="3782" spans="1:8" x14ac:dyDescent="0.25">
      <c r="A3782" s="140"/>
      <c r="B3782" s="194" t="s">
        <v>5650</v>
      </c>
      <c r="C3782" s="345">
        <v>70000</v>
      </c>
      <c r="D3782" s="345">
        <f>+C3782*0.85</f>
        <v>59500</v>
      </c>
      <c r="E3782" s="353">
        <f>+C3782+D3782</f>
        <v>129500</v>
      </c>
      <c r="F3782" s="204">
        <v>1000</v>
      </c>
      <c r="G3782" s="351">
        <f>+E3782/F3782</f>
        <v>129.5</v>
      </c>
      <c r="H3782" s="134"/>
    </row>
    <row r="3783" spans="1:8" x14ac:dyDescent="0.25">
      <c r="A3783" s="140"/>
      <c r="B3783" s="194" t="s">
        <v>5651</v>
      </c>
      <c r="C3783" s="345">
        <v>40000</v>
      </c>
      <c r="D3783" s="345">
        <f>+C3783*0.85</f>
        <v>34000</v>
      </c>
      <c r="E3783" s="353">
        <f>+C3783+D3783</f>
        <v>74000</v>
      </c>
      <c r="F3783" s="204">
        <v>100</v>
      </c>
      <c r="G3783" s="351">
        <f>+E3783/F3783</f>
        <v>740</v>
      </c>
      <c r="H3783" s="134"/>
    </row>
    <row r="3784" spans="1:8" x14ac:dyDescent="0.25">
      <c r="A3784" s="140"/>
      <c r="B3784" s="195" t="s">
        <v>5635</v>
      </c>
      <c r="C3784" s="345">
        <v>20600</v>
      </c>
      <c r="D3784" s="345">
        <f>+C3784*0.85</f>
        <v>17510</v>
      </c>
      <c r="E3784" s="353">
        <f>+C3784+D3784</f>
        <v>38110</v>
      </c>
      <c r="F3784" s="205">
        <v>50</v>
      </c>
      <c r="G3784" s="351">
        <f>+E3784/F3784</f>
        <v>762.2</v>
      </c>
      <c r="H3784" s="134"/>
    </row>
    <row r="3785" spans="1:8" x14ac:dyDescent="0.25">
      <c r="A3785" s="140"/>
      <c r="B3785" s="155"/>
      <c r="C3785" s="152"/>
      <c r="D3785" s="152"/>
      <c r="E3785" s="152"/>
      <c r="F3785" s="151"/>
      <c r="G3785" s="156"/>
      <c r="H3785" s="134"/>
    </row>
    <row r="3786" spans="1:8" x14ac:dyDescent="0.25">
      <c r="A3786" s="140"/>
      <c r="B3786" s="155"/>
      <c r="C3786" s="152"/>
      <c r="D3786" s="152"/>
      <c r="E3786" s="152"/>
      <c r="F3786" s="151"/>
      <c r="G3786" s="156"/>
      <c r="H3786" s="134"/>
    </row>
    <row r="3787" spans="1:8" ht="13.5" thickBot="1" x14ac:dyDescent="0.3">
      <c r="A3787" s="140"/>
      <c r="B3787" s="155"/>
      <c r="C3787" s="152"/>
      <c r="D3787" s="152"/>
      <c r="E3787" s="152"/>
      <c r="F3787" s="151"/>
      <c r="G3787" s="156"/>
      <c r="H3787" s="134"/>
    </row>
    <row r="3788" spans="1:8" ht="13.5" thickBot="1" x14ac:dyDescent="0.3">
      <c r="A3788" s="140"/>
      <c r="B3788" s="179"/>
      <c r="C3788" s="180"/>
      <c r="D3788" s="180"/>
      <c r="E3788" s="180"/>
      <c r="F3788" s="181"/>
      <c r="G3788" s="182"/>
      <c r="H3788" s="161">
        <f>+SUM(G3782:G3788)</f>
        <v>1631.7</v>
      </c>
    </row>
    <row r="3789" spans="1:8" ht="13.5" thickBot="1" x14ac:dyDescent="0.3">
      <c r="A3789" s="140"/>
      <c r="B3789" s="140"/>
      <c r="C3789" s="140"/>
      <c r="D3789" s="140"/>
      <c r="E3789" s="140"/>
      <c r="F3789" s="141"/>
      <c r="G3789" s="134"/>
      <c r="H3789" s="134"/>
    </row>
    <row r="3790" spans="1:8" ht="13.5" thickBot="1" x14ac:dyDescent="0.3">
      <c r="A3790" s="140"/>
      <c r="B3790" s="140"/>
      <c r="C3790" s="140"/>
      <c r="D3790" s="140"/>
      <c r="E3790" s="183" t="s">
        <v>5415</v>
      </c>
      <c r="F3790" s="141"/>
      <c r="G3790" s="134"/>
      <c r="H3790" s="161">
        <f>ROUND(+H3755+H3770+H3779+H3788,0)</f>
        <v>5907</v>
      </c>
    </row>
    <row r="3848" ht="12.75" customHeight="1" x14ac:dyDescent="0.25"/>
    <row r="3903" ht="12.75" customHeight="1" x14ac:dyDescent="0.25"/>
    <row r="3965" ht="12.75" customHeight="1" x14ac:dyDescent="0.25"/>
    <row r="4020" ht="12.75" customHeight="1" x14ac:dyDescent="0.25"/>
    <row r="4075" ht="12.75" customHeight="1" x14ac:dyDescent="0.25"/>
    <row r="4130" ht="12.75" customHeight="1" x14ac:dyDescent="0.25"/>
    <row r="4185" ht="12.75" customHeight="1" x14ac:dyDescent="0.25"/>
  </sheetData>
  <mergeCells count="157">
    <mergeCell ref="J2255:O2255"/>
    <mergeCell ref="K2259:M2259"/>
    <mergeCell ref="J2310:O2310"/>
    <mergeCell ref="K2314:M2314"/>
    <mergeCell ref="J2365:O2365"/>
    <mergeCell ref="K2369:M2369"/>
    <mergeCell ref="J2420:O2420"/>
    <mergeCell ref="K2424:M2424"/>
    <mergeCell ref="K1764:M1764"/>
    <mergeCell ref="C3139:E3139"/>
    <mergeCell ref="B3190:G3190"/>
    <mergeCell ref="C3194:E3194"/>
    <mergeCell ref="B3245:G3245"/>
    <mergeCell ref="C3249:E3249"/>
    <mergeCell ref="B3300:G3300"/>
    <mergeCell ref="C3744:E3744"/>
    <mergeCell ref="B3520:G3520"/>
    <mergeCell ref="C3524:E3524"/>
    <mergeCell ref="B3575:G3575"/>
    <mergeCell ref="C3579:E3579"/>
    <mergeCell ref="B3630:G3630"/>
    <mergeCell ref="C3634:E3634"/>
    <mergeCell ref="B3685:G3685"/>
    <mergeCell ref="C3689:E3689"/>
    <mergeCell ref="B3740:G3740"/>
    <mergeCell ref="C3304:E3304"/>
    <mergeCell ref="B3355:G3355"/>
    <mergeCell ref="C3359:E3359"/>
    <mergeCell ref="B3410:G3410"/>
    <mergeCell ref="C3414:E3414"/>
    <mergeCell ref="B3465:G3465"/>
    <mergeCell ref="C3469:E3469"/>
    <mergeCell ref="C2864:E2864"/>
    <mergeCell ref="B2915:G2915"/>
    <mergeCell ref="C2919:E2919"/>
    <mergeCell ref="B2970:G2970"/>
    <mergeCell ref="C2974:E2974"/>
    <mergeCell ref="B3025:G3025"/>
    <mergeCell ref="B3080:G3080"/>
    <mergeCell ref="C3084:E3084"/>
    <mergeCell ref="B3135:G3135"/>
    <mergeCell ref="C3029:E3029"/>
    <mergeCell ref="J2640:O2640"/>
    <mergeCell ref="C2644:E2644"/>
    <mergeCell ref="K2644:M2644"/>
    <mergeCell ref="B2695:G2695"/>
    <mergeCell ref="C2699:E2699"/>
    <mergeCell ref="I2749:O2749"/>
    <mergeCell ref="B2750:G2750"/>
    <mergeCell ref="I2750:O2750"/>
    <mergeCell ref="B2805:G2805"/>
    <mergeCell ref="K2754:M2754"/>
    <mergeCell ref="C2754:E2754"/>
    <mergeCell ref="B2420:G2420"/>
    <mergeCell ref="C2424:E2424"/>
    <mergeCell ref="B2475:G2475"/>
    <mergeCell ref="C2149:E2149"/>
    <mergeCell ref="B2200:G2200"/>
    <mergeCell ref="C2204:E2204"/>
    <mergeCell ref="B2255:G2255"/>
    <mergeCell ref="C2259:E2259"/>
    <mergeCell ref="B2310:G2310"/>
    <mergeCell ref="C2314:E2314"/>
    <mergeCell ref="B1595:G1595"/>
    <mergeCell ref="J1595:O1595"/>
    <mergeCell ref="C1599:E1599"/>
    <mergeCell ref="K1599:M1599"/>
    <mergeCell ref="B1650:G1650"/>
    <mergeCell ref="C1654:E1654"/>
    <mergeCell ref="B1705:G1705"/>
    <mergeCell ref="C1709:E1709"/>
    <mergeCell ref="B1760:G1760"/>
    <mergeCell ref="J1760:O1760"/>
    <mergeCell ref="C1324:E1324"/>
    <mergeCell ref="B1375:G1375"/>
    <mergeCell ref="C1379:E1379"/>
    <mergeCell ref="B1430:G1430"/>
    <mergeCell ref="C1434:E1434"/>
    <mergeCell ref="B1485:G1485"/>
    <mergeCell ref="C1489:E1489"/>
    <mergeCell ref="B1540:G1540"/>
    <mergeCell ref="C1544:E1544"/>
    <mergeCell ref="B1100:G1100"/>
    <mergeCell ref="C1104:E1104"/>
    <mergeCell ref="B1155:G1155"/>
    <mergeCell ref="C1159:E1159"/>
    <mergeCell ref="B1210:G1210"/>
    <mergeCell ref="C1214:E1214"/>
    <mergeCell ref="B1265:G1265"/>
    <mergeCell ref="C1269:E1269"/>
    <mergeCell ref="B1320:G1320"/>
    <mergeCell ref="B7:G7"/>
    <mergeCell ref="C11:E11"/>
    <mergeCell ref="B61:G61"/>
    <mergeCell ref="C65:E65"/>
    <mergeCell ref="B115:G115"/>
    <mergeCell ref="C119:E119"/>
    <mergeCell ref="B169:G169"/>
    <mergeCell ref="C173:E173"/>
    <mergeCell ref="B223:G223"/>
    <mergeCell ref="C227:E227"/>
    <mergeCell ref="B277:G277"/>
    <mergeCell ref="C281:E281"/>
    <mergeCell ref="B331:G331"/>
    <mergeCell ref="C335:E335"/>
    <mergeCell ref="B386:G386"/>
    <mergeCell ref="C390:E390"/>
    <mergeCell ref="B441:G441"/>
    <mergeCell ref="C445:E445"/>
    <mergeCell ref="B2860:G2860"/>
    <mergeCell ref="B496:G496"/>
    <mergeCell ref="C500:E500"/>
    <mergeCell ref="B551:G551"/>
    <mergeCell ref="C555:E555"/>
    <mergeCell ref="B606:G606"/>
    <mergeCell ref="C610:E610"/>
    <mergeCell ref="B660:G660"/>
    <mergeCell ref="C664:E664"/>
    <mergeCell ref="B2145:G2145"/>
    <mergeCell ref="B715:G715"/>
    <mergeCell ref="C719:E719"/>
    <mergeCell ref="B770:G770"/>
    <mergeCell ref="C774:E774"/>
    <mergeCell ref="B825:G825"/>
    <mergeCell ref="C829:E829"/>
    <mergeCell ref="B880:G880"/>
    <mergeCell ref="C884:E884"/>
    <mergeCell ref="B935:G935"/>
    <mergeCell ref="C939:E939"/>
    <mergeCell ref="B990:G990"/>
    <mergeCell ref="C994:E994"/>
    <mergeCell ref="B1045:G1045"/>
    <mergeCell ref="C1049:E1049"/>
    <mergeCell ref="R1760:W1760"/>
    <mergeCell ref="S1764:U1764"/>
    <mergeCell ref="C2479:E2479"/>
    <mergeCell ref="B2530:G2530"/>
    <mergeCell ref="C2534:E2534"/>
    <mergeCell ref="B2585:G2585"/>
    <mergeCell ref="C2589:E2589"/>
    <mergeCell ref="B2640:G2640"/>
    <mergeCell ref="C2809:E2809"/>
    <mergeCell ref="C1764:E1764"/>
    <mergeCell ref="B1815:G1815"/>
    <mergeCell ref="C1819:E1819"/>
    <mergeCell ref="B1870:G1870"/>
    <mergeCell ref="C1874:E1874"/>
    <mergeCell ref="B1925:G1925"/>
    <mergeCell ref="C1929:E1929"/>
    <mergeCell ref="B1980:G1980"/>
    <mergeCell ref="C1984:E1984"/>
    <mergeCell ref="B2035:G2035"/>
    <mergeCell ref="C2039:E2039"/>
    <mergeCell ref="B2090:G2090"/>
    <mergeCell ref="C2094:E2094"/>
    <mergeCell ref="B2365:G2365"/>
    <mergeCell ref="C2369:E2369"/>
  </mergeCells>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AX3452"/>
  <sheetViews>
    <sheetView workbookViewId="0"/>
  </sheetViews>
  <sheetFormatPr baseColWidth="10" defaultColWidth="11.42578125" defaultRowHeight="15" x14ac:dyDescent="0.25"/>
  <cols>
    <col min="1" max="1" width="5.28515625" style="86" bestFit="1" customWidth="1"/>
    <col min="2" max="2" width="30.140625" style="86" customWidth="1"/>
    <col min="3" max="3" width="12.5703125" style="86" customWidth="1"/>
    <col min="4" max="4" width="16.28515625" style="86" customWidth="1"/>
    <col min="5" max="5" width="19" style="86" customWidth="1"/>
    <col min="6" max="6" width="14.7109375" style="86" customWidth="1"/>
    <col min="7" max="7" width="12.42578125" style="86" customWidth="1"/>
    <col min="8" max="8" width="15" style="86" customWidth="1"/>
    <col min="9" max="9" width="11.42578125" style="86"/>
    <col min="10" max="10" width="33.140625" style="86" customWidth="1"/>
    <col min="11" max="11" width="14.42578125" style="86" customWidth="1"/>
    <col min="12" max="12" width="15" style="86" customWidth="1"/>
    <col min="13" max="13" width="15.5703125" style="86" customWidth="1"/>
    <col min="14" max="14" width="14.42578125" style="86" customWidth="1"/>
    <col min="15" max="15" width="12.85546875" style="86" customWidth="1"/>
    <col min="16" max="16" width="14.5703125" style="86" customWidth="1"/>
    <col min="17" max="17" width="16.28515625" style="86" customWidth="1"/>
    <col min="18" max="18" width="28" style="86" customWidth="1"/>
    <col min="19" max="19" width="12.42578125" style="86" customWidth="1"/>
    <col min="20" max="20" width="14.42578125" style="86" customWidth="1"/>
    <col min="21" max="21" width="16.140625" style="86" customWidth="1"/>
    <col min="22" max="22" width="14.5703125" style="86" customWidth="1"/>
    <col min="23" max="23" width="14.7109375" style="86" customWidth="1"/>
    <col min="24" max="24" width="13.28515625" style="86" customWidth="1"/>
    <col min="25" max="25" width="13.42578125" style="86" customWidth="1"/>
    <col min="26" max="26" width="31.85546875" style="86" customWidth="1"/>
    <col min="27" max="27" width="11.85546875" style="86" customWidth="1"/>
    <col min="28" max="28" width="14.140625" style="86" customWidth="1"/>
    <col min="29" max="29" width="14.85546875" style="86" customWidth="1"/>
    <col min="30" max="30" width="16.28515625" style="86" customWidth="1"/>
    <col min="31" max="31" width="14.85546875" style="86" customWidth="1"/>
    <col min="32" max="32" width="12.5703125" style="86" customWidth="1"/>
    <col min="33" max="33" width="11.42578125" style="86"/>
    <col min="34" max="34" width="26" style="86" customWidth="1"/>
    <col min="35" max="35" width="15.7109375" style="86" customWidth="1"/>
    <col min="36" max="36" width="11.42578125" style="86" customWidth="1"/>
    <col min="37" max="37" width="12.85546875" style="86" customWidth="1"/>
    <col min="38" max="38" width="17.5703125" style="86" customWidth="1"/>
    <col min="39" max="39" width="14.140625" style="86" customWidth="1"/>
    <col min="40" max="41" width="11.42578125" style="86"/>
    <col min="42" max="42" width="32.42578125" style="86" customWidth="1"/>
    <col min="43" max="43" width="14.140625" style="86" customWidth="1"/>
    <col min="44" max="44" width="12.7109375" style="86" customWidth="1"/>
    <col min="45" max="45" width="12.85546875" style="86" customWidth="1"/>
    <col min="46" max="46" width="14.28515625" style="86" customWidth="1"/>
    <col min="47" max="47" width="14.42578125" style="86" customWidth="1"/>
    <col min="48" max="48" width="13.28515625" style="86" customWidth="1"/>
    <col min="49" max="16384" width="11.42578125" style="86"/>
  </cols>
  <sheetData>
    <row r="1" spans="1:8" s="8" customFormat="1" ht="12.75" x14ac:dyDescent="0.25">
      <c r="A1" s="133"/>
      <c r="G1" s="133"/>
      <c r="H1" s="134"/>
    </row>
    <row r="2" spans="1:8" ht="18.75" x14ac:dyDescent="0.25">
      <c r="A2" s="133"/>
      <c r="B2" s="2506" t="s">
        <v>5400</v>
      </c>
      <c r="C2" s="2506"/>
      <c r="D2" s="2506"/>
      <c r="E2" s="2506"/>
      <c r="F2" s="2506"/>
      <c r="G2" s="2506"/>
      <c r="H2" s="8"/>
    </row>
    <row r="3" spans="1:8" x14ac:dyDescent="0.25">
      <c r="A3" s="133"/>
      <c r="B3" s="8"/>
      <c r="C3" s="8"/>
      <c r="D3" s="8"/>
      <c r="E3" s="8"/>
      <c r="F3" s="133"/>
      <c r="G3" s="200"/>
      <c r="H3" s="200"/>
    </row>
    <row r="4" spans="1:8" x14ac:dyDescent="0.25">
      <c r="A4" s="133"/>
      <c r="B4" s="8"/>
      <c r="C4" s="8"/>
      <c r="D4" s="8"/>
      <c r="E4" s="8"/>
      <c r="F4" s="133"/>
      <c r="G4" s="200"/>
      <c r="H4" s="200"/>
    </row>
    <row r="5" spans="1:8" x14ac:dyDescent="0.25">
      <c r="A5" s="133"/>
      <c r="B5" s="8"/>
      <c r="C5" s="8"/>
      <c r="D5" s="8"/>
      <c r="E5" s="8"/>
      <c r="F5" s="133"/>
      <c r="G5" s="200"/>
      <c r="H5" s="200"/>
    </row>
    <row r="6" spans="1:8" ht="15" customHeight="1" x14ac:dyDescent="0.25">
      <c r="A6" s="220" t="s">
        <v>5482</v>
      </c>
      <c r="B6" s="221" t="s">
        <v>189</v>
      </c>
      <c r="C6" s="2449" t="s">
        <v>5483</v>
      </c>
      <c r="D6" s="2449"/>
      <c r="E6" s="2449"/>
      <c r="F6" s="220" t="s">
        <v>867</v>
      </c>
      <c r="G6" s="222" t="s">
        <v>5402</v>
      </c>
      <c r="H6" s="200"/>
    </row>
    <row r="7" spans="1:8" x14ac:dyDescent="0.25">
      <c r="A7" s="133"/>
      <c r="B7" s="8"/>
      <c r="C7" s="223"/>
      <c r="D7" s="223"/>
      <c r="E7" s="223"/>
      <c r="F7" s="133"/>
      <c r="G7" s="200"/>
      <c r="H7" s="200"/>
    </row>
    <row r="8" spans="1:8" x14ac:dyDescent="0.25">
      <c r="A8" s="133"/>
      <c r="B8" s="8"/>
      <c r="C8" s="8"/>
      <c r="D8" s="8"/>
      <c r="E8" s="8"/>
      <c r="F8" s="8"/>
      <c r="G8" s="8"/>
      <c r="H8" s="200"/>
    </row>
    <row r="9" spans="1:8" ht="15.75" thickBot="1" x14ac:dyDescent="0.3">
      <c r="A9" s="133"/>
      <c r="B9" s="8"/>
      <c r="C9" s="8"/>
      <c r="D9" s="8"/>
      <c r="E9" s="8"/>
      <c r="F9" s="133"/>
      <c r="G9" s="200"/>
      <c r="H9" s="200"/>
    </row>
    <row r="10" spans="1:8" ht="15.75" thickBot="1" x14ac:dyDescent="0.3">
      <c r="A10" s="133"/>
      <c r="B10" s="224" t="s">
        <v>5403</v>
      </c>
      <c r="C10" s="193" t="s">
        <v>867</v>
      </c>
      <c r="D10" s="193" t="s">
        <v>6</v>
      </c>
      <c r="E10" s="193" t="s">
        <v>5439</v>
      </c>
      <c r="F10" s="193" t="s">
        <v>5405</v>
      </c>
      <c r="G10" s="225" t="s">
        <v>868</v>
      </c>
      <c r="H10" s="200"/>
    </row>
    <row r="11" spans="1:8" x14ac:dyDescent="0.25">
      <c r="A11" s="133"/>
      <c r="B11" s="195" t="s">
        <v>5440</v>
      </c>
      <c r="C11" s="226" t="s">
        <v>5402</v>
      </c>
      <c r="D11" s="226">
        <v>1</v>
      </c>
      <c r="E11" s="227">
        <f>+H49</f>
        <v>2835.125</v>
      </c>
      <c r="F11" s="226">
        <v>0.05</v>
      </c>
      <c r="G11" s="229">
        <f>+E11*F11</f>
        <v>141.75624999999999</v>
      </c>
      <c r="H11" s="200"/>
    </row>
    <row r="12" spans="1:8" x14ac:dyDescent="0.25">
      <c r="A12" s="133"/>
      <c r="B12" s="195" t="s">
        <v>6048</v>
      </c>
      <c r="C12" s="226" t="s">
        <v>5402</v>
      </c>
      <c r="D12" s="226">
        <v>1</v>
      </c>
      <c r="E12" s="449">
        <v>50000</v>
      </c>
      <c r="F12" s="226">
        <v>8.0000000000000002E-3</v>
      </c>
      <c r="G12" s="229">
        <f>+E12*F12</f>
        <v>400</v>
      </c>
      <c r="H12" s="200"/>
    </row>
    <row r="13" spans="1:8" x14ac:dyDescent="0.25">
      <c r="A13" s="133"/>
      <c r="B13" s="195"/>
      <c r="C13" s="226"/>
      <c r="D13" s="226"/>
      <c r="E13" s="176"/>
      <c r="F13" s="226"/>
      <c r="G13" s="229"/>
      <c r="H13" s="200"/>
    </row>
    <row r="14" spans="1:8" x14ac:dyDescent="0.25">
      <c r="A14" s="133"/>
      <c r="B14" s="195"/>
      <c r="C14" s="226"/>
      <c r="D14" s="226"/>
      <c r="E14" s="171"/>
      <c r="F14" s="226"/>
      <c r="G14" s="231"/>
      <c r="H14" s="200"/>
    </row>
    <row r="15" spans="1:8" x14ac:dyDescent="0.25">
      <c r="A15" s="133"/>
      <c r="B15" s="195"/>
      <c r="C15" s="226"/>
      <c r="D15" s="232"/>
      <c r="E15" s="232"/>
      <c r="F15" s="226"/>
      <c r="G15" s="229"/>
      <c r="H15" s="200"/>
    </row>
    <row r="16" spans="1:8" ht="15.75" thickBot="1" x14ac:dyDescent="0.3">
      <c r="A16" s="133"/>
      <c r="B16" s="195"/>
      <c r="C16" s="226"/>
      <c r="D16" s="232"/>
      <c r="E16" s="232"/>
      <c r="F16" s="226"/>
      <c r="G16" s="229"/>
      <c r="H16" s="200"/>
    </row>
    <row r="17" spans="1:8" ht="15.75" thickBot="1" x14ac:dyDescent="0.3">
      <c r="A17" s="133"/>
      <c r="B17" s="233"/>
      <c r="C17" s="234"/>
      <c r="D17" s="234"/>
      <c r="E17" s="234"/>
      <c r="F17" s="235"/>
      <c r="G17" s="236"/>
      <c r="H17" s="237">
        <f>+SUM(G11:G17)</f>
        <v>541.75625000000002</v>
      </c>
    </row>
    <row r="18" spans="1:8" ht="15.75" thickBot="1" x14ac:dyDescent="0.3">
      <c r="A18" s="133"/>
      <c r="B18" s="238"/>
      <c r="C18" s="238"/>
      <c r="D18" s="238"/>
      <c r="E18" s="238"/>
      <c r="F18" s="239"/>
      <c r="G18" s="240"/>
      <c r="H18" s="241"/>
    </row>
    <row r="19" spans="1:8" ht="15.75" thickBot="1" x14ac:dyDescent="0.3">
      <c r="A19" s="133"/>
      <c r="B19" s="224" t="s">
        <v>5408</v>
      </c>
      <c r="C19" s="193" t="s">
        <v>867</v>
      </c>
      <c r="D19" s="193" t="s">
        <v>6</v>
      </c>
      <c r="E19" s="193" t="s">
        <v>870</v>
      </c>
      <c r="F19" s="193" t="s">
        <v>5409</v>
      </c>
      <c r="G19" s="225" t="s">
        <v>868</v>
      </c>
      <c r="H19" s="200"/>
    </row>
    <row r="20" spans="1:8" x14ac:dyDescent="0.25">
      <c r="A20" s="133"/>
      <c r="B20" s="447" t="s">
        <v>6049</v>
      </c>
      <c r="C20" s="202" t="s">
        <v>6050</v>
      </c>
      <c r="D20" s="226">
        <v>5.4514000000000003E-3</v>
      </c>
      <c r="E20" s="171">
        <v>50554</v>
      </c>
      <c r="F20" s="169">
        <v>0</v>
      </c>
      <c r="G20" s="178">
        <f>+D20*E20*(1+F20)</f>
        <v>275.59007560000003</v>
      </c>
      <c r="H20" s="200"/>
    </row>
    <row r="21" spans="1:8" x14ac:dyDescent="0.25">
      <c r="A21" s="133"/>
      <c r="B21" s="266" t="s">
        <v>6051</v>
      </c>
      <c r="C21" s="202" t="s">
        <v>6050</v>
      </c>
      <c r="D21" s="202">
        <v>5.4514000000000003E-3</v>
      </c>
      <c r="E21" s="175">
        <v>24375</v>
      </c>
      <c r="F21" s="169">
        <v>0</v>
      </c>
      <c r="G21" s="178">
        <f>+D21*E21*(1+F21)</f>
        <v>132.87787500000002</v>
      </c>
      <c r="H21" s="200"/>
    </row>
    <row r="22" spans="1:8" x14ac:dyDescent="0.25">
      <c r="A22" s="133"/>
      <c r="B22" s="266" t="s">
        <v>5755</v>
      </c>
      <c r="C22" s="226" t="s">
        <v>5487</v>
      </c>
      <c r="D22" s="226">
        <v>5.15</v>
      </c>
      <c r="E22" s="244">
        <v>0.65</v>
      </c>
      <c r="F22" s="169">
        <v>0</v>
      </c>
      <c r="G22" s="178">
        <f>+D22*E22*(1+F22)</f>
        <v>3.3475000000000001</v>
      </c>
      <c r="H22" s="200"/>
    </row>
    <row r="23" spans="1:8" x14ac:dyDescent="0.25">
      <c r="A23" s="133"/>
      <c r="B23" s="194"/>
      <c r="C23" s="226"/>
      <c r="D23" s="226"/>
      <c r="E23" s="171"/>
      <c r="F23" s="169"/>
      <c r="G23" s="178"/>
      <c r="H23" s="200"/>
    </row>
    <row r="24" spans="1:8" x14ac:dyDescent="0.25">
      <c r="A24" s="133"/>
      <c r="B24" s="195"/>
      <c r="C24" s="226"/>
      <c r="D24" s="226"/>
      <c r="E24" s="171"/>
      <c r="F24" s="169"/>
      <c r="G24" s="178"/>
      <c r="H24" s="200"/>
    </row>
    <row r="25" spans="1:8" x14ac:dyDescent="0.25">
      <c r="A25" s="133"/>
      <c r="B25" s="194"/>
      <c r="C25" s="202"/>
      <c r="D25" s="202"/>
      <c r="E25" s="171"/>
      <c r="F25" s="169"/>
      <c r="G25" s="178"/>
      <c r="H25" s="200"/>
    </row>
    <row r="26" spans="1:8" x14ac:dyDescent="0.25">
      <c r="A26" s="133"/>
      <c r="B26" s="195"/>
      <c r="C26" s="226"/>
      <c r="D26" s="226"/>
      <c r="E26" s="171"/>
      <c r="F26" s="169"/>
      <c r="G26" s="178"/>
      <c r="H26" s="200"/>
    </row>
    <row r="27" spans="1:8" x14ac:dyDescent="0.25">
      <c r="A27" s="133"/>
      <c r="B27" s="195"/>
      <c r="C27" s="226"/>
      <c r="D27" s="226"/>
      <c r="E27" s="171"/>
      <c r="F27" s="169"/>
      <c r="G27" s="178"/>
      <c r="H27" s="200"/>
    </row>
    <row r="28" spans="1:8" x14ac:dyDescent="0.25">
      <c r="A28" s="133"/>
      <c r="B28" s="195"/>
      <c r="C28" s="232"/>
      <c r="D28" s="232"/>
      <c r="E28" s="232"/>
      <c r="F28" s="226"/>
      <c r="G28" s="229"/>
      <c r="H28" s="200"/>
    </row>
    <row r="29" spans="1:8" x14ac:dyDescent="0.25">
      <c r="A29" s="133"/>
      <c r="B29" s="195"/>
      <c r="C29" s="232"/>
      <c r="D29" s="232"/>
      <c r="E29" s="232"/>
      <c r="F29" s="226"/>
      <c r="G29" s="229"/>
      <c r="H29" s="200"/>
    </row>
    <row r="30" spans="1:8" x14ac:dyDescent="0.25">
      <c r="A30" s="133"/>
      <c r="B30" s="195"/>
      <c r="C30" s="232"/>
      <c r="D30" s="232"/>
      <c r="E30" s="232"/>
      <c r="F30" s="226"/>
      <c r="G30" s="229"/>
      <c r="H30" s="200"/>
    </row>
    <row r="31" spans="1:8" ht="15.75" thickBot="1" x14ac:dyDescent="0.3">
      <c r="A31" s="133"/>
      <c r="B31" s="195"/>
      <c r="C31" s="232"/>
      <c r="D31" s="232"/>
      <c r="E31" s="232"/>
      <c r="F31" s="226"/>
      <c r="G31" s="229"/>
      <c r="H31" s="200"/>
    </row>
    <row r="32" spans="1:8" ht="15.75" thickBot="1" x14ac:dyDescent="0.3">
      <c r="A32" s="133"/>
      <c r="B32" s="233"/>
      <c r="C32" s="234"/>
      <c r="D32" s="234"/>
      <c r="E32" s="234"/>
      <c r="F32" s="235"/>
      <c r="G32" s="236"/>
      <c r="H32" s="237">
        <f>+SUM(G20:G32)</f>
        <v>411.81545060000008</v>
      </c>
    </row>
    <row r="33" spans="1:8" ht="15.75" thickBot="1" x14ac:dyDescent="0.3">
      <c r="A33" s="133"/>
      <c r="B33" s="238"/>
      <c r="C33" s="238"/>
      <c r="D33" s="238"/>
      <c r="E33" s="238"/>
      <c r="F33" s="239"/>
      <c r="G33" s="240"/>
      <c r="H33" s="241"/>
    </row>
    <row r="34" spans="1:8" ht="15.75" thickBot="1" x14ac:dyDescent="0.3">
      <c r="A34" s="133"/>
      <c r="B34" s="224" t="s">
        <v>5410</v>
      </c>
      <c r="C34" s="193" t="s">
        <v>867</v>
      </c>
      <c r="D34" s="193" t="s">
        <v>6</v>
      </c>
      <c r="E34" s="193" t="s">
        <v>870</v>
      </c>
      <c r="F34" s="193" t="s">
        <v>5411</v>
      </c>
      <c r="G34" s="225" t="s">
        <v>868</v>
      </c>
      <c r="H34" s="200"/>
    </row>
    <row r="35" spans="1:8" x14ac:dyDescent="0.25">
      <c r="A35" s="133"/>
      <c r="B35" s="245"/>
      <c r="C35" s="202"/>
      <c r="D35" s="202"/>
      <c r="E35" s="175"/>
      <c r="F35" s="202"/>
      <c r="G35" s="203"/>
      <c r="H35" s="246"/>
    </row>
    <row r="36" spans="1:8" x14ac:dyDescent="0.25">
      <c r="A36" s="133"/>
      <c r="B36" s="247"/>
      <c r="C36" s="248"/>
      <c r="D36" s="248"/>
      <c r="E36" s="248"/>
      <c r="F36" s="202"/>
      <c r="G36" s="178"/>
      <c r="H36" s="200"/>
    </row>
    <row r="37" spans="1:8" x14ac:dyDescent="0.25">
      <c r="A37" s="133"/>
      <c r="B37" s="247"/>
      <c r="C37" s="232"/>
      <c r="D37" s="232"/>
      <c r="E37" s="232"/>
      <c r="F37" s="226"/>
      <c r="G37" s="229"/>
      <c r="H37" s="200"/>
    </row>
    <row r="38" spans="1:8" x14ac:dyDescent="0.25">
      <c r="A38" s="133"/>
      <c r="B38" s="194"/>
      <c r="C38" s="232"/>
      <c r="D38" s="232"/>
      <c r="E38" s="232"/>
      <c r="F38" s="226"/>
      <c r="G38" s="229"/>
      <c r="H38" s="200"/>
    </row>
    <row r="39" spans="1:8" ht="15.75" thickBot="1" x14ac:dyDescent="0.3">
      <c r="A39" s="133"/>
      <c r="B39" s="195"/>
      <c r="C39" s="232"/>
      <c r="D39" s="232"/>
      <c r="E39" s="232"/>
      <c r="F39" s="226"/>
      <c r="G39" s="229"/>
      <c r="H39" s="200"/>
    </row>
    <row r="40" spans="1:8" ht="15.75" thickBot="1" x14ac:dyDescent="0.3">
      <c r="A40" s="133"/>
      <c r="B40" s="233"/>
      <c r="C40" s="234"/>
      <c r="D40" s="234"/>
      <c r="E40" s="234"/>
      <c r="F40" s="235"/>
      <c r="G40" s="236"/>
      <c r="H40" s="237">
        <f>+SUM(G35:G40)</f>
        <v>0</v>
      </c>
    </row>
    <row r="41" spans="1:8" ht="15.75" thickBot="1" x14ac:dyDescent="0.3">
      <c r="A41" s="133"/>
      <c r="B41" s="238"/>
      <c r="C41" s="238"/>
      <c r="D41" s="238"/>
      <c r="E41" s="238"/>
      <c r="F41" s="249"/>
      <c r="G41" s="250"/>
      <c r="H41" s="241"/>
    </row>
    <row r="42" spans="1:8" ht="15.75" thickBot="1" x14ac:dyDescent="0.3">
      <c r="A42" s="133"/>
      <c r="B42" s="224" t="s">
        <v>5412</v>
      </c>
      <c r="C42" s="193" t="s">
        <v>5420</v>
      </c>
      <c r="D42" s="193" t="s">
        <v>5421</v>
      </c>
      <c r="E42" s="193" t="s">
        <v>5413</v>
      </c>
      <c r="F42" s="193" t="s">
        <v>5405</v>
      </c>
      <c r="G42" s="225" t="s">
        <v>868</v>
      </c>
      <c r="H42" s="200"/>
    </row>
    <row r="43" spans="1:8" x14ac:dyDescent="0.25">
      <c r="A43" s="133"/>
      <c r="B43" s="194" t="s">
        <v>5948</v>
      </c>
      <c r="C43" s="345">
        <v>70000</v>
      </c>
      <c r="D43" s="176">
        <f>+C43*0.85</f>
        <v>59500</v>
      </c>
      <c r="E43" s="176">
        <f>+C43+D43</f>
        <v>129500</v>
      </c>
      <c r="F43" s="202">
        <v>4000</v>
      </c>
      <c r="G43" s="178">
        <f>+E43/F43</f>
        <v>32.375</v>
      </c>
      <c r="H43" s="200"/>
    </row>
    <row r="44" spans="1:8" x14ac:dyDescent="0.25">
      <c r="A44" s="133"/>
      <c r="B44" s="194" t="s">
        <v>5651</v>
      </c>
      <c r="C44" s="345">
        <v>40000</v>
      </c>
      <c r="D44" s="176">
        <f>+C44*0.85</f>
        <v>34000</v>
      </c>
      <c r="E44" s="176">
        <f>+C44+D44</f>
        <v>74000</v>
      </c>
      <c r="F44" s="202">
        <v>40</v>
      </c>
      <c r="G44" s="178">
        <f>+E44/F44</f>
        <v>1850</v>
      </c>
      <c r="H44" s="200"/>
    </row>
    <row r="45" spans="1:8" x14ac:dyDescent="0.25">
      <c r="A45" s="133"/>
      <c r="B45" s="195" t="s">
        <v>5635</v>
      </c>
      <c r="C45" s="345">
        <v>20600</v>
      </c>
      <c r="D45" s="176">
        <f>+C45*0.85</f>
        <v>17510</v>
      </c>
      <c r="E45" s="176">
        <f>+C45+D45</f>
        <v>38110</v>
      </c>
      <c r="F45" s="226">
        <v>40</v>
      </c>
      <c r="G45" s="178">
        <f>+E45/F45</f>
        <v>952.75</v>
      </c>
      <c r="H45" s="200"/>
    </row>
    <row r="46" spans="1:8" x14ac:dyDescent="0.25">
      <c r="A46" s="133"/>
      <c r="B46" s="195"/>
      <c r="C46" s="171"/>
      <c r="D46" s="176"/>
      <c r="E46" s="176"/>
      <c r="F46" s="226"/>
      <c r="G46" s="178"/>
      <c r="H46" s="200"/>
    </row>
    <row r="47" spans="1:8" x14ac:dyDescent="0.25">
      <c r="A47" s="133"/>
      <c r="B47" s="195"/>
      <c r="C47" s="232"/>
      <c r="D47" s="232"/>
      <c r="E47" s="232"/>
      <c r="F47" s="226"/>
      <c r="G47" s="229"/>
      <c r="H47" s="200"/>
    </row>
    <row r="48" spans="1:8" ht="15.75" thickBot="1" x14ac:dyDescent="0.3">
      <c r="A48" s="133"/>
      <c r="B48" s="195"/>
      <c r="C48" s="232"/>
      <c r="D48" s="232"/>
      <c r="E48" s="232"/>
      <c r="F48" s="226"/>
      <c r="G48" s="229"/>
      <c r="H48" s="200"/>
    </row>
    <row r="49" spans="1:8" ht="15.75" thickBot="1" x14ac:dyDescent="0.3">
      <c r="A49" s="133"/>
      <c r="B49" s="251"/>
      <c r="C49" s="252"/>
      <c r="D49" s="252"/>
      <c r="E49" s="252"/>
      <c r="F49" s="253"/>
      <c r="G49" s="254"/>
      <c r="H49" s="237">
        <f>+SUM(G43:G49)</f>
        <v>2835.125</v>
      </c>
    </row>
    <row r="50" spans="1:8" ht="15.75" thickBot="1" x14ac:dyDescent="0.3">
      <c r="A50" s="133"/>
      <c r="B50" s="8"/>
      <c r="C50" s="8"/>
      <c r="D50" s="8"/>
      <c r="E50" s="8"/>
      <c r="F50" s="133"/>
      <c r="G50" s="200"/>
      <c r="H50" s="200"/>
    </row>
    <row r="51" spans="1:8" ht="15.75" thickBot="1" x14ac:dyDescent="0.3">
      <c r="A51" s="133"/>
      <c r="B51" s="8"/>
      <c r="C51" s="8"/>
      <c r="D51" s="8"/>
      <c r="E51" s="223" t="s">
        <v>5415</v>
      </c>
      <c r="F51" s="133"/>
      <c r="G51" s="200"/>
      <c r="H51" s="237">
        <f>+H49+H40+H32+H17</f>
        <v>3788.6967006</v>
      </c>
    </row>
    <row r="54" spans="1:8" x14ac:dyDescent="0.25">
      <c r="A54" s="255"/>
    </row>
    <row r="55" spans="1:8" x14ac:dyDescent="0.25">
      <c r="A55" s="255"/>
    </row>
    <row r="56" spans="1:8" ht="18.75" x14ac:dyDescent="0.25">
      <c r="A56" s="133"/>
      <c r="B56" s="2506" t="s">
        <v>5400</v>
      </c>
      <c r="C56" s="2506"/>
      <c r="D56" s="2506"/>
      <c r="E56" s="2506"/>
      <c r="F56" s="2506"/>
      <c r="G56" s="2506"/>
      <c r="H56" s="8"/>
    </row>
    <row r="57" spans="1:8" x14ac:dyDescent="0.25">
      <c r="A57" s="133"/>
      <c r="B57" s="8"/>
      <c r="C57" s="8"/>
      <c r="D57" s="8"/>
      <c r="E57" s="8"/>
      <c r="F57" s="133"/>
      <c r="G57" s="200"/>
      <c r="H57" s="200"/>
    </row>
    <row r="58" spans="1:8" x14ac:dyDescent="0.25">
      <c r="A58" s="133"/>
      <c r="B58" s="8"/>
      <c r="C58" s="8"/>
      <c r="D58" s="8"/>
      <c r="E58" s="8"/>
      <c r="F58" s="133"/>
      <c r="G58" s="200"/>
      <c r="H58" s="200"/>
    </row>
    <row r="59" spans="1:8" x14ac:dyDescent="0.25">
      <c r="A59" s="133"/>
      <c r="B59" s="8"/>
      <c r="C59" s="8"/>
      <c r="D59" s="8"/>
      <c r="E59" s="8"/>
      <c r="F59" s="133"/>
      <c r="G59" s="200"/>
      <c r="H59" s="200"/>
    </row>
    <row r="60" spans="1:8" ht="15" customHeight="1" x14ac:dyDescent="0.25">
      <c r="A60" s="220" t="s">
        <v>5482</v>
      </c>
      <c r="B60" s="221" t="s">
        <v>190</v>
      </c>
      <c r="C60" s="2449" t="s">
        <v>5484</v>
      </c>
      <c r="D60" s="2449"/>
      <c r="E60" s="2449"/>
      <c r="F60" s="220" t="s">
        <v>867</v>
      </c>
      <c r="G60" s="222" t="s">
        <v>5402</v>
      </c>
      <c r="H60" s="200"/>
    </row>
    <row r="61" spans="1:8" x14ac:dyDescent="0.25">
      <c r="A61" s="133"/>
      <c r="B61" s="8"/>
      <c r="C61" s="223"/>
      <c r="D61" s="223"/>
      <c r="E61" s="223"/>
      <c r="F61" s="133"/>
      <c r="G61" s="200"/>
      <c r="H61" s="200"/>
    </row>
    <row r="62" spans="1:8" x14ac:dyDescent="0.25">
      <c r="A62" s="133"/>
      <c r="B62" s="8"/>
      <c r="C62" s="8"/>
      <c r="D62" s="8"/>
      <c r="E62" s="8"/>
      <c r="F62" s="8"/>
      <c r="G62" s="8"/>
      <c r="H62" s="200"/>
    </row>
    <row r="63" spans="1:8" ht="15.75" thickBot="1" x14ac:dyDescent="0.3">
      <c r="A63" s="133"/>
      <c r="B63" s="8"/>
      <c r="C63" s="8"/>
      <c r="D63" s="8"/>
      <c r="E63" s="8"/>
      <c r="F63" s="133"/>
      <c r="G63" s="200"/>
      <c r="H63" s="200"/>
    </row>
    <row r="64" spans="1:8" ht="15.75" thickBot="1" x14ac:dyDescent="0.3">
      <c r="A64" s="133"/>
      <c r="B64" s="224" t="s">
        <v>5403</v>
      </c>
      <c r="C64" s="193" t="s">
        <v>867</v>
      </c>
      <c r="D64" s="193" t="s">
        <v>6</v>
      </c>
      <c r="E64" s="193" t="s">
        <v>5439</v>
      </c>
      <c r="F64" s="193" t="s">
        <v>5405</v>
      </c>
      <c r="G64" s="225" t="s">
        <v>868</v>
      </c>
      <c r="H64" s="200"/>
    </row>
    <row r="65" spans="1:8" x14ac:dyDescent="0.25">
      <c r="A65" s="133"/>
      <c r="B65" s="195" t="s">
        <v>5440</v>
      </c>
      <c r="C65" s="226" t="s">
        <v>5402</v>
      </c>
      <c r="D65" s="226">
        <v>1</v>
      </c>
      <c r="E65" s="227">
        <f>+H103</f>
        <v>3606.6579131652661</v>
      </c>
      <c r="F65" s="226">
        <v>0.05</v>
      </c>
      <c r="G65" s="229">
        <f>+E65*F65</f>
        <v>180.33289565826331</v>
      </c>
      <c r="H65" s="200"/>
    </row>
    <row r="66" spans="1:8" x14ac:dyDescent="0.25">
      <c r="A66" s="133"/>
      <c r="B66" s="195" t="s">
        <v>6048</v>
      </c>
      <c r="C66" s="226" t="s">
        <v>5402</v>
      </c>
      <c r="D66" s="226">
        <v>1</v>
      </c>
      <c r="E66" s="449">
        <v>50000</v>
      </c>
      <c r="F66" s="226">
        <v>8.0000000000000002E-3</v>
      </c>
      <c r="G66" s="229">
        <f>+E66*F66</f>
        <v>400</v>
      </c>
      <c r="H66" s="200"/>
    </row>
    <row r="67" spans="1:8" x14ac:dyDescent="0.25">
      <c r="A67" s="133"/>
      <c r="B67" s="195"/>
      <c r="C67" s="226"/>
      <c r="D67" s="226"/>
      <c r="E67" s="176"/>
      <c r="F67" s="226"/>
      <c r="G67" s="229"/>
      <c r="H67" s="200"/>
    </row>
    <row r="68" spans="1:8" x14ac:dyDescent="0.25">
      <c r="A68" s="133"/>
      <c r="B68" s="195"/>
      <c r="C68" s="226"/>
      <c r="D68" s="226"/>
      <c r="E68" s="171"/>
      <c r="F68" s="226"/>
      <c r="G68" s="231"/>
      <c r="H68" s="200"/>
    </row>
    <row r="69" spans="1:8" x14ac:dyDescent="0.25">
      <c r="A69" s="133"/>
      <c r="B69" s="195"/>
      <c r="C69" s="226"/>
      <c r="D69" s="232"/>
      <c r="E69" s="232"/>
      <c r="F69" s="226"/>
      <c r="G69" s="229"/>
      <c r="H69" s="200"/>
    </row>
    <row r="70" spans="1:8" ht="15.75" thickBot="1" x14ac:dyDescent="0.3">
      <c r="A70" s="133"/>
      <c r="B70" s="195"/>
      <c r="C70" s="226"/>
      <c r="D70" s="232"/>
      <c r="E70" s="232"/>
      <c r="F70" s="226"/>
      <c r="G70" s="229"/>
      <c r="H70" s="200"/>
    </row>
    <row r="71" spans="1:8" ht="15.75" thickBot="1" x14ac:dyDescent="0.3">
      <c r="A71" s="133"/>
      <c r="B71" s="233"/>
      <c r="C71" s="234"/>
      <c r="D71" s="234"/>
      <c r="E71" s="234"/>
      <c r="F71" s="235"/>
      <c r="G71" s="236"/>
      <c r="H71" s="237">
        <f>+SUM(G65:G71)</f>
        <v>580.33289565826328</v>
      </c>
    </row>
    <row r="72" spans="1:8" ht="15.75" thickBot="1" x14ac:dyDescent="0.3">
      <c r="A72" s="133"/>
      <c r="B72" s="238"/>
      <c r="C72" s="238"/>
      <c r="D72" s="238"/>
      <c r="E72" s="238"/>
      <c r="F72" s="239"/>
      <c r="G72" s="240"/>
      <c r="H72" s="241"/>
    </row>
    <row r="73" spans="1:8" ht="15.75" thickBot="1" x14ac:dyDescent="0.3">
      <c r="A73" s="133"/>
      <c r="B73" s="224" t="s">
        <v>5408</v>
      </c>
      <c r="C73" s="193" t="s">
        <v>867</v>
      </c>
      <c r="D73" s="193" t="s">
        <v>6</v>
      </c>
      <c r="E73" s="193" t="s">
        <v>870</v>
      </c>
      <c r="F73" s="193" t="s">
        <v>5409</v>
      </c>
      <c r="G73" s="225" t="s">
        <v>868</v>
      </c>
      <c r="H73" s="200"/>
    </row>
    <row r="74" spans="1:8" x14ac:dyDescent="0.25">
      <c r="A74" s="133"/>
      <c r="B74" s="447" t="s">
        <v>6049</v>
      </c>
      <c r="C74" s="202" t="s">
        <v>6050</v>
      </c>
      <c r="D74" s="226">
        <v>1.299E-2</v>
      </c>
      <c r="E74" s="171">
        <v>50555</v>
      </c>
      <c r="F74" s="169">
        <v>0</v>
      </c>
      <c r="G74" s="178">
        <f>+D74*E74*(1+F74)</f>
        <v>656.70944999999995</v>
      </c>
      <c r="H74" s="200"/>
    </row>
    <row r="75" spans="1:8" x14ac:dyDescent="0.25">
      <c r="A75" s="133"/>
      <c r="B75" s="266" t="s">
        <v>6051</v>
      </c>
      <c r="C75" s="202" t="s">
        <v>6050</v>
      </c>
      <c r="D75" s="202">
        <v>1.299E-2</v>
      </c>
      <c r="E75" s="175">
        <v>24377</v>
      </c>
      <c r="F75" s="169">
        <v>0</v>
      </c>
      <c r="G75" s="178">
        <f>+D75*E75*(1+F75)</f>
        <v>316.65722999999997</v>
      </c>
      <c r="H75" s="200"/>
    </row>
    <row r="76" spans="1:8" x14ac:dyDescent="0.25">
      <c r="A76" s="133"/>
      <c r="B76" s="266" t="s">
        <v>5755</v>
      </c>
      <c r="C76" s="226" t="s">
        <v>5487</v>
      </c>
      <c r="D76" s="226">
        <v>19.79</v>
      </c>
      <c r="E76" s="244">
        <v>0.66</v>
      </c>
      <c r="F76" s="169">
        <v>0</v>
      </c>
      <c r="G76" s="178">
        <f>+D76*E76*(1+F76)</f>
        <v>13.061400000000001</v>
      </c>
      <c r="H76" s="200"/>
    </row>
    <row r="77" spans="1:8" x14ac:dyDescent="0.25">
      <c r="A77" s="133"/>
      <c r="B77" s="194"/>
      <c r="C77" s="226"/>
      <c r="D77" s="226"/>
      <c r="E77" s="171"/>
      <c r="F77" s="169"/>
      <c r="G77" s="178"/>
      <c r="H77" s="200"/>
    </row>
    <row r="78" spans="1:8" x14ac:dyDescent="0.25">
      <c r="A78" s="133"/>
      <c r="B78" s="195"/>
      <c r="C78" s="226"/>
      <c r="D78" s="226"/>
      <c r="E78" s="171"/>
      <c r="F78" s="169"/>
      <c r="G78" s="178"/>
      <c r="H78" s="200"/>
    </row>
    <row r="79" spans="1:8" x14ac:dyDescent="0.25">
      <c r="A79" s="133"/>
      <c r="B79" s="194"/>
      <c r="C79" s="202"/>
      <c r="D79" s="202"/>
      <c r="E79" s="171"/>
      <c r="F79" s="169"/>
      <c r="G79" s="178"/>
      <c r="H79" s="200"/>
    </row>
    <row r="80" spans="1:8" x14ac:dyDescent="0.25">
      <c r="A80" s="133"/>
      <c r="B80" s="195"/>
      <c r="C80" s="226"/>
      <c r="D80" s="226"/>
      <c r="E80" s="171"/>
      <c r="F80" s="169"/>
      <c r="G80" s="178"/>
      <c r="H80" s="200"/>
    </row>
    <row r="81" spans="1:8" x14ac:dyDescent="0.25">
      <c r="A81" s="133"/>
      <c r="B81" s="195"/>
      <c r="C81" s="226"/>
      <c r="D81" s="226"/>
      <c r="E81" s="171"/>
      <c r="F81" s="169"/>
      <c r="G81" s="178"/>
      <c r="H81" s="200"/>
    </row>
    <row r="82" spans="1:8" x14ac:dyDescent="0.25">
      <c r="A82" s="133"/>
      <c r="B82" s="195"/>
      <c r="C82" s="232"/>
      <c r="D82" s="232"/>
      <c r="E82" s="232"/>
      <c r="F82" s="226"/>
      <c r="G82" s="229"/>
      <c r="H82" s="200"/>
    </row>
    <row r="83" spans="1:8" x14ac:dyDescent="0.25">
      <c r="A83" s="133"/>
      <c r="B83" s="195"/>
      <c r="C83" s="232"/>
      <c r="D83" s="232"/>
      <c r="E83" s="232"/>
      <c r="F83" s="226"/>
      <c r="G83" s="229"/>
      <c r="H83" s="200"/>
    </row>
    <row r="84" spans="1:8" x14ac:dyDescent="0.25">
      <c r="A84" s="133"/>
      <c r="B84" s="195"/>
      <c r="C84" s="232"/>
      <c r="D84" s="232"/>
      <c r="E84" s="232"/>
      <c r="F84" s="226"/>
      <c r="G84" s="229"/>
      <c r="H84" s="200"/>
    </row>
    <row r="85" spans="1:8" ht="15.75" thickBot="1" x14ac:dyDescent="0.3">
      <c r="A85" s="133"/>
      <c r="B85" s="195"/>
      <c r="C85" s="232"/>
      <c r="D85" s="232"/>
      <c r="E85" s="232"/>
      <c r="F85" s="226"/>
      <c r="G85" s="229"/>
      <c r="H85" s="200"/>
    </row>
    <row r="86" spans="1:8" ht="15.75" thickBot="1" x14ac:dyDescent="0.3">
      <c r="A86" s="133"/>
      <c r="B86" s="233"/>
      <c r="C86" s="234"/>
      <c r="D86" s="234"/>
      <c r="E86" s="234"/>
      <c r="F86" s="235"/>
      <c r="G86" s="236"/>
      <c r="H86" s="256">
        <f>+SUM(G74:G86)</f>
        <v>986.42807999999991</v>
      </c>
    </row>
    <row r="87" spans="1:8" ht="15.75" thickBot="1" x14ac:dyDescent="0.3">
      <c r="A87" s="133"/>
      <c r="B87" s="238"/>
      <c r="C87" s="238"/>
      <c r="D87" s="238"/>
      <c r="E87" s="238"/>
      <c r="F87" s="239"/>
      <c r="G87" s="240"/>
      <c r="H87" s="241"/>
    </row>
    <row r="88" spans="1:8" ht="15.75" thickBot="1" x14ac:dyDescent="0.3">
      <c r="A88" s="133"/>
      <c r="B88" s="224" t="s">
        <v>5410</v>
      </c>
      <c r="C88" s="193" t="s">
        <v>867</v>
      </c>
      <c r="D88" s="193" t="s">
        <v>6</v>
      </c>
      <c r="E88" s="193" t="s">
        <v>870</v>
      </c>
      <c r="F88" s="193" t="s">
        <v>5411</v>
      </c>
      <c r="G88" s="225" t="s">
        <v>868</v>
      </c>
      <c r="H88" s="200"/>
    </row>
    <row r="89" spans="1:8" x14ac:dyDescent="0.25">
      <c r="A89" s="133"/>
      <c r="B89" s="245"/>
      <c r="C89" s="202"/>
      <c r="D89" s="202"/>
      <c r="E89" s="175"/>
      <c r="F89" s="202"/>
      <c r="G89" s="203"/>
      <c r="H89" s="246"/>
    </row>
    <row r="90" spans="1:8" x14ac:dyDescent="0.25">
      <c r="A90" s="133"/>
      <c r="B90" s="247"/>
      <c r="C90" s="248"/>
      <c r="D90" s="248"/>
      <c r="E90" s="248"/>
      <c r="F90" s="202"/>
      <c r="G90" s="178"/>
      <c r="H90" s="200"/>
    </row>
    <row r="91" spans="1:8" x14ac:dyDescent="0.25">
      <c r="A91" s="133"/>
      <c r="B91" s="247"/>
      <c r="C91" s="232"/>
      <c r="D91" s="232"/>
      <c r="E91" s="232"/>
      <c r="F91" s="226"/>
      <c r="G91" s="229"/>
      <c r="H91" s="200"/>
    </row>
    <row r="92" spans="1:8" x14ac:dyDescent="0.25">
      <c r="A92" s="133"/>
      <c r="B92" s="194"/>
      <c r="C92" s="232"/>
      <c r="D92" s="232"/>
      <c r="E92" s="232"/>
      <c r="F92" s="226"/>
      <c r="G92" s="229"/>
      <c r="H92" s="200"/>
    </row>
    <row r="93" spans="1:8" ht="15.75" thickBot="1" x14ac:dyDescent="0.3">
      <c r="A93" s="133"/>
      <c r="B93" s="195"/>
      <c r="C93" s="232"/>
      <c r="D93" s="232"/>
      <c r="E93" s="232"/>
      <c r="F93" s="226"/>
      <c r="G93" s="229"/>
      <c r="H93" s="200"/>
    </row>
    <row r="94" spans="1:8" ht="15.75" thickBot="1" x14ac:dyDescent="0.3">
      <c r="A94" s="133"/>
      <c r="B94" s="233"/>
      <c r="C94" s="234"/>
      <c r="D94" s="234"/>
      <c r="E94" s="234"/>
      <c r="F94" s="235"/>
      <c r="G94" s="236"/>
      <c r="H94" s="237">
        <f>+SUM(G89:G94)</f>
        <v>0</v>
      </c>
    </row>
    <row r="95" spans="1:8" ht="15.75" thickBot="1" x14ac:dyDescent="0.3">
      <c r="A95" s="133"/>
      <c r="B95" s="238"/>
      <c r="C95" s="238"/>
      <c r="D95" s="238"/>
      <c r="E95" s="238"/>
      <c r="F95" s="249"/>
      <c r="G95" s="250"/>
      <c r="H95" s="241"/>
    </row>
    <row r="96" spans="1:8" ht="15.75" thickBot="1" x14ac:dyDescent="0.3">
      <c r="A96" s="133"/>
      <c r="B96" s="224" t="s">
        <v>5412</v>
      </c>
      <c r="C96" s="193" t="s">
        <v>5420</v>
      </c>
      <c r="D96" s="193" t="s">
        <v>5421</v>
      </c>
      <c r="E96" s="193" t="s">
        <v>5413</v>
      </c>
      <c r="F96" s="193" t="s">
        <v>5405</v>
      </c>
      <c r="G96" s="225" t="s">
        <v>868</v>
      </c>
      <c r="H96" s="200"/>
    </row>
    <row r="97" spans="1:8" x14ac:dyDescent="0.25">
      <c r="A97" s="133"/>
      <c r="B97" s="194" t="s">
        <v>5948</v>
      </c>
      <c r="C97" s="345">
        <v>70000</v>
      </c>
      <c r="D97" s="176">
        <f>+C97*0.85</f>
        <v>59500</v>
      </c>
      <c r="E97" s="176">
        <f>+C97+D97</f>
        <v>129500</v>
      </c>
      <c r="F97" s="204">
        <v>2720</v>
      </c>
      <c r="G97" s="178">
        <f>+E97/F97</f>
        <v>47.610294117647058</v>
      </c>
      <c r="H97" s="200"/>
    </row>
    <row r="98" spans="1:8" x14ac:dyDescent="0.25">
      <c r="A98" s="133"/>
      <c r="B98" s="194" t="s">
        <v>5651</v>
      </c>
      <c r="C98" s="345">
        <v>40000</v>
      </c>
      <c r="D98" s="176">
        <f>+C98*0.85</f>
        <v>34000</v>
      </c>
      <c r="E98" s="176">
        <f>+C98+D98</f>
        <v>74000</v>
      </c>
      <c r="F98" s="202">
        <v>31.5</v>
      </c>
      <c r="G98" s="178">
        <f>+E98/F98</f>
        <v>2349.2063492063494</v>
      </c>
      <c r="H98" s="200"/>
    </row>
    <row r="99" spans="1:8" x14ac:dyDescent="0.25">
      <c r="A99" s="133"/>
      <c r="B99" s="195" t="s">
        <v>5635</v>
      </c>
      <c r="C99" s="345">
        <v>20600</v>
      </c>
      <c r="D99" s="176">
        <f>+C99*0.85</f>
        <v>17510</v>
      </c>
      <c r="E99" s="176">
        <f>+C99+D99</f>
        <v>38110</v>
      </c>
      <c r="F99" s="226">
        <v>31.5</v>
      </c>
      <c r="G99" s="178">
        <f>+E99/F99</f>
        <v>1209.8412698412699</v>
      </c>
      <c r="H99" s="200"/>
    </row>
    <row r="100" spans="1:8" x14ac:dyDescent="0.25">
      <c r="A100" s="133"/>
      <c r="B100" s="195"/>
      <c r="C100" s="171"/>
      <c r="D100" s="176"/>
      <c r="E100" s="176"/>
      <c r="F100" s="226"/>
      <c r="G100" s="178"/>
      <c r="H100" s="200"/>
    </row>
    <row r="101" spans="1:8" x14ac:dyDescent="0.25">
      <c r="A101" s="133"/>
      <c r="B101" s="195"/>
      <c r="C101" s="232"/>
      <c r="D101" s="232"/>
      <c r="E101" s="232"/>
      <c r="F101" s="226"/>
      <c r="G101" s="229"/>
      <c r="H101" s="200"/>
    </row>
    <row r="102" spans="1:8" ht="15.75" thickBot="1" x14ac:dyDescent="0.3">
      <c r="A102" s="133"/>
      <c r="B102" s="195"/>
      <c r="C102" s="232"/>
      <c r="D102" s="232"/>
      <c r="E102" s="232"/>
      <c r="F102" s="226"/>
      <c r="G102" s="229"/>
      <c r="H102" s="200"/>
    </row>
    <row r="103" spans="1:8" ht="15.75" thickBot="1" x14ac:dyDescent="0.3">
      <c r="A103" s="133"/>
      <c r="B103" s="251"/>
      <c r="C103" s="252"/>
      <c r="D103" s="252"/>
      <c r="E103" s="252"/>
      <c r="F103" s="253"/>
      <c r="G103" s="254"/>
      <c r="H103" s="256">
        <f>+SUM(G97:G103)</f>
        <v>3606.6579131652661</v>
      </c>
    </row>
    <row r="104" spans="1:8" ht="15.75" thickBot="1" x14ac:dyDescent="0.3">
      <c r="A104" s="133"/>
      <c r="B104" s="8"/>
      <c r="C104" s="8"/>
      <c r="D104" s="8"/>
      <c r="E104" s="8"/>
      <c r="F104" s="133"/>
      <c r="G104" s="200"/>
      <c r="H104" s="200"/>
    </row>
    <row r="105" spans="1:8" ht="15.75" thickBot="1" x14ac:dyDescent="0.3">
      <c r="A105" s="133"/>
      <c r="B105" s="8"/>
      <c r="C105" s="8"/>
      <c r="D105" s="8"/>
      <c r="E105" s="223" t="s">
        <v>5415</v>
      </c>
      <c r="F105" s="133"/>
      <c r="G105" s="200"/>
      <c r="H105" s="256">
        <f>ROUND(+H103+H94+H86+H71,0)</f>
        <v>5173</v>
      </c>
    </row>
    <row r="110" spans="1:8" ht="18.75" x14ac:dyDescent="0.25">
      <c r="A110" s="133"/>
      <c r="B110" s="2506" t="s">
        <v>5400</v>
      </c>
      <c r="C110" s="2506"/>
      <c r="D110" s="2506"/>
      <c r="E110" s="2506"/>
      <c r="F110" s="2506"/>
      <c r="G110" s="2506"/>
      <c r="H110" s="8"/>
    </row>
    <row r="111" spans="1:8" x14ac:dyDescent="0.25">
      <c r="A111" s="133"/>
      <c r="B111" s="8"/>
      <c r="C111" s="8"/>
      <c r="D111" s="8"/>
      <c r="E111" s="8"/>
      <c r="F111" s="133"/>
      <c r="G111" s="200"/>
      <c r="H111" s="200"/>
    </row>
    <row r="112" spans="1:8" x14ac:dyDescent="0.25">
      <c r="A112" s="133"/>
      <c r="B112" s="8"/>
      <c r="C112" s="8"/>
      <c r="D112" s="8"/>
      <c r="E112" s="8"/>
      <c r="F112" s="133"/>
      <c r="G112" s="200"/>
      <c r="H112" s="200"/>
    </row>
    <row r="113" spans="1:8" x14ac:dyDescent="0.25">
      <c r="A113" s="133"/>
      <c r="B113" s="8"/>
      <c r="C113" s="8"/>
      <c r="D113" s="8"/>
      <c r="E113" s="8"/>
      <c r="F113" s="133"/>
      <c r="G113" s="200"/>
      <c r="H113" s="200"/>
    </row>
    <row r="114" spans="1:8" ht="15" customHeight="1" x14ac:dyDescent="0.25">
      <c r="A114" s="220" t="s">
        <v>5482</v>
      </c>
      <c r="B114" s="221" t="s">
        <v>406</v>
      </c>
      <c r="C114" s="2449" t="s">
        <v>5485</v>
      </c>
      <c r="D114" s="2449"/>
      <c r="E114" s="2449"/>
      <c r="F114" s="220" t="s">
        <v>867</v>
      </c>
      <c r="G114" s="222" t="s">
        <v>5402</v>
      </c>
      <c r="H114" s="200"/>
    </row>
    <row r="115" spans="1:8" x14ac:dyDescent="0.25">
      <c r="A115" s="133"/>
      <c r="B115" s="8"/>
      <c r="C115" s="223"/>
      <c r="D115" s="223"/>
      <c r="E115" s="223"/>
      <c r="F115" s="133"/>
      <c r="G115" s="200"/>
      <c r="H115" s="200"/>
    </row>
    <row r="116" spans="1:8" x14ac:dyDescent="0.25">
      <c r="A116" s="133"/>
      <c r="B116" s="8"/>
      <c r="C116" s="8"/>
      <c r="D116" s="8"/>
      <c r="E116" s="8"/>
      <c r="F116" s="8"/>
      <c r="G116" s="8"/>
      <c r="H116" s="200"/>
    </row>
    <row r="117" spans="1:8" ht="15.75" thickBot="1" x14ac:dyDescent="0.3">
      <c r="A117" s="133"/>
      <c r="B117" s="8"/>
      <c r="C117" s="8"/>
      <c r="D117" s="8"/>
      <c r="E117" s="8"/>
      <c r="F117" s="133"/>
      <c r="G117" s="200"/>
      <c r="H117" s="200"/>
    </row>
    <row r="118" spans="1:8" ht="15.75" thickBot="1" x14ac:dyDescent="0.3">
      <c r="A118" s="133"/>
      <c r="B118" s="224" t="s">
        <v>5403</v>
      </c>
      <c r="C118" s="193" t="s">
        <v>867</v>
      </c>
      <c r="D118" s="193" t="s">
        <v>6</v>
      </c>
      <c r="E118" s="193" t="s">
        <v>5439</v>
      </c>
      <c r="F118" s="193" t="s">
        <v>5405</v>
      </c>
      <c r="G118" s="225" t="s">
        <v>868</v>
      </c>
      <c r="H118" s="200"/>
    </row>
    <row r="119" spans="1:8" x14ac:dyDescent="0.25">
      <c r="A119" s="133"/>
      <c r="B119" s="195" t="s">
        <v>5440</v>
      </c>
      <c r="C119" s="226" t="s">
        <v>5402</v>
      </c>
      <c r="D119" s="226">
        <v>1</v>
      </c>
      <c r="E119" s="227">
        <f>+H157</f>
        <v>440.3</v>
      </c>
      <c r="F119" s="226">
        <v>0.05</v>
      </c>
      <c r="G119" s="229">
        <f>+E119*F119</f>
        <v>22.015000000000001</v>
      </c>
      <c r="H119" s="200"/>
    </row>
    <row r="120" spans="1:8" x14ac:dyDescent="0.25">
      <c r="A120" s="133"/>
      <c r="B120" s="195"/>
      <c r="C120" s="226"/>
      <c r="D120" s="226"/>
      <c r="E120" s="230"/>
      <c r="F120" s="226"/>
      <c r="G120" s="229"/>
      <c r="H120" s="200"/>
    </row>
    <row r="121" spans="1:8" x14ac:dyDescent="0.25">
      <c r="A121" s="133"/>
      <c r="B121" s="195"/>
      <c r="C121" s="226"/>
      <c r="D121" s="226"/>
      <c r="E121" s="176"/>
      <c r="F121" s="226"/>
      <c r="G121" s="229"/>
      <c r="H121" s="200"/>
    </row>
    <row r="122" spans="1:8" x14ac:dyDescent="0.25">
      <c r="A122" s="133"/>
      <c r="B122" s="195"/>
      <c r="C122" s="226"/>
      <c r="D122" s="226"/>
      <c r="E122" s="171"/>
      <c r="F122" s="226"/>
      <c r="G122" s="231"/>
      <c r="H122" s="200"/>
    </row>
    <row r="123" spans="1:8" x14ac:dyDescent="0.25">
      <c r="A123" s="133"/>
      <c r="B123" s="195"/>
      <c r="C123" s="226"/>
      <c r="D123" s="232"/>
      <c r="E123" s="232"/>
      <c r="F123" s="226"/>
      <c r="G123" s="229"/>
      <c r="H123" s="200"/>
    </row>
    <row r="124" spans="1:8" ht="15.75" thickBot="1" x14ac:dyDescent="0.3">
      <c r="A124" s="133"/>
      <c r="B124" s="195"/>
      <c r="C124" s="226"/>
      <c r="D124" s="232"/>
      <c r="E124" s="232"/>
      <c r="F124" s="226"/>
      <c r="G124" s="229"/>
      <c r="H124" s="200"/>
    </row>
    <row r="125" spans="1:8" ht="15.75" thickBot="1" x14ac:dyDescent="0.3">
      <c r="A125" s="133"/>
      <c r="B125" s="233"/>
      <c r="C125" s="234"/>
      <c r="D125" s="234"/>
      <c r="E125" s="234"/>
      <c r="F125" s="235"/>
      <c r="G125" s="236"/>
      <c r="H125" s="237">
        <f>+SUM(G119:G125)</f>
        <v>22.015000000000001</v>
      </c>
    </row>
    <row r="126" spans="1:8" ht="15.75" thickBot="1" x14ac:dyDescent="0.3">
      <c r="A126" s="133"/>
      <c r="B126" s="238"/>
      <c r="C126" s="238"/>
      <c r="D126" s="238"/>
      <c r="E126" s="238"/>
      <c r="F126" s="239"/>
      <c r="G126" s="240"/>
      <c r="H126" s="241"/>
    </row>
    <row r="127" spans="1:8" ht="15.75" thickBot="1" x14ac:dyDescent="0.3">
      <c r="A127" s="133"/>
      <c r="B127" s="224" t="s">
        <v>5408</v>
      </c>
      <c r="C127" s="193" t="s">
        <v>867</v>
      </c>
      <c r="D127" s="193" t="s">
        <v>6</v>
      </c>
      <c r="E127" s="193" t="s">
        <v>870</v>
      </c>
      <c r="F127" s="193" t="s">
        <v>5409</v>
      </c>
      <c r="G127" s="225" t="s">
        <v>868</v>
      </c>
      <c r="H127" s="200"/>
    </row>
    <row r="128" spans="1:8" x14ac:dyDescent="0.25">
      <c r="A128" s="133"/>
      <c r="B128" s="447" t="s">
        <v>6049</v>
      </c>
      <c r="C128" s="202" t="s">
        <v>6050</v>
      </c>
      <c r="D128" s="226"/>
      <c r="E128" s="171"/>
      <c r="F128" s="169"/>
      <c r="G128" s="178">
        <f>+D128*E128*(1+F128)</f>
        <v>0</v>
      </c>
      <c r="H128" s="200"/>
    </row>
    <row r="129" spans="1:8" x14ac:dyDescent="0.25">
      <c r="A129" s="133"/>
      <c r="B129" s="266" t="s">
        <v>6051</v>
      </c>
      <c r="C129" s="202" t="s">
        <v>6050</v>
      </c>
      <c r="D129" s="202"/>
      <c r="E129" s="175"/>
      <c r="F129" s="169"/>
      <c r="G129" s="178">
        <f>+D129*E129*(1+F129)</f>
        <v>0</v>
      </c>
      <c r="H129" s="200"/>
    </row>
    <row r="130" spans="1:8" x14ac:dyDescent="0.25">
      <c r="A130" s="133"/>
      <c r="B130" s="266" t="s">
        <v>5755</v>
      </c>
      <c r="C130" s="226" t="s">
        <v>5487</v>
      </c>
      <c r="D130" s="226"/>
      <c r="E130" s="244"/>
      <c r="F130" s="169"/>
      <c r="G130" s="178">
        <f>+D130*E130*(1+F130)</f>
        <v>0</v>
      </c>
      <c r="H130" s="200"/>
    </row>
    <row r="131" spans="1:8" x14ac:dyDescent="0.25">
      <c r="A131" s="133"/>
      <c r="B131" s="194"/>
      <c r="C131" s="226"/>
      <c r="D131" s="226"/>
      <c r="E131" s="171"/>
      <c r="F131" s="169"/>
      <c r="G131" s="178"/>
      <c r="H131" s="200"/>
    </row>
    <row r="132" spans="1:8" x14ac:dyDescent="0.25">
      <c r="A132" s="133"/>
      <c r="B132" s="195"/>
      <c r="C132" s="226"/>
      <c r="D132" s="226"/>
      <c r="E132" s="171"/>
      <c r="F132" s="169"/>
      <c r="G132" s="178"/>
      <c r="H132" s="200"/>
    </row>
    <row r="133" spans="1:8" x14ac:dyDescent="0.25">
      <c r="A133" s="133"/>
      <c r="B133" s="194"/>
      <c r="C133" s="202"/>
      <c r="D133" s="202"/>
      <c r="E133" s="171"/>
      <c r="F133" s="169"/>
      <c r="G133" s="178"/>
      <c r="H133" s="200"/>
    </row>
    <row r="134" spans="1:8" x14ac:dyDescent="0.25">
      <c r="A134" s="133"/>
      <c r="B134" s="195"/>
      <c r="C134" s="226"/>
      <c r="D134" s="226"/>
      <c r="E134" s="171"/>
      <c r="F134" s="169"/>
      <c r="G134" s="178"/>
      <c r="H134" s="200"/>
    </row>
    <row r="135" spans="1:8" x14ac:dyDescent="0.25">
      <c r="A135" s="133"/>
      <c r="B135" s="195"/>
      <c r="C135" s="226"/>
      <c r="D135" s="226"/>
      <c r="E135" s="171"/>
      <c r="F135" s="169"/>
      <c r="G135" s="178"/>
      <c r="H135" s="200"/>
    </row>
    <row r="136" spans="1:8" x14ac:dyDescent="0.25">
      <c r="A136" s="133"/>
      <c r="B136" s="195"/>
      <c r="C136" s="232"/>
      <c r="D136" s="232"/>
      <c r="E136" s="232"/>
      <c r="F136" s="226"/>
      <c r="G136" s="229"/>
      <c r="H136" s="200"/>
    </row>
    <row r="137" spans="1:8" x14ac:dyDescent="0.25">
      <c r="A137" s="133"/>
      <c r="B137" s="195"/>
      <c r="C137" s="232"/>
      <c r="D137" s="232"/>
      <c r="E137" s="232"/>
      <c r="F137" s="226"/>
      <c r="G137" s="229"/>
      <c r="H137" s="200"/>
    </row>
    <row r="138" spans="1:8" x14ac:dyDescent="0.25">
      <c r="A138" s="133"/>
      <c r="B138" s="195"/>
      <c r="C138" s="232"/>
      <c r="D138" s="232"/>
      <c r="E138" s="232"/>
      <c r="F138" s="226"/>
      <c r="G138" s="229"/>
      <c r="H138" s="200"/>
    </row>
    <row r="139" spans="1:8" ht="15.75" thickBot="1" x14ac:dyDescent="0.3">
      <c r="A139" s="133"/>
      <c r="B139" s="195"/>
      <c r="C139" s="232"/>
      <c r="D139" s="232"/>
      <c r="E139" s="232"/>
      <c r="F139" s="226"/>
      <c r="G139" s="229"/>
      <c r="H139" s="200"/>
    </row>
    <row r="140" spans="1:8" ht="15.75" thickBot="1" x14ac:dyDescent="0.3">
      <c r="A140" s="133"/>
      <c r="B140" s="233"/>
      <c r="C140" s="234"/>
      <c r="D140" s="234"/>
      <c r="E140" s="234"/>
      <c r="F140" s="235"/>
      <c r="G140" s="236"/>
      <c r="H140" s="256">
        <f>+SUM(G128:G140)</f>
        <v>0</v>
      </c>
    </row>
    <row r="141" spans="1:8" ht="15.75" thickBot="1" x14ac:dyDescent="0.3">
      <c r="A141" s="133"/>
      <c r="B141" s="238"/>
      <c r="C141" s="238"/>
      <c r="D141" s="238"/>
      <c r="E141" s="238"/>
      <c r="F141" s="239"/>
      <c r="G141" s="240"/>
      <c r="H141" s="241"/>
    </row>
    <row r="142" spans="1:8" ht="15.75" thickBot="1" x14ac:dyDescent="0.3">
      <c r="A142" s="133"/>
      <c r="B142" s="224" t="s">
        <v>5410</v>
      </c>
      <c r="C142" s="193" t="s">
        <v>867</v>
      </c>
      <c r="D142" s="193" t="s">
        <v>6</v>
      </c>
      <c r="E142" s="193" t="s">
        <v>870</v>
      </c>
      <c r="F142" s="193" t="s">
        <v>5411</v>
      </c>
      <c r="G142" s="225" t="s">
        <v>868</v>
      </c>
      <c r="H142" s="200"/>
    </row>
    <row r="143" spans="1:8" x14ac:dyDescent="0.25">
      <c r="A143" s="133"/>
      <c r="B143" s="245"/>
      <c r="C143" s="202"/>
      <c r="D143" s="202"/>
      <c r="E143" s="175"/>
      <c r="F143" s="202"/>
      <c r="G143" s="203"/>
      <c r="H143" s="246"/>
    </row>
    <row r="144" spans="1:8" x14ac:dyDescent="0.25">
      <c r="A144" s="133"/>
      <c r="B144" s="247"/>
      <c r="C144" s="248"/>
      <c r="D144" s="248"/>
      <c r="E144" s="248"/>
      <c r="F144" s="202"/>
      <c r="G144" s="178"/>
      <c r="H144" s="200"/>
    </row>
    <row r="145" spans="1:8" x14ac:dyDescent="0.25">
      <c r="A145" s="133"/>
      <c r="B145" s="247"/>
      <c r="C145" s="232"/>
      <c r="D145" s="232"/>
      <c r="E145" s="232"/>
      <c r="F145" s="226"/>
      <c r="G145" s="229"/>
      <c r="H145" s="200"/>
    </row>
    <row r="146" spans="1:8" x14ac:dyDescent="0.25">
      <c r="A146" s="133"/>
      <c r="B146" s="194"/>
      <c r="C146" s="232"/>
      <c r="D146" s="232"/>
      <c r="E146" s="232"/>
      <c r="F146" s="226"/>
      <c r="G146" s="229"/>
      <c r="H146" s="200"/>
    </row>
    <row r="147" spans="1:8" ht="15.75" thickBot="1" x14ac:dyDescent="0.3">
      <c r="A147" s="133"/>
      <c r="B147" s="195"/>
      <c r="C147" s="232"/>
      <c r="D147" s="232"/>
      <c r="E147" s="232"/>
      <c r="F147" s="226"/>
      <c r="G147" s="229"/>
      <c r="H147" s="200"/>
    </row>
    <row r="148" spans="1:8" ht="15.75" thickBot="1" x14ac:dyDescent="0.3">
      <c r="A148" s="133"/>
      <c r="B148" s="233"/>
      <c r="C148" s="234"/>
      <c r="D148" s="234"/>
      <c r="E148" s="234"/>
      <c r="F148" s="235"/>
      <c r="G148" s="236"/>
      <c r="H148" s="237">
        <f>+SUM(G143:G148)</f>
        <v>0</v>
      </c>
    </row>
    <row r="149" spans="1:8" ht="15.75" thickBot="1" x14ac:dyDescent="0.3">
      <c r="A149" s="133"/>
      <c r="B149" s="238"/>
      <c r="C149" s="238"/>
      <c r="D149" s="238"/>
      <c r="E149" s="238"/>
      <c r="F149" s="249"/>
      <c r="G149" s="250"/>
      <c r="H149" s="241"/>
    </row>
    <row r="150" spans="1:8" ht="15.75" thickBot="1" x14ac:dyDescent="0.3">
      <c r="A150" s="133"/>
      <c r="B150" s="224" t="s">
        <v>5412</v>
      </c>
      <c r="C150" s="193" t="s">
        <v>5420</v>
      </c>
      <c r="D150" s="193" t="s">
        <v>5421</v>
      </c>
      <c r="E150" s="193" t="s">
        <v>5413</v>
      </c>
      <c r="F150" s="193" t="s">
        <v>5405</v>
      </c>
      <c r="G150" s="225" t="s">
        <v>868</v>
      </c>
      <c r="H150" s="200"/>
    </row>
    <row r="151" spans="1:8" x14ac:dyDescent="0.25">
      <c r="A151" s="133"/>
      <c r="B151" s="194" t="s">
        <v>5948</v>
      </c>
      <c r="C151" s="345">
        <v>70000</v>
      </c>
      <c r="D151" s="176">
        <f>+C151*0.85</f>
        <v>59500</v>
      </c>
      <c r="E151" s="176">
        <f>+C151+D151</f>
        <v>129500</v>
      </c>
      <c r="F151" s="204">
        <v>2000</v>
      </c>
      <c r="G151" s="178">
        <f>+E151/F151</f>
        <v>64.75</v>
      </c>
      <c r="H151" s="200"/>
    </row>
    <row r="152" spans="1:8" x14ac:dyDescent="0.25">
      <c r="A152" s="133"/>
      <c r="B152" s="194" t="s">
        <v>5651</v>
      </c>
      <c r="C152" s="345">
        <v>40000</v>
      </c>
      <c r="D152" s="176">
        <f>+C152*0.85</f>
        <v>34000</v>
      </c>
      <c r="E152" s="176">
        <f>+C152+D152</f>
        <v>74000</v>
      </c>
      <c r="F152" s="202">
        <v>400</v>
      </c>
      <c r="G152" s="178">
        <f>+E152/F152</f>
        <v>185</v>
      </c>
      <c r="H152" s="200"/>
    </row>
    <row r="153" spans="1:8" x14ac:dyDescent="0.25">
      <c r="A153" s="133"/>
      <c r="B153" s="195" t="s">
        <v>5635</v>
      </c>
      <c r="C153" s="345">
        <v>20600</v>
      </c>
      <c r="D153" s="176">
        <f>+C153*0.85</f>
        <v>17510</v>
      </c>
      <c r="E153" s="176">
        <f>+C153+D153</f>
        <v>38110</v>
      </c>
      <c r="F153" s="226">
        <v>200</v>
      </c>
      <c r="G153" s="178">
        <f>+E153/F153</f>
        <v>190.55</v>
      </c>
      <c r="H153" s="200"/>
    </row>
    <row r="154" spans="1:8" x14ac:dyDescent="0.25">
      <c r="A154" s="133"/>
      <c r="B154" s="195"/>
      <c r="C154" s="171"/>
      <c r="D154" s="176"/>
      <c r="E154" s="176"/>
      <c r="F154" s="226"/>
      <c r="G154" s="178"/>
      <c r="H154" s="200"/>
    </row>
    <row r="155" spans="1:8" x14ac:dyDescent="0.25">
      <c r="A155" s="133"/>
      <c r="B155" s="195"/>
      <c r="C155" s="232"/>
      <c r="D155" s="232"/>
      <c r="E155" s="232"/>
      <c r="F155" s="226"/>
      <c r="G155" s="229"/>
      <c r="H155" s="200"/>
    </row>
    <row r="156" spans="1:8" ht="15.75" thickBot="1" x14ac:dyDescent="0.3">
      <c r="A156" s="133"/>
      <c r="B156" s="195"/>
      <c r="C156" s="232"/>
      <c r="D156" s="232"/>
      <c r="E156" s="232"/>
      <c r="F156" s="226"/>
      <c r="G156" s="229"/>
      <c r="H156" s="200"/>
    </row>
    <row r="157" spans="1:8" ht="15.75" thickBot="1" x14ac:dyDescent="0.3">
      <c r="A157" s="133"/>
      <c r="B157" s="251"/>
      <c r="C157" s="252"/>
      <c r="D157" s="252"/>
      <c r="E157" s="252"/>
      <c r="F157" s="253"/>
      <c r="G157" s="254"/>
      <c r="H157" s="256">
        <f>+SUM(G151:G157)</f>
        <v>440.3</v>
      </c>
    </row>
    <row r="158" spans="1:8" ht="15.75" thickBot="1" x14ac:dyDescent="0.3">
      <c r="A158" s="133"/>
      <c r="B158" s="8"/>
      <c r="C158" s="8"/>
      <c r="D158" s="8"/>
      <c r="E158" s="8"/>
      <c r="F158" s="133"/>
      <c r="G158" s="200"/>
      <c r="H158" s="200"/>
    </row>
    <row r="159" spans="1:8" ht="15.75" thickBot="1" x14ac:dyDescent="0.3">
      <c r="A159" s="133"/>
      <c r="B159" s="8"/>
      <c r="C159" s="8"/>
      <c r="D159" s="8"/>
      <c r="E159" s="223" t="s">
        <v>5415</v>
      </c>
      <c r="F159" s="133"/>
      <c r="G159" s="200"/>
      <c r="H159" s="256">
        <f>ROUND(+H157+H148+H140+H125,0)</f>
        <v>462</v>
      </c>
    </row>
    <row r="164" spans="1:26" ht="18.75" x14ac:dyDescent="0.25">
      <c r="A164" s="133"/>
      <c r="B164" s="2506" t="s">
        <v>5400</v>
      </c>
      <c r="C164" s="2506"/>
      <c r="D164" s="2506"/>
      <c r="E164" s="2506"/>
      <c r="F164" s="2506"/>
      <c r="G164" s="2506"/>
      <c r="H164" s="8"/>
      <c r="I164" s="2506" t="s">
        <v>5400</v>
      </c>
      <c r="J164" s="2506"/>
      <c r="K164" s="2506"/>
      <c r="L164" s="2506"/>
      <c r="M164" s="2506"/>
      <c r="N164" s="2506"/>
      <c r="O164" s="2506"/>
      <c r="R164" s="2506" t="s">
        <v>5400</v>
      </c>
      <c r="S164" s="2506"/>
      <c r="T164" s="2506"/>
      <c r="U164" s="2506"/>
      <c r="V164" s="2506"/>
      <c r="W164" s="2506"/>
      <c r="X164" s="2506"/>
    </row>
    <row r="165" spans="1:26" x14ac:dyDescent="0.25">
      <c r="A165" s="133"/>
      <c r="B165" s="8"/>
      <c r="C165" s="8"/>
      <c r="D165" s="8"/>
      <c r="E165" s="8"/>
      <c r="F165" s="133"/>
      <c r="G165" s="200"/>
      <c r="H165" s="200"/>
    </row>
    <row r="166" spans="1:26" x14ac:dyDescent="0.25">
      <c r="A166" s="133"/>
      <c r="B166" s="8"/>
      <c r="C166" s="8"/>
      <c r="D166" s="8"/>
      <c r="E166" s="8"/>
      <c r="F166" s="133"/>
      <c r="G166" s="200"/>
      <c r="H166" s="200"/>
    </row>
    <row r="167" spans="1:26" x14ac:dyDescent="0.25">
      <c r="A167" s="133"/>
      <c r="B167" s="8"/>
      <c r="C167" s="8"/>
      <c r="D167" s="8"/>
      <c r="E167" s="8"/>
      <c r="F167" s="133"/>
      <c r="G167" s="200"/>
      <c r="H167" s="200"/>
    </row>
    <row r="168" spans="1:26" ht="24.95" customHeight="1" x14ac:dyDescent="0.25">
      <c r="A168" s="220" t="s">
        <v>5482</v>
      </c>
      <c r="B168" s="221" t="s">
        <v>407</v>
      </c>
      <c r="C168" s="2449" t="s">
        <v>5881</v>
      </c>
      <c r="D168" s="2449"/>
      <c r="E168" s="2449"/>
      <c r="F168" s="220" t="s">
        <v>867</v>
      </c>
      <c r="G168" s="222" t="s">
        <v>5402</v>
      </c>
      <c r="H168" s="200"/>
      <c r="I168" s="220" t="s">
        <v>5482</v>
      </c>
      <c r="J168" s="221" t="s">
        <v>407</v>
      </c>
      <c r="K168" s="2449" t="s">
        <v>5882</v>
      </c>
      <c r="L168" s="2449"/>
      <c r="M168" s="2449"/>
      <c r="N168" s="220" t="s">
        <v>867</v>
      </c>
      <c r="O168" s="222" t="s">
        <v>5402</v>
      </c>
      <c r="P168" s="200"/>
      <c r="Q168" s="220" t="s">
        <v>5482</v>
      </c>
      <c r="R168" s="221" t="s">
        <v>407</v>
      </c>
      <c r="S168" s="2449" t="s">
        <v>5982</v>
      </c>
      <c r="T168" s="2449"/>
      <c r="U168" s="2449"/>
      <c r="V168" s="220" t="s">
        <v>867</v>
      </c>
      <c r="W168" s="222" t="s">
        <v>5402</v>
      </c>
      <c r="X168" s="200"/>
    </row>
    <row r="169" spans="1:26" x14ac:dyDescent="0.25">
      <c r="A169" s="133"/>
      <c r="B169" s="8"/>
      <c r="C169" s="223"/>
      <c r="D169" s="223"/>
      <c r="E169" s="223"/>
      <c r="F169" s="133"/>
      <c r="G169" s="200"/>
      <c r="H169" s="200"/>
      <c r="I169" s="133"/>
      <c r="J169" s="8"/>
      <c r="K169" s="223"/>
      <c r="L169" s="223"/>
      <c r="M169" s="223"/>
      <c r="N169" s="223"/>
      <c r="O169" s="133"/>
      <c r="P169" s="200"/>
      <c r="Q169" s="200"/>
      <c r="R169" s="133"/>
      <c r="S169" s="8"/>
      <c r="T169" s="223"/>
      <c r="U169" s="223"/>
      <c r="V169" s="223"/>
      <c r="W169" s="223"/>
      <c r="X169" s="133"/>
      <c r="Y169" s="200"/>
      <c r="Z169" s="200"/>
    </row>
    <row r="170" spans="1:26" x14ac:dyDescent="0.25">
      <c r="A170" s="133"/>
      <c r="B170" s="8"/>
      <c r="C170" s="8"/>
      <c r="D170" s="8"/>
      <c r="E170" s="8"/>
      <c r="F170" s="8"/>
      <c r="G170" s="8"/>
      <c r="H170" s="200"/>
      <c r="I170" s="133"/>
      <c r="J170" s="8"/>
      <c r="K170" s="8"/>
      <c r="L170" s="8"/>
      <c r="M170" s="8"/>
      <c r="N170" s="8"/>
      <c r="O170" s="8"/>
      <c r="P170" s="8"/>
      <c r="Q170" s="200"/>
      <c r="R170" s="133"/>
      <c r="S170" s="8"/>
      <c r="T170" s="8"/>
      <c r="U170" s="8"/>
      <c r="V170" s="8"/>
      <c r="W170" s="8"/>
      <c r="X170" s="8"/>
      <c r="Y170" s="8"/>
      <c r="Z170" s="200"/>
    </row>
    <row r="171" spans="1:26" ht="15.75" thickBot="1" x14ac:dyDescent="0.3">
      <c r="A171" s="133"/>
      <c r="B171" s="8"/>
      <c r="C171" s="8"/>
      <c r="D171" s="8"/>
      <c r="E171" s="8"/>
      <c r="F171" s="133"/>
      <c r="G171" s="200"/>
      <c r="H171" s="200"/>
      <c r="I171" s="133"/>
      <c r="J171" s="8"/>
      <c r="K171" s="8"/>
      <c r="L171" s="8"/>
      <c r="M171" s="8"/>
      <c r="N171" s="8"/>
      <c r="O171" s="133"/>
      <c r="P171" s="200"/>
      <c r="Q171" s="200"/>
      <c r="R171" s="133"/>
      <c r="S171" s="8"/>
      <c r="T171" s="8"/>
      <c r="U171" s="8"/>
      <c r="V171" s="8"/>
      <c r="W171" s="8"/>
      <c r="X171" s="133"/>
      <c r="Y171" s="200"/>
      <c r="Z171" s="200"/>
    </row>
    <row r="172" spans="1:26" ht="15.75" thickBot="1" x14ac:dyDescent="0.3">
      <c r="A172" s="133"/>
      <c r="B172" s="224" t="s">
        <v>5403</v>
      </c>
      <c r="C172" s="193" t="s">
        <v>867</v>
      </c>
      <c r="D172" s="193" t="s">
        <v>6</v>
      </c>
      <c r="E172" s="193" t="s">
        <v>5439</v>
      </c>
      <c r="F172" s="193" t="s">
        <v>5405</v>
      </c>
      <c r="G172" s="225" t="s">
        <v>868</v>
      </c>
      <c r="H172" s="200"/>
      <c r="I172" s="133"/>
      <c r="J172" s="224" t="s">
        <v>5403</v>
      </c>
      <c r="K172" s="193" t="s">
        <v>867</v>
      </c>
      <c r="L172" s="193" t="s">
        <v>6</v>
      </c>
      <c r="M172" s="193" t="s">
        <v>5439</v>
      </c>
      <c r="N172" s="193" t="s">
        <v>5405</v>
      </c>
      <c r="O172" s="225" t="s">
        <v>868</v>
      </c>
      <c r="P172" s="200"/>
      <c r="Q172" s="133"/>
      <c r="R172" s="224" t="s">
        <v>5403</v>
      </c>
      <c r="S172" s="193" t="s">
        <v>867</v>
      </c>
      <c r="T172" s="193" t="s">
        <v>6</v>
      </c>
      <c r="U172" s="193" t="s">
        <v>5439</v>
      </c>
      <c r="V172" s="193" t="s">
        <v>5405</v>
      </c>
      <c r="W172" s="225" t="s">
        <v>868</v>
      </c>
      <c r="X172" s="200"/>
    </row>
    <row r="173" spans="1:26" x14ac:dyDescent="0.25">
      <c r="A173" s="133"/>
      <c r="B173" s="195" t="s">
        <v>5440</v>
      </c>
      <c r="C173" s="226" t="s">
        <v>5402</v>
      </c>
      <c r="D173" s="226">
        <v>1</v>
      </c>
      <c r="E173" s="227">
        <f>+H211</f>
        <v>2633.1666666666665</v>
      </c>
      <c r="F173" s="226">
        <v>0.05</v>
      </c>
      <c r="G173" s="229">
        <f>+E173*F173</f>
        <v>131.65833333333333</v>
      </c>
      <c r="H173" s="200"/>
      <c r="I173" s="133"/>
      <c r="J173" s="195" t="s">
        <v>5440</v>
      </c>
      <c r="K173" s="226" t="s">
        <v>5402</v>
      </c>
      <c r="L173" s="226">
        <v>1</v>
      </c>
      <c r="M173" s="228">
        <f>+P211</f>
        <v>3133.9</v>
      </c>
      <c r="N173" s="226">
        <v>0.05</v>
      </c>
      <c r="O173" s="229">
        <f>+M173*N173</f>
        <v>156.69500000000002</v>
      </c>
      <c r="P173" s="200"/>
      <c r="Q173" s="133"/>
      <c r="R173" s="195" t="s">
        <v>5440</v>
      </c>
      <c r="S173" s="226" t="s">
        <v>5402</v>
      </c>
      <c r="T173" s="226">
        <v>1</v>
      </c>
      <c r="U173" s="228">
        <f>+X211</f>
        <v>3797.125</v>
      </c>
      <c r="V173" s="226">
        <v>0.05</v>
      </c>
      <c r="W173" s="229">
        <f>+U173*V173</f>
        <v>189.85625000000002</v>
      </c>
      <c r="X173" s="200"/>
    </row>
    <row r="174" spans="1:26" x14ac:dyDescent="0.25">
      <c r="A174" s="133"/>
      <c r="B174" s="195" t="s">
        <v>6048</v>
      </c>
      <c r="C174" s="226" t="s">
        <v>5402</v>
      </c>
      <c r="D174" s="226">
        <v>1</v>
      </c>
      <c r="E174" s="449">
        <v>50000</v>
      </c>
      <c r="F174" s="226">
        <v>8.0000000000000002E-3</v>
      </c>
      <c r="G174" s="229">
        <f>+E174*F174</f>
        <v>400</v>
      </c>
      <c r="H174" s="200"/>
      <c r="I174" s="133"/>
      <c r="J174" s="195" t="s">
        <v>6048</v>
      </c>
      <c r="K174" s="226" t="s">
        <v>5402</v>
      </c>
      <c r="L174" s="226">
        <v>1</v>
      </c>
      <c r="M174" s="449">
        <v>50000</v>
      </c>
      <c r="N174" s="226">
        <v>8.0000000000000002E-3</v>
      </c>
      <c r="O174" s="229">
        <f>+M174*N174</f>
        <v>400</v>
      </c>
      <c r="P174" s="200"/>
      <c r="Q174" s="133"/>
      <c r="R174" s="195" t="s">
        <v>6048</v>
      </c>
      <c r="S174" s="226" t="s">
        <v>5402</v>
      </c>
      <c r="T174" s="226">
        <v>1</v>
      </c>
      <c r="U174" s="449">
        <v>50000</v>
      </c>
      <c r="V174" s="226">
        <v>8.0000000000000002E-3</v>
      </c>
      <c r="W174" s="229">
        <f>+U174*V174</f>
        <v>400</v>
      </c>
      <c r="X174" s="200"/>
    </row>
    <row r="175" spans="1:26" x14ac:dyDescent="0.25">
      <c r="A175" s="133"/>
      <c r="B175" s="195"/>
      <c r="C175" s="226"/>
      <c r="D175" s="226"/>
      <c r="E175" s="176"/>
      <c r="F175" s="226"/>
      <c r="G175" s="229"/>
      <c r="H175" s="200"/>
      <c r="I175" s="133"/>
      <c r="J175" s="195"/>
      <c r="K175" s="226"/>
      <c r="L175" s="226"/>
      <c r="M175" s="176"/>
      <c r="N175" s="226"/>
      <c r="O175" s="229"/>
      <c r="P175" s="200"/>
      <c r="Q175" s="133"/>
      <c r="R175" s="195"/>
      <c r="S175" s="226"/>
      <c r="T175" s="226"/>
      <c r="U175" s="176"/>
      <c r="V175" s="226"/>
      <c r="W175" s="229"/>
      <c r="X175" s="200"/>
    </row>
    <row r="176" spans="1:26" x14ac:dyDescent="0.25">
      <c r="A176" s="133"/>
      <c r="B176" s="195"/>
      <c r="C176" s="226"/>
      <c r="D176" s="226"/>
      <c r="E176" s="171"/>
      <c r="F176" s="226"/>
      <c r="G176" s="231"/>
      <c r="H176" s="200"/>
      <c r="I176" s="133"/>
      <c r="J176" s="195"/>
      <c r="K176" s="226"/>
      <c r="L176" s="226"/>
      <c r="M176" s="171"/>
      <c r="N176" s="226"/>
      <c r="O176" s="231"/>
      <c r="P176" s="200"/>
      <c r="Q176" s="133"/>
      <c r="R176" s="195"/>
      <c r="S176" s="226"/>
      <c r="T176" s="226"/>
      <c r="U176" s="171"/>
      <c r="V176" s="226"/>
      <c r="W176" s="231"/>
      <c r="X176" s="200"/>
    </row>
    <row r="177" spans="1:24" x14ac:dyDescent="0.25">
      <c r="A177" s="133"/>
      <c r="B177" s="195"/>
      <c r="C177" s="226"/>
      <c r="D177" s="232"/>
      <c r="E177" s="232"/>
      <c r="F177" s="226"/>
      <c r="G177" s="229"/>
      <c r="H177" s="200"/>
      <c r="I177" s="133"/>
      <c r="J177" s="195"/>
      <c r="K177" s="226"/>
      <c r="L177" s="232"/>
      <c r="M177" s="232"/>
      <c r="N177" s="226"/>
      <c r="O177" s="229"/>
      <c r="P177" s="200"/>
      <c r="Q177" s="133"/>
      <c r="R177" s="195"/>
      <c r="S177" s="226"/>
      <c r="T177" s="232"/>
      <c r="U177" s="232"/>
      <c r="V177" s="226"/>
      <c r="W177" s="229"/>
      <c r="X177" s="200"/>
    </row>
    <row r="178" spans="1:24" ht="15.75" thickBot="1" x14ac:dyDescent="0.3">
      <c r="A178" s="133"/>
      <c r="B178" s="195"/>
      <c r="C178" s="226"/>
      <c r="D178" s="232"/>
      <c r="E178" s="232"/>
      <c r="F178" s="226"/>
      <c r="G178" s="229"/>
      <c r="H178" s="200"/>
      <c r="I178" s="133"/>
      <c r="J178" s="195"/>
      <c r="K178" s="226"/>
      <c r="L178" s="232"/>
      <c r="M178" s="232"/>
      <c r="N178" s="226"/>
      <c r="O178" s="229"/>
      <c r="P178" s="200"/>
      <c r="Q178" s="133"/>
      <c r="R178" s="195"/>
      <c r="S178" s="226"/>
      <c r="T178" s="232"/>
      <c r="U178" s="232"/>
      <c r="V178" s="226"/>
      <c r="W178" s="229"/>
      <c r="X178" s="200"/>
    </row>
    <row r="179" spans="1:24" ht="15.75" thickBot="1" x14ac:dyDescent="0.3">
      <c r="A179" s="133"/>
      <c r="B179" s="233"/>
      <c r="C179" s="234"/>
      <c r="D179" s="234"/>
      <c r="E179" s="234"/>
      <c r="F179" s="235"/>
      <c r="G179" s="236"/>
      <c r="H179" s="237">
        <f>+SUM(G173:G179)</f>
        <v>531.6583333333333</v>
      </c>
      <c r="I179" s="133"/>
      <c r="J179" s="233"/>
      <c r="K179" s="234"/>
      <c r="L179" s="234"/>
      <c r="M179" s="234"/>
      <c r="N179" s="235"/>
      <c r="O179" s="236"/>
      <c r="P179" s="237">
        <f>+SUM(O173:O179)</f>
        <v>556.69500000000005</v>
      </c>
      <c r="Q179" s="133"/>
      <c r="R179" s="233"/>
      <c r="S179" s="234"/>
      <c r="T179" s="234"/>
      <c r="U179" s="234"/>
      <c r="V179" s="235"/>
      <c r="W179" s="236"/>
      <c r="X179" s="237">
        <f>+SUM(W173:W179)</f>
        <v>589.85625000000005</v>
      </c>
    </row>
    <row r="180" spans="1:24" ht="15.75" thickBot="1" x14ac:dyDescent="0.3">
      <c r="A180" s="133"/>
      <c r="B180" s="238"/>
      <c r="C180" s="238"/>
      <c r="D180" s="238"/>
      <c r="E180" s="238"/>
      <c r="F180" s="239"/>
      <c r="G180" s="240"/>
      <c r="H180" s="241"/>
      <c r="I180" s="133"/>
      <c r="J180" s="238"/>
      <c r="K180" s="238"/>
      <c r="L180" s="238"/>
      <c r="M180" s="238"/>
      <c r="N180" s="239"/>
      <c r="O180" s="240"/>
      <c r="P180" s="241"/>
      <c r="Q180" s="133"/>
      <c r="R180" s="238"/>
      <c r="S180" s="238"/>
      <c r="T180" s="238"/>
      <c r="U180" s="238"/>
      <c r="V180" s="239"/>
      <c r="W180" s="240"/>
      <c r="X180" s="241"/>
    </row>
    <row r="181" spans="1:24" ht="15.75" thickBot="1" x14ac:dyDescent="0.3">
      <c r="A181" s="133"/>
      <c r="B181" s="224" t="s">
        <v>5408</v>
      </c>
      <c r="C181" s="193" t="s">
        <v>867</v>
      </c>
      <c r="D181" s="193" t="s">
        <v>6</v>
      </c>
      <c r="E181" s="193" t="s">
        <v>870</v>
      </c>
      <c r="F181" s="193" t="s">
        <v>5409</v>
      </c>
      <c r="G181" s="225" t="s">
        <v>868</v>
      </c>
      <c r="H181" s="200"/>
      <c r="I181" s="133"/>
      <c r="J181" s="224" t="s">
        <v>5408</v>
      </c>
      <c r="K181" s="193" t="s">
        <v>867</v>
      </c>
      <c r="L181" s="193" t="s">
        <v>6</v>
      </c>
      <c r="M181" s="193" t="s">
        <v>870</v>
      </c>
      <c r="N181" s="193" t="s">
        <v>5409</v>
      </c>
      <c r="O181" s="225" t="s">
        <v>868</v>
      </c>
      <c r="P181" s="200"/>
      <c r="Q181" s="133"/>
      <c r="R181" s="224" t="s">
        <v>5408</v>
      </c>
      <c r="S181" s="193" t="s">
        <v>867</v>
      </c>
      <c r="T181" s="193" t="s">
        <v>6</v>
      </c>
      <c r="U181" s="193" t="s">
        <v>870</v>
      </c>
      <c r="V181" s="193" t="s">
        <v>5409</v>
      </c>
      <c r="W181" s="225" t="s">
        <v>868</v>
      </c>
      <c r="X181" s="200"/>
    </row>
    <row r="182" spans="1:24" x14ac:dyDescent="0.25">
      <c r="A182" s="133"/>
      <c r="B182" s="289" t="s">
        <v>6053</v>
      </c>
      <c r="C182" s="202" t="s">
        <v>5486</v>
      </c>
      <c r="D182" s="226">
        <v>1.0399999999999999E-3</v>
      </c>
      <c r="E182" s="171">
        <f>12131*1.16</f>
        <v>14071.96</v>
      </c>
      <c r="F182" s="169">
        <v>0.05</v>
      </c>
      <c r="G182" s="178">
        <f>+D182*E182*(1+F182)</f>
        <v>15.366580319999999</v>
      </c>
      <c r="H182" s="200"/>
      <c r="I182" s="133"/>
      <c r="J182" s="289" t="s">
        <v>6053</v>
      </c>
      <c r="K182" s="202" t="s">
        <v>5486</v>
      </c>
      <c r="L182" s="226">
        <f>1/160</f>
        <v>6.2500000000000003E-3</v>
      </c>
      <c r="M182" s="171">
        <f>12131*1.16</f>
        <v>14071.96</v>
      </c>
      <c r="N182" s="169">
        <v>0.05</v>
      </c>
      <c r="O182" s="178">
        <f>+L182*M182*(1+N182)</f>
        <v>92.347237499999991</v>
      </c>
      <c r="P182" s="200"/>
      <c r="Q182" s="133"/>
      <c r="R182" s="289" t="s">
        <v>6053</v>
      </c>
      <c r="S182" s="202" t="s">
        <v>5486</v>
      </c>
      <c r="T182" s="226">
        <f>1/100</f>
        <v>0.01</v>
      </c>
      <c r="U182" s="171">
        <f>12131*1.16</f>
        <v>14071.96</v>
      </c>
      <c r="V182" s="169">
        <v>0.05</v>
      </c>
      <c r="W182" s="178">
        <f>+T182*U182*(1+V182)</f>
        <v>147.75557999999998</v>
      </c>
      <c r="X182" s="200"/>
    </row>
    <row r="183" spans="1:24" ht="12.75" customHeight="1" x14ac:dyDescent="0.25">
      <c r="A183" s="133"/>
      <c r="B183" s="448" t="s">
        <v>5755</v>
      </c>
      <c r="C183" s="202" t="s">
        <v>5487</v>
      </c>
      <c r="D183" s="202">
        <v>82.1</v>
      </c>
      <c r="E183" s="257">
        <v>0.65</v>
      </c>
      <c r="F183" s="169">
        <v>0.05</v>
      </c>
      <c r="G183" s="178">
        <f>+D183*E183*(1+F183)</f>
        <v>56.033249999999995</v>
      </c>
      <c r="H183" s="200"/>
      <c r="I183" s="133"/>
      <c r="J183" s="448" t="s">
        <v>5755</v>
      </c>
      <c r="K183" s="202" t="s">
        <v>5487</v>
      </c>
      <c r="L183" s="202">
        <f>+D183*L184/D184</f>
        <v>184.72499999999997</v>
      </c>
      <c r="M183" s="439">
        <v>0.65</v>
      </c>
      <c r="N183" s="169">
        <v>0.05</v>
      </c>
      <c r="O183" s="178">
        <f>+L183*M183*(1+N183)</f>
        <v>126.07481249999998</v>
      </c>
      <c r="P183" s="200"/>
      <c r="Q183" s="133"/>
      <c r="R183" s="448" t="s">
        <v>5755</v>
      </c>
      <c r="S183" s="202" t="s">
        <v>5487</v>
      </c>
      <c r="T183" s="202">
        <f>+L183*T184/L184</f>
        <v>328.4</v>
      </c>
      <c r="U183" s="439">
        <v>0.65</v>
      </c>
      <c r="V183" s="169">
        <v>0.05</v>
      </c>
      <c r="W183" s="178">
        <f>+T183*U183*(1+V183)</f>
        <v>224.13299999999998</v>
      </c>
      <c r="X183" s="200"/>
    </row>
    <row r="184" spans="1:24" x14ac:dyDescent="0.25">
      <c r="A184" s="133"/>
      <c r="B184" s="448" t="s">
        <v>5553</v>
      </c>
      <c r="C184" s="226" t="s">
        <v>5488</v>
      </c>
      <c r="D184" s="226">
        <f>+PI()*0.025^2*1000</f>
        <v>1.9634954084936209</v>
      </c>
      <c r="E184" s="244">
        <v>5</v>
      </c>
      <c r="F184" s="169">
        <v>0.1</v>
      </c>
      <c r="G184" s="178">
        <f>+D184*E184*(1+F184)</f>
        <v>10.799224746714915</v>
      </c>
      <c r="H184" s="200"/>
      <c r="I184" s="133"/>
      <c r="J184" s="448" t="s">
        <v>5553</v>
      </c>
      <c r="K184" s="226" t="s">
        <v>5488</v>
      </c>
      <c r="L184" s="226">
        <f>+PI()*0.0375^2*1000</f>
        <v>4.4178646691106467</v>
      </c>
      <c r="M184" s="332">
        <v>5</v>
      </c>
      <c r="N184" s="169">
        <v>0.1</v>
      </c>
      <c r="O184" s="178">
        <f>+L184*M184*(1+N184)</f>
        <v>24.298255680108557</v>
      </c>
      <c r="P184" s="200"/>
      <c r="Q184" s="133"/>
      <c r="R184" s="448" t="s">
        <v>5553</v>
      </c>
      <c r="S184" s="226" t="s">
        <v>5488</v>
      </c>
      <c r="T184" s="226">
        <f>+PI()*0.05^2*1000</f>
        <v>7.8539816339744837</v>
      </c>
      <c r="U184" s="332">
        <v>5</v>
      </c>
      <c r="V184" s="169">
        <v>0.1</v>
      </c>
      <c r="W184" s="178">
        <f>+T184*U184*(1+V184)</f>
        <v>43.196898986859658</v>
      </c>
      <c r="X184" s="200"/>
    </row>
    <row r="185" spans="1:24" x14ac:dyDescent="0.25">
      <c r="A185" s="133"/>
      <c r="B185" s="194"/>
      <c r="C185" s="226"/>
      <c r="D185" s="226"/>
      <c r="E185" s="171"/>
      <c r="F185" s="169"/>
      <c r="G185" s="178"/>
      <c r="H185" s="200"/>
      <c r="I185" s="133"/>
      <c r="J185" s="194"/>
      <c r="K185" s="226"/>
      <c r="L185" s="226"/>
      <c r="M185" s="176"/>
      <c r="N185" s="169"/>
      <c r="O185" s="178"/>
      <c r="P185" s="200"/>
      <c r="Q185" s="133"/>
      <c r="R185" s="194"/>
      <c r="S185" s="226"/>
      <c r="T185" s="226"/>
      <c r="U185" s="176"/>
      <c r="V185" s="169"/>
      <c r="W185" s="178"/>
      <c r="X185" s="200"/>
    </row>
    <row r="186" spans="1:24" x14ac:dyDescent="0.25">
      <c r="A186" s="133"/>
      <c r="B186" s="195"/>
      <c r="C186" s="226"/>
      <c r="D186" s="226"/>
      <c r="E186" s="171"/>
      <c r="F186" s="169"/>
      <c r="G186" s="178"/>
      <c r="H186" s="200"/>
      <c r="I186" s="133"/>
      <c r="J186" s="195"/>
      <c r="K186" s="226"/>
      <c r="L186" s="226"/>
      <c r="M186" s="176"/>
      <c r="N186" s="169"/>
      <c r="O186" s="178"/>
      <c r="P186" s="200"/>
      <c r="Q186" s="133"/>
      <c r="R186" s="195"/>
      <c r="S186" s="226"/>
      <c r="T186" s="226"/>
      <c r="U186" s="176"/>
      <c r="V186" s="169"/>
      <c r="W186" s="178"/>
      <c r="X186" s="200"/>
    </row>
    <row r="187" spans="1:24" x14ac:dyDescent="0.25">
      <c r="A187" s="133"/>
      <c r="B187" s="194"/>
      <c r="C187" s="202"/>
      <c r="D187" s="202"/>
      <c r="E187" s="171"/>
      <c r="F187" s="169"/>
      <c r="G187" s="178"/>
      <c r="H187" s="200"/>
      <c r="I187" s="133"/>
      <c r="J187" s="194"/>
      <c r="K187" s="202"/>
      <c r="L187" s="202"/>
      <c r="M187" s="176"/>
      <c r="N187" s="169"/>
      <c r="O187" s="178"/>
      <c r="P187" s="200"/>
      <c r="Q187" s="133"/>
      <c r="R187" s="194"/>
      <c r="S187" s="202"/>
      <c r="T187" s="202"/>
      <c r="U187" s="176"/>
      <c r="V187" s="169"/>
      <c r="W187" s="178"/>
      <c r="X187" s="200"/>
    </row>
    <row r="188" spans="1:24" x14ac:dyDescent="0.25">
      <c r="A188" s="133"/>
      <c r="B188" s="195"/>
      <c r="C188" s="226"/>
      <c r="D188" s="226"/>
      <c r="E188" s="171"/>
      <c r="F188" s="169"/>
      <c r="G188" s="178"/>
      <c r="H188" s="200"/>
      <c r="I188" s="133"/>
      <c r="J188" s="195"/>
      <c r="K188" s="226"/>
      <c r="L188" s="226"/>
      <c r="M188" s="176"/>
      <c r="N188" s="169"/>
      <c r="O188" s="178"/>
      <c r="P188" s="200"/>
      <c r="Q188" s="133"/>
      <c r="R188" s="195"/>
      <c r="S188" s="226"/>
      <c r="T188" s="226"/>
      <c r="U188" s="176"/>
      <c r="V188" s="169"/>
      <c r="W188" s="178"/>
      <c r="X188" s="200"/>
    </row>
    <row r="189" spans="1:24" x14ac:dyDescent="0.25">
      <c r="A189" s="133"/>
      <c r="B189" s="195"/>
      <c r="C189" s="226"/>
      <c r="D189" s="226"/>
      <c r="E189" s="171"/>
      <c r="F189" s="169"/>
      <c r="G189" s="178"/>
      <c r="H189" s="200"/>
      <c r="I189" s="133"/>
      <c r="J189" s="195"/>
      <c r="K189" s="226"/>
      <c r="L189" s="226"/>
      <c r="M189" s="176"/>
      <c r="N189" s="169"/>
      <c r="O189" s="178"/>
      <c r="P189" s="200"/>
      <c r="Q189" s="133"/>
      <c r="R189" s="195"/>
      <c r="S189" s="226"/>
      <c r="T189" s="226"/>
      <c r="U189" s="176"/>
      <c r="V189" s="169"/>
      <c r="W189" s="178"/>
      <c r="X189" s="200"/>
    </row>
    <row r="190" spans="1:24" x14ac:dyDescent="0.25">
      <c r="A190" s="133"/>
      <c r="B190" s="195"/>
      <c r="C190" s="232"/>
      <c r="D190" s="232"/>
      <c r="E190" s="232"/>
      <c r="F190" s="226"/>
      <c r="G190" s="229"/>
      <c r="H190" s="200"/>
      <c r="I190" s="133"/>
      <c r="J190" s="195"/>
      <c r="K190" s="232"/>
      <c r="L190" s="232"/>
      <c r="M190" s="232"/>
      <c r="N190" s="226"/>
      <c r="O190" s="229"/>
      <c r="P190" s="200"/>
      <c r="Q190" s="133"/>
      <c r="R190" s="195"/>
      <c r="S190" s="232"/>
      <c r="T190" s="232"/>
      <c r="U190" s="232"/>
      <c r="V190" s="226"/>
      <c r="W190" s="229"/>
      <c r="X190" s="200"/>
    </row>
    <row r="191" spans="1:24" x14ac:dyDescent="0.25">
      <c r="A191" s="133"/>
      <c r="B191" s="195"/>
      <c r="C191" s="232"/>
      <c r="D191" s="232"/>
      <c r="E191" s="232"/>
      <c r="F191" s="226"/>
      <c r="G191" s="229"/>
      <c r="H191" s="200"/>
      <c r="I191" s="133"/>
      <c r="J191" s="195"/>
      <c r="K191" s="232"/>
      <c r="L191" s="232"/>
      <c r="M191" s="232"/>
      <c r="N191" s="226"/>
      <c r="O191" s="229"/>
      <c r="P191" s="200"/>
      <c r="Q191" s="133"/>
      <c r="R191" s="195"/>
      <c r="S191" s="232"/>
      <c r="T191" s="232"/>
      <c r="U191" s="232"/>
      <c r="V191" s="226"/>
      <c r="W191" s="229"/>
      <c r="X191" s="200"/>
    </row>
    <row r="192" spans="1:24" x14ac:dyDescent="0.25">
      <c r="A192" s="133"/>
      <c r="B192" s="195"/>
      <c r="C192" s="232"/>
      <c r="D192" s="232"/>
      <c r="E192" s="232"/>
      <c r="F192" s="226"/>
      <c r="G192" s="229"/>
      <c r="H192" s="200"/>
      <c r="I192" s="133"/>
      <c r="J192" s="195"/>
      <c r="K192" s="232"/>
      <c r="L192" s="232"/>
      <c r="M192" s="232"/>
      <c r="N192" s="226"/>
      <c r="O192" s="229"/>
      <c r="P192" s="200"/>
      <c r="Q192" s="133"/>
      <c r="R192" s="195"/>
      <c r="S192" s="232"/>
      <c r="T192" s="232"/>
      <c r="U192" s="232"/>
      <c r="V192" s="226"/>
      <c r="W192" s="229"/>
      <c r="X192" s="200"/>
    </row>
    <row r="193" spans="1:24" ht="15.75" thickBot="1" x14ac:dyDescent="0.3">
      <c r="A193" s="133"/>
      <c r="B193" s="195"/>
      <c r="C193" s="232"/>
      <c r="D193" s="232"/>
      <c r="E193" s="232"/>
      <c r="F193" s="226"/>
      <c r="G193" s="229"/>
      <c r="H193" s="200"/>
      <c r="I193" s="133"/>
      <c r="J193" s="195"/>
      <c r="K193" s="232"/>
      <c r="L193" s="232"/>
      <c r="M193" s="232"/>
      <c r="N193" s="226"/>
      <c r="O193" s="229"/>
      <c r="P193" s="200"/>
      <c r="Q193" s="133"/>
      <c r="R193" s="195"/>
      <c r="S193" s="232"/>
      <c r="T193" s="232"/>
      <c r="U193" s="232"/>
      <c r="V193" s="226"/>
      <c r="W193" s="229"/>
      <c r="X193" s="200"/>
    </row>
    <row r="194" spans="1:24" ht="15.75" thickBot="1" x14ac:dyDescent="0.3">
      <c r="A194" s="133"/>
      <c r="B194" s="233"/>
      <c r="C194" s="234"/>
      <c r="D194" s="234"/>
      <c r="E194" s="234"/>
      <c r="F194" s="235"/>
      <c r="G194" s="236"/>
      <c r="H194" s="256">
        <f>+SUM(G182:G194)</f>
        <v>82.199055066714905</v>
      </c>
      <c r="I194" s="133"/>
      <c r="J194" s="233"/>
      <c r="K194" s="234"/>
      <c r="L194" s="234"/>
      <c r="M194" s="234"/>
      <c r="N194" s="235"/>
      <c r="O194" s="236"/>
      <c r="P194" s="256">
        <f>+SUM(O182:O194)</f>
        <v>242.72030568010851</v>
      </c>
      <c r="Q194" s="133"/>
      <c r="R194" s="233"/>
      <c r="S194" s="234"/>
      <c r="T194" s="234"/>
      <c r="U194" s="234"/>
      <c r="V194" s="235"/>
      <c r="W194" s="236"/>
      <c r="X194" s="256">
        <f>+SUM(W182:W194)</f>
        <v>415.08547898685958</v>
      </c>
    </row>
    <row r="195" spans="1:24" ht="15.75" thickBot="1" x14ac:dyDescent="0.3">
      <c r="A195" s="133"/>
      <c r="B195" s="238"/>
      <c r="C195" s="238"/>
      <c r="D195" s="238"/>
      <c r="E195" s="238"/>
      <c r="F195" s="239"/>
      <c r="G195" s="240"/>
      <c r="H195" s="241"/>
      <c r="I195" s="133"/>
      <c r="J195" s="238"/>
      <c r="K195" s="238"/>
      <c r="L195" s="238"/>
      <c r="M195" s="238"/>
      <c r="N195" s="239"/>
      <c r="O195" s="240"/>
      <c r="P195" s="241"/>
      <c r="Q195" s="133"/>
      <c r="R195" s="238"/>
      <c r="S195" s="238"/>
      <c r="T195" s="238"/>
      <c r="U195" s="238"/>
      <c r="V195" s="239"/>
      <c r="W195" s="240"/>
      <c r="X195" s="241"/>
    </row>
    <row r="196" spans="1:24" ht="15.75" thickBot="1" x14ac:dyDescent="0.3">
      <c r="A196" s="133"/>
      <c r="B196" s="224" t="s">
        <v>5410</v>
      </c>
      <c r="C196" s="193" t="s">
        <v>867</v>
      </c>
      <c r="D196" s="193" t="s">
        <v>6</v>
      </c>
      <c r="E196" s="193" t="s">
        <v>870</v>
      </c>
      <c r="F196" s="193" t="s">
        <v>5411</v>
      </c>
      <c r="G196" s="225" t="s">
        <v>868</v>
      </c>
      <c r="H196" s="200"/>
      <c r="I196" s="133"/>
      <c r="J196" s="224" t="s">
        <v>5410</v>
      </c>
      <c r="K196" s="193" t="s">
        <v>867</v>
      </c>
      <c r="L196" s="193" t="s">
        <v>6</v>
      </c>
      <c r="M196" s="193" t="s">
        <v>870</v>
      </c>
      <c r="N196" s="193" t="s">
        <v>5411</v>
      </c>
      <c r="O196" s="225" t="s">
        <v>868</v>
      </c>
      <c r="P196" s="200"/>
      <c r="Q196" s="133"/>
      <c r="R196" s="224" t="s">
        <v>5410</v>
      </c>
      <c r="S196" s="193" t="s">
        <v>867</v>
      </c>
      <c r="T196" s="193" t="s">
        <v>6</v>
      </c>
      <c r="U196" s="193" t="s">
        <v>870</v>
      </c>
      <c r="V196" s="193" t="s">
        <v>5411</v>
      </c>
      <c r="W196" s="225" t="s">
        <v>868</v>
      </c>
      <c r="X196" s="200"/>
    </row>
    <row r="197" spans="1:24" x14ac:dyDescent="0.25">
      <c r="A197" s="133"/>
      <c r="B197" s="245"/>
      <c r="C197" s="202"/>
      <c r="D197" s="202"/>
      <c r="E197" s="175"/>
      <c r="F197" s="202"/>
      <c r="G197" s="203"/>
      <c r="H197" s="246"/>
      <c r="I197" s="133"/>
      <c r="J197" s="245"/>
      <c r="K197" s="202"/>
      <c r="L197" s="202"/>
      <c r="M197" s="175"/>
      <c r="N197" s="202"/>
      <c r="O197" s="203"/>
      <c r="P197" s="246"/>
      <c r="Q197" s="133"/>
      <c r="R197" s="245"/>
      <c r="S197" s="202"/>
      <c r="T197" s="202"/>
      <c r="U197" s="175"/>
      <c r="V197" s="202"/>
      <c r="W197" s="203"/>
      <c r="X197" s="246"/>
    </row>
    <row r="198" spans="1:24" x14ac:dyDescent="0.25">
      <c r="A198" s="133"/>
      <c r="B198" s="247"/>
      <c r="C198" s="248"/>
      <c r="D198" s="248"/>
      <c r="E198" s="248"/>
      <c r="F198" s="202"/>
      <c r="G198" s="178"/>
      <c r="H198" s="200"/>
      <c r="I198" s="133"/>
      <c r="J198" s="247"/>
      <c r="K198" s="248"/>
      <c r="L198" s="248"/>
      <c r="M198" s="248"/>
      <c r="N198" s="202"/>
      <c r="O198" s="178"/>
      <c r="P198" s="200"/>
      <c r="Q198" s="133"/>
      <c r="R198" s="247"/>
      <c r="S198" s="248"/>
      <c r="T198" s="248"/>
      <c r="U198" s="248"/>
      <c r="V198" s="202"/>
      <c r="W198" s="178"/>
      <c r="X198" s="200"/>
    </row>
    <row r="199" spans="1:24" x14ac:dyDescent="0.25">
      <c r="A199" s="133"/>
      <c r="B199" s="247"/>
      <c r="C199" s="232"/>
      <c r="D199" s="232"/>
      <c r="E199" s="232"/>
      <c r="F199" s="226"/>
      <c r="G199" s="229"/>
      <c r="H199" s="200"/>
      <c r="I199" s="133"/>
      <c r="J199" s="247"/>
      <c r="K199" s="232"/>
      <c r="L199" s="232"/>
      <c r="M199" s="232"/>
      <c r="N199" s="226"/>
      <c r="O199" s="229"/>
      <c r="P199" s="200"/>
      <c r="Q199" s="133"/>
      <c r="R199" s="247"/>
      <c r="S199" s="232"/>
      <c r="T199" s="232"/>
      <c r="U199" s="232"/>
      <c r="V199" s="226"/>
      <c r="W199" s="229"/>
      <c r="X199" s="200"/>
    </row>
    <row r="200" spans="1:24" x14ac:dyDescent="0.25">
      <c r="A200" s="133"/>
      <c r="B200" s="194"/>
      <c r="C200" s="232"/>
      <c r="D200" s="232"/>
      <c r="E200" s="232"/>
      <c r="F200" s="226"/>
      <c r="G200" s="229"/>
      <c r="H200" s="200"/>
      <c r="I200" s="133"/>
      <c r="J200" s="194"/>
      <c r="K200" s="232"/>
      <c r="L200" s="232"/>
      <c r="M200" s="232"/>
      <c r="N200" s="226"/>
      <c r="O200" s="229"/>
      <c r="P200" s="200"/>
      <c r="Q200" s="133"/>
      <c r="R200" s="194"/>
      <c r="S200" s="232"/>
      <c r="T200" s="232"/>
      <c r="U200" s="232"/>
      <c r="V200" s="226"/>
      <c r="W200" s="229"/>
      <c r="X200" s="200"/>
    </row>
    <row r="201" spans="1:24" ht="15.75" thickBot="1" x14ac:dyDescent="0.3">
      <c r="A201" s="133"/>
      <c r="B201" s="195"/>
      <c r="C201" s="232"/>
      <c r="D201" s="232"/>
      <c r="E201" s="232"/>
      <c r="F201" s="226"/>
      <c r="G201" s="229"/>
      <c r="H201" s="200"/>
      <c r="I201" s="133"/>
      <c r="J201" s="195"/>
      <c r="K201" s="232"/>
      <c r="L201" s="232"/>
      <c r="M201" s="232"/>
      <c r="N201" s="226"/>
      <c r="O201" s="229"/>
      <c r="P201" s="200"/>
      <c r="Q201" s="133"/>
      <c r="R201" s="195"/>
      <c r="S201" s="232"/>
      <c r="T201" s="232"/>
      <c r="U201" s="232"/>
      <c r="V201" s="226"/>
      <c r="W201" s="229"/>
      <c r="X201" s="200"/>
    </row>
    <row r="202" spans="1:24" ht="15.75" thickBot="1" x14ac:dyDescent="0.3">
      <c r="A202" s="133"/>
      <c r="B202" s="233"/>
      <c r="C202" s="234"/>
      <c r="D202" s="234"/>
      <c r="E202" s="234"/>
      <c r="F202" s="235"/>
      <c r="G202" s="236"/>
      <c r="H202" s="237">
        <f>+SUM(G197:G202)</f>
        <v>0</v>
      </c>
      <c r="I202" s="133"/>
      <c r="J202" s="233"/>
      <c r="K202" s="234"/>
      <c r="L202" s="234"/>
      <c r="M202" s="234"/>
      <c r="N202" s="235"/>
      <c r="O202" s="236"/>
      <c r="P202" s="237">
        <f>+SUM(O197:O202)</f>
        <v>0</v>
      </c>
      <c r="Q202" s="133"/>
      <c r="R202" s="233"/>
      <c r="S202" s="234"/>
      <c r="T202" s="234"/>
      <c r="U202" s="234"/>
      <c r="V202" s="235"/>
      <c r="W202" s="236"/>
      <c r="X202" s="237">
        <f>+SUM(W197:W202)</f>
        <v>0</v>
      </c>
    </row>
    <row r="203" spans="1:24" ht="15.75" thickBot="1" x14ac:dyDescent="0.3">
      <c r="A203" s="133"/>
      <c r="B203" s="238"/>
      <c r="C203" s="238"/>
      <c r="D203" s="238"/>
      <c r="E203" s="238"/>
      <c r="F203" s="249"/>
      <c r="G203" s="250"/>
      <c r="H203" s="241"/>
      <c r="I203" s="133"/>
      <c r="J203" s="238"/>
      <c r="K203" s="238"/>
      <c r="L203" s="238"/>
      <c r="M203" s="238"/>
      <c r="N203" s="249"/>
      <c r="O203" s="250"/>
      <c r="P203" s="241"/>
      <c r="Q203" s="133"/>
      <c r="R203" s="238"/>
      <c r="S203" s="238"/>
      <c r="T203" s="238"/>
      <c r="U203" s="238"/>
      <c r="V203" s="249"/>
      <c r="W203" s="250"/>
      <c r="X203" s="241"/>
    </row>
    <row r="204" spans="1:24" ht="15.75" thickBot="1" x14ac:dyDescent="0.3">
      <c r="A204" s="133"/>
      <c r="B204" s="224" t="s">
        <v>5412</v>
      </c>
      <c r="C204" s="193" t="s">
        <v>5420</v>
      </c>
      <c r="D204" s="193" t="s">
        <v>5421</v>
      </c>
      <c r="E204" s="193" t="s">
        <v>5413</v>
      </c>
      <c r="F204" s="193" t="s">
        <v>5405</v>
      </c>
      <c r="G204" s="225" t="s">
        <v>868</v>
      </c>
      <c r="H204" s="200"/>
      <c r="I204" s="133"/>
      <c r="J204" s="224" t="s">
        <v>5412</v>
      </c>
      <c r="K204" s="193" t="s">
        <v>5420</v>
      </c>
      <c r="L204" s="193" t="s">
        <v>5421</v>
      </c>
      <c r="M204" s="193" t="s">
        <v>5413</v>
      </c>
      <c r="N204" s="193" t="s">
        <v>5405</v>
      </c>
      <c r="O204" s="225" t="s">
        <v>868</v>
      </c>
      <c r="P204" s="200"/>
      <c r="Q204" s="133"/>
      <c r="R204" s="224" t="s">
        <v>5412</v>
      </c>
      <c r="S204" s="193" t="s">
        <v>5420</v>
      </c>
      <c r="T204" s="193" t="s">
        <v>5421</v>
      </c>
      <c r="U204" s="193" t="s">
        <v>5413</v>
      </c>
      <c r="V204" s="193" t="s">
        <v>5405</v>
      </c>
      <c r="W204" s="225" t="s">
        <v>868</v>
      </c>
      <c r="X204" s="200"/>
    </row>
    <row r="205" spans="1:24" x14ac:dyDescent="0.25">
      <c r="A205" s="133"/>
      <c r="B205" s="194" t="s">
        <v>5948</v>
      </c>
      <c r="C205" s="345">
        <v>70000</v>
      </c>
      <c r="D205" s="176">
        <f>+C205*0.85</f>
        <v>59500</v>
      </c>
      <c r="E205" s="176">
        <f>+C205+D205</f>
        <v>129500</v>
      </c>
      <c r="F205" s="204">
        <v>1000</v>
      </c>
      <c r="G205" s="178">
        <f>+E205/F205</f>
        <v>129.5</v>
      </c>
      <c r="H205" s="200"/>
      <c r="I205" s="133"/>
      <c r="J205" s="194" t="s">
        <v>5948</v>
      </c>
      <c r="K205" s="345">
        <v>70000</v>
      </c>
      <c r="L205" s="176">
        <f>+K205*0.85</f>
        <v>59500</v>
      </c>
      <c r="M205" s="175">
        <f>+K205+L205</f>
        <v>129500</v>
      </c>
      <c r="N205" s="204">
        <v>1000</v>
      </c>
      <c r="O205" s="178">
        <f>+M205/N205</f>
        <v>129.5</v>
      </c>
      <c r="P205" s="200"/>
      <c r="Q205" s="133"/>
      <c r="R205" s="194" t="s">
        <v>5948</v>
      </c>
      <c r="S205" s="176">
        <v>70000</v>
      </c>
      <c r="T205" s="176">
        <f>+S205*0.85</f>
        <v>59500</v>
      </c>
      <c r="U205" s="175">
        <f>+S205+T205</f>
        <v>129500</v>
      </c>
      <c r="V205" s="204">
        <v>1000</v>
      </c>
      <c r="W205" s="178">
        <f>+U205/V205</f>
        <v>129.5</v>
      </c>
      <c r="X205" s="200"/>
    </row>
    <row r="206" spans="1:24" x14ac:dyDescent="0.25">
      <c r="A206" s="133"/>
      <c r="B206" s="194" t="s">
        <v>5651</v>
      </c>
      <c r="C206" s="345">
        <v>40000</v>
      </c>
      <c r="D206" s="176">
        <f>+C206*0.85</f>
        <v>34000</v>
      </c>
      <c r="E206" s="176">
        <f>+C206+D206</f>
        <v>74000</v>
      </c>
      <c r="F206" s="202">
        <v>60</v>
      </c>
      <c r="G206" s="178">
        <f>+E206/F206</f>
        <v>1233.3333333333333</v>
      </c>
      <c r="H206" s="200"/>
      <c r="I206" s="133"/>
      <c r="J206" s="194" t="s">
        <v>5651</v>
      </c>
      <c r="K206" s="345">
        <v>40000</v>
      </c>
      <c r="L206" s="176">
        <f>+K206*0.85</f>
        <v>34000</v>
      </c>
      <c r="M206" s="175">
        <f>+K206+L206</f>
        <v>74000</v>
      </c>
      <c r="N206" s="202">
        <v>50</v>
      </c>
      <c r="O206" s="178">
        <f>+M206/N206</f>
        <v>1480</v>
      </c>
      <c r="P206" s="200"/>
      <c r="Q206" s="133"/>
      <c r="R206" s="194" t="s">
        <v>5651</v>
      </c>
      <c r="S206" s="176">
        <v>40000</v>
      </c>
      <c r="T206" s="176">
        <f>+S206*0.85</f>
        <v>34000</v>
      </c>
      <c r="U206" s="175">
        <f>+S206+T206</f>
        <v>74000</v>
      </c>
      <c r="V206" s="202">
        <v>40</v>
      </c>
      <c r="W206" s="178">
        <f>+U206/V206</f>
        <v>1850</v>
      </c>
      <c r="X206" s="200"/>
    </row>
    <row r="207" spans="1:24" x14ac:dyDescent="0.25">
      <c r="A207" s="133"/>
      <c r="B207" s="195" t="s">
        <v>5635</v>
      </c>
      <c r="C207" s="345">
        <v>20600</v>
      </c>
      <c r="D207" s="176">
        <f>+C207*0.85</f>
        <v>17510</v>
      </c>
      <c r="E207" s="176">
        <f>+C207+D207</f>
        <v>38110</v>
      </c>
      <c r="F207" s="226">
        <v>30</v>
      </c>
      <c r="G207" s="178">
        <f>+E207/F207</f>
        <v>1270.3333333333333</v>
      </c>
      <c r="H207" s="200"/>
      <c r="I207" s="133"/>
      <c r="J207" s="195" t="s">
        <v>5635</v>
      </c>
      <c r="K207" s="345">
        <v>20600</v>
      </c>
      <c r="L207" s="176">
        <f>+K207*0.85</f>
        <v>17510</v>
      </c>
      <c r="M207" s="175">
        <f>+K207+L207</f>
        <v>38110</v>
      </c>
      <c r="N207" s="226">
        <v>25</v>
      </c>
      <c r="O207" s="178">
        <f>+M207/N207</f>
        <v>1524.4</v>
      </c>
      <c r="P207" s="200"/>
      <c r="Q207" s="133"/>
      <c r="R207" s="195" t="s">
        <v>5635</v>
      </c>
      <c r="S207" s="176">
        <v>19650</v>
      </c>
      <c r="T207" s="176">
        <f>+S207*0.85</f>
        <v>16702.5</v>
      </c>
      <c r="U207" s="175">
        <f>+S207+T207</f>
        <v>36352.5</v>
      </c>
      <c r="V207" s="226">
        <v>20</v>
      </c>
      <c r="W207" s="178">
        <f>+U207/V207</f>
        <v>1817.625</v>
      </c>
      <c r="X207" s="200"/>
    </row>
    <row r="208" spans="1:24" x14ac:dyDescent="0.25">
      <c r="A208" s="133"/>
      <c r="B208" s="195"/>
      <c r="C208" s="171"/>
      <c r="D208" s="176"/>
      <c r="E208" s="176"/>
      <c r="F208" s="226"/>
      <c r="G208" s="178"/>
      <c r="H208" s="200"/>
      <c r="I208" s="133"/>
      <c r="J208" s="195"/>
      <c r="K208" s="171"/>
      <c r="L208" s="176"/>
      <c r="M208" s="176"/>
      <c r="N208" s="226"/>
      <c r="O208" s="178"/>
      <c r="P208" s="200"/>
      <c r="Q208" s="133"/>
      <c r="R208" s="195"/>
      <c r="S208" s="171"/>
      <c r="T208" s="176"/>
      <c r="U208" s="176"/>
      <c r="V208" s="226"/>
      <c r="W208" s="178"/>
      <c r="X208" s="200"/>
    </row>
    <row r="209" spans="1:26" x14ac:dyDescent="0.25">
      <c r="A209" s="133"/>
      <c r="B209" s="195"/>
      <c r="C209" s="232"/>
      <c r="D209" s="232"/>
      <c r="E209" s="232"/>
      <c r="F209" s="226"/>
      <c r="G209" s="229"/>
      <c r="H209" s="200"/>
      <c r="I209" s="133"/>
      <c r="J209" s="195"/>
      <c r="K209" s="232"/>
      <c r="L209" s="232"/>
      <c r="M209" s="232"/>
      <c r="N209" s="226"/>
      <c r="O209" s="229"/>
      <c r="P209" s="200"/>
      <c r="Q209" s="133"/>
      <c r="R209" s="195"/>
      <c r="S209" s="232"/>
      <c r="T209" s="232"/>
      <c r="U209" s="232"/>
      <c r="V209" s="226"/>
      <c r="W209" s="229"/>
      <c r="X209" s="200"/>
    </row>
    <row r="210" spans="1:26" ht="15.75" thickBot="1" x14ac:dyDescent="0.3">
      <c r="A210" s="133"/>
      <c r="B210" s="195"/>
      <c r="C210" s="232"/>
      <c r="D210" s="232"/>
      <c r="E210" s="232"/>
      <c r="F210" s="226"/>
      <c r="G210" s="229"/>
      <c r="H210" s="200"/>
      <c r="I210" s="133"/>
      <c r="J210" s="195"/>
      <c r="K210" s="232"/>
      <c r="L210" s="232"/>
      <c r="M210" s="232"/>
      <c r="N210" s="226"/>
      <c r="O210" s="229"/>
      <c r="P210" s="200"/>
      <c r="Q210" s="133"/>
      <c r="R210" s="195"/>
      <c r="S210" s="232"/>
      <c r="T210" s="232"/>
      <c r="U210" s="232"/>
      <c r="V210" s="226"/>
      <c r="W210" s="229"/>
      <c r="X210" s="200"/>
    </row>
    <row r="211" spans="1:26" ht="15.75" thickBot="1" x14ac:dyDescent="0.3">
      <c r="A211" s="133"/>
      <c r="B211" s="251"/>
      <c r="C211" s="252"/>
      <c r="D211" s="252"/>
      <c r="E211" s="252"/>
      <c r="F211" s="253"/>
      <c r="G211" s="254"/>
      <c r="H211" s="256">
        <f>+SUM(G205:G211)</f>
        <v>2633.1666666666665</v>
      </c>
      <c r="I211" s="133"/>
      <c r="J211" s="251"/>
      <c r="K211" s="252"/>
      <c r="L211" s="252"/>
      <c r="M211" s="252"/>
      <c r="N211" s="253"/>
      <c r="O211" s="254"/>
      <c r="P211" s="256">
        <f>+SUM(O205:O211)</f>
        <v>3133.9</v>
      </c>
      <c r="Q211" s="133"/>
      <c r="R211" s="251"/>
      <c r="S211" s="252"/>
      <c r="T211" s="252"/>
      <c r="U211" s="252"/>
      <c r="V211" s="253"/>
      <c r="W211" s="254"/>
      <c r="X211" s="256">
        <f>+SUM(W205:W211)</f>
        <v>3797.125</v>
      </c>
    </row>
    <row r="212" spans="1:26" ht="15.75" thickBot="1" x14ac:dyDescent="0.3">
      <c r="A212" s="133"/>
      <c r="B212" s="8"/>
      <c r="C212" s="8"/>
      <c r="D212" s="8"/>
      <c r="E212" s="8"/>
      <c r="F212" s="133"/>
      <c r="G212" s="200"/>
      <c r="H212" s="200"/>
      <c r="I212" s="133"/>
      <c r="J212" s="8"/>
      <c r="K212" s="8"/>
      <c r="L212" s="8"/>
      <c r="M212" s="8"/>
      <c r="N212" s="8"/>
      <c r="O212" s="133"/>
      <c r="P212" s="200"/>
      <c r="Q212" s="200"/>
      <c r="R212" s="133"/>
      <c r="S212" s="8"/>
      <c r="T212" s="8"/>
      <c r="U212" s="8"/>
      <c r="V212" s="8"/>
      <c r="W212" s="8"/>
      <c r="X212" s="133"/>
      <c r="Y212" s="200"/>
      <c r="Z212" s="200"/>
    </row>
    <row r="213" spans="1:26" ht="15.75" thickBot="1" x14ac:dyDescent="0.3">
      <c r="A213" s="133"/>
      <c r="B213" s="8"/>
      <c r="C213" s="8"/>
      <c r="D213" s="8"/>
      <c r="E213" s="223" t="s">
        <v>5415</v>
      </c>
      <c r="F213" s="133"/>
      <c r="G213" s="200"/>
      <c r="H213" s="256">
        <f>ROUND(+H211+H202+H194+H179,0)</f>
        <v>3247</v>
      </c>
      <c r="I213" s="133"/>
      <c r="J213" s="8"/>
      <c r="K213" s="8"/>
      <c r="L213" s="8"/>
      <c r="M213" s="223" t="s">
        <v>5415</v>
      </c>
      <c r="N213" s="223"/>
      <c r="O213" s="200"/>
      <c r="P213" s="256">
        <f>ROUND(+P211+P202+P194+P179,0)</f>
        <v>3933</v>
      </c>
      <c r="Q213" s="133"/>
      <c r="R213" s="8"/>
      <c r="S213" s="8"/>
      <c r="T213" s="8"/>
      <c r="U213" s="223" t="s">
        <v>5415</v>
      </c>
      <c r="V213" s="223"/>
      <c r="W213" s="133"/>
      <c r="X213" s="256">
        <f>ROUND(+X211+X202+X194+X179,0)</f>
        <v>4802</v>
      </c>
    </row>
    <row r="216" spans="1:26" x14ac:dyDescent="0.25">
      <c r="A216" s="255"/>
      <c r="I216" s="255"/>
    </row>
    <row r="217" spans="1:26" x14ac:dyDescent="0.25">
      <c r="A217" s="255"/>
      <c r="I217" s="255"/>
    </row>
    <row r="218" spans="1:26" ht="18.75" x14ac:dyDescent="0.25">
      <c r="A218" s="133"/>
      <c r="B218" s="2506" t="s">
        <v>5400</v>
      </c>
      <c r="C218" s="2506"/>
      <c r="D218" s="2506"/>
      <c r="E218" s="2506"/>
      <c r="F218" s="2506"/>
      <c r="G218" s="2506"/>
      <c r="H218" s="8"/>
      <c r="I218" s="133"/>
      <c r="J218" s="2506" t="s">
        <v>5400</v>
      </c>
      <c r="K218" s="2506"/>
      <c r="L218" s="2506"/>
      <c r="M218" s="2506"/>
      <c r="N218" s="2506"/>
      <c r="O218" s="2506"/>
      <c r="P218" s="2506"/>
      <c r="Q218" s="8"/>
    </row>
    <row r="219" spans="1:26" x14ac:dyDescent="0.25">
      <c r="A219" s="133"/>
      <c r="B219" s="8"/>
      <c r="C219" s="8"/>
      <c r="D219" s="8"/>
      <c r="E219" s="8"/>
      <c r="F219" s="133"/>
      <c r="G219" s="200"/>
      <c r="H219" s="200"/>
      <c r="I219" s="133"/>
      <c r="J219" s="8"/>
      <c r="K219" s="8"/>
      <c r="L219" s="8"/>
      <c r="M219" s="8"/>
      <c r="N219" s="8"/>
      <c r="O219" s="133"/>
      <c r="P219" s="200"/>
      <c r="Q219" s="200"/>
    </row>
    <row r="220" spans="1:26" x14ac:dyDescent="0.25">
      <c r="A220" s="133"/>
      <c r="B220" s="8"/>
      <c r="C220" s="8"/>
      <c r="D220" s="8"/>
      <c r="E220" s="8"/>
      <c r="F220" s="133"/>
      <c r="G220" s="200"/>
      <c r="H220" s="200"/>
      <c r="I220" s="133"/>
      <c r="J220" s="8"/>
      <c r="K220" s="8"/>
      <c r="L220" s="8"/>
      <c r="M220" s="8"/>
      <c r="N220" s="8"/>
      <c r="O220" s="133"/>
      <c r="P220" s="200"/>
      <c r="Q220" s="200"/>
    </row>
    <row r="221" spans="1:26" x14ac:dyDescent="0.25">
      <c r="A221" s="133"/>
      <c r="B221" s="8"/>
      <c r="C221" s="8"/>
      <c r="D221" s="8"/>
      <c r="E221" s="8"/>
      <c r="F221" s="133"/>
      <c r="G221" s="200"/>
      <c r="H221" s="200"/>
      <c r="I221" s="133"/>
      <c r="J221" s="8"/>
      <c r="K221" s="8"/>
      <c r="L221" s="8"/>
      <c r="M221" s="8"/>
      <c r="N221" s="8"/>
      <c r="O221" s="133"/>
      <c r="P221" s="200"/>
      <c r="Q221" s="200"/>
    </row>
    <row r="222" spans="1:26" ht="15" customHeight="1" x14ac:dyDescent="0.25">
      <c r="A222" s="220" t="s">
        <v>5482</v>
      </c>
      <c r="B222" s="221" t="s">
        <v>197</v>
      </c>
      <c r="C222" s="2449" t="s">
        <v>5883</v>
      </c>
      <c r="D222" s="2449"/>
      <c r="E222" s="2449"/>
      <c r="F222" s="220" t="s">
        <v>867</v>
      </c>
      <c r="G222" s="222" t="s">
        <v>5402</v>
      </c>
      <c r="H222" s="200"/>
      <c r="I222" s="220" t="s">
        <v>5482</v>
      </c>
      <c r="J222" s="221" t="s">
        <v>197</v>
      </c>
      <c r="K222" s="2449" t="s">
        <v>5983</v>
      </c>
      <c r="L222" s="2449"/>
      <c r="M222" s="2449"/>
      <c r="N222" s="220" t="s">
        <v>867</v>
      </c>
      <c r="O222" s="222" t="s">
        <v>5402</v>
      </c>
      <c r="P222" s="200"/>
    </row>
    <row r="223" spans="1:26" x14ac:dyDescent="0.25">
      <c r="A223" s="133"/>
      <c r="B223" s="8"/>
      <c r="C223" s="223"/>
      <c r="D223" s="223"/>
      <c r="E223" s="223"/>
      <c r="F223" s="133"/>
      <c r="G223" s="200"/>
      <c r="H223" s="200"/>
      <c r="I223" s="133"/>
      <c r="J223" s="8"/>
      <c r="K223" s="223"/>
      <c r="L223" s="223"/>
      <c r="M223" s="223"/>
      <c r="N223" s="223"/>
      <c r="O223" s="133"/>
      <c r="P223" s="200"/>
      <c r="Q223" s="200"/>
    </row>
    <row r="224" spans="1:26" x14ac:dyDescent="0.25">
      <c r="A224" s="133"/>
      <c r="B224" s="8"/>
      <c r="C224" s="8"/>
      <c r="D224" s="8"/>
      <c r="E224" s="8"/>
      <c r="F224" s="8"/>
      <c r="G224" s="8"/>
      <c r="H224" s="200"/>
      <c r="I224" s="133"/>
      <c r="J224" s="8"/>
      <c r="K224" s="8"/>
      <c r="L224" s="8"/>
      <c r="M224" s="8"/>
      <c r="N224" s="8"/>
      <c r="O224" s="8"/>
      <c r="P224" s="8"/>
      <c r="Q224" s="200"/>
    </row>
    <row r="225" spans="1:20" ht="15.75" thickBot="1" x14ac:dyDescent="0.3">
      <c r="A225" s="133"/>
      <c r="B225" s="8"/>
      <c r="C225" s="8"/>
      <c r="D225" s="8"/>
      <c r="E225" s="8"/>
      <c r="F225" s="133"/>
      <c r="G225" s="200"/>
      <c r="H225" s="200"/>
      <c r="I225" s="133"/>
      <c r="J225" s="8"/>
      <c r="K225" s="8"/>
      <c r="L225" s="8"/>
      <c r="M225" s="8"/>
      <c r="N225" s="8"/>
      <c r="O225" s="133"/>
      <c r="P225" s="200"/>
      <c r="Q225" s="200"/>
    </row>
    <row r="226" spans="1:20" ht="15.75" thickBot="1" x14ac:dyDescent="0.3">
      <c r="A226" s="133"/>
      <c r="B226" s="224" t="s">
        <v>5403</v>
      </c>
      <c r="C226" s="193" t="s">
        <v>867</v>
      </c>
      <c r="D226" s="193" t="s">
        <v>6</v>
      </c>
      <c r="E226" s="193" t="s">
        <v>5439</v>
      </c>
      <c r="F226" s="193" t="s">
        <v>5405</v>
      </c>
      <c r="G226" s="225" t="s">
        <v>868</v>
      </c>
      <c r="H226" s="200"/>
      <c r="I226" s="133"/>
      <c r="J226" s="224" t="s">
        <v>5403</v>
      </c>
      <c r="K226" s="193" t="s">
        <v>867</v>
      </c>
      <c r="L226" s="193" t="s">
        <v>6</v>
      </c>
      <c r="M226" s="193" t="s">
        <v>5439</v>
      </c>
      <c r="N226" s="193" t="s">
        <v>5405</v>
      </c>
      <c r="O226" s="225" t="s">
        <v>868</v>
      </c>
      <c r="P226" s="200"/>
    </row>
    <row r="227" spans="1:20" x14ac:dyDescent="0.25">
      <c r="A227" s="133"/>
      <c r="B227" s="195" t="s">
        <v>5440</v>
      </c>
      <c r="C227" s="226" t="s">
        <v>5402</v>
      </c>
      <c r="D227" s="226">
        <v>1</v>
      </c>
      <c r="E227" s="227">
        <f>+H265</f>
        <v>6370.1666666666661</v>
      </c>
      <c r="F227" s="226">
        <v>0.05</v>
      </c>
      <c r="G227" s="229">
        <f>+E227*F227</f>
        <v>318.50833333333333</v>
      </c>
      <c r="H227" s="200"/>
      <c r="I227" s="133"/>
      <c r="J227" s="195" t="s">
        <v>5440</v>
      </c>
      <c r="K227" s="226" t="s">
        <v>5402</v>
      </c>
      <c r="L227" s="226">
        <v>1</v>
      </c>
      <c r="M227" s="228">
        <f>+P265</f>
        <v>8565.5</v>
      </c>
      <c r="N227" s="226">
        <v>0.05</v>
      </c>
      <c r="O227" s="229">
        <f>+M227*N227</f>
        <v>428.27500000000003</v>
      </c>
      <c r="P227" s="200"/>
    </row>
    <row r="228" spans="1:20" x14ac:dyDescent="0.25">
      <c r="A228" s="133"/>
      <c r="B228" s="195" t="s">
        <v>6048</v>
      </c>
      <c r="C228" s="226" t="s">
        <v>5402</v>
      </c>
      <c r="D228" s="226">
        <v>1</v>
      </c>
      <c r="E228" s="449">
        <v>50000</v>
      </c>
      <c r="F228" s="226">
        <v>8.0000000000000002E-3</v>
      </c>
      <c r="G228" s="229">
        <f>+E228*F228</f>
        <v>400</v>
      </c>
      <c r="H228" s="200"/>
      <c r="I228" s="133"/>
      <c r="J228" s="195" t="s">
        <v>6048</v>
      </c>
      <c r="K228" s="226" t="s">
        <v>5402</v>
      </c>
      <c r="L228" s="226">
        <v>1</v>
      </c>
      <c r="M228" s="228">
        <v>50000</v>
      </c>
      <c r="N228" s="226">
        <v>8.0000000000000002E-3</v>
      </c>
      <c r="O228" s="229">
        <f>+M228*N228</f>
        <v>400</v>
      </c>
      <c r="P228" s="200"/>
      <c r="T228" s="86">
        <f>152.01+475.03</f>
        <v>627.04</v>
      </c>
    </row>
    <row r="229" spans="1:20" x14ac:dyDescent="0.25">
      <c r="A229" s="133"/>
      <c r="B229" s="195"/>
      <c r="C229" s="226"/>
      <c r="D229" s="226"/>
      <c r="E229" s="176"/>
      <c r="F229" s="226"/>
      <c r="G229" s="229"/>
      <c r="H229" s="200"/>
      <c r="I229" s="133"/>
      <c r="J229" s="195"/>
      <c r="K229" s="226"/>
      <c r="L229" s="226"/>
      <c r="M229" s="176"/>
      <c r="N229" s="226"/>
      <c r="O229" s="229"/>
      <c r="P229" s="200"/>
      <c r="T229" s="86">
        <f>+T228/2</f>
        <v>313.52</v>
      </c>
    </row>
    <row r="230" spans="1:20" x14ac:dyDescent="0.25">
      <c r="A230" s="133"/>
      <c r="B230" s="195"/>
      <c r="C230" s="226"/>
      <c r="D230" s="226"/>
      <c r="E230" s="171"/>
      <c r="F230" s="226"/>
      <c r="G230" s="231"/>
      <c r="H230" s="200"/>
      <c r="I230" s="133"/>
      <c r="J230" s="195"/>
      <c r="K230" s="226"/>
      <c r="L230" s="226"/>
      <c r="M230" s="171"/>
      <c r="N230" s="226"/>
      <c r="O230" s="231"/>
      <c r="P230" s="200"/>
    </row>
    <row r="231" spans="1:20" x14ac:dyDescent="0.25">
      <c r="A231" s="133"/>
      <c r="B231" s="195"/>
      <c r="C231" s="226"/>
      <c r="D231" s="232"/>
      <c r="E231" s="232"/>
      <c r="F231" s="226"/>
      <c r="G231" s="229"/>
      <c r="H231" s="200"/>
      <c r="I231" s="133"/>
      <c r="J231" s="195"/>
      <c r="K231" s="226"/>
      <c r="L231" s="232"/>
      <c r="M231" s="232"/>
      <c r="N231" s="226"/>
      <c r="O231" s="229"/>
      <c r="P231" s="200"/>
    </row>
    <row r="232" spans="1:20" ht="15.75" thickBot="1" x14ac:dyDescent="0.3">
      <c r="A232" s="133"/>
      <c r="B232" s="195"/>
      <c r="C232" s="226"/>
      <c r="D232" s="232"/>
      <c r="E232" s="232"/>
      <c r="F232" s="226"/>
      <c r="G232" s="229"/>
      <c r="H232" s="200"/>
      <c r="I232" s="133"/>
      <c r="J232" s="195"/>
      <c r="K232" s="226"/>
      <c r="L232" s="232"/>
      <c r="M232" s="232"/>
      <c r="N232" s="226"/>
      <c r="O232" s="229"/>
      <c r="P232" s="200"/>
    </row>
    <row r="233" spans="1:20" ht="15.75" thickBot="1" x14ac:dyDescent="0.3">
      <c r="A233" s="133"/>
      <c r="B233" s="233"/>
      <c r="C233" s="234"/>
      <c r="D233" s="234"/>
      <c r="E233" s="234"/>
      <c r="F233" s="235"/>
      <c r="G233" s="236"/>
      <c r="H233" s="237">
        <f>+SUM(G227:G233)</f>
        <v>718.50833333333333</v>
      </c>
      <c r="I233" s="133"/>
      <c r="J233" s="233"/>
      <c r="K233" s="234"/>
      <c r="L233" s="234"/>
      <c r="M233" s="234"/>
      <c r="N233" s="235"/>
      <c r="O233" s="236"/>
      <c r="P233" s="237">
        <f>+SUM(O227:O233)</f>
        <v>828.27500000000009</v>
      </c>
    </row>
    <row r="234" spans="1:20" ht="15.75" thickBot="1" x14ac:dyDescent="0.3">
      <c r="A234" s="133"/>
      <c r="B234" s="238"/>
      <c r="C234" s="238"/>
      <c r="D234" s="238"/>
      <c r="E234" s="238"/>
      <c r="F234" s="239"/>
      <c r="G234" s="240"/>
      <c r="H234" s="241"/>
      <c r="I234" s="133"/>
      <c r="J234" s="238"/>
      <c r="K234" s="238"/>
      <c r="L234" s="238"/>
      <c r="M234" s="238"/>
      <c r="N234" s="239"/>
      <c r="O234" s="240"/>
      <c r="P234" s="241"/>
    </row>
    <row r="235" spans="1:20" ht="15.75" thickBot="1" x14ac:dyDescent="0.3">
      <c r="A235" s="133"/>
      <c r="B235" s="224" t="s">
        <v>5408</v>
      </c>
      <c r="C235" s="193" t="s">
        <v>867</v>
      </c>
      <c r="D235" s="193" t="s">
        <v>6</v>
      </c>
      <c r="E235" s="193" t="s">
        <v>870</v>
      </c>
      <c r="F235" s="193" t="s">
        <v>5409</v>
      </c>
      <c r="G235" s="225" t="s">
        <v>868</v>
      </c>
      <c r="H235" s="200"/>
      <c r="I235" s="133"/>
      <c r="J235" s="224" t="s">
        <v>5408</v>
      </c>
      <c r="K235" s="193" t="s">
        <v>867</v>
      </c>
      <c r="L235" s="193" t="s">
        <v>6</v>
      </c>
      <c r="M235" s="193" t="s">
        <v>870</v>
      </c>
      <c r="N235" s="193" t="s">
        <v>5409</v>
      </c>
      <c r="O235" s="225" t="s">
        <v>868</v>
      </c>
      <c r="P235" s="200"/>
    </row>
    <row r="236" spans="1:20" x14ac:dyDescent="0.25">
      <c r="A236" s="133"/>
      <c r="B236" s="289" t="s">
        <v>6053</v>
      </c>
      <c r="C236" s="202" t="s">
        <v>5486</v>
      </c>
      <c r="D236" s="333">
        <f>1/45</f>
        <v>2.2222222222222223E-2</v>
      </c>
      <c r="E236" s="171">
        <f>12131*1.16</f>
        <v>14071.96</v>
      </c>
      <c r="F236" s="169">
        <v>0.05</v>
      </c>
      <c r="G236" s="178">
        <f>+D236*E236*(1+F236)</f>
        <v>328.34573333333333</v>
      </c>
      <c r="H236" s="200"/>
      <c r="I236" s="133"/>
      <c r="J236" s="289" t="s">
        <v>6053</v>
      </c>
      <c r="K236" s="202" t="s">
        <v>5486</v>
      </c>
      <c r="L236" s="197">
        <f>1/30</f>
        <v>3.3333333333333333E-2</v>
      </c>
      <c r="M236" s="171">
        <f>12131*1.16</f>
        <v>14071.96</v>
      </c>
      <c r="N236" s="169">
        <v>0.05</v>
      </c>
      <c r="O236" s="178">
        <f>+L236*M236*(1+N236)</f>
        <v>492.51859999999999</v>
      </c>
      <c r="P236" s="200"/>
    </row>
    <row r="237" spans="1:20" x14ac:dyDescent="0.25">
      <c r="A237" s="133"/>
      <c r="B237" s="448" t="s">
        <v>5755</v>
      </c>
      <c r="C237" s="202" t="s">
        <v>5487</v>
      </c>
      <c r="D237" s="202">
        <f>+T183*D238/T184</f>
        <v>738.89999999999986</v>
      </c>
      <c r="E237" s="257">
        <v>0.65</v>
      </c>
      <c r="F237" s="169">
        <v>0.05</v>
      </c>
      <c r="G237" s="178">
        <f>+D237*E237*(1+F237)</f>
        <v>504.29924999999992</v>
      </c>
      <c r="H237" s="200"/>
      <c r="I237" s="133"/>
      <c r="J237" s="448" t="s">
        <v>5755</v>
      </c>
      <c r="K237" s="202" t="s">
        <v>5487</v>
      </c>
      <c r="L237" s="202">
        <f>+D237*L238/D238</f>
        <v>1313.6</v>
      </c>
      <c r="M237" s="257">
        <v>0.65</v>
      </c>
      <c r="N237" s="169">
        <v>0.05</v>
      </c>
      <c r="O237" s="178">
        <f>+L237*M237*(1+N237)</f>
        <v>896.53199999999993</v>
      </c>
      <c r="P237" s="200"/>
    </row>
    <row r="238" spans="1:20" x14ac:dyDescent="0.25">
      <c r="A238" s="133"/>
      <c r="B238" s="448" t="s">
        <v>5553</v>
      </c>
      <c r="C238" s="226" t="s">
        <v>5488</v>
      </c>
      <c r="D238" s="226">
        <f>+PI()*0.075^2*1000</f>
        <v>17.671458676442587</v>
      </c>
      <c r="E238" s="244">
        <v>5</v>
      </c>
      <c r="F238" s="169">
        <v>0.1</v>
      </c>
      <c r="G238" s="178">
        <f>+D238*E238*(1+F238)</f>
        <v>97.193022720434229</v>
      </c>
      <c r="H238" s="200"/>
      <c r="I238" s="133"/>
      <c r="J238" s="448" t="s">
        <v>5553</v>
      </c>
      <c r="K238" s="226" t="s">
        <v>5488</v>
      </c>
      <c r="L238" s="226">
        <f>+PI()*0.1^2*1000</f>
        <v>31.415926535897935</v>
      </c>
      <c r="M238" s="332">
        <v>5</v>
      </c>
      <c r="N238" s="169">
        <v>0.1</v>
      </c>
      <c r="O238" s="178">
        <f>+L238*M238*(1+N238)</f>
        <v>172.78759594743863</v>
      </c>
      <c r="P238" s="200"/>
    </row>
    <row r="239" spans="1:20" x14ac:dyDescent="0.25">
      <c r="A239" s="133"/>
      <c r="B239" s="194"/>
      <c r="C239" s="226"/>
      <c r="D239" s="226"/>
      <c r="E239" s="171"/>
      <c r="F239" s="169"/>
      <c r="G239" s="178"/>
      <c r="H239" s="200"/>
      <c r="I239" s="133"/>
      <c r="J239" s="194"/>
      <c r="K239" s="226"/>
      <c r="L239" s="226"/>
      <c r="M239" s="176"/>
      <c r="N239" s="169"/>
      <c r="O239" s="178"/>
      <c r="P239" s="200"/>
    </row>
    <row r="240" spans="1:20" x14ac:dyDescent="0.25">
      <c r="A240" s="133"/>
      <c r="B240" s="195"/>
      <c r="C240" s="226"/>
      <c r="D240" s="226"/>
      <c r="E240" s="171"/>
      <c r="F240" s="169"/>
      <c r="G240" s="178"/>
      <c r="H240" s="200"/>
      <c r="I240" s="133"/>
      <c r="J240" s="195"/>
      <c r="K240" s="226"/>
      <c r="L240" s="226"/>
      <c r="M240" s="176"/>
      <c r="N240" s="169"/>
      <c r="O240" s="178"/>
      <c r="P240" s="200"/>
    </row>
    <row r="241" spans="1:16" x14ac:dyDescent="0.25">
      <c r="A241" s="133"/>
      <c r="B241" s="194"/>
      <c r="C241" s="202"/>
      <c r="D241" s="202"/>
      <c r="E241" s="171"/>
      <c r="F241" s="169"/>
      <c r="G241" s="178"/>
      <c r="H241" s="200"/>
      <c r="I241" s="133"/>
      <c r="J241" s="194"/>
      <c r="K241" s="202"/>
      <c r="L241" s="202"/>
      <c r="M241" s="176"/>
      <c r="N241" s="169"/>
      <c r="O241" s="178"/>
      <c r="P241" s="200"/>
    </row>
    <row r="242" spans="1:16" x14ac:dyDescent="0.25">
      <c r="A242" s="133"/>
      <c r="B242" s="195"/>
      <c r="C242" s="226"/>
      <c r="D242" s="226"/>
      <c r="E242" s="171"/>
      <c r="F242" s="169"/>
      <c r="G242" s="178"/>
      <c r="H242" s="200"/>
      <c r="I242" s="133"/>
      <c r="J242" s="195"/>
      <c r="K242" s="226"/>
      <c r="L242" s="226"/>
      <c r="M242" s="176"/>
      <c r="N242" s="169"/>
      <c r="O242" s="178"/>
      <c r="P242" s="200"/>
    </row>
    <row r="243" spans="1:16" x14ac:dyDescent="0.25">
      <c r="A243" s="133"/>
      <c r="B243" s="195"/>
      <c r="C243" s="226"/>
      <c r="D243" s="226"/>
      <c r="E243" s="171"/>
      <c r="F243" s="169"/>
      <c r="G243" s="178"/>
      <c r="H243" s="200"/>
      <c r="I243" s="133"/>
      <c r="J243" s="195"/>
      <c r="K243" s="226"/>
      <c r="L243" s="226"/>
      <c r="M243" s="176"/>
      <c r="N243" s="169"/>
      <c r="O243" s="178"/>
      <c r="P243" s="200"/>
    </row>
    <row r="244" spans="1:16" x14ac:dyDescent="0.25">
      <c r="A244" s="133"/>
      <c r="B244" s="195"/>
      <c r="C244" s="232"/>
      <c r="D244" s="232"/>
      <c r="E244" s="232"/>
      <c r="F244" s="226"/>
      <c r="G244" s="229"/>
      <c r="H244" s="200"/>
      <c r="I244" s="133"/>
      <c r="J244" s="195"/>
      <c r="K244" s="232"/>
      <c r="L244" s="232"/>
      <c r="M244" s="232"/>
      <c r="N244" s="226"/>
      <c r="O244" s="229"/>
      <c r="P244" s="200"/>
    </row>
    <row r="245" spans="1:16" x14ac:dyDescent="0.25">
      <c r="A245" s="133"/>
      <c r="B245" s="195"/>
      <c r="C245" s="232"/>
      <c r="D245" s="232"/>
      <c r="E245" s="232"/>
      <c r="F245" s="226"/>
      <c r="G245" s="229"/>
      <c r="H245" s="200"/>
      <c r="I245" s="133"/>
      <c r="J245" s="195"/>
      <c r="K245" s="232"/>
      <c r="L245" s="232"/>
      <c r="M245" s="232"/>
      <c r="N245" s="226"/>
      <c r="O245" s="229"/>
      <c r="P245" s="200"/>
    </row>
    <row r="246" spans="1:16" x14ac:dyDescent="0.25">
      <c r="A246" s="133"/>
      <c r="B246" s="195"/>
      <c r="C246" s="232"/>
      <c r="D246" s="232"/>
      <c r="E246" s="232"/>
      <c r="F246" s="226"/>
      <c r="G246" s="229"/>
      <c r="H246" s="200"/>
      <c r="I246" s="133"/>
      <c r="J246" s="195"/>
      <c r="K246" s="232"/>
      <c r="L246" s="232"/>
      <c r="M246" s="232"/>
      <c r="N246" s="226"/>
      <c r="O246" s="229"/>
      <c r="P246" s="200"/>
    </row>
    <row r="247" spans="1:16" ht="15.75" thickBot="1" x14ac:dyDescent="0.3">
      <c r="A247" s="133"/>
      <c r="B247" s="195"/>
      <c r="C247" s="232"/>
      <c r="D247" s="232"/>
      <c r="E247" s="232"/>
      <c r="F247" s="226"/>
      <c r="G247" s="229"/>
      <c r="H247" s="200"/>
      <c r="I247" s="133"/>
      <c r="J247" s="195"/>
      <c r="K247" s="232"/>
      <c r="L247" s="232"/>
      <c r="M247" s="232"/>
      <c r="N247" s="226"/>
      <c r="O247" s="229"/>
      <c r="P247" s="200"/>
    </row>
    <row r="248" spans="1:16" ht="15.75" thickBot="1" x14ac:dyDescent="0.3">
      <c r="A248" s="133"/>
      <c r="B248" s="233"/>
      <c r="C248" s="234"/>
      <c r="D248" s="234"/>
      <c r="E248" s="234"/>
      <c r="F248" s="235"/>
      <c r="G248" s="236"/>
      <c r="H248" s="256">
        <f>+SUM(G236:G248)</f>
        <v>929.83800605376746</v>
      </c>
      <c r="I248" s="133"/>
      <c r="J248" s="233"/>
      <c r="K248" s="234"/>
      <c r="L248" s="234"/>
      <c r="M248" s="234"/>
      <c r="N248" s="235"/>
      <c r="O248" s="236"/>
      <c r="P248" s="256">
        <f>+SUM(O236:O248)</f>
        <v>1561.8381959474386</v>
      </c>
    </row>
    <row r="249" spans="1:16" ht="15.75" thickBot="1" x14ac:dyDescent="0.3">
      <c r="A249" s="133"/>
      <c r="B249" s="238"/>
      <c r="C249" s="238"/>
      <c r="D249" s="238"/>
      <c r="E249" s="238"/>
      <c r="F249" s="239"/>
      <c r="G249" s="240"/>
      <c r="H249" s="241"/>
      <c r="I249" s="133"/>
      <c r="J249" s="238"/>
      <c r="K249" s="238"/>
      <c r="L249" s="238"/>
      <c r="M249" s="238"/>
      <c r="N249" s="239"/>
      <c r="O249" s="240"/>
      <c r="P249" s="241"/>
    </row>
    <row r="250" spans="1:16" ht="15.75" thickBot="1" x14ac:dyDescent="0.3">
      <c r="A250" s="133"/>
      <c r="B250" s="224" t="s">
        <v>5410</v>
      </c>
      <c r="C250" s="193" t="s">
        <v>867</v>
      </c>
      <c r="D250" s="193" t="s">
        <v>6</v>
      </c>
      <c r="E250" s="193" t="s">
        <v>870</v>
      </c>
      <c r="F250" s="193" t="s">
        <v>5411</v>
      </c>
      <c r="G250" s="225" t="s">
        <v>868</v>
      </c>
      <c r="H250" s="200"/>
      <c r="I250" s="133"/>
      <c r="J250" s="224" t="s">
        <v>5410</v>
      </c>
      <c r="K250" s="193" t="s">
        <v>867</v>
      </c>
      <c r="L250" s="193" t="s">
        <v>6</v>
      </c>
      <c r="M250" s="193" t="s">
        <v>870</v>
      </c>
      <c r="N250" s="193" t="s">
        <v>5411</v>
      </c>
      <c r="O250" s="225" t="s">
        <v>868</v>
      </c>
      <c r="P250" s="200"/>
    </row>
    <row r="251" spans="1:16" x14ac:dyDescent="0.25">
      <c r="A251" s="133"/>
      <c r="B251" s="245"/>
      <c r="C251" s="202"/>
      <c r="D251" s="202"/>
      <c r="E251" s="175"/>
      <c r="F251" s="202"/>
      <c r="G251" s="203"/>
      <c r="H251" s="246"/>
      <c r="I251" s="133"/>
      <c r="J251" s="245"/>
      <c r="K251" s="202"/>
      <c r="L251" s="202"/>
      <c r="M251" s="175"/>
      <c r="N251" s="202"/>
      <c r="O251" s="203"/>
      <c r="P251" s="246"/>
    </row>
    <row r="252" spans="1:16" x14ac:dyDescent="0.25">
      <c r="A252" s="133"/>
      <c r="B252" s="247"/>
      <c r="C252" s="248"/>
      <c r="D252" s="248"/>
      <c r="E252" s="248"/>
      <c r="F252" s="202"/>
      <c r="G252" s="178"/>
      <c r="H252" s="200"/>
      <c r="I252" s="133"/>
      <c r="J252" s="247"/>
      <c r="K252" s="248"/>
      <c r="L252" s="248"/>
      <c r="M252" s="248"/>
      <c r="N252" s="202"/>
      <c r="O252" s="178"/>
      <c r="P252" s="200"/>
    </row>
    <row r="253" spans="1:16" x14ac:dyDescent="0.25">
      <c r="A253" s="133"/>
      <c r="B253" s="247"/>
      <c r="C253" s="232"/>
      <c r="D253" s="232"/>
      <c r="E253" s="232"/>
      <c r="F253" s="226"/>
      <c r="G253" s="229"/>
      <c r="H253" s="200"/>
      <c r="I253" s="133"/>
      <c r="J253" s="247"/>
      <c r="K253" s="232"/>
      <c r="L253" s="232"/>
      <c r="M253" s="232"/>
      <c r="N253" s="226"/>
      <c r="O253" s="229"/>
      <c r="P253" s="200"/>
    </row>
    <row r="254" spans="1:16" x14ac:dyDescent="0.25">
      <c r="A254" s="133"/>
      <c r="B254" s="194"/>
      <c r="C254" s="232"/>
      <c r="D254" s="232"/>
      <c r="E254" s="232"/>
      <c r="F254" s="226"/>
      <c r="G254" s="229"/>
      <c r="H254" s="200"/>
      <c r="I254" s="133"/>
      <c r="J254" s="194"/>
      <c r="K254" s="232"/>
      <c r="L254" s="232"/>
      <c r="M254" s="232"/>
      <c r="N254" s="226"/>
      <c r="O254" s="229"/>
      <c r="P254" s="200"/>
    </row>
    <row r="255" spans="1:16" ht="15.75" thickBot="1" x14ac:dyDescent="0.3">
      <c r="A255" s="133"/>
      <c r="B255" s="195"/>
      <c r="C255" s="232"/>
      <c r="D255" s="232"/>
      <c r="E255" s="232"/>
      <c r="F255" s="226"/>
      <c r="G255" s="229"/>
      <c r="H255" s="200"/>
      <c r="I255" s="133"/>
      <c r="J255" s="195"/>
      <c r="K255" s="232"/>
      <c r="L255" s="232"/>
      <c r="M255" s="232"/>
      <c r="N255" s="226"/>
      <c r="O255" s="229"/>
      <c r="P255" s="200"/>
    </row>
    <row r="256" spans="1:16" ht="15.75" thickBot="1" x14ac:dyDescent="0.3">
      <c r="A256" s="133"/>
      <c r="B256" s="233"/>
      <c r="C256" s="234"/>
      <c r="D256" s="234"/>
      <c r="E256" s="234"/>
      <c r="F256" s="235"/>
      <c r="G256" s="236"/>
      <c r="H256" s="237">
        <f>+SUM(G251:G256)</f>
        <v>0</v>
      </c>
      <c r="I256" s="133"/>
      <c r="J256" s="233"/>
      <c r="K256" s="234"/>
      <c r="L256" s="234"/>
      <c r="M256" s="234"/>
      <c r="N256" s="235"/>
      <c r="O256" s="236"/>
      <c r="P256" s="237">
        <f>+SUM(O251:O256)</f>
        <v>0</v>
      </c>
    </row>
    <row r="257" spans="1:17" ht="15.75" thickBot="1" x14ac:dyDescent="0.3">
      <c r="A257" s="133"/>
      <c r="B257" s="238"/>
      <c r="C257" s="238"/>
      <c r="D257" s="238"/>
      <c r="E257" s="238"/>
      <c r="F257" s="249"/>
      <c r="G257" s="250"/>
      <c r="H257" s="241"/>
      <c r="I257" s="133"/>
      <c r="J257" s="238"/>
      <c r="K257" s="238"/>
      <c r="L257" s="238"/>
      <c r="M257" s="238"/>
      <c r="N257" s="249"/>
      <c r="O257" s="250"/>
      <c r="P257" s="241"/>
    </row>
    <row r="258" spans="1:17" ht="15.75" thickBot="1" x14ac:dyDescent="0.3">
      <c r="A258" s="133"/>
      <c r="B258" s="224" t="s">
        <v>5412</v>
      </c>
      <c r="C258" s="193" t="s">
        <v>5420</v>
      </c>
      <c r="D258" s="193" t="s">
        <v>5421</v>
      </c>
      <c r="E258" s="193" t="s">
        <v>5413</v>
      </c>
      <c r="F258" s="193" t="s">
        <v>5405</v>
      </c>
      <c r="G258" s="225" t="s">
        <v>868</v>
      </c>
      <c r="H258" s="200"/>
      <c r="I258" s="133"/>
      <c r="J258" s="224" t="s">
        <v>5412</v>
      </c>
      <c r="K258" s="193" t="s">
        <v>5420</v>
      </c>
      <c r="L258" s="193" t="s">
        <v>5421</v>
      </c>
      <c r="M258" s="193" t="s">
        <v>5413</v>
      </c>
      <c r="N258" s="193" t="s">
        <v>5405</v>
      </c>
      <c r="O258" s="225" t="s">
        <v>868</v>
      </c>
      <c r="P258" s="200"/>
    </row>
    <row r="259" spans="1:17" x14ac:dyDescent="0.25">
      <c r="A259" s="133"/>
      <c r="B259" s="194" t="s">
        <v>5948</v>
      </c>
      <c r="C259" s="345">
        <v>70000</v>
      </c>
      <c r="D259" s="176">
        <f>+C259*0.85</f>
        <v>59500</v>
      </c>
      <c r="E259" s="176">
        <f>+C259+D259</f>
        <v>129500</v>
      </c>
      <c r="F259" s="204">
        <v>1000</v>
      </c>
      <c r="G259" s="178">
        <f>+E259/F259</f>
        <v>129.5</v>
      </c>
      <c r="H259" s="200"/>
      <c r="I259" s="133"/>
      <c r="J259" s="194" t="s">
        <v>5948</v>
      </c>
      <c r="K259" s="345">
        <v>70000</v>
      </c>
      <c r="L259" s="176">
        <f>+K259*0.85</f>
        <v>59500</v>
      </c>
      <c r="M259" s="175">
        <f>+K259+L259</f>
        <v>129500</v>
      </c>
      <c r="N259" s="204">
        <v>1000</v>
      </c>
      <c r="O259" s="178">
        <f>+M259/N259</f>
        <v>129.5</v>
      </c>
      <c r="P259" s="200"/>
    </row>
    <row r="260" spans="1:17" x14ac:dyDescent="0.25">
      <c r="A260" s="133"/>
      <c r="B260" s="194" t="s">
        <v>5651</v>
      </c>
      <c r="C260" s="345">
        <v>40000</v>
      </c>
      <c r="D260" s="176">
        <f>+C260*0.85</f>
        <v>34000</v>
      </c>
      <c r="E260" s="176">
        <f>+C260+D260</f>
        <v>74000</v>
      </c>
      <c r="F260" s="202">
        <v>20</v>
      </c>
      <c r="G260" s="178">
        <f>+E260/F260</f>
        <v>3700</v>
      </c>
      <c r="H260" s="200"/>
      <c r="I260" s="133"/>
      <c r="J260" s="194" t="s">
        <v>5651</v>
      </c>
      <c r="K260" s="345">
        <v>40000</v>
      </c>
      <c r="L260" s="176">
        <f>+K260*0.85</f>
        <v>34000</v>
      </c>
      <c r="M260" s="175">
        <f>+K260+L260</f>
        <v>74000</v>
      </c>
      <c r="N260" s="202">
        <v>16</v>
      </c>
      <c r="O260" s="178">
        <f>+M260/N260</f>
        <v>4625</v>
      </c>
      <c r="P260" s="200"/>
    </row>
    <row r="261" spans="1:17" x14ac:dyDescent="0.25">
      <c r="A261" s="133"/>
      <c r="B261" s="195" t="s">
        <v>5635</v>
      </c>
      <c r="C261" s="345">
        <v>20600</v>
      </c>
      <c r="D261" s="176">
        <f>+C261*0.85</f>
        <v>17510</v>
      </c>
      <c r="E261" s="176">
        <f>+C261+D261</f>
        <v>38110</v>
      </c>
      <c r="F261" s="226">
        <v>15</v>
      </c>
      <c r="G261" s="178">
        <f>+E261/F261</f>
        <v>2540.6666666666665</v>
      </c>
      <c r="H261" s="200"/>
      <c r="I261" s="133"/>
      <c r="J261" s="195" t="s">
        <v>5635</v>
      </c>
      <c r="K261" s="345">
        <v>20600</v>
      </c>
      <c r="L261" s="176">
        <f>+K261*0.85</f>
        <v>17510</v>
      </c>
      <c r="M261" s="175">
        <f>+K261+L261</f>
        <v>38110</v>
      </c>
      <c r="N261" s="226">
        <v>10</v>
      </c>
      <c r="O261" s="178">
        <f>+M261/N261</f>
        <v>3811</v>
      </c>
      <c r="P261" s="200"/>
    </row>
    <row r="262" spans="1:17" x14ac:dyDescent="0.25">
      <c r="A262" s="133"/>
      <c r="B262" s="195"/>
      <c r="C262" s="171"/>
      <c r="D262" s="176"/>
      <c r="E262" s="176"/>
      <c r="F262" s="226"/>
      <c r="G262" s="178"/>
      <c r="H262" s="200"/>
      <c r="I262" s="133"/>
      <c r="J262" s="195"/>
      <c r="K262" s="171"/>
      <c r="L262" s="176"/>
      <c r="M262" s="176"/>
      <c r="N262" s="226"/>
      <c r="O262" s="178"/>
      <c r="P262" s="200"/>
    </row>
    <row r="263" spans="1:17" x14ac:dyDescent="0.25">
      <c r="A263" s="133"/>
      <c r="B263" s="195"/>
      <c r="C263" s="232"/>
      <c r="D263" s="232"/>
      <c r="E263" s="232"/>
      <c r="F263" s="226"/>
      <c r="G263" s="229"/>
      <c r="H263" s="200"/>
      <c r="I263" s="133"/>
      <c r="J263" s="195"/>
      <c r="K263" s="232"/>
      <c r="L263" s="232"/>
      <c r="M263" s="232"/>
      <c r="N263" s="226"/>
      <c r="O263" s="229"/>
      <c r="P263" s="200"/>
    </row>
    <row r="264" spans="1:17" ht="15.75" thickBot="1" x14ac:dyDescent="0.3">
      <c r="A264" s="133"/>
      <c r="B264" s="195"/>
      <c r="C264" s="232"/>
      <c r="D264" s="232"/>
      <c r="E264" s="232"/>
      <c r="F264" s="226"/>
      <c r="G264" s="229"/>
      <c r="H264" s="200"/>
      <c r="I264" s="133"/>
      <c r="J264" s="195"/>
      <c r="K264" s="232"/>
      <c r="L264" s="232"/>
      <c r="M264" s="232"/>
      <c r="N264" s="226"/>
      <c r="O264" s="229"/>
      <c r="P264" s="200"/>
    </row>
    <row r="265" spans="1:17" ht="15.75" thickBot="1" x14ac:dyDescent="0.3">
      <c r="A265" s="133"/>
      <c r="B265" s="251"/>
      <c r="C265" s="252"/>
      <c r="D265" s="252"/>
      <c r="E265" s="252"/>
      <c r="F265" s="253"/>
      <c r="G265" s="254"/>
      <c r="H265" s="256">
        <f>+SUM(G259:G265)</f>
        <v>6370.1666666666661</v>
      </c>
      <c r="I265" s="133"/>
      <c r="J265" s="251"/>
      <c r="K265" s="252"/>
      <c r="L265" s="252"/>
      <c r="M265" s="252"/>
      <c r="N265" s="253"/>
      <c r="O265" s="254"/>
      <c r="P265" s="256">
        <f>+SUM(O259:O265)</f>
        <v>8565.5</v>
      </c>
    </row>
    <row r="266" spans="1:17" ht="15.75" thickBot="1" x14ac:dyDescent="0.3">
      <c r="A266" s="133"/>
      <c r="B266" s="8"/>
      <c r="C266" s="8"/>
      <c r="D266" s="8"/>
      <c r="E266" s="8"/>
      <c r="F266" s="133"/>
      <c r="G266" s="200"/>
      <c r="H266" s="200"/>
      <c r="I266" s="133"/>
      <c r="J266" s="8"/>
      <c r="K266" s="8"/>
      <c r="L266" s="8"/>
      <c r="M266" s="8"/>
      <c r="N266" s="8"/>
      <c r="O266" s="133"/>
      <c r="P266" s="200"/>
      <c r="Q266" s="200"/>
    </row>
    <row r="267" spans="1:17" ht="15.75" thickBot="1" x14ac:dyDescent="0.3">
      <c r="A267" s="133"/>
      <c r="B267" s="8"/>
      <c r="C267" s="8"/>
      <c r="D267" s="8"/>
      <c r="E267" s="223" t="s">
        <v>5415</v>
      </c>
      <c r="F267" s="133"/>
      <c r="G267" s="200"/>
      <c r="H267" s="256">
        <f>ROUND(+H265+H256+H248+H233,0)</f>
        <v>8019</v>
      </c>
      <c r="I267" s="133"/>
      <c r="J267" s="8"/>
      <c r="K267" s="8"/>
      <c r="L267" s="8"/>
      <c r="M267" s="223" t="s">
        <v>5415</v>
      </c>
      <c r="N267" s="223"/>
      <c r="O267" s="200"/>
      <c r="P267" s="256">
        <f>ROUND(+P265+P256+P248+P233,0)</f>
        <v>10956</v>
      </c>
    </row>
    <row r="269" spans="1:17" x14ac:dyDescent="0.25">
      <c r="A269" s="255"/>
    </row>
    <row r="270" spans="1:17" x14ac:dyDescent="0.25">
      <c r="A270" s="255"/>
    </row>
    <row r="271" spans="1:17" x14ac:dyDescent="0.25">
      <c r="A271" s="255"/>
    </row>
    <row r="272" spans="1:17" ht="18.75" x14ac:dyDescent="0.25">
      <c r="A272" s="133"/>
      <c r="B272" s="2506" t="s">
        <v>5400</v>
      </c>
      <c r="C272" s="2506"/>
      <c r="D272" s="2506"/>
      <c r="E272" s="2506"/>
      <c r="F272" s="2506"/>
      <c r="G272" s="2506"/>
      <c r="H272" s="8"/>
      <c r="I272" s="133"/>
      <c r="J272" s="2506" t="s">
        <v>5400</v>
      </c>
      <c r="K272" s="2506"/>
      <c r="L272" s="2506"/>
      <c r="M272" s="2506"/>
      <c r="N272" s="2506"/>
      <c r="O272" s="2506"/>
      <c r="P272" s="2506"/>
      <c r="Q272" s="8"/>
    </row>
    <row r="273" spans="1:17" x14ac:dyDescent="0.25">
      <c r="A273" s="133"/>
      <c r="B273" s="8"/>
      <c r="C273" s="8"/>
      <c r="D273" s="8"/>
      <c r="E273" s="8"/>
      <c r="F273" s="133"/>
      <c r="G273" s="200"/>
      <c r="H273" s="200"/>
      <c r="I273" s="133"/>
      <c r="J273" s="8"/>
      <c r="K273" s="8"/>
      <c r="L273" s="8"/>
      <c r="M273" s="8"/>
      <c r="N273" s="8"/>
      <c r="O273" s="133"/>
      <c r="P273" s="200"/>
      <c r="Q273" s="200"/>
    </row>
    <row r="274" spans="1:17" x14ac:dyDescent="0.25">
      <c r="A274" s="133"/>
      <c r="B274" s="8"/>
      <c r="C274" s="8"/>
      <c r="D274" s="8"/>
      <c r="E274" s="8"/>
      <c r="F274" s="133"/>
      <c r="G274" s="200"/>
      <c r="H274" s="200"/>
      <c r="I274" s="133"/>
      <c r="J274" s="8"/>
      <c r="K274" s="8"/>
      <c r="L274" s="8"/>
      <c r="M274" s="8"/>
      <c r="N274" s="8"/>
      <c r="O274" s="133"/>
      <c r="P274" s="200"/>
      <c r="Q274" s="200"/>
    </row>
    <row r="275" spans="1:17" x14ac:dyDescent="0.25">
      <c r="A275" s="133"/>
      <c r="B275" s="8"/>
      <c r="C275" s="8"/>
      <c r="D275" s="8"/>
      <c r="E275" s="8"/>
      <c r="F275" s="133"/>
      <c r="G275" s="200"/>
      <c r="H275" s="200"/>
      <c r="I275" s="133"/>
      <c r="J275" s="8"/>
      <c r="K275" s="8"/>
      <c r="L275" s="8"/>
      <c r="M275" s="8"/>
      <c r="N275" s="8"/>
      <c r="O275" s="133"/>
      <c r="P275" s="200"/>
      <c r="Q275" s="200"/>
    </row>
    <row r="276" spans="1:17" ht="15" customHeight="1" x14ac:dyDescent="0.25">
      <c r="A276" s="220" t="s">
        <v>5482</v>
      </c>
      <c r="B276" s="221" t="s">
        <v>198</v>
      </c>
      <c r="C276" s="2449" t="s">
        <v>5884</v>
      </c>
      <c r="D276" s="2449"/>
      <c r="E276" s="2449"/>
      <c r="F276" s="220" t="s">
        <v>867</v>
      </c>
      <c r="G276" s="222" t="s">
        <v>5402</v>
      </c>
      <c r="H276" s="200"/>
      <c r="I276" s="220" t="s">
        <v>5482</v>
      </c>
      <c r="J276" s="221" t="s">
        <v>198</v>
      </c>
      <c r="K276" s="2449" t="s">
        <v>5885</v>
      </c>
      <c r="L276" s="2449"/>
      <c r="M276" s="2449"/>
      <c r="N276" s="220" t="s">
        <v>867</v>
      </c>
      <c r="O276" s="222" t="s">
        <v>5402</v>
      </c>
      <c r="P276" s="200"/>
    </row>
    <row r="277" spans="1:17" x14ac:dyDescent="0.25">
      <c r="A277" s="133"/>
      <c r="B277" s="8"/>
      <c r="C277" s="223"/>
      <c r="D277" s="223"/>
      <c r="E277" s="223"/>
      <c r="F277" s="133"/>
      <c r="G277" s="200"/>
      <c r="H277" s="200"/>
      <c r="I277" s="133"/>
      <c r="J277" s="8"/>
      <c r="K277" s="223"/>
      <c r="L277" s="223"/>
      <c r="M277" s="223"/>
      <c r="N277" s="223"/>
      <c r="O277" s="133"/>
      <c r="P277" s="200"/>
      <c r="Q277" s="200"/>
    </row>
    <row r="278" spans="1:17" x14ac:dyDescent="0.25">
      <c r="A278" s="133"/>
      <c r="B278" s="8"/>
      <c r="C278" s="8"/>
      <c r="D278" s="8"/>
      <c r="E278" s="8"/>
      <c r="F278" s="8"/>
      <c r="G278" s="8"/>
      <c r="H278" s="200"/>
      <c r="I278" s="133"/>
      <c r="J278" s="8"/>
      <c r="K278" s="8"/>
      <c r="L278" s="8"/>
      <c r="M278" s="8"/>
      <c r="N278" s="8"/>
      <c r="O278" s="8"/>
      <c r="P278" s="8"/>
      <c r="Q278" s="200"/>
    </row>
    <row r="279" spans="1:17" ht="15.75" thickBot="1" x14ac:dyDescent="0.3">
      <c r="A279" s="133"/>
      <c r="B279" s="8"/>
      <c r="C279" s="8"/>
      <c r="D279" s="8"/>
      <c r="E279" s="8"/>
      <c r="F279" s="133"/>
      <c r="G279" s="200"/>
      <c r="H279" s="200"/>
      <c r="I279" s="133"/>
      <c r="J279" s="8"/>
      <c r="K279" s="8"/>
      <c r="L279" s="8"/>
      <c r="M279" s="8"/>
      <c r="N279" s="8"/>
      <c r="O279" s="133"/>
      <c r="P279" s="200"/>
      <c r="Q279" s="200"/>
    </row>
    <row r="280" spans="1:17" ht="15.75" thickBot="1" x14ac:dyDescent="0.3">
      <c r="A280" s="133"/>
      <c r="B280" s="224" t="s">
        <v>5403</v>
      </c>
      <c r="C280" s="193" t="s">
        <v>867</v>
      </c>
      <c r="D280" s="193" t="s">
        <v>6</v>
      </c>
      <c r="E280" s="193" t="s">
        <v>5439</v>
      </c>
      <c r="F280" s="193" t="s">
        <v>5405</v>
      </c>
      <c r="G280" s="225" t="s">
        <v>868</v>
      </c>
      <c r="H280" s="200"/>
      <c r="I280" s="133"/>
      <c r="J280" s="224" t="s">
        <v>5403</v>
      </c>
      <c r="K280" s="193" t="s">
        <v>867</v>
      </c>
      <c r="L280" s="193" t="s">
        <v>6</v>
      </c>
      <c r="M280" s="193" t="s">
        <v>5439</v>
      </c>
      <c r="N280" s="193" t="s">
        <v>5405</v>
      </c>
      <c r="O280" s="225" t="s">
        <v>868</v>
      </c>
      <c r="P280" s="200"/>
    </row>
    <row r="281" spans="1:17" x14ac:dyDescent="0.25">
      <c r="A281" s="133"/>
      <c r="B281" s="195" t="s">
        <v>5440</v>
      </c>
      <c r="C281" s="226" t="s">
        <v>5402</v>
      </c>
      <c r="D281" s="226">
        <v>1</v>
      </c>
      <c r="E281" s="227">
        <f>+H319</f>
        <v>10715.057692307691</v>
      </c>
      <c r="F281" s="226">
        <v>0.05</v>
      </c>
      <c r="G281" s="229">
        <f>+E281*F281</f>
        <v>535.75288461538457</v>
      </c>
      <c r="H281" s="200"/>
      <c r="I281" s="133"/>
      <c r="J281" s="195" t="s">
        <v>5440</v>
      </c>
      <c r="K281" s="226" t="s">
        <v>5402</v>
      </c>
      <c r="L281" s="226">
        <v>1</v>
      </c>
      <c r="M281" s="228">
        <f>+P319</f>
        <v>12422.75</v>
      </c>
      <c r="N281" s="226">
        <v>0.05</v>
      </c>
      <c r="O281" s="229">
        <f>+M281*N281</f>
        <v>621.13750000000005</v>
      </c>
      <c r="P281" s="200"/>
    </row>
    <row r="282" spans="1:17" x14ac:dyDescent="0.25">
      <c r="A282" s="133"/>
      <c r="B282" s="195" t="s">
        <v>6048</v>
      </c>
      <c r="C282" s="226" t="s">
        <v>5402</v>
      </c>
      <c r="D282" s="226">
        <v>1</v>
      </c>
      <c r="E282" s="230">
        <v>50000</v>
      </c>
      <c r="F282" s="226">
        <v>1.333E-2</v>
      </c>
      <c r="G282" s="229">
        <f>+E282*F282</f>
        <v>666.5</v>
      </c>
      <c r="H282" s="200"/>
      <c r="I282" s="133"/>
      <c r="J282" s="195" t="s">
        <v>6048</v>
      </c>
      <c r="K282" s="226" t="s">
        <v>5402</v>
      </c>
      <c r="L282" s="226">
        <v>1</v>
      </c>
      <c r="M282" s="228">
        <v>50000</v>
      </c>
      <c r="N282" s="226">
        <v>1.333E-2</v>
      </c>
      <c r="O282" s="229">
        <f>+M282*N282</f>
        <v>666.5</v>
      </c>
      <c r="P282" s="200"/>
    </row>
    <row r="283" spans="1:17" x14ac:dyDescent="0.25">
      <c r="A283" s="133"/>
      <c r="B283" s="195"/>
      <c r="C283" s="226"/>
      <c r="D283" s="226"/>
      <c r="E283" s="176"/>
      <c r="F283" s="226"/>
      <c r="G283" s="229"/>
      <c r="H283" s="200"/>
      <c r="I283" s="133"/>
      <c r="J283" s="195"/>
      <c r="K283" s="226"/>
      <c r="L283" s="226"/>
      <c r="M283" s="176"/>
      <c r="N283" s="226"/>
      <c r="O283" s="229"/>
      <c r="P283" s="200"/>
    </row>
    <row r="284" spans="1:17" x14ac:dyDescent="0.25">
      <c r="A284" s="133"/>
      <c r="B284" s="195"/>
      <c r="C284" s="226"/>
      <c r="D284" s="226"/>
      <c r="E284" s="171"/>
      <c r="F284" s="226"/>
      <c r="G284" s="231"/>
      <c r="H284" s="200"/>
      <c r="I284" s="133"/>
      <c r="J284" s="195"/>
      <c r="K284" s="226"/>
      <c r="L284" s="226"/>
      <c r="M284" s="171"/>
      <c r="N284" s="226"/>
      <c r="O284" s="231"/>
      <c r="P284" s="200"/>
    </row>
    <row r="285" spans="1:17" x14ac:dyDescent="0.25">
      <c r="A285" s="133"/>
      <c r="B285" s="195"/>
      <c r="C285" s="226"/>
      <c r="D285" s="232"/>
      <c r="E285" s="232"/>
      <c r="F285" s="226"/>
      <c r="G285" s="229"/>
      <c r="H285" s="200"/>
      <c r="I285" s="133"/>
      <c r="J285" s="195"/>
      <c r="K285" s="226"/>
      <c r="L285" s="232"/>
      <c r="M285" s="232"/>
      <c r="N285" s="226"/>
      <c r="O285" s="229"/>
      <c r="P285" s="200"/>
    </row>
    <row r="286" spans="1:17" ht="15.75" thickBot="1" x14ac:dyDescent="0.3">
      <c r="A286" s="133"/>
      <c r="B286" s="195"/>
      <c r="C286" s="226"/>
      <c r="D286" s="232"/>
      <c r="E286" s="232"/>
      <c r="F286" s="226"/>
      <c r="G286" s="229"/>
      <c r="H286" s="200"/>
      <c r="I286" s="133"/>
      <c r="J286" s="195"/>
      <c r="K286" s="226"/>
      <c r="L286" s="232"/>
      <c r="M286" s="232"/>
      <c r="N286" s="226"/>
      <c r="O286" s="229"/>
      <c r="P286" s="200"/>
    </row>
    <row r="287" spans="1:17" ht="15.75" thickBot="1" x14ac:dyDescent="0.3">
      <c r="A287" s="133"/>
      <c r="B287" s="233"/>
      <c r="C287" s="234"/>
      <c r="D287" s="234"/>
      <c r="E287" s="234"/>
      <c r="F287" s="235"/>
      <c r="G287" s="236"/>
      <c r="H287" s="237">
        <f>+SUM(G281:G287)</f>
        <v>1202.2528846153846</v>
      </c>
      <c r="I287" s="133"/>
      <c r="J287" s="233"/>
      <c r="K287" s="234"/>
      <c r="L287" s="234"/>
      <c r="M287" s="234"/>
      <c r="N287" s="235"/>
      <c r="O287" s="236"/>
      <c r="P287" s="237">
        <f>+SUM(O281:O287)</f>
        <v>1287.6375</v>
      </c>
    </row>
    <row r="288" spans="1:17" ht="15.75" thickBot="1" x14ac:dyDescent="0.3">
      <c r="A288" s="133"/>
      <c r="B288" s="238"/>
      <c r="C288" s="238"/>
      <c r="D288" s="238"/>
      <c r="E288" s="238"/>
      <c r="F288" s="239"/>
      <c r="G288" s="240"/>
      <c r="H288" s="241"/>
      <c r="I288" s="133"/>
      <c r="J288" s="238"/>
      <c r="K288" s="238"/>
      <c r="L288" s="238"/>
      <c r="M288" s="238"/>
      <c r="N288" s="239"/>
      <c r="O288" s="240"/>
      <c r="P288" s="241"/>
    </row>
    <row r="289" spans="1:16" ht="15.75" thickBot="1" x14ac:dyDescent="0.3">
      <c r="A289" s="133"/>
      <c r="B289" s="224" t="s">
        <v>5408</v>
      </c>
      <c r="C289" s="193" t="s">
        <v>867</v>
      </c>
      <c r="D289" s="193" t="s">
        <v>6</v>
      </c>
      <c r="E289" s="193" t="s">
        <v>870</v>
      </c>
      <c r="F289" s="193" t="s">
        <v>5409</v>
      </c>
      <c r="G289" s="225" t="s">
        <v>868</v>
      </c>
      <c r="H289" s="200"/>
      <c r="I289" s="133"/>
      <c r="J289" s="224" t="s">
        <v>5408</v>
      </c>
      <c r="K289" s="193" t="s">
        <v>867</v>
      </c>
      <c r="L289" s="193" t="s">
        <v>6</v>
      </c>
      <c r="M289" s="193" t="s">
        <v>870</v>
      </c>
      <c r="N289" s="193" t="s">
        <v>5409</v>
      </c>
      <c r="O289" s="225" t="s">
        <v>868</v>
      </c>
      <c r="P289" s="200"/>
    </row>
    <row r="290" spans="1:16" x14ac:dyDescent="0.25">
      <c r="A290" s="133"/>
      <c r="B290" s="289" t="s">
        <v>6053</v>
      </c>
      <c r="C290" s="202" t="s">
        <v>5486</v>
      </c>
      <c r="D290" s="226">
        <v>9.2599999999999991E-3</v>
      </c>
      <c r="E290" s="171">
        <f>12131*1.16</f>
        <v>14071.96</v>
      </c>
      <c r="F290" s="169">
        <v>0.05</v>
      </c>
      <c r="G290" s="178">
        <f>+D290*E290*(1+F290)</f>
        <v>136.82166707999997</v>
      </c>
      <c r="H290" s="200"/>
      <c r="I290" s="133"/>
      <c r="J290" s="289" t="s">
        <v>6053</v>
      </c>
      <c r="K290" s="202" t="s">
        <v>5486</v>
      </c>
      <c r="L290" s="226">
        <v>9.2599999999999991E-3</v>
      </c>
      <c r="M290" s="171">
        <f>12131*1.16</f>
        <v>14071.96</v>
      </c>
      <c r="N290" s="169">
        <v>0.05</v>
      </c>
      <c r="O290" s="178">
        <f>+L290*M290*(1+N290)</f>
        <v>136.82166707999997</v>
      </c>
      <c r="P290" s="200"/>
    </row>
    <row r="291" spans="1:16" x14ac:dyDescent="0.25">
      <c r="A291" s="133"/>
      <c r="B291" s="448" t="s">
        <v>5755</v>
      </c>
      <c r="C291" s="202" t="s">
        <v>5487</v>
      </c>
      <c r="D291" s="202">
        <f>+L237*D292/L238</f>
        <v>2052.4999999999995</v>
      </c>
      <c r="E291" s="257">
        <v>0.65</v>
      </c>
      <c r="F291" s="169">
        <v>0.05</v>
      </c>
      <c r="G291" s="178">
        <f>+D291*E291*(1+F291)</f>
        <v>1400.8312499999997</v>
      </c>
      <c r="H291" s="200"/>
      <c r="I291" s="133"/>
      <c r="J291" s="448" t="s">
        <v>5755</v>
      </c>
      <c r="K291" s="202" t="s">
        <v>5487</v>
      </c>
      <c r="L291" s="202">
        <f>+D291*L292/D292</f>
        <v>3258.5489999999995</v>
      </c>
      <c r="M291" s="257">
        <v>0.65</v>
      </c>
      <c r="N291" s="169">
        <v>0.05</v>
      </c>
      <c r="O291" s="178">
        <f>+L291*M291*(1+N291)</f>
        <v>2223.9596925000001</v>
      </c>
      <c r="P291" s="200"/>
    </row>
    <row r="292" spans="1:16" x14ac:dyDescent="0.25">
      <c r="A292" s="133"/>
      <c r="B292" s="448" t="s">
        <v>5553</v>
      </c>
      <c r="C292" s="226" t="s">
        <v>5488</v>
      </c>
      <c r="D292" s="226">
        <f>+PI()*0.125^2*1000</f>
        <v>49.087385212340514</v>
      </c>
      <c r="E292" s="244">
        <v>5</v>
      </c>
      <c r="F292" s="169">
        <v>0.1</v>
      </c>
      <c r="G292" s="178">
        <f>+D292*E292*(1+F292)</f>
        <v>269.98061866787282</v>
      </c>
      <c r="H292" s="200"/>
      <c r="I292" s="133"/>
      <c r="J292" s="448" t="s">
        <v>5553</v>
      </c>
      <c r="K292" s="226" t="s">
        <v>5488</v>
      </c>
      <c r="L292" s="226">
        <f>+PI()*0.1575^2*1000</f>
        <v>77.931132763111805</v>
      </c>
      <c r="M292" s="332">
        <v>5</v>
      </c>
      <c r="N292" s="169">
        <v>0.1</v>
      </c>
      <c r="O292" s="178">
        <f>+L292*M292*(1+N292)</f>
        <v>428.62123019711498</v>
      </c>
      <c r="P292" s="200"/>
    </row>
    <row r="293" spans="1:16" x14ac:dyDescent="0.25">
      <c r="A293" s="133"/>
      <c r="B293" s="194"/>
      <c r="C293" s="226"/>
      <c r="D293" s="226"/>
      <c r="E293" s="171"/>
      <c r="F293" s="169"/>
      <c r="G293" s="178"/>
      <c r="H293" s="200"/>
      <c r="I293" s="133"/>
      <c r="J293" s="194"/>
      <c r="K293" s="226"/>
      <c r="L293" s="226"/>
      <c r="M293" s="176"/>
      <c r="N293" s="169"/>
      <c r="O293" s="178"/>
      <c r="P293" s="200"/>
    </row>
    <row r="294" spans="1:16" x14ac:dyDescent="0.25">
      <c r="A294" s="133"/>
      <c r="B294" s="195"/>
      <c r="C294" s="226"/>
      <c r="D294" s="226"/>
      <c r="E294" s="171"/>
      <c r="F294" s="169"/>
      <c r="G294" s="178"/>
      <c r="H294" s="200"/>
      <c r="I294" s="133"/>
      <c r="J294" s="195"/>
      <c r="K294" s="226"/>
      <c r="L294" s="226"/>
      <c r="M294" s="176"/>
      <c r="N294" s="169"/>
      <c r="O294" s="178"/>
      <c r="P294" s="200"/>
    </row>
    <row r="295" spans="1:16" x14ac:dyDescent="0.25">
      <c r="A295" s="133"/>
      <c r="B295" s="194"/>
      <c r="C295" s="202"/>
      <c r="D295" s="202"/>
      <c r="E295" s="171"/>
      <c r="F295" s="169"/>
      <c r="G295" s="178"/>
      <c r="H295" s="200"/>
      <c r="I295" s="133"/>
      <c r="J295" s="194"/>
      <c r="K295" s="202"/>
      <c r="L295" s="202"/>
      <c r="M295" s="176"/>
      <c r="N295" s="169"/>
      <c r="O295" s="178"/>
      <c r="P295" s="200"/>
    </row>
    <row r="296" spans="1:16" x14ac:dyDescent="0.25">
      <c r="A296" s="133"/>
      <c r="B296" s="195"/>
      <c r="C296" s="226"/>
      <c r="D296" s="226"/>
      <c r="E296" s="171"/>
      <c r="F296" s="169"/>
      <c r="G296" s="178"/>
      <c r="H296" s="200"/>
      <c r="I296" s="133"/>
      <c r="J296" s="195"/>
      <c r="K296" s="226"/>
      <c r="L296" s="226"/>
      <c r="M296" s="176"/>
      <c r="N296" s="169"/>
      <c r="O296" s="178"/>
      <c r="P296" s="200"/>
    </row>
    <row r="297" spans="1:16" x14ac:dyDescent="0.25">
      <c r="A297" s="133"/>
      <c r="B297" s="195"/>
      <c r="C297" s="226"/>
      <c r="D297" s="226"/>
      <c r="E297" s="171"/>
      <c r="F297" s="169"/>
      <c r="G297" s="178"/>
      <c r="H297" s="200"/>
      <c r="I297" s="133"/>
      <c r="J297" s="195"/>
      <c r="K297" s="226"/>
      <c r="L297" s="226"/>
      <c r="M297" s="176"/>
      <c r="N297" s="169"/>
      <c r="O297" s="178"/>
      <c r="P297" s="200"/>
    </row>
    <row r="298" spans="1:16" x14ac:dyDescent="0.25">
      <c r="A298" s="133"/>
      <c r="B298" s="195"/>
      <c r="C298" s="232"/>
      <c r="D298" s="232"/>
      <c r="E298" s="232"/>
      <c r="F298" s="226"/>
      <c r="G298" s="229"/>
      <c r="H298" s="200"/>
      <c r="I298" s="133"/>
      <c r="J298" s="195"/>
      <c r="K298" s="232"/>
      <c r="L298" s="232"/>
      <c r="M298" s="232"/>
      <c r="N298" s="226"/>
      <c r="O298" s="229"/>
      <c r="P298" s="200"/>
    </row>
    <row r="299" spans="1:16" x14ac:dyDescent="0.25">
      <c r="A299" s="133"/>
      <c r="B299" s="195"/>
      <c r="C299" s="232"/>
      <c r="D299" s="232"/>
      <c r="E299" s="232"/>
      <c r="F299" s="226"/>
      <c r="G299" s="229"/>
      <c r="H299" s="200"/>
      <c r="I299" s="133"/>
      <c r="J299" s="195"/>
      <c r="K299" s="232"/>
      <c r="L299" s="232"/>
      <c r="M299" s="232"/>
      <c r="N299" s="226"/>
      <c r="O299" s="229"/>
      <c r="P299" s="200"/>
    </row>
    <row r="300" spans="1:16" x14ac:dyDescent="0.25">
      <c r="A300" s="133"/>
      <c r="B300" s="195"/>
      <c r="C300" s="232"/>
      <c r="D300" s="232"/>
      <c r="E300" s="232"/>
      <c r="F300" s="226"/>
      <c r="G300" s="229"/>
      <c r="H300" s="200"/>
      <c r="I300" s="133"/>
      <c r="J300" s="195"/>
      <c r="K300" s="232"/>
      <c r="L300" s="232"/>
      <c r="M300" s="232"/>
      <c r="N300" s="226"/>
      <c r="O300" s="229"/>
      <c r="P300" s="200"/>
    </row>
    <row r="301" spans="1:16" ht="15.75" thickBot="1" x14ac:dyDescent="0.3">
      <c r="A301" s="133"/>
      <c r="B301" s="195"/>
      <c r="C301" s="232"/>
      <c r="D301" s="232"/>
      <c r="E301" s="232"/>
      <c r="F301" s="226"/>
      <c r="G301" s="229"/>
      <c r="H301" s="200"/>
      <c r="I301" s="133"/>
      <c r="J301" s="195"/>
      <c r="K301" s="232"/>
      <c r="L301" s="232"/>
      <c r="M301" s="232"/>
      <c r="N301" s="226"/>
      <c r="O301" s="229"/>
      <c r="P301" s="200"/>
    </row>
    <row r="302" spans="1:16" ht="15.75" thickBot="1" x14ac:dyDescent="0.3">
      <c r="A302" s="133"/>
      <c r="B302" s="233"/>
      <c r="C302" s="234"/>
      <c r="D302" s="234"/>
      <c r="E302" s="234"/>
      <c r="F302" s="235"/>
      <c r="G302" s="236"/>
      <c r="H302" s="256">
        <f>+SUM(G290:G302)</f>
        <v>1807.6335357478724</v>
      </c>
      <c r="I302" s="133"/>
      <c r="J302" s="233"/>
      <c r="K302" s="234"/>
      <c r="L302" s="234"/>
      <c r="M302" s="234"/>
      <c r="N302" s="235"/>
      <c r="O302" s="236"/>
      <c r="P302" s="256">
        <f>+SUM(O290:O302)</f>
        <v>2789.4025897771148</v>
      </c>
    </row>
    <row r="303" spans="1:16" ht="15.75" thickBot="1" x14ac:dyDescent="0.3">
      <c r="A303" s="133"/>
      <c r="B303" s="238"/>
      <c r="C303" s="238"/>
      <c r="D303" s="238"/>
      <c r="E303" s="238"/>
      <c r="F303" s="239"/>
      <c r="G303" s="240"/>
      <c r="H303" s="241"/>
      <c r="I303" s="133"/>
      <c r="J303" s="238"/>
      <c r="K303" s="238"/>
      <c r="L303" s="238"/>
      <c r="M303" s="238"/>
      <c r="N303" s="239"/>
      <c r="O303" s="240"/>
      <c r="P303" s="241"/>
    </row>
    <row r="304" spans="1:16" ht="15.75" thickBot="1" x14ac:dyDescent="0.3">
      <c r="A304" s="133"/>
      <c r="B304" s="224" t="s">
        <v>5410</v>
      </c>
      <c r="C304" s="193" t="s">
        <v>867</v>
      </c>
      <c r="D304" s="193" t="s">
        <v>6</v>
      </c>
      <c r="E304" s="193" t="s">
        <v>870</v>
      </c>
      <c r="F304" s="193" t="s">
        <v>5411</v>
      </c>
      <c r="G304" s="225" t="s">
        <v>868</v>
      </c>
      <c r="H304" s="200"/>
      <c r="I304" s="133"/>
      <c r="J304" s="224" t="s">
        <v>5410</v>
      </c>
      <c r="K304" s="193" t="s">
        <v>867</v>
      </c>
      <c r="L304" s="193" t="s">
        <v>6</v>
      </c>
      <c r="M304" s="193" t="s">
        <v>870</v>
      </c>
      <c r="N304" s="193" t="s">
        <v>5411</v>
      </c>
      <c r="O304" s="225" t="s">
        <v>868</v>
      </c>
      <c r="P304" s="200"/>
    </row>
    <row r="305" spans="1:17" x14ac:dyDescent="0.25">
      <c r="A305" s="133"/>
      <c r="B305" s="245"/>
      <c r="C305" s="202"/>
      <c r="D305" s="202"/>
      <c r="E305" s="175"/>
      <c r="F305" s="202"/>
      <c r="G305" s="203"/>
      <c r="H305" s="246"/>
      <c r="I305" s="133"/>
      <c r="J305" s="245"/>
      <c r="K305" s="202"/>
      <c r="L305" s="202"/>
      <c r="M305" s="175"/>
      <c r="N305" s="202"/>
      <c r="O305" s="203"/>
      <c r="P305" s="246"/>
    </row>
    <row r="306" spans="1:17" x14ac:dyDescent="0.25">
      <c r="A306" s="133"/>
      <c r="B306" s="247"/>
      <c r="C306" s="248"/>
      <c r="D306" s="248"/>
      <c r="E306" s="248"/>
      <c r="F306" s="202"/>
      <c r="G306" s="178"/>
      <c r="H306" s="200"/>
      <c r="I306" s="133"/>
      <c r="J306" s="247"/>
      <c r="K306" s="248"/>
      <c r="L306" s="248"/>
      <c r="M306" s="248"/>
      <c r="N306" s="202"/>
      <c r="O306" s="178"/>
      <c r="P306" s="200"/>
    </row>
    <row r="307" spans="1:17" x14ac:dyDescent="0.25">
      <c r="A307" s="133"/>
      <c r="B307" s="247"/>
      <c r="C307" s="232"/>
      <c r="D307" s="232"/>
      <c r="E307" s="232"/>
      <c r="F307" s="226"/>
      <c r="G307" s="229"/>
      <c r="H307" s="200"/>
      <c r="I307" s="133"/>
      <c r="J307" s="247"/>
      <c r="K307" s="232"/>
      <c r="L307" s="232"/>
      <c r="M307" s="232"/>
      <c r="N307" s="226"/>
      <c r="O307" s="229"/>
      <c r="P307" s="200"/>
    </row>
    <row r="308" spans="1:17" x14ac:dyDescent="0.25">
      <c r="A308" s="133"/>
      <c r="B308" s="194"/>
      <c r="C308" s="232"/>
      <c r="D308" s="232"/>
      <c r="E308" s="232"/>
      <c r="F308" s="226"/>
      <c r="G308" s="229"/>
      <c r="H308" s="200"/>
      <c r="I308" s="133"/>
      <c r="J308" s="194"/>
      <c r="K308" s="232"/>
      <c r="L308" s="232"/>
      <c r="M308" s="232"/>
      <c r="N308" s="226"/>
      <c r="O308" s="229"/>
      <c r="P308" s="200"/>
    </row>
    <row r="309" spans="1:17" ht="15.75" thickBot="1" x14ac:dyDescent="0.3">
      <c r="A309" s="133"/>
      <c r="B309" s="195"/>
      <c r="C309" s="232"/>
      <c r="D309" s="232"/>
      <c r="E309" s="232"/>
      <c r="F309" s="226"/>
      <c r="G309" s="229"/>
      <c r="H309" s="200"/>
      <c r="I309" s="133"/>
      <c r="J309" s="195"/>
      <c r="K309" s="232"/>
      <c r="L309" s="232"/>
      <c r="M309" s="232"/>
      <c r="N309" s="226"/>
      <c r="O309" s="229"/>
      <c r="P309" s="200"/>
    </row>
    <row r="310" spans="1:17" ht="15.75" thickBot="1" x14ac:dyDescent="0.3">
      <c r="A310" s="133"/>
      <c r="B310" s="233"/>
      <c r="C310" s="234"/>
      <c r="D310" s="234"/>
      <c r="E310" s="234"/>
      <c r="F310" s="235"/>
      <c r="G310" s="236"/>
      <c r="H310" s="237">
        <f>+SUM(G305:G310)</f>
        <v>0</v>
      </c>
      <c r="I310" s="133"/>
      <c r="J310" s="233"/>
      <c r="K310" s="234"/>
      <c r="L310" s="234"/>
      <c r="M310" s="234"/>
      <c r="N310" s="235"/>
      <c r="O310" s="236"/>
      <c r="P310" s="237">
        <f>+SUM(O305:O310)</f>
        <v>0</v>
      </c>
    </row>
    <row r="311" spans="1:17" ht="15.75" thickBot="1" x14ac:dyDescent="0.3">
      <c r="A311" s="133"/>
      <c r="B311" s="238"/>
      <c r="C311" s="238"/>
      <c r="D311" s="238"/>
      <c r="E311" s="238"/>
      <c r="F311" s="249"/>
      <c r="G311" s="250"/>
      <c r="H311" s="241"/>
      <c r="I311" s="133"/>
      <c r="J311" s="238"/>
      <c r="K311" s="238"/>
      <c r="L311" s="238"/>
      <c r="M311" s="238"/>
      <c r="N311" s="249"/>
      <c r="O311" s="250"/>
      <c r="P311" s="241"/>
    </row>
    <row r="312" spans="1:17" ht="15.75" thickBot="1" x14ac:dyDescent="0.3">
      <c r="A312" s="133"/>
      <c r="B312" s="224" t="s">
        <v>5412</v>
      </c>
      <c r="C312" s="193" t="s">
        <v>5420</v>
      </c>
      <c r="D312" s="193" t="s">
        <v>5421</v>
      </c>
      <c r="E312" s="193" t="s">
        <v>5413</v>
      </c>
      <c r="F312" s="193" t="s">
        <v>5405</v>
      </c>
      <c r="G312" s="225" t="s">
        <v>868</v>
      </c>
      <c r="H312" s="200"/>
      <c r="I312" s="133"/>
      <c r="J312" s="224" t="s">
        <v>5412</v>
      </c>
      <c r="K312" s="193" t="s">
        <v>5420</v>
      </c>
      <c r="L312" s="193" t="s">
        <v>5421</v>
      </c>
      <c r="M312" s="193" t="s">
        <v>5413</v>
      </c>
      <c r="N312" s="193" t="s">
        <v>5405</v>
      </c>
      <c r="O312" s="225" t="s">
        <v>868</v>
      </c>
      <c r="P312" s="200"/>
    </row>
    <row r="313" spans="1:17" x14ac:dyDescent="0.25">
      <c r="A313" s="133"/>
      <c r="B313" s="194" t="s">
        <v>5948</v>
      </c>
      <c r="C313" s="345">
        <v>70000</v>
      </c>
      <c r="D313" s="176">
        <f>+C313*0.85</f>
        <v>59500</v>
      </c>
      <c r="E313" s="176">
        <f>+C313+D313</f>
        <v>129500</v>
      </c>
      <c r="F313" s="204">
        <v>500</v>
      </c>
      <c r="G313" s="178">
        <f>+E313/F313</f>
        <v>259</v>
      </c>
      <c r="H313" s="200"/>
      <c r="I313" s="133"/>
      <c r="J313" s="194" t="s">
        <v>5948</v>
      </c>
      <c r="K313" s="345">
        <v>70000</v>
      </c>
      <c r="L313" s="176">
        <f>+K313*0.85</f>
        <v>59500</v>
      </c>
      <c r="M313" s="175">
        <f>+K313+L313</f>
        <v>129500</v>
      </c>
      <c r="N313" s="204">
        <v>500</v>
      </c>
      <c r="O313" s="178">
        <f>+M313/N313</f>
        <v>259</v>
      </c>
      <c r="P313" s="200"/>
    </row>
    <row r="314" spans="1:17" x14ac:dyDescent="0.25">
      <c r="A314" s="133"/>
      <c r="B314" s="194" t="s">
        <v>5651</v>
      </c>
      <c r="C314" s="345">
        <v>40000</v>
      </c>
      <c r="D314" s="176">
        <f>+C314*0.85</f>
        <v>34000</v>
      </c>
      <c r="E314" s="176">
        <f>+C314+D314</f>
        <v>74000</v>
      </c>
      <c r="F314" s="202">
        <v>13</v>
      </c>
      <c r="G314" s="178">
        <f>+E314/F314</f>
        <v>5692.3076923076924</v>
      </c>
      <c r="H314" s="200"/>
      <c r="I314" s="133"/>
      <c r="J314" s="194" t="s">
        <v>5651</v>
      </c>
      <c r="K314" s="345">
        <v>40000</v>
      </c>
      <c r="L314" s="176">
        <f>+K314*0.85</f>
        <v>34000</v>
      </c>
      <c r="M314" s="175">
        <f>+K314+L314</f>
        <v>74000</v>
      </c>
      <c r="N314" s="202">
        <v>10</v>
      </c>
      <c r="O314" s="178">
        <f>+M314/N314</f>
        <v>7400</v>
      </c>
      <c r="P314" s="200"/>
    </row>
    <row r="315" spans="1:17" x14ac:dyDescent="0.25">
      <c r="A315" s="133"/>
      <c r="B315" s="195" t="s">
        <v>5635</v>
      </c>
      <c r="C315" s="345">
        <v>20600</v>
      </c>
      <c r="D315" s="176">
        <f>+C315*0.85</f>
        <v>17510</v>
      </c>
      <c r="E315" s="176">
        <f>+C315+D315</f>
        <v>38110</v>
      </c>
      <c r="F315" s="226">
        <v>8</v>
      </c>
      <c r="G315" s="178">
        <f>+E315/F315</f>
        <v>4763.75</v>
      </c>
      <c r="H315" s="200"/>
      <c r="I315" s="133"/>
      <c r="J315" s="195" t="s">
        <v>5635</v>
      </c>
      <c r="K315" s="345">
        <v>20600</v>
      </c>
      <c r="L315" s="176">
        <f>+K315*0.85</f>
        <v>17510</v>
      </c>
      <c r="M315" s="175">
        <f>+K315+L315</f>
        <v>38110</v>
      </c>
      <c r="N315" s="226">
        <v>8</v>
      </c>
      <c r="O315" s="178">
        <f>+M315/N315</f>
        <v>4763.75</v>
      </c>
      <c r="P315" s="200"/>
    </row>
    <row r="316" spans="1:17" x14ac:dyDescent="0.25">
      <c r="A316" s="133"/>
      <c r="B316" s="195"/>
      <c r="C316" s="171"/>
      <c r="D316" s="176"/>
      <c r="E316" s="176"/>
      <c r="F316" s="226"/>
      <c r="G316" s="178"/>
      <c r="H316" s="200"/>
      <c r="I316" s="133"/>
      <c r="J316" s="195"/>
      <c r="K316" s="171"/>
      <c r="L316" s="176"/>
      <c r="M316" s="176"/>
      <c r="N316" s="226"/>
      <c r="O316" s="178"/>
      <c r="P316" s="200"/>
    </row>
    <row r="317" spans="1:17" x14ac:dyDescent="0.25">
      <c r="A317" s="133"/>
      <c r="B317" s="195"/>
      <c r="C317" s="232"/>
      <c r="D317" s="232"/>
      <c r="E317" s="232"/>
      <c r="F317" s="226"/>
      <c r="G317" s="229"/>
      <c r="H317" s="200"/>
      <c r="I317" s="133"/>
      <c r="J317" s="195"/>
      <c r="K317" s="232"/>
      <c r="L317" s="232"/>
      <c r="M317" s="232"/>
      <c r="N317" s="226"/>
      <c r="O317" s="229"/>
      <c r="P317" s="200"/>
    </row>
    <row r="318" spans="1:17" ht="15.75" thickBot="1" x14ac:dyDescent="0.3">
      <c r="A318" s="133"/>
      <c r="B318" s="195"/>
      <c r="C318" s="232"/>
      <c r="D318" s="232"/>
      <c r="E318" s="232"/>
      <c r="F318" s="226"/>
      <c r="G318" s="229"/>
      <c r="H318" s="200"/>
      <c r="I318" s="133"/>
      <c r="J318" s="195"/>
      <c r="K318" s="232"/>
      <c r="L318" s="232"/>
      <c r="M318" s="232"/>
      <c r="N318" s="226"/>
      <c r="O318" s="229"/>
      <c r="P318" s="200"/>
    </row>
    <row r="319" spans="1:17" ht="15.75" thickBot="1" x14ac:dyDescent="0.3">
      <c r="A319" s="133"/>
      <c r="B319" s="251"/>
      <c r="C319" s="252"/>
      <c r="D319" s="252"/>
      <c r="E319" s="252"/>
      <c r="F319" s="253"/>
      <c r="G319" s="254"/>
      <c r="H319" s="256">
        <f>+SUM(G313:G319)</f>
        <v>10715.057692307691</v>
      </c>
      <c r="I319" s="133"/>
      <c r="J319" s="251"/>
      <c r="K319" s="252"/>
      <c r="L319" s="252"/>
      <c r="M319" s="252"/>
      <c r="N319" s="253"/>
      <c r="O319" s="254"/>
      <c r="P319" s="256">
        <f>+SUM(O313:O319)</f>
        <v>12422.75</v>
      </c>
    </row>
    <row r="320" spans="1:17" ht="15.75" thickBot="1" x14ac:dyDescent="0.3">
      <c r="A320" s="133"/>
      <c r="B320" s="8"/>
      <c r="C320" s="8"/>
      <c r="D320" s="8"/>
      <c r="E320" s="8"/>
      <c r="F320" s="133"/>
      <c r="G320" s="200"/>
      <c r="H320" s="200"/>
      <c r="I320" s="133"/>
      <c r="J320" s="8"/>
      <c r="K320" s="8"/>
      <c r="L320" s="8"/>
      <c r="M320" s="8"/>
      <c r="N320" s="8"/>
      <c r="O320" s="133"/>
      <c r="P320" s="200"/>
      <c r="Q320" s="200"/>
    </row>
    <row r="321" spans="1:17" ht="15.75" thickBot="1" x14ac:dyDescent="0.3">
      <c r="A321" s="133"/>
      <c r="B321" s="8"/>
      <c r="C321" s="8"/>
      <c r="D321" s="8"/>
      <c r="E321" s="223" t="s">
        <v>5415</v>
      </c>
      <c r="F321" s="133"/>
      <c r="G321" s="200"/>
      <c r="H321" s="256">
        <f>ROUND(+H319+H310+H302+H287,0)</f>
        <v>13725</v>
      </c>
      <c r="I321" s="133"/>
      <c r="J321" s="8"/>
      <c r="K321" s="8"/>
      <c r="L321" s="8"/>
      <c r="M321" s="223" t="s">
        <v>5415</v>
      </c>
      <c r="N321" s="223"/>
      <c r="O321" s="133"/>
      <c r="P321" s="256">
        <f>ROUND(+P319+P310+P302+P287,0)</f>
        <v>16500</v>
      </c>
    </row>
    <row r="326" spans="1:17" ht="18.75" x14ac:dyDescent="0.25">
      <c r="A326" s="133"/>
      <c r="B326" s="2506" t="s">
        <v>5400</v>
      </c>
      <c r="C326" s="2506"/>
      <c r="D326" s="2506"/>
      <c r="E326" s="2506"/>
      <c r="F326" s="2506"/>
      <c r="G326" s="2506"/>
      <c r="H326" s="8"/>
      <c r="I326" s="133"/>
      <c r="J326" s="2506" t="s">
        <v>5400</v>
      </c>
      <c r="K326" s="2506"/>
      <c r="L326" s="2506"/>
      <c r="M326" s="2506"/>
      <c r="N326" s="2506"/>
      <c r="O326" s="2506"/>
      <c r="P326" s="2506"/>
      <c r="Q326" s="8"/>
    </row>
    <row r="327" spans="1:17" x14ac:dyDescent="0.25">
      <c r="A327" s="133"/>
      <c r="B327" s="8"/>
      <c r="C327" s="8"/>
      <c r="D327" s="8"/>
      <c r="E327" s="8"/>
      <c r="F327" s="133"/>
      <c r="G327" s="200"/>
      <c r="H327" s="200"/>
      <c r="I327" s="133"/>
      <c r="J327" s="8"/>
      <c r="K327" s="8"/>
      <c r="L327" s="8"/>
      <c r="M327" s="8"/>
      <c r="N327" s="8"/>
      <c r="O327" s="133"/>
      <c r="P327" s="200"/>
      <c r="Q327" s="200"/>
    </row>
    <row r="328" spans="1:17" x14ac:dyDescent="0.25">
      <c r="A328" s="133"/>
      <c r="B328" s="8"/>
      <c r="C328" s="8"/>
      <c r="D328" s="8"/>
      <c r="E328" s="8"/>
      <c r="F328" s="133"/>
      <c r="G328" s="200"/>
      <c r="H328" s="200"/>
      <c r="I328" s="133"/>
      <c r="J328" s="8"/>
      <c r="K328" s="8"/>
      <c r="L328" s="8"/>
      <c r="M328" s="8"/>
      <c r="N328" s="8"/>
      <c r="O328" s="133"/>
      <c r="P328" s="200"/>
      <c r="Q328" s="200"/>
    </row>
    <row r="329" spans="1:17" x14ac:dyDescent="0.25">
      <c r="A329" s="133"/>
      <c r="B329" s="8"/>
      <c r="C329" s="8"/>
      <c r="D329" s="8"/>
      <c r="E329" s="8"/>
      <c r="F329" s="133"/>
      <c r="G329" s="200"/>
      <c r="H329" s="200"/>
      <c r="I329" s="133"/>
      <c r="J329" s="8"/>
      <c r="K329" s="8"/>
      <c r="L329" s="8"/>
      <c r="M329" s="8"/>
      <c r="N329" s="8"/>
      <c r="O329" s="133"/>
      <c r="P329" s="200"/>
      <c r="Q329" s="200"/>
    </row>
    <row r="330" spans="1:17" ht="15" customHeight="1" x14ac:dyDescent="0.25">
      <c r="A330" s="220" t="s">
        <v>5482</v>
      </c>
      <c r="B330" s="221" t="s">
        <v>199</v>
      </c>
      <c r="C330" s="2449" t="s">
        <v>5886</v>
      </c>
      <c r="D330" s="2449"/>
      <c r="E330" s="2449"/>
      <c r="F330" s="220" t="s">
        <v>867</v>
      </c>
      <c r="G330" s="222" t="s">
        <v>5402</v>
      </c>
      <c r="H330" s="200"/>
      <c r="I330" s="220" t="s">
        <v>5482</v>
      </c>
      <c r="J330" s="221" t="s">
        <v>199</v>
      </c>
      <c r="K330" s="2449" t="s">
        <v>5887</v>
      </c>
      <c r="L330" s="2449"/>
      <c r="M330" s="2449"/>
      <c r="N330" s="220" t="s">
        <v>867</v>
      </c>
      <c r="O330" s="222" t="s">
        <v>5402</v>
      </c>
      <c r="P330" s="200"/>
    </row>
    <row r="331" spans="1:17" x14ac:dyDescent="0.25">
      <c r="A331" s="133"/>
      <c r="B331" s="8"/>
      <c r="C331" s="223"/>
      <c r="D331" s="223"/>
      <c r="E331" s="223"/>
      <c r="F331" s="133"/>
      <c r="G331" s="200"/>
      <c r="H331" s="200"/>
      <c r="I331" s="133"/>
      <c r="J331" s="8"/>
      <c r="K331" s="223"/>
      <c r="L331" s="223"/>
      <c r="M331" s="223"/>
      <c r="N331" s="223"/>
      <c r="O331" s="133"/>
      <c r="P331" s="200"/>
      <c r="Q331" s="200"/>
    </row>
    <row r="332" spans="1:17" x14ac:dyDescent="0.25">
      <c r="A332" s="133"/>
      <c r="B332" s="8"/>
      <c r="C332" s="8"/>
      <c r="D332" s="8"/>
      <c r="E332" s="8"/>
      <c r="F332" s="8"/>
      <c r="G332" s="8"/>
      <c r="H332" s="200"/>
      <c r="I332" s="133"/>
      <c r="J332" s="8"/>
      <c r="K332" s="8"/>
      <c r="L332" s="8"/>
      <c r="M332" s="8"/>
      <c r="N332" s="8"/>
      <c r="O332" s="8"/>
      <c r="P332" s="8"/>
      <c r="Q332" s="200"/>
    </row>
    <row r="333" spans="1:17" ht="15.75" thickBot="1" x14ac:dyDescent="0.3">
      <c r="A333" s="133"/>
      <c r="B333" s="8"/>
      <c r="C333" s="8"/>
      <c r="D333" s="8"/>
      <c r="E333" s="8"/>
      <c r="F333" s="133"/>
      <c r="G333" s="200"/>
      <c r="H333" s="200"/>
      <c r="I333" s="133"/>
      <c r="J333" s="8"/>
      <c r="K333" s="8"/>
      <c r="L333" s="8"/>
      <c r="M333" s="8"/>
      <c r="N333" s="8"/>
      <c r="O333" s="133"/>
      <c r="P333" s="200"/>
      <c r="Q333" s="200"/>
    </row>
    <row r="334" spans="1:17" ht="15.75" thickBot="1" x14ac:dyDescent="0.3">
      <c r="A334" s="133"/>
      <c r="B334" s="224" t="s">
        <v>5403</v>
      </c>
      <c r="C334" s="193" t="s">
        <v>867</v>
      </c>
      <c r="D334" s="193" t="s">
        <v>6</v>
      </c>
      <c r="E334" s="193" t="s">
        <v>5439</v>
      </c>
      <c r="F334" s="193" t="s">
        <v>5405</v>
      </c>
      <c r="G334" s="225" t="s">
        <v>868</v>
      </c>
      <c r="H334" s="200"/>
      <c r="I334" s="133"/>
      <c r="J334" s="224" t="s">
        <v>5403</v>
      </c>
      <c r="K334" s="193" t="s">
        <v>867</v>
      </c>
      <c r="L334" s="193" t="s">
        <v>6</v>
      </c>
      <c r="M334" s="193" t="s">
        <v>5439</v>
      </c>
      <c r="N334" s="193" t="s">
        <v>5405</v>
      </c>
      <c r="O334" s="225" t="s">
        <v>868</v>
      </c>
      <c r="P334" s="200"/>
    </row>
    <row r="335" spans="1:17" x14ac:dyDescent="0.25">
      <c r="A335" s="133"/>
      <c r="B335" s="195" t="s">
        <v>5440</v>
      </c>
      <c r="C335" s="226" t="s">
        <v>5402</v>
      </c>
      <c r="D335" s="226">
        <v>1</v>
      </c>
      <c r="E335" s="227">
        <f>+H373</f>
        <v>14047.666666666668</v>
      </c>
      <c r="F335" s="226">
        <v>0.05</v>
      </c>
      <c r="G335" s="229">
        <f>+E335*F335</f>
        <v>702.38333333333344</v>
      </c>
      <c r="H335" s="200"/>
      <c r="I335" s="133"/>
      <c r="J335" s="195" t="s">
        <v>5440</v>
      </c>
      <c r="K335" s="226" t="s">
        <v>5402</v>
      </c>
      <c r="L335" s="226">
        <v>1</v>
      </c>
      <c r="M335" s="228">
        <f>+P373</f>
        <v>15953.166666666668</v>
      </c>
      <c r="N335" s="226">
        <v>0.05</v>
      </c>
      <c r="O335" s="229">
        <f>+M335*N335</f>
        <v>797.65833333333342</v>
      </c>
      <c r="P335" s="200"/>
    </row>
    <row r="336" spans="1:17" x14ac:dyDescent="0.25">
      <c r="A336" s="133"/>
      <c r="B336" s="195" t="s">
        <v>6048</v>
      </c>
      <c r="C336" s="226" t="s">
        <v>5402</v>
      </c>
      <c r="D336" s="226">
        <v>1</v>
      </c>
      <c r="E336" s="230">
        <v>50000</v>
      </c>
      <c r="F336" s="226">
        <v>0.02</v>
      </c>
      <c r="G336" s="229">
        <f>+E336*F336</f>
        <v>1000</v>
      </c>
      <c r="H336" s="200"/>
      <c r="I336" s="133"/>
      <c r="J336" s="195" t="s">
        <v>6048</v>
      </c>
      <c r="K336" s="226" t="s">
        <v>5402</v>
      </c>
      <c r="L336" s="226">
        <v>1</v>
      </c>
      <c r="M336" s="228">
        <v>50000</v>
      </c>
      <c r="N336" s="226">
        <v>0.02</v>
      </c>
      <c r="O336" s="229">
        <f>+M336*N336</f>
        <v>1000</v>
      </c>
      <c r="P336" s="200"/>
    </row>
    <row r="337" spans="1:16" x14ac:dyDescent="0.25">
      <c r="A337" s="133"/>
      <c r="B337" s="195"/>
      <c r="C337" s="226"/>
      <c r="D337" s="226"/>
      <c r="E337" s="176"/>
      <c r="F337" s="226"/>
      <c r="G337" s="229"/>
      <c r="H337" s="200"/>
      <c r="I337" s="133"/>
      <c r="J337" s="195"/>
      <c r="K337" s="226"/>
      <c r="L337" s="226"/>
      <c r="M337" s="176"/>
      <c r="N337" s="226"/>
      <c r="O337" s="229"/>
      <c r="P337" s="200"/>
    </row>
    <row r="338" spans="1:16" x14ac:dyDescent="0.25">
      <c r="A338" s="133"/>
      <c r="B338" s="195"/>
      <c r="C338" s="226"/>
      <c r="D338" s="226"/>
      <c r="E338" s="171"/>
      <c r="F338" s="226"/>
      <c r="G338" s="231"/>
      <c r="H338" s="200"/>
      <c r="I338" s="133"/>
      <c r="J338" s="195"/>
      <c r="K338" s="226"/>
      <c r="L338" s="226"/>
      <c r="M338" s="171"/>
      <c r="N338" s="226"/>
      <c r="O338" s="231"/>
      <c r="P338" s="200"/>
    </row>
    <row r="339" spans="1:16" x14ac:dyDescent="0.25">
      <c r="A339" s="133"/>
      <c r="B339" s="195"/>
      <c r="C339" s="226"/>
      <c r="D339" s="232"/>
      <c r="E339" s="232"/>
      <c r="F339" s="226"/>
      <c r="G339" s="229"/>
      <c r="H339" s="200"/>
      <c r="I339" s="133"/>
      <c r="J339" s="195"/>
      <c r="K339" s="226"/>
      <c r="L339" s="232"/>
      <c r="M339" s="232"/>
      <c r="N339" s="226"/>
      <c r="O339" s="229"/>
      <c r="P339" s="200"/>
    </row>
    <row r="340" spans="1:16" ht="15.75" thickBot="1" x14ac:dyDescent="0.3">
      <c r="A340" s="133"/>
      <c r="B340" s="195"/>
      <c r="C340" s="226"/>
      <c r="D340" s="232"/>
      <c r="E340" s="232"/>
      <c r="F340" s="226"/>
      <c r="G340" s="229"/>
      <c r="H340" s="200"/>
      <c r="I340" s="133"/>
      <c r="J340" s="195"/>
      <c r="K340" s="226"/>
      <c r="L340" s="232"/>
      <c r="M340" s="232"/>
      <c r="N340" s="226"/>
      <c r="O340" s="229"/>
      <c r="P340" s="200"/>
    </row>
    <row r="341" spans="1:16" ht="15.75" thickBot="1" x14ac:dyDescent="0.3">
      <c r="A341" s="133"/>
      <c r="B341" s="233"/>
      <c r="C341" s="234"/>
      <c r="D341" s="234"/>
      <c r="E341" s="234"/>
      <c r="F341" s="235"/>
      <c r="G341" s="236"/>
      <c r="H341" s="237">
        <f>+SUM(G335:G341)</f>
        <v>1702.3833333333334</v>
      </c>
      <c r="I341" s="133"/>
      <c r="J341" s="233"/>
      <c r="K341" s="234"/>
      <c r="L341" s="234"/>
      <c r="M341" s="234"/>
      <c r="N341" s="235"/>
      <c r="O341" s="236"/>
      <c r="P341" s="237">
        <f>+SUM(O335:O341)</f>
        <v>1797.6583333333333</v>
      </c>
    </row>
    <row r="342" spans="1:16" ht="15.75" thickBot="1" x14ac:dyDescent="0.3">
      <c r="A342" s="133"/>
      <c r="B342" s="238"/>
      <c r="C342" s="238"/>
      <c r="D342" s="238"/>
      <c r="E342" s="238"/>
      <c r="F342" s="239"/>
      <c r="G342" s="240"/>
      <c r="H342" s="241"/>
      <c r="I342" s="133"/>
      <c r="J342" s="238"/>
      <c r="K342" s="238"/>
      <c r="L342" s="238"/>
      <c r="M342" s="238"/>
      <c r="N342" s="239"/>
      <c r="O342" s="240"/>
      <c r="P342" s="241"/>
    </row>
    <row r="343" spans="1:16" ht="15.75" thickBot="1" x14ac:dyDescent="0.3">
      <c r="A343" s="133"/>
      <c r="B343" s="224" t="s">
        <v>5408</v>
      </c>
      <c r="C343" s="193" t="s">
        <v>867</v>
      </c>
      <c r="D343" s="193" t="s">
        <v>6</v>
      </c>
      <c r="E343" s="193" t="s">
        <v>870</v>
      </c>
      <c r="F343" s="193" t="s">
        <v>5409</v>
      </c>
      <c r="G343" s="225" t="s">
        <v>868</v>
      </c>
      <c r="H343" s="200"/>
      <c r="I343" s="133"/>
      <c r="J343" s="224" t="s">
        <v>5408</v>
      </c>
      <c r="K343" s="193" t="s">
        <v>867</v>
      </c>
      <c r="L343" s="193" t="s">
        <v>6</v>
      </c>
      <c r="M343" s="193" t="s">
        <v>870</v>
      </c>
      <c r="N343" s="193" t="s">
        <v>5409</v>
      </c>
      <c r="O343" s="225" t="s">
        <v>868</v>
      </c>
      <c r="P343" s="200"/>
    </row>
    <row r="344" spans="1:16" x14ac:dyDescent="0.25">
      <c r="A344" s="133"/>
      <c r="B344" s="289" t="s">
        <v>6053</v>
      </c>
      <c r="C344" s="226" t="s">
        <v>5486</v>
      </c>
      <c r="D344" s="226">
        <f>1/12</f>
        <v>8.3333333333333329E-2</v>
      </c>
      <c r="E344" s="171">
        <f>12131*1.16</f>
        <v>14071.96</v>
      </c>
      <c r="F344" s="169">
        <v>0.05</v>
      </c>
      <c r="G344" s="178">
        <f>+D344*E344*(1+F344)</f>
        <v>1231.2964999999999</v>
      </c>
      <c r="H344" s="200"/>
      <c r="I344" s="133"/>
      <c r="J344" s="289" t="s">
        <v>6053</v>
      </c>
      <c r="K344" s="226" t="s">
        <v>5486</v>
      </c>
      <c r="L344" s="226">
        <f>1/10</f>
        <v>0.1</v>
      </c>
      <c r="M344" s="171">
        <f>12131*1.16</f>
        <v>14071.96</v>
      </c>
      <c r="N344" s="169">
        <v>0.05</v>
      </c>
      <c r="O344" s="178">
        <f>+L344*M344*(1+N344)</f>
        <v>1477.5557999999999</v>
      </c>
      <c r="P344" s="200"/>
    </row>
    <row r="345" spans="1:16" x14ac:dyDescent="0.25">
      <c r="A345" s="133"/>
      <c r="B345" s="448" t="s">
        <v>5755</v>
      </c>
      <c r="C345" s="226" t="s">
        <v>5487</v>
      </c>
      <c r="D345" s="202">
        <f>+L291*D346/L292</f>
        <v>4022.8999999999987</v>
      </c>
      <c r="E345" s="257">
        <v>0.65</v>
      </c>
      <c r="F345" s="169">
        <v>0.05</v>
      </c>
      <c r="G345" s="178">
        <f>+D345*E345*(1+F345)</f>
        <v>2745.6292499999995</v>
      </c>
      <c r="H345" s="200"/>
      <c r="I345" s="133"/>
      <c r="J345" s="448" t="s">
        <v>5755</v>
      </c>
      <c r="K345" s="226" t="s">
        <v>5487</v>
      </c>
      <c r="L345" s="202">
        <f>+D345*L346/D346</f>
        <v>5254.4</v>
      </c>
      <c r="M345" s="257">
        <v>0.65</v>
      </c>
      <c r="N345" s="169">
        <v>0.05</v>
      </c>
      <c r="O345" s="178">
        <f>+L345*M345*(1+N345)</f>
        <v>3586.1279999999997</v>
      </c>
      <c r="P345" s="200"/>
    </row>
    <row r="346" spans="1:16" x14ac:dyDescent="0.25">
      <c r="A346" s="133"/>
      <c r="B346" s="448" t="s">
        <v>5553</v>
      </c>
      <c r="C346" s="226" t="s">
        <v>5488</v>
      </c>
      <c r="D346" s="226">
        <f>+PI()*0.175^2*1000</f>
        <v>96.2112750161874</v>
      </c>
      <c r="E346" s="171">
        <v>5</v>
      </c>
      <c r="F346" s="169">
        <v>0.1</v>
      </c>
      <c r="G346" s="178">
        <f>+D346*E346*(1+F346)</f>
        <v>529.16201258903072</v>
      </c>
      <c r="H346" s="200"/>
      <c r="I346" s="133"/>
      <c r="J346" s="448" t="s">
        <v>5553</v>
      </c>
      <c r="K346" s="226" t="s">
        <v>5488</v>
      </c>
      <c r="L346" s="226">
        <f>+PI()*0.2^2*1000</f>
        <v>125.66370614359174</v>
      </c>
      <c r="M346" s="334">
        <v>5</v>
      </c>
      <c r="N346" s="169">
        <v>0.1</v>
      </c>
      <c r="O346" s="178">
        <f>+L346*M346*(1+N346)</f>
        <v>691.15038378975453</v>
      </c>
      <c r="P346" s="200"/>
    </row>
    <row r="347" spans="1:16" x14ac:dyDescent="0.25">
      <c r="A347" s="133"/>
      <c r="B347" s="195"/>
      <c r="C347" s="226"/>
      <c r="D347" s="226"/>
      <c r="E347" s="171"/>
      <c r="F347" s="169"/>
      <c r="G347" s="178"/>
      <c r="H347" s="200"/>
      <c r="I347" s="133"/>
      <c r="J347" s="195"/>
      <c r="K347" s="226"/>
      <c r="L347" s="226"/>
      <c r="M347" s="176"/>
      <c r="N347" s="169"/>
      <c r="O347" s="178"/>
      <c r="P347" s="200"/>
    </row>
    <row r="348" spans="1:16" x14ac:dyDescent="0.25">
      <c r="A348" s="133"/>
      <c r="B348" s="195"/>
      <c r="C348" s="226"/>
      <c r="D348" s="226"/>
      <c r="E348" s="171"/>
      <c r="F348" s="169"/>
      <c r="G348" s="178"/>
      <c r="H348" s="200"/>
      <c r="I348" s="133"/>
      <c r="J348" s="195"/>
      <c r="K348" s="226"/>
      <c r="L348" s="226"/>
      <c r="M348" s="176"/>
      <c r="N348" s="169"/>
      <c r="O348" s="178"/>
      <c r="P348" s="200"/>
    </row>
    <row r="349" spans="1:16" x14ac:dyDescent="0.25">
      <c r="A349" s="133"/>
      <c r="B349" s="194"/>
      <c r="C349" s="202"/>
      <c r="D349" s="202"/>
      <c r="E349" s="171"/>
      <c r="F349" s="169"/>
      <c r="G349" s="178"/>
      <c r="H349" s="200"/>
      <c r="I349" s="133"/>
      <c r="J349" s="194"/>
      <c r="K349" s="202"/>
      <c r="L349" s="202"/>
      <c r="M349" s="176"/>
      <c r="N349" s="169"/>
      <c r="O349" s="178"/>
      <c r="P349" s="200"/>
    </row>
    <row r="350" spans="1:16" x14ac:dyDescent="0.25">
      <c r="A350" s="133"/>
      <c r="B350" s="195"/>
      <c r="C350" s="226"/>
      <c r="D350" s="226"/>
      <c r="E350" s="171"/>
      <c r="F350" s="169"/>
      <c r="G350" s="178"/>
      <c r="H350" s="200"/>
      <c r="I350" s="133"/>
      <c r="J350" s="195"/>
      <c r="K350" s="226"/>
      <c r="L350" s="226"/>
      <c r="M350" s="176"/>
      <c r="N350" s="169"/>
      <c r="O350" s="178"/>
      <c r="P350" s="200"/>
    </row>
    <row r="351" spans="1:16" x14ac:dyDescent="0.25">
      <c r="A351" s="133"/>
      <c r="B351" s="195"/>
      <c r="C351" s="226"/>
      <c r="D351" s="226"/>
      <c r="E351" s="171"/>
      <c r="F351" s="169"/>
      <c r="G351" s="178"/>
      <c r="H351" s="200"/>
      <c r="I351" s="133"/>
      <c r="J351" s="195"/>
      <c r="K351" s="226"/>
      <c r="L351" s="226"/>
      <c r="M351" s="176"/>
      <c r="N351" s="169"/>
      <c r="O351" s="178"/>
      <c r="P351" s="200"/>
    </row>
    <row r="352" spans="1:16" x14ac:dyDescent="0.25">
      <c r="A352" s="133"/>
      <c r="B352" s="195"/>
      <c r="C352" s="232"/>
      <c r="D352" s="232"/>
      <c r="E352" s="232"/>
      <c r="F352" s="226"/>
      <c r="G352" s="229"/>
      <c r="H352" s="200"/>
      <c r="I352" s="133"/>
      <c r="J352" s="195"/>
      <c r="K352" s="232"/>
      <c r="L352" s="232"/>
      <c r="M352" s="232"/>
      <c r="N352" s="226"/>
      <c r="O352" s="229"/>
      <c r="P352" s="200"/>
    </row>
    <row r="353" spans="1:16" x14ac:dyDescent="0.25">
      <c r="A353" s="133"/>
      <c r="B353" s="195"/>
      <c r="C353" s="232"/>
      <c r="D353" s="232"/>
      <c r="E353" s="232"/>
      <c r="F353" s="226"/>
      <c r="G353" s="229"/>
      <c r="H353" s="200"/>
      <c r="I353" s="133"/>
      <c r="J353" s="195"/>
      <c r="K353" s="232"/>
      <c r="L353" s="232"/>
      <c r="M353" s="232"/>
      <c r="N353" s="226"/>
      <c r="O353" s="229"/>
      <c r="P353" s="200"/>
    </row>
    <row r="354" spans="1:16" x14ac:dyDescent="0.25">
      <c r="A354" s="133"/>
      <c r="B354" s="195"/>
      <c r="C354" s="232"/>
      <c r="D354" s="232"/>
      <c r="E354" s="232"/>
      <c r="F354" s="226"/>
      <c r="G354" s="229"/>
      <c r="H354" s="200"/>
      <c r="I354" s="133"/>
      <c r="J354" s="195"/>
      <c r="K354" s="232"/>
      <c r="L354" s="232"/>
      <c r="M354" s="232"/>
      <c r="N354" s="226"/>
      <c r="O354" s="229"/>
      <c r="P354" s="200"/>
    </row>
    <row r="355" spans="1:16" ht="15.75" thickBot="1" x14ac:dyDescent="0.3">
      <c r="A355" s="133"/>
      <c r="B355" s="195"/>
      <c r="C355" s="232"/>
      <c r="D355" s="232"/>
      <c r="E355" s="232"/>
      <c r="F355" s="226"/>
      <c r="G355" s="229"/>
      <c r="H355" s="200"/>
      <c r="I355" s="133"/>
      <c r="J355" s="195"/>
      <c r="K355" s="232"/>
      <c r="L355" s="232"/>
      <c r="M355" s="232"/>
      <c r="N355" s="226"/>
      <c r="O355" s="229"/>
      <c r="P355" s="200"/>
    </row>
    <row r="356" spans="1:16" ht="15.75" thickBot="1" x14ac:dyDescent="0.3">
      <c r="A356" s="133"/>
      <c r="B356" s="233"/>
      <c r="C356" s="234"/>
      <c r="D356" s="234"/>
      <c r="E356" s="234"/>
      <c r="F356" s="235"/>
      <c r="G356" s="236"/>
      <c r="H356" s="256">
        <f>+SUM(G344:G356)</f>
        <v>4506.0877625890298</v>
      </c>
      <c r="I356" s="133"/>
      <c r="J356" s="233"/>
      <c r="K356" s="234"/>
      <c r="L356" s="234"/>
      <c r="M356" s="234"/>
      <c r="N356" s="235"/>
      <c r="O356" s="236"/>
      <c r="P356" s="256">
        <f>+SUM(O344:O356)</f>
        <v>5754.8341837897542</v>
      </c>
    </row>
    <row r="357" spans="1:16" ht="15.75" thickBot="1" x14ac:dyDescent="0.3">
      <c r="A357" s="133"/>
      <c r="B357" s="238"/>
      <c r="C357" s="238"/>
      <c r="D357" s="238"/>
      <c r="E357" s="238"/>
      <c r="F357" s="239"/>
      <c r="G357" s="240"/>
      <c r="H357" s="241"/>
      <c r="I357" s="133"/>
      <c r="J357" s="238"/>
      <c r="K357" s="238"/>
      <c r="L357" s="238"/>
      <c r="M357" s="238"/>
      <c r="N357" s="239"/>
      <c r="O357" s="240"/>
      <c r="P357" s="241"/>
    </row>
    <row r="358" spans="1:16" ht="15.75" thickBot="1" x14ac:dyDescent="0.3">
      <c r="A358" s="133"/>
      <c r="B358" s="224" t="s">
        <v>5410</v>
      </c>
      <c r="C358" s="193" t="s">
        <v>867</v>
      </c>
      <c r="D358" s="193" t="s">
        <v>6</v>
      </c>
      <c r="E358" s="193" t="s">
        <v>870</v>
      </c>
      <c r="F358" s="193" t="s">
        <v>5411</v>
      </c>
      <c r="G358" s="225" t="s">
        <v>868</v>
      </c>
      <c r="H358" s="200"/>
      <c r="I358" s="133"/>
      <c r="J358" s="224" t="s">
        <v>5410</v>
      </c>
      <c r="K358" s="193" t="s">
        <v>867</v>
      </c>
      <c r="L358" s="193" t="s">
        <v>6</v>
      </c>
      <c r="M358" s="193" t="s">
        <v>870</v>
      </c>
      <c r="N358" s="193" t="s">
        <v>5411</v>
      </c>
      <c r="O358" s="225" t="s">
        <v>868</v>
      </c>
      <c r="P358" s="200"/>
    </row>
    <row r="359" spans="1:16" x14ac:dyDescent="0.25">
      <c r="A359" s="133"/>
      <c r="B359" s="245"/>
      <c r="C359" s="202"/>
      <c r="D359" s="202"/>
      <c r="E359" s="175"/>
      <c r="F359" s="202"/>
      <c r="G359" s="203"/>
      <c r="H359" s="246"/>
      <c r="I359" s="133"/>
      <c r="J359" s="245"/>
      <c r="K359" s="202"/>
      <c r="L359" s="202"/>
      <c r="M359" s="175"/>
      <c r="N359" s="202"/>
      <c r="O359" s="203"/>
      <c r="P359" s="246"/>
    </row>
    <row r="360" spans="1:16" x14ac:dyDescent="0.25">
      <c r="A360" s="133"/>
      <c r="B360" s="247"/>
      <c r="C360" s="248"/>
      <c r="D360" s="248"/>
      <c r="E360" s="248"/>
      <c r="F360" s="202"/>
      <c r="G360" s="178"/>
      <c r="H360" s="200"/>
      <c r="I360" s="133"/>
      <c r="J360" s="247"/>
      <c r="K360" s="248"/>
      <c r="L360" s="248"/>
      <c r="M360" s="248"/>
      <c r="N360" s="202"/>
      <c r="O360" s="178"/>
      <c r="P360" s="200"/>
    </row>
    <row r="361" spans="1:16" x14ac:dyDescent="0.25">
      <c r="A361" s="133"/>
      <c r="B361" s="247"/>
      <c r="C361" s="232"/>
      <c r="D361" s="232"/>
      <c r="E361" s="232"/>
      <c r="F361" s="226"/>
      <c r="G361" s="229"/>
      <c r="H361" s="200"/>
      <c r="I361" s="133"/>
      <c r="J361" s="247"/>
      <c r="K361" s="232"/>
      <c r="L361" s="232"/>
      <c r="M361" s="232"/>
      <c r="N361" s="226"/>
      <c r="O361" s="229"/>
      <c r="P361" s="200"/>
    </row>
    <row r="362" spans="1:16" x14ac:dyDescent="0.25">
      <c r="A362" s="133"/>
      <c r="B362" s="194"/>
      <c r="C362" s="232"/>
      <c r="D362" s="232"/>
      <c r="E362" s="232"/>
      <c r="F362" s="226"/>
      <c r="G362" s="229"/>
      <c r="H362" s="200"/>
      <c r="I362" s="133"/>
      <c r="J362" s="194"/>
      <c r="K362" s="232"/>
      <c r="L362" s="232"/>
      <c r="M362" s="232"/>
      <c r="N362" s="226"/>
      <c r="O362" s="229"/>
      <c r="P362" s="200"/>
    </row>
    <row r="363" spans="1:16" ht="15.75" thickBot="1" x14ac:dyDescent="0.3">
      <c r="A363" s="133"/>
      <c r="B363" s="195"/>
      <c r="C363" s="232"/>
      <c r="D363" s="232"/>
      <c r="E363" s="232"/>
      <c r="F363" s="226"/>
      <c r="G363" s="229"/>
      <c r="H363" s="200"/>
      <c r="I363" s="133"/>
      <c r="J363" s="195"/>
      <c r="K363" s="232"/>
      <c r="L363" s="232"/>
      <c r="M363" s="232"/>
      <c r="N363" s="226"/>
      <c r="O363" s="229"/>
      <c r="P363" s="200"/>
    </row>
    <row r="364" spans="1:16" ht="15.75" thickBot="1" x14ac:dyDescent="0.3">
      <c r="A364" s="133"/>
      <c r="B364" s="233"/>
      <c r="C364" s="234"/>
      <c r="D364" s="234"/>
      <c r="E364" s="234"/>
      <c r="F364" s="235"/>
      <c r="G364" s="236"/>
      <c r="H364" s="237">
        <f>+SUM(G359:G364)</f>
        <v>0</v>
      </c>
      <c r="I364" s="133"/>
      <c r="J364" s="233"/>
      <c r="K364" s="234"/>
      <c r="L364" s="234"/>
      <c r="M364" s="234"/>
      <c r="N364" s="235"/>
      <c r="O364" s="236"/>
      <c r="P364" s="237">
        <f>+SUM(O359:O364)</f>
        <v>0</v>
      </c>
    </row>
    <row r="365" spans="1:16" ht="15.75" thickBot="1" x14ac:dyDescent="0.3">
      <c r="A365" s="133"/>
      <c r="B365" s="238"/>
      <c r="C365" s="238"/>
      <c r="D365" s="238"/>
      <c r="E365" s="238"/>
      <c r="F365" s="249"/>
      <c r="G365" s="250"/>
      <c r="H365" s="241"/>
      <c r="I365" s="133"/>
      <c r="J365" s="238"/>
      <c r="K365" s="238"/>
      <c r="L365" s="238"/>
      <c r="M365" s="238"/>
      <c r="N365" s="249"/>
      <c r="O365" s="250"/>
      <c r="P365" s="241"/>
    </row>
    <row r="366" spans="1:16" ht="15.75" thickBot="1" x14ac:dyDescent="0.3">
      <c r="A366" s="133"/>
      <c r="B366" s="224" t="s">
        <v>5412</v>
      </c>
      <c r="C366" s="193" t="s">
        <v>5420</v>
      </c>
      <c r="D366" s="193" t="s">
        <v>5421</v>
      </c>
      <c r="E366" s="193" t="s">
        <v>5413</v>
      </c>
      <c r="F366" s="193" t="s">
        <v>5405</v>
      </c>
      <c r="G366" s="225" t="s">
        <v>868</v>
      </c>
      <c r="H366" s="200"/>
      <c r="I366" s="133"/>
      <c r="J366" s="224" t="s">
        <v>5412</v>
      </c>
      <c r="K366" s="193" t="s">
        <v>5420</v>
      </c>
      <c r="L366" s="193" t="s">
        <v>5421</v>
      </c>
      <c r="M366" s="193" t="s">
        <v>5413</v>
      </c>
      <c r="N366" s="193" t="s">
        <v>5405</v>
      </c>
      <c r="O366" s="225" t="s">
        <v>868</v>
      </c>
      <c r="P366" s="200"/>
    </row>
    <row r="367" spans="1:16" x14ac:dyDescent="0.25">
      <c r="A367" s="133"/>
      <c r="B367" s="194" t="s">
        <v>5948</v>
      </c>
      <c r="C367" s="345">
        <v>70000</v>
      </c>
      <c r="D367" s="176">
        <f>+C367*0.85</f>
        <v>59500</v>
      </c>
      <c r="E367" s="176">
        <f>+C367+D367</f>
        <v>129500</v>
      </c>
      <c r="F367" s="204">
        <v>500</v>
      </c>
      <c r="G367" s="178">
        <f>+E367/F367</f>
        <v>259</v>
      </c>
      <c r="H367" s="200"/>
      <c r="I367" s="133"/>
      <c r="J367" s="194" t="s">
        <v>5948</v>
      </c>
      <c r="K367" s="345">
        <v>70000</v>
      </c>
      <c r="L367" s="176">
        <f>+K367*0.85</f>
        <v>59500</v>
      </c>
      <c r="M367" s="175">
        <f>+K367+L367</f>
        <v>129500</v>
      </c>
      <c r="N367" s="204">
        <v>500</v>
      </c>
      <c r="O367" s="178">
        <f>+M367/N367</f>
        <v>259</v>
      </c>
      <c r="P367" s="200"/>
    </row>
    <row r="368" spans="1:16" x14ac:dyDescent="0.25">
      <c r="A368" s="133"/>
      <c r="B368" s="194" t="s">
        <v>5651</v>
      </c>
      <c r="C368" s="345">
        <v>40000</v>
      </c>
      <c r="D368" s="176">
        <f>+C368*0.85</f>
        <v>34000</v>
      </c>
      <c r="E368" s="176">
        <f>+C368+D368</f>
        <v>74000</v>
      </c>
      <c r="F368" s="202">
        <v>12</v>
      </c>
      <c r="G368" s="178">
        <f>+E368/F368</f>
        <v>6166.666666666667</v>
      </c>
      <c r="H368" s="200"/>
      <c r="I368" s="133"/>
      <c r="J368" s="194" t="s">
        <v>5651</v>
      </c>
      <c r="K368" s="345">
        <v>40000</v>
      </c>
      <c r="L368" s="176">
        <f>+K368*0.85</f>
        <v>34000</v>
      </c>
      <c r="M368" s="175">
        <f>+K368+L368</f>
        <v>74000</v>
      </c>
      <c r="N368" s="202">
        <v>12</v>
      </c>
      <c r="O368" s="178">
        <f>+M368/N368</f>
        <v>6166.666666666667</v>
      </c>
      <c r="P368" s="200"/>
    </row>
    <row r="369" spans="1:17" x14ac:dyDescent="0.25">
      <c r="A369" s="133"/>
      <c r="B369" s="195" t="s">
        <v>5635</v>
      </c>
      <c r="C369" s="345">
        <v>20600</v>
      </c>
      <c r="D369" s="176">
        <f>+C369*0.85</f>
        <v>17510</v>
      </c>
      <c r="E369" s="176">
        <f>+C369+D369</f>
        <v>38110</v>
      </c>
      <c r="F369" s="226">
        <v>5</v>
      </c>
      <c r="G369" s="178">
        <f>+E369/F369</f>
        <v>7622</v>
      </c>
      <c r="H369" s="200"/>
      <c r="I369" s="133"/>
      <c r="J369" s="195" t="s">
        <v>5635</v>
      </c>
      <c r="K369" s="345">
        <v>20600</v>
      </c>
      <c r="L369" s="176">
        <f>+K369*0.85</f>
        <v>17510</v>
      </c>
      <c r="M369" s="175">
        <f>+K369+L369</f>
        <v>38110</v>
      </c>
      <c r="N369" s="226">
        <v>4</v>
      </c>
      <c r="O369" s="178">
        <f>+M369/N369</f>
        <v>9527.5</v>
      </c>
      <c r="P369" s="200"/>
    </row>
    <row r="370" spans="1:17" x14ac:dyDescent="0.25">
      <c r="A370" s="133"/>
      <c r="B370" s="195"/>
      <c r="C370" s="171"/>
      <c r="D370" s="176"/>
      <c r="E370" s="176"/>
      <c r="F370" s="226"/>
      <c r="G370" s="178"/>
      <c r="H370" s="200"/>
      <c r="I370" s="133"/>
      <c r="J370" s="195"/>
      <c r="K370" s="171"/>
      <c r="L370" s="176"/>
      <c r="M370" s="176"/>
      <c r="N370" s="226"/>
      <c r="O370" s="178"/>
      <c r="P370" s="200"/>
    </row>
    <row r="371" spans="1:17" x14ac:dyDescent="0.25">
      <c r="A371" s="133"/>
      <c r="B371" s="195"/>
      <c r="C371" s="232"/>
      <c r="D371" s="232"/>
      <c r="E371" s="232"/>
      <c r="F371" s="226"/>
      <c r="G371" s="229"/>
      <c r="H371" s="200"/>
      <c r="I371" s="133"/>
      <c r="J371" s="195"/>
      <c r="K371" s="232"/>
      <c r="L371" s="232"/>
      <c r="M371" s="232"/>
      <c r="N371" s="226"/>
      <c r="O371" s="229"/>
      <c r="P371" s="200"/>
    </row>
    <row r="372" spans="1:17" ht="15.75" thickBot="1" x14ac:dyDescent="0.3">
      <c r="A372" s="133"/>
      <c r="B372" s="195"/>
      <c r="C372" s="232"/>
      <c r="D372" s="232"/>
      <c r="E372" s="232"/>
      <c r="F372" s="226"/>
      <c r="G372" s="229"/>
      <c r="H372" s="200"/>
      <c r="I372" s="133"/>
      <c r="J372" s="195"/>
      <c r="K372" s="232"/>
      <c r="L372" s="232"/>
      <c r="M372" s="232"/>
      <c r="N372" s="226"/>
      <c r="O372" s="229"/>
      <c r="P372" s="200"/>
    </row>
    <row r="373" spans="1:17" ht="15.75" thickBot="1" x14ac:dyDescent="0.3">
      <c r="A373" s="133"/>
      <c r="B373" s="251"/>
      <c r="C373" s="252"/>
      <c r="D373" s="252"/>
      <c r="E373" s="252"/>
      <c r="F373" s="253"/>
      <c r="G373" s="254"/>
      <c r="H373" s="256">
        <f>+SUM(G367:G373)</f>
        <v>14047.666666666668</v>
      </c>
      <c r="I373" s="133"/>
      <c r="J373" s="251"/>
      <c r="K373" s="252"/>
      <c r="L373" s="252"/>
      <c r="M373" s="252"/>
      <c r="N373" s="253"/>
      <c r="O373" s="254"/>
      <c r="P373" s="256">
        <f>+SUM(O367:O373)</f>
        <v>15953.166666666668</v>
      </c>
    </row>
    <row r="374" spans="1:17" ht="15.75" thickBot="1" x14ac:dyDescent="0.3">
      <c r="A374" s="133"/>
      <c r="B374" s="8"/>
      <c r="C374" s="8"/>
      <c r="D374" s="8"/>
      <c r="E374" s="8"/>
      <c r="F374" s="133"/>
      <c r="G374" s="200"/>
      <c r="H374" s="200"/>
      <c r="I374" s="133"/>
      <c r="J374" s="8"/>
      <c r="K374" s="8"/>
      <c r="L374" s="8"/>
      <c r="M374" s="8"/>
      <c r="N374" s="8"/>
      <c r="O374" s="133"/>
      <c r="P374" s="200"/>
      <c r="Q374" s="200"/>
    </row>
    <row r="375" spans="1:17" ht="15.75" thickBot="1" x14ac:dyDescent="0.3">
      <c r="A375" s="133"/>
      <c r="B375" s="8"/>
      <c r="C375" s="8"/>
      <c r="D375" s="8"/>
      <c r="E375" s="223" t="s">
        <v>5415</v>
      </c>
      <c r="F375" s="133"/>
      <c r="G375" s="200"/>
      <c r="H375" s="256">
        <f>ROUND(+H373+H364+H356+H341,0)</f>
        <v>20256</v>
      </c>
      <c r="I375" s="133"/>
      <c r="J375" s="8"/>
      <c r="K375" s="8"/>
      <c r="L375" s="8"/>
      <c r="M375" s="223" t="s">
        <v>5415</v>
      </c>
      <c r="N375" s="223"/>
      <c r="O375" s="133"/>
      <c r="P375" s="256">
        <f>ROUND(+P373+P364+P356+P341,0)</f>
        <v>23506</v>
      </c>
    </row>
    <row r="380" spans="1:17" ht="18.75" x14ac:dyDescent="0.25">
      <c r="A380" s="133"/>
      <c r="B380" s="2506" t="s">
        <v>5400</v>
      </c>
      <c r="C380" s="2506"/>
      <c r="D380" s="2506"/>
      <c r="E380" s="2506"/>
      <c r="F380" s="2506"/>
      <c r="G380" s="2506"/>
      <c r="H380" s="8"/>
      <c r="I380" s="133"/>
      <c r="J380" s="2506" t="s">
        <v>5400</v>
      </c>
      <c r="K380" s="2506"/>
      <c r="L380" s="2506"/>
      <c r="M380" s="2506"/>
      <c r="N380" s="2506"/>
      <c r="O380" s="2506"/>
      <c r="P380" s="2506"/>
      <c r="Q380" s="8"/>
    </row>
    <row r="381" spans="1:17" x14ac:dyDescent="0.25">
      <c r="A381" s="133"/>
      <c r="B381" s="8"/>
      <c r="C381" s="8"/>
      <c r="D381" s="8"/>
      <c r="E381" s="8"/>
      <c r="F381" s="133"/>
      <c r="G381" s="200"/>
      <c r="H381" s="200"/>
      <c r="I381" s="133"/>
      <c r="J381" s="8"/>
      <c r="K381" s="8"/>
      <c r="L381" s="8"/>
      <c r="M381" s="8"/>
      <c r="N381" s="8"/>
      <c r="O381" s="133"/>
      <c r="P381" s="200"/>
      <c r="Q381" s="200"/>
    </row>
    <row r="382" spans="1:17" x14ac:dyDescent="0.25">
      <c r="A382" s="133"/>
      <c r="B382" s="8"/>
      <c r="C382" s="8"/>
      <c r="D382" s="8"/>
      <c r="E382" s="8"/>
      <c r="F382" s="133"/>
      <c r="G382" s="200"/>
      <c r="H382" s="200"/>
      <c r="I382" s="133"/>
      <c r="J382" s="8"/>
      <c r="K382" s="8"/>
      <c r="L382" s="8"/>
      <c r="M382" s="8"/>
      <c r="N382" s="8"/>
      <c r="O382" s="133"/>
      <c r="P382" s="200"/>
      <c r="Q382" s="200"/>
    </row>
    <row r="383" spans="1:17" x14ac:dyDescent="0.25">
      <c r="A383" s="133"/>
      <c r="B383" s="8"/>
      <c r="C383" s="8"/>
      <c r="D383" s="8"/>
      <c r="E383" s="8"/>
      <c r="F383" s="133"/>
      <c r="G383" s="200"/>
      <c r="H383" s="200"/>
      <c r="I383" s="133"/>
      <c r="J383" s="8"/>
      <c r="K383" s="8"/>
      <c r="L383" s="8"/>
      <c r="M383" s="8"/>
      <c r="N383" s="8"/>
      <c r="O383" s="133"/>
      <c r="P383" s="200"/>
      <c r="Q383" s="200"/>
    </row>
    <row r="384" spans="1:17" ht="15" customHeight="1" x14ac:dyDescent="0.25">
      <c r="A384" s="220" t="s">
        <v>5482</v>
      </c>
      <c r="B384" s="221" t="s">
        <v>200</v>
      </c>
      <c r="C384" s="2449" t="s">
        <v>5985</v>
      </c>
      <c r="D384" s="2449"/>
      <c r="E384" s="2449"/>
      <c r="F384" s="220" t="s">
        <v>867</v>
      </c>
      <c r="G384" s="222" t="s">
        <v>5402</v>
      </c>
      <c r="H384" s="200"/>
      <c r="I384" s="220" t="s">
        <v>5482</v>
      </c>
      <c r="J384" s="221" t="s">
        <v>200</v>
      </c>
      <c r="K384" s="2449" t="s">
        <v>5984</v>
      </c>
      <c r="L384" s="2449"/>
      <c r="M384" s="2449"/>
      <c r="N384" s="220" t="s">
        <v>867</v>
      </c>
      <c r="O384" s="222" t="s">
        <v>5402</v>
      </c>
      <c r="P384" s="200"/>
    </row>
    <row r="385" spans="1:17" x14ac:dyDescent="0.25">
      <c r="A385" s="133"/>
      <c r="B385" s="8"/>
      <c r="C385" s="223"/>
      <c r="D385" s="223"/>
      <c r="E385" s="223"/>
      <c r="F385" s="133"/>
      <c r="G385" s="200"/>
      <c r="H385" s="200"/>
      <c r="I385" s="133"/>
      <c r="J385" s="8"/>
      <c r="K385" s="223"/>
      <c r="L385" s="223"/>
      <c r="M385" s="223"/>
      <c r="N385" s="223"/>
      <c r="O385" s="133"/>
      <c r="P385" s="200"/>
      <c r="Q385" s="200"/>
    </row>
    <row r="386" spans="1:17" x14ac:dyDescent="0.25">
      <c r="A386" s="133"/>
      <c r="B386" s="8"/>
      <c r="C386" s="8"/>
      <c r="D386" s="8"/>
      <c r="E386" s="8"/>
      <c r="F386" s="8"/>
      <c r="G386" s="8"/>
      <c r="H386" s="200"/>
      <c r="I386" s="133"/>
      <c r="J386" s="8"/>
      <c r="K386" s="8"/>
      <c r="L386" s="8"/>
      <c r="M386" s="8"/>
      <c r="N386" s="8"/>
      <c r="O386" s="8"/>
      <c r="P386" s="8"/>
      <c r="Q386" s="200"/>
    </row>
    <row r="387" spans="1:17" ht="15.75" thickBot="1" x14ac:dyDescent="0.3">
      <c r="A387" s="133"/>
      <c r="B387" s="8"/>
      <c r="C387" s="8"/>
      <c r="D387" s="8"/>
      <c r="E387" s="8"/>
      <c r="F387" s="133"/>
      <c r="G387" s="200"/>
      <c r="H387" s="200"/>
      <c r="I387" s="133"/>
      <c r="J387" s="8"/>
      <c r="K387" s="8"/>
      <c r="L387" s="8"/>
      <c r="M387" s="8"/>
      <c r="N387" s="8"/>
      <c r="O387" s="133"/>
      <c r="P387" s="200"/>
      <c r="Q387" s="200"/>
    </row>
    <row r="388" spans="1:17" ht="15.75" thickBot="1" x14ac:dyDescent="0.3">
      <c r="A388" s="133"/>
      <c r="B388" s="224" t="s">
        <v>5403</v>
      </c>
      <c r="C388" s="193" t="s">
        <v>867</v>
      </c>
      <c r="D388" s="193" t="s">
        <v>6</v>
      </c>
      <c r="E388" s="193" t="s">
        <v>5439</v>
      </c>
      <c r="F388" s="193" t="s">
        <v>5405</v>
      </c>
      <c r="G388" s="225" t="s">
        <v>868</v>
      </c>
      <c r="H388" s="200"/>
      <c r="I388" s="133"/>
      <c r="J388" s="224" t="s">
        <v>5403</v>
      </c>
      <c r="K388" s="193" t="s">
        <v>867</v>
      </c>
      <c r="L388" s="193" t="s">
        <v>6</v>
      </c>
      <c r="M388" s="193" t="s">
        <v>5439</v>
      </c>
      <c r="N388" s="193" t="s">
        <v>5405</v>
      </c>
      <c r="O388" s="225" t="s">
        <v>868</v>
      </c>
      <c r="P388" s="200"/>
    </row>
    <row r="389" spans="1:17" x14ac:dyDescent="0.25">
      <c r="A389" s="133"/>
      <c r="B389" s="195" t="s">
        <v>5440</v>
      </c>
      <c r="C389" s="226" t="s">
        <v>5402</v>
      </c>
      <c r="D389" s="226">
        <v>1</v>
      </c>
      <c r="E389" s="227">
        <f>+H427</f>
        <v>18008.722222222223</v>
      </c>
      <c r="F389" s="226">
        <v>0.05</v>
      </c>
      <c r="G389" s="229">
        <f>+E389*F389</f>
        <v>900.43611111111113</v>
      </c>
      <c r="H389" s="200"/>
      <c r="I389" s="133"/>
      <c r="J389" s="195" t="s">
        <v>5440</v>
      </c>
      <c r="K389" s="226" t="s">
        <v>5402</v>
      </c>
      <c r="L389" s="226">
        <v>1</v>
      </c>
      <c r="M389" s="228">
        <f>+P427</f>
        <v>22277.083333333336</v>
      </c>
      <c r="N389" s="226">
        <v>0.05</v>
      </c>
      <c r="O389" s="229">
        <f>+M389*N389</f>
        <v>1113.8541666666667</v>
      </c>
      <c r="P389" s="200"/>
    </row>
    <row r="390" spans="1:17" x14ac:dyDescent="0.25">
      <c r="A390" s="133"/>
      <c r="B390" s="195" t="s">
        <v>6048</v>
      </c>
      <c r="C390" s="226" t="s">
        <v>5402</v>
      </c>
      <c r="D390" s="226">
        <v>1</v>
      </c>
      <c r="E390" s="449">
        <v>50000</v>
      </c>
      <c r="F390" s="226">
        <v>0.02</v>
      </c>
      <c r="G390" s="229">
        <f>+E390*F390</f>
        <v>1000</v>
      </c>
      <c r="H390" s="200"/>
      <c r="I390" s="133"/>
      <c r="J390" s="195" t="s">
        <v>6048</v>
      </c>
      <c r="K390" s="226" t="s">
        <v>5402</v>
      </c>
      <c r="L390" s="226">
        <v>1</v>
      </c>
      <c r="M390" s="449">
        <v>50000</v>
      </c>
      <c r="N390" s="226">
        <v>0.02</v>
      </c>
      <c r="O390" s="229">
        <f>+M390*N390</f>
        <v>1000</v>
      </c>
      <c r="P390" s="200"/>
    </row>
    <row r="391" spans="1:17" x14ac:dyDescent="0.25">
      <c r="A391" s="133"/>
      <c r="B391" s="195" t="s">
        <v>6052</v>
      </c>
      <c r="C391" s="226" t="s">
        <v>5402</v>
      </c>
      <c r="D391" s="226">
        <v>1</v>
      </c>
      <c r="E391" s="230">
        <v>120000</v>
      </c>
      <c r="F391" s="226">
        <v>100</v>
      </c>
      <c r="G391" s="229">
        <f>+D391*E391/F391</f>
        <v>1200</v>
      </c>
      <c r="H391" s="200"/>
      <c r="I391" s="133"/>
      <c r="J391" s="195" t="s">
        <v>6052</v>
      </c>
      <c r="K391" s="226" t="s">
        <v>5402</v>
      </c>
      <c r="L391" s="226">
        <v>1</v>
      </c>
      <c r="M391" s="228">
        <v>120000</v>
      </c>
      <c r="N391" s="226">
        <v>80</v>
      </c>
      <c r="O391" s="229">
        <f>+M391/N391</f>
        <v>1500</v>
      </c>
      <c r="P391" s="200"/>
    </row>
    <row r="392" spans="1:17" x14ac:dyDescent="0.25">
      <c r="A392" s="133"/>
      <c r="B392" s="195"/>
      <c r="C392" s="226"/>
      <c r="D392" s="226"/>
      <c r="E392" s="171"/>
      <c r="F392" s="226"/>
      <c r="G392" s="231"/>
      <c r="H392" s="200"/>
      <c r="I392" s="133"/>
      <c r="J392" s="195"/>
      <c r="K392" s="226"/>
      <c r="L392" s="226"/>
      <c r="M392" s="171"/>
      <c r="N392" s="226"/>
      <c r="O392" s="231"/>
      <c r="P392" s="200"/>
    </row>
    <row r="393" spans="1:17" x14ac:dyDescent="0.25">
      <c r="A393" s="133"/>
      <c r="B393" s="195"/>
      <c r="C393" s="226"/>
      <c r="D393" s="232"/>
      <c r="E393" s="232"/>
      <c r="F393" s="226"/>
      <c r="G393" s="229"/>
      <c r="H393" s="200"/>
      <c r="I393" s="133"/>
      <c r="J393" s="195"/>
      <c r="K393" s="226"/>
      <c r="L393" s="232"/>
      <c r="M393" s="232"/>
      <c r="N393" s="226"/>
      <c r="O393" s="229"/>
      <c r="P393" s="200"/>
    </row>
    <row r="394" spans="1:17" ht="15.75" thickBot="1" x14ac:dyDescent="0.3">
      <c r="A394" s="133"/>
      <c r="B394" s="195"/>
      <c r="C394" s="226"/>
      <c r="D394" s="232"/>
      <c r="E394" s="232"/>
      <c r="F394" s="226"/>
      <c r="G394" s="229"/>
      <c r="H394" s="200"/>
      <c r="I394" s="133"/>
      <c r="J394" s="195"/>
      <c r="K394" s="226"/>
      <c r="L394" s="232"/>
      <c r="M394" s="232"/>
      <c r="N394" s="226"/>
      <c r="O394" s="229"/>
      <c r="P394" s="200"/>
    </row>
    <row r="395" spans="1:17" ht="15.75" thickBot="1" x14ac:dyDescent="0.3">
      <c r="A395" s="133"/>
      <c r="B395" s="233"/>
      <c r="C395" s="234"/>
      <c r="D395" s="234"/>
      <c r="E395" s="234"/>
      <c r="F395" s="235"/>
      <c r="G395" s="236"/>
      <c r="H395" s="237">
        <f>+SUM(G389:G395)</f>
        <v>3100.4361111111111</v>
      </c>
      <c r="I395" s="133"/>
      <c r="J395" s="233"/>
      <c r="K395" s="234"/>
      <c r="L395" s="234"/>
      <c r="M395" s="234"/>
      <c r="N395" s="235"/>
      <c r="O395" s="236"/>
      <c r="P395" s="237">
        <f>+SUM(O389:O395)</f>
        <v>3613.854166666667</v>
      </c>
    </row>
    <row r="396" spans="1:17" ht="15.75" thickBot="1" x14ac:dyDescent="0.3">
      <c r="A396" s="133"/>
      <c r="B396" s="238"/>
      <c r="C396" s="238"/>
      <c r="D396" s="238"/>
      <c r="E396" s="238"/>
      <c r="F396" s="239"/>
      <c r="G396" s="240"/>
      <c r="H396" s="241"/>
      <c r="I396" s="133"/>
      <c r="J396" s="238"/>
      <c r="K396" s="238"/>
      <c r="L396" s="238"/>
      <c r="M396" s="238"/>
      <c r="N396" s="239"/>
      <c r="O396" s="240"/>
      <c r="P396" s="241"/>
    </row>
    <row r="397" spans="1:17" ht="15.75" thickBot="1" x14ac:dyDescent="0.3">
      <c r="A397" s="133"/>
      <c r="B397" s="224" t="s">
        <v>5408</v>
      </c>
      <c r="C397" s="193" t="s">
        <v>867</v>
      </c>
      <c r="D397" s="193" t="s">
        <v>6</v>
      </c>
      <c r="E397" s="193" t="s">
        <v>870</v>
      </c>
      <c r="F397" s="193" t="s">
        <v>5409</v>
      </c>
      <c r="G397" s="225" t="s">
        <v>868</v>
      </c>
      <c r="H397" s="200"/>
      <c r="I397" s="133"/>
      <c r="J397" s="224" t="s">
        <v>5408</v>
      </c>
      <c r="K397" s="193" t="s">
        <v>867</v>
      </c>
      <c r="L397" s="193" t="s">
        <v>6</v>
      </c>
      <c r="M397" s="193" t="s">
        <v>870</v>
      </c>
      <c r="N397" s="193" t="s">
        <v>5409</v>
      </c>
      <c r="O397" s="225" t="s">
        <v>868</v>
      </c>
      <c r="P397" s="200"/>
    </row>
    <row r="398" spans="1:17" x14ac:dyDescent="0.25">
      <c r="A398" s="133"/>
      <c r="B398" s="289" t="s">
        <v>6053</v>
      </c>
      <c r="C398" s="226" t="s">
        <v>5486</v>
      </c>
      <c r="D398" s="226">
        <f>1/8</f>
        <v>0.125</v>
      </c>
      <c r="E398" s="171">
        <f>12131*1.16</f>
        <v>14071.96</v>
      </c>
      <c r="F398" s="169">
        <v>0.05</v>
      </c>
      <c r="G398" s="178">
        <f>+D398*E398*(1+F398)</f>
        <v>1846.9447499999999</v>
      </c>
      <c r="H398" s="200"/>
      <c r="I398" s="133"/>
      <c r="J398" s="289" t="s">
        <v>6053</v>
      </c>
      <c r="K398" s="226" t="s">
        <v>5486</v>
      </c>
      <c r="L398" s="226">
        <f>1/6</f>
        <v>0.16666666666666666</v>
      </c>
      <c r="M398" s="171">
        <f>12131*1.16</f>
        <v>14071.96</v>
      </c>
      <c r="N398" s="169">
        <v>0.05</v>
      </c>
      <c r="O398" s="178">
        <f>+L398*M398*(1+N398)</f>
        <v>2462.5929999999998</v>
      </c>
      <c r="P398" s="200"/>
    </row>
    <row r="399" spans="1:17" x14ac:dyDescent="0.25">
      <c r="A399" s="133"/>
      <c r="B399" s="448" t="s">
        <v>5755</v>
      </c>
      <c r="C399" s="226" t="s">
        <v>5487</v>
      </c>
      <c r="D399" s="202">
        <f>+L345*D400/L346</f>
        <v>6650.0999999999995</v>
      </c>
      <c r="E399" s="244">
        <v>0.65</v>
      </c>
      <c r="F399" s="169">
        <v>0.05</v>
      </c>
      <c r="G399" s="178">
        <f>+D399*E399*(1+F399)</f>
        <v>4538.6932499999994</v>
      </c>
      <c r="H399" s="200"/>
      <c r="I399" s="133"/>
      <c r="J399" s="448" t="s">
        <v>5755</v>
      </c>
      <c r="K399" s="226" t="s">
        <v>5487</v>
      </c>
      <c r="L399" s="202">
        <f>+D399*L400/D400</f>
        <v>8209.9999999999982</v>
      </c>
      <c r="M399" s="440">
        <v>0.65</v>
      </c>
      <c r="N399" s="169">
        <v>0.05</v>
      </c>
      <c r="O399" s="178">
        <f>+L399*M399*(1+N399)</f>
        <v>5603.3249999999989</v>
      </c>
      <c r="P399" s="200"/>
    </row>
    <row r="400" spans="1:17" x14ac:dyDescent="0.25">
      <c r="A400" s="133"/>
      <c r="B400" s="448" t="s">
        <v>5553</v>
      </c>
      <c r="C400" s="226" t="s">
        <v>5488</v>
      </c>
      <c r="D400" s="226">
        <f>+PI()*0.225^2*1000</f>
        <v>159.04312808798329</v>
      </c>
      <c r="E400" s="171">
        <v>5</v>
      </c>
      <c r="F400" s="169">
        <v>0.1</v>
      </c>
      <c r="G400" s="178">
        <f>+D400*E400*(1+F400)</f>
        <v>874.73720448390816</v>
      </c>
      <c r="H400" s="200"/>
      <c r="I400" s="133"/>
      <c r="J400" s="448" t="s">
        <v>5553</v>
      </c>
      <c r="K400" s="226" t="s">
        <v>5488</v>
      </c>
      <c r="L400" s="226">
        <f>+PI()*0.25^2*1000</f>
        <v>196.34954084936206</v>
      </c>
      <c r="M400" s="334">
        <v>5</v>
      </c>
      <c r="N400" s="169">
        <v>0.1</v>
      </c>
      <c r="O400" s="178">
        <f>+L400*M400*(1+N400)</f>
        <v>1079.9224746714913</v>
      </c>
      <c r="P400" s="200"/>
    </row>
    <row r="401" spans="1:16" x14ac:dyDescent="0.25">
      <c r="A401" s="133"/>
      <c r="B401" s="195"/>
      <c r="C401" s="226"/>
      <c r="D401" s="226"/>
      <c r="E401" s="171"/>
      <c r="F401" s="169"/>
      <c r="G401" s="178"/>
      <c r="H401" s="200"/>
      <c r="I401" s="133"/>
      <c r="J401" s="195"/>
      <c r="K401" s="226"/>
      <c r="L401" s="226"/>
      <c r="M401" s="176"/>
      <c r="N401" s="169"/>
      <c r="O401" s="178"/>
      <c r="P401" s="200"/>
    </row>
    <row r="402" spans="1:16" x14ac:dyDescent="0.25">
      <c r="A402" s="133"/>
      <c r="B402" s="195"/>
      <c r="C402" s="226"/>
      <c r="D402" s="226"/>
      <c r="E402" s="171"/>
      <c r="F402" s="169"/>
      <c r="G402" s="178"/>
      <c r="H402" s="200"/>
      <c r="I402" s="133"/>
      <c r="J402" s="195"/>
      <c r="K402" s="226"/>
      <c r="L402" s="226"/>
      <c r="M402" s="176"/>
      <c r="N402" s="169"/>
      <c r="O402" s="178"/>
      <c r="P402" s="200"/>
    </row>
    <row r="403" spans="1:16" x14ac:dyDescent="0.25">
      <c r="A403" s="133"/>
      <c r="B403" s="194"/>
      <c r="C403" s="202"/>
      <c r="D403" s="202"/>
      <c r="E403" s="171"/>
      <c r="F403" s="169"/>
      <c r="G403" s="178"/>
      <c r="H403" s="200"/>
      <c r="I403" s="133"/>
      <c r="J403" s="194"/>
      <c r="K403" s="202"/>
      <c r="L403" s="202"/>
      <c r="M403" s="176"/>
      <c r="N403" s="169"/>
      <c r="O403" s="178"/>
      <c r="P403" s="200"/>
    </row>
    <row r="404" spans="1:16" x14ac:dyDescent="0.25">
      <c r="A404" s="133"/>
      <c r="B404" s="195"/>
      <c r="C404" s="226"/>
      <c r="D404" s="226"/>
      <c r="E404" s="171"/>
      <c r="F404" s="169"/>
      <c r="G404" s="178"/>
      <c r="H404" s="200"/>
      <c r="I404" s="133"/>
      <c r="J404" s="195"/>
      <c r="K404" s="226"/>
      <c r="L404" s="226"/>
      <c r="M404" s="176"/>
      <c r="N404" s="169"/>
      <c r="O404" s="178"/>
      <c r="P404" s="200"/>
    </row>
    <row r="405" spans="1:16" x14ac:dyDescent="0.25">
      <c r="A405" s="133"/>
      <c r="B405" s="195"/>
      <c r="C405" s="226"/>
      <c r="D405" s="226"/>
      <c r="E405" s="171"/>
      <c r="F405" s="169"/>
      <c r="G405" s="178"/>
      <c r="H405" s="200"/>
      <c r="I405" s="133"/>
      <c r="J405" s="195"/>
      <c r="K405" s="226"/>
      <c r="L405" s="226"/>
      <c r="M405" s="176"/>
      <c r="N405" s="169"/>
      <c r="O405" s="178"/>
      <c r="P405" s="200"/>
    </row>
    <row r="406" spans="1:16" x14ac:dyDescent="0.25">
      <c r="A406" s="133"/>
      <c r="B406" s="195"/>
      <c r="C406" s="232"/>
      <c r="D406" s="232"/>
      <c r="E406" s="232"/>
      <c r="F406" s="226"/>
      <c r="G406" s="229"/>
      <c r="H406" s="200"/>
      <c r="I406" s="133"/>
      <c r="J406" s="195"/>
      <c r="K406" s="232"/>
      <c r="L406" s="232"/>
      <c r="M406" s="232"/>
      <c r="N406" s="226"/>
      <c r="O406" s="229"/>
      <c r="P406" s="200"/>
    </row>
    <row r="407" spans="1:16" x14ac:dyDescent="0.25">
      <c r="A407" s="133"/>
      <c r="B407" s="195"/>
      <c r="C407" s="232"/>
      <c r="D407" s="232"/>
      <c r="E407" s="232"/>
      <c r="F407" s="226"/>
      <c r="G407" s="229"/>
      <c r="H407" s="200"/>
      <c r="I407" s="133"/>
      <c r="J407" s="195"/>
      <c r="K407" s="232"/>
      <c r="L407" s="232"/>
      <c r="M407" s="232"/>
      <c r="N407" s="226"/>
      <c r="O407" s="229"/>
      <c r="P407" s="200"/>
    </row>
    <row r="408" spans="1:16" x14ac:dyDescent="0.25">
      <c r="A408" s="133"/>
      <c r="B408" s="195"/>
      <c r="C408" s="232"/>
      <c r="D408" s="232"/>
      <c r="E408" s="232"/>
      <c r="F408" s="226"/>
      <c r="G408" s="229"/>
      <c r="H408" s="200"/>
      <c r="I408" s="133"/>
      <c r="J408" s="195"/>
      <c r="K408" s="232"/>
      <c r="L408" s="232"/>
      <c r="M408" s="232"/>
      <c r="N408" s="226"/>
      <c r="O408" s="229"/>
      <c r="P408" s="200"/>
    </row>
    <row r="409" spans="1:16" ht="15.75" thickBot="1" x14ac:dyDescent="0.3">
      <c r="A409" s="133"/>
      <c r="B409" s="195"/>
      <c r="C409" s="232"/>
      <c r="D409" s="232"/>
      <c r="E409" s="232"/>
      <c r="F409" s="226"/>
      <c r="G409" s="229"/>
      <c r="H409" s="200"/>
      <c r="I409" s="133"/>
      <c r="J409" s="195"/>
      <c r="K409" s="232"/>
      <c r="L409" s="232"/>
      <c r="M409" s="232"/>
      <c r="N409" s="226"/>
      <c r="O409" s="229"/>
      <c r="P409" s="200"/>
    </row>
    <row r="410" spans="1:16" ht="15.75" thickBot="1" x14ac:dyDescent="0.3">
      <c r="A410" s="133"/>
      <c r="B410" s="233"/>
      <c r="C410" s="234"/>
      <c r="D410" s="234"/>
      <c r="E410" s="234"/>
      <c r="F410" s="235"/>
      <c r="G410" s="236"/>
      <c r="H410" s="256">
        <f>+SUM(G398:G410)</f>
        <v>7260.3752044839075</v>
      </c>
      <c r="I410" s="133"/>
      <c r="J410" s="233"/>
      <c r="K410" s="234"/>
      <c r="L410" s="234"/>
      <c r="M410" s="234"/>
      <c r="N410" s="235"/>
      <c r="O410" s="236"/>
      <c r="P410" s="256">
        <f>+SUM(O398:O410)</f>
        <v>9145.8404746714896</v>
      </c>
    </row>
    <row r="411" spans="1:16" ht="15.75" thickBot="1" x14ac:dyDescent="0.3">
      <c r="A411" s="133"/>
      <c r="B411" s="238"/>
      <c r="C411" s="238"/>
      <c r="D411" s="238"/>
      <c r="E411" s="238"/>
      <c r="F411" s="239"/>
      <c r="G411" s="240"/>
      <c r="H411" s="241"/>
      <c r="I411" s="133"/>
      <c r="J411" s="238"/>
      <c r="K411" s="238"/>
      <c r="L411" s="238"/>
      <c r="M411" s="238"/>
      <c r="N411" s="239"/>
      <c r="O411" s="240"/>
      <c r="P411" s="241"/>
    </row>
    <row r="412" spans="1:16" ht="15.75" thickBot="1" x14ac:dyDescent="0.3">
      <c r="A412" s="133"/>
      <c r="B412" s="224" t="s">
        <v>5410</v>
      </c>
      <c r="C412" s="193" t="s">
        <v>867</v>
      </c>
      <c r="D412" s="193" t="s">
        <v>6</v>
      </c>
      <c r="E412" s="193" t="s">
        <v>870</v>
      </c>
      <c r="F412" s="193" t="s">
        <v>5411</v>
      </c>
      <c r="G412" s="225" t="s">
        <v>868</v>
      </c>
      <c r="H412" s="200"/>
      <c r="I412" s="133"/>
      <c r="J412" s="224" t="s">
        <v>5410</v>
      </c>
      <c r="K412" s="193" t="s">
        <v>867</v>
      </c>
      <c r="L412" s="193" t="s">
        <v>6</v>
      </c>
      <c r="M412" s="193" t="s">
        <v>870</v>
      </c>
      <c r="N412" s="193" t="s">
        <v>5411</v>
      </c>
      <c r="O412" s="225" t="s">
        <v>868</v>
      </c>
      <c r="P412" s="200"/>
    </row>
    <row r="413" spans="1:16" x14ac:dyDescent="0.25">
      <c r="A413" s="133"/>
      <c r="B413" s="245"/>
      <c r="C413" s="202"/>
      <c r="D413" s="202"/>
      <c r="E413" s="175"/>
      <c r="F413" s="202"/>
      <c r="G413" s="203"/>
      <c r="H413" s="246"/>
      <c r="I413" s="133"/>
      <c r="J413" s="245"/>
      <c r="K413" s="202"/>
      <c r="L413" s="202"/>
      <c r="M413" s="175"/>
      <c r="N413" s="202"/>
      <c r="O413" s="203"/>
      <c r="P413" s="246"/>
    </row>
    <row r="414" spans="1:16" x14ac:dyDescent="0.25">
      <c r="A414" s="133"/>
      <c r="B414" s="247"/>
      <c r="C414" s="248"/>
      <c r="D414" s="248"/>
      <c r="E414" s="248"/>
      <c r="F414" s="202"/>
      <c r="G414" s="178"/>
      <c r="H414" s="200"/>
      <c r="I414" s="133"/>
      <c r="J414" s="247"/>
      <c r="K414" s="248"/>
      <c r="L414" s="248"/>
      <c r="M414" s="248"/>
      <c r="N414" s="202"/>
      <c r="O414" s="178"/>
      <c r="P414" s="200"/>
    </row>
    <row r="415" spans="1:16" x14ac:dyDescent="0.25">
      <c r="A415" s="133"/>
      <c r="B415" s="247"/>
      <c r="C415" s="232"/>
      <c r="D415" s="232"/>
      <c r="E415" s="232"/>
      <c r="F415" s="226"/>
      <c r="G415" s="229"/>
      <c r="H415" s="200"/>
      <c r="I415" s="133"/>
      <c r="J415" s="247"/>
      <c r="K415" s="232"/>
      <c r="L415" s="232"/>
      <c r="M415" s="232"/>
      <c r="N415" s="226"/>
      <c r="O415" s="229"/>
      <c r="P415" s="200"/>
    </row>
    <row r="416" spans="1:16" x14ac:dyDescent="0.25">
      <c r="A416" s="133"/>
      <c r="B416" s="194"/>
      <c r="C416" s="232"/>
      <c r="D416" s="232"/>
      <c r="E416" s="232"/>
      <c r="F416" s="226"/>
      <c r="G416" s="229"/>
      <c r="H416" s="200"/>
      <c r="I416" s="133"/>
      <c r="J416" s="194"/>
      <c r="K416" s="232"/>
      <c r="L416" s="232"/>
      <c r="M416" s="232"/>
      <c r="N416" s="226"/>
      <c r="O416" s="229"/>
      <c r="P416" s="200"/>
    </row>
    <row r="417" spans="1:17" ht="15.75" thickBot="1" x14ac:dyDescent="0.3">
      <c r="A417" s="133"/>
      <c r="B417" s="195"/>
      <c r="C417" s="232"/>
      <c r="D417" s="232"/>
      <c r="E417" s="232"/>
      <c r="F417" s="226"/>
      <c r="G417" s="229"/>
      <c r="H417" s="200"/>
      <c r="I417" s="133"/>
      <c r="J417" s="195"/>
      <c r="K417" s="232"/>
      <c r="L417" s="232"/>
      <c r="M417" s="232"/>
      <c r="N417" s="226"/>
      <c r="O417" s="229"/>
      <c r="P417" s="200"/>
    </row>
    <row r="418" spans="1:17" ht="15.75" thickBot="1" x14ac:dyDescent="0.3">
      <c r="A418" s="133"/>
      <c r="B418" s="233"/>
      <c r="C418" s="234"/>
      <c r="D418" s="234"/>
      <c r="E418" s="234"/>
      <c r="F418" s="235"/>
      <c r="G418" s="236"/>
      <c r="H418" s="237">
        <f>+SUM(G413:G418)</f>
        <v>0</v>
      </c>
      <c r="I418" s="133"/>
      <c r="J418" s="233"/>
      <c r="K418" s="234"/>
      <c r="L418" s="234"/>
      <c r="M418" s="234"/>
      <c r="N418" s="235"/>
      <c r="O418" s="236"/>
      <c r="P418" s="237">
        <f>+SUM(O413:O418)</f>
        <v>0</v>
      </c>
    </row>
    <row r="419" spans="1:17" ht="15.75" thickBot="1" x14ac:dyDescent="0.3">
      <c r="A419" s="133"/>
      <c r="B419" s="238"/>
      <c r="C419" s="238"/>
      <c r="D419" s="238"/>
      <c r="E419" s="238"/>
      <c r="F419" s="249"/>
      <c r="G419" s="250"/>
      <c r="H419" s="241"/>
      <c r="I419" s="133"/>
      <c r="J419" s="238"/>
      <c r="K419" s="238"/>
      <c r="L419" s="238"/>
      <c r="M419" s="238"/>
      <c r="N419" s="249"/>
      <c r="O419" s="250"/>
      <c r="P419" s="241"/>
    </row>
    <row r="420" spans="1:17" ht="15.75" thickBot="1" x14ac:dyDescent="0.3">
      <c r="A420" s="133"/>
      <c r="B420" s="224" t="s">
        <v>5412</v>
      </c>
      <c r="C420" s="193" t="s">
        <v>5420</v>
      </c>
      <c r="D420" s="193" t="s">
        <v>5421</v>
      </c>
      <c r="E420" s="193" t="s">
        <v>5413</v>
      </c>
      <c r="F420" s="193" t="s">
        <v>5405</v>
      </c>
      <c r="G420" s="225" t="s">
        <v>868</v>
      </c>
      <c r="H420" s="200"/>
      <c r="I420" s="133"/>
      <c r="J420" s="224" t="s">
        <v>5412</v>
      </c>
      <c r="K420" s="193" t="s">
        <v>5420</v>
      </c>
      <c r="L420" s="193" t="s">
        <v>5421</v>
      </c>
      <c r="M420" s="193" t="s">
        <v>5413</v>
      </c>
      <c r="N420" s="193" t="s">
        <v>5405</v>
      </c>
      <c r="O420" s="225" t="s">
        <v>868</v>
      </c>
      <c r="P420" s="200"/>
    </row>
    <row r="421" spans="1:17" x14ac:dyDescent="0.25">
      <c r="A421" s="133"/>
      <c r="B421" s="194" t="s">
        <v>5948</v>
      </c>
      <c r="C421" s="345">
        <v>70000</v>
      </c>
      <c r="D421" s="176">
        <f>+C421*0.85</f>
        <v>59500</v>
      </c>
      <c r="E421" s="176">
        <f>+C421+D421</f>
        <v>129500</v>
      </c>
      <c r="F421" s="204">
        <v>500</v>
      </c>
      <c r="G421" s="178">
        <f>+E421/F421</f>
        <v>259</v>
      </c>
      <c r="H421" s="200"/>
      <c r="I421" s="133"/>
      <c r="J421" s="194" t="s">
        <v>5948</v>
      </c>
      <c r="K421" s="345">
        <v>70000</v>
      </c>
      <c r="L421" s="176">
        <f>+K421*0.85</f>
        <v>59500</v>
      </c>
      <c r="M421" s="175">
        <f>+K421+L421</f>
        <v>129500</v>
      </c>
      <c r="N421" s="204">
        <v>400</v>
      </c>
      <c r="O421" s="178">
        <f>+M421/N421</f>
        <v>323.75</v>
      </c>
      <c r="P421" s="200"/>
    </row>
    <row r="422" spans="1:17" x14ac:dyDescent="0.25">
      <c r="A422" s="133"/>
      <c r="B422" s="194" t="s">
        <v>5651</v>
      </c>
      <c r="C422" s="345">
        <v>40000</v>
      </c>
      <c r="D422" s="176">
        <f>+C422*0.85</f>
        <v>34000</v>
      </c>
      <c r="E422" s="176">
        <f>+C422+D422</f>
        <v>74000</v>
      </c>
      <c r="F422" s="202">
        <v>9</v>
      </c>
      <c r="G422" s="178">
        <f>+E422/F422</f>
        <v>8222.2222222222226</v>
      </c>
      <c r="H422" s="200"/>
      <c r="I422" s="133"/>
      <c r="J422" s="194" t="s">
        <v>5651</v>
      </c>
      <c r="K422" s="345">
        <v>40000</v>
      </c>
      <c r="L422" s="176">
        <f>+K422*0.85</f>
        <v>34000</v>
      </c>
      <c r="M422" s="175">
        <f>+K422+L422</f>
        <v>74000</v>
      </c>
      <c r="N422" s="202">
        <v>8</v>
      </c>
      <c r="O422" s="178">
        <f>+M422/N422</f>
        <v>9250</v>
      </c>
      <c r="P422" s="200"/>
    </row>
    <row r="423" spans="1:17" x14ac:dyDescent="0.25">
      <c r="A423" s="133"/>
      <c r="B423" s="195" t="s">
        <v>5635</v>
      </c>
      <c r="C423" s="345">
        <v>20600</v>
      </c>
      <c r="D423" s="176">
        <f>+C423*0.85</f>
        <v>17510</v>
      </c>
      <c r="E423" s="176">
        <f>+C423+D423</f>
        <v>38110</v>
      </c>
      <c r="F423" s="226">
        <v>4</v>
      </c>
      <c r="G423" s="178">
        <f>+E423/F423</f>
        <v>9527.5</v>
      </c>
      <c r="H423" s="200"/>
      <c r="I423" s="133"/>
      <c r="J423" s="195" t="s">
        <v>5635</v>
      </c>
      <c r="K423" s="345">
        <v>20600</v>
      </c>
      <c r="L423" s="176">
        <f>+K423*0.85</f>
        <v>17510</v>
      </c>
      <c r="M423" s="175">
        <f>+K423+L423</f>
        <v>38110</v>
      </c>
      <c r="N423" s="226">
        <v>3</v>
      </c>
      <c r="O423" s="178">
        <f>+M423/N423</f>
        <v>12703.333333333334</v>
      </c>
      <c r="P423" s="200"/>
    </row>
    <row r="424" spans="1:17" x14ac:dyDescent="0.25">
      <c r="A424" s="133"/>
      <c r="B424" s="195"/>
      <c r="C424" s="171"/>
      <c r="D424" s="176"/>
      <c r="E424" s="176"/>
      <c r="F424" s="226"/>
      <c r="G424" s="178"/>
      <c r="H424" s="200"/>
      <c r="I424" s="133"/>
      <c r="J424" s="195"/>
      <c r="K424" s="171"/>
      <c r="L424" s="176"/>
      <c r="M424" s="176"/>
      <c r="N424" s="226"/>
      <c r="O424" s="178"/>
      <c r="P424" s="200"/>
    </row>
    <row r="425" spans="1:17" x14ac:dyDescent="0.25">
      <c r="A425" s="133"/>
      <c r="B425" s="195"/>
      <c r="C425" s="232"/>
      <c r="D425" s="232"/>
      <c r="E425" s="232"/>
      <c r="F425" s="226"/>
      <c r="G425" s="229"/>
      <c r="H425" s="200"/>
      <c r="I425" s="133"/>
      <c r="J425" s="195"/>
      <c r="K425" s="232"/>
      <c r="L425" s="232"/>
      <c r="M425" s="232"/>
      <c r="N425" s="226"/>
      <c r="O425" s="229"/>
      <c r="P425" s="200"/>
    </row>
    <row r="426" spans="1:17" ht="15.75" thickBot="1" x14ac:dyDescent="0.3">
      <c r="A426" s="133"/>
      <c r="B426" s="195"/>
      <c r="C426" s="232"/>
      <c r="D426" s="232"/>
      <c r="E426" s="232"/>
      <c r="F426" s="226"/>
      <c r="G426" s="229"/>
      <c r="H426" s="200"/>
      <c r="I426" s="133"/>
      <c r="J426" s="195"/>
      <c r="K426" s="232"/>
      <c r="L426" s="232"/>
      <c r="M426" s="232"/>
      <c r="N426" s="226"/>
      <c r="O426" s="229"/>
      <c r="P426" s="200"/>
    </row>
    <row r="427" spans="1:17" ht="15.75" thickBot="1" x14ac:dyDescent="0.3">
      <c r="A427" s="133"/>
      <c r="B427" s="251"/>
      <c r="C427" s="252"/>
      <c r="D427" s="252"/>
      <c r="E427" s="252"/>
      <c r="F427" s="253"/>
      <c r="G427" s="254"/>
      <c r="H427" s="256">
        <f>+SUM(G421:G427)</f>
        <v>18008.722222222223</v>
      </c>
      <c r="I427" s="133"/>
      <c r="J427" s="251"/>
      <c r="K427" s="252"/>
      <c r="L427" s="252"/>
      <c r="M427" s="252"/>
      <c r="N427" s="253"/>
      <c r="O427" s="254"/>
      <c r="P427" s="256">
        <f>+SUM(O421:O427)</f>
        <v>22277.083333333336</v>
      </c>
    </row>
    <row r="428" spans="1:17" ht="15.75" thickBot="1" x14ac:dyDescent="0.3">
      <c r="A428" s="133"/>
      <c r="B428" s="8"/>
      <c r="C428" s="8"/>
      <c r="D428" s="8"/>
      <c r="E428" s="8"/>
      <c r="F428" s="133"/>
      <c r="G428" s="200"/>
      <c r="H428" s="200"/>
      <c r="I428" s="133"/>
      <c r="J428" s="8"/>
      <c r="K428" s="8"/>
      <c r="L428" s="8"/>
      <c r="M428" s="8"/>
      <c r="N428" s="8"/>
      <c r="O428" s="133"/>
      <c r="P428" s="200"/>
      <c r="Q428" s="200"/>
    </row>
    <row r="429" spans="1:17" ht="15.75" thickBot="1" x14ac:dyDescent="0.3">
      <c r="A429" s="133"/>
      <c r="B429" s="8"/>
      <c r="C429" s="8"/>
      <c r="D429" s="8"/>
      <c r="E429" s="223" t="s">
        <v>5415</v>
      </c>
      <c r="F429" s="133"/>
      <c r="G429" s="200"/>
      <c r="H429" s="256">
        <f>ROUND(+H427+H418+H410+H395,0)</f>
        <v>28370</v>
      </c>
      <c r="I429" s="133"/>
      <c r="J429" s="8"/>
      <c r="K429" s="8"/>
      <c r="L429" s="8"/>
      <c r="M429" s="223" t="s">
        <v>5415</v>
      </c>
      <c r="N429" s="223"/>
      <c r="O429" s="133"/>
      <c r="P429" s="256">
        <f>ROUND(+P427+P418+P410+P395,0)</f>
        <v>35037</v>
      </c>
    </row>
    <row r="434" spans="1:18" ht="18.75" x14ac:dyDescent="0.25">
      <c r="A434" s="133"/>
      <c r="B434" s="2506" t="s">
        <v>5400</v>
      </c>
      <c r="C434" s="2506"/>
      <c r="D434" s="2506"/>
      <c r="E434" s="2506"/>
      <c r="F434" s="2506"/>
      <c r="G434" s="2506"/>
      <c r="H434" s="8"/>
      <c r="I434" s="133"/>
      <c r="J434" s="2506" t="s">
        <v>5400</v>
      </c>
      <c r="K434" s="2506"/>
      <c r="L434" s="2506"/>
      <c r="M434" s="2506"/>
      <c r="N434" s="2506"/>
      <c r="O434" s="2506"/>
      <c r="P434" s="8"/>
      <c r="Q434" s="335"/>
      <c r="R434" s="336"/>
    </row>
    <row r="435" spans="1:18" x14ac:dyDescent="0.25">
      <c r="A435" s="133"/>
      <c r="B435" s="8"/>
      <c r="C435" s="8"/>
      <c r="D435" s="8"/>
      <c r="E435" s="8"/>
      <c r="F435" s="133"/>
      <c r="G435" s="200"/>
      <c r="H435" s="200"/>
      <c r="I435" s="133"/>
      <c r="J435" s="8"/>
      <c r="K435" s="8"/>
      <c r="L435" s="8"/>
      <c r="M435" s="8"/>
      <c r="N435" s="133"/>
      <c r="O435" s="200"/>
      <c r="P435" s="200"/>
      <c r="Q435" s="337"/>
      <c r="R435" s="336"/>
    </row>
    <row r="436" spans="1:18" x14ac:dyDescent="0.25">
      <c r="A436" s="133"/>
      <c r="B436" s="8"/>
      <c r="C436" s="8"/>
      <c r="D436" s="8"/>
      <c r="E436" s="8"/>
      <c r="F436" s="133"/>
      <c r="G436" s="200"/>
      <c r="H436" s="200"/>
      <c r="I436" s="133"/>
      <c r="J436" s="8"/>
      <c r="K436" s="8"/>
      <c r="L436" s="8"/>
      <c r="M436" s="8"/>
      <c r="N436" s="133"/>
      <c r="O436" s="200"/>
      <c r="P436" s="200"/>
      <c r="Q436" s="337"/>
      <c r="R436" s="336"/>
    </row>
    <row r="437" spans="1:18" x14ac:dyDescent="0.25">
      <c r="A437" s="133"/>
      <c r="B437" s="8"/>
      <c r="C437" s="8"/>
      <c r="D437" s="8"/>
      <c r="E437" s="8"/>
      <c r="F437" s="133"/>
      <c r="G437" s="200"/>
      <c r="H437" s="200"/>
      <c r="I437" s="133"/>
      <c r="J437" s="8"/>
      <c r="K437" s="8"/>
      <c r="L437" s="8"/>
      <c r="M437" s="8"/>
      <c r="N437" s="133"/>
      <c r="O437" s="200"/>
      <c r="P437" s="200"/>
      <c r="Q437" s="337"/>
      <c r="R437" s="336"/>
    </row>
    <row r="438" spans="1:18" ht="24.95" customHeight="1" x14ac:dyDescent="0.25">
      <c r="A438" s="220" t="s">
        <v>5482</v>
      </c>
      <c r="B438" s="221" t="s">
        <v>233</v>
      </c>
      <c r="C438" s="2449" t="s">
        <v>5489</v>
      </c>
      <c r="D438" s="2449"/>
      <c r="E438" s="2449"/>
      <c r="F438" s="220" t="s">
        <v>867</v>
      </c>
      <c r="G438" s="222" t="s">
        <v>5424</v>
      </c>
      <c r="H438" s="200"/>
      <c r="I438" s="220" t="s">
        <v>5482</v>
      </c>
      <c r="J438" s="221" t="s">
        <v>233</v>
      </c>
      <c r="K438" s="2449" t="s">
        <v>6054</v>
      </c>
      <c r="L438" s="2449"/>
      <c r="M438" s="2449"/>
      <c r="N438" s="220" t="s">
        <v>867</v>
      </c>
      <c r="O438" s="222" t="s">
        <v>5424</v>
      </c>
      <c r="P438" s="200"/>
      <c r="Q438" s="337"/>
      <c r="R438" s="336"/>
    </row>
    <row r="439" spans="1:18" x14ac:dyDescent="0.25">
      <c r="A439" s="133"/>
      <c r="B439" s="8"/>
      <c r="C439" s="223"/>
      <c r="D439" s="223"/>
      <c r="E439" s="223"/>
      <c r="F439" s="133"/>
      <c r="G439" s="200"/>
      <c r="H439" s="200"/>
      <c r="I439" s="133"/>
      <c r="J439" s="8"/>
      <c r="K439" s="223"/>
      <c r="L439" s="223"/>
      <c r="M439" s="223"/>
      <c r="N439" s="133"/>
      <c r="O439" s="200"/>
      <c r="P439" s="200"/>
      <c r="Q439" s="337"/>
      <c r="R439" s="336"/>
    </row>
    <row r="440" spans="1:18" x14ac:dyDescent="0.25">
      <c r="A440" s="133"/>
      <c r="B440" s="8"/>
      <c r="C440" s="8"/>
      <c r="D440" s="8"/>
      <c r="E440" s="8"/>
      <c r="F440" s="8"/>
      <c r="G440" s="8"/>
      <c r="H440" s="200"/>
      <c r="I440" s="133"/>
      <c r="J440" s="8"/>
      <c r="K440" s="8"/>
      <c r="L440" s="8"/>
      <c r="M440" s="8"/>
      <c r="N440" s="8"/>
      <c r="O440" s="8"/>
      <c r="P440" s="200"/>
      <c r="Q440" s="337"/>
      <c r="R440" s="336"/>
    </row>
    <row r="441" spans="1:18" ht="15.75" thickBot="1" x14ac:dyDescent="0.3">
      <c r="A441" s="133"/>
      <c r="B441" s="8"/>
      <c r="C441" s="8"/>
      <c r="D441" s="8"/>
      <c r="E441" s="8"/>
      <c r="F441" s="133"/>
      <c r="G441" s="200"/>
      <c r="H441" s="200"/>
      <c r="I441" s="133"/>
      <c r="J441" s="8"/>
      <c r="K441" s="8"/>
      <c r="L441" s="8"/>
      <c r="M441" s="8"/>
      <c r="N441" s="133"/>
      <c r="O441" s="200"/>
      <c r="P441" s="200"/>
      <c r="Q441" s="337"/>
      <c r="R441" s="336"/>
    </row>
    <row r="442" spans="1:18" ht="15.75" thickBot="1" x14ac:dyDescent="0.3">
      <c r="A442" s="133"/>
      <c r="B442" s="224" t="s">
        <v>5403</v>
      </c>
      <c r="C442" s="193" t="s">
        <v>867</v>
      </c>
      <c r="D442" s="193" t="s">
        <v>6</v>
      </c>
      <c r="E442" s="193" t="s">
        <v>5439</v>
      </c>
      <c r="F442" s="193" t="s">
        <v>5405</v>
      </c>
      <c r="G442" s="225" t="s">
        <v>868</v>
      </c>
      <c r="H442" s="200"/>
      <c r="I442" s="133"/>
      <c r="J442" s="224" t="s">
        <v>5403</v>
      </c>
      <c r="K442" s="193" t="s">
        <v>867</v>
      </c>
      <c r="L442" s="193" t="s">
        <v>6</v>
      </c>
      <c r="M442" s="193" t="s">
        <v>5439</v>
      </c>
      <c r="N442" s="193" t="s">
        <v>5405</v>
      </c>
      <c r="O442" s="225" t="s">
        <v>868</v>
      </c>
      <c r="P442" s="200"/>
      <c r="Q442" s="337"/>
      <c r="R442" s="336"/>
    </row>
    <row r="443" spans="1:18" x14ac:dyDescent="0.25">
      <c r="A443" s="133"/>
      <c r="B443" s="195" t="s">
        <v>5440</v>
      </c>
      <c r="C443" s="226" t="s">
        <v>5402</v>
      </c>
      <c r="D443" s="226">
        <v>1</v>
      </c>
      <c r="E443" s="227">
        <f>+H481</f>
        <v>7640.5</v>
      </c>
      <c r="F443" s="226">
        <v>0.1</v>
      </c>
      <c r="G443" s="229">
        <f>+E443*F443</f>
        <v>764.05000000000007</v>
      </c>
      <c r="H443" s="200"/>
      <c r="I443" s="133"/>
      <c r="J443" s="195" t="s">
        <v>5440</v>
      </c>
      <c r="K443" s="226" t="s">
        <v>5402</v>
      </c>
      <c r="L443" s="226">
        <v>1</v>
      </c>
      <c r="M443" s="227">
        <f>+P481</f>
        <v>7640.5</v>
      </c>
      <c r="N443" s="226">
        <v>0.1</v>
      </c>
      <c r="O443" s="229">
        <f>+M443*N443</f>
        <v>764.05000000000007</v>
      </c>
      <c r="P443" s="200"/>
      <c r="Q443" s="337"/>
      <c r="R443" s="336"/>
    </row>
    <row r="444" spans="1:18" x14ac:dyDescent="0.25">
      <c r="A444" s="133"/>
      <c r="B444" s="195"/>
      <c r="C444" s="226"/>
      <c r="D444" s="226"/>
      <c r="E444" s="230"/>
      <c r="F444" s="226"/>
      <c r="G444" s="229"/>
      <c r="H444" s="200"/>
      <c r="I444" s="133"/>
      <c r="J444" s="195"/>
      <c r="K444" s="226"/>
      <c r="L444" s="226"/>
      <c r="M444" s="230"/>
      <c r="N444" s="226"/>
      <c r="O444" s="229"/>
      <c r="P444" s="200"/>
      <c r="Q444" s="337"/>
      <c r="R444" s="336"/>
    </row>
    <row r="445" spans="1:18" x14ac:dyDescent="0.25">
      <c r="A445" s="133"/>
      <c r="B445" s="195"/>
      <c r="C445" s="226"/>
      <c r="D445" s="226"/>
      <c r="E445" s="176"/>
      <c r="F445" s="226"/>
      <c r="G445" s="229"/>
      <c r="H445" s="200"/>
      <c r="I445" s="133"/>
      <c r="J445" s="195"/>
      <c r="K445" s="226"/>
      <c r="L445" s="226"/>
      <c r="M445" s="176"/>
      <c r="N445" s="226"/>
      <c r="O445" s="229"/>
      <c r="P445" s="200"/>
      <c r="Q445" s="337"/>
      <c r="R445" s="336"/>
    </row>
    <row r="446" spans="1:18" x14ac:dyDescent="0.25">
      <c r="A446" s="133"/>
      <c r="B446" s="195"/>
      <c r="C446" s="226"/>
      <c r="D446" s="226"/>
      <c r="E446" s="171"/>
      <c r="F446" s="226"/>
      <c r="G446" s="231"/>
      <c r="H446" s="200"/>
      <c r="I446" s="133"/>
      <c r="J446" s="195"/>
      <c r="K446" s="226"/>
      <c r="L446" s="226"/>
      <c r="M446" s="171"/>
      <c r="N446" s="226"/>
      <c r="O446" s="231"/>
      <c r="P446" s="200"/>
      <c r="Q446" s="337"/>
      <c r="R446" s="336"/>
    </row>
    <row r="447" spans="1:18" x14ac:dyDescent="0.25">
      <c r="A447" s="133"/>
      <c r="B447" s="195"/>
      <c r="C447" s="226"/>
      <c r="D447" s="232"/>
      <c r="E447" s="232"/>
      <c r="F447" s="226"/>
      <c r="G447" s="229"/>
      <c r="H447" s="200"/>
      <c r="I447" s="133"/>
      <c r="J447" s="195"/>
      <c r="K447" s="226"/>
      <c r="L447" s="232"/>
      <c r="M447" s="232"/>
      <c r="N447" s="226"/>
      <c r="O447" s="229"/>
      <c r="P447" s="200"/>
      <c r="Q447" s="337"/>
      <c r="R447" s="336"/>
    </row>
    <row r="448" spans="1:18" ht="15.75" thickBot="1" x14ac:dyDescent="0.3">
      <c r="A448" s="133"/>
      <c r="B448" s="195"/>
      <c r="C448" s="226"/>
      <c r="D448" s="232"/>
      <c r="E448" s="232"/>
      <c r="F448" s="226"/>
      <c r="G448" s="229"/>
      <c r="H448" s="200"/>
      <c r="I448" s="133"/>
      <c r="J448" s="195"/>
      <c r="K448" s="226"/>
      <c r="L448" s="232"/>
      <c r="M448" s="232"/>
      <c r="N448" s="226"/>
      <c r="O448" s="229"/>
      <c r="P448" s="200"/>
      <c r="Q448" s="337"/>
      <c r="R448" s="336"/>
    </row>
    <row r="449" spans="1:18" ht="15.75" thickBot="1" x14ac:dyDescent="0.3">
      <c r="A449" s="133"/>
      <c r="B449" s="233"/>
      <c r="C449" s="234"/>
      <c r="D449" s="234"/>
      <c r="E449" s="234"/>
      <c r="F449" s="235"/>
      <c r="G449" s="236"/>
      <c r="H449" s="237">
        <f>+SUM(G443:G449)</f>
        <v>764.05000000000007</v>
      </c>
      <c r="I449" s="133"/>
      <c r="J449" s="233"/>
      <c r="K449" s="234"/>
      <c r="L449" s="234"/>
      <c r="M449" s="234"/>
      <c r="N449" s="235"/>
      <c r="O449" s="236"/>
      <c r="P449" s="237">
        <f>+SUM(O443:O449)</f>
        <v>764.05000000000007</v>
      </c>
      <c r="Q449" s="337"/>
      <c r="R449" s="336"/>
    </row>
    <row r="450" spans="1:18" ht="15.75" thickBot="1" x14ac:dyDescent="0.3">
      <c r="A450" s="133"/>
      <c r="B450" s="238"/>
      <c r="C450" s="238"/>
      <c r="D450" s="238"/>
      <c r="E450" s="238"/>
      <c r="F450" s="239"/>
      <c r="G450" s="240"/>
      <c r="H450" s="241"/>
      <c r="I450" s="133"/>
      <c r="J450" s="238"/>
      <c r="K450" s="238"/>
      <c r="L450" s="238"/>
      <c r="M450" s="238"/>
      <c r="N450" s="239"/>
      <c r="O450" s="240"/>
      <c r="P450" s="241"/>
      <c r="Q450" s="337"/>
      <c r="R450" s="336"/>
    </row>
    <row r="451" spans="1:18" ht="15.75" thickBot="1" x14ac:dyDescent="0.3">
      <c r="A451" s="133"/>
      <c r="B451" s="224" t="s">
        <v>5408</v>
      </c>
      <c r="C451" s="193" t="s">
        <v>867</v>
      </c>
      <c r="D451" s="193" t="s">
        <v>6</v>
      </c>
      <c r="E451" s="193" t="s">
        <v>870</v>
      </c>
      <c r="F451" s="193" t="s">
        <v>5409</v>
      </c>
      <c r="G451" s="225" t="s">
        <v>868</v>
      </c>
      <c r="H451" s="200"/>
      <c r="I451" s="133"/>
      <c r="J451" s="224" t="s">
        <v>5408</v>
      </c>
      <c r="K451" s="193" t="s">
        <v>867</v>
      </c>
      <c r="L451" s="193" t="s">
        <v>6</v>
      </c>
      <c r="M451" s="193" t="s">
        <v>870</v>
      </c>
      <c r="N451" s="193" t="s">
        <v>5409</v>
      </c>
      <c r="O451" s="225" t="s">
        <v>868</v>
      </c>
      <c r="P451" s="200"/>
      <c r="Q451" s="337"/>
      <c r="R451" s="336"/>
    </row>
    <row r="452" spans="1:18" x14ac:dyDescent="0.25">
      <c r="A452" s="133"/>
      <c r="B452" s="289" t="s">
        <v>6053</v>
      </c>
      <c r="C452" s="226" t="s">
        <v>5486</v>
      </c>
      <c r="D452" s="226">
        <f>1/160</f>
        <v>6.2500000000000003E-3</v>
      </c>
      <c r="E452" s="171">
        <f>12131*1.16</f>
        <v>14071.96</v>
      </c>
      <c r="F452" s="169">
        <v>0.05</v>
      </c>
      <c r="G452" s="178">
        <f>+D452*E452*(1+F452)</f>
        <v>92.347237499999991</v>
      </c>
      <c r="H452" s="200"/>
      <c r="I452" s="133"/>
      <c r="J452" s="289" t="s">
        <v>6053</v>
      </c>
      <c r="K452" s="226" t="s">
        <v>5486</v>
      </c>
      <c r="L452" s="226">
        <f>1/160</f>
        <v>6.2500000000000003E-3</v>
      </c>
      <c r="M452" s="171">
        <f>12131*1.16</f>
        <v>14071.96</v>
      </c>
      <c r="N452" s="169">
        <v>0.05</v>
      </c>
      <c r="O452" s="178">
        <f>+L452*M452*(1+N452)</f>
        <v>92.347237499999991</v>
      </c>
      <c r="P452" s="200"/>
      <c r="Q452" s="337"/>
      <c r="R452" s="336"/>
    </row>
    <row r="453" spans="1:18" x14ac:dyDescent="0.25">
      <c r="A453" s="133"/>
      <c r="B453" s="259"/>
      <c r="C453" s="226"/>
      <c r="D453" s="226"/>
      <c r="E453" s="171"/>
      <c r="F453" s="169"/>
      <c r="G453" s="178"/>
      <c r="H453" s="200"/>
      <c r="I453" s="133"/>
      <c r="J453" s="453" t="s">
        <v>6055</v>
      </c>
      <c r="K453" s="226" t="s">
        <v>5424</v>
      </c>
      <c r="L453" s="226">
        <v>2</v>
      </c>
      <c r="M453" s="171">
        <f>21594*1.16</f>
        <v>25049.039999999997</v>
      </c>
      <c r="N453" s="169"/>
      <c r="O453" s="178">
        <f>+L453*M453*(1+N453)</f>
        <v>50098.079999999994</v>
      </c>
      <c r="P453" s="200"/>
      <c r="Q453" s="337"/>
      <c r="R453" s="336"/>
    </row>
    <row r="454" spans="1:18" x14ac:dyDescent="0.25">
      <c r="A454" s="133"/>
      <c r="B454" s="195"/>
      <c r="C454" s="226"/>
      <c r="D454" s="226"/>
      <c r="E454" s="171"/>
      <c r="F454" s="169"/>
      <c r="G454" s="178"/>
      <c r="H454" s="200"/>
      <c r="I454" s="133"/>
      <c r="J454" s="195"/>
      <c r="K454" s="226"/>
      <c r="L454" s="226"/>
      <c r="M454" s="171"/>
      <c r="N454" s="169"/>
      <c r="O454" s="178"/>
      <c r="P454" s="200"/>
      <c r="Q454" s="337"/>
      <c r="R454" s="336"/>
    </row>
    <row r="455" spans="1:18" x14ac:dyDescent="0.25">
      <c r="A455" s="133"/>
      <c r="B455" s="195"/>
      <c r="C455" s="226"/>
      <c r="D455" s="226"/>
      <c r="E455" s="171"/>
      <c r="F455" s="169"/>
      <c r="G455" s="178"/>
      <c r="H455" s="200"/>
      <c r="I455" s="133"/>
      <c r="J455" s="195"/>
      <c r="K455" s="226"/>
      <c r="L455" s="226"/>
      <c r="M455" s="171"/>
      <c r="N455" s="169"/>
      <c r="O455" s="178"/>
      <c r="P455" s="200"/>
      <c r="Q455" s="337"/>
      <c r="R455" s="336"/>
    </row>
    <row r="456" spans="1:18" x14ac:dyDescent="0.25">
      <c r="A456" s="133"/>
      <c r="B456" s="195"/>
      <c r="C456" s="226"/>
      <c r="D456" s="226"/>
      <c r="E456" s="171"/>
      <c r="F456" s="169"/>
      <c r="G456" s="178"/>
      <c r="H456" s="200"/>
      <c r="I456" s="133"/>
      <c r="J456" s="195"/>
      <c r="K456" s="226"/>
      <c r="L456" s="226"/>
      <c r="M456" s="171"/>
      <c r="N456" s="169"/>
      <c r="O456" s="178"/>
      <c r="P456" s="200"/>
      <c r="Q456" s="337"/>
      <c r="R456" s="336"/>
    </row>
    <row r="457" spans="1:18" x14ac:dyDescent="0.25">
      <c r="A457" s="133"/>
      <c r="B457" s="194"/>
      <c r="C457" s="202"/>
      <c r="D457" s="202"/>
      <c r="E457" s="171"/>
      <c r="F457" s="169"/>
      <c r="G457" s="178"/>
      <c r="H457" s="200"/>
      <c r="I457" s="133"/>
      <c r="J457" s="194"/>
      <c r="K457" s="202"/>
      <c r="L457" s="202"/>
      <c r="M457" s="171"/>
      <c r="N457" s="169"/>
      <c r="O457" s="178"/>
      <c r="P457" s="200"/>
      <c r="Q457" s="337"/>
      <c r="R457" s="336"/>
    </row>
    <row r="458" spans="1:18" x14ac:dyDescent="0.25">
      <c r="A458" s="133"/>
      <c r="B458" s="195"/>
      <c r="C458" s="226"/>
      <c r="D458" s="226"/>
      <c r="E458" s="171"/>
      <c r="F458" s="169"/>
      <c r="G458" s="178"/>
      <c r="H458" s="200"/>
      <c r="I458" s="133"/>
      <c r="J458" s="195"/>
      <c r="K458" s="226"/>
      <c r="L458" s="226"/>
      <c r="M458" s="171"/>
      <c r="N458" s="169"/>
      <c r="O458" s="178"/>
      <c r="P458" s="200"/>
      <c r="Q458" s="337"/>
      <c r="R458" s="336"/>
    </row>
    <row r="459" spans="1:18" x14ac:dyDescent="0.25">
      <c r="A459" s="133"/>
      <c r="B459" s="195"/>
      <c r="C459" s="226"/>
      <c r="D459" s="226"/>
      <c r="E459" s="171"/>
      <c r="F459" s="169"/>
      <c r="G459" s="178"/>
      <c r="H459" s="200"/>
      <c r="I459" s="133"/>
      <c r="J459" s="195"/>
      <c r="K459" s="226"/>
      <c r="L459" s="226"/>
      <c r="M459" s="171"/>
      <c r="N459" s="169"/>
      <c r="O459" s="178"/>
      <c r="P459" s="200"/>
      <c r="Q459" s="337"/>
      <c r="R459" s="336"/>
    </row>
    <row r="460" spans="1:18" x14ac:dyDescent="0.25">
      <c r="A460" s="133"/>
      <c r="B460" s="195"/>
      <c r="C460" s="232"/>
      <c r="D460" s="232"/>
      <c r="E460" s="232"/>
      <c r="F460" s="226"/>
      <c r="G460" s="229"/>
      <c r="H460" s="200"/>
      <c r="I460" s="133"/>
      <c r="J460" s="195"/>
      <c r="K460" s="232"/>
      <c r="L460" s="232"/>
      <c r="M460" s="232"/>
      <c r="N460" s="226"/>
      <c r="O460" s="229"/>
      <c r="P460" s="200"/>
      <c r="Q460" s="337"/>
      <c r="R460" s="336"/>
    </row>
    <row r="461" spans="1:18" x14ac:dyDescent="0.25">
      <c r="A461" s="133"/>
      <c r="B461" s="195"/>
      <c r="C461" s="232"/>
      <c r="D461" s="232"/>
      <c r="E461" s="232"/>
      <c r="F461" s="226"/>
      <c r="G461" s="229"/>
      <c r="H461" s="200"/>
      <c r="I461" s="133"/>
      <c r="J461" s="195"/>
      <c r="K461" s="232"/>
      <c r="L461" s="232"/>
      <c r="M461" s="232"/>
      <c r="N461" s="226"/>
      <c r="O461" s="229"/>
      <c r="P461" s="200"/>
      <c r="Q461" s="337"/>
      <c r="R461" s="336"/>
    </row>
    <row r="462" spans="1:18" x14ac:dyDescent="0.25">
      <c r="A462" s="133"/>
      <c r="B462" s="195"/>
      <c r="C462" s="232"/>
      <c r="D462" s="232"/>
      <c r="E462" s="232"/>
      <c r="F462" s="226"/>
      <c r="G462" s="229"/>
      <c r="H462" s="200"/>
      <c r="I462" s="133"/>
      <c r="J462" s="195"/>
      <c r="K462" s="232"/>
      <c r="L462" s="232"/>
      <c r="M462" s="232"/>
      <c r="N462" s="226"/>
      <c r="O462" s="229"/>
      <c r="P462" s="200"/>
      <c r="Q462" s="337"/>
      <c r="R462" s="336"/>
    </row>
    <row r="463" spans="1:18" ht="15.75" thickBot="1" x14ac:dyDescent="0.3">
      <c r="A463" s="133"/>
      <c r="B463" s="195"/>
      <c r="C463" s="232"/>
      <c r="D463" s="232"/>
      <c r="E463" s="232"/>
      <c r="F463" s="226"/>
      <c r="G463" s="229"/>
      <c r="H463" s="200"/>
      <c r="I463" s="133"/>
      <c r="J463" s="195"/>
      <c r="K463" s="232"/>
      <c r="L463" s="232"/>
      <c r="M463" s="232"/>
      <c r="N463" s="226"/>
      <c r="O463" s="229"/>
      <c r="P463" s="200"/>
      <c r="Q463" s="337"/>
      <c r="R463" s="336"/>
    </row>
    <row r="464" spans="1:18" ht="15.75" thickBot="1" x14ac:dyDescent="0.3">
      <c r="A464" s="133"/>
      <c r="B464" s="233"/>
      <c r="C464" s="234"/>
      <c r="D464" s="234"/>
      <c r="E464" s="234"/>
      <c r="F464" s="235"/>
      <c r="G464" s="236"/>
      <c r="H464" s="256">
        <f>+SUM(G452:G464)</f>
        <v>92.347237499999991</v>
      </c>
      <c r="I464" s="133"/>
      <c r="J464" s="233"/>
      <c r="K464" s="234"/>
      <c r="L464" s="234"/>
      <c r="M464" s="234"/>
      <c r="N464" s="235"/>
      <c r="O464" s="236"/>
      <c r="P464" s="256">
        <f>+SUM(O452:O464)</f>
        <v>50190.427237499993</v>
      </c>
      <c r="Q464" s="339"/>
      <c r="R464" s="336"/>
    </row>
    <row r="465" spans="1:18" ht="15.75" thickBot="1" x14ac:dyDescent="0.3">
      <c r="A465" s="133"/>
      <c r="B465" s="238"/>
      <c r="C465" s="238"/>
      <c r="D465" s="238"/>
      <c r="E465" s="238"/>
      <c r="F465" s="239"/>
      <c r="G465" s="240"/>
      <c r="H465" s="241"/>
      <c r="I465" s="133"/>
      <c r="J465" s="238"/>
      <c r="K465" s="238"/>
      <c r="L465" s="238"/>
      <c r="M465" s="238"/>
      <c r="N465" s="239"/>
      <c r="O465" s="240"/>
      <c r="P465" s="241"/>
      <c r="Q465" s="337"/>
      <c r="R465" s="336"/>
    </row>
    <row r="466" spans="1:18" ht="15.75" thickBot="1" x14ac:dyDescent="0.3">
      <c r="A466" s="133"/>
      <c r="B466" s="224" t="s">
        <v>5410</v>
      </c>
      <c r="C466" s="193" t="s">
        <v>867</v>
      </c>
      <c r="D466" s="193" t="s">
        <v>6</v>
      </c>
      <c r="E466" s="193" t="s">
        <v>870</v>
      </c>
      <c r="F466" s="193" t="s">
        <v>5411</v>
      </c>
      <c r="G466" s="225" t="s">
        <v>868</v>
      </c>
      <c r="H466" s="200"/>
      <c r="I466" s="133"/>
      <c r="J466" s="224" t="s">
        <v>5410</v>
      </c>
      <c r="K466" s="193" t="s">
        <v>867</v>
      </c>
      <c r="L466" s="193" t="s">
        <v>6</v>
      </c>
      <c r="M466" s="193" t="s">
        <v>870</v>
      </c>
      <c r="N466" s="193" t="s">
        <v>5411</v>
      </c>
      <c r="O466" s="225" t="s">
        <v>868</v>
      </c>
      <c r="P466" s="200"/>
      <c r="Q466" s="337"/>
      <c r="R466" s="336"/>
    </row>
    <row r="467" spans="1:18" x14ac:dyDescent="0.25">
      <c r="A467" s="133"/>
      <c r="B467" s="245"/>
      <c r="C467" s="202"/>
      <c r="D467" s="202"/>
      <c r="E467" s="175"/>
      <c r="F467" s="202"/>
      <c r="G467" s="203"/>
      <c r="H467" s="246"/>
      <c r="I467" s="133"/>
      <c r="J467" s="245"/>
      <c r="K467" s="202"/>
      <c r="L467" s="202"/>
      <c r="M467" s="175"/>
      <c r="N467" s="202"/>
      <c r="O467" s="203"/>
      <c r="P467" s="246"/>
      <c r="Q467" s="338"/>
      <c r="R467" s="336"/>
    </row>
    <row r="468" spans="1:18" x14ac:dyDescent="0.25">
      <c r="A468" s="133"/>
      <c r="B468" s="247"/>
      <c r="C468" s="248"/>
      <c r="D468" s="248"/>
      <c r="E468" s="248"/>
      <c r="F468" s="202"/>
      <c r="G468" s="178"/>
      <c r="H468" s="200"/>
      <c r="I468" s="133"/>
      <c r="J468" s="247"/>
      <c r="K468" s="248"/>
      <c r="L468" s="248"/>
      <c r="M468" s="248"/>
      <c r="N468" s="202"/>
      <c r="O468" s="178"/>
      <c r="P468" s="200"/>
      <c r="Q468" s="337"/>
      <c r="R468" s="336"/>
    </row>
    <row r="469" spans="1:18" x14ac:dyDescent="0.25">
      <c r="A469" s="133"/>
      <c r="B469" s="247"/>
      <c r="C469" s="232"/>
      <c r="D469" s="232"/>
      <c r="E469" s="232"/>
      <c r="F469" s="226"/>
      <c r="G469" s="229"/>
      <c r="H469" s="200"/>
      <c r="I469" s="133"/>
      <c r="J469" s="247"/>
      <c r="K469" s="232"/>
      <c r="L469" s="232"/>
      <c r="M469" s="232"/>
      <c r="N469" s="226"/>
      <c r="O469" s="229"/>
      <c r="P469" s="200"/>
      <c r="Q469" s="337"/>
      <c r="R469" s="336"/>
    </row>
    <row r="470" spans="1:18" x14ac:dyDescent="0.25">
      <c r="A470" s="133"/>
      <c r="B470" s="194"/>
      <c r="C470" s="232"/>
      <c r="D470" s="232"/>
      <c r="E470" s="232"/>
      <c r="F470" s="226"/>
      <c r="G470" s="229"/>
      <c r="H470" s="200"/>
      <c r="I470" s="133"/>
      <c r="J470" s="194"/>
      <c r="K470" s="232"/>
      <c r="L470" s="232"/>
      <c r="M470" s="232"/>
      <c r="N470" s="226"/>
      <c r="O470" s="229"/>
      <c r="P470" s="200"/>
      <c r="Q470" s="337"/>
      <c r="R470" s="336"/>
    </row>
    <row r="471" spans="1:18" ht="15.75" thickBot="1" x14ac:dyDescent="0.3">
      <c r="A471" s="133"/>
      <c r="B471" s="195"/>
      <c r="C471" s="232"/>
      <c r="D471" s="232"/>
      <c r="E471" s="232"/>
      <c r="F471" s="226"/>
      <c r="G471" s="229"/>
      <c r="H471" s="200"/>
      <c r="I471" s="133"/>
      <c r="J471" s="195"/>
      <c r="K471" s="232"/>
      <c r="L471" s="232"/>
      <c r="M471" s="232"/>
      <c r="N471" s="226"/>
      <c r="O471" s="229"/>
      <c r="P471" s="200"/>
      <c r="Q471" s="337"/>
      <c r="R471" s="336"/>
    </row>
    <row r="472" spans="1:18" ht="15.75" thickBot="1" x14ac:dyDescent="0.3">
      <c r="A472" s="133"/>
      <c r="B472" s="233"/>
      <c r="C472" s="234"/>
      <c r="D472" s="234"/>
      <c r="E472" s="234"/>
      <c r="F472" s="235"/>
      <c r="G472" s="236"/>
      <c r="H472" s="237">
        <f>+SUM(G467:G472)</f>
        <v>0</v>
      </c>
      <c r="I472" s="133"/>
      <c r="J472" s="233"/>
      <c r="K472" s="234"/>
      <c r="L472" s="234"/>
      <c r="M472" s="234"/>
      <c r="N472" s="235"/>
      <c r="O472" s="236"/>
      <c r="P472" s="237">
        <f>+SUM(O467:O472)</f>
        <v>0</v>
      </c>
      <c r="Q472" s="337"/>
      <c r="R472" s="336"/>
    </row>
    <row r="473" spans="1:18" ht="15.75" thickBot="1" x14ac:dyDescent="0.3">
      <c r="A473" s="133"/>
      <c r="B473" s="238"/>
      <c r="C473" s="238"/>
      <c r="D473" s="238"/>
      <c r="E473" s="238"/>
      <c r="F473" s="249"/>
      <c r="G473" s="250"/>
      <c r="H473" s="241"/>
      <c r="I473" s="133"/>
      <c r="J473" s="238"/>
      <c r="K473" s="238"/>
      <c r="L473" s="238"/>
      <c r="M473" s="238"/>
      <c r="N473" s="249"/>
      <c r="O473" s="250"/>
      <c r="P473" s="241"/>
      <c r="Q473" s="337"/>
      <c r="R473" s="336"/>
    </row>
    <row r="474" spans="1:18" ht="15.75" thickBot="1" x14ac:dyDescent="0.3">
      <c r="A474" s="133"/>
      <c r="B474" s="224" t="s">
        <v>5412</v>
      </c>
      <c r="C474" s="193" t="s">
        <v>5420</v>
      </c>
      <c r="D474" s="193" t="s">
        <v>5421</v>
      </c>
      <c r="E474" s="193" t="s">
        <v>5413</v>
      </c>
      <c r="F474" s="193" t="s">
        <v>5405</v>
      </c>
      <c r="G474" s="225" t="s">
        <v>868</v>
      </c>
      <c r="H474" s="200"/>
      <c r="I474" s="133"/>
      <c r="J474" s="224" t="s">
        <v>5412</v>
      </c>
      <c r="K474" s="193" t="s">
        <v>5420</v>
      </c>
      <c r="L474" s="193" t="s">
        <v>5421</v>
      </c>
      <c r="M474" s="193" t="s">
        <v>5413</v>
      </c>
      <c r="N474" s="193" t="s">
        <v>5405</v>
      </c>
      <c r="O474" s="225" t="s">
        <v>868</v>
      </c>
      <c r="P474" s="200"/>
      <c r="Q474" s="337"/>
      <c r="R474" s="336"/>
    </row>
    <row r="475" spans="1:18" x14ac:dyDescent="0.25">
      <c r="A475" s="133"/>
      <c r="B475" s="194" t="s">
        <v>5948</v>
      </c>
      <c r="C475" s="345">
        <v>70000</v>
      </c>
      <c r="D475" s="176">
        <f>+C475*0.85</f>
        <v>59500</v>
      </c>
      <c r="E475" s="176">
        <f>+C475+D475</f>
        <v>129500</v>
      </c>
      <c r="F475" s="204">
        <v>1000</v>
      </c>
      <c r="G475" s="178">
        <f>+E475/F475</f>
        <v>129.5</v>
      </c>
      <c r="H475" s="200"/>
      <c r="I475" s="133"/>
      <c r="J475" s="194" t="s">
        <v>5948</v>
      </c>
      <c r="K475" s="345">
        <v>70000</v>
      </c>
      <c r="L475" s="176">
        <f>+K475*0.85</f>
        <v>59500</v>
      </c>
      <c r="M475" s="176">
        <f>+K475+L475</f>
        <v>129500</v>
      </c>
      <c r="N475" s="204">
        <v>1000</v>
      </c>
      <c r="O475" s="178">
        <f>+M475/N475</f>
        <v>129.5</v>
      </c>
      <c r="P475" s="200"/>
      <c r="Q475" s="337"/>
      <c r="R475" s="336"/>
    </row>
    <row r="476" spans="1:18" x14ac:dyDescent="0.25">
      <c r="A476" s="133"/>
      <c r="B476" s="194" t="s">
        <v>5651</v>
      </c>
      <c r="C476" s="345">
        <v>40000</v>
      </c>
      <c r="D476" s="176">
        <f>+C476*0.85</f>
        <v>34000</v>
      </c>
      <c r="E476" s="176">
        <f>+C476+D476</f>
        <v>74000</v>
      </c>
      <c r="F476" s="202">
        <v>20</v>
      </c>
      <c r="G476" s="178">
        <f>+E476/F476</f>
        <v>3700</v>
      </c>
      <c r="H476" s="200"/>
      <c r="I476" s="133"/>
      <c r="J476" s="194" t="s">
        <v>5651</v>
      </c>
      <c r="K476" s="345">
        <v>40000</v>
      </c>
      <c r="L476" s="176">
        <f>+K476*0.85</f>
        <v>34000</v>
      </c>
      <c r="M476" s="176">
        <f>+K476+L476</f>
        <v>74000</v>
      </c>
      <c r="N476" s="202">
        <v>20</v>
      </c>
      <c r="O476" s="178">
        <f>+M476/N476</f>
        <v>3700</v>
      </c>
      <c r="P476" s="200"/>
      <c r="Q476" s="337"/>
      <c r="R476" s="336"/>
    </row>
    <row r="477" spans="1:18" x14ac:dyDescent="0.25">
      <c r="A477" s="133"/>
      <c r="B477" s="195" t="s">
        <v>5635</v>
      </c>
      <c r="C477" s="345">
        <v>20600</v>
      </c>
      <c r="D477" s="176">
        <f>+C477*0.85</f>
        <v>17510</v>
      </c>
      <c r="E477" s="176">
        <f>+C477+D477</f>
        <v>38110</v>
      </c>
      <c r="F477" s="226">
        <v>10</v>
      </c>
      <c r="G477" s="178">
        <f>+E477/F477</f>
        <v>3811</v>
      </c>
      <c r="H477" s="200"/>
      <c r="I477" s="133"/>
      <c r="J477" s="195" t="s">
        <v>5635</v>
      </c>
      <c r="K477" s="345">
        <v>20600</v>
      </c>
      <c r="L477" s="176">
        <f>+K477*0.85</f>
        <v>17510</v>
      </c>
      <c r="M477" s="176">
        <f>+K477+L477</f>
        <v>38110</v>
      </c>
      <c r="N477" s="226">
        <v>10</v>
      </c>
      <c r="O477" s="178">
        <f>+M477/N477</f>
        <v>3811</v>
      </c>
      <c r="P477" s="200"/>
      <c r="Q477" s="337"/>
      <c r="R477" s="336"/>
    </row>
    <row r="478" spans="1:18" x14ac:dyDescent="0.25">
      <c r="A478" s="133"/>
      <c r="B478" s="195"/>
      <c r="C478" s="171"/>
      <c r="D478" s="176"/>
      <c r="E478" s="176"/>
      <c r="F478" s="226"/>
      <c r="G478" s="178"/>
      <c r="H478" s="200"/>
      <c r="I478" s="133"/>
      <c r="J478" s="195"/>
      <c r="K478" s="171"/>
      <c r="L478" s="176"/>
      <c r="M478" s="176"/>
      <c r="N478" s="226"/>
      <c r="O478" s="178"/>
      <c r="P478" s="200"/>
      <c r="Q478" s="337"/>
      <c r="R478" s="336"/>
    </row>
    <row r="479" spans="1:18" x14ac:dyDescent="0.25">
      <c r="A479" s="133"/>
      <c r="B479" s="195"/>
      <c r="C479" s="232"/>
      <c r="D479" s="232"/>
      <c r="E479" s="232"/>
      <c r="F479" s="226"/>
      <c r="G479" s="229"/>
      <c r="H479" s="200"/>
      <c r="I479" s="133"/>
      <c r="J479" s="195"/>
      <c r="K479" s="232"/>
      <c r="L479" s="232"/>
      <c r="M479" s="232"/>
      <c r="N479" s="226"/>
      <c r="O479" s="229"/>
      <c r="P479" s="200"/>
      <c r="Q479" s="337"/>
      <c r="R479" s="336"/>
    </row>
    <row r="480" spans="1:18" ht="15.75" thickBot="1" x14ac:dyDescent="0.3">
      <c r="A480" s="133"/>
      <c r="B480" s="195"/>
      <c r="C480" s="232"/>
      <c r="D480" s="232"/>
      <c r="E480" s="232"/>
      <c r="F480" s="226"/>
      <c r="G480" s="229"/>
      <c r="H480" s="200"/>
      <c r="I480" s="133"/>
      <c r="J480" s="195"/>
      <c r="K480" s="232"/>
      <c r="L480" s="232"/>
      <c r="M480" s="232"/>
      <c r="N480" s="226"/>
      <c r="O480" s="229"/>
      <c r="P480" s="200"/>
      <c r="Q480" s="337"/>
      <c r="R480" s="336"/>
    </row>
    <row r="481" spans="1:18" ht="15.75" thickBot="1" x14ac:dyDescent="0.3">
      <c r="A481" s="133"/>
      <c r="B481" s="251"/>
      <c r="C481" s="252"/>
      <c r="D481" s="252"/>
      <c r="E481" s="252"/>
      <c r="F481" s="253"/>
      <c r="G481" s="254"/>
      <c r="H481" s="256">
        <f>+SUM(G475:G481)</f>
        <v>7640.5</v>
      </c>
      <c r="I481" s="133"/>
      <c r="J481" s="251"/>
      <c r="K481" s="252"/>
      <c r="L481" s="252"/>
      <c r="M481" s="252"/>
      <c r="N481" s="253"/>
      <c r="O481" s="254"/>
      <c r="P481" s="256">
        <f>+SUM(O475:O481)</f>
        <v>7640.5</v>
      </c>
      <c r="Q481" s="339"/>
      <c r="R481" s="336"/>
    </row>
    <row r="482" spans="1:18" ht="15.75" thickBot="1" x14ac:dyDescent="0.3">
      <c r="A482" s="133"/>
      <c r="B482" s="8"/>
      <c r="C482" s="8"/>
      <c r="D482" s="8"/>
      <c r="E482" s="8"/>
      <c r="F482" s="133"/>
      <c r="G482" s="200"/>
      <c r="H482" s="200"/>
      <c r="I482" s="133"/>
      <c r="J482" s="8"/>
      <c r="K482" s="8"/>
      <c r="L482" s="8"/>
      <c r="M482" s="8"/>
      <c r="N482" s="133"/>
      <c r="O482" s="200"/>
      <c r="P482" s="200"/>
      <c r="Q482" s="337"/>
      <c r="R482" s="336"/>
    </row>
    <row r="483" spans="1:18" ht="15.75" thickBot="1" x14ac:dyDescent="0.3">
      <c r="A483" s="133"/>
      <c r="B483" s="8"/>
      <c r="C483" s="8"/>
      <c r="D483" s="8"/>
      <c r="E483" s="223" t="s">
        <v>5415</v>
      </c>
      <c r="F483" s="133"/>
      <c r="G483" s="200"/>
      <c r="H483" s="256">
        <f>ROUND(+H481+H472+H464+H449,0)</f>
        <v>8497</v>
      </c>
      <c r="I483" s="133"/>
      <c r="J483" s="8"/>
      <c r="K483" s="8"/>
      <c r="L483" s="8"/>
      <c r="M483" s="223" t="s">
        <v>5415</v>
      </c>
      <c r="N483" s="133"/>
      <c r="O483" s="200"/>
      <c r="P483" s="256">
        <f>ROUND(+P481+P472+P464+P449,0)</f>
        <v>58595</v>
      </c>
      <c r="Q483" s="339"/>
      <c r="R483" s="336"/>
    </row>
    <row r="487" spans="1:18" x14ac:dyDescent="0.25">
      <c r="R487" s="86">
        <v>81955</v>
      </c>
    </row>
    <row r="488" spans="1:18" ht="18.75" x14ac:dyDescent="0.25">
      <c r="A488" s="133"/>
      <c r="B488" s="2506" t="s">
        <v>5400</v>
      </c>
      <c r="C488" s="2506"/>
      <c r="D488" s="2506"/>
      <c r="E488" s="2506"/>
      <c r="F488" s="2506"/>
      <c r="G488" s="2506"/>
      <c r="H488" s="8"/>
      <c r="I488" s="133"/>
      <c r="J488" s="2506" t="s">
        <v>5400</v>
      </c>
      <c r="K488" s="2506"/>
      <c r="L488" s="2506"/>
      <c r="M488" s="2506"/>
      <c r="N488" s="2506"/>
      <c r="O488" s="2506"/>
      <c r="P488" s="8"/>
      <c r="R488" s="86">
        <v>150567</v>
      </c>
    </row>
    <row r="489" spans="1:18" x14ac:dyDescent="0.25">
      <c r="A489" s="133"/>
      <c r="B489" s="8"/>
      <c r="C489" s="8"/>
      <c r="D489" s="8"/>
      <c r="E489" s="8"/>
      <c r="F489" s="133"/>
      <c r="G489" s="200"/>
      <c r="H489" s="200"/>
      <c r="I489" s="133"/>
      <c r="J489" s="8"/>
      <c r="K489" s="8"/>
      <c r="L489" s="8"/>
      <c r="M489" s="8"/>
      <c r="N489" s="133"/>
      <c r="O489" s="200"/>
      <c r="P489" s="200"/>
    </row>
    <row r="490" spans="1:18" x14ac:dyDescent="0.25">
      <c r="A490" s="133"/>
      <c r="B490" s="8"/>
      <c r="C490" s="8"/>
      <c r="D490" s="8"/>
      <c r="E490" s="8"/>
      <c r="F490" s="133"/>
      <c r="G490" s="200"/>
      <c r="H490" s="200"/>
      <c r="I490" s="133"/>
      <c r="J490" s="8"/>
      <c r="K490" s="8"/>
      <c r="L490" s="8"/>
      <c r="M490" s="8"/>
      <c r="N490" s="133"/>
      <c r="O490" s="200"/>
      <c r="P490" s="200"/>
    </row>
    <row r="491" spans="1:18" x14ac:dyDescent="0.25">
      <c r="A491" s="133"/>
      <c r="B491" s="8"/>
      <c r="C491" s="8"/>
      <c r="D491" s="8"/>
      <c r="E491" s="8"/>
      <c r="F491" s="133"/>
      <c r="G491" s="200"/>
      <c r="H491" s="200"/>
      <c r="I491" s="133"/>
      <c r="J491" s="8"/>
      <c r="K491" s="8"/>
      <c r="L491" s="8"/>
      <c r="M491" s="8"/>
      <c r="N491" s="133"/>
      <c r="O491" s="200"/>
      <c r="P491" s="200"/>
    </row>
    <row r="492" spans="1:18" ht="15" customHeight="1" x14ac:dyDescent="0.25">
      <c r="A492" s="220" t="s">
        <v>5482</v>
      </c>
      <c r="B492" s="221" t="s">
        <v>234</v>
      </c>
      <c r="C492" s="2449" t="s">
        <v>5490</v>
      </c>
      <c r="D492" s="2449"/>
      <c r="E492" s="2449"/>
      <c r="F492" s="220" t="s">
        <v>867</v>
      </c>
      <c r="G492" s="222" t="s">
        <v>5424</v>
      </c>
      <c r="H492" s="200"/>
      <c r="I492" s="220" t="s">
        <v>5482</v>
      </c>
      <c r="J492" s="221" t="s">
        <v>234</v>
      </c>
      <c r="K492" s="2449" t="s">
        <v>5490</v>
      </c>
      <c r="L492" s="2449"/>
      <c r="M492" s="2449"/>
      <c r="N492" s="220" t="s">
        <v>867</v>
      </c>
      <c r="O492" s="222" t="s">
        <v>5424</v>
      </c>
      <c r="P492" s="200"/>
    </row>
    <row r="493" spans="1:18" x14ac:dyDescent="0.25">
      <c r="A493" s="133"/>
      <c r="B493" s="8"/>
      <c r="C493" s="223"/>
      <c r="D493" s="223"/>
      <c r="E493" s="223"/>
      <c r="F493" s="133"/>
      <c r="G493" s="200"/>
      <c r="H493" s="200"/>
      <c r="I493" s="133"/>
      <c r="J493" s="8"/>
      <c r="K493" s="223"/>
      <c r="L493" s="223"/>
      <c r="M493" s="223"/>
      <c r="N493" s="133"/>
      <c r="O493" s="200"/>
      <c r="P493" s="200"/>
    </row>
    <row r="494" spans="1:18" x14ac:dyDescent="0.25">
      <c r="A494" s="133"/>
      <c r="B494" s="8"/>
      <c r="C494" s="8"/>
      <c r="D494" s="8"/>
      <c r="E494" s="8"/>
      <c r="F494" s="8"/>
      <c r="G494" s="8"/>
      <c r="H494" s="200"/>
      <c r="I494" s="133"/>
      <c r="J494" s="8"/>
      <c r="K494" s="8"/>
      <c r="L494" s="8"/>
      <c r="M494" s="8"/>
      <c r="N494" s="8"/>
      <c r="O494" s="8"/>
      <c r="P494" s="200"/>
    </row>
    <row r="495" spans="1:18" ht="15.75" thickBot="1" x14ac:dyDescent="0.3">
      <c r="A495" s="133"/>
      <c r="B495" s="8"/>
      <c r="C495" s="8"/>
      <c r="D495" s="8"/>
      <c r="E495" s="8"/>
      <c r="F495" s="133"/>
      <c r="G495" s="200"/>
      <c r="H495" s="200"/>
      <c r="I495" s="133"/>
      <c r="J495" s="8"/>
      <c r="K495" s="8"/>
      <c r="L495" s="8"/>
      <c r="M495" s="8"/>
      <c r="N495" s="133"/>
      <c r="O495" s="200"/>
      <c r="P495" s="200"/>
    </row>
    <row r="496" spans="1:18" ht="15.75" thickBot="1" x14ac:dyDescent="0.3">
      <c r="A496" s="133"/>
      <c r="B496" s="224" t="s">
        <v>5403</v>
      </c>
      <c r="C496" s="193" t="s">
        <v>867</v>
      </c>
      <c r="D496" s="193" t="s">
        <v>6</v>
      </c>
      <c r="E496" s="193" t="s">
        <v>5439</v>
      </c>
      <c r="F496" s="193" t="s">
        <v>5405</v>
      </c>
      <c r="G496" s="225" t="s">
        <v>868</v>
      </c>
      <c r="H496" s="200"/>
      <c r="I496" s="133"/>
      <c r="J496" s="224" t="s">
        <v>5403</v>
      </c>
      <c r="K496" s="193" t="s">
        <v>867</v>
      </c>
      <c r="L496" s="193" t="s">
        <v>6</v>
      </c>
      <c r="M496" s="193" t="s">
        <v>5439</v>
      </c>
      <c r="N496" s="193" t="s">
        <v>5405</v>
      </c>
      <c r="O496" s="225" t="s">
        <v>868</v>
      </c>
      <c r="P496" s="200"/>
    </row>
    <row r="497" spans="1:16" x14ac:dyDescent="0.25">
      <c r="A497" s="133"/>
      <c r="B497" s="195" t="s">
        <v>5440</v>
      </c>
      <c r="C497" s="226" t="s">
        <v>5402</v>
      </c>
      <c r="D497" s="226">
        <v>1</v>
      </c>
      <c r="E497" s="227">
        <f>+H535</f>
        <v>9518.25</v>
      </c>
      <c r="F497" s="226">
        <v>0.1</v>
      </c>
      <c r="G497" s="229">
        <f>+E497*F497</f>
        <v>951.82500000000005</v>
      </c>
      <c r="H497" s="200"/>
      <c r="I497" s="133"/>
      <c r="J497" s="195" t="s">
        <v>5440</v>
      </c>
      <c r="K497" s="226" t="s">
        <v>5402</v>
      </c>
      <c r="L497" s="226">
        <v>1</v>
      </c>
      <c r="M497" s="227">
        <f>+P535</f>
        <v>9518.25</v>
      </c>
      <c r="N497" s="226">
        <v>0.1</v>
      </c>
      <c r="O497" s="229">
        <f>+M497*N497</f>
        <v>951.82500000000005</v>
      </c>
      <c r="P497" s="200"/>
    </row>
    <row r="498" spans="1:16" x14ac:dyDescent="0.25">
      <c r="A498" s="133"/>
      <c r="B498" s="195"/>
      <c r="C498" s="226"/>
      <c r="D498" s="226"/>
      <c r="E498" s="230"/>
      <c r="F498" s="226"/>
      <c r="G498" s="229">
        <f>+E498*F498</f>
        <v>0</v>
      </c>
      <c r="H498" s="200"/>
      <c r="I498" s="133"/>
      <c r="J498" s="195"/>
      <c r="K498" s="226"/>
      <c r="L498" s="226"/>
      <c r="M498" s="230"/>
      <c r="N498" s="226"/>
      <c r="O498" s="229">
        <f>+M498*N498</f>
        <v>0</v>
      </c>
      <c r="P498" s="200"/>
    </row>
    <row r="499" spans="1:16" x14ac:dyDescent="0.25">
      <c r="A499" s="133"/>
      <c r="B499" s="195"/>
      <c r="C499" s="226"/>
      <c r="D499" s="226"/>
      <c r="E499" s="176"/>
      <c r="F499" s="226"/>
      <c r="G499" s="229"/>
      <c r="H499" s="200"/>
      <c r="I499" s="133"/>
      <c r="J499" s="195"/>
      <c r="K499" s="226"/>
      <c r="L499" s="226"/>
      <c r="M499" s="176"/>
      <c r="N499" s="226"/>
      <c r="O499" s="229"/>
      <c r="P499" s="200"/>
    </row>
    <row r="500" spans="1:16" x14ac:dyDescent="0.25">
      <c r="A500" s="133"/>
      <c r="B500" s="195"/>
      <c r="C500" s="226"/>
      <c r="D500" s="226"/>
      <c r="E500" s="171"/>
      <c r="F500" s="226"/>
      <c r="G500" s="231"/>
      <c r="H500" s="200"/>
      <c r="I500" s="133"/>
      <c r="J500" s="195"/>
      <c r="K500" s="226"/>
      <c r="L500" s="226"/>
      <c r="M500" s="171"/>
      <c r="N500" s="226"/>
      <c r="O500" s="231"/>
      <c r="P500" s="200"/>
    </row>
    <row r="501" spans="1:16" x14ac:dyDescent="0.25">
      <c r="A501" s="133"/>
      <c r="B501" s="195"/>
      <c r="C501" s="226"/>
      <c r="D501" s="232"/>
      <c r="E501" s="232"/>
      <c r="F501" s="226"/>
      <c r="G501" s="229"/>
      <c r="H501" s="200"/>
      <c r="I501" s="133"/>
      <c r="J501" s="195"/>
      <c r="K501" s="226"/>
      <c r="L501" s="232"/>
      <c r="M501" s="232"/>
      <c r="N501" s="226"/>
      <c r="O501" s="229"/>
      <c r="P501" s="200"/>
    </row>
    <row r="502" spans="1:16" ht="15.75" thickBot="1" x14ac:dyDescent="0.3">
      <c r="A502" s="133"/>
      <c r="B502" s="195"/>
      <c r="C502" s="226"/>
      <c r="D502" s="232"/>
      <c r="E502" s="232"/>
      <c r="F502" s="226"/>
      <c r="G502" s="229"/>
      <c r="H502" s="200"/>
      <c r="I502" s="133"/>
      <c r="J502" s="195"/>
      <c r="K502" s="226"/>
      <c r="L502" s="232"/>
      <c r="M502" s="232"/>
      <c r="N502" s="226"/>
      <c r="O502" s="229"/>
      <c r="P502" s="200"/>
    </row>
    <row r="503" spans="1:16" ht="15.75" thickBot="1" x14ac:dyDescent="0.3">
      <c r="A503" s="133"/>
      <c r="B503" s="233"/>
      <c r="C503" s="234"/>
      <c r="D503" s="234"/>
      <c r="E503" s="234"/>
      <c r="F503" s="235"/>
      <c r="G503" s="236"/>
      <c r="H503" s="237">
        <f>+SUM(G497:G503)</f>
        <v>951.82500000000005</v>
      </c>
      <c r="I503" s="133"/>
      <c r="J503" s="233"/>
      <c r="K503" s="234"/>
      <c r="L503" s="234"/>
      <c r="M503" s="234"/>
      <c r="N503" s="235"/>
      <c r="O503" s="236"/>
      <c r="P503" s="237">
        <f>+SUM(O497:O503)</f>
        <v>951.82500000000005</v>
      </c>
    </row>
    <row r="504" spans="1:16" ht="15.75" thickBot="1" x14ac:dyDescent="0.3">
      <c r="A504" s="133"/>
      <c r="B504" s="238"/>
      <c r="C504" s="238"/>
      <c r="D504" s="238"/>
      <c r="E504" s="238"/>
      <c r="F504" s="239"/>
      <c r="G504" s="240"/>
      <c r="H504" s="241"/>
      <c r="I504" s="133"/>
      <c r="J504" s="238"/>
      <c r="K504" s="238"/>
      <c r="L504" s="238"/>
      <c r="M504" s="238"/>
      <c r="N504" s="239"/>
      <c r="O504" s="240"/>
      <c r="P504" s="241"/>
    </row>
    <row r="505" spans="1:16" ht="15.75" thickBot="1" x14ac:dyDescent="0.3">
      <c r="A505" s="133"/>
      <c r="B505" s="224" t="s">
        <v>5408</v>
      </c>
      <c r="C505" s="193" t="s">
        <v>867</v>
      </c>
      <c r="D505" s="193" t="s">
        <v>6</v>
      </c>
      <c r="E505" s="193" t="s">
        <v>870</v>
      </c>
      <c r="F505" s="193" t="s">
        <v>5409</v>
      </c>
      <c r="G505" s="225" t="s">
        <v>868</v>
      </c>
      <c r="H505" s="200"/>
      <c r="I505" s="133"/>
      <c r="J505" s="224" t="s">
        <v>5408</v>
      </c>
      <c r="K505" s="193" t="s">
        <v>867</v>
      </c>
      <c r="L505" s="193" t="s">
        <v>6</v>
      </c>
      <c r="M505" s="193" t="s">
        <v>870</v>
      </c>
      <c r="N505" s="193" t="s">
        <v>5409</v>
      </c>
      <c r="O505" s="225" t="s">
        <v>868</v>
      </c>
      <c r="P505" s="200"/>
    </row>
    <row r="506" spans="1:16" x14ac:dyDescent="0.25">
      <c r="A506" s="133"/>
      <c r="B506" s="289" t="s">
        <v>6053</v>
      </c>
      <c r="C506" s="202" t="s">
        <v>5486</v>
      </c>
      <c r="D506" s="202">
        <f>1/40</f>
        <v>2.5000000000000001E-2</v>
      </c>
      <c r="E506" s="171">
        <f>12131*1.16</f>
        <v>14071.96</v>
      </c>
      <c r="F506" s="169">
        <v>0.05</v>
      </c>
      <c r="G506" s="178">
        <f>+D506*E506*(1+F506)</f>
        <v>369.38894999999997</v>
      </c>
      <c r="H506" s="200"/>
      <c r="I506" s="133"/>
      <c r="J506" s="289" t="s">
        <v>6053</v>
      </c>
      <c r="K506" s="202" t="s">
        <v>5486</v>
      </c>
      <c r="L506" s="202">
        <f>1/40</f>
        <v>2.5000000000000001E-2</v>
      </c>
      <c r="M506" s="171">
        <f>12131*1.16</f>
        <v>14071.96</v>
      </c>
      <c r="N506" s="169">
        <v>0.05</v>
      </c>
      <c r="O506" s="178">
        <f>+L506*M506*(1+N506)</f>
        <v>369.38894999999997</v>
      </c>
      <c r="P506" s="200"/>
    </row>
    <row r="507" spans="1:16" x14ac:dyDescent="0.25">
      <c r="A507" s="133"/>
      <c r="B507" s="259"/>
      <c r="C507" s="226"/>
      <c r="D507" s="226"/>
      <c r="E507" s="171"/>
      <c r="F507" s="169"/>
      <c r="G507" s="178">
        <f>+D507*E507*(1+F507)</f>
        <v>0</v>
      </c>
      <c r="H507" s="200"/>
      <c r="I507" s="133"/>
      <c r="J507" s="453" t="s">
        <v>6055</v>
      </c>
      <c r="K507" s="226" t="s">
        <v>5424</v>
      </c>
      <c r="L507" s="226">
        <v>2</v>
      </c>
      <c r="M507" s="171">
        <v>116261</v>
      </c>
      <c r="N507" s="169"/>
      <c r="O507" s="178">
        <f>+L507*M507*(1+N507)</f>
        <v>232522</v>
      </c>
      <c r="P507" s="200"/>
    </row>
    <row r="508" spans="1:16" x14ac:dyDescent="0.25">
      <c r="A508" s="133"/>
      <c r="B508" s="195"/>
      <c r="C508" s="202"/>
      <c r="D508" s="202"/>
      <c r="E508" s="171"/>
      <c r="F508" s="169"/>
      <c r="G508" s="178">
        <f>+D508*E508*(1+F508)</f>
        <v>0</v>
      </c>
      <c r="H508" s="200"/>
      <c r="I508" s="133"/>
      <c r="J508" s="195"/>
      <c r="K508" s="202"/>
      <c r="L508" s="202"/>
      <c r="M508" s="171"/>
      <c r="N508" s="169"/>
      <c r="O508" s="178">
        <f>+L508*M508*(1+N508)</f>
        <v>0</v>
      </c>
      <c r="P508" s="200"/>
    </row>
    <row r="509" spans="1:16" x14ac:dyDescent="0.25">
      <c r="A509" s="133"/>
      <c r="B509" s="195"/>
      <c r="C509" s="202"/>
      <c r="D509" s="202"/>
      <c r="E509" s="171"/>
      <c r="F509" s="169"/>
      <c r="G509" s="178"/>
      <c r="H509" s="200"/>
      <c r="I509" s="133"/>
      <c r="J509" s="195"/>
      <c r="K509" s="202"/>
      <c r="L509" s="202"/>
      <c r="M509" s="171"/>
      <c r="N509" s="169"/>
      <c r="O509" s="178"/>
      <c r="P509" s="200"/>
    </row>
    <row r="510" spans="1:16" x14ac:dyDescent="0.25">
      <c r="A510" s="133"/>
      <c r="B510" s="195"/>
      <c r="C510" s="202"/>
      <c r="D510" s="202"/>
      <c r="E510" s="171"/>
      <c r="F510" s="169"/>
      <c r="G510" s="178"/>
      <c r="H510" s="200"/>
      <c r="I510" s="133"/>
      <c r="J510" s="195"/>
      <c r="K510" s="202"/>
      <c r="L510" s="202"/>
      <c r="M510" s="171"/>
      <c r="N510" s="169"/>
      <c r="O510" s="178"/>
      <c r="P510" s="200"/>
    </row>
    <row r="511" spans="1:16" x14ac:dyDescent="0.25">
      <c r="A511" s="133"/>
      <c r="B511" s="194"/>
      <c r="C511" s="202"/>
      <c r="D511" s="202"/>
      <c r="E511" s="171"/>
      <c r="F511" s="169"/>
      <c r="G511" s="178"/>
      <c r="H511" s="200"/>
      <c r="I511" s="133"/>
      <c r="J511" s="194"/>
      <c r="K511" s="202"/>
      <c r="L511" s="202"/>
      <c r="M511" s="171"/>
      <c r="N511" s="169"/>
      <c r="O511" s="178"/>
      <c r="P511" s="200"/>
    </row>
    <row r="512" spans="1:16" x14ac:dyDescent="0.25">
      <c r="A512" s="133"/>
      <c r="B512" s="195"/>
      <c r="C512" s="226"/>
      <c r="D512" s="226"/>
      <c r="E512" s="171"/>
      <c r="F512" s="169"/>
      <c r="G512" s="178"/>
      <c r="H512" s="200"/>
      <c r="I512" s="133"/>
      <c r="J512" s="195"/>
      <c r="K512" s="226"/>
      <c r="L512" s="226"/>
      <c r="M512" s="171"/>
      <c r="N512" s="169"/>
      <c r="O512" s="178"/>
      <c r="P512" s="200"/>
    </row>
    <row r="513" spans="1:16" x14ac:dyDescent="0.25">
      <c r="A513" s="133"/>
      <c r="B513" s="195"/>
      <c r="C513" s="226"/>
      <c r="D513" s="226"/>
      <c r="E513" s="171"/>
      <c r="F513" s="169"/>
      <c r="G513" s="178"/>
      <c r="H513" s="200"/>
      <c r="I513" s="133"/>
      <c r="J513" s="195"/>
      <c r="K513" s="226"/>
      <c r="L513" s="226"/>
      <c r="M513" s="171"/>
      <c r="N513" s="169"/>
      <c r="O513" s="178"/>
      <c r="P513" s="200"/>
    </row>
    <row r="514" spans="1:16" x14ac:dyDescent="0.25">
      <c r="A514" s="133"/>
      <c r="B514" s="195"/>
      <c r="C514" s="232"/>
      <c r="D514" s="232"/>
      <c r="E514" s="232"/>
      <c r="F514" s="226"/>
      <c r="G514" s="229"/>
      <c r="H514" s="200"/>
      <c r="I514" s="133"/>
      <c r="J514" s="195"/>
      <c r="K514" s="232"/>
      <c r="L514" s="232"/>
      <c r="M514" s="232"/>
      <c r="N514" s="226"/>
      <c r="O514" s="229"/>
      <c r="P514" s="200"/>
    </row>
    <row r="515" spans="1:16" x14ac:dyDescent="0.25">
      <c r="A515" s="133"/>
      <c r="B515" s="195"/>
      <c r="C515" s="232"/>
      <c r="D515" s="232"/>
      <c r="E515" s="232"/>
      <c r="F515" s="226"/>
      <c r="G515" s="229"/>
      <c r="H515" s="200"/>
      <c r="I515" s="133"/>
      <c r="J515" s="195"/>
      <c r="K515" s="232"/>
      <c r="L515" s="232"/>
      <c r="M515" s="232"/>
      <c r="N515" s="226"/>
      <c r="O515" s="229"/>
      <c r="P515" s="200"/>
    </row>
    <row r="516" spans="1:16" x14ac:dyDescent="0.25">
      <c r="A516" s="133"/>
      <c r="B516" s="195"/>
      <c r="C516" s="232"/>
      <c r="D516" s="232"/>
      <c r="E516" s="232"/>
      <c r="F516" s="226"/>
      <c r="G516" s="229"/>
      <c r="H516" s="200"/>
      <c r="I516" s="133"/>
      <c r="J516" s="195"/>
      <c r="K516" s="232"/>
      <c r="L516" s="232"/>
      <c r="M516" s="232"/>
      <c r="N516" s="226"/>
      <c r="O516" s="229"/>
      <c r="P516" s="200"/>
    </row>
    <row r="517" spans="1:16" ht="15.75" thickBot="1" x14ac:dyDescent="0.3">
      <c r="A517" s="133"/>
      <c r="B517" s="195"/>
      <c r="C517" s="232"/>
      <c r="D517" s="232"/>
      <c r="E517" s="232"/>
      <c r="F517" s="226"/>
      <c r="G517" s="229"/>
      <c r="H517" s="200"/>
      <c r="I517" s="133"/>
      <c r="J517" s="195"/>
      <c r="K517" s="232"/>
      <c r="L517" s="232"/>
      <c r="M517" s="232"/>
      <c r="N517" s="226"/>
      <c r="O517" s="229"/>
      <c r="P517" s="200"/>
    </row>
    <row r="518" spans="1:16" ht="15.75" thickBot="1" x14ac:dyDescent="0.3">
      <c r="A518" s="133"/>
      <c r="B518" s="233"/>
      <c r="C518" s="234"/>
      <c r="D518" s="234"/>
      <c r="E518" s="234"/>
      <c r="F518" s="235"/>
      <c r="G518" s="236"/>
      <c r="H518" s="256">
        <f>+SUM(G506:G518)</f>
        <v>369.38894999999997</v>
      </c>
      <c r="I518" s="133"/>
      <c r="J518" s="233"/>
      <c r="K518" s="234"/>
      <c r="L518" s="234"/>
      <c r="M518" s="234"/>
      <c r="N518" s="235"/>
      <c r="O518" s="236"/>
      <c r="P518" s="256">
        <f>+SUM(O506:O518)</f>
        <v>232891.38894999999</v>
      </c>
    </row>
    <row r="519" spans="1:16" ht="15.75" thickBot="1" x14ac:dyDescent="0.3">
      <c r="A519" s="133"/>
      <c r="B519" s="238"/>
      <c r="C519" s="238"/>
      <c r="D519" s="238"/>
      <c r="E519" s="238"/>
      <c r="F519" s="239"/>
      <c r="G519" s="240"/>
      <c r="H519" s="241"/>
      <c r="I519" s="133"/>
      <c r="J519" s="238"/>
      <c r="K519" s="238"/>
      <c r="L519" s="238"/>
      <c r="M519" s="238"/>
      <c r="N519" s="239"/>
      <c r="O519" s="240"/>
      <c r="P519" s="241"/>
    </row>
    <row r="520" spans="1:16" ht="15.75" thickBot="1" x14ac:dyDescent="0.3">
      <c r="A520" s="133"/>
      <c r="B520" s="224" t="s">
        <v>5410</v>
      </c>
      <c r="C520" s="193" t="s">
        <v>867</v>
      </c>
      <c r="D520" s="193" t="s">
        <v>6</v>
      </c>
      <c r="E520" s="193" t="s">
        <v>870</v>
      </c>
      <c r="F520" s="193" t="s">
        <v>5411</v>
      </c>
      <c r="G520" s="225" t="s">
        <v>868</v>
      </c>
      <c r="H520" s="200"/>
      <c r="I520" s="133"/>
      <c r="J520" s="224" t="s">
        <v>5410</v>
      </c>
      <c r="K520" s="193" t="s">
        <v>867</v>
      </c>
      <c r="L520" s="193" t="s">
        <v>6</v>
      </c>
      <c r="M520" s="193" t="s">
        <v>870</v>
      </c>
      <c r="N520" s="193" t="s">
        <v>5411</v>
      </c>
      <c r="O520" s="225" t="s">
        <v>868</v>
      </c>
      <c r="P520" s="200"/>
    </row>
    <row r="521" spans="1:16" x14ac:dyDescent="0.25">
      <c r="A521" s="133"/>
      <c r="B521" s="245"/>
      <c r="C521" s="202"/>
      <c r="D521" s="202"/>
      <c r="E521" s="175"/>
      <c r="F521" s="202"/>
      <c r="G521" s="203"/>
      <c r="H521" s="246"/>
      <c r="I521" s="133"/>
      <c r="J521" s="245"/>
      <c r="K521" s="202"/>
      <c r="L521" s="202"/>
      <c r="M521" s="175"/>
      <c r="N521" s="202"/>
      <c r="O521" s="203"/>
      <c r="P521" s="246"/>
    </row>
    <row r="522" spans="1:16" x14ac:dyDescent="0.25">
      <c r="A522" s="133"/>
      <c r="B522" s="247"/>
      <c r="C522" s="248"/>
      <c r="D522" s="248"/>
      <c r="E522" s="248"/>
      <c r="F522" s="202"/>
      <c r="G522" s="178"/>
      <c r="H522" s="200"/>
      <c r="I522" s="133"/>
      <c r="J522" s="247"/>
      <c r="K522" s="248"/>
      <c r="L522" s="248"/>
      <c r="M522" s="248"/>
      <c r="N522" s="202"/>
      <c r="O522" s="178"/>
      <c r="P522" s="200"/>
    </row>
    <row r="523" spans="1:16" x14ac:dyDescent="0.25">
      <c r="A523" s="133"/>
      <c r="B523" s="247"/>
      <c r="C523" s="232"/>
      <c r="D523" s="232"/>
      <c r="E523" s="232"/>
      <c r="F523" s="226"/>
      <c r="G523" s="229"/>
      <c r="H523" s="200"/>
      <c r="I523" s="133"/>
      <c r="J523" s="247"/>
      <c r="K523" s="232"/>
      <c r="L523" s="232"/>
      <c r="M523" s="232"/>
      <c r="N523" s="226"/>
      <c r="O523" s="229"/>
      <c r="P523" s="200"/>
    </row>
    <row r="524" spans="1:16" x14ac:dyDescent="0.25">
      <c r="A524" s="133"/>
      <c r="B524" s="194"/>
      <c r="C524" s="232"/>
      <c r="D524" s="232"/>
      <c r="E524" s="232"/>
      <c r="F524" s="226"/>
      <c r="G524" s="229"/>
      <c r="H524" s="200"/>
      <c r="I524" s="133"/>
      <c r="J524" s="194"/>
      <c r="K524" s="232"/>
      <c r="L524" s="232"/>
      <c r="M524" s="232"/>
      <c r="N524" s="226"/>
      <c r="O524" s="229"/>
      <c r="P524" s="200"/>
    </row>
    <row r="525" spans="1:16" ht="15.75" thickBot="1" x14ac:dyDescent="0.3">
      <c r="A525" s="133"/>
      <c r="B525" s="195"/>
      <c r="C525" s="232"/>
      <c r="D525" s="232"/>
      <c r="E525" s="232"/>
      <c r="F525" s="226"/>
      <c r="G525" s="229"/>
      <c r="H525" s="200"/>
      <c r="I525" s="133"/>
      <c r="J525" s="195"/>
      <c r="K525" s="232"/>
      <c r="L525" s="232"/>
      <c r="M525" s="232"/>
      <c r="N525" s="226"/>
      <c r="O525" s="229"/>
      <c r="P525" s="200"/>
    </row>
    <row r="526" spans="1:16" ht="15.75" thickBot="1" x14ac:dyDescent="0.3">
      <c r="A526" s="133"/>
      <c r="B526" s="233"/>
      <c r="C526" s="234"/>
      <c r="D526" s="234"/>
      <c r="E526" s="234"/>
      <c r="F526" s="235"/>
      <c r="G526" s="236"/>
      <c r="H526" s="237">
        <f>+SUM(G521:G526)</f>
        <v>0</v>
      </c>
      <c r="I526" s="133"/>
      <c r="J526" s="233"/>
      <c r="K526" s="234"/>
      <c r="L526" s="234"/>
      <c r="M526" s="234"/>
      <c r="N526" s="235"/>
      <c r="O526" s="236"/>
      <c r="P526" s="237">
        <f>+SUM(O521:O526)</f>
        <v>0</v>
      </c>
    </row>
    <row r="527" spans="1:16" ht="15.75" thickBot="1" x14ac:dyDescent="0.3">
      <c r="A527" s="133"/>
      <c r="B527" s="238"/>
      <c r="C527" s="238"/>
      <c r="D527" s="238"/>
      <c r="E527" s="238"/>
      <c r="F527" s="249"/>
      <c r="G527" s="250"/>
      <c r="H527" s="241"/>
      <c r="I527" s="133"/>
      <c r="J527" s="238"/>
      <c r="K527" s="238"/>
      <c r="L527" s="238"/>
      <c r="M527" s="238"/>
      <c r="N527" s="249"/>
      <c r="O527" s="250"/>
      <c r="P527" s="241"/>
    </row>
    <row r="528" spans="1:16" ht="15.75" thickBot="1" x14ac:dyDescent="0.3">
      <c r="A528" s="133"/>
      <c r="B528" s="224" t="s">
        <v>5412</v>
      </c>
      <c r="C528" s="193" t="s">
        <v>5420</v>
      </c>
      <c r="D528" s="193" t="s">
        <v>5421</v>
      </c>
      <c r="E528" s="193" t="s">
        <v>5413</v>
      </c>
      <c r="F528" s="193" t="s">
        <v>5405</v>
      </c>
      <c r="G528" s="225" t="s">
        <v>868</v>
      </c>
      <c r="H528" s="200"/>
      <c r="I528" s="133"/>
      <c r="J528" s="224" t="s">
        <v>5412</v>
      </c>
      <c r="K528" s="193" t="s">
        <v>5420</v>
      </c>
      <c r="L528" s="193" t="s">
        <v>5421</v>
      </c>
      <c r="M528" s="193" t="s">
        <v>5413</v>
      </c>
      <c r="N528" s="193" t="s">
        <v>5405</v>
      </c>
      <c r="O528" s="225" t="s">
        <v>868</v>
      </c>
      <c r="P528" s="200"/>
    </row>
    <row r="529" spans="1:16" x14ac:dyDescent="0.25">
      <c r="A529" s="133"/>
      <c r="B529" s="194" t="s">
        <v>5948</v>
      </c>
      <c r="C529" s="345">
        <v>70000</v>
      </c>
      <c r="D529" s="176">
        <f>+C529*0.85</f>
        <v>59500</v>
      </c>
      <c r="E529" s="176">
        <f>+C529+D529</f>
        <v>129500</v>
      </c>
      <c r="F529" s="204">
        <v>1000</v>
      </c>
      <c r="G529" s="178">
        <f>+E529/F529</f>
        <v>129.5</v>
      </c>
      <c r="H529" s="200"/>
      <c r="I529" s="133"/>
      <c r="J529" s="194" t="s">
        <v>5948</v>
      </c>
      <c r="K529" s="345">
        <v>70000</v>
      </c>
      <c r="L529" s="176">
        <f>+K529*0.85</f>
        <v>59500</v>
      </c>
      <c r="M529" s="176">
        <f>+K529+L529</f>
        <v>129500</v>
      </c>
      <c r="N529" s="204">
        <v>1000</v>
      </c>
      <c r="O529" s="178">
        <f>+M529/N529</f>
        <v>129.5</v>
      </c>
      <c r="P529" s="200"/>
    </row>
    <row r="530" spans="1:16" x14ac:dyDescent="0.25">
      <c r="A530" s="133"/>
      <c r="B530" s="194" t="s">
        <v>5651</v>
      </c>
      <c r="C530" s="345">
        <v>40000</v>
      </c>
      <c r="D530" s="176">
        <f>+C530*0.85</f>
        <v>34000</v>
      </c>
      <c r="E530" s="176">
        <f>+C530+D530</f>
        <v>74000</v>
      </c>
      <c r="F530" s="202">
        <v>16</v>
      </c>
      <c r="G530" s="178">
        <f>+E530/F530</f>
        <v>4625</v>
      </c>
      <c r="H530" s="200"/>
      <c r="I530" s="133"/>
      <c r="J530" s="194" t="s">
        <v>5651</v>
      </c>
      <c r="K530" s="345">
        <v>40000</v>
      </c>
      <c r="L530" s="176">
        <f>+K530*0.85</f>
        <v>34000</v>
      </c>
      <c r="M530" s="176">
        <f>+K530+L530</f>
        <v>74000</v>
      </c>
      <c r="N530" s="202">
        <v>16</v>
      </c>
      <c r="O530" s="178">
        <f>+M530/N530</f>
        <v>4625</v>
      </c>
      <c r="P530" s="200"/>
    </row>
    <row r="531" spans="1:16" x14ac:dyDescent="0.25">
      <c r="A531" s="133"/>
      <c r="B531" s="195" t="s">
        <v>5635</v>
      </c>
      <c r="C531" s="345">
        <v>20600</v>
      </c>
      <c r="D531" s="176">
        <f>+C531*0.85</f>
        <v>17510</v>
      </c>
      <c r="E531" s="176">
        <f>+C531+D531</f>
        <v>38110</v>
      </c>
      <c r="F531" s="226">
        <v>8</v>
      </c>
      <c r="G531" s="178">
        <f>+E531/F531</f>
        <v>4763.75</v>
      </c>
      <c r="H531" s="200"/>
      <c r="I531" s="133"/>
      <c r="J531" s="195" t="s">
        <v>5635</v>
      </c>
      <c r="K531" s="345">
        <v>20600</v>
      </c>
      <c r="L531" s="176">
        <f>+K531*0.85</f>
        <v>17510</v>
      </c>
      <c r="M531" s="176">
        <f>+K531+L531</f>
        <v>38110</v>
      </c>
      <c r="N531" s="226">
        <v>8</v>
      </c>
      <c r="O531" s="178">
        <f>+M531/N531</f>
        <v>4763.75</v>
      </c>
      <c r="P531" s="200"/>
    </row>
    <row r="532" spans="1:16" x14ac:dyDescent="0.25">
      <c r="A532" s="133"/>
      <c r="B532" s="195"/>
      <c r="C532" s="171"/>
      <c r="D532" s="176"/>
      <c r="E532" s="176"/>
      <c r="F532" s="226"/>
      <c r="G532" s="178"/>
      <c r="H532" s="200"/>
      <c r="I532" s="133"/>
      <c r="J532" s="195"/>
      <c r="K532" s="171"/>
      <c r="L532" s="176"/>
      <c r="M532" s="176"/>
      <c r="N532" s="226"/>
      <c r="O532" s="178"/>
      <c r="P532" s="200"/>
    </row>
    <row r="533" spans="1:16" x14ac:dyDescent="0.25">
      <c r="A533" s="133"/>
      <c r="B533" s="195"/>
      <c r="C533" s="232"/>
      <c r="D533" s="232"/>
      <c r="E533" s="232"/>
      <c r="F533" s="226"/>
      <c r="G533" s="229"/>
      <c r="H533" s="200"/>
      <c r="I533" s="133"/>
      <c r="J533" s="195"/>
      <c r="K533" s="232"/>
      <c r="L533" s="232"/>
      <c r="M533" s="232"/>
      <c r="N533" s="226"/>
      <c r="O533" s="229"/>
      <c r="P533" s="200"/>
    </row>
    <row r="534" spans="1:16" ht="15.75" thickBot="1" x14ac:dyDescent="0.3">
      <c r="A534" s="133"/>
      <c r="B534" s="195"/>
      <c r="C534" s="232"/>
      <c r="D534" s="232"/>
      <c r="E534" s="232"/>
      <c r="F534" s="226"/>
      <c r="G534" s="229"/>
      <c r="H534" s="200"/>
      <c r="I534" s="133"/>
      <c r="J534" s="195"/>
      <c r="K534" s="232"/>
      <c r="L534" s="232"/>
      <c r="M534" s="232"/>
      <c r="N534" s="226"/>
      <c r="O534" s="229"/>
      <c r="P534" s="200"/>
    </row>
    <row r="535" spans="1:16" ht="15.75" thickBot="1" x14ac:dyDescent="0.3">
      <c r="A535" s="133"/>
      <c r="B535" s="251"/>
      <c r="C535" s="252"/>
      <c r="D535" s="252"/>
      <c r="E535" s="252"/>
      <c r="F535" s="253"/>
      <c r="G535" s="254"/>
      <c r="H535" s="256">
        <f>+SUM(G529:G535)</f>
        <v>9518.25</v>
      </c>
      <c r="I535" s="133"/>
      <c r="J535" s="251"/>
      <c r="K535" s="252"/>
      <c r="L535" s="252"/>
      <c r="M535" s="252"/>
      <c r="N535" s="253"/>
      <c r="O535" s="254"/>
      <c r="P535" s="256">
        <f>+SUM(O529:O535)</f>
        <v>9518.25</v>
      </c>
    </row>
    <row r="536" spans="1:16" ht="15.75" thickBot="1" x14ac:dyDescent="0.3">
      <c r="A536" s="133"/>
      <c r="B536" s="8"/>
      <c r="C536" s="8"/>
      <c r="D536" s="8"/>
      <c r="E536" s="8"/>
      <c r="F536" s="133"/>
      <c r="G536" s="200"/>
      <c r="H536" s="200"/>
      <c r="I536" s="133"/>
      <c r="J536" s="8"/>
      <c r="K536" s="8"/>
      <c r="L536" s="8"/>
      <c r="M536" s="8"/>
      <c r="N536" s="133"/>
      <c r="O536" s="200"/>
      <c r="P536" s="200"/>
    </row>
    <row r="537" spans="1:16" ht="15.75" thickBot="1" x14ac:dyDescent="0.3">
      <c r="A537" s="133"/>
      <c r="B537" s="8"/>
      <c r="C537" s="8"/>
      <c r="D537" s="8"/>
      <c r="E537" s="223" t="s">
        <v>5415</v>
      </c>
      <c r="F537" s="133"/>
      <c r="G537" s="200"/>
      <c r="H537" s="256">
        <f>ROUND(+H535+H526+H518+H503,0)</f>
        <v>10839</v>
      </c>
      <c r="I537" s="133"/>
      <c r="J537" s="8"/>
      <c r="K537" s="8"/>
      <c r="L537" s="8"/>
      <c r="M537" s="223" t="s">
        <v>5415</v>
      </c>
      <c r="N537" s="133"/>
      <c r="O537" s="200"/>
      <c r="P537" s="256">
        <f>ROUND(+P535+P526+P518+P503,0)</f>
        <v>243361</v>
      </c>
    </row>
    <row r="542" spans="1:16" ht="18.75" x14ac:dyDescent="0.25">
      <c r="A542" s="133"/>
      <c r="B542" s="2506" t="s">
        <v>5400</v>
      </c>
      <c r="C542" s="2506"/>
      <c r="D542" s="2506"/>
      <c r="E542" s="2506"/>
      <c r="F542" s="2506"/>
      <c r="G542" s="2506"/>
      <c r="H542" s="8"/>
      <c r="I542" s="133"/>
      <c r="J542" s="2506" t="s">
        <v>5400</v>
      </c>
      <c r="K542" s="2506"/>
      <c r="L542" s="2506"/>
      <c r="M542" s="2506"/>
      <c r="N542" s="2506"/>
      <c r="O542" s="2506"/>
      <c r="P542" s="8"/>
    </row>
    <row r="543" spans="1:16" x14ac:dyDescent="0.25">
      <c r="A543" s="133"/>
      <c r="B543" s="8"/>
      <c r="C543" s="8"/>
      <c r="D543" s="8"/>
      <c r="E543" s="8"/>
      <c r="F543" s="133"/>
      <c r="G543" s="200"/>
      <c r="H543" s="200"/>
      <c r="I543" s="133"/>
      <c r="J543" s="8"/>
      <c r="K543" s="8"/>
      <c r="L543" s="8"/>
      <c r="M543" s="8"/>
      <c r="N543" s="133"/>
      <c r="O543" s="200"/>
      <c r="P543" s="200"/>
    </row>
    <row r="544" spans="1:16" x14ac:dyDescent="0.25">
      <c r="A544" s="133"/>
      <c r="B544" s="8"/>
      <c r="C544" s="8"/>
      <c r="D544" s="8"/>
      <c r="E544" s="8"/>
      <c r="F544" s="133"/>
      <c r="G544" s="200"/>
      <c r="H544" s="200"/>
      <c r="I544" s="133"/>
      <c r="J544" s="8"/>
      <c r="K544" s="8"/>
      <c r="L544" s="8"/>
      <c r="M544" s="8"/>
      <c r="N544" s="133"/>
      <c r="O544" s="200"/>
      <c r="P544" s="200"/>
    </row>
    <row r="545" spans="1:18" x14ac:dyDescent="0.25">
      <c r="A545" s="133"/>
      <c r="B545" s="8"/>
      <c r="C545" s="8"/>
      <c r="D545" s="8"/>
      <c r="E545" s="8"/>
      <c r="F545" s="133"/>
      <c r="G545" s="200"/>
      <c r="H545" s="200"/>
      <c r="I545" s="133"/>
      <c r="J545" s="8"/>
      <c r="K545" s="8"/>
      <c r="L545" s="8"/>
      <c r="M545" s="8"/>
      <c r="N545" s="133"/>
      <c r="O545" s="200"/>
      <c r="P545" s="200"/>
    </row>
    <row r="546" spans="1:18" ht="15" customHeight="1" x14ac:dyDescent="0.25">
      <c r="A546" s="220" t="s">
        <v>5482</v>
      </c>
      <c r="B546" s="221" t="s">
        <v>235</v>
      </c>
      <c r="C546" s="2449" t="s">
        <v>5491</v>
      </c>
      <c r="D546" s="2449"/>
      <c r="E546" s="2449"/>
      <c r="F546" s="220" t="s">
        <v>867</v>
      </c>
      <c r="G546" s="222" t="s">
        <v>5424</v>
      </c>
      <c r="H546" s="200"/>
      <c r="I546" s="220" t="s">
        <v>5482</v>
      </c>
      <c r="J546" s="221" t="s">
        <v>235</v>
      </c>
      <c r="K546" s="2449" t="s">
        <v>5491</v>
      </c>
      <c r="L546" s="2449"/>
      <c r="M546" s="2449"/>
      <c r="N546" s="220" t="s">
        <v>867</v>
      </c>
      <c r="O546" s="222" t="s">
        <v>5424</v>
      </c>
      <c r="P546" s="200"/>
    </row>
    <row r="547" spans="1:18" x14ac:dyDescent="0.25">
      <c r="A547" s="133"/>
      <c r="B547" s="8"/>
      <c r="C547" s="223"/>
      <c r="D547" s="223"/>
      <c r="E547" s="223"/>
      <c r="F547" s="133"/>
      <c r="G547" s="200"/>
      <c r="H547" s="200"/>
      <c r="I547" s="133"/>
      <c r="J547" s="8"/>
      <c r="K547" s="223"/>
      <c r="L547" s="223"/>
      <c r="M547" s="223"/>
      <c r="N547" s="133"/>
      <c r="O547" s="200"/>
      <c r="P547" s="200"/>
    </row>
    <row r="548" spans="1:18" x14ac:dyDescent="0.25">
      <c r="A548" s="133"/>
      <c r="B548" s="8"/>
      <c r="C548" s="8"/>
      <c r="D548" s="8"/>
      <c r="E548" s="8"/>
      <c r="F548" s="8"/>
      <c r="G548" s="8"/>
      <c r="H548" s="200"/>
      <c r="I548" s="133"/>
      <c r="J548" s="8"/>
      <c r="K548" s="8"/>
      <c r="L548" s="8"/>
      <c r="M548" s="8"/>
      <c r="N548" s="8"/>
      <c r="O548" s="8"/>
      <c r="P548" s="200"/>
    </row>
    <row r="549" spans="1:18" ht="15.75" thickBot="1" x14ac:dyDescent="0.3">
      <c r="A549" s="133"/>
      <c r="B549" s="8"/>
      <c r="C549" s="8"/>
      <c r="D549" s="8"/>
      <c r="E549" s="8"/>
      <c r="F549" s="133"/>
      <c r="G549" s="200"/>
      <c r="H549" s="200"/>
      <c r="I549" s="133"/>
      <c r="J549" s="8"/>
      <c r="K549" s="8"/>
      <c r="L549" s="8"/>
      <c r="M549" s="8"/>
      <c r="N549" s="133"/>
      <c r="O549" s="200"/>
      <c r="P549" s="200"/>
    </row>
    <row r="550" spans="1:18" ht="15.75" thickBot="1" x14ac:dyDescent="0.3">
      <c r="A550" s="133"/>
      <c r="B550" s="224" t="s">
        <v>5403</v>
      </c>
      <c r="C550" s="193" t="s">
        <v>867</v>
      </c>
      <c r="D550" s="193" t="s">
        <v>6</v>
      </c>
      <c r="E550" s="193" t="s">
        <v>5439</v>
      </c>
      <c r="F550" s="193" t="s">
        <v>5405</v>
      </c>
      <c r="G550" s="225" t="s">
        <v>868</v>
      </c>
      <c r="H550" s="200"/>
      <c r="I550" s="133"/>
      <c r="J550" s="224" t="s">
        <v>5403</v>
      </c>
      <c r="K550" s="193" t="s">
        <v>867</v>
      </c>
      <c r="L550" s="193" t="s">
        <v>6</v>
      </c>
      <c r="M550" s="193" t="s">
        <v>5439</v>
      </c>
      <c r="N550" s="193" t="s">
        <v>5405</v>
      </c>
      <c r="O550" s="225" t="s">
        <v>868</v>
      </c>
      <c r="P550" s="200"/>
    </row>
    <row r="551" spans="1:18" x14ac:dyDescent="0.25">
      <c r="A551" s="133"/>
      <c r="B551" s="195" t="s">
        <v>5440</v>
      </c>
      <c r="C551" s="226" t="s">
        <v>5402</v>
      </c>
      <c r="D551" s="226">
        <v>1</v>
      </c>
      <c r="E551" s="227">
        <f>+H589</f>
        <v>15151.5</v>
      </c>
      <c r="F551" s="226">
        <v>0.1</v>
      </c>
      <c r="G551" s="229">
        <f>+E551*F551</f>
        <v>1515.15</v>
      </c>
      <c r="H551" s="200"/>
      <c r="I551" s="133"/>
      <c r="J551" s="195" t="s">
        <v>5440</v>
      </c>
      <c r="K551" s="226" t="s">
        <v>5402</v>
      </c>
      <c r="L551" s="226">
        <v>1</v>
      </c>
      <c r="M551" s="227">
        <f>+P589</f>
        <v>15151.5</v>
      </c>
      <c r="N551" s="226">
        <v>0.1</v>
      </c>
      <c r="O551" s="229">
        <f>+M551*N551</f>
        <v>1515.15</v>
      </c>
      <c r="P551" s="200"/>
    </row>
    <row r="552" spans="1:18" x14ac:dyDescent="0.25">
      <c r="A552" s="133"/>
      <c r="B552" s="195"/>
      <c r="C552" s="226"/>
      <c r="D552" s="226"/>
      <c r="E552" s="230"/>
      <c r="F552" s="226"/>
      <c r="G552" s="229">
        <f>+E552*F552</f>
        <v>0</v>
      </c>
      <c r="H552" s="200"/>
      <c r="I552" s="133"/>
      <c r="J552" s="195"/>
      <c r="K552" s="226"/>
      <c r="L552" s="226"/>
      <c r="M552" s="230"/>
      <c r="N552" s="226"/>
      <c r="O552" s="229">
        <f>+M552*N552</f>
        <v>0</v>
      </c>
      <c r="P552" s="200"/>
    </row>
    <row r="553" spans="1:18" x14ac:dyDescent="0.25">
      <c r="A553" s="133"/>
      <c r="B553" s="195"/>
      <c r="C553" s="226"/>
      <c r="D553" s="226"/>
      <c r="E553" s="176"/>
      <c r="F553" s="226"/>
      <c r="G553" s="229"/>
      <c r="H553" s="200"/>
      <c r="I553" s="133"/>
      <c r="J553" s="195"/>
      <c r="K553" s="226"/>
      <c r="L553" s="226"/>
      <c r="M553" s="176"/>
      <c r="N553" s="226"/>
      <c r="O553" s="229"/>
      <c r="P553" s="200"/>
    </row>
    <row r="554" spans="1:18" x14ac:dyDescent="0.25">
      <c r="A554" s="133"/>
      <c r="B554" s="195"/>
      <c r="C554" s="226"/>
      <c r="D554" s="226"/>
      <c r="E554" s="171"/>
      <c r="F554" s="226"/>
      <c r="G554" s="231"/>
      <c r="H554" s="200"/>
      <c r="I554" s="133"/>
      <c r="J554" s="195"/>
      <c r="K554" s="226"/>
      <c r="L554" s="226"/>
      <c r="M554" s="171"/>
      <c r="N554" s="226"/>
      <c r="O554" s="231"/>
      <c r="P554" s="200"/>
    </row>
    <row r="555" spans="1:18" x14ac:dyDescent="0.25">
      <c r="A555" s="133"/>
      <c r="B555" s="195"/>
      <c r="C555" s="226"/>
      <c r="D555" s="232"/>
      <c r="E555" s="232"/>
      <c r="F555" s="226"/>
      <c r="G555" s="229"/>
      <c r="H555" s="200"/>
      <c r="I555" s="133"/>
      <c r="J555" s="195"/>
      <c r="K555" s="226"/>
      <c r="L555" s="232"/>
      <c r="M555" s="232"/>
      <c r="N555" s="226"/>
      <c r="O555" s="229"/>
      <c r="P555" s="200"/>
    </row>
    <row r="556" spans="1:18" ht="15.75" thickBot="1" x14ac:dyDescent="0.3">
      <c r="A556" s="133"/>
      <c r="B556" s="195"/>
      <c r="C556" s="226"/>
      <c r="D556" s="232"/>
      <c r="E556" s="232"/>
      <c r="F556" s="226"/>
      <c r="G556" s="229"/>
      <c r="H556" s="200"/>
      <c r="I556" s="133"/>
      <c r="J556" s="195"/>
      <c r="K556" s="226"/>
      <c r="L556" s="232"/>
      <c r="M556" s="232"/>
      <c r="N556" s="226"/>
      <c r="O556" s="229"/>
      <c r="P556" s="200"/>
      <c r="R556" s="86">
        <f>269029+416936</f>
        <v>685965</v>
      </c>
    </row>
    <row r="557" spans="1:18" ht="15.75" thickBot="1" x14ac:dyDescent="0.3">
      <c r="A557" s="133"/>
      <c r="B557" s="233"/>
      <c r="C557" s="234"/>
      <c r="D557" s="234"/>
      <c r="E557" s="234"/>
      <c r="F557" s="235"/>
      <c r="G557" s="236"/>
      <c r="H557" s="237">
        <f>+SUM(G551:G557)</f>
        <v>1515.15</v>
      </c>
      <c r="I557" s="133"/>
      <c r="J557" s="233"/>
      <c r="K557" s="234"/>
      <c r="L557" s="234"/>
      <c r="M557" s="234"/>
      <c r="N557" s="235"/>
      <c r="O557" s="236"/>
      <c r="P557" s="237">
        <f>+SUM(O551:O557)</f>
        <v>1515.15</v>
      </c>
      <c r="R557" s="86">
        <f>+R556*1.16/2</f>
        <v>397859.69999999995</v>
      </c>
    </row>
    <row r="558" spans="1:18" ht="15.75" thickBot="1" x14ac:dyDescent="0.3">
      <c r="A558" s="133"/>
      <c r="B558" s="238"/>
      <c r="C558" s="238"/>
      <c r="D558" s="238"/>
      <c r="E558" s="238"/>
      <c r="F558" s="239"/>
      <c r="G558" s="240"/>
      <c r="H558" s="241"/>
      <c r="I558" s="133"/>
      <c r="J558" s="238"/>
      <c r="K558" s="238"/>
      <c r="L558" s="238"/>
      <c r="M558" s="238"/>
      <c r="N558" s="239"/>
      <c r="O558" s="240"/>
      <c r="P558" s="241"/>
    </row>
    <row r="559" spans="1:18" ht="15.75" thickBot="1" x14ac:dyDescent="0.3">
      <c r="A559" s="133"/>
      <c r="B559" s="224" t="s">
        <v>5408</v>
      </c>
      <c r="C559" s="193" t="s">
        <v>867</v>
      </c>
      <c r="D559" s="193" t="s">
        <v>6</v>
      </c>
      <c r="E559" s="193" t="s">
        <v>870</v>
      </c>
      <c r="F559" s="193" t="s">
        <v>5409</v>
      </c>
      <c r="G559" s="225" t="s">
        <v>868</v>
      </c>
      <c r="H559" s="200"/>
      <c r="I559" s="133"/>
      <c r="J559" s="224" t="s">
        <v>5408</v>
      </c>
      <c r="K559" s="193" t="s">
        <v>867</v>
      </c>
      <c r="L559" s="193" t="s">
        <v>6</v>
      </c>
      <c r="M559" s="193" t="s">
        <v>870</v>
      </c>
      <c r="N559" s="193" t="s">
        <v>5409</v>
      </c>
      <c r="O559" s="225" t="s">
        <v>868</v>
      </c>
      <c r="P559" s="200"/>
    </row>
    <row r="560" spans="1:18" x14ac:dyDescent="0.25">
      <c r="A560" s="133"/>
      <c r="B560" s="289" t="s">
        <v>6053</v>
      </c>
      <c r="C560" s="202" t="s">
        <v>5486</v>
      </c>
      <c r="D560" s="226">
        <f>1/17</f>
        <v>5.8823529411764705E-2</v>
      </c>
      <c r="E560" s="171">
        <f>12131*1.16</f>
        <v>14071.96</v>
      </c>
      <c r="F560" s="169">
        <v>0.05</v>
      </c>
      <c r="G560" s="178">
        <f>+D560*E560*(1+F560)</f>
        <v>869.15047058823529</v>
      </c>
      <c r="H560" s="200"/>
      <c r="I560" s="133"/>
      <c r="J560" s="289" t="s">
        <v>6053</v>
      </c>
      <c r="K560" s="202" t="s">
        <v>5486</v>
      </c>
      <c r="L560" s="226">
        <f>1/17</f>
        <v>5.8823529411764705E-2</v>
      </c>
      <c r="M560" s="171">
        <f>12131*1.16</f>
        <v>14071.96</v>
      </c>
      <c r="N560" s="169">
        <v>0.05</v>
      </c>
      <c r="O560" s="178">
        <f>+L560*M560*(1+N560)</f>
        <v>869.15047058823529</v>
      </c>
      <c r="P560" s="200"/>
    </row>
    <row r="561" spans="1:16" x14ac:dyDescent="0.25">
      <c r="A561" s="133"/>
      <c r="B561" s="259"/>
      <c r="C561" s="226"/>
      <c r="D561" s="226"/>
      <c r="E561" s="171"/>
      <c r="F561" s="169"/>
      <c r="G561" s="178">
        <f>+D561*E561*(1+F561)</f>
        <v>0</v>
      </c>
      <c r="H561" s="200"/>
      <c r="I561" s="133"/>
      <c r="J561" s="453" t="s">
        <v>6055</v>
      </c>
      <c r="K561" s="226" t="s">
        <v>5424</v>
      </c>
      <c r="L561" s="226">
        <v>2</v>
      </c>
      <c r="M561" s="171">
        <v>397860</v>
      </c>
      <c r="N561" s="169"/>
      <c r="O561" s="178">
        <f>+L561*M561*(1+N561)</f>
        <v>795720</v>
      </c>
      <c r="P561" s="200"/>
    </row>
    <row r="562" spans="1:16" x14ac:dyDescent="0.25">
      <c r="A562" s="133"/>
      <c r="B562" s="195"/>
      <c r="C562" s="226"/>
      <c r="D562" s="226"/>
      <c r="E562" s="244"/>
      <c r="F562" s="169"/>
      <c r="G562" s="178">
        <f>+D562*E562*(1+F562)</f>
        <v>0</v>
      </c>
      <c r="H562" s="200"/>
      <c r="I562" s="133"/>
      <c r="J562" s="195"/>
      <c r="K562" s="226"/>
      <c r="L562" s="226"/>
      <c r="M562" s="244"/>
      <c r="N562" s="169"/>
      <c r="O562" s="178">
        <f>+L562*M562*(1+N562)</f>
        <v>0</v>
      </c>
      <c r="P562" s="200"/>
    </row>
    <row r="563" spans="1:16" x14ac:dyDescent="0.25">
      <c r="A563" s="133"/>
      <c r="B563" s="195"/>
      <c r="C563" s="226"/>
      <c r="D563" s="226"/>
      <c r="E563" s="171"/>
      <c r="F563" s="169"/>
      <c r="G563" s="178"/>
      <c r="H563" s="200"/>
      <c r="I563" s="133"/>
      <c r="J563" s="195"/>
      <c r="K563" s="226"/>
      <c r="L563" s="226"/>
      <c r="M563" s="171"/>
      <c r="N563" s="169"/>
      <c r="O563" s="178"/>
      <c r="P563" s="200"/>
    </row>
    <row r="564" spans="1:16" x14ac:dyDescent="0.25">
      <c r="A564" s="133"/>
      <c r="B564" s="195"/>
      <c r="C564" s="226"/>
      <c r="D564" s="226"/>
      <c r="E564" s="171"/>
      <c r="F564" s="169"/>
      <c r="G564" s="178"/>
      <c r="H564" s="200"/>
      <c r="I564" s="133"/>
      <c r="J564" s="195"/>
      <c r="K564" s="226"/>
      <c r="L564" s="226"/>
      <c r="M564" s="171"/>
      <c r="N564" s="169"/>
      <c r="O564" s="178"/>
      <c r="P564" s="200"/>
    </row>
    <row r="565" spans="1:16" x14ac:dyDescent="0.25">
      <c r="A565" s="133"/>
      <c r="B565" s="194"/>
      <c r="C565" s="202"/>
      <c r="D565" s="202"/>
      <c r="E565" s="171"/>
      <c r="F565" s="169"/>
      <c r="G565" s="178"/>
      <c r="H565" s="200"/>
      <c r="I565" s="133"/>
      <c r="J565" s="194"/>
      <c r="K565" s="202"/>
      <c r="L565" s="202"/>
      <c r="M565" s="171"/>
      <c r="N565" s="169"/>
      <c r="O565" s="178"/>
      <c r="P565" s="200"/>
    </row>
    <row r="566" spans="1:16" x14ac:dyDescent="0.25">
      <c r="A566" s="133"/>
      <c r="B566" s="195"/>
      <c r="C566" s="226"/>
      <c r="D566" s="226"/>
      <c r="E566" s="171"/>
      <c r="F566" s="169"/>
      <c r="G566" s="178"/>
      <c r="H566" s="200"/>
      <c r="I566" s="133"/>
      <c r="J566" s="195"/>
      <c r="K566" s="226"/>
      <c r="L566" s="226"/>
      <c r="M566" s="171"/>
      <c r="N566" s="169"/>
      <c r="O566" s="178"/>
      <c r="P566" s="200"/>
    </row>
    <row r="567" spans="1:16" x14ac:dyDescent="0.25">
      <c r="A567" s="133"/>
      <c r="B567" s="195"/>
      <c r="C567" s="226"/>
      <c r="D567" s="226"/>
      <c r="E567" s="171"/>
      <c r="F567" s="169"/>
      <c r="G567" s="178"/>
      <c r="H567" s="200"/>
      <c r="I567" s="133"/>
      <c r="J567" s="195"/>
      <c r="K567" s="226"/>
      <c r="L567" s="226"/>
      <c r="M567" s="171"/>
      <c r="N567" s="169"/>
      <c r="O567" s="178"/>
      <c r="P567" s="200"/>
    </row>
    <row r="568" spans="1:16" x14ac:dyDescent="0.25">
      <c r="A568" s="133"/>
      <c r="B568" s="195"/>
      <c r="C568" s="232"/>
      <c r="D568" s="232"/>
      <c r="E568" s="232"/>
      <c r="F568" s="226"/>
      <c r="G568" s="229"/>
      <c r="H568" s="200"/>
      <c r="I568" s="133"/>
      <c r="J568" s="195"/>
      <c r="K568" s="232"/>
      <c r="L568" s="232"/>
      <c r="M568" s="232"/>
      <c r="N568" s="226"/>
      <c r="O568" s="229"/>
      <c r="P568" s="200"/>
    </row>
    <row r="569" spans="1:16" x14ac:dyDescent="0.25">
      <c r="A569" s="133"/>
      <c r="B569" s="195"/>
      <c r="C569" s="232"/>
      <c r="D569" s="232"/>
      <c r="E569" s="232"/>
      <c r="F569" s="226"/>
      <c r="G569" s="229"/>
      <c r="H569" s="200"/>
      <c r="I569" s="133"/>
      <c r="J569" s="195"/>
      <c r="K569" s="232"/>
      <c r="L569" s="232"/>
      <c r="M569" s="232"/>
      <c r="N569" s="226"/>
      <c r="O569" s="229"/>
      <c r="P569" s="200"/>
    </row>
    <row r="570" spans="1:16" x14ac:dyDescent="0.25">
      <c r="A570" s="133"/>
      <c r="B570" s="195"/>
      <c r="C570" s="232"/>
      <c r="D570" s="232"/>
      <c r="E570" s="232"/>
      <c r="F570" s="226"/>
      <c r="G570" s="229"/>
      <c r="H570" s="200"/>
      <c r="I570" s="133"/>
      <c r="J570" s="195"/>
      <c r="K570" s="232"/>
      <c r="L570" s="232"/>
      <c r="M570" s="232"/>
      <c r="N570" s="226"/>
      <c r="O570" s="229"/>
      <c r="P570" s="200"/>
    </row>
    <row r="571" spans="1:16" ht="15.75" thickBot="1" x14ac:dyDescent="0.3">
      <c r="A571" s="133"/>
      <c r="B571" s="195"/>
      <c r="C571" s="232"/>
      <c r="D571" s="232"/>
      <c r="E571" s="232"/>
      <c r="F571" s="226"/>
      <c r="G571" s="229"/>
      <c r="H571" s="200"/>
      <c r="I571" s="133"/>
      <c r="J571" s="195"/>
      <c r="K571" s="232"/>
      <c r="L571" s="232"/>
      <c r="M571" s="232"/>
      <c r="N571" s="226"/>
      <c r="O571" s="229"/>
      <c r="P571" s="200"/>
    </row>
    <row r="572" spans="1:16" ht="15.75" thickBot="1" x14ac:dyDescent="0.3">
      <c r="A572" s="133"/>
      <c r="B572" s="233"/>
      <c r="C572" s="234"/>
      <c r="D572" s="234"/>
      <c r="E572" s="234"/>
      <c r="F572" s="235"/>
      <c r="G572" s="236"/>
      <c r="H572" s="256">
        <f>+SUM(G560:G572)</f>
        <v>869.15047058823529</v>
      </c>
      <c r="I572" s="133"/>
      <c r="J572" s="233"/>
      <c r="K572" s="234"/>
      <c r="L572" s="234"/>
      <c r="M572" s="234"/>
      <c r="N572" s="235"/>
      <c r="O572" s="236"/>
      <c r="P572" s="256">
        <f>+SUM(O560:O572)</f>
        <v>796589.15047058824</v>
      </c>
    </row>
    <row r="573" spans="1:16" ht="15.75" thickBot="1" x14ac:dyDescent="0.3">
      <c r="A573" s="133"/>
      <c r="B573" s="238"/>
      <c r="C573" s="238"/>
      <c r="D573" s="238"/>
      <c r="E573" s="238"/>
      <c r="F573" s="239"/>
      <c r="G573" s="240"/>
      <c r="H573" s="241"/>
      <c r="I573" s="133"/>
      <c r="J573" s="238"/>
      <c r="K573" s="238"/>
      <c r="L573" s="238"/>
      <c r="M573" s="238"/>
      <c r="N573" s="239"/>
      <c r="O573" s="240"/>
      <c r="P573" s="241"/>
    </row>
    <row r="574" spans="1:16" ht="15.75" thickBot="1" x14ac:dyDescent="0.3">
      <c r="A574" s="133"/>
      <c r="B574" s="224" t="s">
        <v>5410</v>
      </c>
      <c r="C574" s="193" t="s">
        <v>867</v>
      </c>
      <c r="D574" s="193" t="s">
        <v>6</v>
      </c>
      <c r="E574" s="193" t="s">
        <v>870</v>
      </c>
      <c r="F574" s="193" t="s">
        <v>5411</v>
      </c>
      <c r="G574" s="225" t="s">
        <v>868</v>
      </c>
      <c r="H574" s="200"/>
      <c r="I574" s="133"/>
      <c r="J574" s="224" t="s">
        <v>5410</v>
      </c>
      <c r="K574" s="193" t="s">
        <v>867</v>
      </c>
      <c r="L574" s="193" t="s">
        <v>6</v>
      </c>
      <c r="M574" s="193" t="s">
        <v>870</v>
      </c>
      <c r="N574" s="193" t="s">
        <v>5411</v>
      </c>
      <c r="O574" s="225" t="s">
        <v>868</v>
      </c>
      <c r="P574" s="200"/>
    </row>
    <row r="575" spans="1:16" x14ac:dyDescent="0.25">
      <c r="A575" s="133"/>
      <c r="B575" s="245"/>
      <c r="C575" s="202"/>
      <c r="D575" s="202"/>
      <c r="E575" s="175"/>
      <c r="F575" s="202"/>
      <c r="G575" s="203"/>
      <c r="H575" s="246"/>
      <c r="I575" s="133"/>
      <c r="J575" s="245"/>
      <c r="K575" s="202"/>
      <c r="L575" s="202"/>
      <c r="M575" s="175"/>
      <c r="N575" s="202"/>
      <c r="O575" s="203"/>
      <c r="P575" s="246"/>
    </row>
    <row r="576" spans="1:16" x14ac:dyDescent="0.25">
      <c r="A576" s="133"/>
      <c r="B576" s="247"/>
      <c r="C576" s="248"/>
      <c r="D576" s="248"/>
      <c r="E576" s="248"/>
      <c r="F576" s="202"/>
      <c r="G576" s="178"/>
      <c r="H576" s="200"/>
      <c r="I576" s="133"/>
      <c r="J576" s="247"/>
      <c r="K576" s="248"/>
      <c r="L576" s="248"/>
      <c r="M576" s="248"/>
      <c r="N576" s="202"/>
      <c r="O576" s="178"/>
      <c r="P576" s="200"/>
    </row>
    <row r="577" spans="1:16" x14ac:dyDescent="0.25">
      <c r="A577" s="133"/>
      <c r="B577" s="247"/>
      <c r="C577" s="232"/>
      <c r="D577" s="232"/>
      <c r="E577" s="232"/>
      <c r="F577" s="226"/>
      <c r="G577" s="229"/>
      <c r="H577" s="200"/>
      <c r="I577" s="133"/>
      <c r="J577" s="247"/>
      <c r="K577" s="232"/>
      <c r="L577" s="232"/>
      <c r="M577" s="232"/>
      <c r="N577" s="226"/>
      <c r="O577" s="229"/>
      <c r="P577" s="200"/>
    </row>
    <row r="578" spans="1:16" x14ac:dyDescent="0.25">
      <c r="A578" s="133"/>
      <c r="B578" s="194"/>
      <c r="C578" s="232"/>
      <c r="D578" s="232"/>
      <c r="E578" s="232"/>
      <c r="F578" s="226"/>
      <c r="G578" s="229"/>
      <c r="H578" s="200"/>
      <c r="I578" s="133"/>
      <c r="J578" s="194"/>
      <c r="K578" s="232"/>
      <c r="L578" s="232"/>
      <c r="M578" s="232"/>
      <c r="N578" s="226"/>
      <c r="O578" s="229"/>
      <c r="P578" s="200"/>
    </row>
    <row r="579" spans="1:16" ht="15.75" thickBot="1" x14ac:dyDescent="0.3">
      <c r="A579" s="133"/>
      <c r="B579" s="195"/>
      <c r="C579" s="232"/>
      <c r="D579" s="232"/>
      <c r="E579" s="232"/>
      <c r="F579" s="226"/>
      <c r="G579" s="229"/>
      <c r="H579" s="200"/>
      <c r="I579" s="133"/>
      <c r="J579" s="195"/>
      <c r="K579" s="232"/>
      <c r="L579" s="232"/>
      <c r="M579" s="232"/>
      <c r="N579" s="226"/>
      <c r="O579" s="229"/>
      <c r="P579" s="200"/>
    </row>
    <row r="580" spans="1:16" ht="15.75" thickBot="1" x14ac:dyDescent="0.3">
      <c r="A580" s="133"/>
      <c r="B580" s="233"/>
      <c r="C580" s="234"/>
      <c r="D580" s="234"/>
      <c r="E580" s="234"/>
      <c r="F580" s="235"/>
      <c r="G580" s="236"/>
      <c r="H580" s="237">
        <f>+SUM(G575:G580)</f>
        <v>0</v>
      </c>
      <c r="I580" s="133"/>
      <c r="J580" s="233"/>
      <c r="K580" s="234"/>
      <c r="L580" s="234"/>
      <c r="M580" s="234"/>
      <c r="N580" s="235"/>
      <c r="O580" s="236"/>
      <c r="P580" s="237">
        <f>+SUM(O575:O580)</f>
        <v>0</v>
      </c>
    </row>
    <row r="581" spans="1:16" ht="15.75" thickBot="1" x14ac:dyDescent="0.3">
      <c r="A581" s="133"/>
      <c r="B581" s="238"/>
      <c r="C581" s="238"/>
      <c r="D581" s="238"/>
      <c r="E581" s="238"/>
      <c r="F581" s="249"/>
      <c r="G581" s="250"/>
      <c r="H581" s="241"/>
      <c r="I581" s="133"/>
      <c r="J581" s="238"/>
      <c r="K581" s="238"/>
      <c r="L581" s="238"/>
      <c r="M581" s="238"/>
      <c r="N581" s="249"/>
      <c r="O581" s="250"/>
      <c r="P581" s="241"/>
    </row>
    <row r="582" spans="1:16" ht="15.75" thickBot="1" x14ac:dyDescent="0.3">
      <c r="A582" s="133"/>
      <c r="B582" s="224" t="s">
        <v>5412</v>
      </c>
      <c r="C582" s="193" t="s">
        <v>5420</v>
      </c>
      <c r="D582" s="193" t="s">
        <v>5421</v>
      </c>
      <c r="E582" s="193" t="s">
        <v>5413</v>
      </c>
      <c r="F582" s="193" t="s">
        <v>5405</v>
      </c>
      <c r="G582" s="225" t="s">
        <v>868</v>
      </c>
      <c r="H582" s="200"/>
      <c r="I582" s="133"/>
      <c r="J582" s="224" t="s">
        <v>5412</v>
      </c>
      <c r="K582" s="193" t="s">
        <v>5420</v>
      </c>
      <c r="L582" s="193" t="s">
        <v>5421</v>
      </c>
      <c r="M582" s="193" t="s">
        <v>5413</v>
      </c>
      <c r="N582" s="193" t="s">
        <v>5405</v>
      </c>
      <c r="O582" s="225" t="s">
        <v>868</v>
      </c>
      <c r="P582" s="200"/>
    </row>
    <row r="583" spans="1:16" x14ac:dyDescent="0.25">
      <c r="A583" s="133"/>
      <c r="B583" s="194" t="s">
        <v>5948</v>
      </c>
      <c r="C583" s="345">
        <v>70000</v>
      </c>
      <c r="D583" s="176">
        <f>+C583*0.85</f>
        <v>59500</v>
      </c>
      <c r="E583" s="176">
        <f>+C583+D583</f>
        <v>129500</v>
      </c>
      <c r="F583" s="204">
        <v>1000</v>
      </c>
      <c r="G583" s="178">
        <f>+E583/F583</f>
        <v>129.5</v>
      </c>
      <c r="H583" s="200"/>
      <c r="I583" s="133"/>
      <c r="J583" s="194" t="s">
        <v>5948</v>
      </c>
      <c r="K583" s="345">
        <v>70000</v>
      </c>
      <c r="L583" s="176">
        <f>+K583*0.85</f>
        <v>59500</v>
      </c>
      <c r="M583" s="176">
        <f>+K583+L583</f>
        <v>129500</v>
      </c>
      <c r="N583" s="204">
        <v>1000</v>
      </c>
      <c r="O583" s="178">
        <f>+M583/N583</f>
        <v>129.5</v>
      </c>
      <c r="P583" s="200"/>
    </row>
    <row r="584" spans="1:16" x14ac:dyDescent="0.25">
      <c r="A584" s="133"/>
      <c r="B584" s="194" t="s">
        <v>5651</v>
      </c>
      <c r="C584" s="345">
        <v>40000</v>
      </c>
      <c r="D584" s="176">
        <f>+C584*0.85</f>
        <v>34000</v>
      </c>
      <c r="E584" s="176">
        <f>+C584+D584</f>
        <v>74000</v>
      </c>
      <c r="F584" s="202">
        <v>10</v>
      </c>
      <c r="G584" s="178">
        <f>+E584/F584</f>
        <v>7400</v>
      </c>
      <c r="H584" s="200"/>
      <c r="I584" s="133"/>
      <c r="J584" s="194" t="s">
        <v>5651</v>
      </c>
      <c r="K584" s="345">
        <v>40000</v>
      </c>
      <c r="L584" s="176">
        <f>+K584*0.85</f>
        <v>34000</v>
      </c>
      <c r="M584" s="176">
        <f>+K584+L584</f>
        <v>74000</v>
      </c>
      <c r="N584" s="202">
        <v>10</v>
      </c>
      <c r="O584" s="178">
        <f>+M584/N584</f>
        <v>7400</v>
      </c>
      <c r="P584" s="200"/>
    </row>
    <row r="585" spans="1:16" x14ac:dyDescent="0.25">
      <c r="A585" s="133"/>
      <c r="B585" s="195" t="s">
        <v>5635</v>
      </c>
      <c r="C585" s="345">
        <v>20600</v>
      </c>
      <c r="D585" s="176">
        <f>+C585*0.85</f>
        <v>17510</v>
      </c>
      <c r="E585" s="176">
        <f>+C585+D585</f>
        <v>38110</v>
      </c>
      <c r="F585" s="226">
        <v>5</v>
      </c>
      <c r="G585" s="178">
        <f>+E585/F585</f>
        <v>7622</v>
      </c>
      <c r="H585" s="200"/>
      <c r="I585" s="133"/>
      <c r="J585" s="195" t="s">
        <v>5635</v>
      </c>
      <c r="K585" s="345">
        <v>20600</v>
      </c>
      <c r="L585" s="176">
        <f>+K585*0.85</f>
        <v>17510</v>
      </c>
      <c r="M585" s="176">
        <f>+K585+L585</f>
        <v>38110</v>
      </c>
      <c r="N585" s="226">
        <v>5</v>
      </c>
      <c r="O585" s="178">
        <f>+M585/N585</f>
        <v>7622</v>
      </c>
      <c r="P585" s="200"/>
    </row>
    <row r="586" spans="1:16" x14ac:dyDescent="0.25">
      <c r="A586" s="133"/>
      <c r="B586" s="195"/>
      <c r="C586" s="171"/>
      <c r="D586" s="176"/>
      <c r="E586" s="176"/>
      <c r="F586" s="226"/>
      <c r="G586" s="178"/>
      <c r="H586" s="200"/>
      <c r="I586" s="133"/>
      <c r="J586" s="195"/>
      <c r="K586" s="171"/>
      <c r="L586" s="176"/>
      <c r="M586" s="176"/>
      <c r="N586" s="226"/>
      <c r="O586" s="178"/>
      <c r="P586" s="200"/>
    </row>
    <row r="587" spans="1:16" x14ac:dyDescent="0.25">
      <c r="A587" s="133"/>
      <c r="B587" s="195"/>
      <c r="C587" s="232"/>
      <c r="D587" s="232"/>
      <c r="E587" s="232"/>
      <c r="F587" s="226"/>
      <c r="G587" s="229"/>
      <c r="H587" s="200"/>
      <c r="I587" s="133"/>
      <c r="J587" s="195"/>
      <c r="K587" s="232"/>
      <c r="L587" s="232"/>
      <c r="M587" s="232"/>
      <c r="N587" s="226"/>
      <c r="O587" s="229"/>
      <c r="P587" s="200"/>
    </row>
    <row r="588" spans="1:16" ht="15.75" thickBot="1" x14ac:dyDescent="0.3">
      <c r="A588" s="133"/>
      <c r="B588" s="195"/>
      <c r="C588" s="232"/>
      <c r="D588" s="232"/>
      <c r="E588" s="232"/>
      <c r="F588" s="226"/>
      <c r="G588" s="229"/>
      <c r="H588" s="200"/>
      <c r="I588" s="133"/>
      <c r="J588" s="195"/>
      <c r="K588" s="232"/>
      <c r="L588" s="232"/>
      <c r="M588" s="232"/>
      <c r="N588" s="226"/>
      <c r="O588" s="229"/>
      <c r="P588" s="200"/>
    </row>
    <row r="589" spans="1:16" ht="15.75" thickBot="1" x14ac:dyDescent="0.3">
      <c r="A589" s="133"/>
      <c r="B589" s="251"/>
      <c r="C589" s="252"/>
      <c r="D589" s="252"/>
      <c r="E589" s="252"/>
      <c r="F589" s="253"/>
      <c r="G589" s="254"/>
      <c r="H589" s="256">
        <f>+SUM(G583:G589)</f>
        <v>15151.5</v>
      </c>
      <c r="I589" s="133"/>
      <c r="J589" s="251"/>
      <c r="K589" s="252"/>
      <c r="L589" s="252"/>
      <c r="M589" s="252"/>
      <c r="N589" s="253"/>
      <c r="O589" s="254"/>
      <c r="P589" s="256">
        <f>+SUM(O583:O589)</f>
        <v>15151.5</v>
      </c>
    </row>
    <row r="590" spans="1:16" ht="15.75" thickBot="1" x14ac:dyDescent="0.3">
      <c r="A590" s="133"/>
      <c r="B590" s="8"/>
      <c r="C590" s="8"/>
      <c r="D590" s="8"/>
      <c r="E590" s="8"/>
      <c r="F590" s="133"/>
      <c r="G590" s="200"/>
      <c r="H590" s="200"/>
      <c r="I590" s="133"/>
      <c r="J590" s="8"/>
      <c r="K590" s="8"/>
      <c r="L590" s="8"/>
      <c r="M590" s="8"/>
      <c r="N590" s="133"/>
      <c r="O590" s="200"/>
      <c r="P590" s="200"/>
    </row>
    <row r="591" spans="1:16" ht="15.75" thickBot="1" x14ac:dyDescent="0.3">
      <c r="A591" s="133"/>
      <c r="B591" s="8"/>
      <c r="C591" s="8"/>
      <c r="D591" s="8"/>
      <c r="E591" s="223" t="s">
        <v>5415</v>
      </c>
      <c r="F591" s="133"/>
      <c r="G591" s="200"/>
      <c r="H591" s="256">
        <f>ROUND(+H589+H580+H572+H557,0)</f>
        <v>17536</v>
      </c>
      <c r="I591" s="133"/>
      <c r="J591" s="8"/>
      <c r="K591" s="8"/>
      <c r="L591" s="8"/>
      <c r="M591" s="223" t="s">
        <v>5415</v>
      </c>
      <c r="N591" s="133"/>
      <c r="O591" s="200"/>
      <c r="P591" s="256">
        <f>ROUND(+P589+P580+P572+P557,0)</f>
        <v>813256</v>
      </c>
    </row>
    <row r="596" spans="1:16" ht="18.75" x14ac:dyDescent="0.25">
      <c r="A596" s="133"/>
      <c r="B596" s="2506" t="s">
        <v>5400</v>
      </c>
      <c r="C596" s="2506"/>
      <c r="D596" s="2506"/>
      <c r="E596" s="2506"/>
      <c r="F596" s="2506"/>
      <c r="G596" s="2506"/>
      <c r="H596" s="8"/>
      <c r="I596" s="133"/>
      <c r="J596" s="2506" t="s">
        <v>5400</v>
      </c>
      <c r="K596" s="2506"/>
      <c r="L596" s="2506"/>
      <c r="M596" s="2506"/>
      <c r="N596" s="2506"/>
      <c r="O596" s="2506"/>
      <c r="P596" s="8"/>
    </row>
    <row r="597" spans="1:16" x14ac:dyDescent="0.25">
      <c r="A597" s="133"/>
      <c r="B597" s="8"/>
      <c r="C597" s="8"/>
      <c r="D597" s="8"/>
      <c r="E597" s="8"/>
      <c r="F597" s="133"/>
      <c r="G597" s="200"/>
      <c r="H597" s="200"/>
      <c r="I597" s="133"/>
      <c r="J597" s="8"/>
      <c r="K597" s="8"/>
      <c r="L597" s="8"/>
      <c r="M597" s="8"/>
      <c r="N597" s="133"/>
      <c r="O597" s="200"/>
      <c r="P597" s="200"/>
    </row>
    <row r="598" spans="1:16" x14ac:dyDescent="0.25">
      <c r="A598" s="133"/>
      <c r="B598" s="8"/>
      <c r="C598" s="8"/>
      <c r="D598" s="8"/>
      <c r="E598" s="8"/>
      <c r="F598" s="133"/>
      <c r="G598" s="200"/>
      <c r="H598" s="200"/>
      <c r="I598" s="133"/>
      <c r="J598" s="8"/>
      <c r="K598" s="8"/>
      <c r="L598" s="8"/>
      <c r="M598" s="8"/>
      <c r="N598" s="133"/>
      <c r="O598" s="200"/>
      <c r="P598" s="200"/>
    </row>
    <row r="599" spans="1:16" x14ac:dyDescent="0.25">
      <c r="A599" s="133"/>
      <c r="B599" s="8"/>
      <c r="C599" s="8"/>
      <c r="D599" s="8"/>
      <c r="E599" s="8"/>
      <c r="F599" s="133"/>
      <c r="G599" s="200"/>
      <c r="H599" s="200"/>
      <c r="I599" s="133"/>
      <c r="J599" s="8"/>
      <c r="K599" s="8"/>
      <c r="L599" s="8"/>
      <c r="M599" s="8"/>
      <c r="N599" s="133"/>
      <c r="O599" s="200"/>
      <c r="P599" s="200"/>
    </row>
    <row r="600" spans="1:16" ht="24.95" customHeight="1" x14ac:dyDescent="0.25">
      <c r="A600" s="220" t="s">
        <v>5482</v>
      </c>
      <c r="B600" s="221" t="s">
        <v>241</v>
      </c>
      <c r="C600" s="2449" t="s">
        <v>5492</v>
      </c>
      <c r="D600" s="2449"/>
      <c r="E600" s="2449"/>
      <c r="F600" s="220" t="s">
        <v>867</v>
      </c>
      <c r="G600" s="222" t="s">
        <v>5402</v>
      </c>
      <c r="H600" s="200"/>
      <c r="I600" s="220" t="s">
        <v>5482</v>
      </c>
      <c r="J600" s="221" t="s">
        <v>241</v>
      </c>
      <c r="K600" s="2449" t="s">
        <v>6194</v>
      </c>
      <c r="L600" s="2449"/>
      <c r="M600" s="2449"/>
      <c r="N600" s="220" t="s">
        <v>867</v>
      </c>
      <c r="O600" s="222" t="s">
        <v>5402</v>
      </c>
      <c r="P600" s="200"/>
    </row>
    <row r="601" spans="1:16" x14ac:dyDescent="0.25">
      <c r="A601" s="133"/>
      <c r="B601" s="8"/>
      <c r="C601" s="223"/>
      <c r="D601" s="223"/>
      <c r="E601" s="223"/>
      <c r="F601" s="133"/>
      <c r="G601" s="200"/>
      <c r="H601" s="200"/>
      <c r="I601" s="133"/>
      <c r="J601" s="8"/>
      <c r="K601" s="223"/>
      <c r="L601" s="223"/>
      <c r="M601" s="223"/>
      <c r="N601" s="133"/>
      <c r="O601" s="200"/>
      <c r="P601" s="200"/>
    </row>
    <row r="602" spans="1:16" x14ac:dyDescent="0.25">
      <c r="A602" s="133"/>
      <c r="B602" s="8"/>
      <c r="C602" s="8"/>
      <c r="D602" s="8"/>
      <c r="E602" s="8"/>
      <c r="F602" s="8"/>
      <c r="G602" s="8"/>
      <c r="H602" s="200"/>
      <c r="I602" s="133"/>
      <c r="J602" s="8"/>
      <c r="K602" s="8"/>
      <c r="L602" s="8"/>
      <c r="M602" s="8"/>
      <c r="N602" s="8"/>
      <c r="O602" s="8"/>
      <c r="P602" s="200"/>
    </row>
    <row r="603" spans="1:16" ht="15.75" thickBot="1" x14ac:dyDescent="0.3">
      <c r="A603" s="133"/>
      <c r="B603" s="8"/>
      <c r="C603" s="8"/>
      <c r="D603" s="8"/>
      <c r="E603" s="8"/>
      <c r="F603" s="133"/>
      <c r="G603" s="200"/>
      <c r="H603" s="200"/>
      <c r="I603" s="133"/>
      <c r="J603" s="8"/>
      <c r="K603" s="8"/>
      <c r="L603" s="8"/>
      <c r="M603" s="8"/>
      <c r="N603" s="133"/>
      <c r="O603" s="200"/>
      <c r="P603" s="200"/>
    </row>
    <row r="604" spans="1:16" ht="15.75" thickBot="1" x14ac:dyDescent="0.3">
      <c r="A604" s="133"/>
      <c r="B604" s="224" t="s">
        <v>5403</v>
      </c>
      <c r="C604" s="193" t="s">
        <v>867</v>
      </c>
      <c r="D604" s="193" t="s">
        <v>6</v>
      </c>
      <c r="E604" s="193" t="s">
        <v>5439</v>
      </c>
      <c r="F604" s="193" t="s">
        <v>5405</v>
      </c>
      <c r="G604" s="225" t="s">
        <v>868</v>
      </c>
      <c r="H604" s="200"/>
      <c r="I604" s="133"/>
      <c r="J604" s="224" t="s">
        <v>5403</v>
      </c>
      <c r="K604" s="193" t="s">
        <v>867</v>
      </c>
      <c r="L604" s="193" t="s">
        <v>6</v>
      </c>
      <c r="M604" s="193" t="s">
        <v>5439</v>
      </c>
      <c r="N604" s="193" t="s">
        <v>5405</v>
      </c>
      <c r="O604" s="225" t="s">
        <v>868</v>
      </c>
      <c r="P604" s="200"/>
    </row>
    <row r="605" spans="1:16" x14ac:dyDescent="0.25">
      <c r="A605" s="133"/>
      <c r="B605" s="195" t="s">
        <v>5440</v>
      </c>
      <c r="C605" s="226" t="s">
        <v>5402</v>
      </c>
      <c r="D605" s="226">
        <v>1</v>
      </c>
      <c r="E605" s="227">
        <f>+H643</f>
        <v>4333.9333333333334</v>
      </c>
      <c r="F605" s="226">
        <v>0.05</v>
      </c>
      <c r="G605" s="229">
        <f>+E605*F605</f>
        <v>216.69666666666669</v>
      </c>
      <c r="H605" s="200"/>
      <c r="I605" s="133"/>
      <c r="J605" s="195" t="s">
        <v>5440</v>
      </c>
      <c r="K605" s="226" t="s">
        <v>5402</v>
      </c>
      <c r="L605" s="226">
        <v>1</v>
      </c>
      <c r="M605" s="227">
        <f>+P643</f>
        <v>6188.25</v>
      </c>
      <c r="N605" s="226">
        <v>0.05</v>
      </c>
      <c r="O605" s="229">
        <f>+M605*N605</f>
        <v>309.41250000000002</v>
      </c>
      <c r="P605" s="200"/>
    </row>
    <row r="606" spans="1:16" x14ac:dyDescent="0.25">
      <c r="A606" s="133"/>
      <c r="B606" s="195" t="s">
        <v>6058</v>
      </c>
      <c r="C606" s="226" t="s">
        <v>5402</v>
      </c>
      <c r="D606" s="226">
        <v>1</v>
      </c>
      <c r="E606" s="230">
        <v>400000</v>
      </c>
      <c r="F606" s="226">
        <v>1.4999999999999999E-2</v>
      </c>
      <c r="G606" s="229">
        <f>+E606*F606</f>
        <v>6000</v>
      </c>
      <c r="H606" s="200"/>
      <c r="I606" s="133"/>
      <c r="J606" s="195" t="s">
        <v>6058</v>
      </c>
      <c r="K606" s="226" t="s">
        <v>5402</v>
      </c>
      <c r="L606" s="226">
        <v>1</v>
      </c>
      <c r="M606" s="230">
        <v>400000</v>
      </c>
      <c r="N606" s="226">
        <v>1.7999999999999999E-2</v>
      </c>
      <c r="O606" s="229">
        <f>+M606*N606</f>
        <v>7199.9999999999991</v>
      </c>
      <c r="P606" s="200"/>
    </row>
    <row r="607" spans="1:16" x14ac:dyDescent="0.25">
      <c r="A607" s="133"/>
      <c r="B607" s="195" t="s">
        <v>6048</v>
      </c>
      <c r="C607" s="226" t="s">
        <v>5402</v>
      </c>
      <c r="D607" s="226">
        <v>1</v>
      </c>
      <c r="E607" s="449">
        <v>50000</v>
      </c>
      <c r="F607" s="226">
        <v>0.02</v>
      </c>
      <c r="G607" s="229">
        <f>+E607*F607</f>
        <v>1000</v>
      </c>
      <c r="H607" s="200"/>
      <c r="I607" s="133"/>
      <c r="J607" s="195" t="s">
        <v>6048</v>
      </c>
      <c r="K607" s="226" t="s">
        <v>5402</v>
      </c>
      <c r="L607" s="226">
        <v>1</v>
      </c>
      <c r="M607" s="449">
        <v>50000</v>
      </c>
      <c r="N607" s="226">
        <v>0.02</v>
      </c>
      <c r="O607" s="229">
        <f>+M607*N607</f>
        <v>1000</v>
      </c>
      <c r="P607" s="200"/>
    </row>
    <row r="608" spans="1:16" x14ac:dyDescent="0.25">
      <c r="A608" s="133"/>
      <c r="B608" s="195"/>
      <c r="C608" s="226"/>
      <c r="D608" s="226"/>
      <c r="E608" s="171"/>
      <c r="F608" s="226"/>
      <c r="G608" s="231"/>
      <c r="H608" s="200"/>
      <c r="I608" s="133"/>
      <c r="J608" s="195"/>
      <c r="K608" s="226"/>
      <c r="L608" s="226"/>
      <c r="M608" s="171"/>
      <c r="N608" s="226"/>
      <c r="O608" s="231"/>
      <c r="P608" s="200"/>
    </row>
    <row r="609" spans="1:16" x14ac:dyDescent="0.25">
      <c r="A609" s="133"/>
      <c r="B609" s="195"/>
      <c r="C609" s="226"/>
      <c r="D609" s="232"/>
      <c r="E609" s="232"/>
      <c r="F609" s="226"/>
      <c r="G609" s="229"/>
      <c r="H609" s="200"/>
      <c r="I609" s="133"/>
      <c r="J609" s="195"/>
      <c r="K609" s="226"/>
      <c r="L609" s="232"/>
      <c r="M609" s="232"/>
      <c r="N609" s="226"/>
      <c r="O609" s="229"/>
      <c r="P609" s="200"/>
    </row>
    <row r="610" spans="1:16" ht="15.75" thickBot="1" x14ac:dyDescent="0.3">
      <c r="A610" s="133"/>
      <c r="B610" s="195"/>
      <c r="C610" s="226"/>
      <c r="D610" s="232"/>
      <c r="E610" s="232"/>
      <c r="F610" s="226"/>
      <c r="G610" s="229"/>
      <c r="H610" s="200"/>
      <c r="I610" s="133"/>
      <c r="J610" s="195"/>
      <c r="K610" s="226"/>
      <c r="L610" s="232"/>
      <c r="M610" s="232"/>
      <c r="N610" s="226"/>
      <c r="O610" s="229"/>
      <c r="P610" s="200"/>
    </row>
    <row r="611" spans="1:16" ht="15.75" thickBot="1" x14ac:dyDescent="0.3">
      <c r="A611" s="133"/>
      <c r="B611" s="233"/>
      <c r="C611" s="234"/>
      <c r="D611" s="234"/>
      <c r="E611" s="234"/>
      <c r="F611" s="235"/>
      <c r="G611" s="236"/>
      <c r="H611" s="237">
        <f>+SUM(G605:G611)</f>
        <v>7216.6966666666667</v>
      </c>
      <c r="I611" s="133"/>
      <c r="J611" s="233"/>
      <c r="K611" s="234"/>
      <c r="L611" s="234"/>
      <c r="M611" s="234"/>
      <c r="N611" s="235"/>
      <c r="O611" s="236"/>
      <c r="P611" s="237">
        <f>+SUM(O605:O611)</f>
        <v>8509.4124999999985</v>
      </c>
    </row>
    <row r="612" spans="1:16" ht="15.75" thickBot="1" x14ac:dyDescent="0.3">
      <c r="A612" s="133"/>
      <c r="B612" s="238"/>
      <c r="C612" s="238"/>
      <c r="D612" s="238"/>
      <c r="E612" s="238"/>
      <c r="F612" s="239"/>
      <c r="G612" s="240"/>
      <c r="H612" s="241"/>
      <c r="I612" s="133"/>
      <c r="J612" s="238"/>
      <c r="K612" s="238"/>
      <c r="L612" s="238"/>
      <c r="M612" s="238"/>
      <c r="N612" s="239"/>
      <c r="O612" s="240"/>
      <c r="P612" s="241"/>
    </row>
    <row r="613" spans="1:16" ht="15.75" thickBot="1" x14ac:dyDescent="0.3">
      <c r="A613" s="133"/>
      <c r="B613" s="224" t="s">
        <v>5408</v>
      </c>
      <c r="C613" s="193" t="s">
        <v>867</v>
      </c>
      <c r="D613" s="193" t="s">
        <v>6</v>
      </c>
      <c r="E613" s="193" t="s">
        <v>870</v>
      </c>
      <c r="F613" s="193" t="s">
        <v>5409</v>
      </c>
      <c r="G613" s="225" t="s">
        <v>868</v>
      </c>
      <c r="H613" s="200"/>
      <c r="I613" s="133"/>
      <c r="J613" s="224" t="s">
        <v>5408</v>
      </c>
      <c r="K613" s="193" t="s">
        <v>867</v>
      </c>
      <c r="L613" s="193" t="s">
        <v>6</v>
      </c>
      <c r="M613" s="193" t="s">
        <v>870</v>
      </c>
      <c r="N613" s="193" t="s">
        <v>5409</v>
      </c>
      <c r="O613" s="225" t="s">
        <v>868</v>
      </c>
      <c r="P613" s="200"/>
    </row>
    <row r="614" spans="1:16" x14ac:dyDescent="0.25">
      <c r="A614" s="133"/>
      <c r="B614" s="295" t="s">
        <v>5553</v>
      </c>
      <c r="C614" s="202" t="s">
        <v>5488</v>
      </c>
      <c r="D614" s="226">
        <f>+PI()*0.05^2*1000</f>
        <v>7.8539816339744837</v>
      </c>
      <c r="E614" s="244">
        <v>5</v>
      </c>
      <c r="F614" s="169">
        <v>0.1</v>
      </c>
      <c r="G614" s="178">
        <f>+D614*E614*(1+F614)</f>
        <v>43.196898986859658</v>
      </c>
      <c r="H614" s="200"/>
      <c r="I614" s="133"/>
      <c r="J614" s="295" t="s">
        <v>5553</v>
      </c>
      <c r="K614" s="202" t="s">
        <v>5488</v>
      </c>
      <c r="L614" s="226">
        <f>+PI()*0.065^2*1000</f>
        <v>13.273228961416878</v>
      </c>
      <c r="M614" s="244">
        <v>5</v>
      </c>
      <c r="N614" s="169">
        <v>0.1</v>
      </c>
      <c r="O614" s="178">
        <f>+L614*M614*(1+N614)</f>
        <v>73.002759287792841</v>
      </c>
      <c r="P614" s="200"/>
    </row>
    <row r="615" spans="1:16" x14ac:dyDescent="0.25">
      <c r="A615" s="133"/>
      <c r="B615" s="450" t="s">
        <v>5755</v>
      </c>
      <c r="C615" s="202" t="s">
        <v>5487</v>
      </c>
      <c r="D615" s="202">
        <v>328.4</v>
      </c>
      <c r="E615" s="257">
        <v>0.65</v>
      </c>
      <c r="F615" s="169">
        <v>0.05</v>
      </c>
      <c r="G615" s="178">
        <f>+D615*E615*(1+F615)</f>
        <v>224.13299999999998</v>
      </c>
      <c r="H615" s="200"/>
      <c r="I615" s="133"/>
      <c r="J615" s="450" t="s">
        <v>5755</v>
      </c>
      <c r="K615" s="202" t="s">
        <v>5487</v>
      </c>
      <c r="L615" s="202">
        <f>+D615*L614/D614</f>
        <v>554.99599999999998</v>
      </c>
      <c r="M615" s="257">
        <v>0.65</v>
      </c>
      <c r="N615" s="169">
        <v>0.05</v>
      </c>
      <c r="O615" s="178">
        <f>+L615*M615*(1+N615)</f>
        <v>378.78477000000004</v>
      </c>
      <c r="P615" s="200"/>
    </row>
    <row r="616" spans="1:16" x14ac:dyDescent="0.25">
      <c r="A616" s="133"/>
      <c r="B616" s="450" t="s">
        <v>5751</v>
      </c>
      <c r="C616" s="226" t="s">
        <v>5488</v>
      </c>
      <c r="D616" s="226">
        <v>8.2500000000000004E-3</v>
      </c>
      <c r="E616" s="244">
        <v>3500</v>
      </c>
      <c r="F616" s="169">
        <v>0.05</v>
      </c>
      <c r="G616" s="178">
        <f>+D616*E616*(1+F616)</f>
        <v>30.318750000000001</v>
      </c>
      <c r="H616" s="200"/>
      <c r="I616" s="133"/>
      <c r="J616" s="450" t="s">
        <v>5751</v>
      </c>
      <c r="K616" s="226" t="s">
        <v>5488</v>
      </c>
      <c r="L616" s="226">
        <v>8.2500000000000004E-3</v>
      </c>
      <c r="M616" s="244">
        <v>3500</v>
      </c>
      <c r="N616" s="169">
        <v>0.05</v>
      </c>
      <c r="O616" s="178">
        <f>+L616*M616*(1+N616)</f>
        <v>30.318750000000001</v>
      </c>
      <c r="P616" s="200"/>
    </row>
    <row r="617" spans="1:16" x14ac:dyDescent="0.25">
      <c r="A617" s="133"/>
      <c r="B617" s="450" t="s">
        <v>6057</v>
      </c>
      <c r="C617" s="226" t="s">
        <v>5424</v>
      </c>
      <c r="D617" s="226">
        <v>1.67</v>
      </c>
      <c r="E617" s="244">
        <v>1</v>
      </c>
      <c r="F617" s="169">
        <v>0.05</v>
      </c>
      <c r="G617" s="178">
        <f>+D617*E617*(1+F617)</f>
        <v>1.7535000000000001</v>
      </c>
      <c r="H617" s="200"/>
      <c r="I617" s="133"/>
      <c r="J617" s="450" t="s">
        <v>6057</v>
      </c>
      <c r="K617" s="226" t="s">
        <v>5424</v>
      </c>
      <c r="L617" s="226">
        <v>1.67</v>
      </c>
      <c r="M617" s="244">
        <v>1</v>
      </c>
      <c r="N617" s="169">
        <v>0.05</v>
      </c>
      <c r="O617" s="178">
        <f>+L617*M617*(1+N617)</f>
        <v>1.7535000000000001</v>
      </c>
      <c r="P617" s="200"/>
    </row>
    <row r="618" spans="1:16" x14ac:dyDescent="0.25">
      <c r="A618" s="133"/>
      <c r="B618" s="195"/>
      <c r="C618" s="226"/>
      <c r="D618" s="226"/>
      <c r="E618" s="171"/>
      <c r="F618" s="169"/>
      <c r="G618" s="178"/>
      <c r="H618" s="200"/>
      <c r="I618" s="133"/>
      <c r="J618" s="195"/>
      <c r="K618" s="226"/>
      <c r="L618" s="226"/>
      <c r="M618" s="171"/>
      <c r="N618" s="169"/>
      <c r="O618" s="178"/>
      <c r="P618" s="200"/>
    </row>
    <row r="619" spans="1:16" x14ac:dyDescent="0.25">
      <c r="A619" s="133"/>
      <c r="B619" s="194"/>
      <c r="C619" s="202"/>
      <c r="D619" s="202"/>
      <c r="E619" s="171"/>
      <c r="F619" s="169"/>
      <c r="G619" s="178"/>
      <c r="H619" s="200"/>
      <c r="I619" s="133"/>
      <c r="J619" s="194"/>
      <c r="K619" s="202"/>
      <c r="L619" s="202"/>
      <c r="M619" s="171"/>
      <c r="N619" s="169"/>
      <c r="O619" s="178"/>
      <c r="P619" s="200"/>
    </row>
    <row r="620" spans="1:16" x14ac:dyDescent="0.25">
      <c r="A620" s="133"/>
      <c r="B620" s="195"/>
      <c r="C620" s="226"/>
      <c r="D620" s="226"/>
      <c r="E620" s="171"/>
      <c r="F620" s="169"/>
      <c r="G620" s="178"/>
      <c r="H620" s="200"/>
      <c r="I620" s="133"/>
      <c r="J620" s="195"/>
      <c r="K620" s="226"/>
      <c r="L620" s="226"/>
      <c r="M620" s="171"/>
      <c r="N620" s="169"/>
      <c r="O620" s="178"/>
      <c r="P620" s="200"/>
    </row>
    <row r="621" spans="1:16" x14ac:dyDescent="0.25">
      <c r="A621" s="133"/>
      <c r="B621" s="195"/>
      <c r="C621" s="226"/>
      <c r="D621" s="226"/>
      <c r="E621" s="171"/>
      <c r="F621" s="169"/>
      <c r="G621" s="178"/>
      <c r="H621" s="200"/>
      <c r="I621" s="133"/>
      <c r="J621" s="195"/>
      <c r="K621" s="226"/>
      <c r="L621" s="226"/>
      <c r="M621" s="171"/>
      <c r="N621" s="169"/>
      <c r="O621" s="178"/>
      <c r="P621" s="200"/>
    </row>
    <row r="622" spans="1:16" x14ac:dyDescent="0.25">
      <c r="A622" s="133"/>
      <c r="B622" s="195"/>
      <c r="C622" s="232"/>
      <c r="D622" s="232"/>
      <c r="E622" s="232"/>
      <c r="F622" s="226"/>
      <c r="G622" s="229"/>
      <c r="H622" s="200"/>
      <c r="I622" s="133"/>
      <c r="J622" s="195"/>
      <c r="K622" s="232"/>
      <c r="L622" s="232"/>
      <c r="M622" s="232"/>
      <c r="N622" s="226"/>
      <c r="O622" s="229"/>
      <c r="P622" s="200"/>
    </row>
    <row r="623" spans="1:16" x14ac:dyDescent="0.25">
      <c r="A623" s="133"/>
      <c r="B623" s="195"/>
      <c r="C623" s="232"/>
      <c r="D623" s="232"/>
      <c r="E623" s="232"/>
      <c r="F623" s="226"/>
      <c r="G623" s="229"/>
      <c r="H623" s="200"/>
      <c r="I623" s="133"/>
      <c r="J623" s="195"/>
      <c r="K623" s="232"/>
      <c r="L623" s="232"/>
      <c r="M623" s="232"/>
      <c r="N623" s="226"/>
      <c r="O623" s="229"/>
      <c r="P623" s="200"/>
    </row>
    <row r="624" spans="1:16" x14ac:dyDescent="0.25">
      <c r="A624" s="133"/>
      <c r="B624" s="195"/>
      <c r="C624" s="232"/>
      <c r="D624" s="232"/>
      <c r="E624" s="232"/>
      <c r="F624" s="226"/>
      <c r="G624" s="229"/>
      <c r="H624" s="200"/>
      <c r="I624" s="133"/>
      <c r="J624" s="195"/>
      <c r="K624" s="232"/>
      <c r="L624" s="232"/>
      <c r="M624" s="232"/>
      <c r="N624" s="226"/>
      <c r="O624" s="229"/>
      <c r="P624" s="200"/>
    </row>
    <row r="625" spans="1:16" ht="15.75" thickBot="1" x14ac:dyDescent="0.3">
      <c r="A625" s="133"/>
      <c r="B625" s="195"/>
      <c r="C625" s="232"/>
      <c r="D625" s="232"/>
      <c r="E625" s="232"/>
      <c r="F625" s="226"/>
      <c r="G625" s="229"/>
      <c r="H625" s="200"/>
      <c r="I625" s="133"/>
      <c r="J625" s="195"/>
      <c r="K625" s="232"/>
      <c r="L625" s="232"/>
      <c r="M625" s="232"/>
      <c r="N625" s="226"/>
      <c r="O625" s="229"/>
      <c r="P625" s="200"/>
    </row>
    <row r="626" spans="1:16" ht="15.75" thickBot="1" x14ac:dyDescent="0.3">
      <c r="A626" s="133"/>
      <c r="B626" s="233"/>
      <c r="C626" s="234"/>
      <c r="D626" s="234"/>
      <c r="E626" s="234"/>
      <c r="F626" s="235"/>
      <c r="G626" s="236"/>
      <c r="H626" s="256">
        <f>+SUM(G614:G626)</f>
        <v>299.40214898685963</v>
      </c>
      <c r="I626" s="133"/>
      <c r="J626" s="233"/>
      <c r="K626" s="234"/>
      <c r="L626" s="234"/>
      <c r="M626" s="234"/>
      <c r="N626" s="235"/>
      <c r="O626" s="236"/>
      <c r="P626" s="256">
        <f>+SUM(O614:O626)</f>
        <v>483.85977928779289</v>
      </c>
    </row>
    <row r="627" spans="1:16" ht="15.75" thickBot="1" x14ac:dyDescent="0.3">
      <c r="A627" s="133"/>
      <c r="B627" s="238"/>
      <c r="C627" s="238"/>
      <c r="D627" s="238"/>
      <c r="E627" s="238"/>
      <c r="F627" s="239"/>
      <c r="G627" s="240"/>
      <c r="H627" s="241"/>
      <c r="I627" s="133"/>
      <c r="J627" s="238"/>
      <c r="K627" s="238"/>
      <c r="L627" s="238"/>
      <c r="M627" s="238"/>
      <c r="N627" s="239"/>
      <c r="O627" s="240"/>
      <c r="P627" s="241"/>
    </row>
    <row r="628" spans="1:16" ht="15.75" thickBot="1" x14ac:dyDescent="0.3">
      <c r="A628" s="133"/>
      <c r="B628" s="224" t="s">
        <v>5410</v>
      </c>
      <c r="C628" s="193" t="s">
        <v>867</v>
      </c>
      <c r="D628" s="193" t="s">
        <v>6</v>
      </c>
      <c r="E628" s="193" t="s">
        <v>870</v>
      </c>
      <c r="F628" s="193" t="s">
        <v>5411</v>
      </c>
      <c r="G628" s="225" t="s">
        <v>868</v>
      </c>
      <c r="H628" s="200"/>
      <c r="I628" s="133"/>
      <c r="J628" s="224" t="s">
        <v>5410</v>
      </c>
      <c r="K628" s="193" t="s">
        <v>867</v>
      </c>
      <c r="L628" s="193" t="s">
        <v>6</v>
      </c>
      <c r="M628" s="193" t="s">
        <v>870</v>
      </c>
      <c r="N628" s="193" t="s">
        <v>5411</v>
      </c>
      <c r="O628" s="225" t="s">
        <v>868</v>
      </c>
      <c r="P628" s="200"/>
    </row>
    <row r="629" spans="1:16" x14ac:dyDescent="0.25">
      <c r="A629" s="133"/>
      <c r="B629" s="245"/>
      <c r="C629" s="202"/>
      <c r="D629" s="202"/>
      <c r="E629" s="175"/>
      <c r="F629" s="202"/>
      <c r="G629" s="203"/>
      <c r="H629" s="246"/>
      <c r="I629" s="133"/>
      <c r="J629" s="245"/>
      <c r="K629" s="202"/>
      <c r="L629" s="202"/>
      <c r="M629" s="175"/>
      <c r="N629" s="202"/>
      <c r="O629" s="203"/>
      <c r="P629" s="246"/>
    </row>
    <row r="630" spans="1:16" x14ac:dyDescent="0.25">
      <c r="A630" s="133"/>
      <c r="B630" s="247"/>
      <c r="C630" s="248"/>
      <c r="D630" s="248"/>
      <c r="E630" s="248"/>
      <c r="F630" s="202"/>
      <c r="G630" s="178"/>
      <c r="H630" s="200"/>
      <c r="I630" s="133"/>
      <c r="J630" s="247"/>
      <c r="K630" s="248"/>
      <c r="L630" s="248"/>
      <c r="M630" s="248"/>
      <c r="N630" s="202"/>
      <c r="O630" s="178"/>
      <c r="P630" s="200"/>
    </row>
    <row r="631" spans="1:16" x14ac:dyDescent="0.25">
      <c r="A631" s="133"/>
      <c r="B631" s="247"/>
      <c r="C631" s="232"/>
      <c r="D631" s="232"/>
      <c r="E631" s="232"/>
      <c r="F631" s="226"/>
      <c r="G631" s="229"/>
      <c r="H631" s="200"/>
      <c r="I631" s="133"/>
      <c r="J631" s="247"/>
      <c r="K631" s="232"/>
      <c r="L631" s="232"/>
      <c r="M631" s="232"/>
      <c r="N631" s="226"/>
      <c r="O631" s="229"/>
      <c r="P631" s="200"/>
    </row>
    <row r="632" spans="1:16" x14ac:dyDescent="0.25">
      <c r="A632" s="133"/>
      <c r="B632" s="194"/>
      <c r="C632" s="232"/>
      <c r="D632" s="232"/>
      <c r="E632" s="232"/>
      <c r="F632" s="226"/>
      <c r="G632" s="229"/>
      <c r="H632" s="200"/>
      <c r="I632" s="133"/>
      <c r="J632" s="194"/>
      <c r="K632" s="232"/>
      <c r="L632" s="232"/>
      <c r="M632" s="232"/>
      <c r="N632" s="226"/>
      <c r="O632" s="229"/>
      <c r="P632" s="200"/>
    </row>
    <row r="633" spans="1:16" ht="15.75" thickBot="1" x14ac:dyDescent="0.3">
      <c r="A633" s="133"/>
      <c r="B633" s="195"/>
      <c r="C633" s="232"/>
      <c r="D633" s="232"/>
      <c r="E633" s="232"/>
      <c r="F633" s="226"/>
      <c r="G633" s="229"/>
      <c r="H633" s="200"/>
      <c r="I633" s="133"/>
      <c r="J633" s="195"/>
      <c r="K633" s="232"/>
      <c r="L633" s="232"/>
      <c r="M633" s="232"/>
      <c r="N633" s="226"/>
      <c r="O633" s="229"/>
      <c r="P633" s="200"/>
    </row>
    <row r="634" spans="1:16" ht="15.75" thickBot="1" x14ac:dyDescent="0.3">
      <c r="A634" s="133"/>
      <c r="B634" s="233"/>
      <c r="C634" s="234"/>
      <c r="D634" s="234"/>
      <c r="E634" s="234"/>
      <c r="F634" s="235"/>
      <c r="G634" s="236"/>
      <c r="H634" s="237">
        <f>+SUM(G629:G634)</f>
        <v>0</v>
      </c>
      <c r="I634" s="133"/>
      <c r="J634" s="233"/>
      <c r="K634" s="234"/>
      <c r="L634" s="234"/>
      <c r="M634" s="234"/>
      <c r="N634" s="235"/>
      <c r="O634" s="236"/>
      <c r="P634" s="237">
        <f>+SUM(O629:O634)</f>
        <v>0</v>
      </c>
    </row>
    <row r="635" spans="1:16" ht="15.75" thickBot="1" x14ac:dyDescent="0.3">
      <c r="A635" s="133"/>
      <c r="B635" s="238"/>
      <c r="C635" s="238"/>
      <c r="D635" s="238"/>
      <c r="E635" s="238"/>
      <c r="F635" s="249"/>
      <c r="G635" s="250"/>
      <c r="H635" s="241"/>
      <c r="I635" s="133"/>
      <c r="J635" s="238"/>
      <c r="K635" s="238"/>
      <c r="L635" s="238"/>
      <c r="M635" s="238"/>
      <c r="N635" s="249"/>
      <c r="O635" s="250"/>
      <c r="P635" s="241"/>
    </row>
    <row r="636" spans="1:16" ht="15.75" thickBot="1" x14ac:dyDescent="0.3">
      <c r="A636" s="133"/>
      <c r="B636" s="224" t="s">
        <v>5412</v>
      </c>
      <c r="C636" s="193" t="s">
        <v>5420</v>
      </c>
      <c r="D636" s="193" t="s">
        <v>5421</v>
      </c>
      <c r="E636" s="193" t="s">
        <v>5413</v>
      </c>
      <c r="F636" s="193" t="s">
        <v>5405</v>
      </c>
      <c r="G636" s="225" t="s">
        <v>868</v>
      </c>
      <c r="H636" s="200"/>
      <c r="I636" s="133"/>
      <c r="J636" s="224" t="s">
        <v>5412</v>
      </c>
      <c r="K636" s="193" t="s">
        <v>5420</v>
      </c>
      <c r="L636" s="193" t="s">
        <v>5421</v>
      </c>
      <c r="M636" s="193" t="s">
        <v>5413</v>
      </c>
      <c r="N636" s="193" t="s">
        <v>5405</v>
      </c>
      <c r="O636" s="225" t="s">
        <v>868</v>
      </c>
      <c r="P636" s="200"/>
    </row>
    <row r="637" spans="1:16" x14ac:dyDescent="0.25">
      <c r="A637" s="133"/>
      <c r="B637" s="194" t="s">
        <v>5948</v>
      </c>
      <c r="C637" s="345">
        <v>70000</v>
      </c>
      <c r="D637" s="176">
        <f>+C637*0.85</f>
        <v>59500</v>
      </c>
      <c r="E637" s="176">
        <f>+C637+D637</f>
        <v>129500</v>
      </c>
      <c r="F637" s="204">
        <v>1000</v>
      </c>
      <c r="G637" s="178">
        <f>+E637/F637</f>
        <v>129.5</v>
      </c>
      <c r="H637" s="200"/>
      <c r="I637" s="133"/>
      <c r="J637" s="194" t="s">
        <v>5948</v>
      </c>
      <c r="K637" s="345">
        <v>70000</v>
      </c>
      <c r="L637" s="176">
        <f>+K637*0.85</f>
        <v>59500</v>
      </c>
      <c r="M637" s="176">
        <f>+K637+L637</f>
        <v>129500</v>
      </c>
      <c r="N637" s="204">
        <v>800</v>
      </c>
      <c r="O637" s="178">
        <f>+M637/N637</f>
        <v>161.875</v>
      </c>
      <c r="P637" s="200"/>
    </row>
    <row r="638" spans="1:16" x14ac:dyDescent="0.25">
      <c r="A638" s="133"/>
      <c r="B638" s="194" t="s">
        <v>5651</v>
      </c>
      <c r="C638" s="345">
        <v>40000</v>
      </c>
      <c r="D638" s="176">
        <f>+C638*0.85</f>
        <v>34000</v>
      </c>
      <c r="E638" s="176">
        <f>+C638+D638</f>
        <v>74000</v>
      </c>
      <c r="F638" s="202">
        <v>100</v>
      </c>
      <c r="G638" s="178">
        <f>+E638/F638</f>
        <v>740</v>
      </c>
      <c r="H638" s="200"/>
      <c r="I638" s="133"/>
      <c r="J638" s="194" t="s">
        <v>5651</v>
      </c>
      <c r="K638" s="345">
        <v>40000</v>
      </c>
      <c r="L638" s="176">
        <f>+K638*0.85</f>
        <v>34000</v>
      </c>
      <c r="M638" s="176">
        <f>+K638+L638</f>
        <v>74000</v>
      </c>
      <c r="N638" s="202">
        <v>80</v>
      </c>
      <c r="O638" s="178">
        <f>+M638/N638</f>
        <v>925</v>
      </c>
      <c r="P638" s="200"/>
    </row>
    <row r="639" spans="1:16" x14ac:dyDescent="0.25">
      <c r="A639" s="133"/>
      <c r="B639" s="195" t="s">
        <v>5635</v>
      </c>
      <c r="C639" s="345">
        <v>20600</v>
      </c>
      <c r="D639" s="176">
        <f>+C639*0.85</f>
        <v>17510</v>
      </c>
      <c r="E639" s="176">
        <f>+C639+D639</f>
        <v>38110</v>
      </c>
      <c r="F639" s="226">
        <v>100</v>
      </c>
      <c r="G639" s="178">
        <f>+E639/F639</f>
        <v>381.1</v>
      </c>
      <c r="H639" s="200"/>
      <c r="I639" s="133"/>
      <c r="J639" s="195" t="s">
        <v>5635</v>
      </c>
      <c r="K639" s="345">
        <v>20600</v>
      </c>
      <c r="L639" s="176">
        <f>+K639*0.85</f>
        <v>17510</v>
      </c>
      <c r="M639" s="176">
        <f>+K639+L639</f>
        <v>38110</v>
      </c>
      <c r="N639" s="226">
        <v>80</v>
      </c>
      <c r="O639" s="178">
        <f>+M639/N639</f>
        <v>476.375</v>
      </c>
      <c r="P639" s="200"/>
    </row>
    <row r="640" spans="1:16" x14ac:dyDescent="0.25">
      <c r="A640" s="133"/>
      <c r="B640" s="195" t="s">
        <v>6056</v>
      </c>
      <c r="C640" s="171">
        <v>50000</v>
      </c>
      <c r="D640" s="176">
        <f>+C640*0.85</f>
        <v>42500</v>
      </c>
      <c r="E640" s="176">
        <f>+C640+D640</f>
        <v>92500</v>
      </c>
      <c r="F640" s="226">
        <v>30</v>
      </c>
      <c r="G640" s="178">
        <f>+E640/F640</f>
        <v>3083.3333333333335</v>
      </c>
      <c r="H640" s="200"/>
      <c r="I640" s="133"/>
      <c r="J640" s="195" t="s">
        <v>6056</v>
      </c>
      <c r="K640" s="171">
        <v>50000</v>
      </c>
      <c r="L640" s="176">
        <f>+K640*0.85</f>
        <v>42500</v>
      </c>
      <c r="M640" s="176">
        <f>+K640+L640</f>
        <v>92500</v>
      </c>
      <c r="N640" s="226">
        <v>20</v>
      </c>
      <c r="O640" s="178">
        <f>+M640/N640</f>
        <v>4625</v>
      </c>
      <c r="P640" s="200"/>
    </row>
    <row r="641" spans="1:16" x14ac:dyDescent="0.25">
      <c r="A641" s="133"/>
      <c r="B641" s="195"/>
      <c r="C641" s="232"/>
      <c r="D641" s="232"/>
      <c r="E641" s="232"/>
      <c r="F641" s="226"/>
      <c r="G641" s="229"/>
      <c r="H641" s="200"/>
      <c r="I641" s="133"/>
      <c r="J641" s="195"/>
      <c r="K641" s="232"/>
      <c r="L641" s="232"/>
      <c r="M641" s="232"/>
      <c r="N641" s="226"/>
      <c r="O641" s="229"/>
      <c r="P641" s="200"/>
    </row>
    <row r="642" spans="1:16" ht="15.75" thickBot="1" x14ac:dyDescent="0.3">
      <c r="A642" s="133"/>
      <c r="B642" s="195"/>
      <c r="C642" s="232"/>
      <c r="D642" s="232"/>
      <c r="E642" s="232"/>
      <c r="F642" s="226"/>
      <c r="G642" s="229"/>
      <c r="H642" s="200"/>
      <c r="I642" s="133"/>
      <c r="J642" s="195"/>
      <c r="K642" s="232"/>
      <c r="L642" s="232"/>
      <c r="M642" s="232"/>
      <c r="N642" s="226"/>
      <c r="O642" s="229"/>
      <c r="P642" s="200"/>
    </row>
    <row r="643" spans="1:16" ht="15.75" thickBot="1" x14ac:dyDescent="0.3">
      <c r="A643" s="133"/>
      <c r="B643" s="251"/>
      <c r="C643" s="252"/>
      <c r="D643" s="252"/>
      <c r="E643" s="252"/>
      <c r="F643" s="253"/>
      <c r="G643" s="254"/>
      <c r="H643" s="256">
        <f>+SUM(G637:G643)</f>
        <v>4333.9333333333334</v>
      </c>
      <c r="I643" s="133"/>
      <c r="J643" s="251"/>
      <c r="K643" s="252"/>
      <c r="L643" s="252"/>
      <c r="M643" s="252"/>
      <c r="N643" s="253"/>
      <c r="O643" s="254"/>
      <c r="P643" s="256">
        <f>+SUM(O637:O643)</f>
        <v>6188.25</v>
      </c>
    </row>
    <row r="644" spans="1:16" ht="15.75" thickBot="1" x14ac:dyDescent="0.3">
      <c r="A644" s="133"/>
      <c r="B644" s="8"/>
      <c r="C644" s="8"/>
      <c r="D644" s="8"/>
      <c r="E644" s="8"/>
      <c r="F644" s="133"/>
      <c r="G644" s="200"/>
      <c r="H644" s="200"/>
      <c r="I644" s="133"/>
      <c r="J644" s="8"/>
      <c r="K644" s="8"/>
      <c r="L644" s="8"/>
      <c r="M644" s="8"/>
      <c r="N644" s="133"/>
      <c r="O644" s="200"/>
      <c r="P644" s="200"/>
    </row>
    <row r="645" spans="1:16" ht="15.75" thickBot="1" x14ac:dyDescent="0.3">
      <c r="A645" s="133"/>
      <c r="B645" s="8"/>
      <c r="C645" s="8"/>
      <c r="D645" s="8"/>
      <c r="E645" s="223" t="s">
        <v>5415</v>
      </c>
      <c r="F645" s="133"/>
      <c r="G645" s="200"/>
      <c r="H645" s="256">
        <f>ROUND(+H643+H634+H626+H611,0)</f>
        <v>11850</v>
      </c>
      <c r="I645" s="133"/>
      <c r="J645" s="8"/>
      <c r="K645" s="8"/>
      <c r="L645" s="8"/>
      <c r="M645" s="223" t="s">
        <v>5415</v>
      </c>
      <c r="N645" s="133"/>
      <c r="O645" s="200"/>
      <c r="P645" s="256">
        <f>ROUND(+P643+P634+P626+P611,0)</f>
        <v>15182</v>
      </c>
    </row>
    <row r="650" spans="1:16" ht="18.75" x14ac:dyDescent="0.25">
      <c r="A650" s="133"/>
      <c r="B650" s="2506" t="s">
        <v>5400</v>
      </c>
      <c r="C650" s="2506"/>
      <c r="D650" s="2506"/>
      <c r="E650" s="2506"/>
      <c r="F650" s="2506"/>
      <c r="G650" s="2506"/>
      <c r="H650" s="8"/>
    </row>
    <row r="651" spans="1:16" ht="18.75" x14ac:dyDescent="0.25">
      <c r="A651" s="133"/>
      <c r="B651" s="331"/>
      <c r="C651" s="331"/>
      <c r="D651" s="331"/>
      <c r="E651" s="331"/>
      <c r="F651" s="331"/>
      <c r="G651" s="331"/>
      <c r="H651" s="8"/>
    </row>
    <row r="652" spans="1:16" x14ac:dyDescent="0.25">
      <c r="A652" s="133"/>
      <c r="B652" s="8"/>
      <c r="C652" s="8"/>
      <c r="D652" s="8"/>
      <c r="E652" s="8"/>
      <c r="F652" s="133"/>
      <c r="G652" s="200"/>
      <c r="H652" s="200"/>
    </row>
    <row r="653" spans="1:16" x14ac:dyDescent="0.25">
      <c r="A653" s="133"/>
      <c r="B653" s="8"/>
      <c r="C653" s="8"/>
      <c r="D653" s="8"/>
      <c r="E653" s="8"/>
      <c r="F653" s="133"/>
      <c r="G653" s="200"/>
      <c r="H653" s="200"/>
    </row>
    <row r="654" spans="1:16" ht="24.95" customHeight="1" x14ac:dyDescent="0.25">
      <c r="A654" s="220" t="s">
        <v>5482</v>
      </c>
      <c r="B654" s="221" t="s">
        <v>253</v>
      </c>
      <c r="C654" s="2449" t="s">
        <v>5493</v>
      </c>
      <c r="D654" s="2449"/>
      <c r="E654" s="2449"/>
      <c r="F654" s="220" t="s">
        <v>867</v>
      </c>
      <c r="G654" s="222" t="s">
        <v>5402</v>
      </c>
      <c r="H654" s="200"/>
    </row>
    <row r="655" spans="1:16" x14ac:dyDescent="0.25">
      <c r="A655" s="133"/>
      <c r="B655" s="8"/>
      <c r="C655" s="223"/>
      <c r="D655" s="223"/>
      <c r="E655" s="223"/>
      <c r="F655" s="133"/>
      <c r="G655" s="200"/>
      <c r="H655" s="200"/>
    </row>
    <row r="656" spans="1:16" x14ac:dyDescent="0.25">
      <c r="A656" s="133"/>
      <c r="B656" s="8"/>
      <c r="C656" s="8"/>
      <c r="D656" s="8"/>
      <c r="E656" s="8"/>
      <c r="F656" s="8"/>
      <c r="G656" s="8"/>
      <c r="H656" s="200"/>
    </row>
    <row r="657" spans="1:8" ht="15.75" thickBot="1" x14ac:dyDescent="0.3">
      <c r="A657" s="133"/>
      <c r="B657" s="8"/>
      <c r="C657" s="8"/>
      <c r="D657" s="8"/>
      <c r="E657" s="8"/>
      <c r="F657" s="133"/>
      <c r="G657" s="200"/>
      <c r="H657" s="200"/>
    </row>
    <row r="658" spans="1:8" ht="15.75" thickBot="1" x14ac:dyDescent="0.3">
      <c r="A658" s="133"/>
      <c r="B658" s="224" t="s">
        <v>5403</v>
      </c>
      <c r="C658" s="193" t="s">
        <v>867</v>
      </c>
      <c r="D658" s="193" t="s">
        <v>6</v>
      </c>
      <c r="E658" s="193" t="s">
        <v>5439</v>
      </c>
      <c r="F658" s="193" t="s">
        <v>5405</v>
      </c>
      <c r="G658" s="225" t="s">
        <v>868</v>
      </c>
      <c r="H658" s="200"/>
    </row>
    <row r="659" spans="1:8" x14ac:dyDescent="0.25">
      <c r="A659" s="133"/>
      <c r="B659" s="195" t="s">
        <v>5440</v>
      </c>
      <c r="C659" s="226" t="s">
        <v>5402</v>
      </c>
      <c r="D659" s="226">
        <v>1</v>
      </c>
      <c r="E659" s="227">
        <f>+H697</f>
        <v>11038.333333333332</v>
      </c>
      <c r="F659" s="226">
        <v>0.05</v>
      </c>
      <c r="G659" s="229">
        <f>+E659*F659</f>
        <v>551.91666666666663</v>
      </c>
      <c r="H659" s="200"/>
    </row>
    <row r="660" spans="1:8" x14ac:dyDescent="0.25">
      <c r="A660" s="133"/>
      <c r="B660" s="195" t="s">
        <v>6058</v>
      </c>
      <c r="C660" s="226" t="s">
        <v>5402</v>
      </c>
      <c r="D660" s="226">
        <v>1</v>
      </c>
      <c r="E660" s="230">
        <v>400000</v>
      </c>
      <c r="F660" s="226">
        <v>0.02</v>
      </c>
      <c r="G660" s="229">
        <f>+E660*F660</f>
        <v>8000</v>
      </c>
      <c r="H660" s="200"/>
    </row>
    <row r="661" spans="1:8" x14ac:dyDescent="0.25">
      <c r="A661" s="133"/>
      <c r="B661" s="195" t="s">
        <v>6048</v>
      </c>
      <c r="C661" s="226" t="s">
        <v>5402</v>
      </c>
      <c r="D661" s="226">
        <v>1</v>
      </c>
      <c r="E661" s="449">
        <v>50000</v>
      </c>
      <c r="F661" s="226">
        <v>0.02</v>
      </c>
      <c r="G661" s="229">
        <f>+E661*F661</f>
        <v>1000</v>
      </c>
      <c r="H661" s="200"/>
    </row>
    <row r="662" spans="1:8" x14ac:dyDescent="0.25">
      <c r="A662" s="133"/>
      <c r="B662" s="195"/>
      <c r="C662" s="226"/>
      <c r="D662" s="226"/>
      <c r="E662" s="171"/>
      <c r="F662" s="226"/>
      <c r="G662" s="231"/>
      <c r="H662" s="200"/>
    </row>
    <row r="663" spans="1:8" x14ac:dyDescent="0.25">
      <c r="A663" s="133"/>
      <c r="B663" s="195"/>
      <c r="C663" s="226"/>
      <c r="D663" s="232"/>
      <c r="E663" s="232"/>
      <c r="F663" s="226"/>
      <c r="G663" s="229"/>
      <c r="H663" s="200"/>
    </row>
    <row r="664" spans="1:8" ht="15.75" thickBot="1" x14ac:dyDescent="0.3">
      <c r="A664" s="133"/>
      <c r="B664" s="195"/>
      <c r="C664" s="226"/>
      <c r="D664" s="232"/>
      <c r="E664" s="232"/>
      <c r="F664" s="226"/>
      <c r="G664" s="229"/>
      <c r="H664" s="200"/>
    </row>
    <row r="665" spans="1:8" ht="15.75" thickBot="1" x14ac:dyDescent="0.3">
      <c r="A665" s="133"/>
      <c r="B665" s="233"/>
      <c r="C665" s="234"/>
      <c r="D665" s="234"/>
      <c r="E665" s="234"/>
      <c r="F665" s="235"/>
      <c r="G665" s="236"/>
      <c r="H665" s="237">
        <f>+SUM(G659:G665)</f>
        <v>9551.9166666666661</v>
      </c>
    </row>
    <row r="666" spans="1:8" ht="15.75" thickBot="1" x14ac:dyDescent="0.3">
      <c r="A666" s="133"/>
      <c r="B666" s="238"/>
      <c r="C666" s="238"/>
      <c r="D666" s="238"/>
      <c r="E666" s="238"/>
      <c r="F666" s="239"/>
      <c r="G666" s="240"/>
      <c r="H666" s="241"/>
    </row>
    <row r="667" spans="1:8" ht="15.75" thickBot="1" x14ac:dyDescent="0.3">
      <c r="A667" s="133"/>
      <c r="B667" s="224" t="s">
        <v>5408</v>
      </c>
      <c r="C667" s="193" t="s">
        <v>867</v>
      </c>
      <c r="D667" s="193" t="s">
        <v>6</v>
      </c>
      <c r="E667" s="193" t="s">
        <v>870</v>
      </c>
      <c r="F667" s="193" t="s">
        <v>5409</v>
      </c>
      <c r="G667" s="225" t="s">
        <v>868</v>
      </c>
      <c r="H667" s="200"/>
    </row>
    <row r="668" spans="1:8" x14ac:dyDescent="0.25">
      <c r="A668" s="133"/>
      <c r="B668" s="295" t="s">
        <v>5553</v>
      </c>
      <c r="C668" s="202" t="s">
        <v>5488</v>
      </c>
      <c r="D668" s="226">
        <f>+PI()*0.1^2*1000</f>
        <v>31.415926535897935</v>
      </c>
      <c r="E668" s="244">
        <v>5</v>
      </c>
      <c r="F668" s="169">
        <v>0.1</v>
      </c>
      <c r="G668" s="178">
        <f>+D668*E668*(1+F668)</f>
        <v>172.78759594743863</v>
      </c>
      <c r="H668" s="200"/>
    </row>
    <row r="669" spans="1:8" x14ac:dyDescent="0.25">
      <c r="A669" s="133"/>
      <c r="B669" s="450" t="s">
        <v>5755</v>
      </c>
      <c r="C669" s="202" t="s">
        <v>5487</v>
      </c>
      <c r="D669" s="202">
        <f>+D615*D668/D614</f>
        <v>1313.6</v>
      </c>
      <c r="E669" s="257">
        <v>0.65</v>
      </c>
      <c r="F669" s="169">
        <v>0.05</v>
      </c>
      <c r="G669" s="178">
        <f>+D669*E669*(1+F669)</f>
        <v>896.53199999999993</v>
      </c>
      <c r="H669" s="200"/>
    </row>
    <row r="670" spans="1:8" x14ac:dyDescent="0.25">
      <c r="A670" s="133"/>
      <c r="B670" s="450" t="s">
        <v>5751</v>
      </c>
      <c r="C670" s="226" t="s">
        <v>5488</v>
      </c>
      <c r="D670" s="226">
        <v>8.2500000000000004E-3</v>
      </c>
      <c r="E670" s="244">
        <v>3500</v>
      </c>
      <c r="F670" s="169">
        <v>0.05</v>
      </c>
      <c r="G670" s="178">
        <f>+D670*E670*(1+F670)</f>
        <v>30.318750000000001</v>
      </c>
      <c r="H670" s="200"/>
    </row>
    <row r="671" spans="1:8" x14ac:dyDescent="0.25">
      <c r="A671" s="133"/>
      <c r="B671" s="450" t="s">
        <v>6057</v>
      </c>
      <c r="C671" s="226" t="s">
        <v>5424</v>
      </c>
      <c r="D671" s="226">
        <v>1.67</v>
      </c>
      <c r="E671" s="244">
        <v>1</v>
      </c>
      <c r="F671" s="169">
        <v>0.05</v>
      </c>
      <c r="G671" s="178">
        <f>+D671*E671*(1+F671)</f>
        <v>1.7535000000000001</v>
      </c>
      <c r="H671" s="200"/>
    </row>
    <row r="672" spans="1:8" x14ac:dyDescent="0.25">
      <c r="A672" s="133"/>
      <c r="B672" s="195"/>
      <c r="C672" s="226"/>
      <c r="D672" s="226"/>
      <c r="E672" s="171"/>
      <c r="F672" s="169"/>
      <c r="G672" s="178"/>
      <c r="H672" s="200"/>
    </row>
    <row r="673" spans="1:8" x14ac:dyDescent="0.25">
      <c r="A673" s="133"/>
      <c r="B673" s="194"/>
      <c r="C673" s="202"/>
      <c r="D673" s="202"/>
      <c r="E673" s="171"/>
      <c r="F673" s="169"/>
      <c r="G673" s="178"/>
      <c r="H673" s="200"/>
    </row>
    <row r="674" spans="1:8" x14ac:dyDescent="0.25">
      <c r="A674" s="133"/>
      <c r="B674" s="195"/>
      <c r="C674" s="226"/>
      <c r="D674" s="226"/>
      <c r="E674" s="171"/>
      <c r="F674" s="169"/>
      <c r="G674" s="178"/>
      <c r="H674" s="200"/>
    </row>
    <row r="675" spans="1:8" x14ac:dyDescent="0.25">
      <c r="A675" s="133"/>
      <c r="B675" s="195"/>
      <c r="C675" s="226"/>
      <c r="D675" s="226"/>
      <c r="E675" s="171"/>
      <c r="F675" s="169"/>
      <c r="G675" s="178"/>
      <c r="H675" s="200"/>
    </row>
    <row r="676" spans="1:8" x14ac:dyDescent="0.25">
      <c r="A676" s="133"/>
      <c r="B676" s="195"/>
      <c r="C676" s="232"/>
      <c r="D676" s="232"/>
      <c r="E676" s="232"/>
      <c r="F676" s="226"/>
      <c r="G676" s="229"/>
      <c r="H676" s="200"/>
    </row>
    <row r="677" spans="1:8" x14ac:dyDescent="0.25">
      <c r="A677" s="133"/>
      <c r="B677" s="195"/>
      <c r="C677" s="232"/>
      <c r="D677" s="232"/>
      <c r="E677" s="232"/>
      <c r="F677" s="226"/>
      <c r="G677" s="229"/>
      <c r="H677" s="200"/>
    </row>
    <row r="678" spans="1:8" x14ac:dyDescent="0.25">
      <c r="A678" s="133"/>
      <c r="B678" s="195"/>
      <c r="C678" s="232"/>
      <c r="D678" s="232"/>
      <c r="E678" s="232"/>
      <c r="F678" s="226"/>
      <c r="G678" s="229"/>
      <c r="H678" s="200"/>
    </row>
    <row r="679" spans="1:8" ht="15.75" thickBot="1" x14ac:dyDescent="0.3">
      <c r="A679" s="133"/>
      <c r="B679" s="195"/>
      <c r="C679" s="232"/>
      <c r="D679" s="232"/>
      <c r="E679" s="232"/>
      <c r="F679" s="226"/>
      <c r="G679" s="229"/>
      <c r="H679" s="200"/>
    </row>
    <row r="680" spans="1:8" ht="15.75" thickBot="1" x14ac:dyDescent="0.3">
      <c r="A680" s="133"/>
      <c r="B680" s="233"/>
      <c r="C680" s="234"/>
      <c r="D680" s="234"/>
      <c r="E680" s="234"/>
      <c r="F680" s="235"/>
      <c r="G680" s="236"/>
      <c r="H680" s="256">
        <f>+SUM(G668:G680)</f>
        <v>1101.3918459474385</v>
      </c>
    </row>
    <row r="681" spans="1:8" ht="15.75" thickBot="1" x14ac:dyDescent="0.3">
      <c r="A681" s="133"/>
      <c r="B681" s="238"/>
      <c r="C681" s="238"/>
      <c r="D681" s="238"/>
      <c r="E681" s="238"/>
      <c r="F681" s="239"/>
      <c r="G681" s="240"/>
      <c r="H681" s="241"/>
    </row>
    <row r="682" spans="1:8" ht="15.75" thickBot="1" x14ac:dyDescent="0.3">
      <c r="A682" s="133"/>
      <c r="B682" s="224" t="s">
        <v>5410</v>
      </c>
      <c r="C682" s="193" t="s">
        <v>867</v>
      </c>
      <c r="D682" s="193" t="s">
        <v>6</v>
      </c>
      <c r="E682" s="193" t="s">
        <v>870</v>
      </c>
      <c r="F682" s="193" t="s">
        <v>5411</v>
      </c>
      <c r="G682" s="225" t="s">
        <v>868</v>
      </c>
      <c r="H682" s="200"/>
    </row>
    <row r="683" spans="1:8" x14ac:dyDescent="0.25">
      <c r="A683" s="133"/>
      <c r="B683" s="245"/>
      <c r="C683" s="202"/>
      <c r="D683" s="202"/>
      <c r="E683" s="175"/>
      <c r="F683" s="202"/>
      <c r="G683" s="203"/>
      <c r="H683" s="246"/>
    </row>
    <row r="684" spans="1:8" x14ac:dyDescent="0.25">
      <c r="A684" s="133"/>
      <c r="B684" s="247"/>
      <c r="C684" s="248"/>
      <c r="D684" s="248"/>
      <c r="E684" s="248"/>
      <c r="F684" s="202"/>
      <c r="G684" s="178"/>
      <c r="H684" s="200"/>
    </row>
    <row r="685" spans="1:8" x14ac:dyDescent="0.25">
      <c r="A685" s="133"/>
      <c r="B685" s="247"/>
      <c r="C685" s="232"/>
      <c r="D685" s="232"/>
      <c r="E685" s="232"/>
      <c r="F685" s="226"/>
      <c r="G685" s="229"/>
      <c r="H685" s="200"/>
    </row>
    <row r="686" spans="1:8" x14ac:dyDescent="0.25">
      <c r="A686" s="133"/>
      <c r="B686" s="194"/>
      <c r="C686" s="232"/>
      <c r="D686" s="232"/>
      <c r="E686" s="232"/>
      <c r="F686" s="226"/>
      <c r="G686" s="229"/>
      <c r="H686" s="200"/>
    </row>
    <row r="687" spans="1:8" ht="15.75" thickBot="1" x14ac:dyDescent="0.3">
      <c r="A687" s="133"/>
      <c r="B687" s="195"/>
      <c r="C687" s="232"/>
      <c r="D687" s="232"/>
      <c r="E687" s="232"/>
      <c r="F687" s="226"/>
      <c r="G687" s="229"/>
      <c r="H687" s="200"/>
    </row>
    <row r="688" spans="1:8" ht="15.75" thickBot="1" x14ac:dyDescent="0.3">
      <c r="A688" s="133"/>
      <c r="B688" s="233"/>
      <c r="C688" s="234"/>
      <c r="D688" s="234"/>
      <c r="E688" s="234"/>
      <c r="F688" s="235"/>
      <c r="G688" s="236"/>
      <c r="H688" s="237">
        <f>+SUM(G683:G688)</f>
        <v>0</v>
      </c>
    </row>
    <row r="689" spans="1:8" ht="15.75" thickBot="1" x14ac:dyDescent="0.3">
      <c r="A689" s="133"/>
      <c r="B689" s="238"/>
      <c r="C689" s="238"/>
      <c r="D689" s="238"/>
      <c r="E689" s="238"/>
      <c r="F689" s="249"/>
      <c r="G689" s="250"/>
      <c r="H689" s="241"/>
    </row>
    <row r="690" spans="1:8" ht="15.75" thickBot="1" x14ac:dyDescent="0.3">
      <c r="A690" s="133"/>
      <c r="B690" s="224" t="s">
        <v>5412</v>
      </c>
      <c r="C690" s="193" t="s">
        <v>5420</v>
      </c>
      <c r="D690" s="193" t="s">
        <v>5421</v>
      </c>
      <c r="E690" s="193" t="s">
        <v>5413</v>
      </c>
      <c r="F690" s="193" t="s">
        <v>5405</v>
      </c>
      <c r="G690" s="225" t="s">
        <v>868</v>
      </c>
      <c r="H690" s="200"/>
    </row>
    <row r="691" spans="1:8" x14ac:dyDescent="0.25">
      <c r="A691" s="133"/>
      <c r="B691" s="194" t="s">
        <v>5948</v>
      </c>
      <c r="C691" s="345">
        <v>70000</v>
      </c>
      <c r="D691" s="176">
        <f>+C691*0.85</f>
        <v>59500</v>
      </c>
      <c r="E691" s="176">
        <f>+C691+D691</f>
        <v>129500</v>
      </c>
      <c r="F691" s="204">
        <v>600</v>
      </c>
      <c r="G691" s="178">
        <f>+E691/F691</f>
        <v>215.83333333333334</v>
      </c>
      <c r="H691" s="200"/>
    </row>
    <row r="692" spans="1:8" x14ac:dyDescent="0.25">
      <c r="A692" s="133"/>
      <c r="B692" s="194" t="s">
        <v>5651</v>
      </c>
      <c r="C692" s="345">
        <v>40000</v>
      </c>
      <c r="D692" s="176">
        <f>+C692*0.85</f>
        <v>34000</v>
      </c>
      <c r="E692" s="176">
        <f>+C692+D692</f>
        <v>74000</v>
      </c>
      <c r="F692" s="202">
        <v>36</v>
      </c>
      <c r="G692" s="178">
        <f>+E692/F692</f>
        <v>2055.5555555555557</v>
      </c>
      <c r="H692" s="200"/>
    </row>
    <row r="693" spans="1:8" x14ac:dyDescent="0.25">
      <c r="A693" s="133"/>
      <c r="B693" s="195" t="s">
        <v>5635</v>
      </c>
      <c r="C693" s="345">
        <v>20600</v>
      </c>
      <c r="D693" s="176">
        <f>+C693*0.85</f>
        <v>17510</v>
      </c>
      <c r="E693" s="176">
        <f>+C693+D693</f>
        <v>38110</v>
      </c>
      <c r="F693" s="226">
        <v>36</v>
      </c>
      <c r="G693" s="178">
        <f>+E693/F693</f>
        <v>1058.6111111111111</v>
      </c>
      <c r="H693" s="200"/>
    </row>
    <row r="694" spans="1:8" x14ac:dyDescent="0.25">
      <c r="A694" s="133"/>
      <c r="B694" s="195" t="s">
        <v>6056</v>
      </c>
      <c r="C694" s="171">
        <v>50000</v>
      </c>
      <c r="D694" s="176">
        <f>+C694*0.85</f>
        <v>42500</v>
      </c>
      <c r="E694" s="176">
        <f>+C694+D694</f>
        <v>92500</v>
      </c>
      <c r="F694" s="226">
        <v>12</v>
      </c>
      <c r="G694" s="178">
        <f>+E694/F694</f>
        <v>7708.333333333333</v>
      </c>
      <c r="H694" s="200"/>
    </row>
    <row r="695" spans="1:8" x14ac:dyDescent="0.25">
      <c r="A695" s="133"/>
      <c r="B695" s="195"/>
      <c r="C695" s="232"/>
      <c r="D695" s="232"/>
      <c r="E695" s="232"/>
      <c r="F695" s="226"/>
      <c r="G695" s="229"/>
      <c r="H695" s="200"/>
    </row>
    <row r="696" spans="1:8" ht="15.75" thickBot="1" x14ac:dyDescent="0.3">
      <c r="A696" s="133"/>
      <c r="B696" s="195"/>
      <c r="C696" s="232"/>
      <c r="D696" s="232"/>
      <c r="E696" s="232"/>
      <c r="F696" s="226"/>
      <c r="G696" s="229"/>
      <c r="H696" s="200"/>
    </row>
    <row r="697" spans="1:8" ht="15.75" thickBot="1" x14ac:dyDescent="0.3">
      <c r="A697" s="133"/>
      <c r="B697" s="251"/>
      <c r="C697" s="252"/>
      <c r="D697" s="252"/>
      <c r="E697" s="252"/>
      <c r="F697" s="253"/>
      <c r="G697" s="254"/>
      <c r="H697" s="256">
        <f>+SUM(G691:G697)</f>
        <v>11038.333333333332</v>
      </c>
    </row>
    <row r="698" spans="1:8" ht="15.75" thickBot="1" x14ac:dyDescent="0.3">
      <c r="A698" s="133"/>
      <c r="B698" s="8"/>
      <c r="C698" s="8"/>
      <c r="D698" s="8"/>
      <c r="E698" s="8"/>
      <c r="F698" s="133"/>
      <c r="G698" s="200"/>
      <c r="H698" s="200"/>
    </row>
    <row r="699" spans="1:8" ht="15.75" thickBot="1" x14ac:dyDescent="0.3">
      <c r="A699" s="133"/>
      <c r="B699" s="8"/>
      <c r="C699" s="8"/>
      <c r="D699" s="8"/>
      <c r="E699" s="223" t="s">
        <v>5415</v>
      </c>
      <c r="F699" s="133"/>
      <c r="G699" s="200"/>
      <c r="H699" s="256">
        <f>ROUND(+H697+H688+H680+H665,0)</f>
        <v>21692</v>
      </c>
    </row>
    <row r="704" spans="1:8" ht="18.75" x14ac:dyDescent="0.25">
      <c r="A704" s="133"/>
      <c r="B704" s="2506" t="s">
        <v>5400</v>
      </c>
      <c r="C704" s="2506"/>
      <c r="D704" s="2506"/>
      <c r="E704" s="2506"/>
      <c r="F704" s="2506"/>
      <c r="G704" s="2506"/>
      <c r="H704" s="8"/>
    </row>
    <row r="705" spans="1:8" x14ac:dyDescent="0.25">
      <c r="A705" s="133"/>
      <c r="B705" s="8"/>
      <c r="C705" s="8"/>
      <c r="D705" s="8"/>
      <c r="E705" s="8"/>
      <c r="F705" s="133"/>
      <c r="G705" s="200"/>
      <c r="H705" s="200"/>
    </row>
    <row r="706" spans="1:8" x14ac:dyDescent="0.25">
      <c r="A706" s="133"/>
      <c r="B706" s="8"/>
      <c r="C706" s="8"/>
      <c r="D706" s="8"/>
      <c r="E706" s="8"/>
      <c r="F706" s="133"/>
      <c r="G706" s="200"/>
      <c r="H706" s="200"/>
    </row>
    <row r="707" spans="1:8" x14ac:dyDescent="0.25">
      <c r="A707" s="133"/>
      <c r="B707" s="8"/>
      <c r="C707" s="8"/>
      <c r="D707" s="8"/>
      <c r="E707" s="8"/>
      <c r="F707" s="133"/>
      <c r="G707" s="200"/>
      <c r="H707" s="200"/>
    </row>
    <row r="708" spans="1:8" ht="24.95" customHeight="1" x14ac:dyDescent="0.25">
      <c r="A708" s="220" t="s">
        <v>5482</v>
      </c>
      <c r="B708" s="221" t="s">
        <v>267</v>
      </c>
      <c r="C708" s="2449" t="s">
        <v>5494</v>
      </c>
      <c r="D708" s="2449"/>
      <c r="E708" s="2449"/>
      <c r="F708" s="220" t="s">
        <v>867</v>
      </c>
      <c r="G708" s="222" t="s">
        <v>5424</v>
      </c>
      <c r="H708" s="200"/>
    </row>
    <row r="709" spans="1:8" x14ac:dyDescent="0.25">
      <c r="A709" s="133"/>
      <c r="B709" s="8"/>
      <c r="C709" s="223"/>
      <c r="D709" s="223"/>
      <c r="E709" s="223"/>
      <c r="F709" s="133"/>
      <c r="G709" s="200"/>
      <c r="H709" s="200"/>
    </row>
    <row r="710" spans="1:8" x14ac:dyDescent="0.25">
      <c r="A710" s="133"/>
      <c r="B710" s="8"/>
      <c r="C710" s="8"/>
      <c r="D710" s="8"/>
      <c r="E710" s="8"/>
      <c r="F710" s="8"/>
      <c r="G710" s="8"/>
      <c r="H710" s="200"/>
    </row>
    <row r="711" spans="1:8" ht="15.75" thickBot="1" x14ac:dyDescent="0.3">
      <c r="A711" s="133"/>
      <c r="B711" s="8"/>
      <c r="C711" s="8"/>
      <c r="D711" s="8"/>
      <c r="E711" s="8"/>
      <c r="F711" s="133"/>
      <c r="G711" s="200"/>
      <c r="H711" s="200"/>
    </row>
    <row r="712" spans="1:8" ht="15.75" thickBot="1" x14ac:dyDescent="0.3">
      <c r="A712" s="133"/>
      <c r="B712" s="224" t="s">
        <v>5403</v>
      </c>
      <c r="C712" s="193" t="s">
        <v>867</v>
      </c>
      <c r="D712" s="193" t="s">
        <v>6</v>
      </c>
      <c r="E712" s="193" t="s">
        <v>5439</v>
      </c>
      <c r="F712" s="193" t="s">
        <v>5405</v>
      </c>
      <c r="G712" s="225" t="s">
        <v>868</v>
      </c>
      <c r="H712" s="200"/>
    </row>
    <row r="713" spans="1:8" x14ac:dyDescent="0.25">
      <c r="A713" s="133"/>
      <c r="B713" s="195" t="s">
        <v>5440</v>
      </c>
      <c r="C713" s="226" t="s">
        <v>5402</v>
      </c>
      <c r="D713" s="226">
        <v>1</v>
      </c>
      <c r="E713" s="227">
        <f>+H751</f>
        <v>7655.9166666666661</v>
      </c>
      <c r="F713" s="226">
        <v>0.1</v>
      </c>
      <c r="G713" s="229">
        <f>+E713*F713</f>
        <v>765.5916666666667</v>
      </c>
      <c r="H713" s="200"/>
    </row>
    <row r="714" spans="1:8" x14ac:dyDescent="0.25">
      <c r="A714" s="133"/>
      <c r="B714" s="195" t="s">
        <v>6058</v>
      </c>
      <c r="C714" s="226" t="s">
        <v>5402</v>
      </c>
      <c r="D714" s="226">
        <v>1</v>
      </c>
      <c r="E714" s="230">
        <v>400000</v>
      </c>
      <c r="F714" s="226">
        <v>0.04</v>
      </c>
      <c r="G714" s="229">
        <f>+E714*F714</f>
        <v>16000</v>
      </c>
      <c r="H714" s="200"/>
    </row>
    <row r="715" spans="1:8" x14ac:dyDescent="0.25">
      <c r="A715" s="133"/>
      <c r="B715" s="195"/>
      <c r="C715" s="226"/>
      <c r="D715" s="226"/>
      <c r="E715" s="176"/>
      <c r="F715" s="226"/>
      <c r="G715" s="229"/>
      <c r="H715" s="200"/>
    </row>
    <row r="716" spans="1:8" x14ac:dyDescent="0.25">
      <c r="A716" s="133"/>
      <c r="B716" s="195"/>
      <c r="C716" s="226"/>
      <c r="D716" s="226"/>
      <c r="E716" s="171"/>
      <c r="F716" s="226"/>
      <c r="G716" s="231"/>
      <c r="H716" s="200"/>
    </row>
    <row r="717" spans="1:8" x14ac:dyDescent="0.25">
      <c r="A717" s="133"/>
      <c r="B717" s="195"/>
      <c r="C717" s="226"/>
      <c r="D717" s="232"/>
      <c r="E717" s="232"/>
      <c r="F717" s="226"/>
      <c r="G717" s="229"/>
      <c r="H717" s="200"/>
    </row>
    <row r="718" spans="1:8" ht="15.75" thickBot="1" x14ac:dyDescent="0.3">
      <c r="A718" s="133"/>
      <c r="B718" s="195"/>
      <c r="C718" s="226"/>
      <c r="D718" s="232"/>
      <c r="E718" s="232"/>
      <c r="F718" s="226"/>
      <c r="G718" s="229"/>
      <c r="H718" s="200"/>
    </row>
    <row r="719" spans="1:8" ht="15.75" thickBot="1" x14ac:dyDescent="0.3">
      <c r="A719" s="133"/>
      <c r="B719" s="233"/>
      <c r="C719" s="234"/>
      <c r="D719" s="234"/>
      <c r="E719" s="234"/>
      <c r="F719" s="235"/>
      <c r="G719" s="236"/>
      <c r="H719" s="237">
        <f>+SUM(G713:G719)</f>
        <v>16765.591666666667</v>
      </c>
    </row>
    <row r="720" spans="1:8" ht="15.75" thickBot="1" x14ac:dyDescent="0.3">
      <c r="A720" s="133"/>
      <c r="B720" s="238"/>
      <c r="C720" s="238"/>
      <c r="D720" s="238"/>
      <c r="E720" s="238"/>
      <c r="F720" s="239"/>
      <c r="G720" s="240"/>
      <c r="H720" s="241"/>
    </row>
    <row r="721" spans="1:8" ht="15.75" thickBot="1" x14ac:dyDescent="0.3">
      <c r="A721" s="133"/>
      <c r="B721" s="224" t="s">
        <v>5408</v>
      </c>
      <c r="C721" s="193" t="s">
        <v>867</v>
      </c>
      <c r="D721" s="193" t="s">
        <v>6</v>
      </c>
      <c r="E721" s="193" t="s">
        <v>870</v>
      </c>
      <c r="F721" s="193" t="s">
        <v>5409</v>
      </c>
      <c r="G721" s="225" t="s">
        <v>868</v>
      </c>
      <c r="H721" s="200"/>
    </row>
    <row r="722" spans="1:8" x14ac:dyDescent="0.25">
      <c r="A722" s="133"/>
      <c r="B722" s="450" t="s">
        <v>5751</v>
      </c>
      <c r="C722" s="226" t="s">
        <v>5488</v>
      </c>
      <c r="D722" s="226">
        <v>0.05</v>
      </c>
      <c r="E722" s="244">
        <v>3500</v>
      </c>
      <c r="F722" s="169">
        <v>0.05</v>
      </c>
      <c r="G722" s="178">
        <f>+D722*E722*(1+F722)</f>
        <v>183.75</v>
      </c>
      <c r="H722" s="200"/>
    </row>
    <row r="723" spans="1:8" x14ac:dyDescent="0.25">
      <c r="A723" s="133"/>
      <c r="B723" s="450" t="s">
        <v>6057</v>
      </c>
      <c r="C723" s="226" t="s">
        <v>5424</v>
      </c>
      <c r="D723" s="226">
        <v>10</v>
      </c>
      <c r="E723" s="244">
        <v>1</v>
      </c>
      <c r="F723" s="169">
        <v>0.05</v>
      </c>
      <c r="G723" s="178">
        <f>+D723*E723*(1+F723)</f>
        <v>10.5</v>
      </c>
      <c r="H723" s="200"/>
    </row>
    <row r="724" spans="1:8" x14ac:dyDescent="0.25">
      <c r="A724" s="133"/>
      <c r="B724" s="450"/>
      <c r="C724" s="226"/>
      <c r="D724" s="226"/>
      <c r="E724" s="244"/>
      <c r="F724" s="169"/>
      <c r="G724" s="178"/>
      <c r="H724" s="200"/>
    </row>
    <row r="725" spans="1:8" x14ac:dyDescent="0.25">
      <c r="A725" s="133"/>
      <c r="B725" s="450"/>
      <c r="C725" s="226"/>
      <c r="D725" s="226"/>
      <c r="E725" s="244"/>
      <c r="F725" s="169"/>
      <c r="G725" s="178"/>
      <c r="H725" s="200"/>
    </row>
    <row r="726" spans="1:8" x14ac:dyDescent="0.25">
      <c r="A726" s="133"/>
      <c r="B726" s="195"/>
      <c r="C726" s="226"/>
      <c r="D726" s="226"/>
      <c r="E726" s="171"/>
      <c r="F726" s="169"/>
      <c r="G726" s="178"/>
      <c r="H726" s="200"/>
    </row>
    <row r="727" spans="1:8" x14ac:dyDescent="0.25">
      <c r="A727" s="133"/>
      <c r="B727" s="194"/>
      <c r="C727" s="202"/>
      <c r="D727" s="202"/>
      <c r="E727" s="171"/>
      <c r="F727" s="169"/>
      <c r="G727" s="178"/>
      <c r="H727" s="200"/>
    </row>
    <row r="728" spans="1:8" x14ac:dyDescent="0.25">
      <c r="A728" s="133"/>
      <c r="B728" s="195"/>
      <c r="C728" s="226"/>
      <c r="D728" s="226"/>
      <c r="E728" s="171"/>
      <c r="F728" s="169"/>
      <c r="G728" s="178"/>
      <c r="H728" s="200"/>
    </row>
    <row r="729" spans="1:8" x14ac:dyDescent="0.25">
      <c r="A729" s="133"/>
      <c r="B729" s="195"/>
      <c r="C729" s="226"/>
      <c r="D729" s="226"/>
      <c r="E729" s="171"/>
      <c r="F729" s="169"/>
      <c r="G729" s="178"/>
      <c r="H729" s="200"/>
    </row>
    <row r="730" spans="1:8" x14ac:dyDescent="0.25">
      <c r="A730" s="133"/>
      <c r="B730" s="195"/>
      <c r="C730" s="232"/>
      <c r="D730" s="232"/>
      <c r="E730" s="232"/>
      <c r="F730" s="226"/>
      <c r="G730" s="229"/>
      <c r="H730" s="200"/>
    </row>
    <row r="731" spans="1:8" x14ac:dyDescent="0.25">
      <c r="A731" s="133"/>
      <c r="B731" s="195"/>
      <c r="C731" s="232"/>
      <c r="D731" s="232"/>
      <c r="E731" s="232"/>
      <c r="F731" s="226"/>
      <c r="G731" s="229"/>
      <c r="H731" s="200"/>
    </row>
    <row r="732" spans="1:8" x14ac:dyDescent="0.25">
      <c r="A732" s="133"/>
      <c r="B732" s="195"/>
      <c r="C732" s="232"/>
      <c r="D732" s="232"/>
      <c r="E732" s="232"/>
      <c r="F732" s="226"/>
      <c r="G732" s="229"/>
      <c r="H732" s="200"/>
    </row>
    <row r="733" spans="1:8" ht="15.75" thickBot="1" x14ac:dyDescent="0.3">
      <c r="A733" s="133"/>
      <c r="B733" s="195"/>
      <c r="C733" s="232"/>
      <c r="D733" s="232"/>
      <c r="E733" s="232"/>
      <c r="F733" s="226"/>
      <c r="G733" s="229"/>
      <c r="H733" s="200"/>
    </row>
    <row r="734" spans="1:8" ht="15.75" thickBot="1" x14ac:dyDescent="0.3">
      <c r="A734" s="133"/>
      <c r="B734" s="233"/>
      <c r="C734" s="234"/>
      <c r="D734" s="234"/>
      <c r="E734" s="234"/>
      <c r="F734" s="235"/>
      <c r="G734" s="236"/>
      <c r="H734" s="256">
        <f>+SUM(G722:G734)</f>
        <v>194.25</v>
      </c>
    </row>
    <row r="735" spans="1:8" ht="15.75" thickBot="1" x14ac:dyDescent="0.3">
      <c r="A735" s="133"/>
      <c r="B735" s="238"/>
      <c r="C735" s="238"/>
      <c r="D735" s="238"/>
      <c r="E735" s="238"/>
      <c r="F735" s="239"/>
      <c r="G735" s="240"/>
      <c r="H735" s="241"/>
    </row>
    <row r="736" spans="1:8" ht="15.75" thickBot="1" x14ac:dyDescent="0.3">
      <c r="A736" s="133"/>
      <c r="B736" s="224" t="s">
        <v>5410</v>
      </c>
      <c r="C736" s="193" t="s">
        <v>867</v>
      </c>
      <c r="D736" s="193" t="s">
        <v>6</v>
      </c>
      <c r="E736" s="193" t="s">
        <v>870</v>
      </c>
      <c r="F736" s="193" t="s">
        <v>5411</v>
      </c>
      <c r="G736" s="225" t="s">
        <v>868</v>
      </c>
      <c r="H736" s="200"/>
    </row>
    <row r="737" spans="1:8" x14ac:dyDescent="0.25">
      <c r="A737" s="133"/>
      <c r="B737" s="245"/>
      <c r="C737" s="202"/>
      <c r="D737" s="202"/>
      <c r="E737" s="175"/>
      <c r="F737" s="202"/>
      <c r="G737" s="203"/>
      <c r="H737" s="246"/>
    </row>
    <row r="738" spans="1:8" x14ac:dyDescent="0.25">
      <c r="A738" s="133"/>
      <c r="B738" s="247"/>
      <c r="C738" s="248"/>
      <c r="D738" s="248"/>
      <c r="E738" s="248"/>
      <c r="F738" s="202"/>
      <c r="G738" s="178"/>
      <c r="H738" s="200"/>
    </row>
    <row r="739" spans="1:8" x14ac:dyDescent="0.25">
      <c r="A739" s="133"/>
      <c r="B739" s="247"/>
      <c r="C739" s="232"/>
      <c r="D739" s="232"/>
      <c r="E739" s="232"/>
      <c r="F739" s="226"/>
      <c r="G739" s="229"/>
      <c r="H739" s="200"/>
    </row>
    <row r="740" spans="1:8" x14ac:dyDescent="0.25">
      <c r="A740" s="133"/>
      <c r="B740" s="194"/>
      <c r="C740" s="232"/>
      <c r="D740" s="232"/>
      <c r="E740" s="232"/>
      <c r="F740" s="226"/>
      <c r="G740" s="229"/>
      <c r="H740" s="200"/>
    </row>
    <row r="741" spans="1:8" ht="15.75" thickBot="1" x14ac:dyDescent="0.3">
      <c r="A741" s="133"/>
      <c r="B741" s="195"/>
      <c r="C741" s="232"/>
      <c r="D741" s="232"/>
      <c r="E741" s="232"/>
      <c r="F741" s="226"/>
      <c r="G741" s="229"/>
      <c r="H741" s="200"/>
    </row>
    <row r="742" spans="1:8" ht="15.75" thickBot="1" x14ac:dyDescent="0.3">
      <c r="A742" s="133"/>
      <c r="B742" s="233"/>
      <c r="C742" s="234"/>
      <c r="D742" s="234"/>
      <c r="E742" s="234"/>
      <c r="F742" s="235"/>
      <c r="G742" s="236"/>
      <c r="H742" s="237">
        <f>+SUM(G737:G742)</f>
        <v>0</v>
      </c>
    </row>
    <row r="743" spans="1:8" ht="15.75" thickBot="1" x14ac:dyDescent="0.3">
      <c r="A743" s="133"/>
      <c r="B743" s="238"/>
      <c r="C743" s="238"/>
      <c r="D743" s="238"/>
      <c r="E743" s="238"/>
      <c r="F743" s="249"/>
      <c r="G743" s="250"/>
      <c r="H743" s="241"/>
    </row>
    <row r="744" spans="1:8" ht="15.75" thickBot="1" x14ac:dyDescent="0.3">
      <c r="A744" s="133"/>
      <c r="B744" s="224" t="s">
        <v>5412</v>
      </c>
      <c r="C744" s="193" t="s">
        <v>5420</v>
      </c>
      <c r="D744" s="193" t="s">
        <v>5421</v>
      </c>
      <c r="E744" s="193" t="s">
        <v>5413</v>
      </c>
      <c r="F744" s="193" t="s">
        <v>5405</v>
      </c>
      <c r="G744" s="225" t="s">
        <v>868</v>
      </c>
      <c r="H744" s="200"/>
    </row>
    <row r="745" spans="1:8" x14ac:dyDescent="0.25">
      <c r="A745" s="133"/>
      <c r="B745" s="194" t="s">
        <v>5948</v>
      </c>
      <c r="C745" s="345">
        <v>70000</v>
      </c>
      <c r="D745" s="176">
        <f>+C745*0.85</f>
        <v>59500</v>
      </c>
      <c r="E745" s="176">
        <f>+C745+D745</f>
        <v>129500</v>
      </c>
      <c r="F745" s="204">
        <v>2000</v>
      </c>
      <c r="G745" s="178">
        <f>+E745/F745</f>
        <v>64.75</v>
      </c>
      <c r="H745" s="200"/>
    </row>
    <row r="746" spans="1:8" x14ac:dyDescent="0.25">
      <c r="A746" s="133"/>
      <c r="B746" s="194" t="s">
        <v>5651</v>
      </c>
      <c r="C746" s="345">
        <v>40000</v>
      </c>
      <c r="D746" s="176">
        <f>+C746*0.85</f>
        <v>34000</v>
      </c>
      <c r="E746" s="176">
        <f>+C746+D746</f>
        <v>74000</v>
      </c>
      <c r="F746" s="202">
        <v>30</v>
      </c>
      <c r="G746" s="178">
        <f>+E746/F746</f>
        <v>2466.6666666666665</v>
      </c>
      <c r="H746" s="200"/>
    </row>
    <row r="747" spans="1:8" x14ac:dyDescent="0.25">
      <c r="A747" s="133"/>
      <c r="B747" s="195" t="s">
        <v>5635</v>
      </c>
      <c r="C747" s="345">
        <v>20600</v>
      </c>
      <c r="D747" s="176">
        <f>+C747*0.85</f>
        <v>17510</v>
      </c>
      <c r="E747" s="176">
        <f>+C747+D747</f>
        <v>38110</v>
      </c>
      <c r="F747" s="226">
        <v>30</v>
      </c>
      <c r="G747" s="178">
        <f>+E747/F747</f>
        <v>1270.3333333333333</v>
      </c>
      <c r="H747" s="200"/>
    </row>
    <row r="748" spans="1:8" x14ac:dyDescent="0.25">
      <c r="A748" s="133"/>
      <c r="B748" s="195" t="s">
        <v>6056</v>
      </c>
      <c r="C748" s="171">
        <v>50000</v>
      </c>
      <c r="D748" s="176">
        <f>+C748*0.85</f>
        <v>42500</v>
      </c>
      <c r="E748" s="176">
        <f>+C748+D748</f>
        <v>92500</v>
      </c>
      <c r="F748" s="226">
        <v>24</v>
      </c>
      <c r="G748" s="178">
        <f>+E748/F748</f>
        <v>3854.1666666666665</v>
      </c>
      <c r="H748" s="200"/>
    </row>
    <row r="749" spans="1:8" x14ac:dyDescent="0.25">
      <c r="A749" s="133"/>
      <c r="B749" s="195"/>
      <c r="C749" s="232"/>
      <c r="D749" s="232"/>
      <c r="E749" s="232"/>
      <c r="F749" s="226"/>
      <c r="G749" s="229"/>
      <c r="H749" s="200"/>
    </row>
    <row r="750" spans="1:8" ht="15.75" thickBot="1" x14ac:dyDescent="0.3">
      <c r="A750" s="133"/>
      <c r="B750" s="195"/>
      <c r="C750" s="232"/>
      <c r="D750" s="232"/>
      <c r="E750" s="232"/>
      <c r="F750" s="226"/>
      <c r="G750" s="229"/>
      <c r="H750" s="200"/>
    </row>
    <row r="751" spans="1:8" ht="15.75" thickBot="1" x14ac:dyDescent="0.3">
      <c r="A751" s="133"/>
      <c r="B751" s="251"/>
      <c r="C751" s="252"/>
      <c r="D751" s="252"/>
      <c r="E751" s="252"/>
      <c r="F751" s="253"/>
      <c r="G751" s="254"/>
      <c r="H751" s="256">
        <f>+SUM(G745:G751)</f>
        <v>7655.9166666666661</v>
      </c>
    </row>
    <row r="752" spans="1:8" ht="15.75" thickBot="1" x14ac:dyDescent="0.3">
      <c r="A752" s="133"/>
      <c r="B752" s="8"/>
      <c r="C752" s="8"/>
      <c r="D752" s="8"/>
      <c r="E752" s="8"/>
      <c r="F752" s="133"/>
      <c r="G752" s="200"/>
      <c r="H752" s="200"/>
    </row>
    <row r="753" spans="1:8" ht="15.75" thickBot="1" x14ac:dyDescent="0.3">
      <c r="A753" s="133"/>
      <c r="B753" s="8"/>
      <c r="C753" s="8"/>
      <c r="D753" s="8"/>
      <c r="E753" s="223" t="s">
        <v>5415</v>
      </c>
      <c r="F753" s="133"/>
      <c r="G753" s="200"/>
      <c r="H753" s="256">
        <f>ROUND(+H751+H742+H734+H719,0)</f>
        <v>24616</v>
      </c>
    </row>
    <row r="758" spans="1:8" ht="18.75" x14ac:dyDescent="0.25">
      <c r="A758" s="133"/>
      <c r="B758" s="2506" t="s">
        <v>5400</v>
      </c>
      <c r="C758" s="2506"/>
      <c r="D758" s="2506"/>
      <c r="E758" s="2506"/>
      <c r="F758" s="2506"/>
      <c r="G758" s="2506"/>
      <c r="H758" s="8"/>
    </row>
    <row r="759" spans="1:8" ht="18.75" x14ac:dyDescent="0.25">
      <c r="A759" s="133"/>
      <c r="B759" s="331"/>
      <c r="C759" s="331"/>
      <c r="D759" s="331"/>
      <c r="E759" s="331"/>
      <c r="F759" s="331"/>
      <c r="G759" s="331"/>
      <c r="H759" s="8"/>
    </row>
    <row r="760" spans="1:8" x14ac:dyDescent="0.25">
      <c r="A760" s="133"/>
      <c r="B760" s="8"/>
      <c r="C760" s="8"/>
      <c r="D760" s="8"/>
      <c r="E760" s="8"/>
      <c r="F760" s="133"/>
      <c r="G760" s="200"/>
      <c r="H760" s="200"/>
    </row>
    <row r="761" spans="1:8" x14ac:dyDescent="0.25">
      <c r="A761" s="133"/>
      <c r="B761" s="8"/>
      <c r="C761" s="8"/>
      <c r="D761" s="8"/>
      <c r="E761" s="8"/>
      <c r="F761" s="133"/>
      <c r="G761" s="200"/>
      <c r="H761" s="200"/>
    </row>
    <row r="762" spans="1:8" ht="24.95" customHeight="1" x14ac:dyDescent="0.25">
      <c r="A762" s="220" t="s">
        <v>5482</v>
      </c>
      <c r="B762" s="221" t="s">
        <v>268</v>
      </c>
      <c r="C762" s="2449" t="s">
        <v>5495</v>
      </c>
      <c r="D762" s="2449"/>
      <c r="E762" s="2449"/>
      <c r="F762" s="220" t="s">
        <v>867</v>
      </c>
      <c r="G762" s="222" t="s">
        <v>5424</v>
      </c>
      <c r="H762" s="200"/>
    </row>
    <row r="763" spans="1:8" x14ac:dyDescent="0.25">
      <c r="A763" s="133"/>
      <c r="B763" s="8"/>
      <c r="C763" s="223"/>
      <c r="D763" s="223"/>
      <c r="E763" s="223"/>
      <c r="F763" s="133"/>
      <c r="G763" s="200"/>
      <c r="H763" s="200"/>
    </row>
    <row r="764" spans="1:8" x14ac:dyDescent="0.25">
      <c r="A764" s="133"/>
      <c r="B764" s="8"/>
      <c r="C764" s="8"/>
      <c r="D764" s="8"/>
      <c r="E764" s="8"/>
      <c r="F764" s="8"/>
      <c r="G764" s="8"/>
      <c r="H764" s="200"/>
    </row>
    <row r="765" spans="1:8" ht="15.75" thickBot="1" x14ac:dyDescent="0.3">
      <c r="A765" s="133"/>
      <c r="B765" s="8"/>
      <c r="C765" s="8"/>
      <c r="D765" s="8"/>
      <c r="E765" s="8"/>
      <c r="F765" s="133"/>
      <c r="G765" s="200"/>
      <c r="H765" s="200"/>
    </row>
    <row r="766" spans="1:8" ht="15.75" thickBot="1" x14ac:dyDescent="0.3">
      <c r="A766" s="133"/>
      <c r="B766" s="224" t="s">
        <v>5403</v>
      </c>
      <c r="C766" s="193" t="s">
        <v>867</v>
      </c>
      <c r="D766" s="193" t="s">
        <v>6</v>
      </c>
      <c r="E766" s="193" t="s">
        <v>5439</v>
      </c>
      <c r="F766" s="193" t="s">
        <v>5405</v>
      </c>
      <c r="G766" s="225" t="s">
        <v>868</v>
      </c>
      <c r="H766" s="200"/>
    </row>
    <row r="767" spans="1:8" x14ac:dyDescent="0.25">
      <c r="A767" s="133"/>
      <c r="B767" s="195" t="s">
        <v>5440</v>
      </c>
      <c r="C767" s="226" t="s">
        <v>5402</v>
      </c>
      <c r="D767" s="226">
        <v>1</v>
      </c>
      <c r="E767" s="227">
        <f>+H805</f>
        <v>10815.716666666667</v>
      </c>
      <c r="F767" s="226">
        <v>0.1</v>
      </c>
      <c r="G767" s="229">
        <f>+E767*F767</f>
        <v>1081.5716666666667</v>
      </c>
      <c r="H767" s="200"/>
    </row>
    <row r="768" spans="1:8" x14ac:dyDescent="0.25">
      <c r="A768" s="133"/>
      <c r="B768" s="195" t="s">
        <v>6058</v>
      </c>
      <c r="C768" s="226" t="s">
        <v>5402</v>
      </c>
      <c r="D768" s="226">
        <v>1</v>
      </c>
      <c r="E768" s="230">
        <v>400000</v>
      </c>
      <c r="F768" s="226">
        <v>0.06</v>
      </c>
      <c r="G768" s="229">
        <f>+E768*F768</f>
        <v>24000</v>
      </c>
      <c r="H768" s="200"/>
    </row>
    <row r="769" spans="1:8" x14ac:dyDescent="0.25">
      <c r="A769" s="133"/>
      <c r="B769" s="195"/>
      <c r="C769" s="226"/>
      <c r="D769" s="226"/>
      <c r="E769" s="176"/>
      <c r="F769" s="226"/>
      <c r="G769" s="229"/>
      <c r="H769" s="200"/>
    </row>
    <row r="770" spans="1:8" x14ac:dyDescent="0.25">
      <c r="A770" s="133"/>
      <c r="B770" s="195"/>
      <c r="C770" s="226"/>
      <c r="D770" s="226"/>
      <c r="E770" s="171"/>
      <c r="F770" s="226"/>
      <c r="G770" s="231"/>
      <c r="H770" s="200"/>
    </row>
    <row r="771" spans="1:8" x14ac:dyDescent="0.25">
      <c r="A771" s="133"/>
      <c r="B771" s="195"/>
      <c r="C771" s="226"/>
      <c r="D771" s="232"/>
      <c r="E771" s="232"/>
      <c r="F771" s="226"/>
      <c r="G771" s="229"/>
      <c r="H771" s="200"/>
    </row>
    <row r="772" spans="1:8" ht="15.75" thickBot="1" x14ac:dyDescent="0.3">
      <c r="A772" s="133"/>
      <c r="B772" s="195"/>
      <c r="C772" s="226"/>
      <c r="D772" s="232"/>
      <c r="E772" s="232"/>
      <c r="F772" s="226"/>
      <c r="G772" s="229"/>
      <c r="H772" s="200"/>
    </row>
    <row r="773" spans="1:8" ht="15.75" thickBot="1" x14ac:dyDescent="0.3">
      <c r="A773" s="133"/>
      <c r="B773" s="233"/>
      <c r="C773" s="234"/>
      <c r="D773" s="234"/>
      <c r="E773" s="234"/>
      <c r="F773" s="235"/>
      <c r="G773" s="236"/>
      <c r="H773" s="237">
        <f>+SUM(G767:G773)</f>
        <v>25081.571666666667</v>
      </c>
    </row>
    <row r="774" spans="1:8" ht="15.75" thickBot="1" x14ac:dyDescent="0.3">
      <c r="A774" s="133"/>
      <c r="B774" s="238"/>
      <c r="C774" s="238"/>
      <c r="D774" s="238"/>
      <c r="E774" s="238"/>
      <c r="F774" s="239"/>
      <c r="G774" s="240"/>
      <c r="H774" s="241"/>
    </row>
    <row r="775" spans="1:8" ht="15.75" thickBot="1" x14ac:dyDescent="0.3">
      <c r="A775" s="133"/>
      <c r="B775" s="224" t="s">
        <v>5408</v>
      </c>
      <c r="C775" s="193" t="s">
        <v>867</v>
      </c>
      <c r="D775" s="193" t="s">
        <v>6</v>
      </c>
      <c r="E775" s="193" t="s">
        <v>870</v>
      </c>
      <c r="F775" s="193" t="s">
        <v>5409</v>
      </c>
      <c r="G775" s="225" t="s">
        <v>868</v>
      </c>
      <c r="H775" s="200"/>
    </row>
    <row r="776" spans="1:8" x14ac:dyDescent="0.25">
      <c r="A776" s="133"/>
      <c r="B776" s="450" t="s">
        <v>5751</v>
      </c>
      <c r="C776" s="226" t="s">
        <v>5488</v>
      </c>
      <c r="D776" s="226">
        <v>0.05</v>
      </c>
      <c r="E776" s="244">
        <v>3500</v>
      </c>
      <c r="F776" s="169">
        <v>0.05</v>
      </c>
      <c r="G776" s="178">
        <f>+D776*E776*(1+F776)</f>
        <v>183.75</v>
      </c>
      <c r="H776" s="200"/>
    </row>
    <row r="777" spans="1:8" x14ac:dyDescent="0.25">
      <c r="A777" s="133"/>
      <c r="B777" s="450" t="s">
        <v>6057</v>
      </c>
      <c r="C777" s="226" t="s">
        <v>5424</v>
      </c>
      <c r="D777" s="226">
        <v>10</v>
      </c>
      <c r="E777" s="244">
        <v>1</v>
      </c>
      <c r="F777" s="169">
        <v>0.05</v>
      </c>
      <c r="G777" s="178">
        <f>+D777*E777*(1+F777)</f>
        <v>10.5</v>
      </c>
      <c r="H777" s="200"/>
    </row>
    <row r="778" spans="1:8" x14ac:dyDescent="0.25">
      <c r="A778" s="133"/>
      <c r="B778" s="450"/>
      <c r="C778" s="226"/>
      <c r="D778" s="226"/>
      <c r="E778" s="244"/>
      <c r="F778" s="169"/>
      <c r="G778" s="178"/>
      <c r="H778" s="200"/>
    </row>
    <row r="779" spans="1:8" x14ac:dyDescent="0.25">
      <c r="A779" s="133"/>
      <c r="B779" s="450"/>
      <c r="C779" s="226"/>
      <c r="D779" s="226"/>
      <c r="E779" s="244"/>
      <c r="F779" s="169"/>
      <c r="G779" s="178"/>
      <c r="H779" s="200"/>
    </row>
    <row r="780" spans="1:8" x14ac:dyDescent="0.25">
      <c r="A780" s="133"/>
      <c r="B780" s="195"/>
      <c r="C780" s="226"/>
      <c r="D780" s="226"/>
      <c r="E780" s="171"/>
      <c r="F780" s="169"/>
      <c r="G780" s="178"/>
      <c r="H780" s="200"/>
    </row>
    <row r="781" spans="1:8" x14ac:dyDescent="0.25">
      <c r="A781" s="133"/>
      <c r="B781" s="194"/>
      <c r="C781" s="202"/>
      <c r="D781" s="202"/>
      <c r="E781" s="171"/>
      <c r="F781" s="169"/>
      <c r="G781" s="178"/>
      <c r="H781" s="200"/>
    </row>
    <row r="782" spans="1:8" x14ac:dyDescent="0.25">
      <c r="A782" s="133"/>
      <c r="B782" s="195"/>
      <c r="C782" s="226"/>
      <c r="D782" s="226"/>
      <c r="E782" s="171"/>
      <c r="F782" s="169"/>
      <c r="G782" s="178"/>
      <c r="H782" s="200"/>
    </row>
    <row r="783" spans="1:8" x14ac:dyDescent="0.25">
      <c r="A783" s="133"/>
      <c r="B783" s="195"/>
      <c r="C783" s="226"/>
      <c r="D783" s="226"/>
      <c r="E783" s="171"/>
      <c r="F783" s="169"/>
      <c r="G783" s="178"/>
      <c r="H783" s="200"/>
    </row>
    <row r="784" spans="1:8" x14ac:dyDescent="0.25">
      <c r="A784" s="133"/>
      <c r="B784" s="195"/>
      <c r="C784" s="232"/>
      <c r="D784" s="232"/>
      <c r="E784" s="232"/>
      <c r="F784" s="226"/>
      <c r="G784" s="229"/>
      <c r="H784" s="200"/>
    </row>
    <row r="785" spans="1:8" x14ac:dyDescent="0.25">
      <c r="A785" s="133"/>
      <c r="B785" s="195"/>
      <c r="C785" s="232"/>
      <c r="D785" s="232"/>
      <c r="E785" s="232"/>
      <c r="F785" s="226"/>
      <c r="G785" s="229"/>
      <c r="H785" s="200"/>
    </row>
    <row r="786" spans="1:8" x14ac:dyDescent="0.25">
      <c r="A786" s="133"/>
      <c r="B786" s="195"/>
      <c r="C786" s="232"/>
      <c r="D786" s="232"/>
      <c r="E786" s="232"/>
      <c r="F786" s="226"/>
      <c r="G786" s="229"/>
      <c r="H786" s="200"/>
    </row>
    <row r="787" spans="1:8" ht="15.75" thickBot="1" x14ac:dyDescent="0.3">
      <c r="A787" s="133"/>
      <c r="B787" s="195"/>
      <c r="C787" s="232"/>
      <c r="D787" s="232"/>
      <c r="E787" s="232"/>
      <c r="F787" s="226"/>
      <c r="G787" s="229"/>
      <c r="H787" s="200"/>
    </row>
    <row r="788" spans="1:8" ht="15.75" thickBot="1" x14ac:dyDescent="0.3">
      <c r="A788" s="133"/>
      <c r="B788" s="233"/>
      <c r="C788" s="234"/>
      <c r="D788" s="234"/>
      <c r="E788" s="234"/>
      <c r="F788" s="235"/>
      <c r="G788" s="236"/>
      <c r="H788" s="256">
        <f>+SUM(G776:G788)</f>
        <v>194.25</v>
      </c>
    </row>
    <row r="789" spans="1:8" ht="15.75" thickBot="1" x14ac:dyDescent="0.3">
      <c r="A789" s="133"/>
      <c r="B789" s="238"/>
      <c r="C789" s="238"/>
      <c r="D789" s="238"/>
      <c r="E789" s="238"/>
      <c r="F789" s="239"/>
      <c r="G789" s="240"/>
      <c r="H789" s="241"/>
    </row>
    <row r="790" spans="1:8" ht="15.75" thickBot="1" x14ac:dyDescent="0.3">
      <c r="A790" s="133"/>
      <c r="B790" s="224" t="s">
        <v>5410</v>
      </c>
      <c r="C790" s="193" t="s">
        <v>867</v>
      </c>
      <c r="D790" s="193" t="s">
        <v>6</v>
      </c>
      <c r="E790" s="193" t="s">
        <v>870</v>
      </c>
      <c r="F790" s="193" t="s">
        <v>5411</v>
      </c>
      <c r="G790" s="225" t="s">
        <v>868</v>
      </c>
      <c r="H790" s="200"/>
    </row>
    <row r="791" spans="1:8" x14ac:dyDescent="0.25">
      <c r="A791" s="133"/>
      <c r="B791" s="245"/>
      <c r="C791" s="202"/>
      <c r="D791" s="202"/>
      <c r="E791" s="175"/>
      <c r="F791" s="202"/>
      <c r="G791" s="203"/>
      <c r="H791" s="246"/>
    </row>
    <row r="792" spans="1:8" x14ac:dyDescent="0.25">
      <c r="A792" s="133"/>
      <c r="B792" s="247"/>
      <c r="C792" s="248"/>
      <c r="D792" s="248"/>
      <c r="E792" s="248"/>
      <c r="F792" s="202"/>
      <c r="G792" s="178"/>
      <c r="H792" s="200"/>
    </row>
    <row r="793" spans="1:8" x14ac:dyDescent="0.25">
      <c r="A793" s="133"/>
      <c r="B793" s="247"/>
      <c r="C793" s="232"/>
      <c r="D793" s="232"/>
      <c r="E793" s="232"/>
      <c r="F793" s="226"/>
      <c r="G793" s="229"/>
      <c r="H793" s="200"/>
    </row>
    <row r="794" spans="1:8" x14ac:dyDescent="0.25">
      <c r="A794" s="133"/>
      <c r="B794" s="194"/>
      <c r="C794" s="232"/>
      <c r="D794" s="232"/>
      <c r="E794" s="232"/>
      <c r="F794" s="226"/>
      <c r="G794" s="229"/>
      <c r="H794" s="200"/>
    </row>
    <row r="795" spans="1:8" ht="15.75" thickBot="1" x14ac:dyDescent="0.3">
      <c r="A795" s="133"/>
      <c r="B795" s="195"/>
      <c r="C795" s="232"/>
      <c r="D795" s="232"/>
      <c r="E795" s="232"/>
      <c r="F795" s="226"/>
      <c r="G795" s="229"/>
      <c r="H795" s="200"/>
    </row>
    <row r="796" spans="1:8" ht="15.75" thickBot="1" x14ac:dyDescent="0.3">
      <c r="A796" s="133"/>
      <c r="B796" s="233"/>
      <c r="C796" s="234"/>
      <c r="D796" s="234"/>
      <c r="E796" s="234"/>
      <c r="F796" s="235"/>
      <c r="G796" s="236"/>
      <c r="H796" s="237">
        <f>+SUM(G791:G796)</f>
        <v>0</v>
      </c>
    </row>
    <row r="797" spans="1:8" ht="15.75" thickBot="1" x14ac:dyDescent="0.3">
      <c r="A797" s="133"/>
      <c r="B797" s="238"/>
      <c r="C797" s="238"/>
      <c r="D797" s="238"/>
      <c r="E797" s="238"/>
      <c r="F797" s="249"/>
      <c r="G797" s="250"/>
      <c r="H797" s="241"/>
    </row>
    <row r="798" spans="1:8" ht="15.75" thickBot="1" x14ac:dyDescent="0.3">
      <c r="A798" s="133"/>
      <c r="B798" s="224" t="s">
        <v>5412</v>
      </c>
      <c r="C798" s="193" t="s">
        <v>5420</v>
      </c>
      <c r="D798" s="193" t="s">
        <v>5421</v>
      </c>
      <c r="E798" s="193" t="s">
        <v>5413</v>
      </c>
      <c r="F798" s="193" t="s">
        <v>5405</v>
      </c>
      <c r="G798" s="225" t="s">
        <v>868</v>
      </c>
      <c r="H798" s="200"/>
    </row>
    <row r="799" spans="1:8" x14ac:dyDescent="0.25">
      <c r="A799" s="133"/>
      <c r="B799" s="194" t="s">
        <v>5948</v>
      </c>
      <c r="C799" s="345">
        <v>70000</v>
      </c>
      <c r="D799" s="176">
        <f>+C799*0.85</f>
        <v>59500</v>
      </c>
      <c r="E799" s="176">
        <f>+C799+D799</f>
        <v>129500</v>
      </c>
      <c r="F799" s="204">
        <v>2500</v>
      </c>
      <c r="G799" s="178">
        <f>+E799/F799</f>
        <v>51.8</v>
      </c>
      <c r="H799" s="200"/>
    </row>
    <row r="800" spans="1:8" x14ac:dyDescent="0.25">
      <c r="A800" s="133"/>
      <c r="B800" s="194" t="s">
        <v>5651</v>
      </c>
      <c r="C800" s="345">
        <v>40000</v>
      </c>
      <c r="D800" s="176">
        <f>+C800*0.85</f>
        <v>34000</v>
      </c>
      <c r="E800" s="176">
        <f>+C800+D800</f>
        <v>74000</v>
      </c>
      <c r="F800" s="202">
        <v>22.5</v>
      </c>
      <c r="G800" s="178">
        <f>+E800/F800</f>
        <v>3288.8888888888887</v>
      </c>
      <c r="H800" s="200"/>
    </row>
    <row r="801" spans="1:8" x14ac:dyDescent="0.25">
      <c r="A801" s="133"/>
      <c r="B801" s="195" t="s">
        <v>5635</v>
      </c>
      <c r="C801" s="345">
        <v>20600</v>
      </c>
      <c r="D801" s="176">
        <f>+C801*0.85</f>
        <v>17510</v>
      </c>
      <c r="E801" s="176">
        <f>+C801+D801</f>
        <v>38110</v>
      </c>
      <c r="F801" s="226">
        <v>22.5</v>
      </c>
      <c r="G801" s="178">
        <f>+E801/F801</f>
        <v>1693.7777777777778</v>
      </c>
      <c r="H801" s="200"/>
    </row>
    <row r="802" spans="1:8" x14ac:dyDescent="0.25">
      <c r="A802" s="133"/>
      <c r="B802" s="195" t="s">
        <v>6056</v>
      </c>
      <c r="C802" s="171">
        <v>50000</v>
      </c>
      <c r="D802" s="176">
        <f>+C802*0.85</f>
        <v>42500</v>
      </c>
      <c r="E802" s="176">
        <f>+C802+D802</f>
        <v>92500</v>
      </c>
      <c r="F802" s="226">
        <v>16</v>
      </c>
      <c r="G802" s="178">
        <f>+E802/F802</f>
        <v>5781.25</v>
      </c>
      <c r="H802" s="200"/>
    </row>
    <row r="803" spans="1:8" x14ac:dyDescent="0.25">
      <c r="A803" s="133"/>
      <c r="B803" s="195"/>
      <c r="C803" s="232"/>
      <c r="D803" s="232"/>
      <c r="E803" s="232"/>
      <c r="F803" s="226"/>
      <c r="G803" s="229"/>
      <c r="H803" s="200"/>
    </row>
    <row r="804" spans="1:8" ht="15.75" thickBot="1" x14ac:dyDescent="0.3">
      <c r="A804" s="133"/>
      <c r="B804" s="195"/>
      <c r="C804" s="232"/>
      <c r="D804" s="232"/>
      <c r="E804" s="232"/>
      <c r="F804" s="226"/>
      <c r="G804" s="229"/>
      <c r="H804" s="200"/>
    </row>
    <row r="805" spans="1:8" ht="15.75" thickBot="1" x14ac:dyDescent="0.3">
      <c r="A805" s="133"/>
      <c r="B805" s="251"/>
      <c r="C805" s="252"/>
      <c r="D805" s="252"/>
      <c r="E805" s="252"/>
      <c r="F805" s="253"/>
      <c r="G805" s="254"/>
      <c r="H805" s="256">
        <f>+SUM(G799:G805)</f>
        <v>10815.716666666667</v>
      </c>
    </row>
    <row r="806" spans="1:8" ht="15.75" thickBot="1" x14ac:dyDescent="0.3">
      <c r="A806" s="133"/>
      <c r="B806" s="8"/>
      <c r="C806" s="8"/>
      <c r="D806" s="8"/>
      <c r="E806" s="8"/>
      <c r="F806" s="133"/>
      <c r="G806" s="200"/>
      <c r="H806" s="200"/>
    </row>
    <row r="807" spans="1:8" ht="15.75" thickBot="1" x14ac:dyDescent="0.3">
      <c r="A807" s="133"/>
      <c r="B807" s="8"/>
      <c r="C807" s="8"/>
      <c r="D807" s="8"/>
      <c r="E807" s="223" t="s">
        <v>5415</v>
      </c>
      <c r="F807" s="133"/>
      <c r="G807" s="200"/>
      <c r="H807" s="256">
        <f>ROUND(+H805+H796+H788+H773,0)</f>
        <v>36092</v>
      </c>
    </row>
    <row r="812" spans="1:8" ht="18.75" x14ac:dyDescent="0.25">
      <c r="A812" s="133"/>
      <c r="B812" s="2506" t="s">
        <v>5400</v>
      </c>
      <c r="C812" s="2506"/>
      <c r="D812" s="2506"/>
      <c r="E812" s="2506"/>
      <c r="F812" s="2506"/>
      <c r="G812" s="2506"/>
      <c r="H812" s="8"/>
    </row>
    <row r="813" spans="1:8" x14ac:dyDescent="0.25">
      <c r="A813" s="133"/>
      <c r="B813" s="8"/>
      <c r="C813" s="8"/>
      <c r="D813" s="8"/>
      <c r="E813" s="8"/>
      <c r="F813" s="133"/>
      <c r="G813" s="200"/>
      <c r="H813" s="200"/>
    </row>
    <row r="814" spans="1:8" x14ac:dyDescent="0.25">
      <c r="A814" s="133"/>
      <c r="B814" s="8"/>
      <c r="C814" s="8"/>
      <c r="D814" s="8"/>
      <c r="E814" s="8"/>
      <c r="F814" s="133"/>
      <c r="G814" s="200"/>
      <c r="H814" s="200"/>
    </row>
    <row r="815" spans="1:8" x14ac:dyDescent="0.25">
      <c r="A815" s="133"/>
      <c r="B815" s="8"/>
      <c r="C815" s="8"/>
      <c r="D815" s="8"/>
      <c r="E815" s="8"/>
      <c r="F815" s="133"/>
      <c r="G815" s="200"/>
      <c r="H815" s="200"/>
    </row>
    <row r="816" spans="1:8" ht="24.95" customHeight="1" x14ac:dyDescent="0.25">
      <c r="A816" s="220" t="s">
        <v>5482</v>
      </c>
      <c r="B816" s="221" t="s">
        <v>273</v>
      </c>
      <c r="C816" s="2449" t="s">
        <v>5496</v>
      </c>
      <c r="D816" s="2449"/>
      <c r="E816" s="2449"/>
      <c r="F816" s="220" t="s">
        <v>867</v>
      </c>
      <c r="G816" s="222" t="s">
        <v>5424</v>
      </c>
      <c r="H816" s="200"/>
    </row>
    <row r="817" spans="1:8" x14ac:dyDescent="0.25">
      <c r="A817" s="133"/>
      <c r="B817" s="8"/>
      <c r="C817" s="223"/>
      <c r="D817" s="223"/>
      <c r="E817" s="223"/>
      <c r="F817" s="133"/>
      <c r="G817" s="200"/>
      <c r="H817" s="200"/>
    </row>
    <row r="818" spans="1:8" x14ac:dyDescent="0.25">
      <c r="A818" s="133"/>
      <c r="B818" s="8"/>
      <c r="C818" s="8"/>
      <c r="D818" s="8"/>
      <c r="E818" s="8"/>
      <c r="F818" s="8"/>
      <c r="G818" s="8"/>
      <c r="H818" s="200"/>
    </row>
    <row r="819" spans="1:8" ht="15.75" thickBot="1" x14ac:dyDescent="0.3">
      <c r="A819" s="133"/>
      <c r="B819" s="8"/>
      <c r="C819" s="8"/>
      <c r="D819" s="8"/>
      <c r="E819" s="8"/>
      <c r="F819" s="133"/>
      <c r="G819" s="200"/>
      <c r="H819" s="200"/>
    </row>
    <row r="820" spans="1:8" ht="15.75" thickBot="1" x14ac:dyDescent="0.3">
      <c r="A820" s="133"/>
      <c r="B820" s="224" t="s">
        <v>5403</v>
      </c>
      <c r="C820" s="193" t="s">
        <v>867</v>
      </c>
      <c r="D820" s="193" t="s">
        <v>6</v>
      </c>
      <c r="E820" s="193" t="s">
        <v>5439</v>
      </c>
      <c r="F820" s="193" t="s">
        <v>5405</v>
      </c>
      <c r="G820" s="225" t="s">
        <v>868</v>
      </c>
      <c r="H820" s="200"/>
    </row>
    <row r="821" spans="1:8" x14ac:dyDescent="0.25">
      <c r="A821" s="133"/>
      <c r="B821" s="195" t="s">
        <v>5440</v>
      </c>
      <c r="C821" s="226" t="s">
        <v>5402</v>
      </c>
      <c r="D821" s="226">
        <v>1</v>
      </c>
      <c r="E821" s="227">
        <f>+H859</f>
        <v>9524.4166666666661</v>
      </c>
      <c r="F821" s="226">
        <v>0.1</v>
      </c>
      <c r="G821" s="229">
        <f>+E821*F821</f>
        <v>952.44166666666661</v>
      </c>
      <c r="H821" s="200"/>
    </row>
    <row r="822" spans="1:8" x14ac:dyDescent="0.25">
      <c r="A822" s="133"/>
      <c r="B822" s="195" t="s">
        <v>5748</v>
      </c>
      <c r="C822" s="226" t="s">
        <v>5402</v>
      </c>
      <c r="D822" s="226">
        <v>1</v>
      </c>
      <c r="E822" s="230">
        <v>250000</v>
      </c>
      <c r="F822" s="226">
        <v>0.04</v>
      </c>
      <c r="G822" s="229">
        <f>+E822*F822</f>
        <v>10000</v>
      </c>
      <c r="H822" s="200"/>
    </row>
    <row r="823" spans="1:8" x14ac:dyDescent="0.25">
      <c r="A823" s="133"/>
      <c r="B823" s="195"/>
      <c r="C823" s="226"/>
      <c r="D823" s="226"/>
      <c r="E823" s="176"/>
      <c r="F823" s="226"/>
      <c r="G823" s="229"/>
      <c r="H823" s="200"/>
    </row>
    <row r="824" spans="1:8" x14ac:dyDescent="0.25">
      <c r="A824" s="133"/>
      <c r="B824" s="195"/>
      <c r="C824" s="226"/>
      <c r="D824" s="226"/>
      <c r="E824" s="171"/>
      <c r="F824" s="226"/>
      <c r="G824" s="231"/>
      <c r="H824" s="200"/>
    </row>
    <row r="825" spans="1:8" x14ac:dyDescent="0.25">
      <c r="A825" s="133"/>
      <c r="B825" s="195"/>
      <c r="C825" s="226"/>
      <c r="D825" s="232"/>
      <c r="E825" s="232"/>
      <c r="F825" s="226"/>
      <c r="G825" s="229"/>
      <c r="H825" s="200"/>
    </row>
    <row r="826" spans="1:8" ht="15.75" thickBot="1" x14ac:dyDescent="0.3">
      <c r="A826" s="133"/>
      <c r="B826" s="195"/>
      <c r="C826" s="226"/>
      <c r="D826" s="232"/>
      <c r="E826" s="232"/>
      <c r="F826" s="226"/>
      <c r="G826" s="229"/>
      <c r="H826" s="200"/>
    </row>
    <row r="827" spans="1:8" ht="15.75" thickBot="1" x14ac:dyDescent="0.3">
      <c r="A827" s="133"/>
      <c r="B827" s="233"/>
      <c r="C827" s="234"/>
      <c r="D827" s="234"/>
      <c r="E827" s="234"/>
      <c r="F827" s="235"/>
      <c r="G827" s="236"/>
      <c r="H827" s="237">
        <f>+SUM(G821:G827)</f>
        <v>10952.441666666666</v>
      </c>
    </row>
    <row r="828" spans="1:8" ht="15.75" thickBot="1" x14ac:dyDescent="0.3">
      <c r="A828" s="133"/>
      <c r="B828" s="238"/>
      <c r="C828" s="238"/>
      <c r="D828" s="238"/>
      <c r="E828" s="238"/>
      <c r="F828" s="239"/>
      <c r="G828" s="240"/>
      <c r="H828" s="241"/>
    </row>
    <row r="829" spans="1:8" ht="15.75" thickBot="1" x14ac:dyDescent="0.3">
      <c r="A829" s="133"/>
      <c r="B829" s="224" t="s">
        <v>5408</v>
      </c>
      <c r="C829" s="193" t="s">
        <v>867</v>
      </c>
      <c r="D829" s="193" t="s">
        <v>6</v>
      </c>
      <c r="E829" s="193" t="s">
        <v>870</v>
      </c>
      <c r="F829" s="193" t="s">
        <v>5409</v>
      </c>
      <c r="G829" s="225" t="s">
        <v>868</v>
      </c>
      <c r="H829" s="200"/>
    </row>
    <row r="830" spans="1:8" x14ac:dyDescent="0.25">
      <c r="A830" s="133"/>
      <c r="B830" s="450" t="s">
        <v>5751</v>
      </c>
      <c r="C830" s="226" t="s">
        <v>5488</v>
      </c>
      <c r="D830" s="226">
        <v>0.05</v>
      </c>
      <c r="E830" s="244">
        <v>3500</v>
      </c>
      <c r="F830" s="169">
        <v>0.05</v>
      </c>
      <c r="G830" s="178">
        <f>+D830*E830*(1+F830)</f>
        <v>183.75</v>
      </c>
      <c r="H830" s="200"/>
    </row>
    <row r="831" spans="1:8" x14ac:dyDescent="0.25">
      <c r="A831" s="133"/>
      <c r="B831" s="450" t="s">
        <v>6057</v>
      </c>
      <c r="C831" s="226" t="s">
        <v>5424</v>
      </c>
      <c r="D831" s="226">
        <v>10</v>
      </c>
      <c r="E831" s="244">
        <v>1</v>
      </c>
      <c r="F831" s="169">
        <v>0.05</v>
      </c>
      <c r="G831" s="178">
        <f>+D831*E831*(1+F831)</f>
        <v>10.5</v>
      </c>
      <c r="H831" s="200"/>
    </row>
    <row r="832" spans="1:8" x14ac:dyDescent="0.25">
      <c r="A832" s="133"/>
      <c r="B832" s="450"/>
      <c r="C832" s="226"/>
      <c r="D832" s="226"/>
      <c r="E832" s="244"/>
      <c r="F832" s="169"/>
      <c r="G832" s="178"/>
      <c r="H832" s="200"/>
    </row>
    <row r="833" spans="1:8" x14ac:dyDescent="0.25">
      <c r="A833" s="133"/>
      <c r="B833" s="450"/>
      <c r="C833" s="226"/>
      <c r="D833" s="226"/>
      <c r="E833" s="244"/>
      <c r="F833" s="169"/>
      <c r="G833" s="178"/>
      <c r="H833" s="200"/>
    </row>
    <row r="834" spans="1:8" x14ac:dyDescent="0.25">
      <c r="A834" s="133"/>
      <c r="B834" s="195"/>
      <c r="C834" s="226"/>
      <c r="D834" s="226"/>
      <c r="E834" s="171"/>
      <c r="F834" s="169"/>
      <c r="G834" s="178"/>
      <c r="H834" s="200"/>
    </row>
    <row r="835" spans="1:8" x14ac:dyDescent="0.25">
      <c r="A835" s="133"/>
      <c r="B835" s="194"/>
      <c r="C835" s="202"/>
      <c r="D835" s="202"/>
      <c r="E835" s="171"/>
      <c r="F835" s="169"/>
      <c r="G835" s="178"/>
      <c r="H835" s="200"/>
    </row>
    <row r="836" spans="1:8" x14ac:dyDescent="0.25">
      <c r="A836" s="133"/>
      <c r="B836" s="195"/>
      <c r="C836" s="226"/>
      <c r="D836" s="226"/>
      <c r="E836" s="171"/>
      <c r="F836" s="169"/>
      <c r="G836" s="178"/>
      <c r="H836" s="200"/>
    </row>
    <row r="837" spans="1:8" x14ac:dyDescent="0.25">
      <c r="A837" s="133"/>
      <c r="B837" s="195"/>
      <c r="C837" s="226"/>
      <c r="D837" s="226"/>
      <c r="E837" s="171"/>
      <c r="F837" s="169"/>
      <c r="G837" s="178"/>
      <c r="H837" s="200"/>
    </row>
    <row r="838" spans="1:8" x14ac:dyDescent="0.25">
      <c r="A838" s="133"/>
      <c r="B838" s="195"/>
      <c r="C838" s="232"/>
      <c r="D838" s="232"/>
      <c r="E838" s="232"/>
      <c r="F838" s="226"/>
      <c r="G838" s="229"/>
      <c r="H838" s="200"/>
    </row>
    <row r="839" spans="1:8" x14ac:dyDescent="0.25">
      <c r="A839" s="133"/>
      <c r="B839" s="195"/>
      <c r="C839" s="232"/>
      <c r="D839" s="232"/>
      <c r="E839" s="232"/>
      <c r="F839" s="226"/>
      <c r="G839" s="229"/>
      <c r="H839" s="200"/>
    </row>
    <row r="840" spans="1:8" x14ac:dyDescent="0.25">
      <c r="A840" s="133"/>
      <c r="B840" s="195"/>
      <c r="C840" s="232"/>
      <c r="D840" s="232"/>
      <c r="E840" s="232"/>
      <c r="F840" s="226"/>
      <c r="G840" s="229"/>
      <c r="H840" s="200"/>
    </row>
    <row r="841" spans="1:8" ht="15.75" thickBot="1" x14ac:dyDescent="0.3">
      <c r="A841" s="133"/>
      <c r="B841" s="195"/>
      <c r="C841" s="232"/>
      <c r="D841" s="232"/>
      <c r="E841" s="232"/>
      <c r="F841" s="226"/>
      <c r="G841" s="229"/>
      <c r="H841" s="200"/>
    </row>
    <row r="842" spans="1:8" ht="15.75" thickBot="1" x14ac:dyDescent="0.3">
      <c r="A842" s="133"/>
      <c r="B842" s="233"/>
      <c r="C842" s="234"/>
      <c r="D842" s="234"/>
      <c r="E842" s="234"/>
      <c r="F842" s="235"/>
      <c r="G842" s="236"/>
      <c r="H842" s="256">
        <f>+SUM(G830:G842)</f>
        <v>194.25</v>
      </c>
    </row>
    <row r="843" spans="1:8" ht="15.75" thickBot="1" x14ac:dyDescent="0.3">
      <c r="A843" s="133"/>
      <c r="B843" s="238"/>
      <c r="C843" s="238"/>
      <c r="D843" s="238"/>
      <c r="E843" s="238"/>
      <c r="F843" s="239"/>
      <c r="G843" s="240"/>
      <c r="H843" s="241"/>
    </row>
    <row r="844" spans="1:8" ht="15.75" thickBot="1" x14ac:dyDescent="0.3">
      <c r="A844" s="133"/>
      <c r="B844" s="224" t="s">
        <v>5410</v>
      </c>
      <c r="C844" s="193" t="s">
        <v>867</v>
      </c>
      <c r="D844" s="193" t="s">
        <v>6</v>
      </c>
      <c r="E844" s="193" t="s">
        <v>870</v>
      </c>
      <c r="F844" s="193" t="s">
        <v>5411</v>
      </c>
      <c r="G844" s="225" t="s">
        <v>868</v>
      </c>
      <c r="H844" s="200"/>
    </row>
    <row r="845" spans="1:8" x14ac:dyDescent="0.25">
      <c r="A845" s="133"/>
      <c r="B845" s="245"/>
      <c r="C845" s="202"/>
      <c r="D845" s="202"/>
      <c r="E845" s="175"/>
      <c r="F845" s="202"/>
      <c r="G845" s="203"/>
      <c r="H845" s="246"/>
    </row>
    <row r="846" spans="1:8" x14ac:dyDescent="0.25">
      <c r="A846" s="133"/>
      <c r="B846" s="247"/>
      <c r="C846" s="248"/>
      <c r="D846" s="248"/>
      <c r="E846" s="248"/>
      <c r="F846" s="202"/>
      <c r="G846" s="178"/>
      <c r="H846" s="200"/>
    </row>
    <row r="847" spans="1:8" x14ac:dyDescent="0.25">
      <c r="A847" s="133"/>
      <c r="B847" s="247"/>
      <c r="C847" s="232"/>
      <c r="D847" s="232"/>
      <c r="E847" s="232"/>
      <c r="F847" s="226"/>
      <c r="G847" s="229"/>
      <c r="H847" s="200"/>
    </row>
    <row r="848" spans="1:8" x14ac:dyDescent="0.25">
      <c r="A848" s="133"/>
      <c r="B848" s="194"/>
      <c r="C848" s="232"/>
      <c r="D848" s="232"/>
      <c r="E848" s="232"/>
      <c r="F848" s="226"/>
      <c r="G848" s="229"/>
      <c r="H848" s="200"/>
    </row>
    <row r="849" spans="1:8" ht="15.75" thickBot="1" x14ac:dyDescent="0.3">
      <c r="A849" s="133"/>
      <c r="B849" s="195"/>
      <c r="C849" s="232"/>
      <c r="D849" s="232"/>
      <c r="E849" s="232"/>
      <c r="F849" s="226"/>
      <c r="G849" s="229"/>
      <c r="H849" s="200"/>
    </row>
    <row r="850" spans="1:8" ht="15.75" thickBot="1" x14ac:dyDescent="0.3">
      <c r="A850" s="133"/>
      <c r="B850" s="233"/>
      <c r="C850" s="234"/>
      <c r="D850" s="234"/>
      <c r="E850" s="234"/>
      <c r="F850" s="235"/>
      <c r="G850" s="236"/>
      <c r="H850" s="237">
        <f>+SUM(G845:G850)</f>
        <v>0</v>
      </c>
    </row>
    <row r="851" spans="1:8" ht="15.75" thickBot="1" x14ac:dyDescent="0.3">
      <c r="A851" s="133"/>
      <c r="B851" s="238"/>
      <c r="C851" s="238"/>
      <c r="D851" s="238"/>
      <c r="E851" s="238"/>
      <c r="F851" s="249"/>
      <c r="G851" s="250"/>
      <c r="H851" s="241"/>
    </row>
    <row r="852" spans="1:8" ht="15.75" thickBot="1" x14ac:dyDescent="0.3">
      <c r="A852" s="133"/>
      <c r="B852" s="224" t="s">
        <v>5412</v>
      </c>
      <c r="C852" s="193" t="s">
        <v>5420</v>
      </c>
      <c r="D852" s="193" t="s">
        <v>5421</v>
      </c>
      <c r="E852" s="193" t="s">
        <v>5413</v>
      </c>
      <c r="F852" s="193" t="s">
        <v>5405</v>
      </c>
      <c r="G852" s="225" t="s">
        <v>868</v>
      </c>
      <c r="H852" s="200"/>
    </row>
    <row r="853" spans="1:8" x14ac:dyDescent="0.25">
      <c r="A853" s="133"/>
      <c r="B853" s="194" t="s">
        <v>5948</v>
      </c>
      <c r="C853" s="345">
        <v>70000</v>
      </c>
      <c r="D853" s="176">
        <f>+C853*0.85</f>
        <v>59500</v>
      </c>
      <c r="E853" s="176">
        <f>+C853+D853</f>
        <v>129500</v>
      </c>
      <c r="F853" s="204">
        <v>2000</v>
      </c>
      <c r="G853" s="178">
        <f>+E853/F853</f>
        <v>64.75</v>
      </c>
      <c r="H853" s="200"/>
    </row>
    <row r="854" spans="1:8" x14ac:dyDescent="0.25">
      <c r="A854" s="133"/>
      <c r="B854" s="194" t="s">
        <v>5651</v>
      </c>
      <c r="C854" s="345">
        <v>40000</v>
      </c>
      <c r="D854" s="176">
        <f>+C854*0.85</f>
        <v>34000</v>
      </c>
      <c r="E854" s="176">
        <f>+C854+D854</f>
        <v>74000</v>
      </c>
      <c r="F854" s="202">
        <v>20</v>
      </c>
      <c r="G854" s="178">
        <f>+E854/F854</f>
        <v>3700</v>
      </c>
      <c r="H854" s="200"/>
    </row>
    <row r="855" spans="1:8" x14ac:dyDescent="0.25">
      <c r="A855" s="133"/>
      <c r="B855" s="195" t="s">
        <v>5635</v>
      </c>
      <c r="C855" s="345">
        <v>20600</v>
      </c>
      <c r="D855" s="176">
        <f>+C855*0.85</f>
        <v>17510</v>
      </c>
      <c r="E855" s="176">
        <f>+C855+D855</f>
        <v>38110</v>
      </c>
      <c r="F855" s="226">
        <v>20</v>
      </c>
      <c r="G855" s="178">
        <f>+E855/F855</f>
        <v>1905.5</v>
      </c>
      <c r="H855" s="200"/>
    </row>
    <row r="856" spans="1:8" x14ac:dyDescent="0.25">
      <c r="A856" s="133"/>
      <c r="B856" s="195" t="s">
        <v>6059</v>
      </c>
      <c r="C856" s="171">
        <v>50000</v>
      </c>
      <c r="D856" s="176">
        <f>+C856*0.85</f>
        <v>42500</v>
      </c>
      <c r="E856" s="176">
        <f>+C856+D856</f>
        <v>92500</v>
      </c>
      <c r="F856" s="226">
        <v>24</v>
      </c>
      <c r="G856" s="178">
        <f>+E856/F856</f>
        <v>3854.1666666666665</v>
      </c>
      <c r="H856" s="200"/>
    </row>
    <row r="857" spans="1:8" x14ac:dyDescent="0.25">
      <c r="A857" s="133"/>
      <c r="B857" s="195"/>
      <c r="C857" s="232"/>
      <c r="D857" s="232"/>
      <c r="E857" s="232"/>
      <c r="F857" s="226"/>
      <c r="G857" s="229"/>
      <c r="H857" s="200"/>
    </row>
    <row r="858" spans="1:8" ht="15.75" thickBot="1" x14ac:dyDescent="0.3">
      <c r="A858" s="133"/>
      <c r="B858" s="195"/>
      <c r="C858" s="232"/>
      <c r="D858" s="232"/>
      <c r="E858" s="232"/>
      <c r="F858" s="226"/>
      <c r="G858" s="229"/>
      <c r="H858" s="200"/>
    </row>
    <row r="859" spans="1:8" ht="15.75" thickBot="1" x14ac:dyDescent="0.3">
      <c r="A859" s="133"/>
      <c r="B859" s="251"/>
      <c r="C859" s="252"/>
      <c r="D859" s="252"/>
      <c r="E859" s="252"/>
      <c r="F859" s="253"/>
      <c r="G859" s="254"/>
      <c r="H859" s="256">
        <f>+SUM(G853:G859)</f>
        <v>9524.4166666666661</v>
      </c>
    </row>
    <row r="860" spans="1:8" ht="15.75" thickBot="1" x14ac:dyDescent="0.3">
      <c r="A860" s="133"/>
      <c r="B860" s="8"/>
      <c r="C860" s="8"/>
      <c r="D860" s="8"/>
      <c r="E860" s="8"/>
      <c r="F860" s="133"/>
      <c r="G860" s="200"/>
      <c r="H860" s="200"/>
    </row>
    <row r="861" spans="1:8" ht="15.75" thickBot="1" x14ac:dyDescent="0.3">
      <c r="A861" s="133"/>
      <c r="B861" s="8"/>
      <c r="C861" s="8"/>
      <c r="D861" s="8"/>
      <c r="E861" s="223" t="s">
        <v>5415</v>
      </c>
      <c r="F861" s="133"/>
      <c r="G861" s="200"/>
      <c r="H861" s="256">
        <f>ROUND(+H859+H850+H842+H827,0)</f>
        <v>20671</v>
      </c>
    </row>
    <row r="866" spans="1:8" ht="18.75" x14ac:dyDescent="0.25">
      <c r="A866" s="133"/>
      <c r="B866" s="2506" t="s">
        <v>5400</v>
      </c>
      <c r="C866" s="2506"/>
      <c r="D866" s="2506"/>
      <c r="E866" s="2506"/>
      <c r="F866" s="2506"/>
      <c r="G866" s="2506"/>
      <c r="H866" s="8"/>
    </row>
    <row r="867" spans="1:8" x14ac:dyDescent="0.25">
      <c r="A867" s="133"/>
      <c r="B867" s="8"/>
      <c r="C867" s="8"/>
      <c r="D867" s="8"/>
      <c r="E867" s="8"/>
      <c r="F867" s="133"/>
      <c r="G867" s="200"/>
      <c r="H867" s="200"/>
    </row>
    <row r="868" spans="1:8" x14ac:dyDescent="0.25">
      <c r="A868" s="133"/>
      <c r="B868" s="8"/>
      <c r="C868" s="8"/>
      <c r="D868" s="8"/>
      <c r="E868" s="8"/>
      <c r="F868" s="133"/>
      <c r="G868" s="200"/>
      <c r="H868" s="200"/>
    </row>
    <row r="869" spans="1:8" x14ac:dyDescent="0.25">
      <c r="A869" s="133"/>
      <c r="B869" s="8"/>
      <c r="C869" s="8"/>
      <c r="D869" s="8"/>
      <c r="E869" s="8"/>
      <c r="F869" s="133"/>
      <c r="G869" s="200"/>
      <c r="H869" s="200"/>
    </row>
    <row r="870" spans="1:8" ht="24.95" customHeight="1" x14ac:dyDescent="0.25">
      <c r="A870" s="220" t="s">
        <v>5482</v>
      </c>
      <c r="B870" s="221" t="s">
        <v>274</v>
      </c>
      <c r="C870" s="2449" t="s">
        <v>5497</v>
      </c>
      <c r="D870" s="2449"/>
      <c r="E870" s="2449"/>
      <c r="F870" s="220" t="s">
        <v>867</v>
      </c>
      <c r="G870" s="222" t="s">
        <v>5424</v>
      </c>
      <c r="H870" s="200"/>
    </row>
    <row r="871" spans="1:8" x14ac:dyDescent="0.25">
      <c r="A871" s="133"/>
      <c r="B871" s="8"/>
      <c r="C871" s="223"/>
      <c r="D871" s="223"/>
      <c r="E871" s="223"/>
      <c r="F871" s="133"/>
      <c r="G871" s="200"/>
      <c r="H871" s="200"/>
    </row>
    <row r="872" spans="1:8" x14ac:dyDescent="0.25">
      <c r="A872" s="133"/>
      <c r="B872" s="8"/>
      <c r="C872" s="8"/>
      <c r="D872" s="8"/>
      <c r="E872" s="8"/>
      <c r="F872" s="8"/>
      <c r="G872" s="8"/>
      <c r="H872" s="200"/>
    </row>
    <row r="873" spans="1:8" ht="15.75" thickBot="1" x14ac:dyDescent="0.3">
      <c r="A873" s="133"/>
      <c r="B873" s="8"/>
      <c r="C873" s="8"/>
      <c r="D873" s="8"/>
      <c r="E873" s="8"/>
      <c r="F873" s="133"/>
      <c r="G873" s="200"/>
      <c r="H873" s="200"/>
    </row>
    <row r="874" spans="1:8" ht="15.75" thickBot="1" x14ac:dyDescent="0.3">
      <c r="A874" s="133"/>
      <c r="B874" s="224" t="s">
        <v>5403</v>
      </c>
      <c r="C874" s="193" t="s">
        <v>867</v>
      </c>
      <c r="D874" s="193" t="s">
        <v>6</v>
      </c>
      <c r="E874" s="193" t="s">
        <v>5439</v>
      </c>
      <c r="F874" s="193" t="s">
        <v>5405</v>
      </c>
      <c r="G874" s="225" t="s">
        <v>868</v>
      </c>
      <c r="H874" s="200"/>
    </row>
    <row r="875" spans="1:8" x14ac:dyDescent="0.25">
      <c r="A875" s="133"/>
      <c r="B875" s="195" t="s">
        <v>5440</v>
      </c>
      <c r="C875" s="226" t="s">
        <v>5402</v>
      </c>
      <c r="D875" s="226">
        <v>1</v>
      </c>
      <c r="E875" s="227">
        <f>+H913</f>
        <v>9524.4166666666661</v>
      </c>
      <c r="F875" s="226">
        <v>0.1</v>
      </c>
      <c r="G875" s="229">
        <f>+E875*F875</f>
        <v>952.44166666666661</v>
      </c>
      <c r="H875" s="200"/>
    </row>
    <row r="876" spans="1:8" x14ac:dyDescent="0.25">
      <c r="A876" s="133"/>
      <c r="B876" s="195" t="s">
        <v>5748</v>
      </c>
      <c r="C876" s="226" t="s">
        <v>5402</v>
      </c>
      <c r="D876" s="226">
        <v>1</v>
      </c>
      <c r="E876" s="230">
        <v>250000</v>
      </c>
      <c r="F876" s="226">
        <v>0.06</v>
      </c>
      <c r="G876" s="229">
        <f>+E876*F876</f>
        <v>15000</v>
      </c>
      <c r="H876" s="200"/>
    </row>
    <row r="877" spans="1:8" x14ac:dyDescent="0.25">
      <c r="A877" s="133"/>
      <c r="B877" s="195"/>
      <c r="C877" s="226"/>
      <c r="D877" s="226"/>
      <c r="E877" s="176"/>
      <c r="F877" s="226"/>
      <c r="G877" s="229"/>
      <c r="H877" s="200"/>
    </row>
    <row r="878" spans="1:8" x14ac:dyDescent="0.25">
      <c r="A878" s="133"/>
      <c r="B878" s="195"/>
      <c r="C878" s="226"/>
      <c r="D878" s="226"/>
      <c r="E878" s="171"/>
      <c r="F878" s="226"/>
      <c r="G878" s="231"/>
      <c r="H878" s="200"/>
    </row>
    <row r="879" spans="1:8" x14ac:dyDescent="0.25">
      <c r="A879" s="133"/>
      <c r="B879" s="195"/>
      <c r="C879" s="226"/>
      <c r="D879" s="232"/>
      <c r="E879" s="232"/>
      <c r="F879" s="226"/>
      <c r="G879" s="229"/>
      <c r="H879" s="200"/>
    </row>
    <row r="880" spans="1:8" ht="15.75" thickBot="1" x14ac:dyDescent="0.3">
      <c r="A880" s="133"/>
      <c r="B880" s="195"/>
      <c r="C880" s="226"/>
      <c r="D880" s="232"/>
      <c r="E880" s="232"/>
      <c r="F880" s="226"/>
      <c r="G880" s="229"/>
      <c r="H880" s="200"/>
    </row>
    <row r="881" spans="1:8" ht="15.75" thickBot="1" x14ac:dyDescent="0.3">
      <c r="A881" s="133"/>
      <c r="B881" s="233"/>
      <c r="C881" s="234"/>
      <c r="D881" s="234"/>
      <c r="E881" s="234"/>
      <c r="F881" s="235"/>
      <c r="G881" s="236"/>
      <c r="H881" s="237">
        <f>+SUM(G875:G881)</f>
        <v>15952.441666666666</v>
      </c>
    </row>
    <row r="882" spans="1:8" ht="15.75" thickBot="1" x14ac:dyDescent="0.3">
      <c r="A882" s="133"/>
      <c r="B882" s="238"/>
      <c r="C882" s="238"/>
      <c r="D882" s="238"/>
      <c r="E882" s="238"/>
      <c r="F882" s="239"/>
      <c r="G882" s="240"/>
      <c r="H882" s="241"/>
    </row>
    <row r="883" spans="1:8" ht="15.75" thickBot="1" x14ac:dyDescent="0.3">
      <c r="A883" s="133"/>
      <c r="B883" s="224" t="s">
        <v>5408</v>
      </c>
      <c r="C883" s="193" t="s">
        <v>867</v>
      </c>
      <c r="D883" s="193" t="s">
        <v>6</v>
      </c>
      <c r="E883" s="193" t="s">
        <v>870</v>
      </c>
      <c r="F883" s="193" t="s">
        <v>5409</v>
      </c>
      <c r="G883" s="225" t="s">
        <v>868</v>
      </c>
      <c r="H883" s="200"/>
    </row>
    <row r="884" spans="1:8" x14ac:dyDescent="0.25">
      <c r="A884" s="133"/>
      <c r="B884" s="450" t="s">
        <v>5751</v>
      </c>
      <c r="C884" s="226" t="s">
        <v>5488</v>
      </c>
      <c r="D884" s="226">
        <v>0.05</v>
      </c>
      <c r="E884" s="244">
        <v>3500</v>
      </c>
      <c r="F884" s="169">
        <v>0.05</v>
      </c>
      <c r="G884" s="178">
        <f>+D884*E884*(1+F884)</f>
        <v>183.75</v>
      </c>
      <c r="H884" s="200"/>
    </row>
    <row r="885" spans="1:8" x14ac:dyDescent="0.25">
      <c r="A885" s="133"/>
      <c r="B885" s="450" t="s">
        <v>6057</v>
      </c>
      <c r="C885" s="226" t="s">
        <v>5424</v>
      </c>
      <c r="D885" s="226">
        <v>10</v>
      </c>
      <c r="E885" s="244">
        <v>1</v>
      </c>
      <c r="F885" s="169">
        <v>0.05</v>
      </c>
      <c r="G885" s="178">
        <f>+D885*E885*(1+F885)</f>
        <v>10.5</v>
      </c>
      <c r="H885" s="200"/>
    </row>
    <row r="886" spans="1:8" x14ac:dyDescent="0.25">
      <c r="A886" s="133"/>
      <c r="B886" s="450"/>
      <c r="C886" s="226"/>
      <c r="D886" s="226"/>
      <c r="E886" s="244"/>
      <c r="F886" s="169"/>
      <c r="G886" s="178"/>
      <c r="H886" s="200"/>
    </row>
    <row r="887" spans="1:8" x14ac:dyDescent="0.25">
      <c r="A887" s="133"/>
      <c r="B887" s="450"/>
      <c r="C887" s="226"/>
      <c r="D887" s="226"/>
      <c r="E887" s="244"/>
      <c r="F887" s="169"/>
      <c r="G887" s="178"/>
      <c r="H887" s="200"/>
    </row>
    <row r="888" spans="1:8" x14ac:dyDescent="0.25">
      <c r="A888" s="133"/>
      <c r="B888" s="195"/>
      <c r="C888" s="226"/>
      <c r="D888" s="226"/>
      <c r="E888" s="171"/>
      <c r="F888" s="169"/>
      <c r="G888" s="178"/>
      <c r="H888" s="200"/>
    </row>
    <row r="889" spans="1:8" x14ac:dyDescent="0.25">
      <c r="A889" s="133"/>
      <c r="B889" s="194"/>
      <c r="C889" s="202"/>
      <c r="D889" s="202"/>
      <c r="E889" s="171"/>
      <c r="F889" s="169"/>
      <c r="G889" s="178"/>
      <c r="H889" s="200"/>
    </row>
    <row r="890" spans="1:8" x14ac:dyDescent="0.25">
      <c r="A890" s="133"/>
      <c r="B890" s="195"/>
      <c r="C890" s="226"/>
      <c r="D890" s="226"/>
      <c r="E890" s="171"/>
      <c r="F890" s="169"/>
      <c r="G890" s="178"/>
      <c r="H890" s="200"/>
    </row>
    <row r="891" spans="1:8" x14ac:dyDescent="0.25">
      <c r="A891" s="133"/>
      <c r="B891" s="195"/>
      <c r="C891" s="226"/>
      <c r="D891" s="226"/>
      <c r="E891" s="171"/>
      <c r="F891" s="169"/>
      <c r="G891" s="178"/>
      <c r="H891" s="200"/>
    </row>
    <row r="892" spans="1:8" x14ac:dyDescent="0.25">
      <c r="A892" s="133"/>
      <c r="B892" s="195"/>
      <c r="C892" s="232"/>
      <c r="D892" s="232"/>
      <c r="E892" s="232"/>
      <c r="F892" s="226"/>
      <c r="G892" s="229"/>
      <c r="H892" s="200"/>
    </row>
    <row r="893" spans="1:8" x14ac:dyDescent="0.25">
      <c r="A893" s="133"/>
      <c r="B893" s="195"/>
      <c r="C893" s="232"/>
      <c r="D893" s="232"/>
      <c r="E893" s="232"/>
      <c r="F893" s="226"/>
      <c r="G893" s="229"/>
      <c r="H893" s="200"/>
    </row>
    <row r="894" spans="1:8" x14ac:dyDescent="0.25">
      <c r="A894" s="133"/>
      <c r="B894" s="195"/>
      <c r="C894" s="232"/>
      <c r="D894" s="232"/>
      <c r="E894" s="232"/>
      <c r="F894" s="226"/>
      <c r="G894" s="229"/>
      <c r="H894" s="200"/>
    </row>
    <row r="895" spans="1:8" ht="15.75" thickBot="1" x14ac:dyDescent="0.3">
      <c r="A895" s="133"/>
      <c r="B895" s="195"/>
      <c r="C895" s="232"/>
      <c r="D895" s="232"/>
      <c r="E895" s="232"/>
      <c r="F895" s="226"/>
      <c r="G895" s="229"/>
      <c r="H895" s="200"/>
    </row>
    <row r="896" spans="1:8" ht="15.75" thickBot="1" x14ac:dyDescent="0.3">
      <c r="A896" s="133"/>
      <c r="B896" s="233"/>
      <c r="C896" s="234"/>
      <c r="D896" s="234"/>
      <c r="E896" s="234"/>
      <c r="F896" s="235"/>
      <c r="G896" s="236"/>
      <c r="H896" s="256">
        <f>+SUM(G884:G896)</f>
        <v>194.25</v>
      </c>
    </row>
    <row r="897" spans="1:8" ht="15.75" thickBot="1" x14ac:dyDescent="0.3">
      <c r="A897" s="133"/>
      <c r="B897" s="238"/>
      <c r="C897" s="238"/>
      <c r="D897" s="238"/>
      <c r="E897" s="238"/>
      <c r="F897" s="239"/>
      <c r="G897" s="240"/>
      <c r="H897" s="241"/>
    </row>
    <row r="898" spans="1:8" ht="15.75" thickBot="1" x14ac:dyDescent="0.3">
      <c r="A898" s="133"/>
      <c r="B898" s="224" t="s">
        <v>5410</v>
      </c>
      <c r="C898" s="193" t="s">
        <v>867</v>
      </c>
      <c r="D898" s="193" t="s">
        <v>6</v>
      </c>
      <c r="E898" s="193" t="s">
        <v>870</v>
      </c>
      <c r="F898" s="193" t="s">
        <v>5411</v>
      </c>
      <c r="G898" s="225" t="s">
        <v>868</v>
      </c>
      <c r="H898" s="200"/>
    </row>
    <row r="899" spans="1:8" x14ac:dyDescent="0.25">
      <c r="A899" s="133"/>
      <c r="B899" s="245"/>
      <c r="C899" s="202"/>
      <c r="D899" s="202"/>
      <c r="E899" s="175"/>
      <c r="F899" s="202"/>
      <c r="G899" s="203"/>
      <c r="H899" s="246"/>
    </row>
    <row r="900" spans="1:8" x14ac:dyDescent="0.25">
      <c r="A900" s="133"/>
      <c r="B900" s="247"/>
      <c r="C900" s="248"/>
      <c r="D900" s="248"/>
      <c r="E900" s="248"/>
      <c r="F900" s="202"/>
      <c r="G900" s="178"/>
      <c r="H900" s="200"/>
    </row>
    <row r="901" spans="1:8" x14ac:dyDescent="0.25">
      <c r="A901" s="133"/>
      <c r="B901" s="247"/>
      <c r="C901" s="232"/>
      <c r="D901" s="232"/>
      <c r="E901" s="232"/>
      <c r="F901" s="226"/>
      <c r="G901" s="229"/>
      <c r="H901" s="200"/>
    </row>
    <row r="902" spans="1:8" x14ac:dyDescent="0.25">
      <c r="A902" s="133"/>
      <c r="B902" s="194"/>
      <c r="C902" s="232"/>
      <c r="D902" s="232"/>
      <c r="E902" s="232"/>
      <c r="F902" s="226"/>
      <c r="G902" s="229"/>
      <c r="H902" s="200"/>
    </row>
    <row r="903" spans="1:8" ht="15.75" thickBot="1" x14ac:dyDescent="0.3">
      <c r="A903" s="133"/>
      <c r="B903" s="195"/>
      <c r="C903" s="232"/>
      <c r="D903" s="232"/>
      <c r="E903" s="232"/>
      <c r="F903" s="226"/>
      <c r="G903" s="229"/>
      <c r="H903" s="200"/>
    </row>
    <row r="904" spans="1:8" ht="15.75" thickBot="1" x14ac:dyDescent="0.3">
      <c r="A904" s="133"/>
      <c r="B904" s="233"/>
      <c r="C904" s="234"/>
      <c r="D904" s="234"/>
      <c r="E904" s="234"/>
      <c r="F904" s="235"/>
      <c r="G904" s="236"/>
      <c r="H904" s="237">
        <f>+SUM(G899:G904)</f>
        <v>0</v>
      </c>
    </row>
    <row r="905" spans="1:8" ht="15.75" thickBot="1" x14ac:dyDescent="0.3">
      <c r="A905" s="133"/>
      <c r="B905" s="238"/>
      <c r="C905" s="238"/>
      <c r="D905" s="238"/>
      <c r="E905" s="238"/>
      <c r="F905" s="249"/>
      <c r="G905" s="250"/>
      <c r="H905" s="241"/>
    </row>
    <row r="906" spans="1:8" ht="15.75" thickBot="1" x14ac:dyDescent="0.3">
      <c r="A906" s="133"/>
      <c r="B906" s="224" t="s">
        <v>5412</v>
      </c>
      <c r="C906" s="193" t="s">
        <v>5420</v>
      </c>
      <c r="D906" s="193" t="s">
        <v>5421</v>
      </c>
      <c r="E906" s="193" t="s">
        <v>5413</v>
      </c>
      <c r="F906" s="193" t="s">
        <v>5405</v>
      </c>
      <c r="G906" s="225" t="s">
        <v>868</v>
      </c>
      <c r="H906" s="200"/>
    </row>
    <row r="907" spans="1:8" x14ac:dyDescent="0.25">
      <c r="A907" s="133"/>
      <c r="B907" s="194" t="s">
        <v>5948</v>
      </c>
      <c r="C907" s="345">
        <v>70000</v>
      </c>
      <c r="D907" s="176">
        <f>+C907*0.85</f>
        <v>59500</v>
      </c>
      <c r="E907" s="176">
        <f>+C907+D907</f>
        <v>129500</v>
      </c>
      <c r="F907" s="204">
        <v>2000</v>
      </c>
      <c r="G907" s="178">
        <f>+E907/F907</f>
        <v>64.75</v>
      </c>
      <c r="H907" s="200"/>
    </row>
    <row r="908" spans="1:8" x14ac:dyDescent="0.25">
      <c r="A908" s="133"/>
      <c r="B908" s="194" t="s">
        <v>5651</v>
      </c>
      <c r="C908" s="345">
        <v>40000</v>
      </c>
      <c r="D908" s="176">
        <f>+C908*0.85</f>
        <v>34000</v>
      </c>
      <c r="E908" s="176">
        <f>+C908+D908</f>
        <v>74000</v>
      </c>
      <c r="F908" s="202">
        <v>20</v>
      </c>
      <c r="G908" s="178">
        <f>+E908/F908</f>
        <v>3700</v>
      </c>
      <c r="H908" s="200"/>
    </row>
    <row r="909" spans="1:8" x14ac:dyDescent="0.25">
      <c r="A909" s="133"/>
      <c r="B909" s="195" t="s">
        <v>5635</v>
      </c>
      <c r="C909" s="345">
        <v>20600</v>
      </c>
      <c r="D909" s="176">
        <f>+C909*0.85</f>
        <v>17510</v>
      </c>
      <c r="E909" s="176">
        <f>+C909+D909</f>
        <v>38110</v>
      </c>
      <c r="F909" s="226">
        <v>20</v>
      </c>
      <c r="G909" s="178">
        <f>+E909/F909</f>
        <v>1905.5</v>
      </c>
      <c r="H909" s="200"/>
    </row>
    <row r="910" spans="1:8" x14ac:dyDescent="0.25">
      <c r="A910" s="133"/>
      <c r="B910" s="195" t="s">
        <v>6059</v>
      </c>
      <c r="C910" s="171">
        <v>50000</v>
      </c>
      <c r="D910" s="176">
        <f>+C910*0.85</f>
        <v>42500</v>
      </c>
      <c r="E910" s="176">
        <f>+C910+D910</f>
        <v>92500</v>
      </c>
      <c r="F910" s="226">
        <v>24</v>
      </c>
      <c r="G910" s="178">
        <f>+E910/F910</f>
        <v>3854.1666666666665</v>
      </c>
      <c r="H910" s="200"/>
    </row>
    <row r="911" spans="1:8" x14ac:dyDescent="0.25">
      <c r="A911" s="133"/>
      <c r="B911" s="195"/>
      <c r="C911" s="232"/>
      <c r="D911" s="232"/>
      <c r="E911" s="232"/>
      <c r="F911" s="226"/>
      <c r="G911" s="229"/>
      <c r="H911" s="200"/>
    </row>
    <row r="912" spans="1:8" ht="15.75" thickBot="1" x14ac:dyDescent="0.3">
      <c r="A912" s="133"/>
      <c r="B912" s="195"/>
      <c r="C912" s="232"/>
      <c r="D912" s="232"/>
      <c r="E912" s="232"/>
      <c r="F912" s="226"/>
      <c r="G912" s="229"/>
      <c r="H912" s="200"/>
    </row>
    <row r="913" spans="1:8" ht="15.75" thickBot="1" x14ac:dyDescent="0.3">
      <c r="A913" s="133"/>
      <c r="B913" s="251"/>
      <c r="C913" s="252"/>
      <c r="D913" s="252"/>
      <c r="E913" s="252"/>
      <c r="F913" s="253"/>
      <c r="G913" s="254"/>
      <c r="H913" s="256">
        <f>+SUM(G907:G913)</f>
        <v>9524.4166666666661</v>
      </c>
    </row>
    <row r="914" spans="1:8" ht="15.75" thickBot="1" x14ac:dyDescent="0.3">
      <c r="A914" s="133"/>
      <c r="B914" s="8"/>
      <c r="C914" s="8"/>
      <c r="D914" s="8"/>
      <c r="E914" s="8"/>
      <c r="F914" s="133"/>
      <c r="G914" s="200"/>
      <c r="H914" s="200"/>
    </row>
    <row r="915" spans="1:8" ht="15.75" thickBot="1" x14ac:dyDescent="0.3">
      <c r="A915" s="133"/>
      <c r="B915" s="8"/>
      <c r="C915" s="8"/>
      <c r="D915" s="8"/>
      <c r="E915" s="223" t="s">
        <v>5415</v>
      </c>
      <c r="F915" s="133"/>
      <c r="G915" s="200"/>
      <c r="H915" s="256">
        <f>ROUND(+H913+H904+H896+H881,0)</f>
        <v>25671</v>
      </c>
    </row>
    <row r="920" spans="1:8" ht="18.75" x14ac:dyDescent="0.25">
      <c r="A920" s="133"/>
      <c r="B920" s="2506" t="s">
        <v>5400</v>
      </c>
      <c r="C920" s="2506"/>
      <c r="D920" s="2506"/>
      <c r="E920" s="2506"/>
      <c r="F920" s="2506"/>
      <c r="G920" s="2506"/>
      <c r="H920" s="8"/>
    </row>
    <row r="921" spans="1:8" x14ac:dyDescent="0.25">
      <c r="A921" s="133"/>
      <c r="B921" s="8"/>
      <c r="C921" s="8"/>
      <c r="D921" s="8"/>
      <c r="E921" s="8"/>
      <c r="F921" s="133"/>
      <c r="G921" s="200"/>
      <c r="H921" s="200"/>
    </row>
    <row r="922" spans="1:8" x14ac:dyDescent="0.25">
      <c r="A922" s="133"/>
      <c r="B922" s="8"/>
      <c r="C922" s="8"/>
      <c r="D922" s="8"/>
      <c r="E922" s="8"/>
      <c r="F922" s="133"/>
      <c r="G922" s="200"/>
      <c r="H922" s="200"/>
    </row>
    <row r="923" spans="1:8" x14ac:dyDescent="0.25">
      <c r="A923" s="133"/>
      <c r="B923" s="8"/>
      <c r="C923" s="8"/>
      <c r="D923" s="8"/>
      <c r="E923" s="8"/>
      <c r="F923" s="133"/>
      <c r="G923" s="200"/>
      <c r="H923" s="200"/>
    </row>
    <row r="924" spans="1:8" ht="24.95" customHeight="1" x14ac:dyDescent="0.25">
      <c r="A924" s="220" t="s">
        <v>5482</v>
      </c>
      <c r="B924" s="221" t="s">
        <v>279</v>
      </c>
      <c r="C924" s="2449" t="s">
        <v>5498</v>
      </c>
      <c r="D924" s="2449"/>
      <c r="E924" s="2449"/>
      <c r="F924" s="220" t="s">
        <v>867</v>
      </c>
      <c r="G924" s="222" t="s">
        <v>5402</v>
      </c>
      <c r="H924" s="200"/>
    </row>
    <row r="925" spans="1:8" x14ac:dyDescent="0.25">
      <c r="A925" s="133"/>
      <c r="B925" s="8"/>
      <c r="C925" s="223"/>
      <c r="D925" s="223"/>
      <c r="E925" s="223"/>
      <c r="F925" s="133"/>
      <c r="G925" s="200"/>
      <c r="H925" s="200"/>
    </row>
    <row r="926" spans="1:8" x14ac:dyDescent="0.25">
      <c r="A926" s="133"/>
      <c r="B926" s="8"/>
      <c r="C926" s="8"/>
      <c r="D926" s="8"/>
      <c r="E926" s="8"/>
      <c r="F926" s="8"/>
      <c r="G926" s="8"/>
      <c r="H926" s="200"/>
    </row>
    <row r="927" spans="1:8" ht="15.75" thickBot="1" x14ac:dyDescent="0.3">
      <c r="A927" s="133"/>
      <c r="B927" s="8"/>
      <c r="C927" s="8"/>
      <c r="D927" s="8"/>
      <c r="E927" s="8"/>
      <c r="F927" s="133"/>
      <c r="G927" s="200"/>
      <c r="H927" s="200"/>
    </row>
    <row r="928" spans="1:8" ht="15.75" thickBot="1" x14ac:dyDescent="0.3">
      <c r="A928" s="133"/>
      <c r="B928" s="224" t="s">
        <v>5403</v>
      </c>
      <c r="C928" s="193" t="s">
        <v>867</v>
      </c>
      <c r="D928" s="193" t="s">
        <v>6</v>
      </c>
      <c r="E928" s="193" t="s">
        <v>5439</v>
      </c>
      <c r="F928" s="193" t="s">
        <v>5405</v>
      </c>
      <c r="G928" s="225" t="s">
        <v>868</v>
      </c>
      <c r="H928" s="200"/>
    </row>
    <row r="929" spans="1:8" x14ac:dyDescent="0.25">
      <c r="A929" s="133"/>
      <c r="B929" s="195" t="s">
        <v>5440</v>
      </c>
      <c r="C929" s="226" t="s">
        <v>5402</v>
      </c>
      <c r="D929" s="226">
        <v>1</v>
      </c>
      <c r="E929" s="227">
        <f>+H967</f>
        <v>833.73333333333335</v>
      </c>
      <c r="F929" s="226">
        <v>0.1</v>
      </c>
      <c r="G929" s="229">
        <f>+E929*F929</f>
        <v>83.373333333333335</v>
      </c>
      <c r="H929" s="200"/>
    </row>
    <row r="930" spans="1:8" x14ac:dyDescent="0.25">
      <c r="A930" s="133"/>
      <c r="B930" s="195" t="s">
        <v>6048</v>
      </c>
      <c r="C930" s="226" t="s">
        <v>5402</v>
      </c>
      <c r="D930" s="226">
        <v>1</v>
      </c>
      <c r="E930" s="449">
        <v>50000</v>
      </c>
      <c r="F930" s="226">
        <v>0.02</v>
      </c>
      <c r="G930" s="229">
        <f>+E930*F930</f>
        <v>1000</v>
      </c>
      <c r="H930" s="200"/>
    </row>
    <row r="931" spans="1:8" x14ac:dyDescent="0.25">
      <c r="A931" s="133"/>
      <c r="B931" s="195"/>
      <c r="C931" s="226"/>
      <c r="D931" s="226"/>
      <c r="E931" s="176"/>
      <c r="F931" s="226"/>
      <c r="G931" s="229"/>
      <c r="H931" s="200"/>
    </row>
    <row r="932" spans="1:8" x14ac:dyDescent="0.25">
      <c r="A932" s="133"/>
      <c r="B932" s="195"/>
      <c r="C932" s="226"/>
      <c r="D932" s="226"/>
      <c r="E932" s="171"/>
      <c r="F932" s="226"/>
      <c r="G932" s="231"/>
      <c r="H932" s="200"/>
    </row>
    <row r="933" spans="1:8" x14ac:dyDescent="0.25">
      <c r="A933" s="133"/>
      <c r="B933" s="195"/>
      <c r="C933" s="226"/>
      <c r="D933" s="232"/>
      <c r="E933" s="232"/>
      <c r="F933" s="226"/>
      <c r="G933" s="229"/>
      <c r="H933" s="200"/>
    </row>
    <row r="934" spans="1:8" ht="15.75" thickBot="1" x14ac:dyDescent="0.3">
      <c r="A934" s="133"/>
      <c r="B934" s="195"/>
      <c r="C934" s="226"/>
      <c r="D934" s="232"/>
      <c r="E934" s="232"/>
      <c r="F934" s="226"/>
      <c r="G934" s="229"/>
      <c r="H934" s="200"/>
    </row>
    <row r="935" spans="1:8" ht="15.75" thickBot="1" x14ac:dyDescent="0.3">
      <c r="A935" s="133"/>
      <c r="B935" s="233"/>
      <c r="C935" s="234"/>
      <c r="D935" s="234"/>
      <c r="E935" s="234"/>
      <c r="F935" s="235"/>
      <c r="G935" s="236"/>
      <c r="H935" s="237">
        <f>+SUM(G929:G935)</f>
        <v>1083.3733333333334</v>
      </c>
    </row>
    <row r="936" spans="1:8" ht="15.75" thickBot="1" x14ac:dyDescent="0.3">
      <c r="A936" s="133"/>
      <c r="B936" s="238"/>
      <c r="C936" s="238"/>
      <c r="D936" s="238"/>
      <c r="E936" s="238"/>
      <c r="F936" s="239"/>
      <c r="G936" s="240"/>
      <c r="H936" s="241"/>
    </row>
    <row r="937" spans="1:8" ht="15.75" thickBot="1" x14ac:dyDescent="0.3">
      <c r="A937" s="133"/>
      <c r="B937" s="224" t="s">
        <v>5408</v>
      </c>
      <c r="C937" s="193" t="s">
        <v>867</v>
      </c>
      <c r="D937" s="193" t="s">
        <v>6</v>
      </c>
      <c r="E937" s="193" t="s">
        <v>870</v>
      </c>
      <c r="F937" s="193" t="s">
        <v>5409</v>
      </c>
      <c r="G937" s="225" t="s">
        <v>868</v>
      </c>
      <c r="H937" s="200"/>
    </row>
    <row r="938" spans="1:8" x14ac:dyDescent="0.25">
      <c r="A938" s="133"/>
      <c r="B938" s="295" t="s">
        <v>5553</v>
      </c>
      <c r="C938" s="202" t="s">
        <v>5488</v>
      </c>
      <c r="D938" s="226">
        <f>+PI()*0.005^2*1000</f>
        <v>7.8539816339744828E-2</v>
      </c>
      <c r="E938" s="244">
        <v>5</v>
      </c>
      <c r="F938" s="169">
        <v>0.1</v>
      </c>
      <c r="G938" s="451">
        <f>+D938*E938*(1+F938)</f>
        <v>0.43196898986859661</v>
      </c>
      <c r="H938" s="200"/>
    </row>
    <row r="939" spans="1:8" x14ac:dyDescent="0.25">
      <c r="A939" s="133"/>
      <c r="B939" s="450" t="s">
        <v>5755</v>
      </c>
      <c r="C939" s="202" t="s">
        <v>5487</v>
      </c>
      <c r="D939" s="226">
        <f>+D669*D938/D668</f>
        <v>3.2839999999999994</v>
      </c>
      <c r="E939" s="257">
        <v>0.65</v>
      </c>
      <c r="F939" s="169">
        <v>0.05</v>
      </c>
      <c r="G939" s="294">
        <f>+D939*E939*(1+F939)</f>
        <v>2.24133</v>
      </c>
      <c r="H939" s="200"/>
    </row>
    <row r="940" spans="1:8" x14ac:dyDescent="0.25">
      <c r="A940" s="133"/>
      <c r="B940" s="260"/>
      <c r="C940" s="226"/>
      <c r="D940" s="226"/>
      <c r="E940" s="244"/>
      <c r="F940" s="169"/>
      <c r="G940" s="178">
        <f>+D940*E940*(1+F940)</f>
        <v>0</v>
      </c>
      <c r="H940" s="200"/>
    </row>
    <row r="941" spans="1:8" x14ac:dyDescent="0.25">
      <c r="A941" s="133"/>
      <c r="B941" s="260"/>
      <c r="C941" s="226"/>
      <c r="D941" s="226"/>
      <c r="E941" s="171"/>
      <c r="F941" s="169"/>
      <c r="G941" s="178">
        <f>+D941*E941*(1+F941)</f>
        <v>0</v>
      </c>
      <c r="H941" s="200"/>
    </row>
    <row r="942" spans="1:8" x14ac:dyDescent="0.25">
      <c r="A942" s="133"/>
      <c r="B942" s="195"/>
      <c r="C942" s="226"/>
      <c r="D942" s="226"/>
      <c r="E942" s="171"/>
      <c r="F942" s="169"/>
      <c r="G942" s="178"/>
      <c r="H942" s="200"/>
    </row>
    <row r="943" spans="1:8" x14ac:dyDescent="0.25">
      <c r="A943" s="133"/>
      <c r="B943" s="194"/>
      <c r="C943" s="202"/>
      <c r="D943" s="202"/>
      <c r="E943" s="171"/>
      <c r="F943" s="169"/>
      <c r="G943" s="178"/>
      <c r="H943" s="200"/>
    </row>
    <row r="944" spans="1:8" x14ac:dyDescent="0.25">
      <c r="A944" s="133"/>
      <c r="B944" s="195"/>
      <c r="C944" s="226"/>
      <c r="D944" s="226"/>
      <c r="E944" s="171"/>
      <c r="F944" s="169"/>
      <c r="G944" s="178"/>
      <c r="H944" s="200"/>
    </row>
    <row r="945" spans="1:8" x14ac:dyDescent="0.25">
      <c r="A945" s="133"/>
      <c r="B945" s="195"/>
      <c r="C945" s="226"/>
      <c r="D945" s="226"/>
      <c r="E945" s="171"/>
      <c r="F945" s="169"/>
      <c r="G945" s="178"/>
      <c r="H945" s="200"/>
    </row>
    <row r="946" spans="1:8" x14ac:dyDescent="0.25">
      <c r="A946" s="133"/>
      <c r="B946" s="195"/>
      <c r="C946" s="232"/>
      <c r="D946" s="232"/>
      <c r="E946" s="232"/>
      <c r="F946" s="226"/>
      <c r="G946" s="229"/>
      <c r="H946" s="200"/>
    </row>
    <row r="947" spans="1:8" x14ac:dyDescent="0.25">
      <c r="A947" s="133"/>
      <c r="B947" s="195"/>
      <c r="C947" s="232"/>
      <c r="D947" s="232"/>
      <c r="E947" s="232"/>
      <c r="F947" s="226"/>
      <c r="G947" s="229"/>
      <c r="H947" s="200"/>
    </row>
    <row r="948" spans="1:8" x14ac:dyDescent="0.25">
      <c r="A948" s="133"/>
      <c r="B948" s="195"/>
      <c r="C948" s="232"/>
      <c r="D948" s="232"/>
      <c r="E948" s="232"/>
      <c r="F948" s="226"/>
      <c r="G948" s="229"/>
      <c r="H948" s="200"/>
    </row>
    <row r="949" spans="1:8" ht="15.75" thickBot="1" x14ac:dyDescent="0.3">
      <c r="A949" s="133"/>
      <c r="B949" s="195"/>
      <c r="C949" s="232"/>
      <c r="D949" s="232"/>
      <c r="E949" s="232"/>
      <c r="F949" s="226"/>
      <c r="G949" s="229"/>
      <c r="H949" s="200"/>
    </row>
    <row r="950" spans="1:8" ht="15.75" thickBot="1" x14ac:dyDescent="0.3">
      <c r="A950" s="133"/>
      <c r="B950" s="233"/>
      <c r="C950" s="234"/>
      <c r="D950" s="234"/>
      <c r="E950" s="234"/>
      <c r="F950" s="235"/>
      <c r="G950" s="236"/>
      <c r="H950" s="256">
        <f>+SUM(G938:G950)</f>
        <v>2.6732989898685968</v>
      </c>
    </row>
    <row r="951" spans="1:8" ht="15.75" thickBot="1" x14ac:dyDescent="0.3">
      <c r="A951" s="133"/>
      <c r="B951" s="238"/>
      <c r="C951" s="238"/>
      <c r="D951" s="238"/>
      <c r="E951" s="238"/>
      <c r="F951" s="239"/>
      <c r="G951" s="240"/>
      <c r="H951" s="241"/>
    </row>
    <row r="952" spans="1:8" ht="15.75" thickBot="1" x14ac:dyDescent="0.3">
      <c r="A952" s="133"/>
      <c r="B952" s="224" t="s">
        <v>5410</v>
      </c>
      <c r="C952" s="193" t="s">
        <v>867</v>
      </c>
      <c r="D952" s="193" t="s">
        <v>6</v>
      </c>
      <c r="E952" s="193" t="s">
        <v>870</v>
      </c>
      <c r="F952" s="193" t="s">
        <v>5411</v>
      </c>
      <c r="G952" s="225" t="s">
        <v>868</v>
      </c>
      <c r="H952" s="200"/>
    </row>
    <row r="953" spans="1:8" x14ac:dyDescent="0.25">
      <c r="A953" s="133"/>
      <c r="B953" s="245"/>
      <c r="C953" s="202"/>
      <c r="D953" s="202"/>
      <c r="E953" s="175"/>
      <c r="F953" s="202"/>
      <c r="G953" s="203"/>
      <c r="H953" s="246"/>
    </row>
    <row r="954" spans="1:8" x14ac:dyDescent="0.25">
      <c r="A954" s="133"/>
      <c r="B954" s="247"/>
      <c r="C954" s="248"/>
      <c r="D954" s="248"/>
      <c r="E954" s="248"/>
      <c r="F954" s="202"/>
      <c r="G954" s="178"/>
      <c r="H954" s="200"/>
    </row>
    <row r="955" spans="1:8" x14ac:dyDescent="0.25">
      <c r="A955" s="133"/>
      <c r="B955" s="247"/>
      <c r="C955" s="232"/>
      <c r="D955" s="232"/>
      <c r="E955" s="232"/>
      <c r="F955" s="226"/>
      <c r="G955" s="229"/>
      <c r="H955" s="200"/>
    </row>
    <row r="956" spans="1:8" x14ac:dyDescent="0.25">
      <c r="A956" s="133"/>
      <c r="B956" s="194"/>
      <c r="C956" s="232"/>
      <c r="D956" s="232"/>
      <c r="E956" s="232"/>
      <c r="F956" s="226"/>
      <c r="G956" s="229"/>
      <c r="H956" s="200"/>
    </row>
    <row r="957" spans="1:8" ht="15.75" thickBot="1" x14ac:dyDescent="0.3">
      <c r="A957" s="133"/>
      <c r="B957" s="195"/>
      <c r="C957" s="232"/>
      <c r="D957" s="232"/>
      <c r="E957" s="232"/>
      <c r="F957" s="226"/>
      <c r="G957" s="229"/>
      <c r="H957" s="200"/>
    </row>
    <row r="958" spans="1:8" ht="15.75" thickBot="1" x14ac:dyDescent="0.3">
      <c r="A958" s="133"/>
      <c r="B958" s="233"/>
      <c r="C958" s="234"/>
      <c r="D958" s="234"/>
      <c r="E958" s="234"/>
      <c r="F958" s="235"/>
      <c r="G958" s="236"/>
      <c r="H958" s="237">
        <f>+SUM(G953:G958)</f>
        <v>0</v>
      </c>
    </row>
    <row r="959" spans="1:8" ht="15.75" thickBot="1" x14ac:dyDescent="0.3">
      <c r="A959" s="133"/>
      <c r="B959" s="238"/>
      <c r="C959" s="238"/>
      <c r="D959" s="238"/>
      <c r="E959" s="238"/>
      <c r="F959" s="249"/>
      <c r="G959" s="250"/>
      <c r="H959" s="241"/>
    </row>
    <row r="960" spans="1:8" ht="15.75" thickBot="1" x14ac:dyDescent="0.3">
      <c r="A960" s="133"/>
      <c r="B960" s="224" t="s">
        <v>5412</v>
      </c>
      <c r="C960" s="193" t="s">
        <v>5420</v>
      </c>
      <c r="D960" s="193" t="s">
        <v>5421</v>
      </c>
      <c r="E960" s="193" t="s">
        <v>5413</v>
      </c>
      <c r="F960" s="193" t="s">
        <v>5405</v>
      </c>
      <c r="G960" s="225" t="s">
        <v>868</v>
      </c>
      <c r="H960" s="200"/>
    </row>
    <row r="961" spans="1:8" x14ac:dyDescent="0.25">
      <c r="A961" s="133"/>
      <c r="B961" s="194" t="s">
        <v>5948</v>
      </c>
      <c r="C961" s="345">
        <v>70000</v>
      </c>
      <c r="D961" s="176">
        <f>+C961*0.85</f>
        <v>59500</v>
      </c>
      <c r="E961" s="176">
        <f>+C961+D961</f>
        <v>129500</v>
      </c>
      <c r="F961" s="204">
        <v>1500</v>
      </c>
      <c r="G961" s="178">
        <f>+E961/F961</f>
        <v>86.333333333333329</v>
      </c>
      <c r="H961" s="200"/>
    </row>
    <row r="962" spans="1:8" x14ac:dyDescent="0.25">
      <c r="A962" s="133"/>
      <c r="B962" s="194" t="s">
        <v>5651</v>
      </c>
      <c r="C962" s="345">
        <v>40000</v>
      </c>
      <c r="D962" s="176">
        <f>+C962*0.85</f>
        <v>34000</v>
      </c>
      <c r="E962" s="176">
        <f>+C962+D962</f>
        <v>74000</v>
      </c>
      <c r="F962" s="202">
        <v>150</v>
      </c>
      <c r="G962" s="178">
        <f>+E962/F962</f>
        <v>493.33333333333331</v>
      </c>
      <c r="H962" s="200"/>
    </row>
    <row r="963" spans="1:8" x14ac:dyDescent="0.25">
      <c r="A963" s="133"/>
      <c r="B963" s="195" t="s">
        <v>5635</v>
      </c>
      <c r="C963" s="345">
        <v>20600</v>
      </c>
      <c r="D963" s="176">
        <f>+C963*0.85</f>
        <v>17510</v>
      </c>
      <c r="E963" s="176">
        <f>+C963+D963</f>
        <v>38110</v>
      </c>
      <c r="F963" s="226">
        <v>150</v>
      </c>
      <c r="G963" s="178">
        <f>+E963/F963</f>
        <v>254.06666666666666</v>
      </c>
      <c r="H963" s="200"/>
    </row>
    <row r="964" spans="1:8" x14ac:dyDescent="0.25">
      <c r="A964" s="133"/>
      <c r="B964" s="195"/>
      <c r="C964" s="171"/>
      <c r="D964" s="176"/>
      <c r="E964" s="176"/>
      <c r="F964" s="226"/>
      <c r="G964" s="178"/>
      <c r="H964" s="200"/>
    </row>
    <row r="965" spans="1:8" x14ac:dyDescent="0.25">
      <c r="A965" s="133"/>
      <c r="B965" s="195"/>
      <c r="C965" s="232"/>
      <c r="D965" s="232"/>
      <c r="E965" s="232"/>
      <c r="F965" s="226"/>
      <c r="G965" s="229"/>
      <c r="H965" s="200"/>
    </row>
    <row r="966" spans="1:8" ht="15.75" thickBot="1" x14ac:dyDescent="0.3">
      <c r="A966" s="133"/>
      <c r="B966" s="195"/>
      <c r="C966" s="232"/>
      <c r="D966" s="232"/>
      <c r="E966" s="232"/>
      <c r="F966" s="226"/>
      <c r="G966" s="229"/>
      <c r="H966" s="200"/>
    </row>
    <row r="967" spans="1:8" ht="15.75" thickBot="1" x14ac:dyDescent="0.3">
      <c r="A967" s="133"/>
      <c r="B967" s="251"/>
      <c r="C967" s="252"/>
      <c r="D967" s="252"/>
      <c r="E967" s="252"/>
      <c r="F967" s="253"/>
      <c r="G967" s="254"/>
      <c r="H967" s="256">
        <f>+SUM(G961:G967)</f>
        <v>833.73333333333335</v>
      </c>
    </row>
    <row r="968" spans="1:8" ht="15.75" thickBot="1" x14ac:dyDescent="0.3">
      <c r="A968" s="133"/>
      <c r="B968" s="8"/>
      <c r="C968" s="8"/>
      <c r="D968" s="8"/>
      <c r="E968" s="8"/>
      <c r="F968" s="133"/>
      <c r="G968" s="200"/>
      <c r="H968" s="200"/>
    </row>
    <row r="969" spans="1:8" ht="15.75" thickBot="1" x14ac:dyDescent="0.3">
      <c r="A969" s="133"/>
      <c r="B969" s="8"/>
      <c r="C969" s="8"/>
      <c r="D969" s="8"/>
      <c r="E969" s="223" t="s">
        <v>5415</v>
      </c>
      <c r="F969" s="133"/>
      <c r="G969" s="200"/>
      <c r="H969" s="256">
        <f>ROUND(+H967+H958+H950+H935,0)</f>
        <v>1920</v>
      </c>
    </row>
    <row r="973" spans="1:8" x14ac:dyDescent="0.25">
      <c r="A973" s="255"/>
    </row>
    <row r="974" spans="1:8" ht="18.75" x14ac:dyDescent="0.25">
      <c r="A974" s="133"/>
      <c r="B974" s="2506" t="s">
        <v>5400</v>
      </c>
      <c r="C974" s="2506"/>
      <c r="D974" s="2506"/>
      <c r="E974" s="2506"/>
      <c r="F974" s="2506"/>
      <c r="G974" s="2506"/>
      <c r="H974" s="8"/>
    </row>
    <row r="975" spans="1:8" x14ac:dyDescent="0.25">
      <c r="A975" s="133"/>
      <c r="B975" s="8"/>
      <c r="C975" s="8"/>
      <c r="D975" s="8"/>
      <c r="E975" s="8"/>
      <c r="F975" s="133"/>
      <c r="G975" s="200"/>
      <c r="H975" s="200"/>
    </row>
    <row r="976" spans="1:8" x14ac:dyDescent="0.25">
      <c r="A976" s="133"/>
      <c r="B976" s="8"/>
      <c r="C976" s="8"/>
      <c r="D976" s="8"/>
      <c r="E976" s="8"/>
      <c r="F976" s="133"/>
      <c r="G976" s="200"/>
      <c r="H976" s="200"/>
    </row>
    <row r="977" spans="1:8" x14ac:dyDescent="0.25">
      <c r="A977" s="133"/>
      <c r="B977" s="8"/>
      <c r="C977" s="8"/>
      <c r="D977" s="8"/>
      <c r="E977" s="8"/>
      <c r="F977" s="133"/>
      <c r="G977" s="200"/>
      <c r="H977" s="200"/>
    </row>
    <row r="978" spans="1:8" ht="24.95" customHeight="1" x14ac:dyDescent="0.25">
      <c r="A978" s="220" t="s">
        <v>5482</v>
      </c>
      <c r="B978" s="221" t="s">
        <v>297</v>
      </c>
      <c r="C978" s="2449" t="s">
        <v>5499</v>
      </c>
      <c r="D978" s="2449"/>
      <c r="E978" s="2449"/>
      <c r="F978" s="220" t="s">
        <v>867</v>
      </c>
      <c r="G978" s="222" t="s">
        <v>5402</v>
      </c>
      <c r="H978" s="200"/>
    </row>
    <row r="979" spans="1:8" x14ac:dyDescent="0.25">
      <c r="A979" s="133"/>
      <c r="B979" s="8"/>
      <c r="C979" s="223"/>
      <c r="D979" s="223"/>
      <c r="E979" s="223"/>
      <c r="F979" s="133"/>
      <c r="G979" s="200"/>
      <c r="H979" s="200"/>
    </row>
    <row r="980" spans="1:8" x14ac:dyDescent="0.25">
      <c r="A980" s="133"/>
      <c r="B980" s="8"/>
      <c r="C980" s="8"/>
      <c r="D980" s="8"/>
      <c r="E980" s="8"/>
      <c r="F980" s="8"/>
      <c r="G980" s="8"/>
      <c r="H980" s="200"/>
    </row>
    <row r="981" spans="1:8" ht="15.75" thickBot="1" x14ac:dyDescent="0.3">
      <c r="A981" s="133"/>
      <c r="B981" s="8"/>
      <c r="C981" s="8"/>
      <c r="D981" s="8"/>
      <c r="E981" s="8"/>
      <c r="F981" s="133"/>
      <c r="G981" s="200"/>
      <c r="H981" s="200"/>
    </row>
    <row r="982" spans="1:8" ht="15.75" thickBot="1" x14ac:dyDescent="0.3">
      <c r="A982" s="133"/>
      <c r="B982" s="224" t="s">
        <v>5403</v>
      </c>
      <c r="C982" s="193" t="s">
        <v>867</v>
      </c>
      <c r="D982" s="193" t="s">
        <v>6</v>
      </c>
      <c r="E982" s="193" t="s">
        <v>5439</v>
      </c>
      <c r="F982" s="193" t="s">
        <v>5405</v>
      </c>
      <c r="G982" s="225" t="s">
        <v>868</v>
      </c>
      <c r="H982" s="200"/>
    </row>
    <row r="983" spans="1:8" x14ac:dyDescent="0.25">
      <c r="A983" s="133"/>
      <c r="B983" s="195" t="s">
        <v>5440</v>
      </c>
      <c r="C983" s="226" t="s">
        <v>5402</v>
      </c>
      <c r="D983" s="226">
        <v>1</v>
      </c>
      <c r="E983" s="227">
        <f>+H1021</f>
        <v>1207.4333333333334</v>
      </c>
      <c r="F983" s="226">
        <v>0.1</v>
      </c>
      <c r="G983" s="229">
        <f>+E983*F983</f>
        <v>120.74333333333334</v>
      </c>
      <c r="H983" s="200"/>
    </row>
    <row r="984" spans="1:8" x14ac:dyDescent="0.25">
      <c r="A984" s="133"/>
      <c r="B984" s="195" t="s">
        <v>6048</v>
      </c>
      <c r="C984" s="226" t="s">
        <v>5402</v>
      </c>
      <c r="D984" s="226">
        <v>1</v>
      </c>
      <c r="E984" s="449">
        <v>50000</v>
      </c>
      <c r="F984" s="226">
        <v>0.02</v>
      </c>
      <c r="G984" s="229">
        <f>+E984*F984</f>
        <v>1000</v>
      </c>
      <c r="H984" s="200"/>
    </row>
    <row r="985" spans="1:8" x14ac:dyDescent="0.25">
      <c r="A985" s="133"/>
      <c r="B985" s="195"/>
      <c r="C985" s="226"/>
      <c r="D985" s="226"/>
      <c r="E985" s="176"/>
      <c r="F985" s="226"/>
      <c r="G985" s="229"/>
      <c r="H985" s="200"/>
    </row>
    <row r="986" spans="1:8" x14ac:dyDescent="0.25">
      <c r="A986" s="133"/>
      <c r="B986" s="195"/>
      <c r="C986" s="226"/>
      <c r="D986" s="226"/>
      <c r="E986" s="171"/>
      <c r="F986" s="226"/>
      <c r="G986" s="231"/>
      <c r="H986" s="200"/>
    </row>
    <row r="987" spans="1:8" x14ac:dyDescent="0.25">
      <c r="A987" s="133"/>
      <c r="B987" s="195"/>
      <c r="C987" s="226"/>
      <c r="D987" s="232"/>
      <c r="E987" s="232"/>
      <c r="F987" s="226"/>
      <c r="G987" s="229"/>
      <c r="H987" s="200"/>
    </row>
    <row r="988" spans="1:8" ht="15.75" thickBot="1" x14ac:dyDescent="0.3">
      <c r="A988" s="133"/>
      <c r="B988" s="195"/>
      <c r="C988" s="226"/>
      <c r="D988" s="232"/>
      <c r="E988" s="232"/>
      <c r="F988" s="226"/>
      <c r="G988" s="229"/>
      <c r="H988" s="200"/>
    </row>
    <row r="989" spans="1:8" ht="15.75" thickBot="1" x14ac:dyDescent="0.3">
      <c r="A989" s="133"/>
      <c r="B989" s="233"/>
      <c r="C989" s="234"/>
      <c r="D989" s="234"/>
      <c r="E989" s="234"/>
      <c r="F989" s="235"/>
      <c r="G989" s="236"/>
      <c r="H989" s="237">
        <f>+SUM(G983:G989)</f>
        <v>1120.7433333333333</v>
      </c>
    </row>
    <row r="990" spans="1:8" ht="15.75" thickBot="1" x14ac:dyDescent="0.3">
      <c r="A990" s="133"/>
      <c r="B990" s="238"/>
      <c r="C990" s="238"/>
      <c r="D990" s="238"/>
      <c r="E990" s="238"/>
      <c r="F990" s="239"/>
      <c r="G990" s="240"/>
      <c r="H990" s="241"/>
    </row>
    <row r="991" spans="1:8" ht="15.75" thickBot="1" x14ac:dyDescent="0.3">
      <c r="A991" s="133"/>
      <c r="B991" s="224" t="s">
        <v>5408</v>
      </c>
      <c r="C991" s="193" t="s">
        <v>867</v>
      </c>
      <c r="D991" s="193" t="s">
        <v>6</v>
      </c>
      <c r="E991" s="193" t="s">
        <v>870</v>
      </c>
      <c r="F991" s="193" t="s">
        <v>5409</v>
      </c>
      <c r="G991" s="225" t="s">
        <v>868</v>
      </c>
      <c r="H991" s="200"/>
    </row>
    <row r="992" spans="1:8" x14ac:dyDescent="0.25">
      <c r="A992" s="133"/>
      <c r="B992" s="295" t="s">
        <v>5553</v>
      </c>
      <c r="C992" s="202" t="s">
        <v>5488</v>
      </c>
      <c r="D992" s="226">
        <f>+PI()*0.015^2*1000</f>
        <v>0.70685834705770345</v>
      </c>
      <c r="E992" s="244">
        <v>5</v>
      </c>
      <c r="F992" s="169">
        <v>0.1</v>
      </c>
      <c r="G992" s="451">
        <f>+D992*E992*(1+F992)</f>
        <v>3.8877209088173692</v>
      </c>
      <c r="H992" s="200"/>
    </row>
    <row r="993" spans="1:8" x14ac:dyDescent="0.25">
      <c r="A993" s="133"/>
      <c r="B993" s="450" t="s">
        <v>5755</v>
      </c>
      <c r="C993" s="202" t="s">
        <v>5487</v>
      </c>
      <c r="D993" s="226">
        <f>+D939*D992/D938</f>
        <v>29.555999999999994</v>
      </c>
      <c r="E993" s="257">
        <v>0.65</v>
      </c>
      <c r="F993" s="169">
        <v>0.05</v>
      </c>
      <c r="G993" s="294">
        <f>+D993*E993*(1+F993)</f>
        <v>20.171969999999998</v>
      </c>
      <c r="H993" s="200"/>
    </row>
    <row r="994" spans="1:8" x14ac:dyDescent="0.25">
      <c r="A994" s="133"/>
      <c r="B994" s="260"/>
      <c r="C994" s="226"/>
      <c r="D994" s="226"/>
      <c r="E994" s="244"/>
      <c r="F994" s="169"/>
      <c r="G994" s="178">
        <f>+D994*E994*(1+F994)</f>
        <v>0</v>
      </c>
      <c r="H994" s="200"/>
    </row>
    <row r="995" spans="1:8" x14ac:dyDescent="0.25">
      <c r="A995" s="133"/>
      <c r="B995" s="260"/>
      <c r="C995" s="226"/>
      <c r="D995" s="226"/>
      <c r="E995" s="171"/>
      <c r="F995" s="169"/>
      <c r="G995" s="178">
        <f>+D995*E995*(1+F995)</f>
        <v>0</v>
      </c>
      <c r="H995" s="200"/>
    </row>
    <row r="996" spans="1:8" x14ac:dyDescent="0.25">
      <c r="A996" s="133"/>
      <c r="B996" s="195"/>
      <c r="C996" s="226"/>
      <c r="D996" s="226"/>
      <c r="E996" s="171"/>
      <c r="F996" s="169"/>
      <c r="G996" s="178"/>
      <c r="H996" s="200"/>
    </row>
    <row r="997" spans="1:8" x14ac:dyDescent="0.25">
      <c r="A997" s="133"/>
      <c r="B997" s="194"/>
      <c r="C997" s="202"/>
      <c r="D997" s="202"/>
      <c r="E997" s="171"/>
      <c r="F997" s="169"/>
      <c r="G997" s="178"/>
      <c r="H997" s="200"/>
    </row>
    <row r="998" spans="1:8" x14ac:dyDescent="0.25">
      <c r="A998" s="133"/>
      <c r="B998" s="195"/>
      <c r="C998" s="226"/>
      <c r="D998" s="226"/>
      <c r="E998" s="171"/>
      <c r="F998" s="169"/>
      <c r="G998" s="178"/>
      <c r="H998" s="200"/>
    </row>
    <row r="999" spans="1:8" x14ac:dyDescent="0.25">
      <c r="A999" s="133"/>
      <c r="B999" s="195"/>
      <c r="C999" s="226"/>
      <c r="D999" s="226"/>
      <c r="E999" s="171"/>
      <c r="F999" s="169"/>
      <c r="G999" s="178"/>
      <c r="H999" s="200"/>
    </row>
    <row r="1000" spans="1:8" x14ac:dyDescent="0.25">
      <c r="A1000" s="133"/>
      <c r="B1000" s="195"/>
      <c r="C1000" s="232"/>
      <c r="D1000" s="232"/>
      <c r="E1000" s="232"/>
      <c r="F1000" s="226"/>
      <c r="G1000" s="229"/>
      <c r="H1000" s="200"/>
    </row>
    <row r="1001" spans="1:8" x14ac:dyDescent="0.25">
      <c r="A1001" s="133"/>
      <c r="B1001" s="195"/>
      <c r="C1001" s="232"/>
      <c r="D1001" s="232"/>
      <c r="E1001" s="232"/>
      <c r="F1001" s="226"/>
      <c r="G1001" s="229"/>
      <c r="H1001" s="200"/>
    </row>
    <row r="1002" spans="1:8" x14ac:dyDescent="0.25">
      <c r="A1002" s="133"/>
      <c r="B1002" s="195"/>
      <c r="C1002" s="232"/>
      <c r="D1002" s="232"/>
      <c r="E1002" s="232"/>
      <c r="F1002" s="226"/>
      <c r="G1002" s="229"/>
      <c r="H1002" s="200"/>
    </row>
    <row r="1003" spans="1:8" ht="15.75" thickBot="1" x14ac:dyDescent="0.3">
      <c r="A1003" s="133"/>
      <c r="B1003" s="195"/>
      <c r="C1003" s="232"/>
      <c r="D1003" s="232"/>
      <c r="E1003" s="232"/>
      <c r="F1003" s="226"/>
      <c r="G1003" s="229"/>
      <c r="H1003" s="200"/>
    </row>
    <row r="1004" spans="1:8" ht="15.75" thickBot="1" x14ac:dyDescent="0.3">
      <c r="A1004" s="133"/>
      <c r="B1004" s="233"/>
      <c r="C1004" s="234"/>
      <c r="D1004" s="234"/>
      <c r="E1004" s="234"/>
      <c r="F1004" s="235"/>
      <c r="G1004" s="236"/>
      <c r="H1004" s="256">
        <f>+SUM(G992:G1004)</f>
        <v>24.059690908817366</v>
      </c>
    </row>
    <row r="1005" spans="1:8" ht="15.75" thickBot="1" x14ac:dyDescent="0.3">
      <c r="A1005" s="133"/>
      <c r="B1005" s="238"/>
      <c r="C1005" s="238"/>
      <c r="D1005" s="238"/>
      <c r="E1005" s="238"/>
      <c r="F1005" s="239"/>
      <c r="G1005" s="240"/>
      <c r="H1005" s="241"/>
    </row>
    <row r="1006" spans="1:8" ht="15.75" thickBot="1" x14ac:dyDescent="0.3">
      <c r="A1006" s="133"/>
      <c r="B1006" s="224" t="s">
        <v>5410</v>
      </c>
      <c r="C1006" s="193" t="s">
        <v>867</v>
      </c>
      <c r="D1006" s="193" t="s">
        <v>6</v>
      </c>
      <c r="E1006" s="193" t="s">
        <v>870</v>
      </c>
      <c r="F1006" s="193" t="s">
        <v>5411</v>
      </c>
      <c r="G1006" s="225" t="s">
        <v>868</v>
      </c>
      <c r="H1006" s="200"/>
    </row>
    <row r="1007" spans="1:8" x14ac:dyDescent="0.25">
      <c r="A1007" s="133"/>
      <c r="B1007" s="245"/>
      <c r="C1007" s="202"/>
      <c r="D1007" s="202"/>
      <c r="E1007" s="175"/>
      <c r="F1007" s="202"/>
      <c r="G1007" s="203"/>
      <c r="H1007" s="246"/>
    </row>
    <row r="1008" spans="1:8" x14ac:dyDescent="0.25">
      <c r="A1008" s="133"/>
      <c r="B1008" s="247"/>
      <c r="C1008" s="248"/>
      <c r="D1008" s="248"/>
      <c r="E1008" s="248"/>
      <c r="F1008" s="202"/>
      <c r="G1008" s="178"/>
      <c r="H1008" s="200"/>
    </row>
    <row r="1009" spans="1:8" x14ac:dyDescent="0.25">
      <c r="A1009" s="133"/>
      <c r="B1009" s="247"/>
      <c r="C1009" s="232"/>
      <c r="D1009" s="232"/>
      <c r="E1009" s="232"/>
      <c r="F1009" s="226"/>
      <c r="G1009" s="229"/>
      <c r="H1009" s="200"/>
    </row>
    <row r="1010" spans="1:8" x14ac:dyDescent="0.25">
      <c r="A1010" s="133"/>
      <c r="B1010" s="194"/>
      <c r="C1010" s="232"/>
      <c r="D1010" s="232"/>
      <c r="E1010" s="232"/>
      <c r="F1010" s="226"/>
      <c r="G1010" s="229"/>
      <c r="H1010" s="200"/>
    </row>
    <row r="1011" spans="1:8" ht="15.75" thickBot="1" x14ac:dyDescent="0.3">
      <c r="A1011" s="133"/>
      <c r="B1011" s="195"/>
      <c r="C1011" s="232"/>
      <c r="D1011" s="232"/>
      <c r="E1011" s="232"/>
      <c r="F1011" s="226"/>
      <c r="G1011" s="229"/>
      <c r="H1011" s="200"/>
    </row>
    <row r="1012" spans="1:8" ht="15.75" thickBot="1" x14ac:dyDescent="0.3">
      <c r="A1012" s="133"/>
      <c r="B1012" s="233"/>
      <c r="C1012" s="234"/>
      <c r="D1012" s="234"/>
      <c r="E1012" s="234"/>
      <c r="F1012" s="235"/>
      <c r="G1012" s="236"/>
      <c r="H1012" s="237">
        <f>+SUM(G1007:G1012)</f>
        <v>0</v>
      </c>
    </row>
    <row r="1013" spans="1:8" ht="15.75" thickBot="1" x14ac:dyDescent="0.3">
      <c r="A1013" s="133"/>
      <c r="B1013" s="238"/>
      <c r="C1013" s="238"/>
      <c r="D1013" s="238"/>
      <c r="E1013" s="238"/>
      <c r="F1013" s="249"/>
      <c r="G1013" s="250"/>
      <c r="H1013" s="241"/>
    </row>
    <row r="1014" spans="1:8" ht="15.75" thickBot="1" x14ac:dyDescent="0.3">
      <c r="A1014" s="133"/>
      <c r="B1014" s="224" t="s">
        <v>5412</v>
      </c>
      <c r="C1014" s="193" t="s">
        <v>5420</v>
      </c>
      <c r="D1014" s="193" t="s">
        <v>5421</v>
      </c>
      <c r="E1014" s="193" t="s">
        <v>5413</v>
      </c>
      <c r="F1014" s="193" t="s">
        <v>5405</v>
      </c>
      <c r="G1014" s="225" t="s">
        <v>868</v>
      </c>
      <c r="H1014" s="200"/>
    </row>
    <row r="1015" spans="1:8" x14ac:dyDescent="0.25">
      <c r="A1015" s="133"/>
      <c r="B1015" s="194" t="s">
        <v>5948</v>
      </c>
      <c r="C1015" s="345">
        <v>70000</v>
      </c>
      <c r="D1015" s="176">
        <f>+C1015*0.85</f>
        <v>59500</v>
      </c>
      <c r="E1015" s="176">
        <f>+C1015+D1015</f>
        <v>129500</v>
      </c>
      <c r="F1015" s="204">
        <v>1500</v>
      </c>
      <c r="G1015" s="178">
        <f>+E1015/F1015</f>
        <v>86.333333333333329</v>
      </c>
      <c r="H1015" s="200"/>
    </row>
    <row r="1016" spans="1:8" x14ac:dyDescent="0.25">
      <c r="A1016" s="133"/>
      <c r="B1016" s="194" t="s">
        <v>5651</v>
      </c>
      <c r="C1016" s="345">
        <v>40000</v>
      </c>
      <c r="D1016" s="176">
        <f>+C1016*0.85</f>
        <v>34000</v>
      </c>
      <c r="E1016" s="176">
        <f>+C1016+D1016</f>
        <v>74000</v>
      </c>
      <c r="F1016" s="202">
        <v>100</v>
      </c>
      <c r="G1016" s="178">
        <f>+E1016/F1016</f>
        <v>740</v>
      </c>
      <c r="H1016" s="200"/>
    </row>
    <row r="1017" spans="1:8" x14ac:dyDescent="0.25">
      <c r="A1017" s="133"/>
      <c r="B1017" s="195" t="s">
        <v>5635</v>
      </c>
      <c r="C1017" s="345">
        <v>20600</v>
      </c>
      <c r="D1017" s="176">
        <f>+C1017*0.85</f>
        <v>17510</v>
      </c>
      <c r="E1017" s="176">
        <f>+C1017+D1017</f>
        <v>38110</v>
      </c>
      <c r="F1017" s="226">
        <v>100</v>
      </c>
      <c r="G1017" s="178">
        <f>+E1017/F1017</f>
        <v>381.1</v>
      </c>
      <c r="H1017" s="200"/>
    </row>
    <row r="1018" spans="1:8" x14ac:dyDescent="0.25">
      <c r="A1018" s="133"/>
      <c r="B1018" s="195"/>
      <c r="C1018" s="171"/>
      <c r="D1018" s="176"/>
      <c r="E1018" s="176"/>
      <c r="F1018" s="226"/>
      <c r="G1018" s="178"/>
      <c r="H1018" s="200"/>
    </row>
    <row r="1019" spans="1:8" x14ac:dyDescent="0.25">
      <c r="A1019" s="133"/>
      <c r="B1019" s="195"/>
      <c r="C1019" s="232"/>
      <c r="D1019" s="232"/>
      <c r="E1019" s="232"/>
      <c r="F1019" s="226"/>
      <c r="G1019" s="229"/>
      <c r="H1019" s="200"/>
    </row>
    <row r="1020" spans="1:8" ht="15.75" thickBot="1" x14ac:dyDescent="0.3">
      <c r="A1020" s="133"/>
      <c r="B1020" s="195"/>
      <c r="C1020" s="232"/>
      <c r="D1020" s="232"/>
      <c r="E1020" s="232"/>
      <c r="F1020" s="226"/>
      <c r="G1020" s="229"/>
      <c r="H1020" s="200"/>
    </row>
    <row r="1021" spans="1:8" ht="15.75" thickBot="1" x14ac:dyDescent="0.3">
      <c r="A1021" s="133"/>
      <c r="B1021" s="251"/>
      <c r="C1021" s="252"/>
      <c r="D1021" s="252"/>
      <c r="E1021" s="252"/>
      <c r="F1021" s="253"/>
      <c r="G1021" s="254"/>
      <c r="H1021" s="256">
        <f>+SUM(G1015:G1021)</f>
        <v>1207.4333333333334</v>
      </c>
    </row>
    <row r="1022" spans="1:8" ht="15.75" thickBot="1" x14ac:dyDescent="0.3">
      <c r="A1022" s="133"/>
      <c r="B1022" s="8"/>
      <c r="C1022" s="8"/>
      <c r="D1022" s="8"/>
      <c r="E1022" s="8"/>
      <c r="F1022" s="133"/>
      <c r="G1022" s="200"/>
      <c r="H1022" s="200"/>
    </row>
    <row r="1023" spans="1:8" ht="15.75" thickBot="1" x14ac:dyDescent="0.3">
      <c r="A1023" s="133"/>
      <c r="B1023" s="8"/>
      <c r="C1023" s="8"/>
      <c r="D1023" s="8"/>
      <c r="E1023" s="223" t="s">
        <v>5415</v>
      </c>
      <c r="F1023" s="133"/>
      <c r="G1023" s="200"/>
      <c r="H1023" s="256">
        <f>ROUND(+H1021+H1012+H1004+H989,0)</f>
        <v>2352</v>
      </c>
    </row>
    <row r="1024" spans="1:8" x14ac:dyDescent="0.25">
      <c r="A1024" s="133"/>
      <c r="B1024" s="8"/>
      <c r="C1024" s="8"/>
      <c r="D1024" s="8"/>
      <c r="E1024" s="223"/>
      <c r="F1024" s="133"/>
      <c r="G1024" s="200"/>
      <c r="H1024" s="261"/>
    </row>
    <row r="1025" spans="1:8" x14ac:dyDescent="0.25">
      <c r="A1025" s="133"/>
      <c r="B1025" s="8"/>
      <c r="C1025" s="8"/>
      <c r="D1025" s="8"/>
      <c r="E1025" s="223"/>
      <c r="F1025" s="133"/>
      <c r="G1025" s="200"/>
      <c r="H1025" s="261"/>
    </row>
    <row r="1027" spans="1:8" x14ac:dyDescent="0.25">
      <c r="A1027" s="255"/>
    </row>
    <row r="1028" spans="1:8" ht="18.75" x14ac:dyDescent="0.25">
      <c r="A1028" s="133"/>
      <c r="B1028" s="2506" t="s">
        <v>5400</v>
      </c>
      <c r="C1028" s="2506"/>
      <c r="D1028" s="2506"/>
      <c r="E1028" s="2506"/>
      <c r="F1028" s="2506"/>
      <c r="G1028" s="2506"/>
      <c r="H1028" s="8"/>
    </row>
    <row r="1029" spans="1:8" ht="18.75" x14ac:dyDescent="0.25">
      <c r="A1029" s="133"/>
      <c r="B1029" s="331"/>
      <c r="C1029" s="331"/>
      <c r="D1029" s="331"/>
      <c r="E1029" s="331"/>
      <c r="F1029" s="331"/>
      <c r="G1029" s="331"/>
      <c r="H1029" s="8"/>
    </row>
    <row r="1030" spans="1:8" x14ac:dyDescent="0.25">
      <c r="A1030" s="133"/>
      <c r="B1030" s="8"/>
      <c r="C1030" s="8"/>
      <c r="D1030" s="8"/>
      <c r="E1030" s="8"/>
      <c r="F1030" s="133"/>
      <c r="G1030" s="200"/>
      <c r="H1030" s="200"/>
    </row>
    <row r="1031" spans="1:8" x14ac:dyDescent="0.25">
      <c r="A1031" s="133"/>
      <c r="B1031" s="8"/>
      <c r="C1031" s="8"/>
      <c r="D1031" s="8"/>
      <c r="E1031" s="8"/>
      <c r="F1031" s="133"/>
      <c r="G1031" s="200"/>
      <c r="H1031" s="200"/>
    </row>
    <row r="1032" spans="1:8" ht="15" customHeight="1" x14ac:dyDescent="0.25">
      <c r="A1032" s="220" t="s">
        <v>5482</v>
      </c>
      <c r="B1032" s="221" t="s">
        <v>298</v>
      </c>
      <c r="C1032" s="2449" t="s">
        <v>5500</v>
      </c>
      <c r="D1032" s="2449"/>
      <c r="E1032" s="2449"/>
      <c r="F1032" s="220" t="s">
        <v>867</v>
      </c>
      <c r="G1032" s="222" t="s">
        <v>5402</v>
      </c>
      <c r="H1032" s="200"/>
    </row>
    <row r="1033" spans="1:8" x14ac:dyDescent="0.25">
      <c r="A1033" s="133"/>
      <c r="B1033" s="8"/>
      <c r="C1033" s="223"/>
      <c r="D1033" s="223"/>
      <c r="E1033" s="223"/>
      <c r="F1033" s="133"/>
      <c r="G1033" s="200"/>
      <c r="H1033" s="200"/>
    </row>
    <row r="1034" spans="1:8" x14ac:dyDescent="0.25">
      <c r="A1034" s="133"/>
      <c r="B1034" s="8"/>
      <c r="C1034" s="8"/>
      <c r="D1034" s="8"/>
      <c r="E1034" s="8"/>
      <c r="F1034" s="8"/>
      <c r="G1034" s="8"/>
      <c r="H1034" s="200"/>
    </row>
    <row r="1035" spans="1:8" ht="15.75" thickBot="1" x14ac:dyDescent="0.3">
      <c r="A1035" s="133"/>
      <c r="B1035" s="8"/>
      <c r="C1035" s="8"/>
      <c r="D1035" s="8"/>
      <c r="E1035" s="8"/>
      <c r="F1035" s="133"/>
      <c r="G1035" s="200"/>
      <c r="H1035" s="200"/>
    </row>
    <row r="1036" spans="1:8" ht="15.75" thickBot="1" x14ac:dyDescent="0.3">
      <c r="A1036" s="133"/>
      <c r="B1036" s="224" t="s">
        <v>5403</v>
      </c>
      <c r="C1036" s="193" t="s">
        <v>867</v>
      </c>
      <c r="D1036" s="193" t="s">
        <v>6</v>
      </c>
      <c r="E1036" s="193" t="s">
        <v>5439</v>
      </c>
      <c r="F1036" s="193" t="s">
        <v>5405</v>
      </c>
      <c r="G1036" s="225" t="s">
        <v>868</v>
      </c>
      <c r="H1036" s="200"/>
    </row>
    <row r="1037" spans="1:8" x14ac:dyDescent="0.25">
      <c r="A1037" s="133"/>
      <c r="B1037" s="195" t="s">
        <v>5440</v>
      </c>
      <c r="C1037" s="226" t="s">
        <v>5402</v>
      </c>
      <c r="D1037" s="226">
        <v>1</v>
      </c>
      <c r="E1037" s="227">
        <f>+H1075</f>
        <v>2328.5333333333333</v>
      </c>
      <c r="F1037" s="226">
        <v>0.1</v>
      </c>
      <c r="G1037" s="229">
        <f>+E1037*F1037</f>
        <v>232.85333333333335</v>
      </c>
      <c r="H1037" s="200"/>
    </row>
    <row r="1038" spans="1:8" x14ac:dyDescent="0.25">
      <c r="A1038" s="133"/>
      <c r="B1038" s="195" t="s">
        <v>6048</v>
      </c>
      <c r="C1038" s="226" t="s">
        <v>5402</v>
      </c>
      <c r="D1038" s="226">
        <v>1</v>
      </c>
      <c r="E1038" s="449">
        <v>50000</v>
      </c>
      <c r="F1038" s="226">
        <v>0.02</v>
      </c>
      <c r="G1038" s="229">
        <f>+E1038*F1038</f>
        <v>1000</v>
      </c>
      <c r="H1038" s="200"/>
    </row>
    <row r="1039" spans="1:8" x14ac:dyDescent="0.25">
      <c r="A1039" s="133"/>
      <c r="B1039" s="195"/>
      <c r="C1039" s="226"/>
      <c r="D1039" s="226"/>
      <c r="E1039" s="176"/>
      <c r="F1039" s="226"/>
      <c r="G1039" s="229"/>
      <c r="H1039" s="200"/>
    </row>
    <row r="1040" spans="1:8" x14ac:dyDescent="0.25">
      <c r="A1040" s="133"/>
      <c r="B1040" s="195"/>
      <c r="C1040" s="226"/>
      <c r="D1040" s="226"/>
      <c r="E1040" s="171"/>
      <c r="F1040" s="226"/>
      <c r="G1040" s="231"/>
      <c r="H1040" s="200"/>
    </row>
    <row r="1041" spans="1:8" x14ac:dyDescent="0.25">
      <c r="A1041" s="133"/>
      <c r="B1041" s="195"/>
      <c r="C1041" s="226"/>
      <c r="D1041" s="232"/>
      <c r="E1041" s="232"/>
      <c r="F1041" s="226"/>
      <c r="G1041" s="229"/>
      <c r="H1041" s="200"/>
    </row>
    <row r="1042" spans="1:8" ht="15.75" thickBot="1" x14ac:dyDescent="0.3">
      <c r="A1042" s="133"/>
      <c r="B1042" s="195"/>
      <c r="C1042" s="226"/>
      <c r="D1042" s="232"/>
      <c r="E1042" s="232"/>
      <c r="F1042" s="226"/>
      <c r="G1042" s="229"/>
      <c r="H1042" s="200"/>
    </row>
    <row r="1043" spans="1:8" ht="15.75" thickBot="1" x14ac:dyDescent="0.3">
      <c r="A1043" s="133"/>
      <c r="B1043" s="233"/>
      <c r="C1043" s="234"/>
      <c r="D1043" s="234"/>
      <c r="E1043" s="234"/>
      <c r="F1043" s="235"/>
      <c r="G1043" s="236"/>
      <c r="H1043" s="237">
        <f>+SUM(G1037:G1043)</f>
        <v>1232.8533333333335</v>
      </c>
    </row>
    <row r="1044" spans="1:8" ht="15.75" thickBot="1" x14ac:dyDescent="0.3">
      <c r="A1044" s="133"/>
      <c r="B1044" s="238"/>
      <c r="C1044" s="238"/>
      <c r="D1044" s="238"/>
      <c r="E1044" s="238"/>
      <c r="F1044" s="239"/>
      <c r="G1044" s="240"/>
      <c r="H1044" s="241"/>
    </row>
    <row r="1045" spans="1:8" ht="15.75" thickBot="1" x14ac:dyDescent="0.3">
      <c r="A1045" s="133"/>
      <c r="B1045" s="224" t="s">
        <v>5408</v>
      </c>
      <c r="C1045" s="193" t="s">
        <v>867</v>
      </c>
      <c r="D1045" s="193" t="s">
        <v>6</v>
      </c>
      <c r="E1045" s="193" t="s">
        <v>870</v>
      </c>
      <c r="F1045" s="193" t="s">
        <v>5409</v>
      </c>
      <c r="G1045" s="225" t="s">
        <v>868</v>
      </c>
      <c r="H1045" s="200"/>
    </row>
    <row r="1046" spans="1:8" x14ac:dyDescent="0.25">
      <c r="A1046" s="133"/>
      <c r="B1046" s="295" t="s">
        <v>5553</v>
      </c>
      <c r="C1046" s="202" t="s">
        <v>5488</v>
      </c>
      <c r="D1046" s="226">
        <f>+PI()*0.0325^2*1000</f>
        <v>3.3183072403542195</v>
      </c>
      <c r="E1046" s="244">
        <v>5</v>
      </c>
      <c r="F1046" s="169">
        <v>0.1</v>
      </c>
      <c r="G1046" s="451">
        <f>+D1046*E1046*(1+F1046)</f>
        <v>18.25068982194821</v>
      </c>
      <c r="H1046" s="200"/>
    </row>
    <row r="1047" spans="1:8" x14ac:dyDescent="0.25">
      <c r="A1047" s="133"/>
      <c r="B1047" s="450" t="s">
        <v>5755</v>
      </c>
      <c r="C1047" s="202" t="s">
        <v>5487</v>
      </c>
      <c r="D1047" s="226">
        <f>+D993*D1046/D992</f>
        <v>138.749</v>
      </c>
      <c r="E1047" s="257">
        <v>0.65</v>
      </c>
      <c r="F1047" s="169">
        <v>0.05</v>
      </c>
      <c r="G1047" s="294">
        <f>+D1047*E1047*(1+F1047)</f>
        <v>94.696192500000009</v>
      </c>
      <c r="H1047" s="200"/>
    </row>
    <row r="1048" spans="1:8" x14ac:dyDescent="0.25">
      <c r="A1048" s="133"/>
      <c r="B1048" s="260"/>
      <c r="C1048" s="226"/>
      <c r="D1048" s="226"/>
      <c r="E1048" s="244"/>
      <c r="F1048" s="169"/>
      <c r="G1048" s="178">
        <f>+D1048*E1048*(1+F1048)</f>
        <v>0</v>
      </c>
      <c r="H1048" s="200"/>
    </row>
    <row r="1049" spans="1:8" x14ac:dyDescent="0.25">
      <c r="A1049" s="133"/>
      <c r="B1049" s="260"/>
      <c r="C1049" s="226"/>
      <c r="D1049" s="226"/>
      <c r="E1049" s="171"/>
      <c r="F1049" s="169"/>
      <c r="G1049" s="178">
        <f>+D1049*E1049*(1+F1049)</f>
        <v>0</v>
      </c>
      <c r="H1049" s="200"/>
    </row>
    <row r="1050" spans="1:8" x14ac:dyDescent="0.25">
      <c r="A1050" s="133"/>
      <c r="B1050" s="195"/>
      <c r="C1050" s="226"/>
      <c r="D1050" s="226"/>
      <c r="E1050" s="171"/>
      <c r="F1050" s="169"/>
      <c r="G1050" s="178"/>
      <c r="H1050" s="200"/>
    </row>
    <row r="1051" spans="1:8" x14ac:dyDescent="0.25">
      <c r="A1051" s="133"/>
      <c r="B1051" s="194"/>
      <c r="C1051" s="202"/>
      <c r="D1051" s="202"/>
      <c r="E1051" s="171"/>
      <c r="F1051" s="169"/>
      <c r="G1051" s="178"/>
      <c r="H1051" s="200"/>
    </row>
    <row r="1052" spans="1:8" x14ac:dyDescent="0.25">
      <c r="A1052" s="133"/>
      <c r="B1052" s="195"/>
      <c r="C1052" s="226"/>
      <c r="D1052" s="226"/>
      <c r="E1052" s="171"/>
      <c r="F1052" s="169"/>
      <c r="G1052" s="178"/>
      <c r="H1052" s="200"/>
    </row>
    <row r="1053" spans="1:8" x14ac:dyDescent="0.25">
      <c r="A1053" s="133"/>
      <c r="B1053" s="195"/>
      <c r="C1053" s="226"/>
      <c r="D1053" s="226"/>
      <c r="E1053" s="171"/>
      <c r="F1053" s="169"/>
      <c r="G1053" s="178"/>
      <c r="H1053" s="200"/>
    </row>
    <row r="1054" spans="1:8" x14ac:dyDescent="0.25">
      <c r="A1054" s="133"/>
      <c r="B1054" s="195"/>
      <c r="C1054" s="232"/>
      <c r="D1054" s="232"/>
      <c r="E1054" s="232"/>
      <c r="F1054" s="226"/>
      <c r="G1054" s="229"/>
      <c r="H1054" s="200"/>
    </row>
    <row r="1055" spans="1:8" x14ac:dyDescent="0.25">
      <c r="A1055" s="133"/>
      <c r="B1055" s="195"/>
      <c r="C1055" s="232"/>
      <c r="D1055" s="232"/>
      <c r="E1055" s="232"/>
      <c r="F1055" s="226"/>
      <c r="G1055" s="229"/>
      <c r="H1055" s="200"/>
    </row>
    <row r="1056" spans="1:8" x14ac:dyDescent="0.25">
      <c r="A1056" s="133"/>
      <c r="B1056" s="195"/>
      <c r="C1056" s="232"/>
      <c r="D1056" s="232"/>
      <c r="E1056" s="232"/>
      <c r="F1056" s="226"/>
      <c r="G1056" s="229"/>
      <c r="H1056" s="200"/>
    </row>
    <row r="1057" spans="1:8" ht="15.75" thickBot="1" x14ac:dyDescent="0.3">
      <c r="A1057" s="133"/>
      <c r="B1057" s="195"/>
      <c r="C1057" s="232"/>
      <c r="D1057" s="232"/>
      <c r="E1057" s="232"/>
      <c r="F1057" s="226"/>
      <c r="G1057" s="229"/>
      <c r="H1057" s="200"/>
    </row>
    <row r="1058" spans="1:8" ht="15.75" thickBot="1" x14ac:dyDescent="0.3">
      <c r="A1058" s="133"/>
      <c r="B1058" s="233"/>
      <c r="C1058" s="234"/>
      <c r="D1058" s="234"/>
      <c r="E1058" s="234"/>
      <c r="F1058" s="235"/>
      <c r="G1058" s="236"/>
      <c r="H1058" s="256">
        <f>+SUM(G1046:G1058)</f>
        <v>112.94688232194822</v>
      </c>
    </row>
    <row r="1059" spans="1:8" ht="15.75" thickBot="1" x14ac:dyDescent="0.3">
      <c r="A1059" s="133"/>
      <c r="B1059" s="238"/>
      <c r="C1059" s="238"/>
      <c r="D1059" s="238"/>
      <c r="E1059" s="238"/>
      <c r="F1059" s="239"/>
      <c r="G1059" s="240"/>
      <c r="H1059" s="241"/>
    </row>
    <row r="1060" spans="1:8" ht="15.75" thickBot="1" x14ac:dyDescent="0.3">
      <c r="A1060" s="133"/>
      <c r="B1060" s="224" t="s">
        <v>5410</v>
      </c>
      <c r="C1060" s="193" t="s">
        <v>867</v>
      </c>
      <c r="D1060" s="193" t="s">
        <v>6</v>
      </c>
      <c r="E1060" s="193" t="s">
        <v>870</v>
      </c>
      <c r="F1060" s="193" t="s">
        <v>5411</v>
      </c>
      <c r="G1060" s="225" t="s">
        <v>868</v>
      </c>
      <c r="H1060" s="200"/>
    </row>
    <row r="1061" spans="1:8" x14ac:dyDescent="0.25">
      <c r="A1061" s="133"/>
      <c r="B1061" s="245"/>
      <c r="C1061" s="202"/>
      <c r="D1061" s="202"/>
      <c r="E1061" s="175"/>
      <c r="F1061" s="202"/>
      <c r="G1061" s="203"/>
      <c r="H1061" s="246"/>
    </row>
    <row r="1062" spans="1:8" x14ac:dyDescent="0.25">
      <c r="A1062" s="133"/>
      <c r="B1062" s="247"/>
      <c r="C1062" s="248"/>
      <c r="D1062" s="248"/>
      <c r="E1062" s="248"/>
      <c r="F1062" s="202"/>
      <c r="G1062" s="178"/>
      <c r="H1062" s="200"/>
    </row>
    <row r="1063" spans="1:8" x14ac:dyDescent="0.25">
      <c r="A1063" s="133"/>
      <c r="B1063" s="247"/>
      <c r="C1063" s="232"/>
      <c r="D1063" s="232"/>
      <c r="E1063" s="232"/>
      <c r="F1063" s="226"/>
      <c r="G1063" s="229"/>
      <c r="H1063" s="200"/>
    </row>
    <row r="1064" spans="1:8" x14ac:dyDescent="0.25">
      <c r="A1064" s="133"/>
      <c r="B1064" s="194"/>
      <c r="C1064" s="232"/>
      <c r="D1064" s="232"/>
      <c r="E1064" s="232"/>
      <c r="F1064" s="226"/>
      <c r="G1064" s="229"/>
      <c r="H1064" s="200"/>
    </row>
    <row r="1065" spans="1:8" ht="15.75" thickBot="1" x14ac:dyDescent="0.3">
      <c r="A1065" s="133"/>
      <c r="B1065" s="195"/>
      <c r="C1065" s="232"/>
      <c r="D1065" s="232"/>
      <c r="E1065" s="232"/>
      <c r="F1065" s="226"/>
      <c r="G1065" s="229"/>
      <c r="H1065" s="200"/>
    </row>
    <row r="1066" spans="1:8" ht="15.75" thickBot="1" x14ac:dyDescent="0.3">
      <c r="A1066" s="133"/>
      <c r="B1066" s="233"/>
      <c r="C1066" s="234"/>
      <c r="D1066" s="234"/>
      <c r="E1066" s="234"/>
      <c r="F1066" s="235"/>
      <c r="G1066" s="236"/>
      <c r="H1066" s="237">
        <f>+SUM(G1061:G1066)</f>
        <v>0</v>
      </c>
    </row>
    <row r="1067" spans="1:8" ht="15.75" thickBot="1" x14ac:dyDescent="0.3">
      <c r="A1067" s="133"/>
      <c r="B1067" s="238"/>
      <c r="C1067" s="238"/>
      <c r="D1067" s="238"/>
      <c r="E1067" s="238"/>
      <c r="F1067" s="249"/>
      <c r="G1067" s="250"/>
      <c r="H1067" s="241"/>
    </row>
    <row r="1068" spans="1:8" ht="15.75" thickBot="1" x14ac:dyDescent="0.3">
      <c r="A1068" s="133"/>
      <c r="B1068" s="224" t="s">
        <v>5412</v>
      </c>
      <c r="C1068" s="193" t="s">
        <v>5420</v>
      </c>
      <c r="D1068" s="193" t="s">
        <v>5421</v>
      </c>
      <c r="E1068" s="193" t="s">
        <v>5413</v>
      </c>
      <c r="F1068" s="193" t="s">
        <v>5405</v>
      </c>
      <c r="G1068" s="225" t="s">
        <v>868</v>
      </c>
      <c r="H1068" s="200"/>
    </row>
    <row r="1069" spans="1:8" x14ac:dyDescent="0.25">
      <c r="A1069" s="133"/>
      <c r="B1069" s="194" t="s">
        <v>5948</v>
      </c>
      <c r="C1069" s="345">
        <v>70000</v>
      </c>
      <c r="D1069" s="176">
        <f>+C1069*0.85</f>
        <v>59500</v>
      </c>
      <c r="E1069" s="176">
        <f>+C1069+D1069</f>
        <v>129500</v>
      </c>
      <c r="F1069" s="204">
        <v>1500</v>
      </c>
      <c r="G1069" s="178">
        <f>+E1069/F1069</f>
        <v>86.333333333333329</v>
      </c>
      <c r="H1069" s="200"/>
    </row>
    <row r="1070" spans="1:8" x14ac:dyDescent="0.25">
      <c r="A1070" s="133"/>
      <c r="B1070" s="194" t="s">
        <v>5651</v>
      </c>
      <c r="C1070" s="345">
        <v>40000</v>
      </c>
      <c r="D1070" s="176">
        <f>+C1070*0.85</f>
        <v>34000</v>
      </c>
      <c r="E1070" s="176">
        <f>+C1070+D1070</f>
        <v>74000</v>
      </c>
      <c r="F1070" s="202">
        <v>50</v>
      </c>
      <c r="G1070" s="178">
        <f>+E1070/F1070</f>
        <v>1480</v>
      </c>
      <c r="H1070" s="200"/>
    </row>
    <row r="1071" spans="1:8" x14ac:dyDescent="0.25">
      <c r="A1071" s="133"/>
      <c r="B1071" s="195" t="s">
        <v>5635</v>
      </c>
      <c r="C1071" s="345">
        <v>20600</v>
      </c>
      <c r="D1071" s="176">
        <f>+C1071*0.85</f>
        <v>17510</v>
      </c>
      <c r="E1071" s="176">
        <f>+C1071+D1071</f>
        <v>38110</v>
      </c>
      <c r="F1071" s="226">
        <v>50</v>
      </c>
      <c r="G1071" s="178">
        <f>+E1071/F1071</f>
        <v>762.2</v>
      </c>
      <c r="H1071" s="200"/>
    </row>
    <row r="1072" spans="1:8" x14ac:dyDescent="0.25">
      <c r="A1072" s="133"/>
      <c r="B1072" s="195"/>
      <c r="C1072" s="171"/>
      <c r="D1072" s="176"/>
      <c r="E1072" s="176"/>
      <c r="F1072" s="226"/>
      <c r="G1072" s="178"/>
      <c r="H1072" s="200"/>
    </row>
    <row r="1073" spans="1:8" x14ac:dyDescent="0.25">
      <c r="A1073" s="133"/>
      <c r="B1073" s="195"/>
      <c r="C1073" s="232"/>
      <c r="D1073" s="232"/>
      <c r="E1073" s="232"/>
      <c r="F1073" s="226"/>
      <c r="G1073" s="229"/>
      <c r="H1073" s="200"/>
    </row>
    <row r="1074" spans="1:8" ht="15.75" thickBot="1" x14ac:dyDescent="0.3">
      <c r="A1074" s="133"/>
      <c r="B1074" s="195"/>
      <c r="C1074" s="232"/>
      <c r="D1074" s="232"/>
      <c r="E1074" s="232"/>
      <c r="F1074" s="226"/>
      <c r="G1074" s="229"/>
      <c r="H1074" s="200"/>
    </row>
    <row r="1075" spans="1:8" ht="15.75" thickBot="1" x14ac:dyDescent="0.3">
      <c r="A1075" s="133"/>
      <c r="B1075" s="251"/>
      <c r="C1075" s="252"/>
      <c r="D1075" s="252"/>
      <c r="E1075" s="252"/>
      <c r="F1075" s="253"/>
      <c r="G1075" s="254"/>
      <c r="H1075" s="256">
        <f>+SUM(G1069:G1075)</f>
        <v>2328.5333333333333</v>
      </c>
    </row>
    <row r="1076" spans="1:8" ht="15.75" thickBot="1" x14ac:dyDescent="0.3">
      <c r="A1076" s="133"/>
      <c r="B1076" s="8"/>
      <c r="C1076" s="8"/>
      <c r="D1076" s="8"/>
      <c r="E1076" s="8"/>
      <c r="F1076" s="133"/>
      <c r="G1076" s="200"/>
      <c r="H1076" s="200"/>
    </row>
    <row r="1077" spans="1:8" ht="15.75" thickBot="1" x14ac:dyDescent="0.3">
      <c r="A1077" s="133"/>
      <c r="B1077" s="8"/>
      <c r="C1077" s="8"/>
      <c r="D1077" s="8"/>
      <c r="E1077" s="223" t="s">
        <v>5415</v>
      </c>
      <c r="F1077" s="133"/>
      <c r="G1077" s="200"/>
      <c r="H1077" s="256">
        <f>ROUND(+H1075+H1066+H1058+H1043,0)</f>
        <v>3674</v>
      </c>
    </row>
    <row r="1082" spans="1:8" ht="18.75" x14ac:dyDescent="0.25">
      <c r="A1082" s="133"/>
      <c r="B1082" s="2506" t="s">
        <v>5400</v>
      </c>
      <c r="C1082" s="2506"/>
      <c r="D1082" s="2506"/>
      <c r="E1082" s="2506"/>
      <c r="F1082" s="2506"/>
      <c r="G1082" s="2506"/>
      <c r="H1082" s="8"/>
    </row>
    <row r="1083" spans="1:8" ht="18.75" x14ac:dyDescent="0.25">
      <c r="A1083" s="133"/>
      <c r="B1083" s="331"/>
      <c r="C1083" s="331"/>
      <c r="D1083" s="331"/>
      <c r="E1083" s="331"/>
      <c r="F1083" s="331"/>
      <c r="G1083" s="331"/>
      <c r="H1083" s="8"/>
    </row>
    <row r="1084" spans="1:8" x14ac:dyDescent="0.25">
      <c r="A1084" s="133"/>
      <c r="B1084" s="8"/>
      <c r="C1084" s="8"/>
      <c r="D1084" s="8"/>
      <c r="E1084" s="8"/>
      <c r="F1084" s="133"/>
      <c r="G1084" s="200"/>
      <c r="H1084" s="200"/>
    </row>
    <row r="1085" spans="1:8" x14ac:dyDescent="0.25">
      <c r="A1085" s="133"/>
      <c r="B1085" s="8"/>
      <c r="C1085" s="8"/>
      <c r="D1085" s="8"/>
      <c r="E1085" s="8"/>
      <c r="F1085" s="133"/>
      <c r="G1085" s="200"/>
      <c r="H1085" s="200"/>
    </row>
    <row r="1086" spans="1:8" ht="24.95" customHeight="1" x14ac:dyDescent="0.25">
      <c r="A1086" s="220" t="s">
        <v>5482</v>
      </c>
      <c r="B1086" s="221" t="s">
        <v>299</v>
      </c>
      <c r="C1086" s="2449" t="s">
        <v>5501</v>
      </c>
      <c r="D1086" s="2449"/>
      <c r="E1086" s="2449"/>
      <c r="F1086" s="220" t="s">
        <v>867</v>
      </c>
      <c r="G1086" s="222" t="s">
        <v>5402</v>
      </c>
      <c r="H1086" s="200"/>
    </row>
    <row r="1087" spans="1:8" x14ac:dyDescent="0.25">
      <c r="A1087" s="133"/>
      <c r="B1087" s="8"/>
      <c r="C1087" s="223"/>
      <c r="D1087" s="223"/>
      <c r="E1087" s="223"/>
      <c r="F1087" s="133"/>
      <c r="G1087" s="200"/>
      <c r="H1087" s="200"/>
    </row>
    <row r="1088" spans="1:8" x14ac:dyDescent="0.25">
      <c r="A1088" s="133"/>
      <c r="B1088" s="8"/>
      <c r="C1088" s="8"/>
      <c r="D1088" s="8"/>
      <c r="E1088" s="8"/>
      <c r="F1088" s="8"/>
      <c r="G1088" s="8"/>
      <c r="H1088" s="200"/>
    </row>
    <row r="1089" spans="1:8" ht="15.75" thickBot="1" x14ac:dyDescent="0.3">
      <c r="A1089" s="133"/>
      <c r="B1089" s="8"/>
      <c r="C1089" s="8"/>
      <c r="D1089" s="8"/>
      <c r="E1089" s="8"/>
      <c r="F1089" s="133"/>
      <c r="G1089" s="200"/>
      <c r="H1089" s="200"/>
    </row>
    <row r="1090" spans="1:8" ht="15.75" thickBot="1" x14ac:dyDescent="0.3">
      <c r="A1090" s="133"/>
      <c r="B1090" s="224" t="s">
        <v>5403</v>
      </c>
      <c r="C1090" s="193" t="s">
        <v>867</v>
      </c>
      <c r="D1090" s="193" t="s">
        <v>6</v>
      </c>
      <c r="E1090" s="193" t="s">
        <v>5439</v>
      </c>
      <c r="F1090" s="193" t="s">
        <v>5405</v>
      </c>
      <c r="G1090" s="225" t="s">
        <v>868</v>
      </c>
      <c r="H1090" s="200"/>
    </row>
    <row r="1091" spans="1:8" x14ac:dyDescent="0.25">
      <c r="A1091" s="133"/>
      <c r="B1091" s="195" t="s">
        <v>5440</v>
      </c>
      <c r="C1091" s="226" t="s">
        <v>5402</v>
      </c>
      <c r="D1091" s="226">
        <v>1</v>
      </c>
      <c r="E1091" s="227">
        <f>+H1129</f>
        <v>3866.5</v>
      </c>
      <c r="F1091" s="226">
        <v>0.1</v>
      </c>
      <c r="G1091" s="229">
        <f>+E1091*F1091</f>
        <v>386.65000000000003</v>
      </c>
      <c r="H1091" s="200"/>
    </row>
    <row r="1092" spans="1:8" x14ac:dyDescent="0.25">
      <c r="A1092" s="133"/>
      <c r="B1092" s="195" t="s">
        <v>6048</v>
      </c>
      <c r="C1092" s="226" t="s">
        <v>5402</v>
      </c>
      <c r="D1092" s="226">
        <v>1</v>
      </c>
      <c r="E1092" s="449">
        <v>50000</v>
      </c>
      <c r="F1092" s="226">
        <v>0.02</v>
      </c>
      <c r="G1092" s="229">
        <f>+E1092*F1092</f>
        <v>1000</v>
      </c>
      <c r="H1092" s="200"/>
    </row>
    <row r="1093" spans="1:8" x14ac:dyDescent="0.25">
      <c r="A1093" s="133"/>
      <c r="B1093" s="195"/>
      <c r="C1093" s="226"/>
      <c r="D1093" s="226"/>
      <c r="E1093" s="176"/>
      <c r="F1093" s="226"/>
      <c r="G1093" s="229"/>
      <c r="H1093" s="200"/>
    </row>
    <row r="1094" spans="1:8" x14ac:dyDescent="0.25">
      <c r="A1094" s="133"/>
      <c r="B1094" s="195"/>
      <c r="C1094" s="226"/>
      <c r="D1094" s="226"/>
      <c r="E1094" s="171"/>
      <c r="F1094" s="226"/>
      <c r="G1094" s="231"/>
      <c r="H1094" s="200"/>
    </row>
    <row r="1095" spans="1:8" x14ac:dyDescent="0.25">
      <c r="A1095" s="133"/>
      <c r="B1095" s="195"/>
      <c r="C1095" s="226"/>
      <c r="D1095" s="232"/>
      <c r="E1095" s="232"/>
      <c r="F1095" s="226"/>
      <c r="G1095" s="229"/>
      <c r="H1095" s="200"/>
    </row>
    <row r="1096" spans="1:8" ht="15.75" thickBot="1" x14ac:dyDescent="0.3">
      <c r="A1096" s="133"/>
      <c r="B1096" s="195"/>
      <c r="C1096" s="226"/>
      <c r="D1096" s="232"/>
      <c r="E1096" s="232"/>
      <c r="F1096" s="226"/>
      <c r="G1096" s="229"/>
      <c r="H1096" s="200"/>
    </row>
    <row r="1097" spans="1:8" ht="15.75" thickBot="1" x14ac:dyDescent="0.3">
      <c r="A1097" s="133"/>
      <c r="B1097" s="233"/>
      <c r="C1097" s="234"/>
      <c r="D1097" s="234"/>
      <c r="E1097" s="234"/>
      <c r="F1097" s="235"/>
      <c r="G1097" s="236"/>
      <c r="H1097" s="237">
        <f>+SUM(G1091:G1097)</f>
        <v>1386.65</v>
      </c>
    </row>
    <row r="1098" spans="1:8" ht="15.75" thickBot="1" x14ac:dyDescent="0.3">
      <c r="A1098" s="133"/>
      <c r="B1098" s="238"/>
      <c r="C1098" s="238"/>
      <c r="D1098" s="238"/>
      <c r="E1098" s="238"/>
      <c r="F1098" s="239"/>
      <c r="G1098" s="240"/>
      <c r="H1098" s="241"/>
    </row>
    <row r="1099" spans="1:8" ht="15.75" thickBot="1" x14ac:dyDescent="0.3">
      <c r="A1099" s="133"/>
      <c r="B1099" s="224" t="s">
        <v>5408</v>
      </c>
      <c r="C1099" s="193" t="s">
        <v>867</v>
      </c>
      <c r="D1099" s="193" t="s">
        <v>6</v>
      </c>
      <c r="E1099" s="193" t="s">
        <v>870</v>
      </c>
      <c r="F1099" s="193" t="s">
        <v>5409</v>
      </c>
      <c r="G1099" s="225" t="s">
        <v>868</v>
      </c>
      <c r="H1099" s="200"/>
    </row>
    <row r="1100" spans="1:8" x14ac:dyDescent="0.25">
      <c r="A1100" s="133"/>
      <c r="B1100" s="295" t="s">
        <v>5553</v>
      </c>
      <c r="C1100" s="202" t="s">
        <v>5488</v>
      </c>
      <c r="D1100" s="226">
        <f>+PI()*0.05^2*1000</f>
        <v>7.8539816339744837</v>
      </c>
      <c r="E1100" s="244">
        <v>5</v>
      </c>
      <c r="F1100" s="169">
        <v>0.1</v>
      </c>
      <c r="G1100" s="451">
        <f>+D1100*E1100*(1+F1100)</f>
        <v>43.196898986859658</v>
      </c>
      <c r="H1100" s="200"/>
    </row>
    <row r="1101" spans="1:8" x14ac:dyDescent="0.25">
      <c r="A1101" s="133"/>
      <c r="B1101" s="450" t="s">
        <v>5755</v>
      </c>
      <c r="C1101" s="202" t="s">
        <v>5487</v>
      </c>
      <c r="D1101" s="226">
        <f>+D1047*D1100/D1046</f>
        <v>328.4</v>
      </c>
      <c r="E1101" s="257">
        <v>0.65</v>
      </c>
      <c r="F1101" s="169">
        <v>0.05</v>
      </c>
      <c r="G1101" s="294">
        <f>+D1101*E1101*(1+F1101)</f>
        <v>224.13299999999998</v>
      </c>
      <c r="H1101" s="200"/>
    </row>
    <row r="1102" spans="1:8" x14ac:dyDescent="0.25">
      <c r="A1102" s="133"/>
      <c r="B1102" s="260"/>
      <c r="C1102" s="226"/>
      <c r="D1102" s="226"/>
      <c r="E1102" s="244"/>
      <c r="F1102" s="169"/>
      <c r="G1102" s="178">
        <f>+D1102*E1102*(1+F1102)</f>
        <v>0</v>
      </c>
      <c r="H1102" s="200"/>
    </row>
    <row r="1103" spans="1:8" x14ac:dyDescent="0.25">
      <c r="A1103" s="133"/>
      <c r="B1103" s="260"/>
      <c r="C1103" s="226"/>
      <c r="D1103" s="226"/>
      <c r="E1103" s="171"/>
      <c r="F1103" s="169"/>
      <c r="G1103" s="178">
        <f>+D1103*E1103*(1+F1103)</f>
        <v>0</v>
      </c>
      <c r="H1103" s="200"/>
    </row>
    <row r="1104" spans="1:8" x14ac:dyDescent="0.25">
      <c r="A1104" s="133"/>
      <c r="B1104" s="195"/>
      <c r="C1104" s="226"/>
      <c r="D1104" s="226"/>
      <c r="E1104" s="171"/>
      <c r="F1104" s="169"/>
      <c r="G1104" s="178"/>
      <c r="H1104" s="200"/>
    </row>
    <row r="1105" spans="1:8" x14ac:dyDescent="0.25">
      <c r="A1105" s="133"/>
      <c r="B1105" s="194"/>
      <c r="C1105" s="202"/>
      <c r="D1105" s="202"/>
      <c r="E1105" s="171"/>
      <c r="F1105" s="169"/>
      <c r="G1105" s="178"/>
      <c r="H1105" s="200"/>
    </row>
    <row r="1106" spans="1:8" x14ac:dyDescent="0.25">
      <c r="A1106" s="133"/>
      <c r="B1106" s="195"/>
      <c r="C1106" s="226"/>
      <c r="D1106" s="226"/>
      <c r="E1106" s="171"/>
      <c r="F1106" s="169"/>
      <c r="G1106" s="178"/>
      <c r="H1106" s="200"/>
    </row>
    <row r="1107" spans="1:8" x14ac:dyDescent="0.25">
      <c r="A1107" s="133"/>
      <c r="B1107" s="195"/>
      <c r="C1107" s="226"/>
      <c r="D1107" s="226"/>
      <c r="E1107" s="171"/>
      <c r="F1107" s="169"/>
      <c r="G1107" s="178"/>
      <c r="H1107" s="200"/>
    </row>
    <row r="1108" spans="1:8" x14ac:dyDescent="0.25">
      <c r="A1108" s="133"/>
      <c r="B1108" s="195"/>
      <c r="C1108" s="232"/>
      <c r="D1108" s="232"/>
      <c r="E1108" s="232"/>
      <c r="F1108" s="226"/>
      <c r="G1108" s="229"/>
      <c r="H1108" s="200"/>
    </row>
    <row r="1109" spans="1:8" x14ac:dyDescent="0.25">
      <c r="A1109" s="133"/>
      <c r="B1109" s="195"/>
      <c r="C1109" s="232"/>
      <c r="D1109" s="232"/>
      <c r="E1109" s="232"/>
      <c r="F1109" s="226"/>
      <c r="G1109" s="229"/>
      <c r="H1109" s="200"/>
    </row>
    <row r="1110" spans="1:8" x14ac:dyDescent="0.25">
      <c r="A1110" s="133"/>
      <c r="B1110" s="195"/>
      <c r="C1110" s="232"/>
      <c r="D1110" s="232"/>
      <c r="E1110" s="232"/>
      <c r="F1110" s="226"/>
      <c r="G1110" s="229"/>
      <c r="H1110" s="200"/>
    </row>
    <row r="1111" spans="1:8" ht="15.75" thickBot="1" x14ac:dyDescent="0.3">
      <c r="A1111" s="133"/>
      <c r="B1111" s="195"/>
      <c r="C1111" s="232"/>
      <c r="D1111" s="232"/>
      <c r="E1111" s="232"/>
      <c r="F1111" s="226"/>
      <c r="G1111" s="229"/>
      <c r="H1111" s="200"/>
    </row>
    <row r="1112" spans="1:8" ht="15.75" thickBot="1" x14ac:dyDescent="0.3">
      <c r="A1112" s="133"/>
      <c r="B1112" s="233"/>
      <c r="C1112" s="234"/>
      <c r="D1112" s="234"/>
      <c r="E1112" s="234"/>
      <c r="F1112" s="235"/>
      <c r="G1112" s="236"/>
      <c r="H1112" s="256">
        <f>+SUM(G1100:G1112)</f>
        <v>267.32989898685963</v>
      </c>
    </row>
    <row r="1113" spans="1:8" ht="15.75" thickBot="1" x14ac:dyDescent="0.3">
      <c r="A1113" s="133"/>
      <c r="B1113" s="238"/>
      <c r="C1113" s="238"/>
      <c r="D1113" s="238"/>
      <c r="E1113" s="238"/>
      <c r="F1113" s="239"/>
      <c r="G1113" s="240"/>
      <c r="H1113" s="241"/>
    </row>
    <row r="1114" spans="1:8" ht="15.75" thickBot="1" x14ac:dyDescent="0.3">
      <c r="A1114" s="133"/>
      <c r="B1114" s="224" t="s">
        <v>5410</v>
      </c>
      <c r="C1114" s="193" t="s">
        <v>867</v>
      </c>
      <c r="D1114" s="193" t="s">
        <v>6</v>
      </c>
      <c r="E1114" s="193" t="s">
        <v>870</v>
      </c>
      <c r="F1114" s="193" t="s">
        <v>5411</v>
      </c>
      <c r="G1114" s="225" t="s">
        <v>868</v>
      </c>
      <c r="H1114" s="200"/>
    </row>
    <row r="1115" spans="1:8" x14ac:dyDescent="0.25">
      <c r="A1115" s="133"/>
      <c r="B1115" s="245"/>
      <c r="C1115" s="202"/>
      <c r="D1115" s="202"/>
      <c r="E1115" s="175"/>
      <c r="F1115" s="202"/>
      <c r="G1115" s="203"/>
      <c r="H1115" s="246"/>
    </row>
    <row r="1116" spans="1:8" x14ac:dyDescent="0.25">
      <c r="A1116" s="133"/>
      <c r="B1116" s="247"/>
      <c r="C1116" s="248"/>
      <c r="D1116" s="248"/>
      <c r="E1116" s="248"/>
      <c r="F1116" s="202"/>
      <c r="G1116" s="178"/>
      <c r="H1116" s="200"/>
    </row>
    <row r="1117" spans="1:8" x14ac:dyDescent="0.25">
      <c r="A1117" s="133"/>
      <c r="B1117" s="247"/>
      <c r="C1117" s="232"/>
      <c r="D1117" s="232"/>
      <c r="E1117" s="232"/>
      <c r="F1117" s="226"/>
      <c r="G1117" s="229"/>
      <c r="H1117" s="200"/>
    </row>
    <row r="1118" spans="1:8" x14ac:dyDescent="0.25">
      <c r="A1118" s="133"/>
      <c r="B1118" s="194"/>
      <c r="C1118" s="232"/>
      <c r="D1118" s="232"/>
      <c r="E1118" s="232"/>
      <c r="F1118" s="226"/>
      <c r="G1118" s="229"/>
      <c r="H1118" s="200"/>
    </row>
    <row r="1119" spans="1:8" ht="15.75" thickBot="1" x14ac:dyDescent="0.3">
      <c r="A1119" s="133"/>
      <c r="B1119" s="195"/>
      <c r="C1119" s="232"/>
      <c r="D1119" s="232"/>
      <c r="E1119" s="232"/>
      <c r="F1119" s="226"/>
      <c r="G1119" s="229"/>
      <c r="H1119" s="200"/>
    </row>
    <row r="1120" spans="1:8" ht="15.75" thickBot="1" x14ac:dyDescent="0.3">
      <c r="A1120" s="133"/>
      <c r="B1120" s="233"/>
      <c r="C1120" s="234"/>
      <c r="D1120" s="234"/>
      <c r="E1120" s="234"/>
      <c r="F1120" s="235"/>
      <c r="G1120" s="236"/>
      <c r="H1120" s="237">
        <f>+SUM(G1115:G1120)</f>
        <v>0</v>
      </c>
    </row>
    <row r="1121" spans="1:8" ht="15.75" thickBot="1" x14ac:dyDescent="0.3">
      <c r="A1121" s="133"/>
      <c r="B1121" s="238"/>
      <c r="C1121" s="238"/>
      <c r="D1121" s="238"/>
      <c r="E1121" s="238"/>
      <c r="F1121" s="249"/>
      <c r="G1121" s="250"/>
      <c r="H1121" s="241"/>
    </row>
    <row r="1122" spans="1:8" ht="15.75" thickBot="1" x14ac:dyDescent="0.3">
      <c r="A1122" s="133"/>
      <c r="B1122" s="224" t="s">
        <v>5412</v>
      </c>
      <c r="C1122" s="193" t="s">
        <v>5420</v>
      </c>
      <c r="D1122" s="193" t="s">
        <v>5421</v>
      </c>
      <c r="E1122" s="193" t="s">
        <v>5413</v>
      </c>
      <c r="F1122" s="193" t="s">
        <v>5405</v>
      </c>
      <c r="G1122" s="225" t="s">
        <v>868</v>
      </c>
      <c r="H1122" s="200"/>
    </row>
    <row r="1123" spans="1:8" x14ac:dyDescent="0.25">
      <c r="A1123" s="133"/>
      <c r="B1123" s="194" t="s">
        <v>5948</v>
      </c>
      <c r="C1123" s="345">
        <v>70000</v>
      </c>
      <c r="D1123" s="176">
        <f>+C1123*0.85</f>
        <v>59500</v>
      </c>
      <c r="E1123" s="176">
        <f>+C1123+D1123</f>
        <v>129500</v>
      </c>
      <c r="F1123" s="204">
        <v>1000</v>
      </c>
      <c r="G1123" s="178">
        <f>+E1123/F1123</f>
        <v>129.5</v>
      </c>
      <c r="H1123" s="200"/>
    </row>
    <row r="1124" spans="1:8" x14ac:dyDescent="0.25">
      <c r="A1124" s="133"/>
      <c r="B1124" s="194" t="s">
        <v>5651</v>
      </c>
      <c r="C1124" s="345">
        <v>40000</v>
      </c>
      <c r="D1124" s="176">
        <f>+C1124*0.85</f>
        <v>34000</v>
      </c>
      <c r="E1124" s="176">
        <f>+C1124+D1124</f>
        <v>74000</v>
      </c>
      <c r="F1124" s="202">
        <v>30</v>
      </c>
      <c r="G1124" s="178">
        <f>+E1124/F1124</f>
        <v>2466.6666666666665</v>
      </c>
      <c r="H1124" s="200"/>
    </row>
    <row r="1125" spans="1:8" x14ac:dyDescent="0.25">
      <c r="A1125" s="133"/>
      <c r="B1125" s="195" t="s">
        <v>5635</v>
      </c>
      <c r="C1125" s="345">
        <v>20600</v>
      </c>
      <c r="D1125" s="176">
        <f>+C1125*0.85</f>
        <v>17510</v>
      </c>
      <c r="E1125" s="176">
        <f>+C1125+D1125</f>
        <v>38110</v>
      </c>
      <c r="F1125" s="226">
        <v>30</v>
      </c>
      <c r="G1125" s="178">
        <f>+E1125/F1125</f>
        <v>1270.3333333333333</v>
      </c>
      <c r="H1125" s="200"/>
    </row>
    <row r="1126" spans="1:8" x14ac:dyDescent="0.25">
      <c r="A1126" s="133"/>
      <c r="B1126" s="195"/>
      <c r="C1126" s="171"/>
      <c r="D1126" s="176"/>
      <c r="E1126" s="176"/>
      <c r="F1126" s="226"/>
      <c r="G1126" s="178"/>
      <c r="H1126" s="200"/>
    </row>
    <row r="1127" spans="1:8" x14ac:dyDescent="0.25">
      <c r="A1127" s="133"/>
      <c r="B1127" s="195"/>
      <c r="C1127" s="232"/>
      <c r="D1127" s="232"/>
      <c r="E1127" s="232"/>
      <c r="F1127" s="226"/>
      <c r="G1127" s="229"/>
      <c r="H1127" s="200"/>
    </row>
    <row r="1128" spans="1:8" ht="15.75" thickBot="1" x14ac:dyDescent="0.3">
      <c r="A1128" s="133"/>
      <c r="B1128" s="195"/>
      <c r="C1128" s="232"/>
      <c r="D1128" s="232"/>
      <c r="E1128" s="232"/>
      <c r="F1128" s="226"/>
      <c r="G1128" s="229"/>
      <c r="H1128" s="200"/>
    </row>
    <row r="1129" spans="1:8" ht="15.75" thickBot="1" x14ac:dyDescent="0.3">
      <c r="A1129" s="133"/>
      <c r="B1129" s="251"/>
      <c r="C1129" s="252"/>
      <c r="D1129" s="252"/>
      <c r="E1129" s="252"/>
      <c r="F1129" s="253"/>
      <c r="G1129" s="254"/>
      <c r="H1129" s="256">
        <f>+SUM(G1123:G1129)</f>
        <v>3866.5</v>
      </c>
    </row>
    <row r="1130" spans="1:8" ht="15.75" thickBot="1" x14ac:dyDescent="0.3">
      <c r="A1130" s="133"/>
      <c r="B1130" s="8"/>
      <c r="C1130" s="8"/>
      <c r="D1130" s="8"/>
      <c r="E1130" s="8"/>
      <c r="F1130" s="133"/>
      <c r="G1130" s="200"/>
      <c r="H1130" s="200"/>
    </row>
    <row r="1131" spans="1:8" ht="15.75" thickBot="1" x14ac:dyDescent="0.3">
      <c r="A1131" s="133"/>
      <c r="B1131" s="8"/>
      <c r="C1131" s="8"/>
      <c r="D1131" s="8"/>
      <c r="E1131" s="223" t="s">
        <v>5415</v>
      </c>
      <c r="F1131" s="133"/>
      <c r="G1131" s="200"/>
      <c r="H1131" s="256">
        <f>ROUND(+H1129+H1120+H1112+H1097,0)</f>
        <v>5520</v>
      </c>
    </row>
    <row r="1136" spans="1:8" ht="18.75" x14ac:dyDescent="0.25">
      <c r="A1136" s="133"/>
      <c r="B1136" s="2506" t="s">
        <v>5400</v>
      </c>
      <c r="C1136" s="2506"/>
      <c r="D1136" s="2506"/>
      <c r="E1136" s="2506"/>
      <c r="F1136" s="2506"/>
      <c r="G1136" s="2506"/>
      <c r="H1136" s="8"/>
    </row>
    <row r="1137" spans="1:8" x14ac:dyDescent="0.25">
      <c r="A1137" s="133"/>
      <c r="B1137" s="8"/>
      <c r="C1137" s="8"/>
      <c r="D1137" s="8"/>
      <c r="E1137" s="8"/>
      <c r="F1137" s="133"/>
      <c r="G1137" s="200"/>
      <c r="H1137" s="200"/>
    </row>
    <row r="1138" spans="1:8" x14ac:dyDescent="0.25">
      <c r="A1138" s="133"/>
      <c r="B1138" s="8"/>
      <c r="C1138" s="8"/>
      <c r="D1138" s="8"/>
      <c r="E1138" s="8"/>
      <c r="F1138" s="133"/>
      <c r="G1138" s="200"/>
      <c r="H1138" s="200"/>
    </row>
    <row r="1139" spans="1:8" x14ac:dyDescent="0.25">
      <c r="A1139" s="133"/>
      <c r="B1139" s="8"/>
      <c r="C1139" s="8"/>
      <c r="D1139" s="8"/>
      <c r="E1139" s="8"/>
      <c r="F1139" s="133"/>
      <c r="G1139" s="200"/>
      <c r="H1139" s="200"/>
    </row>
    <row r="1140" spans="1:8" ht="24.95" customHeight="1" x14ac:dyDescent="0.25">
      <c r="A1140" s="220" t="s">
        <v>5482</v>
      </c>
      <c r="B1140" s="221" t="s">
        <v>324</v>
      </c>
      <c r="C1140" s="2449" t="s">
        <v>5502</v>
      </c>
      <c r="D1140" s="2449"/>
      <c r="E1140" s="2449"/>
      <c r="F1140" s="220" t="s">
        <v>867</v>
      </c>
      <c r="G1140" s="222" t="s">
        <v>5424</v>
      </c>
      <c r="H1140" s="200"/>
    </row>
    <row r="1141" spans="1:8" x14ac:dyDescent="0.25">
      <c r="A1141" s="133"/>
      <c r="B1141" s="8"/>
      <c r="C1141" s="223"/>
      <c r="D1141" s="223"/>
      <c r="E1141" s="223"/>
      <c r="F1141" s="133"/>
      <c r="G1141" s="200"/>
      <c r="H1141" s="200"/>
    </row>
    <row r="1142" spans="1:8" x14ac:dyDescent="0.25">
      <c r="A1142" s="133"/>
      <c r="B1142" s="8"/>
      <c r="C1142" s="8"/>
      <c r="D1142" s="8"/>
      <c r="E1142" s="8"/>
      <c r="F1142" s="8"/>
      <c r="G1142" s="8"/>
      <c r="H1142" s="200"/>
    </row>
    <row r="1143" spans="1:8" ht="15.75" thickBot="1" x14ac:dyDescent="0.3">
      <c r="A1143" s="133"/>
      <c r="B1143" s="8"/>
      <c r="C1143" s="8"/>
      <c r="D1143" s="8"/>
      <c r="E1143" s="8"/>
      <c r="F1143" s="133"/>
      <c r="G1143" s="200"/>
      <c r="H1143" s="200"/>
    </row>
    <row r="1144" spans="1:8" ht="15.75" thickBot="1" x14ac:dyDescent="0.3">
      <c r="A1144" s="133"/>
      <c r="B1144" s="224" t="s">
        <v>5403</v>
      </c>
      <c r="C1144" s="193" t="s">
        <v>867</v>
      </c>
      <c r="D1144" s="193" t="s">
        <v>6</v>
      </c>
      <c r="E1144" s="193" t="s">
        <v>5439</v>
      </c>
      <c r="F1144" s="193" t="s">
        <v>5405</v>
      </c>
      <c r="G1144" s="225" t="s">
        <v>868</v>
      </c>
      <c r="H1144" s="200"/>
    </row>
    <row r="1145" spans="1:8" x14ac:dyDescent="0.25">
      <c r="A1145" s="133"/>
      <c r="B1145" s="195" t="s">
        <v>5440</v>
      </c>
      <c r="C1145" s="226" t="s">
        <v>5402</v>
      </c>
      <c r="D1145" s="226">
        <v>1</v>
      </c>
      <c r="E1145" s="227">
        <f>+H1183</f>
        <v>1487.7083333333335</v>
      </c>
      <c r="F1145" s="226">
        <v>0.1</v>
      </c>
      <c r="G1145" s="229">
        <f>+E1145*F1145</f>
        <v>148.77083333333334</v>
      </c>
      <c r="H1145" s="200"/>
    </row>
    <row r="1146" spans="1:8" x14ac:dyDescent="0.25">
      <c r="A1146" s="133"/>
      <c r="B1146" s="195"/>
      <c r="C1146" s="226"/>
      <c r="D1146" s="226"/>
      <c r="E1146" s="230"/>
      <c r="F1146" s="226"/>
      <c r="G1146" s="229">
        <f>+E1146*F1146</f>
        <v>0</v>
      </c>
      <c r="H1146" s="200"/>
    </row>
    <row r="1147" spans="1:8" x14ac:dyDescent="0.25">
      <c r="A1147" s="133"/>
      <c r="B1147" s="195"/>
      <c r="C1147" s="226"/>
      <c r="D1147" s="226"/>
      <c r="E1147" s="176"/>
      <c r="F1147" s="226"/>
      <c r="G1147" s="229"/>
      <c r="H1147" s="200"/>
    </row>
    <row r="1148" spans="1:8" x14ac:dyDescent="0.25">
      <c r="A1148" s="133"/>
      <c r="B1148" s="195"/>
      <c r="C1148" s="226"/>
      <c r="D1148" s="226"/>
      <c r="E1148" s="171"/>
      <c r="F1148" s="226"/>
      <c r="G1148" s="231"/>
      <c r="H1148" s="200"/>
    </row>
    <row r="1149" spans="1:8" x14ac:dyDescent="0.25">
      <c r="A1149" s="133"/>
      <c r="B1149" s="195"/>
      <c r="C1149" s="226"/>
      <c r="D1149" s="232"/>
      <c r="E1149" s="232"/>
      <c r="F1149" s="226"/>
      <c r="G1149" s="229"/>
      <c r="H1149" s="200"/>
    </row>
    <row r="1150" spans="1:8" ht="15.75" thickBot="1" x14ac:dyDescent="0.3">
      <c r="A1150" s="133"/>
      <c r="B1150" s="195"/>
      <c r="C1150" s="226"/>
      <c r="D1150" s="232"/>
      <c r="E1150" s="232"/>
      <c r="F1150" s="226"/>
      <c r="G1150" s="229"/>
      <c r="H1150" s="200"/>
    </row>
    <row r="1151" spans="1:8" ht="15.75" thickBot="1" x14ac:dyDescent="0.3">
      <c r="A1151" s="133"/>
      <c r="B1151" s="233"/>
      <c r="C1151" s="234"/>
      <c r="D1151" s="234"/>
      <c r="E1151" s="234"/>
      <c r="F1151" s="235"/>
      <c r="G1151" s="236"/>
      <c r="H1151" s="237">
        <f>+SUM(G1145:G1151)</f>
        <v>148.77083333333334</v>
      </c>
    </row>
    <row r="1152" spans="1:8" ht="15.75" thickBot="1" x14ac:dyDescent="0.3">
      <c r="A1152" s="133"/>
      <c r="B1152" s="238"/>
      <c r="C1152" s="238"/>
      <c r="D1152" s="238"/>
      <c r="E1152" s="238"/>
      <c r="F1152" s="239"/>
      <c r="G1152" s="240"/>
      <c r="H1152" s="241"/>
    </row>
    <row r="1153" spans="1:8" ht="15.75" thickBot="1" x14ac:dyDescent="0.3">
      <c r="A1153" s="133"/>
      <c r="B1153" s="224" t="s">
        <v>5408</v>
      </c>
      <c r="C1153" s="193" t="s">
        <v>867</v>
      </c>
      <c r="D1153" s="193" t="s">
        <v>6</v>
      </c>
      <c r="E1153" s="193" t="s">
        <v>870</v>
      </c>
      <c r="F1153" s="193" t="s">
        <v>5409</v>
      </c>
      <c r="G1153" s="225" t="s">
        <v>868</v>
      </c>
      <c r="H1153" s="200"/>
    </row>
    <row r="1154" spans="1:8" x14ac:dyDescent="0.25">
      <c r="A1154" s="133"/>
      <c r="B1154" s="452" t="s">
        <v>6060</v>
      </c>
      <c r="C1154" s="202" t="s">
        <v>5424</v>
      </c>
      <c r="D1154" s="226">
        <v>2</v>
      </c>
      <c r="E1154" s="244"/>
      <c r="F1154" s="169"/>
      <c r="G1154" s="178">
        <f>+D1154*E1154*(1+F1154)</f>
        <v>0</v>
      </c>
      <c r="H1154" s="200"/>
    </row>
    <row r="1155" spans="1:8" x14ac:dyDescent="0.25">
      <c r="A1155" s="133"/>
      <c r="B1155" s="260"/>
      <c r="C1155" s="202"/>
      <c r="D1155" s="202"/>
      <c r="E1155" s="257"/>
      <c r="F1155" s="169"/>
      <c r="G1155" s="178">
        <f>+D1155*E1155*(1+F1155)</f>
        <v>0</v>
      </c>
      <c r="H1155" s="200"/>
    </row>
    <row r="1156" spans="1:8" x14ac:dyDescent="0.25">
      <c r="A1156" s="133"/>
      <c r="B1156" s="260"/>
      <c r="C1156" s="226"/>
      <c r="D1156" s="226"/>
      <c r="E1156" s="244"/>
      <c r="F1156" s="169"/>
      <c r="G1156" s="178">
        <f>+D1156*E1156*(1+F1156)</f>
        <v>0</v>
      </c>
      <c r="H1156" s="200"/>
    </row>
    <row r="1157" spans="1:8" x14ac:dyDescent="0.25">
      <c r="A1157" s="133"/>
      <c r="B1157" s="260"/>
      <c r="C1157" s="226"/>
      <c r="D1157" s="226"/>
      <c r="E1157" s="244"/>
      <c r="F1157" s="169"/>
      <c r="G1157" s="178">
        <f>+D1157*E1157*(1+F1157)</f>
        <v>0</v>
      </c>
      <c r="H1157" s="200"/>
    </row>
    <row r="1158" spans="1:8" x14ac:dyDescent="0.25">
      <c r="A1158" s="133"/>
      <c r="B1158" s="195"/>
      <c r="C1158" s="226"/>
      <c r="D1158" s="226"/>
      <c r="E1158" s="171"/>
      <c r="F1158" s="169"/>
      <c r="G1158" s="178"/>
      <c r="H1158" s="200"/>
    </row>
    <row r="1159" spans="1:8" x14ac:dyDescent="0.25">
      <c r="A1159" s="133"/>
      <c r="B1159" s="194"/>
      <c r="C1159" s="202"/>
      <c r="D1159" s="202"/>
      <c r="E1159" s="171"/>
      <c r="F1159" s="169"/>
      <c r="G1159" s="178"/>
      <c r="H1159" s="200"/>
    </row>
    <row r="1160" spans="1:8" x14ac:dyDescent="0.25">
      <c r="A1160" s="133"/>
      <c r="B1160" s="195"/>
      <c r="C1160" s="226"/>
      <c r="D1160" s="226"/>
      <c r="E1160" s="171"/>
      <c r="F1160" s="169"/>
      <c r="G1160" s="178"/>
      <c r="H1160" s="200"/>
    </row>
    <row r="1161" spans="1:8" x14ac:dyDescent="0.25">
      <c r="A1161" s="133"/>
      <c r="B1161" s="195"/>
      <c r="C1161" s="226"/>
      <c r="D1161" s="226"/>
      <c r="E1161" s="171"/>
      <c r="F1161" s="169"/>
      <c r="G1161" s="178"/>
      <c r="H1161" s="200"/>
    </row>
    <row r="1162" spans="1:8" x14ac:dyDescent="0.25">
      <c r="A1162" s="133"/>
      <c r="B1162" s="195"/>
      <c r="C1162" s="232"/>
      <c r="D1162" s="232"/>
      <c r="E1162" s="232"/>
      <c r="F1162" s="226"/>
      <c r="G1162" s="229"/>
      <c r="H1162" s="200"/>
    </row>
    <row r="1163" spans="1:8" x14ac:dyDescent="0.25">
      <c r="A1163" s="133"/>
      <c r="B1163" s="195"/>
      <c r="C1163" s="232"/>
      <c r="D1163" s="232"/>
      <c r="E1163" s="232"/>
      <c r="F1163" s="226"/>
      <c r="G1163" s="229"/>
      <c r="H1163" s="200"/>
    </row>
    <row r="1164" spans="1:8" x14ac:dyDescent="0.25">
      <c r="A1164" s="133"/>
      <c r="B1164" s="195"/>
      <c r="C1164" s="232"/>
      <c r="D1164" s="232"/>
      <c r="E1164" s="232"/>
      <c r="F1164" s="226"/>
      <c r="G1164" s="229"/>
      <c r="H1164" s="200"/>
    </row>
    <row r="1165" spans="1:8" ht="15.75" thickBot="1" x14ac:dyDescent="0.3">
      <c r="A1165" s="133"/>
      <c r="B1165" s="195"/>
      <c r="C1165" s="232"/>
      <c r="D1165" s="232"/>
      <c r="E1165" s="232"/>
      <c r="F1165" s="226"/>
      <c r="G1165" s="229"/>
      <c r="H1165" s="200"/>
    </row>
    <row r="1166" spans="1:8" ht="15.75" thickBot="1" x14ac:dyDescent="0.3">
      <c r="A1166" s="133"/>
      <c r="B1166" s="233"/>
      <c r="C1166" s="234"/>
      <c r="D1166" s="234"/>
      <c r="E1166" s="234"/>
      <c r="F1166" s="235"/>
      <c r="G1166" s="236"/>
      <c r="H1166" s="256">
        <f>+SUM(G1154:G1166)</f>
        <v>0</v>
      </c>
    </row>
    <row r="1167" spans="1:8" ht="15.75" thickBot="1" x14ac:dyDescent="0.3">
      <c r="A1167" s="133"/>
      <c r="B1167" s="238"/>
      <c r="C1167" s="238"/>
      <c r="D1167" s="238"/>
      <c r="E1167" s="238"/>
      <c r="F1167" s="239"/>
      <c r="G1167" s="240"/>
      <c r="H1167" s="241"/>
    </row>
    <row r="1168" spans="1:8" ht="15.75" thickBot="1" x14ac:dyDescent="0.3">
      <c r="A1168" s="133"/>
      <c r="B1168" s="224" t="s">
        <v>5410</v>
      </c>
      <c r="C1168" s="193" t="s">
        <v>867</v>
      </c>
      <c r="D1168" s="193" t="s">
        <v>6</v>
      </c>
      <c r="E1168" s="193" t="s">
        <v>870</v>
      </c>
      <c r="F1168" s="193" t="s">
        <v>5411</v>
      </c>
      <c r="G1168" s="225" t="s">
        <v>868</v>
      </c>
      <c r="H1168" s="200"/>
    </row>
    <row r="1169" spans="1:8" x14ac:dyDescent="0.25">
      <c r="A1169" s="133"/>
      <c r="B1169" s="245"/>
      <c r="C1169" s="202"/>
      <c r="D1169" s="202"/>
      <c r="E1169" s="175"/>
      <c r="F1169" s="202"/>
      <c r="G1169" s="203"/>
      <c r="H1169" s="246"/>
    </row>
    <row r="1170" spans="1:8" x14ac:dyDescent="0.25">
      <c r="A1170" s="133"/>
      <c r="B1170" s="247"/>
      <c r="C1170" s="248"/>
      <c r="D1170" s="248"/>
      <c r="E1170" s="248"/>
      <c r="F1170" s="202"/>
      <c r="G1170" s="178"/>
      <c r="H1170" s="200"/>
    </row>
    <row r="1171" spans="1:8" x14ac:dyDescent="0.25">
      <c r="A1171" s="133"/>
      <c r="B1171" s="247"/>
      <c r="C1171" s="232"/>
      <c r="D1171" s="232"/>
      <c r="E1171" s="232"/>
      <c r="F1171" s="226"/>
      <c r="G1171" s="229"/>
      <c r="H1171" s="200"/>
    </row>
    <row r="1172" spans="1:8" x14ac:dyDescent="0.25">
      <c r="A1172" s="133"/>
      <c r="B1172" s="194"/>
      <c r="C1172" s="232"/>
      <c r="D1172" s="232"/>
      <c r="E1172" s="232"/>
      <c r="F1172" s="226"/>
      <c r="G1172" s="229"/>
      <c r="H1172" s="200"/>
    </row>
    <row r="1173" spans="1:8" ht="15.75" thickBot="1" x14ac:dyDescent="0.3">
      <c r="A1173" s="133"/>
      <c r="B1173" s="195"/>
      <c r="C1173" s="232"/>
      <c r="D1173" s="232"/>
      <c r="E1173" s="232"/>
      <c r="F1173" s="226"/>
      <c r="G1173" s="229"/>
      <c r="H1173" s="200"/>
    </row>
    <row r="1174" spans="1:8" ht="15.75" thickBot="1" x14ac:dyDescent="0.3">
      <c r="A1174" s="133"/>
      <c r="B1174" s="233"/>
      <c r="C1174" s="234"/>
      <c r="D1174" s="234"/>
      <c r="E1174" s="234"/>
      <c r="F1174" s="235"/>
      <c r="G1174" s="236"/>
      <c r="H1174" s="237">
        <f>+SUM(G1169:G1174)</f>
        <v>0</v>
      </c>
    </row>
    <row r="1175" spans="1:8" ht="15.75" thickBot="1" x14ac:dyDescent="0.3">
      <c r="A1175" s="133"/>
      <c r="B1175" s="238"/>
      <c r="C1175" s="238"/>
      <c r="D1175" s="238"/>
      <c r="E1175" s="238"/>
      <c r="F1175" s="249"/>
      <c r="G1175" s="250"/>
      <c r="H1175" s="241"/>
    </row>
    <row r="1176" spans="1:8" ht="15.75" thickBot="1" x14ac:dyDescent="0.3">
      <c r="A1176" s="133"/>
      <c r="B1176" s="224" t="s">
        <v>5412</v>
      </c>
      <c r="C1176" s="193" t="s">
        <v>5420</v>
      </c>
      <c r="D1176" s="193" t="s">
        <v>5421</v>
      </c>
      <c r="E1176" s="193" t="s">
        <v>5413</v>
      </c>
      <c r="F1176" s="193" t="s">
        <v>5405</v>
      </c>
      <c r="G1176" s="225" t="s">
        <v>868</v>
      </c>
      <c r="H1176" s="200"/>
    </row>
    <row r="1177" spans="1:8" x14ac:dyDescent="0.25">
      <c r="A1177" s="133"/>
      <c r="B1177" s="194" t="s">
        <v>5948</v>
      </c>
      <c r="C1177" s="345">
        <v>70000</v>
      </c>
      <c r="D1177" s="176">
        <f>+C1177*0.85</f>
        <v>59500</v>
      </c>
      <c r="E1177" s="176">
        <f>+C1177+D1177</f>
        <v>129500</v>
      </c>
      <c r="F1177" s="204">
        <v>1500</v>
      </c>
      <c r="G1177" s="178">
        <f>+E1177/F1177</f>
        <v>86.333333333333329</v>
      </c>
      <c r="H1177" s="200"/>
    </row>
    <row r="1178" spans="1:8" x14ac:dyDescent="0.25">
      <c r="A1178" s="133"/>
      <c r="B1178" s="194" t="s">
        <v>5651</v>
      </c>
      <c r="C1178" s="345">
        <v>40000</v>
      </c>
      <c r="D1178" s="176">
        <f>+C1178*0.85</f>
        <v>34000</v>
      </c>
      <c r="E1178" s="176">
        <f>+C1178+D1178</f>
        <v>74000</v>
      </c>
      <c r="F1178" s="202">
        <v>80</v>
      </c>
      <c r="G1178" s="178">
        <f>+E1178/F1178</f>
        <v>925</v>
      </c>
      <c r="H1178" s="200"/>
    </row>
    <row r="1179" spans="1:8" x14ac:dyDescent="0.25">
      <c r="A1179" s="133"/>
      <c r="B1179" s="195" t="s">
        <v>5635</v>
      </c>
      <c r="C1179" s="345">
        <v>20600</v>
      </c>
      <c r="D1179" s="176">
        <f>+C1179*0.85</f>
        <v>17510</v>
      </c>
      <c r="E1179" s="176">
        <f>+C1179+D1179</f>
        <v>38110</v>
      </c>
      <c r="F1179" s="226">
        <v>80</v>
      </c>
      <c r="G1179" s="178">
        <f>+E1179/F1179</f>
        <v>476.375</v>
      </c>
      <c r="H1179" s="200"/>
    </row>
    <row r="1180" spans="1:8" x14ac:dyDescent="0.25">
      <c r="A1180" s="133"/>
      <c r="B1180" s="195"/>
      <c r="C1180" s="171"/>
      <c r="D1180" s="176"/>
      <c r="E1180" s="176"/>
      <c r="F1180" s="226"/>
      <c r="G1180" s="178"/>
      <c r="H1180" s="200"/>
    </row>
    <row r="1181" spans="1:8" x14ac:dyDescent="0.25">
      <c r="A1181" s="133"/>
      <c r="B1181" s="195"/>
      <c r="C1181" s="232"/>
      <c r="D1181" s="232"/>
      <c r="E1181" s="232"/>
      <c r="F1181" s="226"/>
      <c r="G1181" s="229"/>
      <c r="H1181" s="200"/>
    </row>
    <row r="1182" spans="1:8" ht="15.75" thickBot="1" x14ac:dyDescent="0.3">
      <c r="A1182" s="133"/>
      <c r="B1182" s="195"/>
      <c r="C1182" s="232"/>
      <c r="D1182" s="232"/>
      <c r="E1182" s="232"/>
      <c r="F1182" s="226"/>
      <c r="G1182" s="229"/>
      <c r="H1182" s="200"/>
    </row>
    <row r="1183" spans="1:8" ht="15.75" thickBot="1" x14ac:dyDescent="0.3">
      <c r="A1183" s="133"/>
      <c r="B1183" s="251"/>
      <c r="C1183" s="252"/>
      <c r="D1183" s="252"/>
      <c r="E1183" s="252"/>
      <c r="F1183" s="253"/>
      <c r="G1183" s="254"/>
      <c r="H1183" s="256">
        <f>+SUM(G1177:G1183)</f>
        <v>1487.7083333333335</v>
      </c>
    </row>
    <row r="1184" spans="1:8" ht="15.75" thickBot="1" x14ac:dyDescent="0.3">
      <c r="A1184" s="133"/>
      <c r="B1184" s="8"/>
      <c r="C1184" s="8"/>
      <c r="D1184" s="8"/>
      <c r="E1184" s="8"/>
      <c r="F1184" s="133"/>
      <c r="G1184" s="200"/>
      <c r="H1184" s="200"/>
    </row>
    <row r="1185" spans="1:8" ht="15.75" thickBot="1" x14ac:dyDescent="0.3">
      <c r="A1185" s="133"/>
      <c r="B1185" s="8"/>
      <c r="C1185" s="8"/>
      <c r="D1185" s="8"/>
      <c r="E1185" s="223" t="s">
        <v>5415</v>
      </c>
      <c r="F1185" s="133"/>
      <c r="G1185" s="200"/>
      <c r="H1185" s="256">
        <f>ROUND(+H1183+H1174+H1166+H1151,0)</f>
        <v>1636</v>
      </c>
    </row>
    <row r="1190" spans="1:8" ht="18.75" x14ac:dyDescent="0.25">
      <c r="A1190" s="133"/>
      <c r="B1190" s="2506" t="s">
        <v>5400</v>
      </c>
      <c r="C1190" s="2506"/>
      <c r="D1190" s="2506"/>
      <c r="E1190" s="2506"/>
      <c r="F1190" s="2506"/>
      <c r="G1190" s="2506"/>
      <c r="H1190" s="8"/>
    </row>
    <row r="1191" spans="1:8" x14ac:dyDescent="0.25">
      <c r="A1191" s="133"/>
      <c r="B1191" s="8"/>
      <c r="C1191" s="8"/>
      <c r="D1191" s="8"/>
      <c r="E1191" s="8"/>
      <c r="F1191" s="133"/>
      <c r="G1191" s="200"/>
      <c r="H1191" s="200"/>
    </row>
    <row r="1192" spans="1:8" x14ac:dyDescent="0.25">
      <c r="A1192" s="133"/>
      <c r="B1192" s="8"/>
      <c r="C1192" s="8"/>
      <c r="D1192" s="8"/>
      <c r="E1192" s="8"/>
      <c r="F1192" s="133"/>
      <c r="G1192" s="200"/>
      <c r="H1192" s="200"/>
    </row>
    <row r="1193" spans="1:8" x14ac:dyDescent="0.25">
      <c r="A1193" s="133"/>
      <c r="B1193" s="8"/>
      <c r="C1193" s="8"/>
      <c r="D1193" s="8"/>
      <c r="E1193" s="8"/>
      <c r="F1193" s="133"/>
      <c r="G1193" s="200"/>
      <c r="H1193" s="200"/>
    </row>
    <row r="1194" spans="1:8" ht="15" customHeight="1" x14ac:dyDescent="0.25">
      <c r="A1194" s="220" t="s">
        <v>5482</v>
      </c>
      <c r="B1194" s="221" t="s">
        <v>325</v>
      </c>
      <c r="C1194" s="2449" t="s">
        <v>5503</v>
      </c>
      <c r="D1194" s="2449"/>
      <c r="E1194" s="2449"/>
      <c r="F1194" s="220" t="s">
        <v>867</v>
      </c>
      <c r="G1194" s="222" t="s">
        <v>5424</v>
      </c>
      <c r="H1194" s="200"/>
    </row>
    <row r="1195" spans="1:8" x14ac:dyDescent="0.25">
      <c r="A1195" s="133"/>
      <c r="B1195" s="8"/>
      <c r="C1195" s="223"/>
      <c r="D1195" s="223"/>
      <c r="E1195" s="223"/>
      <c r="F1195" s="133"/>
      <c r="G1195" s="200"/>
      <c r="H1195" s="200"/>
    </row>
    <row r="1196" spans="1:8" x14ac:dyDescent="0.25">
      <c r="A1196" s="133"/>
      <c r="B1196" s="8"/>
      <c r="C1196" s="8"/>
      <c r="D1196" s="8"/>
      <c r="E1196" s="8"/>
      <c r="F1196" s="8"/>
      <c r="G1196" s="8"/>
      <c r="H1196" s="200"/>
    </row>
    <row r="1197" spans="1:8" ht="15.75" thickBot="1" x14ac:dyDescent="0.3">
      <c r="A1197" s="133"/>
      <c r="B1197" s="8"/>
      <c r="C1197" s="8"/>
      <c r="D1197" s="8"/>
      <c r="E1197" s="8"/>
      <c r="F1197" s="133"/>
      <c r="G1197" s="200"/>
      <c r="H1197" s="200"/>
    </row>
    <row r="1198" spans="1:8" ht="15.75" thickBot="1" x14ac:dyDescent="0.3">
      <c r="A1198" s="133"/>
      <c r="B1198" s="224" t="s">
        <v>5403</v>
      </c>
      <c r="C1198" s="193" t="s">
        <v>867</v>
      </c>
      <c r="D1198" s="193" t="s">
        <v>6</v>
      </c>
      <c r="E1198" s="193" t="s">
        <v>5439</v>
      </c>
      <c r="F1198" s="193" t="s">
        <v>5405</v>
      </c>
      <c r="G1198" s="225" t="s">
        <v>868</v>
      </c>
      <c r="H1198" s="200"/>
    </row>
    <row r="1199" spans="1:8" x14ac:dyDescent="0.25">
      <c r="A1199" s="133"/>
      <c r="B1199" s="195" t="s">
        <v>5440</v>
      </c>
      <c r="C1199" s="226" t="s">
        <v>5402</v>
      </c>
      <c r="D1199" s="226">
        <v>1</v>
      </c>
      <c r="E1199" s="227">
        <f>+H1237</f>
        <v>1954.833333333333</v>
      </c>
      <c r="F1199" s="226">
        <v>0.1</v>
      </c>
      <c r="G1199" s="229">
        <f>+E1199*F1199</f>
        <v>195.48333333333332</v>
      </c>
      <c r="H1199" s="200"/>
    </row>
    <row r="1200" spans="1:8" x14ac:dyDescent="0.25">
      <c r="A1200" s="133"/>
      <c r="B1200" s="195"/>
      <c r="C1200" s="226"/>
      <c r="D1200" s="226"/>
      <c r="E1200" s="230"/>
      <c r="F1200" s="226"/>
      <c r="G1200" s="229">
        <f>+E1200*F1200</f>
        <v>0</v>
      </c>
      <c r="H1200" s="200"/>
    </row>
    <row r="1201" spans="1:8" x14ac:dyDescent="0.25">
      <c r="A1201" s="133"/>
      <c r="B1201" s="195"/>
      <c r="C1201" s="226"/>
      <c r="D1201" s="226"/>
      <c r="E1201" s="176"/>
      <c r="F1201" s="226"/>
      <c r="G1201" s="229"/>
      <c r="H1201" s="200"/>
    </row>
    <row r="1202" spans="1:8" x14ac:dyDescent="0.25">
      <c r="A1202" s="133"/>
      <c r="B1202" s="195"/>
      <c r="C1202" s="226"/>
      <c r="D1202" s="226"/>
      <c r="E1202" s="171"/>
      <c r="F1202" s="226"/>
      <c r="G1202" s="231"/>
      <c r="H1202" s="200"/>
    </row>
    <row r="1203" spans="1:8" x14ac:dyDescent="0.25">
      <c r="A1203" s="133"/>
      <c r="B1203" s="195"/>
      <c r="C1203" s="226"/>
      <c r="D1203" s="232"/>
      <c r="E1203" s="232"/>
      <c r="F1203" s="226"/>
      <c r="G1203" s="229"/>
      <c r="H1203" s="200"/>
    </row>
    <row r="1204" spans="1:8" ht="15.75" thickBot="1" x14ac:dyDescent="0.3">
      <c r="A1204" s="133"/>
      <c r="B1204" s="195"/>
      <c r="C1204" s="226"/>
      <c r="D1204" s="232"/>
      <c r="E1204" s="232"/>
      <c r="F1204" s="226"/>
      <c r="G1204" s="229"/>
      <c r="H1204" s="200"/>
    </row>
    <row r="1205" spans="1:8" ht="15.75" thickBot="1" x14ac:dyDescent="0.3">
      <c r="A1205" s="133"/>
      <c r="B1205" s="233"/>
      <c r="C1205" s="234"/>
      <c r="D1205" s="234"/>
      <c r="E1205" s="234"/>
      <c r="F1205" s="235"/>
      <c r="G1205" s="236"/>
      <c r="H1205" s="237">
        <f>+SUM(G1199:G1205)</f>
        <v>195.48333333333332</v>
      </c>
    </row>
    <row r="1206" spans="1:8" ht="15.75" thickBot="1" x14ac:dyDescent="0.3">
      <c r="A1206" s="133"/>
      <c r="B1206" s="238"/>
      <c r="C1206" s="238"/>
      <c r="D1206" s="238"/>
      <c r="E1206" s="238"/>
      <c r="F1206" s="239"/>
      <c r="G1206" s="240"/>
      <c r="H1206" s="241"/>
    </row>
    <row r="1207" spans="1:8" ht="15.75" thickBot="1" x14ac:dyDescent="0.3">
      <c r="A1207" s="133"/>
      <c r="B1207" s="224" t="s">
        <v>5408</v>
      </c>
      <c r="C1207" s="193" t="s">
        <v>867</v>
      </c>
      <c r="D1207" s="193" t="s">
        <v>6</v>
      </c>
      <c r="E1207" s="193" t="s">
        <v>870</v>
      </c>
      <c r="F1207" s="193" t="s">
        <v>5409</v>
      </c>
      <c r="G1207" s="225" t="s">
        <v>868</v>
      </c>
      <c r="H1207" s="200"/>
    </row>
    <row r="1208" spans="1:8" x14ac:dyDescent="0.25">
      <c r="A1208" s="133"/>
      <c r="B1208" s="452" t="s">
        <v>6060</v>
      </c>
      <c r="C1208" s="202" t="s">
        <v>5424</v>
      </c>
      <c r="D1208" s="226">
        <v>2</v>
      </c>
      <c r="E1208" s="244"/>
      <c r="F1208" s="169"/>
      <c r="G1208" s="178">
        <f>+D1208*E1208*(1+F1208)</f>
        <v>0</v>
      </c>
      <c r="H1208" s="200"/>
    </row>
    <row r="1209" spans="1:8" x14ac:dyDescent="0.25">
      <c r="A1209" s="133"/>
      <c r="B1209" s="260"/>
      <c r="C1209" s="202"/>
      <c r="D1209" s="202"/>
      <c r="E1209" s="257"/>
      <c r="F1209" s="169"/>
      <c r="G1209" s="178">
        <f>+D1209*E1209*(1+F1209)</f>
        <v>0</v>
      </c>
      <c r="H1209" s="200"/>
    </row>
    <row r="1210" spans="1:8" x14ac:dyDescent="0.25">
      <c r="A1210" s="133"/>
      <c r="B1210" s="260"/>
      <c r="C1210" s="226"/>
      <c r="D1210" s="226"/>
      <c r="E1210" s="244"/>
      <c r="F1210" s="169"/>
      <c r="G1210" s="178">
        <f>+D1210*E1210*(1+F1210)</f>
        <v>0</v>
      </c>
      <c r="H1210" s="200"/>
    </row>
    <row r="1211" spans="1:8" x14ac:dyDescent="0.25">
      <c r="A1211" s="133"/>
      <c r="B1211" s="260"/>
      <c r="C1211" s="226"/>
      <c r="D1211" s="226"/>
      <c r="E1211" s="244"/>
      <c r="F1211" s="169"/>
      <c r="G1211" s="178">
        <f>+D1211*E1211*(1+F1211)</f>
        <v>0</v>
      </c>
      <c r="H1211" s="200"/>
    </row>
    <row r="1212" spans="1:8" x14ac:dyDescent="0.25">
      <c r="A1212" s="133"/>
      <c r="B1212" s="195"/>
      <c r="C1212" s="226"/>
      <c r="D1212" s="226"/>
      <c r="E1212" s="171"/>
      <c r="F1212" s="169"/>
      <c r="G1212" s="178"/>
      <c r="H1212" s="200"/>
    </row>
    <row r="1213" spans="1:8" x14ac:dyDescent="0.25">
      <c r="A1213" s="133"/>
      <c r="B1213" s="194"/>
      <c r="C1213" s="202"/>
      <c r="D1213" s="202"/>
      <c r="E1213" s="171"/>
      <c r="F1213" s="169"/>
      <c r="G1213" s="178"/>
      <c r="H1213" s="200"/>
    </row>
    <row r="1214" spans="1:8" x14ac:dyDescent="0.25">
      <c r="A1214" s="133"/>
      <c r="B1214" s="195"/>
      <c r="C1214" s="226"/>
      <c r="D1214" s="226"/>
      <c r="E1214" s="171"/>
      <c r="F1214" s="169"/>
      <c r="G1214" s="178"/>
      <c r="H1214" s="200"/>
    </row>
    <row r="1215" spans="1:8" x14ac:dyDescent="0.25">
      <c r="A1215" s="133"/>
      <c r="B1215" s="195"/>
      <c r="C1215" s="226"/>
      <c r="D1215" s="226"/>
      <c r="E1215" s="171"/>
      <c r="F1215" s="169"/>
      <c r="G1215" s="178"/>
      <c r="H1215" s="200"/>
    </row>
    <row r="1216" spans="1:8" x14ac:dyDescent="0.25">
      <c r="A1216" s="133"/>
      <c r="B1216" s="195"/>
      <c r="C1216" s="232"/>
      <c r="D1216" s="232"/>
      <c r="E1216" s="232"/>
      <c r="F1216" s="226"/>
      <c r="G1216" s="229"/>
      <c r="H1216" s="200"/>
    </row>
    <row r="1217" spans="1:8" x14ac:dyDescent="0.25">
      <c r="A1217" s="133"/>
      <c r="B1217" s="195"/>
      <c r="C1217" s="232"/>
      <c r="D1217" s="232"/>
      <c r="E1217" s="232"/>
      <c r="F1217" s="226"/>
      <c r="G1217" s="229"/>
      <c r="H1217" s="200"/>
    </row>
    <row r="1218" spans="1:8" x14ac:dyDescent="0.25">
      <c r="A1218" s="133"/>
      <c r="B1218" s="195"/>
      <c r="C1218" s="232"/>
      <c r="D1218" s="232"/>
      <c r="E1218" s="232"/>
      <c r="F1218" s="226"/>
      <c r="G1218" s="229"/>
      <c r="H1218" s="200"/>
    </row>
    <row r="1219" spans="1:8" ht="15.75" thickBot="1" x14ac:dyDescent="0.3">
      <c r="A1219" s="133"/>
      <c r="B1219" s="195"/>
      <c r="C1219" s="232"/>
      <c r="D1219" s="232"/>
      <c r="E1219" s="232"/>
      <c r="F1219" s="226"/>
      <c r="G1219" s="229"/>
      <c r="H1219" s="200"/>
    </row>
    <row r="1220" spans="1:8" ht="15.75" thickBot="1" x14ac:dyDescent="0.3">
      <c r="A1220" s="133"/>
      <c r="B1220" s="233"/>
      <c r="C1220" s="234"/>
      <c r="D1220" s="234"/>
      <c r="E1220" s="234"/>
      <c r="F1220" s="235"/>
      <c r="G1220" s="236"/>
      <c r="H1220" s="256">
        <f>+SUM(G1208:G1220)</f>
        <v>0</v>
      </c>
    </row>
    <row r="1221" spans="1:8" ht="15.75" thickBot="1" x14ac:dyDescent="0.3">
      <c r="A1221" s="133"/>
      <c r="B1221" s="238"/>
      <c r="C1221" s="238"/>
      <c r="D1221" s="238"/>
      <c r="E1221" s="238"/>
      <c r="F1221" s="239"/>
      <c r="G1221" s="240"/>
      <c r="H1221" s="241"/>
    </row>
    <row r="1222" spans="1:8" ht="15.75" thickBot="1" x14ac:dyDescent="0.3">
      <c r="A1222" s="133"/>
      <c r="B1222" s="224" t="s">
        <v>5410</v>
      </c>
      <c r="C1222" s="193" t="s">
        <v>867</v>
      </c>
      <c r="D1222" s="193" t="s">
        <v>6</v>
      </c>
      <c r="E1222" s="193" t="s">
        <v>870</v>
      </c>
      <c r="F1222" s="193" t="s">
        <v>5411</v>
      </c>
      <c r="G1222" s="225" t="s">
        <v>868</v>
      </c>
      <c r="H1222" s="200"/>
    </row>
    <row r="1223" spans="1:8" x14ac:dyDescent="0.25">
      <c r="A1223" s="133"/>
      <c r="B1223" s="245"/>
      <c r="C1223" s="202"/>
      <c r="D1223" s="202"/>
      <c r="E1223" s="175"/>
      <c r="F1223" s="202"/>
      <c r="G1223" s="203"/>
      <c r="H1223" s="246"/>
    </row>
    <row r="1224" spans="1:8" x14ac:dyDescent="0.25">
      <c r="A1224" s="133"/>
      <c r="B1224" s="247"/>
      <c r="C1224" s="248"/>
      <c r="D1224" s="248"/>
      <c r="E1224" s="248"/>
      <c r="F1224" s="202"/>
      <c r="G1224" s="178"/>
      <c r="H1224" s="200"/>
    </row>
    <row r="1225" spans="1:8" x14ac:dyDescent="0.25">
      <c r="A1225" s="133"/>
      <c r="B1225" s="247"/>
      <c r="C1225" s="232"/>
      <c r="D1225" s="232"/>
      <c r="E1225" s="232"/>
      <c r="F1225" s="226"/>
      <c r="G1225" s="229"/>
      <c r="H1225" s="200"/>
    </row>
    <row r="1226" spans="1:8" x14ac:dyDescent="0.25">
      <c r="A1226" s="133"/>
      <c r="B1226" s="194"/>
      <c r="C1226" s="232"/>
      <c r="D1226" s="232"/>
      <c r="E1226" s="232"/>
      <c r="F1226" s="226"/>
      <c r="G1226" s="229"/>
      <c r="H1226" s="200"/>
    </row>
    <row r="1227" spans="1:8" ht="15.75" thickBot="1" x14ac:dyDescent="0.3">
      <c r="A1227" s="133"/>
      <c r="B1227" s="195"/>
      <c r="C1227" s="232"/>
      <c r="D1227" s="232"/>
      <c r="E1227" s="232"/>
      <c r="F1227" s="226"/>
      <c r="G1227" s="229"/>
      <c r="H1227" s="200"/>
    </row>
    <row r="1228" spans="1:8" ht="15.75" thickBot="1" x14ac:dyDescent="0.3">
      <c r="A1228" s="133"/>
      <c r="B1228" s="233"/>
      <c r="C1228" s="234"/>
      <c r="D1228" s="234"/>
      <c r="E1228" s="234"/>
      <c r="F1228" s="235"/>
      <c r="G1228" s="236"/>
      <c r="H1228" s="237">
        <f>+SUM(G1223:G1228)</f>
        <v>0</v>
      </c>
    </row>
    <row r="1229" spans="1:8" ht="15.75" thickBot="1" x14ac:dyDescent="0.3">
      <c r="A1229" s="133"/>
      <c r="B1229" s="238"/>
      <c r="C1229" s="238"/>
      <c r="D1229" s="238"/>
      <c r="E1229" s="238"/>
      <c r="F1229" s="249"/>
      <c r="G1229" s="250"/>
      <c r="H1229" s="241"/>
    </row>
    <row r="1230" spans="1:8" ht="15.75" thickBot="1" x14ac:dyDescent="0.3">
      <c r="A1230" s="133"/>
      <c r="B1230" s="224" t="s">
        <v>5412</v>
      </c>
      <c r="C1230" s="193" t="s">
        <v>5420</v>
      </c>
      <c r="D1230" s="193" t="s">
        <v>5421</v>
      </c>
      <c r="E1230" s="193" t="s">
        <v>5413</v>
      </c>
      <c r="F1230" s="193" t="s">
        <v>5405</v>
      </c>
      <c r="G1230" s="225" t="s">
        <v>868</v>
      </c>
      <c r="H1230" s="200"/>
    </row>
    <row r="1231" spans="1:8" x14ac:dyDescent="0.25">
      <c r="A1231" s="133"/>
      <c r="B1231" s="194" t="s">
        <v>5948</v>
      </c>
      <c r="C1231" s="345">
        <v>70000</v>
      </c>
      <c r="D1231" s="176">
        <f>+C1231*0.85</f>
        <v>59500</v>
      </c>
      <c r="E1231" s="176">
        <f>+C1231+D1231</f>
        <v>129500</v>
      </c>
      <c r="F1231" s="204">
        <v>1500</v>
      </c>
      <c r="G1231" s="178">
        <f>+E1231/F1231</f>
        <v>86.333333333333329</v>
      </c>
      <c r="H1231" s="200"/>
    </row>
    <row r="1232" spans="1:8" x14ac:dyDescent="0.25">
      <c r="A1232" s="133"/>
      <c r="B1232" s="194" t="s">
        <v>5651</v>
      </c>
      <c r="C1232" s="345">
        <v>40000</v>
      </c>
      <c r="D1232" s="176">
        <f>+C1232*0.85</f>
        <v>34000</v>
      </c>
      <c r="E1232" s="176">
        <f>+C1232+D1232</f>
        <v>74000</v>
      </c>
      <c r="F1232" s="202">
        <v>60</v>
      </c>
      <c r="G1232" s="178">
        <f>+E1232/F1232</f>
        <v>1233.3333333333333</v>
      </c>
      <c r="H1232" s="200"/>
    </row>
    <row r="1233" spans="1:8" x14ac:dyDescent="0.25">
      <c r="A1233" s="133"/>
      <c r="B1233" s="195" t="s">
        <v>5635</v>
      </c>
      <c r="C1233" s="345">
        <v>20600</v>
      </c>
      <c r="D1233" s="176">
        <f>+C1233*0.85</f>
        <v>17510</v>
      </c>
      <c r="E1233" s="176">
        <f>+C1233+D1233</f>
        <v>38110</v>
      </c>
      <c r="F1233" s="226">
        <v>60</v>
      </c>
      <c r="G1233" s="178">
        <f>+E1233/F1233</f>
        <v>635.16666666666663</v>
      </c>
      <c r="H1233" s="200"/>
    </row>
    <row r="1234" spans="1:8" x14ac:dyDescent="0.25">
      <c r="A1234" s="133"/>
      <c r="B1234" s="195"/>
      <c r="C1234" s="171"/>
      <c r="D1234" s="176"/>
      <c r="E1234" s="176"/>
      <c r="F1234" s="226"/>
      <c r="G1234" s="178"/>
      <c r="H1234" s="200"/>
    </row>
    <row r="1235" spans="1:8" x14ac:dyDescent="0.25">
      <c r="A1235" s="133"/>
      <c r="B1235" s="195"/>
      <c r="C1235" s="232"/>
      <c r="D1235" s="232"/>
      <c r="E1235" s="232"/>
      <c r="F1235" s="226"/>
      <c r="G1235" s="229"/>
      <c r="H1235" s="200"/>
    </row>
    <row r="1236" spans="1:8" ht="15.75" thickBot="1" x14ac:dyDescent="0.3">
      <c r="A1236" s="133"/>
      <c r="B1236" s="195"/>
      <c r="C1236" s="232"/>
      <c r="D1236" s="232"/>
      <c r="E1236" s="232"/>
      <c r="F1236" s="226"/>
      <c r="G1236" s="229"/>
      <c r="H1236" s="200"/>
    </row>
    <row r="1237" spans="1:8" ht="15.75" thickBot="1" x14ac:dyDescent="0.3">
      <c r="A1237" s="133"/>
      <c r="B1237" s="251"/>
      <c r="C1237" s="252"/>
      <c r="D1237" s="252"/>
      <c r="E1237" s="252"/>
      <c r="F1237" s="253"/>
      <c r="G1237" s="254"/>
      <c r="H1237" s="256">
        <f>+SUM(G1231:G1237)</f>
        <v>1954.833333333333</v>
      </c>
    </row>
    <row r="1238" spans="1:8" ht="15.75" thickBot="1" x14ac:dyDescent="0.3">
      <c r="A1238" s="133"/>
      <c r="B1238" s="8"/>
      <c r="C1238" s="8"/>
      <c r="D1238" s="8"/>
      <c r="E1238" s="8"/>
      <c r="F1238" s="133"/>
      <c r="G1238" s="200"/>
      <c r="H1238" s="200"/>
    </row>
    <row r="1239" spans="1:8" ht="15.75" thickBot="1" x14ac:dyDescent="0.3">
      <c r="A1239" s="133"/>
      <c r="B1239" s="8"/>
      <c r="C1239" s="8"/>
      <c r="D1239" s="8"/>
      <c r="E1239" s="223" t="s">
        <v>5415</v>
      </c>
      <c r="F1239" s="133"/>
      <c r="G1239" s="200"/>
      <c r="H1239" s="256">
        <f>ROUND(+H1237+H1228+H1220+H1205,0)</f>
        <v>2150</v>
      </c>
    </row>
    <row r="1244" spans="1:8" ht="18.75" x14ac:dyDescent="0.25">
      <c r="A1244" s="133"/>
      <c r="B1244" s="2506" t="s">
        <v>5400</v>
      </c>
      <c r="C1244" s="2506"/>
      <c r="D1244" s="2506"/>
      <c r="E1244" s="2506"/>
      <c r="F1244" s="2506"/>
      <c r="G1244" s="2506"/>
      <c r="H1244" s="8"/>
    </row>
    <row r="1245" spans="1:8" x14ac:dyDescent="0.25">
      <c r="A1245" s="133"/>
      <c r="B1245" s="8"/>
      <c r="C1245" s="8"/>
      <c r="D1245" s="8"/>
      <c r="E1245" s="8"/>
      <c r="F1245" s="133"/>
      <c r="G1245" s="200"/>
      <c r="H1245" s="200"/>
    </row>
    <row r="1246" spans="1:8" x14ac:dyDescent="0.25">
      <c r="A1246" s="133"/>
      <c r="B1246" s="8"/>
      <c r="C1246" s="8"/>
      <c r="D1246" s="8"/>
      <c r="E1246" s="8"/>
      <c r="F1246" s="133"/>
      <c r="G1246" s="200"/>
      <c r="H1246" s="200"/>
    </row>
    <row r="1247" spans="1:8" x14ac:dyDescent="0.25">
      <c r="A1247" s="133"/>
      <c r="B1247" s="8"/>
      <c r="C1247" s="8"/>
      <c r="D1247" s="8"/>
      <c r="E1247" s="8"/>
      <c r="F1247" s="133"/>
      <c r="G1247" s="200"/>
      <c r="H1247" s="200"/>
    </row>
    <row r="1248" spans="1:8" ht="15" customHeight="1" x14ac:dyDescent="0.25">
      <c r="A1248" s="220" t="s">
        <v>5482</v>
      </c>
      <c r="B1248" s="221" t="s">
        <v>326</v>
      </c>
      <c r="C1248" s="2449" t="s">
        <v>5504</v>
      </c>
      <c r="D1248" s="2449"/>
      <c r="E1248" s="2449"/>
      <c r="F1248" s="220" t="s">
        <v>867</v>
      </c>
      <c r="G1248" s="222" t="s">
        <v>5424</v>
      </c>
      <c r="H1248" s="200"/>
    </row>
    <row r="1249" spans="1:8" x14ac:dyDescent="0.25">
      <c r="A1249" s="133"/>
      <c r="B1249" s="8"/>
      <c r="C1249" s="223"/>
      <c r="D1249" s="223"/>
      <c r="E1249" s="223"/>
      <c r="F1249" s="133"/>
      <c r="G1249" s="200"/>
      <c r="H1249" s="200"/>
    </row>
    <row r="1250" spans="1:8" x14ac:dyDescent="0.25">
      <c r="A1250" s="133"/>
      <c r="B1250" s="8"/>
      <c r="C1250" s="8"/>
      <c r="D1250" s="8"/>
      <c r="E1250" s="8"/>
      <c r="F1250" s="8"/>
      <c r="G1250" s="8"/>
      <c r="H1250" s="200"/>
    </row>
    <row r="1251" spans="1:8" ht="15.75" thickBot="1" x14ac:dyDescent="0.3">
      <c r="A1251" s="133"/>
      <c r="B1251" s="8"/>
      <c r="C1251" s="8"/>
      <c r="D1251" s="8"/>
      <c r="E1251" s="8"/>
      <c r="F1251" s="133"/>
      <c r="G1251" s="200"/>
      <c r="H1251" s="200"/>
    </row>
    <row r="1252" spans="1:8" ht="15.75" thickBot="1" x14ac:dyDescent="0.3">
      <c r="A1252" s="133"/>
      <c r="B1252" s="224" t="s">
        <v>5403</v>
      </c>
      <c r="C1252" s="193" t="s">
        <v>867</v>
      </c>
      <c r="D1252" s="193" t="s">
        <v>6</v>
      </c>
      <c r="E1252" s="193" t="s">
        <v>5439</v>
      </c>
      <c r="F1252" s="193" t="s">
        <v>5405</v>
      </c>
      <c r="G1252" s="225" t="s">
        <v>868</v>
      </c>
      <c r="H1252" s="200"/>
    </row>
    <row r="1253" spans="1:8" x14ac:dyDescent="0.25">
      <c r="A1253" s="133"/>
      <c r="B1253" s="195" t="s">
        <v>5440</v>
      </c>
      <c r="C1253" s="226" t="s">
        <v>5402</v>
      </c>
      <c r="D1253" s="226">
        <v>1</v>
      </c>
      <c r="E1253" s="227">
        <f>+H1291</f>
        <v>2889.083333333333</v>
      </c>
      <c r="F1253" s="226">
        <v>0.1</v>
      </c>
      <c r="G1253" s="229">
        <f>+E1253*F1253</f>
        <v>288.9083333333333</v>
      </c>
      <c r="H1253" s="200"/>
    </row>
    <row r="1254" spans="1:8" x14ac:dyDescent="0.25">
      <c r="A1254" s="133"/>
      <c r="B1254" s="195"/>
      <c r="C1254" s="226"/>
      <c r="D1254" s="226"/>
      <c r="E1254" s="230"/>
      <c r="F1254" s="226"/>
      <c r="G1254" s="229">
        <f>+E1254*F1254</f>
        <v>0</v>
      </c>
      <c r="H1254" s="200"/>
    </row>
    <row r="1255" spans="1:8" x14ac:dyDescent="0.25">
      <c r="A1255" s="133"/>
      <c r="B1255" s="195"/>
      <c r="C1255" s="226"/>
      <c r="D1255" s="226"/>
      <c r="E1255" s="176"/>
      <c r="F1255" s="226"/>
      <c r="G1255" s="229"/>
      <c r="H1255" s="200"/>
    </row>
    <row r="1256" spans="1:8" x14ac:dyDescent="0.25">
      <c r="A1256" s="133"/>
      <c r="B1256" s="195"/>
      <c r="C1256" s="226"/>
      <c r="D1256" s="226"/>
      <c r="E1256" s="171"/>
      <c r="F1256" s="226"/>
      <c r="G1256" s="231"/>
      <c r="H1256" s="200"/>
    </row>
    <row r="1257" spans="1:8" x14ac:dyDescent="0.25">
      <c r="A1257" s="133"/>
      <c r="B1257" s="195"/>
      <c r="C1257" s="226"/>
      <c r="D1257" s="232"/>
      <c r="E1257" s="232"/>
      <c r="F1257" s="226"/>
      <c r="G1257" s="229"/>
      <c r="H1257" s="200"/>
    </row>
    <row r="1258" spans="1:8" ht="15.75" thickBot="1" x14ac:dyDescent="0.3">
      <c r="A1258" s="133"/>
      <c r="B1258" s="195"/>
      <c r="C1258" s="226"/>
      <c r="D1258" s="232"/>
      <c r="E1258" s="232"/>
      <c r="F1258" s="226"/>
      <c r="G1258" s="229"/>
      <c r="H1258" s="200"/>
    </row>
    <row r="1259" spans="1:8" ht="15.75" thickBot="1" x14ac:dyDescent="0.3">
      <c r="A1259" s="133"/>
      <c r="B1259" s="233"/>
      <c r="C1259" s="234"/>
      <c r="D1259" s="234"/>
      <c r="E1259" s="234"/>
      <c r="F1259" s="235"/>
      <c r="G1259" s="236"/>
      <c r="H1259" s="237">
        <f>+SUM(G1253:G1259)</f>
        <v>288.9083333333333</v>
      </c>
    </row>
    <row r="1260" spans="1:8" ht="15.75" thickBot="1" x14ac:dyDescent="0.3">
      <c r="A1260" s="133"/>
      <c r="B1260" s="238"/>
      <c r="C1260" s="238"/>
      <c r="D1260" s="238"/>
      <c r="E1260" s="238"/>
      <c r="F1260" s="239"/>
      <c r="G1260" s="240"/>
      <c r="H1260" s="241"/>
    </row>
    <row r="1261" spans="1:8" ht="15.75" thickBot="1" x14ac:dyDescent="0.3">
      <c r="A1261" s="133"/>
      <c r="B1261" s="224" t="s">
        <v>5408</v>
      </c>
      <c r="C1261" s="193" t="s">
        <v>867</v>
      </c>
      <c r="D1261" s="193" t="s">
        <v>6</v>
      </c>
      <c r="E1261" s="193" t="s">
        <v>870</v>
      </c>
      <c r="F1261" s="193" t="s">
        <v>5409</v>
      </c>
      <c r="G1261" s="225" t="s">
        <v>868</v>
      </c>
      <c r="H1261" s="200"/>
    </row>
    <row r="1262" spans="1:8" x14ac:dyDescent="0.25">
      <c r="A1262" s="133"/>
      <c r="B1262" s="452" t="s">
        <v>6060</v>
      </c>
      <c r="C1262" s="202"/>
      <c r="D1262" s="226"/>
      <c r="E1262" s="244"/>
      <c r="F1262" s="169"/>
      <c r="G1262" s="178">
        <f>+D1262*E1262*(1+F1262)</f>
        <v>0</v>
      </c>
      <c r="H1262" s="200"/>
    </row>
    <row r="1263" spans="1:8" x14ac:dyDescent="0.25">
      <c r="A1263" s="133"/>
      <c r="B1263" s="260"/>
      <c r="C1263" s="202"/>
      <c r="D1263" s="202"/>
      <c r="E1263" s="257"/>
      <c r="F1263" s="169"/>
      <c r="G1263" s="178">
        <f>+D1263*E1263*(1+F1263)</f>
        <v>0</v>
      </c>
      <c r="H1263" s="200"/>
    </row>
    <row r="1264" spans="1:8" x14ac:dyDescent="0.25">
      <c r="A1264" s="133"/>
      <c r="B1264" s="260"/>
      <c r="C1264" s="226"/>
      <c r="D1264" s="226"/>
      <c r="E1264" s="244"/>
      <c r="F1264" s="169"/>
      <c r="G1264" s="178">
        <f>+D1264*E1264*(1+F1264)</f>
        <v>0</v>
      </c>
      <c r="H1264" s="200"/>
    </row>
    <row r="1265" spans="1:8" x14ac:dyDescent="0.25">
      <c r="A1265" s="133"/>
      <c r="B1265" s="260"/>
      <c r="C1265" s="226"/>
      <c r="D1265" s="226"/>
      <c r="E1265" s="244"/>
      <c r="F1265" s="169"/>
      <c r="G1265" s="178">
        <f>+D1265*E1265*(1+F1265)</f>
        <v>0</v>
      </c>
      <c r="H1265" s="200"/>
    </row>
    <row r="1266" spans="1:8" x14ac:dyDescent="0.25">
      <c r="A1266" s="133"/>
      <c r="B1266" s="195"/>
      <c r="C1266" s="226"/>
      <c r="D1266" s="226"/>
      <c r="E1266" s="171"/>
      <c r="F1266" s="169"/>
      <c r="G1266" s="178"/>
      <c r="H1266" s="200"/>
    </row>
    <row r="1267" spans="1:8" x14ac:dyDescent="0.25">
      <c r="A1267" s="133"/>
      <c r="B1267" s="194"/>
      <c r="C1267" s="202"/>
      <c r="D1267" s="202"/>
      <c r="E1267" s="171"/>
      <c r="F1267" s="169"/>
      <c r="G1267" s="178"/>
      <c r="H1267" s="200"/>
    </row>
    <row r="1268" spans="1:8" x14ac:dyDescent="0.25">
      <c r="A1268" s="133"/>
      <c r="B1268" s="195"/>
      <c r="C1268" s="226"/>
      <c r="D1268" s="226"/>
      <c r="E1268" s="171"/>
      <c r="F1268" s="169"/>
      <c r="G1268" s="178"/>
      <c r="H1268" s="200"/>
    </row>
    <row r="1269" spans="1:8" x14ac:dyDescent="0.25">
      <c r="A1269" s="133"/>
      <c r="B1269" s="195"/>
      <c r="C1269" s="226"/>
      <c r="D1269" s="226"/>
      <c r="E1269" s="171"/>
      <c r="F1269" s="169"/>
      <c r="G1269" s="178"/>
      <c r="H1269" s="200"/>
    </row>
    <row r="1270" spans="1:8" x14ac:dyDescent="0.25">
      <c r="A1270" s="133"/>
      <c r="B1270" s="195"/>
      <c r="C1270" s="232"/>
      <c r="D1270" s="232"/>
      <c r="E1270" s="232"/>
      <c r="F1270" s="226"/>
      <c r="G1270" s="229"/>
      <c r="H1270" s="200"/>
    </row>
    <row r="1271" spans="1:8" x14ac:dyDescent="0.25">
      <c r="A1271" s="133"/>
      <c r="B1271" s="195"/>
      <c r="C1271" s="232"/>
      <c r="D1271" s="232"/>
      <c r="E1271" s="232"/>
      <c r="F1271" s="226"/>
      <c r="G1271" s="229"/>
      <c r="H1271" s="200"/>
    </row>
    <row r="1272" spans="1:8" x14ac:dyDescent="0.25">
      <c r="A1272" s="133"/>
      <c r="B1272" s="195"/>
      <c r="C1272" s="232"/>
      <c r="D1272" s="232"/>
      <c r="E1272" s="232"/>
      <c r="F1272" s="226"/>
      <c r="G1272" s="229"/>
      <c r="H1272" s="200"/>
    </row>
    <row r="1273" spans="1:8" ht="15.75" thickBot="1" x14ac:dyDescent="0.3">
      <c r="A1273" s="133"/>
      <c r="B1273" s="195"/>
      <c r="C1273" s="232"/>
      <c r="D1273" s="232"/>
      <c r="E1273" s="232"/>
      <c r="F1273" s="226"/>
      <c r="G1273" s="229"/>
      <c r="H1273" s="200"/>
    </row>
    <row r="1274" spans="1:8" ht="15.75" thickBot="1" x14ac:dyDescent="0.3">
      <c r="A1274" s="133"/>
      <c r="B1274" s="233"/>
      <c r="C1274" s="234"/>
      <c r="D1274" s="234"/>
      <c r="E1274" s="234"/>
      <c r="F1274" s="235"/>
      <c r="G1274" s="236"/>
      <c r="H1274" s="256">
        <f>+SUM(G1262:G1274)</f>
        <v>0</v>
      </c>
    </row>
    <row r="1275" spans="1:8" ht="15.75" thickBot="1" x14ac:dyDescent="0.3">
      <c r="A1275" s="133"/>
      <c r="B1275" s="238"/>
      <c r="C1275" s="238"/>
      <c r="D1275" s="238"/>
      <c r="E1275" s="238"/>
      <c r="F1275" s="239"/>
      <c r="G1275" s="240"/>
      <c r="H1275" s="241"/>
    </row>
    <row r="1276" spans="1:8" ht="15.75" thickBot="1" x14ac:dyDescent="0.3">
      <c r="A1276" s="133"/>
      <c r="B1276" s="224" t="s">
        <v>5410</v>
      </c>
      <c r="C1276" s="193" t="s">
        <v>867</v>
      </c>
      <c r="D1276" s="193" t="s">
        <v>6</v>
      </c>
      <c r="E1276" s="193" t="s">
        <v>870</v>
      </c>
      <c r="F1276" s="193" t="s">
        <v>5411</v>
      </c>
      <c r="G1276" s="225" t="s">
        <v>868</v>
      </c>
      <c r="H1276" s="200"/>
    </row>
    <row r="1277" spans="1:8" x14ac:dyDescent="0.25">
      <c r="A1277" s="133"/>
      <c r="B1277" s="245"/>
      <c r="C1277" s="202"/>
      <c r="D1277" s="202"/>
      <c r="E1277" s="175"/>
      <c r="F1277" s="202"/>
      <c r="G1277" s="203"/>
      <c r="H1277" s="246"/>
    </row>
    <row r="1278" spans="1:8" x14ac:dyDescent="0.25">
      <c r="A1278" s="133"/>
      <c r="B1278" s="247"/>
      <c r="C1278" s="248"/>
      <c r="D1278" s="248"/>
      <c r="E1278" s="248"/>
      <c r="F1278" s="202"/>
      <c r="G1278" s="178"/>
      <c r="H1278" s="200"/>
    </row>
    <row r="1279" spans="1:8" x14ac:dyDescent="0.25">
      <c r="A1279" s="133"/>
      <c r="B1279" s="247"/>
      <c r="C1279" s="232"/>
      <c r="D1279" s="232"/>
      <c r="E1279" s="232"/>
      <c r="F1279" s="226"/>
      <c r="G1279" s="229"/>
      <c r="H1279" s="200"/>
    </row>
    <row r="1280" spans="1:8" x14ac:dyDescent="0.25">
      <c r="A1280" s="133"/>
      <c r="B1280" s="194"/>
      <c r="C1280" s="232"/>
      <c r="D1280" s="232"/>
      <c r="E1280" s="232"/>
      <c r="F1280" s="226"/>
      <c r="G1280" s="229"/>
      <c r="H1280" s="200"/>
    </row>
    <row r="1281" spans="1:8" ht="15.75" thickBot="1" x14ac:dyDescent="0.3">
      <c r="A1281" s="133"/>
      <c r="B1281" s="195"/>
      <c r="C1281" s="232"/>
      <c r="D1281" s="232"/>
      <c r="E1281" s="232"/>
      <c r="F1281" s="226"/>
      <c r="G1281" s="229"/>
      <c r="H1281" s="200"/>
    </row>
    <row r="1282" spans="1:8" ht="15.75" thickBot="1" x14ac:dyDescent="0.3">
      <c r="A1282" s="133"/>
      <c r="B1282" s="233"/>
      <c r="C1282" s="234"/>
      <c r="D1282" s="234"/>
      <c r="E1282" s="234"/>
      <c r="F1282" s="235"/>
      <c r="G1282" s="236"/>
      <c r="H1282" s="237">
        <f>+SUM(G1277:G1282)</f>
        <v>0</v>
      </c>
    </row>
    <row r="1283" spans="1:8" ht="15.75" thickBot="1" x14ac:dyDescent="0.3">
      <c r="A1283" s="133"/>
      <c r="B1283" s="238"/>
      <c r="C1283" s="238"/>
      <c r="D1283" s="238"/>
      <c r="E1283" s="238"/>
      <c r="F1283" s="249"/>
      <c r="G1283" s="250"/>
      <c r="H1283" s="241"/>
    </row>
    <row r="1284" spans="1:8" ht="15.75" thickBot="1" x14ac:dyDescent="0.3">
      <c r="A1284" s="133"/>
      <c r="B1284" s="224" t="s">
        <v>5412</v>
      </c>
      <c r="C1284" s="193" t="s">
        <v>5420</v>
      </c>
      <c r="D1284" s="193" t="s">
        <v>5421</v>
      </c>
      <c r="E1284" s="193" t="s">
        <v>5413</v>
      </c>
      <c r="F1284" s="193" t="s">
        <v>5405</v>
      </c>
      <c r="G1284" s="225" t="s">
        <v>868</v>
      </c>
      <c r="H1284" s="200"/>
    </row>
    <row r="1285" spans="1:8" x14ac:dyDescent="0.25">
      <c r="A1285" s="133"/>
      <c r="B1285" s="194" t="s">
        <v>5948</v>
      </c>
      <c r="C1285" s="345">
        <v>70000</v>
      </c>
      <c r="D1285" s="176">
        <f>+C1285*0.85</f>
        <v>59500</v>
      </c>
      <c r="E1285" s="176">
        <f>+C1285+D1285</f>
        <v>129500</v>
      </c>
      <c r="F1285" s="204">
        <v>1500</v>
      </c>
      <c r="G1285" s="178">
        <f>+E1285/F1285</f>
        <v>86.333333333333329</v>
      </c>
      <c r="H1285" s="200"/>
    </row>
    <row r="1286" spans="1:8" x14ac:dyDescent="0.25">
      <c r="A1286" s="133"/>
      <c r="B1286" s="194" t="s">
        <v>5651</v>
      </c>
      <c r="C1286" s="345">
        <v>40000</v>
      </c>
      <c r="D1286" s="176">
        <f>+C1286*0.85</f>
        <v>34000</v>
      </c>
      <c r="E1286" s="176">
        <f>+C1286+D1286</f>
        <v>74000</v>
      </c>
      <c r="F1286" s="202">
        <v>40</v>
      </c>
      <c r="G1286" s="178">
        <f>+E1286/F1286</f>
        <v>1850</v>
      </c>
      <c r="H1286" s="200"/>
    </row>
    <row r="1287" spans="1:8" x14ac:dyDescent="0.25">
      <c r="A1287" s="133"/>
      <c r="B1287" s="195" t="s">
        <v>5635</v>
      </c>
      <c r="C1287" s="345">
        <v>20600</v>
      </c>
      <c r="D1287" s="176">
        <f>+C1287*0.85</f>
        <v>17510</v>
      </c>
      <c r="E1287" s="176">
        <f>+C1287+D1287</f>
        <v>38110</v>
      </c>
      <c r="F1287" s="226">
        <v>40</v>
      </c>
      <c r="G1287" s="178">
        <f>+E1287/F1287</f>
        <v>952.75</v>
      </c>
      <c r="H1287" s="200"/>
    </row>
    <row r="1288" spans="1:8" x14ac:dyDescent="0.25">
      <c r="A1288" s="133"/>
      <c r="B1288" s="195"/>
      <c r="C1288" s="171"/>
      <c r="D1288" s="176"/>
      <c r="E1288" s="176"/>
      <c r="F1288" s="226"/>
      <c r="G1288" s="178"/>
      <c r="H1288" s="200"/>
    </row>
    <row r="1289" spans="1:8" x14ac:dyDescent="0.25">
      <c r="A1289" s="133"/>
      <c r="B1289" s="195"/>
      <c r="C1289" s="232"/>
      <c r="D1289" s="232"/>
      <c r="E1289" s="232"/>
      <c r="F1289" s="226"/>
      <c r="G1289" s="229"/>
      <c r="H1289" s="200"/>
    </row>
    <row r="1290" spans="1:8" ht="15.75" thickBot="1" x14ac:dyDescent="0.3">
      <c r="A1290" s="133"/>
      <c r="B1290" s="195"/>
      <c r="C1290" s="232"/>
      <c r="D1290" s="232"/>
      <c r="E1290" s="232"/>
      <c r="F1290" s="226"/>
      <c r="G1290" s="229"/>
      <c r="H1290" s="200"/>
    </row>
    <row r="1291" spans="1:8" ht="15.75" thickBot="1" x14ac:dyDescent="0.3">
      <c r="A1291" s="133"/>
      <c r="B1291" s="251"/>
      <c r="C1291" s="252"/>
      <c r="D1291" s="252"/>
      <c r="E1291" s="252"/>
      <c r="F1291" s="253"/>
      <c r="G1291" s="254"/>
      <c r="H1291" s="256">
        <f>+SUM(G1285:G1291)</f>
        <v>2889.083333333333</v>
      </c>
    </row>
    <row r="1292" spans="1:8" ht="15.75" thickBot="1" x14ac:dyDescent="0.3">
      <c r="A1292" s="133"/>
      <c r="B1292" s="8"/>
      <c r="C1292" s="8"/>
      <c r="D1292" s="8"/>
      <c r="E1292" s="8"/>
      <c r="F1292" s="133"/>
      <c r="G1292" s="200"/>
      <c r="H1292" s="200"/>
    </row>
    <row r="1293" spans="1:8" ht="15.75" thickBot="1" x14ac:dyDescent="0.3">
      <c r="A1293" s="133"/>
      <c r="B1293" s="8"/>
      <c r="C1293" s="8"/>
      <c r="D1293" s="8"/>
      <c r="E1293" s="223" t="s">
        <v>5415</v>
      </c>
      <c r="F1293" s="133"/>
      <c r="G1293" s="200"/>
      <c r="H1293" s="256">
        <f>ROUND(+H1291+H1282+H1274+H1259,0)</f>
        <v>3178</v>
      </c>
    </row>
    <row r="1298" spans="1:8" ht="18.75" x14ac:dyDescent="0.25">
      <c r="A1298" s="133"/>
      <c r="B1298" s="2506" t="s">
        <v>5400</v>
      </c>
      <c r="C1298" s="2506"/>
      <c r="D1298" s="2506"/>
      <c r="E1298" s="2506"/>
      <c r="F1298" s="2506"/>
      <c r="G1298" s="2506"/>
      <c r="H1298" s="8"/>
    </row>
    <row r="1299" spans="1:8" x14ac:dyDescent="0.25">
      <c r="A1299" s="133"/>
      <c r="B1299" s="8"/>
      <c r="C1299" s="8"/>
      <c r="D1299" s="8"/>
      <c r="E1299" s="8"/>
      <c r="F1299" s="133"/>
      <c r="G1299" s="200"/>
      <c r="H1299" s="200"/>
    </row>
    <row r="1300" spans="1:8" x14ac:dyDescent="0.25">
      <c r="A1300" s="133"/>
      <c r="B1300" s="8"/>
      <c r="C1300" s="8"/>
      <c r="D1300" s="8"/>
      <c r="E1300" s="8"/>
      <c r="F1300" s="133"/>
      <c r="G1300" s="200"/>
      <c r="H1300" s="200"/>
    </row>
    <row r="1301" spans="1:8" x14ac:dyDescent="0.25">
      <c r="A1301" s="133"/>
      <c r="B1301" s="8"/>
      <c r="C1301" s="8"/>
      <c r="D1301" s="8"/>
      <c r="E1301" s="8"/>
      <c r="F1301" s="133"/>
      <c r="G1301" s="200"/>
      <c r="H1301" s="200"/>
    </row>
    <row r="1302" spans="1:8" ht="15" customHeight="1" x14ac:dyDescent="0.25">
      <c r="A1302" s="220" t="s">
        <v>5482</v>
      </c>
      <c r="B1302" s="221" t="s">
        <v>327</v>
      </c>
      <c r="C1302" s="2449" t="s">
        <v>5505</v>
      </c>
      <c r="D1302" s="2449"/>
      <c r="E1302" s="2449"/>
      <c r="F1302" s="220" t="s">
        <v>867</v>
      </c>
      <c r="G1302" s="222" t="s">
        <v>5424</v>
      </c>
      <c r="H1302" s="200"/>
    </row>
    <row r="1303" spans="1:8" x14ac:dyDescent="0.25">
      <c r="A1303" s="133"/>
      <c r="B1303" s="8"/>
      <c r="C1303" s="223"/>
      <c r="D1303" s="223"/>
      <c r="E1303" s="223"/>
      <c r="F1303" s="133"/>
      <c r="G1303" s="200"/>
      <c r="H1303" s="200"/>
    </row>
    <row r="1304" spans="1:8" x14ac:dyDescent="0.25">
      <c r="A1304" s="133"/>
      <c r="B1304" s="8"/>
      <c r="C1304" s="8"/>
      <c r="D1304" s="8"/>
      <c r="E1304" s="8"/>
      <c r="F1304" s="8"/>
      <c r="G1304" s="8"/>
      <c r="H1304" s="200"/>
    </row>
    <row r="1305" spans="1:8" ht="15.75" thickBot="1" x14ac:dyDescent="0.3">
      <c r="A1305" s="133"/>
      <c r="B1305" s="8"/>
      <c r="C1305" s="8"/>
      <c r="D1305" s="8"/>
      <c r="E1305" s="8"/>
      <c r="F1305" s="133"/>
      <c r="G1305" s="200"/>
      <c r="H1305" s="200"/>
    </row>
    <row r="1306" spans="1:8" ht="15.75" thickBot="1" x14ac:dyDescent="0.3">
      <c r="A1306" s="133"/>
      <c r="B1306" s="224" t="s">
        <v>5403</v>
      </c>
      <c r="C1306" s="193" t="s">
        <v>867</v>
      </c>
      <c r="D1306" s="193" t="s">
        <v>6</v>
      </c>
      <c r="E1306" s="193" t="s">
        <v>5439</v>
      </c>
      <c r="F1306" s="193" t="s">
        <v>5405</v>
      </c>
      <c r="G1306" s="225" t="s">
        <v>868</v>
      </c>
      <c r="H1306" s="200"/>
    </row>
    <row r="1307" spans="1:8" x14ac:dyDescent="0.25">
      <c r="A1307" s="133"/>
      <c r="B1307" s="195" t="s">
        <v>5440</v>
      </c>
      <c r="C1307" s="226" t="s">
        <v>5402</v>
      </c>
      <c r="D1307" s="226">
        <v>1</v>
      </c>
      <c r="E1307" s="227">
        <f>+H1345</f>
        <v>5691.8333333333339</v>
      </c>
      <c r="F1307" s="226">
        <v>0.1</v>
      </c>
      <c r="G1307" s="229">
        <f>+E1307*F1307</f>
        <v>569.18333333333339</v>
      </c>
      <c r="H1307" s="200"/>
    </row>
    <row r="1308" spans="1:8" x14ac:dyDescent="0.25">
      <c r="A1308" s="133"/>
      <c r="B1308" s="195"/>
      <c r="C1308" s="226"/>
      <c r="D1308" s="226"/>
      <c r="E1308" s="230"/>
      <c r="F1308" s="226"/>
      <c r="G1308" s="229">
        <f>+E1308*F1308</f>
        <v>0</v>
      </c>
      <c r="H1308" s="200"/>
    </row>
    <row r="1309" spans="1:8" x14ac:dyDescent="0.25">
      <c r="A1309" s="133"/>
      <c r="B1309" s="195"/>
      <c r="C1309" s="226"/>
      <c r="D1309" s="226"/>
      <c r="E1309" s="176"/>
      <c r="F1309" s="226"/>
      <c r="G1309" s="229"/>
      <c r="H1309" s="200"/>
    </row>
    <row r="1310" spans="1:8" x14ac:dyDescent="0.25">
      <c r="A1310" s="133"/>
      <c r="B1310" s="195"/>
      <c r="C1310" s="226"/>
      <c r="D1310" s="226"/>
      <c r="E1310" s="171"/>
      <c r="F1310" s="226"/>
      <c r="G1310" s="231"/>
      <c r="H1310" s="200"/>
    </row>
    <row r="1311" spans="1:8" x14ac:dyDescent="0.25">
      <c r="A1311" s="133"/>
      <c r="B1311" s="195"/>
      <c r="C1311" s="226"/>
      <c r="D1311" s="232"/>
      <c r="E1311" s="232"/>
      <c r="F1311" s="226"/>
      <c r="G1311" s="229"/>
      <c r="H1311" s="200"/>
    </row>
    <row r="1312" spans="1:8" ht="15.75" thickBot="1" x14ac:dyDescent="0.3">
      <c r="A1312" s="133"/>
      <c r="B1312" s="195"/>
      <c r="C1312" s="226"/>
      <c r="D1312" s="232"/>
      <c r="E1312" s="232"/>
      <c r="F1312" s="226"/>
      <c r="G1312" s="229"/>
      <c r="H1312" s="200"/>
    </row>
    <row r="1313" spans="1:8" ht="15.75" thickBot="1" x14ac:dyDescent="0.3">
      <c r="A1313" s="133"/>
      <c r="B1313" s="233"/>
      <c r="C1313" s="234"/>
      <c r="D1313" s="234"/>
      <c r="E1313" s="234"/>
      <c r="F1313" s="235"/>
      <c r="G1313" s="236"/>
      <c r="H1313" s="237">
        <f>+SUM(G1307:G1313)</f>
        <v>569.18333333333339</v>
      </c>
    </row>
    <row r="1314" spans="1:8" ht="15.75" thickBot="1" x14ac:dyDescent="0.3">
      <c r="A1314" s="133"/>
      <c r="B1314" s="238"/>
      <c r="C1314" s="238"/>
      <c r="D1314" s="238"/>
      <c r="E1314" s="238"/>
      <c r="F1314" s="239"/>
      <c r="G1314" s="240"/>
      <c r="H1314" s="241"/>
    </row>
    <row r="1315" spans="1:8" ht="15.75" thickBot="1" x14ac:dyDescent="0.3">
      <c r="A1315" s="133"/>
      <c r="B1315" s="224" t="s">
        <v>5408</v>
      </c>
      <c r="C1315" s="193" t="s">
        <v>867</v>
      </c>
      <c r="D1315" s="193" t="s">
        <v>6</v>
      </c>
      <c r="E1315" s="193" t="s">
        <v>870</v>
      </c>
      <c r="F1315" s="193" t="s">
        <v>5409</v>
      </c>
      <c r="G1315" s="225" t="s">
        <v>868</v>
      </c>
      <c r="H1315" s="200"/>
    </row>
    <row r="1316" spans="1:8" x14ac:dyDescent="0.25">
      <c r="A1316" s="133"/>
      <c r="B1316" s="452" t="s">
        <v>6060</v>
      </c>
      <c r="C1316" s="202"/>
      <c r="D1316" s="226"/>
      <c r="E1316" s="244"/>
      <c r="F1316" s="169"/>
      <c r="G1316" s="178">
        <f>+D1316*E1316*(1+F1316)</f>
        <v>0</v>
      </c>
      <c r="H1316" s="200"/>
    </row>
    <row r="1317" spans="1:8" x14ac:dyDescent="0.25">
      <c r="A1317" s="133"/>
      <c r="B1317" s="260"/>
      <c r="C1317" s="202"/>
      <c r="D1317" s="202"/>
      <c r="E1317" s="257"/>
      <c r="F1317" s="169"/>
      <c r="G1317" s="178">
        <f>+D1317*E1317*(1+F1317)</f>
        <v>0</v>
      </c>
      <c r="H1317" s="200"/>
    </row>
    <row r="1318" spans="1:8" x14ac:dyDescent="0.25">
      <c r="A1318" s="133"/>
      <c r="B1318" s="260"/>
      <c r="C1318" s="226"/>
      <c r="D1318" s="226"/>
      <c r="E1318" s="244"/>
      <c r="F1318" s="169"/>
      <c r="G1318" s="178">
        <f>+D1318*E1318*(1+F1318)</f>
        <v>0</v>
      </c>
      <c r="H1318" s="200"/>
    </row>
    <row r="1319" spans="1:8" x14ac:dyDescent="0.25">
      <c r="A1319" s="133"/>
      <c r="B1319" s="260"/>
      <c r="C1319" s="226"/>
      <c r="D1319" s="226"/>
      <c r="E1319" s="244"/>
      <c r="F1319" s="169"/>
      <c r="G1319" s="178">
        <f>+D1319*E1319*(1+F1319)</f>
        <v>0</v>
      </c>
      <c r="H1319" s="200"/>
    </row>
    <row r="1320" spans="1:8" x14ac:dyDescent="0.25">
      <c r="A1320" s="133"/>
      <c r="B1320" s="195"/>
      <c r="C1320" s="226"/>
      <c r="D1320" s="226"/>
      <c r="E1320" s="171"/>
      <c r="F1320" s="169"/>
      <c r="G1320" s="178"/>
      <c r="H1320" s="200"/>
    </row>
    <row r="1321" spans="1:8" x14ac:dyDescent="0.25">
      <c r="A1321" s="133"/>
      <c r="B1321" s="194"/>
      <c r="C1321" s="202"/>
      <c r="D1321" s="202"/>
      <c r="E1321" s="171"/>
      <c r="F1321" s="169"/>
      <c r="G1321" s="178"/>
      <c r="H1321" s="200"/>
    </row>
    <row r="1322" spans="1:8" x14ac:dyDescent="0.25">
      <c r="A1322" s="133"/>
      <c r="B1322" s="195"/>
      <c r="C1322" s="226"/>
      <c r="D1322" s="226"/>
      <c r="E1322" s="171"/>
      <c r="F1322" s="169"/>
      <c r="G1322" s="178"/>
      <c r="H1322" s="200"/>
    </row>
    <row r="1323" spans="1:8" x14ac:dyDescent="0.25">
      <c r="A1323" s="133"/>
      <c r="B1323" s="195"/>
      <c r="C1323" s="226"/>
      <c r="D1323" s="226"/>
      <c r="E1323" s="171"/>
      <c r="F1323" s="169"/>
      <c r="G1323" s="178"/>
      <c r="H1323" s="200"/>
    </row>
    <row r="1324" spans="1:8" x14ac:dyDescent="0.25">
      <c r="A1324" s="133"/>
      <c r="B1324" s="195"/>
      <c r="C1324" s="232"/>
      <c r="D1324" s="232"/>
      <c r="E1324" s="232"/>
      <c r="F1324" s="226"/>
      <c r="G1324" s="229"/>
      <c r="H1324" s="200"/>
    </row>
    <row r="1325" spans="1:8" x14ac:dyDescent="0.25">
      <c r="A1325" s="133"/>
      <c r="B1325" s="195"/>
      <c r="C1325" s="232"/>
      <c r="D1325" s="232"/>
      <c r="E1325" s="232"/>
      <c r="F1325" s="226"/>
      <c r="G1325" s="229"/>
      <c r="H1325" s="200"/>
    </row>
    <row r="1326" spans="1:8" x14ac:dyDescent="0.25">
      <c r="A1326" s="133"/>
      <c r="B1326" s="195"/>
      <c r="C1326" s="232"/>
      <c r="D1326" s="232"/>
      <c r="E1326" s="232"/>
      <c r="F1326" s="226"/>
      <c r="G1326" s="229"/>
      <c r="H1326" s="200"/>
    </row>
    <row r="1327" spans="1:8" ht="15.75" thickBot="1" x14ac:dyDescent="0.3">
      <c r="A1327" s="133"/>
      <c r="B1327" s="195"/>
      <c r="C1327" s="232"/>
      <c r="D1327" s="232"/>
      <c r="E1327" s="232"/>
      <c r="F1327" s="226"/>
      <c r="G1327" s="229"/>
      <c r="H1327" s="200"/>
    </row>
    <row r="1328" spans="1:8" ht="15.75" thickBot="1" x14ac:dyDescent="0.3">
      <c r="A1328" s="133"/>
      <c r="B1328" s="233"/>
      <c r="C1328" s="234"/>
      <c r="D1328" s="234"/>
      <c r="E1328" s="234"/>
      <c r="F1328" s="235"/>
      <c r="G1328" s="236"/>
      <c r="H1328" s="256">
        <f>+SUM(G1316:G1328)</f>
        <v>0</v>
      </c>
    </row>
    <row r="1329" spans="1:8" ht="15.75" thickBot="1" x14ac:dyDescent="0.3">
      <c r="A1329" s="133"/>
      <c r="B1329" s="238"/>
      <c r="C1329" s="238"/>
      <c r="D1329" s="238"/>
      <c r="E1329" s="238"/>
      <c r="F1329" s="239"/>
      <c r="G1329" s="240"/>
      <c r="H1329" s="241"/>
    </row>
    <row r="1330" spans="1:8" ht="15.75" thickBot="1" x14ac:dyDescent="0.3">
      <c r="A1330" s="133"/>
      <c r="B1330" s="224" t="s">
        <v>5410</v>
      </c>
      <c r="C1330" s="193" t="s">
        <v>867</v>
      </c>
      <c r="D1330" s="193" t="s">
        <v>6</v>
      </c>
      <c r="E1330" s="193" t="s">
        <v>870</v>
      </c>
      <c r="F1330" s="193" t="s">
        <v>5411</v>
      </c>
      <c r="G1330" s="225" t="s">
        <v>868</v>
      </c>
      <c r="H1330" s="200"/>
    </row>
    <row r="1331" spans="1:8" x14ac:dyDescent="0.25">
      <c r="A1331" s="133"/>
      <c r="B1331" s="245"/>
      <c r="C1331" s="202"/>
      <c r="D1331" s="202"/>
      <c r="E1331" s="175"/>
      <c r="F1331" s="202"/>
      <c r="G1331" s="203"/>
      <c r="H1331" s="246"/>
    </row>
    <row r="1332" spans="1:8" x14ac:dyDescent="0.25">
      <c r="A1332" s="133"/>
      <c r="B1332" s="247"/>
      <c r="C1332" s="248"/>
      <c r="D1332" s="248"/>
      <c r="E1332" s="248"/>
      <c r="F1332" s="202"/>
      <c r="G1332" s="178"/>
      <c r="H1332" s="200"/>
    </row>
    <row r="1333" spans="1:8" x14ac:dyDescent="0.25">
      <c r="A1333" s="133"/>
      <c r="B1333" s="247"/>
      <c r="C1333" s="232"/>
      <c r="D1333" s="232"/>
      <c r="E1333" s="232"/>
      <c r="F1333" s="226"/>
      <c r="G1333" s="229"/>
      <c r="H1333" s="200"/>
    </row>
    <row r="1334" spans="1:8" x14ac:dyDescent="0.25">
      <c r="A1334" s="133"/>
      <c r="B1334" s="194"/>
      <c r="C1334" s="232"/>
      <c r="D1334" s="232"/>
      <c r="E1334" s="232"/>
      <c r="F1334" s="226"/>
      <c r="G1334" s="229"/>
      <c r="H1334" s="200"/>
    </row>
    <row r="1335" spans="1:8" ht="15.75" thickBot="1" x14ac:dyDescent="0.3">
      <c r="A1335" s="133"/>
      <c r="B1335" s="195"/>
      <c r="C1335" s="232"/>
      <c r="D1335" s="232"/>
      <c r="E1335" s="232"/>
      <c r="F1335" s="226"/>
      <c r="G1335" s="229"/>
      <c r="H1335" s="200"/>
    </row>
    <row r="1336" spans="1:8" ht="15.75" thickBot="1" x14ac:dyDescent="0.3">
      <c r="A1336" s="133"/>
      <c r="B1336" s="233"/>
      <c r="C1336" s="234"/>
      <c r="D1336" s="234"/>
      <c r="E1336" s="234"/>
      <c r="F1336" s="235"/>
      <c r="G1336" s="236"/>
      <c r="H1336" s="237">
        <f>+SUM(G1331:G1336)</f>
        <v>0</v>
      </c>
    </row>
    <row r="1337" spans="1:8" ht="15.75" thickBot="1" x14ac:dyDescent="0.3">
      <c r="A1337" s="133"/>
      <c r="B1337" s="238"/>
      <c r="C1337" s="238"/>
      <c r="D1337" s="238"/>
      <c r="E1337" s="238"/>
      <c r="F1337" s="249"/>
      <c r="G1337" s="250"/>
      <c r="H1337" s="241"/>
    </row>
    <row r="1338" spans="1:8" ht="15.75" thickBot="1" x14ac:dyDescent="0.3">
      <c r="A1338" s="133"/>
      <c r="B1338" s="224" t="s">
        <v>5412</v>
      </c>
      <c r="C1338" s="193" t="s">
        <v>5420</v>
      </c>
      <c r="D1338" s="193" t="s">
        <v>5421</v>
      </c>
      <c r="E1338" s="193" t="s">
        <v>5413</v>
      </c>
      <c r="F1338" s="193" t="s">
        <v>5405</v>
      </c>
      <c r="G1338" s="225" t="s">
        <v>868</v>
      </c>
      <c r="H1338" s="200"/>
    </row>
    <row r="1339" spans="1:8" x14ac:dyDescent="0.25">
      <c r="A1339" s="133"/>
      <c r="B1339" s="194" t="s">
        <v>5948</v>
      </c>
      <c r="C1339" s="345">
        <v>70000</v>
      </c>
      <c r="D1339" s="176">
        <f>+C1339*0.85</f>
        <v>59500</v>
      </c>
      <c r="E1339" s="176">
        <f>+C1339+D1339</f>
        <v>129500</v>
      </c>
      <c r="F1339" s="204">
        <v>1500</v>
      </c>
      <c r="G1339" s="178">
        <f>+E1339/F1339</f>
        <v>86.333333333333329</v>
      </c>
      <c r="H1339" s="200"/>
    </row>
    <row r="1340" spans="1:8" x14ac:dyDescent="0.25">
      <c r="A1340" s="133"/>
      <c r="B1340" s="194" t="s">
        <v>5651</v>
      </c>
      <c r="C1340" s="345">
        <v>40000</v>
      </c>
      <c r="D1340" s="176">
        <f>+C1340*0.85</f>
        <v>34000</v>
      </c>
      <c r="E1340" s="176">
        <f>+C1340+D1340</f>
        <v>74000</v>
      </c>
      <c r="F1340" s="202">
        <v>20</v>
      </c>
      <c r="G1340" s="178">
        <f>+E1340/F1340</f>
        <v>3700</v>
      </c>
      <c r="H1340" s="200"/>
    </row>
    <row r="1341" spans="1:8" x14ac:dyDescent="0.25">
      <c r="A1341" s="133"/>
      <c r="B1341" s="195" t="s">
        <v>5635</v>
      </c>
      <c r="C1341" s="345">
        <v>20600</v>
      </c>
      <c r="D1341" s="176">
        <f>+C1341*0.85</f>
        <v>17510</v>
      </c>
      <c r="E1341" s="176">
        <f>+C1341+D1341</f>
        <v>38110</v>
      </c>
      <c r="F1341" s="226">
        <v>20</v>
      </c>
      <c r="G1341" s="178">
        <f>+E1341/F1341</f>
        <v>1905.5</v>
      </c>
      <c r="H1341" s="200"/>
    </row>
    <row r="1342" spans="1:8" x14ac:dyDescent="0.25">
      <c r="A1342" s="133"/>
      <c r="B1342" s="195"/>
      <c r="C1342" s="171"/>
      <c r="D1342" s="176"/>
      <c r="E1342" s="176"/>
      <c r="F1342" s="226"/>
      <c r="G1342" s="178"/>
      <c r="H1342" s="200"/>
    </row>
    <row r="1343" spans="1:8" x14ac:dyDescent="0.25">
      <c r="A1343" s="133"/>
      <c r="B1343" s="195"/>
      <c r="C1343" s="232"/>
      <c r="D1343" s="232"/>
      <c r="E1343" s="232"/>
      <c r="F1343" s="226"/>
      <c r="G1343" s="229"/>
      <c r="H1343" s="200"/>
    </row>
    <row r="1344" spans="1:8" ht="15.75" thickBot="1" x14ac:dyDescent="0.3">
      <c r="A1344" s="133"/>
      <c r="B1344" s="195"/>
      <c r="C1344" s="232"/>
      <c r="D1344" s="232"/>
      <c r="E1344" s="232"/>
      <c r="F1344" s="226"/>
      <c r="G1344" s="229"/>
      <c r="H1344" s="200"/>
    </row>
    <row r="1345" spans="1:26" ht="15.75" thickBot="1" x14ac:dyDescent="0.3">
      <c r="A1345" s="133"/>
      <c r="B1345" s="251"/>
      <c r="C1345" s="252"/>
      <c r="D1345" s="252"/>
      <c r="E1345" s="252"/>
      <c r="F1345" s="253"/>
      <c r="G1345" s="254"/>
      <c r="H1345" s="256">
        <f>+SUM(G1339:G1345)</f>
        <v>5691.8333333333339</v>
      </c>
    </row>
    <row r="1346" spans="1:26" ht="15.75" thickBot="1" x14ac:dyDescent="0.3">
      <c r="A1346" s="133"/>
      <c r="B1346" s="8"/>
      <c r="C1346" s="8"/>
      <c r="D1346" s="8"/>
      <c r="E1346" s="8"/>
      <c r="F1346" s="133"/>
      <c r="G1346" s="200"/>
      <c r="H1346" s="200"/>
    </row>
    <row r="1347" spans="1:26" ht="15.75" thickBot="1" x14ac:dyDescent="0.3">
      <c r="A1347" s="133"/>
      <c r="B1347" s="8"/>
      <c r="C1347" s="8"/>
      <c r="D1347" s="8"/>
      <c r="E1347" s="223" t="s">
        <v>5415</v>
      </c>
      <c r="F1347" s="133"/>
      <c r="G1347" s="200"/>
      <c r="H1347" s="256">
        <f>ROUND(+H1345+H1336+H1328+H1313,0)</f>
        <v>6261</v>
      </c>
    </row>
    <row r="1352" spans="1:26" ht="18.75" x14ac:dyDescent="0.25">
      <c r="A1352" s="133"/>
      <c r="B1352" s="2506" t="s">
        <v>5400</v>
      </c>
      <c r="C1352" s="2506"/>
      <c r="D1352" s="2506"/>
      <c r="E1352" s="2506"/>
      <c r="F1352" s="2506"/>
      <c r="G1352" s="2506"/>
      <c r="H1352" s="8"/>
      <c r="I1352" s="133"/>
      <c r="J1352" s="2506" t="s">
        <v>5400</v>
      </c>
      <c r="K1352" s="2506"/>
      <c r="L1352" s="2506"/>
      <c r="M1352" s="2506"/>
      <c r="N1352" s="2506"/>
      <c r="O1352" s="2506"/>
      <c r="P1352" s="2506"/>
      <c r="Q1352" s="8"/>
      <c r="R1352" s="2506" t="s">
        <v>5400</v>
      </c>
      <c r="S1352" s="2506"/>
      <c r="T1352" s="2506"/>
      <c r="U1352" s="2506"/>
      <c r="V1352" s="2506"/>
      <c r="W1352" s="2506"/>
      <c r="X1352" s="454"/>
      <c r="Y1352" s="454"/>
      <c r="Z1352" s="8"/>
    </row>
    <row r="1353" spans="1:26" x14ac:dyDescent="0.25">
      <c r="A1353" s="133"/>
      <c r="B1353" s="8"/>
      <c r="C1353" s="8"/>
      <c r="D1353" s="8"/>
      <c r="E1353" s="8"/>
      <c r="F1353" s="133"/>
      <c r="G1353" s="200"/>
      <c r="H1353" s="200"/>
      <c r="I1353" s="133"/>
      <c r="J1353" s="8"/>
      <c r="K1353" s="8"/>
      <c r="L1353" s="8"/>
      <c r="M1353" s="8"/>
      <c r="N1353" s="8"/>
      <c r="O1353" s="133"/>
      <c r="P1353" s="200"/>
      <c r="Q1353" s="200"/>
      <c r="R1353" s="133"/>
      <c r="S1353" s="8"/>
      <c r="T1353" s="8"/>
      <c r="U1353" s="8"/>
      <c r="V1353" s="8"/>
      <c r="W1353" s="8"/>
      <c r="X1353" s="133"/>
      <c r="Y1353" s="200"/>
      <c r="Z1353" s="200"/>
    </row>
    <row r="1354" spans="1:26" x14ac:dyDescent="0.25">
      <c r="A1354" s="133"/>
      <c r="B1354" s="8"/>
      <c r="C1354" s="8"/>
      <c r="D1354" s="8"/>
      <c r="E1354" s="8"/>
      <c r="F1354" s="133"/>
      <c r="G1354" s="200"/>
      <c r="H1354" s="200"/>
      <c r="I1354" s="133"/>
      <c r="J1354" s="8"/>
      <c r="K1354" s="8"/>
      <c r="L1354" s="8"/>
      <c r="M1354" s="8"/>
      <c r="N1354" s="8"/>
      <c r="O1354" s="133"/>
      <c r="P1354" s="200"/>
      <c r="Q1354" s="200"/>
      <c r="R1354" s="133"/>
      <c r="S1354" s="8"/>
      <c r="T1354" s="8"/>
      <c r="U1354" s="8"/>
      <c r="V1354" s="8"/>
      <c r="W1354" s="133"/>
      <c r="X1354" s="200"/>
      <c r="Y1354" s="200"/>
    </row>
    <row r="1355" spans="1:26" x14ac:dyDescent="0.25">
      <c r="A1355" s="133"/>
      <c r="B1355" s="8"/>
      <c r="C1355" s="8"/>
      <c r="D1355" s="8"/>
      <c r="E1355" s="8"/>
      <c r="F1355" s="133"/>
      <c r="G1355" s="200"/>
      <c r="H1355" s="200"/>
      <c r="I1355" s="133"/>
      <c r="J1355" s="8"/>
      <c r="K1355" s="8"/>
      <c r="L1355" s="8"/>
      <c r="M1355" s="8"/>
      <c r="N1355" s="8"/>
      <c r="O1355" s="133"/>
      <c r="P1355" s="200"/>
      <c r="Q1355" s="200"/>
      <c r="R1355" s="133"/>
      <c r="S1355" s="8"/>
      <c r="T1355" s="8"/>
      <c r="U1355" s="8"/>
      <c r="V1355" s="8"/>
      <c r="W1355" s="133"/>
      <c r="X1355" s="200"/>
      <c r="Y1355" s="200"/>
    </row>
    <row r="1356" spans="1:26" ht="15" customHeight="1" x14ac:dyDescent="0.25">
      <c r="A1356" s="220" t="s">
        <v>5482</v>
      </c>
      <c r="B1356" s="221" t="s">
        <v>355</v>
      </c>
      <c r="C1356" s="2449" t="s">
        <v>5888</v>
      </c>
      <c r="D1356" s="2449"/>
      <c r="E1356" s="2449"/>
      <c r="F1356" s="220" t="s">
        <v>867</v>
      </c>
      <c r="G1356" s="222" t="s">
        <v>5402</v>
      </c>
      <c r="H1356" s="200"/>
      <c r="I1356" s="220" t="s">
        <v>5482</v>
      </c>
      <c r="J1356" s="221" t="s">
        <v>355</v>
      </c>
      <c r="K1356" s="2449" t="s">
        <v>5889</v>
      </c>
      <c r="L1356" s="2449"/>
      <c r="M1356" s="2449"/>
      <c r="N1356" s="220" t="s">
        <v>867</v>
      </c>
      <c r="O1356" s="222" t="s">
        <v>5402</v>
      </c>
      <c r="P1356" s="200"/>
      <c r="Q1356" s="220" t="s">
        <v>5482</v>
      </c>
      <c r="R1356" s="221" t="s">
        <v>355</v>
      </c>
      <c r="S1356" s="2449" t="s">
        <v>5890</v>
      </c>
      <c r="T1356" s="2449"/>
      <c r="U1356" s="2449"/>
      <c r="V1356" s="220" t="s">
        <v>867</v>
      </c>
      <c r="W1356" s="222" t="s">
        <v>5402</v>
      </c>
      <c r="X1356" s="200"/>
    </row>
    <row r="1357" spans="1:26" x14ac:dyDescent="0.25">
      <c r="A1357" s="133"/>
      <c r="B1357" s="8"/>
      <c r="C1357" s="223"/>
      <c r="D1357" s="223"/>
      <c r="E1357" s="223"/>
      <c r="F1357" s="133"/>
      <c r="G1357" s="200"/>
      <c r="H1357" s="200"/>
      <c r="I1357" s="133"/>
      <c r="J1357" s="8"/>
      <c r="K1357" s="223"/>
      <c r="L1357" s="223"/>
      <c r="M1357" s="223"/>
      <c r="N1357" s="133"/>
      <c r="O1357" s="200"/>
      <c r="P1357" s="200"/>
      <c r="Q1357" s="133"/>
      <c r="R1357" s="8"/>
      <c r="S1357" s="223"/>
      <c r="T1357" s="223"/>
      <c r="U1357" s="223"/>
      <c r="V1357" s="133"/>
      <c r="W1357" s="200"/>
      <c r="X1357" s="200"/>
    </row>
    <row r="1358" spans="1:26" x14ac:dyDescent="0.25">
      <c r="A1358" s="133"/>
      <c r="B1358" s="8"/>
      <c r="C1358" s="8"/>
      <c r="D1358" s="8"/>
      <c r="E1358" s="8"/>
      <c r="F1358" s="8"/>
      <c r="G1358" s="8"/>
      <c r="H1358" s="200"/>
      <c r="I1358" s="133"/>
      <c r="J1358" s="8"/>
      <c r="K1358" s="8"/>
      <c r="L1358" s="8"/>
      <c r="M1358" s="8"/>
      <c r="N1358" s="8"/>
      <c r="O1358" s="8"/>
      <c r="P1358" s="200"/>
      <c r="Q1358" s="133"/>
      <c r="R1358" s="8"/>
      <c r="S1358" s="8"/>
      <c r="T1358" s="8"/>
      <c r="U1358" s="8"/>
      <c r="V1358" s="8"/>
      <c r="W1358" s="8"/>
      <c r="X1358" s="200"/>
    </row>
    <row r="1359" spans="1:26" ht="15.75" thickBot="1" x14ac:dyDescent="0.3">
      <c r="A1359" s="133"/>
      <c r="B1359" s="8"/>
      <c r="C1359" s="8"/>
      <c r="D1359" s="8"/>
      <c r="E1359" s="8"/>
      <c r="F1359" s="133"/>
      <c r="G1359" s="200"/>
      <c r="H1359" s="200"/>
      <c r="I1359" s="133"/>
      <c r="J1359" s="8"/>
      <c r="K1359" s="8"/>
      <c r="L1359" s="8"/>
      <c r="M1359" s="8"/>
      <c r="N1359" s="133"/>
      <c r="O1359" s="200"/>
      <c r="P1359" s="200"/>
      <c r="Q1359" s="133"/>
      <c r="R1359" s="8"/>
      <c r="S1359" s="8"/>
      <c r="T1359" s="8"/>
      <c r="U1359" s="8"/>
      <c r="V1359" s="133"/>
      <c r="W1359" s="200"/>
      <c r="X1359" s="200"/>
    </row>
    <row r="1360" spans="1:26" ht="15.75" thickBot="1" x14ac:dyDescent="0.3">
      <c r="A1360" s="133"/>
      <c r="B1360" s="224" t="s">
        <v>5403</v>
      </c>
      <c r="C1360" s="193" t="s">
        <v>867</v>
      </c>
      <c r="D1360" s="193" t="s">
        <v>6</v>
      </c>
      <c r="E1360" s="193" t="s">
        <v>5439</v>
      </c>
      <c r="F1360" s="193" t="s">
        <v>5405</v>
      </c>
      <c r="G1360" s="225" t="s">
        <v>868</v>
      </c>
      <c r="H1360" s="200"/>
      <c r="I1360" s="133"/>
      <c r="J1360" s="224" t="s">
        <v>5403</v>
      </c>
      <c r="K1360" s="193" t="s">
        <v>867</v>
      </c>
      <c r="L1360" s="193" t="s">
        <v>6</v>
      </c>
      <c r="M1360" s="193" t="s">
        <v>5439</v>
      </c>
      <c r="N1360" s="193" t="s">
        <v>5405</v>
      </c>
      <c r="O1360" s="225" t="s">
        <v>868</v>
      </c>
      <c r="P1360" s="200"/>
      <c r="Q1360" s="133"/>
      <c r="R1360" s="224" t="s">
        <v>5403</v>
      </c>
      <c r="S1360" s="193" t="s">
        <v>867</v>
      </c>
      <c r="T1360" s="193" t="s">
        <v>6</v>
      </c>
      <c r="U1360" s="193" t="s">
        <v>5439</v>
      </c>
      <c r="V1360" s="193" t="s">
        <v>5405</v>
      </c>
      <c r="W1360" s="225" t="s">
        <v>868</v>
      </c>
      <c r="X1360" s="200"/>
    </row>
    <row r="1361" spans="1:24" x14ac:dyDescent="0.25">
      <c r="A1361" s="133"/>
      <c r="B1361" s="195" t="s">
        <v>5440</v>
      </c>
      <c r="C1361" s="226" t="s">
        <v>5402</v>
      </c>
      <c r="D1361" s="226">
        <v>1</v>
      </c>
      <c r="E1361" s="227">
        <f>+H1399</f>
        <v>2315.583333333333</v>
      </c>
      <c r="F1361" s="226">
        <v>0.1</v>
      </c>
      <c r="G1361" s="229">
        <f>+E1361*F1361</f>
        <v>231.55833333333331</v>
      </c>
      <c r="H1361" s="200"/>
      <c r="I1361" s="133"/>
      <c r="J1361" s="195" t="s">
        <v>5440</v>
      </c>
      <c r="K1361" s="226" t="s">
        <v>5402</v>
      </c>
      <c r="L1361" s="226">
        <v>1</v>
      </c>
      <c r="M1361" s="228">
        <f>+P1399</f>
        <v>3133.9</v>
      </c>
      <c r="N1361" s="226">
        <v>0.1</v>
      </c>
      <c r="O1361" s="229">
        <f>+M1361*N1361</f>
        <v>313.39000000000004</v>
      </c>
      <c r="P1361" s="200"/>
      <c r="Q1361" s="133"/>
      <c r="R1361" s="195" t="s">
        <v>5440</v>
      </c>
      <c r="S1361" s="226" t="s">
        <v>5402</v>
      </c>
      <c r="T1361" s="226">
        <v>1</v>
      </c>
      <c r="U1361" s="228">
        <f>+X1399</f>
        <v>3797.125</v>
      </c>
      <c r="V1361" s="226">
        <v>0.1</v>
      </c>
      <c r="W1361" s="229">
        <f>+U1361*V1361</f>
        <v>379.71250000000003</v>
      </c>
      <c r="X1361" s="200"/>
    </row>
    <row r="1362" spans="1:24" x14ac:dyDescent="0.25">
      <c r="A1362" s="133"/>
      <c r="B1362" s="195" t="s">
        <v>6061</v>
      </c>
      <c r="C1362" s="226" t="s">
        <v>5402</v>
      </c>
      <c r="D1362" s="226">
        <v>1</v>
      </c>
      <c r="E1362" s="230">
        <v>150000</v>
      </c>
      <c r="F1362" s="226">
        <v>2E-3</v>
      </c>
      <c r="G1362" s="229">
        <f>+E1362*F1362</f>
        <v>300</v>
      </c>
      <c r="H1362" s="200"/>
      <c r="I1362" s="133"/>
      <c r="J1362" s="195" t="s">
        <v>6061</v>
      </c>
      <c r="K1362" s="226" t="s">
        <v>5402</v>
      </c>
      <c r="L1362" s="226">
        <v>1</v>
      </c>
      <c r="M1362" s="228">
        <v>150000</v>
      </c>
      <c r="N1362" s="226">
        <v>4.0000000000000001E-3</v>
      </c>
      <c r="O1362" s="229">
        <f>+M1362*N1362</f>
        <v>600</v>
      </c>
      <c r="P1362" s="200"/>
      <c r="Q1362" s="133"/>
      <c r="R1362" s="195" t="s">
        <v>6061</v>
      </c>
      <c r="S1362" s="226" t="s">
        <v>5402</v>
      </c>
      <c r="T1362" s="226">
        <v>1</v>
      </c>
      <c r="U1362" s="228">
        <v>150000</v>
      </c>
      <c r="V1362" s="226">
        <v>6.0000000000000001E-3</v>
      </c>
      <c r="W1362" s="229">
        <f>+U1362*V1362</f>
        <v>900</v>
      </c>
      <c r="X1362" s="200"/>
    </row>
    <row r="1363" spans="1:24" x14ac:dyDescent="0.25">
      <c r="A1363" s="133"/>
      <c r="B1363" s="195"/>
      <c r="C1363" s="226"/>
      <c r="D1363" s="226"/>
      <c r="E1363" s="176"/>
      <c r="F1363" s="226"/>
      <c r="G1363" s="229"/>
      <c r="H1363" s="200"/>
      <c r="I1363" s="133"/>
      <c r="J1363" s="195"/>
      <c r="K1363" s="226"/>
      <c r="L1363" s="226"/>
      <c r="M1363" s="176"/>
      <c r="N1363" s="226"/>
      <c r="O1363" s="229"/>
      <c r="P1363" s="200"/>
      <c r="Q1363" s="133"/>
      <c r="R1363" s="195"/>
      <c r="S1363" s="226"/>
      <c r="T1363" s="226"/>
      <c r="U1363" s="176"/>
      <c r="V1363" s="226"/>
      <c r="W1363" s="229"/>
      <c r="X1363" s="200"/>
    </row>
    <row r="1364" spans="1:24" x14ac:dyDescent="0.25">
      <c r="A1364" s="133"/>
      <c r="B1364" s="195"/>
      <c r="C1364" s="226"/>
      <c r="D1364" s="226"/>
      <c r="E1364" s="171"/>
      <c r="F1364" s="226"/>
      <c r="G1364" s="231"/>
      <c r="H1364" s="200"/>
      <c r="I1364" s="133"/>
      <c r="J1364" s="195"/>
      <c r="K1364" s="226"/>
      <c r="L1364" s="226"/>
      <c r="M1364" s="171"/>
      <c r="N1364" s="226"/>
      <c r="O1364" s="231"/>
      <c r="P1364" s="200"/>
      <c r="Q1364" s="133"/>
      <c r="R1364" s="195"/>
      <c r="S1364" s="226"/>
      <c r="T1364" s="226"/>
      <c r="U1364" s="171"/>
      <c r="V1364" s="226"/>
      <c r="W1364" s="231"/>
      <c r="X1364" s="200"/>
    </row>
    <row r="1365" spans="1:24" x14ac:dyDescent="0.25">
      <c r="A1365" s="133"/>
      <c r="B1365" s="195"/>
      <c r="C1365" s="226"/>
      <c r="D1365" s="232"/>
      <c r="E1365" s="232"/>
      <c r="F1365" s="226"/>
      <c r="G1365" s="229"/>
      <c r="H1365" s="200"/>
      <c r="I1365" s="133"/>
      <c r="J1365" s="195"/>
      <c r="K1365" s="226"/>
      <c r="L1365" s="232"/>
      <c r="M1365" s="232"/>
      <c r="N1365" s="226"/>
      <c r="O1365" s="229"/>
      <c r="P1365" s="200"/>
      <c r="Q1365" s="133"/>
      <c r="R1365" s="195"/>
      <c r="S1365" s="226"/>
      <c r="T1365" s="232"/>
      <c r="U1365" s="232"/>
      <c r="V1365" s="226"/>
      <c r="W1365" s="229"/>
      <c r="X1365" s="200"/>
    </row>
    <row r="1366" spans="1:24" ht="15.75" thickBot="1" x14ac:dyDescent="0.3">
      <c r="A1366" s="133"/>
      <c r="B1366" s="195"/>
      <c r="C1366" s="226"/>
      <c r="D1366" s="232"/>
      <c r="E1366" s="232"/>
      <c r="F1366" s="226"/>
      <c r="G1366" s="229"/>
      <c r="H1366" s="200"/>
      <c r="I1366" s="133"/>
      <c r="J1366" s="195"/>
      <c r="K1366" s="226"/>
      <c r="L1366" s="232"/>
      <c r="M1366" s="232"/>
      <c r="N1366" s="226"/>
      <c r="O1366" s="229"/>
      <c r="P1366" s="200"/>
      <c r="Q1366" s="133"/>
      <c r="R1366" s="195"/>
      <c r="S1366" s="226"/>
      <c r="T1366" s="232"/>
      <c r="U1366" s="232"/>
      <c r="V1366" s="226"/>
      <c r="W1366" s="229"/>
      <c r="X1366" s="200"/>
    </row>
    <row r="1367" spans="1:24" ht="15.75" thickBot="1" x14ac:dyDescent="0.3">
      <c r="A1367" s="133"/>
      <c r="B1367" s="233"/>
      <c r="C1367" s="234"/>
      <c r="D1367" s="234"/>
      <c r="E1367" s="234"/>
      <c r="F1367" s="235"/>
      <c r="G1367" s="236"/>
      <c r="H1367" s="237">
        <f>+SUM(G1361:G1367)</f>
        <v>531.55833333333328</v>
      </c>
      <c r="I1367" s="133"/>
      <c r="J1367" s="233"/>
      <c r="K1367" s="234"/>
      <c r="L1367" s="234"/>
      <c r="M1367" s="234"/>
      <c r="N1367" s="235"/>
      <c r="O1367" s="236"/>
      <c r="P1367" s="237">
        <f>+SUM(O1361:O1367)</f>
        <v>913.3900000000001</v>
      </c>
      <c r="Q1367" s="133"/>
      <c r="R1367" s="233"/>
      <c r="S1367" s="234"/>
      <c r="T1367" s="234"/>
      <c r="U1367" s="234"/>
      <c r="V1367" s="235"/>
      <c r="W1367" s="236"/>
      <c r="X1367" s="237">
        <f>+SUM(W1361:W1367)</f>
        <v>1279.7125000000001</v>
      </c>
    </row>
    <row r="1368" spans="1:24" ht="15.75" thickBot="1" x14ac:dyDescent="0.3">
      <c r="A1368" s="133"/>
      <c r="B1368" s="238"/>
      <c r="C1368" s="238"/>
      <c r="D1368" s="238"/>
      <c r="E1368" s="238"/>
      <c r="F1368" s="239"/>
      <c r="G1368" s="240"/>
      <c r="H1368" s="241"/>
      <c r="I1368" s="133"/>
      <c r="J1368" s="238"/>
      <c r="K1368" s="238"/>
      <c r="L1368" s="238"/>
      <c r="M1368" s="238"/>
      <c r="N1368" s="239"/>
      <c r="O1368" s="240"/>
      <c r="P1368" s="241"/>
      <c r="Q1368" s="133"/>
      <c r="R1368" s="238"/>
      <c r="S1368" s="238"/>
      <c r="T1368" s="238"/>
      <c r="U1368" s="238"/>
      <c r="V1368" s="239"/>
      <c r="W1368" s="240"/>
      <c r="X1368" s="241"/>
    </row>
    <row r="1369" spans="1:24" ht="15.75" thickBot="1" x14ac:dyDescent="0.3">
      <c r="A1369" s="133"/>
      <c r="B1369" s="224" t="s">
        <v>5408</v>
      </c>
      <c r="C1369" s="193" t="s">
        <v>867</v>
      </c>
      <c r="D1369" s="193" t="s">
        <v>6</v>
      </c>
      <c r="E1369" s="193" t="s">
        <v>870</v>
      </c>
      <c r="F1369" s="193" t="s">
        <v>5409</v>
      </c>
      <c r="G1369" s="225" t="s">
        <v>868</v>
      </c>
      <c r="H1369" s="200"/>
      <c r="I1369" s="133"/>
      <c r="J1369" s="224" t="s">
        <v>5408</v>
      </c>
      <c r="K1369" s="193" t="s">
        <v>867</v>
      </c>
      <c r="L1369" s="193" t="s">
        <v>6</v>
      </c>
      <c r="M1369" s="193" t="s">
        <v>870</v>
      </c>
      <c r="N1369" s="193" t="s">
        <v>5409</v>
      </c>
      <c r="O1369" s="225" t="s">
        <v>868</v>
      </c>
      <c r="P1369" s="200"/>
      <c r="Q1369" s="133"/>
      <c r="R1369" s="224" t="s">
        <v>5408</v>
      </c>
      <c r="S1369" s="193" t="s">
        <v>867</v>
      </c>
      <c r="T1369" s="193" t="s">
        <v>6</v>
      </c>
      <c r="U1369" s="193" t="s">
        <v>870</v>
      </c>
      <c r="V1369" s="193" t="s">
        <v>5409</v>
      </c>
      <c r="W1369" s="225" t="s">
        <v>868</v>
      </c>
      <c r="X1369" s="200"/>
    </row>
    <row r="1370" spans="1:24" x14ac:dyDescent="0.25">
      <c r="A1370" s="133"/>
      <c r="B1370" s="295" t="s">
        <v>5553</v>
      </c>
      <c r="C1370" s="202" t="s">
        <v>5488</v>
      </c>
      <c r="D1370" s="226">
        <f>+PI()*0.025^2*1000</f>
        <v>1.9634954084936209</v>
      </c>
      <c r="E1370" s="244">
        <v>5</v>
      </c>
      <c r="F1370" s="169">
        <v>0.05</v>
      </c>
      <c r="G1370" s="178">
        <f>+D1370*E1370*(1+F1370)</f>
        <v>10.308350894591509</v>
      </c>
      <c r="H1370" s="200"/>
      <c r="I1370" s="133"/>
      <c r="J1370" s="295" t="s">
        <v>5553</v>
      </c>
      <c r="K1370" s="202" t="s">
        <v>5488</v>
      </c>
      <c r="L1370" s="226">
        <f>+PI()*0.0375^2*1000</f>
        <v>4.4178646691106467</v>
      </c>
      <c r="M1370" s="332">
        <v>5</v>
      </c>
      <c r="N1370" s="169">
        <v>0.05</v>
      </c>
      <c r="O1370" s="178">
        <f>+L1370*M1370*(1+N1370)</f>
        <v>23.193789512830897</v>
      </c>
      <c r="P1370" s="200"/>
      <c r="Q1370" s="133"/>
      <c r="R1370" s="295" t="s">
        <v>5553</v>
      </c>
      <c r="S1370" s="202" t="s">
        <v>5488</v>
      </c>
      <c r="T1370" s="226">
        <f>+PI()*0.05^2*1000</f>
        <v>7.8539816339744837</v>
      </c>
      <c r="U1370" s="332">
        <v>5</v>
      </c>
      <c r="V1370" s="169">
        <v>0.05</v>
      </c>
      <c r="W1370" s="178">
        <f>+T1370*U1370*(1+V1370)</f>
        <v>41.233403578366037</v>
      </c>
      <c r="X1370" s="200"/>
    </row>
    <row r="1371" spans="1:24" x14ac:dyDescent="0.25">
      <c r="A1371" s="133"/>
      <c r="B1371" s="450" t="s">
        <v>5755</v>
      </c>
      <c r="C1371" s="202" t="s">
        <v>5487</v>
      </c>
      <c r="D1371" s="202">
        <v>82.1</v>
      </c>
      <c r="E1371" s="257">
        <v>0.65</v>
      </c>
      <c r="F1371" s="169">
        <v>0.05</v>
      </c>
      <c r="G1371" s="178">
        <f>+D1371*E1371*(1+F1371)</f>
        <v>56.033249999999995</v>
      </c>
      <c r="H1371" s="200"/>
      <c r="I1371" s="133"/>
      <c r="J1371" s="450" t="s">
        <v>5755</v>
      </c>
      <c r="K1371" s="202" t="s">
        <v>5487</v>
      </c>
      <c r="L1371" s="202">
        <f>+D1371*L1370/D1370</f>
        <v>184.72499999999997</v>
      </c>
      <c r="M1371" s="148">
        <v>0.65</v>
      </c>
      <c r="N1371" s="169">
        <v>0.05</v>
      </c>
      <c r="O1371" s="178">
        <f>+L1371*M1371*(1+N1371)</f>
        <v>126.07481249999998</v>
      </c>
      <c r="P1371" s="200"/>
      <c r="Q1371" s="133"/>
      <c r="R1371" s="450" t="s">
        <v>5755</v>
      </c>
      <c r="S1371" s="202" t="s">
        <v>5487</v>
      </c>
      <c r="T1371" s="202">
        <f>+L1371*T1370/L1370</f>
        <v>328.4</v>
      </c>
      <c r="U1371" s="228">
        <v>0.65</v>
      </c>
      <c r="V1371" s="169">
        <v>0.05</v>
      </c>
      <c r="W1371" s="178">
        <f>+T1371*U1371*(1+V1371)</f>
        <v>224.13299999999998</v>
      </c>
      <c r="X1371" s="200"/>
    </row>
    <row r="1372" spans="1:24" x14ac:dyDescent="0.25">
      <c r="A1372" s="133"/>
      <c r="B1372" s="247"/>
      <c r="C1372" s="226"/>
      <c r="D1372" s="226"/>
      <c r="E1372" s="244"/>
      <c r="F1372" s="169"/>
      <c r="G1372" s="178">
        <f>+D1372*E1372*(1+F1372)</f>
        <v>0</v>
      </c>
      <c r="H1372" s="200"/>
      <c r="I1372" s="133"/>
      <c r="J1372" s="247"/>
      <c r="K1372" s="226"/>
      <c r="L1372" s="226"/>
      <c r="M1372" s="228"/>
      <c r="N1372" s="169"/>
      <c r="O1372" s="178"/>
      <c r="P1372" s="200"/>
      <c r="Q1372" s="133"/>
      <c r="R1372" s="247"/>
      <c r="S1372" s="226"/>
      <c r="T1372" s="226"/>
      <c r="U1372" s="228"/>
      <c r="V1372" s="169"/>
      <c r="W1372" s="178"/>
      <c r="X1372" s="200"/>
    </row>
    <row r="1373" spans="1:24" x14ac:dyDescent="0.25">
      <c r="A1373" s="133"/>
      <c r="B1373" s="194"/>
      <c r="C1373" s="226"/>
      <c r="D1373" s="226"/>
      <c r="E1373" s="171"/>
      <c r="F1373" s="169"/>
      <c r="G1373" s="178">
        <f>+D1373*E1373*(1+F1373)</f>
        <v>0</v>
      </c>
      <c r="H1373" s="200"/>
      <c r="I1373" s="133"/>
      <c r="J1373" s="194"/>
      <c r="K1373" s="226"/>
      <c r="L1373" s="226"/>
      <c r="M1373" s="228"/>
      <c r="N1373" s="169"/>
      <c r="O1373" s="178"/>
      <c r="P1373" s="200"/>
      <c r="Q1373" s="133"/>
      <c r="R1373" s="194"/>
      <c r="S1373" s="226"/>
      <c r="T1373" s="226"/>
      <c r="U1373" s="228"/>
      <c r="V1373" s="169"/>
      <c r="W1373" s="178"/>
      <c r="X1373" s="200"/>
    </row>
    <row r="1374" spans="1:24" x14ac:dyDescent="0.25">
      <c r="A1374" s="133"/>
      <c r="B1374" s="195"/>
      <c r="C1374" s="226"/>
      <c r="D1374" s="226"/>
      <c r="E1374" s="171"/>
      <c r="F1374" s="169"/>
      <c r="G1374" s="178"/>
      <c r="H1374" s="200"/>
      <c r="I1374" s="133"/>
      <c r="J1374" s="195"/>
      <c r="K1374" s="226"/>
      <c r="L1374" s="226"/>
      <c r="M1374" s="176"/>
      <c r="N1374" s="169"/>
      <c r="O1374" s="178"/>
      <c r="P1374" s="200"/>
      <c r="Q1374" s="133"/>
      <c r="R1374" s="195"/>
      <c r="S1374" s="226"/>
      <c r="T1374" s="226"/>
      <c r="U1374" s="176"/>
      <c r="V1374" s="169"/>
      <c r="W1374" s="178"/>
      <c r="X1374" s="200"/>
    </row>
    <row r="1375" spans="1:24" x14ac:dyDescent="0.25">
      <c r="A1375" s="133"/>
      <c r="B1375" s="194"/>
      <c r="C1375" s="202"/>
      <c r="D1375" s="202"/>
      <c r="E1375" s="171"/>
      <c r="F1375" s="169"/>
      <c r="G1375" s="178"/>
      <c r="H1375" s="200"/>
      <c r="I1375" s="133"/>
      <c r="J1375" s="194"/>
      <c r="K1375" s="202"/>
      <c r="L1375" s="202"/>
      <c r="M1375" s="176"/>
      <c r="N1375" s="169"/>
      <c r="O1375" s="178"/>
      <c r="P1375" s="200"/>
      <c r="Q1375" s="133"/>
      <c r="R1375" s="194"/>
      <c r="S1375" s="202"/>
      <c r="T1375" s="202"/>
      <c r="U1375" s="176"/>
      <c r="V1375" s="169"/>
      <c r="W1375" s="178"/>
      <c r="X1375" s="200"/>
    </row>
    <row r="1376" spans="1:24" x14ac:dyDescent="0.25">
      <c r="A1376" s="133"/>
      <c r="B1376" s="195"/>
      <c r="C1376" s="226"/>
      <c r="D1376" s="226"/>
      <c r="E1376" s="171"/>
      <c r="F1376" s="169"/>
      <c r="G1376" s="178"/>
      <c r="H1376" s="200"/>
      <c r="I1376" s="133"/>
      <c r="J1376" s="195"/>
      <c r="K1376" s="226"/>
      <c r="L1376" s="226"/>
      <c r="M1376" s="176"/>
      <c r="N1376" s="169"/>
      <c r="O1376" s="178"/>
      <c r="P1376" s="200"/>
      <c r="Q1376" s="133"/>
      <c r="R1376" s="195"/>
      <c r="S1376" s="226"/>
      <c r="T1376" s="226"/>
      <c r="U1376" s="176"/>
      <c r="V1376" s="169"/>
      <c r="W1376" s="178"/>
      <c r="X1376" s="200"/>
    </row>
    <row r="1377" spans="1:24" x14ac:dyDescent="0.25">
      <c r="A1377" s="133"/>
      <c r="B1377" s="195"/>
      <c r="C1377" s="226"/>
      <c r="D1377" s="226"/>
      <c r="E1377" s="171"/>
      <c r="F1377" s="169"/>
      <c r="G1377" s="178"/>
      <c r="H1377" s="200"/>
      <c r="I1377" s="133"/>
      <c r="J1377" s="195"/>
      <c r="K1377" s="226"/>
      <c r="L1377" s="226"/>
      <c r="M1377" s="176"/>
      <c r="N1377" s="169"/>
      <c r="O1377" s="178"/>
      <c r="P1377" s="200"/>
      <c r="Q1377" s="133"/>
      <c r="R1377" s="195"/>
      <c r="S1377" s="226"/>
      <c r="T1377" s="226"/>
      <c r="U1377" s="176"/>
      <c r="V1377" s="169"/>
      <c r="W1377" s="178"/>
      <c r="X1377" s="200"/>
    </row>
    <row r="1378" spans="1:24" x14ac:dyDescent="0.25">
      <c r="A1378" s="133"/>
      <c r="B1378" s="195"/>
      <c r="C1378" s="232"/>
      <c r="D1378" s="232"/>
      <c r="E1378" s="232"/>
      <c r="F1378" s="226"/>
      <c r="G1378" s="229"/>
      <c r="H1378" s="200"/>
      <c r="I1378" s="133"/>
      <c r="J1378" s="195"/>
      <c r="K1378" s="232"/>
      <c r="L1378" s="232"/>
      <c r="M1378" s="232"/>
      <c r="N1378" s="226"/>
      <c r="O1378" s="229"/>
      <c r="P1378" s="200"/>
      <c r="Q1378" s="133"/>
      <c r="R1378" s="195"/>
      <c r="S1378" s="232"/>
      <c r="T1378" s="232"/>
      <c r="U1378" s="232"/>
      <c r="V1378" s="226"/>
      <c r="W1378" s="229"/>
      <c r="X1378" s="200"/>
    </row>
    <row r="1379" spans="1:24" x14ac:dyDescent="0.25">
      <c r="A1379" s="133"/>
      <c r="B1379" s="195"/>
      <c r="C1379" s="232"/>
      <c r="D1379" s="232"/>
      <c r="E1379" s="232"/>
      <c r="F1379" s="226"/>
      <c r="G1379" s="229"/>
      <c r="H1379" s="200"/>
      <c r="I1379" s="133"/>
      <c r="J1379" s="195"/>
      <c r="K1379" s="232"/>
      <c r="L1379" s="232"/>
      <c r="M1379" s="232"/>
      <c r="N1379" s="226"/>
      <c r="O1379" s="229"/>
      <c r="P1379" s="200"/>
      <c r="Q1379" s="133"/>
      <c r="R1379" s="195"/>
      <c r="S1379" s="232"/>
      <c r="T1379" s="232"/>
      <c r="U1379" s="232"/>
      <c r="V1379" s="226"/>
      <c r="W1379" s="229"/>
      <c r="X1379" s="200"/>
    </row>
    <row r="1380" spans="1:24" x14ac:dyDescent="0.25">
      <c r="A1380" s="133"/>
      <c r="B1380" s="195"/>
      <c r="C1380" s="232"/>
      <c r="D1380" s="232"/>
      <c r="E1380" s="232"/>
      <c r="F1380" s="226"/>
      <c r="G1380" s="229"/>
      <c r="H1380" s="200"/>
      <c r="I1380" s="133"/>
      <c r="J1380" s="195"/>
      <c r="K1380" s="232"/>
      <c r="L1380" s="232"/>
      <c r="M1380" s="232"/>
      <c r="N1380" s="226"/>
      <c r="O1380" s="229"/>
      <c r="P1380" s="200"/>
      <c r="Q1380" s="133"/>
      <c r="R1380" s="195"/>
      <c r="S1380" s="232"/>
      <c r="T1380" s="232"/>
      <c r="U1380" s="232"/>
      <c r="V1380" s="226"/>
      <c r="W1380" s="229"/>
      <c r="X1380" s="200"/>
    </row>
    <row r="1381" spans="1:24" ht="15.75" thickBot="1" x14ac:dyDescent="0.3">
      <c r="A1381" s="133"/>
      <c r="B1381" s="195"/>
      <c r="C1381" s="232"/>
      <c r="D1381" s="232"/>
      <c r="E1381" s="232"/>
      <c r="F1381" s="226"/>
      <c r="G1381" s="229"/>
      <c r="H1381" s="200"/>
      <c r="I1381" s="133"/>
      <c r="J1381" s="195"/>
      <c r="K1381" s="232"/>
      <c r="L1381" s="232"/>
      <c r="M1381" s="232"/>
      <c r="N1381" s="226"/>
      <c r="O1381" s="229"/>
      <c r="P1381" s="200"/>
      <c r="Q1381" s="133"/>
      <c r="R1381" s="195"/>
      <c r="S1381" s="232"/>
      <c r="T1381" s="232"/>
      <c r="U1381" s="232"/>
      <c r="V1381" s="226"/>
      <c r="W1381" s="229"/>
      <c r="X1381" s="200"/>
    </row>
    <row r="1382" spans="1:24" ht="15.75" thickBot="1" x14ac:dyDescent="0.3">
      <c r="A1382" s="133"/>
      <c r="B1382" s="233"/>
      <c r="C1382" s="234"/>
      <c r="D1382" s="234"/>
      <c r="E1382" s="234"/>
      <c r="F1382" s="235"/>
      <c r="G1382" s="236"/>
      <c r="H1382" s="256">
        <f>+SUM(G1370:G1382)</f>
        <v>66.341600894591508</v>
      </c>
      <c r="I1382" s="133"/>
      <c r="J1382" s="233"/>
      <c r="K1382" s="234"/>
      <c r="L1382" s="234"/>
      <c r="M1382" s="234"/>
      <c r="N1382" s="235"/>
      <c r="O1382" s="236"/>
      <c r="P1382" s="256">
        <f>+SUM(O1370:O1382)</f>
        <v>149.26860201283088</v>
      </c>
      <c r="Q1382" s="133"/>
      <c r="R1382" s="233"/>
      <c r="S1382" s="234"/>
      <c r="T1382" s="234"/>
      <c r="U1382" s="234"/>
      <c r="V1382" s="235"/>
      <c r="W1382" s="236"/>
      <c r="X1382" s="256">
        <f>+SUM(W1370:W1382)</f>
        <v>265.36640357836603</v>
      </c>
    </row>
    <row r="1383" spans="1:24" ht="15.75" thickBot="1" x14ac:dyDescent="0.3">
      <c r="A1383" s="133"/>
      <c r="B1383" s="238"/>
      <c r="C1383" s="238"/>
      <c r="D1383" s="238"/>
      <c r="E1383" s="238"/>
      <c r="F1383" s="239"/>
      <c r="G1383" s="240"/>
      <c r="H1383" s="241"/>
      <c r="I1383" s="133"/>
      <c r="J1383" s="238"/>
      <c r="K1383" s="238"/>
      <c r="L1383" s="238"/>
      <c r="M1383" s="238"/>
      <c r="N1383" s="239"/>
      <c r="O1383" s="240"/>
      <c r="P1383" s="241"/>
      <c r="Q1383" s="133"/>
      <c r="R1383" s="238"/>
      <c r="S1383" s="238"/>
      <c r="T1383" s="238"/>
      <c r="U1383" s="238"/>
      <c r="V1383" s="239"/>
      <c r="W1383" s="240"/>
      <c r="X1383" s="241"/>
    </row>
    <row r="1384" spans="1:24" ht="15.75" thickBot="1" x14ac:dyDescent="0.3">
      <c r="A1384" s="133"/>
      <c r="B1384" s="224" t="s">
        <v>5410</v>
      </c>
      <c r="C1384" s="193" t="s">
        <v>867</v>
      </c>
      <c r="D1384" s="193" t="s">
        <v>6</v>
      </c>
      <c r="E1384" s="193" t="s">
        <v>870</v>
      </c>
      <c r="F1384" s="193" t="s">
        <v>5411</v>
      </c>
      <c r="G1384" s="225" t="s">
        <v>868</v>
      </c>
      <c r="H1384" s="200"/>
      <c r="I1384" s="133"/>
      <c r="J1384" s="224" t="s">
        <v>5410</v>
      </c>
      <c r="K1384" s="193" t="s">
        <v>867</v>
      </c>
      <c r="L1384" s="193" t="s">
        <v>6</v>
      </c>
      <c r="M1384" s="193" t="s">
        <v>870</v>
      </c>
      <c r="N1384" s="193" t="s">
        <v>5411</v>
      </c>
      <c r="O1384" s="225" t="s">
        <v>868</v>
      </c>
      <c r="P1384" s="200"/>
      <c r="Q1384" s="133"/>
      <c r="R1384" s="224" t="s">
        <v>5410</v>
      </c>
      <c r="S1384" s="193" t="s">
        <v>867</v>
      </c>
      <c r="T1384" s="193" t="s">
        <v>6</v>
      </c>
      <c r="U1384" s="193" t="s">
        <v>870</v>
      </c>
      <c r="V1384" s="193" t="s">
        <v>5411</v>
      </c>
      <c r="W1384" s="225" t="s">
        <v>868</v>
      </c>
      <c r="X1384" s="200"/>
    </row>
    <row r="1385" spans="1:24" x14ac:dyDescent="0.25">
      <c r="A1385" s="133"/>
      <c r="B1385" s="245"/>
      <c r="C1385" s="202"/>
      <c r="D1385" s="202"/>
      <c r="E1385" s="175"/>
      <c r="F1385" s="202"/>
      <c r="G1385" s="203"/>
      <c r="H1385" s="246"/>
      <c r="I1385" s="133"/>
      <c r="J1385" s="245"/>
      <c r="K1385" s="202"/>
      <c r="L1385" s="202"/>
      <c r="M1385" s="175"/>
      <c r="N1385" s="202"/>
      <c r="O1385" s="203"/>
      <c r="P1385" s="246"/>
      <c r="Q1385" s="133"/>
      <c r="R1385" s="245"/>
      <c r="S1385" s="202"/>
      <c r="T1385" s="202"/>
      <c r="U1385" s="175"/>
      <c r="V1385" s="202"/>
      <c r="W1385" s="203"/>
      <c r="X1385" s="246"/>
    </row>
    <row r="1386" spans="1:24" x14ac:dyDescent="0.25">
      <c r="A1386" s="133"/>
      <c r="B1386" s="247"/>
      <c r="C1386" s="248"/>
      <c r="D1386" s="248"/>
      <c r="E1386" s="248"/>
      <c r="F1386" s="202"/>
      <c r="G1386" s="178"/>
      <c r="H1386" s="200"/>
      <c r="I1386" s="133"/>
      <c r="J1386" s="247"/>
      <c r="K1386" s="248"/>
      <c r="L1386" s="248"/>
      <c r="M1386" s="248"/>
      <c r="N1386" s="202"/>
      <c r="O1386" s="178"/>
      <c r="P1386" s="200"/>
      <c r="Q1386" s="133"/>
      <c r="R1386" s="247"/>
      <c r="S1386" s="248"/>
      <c r="T1386" s="248"/>
      <c r="U1386" s="248"/>
      <c r="V1386" s="202"/>
      <c r="W1386" s="178"/>
      <c r="X1386" s="200"/>
    </row>
    <row r="1387" spans="1:24" x14ac:dyDescent="0.25">
      <c r="A1387" s="133"/>
      <c r="B1387" s="247"/>
      <c r="C1387" s="232"/>
      <c r="D1387" s="232"/>
      <c r="E1387" s="232"/>
      <c r="F1387" s="226"/>
      <c r="G1387" s="229"/>
      <c r="H1387" s="200"/>
      <c r="I1387" s="133"/>
      <c r="J1387" s="247"/>
      <c r="K1387" s="232"/>
      <c r="L1387" s="232"/>
      <c r="M1387" s="232"/>
      <c r="N1387" s="226"/>
      <c r="O1387" s="229"/>
      <c r="P1387" s="200"/>
      <c r="Q1387" s="133"/>
      <c r="R1387" s="247"/>
      <c r="S1387" s="232"/>
      <c r="T1387" s="232"/>
      <c r="U1387" s="232"/>
      <c r="V1387" s="226"/>
      <c r="W1387" s="229"/>
      <c r="X1387" s="200"/>
    </row>
    <row r="1388" spans="1:24" x14ac:dyDescent="0.25">
      <c r="A1388" s="133"/>
      <c r="B1388" s="194"/>
      <c r="C1388" s="232"/>
      <c r="D1388" s="232"/>
      <c r="E1388" s="232"/>
      <c r="F1388" s="226"/>
      <c r="G1388" s="229"/>
      <c r="H1388" s="200"/>
      <c r="I1388" s="133"/>
      <c r="J1388" s="194"/>
      <c r="K1388" s="232"/>
      <c r="L1388" s="232"/>
      <c r="M1388" s="232"/>
      <c r="N1388" s="226"/>
      <c r="O1388" s="229"/>
      <c r="P1388" s="200"/>
      <c r="Q1388" s="133"/>
      <c r="R1388" s="194"/>
      <c r="S1388" s="232"/>
      <c r="T1388" s="232"/>
      <c r="U1388" s="232"/>
      <c r="V1388" s="226"/>
      <c r="W1388" s="229"/>
      <c r="X1388" s="200"/>
    </row>
    <row r="1389" spans="1:24" ht="15.75" thickBot="1" x14ac:dyDescent="0.3">
      <c r="A1389" s="133"/>
      <c r="B1389" s="195"/>
      <c r="C1389" s="232"/>
      <c r="D1389" s="232"/>
      <c r="E1389" s="232"/>
      <c r="F1389" s="226"/>
      <c r="G1389" s="229"/>
      <c r="H1389" s="200"/>
      <c r="I1389" s="133"/>
      <c r="J1389" s="195"/>
      <c r="K1389" s="232"/>
      <c r="L1389" s="232"/>
      <c r="M1389" s="232"/>
      <c r="N1389" s="226"/>
      <c r="O1389" s="229"/>
      <c r="P1389" s="200"/>
      <c r="Q1389" s="133"/>
      <c r="R1389" s="195"/>
      <c r="S1389" s="232"/>
      <c r="T1389" s="232"/>
      <c r="U1389" s="232"/>
      <c r="V1389" s="226"/>
      <c r="W1389" s="229"/>
      <c r="X1389" s="200"/>
    </row>
    <row r="1390" spans="1:24" ht="15.75" thickBot="1" x14ac:dyDescent="0.3">
      <c r="A1390" s="133"/>
      <c r="B1390" s="233"/>
      <c r="C1390" s="234"/>
      <c r="D1390" s="234"/>
      <c r="E1390" s="234"/>
      <c r="F1390" s="235"/>
      <c r="G1390" s="236"/>
      <c r="H1390" s="237">
        <f>+SUM(G1385:G1390)</f>
        <v>0</v>
      </c>
      <c r="I1390" s="133"/>
      <c r="J1390" s="233"/>
      <c r="K1390" s="234"/>
      <c r="L1390" s="234"/>
      <c r="M1390" s="234"/>
      <c r="N1390" s="235"/>
      <c r="O1390" s="236"/>
      <c r="P1390" s="237">
        <f>+SUM(O1385:O1390)</f>
        <v>0</v>
      </c>
      <c r="Q1390" s="133"/>
      <c r="R1390" s="233"/>
      <c r="S1390" s="234"/>
      <c r="T1390" s="234"/>
      <c r="U1390" s="234"/>
      <c r="V1390" s="235"/>
      <c r="W1390" s="236"/>
      <c r="X1390" s="237">
        <f>+SUM(W1385:W1390)</f>
        <v>0</v>
      </c>
    </row>
    <row r="1391" spans="1:24" ht="15.75" thickBot="1" x14ac:dyDescent="0.3">
      <c r="A1391" s="133"/>
      <c r="B1391" s="238"/>
      <c r="C1391" s="238"/>
      <c r="D1391" s="238"/>
      <c r="E1391" s="238"/>
      <c r="F1391" s="249"/>
      <c r="G1391" s="250"/>
      <c r="H1391" s="241"/>
      <c r="I1391" s="133"/>
      <c r="J1391" s="238"/>
      <c r="K1391" s="238"/>
      <c r="L1391" s="238"/>
      <c r="M1391" s="238"/>
      <c r="N1391" s="249"/>
      <c r="O1391" s="250"/>
      <c r="P1391" s="241"/>
      <c r="Q1391" s="133"/>
      <c r="R1391" s="238"/>
      <c r="S1391" s="238"/>
      <c r="T1391" s="238"/>
      <c r="U1391" s="238"/>
      <c r="V1391" s="249"/>
      <c r="W1391" s="250"/>
      <c r="X1391" s="241"/>
    </row>
    <row r="1392" spans="1:24" ht="15.75" thickBot="1" x14ac:dyDescent="0.3">
      <c r="A1392" s="133"/>
      <c r="B1392" s="224" t="s">
        <v>5412</v>
      </c>
      <c r="C1392" s="193" t="s">
        <v>5420</v>
      </c>
      <c r="D1392" s="193" t="s">
        <v>5421</v>
      </c>
      <c r="E1392" s="193" t="s">
        <v>5413</v>
      </c>
      <c r="F1392" s="193" t="s">
        <v>5405</v>
      </c>
      <c r="G1392" s="225" t="s">
        <v>868</v>
      </c>
      <c r="H1392" s="200"/>
      <c r="I1392" s="133"/>
      <c r="J1392" s="224" t="s">
        <v>5412</v>
      </c>
      <c r="K1392" s="193" t="s">
        <v>5420</v>
      </c>
      <c r="L1392" s="193" t="s">
        <v>5421</v>
      </c>
      <c r="M1392" s="193" t="s">
        <v>5413</v>
      </c>
      <c r="N1392" s="193" t="s">
        <v>5405</v>
      </c>
      <c r="O1392" s="225" t="s">
        <v>868</v>
      </c>
      <c r="P1392" s="200"/>
      <c r="Q1392" s="133"/>
      <c r="R1392" s="224" t="s">
        <v>5412</v>
      </c>
      <c r="S1392" s="193" t="s">
        <v>5420</v>
      </c>
      <c r="T1392" s="193" t="s">
        <v>5421</v>
      </c>
      <c r="U1392" s="193" t="s">
        <v>5413</v>
      </c>
      <c r="V1392" s="193" t="s">
        <v>5405</v>
      </c>
      <c r="W1392" s="225" t="s">
        <v>868</v>
      </c>
      <c r="X1392" s="200"/>
    </row>
    <row r="1393" spans="1:26" x14ac:dyDescent="0.25">
      <c r="A1393" s="133"/>
      <c r="B1393" s="194" t="s">
        <v>5948</v>
      </c>
      <c r="C1393" s="345">
        <v>70000</v>
      </c>
      <c r="D1393" s="176">
        <f>+C1393*0.85</f>
        <v>59500</v>
      </c>
      <c r="E1393" s="176">
        <f>+C1393+D1393</f>
        <v>129500</v>
      </c>
      <c r="F1393" s="204">
        <v>1000</v>
      </c>
      <c r="G1393" s="178">
        <f>+E1393/F1393</f>
        <v>129.5</v>
      </c>
      <c r="H1393" s="200"/>
      <c r="I1393" s="133"/>
      <c r="J1393" s="194" t="s">
        <v>5948</v>
      </c>
      <c r="K1393" s="345">
        <v>70000</v>
      </c>
      <c r="L1393" s="176">
        <f>+K1393*0.85</f>
        <v>59500</v>
      </c>
      <c r="M1393" s="175">
        <f>+K1393+L1393</f>
        <v>129500</v>
      </c>
      <c r="N1393" s="204">
        <v>1000</v>
      </c>
      <c r="O1393" s="178">
        <f>+M1393/N1393</f>
        <v>129.5</v>
      </c>
      <c r="P1393" s="200"/>
      <c r="Q1393" s="133"/>
      <c r="R1393" s="194" t="s">
        <v>5948</v>
      </c>
      <c r="S1393" s="176">
        <v>70000</v>
      </c>
      <c r="T1393" s="176">
        <f>+S1393*0.85</f>
        <v>59500</v>
      </c>
      <c r="U1393" s="175">
        <f>+S1393+T1393</f>
        <v>129500</v>
      </c>
      <c r="V1393" s="204">
        <v>1000</v>
      </c>
      <c r="W1393" s="178">
        <f>+U1393/V1393</f>
        <v>129.5</v>
      </c>
      <c r="X1393" s="200"/>
    </row>
    <row r="1394" spans="1:26" x14ac:dyDescent="0.25">
      <c r="A1394" s="133"/>
      <c r="B1394" s="194" t="s">
        <v>5651</v>
      </c>
      <c r="C1394" s="345">
        <v>40000</v>
      </c>
      <c r="D1394" s="176">
        <f>+C1394*0.85</f>
        <v>34000</v>
      </c>
      <c r="E1394" s="176">
        <f>+C1394+D1394</f>
        <v>74000</v>
      </c>
      <c r="F1394" s="202">
        <v>60</v>
      </c>
      <c r="G1394" s="178">
        <f>+E1394/F1394</f>
        <v>1233.3333333333333</v>
      </c>
      <c r="H1394" s="200"/>
      <c r="I1394" s="133"/>
      <c r="J1394" s="194" t="s">
        <v>5651</v>
      </c>
      <c r="K1394" s="345">
        <v>40000</v>
      </c>
      <c r="L1394" s="176">
        <f>+K1394*0.85</f>
        <v>34000</v>
      </c>
      <c r="M1394" s="175">
        <f>+K1394+L1394</f>
        <v>74000</v>
      </c>
      <c r="N1394" s="202">
        <v>50</v>
      </c>
      <c r="O1394" s="178">
        <f>+M1394/N1394</f>
        <v>1480</v>
      </c>
      <c r="P1394" s="200"/>
      <c r="Q1394" s="133"/>
      <c r="R1394" s="194" t="s">
        <v>5651</v>
      </c>
      <c r="S1394" s="176">
        <v>40000</v>
      </c>
      <c r="T1394" s="176">
        <f>+S1394*0.85</f>
        <v>34000</v>
      </c>
      <c r="U1394" s="175">
        <f>+S1394+T1394</f>
        <v>74000</v>
      </c>
      <c r="V1394" s="202">
        <v>40</v>
      </c>
      <c r="W1394" s="178">
        <f>+U1394/V1394</f>
        <v>1850</v>
      </c>
      <c r="X1394" s="200"/>
    </row>
    <row r="1395" spans="1:26" x14ac:dyDescent="0.25">
      <c r="A1395" s="133"/>
      <c r="B1395" s="195" t="s">
        <v>5635</v>
      </c>
      <c r="C1395" s="345">
        <v>20600</v>
      </c>
      <c r="D1395" s="176">
        <f>+C1395*0.85</f>
        <v>17510</v>
      </c>
      <c r="E1395" s="176">
        <f>+C1395+D1395</f>
        <v>38110</v>
      </c>
      <c r="F1395" s="226">
        <v>40</v>
      </c>
      <c r="G1395" s="178">
        <f>+E1395/F1395</f>
        <v>952.75</v>
      </c>
      <c r="H1395" s="200"/>
      <c r="I1395" s="133"/>
      <c r="J1395" s="195" t="s">
        <v>5635</v>
      </c>
      <c r="K1395" s="345">
        <v>20600</v>
      </c>
      <c r="L1395" s="176">
        <f>+K1395*0.85</f>
        <v>17510</v>
      </c>
      <c r="M1395" s="175">
        <f>+K1395+L1395</f>
        <v>38110</v>
      </c>
      <c r="N1395" s="226">
        <v>25</v>
      </c>
      <c r="O1395" s="178">
        <f>+M1395/N1395</f>
        <v>1524.4</v>
      </c>
      <c r="P1395" s="200"/>
      <c r="Q1395" s="133"/>
      <c r="R1395" s="195" t="s">
        <v>5635</v>
      </c>
      <c r="S1395" s="176">
        <v>19650</v>
      </c>
      <c r="T1395" s="176">
        <f>+S1395*0.85</f>
        <v>16702.5</v>
      </c>
      <c r="U1395" s="175">
        <f>+S1395+T1395</f>
        <v>36352.5</v>
      </c>
      <c r="V1395" s="226">
        <v>20</v>
      </c>
      <c r="W1395" s="178">
        <f>+U1395/V1395</f>
        <v>1817.625</v>
      </c>
      <c r="X1395" s="200"/>
    </row>
    <row r="1396" spans="1:26" x14ac:dyDescent="0.25">
      <c r="A1396" s="133"/>
      <c r="B1396" s="195"/>
      <c r="C1396" s="171"/>
      <c r="D1396" s="176"/>
      <c r="E1396" s="176"/>
      <c r="F1396" s="226"/>
      <c r="G1396" s="178"/>
      <c r="H1396" s="200"/>
      <c r="I1396" s="133"/>
      <c r="J1396" s="195"/>
      <c r="K1396" s="171"/>
      <c r="L1396" s="176"/>
      <c r="M1396" s="228"/>
      <c r="N1396" s="226"/>
      <c r="O1396" s="178"/>
      <c r="P1396" s="200"/>
      <c r="Q1396" s="133"/>
      <c r="R1396" s="195"/>
      <c r="S1396" s="171"/>
      <c r="T1396" s="176"/>
      <c r="U1396" s="228"/>
      <c r="V1396" s="226"/>
      <c r="W1396" s="178"/>
      <c r="X1396" s="200"/>
    </row>
    <row r="1397" spans="1:26" x14ac:dyDescent="0.25">
      <c r="A1397" s="133"/>
      <c r="B1397" s="195"/>
      <c r="C1397" s="232"/>
      <c r="D1397" s="232"/>
      <c r="E1397" s="232"/>
      <c r="F1397" s="226"/>
      <c r="G1397" s="229"/>
      <c r="H1397" s="200"/>
      <c r="I1397" s="133"/>
      <c r="J1397" s="195"/>
      <c r="K1397" s="232"/>
      <c r="L1397" s="232"/>
      <c r="M1397" s="232"/>
      <c r="N1397" s="226"/>
      <c r="O1397" s="229"/>
      <c r="P1397" s="200"/>
      <c r="Q1397" s="133"/>
      <c r="R1397" s="195"/>
      <c r="S1397" s="232"/>
      <c r="T1397" s="232"/>
      <c r="U1397" s="232"/>
      <c r="V1397" s="226"/>
      <c r="W1397" s="229"/>
      <c r="X1397" s="200"/>
    </row>
    <row r="1398" spans="1:26" ht="15.75" thickBot="1" x14ac:dyDescent="0.3">
      <c r="A1398" s="133"/>
      <c r="B1398" s="195"/>
      <c r="C1398" s="232"/>
      <c r="D1398" s="232"/>
      <c r="E1398" s="232"/>
      <c r="F1398" s="226"/>
      <c r="G1398" s="229"/>
      <c r="H1398" s="200"/>
      <c r="I1398" s="133"/>
      <c r="J1398" s="195"/>
      <c r="K1398" s="232"/>
      <c r="L1398" s="232"/>
      <c r="M1398" s="232"/>
      <c r="N1398" s="226"/>
      <c r="O1398" s="229"/>
      <c r="P1398" s="200"/>
      <c r="Q1398" s="133"/>
      <c r="R1398" s="195"/>
      <c r="S1398" s="232"/>
      <c r="T1398" s="232"/>
      <c r="U1398" s="232"/>
      <c r="V1398" s="226"/>
      <c r="W1398" s="229"/>
      <c r="X1398" s="200"/>
    </row>
    <row r="1399" spans="1:26" ht="15.75" thickBot="1" x14ac:dyDescent="0.3">
      <c r="A1399" s="133"/>
      <c r="B1399" s="251"/>
      <c r="C1399" s="252"/>
      <c r="D1399" s="252"/>
      <c r="E1399" s="252"/>
      <c r="F1399" s="253"/>
      <c r="G1399" s="254"/>
      <c r="H1399" s="256">
        <f>+SUM(G1393:G1399)</f>
        <v>2315.583333333333</v>
      </c>
      <c r="I1399" s="133"/>
      <c r="J1399" s="251"/>
      <c r="K1399" s="252"/>
      <c r="L1399" s="252"/>
      <c r="M1399" s="252"/>
      <c r="N1399" s="253"/>
      <c r="O1399" s="254"/>
      <c r="P1399" s="256">
        <f>+SUM(O1393:O1399)</f>
        <v>3133.9</v>
      </c>
      <c r="Q1399" s="133"/>
      <c r="R1399" s="251"/>
      <c r="S1399" s="252"/>
      <c r="T1399" s="252"/>
      <c r="U1399" s="252"/>
      <c r="V1399" s="253"/>
      <c r="W1399" s="254"/>
      <c r="X1399" s="256">
        <f>+SUM(W1393:W1399)</f>
        <v>3797.125</v>
      </c>
    </row>
    <row r="1400" spans="1:26" ht="15.75" thickBot="1" x14ac:dyDescent="0.3">
      <c r="A1400" s="133"/>
      <c r="B1400" s="8"/>
      <c r="C1400" s="8"/>
      <c r="D1400" s="8"/>
      <c r="E1400" s="8"/>
      <c r="F1400" s="133"/>
      <c r="G1400" s="200"/>
      <c r="H1400" s="200"/>
      <c r="I1400" s="133"/>
      <c r="J1400" s="8"/>
      <c r="K1400" s="8"/>
      <c r="L1400" s="8"/>
      <c r="M1400" s="8"/>
      <c r="N1400" s="133"/>
      <c r="O1400" s="200"/>
      <c r="P1400" s="200"/>
      <c r="Q1400" s="133"/>
      <c r="R1400" s="8"/>
      <c r="S1400" s="8"/>
      <c r="T1400" s="8"/>
      <c r="U1400" s="8"/>
      <c r="V1400" s="133"/>
      <c r="W1400" s="200"/>
      <c r="X1400" s="200"/>
    </row>
    <row r="1401" spans="1:26" ht="15.75" thickBot="1" x14ac:dyDescent="0.3">
      <c r="A1401" s="133"/>
      <c r="B1401" s="8"/>
      <c r="C1401" s="8"/>
      <c r="D1401" s="8"/>
      <c r="E1401" s="223" t="s">
        <v>5415</v>
      </c>
      <c r="F1401" s="133"/>
      <c r="G1401" s="200"/>
      <c r="H1401" s="256">
        <f>ROUND(+H1399+H1390+H1382+H1367,0)</f>
        <v>2913</v>
      </c>
      <c r="I1401" s="133"/>
      <c r="J1401" s="8"/>
      <c r="K1401" s="8"/>
      <c r="L1401" s="8"/>
      <c r="M1401" s="223" t="s">
        <v>5415</v>
      </c>
      <c r="N1401" s="223"/>
      <c r="O1401" s="200"/>
      <c r="P1401" s="256">
        <f>ROUND(+P1399+P1390+P1382+P1367,0)</f>
        <v>4197</v>
      </c>
      <c r="Q1401" s="133"/>
      <c r="R1401" s="8"/>
      <c r="S1401" s="8"/>
      <c r="T1401" s="8"/>
      <c r="U1401" s="223" t="s">
        <v>5415</v>
      </c>
      <c r="V1401" s="223"/>
      <c r="W1401" s="200"/>
      <c r="X1401" s="256">
        <f>ROUND(+X1399+X1390+X1382+X1367,0)</f>
        <v>5342</v>
      </c>
    </row>
    <row r="1406" spans="1:26" ht="18.75" x14ac:dyDescent="0.25">
      <c r="A1406" s="133"/>
      <c r="B1406" s="2506" t="s">
        <v>5400</v>
      </c>
      <c r="C1406" s="2506"/>
      <c r="D1406" s="2506"/>
      <c r="E1406" s="2506"/>
      <c r="F1406" s="2506"/>
      <c r="G1406" s="2506"/>
      <c r="H1406" s="8"/>
      <c r="I1406" s="133"/>
      <c r="J1406" s="2506" t="s">
        <v>5400</v>
      </c>
      <c r="K1406" s="2506"/>
      <c r="L1406" s="2506"/>
      <c r="M1406" s="2506"/>
      <c r="N1406" s="2506"/>
      <c r="O1406" s="2506"/>
      <c r="P1406" s="2506"/>
      <c r="Q1406" s="8"/>
      <c r="R1406" s="2506" t="s">
        <v>5400</v>
      </c>
      <c r="S1406" s="2506"/>
      <c r="T1406" s="2506"/>
      <c r="U1406" s="2506"/>
      <c r="V1406" s="2506"/>
      <c r="W1406" s="2506"/>
      <c r="X1406" s="454"/>
      <c r="Y1406" s="454"/>
      <c r="Z1406" s="8"/>
    </row>
    <row r="1407" spans="1:26" x14ac:dyDescent="0.25">
      <c r="A1407" s="133"/>
      <c r="B1407" s="8"/>
      <c r="C1407" s="8"/>
      <c r="D1407" s="8"/>
      <c r="E1407" s="8"/>
      <c r="F1407" s="133"/>
      <c r="G1407" s="200"/>
      <c r="H1407" s="200"/>
      <c r="I1407" s="133"/>
      <c r="J1407" s="8"/>
      <c r="K1407" s="8"/>
      <c r="L1407" s="8"/>
      <c r="M1407" s="8"/>
      <c r="N1407" s="8"/>
      <c r="O1407" s="133"/>
      <c r="P1407" s="200"/>
      <c r="Q1407" s="200"/>
      <c r="R1407" s="133"/>
      <c r="S1407" s="8"/>
      <c r="T1407" s="8"/>
      <c r="U1407" s="8"/>
      <c r="V1407" s="8"/>
      <c r="W1407" s="8"/>
      <c r="X1407" s="133"/>
      <c r="Y1407" s="200"/>
      <c r="Z1407" s="200"/>
    </row>
    <row r="1408" spans="1:26" x14ac:dyDescent="0.25">
      <c r="A1408" s="133"/>
      <c r="B1408" s="8"/>
      <c r="C1408" s="8"/>
      <c r="D1408" s="8"/>
      <c r="E1408" s="8"/>
      <c r="F1408" s="133"/>
      <c r="G1408" s="200"/>
      <c r="H1408" s="200"/>
      <c r="I1408" s="133"/>
      <c r="J1408" s="8"/>
      <c r="K1408" s="8"/>
      <c r="L1408" s="8"/>
      <c r="M1408" s="8"/>
      <c r="N1408" s="133"/>
      <c r="O1408" s="200"/>
      <c r="P1408" s="200"/>
      <c r="Q1408" s="133"/>
      <c r="R1408" s="8"/>
      <c r="S1408" s="8"/>
      <c r="T1408" s="8"/>
      <c r="U1408" s="8"/>
      <c r="V1408" s="133"/>
      <c r="W1408" s="200"/>
      <c r="X1408" s="200"/>
    </row>
    <row r="1409" spans="1:24" x14ac:dyDescent="0.25">
      <c r="A1409" s="133"/>
      <c r="B1409" s="8"/>
      <c r="C1409" s="8"/>
      <c r="D1409" s="8"/>
      <c r="E1409" s="8"/>
      <c r="F1409" s="133"/>
      <c r="G1409" s="200"/>
      <c r="H1409" s="200"/>
      <c r="I1409" s="133"/>
      <c r="J1409" s="8"/>
      <c r="K1409" s="8"/>
      <c r="L1409" s="8"/>
      <c r="M1409" s="8"/>
      <c r="N1409" s="133"/>
      <c r="O1409" s="200"/>
      <c r="P1409" s="200"/>
      <c r="Q1409" s="133"/>
      <c r="R1409" s="8"/>
      <c r="S1409" s="8"/>
      <c r="T1409" s="8"/>
      <c r="U1409" s="8"/>
      <c r="V1409" s="133"/>
      <c r="W1409" s="200"/>
      <c r="X1409" s="200"/>
    </row>
    <row r="1410" spans="1:24" ht="15" customHeight="1" x14ac:dyDescent="0.25">
      <c r="A1410" s="220" t="s">
        <v>5482</v>
      </c>
      <c r="B1410" s="221" t="s">
        <v>355</v>
      </c>
      <c r="C1410" s="2449" t="s">
        <v>5891</v>
      </c>
      <c r="D1410" s="2449"/>
      <c r="E1410" s="2449"/>
      <c r="F1410" s="220" t="s">
        <v>867</v>
      </c>
      <c r="G1410" s="222" t="s">
        <v>5402</v>
      </c>
      <c r="H1410" s="200"/>
      <c r="I1410" s="220" t="s">
        <v>5482</v>
      </c>
      <c r="J1410" s="221" t="s">
        <v>355</v>
      </c>
      <c r="K1410" s="2449" t="s">
        <v>5892</v>
      </c>
      <c r="L1410" s="2449"/>
      <c r="M1410" s="2449"/>
      <c r="N1410" s="220" t="s">
        <v>867</v>
      </c>
      <c r="O1410" s="222" t="s">
        <v>5402</v>
      </c>
      <c r="P1410" s="200"/>
      <c r="Q1410" s="220" t="s">
        <v>5482</v>
      </c>
      <c r="R1410" s="221" t="s">
        <v>355</v>
      </c>
      <c r="S1410" s="2449" t="s">
        <v>5893</v>
      </c>
      <c r="T1410" s="2449"/>
      <c r="U1410" s="2449"/>
      <c r="V1410" s="220" t="s">
        <v>867</v>
      </c>
      <c r="W1410" s="222" t="s">
        <v>5402</v>
      </c>
      <c r="X1410" s="200"/>
    </row>
    <row r="1411" spans="1:24" x14ac:dyDescent="0.25">
      <c r="A1411" s="133"/>
      <c r="B1411" s="8"/>
      <c r="C1411" s="223"/>
      <c r="D1411" s="223"/>
      <c r="E1411" s="223"/>
      <c r="F1411" s="133"/>
      <c r="G1411" s="200"/>
      <c r="H1411" s="200"/>
      <c r="I1411" s="133"/>
      <c r="J1411" s="8"/>
      <c r="K1411" s="223"/>
      <c r="L1411" s="223"/>
      <c r="M1411" s="223"/>
      <c r="N1411" s="133"/>
      <c r="O1411" s="200"/>
      <c r="P1411" s="200"/>
      <c r="Q1411" s="133"/>
      <c r="R1411" s="8"/>
      <c r="S1411" s="223"/>
      <c r="T1411" s="223"/>
      <c r="U1411" s="223"/>
      <c r="V1411" s="133"/>
      <c r="W1411" s="200"/>
      <c r="X1411" s="200"/>
    </row>
    <row r="1412" spans="1:24" x14ac:dyDescent="0.25">
      <c r="A1412" s="133"/>
      <c r="B1412" s="8"/>
      <c r="C1412" s="8"/>
      <c r="D1412" s="8"/>
      <c r="E1412" s="8"/>
      <c r="F1412" s="8"/>
      <c r="G1412" s="8"/>
      <c r="H1412" s="200"/>
      <c r="I1412" s="133"/>
      <c r="J1412" s="8"/>
      <c r="K1412" s="8"/>
      <c r="L1412" s="8"/>
      <c r="M1412" s="8"/>
      <c r="N1412" s="8"/>
      <c r="O1412" s="8"/>
      <c r="P1412" s="200"/>
      <c r="Q1412" s="133"/>
      <c r="R1412" s="8"/>
      <c r="S1412" s="8"/>
      <c r="T1412" s="8"/>
      <c r="U1412" s="8"/>
      <c r="V1412" s="8"/>
      <c r="W1412" s="8"/>
      <c r="X1412" s="200"/>
    </row>
    <row r="1413" spans="1:24" ht="15.75" thickBot="1" x14ac:dyDescent="0.3">
      <c r="A1413" s="133"/>
      <c r="B1413" s="8"/>
      <c r="C1413" s="8"/>
      <c r="D1413" s="8"/>
      <c r="E1413" s="8"/>
      <c r="F1413" s="133"/>
      <c r="G1413" s="200"/>
      <c r="H1413" s="200"/>
      <c r="I1413" s="133"/>
      <c r="J1413" s="8"/>
      <c r="K1413" s="8"/>
      <c r="L1413" s="8"/>
      <c r="M1413" s="8"/>
      <c r="N1413" s="133"/>
      <c r="O1413" s="200"/>
      <c r="P1413" s="200"/>
      <c r="Q1413" s="133"/>
      <c r="R1413" s="8"/>
      <c r="S1413" s="8"/>
      <c r="T1413" s="8"/>
      <c r="U1413" s="8"/>
      <c r="V1413" s="133"/>
      <c r="W1413" s="200"/>
      <c r="X1413" s="200"/>
    </row>
    <row r="1414" spans="1:24" ht="15.75" thickBot="1" x14ac:dyDescent="0.3">
      <c r="A1414" s="133"/>
      <c r="B1414" s="224" t="s">
        <v>5403</v>
      </c>
      <c r="C1414" s="193" t="s">
        <v>867</v>
      </c>
      <c r="D1414" s="193" t="s">
        <v>6</v>
      </c>
      <c r="E1414" s="193" t="s">
        <v>5439</v>
      </c>
      <c r="F1414" s="193" t="s">
        <v>5405</v>
      </c>
      <c r="G1414" s="225" t="s">
        <v>868</v>
      </c>
      <c r="H1414" s="200"/>
      <c r="I1414" s="133"/>
      <c r="J1414" s="224" t="s">
        <v>5403</v>
      </c>
      <c r="K1414" s="193" t="s">
        <v>867</v>
      </c>
      <c r="L1414" s="193" t="s">
        <v>6</v>
      </c>
      <c r="M1414" s="193" t="s">
        <v>5439</v>
      </c>
      <c r="N1414" s="193" t="s">
        <v>5405</v>
      </c>
      <c r="O1414" s="225" t="s">
        <v>868</v>
      </c>
      <c r="P1414" s="200"/>
      <c r="Q1414" s="133"/>
      <c r="R1414" s="224" t="s">
        <v>5403</v>
      </c>
      <c r="S1414" s="193" t="s">
        <v>867</v>
      </c>
      <c r="T1414" s="193" t="s">
        <v>6</v>
      </c>
      <c r="U1414" s="193" t="s">
        <v>5439</v>
      </c>
      <c r="V1414" s="193" t="s">
        <v>5405</v>
      </c>
      <c r="W1414" s="225" t="s">
        <v>868</v>
      </c>
      <c r="X1414" s="200"/>
    </row>
    <row r="1415" spans="1:24" x14ac:dyDescent="0.25">
      <c r="A1415" s="133"/>
      <c r="B1415" s="195" t="s">
        <v>5440</v>
      </c>
      <c r="C1415" s="226" t="s">
        <v>5402</v>
      </c>
      <c r="D1415" s="226">
        <v>1</v>
      </c>
      <c r="E1415" s="227">
        <f>+H1453</f>
        <v>6211.375</v>
      </c>
      <c r="F1415" s="226">
        <v>0.1</v>
      </c>
      <c r="G1415" s="229">
        <f>+E1415*F1415</f>
        <v>621.13750000000005</v>
      </c>
      <c r="H1415" s="200"/>
      <c r="I1415" s="133"/>
      <c r="J1415" s="195" t="s">
        <v>5440</v>
      </c>
      <c r="K1415" s="226" t="s">
        <v>5402</v>
      </c>
      <c r="L1415" s="226">
        <v>1</v>
      </c>
      <c r="M1415" s="228">
        <f>+P1453</f>
        <v>7930.3333333333339</v>
      </c>
      <c r="N1415" s="226">
        <v>0.1</v>
      </c>
      <c r="O1415" s="229">
        <f>+M1415*N1415</f>
        <v>793.03333333333342</v>
      </c>
      <c r="P1415" s="200"/>
      <c r="Q1415" s="133"/>
      <c r="R1415" s="195" t="s">
        <v>5440</v>
      </c>
      <c r="S1415" s="226" t="s">
        <v>5402</v>
      </c>
      <c r="T1415" s="226">
        <v>1</v>
      </c>
      <c r="U1415" s="228">
        <f>+X1453</f>
        <v>10236.666666666668</v>
      </c>
      <c r="V1415" s="226">
        <v>0.1</v>
      </c>
      <c r="W1415" s="229">
        <f>+U1415*V1415</f>
        <v>1023.6666666666669</v>
      </c>
      <c r="X1415" s="200"/>
    </row>
    <row r="1416" spans="1:24" x14ac:dyDescent="0.25">
      <c r="A1416" s="133"/>
      <c r="B1416" s="195" t="s">
        <v>6061</v>
      </c>
      <c r="C1416" s="226" t="s">
        <v>5402</v>
      </c>
      <c r="D1416" s="226">
        <v>1</v>
      </c>
      <c r="E1416" s="230">
        <v>150000</v>
      </c>
      <c r="F1416" s="226">
        <v>8.0000000000000002E-3</v>
      </c>
      <c r="G1416" s="229">
        <f>+E1416*F1416</f>
        <v>1200</v>
      </c>
      <c r="H1416" s="200"/>
      <c r="I1416" s="133"/>
      <c r="J1416" s="195" t="s">
        <v>6061</v>
      </c>
      <c r="K1416" s="226" t="s">
        <v>5402</v>
      </c>
      <c r="L1416" s="226">
        <v>1</v>
      </c>
      <c r="M1416" s="228">
        <v>150000</v>
      </c>
      <c r="N1416" s="226">
        <v>0.01</v>
      </c>
      <c r="O1416" s="229">
        <f>+M1416*N1416</f>
        <v>1500</v>
      </c>
      <c r="P1416" s="200"/>
      <c r="Q1416" s="133"/>
      <c r="R1416" s="195" t="s">
        <v>6061</v>
      </c>
      <c r="S1416" s="226" t="s">
        <v>5402</v>
      </c>
      <c r="T1416" s="226">
        <v>1</v>
      </c>
      <c r="U1416" s="228">
        <v>150000</v>
      </c>
      <c r="V1416" s="226">
        <v>1.4999999999999999E-2</v>
      </c>
      <c r="W1416" s="229">
        <f>+U1416*V1416</f>
        <v>2250</v>
      </c>
      <c r="X1416" s="200"/>
    </row>
    <row r="1417" spans="1:24" x14ac:dyDescent="0.25">
      <c r="A1417" s="133"/>
      <c r="B1417" s="195"/>
      <c r="C1417" s="226"/>
      <c r="D1417" s="226"/>
      <c r="E1417" s="176"/>
      <c r="F1417" s="226"/>
      <c r="G1417" s="229"/>
      <c r="H1417" s="200"/>
      <c r="I1417" s="133"/>
      <c r="J1417" s="195"/>
      <c r="K1417" s="226"/>
      <c r="L1417" s="226"/>
      <c r="M1417" s="176"/>
      <c r="N1417" s="226"/>
      <c r="O1417" s="229"/>
      <c r="P1417" s="200"/>
      <c r="Q1417" s="133"/>
      <c r="R1417" s="195"/>
      <c r="S1417" s="226"/>
      <c r="T1417" s="226"/>
      <c r="U1417" s="176"/>
      <c r="V1417" s="226"/>
      <c r="W1417" s="229"/>
      <c r="X1417" s="200"/>
    </row>
    <row r="1418" spans="1:24" x14ac:dyDescent="0.25">
      <c r="A1418" s="133"/>
      <c r="B1418" s="195"/>
      <c r="C1418" s="226"/>
      <c r="D1418" s="226"/>
      <c r="E1418" s="171"/>
      <c r="F1418" s="226"/>
      <c r="G1418" s="231"/>
      <c r="H1418" s="200"/>
      <c r="I1418" s="133"/>
      <c r="J1418" s="195"/>
      <c r="K1418" s="226"/>
      <c r="L1418" s="226"/>
      <c r="M1418" s="171"/>
      <c r="N1418" s="226"/>
      <c r="O1418" s="231"/>
      <c r="P1418" s="200"/>
      <c r="Q1418" s="133"/>
      <c r="R1418" s="195"/>
      <c r="S1418" s="226"/>
      <c r="T1418" s="226"/>
      <c r="U1418" s="171"/>
      <c r="V1418" s="226"/>
      <c r="W1418" s="231"/>
      <c r="X1418" s="200"/>
    </row>
    <row r="1419" spans="1:24" x14ac:dyDescent="0.25">
      <c r="A1419" s="133"/>
      <c r="B1419" s="195"/>
      <c r="C1419" s="226"/>
      <c r="D1419" s="232"/>
      <c r="E1419" s="232"/>
      <c r="F1419" s="226"/>
      <c r="G1419" s="229"/>
      <c r="H1419" s="200"/>
      <c r="I1419" s="133"/>
      <c r="J1419" s="195"/>
      <c r="K1419" s="226"/>
      <c r="L1419" s="232"/>
      <c r="M1419" s="232"/>
      <c r="N1419" s="226"/>
      <c r="O1419" s="229"/>
      <c r="P1419" s="200"/>
      <c r="Q1419" s="133"/>
      <c r="R1419" s="195"/>
      <c r="S1419" s="226"/>
      <c r="T1419" s="232"/>
      <c r="U1419" s="232"/>
      <c r="V1419" s="226"/>
      <c r="W1419" s="229"/>
      <c r="X1419" s="200"/>
    </row>
    <row r="1420" spans="1:24" ht="15.75" thickBot="1" x14ac:dyDescent="0.3">
      <c r="A1420" s="133"/>
      <c r="B1420" s="195"/>
      <c r="C1420" s="226"/>
      <c r="D1420" s="232"/>
      <c r="E1420" s="232"/>
      <c r="F1420" s="226"/>
      <c r="G1420" s="229"/>
      <c r="H1420" s="200"/>
      <c r="I1420" s="133"/>
      <c r="J1420" s="195"/>
      <c r="K1420" s="226"/>
      <c r="L1420" s="232"/>
      <c r="M1420" s="232"/>
      <c r="N1420" s="226"/>
      <c r="O1420" s="229"/>
      <c r="P1420" s="200"/>
      <c r="Q1420" s="133"/>
      <c r="R1420" s="195"/>
      <c r="S1420" s="226"/>
      <c r="T1420" s="232"/>
      <c r="U1420" s="232"/>
      <c r="V1420" s="226"/>
      <c r="W1420" s="229"/>
      <c r="X1420" s="200"/>
    </row>
    <row r="1421" spans="1:24" ht="15.75" thickBot="1" x14ac:dyDescent="0.3">
      <c r="A1421" s="133"/>
      <c r="B1421" s="233"/>
      <c r="C1421" s="234"/>
      <c r="D1421" s="234"/>
      <c r="E1421" s="234"/>
      <c r="F1421" s="235"/>
      <c r="G1421" s="236"/>
      <c r="H1421" s="237">
        <f>+SUM(G1415:G1421)</f>
        <v>1821.1375</v>
      </c>
      <c r="I1421" s="133"/>
      <c r="J1421" s="233"/>
      <c r="K1421" s="234"/>
      <c r="L1421" s="234"/>
      <c r="M1421" s="234"/>
      <c r="N1421" s="235"/>
      <c r="O1421" s="236"/>
      <c r="P1421" s="237">
        <f>+SUM(O1415:O1421)</f>
        <v>2293.0333333333333</v>
      </c>
      <c r="Q1421" s="133"/>
      <c r="R1421" s="233"/>
      <c r="S1421" s="234"/>
      <c r="T1421" s="234"/>
      <c r="U1421" s="234"/>
      <c r="V1421" s="235"/>
      <c r="W1421" s="236"/>
      <c r="X1421" s="237">
        <f>+SUM(W1415:W1421)</f>
        <v>3273.666666666667</v>
      </c>
    </row>
    <row r="1422" spans="1:24" ht="15.75" thickBot="1" x14ac:dyDescent="0.3">
      <c r="A1422" s="133"/>
      <c r="B1422" s="238"/>
      <c r="C1422" s="238"/>
      <c r="D1422" s="238"/>
      <c r="E1422" s="238"/>
      <c r="F1422" s="239"/>
      <c r="G1422" s="240"/>
      <c r="H1422" s="241"/>
      <c r="I1422" s="133"/>
      <c r="J1422" s="238"/>
      <c r="K1422" s="238"/>
      <c r="L1422" s="238"/>
      <c r="M1422" s="238"/>
      <c r="N1422" s="239"/>
      <c r="O1422" s="240"/>
      <c r="P1422" s="241"/>
      <c r="Q1422" s="133"/>
      <c r="R1422" s="238"/>
      <c r="S1422" s="238"/>
      <c r="T1422" s="238"/>
      <c r="U1422" s="238"/>
      <c r="V1422" s="239"/>
      <c r="W1422" s="240"/>
      <c r="X1422" s="241"/>
    </row>
    <row r="1423" spans="1:24" ht="15.75" thickBot="1" x14ac:dyDescent="0.3">
      <c r="A1423" s="133"/>
      <c r="B1423" s="224" t="s">
        <v>5408</v>
      </c>
      <c r="C1423" s="193" t="s">
        <v>867</v>
      </c>
      <c r="D1423" s="193" t="s">
        <v>6</v>
      </c>
      <c r="E1423" s="193" t="s">
        <v>870</v>
      </c>
      <c r="F1423" s="193" t="s">
        <v>5409</v>
      </c>
      <c r="G1423" s="225" t="s">
        <v>868</v>
      </c>
      <c r="H1423" s="200"/>
      <c r="I1423" s="133"/>
      <c r="J1423" s="224" t="s">
        <v>5408</v>
      </c>
      <c r="K1423" s="193" t="s">
        <v>867</v>
      </c>
      <c r="L1423" s="193" t="s">
        <v>6</v>
      </c>
      <c r="M1423" s="193" t="s">
        <v>870</v>
      </c>
      <c r="N1423" s="193" t="s">
        <v>5409</v>
      </c>
      <c r="O1423" s="225" t="s">
        <v>868</v>
      </c>
      <c r="P1423" s="200"/>
      <c r="Q1423" s="133"/>
      <c r="R1423" s="224" t="s">
        <v>5408</v>
      </c>
      <c r="S1423" s="193" t="s">
        <v>867</v>
      </c>
      <c r="T1423" s="193" t="s">
        <v>6</v>
      </c>
      <c r="U1423" s="193" t="s">
        <v>870</v>
      </c>
      <c r="V1423" s="193" t="s">
        <v>5409</v>
      </c>
      <c r="W1423" s="225" t="s">
        <v>868</v>
      </c>
      <c r="X1423" s="200"/>
    </row>
    <row r="1424" spans="1:24" x14ac:dyDescent="0.25">
      <c r="A1424" s="133"/>
      <c r="B1424" s="295" t="s">
        <v>5553</v>
      </c>
      <c r="C1424" s="202" t="s">
        <v>5488</v>
      </c>
      <c r="D1424" s="226">
        <f>+PI()*0.075^2*1000</f>
        <v>17.671458676442587</v>
      </c>
      <c r="E1424" s="244">
        <v>5</v>
      </c>
      <c r="F1424" s="169">
        <v>0.05</v>
      </c>
      <c r="G1424" s="178">
        <f>+D1424*E1424*(1+F1424)</f>
        <v>92.775158051323587</v>
      </c>
      <c r="H1424" s="200"/>
      <c r="I1424" s="133"/>
      <c r="J1424" s="295" t="s">
        <v>5553</v>
      </c>
      <c r="K1424" s="202" t="s">
        <v>5488</v>
      </c>
      <c r="L1424" s="226">
        <f>+PI()*0.1^2*1000</f>
        <v>31.415926535897935</v>
      </c>
      <c r="M1424" s="332">
        <v>5</v>
      </c>
      <c r="N1424" s="169">
        <v>0.05</v>
      </c>
      <c r="O1424" s="178">
        <f>+L1424*M1424*(1+N1424)</f>
        <v>164.93361431346415</v>
      </c>
      <c r="P1424" s="200"/>
      <c r="Q1424" s="133"/>
      <c r="R1424" s="295" t="s">
        <v>5553</v>
      </c>
      <c r="S1424" s="202" t="s">
        <v>5488</v>
      </c>
      <c r="T1424" s="226">
        <f>+PI()*0.125^2*1000</f>
        <v>49.087385212340514</v>
      </c>
      <c r="U1424" s="332">
        <v>5</v>
      </c>
      <c r="V1424" s="169">
        <v>0.05</v>
      </c>
      <c r="W1424" s="178">
        <f>+T1424*U1424*(1+V1424)</f>
        <v>257.70877236478771</v>
      </c>
      <c r="X1424" s="200"/>
    </row>
    <row r="1425" spans="1:24" x14ac:dyDescent="0.25">
      <c r="A1425" s="133"/>
      <c r="B1425" s="450" t="s">
        <v>5755</v>
      </c>
      <c r="C1425" s="202" t="s">
        <v>5487</v>
      </c>
      <c r="D1425" s="202">
        <f>+T1371*D1424/T1370</f>
        <v>738.89999999999986</v>
      </c>
      <c r="E1425" s="257">
        <v>0.65</v>
      </c>
      <c r="F1425" s="169">
        <v>0.05</v>
      </c>
      <c r="G1425" s="178">
        <f>+D1425*E1425*(1+F1425)</f>
        <v>504.29924999999992</v>
      </c>
      <c r="H1425" s="200"/>
      <c r="I1425" s="133"/>
      <c r="J1425" s="450" t="s">
        <v>5755</v>
      </c>
      <c r="K1425" s="202" t="s">
        <v>5487</v>
      </c>
      <c r="L1425" s="202">
        <f>+D1425*L1424/D1424</f>
        <v>1313.6</v>
      </c>
      <c r="M1425" s="148">
        <v>0.65</v>
      </c>
      <c r="N1425" s="169">
        <v>0.05</v>
      </c>
      <c r="O1425" s="178">
        <f>+L1425*M1425*(1+N1425)</f>
        <v>896.53199999999993</v>
      </c>
      <c r="P1425" s="200"/>
      <c r="Q1425" s="133"/>
      <c r="R1425" s="450" t="s">
        <v>5755</v>
      </c>
      <c r="S1425" s="202" t="s">
        <v>5487</v>
      </c>
      <c r="T1425" s="202">
        <f>+L1425*T1424/L1424</f>
        <v>2052.4999999999995</v>
      </c>
      <c r="U1425" s="228">
        <v>0.65</v>
      </c>
      <c r="V1425" s="169">
        <v>0.05</v>
      </c>
      <c r="W1425" s="178">
        <f>+T1425*U1425*(1+V1425)</f>
        <v>1400.8312499999997</v>
      </c>
      <c r="X1425" s="200"/>
    </row>
    <row r="1426" spans="1:24" x14ac:dyDescent="0.25">
      <c r="A1426" s="133"/>
      <c r="B1426" s="247"/>
      <c r="C1426" s="226"/>
      <c r="D1426" s="226"/>
      <c r="E1426" s="244"/>
      <c r="F1426" s="169"/>
      <c r="G1426" s="178">
        <f>+D1426*E1426*(1+F1426)</f>
        <v>0</v>
      </c>
      <c r="H1426" s="200"/>
      <c r="I1426" s="133"/>
      <c r="J1426" s="247"/>
      <c r="K1426" s="226"/>
      <c r="L1426" s="226"/>
      <c r="M1426" s="228"/>
      <c r="N1426" s="169"/>
      <c r="O1426" s="178"/>
      <c r="P1426" s="200"/>
      <c r="Q1426" s="133"/>
      <c r="R1426" s="247"/>
      <c r="S1426" s="226"/>
      <c r="T1426" s="226"/>
      <c r="U1426" s="228"/>
      <c r="V1426" s="169"/>
      <c r="W1426" s="178"/>
      <c r="X1426" s="200"/>
    </row>
    <row r="1427" spans="1:24" x14ac:dyDescent="0.25">
      <c r="A1427" s="133"/>
      <c r="B1427" s="194"/>
      <c r="C1427" s="226"/>
      <c r="D1427" s="226"/>
      <c r="E1427" s="171"/>
      <c r="F1427" s="169"/>
      <c r="G1427" s="178">
        <f>+D1427*E1427*(1+F1427)</f>
        <v>0</v>
      </c>
      <c r="H1427" s="200"/>
      <c r="I1427" s="133"/>
      <c r="J1427" s="194"/>
      <c r="K1427" s="226"/>
      <c r="L1427" s="226"/>
      <c r="M1427" s="228"/>
      <c r="N1427" s="169"/>
      <c r="O1427" s="178"/>
      <c r="P1427" s="200"/>
      <c r="Q1427" s="133"/>
      <c r="R1427" s="194"/>
      <c r="S1427" s="226"/>
      <c r="T1427" s="226"/>
      <c r="U1427" s="228"/>
      <c r="V1427" s="169"/>
      <c r="W1427" s="178"/>
      <c r="X1427" s="200"/>
    </row>
    <row r="1428" spans="1:24" x14ac:dyDescent="0.25">
      <c r="A1428" s="133"/>
      <c r="B1428" s="195"/>
      <c r="C1428" s="226"/>
      <c r="D1428" s="226"/>
      <c r="E1428" s="171"/>
      <c r="F1428" s="169"/>
      <c r="G1428" s="178"/>
      <c r="H1428" s="200"/>
      <c r="I1428" s="133"/>
      <c r="J1428" s="195"/>
      <c r="K1428" s="226"/>
      <c r="L1428" s="226"/>
      <c r="M1428" s="176"/>
      <c r="N1428" s="169"/>
      <c r="O1428" s="178"/>
      <c r="P1428" s="200"/>
      <c r="Q1428" s="133"/>
      <c r="R1428" s="195"/>
      <c r="S1428" s="226"/>
      <c r="T1428" s="226"/>
      <c r="U1428" s="176"/>
      <c r="V1428" s="169"/>
      <c r="W1428" s="178"/>
      <c r="X1428" s="200"/>
    </row>
    <row r="1429" spans="1:24" x14ac:dyDescent="0.25">
      <c r="A1429" s="133"/>
      <c r="B1429" s="194"/>
      <c r="C1429" s="202"/>
      <c r="D1429" s="202"/>
      <c r="E1429" s="171"/>
      <c r="F1429" s="169"/>
      <c r="G1429" s="178"/>
      <c r="H1429" s="200"/>
      <c r="I1429" s="133"/>
      <c r="J1429" s="194"/>
      <c r="K1429" s="202"/>
      <c r="L1429" s="202"/>
      <c r="M1429" s="176"/>
      <c r="N1429" s="169"/>
      <c r="O1429" s="178"/>
      <c r="P1429" s="200"/>
      <c r="Q1429" s="133"/>
      <c r="R1429" s="194"/>
      <c r="S1429" s="202"/>
      <c r="T1429" s="202"/>
      <c r="U1429" s="176"/>
      <c r="V1429" s="169"/>
      <c r="W1429" s="178"/>
      <c r="X1429" s="200"/>
    </row>
    <row r="1430" spans="1:24" x14ac:dyDescent="0.25">
      <c r="A1430" s="133"/>
      <c r="B1430" s="195"/>
      <c r="C1430" s="226"/>
      <c r="D1430" s="226"/>
      <c r="E1430" s="171"/>
      <c r="F1430" s="169"/>
      <c r="G1430" s="178"/>
      <c r="H1430" s="200"/>
      <c r="I1430" s="133"/>
      <c r="J1430" s="195"/>
      <c r="K1430" s="226"/>
      <c r="L1430" s="226"/>
      <c r="M1430" s="176"/>
      <c r="N1430" s="169"/>
      <c r="O1430" s="178"/>
      <c r="P1430" s="200"/>
      <c r="Q1430" s="133"/>
      <c r="R1430" s="195"/>
      <c r="S1430" s="226"/>
      <c r="T1430" s="226"/>
      <c r="U1430" s="176"/>
      <c r="V1430" s="169"/>
      <c r="W1430" s="178"/>
      <c r="X1430" s="200"/>
    </row>
    <row r="1431" spans="1:24" x14ac:dyDescent="0.25">
      <c r="A1431" s="133"/>
      <c r="B1431" s="195"/>
      <c r="C1431" s="226"/>
      <c r="D1431" s="226"/>
      <c r="E1431" s="171"/>
      <c r="F1431" s="169"/>
      <c r="G1431" s="178"/>
      <c r="H1431" s="200"/>
      <c r="I1431" s="133"/>
      <c r="J1431" s="195"/>
      <c r="K1431" s="226"/>
      <c r="L1431" s="226"/>
      <c r="M1431" s="176"/>
      <c r="N1431" s="169"/>
      <c r="O1431" s="178"/>
      <c r="P1431" s="200"/>
      <c r="Q1431" s="133"/>
      <c r="R1431" s="195"/>
      <c r="S1431" s="226"/>
      <c r="T1431" s="226"/>
      <c r="U1431" s="176"/>
      <c r="V1431" s="169"/>
      <c r="W1431" s="178"/>
      <c r="X1431" s="200"/>
    </row>
    <row r="1432" spans="1:24" x14ac:dyDescent="0.25">
      <c r="A1432" s="133"/>
      <c r="B1432" s="195"/>
      <c r="C1432" s="232"/>
      <c r="D1432" s="232"/>
      <c r="E1432" s="232"/>
      <c r="F1432" s="226"/>
      <c r="G1432" s="229"/>
      <c r="H1432" s="200"/>
      <c r="I1432" s="133"/>
      <c r="J1432" s="195"/>
      <c r="K1432" s="232"/>
      <c r="L1432" s="232"/>
      <c r="M1432" s="232"/>
      <c r="N1432" s="226"/>
      <c r="O1432" s="229"/>
      <c r="P1432" s="200"/>
      <c r="Q1432" s="133"/>
      <c r="R1432" s="195"/>
      <c r="S1432" s="232"/>
      <c r="T1432" s="232"/>
      <c r="U1432" s="232"/>
      <c r="V1432" s="226"/>
      <c r="W1432" s="229"/>
      <c r="X1432" s="200"/>
    </row>
    <row r="1433" spans="1:24" x14ac:dyDescent="0.25">
      <c r="A1433" s="133"/>
      <c r="B1433" s="195"/>
      <c r="C1433" s="232"/>
      <c r="D1433" s="232"/>
      <c r="E1433" s="232"/>
      <c r="F1433" s="226"/>
      <c r="G1433" s="229"/>
      <c r="H1433" s="200"/>
      <c r="I1433" s="133"/>
      <c r="J1433" s="195"/>
      <c r="K1433" s="232"/>
      <c r="L1433" s="232"/>
      <c r="M1433" s="232"/>
      <c r="N1433" s="226"/>
      <c r="O1433" s="229"/>
      <c r="P1433" s="200"/>
      <c r="Q1433" s="133"/>
      <c r="R1433" s="195"/>
      <c r="S1433" s="232"/>
      <c r="T1433" s="232"/>
      <c r="U1433" s="232"/>
      <c r="V1433" s="226"/>
      <c r="W1433" s="229"/>
      <c r="X1433" s="200"/>
    </row>
    <row r="1434" spans="1:24" x14ac:dyDescent="0.25">
      <c r="A1434" s="133"/>
      <c r="B1434" s="195"/>
      <c r="C1434" s="232"/>
      <c r="D1434" s="232"/>
      <c r="E1434" s="232"/>
      <c r="F1434" s="226"/>
      <c r="G1434" s="229"/>
      <c r="H1434" s="200"/>
      <c r="I1434" s="133"/>
      <c r="J1434" s="195"/>
      <c r="K1434" s="232"/>
      <c r="L1434" s="232"/>
      <c r="M1434" s="232"/>
      <c r="N1434" s="226"/>
      <c r="O1434" s="229"/>
      <c r="P1434" s="200"/>
      <c r="Q1434" s="133"/>
      <c r="R1434" s="195"/>
      <c r="S1434" s="232"/>
      <c r="T1434" s="232"/>
      <c r="U1434" s="232"/>
      <c r="V1434" s="226"/>
      <c r="W1434" s="229"/>
      <c r="X1434" s="200"/>
    </row>
    <row r="1435" spans="1:24" ht="15.75" thickBot="1" x14ac:dyDescent="0.3">
      <c r="A1435" s="133"/>
      <c r="B1435" s="195"/>
      <c r="C1435" s="232"/>
      <c r="D1435" s="232"/>
      <c r="E1435" s="232"/>
      <c r="F1435" s="226"/>
      <c r="G1435" s="229"/>
      <c r="H1435" s="200"/>
      <c r="I1435" s="133"/>
      <c r="J1435" s="195"/>
      <c r="K1435" s="232"/>
      <c r="L1435" s="232"/>
      <c r="M1435" s="232"/>
      <c r="N1435" s="226"/>
      <c r="O1435" s="229"/>
      <c r="P1435" s="200"/>
      <c r="Q1435" s="133"/>
      <c r="R1435" s="195"/>
      <c r="S1435" s="232"/>
      <c r="T1435" s="232"/>
      <c r="U1435" s="232"/>
      <c r="V1435" s="226"/>
      <c r="W1435" s="229"/>
      <c r="X1435" s="200"/>
    </row>
    <row r="1436" spans="1:24" ht="15.75" thickBot="1" x14ac:dyDescent="0.3">
      <c r="A1436" s="133"/>
      <c r="B1436" s="233"/>
      <c r="C1436" s="234"/>
      <c r="D1436" s="234"/>
      <c r="E1436" s="234"/>
      <c r="F1436" s="235"/>
      <c r="G1436" s="236"/>
      <c r="H1436" s="256">
        <f>+SUM(G1424:G1436)</f>
        <v>597.07440805132353</v>
      </c>
      <c r="I1436" s="133"/>
      <c r="J1436" s="233"/>
      <c r="K1436" s="234"/>
      <c r="L1436" s="234"/>
      <c r="M1436" s="234"/>
      <c r="N1436" s="235"/>
      <c r="O1436" s="236"/>
      <c r="P1436" s="256">
        <f>+SUM(O1424:O1436)</f>
        <v>1061.4656143134641</v>
      </c>
      <c r="Q1436" s="133"/>
      <c r="R1436" s="233"/>
      <c r="S1436" s="234"/>
      <c r="T1436" s="234"/>
      <c r="U1436" s="234"/>
      <c r="V1436" s="235"/>
      <c r="W1436" s="236"/>
      <c r="X1436" s="256">
        <f>+SUM(W1424:W1436)</f>
        <v>1658.5400223647875</v>
      </c>
    </row>
    <row r="1437" spans="1:24" ht="15.75" thickBot="1" x14ac:dyDescent="0.3">
      <c r="A1437" s="133"/>
      <c r="B1437" s="238"/>
      <c r="C1437" s="238"/>
      <c r="D1437" s="238"/>
      <c r="E1437" s="238"/>
      <c r="F1437" s="239"/>
      <c r="G1437" s="240"/>
      <c r="H1437" s="241"/>
      <c r="I1437" s="133"/>
      <c r="J1437" s="238"/>
      <c r="K1437" s="238"/>
      <c r="L1437" s="238"/>
      <c r="M1437" s="238"/>
      <c r="N1437" s="239"/>
      <c r="O1437" s="240"/>
      <c r="P1437" s="241"/>
      <c r="Q1437" s="133"/>
      <c r="R1437" s="238"/>
      <c r="S1437" s="238"/>
      <c r="T1437" s="238"/>
      <c r="U1437" s="238"/>
      <c r="V1437" s="239"/>
      <c r="W1437" s="240"/>
      <c r="X1437" s="241"/>
    </row>
    <row r="1438" spans="1:24" ht="15.75" thickBot="1" x14ac:dyDescent="0.3">
      <c r="A1438" s="133"/>
      <c r="B1438" s="224" t="s">
        <v>5410</v>
      </c>
      <c r="C1438" s="193" t="s">
        <v>867</v>
      </c>
      <c r="D1438" s="193" t="s">
        <v>6</v>
      </c>
      <c r="E1438" s="193" t="s">
        <v>870</v>
      </c>
      <c r="F1438" s="193" t="s">
        <v>5411</v>
      </c>
      <c r="G1438" s="225" t="s">
        <v>868</v>
      </c>
      <c r="H1438" s="200"/>
      <c r="I1438" s="133"/>
      <c r="J1438" s="224" t="s">
        <v>5410</v>
      </c>
      <c r="K1438" s="193" t="s">
        <v>867</v>
      </c>
      <c r="L1438" s="193" t="s">
        <v>6</v>
      </c>
      <c r="M1438" s="193" t="s">
        <v>870</v>
      </c>
      <c r="N1438" s="193" t="s">
        <v>5411</v>
      </c>
      <c r="O1438" s="225" t="s">
        <v>868</v>
      </c>
      <c r="P1438" s="200"/>
      <c r="Q1438" s="133"/>
      <c r="R1438" s="224" t="s">
        <v>5410</v>
      </c>
      <c r="S1438" s="193" t="s">
        <v>867</v>
      </c>
      <c r="T1438" s="193" t="s">
        <v>6</v>
      </c>
      <c r="U1438" s="193" t="s">
        <v>870</v>
      </c>
      <c r="V1438" s="193" t="s">
        <v>5411</v>
      </c>
      <c r="W1438" s="225" t="s">
        <v>868</v>
      </c>
      <c r="X1438" s="200"/>
    </row>
    <row r="1439" spans="1:24" x14ac:dyDescent="0.25">
      <c r="A1439" s="133"/>
      <c r="B1439" s="245"/>
      <c r="C1439" s="202"/>
      <c r="D1439" s="202"/>
      <c r="E1439" s="175"/>
      <c r="F1439" s="202"/>
      <c r="G1439" s="203"/>
      <c r="H1439" s="246"/>
      <c r="I1439" s="133"/>
      <c r="J1439" s="245"/>
      <c r="K1439" s="202"/>
      <c r="L1439" s="202"/>
      <c r="M1439" s="175"/>
      <c r="N1439" s="202"/>
      <c r="O1439" s="203"/>
      <c r="P1439" s="246"/>
      <c r="Q1439" s="133"/>
      <c r="R1439" s="245"/>
      <c r="S1439" s="202"/>
      <c r="T1439" s="202"/>
      <c r="U1439" s="175"/>
      <c r="V1439" s="202"/>
      <c r="W1439" s="203"/>
      <c r="X1439" s="246"/>
    </row>
    <row r="1440" spans="1:24" x14ac:dyDescent="0.25">
      <c r="A1440" s="133"/>
      <c r="B1440" s="247"/>
      <c r="C1440" s="248"/>
      <c r="D1440" s="248"/>
      <c r="E1440" s="248"/>
      <c r="F1440" s="202"/>
      <c r="G1440" s="178"/>
      <c r="H1440" s="200"/>
      <c r="I1440" s="133"/>
      <c r="J1440" s="247"/>
      <c r="K1440" s="248"/>
      <c r="L1440" s="248"/>
      <c r="M1440" s="248"/>
      <c r="N1440" s="202"/>
      <c r="O1440" s="178"/>
      <c r="P1440" s="200"/>
      <c r="Q1440" s="133"/>
      <c r="R1440" s="247"/>
      <c r="S1440" s="248"/>
      <c r="T1440" s="248"/>
      <c r="U1440" s="248"/>
      <c r="V1440" s="202"/>
      <c r="W1440" s="178"/>
      <c r="X1440" s="200"/>
    </row>
    <row r="1441" spans="1:24" x14ac:dyDescent="0.25">
      <c r="A1441" s="133"/>
      <c r="B1441" s="247"/>
      <c r="C1441" s="232"/>
      <c r="D1441" s="232"/>
      <c r="E1441" s="232"/>
      <c r="F1441" s="226"/>
      <c r="G1441" s="229"/>
      <c r="H1441" s="200"/>
      <c r="I1441" s="133"/>
      <c r="J1441" s="247"/>
      <c r="K1441" s="232"/>
      <c r="L1441" s="232"/>
      <c r="M1441" s="232"/>
      <c r="N1441" s="226"/>
      <c r="O1441" s="229"/>
      <c r="P1441" s="200"/>
      <c r="Q1441" s="133"/>
      <c r="R1441" s="247"/>
      <c r="S1441" s="232"/>
      <c r="T1441" s="232"/>
      <c r="U1441" s="232"/>
      <c r="V1441" s="226"/>
      <c r="W1441" s="229"/>
      <c r="X1441" s="200"/>
    </row>
    <row r="1442" spans="1:24" x14ac:dyDescent="0.25">
      <c r="A1442" s="133"/>
      <c r="B1442" s="194"/>
      <c r="C1442" s="232"/>
      <c r="D1442" s="232"/>
      <c r="E1442" s="232"/>
      <c r="F1442" s="226"/>
      <c r="G1442" s="229"/>
      <c r="H1442" s="200"/>
      <c r="I1442" s="133"/>
      <c r="J1442" s="194"/>
      <c r="K1442" s="232"/>
      <c r="L1442" s="232"/>
      <c r="M1442" s="232"/>
      <c r="N1442" s="226"/>
      <c r="O1442" s="229"/>
      <c r="P1442" s="200"/>
      <c r="Q1442" s="133"/>
      <c r="R1442" s="194"/>
      <c r="S1442" s="232"/>
      <c r="T1442" s="232"/>
      <c r="U1442" s="232"/>
      <c r="V1442" s="226"/>
      <c r="W1442" s="229"/>
      <c r="X1442" s="200"/>
    </row>
    <row r="1443" spans="1:24" ht="15.75" thickBot="1" x14ac:dyDescent="0.3">
      <c r="A1443" s="133"/>
      <c r="B1443" s="195"/>
      <c r="C1443" s="232"/>
      <c r="D1443" s="232"/>
      <c r="E1443" s="232"/>
      <c r="F1443" s="226"/>
      <c r="G1443" s="229"/>
      <c r="H1443" s="200"/>
      <c r="I1443" s="133"/>
      <c r="J1443" s="195"/>
      <c r="K1443" s="232"/>
      <c r="L1443" s="232"/>
      <c r="M1443" s="232"/>
      <c r="N1443" s="226"/>
      <c r="O1443" s="229"/>
      <c r="P1443" s="200"/>
      <c r="Q1443" s="133"/>
      <c r="R1443" s="195"/>
      <c r="S1443" s="232"/>
      <c r="T1443" s="232"/>
      <c r="U1443" s="232"/>
      <c r="V1443" s="226"/>
      <c r="W1443" s="229"/>
      <c r="X1443" s="200"/>
    </row>
    <row r="1444" spans="1:24" ht="15.75" thickBot="1" x14ac:dyDescent="0.3">
      <c r="A1444" s="133"/>
      <c r="B1444" s="233"/>
      <c r="C1444" s="234"/>
      <c r="D1444" s="234"/>
      <c r="E1444" s="234"/>
      <c r="F1444" s="235"/>
      <c r="G1444" s="236"/>
      <c r="H1444" s="237">
        <f>+SUM(G1439:G1444)</f>
        <v>0</v>
      </c>
      <c r="I1444" s="133"/>
      <c r="J1444" s="233"/>
      <c r="K1444" s="234"/>
      <c r="L1444" s="234"/>
      <c r="M1444" s="234"/>
      <c r="N1444" s="235"/>
      <c r="O1444" s="236"/>
      <c r="P1444" s="237">
        <f>+SUM(O1439:O1444)</f>
        <v>0</v>
      </c>
      <c r="Q1444" s="133"/>
      <c r="R1444" s="233"/>
      <c r="S1444" s="234"/>
      <c r="T1444" s="234"/>
      <c r="U1444" s="234"/>
      <c r="V1444" s="235"/>
      <c r="W1444" s="236"/>
      <c r="X1444" s="237">
        <f>+SUM(W1439:W1444)</f>
        <v>0</v>
      </c>
    </row>
    <row r="1445" spans="1:24" ht="15.75" thickBot="1" x14ac:dyDescent="0.3">
      <c r="A1445" s="133"/>
      <c r="B1445" s="238"/>
      <c r="C1445" s="238"/>
      <c r="D1445" s="238"/>
      <c r="E1445" s="238"/>
      <c r="F1445" s="249"/>
      <c r="G1445" s="250"/>
      <c r="H1445" s="241"/>
      <c r="I1445" s="133"/>
      <c r="J1445" s="238"/>
      <c r="K1445" s="238"/>
      <c r="L1445" s="238"/>
      <c r="M1445" s="238"/>
      <c r="N1445" s="249"/>
      <c r="O1445" s="250"/>
      <c r="P1445" s="241"/>
      <c r="Q1445" s="133"/>
      <c r="R1445" s="238"/>
      <c r="S1445" s="238"/>
      <c r="T1445" s="238"/>
      <c r="U1445" s="238"/>
      <c r="V1445" s="249"/>
      <c r="W1445" s="250"/>
      <c r="X1445" s="241"/>
    </row>
    <row r="1446" spans="1:24" ht="15.75" thickBot="1" x14ac:dyDescent="0.3">
      <c r="A1446" s="133"/>
      <c r="B1446" s="224" t="s">
        <v>5412</v>
      </c>
      <c r="C1446" s="193" t="s">
        <v>5420</v>
      </c>
      <c r="D1446" s="193" t="s">
        <v>5421</v>
      </c>
      <c r="E1446" s="193" t="s">
        <v>5413</v>
      </c>
      <c r="F1446" s="193" t="s">
        <v>5405</v>
      </c>
      <c r="G1446" s="225" t="s">
        <v>868</v>
      </c>
      <c r="H1446" s="200"/>
      <c r="I1446" s="133"/>
      <c r="J1446" s="224" t="s">
        <v>5412</v>
      </c>
      <c r="K1446" s="193" t="s">
        <v>5420</v>
      </c>
      <c r="L1446" s="193" t="s">
        <v>5421</v>
      </c>
      <c r="M1446" s="193" t="s">
        <v>5413</v>
      </c>
      <c r="N1446" s="193" t="s">
        <v>5405</v>
      </c>
      <c r="O1446" s="225" t="s">
        <v>868</v>
      </c>
      <c r="P1446" s="200"/>
      <c r="Q1446" s="133"/>
      <c r="R1446" s="224" t="s">
        <v>5412</v>
      </c>
      <c r="S1446" s="193" t="s">
        <v>5420</v>
      </c>
      <c r="T1446" s="193" t="s">
        <v>5421</v>
      </c>
      <c r="U1446" s="193" t="s">
        <v>5413</v>
      </c>
      <c r="V1446" s="193" t="s">
        <v>5405</v>
      </c>
      <c r="W1446" s="225" t="s">
        <v>868</v>
      </c>
      <c r="X1446" s="200"/>
    </row>
    <row r="1447" spans="1:24" x14ac:dyDescent="0.25">
      <c r="A1447" s="133"/>
      <c r="B1447" s="194" t="s">
        <v>5948</v>
      </c>
      <c r="C1447" s="345">
        <v>70000</v>
      </c>
      <c r="D1447" s="176">
        <f>+C1447*0.85</f>
        <v>59500</v>
      </c>
      <c r="E1447" s="176">
        <f>+C1447+D1447</f>
        <v>129500</v>
      </c>
      <c r="F1447" s="204">
        <v>1000</v>
      </c>
      <c r="G1447" s="178">
        <f>+E1447/F1447</f>
        <v>129.5</v>
      </c>
      <c r="H1447" s="200"/>
      <c r="I1447" s="133"/>
      <c r="J1447" s="194" t="s">
        <v>5948</v>
      </c>
      <c r="K1447" s="345">
        <v>70000</v>
      </c>
      <c r="L1447" s="176">
        <f>+K1447*0.85</f>
        <v>59500</v>
      </c>
      <c r="M1447" s="175">
        <f>+K1447+L1447</f>
        <v>129500</v>
      </c>
      <c r="N1447" s="204">
        <v>1000</v>
      </c>
      <c r="O1447" s="178">
        <f>+M1447/N1447</f>
        <v>129.5</v>
      </c>
      <c r="P1447" s="200"/>
      <c r="Q1447" s="133"/>
      <c r="R1447" s="194" t="s">
        <v>5948</v>
      </c>
      <c r="S1447" s="345">
        <v>70000</v>
      </c>
      <c r="T1447" s="176">
        <f>+S1447*0.85</f>
        <v>59500</v>
      </c>
      <c r="U1447" s="175">
        <f>+S1447+T1447</f>
        <v>129500</v>
      </c>
      <c r="V1447" s="204">
        <v>500</v>
      </c>
      <c r="W1447" s="178">
        <f>+U1447/V1447</f>
        <v>259</v>
      </c>
      <c r="X1447" s="200"/>
    </row>
    <row r="1448" spans="1:24" x14ac:dyDescent="0.25">
      <c r="A1448" s="133"/>
      <c r="B1448" s="194" t="s">
        <v>5651</v>
      </c>
      <c r="C1448" s="345">
        <v>40000</v>
      </c>
      <c r="D1448" s="176">
        <f>+C1448*0.85</f>
        <v>34000</v>
      </c>
      <c r="E1448" s="176">
        <f>+C1448+D1448</f>
        <v>74000</v>
      </c>
      <c r="F1448" s="202">
        <v>20</v>
      </c>
      <c r="G1448" s="178">
        <f>+E1448/F1448</f>
        <v>3700</v>
      </c>
      <c r="H1448" s="200"/>
      <c r="I1448" s="133"/>
      <c r="J1448" s="194" t="s">
        <v>5651</v>
      </c>
      <c r="K1448" s="345">
        <v>40000</v>
      </c>
      <c r="L1448" s="176">
        <f>+K1448*0.85</f>
        <v>34000</v>
      </c>
      <c r="M1448" s="175">
        <f>+K1448+L1448</f>
        <v>74000</v>
      </c>
      <c r="N1448" s="202">
        <v>16</v>
      </c>
      <c r="O1448" s="178">
        <f>+M1448/N1448</f>
        <v>4625</v>
      </c>
      <c r="P1448" s="200"/>
      <c r="Q1448" s="133"/>
      <c r="R1448" s="194" t="s">
        <v>5651</v>
      </c>
      <c r="S1448" s="345">
        <v>40000</v>
      </c>
      <c r="T1448" s="176">
        <f>+S1448*0.85</f>
        <v>34000</v>
      </c>
      <c r="U1448" s="175">
        <f>+S1448+T1448</f>
        <v>74000</v>
      </c>
      <c r="V1448" s="202">
        <v>12</v>
      </c>
      <c r="W1448" s="178">
        <f>+U1448/V1448</f>
        <v>6166.666666666667</v>
      </c>
      <c r="X1448" s="200"/>
    </row>
    <row r="1449" spans="1:24" x14ac:dyDescent="0.25">
      <c r="A1449" s="133"/>
      <c r="B1449" s="195" t="s">
        <v>5635</v>
      </c>
      <c r="C1449" s="345">
        <v>20600</v>
      </c>
      <c r="D1449" s="176">
        <f>+C1449*0.85</f>
        <v>17510</v>
      </c>
      <c r="E1449" s="176">
        <f>+C1449+D1449</f>
        <v>38110</v>
      </c>
      <c r="F1449" s="226">
        <v>16</v>
      </c>
      <c r="G1449" s="178">
        <f>+E1449/F1449</f>
        <v>2381.875</v>
      </c>
      <c r="H1449" s="200"/>
      <c r="I1449" s="133"/>
      <c r="J1449" s="195" t="s">
        <v>5635</v>
      </c>
      <c r="K1449" s="345">
        <v>20600</v>
      </c>
      <c r="L1449" s="176">
        <f>+K1449*0.85</f>
        <v>17510</v>
      </c>
      <c r="M1449" s="175">
        <f>+K1449+L1449</f>
        <v>38110</v>
      </c>
      <c r="N1449" s="226">
        <v>12</v>
      </c>
      <c r="O1449" s="178">
        <f>+M1449/N1449</f>
        <v>3175.8333333333335</v>
      </c>
      <c r="P1449" s="200"/>
      <c r="Q1449" s="133"/>
      <c r="R1449" s="195" t="s">
        <v>5635</v>
      </c>
      <c r="S1449" s="345">
        <v>20600</v>
      </c>
      <c r="T1449" s="176">
        <f>+S1449*0.85</f>
        <v>17510</v>
      </c>
      <c r="U1449" s="175">
        <f>+S1449+T1449</f>
        <v>38110</v>
      </c>
      <c r="V1449" s="226">
        <v>10</v>
      </c>
      <c r="W1449" s="178">
        <f>+U1449/V1449</f>
        <v>3811</v>
      </c>
      <c r="X1449" s="200"/>
    </row>
    <row r="1450" spans="1:24" x14ac:dyDescent="0.25">
      <c r="A1450" s="133"/>
      <c r="B1450" s="195"/>
      <c r="C1450" s="171"/>
      <c r="D1450" s="176"/>
      <c r="E1450" s="176"/>
      <c r="F1450" s="226"/>
      <c r="G1450" s="178"/>
      <c r="H1450" s="200"/>
      <c r="I1450" s="133"/>
      <c r="J1450" s="195"/>
      <c r="K1450" s="171"/>
      <c r="L1450" s="176"/>
      <c r="M1450" s="228"/>
      <c r="N1450" s="226"/>
      <c r="O1450" s="178"/>
      <c r="P1450" s="200"/>
      <c r="Q1450" s="133"/>
      <c r="R1450" s="195"/>
      <c r="S1450" s="171"/>
      <c r="T1450" s="176"/>
      <c r="U1450" s="228"/>
      <c r="V1450" s="226"/>
      <c r="W1450" s="178"/>
      <c r="X1450" s="200"/>
    </row>
    <row r="1451" spans="1:24" x14ac:dyDescent="0.25">
      <c r="A1451" s="133"/>
      <c r="B1451" s="195"/>
      <c r="C1451" s="232"/>
      <c r="D1451" s="232"/>
      <c r="E1451" s="232"/>
      <c r="F1451" s="226"/>
      <c r="G1451" s="229"/>
      <c r="H1451" s="200"/>
      <c r="I1451" s="133"/>
      <c r="J1451" s="195"/>
      <c r="K1451" s="232"/>
      <c r="L1451" s="232"/>
      <c r="M1451" s="232"/>
      <c r="N1451" s="226"/>
      <c r="O1451" s="229"/>
      <c r="P1451" s="200"/>
      <c r="Q1451" s="133"/>
      <c r="R1451" s="195"/>
      <c r="S1451" s="232"/>
      <c r="T1451" s="232"/>
      <c r="U1451" s="232"/>
      <c r="V1451" s="226"/>
      <c r="W1451" s="229"/>
      <c r="X1451" s="200"/>
    </row>
    <row r="1452" spans="1:24" ht="15.75" thickBot="1" x14ac:dyDescent="0.3">
      <c r="A1452" s="133"/>
      <c r="B1452" s="195"/>
      <c r="C1452" s="232"/>
      <c r="D1452" s="232"/>
      <c r="E1452" s="232"/>
      <c r="F1452" s="226"/>
      <c r="G1452" s="229"/>
      <c r="H1452" s="200"/>
      <c r="I1452" s="133"/>
      <c r="J1452" s="195"/>
      <c r="K1452" s="232"/>
      <c r="L1452" s="232"/>
      <c r="M1452" s="232"/>
      <c r="N1452" s="226"/>
      <c r="O1452" s="229"/>
      <c r="P1452" s="200"/>
      <c r="Q1452" s="133"/>
      <c r="R1452" s="195"/>
      <c r="S1452" s="232"/>
      <c r="T1452" s="232"/>
      <c r="U1452" s="232"/>
      <c r="V1452" s="226"/>
      <c r="W1452" s="229"/>
      <c r="X1452" s="200"/>
    </row>
    <row r="1453" spans="1:24" ht="15.75" thickBot="1" x14ac:dyDescent="0.3">
      <c r="A1453" s="133"/>
      <c r="B1453" s="251"/>
      <c r="C1453" s="252"/>
      <c r="D1453" s="252"/>
      <c r="E1453" s="252"/>
      <c r="F1453" s="253"/>
      <c r="G1453" s="254"/>
      <c r="H1453" s="256">
        <f>+SUM(G1447:G1453)</f>
        <v>6211.375</v>
      </c>
      <c r="I1453" s="133"/>
      <c r="J1453" s="251"/>
      <c r="K1453" s="252"/>
      <c r="L1453" s="252"/>
      <c r="M1453" s="252"/>
      <c r="N1453" s="253"/>
      <c r="O1453" s="254"/>
      <c r="P1453" s="256">
        <f>+SUM(O1447:O1453)</f>
        <v>7930.3333333333339</v>
      </c>
      <c r="Q1453" s="133"/>
      <c r="R1453" s="251"/>
      <c r="S1453" s="252"/>
      <c r="T1453" s="252"/>
      <c r="U1453" s="252"/>
      <c r="V1453" s="253"/>
      <c r="W1453" s="254"/>
      <c r="X1453" s="256">
        <f>+SUM(W1447:W1453)</f>
        <v>10236.666666666668</v>
      </c>
    </row>
    <row r="1454" spans="1:24" ht="15.75" thickBot="1" x14ac:dyDescent="0.3">
      <c r="A1454" s="133"/>
      <c r="B1454" s="8"/>
      <c r="C1454" s="8"/>
      <c r="D1454" s="8"/>
      <c r="E1454" s="8"/>
      <c r="F1454" s="133"/>
      <c r="G1454" s="200"/>
      <c r="H1454" s="200"/>
      <c r="I1454" s="133"/>
      <c r="J1454" s="8"/>
      <c r="K1454" s="8"/>
      <c r="L1454" s="8"/>
      <c r="M1454" s="8"/>
      <c r="N1454" s="133"/>
      <c r="O1454" s="200"/>
      <c r="P1454" s="200"/>
      <c r="Q1454" s="133"/>
      <c r="R1454" s="8"/>
      <c r="S1454" s="8"/>
      <c r="T1454" s="8"/>
      <c r="U1454" s="8"/>
      <c r="V1454" s="133"/>
      <c r="W1454" s="200"/>
      <c r="X1454" s="200"/>
    </row>
    <row r="1455" spans="1:24" ht="15.75" thickBot="1" x14ac:dyDescent="0.3">
      <c r="A1455" s="133"/>
      <c r="B1455" s="8"/>
      <c r="C1455" s="8"/>
      <c r="D1455" s="8"/>
      <c r="E1455" s="223" t="s">
        <v>5415</v>
      </c>
      <c r="F1455" s="133"/>
      <c r="G1455" s="200"/>
      <c r="H1455" s="256">
        <f>ROUND(+H1453+H1444+H1436+H1421,0)</f>
        <v>8630</v>
      </c>
      <c r="I1455" s="133"/>
      <c r="J1455" s="8"/>
      <c r="K1455" s="8"/>
      <c r="L1455" s="8"/>
      <c r="M1455" s="223" t="s">
        <v>5415</v>
      </c>
      <c r="N1455" s="223"/>
      <c r="O1455" s="200"/>
      <c r="P1455" s="256">
        <f>ROUND(+P1453+P1444+P1436+P1421,0)</f>
        <v>11285</v>
      </c>
      <c r="Q1455" s="133"/>
      <c r="R1455" s="8"/>
      <c r="S1455" s="8"/>
      <c r="T1455" s="8"/>
      <c r="U1455" s="223" t="s">
        <v>5415</v>
      </c>
      <c r="V1455" s="223"/>
      <c r="W1455" s="200"/>
      <c r="X1455" s="256">
        <f>ROUND(+X1453+X1444+X1436+X1421,0)</f>
        <v>15169</v>
      </c>
    </row>
    <row r="1458" spans="1:26" x14ac:dyDescent="0.25">
      <c r="A1458" s="255"/>
    </row>
    <row r="1459" spans="1:26" x14ac:dyDescent="0.25">
      <c r="A1459" s="255"/>
    </row>
    <row r="1460" spans="1:26" ht="18.75" x14ac:dyDescent="0.25">
      <c r="A1460" s="133"/>
      <c r="B1460" s="2506" t="s">
        <v>5400</v>
      </c>
      <c r="C1460" s="2506"/>
      <c r="D1460" s="2506"/>
      <c r="E1460" s="2506"/>
      <c r="F1460" s="2506"/>
      <c r="G1460" s="2506"/>
      <c r="H1460" s="8"/>
      <c r="I1460" s="133"/>
      <c r="J1460" s="2506" t="s">
        <v>5400</v>
      </c>
      <c r="K1460" s="2506"/>
      <c r="L1460" s="2506"/>
      <c r="M1460" s="2506"/>
      <c r="N1460" s="2506"/>
      <c r="O1460" s="2506"/>
      <c r="P1460" s="2506"/>
      <c r="Q1460" s="8"/>
      <c r="R1460" s="2506" t="s">
        <v>5400</v>
      </c>
      <c r="S1460" s="2506"/>
      <c r="T1460" s="2506"/>
      <c r="U1460" s="2506"/>
      <c r="V1460" s="2506"/>
      <c r="W1460" s="2506"/>
      <c r="X1460" s="454"/>
      <c r="Y1460" s="454"/>
      <c r="Z1460" s="8"/>
    </row>
    <row r="1461" spans="1:26" x14ac:dyDescent="0.25">
      <c r="A1461" s="133"/>
      <c r="B1461" s="8"/>
      <c r="C1461" s="8"/>
      <c r="D1461" s="8"/>
      <c r="E1461" s="8"/>
      <c r="F1461" s="133"/>
      <c r="G1461" s="200"/>
      <c r="H1461" s="200"/>
      <c r="I1461" s="133"/>
      <c r="J1461" s="8"/>
      <c r="K1461" s="8"/>
      <c r="L1461" s="8"/>
      <c r="M1461" s="8"/>
      <c r="N1461" s="8"/>
      <c r="O1461" s="133"/>
      <c r="P1461" s="200"/>
      <c r="Q1461" s="200"/>
      <c r="R1461" s="133"/>
      <c r="S1461" s="8"/>
      <c r="T1461" s="8"/>
      <c r="U1461" s="8"/>
      <c r="V1461" s="8"/>
      <c r="W1461" s="8"/>
      <c r="X1461" s="133"/>
      <c r="Y1461" s="200"/>
      <c r="Z1461" s="200"/>
    </row>
    <row r="1462" spans="1:26" x14ac:dyDescent="0.25">
      <c r="A1462" s="133"/>
      <c r="B1462" s="8"/>
      <c r="C1462" s="8"/>
      <c r="D1462" s="8"/>
      <c r="E1462" s="8"/>
      <c r="F1462" s="133"/>
      <c r="G1462" s="200"/>
      <c r="H1462" s="200"/>
      <c r="I1462" s="133"/>
      <c r="J1462" s="8"/>
      <c r="K1462" s="8"/>
      <c r="L1462" s="8"/>
      <c r="M1462" s="8"/>
      <c r="N1462" s="8"/>
      <c r="O1462" s="133"/>
      <c r="P1462" s="200"/>
      <c r="Q1462" s="200"/>
      <c r="R1462" s="133"/>
      <c r="S1462" s="8"/>
      <c r="T1462" s="8"/>
      <c r="U1462" s="8"/>
      <c r="V1462" s="8"/>
      <c r="W1462" s="8"/>
      <c r="X1462" s="133"/>
      <c r="Y1462" s="200"/>
      <c r="Z1462" s="200"/>
    </row>
    <row r="1463" spans="1:26" x14ac:dyDescent="0.25">
      <c r="A1463" s="133"/>
      <c r="B1463" s="8"/>
      <c r="C1463" s="8"/>
      <c r="D1463" s="8"/>
      <c r="E1463" s="8"/>
      <c r="F1463" s="133"/>
      <c r="G1463" s="200"/>
      <c r="H1463" s="200"/>
      <c r="I1463" s="133"/>
      <c r="J1463" s="8"/>
      <c r="K1463" s="8"/>
      <c r="L1463" s="8"/>
      <c r="M1463" s="8"/>
      <c r="N1463" s="8"/>
      <c r="O1463" s="133"/>
      <c r="P1463" s="200"/>
      <c r="Q1463" s="200"/>
      <c r="R1463" s="133"/>
      <c r="S1463" s="8"/>
      <c r="T1463" s="8"/>
      <c r="U1463" s="8"/>
      <c r="V1463" s="8"/>
      <c r="W1463" s="8"/>
      <c r="X1463" s="133"/>
      <c r="Y1463" s="200"/>
      <c r="Z1463" s="200"/>
    </row>
    <row r="1464" spans="1:26" ht="15" customHeight="1" x14ac:dyDescent="0.25">
      <c r="A1464" s="220" t="s">
        <v>5482</v>
      </c>
      <c r="B1464" s="221" t="s">
        <v>375</v>
      </c>
      <c r="C1464" s="2449" t="s">
        <v>5894</v>
      </c>
      <c r="D1464" s="2449"/>
      <c r="E1464" s="2449"/>
      <c r="F1464" s="220" t="s">
        <v>867</v>
      </c>
      <c r="G1464" s="222" t="s">
        <v>5402</v>
      </c>
      <c r="H1464" s="200"/>
      <c r="I1464" s="220" t="s">
        <v>5482</v>
      </c>
      <c r="J1464" s="221" t="s">
        <v>375</v>
      </c>
      <c r="K1464" s="2449" t="s">
        <v>5895</v>
      </c>
      <c r="L1464" s="2449"/>
      <c r="M1464" s="2449"/>
      <c r="N1464" s="220" t="s">
        <v>867</v>
      </c>
      <c r="O1464" s="222" t="s">
        <v>5402</v>
      </c>
      <c r="P1464" s="200"/>
      <c r="Q1464" s="220" t="s">
        <v>5482</v>
      </c>
      <c r="R1464" s="221" t="s">
        <v>375</v>
      </c>
      <c r="S1464" s="2449" t="s">
        <v>5896</v>
      </c>
      <c r="T1464" s="2449"/>
      <c r="U1464" s="2449"/>
      <c r="V1464" s="220" t="s">
        <v>867</v>
      </c>
      <c r="W1464" s="222" t="s">
        <v>5402</v>
      </c>
      <c r="X1464" s="200"/>
    </row>
    <row r="1465" spans="1:26" x14ac:dyDescent="0.25">
      <c r="A1465" s="133"/>
      <c r="B1465" s="8"/>
      <c r="C1465" s="223"/>
      <c r="D1465" s="223"/>
      <c r="E1465" s="223"/>
      <c r="F1465" s="133"/>
      <c r="G1465" s="200"/>
      <c r="H1465" s="200"/>
      <c r="I1465" s="133"/>
      <c r="J1465" s="8"/>
      <c r="K1465" s="223"/>
      <c r="L1465" s="223"/>
      <c r="M1465" s="223"/>
      <c r="N1465" s="133"/>
      <c r="O1465" s="200"/>
      <c r="P1465" s="200"/>
      <c r="Q1465" s="133"/>
      <c r="R1465" s="8"/>
      <c r="S1465" s="223"/>
      <c r="T1465" s="223"/>
      <c r="U1465" s="223"/>
      <c r="V1465" s="133"/>
      <c r="W1465" s="200"/>
      <c r="X1465" s="200"/>
    </row>
    <row r="1466" spans="1:26" x14ac:dyDescent="0.25">
      <c r="A1466" s="133"/>
      <c r="B1466" s="8"/>
      <c r="C1466" s="8"/>
      <c r="D1466" s="8"/>
      <c r="E1466" s="8"/>
      <c r="F1466" s="8"/>
      <c r="G1466" s="8"/>
      <c r="H1466" s="200"/>
      <c r="I1466" s="133"/>
      <c r="J1466" s="8"/>
      <c r="K1466" s="8"/>
      <c r="L1466" s="8"/>
      <c r="M1466" s="8"/>
      <c r="N1466" s="8"/>
      <c r="O1466" s="8"/>
      <c r="P1466" s="200"/>
      <c r="Q1466" s="133"/>
      <c r="R1466" s="8"/>
      <c r="S1466" s="8"/>
      <c r="T1466" s="8"/>
      <c r="U1466" s="8"/>
      <c r="V1466" s="8"/>
      <c r="W1466" s="8"/>
      <c r="X1466" s="200"/>
    </row>
    <row r="1467" spans="1:26" ht="15.75" thickBot="1" x14ac:dyDescent="0.3">
      <c r="A1467" s="133"/>
      <c r="B1467" s="8"/>
      <c r="C1467" s="8"/>
      <c r="D1467" s="8"/>
      <c r="E1467" s="8"/>
      <c r="F1467" s="133"/>
      <c r="G1467" s="200"/>
      <c r="H1467" s="200"/>
      <c r="I1467" s="133"/>
      <c r="J1467" s="8"/>
      <c r="K1467" s="8"/>
      <c r="L1467" s="8"/>
      <c r="M1467" s="8"/>
      <c r="N1467" s="133"/>
      <c r="O1467" s="200"/>
      <c r="P1467" s="200"/>
      <c r="Q1467" s="133"/>
      <c r="R1467" s="8"/>
      <c r="S1467" s="8"/>
      <c r="T1467" s="8"/>
      <c r="U1467" s="8"/>
      <c r="V1467" s="133"/>
      <c r="W1467" s="200"/>
      <c r="X1467" s="200"/>
    </row>
    <row r="1468" spans="1:26" ht="15.75" thickBot="1" x14ac:dyDescent="0.3">
      <c r="A1468" s="133"/>
      <c r="B1468" s="224" t="s">
        <v>5403</v>
      </c>
      <c r="C1468" s="193" t="s">
        <v>867</v>
      </c>
      <c r="D1468" s="193" t="s">
        <v>6</v>
      </c>
      <c r="E1468" s="193" t="s">
        <v>5439</v>
      </c>
      <c r="F1468" s="193" t="s">
        <v>5405</v>
      </c>
      <c r="G1468" s="225" t="s">
        <v>868</v>
      </c>
      <c r="H1468" s="200"/>
      <c r="I1468" s="133"/>
      <c r="J1468" s="224" t="s">
        <v>5403</v>
      </c>
      <c r="K1468" s="193" t="s">
        <v>867</v>
      </c>
      <c r="L1468" s="193" t="s">
        <v>6</v>
      </c>
      <c r="M1468" s="193" t="s">
        <v>5439</v>
      </c>
      <c r="N1468" s="193" t="s">
        <v>5405</v>
      </c>
      <c r="O1468" s="225" t="s">
        <v>868</v>
      </c>
      <c r="P1468" s="200"/>
      <c r="Q1468" s="133"/>
      <c r="R1468" s="224" t="s">
        <v>5403</v>
      </c>
      <c r="S1468" s="193" t="s">
        <v>867</v>
      </c>
      <c r="T1468" s="193" t="s">
        <v>6</v>
      </c>
      <c r="U1468" s="193" t="s">
        <v>5439</v>
      </c>
      <c r="V1468" s="193" t="s">
        <v>5405</v>
      </c>
      <c r="W1468" s="225" t="s">
        <v>868</v>
      </c>
      <c r="X1468" s="200"/>
    </row>
    <row r="1469" spans="1:26" x14ac:dyDescent="0.25">
      <c r="A1469" s="133"/>
      <c r="B1469" s="195" t="s">
        <v>5440</v>
      </c>
      <c r="C1469" s="226" t="s">
        <v>5402</v>
      </c>
      <c r="D1469" s="226">
        <v>1</v>
      </c>
      <c r="E1469" s="227">
        <f>+H1507</f>
        <v>12422.75</v>
      </c>
      <c r="F1469" s="226">
        <v>0.1</v>
      </c>
      <c r="G1469" s="229">
        <f>+E1469*F1469</f>
        <v>1242.2750000000001</v>
      </c>
      <c r="H1469" s="200"/>
      <c r="I1469" s="133"/>
      <c r="J1469" s="195" t="s">
        <v>5440</v>
      </c>
      <c r="K1469" s="226" t="s">
        <v>5402</v>
      </c>
      <c r="L1469" s="226">
        <v>1</v>
      </c>
      <c r="M1469" s="228">
        <f>+P1507</f>
        <v>13925.507936507936</v>
      </c>
      <c r="N1469" s="226">
        <v>0.1</v>
      </c>
      <c r="O1469" s="229">
        <f>+M1469*N1469</f>
        <v>1392.5507936507938</v>
      </c>
      <c r="P1469" s="200"/>
      <c r="Q1469" s="133"/>
      <c r="R1469" s="195" t="s">
        <v>5440</v>
      </c>
      <c r="S1469" s="226" t="s">
        <v>5402</v>
      </c>
      <c r="T1469" s="226">
        <v>1</v>
      </c>
      <c r="U1469" s="228">
        <f>+X1507</f>
        <v>15860.666666666668</v>
      </c>
      <c r="V1469" s="226">
        <v>0.1</v>
      </c>
      <c r="W1469" s="229">
        <f>+U1469*V1469</f>
        <v>1586.0666666666668</v>
      </c>
      <c r="X1469" s="200"/>
    </row>
    <row r="1470" spans="1:26" x14ac:dyDescent="0.25">
      <c r="A1470" s="133"/>
      <c r="B1470" s="195" t="s">
        <v>6061</v>
      </c>
      <c r="C1470" s="226" t="s">
        <v>5402</v>
      </c>
      <c r="D1470" s="226">
        <v>1</v>
      </c>
      <c r="E1470" s="230">
        <v>150000</v>
      </c>
      <c r="F1470" s="226">
        <v>0.02</v>
      </c>
      <c r="G1470" s="229">
        <f>+E1470*F1470</f>
        <v>3000</v>
      </c>
      <c r="H1470" s="200"/>
      <c r="I1470" s="133"/>
      <c r="J1470" s="195" t="s">
        <v>6061</v>
      </c>
      <c r="K1470" s="226" t="s">
        <v>5402</v>
      </c>
      <c r="L1470" s="226">
        <v>1</v>
      </c>
      <c r="M1470" s="228">
        <v>150000</v>
      </c>
      <c r="N1470" s="226">
        <v>2.5000000000000001E-2</v>
      </c>
      <c r="O1470" s="229">
        <f>+M1470*N1470</f>
        <v>3750</v>
      </c>
      <c r="P1470" s="200"/>
      <c r="Q1470" s="133"/>
      <c r="R1470" s="195" t="s">
        <v>6061</v>
      </c>
      <c r="S1470" s="226" t="s">
        <v>5402</v>
      </c>
      <c r="T1470" s="226">
        <v>1</v>
      </c>
      <c r="U1470" s="228">
        <v>150000</v>
      </c>
      <c r="V1470" s="226">
        <v>0.03</v>
      </c>
      <c r="W1470" s="229">
        <f>+U1470*V1470</f>
        <v>4500</v>
      </c>
      <c r="X1470" s="200"/>
    </row>
    <row r="1471" spans="1:26" x14ac:dyDescent="0.25">
      <c r="A1471" s="133"/>
      <c r="B1471" s="195" t="s">
        <v>6062</v>
      </c>
      <c r="C1471" s="226" t="s">
        <v>5402</v>
      </c>
      <c r="D1471" s="226">
        <v>1</v>
      </c>
      <c r="E1471" s="176">
        <v>120000</v>
      </c>
      <c r="F1471" s="226">
        <v>24</v>
      </c>
      <c r="G1471" s="229">
        <f>+E1471/F1471</f>
        <v>5000</v>
      </c>
      <c r="H1471" s="200"/>
      <c r="I1471" s="133"/>
      <c r="J1471" s="195" t="s">
        <v>6062</v>
      </c>
      <c r="K1471" s="226" t="s">
        <v>5402</v>
      </c>
      <c r="L1471" s="226">
        <v>1</v>
      </c>
      <c r="M1471" s="228">
        <v>120000</v>
      </c>
      <c r="N1471" s="226">
        <v>20</v>
      </c>
      <c r="O1471" s="229">
        <f>+M1471/N1471</f>
        <v>6000</v>
      </c>
      <c r="P1471" s="200"/>
      <c r="Q1471" s="133"/>
      <c r="R1471" s="195" t="s">
        <v>6062</v>
      </c>
      <c r="S1471" s="226" t="s">
        <v>5402</v>
      </c>
      <c r="T1471" s="226">
        <v>1</v>
      </c>
      <c r="U1471" s="228">
        <v>120000</v>
      </c>
      <c r="V1471" s="226">
        <v>16</v>
      </c>
      <c r="W1471" s="229">
        <f>+U1471/V1471</f>
        <v>7500</v>
      </c>
      <c r="X1471" s="200"/>
    </row>
    <row r="1472" spans="1:26" x14ac:dyDescent="0.25">
      <c r="A1472" s="133"/>
      <c r="B1472" s="195"/>
      <c r="C1472" s="226"/>
      <c r="D1472" s="226"/>
      <c r="E1472" s="171"/>
      <c r="F1472" s="226"/>
      <c r="G1472" s="231"/>
      <c r="H1472" s="200"/>
      <c r="I1472" s="133"/>
      <c r="J1472" s="195"/>
      <c r="K1472" s="226"/>
      <c r="L1472" s="226"/>
      <c r="M1472" s="171"/>
      <c r="N1472" s="226"/>
      <c r="O1472" s="231"/>
      <c r="P1472" s="200"/>
      <c r="Q1472" s="133"/>
      <c r="R1472" s="195"/>
      <c r="S1472" s="226"/>
      <c r="T1472" s="226"/>
      <c r="U1472" s="171"/>
      <c r="V1472" s="226"/>
      <c r="W1472" s="231"/>
      <c r="X1472" s="200"/>
    </row>
    <row r="1473" spans="1:24" x14ac:dyDescent="0.25">
      <c r="A1473" s="133"/>
      <c r="B1473" s="195"/>
      <c r="C1473" s="226"/>
      <c r="D1473" s="232"/>
      <c r="E1473" s="232"/>
      <c r="F1473" s="226"/>
      <c r="G1473" s="229"/>
      <c r="H1473" s="200"/>
      <c r="I1473" s="133"/>
      <c r="J1473" s="195"/>
      <c r="K1473" s="226"/>
      <c r="L1473" s="232"/>
      <c r="M1473" s="232"/>
      <c r="N1473" s="226"/>
      <c r="O1473" s="229"/>
      <c r="P1473" s="200"/>
      <c r="Q1473" s="133"/>
      <c r="R1473" s="195"/>
      <c r="S1473" s="226"/>
      <c r="T1473" s="232"/>
      <c r="U1473" s="232"/>
      <c r="V1473" s="226"/>
      <c r="W1473" s="229"/>
      <c r="X1473" s="200"/>
    </row>
    <row r="1474" spans="1:24" ht="15.75" thickBot="1" x14ac:dyDescent="0.3">
      <c r="A1474" s="133"/>
      <c r="B1474" s="195"/>
      <c r="C1474" s="226"/>
      <c r="D1474" s="232"/>
      <c r="E1474" s="232"/>
      <c r="F1474" s="226"/>
      <c r="G1474" s="229"/>
      <c r="H1474" s="200"/>
      <c r="I1474" s="133"/>
      <c r="J1474" s="195"/>
      <c r="K1474" s="226"/>
      <c r="L1474" s="232"/>
      <c r="M1474" s="232"/>
      <c r="N1474" s="226"/>
      <c r="O1474" s="229"/>
      <c r="P1474" s="200"/>
      <c r="Q1474" s="133"/>
      <c r="R1474" s="195"/>
      <c r="S1474" s="226"/>
      <c r="T1474" s="232"/>
      <c r="U1474" s="232"/>
      <c r="V1474" s="226"/>
      <c r="W1474" s="229"/>
      <c r="X1474" s="200"/>
    </row>
    <row r="1475" spans="1:24" ht="15.75" thickBot="1" x14ac:dyDescent="0.3">
      <c r="A1475" s="133"/>
      <c r="B1475" s="233"/>
      <c r="C1475" s="234"/>
      <c r="D1475" s="234"/>
      <c r="E1475" s="234"/>
      <c r="F1475" s="235"/>
      <c r="G1475" s="236"/>
      <c r="H1475" s="237">
        <f>+SUM(G1469:G1475)</f>
        <v>9242.2749999999996</v>
      </c>
      <c r="I1475" s="133"/>
      <c r="J1475" s="233"/>
      <c r="K1475" s="234"/>
      <c r="L1475" s="234"/>
      <c r="M1475" s="234"/>
      <c r="N1475" s="235"/>
      <c r="O1475" s="236"/>
      <c r="P1475" s="237">
        <f>+SUM(O1469:O1475)</f>
        <v>11142.550793650793</v>
      </c>
      <c r="Q1475" s="133"/>
      <c r="R1475" s="233"/>
      <c r="S1475" s="234"/>
      <c r="T1475" s="234"/>
      <c r="U1475" s="234"/>
      <c r="V1475" s="235"/>
      <c r="W1475" s="236"/>
      <c r="X1475" s="237">
        <f>+SUM(W1469:W1475)</f>
        <v>13586.066666666666</v>
      </c>
    </row>
    <row r="1476" spans="1:24" ht="15.75" thickBot="1" x14ac:dyDescent="0.3">
      <c r="A1476" s="133"/>
      <c r="B1476" s="238"/>
      <c r="C1476" s="238"/>
      <c r="D1476" s="238"/>
      <c r="E1476" s="238"/>
      <c r="F1476" s="239"/>
      <c r="G1476" s="240"/>
      <c r="H1476" s="241"/>
      <c r="I1476" s="133"/>
      <c r="J1476" s="238"/>
      <c r="K1476" s="238"/>
      <c r="L1476" s="238"/>
      <c r="M1476" s="238"/>
      <c r="N1476" s="239"/>
      <c r="O1476" s="240"/>
      <c r="P1476" s="241"/>
      <c r="Q1476" s="133"/>
      <c r="R1476" s="238"/>
      <c r="S1476" s="238"/>
      <c r="T1476" s="238"/>
      <c r="U1476" s="238"/>
      <c r="V1476" s="239"/>
      <c r="W1476" s="240"/>
      <c r="X1476" s="241"/>
    </row>
    <row r="1477" spans="1:24" ht="15.75" thickBot="1" x14ac:dyDescent="0.3">
      <c r="A1477" s="133"/>
      <c r="B1477" s="224" t="s">
        <v>5408</v>
      </c>
      <c r="C1477" s="193" t="s">
        <v>867</v>
      </c>
      <c r="D1477" s="193" t="s">
        <v>6</v>
      </c>
      <c r="E1477" s="193" t="s">
        <v>870</v>
      </c>
      <c r="F1477" s="193" t="s">
        <v>5409</v>
      </c>
      <c r="G1477" s="225" t="s">
        <v>868</v>
      </c>
      <c r="H1477" s="200"/>
      <c r="I1477" s="133"/>
      <c r="J1477" s="224" t="s">
        <v>5408</v>
      </c>
      <c r="K1477" s="193" t="s">
        <v>867</v>
      </c>
      <c r="L1477" s="193" t="s">
        <v>6</v>
      </c>
      <c r="M1477" s="193" t="s">
        <v>870</v>
      </c>
      <c r="N1477" s="193" t="s">
        <v>5409</v>
      </c>
      <c r="O1477" s="225" t="s">
        <v>868</v>
      </c>
      <c r="P1477" s="200"/>
      <c r="Q1477" s="133"/>
      <c r="R1477" s="224" t="s">
        <v>5408</v>
      </c>
      <c r="S1477" s="193" t="s">
        <v>867</v>
      </c>
      <c r="T1477" s="193" t="s">
        <v>6</v>
      </c>
      <c r="U1477" s="193" t="s">
        <v>870</v>
      </c>
      <c r="V1477" s="193" t="s">
        <v>5409</v>
      </c>
      <c r="W1477" s="225" t="s">
        <v>868</v>
      </c>
      <c r="X1477" s="200"/>
    </row>
    <row r="1478" spans="1:24" x14ac:dyDescent="0.25">
      <c r="A1478" s="133"/>
      <c r="B1478" s="295" t="s">
        <v>5553</v>
      </c>
      <c r="C1478" s="202" t="s">
        <v>5488</v>
      </c>
      <c r="D1478" s="226">
        <f>+PI()*0.15^2*1000</f>
        <v>70.685834705770347</v>
      </c>
      <c r="E1478" s="244">
        <v>5</v>
      </c>
      <c r="F1478" s="169">
        <v>0.05</v>
      </c>
      <c r="G1478" s="178">
        <f>+D1478*E1478*(1+F1478)</f>
        <v>371.10063220529435</v>
      </c>
      <c r="H1478" s="200"/>
      <c r="I1478" s="133"/>
      <c r="J1478" s="295" t="s">
        <v>5553</v>
      </c>
      <c r="K1478" s="202" t="s">
        <v>5488</v>
      </c>
      <c r="L1478" s="226">
        <f>+PI()*0.175^2*1000</f>
        <v>96.2112750161874</v>
      </c>
      <c r="M1478" s="332">
        <v>5</v>
      </c>
      <c r="N1478" s="169">
        <v>0.05</v>
      </c>
      <c r="O1478" s="178">
        <f>+L1478*M1478*(1+N1478)</f>
        <v>505.1091938349839</v>
      </c>
      <c r="P1478" s="200"/>
      <c r="Q1478" s="133"/>
      <c r="R1478" s="295" t="s">
        <v>5553</v>
      </c>
      <c r="S1478" s="202" t="s">
        <v>5488</v>
      </c>
      <c r="T1478" s="226">
        <f>+PI()*0.2^2*1000</f>
        <v>125.66370614359174</v>
      </c>
      <c r="U1478" s="332">
        <v>5</v>
      </c>
      <c r="V1478" s="169">
        <v>0.05</v>
      </c>
      <c r="W1478" s="178">
        <f>+T1478*U1478*(1+V1478)</f>
        <v>659.73445725385659</v>
      </c>
      <c r="X1478" s="200"/>
    </row>
    <row r="1479" spans="1:24" x14ac:dyDescent="0.25">
      <c r="A1479" s="133"/>
      <c r="B1479" s="450" t="s">
        <v>5755</v>
      </c>
      <c r="C1479" s="202" t="s">
        <v>5487</v>
      </c>
      <c r="D1479" s="202">
        <f>+T1425*D1478/T1424</f>
        <v>2955.6</v>
      </c>
      <c r="E1479" s="257">
        <v>0.65</v>
      </c>
      <c r="F1479" s="169">
        <v>0.05</v>
      </c>
      <c r="G1479" s="178">
        <f>+D1479*E1479*(1+F1479)</f>
        <v>2017.1970000000001</v>
      </c>
      <c r="H1479" s="200"/>
      <c r="I1479" s="133"/>
      <c r="J1479" s="450" t="s">
        <v>5755</v>
      </c>
      <c r="K1479" s="202" t="s">
        <v>5487</v>
      </c>
      <c r="L1479" s="202">
        <f>+D1479*L1478/D1478</f>
        <v>4022.8999999999996</v>
      </c>
      <c r="M1479" s="148">
        <v>0.65</v>
      </c>
      <c r="N1479" s="169">
        <v>0.05</v>
      </c>
      <c r="O1479" s="178">
        <f>+L1479*M1479*(1+N1479)</f>
        <v>2745.62925</v>
      </c>
      <c r="P1479" s="200"/>
      <c r="Q1479" s="133"/>
      <c r="R1479" s="450" t="s">
        <v>5755</v>
      </c>
      <c r="S1479" s="202" t="s">
        <v>5487</v>
      </c>
      <c r="T1479" s="202">
        <f>+L1479*T1478/L1478</f>
        <v>5254.4000000000015</v>
      </c>
      <c r="U1479" s="148">
        <v>0.65</v>
      </c>
      <c r="V1479" s="169">
        <v>0.05</v>
      </c>
      <c r="W1479" s="178">
        <f>+T1479*U1479*(1+V1479)</f>
        <v>3586.1280000000011</v>
      </c>
      <c r="X1479" s="200"/>
    </row>
    <row r="1480" spans="1:24" x14ac:dyDescent="0.25">
      <c r="A1480" s="133"/>
      <c r="B1480" s="247"/>
      <c r="C1480" s="226"/>
      <c r="D1480" s="226"/>
      <c r="E1480" s="244"/>
      <c r="F1480" s="169"/>
      <c r="G1480" s="178">
        <f>+D1480*E1480*(1+F1480)</f>
        <v>0</v>
      </c>
      <c r="H1480" s="200"/>
      <c r="I1480" s="133"/>
      <c r="J1480" s="247"/>
      <c r="K1480" s="226"/>
      <c r="L1480" s="226"/>
      <c r="M1480" s="228"/>
      <c r="N1480" s="169"/>
      <c r="O1480" s="178"/>
      <c r="P1480" s="200"/>
      <c r="Q1480" s="133"/>
      <c r="R1480" s="247"/>
      <c r="S1480" s="226"/>
      <c r="T1480" s="226"/>
      <c r="U1480" s="228"/>
      <c r="V1480" s="169"/>
      <c r="W1480" s="178"/>
      <c r="X1480" s="200"/>
    </row>
    <row r="1481" spans="1:24" x14ac:dyDescent="0.25">
      <c r="A1481" s="133"/>
      <c r="B1481" s="194"/>
      <c r="C1481" s="226"/>
      <c r="D1481" s="226"/>
      <c r="E1481" s="171"/>
      <c r="F1481" s="169"/>
      <c r="G1481" s="178">
        <f>+D1481*E1481*(1+F1481)</f>
        <v>0</v>
      </c>
      <c r="H1481" s="200"/>
      <c r="I1481" s="133"/>
      <c r="J1481" s="194"/>
      <c r="K1481" s="226"/>
      <c r="L1481" s="226"/>
      <c r="M1481" s="228"/>
      <c r="N1481" s="169"/>
      <c r="O1481" s="178"/>
      <c r="P1481" s="200"/>
      <c r="Q1481" s="133"/>
      <c r="R1481" s="194"/>
      <c r="S1481" s="226"/>
      <c r="T1481" s="226"/>
      <c r="U1481" s="228"/>
      <c r="V1481" s="169"/>
      <c r="W1481" s="178"/>
      <c r="X1481" s="200"/>
    </row>
    <row r="1482" spans="1:24" x14ac:dyDescent="0.25">
      <c r="A1482" s="133"/>
      <c r="B1482" s="195"/>
      <c r="C1482" s="226"/>
      <c r="D1482" s="226"/>
      <c r="E1482" s="171"/>
      <c r="F1482" s="169"/>
      <c r="G1482" s="178"/>
      <c r="H1482" s="200"/>
      <c r="I1482" s="133"/>
      <c r="J1482" s="195"/>
      <c r="K1482" s="226"/>
      <c r="L1482" s="226"/>
      <c r="M1482" s="176"/>
      <c r="N1482" s="169"/>
      <c r="O1482" s="178"/>
      <c r="P1482" s="200"/>
      <c r="Q1482" s="133"/>
      <c r="R1482" s="195"/>
      <c r="S1482" s="226"/>
      <c r="T1482" s="226"/>
      <c r="U1482" s="176"/>
      <c r="V1482" s="169"/>
      <c r="W1482" s="178"/>
      <c r="X1482" s="200"/>
    </row>
    <row r="1483" spans="1:24" x14ac:dyDescent="0.25">
      <c r="A1483" s="133"/>
      <c r="B1483" s="194"/>
      <c r="C1483" s="202"/>
      <c r="D1483" s="202"/>
      <c r="E1483" s="171"/>
      <c r="F1483" s="169"/>
      <c r="G1483" s="178"/>
      <c r="H1483" s="200"/>
      <c r="I1483" s="133"/>
      <c r="J1483" s="194"/>
      <c r="K1483" s="202"/>
      <c r="L1483" s="202"/>
      <c r="M1483" s="176"/>
      <c r="N1483" s="169"/>
      <c r="O1483" s="178"/>
      <c r="P1483" s="200"/>
      <c r="Q1483" s="133"/>
      <c r="R1483" s="194"/>
      <c r="S1483" s="202"/>
      <c r="T1483" s="202"/>
      <c r="U1483" s="176"/>
      <c r="V1483" s="169"/>
      <c r="W1483" s="178"/>
      <c r="X1483" s="200"/>
    </row>
    <row r="1484" spans="1:24" x14ac:dyDescent="0.25">
      <c r="A1484" s="133"/>
      <c r="B1484" s="195"/>
      <c r="C1484" s="226"/>
      <c r="D1484" s="226"/>
      <c r="E1484" s="171"/>
      <c r="F1484" s="169"/>
      <c r="G1484" s="178"/>
      <c r="H1484" s="200"/>
      <c r="I1484" s="133"/>
      <c r="J1484" s="195"/>
      <c r="K1484" s="226"/>
      <c r="L1484" s="226"/>
      <c r="M1484" s="176"/>
      <c r="N1484" s="169"/>
      <c r="O1484" s="178"/>
      <c r="P1484" s="200"/>
      <c r="Q1484" s="133"/>
      <c r="R1484" s="195"/>
      <c r="S1484" s="226"/>
      <c r="T1484" s="226"/>
      <c r="U1484" s="176"/>
      <c r="V1484" s="169"/>
      <c r="W1484" s="178"/>
      <c r="X1484" s="200"/>
    </row>
    <row r="1485" spans="1:24" x14ac:dyDescent="0.25">
      <c r="A1485" s="133"/>
      <c r="B1485" s="195"/>
      <c r="C1485" s="226"/>
      <c r="D1485" s="226"/>
      <c r="E1485" s="171"/>
      <c r="F1485" s="169"/>
      <c r="G1485" s="178"/>
      <c r="H1485" s="200"/>
      <c r="I1485" s="133"/>
      <c r="J1485" s="195"/>
      <c r="K1485" s="226"/>
      <c r="L1485" s="226"/>
      <c r="M1485" s="176"/>
      <c r="N1485" s="169"/>
      <c r="O1485" s="178"/>
      <c r="P1485" s="200"/>
      <c r="Q1485" s="133"/>
      <c r="R1485" s="195"/>
      <c r="S1485" s="226"/>
      <c r="T1485" s="226"/>
      <c r="U1485" s="176"/>
      <c r="V1485" s="169"/>
      <c r="W1485" s="178"/>
      <c r="X1485" s="200"/>
    </row>
    <row r="1486" spans="1:24" x14ac:dyDescent="0.25">
      <c r="A1486" s="133"/>
      <c r="B1486" s="195"/>
      <c r="C1486" s="232"/>
      <c r="D1486" s="232"/>
      <c r="E1486" s="232"/>
      <c r="F1486" s="226"/>
      <c r="G1486" s="229"/>
      <c r="H1486" s="200"/>
      <c r="I1486" s="133"/>
      <c r="J1486" s="195"/>
      <c r="K1486" s="232"/>
      <c r="L1486" s="232"/>
      <c r="M1486" s="232"/>
      <c r="N1486" s="226"/>
      <c r="O1486" s="229"/>
      <c r="P1486" s="200"/>
      <c r="Q1486" s="133"/>
      <c r="R1486" s="195"/>
      <c r="S1486" s="232"/>
      <c r="T1486" s="232"/>
      <c r="U1486" s="232"/>
      <c r="V1486" s="226"/>
      <c r="W1486" s="229"/>
      <c r="X1486" s="200"/>
    </row>
    <row r="1487" spans="1:24" x14ac:dyDescent="0.25">
      <c r="A1487" s="133"/>
      <c r="B1487" s="195"/>
      <c r="C1487" s="232"/>
      <c r="D1487" s="232"/>
      <c r="E1487" s="232"/>
      <c r="F1487" s="226"/>
      <c r="G1487" s="229"/>
      <c r="H1487" s="200"/>
      <c r="I1487" s="133"/>
      <c r="J1487" s="195"/>
      <c r="K1487" s="232"/>
      <c r="L1487" s="232"/>
      <c r="M1487" s="232"/>
      <c r="N1487" s="226"/>
      <c r="O1487" s="229"/>
      <c r="P1487" s="200"/>
      <c r="Q1487" s="133"/>
      <c r="R1487" s="195"/>
      <c r="S1487" s="232"/>
      <c r="T1487" s="232"/>
      <c r="U1487" s="232"/>
      <c r="V1487" s="226"/>
      <c r="W1487" s="229"/>
      <c r="X1487" s="200"/>
    </row>
    <row r="1488" spans="1:24" x14ac:dyDescent="0.25">
      <c r="A1488" s="133"/>
      <c r="B1488" s="195"/>
      <c r="C1488" s="232"/>
      <c r="D1488" s="232"/>
      <c r="E1488" s="232"/>
      <c r="F1488" s="226"/>
      <c r="G1488" s="229"/>
      <c r="H1488" s="200"/>
      <c r="I1488" s="133"/>
      <c r="J1488" s="195"/>
      <c r="K1488" s="232"/>
      <c r="L1488" s="232"/>
      <c r="M1488" s="232"/>
      <c r="N1488" s="226"/>
      <c r="O1488" s="229"/>
      <c r="P1488" s="200"/>
      <c r="Q1488" s="133"/>
      <c r="R1488" s="195"/>
      <c r="S1488" s="232"/>
      <c r="T1488" s="232"/>
      <c r="U1488" s="232"/>
      <c r="V1488" s="226"/>
      <c r="W1488" s="229"/>
      <c r="X1488" s="200"/>
    </row>
    <row r="1489" spans="1:24" ht="15.75" thickBot="1" x14ac:dyDescent="0.3">
      <c r="A1489" s="133"/>
      <c r="B1489" s="195"/>
      <c r="C1489" s="232"/>
      <c r="D1489" s="232"/>
      <c r="E1489" s="232"/>
      <c r="F1489" s="226"/>
      <c r="G1489" s="229"/>
      <c r="H1489" s="200"/>
      <c r="I1489" s="133"/>
      <c r="J1489" s="195"/>
      <c r="K1489" s="232"/>
      <c r="L1489" s="232"/>
      <c r="M1489" s="232"/>
      <c r="N1489" s="226"/>
      <c r="O1489" s="229"/>
      <c r="P1489" s="200"/>
      <c r="Q1489" s="133"/>
      <c r="R1489" s="195"/>
      <c r="S1489" s="232"/>
      <c r="T1489" s="232"/>
      <c r="U1489" s="232"/>
      <c r="V1489" s="226"/>
      <c r="W1489" s="229"/>
      <c r="X1489" s="200"/>
    </row>
    <row r="1490" spans="1:24" ht="15.75" thickBot="1" x14ac:dyDescent="0.3">
      <c r="A1490" s="133"/>
      <c r="B1490" s="233"/>
      <c r="C1490" s="234"/>
      <c r="D1490" s="234"/>
      <c r="E1490" s="234"/>
      <c r="F1490" s="235"/>
      <c r="G1490" s="236"/>
      <c r="H1490" s="256">
        <f>+SUM(G1478:G1490)</f>
        <v>2388.2976322052946</v>
      </c>
      <c r="I1490" s="133"/>
      <c r="J1490" s="233"/>
      <c r="K1490" s="234"/>
      <c r="L1490" s="234"/>
      <c r="M1490" s="234"/>
      <c r="N1490" s="235"/>
      <c r="O1490" s="236"/>
      <c r="P1490" s="256">
        <f>+SUM(O1478:O1490)</f>
        <v>3250.7384438349836</v>
      </c>
      <c r="Q1490" s="133"/>
      <c r="R1490" s="233"/>
      <c r="S1490" s="234"/>
      <c r="T1490" s="234"/>
      <c r="U1490" s="234"/>
      <c r="V1490" s="235"/>
      <c r="W1490" s="236"/>
      <c r="X1490" s="256">
        <f>+SUM(W1478:W1490)</f>
        <v>4245.8624572538574</v>
      </c>
    </row>
    <row r="1491" spans="1:24" ht="15.75" thickBot="1" x14ac:dyDescent="0.3">
      <c r="A1491" s="133"/>
      <c r="B1491" s="238"/>
      <c r="C1491" s="238"/>
      <c r="D1491" s="238"/>
      <c r="E1491" s="238"/>
      <c r="F1491" s="239"/>
      <c r="G1491" s="240"/>
      <c r="H1491" s="241"/>
      <c r="I1491" s="133"/>
      <c r="J1491" s="238"/>
      <c r="K1491" s="238"/>
      <c r="L1491" s="238"/>
      <c r="M1491" s="238"/>
      <c r="N1491" s="239"/>
      <c r="O1491" s="240"/>
      <c r="P1491" s="241"/>
      <c r="Q1491" s="133"/>
      <c r="R1491" s="238"/>
      <c r="S1491" s="238"/>
      <c r="T1491" s="238"/>
      <c r="U1491" s="238"/>
      <c r="V1491" s="239"/>
      <c r="W1491" s="240"/>
      <c r="X1491" s="241"/>
    </row>
    <row r="1492" spans="1:24" ht="15.75" thickBot="1" x14ac:dyDescent="0.3">
      <c r="A1492" s="133"/>
      <c r="B1492" s="224" t="s">
        <v>5410</v>
      </c>
      <c r="C1492" s="193" t="s">
        <v>867</v>
      </c>
      <c r="D1492" s="193" t="s">
        <v>6</v>
      </c>
      <c r="E1492" s="193" t="s">
        <v>870</v>
      </c>
      <c r="F1492" s="193" t="s">
        <v>5411</v>
      </c>
      <c r="G1492" s="225" t="s">
        <v>868</v>
      </c>
      <c r="H1492" s="200"/>
      <c r="I1492" s="133"/>
      <c r="J1492" s="224" t="s">
        <v>5410</v>
      </c>
      <c r="K1492" s="193" t="s">
        <v>867</v>
      </c>
      <c r="L1492" s="193" t="s">
        <v>6</v>
      </c>
      <c r="M1492" s="193" t="s">
        <v>870</v>
      </c>
      <c r="N1492" s="193" t="s">
        <v>5411</v>
      </c>
      <c r="O1492" s="225" t="s">
        <v>868</v>
      </c>
      <c r="P1492" s="200"/>
      <c r="Q1492" s="133"/>
      <c r="R1492" s="224" t="s">
        <v>5410</v>
      </c>
      <c r="S1492" s="193" t="s">
        <v>867</v>
      </c>
      <c r="T1492" s="193" t="s">
        <v>6</v>
      </c>
      <c r="U1492" s="193" t="s">
        <v>870</v>
      </c>
      <c r="V1492" s="193" t="s">
        <v>5411</v>
      </c>
      <c r="W1492" s="225" t="s">
        <v>868</v>
      </c>
      <c r="X1492" s="200"/>
    </row>
    <row r="1493" spans="1:24" x14ac:dyDescent="0.25">
      <c r="A1493" s="133"/>
      <c r="B1493" s="245"/>
      <c r="C1493" s="202"/>
      <c r="D1493" s="202"/>
      <c r="E1493" s="175"/>
      <c r="F1493" s="202"/>
      <c r="G1493" s="203"/>
      <c r="H1493" s="246"/>
      <c r="I1493" s="133"/>
      <c r="J1493" s="245"/>
      <c r="K1493" s="202"/>
      <c r="L1493" s="202"/>
      <c r="M1493" s="175"/>
      <c r="N1493" s="202"/>
      <c r="O1493" s="203"/>
      <c r="P1493" s="246"/>
      <c r="Q1493" s="133"/>
      <c r="R1493" s="245"/>
      <c r="S1493" s="202"/>
      <c r="T1493" s="202"/>
      <c r="U1493" s="175"/>
      <c r="V1493" s="202"/>
      <c r="W1493" s="203"/>
      <c r="X1493" s="246"/>
    </row>
    <row r="1494" spans="1:24" x14ac:dyDescent="0.25">
      <c r="A1494" s="133"/>
      <c r="B1494" s="247"/>
      <c r="C1494" s="248"/>
      <c r="D1494" s="248"/>
      <c r="E1494" s="248"/>
      <c r="F1494" s="202"/>
      <c r="G1494" s="178"/>
      <c r="H1494" s="200"/>
      <c r="I1494" s="133"/>
      <c r="J1494" s="247"/>
      <c r="K1494" s="248"/>
      <c r="L1494" s="248"/>
      <c r="M1494" s="248"/>
      <c r="N1494" s="202"/>
      <c r="O1494" s="178"/>
      <c r="P1494" s="200"/>
      <c r="Q1494" s="133"/>
      <c r="R1494" s="247"/>
      <c r="S1494" s="248"/>
      <c r="T1494" s="248"/>
      <c r="U1494" s="248"/>
      <c r="V1494" s="202"/>
      <c r="W1494" s="178"/>
      <c r="X1494" s="200"/>
    </row>
    <row r="1495" spans="1:24" x14ac:dyDescent="0.25">
      <c r="A1495" s="133"/>
      <c r="B1495" s="247"/>
      <c r="C1495" s="232"/>
      <c r="D1495" s="232"/>
      <c r="E1495" s="232"/>
      <c r="F1495" s="226"/>
      <c r="G1495" s="229"/>
      <c r="H1495" s="200"/>
      <c r="I1495" s="133"/>
      <c r="J1495" s="247"/>
      <c r="K1495" s="232"/>
      <c r="L1495" s="232"/>
      <c r="M1495" s="232"/>
      <c r="N1495" s="226"/>
      <c r="O1495" s="229"/>
      <c r="P1495" s="200"/>
      <c r="Q1495" s="133"/>
      <c r="R1495" s="247"/>
      <c r="S1495" s="232"/>
      <c r="T1495" s="232"/>
      <c r="U1495" s="232"/>
      <c r="V1495" s="226"/>
      <c r="W1495" s="229"/>
      <c r="X1495" s="200"/>
    </row>
    <row r="1496" spans="1:24" x14ac:dyDescent="0.25">
      <c r="A1496" s="133"/>
      <c r="B1496" s="194"/>
      <c r="C1496" s="232"/>
      <c r="D1496" s="232"/>
      <c r="E1496" s="232"/>
      <c r="F1496" s="226"/>
      <c r="G1496" s="229"/>
      <c r="H1496" s="200"/>
      <c r="I1496" s="133"/>
      <c r="J1496" s="194"/>
      <c r="K1496" s="232"/>
      <c r="L1496" s="232"/>
      <c r="M1496" s="232"/>
      <c r="N1496" s="226"/>
      <c r="O1496" s="229"/>
      <c r="P1496" s="200"/>
      <c r="Q1496" s="133"/>
      <c r="R1496" s="194"/>
      <c r="S1496" s="232"/>
      <c r="T1496" s="232"/>
      <c r="U1496" s="232"/>
      <c r="V1496" s="226"/>
      <c r="W1496" s="229"/>
      <c r="X1496" s="200"/>
    </row>
    <row r="1497" spans="1:24" ht="15.75" thickBot="1" x14ac:dyDescent="0.3">
      <c r="A1497" s="133"/>
      <c r="B1497" s="195"/>
      <c r="C1497" s="232"/>
      <c r="D1497" s="232"/>
      <c r="E1497" s="232"/>
      <c r="F1497" s="226"/>
      <c r="G1497" s="229"/>
      <c r="H1497" s="200"/>
      <c r="I1497" s="133"/>
      <c r="J1497" s="195"/>
      <c r="K1497" s="232"/>
      <c r="L1497" s="232"/>
      <c r="M1497" s="232"/>
      <c r="N1497" s="226"/>
      <c r="O1497" s="229"/>
      <c r="P1497" s="200"/>
      <c r="Q1497" s="133"/>
      <c r="R1497" s="195"/>
      <c r="S1497" s="232"/>
      <c r="T1497" s="232"/>
      <c r="U1497" s="232"/>
      <c r="V1497" s="226"/>
      <c r="W1497" s="229"/>
      <c r="X1497" s="200"/>
    </row>
    <row r="1498" spans="1:24" ht="15.75" thickBot="1" x14ac:dyDescent="0.3">
      <c r="A1498" s="133"/>
      <c r="B1498" s="233"/>
      <c r="C1498" s="234"/>
      <c r="D1498" s="234"/>
      <c r="E1498" s="234"/>
      <c r="F1498" s="235"/>
      <c r="G1498" s="236"/>
      <c r="H1498" s="237">
        <f>+SUM(G1493:G1498)</f>
        <v>0</v>
      </c>
      <c r="I1498" s="133"/>
      <c r="J1498" s="233"/>
      <c r="K1498" s="234"/>
      <c r="L1498" s="234"/>
      <c r="M1498" s="234"/>
      <c r="N1498" s="235"/>
      <c r="O1498" s="236"/>
      <c r="P1498" s="237">
        <f>+SUM(O1493:O1498)</f>
        <v>0</v>
      </c>
      <c r="Q1498" s="133"/>
      <c r="R1498" s="233"/>
      <c r="S1498" s="234"/>
      <c r="T1498" s="234"/>
      <c r="U1498" s="234"/>
      <c r="V1498" s="235"/>
      <c r="W1498" s="236"/>
      <c r="X1498" s="237">
        <f>+SUM(W1493:W1498)</f>
        <v>0</v>
      </c>
    </row>
    <row r="1499" spans="1:24" ht="15.75" thickBot="1" x14ac:dyDescent="0.3">
      <c r="A1499" s="133"/>
      <c r="B1499" s="238"/>
      <c r="C1499" s="238"/>
      <c r="D1499" s="238"/>
      <c r="E1499" s="238"/>
      <c r="F1499" s="249"/>
      <c r="G1499" s="250"/>
      <c r="H1499" s="241"/>
      <c r="I1499" s="133"/>
      <c r="J1499" s="238"/>
      <c r="K1499" s="238"/>
      <c r="L1499" s="238"/>
      <c r="M1499" s="238"/>
      <c r="N1499" s="249"/>
      <c r="O1499" s="250"/>
      <c r="P1499" s="241"/>
      <c r="Q1499" s="133"/>
      <c r="R1499" s="238"/>
      <c r="S1499" s="238"/>
      <c r="T1499" s="238"/>
      <c r="U1499" s="238"/>
      <c r="V1499" s="249"/>
      <c r="W1499" s="250"/>
      <c r="X1499" s="241"/>
    </row>
    <row r="1500" spans="1:24" ht="15.75" thickBot="1" x14ac:dyDescent="0.3">
      <c r="A1500" s="133"/>
      <c r="B1500" s="224" t="s">
        <v>5412</v>
      </c>
      <c r="C1500" s="193" t="s">
        <v>5420</v>
      </c>
      <c r="D1500" s="193" t="s">
        <v>5421</v>
      </c>
      <c r="E1500" s="193" t="s">
        <v>5413</v>
      </c>
      <c r="F1500" s="193" t="s">
        <v>5405</v>
      </c>
      <c r="G1500" s="225" t="s">
        <v>868</v>
      </c>
      <c r="H1500" s="200"/>
      <c r="I1500" s="133"/>
      <c r="J1500" s="224" t="s">
        <v>5412</v>
      </c>
      <c r="K1500" s="193" t="s">
        <v>5420</v>
      </c>
      <c r="L1500" s="193" t="s">
        <v>5421</v>
      </c>
      <c r="M1500" s="193" t="s">
        <v>5413</v>
      </c>
      <c r="N1500" s="193" t="s">
        <v>5405</v>
      </c>
      <c r="O1500" s="225" t="s">
        <v>868</v>
      </c>
      <c r="P1500" s="200"/>
      <c r="Q1500" s="133"/>
      <c r="R1500" s="224" t="s">
        <v>5412</v>
      </c>
      <c r="S1500" s="193" t="s">
        <v>5420</v>
      </c>
      <c r="T1500" s="193" t="s">
        <v>5421</v>
      </c>
      <c r="U1500" s="193" t="s">
        <v>5413</v>
      </c>
      <c r="V1500" s="193" t="s">
        <v>5405</v>
      </c>
      <c r="W1500" s="225" t="s">
        <v>868</v>
      </c>
      <c r="X1500" s="200"/>
    </row>
    <row r="1501" spans="1:24" x14ac:dyDescent="0.25">
      <c r="A1501" s="133"/>
      <c r="B1501" s="194" t="s">
        <v>5948</v>
      </c>
      <c r="C1501" s="345">
        <v>70000</v>
      </c>
      <c r="D1501" s="176">
        <f>+C1501*0.85</f>
        <v>59500</v>
      </c>
      <c r="E1501" s="176">
        <f>+C1501+D1501</f>
        <v>129500</v>
      </c>
      <c r="F1501" s="204">
        <v>500</v>
      </c>
      <c r="G1501" s="178">
        <f>+E1501/F1501</f>
        <v>259</v>
      </c>
      <c r="H1501" s="200"/>
      <c r="I1501" s="133"/>
      <c r="J1501" s="194" t="s">
        <v>5948</v>
      </c>
      <c r="K1501" s="345">
        <v>70000</v>
      </c>
      <c r="L1501" s="176">
        <f>+K1501*0.85</f>
        <v>59500</v>
      </c>
      <c r="M1501" s="175">
        <f>+K1501+L1501</f>
        <v>129500</v>
      </c>
      <c r="N1501" s="204">
        <v>500</v>
      </c>
      <c r="O1501" s="178">
        <f>+M1501/N1501</f>
        <v>259</v>
      </c>
      <c r="P1501" s="200"/>
      <c r="Q1501" s="133"/>
      <c r="R1501" s="194" t="s">
        <v>5948</v>
      </c>
      <c r="S1501" s="345">
        <v>70000</v>
      </c>
      <c r="T1501" s="176">
        <f>+S1501*0.85</f>
        <v>59500</v>
      </c>
      <c r="U1501" s="175">
        <f>+S1501+T1501</f>
        <v>129500</v>
      </c>
      <c r="V1501" s="204">
        <v>500</v>
      </c>
      <c r="W1501" s="178">
        <f>+U1501/V1501</f>
        <v>259</v>
      </c>
      <c r="X1501" s="200"/>
    </row>
    <row r="1502" spans="1:24" x14ac:dyDescent="0.25">
      <c r="A1502" s="133"/>
      <c r="B1502" s="194" t="s">
        <v>5651</v>
      </c>
      <c r="C1502" s="345">
        <v>40000</v>
      </c>
      <c r="D1502" s="176">
        <f>+C1502*0.85</f>
        <v>34000</v>
      </c>
      <c r="E1502" s="176">
        <f>+C1502+D1502</f>
        <v>74000</v>
      </c>
      <c r="F1502" s="202">
        <v>10</v>
      </c>
      <c r="G1502" s="178">
        <f>+E1502/F1502</f>
        <v>7400</v>
      </c>
      <c r="H1502" s="200"/>
      <c r="I1502" s="133"/>
      <c r="J1502" s="194" t="s">
        <v>5651</v>
      </c>
      <c r="K1502" s="345">
        <v>40000</v>
      </c>
      <c r="L1502" s="176">
        <f>+K1502*0.85</f>
        <v>34000</v>
      </c>
      <c r="M1502" s="175">
        <f>+K1502+L1502</f>
        <v>74000</v>
      </c>
      <c r="N1502" s="202">
        <v>9</v>
      </c>
      <c r="O1502" s="178">
        <f>+M1502/N1502</f>
        <v>8222.2222222222226</v>
      </c>
      <c r="P1502" s="200"/>
      <c r="Q1502" s="133"/>
      <c r="R1502" s="194" t="s">
        <v>5651</v>
      </c>
      <c r="S1502" s="345">
        <v>40000</v>
      </c>
      <c r="T1502" s="176">
        <f>+S1502*0.85</f>
        <v>34000</v>
      </c>
      <c r="U1502" s="175">
        <f>+S1502+T1502</f>
        <v>74000</v>
      </c>
      <c r="V1502" s="202">
        <v>8</v>
      </c>
      <c r="W1502" s="178">
        <f>+U1502/V1502</f>
        <v>9250</v>
      </c>
      <c r="X1502" s="200"/>
    </row>
    <row r="1503" spans="1:24" x14ac:dyDescent="0.25">
      <c r="A1503" s="133"/>
      <c r="B1503" s="195" t="s">
        <v>5635</v>
      </c>
      <c r="C1503" s="345">
        <v>20600</v>
      </c>
      <c r="D1503" s="176">
        <f>+C1503*0.85</f>
        <v>17510</v>
      </c>
      <c r="E1503" s="176">
        <f>+C1503+D1503</f>
        <v>38110</v>
      </c>
      <c r="F1503" s="226">
        <v>8</v>
      </c>
      <c r="G1503" s="178">
        <f>+E1503/F1503</f>
        <v>4763.75</v>
      </c>
      <c r="H1503" s="200"/>
      <c r="I1503" s="133"/>
      <c r="J1503" s="195" t="s">
        <v>5635</v>
      </c>
      <c r="K1503" s="345">
        <v>20600</v>
      </c>
      <c r="L1503" s="176">
        <f>+K1503*0.85</f>
        <v>17510</v>
      </c>
      <c r="M1503" s="175">
        <f>+K1503+L1503</f>
        <v>38110</v>
      </c>
      <c r="N1503" s="226">
        <v>7</v>
      </c>
      <c r="O1503" s="178">
        <f>+M1503/N1503</f>
        <v>5444.2857142857147</v>
      </c>
      <c r="P1503" s="200"/>
      <c r="Q1503" s="133"/>
      <c r="R1503" s="195" t="s">
        <v>5635</v>
      </c>
      <c r="S1503" s="345">
        <v>20600</v>
      </c>
      <c r="T1503" s="176">
        <f>+S1503*0.85</f>
        <v>17510</v>
      </c>
      <c r="U1503" s="175">
        <f>+S1503+T1503</f>
        <v>38110</v>
      </c>
      <c r="V1503" s="226">
        <v>6</v>
      </c>
      <c r="W1503" s="178">
        <f>+U1503/V1503</f>
        <v>6351.666666666667</v>
      </c>
      <c r="X1503" s="200"/>
    </row>
    <row r="1504" spans="1:24" x14ac:dyDescent="0.25">
      <c r="A1504" s="133"/>
      <c r="B1504" s="195"/>
      <c r="C1504" s="171"/>
      <c r="D1504" s="176"/>
      <c r="E1504" s="176"/>
      <c r="F1504" s="226"/>
      <c r="G1504" s="178"/>
      <c r="H1504" s="200"/>
      <c r="I1504" s="133"/>
      <c r="J1504" s="195"/>
      <c r="K1504" s="171"/>
      <c r="L1504" s="176"/>
      <c r="M1504" s="228"/>
      <c r="N1504" s="226"/>
      <c r="O1504" s="178"/>
      <c r="P1504" s="200"/>
      <c r="Q1504" s="133"/>
      <c r="R1504" s="195"/>
      <c r="S1504" s="171"/>
      <c r="T1504" s="176"/>
      <c r="U1504" s="228"/>
      <c r="V1504" s="226"/>
      <c r="W1504" s="178"/>
      <c r="X1504" s="200"/>
    </row>
    <row r="1505" spans="1:24" x14ac:dyDescent="0.25">
      <c r="A1505" s="133"/>
      <c r="B1505" s="195"/>
      <c r="C1505" s="232"/>
      <c r="D1505" s="232"/>
      <c r="E1505" s="232"/>
      <c r="F1505" s="226"/>
      <c r="G1505" s="229"/>
      <c r="H1505" s="200"/>
      <c r="I1505" s="133"/>
      <c r="J1505" s="195"/>
      <c r="K1505" s="232"/>
      <c r="L1505" s="232"/>
      <c r="M1505" s="232"/>
      <c r="N1505" s="226"/>
      <c r="O1505" s="229"/>
      <c r="P1505" s="200"/>
      <c r="Q1505" s="133"/>
      <c r="R1505" s="195"/>
      <c r="S1505" s="232"/>
      <c r="T1505" s="232"/>
      <c r="U1505" s="232"/>
      <c r="V1505" s="226"/>
      <c r="W1505" s="229"/>
      <c r="X1505" s="200"/>
    </row>
    <row r="1506" spans="1:24" ht="15.75" thickBot="1" x14ac:dyDescent="0.3">
      <c r="A1506" s="133"/>
      <c r="B1506" s="195"/>
      <c r="C1506" s="232"/>
      <c r="D1506" s="232"/>
      <c r="E1506" s="232"/>
      <c r="F1506" s="226"/>
      <c r="G1506" s="229"/>
      <c r="H1506" s="200"/>
      <c r="I1506" s="133"/>
      <c r="J1506" s="195"/>
      <c r="K1506" s="232"/>
      <c r="L1506" s="232"/>
      <c r="M1506" s="232"/>
      <c r="N1506" s="226"/>
      <c r="O1506" s="229"/>
      <c r="P1506" s="200"/>
      <c r="Q1506" s="133"/>
      <c r="R1506" s="195"/>
      <c r="S1506" s="232"/>
      <c r="T1506" s="232"/>
      <c r="U1506" s="232"/>
      <c r="V1506" s="226"/>
      <c r="W1506" s="229"/>
      <c r="X1506" s="200"/>
    </row>
    <row r="1507" spans="1:24" ht="15.75" thickBot="1" x14ac:dyDescent="0.3">
      <c r="A1507" s="133"/>
      <c r="B1507" s="251"/>
      <c r="C1507" s="252"/>
      <c r="D1507" s="252"/>
      <c r="E1507" s="252"/>
      <c r="F1507" s="253"/>
      <c r="G1507" s="254"/>
      <c r="H1507" s="256">
        <f>+SUM(G1501:G1507)</f>
        <v>12422.75</v>
      </c>
      <c r="I1507" s="133"/>
      <c r="J1507" s="251"/>
      <c r="K1507" s="252"/>
      <c r="L1507" s="252"/>
      <c r="M1507" s="252"/>
      <c r="N1507" s="253"/>
      <c r="O1507" s="254"/>
      <c r="P1507" s="256">
        <f>+SUM(O1501:O1507)</f>
        <v>13925.507936507936</v>
      </c>
      <c r="Q1507" s="133"/>
      <c r="R1507" s="251"/>
      <c r="S1507" s="252"/>
      <c r="T1507" s="252"/>
      <c r="U1507" s="252"/>
      <c r="V1507" s="253"/>
      <c r="W1507" s="254"/>
      <c r="X1507" s="256">
        <f>+SUM(W1501:W1507)</f>
        <v>15860.666666666668</v>
      </c>
    </row>
    <row r="1508" spans="1:24" ht="15.75" thickBot="1" x14ac:dyDescent="0.3">
      <c r="A1508" s="133"/>
      <c r="B1508" s="8"/>
      <c r="C1508" s="8"/>
      <c r="D1508" s="8"/>
      <c r="E1508" s="8"/>
      <c r="F1508" s="133"/>
      <c r="G1508" s="200"/>
      <c r="H1508" s="200"/>
      <c r="I1508" s="133"/>
      <c r="J1508" s="8"/>
      <c r="K1508" s="8"/>
      <c r="L1508" s="8"/>
      <c r="M1508" s="8"/>
      <c r="N1508" s="133"/>
      <c r="O1508" s="200"/>
      <c r="P1508" s="200"/>
      <c r="Q1508" s="133"/>
      <c r="R1508" s="8"/>
      <c r="S1508" s="8"/>
      <c r="T1508" s="8"/>
      <c r="U1508" s="8"/>
      <c r="V1508" s="133"/>
      <c r="W1508" s="200"/>
      <c r="X1508" s="200"/>
    </row>
    <row r="1509" spans="1:24" ht="15.75" thickBot="1" x14ac:dyDescent="0.3">
      <c r="A1509" s="133"/>
      <c r="B1509" s="8"/>
      <c r="C1509" s="8"/>
      <c r="D1509" s="8"/>
      <c r="E1509" s="223" t="s">
        <v>5415</v>
      </c>
      <c r="F1509" s="133"/>
      <c r="G1509" s="200"/>
      <c r="H1509" s="256">
        <f>ROUND(+H1507+H1498+H1490+H1475,0)</f>
        <v>24053</v>
      </c>
      <c r="I1509" s="133"/>
      <c r="J1509" s="8"/>
      <c r="K1509" s="8"/>
      <c r="L1509" s="8"/>
      <c r="M1509" s="223" t="s">
        <v>5415</v>
      </c>
      <c r="N1509" s="223"/>
      <c r="O1509" s="200"/>
      <c r="P1509" s="256">
        <f>ROUND(+P1507+P1498+P1490+P1475,0)</f>
        <v>28319</v>
      </c>
      <c r="Q1509" s="133"/>
      <c r="R1509" s="8"/>
      <c r="S1509" s="8"/>
      <c r="T1509" s="8"/>
      <c r="U1509" s="223" t="s">
        <v>5415</v>
      </c>
      <c r="V1509" s="133"/>
      <c r="W1509" s="200"/>
      <c r="X1509" s="256">
        <f>ROUND(+X1507+X1498+X1490+X1475,0)</f>
        <v>33693</v>
      </c>
    </row>
    <row r="1511" spans="1:24" x14ac:dyDescent="0.25">
      <c r="A1511" s="255"/>
      <c r="I1511" s="255"/>
      <c r="R1511" s="255"/>
    </row>
    <row r="1512" spans="1:24" x14ac:dyDescent="0.25">
      <c r="A1512" s="255"/>
      <c r="I1512" s="255"/>
      <c r="R1512" s="255"/>
    </row>
    <row r="1513" spans="1:24" x14ac:dyDescent="0.25">
      <c r="A1513" s="255"/>
      <c r="I1513" s="255"/>
      <c r="R1513" s="255"/>
    </row>
    <row r="1514" spans="1:24" ht="18.75" x14ac:dyDescent="0.25">
      <c r="A1514" s="133"/>
      <c r="B1514" s="2506" t="s">
        <v>5400</v>
      </c>
      <c r="C1514" s="2506"/>
      <c r="D1514" s="2506"/>
      <c r="E1514" s="2506"/>
      <c r="F1514" s="2506"/>
      <c r="G1514" s="2506"/>
      <c r="H1514" s="8"/>
      <c r="I1514" s="133"/>
      <c r="J1514" s="2506" t="s">
        <v>5400</v>
      </c>
      <c r="K1514" s="2506"/>
      <c r="L1514" s="2506"/>
      <c r="M1514" s="2506"/>
      <c r="N1514" s="2506"/>
      <c r="O1514" s="2506"/>
      <c r="P1514" s="2506"/>
      <c r="Q1514" s="8"/>
    </row>
    <row r="1515" spans="1:24" x14ac:dyDescent="0.25">
      <c r="A1515" s="133"/>
      <c r="B1515" s="8"/>
      <c r="C1515" s="8"/>
      <c r="D1515" s="8"/>
      <c r="E1515" s="8"/>
      <c r="F1515" s="133"/>
      <c r="G1515" s="200"/>
      <c r="H1515" s="200"/>
      <c r="I1515" s="133"/>
      <c r="J1515" s="8"/>
      <c r="K1515" s="8"/>
      <c r="L1515" s="8"/>
      <c r="M1515" s="8"/>
      <c r="N1515" s="8"/>
      <c r="O1515" s="133"/>
      <c r="P1515" s="200"/>
      <c r="Q1515" s="200"/>
    </row>
    <row r="1516" spans="1:24" x14ac:dyDescent="0.25">
      <c r="A1516" s="133"/>
      <c r="B1516" s="8"/>
      <c r="C1516" s="8"/>
      <c r="D1516" s="8"/>
      <c r="E1516" s="8"/>
      <c r="F1516" s="133"/>
      <c r="G1516" s="200"/>
      <c r="H1516" s="200"/>
      <c r="I1516" s="133"/>
      <c r="J1516" s="8"/>
      <c r="K1516" s="8"/>
      <c r="L1516" s="8"/>
      <c r="M1516" s="8"/>
      <c r="N1516" s="8"/>
      <c r="O1516" s="133"/>
      <c r="P1516" s="200"/>
      <c r="Q1516" s="200"/>
    </row>
    <row r="1517" spans="1:24" x14ac:dyDescent="0.25">
      <c r="A1517" s="133"/>
      <c r="B1517" s="8"/>
      <c r="C1517" s="8"/>
      <c r="D1517" s="8"/>
      <c r="E1517" s="8"/>
      <c r="F1517" s="133"/>
      <c r="G1517" s="200"/>
      <c r="H1517" s="200"/>
      <c r="I1517" s="133"/>
      <c r="J1517" s="8"/>
      <c r="K1517" s="8"/>
      <c r="L1517" s="8"/>
      <c r="M1517" s="8"/>
      <c r="N1517" s="8"/>
      <c r="O1517" s="133"/>
      <c r="P1517" s="200"/>
      <c r="Q1517" s="200"/>
    </row>
    <row r="1518" spans="1:24" ht="15" customHeight="1" x14ac:dyDescent="0.25">
      <c r="A1518" s="220" t="s">
        <v>5482</v>
      </c>
      <c r="B1518" s="221" t="s">
        <v>5506</v>
      </c>
      <c r="C1518" s="2449" t="s">
        <v>5897</v>
      </c>
      <c r="D1518" s="2449"/>
      <c r="E1518" s="2449"/>
      <c r="F1518" s="220" t="s">
        <v>867</v>
      </c>
      <c r="G1518" s="222" t="s">
        <v>5402</v>
      </c>
      <c r="H1518" s="200"/>
      <c r="I1518" s="220" t="s">
        <v>5482</v>
      </c>
      <c r="J1518" s="221" t="s">
        <v>5506</v>
      </c>
      <c r="K1518" s="2449" t="s">
        <v>5898</v>
      </c>
      <c r="L1518" s="2449"/>
      <c r="M1518" s="2449"/>
      <c r="N1518" s="220" t="s">
        <v>867</v>
      </c>
      <c r="O1518" s="222" t="s">
        <v>5402</v>
      </c>
      <c r="P1518" s="200"/>
    </row>
    <row r="1519" spans="1:24" x14ac:dyDescent="0.25">
      <c r="A1519" s="133"/>
      <c r="B1519" s="8"/>
      <c r="C1519" s="223"/>
      <c r="D1519" s="223"/>
      <c r="E1519" s="223"/>
      <c r="F1519" s="133"/>
      <c r="G1519" s="200"/>
      <c r="H1519" s="200"/>
      <c r="I1519" s="133"/>
      <c r="J1519" s="8"/>
      <c r="K1519" s="223"/>
      <c r="L1519" s="223"/>
      <c r="M1519" s="223"/>
      <c r="N1519" s="133"/>
      <c r="O1519" s="200"/>
      <c r="P1519" s="200"/>
    </row>
    <row r="1520" spans="1:24" x14ac:dyDescent="0.25">
      <c r="A1520" s="133"/>
      <c r="B1520" s="8"/>
      <c r="C1520" s="8"/>
      <c r="D1520" s="8"/>
      <c r="E1520" s="8"/>
      <c r="F1520" s="8"/>
      <c r="G1520" s="8"/>
      <c r="H1520" s="200"/>
      <c r="I1520" s="133"/>
      <c r="J1520" s="8"/>
      <c r="K1520" s="8"/>
      <c r="L1520" s="8"/>
      <c r="M1520" s="8"/>
      <c r="N1520" s="8"/>
      <c r="O1520" s="8"/>
      <c r="P1520" s="200"/>
    </row>
    <row r="1521" spans="1:16" ht="15.75" thickBot="1" x14ac:dyDescent="0.3">
      <c r="A1521" s="133"/>
      <c r="B1521" s="8"/>
      <c r="C1521" s="8"/>
      <c r="D1521" s="8"/>
      <c r="E1521" s="8"/>
      <c r="F1521" s="133"/>
      <c r="G1521" s="200"/>
      <c r="H1521" s="200"/>
      <c r="I1521" s="133"/>
      <c r="J1521" s="8"/>
      <c r="K1521" s="8"/>
      <c r="L1521" s="8"/>
      <c r="M1521" s="8"/>
      <c r="N1521" s="133"/>
      <c r="O1521" s="200"/>
      <c r="P1521" s="200"/>
    </row>
    <row r="1522" spans="1:16" ht="15.75" thickBot="1" x14ac:dyDescent="0.3">
      <c r="A1522" s="133"/>
      <c r="B1522" s="224" t="s">
        <v>5403</v>
      </c>
      <c r="C1522" s="193" t="s">
        <v>867</v>
      </c>
      <c r="D1522" s="193" t="s">
        <v>6</v>
      </c>
      <c r="E1522" s="193" t="s">
        <v>5439</v>
      </c>
      <c r="F1522" s="193" t="s">
        <v>5405</v>
      </c>
      <c r="G1522" s="225" t="s">
        <v>868</v>
      </c>
      <c r="H1522" s="200"/>
      <c r="I1522" s="133"/>
      <c r="J1522" s="224" t="s">
        <v>5403</v>
      </c>
      <c r="K1522" s="193" t="s">
        <v>867</v>
      </c>
      <c r="L1522" s="193" t="s">
        <v>6</v>
      </c>
      <c r="M1522" s="193" t="s">
        <v>5439</v>
      </c>
      <c r="N1522" s="193" t="s">
        <v>5405</v>
      </c>
      <c r="O1522" s="225" t="s">
        <v>868</v>
      </c>
      <c r="P1522" s="200"/>
    </row>
    <row r="1523" spans="1:16" x14ac:dyDescent="0.25">
      <c r="A1523" s="133"/>
      <c r="B1523" s="195" t="s">
        <v>5440</v>
      </c>
      <c r="C1523" s="226" t="s">
        <v>5402</v>
      </c>
      <c r="D1523" s="226">
        <v>1</v>
      </c>
      <c r="E1523" s="227">
        <f>+H1561</f>
        <v>18452.428571428572</v>
      </c>
      <c r="F1523" s="226">
        <v>0.1</v>
      </c>
      <c r="G1523" s="229">
        <f>+E1523*F1523</f>
        <v>1845.2428571428572</v>
      </c>
      <c r="H1523" s="200"/>
      <c r="I1523" s="133"/>
      <c r="J1523" s="195" t="s">
        <v>5440</v>
      </c>
      <c r="K1523" s="226" t="s">
        <v>5402</v>
      </c>
      <c r="L1523" s="226">
        <v>1</v>
      </c>
      <c r="M1523" s="228">
        <f>+P1561</f>
        <v>20214.333333333336</v>
      </c>
      <c r="N1523" s="226">
        <v>0.1</v>
      </c>
      <c r="O1523" s="229">
        <f>+M1523*N1523</f>
        <v>2021.4333333333336</v>
      </c>
      <c r="P1523" s="200"/>
    </row>
    <row r="1524" spans="1:16" x14ac:dyDescent="0.25">
      <c r="A1524" s="133"/>
      <c r="B1524" s="195" t="s">
        <v>6061</v>
      </c>
      <c r="C1524" s="226" t="s">
        <v>5402</v>
      </c>
      <c r="D1524" s="226">
        <v>1</v>
      </c>
      <c r="E1524" s="230">
        <v>150000</v>
      </c>
      <c r="F1524" s="226">
        <v>0.04</v>
      </c>
      <c r="G1524" s="229">
        <f>+E1524*F1524</f>
        <v>6000</v>
      </c>
      <c r="H1524" s="200"/>
      <c r="I1524" s="133"/>
      <c r="J1524" s="195" t="s">
        <v>6061</v>
      </c>
      <c r="K1524" s="226" t="s">
        <v>5402</v>
      </c>
      <c r="L1524" s="226">
        <v>1</v>
      </c>
      <c r="M1524" s="228">
        <v>150000</v>
      </c>
      <c r="N1524" s="226">
        <v>0.05</v>
      </c>
      <c r="O1524" s="229">
        <f>+M1524*N1524</f>
        <v>7500</v>
      </c>
      <c r="P1524" s="200"/>
    </row>
    <row r="1525" spans="1:16" x14ac:dyDescent="0.25">
      <c r="A1525" s="133"/>
      <c r="B1525" s="195" t="s">
        <v>5696</v>
      </c>
      <c r="C1525" s="226" t="s">
        <v>5402</v>
      </c>
      <c r="D1525" s="226">
        <v>1</v>
      </c>
      <c r="E1525" s="176">
        <v>120000</v>
      </c>
      <c r="F1525" s="226">
        <v>12</v>
      </c>
      <c r="G1525" s="229">
        <f>+E1525/F1525</f>
        <v>10000</v>
      </c>
      <c r="H1525" s="262"/>
      <c r="I1525" s="133"/>
      <c r="J1525" s="195" t="s">
        <v>5696</v>
      </c>
      <c r="K1525" s="226" t="s">
        <v>5402</v>
      </c>
      <c r="L1525" s="226">
        <v>1</v>
      </c>
      <c r="M1525" s="228">
        <v>120000</v>
      </c>
      <c r="N1525" s="226">
        <v>10</v>
      </c>
      <c r="O1525" s="229">
        <f>+M1525/N1525</f>
        <v>12000</v>
      </c>
      <c r="P1525" s="262"/>
    </row>
    <row r="1526" spans="1:16" x14ac:dyDescent="0.25">
      <c r="A1526" s="133"/>
      <c r="B1526" s="195"/>
      <c r="C1526" s="226"/>
      <c r="D1526" s="226"/>
      <c r="E1526" s="171"/>
      <c r="F1526" s="226"/>
      <c r="G1526" s="231"/>
      <c r="H1526" s="200"/>
      <c r="I1526" s="133"/>
      <c r="J1526" s="195"/>
      <c r="K1526" s="226"/>
      <c r="L1526" s="226"/>
      <c r="M1526" s="171"/>
      <c r="N1526" s="226"/>
      <c r="O1526" s="231"/>
      <c r="P1526" s="200"/>
    </row>
    <row r="1527" spans="1:16" x14ac:dyDescent="0.25">
      <c r="A1527" s="133"/>
      <c r="B1527" s="195"/>
      <c r="C1527" s="226"/>
      <c r="D1527" s="232"/>
      <c r="E1527" s="232"/>
      <c r="F1527" s="226"/>
      <c r="G1527" s="229"/>
      <c r="H1527" s="200"/>
      <c r="I1527" s="133"/>
      <c r="J1527" s="195"/>
      <c r="K1527" s="226"/>
      <c r="L1527" s="232"/>
      <c r="M1527" s="232"/>
      <c r="N1527" s="226"/>
      <c r="O1527" s="229"/>
      <c r="P1527" s="200"/>
    </row>
    <row r="1528" spans="1:16" ht="15.75" thickBot="1" x14ac:dyDescent="0.3">
      <c r="A1528" s="133"/>
      <c r="B1528" s="195"/>
      <c r="C1528" s="226"/>
      <c r="D1528" s="232"/>
      <c r="E1528" s="232"/>
      <c r="F1528" s="226"/>
      <c r="G1528" s="229"/>
      <c r="H1528" s="200"/>
      <c r="I1528" s="133"/>
      <c r="J1528" s="195"/>
      <c r="K1528" s="226"/>
      <c r="L1528" s="232"/>
      <c r="M1528" s="232"/>
      <c r="N1528" s="226"/>
      <c r="O1528" s="229"/>
      <c r="P1528" s="200"/>
    </row>
    <row r="1529" spans="1:16" ht="15.75" thickBot="1" x14ac:dyDescent="0.3">
      <c r="A1529" s="133"/>
      <c r="B1529" s="233"/>
      <c r="C1529" s="234"/>
      <c r="D1529" s="234"/>
      <c r="E1529" s="234"/>
      <c r="F1529" s="235"/>
      <c r="G1529" s="236"/>
      <c r="H1529" s="237">
        <f>+SUM(G1523:G1529)</f>
        <v>17845.242857142857</v>
      </c>
      <c r="I1529" s="133"/>
      <c r="J1529" s="233"/>
      <c r="K1529" s="234"/>
      <c r="L1529" s="234"/>
      <c r="M1529" s="234"/>
      <c r="N1529" s="235"/>
      <c r="O1529" s="236"/>
      <c r="P1529" s="237">
        <f>+SUM(O1523:O1529)</f>
        <v>21521.433333333334</v>
      </c>
    </row>
    <row r="1530" spans="1:16" ht="15.75" thickBot="1" x14ac:dyDescent="0.3">
      <c r="A1530" s="133"/>
      <c r="B1530" s="238"/>
      <c r="C1530" s="238"/>
      <c r="D1530" s="238"/>
      <c r="E1530" s="238"/>
      <c r="F1530" s="239"/>
      <c r="G1530" s="240"/>
      <c r="H1530" s="241"/>
      <c r="I1530" s="133"/>
      <c r="J1530" s="238"/>
      <c r="K1530" s="238"/>
      <c r="L1530" s="238"/>
      <c r="M1530" s="238"/>
      <c r="N1530" s="239"/>
      <c r="O1530" s="240"/>
      <c r="P1530" s="241"/>
    </row>
    <row r="1531" spans="1:16" ht="15.75" thickBot="1" x14ac:dyDescent="0.3">
      <c r="A1531" s="133"/>
      <c r="B1531" s="224" t="s">
        <v>5408</v>
      </c>
      <c r="C1531" s="193" t="s">
        <v>867</v>
      </c>
      <c r="D1531" s="193" t="s">
        <v>6</v>
      </c>
      <c r="E1531" s="193" t="s">
        <v>870</v>
      </c>
      <c r="F1531" s="193" t="s">
        <v>5409</v>
      </c>
      <c r="G1531" s="225" t="s">
        <v>868</v>
      </c>
      <c r="H1531" s="200"/>
      <c r="I1531" s="133"/>
      <c r="J1531" s="224" t="s">
        <v>5408</v>
      </c>
      <c r="K1531" s="193" t="s">
        <v>867</v>
      </c>
      <c r="L1531" s="193" t="s">
        <v>6</v>
      </c>
      <c r="M1531" s="193" t="s">
        <v>870</v>
      </c>
      <c r="N1531" s="193" t="s">
        <v>5409</v>
      </c>
      <c r="O1531" s="225" t="s">
        <v>868</v>
      </c>
      <c r="P1531" s="200"/>
    </row>
    <row r="1532" spans="1:16" x14ac:dyDescent="0.25">
      <c r="A1532" s="133"/>
      <c r="B1532" s="295" t="s">
        <v>5553</v>
      </c>
      <c r="C1532" s="202" t="s">
        <v>5488</v>
      </c>
      <c r="D1532" s="226">
        <f>+PI()*0.225^2*1000</f>
        <v>159.04312808798329</v>
      </c>
      <c r="E1532" s="244">
        <v>5</v>
      </c>
      <c r="F1532" s="169">
        <v>0.05</v>
      </c>
      <c r="G1532" s="178">
        <f>+D1532*E1532*(1+F1532)</f>
        <v>834.97642246191231</v>
      </c>
      <c r="H1532" s="200"/>
      <c r="I1532" s="133"/>
      <c r="J1532" s="295" t="s">
        <v>5553</v>
      </c>
      <c r="K1532" s="202" t="s">
        <v>5488</v>
      </c>
      <c r="L1532" s="226">
        <f>+PI()*0.25^2*1000</f>
        <v>196.34954084936206</v>
      </c>
      <c r="M1532" s="332">
        <v>5</v>
      </c>
      <c r="N1532" s="169">
        <v>0.05</v>
      </c>
      <c r="O1532" s="178">
        <f>+L1532*M1532*(1+N1532)</f>
        <v>1030.8350894591508</v>
      </c>
      <c r="P1532" s="200"/>
    </row>
    <row r="1533" spans="1:16" x14ac:dyDescent="0.25">
      <c r="A1533" s="133"/>
      <c r="B1533" s="450" t="s">
        <v>5755</v>
      </c>
      <c r="C1533" s="202" t="s">
        <v>5487</v>
      </c>
      <c r="D1533" s="202">
        <f>+T1479*D1532/T1478</f>
        <v>6650.1000000000022</v>
      </c>
      <c r="E1533" s="257">
        <v>0.65</v>
      </c>
      <c r="F1533" s="169">
        <v>0.05</v>
      </c>
      <c r="G1533" s="178">
        <f>+D1533*E1533*(1+F1533)</f>
        <v>4538.6932500000021</v>
      </c>
      <c r="H1533" s="200"/>
      <c r="I1533" s="133"/>
      <c r="J1533" s="450" t="s">
        <v>5755</v>
      </c>
      <c r="K1533" s="202" t="s">
        <v>5487</v>
      </c>
      <c r="L1533" s="202">
        <f>+D1533*L1532/D1532</f>
        <v>8210.0000000000018</v>
      </c>
      <c r="M1533" s="199">
        <v>0.65</v>
      </c>
      <c r="N1533" s="169">
        <v>0.05</v>
      </c>
      <c r="O1533" s="178">
        <f>+L1533*M1533*(1+N1533)</f>
        <v>5603.3250000000025</v>
      </c>
      <c r="P1533" s="200"/>
    </row>
    <row r="1534" spans="1:16" x14ac:dyDescent="0.25">
      <c r="A1534" s="133"/>
      <c r="B1534" s="247"/>
      <c r="C1534" s="226"/>
      <c r="D1534" s="226"/>
      <c r="E1534" s="244"/>
      <c r="F1534" s="169"/>
      <c r="G1534" s="178">
        <f>+D1534*E1534*(1+F1534)</f>
        <v>0</v>
      </c>
      <c r="H1534" s="200"/>
      <c r="I1534" s="133"/>
      <c r="J1534" s="247"/>
      <c r="K1534" s="226"/>
      <c r="L1534" s="226"/>
      <c r="M1534" s="228"/>
      <c r="N1534" s="169"/>
      <c r="O1534" s="178"/>
      <c r="P1534" s="200"/>
    </row>
    <row r="1535" spans="1:16" x14ac:dyDescent="0.25">
      <c r="A1535" s="133"/>
      <c r="B1535" s="194"/>
      <c r="C1535" s="226"/>
      <c r="D1535" s="226"/>
      <c r="E1535" s="171"/>
      <c r="F1535" s="169"/>
      <c r="G1535" s="178">
        <f>+D1535*E1535*(1+F1535)</f>
        <v>0</v>
      </c>
      <c r="H1535" s="200"/>
      <c r="I1535" s="133"/>
      <c r="J1535" s="194"/>
      <c r="K1535" s="226"/>
      <c r="L1535" s="226"/>
      <c r="M1535" s="228"/>
      <c r="N1535" s="169"/>
      <c r="O1535" s="178"/>
      <c r="P1535" s="200"/>
    </row>
    <row r="1536" spans="1:16" x14ac:dyDescent="0.25">
      <c r="A1536" s="133"/>
      <c r="B1536" s="195"/>
      <c r="C1536" s="226"/>
      <c r="D1536" s="226"/>
      <c r="E1536" s="171"/>
      <c r="F1536" s="169"/>
      <c r="G1536" s="178"/>
      <c r="H1536" s="200"/>
      <c r="I1536" s="133"/>
      <c r="J1536" s="195"/>
      <c r="K1536" s="226"/>
      <c r="L1536" s="226"/>
      <c r="M1536" s="176"/>
      <c r="N1536" s="169"/>
      <c r="O1536" s="178"/>
      <c r="P1536" s="200"/>
    </row>
    <row r="1537" spans="1:16" x14ac:dyDescent="0.25">
      <c r="A1537" s="133"/>
      <c r="B1537" s="194"/>
      <c r="C1537" s="202"/>
      <c r="D1537" s="202"/>
      <c r="E1537" s="171"/>
      <c r="F1537" s="169"/>
      <c r="G1537" s="178"/>
      <c r="H1537" s="200"/>
      <c r="I1537" s="133"/>
      <c r="J1537" s="194"/>
      <c r="K1537" s="202"/>
      <c r="L1537" s="202"/>
      <c r="M1537" s="176"/>
      <c r="N1537" s="169"/>
      <c r="O1537" s="178"/>
      <c r="P1537" s="200"/>
    </row>
    <row r="1538" spans="1:16" x14ac:dyDescent="0.25">
      <c r="A1538" s="133"/>
      <c r="B1538" s="195"/>
      <c r="C1538" s="226"/>
      <c r="D1538" s="226"/>
      <c r="E1538" s="171"/>
      <c r="F1538" s="169"/>
      <c r="G1538" s="178"/>
      <c r="H1538" s="200"/>
      <c r="I1538" s="133"/>
      <c r="J1538" s="195"/>
      <c r="K1538" s="226"/>
      <c r="L1538" s="226"/>
      <c r="M1538" s="176"/>
      <c r="N1538" s="169"/>
      <c r="O1538" s="178"/>
      <c r="P1538" s="200"/>
    </row>
    <row r="1539" spans="1:16" x14ac:dyDescent="0.25">
      <c r="A1539" s="133"/>
      <c r="B1539" s="195"/>
      <c r="C1539" s="226"/>
      <c r="D1539" s="226"/>
      <c r="E1539" s="171"/>
      <c r="F1539" s="169"/>
      <c r="G1539" s="178"/>
      <c r="H1539" s="200"/>
      <c r="I1539" s="133"/>
      <c r="J1539" s="195"/>
      <c r="K1539" s="226"/>
      <c r="L1539" s="226"/>
      <c r="M1539" s="176"/>
      <c r="N1539" s="169"/>
      <c r="O1539" s="178"/>
      <c r="P1539" s="200"/>
    </row>
    <row r="1540" spans="1:16" x14ac:dyDescent="0.25">
      <c r="A1540" s="133"/>
      <c r="B1540" s="195"/>
      <c r="C1540" s="232"/>
      <c r="D1540" s="232"/>
      <c r="E1540" s="232"/>
      <c r="F1540" s="226"/>
      <c r="G1540" s="229"/>
      <c r="H1540" s="200"/>
      <c r="I1540" s="133"/>
      <c r="J1540" s="195"/>
      <c r="K1540" s="232"/>
      <c r="L1540" s="232"/>
      <c r="M1540" s="232"/>
      <c r="N1540" s="226"/>
      <c r="O1540" s="229"/>
      <c r="P1540" s="200"/>
    </row>
    <row r="1541" spans="1:16" x14ac:dyDescent="0.25">
      <c r="A1541" s="133"/>
      <c r="B1541" s="195"/>
      <c r="C1541" s="232"/>
      <c r="D1541" s="232"/>
      <c r="E1541" s="232"/>
      <c r="F1541" s="226"/>
      <c r="G1541" s="229"/>
      <c r="H1541" s="200"/>
      <c r="I1541" s="133"/>
      <c r="J1541" s="195"/>
      <c r="K1541" s="232"/>
      <c r="L1541" s="232"/>
      <c r="M1541" s="232"/>
      <c r="N1541" s="226"/>
      <c r="O1541" s="229"/>
      <c r="P1541" s="200"/>
    </row>
    <row r="1542" spans="1:16" x14ac:dyDescent="0.25">
      <c r="A1542" s="133"/>
      <c r="B1542" s="195"/>
      <c r="C1542" s="232"/>
      <c r="D1542" s="232"/>
      <c r="E1542" s="232"/>
      <c r="F1542" s="226"/>
      <c r="G1542" s="229"/>
      <c r="H1542" s="200"/>
      <c r="I1542" s="133"/>
      <c r="J1542" s="195"/>
      <c r="K1542" s="232"/>
      <c r="L1542" s="232"/>
      <c r="M1542" s="232"/>
      <c r="N1542" s="226"/>
      <c r="O1542" s="229"/>
      <c r="P1542" s="200"/>
    </row>
    <row r="1543" spans="1:16" ht="15.75" thickBot="1" x14ac:dyDescent="0.3">
      <c r="A1543" s="133"/>
      <c r="B1543" s="195"/>
      <c r="C1543" s="232"/>
      <c r="D1543" s="232"/>
      <c r="E1543" s="232"/>
      <c r="F1543" s="226"/>
      <c r="G1543" s="229"/>
      <c r="H1543" s="200"/>
      <c r="I1543" s="133"/>
      <c r="J1543" s="195"/>
      <c r="K1543" s="232"/>
      <c r="L1543" s="232"/>
      <c r="M1543" s="232"/>
      <c r="N1543" s="226"/>
      <c r="O1543" s="229"/>
      <c r="P1543" s="200"/>
    </row>
    <row r="1544" spans="1:16" ht="15.75" thickBot="1" x14ac:dyDescent="0.3">
      <c r="A1544" s="133"/>
      <c r="B1544" s="233"/>
      <c r="C1544" s="234"/>
      <c r="D1544" s="234"/>
      <c r="E1544" s="234"/>
      <c r="F1544" s="235"/>
      <c r="G1544" s="236"/>
      <c r="H1544" s="256">
        <f>+SUM(G1532:G1544)</f>
        <v>5373.6696724619142</v>
      </c>
      <c r="I1544" s="133"/>
      <c r="J1544" s="233"/>
      <c r="K1544" s="234"/>
      <c r="L1544" s="234"/>
      <c r="M1544" s="234"/>
      <c r="N1544" s="235"/>
      <c r="O1544" s="236"/>
      <c r="P1544" s="256">
        <f>+SUM(O1532:O1544)</f>
        <v>6634.1600894591538</v>
      </c>
    </row>
    <row r="1545" spans="1:16" ht="15.75" thickBot="1" x14ac:dyDescent="0.3">
      <c r="A1545" s="133"/>
      <c r="B1545" s="238"/>
      <c r="C1545" s="238"/>
      <c r="D1545" s="238"/>
      <c r="E1545" s="238"/>
      <c r="F1545" s="239"/>
      <c r="G1545" s="240"/>
      <c r="H1545" s="241"/>
      <c r="I1545" s="133"/>
      <c r="J1545" s="238"/>
      <c r="K1545" s="238"/>
      <c r="L1545" s="238"/>
      <c r="M1545" s="238"/>
      <c r="N1545" s="239"/>
      <c r="O1545" s="240"/>
      <c r="P1545" s="241"/>
    </row>
    <row r="1546" spans="1:16" ht="15.75" thickBot="1" x14ac:dyDescent="0.3">
      <c r="A1546" s="133"/>
      <c r="B1546" s="224" t="s">
        <v>5410</v>
      </c>
      <c r="C1546" s="193" t="s">
        <v>867</v>
      </c>
      <c r="D1546" s="193" t="s">
        <v>6</v>
      </c>
      <c r="E1546" s="193" t="s">
        <v>870</v>
      </c>
      <c r="F1546" s="193" t="s">
        <v>5411</v>
      </c>
      <c r="G1546" s="225" t="s">
        <v>868</v>
      </c>
      <c r="H1546" s="200"/>
      <c r="I1546" s="133"/>
      <c r="J1546" s="224" t="s">
        <v>5410</v>
      </c>
      <c r="K1546" s="193" t="s">
        <v>867</v>
      </c>
      <c r="L1546" s="193" t="s">
        <v>6</v>
      </c>
      <c r="M1546" s="193" t="s">
        <v>870</v>
      </c>
      <c r="N1546" s="193" t="s">
        <v>5411</v>
      </c>
      <c r="O1546" s="225" t="s">
        <v>868</v>
      </c>
      <c r="P1546" s="200"/>
    </row>
    <row r="1547" spans="1:16" x14ac:dyDescent="0.25">
      <c r="A1547" s="133"/>
      <c r="B1547" s="245"/>
      <c r="C1547" s="202"/>
      <c r="D1547" s="202"/>
      <c r="E1547" s="175"/>
      <c r="F1547" s="202"/>
      <c r="G1547" s="203"/>
      <c r="H1547" s="246"/>
      <c r="I1547" s="133"/>
      <c r="J1547" s="245"/>
      <c r="K1547" s="202"/>
      <c r="L1547" s="202"/>
      <c r="M1547" s="175"/>
      <c r="N1547" s="202"/>
      <c r="O1547" s="203"/>
      <c r="P1547" s="246"/>
    </row>
    <row r="1548" spans="1:16" x14ac:dyDescent="0.25">
      <c r="A1548" s="133"/>
      <c r="B1548" s="247"/>
      <c r="C1548" s="248"/>
      <c r="D1548" s="248"/>
      <c r="E1548" s="248"/>
      <c r="F1548" s="202"/>
      <c r="G1548" s="178"/>
      <c r="H1548" s="200"/>
      <c r="I1548" s="133"/>
      <c r="J1548" s="247"/>
      <c r="K1548" s="248"/>
      <c r="L1548" s="248"/>
      <c r="M1548" s="248"/>
      <c r="N1548" s="202"/>
      <c r="O1548" s="178"/>
      <c r="P1548" s="200"/>
    </row>
    <row r="1549" spans="1:16" x14ac:dyDescent="0.25">
      <c r="A1549" s="133"/>
      <c r="B1549" s="247"/>
      <c r="C1549" s="232"/>
      <c r="D1549" s="232"/>
      <c r="E1549" s="232"/>
      <c r="F1549" s="226"/>
      <c r="G1549" s="229"/>
      <c r="H1549" s="200"/>
      <c r="I1549" s="133"/>
      <c r="J1549" s="247"/>
      <c r="K1549" s="232"/>
      <c r="L1549" s="232"/>
      <c r="M1549" s="232"/>
      <c r="N1549" s="226"/>
      <c r="O1549" s="229"/>
      <c r="P1549" s="200"/>
    </row>
    <row r="1550" spans="1:16" x14ac:dyDescent="0.25">
      <c r="A1550" s="133"/>
      <c r="B1550" s="194"/>
      <c r="C1550" s="232"/>
      <c r="D1550" s="232"/>
      <c r="E1550" s="232"/>
      <c r="F1550" s="226"/>
      <c r="G1550" s="229"/>
      <c r="H1550" s="200"/>
      <c r="I1550" s="133"/>
      <c r="J1550" s="194"/>
      <c r="K1550" s="232"/>
      <c r="L1550" s="232"/>
      <c r="M1550" s="232"/>
      <c r="N1550" s="226"/>
      <c r="O1550" s="229"/>
      <c r="P1550" s="200"/>
    </row>
    <row r="1551" spans="1:16" ht="15.75" thickBot="1" x14ac:dyDescent="0.3">
      <c r="A1551" s="133"/>
      <c r="B1551" s="195"/>
      <c r="C1551" s="232"/>
      <c r="D1551" s="232"/>
      <c r="E1551" s="232"/>
      <c r="F1551" s="226"/>
      <c r="G1551" s="229"/>
      <c r="H1551" s="200"/>
      <c r="I1551" s="133"/>
      <c r="J1551" s="195"/>
      <c r="K1551" s="232"/>
      <c r="L1551" s="232"/>
      <c r="M1551" s="232"/>
      <c r="N1551" s="226"/>
      <c r="O1551" s="229"/>
      <c r="P1551" s="200"/>
    </row>
    <row r="1552" spans="1:16" ht="15.75" thickBot="1" x14ac:dyDescent="0.3">
      <c r="A1552" s="133"/>
      <c r="B1552" s="233"/>
      <c r="C1552" s="234"/>
      <c r="D1552" s="234"/>
      <c r="E1552" s="234"/>
      <c r="F1552" s="235"/>
      <c r="G1552" s="236"/>
      <c r="H1552" s="237">
        <f>+SUM(G1547:G1552)</f>
        <v>0</v>
      </c>
      <c r="I1552" s="133"/>
      <c r="J1552" s="233"/>
      <c r="K1552" s="234"/>
      <c r="L1552" s="234"/>
      <c r="M1552" s="234"/>
      <c r="N1552" s="235"/>
      <c r="O1552" s="236"/>
      <c r="P1552" s="237">
        <f>+SUM(O1547:O1552)</f>
        <v>0</v>
      </c>
    </row>
    <row r="1553" spans="1:24" ht="15.75" thickBot="1" x14ac:dyDescent="0.3">
      <c r="A1553" s="133"/>
      <c r="B1553" s="238"/>
      <c r="C1553" s="238"/>
      <c r="D1553" s="238"/>
      <c r="E1553" s="238"/>
      <c r="F1553" s="249"/>
      <c r="G1553" s="250"/>
      <c r="H1553" s="241"/>
      <c r="I1553" s="133"/>
      <c r="J1553" s="238"/>
      <c r="K1553" s="238"/>
      <c r="L1553" s="238"/>
      <c r="M1553" s="238"/>
      <c r="N1553" s="249"/>
      <c r="O1553" s="250"/>
      <c r="P1553" s="241"/>
    </row>
    <row r="1554" spans="1:24" ht="15.75" thickBot="1" x14ac:dyDescent="0.3">
      <c r="A1554" s="133"/>
      <c r="B1554" s="224" t="s">
        <v>5412</v>
      </c>
      <c r="C1554" s="193" t="s">
        <v>5420</v>
      </c>
      <c r="D1554" s="193" t="s">
        <v>5421</v>
      </c>
      <c r="E1554" s="193" t="s">
        <v>5413</v>
      </c>
      <c r="F1554" s="193" t="s">
        <v>5405</v>
      </c>
      <c r="G1554" s="225" t="s">
        <v>868</v>
      </c>
      <c r="H1554" s="200"/>
      <c r="I1554" s="133"/>
      <c r="J1554" s="224" t="s">
        <v>5412</v>
      </c>
      <c r="K1554" s="193" t="s">
        <v>5420</v>
      </c>
      <c r="L1554" s="193" t="s">
        <v>5421</v>
      </c>
      <c r="M1554" s="193" t="s">
        <v>5413</v>
      </c>
      <c r="N1554" s="193" t="s">
        <v>5405</v>
      </c>
      <c r="O1554" s="225" t="s">
        <v>868</v>
      </c>
      <c r="P1554" s="200"/>
    </row>
    <row r="1555" spans="1:24" x14ac:dyDescent="0.25">
      <c r="A1555" s="133"/>
      <c r="B1555" s="194" t="s">
        <v>5948</v>
      </c>
      <c r="C1555" s="345">
        <v>70000</v>
      </c>
      <c r="D1555" s="176">
        <f>+C1555*0.85</f>
        <v>59500</v>
      </c>
      <c r="E1555" s="176">
        <f>+C1555+D1555</f>
        <v>129500</v>
      </c>
      <c r="F1555" s="204">
        <v>500</v>
      </c>
      <c r="G1555" s="178">
        <f>+E1555/F1555</f>
        <v>259</v>
      </c>
      <c r="H1555" s="200"/>
      <c r="I1555" s="133"/>
      <c r="J1555" s="194" t="s">
        <v>5948</v>
      </c>
      <c r="K1555" s="345">
        <v>70000</v>
      </c>
      <c r="L1555" s="176">
        <f>+K1555*0.85</f>
        <v>59500</v>
      </c>
      <c r="M1555" s="175">
        <f>+K1555+L1555</f>
        <v>129500</v>
      </c>
      <c r="N1555" s="204">
        <v>500</v>
      </c>
      <c r="O1555" s="178">
        <f>+M1555/N1555</f>
        <v>259</v>
      </c>
      <c r="P1555" s="200"/>
    </row>
    <row r="1556" spans="1:24" x14ac:dyDescent="0.25">
      <c r="A1556" s="133"/>
      <c r="B1556" s="194" t="s">
        <v>5651</v>
      </c>
      <c r="C1556" s="345">
        <v>40000</v>
      </c>
      <c r="D1556" s="176">
        <f>+C1556*0.85</f>
        <v>34000</v>
      </c>
      <c r="E1556" s="176">
        <f>+C1556+D1556</f>
        <v>74000</v>
      </c>
      <c r="F1556" s="202">
        <v>7</v>
      </c>
      <c r="G1556" s="178">
        <f>+E1556/F1556</f>
        <v>10571.428571428571</v>
      </c>
      <c r="H1556" s="200"/>
      <c r="I1556" s="133"/>
      <c r="J1556" s="194" t="s">
        <v>5651</v>
      </c>
      <c r="K1556" s="345">
        <v>40000</v>
      </c>
      <c r="L1556" s="176">
        <f>+K1556*0.85</f>
        <v>34000</v>
      </c>
      <c r="M1556" s="175">
        <f>+K1556+L1556</f>
        <v>74000</v>
      </c>
      <c r="N1556" s="202">
        <v>6</v>
      </c>
      <c r="O1556" s="178">
        <f>+M1556/N1556</f>
        <v>12333.333333333334</v>
      </c>
      <c r="P1556" s="200"/>
    </row>
    <row r="1557" spans="1:24" x14ac:dyDescent="0.25">
      <c r="A1557" s="133"/>
      <c r="B1557" s="195" t="s">
        <v>5635</v>
      </c>
      <c r="C1557" s="345">
        <v>20600</v>
      </c>
      <c r="D1557" s="176">
        <f>+C1557*0.85</f>
        <v>17510</v>
      </c>
      <c r="E1557" s="176">
        <f>+C1557+D1557</f>
        <v>38110</v>
      </c>
      <c r="F1557" s="226">
        <v>5</v>
      </c>
      <c r="G1557" s="178">
        <f>+E1557/F1557</f>
        <v>7622</v>
      </c>
      <c r="H1557" s="200"/>
      <c r="I1557" s="133"/>
      <c r="J1557" s="195" t="s">
        <v>5635</v>
      </c>
      <c r="K1557" s="345">
        <v>20600</v>
      </c>
      <c r="L1557" s="176">
        <f>+K1557*0.85</f>
        <v>17510</v>
      </c>
      <c r="M1557" s="175">
        <f>+K1557+L1557</f>
        <v>38110</v>
      </c>
      <c r="N1557" s="226">
        <v>5</v>
      </c>
      <c r="O1557" s="178">
        <f>+M1557/N1557</f>
        <v>7622</v>
      </c>
      <c r="P1557" s="200"/>
    </row>
    <row r="1558" spans="1:24" x14ac:dyDescent="0.25">
      <c r="A1558" s="133"/>
      <c r="B1558" s="195"/>
      <c r="C1558" s="171"/>
      <c r="D1558" s="176"/>
      <c r="E1558" s="176"/>
      <c r="F1558" s="226"/>
      <c r="G1558" s="178"/>
      <c r="H1558" s="200"/>
      <c r="I1558" s="133"/>
      <c r="J1558" s="195"/>
      <c r="K1558" s="171"/>
      <c r="L1558" s="176"/>
      <c r="M1558" s="228"/>
      <c r="N1558" s="226"/>
      <c r="O1558" s="178"/>
      <c r="P1558" s="200"/>
    </row>
    <row r="1559" spans="1:24" x14ac:dyDescent="0.25">
      <c r="A1559" s="133"/>
      <c r="B1559" s="195"/>
      <c r="C1559" s="232"/>
      <c r="D1559" s="232"/>
      <c r="E1559" s="232"/>
      <c r="F1559" s="226"/>
      <c r="G1559" s="229"/>
      <c r="H1559" s="200"/>
      <c r="I1559" s="133"/>
      <c r="J1559" s="195"/>
      <c r="K1559" s="232"/>
      <c r="L1559" s="232"/>
      <c r="M1559" s="232"/>
      <c r="N1559" s="226"/>
      <c r="O1559" s="229"/>
      <c r="P1559" s="200"/>
    </row>
    <row r="1560" spans="1:24" ht="15.75" thickBot="1" x14ac:dyDescent="0.3">
      <c r="A1560" s="133"/>
      <c r="B1560" s="195"/>
      <c r="C1560" s="232"/>
      <c r="D1560" s="232"/>
      <c r="E1560" s="232"/>
      <c r="F1560" s="226"/>
      <c r="G1560" s="229"/>
      <c r="H1560" s="200"/>
      <c r="I1560" s="133"/>
      <c r="J1560" s="195"/>
      <c r="K1560" s="232"/>
      <c r="L1560" s="232"/>
      <c r="M1560" s="232"/>
      <c r="N1560" s="226"/>
      <c r="O1560" s="229"/>
      <c r="P1560" s="200"/>
    </row>
    <row r="1561" spans="1:24" ht="15.75" thickBot="1" x14ac:dyDescent="0.3">
      <c r="A1561" s="133"/>
      <c r="B1561" s="251"/>
      <c r="C1561" s="252"/>
      <c r="D1561" s="252"/>
      <c r="E1561" s="252"/>
      <c r="F1561" s="253"/>
      <c r="G1561" s="254"/>
      <c r="H1561" s="256">
        <f>+SUM(G1555:G1561)</f>
        <v>18452.428571428572</v>
      </c>
      <c r="I1561" s="133"/>
      <c r="J1561" s="251"/>
      <c r="K1561" s="252"/>
      <c r="L1561" s="252"/>
      <c r="M1561" s="252"/>
      <c r="N1561" s="253"/>
      <c r="O1561" s="254"/>
      <c r="P1561" s="256">
        <f>+SUM(O1555:O1561)</f>
        <v>20214.333333333336</v>
      </c>
    </row>
    <row r="1562" spans="1:24" ht="15.75" thickBot="1" x14ac:dyDescent="0.3">
      <c r="A1562" s="133"/>
      <c r="B1562" s="8"/>
      <c r="C1562" s="8"/>
      <c r="D1562" s="8"/>
      <c r="E1562" s="8"/>
      <c r="F1562" s="133"/>
      <c r="G1562" s="200"/>
      <c r="H1562" s="200"/>
      <c r="I1562" s="133"/>
      <c r="J1562" s="8"/>
      <c r="K1562" s="8"/>
      <c r="L1562" s="8"/>
      <c r="M1562" s="8"/>
      <c r="N1562" s="133"/>
      <c r="O1562" s="200"/>
      <c r="P1562" s="200"/>
    </row>
    <row r="1563" spans="1:24" ht="15.75" thickBot="1" x14ac:dyDescent="0.3">
      <c r="A1563" s="133"/>
      <c r="B1563" s="8"/>
      <c r="C1563" s="8"/>
      <c r="D1563" s="8"/>
      <c r="E1563" s="223" t="s">
        <v>5415</v>
      </c>
      <c r="F1563" s="133"/>
      <c r="G1563" s="200"/>
      <c r="H1563" s="256">
        <f>ROUND(+H1561+H1552+H1544+H1529,0)</f>
        <v>41671</v>
      </c>
      <c r="I1563" s="133"/>
      <c r="J1563" s="8"/>
      <c r="K1563" s="8"/>
      <c r="L1563" s="8"/>
      <c r="M1563" s="223" t="s">
        <v>5415</v>
      </c>
      <c r="N1563" s="133"/>
      <c r="O1563" s="200"/>
      <c r="P1563" s="256">
        <f>ROUND(+P1561+P1552+P1544+P1529,0)</f>
        <v>48370</v>
      </c>
    </row>
    <row r="1568" spans="1:24" ht="18.75" x14ac:dyDescent="0.25">
      <c r="A1568" s="133"/>
      <c r="B1568" s="2506" t="s">
        <v>5400</v>
      </c>
      <c r="C1568" s="2506"/>
      <c r="D1568" s="2506"/>
      <c r="E1568" s="2506"/>
      <c r="F1568" s="2506"/>
      <c r="G1568" s="2506"/>
      <c r="H1568" s="8"/>
      <c r="J1568" s="2506" t="s">
        <v>5400</v>
      </c>
      <c r="K1568" s="2506"/>
      <c r="L1568" s="2506"/>
      <c r="M1568" s="2506"/>
      <c r="N1568" s="2506"/>
      <c r="O1568" s="2506"/>
      <c r="P1568" s="2506"/>
      <c r="R1568" s="2506" t="s">
        <v>5400</v>
      </c>
      <c r="S1568" s="2506"/>
      <c r="T1568" s="2506"/>
      <c r="U1568" s="2506"/>
      <c r="V1568" s="2506"/>
      <c r="W1568" s="2506"/>
      <c r="X1568" s="454"/>
    </row>
    <row r="1569" spans="1:24" x14ac:dyDescent="0.25">
      <c r="A1569" s="133"/>
      <c r="B1569" s="8"/>
      <c r="C1569" s="8"/>
      <c r="D1569" s="8"/>
      <c r="E1569" s="8"/>
      <c r="F1569" s="133"/>
      <c r="G1569" s="200"/>
      <c r="H1569" s="200"/>
    </row>
    <row r="1570" spans="1:24" x14ac:dyDescent="0.25">
      <c r="A1570" s="133"/>
      <c r="B1570" s="8"/>
      <c r="C1570" s="8"/>
      <c r="D1570" s="8"/>
      <c r="E1570" s="8"/>
      <c r="F1570" s="133"/>
      <c r="G1570" s="200"/>
      <c r="H1570" s="200"/>
    </row>
    <row r="1571" spans="1:24" x14ac:dyDescent="0.25">
      <c r="A1571" s="133"/>
      <c r="B1571" s="8"/>
      <c r="C1571" s="8"/>
      <c r="D1571" s="8"/>
      <c r="E1571" s="8"/>
      <c r="F1571" s="133"/>
      <c r="G1571" s="200"/>
      <c r="H1571" s="200"/>
    </row>
    <row r="1572" spans="1:24" ht="15" customHeight="1" x14ac:dyDescent="0.25">
      <c r="A1572" s="220" t="s">
        <v>5482</v>
      </c>
      <c r="B1572" s="221" t="s">
        <v>397</v>
      </c>
      <c r="C1572" s="2449" t="s">
        <v>5899</v>
      </c>
      <c r="D1572" s="2449"/>
      <c r="E1572" s="2449"/>
      <c r="F1572" s="220" t="s">
        <v>867</v>
      </c>
      <c r="G1572" s="222" t="s">
        <v>5424</v>
      </c>
      <c r="H1572" s="200"/>
      <c r="I1572" s="220" t="s">
        <v>5482</v>
      </c>
      <c r="J1572" s="221" t="s">
        <v>397</v>
      </c>
      <c r="K1572" s="2449" t="s">
        <v>5900</v>
      </c>
      <c r="L1572" s="2449"/>
      <c r="M1572" s="2449"/>
      <c r="N1572" s="220" t="s">
        <v>867</v>
      </c>
      <c r="O1572" s="222" t="s">
        <v>5424</v>
      </c>
      <c r="P1572" s="200"/>
      <c r="Q1572" s="220" t="s">
        <v>5482</v>
      </c>
      <c r="R1572" s="221" t="s">
        <v>397</v>
      </c>
      <c r="S1572" s="2449" t="s">
        <v>5901</v>
      </c>
      <c r="T1572" s="2449"/>
      <c r="U1572" s="2449"/>
      <c r="V1572" s="220" t="s">
        <v>867</v>
      </c>
      <c r="W1572" s="222" t="s">
        <v>5424</v>
      </c>
      <c r="X1572" s="200"/>
    </row>
    <row r="1573" spans="1:24" x14ac:dyDescent="0.25">
      <c r="A1573" s="133"/>
      <c r="B1573" s="8"/>
      <c r="C1573" s="223"/>
      <c r="D1573" s="223"/>
      <c r="E1573" s="223"/>
      <c r="F1573" s="133"/>
      <c r="G1573" s="200"/>
      <c r="H1573" s="200"/>
      <c r="I1573" s="133"/>
      <c r="J1573" s="8"/>
      <c r="K1573" s="223"/>
      <c r="L1573" s="223"/>
      <c r="M1573" s="223"/>
      <c r="N1573" s="133"/>
      <c r="O1573" s="200"/>
      <c r="P1573" s="200"/>
      <c r="Q1573" s="133"/>
      <c r="R1573" s="8"/>
      <c r="S1573" s="223"/>
      <c r="T1573" s="223"/>
      <c r="U1573" s="223"/>
      <c r="V1573" s="133"/>
      <c r="W1573" s="200"/>
      <c r="X1573" s="200"/>
    </row>
    <row r="1574" spans="1:24" x14ac:dyDescent="0.25">
      <c r="A1574" s="133"/>
      <c r="B1574" s="8"/>
      <c r="C1574" s="8"/>
      <c r="D1574" s="8"/>
      <c r="E1574" s="8"/>
      <c r="F1574" s="8"/>
      <c r="G1574" s="8"/>
      <c r="H1574" s="200"/>
      <c r="I1574" s="133"/>
      <c r="J1574" s="8"/>
      <c r="K1574" s="8"/>
      <c r="L1574" s="8"/>
      <c r="M1574" s="8"/>
      <c r="N1574" s="8"/>
      <c r="O1574" s="8"/>
      <c r="P1574" s="200"/>
      <c r="Q1574" s="133"/>
      <c r="R1574" s="8"/>
      <c r="S1574" s="8"/>
      <c r="T1574" s="8"/>
      <c r="U1574" s="8"/>
      <c r="V1574" s="8"/>
      <c r="W1574" s="8"/>
      <c r="X1574" s="200"/>
    </row>
    <row r="1575" spans="1:24" ht="15.75" thickBot="1" x14ac:dyDescent="0.3">
      <c r="A1575" s="133"/>
      <c r="B1575" s="8"/>
      <c r="C1575" s="8"/>
      <c r="D1575" s="8"/>
      <c r="E1575" s="8"/>
      <c r="F1575" s="133"/>
      <c r="G1575" s="200"/>
      <c r="H1575" s="200"/>
      <c r="I1575" s="133"/>
      <c r="J1575" s="8"/>
      <c r="K1575" s="8"/>
      <c r="L1575" s="8"/>
      <c r="M1575" s="8"/>
      <c r="N1575" s="133"/>
      <c r="O1575" s="200"/>
      <c r="P1575" s="200"/>
      <c r="Q1575" s="133"/>
      <c r="R1575" s="8"/>
      <c r="S1575" s="8"/>
      <c r="T1575" s="8"/>
      <c r="U1575" s="8"/>
      <c r="V1575" s="133"/>
      <c r="W1575" s="200"/>
      <c r="X1575" s="200"/>
    </row>
    <row r="1576" spans="1:24" ht="15.75" thickBot="1" x14ac:dyDescent="0.3">
      <c r="A1576" s="133"/>
      <c r="B1576" s="224" t="s">
        <v>5403</v>
      </c>
      <c r="C1576" s="193" t="s">
        <v>867</v>
      </c>
      <c r="D1576" s="193" t="s">
        <v>6</v>
      </c>
      <c r="E1576" s="193" t="s">
        <v>5439</v>
      </c>
      <c r="F1576" s="193" t="s">
        <v>5405</v>
      </c>
      <c r="G1576" s="225" t="s">
        <v>868</v>
      </c>
      <c r="H1576" s="200"/>
      <c r="I1576" s="133"/>
      <c r="J1576" s="224" t="s">
        <v>5403</v>
      </c>
      <c r="K1576" s="193" t="s">
        <v>867</v>
      </c>
      <c r="L1576" s="193" t="s">
        <v>6</v>
      </c>
      <c r="M1576" s="193" t="s">
        <v>5439</v>
      </c>
      <c r="N1576" s="193" t="s">
        <v>5405</v>
      </c>
      <c r="O1576" s="225" t="s">
        <v>868</v>
      </c>
      <c r="P1576" s="200"/>
      <c r="Q1576" s="133"/>
      <c r="R1576" s="224" t="s">
        <v>5403</v>
      </c>
      <c r="S1576" s="193" t="s">
        <v>867</v>
      </c>
      <c r="T1576" s="193" t="s">
        <v>6</v>
      </c>
      <c r="U1576" s="193" t="s">
        <v>5439</v>
      </c>
      <c r="V1576" s="193" t="s">
        <v>5405</v>
      </c>
      <c r="W1576" s="225" t="s">
        <v>868</v>
      </c>
      <c r="X1576" s="200"/>
    </row>
    <row r="1577" spans="1:24" x14ac:dyDescent="0.25">
      <c r="A1577" s="133"/>
      <c r="B1577" s="195" t="s">
        <v>5440</v>
      </c>
      <c r="C1577" s="226" t="s">
        <v>5402</v>
      </c>
      <c r="D1577" s="226">
        <v>1</v>
      </c>
      <c r="E1577" s="227">
        <f>+H1615</f>
        <v>7640.5</v>
      </c>
      <c r="F1577" s="226">
        <v>0.1</v>
      </c>
      <c r="G1577" s="229">
        <f>+E1577*F1577</f>
        <v>764.05000000000007</v>
      </c>
      <c r="H1577" s="200"/>
      <c r="I1577" s="133"/>
      <c r="J1577" s="195" t="s">
        <v>5440</v>
      </c>
      <c r="K1577" s="226" t="s">
        <v>5402</v>
      </c>
      <c r="L1577" s="226">
        <v>1</v>
      </c>
      <c r="M1577" s="228">
        <f>+P1615</f>
        <v>8063.9444444444443</v>
      </c>
      <c r="N1577" s="226">
        <v>0.1</v>
      </c>
      <c r="O1577" s="229">
        <f>+M1577*N1577</f>
        <v>806.3944444444445</v>
      </c>
      <c r="P1577" s="200"/>
      <c r="Q1577" s="133"/>
      <c r="R1577" s="195" t="s">
        <v>5440</v>
      </c>
      <c r="S1577" s="226" t="s">
        <v>5402</v>
      </c>
      <c r="T1577" s="226">
        <v>1</v>
      </c>
      <c r="U1577" s="228">
        <f>+X1615</f>
        <v>8593.25</v>
      </c>
      <c r="V1577" s="226">
        <v>0.1</v>
      </c>
      <c r="W1577" s="229">
        <f>+U1577*V1577</f>
        <v>859.32500000000005</v>
      </c>
      <c r="X1577" s="200"/>
    </row>
    <row r="1578" spans="1:24" x14ac:dyDescent="0.25">
      <c r="A1578" s="133"/>
      <c r="B1578" s="195"/>
      <c r="C1578" s="226"/>
      <c r="D1578" s="226"/>
      <c r="E1578" s="230"/>
      <c r="F1578" s="226"/>
      <c r="G1578" s="229">
        <f>+E1578*F1578</f>
        <v>0</v>
      </c>
      <c r="H1578" s="200"/>
      <c r="I1578" s="133"/>
      <c r="J1578" s="195"/>
      <c r="K1578" s="226"/>
      <c r="L1578" s="226"/>
      <c r="M1578" s="228"/>
      <c r="N1578" s="226"/>
      <c r="O1578" s="229"/>
      <c r="P1578" s="200"/>
      <c r="Q1578" s="133"/>
      <c r="R1578" s="195"/>
      <c r="S1578" s="226"/>
      <c r="T1578" s="226"/>
      <c r="U1578" s="228"/>
      <c r="V1578" s="226"/>
      <c r="W1578" s="229"/>
      <c r="X1578" s="200"/>
    </row>
    <row r="1579" spans="1:24" x14ac:dyDescent="0.25">
      <c r="A1579" s="133"/>
      <c r="B1579" s="195"/>
      <c r="C1579" s="226"/>
      <c r="D1579" s="226"/>
      <c r="E1579" s="176"/>
      <c r="F1579" s="226"/>
      <c r="G1579" s="229"/>
      <c r="H1579" s="200"/>
      <c r="I1579" s="133"/>
      <c r="J1579" s="195"/>
      <c r="K1579" s="226"/>
      <c r="L1579" s="226"/>
      <c r="M1579" s="228"/>
      <c r="N1579" s="226"/>
      <c r="O1579" s="229"/>
      <c r="P1579" s="200"/>
      <c r="Q1579" s="133"/>
      <c r="R1579" s="195"/>
      <c r="S1579" s="226"/>
      <c r="T1579" s="226"/>
      <c r="U1579" s="228"/>
      <c r="V1579" s="226"/>
      <c r="W1579" s="229"/>
      <c r="X1579" s="200"/>
    </row>
    <row r="1580" spans="1:24" x14ac:dyDescent="0.25">
      <c r="A1580" s="133"/>
      <c r="B1580" s="195"/>
      <c r="C1580" s="226"/>
      <c r="D1580" s="226"/>
      <c r="E1580" s="171"/>
      <c r="F1580" s="226"/>
      <c r="G1580" s="231"/>
      <c r="H1580" s="200"/>
      <c r="I1580" s="133"/>
      <c r="J1580" s="195"/>
      <c r="K1580" s="226"/>
      <c r="L1580" s="226"/>
      <c r="M1580" s="171"/>
      <c r="N1580" s="226"/>
      <c r="O1580" s="231"/>
      <c r="P1580" s="200"/>
      <c r="Q1580" s="133"/>
      <c r="R1580" s="195"/>
      <c r="S1580" s="226"/>
      <c r="T1580" s="226"/>
      <c r="U1580" s="171"/>
      <c r="V1580" s="226"/>
      <c r="W1580" s="231"/>
      <c r="X1580" s="200"/>
    </row>
    <row r="1581" spans="1:24" x14ac:dyDescent="0.25">
      <c r="A1581" s="133"/>
      <c r="B1581" s="195"/>
      <c r="C1581" s="226"/>
      <c r="D1581" s="232"/>
      <c r="E1581" s="232"/>
      <c r="F1581" s="226"/>
      <c r="G1581" s="229"/>
      <c r="H1581" s="200"/>
      <c r="I1581" s="133"/>
      <c r="J1581" s="195"/>
      <c r="K1581" s="226"/>
      <c r="L1581" s="232"/>
      <c r="M1581" s="232"/>
      <c r="N1581" s="226"/>
      <c r="O1581" s="229"/>
      <c r="P1581" s="200"/>
      <c r="Q1581" s="133"/>
      <c r="R1581" s="195"/>
      <c r="S1581" s="226"/>
      <c r="T1581" s="232"/>
      <c r="U1581" s="232"/>
      <c r="V1581" s="226"/>
      <c r="W1581" s="229"/>
      <c r="X1581" s="200"/>
    </row>
    <row r="1582" spans="1:24" ht="15.75" thickBot="1" x14ac:dyDescent="0.3">
      <c r="A1582" s="133"/>
      <c r="B1582" s="195"/>
      <c r="C1582" s="226"/>
      <c r="D1582" s="232"/>
      <c r="E1582" s="232"/>
      <c r="F1582" s="226"/>
      <c r="G1582" s="229"/>
      <c r="H1582" s="200"/>
      <c r="I1582" s="133"/>
      <c r="J1582" s="195"/>
      <c r="K1582" s="226"/>
      <c r="L1582" s="232"/>
      <c r="M1582" s="232"/>
      <c r="N1582" s="226"/>
      <c r="O1582" s="229"/>
      <c r="P1582" s="200"/>
      <c r="Q1582" s="133"/>
      <c r="R1582" s="195"/>
      <c r="S1582" s="226"/>
      <c r="T1582" s="232"/>
      <c r="U1582" s="232"/>
      <c r="V1582" s="226"/>
      <c r="W1582" s="229"/>
      <c r="X1582" s="200"/>
    </row>
    <row r="1583" spans="1:24" ht="15.75" thickBot="1" x14ac:dyDescent="0.3">
      <c r="A1583" s="133"/>
      <c r="B1583" s="233"/>
      <c r="C1583" s="234"/>
      <c r="D1583" s="234"/>
      <c r="E1583" s="234"/>
      <c r="F1583" s="235"/>
      <c r="G1583" s="236"/>
      <c r="H1583" s="237">
        <f>+SUM(G1577:G1583)</f>
        <v>764.05000000000007</v>
      </c>
      <c r="I1583" s="133"/>
      <c r="J1583" s="233"/>
      <c r="K1583" s="234"/>
      <c r="L1583" s="234"/>
      <c r="M1583" s="234"/>
      <c r="N1583" s="235"/>
      <c r="O1583" s="236"/>
      <c r="P1583" s="237">
        <f>+SUM(O1577:O1583)</f>
        <v>806.3944444444445</v>
      </c>
      <c r="Q1583" s="133"/>
      <c r="R1583" s="233"/>
      <c r="S1583" s="234"/>
      <c r="T1583" s="234"/>
      <c r="U1583" s="234"/>
      <c r="V1583" s="235"/>
      <c r="W1583" s="236"/>
      <c r="X1583" s="237">
        <f>+SUM(W1577:W1583)</f>
        <v>859.32500000000005</v>
      </c>
    </row>
    <row r="1584" spans="1:24" ht="15.75" thickBot="1" x14ac:dyDescent="0.3">
      <c r="A1584" s="133"/>
      <c r="B1584" s="238"/>
      <c r="C1584" s="238"/>
      <c r="D1584" s="238"/>
      <c r="E1584" s="238"/>
      <c r="F1584" s="239"/>
      <c r="G1584" s="240"/>
      <c r="H1584" s="241"/>
      <c r="I1584" s="133"/>
      <c r="J1584" s="238"/>
      <c r="K1584" s="238"/>
      <c r="L1584" s="238"/>
      <c r="M1584" s="238"/>
      <c r="N1584" s="239"/>
      <c r="O1584" s="240"/>
      <c r="P1584" s="241"/>
      <c r="Q1584" s="133"/>
      <c r="R1584" s="238"/>
      <c r="S1584" s="238"/>
      <c r="T1584" s="238"/>
      <c r="U1584" s="238"/>
      <c r="V1584" s="239"/>
      <c r="W1584" s="240"/>
      <c r="X1584" s="241"/>
    </row>
    <row r="1585" spans="1:24" ht="15.75" thickBot="1" x14ac:dyDescent="0.3">
      <c r="A1585" s="133"/>
      <c r="B1585" s="224" t="s">
        <v>5408</v>
      </c>
      <c r="C1585" s="193" t="s">
        <v>867</v>
      </c>
      <c r="D1585" s="193" t="s">
        <v>6</v>
      </c>
      <c r="E1585" s="193" t="s">
        <v>870</v>
      </c>
      <c r="F1585" s="193" t="s">
        <v>5409</v>
      </c>
      <c r="G1585" s="225" t="s">
        <v>868</v>
      </c>
      <c r="H1585" s="200"/>
      <c r="I1585" s="133"/>
      <c r="J1585" s="224" t="s">
        <v>5408</v>
      </c>
      <c r="K1585" s="193" t="s">
        <v>867</v>
      </c>
      <c r="L1585" s="193" t="s">
        <v>6</v>
      </c>
      <c r="M1585" s="193" t="s">
        <v>870</v>
      </c>
      <c r="N1585" s="193" t="s">
        <v>5409</v>
      </c>
      <c r="O1585" s="225" t="s">
        <v>868</v>
      </c>
      <c r="P1585" s="200"/>
      <c r="Q1585" s="133"/>
      <c r="R1585" s="224" t="s">
        <v>5408</v>
      </c>
      <c r="S1585" s="193" t="s">
        <v>867</v>
      </c>
      <c r="T1585" s="193" t="s">
        <v>6</v>
      </c>
      <c r="U1585" s="193" t="s">
        <v>870</v>
      </c>
      <c r="V1585" s="193" t="s">
        <v>5409</v>
      </c>
      <c r="W1585" s="225" t="s">
        <v>868</v>
      </c>
      <c r="X1585" s="200"/>
    </row>
    <row r="1586" spans="1:24" x14ac:dyDescent="0.25">
      <c r="A1586" s="133"/>
      <c r="B1586" s="295"/>
      <c r="C1586" s="202"/>
      <c r="D1586" s="226"/>
      <c r="E1586" s="244"/>
      <c r="F1586" s="169"/>
      <c r="G1586" s="178">
        <f>+D1586*E1586*(1+F1586)</f>
        <v>0</v>
      </c>
      <c r="H1586" s="200"/>
      <c r="I1586" s="133"/>
      <c r="J1586" s="295"/>
      <c r="K1586" s="202"/>
      <c r="L1586" s="226"/>
      <c r="M1586" s="228"/>
      <c r="N1586" s="169"/>
      <c r="O1586" s="178"/>
      <c r="P1586" s="200"/>
      <c r="Q1586" s="133"/>
      <c r="R1586" s="295"/>
      <c r="S1586" s="202"/>
      <c r="T1586" s="226"/>
      <c r="U1586" s="228"/>
      <c r="V1586" s="169"/>
      <c r="W1586" s="178"/>
      <c r="X1586" s="200"/>
    </row>
    <row r="1587" spans="1:24" x14ac:dyDescent="0.25">
      <c r="A1587" s="133"/>
      <c r="B1587" s="450"/>
      <c r="C1587" s="202"/>
      <c r="D1587" s="202"/>
      <c r="E1587" s="257"/>
      <c r="F1587" s="169"/>
      <c r="G1587" s="178">
        <f>+D1587*E1587*(1+F1587)</f>
        <v>0</v>
      </c>
      <c r="H1587" s="200"/>
      <c r="I1587" s="133"/>
      <c r="J1587" s="450"/>
      <c r="K1587" s="202"/>
      <c r="L1587" s="202"/>
      <c r="M1587" s="228"/>
      <c r="N1587" s="169"/>
      <c r="O1587" s="178"/>
      <c r="P1587" s="200"/>
      <c r="Q1587" s="133"/>
      <c r="R1587" s="450"/>
      <c r="S1587" s="202"/>
      <c r="T1587" s="202"/>
      <c r="U1587" s="228"/>
      <c r="V1587" s="169"/>
      <c r="W1587" s="178"/>
      <c r="X1587" s="200"/>
    </row>
    <row r="1588" spans="1:24" x14ac:dyDescent="0.25">
      <c r="A1588" s="133"/>
      <c r="B1588" s="247"/>
      <c r="C1588" s="226"/>
      <c r="D1588" s="226"/>
      <c r="E1588" s="244"/>
      <c r="F1588" s="169"/>
      <c r="G1588" s="178">
        <f>+D1588*E1588*(1+F1588)</f>
        <v>0</v>
      </c>
      <c r="H1588" s="200"/>
      <c r="I1588" s="133"/>
      <c r="J1588" s="247"/>
      <c r="K1588" s="226"/>
      <c r="L1588" s="226"/>
      <c r="M1588" s="228"/>
      <c r="N1588" s="169"/>
      <c r="O1588" s="178"/>
      <c r="P1588" s="200"/>
      <c r="Q1588" s="133"/>
      <c r="R1588" s="247"/>
      <c r="S1588" s="226"/>
      <c r="T1588" s="226"/>
      <c r="U1588" s="228"/>
      <c r="V1588" s="169"/>
      <c r="W1588" s="178"/>
      <c r="X1588" s="200"/>
    </row>
    <row r="1589" spans="1:24" x14ac:dyDescent="0.25">
      <c r="A1589" s="133"/>
      <c r="B1589" s="194"/>
      <c r="C1589" s="226"/>
      <c r="D1589" s="226"/>
      <c r="E1589" s="171"/>
      <c r="F1589" s="169"/>
      <c r="G1589" s="178">
        <f>+D1589*E1589*(1+F1589)</f>
        <v>0</v>
      </c>
      <c r="H1589" s="200"/>
      <c r="I1589" s="133"/>
      <c r="J1589" s="194"/>
      <c r="K1589" s="226"/>
      <c r="L1589" s="226"/>
      <c r="M1589" s="228"/>
      <c r="N1589" s="169"/>
      <c r="O1589" s="178"/>
      <c r="P1589" s="200"/>
      <c r="Q1589" s="133"/>
      <c r="R1589" s="194"/>
      <c r="S1589" s="226"/>
      <c r="T1589" s="226"/>
      <c r="U1589" s="228"/>
      <c r="V1589" s="169"/>
      <c r="W1589" s="178"/>
      <c r="X1589" s="200"/>
    </row>
    <row r="1590" spans="1:24" x14ac:dyDescent="0.25">
      <c r="A1590" s="133"/>
      <c r="B1590" s="195"/>
      <c r="C1590" s="226"/>
      <c r="D1590" s="226"/>
      <c r="E1590" s="171"/>
      <c r="F1590" s="169"/>
      <c r="G1590" s="178"/>
      <c r="H1590" s="200"/>
      <c r="I1590" s="133"/>
      <c r="J1590" s="195"/>
      <c r="K1590" s="226"/>
      <c r="L1590" s="226"/>
      <c r="M1590" s="176"/>
      <c r="N1590" s="169"/>
      <c r="O1590" s="178"/>
      <c r="P1590" s="200"/>
      <c r="Q1590" s="133"/>
      <c r="R1590" s="195"/>
      <c r="S1590" s="226"/>
      <c r="T1590" s="226"/>
      <c r="U1590" s="176"/>
      <c r="V1590" s="169"/>
      <c r="W1590" s="178"/>
      <c r="X1590" s="200"/>
    </row>
    <row r="1591" spans="1:24" x14ac:dyDescent="0.25">
      <c r="A1591" s="133"/>
      <c r="B1591" s="194"/>
      <c r="C1591" s="202"/>
      <c r="D1591" s="202"/>
      <c r="E1591" s="171"/>
      <c r="F1591" s="169"/>
      <c r="G1591" s="178"/>
      <c r="H1591" s="200"/>
      <c r="I1591" s="133"/>
      <c r="J1591" s="194"/>
      <c r="K1591" s="202"/>
      <c r="L1591" s="202"/>
      <c r="M1591" s="176"/>
      <c r="N1591" s="169"/>
      <c r="O1591" s="178"/>
      <c r="P1591" s="200"/>
      <c r="Q1591" s="133"/>
      <c r="R1591" s="194"/>
      <c r="S1591" s="202"/>
      <c r="T1591" s="202"/>
      <c r="U1591" s="176"/>
      <c r="V1591" s="169"/>
      <c r="W1591" s="178"/>
      <c r="X1591" s="200"/>
    </row>
    <row r="1592" spans="1:24" x14ac:dyDescent="0.25">
      <c r="A1592" s="133"/>
      <c r="B1592" s="195"/>
      <c r="C1592" s="226"/>
      <c r="D1592" s="226"/>
      <c r="E1592" s="171"/>
      <c r="F1592" s="169"/>
      <c r="G1592" s="178"/>
      <c r="H1592" s="200"/>
      <c r="I1592" s="133"/>
      <c r="J1592" s="195"/>
      <c r="K1592" s="226"/>
      <c r="L1592" s="226"/>
      <c r="M1592" s="176"/>
      <c r="N1592" s="169"/>
      <c r="O1592" s="178"/>
      <c r="P1592" s="200"/>
      <c r="Q1592" s="133"/>
      <c r="R1592" s="195"/>
      <c r="S1592" s="226"/>
      <c r="T1592" s="226"/>
      <c r="U1592" s="176"/>
      <c r="V1592" s="169"/>
      <c r="W1592" s="178"/>
      <c r="X1592" s="200"/>
    </row>
    <row r="1593" spans="1:24" x14ac:dyDescent="0.25">
      <c r="A1593" s="133"/>
      <c r="B1593" s="195"/>
      <c r="C1593" s="226"/>
      <c r="D1593" s="226"/>
      <c r="E1593" s="171"/>
      <c r="F1593" s="169"/>
      <c r="G1593" s="178"/>
      <c r="H1593" s="200"/>
      <c r="I1593" s="133"/>
      <c r="J1593" s="195"/>
      <c r="K1593" s="226"/>
      <c r="L1593" s="226"/>
      <c r="M1593" s="176"/>
      <c r="N1593" s="169"/>
      <c r="O1593" s="178"/>
      <c r="P1593" s="200"/>
      <c r="Q1593" s="133"/>
      <c r="R1593" s="195"/>
      <c r="S1593" s="226"/>
      <c r="T1593" s="226"/>
      <c r="U1593" s="176"/>
      <c r="V1593" s="169"/>
      <c r="W1593" s="178"/>
      <c r="X1593" s="200"/>
    </row>
    <row r="1594" spans="1:24" x14ac:dyDescent="0.25">
      <c r="A1594" s="133"/>
      <c r="B1594" s="195"/>
      <c r="C1594" s="232"/>
      <c r="D1594" s="232"/>
      <c r="E1594" s="232"/>
      <c r="F1594" s="226"/>
      <c r="G1594" s="229"/>
      <c r="H1594" s="200"/>
      <c r="I1594" s="133"/>
      <c r="J1594" s="195"/>
      <c r="K1594" s="232"/>
      <c r="L1594" s="232"/>
      <c r="M1594" s="232"/>
      <c r="N1594" s="226"/>
      <c r="O1594" s="229"/>
      <c r="P1594" s="200"/>
      <c r="Q1594" s="133"/>
      <c r="R1594" s="195"/>
      <c r="S1594" s="232"/>
      <c r="T1594" s="232"/>
      <c r="U1594" s="232"/>
      <c r="V1594" s="226"/>
      <c r="W1594" s="229"/>
      <c r="X1594" s="200"/>
    </row>
    <row r="1595" spans="1:24" x14ac:dyDescent="0.25">
      <c r="A1595" s="133"/>
      <c r="B1595" s="195"/>
      <c r="C1595" s="232"/>
      <c r="D1595" s="232"/>
      <c r="E1595" s="232"/>
      <c r="F1595" s="226"/>
      <c r="G1595" s="229"/>
      <c r="H1595" s="200"/>
      <c r="I1595" s="133"/>
      <c r="J1595" s="195"/>
      <c r="K1595" s="232"/>
      <c r="L1595" s="232"/>
      <c r="M1595" s="232"/>
      <c r="N1595" s="226"/>
      <c r="O1595" s="229"/>
      <c r="P1595" s="200"/>
      <c r="Q1595" s="133"/>
      <c r="R1595" s="195"/>
      <c r="S1595" s="232"/>
      <c r="T1595" s="232"/>
      <c r="U1595" s="232"/>
      <c r="V1595" s="226"/>
      <c r="W1595" s="229"/>
      <c r="X1595" s="200"/>
    </row>
    <row r="1596" spans="1:24" x14ac:dyDescent="0.25">
      <c r="A1596" s="133"/>
      <c r="B1596" s="195"/>
      <c r="C1596" s="232"/>
      <c r="D1596" s="232"/>
      <c r="E1596" s="232"/>
      <c r="F1596" s="226"/>
      <c r="G1596" s="229"/>
      <c r="H1596" s="200"/>
      <c r="I1596" s="133"/>
      <c r="J1596" s="195"/>
      <c r="K1596" s="232"/>
      <c r="L1596" s="232"/>
      <c r="M1596" s="232"/>
      <c r="N1596" s="226"/>
      <c r="O1596" s="229"/>
      <c r="P1596" s="200"/>
      <c r="Q1596" s="133"/>
      <c r="R1596" s="195"/>
      <c r="S1596" s="232"/>
      <c r="T1596" s="232"/>
      <c r="U1596" s="232"/>
      <c r="V1596" s="226"/>
      <c r="W1596" s="229"/>
      <c r="X1596" s="200"/>
    </row>
    <row r="1597" spans="1:24" ht="15.75" thickBot="1" x14ac:dyDescent="0.3">
      <c r="A1597" s="133"/>
      <c r="B1597" s="195"/>
      <c r="C1597" s="232"/>
      <c r="D1597" s="232"/>
      <c r="E1597" s="232"/>
      <c r="F1597" s="226"/>
      <c r="G1597" s="229"/>
      <c r="H1597" s="200"/>
      <c r="I1597" s="133"/>
      <c r="J1597" s="195"/>
      <c r="K1597" s="232"/>
      <c r="L1597" s="232"/>
      <c r="M1597" s="232"/>
      <c r="N1597" s="226"/>
      <c r="O1597" s="229"/>
      <c r="P1597" s="200"/>
      <c r="Q1597" s="133"/>
      <c r="R1597" s="195"/>
      <c r="S1597" s="232"/>
      <c r="T1597" s="232"/>
      <c r="U1597" s="232"/>
      <c r="V1597" s="226"/>
      <c r="W1597" s="229"/>
      <c r="X1597" s="200"/>
    </row>
    <row r="1598" spans="1:24" ht="15.75" thickBot="1" x14ac:dyDescent="0.3">
      <c r="A1598" s="133"/>
      <c r="B1598" s="233"/>
      <c r="C1598" s="234"/>
      <c r="D1598" s="234"/>
      <c r="E1598" s="234"/>
      <c r="F1598" s="235"/>
      <c r="G1598" s="236"/>
      <c r="H1598" s="256">
        <f>+SUM(G1586:G1598)</f>
        <v>0</v>
      </c>
      <c r="I1598" s="133"/>
      <c r="J1598" s="233"/>
      <c r="K1598" s="234"/>
      <c r="L1598" s="234"/>
      <c r="M1598" s="234"/>
      <c r="N1598" s="235"/>
      <c r="O1598" s="236"/>
      <c r="P1598" s="256">
        <f>+SUM(O1586:O1598)</f>
        <v>0</v>
      </c>
      <c r="Q1598" s="133"/>
      <c r="R1598" s="233"/>
      <c r="S1598" s="234"/>
      <c r="T1598" s="234"/>
      <c r="U1598" s="234"/>
      <c r="V1598" s="235"/>
      <c r="W1598" s="236"/>
      <c r="X1598" s="256">
        <f>+SUM(W1586:W1598)</f>
        <v>0</v>
      </c>
    </row>
    <row r="1599" spans="1:24" ht="15.75" thickBot="1" x14ac:dyDescent="0.3">
      <c r="A1599" s="133"/>
      <c r="B1599" s="238"/>
      <c r="C1599" s="238"/>
      <c r="D1599" s="238"/>
      <c r="E1599" s="238"/>
      <c r="F1599" s="239"/>
      <c r="G1599" s="240"/>
      <c r="H1599" s="241"/>
      <c r="I1599" s="133"/>
      <c r="J1599" s="238"/>
      <c r="K1599" s="238"/>
      <c r="L1599" s="238"/>
      <c r="M1599" s="238"/>
      <c r="N1599" s="239"/>
      <c r="O1599" s="240"/>
      <c r="P1599" s="241"/>
      <c r="Q1599" s="133"/>
      <c r="R1599" s="238"/>
      <c r="S1599" s="238"/>
      <c r="T1599" s="238"/>
      <c r="U1599" s="238"/>
      <c r="V1599" s="239"/>
      <c r="W1599" s="240"/>
      <c r="X1599" s="241"/>
    </row>
    <row r="1600" spans="1:24" ht="15.75" thickBot="1" x14ac:dyDescent="0.3">
      <c r="A1600" s="133"/>
      <c r="B1600" s="224" t="s">
        <v>5410</v>
      </c>
      <c r="C1600" s="193" t="s">
        <v>867</v>
      </c>
      <c r="D1600" s="193" t="s">
        <v>6</v>
      </c>
      <c r="E1600" s="193" t="s">
        <v>870</v>
      </c>
      <c r="F1600" s="193" t="s">
        <v>5411</v>
      </c>
      <c r="G1600" s="225" t="s">
        <v>868</v>
      </c>
      <c r="H1600" s="200"/>
      <c r="I1600" s="133"/>
      <c r="J1600" s="224" t="s">
        <v>5410</v>
      </c>
      <c r="K1600" s="193" t="s">
        <v>867</v>
      </c>
      <c r="L1600" s="193" t="s">
        <v>6</v>
      </c>
      <c r="M1600" s="193" t="s">
        <v>870</v>
      </c>
      <c r="N1600" s="193" t="s">
        <v>5411</v>
      </c>
      <c r="O1600" s="225" t="s">
        <v>868</v>
      </c>
      <c r="P1600" s="200"/>
      <c r="Q1600" s="133"/>
      <c r="R1600" s="224" t="s">
        <v>5410</v>
      </c>
      <c r="S1600" s="193" t="s">
        <v>867</v>
      </c>
      <c r="T1600" s="193" t="s">
        <v>6</v>
      </c>
      <c r="U1600" s="193" t="s">
        <v>870</v>
      </c>
      <c r="V1600" s="193" t="s">
        <v>5411</v>
      </c>
      <c r="W1600" s="225" t="s">
        <v>868</v>
      </c>
      <c r="X1600" s="200"/>
    </row>
    <row r="1601" spans="1:24" x14ac:dyDescent="0.25">
      <c r="A1601" s="133"/>
      <c r="B1601" s="245"/>
      <c r="C1601" s="202"/>
      <c r="D1601" s="202"/>
      <c r="E1601" s="175"/>
      <c r="F1601" s="202"/>
      <c r="G1601" s="203"/>
      <c r="H1601" s="246"/>
      <c r="I1601" s="133"/>
      <c r="J1601" s="245"/>
      <c r="K1601" s="202"/>
      <c r="L1601" s="202"/>
      <c r="M1601" s="175"/>
      <c r="N1601" s="202"/>
      <c r="O1601" s="203"/>
      <c r="P1601" s="246"/>
      <c r="Q1601" s="133"/>
      <c r="R1601" s="245"/>
      <c r="S1601" s="202"/>
      <c r="T1601" s="202"/>
      <c r="U1601" s="175"/>
      <c r="V1601" s="202"/>
      <c r="W1601" s="203"/>
      <c r="X1601" s="246"/>
    </row>
    <row r="1602" spans="1:24" x14ac:dyDescent="0.25">
      <c r="A1602" s="133"/>
      <c r="B1602" s="247"/>
      <c r="C1602" s="248"/>
      <c r="D1602" s="248"/>
      <c r="E1602" s="248"/>
      <c r="F1602" s="202"/>
      <c r="G1602" s="178"/>
      <c r="H1602" s="200"/>
      <c r="I1602" s="133"/>
      <c r="J1602" s="247"/>
      <c r="K1602" s="248"/>
      <c r="L1602" s="248"/>
      <c r="M1602" s="248"/>
      <c r="N1602" s="202"/>
      <c r="O1602" s="178"/>
      <c r="P1602" s="200"/>
      <c r="Q1602" s="133"/>
      <c r="R1602" s="247"/>
      <c r="S1602" s="248"/>
      <c r="T1602" s="248"/>
      <c r="U1602" s="248"/>
      <c r="V1602" s="202"/>
      <c r="W1602" s="178"/>
      <c r="X1602" s="200"/>
    </row>
    <row r="1603" spans="1:24" x14ac:dyDescent="0.25">
      <c r="A1603" s="133"/>
      <c r="B1603" s="247"/>
      <c r="C1603" s="232"/>
      <c r="D1603" s="232"/>
      <c r="E1603" s="232"/>
      <c r="F1603" s="226"/>
      <c r="G1603" s="229"/>
      <c r="H1603" s="200"/>
      <c r="I1603" s="133"/>
      <c r="J1603" s="247"/>
      <c r="K1603" s="232"/>
      <c r="L1603" s="232"/>
      <c r="M1603" s="232"/>
      <c r="N1603" s="226"/>
      <c r="O1603" s="229"/>
      <c r="P1603" s="200"/>
      <c r="Q1603" s="133"/>
      <c r="R1603" s="247"/>
      <c r="S1603" s="232"/>
      <c r="T1603" s="232"/>
      <c r="U1603" s="232"/>
      <c r="V1603" s="226"/>
      <c r="W1603" s="229"/>
      <c r="X1603" s="200"/>
    </row>
    <row r="1604" spans="1:24" x14ac:dyDescent="0.25">
      <c r="A1604" s="133"/>
      <c r="B1604" s="194"/>
      <c r="C1604" s="232"/>
      <c r="D1604" s="232"/>
      <c r="E1604" s="232"/>
      <c r="F1604" s="226"/>
      <c r="G1604" s="229"/>
      <c r="H1604" s="200"/>
      <c r="I1604" s="133"/>
      <c r="J1604" s="194"/>
      <c r="K1604" s="232"/>
      <c r="L1604" s="232"/>
      <c r="M1604" s="232"/>
      <c r="N1604" s="226"/>
      <c r="O1604" s="229"/>
      <c r="P1604" s="200"/>
      <c r="Q1604" s="133"/>
      <c r="R1604" s="194"/>
      <c r="S1604" s="232"/>
      <c r="T1604" s="232"/>
      <c r="U1604" s="232"/>
      <c r="V1604" s="226"/>
      <c r="W1604" s="229"/>
      <c r="X1604" s="200"/>
    </row>
    <row r="1605" spans="1:24" ht="15.75" thickBot="1" x14ac:dyDescent="0.3">
      <c r="A1605" s="133"/>
      <c r="B1605" s="195"/>
      <c r="C1605" s="232"/>
      <c r="D1605" s="232"/>
      <c r="E1605" s="232"/>
      <c r="F1605" s="226"/>
      <c r="G1605" s="229"/>
      <c r="H1605" s="200"/>
      <c r="I1605" s="133"/>
      <c r="J1605" s="195"/>
      <c r="K1605" s="232"/>
      <c r="L1605" s="232"/>
      <c r="M1605" s="232"/>
      <c r="N1605" s="226"/>
      <c r="O1605" s="229"/>
      <c r="P1605" s="200"/>
      <c r="Q1605" s="133"/>
      <c r="R1605" s="195"/>
      <c r="S1605" s="232"/>
      <c r="T1605" s="232"/>
      <c r="U1605" s="232"/>
      <c r="V1605" s="226"/>
      <c r="W1605" s="229"/>
      <c r="X1605" s="200"/>
    </row>
    <row r="1606" spans="1:24" ht="15.75" thickBot="1" x14ac:dyDescent="0.3">
      <c r="A1606" s="133"/>
      <c r="B1606" s="233"/>
      <c r="C1606" s="234"/>
      <c r="D1606" s="234"/>
      <c r="E1606" s="234"/>
      <c r="F1606" s="235"/>
      <c r="G1606" s="236"/>
      <c r="H1606" s="237">
        <f>+SUM(G1601:G1606)</f>
        <v>0</v>
      </c>
      <c r="I1606" s="133"/>
      <c r="J1606" s="233"/>
      <c r="K1606" s="234"/>
      <c r="L1606" s="234"/>
      <c r="M1606" s="234"/>
      <c r="N1606" s="235"/>
      <c r="O1606" s="236"/>
      <c r="P1606" s="237">
        <f>+SUM(O1601:O1606)</f>
        <v>0</v>
      </c>
      <c r="Q1606" s="133"/>
      <c r="R1606" s="233"/>
      <c r="S1606" s="234"/>
      <c r="T1606" s="234"/>
      <c r="U1606" s="234"/>
      <c r="V1606" s="235"/>
      <c r="W1606" s="236"/>
      <c r="X1606" s="237">
        <f>+SUM(W1601:W1606)</f>
        <v>0</v>
      </c>
    </row>
    <row r="1607" spans="1:24" ht="15.75" thickBot="1" x14ac:dyDescent="0.3">
      <c r="A1607" s="133"/>
      <c r="B1607" s="238"/>
      <c r="C1607" s="238"/>
      <c r="D1607" s="238"/>
      <c r="E1607" s="238"/>
      <c r="F1607" s="249"/>
      <c r="G1607" s="250"/>
      <c r="H1607" s="241"/>
      <c r="I1607" s="133"/>
      <c r="J1607" s="238"/>
      <c r="K1607" s="238"/>
      <c r="L1607" s="238"/>
      <c r="M1607" s="238"/>
      <c r="N1607" s="249"/>
      <c r="O1607" s="250"/>
      <c r="P1607" s="241"/>
      <c r="Q1607" s="133"/>
      <c r="R1607" s="238"/>
      <c r="S1607" s="238"/>
      <c r="T1607" s="238"/>
      <c r="U1607" s="238"/>
      <c r="V1607" s="249"/>
      <c r="W1607" s="250"/>
      <c r="X1607" s="241"/>
    </row>
    <row r="1608" spans="1:24" ht="15.75" thickBot="1" x14ac:dyDescent="0.3">
      <c r="A1608" s="133"/>
      <c r="B1608" s="224" t="s">
        <v>5412</v>
      </c>
      <c r="C1608" s="193" t="s">
        <v>5420</v>
      </c>
      <c r="D1608" s="193" t="s">
        <v>5421</v>
      </c>
      <c r="E1608" s="193" t="s">
        <v>5413</v>
      </c>
      <c r="F1608" s="193" t="s">
        <v>5405</v>
      </c>
      <c r="G1608" s="225" t="s">
        <v>868</v>
      </c>
      <c r="H1608" s="200"/>
      <c r="I1608" s="133"/>
      <c r="J1608" s="224" t="s">
        <v>5412</v>
      </c>
      <c r="K1608" s="193" t="s">
        <v>5420</v>
      </c>
      <c r="L1608" s="193" t="s">
        <v>5421</v>
      </c>
      <c r="M1608" s="193" t="s">
        <v>5413</v>
      </c>
      <c r="N1608" s="193" t="s">
        <v>5405</v>
      </c>
      <c r="O1608" s="225" t="s">
        <v>868</v>
      </c>
      <c r="P1608" s="200"/>
      <c r="Q1608" s="133"/>
      <c r="R1608" s="224" t="s">
        <v>5412</v>
      </c>
      <c r="S1608" s="193" t="s">
        <v>5420</v>
      </c>
      <c r="T1608" s="193" t="s">
        <v>5421</v>
      </c>
      <c r="U1608" s="193" t="s">
        <v>5413</v>
      </c>
      <c r="V1608" s="193" t="s">
        <v>5405</v>
      </c>
      <c r="W1608" s="225" t="s">
        <v>868</v>
      </c>
      <c r="X1608" s="200"/>
    </row>
    <row r="1609" spans="1:24" x14ac:dyDescent="0.25">
      <c r="A1609" s="133"/>
      <c r="B1609" s="194" t="s">
        <v>5948</v>
      </c>
      <c r="C1609" s="345">
        <v>70000</v>
      </c>
      <c r="D1609" s="176">
        <f>+C1609*0.85</f>
        <v>59500</v>
      </c>
      <c r="E1609" s="176">
        <f>+C1609+D1609</f>
        <v>129500</v>
      </c>
      <c r="F1609" s="204">
        <v>1000</v>
      </c>
      <c r="G1609" s="178">
        <f>+E1609/F1609</f>
        <v>129.5</v>
      </c>
      <c r="H1609" s="200"/>
      <c r="I1609" s="133"/>
      <c r="J1609" s="194" t="s">
        <v>5948</v>
      </c>
      <c r="K1609" s="345">
        <v>70000</v>
      </c>
      <c r="L1609" s="176">
        <f>+K1609*0.85</f>
        <v>59500</v>
      </c>
      <c r="M1609" s="175">
        <f>+K1609+L1609</f>
        <v>129500</v>
      </c>
      <c r="N1609" s="204">
        <v>1000</v>
      </c>
      <c r="O1609" s="178">
        <f>+M1609/N1609</f>
        <v>129.5</v>
      </c>
      <c r="P1609" s="200"/>
      <c r="Q1609" s="133"/>
      <c r="R1609" s="194" t="s">
        <v>5948</v>
      </c>
      <c r="S1609" s="345">
        <v>70000</v>
      </c>
      <c r="T1609" s="176">
        <f>+S1609*0.85</f>
        <v>59500</v>
      </c>
      <c r="U1609" s="175">
        <f>+S1609+T1609</f>
        <v>129500</v>
      </c>
      <c r="V1609" s="204">
        <v>1000</v>
      </c>
      <c r="W1609" s="178">
        <f>+U1609/V1609</f>
        <v>129.5</v>
      </c>
      <c r="X1609" s="200"/>
    </row>
    <row r="1610" spans="1:24" x14ac:dyDescent="0.25">
      <c r="A1610" s="133"/>
      <c r="B1610" s="194" t="s">
        <v>5651</v>
      </c>
      <c r="C1610" s="345">
        <v>40000</v>
      </c>
      <c r="D1610" s="176">
        <f>+C1610*0.85</f>
        <v>34000</v>
      </c>
      <c r="E1610" s="176">
        <f>+C1610+D1610</f>
        <v>74000</v>
      </c>
      <c r="F1610" s="202">
        <v>20</v>
      </c>
      <c r="G1610" s="178">
        <f>+E1610/F1610</f>
        <v>3700</v>
      </c>
      <c r="H1610" s="200"/>
      <c r="I1610" s="133"/>
      <c r="J1610" s="194" t="s">
        <v>5651</v>
      </c>
      <c r="K1610" s="345">
        <v>40000</v>
      </c>
      <c r="L1610" s="176">
        <f>+K1610*0.85</f>
        <v>34000</v>
      </c>
      <c r="M1610" s="175">
        <f>+K1610+L1610</f>
        <v>74000</v>
      </c>
      <c r="N1610" s="202">
        <v>20</v>
      </c>
      <c r="O1610" s="178">
        <f>+M1610/N1610</f>
        <v>3700</v>
      </c>
      <c r="P1610" s="200"/>
      <c r="Q1610" s="133"/>
      <c r="R1610" s="194" t="s">
        <v>5651</v>
      </c>
      <c r="S1610" s="345">
        <v>40000</v>
      </c>
      <c r="T1610" s="176">
        <f>+S1610*0.85</f>
        <v>34000</v>
      </c>
      <c r="U1610" s="175">
        <f>+S1610+T1610</f>
        <v>74000</v>
      </c>
      <c r="V1610" s="202">
        <v>20</v>
      </c>
      <c r="W1610" s="178">
        <f>+U1610/V1610</f>
        <v>3700</v>
      </c>
      <c r="X1610" s="200"/>
    </row>
    <row r="1611" spans="1:24" x14ac:dyDescent="0.25">
      <c r="A1611" s="133"/>
      <c r="B1611" s="195" t="s">
        <v>5635</v>
      </c>
      <c r="C1611" s="345">
        <v>20600</v>
      </c>
      <c r="D1611" s="176">
        <f>+C1611*0.85</f>
        <v>17510</v>
      </c>
      <c r="E1611" s="176">
        <f>+C1611+D1611</f>
        <v>38110</v>
      </c>
      <c r="F1611" s="226">
        <v>10</v>
      </c>
      <c r="G1611" s="178">
        <f>+E1611/F1611</f>
        <v>3811</v>
      </c>
      <c r="H1611" s="200"/>
      <c r="I1611" s="133"/>
      <c r="J1611" s="195" t="s">
        <v>5635</v>
      </c>
      <c r="K1611" s="345">
        <v>20600</v>
      </c>
      <c r="L1611" s="176">
        <f>+K1611*0.85</f>
        <v>17510</v>
      </c>
      <c r="M1611" s="175">
        <f>+K1611+L1611</f>
        <v>38110</v>
      </c>
      <c r="N1611" s="226">
        <v>9</v>
      </c>
      <c r="O1611" s="178">
        <f>+M1611/N1611</f>
        <v>4234.4444444444443</v>
      </c>
      <c r="P1611" s="200"/>
      <c r="Q1611" s="133"/>
      <c r="R1611" s="195" t="s">
        <v>5635</v>
      </c>
      <c r="S1611" s="345">
        <v>20600</v>
      </c>
      <c r="T1611" s="176">
        <f>+S1611*0.85</f>
        <v>17510</v>
      </c>
      <c r="U1611" s="175">
        <f>+S1611+T1611</f>
        <v>38110</v>
      </c>
      <c r="V1611" s="226">
        <v>8</v>
      </c>
      <c r="W1611" s="178">
        <f>+U1611/V1611</f>
        <v>4763.75</v>
      </c>
      <c r="X1611" s="200"/>
    </row>
    <row r="1612" spans="1:24" x14ac:dyDescent="0.25">
      <c r="A1612" s="133"/>
      <c r="B1612" s="195"/>
      <c r="C1612" s="171"/>
      <c r="D1612" s="176"/>
      <c r="E1612" s="176"/>
      <c r="F1612" s="226"/>
      <c r="G1612" s="178"/>
      <c r="H1612" s="200"/>
      <c r="I1612" s="133"/>
      <c r="J1612" s="195"/>
      <c r="K1612" s="171"/>
      <c r="L1612" s="176"/>
      <c r="M1612" s="228"/>
      <c r="N1612" s="226"/>
      <c r="O1612" s="178"/>
      <c r="P1612" s="200"/>
      <c r="Q1612" s="133"/>
      <c r="R1612" s="195"/>
      <c r="S1612" s="171"/>
      <c r="T1612" s="176"/>
      <c r="U1612" s="228"/>
      <c r="V1612" s="226"/>
      <c r="W1612" s="178"/>
      <c r="X1612" s="200"/>
    </row>
    <row r="1613" spans="1:24" x14ac:dyDescent="0.25">
      <c r="A1613" s="133"/>
      <c r="B1613" s="195"/>
      <c r="C1613" s="232"/>
      <c r="D1613" s="232"/>
      <c r="E1613" s="232"/>
      <c r="F1613" s="226"/>
      <c r="G1613" s="229"/>
      <c r="H1613" s="200"/>
      <c r="I1613" s="133"/>
      <c r="J1613" s="195"/>
      <c r="K1613" s="232"/>
      <c r="L1613" s="232"/>
      <c r="M1613" s="232"/>
      <c r="N1613" s="226"/>
      <c r="O1613" s="229"/>
      <c r="P1613" s="200"/>
      <c r="Q1613" s="133"/>
      <c r="R1613" s="195"/>
      <c r="S1613" s="232"/>
      <c r="T1613" s="232"/>
      <c r="U1613" s="232"/>
      <c r="V1613" s="226"/>
      <c r="W1613" s="229"/>
      <c r="X1613" s="200"/>
    </row>
    <row r="1614" spans="1:24" ht="15.75" thickBot="1" x14ac:dyDescent="0.3">
      <c r="A1614" s="133"/>
      <c r="B1614" s="195"/>
      <c r="C1614" s="232"/>
      <c r="D1614" s="232"/>
      <c r="E1614" s="232"/>
      <c r="F1614" s="226"/>
      <c r="G1614" s="229"/>
      <c r="H1614" s="200"/>
      <c r="I1614" s="133"/>
      <c r="J1614" s="195"/>
      <c r="K1614" s="232"/>
      <c r="L1614" s="232"/>
      <c r="M1614" s="232"/>
      <c r="N1614" s="226"/>
      <c r="O1614" s="229"/>
      <c r="P1614" s="200"/>
      <c r="Q1614" s="133"/>
      <c r="R1614" s="195"/>
      <c r="S1614" s="232"/>
      <c r="T1614" s="232"/>
      <c r="U1614" s="232"/>
      <c r="V1614" s="226"/>
      <c r="W1614" s="229"/>
      <c r="X1614" s="200"/>
    </row>
    <row r="1615" spans="1:24" ht="15.75" thickBot="1" x14ac:dyDescent="0.3">
      <c r="A1615" s="133"/>
      <c r="B1615" s="251"/>
      <c r="C1615" s="252"/>
      <c r="D1615" s="252"/>
      <c r="E1615" s="252"/>
      <c r="F1615" s="253"/>
      <c r="G1615" s="254"/>
      <c r="H1615" s="256">
        <f>+SUM(G1609:G1615)</f>
        <v>7640.5</v>
      </c>
      <c r="I1615" s="133"/>
      <c r="J1615" s="251"/>
      <c r="K1615" s="252"/>
      <c r="L1615" s="252"/>
      <c r="M1615" s="252"/>
      <c r="N1615" s="253"/>
      <c r="O1615" s="254"/>
      <c r="P1615" s="256">
        <f>+SUM(O1609:O1615)</f>
        <v>8063.9444444444443</v>
      </c>
      <c r="Q1615" s="133"/>
      <c r="R1615" s="251"/>
      <c r="S1615" s="252"/>
      <c r="T1615" s="252"/>
      <c r="U1615" s="252"/>
      <c r="V1615" s="253"/>
      <c r="W1615" s="254"/>
      <c r="X1615" s="256">
        <f>+SUM(W1609:W1615)</f>
        <v>8593.25</v>
      </c>
    </row>
    <row r="1616" spans="1:24" ht="15.75" thickBot="1" x14ac:dyDescent="0.3">
      <c r="A1616" s="133"/>
      <c r="B1616" s="8"/>
      <c r="C1616" s="8"/>
      <c r="D1616" s="8"/>
      <c r="E1616" s="8"/>
      <c r="F1616" s="133"/>
      <c r="G1616" s="200"/>
      <c r="H1616" s="200"/>
      <c r="I1616" s="133"/>
      <c r="J1616" s="8"/>
      <c r="K1616" s="8"/>
      <c r="L1616" s="8"/>
      <c r="M1616" s="8"/>
      <c r="N1616" s="133"/>
      <c r="O1616" s="200"/>
      <c r="P1616" s="200"/>
      <c r="Q1616" s="133"/>
      <c r="R1616" s="8"/>
      <c r="S1616" s="8"/>
      <c r="T1616" s="8"/>
      <c r="U1616" s="8"/>
      <c r="V1616" s="133"/>
      <c r="W1616" s="200"/>
      <c r="X1616" s="200"/>
    </row>
    <row r="1617" spans="1:26" ht="15.75" thickBot="1" x14ac:dyDescent="0.3">
      <c r="A1617" s="133"/>
      <c r="B1617" s="8"/>
      <c r="C1617" s="8"/>
      <c r="D1617" s="8"/>
      <c r="E1617" s="223" t="s">
        <v>5415</v>
      </c>
      <c r="F1617" s="133"/>
      <c r="G1617" s="200"/>
      <c r="H1617" s="256">
        <f>ROUND(+H1615+H1606+H1598+H1583,0)</f>
        <v>8405</v>
      </c>
      <c r="I1617" s="133"/>
      <c r="J1617" s="8"/>
      <c r="K1617" s="8"/>
      <c r="L1617" s="8"/>
      <c r="M1617" s="223" t="s">
        <v>5415</v>
      </c>
      <c r="N1617" s="223"/>
      <c r="O1617" s="200"/>
      <c r="P1617" s="256">
        <f>ROUND(+P1615+P1606+P1598+P1583,0)</f>
        <v>8870</v>
      </c>
      <c r="Q1617" s="133"/>
      <c r="R1617" s="8"/>
      <c r="S1617" s="8"/>
      <c r="T1617" s="8"/>
      <c r="U1617" s="223" t="s">
        <v>5415</v>
      </c>
      <c r="V1617" s="223"/>
      <c r="W1617" s="200"/>
      <c r="X1617" s="256">
        <f>ROUND(+X1615+X1606+X1598+X1583,0)</f>
        <v>9453</v>
      </c>
    </row>
    <row r="1622" spans="1:26" ht="18.75" x14ac:dyDescent="0.25">
      <c r="A1622" s="133"/>
      <c r="B1622" s="2506" t="s">
        <v>5400</v>
      </c>
      <c r="C1622" s="2506"/>
      <c r="D1622" s="2506"/>
      <c r="E1622" s="2506"/>
      <c r="F1622" s="2506"/>
      <c r="G1622" s="2506"/>
      <c r="H1622" s="8"/>
      <c r="I1622" s="133"/>
      <c r="J1622" s="2506" t="s">
        <v>5400</v>
      </c>
      <c r="K1622" s="2506"/>
      <c r="L1622" s="2506"/>
      <c r="M1622" s="2506"/>
      <c r="N1622" s="2506"/>
      <c r="O1622" s="2506"/>
      <c r="P1622" s="2506"/>
      <c r="Q1622" s="8"/>
      <c r="R1622" s="2506" t="s">
        <v>5400</v>
      </c>
      <c r="S1622" s="2506"/>
      <c r="T1622" s="2506"/>
      <c r="U1622" s="2506"/>
      <c r="V1622" s="2506"/>
      <c r="W1622" s="2506"/>
      <c r="X1622" s="454"/>
      <c r="Y1622" s="454"/>
      <c r="Z1622" s="8"/>
    </row>
    <row r="1623" spans="1:26" x14ac:dyDescent="0.25">
      <c r="A1623" s="133"/>
      <c r="B1623" s="8"/>
      <c r="C1623" s="8"/>
      <c r="D1623" s="8"/>
      <c r="E1623" s="8"/>
      <c r="F1623" s="133"/>
      <c r="G1623" s="200"/>
      <c r="H1623" s="200"/>
      <c r="I1623" s="133"/>
      <c r="J1623" s="8"/>
      <c r="K1623" s="8"/>
      <c r="L1623" s="8"/>
      <c r="M1623" s="8"/>
      <c r="N1623" s="8"/>
      <c r="O1623" s="133"/>
      <c r="P1623" s="200"/>
      <c r="Q1623" s="200"/>
      <c r="R1623" s="133"/>
      <c r="S1623" s="8"/>
      <c r="T1623" s="8"/>
      <c r="U1623" s="8"/>
      <c r="V1623" s="8"/>
      <c r="W1623" s="133"/>
      <c r="X1623" s="200"/>
      <c r="Y1623" s="200"/>
    </row>
    <row r="1624" spans="1:26" x14ac:dyDescent="0.25">
      <c r="A1624" s="133"/>
      <c r="B1624" s="8"/>
      <c r="C1624" s="8"/>
      <c r="D1624" s="8"/>
      <c r="E1624" s="8"/>
      <c r="F1624" s="133"/>
      <c r="G1624" s="200"/>
      <c r="H1624" s="200"/>
      <c r="I1624" s="133"/>
      <c r="J1624" s="8"/>
      <c r="K1624" s="8"/>
      <c r="L1624" s="8"/>
      <c r="M1624" s="8"/>
      <c r="N1624" s="133"/>
      <c r="O1624" s="200"/>
      <c r="P1624" s="200"/>
      <c r="Q1624" s="133"/>
      <c r="R1624" s="8"/>
      <c r="S1624" s="8"/>
      <c r="T1624" s="8"/>
      <c r="U1624" s="8"/>
      <c r="V1624" s="133"/>
      <c r="W1624" s="200"/>
      <c r="X1624" s="200"/>
    </row>
    <row r="1625" spans="1:26" x14ac:dyDescent="0.25">
      <c r="A1625" s="133"/>
      <c r="B1625" s="8"/>
      <c r="C1625" s="8"/>
      <c r="D1625" s="8"/>
      <c r="E1625" s="8"/>
      <c r="F1625" s="133"/>
      <c r="G1625" s="200"/>
      <c r="H1625" s="200"/>
      <c r="I1625" s="133"/>
      <c r="J1625" s="8"/>
      <c r="K1625" s="8"/>
      <c r="L1625" s="8"/>
      <c r="M1625" s="8"/>
      <c r="N1625" s="133"/>
      <c r="O1625" s="200"/>
      <c r="P1625" s="200"/>
      <c r="Q1625" s="133"/>
      <c r="R1625" s="8"/>
      <c r="S1625" s="8"/>
      <c r="T1625" s="8"/>
      <c r="U1625" s="8"/>
      <c r="V1625" s="133"/>
      <c r="W1625" s="200"/>
      <c r="X1625" s="200"/>
    </row>
    <row r="1626" spans="1:26" ht="24.95" customHeight="1" x14ac:dyDescent="0.25">
      <c r="A1626" s="220" t="s">
        <v>5482</v>
      </c>
      <c r="B1626" s="221" t="s">
        <v>398</v>
      </c>
      <c r="C1626" s="2449" t="s">
        <v>5902</v>
      </c>
      <c r="D1626" s="2449"/>
      <c r="E1626" s="2449"/>
      <c r="F1626" s="220" t="s">
        <v>867</v>
      </c>
      <c r="G1626" s="222" t="s">
        <v>5424</v>
      </c>
      <c r="H1626" s="200"/>
      <c r="I1626" s="220" t="s">
        <v>5482</v>
      </c>
      <c r="J1626" s="221" t="s">
        <v>398</v>
      </c>
      <c r="K1626" s="2449" t="s">
        <v>5903</v>
      </c>
      <c r="L1626" s="2449"/>
      <c r="M1626" s="2449"/>
      <c r="N1626" s="220" t="s">
        <v>867</v>
      </c>
      <c r="O1626" s="222" t="s">
        <v>5424</v>
      </c>
      <c r="P1626" s="200"/>
      <c r="Q1626" s="220" t="s">
        <v>5482</v>
      </c>
      <c r="R1626" s="221" t="s">
        <v>398</v>
      </c>
      <c r="S1626" s="2449" t="s">
        <v>5904</v>
      </c>
      <c r="T1626" s="2449"/>
      <c r="U1626" s="2449"/>
      <c r="V1626" s="220" t="s">
        <v>867</v>
      </c>
      <c r="W1626" s="222" t="s">
        <v>5424</v>
      </c>
      <c r="X1626" s="200"/>
    </row>
    <row r="1627" spans="1:26" x14ac:dyDescent="0.25">
      <c r="A1627" s="133"/>
      <c r="B1627" s="8"/>
      <c r="C1627" s="223"/>
      <c r="D1627" s="223"/>
      <c r="E1627" s="223"/>
      <c r="F1627" s="133"/>
      <c r="G1627" s="200"/>
      <c r="H1627" s="200"/>
      <c r="I1627" s="133"/>
      <c r="J1627" s="8"/>
      <c r="K1627" s="223"/>
      <c r="L1627" s="223"/>
      <c r="M1627" s="223"/>
      <c r="N1627" s="133"/>
      <c r="O1627" s="200"/>
      <c r="P1627" s="200"/>
      <c r="Q1627" s="133"/>
      <c r="R1627" s="8"/>
      <c r="S1627" s="223"/>
      <c r="T1627" s="223"/>
      <c r="U1627" s="223"/>
      <c r="V1627" s="133"/>
      <c r="W1627" s="200"/>
      <c r="X1627" s="200"/>
    </row>
    <row r="1628" spans="1:26" x14ac:dyDescent="0.25">
      <c r="A1628" s="133"/>
      <c r="B1628" s="8"/>
      <c r="C1628" s="8"/>
      <c r="D1628" s="8"/>
      <c r="E1628" s="8"/>
      <c r="F1628" s="8"/>
      <c r="G1628" s="8"/>
      <c r="H1628" s="200"/>
      <c r="I1628" s="133"/>
      <c r="J1628" s="8"/>
      <c r="K1628" s="8"/>
      <c r="L1628" s="8"/>
      <c r="M1628" s="8"/>
      <c r="N1628" s="8"/>
      <c r="O1628" s="8"/>
      <c r="P1628" s="200"/>
      <c r="Q1628" s="133"/>
      <c r="R1628" s="8"/>
      <c r="S1628" s="8"/>
      <c r="T1628" s="8"/>
      <c r="U1628" s="8"/>
      <c r="V1628" s="8"/>
      <c r="W1628" s="8"/>
      <c r="X1628" s="200"/>
    </row>
    <row r="1629" spans="1:26" ht="15.75" thickBot="1" x14ac:dyDescent="0.3">
      <c r="A1629" s="133"/>
      <c r="B1629" s="8"/>
      <c r="C1629" s="8"/>
      <c r="D1629" s="8"/>
      <c r="E1629" s="8"/>
      <c r="F1629" s="133"/>
      <c r="G1629" s="200"/>
      <c r="H1629" s="200"/>
      <c r="I1629" s="133"/>
      <c r="J1629" s="8"/>
      <c r="K1629" s="8"/>
      <c r="L1629" s="8"/>
      <c r="M1629" s="8"/>
      <c r="N1629" s="133"/>
      <c r="O1629" s="200"/>
      <c r="P1629" s="200"/>
      <c r="Q1629" s="133"/>
      <c r="R1629" s="8"/>
      <c r="S1629" s="8"/>
      <c r="T1629" s="8"/>
      <c r="U1629" s="8"/>
      <c r="V1629" s="133"/>
      <c r="W1629" s="200"/>
      <c r="X1629" s="200"/>
    </row>
    <row r="1630" spans="1:26" ht="15.75" thickBot="1" x14ac:dyDescent="0.3">
      <c r="A1630" s="133"/>
      <c r="B1630" s="224" t="s">
        <v>5403</v>
      </c>
      <c r="C1630" s="193" t="s">
        <v>867</v>
      </c>
      <c r="D1630" s="193" t="s">
        <v>6</v>
      </c>
      <c r="E1630" s="193" t="s">
        <v>5439</v>
      </c>
      <c r="F1630" s="193" t="s">
        <v>5405</v>
      </c>
      <c r="G1630" s="225" t="s">
        <v>868</v>
      </c>
      <c r="H1630" s="200"/>
      <c r="I1630" s="133"/>
      <c r="J1630" s="224" t="s">
        <v>5403</v>
      </c>
      <c r="K1630" s="193" t="s">
        <v>867</v>
      </c>
      <c r="L1630" s="193" t="s">
        <v>6</v>
      </c>
      <c r="M1630" s="193" t="s">
        <v>5439</v>
      </c>
      <c r="N1630" s="193" t="s">
        <v>5405</v>
      </c>
      <c r="O1630" s="225" t="s">
        <v>868</v>
      </c>
      <c r="P1630" s="200"/>
      <c r="Q1630" s="133"/>
      <c r="R1630" s="224" t="s">
        <v>5403</v>
      </c>
      <c r="S1630" s="193" t="s">
        <v>867</v>
      </c>
      <c r="T1630" s="193" t="s">
        <v>6</v>
      </c>
      <c r="U1630" s="193" t="s">
        <v>5439</v>
      </c>
      <c r="V1630" s="193" t="s">
        <v>5405</v>
      </c>
      <c r="W1630" s="225" t="s">
        <v>868</v>
      </c>
      <c r="X1630" s="200"/>
    </row>
    <row r="1631" spans="1:26" x14ac:dyDescent="0.25">
      <c r="A1631" s="133"/>
      <c r="B1631" s="195" t="s">
        <v>5440</v>
      </c>
      <c r="C1631" s="226" t="s">
        <v>5402</v>
      </c>
      <c r="D1631" s="226">
        <v>1</v>
      </c>
      <c r="E1631" s="227">
        <f>+H1669</f>
        <v>12647.833333333334</v>
      </c>
      <c r="F1631" s="226">
        <v>0.1</v>
      </c>
      <c r="G1631" s="229">
        <f>+E1631*F1631</f>
        <v>1264.7833333333335</v>
      </c>
      <c r="H1631" s="200"/>
      <c r="I1631" s="133"/>
      <c r="J1631" s="195" t="s">
        <v>5440</v>
      </c>
      <c r="K1631" s="226" t="s">
        <v>5402</v>
      </c>
      <c r="L1631" s="226">
        <v>1</v>
      </c>
      <c r="M1631" s="228">
        <f>+P1669</f>
        <v>13918.166666666668</v>
      </c>
      <c r="N1631" s="226">
        <v>0.1</v>
      </c>
      <c r="O1631" s="229">
        <f>+M1631*N1631</f>
        <v>1391.8166666666668</v>
      </c>
      <c r="P1631" s="200"/>
      <c r="Q1631" s="133"/>
      <c r="R1631" s="195" t="s">
        <v>5440</v>
      </c>
      <c r="S1631" s="226" t="s">
        <v>5402</v>
      </c>
      <c r="T1631" s="226">
        <v>1</v>
      </c>
      <c r="U1631" s="228">
        <f>+X1669</f>
        <v>15823.666666666668</v>
      </c>
      <c r="V1631" s="226">
        <v>0.1</v>
      </c>
      <c r="W1631" s="229">
        <f>+U1631*V1631</f>
        <v>1582.3666666666668</v>
      </c>
      <c r="X1631" s="200"/>
    </row>
    <row r="1632" spans="1:26" x14ac:dyDescent="0.25">
      <c r="A1632" s="133"/>
      <c r="B1632" s="195" t="s">
        <v>6063</v>
      </c>
      <c r="C1632" s="226" t="s">
        <v>5424</v>
      </c>
      <c r="D1632" s="226">
        <v>1</v>
      </c>
      <c r="E1632" s="176">
        <v>120000</v>
      </c>
      <c r="F1632" s="226">
        <v>24</v>
      </c>
      <c r="G1632" s="229">
        <f>+E1632/F1632</f>
        <v>5000</v>
      </c>
      <c r="H1632" s="200"/>
      <c r="I1632" s="133"/>
      <c r="J1632" s="195" t="s">
        <v>6063</v>
      </c>
      <c r="K1632" s="226" t="s">
        <v>5424</v>
      </c>
      <c r="L1632" s="226">
        <v>1</v>
      </c>
      <c r="M1632" s="176">
        <v>120000</v>
      </c>
      <c r="N1632" s="226">
        <v>20</v>
      </c>
      <c r="O1632" s="229">
        <f>+M1632/N1632</f>
        <v>6000</v>
      </c>
      <c r="P1632" s="200"/>
      <c r="Q1632" s="133"/>
      <c r="R1632" s="195" t="s">
        <v>6063</v>
      </c>
      <c r="S1632" s="226" t="s">
        <v>5424</v>
      </c>
      <c r="T1632" s="226">
        <v>1</v>
      </c>
      <c r="U1632" s="176">
        <v>120000</v>
      </c>
      <c r="V1632" s="226">
        <v>16</v>
      </c>
      <c r="W1632" s="229">
        <f>+U1632/V1632</f>
        <v>7500</v>
      </c>
      <c r="X1632" s="200"/>
    </row>
    <row r="1633" spans="1:24" x14ac:dyDescent="0.25">
      <c r="A1633" s="133"/>
      <c r="B1633" s="195"/>
      <c r="C1633" s="226"/>
      <c r="D1633" s="226"/>
      <c r="E1633" s="176"/>
      <c r="F1633" s="226"/>
      <c r="G1633" s="229"/>
      <c r="H1633" s="200"/>
      <c r="I1633" s="133"/>
      <c r="J1633" s="195"/>
      <c r="K1633" s="226"/>
      <c r="L1633" s="226"/>
      <c r="M1633" s="228"/>
      <c r="N1633" s="226"/>
      <c r="O1633" s="229"/>
      <c r="P1633" s="200"/>
      <c r="Q1633" s="133"/>
      <c r="R1633" s="195"/>
      <c r="S1633" s="226"/>
      <c r="T1633" s="226"/>
      <c r="U1633" s="228"/>
      <c r="V1633" s="226"/>
      <c r="W1633" s="229"/>
      <c r="X1633" s="200"/>
    </row>
    <row r="1634" spans="1:24" x14ac:dyDescent="0.25">
      <c r="A1634" s="133"/>
      <c r="B1634" s="195"/>
      <c r="C1634" s="226"/>
      <c r="D1634" s="226"/>
      <c r="E1634" s="171"/>
      <c r="F1634" s="226"/>
      <c r="G1634" s="231"/>
      <c r="H1634" s="200"/>
      <c r="I1634" s="133"/>
      <c r="J1634" s="195"/>
      <c r="K1634" s="226"/>
      <c r="L1634" s="226"/>
      <c r="M1634" s="171"/>
      <c r="N1634" s="226"/>
      <c r="O1634" s="231"/>
      <c r="P1634" s="200"/>
      <c r="Q1634" s="133"/>
      <c r="R1634" s="195"/>
      <c r="S1634" s="226"/>
      <c r="T1634" s="226"/>
      <c r="U1634" s="171"/>
      <c r="V1634" s="226"/>
      <c r="W1634" s="231"/>
      <c r="X1634" s="200"/>
    </row>
    <row r="1635" spans="1:24" x14ac:dyDescent="0.25">
      <c r="A1635" s="133"/>
      <c r="B1635" s="195"/>
      <c r="C1635" s="226"/>
      <c r="D1635" s="232"/>
      <c r="E1635" s="232"/>
      <c r="F1635" s="226"/>
      <c r="G1635" s="229"/>
      <c r="H1635" s="200"/>
      <c r="I1635" s="133"/>
      <c r="J1635" s="195"/>
      <c r="K1635" s="226"/>
      <c r="L1635" s="232"/>
      <c r="M1635" s="232"/>
      <c r="N1635" s="226"/>
      <c r="O1635" s="229"/>
      <c r="P1635" s="200"/>
      <c r="Q1635" s="133"/>
      <c r="R1635" s="195"/>
      <c r="S1635" s="226"/>
      <c r="T1635" s="232"/>
      <c r="U1635" s="232"/>
      <c r="V1635" s="226"/>
      <c r="W1635" s="229"/>
      <c r="X1635" s="200"/>
    </row>
    <row r="1636" spans="1:24" ht="15.75" thickBot="1" x14ac:dyDescent="0.3">
      <c r="A1636" s="133"/>
      <c r="B1636" s="195"/>
      <c r="C1636" s="226"/>
      <c r="D1636" s="232"/>
      <c r="E1636" s="232"/>
      <c r="F1636" s="226"/>
      <c r="G1636" s="229"/>
      <c r="H1636" s="200"/>
      <c r="I1636" s="133"/>
      <c r="J1636" s="195"/>
      <c r="K1636" s="226"/>
      <c r="L1636" s="232"/>
      <c r="M1636" s="232"/>
      <c r="N1636" s="226"/>
      <c r="O1636" s="229"/>
      <c r="P1636" s="200"/>
      <c r="Q1636" s="133"/>
      <c r="R1636" s="195"/>
      <c r="S1636" s="226"/>
      <c r="T1636" s="232"/>
      <c r="U1636" s="232"/>
      <c r="V1636" s="226"/>
      <c r="W1636" s="229"/>
      <c r="X1636" s="200"/>
    </row>
    <row r="1637" spans="1:24" ht="15.75" thickBot="1" x14ac:dyDescent="0.3">
      <c r="A1637" s="133"/>
      <c r="B1637" s="233"/>
      <c r="C1637" s="234"/>
      <c r="D1637" s="234"/>
      <c r="E1637" s="234"/>
      <c r="F1637" s="235"/>
      <c r="G1637" s="236"/>
      <c r="H1637" s="237">
        <f>+SUM(G1631:G1637)</f>
        <v>6264.7833333333338</v>
      </c>
      <c r="I1637" s="133"/>
      <c r="J1637" s="233"/>
      <c r="K1637" s="234"/>
      <c r="L1637" s="234"/>
      <c r="M1637" s="234"/>
      <c r="N1637" s="235"/>
      <c r="O1637" s="236"/>
      <c r="P1637" s="237">
        <f>+SUM(O1631:O1637)</f>
        <v>7391.8166666666666</v>
      </c>
      <c r="Q1637" s="133"/>
      <c r="R1637" s="233"/>
      <c r="S1637" s="234"/>
      <c r="T1637" s="234"/>
      <c r="U1637" s="234"/>
      <c r="V1637" s="235"/>
      <c r="W1637" s="236"/>
      <c r="X1637" s="237">
        <f>+SUM(W1631:W1637)</f>
        <v>9082.3666666666668</v>
      </c>
    </row>
    <row r="1638" spans="1:24" ht="15.75" thickBot="1" x14ac:dyDescent="0.3">
      <c r="A1638" s="133"/>
      <c r="B1638" s="238"/>
      <c r="C1638" s="238"/>
      <c r="D1638" s="238"/>
      <c r="E1638" s="238"/>
      <c r="F1638" s="239"/>
      <c r="G1638" s="240"/>
      <c r="H1638" s="241"/>
      <c r="I1638" s="133"/>
      <c r="J1638" s="238"/>
      <c r="K1638" s="238"/>
      <c r="L1638" s="238"/>
      <c r="M1638" s="238"/>
      <c r="N1638" s="239"/>
      <c r="O1638" s="240"/>
      <c r="P1638" s="241"/>
      <c r="Q1638" s="133"/>
      <c r="R1638" s="238"/>
      <c r="S1638" s="238"/>
      <c r="T1638" s="238"/>
      <c r="U1638" s="238"/>
      <c r="V1638" s="239"/>
      <c r="W1638" s="240"/>
      <c r="X1638" s="241"/>
    </row>
    <row r="1639" spans="1:24" ht="15.75" thickBot="1" x14ac:dyDescent="0.3">
      <c r="A1639" s="133"/>
      <c r="B1639" s="224" t="s">
        <v>5408</v>
      </c>
      <c r="C1639" s="193" t="s">
        <v>867</v>
      </c>
      <c r="D1639" s="193" t="s">
        <v>6</v>
      </c>
      <c r="E1639" s="193" t="s">
        <v>870</v>
      </c>
      <c r="F1639" s="193" t="s">
        <v>5409</v>
      </c>
      <c r="G1639" s="225" t="s">
        <v>868</v>
      </c>
      <c r="H1639" s="200"/>
      <c r="I1639" s="133"/>
      <c r="J1639" s="224" t="s">
        <v>5408</v>
      </c>
      <c r="K1639" s="193" t="s">
        <v>867</v>
      </c>
      <c r="L1639" s="193" t="s">
        <v>6</v>
      </c>
      <c r="M1639" s="193" t="s">
        <v>870</v>
      </c>
      <c r="N1639" s="193" t="s">
        <v>5409</v>
      </c>
      <c r="O1639" s="225" t="s">
        <v>868</v>
      </c>
      <c r="P1639" s="200"/>
      <c r="Q1639" s="133"/>
      <c r="R1639" s="224" t="s">
        <v>5408</v>
      </c>
      <c r="S1639" s="193" t="s">
        <v>867</v>
      </c>
      <c r="T1639" s="193" t="s">
        <v>6</v>
      </c>
      <c r="U1639" s="193" t="s">
        <v>870</v>
      </c>
      <c r="V1639" s="193" t="s">
        <v>5409</v>
      </c>
      <c r="W1639" s="225" t="s">
        <v>868</v>
      </c>
      <c r="X1639" s="200"/>
    </row>
    <row r="1640" spans="1:24" x14ac:dyDescent="0.25">
      <c r="A1640" s="133"/>
      <c r="B1640" s="295"/>
      <c r="C1640" s="202"/>
      <c r="D1640" s="226"/>
      <c r="E1640" s="244"/>
      <c r="F1640" s="169"/>
      <c r="G1640" s="178">
        <f>+D1640*E1640*(1+F1640)</f>
        <v>0</v>
      </c>
      <c r="H1640" s="200"/>
      <c r="I1640" s="133"/>
      <c r="J1640" s="295"/>
      <c r="K1640" s="202"/>
      <c r="L1640" s="226"/>
      <c r="M1640" s="228"/>
      <c r="N1640" s="169"/>
      <c r="O1640" s="178"/>
      <c r="P1640" s="200"/>
      <c r="Q1640" s="133"/>
      <c r="R1640" s="295"/>
      <c r="S1640" s="202"/>
      <c r="T1640" s="226"/>
      <c r="U1640" s="228"/>
      <c r="V1640" s="169"/>
      <c r="W1640" s="178"/>
      <c r="X1640" s="200"/>
    </row>
    <row r="1641" spans="1:24" x14ac:dyDescent="0.25">
      <c r="A1641" s="133"/>
      <c r="B1641" s="450"/>
      <c r="C1641" s="202"/>
      <c r="D1641" s="202"/>
      <c r="E1641" s="257"/>
      <c r="F1641" s="169"/>
      <c r="G1641" s="178">
        <f>+D1641*E1641*(1+F1641)</f>
        <v>0</v>
      </c>
      <c r="H1641" s="200"/>
      <c r="I1641" s="133"/>
      <c r="J1641" s="450"/>
      <c r="K1641" s="202"/>
      <c r="L1641" s="202"/>
      <c r="M1641" s="228"/>
      <c r="N1641" s="169"/>
      <c r="O1641" s="178"/>
      <c r="P1641" s="200"/>
      <c r="Q1641" s="133"/>
      <c r="R1641" s="450"/>
      <c r="S1641" s="202"/>
      <c r="T1641" s="202"/>
      <c r="U1641" s="228"/>
      <c r="V1641" s="169"/>
      <c r="W1641" s="178"/>
      <c r="X1641" s="200"/>
    </row>
    <row r="1642" spans="1:24" x14ac:dyDescent="0.25">
      <c r="A1642" s="133"/>
      <c r="B1642" s="247"/>
      <c r="C1642" s="226"/>
      <c r="D1642" s="226"/>
      <c r="E1642" s="244"/>
      <c r="F1642" s="169"/>
      <c r="G1642" s="178">
        <f>+D1642*E1642*(1+F1642)</f>
        <v>0</v>
      </c>
      <c r="H1642" s="200"/>
      <c r="I1642" s="133"/>
      <c r="J1642" s="247"/>
      <c r="K1642" s="226"/>
      <c r="L1642" s="226"/>
      <c r="M1642" s="228"/>
      <c r="N1642" s="169"/>
      <c r="O1642" s="178"/>
      <c r="P1642" s="200"/>
      <c r="Q1642" s="133"/>
      <c r="R1642" s="247"/>
      <c r="S1642" s="226"/>
      <c r="T1642" s="226"/>
      <c r="U1642" s="228"/>
      <c r="V1642" s="169"/>
      <c r="W1642" s="178"/>
      <c r="X1642" s="200"/>
    </row>
    <row r="1643" spans="1:24" x14ac:dyDescent="0.25">
      <c r="A1643" s="133"/>
      <c r="B1643" s="194"/>
      <c r="C1643" s="226"/>
      <c r="D1643" s="226"/>
      <c r="E1643" s="171"/>
      <c r="F1643" s="169"/>
      <c r="G1643" s="178">
        <f>+D1643*E1643*(1+F1643)</f>
        <v>0</v>
      </c>
      <c r="H1643" s="200"/>
      <c r="I1643" s="133"/>
      <c r="J1643" s="194"/>
      <c r="K1643" s="226"/>
      <c r="L1643" s="226"/>
      <c r="M1643" s="228"/>
      <c r="N1643" s="169"/>
      <c r="O1643" s="178"/>
      <c r="P1643" s="200"/>
      <c r="Q1643" s="133"/>
      <c r="R1643" s="194"/>
      <c r="S1643" s="226"/>
      <c r="T1643" s="226"/>
      <c r="U1643" s="228"/>
      <c r="V1643" s="169"/>
      <c r="W1643" s="178"/>
      <c r="X1643" s="200"/>
    </row>
    <row r="1644" spans="1:24" x14ac:dyDescent="0.25">
      <c r="A1644" s="133"/>
      <c r="B1644" s="195"/>
      <c r="C1644" s="226"/>
      <c r="D1644" s="226"/>
      <c r="E1644" s="171"/>
      <c r="F1644" s="169"/>
      <c r="G1644" s="178"/>
      <c r="H1644" s="200"/>
      <c r="I1644" s="133"/>
      <c r="J1644" s="195"/>
      <c r="K1644" s="226"/>
      <c r="L1644" s="226"/>
      <c r="M1644" s="176"/>
      <c r="N1644" s="169"/>
      <c r="O1644" s="178"/>
      <c r="P1644" s="200"/>
      <c r="Q1644" s="133"/>
      <c r="R1644" s="195"/>
      <c r="S1644" s="226"/>
      <c r="T1644" s="226"/>
      <c r="U1644" s="176"/>
      <c r="V1644" s="169"/>
      <c r="W1644" s="178"/>
      <c r="X1644" s="200"/>
    </row>
    <row r="1645" spans="1:24" x14ac:dyDescent="0.25">
      <c r="A1645" s="133"/>
      <c r="B1645" s="194"/>
      <c r="C1645" s="202"/>
      <c r="D1645" s="202"/>
      <c r="E1645" s="171"/>
      <c r="F1645" s="169"/>
      <c r="G1645" s="178"/>
      <c r="H1645" s="200"/>
      <c r="I1645" s="133"/>
      <c r="J1645" s="194"/>
      <c r="K1645" s="202"/>
      <c r="L1645" s="202"/>
      <c r="M1645" s="176"/>
      <c r="N1645" s="169"/>
      <c r="O1645" s="178"/>
      <c r="P1645" s="200"/>
      <c r="Q1645" s="133"/>
      <c r="R1645" s="194"/>
      <c r="S1645" s="202"/>
      <c r="T1645" s="202"/>
      <c r="U1645" s="176"/>
      <c r="V1645" s="169"/>
      <c r="W1645" s="178"/>
      <c r="X1645" s="200"/>
    </row>
    <row r="1646" spans="1:24" x14ac:dyDescent="0.25">
      <c r="A1646" s="133"/>
      <c r="B1646" s="195"/>
      <c r="C1646" s="226"/>
      <c r="D1646" s="226"/>
      <c r="E1646" s="171"/>
      <c r="F1646" s="169"/>
      <c r="G1646" s="178"/>
      <c r="H1646" s="200"/>
      <c r="I1646" s="133"/>
      <c r="J1646" s="195"/>
      <c r="K1646" s="226"/>
      <c r="L1646" s="226"/>
      <c r="M1646" s="176"/>
      <c r="N1646" s="169"/>
      <c r="O1646" s="178"/>
      <c r="P1646" s="200"/>
      <c r="Q1646" s="133"/>
      <c r="R1646" s="195"/>
      <c r="S1646" s="226"/>
      <c r="T1646" s="226"/>
      <c r="U1646" s="176"/>
      <c r="V1646" s="169"/>
      <c r="W1646" s="178"/>
      <c r="X1646" s="200"/>
    </row>
    <row r="1647" spans="1:24" x14ac:dyDescent="0.25">
      <c r="A1647" s="133"/>
      <c r="B1647" s="195"/>
      <c r="C1647" s="226"/>
      <c r="D1647" s="226"/>
      <c r="E1647" s="171"/>
      <c r="F1647" s="169"/>
      <c r="G1647" s="178"/>
      <c r="H1647" s="200"/>
      <c r="I1647" s="133"/>
      <c r="J1647" s="195"/>
      <c r="K1647" s="226"/>
      <c r="L1647" s="226"/>
      <c r="M1647" s="176"/>
      <c r="N1647" s="169"/>
      <c r="O1647" s="178"/>
      <c r="P1647" s="200"/>
      <c r="Q1647" s="133"/>
      <c r="R1647" s="195"/>
      <c r="S1647" s="226"/>
      <c r="T1647" s="226"/>
      <c r="U1647" s="176"/>
      <c r="V1647" s="169"/>
      <c r="W1647" s="178"/>
      <c r="X1647" s="200"/>
    </row>
    <row r="1648" spans="1:24" x14ac:dyDescent="0.25">
      <c r="A1648" s="133"/>
      <c r="B1648" s="195"/>
      <c r="C1648" s="232"/>
      <c r="D1648" s="232"/>
      <c r="E1648" s="232"/>
      <c r="F1648" s="226"/>
      <c r="G1648" s="229"/>
      <c r="H1648" s="200"/>
      <c r="I1648" s="133"/>
      <c r="J1648" s="195"/>
      <c r="K1648" s="232"/>
      <c r="L1648" s="232"/>
      <c r="M1648" s="232"/>
      <c r="N1648" s="226"/>
      <c r="O1648" s="229"/>
      <c r="P1648" s="200"/>
      <c r="Q1648" s="133"/>
      <c r="R1648" s="195"/>
      <c r="S1648" s="232"/>
      <c r="T1648" s="232"/>
      <c r="U1648" s="232"/>
      <c r="V1648" s="226"/>
      <c r="W1648" s="229"/>
      <c r="X1648" s="200"/>
    </row>
    <row r="1649" spans="1:24" x14ac:dyDescent="0.25">
      <c r="A1649" s="133"/>
      <c r="B1649" s="195"/>
      <c r="C1649" s="232"/>
      <c r="D1649" s="232"/>
      <c r="E1649" s="232"/>
      <c r="F1649" s="226"/>
      <c r="G1649" s="229"/>
      <c r="H1649" s="200"/>
      <c r="I1649" s="133"/>
      <c r="J1649" s="195"/>
      <c r="K1649" s="232"/>
      <c r="L1649" s="232"/>
      <c r="M1649" s="232"/>
      <c r="N1649" s="226"/>
      <c r="O1649" s="229"/>
      <c r="P1649" s="200"/>
      <c r="Q1649" s="133"/>
      <c r="R1649" s="195"/>
      <c r="S1649" s="232"/>
      <c r="T1649" s="232"/>
      <c r="U1649" s="232"/>
      <c r="V1649" s="226"/>
      <c r="W1649" s="229"/>
      <c r="X1649" s="200"/>
    </row>
    <row r="1650" spans="1:24" x14ac:dyDescent="0.25">
      <c r="A1650" s="133"/>
      <c r="B1650" s="195"/>
      <c r="C1650" s="232"/>
      <c r="D1650" s="232"/>
      <c r="E1650" s="232"/>
      <c r="F1650" s="226"/>
      <c r="G1650" s="229"/>
      <c r="H1650" s="200"/>
      <c r="I1650" s="133"/>
      <c r="J1650" s="195"/>
      <c r="K1650" s="232"/>
      <c r="L1650" s="232"/>
      <c r="M1650" s="232"/>
      <c r="N1650" s="226"/>
      <c r="O1650" s="229"/>
      <c r="P1650" s="200"/>
      <c r="Q1650" s="133"/>
      <c r="R1650" s="195"/>
      <c r="S1650" s="232"/>
      <c r="T1650" s="232"/>
      <c r="U1650" s="232"/>
      <c r="V1650" s="226"/>
      <c r="W1650" s="229"/>
      <c r="X1650" s="200"/>
    </row>
    <row r="1651" spans="1:24" ht="15.75" thickBot="1" x14ac:dyDescent="0.3">
      <c r="A1651" s="133"/>
      <c r="B1651" s="195"/>
      <c r="C1651" s="232"/>
      <c r="D1651" s="232"/>
      <c r="E1651" s="232"/>
      <c r="F1651" s="226"/>
      <c r="G1651" s="229"/>
      <c r="H1651" s="200"/>
      <c r="I1651" s="133"/>
      <c r="J1651" s="195"/>
      <c r="K1651" s="232"/>
      <c r="L1651" s="232"/>
      <c r="M1651" s="232"/>
      <c r="N1651" s="226"/>
      <c r="O1651" s="229"/>
      <c r="P1651" s="200"/>
      <c r="Q1651" s="133"/>
      <c r="R1651" s="195"/>
      <c r="S1651" s="232"/>
      <c r="T1651" s="232"/>
      <c r="U1651" s="232"/>
      <c r="V1651" s="226"/>
      <c r="W1651" s="229"/>
      <c r="X1651" s="200"/>
    </row>
    <row r="1652" spans="1:24" ht="15.75" thickBot="1" x14ac:dyDescent="0.3">
      <c r="A1652" s="133"/>
      <c r="B1652" s="233"/>
      <c r="C1652" s="234"/>
      <c r="D1652" s="234"/>
      <c r="E1652" s="234"/>
      <c r="F1652" s="235"/>
      <c r="G1652" s="236"/>
      <c r="H1652" s="256">
        <f>+SUM(G1640:G1652)</f>
        <v>0</v>
      </c>
      <c r="I1652" s="133"/>
      <c r="J1652" s="233"/>
      <c r="K1652" s="234"/>
      <c r="L1652" s="234"/>
      <c r="M1652" s="234"/>
      <c r="N1652" s="235"/>
      <c r="O1652" s="236"/>
      <c r="P1652" s="256">
        <f>+SUM(O1640:O1652)</f>
        <v>0</v>
      </c>
      <c r="Q1652" s="133"/>
      <c r="R1652" s="233"/>
      <c r="S1652" s="234"/>
      <c r="T1652" s="234"/>
      <c r="U1652" s="234"/>
      <c r="V1652" s="235"/>
      <c r="W1652" s="236"/>
      <c r="X1652" s="256">
        <f>+SUM(W1640:W1652)</f>
        <v>0</v>
      </c>
    </row>
    <row r="1653" spans="1:24" ht="15.75" thickBot="1" x14ac:dyDescent="0.3">
      <c r="A1653" s="133"/>
      <c r="B1653" s="238"/>
      <c r="C1653" s="238"/>
      <c r="D1653" s="238"/>
      <c r="E1653" s="238"/>
      <c r="F1653" s="239"/>
      <c r="G1653" s="240"/>
      <c r="H1653" s="241"/>
      <c r="I1653" s="133"/>
      <c r="J1653" s="238"/>
      <c r="K1653" s="238"/>
      <c r="L1653" s="238"/>
      <c r="M1653" s="238"/>
      <c r="N1653" s="239"/>
      <c r="O1653" s="240"/>
      <c r="P1653" s="241"/>
      <c r="Q1653" s="133"/>
      <c r="R1653" s="238"/>
      <c r="S1653" s="238"/>
      <c r="T1653" s="238"/>
      <c r="U1653" s="238"/>
      <c r="V1653" s="239"/>
      <c r="W1653" s="240"/>
      <c r="X1653" s="241"/>
    </row>
    <row r="1654" spans="1:24" ht="15.75" thickBot="1" x14ac:dyDescent="0.3">
      <c r="A1654" s="133"/>
      <c r="B1654" s="224" t="s">
        <v>5410</v>
      </c>
      <c r="C1654" s="193" t="s">
        <v>867</v>
      </c>
      <c r="D1654" s="193" t="s">
        <v>6</v>
      </c>
      <c r="E1654" s="193" t="s">
        <v>870</v>
      </c>
      <c r="F1654" s="193" t="s">
        <v>5411</v>
      </c>
      <c r="G1654" s="225" t="s">
        <v>868</v>
      </c>
      <c r="H1654" s="200"/>
      <c r="I1654" s="133"/>
      <c r="J1654" s="224" t="s">
        <v>5410</v>
      </c>
      <c r="K1654" s="193" t="s">
        <v>867</v>
      </c>
      <c r="L1654" s="193" t="s">
        <v>6</v>
      </c>
      <c r="M1654" s="193" t="s">
        <v>870</v>
      </c>
      <c r="N1654" s="193" t="s">
        <v>5411</v>
      </c>
      <c r="O1654" s="225" t="s">
        <v>868</v>
      </c>
      <c r="P1654" s="200"/>
      <c r="Q1654" s="133"/>
      <c r="R1654" s="224" t="s">
        <v>5410</v>
      </c>
      <c r="S1654" s="193" t="s">
        <v>867</v>
      </c>
      <c r="T1654" s="193" t="s">
        <v>6</v>
      </c>
      <c r="U1654" s="193" t="s">
        <v>870</v>
      </c>
      <c r="V1654" s="193" t="s">
        <v>5411</v>
      </c>
      <c r="W1654" s="225" t="s">
        <v>868</v>
      </c>
      <c r="X1654" s="200"/>
    </row>
    <row r="1655" spans="1:24" x14ac:dyDescent="0.25">
      <c r="A1655" s="133"/>
      <c r="B1655" s="245"/>
      <c r="C1655" s="202"/>
      <c r="D1655" s="202"/>
      <c r="E1655" s="175"/>
      <c r="F1655" s="202"/>
      <c r="G1655" s="203"/>
      <c r="H1655" s="246"/>
      <c r="I1655" s="133"/>
      <c r="J1655" s="245"/>
      <c r="K1655" s="202"/>
      <c r="L1655" s="202"/>
      <c r="M1655" s="175"/>
      <c r="N1655" s="202"/>
      <c r="O1655" s="203"/>
      <c r="P1655" s="246"/>
      <c r="Q1655" s="133"/>
      <c r="R1655" s="245"/>
      <c r="S1655" s="202"/>
      <c r="T1655" s="202"/>
      <c r="U1655" s="175"/>
      <c r="V1655" s="202"/>
      <c r="W1655" s="203"/>
      <c r="X1655" s="246"/>
    </row>
    <row r="1656" spans="1:24" x14ac:dyDescent="0.25">
      <c r="A1656" s="133"/>
      <c r="B1656" s="247"/>
      <c r="C1656" s="248"/>
      <c r="D1656" s="248"/>
      <c r="E1656" s="248"/>
      <c r="F1656" s="202"/>
      <c r="G1656" s="178"/>
      <c r="H1656" s="200"/>
      <c r="I1656" s="133"/>
      <c r="J1656" s="247"/>
      <c r="K1656" s="248"/>
      <c r="L1656" s="248"/>
      <c r="M1656" s="248"/>
      <c r="N1656" s="202"/>
      <c r="O1656" s="178"/>
      <c r="P1656" s="200"/>
      <c r="Q1656" s="133"/>
      <c r="R1656" s="247"/>
      <c r="S1656" s="248"/>
      <c r="T1656" s="248"/>
      <c r="U1656" s="248"/>
      <c r="V1656" s="202"/>
      <c r="W1656" s="178"/>
      <c r="X1656" s="200"/>
    </row>
    <row r="1657" spans="1:24" x14ac:dyDescent="0.25">
      <c r="A1657" s="133"/>
      <c r="B1657" s="247"/>
      <c r="C1657" s="232"/>
      <c r="D1657" s="232"/>
      <c r="E1657" s="232"/>
      <c r="F1657" s="226"/>
      <c r="G1657" s="229"/>
      <c r="H1657" s="200"/>
      <c r="I1657" s="133"/>
      <c r="J1657" s="247"/>
      <c r="K1657" s="232"/>
      <c r="L1657" s="232"/>
      <c r="M1657" s="232"/>
      <c r="N1657" s="226"/>
      <c r="O1657" s="229"/>
      <c r="P1657" s="200"/>
      <c r="Q1657" s="133"/>
      <c r="R1657" s="247"/>
      <c r="S1657" s="232"/>
      <c r="T1657" s="232"/>
      <c r="U1657" s="232"/>
      <c r="V1657" s="226"/>
      <c r="W1657" s="229"/>
      <c r="X1657" s="200"/>
    </row>
    <row r="1658" spans="1:24" x14ac:dyDescent="0.25">
      <c r="A1658" s="133"/>
      <c r="B1658" s="194"/>
      <c r="C1658" s="232"/>
      <c r="D1658" s="232"/>
      <c r="E1658" s="232"/>
      <c r="F1658" s="226"/>
      <c r="G1658" s="229"/>
      <c r="H1658" s="200"/>
      <c r="I1658" s="133"/>
      <c r="J1658" s="194"/>
      <c r="K1658" s="232"/>
      <c r="L1658" s="232"/>
      <c r="M1658" s="232"/>
      <c r="N1658" s="226"/>
      <c r="O1658" s="229"/>
      <c r="P1658" s="200"/>
      <c r="Q1658" s="133"/>
      <c r="R1658" s="194"/>
      <c r="S1658" s="232"/>
      <c r="T1658" s="232"/>
      <c r="U1658" s="232"/>
      <c r="V1658" s="226"/>
      <c r="W1658" s="229"/>
      <c r="X1658" s="200"/>
    </row>
    <row r="1659" spans="1:24" ht="15.75" thickBot="1" x14ac:dyDescent="0.3">
      <c r="A1659" s="133"/>
      <c r="B1659" s="195"/>
      <c r="C1659" s="232"/>
      <c r="D1659" s="232"/>
      <c r="E1659" s="232"/>
      <c r="F1659" s="226"/>
      <c r="G1659" s="229"/>
      <c r="H1659" s="200"/>
      <c r="I1659" s="133"/>
      <c r="J1659" s="195"/>
      <c r="K1659" s="232"/>
      <c r="L1659" s="232"/>
      <c r="M1659" s="232"/>
      <c r="N1659" s="226"/>
      <c r="O1659" s="229"/>
      <c r="P1659" s="200"/>
      <c r="Q1659" s="133"/>
      <c r="R1659" s="195"/>
      <c r="S1659" s="232"/>
      <c r="T1659" s="232"/>
      <c r="U1659" s="232"/>
      <c r="V1659" s="226"/>
      <c r="W1659" s="229"/>
      <c r="X1659" s="200"/>
    </row>
    <row r="1660" spans="1:24" ht="15.75" thickBot="1" x14ac:dyDescent="0.3">
      <c r="A1660" s="133"/>
      <c r="B1660" s="233"/>
      <c r="C1660" s="234"/>
      <c r="D1660" s="234"/>
      <c r="E1660" s="234"/>
      <c r="F1660" s="235"/>
      <c r="G1660" s="236"/>
      <c r="H1660" s="237">
        <f>+SUM(G1655:G1660)</f>
        <v>0</v>
      </c>
      <c r="I1660" s="133"/>
      <c r="J1660" s="233"/>
      <c r="K1660" s="234"/>
      <c r="L1660" s="234"/>
      <c r="M1660" s="234"/>
      <c r="N1660" s="235"/>
      <c r="O1660" s="236"/>
      <c r="P1660" s="237">
        <f>+SUM(O1655:O1660)</f>
        <v>0</v>
      </c>
      <c r="Q1660" s="133"/>
      <c r="R1660" s="233"/>
      <c r="S1660" s="234"/>
      <c r="T1660" s="234"/>
      <c r="U1660" s="234"/>
      <c r="V1660" s="235"/>
      <c r="W1660" s="236"/>
      <c r="X1660" s="237">
        <f>+SUM(W1655:W1660)</f>
        <v>0</v>
      </c>
    </row>
    <row r="1661" spans="1:24" ht="15.75" thickBot="1" x14ac:dyDescent="0.3">
      <c r="A1661" s="133"/>
      <c r="B1661" s="238"/>
      <c r="C1661" s="238"/>
      <c r="D1661" s="238"/>
      <c r="E1661" s="238"/>
      <c r="F1661" s="249"/>
      <c r="G1661" s="250"/>
      <c r="H1661" s="241"/>
      <c r="I1661" s="133"/>
      <c r="J1661" s="238"/>
      <c r="K1661" s="238"/>
      <c r="L1661" s="238"/>
      <c r="M1661" s="238"/>
      <c r="N1661" s="249"/>
      <c r="O1661" s="250"/>
      <c r="P1661" s="241"/>
      <c r="Q1661" s="133"/>
      <c r="R1661" s="238"/>
      <c r="S1661" s="238"/>
      <c r="T1661" s="238"/>
      <c r="U1661" s="238"/>
      <c r="V1661" s="249"/>
      <c r="W1661" s="250"/>
      <c r="X1661" s="241"/>
    </row>
    <row r="1662" spans="1:24" ht="15.75" thickBot="1" x14ac:dyDescent="0.3">
      <c r="A1662" s="133"/>
      <c r="B1662" s="224" t="s">
        <v>5412</v>
      </c>
      <c r="C1662" s="193" t="s">
        <v>5420</v>
      </c>
      <c r="D1662" s="193" t="s">
        <v>5421</v>
      </c>
      <c r="E1662" s="193" t="s">
        <v>5413</v>
      </c>
      <c r="F1662" s="193" t="s">
        <v>5405</v>
      </c>
      <c r="G1662" s="225" t="s">
        <v>868</v>
      </c>
      <c r="H1662" s="200"/>
      <c r="I1662" s="133"/>
      <c r="J1662" s="224" t="s">
        <v>5412</v>
      </c>
      <c r="K1662" s="193" t="s">
        <v>5420</v>
      </c>
      <c r="L1662" s="193" t="s">
        <v>5421</v>
      </c>
      <c r="M1662" s="193" t="s">
        <v>5413</v>
      </c>
      <c r="N1662" s="193" t="s">
        <v>5405</v>
      </c>
      <c r="O1662" s="225" t="s">
        <v>868</v>
      </c>
      <c r="P1662" s="200"/>
      <c r="Q1662" s="133"/>
      <c r="R1662" s="224" t="s">
        <v>5412</v>
      </c>
      <c r="S1662" s="193" t="s">
        <v>5420</v>
      </c>
      <c r="T1662" s="193" t="s">
        <v>5421</v>
      </c>
      <c r="U1662" s="193" t="s">
        <v>5413</v>
      </c>
      <c r="V1662" s="193" t="s">
        <v>5405</v>
      </c>
      <c r="W1662" s="225" t="s">
        <v>868</v>
      </c>
      <c r="X1662" s="200"/>
    </row>
    <row r="1663" spans="1:24" x14ac:dyDescent="0.25">
      <c r="A1663" s="133"/>
      <c r="B1663" s="194" t="s">
        <v>5948</v>
      </c>
      <c r="C1663" s="345">
        <v>70000</v>
      </c>
      <c r="D1663" s="176">
        <f>+C1663*0.85</f>
        <v>59500</v>
      </c>
      <c r="E1663" s="176">
        <f>+C1663+D1663</f>
        <v>129500</v>
      </c>
      <c r="F1663" s="204">
        <v>1000</v>
      </c>
      <c r="G1663" s="178">
        <f>+E1663/F1663</f>
        <v>129.5</v>
      </c>
      <c r="H1663" s="200"/>
      <c r="I1663" s="133"/>
      <c r="J1663" s="194" t="s">
        <v>5948</v>
      </c>
      <c r="K1663" s="345">
        <v>70000</v>
      </c>
      <c r="L1663" s="176">
        <f>+K1663*0.85</f>
        <v>59500</v>
      </c>
      <c r="M1663" s="175">
        <f>+K1663+L1663</f>
        <v>129500</v>
      </c>
      <c r="N1663" s="204">
        <v>1000</v>
      </c>
      <c r="O1663" s="178">
        <f>+M1663/N1663</f>
        <v>129.5</v>
      </c>
      <c r="P1663" s="200"/>
      <c r="Q1663" s="133"/>
      <c r="R1663" s="194" t="s">
        <v>5948</v>
      </c>
      <c r="S1663" s="345">
        <v>70000</v>
      </c>
      <c r="T1663" s="176">
        <f>+S1663*0.85</f>
        <v>59500</v>
      </c>
      <c r="U1663" s="175">
        <f>+S1663+T1663</f>
        <v>129500</v>
      </c>
      <c r="V1663" s="204">
        <v>1000</v>
      </c>
      <c r="W1663" s="178">
        <f>+U1663/V1663</f>
        <v>129.5</v>
      </c>
      <c r="X1663" s="200"/>
    </row>
    <row r="1664" spans="1:24" x14ac:dyDescent="0.25">
      <c r="A1664" s="133"/>
      <c r="B1664" s="194" t="s">
        <v>5651</v>
      </c>
      <c r="C1664" s="345">
        <v>40000</v>
      </c>
      <c r="D1664" s="176">
        <f>+C1664*0.85</f>
        <v>34000</v>
      </c>
      <c r="E1664" s="176">
        <f>+C1664+D1664</f>
        <v>74000</v>
      </c>
      <c r="F1664" s="202">
        <v>12</v>
      </c>
      <c r="G1664" s="178">
        <f>+E1664/F1664</f>
        <v>6166.666666666667</v>
      </c>
      <c r="H1664" s="200"/>
      <c r="I1664" s="133"/>
      <c r="J1664" s="194" t="s">
        <v>5651</v>
      </c>
      <c r="K1664" s="345">
        <v>40000</v>
      </c>
      <c r="L1664" s="176">
        <f>+K1664*0.85</f>
        <v>34000</v>
      </c>
      <c r="M1664" s="175">
        <f>+K1664+L1664</f>
        <v>74000</v>
      </c>
      <c r="N1664" s="202">
        <v>12</v>
      </c>
      <c r="O1664" s="178">
        <f>+M1664/N1664</f>
        <v>6166.666666666667</v>
      </c>
      <c r="P1664" s="200"/>
      <c r="Q1664" s="133"/>
      <c r="R1664" s="194" t="s">
        <v>5651</v>
      </c>
      <c r="S1664" s="345">
        <v>40000</v>
      </c>
      <c r="T1664" s="176">
        <f>+S1664*0.85</f>
        <v>34000</v>
      </c>
      <c r="U1664" s="175">
        <f>+S1664+T1664</f>
        <v>74000</v>
      </c>
      <c r="V1664" s="202">
        <v>12</v>
      </c>
      <c r="W1664" s="178">
        <f>+U1664/V1664</f>
        <v>6166.666666666667</v>
      </c>
      <c r="X1664" s="200"/>
    </row>
    <row r="1665" spans="1:26" x14ac:dyDescent="0.25">
      <c r="A1665" s="133"/>
      <c r="B1665" s="195" t="s">
        <v>5635</v>
      </c>
      <c r="C1665" s="345">
        <v>20600</v>
      </c>
      <c r="D1665" s="176">
        <f>+C1665*0.85</f>
        <v>17510</v>
      </c>
      <c r="E1665" s="176">
        <f>+C1665+D1665</f>
        <v>38110</v>
      </c>
      <c r="F1665" s="226">
        <v>6</v>
      </c>
      <c r="G1665" s="178">
        <f>+E1665/F1665</f>
        <v>6351.666666666667</v>
      </c>
      <c r="H1665" s="200"/>
      <c r="I1665" s="133"/>
      <c r="J1665" s="195" t="s">
        <v>5635</v>
      </c>
      <c r="K1665" s="345">
        <v>20600</v>
      </c>
      <c r="L1665" s="176">
        <f>+K1665*0.85</f>
        <v>17510</v>
      </c>
      <c r="M1665" s="175">
        <f>+K1665+L1665</f>
        <v>38110</v>
      </c>
      <c r="N1665" s="226">
        <v>5</v>
      </c>
      <c r="O1665" s="178">
        <f>+M1665/N1665</f>
        <v>7622</v>
      </c>
      <c r="P1665" s="200"/>
      <c r="Q1665" s="133"/>
      <c r="R1665" s="195" t="s">
        <v>5635</v>
      </c>
      <c r="S1665" s="345">
        <v>20600</v>
      </c>
      <c r="T1665" s="176">
        <f>+S1665*0.85</f>
        <v>17510</v>
      </c>
      <c r="U1665" s="175">
        <f>+S1665+T1665</f>
        <v>38110</v>
      </c>
      <c r="V1665" s="226">
        <v>4</v>
      </c>
      <c r="W1665" s="178">
        <f>+U1665/V1665</f>
        <v>9527.5</v>
      </c>
      <c r="X1665" s="200"/>
    </row>
    <row r="1666" spans="1:26" x14ac:dyDescent="0.25">
      <c r="A1666" s="133"/>
      <c r="B1666" s="195"/>
      <c r="C1666" s="171"/>
      <c r="D1666" s="176"/>
      <c r="E1666" s="176"/>
      <c r="F1666" s="226"/>
      <c r="G1666" s="178"/>
      <c r="H1666" s="200"/>
      <c r="I1666" s="133"/>
      <c r="J1666" s="195"/>
      <c r="K1666" s="171"/>
      <c r="L1666" s="176"/>
      <c r="M1666" s="228"/>
      <c r="N1666" s="226"/>
      <c r="O1666" s="178"/>
      <c r="P1666" s="200"/>
      <c r="Q1666" s="133"/>
      <c r="R1666" s="195"/>
      <c r="S1666" s="171"/>
      <c r="T1666" s="176"/>
      <c r="U1666" s="228"/>
      <c r="V1666" s="226"/>
      <c r="W1666" s="178"/>
      <c r="X1666" s="200"/>
    </row>
    <row r="1667" spans="1:26" x14ac:dyDescent="0.25">
      <c r="A1667" s="133"/>
      <c r="B1667" s="195"/>
      <c r="C1667" s="232"/>
      <c r="D1667" s="232"/>
      <c r="E1667" s="232"/>
      <c r="F1667" s="226"/>
      <c r="G1667" s="229"/>
      <c r="H1667" s="200"/>
      <c r="I1667" s="133"/>
      <c r="J1667" s="195"/>
      <c r="K1667" s="232"/>
      <c r="L1667" s="232"/>
      <c r="M1667" s="232"/>
      <c r="N1667" s="226"/>
      <c r="O1667" s="229"/>
      <c r="P1667" s="200"/>
      <c r="Q1667" s="133"/>
      <c r="R1667" s="195"/>
      <c r="S1667" s="232"/>
      <c r="T1667" s="232"/>
      <c r="U1667" s="232"/>
      <c r="V1667" s="226"/>
      <c r="W1667" s="229"/>
      <c r="X1667" s="200"/>
    </row>
    <row r="1668" spans="1:26" ht="15.75" thickBot="1" x14ac:dyDescent="0.3">
      <c r="A1668" s="133"/>
      <c r="B1668" s="195"/>
      <c r="C1668" s="232"/>
      <c r="D1668" s="232"/>
      <c r="E1668" s="232"/>
      <c r="F1668" s="226"/>
      <c r="G1668" s="229"/>
      <c r="H1668" s="200"/>
      <c r="I1668" s="133"/>
      <c r="J1668" s="195"/>
      <c r="K1668" s="232"/>
      <c r="L1668" s="232"/>
      <c r="M1668" s="232"/>
      <c r="N1668" s="226"/>
      <c r="O1668" s="229"/>
      <c r="P1668" s="200"/>
      <c r="Q1668" s="133"/>
      <c r="R1668" s="195"/>
      <c r="S1668" s="232"/>
      <c r="T1668" s="232"/>
      <c r="U1668" s="232"/>
      <c r="V1668" s="226"/>
      <c r="W1668" s="229"/>
      <c r="X1668" s="200"/>
    </row>
    <row r="1669" spans="1:26" ht="15.75" thickBot="1" x14ac:dyDescent="0.3">
      <c r="A1669" s="133"/>
      <c r="B1669" s="251"/>
      <c r="C1669" s="252"/>
      <c r="D1669" s="252"/>
      <c r="E1669" s="252"/>
      <c r="F1669" s="253"/>
      <c r="G1669" s="254"/>
      <c r="H1669" s="256">
        <f>+SUM(G1663:G1669)</f>
        <v>12647.833333333334</v>
      </c>
      <c r="I1669" s="133"/>
      <c r="J1669" s="251"/>
      <c r="K1669" s="252"/>
      <c r="L1669" s="252"/>
      <c r="M1669" s="252"/>
      <c r="N1669" s="253"/>
      <c r="O1669" s="254"/>
      <c r="P1669" s="256">
        <f>+SUM(O1663:O1669)</f>
        <v>13918.166666666668</v>
      </c>
      <c r="Q1669" s="133"/>
      <c r="R1669" s="251"/>
      <c r="S1669" s="252"/>
      <c r="T1669" s="252"/>
      <c r="U1669" s="252"/>
      <c r="V1669" s="253"/>
      <c r="W1669" s="254"/>
      <c r="X1669" s="256">
        <f>+SUM(W1663:W1669)</f>
        <v>15823.666666666668</v>
      </c>
    </row>
    <row r="1670" spans="1:26" ht="15.75" thickBot="1" x14ac:dyDescent="0.3">
      <c r="A1670" s="133"/>
      <c r="B1670" s="8"/>
      <c r="C1670" s="8"/>
      <c r="D1670" s="8"/>
      <c r="E1670" s="8"/>
      <c r="F1670" s="133"/>
      <c r="G1670" s="200"/>
      <c r="H1670" s="200"/>
      <c r="I1670" s="133"/>
      <c r="J1670" s="8"/>
      <c r="K1670" s="8"/>
      <c r="L1670" s="8"/>
      <c r="M1670" s="8"/>
      <c r="N1670" s="133"/>
      <c r="O1670" s="200"/>
      <c r="P1670" s="200"/>
      <c r="Q1670" s="133"/>
      <c r="R1670" s="8"/>
      <c r="S1670" s="8"/>
      <c r="T1670" s="8"/>
      <c r="U1670" s="8"/>
      <c r="V1670" s="133"/>
      <c r="W1670" s="200"/>
      <c r="X1670" s="200"/>
    </row>
    <row r="1671" spans="1:26" ht="15.75" thickBot="1" x14ac:dyDescent="0.3">
      <c r="A1671" s="133"/>
      <c r="B1671" s="8"/>
      <c r="C1671" s="8"/>
      <c r="D1671" s="8"/>
      <c r="E1671" s="223" t="s">
        <v>5415</v>
      </c>
      <c r="F1671" s="133"/>
      <c r="G1671" s="200"/>
      <c r="H1671" s="256">
        <f>ROUND(+H1669+H1660+H1652+H1637,0)</f>
        <v>18913</v>
      </c>
      <c r="I1671" s="133"/>
      <c r="J1671" s="8"/>
      <c r="K1671" s="8"/>
      <c r="L1671" s="8"/>
      <c r="M1671" s="223" t="s">
        <v>5415</v>
      </c>
      <c r="N1671" s="223"/>
      <c r="O1671" s="200"/>
      <c r="P1671" s="256">
        <f>ROUND(+P1669+P1660+P1652+P1637,0)</f>
        <v>21310</v>
      </c>
      <c r="Q1671" s="133"/>
      <c r="R1671" s="8"/>
      <c r="S1671" s="8"/>
      <c r="T1671" s="8"/>
      <c r="U1671" s="223" t="s">
        <v>5415</v>
      </c>
      <c r="V1671" s="223"/>
      <c r="W1671" s="200"/>
      <c r="X1671" s="256">
        <f>ROUND(+X1669+X1660+X1652+X1637,0)</f>
        <v>24906</v>
      </c>
    </row>
    <row r="1676" spans="1:26" ht="18.75" x14ac:dyDescent="0.25">
      <c r="A1676" s="133"/>
      <c r="B1676" s="2506" t="s">
        <v>5400</v>
      </c>
      <c r="C1676" s="2506"/>
      <c r="D1676" s="2506"/>
      <c r="E1676" s="2506"/>
      <c r="F1676" s="2506"/>
      <c r="G1676" s="2506"/>
      <c r="H1676" s="8"/>
      <c r="I1676" s="133"/>
      <c r="J1676" s="2506" t="s">
        <v>5400</v>
      </c>
      <c r="K1676" s="2506"/>
      <c r="L1676" s="2506"/>
      <c r="M1676" s="2506"/>
      <c r="N1676" s="2506"/>
      <c r="O1676" s="2506"/>
      <c r="P1676" s="2506"/>
      <c r="Q1676" s="8"/>
      <c r="R1676" s="2506" t="s">
        <v>5400</v>
      </c>
      <c r="S1676" s="2506"/>
      <c r="T1676" s="2506"/>
      <c r="U1676" s="2506"/>
      <c r="V1676" s="2506"/>
      <c r="W1676" s="2506"/>
      <c r="X1676" s="454"/>
      <c r="Y1676" s="454"/>
      <c r="Z1676" s="8"/>
    </row>
    <row r="1677" spans="1:26" x14ac:dyDescent="0.25">
      <c r="A1677" s="133"/>
      <c r="B1677" s="8"/>
      <c r="C1677" s="8"/>
      <c r="D1677" s="8"/>
      <c r="E1677" s="8"/>
      <c r="F1677" s="133"/>
      <c r="G1677" s="200"/>
      <c r="H1677" s="200"/>
      <c r="I1677" s="133"/>
      <c r="J1677" s="8"/>
      <c r="K1677" s="8"/>
      <c r="L1677" s="8"/>
      <c r="M1677" s="8"/>
      <c r="N1677" s="8"/>
      <c r="O1677" s="133"/>
      <c r="P1677" s="200"/>
      <c r="Q1677" s="200"/>
      <c r="R1677" s="133"/>
      <c r="S1677" s="8"/>
      <c r="T1677" s="8"/>
      <c r="U1677" s="8"/>
      <c r="V1677" s="8"/>
      <c r="W1677" s="8"/>
      <c r="X1677" s="133"/>
      <c r="Y1677" s="200"/>
      <c r="Z1677" s="200"/>
    </row>
    <row r="1678" spans="1:26" x14ac:dyDescent="0.25">
      <c r="A1678" s="133"/>
      <c r="B1678" s="8"/>
      <c r="C1678" s="8"/>
      <c r="D1678" s="8"/>
      <c r="E1678" s="8"/>
      <c r="F1678" s="133"/>
      <c r="G1678" s="200"/>
      <c r="H1678" s="200"/>
      <c r="I1678" s="133"/>
      <c r="J1678" s="8"/>
      <c r="K1678" s="8"/>
      <c r="L1678" s="8"/>
      <c r="M1678" s="8"/>
      <c r="N1678" s="8"/>
      <c r="O1678" s="133"/>
      <c r="P1678" s="200"/>
      <c r="Q1678" s="200"/>
      <c r="R1678" s="133"/>
      <c r="S1678" s="8"/>
      <c r="T1678" s="8"/>
      <c r="U1678" s="8"/>
      <c r="V1678" s="8"/>
      <c r="W1678" s="133"/>
      <c r="X1678" s="200"/>
      <c r="Y1678" s="200"/>
    </row>
    <row r="1679" spans="1:26" x14ac:dyDescent="0.25">
      <c r="A1679" s="133"/>
      <c r="B1679" s="8"/>
      <c r="C1679" s="8"/>
      <c r="D1679" s="8"/>
      <c r="E1679" s="8"/>
      <c r="F1679" s="133"/>
      <c r="G1679" s="200"/>
      <c r="H1679" s="200"/>
      <c r="I1679" s="133"/>
      <c r="J1679" s="8"/>
      <c r="K1679" s="8"/>
      <c r="L1679" s="8"/>
      <c r="M1679" s="8"/>
      <c r="N1679" s="8"/>
      <c r="O1679" s="133"/>
      <c r="P1679" s="200"/>
      <c r="Q1679" s="200"/>
      <c r="R1679" s="133"/>
      <c r="S1679" s="8"/>
      <c r="T1679" s="8"/>
      <c r="U1679" s="8"/>
      <c r="V1679" s="8"/>
      <c r="W1679" s="133"/>
      <c r="X1679" s="200"/>
      <c r="Y1679" s="200"/>
    </row>
    <row r="1680" spans="1:26" ht="15" customHeight="1" x14ac:dyDescent="0.25">
      <c r="A1680" s="220" t="s">
        <v>5482</v>
      </c>
      <c r="B1680" s="221" t="s">
        <v>399</v>
      </c>
      <c r="C1680" s="2449" t="s">
        <v>5905</v>
      </c>
      <c r="D1680" s="2449"/>
      <c r="E1680" s="2449"/>
      <c r="F1680" s="220" t="s">
        <v>867</v>
      </c>
      <c r="G1680" s="222" t="s">
        <v>5424</v>
      </c>
      <c r="H1680" s="200"/>
      <c r="I1680" s="220" t="s">
        <v>5482</v>
      </c>
      <c r="J1680" s="221" t="s">
        <v>399</v>
      </c>
      <c r="K1680" s="2449" t="s">
        <v>5906</v>
      </c>
      <c r="L1680" s="2449"/>
      <c r="M1680" s="2449"/>
      <c r="N1680" s="220" t="s">
        <v>867</v>
      </c>
      <c r="O1680" s="222" t="s">
        <v>5424</v>
      </c>
      <c r="P1680" s="200"/>
      <c r="Q1680" s="220" t="s">
        <v>5482</v>
      </c>
      <c r="R1680" s="221" t="s">
        <v>399</v>
      </c>
      <c r="S1680" s="2449" t="s">
        <v>5907</v>
      </c>
      <c r="T1680" s="2449"/>
      <c r="U1680" s="2449"/>
      <c r="V1680" s="220" t="s">
        <v>867</v>
      </c>
      <c r="W1680" s="222" t="s">
        <v>5424</v>
      </c>
      <c r="X1680" s="200"/>
    </row>
    <row r="1681" spans="1:24" x14ac:dyDescent="0.25">
      <c r="A1681" s="133"/>
      <c r="B1681" s="8"/>
      <c r="C1681" s="223"/>
      <c r="D1681" s="223"/>
      <c r="E1681" s="223"/>
      <c r="F1681" s="133"/>
      <c r="G1681" s="200"/>
      <c r="H1681" s="200"/>
      <c r="I1681" s="133"/>
      <c r="J1681" s="8"/>
      <c r="K1681" s="223"/>
      <c r="L1681" s="223"/>
      <c r="M1681" s="223"/>
      <c r="N1681" s="133"/>
      <c r="O1681" s="200"/>
      <c r="P1681" s="200"/>
      <c r="Q1681" s="133"/>
      <c r="R1681" s="8"/>
      <c r="S1681" s="223"/>
      <c r="T1681" s="223"/>
      <c r="U1681" s="223"/>
      <c r="V1681" s="133"/>
      <c r="W1681" s="200"/>
      <c r="X1681" s="200"/>
    </row>
    <row r="1682" spans="1:24" x14ac:dyDescent="0.25">
      <c r="A1682" s="133"/>
      <c r="B1682" s="8"/>
      <c r="C1682" s="8"/>
      <c r="D1682" s="8"/>
      <c r="E1682" s="8"/>
      <c r="F1682" s="8"/>
      <c r="G1682" s="8"/>
      <c r="H1682" s="200"/>
      <c r="I1682" s="133"/>
      <c r="J1682" s="8"/>
      <c r="K1682" s="8"/>
      <c r="L1682" s="8"/>
      <c r="M1682" s="8"/>
      <c r="N1682" s="8"/>
      <c r="O1682" s="8"/>
      <c r="P1682" s="200"/>
      <c r="Q1682" s="133"/>
      <c r="R1682" s="8"/>
      <c r="S1682" s="8"/>
      <c r="T1682" s="8"/>
      <c r="U1682" s="8"/>
      <c r="V1682" s="8"/>
      <c r="W1682" s="8"/>
      <c r="X1682" s="200"/>
    </row>
    <row r="1683" spans="1:24" ht="15.75" thickBot="1" x14ac:dyDescent="0.3">
      <c r="A1683" s="133"/>
      <c r="B1683" s="8"/>
      <c r="C1683" s="8"/>
      <c r="D1683" s="8"/>
      <c r="E1683" s="8"/>
      <c r="F1683" s="133"/>
      <c r="G1683" s="200"/>
      <c r="H1683" s="200"/>
      <c r="I1683" s="133"/>
      <c r="J1683" s="8"/>
      <c r="K1683" s="8"/>
      <c r="L1683" s="8"/>
      <c r="M1683" s="8"/>
      <c r="N1683" s="133"/>
      <c r="O1683" s="200"/>
      <c r="P1683" s="200"/>
      <c r="Q1683" s="133"/>
      <c r="R1683" s="8"/>
      <c r="S1683" s="8"/>
      <c r="T1683" s="8"/>
      <c r="U1683" s="8"/>
      <c r="V1683" s="133"/>
      <c r="W1683" s="200"/>
      <c r="X1683" s="200"/>
    </row>
    <row r="1684" spans="1:24" ht="15.75" thickBot="1" x14ac:dyDescent="0.3">
      <c r="A1684" s="133"/>
      <c r="B1684" s="224" t="s">
        <v>5403</v>
      </c>
      <c r="C1684" s="193" t="s">
        <v>867</v>
      </c>
      <c r="D1684" s="193" t="s">
        <v>6</v>
      </c>
      <c r="E1684" s="193" t="s">
        <v>5439</v>
      </c>
      <c r="F1684" s="193" t="s">
        <v>5405</v>
      </c>
      <c r="G1684" s="225" t="s">
        <v>868</v>
      </c>
      <c r="H1684" s="200"/>
      <c r="I1684" s="133"/>
      <c r="J1684" s="224" t="s">
        <v>5403</v>
      </c>
      <c r="K1684" s="193" t="s">
        <v>867</v>
      </c>
      <c r="L1684" s="193" t="s">
        <v>6</v>
      </c>
      <c r="M1684" s="193" t="s">
        <v>5439</v>
      </c>
      <c r="N1684" s="193" t="s">
        <v>5405</v>
      </c>
      <c r="O1684" s="225" t="s">
        <v>868</v>
      </c>
      <c r="P1684" s="200"/>
      <c r="Q1684" s="133"/>
      <c r="R1684" s="224" t="s">
        <v>5403</v>
      </c>
      <c r="S1684" s="193" t="s">
        <v>867</v>
      </c>
      <c r="T1684" s="193" t="s">
        <v>6</v>
      </c>
      <c r="U1684" s="193" t="s">
        <v>5439</v>
      </c>
      <c r="V1684" s="193" t="s">
        <v>5405</v>
      </c>
      <c r="W1684" s="225" t="s">
        <v>868</v>
      </c>
      <c r="X1684" s="200"/>
    </row>
    <row r="1685" spans="1:24" x14ac:dyDescent="0.25">
      <c r="A1685" s="133"/>
      <c r="B1685" s="195" t="s">
        <v>5440</v>
      </c>
      <c r="C1685" s="226" t="s">
        <v>5424</v>
      </c>
      <c r="D1685" s="226">
        <v>1</v>
      </c>
      <c r="E1685" s="227">
        <f>+H1723</f>
        <v>23717</v>
      </c>
      <c r="F1685" s="226">
        <v>0.1</v>
      </c>
      <c r="G1685" s="229">
        <f>+E1685*F1685</f>
        <v>2371.7000000000003</v>
      </c>
      <c r="H1685" s="200"/>
      <c r="I1685" s="133"/>
      <c r="J1685" s="195" t="s">
        <v>5440</v>
      </c>
      <c r="K1685" s="226" t="s">
        <v>5424</v>
      </c>
      <c r="L1685" s="226">
        <v>1</v>
      </c>
      <c r="M1685" s="228">
        <f>+P1723</f>
        <v>25622.5</v>
      </c>
      <c r="N1685" s="226">
        <v>0.1</v>
      </c>
      <c r="O1685" s="229">
        <f>+M1685*N1685</f>
        <v>2562.25</v>
      </c>
      <c r="P1685" s="200"/>
      <c r="Q1685" s="133"/>
      <c r="R1685" s="195" t="s">
        <v>5440</v>
      </c>
      <c r="S1685" s="226" t="s">
        <v>5424</v>
      </c>
      <c r="T1685" s="226">
        <v>1</v>
      </c>
      <c r="U1685" s="228">
        <f>+X1723</f>
        <v>28798.333333333336</v>
      </c>
      <c r="V1685" s="226">
        <v>0.1</v>
      </c>
      <c r="W1685" s="229">
        <f>+U1685*V1685</f>
        <v>2879.8333333333339</v>
      </c>
      <c r="X1685" s="200"/>
    </row>
    <row r="1686" spans="1:24" x14ac:dyDescent="0.25">
      <c r="A1686" s="133"/>
      <c r="B1686" s="195" t="s">
        <v>6063</v>
      </c>
      <c r="C1686" s="226" t="s">
        <v>5424</v>
      </c>
      <c r="D1686" s="226">
        <v>1</v>
      </c>
      <c r="E1686" s="176">
        <v>120000</v>
      </c>
      <c r="F1686" s="226">
        <v>12</v>
      </c>
      <c r="G1686" s="229">
        <f>+E1686/F1686</f>
        <v>10000</v>
      </c>
      <c r="H1686" s="200"/>
      <c r="I1686" s="133"/>
      <c r="J1686" s="195" t="s">
        <v>6063</v>
      </c>
      <c r="K1686" s="226" t="s">
        <v>5424</v>
      </c>
      <c r="L1686" s="226">
        <v>1</v>
      </c>
      <c r="M1686" s="228">
        <v>120000</v>
      </c>
      <c r="N1686" s="226">
        <v>10</v>
      </c>
      <c r="O1686" s="229">
        <f>+M1686/N1686</f>
        <v>12000</v>
      </c>
      <c r="P1686" s="200"/>
      <c r="Q1686" s="133"/>
      <c r="R1686" s="195" t="s">
        <v>6063</v>
      </c>
      <c r="S1686" s="226" t="s">
        <v>5424</v>
      </c>
      <c r="T1686" s="226">
        <v>1</v>
      </c>
      <c r="U1686" s="228">
        <v>120000</v>
      </c>
      <c r="V1686" s="226">
        <v>8</v>
      </c>
      <c r="W1686" s="229">
        <f>+U1686/V1686</f>
        <v>15000</v>
      </c>
      <c r="X1686" s="200"/>
    </row>
    <row r="1687" spans="1:24" x14ac:dyDescent="0.25">
      <c r="A1687" s="133"/>
      <c r="B1687" s="195"/>
      <c r="C1687" s="226"/>
      <c r="D1687" s="226"/>
      <c r="E1687" s="176"/>
      <c r="F1687" s="226"/>
      <c r="G1687" s="229"/>
      <c r="H1687" s="200"/>
      <c r="I1687" s="133"/>
      <c r="J1687" s="195"/>
      <c r="K1687" s="226"/>
      <c r="L1687" s="226"/>
      <c r="M1687" s="228"/>
      <c r="N1687" s="226"/>
      <c r="O1687" s="229"/>
      <c r="P1687" s="200"/>
      <c r="Q1687" s="133"/>
      <c r="R1687" s="195"/>
      <c r="S1687" s="226"/>
      <c r="T1687" s="226"/>
      <c r="U1687" s="228"/>
      <c r="V1687" s="226"/>
      <c r="W1687" s="229"/>
      <c r="X1687" s="200"/>
    </row>
    <row r="1688" spans="1:24" x14ac:dyDescent="0.25">
      <c r="A1688" s="133"/>
      <c r="B1688" s="195"/>
      <c r="C1688" s="226"/>
      <c r="D1688" s="226"/>
      <c r="E1688" s="171"/>
      <c r="F1688" s="226"/>
      <c r="G1688" s="231"/>
      <c r="H1688" s="200"/>
      <c r="I1688" s="133"/>
      <c r="J1688" s="195"/>
      <c r="K1688" s="226"/>
      <c r="L1688" s="226"/>
      <c r="M1688" s="171"/>
      <c r="N1688" s="226"/>
      <c r="O1688" s="231"/>
      <c r="P1688" s="200"/>
      <c r="Q1688" s="133"/>
      <c r="R1688" s="195"/>
      <c r="S1688" s="226"/>
      <c r="T1688" s="226"/>
      <c r="U1688" s="171"/>
      <c r="V1688" s="226"/>
      <c r="W1688" s="231"/>
      <c r="X1688" s="200"/>
    </row>
    <row r="1689" spans="1:24" x14ac:dyDescent="0.25">
      <c r="A1689" s="133"/>
      <c r="B1689" s="195"/>
      <c r="C1689" s="226"/>
      <c r="D1689" s="232"/>
      <c r="E1689" s="232"/>
      <c r="F1689" s="226"/>
      <c r="G1689" s="229"/>
      <c r="H1689" s="200"/>
      <c r="I1689" s="133"/>
      <c r="J1689" s="195"/>
      <c r="K1689" s="226"/>
      <c r="L1689" s="232"/>
      <c r="M1689" s="232"/>
      <c r="N1689" s="226"/>
      <c r="O1689" s="229"/>
      <c r="P1689" s="200"/>
      <c r="Q1689" s="133"/>
      <c r="R1689" s="195"/>
      <c r="S1689" s="226"/>
      <c r="T1689" s="232"/>
      <c r="U1689" s="232"/>
      <c r="V1689" s="226"/>
      <c r="W1689" s="229"/>
      <c r="X1689" s="200"/>
    </row>
    <row r="1690" spans="1:24" ht="15.75" thickBot="1" x14ac:dyDescent="0.3">
      <c r="A1690" s="133"/>
      <c r="B1690" s="195"/>
      <c r="C1690" s="226"/>
      <c r="D1690" s="232"/>
      <c r="E1690" s="232"/>
      <c r="F1690" s="226"/>
      <c r="G1690" s="229"/>
      <c r="H1690" s="200"/>
      <c r="I1690" s="133"/>
      <c r="J1690" s="195"/>
      <c r="K1690" s="226"/>
      <c r="L1690" s="232"/>
      <c r="M1690" s="232"/>
      <c r="N1690" s="226"/>
      <c r="O1690" s="229"/>
      <c r="P1690" s="200"/>
      <c r="Q1690" s="133"/>
      <c r="R1690" s="195"/>
      <c r="S1690" s="226"/>
      <c r="T1690" s="232"/>
      <c r="U1690" s="232"/>
      <c r="V1690" s="226"/>
      <c r="W1690" s="229"/>
      <c r="X1690" s="200"/>
    </row>
    <row r="1691" spans="1:24" ht="15.75" thickBot="1" x14ac:dyDescent="0.3">
      <c r="A1691" s="133"/>
      <c r="B1691" s="233"/>
      <c r="C1691" s="234"/>
      <c r="D1691" s="234"/>
      <c r="E1691" s="234"/>
      <c r="F1691" s="235"/>
      <c r="G1691" s="236"/>
      <c r="H1691" s="237">
        <f>+SUM(G1685:G1691)</f>
        <v>12371.7</v>
      </c>
      <c r="I1691" s="133"/>
      <c r="J1691" s="233"/>
      <c r="K1691" s="234"/>
      <c r="L1691" s="234"/>
      <c r="M1691" s="234"/>
      <c r="N1691" s="235"/>
      <c r="O1691" s="236"/>
      <c r="P1691" s="237">
        <f>+SUM(O1685:O1691)</f>
        <v>14562.25</v>
      </c>
      <c r="Q1691" s="133"/>
      <c r="R1691" s="233"/>
      <c r="S1691" s="234"/>
      <c r="T1691" s="234"/>
      <c r="U1691" s="234"/>
      <c r="V1691" s="235"/>
      <c r="W1691" s="236"/>
      <c r="X1691" s="237">
        <f>+SUM(W1685:W1691)</f>
        <v>17879.833333333336</v>
      </c>
    </row>
    <row r="1692" spans="1:24" ht="15.75" thickBot="1" x14ac:dyDescent="0.3">
      <c r="A1692" s="133"/>
      <c r="B1692" s="238"/>
      <c r="C1692" s="238"/>
      <c r="D1692" s="238"/>
      <c r="E1692" s="238"/>
      <c r="F1692" s="239"/>
      <c r="G1692" s="240"/>
      <c r="H1692" s="241"/>
      <c r="I1692" s="133"/>
      <c r="J1692" s="238"/>
      <c r="K1692" s="238"/>
      <c r="L1692" s="238"/>
      <c r="M1692" s="238"/>
      <c r="N1692" s="239"/>
      <c r="O1692" s="240"/>
      <c r="P1692" s="241"/>
      <c r="Q1692" s="133"/>
      <c r="R1692" s="238"/>
      <c r="S1692" s="238"/>
      <c r="T1692" s="238"/>
      <c r="U1692" s="238"/>
      <c r="V1692" s="239"/>
      <c r="W1692" s="240"/>
      <c r="X1692" s="241"/>
    </row>
    <row r="1693" spans="1:24" ht="15.75" thickBot="1" x14ac:dyDescent="0.3">
      <c r="A1693" s="133"/>
      <c r="B1693" s="224" t="s">
        <v>5408</v>
      </c>
      <c r="C1693" s="193" t="s">
        <v>867</v>
      </c>
      <c r="D1693" s="193" t="s">
        <v>6</v>
      </c>
      <c r="E1693" s="193" t="s">
        <v>870</v>
      </c>
      <c r="F1693" s="193" t="s">
        <v>5409</v>
      </c>
      <c r="G1693" s="225" t="s">
        <v>868</v>
      </c>
      <c r="H1693" s="200"/>
      <c r="I1693" s="133"/>
      <c r="J1693" s="224" t="s">
        <v>5408</v>
      </c>
      <c r="K1693" s="193" t="s">
        <v>867</v>
      </c>
      <c r="L1693" s="193" t="s">
        <v>6</v>
      </c>
      <c r="M1693" s="193" t="s">
        <v>870</v>
      </c>
      <c r="N1693" s="193" t="s">
        <v>5409</v>
      </c>
      <c r="O1693" s="225" t="s">
        <v>868</v>
      </c>
      <c r="P1693" s="200"/>
      <c r="Q1693" s="133"/>
      <c r="R1693" s="224" t="s">
        <v>5408</v>
      </c>
      <c r="S1693" s="193" t="s">
        <v>867</v>
      </c>
      <c r="T1693" s="193" t="s">
        <v>6</v>
      </c>
      <c r="U1693" s="193" t="s">
        <v>870</v>
      </c>
      <c r="V1693" s="193" t="s">
        <v>5409</v>
      </c>
      <c r="W1693" s="225" t="s">
        <v>868</v>
      </c>
      <c r="X1693" s="200"/>
    </row>
    <row r="1694" spans="1:24" x14ac:dyDescent="0.25">
      <c r="A1694" s="133"/>
      <c r="B1694" s="295"/>
      <c r="C1694" s="202"/>
      <c r="D1694" s="226"/>
      <c r="E1694" s="244"/>
      <c r="F1694" s="169"/>
      <c r="G1694" s="178">
        <f>+D1694*E1694*(1+F1694)</f>
        <v>0</v>
      </c>
      <c r="H1694" s="200"/>
      <c r="I1694" s="133"/>
      <c r="J1694" s="295"/>
      <c r="K1694" s="202"/>
      <c r="L1694" s="226"/>
      <c r="M1694" s="228"/>
      <c r="N1694" s="169"/>
      <c r="O1694" s="178"/>
      <c r="P1694" s="200"/>
      <c r="Q1694" s="133"/>
      <c r="R1694" s="295"/>
      <c r="S1694" s="202"/>
      <c r="T1694" s="226"/>
      <c r="U1694" s="228"/>
      <c r="V1694" s="169"/>
      <c r="W1694" s="178"/>
      <c r="X1694" s="200"/>
    </row>
    <row r="1695" spans="1:24" x14ac:dyDescent="0.25">
      <c r="A1695" s="133"/>
      <c r="B1695" s="450"/>
      <c r="C1695" s="202"/>
      <c r="D1695" s="202"/>
      <c r="E1695" s="257"/>
      <c r="F1695" s="169"/>
      <c r="G1695" s="178">
        <f>+D1695*E1695*(1+F1695)</f>
        <v>0</v>
      </c>
      <c r="H1695" s="200"/>
      <c r="I1695" s="133"/>
      <c r="J1695" s="450"/>
      <c r="K1695" s="202"/>
      <c r="L1695" s="202"/>
      <c r="M1695" s="228"/>
      <c r="N1695" s="169"/>
      <c r="O1695" s="178"/>
      <c r="P1695" s="200"/>
      <c r="Q1695" s="133"/>
      <c r="R1695" s="450"/>
      <c r="S1695" s="202"/>
      <c r="T1695" s="202"/>
      <c r="U1695" s="228"/>
      <c r="V1695" s="169"/>
      <c r="W1695" s="178"/>
      <c r="X1695" s="200"/>
    </row>
    <row r="1696" spans="1:24" x14ac:dyDescent="0.25">
      <c r="A1696" s="133"/>
      <c r="B1696" s="247"/>
      <c r="C1696" s="226"/>
      <c r="D1696" s="226"/>
      <c r="E1696" s="244"/>
      <c r="F1696" s="169"/>
      <c r="G1696" s="178">
        <f>+D1696*E1696*(1+F1696)</f>
        <v>0</v>
      </c>
      <c r="H1696" s="200"/>
      <c r="I1696" s="133"/>
      <c r="J1696" s="247"/>
      <c r="K1696" s="226"/>
      <c r="L1696" s="226"/>
      <c r="M1696" s="228"/>
      <c r="N1696" s="169"/>
      <c r="O1696" s="178"/>
      <c r="P1696" s="200"/>
      <c r="Q1696" s="133"/>
      <c r="R1696" s="247"/>
      <c r="S1696" s="226"/>
      <c r="T1696" s="226"/>
      <c r="U1696" s="228"/>
      <c r="V1696" s="169"/>
      <c r="W1696" s="178"/>
      <c r="X1696" s="200"/>
    </row>
    <row r="1697" spans="1:24" x14ac:dyDescent="0.25">
      <c r="A1697" s="133"/>
      <c r="B1697" s="194"/>
      <c r="C1697" s="226"/>
      <c r="D1697" s="226"/>
      <c r="E1697" s="171"/>
      <c r="F1697" s="169"/>
      <c r="G1697" s="178">
        <f>+D1697*E1697*(1+F1697)</f>
        <v>0</v>
      </c>
      <c r="H1697" s="200"/>
      <c r="I1697" s="133"/>
      <c r="J1697" s="194"/>
      <c r="K1697" s="226"/>
      <c r="L1697" s="226"/>
      <c r="M1697" s="228"/>
      <c r="N1697" s="169"/>
      <c r="O1697" s="178"/>
      <c r="P1697" s="200"/>
      <c r="Q1697" s="133"/>
      <c r="R1697" s="194"/>
      <c r="S1697" s="226"/>
      <c r="T1697" s="226"/>
      <c r="U1697" s="228"/>
      <c r="V1697" s="169"/>
      <c r="W1697" s="178"/>
      <c r="X1697" s="200"/>
    </row>
    <row r="1698" spans="1:24" x14ac:dyDescent="0.25">
      <c r="A1698" s="133"/>
      <c r="B1698" s="195"/>
      <c r="C1698" s="226"/>
      <c r="D1698" s="226"/>
      <c r="E1698" s="171"/>
      <c r="F1698" s="169"/>
      <c r="G1698" s="178"/>
      <c r="H1698" s="200"/>
      <c r="I1698" s="133"/>
      <c r="J1698" s="195"/>
      <c r="K1698" s="226"/>
      <c r="L1698" s="226"/>
      <c r="M1698" s="176"/>
      <c r="N1698" s="169"/>
      <c r="O1698" s="178"/>
      <c r="P1698" s="200"/>
      <c r="Q1698" s="133"/>
      <c r="R1698" s="195"/>
      <c r="S1698" s="226"/>
      <c r="T1698" s="226"/>
      <c r="U1698" s="176"/>
      <c r="V1698" s="169"/>
      <c r="W1698" s="178"/>
      <c r="X1698" s="200"/>
    </row>
    <row r="1699" spans="1:24" x14ac:dyDescent="0.25">
      <c r="A1699" s="133"/>
      <c r="B1699" s="194"/>
      <c r="C1699" s="202"/>
      <c r="D1699" s="202"/>
      <c r="E1699" s="171"/>
      <c r="F1699" s="169"/>
      <c r="G1699" s="178"/>
      <c r="H1699" s="200"/>
      <c r="I1699" s="133"/>
      <c r="J1699" s="194"/>
      <c r="K1699" s="202"/>
      <c r="L1699" s="202"/>
      <c r="M1699" s="176"/>
      <c r="N1699" s="169"/>
      <c r="O1699" s="178"/>
      <c r="P1699" s="200"/>
      <c r="Q1699" s="133"/>
      <c r="R1699" s="194"/>
      <c r="S1699" s="202"/>
      <c r="T1699" s="202"/>
      <c r="U1699" s="176"/>
      <c r="V1699" s="169"/>
      <c r="W1699" s="178"/>
      <c r="X1699" s="200"/>
    </row>
    <row r="1700" spans="1:24" x14ac:dyDescent="0.25">
      <c r="A1700" s="133"/>
      <c r="B1700" s="195"/>
      <c r="C1700" s="226"/>
      <c r="D1700" s="226"/>
      <c r="E1700" s="171"/>
      <c r="F1700" s="169"/>
      <c r="G1700" s="178"/>
      <c r="H1700" s="200"/>
      <c r="I1700" s="133"/>
      <c r="J1700" s="195"/>
      <c r="K1700" s="226"/>
      <c r="L1700" s="226"/>
      <c r="M1700" s="176"/>
      <c r="N1700" s="169"/>
      <c r="O1700" s="178"/>
      <c r="P1700" s="200"/>
      <c r="Q1700" s="133"/>
      <c r="R1700" s="195"/>
      <c r="S1700" s="226"/>
      <c r="T1700" s="226"/>
      <c r="U1700" s="176"/>
      <c r="V1700" s="169"/>
      <c r="W1700" s="178"/>
      <c r="X1700" s="200"/>
    </row>
    <row r="1701" spans="1:24" x14ac:dyDescent="0.25">
      <c r="A1701" s="133"/>
      <c r="B1701" s="195"/>
      <c r="C1701" s="226"/>
      <c r="D1701" s="226"/>
      <c r="E1701" s="171"/>
      <c r="F1701" s="169"/>
      <c r="G1701" s="178"/>
      <c r="H1701" s="200"/>
      <c r="I1701" s="133"/>
      <c r="J1701" s="195"/>
      <c r="K1701" s="226"/>
      <c r="L1701" s="226"/>
      <c r="M1701" s="176"/>
      <c r="N1701" s="169"/>
      <c r="O1701" s="178"/>
      <c r="P1701" s="200"/>
      <c r="Q1701" s="133"/>
      <c r="R1701" s="195"/>
      <c r="S1701" s="226"/>
      <c r="T1701" s="226"/>
      <c r="U1701" s="176"/>
      <c r="V1701" s="169"/>
      <c r="W1701" s="178"/>
      <c r="X1701" s="200"/>
    </row>
    <row r="1702" spans="1:24" x14ac:dyDescent="0.25">
      <c r="A1702" s="133"/>
      <c r="B1702" s="195"/>
      <c r="C1702" s="232"/>
      <c r="D1702" s="232"/>
      <c r="E1702" s="232"/>
      <c r="F1702" s="226"/>
      <c r="G1702" s="229"/>
      <c r="H1702" s="200"/>
      <c r="I1702" s="133"/>
      <c r="J1702" s="195"/>
      <c r="K1702" s="232"/>
      <c r="L1702" s="232"/>
      <c r="M1702" s="232"/>
      <c r="N1702" s="226"/>
      <c r="O1702" s="229"/>
      <c r="P1702" s="200"/>
      <c r="Q1702" s="133"/>
      <c r="R1702" s="195"/>
      <c r="S1702" s="232"/>
      <c r="T1702" s="232"/>
      <c r="U1702" s="232"/>
      <c r="V1702" s="226"/>
      <c r="W1702" s="229"/>
      <c r="X1702" s="200"/>
    </row>
    <row r="1703" spans="1:24" x14ac:dyDescent="0.25">
      <c r="A1703" s="133"/>
      <c r="B1703" s="195"/>
      <c r="C1703" s="232"/>
      <c r="D1703" s="232"/>
      <c r="E1703" s="232"/>
      <c r="F1703" s="226"/>
      <c r="G1703" s="229"/>
      <c r="H1703" s="200"/>
      <c r="I1703" s="133"/>
      <c r="J1703" s="195"/>
      <c r="K1703" s="232"/>
      <c r="L1703" s="232"/>
      <c r="M1703" s="232"/>
      <c r="N1703" s="226"/>
      <c r="O1703" s="229"/>
      <c r="P1703" s="200"/>
      <c r="Q1703" s="133"/>
      <c r="R1703" s="195"/>
      <c r="S1703" s="232"/>
      <c r="T1703" s="232"/>
      <c r="U1703" s="232"/>
      <c r="V1703" s="226"/>
      <c r="W1703" s="229"/>
      <c r="X1703" s="200"/>
    </row>
    <row r="1704" spans="1:24" x14ac:dyDescent="0.25">
      <c r="A1704" s="133"/>
      <c r="B1704" s="195"/>
      <c r="C1704" s="232"/>
      <c r="D1704" s="232"/>
      <c r="E1704" s="232"/>
      <c r="F1704" s="226"/>
      <c r="G1704" s="229"/>
      <c r="H1704" s="200"/>
      <c r="I1704" s="133"/>
      <c r="J1704" s="195"/>
      <c r="K1704" s="232"/>
      <c r="L1704" s="232"/>
      <c r="M1704" s="232"/>
      <c r="N1704" s="226"/>
      <c r="O1704" s="229"/>
      <c r="P1704" s="200"/>
      <c r="Q1704" s="133"/>
      <c r="R1704" s="195"/>
      <c r="S1704" s="232"/>
      <c r="T1704" s="232"/>
      <c r="U1704" s="232"/>
      <c r="V1704" s="226"/>
      <c r="W1704" s="229"/>
      <c r="X1704" s="200"/>
    </row>
    <row r="1705" spans="1:24" ht="15.75" thickBot="1" x14ac:dyDescent="0.3">
      <c r="A1705" s="133"/>
      <c r="B1705" s="195"/>
      <c r="C1705" s="232"/>
      <c r="D1705" s="232"/>
      <c r="E1705" s="232"/>
      <c r="F1705" s="226"/>
      <c r="G1705" s="229"/>
      <c r="H1705" s="200"/>
      <c r="I1705" s="133"/>
      <c r="J1705" s="195"/>
      <c r="K1705" s="232"/>
      <c r="L1705" s="232"/>
      <c r="M1705" s="232"/>
      <c r="N1705" s="226"/>
      <c r="O1705" s="229"/>
      <c r="P1705" s="200"/>
      <c r="Q1705" s="133"/>
      <c r="R1705" s="195"/>
      <c r="S1705" s="232"/>
      <c r="T1705" s="232"/>
      <c r="U1705" s="232"/>
      <c r="V1705" s="226"/>
      <c r="W1705" s="229"/>
      <c r="X1705" s="200"/>
    </row>
    <row r="1706" spans="1:24" ht="15.75" thickBot="1" x14ac:dyDescent="0.3">
      <c r="A1706" s="133"/>
      <c r="B1706" s="233"/>
      <c r="C1706" s="234"/>
      <c r="D1706" s="234"/>
      <c r="E1706" s="234"/>
      <c r="F1706" s="235"/>
      <c r="G1706" s="236"/>
      <c r="H1706" s="256">
        <f>+SUM(G1694:G1706)</f>
        <v>0</v>
      </c>
      <c r="I1706" s="133"/>
      <c r="J1706" s="233"/>
      <c r="K1706" s="234"/>
      <c r="L1706" s="234"/>
      <c r="M1706" s="234"/>
      <c r="N1706" s="235"/>
      <c r="O1706" s="236"/>
      <c r="P1706" s="256">
        <f>+SUM(O1694:O1706)</f>
        <v>0</v>
      </c>
      <c r="Q1706" s="133"/>
      <c r="R1706" s="233"/>
      <c r="S1706" s="234"/>
      <c r="T1706" s="234"/>
      <c r="U1706" s="234"/>
      <c r="V1706" s="235"/>
      <c r="W1706" s="236"/>
      <c r="X1706" s="256">
        <f>+SUM(W1694:W1706)</f>
        <v>0</v>
      </c>
    </row>
    <row r="1707" spans="1:24" ht="15.75" thickBot="1" x14ac:dyDescent="0.3">
      <c r="A1707" s="133"/>
      <c r="B1707" s="238"/>
      <c r="C1707" s="238"/>
      <c r="D1707" s="238"/>
      <c r="E1707" s="238"/>
      <c r="F1707" s="239"/>
      <c r="G1707" s="240"/>
      <c r="H1707" s="241"/>
      <c r="I1707" s="133"/>
      <c r="J1707" s="238"/>
      <c r="K1707" s="238"/>
      <c r="L1707" s="238"/>
      <c r="M1707" s="238"/>
      <c r="N1707" s="239"/>
      <c r="O1707" s="240"/>
      <c r="P1707" s="241"/>
      <c r="Q1707" s="133"/>
      <c r="R1707" s="238"/>
      <c r="S1707" s="238"/>
      <c r="T1707" s="238"/>
      <c r="U1707" s="238"/>
      <c r="V1707" s="239"/>
      <c r="W1707" s="240"/>
      <c r="X1707" s="241"/>
    </row>
    <row r="1708" spans="1:24" ht="15.75" thickBot="1" x14ac:dyDescent="0.3">
      <c r="A1708" s="133"/>
      <c r="B1708" s="224" t="s">
        <v>5410</v>
      </c>
      <c r="C1708" s="193" t="s">
        <v>867</v>
      </c>
      <c r="D1708" s="193" t="s">
        <v>6</v>
      </c>
      <c r="E1708" s="193" t="s">
        <v>870</v>
      </c>
      <c r="F1708" s="193" t="s">
        <v>5411</v>
      </c>
      <c r="G1708" s="225" t="s">
        <v>868</v>
      </c>
      <c r="H1708" s="200"/>
      <c r="I1708" s="133"/>
      <c r="J1708" s="224" t="s">
        <v>5410</v>
      </c>
      <c r="K1708" s="193" t="s">
        <v>867</v>
      </c>
      <c r="L1708" s="193" t="s">
        <v>6</v>
      </c>
      <c r="M1708" s="193" t="s">
        <v>870</v>
      </c>
      <c r="N1708" s="193" t="s">
        <v>5411</v>
      </c>
      <c r="O1708" s="225" t="s">
        <v>868</v>
      </c>
      <c r="P1708" s="200"/>
      <c r="Q1708" s="133"/>
      <c r="R1708" s="224" t="s">
        <v>5410</v>
      </c>
      <c r="S1708" s="193" t="s">
        <v>867</v>
      </c>
      <c r="T1708" s="193" t="s">
        <v>6</v>
      </c>
      <c r="U1708" s="193" t="s">
        <v>870</v>
      </c>
      <c r="V1708" s="193" t="s">
        <v>5411</v>
      </c>
      <c r="W1708" s="225" t="s">
        <v>868</v>
      </c>
      <c r="X1708" s="200"/>
    </row>
    <row r="1709" spans="1:24" x14ac:dyDescent="0.25">
      <c r="A1709" s="133"/>
      <c r="B1709" s="245"/>
      <c r="C1709" s="202"/>
      <c r="D1709" s="202"/>
      <c r="E1709" s="175"/>
      <c r="F1709" s="202"/>
      <c r="G1709" s="203"/>
      <c r="H1709" s="246"/>
      <c r="I1709" s="133"/>
      <c r="J1709" s="245"/>
      <c r="K1709" s="202"/>
      <c r="L1709" s="202"/>
      <c r="M1709" s="175"/>
      <c r="N1709" s="202"/>
      <c r="O1709" s="203"/>
      <c r="P1709" s="246"/>
      <c r="Q1709" s="133"/>
      <c r="R1709" s="245"/>
      <c r="S1709" s="202"/>
      <c r="T1709" s="202"/>
      <c r="U1709" s="175"/>
      <c r="V1709" s="202"/>
      <c r="W1709" s="203"/>
      <c r="X1709" s="246"/>
    </row>
    <row r="1710" spans="1:24" x14ac:dyDescent="0.25">
      <c r="A1710" s="133"/>
      <c r="B1710" s="247"/>
      <c r="C1710" s="248"/>
      <c r="D1710" s="248"/>
      <c r="E1710" s="248"/>
      <c r="F1710" s="202"/>
      <c r="G1710" s="178"/>
      <c r="H1710" s="200"/>
      <c r="I1710" s="133"/>
      <c r="J1710" s="247"/>
      <c r="K1710" s="248"/>
      <c r="L1710" s="248"/>
      <c r="M1710" s="248"/>
      <c r="N1710" s="202"/>
      <c r="O1710" s="178"/>
      <c r="P1710" s="200"/>
      <c r="Q1710" s="133"/>
      <c r="R1710" s="247"/>
      <c r="S1710" s="248"/>
      <c r="T1710" s="248"/>
      <c r="U1710" s="248"/>
      <c r="V1710" s="202"/>
      <c r="W1710" s="178"/>
      <c r="X1710" s="200"/>
    </row>
    <row r="1711" spans="1:24" x14ac:dyDescent="0.25">
      <c r="A1711" s="133"/>
      <c r="B1711" s="247"/>
      <c r="C1711" s="232"/>
      <c r="D1711" s="232"/>
      <c r="E1711" s="232"/>
      <c r="F1711" s="226"/>
      <c r="G1711" s="229"/>
      <c r="H1711" s="200"/>
      <c r="I1711" s="133"/>
      <c r="J1711" s="247"/>
      <c r="K1711" s="232"/>
      <c r="L1711" s="232"/>
      <c r="M1711" s="232"/>
      <c r="N1711" s="226"/>
      <c r="O1711" s="229"/>
      <c r="P1711" s="200"/>
      <c r="Q1711" s="133"/>
      <c r="R1711" s="247"/>
      <c r="S1711" s="232"/>
      <c r="T1711" s="232"/>
      <c r="U1711" s="232"/>
      <c r="V1711" s="226"/>
      <c r="W1711" s="229"/>
      <c r="X1711" s="200"/>
    </row>
    <row r="1712" spans="1:24" x14ac:dyDescent="0.25">
      <c r="A1712" s="133"/>
      <c r="B1712" s="194"/>
      <c r="C1712" s="232"/>
      <c r="D1712" s="232"/>
      <c r="E1712" s="232"/>
      <c r="F1712" s="226"/>
      <c r="G1712" s="229"/>
      <c r="H1712" s="200"/>
      <c r="I1712" s="133"/>
      <c r="J1712" s="194"/>
      <c r="K1712" s="232"/>
      <c r="L1712" s="232"/>
      <c r="M1712" s="232"/>
      <c r="N1712" s="226"/>
      <c r="O1712" s="229"/>
      <c r="P1712" s="200"/>
      <c r="Q1712" s="133"/>
      <c r="R1712" s="194"/>
      <c r="S1712" s="232"/>
      <c r="T1712" s="232"/>
      <c r="U1712" s="232"/>
      <c r="V1712" s="226"/>
      <c r="W1712" s="229"/>
      <c r="X1712" s="200"/>
    </row>
    <row r="1713" spans="1:24" ht="15.75" thickBot="1" x14ac:dyDescent="0.3">
      <c r="A1713" s="133"/>
      <c r="B1713" s="195"/>
      <c r="C1713" s="232"/>
      <c r="D1713" s="232"/>
      <c r="E1713" s="232"/>
      <c r="F1713" s="226"/>
      <c r="G1713" s="229"/>
      <c r="H1713" s="200"/>
      <c r="I1713" s="133"/>
      <c r="J1713" s="195"/>
      <c r="K1713" s="232"/>
      <c r="L1713" s="232"/>
      <c r="M1713" s="232"/>
      <c r="N1713" s="226"/>
      <c r="O1713" s="229"/>
      <c r="P1713" s="200"/>
      <c r="Q1713" s="133"/>
      <c r="R1713" s="195"/>
      <c r="S1713" s="232"/>
      <c r="T1713" s="232"/>
      <c r="U1713" s="232"/>
      <c r="V1713" s="226"/>
      <c r="W1713" s="229"/>
      <c r="X1713" s="200"/>
    </row>
    <row r="1714" spans="1:24" ht="15.75" thickBot="1" x14ac:dyDescent="0.3">
      <c r="A1714" s="133"/>
      <c r="B1714" s="233"/>
      <c r="C1714" s="234"/>
      <c r="D1714" s="234"/>
      <c r="E1714" s="234"/>
      <c r="F1714" s="235"/>
      <c r="G1714" s="236"/>
      <c r="H1714" s="237">
        <f>+SUM(G1709:G1714)</f>
        <v>0</v>
      </c>
      <c r="I1714" s="133"/>
      <c r="J1714" s="233"/>
      <c r="K1714" s="234"/>
      <c r="L1714" s="234"/>
      <c r="M1714" s="234"/>
      <c r="N1714" s="235"/>
      <c r="O1714" s="236"/>
      <c r="P1714" s="237">
        <f>+SUM(O1709:O1714)</f>
        <v>0</v>
      </c>
      <c r="Q1714" s="133"/>
      <c r="R1714" s="233"/>
      <c r="S1714" s="234"/>
      <c r="T1714" s="234"/>
      <c r="U1714" s="234"/>
      <c r="V1714" s="235"/>
      <c r="W1714" s="236"/>
      <c r="X1714" s="237">
        <f>+SUM(W1709:W1714)</f>
        <v>0</v>
      </c>
    </row>
    <row r="1715" spans="1:24" ht="15.75" thickBot="1" x14ac:dyDescent="0.3">
      <c r="A1715" s="133"/>
      <c r="B1715" s="238"/>
      <c r="C1715" s="238"/>
      <c r="D1715" s="238"/>
      <c r="E1715" s="238"/>
      <c r="F1715" s="249"/>
      <c r="G1715" s="250"/>
      <c r="H1715" s="241"/>
      <c r="I1715" s="133"/>
      <c r="J1715" s="238"/>
      <c r="K1715" s="238"/>
      <c r="L1715" s="238"/>
      <c r="M1715" s="238"/>
      <c r="N1715" s="249"/>
      <c r="O1715" s="250"/>
      <c r="P1715" s="241"/>
      <c r="Q1715" s="133"/>
      <c r="R1715" s="238"/>
      <c r="S1715" s="238"/>
      <c r="T1715" s="238"/>
      <c r="U1715" s="238"/>
      <c r="V1715" s="249"/>
      <c r="W1715" s="250"/>
      <c r="X1715" s="241"/>
    </row>
    <row r="1716" spans="1:24" ht="15.75" thickBot="1" x14ac:dyDescent="0.3">
      <c r="A1716" s="133"/>
      <c r="B1716" s="224" t="s">
        <v>5412</v>
      </c>
      <c r="C1716" s="193" t="s">
        <v>5420</v>
      </c>
      <c r="D1716" s="193" t="s">
        <v>5421</v>
      </c>
      <c r="E1716" s="193" t="s">
        <v>5413</v>
      </c>
      <c r="F1716" s="193" t="s">
        <v>5405</v>
      </c>
      <c r="G1716" s="225" t="s">
        <v>868</v>
      </c>
      <c r="H1716" s="200"/>
      <c r="I1716" s="133"/>
      <c r="J1716" s="224" t="s">
        <v>5412</v>
      </c>
      <c r="K1716" s="193" t="s">
        <v>5420</v>
      </c>
      <c r="L1716" s="193" t="s">
        <v>5421</v>
      </c>
      <c r="M1716" s="193" t="s">
        <v>5413</v>
      </c>
      <c r="N1716" s="193" t="s">
        <v>5405</v>
      </c>
      <c r="O1716" s="225" t="s">
        <v>868</v>
      </c>
      <c r="P1716" s="200"/>
      <c r="Q1716" s="133"/>
      <c r="R1716" s="224" t="s">
        <v>5412</v>
      </c>
      <c r="S1716" s="193" t="s">
        <v>5420</v>
      </c>
      <c r="T1716" s="193" t="s">
        <v>5421</v>
      </c>
      <c r="U1716" s="193" t="s">
        <v>5413</v>
      </c>
      <c r="V1716" s="193" t="s">
        <v>5405</v>
      </c>
      <c r="W1716" s="225" t="s">
        <v>868</v>
      </c>
      <c r="X1716" s="200"/>
    </row>
    <row r="1717" spans="1:24" x14ac:dyDescent="0.25">
      <c r="A1717" s="133"/>
      <c r="B1717" s="194" t="s">
        <v>5948</v>
      </c>
      <c r="C1717" s="345">
        <v>70000</v>
      </c>
      <c r="D1717" s="176">
        <f>+C1717*0.85</f>
        <v>59500</v>
      </c>
      <c r="E1717" s="176">
        <f>+C1717+D1717</f>
        <v>129500</v>
      </c>
      <c r="F1717" s="204">
        <v>100</v>
      </c>
      <c r="G1717" s="178">
        <f>+E1717/F1717</f>
        <v>1295</v>
      </c>
      <c r="H1717" s="200"/>
      <c r="I1717" s="133"/>
      <c r="J1717" s="194" t="s">
        <v>5948</v>
      </c>
      <c r="K1717" s="345">
        <v>70000</v>
      </c>
      <c r="L1717" s="176">
        <f>+K1717*0.85</f>
        <v>59500</v>
      </c>
      <c r="M1717" s="175">
        <f>+K1717+L1717</f>
        <v>129500</v>
      </c>
      <c r="N1717" s="204">
        <v>100</v>
      </c>
      <c r="O1717" s="178">
        <f>+M1717/N1717</f>
        <v>1295</v>
      </c>
      <c r="P1717" s="200"/>
      <c r="Q1717" s="133"/>
      <c r="R1717" s="194" t="s">
        <v>5948</v>
      </c>
      <c r="S1717" s="345">
        <v>70000</v>
      </c>
      <c r="T1717" s="176">
        <f>+S1717*0.85</f>
        <v>59500</v>
      </c>
      <c r="U1717" s="175">
        <f>+S1717+T1717</f>
        <v>129500</v>
      </c>
      <c r="V1717" s="204">
        <v>100</v>
      </c>
      <c r="W1717" s="178">
        <f>+U1717/V1717</f>
        <v>1295</v>
      </c>
      <c r="X1717" s="200"/>
    </row>
    <row r="1718" spans="1:24" x14ac:dyDescent="0.25">
      <c r="A1718" s="133"/>
      <c r="B1718" s="194" t="s">
        <v>5651</v>
      </c>
      <c r="C1718" s="345">
        <v>40000</v>
      </c>
      <c r="D1718" s="176">
        <f>+C1718*0.85</f>
        <v>34000</v>
      </c>
      <c r="E1718" s="176">
        <f>+C1718+D1718</f>
        <v>74000</v>
      </c>
      <c r="F1718" s="204">
        <v>5</v>
      </c>
      <c r="G1718" s="178">
        <f>+E1718/F1718</f>
        <v>14800</v>
      </c>
      <c r="H1718" s="200"/>
      <c r="I1718" s="133"/>
      <c r="J1718" s="194" t="s">
        <v>5651</v>
      </c>
      <c r="K1718" s="345">
        <v>40000</v>
      </c>
      <c r="L1718" s="176">
        <f>+K1718*0.85</f>
        <v>34000</v>
      </c>
      <c r="M1718" s="175">
        <f>+K1718+L1718</f>
        <v>74000</v>
      </c>
      <c r="N1718" s="204">
        <v>5</v>
      </c>
      <c r="O1718" s="178">
        <f>+M1718/N1718</f>
        <v>14800</v>
      </c>
      <c r="P1718" s="200"/>
      <c r="Q1718" s="133"/>
      <c r="R1718" s="194" t="s">
        <v>5651</v>
      </c>
      <c r="S1718" s="345">
        <v>40000</v>
      </c>
      <c r="T1718" s="176">
        <f>+S1718*0.85</f>
        <v>34000</v>
      </c>
      <c r="U1718" s="175">
        <f>+S1718+T1718</f>
        <v>74000</v>
      </c>
      <c r="V1718" s="204">
        <v>5</v>
      </c>
      <c r="W1718" s="178">
        <f>+U1718/V1718</f>
        <v>14800</v>
      </c>
      <c r="X1718" s="200"/>
    </row>
    <row r="1719" spans="1:24" x14ac:dyDescent="0.25">
      <c r="A1719" s="133"/>
      <c r="B1719" s="195" t="s">
        <v>5635</v>
      </c>
      <c r="C1719" s="345">
        <v>20600</v>
      </c>
      <c r="D1719" s="176">
        <f>+C1719*0.85</f>
        <v>17510</v>
      </c>
      <c r="E1719" s="176">
        <f>+C1719+D1719</f>
        <v>38110</v>
      </c>
      <c r="F1719" s="226">
        <v>5</v>
      </c>
      <c r="G1719" s="178">
        <f>+E1719/F1719</f>
        <v>7622</v>
      </c>
      <c r="H1719" s="200"/>
      <c r="I1719" s="133"/>
      <c r="J1719" s="195" t="s">
        <v>5635</v>
      </c>
      <c r="K1719" s="345">
        <v>20600</v>
      </c>
      <c r="L1719" s="176">
        <f>+K1719*0.85</f>
        <v>17510</v>
      </c>
      <c r="M1719" s="175">
        <f>+K1719+L1719</f>
        <v>38110</v>
      </c>
      <c r="N1719" s="226">
        <v>4</v>
      </c>
      <c r="O1719" s="178">
        <f>+M1719/N1719</f>
        <v>9527.5</v>
      </c>
      <c r="P1719" s="200"/>
      <c r="Q1719" s="133"/>
      <c r="R1719" s="195" t="s">
        <v>5635</v>
      </c>
      <c r="S1719" s="345">
        <v>20600</v>
      </c>
      <c r="T1719" s="176">
        <f>+S1719*0.85</f>
        <v>17510</v>
      </c>
      <c r="U1719" s="175">
        <f>+S1719+T1719</f>
        <v>38110</v>
      </c>
      <c r="V1719" s="226">
        <v>3</v>
      </c>
      <c r="W1719" s="178">
        <f>+U1719/V1719</f>
        <v>12703.333333333334</v>
      </c>
      <c r="X1719" s="200"/>
    </row>
    <row r="1720" spans="1:24" x14ac:dyDescent="0.25">
      <c r="A1720" s="133"/>
      <c r="B1720" s="195"/>
      <c r="C1720" s="171"/>
      <c r="D1720" s="176"/>
      <c r="E1720" s="176"/>
      <c r="F1720" s="226"/>
      <c r="G1720" s="178"/>
      <c r="H1720" s="200"/>
      <c r="I1720" s="133"/>
      <c r="J1720" s="195"/>
      <c r="K1720" s="171"/>
      <c r="L1720" s="176"/>
      <c r="M1720" s="228"/>
      <c r="N1720" s="226"/>
      <c r="O1720" s="178"/>
      <c r="P1720" s="200"/>
      <c r="Q1720" s="133"/>
      <c r="R1720" s="195"/>
      <c r="S1720" s="171"/>
      <c r="T1720" s="176"/>
      <c r="U1720" s="228"/>
      <c r="V1720" s="226"/>
      <c r="W1720" s="178"/>
      <c r="X1720" s="200"/>
    </row>
    <row r="1721" spans="1:24" x14ac:dyDescent="0.25">
      <c r="A1721" s="133"/>
      <c r="B1721" s="195"/>
      <c r="C1721" s="232"/>
      <c r="D1721" s="232"/>
      <c r="E1721" s="232"/>
      <c r="F1721" s="226"/>
      <c r="G1721" s="229"/>
      <c r="H1721" s="200"/>
      <c r="I1721" s="133"/>
      <c r="J1721" s="195"/>
      <c r="K1721" s="232"/>
      <c r="L1721" s="232"/>
      <c r="M1721" s="232"/>
      <c r="N1721" s="226"/>
      <c r="O1721" s="229"/>
      <c r="P1721" s="200"/>
      <c r="Q1721" s="133"/>
      <c r="R1721" s="195"/>
      <c r="S1721" s="232"/>
      <c r="T1721" s="232"/>
      <c r="U1721" s="232"/>
      <c r="V1721" s="226"/>
      <c r="W1721" s="229"/>
      <c r="X1721" s="200"/>
    </row>
    <row r="1722" spans="1:24" ht="15.75" thickBot="1" x14ac:dyDescent="0.3">
      <c r="A1722" s="133"/>
      <c r="B1722" s="195"/>
      <c r="C1722" s="232"/>
      <c r="D1722" s="232"/>
      <c r="E1722" s="232"/>
      <c r="F1722" s="226"/>
      <c r="G1722" s="229"/>
      <c r="H1722" s="200"/>
      <c r="I1722" s="133"/>
      <c r="J1722" s="195"/>
      <c r="K1722" s="232"/>
      <c r="L1722" s="232"/>
      <c r="M1722" s="232"/>
      <c r="N1722" s="226"/>
      <c r="O1722" s="229"/>
      <c r="P1722" s="200"/>
      <c r="Q1722" s="133"/>
      <c r="R1722" s="195"/>
      <c r="S1722" s="232"/>
      <c r="T1722" s="232"/>
      <c r="U1722" s="232"/>
      <c r="V1722" s="226"/>
      <c r="W1722" s="229"/>
      <c r="X1722" s="200"/>
    </row>
    <row r="1723" spans="1:24" ht="15.75" thickBot="1" x14ac:dyDescent="0.3">
      <c r="A1723" s="133"/>
      <c r="B1723" s="251"/>
      <c r="C1723" s="252"/>
      <c r="D1723" s="252"/>
      <c r="E1723" s="252"/>
      <c r="F1723" s="253"/>
      <c r="G1723" s="254"/>
      <c r="H1723" s="256">
        <f>+SUM(G1717:G1723)</f>
        <v>23717</v>
      </c>
      <c r="I1723" s="133"/>
      <c r="J1723" s="251"/>
      <c r="K1723" s="252"/>
      <c r="L1723" s="252"/>
      <c r="M1723" s="252"/>
      <c r="N1723" s="253"/>
      <c r="O1723" s="254"/>
      <c r="P1723" s="256">
        <f>+SUM(O1717:O1723)</f>
        <v>25622.5</v>
      </c>
      <c r="Q1723" s="133"/>
      <c r="R1723" s="251"/>
      <c r="S1723" s="252"/>
      <c r="T1723" s="252"/>
      <c r="U1723" s="252"/>
      <c r="V1723" s="253"/>
      <c r="W1723" s="254"/>
      <c r="X1723" s="256">
        <f>+SUM(W1717:W1723)</f>
        <v>28798.333333333336</v>
      </c>
    </row>
    <row r="1724" spans="1:24" ht="15.75" thickBot="1" x14ac:dyDescent="0.3">
      <c r="A1724" s="133"/>
      <c r="B1724" s="8"/>
      <c r="C1724" s="8"/>
      <c r="D1724" s="8"/>
      <c r="E1724" s="8"/>
      <c r="F1724" s="133"/>
      <c r="G1724" s="200"/>
      <c r="H1724" s="200"/>
      <c r="I1724" s="133"/>
      <c r="J1724" s="8"/>
      <c r="K1724" s="8"/>
      <c r="L1724" s="8"/>
      <c r="M1724" s="8"/>
      <c r="N1724" s="133"/>
      <c r="O1724" s="200"/>
      <c r="P1724" s="200"/>
      <c r="Q1724" s="133"/>
      <c r="R1724" s="8"/>
      <c r="S1724" s="8"/>
      <c r="T1724" s="8"/>
      <c r="U1724" s="8"/>
      <c r="V1724" s="133"/>
      <c r="W1724" s="200"/>
      <c r="X1724" s="200"/>
    </row>
    <row r="1725" spans="1:24" ht="15.75" thickBot="1" x14ac:dyDescent="0.3">
      <c r="A1725" s="133"/>
      <c r="B1725" s="8"/>
      <c r="C1725" s="8"/>
      <c r="D1725" s="8"/>
      <c r="E1725" s="223" t="s">
        <v>5415</v>
      </c>
      <c r="F1725" s="133"/>
      <c r="G1725" s="200"/>
      <c r="H1725" s="256">
        <f>ROUND(+H1723+H1714+H1706+H1691,0)</f>
        <v>36089</v>
      </c>
      <c r="I1725" s="133"/>
      <c r="J1725" s="8"/>
      <c r="K1725" s="8"/>
      <c r="L1725" s="8"/>
      <c r="M1725" s="223" t="s">
        <v>5415</v>
      </c>
      <c r="N1725" s="223"/>
      <c r="O1725" s="200"/>
      <c r="P1725" s="256">
        <f>ROUND(+P1723+P1714+P1706+P1691,0)</f>
        <v>40185</v>
      </c>
      <c r="Q1725" s="133"/>
      <c r="R1725" s="8"/>
      <c r="S1725" s="8"/>
      <c r="T1725" s="8"/>
      <c r="U1725" s="223" t="s">
        <v>5415</v>
      </c>
      <c r="V1725" s="223"/>
      <c r="W1725" s="200"/>
      <c r="X1725" s="256">
        <f>ROUND(+X1723+X1714+X1706+X1691,0)</f>
        <v>46678</v>
      </c>
    </row>
    <row r="1730" spans="1:50" ht="18.75" x14ac:dyDescent="0.25">
      <c r="A1730" s="133"/>
      <c r="B1730" s="2506" t="s">
        <v>5400</v>
      </c>
      <c r="C1730" s="2506"/>
      <c r="D1730" s="2506"/>
      <c r="E1730" s="2506"/>
      <c r="F1730" s="2506"/>
      <c r="G1730" s="2506"/>
      <c r="H1730" s="8"/>
      <c r="I1730" s="133"/>
      <c r="J1730" s="2506" t="s">
        <v>5400</v>
      </c>
      <c r="K1730" s="2506"/>
      <c r="L1730" s="2506"/>
      <c r="M1730" s="2506"/>
      <c r="N1730" s="2506"/>
      <c r="O1730" s="2506"/>
      <c r="P1730" s="2506"/>
      <c r="Q1730" s="8"/>
      <c r="R1730" s="133"/>
      <c r="S1730" s="2506" t="s">
        <v>5400</v>
      </c>
      <c r="T1730" s="2506"/>
      <c r="U1730" s="2506"/>
      <c r="V1730" s="2506"/>
      <c r="W1730" s="2506"/>
      <c r="X1730" s="2506"/>
      <c r="Y1730" s="2506"/>
      <c r="Z1730" s="8"/>
      <c r="AA1730" s="133"/>
      <c r="AB1730" s="2506" t="s">
        <v>5400</v>
      </c>
      <c r="AC1730" s="2506"/>
      <c r="AD1730" s="2506"/>
      <c r="AE1730" s="2506"/>
      <c r="AF1730" s="2506"/>
      <c r="AG1730" s="2506"/>
      <c r="AH1730" s="8"/>
      <c r="AI1730" s="133"/>
      <c r="AJ1730" s="2506" t="s">
        <v>5400</v>
      </c>
      <c r="AK1730" s="2506"/>
      <c r="AL1730" s="2506"/>
      <c r="AM1730" s="2506"/>
      <c r="AN1730" s="2506"/>
      <c r="AO1730" s="2506"/>
      <c r="AP1730" s="8"/>
      <c r="AQ1730" s="133"/>
      <c r="AR1730" s="2506" t="s">
        <v>5400</v>
      </c>
      <c r="AS1730" s="2506"/>
      <c r="AT1730" s="2506"/>
      <c r="AU1730" s="2506"/>
      <c r="AV1730" s="2506"/>
      <c r="AW1730" s="2506"/>
      <c r="AX1730" s="8"/>
    </row>
    <row r="1731" spans="1:50" x14ac:dyDescent="0.25">
      <c r="A1731" s="133"/>
      <c r="B1731" s="8"/>
      <c r="C1731" s="8"/>
      <c r="D1731" s="8"/>
      <c r="E1731" s="8"/>
      <c r="F1731" s="133"/>
      <c r="G1731" s="200"/>
      <c r="H1731" s="200"/>
      <c r="I1731" s="133"/>
      <c r="J1731" s="8"/>
      <c r="K1731" s="8"/>
      <c r="L1731" s="8"/>
      <c r="M1731" s="8"/>
      <c r="N1731" s="133"/>
      <c r="O1731" s="200"/>
      <c r="P1731" s="200"/>
      <c r="Q1731" s="133"/>
      <c r="R1731" s="8"/>
      <c r="S1731" s="8"/>
      <c r="T1731" s="8"/>
      <c r="U1731" s="8"/>
      <c r="V1731" s="8"/>
      <c r="W1731" s="133"/>
      <c r="X1731" s="200"/>
      <c r="Y1731" s="200"/>
      <c r="Z1731" s="133"/>
      <c r="AA1731" s="8"/>
      <c r="AB1731" s="8"/>
      <c r="AC1731" s="8"/>
      <c r="AD1731" s="8"/>
      <c r="AE1731" s="133"/>
      <c r="AF1731" s="200"/>
      <c r="AG1731" s="200"/>
      <c r="AH1731" s="133"/>
      <c r="AI1731" s="8"/>
      <c r="AJ1731" s="8"/>
      <c r="AK1731" s="8"/>
      <c r="AL1731" s="8"/>
      <c r="AM1731" s="133"/>
      <c r="AN1731" s="200"/>
      <c r="AO1731" s="200"/>
      <c r="AP1731" s="133"/>
      <c r="AQ1731" s="8"/>
      <c r="AR1731" s="8"/>
      <c r="AS1731" s="8"/>
      <c r="AT1731" s="8"/>
      <c r="AU1731" s="133"/>
      <c r="AV1731" s="200"/>
      <c r="AW1731" s="200"/>
    </row>
    <row r="1732" spans="1:50" x14ac:dyDescent="0.25">
      <c r="A1732" s="133"/>
      <c r="B1732" s="8"/>
      <c r="C1732" s="8"/>
      <c r="D1732" s="8"/>
      <c r="E1732" s="8"/>
      <c r="F1732" s="133"/>
      <c r="G1732" s="200"/>
      <c r="H1732" s="200"/>
      <c r="I1732" s="133"/>
      <c r="J1732" s="8"/>
      <c r="K1732" s="8"/>
      <c r="L1732" s="8"/>
      <c r="M1732" s="8"/>
      <c r="N1732" s="133"/>
      <c r="O1732" s="200"/>
      <c r="P1732" s="200"/>
      <c r="Q1732" s="133"/>
      <c r="R1732" s="8"/>
      <c r="S1732" s="8"/>
      <c r="T1732" s="8"/>
      <c r="U1732" s="8"/>
      <c r="V1732" s="8"/>
      <c r="W1732" s="133"/>
      <c r="X1732" s="200"/>
      <c r="Y1732" s="200"/>
      <c r="Z1732" s="133"/>
      <c r="AA1732" s="8"/>
      <c r="AB1732" s="8"/>
      <c r="AC1732" s="8"/>
      <c r="AD1732" s="8"/>
      <c r="AE1732" s="133"/>
      <c r="AF1732" s="200"/>
      <c r="AG1732" s="200"/>
      <c r="AH1732" s="133"/>
      <c r="AI1732" s="8"/>
      <c r="AJ1732" s="8"/>
      <c r="AK1732" s="8"/>
      <c r="AL1732" s="8"/>
      <c r="AM1732" s="133"/>
      <c r="AN1732" s="200"/>
      <c r="AO1732" s="200"/>
      <c r="AP1732" s="133"/>
      <c r="AQ1732" s="8"/>
      <c r="AR1732" s="8"/>
      <c r="AS1732" s="8"/>
      <c r="AT1732" s="8"/>
      <c r="AU1732" s="133"/>
      <c r="AV1732" s="200"/>
      <c r="AW1732" s="200"/>
    </row>
    <row r="1733" spans="1:50" x14ac:dyDescent="0.25">
      <c r="A1733" s="133"/>
      <c r="B1733" s="8"/>
      <c r="C1733" s="8"/>
      <c r="D1733" s="8"/>
      <c r="E1733" s="8"/>
      <c r="F1733" s="133"/>
      <c r="G1733" s="200"/>
      <c r="H1733" s="200"/>
      <c r="I1733" s="133"/>
      <c r="J1733" s="8"/>
      <c r="K1733" s="8"/>
      <c r="L1733" s="8"/>
      <c r="M1733" s="8"/>
      <c r="N1733" s="133"/>
      <c r="O1733" s="200"/>
      <c r="P1733" s="200"/>
      <c r="Q1733" s="133"/>
      <c r="R1733" s="8"/>
      <c r="S1733" s="8"/>
      <c r="T1733" s="8"/>
      <c r="U1733" s="8"/>
      <c r="V1733" s="8"/>
      <c r="W1733" s="133"/>
      <c r="X1733" s="200"/>
      <c r="Y1733" s="200"/>
      <c r="Z1733" s="133"/>
      <c r="AA1733" s="8"/>
      <c r="AB1733" s="8"/>
      <c r="AC1733" s="8"/>
      <c r="AD1733" s="8"/>
      <c r="AE1733" s="133"/>
      <c r="AF1733" s="200"/>
      <c r="AG1733" s="200"/>
      <c r="AH1733" s="133"/>
      <c r="AI1733" s="8"/>
      <c r="AJ1733" s="8"/>
      <c r="AK1733" s="8"/>
      <c r="AL1733" s="8"/>
      <c r="AM1733" s="133"/>
      <c r="AN1733" s="200"/>
      <c r="AO1733" s="200"/>
      <c r="AP1733" s="133"/>
      <c r="AQ1733" s="8"/>
      <c r="AR1733" s="8"/>
      <c r="AS1733" s="8"/>
      <c r="AT1733" s="8"/>
      <c r="AU1733" s="133"/>
      <c r="AV1733" s="200"/>
      <c r="AW1733" s="200"/>
    </row>
    <row r="1734" spans="1:50" ht="39.75" customHeight="1" x14ac:dyDescent="0.25">
      <c r="A1734" s="220" t="s">
        <v>5482</v>
      </c>
      <c r="B1734" s="221" t="s">
        <v>408</v>
      </c>
      <c r="C1734" s="2449" t="s">
        <v>5507</v>
      </c>
      <c r="D1734" s="2449"/>
      <c r="E1734" s="2449"/>
      <c r="F1734" s="220" t="s">
        <v>867</v>
      </c>
      <c r="G1734" s="222" t="s">
        <v>5424</v>
      </c>
      <c r="H1734" s="200"/>
      <c r="I1734" s="220" t="s">
        <v>5482</v>
      </c>
      <c r="J1734" s="221" t="s">
        <v>408</v>
      </c>
      <c r="K1734" s="2449" t="s">
        <v>5908</v>
      </c>
      <c r="L1734" s="2449"/>
      <c r="M1734" s="2449"/>
      <c r="N1734" s="220" t="s">
        <v>867</v>
      </c>
      <c r="O1734" s="222" t="s">
        <v>5424</v>
      </c>
      <c r="P1734" s="200"/>
      <c r="Q1734" s="220" t="s">
        <v>5482</v>
      </c>
      <c r="R1734" s="221" t="s">
        <v>408</v>
      </c>
      <c r="S1734" s="2449" t="s">
        <v>5909</v>
      </c>
      <c r="T1734" s="2449"/>
      <c r="U1734" s="2449"/>
      <c r="V1734" s="220" t="s">
        <v>867</v>
      </c>
      <c r="W1734" s="222" t="s">
        <v>5424</v>
      </c>
      <c r="X1734" s="200"/>
      <c r="Y1734" s="220" t="s">
        <v>5482</v>
      </c>
      <c r="Z1734" s="221" t="s">
        <v>408</v>
      </c>
      <c r="AA1734" s="2449" t="s">
        <v>5910</v>
      </c>
      <c r="AB1734" s="2449"/>
      <c r="AC1734" s="2449"/>
      <c r="AD1734" s="220" t="s">
        <v>867</v>
      </c>
      <c r="AE1734" s="222" t="s">
        <v>5424</v>
      </c>
      <c r="AF1734" s="200"/>
      <c r="AG1734" s="220" t="s">
        <v>5482</v>
      </c>
      <c r="AH1734" s="221" t="s">
        <v>408</v>
      </c>
      <c r="AI1734" s="2449" t="s">
        <v>5911</v>
      </c>
      <c r="AJ1734" s="2449"/>
      <c r="AK1734" s="2449"/>
      <c r="AL1734" s="220" t="s">
        <v>867</v>
      </c>
      <c r="AM1734" s="222" t="s">
        <v>5424</v>
      </c>
      <c r="AN1734" s="200"/>
      <c r="AO1734" s="220" t="s">
        <v>5482</v>
      </c>
      <c r="AP1734" s="221" t="s">
        <v>408</v>
      </c>
      <c r="AQ1734" s="2449" t="s">
        <v>5912</v>
      </c>
      <c r="AR1734" s="2449"/>
      <c r="AS1734" s="2449"/>
      <c r="AT1734" s="220" t="s">
        <v>867</v>
      </c>
      <c r="AU1734" s="222" t="s">
        <v>5424</v>
      </c>
      <c r="AV1734" s="200"/>
    </row>
    <row r="1735" spans="1:50" x14ac:dyDescent="0.25">
      <c r="A1735" s="133"/>
      <c r="B1735" s="8"/>
      <c r="C1735" s="223"/>
      <c r="D1735" s="223"/>
      <c r="E1735" s="223"/>
      <c r="F1735" s="133"/>
      <c r="G1735" s="200"/>
      <c r="H1735" s="200"/>
      <c r="I1735" s="133"/>
      <c r="J1735" s="8"/>
      <c r="K1735" s="223"/>
      <c r="L1735" s="223"/>
      <c r="M1735" s="223"/>
      <c r="N1735" s="133"/>
      <c r="O1735" s="200"/>
      <c r="P1735" s="200"/>
      <c r="Q1735" s="133"/>
      <c r="R1735" s="8"/>
      <c r="S1735" s="223"/>
      <c r="T1735" s="223"/>
      <c r="U1735" s="223"/>
      <c r="V1735" s="133"/>
      <c r="W1735" s="200"/>
      <c r="X1735" s="200"/>
      <c r="Y1735" s="133"/>
      <c r="Z1735" s="8"/>
      <c r="AA1735" s="223"/>
      <c r="AB1735" s="223"/>
      <c r="AC1735" s="223"/>
      <c r="AD1735" s="133"/>
      <c r="AE1735" s="200"/>
      <c r="AF1735" s="200"/>
      <c r="AG1735" s="133"/>
      <c r="AH1735" s="8"/>
      <c r="AI1735" s="223"/>
      <c r="AJ1735" s="223"/>
      <c r="AK1735" s="223"/>
      <c r="AL1735" s="133"/>
      <c r="AM1735" s="200"/>
      <c r="AN1735" s="200"/>
      <c r="AO1735" s="133"/>
      <c r="AP1735" s="8"/>
      <c r="AQ1735" s="223"/>
      <c r="AR1735" s="223"/>
      <c r="AS1735" s="223"/>
      <c r="AT1735" s="133"/>
      <c r="AU1735" s="200"/>
      <c r="AV1735" s="200"/>
    </row>
    <row r="1736" spans="1:50" x14ac:dyDescent="0.25">
      <c r="A1736" s="133"/>
      <c r="B1736" s="8"/>
      <c r="C1736" s="8"/>
      <c r="D1736" s="8"/>
      <c r="E1736" s="8"/>
      <c r="F1736" s="8"/>
      <c r="G1736" s="8"/>
      <c r="H1736" s="200"/>
      <c r="I1736" s="133"/>
      <c r="J1736" s="8"/>
      <c r="K1736" s="8"/>
      <c r="L1736" s="8"/>
      <c r="M1736" s="8"/>
      <c r="N1736" s="8"/>
      <c r="O1736" s="8"/>
      <c r="P1736" s="200"/>
      <c r="Q1736" s="133"/>
      <c r="R1736" s="8"/>
      <c r="S1736" s="8"/>
      <c r="T1736" s="8"/>
      <c r="U1736" s="8"/>
      <c r="V1736" s="8"/>
      <c r="W1736" s="8"/>
      <c r="X1736" s="200"/>
      <c r="Y1736" s="133"/>
      <c r="Z1736" s="8"/>
      <c r="AA1736" s="8"/>
      <c r="AB1736" s="8"/>
      <c r="AC1736" s="8"/>
      <c r="AD1736" s="8"/>
      <c r="AE1736" s="8"/>
      <c r="AF1736" s="200"/>
      <c r="AG1736" s="133"/>
      <c r="AH1736" s="8"/>
      <c r="AI1736" s="8"/>
      <c r="AJ1736" s="8"/>
      <c r="AK1736" s="8"/>
      <c r="AL1736" s="8"/>
      <c r="AM1736" s="8"/>
      <c r="AN1736" s="200"/>
      <c r="AO1736" s="133"/>
      <c r="AP1736" s="8"/>
      <c r="AQ1736" s="8"/>
      <c r="AR1736" s="8"/>
      <c r="AS1736" s="8"/>
      <c r="AT1736" s="8"/>
      <c r="AU1736" s="8"/>
      <c r="AV1736" s="200"/>
    </row>
    <row r="1737" spans="1:50" ht="15.75" thickBot="1" x14ac:dyDescent="0.3">
      <c r="A1737" s="133"/>
      <c r="B1737" s="8"/>
      <c r="C1737" s="8"/>
      <c r="D1737" s="8"/>
      <c r="E1737" s="8"/>
      <c r="F1737" s="133"/>
      <c r="G1737" s="200"/>
      <c r="H1737" s="200"/>
      <c r="I1737" s="133"/>
      <c r="J1737" s="8"/>
      <c r="K1737" s="8"/>
      <c r="L1737" s="8"/>
      <c r="M1737" s="8"/>
      <c r="N1737" s="133"/>
      <c r="O1737" s="200"/>
      <c r="P1737" s="200"/>
      <c r="Q1737" s="133"/>
      <c r="R1737" s="8"/>
      <c r="S1737" s="8"/>
      <c r="T1737" s="8"/>
      <c r="U1737" s="8"/>
      <c r="V1737" s="133"/>
      <c r="W1737" s="200"/>
      <c r="X1737" s="200"/>
      <c r="Y1737" s="133"/>
      <c r="Z1737" s="8"/>
      <c r="AA1737" s="8"/>
      <c r="AB1737" s="8"/>
      <c r="AC1737" s="8"/>
      <c r="AD1737" s="133"/>
      <c r="AE1737" s="200"/>
      <c r="AF1737" s="200"/>
      <c r="AG1737" s="133"/>
      <c r="AH1737" s="8"/>
      <c r="AI1737" s="8"/>
      <c r="AJ1737" s="8"/>
      <c r="AK1737" s="8"/>
      <c r="AL1737" s="133"/>
      <c r="AM1737" s="200"/>
      <c r="AN1737" s="200"/>
      <c r="AO1737" s="133"/>
      <c r="AP1737" s="8"/>
      <c r="AQ1737" s="8"/>
      <c r="AR1737" s="8"/>
      <c r="AS1737" s="8"/>
      <c r="AT1737" s="133"/>
      <c r="AU1737" s="200"/>
      <c r="AV1737" s="200"/>
    </row>
    <row r="1738" spans="1:50" ht="15.75" thickBot="1" x14ac:dyDescent="0.3">
      <c r="A1738" s="133"/>
      <c r="B1738" s="224" t="s">
        <v>5403</v>
      </c>
      <c r="C1738" s="193" t="s">
        <v>867</v>
      </c>
      <c r="D1738" s="193" t="s">
        <v>6</v>
      </c>
      <c r="E1738" s="193" t="s">
        <v>5439</v>
      </c>
      <c r="F1738" s="193" t="s">
        <v>5405</v>
      </c>
      <c r="G1738" s="225" t="s">
        <v>868</v>
      </c>
      <c r="H1738" s="200"/>
      <c r="I1738" s="133"/>
      <c r="J1738" s="224" t="s">
        <v>5403</v>
      </c>
      <c r="K1738" s="193" t="s">
        <v>867</v>
      </c>
      <c r="L1738" s="193" t="s">
        <v>6</v>
      </c>
      <c r="M1738" s="193" t="s">
        <v>5439</v>
      </c>
      <c r="N1738" s="193" t="s">
        <v>5405</v>
      </c>
      <c r="O1738" s="225" t="s">
        <v>868</v>
      </c>
      <c r="P1738" s="200"/>
      <c r="Q1738" s="133"/>
      <c r="R1738" s="224" t="s">
        <v>5403</v>
      </c>
      <c r="S1738" s="193" t="s">
        <v>867</v>
      </c>
      <c r="T1738" s="193" t="s">
        <v>6</v>
      </c>
      <c r="U1738" s="193" t="s">
        <v>5439</v>
      </c>
      <c r="V1738" s="193" t="s">
        <v>5405</v>
      </c>
      <c r="W1738" s="225" t="s">
        <v>868</v>
      </c>
      <c r="X1738" s="200"/>
      <c r="Y1738" s="133"/>
      <c r="Z1738" s="224" t="s">
        <v>5403</v>
      </c>
      <c r="AA1738" s="193" t="s">
        <v>867</v>
      </c>
      <c r="AB1738" s="193" t="s">
        <v>6</v>
      </c>
      <c r="AC1738" s="193" t="s">
        <v>5439</v>
      </c>
      <c r="AD1738" s="193" t="s">
        <v>5405</v>
      </c>
      <c r="AE1738" s="225" t="s">
        <v>868</v>
      </c>
      <c r="AF1738" s="200"/>
      <c r="AG1738" s="133"/>
      <c r="AH1738" s="224" t="s">
        <v>5403</v>
      </c>
      <c r="AI1738" s="193" t="s">
        <v>867</v>
      </c>
      <c r="AJ1738" s="193" t="s">
        <v>6</v>
      </c>
      <c r="AK1738" s="193" t="s">
        <v>5439</v>
      </c>
      <c r="AL1738" s="193" t="s">
        <v>5405</v>
      </c>
      <c r="AM1738" s="225" t="s">
        <v>868</v>
      </c>
      <c r="AN1738" s="200"/>
      <c r="AO1738" s="133"/>
      <c r="AP1738" s="224" t="s">
        <v>5403</v>
      </c>
      <c r="AQ1738" s="193" t="s">
        <v>867</v>
      </c>
      <c r="AR1738" s="193" t="s">
        <v>6</v>
      </c>
      <c r="AS1738" s="193" t="s">
        <v>5439</v>
      </c>
      <c r="AT1738" s="193" t="s">
        <v>5405</v>
      </c>
      <c r="AU1738" s="225" t="s">
        <v>868</v>
      </c>
      <c r="AV1738" s="200"/>
    </row>
    <row r="1739" spans="1:50" x14ac:dyDescent="0.25">
      <c r="A1739" s="133"/>
      <c r="B1739" s="195" t="s">
        <v>5440</v>
      </c>
      <c r="C1739" s="226" t="s">
        <v>5402</v>
      </c>
      <c r="D1739" s="226">
        <v>1</v>
      </c>
      <c r="E1739" s="263">
        <f>+H1777</f>
        <v>60371.666666666664</v>
      </c>
      <c r="F1739" s="226">
        <v>0.2</v>
      </c>
      <c r="G1739" s="229">
        <f>+E1739*F1739</f>
        <v>12074.333333333334</v>
      </c>
      <c r="H1739" s="200"/>
      <c r="I1739" s="133"/>
      <c r="J1739" s="195" t="s">
        <v>5440</v>
      </c>
      <c r="K1739" s="226" t="s">
        <v>5402</v>
      </c>
      <c r="L1739" s="226">
        <v>1</v>
      </c>
      <c r="M1739" s="228">
        <f>+P1777</f>
        <v>60371.666666666664</v>
      </c>
      <c r="N1739" s="226">
        <v>0.2</v>
      </c>
      <c r="O1739" s="229">
        <f>+M1739*N1739</f>
        <v>12074.333333333334</v>
      </c>
      <c r="P1739" s="200"/>
      <c r="Q1739" s="133"/>
      <c r="R1739" s="195" t="s">
        <v>5440</v>
      </c>
      <c r="S1739" s="226" t="s">
        <v>5402</v>
      </c>
      <c r="T1739" s="226">
        <v>1</v>
      </c>
      <c r="U1739" s="228">
        <f>+X1777</f>
        <v>62530</v>
      </c>
      <c r="V1739" s="226">
        <v>0.2</v>
      </c>
      <c r="W1739" s="229">
        <f>+U1739*V1739</f>
        <v>12506</v>
      </c>
      <c r="X1739" s="200"/>
      <c r="Y1739" s="133"/>
      <c r="Z1739" s="195" t="s">
        <v>5440</v>
      </c>
      <c r="AA1739" s="226" t="s">
        <v>5402</v>
      </c>
      <c r="AB1739" s="226">
        <v>1</v>
      </c>
      <c r="AC1739" s="263">
        <f>+AF1777</f>
        <v>68758.333333333328</v>
      </c>
      <c r="AD1739" s="226">
        <v>0.2</v>
      </c>
      <c r="AE1739" s="229">
        <f>+AC1739*AD1739</f>
        <v>13751.666666666666</v>
      </c>
      <c r="AF1739" s="200"/>
      <c r="AG1739" s="133"/>
      <c r="AH1739" s="195" t="s">
        <v>5440</v>
      </c>
      <c r="AI1739" s="226" t="s">
        <v>5402</v>
      </c>
      <c r="AJ1739" s="226">
        <v>1</v>
      </c>
      <c r="AK1739" s="263">
        <f>+AN1777</f>
        <v>81215</v>
      </c>
      <c r="AL1739" s="226">
        <v>0.2</v>
      </c>
      <c r="AM1739" s="229">
        <f>+AK1739*AL1739</f>
        <v>16243</v>
      </c>
      <c r="AN1739" s="200"/>
      <c r="AO1739" s="133"/>
      <c r="AP1739" s="195" t="s">
        <v>5440</v>
      </c>
      <c r="AQ1739" s="226" t="s">
        <v>5402</v>
      </c>
      <c r="AR1739" s="226">
        <v>1</v>
      </c>
      <c r="AS1739" s="263">
        <f>+AV1777</f>
        <v>99900</v>
      </c>
      <c r="AT1739" s="226">
        <v>0.2</v>
      </c>
      <c r="AU1739" s="229">
        <f>+AS1739*AT1739</f>
        <v>19980</v>
      </c>
      <c r="AV1739" s="200"/>
    </row>
    <row r="1740" spans="1:50" x14ac:dyDescent="0.25">
      <c r="A1740" s="133"/>
      <c r="B1740" s="195"/>
      <c r="C1740" s="226"/>
      <c r="D1740" s="226"/>
      <c r="E1740" s="264"/>
      <c r="F1740" s="226"/>
      <c r="G1740" s="229"/>
      <c r="H1740" s="200"/>
      <c r="I1740" s="133"/>
      <c r="J1740" s="195"/>
      <c r="K1740" s="226"/>
      <c r="L1740" s="226"/>
      <c r="M1740" s="228"/>
      <c r="N1740" s="226"/>
      <c r="O1740" s="229"/>
      <c r="P1740" s="200"/>
      <c r="Q1740" s="133"/>
      <c r="R1740" s="195"/>
      <c r="S1740" s="226"/>
      <c r="T1740" s="226"/>
      <c r="U1740" s="228"/>
      <c r="V1740" s="226"/>
      <c r="W1740" s="229"/>
      <c r="X1740" s="200"/>
      <c r="Y1740" s="133"/>
      <c r="Z1740" s="195" t="s">
        <v>6063</v>
      </c>
      <c r="AA1740" s="226" t="s">
        <v>5424</v>
      </c>
      <c r="AB1740" s="226">
        <v>1</v>
      </c>
      <c r="AC1740" s="176">
        <v>120000</v>
      </c>
      <c r="AD1740" s="226">
        <v>24</v>
      </c>
      <c r="AE1740" s="229">
        <f>+AC1740/AD1740</f>
        <v>5000</v>
      </c>
      <c r="AF1740" s="200"/>
      <c r="AG1740" s="133"/>
      <c r="AH1740" s="195" t="s">
        <v>6063</v>
      </c>
      <c r="AI1740" s="226" t="s">
        <v>5424</v>
      </c>
      <c r="AJ1740" s="226">
        <v>1</v>
      </c>
      <c r="AK1740" s="176">
        <v>120000</v>
      </c>
      <c r="AL1740" s="226">
        <v>20</v>
      </c>
      <c r="AM1740" s="229">
        <f>+AK1740/AL1740</f>
        <v>6000</v>
      </c>
      <c r="AN1740" s="200"/>
      <c r="AO1740" s="133"/>
      <c r="AP1740" s="195" t="s">
        <v>6063</v>
      </c>
      <c r="AQ1740" s="226" t="s">
        <v>5424</v>
      </c>
      <c r="AR1740" s="226">
        <v>1</v>
      </c>
      <c r="AS1740" s="176">
        <v>120000</v>
      </c>
      <c r="AT1740" s="226">
        <v>16</v>
      </c>
      <c r="AU1740" s="229">
        <f>+AS1740/AT1740</f>
        <v>7500</v>
      </c>
      <c r="AV1740" s="200"/>
    </row>
    <row r="1741" spans="1:50" x14ac:dyDescent="0.25">
      <c r="A1741" s="133"/>
      <c r="B1741" s="195"/>
      <c r="C1741" s="226"/>
      <c r="D1741" s="226"/>
      <c r="E1741" s="176"/>
      <c r="F1741" s="226"/>
      <c r="G1741" s="229"/>
      <c r="H1741" s="200"/>
      <c r="I1741" s="133"/>
      <c r="J1741" s="195"/>
      <c r="K1741" s="226"/>
      <c r="L1741" s="226"/>
      <c r="M1741" s="176"/>
      <c r="N1741" s="226"/>
      <c r="O1741" s="229"/>
      <c r="P1741" s="200"/>
      <c r="Q1741" s="133"/>
      <c r="R1741" s="195"/>
      <c r="S1741" s="226"/>
      <c r="T1741" s="226"/>
      <c r="U1741" s="176"/>
      <c r="V1741" s="226"/>
      <c r="W1741" s="229"/>
      <c r="X1741" s="200"/>
      <c r="Y1741" s="133"/>
      <c r="Z1741" s="195"/>
      <c r="AA1741" s="226"/>
      <c r="AB1741" s="226"/>
      <c r="AC1741" s="176"/>
      <c r="AD1741" s="226"/>
      <c r="AE1741" s="229"/>
      <c r="AF1741" s="200"/>
      <c r="AG1741" s="133"/>
      <c r="AH1741" s="195"/>
      <c r="AI1741" s="226"/>
      <c r="AJ1741" s="226"/>
      <c r="AK1741" s="176"/>
      <c r="AL1741" s="226"/>
      <c r="AM1741" s="229"/>
      <c r="AN1741" s="200"/>
      <c r="AO1741" s="133"/>
      <c r="AP1741" s="195"/>
      <c r="AQ1741" s="226"/>
      <c r="AR1741" s="226"/>
      <c r="AS1741" s="176"/>
      <c r="AT1741" s="226"/>
      <c r="AU1741" s="229"/>
      <c r="AV1741" s="200"/>
    </row>
    <row r="1742" spans="1:50" x14ac:dyDescent="0.25">
      <c r="A1742" s="133"/>
      <c r="B1742" s="195"/>
      <c r="C1742" s="226"/>
      <c r="D1742" s="226"/>
      <c r="E1742" s="171"/>
      <c r="F1742" s="226"/>
      <c r="G1742" s="231"/>
      <c r="H1742" s="200"/>
      <c r="I1742" s="133"/>
      <c r="J1742" s="195"/>
      <c r="K1742" s="226"/>
      <c r="L1742" s="226"/>
      <c r="M1742" s="171"/>
      <c r="N1742" s="226"/>
      <c r="O1742" s="229"/>
      <c r="P1742" s="200"/>
      <c r="Q1742" s="133"/>
      <c r="R1742" s="195"/>
      <c r="S1742" s="226"/>
      <c r="T1742" s="226"/>
      <c r="U1742" s="171"/>
      <c r="V1742" s="226"/>
      <c r="W1742" s="229"/>
      <c r="X1742" s="200"/>
      <c r="Y1742" s="133"/>
      <c r="Z1742" s="195"/>
      <c r="AA1742" s="226"/>
      <c r="AB1742" s="226"/>
      <c r="AC1742" s="171"/>
      <c r="AD1742" s="226"/>
      <c r="AE1742" s="229"/>
      <c r="AF1742" s="200"/>
      <c r="AG1742" s="133"/>
      <c r="AH1742" s="195"/>
      <c r="AI1742" s="226"/>
      <c r="AJ1742" s="226"/>
      <c r="AK1742" s="171"/>
      <c r="AL1742" s="226"/>
      <c r="AM1742" s="229"/>
      <c r="AN1742" s="200"/>
      <c r="AO1742" s="133"/>
      <c r="AP1742" s="195"/>
      <c r="AQ1742" s="226"/>
      <c r="AR1742" s="226"/>
      <c r="AS1742" s="171"/>
      <c r="AT1742" s="226"/>
      <c r="AU1742" s="229"/>
      <c r="AV1742" s="200"/>
    </row>
    <row r="1743" spans="1:50" x14ac:dyDescent="0.25">
      <c r="A1743" s="133"/>
      <c r="B1743" s="195"/>
      <c r="C1743" s="226"/>
      <c r="D1743" s="232"/>
      <c r="E1743" s="232"/>
      <c r="F1743" s="226"/>
      <c r="G1743" s="229"/>
      <c r="H1743" s="200"/>
      <c r="I1743" s="133"/>
      <c r="J1743" s="195"/>
      <c r="K1743" s="226"/>
      <c r="L1743" s="232"/>
      <c r="M1743" s="232"/>
      <c r="N1743" s="226"/>
      <c r="O1743" s="229"/>
      <c r="P1743" s="200"/>
      <c r="Q1743" s="133"/>
      <c r="R1743" s="195"/>
      <c r="S1743" s="226"/>
      <c r="T1743" s="232"/>
      <c r="U1743" s="232"/>
      <c r="V1743" s="226"/>
      <c r="W1743" s="229"/>
      <c r="X1743" s="200"/>
      <c r="Y1743" s="133"/>
      <c r="Z1743" s="195"/>
      <c r="AA1743" s="226"/>
      <c r="AB1743" s="232"/>
      <c r="AC1743" s="232"/>
      <c r="AD1743" s="226"/>
      <c r="AE1743" s="229"/>
      <c r="AF1743" s="200"/>
      <c r="AG1743" s="133"/>
      <c r="AH1743" s="195"/>
      <c r="AI1743" s="226"/>
      <c r="AJ1743" s="232"/>
      <c r="AK1743" s="232"/>
      <c r="AL1743" s="226"/>
      <c r="AM1743" s="229"/>
      <c r="AN1743" s="200"/>
      <c r="AO1743" s="133"/>
      <c r="AP1743" s="195"/>
      <c r="AQ1743" s="226"/>
      <c r="AR1743" s="232"/>
      <c r="AS1743" s="232"/>
      <c r="AT1743" s="226"/>
      <c r="AU1743" s="229"/>
      <c r="AV1743" s="200"/>
    </row>
    <row r="1744" spans="1:50" ht="15.75" thickBot="1" x14ac:dyDescent="0.3">
      <c r="A1744" s="133"/>
      <c r="B1744" s="195"/>
      <c r="C1744" s="226"/>
      <c r="D1744" s="232"/>
      <c r="E1744" s="232"/>
      <c r="F1744" s="226"/>
      <c r="G1744" s="229"/>
      <c r="H1744" s="200"/>
      <c r="I1744" s="133"/>
      <c r="J1744" s="195"/>
      <c r="K1744" s="226"/>
      <c r="L1744" s="232"/>
      <c r="M1744" s="232"/>
      <c r="N1744" s="226"/>
      <c r="O1744" s="229"/>
      <c r="P1744" s="200"/>
      <c r="Q1744" s="133"/>
      <c r="R1744" s="195"/>
      <c r="S1744" s="226"/>
      <c r="T1744" s="232"/>
      <c r="U1744" s="232"/>
      <c r="V1744" s="226"/>
      <c r="W1744" s="229"/>
      <c r="X1744" s="200"/>
      <c r="Y1744" s="133"/>
      <c r="Z1744" s="195"/>
      <c r="AA1744" s="226"/>
      <c r="AB1744" s="232"/>
      <c r="AC1744" s="232"/>
      <c r="AD1744" s="226"/>
      <c r="AE1744" s="229"/>
      <c r="AF1744" s="200"/>
      <c r="AG1744" s="133"/>
      <c r="AH1744" s="195"/>
      <c r="AI1744" s="226"/>
      <c r="AJ1744" s="232"/>
      <c r="AK1744" s="232"/>
      <c r="AL1744" s="226"/>
      <c r="AM1744" s="229"/>
      <c r="AN1744" s="200"/>
      <c r="AO1744" s="133"/>
      <c r="AP1744" s="195"/>
      <c r="AQ1744" s="226"/>
      <c r="AR1744" s="232"/>
      <c r="AS1744" s="232"/>
      <c r="AT1744" s="226"/>
      <c r="AU1744" s="229"/>
      <c r="AV1744" s="200"/>
    </row>
    <row r="1745" spans="1:48" ht="15.75" thickBot="1" x14ac:dyDescent="0.3">
      <c r="A1745" s="133"/>
      <c r="B1745" s="233"/>
      <c r="C1745" s="234"/>
      <c r="D1745" s="234"/>
      <c r="E1745" s="234"/>
      <c r="F1745" s="235"/>
      <c r="G1745" s="236"/>
      <c r="H1745" s="237">
        <f>+SUM(G1739:G1745)</f>
        <v>12074.333333333334</v>
      </c>
      <c r="I1745" s="133"/>
      <c r="J1745" s="233"/>
      <c r="K1745" s="234"/>
      <c r="L1745" s="234"/>
      <c r="M1745" s="234"/>
      <c r="N1745" s="235"/>
      <c r="O1745" s="236"/>
      <c r="P1745" s="237">
        <f>+SUM(O1739:O1745)</f>
        <v>12074.333333333334</v>
      </c>
      <c r="Q1745" s="133"/>
      <c r="R1745" s="233"/>
      <c r="S1745" s="234"/>
      <c r="T1745" s="234"/>
      <c r="U1745" s="234"/>
      <c r="V1745" s="235"/>
      <c r="W1745" s="236"/>
      <c r="X1745" s="237">
        <f>+SUM(W1739:W1745)</f>
        <v>12506</v>
      </c>
      <c r="Y1745" s="133"/>
      <c r="Z1745" s="233"/>
      <c r="AA1745" s="234"/>
      <c r="AB1745" s="234"/>
      <c r="AC1745" s="234"/>
      <c r="AD1745" s="235"/>
      <c r="AE1745" s="236"/>
      <c r="AF1745" s="237">
        <f>+SUM(AE1739:AE1745)</f>
        <v>18751.666666666664</v>
      </c>
      <c r="AG1745" s="133"/>
      <c r="AH1745" s="233"/>
      <c r="AI1745" s="234"/>
      <c r="AJ1745" s="234"/>
      <c r="AK1745" s="234"/>
      <c r="AL1745" s="235"/>
      <c r="AM1745" s="236"/>
      <c r="AN1745" s="237">
        <f>+SUM(AM1739:AM1745)</f>
        <v>22243</v>
      </c>
      <c r="AO1745" s="133"/>
      <c r="AP1745" s="233"/>
      <c r="AQ1745" s="234"/>
      <c r="AR1745" s="234"/>
      <c r="AS1745" s="234"/>
      <c r="AT1745" s="235"/>
      <c r="AU1745" s="236"/>
      <c r="AV1745" s="237">
        <f>+SUM(AU1739:AU1745)</f>
        <v>27480</v>
      </c>
    </row>
    <row r="1746" spans="1:48" ht="15.75" thickBot="1" x14ac:dyDescent="0.3">
      <c r="A1746" s="133"/>
      <c r="B1746" s="238"/>
      <c r="C1746" s="238"/>
      <c r="D1746" s="238"/>
      <c r="E1746" s="238"/>
      <c r="F1746" s="239"/>
      <c r="G1746" s="240"/>
      <c r="H1746" s="241"/>
      <c r="I1746" s="133"/>
      <c r="J1746" s="238"/>
      <c r="K1746" s="238"/>
      <c r="L1746" s="238"/>
      <c r="M1746" s="238"/>
      <c r="N1746" s="239"/>
      <c r="O1746" s="240"/>
      <c r="P1746" s="241"/>
      <c r="Q1746" s="133"/>
      <c r="R1746" s="238"/>
      <c r="S1746" s="238"/>
      <c r="T1746" s="238"/>
      <c r="U1746" s="238"/>
      <c r="V1746" s="239"/>
      <c r="W1746" s="240"/>
      <c r="X1746" s="241"/>
      <c r="Y1746" s="133"/>
      <c r="Z1746" s="238"/>
      <c r="AA1746" s="238"/>
      <c r="AB1746" s="238"/>
      <c r="AC1746" s="238"/>
      <c r="AD1746" s="239"/>
      <c r="AE1746" s="240"/>
      <c r="AF1746" s="241"/>
      <c r="AG1746" s="133"/>
      <c r="AH1746" s="238"/>
      <c r="AI1746" s="238"/>
      <c r="AJ1746" s="238"/>
      <c r="AK1746" s="238"/>
      <c r="AL1746" s="239"/>
      <c r="AM1746" s="240"/>
      <c r="AN1746" s="241"/>
      <c r="AO1746" s="133"/>
      <c r="AP1746" s="238"/>
      <c r="AQ1746" s="238"/>
      <c r="AR1746" s="238"/>
      <c r="AS1746" s="238"/>
      <c r="AT1746" s="239"/>
      <c r="AU1746" s="240"/>
      <c r="AV1746" s="241"/>
    </row>
    <row r="1747" spans="1:48" ht="15.75" thickBot="1" x14ac:dyDescent="0.3">
      <c r="A1747" s="133"/>
      <c r="B1747" s="224" t="s">
        <v>5408</v>
      </c>
      <c r="C1747" s="193" t="s">
        <v>867</v>
      </c>
      <c r="D1747" s="193" t="s">
        <v>6</v>
      </c>
      <c r="E1747" s="193" t="s">
        <v>870</v>
      </c>
      <c r="F1747" s="193" t="s">
        <v>5409</v>
      </c>
      <c r="G1747" s="225" t="s">
        <v>868</v>
      </c>
      <c r="H1747" s="200"/>
      <c r="I1747" s="133"/>
      <c r="J1747" s="224" t="s">
        <v>5408</v>
      </c>
      <c r="K1747" s="193" t="s">
        <v>867</v>
      </c>
      <c r="L1747" s="193" t="s">
        <v>6</v>
      </c>
      <c r="M1747" s="193" t="s">
        <v>870</v>
      </c>
      <c r="N1747" s="193" t="s">
        <v>5409</v>
      </c>
      <c r="O1747" s="225" t="s">
        <v>868</v>
      </c>
      <c r="P1747" s="200"/>
      <c r="Q1747" s="133"/>
      <c r="R1747" s="224" t="s">
        <v>5408</v>
      </c>
      <c r="S1747" s="193" t="s">
        <v>867</v>
      </c>
      <c r="T1747" s="193" t="s">
        <v>6</v>
      </c>
      <c r="U1747" s="193" t="s">
        <v>870</v>
      </c>
      <c r="V1747" s="193" t="s">
        <v>5409</v>
      </c>
      <c r="W1747" s="225" t="s">
        <v>868</v>
      </c>
      <c r="X1747" s="200"/>
      <c r="Y1747" s="133"/>
      <c r="Z1747" s="224" t="s">
        <v>5408</v>
      </c>
      <c r="AA1747" s="193" t="s">
        <v>867</v>
      </c>
      <c r="AB1747" s="193" t="s">
        <v>6</v>
      </c>
      <c r="AC1747" s="193" t="s">
        <v>870</v>
      </c>
      <c r="AD1747" s="193" t="s">
        <v>5409</v>
      </c>
      <c r="AE1747" s="225" t="s">
        <v>868</v>
      </c>
      <c r="AF1747" s="200"/>
      <c r="AG1747" s="133"/>
      <c r="AH1747" s="224" t="s">
        <v>5408</v>
      </c>
      <c r="AI1747" s="193" t="s">
        <v>867</v>
      </c>
      <c r="AJ1747" s="193" t="s">
        <v>6</v>
      </c>
      <c r="AK1747" s="193" t="s">
        <v>870</v>
      </c>
      <c r="AL1747" s="193" t="s">
        <v>5409</v>
      </c>
      <c r="AM1747" s="225" t="s">
        <v>868</v>
      </c>
      <c r="AN1747" s="200"/>
      <c r="AO1747" s="133"/>
      <c r="AP1747" s="224" t="s">
        <v>5408</v>
      </c>
      <c r="AQ1747" s="193" t="s">
        <v>867</v>
      </c>
      <c r="AR1747" s="193" t="s">
        <v>6</v>
      </c>
      <c r="AS1747" s="193" t="s">
        <v>870</v>
      </c>
      <c r="AT1747" s="193" t="s">
        <v>5409</v>
      </c>
      <c r="AU1747" s="225" t="s">
        <v>868</v>
      </c>
      <c r="AV1747" s="200"/>
    </row>
    <row r="1748" spans="1:48" x14ac:dyDescent="0.25">
      <c r="A1748" s="133"/>
      <c r="B1748" s="295"/>
      <c r="C1748" s="202"/>
      <c r="D1748" s="226"/>
      <c r="E1748" s="171"/>
      <c r="F1748" s="169"/>
      <c r="G1748" s="178">
        <f>+D1748*E1748*(1+F1748)</f>
        <v>0</v>
      </c>
      <c r="H1748" s="200"/>
      <c r="I1748" s="133"/>
      <c r="J1748" s="295"/>
      <c r="K1748" s="202"/>
      <c r="L1748" s="226"/>
      <c r="M1748" s="228"/>
      <c r="N1748" s="169"/>
      <c r="O1748" s="178"/>
      <c r="P1748" s="200"/>
      <c r="Q1748" s="133"/>
      <c r="R1748" s="295"/>
      <c r="S1748" s="202"/>
      <c r="T1748" s="226"/>
      <c r="U1748" s="228"/>
      <c r="V1748" s="169"/>
      <c r="W1748" s="178">
        <f>+T1748*U1748*(1+V1748)</f>
        <v>0</v>
      </c>
      <c r="X1748" s="200"/>
      <c r="Y1748" s="133"/>
      <c r="Z1748" s="295"/>
      <c r="AA1748" s="202"/>
      <c r="AB1748" s="226"/>
      <c r="AC1748" s="171"/>
      <c r="AD1748" s="169"/>
      <c r="AE1748" s="178"/>
      <c r="AF1748" s="200"/>
      <c r="AG1748" s="133"/>
      <c r="AH1748" s="295"/>
      <c r="AI1748" s="202"/>
      <c r="AJ1748" s="226"/>
      <c r="AK1748" s="171"/>
      <c r="AL1748" s="169"/>
      <c r="AM1748" s="178"/>
      <c r="AN1748" s="200"/>
      <c r="AO1748" s="133"/>
      <c r="AP1748" s="242"/>
      <c r="AQ1748" s="202"/>
      <c r="AR1748" s="226"/>
      <c r="AS1748" s="171"/>
      <c r="AT1748" s="169"/>
      <c r="AU1748" s="178"/>
      <c r="AV1748" s="200"/>
    </row>
    <row r="1749" spans="1:48" x14ac:dyDescent="0.25">
      <c r="A1749" s="133"/>
      <c r="B1749" s="450"/>
      <c r="C1749" s="202"/>
      <c r="D1749" s="202"/>
      <c r="E1749" s="175"/>
      <c r="F1749" s="169"/>
      <c r="G1749" s="178">
        <f>+D1749*E1749*(1+F1749)</f>
        <v>0</v>
      </c>
      <c r="H1749" s="200"/>
      <c r="I1749" s="133"/>
      <c r="J1749" s="450"/>
      <c r="K1749" s="202"/>
      <c r="L1749" s="202"/>
      <c r="M1749" s="228"/>
      <c r="N1749" s="169"/>
      <c r="O1749" s="178"/>
      <c r="P1749" s="200"/>
      <c r="Q1749" s="133"/>
      <c r="R1749" s="450"/>
      <c r="S1749" s="202"/>
      <c r="T1749" s="202"/>
      <c r="U1749" s="228"/>
      <c r="V1749" s="169"/>
      <c r="W1749" s="178"/>
      <c r="X1749" s="200"/>
      <c r="Y1749" s="133"/>
      <c r="Z1749" s="450"/>
      <c r="AA1749" s="202"/>
      <c r="AB1749" s="202"/>
      <c r="AC1749" s="175"/>
      <c r="AD1749" s="169"/>
      <c r="AE1749" s="178"/>
      <c r="AF1749" s="200"/>
      <c r="AG1749" s="133"/>
      <c r="AH1749" s="450"/>
      <c r="AI1749" s="202"/>
      <c r="AJ1749" s="202"/>
      <c r="AK1749" s="175"/>
      <c r="AL1749" s="169"/>
      <c r="AM1749" s="178"/>
      <c r="AN1749" s="200"/>
      <c r="AO1749" s="133"/>
      <c r="AP1749" s="243"/>
      <c r="AQ1749" s="202"/>
      <c r="AR1749" s="202"/>
      <c r="AS1749" s="175"/>
      <c r="AT1749" s="169"/>
      <c r="AU1749" s="178"/>
      <c r="AV1749" s="200"/>
    </row>
    <row r="1750" spans="1:48" x14ac:dyDescent="0.25">
      <c r="A1750" s="133"/>
      <c r="B1750" s="247"/>
      <c r="C1750" s="226"/>
      <c r="D1750" s="226"/>
      <c r="E1750" s="244"/>
      <c r="F1750" s="169"/>
      <c r="G1750" s="178">
        <f>+D1750*E1750*(1+F1750)</f>
        <v>0</v>
      </c>
      <c r="H1750" s="200"/>
      <c r="I1750" s="133"/>
      <c r="J1750" s="247"/>
      <c r="K1750" s="226"/>
      <c r="L1750" s="226"/>
      <c r="M1750" s="228"/>
      <c r="N1750" s="169"/>
      <c r="O1750" s="178"/>
      <c r="P1750" s="200"/>
      <c r="Q1750" s="133"/>
      <c r="R1750" s="247"/>
      <c r="S1750" s="226"/>
      <c r="T1750" s="226"/>
      <c r="U1750" s="228"/>
      <c r="V1750" s="169"/>
      <c r="W1750" s="178"/>
      <c r="X1750" s="200"/>
      <c r="Y1750" s="133"/>
      <c r="Z1750" s="247"/>
      <c r="AA1750" s="226"/>
      <c r="AB1750" s="226"/>
      <c r="AC1750" s="244"/>
      <c r="AD1750" s="169"/>
      <c r="AE1750" s="178"/>
      <c r="AF1750" s="200"/>
      <c r="AG1750" s="133"/>
      <c r="AH1750" s="247"/>
      <c r="AI1750" s="226"/>
      <c r="AJ1750" s="226"/>
      <c r="AK1750" s="244"/>
      <c r="AL1750" s="169"/>
      <c r="AM1750" s="178"/>
      <c r="AN1750" s="200"/>
      <c r="AO1750" s="133"/>
      <c r="AP1750" s="243"/>
      <c r="AQ1750" s="226"/>
      <c r="AR1750" s="226"/>
      <c r="AS1750" s="244"/>
      <c r="AT1750" s="169"/>
      <c r="AU1750" s="178"/>
      <c r="AV1750" s="200"/>
    </row>
    <row r="1751" spans="1:48" x14ac:dyDescent="0.25">
      <c r="A1751" s="133"/>
      <c r="B1751" s="194"/>
      <c r="C1751" s="226"/>
      <c r="D1751" s="226"/>
      <c r="E1751" s="171"/>
      <c r="F1751" s="169"/>
      <c r="G1751" s="178">
        <f>+D1751*E1751*(1+F1751)</f>
        <v>0</v>
      </c>
      <c r="H1751" s="200"/>
      <c r="I1751" s="133"/>
      <c r="J1751" s="194"/>
      <c r="K1751" s="226"/>
      <c r="L1751" s="226"/>
      <c r="M1751" s="176"/>
      <c r="N1751" s="169"/>
      <c r="O1751" s="178"/>
      <c r="P1751" s="200"/>
      <c r="Q1751" s="133"/>
      <c r="R1751" s="194"/>
      <c r="S1751" s="226"/>
      <c r="T1751" s="226"/>
      <c r="U1751" s="176"/>
      <c r="V1751" s="169"/>
      <c r="W1751" s="178"/>
      <c r="X1751" s="200"/>
      <c r="Y1751" s="133"/>
      <c r="Z1751" s="194"/>
      <c r="AA1751" s="226"/>
      <c r="AB1751" s="226"/>
      <c r="AC1751" s="171"/>
      <c r="AD1751" s="169"/>
      <c r="AE1751" s="178"/>
      <c r="AF1751" s="200"/>
      <c r="AG1751" s="133"/>
      <c r="AH1751" s="194"/>
      <c r="AI1751" s="226"/>
      <c r="AJ1751" s="226"/>
      <c r="AK1751" s="171"/>
      <c r="AL1751" s="169"/>
      <c r="AM1751" s="178"/>
      <c r="AN1751" s="200"/>
      <c r="AO1751" s="133"/>
      <c r="AP1751" s="194"/>
      <c r="AQ1751" s="226"/>
      <c r="AR1751" s="226"/>
      <c r="AS1751" s="171"/>
      <c r="AT1751" s="169"/>
      <c r="AU1751" s="178"/>
      <c r="AV1751" s="200"/>
    </row>
    <row r="1752" spans="1:48" x14ac:dyDescent="0.25">
      <c r="A1752" s="133"/>
      <c r="B1752" s="195"/>
      <c r="C1752" s="226"/>
      <c r="D1752" s="226"/>
      <c r="E1752" s="171"/>
      <c r="F1752" s="169"/>
      <c r="G1752" s="178"/>
      <c r="H1752" s="200"/>
      <c r="I1752" s="133"/>
      <c r="J1752" s="195"/>
      <c r="K1752" s="226"/>
      <c r="L1752" s="226"/>
      <c r="M1752" s="176"/>
      <c r="N1752" s="169"/>
      <c r="O1752" s="178"/>
      <c r="P1752" s="200"/>
      <c r="Q1752" s="133"/>
      <c r="R1752" s="195"/>
      <c r="S1752" s="226"/>
      <c r="T1752" s="226"/>
      <c r="U1752" s="176"/>
      <c r="V1752" s="169"/>
      <c r="W1752" s="178"/>
      <c r="X1752" s="200"/>
      <c r="Y1752" s="133"/>
      <c r="Z1752" s="195"/>
      <c r="AA1752" s="226"/>
      <c r="AB1752" s="226"/>
      <c r="AC1752" s="171"/>
      <c r="AD1752" s="169"/>
      <c r="AE1752" s="178"/>
      <c r="AF1752" s="200"/>
      <c r="AG1752" s="133"/>
      <c r="AH1752" s="195"/>
      <c r="AI1752" s="226"/>
      <c r="AJ1752" s="226"/>
      <c r="AK1752" s="171"/>
      <c r="AL1752" s="169"/>
      <c r="AM1752" s="178"/>
      <c r="AN1752" s="200"/>
      <c r="AO1752" s="133"/>
      <c r="AP1752" s="195"/>
      <c r="AQ1752" s="226"/>
      <c r="AR1752" s="226"/>
      <c r="AS1752" s="171"/>
      <c r="AT1752" s="169"/>
      <c r="AU1752" s="178"/>
      <c r="AV1752" s="200"/>
    </row>
    <row r="1753" spans="1:48" x14ac:dyDescent="0.25">
      <c r="A1753" s="133"/>
      <c r="B1753" s="194"/>
      <c r="C1753" s="202"/>
      <c r="D1753" s="202"/>
      <c r="E1753" s="171"/>
      <c r="F1753" s="169"/>
      <c r="G1753" s="178"/>
      <c r="H1753" s="200"/>
      <c r="I1753" s="133"/>
      <c r="J1753" s="194"/>
      <c r="K1753" s="202"/>
      <c r="L1753" s="202"/>
      <c r="M1753" s="176"/>
      <c r="N1753" s="169"/>
      <c r="O1753" s="178"/>
      <c r="P1753" s="200"/>
      <c r="Q1753" s="133"/>
      <c r="R1753" s="194"/>
      <c r="S1753" s="202"/>
      <c r="T1753" s="202"/>
      <c r="U1753" s="176"/>
      <c r="V1753" s="169"/>
      <c r="W1753" s="178"/>
      <c r="X1753" s="200"/>
      <c r="Y1753" s="133"/>
      <c r="Z1753" s="194"/>
      <c r="AA1753" s="202"/>
      <c r="AB1753" s="202"/>
      <c r="AC1753" s="171"/>
      <c r="AD1753" s="169"/>
      <c r="AE1753" s="178"/>
      <c r="AF1753" s="200"/>
      <c r="AG1753" s="133"/>
      <c r="AH1753" s="194"/>
      <c r="AI1753" s="202"/>
      <c r="AJ1753" s="202"/>
      <c r="AK1753" s="171"/>
      <c r="AL1753" s="169"/>
      <c r="AM1753" s="178"/>
      <c r="AN1753" s="200"/>
      <c r="AO1753" s="133"/>
      <c r="AP1753" s="194"/>
      <c r="AQ1753" s="202"/>
      <c r="AR1753" s="202"/>
      <c r="AS1753" s="171"/>
      <c r="AT1753" s="169"/>
      <c r="AU1753" s="178"/>
      <c r="AV1753" s="200"/>
    </row>
    <row r="1754" spans="1:48" x14ac:dyDescent="0.25">
      <c r="A1754" s="133"/>
      <c r="B1754" s="195"/>
      <c r="C1754" s="226"/>
      <c r="D1754" s="226"/>
      <c r="E1754" s="171"/>
      <c r="F1754" s="169"/>
      <c r="G1754" s="178"/>
      <c r="H1754" s="200"/>
      <c r="I1754" s="133"/>
      <c r="J1754" s="195"/>
      <c r="K1754" s="226"/>
      <c r="L1754" s="226"/>
      <c r="M1754" s="176"/>
      <c r="N1754" s="169"/>
      <c r="O1754" s="178"/>
      <c r="P1754" s="200"/>
      <c r="Q1754" s="133"/>
      <c r="R1754" s="195"/>
      <c r="S1754" s="226"/>
      <c r="T1754" s="226"/>
      <c r="U1754" s="176"/>
      <c r="V1754" s="169"/>
      <c r="W1754" s="178"/>
      <c r="X1754" s="200"/>
      <c r="Y1754" s="133"/>
      <c r="Z1754" s="195"/>
      <c r="AA1754" s="226"/>
      <c r="AB1754" s="226"/>
      <c r="AC1754" s="171"/>
      <c r="AD1754" s="169"/>
      <c r="AE1754" s="178"/>
      <c r="AF1754" s="200"/>
      <c r="AG1754" s="133"/>
      <c r="AH1754" s="195"/>
      <c r="AI1754" s="226"/>
      <c r="AJ1754" s="226"/>
      <c r="AK1754" s="171"/>
      <c r="AL1754" s="169"/>
      <c r="AM1754" s="178"/>
      <c r="AN1754" s="200"/>
      <c r="AO1754" s="133"/>
      <c r="AP1754" s="195"/>
      <c r="AQ1754" s="226"/>
      <c r="AR1754" s="226"/>
      <c r="AS1754" s="171"/>
      <c r="AT1754" s="169"/>
      <c r="AU1754" s="178"/>
      <c r="AV1754" s="200"/>
    </row>
    <row r="1755" spans="1:48" x14ac:dyDescent="0.25">
      <c r="A1755" s="133"/>
      <c r="B1755" s="195"/>
      <c r="C1755" s="226"/>
      <c r="D1755" s="226"/>
      <c r="E1755" s="171"/>
      <c r="F1755" s="169"/>
      <c r="G1755" s="178"/>
      <c r="H1755" s="200"/>
      <c r="I1755" s="133"/>
      <c r="J1755" s="195"/>
      <c r="K1755" s="226"/>
      <c r="L1755" s="226"/>
      <c r="M1755" s="176"/>
      <c r="N1755" s="169"/>
      <c r="O1755" s="178"/>
      <c r="P1755" s="200"/>
      <c r="Q1755" s="133"/>
      <c r="R1755" s="195"/>
      <c r="S1755" s="226"/>
      <c r="T1755" s="226"/>
      <c r="U1755" s="176"/>
      <c r="V1755" s="169"/>
      <c r="W1755" s="178"/>
      <c r="X1755" s="200"/>
      <c r="Y1755" s="133"/>
      <c r="Z1755" s="195"/>
      <c r="AA1755" s="226"/>
      <c r="AB1755" s="226"/>
      <c r="AC1755" s="171"/>
      <c r="AD1755" s="169"/>
      <c r="AE1755" s="178"/>
      <c r="AF1755" s="200"/>
      <c r="AG1755" s="133"/>
      <c r="AH1755" s="195"/>
      <c r="AI1755" s="226"/>
      <c r="AJ1755" s="226"/>
      <c r="AK1755" s="171"/>
      <c r="AL1755" s="169"/>
      <c r="AM1755" s="178"/>
      <c r="AN1755" s="200"/>
      <c r="AO1755" s="133"/>
      <c r="AP1755" s="195"/>
      <c r="AQ1755" s="226"/>
      <c r="AR1755" s="226"/>
      <c r="AS1755" s="171"/>
      <c r="AT1755" s="169"/>
      <c r="AU1755" s="178"/>
      <c r="AV1755" s="200"/>
    </row>
    <row r="1756" spans="1:48" x14ac:dyDescent="0.25">
      <c r="A1756" s="133"/>
      <c r="B1756" s="195"/>
      <c r="C1756" s="232"/>
      <c r="D1756" s="232"/>
      <c r="E1756" s="232"/>
      <c r="F1756" s="226"/>
      <c r="G1756" s="229"/>
      <c r="H1756" s="200"/>
      <c r="I1756" s="133"/>
      <c r="J1756" s="195"/>
      <c r="K1756" s="232"/>
      <c r="L1756" s="232"/>
      <c r="M1756" s="232"/>
      <c r="N1756" s="226"/>
      <c r="O1756" s="229"/>
      <c r="P1756" s="200"/>
      <c r="Q1756" s="133"/>
      <c r="R1756" s="195"/>
      <c r="S1756" s="232"/>
      <c r="T1756" s="232"/>
      <c r="U1756" s="232"/>
      <c r="V1756" s="226"/>
      <c r="W1756" s="229"/>
      <c r="X1756" s="200"/>
      <c r="Y1756" s="133"/>
      <c r="Z1756" s="195"/>
      <c r="AA1756" s="232"/>
      <c r="AB1756" s="232"/>
      <c r="AC1756" s="232"/>
      <c r="AD1756" s="226"/>
      <c r="AE1756" s="229"/>
      <c r="AF1756" s="200"/>
      <c r="AG1756" s="133"/>
      <c r="AH1756" s="195"/>
      <c r="AI1756" s="232"/>
      <c r="AJ1756" s="232"/>
      <c r="AK1756" s="232"/>
      <c r="AL1756" s="226"/>
      <c r="AM1756" s="229"/>
      <c r="AN1756" s="200"/>
      <c r="AO1756" s="133"/>
      <c r="AP1756" s="195"/>
      <c r="AQ1756" s="232"/>
      <c r="AR1756" s="232"/>
      <c r="AS1756" s="232"/>
      <c r="AT1756" s="226"/>
      <c r="AU1756" s="229"/>
      <c r="AV1756" s="200"/>
    </row>
    <row r="1757" spans="1:48" x14ac:dyDescent="0.25">
      <c r="A1757" s="133"/>
      <c r="B1757" s="195"/>
      <c r="C1757" s="232"/>
      <c r="D1757" s="232"/>
      <c r="E1757" s="232"/>
      <c r="F1757" s="226"/>
      <c r="G1757" s="229"/>
      <c r="H1757" s="200"/>
      <c r="I1757" s="133"/>
      <c r="J1757" s="195"/>
      <c r="K1757" s="232"/>
      <c r="L1757" s="232"/>
      <c r="M1757" s="232"/>
      <c r="N1757" s="226"/>
      <c r="O1757" s="229"/>
      <c r="P1757" s="200"/>
      <c r="Q1757" s="133"/>
      <c r="R1757" s="195"/>
      <c r="S1757" s="232"/>
      <c r="T1757" s="232"/>
      <c r="U1757" s="232"/>
      <c r="V1757" s="226"/>
      <c r="W1757" s="229"/>
      <c r="X1757" s="200"/>
      <c r="Y1757" s="133"/>
      <c r="Z1757" s="195"/>
      <c r="AA1757" s="232"/>
      <c r="AB1757" s="232"/>
      <c r="AC1757" s="232"/>
      <c r="AD1757" s="226"/>
      <c r="AE1757" s="229"/>
      <c r="AF1757" s="200"/>
      <c r="AG1757" s="133"/>
      <c r="AH1757" s="195"/>
      <c r="AI1757" s="232"/>
      <c r="AJ1757" s="232"/>
      <c r="AK1757" s="232"/>
      <c r="AL1757" s="226"/>
      <c r="AM1757" s="229"/>
      <c r="AN1757" s="200"/>
      <c r="AO1757" s="133"/>
      <c r="AP1757" s="195"/>
      <c r="AQ1757" s="232"/>
      <c r="AR1757" s="232"/>
      <c r="AS1757" s="232"/>
      <c r="AT1757" s="226"/>
      <c r="AU1757" s="229"/>
      <c r="AV1757" s="200"/>
    </row>
    <row r="1758" spans="1:48" x14ac:dyDescent="0.25">
      <c r="A1758" s="133"/>
      <c r="B1758" s="195"/>
      <c r="C1758" s="232"/>
      <c r="D1758" s="232"/>
      <c r="E1758" s="232"/>
      <c r="F1758" s="226"/>
      <c r="G1758" s="229"/>
      <c r="H1758" s="200"/>
      <c r="I1758" s="133"/>
      <c r="J1758" s="195"/>
      <c r="K1758" s="232"/>
      <c r="L1758" s="232"/>
      <c r="M1758" s="232"/>
      <c r="N1758" s="226"/>
      <c r="O1758" s="229"/>
      <c r="P1758" s="200"/>
      <c r="Q1758" s="133"/>
      <c r="R1758" s="195"/>
      <c r="S1758" s="232"/>
      <c r="T1758" s="232"/>
      <c r="U1758" s="232"/>
      <c r="V1758" s="226"/>
      <c r="W1758" s="229"/>
      <c r="X1758" s="200"/>
      <c r="Y1758" s="133"/>
      <c r="Z1758" s="195"/>
      <c r="AA1758" s="232"/>
      <c r="AB1758" s="232"/>
      <c r="AC1758" s="232"/>
      <c r="AD1758" s="226"/>
      <c r="AE1758" s="229"/>
      <c r="AF1758" s="200"/>
      <c r="AG1758" s="133"/>
      <c r="AH1758" s="195"/>
      <c r="AI1758" s="232"/>
      <c r="AJ1758" s="232"/>
      <c r="AK1758" s="232"/>
      <c r="AL1758" s="226"/>
      <c r="AM1758" s="229"/>
      <c r="AN1758" s="200"/>
      <c r="AO1758" s="133"/>
      <c r="AP1758" s="195"/>
      <c r="AQ1758" s="232"/>
      <c r="AR1758" s="232"/>
      <c r="AS1758" s="232"/>
      <c r="AT1758" s="226"/>
      <c r="AU1758" s="229"/>
      <c r="AV1758" s="200"/>
    </row>
    <row r="1759" spans="1:48" ht="15.75" thickBot="1" x14ac:dyDescent="0.3">
      <c r="A1759" s="133"/>
      <c r="B1759" s="195"/>
      <c r="C1759" s="232"/>
      <c r="D1759" s="232"/>
      <c r="E1759" s="232"/>
      <c r="F1759" s="226"/>
      <c r="G1759" s="229"/>
      <c r="H1759" s="200"/>
      <c r="I1759" s="133"/>
      <c r="J1759" s="195"/>
      <c r="K1759" s="232"/>
      <c r="L1759" s="232"/>
      <c r="M1759" s="232"/>
      <c r="N1759" s="226"/>
      <c r="O1759" s="229"/>
      <c r="P1759" s="200"/>
      <c r="Q1759" s="133"/>
      <c r="R1759" s="195"/>
      <c r="S1759" s="232"/>
      <c r="T1759" s="232"/>
      <c r="U1759" s="232"/>
      <c r="V1759" s="226"/>
      <c r="W1759" s="229"/>
      <c r="X1759" s="200"/>
      <c r="Y1759" s="133"/>
      <c r="Z1759" s="195"/>
      <c r="AA1759" s="232"/>
      <c r="AB1759" s="232"/>
      <c r="AC1759" s="232"/>
      <c r="AD1759" s="226"/>
      <c r="AE1759" s="229"/>
      <c r="AF1759" s="200"/>
      <c r="AG1759" s="133"/>
      <c r="AH1759" s="195"/>
      <c r="AI1759" s="232"/>
      <c r="AJ1759" s="232"/>
      <c r="AK1759" s="232"/>
      <c r="AL1759" s="226"/>
      <c r="AM1759" s="229"/>
      <c r="AN1759" s="200"/>
      <c r="AO1759" s="133"/>
      <c r="AP1759" s="195"/>
      <c r="AQ1759" s="232"/>
      <c r="AR1759" s="232"/>
      <c r="AS1759" s="232"/>
      <c r="AT1759" s="226"/>
      <c r="AU1759" s="229"/>
      <c r="AV1759" s="200"/>
    </row>
    <row r="1760" spans="1:48" ht="15.75" thickBot="1" x14ac:dyDescent="0.3">
      <c r="A1760" s="133"/>
      <c r="B1760" s="233"/>
      <c r="C1760" s="234"/>
      <c r="D1760" s="234"/>
      <c r="E1760" s="234"/>
      <c r="F1760" s="235"/>
      <c r="G1760" s="236"/>
      <c r="H1760" s="237">
        <f>+SUM(G1748:G1760)</f>
        <v>0</v>
      </c>
      <c r="I1760" s="133"/>
      <c r="J1760" s="233"/>
      <c r="K1760" s="234"/>
      <c r="L1760" s="234"/>
      <c r="M1760" s="234"/>
      <c r="N1760" s="235"/>
      <c r="O1760" s="236"/>
      <c r="P1760" s="237">
        <f>+SUM(O1748:O1760)</f>
        <v>0</v>
      </c>
      <c r="Q1760" s="133"/>
      <c r="R1760" s="233"/>
      <c r="S1760" s="234"/>
      <c r="T1760" s="234"/>
      <c r="U1760" s="234"/>
      <c r="V1760" s="235"/>
      <c r="W1760" s="236"/>
      <c r="X1760" s="237">
        <f>+SUM(W1748:W1760)</f>
        <v>0</v>
      </c>
      <c r="Y1760" s="133"/>
      <c r="Z1760" s="233"/>
      <c r="AA1760" s="234"/>
      <c r="AB1760" s="234"/>
      <c r="AC1760" s="234"/>
      <c r="AD1760" s="235"/>
      <c r="AE1760" s="236"/>
      <c r="AF1760" s="237">
        <f>+SUM(AE1748:AE1760)</f>
        <v>0</v>
      </c>
      <c r="AG1760" s="133"/>
      <c r="AH1760" s="233"/>
      <c r="AI1760" s="234"/>
      <c r="AJ1760" s="234"/>
      <c r="AK1760" s="234"/>
      <c r="AL1760" s="235"/>
      <c r="AM1760" s="236"/>
      <c r="AN1760" s="237">
        <f>+SUM(AM1748:AM1760)</f>
        <v>0</v>
      </c>
      <c r="AO1760" s="133"/>
      <c r="AP1760" s="233"/>
      <c r="AQ1760" s="234"/>
      <c r="AR1760" s="234"/>
      <c r="AS1760" s="234"/>
      <c r="AT1760" s="235"/>
      <c r="AU1760" s="236"/>
      <c r="AV1760" s="237">
        <f>+SUM(AU1748:AU1760)</f>
        <v>0</v>
      </c>
    </row>
    <row r="1761" spans="1:48" ht="15.75" thickBot="1" x14ac:dyDescent="0.3">
      <c r="A1761" s="133"/>
      <c r="B1761" s="238"/>
      <c r="C1761" s="238"/>
      <c r="D1761" s="238"/>
      <c r="E1761" s="238"/>
      <c r="F1761" s="239"/>
      <c r="G1761" s="240"/>
      <c r="H1761" s="241"/>
      <c r="I1761" s="133"/>
      <c r="J1761" s="238"/>
      <c r="K1761" s="238"/>
      <c r="L1761" s="238"/>
      <c r="M1761" s="238"/>
      <c r="N1761" s="239"/>
      <c r="O1761" s="240"/>
      <c r="P1761" s="241"/>
      <c r="Q1761" s="133"/>
      <c r="R1761" s="238"/>
      <c r="S1761" s="238"/>
      <c r="T1761" s="238"/>
      <c r="U1761" s="238"/>
      <c r="V1761" s="239"/>
      <c r="W1761" s="240"/>
      <c r="X1761" s="241"/>
      <c r="Y1761" s="133"/>
      <c r="Z1761" s="238"/>
      <c r="AA1761" s="238"/>
      <c r="AB1761" s="238"/>
      <c r="AC1761" s="238"/>
      <c r="AD1761" s="239"/>
      <c r="AE1761" s="240"/>
      <c r="AF1761" s="241"/>
      <c r="AG1761" s="133"/>
      <c r="AH1761" s="238"/>
      <c r="AI1761" s="238"/>
      <c r="AJ1761" s="238"/>
      <c r="AK1761" s="238"/>
      <c r="AL1761" s="239"/>
      <c r="AM1761" s="240"/>
      <c r="AN1761" s="241"/>
      <c r="AO1761" s="133"/>
      <c r="AP1761" s="238"/>
      <c r="AQ1761" s="238"/>
      <c r="AR1761" s="238"/>
      <c r="AS1761" s="238"/>
      <c r="AT1761" s="239"/>
      <c r="AU1761" s="240"/>
      <c r="AV1761" s="241"/>
    </row>
    <row r="1762" spans="1:48" ht="15.75" thickBot="1" x14ac:dyDescent="0.3">
      <c r="A1762" s="133"/>
      <c r="B1762" s="224" t="s">
        <v>5410</v>
      </c>
      <c r="C1762" s="193" t="s">
        <v>867</v>
      </c>
      <c r="D1762" s="193" t="s">
        <v>6</v>
      </c>
      <c r="E1762" s="193" t="s">
        <v>870</v>
      </c>
      <c r="F1762" s="193" t="s">
        <v>5411</v>
      </c>
      <c r="G1762" s="225" t="s">
        <v>868</v>
      </c>
      <c r="H1762" s="200"/>
      <c r="I1762" s="133"/>
      <c r="J1762" s="224" t="s">
        <v>5410</v>
      </c>
      <c r="K1762" s="193" t="s">
        <v>867</v>
      </c>
      <c r="L1762" s="193" t="s">
        <v>6</v>
      </c>
      <c r="M1762" s="193" t="s">
        <v>870</v>
      </c>
      <c r="N1762" s="193" t="s">
        <v>5411</v>
      </c>
      <c r="O1762" s="225" t="s">
        <v>868</v>
      </c>
      <c r="P1762" s="200"/>
      <c r="Q1762" s="133"/>
      <c r="R1762" s="224" t="s">
        <v>5410</v>
      </c>
      <c r="S1762" s="193" t="s">
        <v>867</v>
      </c>
      <c r="T1762" s="193" t="s">
        <v>6</v>
      </c>
      <c r="U1762" s="193" t="s">
        <v>870</v>
      </c>
      <c r="V1762" s="193" t="s">
        <v>5411</v>
      </c>
      <c r="W1762" s="225" t="s">
        <v>868</v>
      </c>
      <c r="X1762" s="200"/>
      <c r="Y1762" s="133"/>
      <c r="Z1762" s="224" t="s">
        <v>5410</v>
      </c>
      <c r="AA1762" s="193" t="s">
        <v>867</v>
      </c>
      <c r="AB1762" s="193" t="s">
        <v>6</v>
      </c>
      <c r="AC1762" s="193" t="s">
        <v>870</v>
      </c>
      <c r="AD1762" s="193" t="s">
        <v>5411</v>
      </c>
      <c r="AE1762" s="225" t="s">
        <v>868</v>
      </c>
      <c r="AF1762" s="200"/>
      <c r="AG1762" s="133"/>
      <c r="AH1762" s="224" t="s">
        <v>5410</v>
      </c>
      <c r="AI1762" s="193" t="s">
        <v>867</v>
      </c>
      <c r="AJ1762" s="193" t="s">
        <v>6</v>
      </c>
      <c r="AK1762" s="193" t="s">
        <v>870</v>
      </c>
      <c r="AL1762" s="193" t="s">
        <v>5411</v>
      </c>
      <c r="AM1762" s="225" t="s">
        <v>868</v>
      </c>
      <c r="AN1762" s="200"/>
      <c r="AO1762" s="133"/>
      <c r="AP1762" s="224" t="s">
        <v>5410</v>
      </c>
      <c r="AQ1762" s="193" t="s">
        <v>867</v>
      </c>
      <c r="AR1762" s="193" t="s">
        <v>6</v>
      </c>
      <c r="AS1762" s="193" t="s">
        <v>870</v>
      </c>
      <c r="AT1762" s="193" t="s">
        <v>5411</v>
      </c>
      <c r="AU1762" s="225" t="s">
        <v>868</v>
      </c>
      <c r="AV1762" s="200"/>
    </row>
    <row r="1763" spans="1:48" x14ac:dyDescent="0.25">
      <c r="A1763" s="133"/>
      <c r="B1763" s="245"/>
      <c r="C1763" s="202"/>
      <c r="D1763" s="202"/>
      <c r="E1763" s="175"/>
      <c r="F1763" s="202"/>
      <c r="G1763" s="203"/>
      <c r="H1763" s="246"/>
      <c r="I1763" s="133"/>
      <c r="J1763" s="245"/>
      <c r="K1763" s="202"/>
      <c r="L1763" s="202"/>
      <c r="M1763" s="175"/>
      <c r="N1763" s="202"/>
      <c r="O1763" s="203"/>
      <c r="P1763" s="246"/>
      <c r="Q1763" s="133"/>
      <c r="R1763" s="245"/>
      <c r="S1763" s="202"/>
      <c r="T1763" s="202"/>
      <c r="U1763" s="175"/>
      <c r="V1763" s="202"/>
      <c r="W1763" s="203"/>
      <c r="X1763" s="246"/>
      <c r="Y1763" s="133"/>
      <c r="Z1763" s="245"/>
      <c r="AA1763" s="202"/>
      <c r="AB1763" s="202"/>
      <c r="AC1763" s="175"/>
      <c r="AD1763" s="202"/>
      <c r="AE1763" s="203"/>
      <c r="AF1763" s="246"/>
      <c r="AG1763" s="133"/>
      <c r="AH1763" s="245"/>
      <c r="AI1763" s="202"/>
      <c r="AJ1763" s="202"/>
      <c r="AK1763" s="175"/>
      <c r="AL1763" s="202"/>
      <c r="AM1763" s="203"/>
      <c r="AN1763" s="246"/>
      <c r="AO1763" s="133"/>
      <c r="AP1763" s="242"/>
      <c r="AQ1763" s="202"/>
      <c r="AR1763" s="202"/>
      <c r="AS1763" s="175"/>
      <c r="AT1763" s="202"/>
      <c r="AU1763" s="203"/>
      <c r="AV1763" s="246"/>
    </row>
    <row r="1764" spans="1:48" x14ac:dyDescent="0.25">
      <c r="A1764" s="133"/>
      <c r="B1764" s="247"/>
      <c r="C1764" s="248"/>
      <c r="D1764" s="248"/>
      <c r="E1764" s="248"/>
      <c r="F1764" s="202"/>
      <c r="G1764" s="178"/>
      <c r="H1764" s="200"/>
      <c r="I1764" s="133"/>
      <c r="J1764" s="247"/>
      <c r="K1764" s="248"/>
      <c r="L1764" s="248"/>
      <c r="M1764" s="248"/>
      <c r="N1764" s="202"/>
      <c r="O1764" s="178"/>
      <c r="P1764" s="200"/>
      <c r="Q1764" s="133"/>
      <c r="R1764" s="247"/>
      <c r="S1764" s="248"/>
      <c r="T1764" s="248"/>
      <c r="U1764" s="248"/>
      <c r="V1764" s="202"/>
      <c r="W1764" s="178"/>
      <c r="X1764" s="200"/>
      <c r="Y1764" s="133"/>
      <c r="Z1764" s="247"/>
      <c r="AA1764" s="248"/>
      <c r="AB1764" s="248"/>
      <c r="AC1764" s="248"/>
      <c r="AD1764" s="202"/>
      <c r="AE1764" s="178"/>
      <c r="AF1764" s="200"/>
      <c r="AG1764" s="133"/>
      <c r="AH1764" s="247"/>
      <c r="AI1764" s="248"/>
      <c r="AJ1764" s="248"/>
      <c r="AK1764" s="248"/>
      <c r="AL1764" s="202"/>
      <c r="AM1764" s="178"/>
      <c r="AN1764" s="200"/>
      <c r="AO1764" s="133"/>
      <c r="AP1764" s="243"/>
      <c r="AQ1764" s="248"/>
      <c r="AR1764" s="248"/>
      <c r="AS1764" s="248"/>
      <c r="AT1764" s="202"/>
      <c r="AU1764" s="178"/>
      <c r="AV1764" s="200"/>
    </row>
    <row r="1765" spans="1:48" x14ac:dyDescent="0.25">
      <c r="A1765" s="133"/>
      <c r="B1765" s="247"/>
      <c r="C1765" s="232"/>
      <c r="D1765" s="232"/>
      <c r="E1765" s="232"/>
      <c r="F1765" s="226"/>
      <c r="G1765" s="229"/>
      <c r="H1765" s="200"/>
      <c r="I1765" s="133"/>
      <c r="J1765" s="247"/>
      <c r="K1765" s="232"/>
      <c r="L1765" s="232"/>
      <c r="M1765" s="232"/>
      <c r="N1765" s="226"/>
      <c r="O1765" s="229"/>
      <c r="P1765" s="200"/>
      <c r="Q1765" s="133"/>
      <c r="R1765" s="247"/>
      <c r="S1765" s="232"/>
      <c r="T1765" s="232"/>
      <c r="U1765" s="232"/>
      <c r="V1765" s="226"/>
      <c r="W1765" s="229"/>
      <c r="X1765" s="200"/>
      <c r="Y1765" s="133"/>
      <c r="Z1765" s="247"/>
      <c r="AA1765" s="232"/>
      <c r="AB1765" s="232"/>
      <c r="AC1765" s="232"/>
      <c r="AD1765" s="226"/>
      <c r="AE1765" s="229"/>
      <c r="AF1765" s="200"/>
      <c r="AG1765" s="133"/>
      <c r="AH1765" s="247"/>
      <c r="AI1765" s="232"/>
      <c r="AJ1765" s="232"/>
      <c r="AK1765" s="232"/>
      <c r="AL1765" s="226"/>
      <c r="AM1765" s="229"/>
      <c r="AN1765" s="200"/>
      <c r="AO1765" s="133"/>
      <c r="AP1765" s="243"/>
      <c r="AQ1765" s="232"/>
      <c r="AR1765" s="232"/>
      <c r="AS1765" s="232"/>
      <c r="AT1765" s="226"/>
      <c r="AU1765" s="229"/>
      <c r="AV1765" s="200"/>
    </row>
    <row r="1766" spans="1:48" x14ac:dyDescent="0.25">
      <c r="A1766" s="133"/>
      <c r="B1766" s="194"/>
      <c r="C1766" s="232"/>
      <c r="D1766" s="232"/>
      <c r="E1766" s="232"/>
      <c r="F1766" s="226"/>
      <c r="G1766" s="229"/>
      <c r="H1766" s="200"/>
      <c r="I1766" s="133"/>
      <c r="J1766" s="194"/>
      <c r="K1766" s="232"/>
      <c r="L1766" s="232"/>
      <c r="M1766" s="232"/>
      <c r="N1766" s="226"/>
      <c r="O1766" s="229"/>
      <c r="P1766" s="200"/>
      <c r="Q1766" s="133"/>
      <c r="R1766" s="194"/>
      <c r="S1766" s="232"/>
      <c r="T1766" s="232"/>
      <c r="U1766" s="232"/>
      <c r="V1766" s="226"/>
      <c r="W1766" s="229"/>
      <c r="X1766" s="200"/>
      <c r="Y1766" s="133"/>
      <c r="Z1766" s="194"/>
      <c r="AA1766" s="232"/>
      <c r="AB1766" s="232"/>
      <c r="AC1766" s="232"/>
      <c r="AD1766" s="226"/>
      <c r="AE1766" s="229"/>
      <c r="AF1766" s="200"/>
      <c r="AG1766" s="133"/>
      <c r="AH1766" s="194"/>
      <c r="AI1766" s="232"/>
      <c r="AJ1766" s="232"/>
      <c r="AK1766" s="232"/>
      <c r="AL1766" s="226"/>
      <c r="AM1766" s="229"/>
      <c r="AN1766" s="200"/>
      <c r="AO1766" s="133"/>
      <c r="AP1766" s="194"/>
      <c r="AQ1766" s="232"/>
      <c r="AR1766" s="232"/>
      <c r="AS1766" s="232"/>
      <c r="AT1766" s="226"/>
      <c r="AU1766" s="229"/>
      <c r="AV1766" s="200"/>
    </row>
    <row r="1767" spans="1:48" ht="15.75" thickBot="1" x14ac:dyDescent="0.3">
      <c r="A1767" s="133"/>
      <c r="B1767" s="195"/>
      <c r="C1767" s="232"/>
      <c r="D1767" s="232"/>
      <c r="E1767" s="232"/>
      <c r="F1767" s="226"/>
      <c r="G1767" s="229"/>
      <c r="H1767" s="200"/>
      <c r="I1767" s="133"/>
      <c r="J1767" s="195"/>
      <c r="K1767" s="232"/>
      <c r="L1767" s="232"/>
      <c r="M1767" s="232"/>
      <c r="N1767" s="226"/>
      <c r="O1767" s="229"/>
      <c r="P1767" s="200"/>
      <c r="Q1767" s="133"/>
      <c r="R1767" s="195"/>
      <c r="S1767" s="232"/>
      <c r="T1767" s="232"/>
      <c r="U1767" s="232"/>
      <c r="V1767" s="226"/>
      <c r="W1767" s="229"/>
      <c r="X1767" s="200"/>
      <c r="Y1767" s="133"/>
      <c r="Z1767" s="195"/>
      <c r="AA1767" s="232"/>
      <c r="AB1767" s="232"/>
      <c r="AC1767" s="232"/>
      <c r="AD1767" s="226"/>
      <c r="AE1767" s="229"/>
      <c r="AF1767" s="200"/>
      <c r="AG1767" s="133"/>
      <c r="AH1767" s="195"/>
      <c r="AI1767" s="232"/>
      <c r="AJ1767" s="232"/>
      <c r="AK1767" s="232"/>
      <c r="AL1767" s="226"/>
      <c r="AM1767" s="229"/>
      <c r="AN1767" s="200"/>
      <c r="AO1767" s="133"/>
      <c r="AP1767" s="195"/>
      <c r="AQ1767" s="232"/>
      <c r="AR1767" s="232"/>
      <c r="AS1767" s="232"/>
      <c r="AT1767" s="226"/>
      <c r="AU1767" s="229"/>
      <c r="AV1767" s="200"/>
    </row>
    <row r="1768" spans="1:48" ht="15.75" thickBot="1" x14ac:dyDescent="0.3">
      <c r="A1768" s="133"/>
      <c r="B1768" s="233"/>
      <c r="C1768" s="234"/>
      <c r="D1768" s="234"/>
      <c r="E1768" s="234"/>
      <c r="F1768" s="235"/>
      <c r="G1768" s="236"/>
      <c r="H1768" s="237">
        <f>+SUM(G1763:G1768)</f>
        <v>0</v>
      </c>
      <c r="I1768" s="133"/>
      <c r="J1768" s="233"/>
      <c r="K1768" s="234"/>
      <c r="L1768" s="234"/>
      <c r="M1768" s="234"/>
      <c r="N1768" s="235"/>
      <c r="O1768" s="236"/>
      <c r="P1768" s="237">
        <f>+SUM(O1763:O1768)</f>
        <v>0</v>
      </c>
      <c r="Q1768" s="133"/>
      <c r="R1768" s="233"/>
      <c r="S1768" s="234"/>
      <c r="T1768" s="234"/>
      <c r="U1768" s="234"/>
      <c r="V1768" s="235"/>
      <c r="W1768" s="236"/>
      <c r="X1768" s="237">
        <f>+SUM(W1763:W1768)</f>
        <v>0</v>
      </c>
      <c r="Y1768" s="133"/>
      <c r="Z1768" s="233"/>
      <c r="AA1768" s="234"/>
      <c r="AB1768" s="234"/>
      <c r="AC1768" s="234"/>
      <c r="AD1768" s="235"/>
      <c r="AE1768" s="236"/>
      <c r="AF1768" s="237">
        <f>+SUM(AE1763:AE1768)</f>
        <v>0</v>
      </c>
      <c r="AG1768" s="133"/>
      <c r="AH1768" s="233"/>
      <c r="AI1768" s="234"/>
      <c r="AJ1768" s="234"/>
      <c r="AK1768" s="234"/>
      <c r="AL1768" s="235"/>
      <c r="AM1768" s="236"/>
      <c r="AN1768" s="237">
        <f>+SUM(AM1763:AM1768)</f>
        <v>0</v>
      </c>
      <c r="AO1768" s="133"/>
      <c r="AP1768" s="233"/>
      <c r="AQ1768" s="234"/>
      <c r="AR1768" s="234"/>
      <c r="AS1768" s="234"/>
      <c r="AT1768" s="235"/>
      <c r="AU1768" s="236"/>
      <c r="AV1768" s="237">
        <f>+SUM(AU1763:AU1768)</f>
        <v>0</v>
      </c>
    </row>
    <row r="1769" spans="1:48" ht="15.75" thickBot="1" x14ac:dyDescent="0.3">
      <c r="A1769" s="133"/>
      <c r="B1769" s="238"/>
      <c r="C1769" s="238"/>
      <c r="D1769" s="238"/>
      <c r="E1769" s="238"/>
      <c r="F1769" s="249"/>
      <c r="G1769" s="250"/>
      <c r="H1769" s="241"/>
      <c r="I1769" s="133"/>
      <c r="J1769" s="238"/>
      <c r="K1769" s="238"/>
      <c r="L1769" s="238"/>
      <c r="M1769" s="238"/>
      <c r="N1769" s="249"/>
      <c r="O1769" s="250"/>
      <c r="P1769" s="241"/>
      <c r="Q1769" s="133"/>
      <c r="R1769" s="238"/>
      <c r="S1769" s="238"/>
      <c r="T1769" s="238"/>
      <c r="U1769" s="238"/>
      <c r="V1769" s="249"/>
      <c r="W1769" s="250"/>
      <c r="X1769" s="241"/>
      <c r="Y1769" s="133"/>
      <c r="Z1769" s="238"/>
      <c r="AA1769" s="238"/>
      <c r="AB1769" s="238"/>
      <c r="AC1769" s="238"/>
      <c r="AD1769" s="249"/>
      <c r="AE1769" s="250"/>
      <c r="AF1769" s="241"/>
      <c r="AG1769" s="133"/>
      <c r="AH1769" s="238"/>
      <c r="AI1769" s="238"/>
      <c r="AJ1769" s="238"/>
      <c r="AK1769" s="238"/>
      <c r="AL1769" s="249"/>
      <c r="AM1769" s="250"/>
      <c r="AN1769" s="241"/>
      <c r="AO1769" s="133"/>
      <c r="AP1769" s="238"/>
      <c r="AQ1769" s="238"/>
      <c r="AR1769" s="238"/>
      <c r="AS1769" s="238"/>
      <c r="AT1769" s="249"/>
      <c r="AU1769" s="250"/>
      <c r="AV1769" s="241"/>
    </row>
    <row r="1770" spans="1:48" ht="15.75" thickBot="1" x14ac:dyDescent="0.3">
      <c r="A1770" s="133"/>
      <c r="B1770" s="224" t="s">
        <v>5412</v>
      </c>
      <c r="C1770" s="193" t="s">
        <v>5420</v>
      </c>
      <c r="D1770" s="193" t="s">
        <v>5421</v>
      </c>
      <c r="E1770" s="193" t="s">
        <v>5413</v>
      </c>
      <c r="F1770" s="193" t="s">
        <v>5405</v>
      </c>
      <c r="G1770" s="225" t="s">
        <v>868</v>
      </c>
      <c r="H1770" s="200"/>
      <c r="I1770" s="133"/>
      <c r="J1770" s="224" t="s">
        <v>5412</v>
      </c>
      <c r="K1770" s="193" t="s">
        <v>5420</v>
      </c>
      <c r="L1770" s="193" t="s">
        <v>5421</v>
      </c>
      <c r="M1770" s="193" t="s">
        <v>5413</v>
      </c>
      <c r="N1770" s="193" t="s">
        <v>5405</v>
      </c>
      <c r="O1770" s="225" t="s">
        <v>868</v>
      </c>
      <c r="P1770" s="200"/>
      <c r="Q1770" s="133"/>
      <c r="R1770" s="224" t="s">
        <v>5412</v>
      </c>
      <c r="S1770" s="193" t="s">
        <v>5420</v>
      </c>
      <c r="T1770" s="193" t="s">
        <v>5421</v>
      </c>
      <c r="U1770" s="193" t="s">
        <v>5413</v>
      </c>
      <c r="V1770" s="193" t="s">
        <v>5405</v>
      </c>
      <c r="W1770" s="225" t="s">
        <v>868</v>
      </c>
      <c r="X1770" s="200"/>
      <c r="Y1770" s="133"/>
      <c r="Z1770" s="224" t="s">
        <v>5412</v>
      </c>
      <c r="AA1770" s="193" t="s">
        <v>5420</v>
      </c>
      <c r="AB1770" s="193" t="s">
        <v>5421</v>
      </c>
      <c r="AC1770" s="193" t="s">
        <v>5413</v>
      </c>
      <c r="AD1770" s="193" t="s">
        <v>5405</v>
      </c>
      <c r="AE1770" s="225" t="s">
        <v>868</v>
      </c>
      <c r="AF1770" s="200"/>
      <c r="AG1770" s="133"/>
      <c r="AH1770" s="224" t="s">
        <v>5412</v>
      </c>
      <c r="AI1770" s="193" t="s">
        <v>5420</v>
      </c>
      <c r="AJ1770" s="193" t="s">
        <v>5421</v>
      </c>
      <c r="AK1770" s="193" t="s">
        <v>5413</v>
      </c>
      <c r="AL1770" s="193" t="s">
        <v>5405</v>
      </c>
      <c r="AM1770" s="225" t="s">
        <v>868</v>
      </c>
      <c r="AN1770" s="200"/>
      <c r="AO1770" s="133"/>
      <c r="AP1770" s="224" t="s">
        <v>5412</v>
      </c>
      <c r="AQ1770" s="193" t="s">
        <v>5420</v>
      </c>
      <c r="AR1770" s="193" t="s">
        <v>5421</v>
      </c>
      <c r="AS1770" s="193" t="s">
        <v>5413</v>
      </c>
      <c r="AT1770" s="193" t="s">
        <v>5405</v>
      </c>
      <c r="AU1770" s="225" t="s">
        <v>868</v>
      </c>
      <c r="AV1770" s="200"/>
    </row>
    <row r="1771" spans="1:48" x14ac:dyDescent="0.25">
      <c r="A1771" s="133"/>
      <c r="B1771" s="194" t="s">
        <v>5948</v>
      </c>
      <c r="C1771" s="345">
        <v>70000</v>
      </c>
      <c r="D1771" s="176">
        <f>+C1771*0.85</f>
        <v>59500</v>
      </c>
      <c r="E1771" s="176">
        <f>+C1771+D1771</f>
        <v>129500</v>
      </c>
      <c r="F1771" s="202">
        <v>30</v>
      </c>
      <c r="G1771" s="178">
        <f>+E1771/F1771</f>
        <v>4316.666666666667</v>
      </c>
      <c r="H1771" s="200"/>
      <c r="I1771" s="133"/>
      <c r="J1771" s="194" t="s">
        <v>5948</v>
      </c>
      <c r="K1771" s="345">
        <v>70000</v>
      </c>
      <c r="L1771" s="176">
        <f>+K1771*0.85</f>
        <v>59500</v>
      </c>
      <c r="M1771" s="175">
        <f>+K1771+L1771</f>
        <v>129500</v>
      </c>
      <c r="N1771" s="202">
        <v>30</v>
      </c>
      <c r="O1771" s="178">
        <f>+M1771/N1771</f>
        <v>4316.666666666667</v>
      </c>
      <c r="P1771" s="200"/>
      <c r="Q1771" s="133"/>
      <c r="R1771" s="194" t="s">
        <v>5948</v>
      </c>
      <c r="S1771" s="345">
        <v>70000</v>
      </c>
      <c r="T1771" s="176">
        <f>+S1771*0.85</f>
        <v>59500</v>
      </c>
      <c r="U1771" s="175">
        <f>+S1771+T1771</f>
        <v>129500</v>
      </c>
      <c r="V1771" s="202">
        <v>20</v>
      </c>
      <c r="W1771" s="178">
        <f>+U1771/V1771</f>
        <v>6475</v>
      </c>
      <c r="X1771" s="200"/>
      <c r="Y1771" s="133"/>
      <c r="Z1771" s="194" t="s">
        <v>5948</v>
      </c>
      <c r="AA1771" s="345">
        <v>70000</v>
      </c>
      <c r="AB1771" s="176">
        <f>+AA1771*0.85</f>
        <v>59500</v>
      </c>
      <c r="AC1771" s="176">
        <f>+AA1771+AB1771</f>
        <v>129500</v>
      </c>
      <c r="AD1771" s="202">
        <v>20</v>
      </c>
      <c r="AE1771" s="178">
        <f>+AC1771/AD1771</f>
        <v>6475</v>
      </c>
      <c r="AF1771" s="200"/>
      <c r="AG1771" s="133"/>
      <c r="AH1771" s="194" t="s">
        <v>5948</v>
      </c>
      <c r="AI1771" s="345">
        <v>70000</v>
      </c>
      <c r="AJ1771" s="176">
        <f>+AI1771*0.85</f>
        <v>59500</v>
      </c>
      <c r="AK1771" s="176">
        <f>+AI1771+AJ1771</f>
        <v>129500</v>
      </c>
      <c r="AL1771" s="202">
        <v>20</v>
      </c>
      <c r="AM1771" s="178">
        <f>AK1771/AL1771</f>
        <v>6475</v>
      </c>
      <c r="AN1771" s="200"/>
      <c r="AO1771" s="133"/>
      <c r="AP1771" s="194" t="s">
        <v>5948</v>
      </c>
      <c r="AQ1771" s="345">
        <v>70000</v>
      </c>
      <c r="AR1771" s="176">
        <f>+AQ1771*0.85</f>
        <v>59500</v>
      </c>
      <c r="AS1771" s="176">
        <f>+AQ1771+AR1771</f>
        <v>129500</v>
      </c>
      <c r="AT1771" s="202">
        <v>20</v>
      </c>
      <c r="AU1771" s="178">
        <f>AS1771/AT1771</f>
        <v>6475</v>
      </c>
      <c r="AV1771" s="200"/>
    </row>
    <row r="1772" spans="1:48" x14ac:dyDescent="0.25">
      <c r="A1772" s="133"/>
      <c r="B1772" s="194" t="s">
        <v>5651</v>
      </c>
      <c r="C1772" s="345">
        <v>40000</v>
      </c>
      <c r="D1772" s="176">
        <f>+C1772*0.85</f>
        <v>34000</v>
      </c>
      <c r="E1772" s="176">
        <f>+C1772+D1772</f>
        <v>74000</v>
      </c>
      <c r="F1772" s="202">
        <v>2</v>
      </c>
      <c r="G1772" s="178">
        <f>+E1772/F1772</f>
        <v>37000</v>
      </c>
      <c r="H1772" s="200"/>
      <c r="I1772" s="133"/>
      <c r="J1772" s="194" t="s">
        <v>5651</v>
      </c>
      <c r="K1772" s="345">
        <v>40000</v>
      </c>
      <c r="L1772" s="176">
        <f>+K1772*0.85</f>
        <v>34000</v>
      </c>
      <c r="M1772" s="175">
        <f>+K1772+L1772</f>
        <v>74000</v>
      </c>
      <c r="N1772" s="202">
        <v>2</v>
      </c>
      <c r="O1772" s="178">
        <f>+M1772/N1772</f>
        <v>37000</v>
      </c>
      <c r="P1772" s="200"/>
      <c r="Q1772" s="133"/>
      <c r="R1772" s="194" t="s">
        <v>5651</v>
      </c>
      <c r="S1772" s="345">
        <v>40000</v>
      </c>
      <c r="T1772" s="176">
        <f>+S1772*0.85</f>
        <v>34000</v>
      </c>
      <c r="U1772" s="175">
        <f>+S1772+T1772</f>
        <v>74000</v>
      </c>
      <c r="V1772" s="202">
        <v>2</v>
      </c>
      <c r="W1772" s="178">
        <f>+U1772/V1772</f>
        <v>37000</v>
      </c>
      <c r="X1772" s="200"/>
      <c r="Y1772" s="133"/>
      <c r="Z1772" s="194" t="s">
        <v>5651</v>
      </c>
      <c r="AA1772" s="345">
        <v>40000</v>
      </c>
      <c r="AB1772" s="176">
        <f>+AA1772*0.85</f>
        <v>34000</v>
      </c>
      <c r="AC1772" s="176">
        <f>+AA1772+AB1772</f>
        <v>74000</v>
      </c>
      <c r="AD1772" s="202">
        <v>1.8</v>
      </c>
      <c r="AE1772" s="178">
        <f>+AC1772/AD1772</f>
        <v>41111.111111111109</v>
      </c>
      <c r="AF1772" s="200"/>
      <c r="AG1772" s="133"/>
      <c r="AH1772" s="194" t="s">
        <v>5651</v>
      </c>
      <c r="AI1772" s="345">
        <v>40000</v>
      </c>
      <c r="AJ1772" s="176">
        <f>+AI1772*0.85</f>
        <v>34000</v>
      </c>
      <c r="AK1772" s="176">
        <f>+AI1772+AJ1772</f>
        <v>74000</v>
      </c>
      <c r="AL1772" s="202">
        <v>1.5</v>
      </c>
      <c r="AM1772" s="178">
        <f>AK1772/AL1772</f>
        <v>49333.333333333336</v>
      </c>
      <c r="AN1772" s="200"/>
      <c r="AO1772" s="133"/>
      <c r="AP1772" s="194" t="s">
        <v>5651</v>
      </c>
      <c r="AQ1772" s="345">
        <v>40000</v>
      </c>
      <c r="AR1772" s="176">
        <f>+AQ1772*0.85</f>
        <v>34000</v>
      </c>
      <c r="AS1772" s="176">
        <f>+AQ1772+AR1772</f>
        <v>74000</v>
      </c>
      <c r="AT1772" s="202">
        <v>1.2</v>
      </c>
      <c r="AU1772" s="178">
        <f>AS1772/AT1772</f>
        <v>61666.666666666672</v>
      </c>
      <c r="AV1772" s="200"/>
    </row>
    <row r="1773" spans="1:48" x14ac:dyDescent="0.25">
      <c r="A1773" s="133"/>
      <c r="B1773" s="195" t="s">
        <v>5635</v>
      </c>
      <c r="C1773" s="345">
        <v>20600</v>
      </c>
      <c r="D1773" s="176">
        <f>+C1773*0.85</f>
        <v>17510</v>
      </c>
      <c r="E1773" s="176">
        <f>+C1773+D1773</f>
        <v>38110</v>
      </c>
      <c r="F1773" s="226">
        <v>2</v>
      </c>
      <c r="G1773" s="178">
        <f>+E1773/F1773</f>
        <v>19055</v>
      </c>
      <c r="H1773" s="200"/>
      <c r="I1773" s="133"/>
      <c r="J1773" s="195" t="s">
        <v>5635</v>
      </c>
      <c r="K1773" s="345">
        <v>20600</v>
      </c>
      <c r="L1773" s="176">
        <f>+K1773*0.85</f>
        <v>17510</v>
      </c>
      <c r="M1773" s="175">
        <f>+K1773+L1773</f>
        <v>38110</v>
      </c>
      <c r="N1773" s="226">
        <v>2</v>
      </c>
      <c r="O1773" s="178">
        <f>+M1773/N1773</f>
        <v>19055</v>
      </c>
      <c r="P1773" s="200"/>
      <c r="Q1773" s="133"/>
      <c r="R1773" s="195" t="s">
        <v>5635</v>
      </c>
      <c r="S1773" s="345">
        <v>20600</v>
      </c>
      <c r="T1773" s="176">
        <f>+S1773*0.85</f>
        <v>17510</v>
      </c>
      <c r="U1773" s="175">
        <f>+S1773+T1773</f>
        <v>38110</v>
      </c>
      <c r="V1773" s="226">
        <v>2</v>
      </c>
      <c r="W1773" s="178">
        <f>+U1773/V1773</f>
        <v>19055</v>
      </c>
      <c r="X1773" s="200"/>
      <c r="Y1773" s="133"/>
      <c r="Z1773" s="195" t="s">
        <v>5635</v>
      </c>
      <c r="AA1773" s="345">
        <v>20600</v>
      </c>
      <c r="AB1773" s="176">
        <f>+AA1773*0.85</f>
        <v>17510</v>
      </c>
      <c r="AC1773" s="176">
        <f>+AA1773+AB1773</f>
        <v>38110</v>
      </c>
      <c r="AD1773" s="226">
        <v>1.8</v>
      </c>
      <c r="AE1773" s="178">
        <f>+AC1773/AD1773</f>
        <v>21172.222222222223</v>
      </c>
      <c r="AF1773" s="200"/>
      <c r="AG1773" s="133"/>
      <c r="AH1773" s="195" t="s">
        <v>5635</v>
      </c>
      <c r="AI1773" s="345">
        <v>20600</v>
      </c>
      <c r="AJ1773" s="176">
        <f>+AI1773*0.85</f>
        <v>17510</v>
      </c>
      <c r="AK1773" s="176">
        <f>+AI1773+AJ1773</f>
        <v>38110</v>
      </c>
      <c r="AL1773" s="226">
        <v>1.5</v>
      </c>
      <c r="AM1773" s="178">
        <f>AK1773/AL1773</f>
        <v>25406.666666666668</v>
      </c>
      <c r="AN1773" s="200"/>
      <c r="AO1773" s="133"/>
      <c r="AP1773" s="195" t="s">
        <v>5635</v>
      </c>
      <c r="AQ1773" s="345">
        <v>20600</v>
      </c>
      <c r="AR1773" s="176">
        <f>+AQ1773*0.85</f>
        <v>17510</v>
      </c>
      <c r="AS1773" s="176">
        <f>+AQ1773+AR1773</f>
        <v>38110</v>
      </c>
      <c r="AT1773" s="226">
        <v>1.2</v>
      </c>
      <c r="AU1773" s="178">
        <f>AS1773/AT1773</f>
        <v>31758.333333333336</v>
      </c>
      <c r="AV1773" s="200"/>
    </row>
    <row r="1774" spans="1:48" x14ac:dyDescent="0.25">
      <c r="A1774" s="133"/>
      <c r="B1774" s="195"/>
      <c r="C1774" s="171"/>
      <c r="D1774" s="176"/>
      <c r="E1774" s="176"/>
      <c r="F1774" s="226"/>
      <c r="G1774" s="178"/>
      <c r="H1774" s="200"/>
      <c r="I1774" s="133"/>
      <c r="J1774" s="195"/>
      <c r="K1774" s="171"/>
      <c r="L1774" s="176"/>
      <c r="M1774" s="176"/>
      <c r="N1774" s="226"/>
      <c r="O1774" s="178"/>
      <c r="P1774" s="200"/>
      <c r="Q1774" s="133"/>
      <c r="R1774" s="195"/>
      <c r="S1774" s="171"/>
      <c r="T1774" s="176"/>
      <c r="U1774" s="176"/>
      <c r="V1774" s="226"/>
      <c r="W1774" s="178"/>
      <c r="X1774" s="200"/>
      <c r="Y1774" s="133"/>
      <c r="Z1774" s="195"/>
      <c r="AA1774" s="171"/>
      <c r="AB1774" s="176"/>
      <c r="AC1774" s="176"/>
      <c r="AD1774" s="226"/>
      <c r="AE1774" s="178"/>
      <c r="AF1774" s="200"/>
      <c r="AG1774" s="133"/>
      <c r="AH1774" s="195"/>
      <c r="AI1774" s="171"/>
      <c r="AJ1774" s="176"/>
      <c r="AK1774" s="176"/>
      <c r="AL1774" s="226"/>
      <c r="AM1774" s="178"/>
      <c r="AN1774" s="200"/>
      <c r="AO1774" s="133"/>
      <c r="AP1774" s="195"/>
      <c r="AQ1774" s="171"/>
      <c r="AR1774" s="176"/>
      <c r="AS1774" s="176"/>
      <c r="AT1774" s="226"/>
      <c r="AU1774" s="178"/>
      <c r="AV1774" s="200"/>
    </row>
    <row r="1775" spans="1:48" x14ac:dyDescent="0.25">
      <c r="A1775" s="133"/>
      <c r="B1775" s="195"/>
      <c r="C1775" s="232"/>
      <c r="D1775" s="232"/>
      <c r="E1775" s="232"/>
      <c r="F1775" s="226"/>
      <c r="G1775" s="229"/>
      <c r="H1775" s="200"/>
      <c r="I1775" s="133"/>
      <c r="J1775" s="195"/>
      <c r="K1775" s="232"/>
      <c r="L1775" s="232"/>
      <c r="M1775" s="232"/>
      <c r="N1775" s="226"/>
      <c r="O1775" s="229"/>
      <c r="P1775" s="200"/>
      <c r="Q1775" s="133"/>
      <c r="R1775" s="195"/>
      <c r="S1775" s="232"/>
      <c r="T1775" s="232"/>
      <c r="U1775" s="232"/>
      <c r="V1775" s="226"/>
      <c r="W1775" s="229"/>
      <c r="X1775" s="200"/>
      <c r="Y1775" s="133"/>
      <c r="Z1775" s="195"/>
      <c r="AA1775" s="232"/>
      <c r="AB1775" s="232"/>
      <c r="AC1775" s="232"/>
      <c r="AD1775" s="226"/>
      <c r="AE1775" s="229"/>
      <c r="AF1775" s="200"/>
      <c r="AG1775" s="133"/>
      <c r="AH1775" s="195"/>
      <c r="AI1775" s="232"/>
      <c r="AJ1775" s="232"/>
      <c r="AK1775" s="232"/>
      <c r="AL1775" s="226"/>
      <c r="AM1775" s="229"/>
      <c r="AN1775" s="200"/>
      <c r="AO1775" s="133"/>
      <c r="AP1775" s="195"/>
      <c r="AQ1775" s="232"/>
      <c r="AR1775" s="232"/>
      <c r="AS1775" s="232"/>
      <c r="AT1775" s="226"/>
      <c r="AU1775" s="229"/>
      <c r="AV1775" s="200"/>
    </row>
    <row r="1776" spans="1:48" ht="15.75" thickBot="1" x14ac:dyDescent="0.3">
      <c r="A1776" s="133"/>
      <c r="B1776" s="195"/>
      <c r="C1776" s="232"/>
      <c r="D1776" s="232"/>
      <c r="E1776" s="232"/>
      <c r="F1776" s="226"/>
      <c r="G1776" s="229"/>
      <c r="H1776" s="200"/>
      <c r="I1776" s="133"/>
      <c r="J1776" s="195"/>
      <c r="K1776" s="232"/>
      <c r="L1776" s="232"/>
      <c r="M1776" s="232"/>
      <c r="N1776" s="226"/>
      <c r="O1776" s="229"/>
      <c r="P1776" s="200"/>
      <c r="Q1776" s="133"/>
      <c r="R1776" s="195"/>
      <c r="S1776" s="232"/>
      <c r="T1776" s="232"/>
      <c r="U1776" s="232"/>
      <c r="V1776" s="226"/>
      <c r="W1776" s="229"/>
      <c r="X1776" s="200"/>
      <c r="Y1776" s="133"/>
      <c r="Z1776" s="195"/>
      <c r="AA1776" s="232"/>
      <c r="AB1776" s="232"/>
      <c r="AC1776" s="232"/>
      <c r="AD1776" s="226"/>
      <c r="AE1776" s="229"/>
      <c r="AF1776" s="200"/>
      <c r="AG1776" s="133"/>
      <c r="AH1776" s="195"/>
      <c r="AI1776" s="232"/>
      <c r="AJ1776" s="232"/>
      <c r="AK1776" s="232"/>
      <c r="AL1776" s="226"/>
      <c r="AM1776" s="229"/>
      <c r="AN1776" s="200"/>
      <c r="AO1776" s="133"/>
      <c r="AP1776" s="195"/>
      <c r="AQ1776" s="232"/>
      <c r="AR1776" s="232"/>
      <c r="AS1776" s="232"/>
      <c r="AT1776" s="226"/>
      <c r="AU1776" s="229"/>
      <c r="AV1776" s="200"/>
    </row>
    <row r="1777" spans="1:50" ht="15.75" thickBot="1" x14ac:dyDescent="0.3">
      <c r="A1777" s="133"/>
      <c r="B1777" s="251"/>
      <c r="C1777" s="252"/>
      <c r="D1777" s="252"/>
      <c r="E1777" s="252"/>
      <c r="F1777" s="253"/>
      <c r="G1777" s="254"/>
      <c r="H1777" s="237">
        <f>+SUM(G1771:G1777)</f>
        <v>60371.666666666664</v>
      </c>
      <c r="I1777" s="133"/>
      <c r="J1777" s="251"/>
      <c r="K1777" s="252"/>
      <c r="L1777" s="252"/>
      <c r="M1777" s="252"/>
      <c r="N1777" s="253"/>
      <c r="O1777" s="254"/>
      <c r="P1777" s="237">
        <f>+SUM(O1771:O1777)</f>
        <v>60371.666666666664</v>
      </c>
      <c r="Q1777" s="133"/>
      <c r="R1777" s="251"/>
      <c r="S1777" s="252"/>
      <c r="T1777" s="252"/>
      <c r="U1777" s="252"/>
      <c r="V1777" s="253"/>
      <c r="W1777" s="254"/>
      <c r="X1777" s="237">
        <f>+SUM(W1771:W1777)</f>
        <v>62530</v>
      </c>
      <c r="Y1777" s="133"/>
      <c r="Z1777" s="251"/>
      <c r="AA1777" s="252"/>
      <c r="AB1777" s="252"/>
      <c r="AC1777" s="252"/>
      <c r="AD1777" s="253"/>
      <c r="AE1777" s="254"/>
      <c r="AF1777" s="237">
        <f>+SUM(AE1771:AE1777)</f>
        <v>68758.333333333328</v>
      </c>
      <c r="AG1777" s="133"/>
      <c r="AH1777" s="251"/>
      <c r="AI1777" s="252"/>
      <c r="AJ1777" s="252"/>
      <c r="AK1777" s="252"/>
      <c r="AL1777" s="253"/>
      <c r="AM1777" s="254"/>
      <c r="AN1777" s="237">
        <f>+SUM(AM1771:AM1777)</f>
        <v>81215</v>
      </c>
      <c r="AO1777" s="133"/>
      <c r="AP1777" s="251"/>
      <c r="AQ1777" s="252"/>
      <c r="AR1777" s="252"/>
      <c r="AS1777" s="252"/>
      <c r="AT1777" s="253"/>
      <c r="AU1777" s="254"/>
      <c r="AV1777" s="237">
        <f>+SUM(AU1771:AU1777)</f>
        <v>99900</v>
      </c>
    </row>
    <row r="1778" spans="1:50" ht="15.75" thickBot="1" x14ac:dyDescent="0.3">
      <c r="A1778" s="133"/>
      <c r="B1778" s="8"/>
      <c r="C1778" s="8"/>
      <c r="D1778" s="8"/>
      <c r="E1778" s="8"/>
      <c r="F1778" s="133"/>
      <c r="G1778" s="200"/>
      <c r="H1778" s="200"/>
      <c r="I1778" s="133"/>
      <c r="J1778" s="8"/>
      <c r="K1778" s="8"/>
      <c r="L1778" s="8"/>
      <c r="M1778" s="8"/>
      <c r="N1778" s="133"/>
      <c r="O1778" s="200"/>
      <c r="P1778" s="200"/>
      <c r="Q1778" s="133"/>
      <c r="R1778" s="8"/>
      <c r="S1778" s="8"/>
      <c r="T1778" s="8"/>
      <c r="U1778" s="8"/>
      <c r="V1778" s="133"/>
      <c r="W1778" s="200"/>
      <c r="X1778" s="200"/>
      <c r="Y1778" s="133"/>
      <c r="Z1778" s="8"/>
      <c r="AA1778" s="8"/>
      <c r="AB1778" s="8"/>
      <c r="AC1778" s="8"/>
      <c r="AD1778" s="133"/>
      <c r="AE1778" s="200"/>
      <c r="AF1778" s="200"/>
      <c r="AG1778" s="133"/>
      <c r="AH1778" s="8"/>
      <c r="AI1778" s="8"/>
      <c r="AJ1778" s="8"/>
      <c r="AK1778" s="8"/>
      <c r="AL1778" s="133"/>
      <c r="AM1778" s="200"/>
      <c r="AN1778" s="200"/>
      <c r="AO1778" s="133"/>
      <c r="AP1778" s="8"/>
      <c r="AQ1778" s="8"/>
      <c r="AR1778" s="8"/>
      <c r="AS1778" s="8"/>
      <c r="AT1778" s="133"/>
      <c r="AU1778" s="200"/>
      <c r="AV1778" s="200"/>
    </row>
    <row r="1779" spans="1:50" ht="15.75" thickBot="1" x14ac:dyDescent="0.3">
      <c r="A1779" s="133"/>
      <c r="B1779" s="8"/>
      <c r="C1779" s="8"/>
      <c r="D1779" s="8"/>
      <c r="E1779" s="223" t="s">
        <v>5415</v>
      </c>
      <c r="F1779" s="133"/>
      <c r="G1779" s="200"/>
      <c r="H1779" s="237">
        <f>+H1777+H1768+H1760+H1745</f>
        <v>72446</v>
      </c>
      <c r="I1779" s="133"/>
      <c r="J1779" s="8"/>
      <c r="K1779" s="8"/>
      <c r="L1779" s="8"/>
      <c r="M1779" s="223" t="s">
        <v>5415</v>
      </c>
      <c r="N1779" s="133"/>
      <c r="O1779" s="200"/>
      <c r="P1779" s="237">
        <f>+P1777+P1768+P1760+P1745</f>
        <v>72446</v>
      </c>
      <c r="Q1779" s="133"/>
      <c r="R1779" s="8"/>
      <c r="S1779" s="8"/>
      <c r="T1779" s="8"/>
      <c r="U1779" s="223" t="s">
        <v>5415</v>
      </c>
      <c r="V1779" s="223"/>
      <c r="W1779" s="200"/>
      <c r="X1779" s="237">
        <f>+X1777+X1768+X1760+X1745</f>
        <v>75036</v>
      </c>
      <c r="Y1779" s="133"/>
      <c r="Z1779" s="8"/>
      <c r="AA1779" s="8"/>
      <c r="AB1779" s="8"/>
      <c r="AC1779" s="223" t="s">
        <v>5415</v>
      </c>
      <c r="AD1779" s="133"/>
      <c r="AE1779" s="200"/>
      <c r="AF1779" s="237">
        <f>+AF1777+AF1768+AF1760+AF1745</f>
        <v>87510</v>
      </c>
      <c r="AG1779" s="133"/>
      <c r="AH1779" s="8"/>
      <c r="AI1779" s="8"/>
      <c r="AJ1779" s="8"/>
      <c r="AK1779" s="223" t="s">
        <v>5415</v>
      </c>
      <c r="AL1779" s="133"/>
      <c r="AM1779" s="200"/>
      <c r="AN1779" s="237">
        <f>+AN1777+AN1768+AN1760+AN1745</f>
        <v>103458</v>
      </c>
      <c r="AO1779" s="133"/>
      <c r="AP1779" s="8"/>
      <c r="AQ1779" s="8"/>
      <c r="AR1779" s="8"/>
      <c r="AS1779" s="223" t="s">
        <v>5415</v>
      </c>
      <c r="AT1779" s="133"/>
      <c r="AU1779" s="200"/>
      <c r="AV1779" s="237">
        <f>+AV1777+AV1768+AV1760+AV1745</f>
        <v>127380</v>
      </c>
    </row>
    <row r="1780" spans="1:50" x14ac:dyDescent="0.25">
      <c r="A1780" s="265"/>
      <c r="B1780" s="265"/>
      <c r="C1780" s="265"/>
      <c r="D1780" s="265"/>
      <c r="E1780" s="265"/>
      <c r="F1780" s="265"/>
      <c r="G1780" s="265"/>
      <c r="H1780" s="265"/>
      <c r="I1780" s="265"/>
      <c r="J1780" s="265"/>
      <c r="K1780" s="265"/>
      <c r="L1780" s="265"/>
      <c r="M1780" s="265"/>
      <c r="N1780" s="265"/>
      <c r="O1780" s="265"/>
      <c r="P1780" s="265"/>
      <c r="Q1780" s="265"/>
      <c r="R1780" s="265"/>
      <c r="S1780" s="265"/>
      <c r="T1780" s="265"/>
      <c r="U1780" s="265"/>
      <c r="V1780" s="265"/>
      <c r="W1780" s="265"/>
      <c r="X1780" s="265"/>
      <c r="Y1780" s="265"/>
      <c r="Z1780" s="265"/>
      <c r="AA1780" s="265"/>
      <c r="AB1780" s="265"/>
      <c r="AC1780" s="265"/>
      <c r="AD1780" s="265"/>
      <c r="AE1780" s="265"/>
      <c r="AF1780" s="265"/>
      <c r="AG1780" s="265"/>
      <c r="AH1780" s="265"/>
      <c r="AI1780" s="265"/>
      <c r="AJ1780" s="265"/>
      <c r="AK1780" s="265"/>
      <c r="AL1780" s="265"/>
      <c r="AM1780" s="265"/>
      <c r="AN1780" s="265"/>
      <c r="AO1780" s="265"/>
      <c r="AP1780" s="265"/>
      <c r="AQ1780" s="265"/>
      <c r="AR1780" s="265"/>
      <c r="AS1780" s="265"/>
      <c r="AT1780" s="265"/>
      <c r="AU1780" s="265"/>
      <c r="AV1780" s="265"/>
      <c r="AW1780" s="265"/>
      <c r="AX1780" s="265"/>
    </row>
    <row r="1781" spans="1:50" x14ac:dyDescent="0.25">
      <c r="A1781" s="265"/>
      <c r="B1781" s="265"/>
      <c r="C1781" s="265"/>
      <c r="D1781" s="265"/>
      <c r="E1781" s="265"/>
      <c r="F1781" s="265"/>
      <c r="G1781" s="265"/>
      <c r="H1781" s="265"/>
      <c r="I1781" s="265"/>
      <c r="J1781" s="265"/>
      <c r="K1781" s="265"/>
      <c r="L1781" s="265"/>
      <c r="M1781" s="265"/>
      <c r="N1781" s="265"/>
      <c r="O1781" s="265"/>
      <c r="P1781" s="265"/>
      <c r="Q1781" s="265"/>
      <c r="R1781" s="265"/>
      <c r="S1781" s="265"/>
      <c r="T1781" s="265"/>
      <c r="U1781" s="265"/>
      <c r="V1781" s="265"/>
      <c r="W1781" s="265"/>
      <c r="X1781" s="265"/>
      <c r="Y1781" s="265"/>
      <c r="Z1781" s="265"/>
      <c r="AA1781" s="265"/>
      <c r="AB1781" s="265"/>
      <c r="AC1781" s="265"/>
      <c r="AD1781" s="265"/>
      <c r="AE1781" s="265"/>
      <c r="AF1781" s="265"/>
      <c r="AG1781" s="265"/>
      <c r="AH1781" s="265"/>
      <c r="AI1781" s="265"/>
      <c r="AJ1781" s="265"/>
      <c r="AK1781" s="265"/>
      <c r="AL1781" s="265"/>
      <c r="AM1781" s="265"/>
      <c r="AN1781" s="265"/>
      <c r="AO1781" s="265"/>
      <c r="AP1781" s="265"/>
      <c r="AQ1781" s="265"/>
      <c r="AR1781" s="265"/>
      <c r="AS1781" s="265"/>
      <c r="AT1781" s="265"/>
      <c r="AU1781" s="265"/>
      <c r="AV1781" s="265"/>
      <c r="AW1781" s="265"/>
      <c r="AX1781" s="265"/>
    </row>
    <row r="1782" spans="1:50" x14ac:dyDescent="0.25">
      <c r="A1782" s="133"/>
      <c r="B1782" s="265"/>
      <c r="C1782" s="265"/>
      <c r="D1782" s="265"/>
      <c r="E1782" s="265"/>
      <c r="F1782" s="265"/>
      <c r="G1782" s="265"/>
      <c r="H1782" s="265"/>
      <c r="I1782" s="133"/>
      <c r="J1782" s="265"/>
      <c r="K1782" s="265"/>
      <c r="L1782" s="265"/>
      <c r="M1782" s="265"/>
      <c r="N1782" s="265"/>
      <c r="O1782" s="265"/>
      <c r="P1782" s="265"/>
      <c r="Q1782" s="265"/>
      <c r="R1782" s="133"/>
      <c r="S1782" s="265"/>
      <c r="T1782" s="265"/>
      <c r="U1782" s="265"/>
      <c r="V1782" s="265"/>
      <c r="W1782" s="265"/>
      <c r="X1782" s="265"/>
      <c r="Y1782" s="265"/>
      <c r="Z1782" s="265"/>
      <c r="AA1782" s="133"/>
      <c r="AB1782" s="265"/>
      <c r="AC1782" s="265"/>
      <c r="AD1782" s="265"/>
      <c r="AE1782" s="265"/>
      <c r="AF1782" s="265"/>
      <c r="AG1782" s="265"/>
      <c r="AH1782" s="265"/>
      <c r="AI1782" s="133"/>
      <c r="AJ1782" s="265"/>
      <c r="AK1782" s="265"/>
      <c r="AL1782" s="265"/>
      <c r="AM1782" s="265"/>
      <c r="AN1782" s="265"/>
      <c r="AO1782" s="265"/>
      <c r="AP1782" s="265"/>
      <c r="AQ1782" s="133"/>
      <c r="AR1782" s="265"/>
      <c r="AS1782" s="265"/>
      <c r="AT1782" s="265"/>
      <c r="AU1782" s="265"/>
      <c r="AV1782" s="265"/>
      <c r="AW1782" s="265"/>
      <c r="AX1782" s="265"/>
    </row>
    <row r="1783" spans="1:50" x14ac:dyDescent="0.25">
      <c r="A1783" s="133"/>
      <c r="B1783" s="265"/>
      <c r="C1783" s="265"/>
      <c r="D1783" s="265"/>
      <c r="E1783" s="265"/>
      <c r="F1783" s="265"/>
      <c r="G1783" s="265"/>
      <c r="H1783" s="265"/>
      <c r="I1783" s="133"/>
      <c r="J1783" s="265"/>
      <c r="K1783" s="265"/>
      <c r="L1783" s="265"/>
      <c r="M1783" s="265"/>
      <c r="N1783" s="265"/>
      <c r="O1783" s="265"/>
      <c r="P1783" s="265"/>
      <c r="Q1783" s="265"/>
      <c r="R1783" s="133"/>
      <c r="S1783" s="265"/>
      <c r="T1783" s="265"/>
      <c r="U1783" s="265"/>
      <c r="V1783" s="265"/>
      <c r="W1783" s="265"/>
      <c r="X1783" s="265"/>
      <c r="Y1783" s="265"/>
      <c r="Z1783" s="265"/>
      <c r="AA1783" s="133"/>
      <c r="AB1783" s="265"/>
      <c r="AC1783" s="265"/>
      <c r="AD1783" s="265"/>
      <c r="AE1783" s="265"/>
      <c r="AF1783" s="265"/>
      <c r="AG1783" s="265"/>
      <c r="AH1783" s="265"/>
      <c r="AI1783" s="133"/>
      <c r="AJ1783" s="265"/>
      <c r="AK1783" s="265"/>
      <c r="AL1783" s="265"/>
      <c r="AM1783" s="265"/>
      <c r="AN1783" s="265"/>
      <c r="AO1783" s="265"/>
      <c r="AP1783" s="265"/>
      <c r="AQ1783" s="133"/>
      <c r="AR1783" s="265"/>
      <c r="AS1783" s="265"/>
      <c r="AT1783" s="265"/>
      <c r="AU1783" s="265"/>
      <c r="AV1783" s="265"/>
      <c r="AW1783" s="265"/>
      <c r="AX1783" s="265"/>
    </row>
    <row r="1784" spans="1:50" ht="18.75" x14ac:dyDescent="0.25">
      <c r="A1784" s="133"/>
      <c r="B1784" s="2506" t="s">
        <v>5400</v>
      </c>
      <c r="C1784" s="2506"/>
      <c r="D1784" s="2506"/>
      <c r="E1784" s="2506"/>
      <c r="F1784" s="2506"/>
      <c r="G1784" s="2506"/>
      <c r="H1784" s="8"/>
      <c r="I1784" s="133"/>
      <c r="J1784" s="2506" t="s">
        <v>5400</v>
      </c>
      <c r="K1784" s="2506"/>
      <c r="L1784" s="2506"/>
      <c r="M1784" s="2506"/>
      <c r="N1784" s="2506"/>
      <c r="O1784" s="2506"/>
      <c r="P1784" s="2506"/>
      <c r="Q1784" s="8"/>
      <c r="R1784" s="133"/>
      <c r="S1784" s="2506" t="s">
        <v>5400</v>
      </c>
      <c r="T1784" s="2506"/>
      <c r="U1784" s="2506"/>
      <c r="V1784" s="2506"/>
      <c r="W1784" s="2506"/>
      <c r="X1784" s="2506"/>
      <c r="Y1784" s="2506"/>
      <c r="Z1784" s="8"/>
      <c r="AA1784" s="133"/>
      <c r="AB1784" s="2506" t="s">
        <v>5400</v>
      </c>
      <c r="AC1784" s="2506"/>
      <c r="AD1784" s="2506"/>
      <c r="AE1784" s="2506"/>
      <c r="AF1784" s="2506"/>
      <c r="AG1784" s="2506"/>
      <c r="AH1784" s="8"/>
      <c r="AI1784" s="133"/>
      <c r="AJ1784" s="2506" t="s">
        <v>5400</v>
      </c>
      <c r="AK1784" s="2506"/>
      <c r="AL1784" s="2506"/>
      <c r="AM1784" s="2506"/>
      <c r="AN1784" s="2506"/>
      <c r="AO1784" s="2506"/>
      <c r="AP1784" s="8"/>
      <c r="AQ1784" s="133"/>
      <c r="AR1784" s="2506" t="s">
        <v>5400</v>
      </c>
      <c r="AS1784" s="2506"/>
      <c r="AT1784" s="2506"/>
      <c r="AU1784" s="2506"/>
      <c r="AV1784" s="2506"/>
      <c r="AW1784" s="2506"/>
      <c r="AX1784" s="8"/>
    </row>
    <row r="1785" spans="1:50" x14ac:dyDescent="0.25">
      <c r="A1785" s="133"/>
      <c r="B1785" s="8"/>
      <c r="C1785" s="8"/>
      <c r="D1785" s="8"/>
      <c r="E1785" s="8"/>
      <c r="F1785" s="133"/>
      <c r="G1785" s="200"/>
      <c r="H1785" s="200"/>
      <c r="I1785" s="133"/>
      <c r="J1785" s="8"/>
      <c r="K1785" s="8"/>
      <c r="L1785" s="8"/>
      <c r="M1785" s="8"/>
      <c r="N1785" s="8"/>
      <c r="O1785" s="133"/>
      <c r="P1785" s="200"/>
      <c r="Q1785" s="200"/>
      <c r="R1785" s="133"/>
      <c r="S1785" s="8"/>
      <c r="T1785" s="8"/>
      <c r="U1785" s="8"/>
      <c r="V1785" s="8"/>
      <c r="W1785" s="8"/>
      <c r="X1785" s="133"/>
      <c r="Y1785" s="200"/>
      <c r="Z1785" s="200"/>
      <c r="AA1785" s="133"/>
      <c r="AB1785" s="8"/>
      <c r="AC1785" s="8"/>
      <c r="AD1785" s="8"/>
      <c r="AE1785" s="8"/>
      <c r="AF1785" s="133"/>
      <c r="AG1785" s="200"/>
      <c r="AH1785" s="200"/>
      <c r="AI1785" s="133"/>
      <c r="AJ1785" s="8"/>
      <c r="AK1785" s="8"/>
      <c r="AL1785" s="8"/>
      <c r="AM1785" s="8"/>
      <c r="AN1785" s="133"/>
      <c r="AO1785" s="200"/>
      <c r="AP1785" s="200"/>
      <c r="AQ1785" s="133"/>
      <c r="AR1785" s="8"/>
      <c r="AS1785" s="8"/>
      <c r="AT1785" s="8"/>
      <c r="AU1785" s="8"/>
      <c r="AV1785" s="133"/>
      <c r="AW1785" s="200"/>
      <c r="AX1785" s="200"/>
    </row>
    <row r="1786" spans="1:50" x14ac:dyDescent="0.25">
      <c r="A1786" s="133"/>
      <c r="B1786" s="8"/>
      <c r="C1786" s="8"/>
      <c r="D1786" s="8"/>
      <c r="E1786" s="8"/>
      <c r="F1786" s="133"/>
      <c r="G1786" s="200"/>
      <c r="H1786" s="200"/>
      <c r="I1786" s="133"/>
      <c r="J1786" s="8"/>
      <c r="K1786" s="8"/>
      <c r="L1786" s="8"/>
      <c r="M1786" s="8"/>
      <c r="N1786" s="8"/>
      <c r="O1786" s="133"/>
      <c r="P1786" s="200"/>
      <c r="Q1786" s="200"/>
      <c r="R1786" s="133"/>
      <c r="S1786" s="8"/>
      <c r="T1786" s="8"/>
      <c r="U1786" s="8"/>
      <c r="V1786" s="8"/>
      <c r="W1786" s="8"/>
      <c r="X1786" s="133"/>
      <c r="Y1786" s="200"/>
      <c r="Z1786" s="200"/>
      <c r="AA1786" s="133"/>
      <c r="AB1786" s="8"/>
      <c r="AC1786" s="8"/>
      <c r="AD1786" s="8"/>
      <c r="AE1786" s="8"/>
      <c r="AF1786" s="133"/>
      <c r="AG1786" s="200"/>
      <c r="AH1786" s="200"/>
      <c r="AI1786" s="133"/>
      <c r="AJ1786" s="8"/>
      <c r="AK1786" s="8"/>
      <c r="AL1786" s="8"/>
      <c r="AM1786" s="8"/>
      <c r="AN1786" s="133"/>
      <c r="AO1786" s="200"/>
      <c r="AP1786" s="200"/>
      <c r="AQ1786" s="133"/>
      <c r="AR1786" s="8"/>
      <c r="AS1786" s="8"/>
      <c r="AT1786" s="8"/>
      <c r="AU1786" s="8"/>
      <c r="AV1786" s="133"/>
      <c r="AW1786" s="200"/>
      <c r="AX1786" s="200"/>
    </row>
    <row r="1787" spans="1:50" x14ac:dyDescent="0.25">
      <c r="A1787" s="133"/>
      <c r="B1787" s="8"/>
      <c r="C1787" s="8"/>
      <c r="D1787" s="8"/>
      <c r="E1787" s="8"/>
      <c r="F1787" s="133"/>
      <c r="G1787" s="200"/>
      <c r="H1787" s="200"/>
      <c r="I1787" s="133"/>
      <c r="J1787" s="8"/>
      <c r="K1787" s="8"/>
      <c r="L1787" s="8"/>
      <c r="M1787" s="8"/>
      <c r="N1787" s="8"/>
      <c r="O1787" s="133"/>
      <c r="P1787" s="200"/>
      <c r="Q1787" s="200"/>
      <c r="R1787" s="133"/>
      <c r="S1787" s="8"/>
      <c r="T1787" s="8"/>
      <c r="U1787" s="8"/>
      <c r="V1787" s="8"/>
      <c r="W1787" s="8"/>
      <c r="X1787" s="133"/>
      <c r="Y1787" s="200"/>
      <c r="Z1787" s="200"/>
      <c r="AA1787" s="133"/>
      <c r="AB1787" s="8"/>
      <c r="AC1787" s="8"/>
      <c r="AD1787" s="8"/>
      <c r="AE1787" s="8"/>
      <c r="AF1787" s="133"/>
      <c r="AG1787" s="200"/>
      <c r="AH1787" s="200"/>
      <c r="AI1787" s="133"/>
      <c r="AJ1787" s="8"/>
      <c r="AK1787" s="8"/>
      <c r="AL1787" s="8"/>
      <c r="AM1787" s="8"/>
      <c r="AN1787" s="133"/>
      <c r="AO1787" s="200"/>
      <c r="AP1787" s="200"/>
      <c r="AQ1787" s="133"/>
      <c r="AR1787" s="8"/>
      <c r="AS1787" s="8"/>
      <c r="AT1787" s="8"/>
      <c r="AU1787" s="8"/>
      <c r="AV1787" s="133"/>
      <c r="AW1787" s="200"/>
      <c r="AX1787" s="200"/>
    </row>
    <row r="1788" spans="1:50" ht="24.95" customHeight="1" x14ac:dyDescent="0.25">
      <c r="A1788" s="220" t="s">
        <v>5482</v>
      </c>
      <c r="B1788" s="221" t="s">
        <v>409</v>
      </c>
      <c r="C1788" s="2449" t="s">
        <v>5508</v>
      </c>
      <c r="D1788" s="2449"/>
      <c r="E1788" s="2449"/>
      <c r="F1788" s="220" t="s">
        <v>867</v>
      </c>
      <c r="G1788" s="222" t="s">
        <v>5424</v>
      </c>
      <c r="H1788" s="200"/>
      <c r="I1788" s="220" t="s">
        <v>5482</v>
      </c>
      <c r="J1788" s="221" t="s">
        <v>409</v>
      </c>
      <c r="K1788" s="2449" t="s">
        <v>5913</v>
      </c>
      <c r="L1788" s="2449"/>
      <c r="M1788" s="2449"/>
      <c r="N1788" s="220" t="s">
        <v>867</v>
      </c>
      <c r="O1788" s="222" t="s">
        <v>5424</v>
      </c>
      <c r="P1788" s="200"/>
      <c r="Q1788" s="220" t="s">
        <v>5482</v>
      </c>
      <c r="R1788" s="221" t="s">
        <v>408</v>
      </c>
      <c r="S1788" s="2449" t="s">
        <v>5914</v>
      </c>
      <c r="T1788" s="2449"/>
      <c r="U1788" s="2449"/>
      <c r="V1788" s="220" t="s">
        <v>867</v>
      </c>
      <c r="W1788" s="222" t="s">
        <v>5424</v>
      </c>
      <c r="X1788" s="200"/>
      <c r="Y1788" s="220" t="s">
        <v>5482</v>
      </c>
      <c r="Z1788" s="221" t="s">
        <v>408</v>
      </c>
      <c r="AA1788" s="2449" t="s">
        <v>5915</v>
      </c>
      <c r="AB1788" s="2449"/>
      <c r="AC1788" s="2449"/>
      <c r="AD1788" s="220" t="s">
        <v>867</v>
      </c>
      <c r="AE1788" s="222" t="s">
        <v>5424</v>
      </c>
      <c r="AF1788" s="200"/>
      <c r="AG1788" s="220" t="s">
        <v>5482</v>
      </c>
      <c r="AH1788" s="221" t="s">
        <v>408</v>
      </c>
      <c r="AI1788" s="2449" t="s">
        <v>5916</v>
      </c>
      <c r="AJ1788" s="2449"/>
      <c r="AK1788" s="2449"/>
      <c r="AL1788" s="220" t="s">
        <v>867</v>
      </c>
      <c r="AM1788" s="222" t="s">
        <v>5424</v>
      </c>
      <c r="AN1788" s="200"/>
      <c r="AO1788" s="220" t="s">
        <v>5482</v>
      </c>
      <c r="AP1788" s="221" t="s">
        <v>408</v>
      </c>
      <c r="AQ1788" s="2449" t="s">
        <v>5917</v>
      </c>
      <c r="AR1788" s="2449"/>
      <c r="AS1788" s="2449"/>
      <c r="AT1788" s="220" t="s">
        <v>867</v>
      </c>
      <c r="AU1788" s="222" t="s">
        <v>5424</v>
      </c>
      <c r="AV1788" s="200"/>
    </row>
    <row r="1789" spans="1:50" x14ac:dyDescent="0.25">
      <c r="A1789" s="133"/>
      <c r="B1789" s="8"/>
      <c r="C1789" s="223"/>
      <c r="D1789" s="223"/>
      <c r="E1789" s="223"/>
      <c r="F1789" s="133"/>
      <c r="G1789" s="200"/>
      <c r="H1789" s="200"/>
      <c r="I1789" s="133"/>
      <c r="J1789" s="8"/>
      <c r="K1789" s="223"/>
      <c r="L1789" s="223"/>
      <c r="M1789" s="223"/>
      <c r="N1789" s="133"/>
      <c r="O1789" s="200"/>
      <c r="P1789" s="200"/>
      <c r="Q1789" s="133"/>
      <c r="R1789" s="8"/>
      <c r="S1789" s="223"/>
      <c r="T1789" s="223"/>
      <c r="U1789" s="223"/>
      <c r="V1789" s="133"/>
      <c r="W1789" s="200"/>
      <c r="X1789" s="200"/>
      <c r="Y1789" s="133"/>
      <c r="Z1789" s="8"/>
      <c r="AA1789" s="223"/>
      <c r="AB1789" s="223"/>
      <c r="AC1789" s="223"/>
      <c r="AD1789" s="133"/>
      <c r="AE1789" s="200"/>
      <c r="AF1789" s="200"/>
      <c r="AG1789" s="133"/>
      <c r="AH1789" s="8"/>
      <c r="AI1789" s="223"/>
      <c r="AJ1789" s="223"/>
      <c r="AK1789" s="223"/>
      <c r="AL1789" s="133"/>
      <c r="AM1789" s="200"/>
      <c r="AN1789" s="200"/>
      <c r="AO1789" s="133"/>
      <c r="AP1789" s="8"/>
      <c r="AQ1789" s="223"/>
      <c r="AR1789" s="223"/>
      <c r="AS1789" s="223"/>
      <c r="AT1789" s="133"/>
      <c r="AU1789" s="200"/>
      <c r="AV1789" s="200"/>
    </row>
    <row r="1790" spans="1:50" x14ac:dyDescent="0.25">
      <c r="A1790" s="133"/>
      <c r="B1790" s="8"/>
      <c r="C1790" s="8"/>
      <c r="D1790" s="8"/>
      <c r="E1790" s="8"/>
      <c r="F1790" s="8"/>
      <c r="G1790" s="8"/>
      <c r="H1790" s="200"/>
      <c r="I1790" s="133"/>
      <c r="J1790" s="8"/>
      <c r="K1790" s="8"/>
      <c r="L1790" s="8"/>
      <c r="M1790" s="8"/>
      <c r="N1790" s="8"/>
      <c r="O1790" s="8"/>
      <c r="P1790" s="200"/>
      <c r="Q1790" s="133"/>
      <c r="R1790" s="8"/>
      <c r="S1790" s="8"/>
      <c r="T1790" s="8"/>
      <c r="U1790" s="8"/>
      <c r="V1790" s="8"/>
      <c r="W1790" s="8"/>
      <c r="X1790" s="200"/>
      <c r="Y1790" s="133"/>
      <c r="Z1790" s="8"/>
      <c r="AA1790" s="8"/>
      <c r="AB1790" s="8"/>
      <c r="AC1790" s="8"/>
      <c r="AD1790" s="8"/>
      <c r="AE1790" s="8"/>
      <c r="AF1790" s="200"/>
      <c r="AG1790" s="133"/>
      <c r="AH1790" s="8"/>
      <c r="AI1790" s="8"/>
      <c r="AJ1790" s="8"/>
      <c r="AK1790" s="8"/>
      <c r="AL1790" s="8"/>
      <c r="AM1790" s="8"/>
      <c r="AN1790" s="200"/>
      <c r="AO1790" s="133"/>
      <c r="AP1790" s="8"/>
      <c r="AQ1790" s="8"/>
      <c r="AR1790" s="8"/>
      <c r="AS1790" s="8"/>
      <c r="AT1790" s="8"/>
      <c r="AU1790" s="8"/>
      <c r="AV1790" s="200"/>
    </row>
    <row r="1791" spans="1:50" ht="15.75" thickBot="1" x14ac:dyDescent="0.3">
      <c r="A1791" s="133"/>
      <c r="B1791" s="8"/>
      <c r="C1791" s="8"/>
      <c r="D1791" s="8"/>
      <c r="E1791" s="8"/>
      <c r="F1791" s="133"/>
      <c r="G1791" s="200"/>
      <c r="H1791" s="200"/>
      <c r="I1791" s="133"/>
      <c r="J1791" s="8"/>
      <c r="K1791" s="8"/>
      <c r="L1791" s="8"/>
      <c r="M1791" s="8"/>
      <c r="N1791" s="133"/>
      <c r="O1791" s="200"/>
      <c r="P1791" s="200"/>
      <c r="Q1791" s="133"/>
      <c r="R1791" s="8"/>
      <c r="S1791" s="8"/>
      <c r="T1791" s="8"/>
      <c r="U1791" s="8"/>
      <c r="V1791" s="133"/>
      <c r="W1791" s="200"/>
      <c r="X1791" s="200"/>
      <c r="Y1791" s="133"/>
      <c r="Z1791" s="8"/>
      <c r="AA1791" s="8"/>
      <c r="AB1791" s="8"/>
      <c r="AC1791" s="8"/>
      <c r="AD1791" s="133"/>
      <c r="AE1791" s="200"/>
      <c r="AF1791" s="200"/>
      <c r="AG1791" s="133"/>
      <c r="AH1791" s="8"/>
      <c r="AI1791" s="8"/>
      <c r="AJ1791" s="8"/>
      <c r="AK1791" s="8"/>
      <c r="AL1791" s="133"/>
      <c r="AM1791" s="200"/>
      <c r="AN1791" s="200"/>
      <c r="AO1791" s="133"/>
      <c r="AP1791" s="8"/>
      <c r="AQ1791" s="8"/>
      <c r="AR1791" s="8"/>
      <c r="AS1791" s="8"/>
      <c r="AT1791" s="133"/>
      <c r="AU1791" s="200"/>
      <c r="AV1791" s="200"/>
    </row>
    <row r="1792" spans="1:50" ht="15.75" thickBot="1" x14ac:dyDescent="0.3">
      <c r="A1792" s="133"/>
      <c r="B1792" s="224" t="s">
        <v>5403</v>
      </c>
      <c r="C1792" s="193" t="s">
        <v>867</v>
      </c>
      <c r="D1792" s="193" t="s">
        <v>6</v>
      </c>
      <c r="E1792" s="193" t="s">
        <v>5439</v>
      </c>
      <c r="F1792" s="193" t="s">
        <v>5405</v>
      </c>
      <c r="G1792" s="225" t="s">
        <v>868</v>
      </c>
      <c r="H1792" s="200"/>
      <c r="I1792" s="133"/>
      <c r="J1792" s="224" t="s">
        <v>5403</v>
      </c>
      <c r="K1792" s="193" t="s">
        <v>867</v>
      </c>
      <c r="L1792" s="193" t="s">
        <v>6</v>
      </c>
      <c r="M1792" s="193" t="s">
        <v>5439</v>
      </c>
      <c r="N1792" s="193" t="s">
        <v>5405</v>
      </c>
      <c r="O1792" s="225" t="s">
        <v>868</v>
      </c>
      <c r="P1792" s="200"/>
      <c r="Q1792" s="133"/>
      <c r="R1792" s="224" t="s">
        <v>5403</v>
      </c>
      <c r="S1792" s="193" t="s">
        <v>867</v>
      </c>
      <c r="T1792" s="193" t="s">
        <v>6</v>
      </c>
      <c r="U1792" s="193" t="s">
        <v>5439</v>
      </c>
      <c r="V1792" s="193" t="s">
        <v>5405</v>
      </c>
      <c r="W1792" s="225" t="s">
        <v>868</v>
      </c>
      <c r="X1792" s="200"/>
      <c r="Y1792" s="133"/>
      <c r="Z1792" s="224" t="s">
        <v>5403</v>
      </c>
      <c r="AA1792" s="193" t="s">
        <v>867</v>
      </c>
      <c r="AB1792" s="193" t="s">
        <v>6</v>
      </c>
      <c r="AC1792" s="193" t="s">
        <v>5439</v>
      </c>
      <c r="AD1792" s="193" t="s">
        <v>5405</v>
      </c>
      <c r="AE1792" s="225" t="s">
        <v>868</v>
      </c>
      <c r="AF1792" s="200"/>
      <c r="AG1792" s="133"/>
      <c r="AH1792" s="224" t="s">
        <v>5403</v>
      </c>
      <c r="AI1792" s="193" t="s">
        <v>867</v>
      </c>
      <c r="AJ1792" s="193" t="s">
        <v>6</v>
      </c>
      <c r="AK1792" s="193" t="s">
        <v>5439</v>
      </c>
      <c r="AL1792" s="193" t="s">
        <v>5405</v>
      </c>
      <c r="AM1792" s="225" t="s">
        <v>868</v>
      </c>
      <c r="AN1792" s="200"/>
      <c r="AO1792" s="133"/>
      <c r="AP1792" s="224" t="s">
        <v>5403</v>
      </c>
      <c r="AQ1792" s="193" t="s">
        <v>867</v>
      </c>
      <c r="AR1792" s="193" t="s">
        <v>6</v>
      </c>
      <c r="AS1792" s="193" t="s">
        <v>5439</v>
      </c>
      <c r="AT1792" s="193" t="s">
        <v>5405</v>
      </c>
      <c r="AU1792" s="225" t="s">
        <v>868</v>
      </c>
      <c r="AV1792" s="200"/>
    </row>
    <row r="1793" spans="1:48" x14ac:dyDescent="0.25">
      <c r="A1793" s="133"/>
      <c r="B1793" s="195" t="s">
        <v>5440</v>
      </c>
      <c r="C1793" s="226" t="s">
        <v>5402</v>
      </c>
      <c r="D1793" s="226">
        <v>1</v>
      </c>
      <c r="E1793" s="263">
        <f>+H1831</f>
        <v>62530</v>
      </c>
      <c r="F1793" s="226">
        <v>0.2</v>
      </c>
      <c r="G1793" s="229">
        <f>+E1793*F1793</f>
        <v>12506</v>
      </c>
      <c r="H1793" s="200"/>
      <c r="I1793" s="133"/>
      <c r="J1793" s="195" t="s">
        <v>5440</v>
      </c>
      <c r="K1793" s="226" t="s">
        <v>5402</v>
      </c>
      <c r="L1793" s="226">
        <v>1</v>
      </c>
      <c r="M1793" s="228">
        <f>+P1831</f>
        <v>62530</v>
      </c>
      <c r="N1793" s="226">
        <v>0.2</v>
      </c>
      <c r="O1793" s="229">
        <f>+M1793*N1793</f>
        <v>12506</v>
      </c>
      <c r="P1793" s="200"/>
      <c r="Q1793" s="133"/>
      <c r="R1793" s="195" t="s">
        <v>5440</v>
      </c>
      <c r="S1793" s="226" t="s">
        <v>5402</v>
      </c>
      <c r="T1793" s="226">
        <v>1</v>
      </c>
      <c r="U1793" s="228">
        <f>+X1831</f>
        <v>68758.333333333328</v>
      </c>
      <c r="V1793" s="226">
        <v>0.2</v>
      </c>
      <c r="W1793" s="229">
        <f>+U1793*V1793</f>
        <v>13751.666666666666</v>
      </c>
      <c r="X1793" s="200"/>
      <c r="Y1793" s="133"/>
      <c r="Z1793" s="195" t="s">
        <v>5440</v>
      </c>
      <c r="AA1793" s="226" t="s">
        <v>5402</v>
      </c>
      <c r="AB1793" s="226">
        <v>1</v>
      </c>
      <c r="AC1793" s="263">
        <f>+AF1831</f>
        <v>81215</v>
      </c>
      <c r="AD1793" s="226">
        <v>0.2</v>
      </c>
      <c r="AE1793" s="229">
        <f>AC1793*AD1793</f>
        <v>16243</v>
      </c>
      <c r="AF1793" s="200"/>
      <c r="AG1793" s="133"/>
      <c r="AH1793" s="195" t="s">
        <v>5440</v>
      </c>
      <c r="AI1793" s="226" t="s">
        <v>5402</v>
      </c>
      <c r="AJ1793" s="226">
        <v>1</v>
      </c>
      <c r="AK1793" s="263">
        <f>+AN1831</f>
        <v>99900</v>
      </c>
      <c r="AL1793" s="226">
        <v>0.2</v>
      </c>
      <c r="AM1793" s="229">
        <f>AK1793*AL1793</f>
        <v>19980</v>
      </c>
      <c r="AN1793" s="200"/>
      <c r="AO1793" s="133"/>
      <c r="AP1793" s="195" t="s">
        <v>5440</v>
      </c>
      <c r="AQ1793" s="226" t="s">
        <v>5402</v>
      </c>
      <c r="AR1793" s="226">
        <v>1</v>
      </c>
      <c r="AS1793" s="263">
        <f>+AV1831</f>
        <v>118585</v>
      </c>
      <c r="AT1793" s="226">
        <v>0.2</v>
      </c>
      <c r="AU1793" s="229">
        <f>AS1793*AT1793</f>
        <v>23717</v>
      </c>
      <c r="AV1793" s="200"/>
    </row>
    <row r="1794" spans="1:48" x14ac:dyDescent="0.25">
      <c r="A1794" s="133"/>
      <c r="B1794" s="195" t="s">
        <v>6063</v>
      </c>
      <c r="C1794" s="226" t="s">
        <v>5424</v>
      </c>
      <c r="D1794" s="226">
        <v>1</v>
      </c>
      <c r="E1794" s="176">
        <v>120000</v>
      </c>
      <c r="F1794" s="226">
        <v>60</v>
      </c>
      <c r="G1794" s="229">
        <f>+E1794/F1794</f>
        <v>2000</v>
      </c>
      <c r="H1794" s="200"/>
      <c r="I1794" s="133"/>
      <c r="J1794" s="195" t="s">
        <v>6063</v>
      </c>
      <c r="K1794" s="226" t="s">
        <v>5424</v>
      </c>
      <c r="L1794" s="226">
        <v>1</v>
      </c>
      <c r="M1794" s="176">
        <v>120000</v>
      </c>
      <c r="N1794" s="226">
        <v>30</v>
      </c>
      <c r="O1794" s="229">
        <f>+M1794/N1794</f>
        <v>4000</v>
      </c>
      <c r="P1794" s="200"/>
      <c r="Q1794" s="133"/>
      <c r="R1794" s="195" t="s">
        <v>6063</v>
      </c>
      <c r="S1794" s="226" t="s">
        <v>5424</v>
      </c>
      <c r="T1794" s="226">
        <v>1</v>
      </c>
      <c r="U1794" s="176">
        <v>120000</v>
      </c>
      <c r="V1794" s="226">
        <v>24</v>
      </c>
      <c r="W1794" s="229">
        <f>+U1794/V1794</f>
        <v>5000</v>
      </c>
      <c r="X1794" s="200"/>
      <c r="Y1794" s="133"/>
      <c r="Z1794" s="195" t="s">
        <v>6063</v>
      </c>
      <c r="AA1794" s="226" t="s">
        <v>5424</v>
      </c>
      <c r="AB1794" s="226">
        <v>1</v>
      </c>
      <c r="AC1794" s="176">
        <v>120000</v>
      </c>
      <c r="AD1794" s="226">
        <v>20</v>
      </c>
      <c r="AE1794" s="229">
        <f>+AC1794/AD1794</f>
        <v>6000</v>
      </c>
      <c r="AF1794" s="200"/>
      <c r="AG1794" s="133"/>
      <c r="AH1794" s="195" t="s">
        <v>6063</v>
      </c>
      <c r="AI1794" s="226" t="s">
        <v>5424</v>
      </c>
      <c r="AJ1794" s="226">
        <v>1</v>
      </c>
      <c r="AK1794" s="176">
        <v>120000</v>
      </c>
      <c r="AL1794" s="226">
        <v>16</v>
      </c>
      <c r="AM1794" s="229">
        <f>+AK1794/AL1794</f>
        <v>7500</v>
      </c>
      <c r="AN1794" s="200"/>
      <c r="AO1794" s="133"/>
      <c r="AP1794" s="195" t="s">
        <v>6063</v>
      </c>
      <c r="AQ1794" s="226" t="s">
        <v>5424</v>
      </c>
      <c r="AR1794" s="226">
        <v>1</v>
      </c>
      <c r="AS1794" s="176">
        <v>120000</v>
      </c>
      <c r="AT1794" s="226">
        <v>12</v>
      </c>
      <c r="AU1794" s="229">
        <f>+AS1794/AT1794</f>
        <v>10000</v>
      </c>
      <c r="AV1794" s="200"/>
    </row>
    <row r="1795" spans="1:48" x14ac:dyDescent="0.25">
      <c r="A1795" s="133"/>
      <c r="B1795" s="195"/>
      <c r="C1795" s="226"/>
      <c r="D1795" s="226"/>
      <c r="E1795" s="176"/>
      <c r="F1795" s="226"/>
      <c r="G1795" s="229"/>
      <c r="H1795" s="200"/>
      <c r="I1795" s="133"/>
      <c r="J1795" s="195"/>
      <c r="K1795" s="226"/>
      <c r="L1795" s="226"/>
      <c r="M1795" s="176"/>
      <c r="N1795" s="226"/>
      <c r="O1795" s="229"/>
      <c r="P1795" s="200"/>
      <c r="Q1795" s="133"/>
      <c r="R1795" s="195"/>
      <c r="S1795" s="226"/>
      <c r="T1795" s="226"/>
      <c r="U1795" s="176"/>
      <c r="V1795" s="226"/>
      <c r="W1795" s="229"/>
      <c r="X1795" s="200"/>
      <c r="Y1795" s="133"/>
      <c r="Z1795" s="195"/>
      <c r="AA1795" s="226"/>
      <c r="AB1795" s="226"/>
      <c r="AC1795" s="176"/>
      <c r="AD1795" s="226"/>
      <c r="AE1795" s="229"/>
      <c r="AF1795" s="200"/>
      <c r="AG1795" s="133"/>
      <c r="AH1795" s="195"/>
      <c r="AI1795" s="226"/>
      <c r="AJ1795" s="226"/>
      <c r="AK1795" s="176"/>
      <c r="AL1795" s="226"/>
      <c r="AM1795" s="229"/>
      <c r="AN1795" s="200"/>
      <c r="AO1795" s="133"/>
      <c r="AP1795" s="195"/>
      <c r="AQ1795" s="226"/>
      <c r="AR1795" s="226"/>
      <c r="AS1795" s="176"/>
      <c r="AT1795" s="226"/>
      <c r="AU1795" s="229"/>
      <c r="AV1795" s="200"/>
    </row>
    <row r="1796" spans="1:48" x14ac:dyDescent="0.25">
      <c r="A1796" s="133"/>
      <c r="B1796" s="195"/>
      <c r="C1796" s="226"/>
      <c r="D1796" s="226"/>
      <c r="E1796" s="171"/>
      <c r="F1796" s="226"/>
      <c r="G1796" s="231"/>
      <c r="H1796" s="200"/>
      <c r="I1796" s="133"/>
      <c r="J1796" s="195"/>
      <c r="K1796" s="226"/>
      <c r="L1796" s="226"/>
      <c r="M1796" s="171"/>
      <c r="N1796" s="226"/>
      <c r="O1796" s="229"/>
      <c r="P1796" s="200"/>
      <c r="Q1796" s="133"/>
      <c r="R1796" s="195"/>
      <c r="S1796" s="226"/>
      <c r="T1796" s="226"/>
      <c r="U1796" s="171"/>
      <c r="V1796" s="226"/>
      <c r="W1796" s="229"/>
      <c r="X1796" s="200"/>
      <c r="Y1796" s="133"/>
      <c r="Z1796" s="195"/>
      <c r="AA1796" s="226"/>
      <c r="AB1796" s="226"/>
      <c r="AC1796" s="171"/>
      <c r="AD1796" s="226"/>
      <c r="AE1796" s="229"/>
      <c r="AF1796" s="200"/>
      <c r="AG1796" s="133"/>
      <c r="AH1796" s="195"/>
      <c r="AI1796" s="226"/>
      <c r="AJ1796" s="226"/>
      <c r="AK1796" s="171"/>
      <c r="AL1796" s="226"/>
      <c r="AM1796" s="229"/>
      <c r="AN1796" s="200"/>
      <c r="AO1796" s="133"/>
      <c r="AP1796" s="195"/>
      <c r="AQ1796" s="226"/>
      <c r="AR1796" s="226"/>
      <c r="AS1796" s="171"/>
      <c r="AT1796" s="226"/>
      <c r="AU1796" s="229"/>
      <c r="AV1796" s="200"/>
    </row>
    <row r="1797" spans="1:48" x14ac:dyDescent="0.25">
      <c r="A1797" s="133"/>
      <c r="B1797" s="195"/>
      <c r="C1797" s="226"/>
      <c r="D1797" s="232"/>
      <c r="E1797" s="232"/>
      <c r="F1797" s="226"/>
      <c r="G1797" s="229"/>
      <c r="H1797" s="200"/>
      <c r="I1797" s="133"/>
      <c r="J1797" s="195"/>
      <c r="K1797" s="226"/>
      <c r="L1797" s="232"/>
      <c r="M1797" s="232"/>
      <c r="N1797" s="226"/>
      <c r="O1797" s="229"/>
      <c r="P1797" s="200"/>
      <c r="Q1797" s="133"/>
      <c r="R1797" s="195"/>
      <c r="S1797" s="226"/>
      <c r="T1797" s="232"/>
      <c r="U1797" s="232"/>
      <c r="V1797" s="226"/>
      <c r="W1797" s="229"/>
      <c r="X1797" s="200"/>
      <c r="Y1797" s="133"/>
      <c r="Z1797" s="195"/>
      <c r="AA1797" s="226"/>
      <c r="AB1797" s="232"/>
      <c r="AC1797" s="232"/>
      <c r="AD1797" s="226"/>
      <c r="AE1797" s="229"/>
      <c r="AF1797" s="200"/>
      <c r="AG1797" s="133"/>
      <c r="AH1797" s="195"/>
      <c r="AI1797" s="226"/>
      <c r="AJ1797" s="232"/>
      <c r="AK1797" s="232"/>
      <c r="AL1797" s="226"/>
      <c r="AM1797" s="229"/>
      <c r="AN1797" s="200"/>
      <c r="AO1797" s="133"/>
      <c r="AP1797" s="195"/>
      <c r="AQ1797" s="226"/>
      <c r="AR1797" s="232"/>
      <c r="AS1797" s="232"/>
      <c r="AT1797" s="226"/>
      <c r="AU1797" s="229"/>
      <c r="AV1797" s="200"/>
    </row>
    <row r="1798" spans="1:48" ht="15.75" thickBot="1" x14ac:dyDescent="0.3">
      <c r="A1798" s="133"/>
      <c r="B1798" s="195"/>
      <c r="C1798" s="226"/>
      <c r="D1798" s="232"/>
      <c r="E1798" s="232"/>
      <c r="F1798" s="226"/>
      <c r="G1798" s="229"/>
      <c r="H1798" s="200"/>
      <c r="I1798" s="133"/>
      <c r="J1798" s="195"/>
      <c r="K1798" s="226"/>
      <c r="L1798" s="232"/>
      <c r="M1798" s="232"/>
      <c r="N1798" s="226"/>
      <c r="O1798" s="229"/>
      <c r="P1798" s="200"/>
      <c r="Q1798" s="133"/>
      <c r="R1798" s="195"/>
      <c r="S1798" s="226"/>
      <c r="T1798" s="232"/>
      <c r="U1798" s="232"/>
      <c r="V1798" s="226"/>
      <c r="W1798" s="229"/>
      <c r="X1798" s="200"/>
      <c r="Y1798" s="133"/>
      <c r="Z1798" s="195"/>
      <c r="AA1798" s="226"/>
      <c r="AB1798" s="232"/>
      <c r="AC1798" s="232"/>
      <c r="AD1798" s="226"/>
      <c r="AE1798" s="229"/>
      <c r="AF1798" s="200"/>
      <c r="AG1798" s="133"/>
      <c r="AH1798" s="195"/>
      <c r="AI1798" s="226"/>
      <c r="AJ1798" s="232"/>
      <c r="AK1798" s="232"/>
      <c r="AL1798" s="226"/>
      <c r="AM1798" s="229"/>
      <c r="AN1798" s="200"/>
      <c r="AO1798" s="133"/>
      <c r="AP1798" s="195"/>
      <c r="AQ1798" s="226"/>
      <c r="AR1798" s="232"/>
      <c r="AS1798" s="232"/>
      <c r="AT1798" s="226"/>
      <c r="AU1798" s="229"/>
      <c r="AV1798" s="200"/>
    </row>
    <row r="1799" spans="1:48" ht="15.75" thickBot="1" x14ac:dyDescent="0.3">
      <c r="A1799" s="133"/>
      <c r="B1799" s="233"/>
      <c r="C1799" s="234"/>
      <c r="D1799" s="234"/>
      <c r="E1799" s="234"/>
      <c r="F1799" s="235"/>
      <c r="G1799" s="236"/>
      <c r="H1799" s="237">
        <f>+SUM(G1793:G1799)</f>
        <v>14506</v>
      </c>
      <c r="I1799" s="133"/>
      <c r="J1799" s="233"/>
      <c r="K1799" s="234"/>
      <c r="L1799" s="234"/>
      <c r="M1799" s="234"/>
      <c r="N1799" s="235"/>
      <c r="O1799" s="236"/>
      <c r="P1799" s="237">
        <f>+SUM(O1793:O1799)</f>
        <v>16506</v>
      </c>
      <c r="Q1799" s="133"/>
      <c r="R1799" s="233"/>
      <c r="S1799" s="234"/>
      <c r="T1799" s="234"/>
      <c r="U1799" s="234"/>
      <c r="V1799" s="235"/>
      <c r="W1799" s="236"/>
      <c r="X1799" s="237">
        <f>+SUM(W1793:W1799)</f>
        <v>18751.666666666664</v>
      </c>
      <c r="Y1799" s="133"/>
      <c r="Z1799" s="233"/>
      <c r="AA1799" s="234"/>
      <c r="AB1799" s="234"/>
      <c r="AC1799" s="234"/>
      <c r="AD1799" s="235"/>
      <c r="AE1799" s="236"/>
      <c r="AF1799" s="237">
        <f>+SUM(AE1793:AE1799)</f>
        <v>22243</v>
      </c>
      <c r="AG1799" s="133"/>
      <c r="AH1799" s="233"/>
      <c r="AI1799" s="234"/>
      <c r="AJ1799" s="234"/>
      <c r="AK1799" s="234"/>
      <c r="AL1799" s="235"/>
      <c r="AM1799" s="236"/>
      <c r="AN1799" s="237">
        <f>+SUM(AM1793:AM1799)</f>
        <v>27480</v>
      </c>
      <c r="AO1799" s="133"/>
      <c r="AP1799" s="233"/>
      <c r="AQ1799" s="234"/>
      <c r="AR1799" s="234"/>
      <c r="AS1799" s="234"/>
      <c r="AT1799" s="235"/>
      <c r="AU1799" s="236"/>
      <c r="AV1799" s="237">
        <f>+SUM(AU1793:AU1799)</f>
        <v>33717</v>
      </c>
    </row>
    <row r="1800" spans="1:48" ht="15.75" thickBot="1" x14ac:dyDescent="0.3">
      <c r="A1800" s="133"/>
      <c r="B1800" s="238"/>
      <c r="C1800" s="238"/>
      <c r="D1800" s="238"/>
      <c r="E1800" s="238"/>
      <c r="F1800" s="239"/>
      <c r="G1800" s="240"/>
      <c r="H1800" s="241"/>
      <c r="I1800" s="133"/>
      <c r="J1800" s="238"/>
      <c r="K1800" s="238"/>
      <c r="L1800" s="238"/>
      <c r="M1800" s="238"/>
      <c r="N1800" s="239"/>
      <c r="O1800" s="240"/>
      <c r="P1800" s="241"/>
      <c r="Q1800" s="133"/>
      <c r="R1800" s="238"/>
      <c r="S1800" s="238"/>
      <c r="T1800" s="238"/>
      <c r="U1800" s="238"/>
      <c r="V1800" s="239"/>
      <c r="W1800" s="240"/>
      <c r="X1800" s="241"/>
      <c r="Y1800" s="133"/>
      <c r="Z1800" s="238"/>
      <c r="AA1800" s="238"/>
      <c r="AB1800" s="238"/>
      <c r="AC1800" s="238"/>
      <c r="AD1800" s="239"/>
      <c r="AE1800" s="240"/>
      <c r="AF1800" s="241"/>
      <c r="AG1800" s="133"/>
      <c r="AH1800" s="238"/>
      <c r="AI1800" s="238"/>
      <c r="AJ1800" s="238"/>
      <c r="AK1800" s="238"/>
      <c r="AL1800" s="239"/>
      <c r="AM1800" s="240"/>
      <c r="AN1800" s="241"/>
      <c r="AO1800" s="133"/>
      <c r="AP1800" s="238"/>
      <c r="AQ1800" s="238"/>
      <c r="AR1800" s="238"/>
      <c r="AS1800" s="238"/>
      <c r="AT1800" s="239"/>
      <c r="AU1800" s="240"/>
      <c r="AV1800" s="241"/>
    </row>
    <row r="1801" spans="1:48" ht="15.75" thickBot="1" x14ac:dyDescent="0.3">
      <c r="A1801" s="133"/>
      <c r="B1801" s="224" t="s">
        <v>5408</v>
      </c>
      <c r="C1801" s="193" t="s">
        <v>867</v>
      </c>
      <c r="D1801" s="193" t="s">
        <v>6</v>
      </c>
      <c r="E1801" s="193" t="s">
        <v>870</v>
      </c>
      <c r="F1801" s="193" t="s">
        <v>5409</v>
      </c>
      <c r="G1801" s="225" t="s">
        <v>868</v>
      </c>
      <c r="H1801" s="200"/>
      <c r="I1801" s="133"/>
      <c r="J1801" s="224" t="s">
        <v>5408</v>
      </c>
      <c r="K1801" s="193" t="s">
        <v>867</v>
      </c>
      <c r="L1801" s="193" t="s">
        <v>6</v>
      </c>
      <c r="M1801" s="193" t="s">
        <v>870</v>
      </c>
      <c r="N1801" s="193" t="s">
        <v>5409</v>
      </c>
      <c r="O1801" s="225" t="s">
        <v>868</v>
      </c>
      <c r="P1801" s="200"/>
      <c r="Q1801" s="133"/>
      <c r="R1801" s="224" t="s">
        <v>5408</v>
      </c>
      <c r="S1801" s="193" t="s">
        <v>867</v>
      </c>
      <c r="T1801" s="193" t="s">
        <v>6</v>
      </c>
      <c r="U1801" s="193" t="s">
        <v>870</v>
      </c>
      <c r="V1801" s="193" t="s">
        <v>5409</v>
      </c>
      <c r="W1801" s="225" t="s">
        <v>868</v>
      </c>
      <c r="X1801" s="200"/>
      <c r="Y1801" s="133"/>
      <c r="Z1801" s="224" t="s">
        <v>5408</v>
      </c>
      <c r="AA1801" s="193" t="s">
        <v>867</v>
      </c>
      <c r="AB1801" s="193" t="s">
        <v>6</v>
      </c>
      <c r="AC1801" s="193" t="s">
        <v>870</v>
      </c>
      <c r="AD1801" s="193" t="s">
        <v>5409</v>
      </c>
      <c r="AE1801" s="225" t="s">
        <v>868</v>
      </c>
      <c r="AF1801" s="200"/>
      <c r="AG1801" s="133"/>
      <c r="AH1801" s="224" t="s">
        <v>5408</v>
      </c>
      <c r="AI1801" s="193" t="s">
        <v>867</v>
      </c>
      <c r="AJ1801" s="193" t="s">
        <v>6</v>
      </c>
      <c r="AK1801" s="193" t="s">
        <v>870</v>
      </c>
      <c r="AL1801" s="193" t="s">
        <v>5409</v>
      </c>
      <c r="AM1801" s="225" t="s">
        <v>868</v>
      </c>
      <c r="AN1801" s="200"/>
      <c r="AO1801" s="133"/>
      <c r="AP1801" s="224" t="s">
        <v>5408</v>
      </c>
      <c r="AQ1801" s="193" t="s">
        <v>867</v>
      </c>
      <c r="AR1801" s="193" t="s">
        <v>6</v>
      </c>
      <c r="AS1801" s="193" t="s">
        <v>870</v>
      </c>
      <c r="AT1801" s="193" t="s">
        <v>5409</v>
      </c>
      <c r="AU1801" s="225" t="s">
        <v>868</v>
      </c>
      <c r="AV1801" s="200"/>
    </row>
    <row r="1802" spans="1:48" x14ac:dyDescent="0.25">
      <c r="A1802" s="133"/>
      <c r="B1802" s="295"/>
      <c r="C1802" s="202"/>
      <c r="D1802" s="226"/>
      <c r="E1802" s="171"/>
      <c r="F1802" s="169"/>
      <c r="G1802" s="178">
        <f>+D1802*E1802*(1+F1802)</f>
        <v>0</v>
      </c>
      <c r="H1802" s="200"/>
      <c r="I1802" s="133"/>
      <c r="J1802" s="295"/>
      <c r="K1802" s="202"/>
      <c r="L1802" s="226"/>
      <c r="M1802" s="228"/>
      <c r="N1802" s="169"/>
      <c r="O1802" s="178"/>
      <c r="P1802" s="200"/>
      <c r="Q1802" s="133"/>
      <c r="R1802" s="295"/>
      <c r="S1802" s="202"/>
      <c r="T1802" s="226"/>
      <c r="U1802" s="228"/>
      <c r="V1802" s="169"/>
      <c r="W1802" s="178"/>
      <c r="X1802" s="200"/>
      <c r="Y1802" s="133"/>
      <c r="Z1802" s="295"/>
      <c r="AA1802" s="202"/>
      <c r="AB1802" s="226"/>
      <c r="AC1802" s="171"/>
      <c r="AD1802" s="169"/>
      <c r="AE1802" s="178"/>
      <c r="AF1802" s="200"/>
      <c r="AG1802" s="133"/>
      <c r="AH1802" s="295"/>
      <c r="AI1802" s="202"/>
      <c r="AJ1802" s="226"/>
      <c r="AK1802" s="171"/>
      <c r="AL1802" s="169"/>
      <c r="AM1802" s="178"/>
      <c r="AN1802" s="200"/>
      <c r="AO1802" s="133"/>
      <c r="AP1802" s="295"/>
      <c r="AQ1802" s="202"/>
      <c r="AR1802" s="226"/>
      <c r="AS1802" s="171"/>
      <c r="AT1802" s="169"/>
      <c r="AU1802" s="178"/>
      <c r="AV1802" s="200"/>
    </row>
    <row r="1803" spans="1:48" x14ac:dyDescent="0.25">
      <c r="A1803" s="133"/>
      <c r="B1803" s="450"/>
      <c r="C1803" s="202"/>
      <c r="D1803" s="202"/>
      <c r="E1803" s="175"/>
      <c r="F1803" s="169"/>
      <c r="G1803" s="178">
        <f>+D1803*E1803*(1+F1803)</f>
        <v>0</v>
      </c>
      <c r="H1803" s="200"/>
      <c r="I1803" s="133"/>
      <c r="J1803" s="450"/>
      <c r="K1803" s="202"/>
      <c r="L1803" s="202"/>
      <c r="M1803" s="228"/>
      <c r="N1803" s="169"/>
      <c r="O1803" s="178"/>
      <c r="P1803" s="200"/>
      <c r="Q1803" s="133"/>
      <c r="R1803" s="450"/>
      <c r="S1803" s="202"/>
      <c r="T1803" s="202"/>
      <c r="U1803" s="228"/>
      <c r="V1803" s="169"/>
      <c r="W1803" s="178"/>
      <c r="X1803" s="200"/>
      <c r="Y1803" s="133"/>
      <c r="Z1803" s="450"/>
      <c r="AA1803" s="202"/>
      <c r="AB1803" s="202"/>
      <c r="AC1803" s="175"/>
      <c r="AD1803" s="169"/>
      <c r="AE1803" s="178"/>
      <c r="AF1803" s="200"/>
      <c r="AG1803" s="133"/>
      <c r="AH1803" s="450"/>
      <c r="AI1803" s="202"/>
      <c r="AJ1803" s="202"/>
      <c r="AK1803" s="175"/>
      <c r="AL1803" s="169"/>
      <c r="AM1803" s="178"/>
      <c r="AN1803" s="200"/>
      <c r="AO1803" s="133"/>
      <c r="AP1803" s="450"/>
      <c r="AQ1803" s="202"/>
      <c r="AR1803" s="202"/>
      <c r="AS1803" s="175"/>
      <c r="AT1803" s="169"/>
      <c r="AU1803" s="178"/>
      <c r="AV1803" s="200"/>
    </row>
    <row r="1804" spans="1:48" x14ac:dyDescent="0.25">
      <c r="A1804" s="133"/>
      <c r="B1804" s="247"/>
      <c r="C1804" s="226"/>
      <c r="D1804" s="226"/>
      <c r="E1804" s="244"/>
      <c r="F1804" s="169"/>
      <c r="G1804" s="178">
        <f>+D1804*E1804*(1+F1804)</f>
        <v>0</v>
      </c>
      <c r="H1804" s="200"/>
      <c r="I1804" s="133"/>
      <c r="J1804" s="247"/>
      <c r="K1804" s="226"/>
      <c r="L1804" s="226"/>
      <c r="M1804" s="228"/>
      <c r="N1804" s="169"/>
      <c r="O1804" s="178"/>
      <c r="P1804" s="200"/>
      <c r="Q1804" s="133"/>
      <c r="R1804" s="247"/>
      <c r="S1804" s="226"/>
      <c r="T1804" s="226"/>
      <c r="U1804" s="228"/>
      <c r="V1804" s="169"/>
      <c r="W1804" s="178"/>
      <c r="X1804" s="200"/>
      <c r="Y1804" s="133"/>
      <c r="Z1804" s="247"/>
      <c r="AA1804" s="226"/>
      <c r="AB1804" s="226"/>
      <c r="AC1804" s="244"/>
      <c r="AD1804" s="169"/>
      <c r="AE1804" s="178"/>
      <c r="AF1804" s="200"/>
      <c r="AG1804" s="133"/>
      <c r="AH1804" s="247"/>
      <c r="AI1804" s="226"/>
      <c r="AJ1804" s="226"/>
      <c r="AK1804" s="244"/>
      <c r="AL1804" s="169"/>
      <c r="AM1804" s="178"/>
      <c r="AN1804" s="200"/>
      <c r="AO1804" s="133"/>
      <c r="AP1804" s="247"/>
      <c r="AQ1804" s="226"/>
      <c r="AR1804" s="226"/>
      <c r="AS1804" s="244"/>
      <c r="AT1804" s="169"/>
      <c r="AU1804" s="178"/>
      <c r="AV1804" s="200"/>
    </row>
    <row r="1805" spans="1:48" x14ac:dyDescent="0.25">
      <c r="A1805" s="133"/>
      <c r="B1805" s="194"/>
      <c r="C1805" s="226"/>
      <c r="D1805" s="226"/>
      <c r="E1805" s="171"/>
      <c r="F1805" s="169"/>
      <c r="G1805" s="178">
        <f>+D1805*E1805*(1+F1805)</f>
        <v>0</v>
      </c>
      <c r="H1805" s="200"/>
      <c r="I1805" s="133"/>
      <c r="J1805" s="194"/>
      <c r="K1805" s="226"/>
      <c r="L1805" s="226"/>
      <c r="M1805" s="176"/>
      <c r="N1805" s="169"/>
      <c r="O1805" s="178"/>
      <c r="P1805" s="200"/>
      <c r="Q1805" s="133"/>
      <c r="R1805" s="194"/>
      <c r="S1805" s="226"/>
      <c r="T1805" s="226"/>
      <c r="U1805" s="176"/>
      <c r="V1805" s="169"/>
      <c r="W1805" s="178"/>
      <c r="X1805" s="200"/>
      <c r="Y1805" s="133"/>
      <c r="Z1805" s="194"/>
      <c r="AA1805" s="226"/>
      <c r="AB1805" s="226"/>
      <c r="AC1805" s="171"/>
      <c r="AD1805" s="169"/>
      <c r="AE1805" s="178"/>
      <c r="AF1805" s="200"/>
      <c r="AG1805" s="133"/>
      <c r="AH1805" s="194"/>
      <c r="AI1805" s="226"/>
      <c r="AJ1805" s="226"/>
      <c r="AK1805" s="171"/>
      <c r="AL1805" s="169"/>
      <c r="AM1805" s="178"/>
      <c r="AN1805" s="200"/>
      <c r="AO1805" s="133"/>
      <c r="AP1805" s="194"/>
      <c r="AQ1805" s="226"/>
      <c r="AR1805" s="226"/>
      <c r="AS1805" s="171"/>
      <c r="AT1805" s="169"/>
      <c r="AU1805" s="178"/>
      <c r="AV1805" s="200"/>
    </row>
    <row r="1806" spans="1:48" x14ac:dyDescent="0.25">
      <c r="A1806" s="133"/>
      <c r="B1806" s="195"/>
      <c r="C1806" s="226"/>
      <c r="D1806" s="226"/>
      <c r="E1806" s="171"/>
      <c r="F1806" s="169"/>
      <c r="G1806" s="178"/>
      <c r="H1806" s="200"/>
      <c r="I1806" s="133"/>
      <c r="J1806" s="195"/>
      <c r="K1806" s="226"/>
      <c r="L1806" s="226"/>
      <c r="M1806" s="176"/>
      <c r="N1806" s="169"/>
      <c r="O1806" s="178"/>
      <c r="P1806" s="200"/>
      <c r="Q1806" s="133"/>
      <c r="R1806" s="195"/>
      <c r="S1806" s="226"/>
      <c r="T1806" s="226"/>
      <c r="U1806" s="176"/>
      <c r="V1806" s="169"/>
      <c r="W1806" s="178"/>
      <c r="X1806" s="200"/>
      <c r="Y1806" s="133"/>
      <c r="Z1806" s="195"/>
      <c r="AA1806" s="226"/>
      <c r="AB1806" s="226"/>
      <c r="AC1806" s="171"/>
      <c r="AD1806" s="169"/>
      <c r="AE1806" s="178"/>
      <c r="AF1806" s="200"/>
      <c r="AG1806" s="133"/>
      <c r="AH1806" s="195"/>
      <c r="AI1806" s="226"/>
      <c r="AJ1806" s="226"/>
      <c r="AK1806" s="171"/>
      <c r="AL1806" s="169"/>
      <c r="AM1806" s="178"/>
      <c r="AN1806" s="200"/>
      <c r="AO1806" s="133"/>
      <c r="AP1806" s="195"/>
      <c r="AQ1806" s="226"/>
      <c r="AR1806" s="226"/>
      <c r="AS1806" s="171"/>
      <c r="AT1806" s="169"/>
      <c r="AU1806" s="178"/>
      <c r="AV1806" s="200"/>
    </row>
    <row r="1807" spans="1:48" x14ac:dyDescent="0.25">
      <c r="A1807" s="133"/>
      <c r="B1807" s="194"/>
      <c r="C1807" s="202"/>
      <c r="D1807" s="202"/>
      <c r="E1807" s="171"/>
      <c r="F1807" s="169"/>
      <c r="G1807" s="178"/>
      <c r="H1807" s="200"/>
      <c r="I1807" s="133"/>
      <c r="J1807" s="194"/>
      <c r="K1807" s="202"/>
      <c r="L1807" s="202"/>
      <c r="M1807" s="176"/>
      <c r="N1807" s="169"/>
      <c r="O1807" s="178"/>
      <c r="P1807" s="200"/>
      <c r="Q1807" s="133"/>
      <c r="R1807" s="194"/>
      <c r="S1807" s="202"/>
      <c r="T1807" s="202"/>
      <c r="U1807" s="176"/>
      <c r="V1807" s="169"/>
      <c r="W1807" s="178"/>
      <c r="X1807" s="200"/>
      <c r="Y1807" s="133"/>
      <c r="Z1807" s="194"/>
      <c r="AA1807" s="202"/>
      <c r="AB1807" s="202"/>
      <c r="AC1807" s="171"/>
      <c r="AD1807" s="169"/>
      <c r="AE1807" s="178"/>
      <c r="AF1807" s="200"/>
      <c r="AG1807" s="133"/>
      <c r="AH1807" s="194"/>
      <c r="AI1807" s="202"/>
      <c r="AJ1807" s="202"/>
      <c r="AK1807" s="171"/>
      <c r="AL1807" s="169"/>
      <c r="AM1807" s="178"/>
      <c r="AN1807" s="200"/>
      <c r="AO1807" s="133"/>
      <c r="AP1807" s="194"/>
      <c r="AQ1807" s="202"/>
      <c r="AR1807" s="202"/>
      <c r="AS1807" s="171"/>
      <c r="AT1807" s="169"/>
      <c r="AU1807" s="178"/>
      <c r="AV1807" s="200"/>
    </row>
    <row r="1808" spans="1:48" x14ac:dyDescent="0.25">
      <c r="A1808" s="133"/>
      <c r="B1808" s="195"/>
      <c r="C1808" s="226"/>
      <c r="D1808" s="226"/>
      <c r="E1808" s="171"/>
      <c r="F1808" s="169"/>
      <c r="G1808" s="178"/>
      <c r="H1808" s="200"/>
      <c r="I1808" s="133"/>
      <c r="J1808" s="195"/>
      <c r="K1808" s="226"/>
      <c r="L1808" s="226"/>
      <c r="M1808" s="176"/>
      <c r="N1808" s="169"/>
      <c r="O1808" s="178"/>
      <c r="P1808" s="200"/>
      <c r="Q1808" s="133"/>
      <c r="R1808" s="195"/>
      <c r="S1808" s="226"/>
      <c r="T1808" s="226"/>
      <c r="U1808" s="176"/>
      <c r="V1808" s="169"/>
      <c r="W1808" s="178"/>
      <c r="X1808" s="200"/>
      <c r="Y1808" s="133"/>
      <c r="Z1808" s="195"/>
      <c r="AA1808" s="226"/>
      <c r="AB1808" s="226"/>
      <c r="AC1808" s="171"/>
      <c r="AD1808" s="169"/>
      <c r="AE1808" s="178"/>
      <c r="AF1808" s="200"/>
      <c r="AG1808" s="133"/>
      <c r="AH1808" s="195"/>
      <c r="AI1808" s="226"/>
      <c r="AJ1808" s="226"/>
      <c r="AK1808" s="171"/>
      <c r="AL1808" s="169"/>
      <c r="AM1808" s="178"/>
      <c r="AN1808" s="200"/>
      <c r="AO1808" s="133"/>
      <c r="AP1808" s="195"/>
      <c r="AQ1808" s="226"/>
      <c r="AR1808" s="226"/>
      <c r="AS1808" s="171"/>
      <c r="AT1808" s="169"/>
      <c r="AU1808" s="178"/>
      <c r="AV1808" s="200"/>
    </row>
    <row r="1809" spans="1:48" x14ac:dyDescent="0.25">
      <c r="A1809" s="133"/>
      <c r="B1809" s="195"/>
      <c r="C1809" s="226"/>
      <c r="D1809" s="226"/>
      <c r="E1809" s="171"/>
      <c r="F1809" s="169"/>
      <c r="G1809" s="178"/>
      <c r="H1809" s="200"/>
      <c r="I1809" s="133"/>
      <c r="J1809" s="195"/>
      <c r="K1809" s="226"/>
      <c r="L1809" s="226"/>
      <c r="M1809" s="176"/>
      <c r="N1809" s="169"/>
      <c r="O1809" s="178"/>
      <c r="P1809" s="200"/>
      <c r="Q1809" s="133"/>
      <c r="R1809" s="195"/>
      <c r="S1809" s="226"/>
      <c r="T1809" s="226"/>
      <c r="U1809" s="176"/>
      <c r="V1809" s="169"/>
      <c r="W1809" s="178"/>
      <c r="X1809" s="200"/>
      <c r="Y1809" s="133"/>
      <c r="Z1809" s="195"/>
      <c r="AA1809" s="226"/>
      <c r="AB1809" s="226"/>
      <c r="AC1809" s="171"/>
      <c r="AD1809" s="169"/>
      <c r="AE1809" s="178"/>
      <c r="AF1809" s="200"/>
      <c r="AG1809" s="133"/>
      <c r="AH1809" s="195"/>
      <c r="AI1809" s="226"/>
      <c r="AJ1809" s="226"/>
      <c r="AK1809" s="171"/>
      <c r="AL1809" s="169"/>
      <c r="AM1809" s="178"/>
      <c r="AN1809" s="200"/>
      <c r="AO1809" s="133"/>
      <c r="AP1809" s="195"/>
      <c r="AQ1809" s="226"/>
      <c r="AR1809" s="226"/>
      <c r="AS1809" s="171"/>
      <c r="AT1809" s="169"/>
      <c r="AU1809" s="178"/>
      <c r="AV1809" s="200"/>
    </row>
    <row r="1810" spans="1:48" x14ac:dyDescent="0.25">
      <c r="A1810" s="133"/>
      <c r="B1810" s="195"/>
      <c r="C1810" s="232"/>
      <c r="D1810" s="232"/>
      <c r="E1810" s="232"/>
      <c r="F1810" s="226"/>
      <c r="G1810" s="229"/>
      <c r="H1810" s="200"/>
      <c r="I1810" s="133"/>
      <c r="J1810" s="195"/>
      <c r="K1810" s="232"/>
      <c r="L1810" s="232"/>
      <c r="M1810" s="232"/>
      <c r="N1810" s="226"/>
      <c r="O1810" s="229"/>
      <c r="P1810" s="200"/>
      <c r="Q1810" s="133"/>
      <c r="R1810" s="195"/>
      <c r="S1810" s="232"/>
      <c r="T1810" s="232"/>
      <c r="U1810" s="232"/>
      <c r="V1810" s="226"/>
      <c r="W1810" s="229"/>
      <c r="X1810" s="200"/>
      <c r="Y1810" s="133"/>
      <c r="Z1810" s="195"/>
      <c r="AA1810" s="232"/>
      <c r="AB1810" s="232"/>
      <c r="AC1810" s="232"/>
      <c r="AD1810" s="226"/>
      <c r="AE1810" s="229"/>
      <c r="AF1810" s="200"/>
      <c r="AG1810" s="133"/>
      <c r="AH1810" s="195"/>
      <c r="AI1810" s="232"/>
      <c r="AJ1810" s="232"/>
      <c r="AK1810" s="232"/>
      <c r="AL1810" s="226"/>
      <c r="AM1810" s="229"/>
      <c r="AN1810" s="200"/>
      <c r="AO1810" s="133"/>
      <c r="AP1810" s="195"/>
      <c r="AQ1810" s="232"/>
      <c r="AR1810" s="232"/>
      <c r="AS1810" s="232"/>
      <c r="AT1810" s="226"/>
      <c r="AU1810" s="229"/>
      <c r="AV1810" s="200"/>
    </row>
    <row r="1811" spans="1:48" x14ac:dyDescent="0.25">
      <c r="A1811" s="133"/>
      <c r="B1811" s="195"/>
      <c r="C1811" s="232"/>
      <c r="D1811" s="232"/>
      <c r="E1811" s="232"/>
      <c r="F1811" s="226"/>
      <c r="G1811" s="229"/>
      <c r="H1811" s="200"/>
      <c r="I1811" s="133"/>
      <c r="J1811" s="195"/>
      <c r="K1811" s="232"/>
      <c r="L1811" s="232"/>
      <c r="M1811" s="232"/>
      <c r="N1811" s="226"/>
      <c r="O1811" s="229"/>
      <c r="P1811" s="200"/>
      <c r="Q1811" s="133"/>
      <c r="R1811" s="195"/>
      <c r="S1811" s="232"/>
      <c r="T1811" s="232"/>
      <c r="U1811" s="232"/>
      <c r="V1811" s="226"/>
      <c r="W1811" s="229"/>
      <c r="X1811" s="200"/>
      <c r="Y1811" s="133"/>
      <c r="Z1811" s="195"/>
      <c r="AA1811" s="232"/>
      <c r="AB1811" s="232"/>
      <c r="AC1811" s="232"/>
      <c r="AD1811" s="226"/>
      <c r="AE1811" s="229"/>
      <c r="AF1811" s="200"/>
      <c r="AG1811" s="133"/>
      <c r="AH1811" s="195"/>
      <c r="AI1811" s="232"/>
      <c r="AJ1811" s="232"/>
      <c r="AK1811" s="232"/>
      <c r="AL1811" s="226"/>
      <c r="AM1811" s="229"/>
      <c r="AN1811" s="200"/>
      <c r="AO1811" s="133"/>
      <c r="AP1811" s="195"/>
      <c r="AQ1811" s="232"/>
      <c r="AR1811" s="232"/>
      <c r="AS1811" s="232"/>
      <c r="AT1811" s="226"/>
      <c r="AU1811" s="229"/>
      <c r="AV1811" s="200"/>
    </row>
    <row r="1812" spans="1:48" x14ac:dyDescent="0.25">
      <c r="A1812" s="133"/>
      <c r="B1812" s="195"/>
      <c r="C1812" s="232"/>
      <c r="D1812" s="232"/>
      <c r="E1812" s="232"/>
      <c r="F1812" s="226"/>
      <c r="G1812" s="229"/>
      <c r="H1812" s="200"/>
      <c r="I1812" s="133"/>
      <c r="J1812" s="195"/>
      <c r="K1812" s="232"/>
      <c r="L1812" s="232"/>
      <c r="M1812" s="232"/>
      <c r="N1812" s="226"/>
      <c r="O1812" s="229"/>
      <c r="P1812" s="200"/>
      <c r="Q1812" s="133"/>
      <c r="R1812" s="195"/>
      <c r="S1812" s="232"/>
      <c r="T1812" s="232"/>
      <c r="U1812" s="232"/>
      <c r="V1812" s="226"/>
      <c r="W1812" s="229"/>
      <c r="X1812" s="200"/>
      <c r="Y1812" s="133"/>
      <c r="Z1812" s="195"/>
      <c r="AA1812" s="232"/>
      <c r="AB1812" s="232"/>
      <c r="AC1812" s="232"/>
      <c r="AD1812" s="226"/>
      <c r="AE1812" s="229"/>
      <c r="AF1812" s="200"/>
      <c r="AG1812" s="133"/>
      <c r="AH1812" s="195"/>
      <c r="AI1812" s="232"/>
      <c r="AJ1812" s="232"/>
      <c r="AK1812" s="232"/>
      <c r="AL1812" s="226"/>
      <c r="AM1812" s="229"/>
      <c r="AN1812" s="200"/>
      <c r="AO1812" s="133"/>
      <c r="AP1812" s="195"/>
      <c r="AQ1812" s="232"/>
      <c r="AR1812" s="232"/>
      <c r="AS1812" s="232"/>
      <c r="AT1812" s="226"/>
      <c r="AU1812" s="229"/>
      <c r="AV1812" s="200"/>
    </row>
    <row r="1813" spans="1:48" ht="15.75" thickBot="1" x14ac:dyDescent="0.3">
      <c r="A1813" s="133"/>
      <c r="B1813" s="195"/>
      <c r="C1813" s="232"/>
      <c r="D1813" s="232"/>
      <c r="E1813" s="232"/>
      <c r="F1813" s="226"/>
      <c r="G1813" s="229"/>
      <c r="H1813" s="200"/>
      <c r="I1813" s="133"/>
      <c r="J1813" s="195"/>
      <c r="K1813" s="232"/>
      <c r="L1813" s="232"/>
      <c r="M1813" s="232"/>
      <c r="N1813" s="226"/>
      <c r="O1813" s="229"/>
      <c r="P1813" s="200"/>
      <c r="Q1813" s="133"/>
      <c r="R1813" s="195"/>
      <c r="S1813" s="232"/>
      <c r="T1813" s="232"/>
      <c r="U1813" s="232"/>
      <c r="V1813" s="226"/>
      <c r="W1813" s="229"/>
      <c r="X1813" s="200"/>
      <c r="Y1813" s="133"/>
      <c r="Z1813" s="195"/>
      <c r="AA1813" s="232"/>
      <c r="AB1813" s="232"/>
      <c r="AC1813" s="232"/>
      <c r="AD1813" s="226"/>
      <c r="AE1813" s="229"/>
      <c r="AF1813" s="200"/>
      <c r="AG1813" s="133"/>
      <c r="AH1813" s="195"/>
      <c r="AI1813" s="232"/>
      <c r="AJ1813" s="232"/>
      <c r="AK1813" s="232"/>
      <c r="AL1813" s="226"/>
      <c r="AM1813" s="229"/>
      <c r="AN1813" s="200"/>
      <c r="AO1813" s="133"/>
      <c r="AP1813" s="195"/>
      <c r="AQ1813" s="232"/>
      <c r="AR1813" s="232"/>
      <c r="AS1813" s="232"/>
      <c r="AT1813" s="226"/>
      <c r="AU1813" s="229"/>
      <c r="AV1813" s="200"/>
    </row>
    <row r="1814" spans="1:48" ht="15.75" thickBot="1" x14ac:dyDescent="0.3">
      <c r="A1814" s="133"/>
      <c r="B1814" s="233"/>
      <c r="C1814" s="234"/>
      <c r="D1814" s="234"/>
      <c r="E1814" s="234"/>
      <c r="F1814" s="235"/>
      <c r="G1814" s="236"/>
      <c r="H1814" s="237">
        <f>+SUM(G1802:G1814)</f>
        <v>0</v>
      </c>
      <c r="I1814" s="133"/>
      <c r="J1814" s="233"/>
      <c r="K1814" s="234"/>
      <c r="L1814" s="234"/>
      <c r="M1814" s="234"/>
      <c r="N1814" s="235"/>
      <c r="O1814" s="236"/>
      <c r="P1814" s="237">
        <f>+SUM(O1802:O1814)</f>
        <v>0</v>
      </c>
      <c r="Q1814" s="133"/>
      <c r="R1814" s="233"/>
      <c r="S1814" s="234"/>
      <c r="T1814" s="234"/>
      <c r="U1814" s="234"/>
      <c r="V1814" s="235"/>
      <c r="W1814" s="236"/>
      <c r="X1814" s="237">
        <f>+SUM(W1802:W1814)</f>
        <v>0</v>
      </c>
      <c r="Y1814" s="133"/>
      <c r="Z1814" s="233"/>
      <c r="AA1814" s="234"/>
      <c r="AB1814" s="234"/>
      <c r="AC1814" s="234"/>
      <c r="AD1814" s="235"/>
      <c r="AE1814" s="236"/>
      <c r="AF1814" s="237">
        <f>+SUM(AE1802:AE1814)</f>
        <v>0</v>
      </c>
      <c r="AG1814" s="133"/>
      <c r="AH1814" s="233"/>
      <c r="AI1814" s="234"/>
      <c r="AJ1814" s="234"/>
      <c r="AK1814" s="234"/>
      <c r="AL1814" s="235"/>
      <c r="AM1814" s="236"/>
      <c r="AN1814" s="237">
        <f>+SUM(AM1802:AM1814)</f>
        <v>0</v>
      </c>
      <c r="AO1814" s="133"/>
      <c r="AP1814" s="233"/>
      <c r="AQ1814" s="234"/>
      <c r="AR1814" s="234"/>
      <c r="AS1814" s="234"/>
      <c r="AT1814" s="235"/>
      <c r="AU1814" s="236"/>
      <c r="AV1814" s="237">
        <f>+SUM(AU1802:AU1814)</f>
        <v>0</v>
      </c>
    </row>
    <row r="1815" spans="1:48" ht="15.75" thickBot="1" x14ac:dyDescent="0.3">
      <c r="A1815" s="133"/>
      <c r="B1815" s="238"/>
      <c r="C1815" s="238"/>
      <c r="D1815" s="238"/>
      <c r="E1815" s="238"/>
      <c r="F1815" s="239"/>
      <c r="G1815" s="240"/>
      <c r="H1815" s="241"/>
      <c r="I1815" s="133"/>
      <c r="J1815" s="238"/>
      <c r="K1815" s="238"/>
      <c r="L1815" s="238"/>
      <c r="M1815" s="238"/>
      <c r="N1815" s="239"/>
      <c r="O1815" s="240"/>
      <c r="P1815" s="241"/>
      <c r="Q1815" s="133"/>
      <c r="R1815" s="238"/>
      <c r="S1815" s="238"/>
      <c r="T1815" s="238"/>
      <c r="U1815" s="238"/>
      <c r="V1815" s="239"/>
      <c r="W1815" s="240"/>
      <c r="X1815" s="241"/>
      <c r="Y1815" s="133"/>
      <c r="Z1815" s="238"/>
      <c r="AA1815" s="238"/>
      <c r="AB1815" s="238"/>
      <c r="AC1815" s="238"/>
      <c r="AD1815" s="239"/>
      <c r="AE1815" s="240"/>
      <c r="AF1815" s="241"/>
      <c r="AG1815" s="133"/>
      <c r="AH1815" s="238"/>
      <c r="AI1815" s="238"/>
      <c r="AJ1815" s="238"/>
      <c r="AK1815" s="238"/>
      <c r="AL1815" s="239"/>
      <c r="AM1815" s="240"/>
      <c r="AN1815" s="241"/>
      <c r="AO1815" s="133"/>
      <c r="AP1815" s="238"/>
      <c r="AQ1815" s="238"/>
      <c r="AR1815" s="238"/>
      <c r="AS1815" s="238"/>
      <c r="AT1815" s="239"/>
      <c r="AU1815" s="240"/>
      <c r="AV1815" s="241"/>
    </row>
    <row r="1816" spans="1:48" ht="15.75" thickBot="1" x14ac:dyDescent="0.3">
      <c r="A1816" s="133"/>
      <c r="B1816" s="224" t="s">
        <v>5410</v>
      </c>
      <c r="C1816" s="193" t="s">
        <v>867</v>
      </c>
      <c r="D1816" s="193" t="s">
        <v>6</v>
      </c>
      <c r="E1816" s="193" t="s">
        <v>870</v>
      </c>
      <c r="F1816" s="193" t="s">
        <v>5411</v>
      </c>
      <c r="G1816" s="225" t="s">
        <v>868</v>
      </c>
      <c r="H1816" s="200"/>
      <c r="I1816" s="133"/>
      <c r="J1816" s="224" t="s">
        <v>5410</v>
      </c>
      <c r="K1816" s="193" t="s">
        <v>867</v>
      </c>
      <c r="L1816" s="193" t="s">
        <v>6</v>
      </c>
      <c r="M1816" s="193" t="s">
        <v>870</v>
      </c>
      <c r="N1816" s="193" t="s">
        <v>5411</v>
      </c>
      <c r="O1816" s="225" t="s">
        <v>868</v>
      </c>
      <c r="P1816" s="200"/>
      <c r="Q1816" s="133"/>
      <c r="R1816" s="224" t="s">
        <v>5410</v>
      </c>
      <c r="S1816" s="193" t="s">
        <v>867</v>
      </c>
      <c r="T1816" s="193" t="s">
        <v>6</v>
      </c>
      <c r="U1816" s="193" t="s">
        <v>870</v>
      </c>
      <c r="V1816" s="193" t="s">
        <v>5411</v>
      </c>
      <c r="W1816" s="225" t="s">
        <v>868</v>
      </c>
      <c r="X1816" s="200"/>
      <c r="Y1816" s="133"/>
      <c r="Z1816" s="224" t="s">
        <v>5410</v>
      </c>
      <c r="AA1816" s="193" t="s">
        <v>867</v>
      </c>
      <c r="AB1816" s="193" t="s">
        <v>6</v>
      </c>
      <c r="AC1816" s="193" t="s">
        <v>870</v>
      </c>
      <c r="AD1816" s="193" t="s">
        <v>5411</v>
      </c>
      <c r="AE1816" s="225" t="s">
        <v>868</v>
      </c>
      <c r="AF1816" s="200"/>
      <c r="AG1816" s="133"/>
      <c r="AH1816" s="224" t="s">
        <v>5410</v>
      </c>
      <c r="AI1816" s="193" t="s">
        <v>867</v>
      </c>
      <c r="AJ1816" s="193" t="s">
        <v>6</v>
      </c>
      <c r="AK1816" s="193" t="s">
        <v>870</v>
      </c>
      <c r="AL1816" s="193" t="s">
        <v>5411</v>
      </c>
      <c r="AM1816" s="225" t="s">
        <v>868</v>
      </c>
      <c r="AN1816" s="200"/>
      <c r="AO1816" s="133"/>
      <c r="AP1816" s="224" t="s">
        <v>5410</v>
      </c>
      <c r="AQ1816" s="193" t="s">
        <v>867</v>
      </c>
      <c r="AR1816" s="193" t="s">
        <v>6</v>
      </c>
      <c r="AS1816" s="193" t="s">
        <v>870</v>
      </c>
      <c r="AT1816" s="193" t="s">
        <v>5411</v>
      </c>
      <c r="AU1816" s="225" t="s">
        <v>868</v>
      </c>
      <c r="AV1816" s="200"/>
    </row>
    <row r="1817" spans="1:48" x14ac:dyDescent="0.25">
      <c r="A1817" s="133"/>
      <c r="B1817" s="245"/>
      <c r="C1817" s="202"/>
      <c r="D1817" s="202"/>
      <c r="E1817" s="175"/>
      <c r="F1817" s="202"/>
      <c r="G1817" s="203"/>
      <c r="H1817" s="246"/>
      <c r="I1817" s="133"/>
      <c r="J1817" s="245"/>
      <c r="K1817" s="202"/>
      <c r="L1817" s="202"/>
      <c r="M1817" s="175"/>
      <c r="N1817" s="202"/>
      <c r="O1817" s="203"/>
      <c r="P1817" s="246"/>
      <c r="Q1817" s="133"/>
      <c r="R1817" s="245"/>
      <c r="S1817" s="202"/>
      <c r="T1817" s="202"/>
      <c r="U1817" s="175"/>
      <c r="V1817" s="202"/>
      <c r="W1817" s="203"/>
      <c r="X1817" s="246"/>
      <c r="Y1817" s="133"/>
      <c r="Z1817" s="245"/>
      <c r="AA1817" s="202"/>
      <c r="AB1817" s="202"/>
      <c r="AC1817" s="175"/>
      <c r="AD1817" s="202"/>
      <c r="AE1817" s="203"/>
      <c r="AF1817" s="246"/>
      <c r="AG1817" s="133"/>
      <c r="AH1817" s="245"/>
      <c r="AI1817" s="202"/>
      <c r="AJ1817" s="202"/>
      <c r="AK1817" s="175"/>
      <c r="AL1817" s="202"/>
      <c r="AM1817" s="203"/>
      <c r="AN1817" s="246"/>
      <c r="AO1817" s="133"/>
      <c r="AP1817" s="245"/>
      <c r="AQ1817" s="202"/>
      <c r="AR1817" s="202"/>
      <c r="AS1817" s="175"/>
      <c r="AT1817" s="202"/>
      <c r="AU1817" s="203"/>
      <c r="AV1817" s="246"/>
    </row>
    <row r="1818" spans="1:48" x14ac:dyDescent="0.25">
      <c r="A1818" s="133"/>
      <c r="B1818" s="247"/>
      <c r="C1818" s="248"/>
      <c r="D1818" s="248"/>
      <c r="E1818" s="248"/>
      <c r="F1818" s="202"/>
      <c r="G1818" s="178"/>
      <c r="H1818" s="200"/>
      <c r="I1818" s="133"/>
      <c r="J1818" s="247"/>
      <c r="K1818" s="248"/>
      <c r="L1818" s="248"/>
      <c r="M1818" s="248"/>
      <c r="N1818" s="202"/>
      <c r="O1818" s="178"/>
      <c r="P1818" s="200"/>
      <c r="Q1818" s="133"/>
      <c r="R1818" s="247"/>
      <c r="S1818" s="248"/>
      <c r="T1818" s="248"/>
      <c r="U1818" s="248"/>
      <c r="V1818" s="202"/>
      <c r="W1818" s="178"/>
      <c r="X1818" s="200"/>
      <c r="Y1818" s="133"/>
      <c r="Z1818" s="247"/>
      <c r="AA1818" s="248"/>
      <c r="AB1818" s="248"/>
      <c r="AC1818" s="248"/>
      <c r="AD1818" s="202"/>
      <c r="AE1818" s="178"/>
      <c r="AF1818" s="200"/>
      <c r="AG1818" s="133"/>
      <c r="AH1818" s="247"/>
      <c r="AI1818" s="248"/>
      <c r="AJ1818" s="248"/>
      <c r="AK1818" s="248"/>
      <c r="AL1818" s="202"/>
      <c r="AM1818" s="178"/>
      <c r="AN1818" s="200"/>
      <c r="AO1818" s="133"/>
      <c r="AP1818" s="247"/>
      <c r="AQ1818" s="248"/>
      <c r="AR1818" s="248"/>
      <c r="AS1818" s="248"/>
      <c r="AT1818" s="202"/>
      <c r="AU1818" s="178"/>
      <c r="AV1818" s="200"/>
    </row>
    <row r="1819" spans="1:48" x14ac:dyDescent="0.25">
      <c r="A1819" s="133"/>
      <c r="B1819" s="247"/>
      <c r="C1819" s="232"/>
      <c r="D1819" s="232"/>
      <c r="E1819" s="232"/>
      <c r="F1819" s="226"/>
      <c r="G1819" s="229"/>
      <c r="H1819" s="200"/>
      <c r="I1819" s="133"/>
      <c r="J1819" s="247"/>
      <c r="K1819" s="232"/>
      <c r="L1819" s="232"/>
      <c r="M1819" s="232"/>
      <c r="N1819" s="226"/>
      <c r="O1819" s="229"/>
      <c r="P1819" s="200"/>
      <c r="Q1819" s="133"/>
      <c r="R1819" s="247"/>
      <c r="S1819" s="232"/>
      <c r="T1819" s="232"/>
      <c r="U1819" s="232"/>
      <c r="V1819" s="226"/>
      <c r="W1819" s="229"/>
      <c r="X1819" s="200"/>
      <c r="Y1819" s="133"/>
      <c r="Z1819" s="247"/>
      <c r="AA1819" s="232"/>
      <c r="AB1819" s="232"/>
      <c r="AC1819" s="232"/>
      <c r="AD1819" s="226"/>
      <c r="AE1819" s="229"/>
      <c r="AF1819" s="200"/>
      <c r="AG1819" s="133"/>
      <c r="AH1819" s="247"/>
      <c r="AI1819" s="232"/>
      <c r="AJ1819" s="232"/>
      <c r="AK1819" s="232"/>
      <c r="AL1819" s="226"/>
      <c r="AM1819" s="229"/>
      <c r="AN1819" s="200"/>
      <c r="AO1819" s="133"/>
      <c r="AP1819" s="247"/>
      <c r="AQ1819" s="232"/>
      <c r="AR1819" s="232"/>
      <c r="AS1819" s="232"/>
      <c r="AT1819" s="226"/>
      <c r="AU1819" s="229"/>
      <c r="AV1819" s="200"/>
    </row>
    <row r="1820" spans="1:48" x14ac:dyDescent="0.25">
      <c r="A1820" s="133"/>
      <c r="B1820" s="194"/>
      <c r="C1820" s="232"/>
      <c r="D1820" s="232"/>
      <c r="E1820" s="232"/>
      <c r="F1820" s="226"/>
      <c r="G1820" s="229"/>
      <c r="H1820" s="200"/>
      <c r="I1820" s="133"/>
      <c r="J1820" s="194"/>
      <c r="K1820" s="232"/>
      <c r="L1820" s="232"/>
      <c r="M1820" s="232"/>
      <c r="N1820" s="226"/>
      <c r="O1820" s="229"/>
      <c r="P1820" s="200"/>
      <c r="Q1820" s="133"/>
      <c r="R1820" s="194"/>
      <c r="S1820" s="232"/>
      <c r="T1820" s="232"/>
      <c r="U1820" s="232"/>
      <c r="V1820" s="226"/>
      <c r="W1820" s="229"/>
      <c r="X1820" s="200"/>
      <c r="Y1820" s="133"/>
      <c r="Z1820" s="194"/>
      <c r="AA1820" s="232"/>
      <c r="AB1820" s="232"/>
      <c r="AC1820" s="232"/>
      <c r="AD1820" s="226"/>
      <c r="AE1820" s="229"/>
      <c r="AF1820" s="200"/>
      <c r="AG1820" s="133"/>
      <c r="AH1820" s="194"/>
      <c r="AI1820" s="232"/>
      <c r="AJ1820" s="232"/>
      <c r="AK1820" s="232"/>
      <c r="AL1820" s="226"/>
      <c r="AM1820" s="229"/>
      <c r="AN1820" s="200"/>
      <c r="AO1820" s="133"/>
      <c r="AP1820" s="194"/>
      <c r="AQ1820" s="232"/>
      <c r="AR1820" s="232"/>
      <c r="AS1820" s="232"/>
      <c r="AT1820" s="226"/>
      <c r="AU1820" s="229"/>
      <c r="AV1820" s="200"/>
    </row>
    <row r="1821" spans="1:48" ht="15.75" thickBot="1" x14ac:dyDescent="0.3">
      <c r="A1821" s="133"/>
      <c r="B1821" s="195"/>
      <c r="C1821" s="232"/>
      <c r="D1821" s="232"/>
      <c r="E1821" s="232"/>
      <c r="F1821" s="226"/>
      <c r="G1821" s="229"/>
      <c r="H1821" s="200"/>
      <c r="I1821" s="133"/>
      <c r="J1821" s="195"/>
      <c r="K1821" s="232"/>
      <c r="L1821" s="232"/>
      <c r="M1821" s="232"/>
      <c r="N1821" s="226"/>
      <c r="O1821" s="229"/>
      <c r="P1821" s="200"/>
      <c r="Q1821" s="133"/>
      <c r="R1821" s="195"/>
      <c r="S1821" s="232"/>
      <c r="T1821" s="232"/>
      <c r="U1821" s="232"/>
      <c r="V1821" s="226"/>
      <c r="W1821" s="229"/>
      <c r="X1821" s="200"/>
      <c r="Y1821" s="133"/>
      <c r="Z1821" s="195"/>
      <c r="AA1821" s="232"/>
      <c r="AB1821" s="232"/>
      <c r="AC1821" s="232"/>
      <c r="AD1821" s="226"/>
      <c r="AE1821" s="229"/>
      <c r="AF1821" s="200"/>
      <c r="AG1821" s="133"/>
      <c r="AH1821" s="195"/>
      <c r="AI1821" s="232"/>
      <c r="AJ1821" s="232"/>
      <c r="AK1821" s="232"/>
      <c r="AL1821" s="226"/>
      <c r="AM1821" s="229"/>
      <c r="AN1821" s="200"/>
      <c r="AO1821" s="133"/>
      <c r="AP1821" s="195"/>
      <c r="AQ1821" s="232"/>
      <c r="AR1821" s="232"/>
      <c r="AS1821" s="232"/>
      <c r="AT1821" s="226"/>
      <c r="AU1821" s="229"/>
      <c r="AV1821" s="200"/>
    </row>
    <row r="1822" spans="1:48" ht="15.75" thickBot="1" x14ac:dyDescent="0.3">
      <c r="A1822" s="133"/>
      <c r="B1822" s="233"/>
      <c r="C1822" s="234"/>
      <c r="D1822" s="234"/>
      <c r="E1822" s="234"/>
      <c r="F1822" s="235"/>
      <c r="G1822" s="236"/>
      <c r="H1822" s="237">
        <f>+SUM(G1817:G1822)</f>
        <v>0</v>
      </c>
      <c r="I1822" s="133"/>
      <c r="J1822" s="233"/>
      <c r="K1822" s="234"/>
      <c r="L1822" s="234"/>
      <c r="M1822" s="234"/>
      <c r="N1822" s="235"/>
      <c r="O1822" s="236"/>
      <c r="P1822" s="237">
        <f>+SUM(O1817:O1822)</f>
        <v>0</v>
      </c>
      <c r="Q1822" s="133"/>
      <c r="R1822" s="233"/>
      <c r="S1822" s="234"/>
      <c r="T1822" s="234"/>
      <c r="U1822" s="234"/>
      <c r="V1822" s="235"/>
      <c r="W1822" s="236"/>
      <c r="X1822" s="237">
        <f>+SUM(W1817:W1822)</f>
        <v>0</v>
      </c>
      <c r="Y1822" s="133"/>
      <c r="Z1822" s="233"/>
      <c r="AA1822" s="234"/>
      <c r="AB1822" s="234"/>
      <c r="AC1822" s="234"/>
      <c r="AD1822" s="235"/>
      <c r="AE1822" s="236"/>
      <c r="AF1822" s="237">
        <f>+SUM(AE1817:AE1822)</f>
        <v>0</v>
      </c>
      <c r="AG1822" s="133"/>
      <c r="AH1822" s="233"/>
      <c r="AI1822" s="234"/>
      <c r="AJ1822" s="234"/>
      <c r="AK1822" s="234"/>
      <c r="AL1822" s="235"/>
      <c r="AM1822" s="236"/>
      <c r="AN1822" s="237">
        <f>+SUM(AM1817:AM1822)</f>
        <v>0</v>
      </c>
      <c r="AO1822" s="133"/>
      <c r="AP1822" s="233"/>
      <c r="AQ1822" s="234"/>
      <c r="AR1822" s="234"/>
      <c r="AS1822" s="234"/>
      <c r="AT1822" s="235"/>
      <c r="AU1822" s="236"/>
      <c r="AV1822" s="237">
        <f>+SUM(AU1817:AU1822)</f>
        <v>0</v>
      </c>
    </row>
    <row r="1823" spans="1:48" ht="15.75" thickBot="1" x14ac:dyDescent="0.3">
      <c r="A1823" s="133"/>
      <c r="B1823" s="238"/>
      <c r="C1823" s="238"/>
      <c r="D1823" s="238"/>
      <c r="E1823" s="238"/>
      <c r="F1823" s="249"/>
      <c r="G1823" s="250"/>
      <c r="H1823" s="241"/>
      <c r="I1823" s="133"/>
      <c r="J1823" s="238"/>
      <c r="K1823" s="238"/>
      <c r="L1823" s="238"/>
      <c r="M1823" s="238"/>
      <c r="N1823" s="249"/>
      <c r="O1823" s="250"/>
      <c r="P1823" s="241"/>
      <c r="Q1823" s="133"/>
      <c r="R1823" s="238"/>
      <c r="S1823" s="238"/>
      <c r="T1823" s="238"/>
      <c r="U1823" s="238"/>
      <c r="V1823" s="249"/>
      <c r="W1823" s="250"/>
      <c r="X1823" s="241"/>
      <c r="Y1823" s="133"/>
      <c r="Z1823" s="238"/>
      <c r="AA1823" s="238"/>
      <c r="AB1823" s="238"/>
      <c r="AC1823" s="238"/>
      <c r="AD1823" s="249"/>
      <c r="AE1823" s="250"/>
      <c r="AF1823" s="241"/>
      <c r="AG1823" s="133"/>
      <c r="AH1823" s="238"/>
      <c r="AI1823" s="238"/>
      <c r="AJ1823" s="238"/>
      <c r="AK1823" s="238"/>
      <c r="AL1823" s="249"/>
      <c r="AM1823" s="250"/>
      <c r="AN1823" s="241"/>
      <c r="AO1823" s="133"/>
      <c r="AP1823" s="238"/>
      <c r="AQ1823" s="238"/>
      <c r="AR1823" s="238"/>
      <c r="AS1823" s="238"/>
      <c r="AT1823" s="249"/>
      <c r="AU1823" s="250"/>
      <c r="AV1823" s="241"/>
    </row>
    <row r="1824" spans="1:48" ht="15.75" thickBot="1" x14ac:dyDescent="0.3">
      <c r="A1824" s="133"/>
      <c r="B1824" s="224" t="s">
        <v>5412</v>
      </c>
      <c r="C1824" s="193" t="s">
        <v>5420</v>
      </c>
      <c r="D1824" s="193" t="s">
        <v>5421</v>
      </c>
      <c r="E1824" s="193" t="s">
        <v>5413</v>
      </c>
      <c r="F1824" s="193" t="s">
        <v>5405</v>
      </c>
      <c r="G1824" s="225" t="s">
        <v>868</v>
      </c>
      <c r="H1824" s="200"/>
      <c r="I1824" s="133"/>
      <c r="J1824" s="224" t="s">
        <v>5412</v>
      </c>
      <c r="K1824" s="193" t="s">
        <v>5420</v>
      </c>
      <c r="L1824" s="193" t="s">
        <v>5421</v>
      </c>
      <c r="M1824" s="193" t="s">
        <v>5413</v>
      </c>
      <c r="N1824" s="193" t="s">
        <v>5405</v>
      </c>
      <c r="O1824" s="225" t="s">
        <v>868</v>
      </c>
      <c r="P1824" s="200"/>
      <c r="Q1824" s="133"/>
      <c r="R1824" s="224" t="s">
        <v>5412</v>
      </c>
      <c r="S1824" s="193" t="s">
        <v>5420</v>
      </c>
      <c r="T1824" s="193" t="s">
        <v>5421</v>
      </c>
      <c r="U1824" s="193" t="s">
        <v>5413</v>
      </c>
      <c r="V1824" s="193" t="s">
        <v>5405</v>
      </c>
      <c r="W1824" s="225" t="s">
        <v>868</v>
      </c>
      <c r="X1824" s="200"/>
      <c r="Y1824" s="133"/>
      <c r="Z1824" s="224" t="s">
        <v>5412</v>
      </c>
      <c r="AA1824" s="193" t="s">
        <v>5420</v>
      </c>
      <c r="AB1824" s="193" t="s">
        <v>5421</v>
      </c>
      <c r="AC1824" s="193" t="s">
        <v>5413</v>
      </c>
      <c r="AD1824" s="193" t="s">
        <v>5405</v>
      </c>
      <c r="AE1824" s="225" t="s">
        <v>868</v>
      </c>
      <c r="AF1824" s="200"/>
      <c r="AG1824" s="133"/>
      <c r="AH1824" s="224" t="s">
        <v>5412</v>
      </c>
      <c r="AI1824" s="193" t="s">
        <v>5420</v>
      </c>
      <c r="AJ1824" s="193" t="s">
        <v>5421</v>
      </c>
      <c r="AK1824" s="193" t="s">
        <v>5413</v>
      </c>
      <c r="AL1824" s="193" t="s">
        <v>5405</v>
      </c>
      <c r="AM1824" s="225" t="s">
        <v>868</v>
      </c>
      <c r="AN1824" s="200"/>
      <c r="AO1824" s="133"/>
      <c r="AP1824" s="224" t="s">
        <v>5412</v>
      </c>
      <c r="AQ1824" s="193" t="s">
        <v>5420</v>
      </c>
      <c r="AR1824" s="193" t="s">
        <v>5421</v>
      </c>
      <c r="AS1824" s="193" t="s">
        <v>5413</v>
      </c>
      <c r="AT1824" s="193" t="s">
        <v>5405</v>
      </c>
      <c r="AU1824" s="225" t="s">
        <v>868</v>
      </c>
      <c r="AV1824" s="200"/>
    </row>
    <row r="1825" spans="1:50" x14ac:dyDescent="0.25">
      <c r="A1825" s="133"/>
      <c r="B1825" s="194" t="s">
        <v>5948</v>
      </c>
      <c r="C1825" s="345">
        <v>70000</v>
      </c>
      <c r="D1825" s="176">
        <f>+C1825*0.85</f>
        <v>59500</v>
      </c>
      <c r="E1825" s="176">
        <f>+C1825+D1825</f>
        <v>129500</v>
      </c>
      <c r="F1825" s="202">
        <v>20</v>
      </c>
      <c r="G1825" s="178">
        <f>+E1825/F1825</f>
        <v>6475</v>
      </c>
      <c r="H1825" s="200"/>
      <c r="I1825" s="133"/>
      <c r="J1825" s="194" t="s">
        <v>5948</v>
      </c>
      <c r="K1825" s="345">
        <v>70000</v>
      </c>
      <c r="L1825" s="176">
        <f>+K1825*0.85</f>
        <v>59500</v>
      </c>
      <c r="M1825" s="175">
        <f>+K1825+L1825</f>
        <v>129500</v>
      </c>
      <c r="N1825" s="202">
        <v>20</v>
      </c>
      <c r="O1825" s="178">
        <f>+M1825/N1825</f>
        <v>6475</v>
      </c>
      <c r="P1825" s="200"/>
      <c r="Q1825" s="133"/>
      <c r="R1825" s="194" t="s">
        <v>5948</v>
      </c>
      <c r="S1825" s="345">
        <v>70000</v>
      </c>
      <c r="T1825" s="176">
        <f>+S1825*0.85</f>
        <v>59500</v>
      </c>
      <c r="U1825" s="175">
        <f>+S1825+T1825</f>
        <v>129500</v>
      </c>
      <c r="V1825" s="202">
        <v>20</v>
      </c>
      <c r="W1825" s="178">
        <f>+U1825/V1825</f>
        <v>6475</v>
      </c>
      <c r="X1825" s="200"/>
      <c r="Y1825" s="133"/>
      <c r="Z1825" s="194" t="s">
        <v>5948</v>
      </c>
      <c r="AA1825" s="345">
        <v>70000</v>
      </c>
      <c r="AB1825" s="176">
        <f>+AA1825*0.85</f>
        <v>59500</v>
      </c>
      <c r="AC1825" s="176">
        <f>+AA1825+AB1825</f>
        <v>129500</v>
      </c>
      <c r="AD1825" s="202">
        <v>20</v>
      </c>
      <c r="AE1825" s="178">
        <f>AC1825/AD1825</f>
        <v>6475</v>
      </c>
      <c r="AF1825" s="200"/>
      <c r="AG1825" s="133"/>
      <c r="AH1825" s="194" t="s">
        <v>5948</v>
      </c>
      <c r="AI1825" s="345">
        <v>70000</v>
      </c>
      <c r="AJ1825" s="176">
        <f>+AI1825*0.85</f>
        <v>59500</v>
      </c>
      <c r="AK1825" s="176">
        <f>+AI1825+AJ1825</f>
        <v>129500</v>
      </c>
      <c r="AL1825" s="202">
        <v>20</v>
      </c>
      <c r="AM1825" s="178">
        <f>AK1825/AL1825</f>
        <v>6475</v>
      </c>
      <c r="AN1825" s="200"/>
      <c r="AO1825" s="133"/>
      <c r="AP1825" s="194" t="s">
        <v>5948</v>
      </c>
      <c r="AQ1825" s="345">
        <v>70000</v>
      </c>
      <c r="AR1825" s="176">
        <f>+AQ1825*0.85</f>
        <v>59500</v>
      </c>
      <c r="AS1825" s="176">
        <f>+AQ1825+AR1825</f>
        <v>129500</v>
      </c>
      <c r="AT1825" s="202">
        <v>20</v>
      </c>
      <c r="AU1825" s="178">
        <f>AS1825/AT1825</f>
        <v>6475</v>
      </c>
      <c r="AV1825" s="200"/>
    </row>
    <row r="1826" spans="1:50" x14ac:dyDescent="0.25">
      <c r="A1826" s="133"/>
      <c r="B1826" s="194" t="s">
        <v>5651</v>
      </c>
      <c r="C1826" s="345">
        <v>40000</v>
      </c>
      <c r="D1826" s="176">
        <f>+C1826*0.85</f>
        <v>34000</v>
      </c>
      <c r="E1826" s="176">
        <f>+C1826+D1826</f>
        <v>74000</v>
      </c>
      <c r="F1826" s="202">
        <v>2</v>
      </c>
      <c r="G1826" s="178">
        <f>+E1826/F1826</f>
        <v>37000</v>
      </c>
      <c r="H1826" s="200"/>
      <c r="I1826" s="133"/>
      <c r="J1826" s="194" t="s">
        <v>5651</v>
      </c>
      <c r="K1826" s="345">
        <v>40000</v>
      </c>
      <c r="L1826" s="176">
        <f>+K1826*0.85</f>
        <v>34000</v>
      </c>
      <c r="M1826" s="175">
        <f>+K1826+L1826</f>
        <v>74000</v>
      </c>
      <c r="N1826" s="202">
        <v>2</v>
      </c>
      <c r="O1826" s="178">
        <f>+M1826/N1826</f>
        <v>37000</v>
      </c>
      <c r="P1826" s="200"/>
      <c r="Q1826" s="133"/>
      <c r="R1826" s="194" t="s">
        <v>5651</v>
      </c>
      <c r="S1826" s="345">
        <v>40000</v>
      </c>
      <c r="T1826" s="176">
        <f>+S1826*0.85</f>
        <v>34000</v>
      </c>
      <c r="U1826" s="175">
        <f>+S1826+T1826</f>
        <v>74000</v>
      </c>
      <c r="V1826" s="202">
        <v>1.8</v>
      </c>
      <c r="W1826" s="178">
        <f>+U1826/V1826</f>
        <v>41111.111111111109</v>
      </c>
      <c r="X1826" s="200"/>
      <c r="Y1826" s="133"/>
      <c r="Z1826" s="194" t="s">
        <v>5651</v>
      </c>
      <c r="AA1826" s="345">
        <v>40000</v>
      </c>
      <c r="AB1826" s="176">
        <f>+AA1826*0.85</f>
        <v>34000</v>
      </c>
      <c r="AC1826" s="176">
        <f>+AA1826+AB1826</f>
        <v>74000</v>
      </c>
      <c r="AD1826" s="202">
        <v>1.5</v>
      </c>
      <c r="AE1826" s="178">
        <f>AC1826/AD1826</f>
        <v>49333.333333333336</v>
      </c>
      <c r="AF1826" s="200"/>
      <c r="AG1826" s="133"/>
      <c r="AH1826" s="194" t="s">
        <v>5651</v>
      </c>
      <c r="AI1826" s="345">
        <v>40000</v>
      </c>
      <c r="AJ1826" s="176">
        <f>+AI1826*0.85</f>
        <v>34000</v>
      </c>
      <c r="AK1826" s="176">
        <f>+AI1826+AJ1826</f>
        <v>74000</v>
      </c>
      <c r="AL1826" s="202">
        <v>1.2</v>
      </c>
      <c r="AM1826" s="178">
        <f>AK1826/AL1826</f>
        <v>61666.666666666672</v>
      </c>
      <c r="AN1826" s="200"/>
      <c r="AO1826" s="133"/>
      <c r="AP1826" s="194" t="s">
        <v>5651</v>
      </c>
      <c r="AQ1826" s="345">
        <v>40000</v>
      </c>
      <c r="AR1826" s="176">
        <f>+AQ1826*0.85</f>
        <v>34000</v>
      </c>
      <c r="AS1826" s="176">
        <f>+AQ1826+AR1826</f>
        <v>74000</v>
      </c>
      <c r="AT1826" s="202">
        <v>1</v>
      </c>
      <c r="AU1826" s="178">
        <f>AS1826/AT1826</f>
        <v>74000</v>
      </c>
      <c r="AV1826" s="200"/>
    </row>
    <row r="1827" spans="1:50" x14ac:dyDescent="0.25">
      <c r="A1827" s="133"/>
      <c r="B1827" s="195" t="s">
        <v>5635</v>
      </c>
      <c r="C1827" s="345">
        <v>20600</v>
      </c>
      <c r="D1827" s="176">
        <f>+C1827*0.85</f>
        <v>17510</v>
      </c>
      <c r="E1827" s="176">
        <f>+C1827+D1827</f>
        <v>38110</v>
      </c>
      <c r="F1827" s="226">
        <v>2</v>
      </c>
      <c r="G1827" s="178">
        <f>+E1827/F1827</f>
        <v>19055</v>
      </c>
      <c r="H1827" s="200"/>
      <c r="I1827" s="133"/>
      <c r="J1827" s="195" t="s">
        <v>5635</v>
      </c>
      <c r="K1827" s="345">
        <v>20600</v>
      </c>
      <c r="L1827" s="176">
        <f>+K1827*0.85</f>
        <v>17510</v>
      </c>
      <c r="M1827" s="175">
        <f>+K1827+L1827</f>
        <v>38110</v>
      </c>
      <c r="N1827" s="226">
        <v>2</v>
      </c>
      <c r="O1827" s="178">
        <f>+M1827/N1827</f>
        <v>19055</v>
      </c>
      <c r="P1827" s="200"/>
      <c r="Q1827" s="133"/>
      <c r="R1827" s="195" t="s">
        <v>5635</v>
      </c>
      <c r="S1827" s="345">
        <v>20600</v>
      </c>
      <c r="T1827" s="176">
        <f>+S1827*0.85</f>
        <v>17510</v>
      </c>
      <c r="U1827" s="175">
        <f>+S1827+T1827</f>
        <v>38110</v>
      </c>
      <c r="V1827" s="226">
        <v>1.8</v>
      </c>
      <c r="W1827" s="178">
        <f>+U1827/V1827</f>
        <v>21172.222222222223</v>
      </c>
      <c r="X1827" s="200"/>
      <c r="Y1827" s="133"/>
      <c r="Z1827" s="195" t="s">
        <v>5635</v>
      </c>
      <c r="AA1827" s="345">
        <v>20600</v>
      </c>
      <c r="AB1827" s="176">
        <f>+AA1827*0.85</f>
        <v>17510</v>
      </c>
      <c r="AC1827" s="176">
        <f>+AA1827+AB1827</f>
        <v>38110</v>
      </c>
      <c r="AD1827" s="226">
        <v>1.5</v>
      </c>
      <c r="AE1827" s="178">
        <f>AC1827/AD1827</f>
        <v>25406.666666666668</v>
      </c>
      <c r="AF1827" s="200"/>
      <c r="AG1827" s="133"/>
      <c r="AH1827" s="195" t="s">
        <v>5635</v>
      </c>
      <c r="AI1827" s="345">
        <v>20600</v>
      </c>
      <c r="AJ1827" s="176">
        <f>+AI1827*0.85</f>
        <v>17510</v>
      </c>
      <c r="AK1827" s="176">
        <f>+AI1827+AJ1827</f>
        <v>38110</v>
      </c>
      <c r="AL1827" s="226">
        <v>1.2</v>
      </c>
      <c r="AM1827" s="178">
        <f>AK1827/AL1827</f>
        <v>31758.333333333336</v>
      </c>
      <c r="AN1827" s="200"/>
      <c r="AO1827" s="133"/>
      <c r="AP1827" s="195" t="s">
        <v>5635</v>
      </c>
      <c r="AQ1827" s="345">
        <v>20600</v>
      </c>
      <c r="AR1827" s="176">
        <f>+AQ1827*0.85</f>
        <v>17510</v>
      </c>
      <c r="AS1827" s="176">
        <f>+AQ1827+AR1827</f>
        <v>38110</v>
      </c>
      <c r="AT1827" s="226">
        <v>1</v>
      </c>
      <c r="AU1827" s="178">
        <f>AS1827/AT1827</f>
        <v>38110</v>
      </c>
      <c r="AV1827" s="200"/>
    </row>
    <row r="1828" spans="1:50" x14ac:dyDescent="0.25">
      <c r="A1828" s="133"/>
      <c r="B1828" s="195"/>
      <c r="C1828" s="171"/>
      <c r="D1828" s="176"/>
      <c r="E1828" s="176"/>
      <c r="F1828" s="226"/>
      <c r="G1828" s="178"/>
      <c r="H1828" s="200"/>
      <c r="I1828" s="133"/>
      <c r="J1828" s="195"/>
      <c r="K1828" s="171"/>
      <c r="L1828" s="176"/>
      <c r="M1828" s="176"/>
      <c r="N1828" s="226"/>
      <c r="O1828" s="178"/>
      <c r="P1828" s="200"/>
      <c r="Q1828" s="133"/>
      <c r="R1828" s="195"/>
      <c r="S1828" s="171"/>
      <c r="T1828" s="176"/>
      <c r="U1828" s="176"/>
      <c r="V1828" s="226"/>
      <c r="W1828" s="178"/>
      <c r="X1828" s="200"/>
      <c r="Y1828" s="133"/>
      <c r="Z1828" s="195"/>
      <c r="AA1828" s="171"/>
      <c r="AB1828" s="176"/>
      <c r="AC1828" s="176"/>
      <c r="AD1828" s="226"/>
      <c r="AE1828" s="178"/>
      <c r="AF1828" s="200"/>
      <c r="AG1828" s="133"/>
      <c r="AH1828" s="195"/>
      <c r="AI1828" s="171"/>
      <c r="AJ1828" s="176"/>
      <c r="AK1828" s="176"/>
      <c r="AL1828" s="226"/>
      <c r="AM1828" s="178"/>
      <c r="AN1828" s="200"/>
      <c r="AO1828" s="133"/>
      <c r="AP1828" s="195"/>
      <c r="AQ1828" s="171"/>
      <c r="AR1828" s="176"/>
      <c r="AS1828" s="176"/>
      <c r="AT1828" s="226"/>
      <c r="AU1828" s="178"/>
      <c r="AV1828" s="200"/>
    </row>
    <row r="1829" spans="1:50" x14ac:dyDescent="0.25">
      <c r="A1829" s="133"/>
      <c r="B1829" s="195"/>
      <c r="C1829" s="232"/>
      <c r="D1829" s="232"/>
      <c r="E1829" s="232"/>
      <c r="F1829" s="226"/>
      <c r="G1829" s="229"/>
      <c r="H1829" s="200"/>
      <c r="I1829" s="133"/>
      <c r="J1829" s="195"/>
      <c r="K1829" s="232"/>
      <c r="L1829" s="232"/>
      <c r="M1829" s="232"/>
      <c r="N1829" s="226"/>
      <c r="O1829" s="229"/>
      <c r="P1829" s="200"/>
      <c r="Q1829" s="133"/>
      <c r="R1829" s="195"/>
      <c r="S1829" s="232"/>
      <c r="T1829" s="232"/>
      <c r="U1829" s="232"/>
      <c r="V1829" s="226"/>
      <c r="W1829" s="229"/>
      <c r="X1829" s="200"/>
      <c r="Y1829" s="133"/>
      <c r="Z1829" s="195"/>
      <c r="AA1829" s="232"/>
      <c r="AB1829" s="232"/>
      <c r="AC1829" s="232"/>
      <c r="AD1829" s="226"/>
      <c r="AE1829" s="229"/>
      <c r="AF1829" s="200"/>
      <c r="AG1829" s="133"/>
      <c r="AH1829" s="195"/>
      <c r="AI1829" s="232"/>
      <c r="AJ1829" s="232"/>
      <c r="AK1829" s="232"/>
      <c r="AL1829" s="226"/>
      <c r="AM1829" s="229"/>
      <c r="AN1829" s="200"/>
      <c r="AO1829" s="133"/>
      <c r="AP1829" s="195"/>
      <c r="AQ1829" s="232"/>
      <c r="AR1829" s="232"/>
      <c r="AS1829" s="232"/>
      <c r="AT1829" s="226"/>
      <c r="AU1829" s="229"/>
      <c r="AV1829" s="200"/>
    </row>
    <row r="1830" spans="1:50" ht="15.75" thickBot="1" x14ac:dyDescent="0.3">
      <c r="A1830" s="133"/>
      <c r="B1830" s="195"/>
      <c r="C1830" s="232"/>
      <c r="D1830" s="232"/>
      <c r="E1830" s="232"/>
      <c r="F1830" s="226"/>
      <c r="G1830" s="229"/>
      <c r="H1830" s="200"/>
      <c r="I1830" s="133"/>
      <c r="J1830" s="195"/>
      <c r="K1830" s="232"/>
      <c r="L1830" s="232"/>
      <c r="M1830" s="232"/>
      <c r="N1830" s="226"/>
      <c r="O1830" s="229"/>
      <c r="P1830" s="200"/>
      <c r="Q1830" s="133"/>
      <c r="R1830" s="195"/>
      <c r="S1830" s="232"/>
      <c r="T1830" s="232"/>
      <c r="U1830" s="232"/>
      <c r="V1830" s="226"/>
      <c r="W1830" s="229"/>
      <c r="X1830" s="200"/>
      <c r="Y1830" s="133"/>
      <c r="Z1830" s="195"/>
      <c r="AA1830" s="232"/>
      <c r="AB1830" s="232"/>
      <c r="AC1830" s="232"/>
      <c r="AD1830" s="226"/>
      <c r="AE1830" s="229"/>
      <c r="AF1830" s="200"/>
      <c r="AG1830" s="133"/>
      <c r="AH1830" s="195"/>
      <c r="AI1830" s="232"/>
      <c r="AJ1830" s="232"/>
      <c r="AK1830" s="232"/>
      <c r="AL1830" s="226"/>
      <c r="AM1830" s="229"/>
      <c r="AN1830" s="200"/>
      <c r="AO1830" s="133"/>
      <c r="AP1830" s="195"/>
      <c r="AQ1830" s="232"/>
      <c r="AR1830" s="232"/>
      <c r="AS1830" s="232"/>
      <c r="AT1830" s="226"/>
      <c r="AU1830" s="229"/>
      <c r="AV1830" s="200"/>
    </row>
    <row r="1831" spans="1:50" ht="15.75" thickBot="1" x14ac:dyDescent="0.3">
      <c r="A1831" s="133"/>
      <c r="B1831" s="251"/>
      <c r="C1831" s="252"/>
      <c r="D1831" s="252"/>
      <c r="E1831" s="252"/>
      <c r="F1831" s="253"/>
      <c r="G1831" s="254"/>
      <c r="H1831" s="237">
        <f>+SUM(G1825:G1831)</f>
        <v>62530</v>
      </c>
      <c r="I1831" s="133"/>
      <c r="J1831" s="251"/>
      <c r="K1831" s="252"/>
      <c r="L1831" s="252"/>
      <c r="M1831" s="252"/>
      <c r="N1831" s="253"/>
      <c r="O1831" s="254"/>
      <c r="P1831" s="237">
        <f>+SUM(O1825:O1831)</f>
        <v>62530</v>
      </c>
      <c r="Q1831" s="133"/>
      <c r="R1831" s="251"/>
      <c r="S1831" s="252"/>
      <c r="T1831" s="252"/>
      <c r="U1831" s="252"/>
      <c r="V1831" s="253"/>
      <c r="W1831" s="254"/>
      <c r="X1831" s="237">
        <f>+SUM(W1825:W1831)</f>
        <v>68758.333333333328</v>
      </c>
      <c r="Y1831" s="133"/>
      <c r="Z1831" s="251"/>
      <c r="AA1831" s="252"/>
      <c r="AB1831" s="252"/>
      <c r="AC1831" s="252"/>
      <c r="AD1831" s="253"/>
      <c r="AE1831" s="254"/>
      <c r="AF1831" s="237">
        <f>+SUM(AE1825:AE1831)</f>
        <v>81215</v>
      </c>
      <c r="AG1831" s="133"/>
      <c r="AH1831" s="251"/>
      <c r="AI1831" s="252"/>
      <c r="AJ1831" s="252"/>
      <c r="AK1831" s="252"/>
      <c r="AL1831" s="253"/>
      <c r="AM1831" s="254"/>
      <c r="AN1831" s="237">
        <f>+SUM(AM1825:AM1831)</f>
        <v>99900</v>
      </c>
      <c r="AO1831" s="133"/>
      <c r="AP1831" s="251"/>
      <c r="AQ1831" s="252"/>
      <c r="AR1831" s="252"/>
      <c r="AS1831" s="252"/>
      <c r="AT1831" s="253"/>
      <c r="AU1831" s="254"/>
      <c r="AV1831" s="237">
        <f>+SUM(AU1825:AU1831)</f>
        <v>118585</v>
      </c>
    </row>
    <row r="1832" spans="1:50" ht="15.75" thickBot="1" x14ac:dyDescent="0.3">
      <c r="A1832" s="133"/>
      <c r="B1832" s="8"/>
      <c r="C1832" s="8"/>
      <c r="D1832" s="8"/>
      <c r="E1832" s="8"/>
      <c r="F1832" s="133"/>
      <c r="G1832" s="200"/>
      <c r="H1832" s="200"/>
      <c r="I1832" s="133"/>
      <c r="J1832" s="8"/>
      <c r="K1832" s="8"/>
      <c r="L1832" s="8"/>
      <c r="M1832" s="8"/>
      <c r="N1832" s="133"/>
      <c r="O1832" s="200"/>
      <c r="P1832" s="200"/>
      <c r="Q1832" s="133"/>
      <c r="R1832" s="8"/>
      <c r="S1832" s="8"/>
      <c r="T1832" s="8"/>
      <c r="U1832" s="8"/>
      <c r="V1832" s="133"/>
      <c r="W1832" s="200"/>
      <c r="X1832" s="200"/>
      <c r="Y1832" s="133"/>
      <c r="Z1832" s="8"/>
      <c r="AA1832" s="8"/>
      <c r="AB1832" s="8"/>
      <c r="AC1832" s="8"/>
      <c r="AD1832" s="133"/>
      <c r="AE1832" s="200"/>
      <c r="AF1832" s="200"/>
      <c r="AG1832" s="133"/>
      <c r="AH1832" s="8"/>
      <c r="AI1832" s="8"/>
      <c r="AJ1832" s="8"/>
      <c r="AK1832" s="8"/>
      <c r="AL1832" s="133"/>
      <c r="AM1832" s="200"/>
      <c r="AN1832" s="200"/>
      <c r="AO1832" s="133"/>
      <c r="AP1832" s="8"/>
      <c r="AQ1832" s="8"/>
      <c r="AR1832" s="8"/>
      <c r="AS1832" s="8"/>
      <c r="AT1832" s="133"/>
      <c r="AU1832" s="200"/>
      <c r="AV1832" s="200"/>
    </row>
    <row r="1833" spans="1:50" ht="15.75" thickBot="1" x14ac:dyDescent="0.3">
      <c r="A1833" s="133"/>
      <c r="B1833" s="8"/>
      <c r="C1833" s="8"/>
      <c r="D1833" s="8"/>
      <c r="E1833" s="223" t="s">
        <v>5415</v>
      </c>
      <c r="F1833" s="133"/>
      <c r="G1833" s="200"/>
      <c r="H1833" s="237">
        <f>+H1831+H1822+H1814+H1799</f>
        <v>77036</v>
      </c>
      <c r="I1833" s="133"/>
      <c r="J1833" s="8"/>
      <c r="K1833" s="8"/>
      <c r="L1833" s="8"/>
      <c r="M1833" s="223" t="s">
        <v>5415</v>
      </c>
      <c r="N1833" s="223"/>
      <c r="O1833" s="200"/>
      <c r="P1833" s="237">
        <f>+P1831+P1822+P1814+P1799</f>
        <v>79036</v>
      </c>
      <c r="Q1833" s="133"/>
      <c r="R1833" s="8"/>
      <c r="S1833" s="8"/>
      <c r="T1833" s="223" t="s">
        <v>5415</v>
      </c>
      <c r="U1833" s="223"/>
      <c r="V1833" s="133"/>
      <c r="W1833" s="200"/>
      <c r="X1833" s="237">
        <f>+X1831+X1822+X1814+X1799</f>
        <v>87510</v>
      </c>
      <c r="Y1833" s="133"/>
      <c r="Z1833" s="8"/>
      <c r="AA1833" s="8"/>
      <c r="AB1833" s="8"/>
      <c r="AC1833" s="223" t="s">
        <v>5415</v>
      </c>
      <c r="AD1833" s="133"/>
      <c r="AE1833" s="200"/>
      <c r="AF1833" s="237">
        <f>+AF1831+AF1822+AF1814+AF1799</f>
        <v>103458</v>
      </c>
      <c r="AG1833" s="133"/>
      <c r="AH1833" s="8"/>
      <c r="AI1833" s="8"/>
      <c r="AJ1833" s="8"/>
      <c r="AK1833" s="223" t="s">
        <v>5415</v>
      </c>
      <c r="AL1833" s="133"/>
      <c r="AM1833" s="200"/>
      <c r="AN1833" s="237">
        <f>+AN1831+AN1822+AN1814+AN1799</f>
        <v>127380</v>
      </c>
      <c r="AO1833" s="133"/>
      <c r="AP1833" s="8"/>
      <c r="AQ1833" s="8"/>
      <c r="AR1833" s="8"/>
      <c r="AS1833" s="223" t="s">
        <v>5415</v>
      </c>
      <c r="AT1833" s="133"/>
      <c r="AU1833" s="200"/>
      <c r="AV1833" s="237">
        <f>+AV1831+AV1822+AV1814+AV1799</f>
        <v>152302</v>
      </c>
    </row>
    <row r="1834" spans="1:50" x14ac:dyDescent="0.25">
      <c r="A1834" s="265"/>
      <c r="B1834" s="265"/>
      <c r="C1834" s="265"/>
      <c r="D1834" s="265"/>
      <c r="E1834" s="265"/>
      <c r="F1834" s="265"/>
      <c r="G1834" s="265"/>
      <c r="H1834" s="265"/>
      <c r="I1834" s="265"/>
      <c r="J1834" s="265"/>
      <c r="K1834" s="265"/>
      <c r="L1834" s="265"/>
      <c r="M1834" s="265"/>
      <c r="N1834" s="265"/>
      <c r="O1834" s="265"/>
      <c r="P1834" s="265"/>
      <c r="Q1834" s="265"/>
      <c r="R1834" s="265"/>
      <c r="S1834" s="265"/>
      <c r="T1834" s="265"/>
      <c r="U1834" s="265"/>
      <c r="V1834" s="265"/>
      <c r="W1834" s="265"/>
      <c r="X1834" s="265"/>
      <c r="Y1834" s="265"/>
      <c r="Z1834" s="265"/>
      <c r="AA1834" s="265"/>
      <c r="AB1834" s="265"/>
      <c r="AC1834" s="265"/>
      <c r="AD1834" s="265"/>
      <c r="AE1834" s="265"/>
      <c r="AF1834" s="265"/>
      <c r="AG1834" s="265"/>
      <c r="AH1834" s="265"/>
      <c r="AI1834" s="265"/>
      <c r="AJ1834" s="265"/>
      <c r="AK1834" s="265"/>
      <c r="AL1834" s="265"/>
      <c r="AM1834" s="265"/>
      <c r="AN1834" s="265"/>
      <c r="AO1834" s="265"/>
      <c r="AP1834" s="265"/>
      <c r="AQ1834" s="265"/>
      <c r="AR1834" s="265"/>
      <c r="AS1834" s="265"/>
      <c r="AT1834" s="265"/>
      <c r="AU1834" s="265"/>
      <c r="AV1834" s="265"/>
      <c r="AW1834" s="265"/>
      <c r="AX1834" s="265"/>
    </row>
    <row r="1835" spans="1:50" x14ac:dyDescent="0.25">
      <c r="A1835" s="265"/>
      <c r="B1835" s="265"/>
      <c r="C1835" s="265"/>
      <c r="D1835" s="265"/>
      <c r="E1835" s="265"/>
      <c r="F1835" s="265"/>
      <c r="G1835" s="265"/>
      <c r="H1835" s="265"/>
      <c r="I1835" s="265"/>
      <c r="J1835" s="265"/>
      <c r="K1835" s="265"/>
      <c r="L1835" s="265"/>
      <c r="M1835" s="265"/>
      <c r="N1835" s="265"/>
      <c r="O1835" s="265"/>
      <c r="P1835" s="265"/>
      <c r="Q1835" s="265"/>
      <c r="R1835" s="265"/>
      <c r="S1835" s="265"/>
      <c r="T1835" s="265"/>
      <c r="U1835" s="265"/>
      <c r="V1835" s="265"/>
      <c r="W1835" s="265"/>
      <c r="X1835" s="265"/>
      <c r="Y1835" s="265"/>
      <c r="Z1835" s="265"/>
      <c r="AA1835" s="265"/>
      <c r="AB1835" s="265"/>
      <c r="AC1835" s="265"/>
      <c r="AD1835" s="265"/>
      <c r="AE1835" s="265"/>
      <c r="AF1835" s="265"/>
      <c r="AG1835" s="265"/>
      <c r="AH1835" s="265"/>
      <c r="AI1835" s="265"/>
      <c r="AJ1835" s="265"/>
      <c r="AK1835" s="265"/>
      <c r="AL1835" s="265"/>
      <c r="AM1835" s="265"/>
      <c r="AN1835" s="265"/>
      <c r="AO1835" s="265"/>
      <c r="AP1835" s="265"/>
      <c r="AQ1835" s="265"/>
      <c r="AR1835" s="265"/>
      <c r="AS1835" s="265"/>
      <c r="AT1835" s="265"/>
      <c r="AU1835" s="265"/>
      <c r="AV1835" s="265"/>
      <c r="AW1835" s="265"/>
      <c r="AX1835" s="265"/>
    </row>
    <row r="1836" spans="1:50" x14ac:dyDescent="0.25">
      <c r="A1836" s="265"/>
      <c r="B1836" s="265"/>
      <c r="C1836" s="265"/>
      <c r="D1836" s="265"/>
      <c r="E1836" s="265"/>
      <c r="F1836" s="265"/>
      <c r="G1836" s="265"/>
      <c r="H1836" s="265"/>
      <c r="I1836" s="265"/>
      <c r="J1836" s="265"/>
      <c r="K1836" s="265"/>
      <c r="L1836" s="265"/>
      <c r="M1836" s="265"/>
      <c r="N1836" s="265"/>
      <c r="O1836" s="265"/>
      <c r="P1836" s="265"/>
      <c r="Q1836" s="265"/>
      <c r="R1836" s="265"/>
      <c r="S1836" s="265"/>
      <c r="T1836" s="265"/>
      <c r="U1836" s="265"/>
      <c r="V1836" s="265"/>
      <c r="W1836" s="265"/>
      <c r="X1836" s="265"/>
      <c r="Y1836" s="265"/>
      <c r="Z1836" s="265"/>
      <c r="AA1836" s="265"/>
      <c r="AB1836" s="265"/>
      <c r="AC1836" s="265"/>
      <c r="AD1836" s="265"/>
      <c r="AE1836" s="265"/>
      <c r="AF1836" s="265"/>
      <c r="AG1836" s="265"/>
      <c r="AH1836" s="265"/>
      <c r="AI1836" s="265"/>
      <c r="AJ1836" s="265"/>
      <c r="AK1836" s="265"/>
      <c r="AL1836" s="265"/>
      <c r="AM1836" s="265"/>
      <c r="AN1836" s="265"/>
      <c r="AO1836" s="265"/>
      <c r="AP1836" s="265"/>
      <c r="AQ1836" s="265"/>
      <c r="AR1836" s="265"/>
      <c r="AS1836" s="265"/>
      <c r="AT1836" s="265"/>
      <c r="AU1836" s="265"/>
      <c r="AV1836" s="265"/>
      <c r="AW1836" s="265"/>
      <c r="AX1836" s="265"/>
    </row>
    <row r="1837" spans="1:50" x14ac:dyDescent="0.25">
      <c r="A1837" s="265"/>
      <c r="B1837" s="265"/>
      <c r="C1837" s="265"/>
      <c r="D1837" s="265"/>
      <c r="E1837" s="265"/>
      <c r="F1837" s="265"/>
      <c r="G1837" s="265"/>
      <c r="H1837" s="265"/>
      <c r="I1837" s="265"/>
      <c r="J1837" s="265"/>
      <c r="K1837" s="265"/>
      <c r="L1837" s="265"/>
      <c r="M1837" s="265"/>
      <c r="N1837" s="265"/>
      <c r="O1837" s="265"/>
      <c r="P1837" s="265"/>
      <c r="Q1837" s="265"/>
      <c r="R1837" s="265"/>
      <c r="S1837" s="265"/>
      <c r="T1837" s="265"/>
      <c r="U1837" s="265"/>
      <c r="V1837" s="265"/>
      <c r="W1837" s="265"/>
      <c r="X1837" s="265"/>
      <c r="Y1837" s="265"/>
      <c r="Z1837" s="265"/>
      <c r="AA1837" s="265"/>
      <c r="AB1837" s="265"/>
      <c r="AC1837" s="265"/>
      <c r="AD1837" s="265"/>
      <c r="AE1837" s="265"/>
      <c r="AF1837" s="265"/>
      <c r="AG1837" s="265"/>
      <c r="AH1837" s="265"/>
      <c r="AI1837" s="265"/>
      <c r="AJ1837" s="265"/>
      <c r="AK1837" s="265"/>
      <c r="AL1837" s="265"/>
      <c r="AM1837" s="265"/>
      <c r="AN1837" s="265"/>
      <c r="AO1837" s="265"/>
      <c r="AP1837" s="265"/>
      <c r="AQ1837" s="265"/>
      <c r="AR1837" s="265"/>
      <c r="AS1837" s="265"/>
      <c r="AT1837" s="265"/>
      <c r="AU1837" s="265"/>
      <c r="AV1837" s="265"/>
      <c r="AW1837" s="265"/>
      <c r="AX1837" s="265"/>
    </row>
    <row r="1838" spans="1:50" ht="18.75" x14ac:dyDescent="0.25">
      <c r="A1838" s="133"/>
      <c r="B1838" s="2506" t="s">
        <v>5400</v>
      </c>
      <c r="C1838" s="2506"/>
      <c r="D1838" s="2506"/>
      <c r="E1838" s="2506"/>
      <c r="F1838" s="2506"/>
      <c r="G1838" s="2506"/>
      <c r="H1838" s="8"/>
      <c r="I1838" s="133"/>
      <c r="J1838" s="2506" t="s">
        <v>5400</v>
      </c>
      <c r="K1838" s="2506"/>
      <c r="L1838" s="2506"/>
      <c r="M1838" s="2506"/>
      <c r="N1838" s="2506"/>
      <c r="O1838" s="2506"/>
      <c r="P1838" s="2506"/>
      <c r="Q1838" s="8"/>
      <c r="R1838" s="133"/>
      <c r="S1838" s="2506" t="s">
        <v>5400</v>
      </c>
      <c r="T1838" s="2506"/>
      <c r="U1838" s="2506"/>
      <c r="V1838" s="2506"/>
      <c r="W1838" s="2506"/>
      <c r="X1838" s="2506"/>
      <c r="Y1838" s="2506"/>
      <c r="Z1838" s="8"/>
      <c r="AA1838" s="133"/>
      <c r="AB1838" s="2506" t="s">
        <v>5400</v>
      </c>
      <c r="AC1838" s="2506"/>
      <c r="AD1838" s="2506"/>
      <c r="AE1838" s="2506"/>
      <c r="AF1838" s="2506"/>
      <c r="AG1838" s="2506"/>
      <c r="AH1838" s="8"/>
      <c r="AI1838" s="133"/>
      <c r="AJ1838" s="2506" t="s">
        <v>5400</v>
      </c>
      <c r="AK1838" s="2506"/>
      <c r="AL1838" s="2506"/>
      <c r="AM1838" s="2506"/>
      <c r="AN1838" s="2506"/>
      <c r="AO1838" s="2506"/>
      <c r="AP1838" s="8"/>
      <c r="AQ1838" s="133"/>
      <c r="AR1838" s="2506" t="s">
        <v>5400</v>
      </c>
      <c r="AS1838" s="2506"/>
      <c r="AT1838" s="2506"/>
      <c r="AU1838" s="2506"/>
      <c r="AV1838" s="2506"/>
      <c r="AW1838" s="2506"/>
      <c r="AX1838" s="8"/>
    </row>
    <row r="1839" spans="1:50" x14ac:dyDescent="0.25">
      <c r="A1839" s="133"/>
      <c r="B1839" s="8"/>
      <c r="C1839" s="8"/>
      <c r="D1839" s="8"/>
      <c r="E1839" s="8"/>
      <c r="F1839" s="133"/>
      <c r="G1839" s="200"/>
      <c r="H1839" s="200"/>
      <c r="I1839" s="133"/>
      <c r="J1839" s="8"/>
      <c r="K1839" s="8"/>
      <c r="L1839" s="8"/>
      <c r="M1839" s="8"/>
      <c r="N1839" s="8"/>
      <c r="O1839" s="133"/>
      <c r="P1839" s="200"/>
      <c r="Q1839" s="200"/>
      <c r="R1839" s="133"/>
      <c r="S1839" s="8"/>
      <c r="T1839" s="8"/>
      <c r="U1839" s="8"/>
      <c r="V1839" s="8"/>
      <c r="W1839" s="8"/>
      <c r="X1839" s="133"/>
      <c r="Y1839" s="200"/>
      <c r="Z1839" s="200"/>
      <c r="AA1839" s="133"/>
      <c r="AB1839" s="8"/>
      <c r="AC1839" s="8"/>
      <c r="AD1839" s="8"/>
      <c r="AE1839" s="8"/>
      <c r="AF1839" s="133"/>
      <c r="AG1839" s="200"/>
      <c r="AH1839" s="200"/>
      <c r="AI1839" s="133"/>
      <c r="AJ1839" s="8"/>
      <c r="AK1839" s="8"/>
      <c r="AL1839" s="8"/>
      <c r="AM1839" s="8"/>
      <c r="AN1839" s="133"/>
      <c r="AO1839" s="200"/>
      <c r="AP1839" s="200"/>
      <c r="AQ1839" s="133"/>
      <c r="AR1839" s="8"/>
      <c r="AS1839" s="8"/>
      <c r="AT1839" s="8"/>
      <c r="AU1839" s="8"/>
      <c r="AV1839" s="133"/>
      <c r="AW1839" s="200"/>
      <c r="AX1839" s="200"/>
    </row>
    <row r="1840" spans="1:50" x14ac:dyDescent="0.25">
      <c r="A1840" s="133"/>
      <c r="B1840" s="8"/>
      <c r="C1840" s="8"/>
      <c r="D1840" s="8"/>
      <c r="E1840" s="8"/>
      <c r="F1840" s="133"/>
      <c r="G1840" s="200"/>
      <c r="H1840" s="200"/>
      <c r="I1840" s="133"/>
      <c r="J1840" s="8"/>
      <c r="K1840" s="8"/>
      <c r="L1840" s="8"/>
      <c r="M1840" s="8"/>
      <c r="N1840" s="133"/>
      <c r="O1840" s="200"/>
      <c r="P1840" s="200"/>
      <c r="Q1840" s="133"/>
      <c r="R1840" s="8"/>
      <c r="S1840" s="8"/>
      <c r="T1840" s="8"/>
      <c r="U1840" s="8"/>
      <c r="V1840" s="133"/>
      <c r="W1840" s="200"/>
      <c r="X1840" s="200"/>
      <c r="Y1840" s="133"/>
      <c r="Z1840" s="8"/>
      <c r="AA1840" s="8"/>
      <c r="AB1840" s="8"/>
      <c r="AC1840" s="8"/>
      <c r="AD1840" s="133"/>
      <c r="AE1840" s="200"/>
      <c r="AF1840" s="200"/>
      <c r="AG1840" s="133"/>
      <c r="AH1840" s="8"/>
      <c r="AI1840" s="8"/>
      <c r="AJ1840" s="8"/>
      <c r="AK1840" s="8"/>
      <c r="AL1840" s="133"/>
      <c r="AM1840" s="200"/>
      <c r="AN1840" s="200"/>
      <c r="AO1840" s="133"/>
      <c r="AP1840" s="8"/>
      <c r="AQ1840" s="8"/>
      <c r="AR1840" s="8"/>
      <c r="AS1840" s="8"/>
      <c r="AT1840" s="133"/>
      <c r="AU1840" s="200"/>
      <c r="AV1840" s="200"/>
    </row>
    <row r="1841" spans="1:48" x14ac:dyDescent="0.25">
      <c r="A1841" s="133"/>
      <c r="B1841" s="8"/>
      <c r="C1841" s="8"/>
      <c r="D1841" s="8"/>
      <c r="E1841" s="8"/>
      <c r="F1841" s="133"/>
      <c r="G1841" s="200"/>
      <c r="H1841" s="200"/>
      <c r="I1841" s="133"/>
      <c r="J1841" s="8"/>
      <c r="K1841" s="8"/>
      <c r="L1841" s="8"/>
      <c r="M1841" s="8"/>
      <c r="N1841" s="133"/>
      <c r="O1841" s="200"/>
      <c r="P1841" s="200"/>
      <c r="Q1841" s="133"/>
      <c r="R1841" s="8"/>
      <c r="S1841" s="8"/>
      <c r="T1841" s="8"/>
      <c r="U1841" s="8"/>
      <c r="V1841" s="133"/>
      <c r="W1841" s="200"/>
      <c r="X1841" s="200"/>
      <c r="Y1841" s="133"/>
      <c r="Z1841" s="8"/>
      <c r="AA1841" s="8"/>
      <c r="AB1841" s="8"/>
      <c r="AC1841" s="8"/>
      <c r="AD1841" s="133"/>
      <c r="AE1841" s="200"/>
      <c r="AF1841" s="200"/>
      <c r="AG1841" s="133"/>
      <c r="AH1841" s="8"/>
      <c r="AI1841" s="8"/>
      <c r="AJ1841" s="8"/>
      <c r="AK1841" s="8"/>
      <c r="AL1841" s="133"/>
      <c r="AM1841" s="200"/>
      <c r="AN1841" s="200"/>
      <c r="AO1841" s="133"/>
      <c r="AP1841" s="8"/>
      <c r="AQ1841" s="8"/>
      <c r="AR1841" s="8"/>
      <c r="AS1841" s="8"/>
      <c r="AT1841" s="133"/>
      <c r="AU1841" s="200"/>
      <c r="AV1841" s="200"/>
    </row>
    <row r="1842" spans="1:48" ht="15" customHeight="1" x14ac:dyDescent="0.25">
      <c r="A1842" s="220" t="s">
        <v>5482</v>
      </c>
      <c r="B1842" s="221" t="s">
        <v>40</v>
      </c>
      <c r="C1842" s="2449" t="s">
        <v>5509</v>
      </c>
      <c r="D1842" s="2449"/>
      <c r="E1842" s="2449"/>
      <c r="F1842" s="220" t="s">
        <v>867</v>
      </c>
      <c r="G1842" s="222" t="s">
        <v>5424</v>
      </c>
      <c r="H1842" s="200"/>
      <c r="I1842" s="220" t="s">
        <v>5482</v>
      </c>
      <c r="J1842" s="221" t="s">
        <v>40</v>
      </c>
      <c r="K1842" s="2449" t="s">
        <v>6123</v>
      </c>
      <c r="L1842" s="2449"/>
      <c r="M1842" s="2449"/>
      <c r="N1842" s="220" t="s">
        <v>867</v>
      </c>
      <c r="O1842" s="222" t="s">
        <v>5424</v>
      </c>
      <c r="P1842" s="200"/>
      <c r="Q1842" s="220" t="s">
        <v>5482</v>
      </c>
      <c r="R1842" s="221" t="s">
        <v>408</v>
      </c>
      <c r="S1842" s="2449" t="s">
        <v>6064</v>
      </c>
      <c r="T1842" s="2449"/>
      <c r="U1842" s="2449"/>
      <c r="V1842" s="220" t="s">
        <v>867</v>
      </c>
      <c r="W1842" s="222" t="s">
        <v>5424</v>
      </c>
      <c r="X1842" s="200"/>
      <c r="Y1842" s="220" t="s">
        <v>5482</v>
      </c>
      <c r="Z1842" s="221" t="s">
        <v>408</v>
      </c>
      <c r="AA1842" s="2449" t="s">
        <v>5918</v>
      </c>
      <c r="AB1842" s="2449"/>
      <c r="AC1842" s="2449"/>
      <c r="AD1842" s="220" t="s">
        <v>867</v>
      </c>
      <c r="AE1842" s="222" t="s">
        <v>5424</v>
      </c>
      <c r="AF1842" s="200"/>
      <c r="AG1842" s="220" t="s">
        <v>5482</v>
      </c>
      <c r="AH1842" s="221" t="s">
        <v>408</v>
      </c>
      <c r="AI1842" s="2449" t="s">
        <v>5919</v>
      </c>
      <c r="AJ1842" s="2449"/>
      <c r="AK1842" s="2449"/>
      <c r="AL1842" s="220" t="s">
        <v>867</v>
      </c>
      <c r="AM1842" s="222" t="s">
        <v>5424</v>
      </c>
      <c r="AN1842" s="200"/>
      <c r="AO1842" s="220" t="s">
        <v>5482</v>
      </c>
      <c r="AP1842" s="221" t="s">
        <v>408</v>
      </c>
      <c r="AQ1842" s="2449" t="s">
        <v>5920</v>
      </c>
      <c r="AR1842" s="2449"/>
      <c r="AS1842" s="2449"/>
      <c r="AT1842" s="220" t="s">
        <v>867</v>
      </c>
      <c r="AU1842" s="222" t="s">
        <v>5424</v>
      </c>
      <c r="AV1842" s="200"/>
    </row>
    <row r="1843" spans="1:48" x14ac:dyDescent="0.25">
      <c r="A1843" s="133"/>
      <c r="B1843" s="8"/>
      <c r="C1843" s="223"/>
      <c r="D1843" s="223"/>
      <c r="E1843" s="223"/>
      <c r="F1843" s="133"/>
      <c r="G1843" s="200"/>
      <c r="H1843" s="200"/>
      <c r="I1843" s="133"/>
      <c r="J1843" s="8"/>
      <c r="K1843" s="223"/>
      <c r="L1843" s="223"/>
      <c r="M1843" s="223"/>
      <c r="N1843" s="133"/>
      <c r="O1843" s="200"/>
      <c r="P1843" s="200"/>
      <c r="Q1843" s="133"/>
      <c r="R1843" s="8"/>
      <c r="S1843" s="223"/>
      <c r="T1843" s="223"/>
      <c r="U1843" s="223"/>
      <c r="V1843" s="133"/>
      <c r="W1843" s="200"/>
      <c r="X1843" s="200"/>
      <c r="Y1843" s="133"/>
      <c r="Z1843" s="8"/>
      <c r="AA1843" s="223"/>
      <c r="AB1843" s="223"/>
      <c r="AC1843" s="223"/>
      <c r="AD1843" s="133"/>
      <c r="AE1843" s="200"/>
      <c r="AF1843" s="200"/>
      <c r="AG1843" s="133"/>
      <c r="AH1843" s="8"/>
      <c r="AI1843" s="223"/>
      <c r="AJ1843" s="223"/>
      <c r="AK1843" s="223"/>
      <c r="AL1843" s="133"/>
      <c r="AM1843" s="200"/>
      <c r="AN1843" s="200"/>
      <c r="AO1843" s="133"/>
      <c r="AP1843" s="8"/>
      <c r="AQ1843" s="223"/>
      <c r="AR1843" s="223"/>
      <c r="AS1843" s="223"/>
      <c r="AT1843" s="133"/>
      <c r="AU1843" s="200"/>
      <c r="AV1843" s="200"/>
    </row>
    <row r="1844" spans="1:48" x14ac:dyDescent="0.25">
      <c r="A1844" s="133"/>
      <c r="B1844" s="8"/>
      <c r="C1844" s="8"/>
      <c r="D1844" s="8"/>
      <c r="E1844" s="8"/>
      <c r="F1844" s="8"/>
      <c r="G1844" s="8"/>
      <c r="H1844" s="200"/>
      <c r="I1844" s="133"/>
      <c r="J1844" s="8"/>
      <c r="K1844" s="8"/>
      <c r="L1844" s="8"/>
      <c r="M1844" s="8"/>
      <c r="N1844" s="8"/>
      <c r="O1844" s="8"/>
      <c r="P1844" s="200"/>
      <c r="Q1844" s="133"/>
      <c r="R1844" s="8"/>
      <c r="S1844" s="8"/>
      <c r="T1844" s="8"/>
      <c r="U1844" s="8"/>
      <c r="V1844" s="8"/>
      <c r="W1844" s="8"/>
      <c r="X1844" s="200"/>
      <c r="Y1844" s="133"/>
      <c r="Z1844" s="8"/>
      <c r="AA1844" s="8"/>
      <c r="AB1844" s="8"/>
      <c r="AC1844" s="8"/>
      <c r="AD1844" s="8"/>
      <c r="AE1844" s="8"/>
      <c r="AF1844" s="200"/>
      <c r="AG1844" s="133"/>
      <c r="AH1844" s="8"/>
      <c r="AI1844" s="8"/>
      <c r="AJ1844" s="8"/>
      <c r="AK1844" s="8"/>
      <c r="AL1844" s="8"/>
      <c r="AM1844" s="8"/>
      <c r="AN1844" s="200"/>
      <c r="AO1844" s="133"/>
      <c r="AP1844" s="8"/>
      <c r="AQ1844" s="8"/>
      <c r="AR1844" s="8"/>
      <c r="AS1844" s="8"/>
      <c r="AT1844" s="8"/>
      <c r="AU1844" s="8"/>
      <c r="AV1844" s="200"/>
    </row>
    <row r="1845" spans="1:48" ht="15.75" thickBot="1" x14ac:dyDescent="0.3">
      <c r="A1845" s="133"/>
      <c r="B1845" s="8"/>
      <c r="C1845" s="8"/>
      <c r="D1845" s="8"/>
      <c r="E1845" s="8"/>
      <c r="F1845" s="133"/>
      <c r="G1845" s="200"/>
      <c r="H1845" s="200"/>
      <c r="I1845" s="133"/>
      <c r="J1845" s="8"/>
      <c r="K1845" s="8"/>
      <c r="L1845" s="8"/>
      <c r="M1845" s="8"/>
      <c r="N1845" s="133"/>
      <c r="O1845" s="200"/>
      <c r="P1845" s="200"/>
      <c r="Q1845" s="133"/>
      <c r="R1845" s="8"/>
      <c r="S1845" s="8"/>
      <c r="T1845" s="8"/>
      <c r="U1845" s="8"/>
      <c r="V1845" s="133"/>
      <c r="W1845" s="200"/>
      <c r="X1845" s="200"/>
      <c r="Y1845" s="133"/>
      <c r="Z1845" s="8"/>
      <c r="AA1845" s="8"/>
      <c r="AB1845" s="8"/>
      <c r="AC1845" s="8"/>
      <c r="AD1845" s="133"/>
      <c r="AE1845" s="200"/>
      <c r="AF1845" s="200"/>
      <c r="AG1845" s="133"/>
      <c r="AH1845" s="8"/>
      <c r="AI1845" s="8"/>
      <c r="AJ1845" s="8"/>
      <c r="AK1845" s="8"/>
      <c r="AL1845" s="133"/>
      <c r="AM1845" s="200"/>
      <c r="AN1845" s="200"/>
      <c r="AO1845" s="133"/>
      <c r="AP1845" s="8"/>
      <c r="AQ1845" s="8"/>
      <c r="AR1845" s="8"/>
      <c r="AS1845" s="8"/>
      <c r="AT1845" s="133"/>
      <c r="AU1845" s="200"/>
      <c r="AV1845" s="200"/>
    </row>
    <row r="1846" spans="1:48" ht="15.75" thickBot="1" x14ac:dyDescent="0.3">
      <c r="A1846" s="133"/>
      <c r="B1846" s="224" t="s">
        <v>5403</v>
      </c>
      <c r="C1846" s="193" t="s">
        <v>867</v>
      </c>
      <c r="D1846" s="193" t="s">
        <v>6</v>
      </c>
      <c r="E1846" s="193" t="s">
        <v>5439</v>
      </c>
      <c r="F1846" s="193" t="s">
        <v>5405</v>
      </c>
      <c r="G1846" s="225" t="s">
        <v>868</v>
      </c>
      <c r="H1846" s="200"/>
      <c r="I1846" s="133"/>
      <c r="J1846" s="224" t="s">
        <v>5403</v>
      </c>
      <c r="K1846" s="193" t="s">
        <v>867</v>
      </c>
      <c r="L1846" s="193" t="s">
        <v>6</v>
      </c>
      <c r="M1846" s="193" t="s">
        <v>5439</v>
      </c>
      <c r="N1846" s="193" t="s">
        <v>5405</v>
      </c>
      <c r="O1846" s="225" t="s">
        <v>868</v>
      </c>
      <c r="P1846" s="200"/>
      <c r="Q1846" s="133"/>
      <c r="R1846" s="224" t="s">
        <v>5403</v>
      </c>
      <c r="S1846" s="193" t="s">
        <v>867</v>
      </c>
      <c r="T1846" s="193" t="s">
        <v>6</v>
      </c>
      <c r="U1846" s="193" t="s">
        <v>5439</v>
      </c>
      <c r="V1846" s="193" t="s">
        <v>5405</v>
      </c>
      <c r="W1846" s="225" t="s">
        <v>868</v>
      </c>
      <c r="X1846" s="200"/>
      <c r="Y1846" s="133"/>
      <c r="Z1846" s="224" t="s">
        <v>5403</v>
      </c>
      <c r="AA1846" s="193" t="s">
        <v>867</v>
      </c>
      <c r="AB1846" s="193" t="s">
        <v>6</v>
      </c>
      <c r="AC1846" s="193" t="s">
        <v>5439</v>
      </c>
      <c r="AD1846" s="193" t="s">
        <v>5405</v>
      </c>
      <c r="AE1846" s="225" t="s">
        <v>868</v>
      </c>
      <c r="AF1846" s="200"/>
      <c r="AG1846" s="133"/>
      <c r="AH1846" s="224" t="s">
        <v>5403</v>
      </c>
      <c r="AI1846" s="193" t="s">
        <v>867</v>
      </c>
      <c r="AJ1846" s="193" t="s">
        <v>6</v>
      </c>
      <c r="AK1846" s="193" t="s">
        <v>5439</v>
      </c>
      <c r="AL1846" s="193" t="s">
        <v>5405</v>
      </c>
      <c r="AM1846" s="225" t="s">
        <v>868</v>
      </c>
      <c r="AN1846" s="200"/>
      <c r="AO1846" s="133"/>
      <c r="AP1846" s="224" t="s">
        <v>5403</v>
      </c>
      <c r="AQ1846" s="193" t="s">
        <v>867</v>
      </c>
      <c r="AR1846" s="193" t="s">
        <v>6</v>
      </c>
      <c r="AS1846" s="193" t="s">
        <v>5439</v>
      </c>
      <c r="AT1846" s="193" t="s">
        <v>5405</v>
      </c>
      <c r="AU1846" s="225" t="s">
        <v>868</v>
      </c>
      <c r="AV1846" s="200"/>
    </row>
    <row r="1847" spans="1:48" x14ac:dyDescent="0.25">
      <c r="A1847" s="133"/>
      <c r="B1847" s="195" t="s">
        <v>5440</v>
      </c>
      <c r="C1847" s="226" t="s">
        <v>5402</v>
      </c>
      <c r="D1847" s="226">
        <v>1</v>
      </c>
      <c r="E1847" s="263">
        <f>+H1885</f>
        <v>98605</v>
      </c>
      <c r="F1847" s="226">
        <v>0.2</v>
      </c>
      <c r="G1847" s="229">
        <f>+E1847*F1847</f>
        <v>19721</v>
      </c>
      <c r="H1847" s="200"/>
      <c r="I1847" s="133"/>
      <c r="J1847" s="195" t="s">
        <v>5440</v>
      </c>
      <c r="K1847" s="226" t="s">
        <v>5402</v>
      </c>
      <c r="L1847" s="226">
        <v>1</v>
      </c>
      <c r="M1847" s="228">
        <f>+P1885</f>
        <v>99900</v>
      </c>
      <c r="N1847" s="226">
        <v>0.2</v>
      </c>
      <c r="O1847" s="229">
        <f>+M1847*N1847</f>
        <v>19980</v>
      </c>
      <c r="P1847" s="200"/>
      <c r="Q1847" s="133"/>
      <c r="R1847" s="195" t="s">
        <v>5440</v>
      </c>
      <c r="S1847" s="226" t="s">
        <v>5402</v>
      </c>
      <c r="T1847" s="226">
        <v>1</v>
      </c>
      <c r="U1847" s="228">
        <f>+X1885</f>
        <v>118585</v>
      </c>
      <c r="V1847" s="226">
        <v>0.2</v>
      </c>
      <c r="W1847" s="229">
        <f>+U1847*V1847</f>
        <v>23717</v>
      </c>
      <c r="X1847" s="200"/>
      <c r="Y1847" s="133"/>
      <c r="Z1847" s="195" t="s">
        <v>5440</v>
      </c>
      <c r="AA1847" s="226" t="s">
        <v>5402</v>
      </c>
      <c r="AB1847" s="226">
        <v>1</v>
      </c>
      <c r="AC1847" s="263">
        <f>+AF1885</f>
        <v>131041.66666666666</v>
      </c>
      <c r="AD1847" s="226">
        <v>0.2</v>
      </c>
      <c r="AE1847" s="229">
        <f>AC1847*AD1847</f>
        <v>26208.333333333332</v>
      </c>
      <c r="AF1847" s="200"/>
      <c r="AG1847" s="133"/>
      <c r="AH1847" s="195" t="s">
        <v>5440</v>
      </c>
      <c r="AI1847" s="226" t="s">
        <v>5402</v>
      </c>
      <c r="AJ1847" s="226">
        <v>1</v>
      </c>
      <c r="AK1847" s="263">
        <f>+AN1885</f>
        <v>146612.5</v>
      </c>
      <c r="AL1847" s="226">
        <v>0.2</v>
      </c>
      <c r="AM1847" s="229">
        <f>AK1847*AL1847</f>
        <v>29322.5</v>
      </c>
      <c r="AN1847" s="200"/>
      <c r="AO1847" s="133"/>
      <c r="AP1847" s="195" t="s">
        <v>5440</v>
      </c>
      <c r="AQ1847" s="226" t="s">
        <v>5402</v>
      </c>
      <c r="AR1847" s="226">
        <v>1</v>
      </c>
      <c r="AS1847" s="263">
        <f>+AV1885</f>
        <v>192554.16666666669</v>
      </c>
      <c r="AT1847" s="226">
        <v>0.2</v>
      </c>
      <c r="AU1847" s="229">
        <f>AS1847*AT1847</f>
        <v>38510.833333333336</v>
      </c>
      <c r="AV1847" s="200"/>
    </row>
    <row r="1848" spans="1:48" x14ac:dyDescent="0.25">
      <c r="A1848" s="133"/>
      <c r="B1848" s="195"/>
      <c r="C1848" s="226"/>
      <c r="D1848" s="226"/>
      <c r="E1848" s="264"/>
      <c r="F1848" s="226"/>
      <c r="G1848" s="229"/>
      <c r="H1848" s="200"/>
      <c r="I1848" s="133"/>
      <c r="J1848" s="195" t="s">
        <v>6063</v>
      </c>
      <c r="K1848" s="226" t="s">
        <v>5424</v>
      </c>
      <c r="L1848" s="226">
        <v>1</v>
      </c>
      <c r="M1848" s="176">
        <v>120000</v>
      </c>
      <c r="N1848" s="226">
        <v>12</v>
      </c>
      <c r="O1848" s="229">
        <f>+M1848/N1848</f>
        <v>10000</v>
      </c>
      <c r="P1848" s="200"/>
      <c r="Q1848" s="133"/>
      <c r="R1848" s="195" t="s">
        <v>6063</v>
      </c>
      <c r="S1848" s="226" t="s">
        <v>5424</v>
      </c>
      <c r="T1848" s="226">
        <v>1</v>
      </c>
      <c r="U1848" s="176">
        <v>120000</v>
      </c>
      <c r="V1848" s="226">
        <v>8</v>
      </c>
      <c r="W1848" s="229">
        <f>+U1848/V1848</f>
        <v>15000</v>
      </c>
      <c r="X1848" s="200"/>
      <c r="Y1848" s="133"/>
      <c r="Z1848" s="195" t="s">
        <v>6063</v>
      </c>
      <c r="AA1848" s="226" t="s">
        <v>5424</v>
      </c>
      <c r="AB1848" s="226">
        <v>1</v>
      </c>
      <c r="AC1848" s="176">
        <v>120000</v>
      </c>
      <c r="AD1848" s="226">
        <v>6</v>
      </c>
      <c r="AE1848" s="229">
        <f>+AC1848/AD1848</f>
        <v>20000</v>
      </c>
      <c r="AF1848" s="200"/>
      <c r="AG1848" s="133"/>
      <c r="AH1848" s="195" t="s">
        <v>6063</v>
      </c>
      <c r="AI1848" s="226" t="s">
        <v>5424</v>
      </c>
      <c r="AJ1848" s="226">
        <v>1</v>
      </c>
      <c r="AK1848" s="176">
        <v>120000</v>
      </c>
      <c r="AL1848" s="226">
        <v>4</v>
      </c>
      <c r="AM1848" s="229">
        <f>+AK1848/AL1848</f>
        <v>30000</v>
      </c>
      <c r="AN1848" s="200"/>
      <c r="AO1848" s="133"/>
      <c r="AP1848" s="195" t="s">
        <v>6063</v>
      </c>
      <c r="AQ1848" s="226" t="s">
        <v>5424</v>
      </c>
      <c r="AR1848" s="226">
        <v>1</v>
      </c>
      <c r="AS1848" s="176">
        <v>120000</v>
      </c>
      <c r="AT1848" s="226">
        <v>2</v>
      </c>
      <c r="AU1848" s="229">
        <f>+AS1848/AT1848</f>
        <v>60000</v>
      </c>
      <c r="AV1848" s="200"/>
    </row>
    <row r="1849" spans="1:48" x14ac:dyDescent="0.25">
      <c r="A1849" s="133"/>
      <c r="B1849" s="195"/>
      <c r="C1849" s="226"/>
      <c r="D1849" s="226"/>
      <c r="E1849" s="176"/>
      <c r="F1849" s="226"/>
      <c r="G1849" s="229"/>
      <c r="H1849" s="200"/>
      <c r="I1849" s="133"/>
      <c r="J1849" s="195"/>
      <c r="K1849" s="226"/>
      <c r="L1849" s="226"/>
      <c r="M1849" s="176"/>
      <c r="N1849" s="226"/>
      <c r="O1849" s="229"/>
      <c r="P1849" s="200"/>
      <c r="Q1849" s="133"/>
      <c r="R1849" s="195"/>
      <c r="S1849" s="226"/>
      <c r="T1849" s="226"/>
      <c r="U1849" s="176"/>
      <c r="V1849" s="226"/>
      <c r="W1849" s="229"/>
      <c r="X1849" s="200"/>
      <c r="Y1849" s="133"/>
      <c r="Z1849" s="195"/>
      <c r="AA1849" s="226"/>
      <c r="AB1849" s="226"/>
      <c r="AC1849" s="176"/>
      <c r="AD1849" s="226"/>
      <c r="AE1849" s="229"/>
      <c r="AF1849" s="200"/>
      <c r="AG1849" s="133"/>
      <c r="AH1849" s="195"/>
      <c r="AI1849" s="226"/>
      <c r="AJ1849" s="226"/>
      <c r="AK1849" s="176"/>
      <c r="AL1849" s="226"/>
      <c r="AM1849" s="229"/>
      <c r="AN1849" s="200"/>
      <c r="AO1849" s="133"/>
      <c r="AP1849" s="195"/>
      <c r="AQ1849" s="226"/>
      <c r="AR1849" s="226"/>
      <c r="AS1849" s="176"/>
      <c r="AT1849" s="226"/>
      <c r="AU1849" s="229"/>
      <c r="AV1849" s="200"/>
    </row>
    <row r="1850" spans="1:48" x14ac:dyDescent="0.25">
      <c r="A1850" s="133"/>
      <c r="B1850" s="195"/>
      <c r="C1850" s="226"/>
      <c r="D1850" s="226"/>
      <c r="E1850" s="171"/>
      <c r="F1850" s="226"/>
      <c r="G1850" s="231"/>
      <c r="H1850" s="200"/>
      <c r="I1850" s="133"/>
      <c r="J1850" s="195"/>
      <c r="K1850" s="226"/>
      <c r="L1850" s="226"/>
      <c r="M1850" s="171"/>
      <c r="N1850" s="226"/>
      <c r="O1850" s="229"/>
      <c r="P1850" s="200"/>
      <c r="Q1850" s="133"/>
      <c r="R1850" s="195"/>
      <c r="S1850" s="226"/>
      <c r="T1850" s="226"/>
      <c r="U1850" s="171"/>
      <c r="V1850" s="226"/>
      <c r="W1850" s="229"/>
      <c r="X1850" s="200"/>
      <c r="Y1850" s="133"/>
      <c r="Z1850" s="195"/>
      <c r="AA1850" s="226"/>
      <c r="AB1850" s="226"/>
      <c r="AC1850" s="171"/>
      <c r="AD1850" s="226"/>
      <c r="AE1850" s="229"/>
      <c r="AF1850" s="200"/>
      <c r="AG1850" s="133"/>
      <c r="AH1850" s="195"/>
      <c r="AI1850" s="226"/>
      <c r="AJ1850" s="226"/>
      <c r="AK1850" s="171"/>
      <c r="AL1850" s="226"/>
      <c r="AM1850" s="229"/>
      <c r="AN1850" s="200"/>
      <c r="AO1850" s="133"/>
      <c r="AP1850" s="195"/>
      <c r="AQ1850" s="226"/>
      <c r="AR1850" s="226"/>
      <c r="AS1850" s="171"/>
      <c r="AT1850" s="226"/>
      <c r="AU1850" s="229"/>
      <c r="AV1850" s="200"/>
    </row>
    <row r="1851" spans="1:48" x14ac:dyDescent="0.25">
      <c r="A1851" s="133"/>
      <c r="B1851" s="195"/>
      <c r="C1851" s="226"/>
      <c r="D1851" s="232"/>
      <c r="E1851" s="232"/>
      <c r="F1851" s="226"/>
      <c r="G1851" s="229"/>
      <c r="H1851" s="200"/>
      <c r="I1851" s="133"/>
      <c r="J1851" s="195"/>
      <c r="K1851" s="226"/>
      <c r="L1851" s="232"/>
      <c r="M1851" s="232"/>
      <c r="N1851" s="226"/>
      <c r="O1851" s="229"/>
      <c r="P1851" s="200"/>
      <c r="Q1851" s="133"/>
      <c r="R1851" s="195"/>
      <c r="S1851" s="226"/>
      <c r="T1851" s="232"/>
      <c r="U1851" s="232"/>
      <c r="V1851" s="226"/>
      <c r="W1851" s="229"/>
      <c r="X1851" s="200"/>
      <c r="Y1851" s="133"/>
      <c r="Z1851" s="195"/>
      <c r="AA1851" s="226"/>
      <c r="AB1851" s="232"/>
      <c r="AC1851" s="232"/>
      <c r="AD1851" s="226"/>
      <c r="AE1851" s="229"/>
      <c r="AF1851" s="200"/>
      <c r="AG1851" s="133"/>
      <c r="AH1851" s="195"/>
      <c r="AI1851" s="226"/>
      <c r="AJ1851" s="232"/>
      <c r="AK1851" s="232"/>
      <c r="AL1851" s="226"/>
      <c r="AM1851" s="229"/>
      <c r="AN1851" s="200"/>
      <c r="AO1851" s="133"/>
      <c r="AP1851" s="195"/>
      <c r="AQ1851" s="226"/>
      <c r="AR1851" s="232"/>
      <c r="AS1851" s="232"/>
      <c r="AT1851" s="226"/>
      <c r="AU1851" s="229"/>
      <c r="AV1851" s="200"/>
    </row>
    <row r="1852" spans="1:48" ht="15.75" thickBot="1" x14ac:dyDescent="0.3">
      <c r="A1852" s="133"/>
      <c r="B1852" s="195"/>
      <c r="C1852" s="226"/>
      <c r="D1852" s="232"/>
      <c r="E1852" s="232"/>
      <c r="F1852" s="226"/>
      <c r="G1852" s="229"/>
      <c r="H1852" s="200"/>
      <c r="I1852" s="133"/>
      <c r="J1852" s="195"/>
      <c r="K1852" s="226"/>
      <c r="L1852" s="232"/>
      <c r="M1852" s="232"/>
      <c r="N1852" s="226"/>
      <c r="O1852" s="229"/>
      <c r="P1852" s="200"/>
      <c r="Q1852" s="133"/>
      <c r="R1852" s="195"/>
      <c r="S1852" s="226"/>
      <c r="T1852" s="232"/>
      <c r="U1852" s="232"/>
      <c r="V1852" s="226"/>
      <c r="W1852" s="229"/>
      <c r="X1852" s="200"/>
      <c r="Y1852" s="133"/>
      <c r="Z1852" s="195"/>
      <c r="AA1852" s="226"/>
      <c r="AB1852" s="232"/>
      <c r="AC1852" s="232"/>
      <c r="AD1852" s="226"/>
      <c r="AE1852" s="229"/>
      <c r="AF1852" s="200"/>
      <c r="AG1852" s="133"/>
      <c r="AH1852" s="195"/>
      <c r="AI1852" s="226"/>
      <c r="AJ1852" s="232"/>
      <c r="AK1852" s="232"/>
      <c r="AL1852" s="226"/>
      <c r="AM1852" s="229"/>
      <c r="AN1852" s="200"/>
      <c r="AO1852" s="133"/>
      <c r="AP1852" s="195"/>
      <c r="AQ1852" s="226"/>
      <c r="AR1852" s="232"/>
      <c r="AS1852" s="232"/>
      <c r="AT1852" s="226"/>
      <c r="AU1852" s="229"/>
      <c r="AV1852" s="200"/>
    </row>
    <row r="1853" spans="1:48" ht="15.75" thickBot="1" x14ac:dyDescent="0.3">
      <c r="A1853" s="133"/>
      <c r="B1853" s="233"/>
      <c r="C1853" s="234"/>
      <c r="D1853" s="234"/>
      <c r="E1853" s="234"/>
      <c r="F1853" s="235"/>
      <c r="G1853" s="236"/>
      <c r="H1853" s="237">
        <f>+SUM(G1847:G1853)</f>
        <v>19721</v>
      </c>
      <c r="I1853" s="133"/>
      <c r="J1853" s="233"/>
      <c r="K1853" s="234"/>
      <c r="L1853" s="234"/>
      <c r="M1853" s="234"/>
      <c r="N1853" s="235"/>
      <c r="O1853" s="236"/>
      <c r="P1853" s="237">
        <f>+SUM(O1847:O1853)</f>
        <v>29980</v>
      </c>
      <c r="Q1853" s="133"/>
      <c r="R1853" s="233"/>
      <c r="S1853" s="234"/>
      <c r="T1853" s="234"/>
      <c r="U1853" s="234"/>
      <c r="V1853" s="235"/>
      <c r="W1853" s="236"/>
      <c r="X1853" s="237">
        <f>+SUM(W1847:W1853)</f>
        <v>38717</v>
      </c>
      <c r="Y1853" s="133"/>
      <c r="Z1853" s="233"/>
      <c r="AA1853" s="234"/>
      <c r="AB1853" s="234"/>
      <c r="AC1853" s="234"/>
      <c r="AD1853" s="235"/>
      <c r="AE1853" s="236"/>
      <c r="AF1853" s="237">
        <f>+SUM(AE1847:AE1853)</f>
        <v>46208.333333333328</v>
      </c>
      <c r="AG1853" s="133"/>
      <c r="AH1853" s="233"/>
      <c r="AI1853" s="234"/>
      <c r="AJ1853" s="234"/>
      <c r="AK1853" s="234"/>
      <c r="AL1853" s="235"/>
      <c r="AM1853" s="236"/>
      <c r="AN1853" s="237">
        <f>+SUM(AM1847:AM1853)</f>
        <v>59322.5</v>
      </c>
      <c r="AO1853" s="133"/>
      <c r="AP1853" s="233"/>
      <c r="AQ1853" s="234"/>
      <c r="AR1853" s="234"/>
      <c r="AS1853" s="234"/>
      <c r="AT1853" s="235"/>
      <c r="AU1853" s="236"/>
      <c r="AV1853" s="237">
        <f>+SUM(AU1847:AU1853)</f>
        <v>98510.833333333343</v>
      </c>
    </row>
    <row r="1854" spans="1:48" ht="15.75" thickBot="1" x14ac:dyDescent="0.3">
      <c r="A1854" s="133"/>
      <c r="B1854" s="238"/>
      <c r="C1854" s="238"/>
      <c r="D1854" s="238"/>
      <c r="E1854" s="238"/>
      <c r="F1854" s="239"/>
      <c r="G1854" s="240"/>
      <c r="H1854" s="241"/>
      <c r="I1854" s="133"/>
      <c r="J1854" s="238"/>
      <c r="K1854" s="238"/>
      <c r="L1854" s="238"/>
      <c r="M1854" s="238"/>
      <c r="N1854" s="239"/>
      <c r="O1854" s="240"/>
      <c r="P1854" s="241"/>
      <c r="Q1854" s="133"/>
      <c r="R1854" s="238"/>
      <c r="S1854" s="238"/>
      <c r="T1854" s="238"/>
      <c r="U1854" s="238"/>
      <c r="V1854" s="239"/>
      <c r="W1854" s="240"/>
      <c r="X1854" s="241"/>
      <c r="Y1854" s="133"/>
      <c r="Z1854" s="238"/>
      <c r="AA1854" s="238"/>
      <c r="AB1854" s="238"/>
      <c r="AC1854" s="238"/>
      <c r="AD1854" s="239"/>
      <c r="AE1854" s="240"/>
      <c r="AF1854" s="241"/>
      <c r="AG1854" s="133"/>
      <c r="AH1854" s="238"/>
      <c r="AI1854" s="238"/>
      <c r="AJ1854" s="238"/>
      <c r="AK1854" s="238"/>
      <c r="AL1854" s="239"/>
      <c r="AM1854" s="240"/>
      <c r="AN1854" s="241"/>
      <c r="AO1854" s="133"/>
      <c r="AP1854" s="238"/>
      <c r="AQ1854" s="238"/>
      <c r="AR1854" s="238"/>
      <c r="AS1854" s="238"/>
      <c r="AT1854" s="239"/>
      <c r="AU1854" s="240"/>
      <c r="AV1854" s="241"/>
    </row>
    <row r="1855" spans="1:48" ht="15.75" thickBot="1" x14ac:dyDescent="0.3">
      <c r="A1855" s="133"/>
      <c r="B1855" s="224" t="s">
        <v>5408</v>
      </c>
      <c r="C1855" s="193" t="s">
        <v>867</v>
      </c>
      <c r="D1855" s="193" t="s">
        <v>6</v>
      </c>
      <c r="E1855" s="193" t="s">
        <v>870</v>
      </c>
      <c r="F1855" s="193" t="s">
        <v>5409</v>
      </c>
      <c r="G1855" s="225" t="s">
        <v>868</v>
      </c>
      <c r="H1855" s="200"/>
      <c r="I1855" s="133"/>
      <c r="J1855" s="224" t="s">
        <v>5408</v>
      </c>
      <c r="K1855" s="193" t="s">
        <v>867</v>
      </c>
      <c r="L1855" s="193" t="s">
        <v>6</v>
      </c>
      <c r="M1855" s="193" t="s">
        <v>870</v>
      </c>
      <c r="N1855" s="193" t="s">
        <v>5409</v>
      </c>
      <c r="O1855" s="225" t="s">
        <v>868</v>
      </c>
      <c r="P1855" s="200"/>
      <c r="Q1855" s="133"/>
      <c r="R1855" s="224" t="s">
        <v>5408</v>
      </c>
      <c r="S1855" s="193" t="s">
        <v>867</v>
      </c>
      <c r="T1855" s="193" t="s">
        <v>6</v>
      </c>
      <c r="U1855" s="193" t="s">
        <v>870</v>
      </c>
      <c r="V1855" s="193" t="s">
        <v>5409</v>
      </c>
      <c r="W1855" s="225" t="s">
        <v>868</v>
      </c>
      <c r="X1855" s="200"/>
      <c r="Y1855" s="133"/>
      <c r="Z1855" s="224" t="s">
        <v>5408</v>
      </c>
      <c r="AA1855" s="193" t="s">
        <v>867</v>
      </c>
      <c r="AB1855" s="193" t="s">
        <v>6</v>
      </c>
      <c r="AC1855" s="193" t="s">
        <v>870</v>
      </c>
      <c r="AD1855" s="193" t="s">
        <v>5409</v>
      </c>
      <c r="AE1855" s="225" t="s">
        <v>868</v>
      </c>
      <c r="AF1855" s="200"/>
      <c r="AG1855" s="133"/>
      <c r="AH1855" s="224" t="s">
        <v>5408</v>
      </c>
      <c r="AI1855" s="193" t="s">
        <v>867</v>
      </c>
      <c r="AJ1855" s="193" t="s">
        <v>6</v>
      </c>
      <c r="AK1855" s="193" t="s">
        <v>870</v>
      </c>
      <c r="AL1855" s="193" t="s">
        <v>5409</v>
      </c>
      <c r="AM1855" s="225" t="s">
        <v>868</v>
      </c>
      <c r="AN1855" s="200"/>
      <c r="AO1855" s="133"/>
      <c r="AP1855" s="224" t="s">
        <v>5408</v>
      </c>
      <c r="AQ1855" s="193" t="s">
        <v>867</v>
      </c>
      <c r="AR1855" s="193" t="s">
        <v>6</v>
      </c>
      <c r="AS1855" s="193" t="s">
        <v>870</v>
      </c>
      <c r="AT1855" s="193" t="s">
        <v>5409</v>
      </c>
      <c r="AU1855" s="225" t="s">
        <v>868</v>
      </c>
      <c r="AV1855" s="200"/>
    </row>
    <row r="1856" spans="1:48" x14ac:dyDescent="0.25">
      <c r="A1856" s="133"/>
      <c r="B1856" s="295"/>
      <c r="C1856" s="202"/>
      <c r="D1856" s="226"/>
      <c r="E1856" s="171"/>
      <c r="F1856" s="169"/>
      <c r="G1856" s="178">
        <f>+D1856*E1856*(1+F1856)</f>
        <v>0</v>
      </c>
      <c r="H1856" s="200"/>
      <c r="I1856" s="133"/>
      <c r="J1856" s="295"/>
      <c r="K1856" s="202"/>
      <c r="L1856" s="226"/>
      <c r="M1856" s="228"/>
      <c r="N1856" s="169"/>
      <c r="O1856" s="178"/>
      <c r="P1856" s="200"/>
      <c r="Q1856" s="133"/>
      <c r="R1856" s="295"/>
      <c r="S1856" s="202"/>
      <c r="T1856" s="226"/>
      <c r="U1856" s="228"/>
      <c r="V1856" s="169"/>
      <c r="W1856" s="178"/>
      <c r="X1856" s="200"/>
      <c r="Y1856" s="133"/>
      <c r="Z1856" s="295"/>
      <c r="AA1856" s="202"/>
      <c r="AB1856" s="226"/>
      <c r="AC1856" s="171"/>
      <c r="AD1856" s="169"/>
      <c r="AE1856" s="178"/>
      <c r="AF1856" s="200"/>
      <c r="AG1856" s="133"/>
      <c r="AH1856" s="295"/>
      <c r="AI1856" s="202"/>
      <c r="AJ1856" s="226"/>
      <c r="AK1856" s="171"/>
      <c r="AL1856" s="169"/>
      <c r="AM1856" s="178"/>
      <c r="AN1856" s="200"/>
      <c r="AO1856" s="133"/>
      <c r="AP1856" s="295"/>
      <c r="AQ1856" s="202"/>
      <c r="AR1856" s="226"/>
      <c r="AS1856" s="171"/>
      <c r="AT1856" s="169"/>
      <c r="AU1856" s="178"/>
      <c r="AV1856" s="200"/>
    </row>
    <row r="1857" spans="1:48" x14ac:dyDescent="0.25">
      <c r="A1857" s="133"/>
      <c r="B1857" s="450"/>
      <c r="C1857" s="202"/>
      <c r="D1857" s="202"/>
      <c r="E1857" s="175"/>
      <c r="F1857" s="169"/>
      <c r="G1857" s="178">
        <f>+D1857*E1857*(1+F1857)</f>
        <v>0</v>
      </c>
      <c r="H1857" s="200"/>
      <c r="I1857" s="133"/>
      <c r="J1857" s="450"/>
      <c r="K1857" s="202"/>
      <c r="L1857" s="202"/>
      <c r="M1857" s="228"/>
      <c r="N1857" s="169"/>
      <c r="O1857" s="178"/>
      <c r="P1857" s="200"/>
      <c r="Q1857" s="133"/>
      <c r="R1857" s="450"/>
      <c r="S1857" s="202"/>
      <c r="T1857" s="202"/>
      <c r="U1857" s="228"/>
      <c r="V1857" s="169"/>
      <c r="W1857" s="178"/>
      <c r="X1857" s="200"/>
      <c r="Y1857" s="133"/>
      <c r="Z1857" s="450"/>
      <c r="AA1857" s="202"/>
      <c r="AB1857" s="202"/>
      <c r="AC1857" s="175"/>
      <c r="AD1857" s="169"/>
      <c r="AE1857" s="178"/>
      <c r="AF1857" s="200"/>
      <c r="AG1857" s="133"/>
      <c r="AH1857" s="450"/>
      <c r="AI1857" s="202"/>
      <c r="AJ1857" s="202"/>
      <c r="AK1857" s="175"/>
      <c r="AL1857" s="169"/>
      <c r="AM1857" s="178"/>
      <c r="AN1857" s="200"/>
      <c r="AO1857" s="133"/>
      <c r="AP1857" s="450"/>
      <c r="AQ1857" s="202"/>
      <c r="AR1857" s="202"/>
      <c r="AS1857" s="175"/>
      <c r="AT1857" s="169"/>
      <c r="AU1857" s="178"/>
      <c r="AV1857" s="200"/>
    </row>
    <row r="1858" spans="1:48" x14ac:dyDescent="0.25">
      <c r="A1858" s="133"/>
      <c r="B1858" s="247"/>
      <c r="C1858" s="226"/>
      <c r="D1858" s="226"/>
      <c r="E1858" s="244"/>
      <c r="F1858" s="169"/>
      <c r="G1858" s="178">
        <f>+D1858*E1858*(1+F1858)</f>
        <v>0</v>
      </c>
      <c r="H1858" s="200"/>
      <c r="I1858" s="133"/>
      <c r="J1858" s="247"/>
      <c r="K1858" s="226"/>
      <c r="L1858" s="226"/>
      <c r="M1858" s="228"/>
      <c r="N1858" s="169"/>
      <c r="O1858" s="178"/>
      <c r="P1858" s="200"/>
      <c r="Q1858" s="133"/>
      <c r="R1858" s="247"/>
      <c r="S1858" s="226"/>
      <c r="T1858" s="226"/>
      <c r="U1858" s="228"/>
      <c r="V1858" s="169"/>
      <c r="W1858" s="178"/>
      <c r="X1858" s="200"/>
      <c r="Y1858" s="133"/>
      <c r="Z1858" s="247"/>
      <c r="AA1858" s="226"/>
      <c r="AB1858" s="226"/>
      <c r="AC1858" s="244"/>
      <c r="AD1858" s="169"/>
      <c r="AE1858" s="178"/>
      <c r="AF1858" s="200"/>
      <c r="AG1858" s="133"/>
      <c r="AH1858" s="247"/>
      <c r="AI1858" s="226"/>
      <c r="AJ1858" s="226"/>
      <c r="AK1858" s="244"/>
      <c r="AL1858" s="169"/>
      <c r="AM1858" s="178"/>
      <c r="AN1858" s="200"/>
      <c r="AO1858" s="133"/>
      <c r="AP1858" s="247"/>
      <c r="AQ1858" s="226"/>
      <c r="AR1858" s="226"/>
      <c r="AS1858" s="244"/>
      <c r="AT1858" s="169"/>
      <c r="AU1858" s="178"/>
      <c r="AV1858" s="200"/>
    </row>
    <row r="1859" spans="1:48" x14ac:dyDescent="0.25">
      <c r="A1859" s="133"/>
      <c r="B1859" s="194"/>
      <c r="C1859" s="226"/>
      <c r="D1859" s="226"/>
      <c r="E1859" s="171"/>
      <c r="F1859" s="169"/>
      <c r="G1859" s="178">
        <f>+D1859*E1859*(1+F1859)</f>
        <v>0</v>
      </c>
      <c r="H1859" s="200"/>
      <c r="I1859" s="133"/>
      <c r="J1859" s="194"/>
      <c r="K1859" s="226"/>
      <c r="L1859" s="226"/>
      <c r="M1859" s="176"/>
      <c r="N1859" s="169"/>
      <c r="O1859" s="178"/>
      <c r="P1859" s="200"/>
      <c r="Q1859" s="133"/>
      <c r="R1859" s="194"/>
      <c r="S1859" s="226"/>
      <c r="T1859" s="226"/>
      <c r="U1859" s="176"/>
      <c r="V1859" s="169"/>
      <c r="W1859" s="178"/>
      <c r="X1859" s="200"/>
      <c r="Y1859" s="133"/>
      <c r="Z1859" s="194"/>
      <c r="AA1859" s="226"/>
      <c r="AB1859" s="226"/>
      <c r="AC1859" s="171"/>
      <c r="AD1859" s="169"/>
      <c r="AE1859" s="178"/>
      <c r="AF1859" s="200"/>
      <c r="AG1859" s="133"/>
      <c r="AH1859" s="194"/>
      <c r="AI1859" s="226"/>
      <c r="AJ1859" s="226"/>
      <c r="AK1859" s="171"/>
      <c r="AL1859" s="169"/>
      <c r="AM1859" s="178"/>
      <c r="AN1859" s="200"/>
      <c r="AO1859" s="133"/>
      <c r="AP1859" s="194"/>
      <c r="AQ1859" s="226"/>
      <c r="AR1859" s="226"/>
      <c r="AS1859" s="171"/>
      <c r="AT1859" s="169"/>
      <c r="AU1859" s="178"/>
      <c r="AV1859" s="200"/>
    </row>
    <row r="1860" spans="1:48" x14ac:dyDescent="0.25">
      <c r="A1860" s="133"/>
      <c r="B1860" s="195"/>
      <c r="C1860" s="226"/>
      <c r="D1860" s="226"/>
      <c r="E1860" s="171"/>
      <c r="F1860" s="169"/>
      <c r="G1860" s="178"/>
      <c r="H1860" s="200"/>
      <c r="I1860" s="133"/>
      <c r="J1860" s="195"/>
      <c r="K1860" s="226"/>
      <c r="L1860" s="226"/>
      <c r="M1860" s="176"/>
      <c r="N1860" s="169"/>
      <c r="O1860" s="178"/>
      <c r="P1860" s="200"/>
      <c r="Q1860" s="133"/>
      <c r="R1860" s="195"/>
      <c r="S1860" s="226"/>
      <c r="T1860" s="226"/>
      <c r="U1860" s="176"/>
      <c r="V1860" s="169"/>
      <c r="W1860" s="178"/>
      <c r="X1860" s="200"/>
      <c r="Y1860" s="133"/>
      <c r="Z1860" s="195"/>
      <c r="AA1860" s="226"/>
      <c r="AB1860" s="226"/>
      <c r="AC1860" s="171"/>
      <c r="AD1860" s="169"/>
      <c r="AE1860" s="178"/>
      <c r="AF1860" s="200"/>
      <c r="AG1860" s="133"/>
      <c r="AH1860" s="195"/>
      <c r="AI1860" s="226"/>
      <c r="AJ1860" s="226"/>
      <c r="AK1860" s="171"/>
      <c r="AL1860" s="169"/>
      <c r="AM1860" s="178"/>
      <c r="AN1860" s="200"/>
      <c r="AO1860" s="133"/>
      <c r="AP1860" s="195"/>
      <c r="AQ1860" s="226"/>
      <c r="AR1860" s="226"/>
      <c r="AS1860" s="171"/>
      <c r="AT1860" s="169"/>
      <c r="AU1860" s="178"/>
      <c r="AV1860" s="200"/>
    </row>
    <row r="1861" spans="1:48" x14ac:dyDescent="0.25">
      <c r="A1861" s="133"/>
      <c r="B1861" s="194"/>
      <c r="C1861" s="202"/>
      <c r="D1861" s="202"/>
      <c r="E1861" s="171"/>
      <c r="F1861" s="169"/>
      <c r="G1861" s="178"/>
      <c r="H1861" s="200"/>
      <c r="I1861" s="133"/>
      <c r="J1861" s="194"/>
      <c r="K1861" s="202"/>
      <c r="L1861" s="202"/>
      <c r="M1861" s="176"/>
      <c r="N1861" s="169"/>
      <c r="O1861" s="178"/>
      <c r="P1861" s="200"/>
      <c r="Q1861" s="133"/>
      <c r="R1861" s="194"/>
      <c r="S1861" s="202"/>
      <c r="T1861" s="202"/>
      <c r="U1861" s="176"/>
      <c r="V1861" s="169"/>
      <c r="W1861" s="178"/>
      <c r="X1861" s="200"/>
      <c r="Y1861" s="133"/>
      <c r="Z1861" s="194"/>
      <c r="AA1861" s="202"/>
      <c r="AB1861" s="202"/>
      <c r="AC1861" s="171"/>
      <c r="AD1861" s="169"/>
      <c r="AE1861" s="178"/>
      <c r="AF1861" s="200"/>
      <c r="AG1861" s="133"/>
      <c r="AH1861" s="194"/>
      <c r="AI1861" s="202"/>
      <c r="AJ1861" s="202"/>
      <c r="AK1861" s="171"/>
      <c r="AL1861" s="169"/>
      <c r="AM1861" s="178"/>
      <c r="AN1861" s="200"/>
      <c r="AO1861" s="133"/>
      <c r="AP1861" s="194"/>
      <c r="AQ1861" s="202"/>
      <c r="AR1861" s="202"/>
      <c r="AS1861" s="171"/>
      <c r="AT1861" s="169"/>
      <c r="AU1861" s="178"/>
      <c r="AV1861" s="200"/>
    </row>
    <row r="1862" spans="1:48" x14ac:dyDescent="0.25">
      <c r="A1862" s="133"/>
      <c r="B1862" s="195"/>
      <c r="C1862" s="226"/>
      <c r="D1862" s="226"/>
      <c r="E1862" s="171"/>
      <c r="F1862" s="169"/>
      <c r="G1862" s="178"/>
      <c r="H1862" s="200"/>
      <c r="I1862" s="133"/>
      <c r="J1862" s="195"/>
      <c r="K1862" s="226"/>
      <c r="L1862" s="226"/>
      <c r="M1862" s="176"/>
      <c r="N1862" s="169"/>
      <c r="O1862" s="178"/>
      <c r="P1862" s="200"/>
      <c r="Q1862" s="133"/>
      <c r="R1862" s="195"/>
      <c r="S1862" s="226"/>
      <c r="T1862" s="226"/>
      <c r="U1862" s="176"/>
      <c r="V1862" s="169"/>
      <c r="W1862" s="178"/>
      <c r="X1862" s="200"/>
      <c r="Y1862" s="133"/>
      <c r="Z1862" s="195"/>
      <c r="AA1862" s="226"/>
      <c r="AB1862" s="226"/>
      <c r="AC1862" s="171"/>
      <c r="AD1862" s="169"/>
      <c r="AE1862" s="178"/>
      <c r="AF1862" s="200"/>
      <c r="AG1862" s="133"/>
      <c r="AH1862" s="195"/>
      <c r="AI1862" s="226"/>
      <c r="AJ1862" s="226"/>
      <c r="AK1862" s="171"/>
      <c r="AL1862" s="169"/>
      <c r="AM1862" s="178"/>
      <c r="AN1862" s="200"/>
      <c r="AO1862" s="133"/>
      <c r="AP1862" s="195"/>
      <c r="AQ1862" s="226"/>
      <c r="AR1862" s="226"/>
      <c r="AS1862" s="171"/>
      <c r="AT1862" s="169"/>
      <c r="AU1862" s="178"/>
      <c r="AV1862" s="200"/>
    </row>
    <row r="1863" spans="1:48" x14ac:dyDescent="0.25">
      <c r="A1863" s="133"/>
      <c r="B1863" s="195"/>
      <c r="C1863" s="226"/>
      <c r="D1863" s="226"/>
      <c r="E1863" s="171"/>
      <c r="F1863" s="169"/>
      <c r="G1863" s="178"/>
      <c r="H1863" s="200"/>
      <c r="I1863" s="133"/>
      <c r="J1863" s="195"/>
      <c r="K1863" s="226"/>
      <c r="L1863" s="226"/>
      <c r="M1863" s="176"/>
      <c r="N1863" s="169"/>
      <c r="O1863" s="178"/>
      <c r="P1863" s="200"/>
      <c r="Q1863" s="133"/>
      <c r="R1863" s="195"/>
      <c r="S1863" s="226"/>
      <c r="T1863" s="226"/>
      <c r="U1863" s="176"/>
      <c r="V1863" s="169"/>
      <c r="W1863" s="178"/>
      <c r="X1863" s="200"/>
      <c r="Y1863" s="133"/>
      <c r="Z1863" s="195"/>
      <c r="AA1863" s="226"/>
      <c r="AB1863" s="226"/>
      <c r="AC1863" s="171"/>
      <c r="AD1863" s="169"/>
      <c r="AE1863" s="178"/>
      <c r="AF1863" s="200"/>
      <c r="AG1863" s="133"/>
      <c r="AH1863" s="195"/>
      <c r="AI1863" s="226"/>
      <c r="AJ1863" s="226"/>
      <c r="AK1863" s="171"/>
      <c r="AL1863" s="169"/>
      <c r="AM1863" s="178"/>
      <c r="AN1863" s="200"/>
      <c r="AO1863" s="133"/>
      <c r="AP1863" s="195"/>
      <c r="AQ1863" s="226"/>
      <c r="AR1863" s="226"/>
      <c r="AS1863" s="171"/>
      <c r="AT1863" s="169"/>
      <c r="AU1863" s="178"/>
      <c r="AV1863" s="200"/>
    </row>
    <row r="1864" spans="1:48" x14ac:dyDescent="0.25">
      <c r="A1864" s="133"/>
      <c r="B1864" s="195"/>
      <c r="C1864" s="232"/>
      <c r="D1864" s="232"/>
      <c r="E1864" s="232"/>
      <c r="F1864" s="226"/>
      <c r="G1864" s="229"/>
      <c r="H1864" s="200"/>
      <c r="I1864" s="133"/>
      <c r="J1864" s="195"/>
      <c r="K1864" s="232"/>
      <c r="L1864" s="232"/>
      <c r="M1864" s="232"/>
      <c r="N1864" s="226"/>
      <c r="O1864" s="229"/>
      <c r="P1864" s="200"/>
      <c r="Q1864" s="133"/>
      <c r="R1864" s="195"/>
      <c r="S1864" s="232"/>
      <c r="T1864" s="232"/>
      <c r="U1864" s="232"/>
      <c r="V1864" s="226"/>
      <c r="W1864" s="229"/>
      <c r="X1864" s="200"/>
      <c r="Y1864" s="133"/>
      <c r="Z1864" s="195"/>
      <c r="AA1864" s="232"/>
      <c r="AB1864" s="232"/>
      <c r="AC1864" s="232"/>
      <c r="AD1864" s="226"/>
      <c r="AE1864" s="229"/>
      <c r="AF1864" s="200"/>
      <c r="AG1864" s="133"/>
      <c r="AH1864" s="195"/>
      <c r="AI1864" s="232"/>
      <c r="AJ1864" s="232"/>
      <c r="AK1864" s="232"/>
      <c r="AL1864" s="226"/>
      <c r="AM1864" s="229"/>
      <c r="AN1864" s="200"/>
      <c r="AO1864" s="133"/>
      <c r="AP1864" s="195"/>
      <c r="AQ1864" s="232"/>
      <c r="AR1864" s="232"/>
      <c r="AS1864" s="232"/>
      <c r="AT1864" s="226"/>
      <c r="AU1864" s="229"/>
      <c r="AV1864" s="200"/>
    </row>
    <row r="1865" spans="1:48" x14ac:dyDescent="0.25">
      <c r="A1865" s="133"/>
      <c r="B1865" s="195"/>
      <c r="C1865" s="232"/>
      <c r="D1865" s="232"/>
      <c r="E1865" s="232"/>
      <c r="F1865" s="226"/>
      <c r="G1865" s="229"/>
      <c r="H1865" s="200"/>
      <c r="I1865" s="133"/>
      <c r="J1865" s="195"/>
      <c r="K1865" s="232"/>
      <c r="L1865" s="232"/>
      <c r="M1865" s="232"/>
      <c r="N1865" s="226"/>
      <c r="O1865" s="229"/>
      <c r="P1865" s="200"/>
      <c r="Q1865" s="133"/>
      <c r="R1865" s="195"/>
      <c r="S1865" s="232"/>
      <c r="T1865" s="232"/>
      <c r="U1865" s="232"/>
      <c r="V1865" s="226"/>
      <c r="W1865" s="229"/>
      <c r="X1865" s="200"/>
      <c r="Y1865" s="133"/>
      <c r="Z1865" s="195"/>
      <c r="AA1865" s="232"/>
      <c r="AB1865" s="232"/>
      <c r="AC1865" s="232"/>
      <c r="AD1865" s="226"/>
      <c r="AE1865" s="229"/>
      <c r="AF1865" s="200"/>
      <c r="AG1865" s="133"/>
      <c r="AH1865" s="195"/>
      <c r="AI1865" s="232"/>
      <c r="AJ1865" s="232"/>
      <c r="AK1865" s="232"/>
      <c r="AL1865" s="226"/>
      <c r="AM1865" s="229"/>
      <c r="AN1865" s="200"/>
      <c r="AO1865" s="133"/>
      <c r="AP1865" s="195"/>
      <c r="AQ1865" s="232"/>
      <c r="AR1865" s="232"/>
      <c r="AS1865" s="232"/>
      <c r="AT1865" s="226"/>
      <c r="AU1865" s="229"/>
      <c r="AV1865" s="200"/>
    </row>
    <row r="1866" spans="1:48" x14ac:dyDescent="0.25">
      <c r="A1866" s="133"/>
      <c r="B1866" s="195"/>
      <c r="C1866" s="232"/>
      <c r="D1866" s="232"/>
      <c r="E1866" s="232"/>
      <c r="F1866" s="226"/>
      <c r="G1866" s="229"/>
      <c r="H1866" s="200"/>
      <c r="I1866" s="133"/>
      <c r="J1866" s="195"/>
      <c r="K1866" s="232"/>
      <c r="L1866" s="232"/>
      <c r="M1866" s="232"/>
      <c r="N1866" s="226"/>
      <c r="O1866" s="229"/>
      <c r="P1866" s="200"/>
      <c r="Q1866" s="133"/>
      <c r="R1866" s="195"/>
      <c r="S1866" s="232"/>
      <c r="T1866" s="232"/>
      <c r="U1866" s="232"/>
      <c r="V1866" s="226"/>
      <c r="W1866" s="229"/>
      <c r="X1866" s="200"/>
      <c r="Y1866" s="133"/>
      <c r="Z1866" s="195"/>
      <c r="AA1866" s="232"/>
      <c r="AB1866" s="232"/>
      <c r="AC1866" s="232"/>
      <c r="AD1866" s="226"/>
      <c r="AE1866" s="229"/>
      <c r="AF1866" s="200"/>
      <c r="AG1866" s="133"/>
      <c r="AH1866" s="195"/>
      <c r="AI1866" s="232"/>
      <c r="AJ1866" s="232"/>
      <c r="AK1866" s="232"/>
      <c r="AL1866" s="226"/>
      <c r="AM1866" s="229"/>
      <c r="AN1866" s="200"/>
      <c r="AO1866" s="133"/>
      <c r="AP1866" s="195"/>
      <c r="AQ1866" s="232"/>
      <c r="AR1866" s="232"/>
      <c r="AS1866" s="232"/>
      <c r="AT1866" s="226"/>
      <c r="AU1866" s="229"/>
      <c r="AV1866" s="200"/>
    </row>
    <row r="1867" spans="1:48" ht="15.75" thickBot="1" x14ac:dyDescent="0.3">
      <c r="A1867" s="133"/>
      <c r="B1867" s="195"/>
      <c r="C1867" s="232"/>
      <c r="D1867" s="232"/>
      <c r="E1867" s="232"/>
      <c r="F1867" s="226"/>
      <c r="G1867" s="229"/>
      <c r="H1867" s="200"/>
      <c r="I1867" s="133"/>
      <c r="J1867" s="195"/>
      <c r="K1867" s="232"/>
      <c r="L1867" s="232"/>
      <c r="M1867" s="232"/>
      <c r="N1867" s="226"/>
      <c r="O1867" s="229"/>
      <c r="P1867" s="200"/>
      <c r="Q1867" s="133"/>
      <c r="R1867" s="195"/>
      <c r="S1867" s="232"/>
      <c r="T1867" s="232"/>
      <c r="U1867" s="232"/>
      <c r="V1867" s="226"/>
      <c r="W1867" s="229"/>
      <c r="X1867" s="200"/>
      <c r="Y1867" s="133"/>
      <c r="Z1867" s="195"/>
      <c r="AA1867" s="232"/>
      <c r="AB1867" s="232"/>
      <c r="AC1867" s="232"/>
      <c r="AD1867" s="226"/>
      <c r="AE1867" s="229"/>
      <c r="AF1867" s="200"/>
      <c r="AG1867" s="133"/>
      <c r="AH1867" s="195"/>
      <c r="AI1867" s="232"/>
      <c r="AJ1867" s="232"/>
      <c r="AK1867" s="232"/>
      <c r="AL1867" s="226"/>
      <c r="AM1867" s="229"/>
      <c r="AN1867" s="200"/>
      <c r="AO1867" s="133"/>
      <c r="AP1867" s="195"/>
      <c r="AQ1867" s="232"/>
      <c r="AR1867" s="232"/>
      <c r="AS1867" s="232"/>
      <c r="AT1867" s="226"/>
      <c r="AU1867" s="229"/>
      <c r="AV1867" s="200"/>
    </row>
    <row r="1868" spans="1:48" ht="15.75" thickBot="1" x14ac:dyDescent="0.3">
      <c r="A1868" s="133"/>
      <c r="B1868" s="233"/>
      <c r="C1868" s="234"/>
      <c r="D1868" s="234"/>
      <c r="E1868" s="234"/>
      <c r="F1868" s="235"/>
      <c r="G1868" s="236"/>
      <c r="H1868" s="237">
        <f>+SUM(G1856:G1868)</f>
        <v>0</v>
      </c>
      <c r="I1868" s="133"/>
      <c r="J1868" s="233"/>
      <c r="K1868" s="234"/>
      <c r="L1868" s="234"/>
      <c r="M1868" s="234"/>
      <c r="N1868" s="235"/>
      <c r="O1868" s="236"/>
      <c r="P1868" s="237">
        <f>+SUM(O1856:O1868)</f>
        <v>0</v>
      </c>
      <c r="Q1868" s="133"/>
      <c r="R1868" s="233"/>
      <c r="S1868" s="234"/>
      <c r="T1868" s="234"/>
      <c r="U1868" s="234"/>
      <c r="V1868" s="235"/>
      <c r="W1868" s="236"/>
      <c r="X1868" s="237">
        <f>+SUM(W1856:W1868)</f>
        <v>0</v>
      </c>
      <c r="Y1868" s="133"/>
      <c r="Z1868" s="233"/>
      <c r="AA1868" s="234"/>
      <c r="AB1868" s="234"/>
      <c r="AC1868" s="234"/>
      <c r="AD1868" s="235"/>
      <c r="AE1868" s="236"/>
      <c r="AF1868" s="237">
        <f>+SUM(AE1856:AE1868)</f>
        <v>0</v>
      </c>
      <c r="AG1868" s="133"/>
      <c r="AH1868" s="233"/>
      <c r="AI1868" s="234"/>
      <c r="AJ1868" s="234"/>
      <c r="AK1868" s="234"/>
      <c r="AL1868" s="235"/>
      <c r="AM1868" s="236"/>
      <c r="AN1868" s="237">
        <f>+SUM(AM1856:AM1868)</f>
        <v>0</v>
      </c>
      <c r="AO1868" s="133"/>
      <c r="AP1868" s="233"/>
      <c r="AQ1868" s="234"/>
      <c r="AR1868" s="234"/>
      <c r="AS1868" s="234"/>
      <c r="AT1868" s="235"/>
      <c r="AU1868" s="236"/>
      <c r="AV1868" s="237">
        <f>+SUM(AU1856:AU1868)</f>
        <v>0</v>
      </c>
    </row>
    <row r="1869" spans="1:48" ht="15.75" thickBot="1" x14ac:dyDescent="0.3">
      <c r="A1869" s="133"/>
      <c r="B1869" s="238"/>
      <c r="C1869" s="238"/>
      <c r="D1869" s="238"/>
      <c r="E1869" s="238"/>
      <c r="F1869" s="239"/>
      <c r="G1869" s="240"/>
      <c r="H1869" s="241"/>
      <c r="I1869" s="133"/>
      <c r="J1869" s="238"/>
      <c r="K1869" s="238"/>
      <c r="L1869" s="238"/>
      <c r="M1869" s="238"/>
      <c r="N1869" s="239"/>
      <c r="O1869" s="240"/>
      <c r="P1869" s="241"/>
      <c r="Q1869" s="133"/>
      <c r="R1869" s="238"/>
      <c r="S1869" s="238"/>
      <c r="T1869" s="238"/>
      <c r="U1869" s="238"/>
      <c r="V1869" s="239"/>
      <c r="W1869" s="240"/>
      <c r="X1869" s="241"/>
      <c r="Y1869" s="133"/>
      <c r="Z1869" s="238"/>
      <c r="AA1869" s="238"/>
      <c r="AB1869" s="238"/>
      <c r="AC1869" s="238"/>
      <c r="AD1869" s="239"/>
      <c r="AE1869" s="240"/>
      <c r="AF1869" s="241"/>
      <c r="AG1869" s="133"/>
      <c r="AH1869" s="238"/>
      <c r="AI1869" s="238"/>
      <c r="AJ1869" s="238"/>
      <c r="AK1869" s="238"/>
      <c r="AL1869" s="239"/>
      <c r="AM1869" s="240"/>
      <c r="AN1869" s="241"/>
      <c r="AO1869" s="133"/>
      <c r="AP1869" s="238"/>
      <c r="AQ1869" s="238"/>
      <c r="AR1869" s="238"/>
      <c r="AS1869" s="238"/>
      <c r="AT1869" s="239"/>
      <c r="AU1869" s="240"/>
      <c r="AV1869" s="241"/>
    </row>
    <row r="1870" spans="1:48" ht="15.75" thickBot="1" x14ac:dyDescent="0.3">
      <c r="A1870" s="133"/>
      <c r="B1870" s="224" t="s">
        <v>5410</v>
      </c>
      <c r="C1870" s="193" t="s">
        <v>867</v>
      </c>
      <c r="D1870" s="193" t="s">
        <v>6</v>
      </c>
      <c r="E1870" s="193" t="s">
        <v>870</v>
      </c>
      <c r="F1870" s="193" t="s">
        <v>5411</v>
      </c>
      <c r="G1870" s="225" t="s">
        <v>868</v>
      </c>
      <c r="H1870" s="200"/>
      <c r="I1870" s="133"/>
      <c r="J1870" s="224" t="s">
        <v>5410</v>
      </c>
      <c r="K1870" s="193" t="s">
        <v>867</v>
      </c>
      <c r="L1870" s="193" t="s">
        <v>6</v>
      </c>
      <c r="M1870" s="193" t="s">
        <v>870</v>
      </c>
      <c r="N1870" s="193" t="s">
        <v>5411</v>
      </c>
      <c r="O1870" s="225" t="s">
        <v>868</v>
      </c>
      <c r="P1870" s="200"/>
      <c r="Q1870" s="133"/>
      <c r="R1870" s="224" t="s">
        <v>5410</v>
      </c>
      <c r="S1870" s="193" t="s">
        <v>867</v>
      </c>
      <c r="T1870" s="193" t="s">
        <v>6</v>
      </c>
      <c r="U1870" s="193" t="s">
        <v>870</v>
      </c>
      <c r="V1870" s="193" t="s">
        <v>5411</v>
      </c>
      <c r="W1870" s="225" t="s">
        <v>868</v>
      </c>
      <c r="X1870" s="200"/>
      <c r="Y1870" s="133"/>
      <c r="Z1870" s="224" t="s">
        <v>5410</v>
      </c>
      <c r="AA1870" s="193" t="s">
        <v>867</v>
      </c>
      <c r="AB1870" s="193" t="s">
        <v>6</v>
      </c>
      <c r="AC1870" s="193" t="s">
        <v>870</v>
      </c>
      <c r="AD1870" s="193" t="s">
        <v>5411</v>
      </c>
      <c r="AE1870" s="225" t="s">
        <v>868</v>
      </c>
      <c r="AF1870" s="200"/>
      <c r="AG1870" s="133"/>
      <c r="AH1870" s="224" t="s">
        <v>5410</v>
      </c>
      <c r="AI1870" s="193" t="s">
        <v>867</v>
      </c>
      <c r="AJ1870" s="193" t="s">
        <v>6</v>
      </c>
      <c r="AK1870" s="193" t="s">
        <v>870</v>
      </c>
      <c r="AL1870" s="193" t="s">
        <v>5411</v>
      </c>
      <c r="AM1870" s="225" t="s">
        <v>868</v>
      </c>
      <c r="AN1870" s="200"/>
      <c r="AO1870" s="133"/>
      <c r="AP1870" s="224" t="s">
        <v>5410</v>
      </c>
      <c r="AQ1870" s="193" t="s">
        <v>867</v>
      </c>
      <c r="AR1870" s="193" t="s">
        <v>6</v>
      </c>
      <c r="AS1870" s="193" t="s">
        <v>870</v>
      </c>
      <c r="AT1870" s="193" t="s">
        <v>5411</v>
      </c>
      <c r="AU1870" s="225" t="s">
        <v>868</v>
      </c>
      <c r="AV1870" s="200"/>
    </row>
    <row r="1871" spans="1:48" x14ac:dyDescent="0.25">
      <c r="A1871" s="133"/>
      <c r="B1871" s="245"/>
      <c r="C1871" s="202"/>
      <c r="D1871" s="202"/>
      <c r="E1871" s="175"/>
      <c r="F1871" s="202"/>
      <c r="G1871" s="203"/>
      <c r="H1871" s="246"/>
      <c r="I1871" s="133"/>
      <c r="J1871" s="245"/>
      <c r="K1871" s="202"/>
      <c r="L1871" s="202"/>
      <c r="M1871" s="175"/>
      <c r="N1871" s="202"/>
      <c r="O1871" s="203"/>
      <c r="P1871" s="246"/>
      <c r="Q1871" s="133"/>
      <c r="R1871" s="245"/>
      <c r="S1871" s="202"/>
      <c r="T1871" s="202"/>
      <c r="U1871" s="175"/>
      <c r="V1871" s="202"/>
      <c r="W1871" s="203"/>
      <c r="X1871" s="246"/>
      <c r="Y1871" s="133"/>
      <c r="Z1871" s="245"/>
      <c r="AA1871" s="202"/>
      <c r="AB1871" s="202"/>
      <c r="AC1871" s="175"/>
      <c r="AD1871" s="202"/>
      <c r="AE1871" s="203"/>
      <c r="AF1871" s="246"/>
      <c r="AG1871" s="133"/>
      <c r="AH1871" s="245"/>
      <c r="AI1871" s="202"/>
      <c r="AJ1871" s="202"/>
      <c r="AK1871" s="175"/>
      <c r="AL1871" s="202"/>
      <c r="AM1871" s="203"/>
      <c r="AN1871" s="246"/>
      <c r="AO1871" s="133"/>
      <c r="AP1871" s="245"/>
      <c r="AQ1871" s="202"/>
      <c r="AR1871" s="202"/>
      <c r="AS1871" s="175"/>
      <c r="AT1871" s="202"/>
      <c r="AU1871" s="203"/>
      <c r="AV1871" s="246"/>
    </row>
    <row r="1872" spans="1:48" x14ac:dyDescent="0.25">
      <c r="A1872" s="133"/>
      <c r="B1872" s="247"/>
      <c r="C1872" s="248"/>
      <c r="D1872" s="248"/>
      <c r="E1872" s="248"/>
      <c r="F1872" s="202"/>
      <c r="G1872" s="178"/>
      <c r="H1872" s="200"/>
      <c r="I1872" s="133"/>
      <c r="J1872" s="247"/>
      <c r="K1872" s="248"/>
      <c r="L1872" s="248"/>
      <c r="M1872" s="248"/>
      <c r="N1872" s="202"/>
      <c r="O1872" s="178"/>
      <c r="P1872" s="200"/>
      <c r="Q1872" s="133"/>
      <c r="R1872" s="247"/>
      <c r="S1872" s="248"/>
      <c r="T1872" s="248"/>
      <c r="U1872" s="248"/>
      <c r="V1872" s="202"/>
      <c r="W1872" s="178"/>
      <c r="X1872" s="200"/>
      <c r="Y1872" s="133"/>
      <c r="Z1872" s="247"/>
      <c r="AA1872" s="248"/>
      <c r="AB1872" s="248"/>
      <c r="AC1872" s="248"/>
      <c r="AD1872" s="202"/>
      <c r="AE1872" s="178"/>
      <c r="AF1872" s="200"/>
      <c r="AG1872" s="133"/>
      <c r="AH1872" s="247"/>
      <c r="AI1872" s="248"/>
      <c r="AJ1872" s="248"/>
      <c r="AK1872" s="248"/>
      <c r="AL1872" s="202"/>
      <c r="AM1872" s="178"/>
      <c r="AN1872" s="200"/>
      <c r="AO1872" s="133"/>
      <c r="AP1872" s="247"/>
      <c r="AQ1872" s="248"/>
      <c r="AR1872" s="248"/>
      <c r="AS1872" s="248"/>
      <c r="AT1872" s="202"/>
      <c r="AU1872" s="178"/>
      <c r="AV1872" s="200"/>
    </row>
    <row r="1873" spans="1:48" x14ac:dyDescent="0.25">
      <c r="A1873" s="133"/>
      <c r="B1873" s="247"/>
      <c r="C1873" s="232"/>
      <c r="D1873" s="232"/>
      <c r="E1873" s="232"/>
      <c r="F1873" s="226"/>
      <c r="G1873" s="229"/>
      <c r="H1873" s="200"/>
      <c r="I1873" s="133"/>
      <c r="J1873" s="247"/>
      <c r="K1873" s="232"/>
      <c r="L1873" s="232"/>
      <c r="M1873" s="232"/>
      <c r="N1873" s="226"/>
      <c r="O1873" s="229"/>
      <c r="P1873" s="200"/>
      <c r="Q1873" s="133"/>
      <c r="R1873" s="247"/>
      <c r="S1873" s="232"/>
      <c r="T1873" s="232"/>
      <c r="U1873" s="232"/>
      <c r="V1873" s="226"/>
      <c r="W1873" s="229"/>
      <c r="X1873" s="200"/>
      <c r="Y1873" s="133"/>
      <c r="Z1873" s="247"/>
      <c r="AA1873" s="232"/>
      <c r="AB1873" s="232"/>
      <c r="AC1873" s="232"/>
      <c r="AD1873" s="226"/>
      <c r="AE1873" s="229"/>
      <c r="AF1873" s="200"/>
      <c r="AG1873" s="133"/>
      <c r="AH1873" s="247"/>
      <c r="AI1873" s="232"/>
      <c r="AJ1873" s="232"/>
      <c r="AK1873" s="232"/>
      <c r="AL1873" s="226"/>
      <c r="AM1873" s="229"/>
      <c r="AN1873" s="200"/>
      <c r="AO1873" s="133"/>
      <c r="AP1873" s="247"/>
      <c r="AQ1873" s="232"/>
      <c r="AR1873" s="232"/>
      <c r="AS1873" s="232"/>
      <c r="AT1873" s="226"/>
      <c r="AU1873" s="229"/>
      <c r="AV1873" s="200"/>
    </row>
    <row r="1874" spans="1:48" x14ac:dyDescent="0.25">
      <c r="A1874" s="133"/>
      <c r="B1874" s="194"/>
      <c r="C1874" s="232"/>
      <c r="D1874" s="232"/>
      <c r="E1874" s="232"/>
      <c r="F1874" s="226"/>
      <c r="G1874" s="229"/>
      <c r="H1874" s="200"/>
      <c r="I1874" s="133"/>
      <c r="J1874" s="194"/>
      <c r="K1874" s="232"/>
      <c r="L1874" s="232"/>
      <c r="M1874" s="232"/>
      <c r="N1874" s="226"/>
      <c r="O1874" s="229"/>
      <c r="P1874" s="200"/>
      <c r="Q1874" s="133"/>
      <c r="R1874" s="194"/>
      <c r="S1874" s="232"/>
      <c r="T1874" s="232"/>
      <c r="U1874" s="232"/>
      <c r="V1874" s="226"/>
      <c r="W1874" s="229"/>
      <c r="X1874" s="200"/>
      <c r="Y1874" s="133"/>
      <c r="Z1874" s="194"/>
      <c r="AA1874" s="232"/>
      <c r="AB1874" s="232"/>
      <c r="AC1874" s="232"/>
      <c r="AD1874" s="226"/>
      <c r="AE1874" s="229"/>
      <c r="AF1874" s="200"/>
      <c r="AG1874" s="133"/>
      <c r="AH1874" s="194"/>
      <c r="AI1874" s="232"/>
      <c r="AJ1874" s="232"/>
      <c r="AK1874" s="232"/>
      <c r="AL1874" s="226"/>
      <c r="AM1874" s="229"/>
      <c r="AN1874" s="200"/>
      <c r="AO1874" s="133"/>
      <c r="AP1874" s="194"/>
      <c r="AQ1874" s="232"/>
      <c r="AR1874" s="232"/>
      <c r="AS1874" s="232"/>
      <c r="AT1874" s="226"/>
      <c r="AU1874" s="229"/>
      <c r="AV1874" s="200"/>
    </row>
    <row r="1875" spans="1:48" ht="15.75" thickBot="1" x14ac:dyDescent="0.3">
      <c r="A1875" s="133"/>
      <c r="B1875" s="195"/>
      <c r="C1875" s="232"/>
      <c r="D1875" s="232"/>
      <c r="E1875" s="232"/>
      <c r="F1875" s="226"/>
      <c r="G1875" s="229"/>
      <c r="H1875" s="200"/>
      <c r="I1875" s="133"/>
      <c r="J1875" s="195"/>
      <c r="K1875" s="232"/>
      <c r="L1875" s="232"/>
      <c r="M1875" s="232"/>
      <c r="N1875" s="226"/>
      <c r="O1875" s="229"/>
      <c r="P1875" s="200"/>
      <c r="Q1875" s="133"/>
      <c r="R1875" s="195"/>
      <c r="S1875" s="232"/>
      <c r="T1875" s="232"/>
      <c r="U1875" s="232"/>
      <c r="V1875" s="226"/>
      <c r="W1875" s="229"/>
      <c r="X1875" s="200"/>
      <c r="Y1875" s="133"/>
      <c r="Z1875" s="195"/>
      <c r="AA1875" s="232"/>
      <c r="AB1875" s="232"/>
      <c r="AC1875" s="232"/>
      <c r="AD1875" s="226"/>
      <c r="AE1875" s="229"/>
      <c r="AF1875" s="200"/>
      <c r="AG1875" s="133"/>
      <c r="AH1875" s="195"/>
      <c r="AI1875" s="232"/>
      <c r="AJ1875" s="232"/>
      <c r="AK1875" s="232"/>
      <c r="AL1875" s="226"/>
      <c r="AM1875" s="229"/>
      <c r="AN1875" s="200"/>
      <c r="AO1875" s="133"/>
      <c r="AP1875" s="195"/>
      <c r="AQ1875" s="232"/>
      <c r="AR1875" s="232"/>
      <c r="AS1875" s="232"/>
      <c r="AT1875" s="226"/>
      <c r="AU1875" s="229"/>
      <c r="AV1875" s="200"/>
    </row>
    <row r="1876" spans="1:48" ht="15.75" thickBot="1" x14ac:dyDescent="0.3">
      <c r="A1876" s="133"/>
      <c r="B1876" s="233"/>
      <c r="C1876" s="234"/>
      <c r="D1876" s="234"/>
      <c r="E1876" s="234"/>
      <c r="F1876" s="235"/>
      <c r="G1876" s="236"/>
      <c r="H1876" s="237">
        <f>+SUM(G1871:G1876)</f>
        <v>0</v>
      </c>
      <c r="I1876" s="133"/>
      <c r="J1876" s="233"/>
      <c r="K1876" s="234"/>
      <c r="L1876" s="234"/>
      <c r="M1876" s="234"/>
      <c r="N1876" s="235"/>
      <c r="O1876" s="236"/>
      <c r="P1876" s="237">
        <f>+SUM(O1871:O1876)</f>
        <v>0</v>
      </c>
      <c r="Q1876" s="133"/>
      <c r="R1876" s="233"/>
      <c r="S1876" s="234"/>
      <c r="T1876" s="234"/>
      <c r="U1876" s="234"/>
      <c r="V1876" s="235"/>
      <c r="W1876" s="236"/>
      <c r="X1876" s="237">
        <f>+SUM(W1871:W1876)</f>
        <v>0</v>
      </c>
      <c r="Y1876" s="133"/>
      <c r="Z1876" s="233"/>
      <c r="AA1876" s="234"/>
      <c r="AB1876" s="234"/>
      <c r="AC1876" s="234"/>
      <c r="AD1876" s="235"/>
      <c r="AE1876" s="236"/>
      <c r="AF1876" s="237">
        <f>+SUM(AE1871:AE1876)</f>
        <v>0</v>
      </c>
      <c r="AG1876" s="133"/>
      <c r="AH1876" s="233"/>
      <c r="AI1876" s="234"/>
      <c r="AJ1876" s="234"/>
      <c r="AK1876" s="234"/>
      <c r="AL1876" s="235"/>
      <c r="AM1876" s="236"/>
      <c r="AN1876" s="237">
        <f>+SUM(AM1871:AM1876)</f>
        <v>0</v>
      </c>
      <c r="AO1876" s="133"/>
      <c r="AP1876" s="233"/>
      <c r="AQ1876" s="234"/>
      <c r="AR1876" s="234"/>
      <c r="AS1876" s="234"/>
      <c r="AT1876" s="235"/>
      <c r="AU1876" s="236"/>
      <c r="AV1876" s="237">
        <f>+SUM(AU1871:AU1876)</f>
        <v>0</v>
      </c>
    </row>
    <row r="1877" spans="1:48" ht="15.75" thickBot="1" x14ac:dyDescent="0.3">
      <c r="A1877" s="133"/>
      <c r="B1877" s="238"/>
      <c r="C1877" s="238"/>
      <c r="D1877" s="238"/>
      <c r="E1877" s="238"/>
      <c r="F1877" s="249"/>
      <c r="G1877" s="250"/>
      <c r="H1877" s="241"/>
      <c r="I1877" s="133"/>
      <c r="J1877" s="238"/>
      <c r="K1877" s="238"/>
      <c r="L1877" s="238"/>
      <c r="M1877" s="238"/>
      <c r="N1877" s="249"/>
      <c r="O1877" s="250"/>
      <c r="P1877" s="241"/>
      <c r="Q1877" s="133"/>
      <c r="R1877" s="238"/>
      <c r="S1877" s="238"/>
      <c r="T1877" s="238"/>
      <c r="U1877" s="238"/>
      <c r="V1877" s="249"/>
      <c r="W1877" s="250"/>
      <c r="X1877" s="241"/>
      <c r="Y1877" s="133"/>
      <c r="Z1877" s="238"/>
      <c r="AA1877" s="238"/>
      <c r="AB1877" s="238"/>
      <c r="AC1877" s="238"/>
      <c r="AD1877" s="249"/>
      <c r="AE1877" s="250"/>
      <c r="AF1877" s="241"/>
      <c r="AG1877" s="133"/>
      <c r="AH1877" s="238"/>
      <c r="AI1877" s="238"/>
      <c r="AJ1877" s="238"/>
      <c r="AK1877" s="238"/>
      <c r="AL1877" s="249"/>
      <c r="AM1877" s="250"/>
      <c r="AN1877" s="241"/>
      <c r="AO1877" s="133"/>
      <c r="AP1877" s="238"/>
      <c r="AQ1877" s="238"/>
      <c r="AR1877" s="238"/>
      <c r="AS1877" s="238"/>
      <c r="AT1877" s="249"/>
      <c r="AU1877" s="250"/>
      <c r="AV1877" s="241"/>
    </row>
    <row r="1878" spans="1:48" ht="15.75" thickBot="1" x14ac:dyDescent="0.3">
      <c r="A1878" s="133"/>
      <c r="B1878" s="224" t="s">
        <v>5412</v>
      </c>
      <c r="C1878" s="193" t="s">
        <v>5420</v>
      </c>
      <c r="D1878" s="193" t="s">
        <v>5421</v>
      </c>
      <c r="E1878" s="193" t="s">
        <v>5413</v>
      </c>
      <c r="F1878" s="193" t="s">
        <v>5405</v>
      </c>
      <c r="G1878" s="225" t="s">
        <v>868</v>
      </c>
      <c r="H1878" s="200"/>
      <c r="I1878" s="133"/>
      <c r="J1878" s="224" t="s">
        <v>5412</v>
      </c>
      <c r="K1878" s="193" t="s">
        <v>5420</v>
      </c>
      <c r="L1878" s="193" t="s">
        <v>5421</v>
      </c>
      <c r="M1878" s="193" t="s">
        <v>5413</v>
      </c>
      <c r="N1878" s="193" t="s">
        <v>5405</v>
      </c>
      <c r="O1878" s="225" t="s">
        <v>868</v>
      </c>
      <c r="P1878" s="200"/>
      <c r="Q1878" s="133"/>
      <c r="R1878" s="224" t="s">
        <v>5412</v>
      </c>
      <c r="S1878" s="193" t="s">
        <v>5420</v>
      </c>
      <c r="T1878" s="193" t="s">
        <v>5421</v>
      </c>
      <c r="U1878" s="193" t="s">
        <v>5413</v>
      </c>
      <c r="V1878" s="193" t="s">
        <v>5405</v>
      </c>
      <c r="W1878" s="225" t="s">
        <v>868</v>
      </c>
      <c r="X1878" s="200"/>
      <c r="Y1878" s="133"/>
      <c r="Z1878" s="224" t="s">
        <v>5412</v>
      </c>
      <c r="AA1878" s="193" t="s">
        <v>5420</v>
      </c>
      <c r="AB1878" s="193" t="s">
        <v>5421</v>
      </c>
      <c r="AC1878" s="193" t="s">
        <v>5413</v>
      </c>
      <c r="AD1878" s="193" t="s">
        <v>5405</v>
      </c>
      <c r="AE1878" s="225" t="s">
        <v>868</v>
      </c>
      <c r="AF1878" s="200"/>
      <c r="AG1878" s="133"/>
      <c r="AH1878" s="224" t="s">
        <v>5412</v>
      </c>
      <c r="AI1878" s="193" t="s">
        <v>5420</v>
      </c>
      <c r="AJ1878" s="193" t="s">
        <v>5421</v>
      </c>
      <c r="AK1878" s="193" t="s">
        <v>5413</v>
      </c>
      <c r="AL1878" s="193" t="s">
        <v>5405</v>
      </c>
      <c r="AM1878" s="225" t="s">
        <v>868</v>
      </c>
      <c r="AN1878" s="200"/>
      <c r="AO1878" s="133"/>
      <c r="AP1878" s="224" t="s">
        <v>5412</v>
      </c>
      <c r="AQ1878" s="193" t="s">
        <v>5420</v>
      </c>
      <c r="AR1878" s="193" t="s">
        <v>5421</v>
      </c>
      <c r="AS1878" s="193" t="s">
        <v>5413</v>
      </c>
      <c r="AT1878" s="193" t="s">
        <v>5405</v>
      </c>
      <c r="AU1878" s="225" t="s">
        <v>868</v>
      </c>
      <c r="AV1878" s="200"/>
    </row>
    <row r="1879" spans="1:48" x14ac:dyDescent="0.25">
      <c r="A1879" s="133"/>
      <c r="B1879" s="194" t="s">
        <v>5948</v>
      </c>
      <c r="C1879" s="345">
        <v>70000</v>
      </c>
      <c r="D1879" s="176">
        <f>+C1879*0.85</f>
        <v>59500</v>
      </c>
      <c r="E1879" s="176">
        <f>+C1879+D1879</f>
        <v>129500</v>
      </c>
      <c r="F1879" s="202">
        <v>25</v>
      </c>
      <c r="G1879" s="178">
        <f>+E1879/F1879</f>
        <v>5180</v>
      </c>
      <c r="H1879" s="200"/>
      <c r="I1879" s="133"/>
      <c r="J1879" s="194" t="s">
        <v>5948</v>
      </c>
      <c r="K1879" s="345">
        <v>70000</v>
      </c>
      <c r="L1879" s="176">
        <f>+K1879*0.85</f>
        <v>59500</v>
      </c>
      <c r="M1879" s="175">
        <f>+K1879+L1879</f>
        <v>129500</v>
      </c>
      <c r="N1879" s="202">
        <v>20</v>
      </c>
      <c r="O1879" s="178">
        <f>+M1879/N1879</f>
        <v>6475</v>
      </c>
      <c r="P1879" s="200"/>
      <c r="Q1879" s="133"/>
      <c r="R1879" s="194" t="s">
        <v>5948</v>
      </c>
      <c r="S1879" s="345">
        <v>70000</v>
      </c>
      <c r="T1879" s="176">
        <f>+S1879*0.85</f>
        <v>59500</v>
      </c>
      <c r="U1879" s="175">
        <f>+S1879+T1879</f>
        <v>129500</v>
      </c>
      <c r="V1879" s="202">
        <v>20</v>
      </c>
      <c r="W1879" s="178">
        <f>+U1879/V1879</f>
        <v>6475</v>
      </c>
      <c r="X1879" s="200"/>
      <c r="Y1879" s="133"/>
      <c r="Z1879" s="194" t="s">
        <v>5948</v>
      </c>
      <c r="AA1879" s="345">
        <v>70000</v>
      </c>
      <c r="AB1879" s="176">
        <f>+AA1879*0.85</f>
        <v>59500</v>
      </c>
      <c r="AC1879" s="176">
        <f>+AA1879+AB1879</f>
        <v>129500</v>
      </c>
      <c r="AD1879" s="202">
        <v>20</v>
      </c>
      <c r="AE1879" s="178">
        <f>AC1879/AD1879</f>
        <v>6475</v>
      </c>
      <c r="AF1879" s="200"/>
      <c r="AG1879" s="133"/>
      <c r="AH1879" s="194" t="s">
        <v>5948</v>
      </c>
      <c r="AI1879" s="345">
        <v>70000</v>
      </c>
      <c r="AJ1879" s="176">
        <f>+AI1879*0.85</f>
        <v>59500</v>
      </c>
      <c r="AK1879" s="176">
        <f>+AI1879+AJ1879</f>
        <v>129500</v>
      </c>
      <c r="AL1879" s="202">
        <v>20</v>
      </c>
      <c r="AM1879" s="178">
        <f>AK1879/AL1879</f>
        <v>6475</v>
      </c>
      <c r="AN1879" s="200"/>
      <c r="AO1879" s="133"/>
      <c r="AP1879" s="194" t="s">
        <v>5948</v>
      </c>
      <c r="AQ1879" s="176">
        <v>70000</v>
      </c>
      <c r="AR1879" s="176">
        <f>+AQ1879*0.85</f>
        <v>59500</v>
      </c>
      <c r="AS1879" s="176">
        <f>+AQ1879+AR1879</f>
        <v>129500</v>
      </c>
      <c r="AT1879" s="202">
        <v>15</v>
      </c>
      <c r="AU1879" s="178">
        <f>AS1879/AT1879</f>
        <v>8633.3333333333339</v>
      </c>
      <c r="AV1879" s="200"/>
    </row>
    <row r="1880" spans="1:48" x14ac:dyDescent="0.25">
      <c r="A1880" s="133"/>
      <c r="B1880" s="194" t="s">
        <v>5651</v>
      </c>
      <c r="C1880" s="345">
        <v>40000</v>
      </c>
      <c r="D1880" s="176">
        <f>+C1880*0.85</f>
        <v>34000</v>
      </c>
      <c r="E1880" s="176">
        <f>+C1880+D1880</f>
        <v>74000</v>
      </c>
      <c r="F1880" s="202">
        <v>1.2</v>
      </c>
      <c r="G1880" s="178">
        <f>+E1880/F1880</f>
        <v>61666.666666666672</v>
      </c>
      <c r="H1880" s="200"/>
      <c r="I1880" s="133"/>
      <c r="J1880" s="194" t="s">
        <v>5651</v>
      </c>
      <c r="K1880" s="345">
        <v>40000</v>
      </c>
      <c r="L1880" s="176">
        <f>+K1880*0.85</f>
        <v>34000</v>
      </c>
      <c r="M1880" s="175">
        <f>+K1880+L1880</f>
        <v>74000</v>
      </c>
      <c r="N1880" s="202">
        <v>1.2</v>
      </c>
      <c r="O1880" s="178">
        <f>+M1880/N1880</f>
        <v>61666.666666666672</v>
      </c>
      <c r="P1880" s="200"/>
      <c r="Q1880" s="133"/>
      <c r="R1880" s="194" t="s">
        <v>5651</v>
      </c>
      <c r="S1880" s="345">
        <v>40000</v>
      </c>
      <c r="T1880" s="176">
        <f>+S1880*0.85</f>
        <v>34000</v>
      </c>
      <c r="U1880" s="175">
        <f>+S1880+T1880</f>
        <v>74000</v>
      </c>
      <c r="V1880" s="202">
        <v>1</v>
      </c>
      <c r="W1880" s="178">
        <f>+U1880/V1880</f>
        <v>74000</v>
      </c>
      <c r="X1880" s="200"/>
      <c r="Y1880" s="133"/>
      <c r="Z1880" s="194" t="s">
        <v>5651</v>
      </c>
      <c r="AA1880" s="345">
        <v>40000</v>
      </c>
      <c r="AB1880" s="176">
        <f>+AA1880*0.85</f>
        <v>34000</v>
      </c>
      <c r="AC1880" s="176">
        <f>+AA1880+AB1880</f>
        <v>74000</v>
      </c>
      <c r="AD1880" s="202">
        <v>0.9</v>
      </c>
      <c r="AE1880" s="178">
        <f>AC1880/AD1880</f>
        <v>82222.222222222219</v>
      </c>
      <c r="AF1880" s="200"/>
      <c r="AG1880" s="133"/>
      <c r="AH1880" s="194" t="s">
        <v>5651</v>
      </c>
      <c r="AI1880" s="345">
        <v>40000</v>
      </c>
      <c r="AJ1880" s="176">
        <f>+AI1880*0.85</f>
        <v>34000</v>
      </c>
      <c r="AK1880" s="176">
        <f>+AI1880+AJ1880</f>
        <v>74000</v>
      </c>
      <c r="AL1880" s="202">
        <v>0.8</v>
      </c>
      <c r="AM1880" s="178">
        <f>AK1880/AL1880</f>
        <v>92500</v>
      </c>
      <c r="AN1880" s="200"/>
      <c r="AO1880" s="133"/>
      <c r="AP1880" s="194" t="s">
        <v>5651</v>
      </c>
      <c r="AQ1880" s="176">
        <v>40000</v>
      </c>
      <c r="AR1880" s="176">
        <f>+AQ1880*0.85</f>
        <v>34000</v>
      </c>
      <c r="AS1880" s="176">
        <f>+AQ1880+AR1880</f>
        <v>74000</v>
      </c>
      <c r="AT1880" s="202">
        <v>0.6</v>
      </c>
      <c r="AU1880" s="178">
        <f>AS1880/AT1880</f>
        <v>123333.33333333334</v>
      </c>
      <c r="AV1880" s="200"/>
    </row>
    <row r="1881" spans="1:48" x14ac:dyDescent="0.25">
      <c r="A1881" s="133"/>
      <c r="B1881" s="195" t="s">
        <v>5635</v>
      </c>
      <c r="C1881" s="345">
        <v>20600</v>
      </c>
      <c r="D1881" s="176">
        <f>+C1881*0.85</f>
        <v>17510</v>
      </c>
      <c r="E1881" s="176">
        <f>+C1881+D1881</f>
        <v>38110</v>
      </c>
      <c r="F1881" s="226">
        <v>1.2</v>
      </c>
      <c r="G1881" s="178">
        <f>+E1881/F1881</f>
        <v>31758.333333333336</v>
      </c>
      <c r="H1881" s="200"/>
      <c r="I1881" s="133"/>
      <c r="J1881" s="195" t="s">
        <v>5635</v>
      </c>
      <c r="K1881" s="345">
        <v>20600</v>
      </c>
      <c r="L1881" s="176">
        <f>+K1881*0.85</f>
        <v>17510</v>
      </c>
      <c r="M1881" s="175">
        <f>+K1881+L1881</f>
        <v>38110</v>
      </c>
      <c r="N1881" s="226">
        <v>1.2</v>
      </c>
      <c r="O1881" s="178">
        <f>+M1881/N1881</f>
        <v>31758.333333333336</v>
      </c>
      <c r="P1881" s="200"/>
      <c r="Q1881" s="133"/>
      <c r="R1881" s="195" t="s">
        <v>5635</v>
      </c>
      <c r="S1881" s="345">
        <v>20600</v>
      </c>
      <c r="T1881" s="176">
        <f>+S1881*0.85</f>
        <v>17510</v>
      </c>
      <c r="U1881" s="175">
        <f>+S1881+T1881</f>
        <v>38110</v>
      </c>
      <c r="V1881" s="226">
        <v>1</v>
      </c>
      <c r="W1881" s="178">
        <f>+U1881/V1881</f>
        <v>38110</v>
      </c>
      <c r="X1881" s="200"/>
      <c r="Y1881" s="133"/>
      <c r="Z1881" s="195" t="s">
        <v>5635</v>
      </c>
      <c r="AA1881" s="345">
        <v>20600</v>
      </c>
      <c r="AB1881" s="176">
        <f>+AA1881*0.85</f>
        <v>17510</v>
      </c>
      <c r="AC1881" s="176">
        <f>+AA1881+AB1881</f>
        <v>38110</v>
      </c>
      <c r="AD1881" s="226">
        <v>0.9</v>
      </c>
      <c r="AE1881" s="178">
        <f>AC1881/AD1881</f>
        <v>42344.444444444445</v>
      </c>
      <c r="AF1881" s="200"/>
      <c r="AG1881" s="133"/>
      <c r="AH1881" s="195" t="s">
        <v>5635</v>
      </c>
      <c r="AI1881" s="345">
        <v>20600</v>
      </c>
      <c r="AJ1881" s="176">
        <f>+AI1881*0.85</f>
        <v>17510</v>
      </c>
      <c r="AK1881" s="176">
        <f>+AI1881+AJ1881</f>
        <v>38110</v>
      </c>
      <c r="AL1881" s="226">
        <v>0.8</v>
      </c>
      <c r="AM1881" s="178">
        <f>AK1881/AL1881</f>
        <v>47637.5</v>
      </c>
      <c r="AN1881" s="200"/>
      <c r="AO1881" s="133"/>
      <c r="AP1881" s="195" t="s">
        <v>5635</v>
      </c>
      <c r="AQ1881" s="176">
        <v>19650</v>
      </c>
      <c r="AR1881" s="176">
        <f>+AQ1881*0.85</f>
        <v>16702.5</v>
      </c>
      <c r="AS1881" s="176">
        <f>+AQ1881+AR1881</f>
        <v>36352.5</v>
      </c>
      <c r="AT1881" s="226">
        <v>0.6</v>
      </c>
      <c r="AU1881" s="178">
        <f>AS1881/AT1881</f>
        <v>60587.5</v>
      </c>
      <c r="AV1881" s="200"/>
    </row>
    <row r="1882" spans="1:48" x14ac:dyDescent="0.25">
      <c r="A1882" s="133"/>
      <c r="B1882" s="195"/>
      <c r="C1882" s="171"/>
      <c r="D1882" s="176"/>
      <c r="E1882" s="176"/>
      <c r="F1882" s="226"/>
      <c r="G1882" s="178"/>
      <c r="H1882" s="200"/>
      <c r="I1882" s="133"/>
      <c r="J1882" s="195"/>
      <c r="K1882" s="171"/>
      <c r="L1882" s="176"/>
      <c r="M1882" s="176"/>
      <c r="N1882" s="226"/>
      <c r="O1882" s="178"/>
      <c r="P1882" s="200"/>
      <c r="Q1882" s="133"/>
      <c r="R1882" s="195"/>
      <c r="S1882" s="171"/>
      <c r="T1882" s="176"/>
      <c r="U1882" s="176"/>
      <c r="V1882" s="226"/>
      <c r="W1882" s="178"/>
      <c r="X1882" s="200"/>
      <c r="Y1882" s="133"/>
      <c r="Z1882" s="195"/>
      <c r="AA1882" s="171"/>
      <c r="AB1882" s="176"/>
      <c r="AC1882" s="176"/>
      <c r="AD1882" s="226"/>
      <c r="AE1882" s="178"/>
      <c r="AF1882" s="200"/>
      <c r="AG1882" s="133"/>
      <c r="AH1882" s="195"/>
      <c r="AI1882" s="171"/>
      <c r="AJ1882" s="176"/>
      <c r="AK1882" s="176"/>
      <c r="AL1882" s="226"/>
      <c r="AM1882" s="178"/>
      <c r="AN1882" s="200"/>
      <c r="AO1882" s="133"/>
      <c r="AP1882" s="195"/>
      <c r="AQ1882" s="171"/>
      <c r="AR1882" s="176"/>
      <c r="AS1882" s="176"/>
      <c r="AT1882" s="226"/>
      <c r="AU1882" s="178"/>
      <c r="AV1882" s="200"/>
    </row>
    <row r="1883" spans="1:48" x14ac:dyDescent="0.25">
      <c r="A1883" s="133"/>
      <c r="B1883" s="195"/>
      <c r="C1883" s="232"/>
      <c r="D1883" s="232"/>
      <c r="E1883" s="232"/>
      <c r="F1883" s="226"/>
      <c r="G1883" s="229"/>
      <c r="H1883" s="200"/>
      <c r="I1883" s="133"/>
      <c r="J1883" s="195"/>
      <c r="K1883" s="232"/>
      <c r="L1883" s="232"/>
      <c r="M1883" s="232"/>
      <c r="N1883" s="226"/>
      <c r="O1883" s="229"/>
      <c r="P1883" s="200"/>
      <c r="Q1883" s="133"/>
      <c r="R1883" s="195"/>
      <c r="S1883" s="232"/>
      <c r="T1883" s="232"/>
      <c r="U1883" s="232"/>
      <c r="V1883" s="226"/>
      <c r="W1883" s="229"/>
      <c r="X1883" s="200"/>
      <c r="Y1883" s="133"/>
      <c r="Z1883" s="195"/>
      <c r="AA1883" s="232"/>
      <c r="AB1883" s="232"/>
      <c r="AC1883" s="232"/>
      <c r="AD1883" s="226"/>
      <c r="AE1883" s="229"/>
      <c r="AF1883" s="200"/>
      <c r="AG1883" s="133"/>
      <c r="AH1883" s="195"/>
      <c r="AI1883" s="232"/>
      <c r="AJ1883" s="232"/>
      <c r="AK1883" s="232"/>
      <c r="AL1883" s="226"/>
      <c r="AM1883" s="229"/>
      <c r="AN1883" s="200"/>
      <c r="AO1883" s="133"/>
      <c r="AP1883" s="195"/>
      <c r="AQ1883" s="232"/>
      <c r="AR1883" s="232"/>
      <c r="AS1883" s="232"/>
      <c r="AT1883" s="226"/>
      <c r="AU1883" s="229"/>
      <c r="AV1883" s="200"/>
    </row>
    <row r="1884" spans="1:48" ht="15.75" thickBot="1" x14ac:dyDescent="0.3">
      <c r="A1884" s="133"/>
      <c r="B1884" s="195"/>
      <c r="C1884" s="232"/>
      <c r="D1884" s="232"/>
      <c r="E1884" s="232"/>
      <c r="F1884" s="226"/>
      <c r="G1884" s="229"/>
      <c r="H1884" s="200"/>
      <c r="I1884" s="133"/>
      <c r="J1884" s="195"/>
      <c r="K1884" s="232"/>
      <c r="L1884" s="232"/>
      <c r="M1884" s="232"/>
      <c r="N1884" s="226"/>
      <c r="O1884" s="229"/>
      <c r="P1884" s="200"/>
      <c r="Q1884" s="133"/>
      <c r="R1884" s="195"/>
      <c r="S1884" s="232"/>
      <c r="T1884" s="232"/>
      <c r="U1884" s="232"/>
      <c r="V1884" s="226"/>
      <c r="W1884" s="229"/>
      <c r="X1884" s="200"/>
      <c r="Y1884" s="133"/>
      <c r="Z1884" s="195"/>
      <c r="AA1884" s="232"/>
      <c r="AB1884" s="232"/>
      <c r="AC1884" s="232"/>
      <c r="AD1884" s="226"/>
      <c r="AE1884" s="229"/>
      <c r="AF1884" s="200"/>
      <c r="AG1884" s="133"/>
      <c r="AH1884" s="195"/>
      <c r="AI1884" s="232"/>
      <c r="AJ1884" s="232"/>
      <c r="AK1884" s="232"/>
      <c r="AL1884" s="226"/>
      <c r="AM1884" s="229"/>
      <c r="AN1884" s="200"/>
      <c r="AO1884" s="133"/>
      <c r="AP1884" s="195"/>
      <c r="AQ1884" s="232"/>
      <c r="AR1884" s="232"/>
      <c r="AS1884" s="232"/>
      <c r="AT1884" s="226"/>
      <c r="AU1884" s="229"/>
      <c r="AV1884" s="200"/>
    </row>
    <row r="1885" spans="1:48" ht="15.75" thickBot="1" x14ac:dyDescent="0.3">
      <c r="A1885" s="133"/>
      <c r="B1885" s="251"/>
      <c r="C1885" s="252"/>
      <c r="D1885" s="252"/>
      <c r="E1885" s="252"/>
      <c r="F1885" s="253"/>
      <c r="G1885" s="254"/>
      <c r="H1885" s="237">
        <f>+SUM(G1879:G1885)</f>
        <v>98605</v>
      </c>
      <c r="I1885" s="133"/>
      <c r="J1885" s="251"/>
      <c r="K1885" s="252"/>
      <c r="L1885" s="252"/>
      <c r="M1885" s="252"/>
      <c r="N1885" s="253"/>
      <c r="O1885" s="254"/>
      <c r="P1885" s="237">
        <f>+SUM(O1879:O1885)</f>
        <v>99900</v>
      </c>
      <c r="Q1885" s="133"/>
      <c r="R1885" s="251"/>
      <c r="S1885" s="252"/>
      <c r="T1885" s="252"/>
      <c r="U1885" s="252"/>
      <c r="V1885" s="253"/>
      <c r="W1885" s="254"/>
      <c r="X1885" s="237">
        <f>+SUM(W1879:W1885)</f>
        <v>118585</v>
      </c>
      <c r="Y1885" s="133"/>
      <c r="Z1885" s="251"/>
      <c r="AA1885" s="252"/>
      <c r="AB1885" s="252"/>
      <c r="AC1885" s="252"/>
      <c r="AD1885" s="253"/>
      <c r="AE1885" s="254"/>
      <c r="AF1885" s="237">
        <f>+SUM(AE1879:AE1885)</f>
        <v>131041.66666666666</v>
      </c>
      <c r="AG1885" s="133"/>
      <c r="AH1885" s="251"/>
      <c r="AI1885" s="252"/>
      <c r="AJ1885" s="252"/>
      <c r="AK1885" s="252"/>
      <c r="AL1885" s="253"/>
      <c r="AM1885" s="254"/>
      <c r="AN1885" s="237">
        <f>+SUM(AM1879:AM1885)</f>
        <v>146612.5</v>
      </c>
      <c r="AO1885" s="133"/>
      <c r="AP1885" s="251"/>
      <c r="AQ1885" s="252"/>
      <c r="AR1885" s="252"/>
      <c r="AS1885" s="252"/>
      <c r="AT1885" s="253"/>
      <c r="AU1885" s="254"/>
      <c r="AV1885" s="237">
        <f>+SUM(AU1879:AU1885)</f>
        <v>192554.16666666669</v>
      </c>
    </row>
    <row r="1886" spans="1:48" ht="15.75" thickBot="1" x14ac:dyDescent="0.3">
      <c r="A1886" s="133"/>
      <c r="B1886" s="8"/>
      <c r="C1886" s="8"/>
      <c r="D1886" s="8"/>
      <c r="E1886" s="8"/>
      <c r="F1886" s="133"/>
      <c r="G1886" s="200"/>
      <c r="H1886" s="200"/>
      <c r="I1886" s="133"/>
      <c r="J1886" s="8"/>
      <c r="K1886" s="8"/>
      <c r="L1886" s="8"/>
      <c r="M1886" s="8"/>
      <c r="N1886" s="133"/>
      <c r="O1886" s="200"/>
      <c r="P1886" s="200"/>
      <c r="Q1886" s="133"/>
      <c r="R1886" s="8"/>
      <c r="S1886" s="8"/>
      <c r="T1886" s="8"/>
      <c r="U1886" s="8"/>
      <c r="V1886" s="133"/>
      <c r="W1886" s="200"/>
      <c r="X1886" s="200"/>
      <c r="Y1886" s="133"/>
      <c r="Z1886" s="8"/>
      <c r="AA1886" s="8"/>
      <c r="AB1886" s="8"/>
      <c r="AC1886" s="8"/>
      <c r="AD1886" s="133"/>
      <c r="AE1886" s="200"/>
      <c r="AF1886" s="200"/>
      <c r="AG1886" s="133"/>
      <c r="AH1886" s="8"/>
      <c r="AI1886" s="8"/>
      <c r="AJ1886" s="8"/>
      <c r="AK1886" s="8"/>
      <c r="AL1886" s="133"/>
      <c r="AM1886" s="200"/>
      <c r="AN1886" s="200"/>
      <c r="AO1886" s="133"/>
      <c r="AP1886" s="8"/>
      <c r="AQ1886" s="8"/>
      <c r="AR1886" s="8"/>
      <c r="AS1886" s="8"/>
      <c r="AT1886" s="133"/>
      <c r="AU1886" s="200"/>
      <c r="AV1886" s="200"/>
    </row>
    <row r="1887" spans="1:48" ht="15.75" thickBot="1" x14ac:dyDescent="0.3">
      <c r="A1887" s="133"/>
      <c r="B1887" s="8"/>
      <c r="C1887" s="8"/>
      <c r="D1887" s="8"/>
      <c r="E1887" s="223" t="s">
        <v>5415</v>
      </c>
      <c r="F1887" s="133"/>
      <c r="G1887" s="200"/>
      <c r="H1887" s="237">
        <f>+H1885+H1876+H1868+H1853</f>
        <v>118326</v>
      </c>
      <c r="I1887" s="133"/>
      <c r="J1887" s="8"/>
      <c r="K1887" s="8"/>
      <c r="L1887" s="8"/>
      <c r="M1887" s="223" t="s">
        <v>5415</v>
      </c>
      <c r="N1887" s="223"/>
      <c r="O1887" s="200"/>
      <c r="P1887" s="237">
        <f>+P1885+P1876+P1868+P1853</f>
        <v>129880</v>
      </c>
      <c r="Q1887" s="133"/>
      <c r="R1887" s="8"/>
      <c r="S1887" s="8"/>
      <c r="T1887" s="223"/>
      <c r="U1887" s="223" t="s">
        <v>5415</v>
      </c>
      <c r="V1887" s="133"/>
      <c r="W1887" s="200"/>
      <c r="X1887" s="237">
        <f>+X1885+X1876+X1868+X1853</f>
        <v>157302</v>
      </c>
      <c r="Y1887" s="133"/>
      <c r="Z1887" s="8"/>
      <c r="AA1887" s="8"/>
      <c r="AB1887" s="8"/>
      <c r="AC1887" s="223" t="s">
        <v>5415</v>
      </c>
      <c r="AD1887" s="133"/>
      <c r="AE1887" s="200"/>
      <c r="AF1887" s="237">
        <f>+AF1885+AF1876+AF1868+AF1853</f>
        <v>177250</v>
      </c>
      <c r="AG1887" s="133"/>
      <c r="AH1887" s="8"/>
      <c r="AI1887" s="8"/>
      <c r="AJ1887" s="8"/>
      <c r="AK1887" s="223" t="s">
        <v>5415</v>
      </c>
      <c r="AL1887" s="133"/>
      <c r="AM1887" s="200"/>
      <c r="AN1887" s="237">
        <f>+AN1885+AN1876+AN1868+AN1853</f>
        <v>205935</v>
      </c>
      <c r="AO1887" s="133"/>
      <c r="AP1887" s="8"/>
      <c r="AQ1887" s="8"/>
      <c r="AR1887" s="8"/>
      <c r="AS1887" s="223" t="s">
        <v>5415</v>
      </c>
      <c r="AT1887" s="133"/>
      <c r="AU1887" s="200"/>
      <c r="AV1887" s="237">
        <f>+AV1885+AV1876+AV1868+AV1853</f>
        <v>291065</v>
      </c>
    </row>
    <row r="1888" spans="1:48" x14ac:dyDescent="0.25">
      <c r="A1888" s="265"/>
      <c r="B1888" s="265"/>
      <c r="C1888" s="265"/>
      <c r="D1888" s="265"/>
      <c r="E1888" s="265"/>
      <c r="F1888" s="265"/>
      <c r="G1888" s="265"/>
      <c r="H1888" s="265"/>
      <c r="I1888" s="265"/>
      <c r="J1888" s="265"/>
      <c r="K1888" s="265"/>
      <c r="L1888" s="265"/>
      <c r="M1888" s="265"/>
      <c r="N1888" s="265"/>
      <c r="O1888" s="265"/>
      <c r="P1888" s="265"/>
      <c r="Q1888" s="265"/>
    </row>
    <row r="1889" spans="1:17" x14ac:dyDescent="0.25">
      <c r="A1889" s="265"/>
      <c r="B1889" s="265"/>
      <c r="C1889" s="265"/>
      <c r="D1889" s="265"/>
      <c r="E1889" s="265"/>
      <c r="F1889" s="265"/>
      <c r="G1889" s="265"/>
      <c r="H1889" s="265"/>
      <c r="I1889" s="265"/>
      <c r="J1889" s="265"/>
      <c r="K1889" s="265"/>
      <c r="L1889" s="265"/>
      <c r="M1889" s="265"/>
      <c r="N1889" s="265"/>
      <c r="O1889" s="265"/>
      <c r="P1889" s="265"/>
      <c r="Q1889" s="265"/>
    </row>
    <row r="1890" spans="1:17" x14ac:dyDescent="0.25">
      <c r="A1890" s="265"/>
      <c r="B1890" s="265"/>
      <c r="C1890" s="265"/>
      <c r="D1890" s="265"/>
      <c r="E1890" s="265"/>
      <c r="F1890" s="265"/>
      <c r="G1890" s="265"/>
      <c r="H1890" s="265"/>
      <c r="I1890" s="265"/>
      <c r="J1890" s="265"/>
      <c r="K1890" s="265"/>
      <c r="L1890" s="265"/>
      <c r="M1890" s="265"/>
      <c r="N1890" s="265"/>
      <c r="O1890" s="265"/>
      <c r="P1890" s="265"/>
      <c r="Q1890" s="265"/>
    </row>
    <row r="1891" spans="1:17" x14ac:dyDescent="0.25">
      <c r="A1891" s="265"/>
      <c r="B1891" s="265"/>
      <c r="C1891" s="265"/>
      <c r="D1891" s="265"/>
      <c r="E1891" s="265"/>
      <c r="F1891" s="265"/>
      <c r="G1891" s="265"/>
      <c r="H1891" s="265"/>
      <c r="I1891" s="265"/>
      <c r="J1891" s="265"/>
      <c r="K1891" s="265"/>
      <c r="L1891" s="265"/>
      <c r="M1891" s="265"/>
      <c r="N1891" s="265"/>
      <c r="O1891" s="265"/>
      <c r="P1891" s="265"/>
      <c r="Q1891" s="265"/>
    </row>
    <row r="1892" spans="1:17" ht="18.75" x14ac:dyDescent="0.25">
      <c r="A1892" s="133"/>
      <c r="B1892" s="2506" t="s">
        <v>5400</v>
      </c>
      <c r="C1892" s="2506"/>
      <c r="D1892" s="2506"/>
      <c r="E1892" s="2506"/>
      <c r="F1892" s="2506"/>
      <c r="G1892" s="2506"/>
      <c r="H1892" s="8"/>
      <c r="I1892" s="133"/>
      <c r="J1892" s="2506"/>
      <c r="K1892" s="2506"/>
      <c r="L1892" s="2506"/>
      <c r="M1892" s="2506"/>
      <c r="N1892" s="2506"/>
      <c r="O1892" s="2506"/>
      <c r="P1892" s="2506"/>
      <c r="Q1892" s="8"/>
    </row>
    <row r="1893" spans="1:17" x14ac:dyDescent="0.25">
      <c r="A1893" s="133"/>
      <c r="B1893" s="8"/>
      <c r="C1893" s="8"/>
      <c r="D1893" s="8"/>
      <c r="E1893" s="8"/>
      <c r="F1893" s="133"/>
      <c r="G1893" s="200"/>
      <c r="H1893" s="200"/>
      <c r="I1893" s="133"/>
      <c r="J1893" s="8"/>
      <c r="K1893" s="8"/>
      <c r="L1893" s="8"/>
      <c r="M1893" s="8"/>
      <c r="N1893" s="8"/>
      <c r="O1893" s="133"/>
      <c r="P1893" s="200"/>
      <c r="Q1893" s="200"/>
    </row>
    <row r="1894" spans="1:17" x14ac:dyDescent="0.25">
      <c r="A1894" s="133"/>
      <c r="B1894" s="8"/>
      <c r="C1894" s="8"/>
      <c r="D1894" s="8"/>
      <c r="E1894" s="8"/>
      <c r="F1894" s="133"/>
      <c r="G1894" s="200"/>
      <c r="H1894" s="200"/>
      <c r="I1894" s="133"/>
      <c r="J1894" s="8"/>
      <c r="K1894" s="8"/>
      <c r="L1894" s="8"/>
      <c r="M1894" s="8"/>
      <c r="N1894" s="8"/>
      <c r="O1894" s="133"/>
      <c r="P1894" s="200"/>
      <c r="Q1894" s="200"/>
    </row>
    <row r="1895" spans="1:17" x14ac:dyDescent="0.25">
      <c r="A1895" s="133"/>
      <c r="B1895" s="8"/>
      <c r="C1895" s="8"/>
      <c r="D1895" s="8"/>
      <c r="E1895" s="8"/>
      <c r="F1895" s="133"/>
      <c r="G1895" s="200"/>
      <c r="H1895" s="200"/>
      <c r="I1895" s="133"/>
      <c r="J1895" s="8"/>
      <c r="K1895" s="8"/>
      <c r="L1895" s="8"/>
      <c r="M1895" s="8"/>
      <c r="N1895" s="8"/>
      <c r="O1895" s="133"/>
      <c r="P1895" s="200"/>
      <c r="Q1895" s="200"/>
    </row>
    <row r="1896" spans="1:17" ht="28.5" customHeight="1" x14ac:dyDescent="0.25">
      <c r="A1896" s="220" t="s">
        <v>5482</v>
      </c>
      <c r="B1896" s="221" t="s">
        <v>410</v>
      </c>
      <c r="C1896" s="2449" t="s">
        <v>5510</v>
      </c>
      <c r="D1896" s="2449"/>
      <c r="E1896" s="2449"/>
      <c r="F1896" s="220" t="s">
        <v>867</v>
      </c>
      <c r="G1896" s="222" t="s">
        <v>5424</v>
      </c>
      <c r="H1896" s="200"/>
      <c r="I1896" s="220"/>
      <c r="J1896" s="221"/>
      <c r="K1896" s="2449"/>
      <c r="L1896" s="2449"/>
      <c r="M1896" s="2449"/>
      <c r="N1896" s="2449"/>
      <c r="O1896" s="220"/>
      <c r="P1896" s="222"/>
      <c r="Q1896" s="200"/>
    </row>
    <row r="1897" spans="1:17" x14ac:dyDescent="0.25">
      <c r="A1897" s="133"/>
      <c r="B1897" s="8"/>
      <c r="C1897" s="223"/>
      <c r="D1897" s="223"/>
      <c r="E1897" s="223"/>
      <c r="F1897" s="133"/>
      <c r="G1897" s="200"/>
      <c r="H1897" s="200"/>
      <c r="I1897" s="133"/>
      <c r="J1897" s="8"/>
      <c r="K1897" s="223"/>
      <c r="L1897" s="223"/>
      <c r="M1897" s="223"/>
      <c r="N1897" s="223"/>
      <c r="O1897" s="133"/>
      <c r="P1897" s="200"/>
      <c r="Q1897" s="200"/>
    </row>
    <row r="1898" spans="1:17" x14ac:dyDescent="0.25">
      <c r="A1898" s="133"/>
      <c r="B1898" s="8"/>
      <c r="C1898" s="8"/>
      <c r="D1898" s="8"/>
      <c r="E1898" s="8"/>
      <c r="F1898" s="8"/>
      <c r="G1898" s="8"/>
      <c r="H1898" s="200"/>
      <c r="I1898" s="133"/>
      <c r="J1898" s="8"/>
      <c r="K1898" s="8"/>
      <c r="L1898" s="8"/>
      <c r="M1898" s="8"/>
      <c r="N1898" s="8"/>
      <c r="O1898" s="8"/>
      <c r="P1898" s="8"/>
      <c r="Q1898" s="200"/>
    </row>
    <row r="1899" spans="1:17" ht="15.75" thickBot="1" x14ac:dyDescent="0.3">
      <c r="A1899" s="133"/>
      <c r="B1899" s="8"/>
      <c r="C1899" s="8"/>
      <c r="D1899" s="8"/>
      <c r="E1899" s="8"/>
      <c r="F1899" s="133"/>
      <c r="G1899" s="200"/>
      <c r="H1899" s="200"/>
      <c r="I1899" s="133"/>
      <c r="J1899" s="8"/>
      <c r="K1899" s="8"/>
      <c r="L1899" s="8"/>
      <c r="M1899" s="8"/>
      <c r="N1899" s="8"/>
      <c r="O1899" s="133"/>
      <c r="P1899" s="200"/>
      <c r="Q1899" s="200"/>
    </row>
    <row r="1900" spans="1:17" ht="15.75" thickBot="1" x14ac:dyDescent="0.3">
      <c r="A1900" s="133"/>
      <c r="B1900" s="224" t="s">
        <v>5403</v>
      </c>
      <c r="C1900" s="193" t="s">
        <v>867</v>
      </c>
      <c r="D1900" s="193" t="s">
        <v>6</v>
      </c>
      <c r="E1900" s="193" t="s">
        <v>5439</v>
      </c>
      <c r="F1900" s="193" t="s">
        <v>5405</v>
      </c>
      <c r="G1900" s="225" t="s">
        <v>868</v>
      </c>
      <c r="H1900" s="200"/>
      <c r="I1900" s="133"/>
      <c r="J1900" s="224"/>
      <c r="K1900" s="193"/>
      <c r="L1900" s="193"/>
      <c r="M1900" s="193"/>
      <c r="N1900" s="193"/>
      <c r="O1900" s="193"/>
      <c r="P1900" s="225"/>
      <c r="Q1900" s="200"/>
    </row>
    <row r="1901" spans="1:17" x14ac:dyDescent="0.25">
      <c r="A1901" s="133"/>
      <c r="B1901" s="195" t="s">
        <v>5440</v>
      </c>
      <c r="C1901" s="226" t="s">
        <v>5402</v>
      </c>
      <c r="D1901" s="226">
        <v>1</v>
      </c>
      <c r="E1901" s="263">
        <f>+H1939</f>
        <v>146612.5</v>
      </c>
      <c r="F1901" s="226">
        <v>0.12</v>
      </c>
      <c r="G1901" s="229">
        <f>+E1901*F1901</f>
        <v>17593.5</v>
      </c>
      <c r="H1901" s="200"/>
      <c r="I1901" s="133"/>
      <c r="J1901" s="195"/>
      <c r="K1901" s="226"/>
      <c r="L1901" s="226"/>
      <c r="M1901" s="263"/>
      <c r="N1901" s="228"/>
      <c r="O1901" s="226"/>
      <c r="P1901" s="229"/>
      <c r="Q1901" s="200"/>
    </row>
    <row r="1902" spans="1:17" x14ac:dyDescent="0.25">
      <c r="A1902" s="133"/>
      <c r="B1902" s="195" t="s">
        <v>6063</v>
      </c>
      <c r="C1902" s="226" t="s">
        <v>5424</v>
      </c>
      <c r="D1902" s="226">
        <v>1</v>
      </c>
      <c r="E1902" s="176">
        <v>120000</v>
      </c>
      <c r="F1902" s="226">
        <v>16</v>
      </c>
      <c r="G1902" s="229">
        <f>+E1902/F1902</f>
        <v>7500</v>
      </c>
      <c r="H1902" s="200"/>
      <c r="I1902" s="133"/>
      <c r="J1902" s="195"/>
      <c r="K1902" s="226"/>
      <c r="L1902" s="226"/>
      <c r="M1902" s="264"/>
      <c r="N1902" s="228"/>
      <c r="O1902" s="226"/>
      <c r="P1902" s="229"/>
      <c r="Q1902" s="200"/>
    </row>
    <row r="1903" spans="1:17" x14ac:dyDescent="0.25">
      <c r="A1903" s="133"/>
      <c r="B1903" s="195"/>
      <c r="C1903" s="226"/>
      <c r="D1903" s="226"/>
      <c r="E1903" s="176"/>
      <c r="F1903" s="226"/>
      <c r="G1903" s="229"/>
      <c r="H1903" s="200"/>
      <c r="I1903" s="133"/>
      <c r="J1903" s="195"/>
      <c r="K1903" s="226"/>
      <c r="L1903" s="226"/>
      <c r="M1903" s="176"/>
      <c r="N1903" s="176"/>
      <c r="O1903" s="226"/>
      <c r="P1903" s="229"/>
      <c r="Q1903" s="200"/>
    </row>
    <row r="1904" spans="1:17" x14ac:dyDescent="0.25">
      <c r="A1904" s="133"/>
      <c r="B1904" s="195"/>
      <c r="C1904" s="226"/>
      <c r="D1904" s="226"/>
      <c r="E1904" s="171"/>
      <c r="F1904" s="226"/>
      <c r="G1904" s="231"/>
      <c r="H1904" s="200"/>
      <c r="I1904" s="133"/>
      <c r="J1904" s="195"/>
      <c r="K1904" s="226"/>
      <c r="L1904" s="226"/>
      <c r="M1904" s="171"/>
      <c r="N1904" s="171"/>
      <c r="O1904" s="226"/>
      <c r="P1904" s="229"/>
      <c r="Q1904" s="200"/>
    </row>
    <row r="1905" spans="1:17" x14ac:dyDescent="0.25">
      <c r="A1905" s="133"/>
      <c r="B1905" s="195"/>
      <c r="C1905" s="226"/>
      <c r="D1905" s="232"/>
      <c r="E1905" s="232"/>
      <c r="F1905" s="226"/>
      <c r="G1905" s="229"/>
      <c r="H1905" s="200"/>
      <c r="I1905" s="133"/>
      <c r="J1905" s="195"/>
      <c r="K1905" s="226"/>
      <c r="L1905" s="232"/>
      <c r="M1905" s="232"/>
      <c r="N1905" s="232"/>
      <c r="O1905" s="226"/>
      <c r="P1905" s="229"/>
      <c r="Q1905" s="200"/>
    </row>
    <row r="1906" spans="1:17" ht="15.75" thickBot="1" x14ac:dyDescent="0.3">
      <c r="A1906" s="133"/>
      <c r="B1906" s="195"/>
      <c r="C1906" s="226"/>
      <c r="D1906" s="232"/>
      <c r="E1906" s="232"/>
      <c r="F1906" s="226"/>
      <c r="G1906" s="229"/>
      <c r="H1906" s="200"/>
      <c r="I1906" s="133"/>
      <c r="J1906" s="195"/>
      <c r="K1906" s="226"/>
      <c r="L1906" s="232"/>
      <c r="M1906" s="232"/>
      <c r="N1906" s="232"/>
      <c r="O1906" s="226"/>
      <c r="P1906" s="229"/>
      <c r="Q1906" s="200"/>
    </row>
    <row r="1907" spans="1:17" ht="15.75" thickBot="1" x14ac:dyDescent="0.3">
      <c r="A1907" s="133"/>
      <c r="B1907" s="233"/>
      <c r="C1907" s="234"/>
      <c r="D1907" s="234"/>
      <c r="E1907" s="234"/>
      <c r="F1907" s="235"/>
      <c r="G1907" s="236"/>
      <c r="H1907" s="237">
        <f>+SUM(G1901:G1907)</f>
        <v>25093.5</v>
      </c>
      <c r="I1907" s="133"/>
      <c r="J1907" s="233"/>
      <c r="K1907" s="234"/>
      <c r="L1907" s="234"/>
      <c r="M1907" s="234"/>
      <c r="N1907" s="234"/>
      <c r="O1907" s="235"/>
      <c r="P1907" s="236"/>
      <c r="Q1907" s="237"/>
    </row>
    <row r="1908" spans="1:17" ht="15.75" thickBot="1" x14ac:dyDescent="0.3">
      <c r="A1908" s="133"/>
      <c r="B1908" s="238"/>
      <c r="C1908" s="238"/>
      <c r="D1908" s="238"/>
      <c r="E1908" s="238"/>
      <c r="F1908" s="239"/>
      <c r="G1908" s="240"/>
      <c r="H1908" s="241"/>
      <c r="I1908" s="133"/>
      <c r="J1908" s="238"/>
      <c r="K1908" s="238"/>
      <c r="L1908" s="238"/>
      <c r="M1908" s="238"/>
      <c r="N1908" s="238"/>
      <c r="O1908" s="239"/>
      <c r="P1908" s="240"/>
      <c r="Q1908" s="241"/>
    </row>
    <row r="1909" spans="1:17" ht="15.75" thickBot="1" x14ac:dyDescent="0.3">
      <c r="A1909" s="133"/>
      <c r="B1909" s="224" t="s">
        <v>5408</v>
      </c>
      <c r="C1909" s="193" t="s">
        <v>867</v>
      </c>
      <c r="D1909" s="193" t="s">
        <v>6</v>
      </c>
      <c r="E1909" s="193" t="s">
        <v>870</v>
      </c>
      <c r="F1909" s="193" t="s">
        <v>5409</v>
      </c>
      <c r="G1909" s="225" t="s">
        <v>868</v>
      </c>
      <c r="H1909" s="200"/>
      <c r="I1909" s="133"/>
      <c r="J1909" s="224"/>
      <c r="K1909" s="193"/>
      <c r="L1909" s="193"/>
      <c r="M1909" s="193"/>
      <c r="N1909" s="193"/>
      <c r="O1909" s="193"/>
      <c r="P1909" s="225"/>
      <c r="Q1909" s="200"/>
    </row>
    <row r="1910" spans="1:17" x14ac:dyDescent="0.25">
      <c r="A1910" s="133"/>
      <c r="B1910" s="295"/>
      <c r="C1910" s="202"/>
      <c r="D1910" s="226"/>
      <c r="E1910" s="171"/>
      <c r="F1910" s="169"/>
      <c r="G1910" s="178">
        <f>+D1910*E1910*(1+F1910)</f>
        <v>0</v>
      </c>
      <c r="H1910" s="200"/>
      <c r="I1910" s="133"/>
      <c r="J1910" s="242"/>
      <c r="K1910" s="202"/>
      <c r="L1910" s="226"/>
      <c r="M1910" s="171"/>
      <c r="N1910" s="228"/>
      <c r="O1910" s="169"/>
      <c r="P1910" s="178"/>
      <c r="Q1910" s="200"/>
    </row>
    <row r="1911" spans="1:17" x14ac:dyDescent="0.25">
      <c r="A1911" s="133"/>
      <c r="B1911" s="450"/>
      <c r="C1911" s="202"/>
      <c r="D1911" s="202"/>
      <c r="E1911" s="175"/>
      <c r="F1911" s="169"/>
      <c r="G1911" s="178">
        <f>+D1911*E1911*(1+F1911)</f>
        <v>0</v>
      </c>
      <c r="H1911" s="200"/>
      <c r="I1911" s="133"/>
      <c r="J1911" s="243"/>
      <c r="K1911" s="202"/>
      <c r="L1911" s="202"/>
      <c r="M1911" s="175"/>
      <c r="N1911" s="228"/>
      <c r="O1911" s="169"/>
      <c r="P1911" s="178"/>
      <c r="Q1911" s="200"/>
    </row>
    <row r="1912" spans="1:17" x14ac:dyDescent="0.25">
      <c r="A1912" s="133"/>
      <c r="B1912" s="247"/>
      <c r="C1912" s="226"/>
      <c r="D1912" s="226"/>
      <c r="E1912" s="244"/>
      <c r="F1912" s="169"/>
      <c r="G1912" s="178">
        <f>+D1912*E1912*(1+F1912)</f>
        <v>0</v>
      </c>
      <c r="H1912" s="200"/>
      <c r="I1912" s="133"/>
      <c r="J1912" s="243"/>
      <c r="K1912" s="226"/>
      <c r="L1912" s="226"/>
      <c r="M1912" s="244"/>
      <c r="N1912" s="228"/>
      <c r="O1912" s="169"/>
      <c r="P1912" s="178"/>
      <c r="Q1912" s="200"/>
    </row>
    <row r="1913" spans="1:17" x14ac:dyDescent="0.25">
      <c r="A1913" s="133"/>
      <c r="B1913" s="194"/>
      <c r="C1913" s="226"/>
      <c r="D1913" s="226"/>
      <c r="E1913" s="171"/>
      <c r="F1913" s="169"/>
      <c r="G1913" s="178">
        <f>+D1913*E1913*(1+F1913)</f>
        <v>0</v>
      </c>
      <c r="H1913" s="200"/>
      <c r="I1913" s="133"/>
      <c r="J1913" s="194"/>
      <c r="K1913" s="226"/>
      <c r="L1913" s="226"/>
      <c r="M1913" s="171"/>
      <c r="N1913" s="176"/>
      <c r="O1913" s="169"/>
      <c r="P1913" s="178"/>
      <c r="Q1913" s="200"/>
    </row>
    <row r="1914" spans="1:17" x14ac:dyDescent="0.25">
      <c r="A1914" s="133"/>
      <c r="B1914" s="195"/>
      <c r="C1914" s="226"/>
      <c r="D1914" s="226"/>
      <c r="E1914" s="171"/>
      <c r="F1914" s="169"/>
      <c r="G1914" s="178"/>
      <c r="H1914" s="200"/>
      <c r="I1914" s="133"/>
      <c r="J1914" s="195"/>
      <c r="K1914" s="226"/>
      <c r="L1914" s="226"/>
      <c r="M1914" s="171"/>
      <c r="N1914" s="176"/>
      <c r="O1914" s="169"/>
      <c r="P1914" s="178"/>
      <c r="Q1914" s="200"/>
    </row>
    <row r="1915" spans="1:17" x14ac:dyDescent="0.25">
      <c r="A1915" s="133"/>
      <c r="B1915" s="194"/>
      <c r="C1915" s="202"/>
      <c r="D1915" s="202"/>
      <c r="E1915" s="171"/>
      <c r="F1915" s="169"/>
      <c r="G1915" s="178"/>
      <c r="H1915" s="200"/>
      <c r="I1915" s="133"/>
      <c r="J1915" s="194"/>
      <c r="K1915" s="202"/>
      <c r="L1915" s="202"/>
      <c r="M1915" s="171"/>
      <c r="N1915" s="176"/>
      <c r="O1915" s="169"/>
      <c r="P1915" s="178"/>
      <c r="Q1915" s="200"/>
    </row>
    <row r="1916" spans="1:17" x14ac:dyDescent="0.25">
      <c r="A1916" s="133"/>
      <c r="B1916" s="195"/>
      <c r="C1916" s="226"/>
      <c r="D1916" s="226"/>
      <c r="E1916" s="171"/>
      <c r="F1916" s="169"/>
      <c r="G1916" s="178"/>
      <c r="H1916" s="200"/>
      <c r="I1916" s="133"/>
      <c r="J1916" s="195"/>
      <c r="K1916" s="226"/>
      <c r="L1916" s="226"/>
      <c r="M1916" s="171"/>
      <c r="N1916" s="176"/>
      <c r="O1916" s="169"/>
      <c r="P1916" s="178"/>
      <c r="Q1916" s="200"/>
    </row>
    <row r="1917" spans="1:17" x14ac:dyDescent="0.25">
      <c r="A1917" s="133"/>
      <c r="B1917" s="195"/>
      <c r="C1917" s="226"/>
      <c r="D1917" s="226"/>
      <c r="E1917" s="171"/>
      <c r="F1917" s="169"/>
      <c r="G1917" s="178"/>
      <c r="H1917" s="200"/>
      <c r="I1917" s="133"/>
      <c r="J1917" s="195"/>
      <c r="K1917" s="226"/>
      <c r="L1917" s="226"/>
      <c r="M1917" s="171"/>
      <c r="N1917" s="176"/>
      <c r="O1917" s="169"/>
      <c r="P1917" s="178"/>
      <c r="Q1917" s="200"/>
    </row>
    <row r="1918" spans="1:17" x14ac:dyDescent="0.25">
      <c r="A1918" s="133"/>
      <c r="B1918" s="195"/>
      <c r="C1918" s="232"/>
      <c r="D1918" s="232"/>
      <c r="E1918" s="232"/>
      <c r="F1918" s="226"/>
      <c r="G1918" s="229"/>
      <c r="H1918" s="200"/>
      <c r="I1918" s="133"/>
      <c r="J1918" s="195"/>
      <c r="K1918" s="232"/>
      <c r="L1918" s="232"/>
      <c r="M1918" s="232"/>
      <c r="N1918" s="232"/>
      <c r="O1918" s="226"/>
      <c r="P1918" s="229"/>
      <c r="Q1918" s="200"/>
    </row>
    <row r="1919" spans="1:17" x14ac:dyDescent="0.25">
      <c r="A1919" s="133"/>
      <c r="B1919" s="195"/>
      <c r="C1919" s="232"/>
      <c r="D1919" s="232"/>
      <c r="E1919" s="232"/>
      <c r="F1919" s="226"/>
      <c r="G1919" s="229"/>
      <c r="H1919" s="200"/>
      <c r="I1919" s="133"/>
      <c r="J1919" s="195"/>
      <c r="K1919" s="232"/>
      <c r="L1919" s="232"/>
      <c r="M1919" s="232"/>
      <c r="N1919" s="232"/>
      <c r="O1919" s="226"/>
      <c r="P1919" s="229"/>
      <c r="Q1919" s="200"/>
    </row>
    <row r="1920" spans="1:17" x14ac:dyDescent="0.25">
      <c r="A1920" s="133"/>
      <c r="B1920" s="195"/>
      <c r="C1920" s="232"/>
      <c r="D1920" s="232"/>
      <c r="E1920" s="232"/>
      <c r="F1920" s="226"/>
      <c r="G1920" s="229"/>
      <c r="H1920" s="200"/>
      <c r="I1920" s="133"/>
      <c r="J1920" s="195"/>
      <c r="K1920" s="232"/>
      <c r="L1920" s="232"/>
      <c r="M1920" s="232"/>
      <c r="N1920" s="232"/>
      <c r="O1920" s="226"/>
      <c r="P1920" s="229"/>
      <c r="Q1920" s="200"/>
    </row>
    <row r="1921" spans="1:17" ht="15.75" thickBot="1" x14ac:dyDescent="0.3">
      <c r="A1921" s="133"/>
      <c r="B1921" s="195"/>
      <c r="C1921" s="232"/>
      <c r="D1921" s="232"/>
      <c r="E1921" s="232"/>
      <c r="F1921" s="226"/>
      <c r="G1921" s="229"/>
      <c r="H1921" s="200"/>
      <c r="I1921" s="133"/>
      <c r="J1921" s="195"/>
      <c r="K1921" s="232"/>
      <c r="L1921" s="232"/>
      <c r="M1921" s="232"/>
      <c r="N1921" s="232"/>
      <c r="O1921" s="226"/>
      <c r="P1921" s="229"/>
      <c r="Q1921" s="200"/>
    </row>
    <row r="1922" spans="1:17" ht="15.75" thickBot="1" x14ac:dyDescent="0.3">
      <c r="A1922" s="133"/>
      <c r="B1922" s="233"/>
      <c r="C1922" s="234"/>
      <c r="D1922" s="234"/>
      <c r="E1922" s="234"/>
      <c r="F1922" s="235"/>
      <c r="G1922" s="236"/>
      <c r="H1922" s="237">
        <f>+SUM(G1910:G1922)</f>
        <v>0</v>
      </c>
      <c r="I1922" s="133"/>
      <c r="J1922" s="233"/>
      <c r="K1922" s="234"/>
      <c r="L1922" s="234"/>
      <c r="M1922" s="234"/>
      <c r="N1922" s="234"/>
      <c r="O1922" s="235"/>
      <c r="P1922" s="236"/>
      <c r="Q1922" s="237"/>
    </row>
    <row r="1923" spans="1:17" ht="15.75" thickBot="1" x14ac:dyDescent="0.3">
      <c r="A1923" s="133"/>
      <c r="B1923" s="238"/>
      <c r="C1923" s="238"/>
      <c r="D1923" s="238"/>
      <c r="E1923" s="238"/>
      <c r="F1923" s="239"/>
      <c r="G1923" s="240"/>
      <c r="H1923" s="241"/>
      <c r="I1923" s="133"/>
      <c r="J1923" s="238"/>
      <c r="K1923" s="238"/>
      <c r="L1923" s="238"/>
      <c r="M1923" s="238"/>
      <c r="N1923" s="238"/>
      <c r="O1923" s="239"/>
      <c r="P1923" s="240"/>
      <c r="Q1923" s="241"/>
    </row>
    <row r="1924" spans="1:17" ht="15.75" thickBot="1" x14ac:dyDescent="0.3">
      <c r="A1924" s="133"/>
      <c r="B1924" s="224" t="s">
        <v>5410</v>
      </c>
      <c r="C1924" s="193" t="s">
        <v>867</v>
      </c>
      <c r="D1924" s="193" t="s">
        <v>6</v>
      </c>
      <c r="E1924" s="193" t="s">
        <v>870</v>
      </c>
      <c r="F1924" s="193" t="s">
        <v>5411</v>
      </c>
      <c r="G1924" s="225" t="s">
        <v>868</v>
      </c>
      <c r="H1924" s="200"/>
      <c r="I1924" s="133"/>
      <c r="J1924" s="224"/>
      <c r="K1924" s="193"/>
      <c r="L1924" s="193"/>
      <c r="M1924" s="193"/>
      <c r="N1924" s="193"/>
      <c r="O1924" s="193"/>
      <c r="P1924" s="225"/>
      <c r="Q1924" s="200"/>
    </row>
    <row r="1925" spans="1:17" x14ac:dyDescent="0.25">
      <c r="A1925" s="133"/>
      <c r="B1925" s="245"/>
      <c r="C1925" s="202"/>
      <c r="D1925" s="202"/>
      <c r="E1925" s="175"/>
      <c r="F1925" s="202"/>
      <c r="G1925" s="203"/>
      <c r="H1925" s="246"/>
      <c r="I1925" s="133"/>
      <c r="J1925" s="242"/>
      <c r="K1925" s="202"/>
      <c r="L1925" s="202"/>
      <c r="M1925" s="175"/>
      <c r="N1925" s="175"/>
      <c r="O1925" s="202"/>
      <c r="P1925" s="203"/>
      <c r="Q1925" s="246"/>
    </row>
    <row r="1926" spans="1:17" x14ac:dyDescent="0.25">
      <c r="A1926" s="133"/>
      <c r="B1926" s="247"/>
      <c r="C1926" s="248"/>
      <c r="D1926" s="248"/>
      <c r="E1926" s="248"/>
      <c r="F1926" s="202"/>
      <c r="G1926" s="178"/>
      <c r="H1926" s="200"/>
      <c r="I1926" s="133"/>
      <c r="J1926" s="243"/>
      <c r="K1926" s="248"/>
      <c r="L1926" s="248"/>
      <c r="M1926" s="248"/>
      <c r="N1926" s="248"/>
      <c r="O1926" s="202"/>
      <c r="P1926" s="178"/>
      <c r="Q1926" s="200"/>
    </row>
    <row r="1927" spans="1:17" x14ac:dyDescent="0.25">
      <c r="A1927" s="133"/>
      <c r="B1927" s="247"/>
      <c r="C1927" s="232"/>
      <c r="D1927" s="232"/>
      <c r="E1927" s="232"/>
      <c r="F1927" s="226"/>
      <c r="G1927" s="229"/>
      <c r="H1927" s="200"/>
      <c r="I1927" s="133"/>
      <c r="J1927" s="243"/>
      <c r="K1927" s="232"/>
      <c r="L1927" s="232"/>
      <c r="M1927" s="232"/>
      <c r="N1927" s="232"/>
      <c r="O1927" s="226"/>
      <c r="P1927" s="229"/>
      <c r="Q1927" s="200"/>
    </row>
    <row r="1928" spans="1:17" x14ac:dyDescent="0.25">
      <c r="A1928" s="133"/>
      <c r="B1928" s="194"/>
      <c r="C1928" s="232"/>
      <c r="D1928" s="232"/>
      <c r="E1928" s="232"/>
      <c r="F1928" s="226"/>
      <c r="G1928" s="229"/>
      <c r="H1928" s="200"/>
      <c r="I1928" s="133"/>
      <c r="J1928" s="194"/>
      <c r="K1928" s="232"/>
      <c r="L1928" s="232"/>
      <c r="M1928" s="232"/>
      <c r="N1928" s="232"/>
      <c r="O1928" s="226"/>
      <c r="P1928" s="229"/>
      <c r="Q1928" s="200"/>
    </row>
    <row r="1929" spans="1:17" ht="15.75" thickBot="1" x14ac:dyDescent="0.3">
      <c r="A1929" s="133"/>
      <c r="B1929" s="195"/>
      <c r="C1929" s="232"/>
      <c r="D1929" s="232"/>
      <c r="E1929" s="232"/>
      <c r="F1929" s="226"/>
      <c r="G1929" s="229"/>
      <c r="H1929" s="200"/>
      <c r="I1929" s="133"/>
      <c r="J1929" s="195"/>
      <c r="K1929" s="232"/>
      <c r="L1929" s="232"/>
      <c r="M1929" s="232"/>
      <c r="N1929" s="232"/>
      <c r="O1929" s="226"/>
      <c r="P1929" s="229"/>
      <c r="Q1929" s="200"/>
    </row>
    <row r="1930" spans="1:17" ht="15.75" thickBot="1" x14ac:dyDescent="0.3">
      <c r="A1930" s="133"/>
      <c r="B1930" s="233"/>
      <c r="C1930" s="234"/>
      <c r="D1930" s="234"/>
      <c r="E1930" s="234"/>
      <c r="F1930" s="235"/>
      <c r="G1930" s="236"/>
      <c r="H1930" s="237">
        <f>+SUM(G1925:G1930)</f>
        <v>0</v>
      </c>
      <c r="I1930" s="133"/>
      <c r="J1930" s="233"/>
      <c r="K1930" s="234"/>
      <c r="L1930" s="234"/>
      <c r="M1930" s="234"/>
      <c r="N1930" s="234"/>
      <c r="O1930" s="235"/>
      <c r="P1930" s="236"/>
      <c r="Q1930" s="237"/>
    </row>
    <row r="1931" spans="1:17" ht="15.75" thickBot="1" x14ac:dyDescent="0.3">
      <c r="A1931" s="133"/>
      <c r="B1931" s="238"/>
      <c r="C1931" s="238"/>
      <c r="D1931" s="238"/>
      <c r="E1931" s="238"/>
      <c r="F1931" s="249"/>
      <c r="G1931" s="250"/>
      <c r="H1931" s="241"/>
      <c r="I1931" s="133"/>
      <c r="J1931" s="238"/>
      <c r="K1931" s="238"/>
      <c r="L1931" s="238"/>
      <c r="M1931" s="238"/>
      <c r="N1931" s="238"/>
      <c r="O1931" s="249"/>
      <c r="P1931" s="250"/>
      <c r="Q1931" s="241"/>
    </row>
    <row r="1932" spans="1:17" ht="15.75" thickBot="1" x14ac:dyDescent="0.3">
      <c r="A1932" s="133"/>
      <c r="B1932" s="224" t="s">
        <v>5412</v>
      </c>
      <c r="C1932" s="193" t="s">
        <v>5420</v>
      </c>
      <c r="D1932" s="193" t="s">
        <v>5421</v>
      </c>
      <c r="E1932" s="193" t="s">
        <v>5413</v>
      </c>
      <c r="F1932" s="193" t="s">
        <v>5405</v>
      </c>
      <c r="G1932" s="225" t="s">
        <v>868</v>
      </c>
      <c r="H1932" s="200"/>
      <c r="I1932" s="133"/>
      <c r="J1932" s="224"/>
      <c r="K1932" s="193"/>
      <c r="L1932" s="193"/>
      <c r="M1932" s="193"/>
      <c r="N1932" s="193"/>
      <c r="O1932" s="193"/>
      <c r="P1932" s="225"/>
      <c r="Q1932" s="200"/>
    </row>
    <row r="1933" spans="1:17" x14ac:dyDescent="0.25">
      <c r="A1933" s="133"/>
      <c r="B1933" s="194" t="s">
        <v>5948</v>
      </c>
      <c r="C1933" s="345">
        <v>70000</v>
      </c>
      <c r="D1933" s="176">
        <f>+C1933*0.85</f>
        <v>59500</v>
      </c>
      <c r="E1933" s="176">
        <f>+C1933+D1933</f>
        <v>129500</v>
      </c>
      <c r="F1933" s="202">
        <v>20</v>
      </c>
      <c r="G1933" s="178">
        <f>+E1933/F1933</f>
        <v>6475</v>
      </c>
      <c r="H1933" s="200"/>
      <c r="I1933" s="133"/>
      <c r="J1933" s="194"/>
      <c r="K1933" s="176"/>
      <c r="L1933" s="176"/>
      <c r="M1933" s="176"/>
      <c r="N1933" s="175"/>
      <c r="O1933" s="202"/>
      <c r="P1933" s="178"/>
      <c r="Q1933" s="200"/>
    </row>
    <row r="1934" spans="1:17" x14ac:dyDescent="0.25">
      <c r="A1934" s="133"/>
      <c r="B1934" s="194" t="s">
        <v>5651</v>
      </c>
      <c r="C1934" s="345">
        <v>40000</v>
      </c>
      <c r="D1934" s="176">
        <f>+C1934*0.85</f>
        <v>34000</v>
      </c>
      <c r="E1934" s="176">
        <f>+C1934+D1934</f>
        <v>74000</v>
      </c>
      <c r="F1934" s="202">
        <v>0.8</v>
      </c>
      <c r="G1934" s="178">
        <f>+E1934/F1934</f>
        <v>92500</v>
      </c>
      <c r="H1934" s="200"/>
      <c r="I1934" s="133"/>
      <c r="J1934" s="194"/>
      <c r="K1934" s="176"/>
      <c r="L1934" s="176"/>
      <c r="M1934" s="176"/>
      <c r="N1934" s="175"/>
      <c r="O1934" s="202"/>
      <c r="P1934" s="178"/>
      <c r="Q1934" s="200"/>
    </row>
    <row r="1935" spans="1:17" x14ac:dyDescent="0.25">
      <c r="A1935" s="133"/>
      <c r="B1935" s="195" t="s">
        <v>5635</v>
      </c>
      <c r="C1935" s="345">
        <v>20600</v>
      </c>
      <c r="D1935" s="176">
        <f>+C1935*0.85</f>
        <v>17510</v>
      </c>
      <c r="E1935" s="176">
        <f>+C1935+D1935</f>
        <v>38110</v>
      </c>
      <c r="F1935" s="226">
        <v>0.8</v>
      </c>
      <c r="G1935" s="178">
        <f>+E1935/F1935</f>
        <v>47637.5</v>
      </c>
      <c r="H1935" s="200"/>
      <c r="I1935" s="133"/>
      <c r="J1935" s="195"/>
      <c r="K1935" s="176"/>
      <c r="L1935" s="176"/>
      <c r="M1935" s="176"/>
      <c r="N1935" s="175"/>
      <c r="O1935" s="226"/>
      <c r="P1935" s="178"/>
      <c r="Q1935" s="200"/>
    </row>
    <row r="1936" spans="1:17" x14ac:dyDescent="0.25">
      <c r="A1936" s="133"/>
      <c r="B1936" s="195"/>
      <c r="C1936" s="171"/>
      <c r="D1936" s="176"/>
      <c r="E1936" s="176"/>
      <c r="F1936" s="226"/>
      <c r="G1936" s="178"/>
      <c r="H1936" s="200"/>
      <c r="I1936" s="133"/>
      <c r="J1936" s="195"/>
      <c r="K1936" s="171"/>
      <c r="L1936" s="176"/>
      <c r="M1936" s="176"/>
      <c r="N1936" s="176"/>
      <c r="O1936" s="226"/>
      <c r="P1936" s="178"/>
      <c r="Q1936" s="200"/>
    </row>
    <row r="1937" spans="1:17" x14ac:dyDescent="0.25">
      <c r="A1937" s="133"/>
      <c r="B1937" s="195"/>
      <c r="C1937" s="232"/>
      <c r="D1937" s="232"/>
      <c r="E1937" s="232"/>
      <c r="F1937" s="226"/>
      <c r="G1937" s="229"/>
      <c r="H1937" s="200"/>
      <c r="I1937" s="133"/>
      <c r="J1937" s="195"/>
      <c r="K1937" s="232"/>
      <c r="L1937" s="232"/>
      <c r="M1937" s="232"/>
      <c r="N1937" s="232"/>
      <c r="O1937" s="226"/>
      <c r="P1937" s="229"/>
      <c r="Q1937" s="200"/>
    </row>
    <row r="1938" spans="1:17" ht="15.75" thickBot="1" x14ac:dyDescent="0.3">
      <c r="A1938" s="133"/>
      <c r="B1938" s="195"/>
      <c r="C1938" s="232"/>
      <c r="D1938" s="232"/>
      <c r="E1938" s="232"/>
      <c r="F1938" s="226"/>
      <c r="G1938" s="229"/>
      <c r="H1938" s="200"/>
      <c r="I1938" s="133"/>
      <c r="J1938" s="195"/>
      <c r="K1938" s="232"/>
      <c r="L1938" s="232"/>
      <c r="M1938" s="232"/>
      <c r="N1938" s="232"/>
      <c r="O1938" s="226"/>
      <c r="P1938" s="229"/>
      <c r="Q1938" s="200"/>
    </row>
    <row r="1939" spans="1:17" ht="15.75" thickBot="1" x14ac:dyDescent="0.3">
      <c r="A1939" s="133"/>
      <c r="B1939" s="251"/>
      <c r="C1939" s="252"/>
      <c r="D1939" s="252"/>
      <c r="E1939" s="252"/>
      <c r="F1939" s="253"/>
      <c r="G1939" s="254"/>
      <c r="H1939" s="237">
        <f>+SUM(G1933:G1939)</f>
        <v>146612.5</v>
      </c>
      <c r="I1939" s="133"/>
      <c r="J1939" s="251"/>
      <c r="K1939" s="252"/>
      <c r="L1939" s="252"/>
      <c r="M1939" s="252"/>
      <c r="N1939" s="252"/>
      <c r="O1939" s="253"/>
      <c r="P1939" s="254"/>
      <c r="Q1939" s="237"/>
    </row>
    <row r="1940" spans="1:17" ht="15.75" thickBot="1" x14ac:dyDescent="0.3">
      <c r="A1940" s="133"/>
      <c r="B1940" s="8"/>
      <c r="C1940" s="8"/>
      <c r="D1940" s="8"/>
      <c r="E1940" s="8"/>
      <c r="F1940" s="133"/>
      <c r="G1940" s="200"/>
      <c r="H1940" s="200"/>
      <c r="I1940" s="133"/>
      <c r="J1940" s="8"/>
      <c r="K1940" s="8"/>
      <c r="L1940" s="8"/>
      <c r="M1940" s="8"/>
      <c r="N1940" s="8"/>
      <c r="O1940" s="133"/>
      <c r="P1940" s="200"/>
      <c r="Q1940" s="200"/>
    </row>
    <row r="1941" spans="1:17" ht="15.75" thickBot="1" x14ac:dyDescent="0.3">
      <c r="A1941" s="133"/>
      <c r="B1941" s="8"/>
      <c r="C1941" s="8"/>
      <c r="D1941" s="8"/>
      <c r="E1941" s="223" t="s">
        <v>5415</v>
      </c>
      <c r="F1941" s="133"/>
      <c r="G1941" s="200"/>
      <c r="H1941" s="237">
        <f>+H1939+H1930+H1922+H1907</f>
        <v>171706</v>
      </c>
      <c r="I1941" s="133"/>
      <c r="J1941" s="8"/>
      <c r="K1941" s="8"/>
      <c r="L1941" s="8"/>
      <c r="M1941" s="223"/>
      <c r="N1941" s="223"/>
      <c r="O1941" s="133"/>
      <c r="P1941" s="200"/>
      <c r="Q1941" s="237"/>
    </row>
    <row r="1942" spans="1:17" x14ac:dyDescent="0.25">
      <c r="A1942" s="265"/>
      <c r="B1942" s="265"/>
      <c r="C1942" s="265"/>
      <c r="D1942" s="265"/>
      <c r="E1942" s="265"/>
      <c r="F1942" s="265"/>
      <c r="G1942" s="265"/>
      <c r="H1942" s="265"/>
    </row>
    <row r="1943" spans="1:17" x14ac:dyDescent="0.25">
      <c r="A1943" s="265"/>
      <c r="B1943" s="265"/>
      <c r="C1943" s="265"/>
      <c r="D1943" s="265"/>
      <c r="E1943" s="265"/>
      <c r="F1943" s="265"/>
      <c r="G1943" s="265"/>
      <c r="H1943" s="265"/>
    </row>
    <row r="1944" spans="1:17" x14ac:dyDescent="0.25">
      <c r="A1944" s="265"/>
      <c r="B1944" s="265"/>
      <c r="C1944" s="265"/>
      <c r="D1944" s="265"/>
      <c r="E1944" s="265"/>
      <c r="F1944" s="265"/>
      <c r="G1944" s="265"/>
      <c r="H1944" s="265"/>
    </row>
    <row r="1945" spans="1:17" x14ac:dyDescent="0.25">
      <c r="A1945" s="133"/>
      <c r="B1945" s="265"/>
      <c r="C1945" s="265"/>
      <c r="D1945" s="265"/>
      <c r="E1945" s="265"/>
      <c r="F1945" s="265"/>
      <c r="G1945" s="265"/>
      <c r="H1945" s="265"/>
    </row>
    <row r="1946" spans="1:17" ht="18.75" x14ac:dyDescent="0.25">
      <c r="A1946" s="133"/>
      <c r="B1946" s="2506" t="s">
        <v>5400</v>
      </c>
      <c r="C1946" s="2506"/>
      <c r="D1946" s="2506"/>
      <c r="E1946" s="2506"/>
      <c r="F1946" s="2506"/>
      <c r="G1946" s="2506"/>
      <c r="H1946" s="8"/>
    </row>
    <row r="1947" spans="1:17" x14ac:dyDescent="0.25">
      <c r="A1947" s="133"/>
      <c r="B1947" s="8"/>
      <c r="C1947" s="8"/>
      <c r="D1947" s="8"/>
      <c r="E1947" s="8"/>
      <c r="F1947" s="133"/>
      <c r="G1947" s="200"/>
      <c r="H1947" s="200"/>
    </row>
    <row r="1948" spans="1:17" x14ac:dyDescent="0.25">
      <c r="A1948" s="133"/>
      <c r="B1948" s="8"/>
      <c r="C1948" s="8"/>
      <c r="D1948" s="8"/>
      <c r="E1948" s="8"/>
      <c r="F1948" s="133"/>
      <c r="G1948" s="200"/>
      <c r="H1948" s="200"/>
    </row>
    <row r="1949" spans="1:17" x14ac:dyDescent="0.25">
      <c r="A1949" s="133"/>
      <c r="B1949" s="8"/>
      <c r="C1949" s="8"/>
      <c r="D1949" s="8"/>
      <c r="E1949" s="8"/>
      <c r="F1949" s="133"/>
      <c r="G1949" s="200"/>
      <c r="H1949" s="200"/>
    </row>
    <row r="1950" spans="1:17" ht="15" customHeight="1" x14ac:dyDescent="0.25">
      <c r="A1950" s="220" t="s">
        <v>5482</v>
      </c>
      <c r="B1950" s="221" t="s">
        <v>425</v>
      </c>
      <c r="C1950" s="2449" t="s">
        <v>5511</v>
      </c>
      <c r="D1950" s="2449"/>
      <c r="E1950" s="2449"/>
      <c r="F1950" s="220" t="s">
        <v>867</v>
      </c>
      <c r="G1950" s="222" t="s">
        <v>5424</v>
      </c>
      <c r="H1950" s="200"/>
    </row>
    <row r="1951" spans="1:17" x14ac:dyDescent="0.25">
      <c r="A1951" s="133"/>
      <c r="B1951" s="8"/>
      <c r="C1951" s="223"/>
      <c r="D1951" s="223"/>
      <c r="E1951" s="223"/>
      <c r="F1951" s="133"/>
      <c r="G1951" s="200"/>
      <c r="H1951" s="200"/>
    </row>
    <row r="1952" spans="1:17" x14ac:dyDescent="0.25">
      <c r="A1952" s="133"/>
      <c r="B1952" s="8"/>
      <c r="C1952" s="8"/>
      <c r="D1952" s="8"/>
      <c r="E1952" s="8"/>
      <c r="F1952" s="8"/>
      <c r="G1952" s="8"/>
      <c r="H1952" s="200"/>
    </row>
    <row r="1953" spans="1:8" ht="15.75" thickBot="1" x14ac:dyDescent="0.3">
      <c r="A1953" s="133"/>
      <c r="B1953" s="8"/>
      <c r="C1953" s="8"/>
      <c r="D1953" s="8"/>
      <c r="E1953" s="8"/>
      <c r="F1953" s="133"/>
      <c r="G1953" s="200"/>
      <c r="H1953" s="200"/>
    </row>
    <row r="1954" spans="1:8" ht="15.75" thickBot="1" x14ac:dyDescent="0.3">
      <c r="A1954" s="133"/>
      <c r="B1954" s="224" t="s">
        <v>5403</v>
      </c>
      <c r="C1954" s="193" t="s">
        <v>867</v>
      </c>
      <c r="D1954" s="193" t="s">
        <v>6</v>
      </c>
      <c r="E1954" s="193" t="s">
        <v>5439</v>
      </c>
      <c r="F1954" s="193" t="s">
        <v>5405</v>
      </c>
      <c r="G1954" s="225" t="s">
        <v>868</v>
      </c>
      <c r="H1954" s="200"/>
    </row>
    <row r="1955" spans="1:8" x14ac:dyDescent="0.25">
      <c r="A1955" s="133"/>
      <c r="B1955" s="195" t="s">
        <v>5440</v>
      </c>
      <c r="C1955" s="226" t="s">
        <v>5402</v>
      </c>
      <c r="D1955" s="226">
        <v>1</v>
      </c>
      <c r="E1955" s="263">
        <f>+H1993</f>
        <v>250653.96611553378</v>
      </c>
      <c r="F1955" s="226">
        <v>0.1</v>
      </c>
      <c r="G1955" s="229">
        <f>+E1955*F1955</f>
        <v>25065.39661155338</v>
      </c>
      <c r="H1955" s="200"/>
    </row>
    <row r="1956" spans="1:8" x14ac:dyDescent="0.25">
      <c r="A1956" s="133"/>
      <c r="B1956" s="195"/>
      <c r="C1956" s="226"/>
      <c r="D1956" s="226"/>
      <c r="E1956" s="264"/>
      <c r="F1956" s="226"/>
      <c r="G1956" s="229"/>
      <c r="H1956" s="200"/>
    </row>
    <row r="1957" spans="1:8" x14ac:dyDescent="0.25">
      <c r="A1957" s="133"/>
      <c r="B1957" s="195"/>
      <c r="C1957" s="226"/>
      <c r="D1957" s="226"/>
      <c r="E1957" s="176"/>
      <c r="F1957" s="226"/>
      <c r="G1957" s="229"/>
      <c r="H1957" s="200"/>
    </row>
    <row r="1958" spans="1:8" x14ac:dyDescent="0.25">
      <c r="A1958" s="133"/>
      <c r="B1958" s="195"/>
      <c r="C1958" s="226"/>
      <c r="D1958" s="226"/>
      <c r="E1958" s="171"/>
      <c r="F1958" s="226"/>
      <c r="G1958" s="231"/>
      <c r="H1958" s="200"/>
    </row>
    <row r="1959" spans="1:8" x14ac:dyDescent="0.25">
      <c r="A1959" s="133"/>
      <c r="B1959" s="195"/>
      <c r="C1959" s="226"/>
      <c r="D1959" s="232"/>
      <c r="E1959" s="232"/>
      <c r="F1959" s="226"/>
      <c r="G1959" s="229"/>
      <c r="H1959" s="200"/>
    </row>
    <row r="1960" spans="1:8" ht="15.75" thickBot="1" x14ac:dyDescent="0.3">
      <c r="A1960" s="133"/>
      <c r="B1960" s="195"/>
      <c r="C1960" s="226"/>
      <c r="D1960" s="232"/>
      <c r="E1960" s="232"/>
      <c r="F1960" s="226"/>
      <c r="G1960" s="229"/>
      <c r="H1960" s="200"/>
    </row>
    <row r="1961" spans="1:8" ht="15.75" thickBot="1" x14ac:dyDescent="0.3">
      <c r="A1961" s="133"/>
      <c r="B1961" s="233"/>
      <c r="C1961" s="234"/>
      <c r="D1961" s="234"/>
      <c r="E1961" s="234"/>
      <c r="F1961" s="235"/>
      <c r="G1961" s="236"/>
      <c r="H1961" s="237">
        <f>+SUM(G1955:G1961)</f>
        <v>25065.39661155338</v>
      </c>
    </row>
    <row r="1962" spans="1:8" ht="15.75" thickBot="1" x14ac:dyDescent="0.3">
      <c r="A1962" s="133"/>
      <c r="B1962" s="238"/>
      <c r="C1962" s="238"/>
      <c r="D1962" s="238"/>
      <c r="E1962" s="238"/>
      <c r="F1962" s="239"/>
      <c r="G1962" s="240"/>
      <c r="H1962" s="241"/>
    </row>
    <row r="1963" spans="1:8" ht="15.75" thickBot="1" x14ac:dyDescent="0.3">
      <c r="A1963" s="133"/>
      <c r="B1963" s="224" t="s">
        <v>5408</v>
      </c>
      <c r="C1963" s="193" t="s">
        <v>867</v>
      </c>
      <c r="D1963" s="193" t="s">
        <v>6</v>
      </c>
      <c r="E1963" s="193" t="s">
        <v>870</v>
      </c>
      <c r="F1963" s="193" t="s">
        <v>5409</v>
      </c>
      <c r="G1963" s="225" t="s">
        <v>868</v>
      </c>
      <c r="H1963" s="200"/>
    </row>
    <row r="1964" spans="1:8" x14ac:dyDescent="0.25">
      <c r="A1964" s="133"/>
      <c r="B1964" s="295"/>
      <c r="C1964" s="202"/>
      <c r="D1964" s="226"/>
      <c r="E1964" s="244"/>
      <c r="F1964" s="169"/>
      <c r="G1964" s="178">
        <f>+D1964*E1964*(1+F1964)</f>
        <v>0</v>
      </c>
      <c r="H1964" s="200"/>
    </row>
    <row r="1965" spans="1:8" x14ac:dyDescent="0.25">
      <c r="A1965" s="133"/>
      <c r="B1965" s="450"/>
      <c r="C1965" s="202"/>
      <c r="D1965" s="202"/>
      <c r="E1965" s="257"/>
      <c r="F1965" s="169"/>
      <c r="G1965" s="178">
        <f>+D1965*E1965*(1+F1965)</f>
        <v>0</v>
      </c>
      <c r="H1965" s="200"/>
    </row>
    <row r="1966" spans="1:8" x14ac:dyDescent="0.25">
      <c r="A1966" s="133"/>
      <c r="B1966" s="247"/>
      <c r="C1966" s="226"/>
      <c r="D1966" s="226"/>
      <c r="E1966" s="244"/>
      <c r="F1966" s="169"/>
      <c r="G1966" s="178">
        <f>+D1966*E1966*(1+F1966)</f>
        <v>0</v>
      </c>
      <c r="H1966" s="200"/>
    </row>
    <row r="1967" spans="1:8" x14ac:dyDescent="0.25">
      <c r="A1967" s="133"/>
      <c r="B1967" s="194"/>
      <c r="C1967" s="226"/>
      <c r="D1967" s="226"/>
      <c r="E1967" s="171"/>
      <c r="F1967" s="169"/>
      <c r="G1967" s="178">
        <f>+D1967*E1967*(1+F1967)</f>
        <v>0</v>
      </c>
      <c r="H1967" s="200"/>
    </row>
    <row r="1968" spans="1:8" x14ac:dyDescent="0.25">
      <c r="A1968" s="133"/>
      <c r="B1968" s="195"/>
      <c r="C1968" s="226"/>
      <c r="D1968" s="226"/>
      <c r="E1968" s="171"/>
      <c r="F1968" s="169"/>
      <c r="G1968" s="178"/>
      <c r="H1968" s="200"/>
    </row>
    <row r="1969" spans="1:8" x14ac:dyDescent="0.25">
      <c r="A1969" s="133"/>
      <c r="B1969" s="194"/>
      <c r="C1969" s="202"/>
      <c r="D1969" s="202"/>
      <c r="E1969" s="171"/>
      <c r="F1969" s="169"/>
      <c r="G1969" s="178"/>
      <c r="H1969" s="200"/>
    </row>
    <row r="1970" spans="1:8" x14ac:dyDescent="0.25">
      <c r="A1970" s="133"/>
      <c r="B1970" s="195"/>
      <c r="C1970" s="226"/>
      <c r="D1970" s="226"/>
      <c r="E1970" s="171"/>
      <c r="F1970" s="169"/>
      <c r="G1970" s="178"/>
      <c r="H1970" s="200"/>
    </row>
    <row r="1971" spans="1:8" x14ac:dyDescent="0.25">
      <c r="A1971" s="133"/>
      <c r="B1971" s="195"/>
      <c r="C1971" s="226"/>
      <c r="D1971" s="226"/>
      <c r="E1971" s="171"/>
      <c r="F1971" s="169"/>
      <c r="G1971" s="178"/>
      <c r="H1971" s="200"/>
    </row>
    <row r="1972" spans="1:8" x14ac:dyDescent="0.25">
      <c r="A1972" s="133"/>
      <c r="B1972" s="195"/>
      <c r="C1972" s="232"/>
      <c r="D1972" s="232"/>
      <c r="E1972" s="232"/>
      <c r="F1972" s="226"/>
      <c r="G1972" s="229"/>
      <c r="H1972" s="200"/>
    </row>
    <row r="1973" spans="1:8" x14ac:dyDescent="0.25">
      <c r="A1973" s="133"/>
      <c r="B1973" s="195"/>
      <c r="C1973" s="232"/>
      <c r="D1973" s="232"/>
      <c r="E1973" s="232"/>
      <c r="F1973" s="226"/>
      <c r="G1973" s="229"/>
      <c r="H1973" s="200"/>
    </row>
    <row r="1974" spans="1:8" x14ac:dyDescent="0.25">
      <c r="A1974" s="133"/>
      <c r="B1974" s="195"/>
      <c r="C1974" s="232"/>
      <c r="D1974" s="232"/>
      <c r="E1974" s="232"/>
      <c r="F1974" s="226"/>
      <c r="G1974" s="229"/>
      <c r="H1974" s="200"/>
    </row>
    <row r="1975" spans="1:8" ht="15.75" thickBot="1" x14ac:dyDescent="0.3">
      <c r="A1975" s="133"/>
      <c r="B1975" s="195"/>
      <c r="C1975" s="232"/>
      <c r="D1975" s="232"/>
      <c r="E1975" s="232"/>
      <c r="F1975" s="226"/>
      <c r="G1975" s="229"/>
      <c r="H1975" s="200"/>
    </row>
    <row r="1976" spans="1:8" ht="15.75" thickBot="1" x14ac:dyDescent="0.3">
      <c r="A1976" s="133"/>
      <c r="B1976" s="233"/>
      <c r="C1976" s="234"/>
      <c r="D1976" s="234"/>
      <c r="E1976" s="234"/>
      <c r="F1976" s="235"/>
      <c r="G1976" s="236"/>
      <c r="H1976" s="256">
        <f>+SUM(G1964:G1976)</f>
        <v>0</v>
      </c>
    </row>
    <row r="1977" spans="1:8" ht="15.75" thickBot="1" x14ac:dyDescent="0.3">
      <c r="A1977" s="133"/>
      <c r="B1977" s="238"/>
      <c r="C1977" s="238"/>
      <c r="D1977" s="238"/>
      <c r="E1977" s="238"/>
      <c r="F1977" s="239"/>
      <c r="G1977" s="240"/>
      <c r="H1977" s="241"/>
    </row>
    <row r="1978" spans="1:8" ht="15.75" thickBot="1" x14ac:dyDescent="0.3">
      <c r="A1978" s="133"/>
      <c r="B1978" s="224" t="s">
        <v>5410</v>
      </c>
      <c r="C1978" s="193" t="s">
        <v>867</v>
      </c>
      <c r="D1978" s="193" t="s">
        <v>6</v>
      </c>
      <c r="E1978" s="193" t="s">
        <v>870</v>
      </c>
      <c r="F1978" s="193" t="s">
        <v>5411</v>
      </c>
      <c r="G1978" s="225" t="s">
        <v>868</v>
      </c>
      <c r="H1978" s="200"/>
    </row>
    <row r="1979" spans="1:8" x14ac:dyDescent="0.25">
      <c r="A1979" s="133"/>
      <c r="B1979" s="245"/>
      <c r="C1979" s="202"/>
      <c r="D1979" s="202"/>
      <c r="E1979" s="175"/>
      <c r="F1979" s="202"/>
      <c r="G1979" s="203"/>
      <c r="H1979" s="246"/>
    </row>
    <row r="1980" spans="1:8" x14ac:dyDescent="0.25">
      <c r="A1980" s="133"/>
      <c r="B1980" s="247"/>
      <c r="C1980" s="248"/>
      <c r="D1980" s="248"/>
      <c r="E1980" s="248"/>
      <c r="F1980" s="202"/>
      <c r="G1980" s="178"/>
      <c r="H1980" s="200"/>
    </row>
    <row r="1981" spans="1:8" x14ac:dyDescent="0.25">
      <c r="A1981" s="133"/>
      <c r="B1981" s="247"/>
      <c r="C1981" s="232"/>
      <c r="D1981" s="232"/>
      <c r="E1981" s="232"/>
      <c r="F1981" s="226"/>
      <c r="G1981" s="229"/>
      <c r="H1981" s="200"/>
    </row>
    <row r="1982" spans="1:8" x14ac:dyDescent="0.25">
      <c r="A1982" s="133"/>
      <c r="B1982" s="194"/>
      <c r="C1982" s="232"/>
      <c r="D1982" s="232"/>
      <c r="E1982" s="232"/>
      <c r="F1982" s="226"/>
      <c r="G1982" s="229"/>
      <c r="H1982" s="200"/>
    </row>
    <row r="1983" spans="1:8" ht="15.75" thickBot="1" x14ac:dyDescent="0.3">
      <c r="A1983" s="133"/>
      <c r="B1983" s="195"/>
      <c r="C1983" s="232"/>
      <c r="D1983" s="232"/>
      <c r="E1983" s="232"/>
      <c r="F1983" s="226"/>
      <c r="G1983" s="229"/>
      <c r="H1983" s="200"/>
    </row>
    <row r="1984" spans="1:8" ht="15.75" thickBot="1" x14ac:dyDescent="0.3">
      <c r="A1984" s="133"/>
      <c r="B1984" s="233"/>
      <c r="C1984" s="234"/>
      <c r="D1984" s="234"/>
      <c r="E1984" s="234"/>
      <c r="F1984" s="235"/>
      <c r="G1984" s="236"/>
      <c r="H1984" s="237">
        <f>+SUM(G1979:G1984)</f>
        <v>0</v>
      </c>
    </row>
    <row r="1985" spans="1:8" ht="15.75" thickBot="1" x14ac:dyDescent="0.3">
      <c r="A1985" s="133"/>
      <c r="B1985" s="238"/>
      <c r="C1985" s="238"/>
      <c r="D1985" s="238"/>
      <c r="E1985" s="238"/>
      <c r="F1985" s="249"/>
      <c r="G1985" s="250"/>
      <c r="H1985" s="241"/>
    </row>
    <row r="1986" spans="1:8" ht="15.75" thickBot="1" x14ac:dyDescent="0.3">
      <c r="A1986" s="133"/>
      <c r="B1986" s="224" t="s">
        <v>5412</v>
      </c>
      <c r="C1986" s="193" t="s">
        <v>5420</v>
      </c>
      <c r="D1986" s="193" t="s">
        <v>5421</v>
      </c>
      <c r="E1986" s="193" t="s">
        <v>5413</v>
      </c>
      <c r="F1986" s="193" t="s">
        <v>5405</v>
      </c>
      <c r="G1986" s="225" t="s">
        <v>868</v>
      </c>
      <c r="H1986" s="200"/>
    </row>
    <row r="1987" spans="1:8" x14ac:dyDescent="0.25">
      <c r="A1987" s="133"/>
      <c r="B1987" s="194" t="s">
        <v>5948</v>
      </c>
      <c r="C1987" s="345">
        <v>70000</v>
      </c>
      <c r="D1987" s="176">
        <f>+C1987*0.85</f>
        <v>59500</v>
      </c>
      <c r="E1987" s="176">
        <f>+C1987+D1987</f>
        <v>129500</v>
      </c>
      <c r="F1987" s="204">
        <v>4.899</v>
      </c>
      <c r="G1987" s="178">
        <f>+E1987/F1987</f>
        <v>26433.966115533782</v>
      </c>
      <c r="H1987" s="200"/>
    </row>
    <row r="1988" spans="1:8" x14ac:dyDescent="0.25">
      <c r="A1988" s="133"/>
      <c r="B1988" s="194" t="s">
        <v>5651</v>
      </c>
      <c r="C1988" s="345">
        <v>40000</v>
      </c>
      <c r="D1988" s="176">
        <f>+C1988*0.85</f>
        <v>34000</v>
      </c>
      <c r="E1988" s="176">
        <f>+C1988+D1988</f>
        <v>74000</v>
      </c>
      <c r="F1988" s="202">
        <v>0.5</v>
      </c>
      <c r="G1988" s="178">
        <f>+E1988/F1988</f>
        <v>148000</v>
      </c>
      <c r="H1988" s="200"/>
    </row>
    <row r="1989" spans="1:8" x14ac:dyDescent="0.25">
      <c r="A1989" s="133"/>
      <c r="B1989" s="195" t="s">
        <v>5635</v>
      </c>
      <c r="C1989" s="345">
        <v>20600</v>
      </c>
      <c r="D1989" s="176">
        <f>+C1989*0.85</f>
        <v>17510</v>
      </c>
      <c r="E1989" s="176">
        <f>+C1989+D1989</f>
        <v>38110</v>
      </c>
      <c r="F1989" s="226">
        <v>0.5</v>
      </c>
      <c r="G1989" s="178">
        <f>+E1989/F1989</f>
        <v>76220</v>
      </c>
      <c r="H1989" s="200"/>
    </row>
    <row r="1990" spans="1:8" x14ac:dyDescent="0.25">
      <c r="A1990" s="133"/>
      <c r="B1990" s="195"/>
      <c r="C1990" s="171"/>
      <c r="D1990" s="176"/>
      <c r="E1990" s="176"/>
      <c r="F1990" s="226"/>
      <c r="G1990" s="178"/>
      <c r="H1990" s="200"/>
    </row>
    <row r="1991" spans="1:8" x14ac:dyDescent="0.25">
      <c r="A1991" s="133"/>
      <c r="B1991" s="195"/>
      <c r="C1991" s="232"/>
      <c r="D1991" s="232"/>
      <c r="E1991" s="232"/>
      <c r="F1991" s="226"/>
      <c r="G1991" s="229"/>
      <c r="H1991" s="200"/>
    </row>
    <row r="1992" spans="1:8" ht="15.75" thickBot="1" x14ac:dyDescent="0.3">
      <c r="A1992" s="133"/>
      <c r="B1992" s="195"/>
      <c r="C1992" s="232"/>
      <c r="D1992" s="232"/>
      <c r="E1992" s="232"/>
      <c r="F1992" s="226"/>
      <c r="G1992" s="229"/>
      <c r="H1992" s="200"/>
    </row>
    <row r="1993" spans="1:8" ht="15.75" thickBot="1" x14ac:dyDescent="0.3">
      <c r="A1993" s="133"/>
      <c r="B1993" s="251"/>
      <c r="C1993" s="252"/>
      <c r="D1993" s="252"/>
      <c r="E1993" s="252"/>
      <c r="F1993" s="253"/>
      <c r="G1993" s="254"/>
      <c r="H1993" s="256">
        <f>+SUM(G1987:G1993)</f>
        <v>250653.96611553378</v>
      </c>
    </row>
    <row r="1994" spans="1:8" ht="15.75" thickBot="1" x14ac:dyDescent="0.3">
      <c r="A1994" s="133"/>
      <c r="B1994" s="8"/>
      <c r="C1994" s="8"/>
      <c r="D1994" s="8"/>
      <c r="E1994" s="8"/>
      <c r="F1994" s="133"/>
      <c r="G1994" s="200"/>
      <c r="H1994" s="200"/>
    </row>
    <row r="1995" spans="1:8" ht="15.75" thickBot="1" x14ac:dyDescent="0.3">
      <c r="A1995" s="133"/>
      <c r="B1995" s="8"/>
      <c r="C1995" s="8"/>
      <c r="D1995" s="8"/>
      <c r="E1995" s="223" t="s">
        <v>5415</v>
      </c>
      <c r="F1995" s="133"/>
      <c r="G1995" s="200"/>
      <c r="H1995" s="256">
        <f>ROUND(+H1993+H1984+H1976+H1961,0)</f>
        <v>275719</v>
      </c>
    </row>
    <row r="1996" spans="1:8" x14ac:dyDescent="0.25">
      <c r="A1996" s="265"/>
      <c r="B1996" s="265"/>
      <c r="C1996" s="265"/>
      <c r="D1996" s="265"/>
      <c r="E1996" s="265"/>
      <c r="F1996" s="265"/>
      <c r="G1996" s="265"/>
      <c r="H1996" s="265"/>
    </row>
    <row r="1997" spans="1:8" x14ac:dyDescent="0.25">
      <c r="A1997" s="133"/>
      <c r="B1997" s="265"/>
      <c r="C1997" s="265"/>
      <c r="D1997" s="265"/>
      <c r="E1997" s="265"/>
      <c r="F1997" s="265"/>
      <c r="G1997" s="265"/>
      <c r="H1997" s="265"/>
    </row>
    <row r="1998" spans="1:8" x14ac:dyDescent="0.25">
      <c r="A1998" s="133"/>
      <c r="B1998" s="265"/>
      <c r="C1998" s="265"/>
      <c r="D1998" s="265"/>
      <c r="E1998" s="265"/>
      <c r="F1998" s="265"/>
      <c r="G1998" s="265"/>
      <c r="H1998" s="265"/>
    </row>
    <row r="1999" spans="1:8" x14ac:dyDescent="0.25">
      <c r="A1999" s="133"/>
      <c r="B1999" s="265"/>
      <c r="C1999" s="265"/>
      <c r="D1999" s="265"/>
      <c r="E1999" s="265"/>
      <c r="F1999" s="265"/>
      <c r="G1999" s="265"/>
      <c r="H1999" s="265"/>
    </row>
    <row r="2000" spans="1:8" ht="18.75" x14ac:dyDescent="0.25">
      <c r="A2000" s="133"/>
      <c r="B2000" s="2506" t="s">
        <v>5400</v>
      </c>
      <c r="C2000" s="2506"/>
      <c r="D2000" s="2506"/>
      <c r="E2000" s="2506"/>
      <c r="F2000" s="2506"/>
      <c r="G2000" s="2506"/>
      <c r="H2000" s="8"/>
    </row>
    <row r="2001" spans="1:8" x14ac:dyDescent="0.25">
      <c r="A2001" s="133"/>
      <c r="B2001" s="8"/>
      <c r="C2001" s="8"/>
      <c r="D2001" s="8"/>
      <c r="E2001" s="8"/>
      <c r="F2001" s="133"/>
      <c r="G2001" s="200"/>
      <c r="H2001" s="200"/>
    </row>
    <row r="2002" spans="1:8" x14ac:dyDescent="0.25">
      <c r="A2002" s="133"/>
      <c r="B2002" s="8"/>
      <c r="C2002" s="8"/>
      <c r="D2002" s="8"/>
      <c r="E2002" s="8"/>
      <c r="F2002" s="133"/>
      <c r="G2002" s="200"/>
      <c r="H2002" s="200"/>
    </row>
    <row r="2003" spans="1:8" x14ac:dyDescent="0.25">
      <c r="A2003" s="133"/>
      <c r="B2003" s="8"/>
      <c r="C2003" s="8"/>
      <c r="D2003" s="8"/>
      <c r="E2003" s="8"/>
      <c r="F2003" s="133"/>
      <c r="G2003" s="200"/>
      <c r="H2003" s="200"/>
    </row>
    <row r="2004" spans="1:8" ht="15" customHeight="1" x14ac:dyDescent="0.25">
      <c r="A2004" s="220" t="s">
        <v>5482</v>
      </c>
      <c r="B2004" s="221" t="s">
        <v>430</v>
      </c>
      <c r="C2004" s="2449" t="s">
        <v>5512</v>
      </c>
      <c r="D2004" s="2449"/>
      <c r="E2004" s="2449"/>
      <c r="F2004" s="220" t="s">
        <v>867</v>
      </c>
      <c r="G2004" s="222" t="s">
        <v>5424</v>
      </c>
      <c r="H2004" s="200"/>
    </row>
    <row r="2005" spans="1:8" x14ac:dyDescent="0.25">
      <c r="A2005" s="133"/>
      <c r="B2005" s="8"/>
      <c r="C2005" s="223"/>
      <c r="D2005" s="223"/>
      <c r="E2005" s="223"/>
      <c r="F2005" s="133"/>
      <c r="G2005" s="200"/>
      <c r="H2005" s="200"/>
    </row>
    <row r="2006" spans="1:8" x14ac:dyDescent="0.25">
      <c r="A2006" s="133"/>
      <c r="B2006" s="8"/>
      <c r="C2006" s="8"/>
      <c r="D2006" s="8"/>
      <c r="E2006" s="8"/>
      <c r="F2006" s="8"/>
      <c r="G2006" s="8"/>
      <c r="H2006" s="200"/>
    </row>
    <row r="2007" spans="1:8" ht="15.75" thickBot="1" x14ac:dyDescent="0.3">
      <c r="A2007" s="133"/>
      <c r="B2007" s="8"/>
      <c r="C2007" s="8"/>
      <c r="D2007" s="8"/>
      <c r="E2007" s="8"/>
      <c r="F2007" s="133"/>
      <c r="G2007" s="200"/>
      <c r="H2007" s="200"/>
    </row>
    <row r="2008" spans="1:8" ht="15.75" thickBot="1" x14ac:dyDescent="0.3">
      <c r="A2008" s="133"/>
      <c r="B2008" s="224" t="s">
        <v>5403</v>
      </c>
      <c r="C2008" s="193" t="s">
        <v>867</v>
      </c>
      <c r="D2008" s="193" t="s">
        <v>6</v>
      </c>
      <c r="E2008" s="193" t="s">
        <v>5439</v>
      </c>
      <c r="F2008" s="193" t="s">
        <v>5405</v>
      </c>
      <c r="G2008" s="225" t="s">
        <v>868</v>
      </c>
      <c r="H2008" s="200"/>
    </row>
    <row r="2009" spans="1:8" x14ac:dyDescent="0.25">
      <c r="A2009" s="133"/>
      <c r="B2009" s="195" t="s">
        <v>5440</v>
      </c>
      <c r="C2009" s="226" t="s">
        <v>5402</v>
      </c>
      <c r="D2009" s="226">
        <v>1</v>
      </c>
      <c r="E2009" s="263">
        <f>+H2047</f>
        <v>173107.14285714287</v>
      </c>
      <c r="F2009" s="226">
        <v>0.2</v>
      </c>
      <c r="G2009" s="229">
        <f>+E2009*F2009</f>
        <v>34621.428571428572</v>
      </c>
      <c r="H2009" s="200"/>
    </row>
    <row r="2010" spans="1:8" x14ac:dyDescent="0.25">
      <c r="A2010" s="133"/>
      <c r="B2010" s="195"/>
      <c r="C2010" s="226"/>
      <c r="D2010" s="226"/>
      <c r="E2010" s="264"/>
      <c r="F2010" s="226"/>
      <c r="G2010" s="229"/>
      <c r="H2010" s="200"/>
    </row>
    <row r="2011" spans="1:8" x14ac:dyDescent="0.25">
      <c r="A2011" s="133"/>
      <c r="B2011" s="195"/>
      <c r="C2011" s="226"/>
      <c r="D2011" s="226"/>
      <c r="E2011" s="176"/>
      <c r="F2011" s="226"/>
      <c r="G2011" s="229"/>
      <c r="H2011" s="200"/>
    </row>
    <row r="2012" spans="1:8" x14ac:dyDescent="0.25">
      <c r="A2012" s="133"/>
      <c r="B2012" s="195"/>
      <c r="C2012" s="226"/>
      <c r="D2012" s="226"/>
      <c r="E2012" s="171"/>
      <c r="F2012" s="226"/>
      <c r="G2012" s="231"/>
      <c r="H2012" s="200"/>
    </row>
    <row r="2013" spans="1:8" x14ac:dyDescent="0.25">
      <c r="A2013" s="133"/>
      <c r="B2013" s="195"/>
      <c r="C2013" s="226"/>
      <c r="D2013" s="232"/>
      <c r="E2013" s="232"/>
      <c r="F2013" s="226"/>
      <c r="G2013" s="229"/>
      <c r="H2013" s="200"/>
    </row>
    <row r="2014" spans="1:8" ht="15.75" thickBot="1" x14ac:dyDescent="0.3">
      <c r="A2014" s="133"/>
      <c r="B2014" s="195"/>
      <c r="C2014" s="226"/>
      <c r="D2014" s="232"/>
      <c r="E2014" s="232"/>
      <c r="F2014" s="226"/>
      <c r="G2014" s="229"/>
      <c r="H2014" s="200"/>
    </row>
    <row r="2015" spans="1:8" ht="15.75" thickBot="1" x14ac:dyDescent="0.3">
      <c r="A2015" s="133"/>
      <c r="B2015" s="233"/>
      <c r="C2015" s="234"/>
      <c r="D2015" s="234"/>
      <c r="E2015" s="234"/>
      <c r="F2015" s="235"/>
      <c r="G2015" s="236"/>
      <c r="H2015" s="237">
        <f>+SUM(G2009:G2015)</f>
        <v>34621.428571428572</v>
      </c>
    </row>
    <row r="2016" spans="1:8" ht="15.75" thickBot="1" x14ac:dyDescent="0.3">
      <c r="A2016" s="133"/>
      <c r="B2016" s="238"/>
      <c r="C2016" s="238"/>
      <c r="D2016" s="238"/>
      <c r="E2016" s="238"/>
      <c r="F2016" s="239"/>
      <c r="G2016" s="240"/>
      <c r="H2016" s="241"/>
    </row>
    <row r="2017" spans="1:8" ht="15.75" thickBot="1" x14ac:dyDescent="0.3">
      <c r="A2017" s="133"/>
      <c r="B2017" s="224" t="s">
        <v>5408</v>
      </c>
      <c r="C2017" s="193" t="s">
        <v>867</v>
      </c>
      <c r="D2017" s="193" t="s">
        <v>6</v>
      </c>
      <c r="E2017" s="193" t="s">
        <v>870</v>
      </c>
      <c r="F2017" s="193" t="s">
        <v>5409</v>
      </c>
      <c r="G2017" s="225" t="s">
        <v>868</v>
      </c>
      <c r="H2017" s="200"/>
    </row>
    <row r="2018" spans="1:8" x14ac:dyDescent="0.25">
      <c r="A2018" s="133"/>
      <c r="B2018" s="295"/>
      <c r="C2018" s="202"/>
      <c r="D2018" s="226"/>
      <c r="E2018" s="244"/>
      <c r="F2018" s="169"/>
      <c r="G2018" s="178">
        <f>+D2018*E2018*(1+F2018)</f>
        <v>0</v>
      </c>
      <c r="H2018" s="200"/>
    </row>
    <row r="2019" spans="1:8" x14ac:dyDescent="0.25">
      <c r="A2019" s="133"/>
      <c r="B2019" s="450"/>
      <c r="C2019" s="202"/>
      <c r="D2019" s="202"/>
      <c r="E2019" s="257"/>
      <c r="F2019" s="169"/>
      <c r="G2019" s="178">
        <f>+D2019*E2019*(1+F2019)</f>
        <v>0</v>
      </c>
      <c r="H2019" s="200"/>
    </row>
    <row r="2020" spans="1:8" x14ac:dyDescent="0.25">
      <c r="A2020" s="133"/>
      <c r="B2020" s="247"/>
      <c r="C2020" s="226"/>
      <c r="D2020" s="226"/>
      <c r="E2020" s="244"/>
      <c r="F2020" s="169"/>
      <c r="G2020" s="178">
        <f>+D2020*E2020*(1+F2020)</f>
        <v>0</v>
      </c>
      <c r="H2020" s="200"/>
    </row>
    <row r="2021" spans="1:8" x14ac:dyDescent="0.25">
      <c r="A2021" s="133"/>
      <c r="B2021" s="194"/>
      <c r="C2021" s="226"/>
      <c r="D2021" s="226"/>
      <c r="E2021" s="171"/>
      <c r="F2021" s="169"/>
      <c r="G2021" s="178">
        <f>+D2021*E2021*(1+F2021)</f>
        <v>0</v>
      </c>
      <c r="H2021" s="200"/>
    </row>
    <row r="2022" spans="1:8" x14ac:dyDescent="0.25">
      <c r="A2022" s="133"/>
      <c r="B2022" s="195"/>
      <c r="C2022" s="226"/>
      <c r="D2022" s="226"/>
      <c r="E2022" s="171"/>
      <c r="F2022" s="169"/>
      <c r="G2022" s="178"/>
      <c r="H2022" s="200"/>
    </row>
    <row r="2023" spans="1:8" x14ac:dyDescent="0.25">
      <c r="A2023" s="133"/>
      <c r="B2023" s="194"/>
      <c r="C2023" s="202"/>
      <c r="D2023" s="202"/>
      <c r="E2023" s="171"/>
      <c r="F2023" s="169"/>
      <c r="G2023" s="178"/>
      <c r="H2023" s="200"/>
    </row>
    <row r="2024" spans="1:8" x14ac:dyDescent="0.25">
      <c r="A2024" s="133"/>
      <c r="B2024" s="195"/>
      <c r="C2024" s="226"/>
      <c r="D2024" s="226"/>
      <c r="E2024" s="171"/>
      <c r="F2024" s="169"/>
      <c r="G2024" s="178"/>
      <c r="H2024" s="200"/>
    </row>
    <row r="2025" spans="1:8" x14ac:dyDescent="0.25">
      <c r="A2025" s="133"/>
      <c r="B2025" s="195"/>
      <c r="C2025" s="226"/>
      <c r="D2025" s="226"/>
      <c r="E2025" s="171"/>
      <c r="F2025" s="169"/>
      <c r="G2025" s="178"/>
      <c r="H2025" s="200"/>
    </row>
    <row r="2026" spans="1:8" x14ac:dyDescent="0.25">
      <c r="A2026" s="133"/>
      <c r="B2026" s="195"/>
      <c r="C2026" s="232"/>
      <c r="D2026" s="232"/>
      <c r="E2026" s="232"/>
      <c r="F2026" s="226"/>
      <c r="G2026" s="229"/>
      <c r="H2026" s="200"/>
    </row>
    <row r="2027" spans="1:8" x14ac:dyDescent="0.25">
      <c r="A2027" s="133"/>
      <c r="B2027" s="195"/>
      <c r="C2027" s="232"/>
      <c r="D2027" s="232"/>
      <c r="E2027" s="232"/>
      <c r="F2027" s="226"/>
      <c r="G2027" s="229"/>
      <c r="H2027" s="200"/>
    </row>
    <row r="2028" spans="1:8" x14ac:dyDescent="0.25">
      <c r="A2028" s="133"/>
      <c r="B2028" s="195"/>
      <c r="C2028" s="232"/>
      <c r="D2028" s="232"/>
      <c r="E2028" s="232"/>
      <c r="F2028" s="226"/>
      <c r="G2028" s="229"/>
      <c r="H2028" s="200"/>
    </row>
    <row r="2029" spans="1:8" ht="15.75" thickBot="1" x14ac:dyDescent="0.3">
      <c r="A2029" s="133"/>
      <c r="B2029" s="195"/>
      <c r="C2029" s="232"/>
      <c r="D2029" s="232"/>
      <c r="E2029" s="232"/>
      <c r="F2029" s="226"/>
      <c r="G2029" s="229"/>
      <c r="H2029" s="200"/>
    </row>
    <row r="2030" spans="1:8" ht="15.75" thickBot="1" x14ac:dyDescent="0.3">
      <c r="A2030" s="133"/>
      <c r="B2030" s="233"/>
      <c r="C2030" s="234"/>
      <c r="D2030" s="234"/>
      <c r="E2030" s="234"/>
      <c r="F2030" s="235"/>
      <c r="G2030" s="236"/>
      <c r="H2030" s="256">
        <f>+SUM(G2018:G2030)</f>
        <v>0</v>
      </c>
    </row>
    <row r="2031" spans="1:8" ht="15.75" thickBot="1" x14ac:dyDescent="0.3">
      <c r="A2031" s="133"/>
      <c r="B2031" s="238"/>
      <c r="C2031" s="238"/>
      <c r="D2031" s="238"/>
      <c r="E2031" s="238"/>
      <c r="F2031" s="239"/>
      <c r="G2031" s="240"/>
      <c r="H2031" s="241"/>
    </row>
    <row r="2032" spans="1:8" ht="15.75" thickBot="1" x14ac:dyDescent="0.3">
      <c r="A2032" s="133"/>
      <c r="B2032" s="224" t="s">
        <v>5410</v>
      </c>
      <c r="C2032" s="193" t="s">
        <v>867</v>
      </c>
      <c r="D2032" s="193" t="s">
        <v>6</v>
      </c>
      <c r="E2032" s="193" t="s">
        <v>870</v>
      </c>
      <c r="F2032" s="193" t="s">
        <v>5411</v>
      </c>
      <c r="G2032" s="225" t="s">
        <v>868</v>
      </c>
      <c r="H2032" s="200"/>
    </row>
    <row r="2033" spans="1:8" x14ac:dyDescent="0.25">
      <c r="A2033" s="133"/>
      <c r="B2033" s="245"/>
      <c r="C2033" s="202"/>
      <c r="D2033" s="202"/>
      <c r="E2033" s="175"/>
      <c r="F2033" s="202"/>
      <c r="G2033" s="203"/>
      <c r="H2033" s="246"/>
    </row>
    <row r="2034" spans="1:8" x14ac:dyDescent="0.25">
      <c r="A2034" s="133"/>
      <c r="B2034" s="247"/>
      <c r="C2034" s="248"/>
      <c r="D2034" s="248"/>
      <c r="E2034" s="248"/>
      <c r="F2034" s="202"/>
      <c r="G2034" s="178"/>
      <c r="H2034" s="200"/>
    </row>
    <row r="2035" spans="1:8" x14ac:dyDescent="0.25">
      <c r="A2035" s="133"/>
      <c r="B2035" s="247"/>
      <c r="C2035" s="232"/>
      <c r="D2035" s="232"/>
      <c r="E2035" s="232"/>
      <c r="F2035" s="226"/>
      <c r="G2035" s="229"/>
      <c r="H2035" s="200"/>
    </row>
    <row r="2036" spans="1:8" x14ac:dyDescent="0.25">
      <c r="A2036" s="133"/>
      <c r="B2036" s="194"/>
      <c r="C2036" s="232"/>
      <c r="D2036" s="232"/>
      <c r="E2036" s="232"/>
      <c r="F2036" s="226"/>
      <c r="G2036" s="229"/>
      <c r="H2036" s="200"/>
    </row>
    <row r="2037" spans="1:8" ht="15.75" thickBot="1" x14ac:dyDescent="0.3">
      <c r="A2037" s="133"/>
      <c r="B2037" s="195"/>
      <c r="C2037" s="232"/>
      <c r="D2037" s="232"/>
      <c r="E2037" s="232"/>
      <c r="F2037" s="226"/>
      <c r="G2037" s="229"/>
      <c r="H2037" s="200"/>
    </row>
    <row r="2038" spans="1:8" ht="15.75" thickBot="1" x14ac:dyDescent="0.3">
      <c r="A2038" s="133"/>
      <c r="B2038" s="233"/>
      <c r="C2038" s="234"/>
      <c r="D2038" s="234"/>
      <c r="E2038" s="234"/>
      <c r="F2038" s="235"/>
      <c r="G2038" s="236"/>
      <c r="H2038" s="237">
        <f>+SUM(G2033:G2038)</f>
        <v>0</v>
      </c>
    </row>
    <row r="2039" spans="1:8" ht="15.75" thickBot="1" x14ac:dyDescent="0.3">
      <c r="A2039" s="133"/>
      <c r="B2039" s="238"/>
      <c r="C2039" s="238"/>
      <c r="D2039" s="238"/>
      <c r="E2039" s="238"/>
      <c r="F2039" s="249"/>
      <c r="G2039" s="250"/>
      <c r="H2039" s="241"/>
    </row>
    <row r="2040" spans="1:8" ht="15.75" thickBot="1" x14ac:dyDescent="0.3">
      <c r="A2040" s="133"/>
      <c r="B2040" s="224" t="s">
        <v>5412</v>
      </c>
      <c r="C2040" s="193" t="s">
        <v>5420</v>
      </c>
      <c r="D2040" s="193" t="s">
        <v>5421</v>
      </c>
      <c r="E2040" s="193" t="s">
        <v>5413</v>
      </c>
      <c r="F2040" s="193" t="s">
        <v>5405</v>
      </c>
      <c r="G2040" s="225" t="s">
        <v>868</v>
      </c>
      <c r="H2040" s="200"/>
    </row>
    <row r="2041" spans="1:8" x14ac:dyDescent="0.25">
      <c r="A2041" s="133"/>
      <c r="B2041" s="194" t="s">
        <v>5948</v>
      </c>
      <c r="C2041" s="345">
        <v>70000</v>
      </c>
      <c r="D2041" s="176">
        <f>+C2041*0.85</f>
        <v>59500</v>
      </c>
      <c r="E2041" s="176">
        <f>+C2041+D2041</f>
        <v>129500</v>
      </c>
      <c r="F2041" s="204">
        <v>10</v>
      </c>
      <c r="G2041" s="178">
        <f>+E2041/F2041</f>
        <v>12950</v>
      </c>
      <c r="H2041" s="200"/>
    </row>
    <row r="2042" spans="1:8" x14ac:dyDescent="0.25">
      <c r="A2042" s="133"/>
      <c r="B2042" s="194" t="s">
        <v>5651</v>
      </c>
      <c r="C2042" s="345">
        <v>40000</v>
      </c>
      <c r="D2042" s="176">
        <f>+C2042*0.85</f>
        <v>34000</v>
      </c>
      <c r="E2042" s="176">
        <f>+C2042+D2042</f>
        <v>74000</v>
      </c>
      <c r="F2042" s="202">
        <v>0.7</v>
      </c>
      <c r="G2042" s="178">
        <f>+E2042/F2042</f>
        <v>105714.28571428572</v>
      </c>
      <c r="H2042" s="200"/>
    </row>
    <row r="2043" spans="1:8" x14ac:dyDescent="0.25">
      <c r="A2043" s="133"/>
      <c r="B2043" s="195" t="s">
        <v>5635</v>
      </c>
      <c r="C2043" s="345">
        <v>20600</v>
      </c>
      <c r="D2043" s="176">
        <f>+C2043*0.85</f>
        <v>17510</v>
      </c>
      <c r="E2043" s="176">
        <f>+C2043+D2043</f>
        <v>38110</v>
      </c>
      <c r="F2043" s="226">
        <v>0.7</v>
      </c>
      <c r="G2043" s="178">
        <f>+E2043/F2043</f>
        <v>54442.857142857145</v>
      </c>
      <c r="H2043" s="200"/>
    </row>
    <row r="2044" spans="1:8" x14ac:dyDescent="0.25">
      <c r="A2044" s="133"/>
      <c r="B2044" s="195"/>
      <c r="C2044" s="171"/>
      <c r="D2044" s="176"/>
      <c r="E2044" s="176"/>
      <c r="F2044" s="226"/>
      <c r="G2044" s="178"/>
      <c r="H2044" s="200"/>
    </row>
    <row r="2045" spans="1:8" x14ac:dyDescent="0.25">
      <c r="A2045" s="133"/>
      <c r="B2045" s="195"/>
      <c r="C2045" s="232"/>
      <c r="D2045" s="232"/>
      <c r="E2045" s="232"/>
      <c r="F2045" s="226"/>
      <c r="G2045" s="229"/>
      <c r="H2045" s="200"/>
    </row>
    <row r="2046" spans="1:8" ht="15.75" thickBot="1" x14ac:dyDescent="0.3">
      <c r="A2046" s="133"/>
      <c r="B2046" s="195"/>
      <c r="C2046" s="232"/>
      <c r="D2046" s="232"/>
      <c r="E2046" s="232"/>
      <c r="F2046" s="226"/>
      <c r="G2046" s="229"/>
      <c r="H2046" s="200"/>
    </row>
    <row r="2047" spans="1:8" ht="15.75" thickBot="1" x14ac:dyDescent="0.3">
      <c r="A2047" s="133"/>
      <c r="B2047" s="251"/>
      <c r="C2047" s="252"/>
      <c r="D2047" s="252"/>
      <c r="E2047" s="252"/>
      <c r="F2047" s="253"/>
      <c r="G2047" s="254"/>
      <c r="H2047" s="256">
        <f>+SUM(G2041:G2047)</f>
        <v>173107.14285714287</v>
      </c>
    </row>
    <row r="2048" spans="1:8" ht="15.75" thickBot="1" x14ac:dyDescent="0.3">
      <c r="A2048" s="133"/>
      <c r="B2048" s="8"/>
      <c r="C2048" s="8"/>
      <c r="D2048" s="8"/>
      <c r="E2048" s="8"/>
      <c r="F2048" s="133"/>
      <c r="G2048" s="200"/>
      <c r="H2048" s="200"/>
    </row>
    <row r="2049" spans="1:16" ht="15.75" thickBot="1" x14ac:dyDescent="0.3">
      <c r="A2049" s="133"/>
      <c r="B2049" s="8"/>
      <c r="C2049" s="8"/>
      <c r="D2049" s="8"/>
      <c r="E2049" s="223" t="s">
        <v>5415</v>
      </c>
      <c r="F2049" s="133"/>
      <c r="G2049" s="200"/>
      <c r="H2049" s="256">
        <f>ROUND(+H2047+H2038+H2030+H2015,0)</f>
        <v>207729</v>
      </c>
    </row>
    <row r="2050" spans="1:16" x14ac:dyDescent="0.25">
      <c r="A2050" s="265"/>
      <c r="B2050" s="265"/>
      <c r="C2050" s="265"/>
      <c r="D2050" s="265"/>
      <c r="E2050" s="265"/>
      <c r="F2050" s="265"/>
      <c r="G2050" s="265"/>
      <c r="H2050" s="265"/>
    </row>
    <row r="2051" spans="1:16" x14ac:dyDescent="0.25">
      <c r="A2051" s="133"/>
      <c r="B2051" s="265"/>
      <c r="C2051" s="265"/>
      <c r="D2051" s="265"/>
      <c r="E2051" s="265"/>
      <c r="F2051" s="265"/>
      <c r="G2051" s="265"/>
      <c r="H2051" s="265"/>
    </row>
    <row r="2052" spans="1:16" x14ac:dyDescent="0.25">
      <c r="A2052" s="133"/>
      <c r="B2052" s="265"/>
      <c r="C2052" s="265"/>
      <c r="D2052" s="265"/>
      <c r="E2052" s="265"/>
      <c r="F2052" s="265"/>
      <c r="G2052" s="265"/>
      <c r="H2052" s="265"/>
    </row>
    <row r="2053" spans="1:16" x14ac:dyDescent="0.25">
      <c r="A2053" s="133"/>
      <c r="B2053" s="265"/>
      <c r="C2053" s="265"/>
      <c r="D2053" s="265"/>
      <c r="E2053" s="265"/>
      <c r="F2053" s="265"/>
      <c r="G2053" s="265"/>
      <c r="H2053" s="265"/>
    </row>
    <row r="2054" spans="1:16" ht="18.75" x14ac:dyDescent="0.25">
      <c r="A2054" s="133"/>
      <c r="B2054" s="2506" t="s">
        <v>5400</v>
      </c>
      <c r="C2054" s="2506"/>
      <c r="D2054" s="2506"/>
      <c r="E2054" s="2506"/>
      <c r="F2054" s="2506"/>
      <c r="G2054" s="2506"/>
      <c r="H2054" s="8"/>
      <c r="I2054" s="133"/>
      <c r="J2054" s="2506" t="s">
        <v>5400</v>
      </c>
      <c r="K2054" s="2506"/>
      <c r="L2054" s="2506"/>
      <c r="M2054" s="2506"/>
      <c r="N2054" s="2506"/>
      <c r="O2054" s="2506"/>
      <c r="P2054" s="8"/>
    </row>
    <row r="2055" spans="1:16" x14ac:dyDescent="0.25">
      <c r="A2055" s="133"/>
      <c r="B2055" s="8"/>
      <c r="C2055" s="8"/>
      <c r="D2055" s="8"/>
      <c r="E2055" s="8"/>
      <c r="F2055" s="133"/>
      <c r="G2055" s="200"/>
      <c r="H2055" s="200"/>
      <c r="I2055" s="133"/>
      <c r="J2055" s="8"/>
      <c r="K2055" s="8"/>
      <c r="L2055" s="8"/>
      <c r="M2055" s="8"/>
      <c r="N2055" s="133"/>
      <c r="O2055" s="200"/>
      <c r="P2055" s="200"/>
    </row>
    <row r="2056" spans="1:16" x14ac:dyDescent="0.25">
      <c r="A2056" s="133"/>
      <c r="B2056" s="8"/>
      <c r="C2056" s="8"/>
      <c r="D2056" s="8"/>
      <c r="E2056" s="8"/>
      <c r="F2056" s="133"/>
      <c r="G2056" s="200"/>
      <c r="H2056" s="200"/>
      <c r="I2056" s="133"/>
      <c r="J2056" s="8"/>
      <c r="K2056" s="8"/>
      <c r="L2056" s="8"/>
      <c r="M2056" s="8"/>
      <c r="N2056" s="133"/>
      <c r="O2056" s="200"/>
      <c r="P2056" s="200"/>
    </row>
    <row r="2057" spans="1:16" x14ac:dyDescent="0.25">
      <c r="A2057" s="133"/>
      <c r="B2057" s="8"/>
      <c r="C2057" s="8"/>
      <c r="D2057" s="8"/>
      <c r="E2057" s="8"/>
      <c r="F2057" s="133"/>
      <c r="G2057" s="200"/>
      <c r="H2057" s="200"/>
      <c r="I2057" s="133"/>
      <c r="J2057" s="8"/>
      <c r="K2057" s="8"/>
      <c r="L2057" s="8"/>
      <c r="M2057" s="8"/>
      <c r="N2057" s="133"/>
      <c r="O2057" s="200"/>
      <c r="P2057" s="200"/>
    </row>
    <row r="2058" spans="1:16" ht="15" customHeight="1" x14ac:dyDescent="0.25">
      <c r="A2058" s="220" t="s">
        <v>5482</v>
      </c>
      <c r="B2058" s="221" t="s">
        <v>5513</v>
      </c>
      <c r="C2058" s="2449" t="s">
        <v>5514</v>
      </c>
      <c r="D2058" s="2449"/>
      <c r="E2058" s="2449"/>
      <c r="F2058" s="220" t="s">
        <v>867</v>
      </c>
      <c r="G2058" s="222" t="s">
        <v>5424</v>
      </c>
      <c r="H2058" s="200"/>
      <c r="I2058" s="220" t="s">
        <v>5482</v>
      </c>
      <c r="J2058" s="221" t="s">
        <v>5513</v>
      </c>
      <c r="K2058" s="2449" t="s">
        <v>5921</v>
      </c>
      <c r="L2058" s="2449"/>
      <c r="M2058" s="2449"/>
      <c r="N2058" s="220" t="s">
        <v>867</v>
      </c>
      <c r="O2058" s="222" t="s">
        <v>5424</v>
      </c>
      <c r="P2058" s="200"/>
    </row>
    <row r="2059" spans="1:16" x14ac:dyDescent="0.25">
      <c r="A2059" s="133"/>
      <c r="B2059" s="8"/>
      <c r="C2059" s="223"/>
      <c r="D2059" s="223"/>
      <c r="E2059" s="223"/>
      <c r="F2059" s="133"/>
      <c r="G2059" s="200"/>
      <c r="H2059" s="200"/>
      <c r="I2059" s="133"/>
      <c r="J2059" s="8"/>
      <c r="K2059" s="223"/>
      <c r="L2059" s="223"/>
      <c r="M2059" s="223"/>
      <c r="N2059" s="133"/>
      <c r="O2059" s="200"/>
      <c r="P2059" s="200"/>
    </row>
    <row r="2060" spans="1:16" x14ac:dyDescent="0.25">
      <c r="A2060" s="133"/>
      <c r="B2060" s="8"/>
      <c r="C2060" s="8"/>
      <c r="D2060" s="8"/>
      <c r="E2060" s="8"/>
      <c r="F2060" s="8"/>
      <c r="G2060" s="8"/>
      <c r="H2060" s="200"/>
      <c r="I2060" s="133"/>
      <c r="J2060" s="8"/>
      <c r="K2060" s="8"/>
      <c r="L2060" s="8"/>
      <c r="M2060" s="8"/>
      <c r="N2060" s="8"/>
      <c r="O2060" s="8"/>
      <c r="P2060" s="200"/>
    </row>
    <row r="2061" spans="1:16" ht="15.75" thickBot="1" x14ac:dyDescent="0.3">
      <c r="A2061" s="133"/>
      <c r="B2061" s="8"/>
      <c r="C2061" s="8"/>
      <c r="D2061" s="8"/>
      <c r="E2061" s="8"/>
      <c r="F2061" s="133"/>
      <c r="G2061" s="200"/>
      <c r="H2061" s="200"/>
      <c r="I2061" s="133"/>
      <c r="J2061" s="8"/>
      <c r="K2061" s="8"/>
      <c r="L2061" s="8"/>
      <c r="M2061" s="8"/>
      <c r="N2061" s="133"/>
      <c r="O2061" s="200"/>
      <c r="P2061" s="200"/>
    </row>
    <row r="2062" spans="1:16" ht="15.75" thickBot="1" x14ac:dyDescent="0.3">
      <c r="A2062" s="133"/>
      <c r="B2062" s="224" t="s">
        <v>5403</v>
      </c>
      <c r="C2062" s="193" t="s">
        <v>867</v>
      </c>
      <c r="D2062" s="193" t="s">
        <v>6</v>
      </c>
      <c r="E2062" s="193" t="s">
        <v>5439</v>
      </c>
      <c r="F2062" s="193" t="s">
        <v>5405</v>
      </c>
      <c r="G2062" s="225" t="s">
        <v>868</v>
      </c>
      <c r="H2062" s="200"/>
      <c r="I2062" s="133"/>
      <c r="J2062" s="224" t="s">
        <v>5403</v>
      </c>
      <c r="K2062" s="193" t="s">
        <v>867</v>
      </c>
      <c r="L2062" s="193" t="s">
        <v>6</v>
      </c>
      <c r="M2062" s="193" t="s">
        <v>5439</v>
      </c>
      <c r="N2062" s="193" t="s">
        <v>5405</v>
      </c>
      <c r="O2062" s="225" t="s">
        <v>868</v>
      </c>
      <c r="P2062" s="200"/>
    </row>
    <row r="2063" spans="1:16" x14ac:dyDescent="0.25">
      <c r="A2063" s="133"/>
      <c r="B2063" s="195" t="s">
        <v>5440</v>
      </c>
      <c r="C2063" s="226" t="s">
        <v>5402</v>
      </c>
      <c r="D2063" s="226">
        <v>1</v>
      </c>
      <c r="E2063" s="263">
        <f>+H2101</f>
        <v>39960</v>
      </c>
      <c r="F2063" s="226">
        <v>0.1</v>
      </c>
      <c r="G2063" s="229">
        <f>+E2063*F2063</f>
        <v>3996</v>
      </c>
      <c r="H2063" s="200"/>
      <c r="I2063" s="133"/>
      <c r="J2063" s="195" t="s">
        <v>5440</v>
      </c>
      <c r="K2063" s="226" t="s">
        <v>5402</v>
      </c>
      <c r="L2063" s="226">
        <v>1</v>
      </c>
      <c r="M2063" s="228">
        <f>+P2101</f>
        <v>61235</v>
      </c>
      <c r="N2063" s="226">
        <v>0.15</v>
      </c>
      <c r="O2063" s="229">
        <f>+M2063*N2063</f>
        <v>9185.25</v>
      </c>
      <c r="P2063" s="200"/>
    </row>
    <row r="2064" spans="1:16" x14ac:dyDescent="0.25">
      <c r="A2064" s="133"/>
      <c r="B2064" s="195"/>
      <c r="C2064" s="226"/>
      <c r="D2064" s="226"/>
      <c r="E2064" s="264"/>
      <c r="F2064" s="226"/>
      <c r="G2064" s="229"/>
      <c r="H2064" s="200"/>
      <c r="I2064" s="133"/>
      <c r="J2064" s="195"/>
      <c r="K2064" s="226"/>
      <c r="L2064" s="226"/>
      <c r="M2064" s="228"/>
      <c r="N2064" s="226"/>
      <c r="O2064" s="229"/>
      <c r="P2064" s="200"/>
    </row>
    <row r="2065" spans="1:16" x14ac:dyDescent="0.25">
      <c r="A2065" s="133"/>
      <c r="B2065" s="195"/>
      <c r="C2065" s="226"/>
      <c r="D2065" s="226"/>
      <c r="E2065" s="176"/>
      <c r="F2065" s="226"/>
      <c r="G2065" s="229"/>
      <c r="H2065" s="200"/>
      <c r="I2065" s="133"/>
      <c r="J2065" s="195"/>
      <c r="K2065" s="226"/>
      <c r="L2065" s="226"/>
      <c r="M2065" s="176"/>
      <c r="N2065" s="226"/>
      <c r="O2065" s="229"/>
      <c r="P2065" s="200"/>
    </row>
    <row r="2066" spans="1:16" x14ac:dyDescent="0.25">
      <c r="A2066" s="133"/>
      <c r="B2066" s="195"/>
      <c r="C2066" s="226"/>
      <c r="D2066" s="226"/>
      <c r="E2066" s="171"/>
      <c r="F2066" s="226"/>
      <c r="G2066" s="231"/>
      <c r="H2066" s="200"/>
      <c r="I2066" s="133"/>
      <c r="J2066" s="195"/>
      <c r="K2066" s="226"/>
      <c r="L2066" s="226"/>
      <c r="M2066" s="171"/>
      <c r="N2066" s="226"/>
      <c r="O2066" s="229"/>
      <c r="P2066" s="200"/>
    </row>
    <row r="2067" spans="1:16" x14ac:dyDescent="0.25">
      <c r="A2067" s="133"/>
      <c r="B2067" s="195"/>
      <c r="C2067" s="226"/>
      <c r="D2067" s="232"/>
      <c r="E2067" s="232"/>
      <c r="F2067" s="226"/>
      <c r="G2067" s="229"/>
      <c r="H2067" s="200"/>
      <c r="I2067" s="133"/>
      <c r="J2067" s="195"/>
      <c r="K2067" s="226"/>
      <c r="L2067" s="232"/>
      <c r="M2067" s="232"/>
      <c r="N2067" s="226"/>
      <c r="O2067" s="229"/>
      <c r="P2067" s="200"/>
    </row>
    <row r="2068" spans="1:16" ht="15.75" thickBot="1" x14ac:dyDescent="0.3">
      <c r="A2068" s="133"/>
      <c r="B2068" s="195"/>
      <c r="C2068" s="226"/>
      <c r="D2068" s="232"/>
      <c r="E2068" s="232"/>
      <c r="F2068" s="226"/>
      <c r="G2068" s="229"/>
      <c r="H2068" s="200"/>
      <c r="I2068" s="133"/>
      <c r="J2068" s="195"/>
      <c r="K2068" s="226"/>
      <c r="L2068" s="232"/>
      <c r="M2068" s="232"/>
      <c r="N2068" s="226"/>
      <c r="O2068" s="229"/>
      <c r="P2068" s="200"/>
    </row>
    <row r="2069" spans="1:16" ht="15.75" thickBot="1" x14ac:dyDescent="0.3">
      <c r="A2069" s="133"/>
      <c r="B2069" s="233"/>
      <c r="C2069" s="234"/>
      <c r="D2069" s="234"/>
      <c r="E2069" s="234"/>
      <c r="F2069" s="235"/>
      <c r="G2069" s="236"/>
      <c r="H2069" s="237">
        <f>+SUM(G2063:G2069)</f>
        <v>3996</v>
      </c>
      <c r="I2069" s="133"/>
      <c r="J2069" s="233"/>
      <c r="K2069" s="234"/>
      <c r="L2069" s="234"/>
      <c r="M2069" s="234"/>
      <c r="N2069" s="235"/>
      <c r="O2069" s="236"/>
      <c r="P2069" s="237">
        <f>+SUM(O2063:O2069)</f>
        <v>9185.25</v>
      </c>
    </row>
    <row r="2070" spans="1:16" ht="15.75" thickBot="1" x14ac:dyDescent="0.3">
      <c r="A2070" s="133"/>
      <c r="B2070" s="238"/>
      <c r="C2070" s="238"/>
      <c r="D2070" s="238"/>
      <c r="E2070" s="238"/>
      <c r="F2070" s="239"/>
      <c r="G2070" s="240"/>
      <c r="H2070" s="241"/>
      <c r="I2070" s="133"/>
      <c r="J2070" s="238"/>
      <c r="K2070" s="238"/>
      <c r="L2070" s="238"/>
      <c r="M2070" s="238"/>
      <c r="N2070" s="239"/>
      <c r="O2070" s="240"/>
      <c r="P2070" s="241"/>
    </row>
    <row r="2071" spans="1:16" ht="15.75" thickBot="1" x14ac:dyDescent="0.3">
      <c r="A2071" s="133"/>
      <c r="B2071" s="224" t="s">
        <v>5408</v>
      </c>
      <c r="C2071" s="193" t="s">
        <v>867</v>
      </c>
      <c r="D2071" s="193" t="s">
        <v>6</v>
      </c>
      <c r="E2071" s="193" t="s">
        <v>870</v>
      </c>
      <c r="F2071" s="193" t="s">
        <v>5409</v>
      </c>
      <c r="G2071" s="225" t="s">
        <v>868</v>
      </c>
      <c r="H2071" s="200"/>
      <c r="I2071" s="133"/>
      <c r="J2071" s="224" t="s">
        <v>5408</v>
      </c>
      <c r="K2071" s="193" t="s">
        <v>867</v>
      </c>
      <c r="L2071" s="193" t="s">
        <v>6</v>
      </c>
      <c r="M2071" s="193" t="s">
        <v>870</v>
      </c>
      <c r="N2071" s="193" t="s">
        <v>5409</v>
      </c>
      <c r="O2071" s="225" t="s">
        <v>868</v>
      </c>
      <c r="P2071" s="200"/>
    </row>
    <row r="2072" spans="1:16" x14ac:dyDescent="0.25">
      <c r="A2072" s="133"/>
      <c r="B2072" s="295"/>
      <c r="C2072" s="202"/>
      <c r="D2072" s="226"/>
      <c r="E2072" s="244"/>
      <c r="F2072" s="169"/>
      <c r="G2072" s="178">
        <f>+D2072*E2072*(1+F2072)</f>
        <v>0</v>
      </c>
      <c r="H2072" s="200"/>
      <c r="I2072" s="133"/>
      <c r="J2072" s="295" t="s">
        <v>6124</v>
      </c>
      <c r="K2072" s="202" t="s">
        <v>5424</v>
      </c>
      <c r="L2072" s="226">
        <v>1</v>
      </c>
      <c r="M2072" s="228"/>
      <c r="N2072" s="169"/>
      <c r="O2072" s="178">
        <f>+L2072*M2072*(1+N2072)</f>
        <v>0</v>
      </c>
      <c r="P2072" s="200"/>
    </row>
    <row r="2073" spans="1:16" x14ac:dyDescent="0.25">
      <c r="A2073" s="133"/>
      <c r="B2073" s="450"/>
      <c r="C2073" s="202"/>
      <c r="D2073" s="202"/>
      <c r="E2073" s="257"/>
      <c r="F2073" s="169"/>
      <c r="G2073" s="178">
        <f>+D2073*E2073*(1+F2073)</f>
        <v>0</v>
      </c>
      <c r="H2073" s="200"/>
      <c r="I2073" s="133"/>
      <c r="J2073" s="450" t="s">
        <v>6125</v>
      </c>
      <c r="K2073" s="202" t="s">
        <v>5424</v>
      </c>
      <c r="L2073" s="202">
        <v>4</v>
      </c>
      <c r="M2073" s="228">
        <v>8000</v>
      </c>
      <c r="N2073" s="169"/>
      <c r="O2073" s="178">
        <f>+L2073*M2073*(1+N2073)</f>
        <v>32000</v>
      </c>
      <c r="P2073" s="200"/>
    </row>
    <row r="2074" spans="1:16" x14ac:dyDescent="0.25">
      <c r="A2074" s="133"/>
      <c r="B2074" s="247"/>
      <c r="C2074" s="202"/>
      <c r="D2074" s="226"/>
      <c r="E2074" s="244"/>
      <c r="F2074" s="169"/>
      <c r="G2074" s="178">
        <f>+D2074*E2074*(1+F2074)</f>
        <v>0</v>
      </c>
      <c r="H2074" s="200"/>
      <c r="I2074" s="133"/>
      <c r="J2074" s="247"/>
      <c r="K2074" s="202"/>
      <c r="L2074" s="226"/>
      <c r="M2074" s="228"/>
      <c r="N2074" s="169"/>
      <c r="O2074" s="178">
        <f>+L2074*M2074*(1+N2074)</f>
        <v>0</v>
      </c>
      <c r="P2074" s="200"/>
    </row>
    <row r="2075" spans="1:16" x14ac:dyDescent="0.25">
      <c r="A2075" s="133"/>
      <c r="B2075" s="194"/>
      <c r="C2075" s="226"/>
      <c r="D2075" s="226"/>
      <c r="E2075" s="171"/>
      <c r="F2075" s="169"/>
      <c r="G2075" s="178">
        <f>+D2075*E2075*(1+F2075)</f>
        <v>0</v>
      </c>
      <c r="H2075" s="200"/>
      <c r="I2075" s="133"/>
      <c r="J2075" s="194"/>
      <c r="K2075" s="226"/>
      <c r="L2075" s="226"/>
      <c r="M2075" s="176"/>
      <c r="N2075" s="169"/>
      <c r="O2075" s="178">
        <f>+L2075*M2075*(1+N2075)</f>
        <v>0</v>
      </c>
      <c r="P2075" s="200"/>
    </row>
    <row r="2076" spans="1:16" x14ac:dyDescent="0.25">
      <c r="A2076" s="133"/>
      <c r="B2076" s="195"/>
      <c r="C2076" s="226"/>
      <c r="D2076" s="226"/>
      <c r="E2076" s="171"/>
      <c r="F2076" s="169"/>
      <c r="G2076" s="178"/>
      <c r="H2076" s="200"/>
      <c r="I2076" s="133"/>
      <c r="J2076" s="195"/>
      <c r="K2076" s="226"/>
      <c r="L2076" s="226"/>
      <c r="M2076" s="176"/>
      <c r="N2076" s="169"/>
      <c r="O2076" s="178"/>
      <c r="P2076" s="200"/>
    </row>
    <row r="2077" spans="1:16" x14ac:dyDescent="0.25">
      <c r="A2077" s="133"/>
      <c r="B2077" s="194"/>
      <c r="C2077" s="202"/>
      <c r="D2077" s="202"/>
      <c r="E2077" s="171"/>
      <c r="F2077" s="169"/>
      <c r="G2077" s="178"/>
      <c r="H2077" s="200"/>
      <c r="I2077" s="133"/>
      <c r="J2077" s="194"/>
      <c r="K2077" s="202"/>
      <c r="L2077" s="202"/>
      <c r="M2077" s="176"/>
      <c r="N2077" s="169"/>
      <c r="O2077" s="178"/>
      <c r="P2077" s="200"/>
    </row>
    <row r="2078" spans="1:16" x14ac:dyDescent="0.25">
      <c r="A2078" s="133"/>
      <c r="B2078" s="195"/>
      <c r="C2078" s="226"/>
      <c r="D2078" s="226"/>
      <c r="E2078" s="171"/>
      <c r="F2078" s="169"/>
      <c r="G2078" s="178"/>
      <c r="H2078" s="200"/>
      <c r="I2078" s="133"/>
      <c r="J2078" s="195"/>
      <c r="K2078" s="226"/>
      <c r="L2078" s="226"/>
      <c r="M2078" s="176"/>
      <c r="N2078" s="169"/>
      <c r="O2078" s="178"/>
      <c r="P2078" s="200"/>
    </row>
    <row r="2079" spans="1:16" x14ac:dyDescent="0.25">
      <c r="A2079" s="133"/>
      <c r="B2079" s="195"/>
      <c r="C2079" s="226"/>
      <c r="D2079" s="226"/>
      <c r="E2079" s="171"/>
      <c r="F2079" s="169"/>
      <c r="G2079" s="178"/>
      <c r="H2079" s="200"/>
      <c r="I2079" s="133"/>
      <c r="J2079" s="195"/>
      <c r="K2079" s="226"/>
      <c r="L2079" s="226"/>
      <c r="M2079" s="176"/>
      <c r="N2079" s="169"/>
      <c r="O2079" s="178"/>
      <c r="P2079" s="200"/>
    </row>
    <row r="2080" spans="1:16" x14ac:dyDescent="0.25">
      <c r="A2080" s="133"/>
      <c r="B2080" s="195"/>
      <c r="C2080" s="232"/>
      <c r="D2080" s="232"/>
      <c r="E2080" s="232"/>
      <c r="F2080" s="226"/>
      <c r="G2080" s="229"/>
      <c r="H2080" s="200"/>
      <c r="I2080" s="133"/>
      <c r="J2080" s="195"/>
      <c r="K2080" s="232"/>
      <c r="L2080" s="232"/>
      <c r="M2080" s="232"/>
      <c r="N2080" s="226"/>
      <c r="O2080" s="229"/>
      <c r="P2080" s="200"/>
    </row>
    <row r="2081" spans="1:16" x14ac:dyDescent="0.25">
      <c r="A2081" s="133"/>
      <c r="B2081" s="195"/>
      <c r="C2081" s="232"/>
      <c r="D2081" s="232"/>
      <c r="E2081" s="232"/>
      <c r="F2081" s="226"/>
      <c r="G2081" s="229"/>
      <c r="H2081" s="200"/>
      <c r="I2081" s="133"/>
      <c r="J2081" s="195"/>
      <c r="K2081" s="232"/>
      <c r="L2081" s="232"/>
      <c r="M2081" s="232"/>
      <c r="N2081" s="226"/>
      <c r="O2081" s="229"/>
      <c r="P2081" s="200"/>
    </row>
    <row r="2082" spans="1:16" x14ac:dyDescent="0.25">
      <c r="A2082" s="133"/>
      <c r="B2082" s="195"/>
      <c r="C2082" s="232"/>
      <c r="D2082" s="232"/>
      <c r="E2082" s="232"/>
      <c r="F2082" s="226"/>
      <c r="G2082" s="229"/>
      <c r="H2082" s="200"/>
      <c r="I2082" s="133"/>
      <c r="J2082" s="195"/>
      <c r="K2082" s="232"/>
      <c r="L2082" s="232"/>
      <c r="M2082" s="232"/>
      <c r="N2082" s="226"/>
      <c r="O2082" s="229"/>
      <c r="P2082" s="200"/>
    </row>
    <row r="2083" spans="1:16" ht="15.75" thickBot="1" x14ac:dyDescent="0.3">
      <c r="A2083" s="133"/>
      <c r="B2083" s="195"/>
      <c r="C2083" s="232"/>
      <c r="D2083" s="232"/>
      <c r="E2083" s="232"/>
      <c r="F2083" s="226"/>
      <c r="G2083" s="229"/>
      <c r="H2083" s="200"/>
      <c r="I2083" s="133"/>
      <c r="J2083" s="195"/>
      <c r="K2083" s="232"/>
      <c r="L2083" s="232"/>
      <c r="M2083" s="232"/>
      <c r="N2083" s="226"/>
      <c r="O2083" s="229"/>
      <c r="P2083" s="200"/>
    </row>
    <row r="2084" spans="1:16" ht="15.75" thickBot="1" x14ac:dyDescent="0.3">
      <c r="A2084" s="133"/>
      <c r="B2084" s="233"/>
      <c r="C2084" s="234"/>
      <c r="D2084" s="234"/>
      <c r="E2084" s="234"/>
      <c r="F2084" s="235"/>
      <c r="G2084" s="236"/>
      <c r="H2084" s="256">
        <f>+SUM(G2072:G2084)</f>
        <v>0</v>
      </c>
      <c r="I2084" s="133"/>
      <c r="J2084" s="233"/>
      <c r="K2084" s="234"/>
      <c r="L2084" s="234"/>
      <c r="M2084" s="234"/>
      <c r="N2084" s="235"/>
      <c r="O2084" s="236"/>
      <c r="P2084" s="256">
        <f>+SUM(O2072:O2084)</f>
        <v>32000</v>
      </c>
    </row>
    <row r="2085" spans="1:16" ht="15.75" thickBot="1" x14ac:dyDescent="0.3">
      <c r="A2085" s="133"/>
      <c r="B2085" s="238"/>
      <c r="C2085" s="238"/>
      <c r="D2085" s="238"/>
      <c r="E2085" s="238"/>
      <c r="F2085" s="239"/>
      <c r="G2085" s="240"/>
      <c r="H2085" s="241"/>
      <c r="I2085" s="133"/>
      <c r="J2085" s="238"/>
      <c r="K2085" s="238"/>
      <c r="L2085" s="238"/>
      <c r="M2085" s="238"/>
      <c r="N2085" s="239"/>
      <c r="O2085" s="240"/>
      <c r="P2085" s="241"/>
    </row>
    <row r="2086" spans="1:16" ht="15.75" thickBot="1" x14ac:dyDescent="0.3">
      <c r="A2086" s="133"/>
      <c r="B2086" s="224" t="s">
        <v>5410</v>
      </c>
      <c r="C2086" s="193" t="s">
        <v>867</v>
      </c>
      <c r="D2086" s="193" t="s">
        <v>6</v>
      </c>
      <c r="E2086" s="193" t="s">
        <v>870</v>
      </c>
      <c r="F2086" s="193" t="s">
        <v>5411</v>
      </c>
      <c r="G2086" s="225" t="s">
        <v>868</v>
      </c>
      <c r="H2086" s="200"/>
      <c r="I2086" s="133"/>
      <c r="J2086" s="224" t="s">
        <v>5410</v>
      </c>
      <c r="K2086" s="193" t="s">
        <v>867</v>
      </c>
      <c r="L2086" s="193" t="s">
        <v>6</v>
      </c>
      <c r="M2086" s="193" t="s">
        <v>870</v>
      </c>
      <c r="N2086" s="193" t="s">
        <v>5411</v>
      </c>
      <c r="O2086" s="225" t="s">
        <v>868</v>
      </c>
      <c r="P2086" s="200"/>
    </row>
    <row r="2087" spans="1:16" x14ac:dyDescent="0.25">
      <c r="A2087" s="133"/>
      <c r="B2087" s="245"/>
      <c r="C2087" s="202"/>
      <c r="D2087" s="202"/>
      <c r="E2087" s="168"/>
      <c r="F2087" s="202"/>
      <c r="G2087" s="203"/>
      <c r="H2087" s="246"/>
      <c r="I2087" s="133"/>
      <c r="J2087" s="245"/>
      <c r="K2087" s="202"/>
      <c r="L2087" s="202"/>
      <c r="M2087" s="228"/>
      <c r="N2087" s="202"/>
      <c r="O2087" s="178"/>
      <c r="P2087" s="246"/>
    </row>
    <row r="2088" spans="1:16" x14ac:dyDescent="0.25">
      <c r="A2088" s="133"/>
      <c r="B2088" s="247"/>
      <c r="C2088" s="202"/>
      <c r="D2088" s="202"/>
      <c r="E2088" s="199"/>
      <c r="F2088" s="202"/>
      <c r="G2088" s="178"/>
      <c r="H2088" s="200"/>
      <c r="I2088" s="133"/>
      <c r="J2088" s="247"/>
      <c r="K2088" s="202"/>
      <c r="L2088" s="202"/>
      <c r="M2088" s="228"/>
      <c r="N2088" s="202"/>
      <c r="O2088" s="178"/>
      <c r="P2088" s="200"/>
    </row>
    <row r="2089" spans="1:16" x14ac:dyDescent="0.25">
      <c r="A2089" s="133"/>
      <c r="B2089" s="247"/>
      <c r="C2089" s="202"/>
      <c r="D2089" s="226"/>
      <c r="E2089" s="232"/>
      <c r="F2089" s="226"/>
      <c r="G2089" s="229"/>
      <c r="H2089" s="200"/>
      <c r="I2089" s="133"/>
      <c r="J2089" s="247"/>
      <c r="K2089" s="202"/>
      <c r="L2089" s="226"/>
      <c r="M2089" s="232"/>
      <c r="N2089" s="226"/>
      <c r="O2089" s="229"/>
      <c r="P2089" s="200"/>
    </row>
    <row r="2090" spans="1:16" x14ac:dyDescent="0.25">
      <c r="A2090" s="133"/>
      <c r="B2090" s="194"/>
      <c r="C2090" s="232"/>
      <c r="D2090" s="232"/>
      <c r="E2090" s="232"/>
      <c r="F2090" s="226"/>
      <c r="G2090" s="229"/>
      <c r="H2090" s="200"/>
      <c r="I2090" s="133"/>
      <c r="J2090" s="194"/>
      <c r="K2090" s="232"/>
      <c r="L2090" s="232"/>
      <c r="M2090" s="232"/>
      <c r="N2090" s="226"/>
      <c r="O2090" s="229"/>
      <c r="P2090" s="200"/>
    </row>
    <row r="2091" spans="1:16" ht="15.75" thickBot="1" x14ac:dyDescent="0.3">
      <c r="A2091" s="133"/>
      <c r="B2091" s="195"/>
      <c r="C2091" s="232"/>
      <c r="D2091" s="232"/>
      <c r="E2091" s="232"/>
      <c r="F2091" s="226"/>
      <c r="G2091" s="229"/>
      <c r="H2091" s="200"/>
      <c r="I2091" s="133"/>
      <c r="J2091" s="195"/>
      <c r="K2091" s="232"/>
      <c r="L2091" s="232"/>
      <c r="M2091" s="232"/>
      <c r="N2091" s="226"/>
      <c r="O2091" s="229"/>
      <c r="P2091" s="200"/>
    </row>
    <row r="2092" spans="1:16" ht="15.75" thickBot="1" x14ac:dyDescent="0.3">
      <c r="A2092" s="133"/>
      <c r="B2092" s="233"/>
      <c r="C2092" s="234"/>
      <c r="D2092" s="234"/>
      <c r="E2092" s="234"/>
      <c r="F2092" s="235"/>
      <c r="G2092" s="236"/>
      <c r="H2092" s="237">
        <f>+SUM(G2087:G2092)</f>
        <v>0</v>
      </c>
      <c r="I2092" s="133"/>
      <c r="J2092" s="233"/>
      <c r="K2092" s="234"/>
      <c r="L2092" s="234"/>
      <c r="M2092" s="234"/>
      <c r="N2092" s="235"/>
      <c r="O2092" s="236"/>
      <c r="P2092" s="237">
        <f>+SUM(O2087:O2092)</f>
        <v>0</v>
      </c>
    </row>
    <row r="2093" spans="1:16" ht="15.75" thickBot="1" x14ac:dyDescent="0.3">
      <c r="A2093" s="133"/>
      <c r="B2093" s="238"/>
      <c r="C2093" s="238"/>
      <c r="D2093" s="238"/>
      <c r="E2093" s="238"/>
      <c r="F2093" s="249"/>
      <c r="G2093" s="250"/>
      <c r="H2093" s="241"/>
      <c r="I2093" s="133"/>
      <c r="J2093" s="238"/>
      <c r="K2093" s="238"/>
      <c r="L2093" s="238"/>
      <c r="M2093" s="238"/>
      <c r="N2093" s="249"/>
      <c r="O2093" s="250"/>
      <c r="P2093" s="241"/>
    </row>
    <row r="2094" spans="1:16" ht="15.75" thickBot="1" x14ac:dyDescent="0.3">
      <c r="A2094" s="133"/>
      <c r="B2094" s="224" t="s">
        <v>5412</v>
      </c>
      <c r="C2094" s="193" t="s">
        <v>5420</v>
      </c>
      <c r="D2094" s="193" t="s">
        <v>5421</v>
      </c>
      <c r="E2094" s="193" t="s">
        <v>5413</v>
      </c>
      <c r="F2094" s="193" t="s">
        <v>5405</v>
      </c>
      <c r="G2094" s="225" t="s">
        <v>868</v>
      </c>
      <c r="H2094" s="200"/>
      <c r="I2094" s="133"/>
      <c r="J2094" s="224" t="s">
        <v>5412</v>
      </c>
      <c r="K2094" s="193" t="s">
        <v>5420</v>
      </c>
      <c r="L2094" s="193" t="s">
        <v>5421</v>
      </c>
      <c r="M2094" s="193" t="s">
        <v>5413</v>
      </c>
      <c r="N2094" s="193" t="s">
        <v>5405</v>
      </c>
      <c r="O2094" s="225" t="s">
        <v>868</v>
      </c>
      <c r="P2094" s="200"/>
    </row>
    <row r="2095" spans="1:16" x14ac:dyDescent="0.25">
      <c r="A2095" s="133"/>
      <c r="B2095" s="194" t="s">
        <v>5948</v>
      </c>
      <c r="C2095" s="345">
        <v>70000</v>
      </c>
      <c r="D2095" s="176">
        <f>+C2095*0.85</f>
        <v>59500</v>
      </c>
      <c r="E2095" s="176">
        <f>+C2095+D2095</f>
        <v>129500</v>
      </c>
      <c r="F2095" s="204">
        <v>50</v>
      </c>
      <c r="G2095" s="178">
        <f>+E2095/F2095</f>
        <v>2590</v>
      </c>
      <c r="H2095" s="200"/>
      <c r="I2095" s="133"/>
      <c r="J2095" s="194" t="s">
        <v>5948</v>
      </c>
      <c r="K2095" s="345">
        <v>70000</v>
      </c>
      <c r="L2095" s="176">
        <f>+K2095*0.85</f>
        <v>59500</v>
      </c>
      <c r="M2095" s="175">
        <f>+K2095+L2095</f>
        <v>129500</v>
      </c>
      <c r="N2095" s="204">
        <v>25</v>
      </c>
      <c r="O2095" s="178">
        <f>+M2095/N2095</f>
        <v>5180</v>
      </c>
      <c r="P2095" s="200"/>
    </row>
    <row r="2096" spans="1:16" x14ac:dyDescent="0.25">
      <c r="A2096" s="133"/>
      <c r="B2096" s="194" t="s">
        <v>5651</v>
      </c>
      <c r="C2096" s="345">
        <v>40000</v>
      </c>
      <c r="D2096" s="176">
        <f>+C2096*0.85</f>
        <v>34000</v>
      </c>
      <c r="E2096" s="176">
        <f>+C2096+D2096</f>
        <v>74000</v>
      </c>
      <c r="F2096" s="202">
        <v>3</v>
      </c>
      <c r="G2096" s="178">
        <f>+E2096/F2096</f>
        <v>24666.666666666668</v>
      </c>
      <c r="H2096" s="200"/>
      <c r="I2096" s="133"/>
      <c r="J2096" s="194" t="s">
        <v>5651</v>
      </c>
      <c r="K2096" s="345">
        <v>40000</v>
      </c>
      <c r="L2096" s="176">
        <f>+K2096*0.85</f>
        <v>34000</v>
      </c>
      <c r="M2096" s="175">
        <f>+K2096+L2096</f>
        <v>74000</v>
      </c>
      <c r="N2096" s="202">
        <v>2</v>
      </c>
      <c r="O2096" s="178">
        <f>+M2096/N2096</f>
        <v>37000</v>
      </c>
      <c r="P2096" s="200"/>
    </row>
    <row r="2097" spans="1:16" x14ac:dyDescent="0.25">
      <c r="A2097" s="133"/>
      <c r="B2097" s="195" t="s">
        <v>5635</v>
      </c>
      <c r="C2097" s="345">
        <v>20600</v>
      </c>
      <c r="D2097" s="176">
        <f>+C2097*0.85</f>
        <v>17510</v>
      </c>
      <c r="E2097" s="176">
        <f>+C2097+D2097</f>
        <v>38110</v>
      </c>
      <c r="F2097" s="226">
        <v>3</v>
      </c>
      <c r="G2097" s="178">
        <f>+E2097/F2097</f>
        <v>12703.333333333334</v>
      </c>
      <c r="H2097" s="200"/>
      <c r="I2097" s="133"/>
      <c r="J2097" s="195" t="s">
        <v>5635</v>
      </c>
      <c r="K2097" s="345">
        <v>20600</v>
      </c>
      <c r="L2097" s="176">
        <f>+K2097*0.85</f>
        <v>17510</v>
      </c>
      <c r="M2097" s="175">
        <f>+K2097+L2097</f>
        <v>38110</v>
      </c>
      <c r="N2097" s="226">
        <v>2</v>
      </c>
      <c r="O2097" s="178">
        <f>+M2097/N2097</f>
        <v>19055</v>
      </c>
      <c r="P2097" s="200"/>
    </row>
    <row r="2098" spans="1:16" x14ac:dyDescent="0.25">
      <c r="A2098" s="133"/>
      <c r="B2098" s="195"/>
      <c r="C2098" s="171"/>
      <c r="D2098" s="176"/>
      <c r="E2098" s="176"/>
      <c r="F2098" s="226"/>
      <c r="G2098" s="178"/>
      <c r="H2098" s="200"/>
      <c r="I2098" s="133"/>
      <c r="J2098" s="195"/>
      <c r="K2098" s="171"/>
      <c r="L2098" s="176"/>
      <c r="M2098" s="176"/>
      <c r="N2098" s="226"/>
      <c r="O2098" s="178"/>
      <c r="P2098" s="200"/>
    </row>
    <row r="2099" spans="1:16" x14ac:dyDescent="0.25">
      <c r="A2099" s="133"/>
      <c r="B2099" s="195"/>
      <c r="C2099" s="232"/>
      <c r="D2099" s="232"/>
      <c r="E2099" s="232"/>
      <c r="F2099" s="226"/>
      <c r="G2099" s="229"/>
      <c r="H2099" s="200"/>
      <c r="I2099" s="133"/>
      <c r="J2099" s="195"/>
      <c r="K2099" s="232"/>
      <c r="L2099" s="232"/>
      <c r="M2099" s="232"/>
      <c r="N2099" s="226"/>
      <c r="O2099" s="229"/>
      <c r="P2099" s="200"/>
    </row>
    <row r="2100" spans="1:16" ht="15.75" thickBot="1" x14ac:dyDescent="0.3">
      <c r="A2100" s="133"/>
      <c r="B2100" s="195"/>
      <c r="C2100" s="232"/>
      <c r="D2100" s="232"/>
      <c r="E2100" s="232"/>
      <c r="F2100" s="226"/>
      <c r="G2100" s="229"/>
      <c r="H2100" s="200"/>
      <c r="I2100" s="133"/>
      <c r="J2100" s="195"/>
      <c r="K2100" s="232"/>
      <c r="L2100" s="232"/>
      <c r="M2100" s="232"/>
      <c r="N2100" s="226"/>
      <c r="O2100" s="229"/>
      <c r="P2100" s="200"/>
    </row>
    <row r="2101" spans="1:16" ht="15.75" thickBot="1" x14ac:dyDescent="0.3">
      <c r="A2101" s="133"/>
      <c r="B2101" s="251"/>
      <c r="C2101" s="252"/>
      <c r="D2101" s="252"/>
      <c r="E2101" s="252"/>
      <c r="F2101" s="253"/>
      <c r="G2101" s="254"/>
      <c r="H2101" s="256">
        <f>+SUM(G2095:G2101)</f>
        <v>39960</v>
      </c>
      <c r="I2101" s="133"/>
      <c r="J2101" s="251"/>
      <c r="K2101" s="252"/>
      <c r="L2101" s="252"/>
      <c r="M2101" s="252"/>
      <c r="N2101" s="253"/>
      <c r="O2101" s="254"/>
      <c r="P2101" s="256">
        <f>+SUM(O2095:O2101)</f>
        <v>61235</v>
      </c>
    </row>
    <row r="2102" spans="1:16" ht="15.75" thickBot="1" x14ac:dyDescent="0.3">
      <c r="A2102" s="133"/>
      <c r="B2102" s="8"/>
      <c r="C2102" s="8"/>
      <c r="D2102" s="8"/>
      <c r="E2102" s="8"/>
      <c r="F2102" s="133"/>
      <c r="G2102" s="200"/>
      <c r="H2102" s="200"/>
      <c r="I2102" s="133"/>
      <c r="J2102" s="8"/>
      <c r="K2102" s="8"/>
      <c r="L2102" s="8"/>
      <c r="M2102" s="8"/>
      <c r="N2102" s="133"/>
      <c r="O2102" s="200"/>
      <c r="P2102" s="200"/>
    </row>
    <row r="2103" spans="1:16" ht="15.75" thickBot="1" x14ac:dyDescent="0.3">
      <c r="A2103" s="133"/>
      <c r="B2103" s="8"/>
      <c r="C2103" s="8"/>
      <c r="D2103" s="8"/>
      <c r="E2103" s="223" t="s">
        <v>5415</v>
      </c>
      <c r="F2103" s="133"/>
      <c r="G2103" s="200"/>
      <c r="H2103" s="256">
        <f>ROUND(+H2101+H2092+H2084+H2069,0)</f>
        <v>43956</v>
      </c>
      <c r="I2103" s="133"/>
      <c r="J2103" s="8"/>
      <c r="K2103" s="8"/>
      <c r="L2103" s="8"/>
      <c r="M2103" s="223" t="s">
        <v>5415</v>
      </c>
      <c r="N2103" s="133"/>
      <c r="O2103" s="200"/>
      <c r="P2103" s="256">
        <f>ROUND(+P2101+P2092+P2084+P2069,0)</f>
        <v>102420</v>
      </c>
    </row>
    <row r="2104" spans="1:16" x14ac:dyDescent="0.25">
      <c r="A2104" s="265"/>
      <c r="B2104" s="265"/>
      <c r="C2104" s="265"/>
      <c r="D2104" s="265"/>
      <c r="E2104" s="265"/>
      <c r="F2104" s="265"/>
      <c r="G2104" s="265"/>
      <c r="H2104" s="265"/>
      <c r="I2104" s="265"/>
      <c r="J2104" s="265"/>
      <c r="K2104" s="265"/>
      <c r="L2104" s="265"/>
      <c r="M2104" s="265"/>
      <c r="N2104" s="265"/>
      <c r="O2104" s="265"/>
      <c r="P2104" s="265"/>
    </row>
    <row r="2105" spans="1:16" x14ac:dyDescent="0.25">
      <c r="A2105" s="265"/>
      <c r="B2105" s="265"/>
      <c r="C2105" s="265"/>
      <c r="D2105" s="265"/>
      <c r="E2105" s="265"/>
      <c r="F2105" s="265"/>
      <c r="G2105" s="265"/>
      <c r="H2105" s="265"/>
      <c r="I2105" s="265"/>
      <c r="J2105" s="265"/>
      <c r="K2105" s="265"/>
      <c r="L2105" s="265"/>
      <c r="M2105" s="265"/>
      <c r="N2105" s="265"/>
      <c r="O2105" s="265"/>
      <c r="P2105" s="265"/>
    </row>
    <row r="2106" spans="1:16" x14ac:dyDescent="0.25">
      <c r="A2106" s="265"/>
      <c r="B2106" s="265"/>
      <c r="C2106" s="265"/>
      <c r="D2106" s="265"/>
      <c r="E2106" s="265"/>
      <c r="F2106" s="265"/>
      <c r="G2106" s="265"/>
      <c r="H2106" s="265"/>
      <c r="I2106" s="265"/>
      <c r="J2106" s="265"/>
      <c r="K2106" s="265"/>
      <c r="L2106" s="265"/>
      <c r="M2106" s="265"/>
      <c r="N2106" s="265"/>
      <c r="O2106" s="265"/>
      <c r="P2106" s="265"/>
    </row>
    <row r="2107" spans="1:16" x14ac:dyDescent="0.25">
      <c r="A2107" s="265"/>
      <c r="B2107" s="265"/>
      <c r="C2107" s="265"/>
      <c r="D2107" s="265"/>
      <c r="E2107" s="265"/>
      <c r="F2107" s="265"/>
      <c r="G2107" s="265"/>
      <c r="H2107" s="265"/>
      <c r="I2107" s="265"/>
      <c r="J2107" s="265"/>
      <c r="K2107" s="265"/>
      <c r="L2107" s="265"/>
      <c r="M2107" s="265"/>
      <c r="N2107" s="265"/>
      <c r="O2107" s="265"/>
      <c r="P2107" s="265"/>
    </row>
    <row r="2108" spans="1:16" ht="18.75" x14ac:dyDescent="0.25">
      <c r="A2108" s="133"/>
      <c r="B2108" s="2506" t="s">
        <v>5400</v>
      </c>
      <c r="C2108" s="2506"/>
      <c r="D2108" s="2506"/>
      <c r="E2108" s="2506"/>
      <c r="F2108" s="2506"/>
      <c r="G2108" s="2506"/>
      <c r="H2108" s="8"/>
      <c r="I2108" s="2506" t="s">
        <v>5400</v>
      </c>
      <c r="J2108" s="2506"/>
      <c r="K2108" s="2506"/>
      <c r="L2108" s="2506"/>
      <c r="M2108" s="2506"/>
      <c r="N2108" s="2506"/>
      <c r="O2108" s="2506"/>
      <c r="P2108" s="8"/>
    </row>
    <row r="2109" spans="1:16" x14ac:dyDescent="0.25">
      <c r="A2109" s="133"/>
      <c r="B2109" s="8"/>
      <c r="C2109" s="8"/>
      <c r="D2109" s="8"/>
      <c r="E2109" s="8"/>
      <c r="F2109" s="133"/>
      <c r="G2109" s="200"/>
      <c r="H2109" s="200"/>
      <c r="I2109" s="133"/>
      <c r="J2109" s="8"/>
      <c r="K2109" s="8"/>
      <c r="L2109" s="8"/>
      <c r="M2109" s="8"/>
      <c r="N2109" s="133"/>
      <c r="O2109" s="200"/>
      <c r="P2109" s="200"/>
    </row>
    <row r="2110" spans="1:16" x14ac:dyDescent="0.25">
      <c r="A2110" s="133"/>
      <c r="B2110" s="8"/>
      <c r="C2110" s="8"/>
      <c r="D2110" s="8"/>
      <c r="E2110" s="8"/>
      <c r="F2110" s="133"/>
      <c r="G2110" s="200"/>
      <c r="H2110" s="200"/>
      <c r="I2110" s="133"/>
      <c r="J2110" s="8"/>
      <c r="K2110" s="8"/>
      <c r="L2110" s="8"/>
      <c r="M2110" s="8"/>
      <c r="N2110" s="133"/>
      <c r="O2110" s="200"/>
      <c r="P2110" s="200"/>
    </row>
    <row r="2111" spans="1:16" x14ac:dyDescent="0.25">
      <c r="A2111" s="133"/>
      <c r="B2111" s="8"/>
      <c r="C2111" s="8"/>
      <c r="D2111" s="8"/>
      <c r="E2111" s="8"/>
      <c r="F2111" s="133"/>
      <c r="G2111" s="200"/>
      <c r="H2111" s="200"/>
      <c r="I2111" s="133"/>
      <c r="J2111" s="8"/>
      <c r="K2111" s="8"/>
      <c r="L2111" s="8"/>
      <c r="M2111" s="8"/>
      <c r="N2111" s="133"/>
      <c r="O2111" s="200"/>
      <c r="P2111" s="200"/>
    </row>
    <row r="2112" spans="1:16" ht="15" customHeight="1" x14ac:dyDescent="0.25">
      <c r="A2112" s="220" t="s">
        <v>5482</v>
      </c>
      <c r="B2112" s="221" t="s">
        <v>434</v>
      </c>
      <c r="C2112" s="2449" t="s">
        <v>5922</v>
      </c>
      <c r="D2112" s="2449"/>
      <c r="E2112" s="2449"/>
      <c r="F2112" s="220" t="s">
        <v>867</v>
      </c>
      <c r="G2112" s="222" t="s">
        <v>5424</v>
      </c>
      <c r="H2112" s="200"/>
      <c r="I2112" s="220" t="s">
        <v>5482</v>
      </c>
      <c r="J2112" s="221" t="s">
        <v>434</v>
      </c>
      <c r="K2112" s="2449" t="s">
        <v>5986</v>
      </c>
      <c r="L2112" s="2449"/>
      <c r="M2112" s="2449"/>
      <c r="N2112" s="220" t="s">
        <v>867</v>
      </c>
      <c r="O2112" s="222" t="s">
        <v>5424</v>
      </c>
      <c r="P2112" s="200"/>
    </row>
    <row r="2113" spans="1:16" x14ac:dyDescent="0.25">
      <c r="A2113" s="133"/>
      <c r="B2113" s="8"/>
      <c r="C2113" s="223"/>
      <c r="D2113" s="223"/>
      <c r="E2113" s="223"/>
      <c r="F2113" s="133"/>
      <c r="G2113" s="200"/>
      <c r="H2113" s="200"/>
      <c r="I2113" s="133"/>
      <c r="J2113" s="8"/>
      <c r="K2113" s="223"/>
      <c r="L2113" s="223"/>
      <c r="M2113" s="223"/>
      <c r="N2113" s="133"/>
      <c r="O2113" s="200"/>
      <c r="P2113" s="200"/>
    </row>
    <row r="2114" spans="1:16" x14ac:dyDescent="0.25">
      <c r="A2114" s="133"/>
      <c r="B2114" s="8"/>
      <c r="C2114" s="8"/>
      <c r="D2114" s="8"/>
      <c r="E2114" s="8"/>
      <c r="F2114" s="8"/>
      <c r="G2114" s="8"/>
      <c r="H2114" s="200"/>
      <c r="I2114" s="133"/>
      <c r="J2114" s="8"/>
      <c r="K2114" s="8"/>
      <c r="L2114" s="8"/>
      <c r="M2114" s="8"/>
      <c r="N2114" s="8"/>
      <c r="O2114" s="8"/>
      <c r="P2114" s="200"/>
    </row>
    <row r="2115" spans="1:16" ht="15.75" thickBot="1" x14ac:dyDescent="0.3">
      <c r="A2115" s="133"/>
      <c r="B2115" s="8"/>
      <c r="C2115" s="8"/>
      <c r="D2115" s="8"/>
      <c r="E2115" s="8"/>
      <c r="F2115" s="133"/>
      <c r="G2115" s="200"/>
      <c r="H2115" s="200"/>
      <c r="I2115" s="133"/>
      <c r="J2115" s="8"/>
      <c r="K2115" s="8"/>
      <c r="L2115" s="8"/>
      <c r="M2115" s="8"/>
      <c r="N2115" s="133"/>
      <c r="O2115" s="200"/>
      <c r="P2115" s="200"/>
    </row>
    <row r="2116" spans="1:16" ht="15.75" thickBot="1" x14ac:dyDescent="0.3">
      <c r="A2116" s="133"/>
      <c r="B2116" s="224" t="s">
        <v>5403</v>
      </c>
      <c r="C2116" s="193" t="s">
        <v>867</v>
      </c>
      <c r="D2116" s="193" t="s">
        <v>6</v>
      </c>
      <c r="E2116" s="193" t="s">
        <v>5439</v>
      </c>
      <c r="F2116" s="193" t="s">
        <v>5405</v>
      </c>
      <c r="G2116" s="225" t="s">
        <v>868</v>
      </c>
      <c r="H2116" s="200"/>
      <c r="I2116" s="133"/>
      <c r="J2116" s="224" t="s">
        <v>5403</v>
      </c>
      <c r="K2116" s="193" t="s">
        <v>867</v>
      </c>
      <c r="L2116" s="193" t="s">
        <v>6</v>
      </c>
      <c r="M2116" s="193" t="s">
        <v>5439</v>
      </c>
      <c r="N2116" s="193" t="s">
        <v>5405</v>
      </c>
      <c r="O2116" s="225" t="s">
        <v>868</v>
      </c>
      <c r="P2116" s="200"/>
    </row>
    <row r="2117" spans="1:16" x14ac:dyDescent="0.25">
      <c r="A2117" s="133"/>
      <c r="B2117" s="195" t="s">
        <v>5440</v>
      </c>
      <c r="C2117" s="226" t="s">
        <v>5402</v>
      </c>
      <c r="D2117" s="226">
        <v>1</v>
      </c>
      <c r="E2117" s="263">
        <f>+H2155</f>
        <v>61235</v>
      </c>
      <c r="F2117" s="226">
        <v>0.1</v>
      </c>
      <c r="G2117" s="229">
        <f>+E2117*F2117</f>
        <v>6123.5</v>
      </c>
      <c r="H2117" s="200"/>
      <c r="I2117" s="133"/>
      <c r="J2117" s="195" t="s">
        <v>5440</v>
      </c>
      <c r="K2117" s="226" t="s">
        <v>5402</v>
      </c>
      <c r="L2117" s="226">
        <v>1</v>
      </c>
      <c r="M2117" s="228">
        <f>+P2155</f>
        <v>79920</v>
      </c>
      <c r="N2117" s="226">
        <v>0.15</v>
      </c>
      <c r="O2117" s="229">
        <f>+M2117*N2117</f>
        <v>11988</v>
      </c>
      <c r="P2117" s="200"/>
    </row>
    <row r="2118" spans="1:16" x14ac:dyDescent="0.25">
      <c r="A2118" s="133"/>
      <c r="B2118" s="195" t="s">
        <v>6063</v>
      </c>
      <c r="C2118" s="226" t="s">
        <v>5424</v>
      </c>
      <c r="D2118" s="226">
        <v>1</v>
      </c>
      <c r="E2118" s="176">
        <v>120000</v>
      </c>
      <c r="F2118" s="226">
        <v>30</v>
      </c>
      <c r="G2118" s="229">
        <f>+E2118/F2118</f>
        <v>4000</v>
      </c>
      <c r="H2118" s="200"/>
      <c r="I2118" s="133"/>
      <c r="J2118" s="195" t="s">
        <v>6063</v>
      </c>
      <c r="K2118" s="226" t="s">
        <v>5424</v>
      </c>
      <c r="L2118" s="226">
        <v>1</v>
      </c>
      <c r="M2118" s="176">
        <v>120000</v>
      </c>
      <c r="N2118" s="226">
        <v>24</v>
      </c>
      <c r="O2118" s="229">
        <f>+M2118/N2118</f>
        <v>5000</v>
      </c>
      <c r="P2118" s="200"/>
    </row>
    <row r="2119" spans="1:16" x14ac:dyDescent="0.25">
      <c r="A2119" s="133"/>
      <c r="B2119" s="195"/>
      <c r="C2119" s="226"/>
      <c r="D2119" s="226"/>
      <c r="E2119" s="176"/>
      <c r="F2119" s="226"/>
      <c r="G2119" s="229"/>
      <c r="H2119" s="200"/>
      <c r="I2119" s="133"/>
      <c r="J2119" s="195"/>
      <c r="K2119" s="226"/>
      <c r="L2119" s="226"/>
      <c r="M2119" s="176"/>
      <c r="N2119" s="226"/>
      <c r="O2119" s="229"/>
      <c r="P2119" s="200"/>
    </row>
    <row r="2120" spans="1:16" x14ac:dyDescent="0.25">
      <c r="A2120" s="133"/>
      <c r="B2120" s="195"/>
      <c r="C2120" s="226"/>
      <c r="D2120" s="226"/>
      <c r="E2120" s="171"/>
      <c r="F2120" s="226"/>
      <c r="G2120" s="231"/>
      <c r="H2120" s="200"/>
      <c r="I2120" s="133"/>
      <c r="J2120" s="195"/>
      <c r="K2120" s="226"/>
      <c r="L2120" s="226"/>
      <c r="M2120" s="171"/>
      <c r="N2120" s="226"/>
      <c r="O2120" s="229"/>
      <c r="P2120" s="200"/>
    </row>
    <row r="2121" spans="1:16" x14ac:dyDescent="0.25">
      <c r="A2121" s="133"/>
      <c r="B2121" s="195"/>
      <c r="C2121" s="226"/>
      <c r="D2121" s="232"/>
      <c r="E2121" s="232"/>
      <c r="F2121" s="226"/>
      <c r="G2121" s="229"/>
      <c r="H2121" s="200"/>
      <c r="I2121" s="133"/>
      <c r="J2121" s="195"/>
      <c r="K2121" s="226"/>
      <c r="L2121" s="232"/>
      <c r="M2121" s="232"/>
      <c r="N2121" s="226"/>
      <c r="O2121" s="229"/>
      <c r="P2121" s="200"/>
    </row>
    <row r="2122" spans="1:16" ht="15.75" thickBot="1" x14ac:dyDescent="0.3">
      <c r="A2122" s="133"/>
      <c r="B2122" s="195"/>
      <c r="C2122" s="226"/>
      <c r="D2122" s="232"/>
      <c r="E2122" s="232"/>
      <c r="F2122" s="226"/>
      <c r="G2122" s="229"/>
      <c r="H2122" s="200"/>
      <c r="I2122" s="133"/>
      <c r="J2122" s="195"/>
      <c r="K2122" s="226"/>
      <c r="L2122" s="232"/>
      <c r="M2122" s="232"/>
      <c r="N2122" s="226"/>
      <c r="O2122" s="229"/>
      <c r="P2122" s="200"/>
    </row>
    <row r="2123" spans="1:16" ht="15.75" thickBot="1" x14ac:dyDescent="0.3">
      <c r="A2123" s="133"/>
      <c r="B2123" s="233"/>
      <c r="C2123" s="234"/>
      <c r="D2123" s="234"/>
      <c r="E2123" s="234"/>
      <c r="F2123" s="235"/>
      <c r="G2123" s="236"/>
      <c r="H2123" s="237">
        <f>+SUM(G2117:G2123)</f>
        <v>10123.5</v>
      </c>
      <c r="I2123" s="133"/>
      <c r="J2123" s="233"/>
      <c r="K2123" s="234"/>
      <c r="L2123" s="234"/>
      <c r="M2123" s="234"/>
      <c r="N2123" s="235"/>
      <c r="O2123" s="236"/>
      <c r="P2123" s="237">
        <f>+SUM(O2117:O2123)</f>
        <v>16988</v>
      </c>
    </row>
    <row r="2124" spans="1:16" ht="15.75" thickBot="1" x14ac:dyDescent="0.3">
      <c r="A2124" s="133"/>
      <c r="B2124" s="238"/>
      <c r="C2124" s="238"/>
      <c r="D2124" s="238"/>
      <c r="E2124" s="238"/>
      <c r="F2124" s="239"/>
      <c r="G2124" s="240"/>
      <c r="H2124" s="241"/>
      <c r="I2124" s="133"/>
      <c r="J2124" s="238"/>
      <c r="K2124" s="238"/>
      <c r="L2124" s="238"/>
      <c r="M2124" s="238"/>
      <c r="N2124" s="239"/>
      <c r="O2124" s="240"/>
      <c r="P2124" s="241"/>
    </row>
    <row r="2125" spans="1:16" ht="15.75" thickBot="1" x14ac:dyDescent="0.3">
      <c r="A2125" s="133"/>
      <c r="B2125" s="224" t="s">
        <v>5408</v>
      </c>
      <c r="C2125" s="193" t="s">
        <v>867</v>
      </c>
      <c r="D2125" s="193" t="s">
        <v>6</v>
      </c>
      <c r="E2125" s="193" t="s">
        <v>870</v>
      </c>
      <c r="F2125" s="193" t="s">
        <v>5409</v>
      </c>
      <c r="G2125" s="225" t="s">
        <v>868</v>
      </c>
      <c r="H2125" s="200"/>
      <c r="I2125" s="133"/>
      <c r="J2125" s="224" t="s">
        <v>5408</v>
      </c>
      <c r="K2125" s="193" t="s">
        <v>867</v>
      </c>
      <c r="L2125" s="193" t="s">
        <v>6</v>
      </c>
      <c r="M2125" s="193" t="s">
        <v>870</v>
      </c>
      <c r="N2125" s="193" t="s">
        <v>5409</v>
      </c>
      <c r="O2125" s="225" t="s">
        <v>868</v>
      </c>
      <c r="P2125" s="200"/>
    </row>
    <row r="2126" spans="1:16" x14ac:dyDescent="0.25">
      <c r="A2126" s="133"/>
      <c r="B2126" s="295"/>
      <c r="C2126" s="202"/>
      <c r="D2126" s="226"/>
      <c r="E2126" s="244"/>
      <c r="F2126" s="169"/>
      <c r="G2126" s="178">
        <f>+D2126*E2126*(1+F2126)</f>
        <v>0</v>
      </c>
      <c r="H2126" s="200"/>
      <c r="I2126" s="133"/>
      <c r="J2126" s="295" t="s">
        <v>6124</v>
      </c>
      <c r="K2126" s="202" t="s">
        <v>5424</v>
      </c>
      <c r="L2126" s="226">
        <v>1</v>
      </c>
      <c r="M2126" s="228"/>
      <c r="N2126" s="169"/>
      <c r="O2126" s="178">
        <f>+L2126*M2126*(1+N2126)</f>
        <v>0</v>
      </c>
      <c r="P2126" s="200"/>
    </row>
    <row r="2127" spans="1:16" x14ac:dyDescent="0.25">
      <c r="A2127" s="133"/>
      <c r="B2127" s="450"/>
      <c r="C2127" s="202"/>
      <c r="D2127" s="202"/>
      <c r="E2127" s="257"/>
      <c r="F2127" s="169"/>
      <c r="G2127" s="178">
        <f>+D2127*E2127*(1+F2127)</f>
        <v>0</v>
      </c>
      <c r="H2127" s="200"/>
      <c r="I2127" s="133"/>
      <c r="J2127" s="450" t="s">
        <v>6126</v>
      </c>
      <c r="K2127" s="202" t="s">
        <v>5424</v>
      </c>
      <c r="L2127" s="202">
        <v>8</v>
      </c>
      <c r="M2127" s="228"/>
      <c r="N2127" s="169"/>
      <c r="O2127" s="178">
        <f>+L2127*M2127*(1+N2127)</f>
        <v>0</v>
      </c>
      <c r="P2127" s="200"/>
    </row>
    <row r="2128" spans="1:16" x14ac:dyDescent="0.25">
      <c r="A2128" s="133"/>
      <c r="B2128" s="247"/>
      <c r="C2128" s="202"/>
      <c r="D2128" s="226"/>
      <c r="E2128" s="198"/>
      <c r="F2128" s="169"/>
      <c r="G2128" s="178">
        <f>+D2128*E2128*(1+F2128)</f>
        <v>0</v>
      </c>
      <c r="H2128" s="200"/>
      <c r="I2128" s="133"/>
      <c r="J2128" s="247"/>
      <c r="K2128" s="202"/>
      <c r="L2128" s="226"/>
      <c r="M2128" s="228"/>
      <c r="N2128" s="169"/>
      <c r="O2128" s="178">
        <f>+L2128*M2128*(1+N2128)</f>
        <v>0</v>
      </c>
      <c r="P2128" s="200"/>
    </row>
    <row r="2129" spans="1:16" x14ac:dyDescent="0.25">
      <c r="A2129" s="133"/>
      <c r="B2129" s="194"/>
      <c r="C2129" s="226"/>
      <c r="D2129" s="226"/>
      <c r="E2129" s="171"/>
      <c r="F2129" s="169"/>
      <c r="G2129" s="178">
        <f>+D2129*E2129*(1+F2129)</f>
        <v>0</v>
      </c>
      <c r="H2129" s="200"/>
      <c r="I2129" s="133"/>
      <c r="J2129" s="194"/>
      <c r="K2129" s="226"/>
      <c r="L2129" s="226"/>
      <c r="M2129" s="176"/>
      <c r="N2129" s="169"/>
      <c r="O2129" s="178">
        <f>+L2129*M2129*(1+N2129)</f>
        <v>0</v>
      </c>
      <c r="P2129" s="200"/>
    </row>
    <row r="2130" spans="1:16" x14ac:dyDescent="0.25">
      <c r="A2130" s="133"/>
      <c r="B2130" s="195"/>
      <c r="C2130" s="226"/>
      <c r="D2130" s="226"/>
      <c r="E2130" s="171"/>
      <c r="F2130" s="169"/>
      <c r="G2130" s="178"/>
      <c r="H2130" s="200"/>
      <c r="I2130" s="133"/>
      <c r="J2130" s="195"/>
      <c r="K2130" s="226"/>
      <c r="L2130" s="226"/>
      <c r="M2130" s="176"/>
      <c r="N2130" s="169"/>
      <c r="O2130" s="178"/>
      <c r="P2130" s="200"/>
    </row>
    <row r="2131" spans="1:16" x14ac:dyDescent="0.25">
      <c r="A2131" s="133"/>
      <c r="B2131" s="194"/>
      <c r="C2131" s="202"/>
      <c r="D2131" s="202"/>
      <c r="E2131" s="171"/>
      <c r="F2131" s="169"/>
      <c r="G2131" s="178"/>
      <c r="H2131" s="200"/>
      <c r="I2131" s="133"/>
      <c r="J2131" s="194"/>
      <c r="K2131" s="202"/>
      <c r="L2131" s="202"/>
      <c r="M2131" s="176"/>
      <c r="N2131" s="169"/>
      <c r="O2131" s="178"/>
      <c r="P2131" s="200"/>
    </row>
    <row r="2132" spans="1:16" x14ac:dyDescent="0.25">
      <c r="A2132" s="133"/>
      <c r="B2132" s="195"/>
      <c r="C2132" s="226"/>
      <c r="D2132" s="226"/>
      <c r="E2132" s="171"/>
      <c r="F2132" s="169"/>
      <c r="G2132" s="178"/>
      <c r="H2132" s="200"/>
      <c r="I2132" s="133"/>
      <c r="J2132" s="195"/>
      <c r="K2132" s="226"/>
      <c r="L2132" s="226"/>
      <c r="M2132" s="176"/>
      <c r="N2132" s="169"/>
      <c r="O2132" s="178"/>
      <c r="P2132" s="200"/>
    </row>
    <row r="2133" spans="1:16" x14ac:dyDescent="0.25">
      <c r="A2133" s="133"/>
      <c r="B2133" s="195"/>
      <c r="C2133" s="226"/>
      <c r="D2133" s="226"/>
      <c r="E2133" s="171"/>
      <c r="F2133" s="169"/>
      <c r="G2133" s="178"/>
      <c r="H2133" s="200"/>
      <c r="I2133" s="133"/>
      <c r="J2133" s="195"/>
      <c r="K2133" s="226"/>
      <c r="L2133" s="226"/>
      <c r="M2133" s="176"/>
      <c r="N2133" s="169"/>
      <c r="O2133" s="178"/>
      <c r="P2133" s="200"/>
    </row>
    <row r="2134" spans="1:16" x14ac:dyDescent="0.25">
      <c r="A2134" s="133"/>
      <c r="B2134" s="195"/>
      <c r="C2134" s="232"/>
      <c r="D2134" s="232"/>
      <c r="E2134" s="232"/>
      <c r="F2134" s="226"/>
      <c r="G2134" s="229"/>
      <c r="H2134" s="200"/>
      <c r="I2134" s="133"/>
      <c r="J2134" s="195"/>
      <c r="K2134" s="232"/>
      <c r="L2134" s="232"/>
      <c r="M2134" s="232"/>
      <c r="N2134" s="226"/>
      <c r="O2134" s="229"/>
      <c r="P2134" s="200"/>
    </row>
    <row r="2135" spans="1:16" x14ac:dyDescent="0.25">
      <c r="A2135" s="133"/>
      <c r="B2135" s="195"/>
      <c r="C2135" s="232"/>
      <c r="D2135" s="232"/>
      <c r="E2135" s="232"/>
      <c r="F2135" s="226"/>
      <c r="G2135" s="229"/>
      <c r="H2135" s="200"/>
      <c r="I2135" s="133"/>
      <c r="J2135" s="195"/>
      <c r="K2135" s="232"/>
      <c r="L2135" s="232"/>
      <c r="M2135" s="232"/>
      <c r="N2135" s="226"/>
      <c r="O2135" s="229"/>
      <c r="P2135" s="200"/>
    </row>
    <row r="2136" spans="1:16" x14ac:dyDescent="0.25">
      <c r="A2136" s="133"/>
      <c r="B2136" s="195"/>
      <c r="C2136" s="232"/>
      <c r="D2136" s="232"/>
      <c r="E2136" s="232"/>
      <c r="F2136" s="226"/>
      <c r="G2136" s="229"/>
      <c r="H2136" s="200"/>
      <c r="I2136" s="133"/>
      <c r="J2136" s="195"/>
      <c r="K2136" s="232"/>
      <c r="L2136" s="232"/>
      <c r="M2136" s="232"/>
      <c r="N2136" s="226"/>
      <c r="O2136" s="229"/>
      <c r="P2136" s="200"/>
    </row>
    <row r="2137" spans="1:16" ht="15.75" thickBot="1" x14ac:dyDescent="0.3">
      <c r="A2137" s="133"/>
      <c r="B2137" s="195"/>
      <c r="C2137" s="232"/>
      <c r="D2137" s="232"/>
      <c r="E2137" s="232"/>
      <c r="F2137" s="226"/>
      <c r="G2137" s="229"/>
      <c r="H2137" s="200"/>
      <c r="I2137" s="133"/>
      <c r="J2137" s="195"/>
      <c r="K2137" s="232"/>
      <c r="L2137" s="232"/>
      <c r="M2137" s="232"/>
      <c r="N2137" s="226"/>
      <c r="O2137" s="229"/>
      <c r="P2137" s="200"/>
    </row>
    <row r="2138" spans="1:16" ht="15.75" thickBot="1" x14ac:dyDescent="0.3">
      <c r="A2138" s="133"/>
      <c r="B2138" s="233"/>
      <c r="C2138" s="234"/>
      <c r="D2138" s="234"/>
      <c r="E2138" s="234"/>
      <c r="F2138" s="235"/>
      <c r="G2138" s="236"/>
      <c r="H2138" s="256">
        <f>+SUM(G2126:G2138)</f>
        <v>0</v>
      </c>
      <c r="I2138" s="133"/>
      <c r="J2138" s="233"/>
      <c r="K2138" s="234"/>
      <c r="L2138" s="234"/>
      <c r="M2138" s="234"/>
      <c r="N2138" s="235"/>
      <c r="O2138" s="236"/>
      <c r="P2138" s="256">
        <f>+SUM(O2126:O2138)</f>
        <v>0</v>
      </c>
    </row>
    <row r="2139" spans="1:16" ht="15.75" thickBot="1" x14ac:dyDescent="0.3">
      <c r="A2139" s="133"/>
      <c r="B2139" s="238"/>
      <c r="C2139" s="238"/>
      <c r="D2139" s="238"/>
      <c r="E2139" s="238"/>
      <c r="F2139" s="239"/>
      <c r="G2139" s="240"/>
      <c r="H2139" s="241"/>
      <c r="I2139" s="133"/>
      <c r="J2139" s="238"/>
      <c r="K2139" s="238"/>
      <c r="L2139" s="238"/>
      <c r="M2139" s="238"/>
      <c r="N2139" s="239"/>
      <c r="O2139" s="240"/>
      <c r="P2139" s="241"/>
    </row>
    <row r="2140" spans="1:16" ht="15.75" thickBot="1" x14ac:dyDescent="0.3">
      <c r="A2140" s="133"/>
      <c r="B2140" s="224" t="s">
        <v>5410</v>
      </c>
      <c r="C2140" s="193" t="s">
        <v>867</v>
      </c>
      <c r="D2140" s="193" t="s">
        <v>6</v>
      </c>
      <c r="E2140" s="193" t="s">
        <v>870</v>
      </c>
      <c r="F2140" s="193" t="s">
        <v>5411</v>
      </c>
      <c r="G2140" s="225" t="s">
        <v>868</v>
      </c>
      <c r="H2140" s="200"/>
      <c r="I2140" s="133"/>
      <c r="J2140" s="224" t="s">
        <v>5410</v>
      </c>
      <c r="K2140" s="193" t="s">
        <v>867</v>
      </c>
      <c r="L2140" s="193" t="s">
        <v>6</v>
      </c>
      <c r="M2140" s="193" t="s">
        <v>870</v>
      </c>
      <c r="N2140" s="193" t="s">
        <v>5411</v>
      </c>
      <c r="O2140" s="225" t="s">
        <v>868</v>
      </c>
      <c r="P2140" s="200"/>
    </row>
    <row r="2141" spans="1:16" x14ac:dyDescent="0.25">
      <c r="A2141" s="133"/>
      <c r="B2141" s="245"/>
      <c r="C2141" s="202"/>
      <c r="D2141" s="202"/>
      <c r="E2141" s="168"/>
      <c r="F2141" s="202"/>
      <c r="G2141" s="203"/>
      <c r="H2141" s="246"/>
      <c r="I2141" s="133"/>
      <c r="J2141" s="245"/>
      <c r="K2141" s="202"/>
      <c r="L2141" s="202"/>
      <c r="M2141" s="228"/>
      <c r="N2141" s="202"/>
      <c r="O2141" s="178"/>
      <c r="P2141" s="246"/>
    </row>
    <row r="2142" spans="1:16" x14ac:dyDescent="0.25">
      <c r="A2142" s="133"/>
      <c r="B2142" s="247"/>
      <c r="C2142" s="202"/>
      <c r="D2142" s="202"/>
      <c r="E2142" s="199"/>
      <c r="F2142" s="202"/>
      <c r="G2142" s="178"/>
      <c r="H2142" s="200"/>
      <c r="I2142" s="133"/>
      <c r="J2142" s="247"/>
      <c r="K2142" s="202"/>
      <c r="L2142" s="202"/>
      <c r="M2142" s="228"/>
      <c r="N2142" s="202"/>
      <c r="O2142" s="178"/>
      <c r="P2142" s="200"/>
    </row>
    <row r="2143" spans="1:16" x14ac:dyDescent="0.25">
      <c r="A2143" s="133"/>
      <c r="B2143" s="247"/>
      <c r="C2143" s="202"/>
      <c r="D2143" s="226"/>
      <c r="E2143" s="232"/>
      <c r="F2143" s="226"/>
      <c r="G2143" s="229"/>
      <c r="H2143" s="200"/>
      <c r="I2143" s="133"/>
      <c r="J2143" s="247"/>
      <c r="K2143" s="202"/>
      <c r="L2143" s="226"/>
      <c r="M2143" s="232"/>
      <c r="N2143" s="226"/>
      <c r="O2143" s="229"/>
      <c r="P2143" s="200"/>
    </row>
    <row r="2144" spans="1:16" x14ac:dyDescent="0.25">
      <c r="A2144" s="133"/>
      <c r="B2144" s="194"/>
      <c r="C2144" s="232"/>
      <c r="D2144" s="232"/>
      <c r="E2144" s="232"/>
      <c r="F2144" s="226"/>
      <c r="G2144" s="229"/>
      <c r="H2144" s="200"/>
      <c r="I2144" s="133"/>
      <c r="J2144" s="194"/>
      <c r="K2144" s="232"/>
      <c r="L2144" s="232"/>
      <c r="M2144" s="232"/>
      <c r="N2144" s="226"/>
      <c r="O2144" s="229"/>
      <c r="P2144" s="200"/>
    </row>
    <row r="2145" spans="1:17" ht="15.75" thickBot="1" x14ac:dyDescent="0.3">
      <c r="A2145" s="133"/>
      <c r="B2145" s="195"/>
      <c r="C2145" s="232"/>
      <c r="D2145" s="232"/>
      <c r="E2145" s="232"/>
      <c r="F2145" s="226"/>
      <c r="G2145" s="229"/>
      <c r="H2145" s="200"/>
      <c r="I2145" s="133"/>
      <c r="J2145" s="195"/>
      <c r="K2145" s="232"/>
      <c r="L2145" s="232"/>
      <c r="M2145" s="232"/>
      <c r="N2145" s="226"/>
      <c r="O2145" s="229"/>
      <c r="P2145" s="200"/>
    </row>
    <row r="2146" spans="1:17" ht="15.75" thickBot="1" x14ac:dyDescent="0.3">
      <c r="A2146" s="133"/>
      <c r="B2146" s="233"/>
      <c r="C2146" s="234"/>
      <c r="D2146" s="234"/>
      <c r="E2146" s="234"/>
      <c r="F2146" s="235"/>
      <c r="G2146" s="236"/>
      <c r="H2146" s="237">
        <f>+SUM(G2141:G2146)</f>
        <v>0</v>
      </c>
      <c r="I2146" s="133"/>
      <c r="J2146" s="233"/>
      <c r="K2146" s="234"/>
      <c r="L2146" s="234"/>
      <c r="M2146" s="234"/>
      <c r="N2146" s="235"/>
      <c r="O2146" s="236"/>
      <c r="P2146" s="237">
        <f>+SUM(O2141:O2146)</f>
        <v>0</v>
      </c>
    </row>
    <row r="2147" spans="1:17" ht="15.75" thickBot="1" x14ac:dyDescent="0.3">
      <c r="A2147" s="133"/>
      <c r="B2147" s="238"/>
      <c r="C2147" s="238"/>
      <c r="D2147" s="238"/>
      <c r="E2147" s="238"/>
      <c r="F2147" s="249"/>
      <c r="G2147" s="250"/>
      <c r="H2147" s="241"/>
      <c r="I2147" s="133"/>
      <c r="J2147" s="238"/>
      <c r="K2147" s="238"/>
      <c r="L2147" s="238"/>
      <c r="M2147" s="238"/>
      <c r="N2147" s="249"/>
      <c r="O2147" s="250"/>
      <c r="P2147" s="241"/>
    </row>
    <row r="2148" spans="1:17" ht="15.75" thickBot="1" x14ac:dyDescent="0.3">
      <c r="A2148" s="133"/>
      <c r="B2148" s="224" t="s">
        <v>5412</v>
      </c>
      <c r="C2148" s="193" t="s">
        <v>5420</v>
      </c>
      <c r="D2148" s="193" t="s">
        <v>5421</v>
      </c>
      <c r="E2148" s="193" t="s">
        <v>5413</v>
      </c>
      <c r="F2148" s="193" t="s">
        <v>5405</v>
      </c>
      <c r="G2148" s="225" t="s">
        <v>868</v>
      </c>
      <c r="H2148" s="200"/>
      <c r="I2148" s="133"/>
      <c r="J2148" s="224" t="s">
        <v>5412</v>
      </c>
      <c r="K2148" s="193" t="s">
        <v>5420</v>
      </c>
      <c r="L2148" s="193" t="s">
        <v>5421</v>
      </c>
      <c r="M2148" s="193" t="s">
        <v>5413</v>
      </c>
      <c r="N2148" s="193" t="s">
        <v>5405</v>
      </c>
      <c r="O2148" s="225" t="s">
        <v>868</v>
      </c>
      <c r="P2148" s="200"/>
    </row>
    <row r="2149" spans="1:17" x14ac:dyDescent="0.25">
      <c r="A2149" s="133"/>
      <c r="B2149" s="194" t="s">
        <v>5948</v>
      </c>
      <c r="C2149" s="345">
        <v>70000</v>
      </c>
      <c r="D2149" s="176">
        <f>+C2149*0.85</f>
        <v>59500</v>
      </c>
      <c r="E2149" s="176">
        <f>+C2149+D2149</f>
        <v>129500</v>
      </c>
      <c r="F2149" s="204">
        <v>25</v>
      </c>
      <c r="G2149" s="178">
        <f>+E2149/F2149</f>
        <v>5180</v>
      </c>
      <c r="H2149" s="200"/>
      <c r="I2149" s="133"/>
      <c r="J2149" s="194" t="s">
        <v>5948</v>
      </c>
      <c r="K2149" s="345">
        <v>70000</v>
      </c>
      <c r="L2149" s="176">
        <f>+K2149*0.85</f>
        <v>59500</v>
      </c>
      <c r="M2149" s="175">
        <f>+K2149+L2149</f>
        <v>129500</v>
      </c>
      <c r="N2149" s="204">
        <v>25</v>
      </c>
      <c r="O2149" s="178">
        <f>+M2149/N2149</f>
        <v>5180</v>
      </c>
      <c r="P2149" s="200"/>
    </row>
    <row r="2150" spans="1:17" x14ac:dyDescent="0.25">
      <c r="A2150" s="133"/>
      <c r="B2150" s="194" t="s">
        <v>5651</v>
      </c>
      <c r="C2150" s="345">
        <v>40000</v>
      </c>
      <c r="D2150" s="176">
        <f>+C2150*0.85</f>
        <v>34000</v>
      </c>
      <c r="E2150" s="176">
        <f>+C2150+D2150</f>
        <v>74000</v>
      </c>
      <c r="F2150" s="202">
        <v>2</v>
      </c>
      <c r="G2150" s="178">
        <f>+E2150/F2150</f>
        <v>37000</v>
      </c>
      <c r="H2150" s="200"/>
      <c r="I2150" s="133"/>
      <c r="J2150" s="194" t="s">
        <v>5651</v>
      </c>
      <c r="K2150" s="345">
        <v>40000</v>
      </c>
      <c r="L2150" s="176">
        <f>+K2150*0.85</f>
        <v>34000</v>
      </c>
      <c r="M2150" s="175">
        <f>+K2150+L2150</f>
        <v>74000</v>
      </c>
      <c r="N2150" s="202">
        <v>1.5</v>
      </c>
      <c r="O2150" s="178">
        <f>+M2150/N2150</f>
        <v>49333.333333333336</v>
      </c>
      <c r="P2150" s="200"/>
    </row>
    <row r="2151" spans="1:17" x14ac:dyDescent="0.25">
      <c r="A2151" s="133"/>
      <c r="B2151" s="195" t="s">
        <v>5635</v>
      </c>
      <c r="C2151" s="345">
        <v>20600</v>
      </c>
      <c r="D2151" s="176">
        <f>+C2151*0.85</f>
        <v>17510</v>
      </c>
      <c r="E2151" s="176">
        <f>+C2151+D2151</f>
        <v>38110</v>
      </c>
      <c r="F2151" s="226">
        <v>2</v>
      </c>
      <c r="G2151" s="178">
        <f>+E2151/F2151</f>
        <v>19055</v>
      </c>
      <c r="H2151" s="200"/>
      <c r="I2151" s="133"/>
      <c r="J2151" s="195" t="s">
        <v>5635</v>
      </c>
      <c r="K2151" s="345">
        <v>20600</v>
      </c>
      <c r="L2151" s="176">
        <f>+K2151*0.85</f>
        <v>17510</v>
      </c>
      <c r="M2151" s="175">
        <f>+K2151+L2151</f>
        <v>38110</v>
      </c>
      <c r="N2151" s="226">
        <v>1.5</v>
      </c>
      <c r="O2151" s="178">
        <f>+M2151/N2151</f>
        <v>25406.666666666668</v>
      </c>
      <c r="P2151" s="200"/>
    </row>
    <row r="2152" spans="1:17" x14ac:dyDescent="0.25">
      <c r="A2152" s="133"/>
      <c r="B2152" s="195"/>
      <c r="C2152" s="171"/>
      <c r="D2152" s="176"/>
      <c r="E2152" s="176"/>
      <c r="F2152" s="226"/>
      <c r="G2152" s="178"/>
      <c r="H2152" s="200"/>
      <c r="I2152" s="133"/>
      <c r="J2152" s="195"/>
      <c r="K2152" s="171"/>
      <c r="L2152" s="176"/>
      <c r="M2152" s="176"/>
      <c r="N2152" s="226"/>
      <c r="O2152" s="178"/>
      <c r="P2152" s="200"/>
    </row>
    <row r="2153" spans="1:17" x14ac:dyDescent="0.25">
      <c r="A2153" s="133"/>
      <c r="B2153" s="195"/>
      <c r="C2153" s="232"/>
      <c r="D2153" s="232"/>
      <c r="E2153" s="232"/>
      <c r="F2153" s="226"/>
      <c r="G2153" s="229"/>
      <c r="H2153" s="200"/>
      <c r="I2153" s="133"/>
      <c r="J2153" s="195"/>
      <c r="K2153" s="232"/>
      <c r="L2153" s="232"/>
      <c r="M2153" s="232"/>
      <c r="N2153" s="226"/>
      <c r="O2153" s="229"/>
      <c r="P2153" s="200"/>
    </row>
    <row r="2154" spans="1:17" ht="15.75" thickBot="1" x14ac:dyDescent="0.3">
      <c r="A2154" s="133"/>
      <c r="B2154" s="195"/>
      <c r="C2154" s="232"/>
      <c r="D2154" s="232"/>
      <c r="E2154" s="232"/>
      <c r="F2154" s="226"/>
      <c r="G2154" s="229"/>
      <c r="H2154" s="200"/>
      <c r="I2154" s="133"/>
      <c r="J2154" s="195"/>
      <c r="K2154" s="232"/>
      <c r="L2154" s="232"/>
      <c r="M2154" s="232"/>
      <c r="N2154" s="226"/>
      <c r="O2154" s="229"/>
      <c r="P2154" s="200"/>
    </row>
    <row r="2155" spans="1:17" ht="15.75" thickBot="1" x14ac:dyDescent="0.3">
      <c r="A2155" s="133"/>
      <c r="B2155" s="251"/>
      <c r="C2155" s="252"/>
      <c r="D2155" s="252"/>
      <c r="E2155" s="252"/>
      <c r="F2155" s="253"/>
      <c r="G2155" s="254"/>
      <c r="H2155" s="256">
        <f>+SUM(G2149:G2155)</f>
        <v>61235</v>
      </c>
      <c r="I2155" s="133"/>
      <c r="J2155" s="251"/>
      <c r="K2155" s="252"/>
      <c r="L2155" s="252"/>
      <c r="M2155" s="252"/>
      <c r="N2155" s="253"/>
      <c r="O2155" s="254"/>
      <c r="P2155" s="256">
        <f>+SUM(O2149:O2155)</f>
        <v>79920</v>
      </c>
    </row>
    <row r="2156" spans="1:17" ht="15.75" thickBot="1" x14ac:dyDescent="0.3">
      <c r="A2156" s="133"/>
      <c r="B2156" s="8"/>
      <c r="C2156" s="8"/>
      <c r="D2156" s="8"/>
      <c r="E2156" s="8"/>
      <c r="F2156" s="133"/>
      <c r="G2156" s="200"/>
      <c r="H2156" s="200"/>
      <c r="I2156" s="133"/>
      <c r="J2156" s="8"/>
      <c r="K2156" s="8"/>
      <c r="L2156" s="8"/>
      <c r="M2156" s="8"/>
      <c r="N2156" s="133"/>
      <c r="O2156" s="200"/>
      <c r="P2156" s="200"/>
    </row>
    <row r="2157" spans="1:17" ht="15.75" thickBot="1" x14ac:dyDescent="0.3">
      <c r="A2157" s="133"/>
      <c r="B2157" s="8"/>
      <c r="C2157" s="8"/>
      <c r="D2157" s="8"/>
      <c r="E2157" s="223" t="s">
        <v>5415</v>
      </c>
      <c r="F2157" s="133"/>
      <c r="G2157" s="200"/>
      <c r="H2157" s="256">
        <f>ROUND(+H2155+H2146+H2138+H2123,0)</f>
        <v>71359</v>
      </c>
      <c r="I2157" s="133"/>
      <c r="J2157" s="8"/>
      <c r="K2157" s="8"/>
      <c r="L2157" s="8"/>
      <c r="M2157" s="223" t="s">
        <v>5415</v>
      </c>
      <c r="N2157" s="133"/>
      <c r="O2157" s="200"/>
      <c r="P2157" s="256">
        <f>ROUND(+P2155+P2146+P2138+P2123,0)</f>
        <v>96908</v>
      </c>
    </row>
    <row r="2158" spans="1:17" x14ac:dyDescent="0.25">
      <c r="A2158" s="265"/>
      <c r="B2158" s="265"/>
      <c r="C2158" s="265"/>
      <c r="D2158" s="265"/>
      <c r="E2158" s="265"/>
      <c r="F2158" s="265"/>
      <c r="G2158" s="265"/>
      <c r="H2158" s="265"/>
      <c r="I2158" s="265"/>
      <c r="J2158" s="265"/>
      <c r="K2158" s="265"/>
      <c r="L2158" s="265"/>
      <c r="M2158" s="265"/>
      <c r="N2158" s="265"/>
      <c r="O2158" s="265"/>
      <c r="P2158" s="265"/>
      <c r="Q2158" s="265"/>
    </row>
    <row r="2159" spans="1:17" x14ac:dyDescent="0.25">
      <c r="A2159" s="265"/>
      <c r="B2159" s="265"/>
      <c r="C2159" s="265"/>
      <c r="D2159" s="265"/>
      <c r="E2159" s="265"/>
      <c r="F2159" s="265"/>
      <c r="G2159" s="265"/>
      <c r="H2159" s="265"/>
      <c r="I2159" s="265"/>
      <c r="J2159" s="265"/>
      <c r="K2159" s="265"/>
      <c r="L2159" s="265"/>
      <c r="M2159" s="265"/>
      <c r="N2159" s="265"/>
      <c r="O2159" s="265"/>
      <c r="P2159" s="265"/>
      <c r="Q2159" s="265"/>
    </row>
    <row r="2160" spans="1:17" x14ac:dyDescent="0.25">
      <c r="A2160" s="265"/>
      <c r="B2160" s="265"/>
      <c r="C2160" s="265"/>
      <c r="D2160" s="265"/>
      <c r="E2160" s="265"/>
      <c r="F2160" s="265"/>
      <c r="G2160" s="265"/>
      <c r="H2160" s="265"/>
      <c r="I2160" s="265"/>
      <c r="J2160" s="265"/>
      <c r="K2160" s="265"/>
      <c r="L2160" s="265"/>
      <c r="M2160" s="265"/>
      <c r="N2160" s="265"/>
      <c r="O2160" s="265"/>
      <c r="P2160" s="265"/>
      <c r="Q2160" s="265"/>
    </row>
    <row r="2161" spans="1:17" x14ac:dyDescent="0.25">
      <c r="A2161" s="265"/>
      <c r="B2161" s="265"/>
      <c r="C2161" s="265"/>
      <c r="D2161" s="265"/>
      <c r="E2161" s="265"/>
      <c r="F2161" s="265"/>
      <c r="G2161" s="265"/>
      <c r="H2161" s="265"/>
      <c r="I2161" s="265"/>
      <c r="J2161" s="265"/>
      <c r="K2161" s="265"/>
      <c r="L2161" s="265"/>
      <c r="M2161" s="265"/>
      <c r="N2161" s="265"/>
      <c r="O2161" s="265"/>
      <c r="P2161" s="265"/>
      <c r="Q2161" s="265"/>
    </row>
    <row r="2162" spans="1:17" ht="18.75" x14ac:dyDescent="0.25">
      <c r="A2162" s="133"/>
      <c r="B2162" s="2506" t="s">
        <v>5400</v>
      </c>
      <c r="C2162" s="2506"/>
      <c r="D2162" s="2506"/>
      <c r="E2162" s="2506"/>
      <c r="F2162" s="2506"/>
      <c r="G2162" s="2506"/>
      <c r="H2162" s="8"/>
      <c r="I2162" s="133"/>
      <c r="J2162" s="2506" t="s">
        <v>5400</v>
      </c>
      <c r="K2162" s="2506"/>
      <c r="L2162" s="2506"/>
      <c r="M2162" s="2506"/>
      <c r="N2162" s="2506"/>
      <c r="O2162" s="2506"/>
      <c r="P2162" s="2506"/>
      <c r="Q2162" s="8"/>
    </row>
    <row r="2163" spans="1:17" x14ac:dyDescent="0.25">
      <c r="A2163" s="133"/>
      <c r="B2163" s="8"/>
      <c r="C2163" s="8"/>
      <c r="D2163" s="8"/>
      <c r="E2163" s="8"/>
      <c r="F2163" s="133"/>
      <c r="G2163" s="200"/>
      <c r="H2163" s="200"/>
      <c r="I2163" s="133"/>
      <c r="J2163" s="8"/>
      <c r="K2163" s="8"/>
      <c r="L2163" s="8"/>
      <c r="M2163" s="8"/>
      <c r="N2163" s="8"/>
      <c r="O2163" s="133"/>
      <c r="P2163" s="200"/>
      <c r="Q2163" s="200"/>
    </row>
    <row r="2164" spans="1:17" x14ac:dyDescent="0.25">
      <c r="A2164" s="133"/>
      <c r="B2164" s="8"/>
      <c r="C2164" s="8"/>
      <c r="D2164" s="8"/>
      <c r="E2164" s="8"/>
      <c r="F2164" s="133"/>
      <c r="G2164" s="200"/>
      <c r="H2164" s="200"/>
      <c r="I2164" s="133"/>
      <c r="J2164" s="8"/>
      <c r="K2164" s="8"/>
      <c r="L2164" s="8"/>
      <c r="M2164" s="8"/>
      <c r="N2164" s="8"/>
      <c r="O2164" s="133"/>
      <c r="P2164" s="200"/>
      <c r="Q2164" s="200"/>
    </row>
    <row r="2165" spans="1:17" x14ac:dyDescent="0.25">
      <c r="A2165" s="133"/>
      <c r="B2165" s="8"/>
      <c r="C2165" s="8"/>
      <c r="D2165" s="8"/>
      <c r="E2165" s="8"/>
      <c r="F2165" s="133"/>
      <c r="G2165" s="200"/>
      <c r="H2165" s="200"/>
      <c r="I2165" s="133"/>
      <c r="J2165" s="8"/>
      <c r="K2165" s="8"/>
      <c r="L2165" s="8"/>
      <c r="M2165" s="8"/>
      <c r="N2165" s="8"/>
      <c r="O2165" s="133"/>
      <c r="P2165" s="200"/>
      <c r="Q2165" s="200"/>
    </row>
    <row r="2166" spans="1:17" ht="15" customHeight="1" x14ac:dyDescent="0.25">
      <c r="A2166" s="220" t="s">
        <v>5482</v>
      </c>
      <c r="B2166" s="221" t="s">
        <v>435</v>
      </c>
      <c r="C2166" s="2449" t="s">
        <v>5515</v>
      </c>
      <c r="D2166" s="2449"/>
      <c r="E2166" s="2449"/>
      <c r="F2166" s="220" t="s">
        <v>867</v>
      </c>
      <c r="G2166" s="222" t="s">
        <v>5424</v>
      </c>
      <c r="H2166" s="200"/>
      <c r="I2166" s="220" t="s">
        <v>5482</v>
      </c>
      <c r="J2166" s="221" t="s">
        <v>435</v>
      </c>
      <c r="K2166" s="2449" t="s">
        <v>5515</v>
      </c>
      <c r="L2166" s="2449"/>
      <c r="M2166" s="2449"/>
      <c r="N2166" s="220" t="s">
        <v>867</v>
      </c>
      <c r="O2166" s="222" t="s">
        <v>5424</v>
      </c>
      <c r="P2166" s="200"/>
    </row>
    <row r="2167" spans="1:17" x14ac:dyDescent="0.25">
      <c r="A2167" s="133"/>
      <c r="B2167" s="8"/>
      <c r="C2167" s="223"/>
      <c r="D2167" s="223"/>
      <c r="E2167" s="223"/>
      <c r="F2167" s="133"/>
      <c r="G2167" s="200"/>
      <c r="H2167" s="200"/>
      <c r="I2167" s="133"/>
      <c r="J2167" s="8"/>
      <c r="K2167" s="223"/>
      <c r="L2167" s="223"/>
      <c r="M2167" s="223"/>
      <c r="N2167" s="133"/>
      <c r="O2167" s="200"/>
      <c r="P2167" s="200"/>
    </row>
    <row r="2168" spans="1:17" x14ac:dyDescent="0.25">
      <c r="A2168" s="133"/>
      <c r="B2168" s="8"/>
      <c r="C2168" s="8"/>
      <c r="D2168" s="8"/>
      <c r="E2168" s="8"/>
      <c r="F2168" s="8"/>
      <c r="G2168" s="8"/>
      <c r="H2168" s="200"/>
      <c r="I2168" s="133"/>
      <c r="J2168" s="8"/>
      <c r="K2168" s="8"/>
      <c r="L2168" s="8"/>
      <c r="M2168" s="8"/>
      <c r="N2168" s="8"/>
      <c r="O2168" s="8"/>
      <c r="P2168" s="200"/>
    </row>
    <row r="2169" spans="1:17" ht="15.75" thickBot="1" x14ac:dyDescent="0.3">
      <c r="A2169" s="133"/>
      <c r="B2169" s="8"/>
      <c r="C2169" s="8"/>
      <c r="D2169" s="8"/>
      <c r="E2169" s="8"/>
      <c r="F2169" s="133"/>
      <c r="G2169" s="200"/>
      <c r="H2169" s="200"/>
      <c r="I2169" s="133"/>
      <c r="J2169" s="8"/>
      <c r="K2169" s="8"/>
      <c r="L2169" s="8"/>
      <c r="M2169" s="8"/>
      <c r="N2169" s="133"/>
      <c r="O2169" s="200"/>
      <c r="P2169" s="200"/>
    </row>
    <row r="2170" spans="1:17" ht="15.75" thickBot="1" x14ac:dyDescent="0.3">
      <c r="A2170" s="133"/>
      <c r="B2170" s="224" t="s">
        <v>5403</v>
      </c>
      <c r="C2170" s="193" t="s">
        <v>867</v>
      </c>
      <c r="D2170" s="193" t="s">
        <v>6</v>
      </c>
      <c r="E2170" s="193" t="s">
        <v>5439</v>
      </c>
      <c r="F2170" s="193" t="s">
        <v>5405</v>
      </c>
      <c r="G2170" s="225" t="s">
        <v>868</v>
      </c>
      <c r="H2170" s="200"/>
      <c r="I2170" s="133"/>
      <c r="J2170" s="224" t="s">
        <v>5403</v>
      </c>
      <c r="K2170" s="193" t="s">
        <v>867</v>
      </c>
      <c r="L2170" s="193" t="s">
        <v>6</v>
      </c>
      <c r="M2170" s="193" t="s">
        <v>5439</v>
      </c>
      <c r="N2170" s="193" t="s">
        <v>5405</v>
      </c>
      <c r="O2170" s="225" t="s">
        <v>868</v>
      </c>
      <c r="P2170" s="200"/>
    </row>
    <row r="2171" spans="1:17" x14ac:dyDescent="0.25">
      <c r="A2171" s="133"/>
      <c r="B2171" s="195" t="s">
        <v>5440</v>
      </c>
      <c r="C2171" s="226" t="s">
        <v>5402</v>
      </c>
      <c r="D2171" s="226">
        <v>1</v>
      </c>
      <c r="E2171" s="263">
        <f>+H2209</f>
        <v>125060</v>
      </c>
      <c r="F2171" s="226">
        <v>0.1</v>
      </c>
      <c r="G2171" s="229">
        <f>+E2171*F2171</f>
        <v>12506</v>
      </c>
      <c r="H2171" s="200"/>
      <c r="I2171" s="133"/>
      <c r="J2171" s="195" t="s">
        <v>5440</v>
      </c>
      <c r="K2171" s="226" t="s">
        <v>5402</v>
      </c>
      <c r="L2171" s="226">
        <v>1</v>
      </c>
      <c r="M2171" s="228">
        <f>+P2209</f>
        <v>153087.5</v>
      </c>
      <c r="N2171" s="226">
        <v>0.15</v>
      </c>
      <c r="O2171" s="229">
        <f>+M2171*N2171</f>
        <v>22963.125</v>
      </c>
      <c r="P2171" s="200"/>
    </row>
    <row r="2172" spans="1:17" x14ac:dyDescent="0.25">
      <c r="A2172" s="133"/>
      <c r="B2172" s="195" t="s">
        <v>6063</v>
      </c>
      <c r="C2172" s="226" t="s">
        <v>5424</v>
      </c>
      <c r="D2172" s="226">
        <v>1</v>
      </c>
      <c r="E2172" s="176">
        <v>120000</v>
      </c>
      <c r="F2172" s="226">
        <v>15</v>
      </c>
      <c r="G2172" s="229">
        <f>+E2172/F2172</f>
        <v>8000</v>
      </c>
      <c r="H2172" s="200"/>
      <c r="I2172" s="133"/>
      <c r="J2172" s="195" t="s">
        <v>6063</v>
      </c>
      <c r="K2172" s="226" t="s">
        <v>5424</v>
      </c>
      <c r="L2172" s="226">
        <v>1</v>
      </c>
      <c r="M2172" s="176">
        <v>120000</v>
      </c>
      <c r="N2172" s="226">
        <v>12</v>
      </c>
      <c r="O2172" s="229">
        <f>+M2172/N2172</f>
        <v>10000</v>
      </c>
      <c r="P2172" s="200"/>
    </row>
    <row r="2173" spans="1:17" x14ac:dyDescent="0.25">
      <c r="A2173" s="133"/>
      <c r="B2173" s="195"/>
      <c r="C2173" s="226"/>
      <c r="D2173" s="226"/>
      <c r="E2173" s="176"/>
      <c r="F2173" s="226"/>
      <c r="G2173" s="229"/>
      <c r="H2173" s="200"/>
      <c r="I2173" s="133"/>
      <c r="J2173" s="195"/>
      <c r="K2173" s="226"/>
      <c r="L2173" s="226"/>
      <c r="M2173" s="176"/>
      <c r="N2173" s="226"/>
      <c r="O2173" s="229"/>
      <c r="P2173" s="200"/>
    </row>
    <row r="2174" spans="1:17" x14ac:dyDescent="0.25">
      <c r="A2174" s="133"/>
      <c r="B2174" s="195"/>
      <c r="C2174" s="226"/>
      <c r="D2174" s="226"/>
      <c r="E2174" s="171"/>
      <c r="F2174" s="226"/>
      <c r="G2174" s="231"/>
      <c r="H2174" s="200"/>
      <c r="I2174" s="133"/>
      <c r="J2174" s="195"/>
      <c r="K2174" s="226"/>
      <c r="L2174" s="226"/>
      <c r="M2174" s="171"/>
      <c r="N2174" s="226"/>
      <c r="O2174" s="229"/>
      <c r="P2174" s="200"/>
    </row>
    <row r="2175" spans="1:17" x14ac:dyDescent="0.25">
      <c r="A2175" s="133"/>
      <c r="B2175" s="195"/>
      <c r="C2175" s="226"/>
      <c r="D2175" s="232"/>
      <c r="E2175" s="232"/>
      <c r="F2175" s="226"/>
      <c r="G2175" s="229"/>
      <c r="H2175" s="200"/>
      <c r="I2175" s="133"/>
      <c r="J2175" s="195"/>
      <c r="K2175" s="226"/>
      <c r="L2175" s="232"/>
      <c r="M2175" s="232"/>
      <c r="N2175" s="226"/>
      <c r="O2175" s="229"/>
      <c r="P2175" s="200"/>
    </row>
    <row r="2176" spans="1:17" ht="15.75" thickBot="1" x14ac:dyDescent="0.3">
      <c r="A2176" s="133"/>
      <c r="B2176" s="195"/>
      <c r="C2176" s="226"/>
      <c r="D2176" s="232"/>
      <c r="E2176" s="232"/>
      <c r="F2176" s="226"/>
      <c r="G2176" s="229"/>
      <c r="H2176" s="200"/>
      <c r="I2176" s="133"/>
      <c r="J2176" s="195"/>
      <c r="K2176" s="226"/>
      <c r="L2176" s="232"/>
      <c r="M2176" s="232"/>
      <c r="N2176" s="226"/>
      <c r="O2176" s="229"/>
      <c r="P2176" s="200"/>
    </row>
    <row r="2177" spans="1:16" ht="15.75" thickBot="1" x14ac:dyDescent="0.3">
      <c r="A2177" s="133"/>
      <c r="B2177" s="233"/>
      <c r="C2177" s="234"/>
      <c r="D2177" s="234"/>
      <c r="E2177" s="234"/>
      <c r="F2177" s="235"/>
      <c r="G2177" s="236"/>
      <c r="H2177" s="237">
        <f>+SUM(G2171:G2177)</f>
        <v>20506</v>
      </c>
      <c r="I2177" s="133"/>
      <c r="J2177" s="233"/>
      <c r="K2177" s="234"/>
      <c r="L2177" s="234"/>
      <c r="M2177" s="234"/>
      <c r="N2177" s="235"/>
      <c r="O2177" s="236"/>
      <c r="P2177" s="237">
        <f>+SUM(O2171:O2177)</f>
        <v>32963.125</v>
      </c>
    </row>
    <row r="2178" spans="1:16" ht="15.75" thickBot="1" x14ac:dyDescent="0.3">
      <c r="A2178" s="133"/>
      <c r="B2178" s="238"/>
      <c r="C2178" s="238"/>
      <c r="D2178" s="238"/>
      <c r="E2178" s="238"/>
      <c r="F2178" s="239"/>
      <c r="G2178" s="240"/>
      <c r="H2178" s="241"/>
      <c r="I2178" s="133"/>
      <c r="J2178" s="238"/>
      <c r="K2178" s="238"/>
      <c r="L2178" s="238"/>
      <c r="M2178" s="238"/>
      <c r="N2178" s="239"/>
      <c r="O2178" s="240"/>
      <c r="P2178" s="241"/>
    </row>
    <row r="2179" spans="1:16" ht="15.75" thickBot="1" x14ac:dyDescent="0.3">
      <c r="A2179" s="133"/>
      <c r="B2179" s="224" t="s">
        <v>5408</v>
      </c>
      <c r="C2179" s="193" t="s">
        <v>867</v>
      </c>
      <c r="D2179" s="193" t="s">
        <v>6</v>
      </c>
      <c r="E2179" s="193" t="s">
        <v>870</v>
      </c>
      <c r="F2179" s="193" t="s">
        <v>5409</v>
      </c>
      <c r="G2179" s="225" t="s">
        <v>868</v>
      </c>
      <c r="H2179" s="200"/>
      <c r="I2179" s="133"/>
      <c r="J2179" s="224" t="s">
        <v>5408</v>
      </c>
      <c r="K2179" s="193" t="s">
        <v>867</v>
      </c>
      <c r="L2179" s="193" t="s">
        <v>6</v>
      </c>
      <c r="M2179" s="193" t="s">
        <v>870</v>
      </c>
      <c r="N2179" s="193" t="s">
        <v>5409</v>
      </c>
      <c r="O2179" s="225" t="s">
        <v>868</v>
      </c>
      <c r="P2179" s="200"/>
    </row>
    <row r="2180" spans="1:16" x14ac:dyDescent="0.25">
      <c r="A2180" s="133"/>
      <c r="B2180" s="295"/>
      <c r="C2180" s="202"/>
      <c r="D2180" s="226"/>
      <c r="E2180" s="244"/>
      <c r="F2180" s="169"/>
      <c r="G2180" s="178">
        <f>+D2180*E2180*(1+F2180)</f>
        <v>0</v>
      </c>
      <c r="H2180" s="200"/>
      <c r="I2180" s="133"/>
      <c r="J2180" s="295" t="s">
        <v>6124</v>
      </c>
      <c r="K2180" s="202" t="s">
        <v>5424</v>
      </c>
      <c r="L2180" s="226">
        <v>1</v>
      </c>
      <c r="M2180" s="228"/>
      <c r="N2180" s="169"/>
      <c r="O2180" s="178">
        <f>+L2180*M2180*(1+N2180)</f>
        <v>0</v>
      </c>
      <c r="P2180" s="200"/>
    </row>
    <row r="2181" spans="1:16" x14ac:dyDescent="0.25">
      <c r="A2181" s="133"/>
      <c r="B2181" s="450"/>
      <c r="C2181" s="202"/>
      <c r="D2181" s="202"/>
      <c r="E2181" s="257"/>
      <c r="F2181" s="169"/>
      <c r="G2181" s="178">
        <f>+D2181*E2181*(1+F2181)</f>
        <v>0</v>
      </c>
      <c r="H2181" s="200"/>
      <c r="I2181" s="133"/>
      <c r="J2181" s="450" t="s">
        <v>6127</v>
      </c>
      <c r="K2181" s="202" t="s">
        <v>5424</v>
      </c>
      <c r="L2181" s="202">
        <v>12</v>
      </c>
      <c r="M2181" s="228"/>
      <c r="N2181" s="169"/>
      <c r="O2181" s="178">
        <f>+L2181*M2181*(1+N2181)</f>
        <v>0</v>
      </c>
      <c r="P2181" s="200"/>
    </row>
    <row r="2182" spans="1:16" x14ac:dyDescent="0.25">
      <c r="A2182" s="133"/>
      <c r="B2182" s="247"/>
      <c r="C2182" s="202"/>
      <c r="D2182" s="226"/>
      <c r="E2182" s="244"/>
      <c r="F2182" s="169"/>
      <c r="G2182" s="178">
        <f>+D2182*E2182*(1+F2182)</f>
        <v>0</v>
      </c>
      <c r="H2182" s="200"/>
      <c r="I2182" s="133"/>
      <c r="J2182" s="247"/>
      <c r="K2182" s="202"/>
      <c r="L2182" s="226"/>
      <c r="M2182" s="228"/>
      <c r="N2182" s="169"/>
      <c r="O2182" s="178">
        <f>+L2182*M2182*(1+N2182)</f>
        <v>0</v>
      </c>
      <c r="P2182" s="200"/>
    </row>
    <row r="2183" spans="1:16" x14ac:dyDescent="0.25">
      <c r="A2183" s="133"/>
      <c r="B2183" s="194"/>
      <c r="C2183" s="226"/>
      <c r="D2183" s="226"/>
      <c r="E2183" s="171"/>
      <c r="F2183" s="169"/>
      <c r="G2183" s="178">
        <f>+D2183*E2183*(1+F2183)</f>
        <v>0</v>
      </c>
      <c r="H2183" s="200"/>
      <c r="I2183" s="133"/>
      <c r="J2183" s="194"/>
      <c r="K2183" s="226"/>
      <c r="L2183" s="226"/>
      <c r="M2183" s="176"/>
      <c r="N2183" s="169"/>
      <c r="O2183" s="178">
        <f>+L2183*M2183*(1+N2183)</f>
        <v>0</v>
      </c>
      <c r="P2183" s="200"/>
    </row>
    <row r="2184" spans="1:16" x14ac:dyDescent="0.25">
      <c r="A2184" s="133"/>
      <c r="B2184" s="195"/>
      <c r="C2184" s="226"/>
      <c r="D2184" s="226"/>
      <c r="E2184" s="171"/>
      <c r="F2184" s="169"/>
      <c r="G2184" s="178"/>
      <c r="H2184" s="200"/>
      <c r="I2184" s="133"/>
      <c r="J2184" s="195"/>
      <c r="K2184" s="226"/>
      <c r="L2184" s="226"/>
      <c r="M2184" s="176"/>
      <c r="N2184" s="169"/>
      <c r="O2184" s="178"/>
      <c r="P2184" s="200"/>
    </row>
    <row r="2185" spans="1:16" x14ac:dyDescent="0.25">
      <c r="A2185" s="133"/>
      <c r="B2185" s="194"/>
      <c r="C2185" s="202"/>
      <c r="D2185" s="202"/>
      <c r="E2185" s="171"/>
      <c r="F2185" s="169"/>
      <c r="G2185" s="178"/>
      <c r="H2185" s="200"/>
      <c r="I2185" s="133"/>
      <c r="J2185" s="194"/>
      <c r="K2185" s="202"/>
      <c r="L2185" s="202"/>
      <c r="M2185" s="176"/>
      <c r="N2185" s="169"/>
      <c r="O2185" s="178"/>
      <c r="P2185" s="200"/>
    </row>
    <row r="2186" spans="1:16" x14ac:dyDescent="0.25">
      <c r="A2186" s="133"/>
      <c r="B2186" s="195"/>
      <c r="C2186" s="226"/>
      <c r="D2186" s="226"/>
      <c r="E2186" s="171"/>
      <c r="F2186" s="169"/>
      <c r="G2186" s="178"/>
      <c r="H2186" s="200"/>
      <c r="I2186" s="133"/>
      <c r="J2186" s="195"/>
      <c r="K2186" s="226"/>
      <c r="L2186" s="226"/>
      <c r="M2186" s="176"/>
      <c r="N2186" s="169"/>
      <c r="O2186" s="178"/>
      <c r="P2186" s="200"/>
    </row>
    <row r="2187" spans="1:16" x14ac:dyDescent="0.25">
      <c r="A2187" s="133"/>
      <c r="B2187" s="195"/>
      <c r="C2187" s="226"/>
      <c r="D2187" s="226"/>
      <c r="E2187" s="171"/>
      <c r="F2187" s="169"/>
      <c r="G2187" s="178"/>
      <c r="H2187" s="200"/>
      <c r="I2187" s="133"/>
      <c r="J2187" s="195"/>
      <c r="K2187" s="226"/>
      <c r="L2187" s="226"/>
      <c r="M2187" s="176"/>
      <c r="N2187" s="169"/>
      <c r="O2187" s="178"/>
      <c r="P2187" s="200"/>
    </row>
    <row r="2188" spans="1:16" x14ac:dyDescent="0.25">
      <c r="A2188" s="133"/>
      <c r="B2188" s="195"/>
      <c r="C2188" s="232"/>
      <c r="D2188" s="232"/>
      <c r="E2188" s="232"/>
      <c r="F2188" s="226"/>
      <c r="G2188" s="229"/>
      <c r="H2188" s="200"/>
      <c r="I2188" s="133"/>
      <c r="J2188" s="195"/>
      <c r="K2188" s="232"/>
      <c r="L2188" s="232"/>
      <c r="M2188" s="232"/>
      <c r="N2188" s="226"/>
      <c r="O2188" s="229"/>
      <c r="P2188" s="200"/>
    </row>
    <row r="2189" spans="1:16" x14ac:dyDescent="0.25">
      <c r="A2189" s="133"/>
      <c r="B2189" s="195"/>
      <c r="C2189" s="232"/>
      <c r="D2189" s="232"/>
      <c r="E2189" s="232"/>
      <c r="F2189" s="226"/>
      <c r="G2189" s="229"/>
      <c r="H2189" s="200"/>
      <c r="I2189" s="133"/>
      <c r="J2189" s="195"/>
      <c r="K2189" s="232"/>
      <c r="L2189" s="232"/>
      <c r="M2189" s="232"/>
      <c r="N2189" s="226"/>
      <c r="O2189" s="229"/>
      <c r="P2189" s="200"/>
    </row>
    <row r="2190" spans="1:16" x14ac:dyDescent="0.25">
      <c r="A2190" s="133"/>
      <c r="B2190" s="195"/>
      <c r="C2190" s="232"/>
      <c r="D2190" s="232"/>
      <c r="E2190" s="232"/>
      <c r="F2190" s="226"/>
      <c r="G2190" s="229"/>
      <c r="H2190" s="200"/>
      <c r="I2190" s="133"/>
      <c r="J2190" s="195"/>
      <c r="K2190" s="232"/>
      <c r="L2190" s="232"/>
      <c r="M2190" s="232"/>
      <c r="N2190" s="226"/>
      <c r="O2190" s="229"/>
      <c r="P2190" s="200"/>
    </row>
    <row r="2191" spans="1:16" ht="15.75" thickBot="1" x14ac:dyDescent="0.3">
      <c r="A2191" s="133"/>
      <c r="B2191" s="195"/>
      <c r="C2191" s="232"/>
      <c r="D2191" s="232"/>
      <c r="E2191" s="232"/>
      <c r="F2191" s="226"/>
      <c r="G2191" s="229"/>
      <c r="H2191" s="200"/>
      <c r="I2191" s="133"/>
      <c r="J2191" s="195"/>
      <c r="K2191" s="232"/>
      <c r="L2191" s="232"/>
      <c r="M2191" s="232"/>
      <c r="N2191" s="226"/>
      <c r="O2191" s="229"/>
      <c r="P2191" s="200"/>
    </row>
    <row r="2192" spans="1:16" ht="15.75" thickBot="1" x14ac:dyDescent="0.3">
      <c r="A2192" s="133"/>
      <c r="B2192" s="233"/>
      <c r="C2192" s="234"/>
      <c r="D2192" s="234"/>
      <c r="E2192" s="234"/>
      <c r="F2192" s="235"/>
      <c r="G2192" s="236"/>
      <c r="H2192" s="256">
        <f>+SUM(G2180:G2192)</f>
        <v>0</v>
      </c>
      <c r="I2192" s="133"/>
      <c r="J2192" s="233"/>
      <c r="K2192" s="234"/>
      <c r="L2192" s="234"/>
      <c r="M2192" s="234"/>
      <c r="N2192" s="235"/>
      <c r="O2192" s="236"/>
      <c r="P2192" s="256">
        <f>+SUM(O2180:O2192)</f>
        <v>0</v>
      </c>
    </row>
    <row r="2193" spans="1:16" ht="15.75" thickBot="1" x14ac:dyDescent="0.3">
      <c r="A2193" s="133"/>
      <c r="B2193" s="238"/>
      <c r="C2193" s="238"/>
      <c r="D2193" s="238"/>
      <c r="E2193" s="238"/>
      <c r="F2193" s="239"/>
      <c r="G2193" s="240"/>
      <c r="H2193" s="241"/>
      <c r="I2193" s="133"/>
      <c r="J2193" s="238"/>
      <c r="K2193" s="238"/>
      <c r="L2193" s="238"/>
      <c r="M2193" s="238"/>
      <c r="N2193" s="239"/>
      <c r="O2193" s="240"/>
      <c r="P2193" s="241"/>
    </row>
    <row r="2194" spans="1:16" ht="15.75" thickBot="1" x14ac:dyDescent="0.3">
      <c r="A2194" s="133"/>
      <c r="B2194" s="224" t="s">
        <v>5410</v>
      </c>
      <c r="C2194" s="193" t="s">
        <v>867</v>
      </c>
      <c r="D2194" s="193" t="s">
        <v>6</v>
      </c>
      <c r="E2194" s="193" t="s">
        <v>870</v>
      </c>
      <c r="F2194" s="193" t="s">
        <v>5411</v>
      </c>
      <c r="G2194" s="225" t="s">
        <v>868</v>
      </c>
      <c r="H2194" s="200"/>
      <c r="I2194" s="133"/>
      <c r="J2194" s="224" t="s">
        <v>5410</v>
      </c>
      <c r="K2194" s="193" t="s">
        <v>867</v>
      </c>
      <c r="L2194" s="193" t="s">
        <v>6</v>
      </c>
      <c r="M2194" s="193" t="s">
        <v>870</v>
      </c>
      <c r="N2194" s="193" t="s">
        <v>5411</v>
      </c>
      <c r="O2194" s="225" t="s">
        <v>868</v>
      </c>
      <c r="P2194" s="200"/>
    </row>
    <row r="2195" spans="1:16" x14ac:dyDescent="0.25">
      <c r="A2195" s="133"/>
      <c r="B2195" s="245"/>
      <c r="C2195" s="202"/>
      <c r="D2195" s="202"/>
      <c r="E2195" s="168"/>
      <c r="F2195" s="202"/>
      <c r="G2195" s="203"/>
      <c r="H2195" s="246"/>
      <c r="I2195" s="133"/>
      <c r="J2195" s="245"/>
      <c r="K2195" s="202"/>
      <c r="L2195" s="202"/>
      <c r="M2195" s="228"/>
      <c r="N2195" s="202"/>
      <c r="O2195" s="178"/>
      <c r="P2195" s="246"/>
    </row>
    <row r="2196" spans="1:16" x14ac:dyDescent="0.25">
      <c r="A2196" s="133"/>
      <c r="B2196" s="247"/>
      <c r="C2196" s="202"/>
      <c r="D2196" s="202"/>
      <c r="E2196" s="199"/>
      <c r="F2196" s="202"/>
      <c r="G2196" s="178"/>
      <c r="H2196" s="200"/>
      <c r="I2196" s="133"/>
      <c r="J2196" s="247"/>
      <c r="K2196" s="202"/>
      <c r="L2196" s="202"/>
      <c r="M2196" s="228"/>
      <c r="N2196" s="202"/>
      <c r="O2196" s="178"/>
      <c r="P2196" s="200"/>
    </row>
    <row r="2197" spans="1:16" x14ac:dyDescent="0.25">
      <c r="A2197" s="133"/>
      <c r="B2197" s="247"/>
      <c r="C2197" s="202"/>
      <c r="D2197" s="226"/>
      <c r="E2197" s="232"/>
      <c r="F2197" s="226"/>
      <c r="G2197" s="229"/>
      <c r="H2197" s="200"/>
      <c r="I2197" s="133"/>
      <c r="J2197" s="247"/>
      <c r="K2197" s="202"/>
      <c r="L2197" s="226"/>
      <c r="M2197" s="232"/>
      <c r="N2197" s="226"/>
      <c r="O2197" s="229"/>
      <c r="P2197" s="200"/>
    </row>
    <row r="2198" spans="1:16" x14ac:dyDescent="0.25">
      <c r="A2198" s="133"/>
      <c r="B2198" s="194"/>
      <c r="C2198" s="232"/>
      <c r="D2198" s="232"/>
      <c r="E2198" s="232"/>
      <c r="F2198" s="226"/>
      <c r="G2198" s="229"/>
      <c r="H2198" s="200"/>
      <c r="I2198" s="133"/>
      <c r="J2198" s="194"/>
      <c r="K2198" s="232"/>
      <c r="L2198" s="232"/>
      <c r="M2198" s="232"/>
      <c r="N2198" s="226"/>
      <c r="O2198" s="229"/>
      <c r="P2198" s="200"/>
    </row>
    <row r="2199" spans="1:16" ht="15.75" thickBot="1" x14ac:dyDescent="0.3">
      <c r="A2199" s="133"/>
      <c r="B2199" s="195"/>
      <c r="C2199" s="232"/>
      <c r="D2199" s="232"/>
      <c r="E2199" s="232"/>
      <c r="F2199" s="226"/>
      <c r="G2199" s="229"/>
      <c r="H2199" s="200"/>
      <c r="I2199" s="133"/>
      <c r="J2199" s="195"/>
      <c r="K2199" s="232"/>
      <c r="L2199" s="232"/>
      <c r="M2199" s="232"/>
      <c r="N2199" s="226"/>
      <c r="O2199" s="229"/>
      <c r="P2199" s="200"/>
    </row>
    <row r="2200" spans="1:16" ht="15.75" thickBot="1" x14ac:dyDescent="0.3">
      <c r="A2200" s="133"/>
      <c r="B2200" s="233"/>
      <c r="C2200" s="234"/>
      <c r="D2200" s="234"/>
      <c r="E2200" s="234"/>
      <c r="F2200" s="235"/>
      <c r="G2200" s="236"/>
      <c r="H2200" s="237">
        <f>+SUM(G2195:G2200)</f>
        <v>0</v>
      </c>
      <c r="I2200" s="133"/>
      <c r="J2200" s="233"/>
      <c r="K2200" s="234"/>
      <c r="L2200" s="234"/>
      <c r="M2200" s="234"/>
      <c r="N2200" s="235"/>
      <c r="O2200" s="236"/>
      <c r="P2200" s="237">
        <f>+SUM(O2195:O2200)</f>
        <v>0</v>
      </c>
    </row>
    <row r="2201" spans="1:16" ht="15.75" thickBot="1" x14ac:dyDescent="0.3">
      <c r="A2201" s="133"/>
      <c r="B2201" s="238"/>
      <c r="C2201" s="238"/>
      <c r="D2201" s="238"/>
      <c r="E2201" s="238"/>
      <c r="F2201" s="249"/>
      <c r="G2201" s="250"/>
      <c r="H2201" s="241"/>
      <c r="I2201" s="133"/>
      <c r="J2201" s="238"/>
      <c r="K2201" s="238"/>
      <c r="L2201" s="238"/>
      <c r="M2201" s="238"/>
      <c r="N2201" s="249"/>
      <c r="O2201" s="250"/>
      <c r="P2201" s="241"/>
    </row>
    <row r="2202" spans="1:16" ht="15.75" thickBot="1" x14ac:dyDescent="0.3">
      <c r="A2202" s="133"/>
      <c r="B2202" s="224" t="s">
        <v>5412</v>
      </c>
      <c r="C2202" s="193" t="s">
        <v>5420</v>
      </c>
      <c r="D2202" s="193" t="s">
        <v>5421</v>
      </c>
      <c r="E2202" s="193" t="s">
        <v>5413</v>
      </c>
      <c r="F2202" s="193" t="s">
        <v>5405</v>
      </c>
      <c r="G2202" s="225" t="s">
        <v>868</v>
      </c>
      <c r="H2202" s="200"/>
      <c r="I2202" s="133"/>
      <c r="J2202" s="224" t="s">
        <v>5412</v>
      </c>
      <c r="K2202" s="193" t="s">
        <v>5420</v>
      </c>
      <c r="L2202" s="193" t="s">
        <v>5421</v>
      </c>
      <c r="M2202" s="193" t="s">
        <v>5413</v>
      </c>
      <c r="N2202" s="193" t="s">
        <v>5405</v>
      </c>
      <c r="O2202" s="225" t="s">
        <v>868</v>
      </c>
      <c r="P2202" s="200"/>
    </row>
    <row r="2203" spans="1:16" x14ac:dyDescent="0.25">
      <c r="A2203" s="133"/>
      <c r="B2203" s="194" t="s">
        <v>5948</v>
      </c>
      <c r="C2203" s="345">
        <v>70000</v>
      </c>
      <c r="D2203" s="176">
        <f>+C2203*0.85</f>
        <v>59500</v>
      </c>
      <c r="E2203" s="176">
        <f>+C2203+D2203</f>
        <v>129500</v>
      </c>
      <c r="F2203" s="204">
        <v>10</v>
      </c>
      <c r="G2203" s="178">
        <f>+E2203/F2203</f>
        <v>12950</v>
      </c>
      <c r="H2203" s="200"/>
      <c r="I2203" s="133"/>
      <c r="J2203" s="194" t="s">
        <v>5948</v>
      </c>
      <c r="K2203" s="345">
        <v>70000</v>
      </c>
      <c r="L2203" s="176">
        <f>+K2203*0.85</f>
        <v>59500</v>
      </c>
      <c r="M2203" s="175">
        <f>+K2203+L2203</f>
        <v>129500</v>
      </c>
      <c r="N2203" s="204">
        <v>10</v>
      </c>
      <c r="O2203" s="178">
        <f>+M2203/N2203</f>
        <v>12950</v>
      </c>
      <c r="P2203" s="200"/>
    </row>
    <row r="2204" spans="1:16" x14ac:dyDescent="0.25">
      <c r="A2204" s="133"/>
      <c r="B2204" s="194" t="s">
        <v>5651</v>
      </c>
      <c r="C2204" s="345">
        <v>40000</v>
      </c>
      <c r="D2204" s="176">
        <f>+C2204*0.85</f>
        <v>34000</v>
      </c>
      <c r="E2204" s="176">
        <f>+C2204+D2204</f>
        <v>74000</v>
      </c>
      <c r="F2204" s="202">
        <v>1</v>
      </c>
      <c r="G2204" s="178">
        <f>+E2204/F2204</f>
        <v>74000</v>
      </c>
      <c r="H2204" s="200"/>
      <c r="I2204" s="133"/>
      <c r="J2204" s="194" t="s">
        <v>5651</v>
      </c>
      <c r="K2204" s="345">
        <v>40000</v>
      </c>
      <c r="L2204" s="176">
        <f>+K2204*0.85</f>
        <v>34000</v>
      </c>
      <c r="M2204" s="175">
        <f>+K2204+L2204</f>
        <v>74000</v>
      </c>
      <c r="N2204" s="202">
        <v>0.8</v>
      </c>
      <c r="O2204" s="178">
        <f>+M2204/N2204</f>
        <v>92500</v>
      </c>
      <c r="P2204" s="200"/>
    </row>
    <row r="2205" spans="1:16" x14ac:dyDescent="0.25">
      <c r="A2205" s="133"/>
      <c r="B2205" s="195" t="s">
        <v>5635</v>
      </c>
      <c r="C2205" s="345">
        <v>20600</v>
      </c>
      <c r="D2205" s="176">
        <f>+C2205*0.85</f>
        <v>17510</v>
      </c>
      <c r="E2205" s="176">
        <f>+C2205+D2205</f>
        <v>38110</v>
      </c>
      <c r="F2205" s="226">
        <v>1</v>
      </c>
      <c r="G2205" s="178">
        <f>+E2205/F2205</f>
        <v>38110</v>
      </c>
      <c r="H2205" s="200"/>
      <c r="I2205" s="133"/>
      <c r="J2205" s="195" t="s">
        <v>5635</v>
      </c>
      <c r="K2205" s="345">
        <v>20600</v>
      </c>
      <c r="L2205" s="176">
        <f>+K2205*0.85</f>
        <v>17510</v>
      </c>
      <c r="M2205" s="175">
        <f>+K2205+L2205</f>
        <v>38110</v>
      </c>
      <c r="N2205" s="226">
        <v>0.8</v>
      </c>
      <c r="O2205" s="178">
        <f>+M2205/N2205</f>
        <v>47637.5</v>
      </c>
      <c r="P2205" s="200"/>
    </row>
    <row r="2206" spans="1:16" x14ac:dyDescent="0.25">
      <c r="A2206" s="133"/>
      <c r="B2206" s="195"/>
      <c r="C2206" s="171"/>
      <c r="D2206" s="176"/>
      <c r="E2206" s="176"/>
      <c r="F2206" s="226"/>
      <c r="G2206" s="178"/>
      <c r="H2206" s="200"/>
      <c r="I2206" s="133"/>
      <c r="J2206" s="195"/>
      <c r="K2206" s="171"/>
      <c r="L2206" s="176"/>
      <c r="M2206" s="176"/>
      <c r="N2206" s="226"/>
      <c r="O2206" s="178"/>
      <c r="P2206" s="200"/>
    </row>
    <row r="2207" spans="1:16" x14ac:dyDescent="0.25">
      <c r="A2207" s="133"/>
      <c r="B2207" s="195"/>
      <c r="C2207" s="232"/>
      <c r="D2207" s="232"/>
      <c r="E2207" s="232"/>
      <c r="F2207" s="226"/>
      <c r="G2207" s="229"/>
      <c r="H2207" s="200"/>
      <c r="I2207" s="133"/>
      <c r="J2207" s="195"/>
      <c r="K2207" s="232"/>
      <c r="L2207" s="232"/>
      <c r="M2207" s="232"/>
      <c r="N2207" s="226"/>
      <c r="O2207" s="229"/>
      <c r="P2207" s="200"/>
    </row>
    <row r="2208" spans="1:16" ht="15.75" thickBot="1" x14ac:dyDescent="0.3">
      <c r="A2208" s="133"/>
      <c r="B2208" s="195"/>
      <c r="C2208" s="232"/>
      <c r="D2208" s="232"/>
      <c r="E2208" s="232"/>
      <c r="F2208" s="226"/>
      <c r="G2208" s="229"/>
      <c r="H2208" s="200"/>
      <c r="I2208" s="133"/>
      <c r="J2208" s="195"/>
      <c r="K2208" s="232"/>
      <c r="L2208" s="232"/>
      <c r="M2208" s="232"/>
      <c r="N2208" s="226"/>
      <c r="O2208" s="229"/>
      <c r="P2208" s="200"/>
    </row>
    <row r="2209" spans="1:16" ht="15.75" thickBot="1" x14ac:dyDescent="0.3">
      <c r="A2209" s="133"/>
      <c r="B2209" s="251"/>
      <c r="C2209" s="252"/>
      <c r="D2209" s="252"/>
      <c r="E2209" s="252"/>
      <c r="F2209" s="253"/>
      <c r="G2209" s="254"/>
      <c r="H2209" s="256">
        <f>+SUM(G2203:G2209)</f>
        <v>125060</v>
      </c>
      <c r="I2209" s="133"/>
      <c r="J2209" s="251"/>
      <c r="K2209" s="252"/>
      <c r="L2209" s="252"/>
      <c r="M2209" s="252"/>
      <c r="N2209" s="253"/>
      <c r="O2209" s="254"/>
      <c r="P2209" s="256">
        <f>+SUM(O2203:O2209)</f>
        <v>153087.5</v>
      </c>
    </row>
    <row r="2210" spans="1:16" ht="15.75" thickBot="1" x14ac:dyDescent="0.3">
      <c r="A2210" s="133"/>
      <c r="B2210" s="8"/>
      <c r="C2210" s="8"/>
      <c r="D2210" s="8"/>
      <c r="E2210" s="8"/>
      <c r="F2210" s="133"/>
      <c r="G2210" s="200"/>
      <c r="H2210" s="200"/>
      <c r="I2210" s="133"/>
      <c r="J2210" s="8"/>
      <c r="K2210" s="8"/>
      <c r="L2210" s="8"/>
      <c r="M2210" s="8"/>
      <c r="N2210" s="133"/>
      <c r="O2210" s="200"/>
      <c r="P2210" s="200"/>
    </row>
    <row r="2211" spans="1:16" ht="15.75" thickBot="1" x14ac:dyDescent="0.3">
      <c r="A2211" s="133"/>
      <c r="B2211" s="8"/>
      <c r="C2211" s="8"/>
      <c r="D2211" s="8"/>
      <c r="E2211" s="223" t="s">
        <v>5415</v>
      </c>
      <c r="F2211" s="133"/>
      <c r="G2211" s="200"/>
      <c r="H2211" s="256">
        <f>ROUND(+H2209+H2200+H2192+H2177,0)</f>
        <v>145566</v>
      </c>
      <c r="I2211" s="133"/>
      <c r="J2211" s="8"/>
      <c r="K2211" s="8"/>
      <c r="L2211" s="8"/>
      <c r="M2211" s="223" t="s">
        <v>5415</v>
      </c>
      <c r="N2211" s="133"/>
      <c r="O2211" s="200"/>
      <c r="P2211" s="256">
        <f>ROUND(+P2209+P2200+P2192+P2177,0)</f>
        <v>186051</v>
      </c>
    </row>
    <row r="2212" spans="1:16" x14ac:dyDescent="0.25">
      <c r="A2212" s="265"/>
      <c r="B2212" s="265"/>
      <c r="C2212" s="265"/>
      <c r="D2212" s="265"/>
      <c r="E2212" s="265"/>
      <c r="F2212" s="265"/>
      <c r="G2212" s="265"/>
      <c r="H2212" s="265"/>
    </row>
    <row r="2213" spans="1:16" x14ac:dyDescent="0.25">
      <c r="A2213" s="265"/>
      <c r="B2213" s="265"/>
      <c r="C2213" s="265"/>
      <c r="D2213" s="265"/>
      <c r="E2213" s="265"/>
      <c r="F2213" s="265"/>
      <c r="G2213" s="265"/>
      <c r="H2213" s="265"/>
    </row>
    <row r="2214" spans="1:16" x14ac:dyDescent="0.25">
      <c r="A2214" s="265"/>
      <c r="B2214" s="265"/>
      <c r="C2214" s="265"/>
      <c r="D2214" s="265"/>
      <c r="E2214" s="265"/>
      <c r="F2214" s="265"/>
      <c r="G2214" s="265"/>
      <c r="H2214" s="265"/>
    </row>
    <row r="2215" spans="1:16" x14ac:dyDescent="0.25">
      <c r="A2215" s="265"/>
      <c r="B2215" s="265"/>
      <c r="C2215" s="265"/>
      <c r="D2215" s="265"/>
      <c r="E2215" s="265"/>
      <c r="F2215" s="265"/>
      <c r="G2215" s="265"/>
      <c r="H2215" s="265"/>
    </row>
    <row r="2216" spans="1:16" ht="18.75" x14ac:dyDescent="0.25">
      <c r="A2216" s="133"/>
      <c r="B2216" s="2506" t="s">
        <v>5400</v>
      </c>
      <c r="C2216" s="2506"/>
      <c r="D2216" s="2506"/>
      <c r="E2216" s="2506"/>
      <c r="F2216" s="2506"/>
      <c r="G2216" s="2506"/>
      <c r="H2216" s="8"/>
    </row>
    <row r="2217" spans="1:16" x14ac:dyDescent="0.25">
      <c r="A2217" s="133"/>
      <c r="B2217" s="8"/>
      <c r="C2217" s="8"/>
      <c r="D2217" s="8"/>
      <c r="E2217" s="8"/>
      <c r="F2217" s="133"/>
      <c r="G2217" s="200"/>
      <c r="H2217" s="200"/>
    </row>
    <row r="2218" spans="1:16" x14ac:dyDescent="0.25">
      <c r="A2218" s="133"/>
      <c r="B2218" s="8"/>
      <c r="C2218" s="8"/>
      <c r="D2218" s="8"/>
      <c r="E2218" s="8"/>
      <c r="F2218" s="133"/>
      <c r="G2218" s="200"/>
      <c r="H2218" s="200"/>
    </row>
    <row r="2219" spans="1:16" x14ac:dyDescent="0.25">
      <c r="A2219" s="133"/>
      <c r="B2219" s="8"/>
      <c r="C2219" s="8"/>
      <c r="D2219" s="8"/>
      <c r="E2219" s="8"/>
      <c r="F2219" s="133"/>
      <c r="G2219" s="200"/>
      <c r="H2219" s="200"/>
    </row>
    <row r="2220" spans="1:16" ht="15" customHeight="1" x14ac:dyDescent="0.25">
      <c r="A2220" s="220" t="s">
        <v>5482</v>
      </c>
      <c r="B2220" s="221" t="s">
        <v>488</v>
      </c>
      <c r="C2220" s="2449" t="s">
        <v>5516</v>
      </c>
      <c r="D2220" s="2449"/>
      <c r="E2220" s="2449"/>
      <c r="F2220" s="220" t="s">
        <v>867</v>
      </c>
      <c r="G2220" s="222" t="s">
        <v>5424</v>
      </c>
      <c r="H2220" s="200"/>
    </row>
    <row r="2221" spans="1:16" x14ac:dyDescent="0.25">
      <c r="A2221" s="133"/>
      <c r="B2221" s="8"/>
      <c r="C2221" s="223"/>
      <c r="D2221" s="223"/>
      <c r="E2221" s="223"/>
      <c r="F2221" s="133"/>
      <c r="G2221" s="200"/>
      <c r="H2221" s="200"/>
    </row>
    <row r="2222" spans="1:16" x14ac:dyDescent="0.25">
      <c r="A2222" s="133"/>
      <c r="B2222" s="8"/>
      <c r="C2222" s="8"/>
      <c r="D2222" s="8"/>
      <c r="E2222" s="8"/>
      <c r="F2222" s="8"/>
      <c r="G2222" s="8"/>
      <c r="H2222" s="200"/>
    </row>
    <row r="2223" spans="1:16" ht="15.75" thickBot="1" x14ac:dyDescent="0.3">
      <c r="A2223" s="133"/>
      <c r="B2223" s="8"/>
      <c r="C2223" s="8"/>
      <c r="D2223" s="8"/>
      <c r="E2223" s="8"/>
      <c r="F2223" s="133"/>
      <c r="G2223" s="200"/>
      <c r="H2223" s="200"/>
    </row>
    <row r="2224" spans="1:16" ht="15.75" thickBot="1" x14ac:dyDescent="0.3">
      <c r="A2224" s="133"/>
      <c r="B2224" s="224" t="s">
        <v>5403</v>
      </c>
      <c r="C2224" s="193" t="s">
        <v>867</v>
      </c>
      <c r="D2224" s="193" t="s">
        <v>6</v>
      </c>
      <c r="E2224" s="193" t="s">
        <v>5439</v>
      </c>
      <c r="F2224" s="193" t="s">
        <v>5405</v>
      </c>
      <c r="G2224" s="225" t="s">
        <v>868</v>
      </c>
      <c r="H2224" s="200"/>
    </row>
    <row r="2225" spans="1:8" x14ac:dyDescent="0.25">
      <c r="A2225" s="133"/>
      <c r="B2225" s="195" t="s">
        <v>5440</v>
      </c>
      <c r="C2225" s="226" t="s">
        <v>5402</v>
      </c>
      <c r="D2225" s="226">
        <v>1</v>
      </c>
      <c r="E2225" s="263">
        <f>+H2263</f>
        <v>9055.1333333333332</v>
      </c>
      <c r="F2225" s="226">
        <v>0.1</v>
      </c>
      <c r="G2225" s="229">
        <f>+E2225*F2225</f>
        <v>905.51333333333332</v>
      </c>
      <c r="H2225" s="200"/>
    </row>
    <row r="2226" spans="1:8" x14ac:dyDescent="0.25">
      <c r="A2226" s="133"/>
      <c r="B2226" s="195"/>
      <c r="C2226" s="226"/>
      <c r="D2226" s="226"/>
      <c r="E2226" s="264"/>
      <c r="F2226" s="226"/>
      <c r="G2226" s="229"/>
      <c r="H2226" s="200"/>
    </row>
    <row r="2227" spans="1:8" x14ac:dyDescent="0.25">
      <c r="A2227" s="133"/>
      <c r="B2227" s="195"/>
      <c r="C2227" s="226"/>
      <c r="D2227" s="226"/>
      <c r="E2227" s="176"/>
      <c r="F2227" s="226"/>
      <c r="G2227" s="229"/>
      <c r="H2227" s="200"/>
    </row>
    <row r="2228" spans="1:8" x14ac:dyDescent="0.25">
      <c r="A2228" s="133"/>
      <c r="B2228" s="195"/>
      <c r="C2228" s="226"/>
      <c r="D2228" s="226"/>
      <c r="E2228" s="171"/>
      <c r="F2228" s="226"/>
      <c r="G2228" s="231"/>
      <c r="H2228" s="200"/>
    </row>
    <row r="2229" spans="1:8" x14ac:dyDescent="0.25">
      <c r="A2229" s="133"/>
      <c r="B2229" s="195"/>
      <c r="C2229" s="226"/>
      <c r="D2229" s="232"/>
      <c r="E2229" s="232"/>
      <c r="F2229" s="226"/>
      <c r="G2229" s="229"/>
      <c r="H2229" s="200"/>
    </row>
    <row r="2230" spans="1:8" ht="15.75" thickBot="1" x14ac:dyDescent="0.3">
      <c r="A2230" s="133"/>
      <c r="B2230" s="195"/>
      <c r="C2230" s="226"/>
      <c r="D2230" s="232"/>
      <c r="E2230" s="232"/>
      <c r="F2230" s="226"/>
      <c r="G2230" s="229"/>
      <c r="H2230" s="200"/>
    </row>
    <row r="2231" spans="1:8" ht="15.75" thickBot="1" x14ac:dyDescent="0.3">
      <c r="A2231" s="133"/>
      <c r="B2231" s="233"/>
      <c r="C2231" s="234"/>
      <c r="D2231" s="234"/>
      <c r="E2231" s="234"/>
      <c r="F2231" s="235"/>
      <c r="G2231" s="236"/>
      <c r="H2231" s="237">
        <f>+SUM(G2225:G2231)</f>
        <v>905.51333333333332</v>
      </c>
    </row>
    <row r="2232" spans="1:8" ht="15.75" thickBot="1" x14ac:dyDescent="0.3">
      <c r="A2232" s="133"/>
      <c r="B2232" s="238"/>
      <c r="C2232" s="238"/>
      <c r="D2232" s="238"/>
      <c r="E2232" s="238"/>
      <c r="F2232" s="239"/>
      <c r="G2232" s="240"/>
      <c r="H2232" s="241"/>
    </row>
    <row r="2233" spans="1:8" ht="15.75" thickBot="1" x14ac:dyDescent="0.3">
      <c r="A2233" s="133"/>
      <c r="B2233" s="224" t="s">
        <v>5408</v>
      </c>
      <c r="C2233" s="193" t="s">
        <v>867</v>
      </c>
      <c r="D2233" s="193" t="s">
        <v>6</v>
      </c>
      <c r="E2233" s="193" t="s">
        <v>870</v>
      </c>
      <c r="F2233" s="193" t="s">
        <v>5409</v>
      </c>
      <c r="G2233" s="225" t="s">
        <v>868</v>
      </c>
      <c r="H2233" s="200"/>
    </row>
    <row r="2234" spans="1:8" x14ac:dyDescent="0.25">
      <c r="A2234" s="133"/>
      <c r="B2234" s="295"/>
      <c r="C2234" s="202"/>
      <c r="D2234" s="226"/>
      <c r="E2234" s="244"/>
      <c r="F2234" s="169"/>
      <c r="G2234" s="178">
        <f>+D2234*E2234*(1+F2234)</f>
        <v>0</v>
      </c>
      <c r="H2234" s="200"/>
    </row>
    <row r="2235" spans="1:8" x14ac:dyDescent="0.25">
      <c r="A2235" s="133"/>
      <c r="B2235" s="450"/>
      <c r="C2235" s="202"/>
      <c r="D2235" s="202"/>
      <c r="E2235" s="257"/>
      <c r="F2235" s="169"/>
      <c r="G2235" s="178">
        <f>+D2235*E2235*(1+F2235)</f>
        <v>0</v>
      </c>
      <c r="H2235" s="200"/>
    </row>
    <row r="2236" spans="1:8" x14ac:dyDescent="0.25">
      <c r="A2236" s="133"/>
      <c r="B2236" s="247"/>
      <c r="C2236" s="226"/>
      <c r="D2236" s="226"/>
      <c r="E2236" s="244"/>
      <c r="F2236" s="169"/>
      <c r="G2236" s="178">
        <f>+D2236*E2236*(1+F2236)</f>
        <v>0</v>
      </c>
      <c r="H2236" s="200"/>
    </row>
    <row r="2237" spans="1:8" x14ac:dyDescent="0.25">
      <c r="A2237" s="133"/>
      <c r="B2237" s="194"/>
      <c r="C2237" s="226"/>
      <c r="D2237" s="226"/>
      <c r="E2237" s="171"/>
      <c r="F2237" s="169"/>
      <c r="G2237" s="178">
        <f>+D2237*E2237*(1+F2237)</f>
        <v>0</v>
      </c>
      <c r="H2237" s="200"/>
    </row>
    <row r="2238" spans="1:8" x14ac:dyDescent="0.25">
      <c r="A2238" s="133"/>
      <c r="B2238" s="195"/>
      <c r="C2238" s="226"/>
      <c r="D2238" s="226"/>
      <c r="E2238" s="171"/>
      <c r="F2238" s="169"/>
      <c r="G2238" s="178"/>
      <c r="H2238" s="200"/>
    </row>
    <row r="2239" spans="1:8" x14ac:dyDescent="0.25">
      <c r="A2239" s="133"/>
      <c r="B2239" s="194"/>
      <c r="C2239" s="202"/>
      <c r="D2239" s="202"/>
      <c r="E2239" s="171"/>
      <c r="F2239" s="169"/>
      <c r="G2239" s="178"/>
      <c r="H2239" s="200"/>
    </row>
    <row r="2240" spans="1:8" x14ac:dyDescent="0.25">
      <c r="A2240" s="133"/>
      <c r="B2240" s="195"/>
      <c r="C2240" s="226"/>
      <c r="D2240" s="226"/>
      <c r="E2240" s="171"/>
      <c r="F2240" s="169"/>
      <c r="G2240" s="178"/>
      <c r="H2240" s="200"/>
    </row>
    <row r="2241" spans="1:8" x14ac:dyDescent="0.25">
      <c r="A2241" s="133"/>
      <c r="B2241" s="195"/>
      <c r="C2241" s="226"/>
      <c r="D2241" s="226"/>
      <c r="E2241" s="171"/>
      <c r="F2241" s="169"/>
      <c r="G2241" s="178"/>
      <c r="H2241" s="200"/>
    </row>
    <row r="2242" spans="1:8" x14ac:dyDescent="0.25">
      <c r="A2242" s="133"/>
      <c r="B2242" s="195"/>
      <c r="C2242" s="232"/>
      <c r="D2242" s="232"/>
      <c r="E2242" s="232"/>
      <c r="F2242" s="226"/>
      <c r="G2242" s="229"/>
      <c r="H2242" s="200"/>
    </row>
    <row r="2243" spans="1:8" x14ac:dyDescent="0.25">
      <c r="A2243" s="133"/>
      <c r="B2243" s="195"/>
      <c r="C2243" s="232"/>
      <c r="D2243" s="232"/>
      <c r="E2243" s="232"/>
      <c r="F2243" s="226"/>
      <c r="G2243" s="229"/>
      <c r="H2243" s="200"/>
    </row>
    <row r="2244" spans="1:8" x14ac:dyDescent="0.25">
      <c r="A2244" s="133"/>
      <c r="B2244" s="195"/>
      <c r="C2244" s="232"/>
      <c r="D2244" s="232"/>
      <c r="E2244" s="232"/>
      <c r="F2244" s="226"/>
      <c r="G2244" s="229"/>
      <c r="H2244" s="200"/>
    </row>
    <row r="2245" spans="1:8" ht="15.75" thickBot="1" x14ac:dyDescent="0.3">
      <c r="A2245" s="133"/>
      <c r="B2245" s="195"/>
      <c r="C2245" s="232"/>
      <c r="D2245" s="232"/>
      <c r="E2245" s="232"/>
      <c r="F2245" s="226"/>
      <c r="G2245" s="229"/>
      <c r="H2245" s="200"/>
    </row>
    <row r="2246" spans="1:8" ht="15.75" thickBot="1" x14ac:dyDescent="0.3">
      <c r="A2246" s="133"/>
      <c r="B2246" s="233"/>
      <c r="C2246" s="234"/>
      <c r="D2246" s="234"/>
      <c r="E2246" s="234"/>
      <c r="F2246" s="235"/>
      <c r="G2246" s="236"/>
      <c r="H2246" s="256">
        <f>+SUM(G2234:G2246)</f>
        <v>0</v>
      </c>
    </row>
    <row r="2247" spans="1:8" ht="15.75" thickBot="1" x14ac:dyDescent="0.3">
      <c r="A2247" s="133"/>
      <c r="B2247" s="238"/>
      <c r="C2247" s="238"/>
      <c r="D2247" s="238"/>
      <c r="E2247" s="238"/>
      <c r="F2247" s="239"/>
      <c r="G2247" s="240"/>
      <c r="H2247" s="241"/>
    </row>
    <row r="2248" spans="1:8" ht="15.75" thickBot="1" x14ac:dyDescent="0.3">
      <c r="A2248" s="133"/>
      <c r="B2248" s="224" t="s">
        <v>5410</v>
      </c>
      <c r="C2248" s="193" t="s">
        <v>867</v>
      </c>
      <c r="D2248" s="193" t="s">
        <v>6</v>
      </c>
      <c r="E2248" s="193" t="s">
        <v>870</v>
      </c>
      <c r="F2248" s="193" t="s">
        <v>5411</v>
      </c>
      <c r="G2248" s="225" t="s">
        <v>868</v>
      </c>
      <c r="H2248" s="200"/>
    </row>
    <row r="2249" spans="1:8" x14ac:dyDescent="0.25">
      <c r="A2249" s="133"/>
      <c r="B2249" s="245"/>
      <c r="C2249" s="202"/>
      <c r="D2249" s="202"/>
      <c r="E2249" s="175"/>
      <c r="F2249" s="202"/>
      <c r="G2249" s="203"/>
      <c r="H2249" s="246"/>
    </row>
    <row r="2250" spans="1:8" x14ac:dyDescent="0.25">
      <c r="A2250" s="133"/>
      <c r="B2250" s="247"/>
      <c r="C2250" s="248"/>
      <c r="D2250" s="248"/>
      <c r="E2250" s="248"/>
      <c r="F2250" s="202"/>
      <c r="G2250" s="178"/>
      <c r="H2250" s="200"/>
    </row>
    <row r="2251" spans="1:8" x14ac:dyDescent="0.25">
      <c r="A2251" s="133"/>
      <c r="B2251" s="247"/>
      <c r="C2251" s="232"/>
      <c r="D2251" s="232"/>
      <c r="E2251" s="232"/>
      <c r="F2251" s="226"/>
      <c r="G2251" s="229"/>
      <c r="H2251" s="200"/>
    </row>
    <row r="2252" spans="1:8" x14ac:dyDescent="0.25">
      <c r="A2252" s="133"/>
      <c r="B2252" s="194"/>
      <c r="C2252" s="232"/>
      <c r="D2252" s="232"/>
      <c r="E2252" s="232"/>
      <c r="F2252" s="226"/>
      <c r="G2252" s="229"/>
      <c r="H2252" s="200"/>
    </row>
    <row r="2253" spans="1:8" ht="15.75" thickBot="1" x14ac:dyDescent="0.3">
      <c r="A2253" s="133"/>
      <c r="B2253" s="195"/>
      <c r="C2253" s="232"/>
      <c r="D2253" s="232"/>
      <c r="E2253" s="232"/>
      <c r="F2253" s="226"/>
      <c r="G2253" s="229"/>
      <c r="H2253" s="200"/>
    </row>
    <row r="2254" spans="1:8" ht="15.75" thickBot="1" x14ac:dyDescent="0.3">
      <c r="A2254" s="133"/>
      <c r="B2254" s="233"/>
      <c r="C2254" s="234"/>
      <c r="D2254" s="234"/>
      <c r="E2254" s="234"/>
      <c r="F2254" s="235"/>
      <c r="G2254" s="236"/>
      <c r="H2254" s="237">
        <f>+SUM(G2249:G2254)</f>
        <v>0</v>
      </c>
    </row>
    <row r="2255" spans="1:8" ht="15.75" thickBot="1" x14ac:dyDescent="0.3">
      <c r="A2255" s="133"/>
      <c r="B2255" s="238"/>
      <c r="C2255" s="238"/>
      <c r="D2255" s="238"/>
      <c r="E2255" s="238"/>
      <c r="F2255" s="249"/>
      <c r="G2255" s="250"/>
      <c r="H2255" s="241"/>
    </row>
    <row r="2256" spans="1:8" ht="15.75" thickBot="1" x14ac:dyDescent="0.3">
      <c r="A2256" s="133"/>
      <c r="B2256" s="224" t="s">
        <v>5412</v>
      </c>
      <c r="C2256" s="193" t="s">
        <v>5420</v>
      </c>
      <c r="D2256" s="193" t="s">
        <v>5421</v>
      </c>
      <c r="E2256" s="193" t="s">
        <v>5413</v>
      </c>
      <c r="F2256" s="193" t="s">
        <v>5405</v>
      </c>
      <c r="G2256" s="225" t="s">
        <v>868</v>
      </c>
      <c r="H2256" s="200"/>
    </row>
    <row r="2257" spans="1:8" x14ac:dyDescent="0.25">
      <c r="A2257" s="133"/>
      <c r="B2257" s="194" t="s">
        <v>5948</v>
      </c>
      <c r="C2257" s="345">
        <v>70000</v>
      </c>
      <c r="D2257" s="176">
        <f>+C2257*0.85</f>
        <v>59500</v>
      </c>
      <c r="E2257" s="176">
        <f>+C2257+D2257</f>
        <v>129500</v>
      </c>
      <c r="F2257" s="204">
        <v>1500</v>
      </c>
      <c r="G2257" s="178">
        <f>+E2257/F2257</f>
        <v>86.333333333333329</v>
      </c>
      <c r="H2257" s="200"/>
    </row>
    <row r="2258" spans="1:8" x14ac:dyDescent="0.25">
      <c r="A2258" s="133"/>
      <c r="B2258" s="194" t="s">
        <v>5651</v>
      </c>
      <c r="C2258" s="345">
        <v>40000</v>
      </c>
      <c r="D2258" s="176">
        <f>+C2258*0.85</f>
        <v>34000</v>
      </c>
      <c r="E2258" s="176">
        <f>+C2258+D2258</f>
        <v>74000</v>
      </c>
      <c r="F2258" s="202">
        <v>12.5</v>
      </c>
      <c r="G2258" s="178">
        <f>+E2258/F2258</f>
        <v>5920</v>
      </c>
      <c r="H2258" s="200"/>
    </row>
    <row r="2259" spans="1:8" x14ac:dyDescent="0.25">
      <c r="A2259" s="133"/>
      <c r="B2259" s="195" t="s">
        <v>5635</v>
      </c>
      <c r="C2259" s="345">
        <v>20600</v>
      </c>
      <c r="D2259" s="176">
        <f>+C2259*0.85</f>
        <v>17510</v>
      </c>
      <c r="E2259" s="176">
        <f>+C2259+D2259</f>
        <v>38110</v>
      </c>
      <c r="F2259" s="226">
        <v>12.5</v>
      </c>
      <c r="G2259" s="178">
        <f>+E2259/F2259</f>
        <v>3048.8</v>
      </c>
      <c r="H2259" s="200"/>
    </row>
    <row r="2260" spans="1:8" x14ac:dyDescent="0.25">
      <c r="A2260" s="133"/>
      <c r="B2260" s="195"/>
      <c r="C2260" s="171"/>
      <c r="D2260" s="176"/>
      <c r="E2260" s="176"/>
      <c r="F2260" s="226"/>
      <c r="G2260" s="178"/>
      <c r="H2260" s="200"/>
    </row>
    <row r="2261" spans="1:8" x14ac:dyDescent="0.25">
      <c r="A2261" s="133"/>
      <c r="B2261" s="195"/>
      <c r="C2261" s="232"/>
      <c r="D2261" s="232"/>
      <c r="E2261" s="232"/>
      <c r="F2261" s="226"/>
      <c r="G2261" s="229"/>
      <c r="H2261" s="200"/>
    </row>
    <row r="2262" spans="1:8" ht="15.75" thickBot="1" x14ac:dyDescent="0.3">
      <c r="A2262" s="133"/>
      <c r="B2262" s="195"/>
      <c r="C2262" s="232"/>
      <c r="D2262" s="232"/>
      <c r="E2262" s="232"/>
      <c r="F2262" s="226"/>
      <c r="G2262" s="229"/>
      <c r="H2262" s="200"/>
    </row>
    <row r="2263" spans="1:8" ht="15.75" thickBot="1" x14ac:dyDescent="0.3">
      <c r="A2263" s="133"/>
      <c r="B2263" s="251"/>
      <c r="C2263" s="252"/>
      <c r="D2263" s="252"/>
      <c r="E2263" s="252"/>
      <c r="F2263" s="253"/>
      <c r="G2263" s="254"/>
      <c r="H2263" s="256">
        <f>+SUM(G2257:G2263)</f>
        <v>9055.1333333333332</v>
      </c>
    </row>
    <row r="2264" spans="1:8" ht="15.75" thickBot="1" x14ac:dyDescent="0.3">
      <c r="A2264" s="133"/>
      <c r="B2264" s="8"/>
      <c r="C2264" s="8"/>
      <c r="D2264" s="8"/>
      <c r="E2264" s="8"/>
      <c r="F2264" s="133"/>
      <c r="G2264" s="200"/>
      <c r="H2264" s="200"/>
    </row>
    <row r="2265" spans="1:8" ht="15.75" thickBot="1" x14ac:dyDescent="0.3">
      <c r="A2265" s="133"/>
      <c r="B2265" s="8"/>
      <c r="C2265" s="8"/>
      <c r="D2265" s="8"/>
      <c r="E2265" s="223" t="s">
        <v>5415</v>
      </c>
      <c r="F2265" s="133"/>
      <c r="G2265" s="200"/>
      <c r="H2265" s="256">
        <f>ROUND(+H2263+H2254+H2246+H2231,0)</f>
        <v>9961</v>
      </c>
    </row>
    <row r="2266" spans="1:8" x14ac:dyDescent="0.25">
      <c r="A2266" s="265"/>
      <c r="B2266" s="265"/>
      <c r="C2266" s="265"/>
      <c r="D2266" s="265"/>
      <c r="E2266" s="265"/>
      <c r="F2266" s="265"/>
      <c r="G2266" s="265"/>
      <c r="H2266" s="265"/>
    </row>
    <row r="2267" spans="1:8" x14ac:dyDescent="0.25">
      <c r="A2267" s="265"/>
      <c r="B2267" s="265"/>
      <c r="C2267" s="265"/>
      <c r="D2267" s="265"/>
      <c r="E2267" s="265"/>
      <c r="F2267" s="265"/>
      <c r="G2267" s="265"/>
      <c r="H2267" s="265"/>
    </row>
    <row r="2268" spans="1:8" x14ac:dyDescent="0.25">
      <c r="A2268" s="265"/>
      <c r="B2268" s="265"/>
      <c r="C2268" s="265"/>
      <c r="D2268" s="265"/>
      <c r="E2268" s="265"/>
      <c r="F2268" s="265"/>
      <c r="G2268" s="265"/>
      <c r="H2268" s="265"/>
    </row>
    <row r="2269" spans="1:8" x14ac:dyDescent="0.25">
      <c r="A2269" s="265"/>
      <c r="B2269" s="265"/>
      <c r="C2269" s="265"/>
      <c r="D2269" s="265"/>
      <c r="E2269" s="265"/>
      <c r="F2269" s="265"/>
      <c r="G2269" s="265"/>
      <c r="H2269" s="265"/>
    </row>
    <row r="2270" spans="1:8" ht="18.75" x14ac:dyDescent="0.25">
      <c r="A2270" s="133"/>
      <c r="B2270" s="2506" t="s">
        <v>5400</v>
      </c>
      <c r="C2270" s="2506"/>
      <c r="D2270" s="2506"/>
      <c r="E2270" s="2506"/>
      <c r="F2270" s="2506"/>
      <c r="G2270" s="2506"/>
      <c r="H2270" s="8"/>
    </row>
    <row r="2271" spans="1:8" x14ac:dyDescent="0.25">
      <c r="A2271" s="133"/>
      <c r="B2271" s="8"/>
      <c r="C2271" s="8"/>
      <c r="D2271" s="8"/>
      <c r="E2271" s="8"/>
      <c r="F2271" s="133"/>
      <c r="G2271" s="200"/>
      <c r="H2271" s="200"/>
    </row>
    <row r="2272" spans="1:8" x14ac:dyDescent="0.25">
      <c r="A2272" s="133"/>
      <c r="B2272" s="8"/>
      <c r="C2272" s="8"/>
      <c r="D2272" s="8"/>
      <c r="E2272" s="8"/>
      <c r="F2272" s="133"/>
      <c r="G2272" s="200"/>
      <c r="H2272" s="200"/>
    </row>
    <row r="2273" spans="1:8" x14ac:dyDescent="0.25">
      <c r="A2273" s="133"/>
      <c r="B2273" s="8"/>
      <c r="C2273" s="8"/>
      <c r="D2273" s="8"/>
      <c r="E2273" s="8"/>
      <c r="F2273" s="133"/>
      <c r="G2273" s="200"/>
      <c r="H2273" s="200"/>
    </row>
    <row r="2274" spans="1:8" ht="15" customHeight="1" x14ac:dyDescent="0.25">
      <c r="A2274" s="220" t="s">
        <v>5482</v>
      </c>
      <c r="B2274" s="221" t="s">
        <v>489</v>
      </c>
      <c r="C2274" s="2449" t="s">
        <v>6128</v>
      </c>
      <c r="D2274" s="2449"/>
      <c r="E2274" s="2449"/>
      <c r="F2274" s="220" t="s">
        <v>867</v>
      </c>
      <c r="G2274" s="222" t="s">
        <v>5424</v>
      </c>
      <c r="H2274" s="200"/>
    </row>
    <row r="2275" spans="1:8" x14ac:dyDescent="0.25">
      <c r="A2275" s="133"/>
      <c r="B2275" s="8"/>
      <c r="C2275" s="223"/>
      <c r="D2275" s="223"/>
      <c r="E2275" s="223"/>
      <c r="F2275" s="133"/>
      <c r="G2275" s="200"/>
      <c r="H2275" s="200"/>
    </row>
    <row r="2276" spans="1:8" x14ac:dyDescent="0.25">
      <c r="A2276" s="133"/>
      <c r="B2276" s="8"/>
      <c r="C2276" s="8"/>
      <c r="D2276" s="8"/>
      <c r="E2276" s="8"/>
      <c r="F2276" s="8"/>
      <c r="G2276" s="8"/>
      <c r="H2276" s="200"/>
    </row>
    <row r="2277" spans="1:8" ht="15.75" thickBot="1" x14ac:dyDescent="0.3">
      <c r="A2277" s="133"/>
      <c r="B2277" s="8"/>
      <c r="C2277" s="8"/>
      <c r="D2277" s="8"/>
      <c r="E2277" s="8"/>
      <c r="F2277" s="133"/>
      <c r="G2277" s="200"/>
      <c r="H2277" s="200"/>
    </row>
    <row r="2278" spans="1:8" ht="15.75" thickBot="1" x14ac:dyDescent="0.3">
      <c r="A2278" s="133"/>
      <c r="B2278" s="224" t="s">
        <v>5403</v>
      </c>
      <c r="C2278" s="193" t="s">
        <v>867</v>
      </c>
      <c r="D2278" s="193" t="s">
        <v>6</v>
      </c>
      <c r="E2278" s="193" t="s">
        <v>5439</v>
      </c>
      <c r="F2278" s="193" t="s">
        <v>5405</v>
      </c>
      <c r="G2278" s="225" t="s">
        <v>868</v>
      </c>
      <c r="H2278" s="200"/>
    </row>
    <row r="2279" spans="1:8" x14ac:dyDescent="0.25">
      <c r="A2279" s="133"/>
      <c r="B2279" s="195" t="s">
        <v>5440</v>
      </c>
      <c r="C2279" s="226" t="s">
        <v>5402</v>
      </c>
      <c r="D2279" s="226">
        <v>1</v>
      </c>
      <c r="E2279" s="263">
        <f>+H2317</f>
        <v>11340.5</v>
      </c>
      <c r="F2279" s="226">
        <v>0.1</v>
      </c>
      <c r="G2279" s="229">
        <f>+E2279*F2279</f>
        <v>1134.05</v>
      </c>
      <c r="H2279" s="200"/>
    </row>
    <row r="2280" spans="1:8" x14ac:dyDescent="0.25">
      <c r="A2280" s="133"/>
      <c r="B2280" s="195"/>
      <c r="C2280" s="226"/>
      <c r="D2280" s="226"/>
      <c r="E2280" s="264"/>
      <c r="F2280" s="226"/>
      <c r="G2280" s="229"/>
      <c r="H2280" s="200"/>
    </row>
    <row r="2281" spans="1:8" x14ac:dyDescent="0.25">
      <c r="A2281" s="133"/>
      <c r="B2281" s="195"/>
      <c r="C2281" s="226"/>
      <c r="D2281" s="226"/>
      <c r="E2281" s="176"/>
      <c r="F2281" s="226"/>
      <c r="G2281" s="229"/>
      <c r="H2281" s="200"/>
    </row>
    <row r="2282" spans="1:8" x14ac:dyDescent="0.25">
      <c r="A2282" s="133"/>
      <c r="B2282" s="195"/>
      <c r="C2282" s="226"/>
      <c r="D2282" s="226"/>
      <c r="E2282" s="171"/>
      <c r="F2282" s="226"/>
      <c r="G2282" s="231"/>
      <c r="H2282" s="200"/>
    </row>
    <row r="2283" spans="1:8" x14ac:dyDescent="0.25">
      <c r="A2283" s="133"/>
      <c r="B2283" s="195"/>
      <c r="C2283" s="226"/>
      <c r="D2283" s="232"/>
      <c r="E2283" s="232"/>
      <c r="F2283" s="226"/>
      <c r="G2283" s="229"/>
      <c r="H2283" s="200"/>
    </row>
    <row r="2284" spans="1:8" ht="15.75" thickBot="1" x14ac:dyDescent="0.3">
      <c r="A2284" s="133"/>
      <c r="B2284" s="195"/>
      <c r="C2284" s="226"/>
      <c r="D2284" s="232"/>
      <c r="E2284" s="232"/>
      <c r="F2284" s="226"/>
      <c r="G2284" s="229"/>
      <c r="H2284" s="200"/>
    </row>
    <row r="2285" spans="1:8" ht="15.75" thickBot="1" x14ac:dyDescent="0.3">
      <c r="A2285" s="133"/>
      <c r="B2285" s="233"/>
      <c r="C2285" s="234"/>
      <c r="D2285" s="234"/>
      <c r="E2285" s="234"/>
      <c r="F2285" s="235"/>
      <c r="G2285" s="236"/>
      <c r="H2285" s="237">
        <f>+SUM(G2279:G2285)</f>
        <v>1134.05</v>
      </c>
    </row>
    <row r="2286" spans="1:8" ht="15.75" thickBot="1" x14ac:dyDescent="0.3">
      <c r="A2286" s="133"/>
      <c r="B2286" s="238"/>
      <c r="C2286" s="238"/>
      <c r="D2286" s="238"/>
      <c r="E2286" s="238"/>
      <c r="F2286" s="239"/>
      <c r="G2286" s="240"/>
      <c r="H2286" s="241"/>
    </row>
    <row r="2287" spans="1:8" ht="15.75" thickBot="1" x14ac:dyDescent="0.3">
      <c r="A2287" s="133"/>
      <c r="B2287" s="224" t="s">
        <v>5408</v>
      </c>
      <c r="C2287" s="193" t="s">
        <v>867</v>
      </c>
      <c r="D2287" s="193" t="s">
        <v>6</v>
      </c>
      <c r="E2287" s="193" t="s">
        <v>870</v>
      </c>
      <c r="F2287" s="193" t="s">
        <v>5409</v>
      </c>
      <c r="G2287" s="225" t="s">
        <v>868</v>
      </c>
      <c r="H2287" s="200"/>
    </row>
    <row r="2288" spans="1:8" x14ac:dyDescent="0.25">
      <c r="A2288" s="133"/>
      <c r="B2288" s="295"/>
      <c r="C2288" s="202"/>
      <c r="D2288" s="226"/>
      <c r="E2288" s="244"/>
      <c r="F2288" s="169"/>
      <c r="G2288" s="178">
        <f>+D2288*E2288*(1+F2288)</f>
        <v>0</v>
      </c>
      <c r="H2288" s="200"/>
    </row>
    <row r="2289" spans="1:8" x14ac:dyDescent="0.25">
      <c r="A2289" s="133"/>
      <c r="B2289" s="450"/>
      <c r="C2289" s="202"/>
      <c r="D2289" s="202"/>
      <c r="E2289" s="257"/>
      <c r="F2289" s="169"/>
      <c r="G2289" s="178">
        <f>+D2289*E2289*(1+F2289)</f>
        <v>0</v>
      </c>
      <c r="H2289" s="200"/>
    </row>
    <row r="2290" spans="1:8" x14ac:dyDescent="0.25">
      <c r="A2290" s="133"/>
      <c r="B2290" s="247"/>
      <c r="C2290" s="226"/>
      <c r="D2290" s="226"/>
      <c r="E2290" s="244"/>
      <c r="F2290" s="169"/>
      <c r="G2290" s="178">
        <f>+D2290*E2290*(1+F2290)</f>
        <v>0</v>
      </c>
      <c r="H2290" s="200"/>
    </row>
    <row r="2291" spans="1:8" x14ac:dyDescent="0.25">
      <c r="A2291" s="133"/>
      <c r="B2291" s="194"/>
      <c r="C2291" s="226"/>
      <c r="D2291" s="226"/>
      <c r="E2291" s="171"/>
      <c r="F2291" s="169"/>
      <c r="G2291" s="178">
        <f>+D2291*E2291*(1+F2291)</f>
        <v>0</v>
      </c>
      <c r="H2291" s="200"/>
    </row>
    <row r="2292" spans="1:8" x14ac:dyDescent="0.25">
      <c r="A2292" s="133"/>
      <c r="B2292" s="195"/>
      <c r="C2292" s="226"/>
      <c r="D2292" s="226"/>
      <c r="E2292" s="171"/>
      <c r="F2292" s="169"/>
      <c r="G2292" s="178"/>
      <c r="H2292" s="200"/>
    </row>
    <row r="2293" spans="1:8" x14ac:dyDescent="0.25">
      <c r="A2293" s="133"/>
      <c r="B2293" s="194"/>
      <c r="C2293" s="202"/>
      <c r="D2293" s="202"/>
      <c r="E2293" s="171"/>
      <c r="F2293" s="169"/>
      <c r="G2293" s="178"/>
      <c r="H2293" s="200"/>
    </row>
    <row r="2294" spans="1:8" x14ac:dyDescent="0.25">
      <c r="A2294" s="133"/>
      <c r="B2294" s="195"/>
      <c r="C2294" s="226"/>
      <c r="D2294" s="226"/>
      <c r="E2294" s="171"/>
      <c r="F2294" s="169"/>
      <c r="G2294" s="178"/>
      <c r="H2294" s="200"/>
    </row>
    <row r="2295" spans="1:8" x14ac:dyDescent="0.25">
      <c r="A2295" s="133"/>
      <c r="B2295" s="195"/>
      <c r="C2295" s="226"/>
      <c r="D2295" s="226"/>
      <c r="E2295" s="171"/>
      <c r="F2295" s="169"/>
      <c r="G2295" s="178"/>
      <c r="H2295" s="200"/>
    </row>
    <row r="2296" spans="1:8" x14ac:dyDescent="0.25">
      <c r="A2296" s="133"/>
      <c r="B2296" s="195"/>
      <c r="C2296" s="232"/>
      <c r="D2296" s="232"/>
      <c r="E2296" s="232"/>
      <c r="F2296" s="226"/>
      <c r="G2296" s="229"/>
      <c r="H2296" s="200"/>
    </row>
    <row r="2297" spans="1:8" x14ac:dyDescent="0.25">
      <c r="A2297" s="133"/>
      <c r="B2297" s="195"/>
      <c r="C2297" s="232"/>
      <c r="D2297" s="232"/>
      <c r="E2297" s="232"/>
      <c r="F2297" s="226"/>
      <c r="G2297" s="229"/>
      <c r="H2297" s="200"/>
    </row>
    <row r="2298" spans="1:8" x14ac:dyDescent="0.25">
      <c r="A2298" s="133"/>
      <c r="B2298" s="195"/>
      <c r="C2298" s="232"/>
      <c r="D2298" s="232"/>
      <c r="E2298" s="232"/>
      <c r="F2298" s="226"/>
      <c r="G2298" s="229"/>
      <c r="H2298" s="200"/>
    </row>
    <row r="2299" spans="1:8" ht="15.75" thickBot="1" x14ac:dyDescent="0.3">
      <c r="A2299" s="133"/>
      <c r="B2299" s="195"/>
      <c r="C2299" s="232"/>
      <c r="D2299" s="232"/>
      <c r="E2299" s="232"/>
      <c r="F2299" s="226"/>
      <c r="G2299" s="229"/>
      <c r="H2299" s="200"/>
    </row>
    <row r="2300" spans="1:8" ht="15.75" thickBot="1" x14ac:dyDescent="0.3">
      <c r="A2300" s="133"/>
      <c r="B2300" s="233"/>
      <c r="C2300" s="234"/>
      <c r="D2300" s="234"/>
      <c r="E2300" s="234"/>
      <c r="F2300" s="235"/>
      <c r="G2300" s="236"/>
      <c r="H2300" s="256">
        <f>+SUM(G2288:G2300)</f>
        <v>0</v>
      </c>
    </row>
    <row r="2301" spans="1:8" ht="15.75" thickBot="1" x14ac:dyDescent="0.3">
      <c r="A2301" s="133"/>
      <c r="B2301" s="238"/>
      <c r="C2301" s="238"/>
      <c r="D2301" s="238"/>
      <c r="E2301" s="238"/>
      <c r="F2301" s="239"/>
      <c r="G2301" s="240"/>
      <c r="H2301" s="241"/>
    </row>
    <row r="2302" spans="1:8" ht="15.75" thickBot="1" x14ac:dyDescent="0.3">
      <c r="A2302" s="133"/>
      <c r="B2302" s="224" t="s">
        <v>5410</v>
      </c>
      <c r="C2302" s="193" t="s">
        <v>867</v>
      </c>
      <c r="D2302" s="193" t="s">
        <v>6</v>
      </c>
      <c r="E2302" s="193" t="s">
        <v>870</v>
      </c>
      <c r="F2302" s="193" t="s">
        <v>5411</v>
      </c>
      <c r="G2302" s="225" t="s">
        <v>868</v>
      </c>
      <c r="H2302" s="200"/>
    </row>
    <row r="2303" spans="1:8" x14ac:dyDescent="0.25">
      <c r="A2303" s="133"/>
      <c r="B2303" s="245"/>
      <c r="C2303" s="202"/>
      <c r="D2303" s="202"/>
      <c r="E2303" s="175"/>
      <c r="F2303" s="202"/>
      <c r="G2303" s="203"/>
      <c r="H2303" s="246"/>
    </row>
    <row r="2304" spans="1:8" x14ac:dyDescent="0.25">
      <c r="A2304" s="133"/>
      <c r="B2304" s="247"/>
      <c r="C2304" s="248"/>
      <c r="D2304" s="248"/>
      <c r="E2304" s="248"/>
      <c r="F2304" s="202"/>
      <c r="G2304" s="178"/>
      <c r="H2304" s="200"/>
    </row>
    <row r="2305" spans="1:8" x14ac:dyDescent="0.25">
      <c r="A2305" s="133"/>
      <c r="B2305" s="247"/>
      <c r="C2305" s="232"/>
      <c r="D2305" s="232"/>
      <c r="E2305" s="232"/>
      <c r="F2305" s="226"/>
      <c r="G2305" s="229"/>
      <c r="H2305" s="200"/>
    </row>
    <row r="2306" spans="1:8" x14ac:dyDescent="0.25">
      <c r="A2306" s="133"/>
      <c r="B2306" s="194"/>
      <c r="C2306" s="232"/>
      <c r="D2306" s="232"/>
      <c r="E2306" s="232"/>
      <c r="F2306" s="226"/>
      <c r="G2306" s="229"/>
      <c r="H2306" s="200"/>
    </row>
    <row r="2307" spans="1:8" ht="15.75" thickBot="1" x14ac:dyDescent="0.3">
      <c r="A2307" s="133"/>
      <c r="B2307" s="195"/>
      <c r="C2307" s="232"/>
      <c r="D2307" s="232"/>
      <c r="E2307" s="232"/>
      <c r="F2307" s="226"/>
      <c r="G2307" s="229"/>
      <c r="H2307" s="200"/>
    </row>
    <row r="2308" spans="1:8" ht="15.75" thickBot="1" x14ac:dyDescent="0.3">
      <c r="A2308" s="133"/>
      <c r="B2308" s="233"/>
      <c r="C2308" s="234"/>
      <c r="D2308" s="234"/>
      <c r="E2308" s="234"/>
      <c r="F2308" s="235"/>
      <c r="G2308" s="236"/>
      <c r="H2308" s="237">
        <f>+SUM(G2303:G2308)</f>
        <v>0</v>
      </c>
    </row>
    <row r="2309" spans="1:8" ht="15.75" thickBot="1" x14ac:dyDescent="0.3">
      <c r="A2309" s="133"/>
      <c r="B2309" s="238"/>
      <c r="C2309" s="238"/>
      <c r="D2309" s="238"/>
      <c r="E2309" s="238"/>
      <c r="F2309" s="249"/>
      <c r="G2309" s="250"/>
      <c r="H2309" s="241"/>
    </row>
    <row r="2310" spans="1:8" ht="15.75" thickBot="1" x14ac:dyDescent="0.3">
      <c r="A2310" s="133"/>
      <c r="B2310" s="224" t="s">
        <v>5412</v>
      </c>
      <c r="C2310" s="193" t="s">
        <v>5420</v>
      </c>
      <c r="D2310" s="193" t="s">
        <v>5421</v>
      </c>
      <c r="E2310" s="193" t="s">
        <v>5413</v>
      </c>
      <c r="F2310" s="193" t="s">
        <v>5405</v>
      </c>
      <c r="G2310" s="225" t="s">
        <v>868</v>
      </c>
      <c r="H2310" s="200"/>
    </row>
    <row r="2311" spans="1:8" x14ac:dyDescent="0.25">
      <c r="A2311" s="133"/>
      <c r="B2311" s="194" t="s">
        <v>5948</v>
      </c>
      <c r="C2311" s="345">
        <v>70000</v>
      </c>
      <c r="D2311" s="176">
        <f>+C2311*0.85</f>
        <v>59500</v>
      </c>
      <c r="E2311" s="176">
        <f>+C2311+D2311</f>
        <v>129500</v>
      </c>
      <c r="F2311" s="204">
        <v>1000</v>
      </c>
      <c r="G2311" s="178">
        <f>+E2311/F2311</f>
        <v>129.5</v>
      </c>
      <c r="H2311" s="200"/>
    </row>
    <row r="2312" spans="1:8" x14ac:dyDescent="0.25">
      <c r="A2312" s="133"/>
      <c r="B2312" s="194" t="s">
        <v>5651</v>
      </c>
      <c r="C2312" s="345">
        <v>40000</v>
      </c>
      <c r="D2312" s="176">
        <f>+C2312*0.85</f>
        <v>34000</v>
      </c>
      <c r="E2312" s="176">
        <f>+C2312+D2312</f>
        <v>74000</v>
      </c>
      <c r="F2312" s="202">
        <v>10</v>
      </c>
      <c r="G2312" s="178">
        <f>+E2312/F2312</f>
        <v>7400</v>
      </c>
      <c r="H2312" s="200"/>
    </row>
    <row r="2313" spans="1:8" x14ac:dyDescent="0.25">
      <c r="A2313" s="133"/>
      <c r="B2313" s="195" t="s">
        <v>5635</v>
      </c>
      <c r="C2313" s="345">
        <v>20600</v>
      </c>
      <c r="D2313" s="176">
        <f>+C2313*0.85</f>
        <v>17510</v>
      </c>
      <c r="E2313" s="176">
        <f>+C2313+D2313</f>
        <v>38110</v>
      </c>
      <c r="F2313" s="226">
        <v>10</v>
      </c>
      <c r="G2313" s="178">
        <f>+E2313/F2313</f>
        <v>3811</v>
      </c>
      <c r="H2313" s="200"/>
    </row>
    <row r="2314" spans="1:8" x14ac:dyDescent="0.25">
      <c r="A2314" s="133"/>
      <c r="B2314" s="195"/>
      <c r="C2314" s="171"/>
      <c r="D2314" s="176"/>
      <c r="E2314" s="176"/>
      <c r="F2314" s="226"/>
      <c r="G2314" s="178"/>
      <c r="H2314" s="200"/>
    </row>
    <row r="2315" spans="1:8" x14ac:dyDescent="0.25">
      <c r="A2315" s="133"/>
      <c r="B2315" s="195"/>
      <c r="C2315" s="232"/>
      <c r="D2315" s="232"/>
      <c r="E2315" s="232"/>
      <c r="F2315" s="226"/>
      <c r="G2315" s="229"/>
      <c r="H2315" s="200"/>
    </row>
    <row r="2316" spans="1:8" ht="15.75" thickBot="1" x14ac:dyDescent="0.3">
      <c r="A2316" s="133"/>
      <c r="B2316" s="195"/>
      <c r="C2316" s="232"/>
      <c r="D2316" s="232"/>
      <c r="E2316" s="232"/>
      <c r="F2316" s="226"/>
      <c r="G2316" s="229"/>
      <c r="H2316" s="200"/>
    </row>
    <row r="2317" spans="1:8" ht="15.75" thickBot="1" x14ac:dyDescent="0.3">
      <c r="A2317" s="133"/>
      <c r="B2317" s="251"/>
      <c r="C2317" s="252"/>
      <c r="D2317" s="252"/>
      <c r="E2317" s="252"/>
      <c r="F2317" s="253"/>
      <c r="G2317" s="254"/>
      <c r="H2317" s="256">
        <f>+SUM(G2311:G2317)</f>
        <v>11340.5</v>
      </c>
    </row>
    <row r="2318" spans="1:8" ht="15.75" thickBot="1" x14ac:dyDescent="0.3">
      <c r="A2318" s="133"/>
      <c r="B2318" s="8"/>
      <c r="C2318" s="8"/>
      <c r="D2318" s="8"/>
      <c r="E2318" s="8"/>
      <c r="F2318" s="133"/>
      <c r="G2318" s="200"/>
      <c r="H2318" s="200"/>
    </row>
    <row r="2319" spans="1:8" ht="15.75" thickBot="1" x14ac:dyDescent="0.3">
      <c r="A2319" s="133"/>
      <c r="B2319" s="8"/>
      <c r="C2319" s="8"/>
      <c r="D2319" s="8"/>
      <c r="E2319" s="223" t="s">
        <v>5415</v>
      </c>
      <c r="F2319" s="133"/>
      <c r="G2319" s="200"/>
      <c r="H2319" s="256">
        <f>ROUND(+H2317+H2308+H2300+H2285,0)</f>
        <v>12475</v>
      </c>
    </row>
    <row r="2320" spans="1:8" x14ac:dyDescent="0.25">
      <c r="A2320" s="265"/>
      <c r="B2320" s="265"/>
      <c r="C2320" s="265"/>
      <c r="D2320" s="265"/>
      <c r="E2320" s="265"/>
      <c r="F2320" s="265"/>
      <c r="G2320" s="265"/>
      <c r="H2320" s="265"/>
    </row>
    <row r="2321" spans="1:8" x14ac:dyDescent="0.25">
      <c r="A2321" s="265"/>
      <c r="B2321" s="265"/>
      <c r="C2321" s="265"/>
      <c r="D2321" s="265"/>
      <c r="E2321" s="265"/>
      <c r="F2321" s="265"/>
      <c r="G2321" s="265"/>
      <c r="H2321" s="265"/>
    </row>
    <row r="2322" spans="1:8" x14ac:dyDescent="0.25">
      <c r="A2322" s="265"/>
      <c r="B2322" s="265"/>
      <c r="C2322" s="265"/>
      <c r="D2322" s="265"/>
      <c r="E2322" s="265"/>
      <c r="F2322" s="265"/>
      <c r="G2322" s="265"/>
      <c r="H2322" s="265"/>
    </row>
    <row r="2323" spans="1:8" x14ac:dyDescent="0.25">
      <c r="A2323" s="265"/>
      <c r="B2323" s="265"/>
      <c r="C2323" s="265"/>
      <c r="D2323" s="265"/>
      <c r="E2323" s="265"/>
      <c r="F2323" s="265"/>
      <c r="G2323" s="265"/>
      <c r="H2323" s="265"/>
    </row>
    <row r="2324" spans="1:8" ht="18.75" x14ac:dyDescent="0.25">
      <c r="A2324" s="133"/>
      <c r="B2324" s="2506" t="s">
        <v>5400</v>
      </c>
      <c r="C2324" s="2506"/>
      <c r="D2324" s="2506"/>
      <c r="E2324" s="2506"/>
      <c r="F2324" s="2506"/>
      <c r="G2324" s="2506"/>
      <c r="H2324" s="8"/>
    </row>
    <row r="2325" spans="1:8" x14ac:dyDescent="0.25">
      <c r="A2325" s="133"/>
      <c r="B2325" s="8"/>
      <c r="C2325" s="8"/>
      <c r="D2325" s="8"/>
      <c r="E2325" s="8"/>
      <c r="F2325" s="133"/>
      <c r="G2325" s="200"/>
      <c r="H2325" s="200"/>
    </row>
    <row r="2326" spans="1:8" x14ac:dyDescent="0.25">
      <c r="A2326" s="133"/>
      <c r="B2326" s="8"/>
      <c r="C2326" s="8"/>
      <c r="D2326" s="8"/>
      <c r="E2326" s="8"/>
      <c r="F2326" s="133"/>
      <c r="G2326" s="200"/>
      <c r="H2326" s="200"/>
    </row>
    <row r="2327" spans="1:8" x14ac:dyDescent="0.25">
      <c r="A2327" s="133"/>
      <c r="B2327" s="8"/>
      <c r="C2327" s="8"/>
      <c r="D2327" s="8"/>
      <c r="E2327" s="8"/>
      <c r="F2327" s="133"/>
      <c r="G2327" s="200"/>
      <c r="H2327" s="200"/>
    </row>
    <row r="2328" spans="1:8" ht="15" customHeight="1" x14ac:dyDescent="0.25">
      <c r="A2328" s="220" t="s">
        <v>5482</v>
      </c>
      <c r="B2328" s="221" t="s">
        <v>5014</v>
      </c>
      <c r="C2328" s="2449" t="s">
        <v>5517</v>
      </c>
      <c r="D2328" s="2449"/>
      <c r="E2328" s="2449"/>
      <c r="F2328" s="220" t="s">
        <v>867</v>
      </c>
      <c r="G2328" s="222" t="s">
        <v>5424</v>
      </c>
      <c r="H2328" s="200"/>
    </row>
    <row r="2329" spans="1:8" x14ac:dyDescent="0.25">
      <c r="A2329" s="133"/>
      <c r="B2329" s="8"/>
      <c r="C2329" s="223"/>
      <c r="D2329" s="223"/>
      <c r="E2329" s="223"/>
      <c r="F2329" s="133"/>
      <c r="G2329" s="200"/>
      <c r="H2329" s="200"/>
    </row>
    <row r="2330" spans="1:8" x14ac:dyDescent="0.25">
      <c r="A2330" s="133"/>
      <c r="B2330" s="8"/>
      <c r="C2330" s="8"/>
      <c r="D2330" s="8"/>
      <c r="E2330" s="8"/>
      <c r="F2330" s="8"/>
      <c r="G2330" s="8"/>
      <c r="H2330" s="200"/>
    </row>
    <row r="2331" spans="1:8" ht="15.75" thickBot="1" x14ac:dyDescent="0.3">
      <c r="A2331" s="133"/>
      <c r="B2331" s="8"/>
      <c r="C2331" s="8"/>
      <c r="D2331" s="8"/>
      <c r="E2331" s="8"/>
      <c r="F2331" s="133"/>
      <c r="G2331" s="200"/>
      <c r="H2331" s="200"/>
    </row>
    <row r="2332" spans="1:8" ht="15.75" thickBot="1" x14ac:dyDescent="0.3">
      <c r="A2332" s="133"/>
      <c r="B2332" s="224" t="s">
        <v>5403</v>
      </c>
      <c r="C2332" s="193" t="s">
        <v>867</v>
      </c>
      <c r="D2332" s="193" t="s">
        <v>6</v>
      </c>
      <c r="E2332" s="193" t="s">
        <v>5439</v>
      </c>
      <c r="F2332" s="193" t="s">
        <v>5405</v>
      </c>
      <c r="G2332" s="225" t="s">
        <v>868</v>
      </c>
      <c r="H2332" s="200"/>
    </row>
    <row r="2333" spans="1:8" x14ac:dyDescent="0.25">
      <c r="A2333" s="133"/>
      <c r="B2333" s="195" t="s">
        <v>5440</v>
      </c>
      <c r="C2333" s="226" t="s">
        <v>5402</v>
      </c>
      <c r="D2333" s="226">
        <v>1</v>
      </c>
      <c r="E2333" s="263">
        <f>+H2371</f>
        <v>14531.75</v>
      </c>
      <c r="F2333" s="226">
        <v>0.1</v>
      </c>
      <c r="G2333" s="229">
        <f>+E2333*F2333</f>
        <v>1453.1750000000002</v>
      </c>
      <c r="H2333" s="200"/>
    </row>
    <row r="2334" spans="1:8" x14ac:dyDescent="0.25">
      <c r="A2334" s="133"/>
      <c r="B2334" s="195"/>
      <c r="C2334" s="226"/>
      <c r="D2334" s="226"/>
      <c r="E2334" s="264"/>
      <c r="F2334" s="226"/>
      <c r="G2334" s="229"/>
      <c r="H2334" s="200"/>
    </row>
    <row r="2335" spans="1:8" x14ac:dyDescent="0.25">
      <c r="A2335" s="133"/>
      <c r="B2335" s="195"/>
      <c r="C2335" s="226"/>
      <c r="D2335" s="226"/>
      <c r="E2335" s="176"/>
      <c r="F2335" s="226"/>
      <c r="G2335" s="229"/>
      <c r="H2335" s="200"/>
    </row>
    <row r="2336" spans="1:8" x14ac:dyDescent="0.25">
      <c r="A2336" s="133"/>
      <c r="B2336" s="195"/>
      <c r="C2336" s="226"/>
      <c r="D2336" s="226"/>
      <c r="E2336" s="171"/>
      <c r="F2336" s="226"/>
      <c r="G2336" s="231"/>
      <c r="H2336" s="200"/>
    </row>
    <row r="2337" spans="1:8" x14ac:dyDescent="0.25">
      <c r="A2337" s="133"/>
      <c r="B2337" s="195"/>
      <c r="C2337" s="226"/>
      <c r="D2337" s="232"/>
      <c r="E2337" s="232"/>
      <c r="F2337" s="226"/>
      <c r="G2337" s="229"/>
      <c r="H2337" s="200"/>
    </row>
    <row r="2338" spans="1:8" ht="15.75" thickBot="1" x14ac:dyDescent="0.3">
      <c r="A2338" s="133"/>
      <c r="B2338" s="195"/>
      <c r="C2338" s="226"/>
      <c r="D2338" s="232"/>
      <c r="E2338" s="232"/>
      <c r="F2338" s="226"/>
      <c r="G2338" s="229"/>
      <c r="H2338" s="200"/>
    </row>
    <row r="2339" spans="1:8" ht="15.75" thickBot="1" x14ac:dyDescent="0.3">
      <c r="A2339" s="133"/>
      <c r="B2339" s="233"/>
      <c r="C2339" s="234"/>
      <c r="D2339" s="234"/>
      <c r="E2339" s="234"/>
      <c r="F2339" s="235"/>
      <c r="G2339" s="236"/>
      <c r="H2339" s="237">
        <f>+SUM(G2333:G2339)</f>
        <v>1453.1750000000002</v>
      </c>
    </row>
    <row r="2340" spans="1:8" ht="15.75" thickBot="1" x14ac:dyDescent="0.3">
      <c r="A2340" s="133"/>
      <c r="B2340" s="238"/>
      <c r="C2340" s="238"/>
      <c r="D2340" s="238"/>
      <c r="E2340" s="238"/>
      <c r="F2340" s="239"/>
      <c r="G2340" s="240"/>
      <c r="H2340" s="241"/>
    </row>
    <row r="2341" spans="1:8" ht="15.75" thickBot="1" x14ac:dyDescent="0.3">
      <c r="A2341" s="133"/>
      <c r="B2341" s="224" t="s">
        <v>5408</v>
      </c>
      <c r="C2341" s="193" t="s">
        <v>867</v>
      </c>
      <c r="D2341" s="193" t="s">
        <v>6</v>
      </c>
      <c r="E2341" s="193" t="s">
        <v>870</v>
      </c>
      <c r="F2341" s="193" t="s">
        <v>5409</v>
      </c>
      <c r="G2341" s="225" t="s">
        <v>868</v>
      </c>
      <c r="H2341" s="200"/>
    </row>
    <row r="2342" spans="1:8" x14ac:dyDescent="0.25">
      <c r="A2342" s="133"/>
      <c r="B2342" s="295"/>
      <c r="C2342" s="202"/>
      <c r="D2342" s="226"/>
      <c r="E2342" s="244"/>
      <c r="F2342" s="169"/>
      <c r="G2342" s="178">
        <f>+D2342*E2342*(1+F2342)</f>
        <v>0</v>
      </c>
      <c r="H2342" s="200"/>
    </row>
    <row r="2343" spans="1:8" x14ac:dyDescent="0.25">
      <c r="A2343" s="133"/>
      <c r="B2343" s="450"/>
      <c r="C2343" s="202"/>
      <c r="D2343" s="202"/>
      <c r="E2343" s="257"/>
      <c r="F2343" s="169"/>
      <c r="G2343" s="178">
        <f>+D2343*E2343*(1+F2343)</f>
        <v>0</v>
      </c>
      <c r="H2343" s="200"/>
    </row>
    <row r="2344" spans="1:8" x14ac:dyDescent="0.25">
      <c r="A2344" s="133"/>
      <c r="B2344" s="247"/>
      <c r="C2344" s="226"/>
      <c r="D2344" s="226"/>
      <c r="E2344" s="244"/>
      <c r="F2344" s="169"/>
      <c r="G2344" s="178">
        <f>+D2344*E2344*(1+F2344)</f>
        <v>0</v>
      </c>
      <c r="H2344" s="200"/>
    </row>
    <row r="2345" spans="1:8" x14ac:dyDescent="0.25">
      <c r="A2345" s="133"/>
      <c r="B2345" s="194"/>
      <c r="C2345" s="226"/>
      <c r="D2345" s="226"/>
      <c r="E2345" s="244"/>
      <c r="F2345" s="169"/>
      <c r="G2345" s="178">
        <f>+D2345*E2345*(1+F2345)</f>
        <v>0</v>
      </c>
      <c r="H2345" s="200"/>
    </row>
    <row r="2346" spans="1:8" x14ac:dyDescent="0.25">
      <c r="A2346" s="133"/>
      <c r="B2346" s="195"/>
      <c r="C2346" s="226"/>
      <c r="D2346" s="226"/>
      <c r="E2346" s="171"/>
      <c r="F2346" s="169"/>
      <c r="G2346" s="178"/>
      <c r="H2346" s="200"/>
    </row>
    <row r="2347" spans="1:8" x14ac:dyDescent="0.25">
      <c r="A2347" s="133"/>
      <c r="B2347" s="194"/>
      <c r="C2347" s="202"/>
      <c r="D2347" s="202"/>
      <c r="E2347" s="171"/>
      <c r="F2347" s="169"/>
      <c r="G2347" s="178"/>
      <c r="H2347" s="200"/>
    </row>
    <row r="2348" spans="1:8" x14ac:dyDescent="0.25">
      <c r="A2348" s="133"/>
      <c r="B2348" s="195"/>
      <c r="C2348" s="226"/>
      <c r="D2348" s="226"/>
      <c r="E2348" s="171"/>
      <c r="F2348" s="169"/>
      <c r="G2348" s="178"/>
      <c r="H2348" s="200"/>
    </row>
    <row r="2349" spans="1:8" x14ac:dyDescent="0.25">
      <c r="A2349" s="133"/>
      <c r="B2349" s="195"/>
      <c r="C2349" s="226"/>
      <c r="D2349" s="226"/>
      <c r="E2349" s="171"/>
      <c r="F2349" s="169"/>
      <c r="G2349" s="178"/>
      <c r="H2349" s="200"/>
    </row>
    <row r="2350" spans="1:8" x14ac:dyDescent="0.25">
      <c r="A2350" s="133"/>
      <c r="B2350" s="195"/>
      <c r="C2350" s="232"/>
      <c r="D2350" s="232"/>
      <c r="E2350" s="232"/>
      <c r="F2350" s="226"/>
      <c r="G2350" s="229"/>
      <c r="H2350" s="200"/>
    </row>
    <row r="2351" spans="1:8" x14ac:dyDescent="0.25">
      <c r="A2351" s="133"/>
      <c r="B2351" s="195"/>
      <c r="C2351" s="232"/>
      <c r="D2351" s="232"/>
      <c r="E2351" s="232"/>
      <c r="F2351" s="226"/>
      <c r="G2351" s="229"/>
      <c r="H2351" s="200"/>
    </row>
    <row r="2352" spans="1:8" x14ac:dyDescent="0.25">
      <c r="A2352" s="133"/>
      <c r="B2352" s="195"/>
      <c r="C2352" s="232"/>
      <c r="D2352" s="232"/>
      <c r="E2352" s="232"/>
      <c r="F2352" s="226"/>
      <c r="G2352" s="229"/>
      <c r="H2352" s="200"/>
    </row>
    <row r="2353" spans="1:8" ht="15.75" thickBot="1" x14ac:dyDescent="0.3">
      <c r="A2353" s="133"/>
      <c r="B2353" s="195"/>
      <c r="C2353" s="232"/>
      <c r="D2353" s="232"/>
      <c r="E2353" s="232"/>
      <c r="F2353" s="226"/>
      <c r="G2353" s="229"/>
      <c r="H2353" s="200"/>
    </row>
    <row r="2354" spans="1:8" ht="15.75" thickBot="1" x14ac:dyDescent="0.3">
      <c r="A2354" s="133"/>
      <c r="B2354" s="233"/>
      <c r="C2354" s="234"/>
      <c r="D2354" s="234"/>
      <c r="E2354" s="234"/>
      <c r="F2354" s="235"/>
      <c r="G2354" s="236"/>
      <c r="H2354" s="256">
        <f>+SUM(G2342:G2354)</f>
        <v>0</v>
      </c>
    </row>
    <row r="2355" spans="1:8" ht="15.75" thickBot="1" x14ac:dyDescent="0.3">
      <c r="A2355" s="133"/>
      <c r="B2355" s="238"/>
      <c r="C2355" s="238"/>
      <c r="D2355" s="238"/>
      <c r="E2355" s="238"/>
      <c r="F2355" s="239"/>
      <c r="G2355" s="240"/>
      <c r="H2355" s="241"/>
    </row>
    <row r="2356" spans="1:8" ht="15.75" thickBot="1" x14ac:dyDescent="0.3">
      <c r="A2356" s="133"/>
      <c r="B2356" s="224" t="s">
        <v>5410</v>
      </c>
      <c r="C2356" s="193" t="s">
        <v>867</v>
      </c>
      <c r="D2356" s="193" t="s">
        <v>6</v>
      </c>
      <c r="E2356" s="193" t="s">
        <v>870</v>
      </c>
      <c r="F2356" s="193" t="s">
        <v>5411</v>
      </c>
      <c r="G2356" s="225" t="s">
        <v>868</v>
      </c>
      <c r="H2356" s="200"/>
    </row>
    <row r="2357" spans="1:8" x14ac:dyDescent="0.25">
      <c r="A2357" s="133"/>
      <c r="B2357" s="245"/>
      <c r="C2357" s="202"/>
      <c r="D2357" s="202"/>
      <c r="E2357" s="175"/>
      <c r="F2357" s="202"/>
      <c r="G2357" s="203"/>
      <c r="H2357" s="246"/>
    </row>
    <row r="2358" spans="1:8" x14ac:dyDescent="0.25">
      <c r="A2358" s="133"/>
      <c r="B2358" s="247"/>
      <c r="C2358" s="248"/>
      <c r="D2358" s="248"/>
      <c r="E2358" s="248"/>
      <c r="F2358" s="202"/>
      <c r="G2358" s="178"/>
      <c r="H2358" s="200"/>
    </row>
    <row r="2359" spans="1:8" x14ac:dyDescent="0.25">
      <c r="A2359" s="133"/>
      <c r="B2359" s="247"/>
      <c r="C2359" s="232"/>
      <c r="D2359" s="232"/>
      <c r="E2359" s="232"/>
      <c r="F2359" s="226"/>
      <c r="G2359" s="229"/>
      <c r="H2359" s="200"/>
    </row>
    <row r="2360" spans="1:8" x14ac:dyDescent="0.25">
      <c r="A2360" s="133"/>
      <c r="B2360" s="194"/>
      <c r="C2360" s="232"/>
      <c r="D2360" s="232"/>
      <c r="E2360" s="232"/>
      <c r="F2360" s="226"/>
      <c r="G2360" s="229"/>
      <c r="H2360" s="200"/>
    </row>
    <row r="2361" spans="1:8" ht="15.75" thickBot="1" x14ac:dyDescent="0.3">
      <c r="A2361" s="133"/>
      <c r="B2361" s="195"/>
      <c r="C2361" s="232"/>
      <c r="D2361" s="232"/>
      <c r="E2361" s="232"/>
      <c r="F2361" s="226"/>
      <c r="G2361" s="229"/>
      <c r="H2361" s="200"/>
    </row>
    <row r="2362" spans="1:8" ht="15.75" thickBot="1" x14ac:dyDescent="0.3">
      <c r="A2362" s="133"/>
      <c r="B2362" s="233"/>
      <c r="C2362" s="234"/>
      <c r="D2362" s="234"/>
      <c r="E2362" s="234"/>
      <c r="F2362" s="235"/>
      <c r="G2362" s="236"/>
      <c r="H2362" s="237">
        <f>+SUM(G2357:G2362)</f>
        <v>0</v>
      </c>
    </row>
    <row r="2363" spans="1:8" ht="15.75" thickBot="1" x14ac:dyDescent="0.3">
      <c r="A2363" s="133"/>
      <c r="B2363" s="238"/>
      <c r="C2363" s="238"/>
      <c r="D2363" s="238"/>
      <c r="E2363" s="238"/>
      <c r="F2363" s="249"/>
      <c r="G2363" s="250"/>
      <c r="H2363" s="241"/>
    </row>
    <row r="2364" spans="1:8" ht="15.75" thickBot="1" x14ac:dyDescent="0.3">
      <c r="A2364" s="133"/>
      <c r="B2364" s="224" t="s">
        <v>5412</v>
      </c>
      <c r="C2364" s="193" t="s">
        <v>5420</v>
      </c>
      <c r="D2364" s="193" t="s">
        <v>5421</v>
      </c>
      <c r="E2364" s="193" t="s">
        <v>5413</v>
      </c>
      <c r="F2364" s="193" t="s">
        <v>5405</v>
      </c>
      <c r="G2364" s="225" t="s">
        <v>868</v>
      </c>
      <c r="H2364" s="200"/>
    </row>
    <row r="2365" spans="1:8" x14ac:dyDescent="0.25">
      <c r="A2365" s="133"/>
      <c r="B2365" s="194" t="s">
        <v>5948</v>
      </c>
      <c r="C2365" s="345">
        <v>70000</v>
      </c>
      <c r="D2365" s="176">
        <f>+C2365*0.85</f>
        <v>59500</v>
      </c>
      <c r="E2365" s="176">
        <f>+C2365+D2365</f>
        <v>129500</v>
      </c>
      <c r="F2365" s="204">
        <v>250</v>
      </c>
      <c r="G2365" s="178">
        <f>+E2365/F2365</f>
        <v>518</v>
      </c>
      <c r="H2365" s="200"/>
    </row>
    <row r="2366" spans="1:8" x14ac:dyDescent="0.25">
      <c r="A2366" s="133"/>
      <c r="B2366" s="194" t="s">
        <v>5651</v>
      </c>
      <c r="C2366" s="345">
        <v>40000</v>
      </c>
      <c r="D2366" s="176">
        <f>+C2366*0.85</f>
        <v>34000</v>
      </c>
      <c r="E2366" s="176">
        <f>+C2366+D2366</f>
        <v>74000</v>
      </c>
      <c r="F2366" s="202">
        <v>8</v>
      </c>
      <c r="G2366" s="178">
        <f>+E2366/F2366</f>
        <v>9250</v>
      </c>
      <c r="H2366" s="200"/>
    </row>
    <row r="2367" spans="1:8" x14ac:dyDescent="0.25">
      <c r="A2367" s="133"/>
      <c r="B2367" s="195" t="s">
        <v>5635</v>
      </c>
      <c r="C2367" s="345">
        <v>20600</v>
      </c>
      <c r="D2367" s="176">
        <f>+C2367*0.85</f>
        <v>17510</v>
      </c>
      <c r="E2367" s="176">
        <f>+C2367+D2367</f>
        <v>38110</v>
      </c>
      <c r="F2367" s="226">
        <v>8</v>
      </c>
      <c r="G2367" s="178">
        <f>+E2367/F2367</f>
        <v>4763.75</v>
      </c>
      <c r="H2367" s="200"/>
    </row>
    <row r="2368" spans="1:8" x14ac:dyDescent="0.25">
      <c r="A2368" s="133"/>
      <c r="B2368" s="195"/>
      <c r="C2368" s="171"/>
      <c r="D2368" s="176"/>
      <c r="E2368" s="176"/>
      <c r="F2368" s="226"/>
      <c r="G2368" s="178"/>
      <c r="H2368" s="200"/>
    </row>
    <row r="2369" spans="1:8" x14ac:dyDescent="0.25">
      <c r="A2369" s="133"/>
      <c r="B2369" s="195"/>
      <c r="C2369" s="232"/>
      <c r="D2369" s="232"/>
      <c r="E2369" s="232"/>
      <c r="F2369" s="226"/>
      <c r="G2369" s="229"/>
      <c r="H2369" s="200"/>
    </row>
    <row r="2370" spans="1:8" ht="15.75" thickBot="1" x14ac:dyDescent="0.3">
      <c r="A2370" s="133"/>
      <c r="B2370" s="195"/>
      <c r="C2370" s="232"/>
      <c r="D2370" s="232"/>
      <c r="E2370" s="232"/>
      <c r="F2370" s="226"/>
      <c r="G2370" s="229"/>
      <c r="H2370" s="200"/>
    </row>
    <row r="2371" spans="1:8" ht="15.75" thickBot="1" x14ac:dyDescent="0.3">
      <c r="A2371" s="133"/>
      <c r="B2371" s="251"/>
      <c r="C2371" s="252"/>
      <c r="D2371" s="252"/>
      <c r="E2371" s="252"/>
      <c r="F2371" s="253"/>
      <c r="G2371" s="254"/>
      <c r="H2371" s="256">
        <f>+SUM(G2365:G2371)</f>
        <v>14531.75</v>
      </c>
    </row>
    <row r="2372" spans="1:8" ht="15.75" thickBot="1" x14ac:dyDescent="0.3">
      <c r="A2372" s="133"/>
      <c r="B2372" s="8"/>
      <c r="C2372" s="8"/>
      <c r="D2372" s="8"/>
      <c r="E2372" s="8"/>
      <c r="F2372" s="133"/>
      <c r="G2372" s="200"/>
      <c r="H2372" s="200"/>
    </row>
    <row r="2373" spans="1:8" ht="15.75" thickBot="1" x14ac:dyDescent="0.3">
      <c r="A2373" s="133"/>
      <c r="B2373" s="8"/>
      <c r="C2373" s="8"/>
      <c r="D2373" s="8"/>
      <c r="E2373" s="223" t="s">
        <v>5415</v>
      </c>
      <c r="F2373" s="133"/>
      <c r="G2373" s="200"/>
      <c r="H2373" s="256">
        <f>ROUND(+H2371+H2362+H2354+H2339,0)</f>
        <v>15985</v>
      </c>
    </row>
    <row r="2374" spans="1:8" x14ac:dyDescent="0.25">
      <c r="A2374" s="265"/>
      <c r="B2374" s="265"/>
      <c r="C2374" s="265"/>
      <c r="D2374" s="265"/>
      <c r="E2374" s="265"/>
      <c r="F2374" s="265"/>
      <c r="G2374" s="265"/>
      <c r="H2374" s="265"/>
    </row>
    <row r="2375" spans="1:8" x14ac:dyDescent="0.25">
      <c r="A2375" s="265"/>
      <c r="B2375" s="265"/>
      <c r="C2375" s="265"/>
      <c r="D2375" s="265"/>
      <c r="E2375" s="265"/>
      <c r="F2375" s="265"/>
      <c r="G2375" s="265"/>
      <c r="H2375" s="265"/>
    </row>
    <row r="2376" spans="1:8" x14ac:dyDescent="0.25">
      <c r="A2376" s="265"/>
      <c r="B2376" s="265"/>
      <c r="C2376" s="265"/>
      <c r="D2376" s="265"/>
      <c r="E2376" s="265"/>
      <c r="F2376" s="265"/>
      <c r="G2376" s="265"/>
      <c r="H2376" s="265"/>
    </row>
    <row r="2377" spans="1:8" x14ac:dyDescent="0.25">
      <c r="A2377" s="265"/>
      <c r="B2377" s="265"/>
      <c r="C2377" s="265"/>
      <c r="D2377" s="265"/>
      <c r="E2377" s="265"/>
      <c r="F2377" s="265"/>
      <c r="G2377" s="265"/>
      <c r="H2377" s="265"/>
    </row>
    <row r="2378" spans="1:8" ht="18.75" x14ac:dyDescent="0.25">
      <c r="A2378" s="133"/>
      <c r="B2378" s="2506" t="s">
        <v>5400</v>
      </c>
      <c r="C2378" s="2506"/>
      <c r="D2378" s="2506"/>
      <c r="E2378" s="2506"/>
      <c r="F2378" s="2506"/>
      <c r="G2378" s="2506"/>
      <c r="H2378" s="8"/>
    </row>
    <row r="2379" spans="1:8" x14ac:dyDescent="0.25">
      <c r="A2379" s="133"/>
      <c r="B2379" s="8"/>
      <c r="C2379" s="8"/>
      <c r="D2379" s="8"/>
      <c r="E2379" s="8"/>
      <c r="F2379" s="133"/>
      <c r="G2379" s="200"/>
      <c r="H2379" s="200"/>
    </row>
    <row r="2380" spans="1:8" x14ac:dyDescent="0.25">
      <c r="A2380" s="133"/>
      <c r="B2380" s="8"/>
      <c r="C2380" s="8"/>
      <c r="D2380" s="8"/>
      <c r="E2380" s="8"/>
      <c r="F2380" s="133"/>
      <c r="G2380" s="200"/>
      <c r="H2380" s="200"/>
    </row>
    <row r="2381" spans="1:8" x14ac:dyDescent="0.25">
      <c r="A2381" s="133"/>
      <c r="B2381" s="8"/>
      <c r="C2381" s="8"/>
      <c r="D2381" s="8"/>
      <c r="E2381" s="8"/>
      <c r="F2381" s="133"/>
      <c r="G2381" s="200"/>
      <c r="H2381" s="200"/>
    </row>
    <row r="2382" spans="1:8" ht="15" customHeight="1" x14ac:dyDescent="0.25">
      <c r="A2382" s="220" t="s">
        <v>5482</v>
      </c>
      <c r="B2382" s="221" t="s">
        <v>5015</v>
      </c>
      <c r="C2382" s="2449" t="s">
        <v>6129</v>
      </c>
      <c r="D2382" s="2449"/>
      <c r="E2382" s="2449"/>
      <c r="F2382" s="220" t="s">
        <v>867</v>
      </c>
      <c r="G2382" s="222" t="s">
        <v>5424</v>
      </c>
      <c r="H2382" s="200"/>
    </row>
    <row r="2383" spans="1:8" x14ac:dyDescent="0.25">
      <c r="A2383" s="133"/>
      <c r="B2383" s="8"/>
      <c r="C2383" s="223"/>
      <c r="D2383" s="223"/>
      <c r="E2383" s="223"/>
      <c r="F2383" s="133"/>
      <c r="G2383" s="200"/>
      <c r="H2383" s="200"/>
    </row>
    <row r="2384" spans="1:8" x14ac:dyDescent="0.25">
      <c r="A2384" s="133"/>
      <c r="B2384" s="8"/>
      <c r="C2384" s="8"/>
      <c r="D2384" s="8"/>
      <c r="E2384" s="8"/>
      <c r="F2384" s="8"/>
      <c r="G2384" s="8"/>
      <c r="H2384" s="200"/>
    </row>
    <row r="2385" spans="1:8" ht="15.75" thickBot="1" x14ac:dyDescent="0.3">
      <c r="A2385" s="133"/>
      <c r="B2385" s="8"/>
      <c r="C2385" s="8"/>
      <c r="D2385" s="8"/>
      <c r="E2385" s="8"/>
      <c r="F2385" s="133"/>
      <c r="G2385" s="200"/>
      <c r="H2385" s="200"/>
    </row>
    <row r="2386" spans="1:8" ht="15.75" thickBot="1" x14ac:dyDescent="0.3">
      <c r="A2386" s="133"/>
      <c r="B2386" s="224" t="s">
        <v>5403</v>
      </c>
      <c r="C2386" s="193" t="s">
        <v>867</v>
      </c>
      <c r="D2386" s="193" t="s">
        <v>6</v>
      </c>
      <c r="E2386" s="193" t="s">
        <v>5439</v>
      </c>
      <c r="F2386" s="193" t="s">
        <v>5405</v>
      </c>
      <c r="G2386" s="225" t="s">
        <v>868</v>
      </c>
      <c r="H2386" s="200"/>
    </row>
    <row r="2387" spans="1:8" x14ac:dyDescent="0.25">
      <c r="A2387" s="133"/>
      <c r="B2387" s="195" t="s">
        <v>5440</v>
      </c>
      <c r="C2387" s="226" t="s">
        <v>5402</v>
      </c>
      <c r="D2387" s="226">
        <v>1</v>
      </c>
      <c r="E2387" s="263">
        <f>+H2425</f>
        <v>14602.386363636364</v>
      </c>
      <c r="F2387" s="226">
        <v>0.1</v>
      </c>
      <c r="G2387" s="229">
        <f>+E2387*F2387</f>
        <v>1460.2386363636365</v>
      </c>
      <c r="H2387" s="200"/>
    </row>
    <row r="2388" spans="1:8" x14ac:dyDescent="0.25">
      <c r="A2388" s="133"/>
      <c r="B2388" s="195"/>
      <c r="C2388" s="226"/>
      <c r="D2388" s="226"/>
      <c r="E2388" s="264"/>
      <c r="F2388" s="226"/>
      <c r="G2388" s="229"/>
      <c r="H2388" s="200"/>
    </row>
    <row r="2389" spans="1:8" x14ac:dyDescent="0.25">
      <c r="A2389" s="133"/>
      <c r="B2389" s="195"/>
      <c r="C2389" s="226"/>
      <c r="D2389" s="226"/>
      <c r="E2389" s="176"/>
      <c r="F2389" s="226"/>
      <c r="G2389" s="229"/>
      <c r="H2389" s="200"/>
    </row>
    <row r="2390" spans="1:8" x14ac:dyDescent="0.25">
      <c r="A2390" s="133"/>
      <c r="B2390" s="195"/>
      <c r="C2390" s="226"/>
      <c r="D2390" s="226"/>
      <c r="E2390" s="171"/>
      <c r="F2390" s="226"/>
      <c r="G2390" s="231"/>
      <c r="H2390" s="200"/>
    </row>
    <row r="2391" spans="1:8" x14ac:dyDescent="0.25">
      <c r="A2391" s="133"/>
      <c r="B2391" s="195"/>
      <c r="C2391" s="226"/>
      <c r="D2391" s="232"/>
      <c r="E2391" s="232"/>
      <c r="F2391" s="226"/>
      <c r="G2391" s="229"/>
      <c r="H2391" s="200"/>
    </row>
    <row r="2392" spans="1:8" ht="15.75" thickBot="1" x14ac:dyDescent="0.3">
      <c r="A2392" s="133"/>
      <c r="B2392" s="195"/>
      <c r="C2392" s="226"/>
      <c r="D2392" s="232"/>
      <c r="E2392" s="232"/>
      <c r="F2392" s="226"/>
      <c r="G2392" s="229"/>
      <c r="H2392" s="200"/>
    </row>
    <row r="2393" spans="1:8" ht="15.75" thickBot="1" x14ac:dyDescent="0.3">
      <c r="A2393" s="133"/>
      <c r="B2393" s="233"/>
      <c r="C2393" s="234"/>
      <c r="D2393" s="234"/>
      <c r="E2393" s="234"/>
      <c r="F2393" s="235"/>
      <c r="G2393" s="236"/>
      <c r="H2393" s="237">
        <f>+SUM(G2387:G2393)</f>
        <v>1460.2386363636365</v>
      </c>
    </row>
    <row r="2394" spans="1:8" ht="15.75" thickBot="1" x14ac:dyDescent="0.3">
      <c r="A2394" s="133"/>
      <c r="B2394" s="238"/>
      <c r="C2394" s="238"/>
      <c r="D2394" s="238"/>
      <c r="E2394" s="238"/>
      <c r="F2394" s="239"/>
      <c r="G2394" s="240"/>
      <c r="H2394" s="241"/>
    </row>
    <row r="2395" spans="1:8" ht="15.75" thickBot="1" x14ac:dyDescent="0.3">
      <c r="A2395" s="133"/>
      <c r="B2395" s="224" t="s">
        <v>5408</v>
      </c>
      <c r="C2395" s="193" t="s">
        <v>867</v>
      </c>
      <c r="D2395" s="193" t="s">
        <v>6</v>
      </c>
      <c r="E2395" s="193" t="s">
        <v>870</v>
      </c>
      <c r="F2395" s="193" t="s">
        <v>5409</v>
      </c>
      <c r="G2395" s="225" t="s">
        <v>868</v>
      </c>
      <c r="H2395" s="200"/>
    </row>
    <row r="2396" spans="1:8" x14ac:dyDescent="0.25">
      <c r="A2396" s="133"/>
      <c r="B2396" s="295"/>
      <c r="C2396" s="202"/>
      <c r="D2396" s="226"/>
      <c r="E2396" s="244"/>
      <c r="F2396" s="169"/>
      <c r="G2396" s="178">
        <f>+D2396*E2396*(1+F2396)</f>
        <v>0</v>
      </c>
      <c r="H2396" s="200"/>
    </row>
    <row r="2397" spans="1:8" x14ac:dyDescent="0.25">
      <c r="A2397" s="133"/>
      <c r="B2397" s="450"/>
      <c r="C2397" s="202"/>
      <c r="D2397" s="202"/>
      <c r="E2397" s="257"/>
      <c r="F2397" s="169"/>
      <c r="G2397" s="178">
        <f>+D2397*E2397*(1+F2397)</f>
        <v>0</v>
      </c>
      <c r="H2397" s="200"/>
    </row>
    <row r="2398" spans="1:8" x14ac:dyDescent="0.25">
      <c r="A2398" s="133"/>
      <c r="B2398" s="247"/>
      <c r="C2398" s="226"/>
      <c r="D2398" s="226"/>
      <c r="E2398" s="244"/>
      <c r="F2398" s="169"/>
      <c r="G2398" s="178">
        <f>+D2398*E2398*(1+F2398)</f>
        <v>0</v>
      </c>
      <c r="H2398" s="200"/>
    </row>
    <row r="2399" spans="1:8" x14ac:dyDescent="0.25">
      <c r="A2399" s="133"/>
      <c r="B2399" s="194"/>
      <c r="C2399" s="226"/>
      <c r="D2399" s="226"/>
      <c r="E2399" s="244"/>
      <c r="F2399" s="169"/>
      <c r="G2399" s="178">
        <f>+D2399*E2399*(1+F2399)</f>
        <v>0</v>
      </c>
      <c r="H2399" s="200"/>
    </row>
    <row r="2400" spans="1:8" x14ac:dyDescent="0.25">
      <c r="A2400" s="133"/>
      <c r="B2400" s="195"/>
      <c r="C2400" s="226"/>
      <c r="D2400" s="226"/>
      <c r="E2400" s="171"/>
      <c r="F2400" s="169"/>
      <c r="G2400" s="178"/>
      <c r="H2400" s="200"/>
    </row>
    <row r="2401" spans="1:8" x14ac:dyDescent="0.25">
      <c r="A2401" s="133"/>
      <c r="B2401" s="194"/>
      <c r="C2401" s="202"/>
      <c r="D2401" s="202"/>
      <c r="E2401" s="171"/>
      <c r="F2401" s="169"/>
      <c r="G2401" s="178"/>
      <c r="H2401" s="200"/>
    </row>
    <row r="2402" spans="1:8" x14ac:dyDescent="0.25">
      <c r="A2402" s="133"/>
      <c r="B2402" s="195"/>
      <c r="C2402" s="226"/>
      <c r="D2402" s="226"/>
      <c r="E2402" s="171"/>
      <c r="F2402" s="169"/>
      <c r="G2402" s="178"/>
      <c r="H2402" s="200"/>
    </row>
    <row r="2403" spans="1:8" x14ac:dyDescent="0.25">
      <c r="A2403" s="133"/>
      <c r="B2403" s="195"/>
      <c r="C2403" s="226"/>
      <c r="D2403" s="226"/>
      <c r="E2403" s="171"/>
      <c r="F2403" s="169"/>
      <c r="G2403" s="178"/>
      <c r="H2403" s="200"/>
    </row>
    <row r="2404" spans="1:8" x14ac:dyDescent="0.25">
      <c r="A2404" s="133"/>
      <c r="B2404" s="195"/>
      <c r="C2404" s="232"/>
      <c r="D2404" s="232"/>
      <c r="E2404" s="232"/>
      <c r="F2404" s="226"/>
      <c r="G2404" s="229"/>
      <c r="H2404" s="200"/>
    </row>
    <row r="2405" spans="1:8" x14ac:dyDescent="0.25">
      <c r="A2405" s="133"/>
      <c r="B2405" s="195"/>
      <c r="C2405" s="232"/>
      <c r="D2405" s="232"/>
      <c r="E2405" s="232"/>
      <c r="F2405" s="226"/>
      <c r="G2405" s="229"/>
      <c r="H2405" s="200"/>
    </row>
    <row r="2406" spans="1:8" x14ac:dyDescent="0.25">
      <c r="A2406" s="133"/>
      <c r="B2406" s="195"/>
      <c r="C2406" s="232"/>
      <c r="D2406" s="232"/>
      <c r="E2406" s="232"/>
      <c r="F2406" s="226"/>
      <c r="G2406" s="229"/>
      <c r="H2406" s="200"/>
    </row>
    <row r="2407" spans="1:8" ht="15.75" thickBot="1" x14ac:dyDescent="0.3">
      <c r="A2407" s="133"/>
      <c r="B2407" s="195"/>
      <c r="C2407" s="232"/>
      <c r="D2407" s="232"/>
      <c r="E2407" s="232"/>
      <c r="F2407" s="226"/>
      <c r="G2407" s="229"/>
      <c r="H2407" s="200"/>
    </row>
    <row r="2408" spans="1:8" ht="15.75" thickBot="1" x14ac:dyDescent="0.3">
      <c r="A2408" s="133"/>
      <c r="B2408" s="233"/>
      <c r="C2408" s="234"/>
      <c r="D2408" s="234"/>
      <c r="E2408" s="234"/>
      <c r="F2408" s="235"/>
      <c r="G2408" s="236"/>
      <c r="H2408" s="256">
        <f>+SUM(G2396:G2408)</f>
        <v>0</v>
      </c>
    </row>
    <row r="2409" spans="1:8" ht="15.75" thickBot="1" x14ac:dyDescent="0.3">
      <c r="A2409" s="133"/>
      <c r="B2409" s="238"/>
      <c r="C2409" s="238"/>
      <c r="D2409" s="238"/>
      <c r="E2409" s="238"/>
      <c r="F2409" s="239"/>
      <c r="G2409" s="240"/>
      <c r="H2409" s="241"/>
    </row>
    <row r="2410" spans="1:8" ht="15.75" thickBot="1" x14ac:dyDescent="0.3">
      <c r="A2410" s="133"/>
      <c r="B2410" s="224" t="s">
        <v>5410</v>
      </c>
      <c r="C2410" s="193" t="s">
        <v>867</v>
      </c>
      <c r="D2410" s="193" t="s">
        <v>6</v>
      </c>
      <c r="E2410" s="193" t="s">
        <v>870</v>
      </c>
      <c r="F2410" s="193" t="s">
        <v>5411</v>
      </c>
      <c r="G2410" s="225" t="s">
        <v>868</v>
      </c>
      <c r="H2410" s="200"/>
    </row>
    <row r="2411" spans="1:8" x14ac:dyDescent="0.25">
      <c r="A2411" s="133"/>
      <c r="B2411" s="245"/>
      <c r="C2411" s="202"/>
      <c r="D2411" s="202"/>
      <c r="E2411" s="175"/>
      <c r="F2411" s="202"/>
      <c r="G2411" s="203"/>
      <c r="H2411" s="246"/>
    </row>
    <row r="2412" spans="1:8" x14ac:dyDescent="0.25">
      <c r="A2412" s="133"/>
      <c r="B2412" s="247"/>
      <c r="C2412" s="248"/>
      <c r="D2412" s="248"/>
      <c r="E2412" s="248"/>
      <c r="F2412" s="202"/>
      <c r="G2412" s="178"/>
      <c r="H2412" s="200"/>
    </row>
    <row r="2413" spans="1:8" x14ac:dyDescent="0.25">
      <c r="A2413" s="133"/>
      <c r="B2413" s="247"/>
      <c r="C2413" s="232"/>
      <c r="D2413" s="232"/>
      <c r="E2413" s="232"/>
      <c r="F2413" s="226"/>
      <c r="G2413" s="229"/>
      <c r="H2413" s="200"/>
    </row>
    <row r="2414" spans="1:8" x14ac:dyDescent="0.25">
      <c r="A2414" s="133"/>
      <c r="B2414" s="194"/>
      <c r="C2414" s="232"/>
      <c r="D2414" s="232"/>
      <c r="E2414" s="232"/>
      <c r="F2414" s="226"/>
      <c r="G2414" s="229"/>
      <c r="H2414" s="200"/>
    </row>
    <row r="2415" spans="1:8" ht="15.75" thickBot="1" x14ac:dyDescent="0.3">
      <c r="A2415" s="133"/>
      <c r="B2415" s="195"/>
      <c r="C2415" s="232"/>
      <c r="D2415" s="232"/>
      <c r="E2415" s="232"/>
      <c r="F2415" s="226"/>
      <c r="G2415" s="229"/>
      <c r="H2415" s="200"/>
    </row>
    <row r="2416" spans="1:8" ht="15.75" thickBot="1" x14ac:dyDescent="0.3">
      <c r="A2416" s="133"/>
      <c r="B2416" s="233"/>
      <c r="C2416" s="234"/>
      <c r="D2416" s="234"/>
      <c r="E2416" s="234"/>
      <c r="F2416" s="235"/>
      <c r="G2416" s="236"/>
      <c r="H2416" s="237">
        <f>+SUM(G2411:G2416)</f>
        <v>0</v>
      </c>
    </row>
    <row r="2417" spans="1:8" ht="15.75" thickBot="1" x14ac:dyDescent="0.3">
      <c r="A2417" s="133"/>
      <c r="B2417" s="238"/>
      <c r="C2417" s="238"/>
      <c r="D2417" s="238"/>
      <c r="E2417" s="238"/>
      <c r="F2417" s="249"/>
      <c r="G2417" s="250"/>
      <c r="H2417" s="241"/>
    </row>
    <row r="2418" spans="1:8" ht="15.75" thickBot="1" x14ac:dyDescent="0.3">
      <c r="A2418" s="133"/>
      <c r="B2418" s="224" t="s">
        <v>5412</v>
      </c>
      <c r="C2418" s="193" t="s">
        <v>5420</v>
      </c>
      <c r="D2418" s="193" t="s">
        <v>5421</v>
      </c>
      <c r="E2418" s="193" t="s">
        <v>5413</v>
      </c>
      <c r="F2418" s="193" t="s">
        <v>5405</v>
      </c>
      <c r="G2418" s="225" t="s">
        <v>868</v>
      </c>
      <c r="H2418" s="200"/>
    </row>
    <row r="2419" spans="1:8" x14ac:dyDescent="0.25">
      <c r="A2419" s="133"/>
      <c r="B2419" s="194" t="s">
        <v>5948</v>
      </c>
      <c r="C2419" s="345">
        <v>70000</v>
      </c>
      <c r="D2419" s="176">
        <f>+C2419*0.85</f>
        <v>59500</v>
      </c>
      <c r="E2419" s="176">
        <f>+C2419+D2419</f>
        <v>129500</v>
      </c>
      <c r="F2419" s="204">
        <v>220</v>
      </c>
      <c r="G2419" s="178">
        <f>+E2419/F2419</f>
        <v>588.63636363636363</v>
      </c>
      <c r="H2419" s="200"/>
    </row>
    <row r="2420" spans="1:8" x14ac:dyDescent="0.25">
      <c r="A2420" s="133"/>
      <c r="B2420" s="194" t="s">
        <v>5651</v>
      </c>
      <c r="C2420" s="345">
        <v>40000</v>
      </c>
      <c r="D2420" s="176">
        <f>+C2420*0.85</f>
        <v>34000</v>
      </c>
      <c r="E2420" s="176">
        <f>+C2420+D2420</f>
        <v>74000</v>
      </c>
      <c r="F2420" s="202">
        <v>8</v>
      </c>
      <c r="G2420" s="178">
        <f>+E2420/F2420</f>
        <v>9250</v>
      </c>
      <c r="H2420" s="200"/>
    </row>
    <row r="2421" spans="1:8" x14ac:dyDescent="0.25">
      <c r="A2421" s="133"/>
      <c r="B2421" s="195" t="s">
        <v>5635</v>
      </c>
      <c r="C2421" s="345">
        <v>20600</v>
      </c>
      <c r="D2421" s="176">
        <f>+C2421*0.85</f>
        <v>17510</v>
      </c>
      <c r="E2421" s="176">
        <f>+C2421+D2421</f>
        <v>38110</v>
      </c>
      <c r="F2421" s="226">
        <v>8</v>
      </c>
      <c r="G2421" s="178">
        <f>+E2421/F2421</f>
        <v>4763.75</v>
      </c>
      <c r="H2421" s="200"/>
    </row>
    <row r="2422" spans="1:8" x14ac:dyDescent="0.25">
      <c r="A2422" s="133"/>
      <c r="B2422" s="195"/>
      <c r="C2422" s="171"/>
      <c r="D2422" s="176"/>
      <c r="E2422" s="176"/>
      <c r="F2422" s="226"/>
      <c r="G2422" s="178"/>
      <c r="H2422" s="200"/>
    </row>
    <row r="2423" spans="1:8" x14ac:dyDescent="0.25">
      <c r="A2423" s="133"/>
      <c r="B2423" s="195"/>
      <c r="C2423" s="232"/>
      <c r="D2423" s="232"/>
      <c r="E2423" s="232"/>
      <c r="F2423" s="226"/>
      <c r="G2423" s="229"/>
      <c r="H2423" s="200"/>
    </row>
    <row r="2424" spans="1:8" ht="15.75" thickBot="1" x14ac:dyDescent="0.3">
      <c r="A2424" s="133"/>
      <c r="B2424" s="195"/>
      <c r="C2424" s="232"/>
      <c r="D2424" s="232"/>
      <c r="E2424" s="232"/>
      <c r="F2424" s="226"/>
      <c r="G2424" s="229"/>
      <c r="H2424" s="200"/>
    </row>
    <row r="2425" spans="1:8" ht="15.75" thickBot="1" x14ac:dyDescent="0.3">
      <c r="A2425" s="133"/>
      <c r="B2425" s="251"/>
      <c r="C2425" s="252"/>
      <c r="D2425" s="252"/>
      <c r="E2425" s="252"/>
      <c r="F2425" s="253"/>
      <c r="G2425" s="254"/>
      <c r="H2425" s="256">
        <f>+SUM(G2419:G2425)</f>
        <v>14602.386363636364</v>
      </c>
    </row>
    <row r="2426" spans="1:8" ht="15.75" thickBot="1" x14ac:dyDescent="0.3">
      <c r="A2426" s="133"/>
      <c r="B2426" s="8"/>
      <c r="C2426" s="8"/>
      <c r="D2426" s="8"/>
      <c r="E2426" s="8"/>
      <c r="F2426" s="133"/>
      <c r="G2426" s="200"/>
      <c r="H2426" s="200"/>
    </row>
    <row r="2427" spans="1:8" ht="15.75" thickBot="1" x14ac:dyDescent="0.3">
      <c r="A2427" s="133"/>
      <c r="B2427" s="8"/>
      <c r="C2427" s="8"/>
      <c r="D2427" s="8"/>
      <c r="E2427" s="223" t="s">
        <v>5415</v>
      </c>
      <c r="F2427" s="133"/>
      <c r="G2427" s="200"/>
      <c r="H2427" s="256">
        <f>ROUND(+H2425+H2416+H2408+H2393,0)</f>
        <v>16063</v>
      </c>
    </row>
    <row r="2428" spans="1:8" x14ac:dyDescent="0.25">
      <c r="A2428" s="265"/>
      <c r="B2428" s="265"/>
      <c r="C2428" s="265"/>
      <c r="D2428" s="265"/>
      <c r="E2428" s="265"/>
      <c r="F2428" s="265"/>
      <c r="G2428" s="265"/>
      <c r="H2428" s="265"/>
    </row>
    <row r="2429" spans="1:8" x14ac:dyDescent="0.25">
      <c r="A2429" s="265"/>
      <c r="B2429" s="265"/>
      <c r="C2429" s="265"/>
      <c r="D2429" s="265"/>
      <c r="E2429" s="265"/>
      <c r="F2429" s="265"/>
      <c r="G2429" s="265"/>
      <c r="H2429" s="265"/>
    </row>
    <row r="2430" spans="1:8" x14ac:dyDescent="0.25">
      <c r="A2430" s="265"/>
      <c r="B2430" s="265"/>
      <c r="C2430" s="265"/>
      <c r="D2430" s="265"/>
      <c r="E2430" s="265"/>
      <c r="F2430" s="265"/>
      <c r="G2430" s="265"/>
      <c r="H2430" s="265"/>
    </row>
    <row r="2431" spans="1:8" x14ac:dyDescent="0.25">
      <c r="A2431" s="265"/>
      <c r="B2431" s="265"/>
      <c r="C2431" s="265"/>
      <c r="D2431" s="265"/>
      <c r="E2431" s="265"/>
      <c r="F2431" s="265"/>
      <c r="G2431" s="265"/>
      <c r="H2431" s="265"/>
    </row>
    <row r="2432" spans="1:8" ht="18.75" x14ac:dyDescent="0.25">
      <c r="A2432" s="133"/>
      <c r="B2432" s="2506" t="s">
        <v>5400</v>
      </c>
      <c r="C2432" s="2506"/>
      <c r="D2432" s="2506"/>
      <c r="E2432" s="2506"/>
      <c r="F2432" s="2506"/>
      <c r="G2432" s="2506"/>
      <c r="H2432" s="8"/>
    </row>
    <row r="2433" spans="1:8" x14ac:dyDescent="0.25">
      <c r="A2433" s="133"/>
      <c r="B2433" s="8"/>
      <c r="C2433" s="8"/>
      <c r="D2433" s="8"/>
      <c r="E2433" s="8"/>
      <c r="F2433" s="133"/>
      <c r="G2433" s="200"/>
      <c r="H2433" s="200"/>
    </row>
    <row r="2434" spans="1:8" x14ac:dyDescent="0.25">
      <c r="A2434" s="133"/>
      <c r="B2434" s="8"/>
      <c r="C2434" s="8"/>
      <c r="D2434" s="8"/>
      <c r="E2434" s="8"/>
      <c r="F2434" s="133"/>
      <c r="G2434" s="200"/>
      <c r="H2434" s="200"/>
    </row>
    <row r="2435" spans="1:8" x14ac:dyDescent="0.25">
      <c r="A2435" s="133"/>
      <c r="B2435" s="8"/>
      <c r="C2435" s="8"/>
      <c r="D2435" s="8"/>
      <c r="E2435" s="8"/>
      <c r="F2435" s="133"/>
      <c r="G2435" s="200"/>
      <c r="H2435" s="200"/>
    </row>
    <row r="2436" spans="1:8" ht="38.1" customHeight="1" x14ac:dyDescent="0.25">
      <c r="A2436" s="220" t="s">
        <v>5482</v>
      </c>
      <c r="B2436" s="221" t="s">
        <v>527</v>
      </c>
      <c r="C2436" s="2449" t="s">
        <v>5518</v>
      </c>
      <c r="D2436" s="2449"/>
      <c r="E2436" s="2449"/>
      <c r="F2436" s="220" t="s">
        <v>867</v>
      </c>
      <c r="G2436" s="222" t="s">
        <v>5424</v>
      </c>
      <c r="H2436" s="200"/>
    </row>
    <row r="2437" spans="1:8" x14ac:dyDescent="0.25">
      <c r="A2437" s="133"/>
      <c r="B2437" s="8"/>
      <c r="C2437" s="223"/>
      <c r="D2437" s="223"/>
      <c r="E2437" s="223"/>
      <c r="F2437" s="133"/>
      <c r="G2437" s="200"/>
      <c r="H2437" s="200"/>
    </row>
    <row r="2438" spans="1:8" x14ac:dyDescent="0.25">
      <c r="A2438" s="133"/>
      <c r="B2438" s="8"/>
      <c r="C2438" s="8"/>
      <c r="D2438" s="8"/>
      <c r="E2438" s="8"/>
      <c r="F2438" s="8"/>
      <c r="G2438" s="8"/>
      <c r="H2438" s="200"/>
    </row>
    <row r="2439" spans="1:8" ht="15.75" thickBot="1" x14ac:dyDescent="0.3">
      <c r="A2439" s="133"/>
      <c r="B2439" s="8"/>
      <c r="C2439" s="8"/>
      <c r="D2439" s="8"/>
      <c r="E2439" s="8"/>
      <c r="F2439" s="133"/>
      <c r="G2439" s="200"/>
      <c r="H2439" s="200"/>
    </row>
    <row r="2440" spans="1:8" ht="15.75" thickBot="1" x14ac:dyDescent="0.3">
      <c r="A2440" s="133"/>
      <c r="B2440" s="224" t="s">
        <v>5403</v>
      </c>
      <c r="C2440" s="193" t="s">
        <v>867</v>
      </c>
      <c r="D2440" s="193" t="s">
        <v>6</v>
      </c>
      <c r="E2440" s="193" t="s">
        <v>5439</v>
      </c>
      <c r="F2440" s="193" t="s">
        <v>5405</v>
      </c>
      <c r="G2440" s="225" t="s">
        <v>868</v>
      </c>
      <c r="H2440" s="200"/>
    </row>
    <row r="2441" spans="1:8" x14ac:dyDescent="0.25">
      <c r="A2441" s="133"/>
      <c r="B2441" s="195" t="s">
        <v>5440</v>
      </c>
      <c r="C2441" s="226" t="s">
        <v>5402</v>
      </c>
      <c r="D2441" s="226">
        <v>1</v>
      </c>
      <c r="E2441" s="263">
        <f>+H2479</f>
        <v>824586.05768040603</v>
      </c>
      <c r="F2441" s="226">
        <v>0.1</v>
      </c>
      <c r="G2441" s="229">
        <f>+E2441*F2441</f>
        <v>82458.605768040608</v>
      </c>
      <c r="H2441" s="200"/>
    </row>
    <row r="2442" spans="1:8" x14ac:dyDescent="0.25">
      <c r="A2442" s="133"/>
      <c r="B2442" s="195" t="s">
        <v>6063</v>
      </c>
      <c r="C2442" s="226" t="s">
        <v>5424</v>
      </c>
      <c r="D2442" s="226">
        <v>1</v>
      </c>
      <c r="E2442" s="176">
        <v>120000</v>
      </c>
      <c r="F2442" s="226">
        <v>4</v>
      </c>
      <c r="G2442" s="229">
        <f>+E2442/F2442</f>
        <v>30000</v>
      </c>
      <c r="H2442" s="200"/>
    </row>
    <row r="2443" spans="1:8" x14ac:dyDescent="0.25">
      <c r="A2443" s="133"/>
      <c r="B2443" s="195"/>
      <c r="C2443" s="226"/>
      <c r="D2443" s="226"/>
      <c r="E2443" s="176"/>
      <c r="F2443" s="226"/>
      <c r="G2443" s="229"/>
      <c r="H2443" s="200"/>
    </row>
    <row r="2444" spans="1:8" x14ac:dyDescent="0.25">
      <c r="A2444" s="133"/>
      <c r="B2444" s="195"/>
      <c r="C2444" s="226"/>
      <c r="D2444" s="226"/>
      <c r="E2444" s="171"/>
      <c r="F2444" s="226"/>
      <c r="G2444" s="231"/>
      <c r="H2444" s="200"/>
    </row>
    <row r="2445" spans="1:8" x14ac:dyDescent="0.25">
      <c r="A2445" s="133"/>
      <c r="B2445" s="195"/>
      <c r="C2445" s="226"/>
      <c r="D2445" s="232"/>
      <c r="E2445" s="232"/>
      <c r="F2445" s="226"/>
      <c r="G2445" s="229"/>
      <c r="H2445" s="200"/>
    </row>
    <row r="2446" spans="1:8" ht="15.75" thickBot="1" x14ac:dyDescent="0.3">
      <c r="A2446" s="133"/>
      <c r="B2446" s="195"/>
      <c r="C2446" s="226"/>
      <c r="D2446" s="232"/>
      <c r="E2446" s="232"/>
      <c r="F2446" s="226"/>
      <c r="G2446" s="229"/>
      <c r="H2446" s="200"/>
    </row>
    <row r="2447" spans="1:8" ht="15.75" thickBot="1" x14ac:dyDescent="0.3">
      <c r="A2447" s="133"/>
      <c r="B2447" s="233"/>
      <c r="C2447" s="234"/>
      <c r="D2447" s="234"/>
      <c r="E2447" s="234"/>
      <c r="F2447" s="235"/>
      <c r="G2447" s="236"/>
      <c r="H2447" s="237">
        <f>+SUM(G2441:G2447)</f>
        <v>112458.60576804061</v>
      </c>
    </row>
    <row r="2448" spans="1:8" ht="15.75" thickBot="1" x14ac:dyDescent="0.3">
      <c r="A2448" s="133"/>
      <c r="B2448" s="238"/>
      <c r="C2448" s="238"/>
      <c r="D2448" s="238"/>
      <c r="E2448" s="238"/>
      <c r="F2448" s="239"/>
      <c r="G2448" s="240"/>
      <c r="H2448" s="241"/>
    </row>
    <row r="2449" spans="1:8" ht="15.75" thickBot="1" x14ac:dyDescent="0.3">
      <c r="A2449" s="133"/>
      <c r="B2449" s="224" t="s">
        <v>5408</v>
      </c>
      <c r="C2449" s="193" t="s">
        <v>867</v>
      </c>
      <c r="D2449" s="193" t="s">
        <v>6</v>
      </c>
      <c r="E2449" s="193" t="s">
        <v>870</v>
      </c>
      <c r="F2449" s="193" t="s">
        <v>5409</v>
      </c>
      <c r="G2449" s="225" t="s">
        <v>868</v>
      </c>
      <c r="H2449" s="200"/>
    </row>
    <row r="2450" spans="1:8" x14ac:dyDescent="0.25">
      <c r="A2450" s="133"/>
      <c r="B2450" s="295"/>
      <c r="C2450" s="202"/>
      <c r="D2450" s="226"/>
      <c r="E2450" s="244"/>
      <c r="F2450" s="169"/>
      <c r="G2450" s="178">
        <f>+D2450*E2450*(1+F2450)</f>
        <v>0</v>
      </c>
      <c r="H2450" s="200"/>
    </row>
    <row r="2451" spans="1:8" x14ac:dyDescent="0.25">
      <c r="A2451" s="133"/>
      <c r="B2451" s="450"/>
      <c r="C2451" s="202"/>
      <c r="D2451" s="202"/>
      <c r="E2451" s="257"/>
      <c r="F2451" s="169"/>
      <c r="G2451" s="178">
        <f>+D2451*E2451*(1+F2451)</f>
        <v>0</v>
      </c>
      <c r="H2451" s="200"/>
    </row>
    <row r="2452" spans="1:8" x14ac:dyDescent="0.25">
      <c r="A2452" s="133"/>
      <c r="B2452" s="247"/>
      <c r="C2452" s="226"/>
      <c r="D2452" s="226"/>
      <c r="E2452" s="244"/>
      <c r="F2452" s="169"/>
      <c r="G2452" s="178">
        <f>+D2452*E2452*(1+F2452)</f>
        <v>0</v>
      </c>
      <c r="H2452" s="200"/>
    </row>
    <row r="2453" spans="1:8" x14ac:dyDescent="0.25">
      <c r="A2453" s="133"/>
      <c r="B2453" s="194"/>
      <c r="C2453" s="226"/>
      <c r="D2453" s="226"/>
      <c r="E2453" s="244"/>
      <c r="F2453" s="169"/>
      <c r="G2453" s="178">
        <f>+D2453*E2453*(1+F2453)</f>
        <v>0</v>
      </c>
      <c r="H2453" s="200"/>
    </row>
    <row r="2454" spans="1:8" x14ac:dyDescent="0.25">
      <c r="A2454" s="133"/>
      <c r="B2454" s="195"/>
      <c r="C2454" s="226"/>
      <c r="D2454" s="226"/>
      <c r="E2454" s="171"/>
      <c r="F2454" s="169"/>
      <c r="G2454" s="178"/>
      <c r="H2454" s="200"/>
    </row>
    <row r="2455" spans="1:8" x14ac:dyDescent="0.25">
      <c r="A2455" s="133"/>
      <c r="B2455" s="194"/>
      <c r="C2455" s="202"/>
      <c r="D2455" s="202"/>
      <c r="E2455" s="171"/>
      <c r="F2455" s="169"/>
      <c r="G2455" s="178"/>
      <c r="H2455" s="200"/>
    </row>
    <row r="2456" spans="1:8" x14ac:dyDescent="0.25">
      <c r="A2456" s="133"/>
      <c r="B2456" s="195"/>
      <c r="C2456" s="226"/>
      <c r="D2456" s="226"/>
      <c r="E2456" s="171"/>
      <c r="F2456" s="169"/>
      <c r="G2456" s="178"/>
      <c r="H2456" s="200"/>
    </row>
    <row r="2457" spans="1:8" x14ac:dyDescent="0.25">
      <c r="A2457" s="133"/>
      <c r="B2457" s="195"/>
      <c r="C2457" s="226"/>
      <c r="D2457" s="226"/>
      <c r="E2457" s="171"/>
      <c r="F2457" s="169"/>
      <c r="G2457" s="178"/>
      <c r="H2457" s="200"/>
    </row>
    <row r="2458" spans="1:8" x14ac:dyDescent="0.25">
      <c r="A2458" s="133"/>
      <c r="B2458" s="195"/>
      <c r="C2458" s="232"/>
      <c r="D2458" s="232"/>
      <c r="E2458" s="232"/>
      <c r="F2458" s="226"/>
      <c r="G2458" s="229"/>
      <c r="H2458" s="200"/>
    </row>
    <row r="2459" spans="1:8" x14ac:dyDescent="0.25">
      <c r="A2459" s="133"/>
      <c r="B2459" s="195"/>
      <c r="C2459" s="232"/>
      <c r="D2459" s="232"/>
      <c r="E2459" s="232"/>
      <c r="F2459" s="226"/>
      <c r="G2459" s="229"/>
      <c r="H2459" s="200"/>
    </row>
    <row r="2460" spans="1:8" x14ac:dyDescent="0.25">
      <c r="A2460" s="133"/>
      <c r="B2460" s="195"/>
      <c r="C2460" s="232"/>
      <c r="D2460" s="232"/>
      <c r="E2460" s="232"/>
      <c r="F2460" s="226"/>
      <c r="G2460" s="229"/>
      <c r="H2460" s="200"/>
    </row>
    <row r="2461" spans="1:8" ht="15.75" thickBot="1" x14ac:dyDescent="0.3">
      <c r="A2461" s="133"/>
      <c r="B2461" s="195"/>
      <c r="C2461" s="232"/>
      <c r="D2461" s="232"/>
      <c r="E2461" s="232"/>
      <c r="F2461" s="226"/>
      <c r="G2461" s="229"/>
      <c r="H2461" s="200"/>
    </row>
    <row r="2462" spans="1:8" ht="15.75" thickBot="1" x14ac:dyDescent="0.3">
      <c r="A2462" s="133"/>
      <c r="B2462" s="233"/>
      <c r="C2462" s="234"/>
      <c r="D2462" s="234"/>
      <c r="E2462" s="234"/>
      <c r="F2462" s="235"/>
      <c r="G2462" s="236"/>
      <c r="H2462" s="256">
        <f>+SUM(G2450:G2462)</f>
        <v>0</v>
      </c>
    </row>
    <row r="2463" spans="1:8" ht="15.75" thickBot="1" x14ac:dyDescent="0.3">
      <c r="A2463" s="133"/>
      <c r="B2463" s="238"/>
      <c r="C2463" s="238"/>
      <c r="D2463" s="238"/>
      <c r="E2463" s="238"/>
      <c r="F2463" s="239"/>
      <c r="G2463" s="240"/>
      <c r="H2463" s="241"/>
    </row>
    <row r="2464" spans="1:8" ht="15.75" thickBot="1" x14ac:dyDescent="0.3">
      <c r="A2464" s="133"/>
      <c r="B2464" s="224" t="s">
        <v>5410</v>
      </c>
      <c r="C2464" s="193" t="s">
        <v>867</v>
      </c>
      <c r="D2464" s="193" t="s">
        <v>6</v>
      </c>
      <c r="E2464" s="193" t="s">
        <v>870</v>
      </c>
      <c r="F2464" s="193" t="s">
        <v>5411</v>
      </c>
      <c r="G2464" s="225" t="s">
        <v>868</v>
      </c>
      <c r="H2464" s="200"/>
    </row>
    <row r="2465" spans="1:8" x14ac:dyDescent="0.25">
      <c r="A2465" s="133"/>
      <c r="B2465" s="245"/>
      <c r="C2465" s="202"/>
      <c r="D2465" s="202"/>
      <c r="E2465" s="175"/>
      <c r="F2465" s="202"/>
      <c r="G2465" s="203"/>
      <c r="H2465" s="246"/>
    </row>
    <row r="2466" spans="1:8" x14ac:dyDescent="0.25">
      <c r="A2466" s="133"/>
      <c r="B2466" s="247"/>
      <c r="C2466" s="248"/>
      <c r="D2466" s="248"/>
      <c r="E2466" s="248"/>
      <c r="F2466" s="202"/>
      <c r="G2466" s="178"/>
      <c r="H2466" s="200"/>
    </row>
    <row r="2467" spans="1:8" x14ac:dyDescent="0.25">
      <c r="A2467" s="133"/>
      <c r="B2467" s="247"/>
      <c r="C2467" s="232"/>
      <c r="D2467" s="232"/>
      <c r="E2467" s="232"/>
      <c r="F2467" s="226"/>
      <c r="G2467" s="229"/>
      <c r="H2467" s="200"/>
    </row>
    <row r="2468" spans="1:8" x14ac:dyDescent="0.25">
      <c r="A2468" s="133"/>
      <c r="B2468" s="194"/>
      <c r="C2468" s="232"/>
      <c r="D2468" s="232"/>
      <c r="E2468" s="232"/>
      <c r="F2468" s="226"/>
      <c r="G2468" s="229"/>
      <c r="H2468" s="200"/>
    </row>
    <row r="2469" spans="1:8" ht="15.75" thickBot="1" x14ac:dyDescent="0.3">
      <c r="A2469" s="133"/>
      <c r="B2469" s="195"/>
      <c r="C2469" s="232"/>
      <c r="D2469" s="232"/>
      <c r="E2469" s="232"/>
      <c r="F2469" s="226"/>
      <c r="G2469" s="229"/>
      <c r="H2469" s="200"/>
    </row>
    <row r="2470" spans="1:8" ht="15.75" thickBot="1" x14ac:dyDescent="0.3">
      <c r="A2470" s="133"/>
      <c r="B2470" s="233"/>
      <c r="C2470" s="234"/>
      <c r="D2470" s="234"/>
      <c r="E2470" s="234"/>
      <c r="F2470" s="235"/>
      <c r="G2470" s="236"/>
      <c r="H2470" s="237">
        <f>+SUM(G2465:G2470)</f>
        <v>0</v>
      </c>
    </row>
    <row r="2471" spans="1:8" ht="15.75" thickBot="1" x14ac:dyDescent="0.3">
      <c r="A2471" s="133"/>
      <c r="B2471" s="238"/>
      <c r="C2471" s="238"/>
      <c r="D2471" s="238"/>
      <c r="E2471" s="238"/>
      <c r="F2471" s="249"/>
      <c r="G2471" s="250"/>
      <c r="H2471" s="241"/>
    </row>
    <row r="2472" spans="1:8" ht="15.75" thickBot="1" x14ac:dyDescent="0.3">
      <c r="A2472" s="133"/>
      <c r="B2472" s="224" t="s">
        <v>5412</v>
      </c>
      <c r="C2472" s="193" t="s">
        <v>5420</v>
      </c>
      <c r="D2472" s="193" t="s">
        <v>5421</v>
      </c>
      <c r="E2472" s="193" t="s">
        <v>5413</v>
      </c>
      <c r="F2472" s="193" t="s">
        <v>5405</v>
      </c>
      <c r="G2472" s="225" t="s">
        <v>868</v>
      </c>
      <c r="H2472" s="200"/>
    </row>
    <row r="2473" spans="1:8" x14ac:dyDescent="0.25">
      <c r="A2473" s="133"/>
      <c r="B2473" s="194" t="s">
        <v>5948</v>
      </c>
      <c r="C2473" s="345">
        <v>70000</v>
      </c>
      <c r="D2473" s="176">
        <f>+C2473*0.85</f>
        <v>59500</v>
      </c>
      <c r="E2473" s="176">
        <f>+C2473+D2473</f>
        <v>129500</v>
      </c>
      <c r="F2473" s="204">
        <v>1.6157999999999999</v>
      </c>
      <c r="G2473" s="178">
        <f>+E2473/F2473</f>
        <v>80146.057680405997</v>
      </c>
      <c r="H2473" s="200"/>
    </row>
    <row r="2474" spans="1:8" x14ac:dyDescent="0.25">
      <c r="A2474" s="133"/>
      <c r="B2474" s="194" t="s">
        <v>5651</v>
      </c>
      <c r="C2474" s="345">
        <v>40000</v>
      </c>
      <c r="D2474" s="176">
        <f>+C2474*0.85</f>
        <v>34000</v>
      </c>
      <c r="E2474" s="176">
        <f>+C2474+D2474</f>
        <v>74000</v>
      </c>
      <c r="F2474" s="202">
        <v>0.125</v>
      </c>
      <c r="G2474" s="178">
        <f>+E2474/F2474</f>
        <v>592000</v>
      </c>
      <c r="H2474" s="200"/>
    </row>
    <row r="2475" spans="1:8" x14ac:dyDescent="0.25">
      <c r="A2475" s="133"/>
      <c r="B2475" s="195" t="s">
        <v>5635</v>
      </c>
      <c r="C2475" s="345">
        <v>20600</v>
      </c>
      <c r="D2475" s="176">
        <f>+C2475*0.85</f>
        <v>17510</v>
      </c>
      <c r="E2475" s="176">
        <f>+C2475+D2475</f>
        <v>38110</v>
      </c>
      <c r="F2475" s="226">
        <v>0.25</v>
      </c>
      <c r="G2475" s="178">
        <f>+E2475/F2475</f>
        <v>152440</v>
      </c>
      <c r="H2475" s="200"/>
    </row>
    <row r="2476" spans="1:8" x14ac:dyDescent="0.25">
      <c r="A2476" s="133"/>
      <c r="B2476" s="195"/>
      <c r="C2476" s="171"/>
      <c r="D2476" s="176"/>
      <c r="E2476" s="176"/>
      <c r="F2476" s="226"/>
      <c r="G2476" s="178"/>
      <c r="H2476" s="200"/>
    </row>
    <row r="2477" spans="1:8" x14ac:dyDescent="0.25">
      <c r="A2477" s="133"/>
      <c r="B2477" s="195"/>
      <c r="C2477" s="232"/>
      <c r="D2477" s="232"/>
      <c r="E2477" s="232"/>
      <c r="F2477" s="226"/>
      <c r="G2477" s="229"/>
      <c r="H2477" s="200"/>
    </row>
    <row r="2478" spans="1:8" ht="15.75" thickBot="1" x14ac:dyDescent="0.3">
      <c r="A2478" s="133"/>
      <c r="B2478" s="195"/>
      <c r="C2478" s="232"/>
      <c r="D2478" s="232"/>
      <c r="E2478" s="232"/>
      <c r="F2478" s="226"/>
      <c r="G2478" s="229"/>
      <c r="H2478" s="200"/>
    </row>
    <row r="2479" spans="1:8" ht="15.75" thickBot="1" x14ac:dyDescent="0.3">
      <c r="A2479" s="133"/>
      <c r="B2479" s="251"/>
      <c r="C2479" s="252"/>
      <c r="D2479" s="252"/>
      <c r="E2479" s="252"/>
      <c r="F2479" s="253"/>
      <c r="G2479" s="254"/>
      <c r="H2479" s="256">
        <f>+SUM(G2473:G2479)</f>
        <v>824586.05768040603</v>
      </c>
    </row>
    <row r="2480" spans="1:8" ht="15.75" thickBot="1" x14ac:dyDescent="0.3">
      <c r="A2480" s="133"/>
      <c r="B2480" s="8"/>
      <c r="C2480" s="8"/>
      <c r="D2480" s="8"/>
      <c r="E2480" s="8"/>
      <c r="F2480" s="133"/>
      <c r="G2480" s="200"/>
      <c r="H2480" s="200"/>
    </row>
    <row r="2481" spans="1:8" ht="15.75" thickBot="1" x14ac:dyDescent="0.3">
      <c r="A2481" s="133"/>
      <c r="B2481" s="8"/>
      <c r="C2481" s="8"/>
      <c r="D2481" s="8"/>
      <c r="E2481" s="223" t="s">
        <v>5415</v>
      </c>
      <c r="F2481" s="133"/>
      <c r="G2481" s="200"/>
      <c r="H2481" s="256">
        <f>ROUND(+H2479+H2470+H2462+H2447,0)</f>
        <v>937045</v>
      </c>
    </row>
    <row r="2482" spans="1:8" x14ac:dyDescent="0.25">
      <c r="A2482" s="265"/>
      <c r="B2482" s="265"/>
      <c r="C2482" s="265"/>
      <c r="D2482" s="265"/>
      <c r="E2482" s="265"/>
      <c r="F2482" s="265"/>
      <c r="G2482" s="265"/>
      <c r="H2482" s="265"/>
    </row>
    <row r="2483" spans="1:8" x14ac:dyDescent="0.25">
      <c r="A2483" s="265"/>
      <c r="B2483" s="265"/>
      <c r="C2483" s="265"/>
      <c r="D2483" s="265"/>
      <c r="E2483" s="265"/>
      <c r="F2483" s="265"/>
      <c r="G2483" s="265"/>
      <c r="H2483" s="265"/>
    </row>
    <row r="2484" spans="1:8" x14ac:dyDescent="0.25">
      <c r="A2484" s="265"/>
      <c r="B2484" s="265"/>
      <c r="C2484" s="265"/>
      <c r="D2484" s="265"/>
      <c r="E2484" s="265"/>
      <c r="F2484" s="265"/>
      <c r="G2484" s="265"/>
      <c r="H2484" s="265"/>
    </row>
    <row r="2485" spans="1:8" x14ac:dyDescent="0.25">
      <c r="A2485" s="265"/>
      <c r="B2485" s="265"/>
      <c r="C2485" s="265"/>
      <c r="D2485" s="265"/>
      <c r="E2485" s="265"/>
      <c r="F2485" s="265"/>
      <c r="G2485" s="265"/>
      <c r="H2485" s="265"/>
    </row>
    <row r="2486" spans="1:8" ht="18.75" x14ac:dyDescent="0.25">
      <c r="A2486" s="133"/>
      <c r="B2486" s="2506" t="s">
        <v>5400</v>
      </c>
      <c r="C2486" s="2506"/>
      <c r="D2486" s="2506"/>
      <c r="E2486" s="2506"/>
      <c r="F2486" s="2506"/>
      <c r="G2486" s="2506"/>
      <c r="H2486" s="8"/>
    </row>
    <row r="2487" spans="1:8" x14ac:dyDescent="0.25">
      <c r="A2487" s="133"/>
      <c r="B2487" s="8"/>
      <c r="C2487" s="8"/>
      <c r="D2487" s="8"/>
      <c r="E2487" s="8"/>
      <c r="F2487" s="133"/>
      <c r="G2487" s="200"/>
      <c r="H2487" s="200"/>
    </row>
    <row r="2488" spans="1:8" x14ac:dyDescent="0.25">
      <c r="A2488" s="133"/>
      <c r="B2488" s="8"/>
      <c r="C2488" s="8"/>
      <c r="D2488" s="8"/>
      <c r="E2488" s="8"/>
      <c r="F2488" s="133"/>
      <c r="G2488" s="200"/>
      <c r="H2488" s="200"/>
    </row>
    <row r="2489" spans="1:8" x14ac:dyDescent="0.25">
      <c r="A2489" s="133"/>
      <c r="B2489" s="8"/>
      <c r="C2489" s="8"/>
      <c r="D2489" s="8"/>
      <c r="E2489" s="8"/>
      <c r="F2489" s="133"/>
      <c r="G2489" s="200"/>
      <c r="H2489" s="200"/>
    </row>
    <row r="2490" spans="1:8" ht="39" customHeight="1" x14ac:dyDescent="0.25">
      <c r="A2490" s="220" t="s">
        <v>5482</v>
      </c>
      <c r="B2490" s="221" t="s">
        <v>529</v>
      </c>
      <c r="C2490" s="2449" t="s">
        <v>5519</v>
      </c>
      <c r="D2490" s="2449"/>
      <c r="E2490" s="2449"/>
      <c r="F2490" s="220" t="s">
        <v>867</v>
      </c>
      <c r="G2490" s="222" t="s">
        <v>5424</v>
      </c>
      <c r="H2490" s="200"/>
    </row>
    <row r="2491" spans="1:8" x14ac:dyDescent="0.25">
      <c r="A2491" s="133"/>
      <c r="B2491" s="8"/>
      <c r="C2491" s="223"/>
      <c r="D2491" s="223"/>
      <c r="E2491" s="223"/>
      <c r="F2491" s="133"/>
      <c r="G2491" s="200"/>
      <c r="H2491" s="200"/>
    </row>
    <row r="2492" spans="1:8" x14ac:dyDescent="0.25">
      <c r="A2492" s="133"/>
      <c r="B2492" s="8"/>
      <c r="C2492" s="8"/>
      <c r="D2492" s="8"/>
      <c r="E2492" s="8"/>
      <c r="F2492" s="8"/>
      <c r="G2492" s="8"/>
      <c r="H2492" s="200"/>
    </row>
    <row r="2493" spans="1:8" ht="15.75" thickBot="1" x14ac:dyDescent="0.3">
      <c r="A2493" s="133"/>
      <c r="B2493" s="8"/>
      <c r="C2493" s="8"/>
      <c r="D2493" s="8"/>
      <c r="E2493" s="8"/>
      <c r="F2493" s="133"/>
      <c r="G2493" s="200"/>
      <c r="H2493" s="200"/>
    </row>
    <row r="2494" spans="1:8" ht="15.75" thickBot="1" x14ac:dyDescent="0.3">
      <c r="A2494" s="133"/>
      <c r="B2494" s="224" t="s">
        <v>5403</v>
      </c>
      <c r="C2494" s="193" t="s">
        <v>867</v>
      </c>
      <c r="D2494" s="193" t="s">
        <v>6</v>
      </c>
      <c r="E2494" s="193" t="s">
        <v>5439</v>
      </c>
      <c r="F2494" s="193" t="s">
        <v>5405</v>
      </c>
      <c r="G2494" s="225" t="s">
        <v>868</v>
      </c>
      <c r="H2494" s="200"/>
    </row>
    <row r="2495" spans="1:8" x14ac:dyDescent="0.25">
      <c r="A2495" s="133"/>
      <c r="B2495" s="195" t="s">
        <v>5440</v>
      </c>
      <c r="C2495" s="226" t="s">
        <v>5402</v>
      </c>
      <c r="D2495" s="226">
        <v>1</v>
      </c>
      <c r="E2495" s="263">
        <f>+H2533</f>
        <v>646883.33333333326</v>
      </c>
      <c r="F2495" s="226">
        <v>0.1</v>
      </c>
      <c r="G2495" s="229">
        <f>+E2495*F2495</f>
        <v>64688.333333333328</v>
      </c>
      <c r="H2495" s="200"/>
    </row>
    <row r="2496" spans="1:8" x14ac:dyDescent="0.25">
      <c r="A2496" s="133"/>
      <c r="B2496" s="195" t="s">
        <v>6063</v>
      </c>
      <c r="C2496" s="226" t="s">
        <v>5424</v>
      </c>
      <c r="D2496" s="226">
        <v>1</v>
      </c>
      <c r="E2496" s="176">
        <v>120000</v>
      </c>
      <c r="F2496" s="226">
        <v>1</v>
      </c>
      <c r="G2496" s="229">
        <f>+E2496/F2496</f>
        <v>120000</v>
      </c>
      <c r="H2496" s="200"/>
    </row>
    <row r="2497" spans="1:8" x14ac:dyDescent="0.25">
      <c r="A2497" s="133"/>
      <c r="B2497" s="195"/>
      <c r="C2497" s="226"/>
      <c r="D2497" s="226"/>
      <c r="E2497" s="176"/>
      <c r="F2497" s="226"/>
      <c r="G2497" s="229"/>
      <c r="H2497" s="200"/>
    </row>
    <row r="2498" spans="1:8" x14ac:dyDescent="0.25">
      <c r="A2498" s="133"/>
      <c r="B2498" s="195"/>
      <c r="C2498" s="226"/>
      <c r="D2498" s="226"/>
      <c r="E2498" s="171"/>
      <c r="F2498" s="226"/>
      <c r="G2498" s="231"/>
      <c r="H2498" s="200"/>
    </row>
    <row r="2499" spans="1:8" x14ac:dyDescent="0.25">
      <c r="A2499" s="133"/>
      <c r="B2499" s="195"/>
      <c r="C2499" s="226"/>
      <c r="D2499" s="232"/>
      <c r="E2499" s="232"/>
      <c r="F2499" s="226"/>
      <c r="G2499" s="229"/>
      <c r="H2499" s="200"/>
    </row>
    <row r="2500" spans="1:8" ht="15.75" thickBot="1" x14ac:dyDescent="0.3">
      <c r="A2500" s="133"/>
      <c r="B2500" s="195"/>
      <c r="C2500" s="226"/>
      <c r="D2500" s="232"/>
      <c r="E2500" s="232"/>
      <c r="F2500" s="226"/>
      <c r="G2500" s="229"/>
      <c r="H2500" s="200"/>
    </row>
    <row r="2501" spans="1:8" ht="15.75" thickBot="1" x14ac:dyDescent="0.3">
      <c r="A2501" s="133"/>
      <c r="B2501" s="233"/>
      <c r="C2501" s="234"/>
      <c r="D2501" s="234"/>
      <c r="E2501" s="234"/>
      <c r="F2501" s="235"/>
      <c r="G2501" s="236"/>
      <c r="H2501" s="237">
        <f>+SUM(G2495:G2501)</f>
        <v>184688.33333333331</v>
      </c>
    </row>
    <row r="2502" spans="1:8" ht="15.75" thickBot="1" x14ac:dyDescent="0.3">
      <c r="A2502" s="133"/>
      <c r="B2502" s="238"/>
      <c r="C2502" s="238"/>
      <c r="D2502" s="238"/>
      <c r="E2502" s="238"/>
      <c r="F2502" s="239"/>
      <c r="G2502" s="240"/>
      <c r="H2502" s="241"/>
    </row>
    <row r="2503" spans="1:8" ht="15.75" thickBot="1" x14ac:dyDescent="0.3">
      <c r="A2503" s="133"/>
      <c r="B2503" s="224" t="s">
        <v>5408</v>
      </c>
      <c r="C2503" s="193" t="s">
        <v>867</v>
      </c>
      <c r="D2503" s="193" t="s">
        <v>6</v>
      </c>
      <c r="E2503" s="193" t="s">
        <v>870</v>
      </c>
      <c r="F2503" s="193" t="s">
        <v>5409</v>
      </c>
      <c r="G2503" s="225" t="s">
        <v>868</v>
      </c>
      <c r="H2503" s="200"/>
    </row>
    <row r="2504" spans="1:8" x14ac:dyDescent="0.25">
      <c r="A2504" s="133"/>
      <c r="B2504" s="295"/>
      <c r="C2504" s="202"/>
      <c r="D2504" s="226"/>
      <c r="E2504" s="244"/>
      <c r="F2504" s="169"/>
      <c r="G2504" s="178">
        <f>+D2504*E2504*(1+F2504)</f>
        <v>0</v>
      </c>
      <c r="H2504" s="200"/>
    </row>
    <row r="2505" spans="1:8" x14ac:dyDescent="0.25">
      <c r="A2505" s="133"/>
      <c r="B2505" s="450"/>
      <c r="C2505" s="202"/>
      <c r="D2505" s="202"/>
      <c r="E2505" s="257"/>
      <c r="F2505" s="169"/>
      <c r="G2505" s="178">
        <f>+D2505*E2505*(1+F2505)</f>
        <v>0</v>
      </c>
      <c r="H2505" s="200"/>
    </row>
    <row r="2506" spans="1:8" x14ac:dyDescent="0.25">
      <c r="A2506" s="133"/>
      <c r="B2506" s="247"/>
      <c r="C2506" s="226"/>
      <c r="D2506" s="226"/>
      <c r="E2506" s="244"/>
      <c r="F2506" s="169"/>
      <c r="G2506" s="178">
        <f>+D2506*E2506*(1+F2506)</f>
        <v>0</v>
      </c>
      <c r="H2506" s="200"/>
    </row>
    <row r="2507" spans="1:8" x14ac:dyDescent="0.25">
      <c r="A2507" s="133"/>
      <c r="B2507" s="194"/>
      <c r="C2507" s="226"/>
      <c r="D2507" s="226"/>
      <c r="E2507" s="244"/>
      <c r="F2507" s="169"/>
      <c r="G2507" s="178">
        <f>+D2507*E2507*(1+F2507)</f>
        <v>0</v>
      </c>
      <c r="H2507" s="200"/>
    </row>
    <row r="2508" spans="1:8" x14ac:dyDescent="0.25">
      <c r="A2508" s="133"/>
      <c r="B2508" s="195"/>
      <c r="C2508" s="226"/>
      <c r="D2508" s="226"/>
      <c r="E2508" s="171"/>
      <c r="F2508" s="169"/>
      <c r="G2508" s="178"/>
      <c r="H2508" s="200"/>
    </row>
    <row r="2509" spans="1:8" x14ac:dyDescent="0.25">
      <c r="A2509" s="133"/>
      <c r="B2509" s="194"/>
      <c r="C2509" s="202"/>
      <c r="D2509" s="202"/>
      <c r="E2509" s="171"/>
      <c r="F2509" s="169"/>
      <c r="G2509" s="178"/>
      <c r="H2509" s="200"/>
    </row>
    <row r="2510" spans="1:8" x14ac:dyDescent="0.25">
      <c r="A2510" s="133"/>
      <c r="B2510" s="195"/>
      <c r="C2510" s="226"/>
      <c r="D2510" s="226"/>
      <c r="E2510" s="171"/>
      <c r="F2510" s="169"/>
      <c r="G2510" s="178"/>
      <c r="H2510" s="200"/>
    </row>
    <row r="2511" spans="1:8" x14ac:dyDescent="0.25">
      <c r="A2511" s="133"/>
      <c r="B2511" s="195"/>
      <c r="C2511" s="226"/>
      <c r="D2511" s="226"/>
      <c r="E2511" s="171"/>
      <c r="F2511" s="169"/>
      <c r="G2511" s="178"/>
      <c r="H2511" s="200"/>
    </row>
    <row r="2512" spans="1:8" x14ac:dyDescent="0.25">
      <c r="A2512" s="133"/>
      <c r="B2512" s="195"/>
      <c r="C2512" s="232"/>
      <c r="D2512" s="232"/>
      <c r="E2512" s="232"/>
      <c r="F2512" s="226"/>
      <c r="G2512" s="229"/>
      <c r="H2512" s="200"/>
    </row>
    <row r="2513" spans="1:8" x14ac:dyDescent="0.25">
      <c r="A2513" s="133"/>
      <c r="B2513" s="195"/>
      <c r="C2513" s="232"/>
      <c r="D2513" s="232"/>
      <c r="E2513" s="232"/>
      <c r="F2513" s="226"/>
      <c r="G2513" s="229"/>
      <c r="H2513" s="200"/>
    </row>
    <row r="2514" spans="1:8" x14ac:dyDescent="0.25">
      <c r="A2514" s="133"/>
      <c r="B2514" s="195"/>
      <c r="C2514" s="232"/>
      <c r="D2514" s="232"/>
      <c r="E2514" s="232"/>
      <c r="F2514" s="226"/>
      <c r="G2514" s="229"/>
      <c r="H2514" s="200"/>
    </row>
    <row r="2515" spans="1:8" ht="15.75" thickBot="1" x14ac:dyDescent="0.3">
      <c r="A2515" s="133"/>
      <c r="B2515" s="195"/>
      <c r="C2515" s="232"/>
      <c r="D2515" s="232"/>
      <c r="E2515" s="232"/>
      <c r="F2515" s="226"/>
      <c r="G2515" s="229"/>
      <c r="H2515" s="200"/>
    </row>
    <row r="2516" spans="1:8" ht="15.75" thickBot="1" x14ac:dyDescent="0.3">
      <c r="A2516" s="133"/>
      <c r="B2516" s="233"/>
      <c r="C2516" s="234"/>
      <c r="D2516" s="234"/>
      <c r="E2516" s="234"/>
      <c r="F2516" s="235"/>
      <c r="G2516" s="236"/>
      <c r="H2516" s="256">
        <f>+SUM(G2504:G2516)</f>
        <v>0</v>
      </c>
    </row>
    <row r="2517" spans="1:8" ht="15.75" thickBot="1" x14ac:dyDescent="0.3">
      <c r="A2517" s="133"/>
      <c r="B2517" s="238"/>
      <c r="C2517" s="238"/>
      <c r="D2517" s="238"/>
      <c r="E2517" s="238"/>
      <c r="F2517" s="239"/>
      <c r="G2517" s="240"/>
      <c r="H2517" s="241"/>
    </row>
    <row r="2518" spans="1:8" ht="15.75" thickBot="1" x14ac:dyDescent="0.3">
      <c r="A2518" s="133"/>
      <c r="B2518" s="224" t="s">
        <v>5410</v>
      </c>
      <c r="C2518" s="193" t="s">
        <v>867</v>
      </c>
      <c r="D2518" s="193" t="s">
        <v>6</v>
      </c>
      <c r="E2518" s="193" t="s">
        <v>870</v>
      </c>
      <c r="F2518" s="193" t="s">
        <v>5411</v>
      </c>
      <c r="G2518" s="225" t="s">
        <v>868</v>
      </c>
      <c r="H2518" s="200"/>
    </row>
    <row r="2519" spans="1:8" x14ac:dyDescent="0.25">
      <c r="A2519" s="133"/>
      <c r="B2519" s="245"/>
      <c r="C2519" s="202"/>
      <c r="D2519" s="202"/>
      <c r="E2519" s="175"/>
      <c r="F2519" s="202"/>
      <c r="G2519" s="203"/>
      <c r="H2519" s="246"/>
    </row>
    <row r="2520" spans="1:8" x14ac:dyDescent="0.25">
      <c r="A2520" s="133"/>
      <c r="B2520" s="247"/>
      <c r="C2520" s="248"/>
      <c r="D2520" s="248"/>
      <c r="E2520" s="248"/>
      <c r="F2520" s="202"/>
      <c r="G2520" s="178"/>
      <c r="H2520" s="200"/>
    </row>
    <row r="2521" spans="1:8" x14ac:dyDescent="0.25">
      <c r="A2521" s="133"/>
      <c r="B2521" s="247"/>
      <c r="C2521" s="232"/>
      <c r="D2521" s="232"/>
      <c r="E2521" s="232"/>
      <c r="F2521" s="226"/>
      <c r="G2521" s="229"/>
      <c r="H2521" s="200"/>
    </row>
    <row r="2522" spans="1:8" x14ac:dyDescent="0.25">
      <c r="A2522" s="133"/>
      <c r="B2522" s="194"/>
      <c r="C2522" s="232"/>
      <c r="D2522" s="232"/>
      <c r="E2522" s="232"/>
      <c r="F2522" s="226"/>
      <c r="G2522" s="229"/>
      <c r="H2522" s="200"/>
    </row>
    <row r="2523" spans="1:8" ht="15.75" thickBot="1" x14ac:dyDescent="0.3">
      <c r="A2523" s="133"/>
      <c r="B2523" s="195"/>
      <c r="C2523" s="232"/>
      <c r="D2523" s="232"/>
      <c r="E2523" s="232"/>
      <c r="F2523" s="226"/>
      <c r="G2523" s="229"/>
      <c r="H2523" s="200"/>
    </row>
    <row r="2524" spans="1:8" ht="15.75" thickBot="1" x14ac:dyDescent="0.3">
      <c r="A2524" s="133"/>
      <c r="B2524" s="233"/>
      <c r="C2524" s="234"/>
      <c r="D2524" s="234"/>
      <c r="E2524" s="234"/>
      <c r="F2524" s="235"/>
      <c r="G2524" s="236"/>
      <c r="H2524" s="237">
        <f>+SUM(G2519:G2524)</f>
        <v>0</v>
      </c>
    </row>
    <row r="2525" spans="1:8" ht="15.75" thickBot="1" x14ac:dyDescent="0.3">
      <c r="A2525" s="133"/>
      <c r="B2525" s="238"/>
      <c r="C2525" s="238"/>
      <c r="D2525" s="238"/>
      <c r="E2525" s="238"/>
      <c r="F2525" s="249"/>
      <c r="G2525" s="250"/>
      <c r="H2525" s="241"/>
    </row>
    <row r="2526" spans="1:8" ht="15.75" thickBot="1" x14ac:dyDescent="0.3">
      <c r="A2526" s="133"/>
      <c r="B2526" s="224" t="s">
        <v>5412</v>
      </c>
      <c r="C2526" s="193" t="s">
        <v>5420</v>
      </c>
      <c r="D2526" s="193" t="s">
        <v>5421</v>
      </c>
      <c r="E2526" s="193" t="s">
        <v>5413</v>
      </c>
      <c r="F2526" s="193" t="s">
        <v>5405</v>
      </c>
      <c r="G2526" s="225" t="s">
        <v>868</v>
      </c>
      <c r="H2526" s="200"/>
    </row>
    <row r="2527" spans="1:8" x14ac:dyDescent="0.25">
      <c r="A2527" s="133"/>
      <c r="B2527" s="194" t="s">
        <v>5948</v>
      </c>
      <c r="C2527" s="345">
        <v>70000</v>
      </c>
      <c r="D2527" s="176">
        <f>+C2527*0.85</f>
        <v>59500</v>
      </c>
      <c r="E2527" s="176">
        <f>+C2527+D2527</f>
        <v>129500</v>
      </c>
      <c r="F2527" s="204">
        <v>1.5</v>
      </c>
      <c r="G2527" s="178">
        <f>+E2527/F2527</f>
        <v>86333.333333333328</v>
      </c>
      <c r="H2527" s="200"/>
    </row>
    <row r="2528" spans="1:8" x14ac:dyDescent="0.25">
      <c r="A2528" s="133"/>
      <c r="B2528" s="194" t="s">
        <v>5651</v>
      </c>
      <c r="C2528" s="345">
        <v>40000</v>
      </c>
      <c r="D2528" s="176">
        <f>+C2528*0.85</f>
        <v>34000</v>
      </c>
      <c r="E2528" s="176">
        <f>+C2528+D2528</f>
        <v>74000</v>
      </c>
      <c r="F2528" s="202">
        <v>0.2</v>
      </c>
      <c r="G2528" s="178">
        <f>+E2528/F2528</f>
        <v>370000</v>
      </c>
      <c r="H2528" s="200"/>
    </row>
    <row r="2529" spans="1:8" x14ac:dyDescent="0.25">
      <c r="A2529" s="133"/>
      <c r="B2529" s="195" t="s">
        <v>5635</v>
      </c>
      <c r="C2529" s="345">
        <v>20600</v>
      </c>
      <c r="D2529" s="176">
        <f>+C2529*0.85</f>
        <v>17510</v>
      </c>
      <c r="E2529" s="176">
        <f>+C2529+D2529</f>
        <v>38110</v>
      </c>
      <c r="F2529" s="226">
        <v>0.2</v>
      </c>
      <c r="G2529" s="178">
        <f>+E2529/F2529</f>
        <v>190550</v>
      </c>
      <c r="H2529" s="200"/>
    </row>
    <row r="2530" spans="1:8" x14ac:dyDescent="0.25">
      <c r="A2530" s="133"/>
      <c r="B2530" s="195"/>
      <c r="C2530" s="171"/>
      <c r="D2530" s="176"/>
      <c r="E2530" s="176"/>
      <c r="F2530" s="226"/>
      <c r="G2530" s="178"/>
      <c r="H2530" s="200"/>
    </row>
    <row r="2531" spans="1:8" x14ac:dyDescent="0.25">
      <c r="A2531" s="133"/>
      <c r="B2531" s="195"/>
      <c r="C2531" s="232"/>
      <c r="D2531" s="232"/>
      <c r="E2531" s="232"/>
      <c r="F2531" s="226"/>
      <c r="G2531" s="229"/>
      <c r="H2531" s="200"/>
    </row>
    <row r="2532" spans="1:8" ht="15.75" thickBot="1" x14ac:dyDescent="0.3">
      <c r="A2532" s="133"/>
      <c r="B2532" s="195"/>
      <c r="C2532" s="232"/>
      <c r="D2532" s="232"/>
      <c r="E2532" s="232"/>
      <c r="F2532" s="226"/>
      <c r="G2532" s="229"/>
      <c r="H2532" s="200"/>
    </row>
    <row r="2533" spans="1:8" ht="15.75" thickBot="1" x14ac:dyDescent="0.3">
      <c r="A2533" s="133"/>
      <c r="B2533" s="251"/>
      <c r="C2533" s="252"/>
      <c r="D2533" s="252"/>
      <c r="E2533" s="252"/>
      <c r="F2533" s="253"/>
      <c r="G2533" s="254"/>
      <c r="H2533" s="256">
        <f>+SUM(G2527:G2533)</f>
        <v>646883.33333333326</v>
      </c>
    </row>
    <row r="2534" spans="1:8" ht="15.75" thickBot="1" x14ac:dyDescent="0.3">
      <c r="A2534" s="133"/>
      <c r="B2534" s="8"/>
      <c r="C2534" s="8"/>
      <c r="D2534" s="8"/>
      <c r="E2534" s="8"/>
      <c r="F2534" s="133"/>
      <c r="G2534" s="200"/>
      <c r="H2534" s="200"/>
    </row>
    <row r="2535" spans="1:8" ht="15.75" thickBot="1" x14ac:dyDescent="0.3">
      <c r="A2535" s="133"/>
      <c r="B2535" s="8"/>
      <c r="C2535" s="8"/>
      <c r="D2535" s="8"/>
      <c r="E2535" s="223" t="s">
        <v>5415</v>
      </c>
      <c r="F2535" s="133"/>
      <c r="G2535" s="200"/>
      <c r="H2535" s="256">
        <f>ROUND(+H2533+H2524+H2516+H2501,0)</f>
        <v>831572</v>
      </c>
    </row>
    <row r="2536" spans="1:8" x14ac:dyDescent="0.25">
      <c r="A2536" s="265"/>
      <c r="B2536" s="265"/>
      <c r="C2536" s="265"/>
      <c r="D2536" s="265"/>
      <c r="E2536" s="265"/>
      <c r="F2536" s="265"/>
      <c r="G2536" s="265"/>
      <c r="H2536" s="265"/>
    </row>
    <row r="2537" spans="1:8" x14ac:dyDescent="0.25">
      <c r="A2537" s="265"/>
      <c r="B2537" s="265"/>
      <c r="C2537" s="265"/>
      <c r="D2537" s="265"/>
      <c r="E2537" s="265"/>
      <c r="F2537" s="265"/>
      <c r="G2537" s="265"/>
      <c r="H2537" s="265"/>
    </row>
    <row r="2538" spans="1:8" x14ac:dyDescent="0.25">
      <c r="A2538" s="265"/>
      <c r="B2538" s="265"/>
      <c r="C2538" s="265"/>
      <c r="D2538" s="265"/>
      <c r="E2538" s="265"/>
      <c r="F2538" s="265"/>
      <c r="G2538" s="265"/>
      <c r="H2538" s="265"/>
    </row>
    <row r="2539" spans="1:8" x14ac:dyDescent="0.25">
      <c r="A2539" s="265"/>
      <c r="B2539" s="265"/>
      <c r="C2539" s="265"/>
      <c r="D2539" s="265"/>
      <c r="E2539" s="265"/>
      <c r="F2539" s="265"/>
      <c r="G2539" s="265"/>
      <c r="H2539" s="265"/>
    </row>
    <row r="2540" spans="1:8" ht="18.75" x14ac:dyDescent="0.25">
      <c r="A2540" s="133"/>
      <c r="B2540" s="2506" t="s">
        <v>5400</v>
      </c>
      <c r="C2540" s="2506"/>
      <c r="D2540" s="2506"/>
      <c r="E2540" s="2506"/>
      <c r="F2540" s="2506"/>
      <c r="G2540" s="2506"/>
      <c r="H2540" s="8"/>
    </row>
    <row r="2541" spans="1:8" x14ac:dyDescent="0.25">
      <c r="A2541" s="133"/>
      <c r="B2541" s="8"/>
      <c r="C2541" s="8"/>
      <c r="D2541" s="8"/>
      <c r="E2541" s="8"/>
      <c r="F2541" s="133"/>
      <c r="G2541" s="200"/>
      <c r="H2541" s="200"/>
    </row>
    <row r="2542" spans="1:8" x14ac:dyDescent="0.25">
      <c r="A2542" s="133"/>
      <c r="B2542" s="8"/>
      <c r="C2542" s="8"/>
      <c r="D2542" s="8"/>
      <c r="E2542" s="8"/>
      <c r="F2542" s="133"/>
      <c r="G2542" s="200"/>
      <c r="H2542" s="200"/>
    </row>
    <row r="2543" spans="1:8" x14ac:dyDescent="0.25">
      <c r="A2543" s="133"/>
      <c r="B2543" s="8"/>
      <c r="C2543" s="8"/>
      <c r="D2543" s="8"/>
      <c r="E2543" s="8"/>
      <c r="F2543" s="133"/>
      <c r="G2543" s="200"/>
      <c r="H2543" s="200"/>
    </row>
    <row r="2544" spans="1:8" ht="39" customHeight="1" x14ac:dyDescent="0.25">
      <c r="A2544" s="220" t="s">
        <v>5482</v>
      </c>
      <c r="B2544" s="221" t="s">
        <v>530</v>
      </c>
      <c r="C2544" s="2449" t="s">
        <v>5520</v>
      </c>
      <c r="D2544" s="2449"/>
      <c r="E2544" s="2449"/>
      <c r="F2544" s="220" t="s">
        <v>867</v>
      </c>
      <c r="G2544" s="222" t="s">
        <v>5424</v>
      </c>
      <c r="H2544" s="200"/>
    </row>
    <row r="2545" spans="1:8" x14ac:dyDescent="0.25">
      <c r="A2545" s="133"/>
      <c r="B2545" s="8"/>
      <c r="C2545" s="223"/>
      <c r="D2545" s="223"/>
      <c r="E2545" s="223"/>
      <c r="F2545" s="133"/>
      <c r="G2545" s="200"/>
      <c r="H2545" s="200"/>
    </row>
    <row r="2546" spans="1:8" x14ac:dyDescent="0.25">
      <c r="A2546" s="133"/>
      <c r="B2546" s="8"/>
      <c r="C2546" s="8"/>
      <c r="D2546" s="8"/>
      <c r="E2546" s="8"/>
      <c r="F2546" s="8"/>
      <c r="G2546" s="8"/>
      <c r="H2546" s="200"/>
    </row>
    <row r="2547" spans="1:8" ht="15.75" thickBot="1" x14ac:dyDescent="0.3">
      <c r="A2547" s="133"/>
      <c r="B2547" s="8"/>
      <c r="C2547" s="8"/>
      <c r="D2547" s="8"/>
      <c r="E2547" s="8"/>
      <c r="F2547" s="133"/>
      <c r="G2547" s="200"/>
      <c r="H2547" s="200"/>
    </row>
    <row r="2548" spans="1:8" ht="15.75" thickBot="1" x14ac:dyDescent="0.3">
      <c r="A2548" s="133"/>
      <c r="B2548" s="224" t="s">
        <v>5403</v>
      </c>
      <c r="C2548" s="193" t="s">
        <v>867</v>
      </c>
      <c r="D2548" s="193" t="s">
        <v>6</v>
      </c>
      <c r="E2548" s="193" t="s">
        <v>5439</v>
      </c>
      <c r="F2548" s="193" t="s">
        <v>5405</v>
      </c>
      <c r="G2548" s="225" t="s">
        <v>868</v>
      </c>
      <c r="H2548" s="200"/>
    </row>
    <row r="2549" spans="1:8" x14ac:dyDescent="0.25">
      <c r="A2549" s="133"/>
      <c r="B2549" s="195" t="s">
        <v>5440</v>
      </c>
      <c r="C2549" s="226" t="s">
        <v>5402</v>
      </c>
      <c r="D2549" s="226">
        <v>1</v>
      </c>
      <c r="E2549" s="263">
        <f>+H2587</f>
        <v>1255133.6895489949</v>
      </c>
      <c r="F2549" s="226">
        <v>0.1</v>
      </c>
      <c r="G2549" s="229">
        <f>+E2549*F2549</f>
        <v>125513.36895489949</v>
      </c>
      <c r="H2549" s="200"/>
    </row>
    <row r="2550" spans="1:8" x14ac:dyDescent="0.25">
      <c r="A2550" s="133"/>
      <c r="B2550" s="195" t="s">
        <v>6063</v>
      </c>
      <c r="C2550" s="226" t="s">
        <v>5424</v>
      </c>
      <c r="D2550" s="226">
        <v>1</v>
      </c>
      <c r="E2550" s="176">
        <v>120000</v>
      </c>
      <c r="F2550" s="226">
        <v>0.5</v>
      </c>
      <c r="G2550" s="229">
        <f>+E2550/F2550</f>
        <v>240000</v>
      </c>
      <c r="H2550" s="200"/>
    </row>
    <row r="2551" spans="1:8" x14ac:dyDescent="0.25">
      <c r="A2551" s="133"/>
      <c r="B2551" s="195"/>
      <c r="C2551" s="226"/>
      <c r="D2551" s="226"/>
      <c r="E2551" s="176"/>
      <c r="F2551" s="226"/>
      <c r="G2551" s="229"/>
      <c r="H2551" s="200"/>
    </row>
    <row r="2552" spans="1:8" x14ac:dyDescent="0.25">
      <c r="A2552" s="133"/>
      <c r="B2552" s="195"/>
      <c r="C2552" s="226"/>
      <c r="D2552" s="226"/>
      <c r="E2552" s="171"/>
      <c r="F2552" s="226"/>
      <c r="G2552" s="231"/>
      <c r="H2552" s="200"/>
    </row>
    <row r="2553" spans="1:8" x14ac:dyDescent="0.25">
      <c r="A2553" s="133"/>
      <c r="B2553" s="195"/>
      <c r="C2553" s="226"/>
      <c r="D2553" s="232"/>
      <c r="E2553" s="232"/>
      <c r="F2553" s="226"/>
      <c r="G2553" s="229"/>
      <c r="H2553" s="200"/>
    </row>
    <row r="2554" spans="1:8" ht="15.75" thickBot="1" x14ac:dyDescent="0.3">
      <c r="A2554" s="133"/>
      <c r="B2554" s="195"/>
      <c r="C2554" s="226"/>
      <c r="D2554" s="232"/>
      <c r="E2554" s="232"/>
      <c r="F2554" s="226"/>
      <c r="G2554" s="229"/>
      <c r="H2554" s="200"/>
    </row>
    <row r="2555" spans="1:8" ht="15.75" thickBot="1" x14ac:dyDescent="0.3">
      <c r="A2555" s="133"/>
      <c r="B2555" s="233"/>
      <c r="C2555" s="234"/>
      <c r="D2555" s="234"/>
      <c r="E2555" s="234"/>
      <c r="F2555" s="235"/>
      <c r="G2555" s="236"/>
      <c r="H2555" s="237">
        <f>+SUM(G2549:G2555)</f>
        <v>365513.36895489949</v>
      </c>
    </row>
    <row r="2556" spans="1:8" ht="15.75" thickBot="1" x14ac:dyDescent="0.3">
      <c r="A2556" s="133"/>
      <c r="B2556" s="238"/>
      <c r="C2556" s="238"/>
      <c r="D2556" s="238"/>
      <c r="E2556" s="238"/>
      <c r="F2556" s="239"/>
      <c r="G2556" s="240"/>
      <c r="H2556" s="241"/>
    </row>
    <row r="2557" spans="1:8" ht="15.75" thickBot="1" x14ac:dyDescent="0.3">
      <c r="A2557" s="133"/>
      <c r="B2557" s="224" t="s">
        <v>5408</v>
      </c>
      <c r="C2557" s="193" t="s">
        <v>867</v>
      </c>
      <c r="D2557" s="193" t="s">
        <v>6</v>
      </c>
      <c r="E2557" s="193" t="s">
        <v>870</v>
      </c>
      <c r="F2557" s="193" t="s">
        <v>5409</v>
      </c>
      <c r="G2557" s="225" t="s">
        <v>868</v>
      </c>
      <c r="H2557" s="200"/>
    </row>
    <row r="2558" spans="1:8" x14ac:dyDescent="0.25">
      <c r="A2558" s="133"/>
      <c r="B2558" s="295"/>
      <c r="C2558" s="202"/>
      <c r="D2558" s="226"/>
      <c r="E2558" s="244"/>
      <c r="F2558" s="169"/>
      <c r="G2558" s="178">
        <f>+D2558*E2558*(1+F2558)</f>
        <v>0</v>
      </c>
      <c r="H2558" s="200"/>
    </row>
    <row r="2559" spans="1:8" x14ac:dyDescent="0.25">
      <c r="A2559" s="133"/>
      <c r="B2559" s="450"/>
      <c r="C2559" s="202"/>
      <c r="D2559" s="202"/>
      <c r="E2559" s="257"/>
      <c r="F2559" s="169"/>
      <c r="G2559" s="178">
        <f>+D2559*E2559*(1+F2559)</f>
        <v>0</v>
      </c>
      <c r="H2559" s="200"/>
    </row>
    <row r="2560" spans="1:8" x14ac:dyDescent="0.25">
      <c r="A2560" s="133"/>
      <c r="B2560" s="247"/>
      <c r="C2560" s="226"/>
      <c r="D2560" s="226"/>
      <c r="E2560" s="244"/>
      <c r="F2560" s="169"/>
      <c r="G2560" s="178">
        <f>+D2560*E2560*(1+F2560)</f>
        <v>0</v>
      </c>
      <c r="H2560" s="200"/>
    </row>
    <row r="2561" spans="1:8" x14ac:dyDescent="0.25">
      <c r="A2561" s="133"/>
      <c r="B2561" s="194"/>
      <c r="C2561" s="226"/>
      <c r="D2561" s="226"/>
      <c r="E2561" s="244"/>
      <c r="F2561" s="169"/>
      <c r="G2561" s="178">
        <f>+D2561*E2561*(1+F2561)</f>
        <v>0</v>
      </c>
      <c r="H2561" s="200"/>
    </row>
    <row r="2562" spans="1:8" x14ac:dyDescent="0.25">
      <c r="A2562" s="133"/>
      <c r="B2562" s="195"/>
      <c r="C2562" s="226"/>
      <c r="D2562" s="226"/>
      <c r="E2562" s="171"/>
      <c r="F2562" s="169"/>
      <c r="G2562" s="178"/>
      <c r="H2562" s="200"/>
    </row>
    <row r="2563" spans="1:8" x14ac:dyDescent="0.25">
      <c r="A2563" s="133"/>
      <c r="B2563" s="194"/>
      <c r="C2563" s="202"/>
      <c r="D2563" s="202"/>
      <c r="E2563" s="171"/>
      <c r="F2563" s="169"/>
      <c r="G2563" s="178"/>
      <c r="H2563" s="200"/>
    </row>
    <row r="2564" spans="1:8" x14ac:dyDescent="0.25">
      <c r="A2564" s="133"/>
      <c r="B2564" s="195"/>
      <c r="C2564" s="226"/>
      <c r="D2564" s="226"/>
      <c r="E2564" s="171"/>
      <c r="F2564" s="169"/>
      <c r="G2564" s="178"/>
      <c r="H2564" s="200"/>
    </row>
    <row r="2565" spans="1:8" x14ac:dyDescent="0.25">
      <c r="A2565" s="133"/>
      <c r="B2565" s="195"/>
      <c r="C2565" s="226"/>
      <c r="D2565" s="226"/>
      <c r="E2565" s="171"/>
      <c r="F2565" s="169"/>
      <c r="G2565" s="178"/>
      <c r="H2565" s="200"/>
    </row>
    <row r="2566" spans="1:8" x14ac:dyDescent="0.25">
      <c r="A2566" s="133"/>
      <c r="B2566" s="195"/>
      <c r="C2566" s="232"/>
      <c r="D2566" s="232"/>
      <c r="E2566" s="232"/>
      <c r="F2566" s="226"/>
      <c r="G2566" s="229"/>
      <c r="H2566" s="200"/>
    </row>
    <row r="2567" spans="1:8" x14ac:dyDescent="0.25">
      <c r="A2567" s="133"/>
      <c r="B2567" s="195"/>
      <c r="C2567" s="232"/>
      <c r="D2567" s="232"/>
      <c r="E2567" s="232"/>
      <c r="F2567" s="226"/>
      <c r="G2567" s="229"/>
      <c r="H2567" s="200"/>
    </row>
    <row r="2568" spans="1:8" x14ac:dyDescent="0.25">
      <c r="A2568" s="133"/>
      <c r="B2568" s="195"/>
      <c r="C2568" s="232"/>
      <c r="D2568" s="232"/>
      <c r="E2568" s="232"/>
      <c r="F2568" s="226"/>
      <c r="G2568" s="229"/>
      <c r="H2568" s="200"/>
    </row>
    <row r="2569" spans="1:8" ht="15.75" thickBot="1" x14ac:dyDescent="0.3">
      <c r="A2569" s="133"/>
      <c r="B2569" s="195"/>
      <c r="C2569" s="232"/>
      <c r="D2569" s="232"/>
      <c r="E2569" s="232"/>
      <c r="F2569" s="226"/>
      <c r="G2569" s="229"/>
      <c r="H2569" s="200"/>
    </row>
    <row r="2570" spans="1:8" ht="15.75" thickBot="1" x14ac:dyDescent="0.3">
      <c r="A2570" s="133"/>
      <c r="B2570" s="233"/>
      <c r="C2570" s="234"/>
      <c r="D2570" s="234"/>
      <c r="E2570" s="234"/>
      <c r="F2570" s="235"/>
      <c r="G2570" s="236"/>
      <c r="H2570" s="256">
        <f>+SUM(G2558:G2570)</f>
        <v>0</v>
      </c>
    </row>
    <row r="2571" spans="1:8" ht="15.75" thickBot="1" x14ac:dyDescent="0.3">
      <c r="A2571" s="133"/>
      <c r="B2571" s="238"/>
      <c r="C2571" s="238"/>
      <c r="D2571" s="238"/>
      <c r="E2571" s="238"/>
      <c r="F2571" s="239"/>
      <c r="G2571" s="240"/>
      <c r="H2571" s="241"/>
    </row>
    <row r="2572" spans="1:8" ht="15.75" thickBot="1" x14ac:dyDescent="0.3">
      <c r="A2572" s="133"/>
      <c r="B2572" s="224" t="s">
        <v>5410</v>
      </c>
      <c r="C2572" s="193" t="s">
        <v>867</v>
      </c>
      <c r="D2572" s="193" t="s">
        <v>6</v>
      </c>
      <c r="E2572" s="193" t="s">
        <v>870</v>
      </c>
      <c r="F2572" s="193" t="s">
        <v>5411</v>
      </c>
      <c r="G2572" s="225" t="s">
        <v>868</v>
      </c>
      <c r="H2572" s="200"/>
    </row>
    <row r="2573" spans="1:8" x14ac:dyDescent="0.25">
      <c r="A2573" s="133"/>
      <c r="B2573" s="245"/>
      <c r="C2573" s="202"/>
      <c r="D2573" s="202"/>
      <c r="E2573" s="175"/>
      <c r="F2573" s="202"/>
      <c r="G2573" s="203"/>
      <c r="H2573" s="246"/>
    </row>
    <row r="2574" spans="1:8" x14ac:dyDescent="0.25">
      <c r="A2574" s="133"/>
      <c r="B2574" s="247"/>
      <c r="C2574" s="248"/>
      <c r="D2574" s="248"/>
      <c r="E2574" s="248"/>
      <c r="F2574" s="202"/>
      <c r="G2574" s="178"/>
      <c r="H2574" s="200"/>
    </row>
    <row r="2575" spans="1:8" x14ac:dyDescent="0.25">
      <c r="A2575" s="133"/>
      <c r="B2575" s="247"/>
      <c r="C2575" s="232"/>
      <c r="D2575" s="232"/>
      <c r="E2575" s="232"/>
      <c r="F2575" s="226"/>
      <c r="G2575" s="229"/>
      <c r="H2575" s="200"/>
    </row>
    <row r="2576" spans="1:8" x14ac:dyDescent="0.25">
      <c r="A2576" s="133"/>
      <c r="B2576" s="194"/>
      <c r="C2576" s="232"/>
      <c r="D2576" s="232"/>
      <c r="E2576" s="232"/>
      <c r="F2576" s="226"/>
      <c r="G2576" s="229"/>
      <c r="H2576" s="200"/>
    </row>
    <row r="2577" spans="1:8" ht="15.75" thickBot="1" x14ac:dyDescent="0.3">
      <c r="A2577" s="133"/>
      <c r="B2577" s="195"/>
      <c r="C2577" s="232"/>
      <c r="D2577" s="232"/>
      <c r="E2577" s="232"/>
      <c r="F2577" s="226"/>
      <c r="G2577" s="229"/>
      <c r="H2577" s="200"/>
    </row>
    <row r="2578" spans="1:8" ht="15.75" thickBot="1" x14ac:dyDescent="0.3">
      <c r="A2578" s="133"/>
      <c r="B2578" s="233"/>
      <c r="C2578" s="234"/>
      <c r="D2578" s="234"/>
      <c r="E2578" s="234"/>
      <c r="F2578" s="235"/>
      <c r="G2578" s="236"/>
      <c r="H2578" s="237">
        <f>+SUM(G2573:G2578)</f>
        <v>0</v>
      </c>
    </row>
    <row r="2579" spans="1:8" ht="15.75" thickBot="1" x14ac:dyDescent="0.3">
      <c r="A2579" s="133"/>
      <c r="B2579" s="238"/>
      <c r="C2579" s="238"/>
      <c r="D2579" s="238"/>
      <c r="E2579" s="238"/>
      <c r="F2579" s="249"/>
      <c r="G2579" s="250"/>
      <c r="H2579" s="241"/>
    </row>
    <row r="2580" spans="1:8" ht="15.75" thickBot="1" x14ac:dyDescent="0.3">
      <c r="A2580" s="133"/>
      <c r="B2580" s="224" t="s">
        <v>5412</v>
      </c>
      <c r="C2580" s="193" t="s">
        <v>5420</v>
      </c>
      <c r="D2580" s="193" t="s">
        <v>5421</v>
      </c>
      <c r="E2580" s="193" t="s">
        <v>5413</v>
      </c>
      <c r="F2580" s="193" t="s">
        <v>5405</v>
      </c>
      <c r="G2580" s="225" t="s">
        <v>868</v>
      </c>
      <c r="H2580" s="200"/>
    </row>
    <row r="2581" spans="1:8" x14ac:dyDescent="0.25">
      <c r="A2581" s="133"/>
      <c r="B2581" s="194" t="s">
        <v>5948</v>
      </c>
      <c r="C2581" s="345">
        <v>70000</v>
      </c>
      <c r="D2581" s="176">
        <f>+C2581*0.85</f>
        <v>59500</v>
      </c>
      <c r="E2581" s="176">
        <f>+C2581+D2581</f>
        <v>129500</v>
      </c>
      <c r="F2581" s="204">
        <v>0.96617500000000001</v>
      </c>
      <c r="G2581" s="178">
        <f>+E2581/F2581</f>
        <v>134033.68954899473</v>
      </c>
      <c r="H2581" s="200"/>
    </row>
    <row r="2582" spans="1:8" x14ac:dyDescent="0.25">
      <c r="A2582" s="133"/>
      <c r="B2582" s="194" t="s">
        <v>5651</v>
      </c>
      <c r="C2582" s="345">
        <v>40000</v>
      </c>
      <c r="D2582" s="176">
        <f>+C2582*0.85</f>
        <v>34000</v>
      </c>
      <c r="E2582" s="176">
        <f>+C2582+D2582</f>
        <v>74000</v>
      </c>
      <c r="F2582" s="202">
        <v>0.1</v>
      </c>
      <c r="G2582" s="178">
        <f>+E2582/F2582</f>
        <v>740000</v>
      </c>
      <c r="H2582" s="200"/>
    </row>
    <row r="2583" spans="1:8" x14ac:dyDescent="0.25">
      <c r="A2583" s="133"/>
      <c r="B2583" s="195" t="s">
        <v>5635</v>
      </c>
      <c r="C2583" s="345">
        <v>20600</v>
      </c>
      <c r="D2583" s="176">
        <f>+C2583*0.85</f>
        <v>17510</v>
      </c>
      <c r="E2583" s="176">
        <f>+C2583+D2583</f>
        <v>38110</v>
      </c>
      <c r="F2583" s="226">
        <v>0.1</v>
      </c>
      <c r="G2583" s="178">
        <f>+E2583/F2583</f>
        <v>381100</v>
      </c>
      <c r="H2583" s="200"/>
    </row>
    <row r="2584" spans="1:8" x14ac:dyDescent="0.25">
      <c r="A2584" s="133"/>
      <c r="B2584" s="195"/>
      <c r="C2584" s="171"/>
      <c r="D2584" s="176"/>
      <c r="E2584" s="176"/>
      <c r="F2584" s="226"/>
      <c r="G2584" s="178"/>
      <c r="H2584" s="200"/>
    </row>
    <row r="2585" spans="1:8" x14ac:dyDescent="0.25">
      <c r="A2585" s="133"/>
      <c r="B2585" s="195"/>
      <c r="C2585" s="232"/>
      <c r="D2585" s="232"/>
      <c r="E2585" s="232"/>
      <c r="F2585" s="226"/>
      <c r="G2585" s="229"/>
      <c r="H2585" s="200"/>
    </row>
    <row r="2586" spans="1:8" ht="15.75" thickBot="1" x14ac:dyDescent="0.3">
      <c r="A2586" s="133"/>
      <c r="B2586" s="195"/>
      <c r="C2586" s="232"/>
      <c r="D2586" s="232"/>
      <c r="E2586" s="232"/>
      <c r="F2586" s="226"/>
      <c r="G2586" s="229"/>
      <c r="H2586" s="200"/>
    </row>
    <row r="2587" spans="1:8" ht="15.75" thickBot="1" x14ac:dyDescent="0.3">
      <c r="A2587" s="133"/>
      <c r="B2587" s="251"/>
      <c r="C2587" s="252"/>
      <c r="D2587" s="252"/>
      <c r="E2587" s="252"/>
      <c r="F2587" s="253"/>
      <c r="G2587" s="254"/>
      <c r="H2587" s="256">
        <f>+SUM(G2581:G2587)</f>
        <v>1255133.6895489949</v>
      </c>
    </row>
    <row r="2588" spans="1:8" ht="15.75" thickBot="1" x14ac:dyDescent="0.3">
      <c r="A2588" s="133"/>
      <c r="B2588" s="8"/>
      <c r="C2588" s="8"/>
      <c r="D2588" s="8"/>
      <c r="E2588" s="8"/>
      <c r="F2588" s="133"/>
      <c r="G2588" s="200"/>
      <c r="H2588" s="200"/>
    </row>
    <row r="2589" spans="1:8" ht="15.75" thickBot="1" x14ac:dyDescent="0.3">
      <c r="A2589" s="133"/>
      <c r="B2589" s="8"/>
      <c r="C2589" s="8"/>
      <c r="D2589" s="8"/>
      <c r="E2589" s="223" t="s">
        <v>5415</v>
      </c>
      <c r="F2589" s="133"/>
      <c r="G2589" s="200"/>
      <c r="H2589" s="256">
        <f>ROUND(+H2587+H2578+H2570+H2555,0)</f>
        <v>1620647</v>
      </c>
    </row>
    <row r="2590" spans="1:8" x14ac:dyDescent="0.25">
      <c r="A2590" s="265"/>
      <c r="B2590" s="265"/>
      <c r="C2590" s="265"/>
      <c r="D2590" s="265"/>
      <c r="E2590" s="265"/>
      <c r="F2590" s="265"/>
      <c r="G2590" s="265"/>
      <c r="H2590" s="265"/>
    </row>
    <row r="2591" spans="1:8" x14ac:dyDescent="0.25">
      <c r="A2591" s="265"/>
      <c r="B2591" s="265"/>
      <c r="C2591" s="265"/>
      <c r="D2591" s="265"/>
      <c r="E2591" s="265"/>
      <c r="F2591" s="265"/>
      <c r="G2591" s="265"/>
      <c r="H2591" s="265"/>
    </row>
    <row r="2592" spans="1:8" x14ac:dyDescent="0.25">
      <c r="A2592" s="265"/>
      <c r="B2592" s="265"/>
      <c r="C2592" s="265"/>
      <c r="D2592" s="265"/>
      <c r="E2592" s="265"/>
      <c r="F2592" s="265"/>
      <c r="G2592" s="265"/>
      <c r="H2592" s="265"/>
    </row>
    <row r="2593" spans="1:8" x14ac:dyDescent="0.25">
      <c r="A2593" s="265"/>
      <c r="B2593" s="265"/>
      <c r="C2593" s="265"/>
      <c r="D2593" s="265"/>
      <c r="E2593" s="265"/>
      <c r="F2593" s="265"/>
      <c r="G2593" s="265"/>
      <c r="H2593" s="265"/>
    </row>
    <row r="2594" spans="1:8" ht="18.75" x14ac:dyDescent="0.25">
      <c r="A2594" s="133"/>
      <c r="B2594" s="2506" t="s">
        <v>5400</v>
      </c>
      <c r="C2594" s="2506"/>
      <c r="D2594" s="2506"/>
      <c r="E2594" s="2506"/>
      <c r="F2594" s="2506"/>
      <c r="G2594" s="2506"/>
      <c r="H2594" s="8"/>
    </row>
    <row r="2595" spans="1:8" x14ac:dyDescent="0.25">
      <c r="A2595" s="133"/>
      <c r="B2595" s="8"/>
      <c r="C2595" s="8"/>
      <c r="D2595" s="8"/>
      <c r="E2595" s="8"/>
      <c r="F2595" s="133"/>
      <c r="G2595" s="200"/>
      <c r="H2595" s="200"/>
    </row>
    <row r="2596" spans="1:8" x14ac:dyDescent="0.25">
      <c r="A2596" s="133"/>
      <c r="B2596" s="8"/>
      <c r="C2596" s="8"/>
      <c r="D2596" s="8"/>
      <c r="E2596" s="8"/>
      <c r="F2596" s="133"/>
      <c r="G2596" s="200"/>
      <c r="H2596" s="200"/>
    </row>
    <row r="2597" spans="1:8" x14ac:dyDescent="0.25">
      <c r="A2597" s="133"/>
      <c r="B2597" s="8"/>
      <c r="C2597" s="8"/>
      <c r="D2597" s="8"/>
      <c r="E2597" s="8"/>
      <c r="F2597" s="133"/>
      <c r="G2597" s="200"/>
      <c r="H2597" s="200"/>
    </row>
    <row r="2598" spans="1:8" ht="24.95" customHeight="1" x14ac:dyDescent="0.25">
      <c r="A2598" s="220" t="s">
        <v>5482</v>
      </c>
      <c r="B2598" s="221" t="s">
        <v>544</v>
      </c>
      <c r="C2598" s="2449" t="s">
        <v>5521</v>
      </c>
      <c r="D2598" s="2449"/>
      <c r="E2598" s="2449"/>
      <c r="F2598" s="220" t="s">
        <v>867</v>
      </c>
      <c r="G2598" s="222" t="s">
        <v>5424</v>
      </c>
      <c r="H2598" s="200"/>
    </row>
    <row r="2599" spans="1:8" x14ac:dyDescent="0.25">
      <c r="A2599" s="133"/>
      <c r="B2599" s="8"/>
      <c r="C2599" s="223"/>
      <c r="D2599" s="223"/>
      <c r="E2599" s="223"/>
      <c r="F2599" s="133"/>
      <c r="G2599" s="200"/>
      <c r="H2599" s="200"/>
    </row>
    <row r="2600" spans="1:8" x14ac:dyDescent="0.25">
      <c r="A2600" s="133"/>
      <c r="B2600" s="8"/>
      <c r="C2600" s="8"/>
      <c r="D2600" s="8"/>
      <c r="E2600" s="8"/>
      <c r="F2600" s="8"/>
      <c r="G2600" s="8"/>
      <c r="H2600" s="200"/>
    </row>
    <row r="2601" spans="1:8" ht="15.75" thickBot="1" x14ac:dyDescent="0.3">
      <c r="A2601" s="133"/>
      <c r="B2601" s="8"/>
      <c r="C2601" s="8"/>
      <c r="D2601" s="8"/>
      <c r="E2601" s="8"/>
      <c r="F2601" s="133"/>
      <c r="G2601" s="200"/>
      <c r="H2601" s="200"/>
    </row>
    <row r="2602" spans="1:8" ht="15.75" thickBot="1" x14ac:dyDescent="0.3">
      <c r="A2602" s="133"/>
      <c r="B2602" s="224" t="s">
        <v>5403</v>
      </c>
      <c r="C2602" s="193" t="s">
        <v>867</v>
      </c>
      <c r="D2602" s="193" t="s">
        <v>6</v>
      </c>
      <c r="E2602" s="193" t="s">
        <v>5439</v>
      </c>
      <c r="F2602" s="193" t="s">
        <v>5405</v>
      </c>
      <c r="G2602" s="225" t="s">
        <v>868</v>
      </c>
      <c r="H2602" s="200"/>
    </row>
    <row r="2603" spans="1:8" x14ac:dyDescent="0.25">
      <c r="A2603" s="133"/>
      <c r="B2603" s="195" t="s">
        <v>5440</v>
      </c>
      <c r="C2603" s="226" t="s">
        <v>5402</v>
      </c>
      <c r="D2603" s="226">
        <v>1</v>
      </c>
      <c r="E2603" s="263">
        <f>+H2641</f>
        <v>83373.333333333343</v>
      </c>
      <c r="F2603" s="226">
        <v>0.1</v>
      </c>
      <c r="G2603" s="229">
        <f>+E2603*F2603</f>
        <v>8337.3333333333339</v>
      </c>
      <c r="H2603" s="200"/>
    </row>
    <row r="2604" spans="1:8" x14ac:dyDescent="0.25">
      <c r="A2604" s="133"/>
      <c r="B2604" s="195"/>
      <c r="C2604" s="226"/>
      <c r="D2604" s="226"/>
      <c r="E2604" s="264"/>
      <c r="F2604" s="226"/>
      <c r="G2604" s="229"/>
      <c r="H2604" s="200"/>
    </row>
    <row r="2605" spans="1:8" x14ac:dyDescent="0.25">
      <c r="A2605" s="133"/>
      <c r="B2605" s="195"/>
      <c r="C2605" s="226"/>
      <c r="D2605" s="226"/>
      <c r="E2605" s="176"/>
      <c r="F2605" s="226"/>
      <c r="G2605" s="229"/>
      <c r="H2605" s="200"/>
    </row>
    <row r="2606" spans="1:8" x14ac:dyDescent="0.25">
      <c r="A2606" s="133"/>
      <c r="B2606" s="195"/>
      <c r="C2606" s="226"/>
      <c r="D2606" s="226"/>
      <c r="E2606" s="171"/>
      <c r="F2606" s="226"/>
      <c r="G2606" s="231"/>
      <c r="H2606" s="200"/>
    </row>
    <row r="2607" spans="1:8" x14ac:dyDescent="0.25">
      <c r="A2607" s="133"/>
      <c r="B2607" s="195"/>
      <c r="C2607" s="226"/>
      <c r="D2607" s="232"/>
      <c r="E2607" s="232"/>
      <c r="F2607" s="226"/>
      <c r="G2607" s="229"/>
      <c r="H2607" s="200"/>
    </row>
    <row r="2608" spans="1:8" ht="15.75" thickBot="1" x14ac:dyDescent="0.3">
      <c r="A2608" s="133"/>
      <c r="B2608" s="195"/>
      <c r="C2608" s="226"/>
      <c r="D2608" s="232"/>
      <c r="E2608" s="232"/>
      <c r="F2608" s="226"/>
      <c r="G2608" s="229"/>
      <c r="H2608" s="200"/>
    </row>
    <row r="2609" spans="1:8" ht="15.75" thickBot="1" x14ac:dyDescent="0.3">
      <c r="A2609" s="133"/>
      <c r="B2609" s="233"/>
      <c r="C2609" s="234"/>
      <c r="D2609" s="234"/>
      <c r="E2609" s="234"/>
      <c r="F2609" s="235"/>
      <c r="G2609" s="236"/>
      <c r="H2609" s="237">
        <f>+SUM(G2603:G2609)</f>
        <v>8337.3333333333339</v>
      </c>
    </row>
    <row r="2610" spans="1:8" ht="15.75" thickBot="1" x14ac:dyDescent="0.3">
      <c r="A2610" s="133"/>
      <c r="B2610" s="238"/>
      <c r="C2610" s="238"/>
      <c r="D2610" s="238"/>
      <c r="E2610" s="238"/>
      <c r="F2610" s="239"/>
      <c r="G2610" s="240"/>
      <c r="H2610" s="241"/>
    </row>
    <row r="2611" spans="1:8" ht="15.75" thickBot="1" x14ac:dyDescent="0.3">
      <c r="A2611" s="133"/>
      <c r="B2611" s="224" t="s">
        <v>5408</v>
      </c>
      <c r="C2611" s="193" t="s">
        <v>867</v>
      </c>
      <c r="D2611" s="193" t="s">
        <v>6</v>
      </c>
      <c r="E2611" s="193" t="s">
        <v>870</v>
      </c>
      <c r="F2611" s="193" t="s">
        <v>5409</v>
      </c>
      <c r="G2611" s="225" t="s">
        <v>868</v>
      </c>
      <c r="H2611" s="200"/>
    </row>
    <row r="2612" spans="1:8" x14ac:dyDescent="0.25">
      <c r="A2612" s="133"/>
      <c r="B2612" s="295" t="s">
        <v>6124</v>
      </c>
      <c r="C2612" s="202" t="s">
        <v>5424</v>
      </c>
      <c r="D2612" s="226">
        <v>1</v>
      </c>
      <c r="E2612" s="244"/>
      <c r="F2612" s="169"/>
      <c r="G2612" s="178">
        <f>+D2612*E2612*(1+F2612)</f>
        <v>0</v>
      </c>
      <c r="H2612" s="200"/>
    </row>
    <row r="2613" spans="1:8" x14ac:dyDescent="0.25">
      <c r="A2613" s="133"/>
      <c r="B2613" s="450" t="s">
        <v>6125</v>
      </c>
      <c r="C2613" s="202" t="s">
        <v>5424</v>
      </c>
      <c r="D2613" s="202">
        <v>4</v>
      </c>
      <c r="E2613" s="257"/>
      <c r="F2613" s="169"/>
      <c r="G2613" s="178">
        <f>+D2613*E2613*(1+F2613)</f>
        <v>0</v>
      </c>
      <c r="H2613" s="200"/>
    </row>
    <row r="2614" spans="1:8" x14ac:dyDescent="0.25">
      <c r="A2614" s="133"/>
      <c r="B2614" s="247"/>
      <c r="C2614" s="202"/>
      <c r="D2614" s="226"/>
      <c r="E2614" s="244"/>
      <c r="F2614" s="169"/>
      <c r="G2614" s="178">
        <f>+D2614*E2614*(1+F2614)</f>
        <v>0</v>
      </c>
      <c r="H2614" s="200"/>
    </row>
    <row r="2615" spans="1:8" x14ac:dyDescent="0.25">
      <c r="A2615" s="133"/>
      <c r="B2615" s="194"/>
      <c r="C2615" s="226"/>
      <c r="D2615" s="226"/>
      <c r="E2615" s="171"/>
      <c r="F2615" s="169"/>
      <c r="G2615" s="178">
        <f>+D2615*E2615*(1+F2615)</f>
        <v>0</v>
      </c>
      <c r="H2615" s="200"/>
    </row>
    <row r="2616" spans="1:8" x14ac:dyDescent="0.25">
      <c r="A2616" s="133"/>
      <c r="B2616" s="195"/>
      <c r="C2616" s="226"/>
      <c r="D2616" s="226"/>
      <c r="E2616" s="171"/>
      <c r="F2616" s="169"/>
      <c r="G2616" s="178"/>
      <c r="H2616" s="200"/>
    </row>
    <row r="2617" spans="1:8" x14ac:dyDescent="0.25">
      <c r="A2617" s="133"/>
      <c r="B2617" s="194"/>
      <c r="C2617" s="202"/>
      <c r="D2617" s="202"/>
      <c r="E2617" s="171"/>
      <c r="F2617" s="169"/>
      <c r="G2617" s="178"/>
      <c r="H2617" s="200"/>
    </row>
    <row r="2618" spans="1:8" x14ac:dyDescent="0.25">
      <c r="A2618" s="133"/>
      <c r="B2618" s="195"/>
      <c r="C2618" s="226"/>
      <c r="D2618" s="226"/>
      <c r="E2618" s="171"/>
      <c r="F2618" s="169"/>
      <c r="G2618" s="178"/>
      <c r="H2618" s="200"/>
    </row>
    <row r="2619" spans="1:8" x14ac:dyDescent="0.25">
      <c r="A2619" s="133"/>
      <c r="B2619" s="195"/>
      <c r="C2619" s="226"/>
      <c r="D2619" s="226"/>
      <c r="E2619" s="171"/>
      <c r="F2619" s="169"/>
      <c r="G2619" s="178"/>
      <c r="H2619" s="200"/>
    </row>
    <row r="2620" spans="1:8" x14ac:dyDescent="0.25">
      <c r="A2620" s="133"/>
      <c r="B2620" s="195"/>
      <c r="C2620" s="232"/>
      <c r="D2620" s="232"/>
      <c r="E2620" s="232"/>
      <c r="F2620" s="226"/>
      <c r="G2620" s="229"/>
      <c r="H2620" s="200"/>
    </row>
    <row r="2621" spans="1:8" x14ac:dyDescent="0.25">
      <c r="A2621" s="133"/>
      <c r="B2621" s="195"/>
      <c r="C2621" s="232"/>
      <c r="D2621" s="232"/>
      <c r="E2621" s="232"/>
      <c r="F2621" s="226"/>
      <c r="G2621" s="229"/>
      <c r="H2621" s="200"/>
    </row>
    <row r="2622" spans="1:8" x14ac:dyDescent="0.25">
      <c r="A2622" s="133"/>
      <c r="B2622" s="195"/>
      <c r="C2622" s="232"/>
      <c r="D2622" s="232"/>
      <c r="E2622" s="232"/>
      <c r="F2622" s="226"/>
      <c r="G2622" s="229"/>
      <c r="H2622" s="200"/>
    </row>
    <row r="2623" spans="1:8" ht="15.75" thickBot="1" x14ac:dyDescent="0.3">
      <c r="A2623" s="133"/>
      <c r="B2623" s="195"/>
      <c r="C2623" s="232"/>
      <c r="D2623" s="232"/>
      <c r="E2623" s="232"/>
      <c r="F2623" s="226"/>
      <c r="G2623" s="229"/>
      <c r="H2623" s="200"/>
    </row>
    <row r="2624" spans="1:8" ht="15.75" thickBot="1" x14ac:dyDescent="0.3">
      <c r="A2624" s="133"/>
      <c r="B2624" s="233"/>
      <c r="C2624" s="234"/>
      <c r="D2624" s="234"/>
      <c r="E2624" s="234"/>
      <c r="F2624" s="235"/>
      <c r="G2624" s="236"/>
      <c r="H2624" s="256">
        <f>+SUM(G2612:G2624)</f>
        <v>0</v>
      </c>
    </row>
    <row r="2625" spans="1:8" ht="15.75" thickBot="1" x14ac:dyDescent="0.3">
      <c r="A2625" s="133"/>
      <c r="B2625" s="238"/>
      <c r="C2625" s="238"/>
      <c r="D2625" s="238"/>
      <c r="E2625" s="238"/>
      <c r="F2625" s="239"/>
      <c r="G2625" s="240"/>
      <c r="H2625" s="241"/>
    </row>
    <row r="2626" spans="1:8" ht="15.75" thickBot="1" x14ac:dyDescent="0.3">
      <c r="A2626" s="133"/>
      <c r="B2626" s="224" t="s">
        <v>5410</v>
      </c>
      <c r="C2626" s="193" t="s">
        <v>867</v>
      </c>
      <c r="D2626" s="193" t="s">
        <v>6</v>
      </c>
      <c r="E2626" s="193" t="s">
        <v>870</v>
      </c>
      <c r="F2626" s="193" t="s">
        <v>5411</v>
      </c>
      <c r="G2626" s="225" t="s">
        <v>868</v>
      </c>
      <c r="H2626" s="200"/>
    </row>
    <row r="2627" spans="1:8" x14ac:dyDescent="0.25">
      <c r="A2627" s="133"/>
      <c r="B2627" s="245"/>
      <c r="C2627" s="202"/>
      <c r="D2627" s="202"/>
      <c r="E2627" s="168"/>
      <c r="F2627" s="202"/>
      <c r="G2627" s="203"/>
      <c r="H2627" s="246"/>
    </row>
    <row r="2628" spans="1:8" x14ac:dyDescent="0.25">
      <c r="A2628" s="133"/>
      <c r="B2628" s="247"/>
      <c r="C2628" s="202"/>
      <c r="D2628" s="202"/>
      <c r="E2628" s="199"/>
      <c r="F2628" s="202"/>
      <c r="G2628" s="178"/>
      <c r="H2628" s="200"/>
    </row>
    <row r="2629" spans="1:8" x14ac:dyDescent="0.25">
      <c r="A2629" s="133"/>
      <c r="B2629" s="247"/>
      <c r="C2629" s="202"/>
      <c r="D2629" s="226"/>
      <c r="E2629" s="232"/>
      <c r="F2629" s="226"/>
      <c r="G2629" s="229"/>
      <c r="H2629" s="200"/>
    </row>
    <row r="2630" spans="1:8" x14ac:dyDescent="0.25">
      <c r="A2630" s="133"/>
      <c r="B2630" s="194"/>
      <c r="C2630" s="232"/>
      <c r="D2630" s="232"/>
      <c r="E2630" s="232"/>
      <c r="F2630" s="226"/>
      <c r="G2630" s="229"/>
      <c r="H2630" s="200"/>
    </row>
    <row r="2631" spans="1:8" ht="15.75" thickBot="1" x14ac:dyDescent="0.3">
      <c r="A2631" s="133"/>
      <c r="B2631" s="195"/>
      <c r="C2631" s="232"/>
      <c r="D2631" s="232"/>
      <c r="E2631" s="232"/>
      <c r="F2631" s="226"/>
      <c r="G2631" s="229"/>
      <c r="H2631" s="200"/>
    </row>
    <row r="2632" spans="1:8" ht="15.75" thickBot="1" x14ac:dyDescent="0.3">
      <c r="A2632" s="133"/>
      <c r="B2632" s="233"/>
      <c r="C2632" s="234"/>
      <c r="D2632" s="234"/>
      <c r="E2632" s="234"/>
      <c r="F2632" s="235"/>
      <c r="G2632" s="236"/>
      <c r="H2632" s="237">
        <f>+SUM(G2627:G2632)</f>
        <v>0</v>
      </c>
    </row>
    <row r="2633" spans="1:8" ht="15.75" thickBot="1" x14ac:dyDescent="0.3">
      <c r="A2633" s="133"/>
      <c r="B2633" s="238"/>
      <c r="C2633" s="238"/>
      <c r="D2633" s="238"/>
      <c r="E2633" s="238"/>
      <c r="F2633" s="249"/>
      <c r="G2633" s="250"/>
      <c r="H2633" s="241"/>
    </row>
    <row r="2634" spans="1:8" ht="15.75" thickBot="1" x14ac:dyDescent="0.3">
      <c r="A2634" s="133"/>
      <c r="B2634" s="224" t="s">
        <v>5412</v>
      </c>
      <c r="C2634" s="193" t="s">
        <v>5420</v>
      </c>
      <c r="D2634" s="193" t="s">
        <v>5421</v>
      </c>
      <c r="E2634" s="193" t="s">
        <v>5413</v>
      </c>
      <c r="F2634" s="193" t="s">
        <v>5405</v>
      </c>
      <c r="G2634" s="225" t="s">
        <v>868</v>
      </c>
      <c r="H2634" s="200"/>
    </row>
    <row r="2635" spans="1:8" x14ac:dyDescent="0.25">
      <c r="A2635" s="133"/>
      <c r="B2635" s="194" t="s">
        <v>5948</v>
      </c>
      <c r="C2635" s="345">
        <v>70000</v>
      </c>
      <c r="D2635" s="176">
        <f>+C2635*0.85</f>
        <v>59500</v>
      </c>
      <c r="E2635" s="176">
        <f>+C2635+D2635</f>
        <v>129500</v>
      </c>
      <c r="F2635" s="204">
        <v>15</v>
      </c>
      <c r="G2635" s="178">
        <f>+E2635/F2635</f>
        <v>8633.3333333333339</v>
      </c>
      <c r="H2635" s="200"/>
    </row>
    <row r="2636" spans="1:8" x14ac:dyDescent="0.25">
      <c r="A2636" s="133"/>
      <c r="B2636" s="194" t="s">
        <v>5651</v>
      </c>
      <c r="C2636" s="345">
        <v>40000</v>
      </c>
      <c r="D2636" s="176">
        <f>+C2636*0.85</f>
        <v>34000</v>
      </c>
      <c r="E2636" s="176">
        <f>+C2636+D2636</f>
        <v>74000</v>
      </c>
      <c r="F2636" s="167">
        <v>1.5</v>
      </c>
      <c r="G2636" s="178">
        <f>+E2636/F2636</f>
        <v>49333.333333333336</v>
      </c>
      <c r="H2636" s="200"/>
    </row>
    <row r="2637" spans="1:8" x14ac:dyDescent="0.25">
      <c r="A2637" s="133"/>
      <c r="B2637" s="195" t="s">
        <v>5635</v>
      </c>
      <c r="C2637" s="345">
        <v>20600</v>
      </c>
      <c r="D2637" s="176">
        <f>+C2637*0.85</f>
        <v>17510</v>
      </c>
      <c r="E2637" s="176">
        <f>+C2637+D2637</f>
        <v>38110</v>
      </c>
      <c r="F2637" s="197">
        <v>1.5</v>
      </c>
      <c r="G2637" s="178">
        <f>+E2637/F2637</f>
        <v>25406.666666666668</v>
      </c>
      <c r="H2637" s="200"/>
    </row>
    <row r="2638" spans="1:8" x14ac:dyDescent="0.25">
      <c r="A2638" s="133"/>
      <c r="B2638" s="195"/>
      <c r="C2638" s="171"/>
      <c r="D2638" s="176"/>
      <c r="E2638" s="176"/>
      <c r="F2638" s="226"/>
      <c r="G2638" s="178"/>
      <c r="H2638" s="200"/>
    </row>
    <row r="2639" spans="1:8" x14ac:dyDescent="0.25">
      <c r="A2639" s="133"/>
      <c r="B2639" s="195"/>
      <c r="C2639" s="232"/>
      <c r="D2639" s="232"/>
      <c r="E2639" s="232"/>
      <c r="F2639" s="226"/>
      <c r="G2639" s="229"/>
      <c r="H2639" s="200"/>
    </row>
    <row r="2640" spans="1:8" ht="15.75" thickBot="1" x14ac:dyDescent="0.3">
      <c r="A2640" s="133"/>
      <c r="B2640" s="195"/>
      <c r="C2640" s="232"/>
      <c r="D2640" s="232"/>
      <c r="E2640" s="232"/>
      <c r="F2640" s="226"/>
      <c r="G2640" s="229"/>
      <c r="H2640" s="200"/>
    </row>
    <row r="2641" spans="1:8" ht="15.75" thickBot="1" x14ac:dyDescent="0.3">
      <c r="A2641" s="133"/>
      <c r="B2641" s="251"/>
      <c r="C2641" s="252"/>
      <c r="D2641" s="252"/>
      <c r="E2641" s="252"/>
      <c r="F2641" s="253"/>
      <c r="G2641" s="254"/>
      <c r="H2641" s="256">
        <f>+SUM(G2635:G2641)</f>
        <v>83373.333333333343</v>
      </c>
    </row>
    <row r="2642" spans="1:8" ht="15.75" thickBot="1" x14ac:dyDescent="0.3">
      <c r="A2642" s="133"/>
      <c r="B2642" s="8"/>
      <c r="C2642" s="8"/>
      <c r="D2642" s="8"/>
      <c r="E2642" s="8"/>
      <c r="F2642" s="133"/>
      <c r="G2642" s="200"/>
      <c r="H2642" s="200"/>
    </row>
    <row r="2643" spans="1:8" ht="15.75" thickBot="1" x14ac:dyDescent="0.3">
      <c r="A2643" s="133"/>
      <c r="B2643" s="8"/>
      <c r="C2643" s="8"/>
      <c r="D2643" s="8"/>
      <c r="E2643" s="223" t="s">
        <v>5415</v>
      </c>
      <c r="F2643" s="133"/>
      <c r="G2643" s="200"/>
      <c r="H2643" s="256">
        <f>ROUND(+H2641+H2632+H2624+H2609,0)</f>
        <v>91711</v>
      </c>
    </row>
    <row r="2644" spans="1:8" x14ac:dyDescent="0.25">
      <c r="A2644" s="265"/>
      <c r="B2644" s="265"/>
      <c r="C2644" s="265"/>
      <c r="D2644" s="265"/>
      <c r="E2644" s="265"/>
      <c r="F2644" s="265"/>
      <c r="G2644" s="265"/>
      <c r="H2644" s="265"/>
    </row>
    <row r="2645" spans="1:8" x14ac:dyDescent="0.25">
      <c r="A2645" s="265"/>
      <c r="B2645" s="265"/>
      <c r="C2645" s="265"/>
      <c r="D2645" s="265"/>
      <c r="E2645" s="265"/>
      <c r="F2645" s="265"/>
      <c r="G2645" s="265"/>
      <c r="H2645" s="265"/>
    </row>
    <row r="2646" spans="1:8" x14ac:dyDescent="0.25">
      <c r="A2646" s="265"/>
      <c r="B2646" s="265"/>
      <c r="C2646" s="265"/>
      <c r="D2646" s="265"/>
      <c r="E2646" s="265"/>
      <c r="F2646" s="265"/>
      <c r="G2646" s="265"/>
      <c r="H2646" s="265"/>
    </row>
    <row r="2647" spans="1:8" x14ac:dyDescent="0.25">
      <c r="A2647" s="265"/>
      <c r="B2647" s="265"/>
      <c r="C2647" s="265"/>
      <c r="D2647" s="265"/>
      <c r="E2647" s="265"/>
      <c r="F2647" s="265"/>
      <c r="G2647" s="265"/>
      <c r="H2647" s="265"/>
    </row>
    <row r="2648" spans="1:8" ht="18.75" x14ac:dyDescent="0.25">
      <c r="A2648" s="133"/>
      <c r="B2648" s="2506" t="s">
        <v>5400</v>
      </c>
      <c r="C2648" s="2506"/>
      <c r="D2648" s="2506"/>
      <c r="E2648" s="2506"/>
      <c r="F2648" s="2506"/>
      <c r="G2648" s="2506"/>
      <c r="H2648" s="8"/>
    </row>
    <row r="2649" spans="1:8" x14ac:dyDescent="0.25">
      <c r="A2649" s="133"/>
      <c r="B2649" s="8"/>
      <c r="C2649" s="8"/>
      <c r="D2649" s="8"/>
      <c r="E2649" s="8"/>
      <c r="F2649" s="133"/>
      <c r="G2649" s="200"/>
      <c r="H2649" s="200"/>
    </row>
    <row r="2650" spans="1:8" x14ac:dyDescent="0.25">
      <c r="A2650" s="133"/>
      <c r="B2650" s="8"/>
      <c r="C2650" s="8"/>
      <c r="D2650" s="8"/>
      <c r="E2650" s="8"/>
      <c r="F2650" s="133"/>
      <c r="G2650" s="200"/>
      <c r="H2650" s="200"/>
    </row>
    <row r="2651" spans="1:8" x14ac:dyDescent="0.25">
      <c r="A2651" s="133"/>
      <c r="B2651" s="8"/>
      <c r="C2651" s="8"/>
      <c r="D2651" s="8"/>
      <c r="E2651" s="8"/>
      <c r="F2651" s="133"/>
      <c r="G2651" s="200"/>
      <c r="H2651" s="200"/>
    </row>
    <row r="2652" spans="1:8" ht="27" customHeight="1" x14ac:dyDescent="0.25">
      <c r="A2652" s="220" t="s">
        <v>5482</v>
      </c>
      <c r="B2652" s="221" t="s">
        <v>5522</v>
      </c>
      <c r="C2652" s="2449" t="s">
        <v>5523</v>
      </c>
      <c r="D2652" s="2449"/>
      <c r="E2652" s="2449"/>
      <c r="F2652" s="220" t="s">
        <v>867</v>
      </c>
      <c r="G2652" s="222" t="s">
        <v>5424</v>
      </c>
      <c r="H2652" s="200"/>
    </row>
    <row r="2653" spans="1:8" x14ac:dyDescent="0.25">
      <c r="A2653" s="133"/>
      <c r="B2653" s="8"/>
      <c r="C2653" s="223"/>
      <c r="D2653" s="223"/>
      <c r="E2653" s="223"/>
      <c r="F2653" s="133"/>
      <c r="G2653" s="200"/>
      <c r="H2653" s="200"/>
    </row>
    <row r="2654" spans="1:8" x14ac:dyDescent="0.25">
      <c r="A2654" s="133"/>
      <c r="B2654" s="8"/>
      <c r="C2654" s="8"/>
      <c r="D2654" s="8"/>
      <c r="E2654" s="8"/>
      <c r="F2654" s="8"/>
      <c r="G2654" s="8"/>
      <c r="H2654" s="200"/>
    </row>
    <row r="2655" spans="1:8" ht="15.75" thickBot="1" x14ac:dyDescent="0.3">
      <c r="A2655" s="133"/>
      <c r="B2655" s="8"/>
      <c r="C2655" s="8"/>
      <c r="D2655" s="8"/>
      <c r="E2655" s="8"/>
      <c r="F2655" s="133"/>
      <c r="G2655" s="200"/>
      <c r="H2655" s="200"/>
    </row>
    <row r="2656" spans="1:8" ht="15.75" thickBot="1" x14ac:dyDescent="0.3">
      <c r="A2656" s="133"/>
      <c r="B2656" s="224" t="s">
        <v>5403</v>
      </c>
      <c r="C2656" s="193" t="s">
        <v>867</v>
      </c>
      <c r="D2656" s="193" t="s">
        <v>6</v>
      </c>
      <c r="E2656" s="193" t="s">
        <v>5439</v>
      </c>
      <c r="F2656" s="193" t="s">
        <v>5405</v>
      </c>
      <c r="G2656" s="225" t="s">
        <v>868</v>
      </c>
      <c r="H2656" s="200"/>
    </row>
    <row r="2657" spans="1:8" x14ac:dyDescent="0.25">
      <c r="A2657" s="133"/>
      <c r="B2657" s="195" t="s">
        <v>5440</v>
      </c>
      <c r="C2657" s="226" t="s">
        <v>5402</v>
      </c>
      <c r="D2657" s="226">
        <v>1</v>
      </c>
      <c r="E2657" s="263">
        <f>+H2695</f>
        <v>120743.33333333333</v>
      </c>
      <c r="F2657" s="226">
        <v>0.1</v>
      </c>
      <c r="G2657" s="229">
        <f>+E2657*F2657</f>
        <v>12074.333333333334</v>
      </c>
      <c r="H2657" s="200"/>
    </row>
    <row r="2658" spans="1:8" x14ac:dyDescent="0.25">
      <c r="A2658" s="133"/>
      <c r="B2658" s="195" t="s">
        <v>6063</v>
      </c>
      <c r="C2658" s="226" t="s">
        <v>5424</v>
      </c>
      <c r="D2658" s="226">
        <v>1</v>
      </c>
      <c r="E2658" s="176">
        <v>120000</v>
      </c>
      <c r="F2658" s="226">
        <v>10</v>
      </c>
      <c r="G2658" s="229">
        <f>+E2658/F2658</f>
        <v>12000</v>
      </c>
      <c r="H2658" s="200"/>
    </row>
    <row r="2659" spans="1:8" x14ac:dyDescent="0.25">
      <c r="A2659" s="133"/>
      <c r="B2659" s="195"/>
      <c r="C2659" s="226"/>
      <c r="D2659" s="226"/>
      <c r="E2659" s="176"/>
      <c r="F2659" s="226"/>
      <c r="G2659" s="229"/>
      <c r="H2659" s="200"/>
    </row>
    <row r="2660" spans="1:8" x14ac:dyDescent="0.25">
      <c r="A2660" s="133"/>
      <c r="B2660" s="195"/>
      <c r="C2660" s="226"/>
      <c r="D2660" s="226"/>
      <c r="E2660" s="171"/>
      <c r="F2660" s="226"/>
      <c r="G2660" s="231"/>
      <c r="H2660" s="200"/>
    </row>
    <row r="2661" spans="1:8" x14ac:dyDescent="0.25">
      <c r="A2661" s="133"/>
      <c r="B2661" s="195"/>
      <c r="C2661" s="226"/>
      <c r="D2661" s="232"/>
      <c r="E2661" s="232"/>
      <c r="F2661" s="226"/>
      <c r="G2661" s="229"/>
      <c r="H2661" s="200"/>
    </row>
    <row r="2662" spans="1:8" ht="15.75" thickBot="1" x14ac:dyDescent="0.3">
      <c r="A2662" s="133"/>
      <c r="B2662" s="195"/>
      <c r="C2662" s="226"/>
      <c r="D2662" s="232"/>
      <c r="E2662" s="232"/>
      <c r="F2662" s="226"/>
      <c r="G2662" s="229"/>
      <c r="H2662" s="200"/>
    </row>
    <row r="2663" spans="1:8" ht="15.75" thickBot="1" x14ac:dyDescent="0.3">
      <c r="A2663" s="133"/>
      <c r="B2663" s="233"/>
      <c r="C2663" s="234"/>
      <c r="D2663" s="234"/>
      <c r="E2663" s="234"/>
      <c r="F2663" s="235"/>
      <c r="G2663" s="236"/>
      <c r="H2663" s="237">
        <f>+SUM(G2657:G2663)</f>
        <v>24074.333333333336</v>
      </c>
    </row>
    <row r="2664" spans="1:8" ht="15.75" thickBot="1" x14ac:dyDescent="0.3">
      <c r="A2664" s="133"/>
      <c r="B2664" s="238"/>
      <c r="C2664" s="238"/>
      <c r="D2664" s="238"/>
      <c r="E2664" s="238"/>
      <c r="F2664" s="239"/>
      <c r="G2664" s="240"/>
      <c r="H2664" s="241"/>
    </row>
    <row r="2665" spans="1:8" ht="15.75" thickBot="1" x14ac:dyDescent="0.3">
      <c r="A2665" s="133"/>
      <c r="B2665" s="224" t="s">
        <v>5408</v>
      </c>
      <c r="C2665" s="193" t="s">
        <v>867</v>
      </c>
      <c r="D2665" s="193" t="s">
        <v>6</v>
      </c>
      <c r="E2665" s="193" t="s">
        <v>870</v>
      </c>
      <c r="F2665" s="193" t="s">
        <v>5409</v>
      </c>
      <c r="G2665" s="225" t="s">
        <v>868</v>
      </c>
      <c r="H2665" s="200"/>
    </row>
    <row r="2666" spans="1:8" x14ac:dyDescent="0.25">
      <c r="A2666" s="133"/>
      <c r="B2666" s="295" t="s">
        <v>6124</v>
      </c>
      <c r="C2666" s="202" t="s">
        <v>5424</v>
      </c>
      <c r="D2666" s="226"/>
      <c r="E2666" s="244"/>
      <c r="F2666" s="169"/>
      <c r="G2666" s="178">
        <f>+D2666*E2666*(1+F2666)</f>
        <v>0</v>
      </c>
      <c r="H2666" s="200"/>
    </row>
    <row r="2667" spans="1:8" x14ac:dyDescent="0.25">
      <c r="A2667" s="133"/>
      <c r="B2667" s="450" t="s">
        <v>6132</v>
      </c>
      <c r="C2667" s="202" t="s">
        <v>5424</v>
      </c>
      <c r="D2667" s="202"/>
      <c r="E2667" s="257"/>
      <c r="F2667" s="169"/>
      <c r="G2667" s="178">
        <f>+D2667*E2667*(1+F2667)</f>
        <v>0</v>
      </c>
      <c r="H2667" s="200"/>
    </row>
    <row r="2668" spans="1:8" x14ac:dyDescent="0.25">
      <c r="A2668" s="133"/>
      <c r="B2668" s="247"/>
      <c r="C2668" s="202"/>
      <c r="D2668" s="226"/>
      <c r="E2668" s="244"/>
      <c r="F2668" s="169"/>
      <c r="G2668" s="178">
        <f>+D2668*E2668*(1+F2668)</f>
        <v>0</v>
      </c>
      <c r="H2668" s="200"/>
    </row>
    <row r="2669" spans="1:8" x14ac:dyDescent="0.25">
      <c r="A2669" s="133"/>
      <c r="B2669" s="194"/>
      <c r="C2669" s="226"/>
      <c r="D2669" s="226"/>
      <c r="E2669" s="171"/>
      <c r="F2669" s="169"/>
      <c r="G2669" s="178">
        <f>+D2669*E2669*(1+F2669)</f>
        <v>0</v>
      </c>
      <c r="H2669" s="200"/>
    </row>
    <row r="2670" spans="1:8" x14ac:dyDescent="0.25">
      <c r="A2670" s="133"/>
      <c r="B2670" s="195"/>
      <c r="C2670" s="226"/>
      <c r="D2670" s="226"/>
      <c r="E2670" s="171"/>
      <c r="F2670" s="169"/>
      <c r="G2670" s="178"/>
      <c r="H2670" s="200"/>
    </row>
    <row r="2671" spans="1:8" x14ac:dyDescent="0.25">
      <c r="A2671" s="133"/>
      <c r="B2671" s="194"/>
      <c r="C2671" s="202"/>
      <c r="D2671" s="202"/>
      <c r="E2671" s="171"/>
      <c r="F2671" s="169"/>
      <c r="G2671" s="178"/>
      <c r="H2671" s="200"/>
    </row>
    <row r="2672" spans="1:8" x14ac:dyDescent="0.25">
      <c r="A2672" s="133"/>
      <c r="B2672" s="195"/>
      <c r="C2672" s="226"/>
      <c r="D2672" s="226"/>
      <c r="E2672" s="171"/>
      <c r="F2672" s="169"/>
      <c r="G2672" s="178"/>
      <c r="H2672" s="200"/>
    </row>
    <row r="2673" spans="1:8" x14ac:dyDescent="0.25">
      <c r="A2673" s="133"/>
      <c r="B2673" s="195"/>
      <c r="C2673" s="226"/>
      <c r="D2673" s="226"/>
      <c r="E2673" s="171"/>
      <c r="F2673" s="169"/>
      <c r="G2673" s="178"/>
      <c r="H2673" s="200"/>
    </row>
    <row r="2674" spans="1:8" x14ac:dyDescent="0.25">
      <c r="A2674" s="133"/>
      <c r="B2674" s="195"/>
      <c r="C2674" s="232"/>
      <c r="D2674" s="232"/>
      <c r="E2674" s="232"/>
      <c r="F2674" s="226"/>
      <c r="G2674" s="229"/>
      <c r="H2674" s="200"/>
    </row>
    <row r="2675" spans="1:8" x14ac:dyDescent="0.25">
      <c r="A2675" s="133"/>
      <c r="B2675" s="195"/>
      <c r="C2675" s="232"/>
      <c r="D2675" s="232"/>
      <c r="E2675" s="232"/>
      <c r="F2675" s="226"/>
      <c r="G2675" s="229"/>
      <c r="H2675" s="200"/>
    </row>
    <row r="2676" spans="1:8" x14ac:dyDescent="0.25">
      <c r="A2676" s="133"/>
      <c r="B2676" s="195"/>
      <c r="C2676" s="232"/>
      <c r="D2676" s="232"/>
      <c r="E2676" s="232"/>
      <c r="F2676" s="226"/>
      <c r="G2676" s="229"/>
      <c r="H2676" s="200"/>
    </row>
    <row r="2677" spans="1:8" ht="15.75" thickBot="1" x14ac:dyDescent="0.3">
      <c r="A2677" s="133"/>
      <c r="B2677" s="195"/>
      <c r="C2677" s="232"/>
      <c r="D2677" s="232"/>
      <c r="E2677" s="232"/>
      <c r="F2677" s="226"/>
      <c r="G2677" s="229"/>
      <c r="H2677" s="200"/>
    </row>
    <row r="2678" spans="1:8" ht="15.75" thickBot="1" x14ac:dyDescent="0.3">
      <c r="A2678" s="133"/>
      <c r="B2678" s="233"/>
      <c r="C2678" s="234"/>
      <c r="D2678" s="234"/>
      <c r="E2678" s="234"/>
      <c r="F2678" s="235"/>
      <c r="G2678" s="236"/>
      <c r="H2678" s="256">
        <f>+SUM(G2666:G2678)</f>
        <v>0</v>
      </c>
    </row>
    <row r="2679" spans="1:8" ht="15.75" thickBot="1" x14ac:dyDescent="0.3">
      <c r="A2679" s="133"/>
      <c r="B2679" s="238"/>
      <c r="C2679" s="238"/>
      <c r="D2679" s="238"/>
      <c r="E2679" s="238"/>
      <c r="F2679" s="239"/>
      <c r="G2679" s="240"/>
      <c r="H2679" s="241"/>
    </row>
    <row r="2680" spans="1:8" ht="15.75" thickBot="1" x14ac:dyDescent="0.3">
      <c r="A2680" s="133"/>
      <c r="B2680" s="224" t="s">
        <v>5410</v>
      </c>
      <c r="C2680" s="193" t="s">
        <v>867</v>
      </c>
      <c r="D2680" s="193" t="s">
        <v>6</v>
      </c>
      <c r="E2680" s="193" t="s">
        <v>870</v>
      </c>
      <c r="F2680" s="193" t="s">
        <v>5411</v>
      </c>
      <c r="G2680" s="225" t="s">
        <v>868</v>
      </c>
      <c r="H2680" s="200"/>
    </row>
    <row r="2681" spans="1:8" x14ac:dyDescent="0.25">
      <c r="A2681" s="133"/>
      <c r="B2681" s="245"/>
      <c r="C2681" s="202"/>
      <c r="D2681" s="202"/>
      <c r="E2681" s="168"/>
      <c r="F2681" s="202"/>
      <c r="G2681" s="203"/>
      <c r="H2681" s="246"/>
    </row>
    <row r="2682" spans="1:8" x14ac:dyDescent="0.25">
      <c r="A2682" s="133"/>
      <c r="B2682" s="247"/>
      <c r="C2682" s="202"/>
      <c r="D2682" s="202"/>
      <c r="E2682" s="199"/>
      <c r="F2682" s="202"/>
      <c r="G2682" s="178"/>
      <c r="H2682" s="200"/>
    </row>
    <row r="2683" spans="1:8" x14ac:dyDescent="0.25">
      <c r="A2683" s="133"/>
      <c r="B2683" s="247"/>
      <c r="C2683" s="202"/>
      <c r="D2683" s="226"/>
      <c r="E2683" s="232"/>
      <c r="F2683" s="226"/>
      <c r="G2683" s="229"/>
      <c r="H2683" s="200"/>
    </row>
    <row r="2684" spans="1:8" x14ac:dyDescent="0.25">
      <c r="A2684" s="133"/>
      <c r="B2684" s="194"/>
      <c r="C2684" s="232"/>
      <c r="D2684" s="232"/>
      <c r="E2684" s="232"/>
      <c r="F2684" s="226"/>
      <c r="G2684" s="229"/>
      <c r="H2684" s="200"/>
    </row>
    <row r="2685" spans="1:8" ht="15.75" thickBot="1" x14ac:dyDescent="0.3">
      <c r="A2685" s="133"/>
      <c r="B2685" s="195"/>
      <c r="C2685" s="232"/>
      <c r="D2685" s="232"/>
      <c r="E2685" s="232"/>
      <c r="F2685" s="226"/>
      <c r="G2685" s="229"/>
      <c r="H2685" s="200"/>
    </row>
    <row r="2686" spans="1:8" ht="15.75" thickBot="1" x14ac:dyDescent="0.3">
      <c r="A2686" s="133"/>
      <c r="B2686" s="233"/>
      <c r="C2686" s="234"/>
      <c r="D2686" s="234"/>
      <c r="E2686" s="234"/>
      <c r="F2686" s="235"/>
      <c r="G2686" s="236"/>
      <c r="H2686" s="237">
        <f>+SUM(G2681:G2686)</f>
        <v>0</v>
      </c>
    </row>
    <row r="2687" spans="1:8" ht="15.75" thickBot="1" x14ac:dyDescent="0.3">
      <c r="A2687" s="133"/>
      <c r="B2687" s="238"/>
      <c r="C2687" s="238"/>
      <c r="D2687" s="238"/>
      <c r="E2687" s="238"/>
      <c r="F2687" s="249"/>
      <c r="G2687" s="250"/>
      <c r="H2687" s="241"/>
    </row>
    <row r="2688" spans="1:8" ht="15.75" thickBot="1" x14ac:dyDescent="0.3">
      <c r="A2688" s="133"/>
      <c r="B2688" s="224" t="s">
        <v>5412</v>
      </c>
      <c r="C2688" s="193" t="s">
        <v>5420</v>
      </c>
      <c r="D2688" s="193" t="s">
        <v>5421</v>
      </c>
      <c r="E2688" s="193" t="s">
        <v>5413</v>
      </c>
      <c r="F2688" s="193" t="s">
        <v>5405</v>
      </c>
      <c r="G2688" s="225" t="s">
        <v>868</v>
      </c>
      <c r="H2688" s="200"/>
    </row>
    <row r="2689" spans="1:8" x14ac:dyDescent="0.25">
      <c r="A2689" s="133"/>
      <c r="B2689" s="194" t="s">
        <v>5948</v>
      </c>
      <c r="C2689" s="345">
        <v>70000</v>
      </c>
      <c r="D2689" s="176">
        <f>+C2689*0.85</f>
        <v>59500</v>
      </c>
      <c r="E2689" s="176">
        <f>+C2689+D2689</f>
        <v>129500</v>
      </c>
      <c r="F2689" s="204">
        <v>15</v>
      </c>
      <c r="G2689" s="178">
        <f>+E2689/F2689</f>
        <v>8633.3333333333339</v>
      </c>
      <c r="H2689" s="200"/>
    </row>
    <row r="2690" spans="1:8" x14ac:dyDescent="0.25">
      <c r="A2690" s="133"/>
      <c r="B2690" s="194" t="s">
        <v>5651</v>
      </c>
      <c r="C2690" s="345">
        <v>40000</v>
      </c>
      <c r="D2690" s="176">
        <f>+C2690*0.85</f>
        <v>34000</v>
      </c>
      <c r="E2690" s="176">
        <f>+C2690+D2690</f>
        <v>74000</v>
      </c>
      <c r="F2690" s="202">
        <v>1</v>
      </c>
      <c r="G2690" s="178">
        <f>+E2690/F2690</f>
        <v>74000</v>
      </c>
      <c r="H2690" s="200"/>
    </row>
    <row r="2691" spans="1:8" x14ac:dyDescent="0.25">
      <c r="A2691" s="133"/>
      <c r="B2691" s="195" t="s">
        <v>5635</v>
      </c>
      <c r="C2691" s="345">
        <v>20600</v>
      </c>
      <c r="D2691" s="176">
        <f>+C2691*0.85</f>
        <v>17510</v>
      </c>
      <c r="E2691" s="176">
        <f>+C2691+D2691</f>
        <v>38110</v>
      </c>
      <c r="F2691" s="226">
        <v>1</v>
      </c>
      <c r="G2691" s="178">
        <f>+E2691/F2691</f>
        <v>38110</v>
      </c>
      <c r="H2691" s="200"/>
    </row>
    <row r="2692" spans="1:8" x14ac:dyDescent="0.25">
      <c r="A2692" s="133"/>
      <c r="B2692" s="195"/>
      <c r="C2692" s="171"/>
      <c r="D2692" s="176"/>
      <c r="E2692" s="176"/>
      <c r="F2692" s="226"/>
      <c r="G2692" s="178"/>
      <c r="H2692" s="200"/>
    </row>
    <row r="2693" spans="1:8" x14ac:dyDescent="0.25">
      <c r="A2693" s="133"/>
      <c r="B2693" s="195"/>
      <c r="C2693" s="232"/>
      <c r="D2693" s="232"/>
      <c r="E2693" s="232"/>
      <c r="F2693" s="226"/>
      <c r="G2693" s="229"/>
      <c r="H2693" s="200"/>
    </row>
    <row r="2694" spans="1:8" ht="15.75" thickBot="1" x14ac:dyDescent="0.3">
      <c r="A2694" s="133"/>
      <c r="B2694" s="195"/>
      <c r="C2694" s="232"/>
      <c r="D2694" s="232"/>
      <c r="E2694" s="232"/>
      <c r="F2694" s="226"/>
      <c r="G2694" s="229"/>
      <c r="H2694" s="200"/>
    </row>
    <row r="2695" spans="1:8" ht="15.75" thickBot="1" x14ac:dyDescent="0.3">
      <c r="A2695" s="133"/>
      <c r="B2695" s="251"/>
      <c r="C2695" s="252"/>
      <c r="D2695" s="252"/>
      <c r="E2695" s="252"/>
      <c r="F2695" s="253"/>
      <c r="G2695" s="254"/>
      <c r="H2695" s="256">
        <f>+SUM(G2689:G2695)</f>
        <v>120743.33333333333</v>
      </c>
    </row>
    <row r="2696" spans="1:8" ht="15.75" thickBot="1" x14ac:dyDescent="0.3">
      <c r="A2696" s="133"/>
      <c r="B2696" s="8"/>
      <c r="C2696" s="8"/>
      <c r="D2696" s="8"/>
      <c r="E2696" s="8"/>
      <c r="F2696" s="133"/>
      <c r="G2696" s="200"/>
      <c r="H2696" s="200"/>
    </row>
    <row r="2697" spans="1:8" ht="15.75" thickBot="1" x14ac:dyDescent="0.3">
      <c r="A2697" s="133"/>
      <c r="B2697" s="8"/>
      <c r="C2697" s="8"/>
      <c r="D2697" s="8"/>
      <c r="E2697" s="223" t="s">
        <v>5415</v>
      </c>
      <c r="F2697" s="133"/>
      <c r="G2697" s="200"/>
      <c r="H2697" s="256">
        <f>ROUND(+H2695+H2686+H2678+H2663,0)</f>
        <v>144818</v>
      </c>
    </row>
    <row r="2698" spans="1:8" x14ac:dyDescent="0.25">
      <c r="A2698" s="265"/>
      <c r="B2698" s="265"/>
      <c r="C2698" s="265"/>
      <c r="D2698" s="265"/>
      <c r="E2698" s="265"/>
      <c r="F2698" s="265"/>
      <c r="G2698" s="265"/>
      <c r="H2698" s="265"/>
    </row>
    <row r="2699" spans="1:8" x14ac:dyDescent="0.25">
      <c r="A2699" s="265"/>
      <c r="B2699" s="265"/>
      <c r="C2699" s="265"/>
      <c r="D2699" s="265"/>
      <c r="E2699" s="265"/>
      <c r="F2699" s="265"/>
      <c r="G2699" s="265"/>
      <c r="H2699" s="265"/>
    </row>
    <row r="2700" spans="1:8" x14ac:dyDescent="0.25">
      <c r="A2700" s="265"/>
      <c r="B2700" s="265"/>
      <c r="C2700" s="265"/>
      <c r="D2700" s="265"/>
      <c r="E2700" s="265"/>
      <c r="F2700" s="265"/>
      <c r="G2700" s="265"/>
      <c r="H2700" s="265"/>
    </row>
    <row r="2701" spans="1:8" x14ac:dyDescent="0.25">
      <c r="A2701" s="133"/>
      <c r="B2701" s="265"/>
      <c r="C2701" s="265"/>
      <c r="D2701" s="265"/>
      <c r="E2701" s="265"/>
      <c r="F2701" s="265"/>
      <c r="G2701" s="265"/>
      <c r="H2701" s="265"/>
    </row>
    <row r="2702" spans="1:8" ht="18.75" x14ac:dyDescent="0.25">
      <c r="A2702" s="133"/>
      <c r="B2702" s="2506" t="s">
        <v>5400</v>
      </c>
      <c r="C2702" s="2506"/>
      <c r="D2702" s="2506"/>
      <c r="E2702" s="2506"/>
      <c r="F2702" s="2506"/>
      <c r="G2702" s="2506"/>
      <c r="H2702" s="8"/>
    </row>
    <row r="2703" spans="1:8" x14ac:dyDescent="0.25">
      <c r="A2703" s="133"/>
      <c r="B2703" s="8"/>
      <c r="C2703" s="8"/>
      <c r="D2703" s="8"/>
      <c r="E2703" s="8"/>
      <c r="F2703" s="133"/>
      <c r="G2703" s="200"/>
      <c r="H2703" s="200"/>
    </row>
    <row r="2704" spans="1:8" x14ac:dyDescent="0.25">
      <c r="A2704" s="133"/>
      <c r="B2704" s="8"/>
      <c r="C2704" s="8"/>
      <c r="D2704" s="8"/>
      <c r="E2704" s="8"/>
      <c r="F2704" s="133"/>
      <c r="G2704" s="200"/>
      <c r="H2704" s="200"/>
    </row>
    <row r="2705" spans="1:8" x14ac:dyDescent="0.25">
      <c r="A2705" s="133"/>
      <c r="B2705" s="8"/>
      <c r="C2705" s="8"/>
      <c r="D2705" s="8"/>
      <c r="E2705" s="8"/>
      <c r="F2705" s="133"/>
      <c r="G2705" s="200"/>
      <c r="H2705" s="200"/>
    </row>
    <row r="2706" spans="1:8" ht="24.95" customHeight="1" x14ac:dyDescent="0.25">
      <c r="A2706" s="220" t="s">
        <v>5482</v>
      </c>
      <c r="B2706" s="221" t="s">
        <v>5524</v>
      </c>
      <c r="C2706" s="2449" t="s">
        <v>5525</v>
      </c>
      <c r="D2706" s="2449"/>
      <c r="E2706" s="2449"/>
      <c r="F2706" s="220" t="s">
        <v>867</v>
      </c>
      <c r="G2706" s="222" t="s">
        <v>5424</v>
      </c>
      <c r="H2706" s="200"/>
    </row>
    <row r="2707" spans="1:8" x14ac:dyDescent="0.25">
      <c r="A2707" s="133"/>
      <c r="B2707" s="8"/>
      <c r="C2707" s="223"/>
      <c r="D2707" s="223"/>
      <c r="E2707" s="223"/>
      <c r="F2707" s="133"/>
      <c r="G2707" s="200"/>
      <c r="H2707" s="200"/>
    </row>
    <row r="2708" spans="1:8" x14ac:dyDescent="0.25">
      <c r="A2708" s="133"/>
      <c r="B2708" s="8"/>
      <c r="C2708" s="8"/>
      <c r="D2708" s="8"/>
      <c r="E2708" s="8"/>
      <c r="F2708" s="8"/>
      <c r="G2708" s="8"/>
      <c r="H2708" s="200"/>
    </row>
    <row r="2709" spans="1:8" ht="15.75" thickBot="1" x14ac:dyDescent="0.3">
      <c r="A2709" s="133"/>
      <c r="B2709" s="8"/>
      <c r="C2709" s="8"/>
      <c r="D2709" s="8"/>
      <c r="E2709" s="8"/>
      <c r="F2709" s="133"/>
      <c r="G2709" s="200"/>
      <c r="H2709" s="200"/>
    </row>
    <row r="2710" spans="1:8" ht="15.75" thickBot="1" x14ac:dyDescent="0.3">
      <c r="A2710" s="133"/>
      <c r="B2710" s="224" t="s">
        <v>5403</v>
      </c>
      <c r="C2710" s="193" t="s">
        <v>867</v>
      </c>
      <c r="D2710" s="193" t="s">
        <v>6</v>
      </c>
      <c r="E2710" s="193" t="s">
        <v>5439</v>
      </c>
      <c r="F2710" s="193" t="s">
        <v>5405</v>
      </c>
      <c r="G2710" s="225" t="s">
        <v>868</v>
      </c>
      <c r="H2710" s="200"/>
    </row>
    <row r="2711" spans="1:8" x14ac:dyDescent="0.25">
      <c r="A2711" s="133"/>
      <c r="B2711" s="195" t="s">
        <v>5440</v>
      </c>
      <c r="C2711" s="226" t="s">
        <v>5402</v>
      </c>
      <c r="D2711" s="226">
        <v>1</v>
      </c>
      <c r="E2711" s="263">
        <f>+H2749</f>
        <v>162430</v>
      </c>
      <c r="F2711" s="226">
        <v>0.1</v>
      </c>
      <c r="G2711" s="229">
        <f>+E2711*F2711</f>
        <v>16243</v>
      </c>
      <c r="H2711" s="200"/>
    </row>
    <row r="2712" spans="1:8" x14ac:dyDescent="0.25">
      <c r="A2712" s="133"/>
      <c r="B2712" s="195" t="s">
        <v>6063</v>
      </c>
      <c r="C2712" s="226" t="s">
        <v>5424</v>
      </c>
      <c r="D2712" s="226">
        <v>1</v>
      </c>
      <c r="E2712" s="176">
        <v>120000</v>
      </c>
      <c r="F2712" s="226">
        <v>5</v>
      </c>
      <c r="G2712" s="229">
        <f>+E2712/F2712</f>
        <v>24000</v>
      </c>
      <c r="H2712" s="200"/>
    </row>
    <row r="2713" spans="1:8" x14ac:dyDescent="0.25">
      <c r="A2713" s="133"/>
      <c r="B2713" s="195"/>
      <c r="C2713" s="226"/>
      <c r="D2713" s="226"/>
      <c r="E2713" s="176"/>
      <c r="F2713" s="226"/>
      <c r="G2713" s="229"/>
      <c r="H2713" s="200"/>
    </row>
    <row r="2714" spans="1:8" x14ac:dyDescent="0.25">
      <c r="A2714" s="133"/>
      <c r="B2714" s="195"/>
      <c r="C2714" s="226"/>
      <c r="D2714" s="226"/>
      <c r="E2714" s="171"/>
      <c r="F2714" s="226"/>
      <c r="G2714" s="231"/>
      <c r="H2714" s="200"/>
    </row>
    <row r="2715" spans="1:8" x14ac:dyDescent="0.25">
      <c r="A2715" s="133"/>
      <c r="B2715" s="195"/>
      <c r="C2715" s="226"/>
      <c r="D2715" s="232"/>
      <c r="E2715" s="232"/>
      <c r="F2715" s="226"/>
      <c r="G2715" s="229"/>
      <c r="H2715" s="200"/>
    </row>
    <row r="2716" spans="1:8" ht="15.75" thickBot="1" x14ac:dyDescent="0.3">
      <c r="A2716" s="133"/>
      <c r="B2716" s="195"/>
      <c r="C2716" s="226"/>
      <c r="D2716" s="232"/>
      <c r="E2716" s="232"/>
      <c r="F2716" s="226"/>
      <c r="G2716" s="229"/>
      <c r="H2716" s="200"/>
    </row>
    <row r="2717" spans="1:8" ht="15.75" thickBot="1" x14ac:dyDescent="0.3">
      <c r="A2717" s="133"/>
      <c r="B2717" s="233"/>
      <c r="C2717" s="234"/>
      <c r="D2717" s="234"/>
      <c r="E2717" s="234"/>
      <c r="F2717" s="235"/>
      <c r="G2717" s="236"/>
      <c r="H2717" s="237">
        <f>+SUM(G2711:G2717)</f>
        <v>40243</v>
      </c>
    </row>
    <row r="2718" spans="1:8" ht="15.75" thickBot="1" x14ac:dyDescent="0.3">
      <c r="A2718" s="133"/>
      <c r="B2718" s="238"/>
      <c r="C2718" s="238"/>
      <c r="D2718" s="238"/>
      <c r="E2718" s="238"/>
      <c r="F2718" s="239"/>
      <c r="G2718" s="240"/>
      <c r="H2718" s="241"/>
    </row>
    <row r="2719" spans="1:8" ht="15.75" thickBot="1" x14ac:dyDescent="0.3">
      <c r="A2719" s="133"/>
      <c r="B2719" s="224" t="s">
        <v>5408</v>
      </c>
      <c r="C2719" s="193" t="s">
        <v>867</v>
      </c>
      <c r="D2719" s="193" t="s">
        <v>6</v>
      </c>
      <c r="E2719" s="193" t="s">
        <v>870</v>
      </c>
      <c r="F2719" s="193" t="s">
        <v>5409</v>
      </c>
      <c r="G2719" s="225" t="s">
        <v>868</v>
      </c>
      <c r="H2719" s="200"/>
    </row>
    <row r="2720" spans="1:8" x14ac:dyDescent="0.25">
      <c r="A2720" s="133"/>
      <c r="B2720" s="295" t="s">
        <v>6124</v>
      </c>
      <c r="C2720" s="202" t="s">
        <v>5424</v>
      </c>
      <c r="D2720" s="226"/>
      <c r="E2720" s="244"/>
      <c r="F2720" s="169"/>
      <c r="G2720" s="178">
        <f>+D2720*E2720*(1+F2720)</f>
        <v>0</v>
      </c>
      <c r="H2720" s="200"/>
    </row>
    <row r="2721" spans="1:8" x14ac:dyDescent="0.25">
      <c r="A2721" s="133"/>
      <c r="B2721" s="450" t="s">
        <v>6131</v>
      </c>
      <c r="C2721" s="202" t="s">
        <v>5424</v>
      </c>
      <c r="D2721" s="202"/>
      <c r="E2721" s="257"/>
      <c r="F2721" s="169"/>
      <c r="G2721" s="178">
        <f>+D2721*E2721*(1+F2721)</f>
        <v>0</v>
      </c>
      <c r="H2721" s="200"/>
    </row>
    <row r="2722" spans="1:8" x14ac:dyDescent="0.25">
      <c r="A2722" s="133"/>
      <c r="B2722" s="247"/>
      <c r="C2722" s="202"/>
      <c r="D2722" s="226"/>
      <c r="E2722" s="244"/>
      <c r="F2722" s="169"/>
      <c r="G2722" s="178">
        <f>+D2722*E2722*(1+F2722)</f>
        <v>0</v>
      </c>
      <c r="H2722" s="200"/>
    </row>
    <row r="2723" spans="1:8" x14ac:dyDescent="0.25">
      <c r="A2723" s="133"/>
      <c r="B2723" s="194"/>
      <c r="C2723" s="226"/>
      <c r="D2723" s="226"/>
      <c r="E2723" s="171"/>
      <c r="F2723" s="169"/>
      <c r="G2723" s="178">
        <f>+D2723*E2723*(1+F2723)</f>
        <v>0</v>
      </c>
      <c r="H2723" s="200"/>
    </row>
    <row r="2724" spans="1:8" x14ac:dyDescent="0.25">
      <c r="A2724" s="133"/>
      <c r="B2724" s="195"/>
      <c r="C2724" s="226"/>
      <c r="D2724" s="226"/>
      <c r="E2724" s="171"/>
      <c r="F2724" s="169"/>
      <c r="G2724" s="178"/>
      <c r="H2724" s="200"/>
    </row>
    <row r="2725" spans="1:8" x14ac:dyDescent="0.25">
      <c r="A2725" s="133"/>
      <c r="B2725" s="194"/>
      <c r="C2725" s="202"/>
      <c r="D2725" s="202"/>
      <c r="E2725" s="171"/>
      <c r="F2725" s="169"/>
      <c r="G2725" s="178"/>
      <c r="H2725" s="200"/>
    </row>
    <row r="2726" spans="1:8" x14ac:dyDescent="0.25">
      <c r="A2726" s="133"/>
      <c r="B2726" s="195"/>
      <c r="C2726" s="226"/>
      <c r="D2726" s="226"/>
      <c r="E2726" s="171"/>
      <c r="F2726" s="169"/>
      <c r="G2726" s="178"/>
      <c r="H2726" s="200"/>
    </row>
    <row r="2727" spans="1:8" x14ac:dyDescent="0.25">
      <c r="A2727" s="133"/>
      <c r="B2727" s="195"/>
      <c r="C2727" s="226"/>
      <c r="D2727" s="226"/>
      <c r="E2727" s="171"/>
      <c r="F2727" s="169"/>
      <c r="G2727" s="178"/>
      <c r="H2727" s="200"/>
    </row>
    <row r="2728" spans="1:8" x14ac:dyDescent="0.25">
      <c r="A2728" s="133"/>
      <c r="B2728" s="195"/>
      <c r="C2728" s="232"/>
      <c r="D2728" s="232"/>
      <c r="E2728" s="232"/>
      <c r="F2728" s="226"/>
      <c r="G2728" s="229"/>
      <c r="H2728" s="200"/>
    </row>
    <row r="2729" spans="1:8" x14ac:dyDescent="0.25">
      <c r="A2729" s="133"/>
      <c r="B2729" s="195"/>
      <c r="C2729" s="232"/>
      <c r="D2729" s="232"/>
      <c r="E2729" s="232"/>
      <c r="F2729" s="226"/>
      <c r="G2729" s="229"/>
      <c r="H2729" s="200"/>
    </row>
    <row r="2730" spans="1:8" x14ac:dyDescent="0.25">
      <c r="A2730" s="133"/>
      <c r="B2730" s="195"/>
      <c r="C2730" s="232"/>
      <c r="D2730" s="232"/>
      <c r="E2730" s="232"/>
      <c r="F2730" s="226"/>
      <c r="G2730" s="229"/>
      <c r="H2730" s="200"/>
    </row>
    <row r="2731" spans="1:8" ht="15.75" thickBot="1" x14ac:dyDescent="0.3">
      <c r="A2731" s="133"/>
      <c r="B2731" s="195"/>
      <c r="C2731" s="232"/>
      <c r="D2731" s="232"/>
      <c r="E2731" s="232"/>
      <c r="F2731" s="226"/>
      <c r="G2731" s="229"/>
      <c r="H2731" s="200"/>
    </row>
    <row r="2732" spans="1:8" ht="15.75" thickBot="1" x14ac:dyDescent="0.3">
      <c r="A2732" s="133"/>
      <c r="B2732" s="233"/>
      <c r="C2732" s="234"/>
      <c r="D2732" s="234"/>
      <c r="E2732" s="234"/>
      <c r="F2732" s="235"/>
      <c r="G2732" s="236"/>
      <c r="H2732" s="256">
        <f>+SUM(G2720:G2732)</f>
        <v>0</v>
      </c>
    </row>
    <row r="2733" spans="1:8" ht="15.75" thickBot="1" x14ac:dyDescent="0.3">
      <c r="A2733" s="133"/>
      <c r="B2733" s="238"/>
      <c r="C2733" s="238"/>
      <c r="D2733" s="238"/>
      <c r="E2733" s="238"/>
      <c r="F2733" s="239"/>
      <c r="G2733" s="240"/>
      <c r="H2733" s="241"/>
    </row>
    <row r="2734" spans="1:8" ht="15.75" thickBot="1" x14ac:dyDescent="0.3">
      <c r="A2734" s="133"/>
      <c r="B2734" s="224" t="s">
        <v>5410</v>
      </c>
      <c r="C2734" s="193" t="s">
        <v>867</v>
      </c>
      <c r="D2734" s="193" t="s">
        <v>6</v>
      </c>
      <c r="E2734" s="193" t="s">
        <v>870</v>
      </c>
      <c r="F2734" s="193" t="s">
        <v>5411</v>
      </c>
      <c r="G2734" s="225" t="s">
        <v>868</v>
      </c>
      <c r="H2734" s="200"/>
    </row>
    <row r="2735" spans="1:8" x14ac:dyDescent="0.25">
      <c r="A2735" s="133"/>
      <c r="B2735" s="245"/>
      <c r="C2735" s="202"/>
      <c r="D2735" s="202"/>
      <c r="E2735" s="168"/>
      <c r="F2735" s="202"/>
      <c r="G2735" s="203"/>
      <c r="H2735" s="246"/>
    </row>
    <row r="2736" spans="1:8" x14ac:dyDescent="0.25">
      <c r="A2736" s="133"/>
      <c r="B2736" s="247"/>
      <c r="C2736" s="202"/>
      <c r="D2736" s="202"/>
      <c r="E2736" s="199"/>
      <c r="F2736" s="202"/>
      <c r="G2736" s="178"/>
      <c r="H2736" s="200"/>
    </row>
    <row r="2737" spans="1:8" x14ac:dyDescent="0.25">
      <c r="A2737" s="133"/>
      <c r="B2737" s="247"/>
      <c r="C2737" s="202"/>
      <c r="D2737" s="226"/>
      <c r="E2737" s="232"/>
      <c r="F2737" s="226"/>
      <c r="G2737" s="229"/>
      <c r="H2737" s="200"/>
    </row>
    <row r="2738" spans="1:8" x14ac:dyDescent="0.25">
      <c r="A2738" s="133"/>
      <c r="B2738" s="194"/>
      <c r="C2738" s="232"/>
      <c r="D2738" s="232"/>
      <c r="E2738" s="232"/>
      <c r="F2738" s="226"/>
      <c r="G2738" s="229"/>
      <c r="H2738" s="200"/>
    </row>
    <row r="2739" spans="1:8" ht="15.75" thickBot="1" x14ac:dyDescent="0.3">
      <c r="A2739" s="133"/>
      <c r="B2739" s="195"/>
      <c r="C2739" s="232"/>
      <c r="D2739" s="232"/>
      <c r="E2739" s="232"/>
      <c r="F2739" s="226"/>
      <c r="G2739" s="229"/>
      <c r="H2739" s="200"/>
    </row>
    <row r="2740" spans="1:8" ht="15.75" thickBot="1" x14ac:dyDescent="0.3">
      <c r="A2740" s="133"/>
      <c r="B2740" s="233"/>
      <c r="C2740" s="234"/>
      <c r="D2740" s="234"/>
      <c r="E2740" s="234"/>
      <c r="F2740" s="235"/>
      <c r="G2740" s="236"/>
      <c r="H2740" s="237">
        <f>+SUM(G2735:G2740)</f>
        <v>0</v>
      </c>
    </row>
    <row r="2741" spans="1:8" ht="15.75" thickBot="1" x14ac:dyDescent="0.3">
      <c r="A2741" s="133"/>
      <c r="B2741" s="238"/>
      <c r="C2741" s="238"/>
      <c r="D2741" s="238"/>
      <c r="E2741" s="238"/>
      <c r="F2741" s="249"/>
      <c r="G2741" s="250"/>
      <c r="H2741" s="241"/>
    </row>
    <row r="2742" spans="1:8" ht="15.75" thickBot="1" x14ac:dyDescent="0.3">
      <c r="A2742" s="133"/>
      <c r="B2742" s="224" t="s">
        <v>5412</v>
      </c>
      <c r="C2742" s="193" t="s">
        <v>5420</v>
      </c>
      <c r="D2742" s="193" t="s">
        <v>5421</v>
      </c>
      <c r="E2742" s="193" t="s">
        <v>5413</v>
      </c>
      <c r="F2742" s="193" t="s">
        <v>5405</v>
      </c>
      <c r="G2742" s="225" t="s">
        <v>868</v>
      </c>
      <c r="H2742" s="200"/>
    </row>
    <row r="2743" spans="1:8" x14ac:dyDescent="0.25">
      <c r="A2743" s="133"/>
      <c r="B2743" s="194" t="s">
        <v>5948</v>
      </c>
      <c r="C2743" s="345">
        <v>70000</v>
      </c>
      <c r="D2743" s="176">
        <f>+C2743*0.85</f>
        <v>59500</v>
      </c>
      <c r="E2743" s="176">
        <f>+C2743+D2743</f>
        <v>129500</v>
      </c>
      <c r="F2743" s="204">
        <v>10</v>
      </c>
      <c r="G2743" s="178">
        <f>+E2743/F2743</f>
        <v>12950</v>
      </c>
      <c r="H2743" s="200"/>
    </row>
    <row r="2744" spans="1:8" x14ac:dyDescent="0.25">
      <c r="A2744" s="133"/>
      <c r="B2744" s="194" t="s">
        <v>5651</v>
      </c>
      <c r="C2744" s="345">
        <v>40000</v>
      </c>
      <c r="D2744" s="176">
        <f>+C2744*0.85</f>
        <v>34000</v>
      </c>
      <c r="E2744" s="176">
        <f>+C2744+D2744</f>
        <v>74000</v>
      </c>
      <c r="F2744" s="202">
        <v>0.75</v>
      </c>
      <c r="G2744" s="178">
        <f>+E2744/F2744</f>
        <v>98666.666666666672</v>
      </c>
      <c r="H2744" s="200"/>
    </row>
    <row r="2745" spans="1:8" x14ac:dyDescent="0.25">
      <c r="A2745" s="133"/>
      <c r="B2745" s="195" t="s">
        <v>5635</v>
      </c>
      <c r="C2745" s="345">
        <v>20600</v>
      </c>
      <c r="D2745" s="176">
        <f>+C2745*0.85</f>
        <v>17510</v>
      </c>
      <c r="E2745" s="176">
        <f>+C2745+D2745</f>
        <v>38110</v>
      </c>
      <c r="F2745" s="226">
        <v>0.75</v>
      </c>
      <c r="G2745" s="178">
        <f>+E2745/F2745</f>
        <v>50813.333333333336</v>
      </c>
      <c r="H2745" s="200"/>
    </row>
    <row r="2746" spans="1:8" x14ac:dyDescent="0.25">
      <c r="A2746" s="133"/>
      <c r="B2746" s="195"/>
      <c r="C2746" s="171"/>
      <c r="D2746" s="176"/>
      <c r="E2746" s="176"/>
      <c r="F2746" s="226"/>
      <c r="G2746" s="178"/>
      <c r="H2746" s="200"/>
    </row>
    <row r="2747" spans="1:8" x14ac:dyDescent="0.25">
      <c r="A2747" s="133"/>
      <c r="B2747" s="195"/>
      <c r="C2747" s="232"/>
      <c r="D2747" s="232"/>
      <c r="E2747" s="232"/>
      <c r="F2747" s="226"/>
      <c r="G2747" s="229"/>
      <c r="H2747" s="200"/>
    </row>
    <row r="2748" spans="1:8" ht="15.75" thickBot="1" x14ac:dyDescent="0.3">
      <c r="A2748" s="133"/>
      <c r="B2748" s="195"/>
      <c r="C2748" s="232"/>
      <c r="D2748" s="232"/>
      <c r="E2748" s="232"/>
      <c r="F2748" s="226"/>
      <c r="G2748" s="229"/>
      <c r="H2748" s="200"/>
    </row>
    <row r="2749" spans="1:8" ht="15.75" thickBot="1" x14ac:dyDescent="0.3">
      <c r="A2749" s="133"/>
      <c r="B2749" s="251"/>
      <c r="C2749" s="252"/>
      <c r="D2749" s="252"/>
      <c r="E2749" s="252"/>
      <c r="F2749" s="253"/>
      <c r="G2749" s="254"/>
      <c r="H2749" s="256">
        <f>+SUM(G2743:G2749)</f>
        <v>162430</v>
      </c>
    </row>
    <row r="2750" spans="1:8" ht="15.75" thickBot="1" x14ac:dyDescent="0.3">
      <c r="A2750" s="133"/>
      <c r="B2750" s="8"/>
      <c r="C2750" s="8"/>
      <c r="D2750" s="8"/>
      <c r="E2750" s="8"/>
      <c r="F2750" s="133"/>
      <c r="G2750" s="200"/>
      <c r="H2750" s="200"/>
    </row>
    <row r="2751" spans="1:8" ht="15.75" thickBot="1" x14ac:dyDescent="0.3">
      <c r="A2751" s="133"/>
      <c r="B2751" s="8"/>
      <c r="C2751" s="8"/>
      <c r="D2751" s="8"/>
      <c r="E2751" s="223" t="s">
        <v>5415</v>
      </c>
      <c r="F2751" s="133"/>
      <c r="G2751" s="200"/>
      <c r="H2751" s="256">
        <f>ROUND(+H2749+H2740+H2732+H2717,0)</f>
        <v>202673</v>
      </c>
    </row>
    <row r="2752" spans="1:8" x14ac:dyDescent="0.25">
      <c r="A2752" s="265"/>
      <c r="B2752" s="265"/>
      <c r="C2752" s="265"/>
      <c r="D2752" s="265"/>
      <c r="E2752" s="265"/>
      <c r="F2752" s="265"/>
      <c r="G2752" s="265"/>
      <c r="H2752" s="265"/>
    </row>
    <row r="2753" spans="1:8" x14ac:dyDescent="0.25">
      <c r="A2753" s="133"/>
      <c r="B2753" s="265"/>
      <c r="C2753" s="265"/>
      <c r="D2753" s="265"/>
      <c r="E2753" s="265"/>
      <c r="F2753" s="265"/>
      <c r="G2753" s="265"/>
      <c r="H2753" s="265"/>
    </row>
    <row r="2754" spans="1:8" x14ac:dyDescent="0.25">
      <c r="A2754" s="133"/>
      <c r="B2754" s="265"/>
      <c r="C2754" s="265"/>
      <c r="D2754" s="265"/>
      <c r="E2754" s="265"/>
      <c r="F2754" s="265"/>
      <c r="G2754" s="265"/>
      <c r="H2754" s="265"/>
    </row>
    <row r="2755" spans="1:8" x14ac:dyDescent="0.25">
      <c r="A2755" s="133"/>
      <c r="B2755" s="265"/>
      <c r="C2755" s="265"/>
      <c r="D2755" s="265"/>
      <c r="E2755" s="265"/>
      <c r="F2755" s="265"/>
      <c r="G2755" s="265"/>
      <c r="H2755" s="265"/>
    </row>
    <row r="2756" spans="1:8" ht="18.75" x14ac:dyDescent="0.25">
      <c r="A2756" s="133"/>
      <c r="B2756" s="2506" t="s">
        <v>5400</v>
      </c>
      <c r="C2756" s="2506"/>
      <c r="D2756" s="2506"/>
      <c r="E2756" s="2506"/>
      <c r="F2756" s="2506"/>
      <c r="G2756" s="2506"/>
      <c r="H2756" s="8"/>
    </row>
    <row r="2757" spans="1:8" x14ac:dyDescent="0.25">
      <c r="A2757" s="133"/>
      <c r="B2757" s="8"/>
      <c r="C2757" s="8"/>
      <c r="D2757" s="8"/>
      <c r="E2757" s="8"/>
      <c r="F2757" s="133"/>
      <c r="G2757" s="200"/>
      <c r="H2757" s="200"/>
    </row>
    <row r="2758" spans="1:8" x14ac:dyDescent="0.25">
      <c r="A2758" s="133"/>
      <c r="B2758" s="8"/>
      <c r="C2758" s="8"/>
      <c r="D2758" s="8"/>
      <c r="E2758" s="8"/>
      <c r="F2758" s="133"/>
      <c r="G2758" s="200"/>
      <c r="H2758" s="200"/>
    </row>
    <row r="2759" spans="1:8" x14ac:dyDescent="0.25">
      <c r="A2759" s="133"/>
      <c r="B2759" s="8"/>
      <c r="C2759" s="8"/>
      <c r="D2759" s="8"/>
      <c r="E2759" s="8"/>
      <c r="F2759" s="133"/>
      <c r="G2759" s="200"/>
      <c r="H2759" s="200"/>
    </row>
    <row r="2760" spans="1:8" ht="24.95" customHeight="1" x14ac:dyDescent="0.25">
      <c r="A2760" s="220" t="s">
        <v>5482</v>
      </c>
      <c r="B2760" s="221" t="s">
        <v>5526</v>
      </c>
      <c r="C2760" s="2449" t="s">
        <v>5527</v>
      </c>
      <c r="D2760" s="2449"/>
      <c r="E2760" s="2449"/>
      <c r="F2760" s="220" t="s">
        <v>867</v>
      </c>
      <c r="G2760" s="222" t="s">
        <v>5424</v>
      </c>
      <c r="H2760" s="200"/>
    </row>
    <row r="2761" spans="1:8" x14ac:dyDescent="0.25">
      <c r="A2761" s="133"/>
      <c r="B2761" s="8"/>
      <c r="C2761" s="223"/>
      <c r="D2761" s="223"/>
      <c r="E2761" s="223"/>
      <c r="F2761" s="133"/>
      <c r="G2761" s="200"/>
      <c r="H2761" s="200"/>
    </row>
    <row r="2762" spans="1:8" x14ac:dyDescent="0.25">
      <c r="A2762" s="133"/>
      <c r="B2762" s="8"/>
      <c r="C2762" s="8"/>
      <c r="D2762" s="8"/>
      <c r="E2762" s="8"/>
      <c r="F2762" s="8"/>
      <c r="G2762" s="8"/>
      <c r="H2762" s="200"/>
    </row>
    <row r="2763" spans="1:8" ht="15.75" thickBot="1" x14ac:dyDescent="0.3">
      <c r="A2763" s="133"/>
      <c r="B2763" s="8"/>
      <c r="C2763" s="8"/>
      <c r="D2763" s="8"/>
      <c r="E2763" s="8"/>
      <c r="F2763" s="133"/>
      <c r="G2763" s="200"/>
      <c r="H2763" s="200"/>
    </row>
    <row r="2764" spans="1:8" ht="15.75" thickBot="1" x14ac:dyDescent="0.3">
      <c r="A2764" s="133"/>
      <c r="B2764" s="224" t="s">
        <v>5403</v>
      </c>
      <c r="C2764" s="193" t="s">
        <v>867</v>
      </c>
      <c r="D2764" s="193" t="s">
        <v>6</v>
      </c>
      <c r="E2764" s="193" t="s">
        <v>5439</v>
      </c>
      <c r="F2764" s="193" t="s">
        <v>5405</v>
      </c>
      <c r="G2764" s="225" t="s">
        <v>868</v>
      </c>
      <c r="H2764" s="200"/>
    </row>
    <row r="2765" spans="1:8" x14ac:dyDescent="0.25">
      <c r="A2765" s="133"/>
      <c r="B2765" s="195" t="s">
        <v>5440</v>
      </c>
      <c r="C2765" s="226" t="s">
        <v>5402</v>
      </c>
      <c r="D2765" s="226">
        <v>1</v>
      </c>
      <c r="E2765" s="263">
        <f>+H2803</f>
        <v>312650</v>
      </c>
      <c r="F2765" s="226">
        <v>0.1</v>
      </c>
      <c r="G2765" s="229">
        <f>+E2765*F2765</f>
        <v>31265</v>
      </c>
      <c r="H2765" s="200"/>
    </row>
    <row r="2766" spans="1:8" x14ac:dyDescent="0.25">
      <c r="A2766" s="133"/>
      <c r="B2766" s="195"/>
      <c r="C2766" s="226"/>
      <c r="D2766" s="226"/>
      <c r="E2766" s="264"/>
      <c r="F2766" s="226"/>
      <c r="G2766" s="229"/>
      <c r="H2766" s="200"/>
    </row>
    <row r="2767" spans="1:8" x14ac:dyDescent="0.25">
      <c r="A2767" s="133"/>
      <c r="B2767" s="195"/>
      <c r="C2767" s="226"/>
      <c r="D2767" s="226"/>
      <c r="E2767" s="176"/>
      <c r="F2767" s="226"/>
      <c r="G2767" s="229"/>
      <c r="H2767" s="200"/>
    </row>
    <row r="2768" spans="1:8" x14ac:dyDescent="0.25">
      <c r="A2768" s="133"/>
      <c r="B2768" s="195"/>
      <c r="C2768" s="226"/>
      <c r="D2768" s="226"/>
      <c r="E2768" s="171"/>
      <c r="F2768" s="226"/>
      <c r="G2768" s="231"/>
      <c r="H2768" s="200"/>
    </row>
    <row r="2769" spans="1:8" x14ac:dyDescent="0.25">
      <c r="A2769" s="133"/>
      <c r="B2769" s="195"/>
      <c r="C2769" s="226"/>
      <c r="D2769" s="232"/>
      <c r="E2769" s="232"/>
      <c r="F2769" s="226"/>
      <c r="G2769" s="229"/>
      <c r="H2769" s="200"/>
    </row>
    <row r="2770" spans="1:8" ht="15.75" thickBot="1" x14ac:dyDescent="0.3">
      <c r="A2770" s="133"/>
      <c r="B2770" s="195"/>
      <c r="C2770" s="226"/>
      <c r="D2770" s="232"/>
      <c r="E2770" s="232"/>
      <c r="F2770" s="226"/>
      <c r="G2770" s="229"/>
      <c r="H2770" s="200"/>
    </row>
    <row r="2771" spans="1:8" ht="15.75" thickBot="1" x14ac:dyDescent="0.3">
      <c r="A2771" s="133"/>
      <c r="B2771" s="233"/>
      <c r="C2771" s="234"/>
      <c r="D2771" s="234"/>
      <c r="E2771" s="234"/>
      <c r="F2771" s="235"/>
      <c r="G2771" s="236"/>
      <c r="H2771" s="237">
        <f>+SUM(G2765:G2771)</f>
        <v>31265</v>
      </c>
    </row>
    <row r="2772" spans="1:8" ht="15.75" thickBot="1" x14ac:dyDescent="0.3">
      <c r="A2772" s="133"/>
      <c r="B2772" s="238"/>
      <c r="C2772" s="238"/>
      <c r="D2772" s="238"/>
      <c r="E2772" s="238"/>
      <c r="F2772" s="239"/>
      <c r="G2772" s="240"/>
      <c r="H2772" s="241"/>
    </row>
    <row r="2773" spans="1:8" ht="15.75" thickBot="1" x14ac:dyDescent="0.3">
      <c r="A2773" s="133"/>
      <c r="B2773" s="224" t="s">
        <v>5408</v>
      </c>
      <c r="C2773" s="193" t="s">
        <v>867</v>
      </c>
      <c r="D2773" s="193" t="s">
        <v>6</v>
      </c>
      <c r="E2773" s="193" t="s">
        <v>870</v>
      </c>
      <c r="F2773" s="193" t="s">
        <v>5409</v>
      </c>
      <c r="G2773" s="225" t="s">
        <v>868</v>
      </c>
      <c r="H2773" s="200"/>
    </row>
    <row r="2774" spans="1:8" x14ac:dyDescent="0.25">
      <c r="A2774" s="133"/>
      <c r="B2774" s="295" t="s">
        <v>6124</v>
      </c>
      <c r="C2774" s="202" t="s">
        <v>5424</v>
      </c>
      <c r="D2774" s="226"/>
      <c r="E2774" s="244"/>
      <c r="F2774" s="169"/>
      <c r="G2774" s="178">
        <f>+D2774*E2774*(1+F2774)</f>
        <v>0</v>
      </c>
      <c r="H2774" s="200"/>
    </row>
    <row r="2775" spans="1:8" x14ac:dyDescent="0.25">
      <c r="A2775" s="133"/>
      <c r="B2775" s="450" t="s">
        <v>6125</v>
      </c>
      <c r="C2775" s="202" t="s">
        <v>5424</v>
      </c>
      <c r="D2775" s="202"/>
      <c r="E2775" s="257"/>
      <c r="F2775" s="169"/>
      <c r="G2775" s="178">
        <f>+D2775*E2775*(1+F2775)</f>
        <v>0</v>
      </c>
      <c r="H2775" s="200"/>
    </row>
    <row r="2776" spans="1:8" x14ac:dyDescent="0.25">
      <c r="A2776" s="133"/>
      <c r="B2776" s="247"/>
      <c r="C2776" s="202"/>
      <c r="D2776" s="226"/>
      <c r="E2776" s="244"/>
      <c r="F2776" s="169"/>
      <c r="G2776" s="178">
        <f>+D2776*E2776*(1+F2776)</f>
        <v>0</v>
      </c>
      <c r="H2776" s="200"/>
    </row>
    <row r="2777" spans="1:8" x14ac:dyDescent="0.25">
      <c r="A2777" s="133"/>
      <c r="B2777" s="194"/>
      <c r="C2777" s="226"/>
      <c r="D2777" s="226"/>
      <c r="E2777" s="171"/>
      <c r="F2777" s="169"/>
      <c r="G2777" s="178">
        <f>+D2777*E2777*(1+F2777)</f>
        <v>0</v>
      </c>
      <c r="H2777" s="200"/>
    </row>
    <row r="2778" spans="1:8" x14ac:dyDescent="0.25">
      <c r="A2778" s="133"/>
      <c r="B2778" s="195"/>
      <c r="C2778" s="226"/>
      <c r="D2778" s="226"/>
      <c r="E2778" s="171"/>
      <c r="F2778" s="169"/>
      <c r="G2778" s="178"/>
      <c r="H2778" s="200"/>
    </row>
    <row r="2779" spans="1:8" x14ac:dyDescent="0.25">
      <c r="A2779" s="133"/>
      <c r="B2779" s="194"/>
      <c r="C2779" s="202"/>
      <c r="D2779" s="202"/>
      <c r="E2779" s="171"/>
      <c r="F2779" s="169"/>
      <c r="G2779" s="178"/>
      <c r="H2779" s="200"/>
    </row>
    <row r="2780" spans="1:8" x14ac:dyDescent="0.25">
      <c r="A2780" s="133"/>
      <c r="B2780" s="195"/>
      <c r="C2780" s="226"/>
      <c r="D2780" s="226"/>
      <c r="E2780" s="171"/>
      <c r="F2780" s="169"/>
      <c r="G2780" s="178"/>
      <c r="H2780" s="200"/>
    </row>
    <row r="2781" spans="1:8" x14ac:dyDescent="0.25">
      <c r="A2781" s="133"/>
      <c r="B2781" s="195"/>
      <c r="C2781" s="226"/>
      <c r="D2781" s="226"/>
      <c r="E2781" s="171"/>
      <c r="F2781" s="169"/>
      <c r="G2781" s="178"/>
      <c r="H2781" s="200"/>
    </row>
    <row r="2782" spans="1:8" x14ac:dyDescent="0.25">
      <c r="A2782" s="133"/>
      <c r="B2782" s="195"/>
      <c r="C2782" s="232"/>
      <c r="D2782" s="232"/>
      <c r="E2782" s="232"/>
      <c r="F2782" s="226"/>
      <c r="G2782" s="229"/>
      <c r="H2782" s="200"/>
    </row>
    <row r="2783" spans="1:8" x14ac:dyDescent="0.25">
      <c r="A2783" s="133"/>
      <c r="B2783" s="195"/>
      <c r="C2783" s="232"/>
      <c r="D2783" s="232"/>
      <c r="E2783" s="232"/>
      <c r="F2783" s="226"/>
      <c r="G2783" s="229"/>
      <c r="H2783" s="200"/>
    </row>
    <row r="2784" spans="1:8" x14ac:dyDescent="0.25">
      <c r="A2784" s="133"/>
      <c r="B2784" s="195"/>
      <c r="C2784" s="232"/>
      <c r="D2784" s="232"/>
      <c r="E2784" s="232"/>
      <c r="F2784" s="226"/>
      <c r="G2784" s="229"/>
      <c r="H2784" s="200"/>
    </row>
    <row r="2785" spans="1:8" ht="15.75" thickBot="1" x14ac:dyDescent="0.3">
      <c r="A2785" s="133"/>
      <c r="B2785" s="195"/>
      <c r="C2785" s="232"/>
      <c r="D2785" s="232"/>
      <c r="E2785" s="232"/>
      <c r="F2785" s="226"/>
      <c r="G2785" s="229"/>
      <c r="H2785" s="200"/>
    </row>
    <row r="2786" spans="1:8" ht="15.75" thickBot="1" x14ac:dyDescent="0.3">
      <c r="A2786" s="133"/>
      <c r="B2786" s="233"/>
      <c r="C2786" s="234"/>
      <c r="D2786" s="234"/>
      <c r="E2786" s="234"/>
      <c r="F2786" s="235"/>
      <c r="G2786" s="236"/>
      <c r="H2786" s="256">
        <f>+SUM(G2774:G2786)</f>
        <v>0</v>
      </c>
    </row>
    <row r="2787" spans="1:8" ht="15.75" thickBot="1" x14ac:dyDescent="0.3">
      <c r="A2787" s="133"/>
      <c r="B2787" s="238"/>
      <c r="C2787" s="238"/>
      <c r="D2787" s="238"/>
      <c r="E2787" s="238"/>
      <c r="F2787" s="239"/>
      <c r="G2787" s="240"/>
      <c r="H2787" s="241"/>
    </row>
    <row r="2788" spans="1:8" ht="15.75" thickBot="1" x14ac:dyDescent="0.3">
      <c r="A2788" s="133"/>
      <c r="B2788" s="224" t="s">
        <v>5410</v>
      </c>
      <c r="C2788" s="193" t="s">
        <v>867</v>
      </c>
      <c r="D2788" s="193" t="s">
        <v>6</v>
      </c>
      <c r="E2788" s="193" t="s">
        <v>870</v>
      </c>
      <c r="F2788" s="193" t="s">
        <v>5411</v>
      </c>
      <c r="G2788" s="225" t="s">
        <v>868</v>
      </c>
      <c r="H2788" s="200"/>
    </row>
    <row r="2789" spans="1:8" x14ac:dyDescent="0.25">
      <c r="A2789" s="133"/>
      <c r="B2789" s="245"/>
      <c r="C2789" s="202"/>
      <c r="D2789" s="202"/>
      <c r="E2789" s="168"/>
      <c r="F2789" s="202"/>
      <c r="G2789" s="203"/>
      <c r="H2789" s="246"/>
    </row>
    <row r="2790" spans="1:8" x14ac:dyDescent="0.25">
      <c r="A2790" s="133"/>
      <c r="B2790" s="247"/>
      <c r="C2790" s="202"/>
      <c r="D2790" s="202"/>
      <c r="E2790" s="199"/>
      <c r="F2790" s="202"/>
      <c r="G2790" s="178"/>
      <c r="H2790" s="200"/>
    </row>
    <row r="2791" spans="1:8" x14ac:dyDescent="0.25">
      <c r="A2791" s="133"/>
      <c r="B2791" s="247"/>
      <c r="C2791" s="202"/>
      <c r="D2791" s="226"/>
      <c r="E2791" s="232"/>
      <c r="F2791" s="226"/>
      <c r="G2791" s="229"/>
      <c r="H2791" s="200"/>
    </row>
    <row r="2792" spans="1:8" x14ac:dyDescent="0.25">
      <c r="A2792" s="133"/>
      <c r="B2792" s="194"/>
      <c r="C2792" s="232"/>
      <c r="D2792" s="232"/>
      <c r="E2792" s="232"/>
      <c r="F2792" s="226"/>
      <c r="G2792" s="229"/>
      <c r="H2792" s="200"/>
    </row>
    <row r="2793" spans="1:8" ht="15.75" thickBot="1" x14ac:dyDescent="0.3">
      <c r="A2793" s="133"/>
      <c r="B2793" s="195"/>
      <c r="C2793" s="232"/>
      <c r="D2793" s="232"/>
      <c r="E2793" s="232"/>
      <c r="F2793" s="226"/>
      <c r="G2793" s="229"/>
      <c r="H2793" s="200"/>
    </row>
    <row r="2794" spans="1:8" ht="15.75" thickBot="1" x14ac:dyDescent="0.3">
      <c r="A2794" s="133"/>
      <c r="B2794" s="233"/>
      <c r="C2794" s="234"/>
      <c r="D2794" s="234"/>
      <c r="E2794" s="234"/>
      <c r="F2794" s="235"/>
      <c r="G2794" s="236"/>
      <c r="H2794" s="237">
        <f>+SUM(G2789:G2794)</f>
        <v>0</v>
      </c>
    </row>
    <row r="2795" spans="1:8" ht="15.75" thickBot="1" x14ac:dyDescent="0.3">
      <c r="A2795" s="133"/>
      <c r="B2795" s="238"/>
      <c r="C2795" s="238"/>
      <c r="D2795" s="238"/>
      <c r="E2795" s="238"/>
      <c r="F2795" s="249"/>
      <c r="G2795" s="250"/>
      <c r="H2795" s="241"/>
    </row>
    <row r="2796" spans="1:8" ht="15.75" thickBot="1" x14ac:dyDescent="0.3">
      <c r="A2796" s="133"/>
      <c r="B2796" s="224" t="s">
        <v>5412</v>
      </c>
      <c r="C2796" s="193" t="s">
        <v>5420</v>
      </c>
      <c r="D2796" s="193" t="s">
        <v>5421</v>
      </c>
      <c r="E2796" s="193" t="s">
        <v>5413</v>
      </c>
      <c r="F2796" s="193" t="s">
        <v>5405</v>
      </c>
      <c r="G2796" s="225" t="s">
        <v>868</v>
      </c>
      <c r="H2796" s="200"/>
    </row>
    <row r="2797" spans="1:8" x14ac:dyDescent="0.25">
      <c r="A2797" s="133"/>
      <c r="B2797" s="194" t="s">
        <v>5948</v>
      </c>
      <c r="C2797" s="345">
        <v>70000</v>
      </c>
      <c r="D2797" s="176">
        <f>+C2797*0.85</f>
        <v>59500</v>
      </c>
      <c r="E2797" s="176">
        <f>+C2797+D2797</f>
        <v>129500</v>
      </c>
      <c r="F2797" s="204">
        <v>4</v>
      </c>
      <c r="G2797" s="178">
        <f>+E2797/F2797</f>
        <v>32375</v>
      </c>
      <c r="H2797" s="200"/>
    </row>
    <row r="2798" spans="1:8" x14ac:dyDescent="0.25">
      <c r="A2798" s="133"/>
      <c r="B2798" s="194" t="s">
        <v>5651</v>
      </c>
      <c r="C2798" s="345">
        <v>40000</v>
      </c>
      <c r="D2798" s="176">
        <f>+C2798*0.85</f>
        <v>34000</v>
      </c>
      <c r="E2798" s="176">
        <f>+C2798+D2798</f>
        <v>74000</v>
      </c>
      <c r="F2798" s="202">
        <v>0.4</v>
      </c>
      <c r="G2798" s="178">
        <f>+E2798/F2798</f>
        <v>185000</v>
      </c>
      <c r="H2798" s="200"/>
    </row>
    <row r="2799" spans="1:8" x14ac:dyDescent="0.25">
      <c r="A2799" s="133"/>
      <c r="B2799" s="195" t="s">
        <v>5635</v>
      </c>
      <c r="C2799" s="345">
        <v>20600</v>
      </c>
      <c r="D2799" s="176">
        <f>+C2799*0.85</f>
        <v>17510</v>
      </c>
      <c r="E2799" s="176">
        <f>+C2799+D2799</f>
        <v>38110</v>
      </c>
      <c r="F2799" s="226">
        <v>0.4</v>
      </c>
      <c r="G2799" s="178">
        <f>+E2799/F2799</f>
        <v>95275</v>
      </c>
      <c r="H2799" s="200"/>
    </row>
    <row r="2800" spans="1:8" x14ac:dyDescent="0.25">
      <c r="A2800" s="133"/>
      <c r="B2800" s="195"/>
      <c r="C2800" s="171"/>
      <c r="D2800" s="176"/>
      <c r="E2800" s="176"/>
      <c r="F2800" s="226"/>
      <c r="G2800" s="178"/>
      <c r="H2800" s="200"/>
    </row>
    <row r="2801" spans="1:8" x14ac:dyDescent="0.25">
      <c r="A2801" s="133"/>
      <c r="B2801" s="195"/>
      <c r="C2801" s="232"/>
      <c r="D2801" s="232"/>
      <c r="E2801" s="232"/>
      <c r="F2801" s="226"/>
      <c r="G2801" s="229"/>
      <c r="H2801" s="200"/>
    </row>
    <row r="2802" spans="1:8" ht="15.75" thickBot="1" x14ac:dyDescent="0.3">
      <c r="A2802" s="133"/>
      <c r="B2802" s="195"/>
      <c r="C2802" s="232"/>
      <c r="D2802" s="232"/>
      <c r="E2802" s="232"/>
      <c r="F2802" s="226"/>
      <c r="G2802" s="229"/>
      <c r="H2802" s="200"/>
    </row>
    <row r="2803" spans="1:8" ht="15.75" thickBot="1" x14ac:dyDescent="0.3">
      <c r="A2803" s="133"/>
      <c r="B2803" s="251"/>
      <c r="C2803" s="252"/>
      <c r="D2803" s="252"/>
      <c r="E2803" s="252"/>
      <c r="F2803" s="253"/>
      <c r="G2803" s="254"/>
      <c r="H2803" s="256">
        <f>+SUM(G2797:G2803)</f>
        <v>312650</v>
      </c>
    </row>
    <row r="2804" spans="1:8" ht="15.75" thickBot="1" x14ac:dyDescent="0.3">
      <c r="A2804" s="133"/>
      <c r="B2804" s="8"/>
      <c r="C2804" s="8"/>
      <c r="D2804" s="8"/>
      <c r="E2804" s="8"/>
      <c r="F2804" s="133"/>
      <c r="G2804" s="200"/>
      <c r="H2804" s="200"/>
    </row>
    <row r="2805" spans="1:8" ht="15.75" thickBot="1" x14ac:dyDescent="0.3">
      <c r="A2805" s="133"/>
      <c r="B2805" s="8"/>
      <c r="C2805" s="8"/>
      <c r="D2805" s="8"/>
      <c r="E2805" s="223" t="s">
        <v>5415</v>
      </c>
      <c r="F2805" s="133"/>
      <c r="G2805" s="200"/>
      <c r="H2805" s="256">
        <f>ROUND(+H2803+H2794+H2786+H2771,0)</f>
        <v>343915</v>
      </c>
    </row>
    <row r="2806" spans="1:8" x14ac:dyDescent="0.25">
      <c r="A2806" s="265"/>
      <c r="B2806" s="265"/>
      <c r="C2806" s="265"/>
      <c r="D2806" s="265"/>
      <c r="E2806" s="265"/>
      <c r="F2806" s="265"/>
      <c r="G2806" s="265"/>
      <c r="H2806" s="265"/>
    </row>
    <row r="2807" spans="1:8" x14ac:dyDescent="0.25">
      <c r="A2807" s="265"/>
      <c r="B2807" s="265"/>
      <c r="C2807" s="265"/>
      <c r="D2807" s="265"/>
      <c r="E2807" s="265"/>
      <c r="F2807" s="265"/>
      <c r="G2807" s="265"/>
      <c r="H2807" s="265"/>
    </row>
    <row r="2808" spans="1:8" x14ac:dyDescent="0.25">
      <c r="A2808" s="265"/>
      <c r="B2808" s="265"/>
      <c r="C2808" s="265"/>
      <c r="D2808" s="265"/>
      <c r="E2808" s="265"/>
      <c r="F2808" s="265"/>
      <c r="G2808" s="265"/>
      <c r="H2808" s="265"/>
    </row>
    <row r="2809" spans="1:8" x14ac:dyDescent="0.25">
      <c r="A2809" s="265"/>
      <c r="B2809" s="265"/>
      <c r="C2809" s="265"/>
      <c r="D2809" s="265"/>
      <c r="E2809" s="265"/>
      <c r="F2809" s="265"/>
      <c r="G2809" s="265"/>
      <c r="H2809" s="265"/>
    </row>
    <row r="2810" spans="1:8" ht="18.75" x14ac:dyDescent="0.25">
      <c r="A2810" s="133"/>
      <c r="B2810" s="2506" t="s">
        <v>5400</v>
      </c>
      <c r="C2810" s="2506"/>
      <c r="D2810" s="2506"/>
      <c r="E2810" s="2506"/>
      <c r="F2810" s="2506"/>
      <c r="G2810" s="2506"/>
      <c r="H2810" s="8"/>
    </row>
    <row r="2811" spans="1:8" x14ac:dyDescent="0.25">
      <c r="A2811" s="133"/>
      <c r="B2811" s="8"/>
      <c r="C2811" s="8"/>
      <c r="D2811" s="8"/>
      <c r="E2811" s="8"/>
      <c r="F2811" s="133"/>
      <c r="G2811" s="200"/>
      <c r="H2811" s="200"/>
    </row>
    <row r="2812" spans="1:8" x14ac:dyDescent="0.25">
      <c r="A2812" s="133"/>
      <c r="B2812" s="8"/>
      <c r="C2812" s="8"/>
      <c r="D2812" s="8"/>
      <c r="E2812" s="8"/>
      <c r="F2812" s="133"/>
      <c r="G2812" s="200"/>
      <c r="H2812" s="200"/>
    </row>
    <row r="2813" spans="1:8" x14ac:dyDescent="0.25">
      <c r="A2813" s="133"/>
      <c r="B2813" s="8"/>
      <c r="C2813" s="8"/>
      <c r="D2813" s="8"/>
      <c r="E2813" s="8"/>
      <c r="F2813" s="133"/>
      <c r="G2813" s="200"/>
      <c r="H2813" s="200"/>
    </row>
    <row r="2814" spans="1:8" ht="24.95" customHeight="1" x14ac:dyDescent="0.25">
      <c r="A2814" s="220" t="s">
        <v>5482</v>
      </c>
      <c r="B2814" s="221" t="s">
        <v>5528</v>
      </c>
      <c r="C2814" s="2449" t="s">
        <v>5529</v>
      </c>
      <c r="D2814" s="2449"/>
      <c r="E2814" s="2449"/>
      <c r="F2814" s="220" t="s">
        <v>867</v>
      </c>
      <c r="G2814" s="222" t="s">
        <v>5424</v>
      </c>
      <c r="H2814" s="200"/>
    </row>
    <row r="2815" spans="1:8" x14ac:dyDescent="0.25">
      <c r="A2815" s="133"/>
      <c r="B2815" s="8"/>
      <c r="C2815" s="223"/>
      <c r="D2815" s="223"/>
      <c r="E2815" s="223"/>
      <c r="F2815" s="133"/>
      <c r="G2815" s="200"/>
      <c r="H2815" s="200"/>
    </row>
    <row r="2816" spans="1:8" x14ac:dyDescent="0.25">
      <c r="A2816" s="133"/>
      <c r="B2816" s="8"/>
      <c r="C2816" s="8"/>
      <c r="D2816" s="8"/>
      <c r="E2816" s="8"/>
      <c r="F2816" s="8"/>
      <c r="G2816" s="8"/>
      <c r="H2816" s="200"/>
    </row>
    <row r="2817" spans="1:8" ht="15.75" thickBot="1" x14ac:dyDescent="0.3">
      <c r="A2817" s="133"/>
      <c r="B2817" s="8"/>
      <c r="C2817" s="8"/>
      <c r="D2817" s="8"/>
      <c r="E2817" s="8"/>
      <c r="F2817" s="133"/>
      <c r="G2817" s="200"/>
      <c r="H2817" s="200"/>
    </row>
    <row r="2818" spans="1:8" ht="15.75" thickBot="1" x14ac:dyDescent="0.3">
      <c r="A2818" s="133"/>
      <c r="B2818" s="224" t="s">
        <v>5403</v>
      </c>
      <c r="C2818" s="193" t="s">
        <v>867</v>
      </c>
      <c r="D2818" s="193" t="s">
        <v>6</v>
      </c>
      <c r="E2818" s="193" t="s">
        <v>5439</v>
      </c>
      <c r="F2818" s="193" t="s">
        <v>5405</v>
      </c>
      <c r="G2818" s="225" t="s">
        <v>868</v>
      </c>
      <c r="H2818" s="200"/>
    </row>
    <row r="2819" spans="1:8" x14ac:dyDescent="0.25">
      <c r="A2819" s="133"/>
      <c r="B2819" s="195" t="s">
        <v>5440</v>
      </c>
      <c r="C2819" s="226" t="s">
        <v>5402</v>
      </c>
      <c r="D2819" s="226">
        <v>1</v>
      </c>
      <c r="E2819" s="263">
        <f>+H2857</f>
        <v>345025</v>
      </c>
      <c r="F2819" s="226">
        <v>0.1</v>
      </c>
      <c r="G2819" s="229">
        <f>+E2819*F2819</f>
        <v>34502.5</v>
      </c>
      <c r="H2819" s="200"/>
    </row>
    <row r="2820" spans="1:8" x14ac:dyDescent="0.25">
      <c r="A2820" s="133"/>
      <c r="B2820" s="195" t="s">
        <v>6063</v>
      </c>
      <c r="C2820" s="226" t="s">
        <v>5424</v>
      </c>
      <c r="D2820" s="226">
        <v>1</v>
      </c>
      <c r="E2820" s="176">
        <v>120000</v>
      </c>
      <c r="F2820" s="226">
        <v>5</v>
      </c>
      <c r="G2820" s="229">
        <f>+E2820/F2820</f>
        <v>24000</v>
      </c>
      <c r="H2820" s="200"/>
    </row>
    <row r="2821" spans="1:8" x14ac:dyDescent="0.25">
      <c r="A2821" s="133"/>
      <c r="B2821" s="195"/>
      <c r="C2821" s="226"/>
      <c r="D2821" s="226"/>
      <c r="E2821" s="176"/>
      <c r="F2821" s="226"/>
      <c r="G2821" s="229"/>
      <c r="H2821" s="200"/>
    </row>
    <row r="2822" spans="1:8" x14ac:dyDescent="0.25">
      <c r="A2822" s="133"/>
      <c r="B2822" s="195"/>
      <c r="C2822" s="226"/>
      <c r="D2822" s="226"/>
      <c r="E2822" s="171"/>
      <c r="F2822" s="226"/>
      <c r="G2822" s="231"/>
      <c r="H2822" s="200"/>
    </row>
    <row r="2823" spans="1:8" x14ac:dyDescent="0.25">
      <c r="A2823" s="133"/>
      <c r="B2823" s="195"/>
      <c r="C2823" s="226"/>
      <c r="D2823" s="232"/>
      <c r="E2823" s="232"/>
      <c r="F2823" s="226"/>
      <c r="G2823" s="229"/>
      <c r="H2823" s="200"/>
    </row>
    <row r="2824" spans="1:8" ht="15.75" thickBot="1" x14ac:dyDescent="0.3">
      <c r="A2824" s="133"/>
      <c r="B2824" s="195"/>
      <c r="C2824" s="226"/>
      <c r="D2824" s="232"/>
      <c r="E2824" s="232"/>
      <c r="F2824" s="226"/>
      <c r="G2824" s="229"/>
      <c r="H2824" s="200"/>
    </row>
    <row r="2825" spans="1:8" ht="15.75" thickBot="1" x14ac:dyDescent="0.3">
      <c r="A2825" s="133"/>
      <c r="B2825" s="233"/>
      <c r="C2825" s="234"/>
      <c r="D2825" s="234"/>
      <c r="E2825" s="234"/>
      <c r="F2825" s="235"/>
      <c r="G2825" s="236"/>
      <c r="H2825" s="237">
        <f>+SUM(G2819:G2825)</f>
        <v>58502.5</v>
      </c>
    </row>
    <row r="2826" spans="1:8" ht="15.75" thickBot="1" x14ac:dyDescent="0.3">
      <c r="A2826" s="133"/>
      <c r="B2826" s="238"/>
      <c r="C2826" s="238"/>
      <c r="D2826" s="238"/>
      <c r="E2826" s="238"/>
      <c r="F2826" s="239"/>
      <c r="G2826" s="240"/>
      <c r="H2826" s="241"/>
    </row>
    <row r="2827" spans="1:8" ht="15.75" thickBot="1" x14ac:dyDescent="0.3">
      <c r="A2827" s="133"/>
      <c r="B2827" s="224" t="s">
        <v>5408</v>
      </c>
      <c r="C2827" s="193" t="s">
        <v>867</v>
      </c>
      <c r="D2827" s="193" t="s">
        <v>6</v>
      </c>
      <c r="E2827" s="193" t="s">
        <v>870</v>
      </c>
      <c r="F2827" s="193" t="s">
        <v>5409</v>
      </c>
      <c r="G2827" s="225" t="s">
        <v>868</v>
      </c>
      <c r="H2827" s="200"/>
    </row>
    <row r="2828" spans="1:8" x14ac:dyDescent="0.25">
      <c r="A2828" s="133"/>
      <c r="B2828" s="295" t="s">
        <v>6124</v>
      </c>
      <c r="C2828" s="202" t="s">
        <v>5424</v>
      </c>
      <c r="D2828" s="226"/>
      <c r="E2828" s="244"/>
      <c r="F2828" s="169"/>
      <c r="G2828" s="178">
        <f>+D2828*E2828*(1+F2828)</f>
        <v>0</v>
      </c>
      <c r="H2828" s="200"/>
    </row>
    <row r="2829" spans="1:8" x14ac:dyDescent="0.25">
      <c r="A2829" s="133"/>
      <c r="B2829" s="450" t="s">
        <v>6132</v>
      </c>
      <c r="C2829" s="202" t="s">
        <v>5424</v>
      </c>
      <c r="D2829" s="202"/>
      <c r="E2829" s="257"/>
      <c r="F2829" s="169"/>
      <c r="G2829" s="178">
        <f>+D2829*E2829*(1+F2829)</f>
        <v>0</v>
      </c>
      <c r="H2829" s="200"/>
    </row>
    <row r="2830" spans="1:8" x14ac:dyDescent="0.25">
      <c r="A2830" s="133"/>
      <c r="B2830" s="247"/>
      <c r="C2830" s="202"/>
      <c r="D2830" s="226"/>
      <c r="E2830" s="244"/>
      <c r="F2830" s="169"/>
      <c r="G2830" s="178">
        <f>+D2830*E2830*(1+F2830)</f>
        <v>0</v>
      </c>
      <c r="H2830" s="200"/>
    </row>
    <row r="2831" spans="1:8" x14ac:dyDescent="0.25">
      <c r="A2831" s="133"/>
      <c r="B2831" s="194"/>
      <c r="C2831" s="226"/>
      <c r="D2831" s="226"/>
      <c r="E2831" s="171"/>
      <c r="F2831" s="169"/>
      <c r="G2831" s="178">
        <f>+D2831*E2831*(1+F2831)</f>
        <v>0</v>
      </c>
      <c r="H2831" s="200"/>
    </row>
    <row r="2832" spans="1:8" x14ac:dyDescent="0.25">
      <c r="A2832" s="133"/>
      <c r="B2832" s="195"/>
      <c r="C2832" s="226"/>
      <c r="D2832" s="226"/>
      <c r="E2832" s="171"/>
      <c r="F2832" s="169"/>
      <c r="G2832" s="178"/>
      <c r="H2832" s="200"/>
    </row>
    <row r="2833" spans="1:8" x14ac:dyDescent="0.25">
      <c r="A2833" s="133"/>
      <c r="B2833" s="194"/>
      <c r="C2833" s="202"/>
      <c r="D2833" s="202"/>
      <c r="E2833" s="171"/>
      <c r="F2833" s="169"/>
      <c r="G2833" s="178"/>
      <c r="H2833" s="200"/>
    </row>
    <row r="2834" spans="1:8" x14ac:dyDescent="0.25">
      <c r="A2834" s="133"/>
      <c r="B2834" s="195"/>
      <c r="C2834" s="226"/>
      <c r="D2834" s="226"/>
      <c r="E2834" s="171"/>
      <c r="F2834" s="169"/>
      <c r="G2834" s="178"/>
      <c r="H2834" s="200"/>
    </row>
    <row r="2835" spans="1:8" x14ac:dyDescent="0.25">
      <c r="A2835" s="133"/>
      <c r="B2835" s="195"/>
      <c r="C2835" s="226"/>
      <c r="D2835" s="226"/>
      <c r="E2835" s="171"/>
      <c r="F2835" s="169"/>
      <c r="G2835" s="178"/>
      <c r="H2835" s="200"/>
    </row>
    <row r="2836" spans="1:8" x14ac:dyDescent="0.25">
      <c r="A2836" s="133"/>
      <c r="B2836" s="195"/>
      <c r="C2836" s="232"/>
      <c r="D2836" s="232"/>
      <c r="E2836" s="232"/>
      <c r="F2836" s="226"/>
      <c r="G2836" s="229"/>
      <c r="H2836" s="200"/>
    </row>
    <row r="2837" spans="1:8" x14ac:dyDescent="0.25">
      <c r="A2837" s="133"/>
      <c r="B2837" s="195"/>
      <c r="C2837" s="232"/>
      <c r="D2837" s="232"/>
      <c r="E2837" s="232"/>
      <c r="F2837" s="226"/>
      <c r="G2837" s="229"/>
      <c r="H2837" s="200"/>
    </row>
    <row r="2838" spans="1:8" x14ac:dyDescent="0.25">
      <c r="A2838" s="133"/>
      <c r="B2838" s="195"/>
      <c r="C2838" s="232"/>
      <c r="D2838" s="232"/>
      <c r="E2838" s="232"/>
      <c r="F2838" s="226"/>
      <c r="G2838" s="229"/>
      <c r="H2838" s="200"/>
    </row>
    <row r="2839" spans="1:8" ht="15.75" thickBot="1" x14ac:dyDescent="0.3">
      <c r="A2839" s="133"/>
      <c r="B2839" s="195"/>
      <c r="C2839" s="232"/>
      <c r="D2839" s="232"/>
      <c r="E2839" s="232"/>
      <c r="F2839" s="226"/>
      <c r="G2839" s="229"/>
      <c r="H2839" s="200"/>
    </row>
    <row r="2840" spans="1:8" ht="15.75" thickBot="1" x14ac:dyDescent="0.3">
      <c r="A2840" s="133"/>
      <c r="B2840" s="233"/>
      <c r="C2840" s="234"/>
      <c r="D2840" s="234"/>
      <c r="E2840" s="234"/>
      <c r="F2840" s="235"/>
      <c r="G2840" s="236"/>
      <c r="H2840" s="256">
        <f>+SUM(G2828:G2840)</f>
        <v>0</v>
      </c>
    </row>
    <row r="2841" spans="1:8" ht="15.75" thickBot="1" x14ac:dyDescent="0.3">
      <c r="A2841" s="133"/>
      <c r="B2841" s="238"/>
      <c r="C2841" s="238"/>
      <c r="D2841" s="238"/>
      <c r="E2841" s="238"/>
      <c r="F2841" s="239"/>
      <c r="G2841" s="240"/>
      <c r="H2841" s="241"/>
    </row>
    <row r="2842" spans="1:8" ht="15.75" thickBot="1" x14ac:dyDescent="0.3">
      <c r="A2842" s="133"/>
      <c r="B2842" s="224" t="s">
        <v>5410</v>
      </c>
      <c r="C2842" s="193" t="s">
        <v>867</v>
      </c>
      <c r="D2842" s="193" t="s">
        <v>6</v>
      </c>
      <c r="E2842" s="193" t="s">
        <v>870</v>
      </c>
      <c r="F2842" s="193" t="s">
        <v>5411</v>
      </c>
      <c r="G2842" s="225" t="s">
        <v>868</v>
      </c>
      <c r="H2842" s="200"/>
    </row>
    <row r="2843" spans="1:8" x14ac:dyDescent="0.25">
      <c r="A2843" s="133"/>
      <c r="B2843" s="245"/>
      <c r="C2843" s="202"/>
      <c r="D2843" s="202"/>
      <c r="E2843" s="168"/>
      <c r="F2843" s="202"/>
      <c r="G2843" s="203"/>
      <c r="H2843" s="246"/>
    </row>
    <row r="2844" spans="1:8" x14ac:dyDescent="0.25">
      <c r="A2844" s="133"/>
      <c r="B2844" s="247"/>
      <c r="C2844" s="202"/>
      <c r="D2844" s="202"/>
      <c r="E2844" s="199"/>
      <c r="F2844" s="202"/>
      <c r="G2844" s="178"/>
      <c r="H2844" s="200"/>
    </row>
    <row r="2845" spans="1:8" x14ac:dyDescent="0.25">
      <c r="A2845" s="133"/>
      <c r="B2845" s="247"/>
      <c r="C2845" s="202"/>
      <c r="D2845" s="226"/>
      <c r="E2845" s="232"/>
      <c r="F2845" s="226"/>
      <c r="G2845" s="229"/>
      <c r="H2845" s="200"/>
    </row>
    <row r="2846" spans="1:8" x14ac:dyDescent="0.25">
      <c r="A2846" s="133"/>
      <c r="B2846" s="194"/>
      <c r="C2846" s="232"/>
      <c r="D2846" s="232"/>
      <c r="E2846" s="232"/>
      <c r="F2846" s="226"/>
      <c r="G2846" s="229"/>
      <c r="H2846" s="200"/>
    </row>
    <row r="2847" spans="1:8" ht="15.75" thickBot="1" x14ac:dyDescent="0.3">
      <c r="A2847" s="133"/>
      <c r="B2847" s="195"/>
      <c r="C2847" s="232"/>
      <c r="D2847" s="232"/>
      <c r="E2847" s="232"/>
      <c r="F2847" s="226"/>
      <c r="G2847" s="229"/>
      <c r="H2847" s="200"/>
    </row>
    <row r="2848" spans="1:8" ht="15.75" thickBot="1" x14ac:dyDescent="0.3">
      <c r="A2848" s="133"/>
      <c r="B2848" s="233"/>
      <c r="C2848" s="234"/>
      <c r="D2848" s="234"/>
      <c r="E2848" s="234"/>
      <c r="F2848" s="235"/>
      <c r="G2848" s="236"/>
      <c r="H2848" s="237">
        <f>+SUM(G2843:G2848)</f>
        <v>0</v>
      </c>
    </row>
    <row r="2849" spans="1:17" ht="15.75" thickBot="1" x14ac:dyDescent="0.3">
      <c r="A2849" s="133"/>
      <c r="B2849" s="238"/>
      <c r="C2849" s="238"/>
      <c r="D2849" s="238"/>
      <c r="E2849" s="238"/>
      <c r="F2849" s="249"/>
      <c r="G2849" s="250"/>
      <c r="H2849" s="241"/>
    </row>
    <row r="2850" spans="1:17" ht="15.75" thickBot="1" x14ac:dyDescent="0.3">
      <c r="A2850" s="133"/>
      <c r="B2850" s="224" t="s">
        <v>5412</v>
      </c>
      <c r="C2850" s="193" t="s">
        <v>5420</v>
      </c>
      <c r="D2850" s="193" t="s">
        <v>5421</v>
      </c>
      <c r="E2850" s="193" t="s">
        <v>5413</v>
      </c>
      <c r="F2850" s="193" t="s">
        <v>5405</v>
      </c>
      <c r="G2850" s="225" t="s">
        <v>868</v>
      </c>
      <c r="H2850" s="200"/>
    </row>
    <row r="2851" spans="1:17" x14ac:dyDescent="0.25">
      <c r="A2851" s="133"/>
      <c r="B2851" s="194" t="s">
        <v>5948</v>
      </c>
      <c r="C2851" s="345">
        <v>70000</v>
      </c>
      <c r="D2851" s="176">
        <f>+C2851*0.85</f>
        <v>59500</v>
      </c>
      <c r="E2851" s="176">
        <f>+C2851+D2851</f>
        <v>129500</v>
      </c>
      <c r="F2851" s="204">
        <v>2</v>
      </c>
      <c r="G2851" s="178">
        <f>+E2851/F2851</f>
        <v>64750</v>
      </c>
      <c r="H2851" s="200"/>
    </row>
    <row r="2852" spans="1:17" x14ac:dyDescent="0.25">
      <c r="A2852" s="133"/>
      <c r="B2852" s="194" t="s">
        <v>5651</v>
      </c>
      <c r="C2852" s="345">
        <v>40000</v>
      </c>
      <c r="D2852" s="176">
        <f>+C2852*0.85</f>
        <v>34000</v>
      </c>
      <c r="E2852" s="176">
        <f>+C2852+D2852</f>
        <v>74000</v>
      </c>
      <c r="F2852" s="202">
        <v>0.4</v>
      </c>
      <c r="G2852" s="178">
        <f>+E2852/F2852</f>
        <v>185000</v>
      </c>
      <c r="H2852" s="200"/>
    </row>
    <row r="2853" spans="1:17" x14ac:dyDescent="0.25">
      <c r="A2853" s="133"/>
      <c r="B2853" s="195" t="s">
        <v>5635</v>
      </c>
      <c r="C2853" s="345">
        <v>20600</v>
      </c>
      <c r="D2853" s="176">
        <f>+C2853*0.85</f>
        <v>17510</v>
      </c>
      <c r="E2853" s="176">
        <f>+C2853+D2853</f>
        <v>38110</v>
      </c>
      <c r="F2853" s="226">
        <v>0.4</v>
      </c>
      <c r="G2853" s="178">
        <f>+E2853/F2853</f>
        <v>95275</v>
      </c>
      <c r="H2853" s="200"/>
    </row>
    <row r="2854" spans="1:17" x14ac:dyDescent="0.25">
      <c r="A2854" s="133"/>
      <c r="B2854" s="195"/>
      <c r="C2854" s="171"/>
      <c r="D2854" s="176"/>
      <c r="E2854" s="176"/>
      <c r="F2854" s="226"/>
      <c r="G2854" s="178"/>
      <c r="H2854" s="200"/>
    </row>
    <row r="2855" spans="1:17" x14ac:dyDescent="0.25">
      <c r="A2855" s="133"/>
      <c r="B2855" s="195"/>
      <c r="C2855" s="232"/>
      <c r="D2855" s="232"/>
      <c r="E2855" s="232"/>
      <c r="F2855" s="226"/>
      <c r="G2855" s="229"/>
      <c r="H2855" s="200"/>
    </row>
    <row r="2856" spans="1:17" ht="15.75" thickBot="1" x14ac:dyDescent="0.3">
      <c r="A2856" s="133"/>
      <c r="B2856" s="195"/>
      <c r="C2856" s="232"/>
      <c r="D2856" s="232"/>
      <c r="E2856" s="232"/>
      <c r="F2856" s="226"/>
      <c r="G2856" s="229"/>
      <c r="H2856" s="200"/>
    </row>
    <row r="2857" spans="1:17" ht="15.75" thickBot="1" x14ac:dyDescent="0.3">
      <c r="A2857" s="133"/>
      <c r="B2857" s="251"/>
      <c r="C2857" s="252"/>
      <c r="D2857" s="252"/>
      <c r="E2857" s="252"/>
      <c r="F2857" s="253"/>
      <c r="G2857" s="254"/>
      <c r="H2857" s="256">
        <f>+SUM(G2851:G2857)</f>
        <v>345025</v>
      </c>
    </row>
    <row r="2858" spans="1:17" ht="15.75" thickBot="1" x14ac:dyDescent="0.3">
      <c r="A2858" s="133"/>
      <c r="B2858" s="8"/>
      <c r="C2858" s="8"/>
      <c r="D2858" s="8"/>
      <c r="E2858" s="8"/>
      <c r="F2858" s="133"/>
      <c r="G2858" s="200"/>
      <c r="H2858" s="200"/>
    </row>
    <row r="2859" spans="1:17" ht="15.75" thickBot="1" x14ac:dyDescent="0.3">
      <c r="A2859" s="133"/>
      <c r="B2859" s="8"/>
      <c r="C2859" s="8"/>
      <c r="D2859" s="8"/>
      <c r="E2859" s="223" t="s">
        <v>5415</v>
      </c>
      <c r="F2859" s="133"/>
      <c r="G2859" s="200"/>
      <c r="H2859" s="256">
        <f>ROUND(+H2857+H2848+H2840+H2825,0)</f>
        <v>403528</v>
      </c>
    </row>
    <row r="2860" spans="1:17" x14ac:dyDescent="0.25">
      <c r="A2860" s="265"/>
      <c r="B2860" s="265"/>
      <c r="C2860" s="265"/>
      <c r="D2860" s="265"/>
      <c r="E2860" s="265"/>
      <c r="F2860" s="265"/>
      <c r="G2860" s="265"/>
      <c r="H2860" s="265"/>
    </row>
    <row r="2861" spans="1:17" x14ac:dyDescent="0.25">
      <c r="A2861" s="265"/>
      <c r="B2861" s="265"/>
      <c r="C2861" s="265"/>
      <c r="D2861" s="265"/>
      <c r="E2861" s="265"/>
      <c r="F2861" s="265"/>
      <c r="G2861" s="265"/>
      <c r="H2861" s="265"/>
    </row>
    <row r="2862" spans="1:17" x14ac:dyDescent="0.25">
      <c r="A2862" s="265"/>
      <c r="B2862" s="265"/>
      <c r="C2862" s="265"/>
      <c r="D2862" s="265"/>
      <c r="E2862" s="265"/>
      <c r="F2862" s="265"/>
      <c r="G2862" s="265"/>
      <c r="H2862" s="265"/>
    </row>
    <row r="2863" spans="1:17" x14ac:dyDescent="0.25">
      <c r="A2863" s="265"/>
      <c r="B2863" s="265"/>
      <c r="C2863" s="265"/>
      <c r="D2863" s="265"/>
      <c r="E2863" s="265"/>
      <c r="F2863" s="265"/>
      <c r="G2863" s="265"/>
      <c r="H2863" s="265"/>
    </row>
    <row r="2864" spans="1:17" ht="18.75" x14ac:dyDescent="0.25">
      <c r="A2864" s="133"/>
      <c r="B2864" s="2506" t="s">
        <v>5400</v>
      </c>
      <c r="C2864" s="2506"/>
      <c r="D2864" s="2506"/>
      <c r="E2864" s="2506"/>
      <c r="F2864" s="2506"/>
      <c r="G2864" s="2506"/>
      <c r="H2864" s="8"/>
      <c r="I2864" s="133"/>
      <c r="J2864" s="2506" t="s">
        <v>5400</v>
      </c>
      <c r="K2864" s="2506"/>
      <c r="L2864" s="2506"/>
      <c r="M2864" s="2506"/>
      <c r="N2864" s="2506"/>
      <c r="O2864" s="2506"/>
      <c r="P2864" s="2506"/>
      <c r="Q2864" s="8"/>
    </row>
    <row r="2865" spans="1:17" x14ac:dyDescent="0.25">
      <c r="A2865" s="133"/>
      <c r="B2865" s="8"/>
      <c r="C2865" s="8"/>
      <c r="D2865" s="8"/>
      <c r="E2865" s="8"/>
      <c r="F2865" s="133"/>
      <c r="G2865" s="200"/>
      <c r="H2865" s="200"/>
      <c r="I2865" s="133"/>
      <c r="J2865" s="8"/>
      <c r="K2865" s="8"/>
      <c r="L2865" s="8"/>
      <c r="M2865" s="8"/>
      <c r="N2865" s="8"/>
      <c r="O2865" s="133"/>
      <c r="P2865" s="200"/>
      <c r="Q2865" s="200"/>
    </row>
    <row r="2866" spans="1:17" x14ac:dyDescent="0.25">
      <c r="A2866" s="133"/>
      <c r="B2866" s="8"/>
      <c r="C2866" s="8"/>
      <c r="D2866" s="8"/>
      <c r="E2866" s="8"/>
      <c r="F2866" s="133"/>
      <c r="G2866" s="200"/>
      <c r="H2866" s="200"/>
      <c r="I2866" s="133"/>
      <c r="J2866" s="8"/>
      <c r="K2866" s="8"/>
      <c r="L2866" s="8"/>
      <c r="M2866" s="8"/>
      <c r="N2866" s="133"/>
      <c r="O2866" s="200"/>
      <c r="P2866" s="200"/>
    </row>
    <row r="2867" spans="1:17" x14ac:dyDescent="0.25">
      <c r="A2867" s="133"/>
      <c r="B2867" s="8"/>
      <c r="C2867" s="8"/>
      <c r="D2867" s="8"/>
      <c r="E2867" s="8"/>
      <c r="F2867" s="133"/>
      <c r="G2867" s="200"/>
      <c r="H2867" s="200"/>
      <c r="I2867" s="133"/>
      <c r="J2867" s="8"/>
      <c r="K2867" s="8"/>
      <c r="L2867" s="8"/>
      <c r="M2867" s="8"/>
      <c r="N2867" s="133"/>
      <c r="O2867" s="200"/>
      <c r="P2867" s="200"/>
    </row>
    <row r="2868" spans="1:17" ht="24.95" customHeight="1" x14ac:dyDescent="0.25">
      <c r="A2868" s="220" t="s">
        <v>5482</v>
      </c>
      <c r="B2868" s="221" t="s">
        <v>5530</v>
      </c>
      <c r="C2868" s="2449" t="s">
        <v>5531</v>
      </c>
      <c r="D2868" s="2449"/>
      <c r="E2868" s="2449"/>
      <c r="F2868" s="220" t="s">
        <v>867</v>
      </c>
      <c r="G2868" s="222" t="s">
        <v>5424</v>
      </c>
      <c r="H2868" s="200"/>
      <c r="I2868" s="220" t="s">
        <v>5482</v>
      </c>
      <c r="J2868" s="221"/>
      <c r="K2868" s="2449" t="s">
        <v>5923</v>
      </c>
      <c r="L2868" s="2449"/>
      <c r="M2868" s="2449"/>
      <c r="N2868" s="220" t="s">
        <v>867</v>
      </c>
      <c r="O2868" s="222" t="s">
        <v>5424</v>
      </c>
      <c r="P2868" s="200"/>
    </row>
    <row r="2869" spans="1:17" x14ac:dyDescent="0.25">
      <c r="A2869" s="133"/>
      <c r="B2869" s="8"/>
      <c r="C2869" s="223"/>
      <c r="D2869" s="223"/>
      <c r="E2869" s="223"/>
      <c r="F2869" s="133"/>
      <c r="G2869" s="200"/>
      <c r="H2869" s="200"/>
      <c r="I2869" s="133"/>
      <c r="J2869" s="8"/>
      <c r="K2869" s="223"/>
      <c r="L2869" s="223"/>
      <c r="M2869" s="223"/>
      <c r="N2869" s="133"/>
      <c r="O2869" s="200"/>
      <c r="P2869" s="200"/>
    </row>
    <row r="2870" spans="1:17" x14ac:dyDescent="0.25">
      <c r="A2870" s="133"/>
      <c r="B2870" s="8"/>
      <c r="C2870" s="8"/>
      <c r="D2870" s="8"/>
      <c r="E2870" s="8"/>
      <c r="F2870" s="8"/>
      <c r="G2870" s="8"/>
      <c r="H2870" s="200"/>
      <c r="I2870" s="133"/>
      <c r="J2870" s="8"/>
      <c r="K2870" s="8"/>
      <c r="L2870" s="8"/>
      <c r="M2870" s="8"/>
      <c r="N2870" s="8"/>
      <c r="O2870" s="8"/>
      <c r="P2870" s="200"/>
    </row>
    <row r="2871" spans="1:17" ht="15.75" thickBot="1" x14ac:dyDescent="0.3">
      <c r="A2871" s="133"/>
      <c r="B2871" s="8"/>
      <c r="C2871" s="8"/>
      <c r="D2871" s="8"/>
      <c r="E2871" s="8"/>
      <c r="F2871" s="133"/>
      <c r="G2871" s="200"/>
      <c r="H2871" s="200"/>
      <c r="I2871" s="133"/>
      <c r="J2871" s="8"/>
      <c r="K2871" s="8"/>
      <c r="L2871" s="8"/>
      <c r="M2871" s="8"/>
      <c r="N2871" s="133"/>
      <c r="O2871" s="200"/>
      <c r="P2871" s="200"/>
    </row>
    <row r="2872" spans="1:17" ht="15.75" thickBot="1" x14ac:dyDescent="0.3">
      <c r="A2872" s="133"/>
      <c r="B2872" s="224" t="s">
        <v>5403</v>
      </c>
      <c r="C2872" s="193" t="s">
        <v>867</v>
      </c>
      <c r="D2872" s="193" t="s">
        <v>6</v>
      </c>
      <c r="E2872" s="193" t="s">
        <v>5439</v>
      </c>
      <c r="F2872" s="193" t="s">
        <v>5405</v>
      </c>
      <c r="G2872" s="225" t="s">
        <v>868</v>
      </c>
      <c r="H2872" s="200"/>
      <c r="I2872" s="133"/>
      <c r="J2872" s="224" t="s">
        <v>5403</v>
      </c>
      <c r="K2872" s="193" t="s">
        <v>867</v>
      </c>
      <c r="L2872" s="193" t="s">
        <v>6</v>
      </c>
      <c r="M2872" s="193" t="s">
        <v>5439</v>
      </c>
      <c r="N2872" s="193" t="s">
        <v>5405</v>
      </c>
      <c r="O2872" s="225" t="s">
        <v>868</v>
      </c>
      <c r="P2872" s="200"/>
    </row>
    <row r="2873" spans="1:17" x14ac:dyDescent="0.25">
      <c r="A2873" s="133"/>
      <c r="B2873" s="195" t="s">
        <v>5440</v>
      </c>
      <c r="C2873" s="226" t="s">
        <v>5402</v>
      </c>
      <c r="D2873" s="226">
        <v>1</v>
      </c>
      <c r="E2873" s="263">
        <f>+H2911</f>
        <v>513190</v>
      </c>
      <c r="F2873" s="226">
        <v>0.1</v>
      </c>
      <c r="G2873" s="229">
        <f>+E2873*F2873</f>
        <v>51319</v>
      </c>
      <c r="H2873" s="200"/>
      <c r="I2873" s="133"/>
      <c r="J2873" s="195" t="s">
        <v>5440</v>
      </c>
      <c r="K2873" s="226" t="s">
        <v>5402</v>
      </c>
      <c r="L2873" s="226">
        <v>1</v>
      </c>
      <c r="M2873" s="228">
        <f>+P2911</f>
        <v>3169050</v>
      </c>
      <c r="N2873" s="226">
        <v>0.2</v>
      </c>
      <c r="O2873" s="229">
        <f>+M2873*N2873</f>
        <v>633810</v>
      </c>
      <c r="P2873" s="200"/>
    </row>
    <row r="2874" spans="1:17" x14ac:dyDescent="0.25">
      <c r="A2874" s="133"/>
      <c r="B2874" s="195" t="s">
        <v>6063</v>
      </c>
      <c r="C2874" s="226" t="s">
        <v>5424</v>
      </c>
      <c r="D2874" s="226">
        <v>1</v>
      </c>
      <c r="E2874" s="176">
        <v>120000</v>
      </c>
      <c r="F2874" s="226">
        <v>3</v>
      </c>
      <c r="G2874" s="229">
        <f>+E2874/F2874</f>
        <v>40000</v>
      </c>
      <c r="H2874" s="200"/>
      <c r="I2874" s="133"/>
      <c r="J2874" s="195" t="s">
        <v>6063</v>
      </c>
      <c r="K2874" s="226" t="s">
        <v>5424</v>
      </c>
      <c r="L2874" s="226">
        <v>1</v>
      </c>
      <c r="M2874" s="176">
        <v>120000</v>
      </c>
      <c r="N2874" s="226">
        <v>1</v>
      </c>
      <c r="O2874" s="229">
        <f>+M2874/N2874</f>
        <v>120000</v>
      </c>
      <c r="P2874" s="200"/>
    </row>
    <row r="2875" spans="1:17" x14ac:dyDescent="0.25">
      <c r="A2875" s="133"/>
      <c r="B2875" s="195"/>
      <c r="C2875" s="226"/>
      <c r="D2875" s="226"/>
      <c r="E2875" s="176"/>
      <c r="F2875" s="226"/>
      <c r="G2875" s="229"/>
      <c r="H2875" s="200"/>
      <c r="I2875" s="133"/>
      <c r="J2875" s="195"/>
      <c r="K2875" s="226"/>
      <c r="L2875" s="226"/>
      <c r="M2875" s="176"/>
      <c r="N2875" s="226"/>
      <c r="O2875" s="229"/>
      <c r="P2875" s="200"/>
    </row>
    <row r="2876" spans="1:17" x14ac:dyDescent="0.25">
      <c r="A2876" s="133"/>
      <c r="B2876" s="195"/>
      <c r="C2876" s="226"/>
      <c r="D2876" s="226"/>
      <c r="E2876" s="171"/>
      <c r="F2876" s="226"/>
      <c r="G2876" s="231"/>
      <c r="H2876" s="200"/>
      <c r="I2876" s="133"/>
      <c r="J2876" s="195"/>
      <c r="K2876" s="226"/>
      <c r="L2876" s="226"/>
      <c r="M2876" s="171"/>
      <c r="N2876" s="226"/>
      <c r="O2876" s="229"/>
      <c r="P2876" s="200"/>
    </row>
    <row r="2877" spans="1:17" x14ac:dyDescent="0.25">
      <c r="A2877" s="133"/>
      <c r="B2877" s="195"/>
      <c r="C2877" s="226"/>
      <c r="D2877" s="232"/>
      <c r="E2877" s="232"/>
      <c r="F2877" s="226"/>
      <c r="G2877" s="229"/>
      <c r="H2877" s="200"/>
      <c r="I2877" s="133"/>
      <c r="J2877" s="195"/>
      <c r="K2877" s="226"/>
      <c r="L2877" s="232"/>
      <c r="M2877" s="232"/>
      <c r="N2877" s="226"/>
      <c r="O2877" s="229"/>
      <c r="P2877" s="200"/>
    </row>
    <row r="2878" spans="1:17" ht="15.75" thickBot="1" x14ac:dyDescent="0.3">
      <c r="A2878" s="133"/>
      <c r="B2878" s="195"/>
      <c r="C2878" s="226"/>
      <c r="D2878" s="232"/>
      <c r="E2878" s="232"/>
      <c r="F2878" s="226"/>
      <c r="G2878" s="229"/>
      <c r="H2878" s="200"/>
      <c r="I2878" s="133"/>
      <c r="J2878" s="195"/>
      <c r="K2878" s="226"/>
      <c r="L2878" s="232"/>
      <c r="M2878" s="232"/>
      <c r="N2878" s="226"/>
      <c r="O2878" s="229"/>
      <c r="P2878" s="200"/>
    </row>
    <row r="2879" spans="1:17" ht="15.75" thickBot="1" x14ac:dyDescent="0.3">
      <c r="A2879" s="133"/>
      <c r="B2879" s="233"/>
      <c r="C2879" s="234"/>
      <c r="D2879" s="234"/>
      <c r="E2879" s="234"/>
      <c r="F2879" s="235"/>
      <c r="G2879" s="236"/>
      <c r="H2879" s="237">
        <f>+SUM(G2873:G2879)</f>
        <v>91319</v>
      </c>
      <c r="I2879" s="133"/>
      <c r="J2879" s="233"/>
      <c r="K2879" s="234"/>
      <c r="L2879" s="234"/>
      <c r="M2879" s="234"/>
      <c r="N2879" s="235"/>
      <c r="O2879" s="236"/>
      <c r="P2879" s="237">
        <f>+SUM(O2873:O2879)</f>
        <v>753810</v>
      </c>
    </row>
    <row r="2880" spans="1:17" ht="15.75" thickBot="1" x14ac:dyDescent="0.3">
      <c r="A2880" s="133"/>
      <c r="B2880" s="238"/>
      <c r="C2880" s="238"/>
      <c r="D2880" s="238"/>
      <c r="E2880" s="238"/>
      <c r="F2880" s="239"/>
      <c r="G2880" s="240"/>
      <c r="H2880" s="241"/>
      <c r="I2880" s="133"/>
      <c r="J2880" s="238"/>
      <c r="K2880" s="238"/>
      <c r="L2880" s="238"/>
      <c r="M2880" s="238"/>
      <c r="N2880" s="239"/>
      <c r="O2880" s="240"/>
      <c r="P2880" s="241"/>
    </row>
    <row r="2881" spans="1:16" ht="15.75" thickBot="1" x14ac:dyDescent="0.3">
      <c r="A2881" s="133"/>
      <c r="B2881" s="224" t="s">
        <v>5408</v>
      </c>
      <c r="C2881" s="193" t="s">
        <v>867</v>
      </c>
      <c r="D2881" s="193" t="s">
        <v>6</v>
      </c>
      <c r="E2881" s="193" t="s">
        <v>870</v>
      </c>
      <c r="F2881" s="193" t="s">
        <v>5409</v>
      </c>
      <c r="G2881" s="225" t="s">
        <v>868</v>
      </c>
      <c r="H2881" s="200"/>
      <c r="I2881" s="133"/>
      <c r="J2881" s="224" t="s">
        <v>5408</v>
      </c>
      <c r="K2881" s="193" t="s">
        <v>867</v>
      </c>
      <c r="L2881" s="193" t="s">
        <v>6</v>
      </c>
      <c r="M2881" s="193" t="s">
        <v>870</v>
      </c>
      <c r="N2881" s="193" t="s">
        <v>5409</v>
      </c>
      <c r="O2881" s="225" t="s">
        <v>868</v>
      </c>
      <c r="P2881" s="200"/>
    </row>
    <row r="2882" spans="1:16" x14ac:dyDescent="0.25">
      <c r="A2882" s="133"/>
      <c r="B2882" s="295" t="s">
        <v>6124</v>
      </c>
      <c r="C2882" s="202" t="s">
        <v>5424</v>
      </c>
      <c r="D2882" s="226"/>
      <c r="E2882" s="244"/>
      <c r="F2882" s="169"/>
      <c r="G2882" s="178">
        <f>+D2882*E2882*(1+F2882)</f>
        <v>0</v>
      </c>
      <c r="H2882" s="200"/>
      <c r="I2882" s="133"/>
      <c r="J2882" s="295" t="s">
        <v>6124</v>
      </c>
      <c r="K2882" s="202" t="s">
        <v>5424</v>
      </c>
      <c r="L2882" s="226"/>
      <c r="M2882" s="228"/>
      <c r="N2882" s="169"/>
      <c r="O2882" s="178"/>
      <c r="P2882" s="200"/>
    </row>
    <row r="2883" spans="1:16" x14ac:dyDescent="0.25">
      <c r="A2883" s="133"/>
      <c r="B2883" s="450" t="s">
        <v>6131</v>
      </c>
      <c r="C2883" s="202" t="s">
        <v>5424</v>
      </c>
      <c r="D2883" s="202"/>
      <c r="E2883" s="257"/>
      <c r="F2883" s="169"/>
      <c r="G2883" s="178">
        <f>+D2883*E2883*(1+F2883)</f>
        <v>0</v>
      </c>
      <c r="H2883" s="200"/>
      <c r="I2883" s="133"/>
      <c r="J2883" s="450" t="s">
        <v>6131</v>
      </c>
      <c r="K2883" s="202" t="s">
        <v>5424</v>
      </c>
      <c r="L2883" s="202"/>
      <c r="M2883" s="228"/>
      <c r="N2883" s="169"/>
      <c r="O2883" s="178"/>
      <c r="P2883" s="200"/>
    </row>
    <row r="2884" spans="1:16" x14ac:dyDescent="0.25">
      <c r="A2884" s="133"/>
      <c r="B2884" s="247"/>
      <c r="C2884" s="202"/>
      <c r="D2884" s="226"/>
      <c r="E2884" s="244"/>
      <c r="F2884" s="169"/>
      <c r="G2884" s="178">
        <f>+D2884*E2884*(1+F2884)</f>
        <v>0</v>
      </c>
      <c r="H2884" s="200"/>
      <c r="I2884" s="133"/>
      <c r="J2884" s="269"/>
      <c r="K2884" s="202"/>
      <c r="L2884" s="226"/>
      <c r="M2884" s="228"/>
      <c r="N2884" s="169"/>
      <c r="O2884" s="178"/>
      <c r="P2884" s="200"/>
    </row>
    <row r="2885" spans="1:16" x14ac:dyDescent="0.25">
      <c r="A2885" s="133"/>
      <c r="B2885" s="194"/>
      <c r="C2885" s="226"/>
      <c r="D2885" s="226"/>
      <c r="E2885" s="171"/>
      <c r="F2885" s="169"/>
      <c r="G2885" s="178">
        <f>+D2885*E2885*(1+F2885)</f>
        <v>0</v>
      </c>
      <c r="H2885" s="200"/>
      <c r="I2885" s="133"/>
      <c r="J2885" s="194"/>
      <c r="K2885" s="226"/>
      <c r="L2885" s="226"/>
      <c r="M2885" s="176"/>
      <c r="N2885" s="169"/>
      <c r="O2885" s="178"/>
      <c r="P2885" s="200"/>
    </row>
    <row r="2886" spans="1:16" x14ac:dyDescent="0.25">
      <c r="A2886" s="133"/>
      <c r="B2886" s="195"/>
      <c r="C2886" s="226"/>
      <c r="D2886" s="226"/>
      <c r="E2886" s="171"/>
      <c r="F2886" s="169"/>
      <c r="G2886" s="178"/>
      <c r="H2886" s="200"/>
      <c r="I2886" s="133"/>
      <c r="J2886" s="195"/>
      <c r="K2886" s="226"/>
      <c r="L2886" s="226"/>
      <c r="M2886" s="176"/>
      <c r="N2886" s="169"/>
      <c r="O2886" s="178"/>
      <c r="P2886" s="200"/>
    </row>
    <row r="2887" spans="1:16" x14ac:dyDescent="0.25">
      <c r="A2887" s="133"/>
      <c r="B2887" s="194"/>
      <c r="C2887" s="202"/>
      <c r="D2887" s="202"/>
      <c r="E2887" s="171"/>
      <c r="F2887" s="169"/>
      <c r="G2887" s="178"/>
      <c r="H2887" s="200"/>
      <c r="I2887" s="133"/>
      <c r="J2887" s="194"/>
      <c r="K2887" s="202"/>
      <c r="L2887" s="202"/>
      <c r="M2887" s="176"/>
      <c r="N2887" s="169"/>
      <c r="O2887" s="178"/>
      <c r="P2887" s="200"/>
    </row>
    <row r="2888" spans="1:16" x14ac:dyDescent="0.25">
      <c r="A2888" s="133"/>
      <c r="B2888" s="195"/>
      <c r="C2888" s="226"/>
      <c r="D2888" s="226"/>
      <c r="E2888" s="171"/>
      <c r="F2888" s="169"/>
      <c r="G2888" s="178"/>
      <c r="H2888" s="200"/>
      <c r="I2888" s="133"/>
      <c r="J2888" s="195"/>
      <c r="K2888" s="226"/>
      <c r="L2888" s="226"/>
      <c r="M2888" s="176"/>
      <c r="N2888" s="169"/>
      <c r="O2888" s="178"/>
      <c r="P2888" s="200"/>
    </row>
    <row r="2889" spans="1:16" x14ac:dyDescent="0.25">
      <c r="A2889" s="133"/>
      <c r="B2889" s="195"/>
      <c r="C2889" s="226"/>
      <c r="D2889" s="226"/>
      <c r="E2889" s="171"/>
      <c r="F2889" s="169"/>
      <c r="G2889" s="178"/>
      <c r="H2889" s="200"/>
      <c r="I2889" s="133"/>
      <c r="J2889" s="195"/>
      <c r="K2889" s="226"/>
      <c r="L2889" s="226"/>
      <c r="M2889" s="176"/>
      <c r="N2889" s="169"/>
      <c r="O2889" s="178"/>
      <c r="P2889" s="200"/>
    </row>
    <row r="2890" spans="1:16" x14ac:dyDescent="0.25">
      <c r="A2890" s="133"/>
      <c r="B2890" s="195"/>
      <c r="C2890" s="232"/>
      <c r="D2890" s="232"/>
      <c r="E2890" s="232"/>
      <c r="F2890" s="226"/>
      <c r="G2890" s="229"/>
      <c r="H2890" s="200"/>
      <c r="I2890" s="133"/>
      <c r="J2890" s="195"/>
      <c r="K2890" s="232"/>
      <c r="L2890" s="232"/>
      <c r="M2890" s="232"/>
      <c r="N2890" s="226"/>
      <c r="O2890" s="229"/>
      <c r="P2890" s="200"/>
    </row>
    <row r="2891" spans="1:16" x14ac:dyDescent="0.25">
      <c r="A2891" s="133"/>
      <c r="B2891" s="195"/>
      <c r="C2891" s="232"/>
      <c r="D2891" s="232"/>
      <c r="E2891" s="232"/>
      <c r="F2891" s="226"/>
      <c r="G2891" s="229"/>
      <c r="H2891" s="200"/>
      <c r="I2891" s="133"/>
      <c r="J2891" s="195"/>
      <c r="K2891" s="232"/>
      <c r="L2891" s="232"/>
      <c r="M2891" s="232"/>
      <c r="N2891" s="226"/>
      <c r="O2891" s="229"/>
      <c r="P2891" s="200"/>
    </row>
    <row r="2892" spans="1:16" x14ac:dyDescent="0.25">
      <c r="A2892" s="133"/>
      <c r="B2892" s="195"/>
      <c r="C2892" s="232"/>
      <c r="D2892" s="232"/>
      <c r="E2892" s="232"/>
      <c r="F2892" s="226"/>
      <c r="G2892" s="229"/>
      <c r="H2892" s="200"/>
      <c r="I2892" s="133"/>
      <c r="J2892" s="195"/>
      <c r="K2892" s="232"/>
      <c r="L2892" s="232"/>
      <c r="M2892" s="232"/>
      <c r="N2892" s="226"/>
      <c r="O2892" s="229"/>
      <c r="P2892" s="200"/>
    </row>
    <row r="2893" spans="1:16" ht="15.75" thickBot="1" x14ac:dyDescent="0.3">
      <c r="A2893" s="133"/>
      <c r="B2893" s="195"/>
      <c r="C2893" s="232"/>
      <c r="D2893" s="232"/>
      <c r="E2893" s="232"/>
      <c r="F2893" s="226"/>
      <c r="G2893" s="229"/>
      <c r="H2893" s="200"/>
      <c r="I2893" s="133"/>
      <c r="J2893" s="195"/>
      <c r="K2893" s="232"/>
      <c r="L2893" s="232"/>
      <c r="M2893" s="232"/>
      <c r="N2893" s="226"/>
      <c r="O2893" s="229"/>
      <c r="P2893" s="200"/>
    </row>
    <row r="2894" spans="1:16" ht="15.75" thickBot="1" x14ac:dyDescent="0.3">
      <c r="A2894" s="133"/>
      <c r="B2894" s="233"/>
      <c r="C2894" s="234"/>
      <c r="D2894" s="234"/>
      <c r="E2894" s="234"/>
      <c r="F2894" s="235"/>
      <c r="G2894" s="236"/>
      <c r="H2894" s="256">
        <f>+SUM(G2882:G2894)</f>
        <v>0</v>
      </c>
      <c r="I2894" s="133"/>
      <c r="J2894" s="233"/>
      <c r="K2894" s="234"/>
      <c r="L2894" s="234"/>
      <c r="M2894" s="234"/>
      <c r="N2894" s="235"/>
      <c r="O2894" s="236"/>
      <c r="P2894" s="256">
        <f>+SUM(O2882:O2894)</f>
        <v>0</v>
      </c>
    </row>
    <row r="2895" spans="1:16" ht="15.75" thickBot="1" x14ac:dyDescent="0.3">
      <c r="A2895" s="133"/>
      <c r="B2895" s="238"/>
      <c r="C2895" s="238"/>
      <c r="D2895" s="238"/>
      <c r="E2895" s="238"/>
      <c r="F2895" s="239"/>
      <c r="G2895" s="240"/>
      <c r="H2895" s="241"/>
      <c r="I2895" s="133"/>
      <c r="J2895" s="238"/>
      <c r="K2895" s="238"/>
      <c r="L2895" s="238"/>
      <c r="M2895" s="238"/>
      <c r="N2895" s="239"/>
      <c r="O2895" s="240"/>
      <c r="P2895" s="241"/>
    </row>
    <row r="2896" spans="1:16" ht="15.75" thickBot="1" x14ac:dyDescent="0.3">
      <c r="A2896" s="133"/>
      <c r="B2896" s="224" t="s">
        <v>5410</v>
      </c>
      <c r="C2896" s="193" t="s">
        <v>867</v>
      </c>
      <c r="D2896" s="193" t="s">
        <v>6</v>
      </c>
      <c r="E2896" s="193" t="s">
        <v>870</v>
      </c>
      <c r="F2896" s="193" t="s">
        <v>5411</v>
      </c>
      <c r="G2896" s="225" t="s">
        <v>868</v>
      </c>
      <c r="H2896" s="200"/>
      <c r="I2896" s="133"/>
      <c r="J2896" s="224" t="s">
        <v>5410</v>
      </c>
      <c r="K2896" s="193" t="s">
        <v>867</v>
      </c>
      <c r="L2896" s="193" t="s">
        <v>6</v>
      </c>
      <c r="M2896" s="193" t="s">
        <v>870</v>
      </c>
      <c r="N2896" s="193" t="s">
        <v>5411</v>
      </c>
      <c r="O2896" s="225" t="s">
        <v>868</v>
      </c>
      <c r="P2896" s="200"/>
    </row>
    <row r="2897" spans="1:16" x14ac:dyDescent="0.25">
      <c r="A2897" s="133"/>
      <c r="B2897" s="245"/>
      <c r="C2897" s="202"/>
      <c r="D2897" s="202"/>
      <c r="E2897" s="168"/>
      <c r="F2897" s="202"/>
      <c r="G2897" s="203"/>
      <c r="H2897" s="246"/>
      <c r="I2897" s="133"/>
      <c r="J2897" s="267"/>
      <c r="K2897" s="202"/>
      <c r="L2897" s="202"/>
      <c r="M2897" s="228"/>
      <c r="N2897" s="202"/>
      <c r="O2897" s="178"/>
      <c r="P2897" s="246"/>
    </row>
    <row r="2898" spans="1:16" x14ac:dyDescent="0.25">
      <c r="A2898" s="133"/>
      <c r="B2898" s="247"/>
      <c r="C2898" s="202"/>
      <c r="D2898" s="202"/>
      <c r="E2898" s="199"/>
      <c r="F2898" s="202"/>
      <c r="G2898" s="178"/>
      <c r="H2898" s="200"/>
      <c r="I2898" s="133"/>
      <c r="J2898" s="268"/>
      <c r="K2898" s="202"/>
      <c r="L2898" s="202"/>
      <c r="M2898" s="228"/>
      <c r="N2898" s="202"/>
      <c r="O2898" s="178"/>
      <c r="P2898" s="200"/>
    </row>
    <row r="2899" spans="1:16" x14ac:dyDescent="0.25">
      <c r="A2899" s="133"/>
      <c r="B2899" s="247"/>
      <c r="C2899" s="202"/>
      <c r="D2899" s="226"/>
      <c r="E2899" s="232"/>
      <c r="F2899" s="226"/>
      <c r="G2899" s="229"/>
      <c r="H2899" s="200"/>
      <c r="I2899" s="133"/>
      <c r="J2899" s="269"/>
      <c r="K2899" s="202"/>
      <c r="L2899" s="226"/>
      <c r="M2899" s="232"/>
      <c r="N2899" s="226"/>
      <c r="O2899" s="229"/>
      <c r="P2899" s="200"/>
    </row>
    <row r="2900" spans="1:16" x14ac:dyDescent="0.25">
      <c r="A2900" s="133"/>
      <c r="B2900" s="194"/>
      <c r="C2900" s="232"/>
      <c r="D2900" s="232"/>
      <c r="E2900" s="232"/>
      <c r="F2900" s="226"/>
      <c r="G2900" s="229"/>
      <c r="H2900" s="200"/>
      <c r="I2900" s="133"/>
      <c r="J2900" s="194"/>
      <c r="K2900" s="232"/>
      <c r="L2900" s="232"/>
      <c r="M2900" s="232"/>
      <c r="N2900" s="226"/>
      <c r="O2900" s="229"/>
      <c r="P2900" s="200"/>
    </row>
    <row r="2901" spans="1:16" ht="15.75" thickBot="1" x14ac:dyDescent="0.3">
      <c r="A2901" s="133"/>
      <c r="B2901" s="195"/>
      <c r="C2901" s="232"/>
      <c r="D2901" s="232"/>
      <c r="E2901" s="232"/>
      <c r="F2901" s="226"/>
      <c r="G2901" s="229"/>
      <c r="H2901" s="200"/>
      <c r="I2901" s="133"/>
      <c r="J2901" s="195"/>
      <c r="K2901" s="232"/>
      <c r="L2901" s="232"/>
      <c r="M2901" s="232"/>
      <c r="N2901" s="226"/>
      <c r="O2901" s="229"/>
      <c r="P2901" s="200"/>
    </row>
    <row r="2902" spans="1:16" ht="15.75" thickBot="1" x14ac:dyDescent="0.3">
      <c r="A2902" s="133"/>
      <c r="B2902" s="233"/>
      <c r="C2902" s="234"/>
      <c r="D2902" s="234"/>
      <c r="E2902" s="234"/>
      <c r="F2902" s="235"/>
      <c r="G2902" s="236"/>
      <c r="H2902" s="237">
        <f>+SUM(G2897:G2902)</f>
        <v>0</v>
      </c>
      <c r="I2902" s="133"/>
      <c r="J2902" s="233"/>
      <c r="K2902" s="234"/>
      <c r="L2902" s="234"/>
      <c r="M2902" s="234"/>
      <c r="N2902" s="235"/>
      <c r="O2902" s="236"/>
      <c r="P2902" s="237">
        <f>+SUM(O2897:O2902)</f>
        <v>0</v>
      </c>
    </row>
    <row r="2903" spans="1:16" ht="15.75" thickBot="1" x14ac:dyDescent="0.3">
      <c r="A2903" s="133"/>
      <c r="B2903" s="238"/>
      <c r="C2903" s="238"/>
      <c r="D2903" s="238"/>
      <c r="E2903" s="238"/>
      <c r="F2903" s="249"/>
      <c r="G2903" s="250"/>
      <c r="H2903" s="241"/>
      <c r="I2903" s="133"/>
      <c r="J2903" s="238"/>
      <c r="K2903" s="238"/>
      <c r="L2903" s="238"/>
      <c r="M2903" s="238"/>
      <c r="N2903" s="249"/>
      <c r="O2903" s="250"/>
      <c r="P2903" s="241"/>
    </row>
    <row r="2904" spans="1:16" ht="15.75" thickBot="1" x14ac:dyDescent="0.3">
      <c r="A2904" s="133"/>
      <c r="B2904" s="224" t="s">
        <v>5412</v>
      </c>
      <c r="C2904" s="193" t="s">
        <v>5420</v>
      </c>
      <c r="D2904" s="193" t="s">
        <v>5421</v>
      </c>
      <c r="E2904" s="193" t="s">
        <v>5413</v>
      </c>
      <c r="F2904" s="193" t="s">
        <v>5405</v>
      </c>
      <c r="G2904" s="225" t="s">
        <v>868</v>
      </c>
      <c r="H2904" s="200"/>
      <c r="I2904" s="133"/>
      <c r="J2904" s="224" t="s">
        <v>5412</v>
      </c>
      <c r="K2904" s="193" t="s">
        <v>5420</v>
      </c>
      <c r="L2904" s="193" t="s">
        <v>5421</v>
      </c>
      <c r="M2904" s="193" t="s">
        <v>5413</v>
      </c>
      <c r="N2904" s="193" t="s">
        <v>5405</v>
      </c>
      <c r="O2904" s="225" t="s">
        <v>868</v>
      </c>
      <c r="P2904" s="200"/>
    </row>
    <row r="2905" spans="1:16" x14ac:dyDescent="0.25">
      <c r="A2905" s="133"/>
      <c r="B2905" s="194" t="s">
        <v>5948</v>
      </c>
      <c r="C2905" s="345">
        <v>70000</v>
      </c>
      <c r="D2905" s="176">
        <f>+C2905*0.85</f>
        <v>59500</v>
      </c>
      <c r="E2905" s="176">
        <f>+C2905+D2905</f>
        <v>129500</v>
      </c>
      <c r="F2905" s="204">
        <v>2</v>
      </c>
      <c r="G2905" s="178">
        <f>+E2905/F2905</f>
        <v>64750</v>
      </c>
      <c r="H2905" s="200"/>
      <c r="I2905" s="133"/>
      <c r="J2905" s="194" t="s">
        <v>5948</v>
      </c>
      <c r="K2905" s="345">
        <v>70000</v>
      </c>
      <c r="L2905" s="176">
        <f>+K2905*0.85</f>
        <v>59500</v>
      </c>
      <c r="M2905" s="175">
        <f>+K2905+L2905</f>
        <v>129500</v>
      </c>
      <c r="N2905" s="204">
        <v>1</v>
      </c>
      <c r="O2905" s="178">
        <f>+M2905/N2905</f>
        <v>129500</v>
      </c>
      <c r="P2905" s="200"/>
    </row>
    <row r="2906" spans="1:16" x14ac:dyDescent="0.25">
      <c r="A2906" s="133"/>
      <c r="B2906" s="194" t="s">
        <v>5651</v>
      </c>
      <c r="C2906" s="345">
        <v>40000</v>
      </c>
      <c r="D2906" s="176">
        <f>+C2906*0.85</f>
        <v>34000</v>
      </c>
      <c r="E2906" s="176">
        <f>+C2906+D2906</f>
        <v>74000</v>
      </c>
      <c r="F2906" s="202">
        <v>0.25</v>
      </c>
      <c r="G2906" s="178">
        <f>+E2906/F2906</f>
        <v>296000</v>
      </c>
      <c r="H2906" s="200"/>
      <c r="I2906" s="133"/>
      <c r="J2906" s="194" t="s">
        <v>5651</v>
      </c>
      <c r="K2906" s="345">
        <v>40000</v>
      </c>
      <c r="L2906" s="176">
        <f>+K2906*0.85</f>
        <v>34000</v>
      </c>
      <c r="M2906" s="175">
        <f>+K2906+L2906</f>
        <v>74000</v>
      </c>
      <c r="N2906" s="202">
        <v>1</v>
      </c>
      <c r="O2906" s="178">
        <f>+M2906/N2906</f>
        <v>74000</v>
      </c>
      <c r="P2906" s="200"/>
    </row>
    <row r="2907" spans="1:16" x14ac:dyDescent="0.25">
      <c r="A2907" s="133"/>
      <c r="B2907" s="195" t="s">
        <v>5635</v>
      </c>
      <c r="C2907" s="345">
        <v>20600</v>
      </c>
      <c r="D2907" s="176">
        <f>+C2907*0.85</f>
        <v>17510</v>
      </c>
      <c r="E2907" s="176">
        <f>+C2907+D2907</f>
        <v>38110</v>
      </c>
      <c r="F2907" s="226">
        <v>0.25</v>
      </c>
      <c r="G2907" s="178">
        <f>+E2907/F2907</f>
        <v>152440</v>
      </c>
      <c r="H2907" s="200"/>
      <c r="I2907" s="133"/>
      <c r="J2907" s="195" t="s">
        <v>5635</v>
      </c>
      <c r="K2907" s="345">
        <v>20600</v>
      </c>
      <c r="L2907" s="176">
        <f>+K2907*0.85</f>
        <v>17510</v>
      </c>
      <c r="M2907" s="175">
        <f>+K2907+L2907</f>
        <v>38110</v>
      </c>
      <c r="N2907" s="226">
        <v>0.2</v>
      </c>
      <c r="O2907" s="178">
        <f>+M2907/N2907</f>
        <v>190550</v>
      </c>
      <c r="P2907" s="200"/>
    </row>
    <row r="2908" spans="1:16" x14ac:dyDescent="0.25">
      <c r="A2908" s="133"/>
      <c r="B2908" s="195"/>
      <c r="C2908" s="171"/>
      <c r="D2908" s="176"/>
      <c r="E2908" s="176"/>
      <c r="F2908" s="226"/>
      <c r="G2908" s="178"/>
      <c r="H2908" s="200"/>
      <c r="I2908" s="133"/>
      <c r="J2908" s="195" t="s">
        <v>6130</v>
      </c>
      <c r="K2908" s="171">
        <v>300000</v>
      </c>
      <c r="L2908" s="176">
        <f>+K2908*0.85</f>
        <v>255000</v>
      </c>
      <c r="M2908" s="175">
        <f>+K2908+L2908</f>
        <v>555000</v>
      </c>
      <c r="N2908" s="226">
        <v>0.2</v>
      </c>
      <c r="O2908" s="178">
        <f>+M2908/N2908</f>
        <v>2775000</v>
      </c>
      <c r="P2908" s="200"/>
    </row>
    <row r="2909" spans="1:16" x14ac:dyDescent="0.25">
      <c r="A2909" s="133"/>
      <c r="B2909" s="195"/>
      <c r="C2909" s="232"/>
      <c r="D2909" s="232"/>
      <c r="E2909" s="232"/>
      <c r="F2909" s="226"/>
      <c r="G2909" s="229"/>
      <c r="H2909" s="200"/>
      <c r="I2909" s="133"/>
      <c r="J2909" s="195"/>
      <c r="K2909" s="232"/>
      <c r="L2909" s="232"/>
      <c r="M2909" s="232"/>
      <c r="N2909" s="226"/>
      <c r="O2909" s="229"/>
      <c r="P2909" s="200"/>
    </row>
    <row r="2910" spans="1:16" ht="15.75" thickBot="1" x14ac:dyDescent="0.3">
      <c r="A2910" s="133"/>
      <c r="B2910" s="195"/>
      <c r="C2910" s="232"/>
      <c r="D2910" s="232"/>
      <c r="E2910" s="232"/>
      <c r="F2910" s="226"/>
      <c r="G2910" s="229"/>
      <c r="H2910" s="200"/>
      <c r="I2910" s="133"/>
      <c r="J2910" s="195"/>
      <c r="K2910" s="232"/>
      <c r="L2910" s="232"/>
      <c r="M2910" s="232"/>
      <c r="N2910" s="226"/>
      <c r="O2910" s="229"/>
      <c r="P2910" s="200"/>
    </row>
    <row r="2911" spans="1:16" ht="15.75" thickBot="1" x14ac:dyDescent="0.3">
      <c r="A2911" s="133"/>
      <c r="B2911" s="251"/>
      <c r="C2911" s="252"/>
      <c r="D2911" s="252"/>
      <c r="E2911" s="252"/>
      <c r="F2911" s="253"/>
      <c r="G2911" s="254"/>
      <c r="H2911" s="256">
        <f>+SUM(G2905:G2911)</f>
        <v>513190</v>
      </c>
      <c r="I2911" s="133"/>
      <c r="J2911" s="251"/>
      <c r="K2911" s="252"/>
      <c r="L2911" s="252"/>
      <c r="M2911" s="252"/>
      <c r="N2911" s="253"/>
      <c r="O2911" s="254"/>
      <c r="P2911" s="256">
        <f>+SUM(O2905:O2911)</f>
        <v>3169050</v>
      </c>
    </row>
    <row r="2912" spans="1:16" ht="15.75" thickBot="1" x14ac:dyDescent="0.3">
      <c r="A2912" s="133"/>
      <c r="B2912" s="8"/>
      <c r="C2912" s="8"/>
      <c r="D2912" s="8"/>
      <c r="E2912" s="8"/>
      <c r="F2912" s="133"/>
      <c r="G2912" s="200"/>
      <c r="H2912" s="200"/>
      <c r="I2912" s="133"/>
      <c r="J2912" s="8"/>
      <c r="K2912" s="8"/>
      <c r="L2912" s="8"/>
      <c r="M2912" s="8"/>
      <c r="N2912" s="133"/>
      <c r="O2912" s="200"/>
      <c r="P2912" s="200"/>
    </row>
    <row r="2913" spans="1:17" ht="15.75" thickBot="1" x14ac:dyDescent="0.3">
      <c r="A2913" s="133"/>
      <c r="B2913" s="8"/>
      <c r="C2913" s="8"/>
      <c r="D2913" s="8"/>
      <c r="E2913" s="223" t="s">
        <v>5415</v>
      </c>
      <c r="F2913" s="133"/>
      <c r="G2913" s="200"/>
      <c r="H2913" s="256">
        <f>ROUND(+H2911+H2902+H2894+H2879,0)</f>
        <v>604509</v>
      </c>
      <c r="I2913" s="133"/>
      <c r="J2913" s="8"/>
      <c r="K2913" s="8"/>
      <c r="L2913" s="8"/>
      <c r="M2913" s="223" t="s">
        <v>5415</v>
      </c>
      <c r="N2913" s="223"/>
      <c r="O2913" s="200"/>
      <c r="P2913" s="256">
        <f>ROUND(+P2911+P2902+P2894+P2879,0)</f>
        <v>3922860</v>
      </c>
    </row>
    <row r="2914" spans="1:17" x14ac:dyDescent="0.25">
      <c r="A2914" s="265"/>
      <c r="B2914" s="265"/>
      <c r="C2914" s="265"/>
      <c r="D2914" s="265"/>
      <c r="E2914" s="265"/>
      <c r="F2914" s="265"/>
      <c r="G2914" s="265"/>
      <c r="H2914" s="265"/>
      <c r="I2914" s="265"/>
      <c r="J2914" s="265"/>
      <c r="K2914" s="265"/>
      <c r="L2914" s="265"/>
      <c r="M2914" s="265"/>
      <c r="N2914" s="265"/>
      <c r="O2914" s="265"/>
      <c r="P2914" s="265"/>
      <c r="Q2914" s="265"/>
    </row>
    <row r="2915" spans="1:17" x14ac:dyDescent="0.25">
      <c r="A2915" s="265"/>
      <c r="B2915" s="265"/>
      <c r="C2915" s="265"/>
      <c r="D2915" s="265"/>
      <c r="E2915" s="265"/>
      <c r="F2915" s="265"/>
      <c r="G2915" s="265"/>
      <c r="H2915" s="265"/>
      <c r="I2915" s="265"/>
      <c r="J2915" s="265"/>
      <c r="K2915" s="265"/>
      <c r="L2915" s="265"/>
      <c r="M2915" s="265"/>
      <c r="N2915" s="265"/>
      <c r="O2915" s="265"/>
      <c r="P2915" s="265"/>
      <c r="Q2915" s="265"/>
    </row>
    <row r="2916" spans="1:17" x14ac:dyDescent="0.25">
      <c r="A2916" s="265"/>
      <c r="B2916" s="265"/>
      <c r="C2916" s="265"/>
      <c r="D2916" s="265"/>
      <c r="E2916" s="265"/>
      <c r="F2916" s="265"/>
      <c r="G2916" s="265"/>
      <c r="H2916" s="265"/>
      <c r="I2916" s="265"/>
      <c r="J2916" s="265"/>
      <c r="K2916" s="265"/>
      <c r="L2916" s="265"/>
      <c r="M2916" s="265"/>
      <c r="N2916" s="265"/>
      <c r="O2916" s="265"/>
      <c r="P2916" s="265"/>
      <c r="Q2916" s="265"/>
    </row>
    <row r="2917" spans="1:17" x14ac:dyDescent="0.25">
      <c r="A2917" s="265"/>
      <c r="B2917" s="265"/>
      <c r="C2917" s="265"/>
      <c r="D2917" s="265"/>
      <c r="E2917" s="265"/>
      <c r="F2917" s="265"/>
      <c r="G2917" s="265"/>
      <c r="H2917" s="265"/>
      <c r="I2917" s="265"/>
      <c r="J2917" s="265"/>
      <c r="K2917" s="265"/>
      <c r="L2917" s="265"/>
      <c r="M2917" s="265"/>
      <c r="N2917" s="265"/>
      <c r="O2917" s="265"/>
      <c r="P2917" s="265"/>
      <c r="Q2917" s="265"/>
    </row>
    <row r="2918" spans="1:17" ht="18.75" x14ac:dyDescent="0.25">
      <c r="A2918" s="133"/>
      <c r="B2918" s="2506" t="s">
        <v>5400</v>
      </c>
      <c r="C2918" s="2506"/>
      <c r="D2918" s="2506"/>
      <c r="E2918" s="2506"/>
      <c r="F2918" s="2506"/>
      <c r="G2918" s="2506"/>
      <c r="H2918" s="8"/>
      <c r="I2918" s="133"/>
      <c r="J2918" s="2506" t="s">
        <v>5400</v>
      </c>
      <c r="K2918" s="2506"/>
      <c r="L2918" s="2506"/>
      <c r="M2918" s="2506"/>
      <c r="N2918" s="2506"/>
      <c r="O2918" s="2506"/>
      <c r="P2918" s="2506"/>
      <c r="Q2918" s="8"/>
    </row>
    <row r="2919" spans="1:17" x14ac:dyDescent="0.25">
      <c r="A2919" s="133"/>
      <c r="B2919" s="8"/>
      <c r="C2919" s="8"/>
      <c r="D2919" s="8"/>
      <c r="E2919" s="8"/>
      <c r="F2919" s="133"/>
      <c r="G2919" s="200"/>
      <c r="H2919" s="200"/>
      <c r="I2919" s="133"/>
      <c r="J2919" s="8"/>
      <c r="K2919" s="8"/>
      <c r="L2919" s="8"/>
      <c r="M2919" s="8"/>
      <c r="N2919" s="8"/>
      <c r="O2919" s="133"/>
      <c r="P2919" s="200"/>
      <c r="Q2919" s="200"/>
    </row>
    <row r="2920" spans="1:17" x14ac:dyDescent="0.25">
      <c r="A2920" s="133"/>
      <c r="B2920" s="8"/>
      <c r="C2920" s="8"/>
      <c r="D2920" s="8"/>
      <c r="E2920" s="8"/>
      <c r="F2920" s="133"/>
      <c r="G2920" s="200"/>
      <c r="H2920" s="200"/>
      <c r="I2920" s="133"/>
      <c r="J2920" s="8"/>
      <c r="K2920" s="8"/>
      <c r="L2920" s="8"/>
      <c r="M2920" s="8"/>
      <c r="N2920" s="8"/>
      <c r="O2920" s="133"/>
      <c r="P2920" s="200"/>
      <c r="Q2920" s="200"/>
    </row>
    <row r="2921" spans="1:17" x14ac:dyDescent="0.25">
      <c r="A2921" s="133"/>
      <c r="B2921" s="8"/>
      <c r="C2921" s="8"/>
      <c r="D2921" s="8"/>
      <c r="E2921" s="8"/>
      <c r="F2921" s="133"/>
      <c r="G2921" s="200"/>
      <c r="H2921" s="200"/>
      <c r="I2921" s="133"/>
      <c r="J2921" s="8"/>
      <c r="K2921" s="8"/>
      <c r="L2921" s="8"/>
      <c r="M2921" s="8"/>
      <c r="N2921" s="8"/>
      <c r="O2921" s="133"/>
      <c r="P2921" s="200"/>
      <c r="Q2921" s="200"/>
    </row>
    <row r="2922" spans="1:17" ht="15" customHeight="1" x14ac:dyDescent="0.25">
      <c r="A2922" s="220" t="s">
        <v>5482</v>
      </c>
      <c r="B2922" s="221" t="s">
        <v>5532</v>
      </c>
      <c r="C2922" s="2449" t="s">
        <v>5533</v>
      </c>
      <c r="D2922" s="2449"/>
      <c r="E2922" s="2449"/>
      <c r="F2922" s="220" t="s">
        <v>867</v>
      </c>
      <c r="G2922" s="222" t="s">
        <v>5424</v>
      </c>
      <c r="H2922" s="200"/>
      <c r="I2922" s="220" t="s">
        <v>5482</v>
      </c>
      <c r="J2922" s="221" t="s">
        <v>5532</v>
      </c>
      <c r="K2922" s="2449"/>
      <c r="L2922" s="2449"/>
      <c r="M2922" s="2449"/>
      <c r="N2922" s="2449"/>
      <c r="O2922" s="220" t="s">
        <v>867</v>
      </c>
      <c r="P2922" s="222" t="s">
        <v>5424</v>
      </c>
      <c r="Q2922" s="200"/>
    </row>
    <row r="2923" spans="1:17" x14ac:dyDescent="0.25">
      <c r="A2923" s="133"/>
      <c r="B2923" s="8"/>
      <c r="C2923" s="223"/>
      <c r="D2923" s="223"/>
      <c r="E2923" s="223"/>
      <c r="F2923" s="133"/>
      <c r="G2923" s="200"/>
      <c r="H2923" s="200"/>
      <c r="I2923" s="133"/>
      <c r="J2923" s="8"/>
      <c r="K2923" s="223"/>
      <c r="L2923" s="223"/>
      <c r="M2923" s="223"/>
      <c r="N2923" s="223"/>
      <c r="O2923" s="133"/>
      <c r="P2923" s="200"/>
      <c r="Q2923" s="200"/>
    </row>
    <row r="2924" spans="1:17" x14ac:dyDescent="0.25">
      <c r="A2924" s="133"/>
      <c r="B2924" s="8"/>
      <c r="C2924" s="8"/>
      <c r="D2924" s="8"/>
      <c r="E2924" s="8"/>
      <c r="F2924" s="8"/>
      <c r="G2924" s="8"/>
      <c r="H2924" s="200"/>
      <c r="I2924" s="133"/>
      <c r="J2924" s="8"/>
      <c r="K2924" s="8"/>
      <c r="L2924" s="8"/>
      <c r="M2924" s="8"/>
      <c r="N2924" s="8"/>
      <c r="O2924" s="8"/>
      <c r="P2924" s="8"/>
      <c r="Q2924" s="200"/>
    </row>
    <row r="2925" spans="1:17" ht="15.75" thickBot="1" x14ac:dyDescent="0.3">
      <c r="A2925" s="133"/>
      <c r="B2925" s="8"/>
      <c r="C2925" s="8"/>
      <c r="D2925" s="8"/>
      <c r="E2925" s="8"/>
      <c r="F2925" s="133"/>
      <c r="G2925" s="200"/>
      <c r="H2925" s="200"/>
      <c r="I2925" s="133"/>
      <c r="J2925" s="8"/>
      <c r="K2925" s="8"/>
      <c r="L2925" s="8"/>
      <c r="M2925" s="8"/>
      <c r="N2925" s="8"/>
      <c r="O2925" s="133"/>
      <c r="P2925" s="200"/>
      <c r="Q2925" s="200"/>
    </row>
    <row r="2926" spans="1:17" ht="15.75" thickBot="1" x14ac:dyDescent="0.3">
      <c r="A2926" s="133"/>
      <c r="B2926" s="224" t="s">
        <v>5403</v>
      </c>
      <c r="C2926" s="193" t="s">
        <v>867</v>
      </c>
      <c r="D2926" s="193" t="s">
        <v>6</v>
      </c>
      <c r="E2926" s="193" t="s">
        <v>5439</v>
      </c>
      <c r="F2926" s="193" t="s">
        <v>5405</v>
      </c>
      <c r="G2926" s="225" t="s">
        <v>868</v>
      </c>
      <c r="H2926" s="200"/>
      <c r="I2926" s="133"/>
      <c r="J2926" s="224" t="s">
        <v>5403</v>
      </c>
      <c r="K2926" s="193" t="s">
        <v>867</v>
      </c>
      <c r="L2926" s="193" t="s">
        <v>6</v>
      </c>
      <c r="M2926" s="193" t="s">
        <v>5439</v>
      </c>
      <c r="N2926" s="193" t="s">
        <v>5439</v>
      </c>
      <c r="O2926" s="193" t="s">
        <v>5405</v>
      </c>
      <c r="P2926" s="225" t="s">
        <v>868</v>
      </c>
      <c r="Q2926" s="200"/>
    </row>
    <row r="2927" spans="1:17" x14ac:dyDescent="0.25">
      <c r="A2927" s="133"/>
      <c r="B2927" s="195" t="s">
        <v>5440</v>
      </c>
      <c r="C2927" s="226" t="s">
        <v>5402</v>
      </c>
      <c r="D2927" s="226">
        <v>1</v>
      </c>
      <c r="E2927" s="263">
        <f>+H2965</f>
        <v>69005</v>
      </c>
      <c r="F2927" s="226">
        <v>0.1</v>
      </c>
      <c r="G2927" s="229">
        <f>+E2927*F2927</f>
        <v>6900.5</v>
      </c>
      <c r="H2927" s="200"/>
      <c r="I2927" s="133"/>
      <c r="J2927" s="195" t="s">
        <v>5440</v>
      </c>
      <c r="K2927" s="226" t="s">
        <v>5402</v>
      </c>
      <c r="L2927" s="226">
        <v>1</v>
      </c>
      <c r="M2927" s="263">
        <f>+Q2965</f>
        <v>69005</v>
      </c>
      <c r="N2927" s="228">
        <f>+Q2965</f>
        <v>69005</v>
      </c>
      <c r="O2927" s="226">
        <v>0.1</v>
      </c>
      <c r="P2927" s="229">
        <f>+N2927*O2927</f>
        <v>6900.5</v>
      </c>
      <c r="Q2927" s="200"/>
    </row>
    <row r="2928" spans="1:17" x14ac:dyDescent="0.25">
      <c r="A2928" s="133"/>
      <c r="B2928" s="195"/>
      <c r="C2928" s="226"/>
      <c r="D2928" s="226"/>
      <c r="E2928" s="264"/>
      <c r="F2928" s="226"/>
      <c r="G2928" s="229"/>
      <c r="H2928" s="200"/>
      <c r="I2928" s="133"/>
      <c r="J2928" s="195"/>
      <c r="K2928" s="226"/>
      <c r="L2928" s="226"/>
      <c r="M2928" s="264"/>
      <c r="N2928" s="228"/>
      <c r="O2928" s="226"/>
      <c r="P2928" s="229"/>
      <c r="Q2928" s="200"/>
    </row>
    <row r="2929" spans="1:17" x14ac:dyDescent="0.25">
      <c r="A2929" s="133"/>
      <c r="B2929" s="195"/>
      <c r="C2929" s="226"/>
      <c r="D2929" s="226"/>
      <c r="E2929" s="176"/>
      <c r="F2929" s="226"/>
      <c r="G2929" s="229"/>
      <c r="H2929" s="200"/>
      <c r="I2929" s="133"/>
      <c r="J2929" s="195"/>
      <c r="K2929" s="226"/>
      <c r="L2929" s="226"/>
      <c r="M2929" s="176"/>
      <c r="N2929" s="176"/>
      <c r="O2929" s="226"/>
      <c r="P2929" s="229"/>
      <c r="Q2929" s="200"/>
    </row>
    <row r="2930" spans="1:17" x14ac:dyDescent="0.25">
      <c r="A2930" s="133"/>
      <c r="B2930" s="195"/>
      <c r="C2930" s="226"/>
      <c r="D2930" s="226"/>
      <c r="E2930" s="171"/>
      <c r="F2930" s="226"/>
      <c r="G2930" s="231"/>
      <c r="H2930" s="200"/>
      <c r="I2930" s="133"/>
      <c r="J2930" s="195"/>
      <c r="K2930" s="226"/>
      <c r="L2930" s="226"/>
      <c r="M2930" s="171"/>
      <c r="N2930" s="171"/>
      <c r="O2930" s="226"/>
      <c r="P2930" s="229"/>
      <c r="Q2930" s="200"/>
    </row>
    <row r="2931" spans="1:17" x14ac:dyDescent="0.25">
      <c r="A2931" s="133"/>
      <c r="B2931" s="195"/>
      <c r="C2931" s="226"/>
      <c r="D2931" s="232"/>
      <c r="E2931" s="232"/>
      <c r="F2931" s="226"/>
      <c r="G2931" s="229"/>
      <c r="H2931" s="200"/>
      <c r="I2931" s="133"/>
      <c r="J2931" s="195"/>
      <c r="K2931" s="226"/>
      <c r="L2931" s="232"/>
      <c r="M2931" s="232"/>
      <c r="N2931" s="232"/>
      <c r="O2931" s="226"/>
      <c r="P2931" s="229"/>
      <c r="Q2931" s="200"/>
    </row>
    <row r="2932" spans="1:17" ht="15.75" thickBot="1" x14ac:dyDescent="0.3">
      <c r="A2932" s="133"/>
      <c r="B2932" s="195"/>
      <c r="C2932" s="226"/>
      <c r="D2932" s="232"/>
      <c r="E2932" s="232"/>
      <c r="F2932" s="226"/>
      <c r="G2932" s="229"/>
      <c r="H2932" s="200"/>
      <c r="I2932" s="133"/>
      <c r="J2932" s="195"/>
      <c r="K2932" s="226"/>
      <c r="L2932" s="232"/>
      <c r="M2932" s="232"/>
      <c r="N2932" s="232"/>
      <c r="O2932" s="226"/>
      <c r="P2932" s="229"/>
      <c r="Q2932" s="200"/>
    </row>
    <row r="2933" spans="1:17" ht="15.75" thickBot="1" x14ac:dyDescent="0.3">
      <c r="A2933" s="133"/>
      <c r="B2933" s="233"/>
      <c r="C2933" s="234"/>
      <c r="D2933" s="234"/>
      <c r="E2933" s="234"/>
      <c r="F2933" s="235"/>
      <c r="G2933" s="236"/>
      <c r="H2933" s="237">
        <f>+SUM(G2927:G2933)</f>
        <v>6900.5</v>
      </c>
      <c r="I2933" s="133"/>
      <c r="J2933" s="233"/>
      <c r="K2933" s="234"/>
      <c r="L2933" s="234"/>
      <c r="M2933" s="234"/>
      <c r="N2933" s="234"/>
      <c r="O2933" s="235"/>
      <c r="P2933" s="236"/>
      <c r="Q2933" s="237">
        <f>+SUM(P2927:P2933)</f>
        <v>6900.5</v>
      </c>
    </row>
    <row r="2934" spans="1:17" ht="15.75" thickBot="1" x14ac:dyDescent="0.3">
      <c r="A2934" s="133"/>
      <c r="B2934" s="238"/>
      <c r="C2934" s="238"/>
      <c r="D2934" s="238"/>
      <c r="E2934" s="238"/>
      <c r="F2934" s="239"/>
      <c r="G2934" s="240"/>
      <c r="H2934" s="241"/>
      <c r="I2934" s="133"/>
      <c r="J2934" s="238"/>
      <c r="K2934" s="238"/>
      <c r="L2934" s="238"/>
      <c r="M2934" s="238"/>
      <c r="N2934" s="238"/>
      <c r="O2934" s="239"/>
      <c r="P2934" s="240"/>
      <c r="Q2934" s="241"/>
    </row>
    <row r="2935" spans="1:17" ht="15.75" thickBot="1" x14ac:dyDescent="0.3">
      <c r="A2935" s="133"/>
      <c r="B2935" s="224" t="s">
        <v>5408</v>
      </c>
      <c r="C2935" s="193" t="s">
        <v>867</v>
      </c>
      <c r="D2935" s="193" t="s">
        <v>6</v>
      </c>
      <c r="E2935" s="193" t="s">
        <v>870</v>
      </c>
      <c r="F2935" s="193" t="s">
        <v>5409</v>
      </c>
      <c r="G2935" s="225" t="s">
        <v>868</v>
      </c>
      <c r="H2935" s="200"/>
      <c r="I2935" s="133"/>
      <c r="J2935" s="224" t="s">
        <v>5408</v>
      </c>
      <c r="K2935" s="193" t="s">
        <v>867</v>
      </c>
      <c r="L2935" s="193" t="s">
        <v>6</v>
      </c>
      <c r="M2935" s="193" t="s">
        <v>870</v>
      </c>
      <c r="N2935" s="193" t="s">
        <v>870</v>
      </c>
      <c r="O2935" s="193" t="s">
        <v>5409</v>
      </c>
      <c r="P2935" s="225" t="s">
        <v>868</v>
      </c>
      <c r="Q2935" s="200"/>
    </row>
    <row r="2936" spans="1:17" x14ac:dyDescent="0.25">
      <c r="A2936" s="133"/>
      <c r="B2936" s="295" t="s">
        <v>6124</v>
      </c>
      <c r="C2936" s="202" t="s">
        <v>5424</v>
      </c>
      <c r="D2936" s="226"/>
      <c r="E2936" s="244"/>
      <c r="F2936" s="169"/>
      <c r="G2936" s="178">
        <f>+D2936*E2936*(1+F2936)</f>
        <v>0</v>
      </c>
      <c r="H2936" s="200"/>
      <c r="I2936" s="133"/>
      <c r="J2936" s="267"/>
      <c r="K2936" s="202"/>
      <c r="L2936" s="226"/>
      <c r="M2936" s="244"/>
      <c r="N2936" s="228"/>
      <c r="O2936" s="169"/>
      <c r="P2936" s="178"/>
      <c r="Q2936" s="200"/>
    </row>
    <row r="2937" spans="1:17" x14ac:dyDescent="0.25">
      <c r="A2937" s="133"/>
      <c r="B2937" s="450" t="s">
        <v>6125</v>
      </c>
      <c r="C2937" s="202" t="s">
        <v>5424</v>
      </c>
      <c r="D2937" s="202"/>
      <c r="E2937" s="257"/>
      <c r="F2937" s="169"/>
      <c r="G2937" s="178">
        <f>+D2937*E2937*(1+F2937)</f>
        <v>0</v>
      </c>
      <c r="H2937" s="200"/>
      <c r="I2937" s="133"/>
      <c r="J2937" s="268"/>
      <c r="K2937" s="202"/>
      <c r="L2937" s="202"/>
      <c r="M2937" s="257"/>
      <c r="N2937" s="228"/>
      <c r="O2937" s="169"/>
      <c r="P2937" s="178"/>
      <c r="Q2937" s="200"/>
    </row>
    <row r="2938" spans="1:17" x14ac:dyDescent="0.25">
      <c r="A2938" s="133"/>
      <c r="B2938" s="247"/>
      <c r="C2938" s="226"/>
      <c r="D2938" s="226"/>
      <c r="E2938" s="244"/>
      <c r="F2938" s="169"/>
      <c r="G2938" s="178">
        <f>+D2938*E2938*(1+F2938)</f>
        <v>0</v>
      </c>
      <c r="H2938" s="200"/>
      <c r="I2938" s="133"/>
      <c r="J2938" s="268"/>
      <c r="K2938" s="226"/>
      <c r="L2938" s="226"/>
      <c r="M2938" s="244"/>
      <c r="N2938" s="228"/>
      <c r="O2938" s="169"/>
      <c r="P2938" s="178"/>
      <c r="Q2938" s="200"/>
    </row>
    <row r="2939" spans="1:17" x14ac:dyDescent="0.25">
      <c r="A2939" s="133"/>
      <c r="B2939" s="194"/>
      <c r="C2939" s="226"/>
      <c r="D2939" s="226"/>
      <c r="E2939" s="244"/>
      <c r="F2939" s="169"/>
      <c r="G2939" s="178">
        <f>+D2939*E2939*(1+F2939)</f>
        <v>0</v>
      </c>
      <c r="H2939" s="200"/>
      <c r="I2939" s="133"/>
      <c r="J2939" s="268"/>
      <c r="K2939" s="226"/>
      <c r="L2939" s="226"/>
      <c r="M2939" s="244"/>
      <c r="N2939" s="176"/>
      <c r="O2939" s="169"/>
      <c r="P2939" s="178"/>
      <c r="Q2939" s="200"/>
    </row>
    <row r="2940" spans="1:17" x14ac:dyDescent="0.25">
      <c r="A2940" s="133"/>
      <c r="B2940" s="195"/>
      <c r="C2940" s="226"/>
      <c r="D2940" s="226"/>
      <c r="E2940" s="171"/>
      <c r="F2940" s="169"/>
      <c r="G2940" s="178"/>
      <c r="H2940" s="200"/>
      <c r="I2940" s="133"/>
      <c r="J2940" s="195"/>
      <c r="K2940" s="226"/>
      <c r="L2940" s="226"/>
      <c r="M2940" s="171"/>
      <c r="N2940" s="176"/>
      <c r="O2940" s="169"/>
      <c r="P2940" s="178"/>
      <c r="Q2940" s="200"/>
    </row>
    <row r="2941" spans="1:17" x14ac:dyDescent="0.25">
      <c r="A2941" s="133"/>
      <c r="B2941" s="194"/>
      <c r="C2941" s="202"/>
      <c r="D2941" s="202"/>
      <c r="E2941" s="171"/>
      <c r="F2941" s="169"/>
      <c r="G2941" s="178"/>
      <c r="H2941" s="200"/>
      <c r="I2941" s="133"/>
      <c r="J2941" s="194"/>
      <c r="K2941" s="202"/>
      <c r="L2941" s="202"/>
      <c r="M2941" s="171"/>
      <c r="N2941" s="176"/>
      <c r="O2941" s="169"/>
      <c r="P2941" s="178"/>
      <c r="Q2941" s="200"/>
    </row>
    <row r="2942" spans="1:17" x14ac:dyDescent="0.25">
      <c r="A2942" s="133"/>
      <c r="B2942" s="195"/>
      <c r="C2942" s="226"/>
      <c r="D2942" s="226"/>
      <c r="E2942" s="171"/>
      <c r="F2942" s="169"/>
      <c r="G2942" s="178"/>
      <c r="H2942" s="200"/>
      <c r="I2942" s="133"/>
      <c r="J2942" s="195"/>
      <c r="K2942" s="226"/>
      <c r="L2942" s="226"/>
      <c r="M2942" s="171"/>
      <c r="N2942" s="176"/>
      <c r="O2942" s="169"/>
      <c r="P2942" s="178"/>
      <c r="Q2942" s="200"/>
    </row>
    <row r="2943" spans="1:17" x14ac:dyDescent="0.25">
      <c r="A2943" s="133"/>
      <c r="B2943" s="195"/>
      <c r="C2943" s="226"/>
      <c r="D2943" s="226"/>
      <c r="E2943" s="171"/>
      <c r="F2943" s="169"/>
      <c r="G2943" s="178"/>
      <c r="H2943" s="200"/>
      <c r="I2943" s="133"/>
      <c r="J2943" s="195"/>
      <c r="K2943" s="226"/>
      <c r="L2943" s="226"/>
      <c r="M2943" s="171"/>
      <c r="N2943" s="176"/>
      <c r="O2943" s="169"/>
      <c r="P2943" s="178"/>
      <c r="Q2943" s="200"/>
    </row>
    <row r="2944" spans="1:17" x14ac:dyDescent="0.25">
      <c r="A2944" s="133"/>
      <c r="B2944" s="195"/>
      <c r="C2944" s="232"/>
      <c r="D2944" s="232"/>
      <c r="E2944" s="232"/>
      <c r="F2944" s="226"/>
      <c r="G2944" s="229"/>
      <c r="H2944" s="200"/>
      <c r="I2944" s="133"/>
      <c r="J2944" s="195"/>
      <c r="K2944" s="232"/>
      <c r="L2944" s="232"/>
      <c r="M2944" s="232"/>
      <c r="N2944" s="232"/>
      <c r="O2944" s="226"/>
      <c r="P2944" s="229"/>
      <c r="Q2944" s="200"/>
    </row>
    <row r="2945" spans="1:17" x14ac:dyDescent="0.25">
      <c r="A2945" s="133"/>
      <c r="B2945" s="195"/>
      <c r="C2945" s="232"/>
      <c r="D2945" s="232"/>
      <c r="E2945" s="232"/>
      <c r="F2945" s="226"/>
      <c r="G2945" s="229"/>
      <c r="H2945" s="200"/>
      <c r="I2945" s="133"/>
      <c r="J2945" s="195"/>
      <c r="K2945" s="232"/>
      <c r="L2945" s="232"/>
      <c r="M2945" s="232"/>
      <c r="N2945" s="232"/>
      <c r="O2945" s="226"/>
      <c r="P2945" s="229"/>
      <c r="Q2945" s="200"/>
    </row>
    <row r="2946" spans="1:17" x14ac:dyDescent="0.25">
      <c r="A2946" s="133"/>
      <c r="B2946" s="195"/>
      <c r="C2946" s="232"/>
      <c r="D2946" s="232"/>
      <c r="E2946" s="232"/>
      <c r="F2946" s="226"/>
      <c r="G2946" s="229"/>
      <c r="H2946" s="200"/>
      <c r="I2946" s="133"/>
      <c r="J2946" s="195"/>
      <c r="K2946" s="232"/>
      <c r="L2946" s="232"/>
      <c r="M2946" s="232"/>
      <c r="N2946" s="232"/>
      <c r="O2946" s="226"/>
      <c r="P2946" s="229"/>
      <c r="Q2946" s="200"/>
    </row>
    <row r="2947" spans="1:17" ht="15.75" thickBot="1" x14ac:dyDescent="0.3">
      <c r="A2947" s="133"/>
      <c r="B2947" s="195"/>
      <c r="C2947" s="232"/>
      <c r="D2947" s="232"/>
      <c r="E2947" s="232"/>
      <c r="F2947" s="226"/>
      <c r="G2947" s="229"/>
      <c r="H2947" s="200"/>
      <c r="I2947" s="133"/>
      <c r="J2947" s="195"/>
      <c r="K2947" s="232"/>
      <c r="L2947" s="232"/>
      <c r="M2947" s="232"/>
      <c r="N2947" s="232"/>
      <c r="O2947" s="226"/>
      <c r="P2947" s="229"/>
      <c r="Q2947" s="200"/>
    </row>
    <row r="2948" spans="1:17" ht="15.75" thickBot="1" x14ac:dyDescent="0.3">
      <c r="A2948" s="133"/>
      <c r="B2948" s="233"/>
      <c r="C2948" s="234"/>
      <c r="D2948" s="234"/>
      <c r="E2948" s="234"/>
      <c r="F2948" s="235"/>
      <c r="G2948" s="236"/>
      <c r="H2948" s="256">
        <f>+SUM(G2936:G2948)</f>
        <v>0</v>
      </c>
      <c r="I2948" s="133"/>
      <c r="J2948" s="233"/>
      <c r="K2948" s="234"/>
      <c r="L2948" s="234"/>
      <c r="M2948" s="234"/>
      <c r="N2948" s="234"/>
      <c r="O2948" s="235"/>
      <c r="P2948" s="236"/>
      <c r="Q2948" s="256">
        <f>+SUM(P2936:P2948)</f>
        <v>0</v>
      </c>
    </row>
    <row r="2949" spans="1:17" ht="15.75" thickBot="1" x14ac:dyDescent="0.3">
      <c r="A2949" s="133"/>
      <c r="B2949" s="238"/>
      <c r="C2949" s="238"/>
      <c r="D2949" s="238"/>
      <c r="E2949" s="238"/>
      <c r="F2949" s="239"/>
      <c r="G2949" s="240"/>
      <c r="H2949" s="241"/>
      <c r="I2949" s="133"/>
      <c r="J2949" s="238"/>
      <c r="K2949" s="238"/>
      <c r="L2949" s="238"/>
      <c r="M2949" s="238"/>
      <c r="N2949" s="238"/>
      <c r="O2949" s="239"/>
      <c r="P2949" s="240"/>
      <c r="Q2949" s="241"/>
    </row>
    <row r="2950" spans="1:17" ht="15.75" thickBot="1" x14ac:dyDescent="0.3">
      <c r="A2950" s="133"/>
      <c r="B2950" s="224" t="s">
        <v>5410</v>
      </c>
      <c r="C2950" s="193" t="s">
        <v>867</v>
      </c>
      <c r="D2950" s="193" t="s">
        <v>6</v>
      </c>
      <c r="E2950" s="193" t="s">
        <v>870</v>
      </c>
      <c r="F2950" s="193" t="s">
        <v>5411</v>
      </c>
      <c r="G2950" s="225" t="s">
        <v>868</v>
      </c>
      <c r="H2950" s="200"/>
      <c r="I2950" s="133"/>
      <c r="J2950" s="224" t="s">
        <v>5410</v>
      </c>
      <c r="K2950" s="193" t="s">
        <v>867</v>
      </c>
      <c r="L2950" s="193" t="s">
        <v>6</v>
      </c>
      <c r="M2950" s="193" t="s">
        <v>870</v>
      </c>
      <c r="N2950" s="193" t="s">
        <v>870</v>
      </c>
      <c r="O2950" s="193" t="s">
        <v>5411</v>
      </c>
      <c r="P2950" s="225" t="s">
        <v>868</v>
      </c>
      <c r="Q2950" s="200"/>
    </row>
    <row r="2951" spans="1:17" x14ac:dyDescent="0.25">
      <c r="A2951" s="133"/>
      <c r="B2951" s="245"/>
      <c r="C2951" s="202"/>
      <c r="D2951" s="202"/>
      <c r="E2951" s="175"/>
      <c r="F2951" s="202"/>
      <c r="G2951" s="203"/>
      <c r="H2951" s="246"/>
      <c r="I2951" s="133"/>
      <c r="J2951" s="242"/>
      <c r="K2951" s="202"/>
      <c r="L2951" s="202"/>
      <c r="M2951" s="175"/>
      <c r="N2951" s="175"/>
      <c r="O2951" s="202"/>
      <c r="P2951" s="203"/>
      <c r="Q2951" s="246"/>
    </row>
    <row r="2952" spans="1:17" x14ac:dyDescent="0.25">
      <c r="A2952" s="133"/>
      <c r="B2952" s="247"/>
      <c r="C2952" s="248"/>
      <c r="D2952" s="248"/>
      <c r="E2952" s="248"/>
      <c r="F2952" s="202"/>
      <c r="G2952" s="178"/>
      <c r="H2952" s="200"/>
      <c r="I2952" s="133"/>
      <c r="J2952" s="243"/>
      <c r="K2952" s="248"/>
      <c r="L2952" s="248"/>
      <c r="M2952" s="248"/>
      <c r="N2952" s="248"/>
      <c r="O2952" s="202"/>
      <c r="P2952" s="178"/>
      <c r="Q2952" s="200"/>
    </row>
    <row r="2953" spans="1:17" x14ac:dyDescent="0.25">
      <c r="A2953" s="133"/>
      <c r="B2953" s="247"/>
      <c r="C2953" s="232"/>
      <c r="D2953" s="232"/>
      <c r="E2953" s="232"/>
      <c r="F2953" s="226"/>
      <c r="G2953" s="229"/>
      <c r="H2953" s="200"/>
      <c r="I2953" s="133"/>
      <c r="J2953" s="243"/>
      <c r="K2953" s="232"/>
      <c r="L2953" s="232"/>
      <c r="M2953" s="232"/>
      <c r="N2953" s="232"/>
      <c r="O2953" s="226"/>
      <c r="P2953" s="229"/>
      <c r="Q2953" s="200"/>
    </row>
    <row r="2954" spans="1:17" x14ac:dyDescent="0.25">
      <c r="A2954" s="133"/>
      <c r="B2954" s="194"/>
      <c r="C2954" s="232"/>
      <c r="D2954" s="232"/>
      <c r="E2954" s="232"/>
      <c r="F2954" s="226"/>
      <c r="G2954" s="229"/>
      <c r="H2954" s="200"/>
      <c r="I2954" s="133"/>
      <c r="J2954" s="194"/>
      <c r="K2954" s="232"/>
      <c r="L2954" s="232"/>
      <c r="M2954" s="232"/>
      <c r="N2954" s="232"/>
      <c r="O2954" s="226"/>
      <c r="P2954" s="229"/>
      <c r="Q2954" s="200"/>
    </row>
    <row r="2955" spans="1:17" ht="15.75" thickBot="1" x14ac:dyDescent="0.3">
      <c r="A2955" s="133"/>
      <c r="B2955" s="195"/>
      <c r="C2955" s="232"/>
      <c r="D2955" s="232"/>
      <c r="E2955" s="232"/>
      <c r="F2955" s="226"/>
      <c r="G2955" s="229"/>
      <c r="H2955" s="200"/>
      <c r="I2955" s="133"/>
      <c r="J2955" s="195"/>
      <c r="K2955" s="232"/>
      <c r="L2955" s="232"/>
      <c r="M2955" s="232"/>
      <c r="N2955" s="232"/>
      <c r="O2955" s="226"/>
      <c r="P2955" s="229"/>
      <c r="Q2955" s="200"/>
    </row>
    <row r="2956" spans="1:17" ht="15.75" thickBot="1" x14ac:dyDescent="0.3">
      <c r="A2956" s="133"/>
      <c r="B2956" s="233"/>
      <c r="C2956" s="234"/>
      <c r="D2956" s="234"/>
      <c r="E2956" s="234"/>
      <c r="F2956" s="235"/>
      <c r="G2956" s="236"/>
      <c r="H2956" s="237">
        <f>+SUM(G2951:G2956)</f>
        <v>0</v>
      </c>
      <c r="I2956" s="133"/>
      <c r="J2956" s="233"/>
      <c r="K2956" s="234"/>
      <c r="L2956" s="234"/>
      <c r="M2956" s="234"/>
      <c r="N2956" s="234"/>
      <c r="O2956" s="235"/>
      <c r="P2956" s="236"/>
      <c r="Q2956" s="237">
        <f>+SUM(P2951:P2956)</f>
        <v>0</v>
      </c>
    </row>
    <row r="2957" spans="1:17" ht="15.75" thickBot="1" x14ac:dyDescent="0.3">
      <c r="A2957" s="133"/>
      <c r="B2957" s="238"/>
      <c r="C2957" s="238"/>
      <c r="D2957" s="238"/>
      <c r="E2957" s="238"/>
      <c r="F2957" s="249"/>
      <c r="G2957" s="250"/>
      <c r="H2957" s="241"/>
      <c r="I2957" s="133"/>
      <c r="J2957" s="238"/>
      <c r="K2957" s="238"/>
      <c r="L2957" s="238"/>
      <c r="M2957" s="238"/>
      <c r="N2957" s="238"/>
      <c r="O2957" s="249"/>
      <c r="P2957" s="250"/>
      <c r="Q2957" s="241"/>
    </row>
    <row r="2958" spans="1:17" ht="15.75" thickBot="1" x14ac:dyDescent="0.3">
      <c r="A2958" s="133"/>
      <c r="B2958" s="224" t="s">
        <v>5412</v>
      </c>
      <c r="C2958" s="193" t="s">
        <v>5420</v>
      </c>
      <c r="D2958" s="193" t="s">
        <v>5421</v>
      </c>
      <c r="E2958" s="193" t="s">
        <v>5413</v>
      </c>
      <c r="F2958" s="193" t="s">
        <v>5405</v>
      </c>
      <c r="G2958" s="225" t="s">
        <v>868</v>
      </c>
      <c r="H2958" s="200"/>
      <c r="I2958" s="133"/>
      <c r="J2958" s="224" t="s">
        <v>5412</v>
      </c>
      <c r="K2958" s="193" t="s">
        <v>5420</v>
      </c>
      <c r="L2958" s="193" t="s">
        <v>5421</v>
      </c>
      <c r="M2958" s="193" t="s">
        <v>5413</v>
      </c>
      <c r="N2958" s="193" t="s">
        <v>5413</v>
      </c>
      <c r="O2958" s="193" t="s">
        <v>5405</v>
      </c>
      <c r="P2958" s="225" t="s">
        <v>868</v>
      </c>
      <c r="Q2958" s="200"/>
    </row>
    <row r="2959" spans="1:17" x14ac:dyDescent="0.25">
      <c r="A2959" s="133"/>
      <c r="B2959" s="194" t="s">
        <v>5948</v>
      </c>
      <c r="C2959" s="345">
        <v>70000</v>
      </c>
      <c r="D2959" s="176">
        <f>+C2959*0.85</f>
        <v>59500</v>
      </c>
      <c r="E2959" s="176">
        <f>+C2959+D2959</f>
        <v>129500</v>
      </c>
      <c r="F2959" s="204">
        <v>10</v>
      </c>
      <c r="G2959" s="178">
        <f>+E2959/F2959</f>
        <v>12950</v>
      </c>
      <c r="H2959" s="200"/>
      <c r="I2959" s="133"/>
      <c r="J2959" s="194" t="s">
        <v>5948</v>
      </c>
      <c r="K2959" s="345">
        <v>70000</v>
      </c>
      <c r="L2959" s="176">
        <f>+K2959*0.85</f>
        <v>59500</v>
      </c>
      <c r="M2959" s="176">
        <f>+K2959+L2959</f>
        <v>129500</v>
      </c>
      <c r="N2959" s="175">
        <f>+K2959+L2959</f>
        <v>129500</v>
      </c>
      <c r="O2959" s="204">
        <v>10</v>
      </c>
      <c r="P2959" s="178">
        <f>+N2959/O2959</f>
        <v>12950</v>
      </c>
      <c r="Q2959" s="200"/>
    </row>
    <row r="2960" spans="1:17" x14ac:dyDescent="0.25">
      <c r="A2960" s="133"/>
      <c r="B2960" s="194" t="s">
        <v>5651</v>
      </c>
      <c r="C2960" s="345">
        <v>40000</v>
      </c>
      <c r="D2960" s="176">
        <f>+C2960*0.85</f>
        <v>34000</v>
      </c>
      <c r="E2960" s="176">
        <f>+C2960+D2960</f>
        <v>74000</v>
      </c>
      <c r="F2960" s="202">
        <v>2</v>
      </c>
      <c r="G2960" s="178">
        <f>+E2960/F2960</f>
        <v>37000</v>
      </c>
      <c r="H2960" s="200"/>
      <c r="I2960" s="133"/>
      <c r="J2960" s="194" t="s">
        <v>5651</v>
      </c>
      <c r="K2960" s="345">
        <v>40000</v>
      </c>
      <c r="L2960" s="176">
        <f>+K2960*0.85</f>
        <v>34000</v>
      </c>
      <c r="M2960" s="176">
        <f>+K2960+L2960</f>
        <v>74000</v>
      </c>
      <c r="N2960" s="175">
        <f>+K2960+L2960</f>
        <v>74000</v>
      </c>
      <c r="O2960" s="202">
        <v>2</v>
      </c>
      <c r="P2960" s="178">
        <f>+N2960/O2960</f>
        <v>37000</v>
      </c>
      <c r="Q2960" s="200"/>
    </row>
    <row r="2961" spans="1:17" x14ac:dyDescent="0.25">
      <c r="A2961" s="133"/>
      <c r="B2961" s="195" t="s">
        <v>5635</v>
      </c>
      <c r="C2961" s="345">
        <v>20600</v>
      </c>
      <c r="D2961" s="176">
        <f>+C2961*0.85</f>
        <v>17510</v>
      </c>
      <c r="E2961" s="176">
        <f>+C2961+D2961</f>
        <v>38110</v>
      </c>
      <c r="F2961" s="226">
        <v>2</v>
      </c>
      <c r="G2961" s="178">
        <f>+E2961/F2961</f>
        <v>19055</v>
      </c>
      <c r="H2961" s="200"/>
      <c r="I2961" s="133"/>
      <c r="J2961" s="195" t="s">
        <v>5635</v>
      </c>
      <c r="K2961" s="345">
        <v>20600</v>
      </c>
      <c r="L2961" s="176">
        <f>+K2961*0.85</f>
        <v>17510</v>
      </c>
      <c r="M2961" s="176">
        <f>+K2961+L2961</f>
        <v>38110</v>
      </c>
      <c r="N2961" s="175">
        <f>+K2961+L2961</f>
        <v>38110</v>
      </c>
      <c r="O2961" s="226">
        <v>2</v>
      </c>
      <c r="P2961" s="178">
        <f>+N2961/O2961</f>
        <v>19055</v>
      </c>
      <c r="Q2961" s="200"/>
    </row>
    <row r="2962" spans="1:17" x14ac:dyDescent="0.25">
      <c r="A2962" s="133"/>
      <c r="B2962" s="195"/>
      <c r="C2962" s="171"/>
      <c r="D2962" s="176"/>
      <c r="E2962" s="176"/>
      <c r="F2962" s="226"/>
      <c r="G2962" s="178"/>
      <c r="H2962" s="200"/>
      <c r="I2962" s="133"/>
      <c r="J2962" s="195"/>
      <c r="K2962" s="171"/>
      <c r="L2962" s="176"/>
      <c r="M2962" s="176"/>
      <c r="N2962" s="176"/>
      <c r="O2962" s="226"/>
      <c r="P2962" s="178"/>
      <c r="Q2962" s="200"/>
    </row>
    <row r="2963" spans="1:17" x14ac:dyDescent="0.25">
      <c r="A2963" s="133"/>
      <c r="B2963" s="195"/>
      <c r="C2963" s="232"/>
      <c r="D2963" s="232"/>
      <c r="E2963" s="232"/>
      <c r="F2963" s="226"/>
      <c r="G2963" s="229"/>
      <c r="H2963" s="200"/>
      <c r="I2963" s="133"/>
      <c r="J2963" s="195"/>
      <c r="K2963" s="232"/>
      <c r="L2963" s="232"/>
      <c r="M2963" s="232"/>
      <c r="N2963" s="232"/>
      <c r="O2963" s="226"/>
      <c r="P2963" s="229"/>
      <c r="Q2963" s="200"/>
    </row>
    <row r="2964" spans="1:17" ht="15.75" thickBot="1" x14ac:dyDescent="0.3">
      <c r="A2964" s="133"/>
      <c r="B2964" s="195"/>
      <c r="C2964" s="232"/>
      <c r="D2964" s="232"/>
      <c r="E2964" s="232"/>
      <c r="F2964" s="226"/>
      <c r="G2964" s="229"/>
      <c r="H2964" s="200"/>
      <c r="I2964" s="133"/>
      <c r="J2964" s="195"/>
      <c r="K2964" s="232"/>
      <c r="L2964" s="232"/>
      <c r="M2964" s="232"/>
      <c r="N2964" s="232"/>
      <c r="O2964" s="226"/>
      <c r="P2964" s="229"/>
      <c r="Q2964" s="200"/>
    </row>
    <row r="2965" spans="1:17" ht="15.75" thickBot="1" x14ac:dyDescent="0.3">
      <c r="A2965" s="133"/>
      <c r="B2965" s="251"/>
      <c r="C2965" s="252"/>
      <c r="D2965" s="252"/>
      <c r="E2965" s="252"/>
      <c r="F2965" s="253"/>
      <c r="G2965" s="254"/>
      <c r="H2965" s="256">
        <f>+SUM(G2959:G2965)</f>
        <v>69005</v>
      </c>
      <c r="I2965" s="133"/>
      <c r="J2965" s="251"/>
      <c r="K2965" s="252"/>
      <c r="L2965" s="252"/>
      <c r="M2965" s="252"/>
      <c r="N2965" s="252"/>
      <c r="O2965" s="253"/>
      <c r="P2965" s="254"/>
      <c r="Q2965" s="256">
        <f>+SUM(P2959:P2965)</f>
        <v>69005</v>
      </c>
    </row>
    <row r="2966" spans="1:17" ht="15.75" thickBot="1" x14ac:dyDescent="0.3">
      <c r="A2966" s="133"/>
      <c r="B2966" s="8"/>
      <c r="C2966" s="8"/>
      <c r="D2966" s="8"/>
      <c r="E2966" s="8"/>
      <c r="F2966" s="133"/>
      <c r="G2966" s="200"/>
      <c r="H2966" s="200"/>
      <c r="I2966" s="133"/>
      <c r="J2966" s="8"/>
      <c r="K2966" s="8"/>
      <c r="L2966" s="8"/>
      <c r="M2966" s="8"/>
      <c r="N2966" s="8"/>
      <c r="O2966" s="133"/>
      <c r="P2966" s="200"/>
      <c r="Q2966" s="200"/>
    </row>
    <row r="2967" spans="1:17" ht="15.75" thickBot="1" x14ac:dyDescent="0.3">
      <c r="A2967" s="133"/>
      <c r="B2967" s="8"/>
      <c r="C2967" s="8"/>
      <c r="D2967" s="8"/>
      <c r="E2967" s="223" t="s">
        <v>5415</v>
      </c>
      <c r="F2967" s="133"/>
      <c r="G2967" s="200"/>
      <c r="H2967" s="256">
        <f>ROUND(+H2965+H2956+H2948+H2933,0)</f>
        <v>75906</v>
      </c>
      <c r="I2967" s="133"/>
      <c r="J2967" s="8"/>
      <c r="K2967" s="8"/>
      <c r="L2967" s="8"/>
      <c r="M2967" s="223" t="s">
        <v>5415</v>
      </c>
      <c r="N2967" s="223"/>
      <c r="O2967" s="133"/>
      <c r="P2967" s="200"/>
      <c r="Q2967" s="256">
        <f>ROUND(+Q2965+Q2956+Q2948+Q2933,0)</f>
        <v>75906</v>
      </c>
    </row>
    <row r="2968" spans="1:17" x14ac:dyDescent="0.25">
      <c r="A2968" s="265"/>
      <c r="B2968" s="265"/>
      <c r="C2968" s="265"/>
      <c r="D2968" s="265"/>
      <c r="E2968" s="265"/>
      <c r="F2968" s="265"/>
      <c r="G2968" s="265"/>
      <c r="H2968" s="265"/>
    </row>
    <row r="2969" spans="1:17" x14ac:dyDescent="0.25">
      <c r="A2969" s="265"/>
      <c r="B2969" s="265"/>
      <c r="C2969" s="265"/>
      <c r="D2969" s="265"/>
      <c r="E2969" s="265"/>
      <c r="F2969" s="265"/>
      <c r="G2969" s="265"/>
      <c r="H2969" s="265"/>
    </row>
    <row r="2970" spans="1:17" x14ac:dyDescent="0.25">
      <c r="A2970" s="265"/>
      <c r="B2970" s="265"/>
      <c r="C2970" s="265"/>
      <c r="D2970" s="265"/>
      <c r="E2970" s="265"/>
      <c r="F2970" s="265"/>
      <c r="G2970" s="265"/>
      <c r="H2970" s="265"/>
    </row>
    <row r="2971" spans="1:17" x14ac:dyDescent="0.25">
      <c r="A2971" s="265"/>
      <c r="B2971" s="265"/>
      <c r="C2971" s="265"/>
      <c r="D2971" s="265"/>
      <c r="E2971" s="265"/>
      <c r="F2971" s="265"/>
      <c r="G2971" s="265"/>
      <c r="H2971" s="265"/>
    </row>
    <row r="2972" spans="1:17" ht="18.75" x14ac:dyDescent="0.25">
      <c r="A2972" s="133"/>
      <c r="B2972" s="2506" t="s">
        <v>5400</v>
      </c>
      <c r="C2972" s="2506"/>
      <c r="D2972" s="2506"/>
      <c r="E2972" s="2506"/>
      <c r="F2972" s="2506"/>
      <c r="G2972" s="2506"/>
      <c r="H2972" s="8"/>
    </row>
    <row r="2973" spans="1:17" x14ac:dyDescent="0.25">
      <c r="A2973" s="133"/>
      <c r="B2973" s="8"/>
      <c r="C2973" s="8"/>
      <c r="D2973" s="8"/>
      <c r="E2973" s="8"/>
      <c r="F2973" s="133"/>
      <c r="G2973" s="200"/>
      <c r="H2973" s="200"/>
    </row>
    <row r="2974" spans="1:17" x14ac:dyDescent="0.25">
      <c r="A2974" s="133"/>
      <c r="B2974" s="8"/>
      <c r="C2974" s="8"/>
      <c r="D2974" s="8"/>
      <c r="E2974" s="8"/>
      <c r="F2974" s="133"/>
      <c r="G2974" s="200"/>
      <c r="H2974" s="200"/>
    </row>
    <row r="2975" spans="1:17" x14ac:dyDescent="0.25">
      <c r="A2975" s="133"/>
      <c r="B2975" s="8"/>
      <c r="C2975" s="8"/>
      <c r="D2975" s="8"/>
      <c r="E2975" s="8"/>
      <c r="F2975" s="133"/>
      <c r="G2975" s="200"/>
      <c r="H2975" s="200"/>
    </row>
    <row r="2976" spans="1:17" ht="15" customHeight="1" x14ac:dyDescent="0.25">
      <c r="A2976" s="220" t="s">
        <v>5482</v>
      </c>
      <c r="B2976" s="221" t="s">
        <v>5534</v>
      </c>
      <c r="C2976" s="2449" t="s">
        <v>5535</v>
      </c>
      <c r="D2976" s="2449"/>
      <c r="E2976" s="2449"/>
      <c r="F2976" s="220" t="s">
        <v>867</v>
      </c>
      <c r="G2976" s="222" t="s">
        <v>5424</v>
      </c>
      <c r="H2976" s="200"/>
    </row>
    <row r="2977" spans="1:8" x14ac:dyDescent="0.25">
      <c r="A2977" s="133"/>
      <c r="B2977" s="8"/>
      <c r="C2977" s="223"/>
      <c r="D2977" s="223"/>
      <c r="E2977" s="223"/>
      <c r="F2977" s="133"/>
      <c r="G2977" s="200"/>
      <c r="H2977" s="200"/>
    </row>
    <row r="2978" spans="1:8" x14ac:dyDescent="0.25">
      <c r="A2978" s="133"/>
      <c r="B2978" s="8"/>
      <c r="C2978" s="8"/>
      <c r="D2978" s="8"/>
      <c r="E2978" s="8"/>
      <c r="F2978" s="8"/>
      <c r="G2978" s="8"/>
      <c r="H2978" s="200"/>
    </row>
    <row r="2979" spans="1:8" ht="15.75" thickBot="1" x14ac:dyDescent="0.3">
      <c r="A2979" s="133"/>
      <c r="B2979" s="8"/>
      <c r="C2979" s="8"/>
      <c r="D2979" s="8"/>
      <c r="E2979" s="8"/>
      <c r="F2979" s="133"/>
      <c r="G2979" s="200"/>
      <c r="H2979" s="200"/>
    </row>
    <row r="2980" spans="1:8" ht="15.75" thickBot="1" x14ac:dyDescent="0.3">
      <c r="A2980" s="133"/>
      <c r="B2980" s="224" t="s">
        <v>5403</v>
      </c>
      <c r="C2980" s="193" t="s">
        <v>867</v>
      </c>
      <c r="D2980" s="193" t="s">
        <v>6</v>
      </c>
      <c r="E2980" s="193" t="s">
        <v>5439</v>
      </c>
      <c r="F2980" s="193" t="s">
        <v>5405</v>
      </c>
      <c r="G2980" s="225" t="s">
        <v>868</v>
      </c>
      <c r="H2980" s="200"/>
    </row>
    <row r="2981" spans="1:8" x14ac:dyDescent="0.25">
      <c r="A2981" s="133"/>
      <c r="B2981" s="195" t="s">
        <v>5440</v>
      </c>
      <c r="C2981" s="226" t="s">
        <v>5402</v>
      </c>
      <c r="D2981" s="226">
        <v>1</v>
      </c>
      <c r="E2981" s="263">
        <f>+H3019</f>
        <v>77012.857142857145</v>
      </c>
      <c r="F2981" s="226">
        <v>0.1</v>
      </c>
      <c r="G2981" s="229">
        <f>+E2981*F2981</f>
        <v>7701.2857142857147</v>
      </c>
      <c r="H2981" s="200"/>
    </row>
    <row r="2982" spans="1:8" x14ac:dyDescent="0.25">
      <c r="A2982" s="133"/>
      <c r="B2982" s="195"/>
      <c r="C2982" s="226"/>
      <c r="D2982" s="226"/>
      <c r="E2982" s="264"/>
      <c r="F2982" s="226"/>
      <c r="G2982" s="229"/>
      <c r="H2982" s="200"/>
    </row>
    <row r="2983" spans="1:8" x14ac:dyDescent="0.25">
      <c r="A2983" s="133"/>
      <c r="B2983" s="195"/>
      <c r="C2983" s="226"/>
      <c r="D2983" s="226"/>
      <c r="E2983" s="176"/>
      <c r="F2983" s="226"/>
      <c r="G2983" s="229"/>
      <c r="H2983" s="200"/>
    </row>
    <row r="2984" spans="1:8" x14ac:dyDescent="0.25">
      <c r="A2984" s="133"/>
      <c r="B2984" s="195"/>
      <c r="C2984" s="226"/>
      <c r="D2984" s="226"/>
      <c r="E2984" s="171"/>
      <c r="F2984" s="226"/>
      <c r="G2984" s="231"/>
      <c r="H2984" s="200"/>
    </row>
    <row r="2985" spans="1:8" x14ac:dyDescent="0.25">
      <c r="A2985" s="133"/>
      <c r="B2985" s="195"/>
      <c r="C2985" s="226"/>
      <c r="D2985" s="232"/>
      <c r="E2985" s="232"/>
      <c r="F2985" s="226"/>
      <c r="G2985" s="229"/>
      <c r="H2985" s="200"/>
    </row>
    <row r="2986" spans="1:8" ht="15.75" thickBot="1" x14ac:dyDescent="0.3">
      <c r="A2986" s="133"/>
      <c r="B2986" s="195"/>
      <c r="C2986" s="226"/>
      <c r="D2986" s="232"/>
      <c r="E2986" s="232"/>
      <c r="F2986" s="226"/>
      <c r="G2986" s="229"/>
      <c r="H2986" s="200"/>
    </row>
    <row r="2987" spans="1:8" ht="15.75" thickBot="1" x14ac:dyDescent="0.3">
      <c r="A2987" s="133"/>
      <c r="B2987" s="233"/>
      <c r="C2987" s="234"/>
      <c r="D2987" s="234"/>
      <c r="E2987" s="234"/>
      <c r="F2987" s="235"/>
      <c r="G2987" s="236"/>
      <c r="H2987" s="237">
        <f>+SUM(G2981:G2987)</f>
        <v>7701.2857142857147</v>
      </c>
    </row>
    <row r="2988" spans="1:8" ht="15.75" thickBot="1" x14ac:dyDescent="0.3">
      <c r="A2988" s="133"/>
      <c r="B2988" s="238"/>
      <c r="C2988" s="238"/>
      <c r="D2988" s="238"/>
      <c r="E2988" s="238"/>
      <c r="F2988" s="239"/>
      <c r="G2988" s="240"/>
      <c r="H2988" s="241"/>
    </row>
    <row r="2989" spans="1:8" ht="15.75" thickBot="1" x14ac:dyDescent="0.3">
      <c r="A2989" s="133"/>
      <c r="B2989" s="224" t="s">
        <v>5408</v>
      </c>
      <c r="C2989" s="193" t="s">
        <v>867</v>
      </c>
      <c r="D2989" s="193" t="s">
        <v>6</v>
      </c>
      <c r="E2989" s="193" t="s">
        <v>870</v>
      </c>
      <c r="F2989" s="193" t="s">
        <v>5409</v>
      </c>
      <c r="G2989" s="225" t="s">
        <v>868</v>
      </c>
      <c r="H2989" s="200"/>
    </row>
    <row r="2990" spans="1:8" x14ac:dyDescent="0.25">
      <c r="A2990" s="133"/>
      <c r="B2990" s="295" t="s">
        <v>6124</v>
      </c>
      <c r="C2990" s="202" t="s">
        <v>5424</v>
      </c>
      <c r="D2990" s="226"/>
      <c r="E2990" s="244"/>
      <c r="F2990" s="169"/>
      <c r="G2990" s="178">
        <f>+D2990*E2990*(1+F2990)</f>
        <v>0</v>
      </c>
      <c r="H2990" s="200"/>
    </row>
    <row r="2991" spans="1:8" x14ac:dyDescent="0.25">
      <c r="A2991" s="133"/>
      <c r="B2991" s="450" t="s">
        <v>6132</v>
      </c>
      <c r="C2991" s="202" t="s">
        <v>5424</v>
      </c>
      <c r="D2991" s="202"/>
      <c r="E2991" s="257"/>
      <c r="F2991" s="169"/>
      <c r="G2991" s="178">
        <f>+D2991*E2991*(1+F2991)</f>
        <v>0</v>
      </c>
      <c r="H2991" s="200"/>
    </row>
    <row r="2992" spans="1:8" x14ac:dyDescent="0.25">
      <c r="A2992" s="133"/>
      <c r="B2992" s="247"/>
      <c r="C2992" s="226"/>
      <c r="D2992" s="226"/>
      <c r="E2992" s="244"/>
      <c r="F2992" s="169"/>
      <c r="G2992" s="178">
        <f>+D2992*E2992*(1+F2992)</f>
        <v>0</v>
      </c>
      <c r="H2992" s="200"/>
    </row>
    <row r="2993" spans="1:8" x14ac:dyDescent="0.25">
      <c r="A2993" s="133"/>
      <c r="B2993" s="194"/>
      <c r="C2993" s="226"/>
      <c r="D2993" s="226"/>
      <c r="E2993" s="244"/>
      <c r="F2993" s="169"/>
      <c r="G2993" s="178">
        <f>+D2993*E2993*(1+F2993)</f>
        <v>0</v>
      </c>
      <c r="H2993" s="200"/>
    </row>
    <row r="2994" spans="1:8" x14ac:dyDescent="0.25">
      <c r="A2994" s="133"/>
      <c r="B2994" s="195"/>
      <c r="C2994" s="226"/>
      <c r="D2994" s="226"/>
      <c r="E2994" s="171"/>
      <c r="F2994" s="169"/>
      <c r="G2994" s="178"/>
      <c r="H2994" s="200"/>
    </row>
    <row r="2995" spans="1:8" x14ac:dyDescent="0.25">
      <c r="A2995" s="133"/>
      <c r="B2995" s="194"/>
      <c r="C2995" s="202"/>
      <c r="D2995" s="202"/>
      <c r="E2995" s="171"/>
      <c r="F2995" s="169"/>
      <c r="G2995" s="178"/>
      <c r="H2995" s="200"/>
    </row>
    <row r="2996" spans="1:8" x14ac:dyDescent="0.25">
      <c r="A2996" s="133"/>
      <c r="B2996" s="195"/>
      <c r="C2996" s="226"/>
      <c r="D2996" s="226"/>
      <c r="E2996" s="171"/>
      <c r="F2996" s="169"/>
      <c r="G2996" s="178"/>
      <c r="H2996" s="200"/>
    </row>
    <row r="2997" spans="1:8" x14ac:dyDescent="0.25">
      <c r="A2997" s="133"/>
      <c r="B2997" s="195"/>
      <c r="C2997" s="226"/>
      <c r="D2997" s="226"/>
      <c r="E2997" s="171"/>
      <c r="F2997" s="169"/>
      <c r="G2997" s="178"/>
      <c r="H2997" s="200"/>
    </row>
    <row r="2998" spans="1:8" x14ac:dyDescent="0.25">
      <c r="A2998" s="133"/>
      <c r="B2998" s="195"/>
      <c r="C2998" s="232"/>
      <c r="D2998" s="232"/>
      <c r="E2998" s="232"/>
      <c r="F2998" s="226"/>
      <c r="G2998" s="229"/>
      <c r="H2998" s="200"/>
    </row>
    <row r="2999" spans="1:8" x14ac:dyDescent="0.25">
      <c r="A2999" s="133"/>
      <c r="B2999" s="195"/>
      <c r="C2999" s="232"/>
      <c r="D2999" s="232"/>
      <c r="E2999" s="232"/>
      <c r="F2999" s="226"/>
      <c r="G2999" s="229"/>
      <c r="H2999" s="200"/>
    </row>
    <row r="3000" spans="1:8" x14ac:dyDescent="0.25">
      <c r="A3000" s="133"/>
      <c r="B3000" s="195"/>
      <c r="C3000" s="232"/>
      <c r="D3000" s="232"/>
      <c r="E3000" s="232"/>
      <c r="F3000" s="226"/>
      <c r="G3000" s="229"/>
      <c r="H3000" s="200"/>
    </row>
    <row r="3001" spans="1:8" ht="15.75" thickBot="1" x14ac:dyDescent="0.3">
      <c r="A3001" s="133"/>
      <c r="B3001" s="195"/>
      <c r="C3001" s="232"/>
      <c r="D3001" s="232"/>
      <c r="E3001" s="232"/>
      <c r="F3001" s="226"/>
      <c r="G3001" s="229"/>
      <c r="H3001" s="200"/>
    </row>
    <row r="3002" spans="1:8" ht="15.75" thickBot="1" x14ac:dyDescent="0.3">
      <c r="A3002" s="133"/>
      <c r="B3002" s="233"/>
      <c r="C3002" s="234"/>
      <c r="D3002" s="234"/>
      <c r="E3002" s="234"/>
      <c r="F3002" s="235"/>
      <c r="G3002" s="236"/>
      <c r="H3002" s="256">
        <f>+SUM(G2990:G3002)</f>
        <v>0</v>
      </c>
    </row>
    <row r="3003" spans="1:8" ht="15.75" thickBot="1" x14ac:dyDescent="0.3">
      <c r="A3003" s="133"/>
      <c r="B3003" s="238"/>
      <c r="C3003" s="238"/>
      <c r="D3003" s="238"/>
      <c r="E3003" s="238"/>
      <c r="F3003" s="239"/>
      <c r="G3003" s="240"/>
      <c r="H3003" s="241"/>
    </row>
    <row r="3004" spans="1:8" ht="15.75" thickBot="1" x14ac:dyDescent="0.3">
      <c r="A3004" s="133"/>
      <c r="B3004" s="224" t="s">
        <v>5410</v>
      </c>
      <c r="C3004" s="193" t="s">
        <v>867</v>
      </c>
      <c r="D3004" s="193" t="s">
        <v>6</v>
      </c>
      <c r="E3004" s="193" t="s">
        <v>870</v>
      </c>
      <c r="F3004" s="193" t="s">
        <v>5411</v>
      </c>
      <c r="G3004" s="225" t="s">
        <v>868</v>
      </c>
      <c r="H3004" s="200"/>
    </row>
    <row r="3005" spans="1:8" x14ac:dyDescent="0.25">
      <c r="A3005" s="133"/>
      <c r="B3005" s="245"/>
      <c r="C3005" s="202"/>
      <c r="D3005" s="202"/>
      <c r="E3005" s="175"/>
      <c r="F3005" s="202"/>
      <c r="G3005" s="203"/>
      <c r="H3005" s="246"/>
    </row>
    <row r="3006" spans="1:8" x14ac:dyDescent="0.25">
      <c r="A3006" s="133"/>
      <c r="B3006" s="247"/>
      <c r="C3006" s="248"/>
      <c r="D3006" s="248"/>
      <c r="E3006" s="248"/>
      <c r="F3006" s="202"/>
      <c r="G3006" s="178"/>
      <c r="H3006" s="200"/>
    </row>
    <row r="3007" spans="1:8" x14ac:dyDescent="0.25">
      <c r="A3007" s="133"/>
      <c r="B3007" s="247"/>
      <c r="C3007" s="232"/>
      <c r="D3007" s="232"/>
      <c r="E3007" s="232"/>
      <c r="F3007" s="226"/>
      <c r="G3007" s="229"/>
      <c r="H3007" s="200"/>
    </row>
    <row r="3008" spans="1:8" x14ac:dyDescent="0.25">
      <c r="A3008" s="133"/>
      <c r="B3008" s="194"/>
      <c r="C3008" s="232"/>
      <c r="D3008" s="232"/>
      <c r="E3008" s="232"/>
      <c r="F3008" s="226"/>
      <c r="G3008" s="229"/>
      <c r="H3008" s="200"/>
    </row>
    <row r="3009" spans="1:8" ht="15.75" thickBot="1" x14ac:dyDescent="0.3">
      <c r="A3009" s="133"/>
      <c r="B3009" s="195"/>
      <c r="C3009" s="232"/>
      <c r="D3009" s="232"/>
      <c r="E3009" s="232"/>
      <c r="F3009" s="226"/>
      <c r="G3009" s="229"/>
      <c r="H3009" s="200"/>
    </row>
    <row r="3010" spans="1:8" ht="15.75" thickBot="1" x14ac:dyDescent="0.3">
      <c r="A3010" s="133"/>
      <c r="B3010" s="233"/>
      <c r="C3010" s="234"/>
      <c r="D3010" s="234"/>
      <c r="E3010" s="234"/>
      <c r="F3010" s="235"/>
      <c r="G3010" s="236"/>
      <c r="H3010" s="237">
        <f>+SUM(G3005:G3010)</f>
        <v>0</v>
      </c>
    </row>
    <row r="3011" spans="1:8" ht="15.75" thickBot="1" x14ac:dyDescent="0.3">
      <c r="A3011" s="133"/>
      <c r="B3011" s="238"/>
      <c r="C3011" s="238"/>
      <c r="D3011" s="238"/>
      <c r="E3011" s="238"/>
      <c r="F3011" s="249"/>
      <c r="G3011" s="250"/>
      <c r="H3011" s="241"/>
    </row>
    <row r="3012" spans="1:8" ht="15.75" thickBot="1" x14ac:dyDescent="0.3">
      <c r="A3012" s="133"/>
      <c r="B3012" s="224" t="s">
        <v>5412</v>
      </c>
      <c r="C3012" s="193" t="s">
        <v>5420</v>
      </c>
      <c r="D3012" s="193" t="s">
        <v>5421</v>
      </c>
      <c r="E3012" s="193" t="s">
        <v>5413</v>
      </c>
      <c r="F3012" s="193" t="s">
        <v>5405</v>
      </c>
      <c r="G3012" s="225" t="s">
        <v>868</v>
      </c>
      <c r="H3012" s="200"/>
    </row>
    <row r="3013" spans="1:8" x14ac:dyDescent="0.25">
      <c r="A3013" s="133"/>
      <c r="B3013" s="194" t="s">
        <v>5948</v>
      </c>
      <c r="C3013" s="345">
        <v>70000</v>
      </c>
      <c r="D3013" s="176">
        <f>+C3013*0.85</f>
        <v>59500</v>
      </c>
      <c r="E3013" s="176">
        <f>+C3013+D3013</f>
        <v>129500</v>
      </c>
      <c r="F3013" s="204">
        <v>10</v>
      </c>
      <c r="G3013" s="178">
        <f>+E3013/F3013</f>
        <v>12950</v>
      </c>
      <c r="H3013" s="200"/>
    </row>
    <row r="3014" spans="1:8" x14ac:dyDescent="0.25">
      <c r="A3014" s="133"/>
      <c r="B3014" s="194" t="s">
        <v>5651</v>
      </c>
      <c r="C3014" s="345">
        <v>40000</v>
      </c>
      <c r="D3014" s="176">
        <f>+C3014*0.85</f>
        <v>34000</v>
      </c>
      <c r="E3014" s="176">
        <f>+C3014+D3014</f>
        <v>74000</v>
      </c>
      <c r="F3014" s="202">
        <v>1.75</v>
      </c>
      <c r="G3014" s="178">
        <f>+E3014/F3014</f>
        <v>42285.714285714283</v>
      </c>
      <c r="H3014" s="200"/>
    </row>
    <row r="3015" spans="1:8" x14ac:dyDescent="0.25">
      <c r="A3015" s="133"/>
      <c r="B3015" s="195" t="s">
        <v>5635</v>
      </c>
      <c r="C3015" s="345">
        <v>20600</v>
      </c>
      <c r="D3015" s="176">
        <f>+C3015*0.85</f>
        <v>17510</v>
      </c>
      <c r="E3015" s="176">
        <f>+C3015+D3015</f>
        <v>38110</v>
      </c>
      <c r="F3015" s="226">
        <v>1.75</v>
      </c>
      <c r="G3015" s="178">
        <f>+E3015/F3015</f>
        <v>21777.142857142859</v>
      </c>
      <c r="H3015" s="200"/>
    </row>
    <row r="3016" spans="1:8" x14ac:dyDescent="0.25">
      <c r="A3016" s="133"/>
      <c r="B3016" s="195"/>
      <c r="C3016" s="171"/>
      <c r="D3016" s="176"/>
      <c r="E3016" s="176"/>
      <c r="F3016" s="226"/>
      <c r="G3016" s="178"/>
      <c r="H3016" s="200"/>
    </row>
    <row r="3017" spans="1:8" x14ac:dyDescent="0.25">
      <c r="A3017" s="133"/>
      <c r="B3017" s="195"/>
      <c r="C3017" s="232"/>
      <c r="D3017" s="232"/>
      <c r="E3017" s="232"/>
      <c r="F3017" s="226"/>
      <c r="G3017" s="229"/>
      <c r="H3017" s="200"/>
    </row>
    <row r="3018" spans="1:8" ht="15.75" thickBot="1" x14ac:dyDescent="0.3">
      <c r="A3018" s="133"/>
      <c r="B3018" s="195"/>
      <c r="C3018" s="232"/>
      <c r="D3018" s="232"/>
      <c r="E3018" s="232"/>
      <c r="F3018" s="226"/>
      <c r="G3018" s="229"/>
      <c r="H3018" s="200"/>
    </row>
    <row r="3019" spans="1:8" ht="15.75" thickBot="1" x14ac:dyDescent="0.3">
      <c r="A3019" s="133"/>
      <c r="B3019" s="251"/>
      <c r="C3019" s="252"/>
      <c r="D3019" s="252"/>
      <c r="E3019" s="252"/>
      <c r="F3019" s="253"/>
      <c r="G3019" s="254"/>
      <c r="H3019" s="256">
        <f>+SUM(G3013:G3019)</f>
        <v>77012.857142857145</v>
      </c>
    </row>
    <row r="3020" spans="1:8" ht="15.75" thickBot="1" x14ac:dyDescent="0.3">
      <c r="A3020" s="133"/>
      <c r="B3020" s="8"/>
      <c r="C3020" s="8"/>
      <c r="D3020" s="8"/>
      <c r="E3020" s="8"/>
      <c r="F3020" s="133"/>
      <c r="G3020" s="200"/>
      <c r="H3020" s="200"/>
    </row>
    <row r="3021" spans="1:8" ht="15.75" thickBot="1" x14ac:dyDescent="0.3">
      <c r="A3021" s="133"/>
      <c r="B3021" s="8"/>
      <c r="C3021" s="8"/>
      <c r="D3021" s="8"/>
      <c r="E3021" s="223" t="s">
        <v>5415</v>
      </c>
      <c r="F3021" s="133"/>
      <c r="G3021" s="200"/>
      <c r="H3021" s="256">
        <f>ROUND(+H3019+H3010+H3002+H2987,0)</f>
        <v>84714</v>
      </c>
    </row>
    <row r="3022" spans="1:8" x14ac:dyDescent="0.25">
      <c r="A3022" s="265"/>
      <c r="B3022" s="265"/>
      <c r="C3022" s="265"/>
      <c r="D3022" s="265"/>
      <c r="E3022" s="265"/>
      <c r="F3022" s="265"/>
      <c r="G3022" s="265"/>
      <c r="H3022" s="265"/>
    </row>
    <row r="3023" spans="1:8" x14ac:dyDescent="0.25">
      <c r="A3023" s="265"/>
      <c r="B3023" s="265"/>
      <c r="C3023" s="265"/>
      <c r="D3023" s="265"/>
      <c r="E3023" s="265"/>
      <c r="F3023" s="265"/>
      <c r="G3023" s="265"/>
      <c r="H3023" s="265"/>
    </row>
    <row r="3024" spans="1:8" x14ac:dyDescent="0.25">
      <c r="A3024" s="265"/>
      <c r="B3024" s="265"/>
      <c r="C3024" s="265"/>
      <c r="D3024" s="265"/>
      <c r="E3024" s="265"/>
      <c r="F3024" s="265"/>
      <c r="G3024" s="265"/>
      <c r="H3024" s="265"/>
    </row>
    <row r="3025" spans="1:17" x14ac:dyDescent="0.25">
      <c r="A3025" s="265"/>
      <c r="B3025" s="265"/>
      <c r="C3025" s="265"/>
      <c r="D3025" s="265"/>
      <c r="E3025" s="265"/>
      <c r="F3025" s="265"/>
      <c r="G3025" s="265"/>
      <c r="H3025" s="265"/>
    </row>
    <row r="3026" spans="1:17" ht="18.75" x14ac:dyDescent="0.25">
      <c r="A3026" s="133"/>
      <c r="B3026" s="2506" t="s">
        <v>5400</v>
      </c>
      <c r="C3026" s="2506"/>
      <c r="D3026" s="2506"/>
      <c r="E3026" s="2506"/>
      <c r="F3026" s="2506"/>
      <c r="G3026" s="2506"/>
      <c r="H3026" s="8"/>
      <c r="I3026" s="133"/>
      <c r="J3026" s="2506" t="s">
        <v>5400</v>
      </c>
      <c r="K3026" s="2506"/>
      <c r="L3026" s="2506"/>
      <c r="M3026" s="2506"/>
      <c r="N3026" s="2506"/>
      <c r="O3026" s="2506"/>
      <c r="P3026" s="2506"/>
      <c r="Q3026" s="8"/>
    </row>
    <row r="3027" spans="1:17" x14ac:dyDescent="0.25">
      <c r="A3027" s="133"/>
      <c r="B3027" s="8"/>
      <c r="C3027" s="8"/>
      <c r="D3027" s="8"/>
      <c r="E3027" s="8"/>
      <c r="F3027" s="133"/>
      <c r="G3027" s="200"/>
      <c r="H3027" s="200"/>
      <c r="I3027" s="133"/>
      <c r="J3027" s="8"/>
      <c r="K3027" s="8"/>
      <c r="L3027" s="8"/>
      <c r="M3027" s="8"/>
      <c r="N3027" s="8"/>
      <c r="O3027" s="133"/>
      <c r="P3027" s="200"/>
      <c r="Q3027" s="200"/>
    </row>
    <row r="3028" spans="1:17" x14ac:dyDescent="0.25">
      <c r="A3028" s="133"/>
      <c r="B3028" s="8"/>
      <c r="C3028" s="8"/>
      <c r="D3028" s="8"/>
      <c r="E3028" s="8"/>
      <c r="F3028" s="133"/>
      <c r="G3028" s="200"/>
      <c r="H3028" s="200"/>
      <c r="I3028" s="133"/>
      <c r="J3028" s="8"/>
      <c r="K3028" s="8"/>
      <c r="L3028" s="8"/>
      <c r="M3028" s="8"/>
      <c r="N3028" s="8"/>
      <c r="O3028" s="133"/>
      <c r="P3028" s="200"/>
      <c r="Q3028" s="200"/>
    </row>
    <row r="3029" spans="1:17" x14ac:dyDescent="0.25">
      <c r="A3029" s="133"/>
      <c r="B3029" s="8"/>
      <c r="C3029" s="8"/>
      <c r="D3029" s="8"/>
      <c r="E3029" s="8"/>
      <c r="F3029" s="133"/>
      <c r="G3029" s="200"/>
      <c r="H3029" s="200"/>
      <c r="I3029" s="133"/>
      <c r="J3029" s="8"/>
      <c r="K3029" s="8"/>
      <c r="L3029" s="8"/>
      <c r="M3029" s="8"/>
      <c r="N3029" s="8"/>
      <c r="O3029" s="133"/>
      <c r="P3029" s="200"/>
      <c r="Q3029" s="200"/>
    </row>
    <row r="3030" spans="1:17" ht="24.95" customHeight="1" x14ac:dyDescent="0.25">
      <c r="A3030" s="220" t="s">
        <v>5482</v>
      </c>
      <c r="B3030" s="221" t="s">
        <v>5536</v>
      </c>
      <c r="C3030" s="2449" t="s">
        <v>5537</v>
      </c>
      <c r="D3030" s="2449"/>
      <c r="E3030" s="2449"/>
      <c r="F3030" s="220" t="s">
        <v>867</v>
      </c>
      <c r="G3030" s="222" t="s">
        <v>5424</v>
      </c>
      <c r="H3030" s="200"/>
      <c r="I3030" s="220" t="s">
        <v>5482</v>
      </c>
      <c r="J3030" s="340" t="s">
        <v>556</v>
      </c>
      <c r="K3030" s="2449" t="s">
        <v>5924</v>
      </c>
      <c r="L3030" s="2449"/>
      <c r="M3030" s="2449"/>
      <c r="N3030" s="2449"/>
      <c r="O3030" s="220" t="s">
        <v>867</v>
      </c>
      <c r="P3030" s="222" t="s">
        <v>5424</v>
      </c>
      <c r="Q3030" s="200"/>
    </row>
    <row r="3031" spans="1:17" x14ac:dyDescent="0.25">
      <c r="A3031" s="133"/>
      <c r="B3031" s="8"/>
      <c r="C3031" s="223"/>
      <c r="D3031" s="223"/>
      <c r="E3031" s="223"/>
      <c r="F3031" s="133"/>
      <c r="G3031" s="200"/>
      <c r="H3031" s="200"/>
      <c r="I3031" s="133"/>
      <c r="J3031" s="8"/>
      <c r="K3031" s="223"/>
      <c r="L3031" s="223"/>
      <c r="M3031" s="223"/>
      <c r="N3031" s="223"/>
      <c r="O3031" s="133"/>
      <c r="P3031" s="200"/>
      <c r="Q3031" s="200"/>
    </row>
    <row r="3032" spans="1:17" x14ac:dyDescent="0.25">
      <c r="A3032" s="133"/>
      <c r="B3032" s="8"/>
      <c r="C3032" s="8"/>
      <c r="D3032" s="8"/>
      <c r="E3032" s="8"/>
      <c r="F3032" s="8"/>
      <c r="G3032" s="8"/>
      <c r="H3032" s="200"/>
      <c r="I3032" s="133"/>
      <c r="J3032" s="8"/>
      <c r="K3032" s="8"/>
      <c r="L3032" s="8"/>
      <c r="M3032" s="8"/>
      <c r="N3032" s="8"/>
      <c r="O3032" s="8"/>
      <c r="P3032" s="8"/>
      <c r="Q3032" s="200"/>
    </row>
    <row r="3033" spans="1:17" ht="15.75" thickBot="1" x14ac:dyDescent="0.3">
      <c r="A3033" s="133"/>
      <c r="B3033" s="8"/>
      <c r="C3033" s="8"/>
      <c r="D3033" s="8"/>
      <c r="E3033" s="8"/>
      <c r="F3033" s="133"/>
      <c r="G3033" s="200"/>
      <c r="H3033" s="200"/>
      <c r="I3033" s="133"/>
      <c r="J3033" s="8"/>
      <c r="K3033" s="8"/>
      <c r="L3033" s="8"/>
      <c r="M3033" s="8"/>
      <c r="N3033" s="8"/>
      <c r="O3033" s="133"/>
      <c r="P3033" s="200"/>
      <c r="Q3033" s="200"/>
    </row>
    <row r="3034" spans="1:17" ht="15.75" thickBot="1" x14ac:dyDescent="0.3">
      <c r="A3034" s="133"/>
      <c r="B3034" s="224" t="s">
        <v>5403</v>
      </c>
      <c r="C3034" s="193" t="s">
        <v>867</v>
      </c>
      <c r="D3034" s="193" t="s">
        <v>6</v>
      </c>
      <c r="E3034" s="193" t="s">
        <v>5439</v>
      </c>
      <c r="F3034" s="193" t="s">
        <v>5405</v>
      </c>
      <c r="G3034" s="225" t="s">
        <v>868</v>
      </c>
      <c r="H3034" s="200"/>
      <c r="I3034" s="133"/>
      <c r="J3034" s="224" t="s">
        <v>5403</v>
      </c>
      <c r="K3034" s="193" t="s">
        <v>867</v>
      </c>
      <c r="L3034" s="193" t="s">
        <v>6</v>
      </c>
      <c r="M3034" s="193" t="s">
        <v>5439</v>
      </c>
      <c r="N3034" s="193" t="s">
        <v>5439</v>
      </c>
      <c r="O3034" s="193" t="s">
        <v>5405</v>
      </c>
      <c r="P3034" s="225" t="s">
        <v>868</v>
      </c>
      <c r="Q3034" s="200"/>
    </row>
    <row r="3035" spans="1:17" x14ac:dyDescent="0.25">
      <c r="A3035" s="133"/>
      <c r="B3035" s="195" t="s">
        <v>5440</v>
      </c>
      <c r="C3035" s="226" t="s">
        <v>5402</v>
      </c>
      <c r="D3035" s="226">
        <v>1</v>
      </c>
      <c r="E3035" s="263">
        <f>+H3073</f>
        <v>95962.295211228135</v>
      </c>
      <c r="F3035" s="226">
        <v>0.1</v>
      </c>
      <c r="G3035" s="229">
        <f>+E3035*F3035</f>
        <v>9596.2295211228138</v>
      </c>
      <c r="H3035" s="200"/>
      <c r="I3035" s="133"/>
      <c r="J3035" s="195" t="s">
        <v>5440</v>
      </c>
      <c r="K3035" s="226" t="s">
        <v>5402</v>
      </c>
      <c r="L3035" s="226">
        <v>1</v>
      </c>
      <c r="M3035" s="263">
        <f>+Q3073</f>
        <v>353720</v>
      </c>
      <c r="N3035" s="228">
        <f>+Q3073</f>
        <v>353720</v>
      </c>
      <c r="O3035" s="226">
        <v>0.1</v>
      </c>
      <c r="P3035" s="229">
        <f>+N3035*O3035</f>
        <v>35372</v>
      </c>
      <c r="Q3035" s="200"/>
    </row>
    <row r="3036" spans="1:17" x14ac:dyDescent="0.25">
      <c r="A3036" s="133"/>
      <c r="B3036" s="195"/>
      <c r="C3036" s="226"/>
      <c r="D3036" s="226"/>
      <c r="E3036" s="264"/>
      <c r="F3036" s="226"/>
      <c r="G3036" s="229"/>
      <c r="H3036" s="200"/>
      <c r="I3036" s="133"/>
      <c r="J3036" s="195"/>
      <c r="K3036" s="226"/>
      <c r="L3036" s="226"/>
      <c r="M3036" s="264"/>
      <c r="N3036" s="228"/>
      <c r="O3036" s="226"/>
      <c r="P3036" s="229"/>
      <c r="Q3036" s="200"/>
    </row>
    <row r="3037" spans="1:17" x14ac:dyDescent="0.25">
      <c r="A3037" s="133"/>
      <c r="B3037" s="195"/>
      <c r="C3037" s="226"/>
      <c r="D3037" s="226"/>
      <c r="E3037" s="176"/>
      <c r="F3037" s="226"/>
      <c r="G3037" s="229"/>
      <c r="H3037" s="200"/>
      <c r="I3037" s="133"/>
      <c r="J3037" s="195"/>
      <c r="K3037" s="226"/>
      <c r="L3037" s="226"/>
      <c r="M3037" s="176"/>
      <c r="N3037" s="176"/>
      <c r="O3037" s="226"/>
      <c r="P3037" s="229"/>
      <c r="Q3037" s="200"/>
    </row>
    <row r="3038" spans="1:17" x14ac:dyDescent="0.25">
      <c r="A3038" s="133"/>
      <c r="B3038" s="195"/>
      <c r="C3038" s="226"/>
      <c r="D3038" s="226"/>
      <c r="E3038" s="171"/>
      <c r="F3038" s="226"/>
      <c r="G3038" s="231"/>
      <c r="H3038" s="200"/>
      <c r="I3038" s="133"/>
      <c r="J3038" s="195"/>
      <c r="K3038" s="226"/>
      <c r="L3038" s="226"/>
      <c r="M3038" s="171"/>
      <c r="N3038" s="171"/>
      <c r="O3038" s="226"/>
      <c r="P3038" s="229"/>
      <c r="Q3038" s="200"/>
    </row>
    <row r="3039" spans="1:17" x14ac:dyDescent="0.25">
      <c r="A3039" s="133"/>
      <c r="B3039" s="195"/>
      <c r="C3039" s="226"/>
      <c r="D3039" s="232"/>
      <c r="E3039" s="232"/>
      <c r="F3039" s="226"/>
      <c r="G3039" s="229"/>
      <c r="H3039" s="200"/>
      <c r="I3039" s="133"/>
      <c r="J3039" s="195"/>
      <c r="K3039" s="226"/>
      <c r="L3039" s="232"/>
      <c r="M3039" s="232"/>
      <c r="N3039" s="232"/>
      <c r="O3039" s="226"/>
      <c r="P3039" s="229"/>
      <c r="Q3039" s="200"/>
    </row>
    <row r="3040" spans="1:17" ht="15.75" thickBot="1" x14ac:dyDescent="0.3">
      <c r="A3040" s="133"/>
      <c r="B3040" s="195"/>
      <c r="C3040" s="226"/>
      <c r="D3040" s="232"/>
      <c r="E3040" s="232"/>
      <c r="F3040" s="226"/>
      <c r="G3040" s="229"/>
      <c r="H3040" s="200"/>
      <c r="I3040" s="133"/>
      <c r="J3040" s="195"/>
      <c r="K3040" s="226"/>
      <c r="L3040" s="232"/>
      <c r="M3040" s="232"/>
      <c r="N3040" s="232"/>
      <c r="O3040" s="226"/>
      <c r="P3040" s="229"/>
      <c r="Q3040" s="200"/>
    </row>
    <row r="3041" spans="1:17" ht="15.75" thickBot="1" x14ac:dyDescent="0.3">
      <c r="A3041" s="133"/>
      <c r="B3041" s="233"/>
      <c r="C3041" s="234"/>
      <c r="D3041" s="234"/>
      <c r="E3041" s="234"/>
      <c r="F3041" s="235"/>
      <c r="G3041" s="236"/>
      <c r="H3041" s="237">
        <f>+SUM(G3035:G3041)</f>
        <v>9596.2295211228138</v>
      </c>
      <c r="I3041" s="133"/>
      <c r="J3041" s="233"/>
      <c r="K3041" s="234"/>
      <c r="L3041" s="234"/>
      <c r="M3041" s="234"/>
      <c r="N3041" s="234"/>
      <c r="O3041" s="235"/>
      <c r="P3041" s="236"/>
      <c r="Q3041" s="237">
        <f>+SUM(P3035:P3041)</f>
        <v>35372</v>
      </c>
    </row>
    <row r="3042" spans="1:17" ht="15.75" thickBot="1" x14ac:dyDescent="0.3">
      <c r="A3042" s="133"/>
      <c r="B3042" s="238"/>
      <c r="C3042" s="238"/>
      <c r="D3042" s="238"/>
      <c r="E3042" s="238"/>
      <c r="F3042" s="239"/>
      <c r="G3042" s="240"/>
      <c r="H3042" s="241"/>
      <c r="I3042" s="133"/>
      <c r="J3042" s="238"/>
      <c r="K3042" s="238"/>
      <c r="L3042" s="238"/>
      <c r="M3042" s="238"/>
      <c r="N3042" s="238"/>
      <c r="O3042" s="239"/>
      <c r="P3042" s="240"/>
      <c r="Q3042" s="241"/>
    </row>
    <row r="3043" spans="1:17" ht="15.75" thickBot="1" x14ac:dyDescent="0.3">
      <c r="A3043" s="133"/>
      <c r="B3043" s="224" t="s">
        <v>5408</v>
      </c>
      <c r="C3043" s="193" t="s">
        <v>867</v>
      </c>
      <c r="D3043" s="193" t="s">
        <v>6</v>
      </c>
      <c r="E3043" s="193" t="s">
        <v>870</v>
      </c>
      <c r="F3043" s="193" t="s">
        <v>5409</v>
      </c>
      <c r="G3043" s="225" t="s">
        <v>868</v>
      </c>
      <c r="H3043" s="200"/>
      <c r="I3043" s="133"/>
      <c r="J3043" s="224" t="s">
        <v>5408</v>
      </c>
      <c r="K3043" s="193" t="s">
        <v>867</v>
      </c>
      <c r="L3043" s="193" t="s">
        <v>6</v>
      </c>
      <c r="M3043" s="193" t="s">
        <v>870</v>
      </c>
      <c r="N3043" s="193" t="s">
        <v>870</v>
      </c>
      <c r="O3043" s="193" t="s">
        <v>5409</v>
      </c>
      <c r="P3043" s="225" t="s">
        <v>868</v>
      </c>
      <c r="Q3043" s="200"/>
    </row>
    <row r="3044" spans="1:17" x14ac:dyDescent="0.25">
      <c r="A3044" s="133"/>
      <c r="B3044" s="295" t="s">
        <v>6124</v>
      </c>
      <c r="C3044" s="202" t="s">
        <v>5424</v>
      </c>
      <c r="D3044" s="226"/>
      <c r="E3044" s="244"/>
      <c r="F3044" s="169"/>
      <c r="G3044" s="178">
        <f>+D3044*E3044*(1+F3044)</f>
        <v>0</v>
      </c>
      <c r="H3044" s="200"/>
      <c r="I3044" s="133"/>
      <c r="J3044" s="267"/>
      <c r="K3044" s="202"/>
      <c r="L3044" s="226"/>
      <c r="M3044" s="244"/>
      <c r="N3044" s="228"/>
      <c r="O3044" s="169"/>
      <c r="P3044" s="178"/>
      <c r="Q3044" s="200"/>
    </row>
    <row r="3045" spans="1:17" x14ac:dyDescent="0.25">
      <c r="A3045" s="133"/>
      <c r="B3045" s="450" t="s">
        <v>6131</v>
      </c>
      <c r="C3045" s="202" t="s">
        <v>5424</v>
      </c>
      <c r="D3045" s="202"/>
      <c r="E3045" s="257"/>
      <c r="F3045" s="169"/>
      <c r="G3045" s="178">
        <f>+D3045*E3045*(1+F3045)</f>
        <v>0</v>
      </c>
      <c r="H3045" s="200"/>
      <c r="I3045" s="133"/>
      <c r="J3045" s="268"/>
      <c r="K3045" s="202"/>
      <c r="L3045" s="202"/>
      <c r="M3045" s="257"/>
      <c r="N3045" s="228"/>
      <c r="O3045" s="169"/>
      <c r="P3045" s="178"/>
      <c r="Q3045" s="200"/>
    </row>
    <row r="3046" spans="1:17" x14ac:dyDescent="0.25">
      <c r="A3046" s="133"/>
      <c r="B3046" s="247"/>
      <c r="C3046" s="226"/>
      <c r="D3046" s="226"/>
      <c r="E3046" s="244"/>
      <c r="F3046" s="169"/>
      <c r="G3046" s="178">
        <f>+D3046*E3046*(1+F3046)</f>
        <v>0</v>
      </c>
      <c r="H3046" s="200"/>
      <c r="I3046" s="133"/>
      <c r="J3046" s="268"/>
      <c r="K3046" s="226"/>
      <c r="L3046" s="226"/>
      <c r="M3046" s="244"/>
      <c r="N3046" s="228"/>
      <c r="O3046" s="169"/>
      <c r="P3046" s="178"/>
      <c r="Q3046" s="200"/>
    </row>
    <row r="3047" spans="1:17" x14ac:dyDescent="0.25">
      <c r="A3047" s="133"/>
      <c r="B3047" s="194"/>
      <c r="C3047" s="226"/>
      <c r="D3047" s="226"/>
      <c r="E3047" s="244"/>
      <c r="F3047" s="169"/>
      <c r="G3047" s="178">
        <f>+D3047*E3047*(1+F3047)</f>
        <v>0</v>
      </c>
      <c r="H3047" s="200"/>
      <c r="I3047" s="133"/>
      <c r="J3047" s="268"/>
      <c r="K3047" s="226"/>
      <c r="L3047" s="226"/>
      <c r="M3047" s="244"/>
      <c r="N3047" s="176"/>
      <c r="O3047" s="169"/>
      <c r="P3047" s="178"/>
      <c r="Q3047" s="200"/>
    </row>
    <row r="3048" spans="1:17" x14ac:dyDescent="0.25">
      <c r="A3048" s="133"/>
      <c r="B3048" s="195"/>
      <c r="C3048" s="226"/>
      <c r="D3048" s="226"/>
      <c r="E3048" s="171"/>
      <c r="F3048" s="169"/>
      <c r="G3048" s="178"/>
      <c r="H3048" s="200"/>
      <c r="I3048" s="133"/>
      <c r="J3048" s="195"/>
      <c r="K3048" s="226"/>
      <c r="L3048" s="226"/>
      <c r="M3048" s="171"/>
      <c r="N3048" s="176"/>
      <c r="O3048" s="169"/>
      <c r="P3048" s="178"/>
      <c r="Q3048" s="200"/>
    </row>
    <row r="3049" spans="1:17" x14ac:dyDescent="0.25">
      <c r="A3049" s="133"/>
      <c r="B3049" s="194"/>
      <c r="C3049" s="202"/>
      <c r="D3049" s="202"/>
      <c r="E3049" s="171"/>
      <c r="F3049" s="169"/>
      <c r="G3049" s="178"/>
      <c r="H3049" s="200"/>
      <c r="I3049" s="133"/>
      <c r="J3049" s="194"/>
      <c r="K3049" s="202"/>
      <c r="L3049" s="202"/>
      <c r="M3049" s="171"/>
      <c r="N3049" s="176"/>
      <c r="O3049" s="169"/>
      <c r="P3049" s="178"/>
      <c r="Q3049" s="200"/>
    </row>
    <row r="3050" spans="1:17" x14ac:dyDescent="0.25">
      <c r="A3050" s="133"/>
      <c r="B3050" s="195"/>
      <c r="C3050" s="226"/>
      <c r="D3050" s="226"/>
      <c r="E3050" s="171"/>
      <c r="F3050" s="169"/>
      <c r="G3050" s="178"/>
      <c r="H3050" s="200"/>
      <c r="I3050" s="133"/>
      <c r="J3050" s="195"/>
      <c r="K3050" s="226"/>
      <c r="L3050" s="226"/>
      <c r="M3050" s="171"/>
      <c r="N3050" s="176"/>
      <c r="O3050" s="169"/>
      <c r="P3050" s="178"/>
      <c r="Q3050" s="200"/>
    </row>
    <row r="3051" spans="1:17" x14ac:dyDescent="0.25">
      <c r="A3051" s="133"/>
      <c r="B3051" s="195"/>
      <c r="C3051" s="226"/>
      <c r="D3051" s="226"/>
      <c r="E3051" s="171"/>
      <c r="F3051" s="169"/>
      <c r="G3051" s="178"/>
      <c r="H3051" s="200"/>
      <c r="I3051" s="133"/>
      <c r="J3051" s="195"/>
      <c r="K3051" s="226"/>
      <c r="L3051" s="226"/>
      <c r="M3051" s="171"/>
      <c r="N3051" s="176"/>
      <c r="O3051" s="169"/>
      <c r="P3051" s="178"/>
      <c r="Q3051" s="200"/>
    </row>
    <row r="3052" spans="1:17" x14ac:dyDescent="0.25">
      <c r="A3052" s="133"/>
      <c r="B3052" s="195"/>
      <c r="C3052" s="232"/>
      <c r="D3052" s="232"/>
      <c r="E3052" s="232"/>
      <c r="F3052" s="226"/>
      <c r="G3052" s="229"/>
      <c r="H3052" s="200"/>
      <c r="I3052" s="133"/>
      <c r="J3052" s="195"/>
      <c r="K3052" s="232"/>
      <c r="L3052" s="232"/>
      <c r="M3052" s="232"/>
      <c r="N3052" s="232"/>
      <c r="O3052" s="226"/>
      <c r="P3052" s="229"/>
      <c r="Q3052" s="200"/>
    </row>
    <row r="3053" spans="1:17" x14ac:dyDescent="0.25">
      <c r="A3053" s="133"/>
      <c r="B3053" s="195"/>
      <c r="C3053" s="232"/>
      <c r="D3053" s="232"/>
      <c r="E3053" s="232"/>
      <c r="F3053" s="226"/>
      <c r="G3053" s="229"/>
      <c r="H3053" s="200"/>
      <c r="I3053" s="133"/>
      <c r="J3053" s="195"/>
      <c r="K3053" s="232"/>
      <c r="L3053" s="232"/>
      <c r="M3053" s="232"/>
      <c r="N3053" s="232"/>
      <c r="O3053" s="226"/>
      <c r="P3053" s="229"/>
      <c r="Q3053" s="200"/>
    </row>
    <row r="3054" spans="1:17" x14ac:dyDescent="0.25">
      <c r="A3054" s="133"/>
      <c r="B3054" s="195"/>
      <c r="C3054" s="232"/>
      <c r="D3054" s="232"/>
      <c r="E3054" s="232"/>
      <c r="F3054" s="226"/>
      <c r="G3054" s="229"/>
      <c r="H3054" s="200"/>
      <c r="I3054" s="133"/>
      <c r="J3054" s="195"/>
      <c r="K3054" s="232"/>
      <c r="L3054" s="232"/>
      <c r="M3054" s="232"/>
      <c r="N3054" s="232"/>
      <c r="O3054" s="226"/>
      <c r="P3054" s="229"/>
      <c r="Q3054" s="200"/>
    </row>
    <row r="3055" spans="1:17" ht="15.75" thickBot="1" x14ac:dyDescent="0.3">
      <c r="A3055" s="133"/>
      <c r="B3055" s="195"/>
      <c r="C3055" s="232"/>
      <c r="D3055" s="232"/>
      <c r="E3055" s="232"/>
      <c r="F3055" s="226"/>
      <c r="G3055" s="229"/>
      <c r="H3055" s="200"/>
      <c r="I3055" s="133"/>
      <c r="J3055" s="195"/>
      <c r="K3055" s="232"/>
      <c r="L3055" s="232"/>
      <c r="M3055" s="232"/>
      <c r="N3055" s="232"/>
      <c r="O3055" s="226"/>
      <c r="P3055" s="229"/>
      <c r="Q3055" s="200"/>
    </row>
    <row r="3056" spans="1:17" ht="15.75" thickBot="1" x14ac:dyDescent="0.3">
      <c r="A3056" s="133"/>
      <c r="B3056" s="233"/>
      <c r="C3056" s="234"/>
      <c r="D3056" s="234"/>
      <c r="E3056" s="234"/>
      <c r="F3056" s="235"/>
      <c r="G3056" s="236"/>
      <c r="H3056" s="256">
        <f>+SUM(G3044:G3056)</f>
        <v>0</v>
      </c>
      <c r="I3056" s="133"/>
      <c r="J3056" s="233"/>
      <c r="K3056" s="234"/>
      <c r="L3056" s="234"/>
      <c r="M3056" s="234"/>
      <c r="N3056" s="234"/>
      <c r="O3056" s="235"/>
      <c r="P3056" s="236"/>
      <c r="Q3056" s="256">
        <f>+SUM(P3044:P3056)</f>
        <v>0</v>
      </c>
    </row>
    <row r="3057" spans="1:17" ht="15.75" thickBot="1" x14ac:dyDescent="0.3">
      <c r="A3057" s="133"/>
      <c r="B3057" s="238"/>
      <c r="C3057" s="238"/>
      <c r="D3057" s="238"/>
      <c r="E3057" s="238"/>
      <c r="F3057" s="239"/>
      <c r="G3057" s="240"/>
      <c r="H3057" s="241"/>
      <c r="I3057" s="133"/>
      <c r="J3057" s="238"/>
      <c r="K3057" s="238"/>
      <c r="L3057" s="238"/>
      <c r="M3057" s="238"/>
      <c r="N3057" s="238"/>
      <c r="O3057" s="239"/>
      <c r="P3057" s="240"/>
      <c r="Q3057" s="241"/>
    </row>
    <row r="3058" spans="1:17" ht="15.75" thickBot="1" x14ac:dyDescent="0.3">
      <c r="A3058" s="133"/>
      <c r="B3058" s="224" t="s">
        <v>5410</v>
      </c>
      <c r="C3058" s="193" t="s">
        <v>867</v>
      </c>
      <c r="D3058" s="193" t="s">
        <v>6</v>
      </c>
      <c r="E3058" s="193" t="s">
        <v>870</v>
      </c>
      <c r="F3058" s="193" t="s">
        <v>5411</v>
      </c>
      <c r="G3058" s="225" t="s">
        <v>868</v>
      </c>
      <c r="H3058" s="200"/>
      <c r="I3058" s="133"/>
      <c r="J3058" s="224" t="s">
        <v>5410</v>
      </c>
      <c r="K3058" s="193" t="s">
        <v>867</v>
      </c>
      <c r="L3058" s="193" t="s">
        <v>6</v>
      </c>
      <c r="M3058" s="193" t="s">
        <v>870</v>
      </c>
      <c r="N3058" s="193" t="s">
        <v>870</v>
      </c>
      <c r="O3058" s="193" t="s">
        <v>5411</v>
      </c>
      <c r="P3058" s="225" t="s">
        <v>868</v>
      </c>
      <c r="Q3058" s="200"/>
    </row>
    <row r="3059" spans="1:17" x14ac:dyDescent="0.25">
      <c r="A3059" s="133"/>
      <c r="B3059" s="245"/>
      <c r="C3059" s="202"/>
      <c r="D3059" s="202"/>
      <c r="E3059" s="175"/>
      <c r="F3059" s="202"/>
      <c r="G3059" s="203"/>
      <c r="H3059" s="246"/>
      <c r="I3059" s="133"/>
      <c r="J3059" s="242"/>
      <c r="K3059" s="202"/>
      <c r="L3059" s="202"/>
      <c r="M3059" s="175"/>
      <c r="N3059" s="175"/>
      <c r="O3059" s="202"/>
      <c r="P3059" s="203"/>
      <c r="Q3059" s="246"/>
    </row>
    <row r="3060" spans="1:17" x14ac:dyDescent="0.25">
      <c r="A3060" s="133"/>
      <c r="B3060" s="247"/>
      <c r="C3060" s="248"/>
      <c r="D3060" s="248"/>
      <c r="E3060" s="248"/>
      <c r="F3060" s="202"/>
      <c r="G3060" s="178"/>
      <c r="H3060" s="200"/>
      <c r="I3060" s="133"/>
      <c r="J3060" s="243"/>
      <c r="K3060" s="248"/>
      <c r="L3060" s="248"/>
      <c r="M3060" s="248"/>
      <c r="N3060" s="248"/>
      <c r="O3060" s="202"/>
      <c r="P3060" s="178"/>
      <c r="Q3060" s="200"/>
    </row>
    <row r="3061" spans="1:17" x14ac:dyDescent="0.25">
      <c r="A3061" s="133"/>
      <c r="B3061" s="247"/>
      <c r="C3061" s="232"/>
      <c r="D3061" s="232"/>
      <c r="E3061" s="232"/>
      <c r="F3061" s="226"/>
      <c r="G3061" s="229"/>
      <c r="H3061" s="200"/>
      <c r="I3061" s="133"/>
      <c r="J3061" s="243"/>
      <c r="K3061" s="232"/>
      <c r="L3061" s="232"/>
      <c r="M3061" s="232"/>
      <c r="N3061" s="232"/>
      <c r="O3061" s="226"/>
      <c r="P3061" s="229"/>
      <c r="Q3061" s="200"/>
    </row>
    <row r="3062" spans="1:17" x14ac:dyDescent="0.25">
      <c r="A3062" s="133"/>
      <c r="B3062" s="194"/>
      <c r="C3062" s="232"/>
      <c r="D3062" s="232"/>
      <c r="E3062" s="232"/>
      <c r="F3062" s="226"/>
      <c r="G3062" s="229"/>
      <c r="H3062" s="200"/>
      <c r="I3062" s="133"/>
      <c r="J3062" s="194"/>
      <c r="K3062" s="232"/>
      <c r="L3062" s="232"/>
      <c r="M3062" s="232"/>
      <c r="N3062" s="232"/>
      <c r="O3062" s="226"/>
      <c r="P3062" s="229"/>
      <c r="Q3062" s="200"/>
    </row>
    <row r="3063" spans="1:17" ht="15.75" thickBot="1" x14ac:dyDescent="0.3">
      <c r="A3063" s="133"/>
      <c r="B3063" s="195"/>
      <c r="C3063" s="232"/>
      <c r="D3063" s="232"/>
      <c r="E3063" s="232"/>
      <c r="F3063" s="226"/>
      <c r="G3063" s="229"/>
      <c r="H3063" s="200"/>
      <c r="I3063" s="133"/>
      <c r="J3063" s="195"/>
      <c r="K3063" s="232"/>
      <c r="L3063" s="232"/>
      <c r="M3063" s="232"/>
      <c r="N3063" s="232"/>
      <c r="O3063" s="226"/>
      <c r="P3063" s="229"/>
      <c r="Q3063" s="200"/>
    </row>
    <row r="3064" spans="1:17" ht="15.75" thickBot="1" x14ac:dyDescent="0.3">
      <c r="A3064" s="133"/>
      <c r="B3064" s="233"/>
      <c r="C3064" s="234"/>
      <c r="D3064" s="234"/>
      <c r="E3064" s="234"/>
      <c r="F3064" s="235"/>
      <c r="G3064" s="236"/>
      <c r="H3064" s="237">
        <f>+SUM(G3059:G3064)</f>
        <v>0</v>
      </c>
      <c r="I3064" s="133"/>
      <c r="J3064" s="233"/>
      <c r="K3064" s="234"/>
      <c r="L3064" s="234"/>
      <c r="M3064" s="234"/>
      <c r="N3064" s="234"/>
      <c r="O3064" s="235"/>
      <c r="P3064" s="236"/>
      <c r="Q3064" s="237">
        <f>+SUM(P3059:P3064)</f>
        <v>0</v>
      </c>
    </row>
    <row r="3065" spans="1:17" ht="15.75" thickBot="1" x14ac:dyDescent="0.3">
      <c r="A3065" s="133"/>
      <c r="B3065" s="238"/>
      <c r="C3065" s="238"/>
      <c r="D3065" s="238"/>
      <c r="E3065" s="238"/>
      <c r="F3065" s="249"/>
      <c r="G3065" s="250"/>
      <c r="H3065" s="241"/>
      <c r="I3065" s="133"/>
      <c r="J3065" s="238"/>
      <c r="K3065" s="238"/>
      <c r="L3065" s="238"/>
      <c r="M3065" s="238"/>
      <c r="N3065" s="238"/>
      <c r="O3065" s="249"/>
      <c r="P3065" s="250"/>
      <c r="Q3065" s="241"/>
    </row>
    <row r="3066" spans="1:17" ht="15.75" thickBot="1" x14ac:dyDescent="0.3">
      <c r="A3066" s="133"/>
      <c r="B3066" s="224" t="s">
        <v>5412</v>
      </c>
      <c r="C3066" s="193" t="s">
        <v>5420</v>
      </c>
      <c r="D3066" s="193" t="s">
        <v>5421</v>
      </c>
      <c r="E3066" s="193" t="s">
        <v>5413</v>
      </c>
      <c r="F3066" s="193" t="s">
        <v>5405</v>
      </c>
      <c r="G3066" s="225" t="s">
        <v>868</v>
      </c>
      <c r="H3066" s="200"/>
      <c r="I3066" s="133"/>
      <c r="J3066" s="224" t="s">
        <v>5412</v>
      </c>
      <c r="K3066" s="193" t="s">
        <v>5420</v>
      </c>
      <c r="L3066" s="193" t="s">
        <v>5421</v>
      </c>
      <c r="M3066" s="193" t="s">
        <v>5413</v>
      </c>
      <c r="N3066" s="193" t="s">
        <v>5413</v>
      </c>
      <c r="O3066" s="193" t="s">
        <v>5405</v>
      </c>
      <c r="P3066" s="225" t="s">
        <v>868</v>
      </c>
      <c r="Q3066" s="200"/>
    </row>
    <row r="3067" spans="1:17" x14ac:dyDescent="0.25">
      <c r="A3067" s="133"/>
      <c r="B3067" s="194" t="s">
        <v>5948</v>
      </c>
      <c r="C3067" s="345">
        <v>70000</v>
      </c>
      <c r="D3067" s="176">
        <f>+C3067*0.85</f>
        <v>59500</v>
      </c>
      <c r="E3067" s="176">
        <f>+C3067+D3067</f>
        <v>129500</v>
      </c>
      <c r="F3067" s="204">
        <v>8.1530000000000005</v>
      </c>
      <c r="G3067" s="178">
        <f>+E3067/F3067</f>
        <v>15883.723782656691</v>
      </c>
      <c r="H3067" s="200"/>
      <c r="I3067" s="133"/>
      <c r="J3067" s="194" t="s">
        <v>5948</v>
      </c>
      <c r="K3067" s="345">
        <v>70000</v>
      </c>
      <c r="L3067" s="176">
        <f>+K3067*0.85</f>
        <v>59500</v>
      </c>
      <c r="M3067" s="176">
        <f>+K3067+L3067</f>
        <v>129500</v>
      </c>
      <c r="N3067" s="175">
        <f>+K3067+L3067</f>
        <v>129500</v>
      </c>
      <c r="O3067" s="204">
        <v>1</v>
      </c>
      <c r="P3067" s="178">
        <f>+N3067/O3067</f>
        <v>129500</v>
      </c>
      <c r="Q3067" s="200"/>
    </row>
    <row r="3068" spans="1:17" x14ac:dyDescent="0.25">
      <c r="A3068" s="133"/>
      <c r="B3068" s="194" t="s">
        <v>5651</v>
      </c>
      <c r="C3068" s="345">
        <v>40000</v>
      </c>
      <c r="D3068" s="176">
        <f>+C3068*0.85</f>
        <v>34000</v>
      </c>
      <c r="E3068" s="176">
        <f>+C3068+D3068</f>
        <v>74000</v>
      </c>
      <c r="F3068" s="202">
        <v>1.4</v>
      </c>
      <c r="G3068" s="178">
        <f>+E3068/F3068</f>
        <v>52857.142857142862</v>
      </c>
      <c r="H3068" s="200"/>
      <c r="I3068" s="133"/>
      <c r="J3068" s="194" t="s">
        <v>5651</v>
      </c>
      <c r="K3068" s="345">
        <v>40000</v>
      </c>
      <c r="L3068" s="176">
        <f>+K3068*0.85</f>
        <v>34000</v>
      </c>
      <c r="M3068" s="176">
        <f>+K3068+L3068</f>
        <v>74000</v>
      </c>
      <c r="N3068" s="175">
        <f>+K3068+L3068</f>
        <v>74000</v>
      </c>
      <c r="O3068" s="202">
        <v>0.5</v>
      </c>
      <c r="P3068" s="178">
        <f>+N3068/O3068</f>
        <v>148000</v>
      </c>
      <c r="Q3068" s="200"/>
    </row>
    <row r="3069" spans="1:17" x14ac:dyDescent="0.25">
      <c r="A3069" s="133"/>
      <c r="B3069" s="195" t="s">
        <v>5635</v>
      </c>
      <c r="C3069" s="345">
        <v>20600</v>
      </c>
      <c r="D3069" s="176">
        <f>+C3069*0.85</f>
        <v>17510</v>
      </c>
      <c r="E3069" s="176">
        <f>+C3069+D3069</f>
        <v>38110</v>
      </c>
      <c r="F3069" s="226">
        <v>1.4</v>
      </c>
      <c r="G3069" s="178">
        <f>+E3069/F3069</f>
        <v>27221.428571428572</v>
      </c>
      <c r="H3069" s="200"/>
      <c r="I3069" s="133"/>
      <c r="J3069" s="195" t="s">
        <v>5635</v>
      </c>
      <c r="K3069" s="345">
        <v>20600</v>
      </c>
      <c r="L3069" s="176">
        <f>+K3069*0.85</f>
        <v>17510</v>
      </c>
      <c r="M3069" s="176">
        <f>+K3069+L3069</f>
        <v>38110</v>
      </c>
      <c r="N3069" s="175">
        <f>+K3069+L3069</f>
        <v>38110</v>
      </c>
      <c r="O3069" s="226">
        <v>0.5</v>
      </c>
      <c r="P3069" s="178">
        <f>+N3069/O3069</f>
        <v>76220</v>
      </c>
      <c r="Q3069" s="200"/>
    </row>
    <row r="3070" spans="1:17" x14ac:dyDescent="0.25">
      <c r="A3070" s="133"/>
      <c r="B3070" s="195"/>
      <c r="C3070" s="171"/>
      <c r="D3070" s="176"/>
      <c r="E3070" s="176"/>
      <c r="F3070" s="226"/>
      <c r="G3070" s="178"/>
      <c r="H3070" s="200"/>
      <c r="I3070" s="133"/>
      <c r="J3070" s="195"/>
      <c r="K3070" s="171"/>
      <c r="L3070" s="176"/>
      <c r="M3070" s="176"/>
      <c r="N3070" s="176"/>
      <c r="O3070" s="226"/>
      <c r="P3070" s="178"/>
      <c r="Q3070" s="200"/>
    </row>
    <row r="3071" spans="1:17" x14ac:dyDescent="0.25">
      <c r="A3071" s="133"/>
      <c r="B3071" s="195"/>
      <c r="C3071" s="232"/>
      <c r="D3071" s="232"/>
      <c r="E3071" s="232"/>
      <c r="F3071" s="226"/>
      <c r="G3071" s="229"/>
      <c r="H3071" s="200"/>
      <c r="I3071" s="133"/>
      <c r="J3071" s="195"/>
      <c r="K3071" s="232"/>
      <c r="L3071" s="232"/>
      <c r="M3071" s="232"/>
      <c r="N3071" s="232"/>
      <c r="O3071" s="226"/>
      <c r="P3071" s="229"/>
      <c r="Q3071" s="200"/>
    </row>
    <row r="3072" spans="1:17" ht="15.75" thickBot="1" x14ac:dyDescent="0.3">
      <c r="A3072" s="133"/>
      <c r="B3072" s="195"/>
      <c r="C3072" s="232"/>
      <c r="D3072" s="232"/>
      <c r="E3072" s="232"/>
      <c r="F3072" s="226"/>
      <c r="G3072" s="229"/>
      <c r="H3072" s="200"/>
      <c r="I3072" s="133"/>
      <c r="J3072" s="195"/>
      <c r="K3072" s="232"/>
      <c r="L3072" s="232"/>
      <c r="M3072" s="232"/>
      <c r="N3072" s="232"/>
      <c r="O3072" s="226"/>
      <c r="P3072" s="229"/>
      <c r="Q3072" s="200"/>
    </row>
    <row r="3073" spans="1:17" ht="15.75" thickBot="1" x14ac:dyDescent="0.3">
      <c r="A3073" s="133"/>
      <c r="B3073" s="251"/>
      <c r="C3073" s="252"/>
      <c r="D3073" s="252"/>
      <c r="E3073" s="252"/>
      <c r="F3073" s="253"/>
      <c r="G3073" s="254"/>
      <c r="H3073" s="256">
        <f>+SUM(G3067:G3073)</f>
        <v>95962.295211228135</v>
      </c>
      <c r="I3073" s="133"/>
      <c r="J3073" s="251"/>
      <c r="K3073" s="252"/>
      <c r="L3073" s="252"/>
      <c r="M3073" s="252"/>
      <c r="N3073" s="252"/>
      <c r="O3073" s="253"/>
      <c r="P3073" s="254"/>
      <c r="Q3073" s="256">
        <f>+SUM(P3067:P3073)</f>
        <v>353720</v>
      </c>
    </row>
    <row r="3074" spans="1:17" ht="15.75" thickBot="1" x14ac:dyDescent="0.3">
      <c r="A3074" s="133"/>
      <c r="B3074" s="8"/>
      <c r="C3074" s="8"/>
      <c r="D3074" s="8"/>
      <c r="E3074" s="8"/>
      <c r="F3074" s="133"/>
      <c r="G3074" s="200"/>
      <c r="H3074" s="200"/>
      <c r="I3074" s="133"/>
      <c r="J3074" s="8"/>
      <c r="K3074" s="8"/>
      <c r="L3074" s="8"/>
      <c r="M3074" s="8"/>
      <c r="N3074" s="8"/>
      <c r="O3074" s="133"/>
      <c r="P3074" s="200"/>
      <c r="Q3074" s="200"/>
    </row>
    <row r="3075" spans="1:17" ht="15.75" thickBot="1" x14ac:dyDescent="0.3">
      <c r="A3075" s="133"/>
      <c r="B3075" s="8"/>
      <c r="C3075" s="8"/>
      <c r="D3075" s="8"/>
      <c r="E3075" s="223" t="s">
        <v>5415</v>
      </c>
      <c r="F3075" s="133"/>
      <c r="G3075" s="200"/>
      <c r="H3075" s="256">
        <f>ROUND(+H3073+H3064+H3056+H3041,0)</f>
        <v>105559</v>
      </c>
      <c r="I3075" s="133"/>
      <c r="J3075" s="8"/>
      <c r="K3075" s="8"/>
      <c r="L3075" s="8"/>
      <c r="M3075" s="223" t="s">
        <v>5415</v>
      </c>
      <c r="N3075" s="223"/>
      <c r="O3075" s="133"/>
      <c r="P3075" s="200"/>
      <c r="Q3075" s="256">
        <f>ROUND(+Q3073+Q3064+Q3056+Q3041,0)</f>
        <v>389092</v>
      </c>
    </row>
    <row r="3076" spans="1:17" x14ac:dyDescent="0.25">
      <c r="A3076" s="265"/>
      <c r="B3076" s="265"/>
      <c r="C3076" s="265"/>
      <c r="D3076" s="265"/>
      <c r="E3076" s="265"/>
      <c r="F3076" s="265"/>
      <c r="G3076" s="265"/>
      <c r="H3076" s="265"/>
    </row>
    <row r="3077" spans="1:17" x14ac:dyDescent="0.25">
      <c r="A3077" s="265"/>
      <c r="B3077" s="265"/>
      <c r="C3077" s="265"/>
      <c r="D3077" s="265"/>
      <c r="E3077" s="265"/>
      <c r="F3077" s="265"/>
      <c r="G3077" s="265"/>
      <c r="H3077" s="265"/>
    </row>
    <row r="3078" spans="1:17" x14ac:dyDescent="0.25">
      <c r="A3078" s="265"/>
      <c r="B3078" s="265"/>
      <c r="C3078" s="265"/>
      <c r="D3078" s="265"/>
      <c r="E3078" s="265"/>
      <c r="F3078" s="265"/>
      <c r="G3078" s="265"/>
      <c r="H3078" s="265"/>
    </row>
    <row r="3079" spans="1:17" x14ac:dyDescent="0.25">
      <c r="A3079" s="265"/>
      <c r="B3079" s="265"/>
      <c r="C3079" s="265"/>
      <c r="D3079" s="265"/>
      <c r="E3079" s="265"/>
      <c r="F3079" s="265"/>
      <c r="G3079" s="265"/>
      <c r="H3079" s="265"/>
    </row>
    <row r="3080" spans="1:17" ht="18.75" x14ac:dyDescent="0.25">
      <c r="A3080" s="133"/>
      <c r="B3080" s="2506" t="s">
        <v>5400</v>
      </c>
      <c r="C3080" s="2506"/>
      <c r="D3080" s="2506"/>
      <c r="E3080" s="2506"/>
      <c r="F3080" s="2506"/>
      <c r="G3080" s="2506"/>
      <c r="H3080" s="8"/>
      <c r="I3080" s="133"/>
      <c r="J3080" s="2506" t="s">
        <v>5400</v>
      </c>
      <c r="K3080" s="2506"/>
      <c r="L3080" s="2506"/>
      <c r="M3080" s="2506"/>
      <c r="N3080" s="2506"/>
      <c r="O3080" s="2506"/>
      <c r="P3080" s="2506"/>
      <c r="Q3080" s="8"/>
    </row>
    <row r="3081" spans="1:17" x14ac:dyDescent="0.25">
      <c r="A3081" s="133"/>
      <c r="B3081" s="8"/>
      <c r="C3081" s="8"/>
      <c r="D3081" s="8"/>
      <c r="E3081" s="8"/>
      <c r="F3081" s="133"/>
      <c r="G3081" s="200"/>
      <c r="H3081" s="200"/>
      <c r="I3081" s="133"/>
      <c r="J3081" s="8"/>
      <c r="K3081" s="8"/>
      <c r="L3081" s="8"/>
      <c r="M3081" s="8"/>
      <c r="N3081" s="8"/>
      <c r="O3081" s="133"/>
      <c r="P3081" s="200"/>
      <c r="Q3081" s="200"/>
    </row>
    <row r="3082" spans="1:17" x14ac:dyDescent="0.25">
      <c r="A3082" s="133"/>
      <c r="B3082" s="8"/>
      <c r="C3082" s="8"/>
      <c r="D3082" s="8"/>
      <c r="E3082" s="8"/>
      <c r="F3082" s="133"/>
      <c r="G3082" s="200"/>
      <c r="H3082" s="200"/>
      <c r="I3082" s="133"/>
      <c r="J3082" s="8"/>
      <c r="K3082" s="8"/>
      <c r="L3082" s="8"/>
      <c r="M3082" s="8"/>
      <c r="N3082" s="8"/>
      <c r="O3082" s="133"/>
      <c r="P3082" s="200"/>
      <c r="Q3082" s="200"/>
    </row>
    <row r="3083" spans="1:17" x14ac:dyDescent="0.25">
      <c r="A3083" s="133"/>
      <c r="B3083" s="8"/>
      <c r="C3083" s="8"/>
      <c r="D3083" s="8"/>
      <c r="E3083" s="8"/>
      <c r="F3083" s="133"/>
      <c r="G3083" s="200"/>
      <c r="H3083" s="200"/>
      <c r="I3083" s="133"/>
      <c r="J3083" s="8"/>
      <c r="K3083" s="8"/>
      <c r="L3083" s="8"/>
      <c r="M3083" s="8"/>
      <c r="N3083" s="8"/>
      <c r="O3083" s="133"/>
      <c r="P3083" s="200"/>
      <c r="Q3083" s="200"/>
    </row>
    <row r="3084" spans="1:17" ht="15" customHeight="1" x14ac:dyDescent="0.25">
      <c r="A3084" s="220" t="s">
        <v>5482</v>
      </c>
      <c r="B3084" s="221"/>
      <c r="C3084" s="2449" t="s">
        <v>5538</v>
      </c>
      <c r="D3084" s="2449"/>
      <c r="E3084" s="2449"/>
      <c r="F3084" s="220" t="s">
        <v>867</v>
      </c>
      <c r="G3084" s="222" t="s">
        <v>5418</v>
      </c>
      <c r="H3084" s="200"/>
      <c r="I3084" s="220" t="s">
        <v>5482</v>
      </c>
      <c r="J3084" s="221"/>
      <c r="K3084" s="2449" t="s">
        <v>5925</v>
      </c>
      <c r="L3084" s="2449"/>
      <c r="M3084" s="2449"/>
      <c r="N3084" s="2449"/>
      <c r="O3084" s="220" t="s">
        <v>867</v>
      </c>
      <c r="P3084" s="222" t="s">
        <v>5424</v>
      </c>
      <c r="Q3084" s="200"/>
    </row>
    <row r="3085" spans="1:17" x14ac:dyDescent="0.25">
      <c r="A3085" s="133"/>
      <c r="B3085" s="8"/>
      <c r="C3085" s="223"/>
      <c r="D3085" s="223"/>
      <c r="E3085" s="223"/>
      <c r="F3085" s="133"/>
      <c r="G3085" s="200"/>
      <c r="H3085" s="200"/>
      <c r="I3085" s="133"/>
      <c r="J3085" s="8"/>
      <c r="K3085" s="223"/>
      <c r="L3085" s="223"/>
      <c r="M3085" s="223"/>
      <c r="N3085" s="223"/>
      <c r="O3085" s="133"/>
      <c r="P3085" s="200"/>
      <c r="Q3085" s="200"/>
    </row>
    <row r="3086" spans="1:17" x14ac:dyDescent="0.25">
      <c r="A3086" s="133"/>
      <c r="B3086" s="8"/>
      <c r="C3086" s="8"/>
      <c r="D3086" s="8"/>
      <c r="E3086" s="8"/>
      <c r="F3086" s="8"/>
      <c r="G3086" s="8"/>
      <c r="H3086" s="200"/>
      <c r="I3086" s="133"/>
      <c r="J3086" s="8"/>
      <c r="K3086" s="8"/>
      <c r="L3086" s="8"/>
      <c r="M3086" s="8"/>
      <c r="N3086" s="8"/>
      <c r="O3086" s="8"/>
      <c r="P3086" s="8"/>
      <c r="Q3086" s="200"/>
    </row>
    <row r="3087" spans="1:17" ht="15.75" thickBot="1" x14ac:dyDescent="0.3">
      <c r="A3087" s="133"/>
      <c r="B3087" s="8"/>
      <c r="C3087" s="8"/>
      <c r="D3087" s="8"/>
      <c r="E3087" s="8"/>
      <c r="F3087" s="133"/>
      <c r="G3087" s="200"/>
      <c r="H3087" s="200"/>
      <c r="I3087" s="133"/>
      <c r="J3087" s="8"/>
      <c r="K3087" s="8"/>
      <c r="L3087" s="8"/>
      <c r="M3087" s="8"/>
      <c r="N3087" s="8"/>
      <c r="O3087" s="133"/>
      <c r="P3087" s="200"/>
      <c r="Q3087" s="200"/>
    </row>
    <row r="3088" spans="1:17" ht="15.75" thickBot="1" x14ac:dyDescent="0.3">
      <c r="A3088" s="133"/>
      <c r="B3088" s="224" t="s">
        <v>5403</v>
      </c>
      <c r="C3088" s="193" t="s">
        <v>867</v>
      </c>
      <c r="D3088" s="193" t="s">
        <v>6</v>
      </c>
      <c r="E3088" s="193" t="s">
        <v>5439</v>
      </c>
      <c r="F3088" s="193" t="s">
        <v>5405</v>
      </c>
      <c r="G3088" s="225" t="s">
        <v>868</v>
      </c>
      <c r="H3088" s="200"/>
      <c r="I3088" s="133"/>
      <c r="J3088" s="224" t="s">
        <v>5403</v>
      </c>
      <c r="K3088" s="193" t="s">
        <v>867</v>
      </c>
      <c r="L3088" s="193" t="s">
        <v>6</v>
      </c>
      <c r="M3088" s="193" t="s">
        <v>5439</v>
      </c>
      <c r="N3088" s="193" t="s">
        <v>5439</v>
      </c>
      <c r="O3088" s="193" t="s">
        <v>5405</v>
      </c>
      <c r="P3088" s="225" t="s">
        <v>868</v>
      </c>
      <c r="Q3088" s="200"/>
    </row>
    <row r="3089" spans="1:17" x14ac:dyDescent="0.25">
      <c r="A3089" s="133"/>
      <c r="B3089" s="195" t="s">
        <v>5440</v>
      </c>
      <c r="C3089" s="226" t="s">
        <v>5402</v>
      </c>
      <c r="D3089" s="226">
        <v>1</v>
      </c>
      <c r="E3089" s="263">
        <f>+H3127</f>
        <v>96662.5</v>
      </c>
      <c r="F3089" s="226">
        <v>0.1</v>
      </c>
      <c r="G3089" s="229">
        <f>+E3089*F3089</f>
        <v>9666.25</v>
      </c>
      <c r="H3089" s="200"/>
      <c r="I3089" s="133"/>
      <c r="J3089" s="195" t="s">
        <v>5455</v>
      </c>
      <c r="K3089" s="226" t="s">
        <v>5402</v>
      </c>
      <c r="L3089" s="226">
        <v>1</v>
      </c>
      <c r="M3089" s="263">
        <f>+Q3127</f>
        <v>4187475</v>
      </c>
      <c r="N3089" s="228">
        <f>+Q3127</f>
        <v>4187475</v>
      </c>
      <c r="O3089" s="226">
        <v>0.2</v>
      </c>
      <c r="P3089" s="229">
        <f>+N3089*O3089</f>
        <v>837495</v>
      </c>
      <c r="Q3089" s="200"/>
    </row>
    <row r="3090" spans="1:17" x14ac:dyDescent="0.25">
      <c r="A3090" s="133"/>
      <c r="B3090" s="195"/>
      <c r="C3090" s="226"/>
      <c r="D3090" s="226"/>
      <c r="E3090" s="264"/>
      <c r="F3090" s="226"/>
      <c r="G3090" s="229"/>
      <c r="H3090" s="200"/>
      <c r="I3090" s="133"/>
      <c r="J3090" s="195"/>
      <c r="K3090" s="226"/>
      <c r="L3090" s="226"/>
      <c r="M3090" s="264"/>
      <c r="N3090" s="228"/>
      <c r="O3090" s="226"/>
      <c r="P3090" s="229"/>
      <c r="Q3090" s="200"/>
    </row>
    <row r="3091" spans="1:17" x14ac:dyDescent="0.25">
      <c r="A3091" s="133"/>
      <c r="B3091" s="195"/>
      <c r="C3091" s="226"/>
      <c r="D3091" s="226"/>
      <c r="E3091" s="176"/>
      <c r="F3091" s="226"/>
      <c r="G3091" s="229"/>
      <c r="H3091" s="200"/>
      <c r="I3091" s="133"/>
      <c r="J3091" s="195"/>
      <c r="K3091" s="226"/>
      <c r="L3091" s="226"/>
      <c r="M3091" s="176"/>
      <c r="N3091" s="176"/>
      <c r="O3091" s="226"/>
      <c r="P3091" s="229"/>
      <c r="Q3091" s="200"/>
    </row>
    <row r="3092" spans="1:17" x14ac:dyDescent="0.25">
      <c r="A3092" s="133"/>
      <c r="B3092" s="195"/>
      <c r="C3092" s="226"/>
      <c r="D3092" s="226"/>
      <c r="E3092" s="171"/>
      <c r="F3092" s="226"/>
      <c r="G3092" s="231"/>
      <c r="H3092" s="200"/>
      <c r="I3092" s="133"/>
      <c r="J3092" s="195"/>
      <c r="K3092" s="226"/>
      <c r="L3092" s="226"/>
      <c r="M3092" s="171"/>
      <c r="N3092" s="171"/>
      <c r="O3092" s="226"/>
      <c r="P3092" s="229"/>
      <c r="Q3092" s="200"/>
    </row>
    <row r="3093" spans="1:17" x14ac:dyDescent="0.25">
      <c r="A3093" s="133"/>
      <c r="B3093" s="195"/>
      <c r="C3093" s="226"/>
      <c r="D3093" s="232"/>
      <c r="E3093" s="232"/>
      <c r="F3093" s="226"/>
      <c r="G3093" s="229"/>
      <c r="H3093" s="200"/>
      <c r="I3093" s="133"/>
      <c r="J3093" s="195"/>
      <c r="K3093" s="226"/>
      <c r="L3093" s="232"/>
      <c r="M3093" s="232"/>
      <c r="N3093" s="232"/>
      <c r="O3093" s="226"/>
      <c r="P3093" s="229"/>
      <c r="Q3093" s="200"/>
    </row>
    <row r="3094" spans="1:17" ht="15.75" thickBot="1" x14ac:dyDescent="0.3">
      <c r="A3094" s="133"/>
      <c r="B3094" s="195"/>
      <c r="C3094" s="226"/>
      <c r="D3094" s="232"/>
      <c r="E3094" s="232"/>
      <c r="F3094" s="226"/>
      <c r="G3094" s="229"/>
      <c r="H3094" s="200"/>
      <c r="I3094" s="133"/>
      <c r="J3094" s="195"/>
      <c r="K3094" s="226"/>
      <c r="L3094" s="232"/>
      <c r="M3094" s="232"/>
      <c r="N3094" s="232"/>
      <c r="O3094" s="226"/>
      <c r="P3094" s="229"/>
      <c r="Q3094" s="200"/>
    </row>
    <row r="3095" spans="1:17" ht="15.75" thickBot="1" x14ac:dyDescent="0.3">
      <c r="A3095" s="133"/>
      <c r="B3095" s="233"/>
      <c r="C3095" s="234"/>
      <c r="D3095" s="234"/>
      <c r="E3095" s="234"/>
      <c r="F3095" s="235"/>
      <c r="G3095" s="236"/>
      <c r="H3095" s="237">
        <f>+SUM(G3089:G3095)</f>
        <v>9666.25</v>
      </c>
      <c r="I3095" s="133"/>
      <c r="J3095" s="233"/>
      <c r="K3095" s="234"/>
      <c r="L3095" s="234"/>
      <c r="M3095" s="234"/>
      <c r="N3095" s="234"/>
      <c r="O3095" s="235"/>
      <c r="P3095" s="236"/>
      <c r="Q3095" s="237">
        <f>+SUM(P3089:P3095)</f>
        <v>837495</v>
      </c>
    </row>
    <row r="3096" spans="1:17" ht="15.75" thickBot="1" x14ac:dyDescent="0.3">
      <c r="A3096" s="133"/>
      <c r="B3096" s="238"/>
      <c r="C3096" s="238"/>
      <c r="D3096" s="238"/>
      <c r="E3096" s="238"/>
      <c r="F3096" s="239"/>
      <c r="G3096" s="240"/>
      <c r="H3096" s="241"/>
      <c r="I3096" s="133"/>
      <c r="J3096" s="238"/>
      <c r="K3096" s="238"/>
      <c r="L3096" s="238"/>
      <c r="M3096" s="238"/>
      <c r="N3096" s="238"/>
      <c r="O3096" s="239"/>
      <c r="P3096" s="240"/>
      <c r="Q3096" s="241"/>
    </row>
    <row r="3097" spans="1:17" ht="15.75" thickBot="1" x14ac:dyDescent="0.3">
      <c r="A3097" s="133"/>
      <c r="B3097" s="224" t="s">
        <v>5408</v>
      </c>
      <c r="C3097" s="193" t="s">
        <v>867</v>
      </c>
      <c r="D3097" s="193" t="s">
        <v>6</v>
      </c>
      <c r="E3097" s="193" t="s">
        <v>870</v>
      </c>
      <c r="F3097" s="193" t="s">
        <v>5409</v>
      </c>
      <c r="G3097" s="225" t="s">
        <v>868</v>
      </c>
      <c r="H3097" s="200"/>
      <c r="I3097" s="133"/>
      <c r="J3097" s="224" t="s">
        <v>5408</v>
      </c>
      <c r="K3097" s="193" t="s">
        <v>867</v>
      </c>
      <c r="L3097" s="193" t="s">
        <v>6</v>
      </c>
      <c r="M3097" s="193" t="s">
        <v>870</v>
      </c>
      <c r="N3097" s="193" t="s">
        <v>870</v>
      </c>
      <c r="O3097" s="193" t="s">
        <v>5409</v>
      </c>
      <c r="P3097" s="225" t="s">
        <v>868</v>
      </c>
      <c r="Q3097" s="200"/>
    </row>
    <row r="3098" spans="1:17" x14ac:dyDescent="0.25">
      <c r="A3098" s="133"/>
      <c r="B3098" s="295"/>
      <c r="C3098" s="202"/>
      <c r="D3098" s="226"/>
      <c r="E3098" s="244"/>
      <c r="F3098" s="169"/>
      <c r="G3098" s="178">
        <f>+D3098*E3098*(1+F3098)</f>
        <v>0</v>
      </c>
      <c r="H3098" s="200"/>
      <c r="I3098" s="133"/>
      <c r="J3098" s="267"/>
      <c r="K3098" s="202"/>
      <c r="L3098" s="226"/>
      <c r="M3098" s="244"/>
      <c r="N3098" s="228"/>
      <c r="O3098" s="169"/>
      <c r="P3098" s="178"/>
      <c r="Q3098" s="200"/>
    </row>
    <row r="3099" spans="1:17" x14ac:dyDescent="0.25">
      <c r="A3099" s="133"/>
      <c r="B3099" s="450"/>
      <c r="C3099" s="202"/>
      <c r="D3099" s="202"/>
      <c r="E3099" s="257"/>
      <c r="F3099" s="169"/>
      <c r="G3099" s="178">
        <f>+D3099*E3099*(1+F3099)</f>
        <v>0</v>
      </c>
      <c r="H3099" s="200"/>
      <c r="I3099" s="133"/>
      <c r="J3099" s="268"/>
      <c r="K3099" s="202"/>
      <c r="L3099" s="202"/>
      <c r="M3099" s="257"/>
      <c r="N3099" s="228"/>
      <c r="O3099" s="169"/>
      <c r="P3099" s="178"/>
      <c r="Q3099" s="200"/>
    </row>
    <row r="3100" spans="1:17" x14ac:dyDescent="0.25">
      <c r="A3100" s="133"/>
      <c r="B3100" s="247"/>
      <c r="C3100" s="226"/>
      <c r="D3100" s="226"/>
      <c r="E3100" s="244"/>
      <c r="F3100" s="169"/>
      <c r="G3100" s="178">
        <f>+D3100*E3100*(1+F3100)</f>
        <v>0</v>
      </c>
      <c r="H3100" s="200"/>
      <c r="I3100" s="133"/>
      <c r="J3100" s="268"/>
      <c r="K3100" s="226"/>
      <c r="L3100" s="226"/>
      <c r="M3100" s="244"/>
      <c r="N3100" s="228"/>
      <c r="O3100" s="169"/>
      <c r="P3100" s="178"/>
      <c r="Q3100" s="200"/>
    </row>
    <row r="3101" spans="1:17" x14ac:dyDescent="0.25">
      <c r="A3101" s="133"/>
      <c r="B3101" s="194"/>
      <c r="C3101" s="226"/>
      <c r="D3101" s="226"/>
      <c r="E3101" s="171"/>
      <c r="F3101" s="169"/>
      <c r="G3101" s="178">
        <f>+D3101*E3101*(1+F3101)</f>
        <v>0</v>
      </c>
      <c r="H3101" s="200"/>
      <c r="I3101" s="133"/>
      <c r="J3101" s="268"/>
      <c r="K3101" s="226"/>
      <c r="L3101" s="226"/>
      <c r="M3101" s="244"/>
      <c r="N3101" s="176"/>
      <c r="O3101" s="169"/>
      <c r="P3101" s="178"/>
      <c r="Q3101" s="200"/>
    </row>
    <row r="3102" spans="1:17" x14ac:dyDescent="0.25">
      <c r="A3102" s="133"/>
      <c r="B3102" s="195"/>
      <c r="C3102" s="226"/>
      <c r="D3102" s="226"/>
      <c r="E3102" s="171"/>
      <c r="F3102" s="169"/>
      <c r="G3102" s="178"/>
      <c r="H3102" s="200"/>
      <c r="I3102" s="133"/>
      <c r="J3102" s="195"/>
      <c r="K3102" s="226"/>
      <c r="L3102" s="226"/>
      <c r="M3102" s="171"/>
      <c r="N3102" s="176"/>
      <c r="O3102" s="169"/>
      <c r="P3102" s="178"/>
      <c r="Q3102" s="200"/>
    </row>
    <row r="3103" spans="1:17" x14ac:dyDescent="0.25">
      <c r="A3103" s="133"/>
      <c r="B3103" s="194"/>
      <c r="C3103" s="202"/>
      <c r="D3103" s="202"/>
      <c r="E3103" s="171"/>
      <c r="F3103" s="169"/>
      <c r="G3103" s="178"/>
      <c r="H3103" s="200"/>
      <c r="I3103" s="133"/>
      <c r="J3103" s="194"/>
      <c r="K3103" s="202"/>
      <c r="L3103" s="202"/>
      <c r="M3103" s="171"/>
      <c r="N3103" s="176"/>
      <c r="O3103" s="169"/>
      <c r="P3103" s="178"/>
      <c r="Q3103" s="200"/>
    </row>
    <row r="3104" spans="1:17" x14ac:dyDescent="0.25">
      <c r="A3104" s="133"/>
      <c r="B3104" s="195"/>
      <c r="C3104" s="226"/>
      <c r="D3104" s="226"/>
      <c r="E3104" s="171"/>
      <c r="F3104" s="169"/>
      <c r="G3104" s="178"/>
      <c r="H3104" s="200"/>
      <c r="I3104" s="133"/>
      <c r="J3104" s="195"/>
      <c r="K3104" s="226"/>
      <c r="L3104" s="226"/>
      <c r="M3104" s="171"/>
      <c r="N3104" s="176"/>
      <c r="O3104" s="169"/>
      <c r="P3104" s="178"/>
      <c r="Q3104" s="200"/>
    </row>
    <row r="3105" spans="1:17" x14ac:dyDescent="0.25">
      <c r="A3105" s="133"/>
      <c r="B3105" s="195"/>
      <c r="C3105" s="226"/>
      <c r="D3105" s="226"/>
      <c r="E3105" s="171"/>
      <c r="F3105" s="169"/>
      <c r="G3105" s="178"/>
      <c r="H3105" s="200"/>
      <c r="I3105" s="133"/>
      <c r="J3105" s="195"/>
      <c r="K3105" s="226"/>
      <c r="L3105" s="226"/>
      <c r="M3105" s="171"/>
      <c r="N3105" s="176"/>
      <c r="O3105" s="169"/>
      <c r="P3105" s="178"/>
      <c r="Q3105" s="200"/>
    </row>
    <row r="3106" spans="1:17" x14ac:dyDescent="0.25">
      <c r="A3106" s="133"/>
      <c r="B3106" s="195"/>
      <c r="C3106" s="232"/>
      <c r="D3106" s="232"/>
      <c r="E3106" s="232"/>
      <c r="F3106" s="226"/>
      <c r="G3106" s="229"/>
      <c r="H3106" s="200"/>
      <c r="I3106" s="133"/>
      <c r="J3106" s="195"/>
      <c r="K3106" s="232"/>
      <c r="L3106" s="232"/>
      <c r="M3106" s="232"/>
      <c r="N3106" s="232"/>
      <c r="O3106" s="226"/>
      <c r="P3106" s="229"/>
      <c r="Q3106" s="200"/>
    </row>
    <row r="3107" spans="1:17" x14ac:dyDescent="0.25">
      <c r="A3107" s="133"/>
      <c r="B3107" s="195"/>
      <c r="C3107" s="232"/>
      <c r="D3107" s="232"/>
      <c r="E3107" s="232"/>
      <c r="F3107" s="226"/>
      <c r="G3107" s="229"/>
      <c r="H3107" s="200"/>
      <c r="I3107" s="133"/>
      <c r="J3107" s="195"/>
      <c r="K3107" s="232"/>
      <c r="L3107" s="232"/>
      <c r="M3107" s="232"/>
      <c r="N3107" s="232"/>
      <c r="O3107" s="226"/>
      <c r="P3107" s="229"/>
      <c r="Q3107" s="200"/>
    </row>
    <row r="3108" spans="1:17" x14ac:dyDescent="0.25">
      <c r="A3108" s="133"/>
      <c r="B3108" s="195"/>
      <c r="C3108" s="232"/>
      <c r="D3108" s="232"/>
      <c r="E3108" s="232"/>
      <c r="F3108" s="226"/>
      <c r="G3108" s="229"/>
      <c r="H3108" s="200"/>
      <c r="I3108" s="133"/>
      <c r="J3108" s="195"/>
      <c r="K3108" s="232"/>
      <c r="L3108" s="232"/>
      <c r="M3108" s="232"/>
      <c r="N3108" s="232"/>
      <c r="O3108" s="226"/>
      <c r="P3108" s="229"/>
      <c r="Q3108" s="200"/>
    </row>
    <row r="3109" spans="1:17" ht="15.75" thickBot="1" x14ac:dyDescent="0.3">
      <c r="A3109" s="133"/>
      <c r="B3109" s="195"/>
      <c r="C3109" s="232"/>
      <c r="D3109" s="232"/>
      <c r="E3109" s="232"/>
      <c r="F3109" s="226"/>
      <c r="G3109" s="229"/>
      <c r="H3109" s="200"/>
      <c r="I3109" s="133"/>
      <c r="J3109" s="195"/>
      <c r="K3109" s="232"/>
      <c r="L3109" s="232"/>
      <c r="M3109" s="232"/>
      <c r="N3109" s="232"/>
      <c r="O3109" s="226"/>
      <c r="P3109" s="229"/>
      <c r="Q3109" s="200"/>
    </row>
    <row r="3110" spans="1:17" ht="15.75" thickBot="1" x14ac:dyDescent="0.3">
      <c r="A3110" s="133"/>
      <c r="B3110" s="233"/>
      <c r="C3110" s="234"/>
      <c r="D3110" s="234"/>
      <c r="E3110" s="234"/>
      <c r="F3110" s="235"/>
      <c r="G3110" s="236"/>
      <c r="H3110" s="256">
        <f>+SUM(G3098:G3110)</f>
        <v>0</v>
      </c>
      <c r="I3110" s="133"/>
      <c r="J3110" s="233"/>
      <c r="K3110" s="234"/>
      <c r="L3110" s="234"/>
      <c r="M3110" s="234"/>
      <c r="N3110" s="234"/>
      <c r="O3110" s="235"/>
      <c r="P3110" s="236"/>
      <c r="Q3110" s="256">
        <f>+SUM(P3098:P3110)</f>
        <v>0</v>
      </c>
    </row>
    <row r="3111" spans="1:17" ht="15.75" thickBot="1" x14ac:dyDescent="0.3">
      <c r="A3111" s="133"/>
      <c r="B3111" s="238"/>
      <c r="C3111" s="238"/>
      <c r="D3111" s="238"/>
      <c r="E3111" s="238"/>
      <c r="F3111" s="239"/>
      <c r="G3111" s="240"/>
      <c r="H3111" s="241"/>
      <c r="I3111" s="133"/>
      <c r="J3111" s="238"/>
      <c r="K3111" s="238"/>
      <c r="L3111" s="238"/>
      <c r="M3111" s="238"/>
      <c r="N3111" s="238"/>
      <c r="O3111" s="239"/>
      <c r="P3111" s="240"/>
      <c r="Q3111" s="241"/>
    </row>
    <row r="3112" spans="1:17" ht="15.75" thickBot="1" x14ac:dyDescent="0.3">
      <c r="A3112" s="133"/>
      <c r="B3112" s="224" t="s">
        <v>5410</v>
      </c>
      <c r="C3112" s="193" t="s">
        <v>867</v>
      </c>
      <c r="D3112" s="193" t="s">
        <v>6</v>
      </c>
      <c r="E3112" s="193" t="s">
        <v>870</v>
      </c>
      <c r="F3112" s="193" t="s">
        <v>5411</v>
      </c>
      <c r="G3112" s="225" t="s">
        <v>868</v>
      </c>
      <c r="H3112" s="200"/>
      <c r="I3112" s="133"/>
      <c r="J3112" s="224" t="s">
        <v>5410</v>
      </c>
      <c r="K3112" s="193" t="s">
        <v>867</v>
      </c>
      <c r="L3112" s="193" t="s">
        <v>6</v>
      </c>
      <c r="M3112" s="193" t="s">
        <v>870</v>
      </c>
      <c r="N3112" s="193" t="s">
        <v>870</v>
      </c>
      <c r="O3112" s="193" t="s">
        <v>5411</v>
      </c>
      <c r="P3112" s="225" t="s">
        <v>868</v>
      </c>
      <c r="Q3112" s="200"/>
    </row>
    <row r="3113" spans="1:17" x14ac:dyDescent="0.25">
      <c r="A3113" s="133"/>
      <c r="B3113" s="245"/>
      <c r="C3113" s="202"/>
      <c r="D3113" s="202"/>
      <c r="E3113" s="175"/>
      <c r="F3113" s="202"/>
      <c r="G3113" s="203"/>
      <c r="H3113" s="246"/>
      <c r="I3113" s="133"/>
      <c r="J3113" s="242"/>
      <c r="K3113" s="202"/>
      <c r="L3113" s="202"/>
      <c r="M3113" s="175"/>
      <c r="N3113" s="175"/>
      <c r="O3113" s="202"/>
      <c r="P3113" s="203"/>
      <c r="Q3113" s="246"/>
    </row>
    <row r="3114" spans="1:17" x14ac:dyDescent="0.25">
      <c r="A3114" s="133"/>
      <c r="B3114" s="247"/>
      <c r="C3114" s="248"/>
      <c r="D3114" s="248"/>
      <c r="E3114" s="248"/>
      <c r="F3114" s="202"/>
      <c r="G3114" s="178"/>
      <c r="H3114" s="200"/>
      <c r="I3114" s="133"/>
      <c r="J3114" s="243"/>
      <c r="K3114" s="248"/>
      <c r="L3114" s="248"/>
      <c r="M3114" s="248"/>
      <c r="N3114" s="248"/>
      <c r="O3114" s="202"/>
      <c r="P3114" s="178"/>
      <c r="Q3114" s="200"/>
    </row>
    <row r="3115" spans="1:17" x14ac:dyDescent="0.25">
      <c r="A3115" s="133"/>
      <c r="B3115" s="247"/>
      <c r="C3115" s="232"/>
      <c r="D3115" s="232"/>
      <c r="E3115" s="232"/>
      <c r="F3115" s="226"/>
      <c r="G3115" s="229"/>
      <c r="H3115" s="200"/>
      <c r="I3115" s="133"/>
      <c r="J3115" s="243"/>
      <c r="K3115" s="232"/>
      <c r="L3115" s="232"/>
      <c r="M3115" s="232"/>
      <c r="N3115" s="232"/>
      <c r="O3115" s="226"/>
      <c r="P3115" s="229"/>
      <c r="Q3115" s="200"/>
    </row>
    <row r="3116" spans="1:17" x14ac:dyDescent="0.25">
      <c r="A3116" s="133"/>
      <c r="B3116" s="194"/>
      <c r="C3116" s="232"/>
      <c r="D3116" s="232"/>
      <c r="E3116" s="232"/>
      <c r="F3116" s="226"/>
      <c r="G3116" s="229"/>
      <c r="H3116" s="200"/>
      <c r="I3116" s="133"/>
      <c r="J3116" s="194"/>
      <c r="K3116" s="232"/>
      <c r="L3116" s="232"/>
      <c r="M3116" s="232"/>
      <c r="N3116" s="232"/>
      <c r="O3116" s="226"/>
      <c r="P3116" s="229"/>
      <c r="Q3116" s="200"/>
    </row>
    <row r="3117" spans="1:17" ht="15.75" thickBot="1" x14ac:dyDescent="0.3">
      <c r="A3117" s="133"/>
      <c r="B3117" s="195"/>
      <c r="C3117" s="232"/>
      <c r="D3117" s="232"/>
      <c r="E3117" s="232"/>
      <c r="F3117" s="226"/>
      <c r="G3117" s="229"/>
      <c r="H3117" s="200"/>
      <c r="I3117" s="133"/>
      <c r="J3117" s="195"/>
      <c r="K3117" s="232"/>
      <c r="L3117" s="232"/>
      <c r="M3117" s="232"/>
      <c r="N3117" s="232"/>
      <c r="O3117" s="226"/>
      <c r="P3117" s="229"/>
      <c r="Q3117" s="200"/>
    </row>
    <row r="3118" spans="1:17" ht="15.75" thickBot="1" x14ac:dyDescent="0.3">
      <c r="A3118" s="133"/>
      <c r="B3118" s="233"/>
      <c r="C3118" s="234"/>
      <c r="D3118" s="234"/>
      <c r="E3118" s="234"/>
      <c r="F3118" s="235"/>
      <c r="G3118" s="236"/>
      <c r="H3118" s="237">
        <f>+SUM(G3113:G3118)</f>
        <v>0</v>
      </c>
      <c r="I3118" s="133"/>
      <c r="J3118" s="233"/>
      <c r="K3118" s="234"/>
      <c r="L3118" s="234"/>
      <c r="M3118" s="234"/>
      <c r="N3118" s="234"/>
      <c r="O3118" s="235"/>
      <c r="P3118" s="236"/>
      <c r="Q3118" s="237">
        <f>+SUM(P3113:P3118)</f>
        <v>0</v>
      </c>
    </row>
    <row r="3119" spans="1:17" ht="15.75" thickBot="1" x14ac:dyDescent="0.3">
      <c r="A3119" s="133"/>
      <c r="B3119" s="238"/>
      <c r="C3119" s="238"/>
      <c r="D3119" s="238"/>
      <c r="E3119" s="238"/>
      <c r="F3119" s="249"/>
      <c r="G3119" s="250"/>
      <c r="H3119" s="241"/>
      <c r="I3119" s="133"/>
      <c r="J3119" s="238"/>
      <c r="K3119" s="238"/>
      <c r="L3119" s="238"/>
      <c r="M3119" s="238"/>
      <c r="N3119" s="238"/>
      <c r="O3119" s="249"/>
      <c r="P3119" s="250"/>
      <c r="Q3119" s="241"/>
    </row>
    <row r="3120" spans="1:17" ht="15.75" thickBot="1" x14ac:dyDescent="0.3">
      <c r="A3120" s="133"/>
      <c r="B3120" s="224" t="s">
        <v>5412</v>
      </c>
      <c r="C3120" s="193" t="s">
        <v>5420</v>
      </c>
      <c r="D3120" s="193" t="s">
        <v>5421</v>
      </c>
      <c r="E3120" s="193" t="s">
        <v>5413</v>
      </c>
      <c r="F3120" s="193" t="s">
        <v>5405</v>
      </c>
      <c r="G3120" s="225" t="s">
        <v>868</v>
      </c>
      <c r="H3120" s="200"/>
      <c r="I3120" s="133"/>
      <c r="J3120" s="224" t="s">
        <v>5412</v>
      </c>
      <c r="K3120" s="193" t="s">
        <v>5420</v>
      </c>
      <c r="L3120" s="193" t="s">
        <v>5421</v>
      </c>
      <c r="M3120" s="193" t="s">
        <v>5413</v>
      </c>
      <c r="N3120" s="193" t="s">
        <v>5413</v>
      </c>
      <c r="O3120" s="193" t="s">
        <v>5405</v>
      </c>
      <c r="P3120" s="225" t="s">
        <v>868</v>
      </c>
      <c r="Q3120" s="200"/>
    </row>
    <row r="3121" spans="1:17" x14ac:dyDescent="0.25">
      <c r="A3121" s="133"/>
      <c r="B3121" s="194" t="s">
        <v>5948</v>
      </c>
      <c r="C3121" s="345">
        <v>70000</v>
      </c>
      <c r="D3121" s="176">
        <f>+C3121*0.85</f>
        <v>59500</v>
      </c>
      <c r="E3121" s="176">
        <f>+C3121+D3121</f>
        <v>129500</v>
      </c>
      <c r="F3121" s="204">
        <v>40</v>
      </c>
      <c r="G3121" s="178">
        <f>+E3121/F3121</f>
        <v>3237.5</v>
      </c>
      <c r="H3121" s="200"/>
      <c r="I3121" s="133"/>
      <c r="J3121" s="194" t="s">
        <v>5948</v>
      </c>
      <c r="K3121" s="345">
        <v>70000</v>
      </c>
      <c r="L3121" s="176">
        <f>+K3121*0.85</f>
        <v>59500</v>
      </c>
      <c r="M3121" s="176">
        <f>+K3121+L3121</f>
        <v>129500</v>
      </c>
      <c r="N3121" s="175">
        <f>+K3121+L3121</f>
        <v>129500</v>
      </c>
      <c r="O3121" s="204">
        <v>4</v>
      </c>
      <c r="P3121" s="178">
        <f>+N3121/O3121</f>
        <v>32375</v>
      </c>
      <c r="Q3121" s="200"/>
    </row>
    <row r="3122" spans="1:17" x14ac:dyDescent="0.25">
      <c r="A3122" s="133"/>
      <c r="B3122" s="194" t="s">
        <v>5651</v>
      </c>
      <c r="C3122" s="345">
        <v>40000</v>
      </c>
      <c r="D3122" s="176">
        <f>+C3122*0.85</f>
        <v>34000</v>
      </c>
      <c r="E3122" s="176">
        <f>+C3122+D3122</f>
        <v>74000</v>
      </c>
      <c r="F3122" s="202">
        <v>1.2</v>
      </c>
      <c r="G3122" s="178">
        <f>+E3122/F3122</f>
        <v>61666.666666666672</v>
      </c>
      <c r="H3122" s="200"/>
      <c r="I3122" s="133"/>
      <c r="J3122" s="194" t="s">
        <v>5651</v>
      </c>
      <c r="K3122" s="345">
        <v>40000</v>
      </c>
      <c r="L3122" s="176">
        <f>+K3122*0.85</f>
        <v>34000</v>
      </c>
      <c r="M3122" s="176">
        <f>+K3122+L3122</f>
        <v>74000</v>
      </c>
      <c r="N3122" s="175">
        <f>+K3122+L3122</f>
        <v>74000</v>
      </c>
      <c r="O3122" s="202">
        <v>1</v>
      </c>
      <c r="P3122" s="178">
        <f>+N3122/O3122</f>
        <v>74000</v>
      </c>
      <c r="Q3122" s="200"/>
    </row>
    <row r="3123" spans="1:17" x14ac:dyDescent="0.25">
      <c r="A3123" s="133"/>
      <c r="B3123" s="195" t="s">
        <v>5635</v>
      </c>
      <c r="C3123" s="345">
        <v>20600</v>
      </c>
      <c r="D3123" s="176">
        <f>+C3123*0.85</f>
        <v>17510</v>
      </c>
      <c r="E3123" s="176">
        <f>+C3123+D3123</f>
        <v>38110</v>
      </c>
      <c r="F3123" s="226">
        <v>1.2</v>
      </c>
      <c r="G3123" s="178">
        <f>+E3123/F3123</f>
        <v>31758.333333333336</v>
      </c>
      <c r="H3123" s="200"/>
      <c r="I3123" s="133"/>
      <c r="J3123" s="195" t="s">
        <v>5635</v>
      </c>
      <c r="K3123" s="345">
        <v>20600</v>
      </c>
      <c r="L3123" s="176">
        <f>+K3123*0.85</f>
        <v>17510</v>
      </c>
      <c r="M3123" s="176">
        <f>+K3123+L3123</f>
        <v>38110</v>
      </c>
      <c r="N3123" s="175">
        <f>+K3123+L3123</f>
        <v>38110</v>
      </c>
      <c r="O3123" s="226">
        <v>0.1</v>
      </c>
      <c r="P3123" s="178">
        <f>+N3123/O3123</f>
        <v>381100</v>
      </c>
      <c r="Q3123" s="200"/>
    </row>
    <row r="3124" spans="1:17" x14ac:dyDescent="0.25">
      <c r="A3124" s="133"/>
      <c r="B3124" s="195"/>
      <c r="C3124" s="171"/>
      <c r="D3124" s="176"/>
      <c r="E3124" s="176"/>
      <c r="F3124" s="226"/>
      <c r="G3124" s="178"/>
      <c r="H3124" s="200"/>
      <c r="I3124" s="133"/>
      <c r="J3124" s="195" t="s">
        <v>6130</v>
      </c>
      <c r="K3124" s="171">
        <v>200000</v>
      </c>
      <c r="L3124" s="176">
        <f>+K3124*0.85</f>
        <v>170000</v>
      </c>
      <c r="M3124" s="176">
        <f>+K3124+L3124</f>
        <v>370000</v>
      </c>
      <c r="N3124" s="175">
        <f>+K3124+L3124</f>
        <v>370000</v>
      </c>
      <c r="O3124" s="226">
        <v>0.1</v>
      </c>
      <c r="P3124" s="178">
        <f>+N3124/O3124</f>
        <v>3700000</v>
      </c>
      <c r="Q3124" s="200"/>
    </row>
    <row r="3125" spans="1:17" x14ac:dyDescent="0.25">
      <c r="A3125" s="133"/>
      <c r="B3125" s="195"/>
      <c r="C3125" s="232"/>
      <c r="D3125" s="232"/>
      <c r="E3125" s="232"/>
      <c r="F3125" s="226"/>
      <c r="G3125" s="229"/>
      <c r="H3125" s="200"/>
      <c r="I3125" s="133"/>
      <c r="J3125" s="195"/>
      <c r="K3125" s="232"/>
      <c r="L3125" s="232"/>
      <c r="M3125" s="232"/>
      <c r="N3125" s="232"/>
      <c r="O3125" s="226"/>
      <c r="P3125" s="229"/>
      <c r="Q3125" s="200"/>
    </row>
    <row r="3126" spans="1:17" ht="15.75" thickBot="1" x14ac:dyDescent="0.3">
      <c r="A3126" s="133"/>
      <c r="B3126" s="195"/>
      <c r="C3126" s="232"/>
      <c r="D3126" s="232"/>
      <c r="E3126" s="232"/>
      <c r="F3126" s="226"/>
      <c r="G3126" s="229"/>
      <c r="H3126" s="200"/>
      <c r="I3126" s="133"/>
      <c r="J3126" s="195"/>
      <c r="K3126" s="232"/>
      <c r="L3126" s="232"/>
      <c r="M3126" s="232"/>
      <c r="N3126" s="232"/>
      <c r="O3126" s="226"/>
      <c r="P3126" s="229"/>
      <c r="Q3126" s="200"/>
    </row>
    <row r="3127" spans="1:17" ht="15.75" thickBot="1" x14ac:dyDescent="0.3">
      <c r="A3127" s="133"/>
      <c r="B3127" s="251"/>
      <c r="C3127" s="252"/>
      <c r="D3127" s="252"/>
      <c r="E3127" s="252"/>
      <c r="F3127" s="253"/>
      <c r="G3127" s="254"/>
      <c r="H3127" s="256">
        <f>+SUM(G3121:G3127)</f>
        <v>96662.5</v>
      </c>
      <c r="I3127" s="133"/>
      <c r="J3127" s="251"/>
      <c r="K3127" s="252"/>
      <c r="L3127" s="252"/>
      <c r="M3127" s="252"/>
      <c r="N3127" s="252"/>
      <c r="O3127" s="253"/>
      <c r="P3127" s="254"/>
      <c r="Q3127" s="256">
        <f>+SUM(P3121:P3127)</f>
        <v>4187475</v>
      </c>
    </row>
    <row r="3128" spans="1:17" ht="15.75" thickBot="1" x14ac:dyDescent="0.3">
      <c r="A3128" s="133"/>
      <c r="B3128" s="8"/>
      <c r="C3128" s="8"/>
      <c r="D3128" s="8"/>
      <c r="E3128" s="8"/>
      <c r="F3128" s="133"/>
      <c r="G3128" s="200"/>
      <c r="H3128" s="200"/>
      <c r="I3128" s="133"/>
      <c r="J3128" s="8"/>
      <c r="K3128" s="8"/>
      <c r="L3128" s="8"/>
      <c r="M3128" s="8"/>
      <c r="N3128" s="8"/>
      <c r="O3128" s="133"/>
      <c r="P3128" s="200"/>
      <c r="Q3128" s="200"/>
    </row>
    <row r="3129" spans="1:17" ht="15.75" thickBot="1" x14ac:dyDescent="0.3">
      <c r="A3129" s="133"/>
      <c r="B3129" s="8"/>
      <c r="C3129" s="8"/>
      <c r="D3129" s="8"/>
      <c r="E3129" s="223" t="s">
        <v>5415</v>
      </c>
      <c r="F3129" s="133"/>
      <c r="G3129" s="200"/>
      <c r="H3129" s="256">
        <f>ROUND(+H3127+H3118+H3110+H3095,0)</f>
        <v>106329</v>
      </c>
      <c r="I3129" s="133"/>
      <c r="J3129" s="8"/>
      <c r="K3129" s="8"/>
      <c r="L3129" s="8"/>
      <c r="M3129" s="223" t="s">
        <v>5415</v>
      </c>
      <c r="N3129" s="223"/>
      <c r="O3129" s="133"/>
      <c r="P3129" s="200"/>
      <c r="Q3129" s="256">
        <f>ROUND(+Q3127+Q3118+Q3110+Q3095,0)</f>
        <v>5024970</v>
      </c>
    </row>
    <row r="3130" spans="1:17" x14ac:dyDescent="0.25">
      <c r="A3130" s="265"/>
      <c r="B3130" s="265"/>
      <c r="C3130" s="265"/>
      <c r="D3130" s="265"/>
      <c r="E3130" s="265"/>
      <c r="F3130" s="265"/>
      <c r="G3130" s="265"/>
      <c r="H3130" s="265"/>
    </row>
    <row r="3131" spans="1:17" x14ac:dyDescent="0.25">
      <c r="A3131" s="265"/>
      <c r="B3131" s="265"/>
      <c r="C3131" s="265"/>
      <c r="D3131" s="265"/>
      <c r="E3131" s="265"/>
      <c r="F3131" s="265"/>
      <c r="G3131" s="265"/>
      <c r="H3131" s="265"/>
    </row>
    <row r="3132" spans="1:17" x14ac:dyDescent="0.25">
      <c r="A3132" s="265"/>
      <c r="B3132" s="265"/>
      <c r="C3132" s="265"/>
      <c r="D3132" s="265"/>
      <c r="E3132" s="265"/>
      <c r="F3132" s="265"/>
      <c r="G3132" s="265"/>
      <c r="H3132" s="265"/>
    </row>
    <row r="3133" spans="1:17" x14ac:dyDescent="0.25">
      <c r="A3133" s="133"/>
      <c r="B3133" s="265"/>
      <c r="C3133" s="265"/>
      <c r="D3133" s="265"/>
      <c r="E3133" s="265"/>
      <c r="F3133" s="265"/>
      <c r="G3133" s="265"/>
      <c r="H3133" s="265"/>
    </row>
    <row r="3134" spans="1:17" ht="18.75" x14ac:dyDescent="0.25">
      <c r="A3134" s="133"/>
      <c r="B3134" s="2506" t="s">
        <v>5400</v>
      </c>
      <c r="C3134" s="2506"/>
      <c r="D3134" s="2506"/>
      <c r="E3134" s="2506"/>
      <c r="F3134" s="2506"/>
      <c r="G3134" s="2506"/>
      <c r="H3134" s="8"/>
    </row>
    <row r="3135" spans="1:17" x14ac:dyDescent="0.25">
      <c r="A3135" s="133"/>
      <c r="B3135" s="8"/>
      <c r="C3135" s="8"/>
      <c r="D3135" s="8"/>
      <c r="E3135" s="8"/>
      <c r="F3135" s="133"/>
      <c r="G3135" s="200"/>
      <c r="H3135" s="200"/>
    </row>
    <row r="3136" spans="1:17" x14ac:dyDescent="0.25">
      <c r="A3136" s="133"/>
      <c r="B3136" s="8"/>
      <c r="C3136" s="8"/>
      <c r="D3136" s="8"/>
      <c r="E3136" s="8"/>
      <c r="F3136" s="133"/>
      <c r="G3136" s="200"/>
      <c r="H3136" s="200"/>
    </row>
    <row r="3137" spans="1:8" x14ac:dyDescent="0.25">
      <c r="A3137" s="133"/>
      <c r="B3137" s="8"/>
      <c r="C3137" s="8"/>
      <c r="D3137" s="8"/>
      <c r="E3137" s="8"/>
      <c r="F3137" s="133"/>
      <c r="G3137" s="200"/>
      <c r="H3137" s="200"/>
    </row>
    <row r="3138" spans="1:8" ht="34.5" customHeight="1" x14ac:dyDescent="0.25">
      <c r="A3138" s="220" t="s">
        <v>5482</v>
      </c>
      <c r="B3138" s="221"/>
      <c r="C3138" s="2449" t="s">
        <v>5539</v>
      </c>
      <c r="D3138" s="2449"/>
      <c r="E3138" s="2449"/>
      <c r="F3138" s="220" t="s">
        <v>867</v>
      </c>
      <c r="G3138" s="222" t="s">
        <v>5418</v>
      </c>
      <c r="H3138" s="200"/>
    </row>
    <row r="3139" spans="1:8" x14ac:dyDescent="0.25">
      <c r="A3139" s="133"/>
      <c r="B3139" s="8"/>
      <c r="C3139" s="223"/>
      <c r="D3139" s="223"/>
      <c r="E3139" s="223"/>
      <c r="F3139" s="133"/>
      <c r="G3139" s="200"/>
      <c r="H3139" s="200"/>
    </row>
    <row r="3140" spans="1:8" x14ac:dyDescent="0.25">
      <c r="A3140" s="133"/>
      <c r="B3140" s="8"/>
      <c r="C3140" s="8"/>
      <c r="D3140" s="8"/>
      <c r="E3140" s="8"/>
      <c r="F3140" s="8"/>
      <c r="G3140" s="8"/>
      <c r="H3140" s="200"/>
    </row>
    <row r="3141" spans="1:8" ht="15.75" thickBot="1" x14ac:dyDescent="0.3">
      <c r="A3141" s="133"/>
      <c r="B3141" s="8"/>
      <c r="C3141" s="8"/>
      <c r="D3141" s="8"/>
      <c r="E3141" s="8"/>
      <c r="F3141" s="133"/>
      <c r="G3141" s="200"/>
      <c r="H3141" s="200"/>
    </row>
    <row r="3142" spans="1:8" ht="15.75" thickBot="1" x14ac:dyDescent="0.3">
      <c r="A3142" s="133"/>
      <c r="B3142" s="224" t="s">
        <v>5403</v>
      </c>
      <c r="C3142" s="193" t="s">
        <v>867</v>
      </c>
      <c r="D3142" s="193" t="s">
        <v>6</v>
      </c>
      <c r="E3142" s="193" t="s">
        <v>5439</v>
      </c>
      <c r="F3142" s="193" t="s">
        <v>5405</v>
      </c>
      <c r="G3142" s="225" t="s">
        <v>868</v>
      </c>
      <c r="H3142" s="200"/>
    </row>
    <row r="3143" spans="1:8" x14ac:dyDescent="0.25">
      <c r="A3143" s="133"/>
      <c r="B3143" s="195" t="s">
        <v>5440</v>
      </c>
      <c r="C3143" s="226" t="s">
        <v>5402</v>
      </c>
      <c r="D3143" s="226">
        <v>1</v>
      </c>
      <c r="E3143" s="263">
        <f>+H3181</f>
        <v>143334.75797798595</v>
      </c>
      <c r="F3143" s="226">
        <v>0.1</v>
      </c>
      <c r="G3143" s="229">
        <f>+E3143*F3143</f>
        <v>14333.475797798596</v>
      </c>
      <c r="H3143" s="200"/>
    </row>
    <row r="3144" spans="1:8" x14ac:dyDescent="0.25">
      <c r="A3144" s="133"/>
      <c r="B3144" s="195"/>
      <c r="C3144" s="226"/>
      <c r="D3144" s="226"/>
      <c r="E3144" s="264"/>
      <c r="F3144" s="226"/>
      <c r="G3144" s="229"/>
      <c r="H3144" s="200"/>
    </row>
    <row r="3145" spans="1:8" x14ac:dyDescent="0.25">
      <c r="A3145" s="133"/>
      <c r="B3145" s="195"/>
      <c r="C3145" s="226"/>
      <c r="D3145" s="226"/>
      <c r="E3145" s="176"/>
      <c r="F3145" s="226"/>
      <c r="G3145" s="229"/>
      <c r="H3145" s="200"/>
    </row>
    <row r="3146" spans="1:8" x14ac:dyDescent="0.25">
      <c r="A3146" s="133"/>
      <c r="B3146" s="195"/>
      <c r="C3146" s="226"/>
      <c r="D3146" s="226"/>
      <c r="E3146" s="171"/>
      <c r="F3146" s="226"/>
      <c r="G3146" s="231"/>
      <c r="H3146" s="200"/>
    </row>
    <row r="3147" spans="1:8" x14ac:dyDescent="0.25">
      <c r="A3147" s="133"/>
      <c r="B3147" s="195"/>
      <c r="C3147" s="226"/>
      <c r="D3147" s="232"/>
      <c r="E3147" s="232"/>
      <c r="F3147" s="226"/>
      <c r="G3147" s="229"/>
      <c r="H3147" s="200"/>
    </row>
    <row r="3148" spans="1:8" ht="15.75" thickBot="1" x14ac:dyDescent="0.3">
      <c r="A3148" s="133"/>
      <c r="B3148" s="195"/>
      <c r="C3148" s="226"/>
      <c r="D3148" s="232"/>
      <c r="E3148" s="232"/>
      <c r="F3148" s="226"/>
      <c r="G3148" s="229"/>
      <c r="H3148" s="200"/>
    </row>
    <row r="3149" spans="1:8" ht="15.75" thickBot="1" x14ac:dyDescent="0.3">
      <c r="A3149" s="133"/>
      <c r="B3149" s="233"/>
      <c r="C3149" s="234"/>
      <c r="D3149" s="234"/>
      <c r="E3149" s="234"/>
      <c r="F3149" s="235"/>
      <c r="G3149" s="236"/>
      <c r="H3149" s="237">
        <f>+SUM(G3143:G3149)</f>
        <v>14333.475797798596</v>
      </c>
    </row>
    <row r="3150" spans="1:8" ht="15.75" thickBot="1" x14ac:dyDescent="0.3">
      <c r="A3150" s="133"/>
      <c r="B3150" s="238"/>
      <c r="C3150" s="238"/>
      <c r="D3150" s="238"/>
      <c r="E3150" s="238"/>
      <c r="F3150" s="239"/>
      <c r="G3150" s="240"/>
      <c r="H3150" s="241"/>
    </row>
    <row r="3151" spans="1:8" ht="15.75" thickBot="1" x14ac:dyDescent="0.3">
      <c r="A3151" s="133"/>
      <c r="B3151" s="224" t="s">
        <v>5408</v>
      </c>
      <c r="C3151" s="193" t="s">
        <v>867</v>
      </c>
      <c r="D3151" s="193" t="s">
        <v>6</v>
      </c>
      <c r="E3151" s="193" t="s">
        <v>870</v>
      </c>
      <c r="F3151" s="193" t="s">
        <v>5409</v>
      </c>
      <c r="G3151" s="225" t="s">
        <v>868</v>
      </c>
      <c r="H3151" s="200"/>
    </row>
    <row r="3152" spans="1:8" x14ac:dyDescent="0.25">
      <c r="A3152" s="133"/>
      <c r="B3152" s="295"/>
      <c r="C3152" s="202"/>
      <c r="D3152" s="226"/>
      <c r="E3152" s="244"/>
      <c r="F3152" s="169"/>
      <c r="G3152" s="178">
        <f>+D3152*E3152*(1+F3152)</f>
        <v>0</v>
      </c>
      <c r="H3152" s="200"/>
    </row>
    <row r="3153" spans="1:8" x14ac:dyDescent="0.25">
      <c r="A3153" s="133"/>
      <c r="B3153" s="450"/>
      <c r="C3153" s="202"/>
      <c r="D3153" s="202"/>
      <c r="E3153" s="257"/>
      <c r="F3153" s="169"/>
      <c r="G3153" s="178">
        <f>+D3153*E3153*(1+F3153)</f>
        <v>0</v>
      </c>
      <c r="H3153" s="200"/>
    </row>
    <row r="3154" spans="1:8" x14ac:dyDescent="0.25">
      <c r="A3154" s="133"/>
      <c r="B3154" s="247"/>
      <c r="C3154" s="226"/>
      <c r="D3154" s="226"/>
      <c r="E3154" s="244"/>
      <c r="F3154" s="169"/>
      <c r="G3154" s="178">
        <f>+D3154*E3154*(1+F3154)</f>
        <v>0</v>
      </c>
      <c r="H3154" s="200"/>
    </row>
    <row r="3155" spans="1:8" x14ac:dyDescent="0.25">
      <c r="A3155" s="133"/>
      <c r="B3155" s="194"/>
      <c r="C3155" s="226"/>
      <c r="D3155" s="226"/>
      <c r="E3155" s="171"/>
      <c r="F3155" s="169"/>
      <c r="G3155" s="178">
        <f>+D3155*E3155*(1+F3155)</f>
        <v>0</v>
      </c>
      <c r="H3155" s="200"/>
    </row>
    <row r="3156" spans="1:8" x14ac:dyDescent="0.25">
      <c r="A3156" s="133"/>
      <c r="B3156" s="195"/>
      <c r="C3156" s="226"/>
      <c r="D3156" s="226"/>
      <c r="E3156" s="171"/>
      <c r="F3156" s="169"/>
      <c r="G3156" s="178"/>
      <c r="H3156" s="200"/>
    </row>
    <row r="3157" spans="1:8" x14ac:dyDescent="0.25">
      <c r="A3157" s="133"/>
      <c r="B3157" s="194"/>
      <c r="C3157" s="202"/>
      <c r="D3157" s="202"/>
      <c r="E3157" s="171"/>
      <c r="F3157" s="169"/>
      <c r="G3157" s="178"/>
      <c r="H3157" s="200"/>
    </row>
    <row r="3158" spans="1:8" x14ac:dyDescent="0.25">
      <c r="A3158" s="133"/>
      <c r="B3158" s="195"/>
      <c r="C3158" s="226"/>
      <c r="D3158" s="226"/>
      <c r="E3158" s="171"/>
      <c r="F3158" s="169"/>
      <c r="G3158" s="178"/>
      <c r="H3158" s="200"/>
    </row>
    <row r="3159" spans="1:8" x14ac:dyDescent="0.25">
      <c r="A3159" s="133"/>
      <c r="B3159" s="195"/>
      <c r="C3159" s="226"/>
      <c r="D3159" s="226"/>
      <c r="E3159" s="171"/>
      <c r="F3159" s="169"/>
      <c r="G3159" s="178"/>
      <c r="H3159" s="200"/>
    </row>
    <row r="3160" spans="1:8" x14ac:dyDescent="0.25">
      <c r="A3160" s="133"/>
      <c r="B3160" s="195"/>
      <c r="C3160" s="232"/>
      <c r="D3160" s="232"/>
      <c r="E3160" s="232"/>
      <c r="F3160" s="226"/>
      <c r="G3160" s="229"/>
      <c r="H3160" s="200"/>
    </row>
    <row r="3161" spans="1:8" x14ac:dyDescent="0.25">
      <c r="A3161" s="133"/>
      <c r="B3161" s="195"/>
      <c r="C3161" s="232"/>
      <c r="D3161" s="232"/>
      <c r="E3161" s="232"/>
      <c r="F3161" s="226"/>
      <c r="G3161" s="229"/>
      <c r="H3161" s="200"/>
    </row>
    <row r="3162" spans="1:8" x14ac:dyDescent="0.25">
      <c r="A3162" s="133"/>
      <c r="B3162" s="195"/>
      <c r="C3162" s="232"/>
      <c r="D3162" s="232"/>
      <c r="E3162" s="232"/>
      <c r="F3162" s="226"/>
      <c r="G3162" s="229"/>
      <c r="H3162" s="200"/>
    </row>
    <row r="3163" spans="1:8" ht="15.75" thickBot="1" x14ac:dyDescent="0.3">
      <c r="A3163" s="133"/>
      <c r="B3163" s="195"/>
      <c r="C3163" s="232"/>
      <c r="D3163" s="232"/>
      <c r="E3163" s="232"/>
      <c r="F3163" s="226"/>
      <c r="G3163" s="229"/>
      <c r="H3163" s="200"/>
    </row>
    <row r="3164" spans="1:8" ht="15.75" thickBot="1" x14ac:dyDescent="0.3">
      <c r="A3164" s="133"/>
      <c r="B3164" s="233"/>
      <c r="C3164" s="234"/>
      <c r="D3164" s="234"/>
      <c r="E3164" s="234"/>
      <c r="F3164" s="235"/>
      <c r="G3164" s="236"/>
      <c r="H3164" s="256">
        <f>+SUM(G3152:G3164)</f>
        <v>0</v>
      </c>
    </row>
    <row r="3165" spans="1:8" ht="15.75" thickBot="1" x14ac:dyDescent="0.3">
      <c r="A3165" s="133"/>
      <c r="B3165" s="238"/>
      <c r="C3165" s="238"/>
      <c r="D3165" s="238"/>
      <c r="E3165" s="238"/>
      <c r="F3165" s="239"/>
      <c r="G3165" s="240"/>
      <c r="H3165" s="241"/>
    </row>
    <row r="3166" spans="1:8" ht="15.75" thickBot="1" x14ac:dyDescent="0.3">
      <c r="A3166" s="133"/>
      <c r="B3166" s="224" t="s">
        <v>5410</v>
      </c>
      <c r="C3166" s="193" t="s">
        <v>867</v>
      </c>
      <c r="D3166" s="193" t="s">
        <v>6</v>
      </c>
      <c r="E3166" s="193" t="s">
        <v>870</v>
      </c>
      <c r="F3166" s="193" t="s">
        <v>5411</v>
      </c>
      <c r="G3166" s="225" t="s">
        <v>868</v>
      </c>
      <c r="H3166" s="200"/>
    </row>
    <row r="3167" spans="1:8" x14ac:dyDescent="0.25">
      <c r="A3167" s="133"/>
      <c r="B3167" s="245"/>
      <c r="C3167" s="202"/>
      <c r="D3167" s="202"/>
      <c r="E3167" s="175"/>
      <c r="F3167" s="202"/>
      <c r="G3167" s="203"/>
      <c r="H3167" s="246"/>
    </row>
    <row r="3168" spans="1:8" x14ac:dyDescent="0.25">
      <c r="A3168" s="133"/>
      <c r="B3168" s="247"/>
      <c r="C3168" s="248"/>
      <c r="D3168" s="248"/>
      <c r="E3168" s="248"/>
      <c r="F3168" s="202"/>
      <c r="G3168" s="178"/>
      <c r="H3168" s="200"/>
    </row>
    <row r="3169" spans="1:8" x14ac:dyDescent="0.25">
      <c r="A3169" s="133"/>
      <c r="B3169" s="247"/>
      <c r="C3169" s="232"/>
      <c r="D3169" s="232"/>
      <c r="E3169" s="232"/>
      <c r="F3169" s="226"/>
      <c r="G3169" s="229"/>
      <c r="H3169" s="200"/>
    </row>
    <row r="3170" spans="1:8" x14ac:dyDescent="0.25">
      <c r="A3170" s="133"/>
      <c r="B3170" s="194"/>
      <c r="C3170" s="232"/>
      <c r="D3170" s="232"/>
      <c r="E3170" s="232"/>
      <c r="F3170" s="226"/>
      <c r="G3170" s="229"/>
      <c r="H3170" s="200"/>
    </row>
    <row r="3171" spans="1:8" ht="15.75" thickBot="1" x14ac:dyDescent="0.3">
      <c r="A3171" s="133"/>
      <c r="B3171" s="195"/>
      <c r="C3171" s="232"/>
      <c r="D3171" s="232"/>
      <c r="E3171" s="232"/>
      <c r="F3171" s="226"/>
      <c r="G3171" s="229"/>
      <c r="H3171" s="200"/>
    </row>
    <row r="3172" spans="1:8" ht="15.75" thickBot="1" x14ac:dyDescent="0.3">
      <c r="A3172" s="133"/>
      <c r="B3172" s="233"/>
      <c r="C3172" s="234"/>
      <c r="D3172" s="234"/>
      <c r="E3172" s="234"/>
      <c r="F3172" s="235"/>
      <c r="G3172" s="236"/>
      <c r="H3172" s="237">
        <f>+SUM(G3167:G3172)</f>
        <v>0</v>
      </c>
    </row>
    <row r="3173" spans="1:8" ht="15.75" thickBot="1" x14ac:dyDescent="0.3">
      <c r="A3173" s="133"/>
      <c r="B3173" s="238"/>
      <c r="C3173" s="238"/>
      <c r="D3173" s="238"/>
      <c r="E3173" s="238"/>
      <c r="F3173" s="249"/>
      <c r="G3173" s="250"/>
      <c r="H3173" s="241"/>
    </row>
    <row r="3174" spans="1:8" ht="15.75" thickBot="1" x14ac:dyDescent="0.3">
      <c r="A3174" s="133"/>
      <c r="B3174" s="224" t="s">
        <v>5412</v>
      </c>
      <c r="C3174" s="193" t="s">
        <v>5420</v>
      </c>
      <c r="D3174" s="193" t="s">
        <v>5421</v>
      </c>
      <c r="E3174" s="193" t="s">
        <v>5413</v>
      </c>
      <c r="F3174" s="193" t="s">
        <v>5405</v>
      </c>
      <c r="G3174" s="225" t="s">
        <v>868</v>
      </c>
      <c r="H3174" s="200"/>
    </row>
    <row r="3175" spans="1:8" x14ac:dyDescent="0.25">
      <c r="A3175" s="133"/>
      <c r="B3175" s="194" t="s">
        <v>5948</v>
      </c>
      <c r="C3175" s="345">
        <v>70000</v>
      </c>
      <c r="D3175" s="176">
        <f>+C3175*0.85</f>
        <v>59500</v>
      </c>
      <c r="E3175" s="176">
        <f>+C3175+D3175</f>
        <v>129500</v>
      </c>
      <c r="F3175" s="204">
        <v>4.1473500000000003</v>
      </c>
      <c r="G3175" s="178">
        <f>+E3175/F3175</f>
        <v>31224.757977985941</v>
      </c>
      <c r="H3175" s="200"/>
    </row>
    <row r="3176" spans="1:8" x14ac:dyDescent="0.25">
      <c r="A3176" s="133"/>
      <c r="B3176" s="194" t="s">
        <v>5651</v>
      </c>
      <c r="C3176" s="345">
        <v>40000</v>
      </c>
      <c r="D3176" s="176">
        <f>+C3176*0.85</f>
        <v>34000</v>
      </c>
      <c r="E3176" s="176">
        <f>+C3176+D3176</f>
        <v>74000</v>
      </c>
      <c r="F3176" s="202">
        <v>1</v>
      </c>
      <c r="G3176" s="178">
        <f>+E3176/F3176</f>
        <v>74000</v>
      </c>
      <c r="H3176" s="200"/>
    </row>
    <row r="3177" spans="1:8" x14ac:dyDescent="0.25">
      <c r="A3177" s="133"/>
      <c r="B3177" s="195" t="s">
        <v>5635</v>
      </c>
      <c r="C3177" s="345">
        <v>20600</v>
      </c>
      <c r="D3177" s="176">
        <f>+C3177*0.85</f>
        <v>17510</v>
      </c>
      <c r="E3177" s="176">
        <f>+C3177+D3177</f>
        <v>38110</v>
      </c>
      <c r="F3177" s="226">
        <v>1</v>
      </c>
      <c r="G3177" s="178">
        <f>+E3177/F3177</f>
        <v>38110</v>
      </c>
      <c r="H3177" s="200"/>
    </row>
    <row r="3178" spans="1:8" x14ac:dyDescent="0.25">
      <c r="A3178" s="133"/>
      <c r="B3178" s="195"/>
      <c r="C3178" s="171"/>
      <c r="D3178" s="176"/>
      <c r="E3178" s="176"/>
      <c r="F3178" s="226"/>
      <c r="G3178" s="178"/>
      <c r="H3178" s="200"/>
    </row>
    <row r="3179" spans="1:8" x14ac:dyDescent="0.25">
      <c r="A3179" s="133"/>
      <c r="B3179" s="195"/>
      <c r="C3179" s="232"/>
      <c r="D3179" s="232"/>
      <c r="E3179" s="232"/>
      <c r="F3179" s="226"/>
      <c r="G3179" s="229"/>
      <c r="H3179" s="200"/>
    </row>
    <row r="3180" spans="1:8" ht="15.75" thickBot="1" x14ac:dyDescent="0.3">
      <c r="A3180" s="133"/>
      <c r="B3180" s="195"/>
      <c r="C3180" s="232"/>
      <c r="D3180" s="232"/>
      <c r="E3180" s="232"/>
      <c r="F3180" s="226"/>
      <c r="G3180" s="229"/>
      <c r="H3180" s="200"/>
    </row>
    <row r="3181" spans="1:8" ht="15.75" thickBot="1" x14ac:dyDescent="0.3">
      <c r="A3181" s="133"/>
      <c r="B3181" s="251"/>
      <c r="C3181" s="252"/>
      <c r="D3181" s="252"/>
      <c r="E3181" s="252"/>
      <c r="F3181" s="253"/>
      <c r="G3181" s="254"/>
      <c r="H3181" s="256">
        <f>+SUM(G3175:G3181)</f>
        <v>143334.75797798595</v>
      </c>
    </row>
    <row r="3182" spans="1:8" ht="15.75" thickBot="1" x14ac:dyDescent="0.3">
      <c r="A3182" s="133"/>
      <c r="B3182" s="8"/>
      <c r="C3182" s="8"/>
      <c r="D3182" s="8"/>
      <c r="E3182" s="8"/>
      <c r="F3182" s="133"/>
      <c r="G3182" s="200"/>
      <c r="H3182" s="200"/>
    </row>
    <row r="3183" spans="1:8" ht="15.75" thickBot="1" x14ac:dyDescent="0.3">
      <c r="A3183" s="133"/>
      <c r="B3183" s="8"/>
      <c r="C3183" s="8"/>
      <c r="D3183" s="8"/>
      <c r="E3183" s="223" t="s">
        <v>5415</v>
      </c>
      <c r="F3183" s="133"/>
      <c r="G3183" s="200"/>
      <c r="H3183" s="256">
        <f>ROUND(+H3181+H3172+H3164+H3149,0)</f>
        <v>157668</v>
      </c>
    </row>
    <row r="3184" spans="1:8" x14ac:dyDescent="0.25">
      <c r="A3184" s="265"/>
      <c r="B3184" s="265"/>
      <c r="C3184" s="265"/>
      <c r="D3184" s="265"/>
      <c r="E3184" s="265"/>
      <c r="F3184" s="265"/>
      <c r="G3184" s="265"/>
      <c r="H3184" s="265"/>
    </row>
    <row r="3185" spans="1:16" x14ac:dyDescent="0.25">
      <c r="A3185" s="133"/>
      <c r="B3185" s="265"/>
      <c r="C3185" s="265"/>
      <c r="D3185" s="265"/>
      <c r="E3185" s="265"/>
      <c r="F3185" s="265"/>
      <c r="G3185" s="265"/>
      <c r="H3185" s="265"/>
    </row>
    <row r="3186" spans="1:16" x14ac:dyDescent="0.25">
      <c r="A3186" s="133"/>
      <c r="B3186" s="265"/>
      <c r="C3186" s="265"/>
      <c r="D3186" s="265"/>
      <c r="E3186" s="265"/>
      <c r="F3186" s="265"/>
      <c r="G3186" s="265"/>
      <c r="H3186" s="265"/>
    </row>
    <row r="3187" spans="1:16" x14ac:dyDescent="0.25">
      <c r="A3187" s="133"/>
      <c r="B3187" s="265"/>
      <c r="C3187" s="265"/>
      <c r="D3187" s="265"/>
      <c r="E3187" s="265"/>
      <c r="F3187" s="265"/>
      <c r="G3187" s="265"/>
      <c r="H3187" s="265"/>
    </row>
    <row r="3188" spans="1:16" ht="18.75" x14ac:dyDescent="0.25">
      <c r="A3188" s="133"/>
      <c r="B3188" s="2506" t="s">
        <v>5400</v>
      </c>
      <c r="C3188" s="2506"/>
      <c r="D3188" s="2506"/>
      <c r="E3188" s="2506"/>
      <c r="F3188" s="2506"/>
      <c r="G3188" s="2506"/>
      <c r="H3188" s="8"/>
      <c r="I3188" s="133"/>
      <c r="J3188" s="2506" t="s">
        <v>5400</v>
      </c>
      <c r="K3188" s="2506"/>
      <c r="L3188" s="2506"/>
      <c r="M3188" s="2506"/>
      <c r="N3188" s="2506"/>
      <c r="O3188" s="2506"/>
      <c r="P3188" s="8"/>
    </row>
    <row r="3189" spans="1:16" x14ac:dyDescent="0.25">
      <c r="A3189" s="133"/>
      <c r="B3189" s="8"/>
      <c r="C3189" s="8"/>
      <c r="D3189" s="8"/>
      <c r="E3189" s="8"/>
      <c r="F3189" s="133"/>
      <c r="G3189" s="200"/>
      <c r="H3189" s="200"/>
      <c r="I3189" s="133"/>
      <c r="J3189" s="8"/>
      <c r="K3189" s="8"/>
      <c r="L3189" s="8"/>
      <c r="M3189" s="8"/>
      <c r="N3189" s="133"/>
      <c r="O3189" s="200"/>
      <c r="P3189" s="200"/>
    </row>
    <row r="3190" spans="1:16" x14ac:dyDescent="0.25">
      <c r="A3190" s="133"/>
      <c r="B3190" s="8"/>
      <c r="C3190" s="8"/>
      <c r="D3190" s="8"/>
      <c r="E3190" s="8"/>
      <c r="F3190" s="133"/>
      <c r="G3190" s="200"/>
      <c r="H3190" s="200"/>
      <c r="I3190" s="133"/>
      <c r="J3190" s="8"/>
      <c r="K3190" s="8"/>
      <c r="L3190" s="8"/>
      <c r="M3190" s="8"/>
      <c r="N3190" s="133"/>
      <c r="O3190" s="200"/>
      <c r="P3190" s="200"/>
    </row>
    <row r="3191" spans="1:16" x14ac:dyDescent="0.25">
      <c r="A3191" s="133"/>
      <c r="B3191" s="8"/>
      <c r="C3191" s="8"/>
      <c r="D3191" s="8"/>
      <c r="E3191" s="8"/>
      <c r="F3191" s="133"/>
      <c r="G3191" s="200"/>
      <c r="H3191" s="200"/>
      <c r="I3191" s="133"/>
      <c r="J3191" s="8"/>
      <c r="K3191" s="8"/>
      <c r="L3191" s="8"/>
      <c r="M3191" s="8"/>
      <c r="N3191" s="133"/>
      <c r="O3191" s="200"/>
      <c r="P3191" s="200"/>
    </row>
    <row r="3192" spans="1:16" ht="15" customHeight="1" x14ac:dyDescent="0.25">
      <c r="A3192" s="220" t="s">
        <v>5482</v>
      </c>
      <c r="B3192" s="221" t="s">
        <v>5540</v>
      </c>
      <c r="C3192" s="2449" t="s">
        <v>5541</v>
      </c>
      <c r="D3192" s="2449"/>
      <c r="E3192" s="2449"/>
      <c r="F3192" s="220" t="s">
        <v>867</v>
      </c>
      <c r="G3192" s="222" t="s">
        <v>5424</v>
      </c>
      <c r="H3192" s="200"/>
      <c r="I3192" s="220" t="s">
        <v>5482</v>
      </c>
      <c r="J3192" s="221" t="s">
        <v>5540</v>
      </c>
      <c r="K3192" s="2449" t="s">
        <v>6281</v>
      </c>
      <c r="L3192" s="2449"/>
      <c r="M3192" s="2449"/>
      <c r="N3192" s="220" t="s">
        <v>867</v>
      </c>
      <c r="O3192" s="222" t="s">
        <v>5424</v>
      </c>
      <c r="P3192" s="200"/>
    </row>
    <row r="3193" spans="1:16" x14ac:dyDescent="0.25">
      <c r="A3193" s="133"/>
      <c r="B3193" s="8"/>
      <c r="C3193" s="223"/>
      <c r="D3193" s="223"/>
      <c r="E3193" s="223"/>
      <c r="F3193" s="133"/>
      <c r="G3193" s="200"/>
      <c r="H3193" s="200"/>
      <c r="I3193" s="133"/>
      <c r="J3193" s="8"/>
      <c r="K3193" s="223"/>
      <c r="L3193" s="223"/>
      <c r="M3193" s="223"/>
      <c r="N3193" s="133"/>
      <c r="O3193" s="200"/>
      <c r="P3193" s="200"/>
    </row>
    <row r="3194" spans="1:16" x14ac:dyDescent="0.25">
      <c r="A3194" s="133"/>
      <c r="B3194" s="8"/>
      <c r="C3194" s="8"/>
      <c r="D3194" s="8"/>
      <c r="E3194" s="8"/>
      <c r="F3194" s="8"/>
      <c r="G3194" s="8"/>
      <c r="H3194" s="200"/>
      <c r="I3194" s="133"/>
      <c r="J3194" s="8"/>
      <c r="K3194" s="8"/>
      <c r="L3194" s="8"/>
      <c r="M3194" s="8"/>
      <c r="N3194" s="8"/>
      <c r="O3194" s="8"/>
      <c r="P3194" s="200"/>
    </row>
    <row r="3195" spans="1:16" ht="15.75" thickBot="1" x14ac:dyDescent="0.3">
      <c r="A3195" s="133"/>
      <c r="B3195" s="8"/>
      <c r="C3195" s="8"/>
      <c r="D3195" s="8"/>
      <c r="E3195" s="8"/>
      <c r="F3195" s="133"/>
      <c r="G3195" s="200"/>
      <c r="H3195" s="200"/>
      <c r="I3195" s="133"/>
      <c r="J3195" s="8"/>
      <c r="K3195" s="8"/>
      <c r="L3195" s="8"/>
      <c r="M3195" s="8"/>
      <c r="N3195" s="133"/>
      <c r="O3195" s="200"/>
      <c r="P3195" s="200"/>
    </row>
    <row r="3196" spans="1:16" ht="15.75" thickBot="1" x14ac:dyDescent="0.3">
      <c r="A3196" s="133"/>
      <c r="B3196" s="224" t="s">
        <v>5403</v>
      </c>
      <c r="C3196" s="193" t="s">
        <v>867</v>
      </c>
      <c r="D3196" s="193" t="s">
        <v>6</v>
      </c>
      <c r="E3196" s="193" t="s">
        <v>5439</v>
      </c>
      <c r="F3196" s="193" t="s">
        <v>5405</v>
      </c>
      <c r="G3196" s="225" t="s">
        <v>868</v>
      </c>
      <c r="H3196" s="200"/>
      <c r="I3196" s="133"/>
      <c r="J3196" s="224" t="s">
        <v>5403</v>
      </c>
      <c r="K3196" s="193" t="s">
        <v>867</v>
      </c>
      <c r="L3196" s="193" t="s">
        <v>6</v>
      </c>
      <c r="M3196" s="193" t="s">
        <v>5439</v>
      </c>
      <c r="N3196" s="193" t="s">
        <v>5405</v>
      </c>
      <c r="O3196" s="225" t="s">
        <v>868</v>
      </c>
      <c r="P3196" s="200"/>
    </row>
    <row r="3197" spans="1:16" x14ac:dyDescent="0.25">
      <c r="A3197" s="133"/>
      <c r="B3197" s="195" t="s">
        <v>5440</v>
      </c>
      <c r="C3197" s="226" t="s">
        <v>5402</v>
      </c>
      <c r="D3197" s="226">
        <v>1</v>
      </c>
      <c r="E3197" s="263">
        <f>+H3235</f>
        <v>23717</v>
      </c>
      <c r="F3197" s="226">
        <v>0.1</v>
      </c>
      <c r="G3197" s="229">
        <f>+E3197*F3197</f>
        <v>2371.7000000000003</v>
      </c>
      <c r="H3197" s="200"/>
      <c r="I3197" s="133"/>
      <c r="J3197" s="195" t="s">
        <v>5440</v>
      </c>
      <c r="K3197" s="226" t="s">
        <v>5402</v>
      </c>
      <c r="L3197" s="226">
        <v>1</v>
      </c>
      <c r="M3197" s="263">
        <f>+P3235</f>
        <v>23717</v>
      </c>
      <c r="N3197" s="226">
        <v>0.1</v>
      </c>
      <c r="O3197" s="229">
        <f>+M3197*N3197</f>
        <v>2371.7000000000003</v>
      </c>
      <c r="P3197" s="200"/>
    </row>
    <row r="3198" spans="1:16" x14ac:dyDescent="0.25">
      <c r="A3198" s="133"/>
      <c r="B3198" s="195"/>
      <c r="C3198" s="226"/>
      <c r="D3198" s="226"/>
      <c r="E3198" s="264"/>
      <c r="F3198" s="226"/>
      <c r="G3198" s="229"/>
      <c r="H3198" s="200"/>
      <c r="I3198" s="133"/>
      <c r="J3198" s="195"/>
      <c r="K3198" s="226"/>
      <c r="L3198" s="226"/>
      <c r="M3198" s="264"/>
      <c r="N3198" s="226"/>
      <c r="O3198" s="229"/>
      <c r="P3198" s="200"/>
    </row>
    <row r="3199" spans="1:16" x14ac:dyDescent="0.25">
      <c r="A3199" s="133"/>
      <c r="B3199" s="195"/>
      <c r="C3199" s="226"/>
      <c r="D3199" s="226"/>
      <c r="E3199" s="176"/>
      <c r="F3199" s="226"/>
      <c r="G3199" s="229"/>
      <c r="H3199" s="200"/>
      <c r="I3199" s="133"/>
      <c r="J3199" s="195"/>
      <c r="K3199" s="226"/>
      <c r="L3199" s="226"/>
      <c r="M3199" s="176"/>
      <c r="N3199" s="226"/>
      <c r="O3199" s="229"/>
      <c r="P3199" s="200"/>
    </row>
    <row r="3200" spans="1:16" x14ac:dyDescent="0.25">
      <c r="A3200" s="133"/>
      <c r="B3200" s="195"/>
      <c r="C3200" s="226"/>
      <c r="D3200" s="226"/>
      <c r="E3200" s="171"/>
      <c r="F3200" s="226"/>
      <c r="G3200" s="231"/>
      <c r="H3200" s="200"/>
      <c r="I3200" s="133"/>
      <c r="J3200" s="195"/>
      <c r="K3200" s="226"/>
      <c r="L3200" s="226"/>
      <c r="M3200" s="171"/>
      <c r="N3200" s="226"/>
      <c r="O3200" s="231"/>
      <c r="P3200" s="200"/>
    </row>
    <row r="3201" spans="1:16" x14ac:dyDescent="0.25">
      <c r="A3201" s="133"/>
      <c r="B3201" s="195"/>
      <c r="C3201" s="226"/>
      <c r="D3201" s="232"/>
      <c r="E3201" s="232"/>
      <c r="F3201" s="226"/>
      <c r="G3201" s="229"/>
      <c r="H3201" s="200"/>
      <c r="I3201" s="133"/>
      <c r="J3201" s="195"/>
      <c r="K3201" s="226"/>
      <c r="L3201" s="232"/>
      <c r="M3201" s="232"/>
      <c r="N3201" s="226"/>
      <c r="O3201" s="229"/>
      <c r="P3201" s="200"/>
    </row>
    <row r="3202" spans="1:16" ht="15.75" thickBot="1" x14ac:dyDescent="0.3">
      <c r="A3202" s="133"/>
      <c r="B3202" s="195"/>
      <c r="C3202" s="226"/>
      <c r="D3202" s="232"/>
      <c r="E3202" s="232"/>
      <c r="F3202" s="226"/>
      <c r="G3202" s="229"/>
      <c r="H3202" s="200"/>
      <c r="I3202" s="133"/>
      <c r="J3202" s="195"/>
      <c r="K3202" s="226"/>
      <c r="L3202" s="232"/>
      <c r="M3202" s="232"/>
      <c r="N3202" s="226"/>
      <c r="O3202" s="229"/>
      <c r="P3202" s="200"/>
    </row>
    <row r="3203" spans="1:16" ht="15.75" thickBot="1" x14ac:dyDescent="0.3">
      <c r="A3203" s="133"/>
      <c r="B3203" s="233"/>
      <c r="C3203" s="234"/>
      <c r="D3203" s="234"/>
      <c r="E3203" s="234"/>
      <c r="F3203" s="235"/>
      <c r="G3203" s="236"/>
      <c r="H3203" s="237">
        <f>+SUM(G3197:G3203)</f>
        <v>2371.7000000000003</v>
      </c>
      <c r="I3203" s="133"/>
      <c r="J3203" s="233"/>
      <c r="K3203" s="234"/>
      <c r="L3203" s="234"/>
      <c r="M3203" s="234"/>
      <c r="N3203" s="235"/>
      <c r="O3203" s="236"/>
      <c r="P3203" s="237">
        <f>+SUM(O3197:O3203)</f>
        <v>2371.7000000000003</v>
      </c>
    </row>
    <row r="3204" spans="1:16" ht="15.75" thickBot="1" x14ac:dyDescent="0.3">
      <c r="A3204" s="133"/>
      <c r="B3204" s="238"/>
      <c r="C3204" s="238"/>
      <c r="D3204" s="238"/>
      <c r="E3204" s="238"/>
      <c r="F3204" s="239"/>
      <c r="G3204" s="240"/>
      <c r="H3204" s="241"/>
      <c r="I3204" s="133"/>
      <c r="J3204" s="238"/>
      <c r="K3204" s="238"/>
      <c r="L3204" s="238"/>
      <c r="M3204" s="238"/>
      <c r="N3204" s="239"/>
      <c r="O3204" s="240"/>
      <c r="P3204" s="241"/>
    </row>
    <row r="3205" spans="1:16" ht="15.75" thickBot="1" x14ac:dyDescent="0.3">
      <c r="A3205" s="133"/>
      <c r="B3205" s="224" t="s">
        <v>5408</v>
      </c>
      <c r="C3205" s="193" t="s">
        <v>867</v>
      </c>
      <c r="D3205" s="193" t="s">
        <v>6</v>
      </c>
      <c r="E3205" s="193" t="s">
        <v>870</v>
      </c>
      <c r="F3205" s="193" t="s">
        <v>5409</v>
      </c>
      <c r="G3205" s="225" t="s">
        <v>868</v>
      </c>
      <c r="H3205" s="200"/>
      <c r="I3205" s="133"/>
      <c r="J3205" s="224" t="s">
        <v>5408</v>
      </c>
      <c r="K3205" s="193" t="s">
        <v>867</v>
      </c>
      <c r="L3205" s="193" t="s">
        <v>6</v>
      </c>
      <c r="M3205" s="193" t="s">
        <v>870</v>
      </c>
      <c r="N3205" s="193" t="s">
        <v>5409</v>
      </c>
      <c r="O3205" s="225" t="s">
        <v>868</v>
      </c>
      <c r="P3205" s="200"/>
    </row>
    <row r="3206" spans="1:16" x14ac:dyDescent="0.25">
      <c r="A3206" s="133"/>
      <c r="B3206" s="530" t="s">
        <v>6280</v>
      </c>
      <c r="C3206" s="202" t="s">
        <v>5424</v>
      </c>
      <c r="D3206" s="226">
        <v>1</v>
      </c>
      <c r="E3206" s="244">
        <f>91000*1.16</f>
        <v>105560</v>
      </c>
      <c r="F3206" s="169">
        <v>0.01</v>
      </c>
      <c r="G3206" s="178">
        <f>+D3206*E3206*(1+F3206)</f>
        <v>106615.6</v>
      </c>
      <c r="H3206" s="200"/>
      <c r="I3206" s="133"/>
      <c r="J3206" s="530" t="s">
        <v>6282</v>
      </c>
      <c r="K3206" s="202" t="s">
        <v>5424</v>
      </c>
      <c r="L3206" s="226">
        <v>1</v>
      </c>
      <c r="M3206" s="244">
        <f>125000*1.16</f>
        <v>145000</v>
      </c>
      <c r="N3206" s="169">
        <v>0.01</v>
      </c>
      <c r="O3206" s="178">
        <f>+L3206*M3206*(1+N3206)</f>
        <v>146450</v>
      </c>
      <c r="P3206" s="200"/>
    </row>
    <row r="3207" spans="1:16" x14ac:dyDescent="0.25">
      <c r="A3207" s="133"/>
      <c r="B3207" s="269" t="s">
        <v>6009</v>
      </c>
      <c r="C3207" s="202" t="s">
        <v>5542</v>
      </c>
      <c r="D3207" s="202">
        <v>4.0000000000000001E-3</v>
      </c>
      <c r="E3207" s="257">
        <f>+'APU CAP 5'!H808</f>
        <v>269606</v>
      </c>
      <c r="F3207" s="169">
        <v>0.1</v>
      </c>
      <c r="G3207" s="178">
        <f>+D3207*E3207*(1+F3207)</f>
        <v>1186.2664</v>
      </c>
      <c r="H3207" s="200"/>
      <c r="I3207" s="133"/>
      <c r="J3207" s="269" t="s">
        <v>6009</v>
      </c>
      <c r="K3207" s="202" t="s">
        <v>5542</v>
      </c>
      <c r="L3207" s="202">
        <v>4.0000000000000001E-3</v>
      </c>
      <c r="M3207" s="257">
        <f>+'APU CAP 5'!H808</f>
        <v>269606</v>
      </c>
      <c r="N3207" s="169">
        <v>0.1</v>
      </c>
      <c r="O3207" s="178">
        <f>+L3207*M3207*(1+N3207)</f>
        <v>1186.2664</v>
      </c>
      <c r="P3207" s="200"/>
    </row>
    <row r="3208" spans="1:16" x14ac:dyDescent="0.25">
      <c r="A3208" s="133"/>
      <c r="B3208" s="243" t="s">
        <v>6283</v>
      </c>
      <c r="C3208" s="202" t="s">
        <v>5424</v>
      </c>
      <c r="D3208" s="226">
        <v>1</v>
      </c>
      <c r="E3208" s="244">
        <v>35000</v>
      </c>
      <c r="F3208" s="169">
        <v>0.05</v>
      </c>
      <c r="G3208" s="178">
        <f>+D3208*E3208*(1+F3208)</f>
        <v>36750</v>
      </c>
      <c r="H3208" s="200"/>
      <c r="I3208" s="133"/>
      <c r="J3208" s="243"/>
      <c r="K3208" s="226"/>
      <c r="L3208" s="226"/>
      <c r="M3208" s="244"/>
      <c r="N3208" s="169"/>
      <c r="O3208" s="178"/>
      <c r="P3208" s="200"/>
    </row>
    <row r="3209" spans="1:16" x14ac:dyDescent="0.25">
      <c r="A3209" s="133"/>
      <c r="B3209" s="194"/>
      <c r="C3209" s="226"/>
      <c r="D3209" s="226"/>
      <c r="E3209" s="171"/>
      <c r="F3209" s="169"/>
      <c r="G3209" s="178"/>
      <c r="H3209" s="200"/>
      <c r="I3209" s="133"/>
      <c r="J3209" s="194"/>
      <c r="K3209" s="226"/>
      <c r="L3209" s="226"/>
      <c r="M3209" s="171"/>
      <c r="N3209" s="169"/>
      <c r="O3209" s="178"/>
      <c r="P3209" s="200"/>
    </row>
    <row r="3210" spans="1:16" x14ac:dyDescent="0.25">
      <c r="A3210" s="133"/>
      <c r="B3210" s="195"/>
      <c r="C3210" s="226"/>
      <c r="D3210" s="226"/>
      <c r="E3210" s="171"/>
      <c r="F3210" s="169"/>
      <c r="G3210" s="178"/>
      <c r="H3210" s="200"/>
      <c r="I3210" s="133"/>
      <c r="J3210" s="195"/>
      <c r="K3210" s="226"/>
      <c r="L3210" s="226"/>
      <c r="M3210" s="171"/>
      <c r="N3210" s="169"/>
      <c r="O3210" s="178"/>
      <c r="P3210" s="200"/>
    </row>
    <row r="3211" spans="1:16" x14ac:dyDescent="0.25">
      <c r="A3211" s="133"/>
      <c r="B3211" s="194"/>
      <c r="C3211" s="202"/>
      <c r="D3211" s="202"/>
      <c r="E3211" s="171"/>
      <c r="F3211" s="169"/>
      <c r="G3211" s="178"/>
      <c r="H3211" s="200"/>
      <c r="I3211" s="133"/>
      <c r="J3211" s="194"/>
      <c r="K3211" s="202"/>
      <c r="L3211" s="202"/>
      <c r="M3211" s="171"/>
      <c r="N3211" s="169"/>
      <c r="O3211" s="178"/>
      <c r="P3211" s="200"/>
    </row>
    <row r="3212" spans="1:16" x14ac:dyDescent="0.25">
      <c r="A3212" s="133"/>
      <c r="B3212" s="195"/>
      <c r="C3212" s="226"/>
      <c r="D3212" s="226"/>
      <c r="E3212" s="171"/>
      <c r="F3212" s="169"/>
      <c r="G3212" s="178"/>
      <c r="H3212" s="200"/>
      <c r="I3212" s="133"/>
      <c r="J3212" s="195"/>
      <c r="K3212" s="226"/>
      <c r="L3212" s="226"/>
      <c r="M3212" s="171"/>
      <c r="N3212" s="169"/>
      <c r="O3212" s="178"/>
      <c r="P3212" s="200"/>
    </row>
    <row r="3213" spans="1:16" x14ac:dyDescent="0.25">
      <c r="A3213" s="133"/>
      <c r="B3213" s="195"/>
      <c r="C3213" s="226"/>
      <c r="D3213" s="226"/>
      <c r="E3213" s="171"/>
      <c r="F3213" s="169"/>
      <c r="G3213" s="178"/>
      <c r="H3213" s="200"/>
      <c r="I3213" s="133"/>
      <c r="J3213" s="195"/>
      <c r="K3213" s="226"/>
      <c r="L3213" s="226"/>
      <c r="M3213" s="171"/>
      <c r="N3213" s="169"/>
      <c r="O3213" s="178"/>
      <c r="P3213" s="200"/>
    </row>
    <row r="3214" spans="1:16" x14ac:dyDescent="0.25">
      <c r="A3214" s="133"/>
      <c r="B3214" s="195"/>
      <c r="C3214" s="232"/>
      <c r="D3214" s="232"/>
      <c r="E3214" s="232"/>
      <c r="F3214" s="226"/>
      <c r="G3214" s="229"/>
      <c r="H3214" s="200"/>
      <c r="I3214" s="133"/>
      <c r="J3214" s="195"/>
      <c r="K3214" s="232"/>
      <c r="L3214" s="232"/>
      <c r="M3214" s="232"/>
      <c r="N3214" s="226"/>
      <c r="O3214" s="229"/>
      <c r="P3214" s="200"/>
    </row>
    <row r="3215" spans="1:16" x14ac:dyDescent="0.25">
      <c r="A3215" s="133"/>
      <c r="B3215" s="195"/>
      <c r="C3215" s="232"/>
      <c r="D3215" s="232"/>
      <c r="E3215" s="232"/>
      <c r="F3215" s="226"/>
      <c r="G3215" s="229"/>
      <c r="H3215" s="200"/>
      <c r="I3215" s="133"/>
      <c r="J3215" s="195"/>
      <c r="K3215" s="232"/>
      <c r="L3215" s="232"/>
      <c r="M3215" s="232"/>
      <c r="N3215" s="226"/>
      <c r="O3215" s="229"/>
      <c r="P3215" s="200"/>
    </row>
    <row r="3216" spans="1:16" x14ac:dyDescent="0.25">
      <c r="A3216" s="133"/>
      <c r="B3216" s="195"/>
      <c r="C3216" s="232"/>
      <c r="D3216" s="232"/>
      <c r="E3216" s="232"/>
      <c r="F3216" s="226"/>
      <c r="G3216" s="229"/>
      <c r="H3216" s="200"/>
      <c r="I3216" s="133"/>
      <c r="J3216" s="195"/>
      <c r="K3216" s="232"/>
      <c r="L3216" s="232"/>
      <c r="M3216" s="232"/>
      <c r="N3216" s="226"/>
      <c r="O3216" s="229"/>
      <c r="P3216" s="200"/>
    </row>
    <row r="3217" spans="1:16" ht="15.75" thickBot="1" x14ac:dyDescent="0.3">
      <c r="A3217" s="133"/>
      <c r="B3217" s="195"/>
      <c r="C3217" s="232"/>
      <c r="D3217" s="232"/>
      <c r="E3217" s="232"/>
      <c r="F3217" s="226"/>
      <c r="G3217" s="229"/>
      <c r="H3217" s="200"/>
      <c r="I3217" s="133"/>
      <c r="J3217" s="195"/>
      <c r="K3217" s="232"/>
      <c r="L3217" s="232"/>
      <c r="M3217" s="232"/>
      <c r="N3217" s="226"/>
      <c r="O3217" s="229"/>
      <c r="P3217" s="200"/>
    </row>
    <row r="3218" spans="1:16" ht="15.75" thickBot="1" x14ac:dyDescent="0.3">
      <c r="A3218" s="133"/>
      <c r="B3218" s="233"/>
      <c r="C3218" s="234"/>
      <c r="D3218" s="234"/>
      <c r="E3218" s="234"/>
      <c r="F3218" s="235"/>
      <c r="G3218" s="236"/>
      <c r="H3218" s="256">
        <f>+SUM(G3206:G3218)</f>
        <v>144551.8664</v>
      </c>
      <c r="I3218" s="133"/>
      <c r="J3218" s="233"/>
      <c r="K3218" s="234"/>
      <c r="L3218" s="234"/>
      <c r="M3218" s="234"/>
      <c r="N3218" s="235"/>
      <c r="O3218" s="236"/>
      <c r="P3218" s="256">
        <f>+SUM(O3206:O3218)</f>
        <v>147636.26639999999</v>
      </c>
    </row>
    <row r="3219" spans="1:16" ht="15.75" thickBot="1" x14ac:dyDescent="0.3">
      <c r="A3219" s="133"/>
      <c r="B3219" s="238"/>
      <c r="C3219" s="238"/>
      <c r="D3219" s="238"/>
      <c r="E3219" s="238"/>
      <c r="F3219" s="239"/>
      <c r="G3219" s="240"/>
      <c r="H3219" s="241"/>
      <c r="I3219" s="133"/>
      <c r="J3219" s="238"/>
      <c r="K3219" s="238"/>
      <c r="L3219" s="238"/>
      <c r="M3219" s="238"/>
      <c r="N3219" s="239"/>
      <c r="O3219" s="240"/>
      <c r="P3219" s="241"/>
    </row>
    <row r="3220" spans="1:16" ht="15.75" thickBot="1" x14ac:dyDescent="0.3">
      <c r="A3220" s="133"/>
      <c r="B3220" s="224" t="s">
        <v>5410</v>
      </c>
      <c r="C3220" s="193" t="s">
        <v>867</v>
      </c>
      <c r="D3220" s="193" t="s">
        <v>6</v>
      </c>
      <c r="E3220" s="193" t="s">
        <v>870</v>
      </c>
      <c r="F3220" s="193" t="s">
        <v>5411</v>
      </c>
      <c r="G3220" s="225" t="s">
        <v>868</v>
      </c>
      <c r="H3220" s="200"/>
      <c r="I3220" s="133"/>
      <c r="J3220" s="224" t="s">
        <v>5410</v>
      </c>
      <c r="K3220" s="193" t="s">
        <v>867</v>
      </c>
      <c r="L3220" s="193" t="s">
        <v>6</v>
      </c>
      <c r="M3220" s="193" t="s">
        <v>870</v>
      </c>
      <c r="N3220" s="193" t="s">
        <v>5411</v>
      </c>
      <c r="O3220" s="225" t="s">
        <v>868</v>
      </c>
      <c r="P3220" s="200"/>
    </row>
    <row r="3221" spans="1:16" x14ac:dyDescent="0.25">
      <c r="A3221" s="133"/>
      <c r="B3221" s="242"/>
      <c r="C3221" s="202"/>
      <c r="D3221" s="202"/>
      <c r="E3221" s="175"/>
      <c r="F3221" s="202"/>
      <c r="G3221" s="203"/>
      <c r="H3221" s="246"/>
      <c r="I3221" s="133"/>
      <c r="J3221" s="242"/>
      <c r="K3221" s="202"/>
      <c r="L3221" s="202"/>
      <c r="M3221" s="175"/>
      <c r="N3221" s="202"/>
      <c r="O3221" s="203"/>
      <c r="P3221" s="246"/>
    </row>
    <row r="3222" spans="1:16" x14ac:dyDescent="0.25">
      <c r="A3222" s="133"/>
      <c r="B3222" s="243"/>
      <c r="C3222" s="248"/>
      <c r="D3222" s="248"/>
      <c r="E3222" s="248"/>
      <c r="F3222" s="202"/>
      <c r="G3222" s="178"/>
      <c r="H3222" s="200"/>
      <c r="I3222" s="133"/>
      <c r="J3222" s="243"/>
      <c r="K3222" s="248"/>
      <c r="L3222" s="248"/>
      <c r="M3222" s="248"/>
      <c r="N3222" s="202"/>
      <c r="O3222" s="178"/>
      <c r="P3222" s="200"/>
    </row>
    <row r="3223" spans="1:16" x14ac:dyDescent="0.25">
      <c r="A3223" s="133"/>
      <c r="B3223" s="243"/>
      <c r="C3223" s="232"/>
      <c r="D3223" s="232"/>
      <c r="E3223" s="232"/>
      <c r="F3223" s="226"/>
      <c r="G3223" s="229"/>
      <c r="H3223" s="200"/>
      <c r="I3223" s="133"/>
      <c r="J3223" s="243"/>
      <c r="K3223" s="232"/>
      <c r="L3223" s="232"/>
      <c r="M3223" s="232"/>
      <c r="N3223" s="226"/>
      <c r="O3223" s="229"/>
      <c r="P3223" s="200"/>
    </row>
    <row r="3224" spans="1:16" x14ac:dyDescent="0.25">
      <c r="A3224" s="133"/>
      <c r="B3224" s="194"/>
      <c r="C3224" s="232"/>
      <c r="D3224" s="232"/>
      <c r="E3224" s="232"/>
      <c r="F3224" s="226"/>
      <c r="G3224" s="229"/>
      <c r="H3224" s="200"/>
      <c r="I3224" s="133"/>
      <c r="J3224" s="194"/>
      <c r="K3224" s="232"/>
      <c r="L3224" s="232"/>
      <c r="M3224" s="232"/>
      <c r="N3224" s="226"/>
      <c r="O3224" s="229"/>
      <c r="P3224" s="200"/>
    </row>
    <row r="3225" spans="1:16" ht="15.75" thickBot="1" x14ac:dyDescent="0.3">
      <c r="A3225" s="133"/>
      <c r="B3225" s="195"/>
      <c r="C3225" s="232"/>
      <c r="D3225" s="232"/>
      <c r="E3225" s="232"/>
      <c r="F3225" s="226"/>
      <c r="G3225" s="229"/>
      <c r="H3225" s="200"/>
      <c r="I3225" s="133"/>
      <c r="J3225" s="195"/>
      <c r="K3225" s="232"/>
      <c r="L3225" s="232"/>
      <c r="M3225" s="232"/>
      <c r="N3225" s="226"/>
      <c r="O3225" s="229"/>
      <c r="P3225" s="200"/>
    </row>
    <row r="3226" spans="1:16" ht="15.75" thickBot="1" x14ac:dyDescent="0.3">
      <c r="A3226" s="133"/>
      <c r="B3226" s="233"/>
      <c r="C3226" s="234"/>
      <c r="D3226" s="234"/>
      <c r="E3226" s="234"/>
      <c r="F3226" s="235"/>
      <c r="G3226" s="236"/>
      <c r="H3226" s="237">
        <f>+SUM(G3221:G3226)</f>
        <v>0</v>
      </c>
      <c r="I3226" s="133"/>
      <c r="J3226" s="233"/>
      <c r="K3226" s="234"/>
      <c r="L3226" s="234"/>
      <c r="M3226" s="234"/>
      <c r="N3226" s="235"/>
      <c r="O3226" s="236"/>
      <c r="P3226" s="237">
        <f>+SUM(O3221:O3226)</f>
        <v>0</v>
      </c>
    </row>
    <row r="3227" spans="1:16" ht="15.75" thickBot="1" x14ac:dyDescent="0.3">
      <c r="A3227" s="133"/>
      <c r="B3227" s="238"/>
      <c r="C3227" s="238"/>
      <c r="D3227" s="238"/>
      <c r="E3227" s="238"/>
      <c r="F3227" s="249"/>
      <c r="G3227" s="250"/>
      <c r="H3227" s="241"/>
      <c r="I3227" s="133"/>
      <c r="J3227" s="238"/>
      <c r="K3227" s="238"/>
      <c r="L3227" s="238"/>
      <c r="M3227" s="238"/>
      <c r="N3227" s="249"/>
      <c r="O3227" s="250"/>
      <c r="P3227" s="241"/>
    </row>
    <row r="3228" spans="1:16" ht="15.75" thickBot="1" x14ac:dyDescent="0.3">
      <c r="A3228" s="133"/>
      <c r="B3228" s="224" t="s">
        <v>5412</v>
      </c>
      <c r="C3228" s="193" t="s">
        <v>5420</v>
      </c>
      <c r="D3228" s="193" t="s">
        <v>5421</v>
      </c>
      <c r="E3228" s="193" t="s">
        <v>5413</v>
      </c>
      <c r="F3228" s="193" t="s">
        <v>5405</v>
      </c>
      <c r="G3228" s="225" t="s">
        <v>868</v>
      </c>
      <c r="H3228" s="200"/>
      <c r="I3228" s="133"/>
      <c r="J3228" s="224" t="s">
        <v>5412</v>
      </c>
      <c r="K3228" s="193" t="s">
        <v>5420</v>
      </c>
      <c r="L3228" s="193" t="s">
        <v>5421</v>
      </c>
      <c r="M3228" s="193" t="s">
        <v>5413</v>
      </c>
      <c r="N3228" s="193" t="s">
        <v>5405</v>
      </c>
      <c r="O3228" s="225" t="s">
        <v>868</v>
      </c>
      <c r="P3228" s="200"/>
    </row>
    <row r="3229" spans="1:16" x14ac:dyDescent="0.25">
      <c r="A3229" s="133"/>
      <c r="B3229" s="194" t="s">
        <v>5948</v>
      </c>
      <c r="C3229" s="345">
        <v>70000</v>
      </c>
      <c r="D3229" s="176">
        <f>+C3229*0.85</f>
        <v>59500</v>
      </c>
      <c r="E3229" s="176">
        <f>+C3229+D3229</f>
        <v>129500</v>
      </c>
      <c r="F3229" s="204">
        <v>100</v>
      </c>
      <c r="G3229" s="178">
        <f>+E3229/F3229</f>
        <v>1295</v>
      </c>
      <c r="H3229" s="200"/>
      <c r="I3229" s="133"/>
      <c r="J3229" s="194" t="s">
        <v>5948</v>
      </c>
      <c r="K3229" s="345">
        <v>70000</v>
      </c>
      <c r="L3229" s="176">
        <f>+K3229*0.85</f>
        <v>59500</v>
      </c>
      <c r="M3229" s="176">
        <f>+K3229+L3229</f>
        <v>129500</v>
      </c>
      <c r="N3229" s="204">
        <v>100</v>
      </c>
      <c r="O3229" s="178">
        <f>+M3229/N3229</f>
        <v>1295</v>
      </c>
      <c r="P3229" s="200"/>
    </row>
    <row r="3230" spans="1:16" x14ac:dyDescent="0.25">
      <c r="A3230" s="133"/>
      <c r="B3230" s="194" t="s">
        <v>5651</v>
      </c>
      <c r="C3230" s="345">
        <v>40000</v>
      </c>
      <c r="D3230" s="176">
        <f>+C3230*0.85</f>
        <v>34000</v>
      </c>
      <c r="E3230" s="176">
        <f>+C3230+D3230</f>
        <v>74000</v>
      </c>
      <c r="F3230" s="202">
        <v>5</v>
      </c>
      <c r="G3230" s="178">
        <f>+E3230/F3230</f>
        <v>14800</v>
      </c>
      <c r="H3230" s="200"/>
      <c r="I3230" s="133"/>
      <c r="J3230" s="194" t="s">
        <v>5651</v>
      </c>
      <c r="K3230" s="345">
        <v>40000</v>
      </c>
      <c r="L3230" s="176">
        <f>+K3230*0.85</f>
        <v>34000</v>
      </c>
      <c r="M3230" s="176">
        <f>+K3230+L3230</f>
        <v>74000</v>
      </c>
      <c r="N3230" s="202">
        <v>5</v>
      </c>
      <c r="O3230" s="178">
        <f>+M3230/N3230</f>
        <v>14800</v>
      </c>
      <c r="P3230" s="200"/>
    </row>
    <row r="3231" spans="1:16" x14ac:dyDescent="0.25">
      <c r="A3231" s="133"/>
      <c r="B3231" s="195" t="s">
        <v>5635</v>
      </c>
      <c r="C3231" s="345">
        <v>20600</v>
      </c>
      <c r="D3231" s="176">
        <f>+C3231*0.85</f>
        <v>17510</v>
      </c>
      <c r="E3231" s="176">
        <f>+C3231+D3231</f>
        <v>38110</v>
      </c>
      <c r="F3231" s="226">
        <v>5</v>
      </c>
      <c r="G3231" s="178">
        <f>+E3231/F3231</f>
        <v>7622</v>
      </c>
      <c r="H3231" s="200"/>
      <c r="I3231" s="133"/>
      <c r="J3231" s="195" t="s">
        <v>5635</v>
      </c>
      <c r="K3231" s="345">
        <v>20600</v>
      </c>
      <c r="L3231" s="176">
        <f>+K3231*0.85</f>
        <v>17510</v>
      </c>
      <c r="M3231" s="176">
        <f>+K3231+L3231</f>
        <v>38110</v>
      </c>
      <c r="N3231" s="226">
        <v>5</v>
      </c>
      <c r="O3231" s="178">
        <f>+M3231/N3231</f>
        <v>7622</v>
      </c>
      <c r="P3231" s="200"/>
    </row>
    <row r="3232" spans="1:16" x14ac:dyDescent="0.25">
      <c r="A3232" s="133"/>
      <c r="B3232" s="195"/>
      <c r="C3232" s="171"/>
      <c r="D3232" s="176"/>
      <c r="E3232" s="176"/>
      <c r="F3232" s="226"/>
      <c r="G3232" s="178"/>
      <c r="H3232" s="200"/>
      <c r="I3232" s="133"/>
      <c r="J3232" s="195"/>
      <c r="K3232" s="171"/>
      <c r="L3232" s="176"/>
      <c r="M3232" s="176"/>
      <c r="N3232" s="226"/>
      <c r="O3232" s="178"/>
      <c r="P3232" s="200"/>
    </row>
    <row r="3233" spans="1:16" x14ac:dyDescent="0.25">
      <c r="A3233" s="133"/>
      <c r="B3233" s="195"/>
      <c r="C3233" s="232"/>
      <c r="D3233" s="232"/>
      <c r="E3233" s="232"/>
      <c r="F3233" s="226"/>
      <c r="G3233" s="229"/>
      <c r="H3233" s="200"/>
      <c r="I3233" s="133"/>
      <c r="J3233" s="195"/>
      <c r="K3233" s="232"/>
      <c r="L3233" s="232"/>
      <c r="M3233" s="232"/>
      <c r="N3233" s="226"/>
      <c r="O3233" s="229"/>
      <c r="P3233" s="200"/>
    </row>
    <row r="3234" spans="1:16" ht="15.75" thickBot="1" x14ac:dyDescent="0.3">
      <c r="A3234" s="133"/>
      <c r="B3234" s="195"/>
      <c r="C3234" s="232"/>
      <c r="D3234" s="232"/>
      <c r="E3234" s="232"/>
      <c r="F3234" s="226"/>
      <c r="G3234" s="229"/>
      <c r="H3234" s="200"/>
      <c r="I3234" s="133"/>
      <c r="J3234" s="195"/>
      <c r="K3234" s="232"/>
      <c r="L3234" s="232"/>
      <c r="M3234" s="232"/>
      <c r="N3234" s="226"/>
      <c r="O3234" s="229"/>
      <c r="P3234" s="200"/>
    </row>
    <row r="3235" spans="1:16" ht="15.75" thickBot="1" x14ac:dyDescent="0.3">
      <c r="A3235" s="133"/>
      <c r="B3235" s="251"/>
      <c r="C3235" s="252"/>
      <c r="D3235" s="252"/>
      <c r="E3235" s="252"/>
      <c r="F3235" s="253"/>
      <c r="G3235" s="254"/>
      <c r="H3235" s="256">
        <f>+SUM(G3229:G3235)</f>
        <v>23717</v>
      </c>
      <c r="I3235" s="133"/>
      <c r="J3235" s="251"/>
      <c r="K3235" s="252"/>
      <c r="L3235" s="252"/>
      <c r="M3235" s="252"/>
      <c r="N3235" s="253"/>
      <c r="O3235" s="254"/>
      <c r="P3235" s="256">
        <f>+SUM(O3229:O3235)</f>
        <v>23717</v>
      </c>
    </row>
    <row r="3236" spans="1:16" ht="15.75" thickBot="1" x14ac:dyDescent="0.3">
      <c r="A3236" s="133"/>
      <c r="B3236" s="8"/>
      <c r="C3236" s="8"/>
      <c r="D3236" s="8"/>
      <c r="E3236" s="8"/>
      <c r="F3236" s="133"/>
      <c r="G3236" s="200"/>
      <c r="H3236" s="200"/>
      <c r="I3236" s="133"/>
      <c r="J3236" s="8"/>
      <c r="K3236" s="8"/>
      <c r="L3236" s="8"/>
      <c r="M3236" s="8"/>
      <c r="N3236" s="133"/>
      <c r="O3236" s="200"/>
      <c r="P3236" s="200"/>
    </row>
    <row r="3237" spans="1:16" ht="15.75" thickBot="1" x14ac:dyDescent="0.3">
      <c r="A3237" s="133"/>
      <c r="B3237" s="8"/>
      <c r="C3237" s="8"/>
      <c r="D3237" s="8"/>
      <c r="E3237" s="223" t="s">
        <v>5415</v>
      </c>
      <c r="F3237" s="133"/>
      <c r="G3237" s="200"/>
      <c r="H3237" s="256">
        <f>ROUND(+H3235+H3226+H3218+H3203,0)</f>
        <v>170641</v>
      </c>
      <c r="I3237" s="133"/>
      <c r="J3237" s="8"/>
      <c r="K3237" s="8"/>
      <c r="L3237" s="8"/>
      <c r="M3237" s="223" t="s">
        <v>5415</v>
      </c>
      <c r="N3237" s="133"/>
      <c r="O3237" s="200"/>
      <c r="P3237" s="256">
        <f>ROUND(+P3235+P3226+P3218+P3203,0)</f>
        <v>173725</v>
      </c>
    </row>
    <row r="3238" spans="1:16" x14ac:dyDescent="0.25">
      <c r="A3238" s="265"/>
      <c r="B3238" s="265"/>
      <c r="C3238" s="265"/>
      <c r="D3238" s="265"/>
      <c r="E3238" s="265"/>
      <c r="F3238" s="265"/>
      <c r="G3238" s="265"/>
      <c r="H3238" s="265"/>
      <c r="I3238" s="265"/>
      <c r="J3238" s="265"/>
      <c r="K3238" s="265"/>
      <c r="L3238" s="265"/>
      <c r="M3238" s="265"/>
      <c r="N3238" s="265"/>
      <c r="O3238" s="265"/>
      <c r="P3238" s="265"/>
    </row>
    <row r="3239" spans="1:16" x14ac:dyDescent="0.25">
      <c r="A3239" s="265"/>
      <c r="B3239" s="265"/>
      <c r="C3239" s="265"/>
      <c r="D3239" s="265"/>
      <c r="E3239" s="265"/>
      <c r="F3239" s="265"/>
      <c r="G3239" s="265"/>
      <c r="H3239" s="265"/>
      <c r="I3239" s="265"/>
      <c r="J3239" s="265"/>
      <c r="K3239" s="265"/>
      <c r="L3239" s="265"/>
      <c r="M3239" s="265"/>
      <c r="N3239" s="265"/>
      <c r="O3239" s="265"/>
      <c r="P3239" s="265"/>
    </row>
    <row r="3240" spans="1:16" x14ac:dyDescent="0.25">
      <c r="A3240" s="265"/>
      <c r="B3240" s="265"/>
      <c r="C3240" s="265"/>
      <c r="D3240" s="265"/>
      <c r="E3240" s="265"/>
      <c r="F3240" s="265"/>
      <c r="G3240" s="265"/>
      <c r="H3240" s="265"/>
      <c r="I3240" s="265"/>
      <c r="J3240" s="265"/>
      <c r="K3240" s="265"/>
      <c r="L3240" s="265"/>
      <c r="M3240" s="265"/>
      <c r="N3240" s="265"/>
      <c r="O3240" s="265"/>
      <c r="P3240" s="265"/>
    </row>
    <row r="3241" spans="1:16" x14ac:dyDescent="0.25">
      <c r="A3241" s="265"/>
      <c r="B3241" s="265"/>
      <c r="C3241" s="265"/>
      <c r="D3241" s="265"/>
      <c r="E3241" s="265"/>
      <c r="F3241" s="265"/>
      <c r="G3241" s="265"/>
      <c r="H3241" s="265"/>
      <c r="I3241" s="265"/>
      <c r="J3241" s="265"/>
      <c r="K3241" s="265"/>
      <c r="L3241" s="265"/>
      <c r="M3241" s="265"/>
      <c r="N3241" s="265"/>
      <c r="O3241" s="265"/>
      <c r="P3241" s="265"/>
    </row>
    <row r="3242" spans="1:16" ht="18.75" x14ac:dyDescent="0.25">
      <c r="A3242" s="133"/>
      <c r="B3242" s="2507" t="s">
        <v>5400</v>
      </c>
      <c r="C3242" s="2507"/>
      <c r="D3242" s="2507"/>
      <c r="E3242" s="2507"/>
      <c r="F3242" s="2507"/>
      <c r="G3242" s="2507"/>
      <c r="H3242" s="477"/>
    </row>
    <row r="3243" spans="1:16" x14ac:dyDescent="0.25">
      <c r="A3243" s="133"/>
      <c r="B3243" s="477"/>
      <c r="C3243" s="477"/>
      <c r="D3243" s="477"/>
      <c r="E3243" s="477"/>
      <c r="F3243" s="476"/>
      <c r="G3243" s="531"/>
      <c r="H3243" s="531"/>
    </row>
    <row r="3244" spans="1:16" x14ac:dyDescent="0.25">
      <c r="A3244" s="133"/>
      <c r="B3244" s="477"/>
      <c r="C3244" s="477"/>
      <c r="D3244" s="477"/>
      <c r="E3244" s="477"/>
      <c r="F3244" s="476"/>
      <c r="G3244" s="531"/>
      <c r="H3244" s="531"/>
    </row>
    <row r="3245" spans="1:16" x14ac:dyDescent="0.25">
      <c r="A3245" s="133"/>
      <c r="B3245" s="477"/>
      <c r="C3245" s="477"/>
      <c r="D3245" s="477"/>
      <c r="E3245" s="477"/>
      <c r="F3245" s="476"/>
      <c r="G3245" s="531"/>
      <c r="H3245" s="531"/>
    </row>
    <row r="3246" spans="1:16" ht="34.5" customHeight="1" x14ac:dyDescent="0.25">
      <c r="A3246" s="220" t="s">
        <v>5482</v>
      </c>
      <c r="B3246" s="532" t="s">
        <v>567</v>
      </c>
      <c r="C3246" s="2509" t="s">
        <v>5543</v>
      </c>
      <c r="D3246" s="2509"/>
      <c r="E3246" s="2509"/>
      <c r="F3246" s="476" t="s">
        <v>867</v>
      </c>
      <c r="G3246" s="533" t="s">
        <v>5424</v>
      </c>
      <c r="H3246" s="531"/>
    </row>
    <row r="3247" spans="1:16" x14ac:dyDescent="0.25">
      <c r="A3247" s="133"/>
      <c r="B3247" s="477"/>
      <c r="C3247" s="534"/>
      <c r="D3247" s="534"/>
      <c r="E3247" s="534"/>
      <c r="F3247" s="476"/>
      <c r="G3247" s="531"/>
      <c r="H3247" s="531"/>
    </row>
    <row r="3248" spans="1:16" x14ac:dyDescent="0.25">
      <c r="A3248" s="133"/>
      <c r="B3248" s="477"/>
      <c r="C3248" s="477"/>
      <c r="D3248" s="477"/>
      <c r="E3248" s="477"/>
      <c r="F3248" s="477"/>
      <c r="G3248" s="477"/>
      <c r="H3248" s="531"/>
    </row>
    <row r="3249" spans="1:8" ht="15.75" thickBot="1" x14ac:dyDescent="0.3">
      <c r="A3249" s="133"/>
      <c r="B3249" s="477"/>
      <c r="C3249" s="477"/>
      <c r="D3249" s="477"/>
      <c r="E3249" s="477"/>
      <c r="F3249" s="476"/>
      <c r="G3249" s="531"/>
      <c r="H3249" s="531"/>
    </row>
    <row r="3250" spans="1:8" ht="15.75" thickBot="1" x14ac:dyDescent="0.3">
      <c r="A3250" s="133"/>
      <c r="B3250" s="535" t="s">
        <v>5403</v>
      </c>
      <c r="C3250" s="536" t="s">
        <v>867</v>
      </c>
      <c r="D3250" s="536" t="s">
        <v>6</v>
      </c>
      <c r="E3250" s="536" t="s">
        <v>5439</v>
      </c>
      <c r="F3250" s="536" t="s">
        <v>5405</v>
      </c>
      <c r="G3250" s="537" t="s">
        <v>868</v>
      </c>
      <c r="H3250" s="531"/>
    </row>
    <row r="3251" spans="1:8" x14ac:dyDescent="0.25">
      <c r="A3251" s="133"/>
      <c r="B3251" s="538" t="s">
        <v>5440</v>
      </c>
      <c r="C3251" s="539" t="s">
        <v>5402</v>
      </c>
      <c r="D3251" s="539">
        <v>1</v>
      </c>
      <c r="E3251" s="540">
        <f>+H3289</f>
        <v>91766.985390913469</v>
      </c>
      <c r="F3251" s="539">
        <v>0.1</v>
      </c>
      <c r="G3251" s="541">
        <f>+E3251*F3251</f>
        <v>9176.6985390913469</v>
      </c>
      <c r="H3251" s="531"/>
    </row>
    <row r="3252" spans="1:8" x14ac:dyDescent="0.25">
      <c r="A3252" s="133"/>
      <c r="B3252" s="538"/>
      <c r="C3252" s="539"/>
      <c r="D3252" s="539"/>
      <c r="E3252" s="542"/>
      <c r="F3252" s="539"/>
      <c r="G3252" s="541"/>
      <c r="H3252" s="531"/>
    </row>
    <row r="3253" spans="1:8" x14ac:dyDescent="0.25">
      <c r="A3253" s="133"/>
      <c r="B3253" s="538"/>
      <c r="C3253" s="539"/>
      <c r="D3253" s="539"/>
      <c r="E3253" s="543"/>
      <c r="F3253" s="539"/>
      <c r="G3253" s="541"/>
      <c r="H3253" s="531"/>
    </row>
    <row r="3254" spans="1:8" x14ac:dyDescent="0.25">
      <c r="A3254" s="133"/>
      <c r="B3254" s="538"/>
      <c r="C3254" s="539"/>
      <c r="D3254" s="539"/>
      <c r="E3254" s="544"/>
      <c r="F3254" s="539"/>
      <c r="G3254" s="545"/>
      <c r="H3254" s="531"/>
    </row>
    <row r="3255" spans="1:8" x14ac:dyDescent="0.25">
      <c r="A3255" s="133"/>
      <c r="B3255" s="538"/>
      <c r="C3255" s="539"/>
      <c r="D3255" s="546"/>
      <c r="E3255" s="546"/>
      <c r="F3255" s="539"/>
      <c r="G3255" s="541"/>
      <c r="H3255" s="531"/>
    </row>
    <row r="3256" spans="1:8" ht="15.75" thickBot="1" x14ac:dyDescent="0.3">
      <c r="A3256" s="133"/>
      <c r="B3256" s="538"/>
      <c r="C3256" s="539"/>
      <c r="D3256" s="546"/>
      <c r="E3256" s="546"/>
      <c r="F3256" s="539"/>
      <c r="G3256" s="541"/>
      <c r="H3256" s="531"/>
    </row>
    <row r="3257" spans="1:8" ht="15.75" thickBot="1" x14ac:dyDescent="0.3">
      <c r="A3257" s="133"/>
      <c r="B3257" s="547"/>
      <c r="C3257" s="548"/>
      <c r="D3257" s="548"/>
      <c r="E3257" s="548"/>
      <c r="F3257" s="549"/>
      <c r="G3257" s="550"/>
      <c r="H3257" s="551">
        <f>+SUM(G3251:G3257)</f>
        <v>9176.6985390913469</v>
      </c>
    </row>
    <row r="3258" spans="1:8" ht="15.75" thickBot="1" x14ac:dyDescent="0.3">
      <c r="A3258" s="133"/>
      <c r="B3258" s="552"/>
      <c r="C3258" s="552"/>
      <c r="D3258" s="552"/>
      <c r="E3258" s="552"/>
      <c r="F3258" s="553"/>
      <c r="G3258" s="554"/>
      <c r="H3258" s="555"/>
    </row>
    <row r="3259" spans="1:8" ht="15.75" thickBot="1" x14ac:dyDescent="0.3">
      <c r="A3259" s="133"/>
      <c r="B3259" s="535" t="s">
        <v>5408</v>
      </c>
      <c r="C3259" s="536" t="s">
        <v>867</v>
      </c>
      <c r="D3259" s="536" t="s">
        <v>6</v>
      </c>
      <c r="E3259" s="536" t="s">
        <v>870</v>
      </c>
      <c r="F3259" s="536" t="s">
        <v>5409</v>
      </c>
      <c r="G3259" s="537" t="s">
        <v>868</v>
      </c>
      <c r="H3259" s="531"/>
    </row>
    <row r="3260" spans="1:8" x14ac:dyDescent="0.25">
      <c r="A3260" s="133"/>
      <c r="B3260" s="556" t="s">
        <v>6284</v>
      </c>
      <c r="C3260" s="557" t="s">
        <v>5542</v>
      </c>
      <c r="D3260" s="539">
        <v>0.19</v>
      </c>
      <c r="E3260" s="558">
        <v>271989</v>
      </c>
      <c r="F3260" s="509">
        <v>0.05</v>
      </c>
      <c r="G3260" s="559">
        <f>+D3260*E3260*(1+F3260)</f>
        <v>54261.805500000009</v>
      </c>
      <c r="H3260" s="531"/>
    </row>
    <row r="3261" spans="1:8" x14ac:dyDescent="0.25">
      <c r="A3261" s="133"/>
      <c r="B3261" s="560" t="s">
        <v>6285</v>
      </c>
      <c r="C3261" s="557" t="s">
        <v>5424</v>
      </c>
      <c r="D3261" s="557">
        <v>170.24</v>
      </c>
      <c r="E3261" s="561">
        <v>500</v>
      </c>
      <c r="F3261" s="509">
        <v>0.1</v>
      </c>
      <c r="G3261" s="559">
        <f>+D3261*E3261*(1+F3261)</f>
        <v>93632.000000000015</v>
      </c>
      <c r="H3261" s="531"/>
    </row>
    <row r="3262" spans="1:8" x14ac:dyDescent="0.25">
      <c r="A3262" s="133"/>
      <c r="B3262" s="562" t="s">
        <v>6009</v>
      </c>
      <c r="C3262" s="539" t="s">
        <v>5542</v>
      </c>
      <c r="D3262" s="539">
        <v>0.122</v>
      </c>
      <c r="E3262" s="558">
        <v>258470</v>
      </c>
      <c r="F3262" s="509">
        <v>0.1</v>
      </c>
      <c r="G3262" s="559">
        <f>+D3262*E3262*(1+F3262)</f>
        <v>34686.674000000006</v>
      </c>
      <c r="H3262" s="531"/>
    </row>
    <row r="3263" spans="1:8" x14ac:dyDescent="0.25">
      <c r="A3263" s="133"/>
      <c r="B3263" s="562" t="s">
        <v>5741</v>
      </c>
      <c r="C3263" s="539" t="s">
        <v>5431</v>
      </c>
      <c r="D3263" s="539">
        <v>15</v>
      </c>
      <c r="E3263" s="544">
        <v>2261.1</v>
      </c>
      <c r="F3263" s="509">
        <v>0.05</v>
      </c>
      <c r="G3263" s="559">
        <f>+D3263*E3263*(1+F3263)</f>
        <v>35612.325000000004</v>
      </c>
      <c r="H3263" s="531"/>
    </row>
    <row r="3264" spans="1:8" x14ac:dyDescent="0.25">
      <c r="A3264" s="133"/>
      <c r="B3264" s="562" t="s">
        <v>5625</v>
      </c>
      <c r="C3264" s="539" t="s">
        <v>5542</v>
      </c>
      <c r="D3264" s="539">
        <v>0.1</v>
      </c>
      <c r="E3264" s="544">
        <v>30000</v>
      </c>
      <c r="F3264" s="509">
        <v>0.1</v>
      </c>
      <c r="G3264" s="559">
        <f>+D3264*E3264*(1+F3264)</f>
        <v>3300.0000000000005</v>
      </c>
      <c r="H3264" s="531"/>
    </row>
    <row r="3265" spans="1:8" x14ac:dyDescent="0.25">
      <c r="A3265" s="133"/>
      <c r="B3265" s="563"/>
      <c r="C3265" s="557"/>
      <c r="D3265" s="557"/>
      <c r="E3265" s="544"/>
      <c r="F3265" s="509"/>
      <c r="G3265" s="559"/>
      <c r="H3265" s="531"/>
    </row>
    <row r="3266" spans="1:8" x14ac:dyDescent="0.25">
      <c r="A3266" s="133"/>
      <c r="B3266" s="538"/>
      <c r="C3266" s="539"/>
      <c r="D3266" s="539"/>
      <c r="E3266" s="544"/>
      <c r="F3266" s="509"/>
      <c r="G3266" s="559"/>
      <c r="H3266" s="531"/>
    </row>
    <row r="3267" spans="1:8" x14ac:dyDescent="0.25">
      <c r="A3267" s="133"/>
      <c r="B3267" s="538"/>
      <c r="C3267" s="539"/>
      <c r="D3267" s="539"/>
      <c r="E3267" s="544"/>
      <c r="F3267" s="509"/>
      <c r="G3267" s="559"/>
      <c r="H3267" s="531"/>
    </row>
    <row r="3268" spans="1:8" x14ac:dyDescent="0.25">
      <c r="A3268" s="133"/>
      <c r="B3268" s="538"/>
      <c r="C3268" s="546"/>
      <c r="D3268" s="546"/>
      <c r="E3268" s="546"/>
      <c r="F3268" s="539"/>
      <c r="G3268" s="541"/>
      <c r="H3268" s="531"/>
    </row>
    <row r="3269" spans="1:8" x14ac:dyDescent="0.25">
      <c r="A3269" s="133"/>
      <c r="B3269" s="538"/>
      <c r="C3269" s="546"/>
      <c r="D3269" s="546"/>
      <c r="E3269" s="546"/>
      <c r="F3269" s="539"/>
      <c r="G3269" s="541"/>
      <c r="H3269" s="531"/>
    </row>
    <row r="3270" spans="1:8" x14ac:dyDescent="0.25">
      <c r="A3270" s="133"/>
      <c r="B3270" s="538"/>
      <c r="C3270" s="546"/>
      <c r="D3270" s="546"/>
      <c r="E3270" s="546"/>
      <c r="F3270" s="539"/>
      <c r="G3270" s="541"/>
      <c r="H3270" s="531"/>
    </row>
    <row r="3271" spans="1:8" ht="15.75" thickBot="1" x14ac:dyDescent="0.3">
      <c r="A3271" s="133"/>
      <c r="B3271" s="538"/>
      <c r="C3271" s="546"/>
      <c r="D3271" s="546"/>
      <c r="E3271" s="546"/>
      <c r="F3271" s="539"/>
      <c r="G3271" s="541"/>
      <c r="H3271" s="531"/>
    </row>
    <row r="3272" spans="1:8" ht="15.75" thickBot="1" x14ac:dyDescent="0.3">
      <c r="A3272" s="133"/>
      <c r="B3272" s="547"/>
      <c r="C3272" s="548"/>
      <c r="D3272" s="548"/>
      <c r="E3272" s="548"/>
      <c r="F3272" s="549"/>
      <c r="G3272" s="550"/>
      <c r="H3272" s="564">
        <f>+SUM(G3260:G3272)</f>
        <v>221492.80450000003</v>
      </c>
    </row>
    <row r="3273" spans="1:8" ht="15.75" thickBot="1" x14ac:dyDescent="0.3">
      <c r="A3273" s="133"/>
      <c r="B3273" s="552"/>
      <c r="C3273" s="552"/>
      <c r="D3273" s="552"/>
      <c r="E3273" s="552"/>
      <c r="F3273" s="553"/>
      <c r="G3273" s="554"/>
      <c r="H3273" s="555"/>
    </row>
    <row r="3274" spans="1:8" ht="15.75" thickBot="1" x14ac:dyDescent="0.3">
      <c r="A3274" s="133"/>
      <c r="B3274" s="535" t="s">
        <v>5410</v>
      </c>
      <c r="C3274" s="536" t="s">
        <v>867</v>
      </c>
      <c r="D3274" s="536" t="s">
        <v>6</v>
      </c>
      <c r="E3274" s="536" t="s">
        <v>870</v>
      </c>
      <c r="F3274" s="536" t="s">
        <v>5411</v>
      </c>
      <c r="G3274" s="537" t="s">
        <v>868</v>
      </c>
      <c r="H3274" s="531"/>
    </row>
    <row r="3275" spans="1:8" x14ac:dyDescent="0.25">
      <c r="A3275" s="133"/>
      <c r="B3275" s="565"/>
      <c r="C3275" s="557"/>
      <c r="D3275" s="557"/>
      <c r="E3275" s="566"/>
      <c r="F3275" s="557"/>
      <c r="G3275" s="567"/>
      <c r="H3275" s="568"/>
    </row>
    <row r="3276" spans="1:8" x14ac:dyDescent="0.25">
      <c r="A3276" s="133"/>
      <c r="B3276" s="569"/>
      <c r="C3276" s="570"/>
      <c r="D3276" s="570"/>
      <c r="E3276" s="570"/>
      <c r="F3276" s="557"/>
      <c r="G3276" s="559"/>
      <c r="H3276" s="531"/>
    </row>
    <row r="3277" spans="1:8" x14ac:dyDescent="0.25">
      <c r="A3277" s="133"/>
      <c r="B3277" s="569"/>
      <c r="C3277" s="546"/>
      <c r="D3277" s="546"/>
      <c r="E3277" s="546"/>
      <c r="F3277" s="539"/>
      <c r="G3277" s="541"/>
      <c r="H3277" s="531"/>
    </row>
    <row r="3278" spans="1:8" x14ac:dyDescent="0.25">
      <c r="A3278" s="133"/>
      <c r="B3278" s="563"/>
      <c r="C3278" s="546"/>
      <c r="D3278" s="546"/>
      <c r="E3278" s="546"/>
      <c r="F3278" s="539"/>
      <c r="G3278" s="541"/>
      <c r="H3278" s="531"/>
    </row>
    <row r="3279" spans="1:8" ht="15.75" thickBot="1" x14ac:dyDescent="0.3">
      <c r="A3279" s="133"/>
      <c r="B3279" s="538"/>
      <c r="C3279" s="546"/>
      <c r="D3279" s="546"/>
      <c r="E3279" s="546"/>
      <c r="F3279" s="539"/>
      <c r="G3279" s="541"/>
      <c r="H3279" s="531"/>
    </row>
    <row r="3280" spans="1:8" ht="15.75" thickBot="1" x14ac:dyDescent="0.3">
      <c r="A3280" s="133"/>
      <c r="B3280" s="547"/>
      <c r="C3280" s="548"/>
      <c r="D3280" s="548"/>
      <c r="E3280" s="548"/>
      <c r="F3280" s="549"/>
      <c r="G3280" s="550"/>
      <c r="H3280" s="551">
        <f>+SUM(G3275:G3280)</f>
        <v>0</v>
      </c>
    </row>
    <row r="3281" spans="1:8" ht="15.75" thickBot="1" x14ac:dyDescent="0.3">
      <c r="A3281" s="133"/>
      <c r="B3281" s="552"/>
      <c r="C3281" s="552"/>
      <c r="D3281" s="552"/>
      <c r="E3281" s="552"/>
      <c r="F3281" s="571"/>
      <c r="G3281" s="572"/>
      <c r="H3281" s="555"/>
    </row>
    <row r="3282" spans="1:8" ht="15.75" thickBot="1" x14ac:dyDescent="0.3">
      <c r="A3282" s="133"/>
      <c r="B3282" s="535" t="s">
        <v>5412</v>
      </c>
      <c r="C3282" s="536" t="s">
        <v>5420</v>
      </c>
      <c r="D3282" s="536" t="s">
        <v>5421</v>
      </c>
      <c r="E3282" s="536" t="s">
        <v>5413</v>
      </c>
      <c r="F3282" s="536" t="s">
        <v>5405</v>
      </c>
      <c r="G3282" s="537" t="s">
        <v>868</v>
      </c>
      <c r="H3282" s="531"/>
    </row>
    <row r="3283" spans="1:8" x14ac:dyDescent="0.25">
      <c r="A3283" s="133"/>
      <c r="B3283" s="563" t="s">
        <v>5948</v>
      </c>
      <c r="C3283" s="522">
        <v>70000</v>
      </c>
      <c r="D3283" s="543">
        <f>+C3283*0.85</f>
        <v>59500</v>
      </c>
      <c r="E3283" s="543">
        <f>+C3283+D3283</f>
        <v>129500</v>
      </c>
      <c r="F3283" s="573">
        <v>62.29</v>
      </c>
      <c r="G3283" s="559">
        <f>+E3283/F3283</f>
        <v>2078.9853909134695</v>
      </c>
      <c r="H3283" s="531"/>
    </row>
    <row r="3284" spans="1:8" x14ac:dyDescent="0.25">
      <c r="A3284" s="133"/>
      <c r="B3284" s="563" t="s">
        <v>5651</v>
      </c>
      <c r="C3284" s="522">
        <v>40000</v>
      </c>
      <c r="D3284" s="543">
        <f>+C3284*0.85</f>
        <v>34000</v>
      </c>
      <c r="E3284" s="543">
        <f>+C3284+D3284</f>
        <v>74000</v>
      </c>
      <c r="F3284" s="557">
        <v>1.25</v>
      </c>
      <c r="G3284" s="559">
        <f>+E3284/F3284</f>
        <v>59200</v>
      </c>
      <c r="H3284" s="531"/>
    </row>
    <row r="3285" spans="1:8" x14ac:dyDescent="0.25">
      <c r="A3285" s="133"/>
      <c r="B3285" s="538" t="s">
        <v>5635</v>
      </c>
      <c r="C3285" s="522">
        <v>20600</v>
      </c>
      <c r="D3285" s="543">
        <f>+C3285*0.85</f>
        <v>17510</v>
      </c>
      <c r="E3285" s="543">
        <f>+C3285+D3285</f>
        <v>38110</v>
      </c>
      <c r="F3285" s="539">
        <v>1.25</v>
      </c>
      <c r="G3285" s="559">
        <f>+E3285/F3285</f>
        <v>30488</v>
      </c>
      <c r="H3285" s="531"/>
    </row>
    <row r="3286" spans="1:8" x14ac:dyDescent="0.25">
      <c r="A3286" s="133"/>
      <c r="B3286" s="538"/>
      <c r="C3286" s="544"/>
      <c r="D3286" s="543"/>
      <c r="E3286" s="543"/>
      <c r="F3286" s="539"/>
      <c r="G3286" s="559"/>
      <c r="H3286" s="531"/>
    </row>
    <row r="3287" spans="1:8" x14ac:dyDescent="0.25">
      <c r="A3287" s="133"/>
      <c r="B3287" s="538"/>
      <c r="C3287" s="546"/>
      <c r="D3287" s="546"/>
      <c r="E3287" s="546"/>
      <c r="F3287" s="539"/>
      <c r="G3287" s="541"/>
      <c r="H3287" s="531"/>
    </row>
    <row r="3288" spans="1:8" ht="15.75" thickBot="1" x14ac:dyDescent="0.3">
      <c r="A3288" s="133"/>
      <c r="B3288" s="538"/>
      <c r="C3288" s="546"/>
      <c r="D3288" s="546"/>
      <c r="E3288" s="546"/>
      <c r="F3288" s="539"/>
      <c r="G3288" s="541"/>
      <c r="H3288" s="531"/>
    </row>
    <row r="3289" spans="1:8" ht="15.75" thickBot="1" x14ac:dyDescent="0.3">
      <c r="A3289" s="133"/>
      <c r="B3289" s="574"/>
      <c r="C3289" s="575"/>
      <c r="D3289" s="575"/>
      <c r="E3289" s="575"/>
      <c r="F3289" s="576"/>
      <c r="G3289" s="577"/>
      <c r="H3289" s="564">
        <f>+SUM(G3283:G3289)</f>
        <v>91766.985390913469</v>
      </c>
    </row>
    <row r="3290" spans="1:8" ht="15.75" thickBot="1" x14ac:dyDescent="0.3">
      <c r="A3290" s="133"/>
      <c r="B3290" s="477"/>
      <c r="C3290" s="477"/>
      <c r="D3290" s="477"/>
      <c r="E3290" s="477"/>
      <c r="F3290" s="476"/>
      <c r="G3290" s="531"/>
      <c r="H3290" s="531"/>
    </row>
    <row r="3291" spans="1:8" ht="15.75" thickBot="1" x14ac:dyDescent="0.3">
      <c r="A3291" s="133"/>
      <c r="B3291" s="477"/>
      <c r="C3291" s="477"/>
      <c r="D3291" s="477"/>
      <c r="E3291" s="534" t="s">
        <v>5415</v>
      </c>
      <c r="F3291" s="476"/>
      <c r="G3291" s="531"/>
      <c r="H3291" s="564">
        <f>ROUND(+H3289+H3280+H3272+H3257,0)</f>
        <v>322436</v>
      </c>
    </row>
    <row r="3292" spans="1:8" x14ac:dyDescent="0.25">
      <c r="A3292" s="265"/>
      <c r="B3292" s="578"/>
      <c r="C3292" s="578"/>
      <c r="D3292" s="578"/>
      <c r="E3292" s="578"/>
      <c r="F3292" s="578"/>
      <c r="G3292" s="578"/>
      <c r="H3292" s="578"/>
    </row>
    <row r="3293" spans="1:8" x14ac:dyDescent="0.25">
      <c r="A3293" s="265"/>
      <c r="B3293" s="578"/>
      <c r="C3293" s="578"/>
      <c r="D3293" s="578"/>
      <c r="E3293" s="578"/>
      <c r="F3293" s="578"/>
      <c r="G3293" s="578"/>
      <c r="H3293" s="578"/>
    </row>
    <row r="3294" spans="1:8" x14ac:dyDescent="0.25">
      <c r="A3294" s="265"/>
      <c r="B3294" s="578"/>
      <c r="C3294" s="578"/>
      <c r="D3294" s="578"/>
      <c r="E3294" s="578"/>
      <c r="F3294" s="578"/>
      <c r="G3294" s="578"/>
      <c r="H3294" s="578"/>
    </row>
    <row r="3295" spans="1:8" x14ac:dyDescent="0.25">
      <c r="A3295" s="265"/>
      <c r="B3295" s="578"/>
      <c r="C3295" s="578"/>
      <c r="D3295" s="578"/>
      <c r="E3295" s="578"/>
      <c r="F3295" s="578"/>
      <c r="G3295" s="578"/>
      <c r="H3295" s="578"/>
    </row>
    <row r="3296" spans="1:8" ht="18.75" x14ac:dyDescent="0.25">
      <c r="A3296" s="133"/>
      <c r="B3296" s="2507" t="s">
        <v>5400</v>
      </c>
      <c r="C3296" s="2507"/>
      <c r="D3296" s="2507"/>
      <c r="E3296" s="2507"/>
      <c r="F3296" s="2507"/>
      <c r="G3296" s="2507"/>
      <c r="H3296" s="477"/>
    </row>
    <row r="3297" spans="1:8" x14ac:dyDescent="0.25">
      <c r="A3297" s="133"/>
      <c r="B3297" s="477"/>
      <c r="C3297" s="477"/>
      <c r="D3297" s="477"/>
      <c r="E3297" s="477"/>
      <c r="F3297" s="476"/>
      <c r="G3297" s="531"/>
      <c r="H3297" s="531"/>
    </row>
    <row r="3298" spans="1:8" x14ac:dyDescent="0.25">
      <c r="A3298" s="133"/>
      <c r="B3298" s="477"/>
      <c r="C3298" s="477"/>
      <c r="D3298" s="477"/>
      <c r="E3298" s="477"/>
      <c r="F3298" s="476"/>
      <c r="G3298" s="531"/>
      <c r="H3298" s="531"/>
    </row>
    <row r="3299" spans="1:8" x14ac:dyDescent="0.25">
      <c r="A3299" s="133"/>
      <c r="B3299" s="477"/>
      <c r="C3299" s="477"/>
      <c r="D3299" s="477"/>
      <c r="E3299" s="477"/>
      <c r="F3299" s="476"/>
      <c r="G3299" s="531"/>
      <c r="H3299" s="531"/>
    </row>
    <row r="3300" spans="1:8" ht="15" customHeight="1" x14ac:dyDescent="0.25">
      <c r="A3300" s="220" t="s">
        <v>5482</v>
      </c>
      <c r="B3300" s="532" t="s">
        <v>5544</v>
      </c>
      <c r="C3300" s="2509" t="s">
        <v>5545</v>
      </c>
      <c r="D3300" s="2509"/>
      <c r="E3300" s="2509"/>
      <c r="F3300" s="476" t="s">
        <v>867</v>
      </c>
      <c r="G3300" s="533" t="s">
        <v>5424</v>
      </c>
      <c r="H3300" s="531"/>
    </row>
    <row r="3301" spans="1:8" x14ac:dyDescent="0.25">
      <c r="A3301" s="133"/>
      <c r="B3301" s="477"/>
      <c r="C3301" s="534"/>
      <c r="D3301" s="534"/>
      <c r="E3301" s="534"/>
      <c r="F3301" s="476"/>
      <c r="G3301" s="531"/>
      <c r="H3301" s="531"/>
    </row>
    <row r="3302" spans="1:8" x14ac:dyDescent="0.25">
      <c r="A3302" s="133"/>
      <c r="B3302" s="477"/>
      <c r="C3302" s="477"/>
      <c r="D3302" s="477"/>
      <c r="E3302" s="477"/>
      <c r="F3302" s="477"/>
      <c r="G3302" s="477"/>
      <c r="H3302" s="531"/>
    </row>
    <row r="3303" spans="1:8" ht="15.75" thickBot="1" x14ac:dyDescent="0.3">
      <c r="A3303" s="133"/>
      <c r="B3303" s="477"/>
      <c r="C3303" s="477"/>
      <c r="D3303" s="477"/>
      <c r="E3303" s="477"/>
      <c r="F3303" s="476"/>
      <c r="G3303" s="531"/>
      <c r="H3303" s="531"/>
    </row>
    <row r="3304" spans="1:8" ht="15.75" thickBot="1" x14ac:dyDescent="0.3">
      <c r="A3304" s="133"/>
      <c r="B3304" s="535" t="s">
        <v>5403</v>
      </c>
      <c r="C3304" s="536" t="s">
        <v>867</v>
      </c>
      <c r="D3304" s="536" t="s">
        <v>6</v>
      </c>
      <c r="E3304" s="536" t="s">
        <v>5439</v>
      </c>
      <c r="F3304" s="536" t="s">
        <v>5405</v>
      </c>
      <c r="G3304" s="537" t="s">
        <v>868</v>
      </c>
      <c r="H3304" s="531"/>
    </row>
    <row r="3305" spans="1:8" x14ac:dyDescent="0.25">
      <c r="A3305" s="133"/>
      <c r="B3305" s="538" t="s">
        <v>5440</v>
      </c>
      <c r="C3305" s="539" t="s">
        <v>5402</v>
      </c>
      <c r="D3305" s="539">
        <v>1</v>
      </c>
      <c r="E3305" s="540">
        <f>+H3343</f>
        <v>129879.42287109964</v>
      </c>
      <c r="F3305" s="539">
        <v>0.1</v>
      </c>
      <c r="G3305" s="541">
        <f>+E3305*F3305</f>
        <v>12987.942287109965</v>
      </c>
      <c r="H3305" s="531"/>
    </row>
    <row r="3306" spans="1:8" x14ac:dyDescent="0.25">
      <c r="A3306" s="133"/>
      <c r="B3306" s="538"/>
      <c r="C3306" s="539"/>
      <c r="D3306" s="539"/>
      <c r="E3306" s="542"/>
      <c r="F3306" s="539"/>
      <c r="G3306" s="541"/>
      <c r="H3306" s="531"/>
    </row>
    <row r="3307" spans="1:8" x14ac:dyDescent="0.25">
      <c r="A3307" s="133"/>
      <c r="B3307" s="538"/>
      <c r="C3307" s="539"/>
      <c r="D3307" s="539"/>
      <c r="E3307" s="543"/>
      <c r="F3307" s="539"/>
      <c r="G3307" s="541"/>
      <c r="H3307" s="531"/>
    </row>
    <row r="3308" spans="1:8" x14ac:dyDescent="0.25">
      <c r="A3308" s="133"/>
      <c r="B3308" s="538"/>
      <c r="C3308" s="539"/>
      <c r="D3308" s="539"/>
      <c r="E3308" s="544"/>
      <c r="F3308" s="539"/>
      <c r="G3308" s="545"/>
      <c r="H3308" s="531"/>
    </row>
    <row r="3309" spans="1:8" x14ac:dyDescent="0.25">
      <c r="A3309" s="133"/>
      <c r="B3309" s="538"/>
      <c r="C3309" s="539"/>
      <c r="D3309" s="546"/>
      <c r="E3309" s="546"/>
      <c r="F3309" s="539"/>
      <c r="G3309" s="541"/>
      <c r="H3309" s="531"/>
    </row>
    <row r="3310" spans="1:8" ht="15.75" thickBot="1" x14ac:dyDescent="0.3">
      <c r="A3310" s="133"/>
      <c r="B3310" s="538"/>
      <c r="C3310" s="539"/>
      <c r="D3310" s="546"/>
      <c r="E3310" s="546"/>
      <c r="F3310" s="539"/>
      <c r="G3310" s="541"/>
      <c r="H3310" s="531"/>
    </row>
    <row r="3311" spans="1:8" ht="15.75" thickBot="1" x14ac:dyDescent="0.3">
      <c r="A3311" s="133"/>
      <c r="B3311" s="547"/>
      <c r="C3311" s="548"/>
      <c r="D3311" s="548"/>
      <c r="E3311" s="548"/>
      <c r="F3311" s="549"/>
      <c r="G3311" s="550"/>
      <c r="H3311" s="551">
        <f>+SUM(G3305:G3311)</f>
        <v>12987.942287109965</v>
      </c>
    </row>
    <row r="3312" spans="1:8" ht="15.75" thickBot="1" x14ac:dyDescent="0.3">
      <c r="A3312" s="133"/>
      <c r="B3312" s="552"/>
      <c r="C3312" s="552"/>
      <c r="D3312" s="552"/>
      <c r="E3312" s="552"/>
      <c r="F3312" s="553"/>
      <c r="G3312" s="554"/>
      <c r="H3312" s="555"/>
    </row>
    <row r="3313" spans="1:8" ht="15.75" thickBot="1" x14ac:dyDescent="0.3">
      <c r="A3313" s="133"/>
      <c r="B3313" s="535" t="s">
        <v>5408</v>
      </c>
      <c r="C3313" s="536" t="s">
        <v>867</v>
      </c>
      <c r="D3313" s="536" t="s">
        <v>6</v>
      </c>
      <c r="E3313" s="536" t="s">
        <v>870</v>
      </c>
      <c r="F3313" s="536" t="s">
        <v>5409</v>
      </c>
      <c r="G3313" s="537" t="s">
        <v>868</v>
      </c>
      <c r="H3313" s="531"/>
    </row>
    <row r="3314" spans="1:8" x14ac:dyDescent="0.25">
      <c r="A3314" s="133"/>
      <c r="B3314" s="556" t="s">
        <v>6284</v>
      </c>
      <c r="C3314" s="557" t="s">
        <v>5542</v>
      </c>
      <c r="D3314" s="539">
        <v>0.41</v>
      </c>
      <c r="E3314" s="558">
        <v>271989</v>
      </c>
      <c r="F3314" s="509">
        <v>0.05</v>
      </c>
      <c r="G3314" s="559">
        <f>+D3314*E3314*(1+F3314)</f>
        <v>117091.26449999999</v>
      </c>
      <c r="H3314" s="531"/>
    </row>
    <row r="3315" spans="1:8" x14ac:dyDescent="0.25">
      <c r="A3315" s="133"/>
      <c r="B3315" s="560" t="s">
        <v>6285</v>
      </c>
      <c r="C3315" s="557" t="s">
        <v>5424</v>
      </c>
      <c r="D3315" s="557">
        <v>270</v>
      </c>
      <c r="E3315" s="561">
        <v>500</v>
      </c>
      <c r="F3315" s="509">
        <v>0.1</v>
      </c>
      <c r="G3315" s="559">
        <f>+D3315*E3315*(1+F3315)</f>
        <v>148500</v>
      </c>
      <c r="H3315" s="531"/>
    </row>
    <row r="3316" spans="1:8" x14ac:dyDescent="0.25">
      <c r="A3316" s="133"/>
      <c r="B3316" s="562" t="s">
        <v>6009</v>
      </c>
      <c r="C3316" s="539" t="s">
        <v>5542</v>
      </c>
      <c r="D3316" s="539">
        <v>0.2</v>
      </c>
      <c r="E3316" s="558">
        <v>258470</v>
      </c>
      <c r="F3316" s="509">
        <v>0.1</v>
      </c>
      <c r="G3316" s="559">
        <f>+D3316*E3316*(1+F3316)</f>
        <v>56863.4</v>
      </c>
      <c r="H3316" s="531"/>
    </row>
    <row r="3317" spans="1:8" x14ac:dyDescent="0.25">
      <c r="A3317" s="133"/>
      <c r="B3317" s="562" t="s">
        <v>5741</v>
      </c>
      <c r="C3317" s="539" t="s">
        <v>5431</v>
      </c>
      <c r="D3317" s="539">
        <v>27</v>
      </c>
      <c r="E3317" s="544">
        <v>2261.1</v>
      </c>
      <c r="F3317" s="509">
        <v>0.05</v>
      </c>
      <c r="G3317" s="559">
        <f>+D3317*E3317*(1+F3317)</f>
        <v>64102.184999999998</v>
      </c>
      <c r="H3317" s="531"/>
    </row>
    <row r="3318" spans="1:8" x14ac:dyDescent="0.25">
      <c r="A3318" s="133"/>
      <c r="B3318" s="562" t="s">
        <v>5625</v>
      </c>
      <c r="C3318" s="539" t="s">
        <v>5542</v>
      </c>
      <c r="D3318" s="539">
        <v>0.2</v>
      </c>
      <c r="E3318" s="544">
        <v>30000</v>
      </c>
      <c r="F3318" s="509">
        <v>0.1</v>
      </c>
      <c r="G3318" s="559">
        <f>+D3318*E3318*(1+F3318)</f>
        <v>6600.0000000000009</v>
      </c>
      <c r="H3318" s="531"/>
    </row>
    <row r="3319" spans="1:8" x14ac:dyDescent="0.25">
      <c r="A3319" s="133"/>
      <c r="B3319" s="563"/>
      <c r="C3319" s="557"/>
      <c r="D3319" s="557"/>
      <c r="E3319" s="544"/>
      <c r="F3319" s="509"/>
      <c r="G3319" s="559"/>
      <c r="H3319" s="531"/>
    </row>
    <row r="3320" spans="1:8" x14ac:dyDescent="0.25">
      <c r="A3320" s="133"/>
      <c r="B3320" s="538"/>
      <c r="C3320" s="539"/>
      <c r="D3320" s="539"/>
      <c r="E3320" s="544"/>
      <c r="F3320" s="509"/>
      <c r="G3320" s="559"/>
      <c r="H3320" s="531"/>
    </row>
    <row r="3321" spans="1:8" x14ac:dyDescent="0.25">
      <c r="A3321" s="133"/>
      <c r="B3321" s="538"/>
      <c r="C3321" s="539"/>
      <c r="D3321" s="539"/>
      <c r="E3321" s="544"/>
      <c r="F3321" s="509"/>
      <c r="G3321" s="559"/>
      <c r="H3321" s="531"/>
    </row>
    <row r="3322" spans="1:8" x14ac:dyDescent="0.25">
      <c r="A3322" s="133"/>
      <c r="B3322" s="538"/>
      <c r="C3322" s="546"/>
      <c r="D3322" s="546"/>
      <c r="E3322" s="546"/>
      <c r="F3322" s="539"/>
      <c r="G3322" s="541"/>
      <c r="H3322" s="531"/>
    </row>
    <row r="3323" spans="1:8" x14ac:dyDescent="0.25">
      <c r="A3323" s="133"/>
      <c r="B3323" s="538"/>
      <c r="C3323" s="546"/>
      <c r="D3323" s="546"/>
      <c r="E3323" s="546"/>
      <c r="F3323" s="539"/>
      <c r="G3323" s="541"/>
      <c r="H3323" s="531"/>
    </row>
    <row r="3324" spans="1:8" x14ac:dyDescent="0.25">
      <c r="A3324" s="133"/>
      <c r="B3324" s="538"/>
      <c r="C3324" s="546"/>
      <c r="D3324" s="546"/>
      <c r="E3324" s="546"/>
      <c r="F3324" s="539"/>
      <c r="G3324" s="541"/>
      <c r="H3324" s="531"/>
    </row>
    <row r="3325" spans="1:8" ht="15.75" thickBot="1" x14ac:dyDescent="0.3">
      <c r="A3325" s="133"/>
      <c r="B3325" s="538"/>
      <c r="C3325" s="546"/>
      <c r="D3325" s="546"/>
      <c r="E3325" s="546"/>
      <c r="F3325" s="539"/>
      <c r="G3325" s="541"/>
      <c r="H3325" s="531"/>
    </row>
    <row r="3326" spans="1:8" ht="15.75" thickBot="1" x14ac:dyDescent="0.3">
      <c r="A3326" s="133"/>
      <c r="B3326" s="547"/>
      <c r="C3326" s="548"/>
      <c r="D3326" s="548"/>
      <c r="E3326" s="548"/>
      <c r="F3326" s="549"/>
      <c r="G3326" s="550"/>
      <c r="H3326" s="564">
        <f>+SUM(G3314:G3326)</f>
        <v>393156.84950000001</v>
      </c>
    </row>
    <row r="3327" spans="1:8" ht="15.75" thickBot="1" x14ac:dyDescent="0.3">
      <c r="A3327" s="133"/>
      <c r="B3327" s="552"/>
      <c r="C3327" s="552"/>
      <c r="D3327" s="552"/>
      <c r="E3327" s="552"/>
      <c r="F3327" s="553"/>
      <c r="G3327" s="554"/>
      <c r="H3327" s="555"/>
    </row>
    <row r="3328" spans="1:8" ht="15.75" thickBot="1" x14ac:dyDescent="0.3">
      <c r="A3328" s="133"/>
      <c r="B3328" s="535" t="s">
        <v>5410</v>
      </c>
      <c r="C3328" s="536" t="s">
        <v>867</v>
      </c>
      <c r="D3328" s="536" t="s">
        <v>6</v>
      </c>
      <c r="E3328" s="536" t="s">
        <v>870</v>
      </c>
      <c r="F3328" s="536" t="s">
        <v>5411</v>
      </c>
      <c r="G3328" s="537" t="s">
        <v>868</v>
      </c>
      <c r="H3328" s="531"/>
    </row>
    <row r="3329" spans="1:8" x14ac:dyDescent="0.25">
      <c r="A3329" s="133"/>
      <c r="B3329" s="565"/>
      <c r="C3329" s="557"/>
      <c r="D3329" s="557"/>
      <c r="E3329" s="566"/>
      <c r="F3329" s="557"/>
      <c r="G3329" s="567"/>
      <c r="H3329" s="568"/>
    </row>
    <row r="3330" spans="1:8" x14ac:dyDescent="0.25">
      <c r="A3330" s="133"/>
      <c r="B3330" s="569"/>
      <c r="C3330" s="570"/>
      <c r="D3330" s="570"/>
      <c r="E3330" s="570"/>
      <c r="F3330" s="557"/>
      <c r="G3330" s="559"/>
      <c r="H3330" s="531"/>
    </row>
    <row r="3331" spans="1:8" x14ac:dyDescent="0.25">
      <c r="A3331" s="133"/>
      <c r="B3331" s="569"/>
      <c r="C3331" s="546"/>
      <c r="D3331" s="546"/>
      <c r="E3331" s="546"/>
      <c r="F3331" s="539"/>
      <c r="G3331" s="541"/>
      <c r="H3331" s="531"/>
    </row>
    <row r="3332" spans="1:8" x14ac:dyDescent="0.25">
      <c r="A3332" s="133"/>
      <c r="B3332" s="563"/>
      <c r="C3332" s="546"/>
      <c r="D3332" s="546"/>
      <c r="E3332" s="546"/>
      <c r="F3332" s="539"/>
      <c r="G3332" s="541"/>
      <c r="H3332" s="531"/>
    </row>
    <row r="3333" spans="1:8" ht="15.75" thickBot="1" x14ac:dyDescent="0.3">
      <c r="A3333" s="133"/>
      <c r="B3333" s="538"/>
      <c r="C3333" s="546"/>
      <c r="D3333" s="546"/>
      <c r="E3333" s="546"/>
      <c r="F3333" s="539"/>
      <c r="G3333" s="541"/>
      <c r="H3333" s="531"/>
    </row>
    <row r="3334" spans="1:8" ht="15.75" thickBot="1" x14ac:dyDescent="0.3">
      <c r="A3334" s="133"/>
      <c r="B3334" s="547"/>
      <c r="C3334" s="548"/>
      <c r="D3334" s="548"/>
      <c r="E3334" s="548"/>
      <c r="F3334" s="549"/>
      <c r="G3334" s="550"/>
      <c r="H3334" s="551">
        <f>+SUM(G3329:G3334)</f>
        <v>0</v>
      </c>
    </row>
    <row r="3335" spans="1:8" ht="15.75" thickBot="1" x14ac:dyDescent="0.3">
      <c r="A3335" s="133"/>
      <c r="B3335" s="552"/>
      <c r="C3335" s="552"/>
      <c r="D3335" s="552"/>
      <c r="E3335" s="552"/>
      <c r="F3335" s="571"/>
      <c r="G3335" s="572"/>
      <c r="H3335" s="555"/>
    </row>
    <row r="3336" spans="1:8" ht="15.75" thickBot="1" x14ac:dyDescent="0.3">
      <c r="A3336" s="133"/>
      <c r="B3336" s="535" t="s">
        <v>5412</v>
      </c>
      <c r="C3336" s="536" t="s">
        <v>5420</v>
      </c>
      <c r="D3336" s="536" t="s">
        <v>5421</v>
      </c>
      <c r="E3336" s="536" t="s">
        <v>5413</v>
      </c>
      <c r="F3336" s="536" t="s">
        <v>5405</v>
      </c>
      <c r="G3336" s="537" t="s">
        <v>868</v>
      </c>
      <c r="H3336" s="531"/>
    </row>
    <row r="3337" spans="1:8" x14ac:dyDescent="0.25">
      <c r="A3337" s="133"/>
      <c r="B3337" s="563" t="s">
        <v>5948</v>
      </c>
      <c r="C3337" s="522">
        <v>70000</v>
      </c>
      <c r="D3337" s="543">
        <f>+C3337*0.85</f>
        <v>59500</v>
      </c>
      <c r="E3337" s="543">
        <f>+C3337+D3337</f>
        <v>129500</v>
      </c>
      <c r="F3337" s="573">
        <v>7.2877999999999998</v>
      </c>
      <c r="G3337" s="559">
        <f>+E3337/F3337</f>
        <v>17769.422871099647</v>
      </c>
      <c r="H3337" s="531"/>
    </row>
    <row r="3338" spans="1:8" x14ac:dyDescent="0.25">
      <c r="A3338" s="133"/>
      <c r="B3338" s="563" t="s">
        <v>5651</v>
      </c>
      <c r="C3338" s="522">
        <v>40000</v>
      </c>
      <c r="D3338" s="543">
        <f>+C3338*0.85</f>
        <v>34000</v>
      </c>
      <c r="E3338" s="543">
        <f>+C3338+D3338</f>
        <v>74000</v>
      </c>
      <c r="F3338" s="557">
        <v>1</v>
      </c>
      <c r="G3338" s="559">
        <f>+E3338/F3338</f>
        <v>74000</v>
      </c>
      <c r="H3338" s="531"/>
    </row>
    <row r="3339" spans="1:8" x14ac:dyDescent="0.25">
      <c r="A3339" s="133"/>
      <c r="B3339" s="538" t="s">
        <v>5635</v>
      </c>
      <c r="C3339" s="522">
        <v>20600</v>
      </c>
      <c r="D3339" s="543">
        <f>+C3339*0.85</f>
        <v>17510</v>
      </c>
      <c r="E3339" s="543">
        <f>+C3339+D3339</f>
        <v>38110</v>
      </c>
      <c r="F3339" s="539">
        <v>1</v>
      </c>
      <c r="G3339" s="559">
        <f>+E3339/F3339</f>
        <v>38110</v>
      </c>
      <c r="H3339" s="531"/>
    </row>
    <row r="3340" spans="1:8" x14ac:dyDescent="0.25">
      <c r="A3340" s="133"/>
      <c r="B3340" s="538"/>
      <c r="C3340" s="544"/>
      <c r="D3340" s="543"/>
      <c r="E3340" s="543"/>
      <c r="F3340" s="539"/>
      <c r="G3340" s="559"/>
      <c r="H3340" s="531"/>
    </row>
    <row r="3341" spans="1:8" x14ac:dyDescent="0.25">
      <c r="A3341" s="133"/>
      <c r="B3341" s="538"/>
      <c r="C3341" s="546"/>
      <c r="D3341" s="546"/>
      <c r="E3341" s="546"/>
      <c r="F3341" s="539"/>
      <c r="G3341" s="541"/>
      <c r="H3341" s="531"/>
    </row>
    <row r="3342" spans="1:8" ht="15.75" thickBot="1" x14ac:dyDescent="0.3">
      <c r="A3342" s="133"/>
      <c r="B3342" s="538"/>
      <c r="C3342" s="546"/>
      <c r="D3342" s="546"/>
      <c r="E3342" s="546"/>
      <c r="F3342" s="539"/>
      <c r="G3342" s="541"/>
      <c r="H3342" s="531"/>
    </row>
    <row r="3343" spans="1:8" ht="15.75" thickBot="1" x14ac:dyDescent="0.3">
      <c r="A3343" s="133"/>
      <c r="B3343" s="574"/>
      <c r="C3343" s="575"/>
      <c r="D3343" s="575"/>
      <c r="E3343" s="575"/>
      <c r="F3343" s="576"/>
      <c r="G3343" s="577"/>
      <c r="H3343" s="564">
        <f>+SUM(G3337:G3343)</f>
        <v>129879.42287109964</v>
      </c>
    </row>
    <row r="3344" spans="1:8" ht="15.75" thickBot="1" x14ac:dyDescent="0.3">
      <c r="A3344" s="133"/>
      <c r="B3344" s="477"/>
      <c r="C3344" s="477"/>
      <c r="D3344" s="477"/>
      <c r="E3344" s="477"/>
      <c r="F3344" s="476"/>
      <c r="G3344" s="531"/>
      <c r="H3344" s="531"/>
    </row>
    <row r="3345" spans="1:8" ht="15.75" thickBot="1" x14ac:dyDescent="0.3">
      <c r="A3345" s="133"/>
      <c r="B3345" s="477"/>
      <c r="C3345" s="477"/>
      <c r="D3345" s="477"/>
      <c r="E3345" s="534" t="s">
        <v>5415</v>
      </c>
      <c r="F3345" s="476"/>
      <c r="G3345" s="531"/>
      <c r="H3345" s="564">
        <f>ROUND(+H3343+H3334+H3326+H3311,0)</f>
        <v>536024</v>
      </c>
    </row>
    <row r="3346" spans="1:8" x14ac:dyDescent="0.25">
      <c r="A3346" s="265"/>
      <c r="B3346" s="578"/>
      <c r="C3346" s="578"/>
      <c r="D3346" s="578"/>
      <c r="E3346" s="578"/>
      <c r="F3346" s="578"/>
      <c r="G3346" s="578"/>
      <c r="H3346" s="578"/>
    </row>
    <row r="3347" spans="1:8" x14ac:dyDescent="0.25">
      <c r="A3347" s="265"/>
      <c r="B3347" s="265"/>
      <c r="C3347" s="265"/>
      <c r="D3347" s="265"/>
      <c r="E3347" s="265"/>
      <c r="F3347" s="265"/>
      <c r="G3347" s="265"/>
      <c r="H3347" s="265"/>
    </row>
    <row r="3348" spans="1:8" x14ac:dyDescent="0.25">
      <c r="A3348" s="265"/>
      <c r="B3348" s="265"/>
      <c r="C3348" s="265"/>
      <c r="D3348" s="265"/>
      <c r="E3348" s="265"/>
      <c r="F3348" s="265"/>
      <c r="G3348" s="265"/>
      <c r="H3348" s="265"/>
    </row>
    <row r="3349" spans="1:8" x14ac:dyDescent="0.25">
      <c r="A3349" s="265"/>
      <c r="B3349" s="265"/>
      <c r="C3349" s="265"/>
      <c r="D3349" s="265"/>
      <c r="E3349" s="265"/>
      <c r="F3349" s="265"/>
      <c r="G3349" s="265"/>
      <c r="H3349" s="265"/>
    </row>
    <row r="3350" spans="1:8" ht="18.75" x14ac:dyDescent="0.25">
      <c r="A3350" s="133"/>
      <c r="B3350" s="2506" t="s">
        <v>5400</v>
      </c>
      <c r="C3350" s="2506"/>
      <c r="D3350" s="2506"/>
      <c r="E3350" s="2506"/>
      <c r="F3350" s="2506"/>
      <c r="G3350" s="2506"/>
      <c r="H3350" s="8"/>
    </row>
    <row r="3351" spans="1:8" x14ac:dyDescent="0.25">
      <c r="A3351" s="133"/>
      <c r="B3351" s="8"/>
      <c r="C3351" s="8"/>
      <c r="D3351" s="8"/>
      <c r="E3351" s="8"/>
      <c r="F3351" s="133"/>
      <c r="G3351" s="200"/>
      <c r="H3351" s="200"/>
    </row>
    <row r="3352" spans="1:8" x14ac:dyDescent="0.25">
      <c r="A3352" s="133"/>
      <c r="B3352" s="8"/>
      <c r="C3352" s="8"/>
      <c r="D3352" s="8"/>
      <c r="E3352" s="8"/>
      <c r="F3352" s="133"/>
      <c r="G3352" s="200"/>
      <c r="H3352" s="200"/>
    </row>
    <row r="3353" spans="1:8" ht="15" customHeight="1" x14ac:dyDescent="0.25">
      <c r="A3353" s="133"/>
      <c r="B3353" s="8"/>
      <c r="C3353" s="8"/>
      <c r="D3353" s="8"/>
      <c r="E3353" s="8"/>
      <c r="F3353" s="133"/>
      <c r="G3353" s="200"/>
      <c r="H3353" s="200"/>
    </row>
    <row r="3354" spans="1:8" x14ac:dyDescent="0.25">
      <c r="A3354" s="220" t="s">
        <v>5482</v>
      </c>
      <c r="B3354" s="221" t="s">
        <v>5546</v>
      </c>
      <c r="C3354" s="2449" t="s">
        <v>5926</v>
      </c>
      <c r="D3354" s="2449"/>
      <c r="E3354" s="2449"/>
      <c r="F3354" s="220" t="s">
        <v>867</v>
      </c>
      <c r="G3354" s="222" t="s">
        <v>5424</v>
      </c>
      <c r="H3354" s="200"/>
    </row>
    <row r="3355" spans="1:8" x14ac:dyDescent="0.25">
      <c r="A3355" s="133"/>
      <c r="B3355" s="8"/>
      <c r="C3355" s="223"/>
      <c r="D3355" s="223"/>
      <c r="E3355" s="223"/>
      <c r="F3355" s="133"/>
      <c r="G3355" s="200"/>
      <c r="H3355" s="200"/>
    </row>
    <row r="3356" spans="1:8" x14ac:dyDescent="0.25">
      <c r="A3356" s="133"/>
      <c r="B3356" s="8"/>
      <c r="C3356" s="8"/>
      <c r="D3356" s="8"/>
      <c r="E3356" s="8"/>
      <c r="F3356" s="8"/>
      <c r="G3356" s="8"/>
      <c r="H3356" s="200"/>
    </row>
    <row r="3357" spans="1:8" ht="15.75" thickBot="1" x14ac:dyDescent="0.3">
      <c r="A3357" s="133"/>
      <c r="B3357" s="8"/>
      <c r="C3357" s="8"/>
      <c r="D3357" s="8"/>
      <c r="E3357" s="8"/>
      <c r="F3357" s="133"/>
      <c r="G3357" s="200"/>
      <c r="H3357" s="200"/>
    </row>
    <row r="3358" spans="1:8" ht="15.75" thickBot="1" x14ac:dyDescent="0.3">
      <c r="A3358" s="133"/>
      <c r="B3358" s="224" t="s">
        <v>5403</v>
      </c>
      <c r="C3358" s="193" t="s">
        <v>867</v>
      </c>
      <c r="D3358" s="193" t="s">
        <v>6</v>
      </c>
      <c r="E3358" s="193" t="s">
        <v>5439</v>
      </c>
      <c r="F3358" s="193" t="s">
        <v>5405</v>
      </c>
      <c r="G3358" s="225" t="s">
        <v>868</v>
      </c>
      <c r="H3358" s="200"/>
    </row>
    <row r="3359" spans="1:8" x14ac:dyDescent="0.25">
      <c r="A3359" s="133"/>
      <c r="B3359" s="195" t="s">
        <v>5440</v>
      </c>
      <c r="C3359" s="226" t="s">
        <v>5402</v>
      </c>
      <c r="D3359" s="226">
        <v>1</v>
      </c>
      <c r="E3359" s="263">
        <f>+H3397</f>
        <v>91766.985390913469</v>
      </c>
      <c r="F3359" s="226">
        <v>0.1</v>
      </c>
      <c r="G3359" s="229">
        <f>+E3359*F3359</f>
        <v>9176.6985390913469</v>
      </c>
      <c r="H3359" s="200"/>
    </row>
    <row r="3360" spans="1:8" x14ac:dyDescent="0.25">
      <c r="A3360" s="133"/>
      <c r="B3360" s="195"/>
      <c r="C3360" s="226"/>
      <c r="D3360" s="226"/>
      <c r="E3360" s="264"/>
      <c r="F3360" s="226"/>
      <c r="G3360" s="229"/>
      <c r="H3360" s="200"/>
    </row>
    <row r="3361" spans="1:8" x14ac:dyDescent="0.25">
      <c r="A3361" s="133"/>
      <c r="B3361" s="195"/>
      <c r="C3361" s="226"/>
      <c r="D3361" s="226"/>
      <c r="E3361" s="176"/>
      <c r="F3361" s="226"/>
      <c r="G3361" s="229"/>
      <c r="H3361" s="200"/>
    </row>
    <row r="3362" spans="1:8" x14ac:dyDescent="0.25">
      <c r="A3362" s="133"/>
      <c r="B3362" s="195"/>
      <c r="C3362" s="226"/>
      <c r="D3362" s="226"/>
      <c r="E3362" s="171"/>
      <c r="F3362" s="226"/>
      <c r="G3362" s="231"/>
      <c r="H3362" s="200"/>
    </row>
    <row r="3363" spans="1:8" x14ac:dyDescent="0.25">
      <c r="A3363" s="133"/>
      <c r="B3363" s="195"/>
      <c r="C3363" s="226"/>
      <c r="D3363" s="232"/>
      <c r="E3363" s="232"/>
      <c r="F3363" s="226"/>
      <c r="G3363" s="229"/>
      <c r="H3363" s="200"/>
    </row>
    <row r="3364" spans="1:8" ht="15.75" thickBot="1" x14ac:dyDescent="0.3">
      <c r="A3364" s="133"/>
      <c r="B3364" s="195"/>
      <c r="C3364" s="226"/>
      <c r="D3364" s="232"/>
      <c r="E3364" s="232"/>
      <c r="F3364" s="226"/>
      <c r="G3364" s="229"/>
      <c r="H3364" s="200"/>
    </row>
    <row r="3365" spans="1:8" ht="15.75" thickBot="1" x14ac:dyDescent="0.3">
      <c r="A3365" s="133"/>
      <c r="B3365" s="233"/>
      <c r="C3365" s="234"/>
      <c r="D3365" s="234"/>
      <c r="E3365" s="234"/>
      <c r="F3365" s="235"/>
      <c r="G3365" s="236"/>
      <c r="H3365" s="237">
        <f>+SUM(G3359:G3365)</f>
        <v>9176.6985390913469</v>
      </c>
    </row>
    <row r="3366" spans="1:8" ht="15.75" thickBot="1" x14ac:dyDescent="0.3">
      <c r="A3366" s="133"/>
      <c r="B3366" s="238"/>
      <c r="C3366" s="238"/>
      <c r="D3366" s="238"/>
      <c r="E3366" s="238"/>
      <c r="F3366" s="239"/>
      <c r="G3366" s="240"/>
      <c r="H3366" s="241"/>
    </row>
    <row r="3367" spans="1:8" ht="15.75" thickBot="1" x14ac:dyDescent="0.3">
      <c r="A3367" s="133"/>
      <c r="B3367" s="224" t="s">
        <v>5408</v>
      </c>
      <c r="C3367" s="193" t="s">
        <v>867</v>
      </c>
      <c r="D3367" s="193" t="s">
        <v>6</v>
      </c>
      <c r="E3367" s="193" t="s">
        <v>870</v>
      </c>
      <c r="F3367" s="193" t="s">
        <v>5409</v>
      </c>
      <c r="G3367" s="225" t="s">
        <v>868</v>
      </c>
      <c r="H3367" s="200"/>
    </row>
    <row r="3368" spans="1:8" x14ac:dyDescent="0.25">
      <c r="A3368" s="133"/>
      <c r="B3368" s="530" t="s">
        <v>6284</v>
      </c>
      <c r="C3368" s="202" t="s">
        <v>5542</v>
      </c>
      <c r="D3368" s="226">
        <v>0.19</v>
      </c>
      <c r="E3368" s="270">
        <f>+'APU CAP 5'!H268</f>
        <v>352631.16666666669</v>
      </c>
      <c r="F3368" s="169">
        <v>0.05</v>
      </c>
      <c r="G3368" s="178">
        <f t="shared" ref="G3368:G3373" si="0">+D3368*E3368*(1+F3368)</f>
        <v>70349.917750000008</v>
      </c>
      <c r="H3368" s="200"/>
    </row>
    <row r="3369" spans="1:8" x14ac:dyDescent="0.25">
      <c r="A3369" s="133"/>
      <c r="B3369" s="269" t="s">
        <v>6285</v>
      </c>
      <c r="C3369" s="202" t="s">
        <v>5424</v>
      </c>
      <c r="D3369" s="202">
        <v>170.24</v>
      </c>
      <c r="E3369" s="271">
        <v>500</v>
      </c>
      <c r="F3369" s="169">
        <v>0.1</v>
      </c>
      <c r="G3369" s="178">
        <f t="shared" si="0"/>
        <v>93632.000000000015</v>
      </c>
      <c r="H3369" s="200"/>
    </row>
    <row r="3370" spans="1:8" x14ac:dyDescent="0.25">
      <c r="A3370" s="133"/>
      <c r="B3370" s="266" t="s">
        <v>6009</v>
      </c>
      <c r="C3370" s="226" t="s">
        <v>5542</v>
      </c>
      <c r="D3370" s="226">
        <v>0.122</v>
      </c>
      <c r="E3370" s="270">
        <f>+'APU CAP 5'!H808</f>
        <v>269606</v>
      </c>
      <c r="F3370" s="169">
        <v>0.1</v>
      </c>
      <c r="G3370" s="178">
        <f t="shared" si="0"/>
        <v>36181.125200000002</v>
      </c>
      <c r="H3370" s="200"/>
    </row>
    <row r="3371" spans="1:8" x14ac:dyDescent="0.25">
      <c r="A3371" s="133"/>
      <c r="B3371" s="266" t="s">
        <v>5741</v>
      </c>
      <c r="C3371" s="226" t="s">
        <v>5431</v>
      </c>
      <c r="D3371" s="226">
        <v>15</v>
      </c>
      <c r="E3371" s="272">
        <f>+'APU CAP 5'!H970</f>
        <v>3455</v>
      </c>
      <c r="F3371" s="169">
        <v>0.05</v>
      </c>
      <c r="G3371" s="178">
        <f t="shared" si="0"/>
        <v>54416.25</v>
      </c>
      <c r="H3371" s="200"/>
    </row>
    <row r="3372" spans="1:8" x14ac:dyDescent="0.25">
      <c r="A3372" s="133"/>
      <c r="B3372" s="266" t="s">
        <v>5625</v>
      </c>
      <c r="C3372" s="226" t="s">
        <v>5542</v>
      </c>
      <c r="D3372" s="226">
        <v>0.1</v>
      </c>
      <c r="E3372" s="171">
        <f>+'APU CAP 1-2'!H2800</f>
        <v>62337</v>
      </c>
      <c r="F3372" s="169">
        <v>0.1</v>
      </c>
      <c r="G3372" s="178">
        <f t="shared" si="0"/>
        <v>6857.0700000000015</v>
      </c>
      <c r="H3372" s="200"/>
    </row>
    <row r="3373" spans="1:8" x14ac:dyDescent="0.25">
      <c r="A3373" s="133"/>
      <c r="B3373" s="243" t="s">
        <v>6286</v>
      </c>
      <c r="C3373" s="226" t="s">
        <v>5424</v>
      </c>
      <c r="D3373" s="226">
        <v>1</v>
      </c>
      <c r="E3373" s="272">
        <f>91000*1.16</f>
        <v>105560</v>
      </c>
      <c r="F3373" s="169">
        <v>0.05</v>
      </c>
      <c r="G3373" s="178">
        <f t="shared" si="0"/>
        <v>110838</v>
      </c>
      <c r="H3373" s="200"/>
    </row>
    <row r="3374" spans="1:8" x14ac:dyDescent="0.25">
      <c r="A3374" s="133"/>
      <c r="B3374" s="195"/>
      <c r="C3374" s="226"/>
      <c r="D3374" s="226"/>
      <c r="E3374" s="171"/>
      <c r="F3374" s="169"/>
      <c r="G3374" s="178"/>
      <c r="H3374" s="200"/>
    </row>
    <row r="3375" spans="1:8" x14ac:dyDescent="0.25">
      <c r="A3375" s="133"/>
      <c r="B3375" s="195"/>
      <c r="C3375" s="226"/>
      <c r="D3375" s="226"/>
      <c r="E3375" s="171"/>
      <c r="F3375" s="169"/>
      <c r="G3375" s="178"/>
      <c r="H3375" s="200"/>
    </row>
    <row r="3376" spans="1:8" x14ac:dyDescent="0.25">
      <c r="A3376" s="133"/>
      <c r="B3376" s="195"/>
      <c r="C3376" s="232"/>
      <c r="D3376" s="232"/>
      <c r="E3376" s="232"/>
      <c r="F3376" s="226"/>
      <c r="G3376" s="229"/>
      <c r="H3376" s="200"/>
    </row>
    <row r="3377" spans="1:8" x14ac:dyDescent="0.25">
      <c r="A3377" s="133"/>
      <c r="B3377" s="195"/>
      <c r="C3377" s="232"/>
      <c r="D3377" s="232"/>
      <c r="E3377" s="232"/>
      <c r="F3377" s="226"/>
      <c r="G3377" s="229"/>
      <c r="H3377" s="200"/>
    </row>
    <row r="3378" spans="1:8" x14ac:dyDescent="0.25">
      <c r="A3378" s="133"/>
      <c r="B3378" s="195"/>
      <c r="C3378" s="232"/>
      <c r="D3378" s="232"/>
      <c r="E3378" s="232"/>
      <c r="F3378" s="226"/>
      <c r="G3378" s="229"/>
      <c r="H3378" s="200"/>
    </row>
    <row r="3379" spans="1:8" ht="15.75" thickBot="1" x14ac:dyDescent="0.3">
      <c r="A3379" s="133"/>
      <c r="B3379" s="195"/>
      <c r="C3379" s="232"/>
      <c r="D3379" s="232"/>
      <c r="E3379" s="232"/>
      <c r="F3379" s="226"/>
      <c r="G3379" s="229"/>
      <c r="H3379" s="200"/>
    </row>
    <row r="3380" spans="1:8" ht="15.75" thickBot="1" x14ac:dyDescent="0.3">
      <c r="A3380" s="133"/>
      <c r="B3380" s="233"/>
      <c r="C3380" s="234"/>
      <c r="D3380" s="234"/>
      <c r="E3380" s="234"/>
      <c r="F3380" s="235"/>
      <c r="G3380" s="236"/>
      <c r="H3380" s="256">
        <f>+SUM(G3368:G3380)</f>
        <v>372274.36295000004</v>
      </c>
    </row>
    <row r="3381" spans="1:8" ht="15.75" thickBot="1" x14ac:dyDescent="0.3">
      <c r="A3381" s="133"/>
      <c r="B3381" s="238"/>
      <c r="C3381" s="238"/>
      <c r="D3381" s="238"/>
      <c r="E3381" s="238"/>
      <c r="F3381" s="239"/>
      <c r="G3381" s="240"/>
      <c r="H3381" s="241"/>
    </row>
    <row r="3382" spans="1:8" ht="15.75" thickBot="1" x14ac:dyDescent="0.3">
      <c r="A3382" s="133"/>
      <c r="B3382" s="224" t="s">
        <v>5410</v>
      </c>
      <c r="C3382" s="193" t="s">
        <v>867</v>
      </c>
      <c r="D3382" s="193" t="s">
        <v>6</v>
      </c>
      <c r="E3382" s="193" t="s">
        <v>870</v>
      </c>
      <c r="F3382" s="193" t="s">
        <v>5411</v>
      </c>
      <c r="G3382" s="225" t="s">
        <v>868</v>
      </c>
      <c r="H3382" s="200"/>
    </row>
    <row r="3383" spans="1:8" x14ac:dyDescent="0.25">
      <c r="A3383" s="133"/>
      <c r="B3383" s="242"/>
      <c r="C3383" s="202"/>
      <c r="D3383" s="202"/>
      <c r="E3383" s="175"/>
      <c r="F3383" s="202"/>
      <c r="G3383" s="203"/>
      <c r="H3383" s="246"/>
    </row>
    <row r="3384" spans="1:8" x14ac:dyDescent="0.25">
      <c r="A3384" s="133"/>
      <c r="B3384" s="243"/>
      <c r="C3384" s="248"/>
      <c r="D3384" s="248"/>
      <c r="E3384" s="248"/>
      <c r="F3384" s="202"/>
      <c r="G3384" s="178"/>
      <c r="H3384" s="200"/>
    </row>
    <row r="3385" spans="1:8" x14ac:dyDescent="0.25">
      <c r="A3385" s="133"/>
      <c r="B3385" s="243"/>
      <c r="C3385" s="232"/>
      <c r="D3385" s="232"/>
      <c r="E3385" s="232"/>
      <c r="F3385" s="226"/>
      <c r="G3385" s="229"/>
      <c r="H3385" s="200"/>
    </row>
    <row r="3386" spans="1:8" x14ac:dyDescent="0.25">
      <c r="A3386" s="133"/>
      <c r="B3386" s="194"/>
      <c r="C3386" s="232"/>
      <c r="D3386" s="232"/>
      <c r="E3386" s="232"/>
      <c r="F3386" s="226"/>
      <c r="G3386" s="229"/>
      <c r="H3386" s="200"/>
    </row>
    <row r="3387" spans="1:8" ht="15.75" thickBot="1" x14ac:dyDescent="0.3">
      <c r="A3387" s="133"/>
      <c r="B3387" s="195"/>
      <c r="C3387" s="232"/>
      <c r="D3387" s="232"/>
      <c r="E3387" s="232"/>
      <c r="F3387" s="226"/>
      <c r="G3387" s="229"/>
      <c r="H3387" s="200"/>
    </row>
    <row r="3388" spans="1:8" ht="15.75" thickBot="1" x14ac:dyDescent="0.3">
      <c r="A3388" s="133"/>
      <c r="B3388" s="233"/>
      <c r="C3388" s="234"/>
      <c r="D3388" s="234"/>
      <c r="E3388" s="234"/>
      <c r="F3388" s="235"/>
      <c r="G3388" s="236"/>
      <c r="H3388" s="237">
        <f>+SUM(G3383:G3388)</f>
        <v>0</v>
      </c>
    </row>
    <row r="3389" spans="1:8" ht="15.75" thickBot="1" x14ac:dyDescent="0.3">
      <c r="A3389" s="133"/>
      <c r="B3389" s="238"/>
      <c r="C3389" s="238"/>
      <c r="D3389" s="238"/>
      <c r="E3389" s="238"/>
      <c r="F3389" s="249"/>
      <c r="G3389" s="250"/>
      <c r="H3389" s="241"/>
    </row>
    <row r="3390" spans="1:8" ht="15.75" thickBot="1" x14ac:dyDescent="0.3">
      <c r="A3390" s="133"/>
      <c r="B3390" s="224" t="s">
        <v>5412</v>
      </c>
      <c r="C3390" s="193" t="s">
        <v>5420</v>
      </c>
      <c r="D3390" s="193" t="s">
        <v>5421</v>
      </c>
      <c r="E3390" s="193" t="s">
        <v>5413</v>
      </c>
      <c r="F3390" s="193" t="s">
        <v>5405</v>
      </c>
      <c r="G3390" s="225" t="s">
        <v>868</v>
      </c>
      <c r="H3390" s="200"/>
    </row>
    <row r="3391" spans="1:8" x14ac:dyDescent="0.25">
      <c r="A3391" s="133"/>
      <c r="B3391" s="194" t="s">
        <v>5948</v>
      </c>
      <c r="C3391" s="345">
        <v>70000</v>
      </c>
      <c r="D3391" s="176">
        <f>+C3391*0.85</f>
        <v>59500</v>
      </c>
      <c r="E3391" s="176">
        <f>+C3391+D3391</f>
        <v>129500</v>
      </c>
      <c r="F3391" s="204">
        <v>62.29</v>
      </c>
      <c r="G3391" s="178">
        <f>+E3391/F3391</f>
        <v>2078.9853909134695</v>
      </c>
      <c r="H3391" s="200"/>
    </row>
    <row r="3392" spans="1:8" x14ac:dyDescent="0.25">
      <c r="A3392" s="133"/>
      <c r="B3392" s="194" t="s">
        <v>5651</v>
      </c>
      <c r="C3392" s="345">
        <v>40000</v>
      </c>
      <c r="D3392" s="176">
        <f>+C3392*0.85</f>
        <v>34000</v>
      </c>
      <c r="E3392" s="176">
        <f>+C3392+D3392</f>
        <v>74000</v>
      </c>
      <c r="F3392" s="202">
        <v>1.25</v>
      </c>
      <c r="G3392" s="178">
        <f>+E3392/F3392</f>
        <v>59200</v>
      </c>
      <c r="H3392" s="200"/>
    </row>
    <row r="3393" spans="1:16" x14ac:dyDescent="0.25">
      <c r="A3393" s="133"/>
      <c r="B3393" s="195" t="s">
        <v>5635</v>
      </c>
      <c r="C3393" s="345">
        <v>20600</v>
      </c>
      <c r="D3393" s="176">
        <f>+C3393*0.85</f>
        <v>17510</v>
      </c>
      <c r="E3393" s="176">
        <f>+C3393+D3393</f>
        <v>38110</v>
      </c>
      <c r="F3393" s="226">
        <v>1.25</v>
      </c>
      <c r="G3393" s="178">
        <f>+E3393/F3393</f>
        <v>30488</v>
      </c>
      <c r="H3393" s="200"/>
    </row>
    <row r="3394" spans="1:16" x14ac:dyDescent="0.25">
      <c r="A3394" s="133"/>
      <c r="B3394" s="195"/>
      <c r="C3394" s="171"/>
      <c r="D3394" s="176"/>
      <c r="E3394" s="176"/>
      <c r="F3394" s="226"/>
      <c r="G3394" s="178"/>
      <c r="H3394" s="200"/>
    </row>
    <row r="3395" spans="1:16" x14ac:dyDescent="0.25">
      <c r="A3395" s="133"/>
      <c r="B3395" s="195"/>
      <c r="C3395" s="232"/>
      <c r="D3395" s="232"/>
      <c r="E3395" s="232"/>
      <c r="F3395" s="226"/>
      <c r="G3395" s="229"/>
      <c r="H3395" s="200"/>
    </row>
    <row r="3396" spans="1:16" ht="15.75" thickBot="1" x14ac:dyDescent="0.3">
      <c r="A3396" s="133"/>
      <c r="B3396" s="195"/>
      <c r="C3396" s="232"/>
      <c r="D3396" s="232"/>
      <c r="E3396" s="232"/>
      <c r="F3396" s="226"/>
      <c r="G3396" s="229"/>
      <c r="H3396" s="200"/>
    </row>
    <row r="3397" spans="1:16" ht="15.75" thickBot="1" x14ac:dyDescent="0.3">
      <c r="A3397" s="133"/>
      <c r="B3397" s="251"/>
      <c r="C3397" s="252"/>
      <c r="D3397" s="252"/>
      <c r="E3397" s="252"/>
      <c r="F3397" s="253"/>
      <c r="G3397" s="254"/>
      <c r="H3397" s="256">
        <f>+SUM(G3391:G3397)</f>
        <v>91766.985390913469</v>
      </c>
    </row>
    <row r="3398" spans="1:16" ht="15.75" thickBot="1" x14ac:dyDescent="0.3">
      <c r="A3398" s="133"/>
      <c r="B3398" s="8"/>
      <c r="C3398" s="8"/>
      <c r="D3398" s="8"/>
      <c r="E3398" s="8"/>
      <c r="F3398" s="133"/>
      <c r="G3398" s="200"/>
      <c r="H3398" s="200"/>
    </row>
    <row r="3399" spans="1:16" ht="15.75" thickBot="1" x14ac:dyDescent="0.3">
      <c r="A3399" s="133"/>
      <c r="B3399" s="8"/>
      <c r="C3399" s="8"/>
      <c r="D3399" s="8"/>
      <c r="E3399" s="223" t="s">
        <v>5415</v>
      </c>
      <c r="F3399" s="133"/>
      <c r="G3399" s="200"/>
      <c r="H3399" s="256">
        <f>ROUND(+H3397+H3388+H3380+H3365,0)</f>
        <v>473218</v>
      </c>
    </row>
    <row r="3400" spans="1:16" x14ac:dyDescent="0.25">
      <c r="A3400" s="265"/>
      <c r="B3400" s="265"/>
      <c r="C3400" s="265"/>
      <c r="D3400" s="265"/>
      <c r="E3400" s="265"/>
      <c r="F3400" s="265"/>
      <c r="G3400" s="265"/>
      <c r="H3400" s="265"/>
    </row>
    <row r="3403" spans="1:16" ht="18.75" x14ac:dyDescent="0.25">
      <c r="A3403" s="133"/>
      <c r="B3403" s="2506" t="s">
        <v>5400</v>
      </c>
      <c r="C3403" s="2506"/>
      <c r="D3403" s="2506"/>
      <c r="E3403" s="2506"/>
      <c r="F3403" s="2506"/>
      <c r="G3403" s="2506"/>
      <c r="H3403" s="8"/>
      <c r="I3403" s="133"/>
      <c r="J3403" s="2506" t="s">
        <v>5400</v>
      </c>
      <c r="K3403" s="2506"/>
      <c r="L3403" s="2506"/>
      <c r="M3403" s="2506"/>
      <c r="N3403" s="2506"/>
      <c r="O3403" s="2506"/>
      <c r="P3403" s="8"/>
    </row>
    <row r="3404" spans="1:16" x14ac:dyDescent="0.25">
      <c r="A3404" s="133"/>
      <c r="B3404" s="8"/>
      <c r="C3404" s="8"/>
      <c r="D3404" s="8"/>
      <c r="E3404" s="8"/>
      <c r="F3404" s="133"/>
      <c r="G3404" s="200"/>
      <c r="H3404" s="200"/>
      <c r="I3404" s="133"/>
      <c r="J3404" s="8"/>
      <c r="K3404" s="8"/>
      <c r="L3404" s="8"/>
      <c r="M3404" s="8"/>
      <c r="N3404" s="133"/>
      <c r="O3404" s="200"/>
      <c r="P3404" s="200"/>
    </row>
    <row r="3405" spans="1:16" x14ac:dyDescent="0.25">
      <c r="A3405" s="133"/>
      <c r="B3405" s="8"/>
      <c r="C3405" s="8"/>
      <c r="D3405" s="8"/>
      <c r="E3405" s="8"/>
      <c r="F3405" s="133"/>
      <c r="G3405" s="200"/>
      <c r="H3405" s="200"/>
      <c r="I3405" s="133"/>
      <c r="J3405" s="8"/>
      <c r="K3405" s="8"/>
      <c r="L3405" s="8"/>
      <c r="M3405" s="8"/>
      <c r="N3405" s="133"/>
      <c r="O3405" s="200"/>
      <c r="P3405" s="200"/>
    </row>
    <row r="3406" spans="1:16" x14ac:dyDescent="0.25">
      <c r="A3406" s="133"/>
      <c r="B3406" s="8"/>
      <c r="C3406" s="8"/>
      <c r="D3406" s="8"/>
      <c r="E3406" s="8"/>
      <c r="F3406" s="133"/>
      <c r="G3406" s="200"/>
      <c r="H3406" s="200"/>
      <c r="I3406" s="133"/>
      <c r="J3406" s="8"/>
      <c r="K3406" s="8"/>
      <c r="L3406" s="8"/>
      <c r="M3406" s="8"/>
      <c r="N3406" s="133"/>
      <c r="O3406" s="200"/>
      <c r="P3406" s="200"/>
    </row>
    <row r="3407" spans="1:16" ht="32.1" customHeight="1" x14ac:dyDescent="0.25">
      <c r="A3407" s="220" t="s">
        <v>5482</v>
      </c>
      <c r="B3407" s="221" t="s">
        <v>5547</v>
      </c>
      <c r="C3407" s="2449" t="s">
        <v>6287</v>
      </c>
      <c r="D3407" s="2449"/>
      <c r="E3407" s="2449"/>
      <c r="F3407" s="220" t="s">
        <v>867</v>
      </c>
      <c r="G3407" s="222" t="s">
        <v>5424</v>
      </c>
      <c r="H3407" s="200"/>
      <c r="I3407" s="220" t="s">
        <v>5482</v>
      </c>
      <c r="J3407" s="221" t="s">
        <v>5547</v>
      </c>
      <c r="K3407" s="2449" t="s">
        <v>6288</v>
      </c>
      <c r="L3407" s="2449"/>
      <c r="M3407" s="2449"/>
      <c r="N3407" s="220" t="s">
        <v>867</v>
      </c>
      <c r="O3407" s="222" t="s">
        <v>5424</v>
      </c>
      <c r="P3407" s="200"/>
    </row>
    <row r="3408" spans="1:16" x14ac:dyDescent="0.25">
      <c r="A3408" s="133"/>
      <c r="B3408" s="8"/>
      <c r="C3408" s="223"/>
      <c r="D3408" s="223"/>
      <c r="E3408" s="223"/>
      <c r="F3408" s="133"/>
      <c r="G3408" s="200"/>
      <c r="H3408" s="200"/>
      <c r="I3408" s="133"/>
      <c r="J3408" s="8"/>
      <c r="K3408" s="223"/>
      <c r="L3408" s="223"/>
      <c r="M3408" s="223"/>
      <c r="N3408" s="133"/>
      <c r="O3408" s="200"/>
      <c r="P3408" s="200"/>
    </row>
    <row r="3409" spans="1:16" x14ac:dyDescent="0.25">
      <c r="A3409" s="133"/>
      <c r="B3409" s="8"/>
      <c r="C3409" s="8"/>
      <c r="D3409" s="8"/>
      <c r="E3409" s="8"/>
      <c r="F3409" s="8"/>
      <c r="G3409" s="8"/>
      <c r="H3409" s="200"/>
      <c r="I3409" s="133"/>
      <c r="J3409" s="8"/>
      <c r="K3409" s="8"/>
      <c r="L3409" s="8"/>
      <c r="M3409" s="8"/>
      <c r="N3409" s="8"/>
      <c r="O3409" s="8"/>
      <c r="P3409" s="200"/>
    </row>
    <row r="3410" spans="1:16" ht="15.75" thickBot="1" x14ac:dyDescent="0.3">
      <c r="A3410" s="133"/>
      <c r="B3410" s="8"/>
      <c r="C3410" s="8"/>
      <c r="D3410" s="8"/>
      <c r="E3410" s="8"/>
      <c r="F3410" s="133"/>
      <c r="G3410" s="200"/>
      <c r="H3410" s="200"/>
      <c r="I3410" s="133"/>
      <c r="J3410" s="8"/>
      <c r="K3410" s="8"/>
      <c r="L3410" s="8"/>
      <c r="M3410" s="8"/>
      <c r="N3410" s="133"/>
      <c r="O3410" s="200"/>
      <c r="P3410" s="200"/>
    </row>
    <row r="3411" spans="1:16" ht="15.75" thickBot="1" x14ac:dyDescent="0.3">
      <c r="A3411" s="133"/>
      <c r="B3411" s="224" t="s">
        <v>5403</v>
      </c>
      <c r="C3411" s="193" t="s">
        <v>867</v>
      </c>
      <c r="D3411" s="193" t="s">
        <v>6</v>
      </c>
      <c r="E3411" s="193" t="s">
        <v>5439</v>
      </c>
      <c r="F3411" s="193" t="s">
        <v>5405</v>
      </c>
      <c r="G3411" s="225" t="s">
        <v>868</v>
      </c>
      <c r="H3411" s="200"/>
      <c r="I3411" s="133"/>
      <c r="J3411" s="224" t="s">
        <v>5403</v>
      </c>
      <c r="K3411" s="193" t="s">
        <v>867</v>
      </c>
      <c r="L3411" s="193" t="s">
        <v>6</v>
      </c>
      <c r="M3411" s="193" t="s">
        <v>5439</v>
      </c>
      <c r="N3411" s="193" t="s">
        <v>5405</v>
      </c>
      <c r="O3411" s="225" t="s">
        <v>868</v>
      </c>
      <c r="P3411" s="200"/>
    </row>
    <row r="3412" spans="1:16" x14ac:dyDescent="0.25">
      <c r="A3412" s="133"/>
      <c r="B3412" s="195" t="s">
        <v>5440</v>
      </c>
      <c r="C3412" s="226"/>
      <c r="D3412" s="226"/>
      <c r="E3412" s="263">
        <f>+H3450</f>
        <v>29322.5</v>
      </c>
      <c r="F3412" s="226">
        <v>0.1</v>
      </c>
      <c r="G3412" s="229">
        <f>+E3412*F3412</f>
        <v>2932.25</v>
      </c>
      <c r="H3412" s="200"/>
      <c r="I3412" s="133"/>
      <c r="J3412" s="195" t="s">
        <v>5440</v>
      </c>
      <c r="K3412" s="226"/>
      <c r="L3412" s="226"/>
      <c r="M3412" s="263">
        <f>+P3450</f>
        <v>229400</v>
      </c>
      <c r="N3412" s="226">
        <v>0.1</v>
      </c>
      <c r="O3412" s="229">
        <f>+M3412*N3412</f>
        <v>22940</v>
      </c>
      <c r="P3412" s="200"/>
    </row>
    <row r="3413" spans="1:16" x14ac:dyDescent="0.25">
      <c r="A3413" s="133"/>
      <c r="B3413" s="195"/>
      <c r="C3413" s="226"/>
      <c r="D3413" s="226"/>
      <c r="E3413" s="264"/>
      <c r="F3413" s="226"/>
      <c r="G3413" s="229"/>
      <c r="H3413" s="200"/>
      <c r="I3413" s="133"/>
      <c r="J3413" s="195"/>
      <c r="K3413" s="226"/>
      <c r="L3413" s="226"/>
      <c r="M3413" s="264"/>
      <c r="N3413" s="226"/>
      <c r="O3413" s="229"/>
      <c r="P3413" s="200"/>
    </row>
    <row r="3414" spans="1:16" x14ac:dyDescent="0.25">
      <c r="A3414" s="133"/>
      <c r="B3414" s="195"/>
      <c r="C3414" s="226"/>
      <c r="D3414" s="226"/>
      <c r="E3414" s="176"/>
      <c r="F3414" s="226"/>
      <c r="G3414" s="229"/>
      <c r="H3414" s="200"/>
      <c r="I3414" s="133"/>
      <c r="J3414" s="195"/>
      <c r="K3414" s="226"/>
      <c r="L3414" s="226"/>
      <c r="M3414" s="176"/>
      <c r="N3414" s="226"/>
      <c r="O3414" s="229"/>
      <c r="P3414" s="200"/>
    </row>
    <row r="3415" spans="1:16" x14ac:dyDescent="0.25">
      <c r="A3415" s="133"/>
      <c r="B3415" s="195"/>
      <c r="C3415" s="226"/>
      <c r="D3415" s="226"/>
      <c r="E3415" s="171"/>
      <c r="F3415" s="226"/>
      <c r="G3415" s="231"/>
      <c r="H3415" s="200"/>
      <c r="I3415" s="133"/>
      <c r="J3415" s="195"/>
      <c r="K3415" s="226"/>
      <c r="L3415" s="226"/>
      <c r="M3415" s="171"/>
      <c r="N3415" s="226"/>
      <c r="O3415" s="231"/>
      <c r="P3415" s="200"/>
    </row>
    <row r="3416" spans="1:16" x14ac:dyDescent="0.25">
      <c r="A3416" s="133"/>
      <c r="B3416" s="195"/>
      <c r="C3416" s="226"/>
      <c r="D3416" s="232"/>
      <c r="E3416" s="232"/>
      <c r="F3416" s="226"/>
      <c r="G3416" s="229"/>
      <c r="H3416" s="200"/>
      <c r="I3416" s="133"/>
      <c r="J3416" s="195"/>
      <c r="K3416" s="226"/>
      <c r="L3416" s="232"/>
      <c r="M3416" s="232"/>
      <c r="N3416" s="226"/>
      <c r="O3416" s="229"/>
      <c r="P3416" s="200"/>
    </row>
    <row r="3417" spans="1:16" ht="15.75" thickBot="1" x14ac:dyDescent="0.3">
      <c r="A3417" s="133"/>
      <c r="B3417" s="195"/>
      <c r="C3417" s="226"/>
      <c r="D3417" s="232"/>
      <c r="E3417" s="232"/>
      <c r="F3417" s="226"/>
      <c r="G3417" s="229"/>
      <c r="H3417" s="200"/>
      <c r="I3417" s="133"/>
      <c r="J3417" s="195"/>
      <c r="K3417" s="226"/>
      <c r="L3417" s="232"/>
      <c r="M3417" s="232"/>
      <c r="N3417" s="226"/>
      <c r="O3417" s="229"/>
      <c r="P3417" s="200"/>
    </row>
    <row r="3418" spans="1:16" ht="15.75" thickBot="1" x14ac:dyDescent="0.3">
      <c r="A3418" s="133"/>
      <c r="B3418" s="233"/>
      <c r="C3418" s="234"/>
      <c r="D3418" s="234"/>
      <c r="E3418" s="234"/>
      <c r="F3418" s="235"/>
      <c r="G3418" s="236"/>
      <c r="H3418" s="237">
        <f>+SUM(G3412:G3418)</f>
        <v>2932.25</v>
      </c>
      <c r="I3418" s="133"/>
      <c r="J3418" s="233"/>
      <c r="K3418" s="234"/>
      <c r="L3418" s="234"/>
      <c r="M3418" s="234"/>
      <c r="N3418" s="235"/>
      <c r="O3418" s="236"/>
      <c r="P3418" s="237">
        <f>+SUM(O3412:O3418)</f>
        <v>22940</v>
      </c>
    </row>
    <row r="3419" spans="1:16" ht="15.75" thickBot="1" x14ac:dyDescent="0.3">
      <c r="A3419" s="133"/>
      <c r="B3419" s="238"/>
      <c r="C3419" s="238"/>
      <c r="D3419" s="238"/>
      <c r="E3419" s="238"/>
      <c r="F3419" s="239"/>
      <c r="G3419" s="240"/>
      <c r="H3419" s="241"/>
      <c r="I3419" s="133"/>
      <c r="J3419" s="238"/>
      <c r="K3419" s="238"/>
      <c r="L3419" s="238"/>
      <c r="M3419" s="238"/>
      <c r="N3419" s="239"/>
      <c r="O3419" s="240"/>
      <c r="P3419" s="241"/>
    </row>
    <row r="3420" spans="1:16" ht="15.75" thickBot="1" x14ac:dyDescent="0.3">
      <c r="A3420" s="133"/>
      <c r="B3420" s="224" t="s">
        <v>5408</v>
      </c>
      <c r="C3420" s="193" t="s">
        <v>867</v>
      </c>
      <c r="D3420" s="193" t="s">
        <v>6</v>
      </c>
      <c r="E3420" s="193" t="s">
        <v>870</v>
      </c>
      <c r="F3420" s="193" t="s">
        <v>5409</v>
      </c>
      <c r="G3420" s="225" t="s">
        <v>868</v>
      </c>
      <c r="H3420" s="200"/>
      <c r="I3420" s="133"/>
      <c r="J3420" s="224" t="s">
        <v>5408</v>
      </c>
      <c r="K3420" s="193" t="s">
        <v>867</v>
      </c>
      <c r="L3420" s="193" t="s">
        <v>6</v>
      </c>
      <c r="M3420" s="193" t="s">
        <v>870</v>
      </c>
      <c r="N3420" s="193" t="s">
        <v>5409</v>
      </c>
      <c r="O3420" s="225" t="s">
        <v>868</v>
      </c>
      <c r="P3420" s="200"/>
    </row>
    <row r="3421" spans="1:16" x14ac:dyDescent="0.25">
      <c r="A3421" s="133"/>
      <c r="B3421" s="530" t="s">
        <v>6284</v>
      </c>
      <c r="C3421" s="202" t="s">
        <v>5542</v>
      </c>
      <c r="D3421" s="226">
        <f>0.5*0.5*0.1</f>
        <v>2.5000000000000001E-2</v>
      </c>
      <c r="E3421" s="270">
        <f>+'APU CAP 5'!H268</f>
        <v>352631.16666666669</v>
      </c>
      <c r="F3421" s="169">
        <v>0.05</v>
      </c>
      <c r="G3421" s="178">
        <f>+D3421*E3421*(1+F3421)</f>
        <v>9256.5681250000016</v>
      </c>
      <c r="H3421" s="200"/>
      <c r="I3421" s="133"/>
      <c r="J3421" s="530" t="s">
        <v>6284</v>
      </c>
      <c r="K3421" s="202" t="s">
        <v>5542</v>
      </c>
      <c r="L3421" s="226">
        <v>2</v>
      </c>
      <c r="M3421" s="270">
        <f>+'APU CAP 5'!H376</f>
        <v>405263.00000000006</v>
      </c>
      <c r="N3421" s="169">
        <v>0.05</v>
      </c>
      <c r="O3421" s="178">
        <f>+L3421*M3421*(1+N3421)</f>
        <v>851052.30000000016</v>
      </c>
      <c r="P3421" s="200"/>
    </row>
    <row r="3422" spans="1:16" x14ac:dyDescent="0.25">
      <c r="A3422" s="133"/>
      <c r="B3422" s="269" t="s">
        <v>6285</v>
      </c>
      <c r="C3422" s="202" t="s">
        <v>5424</v>
      </c>
      <c r="D3422" s="202">
        <v>48</v>
      </c>
      <c r="E3422" s="271">
        <v>500</v>
      </c>
      <c r="F3422" s="169">
        <v>0.1</v>
      </c>
      <c r="G3422" s="178">
        <f>+D3422*E3422*(1+F3422)</f>
        <v>26400.000000000004</v>
      </c>
      <c r="H3422" s="200"/>
      <c r="I3422" s="133"/>
      <c r="J3422" s="266" t="s">
        <v>5741</v>
      </c>
      <c r="K3422" s="226" t="s">
        <v>5431</v>
      </c>
      <c r="L3422" s="226">
        <v>300</v>
      </c>
      <c r="M3422" s="272">
        <f>+'APU CAP 5'!H970</f>
        <v>3455</v>
      </c>
      <c r="N3422" s="169">
        <v>0.05</v>
      </c>
      <c r="O3422" s="178">
        <f>+L3422*M3422*(1+N3422)</f>
        <v>1088325</v>
      </c>
      <c r="P3422" s="200"/>
    </row>
    <row r="3423" spans="1:16" x14ac:dyDescent="0.25">
      <c r="A3423" s="133"/>
      <c r="B3423" s="266" t="s">
        <v>6009</v>
      </c>
      <c r="C3423" s="226" t="s">
        <v>5542</v>
      </c>
      <c r="D3423" s="226">
        <v>3.4000000000000002E-2</v>
      </c>
      <c r="E3423" s="270">
        <f>+'APU CAP 5'!H808</f>
        <v>269606</v>
      </c>
      <c r="F3423" s="169">
        <v>0.1</v>
      </c>
      <c r="G3423" s="178">
        <f>+D3423*E3423*(1+F3423)</f>
        <v>10083.264400000002</v>
      </c>
      <c r="H3423" s="200"/>
      <c r="I3423" s="133"/>
      <c r="J3423" s="266" t="s">
        <v>6289</v>
      </c>
      <c r="K3423" s="226" t="s">
        <v>5424</v>
      </c>
      <c r="L3423" s="226">
        <v>1</v>
      </c>
      <c r="M3423" s="270">
        <f>615000*1.16</f>
        <v>713400</v>
      </c>
      <c r="N3423" s="169">
        <v>0.1</v>
      </c>
      <c r="O3423" s="178">
        <f>+L3423*M3423*(1+N3423)</f>
        <v>784740.00000000012</v>
      </c>
      <c r="P3423" s="200"/>
    </row>
    <row r="3424" spans="1:16" x14ac:dyDescent="0.25">
      <c r="A3424" s="133"/>
      <c r="B3424" s="243" t="s">
        <v>6286</v>
      </c>
      <c r="C3424" s="226" t="s">
        <v>5424</v>
      </c>
      <c r="D3424" s="226">
        <v>1</v>
      </c>
      <c r="E3424" s="272">
        <f>91000*1.16</f>
        <v>105560</v>
      </c>
      <c r="F3424" s="169">
        <v>0.05</v>
      </c>
      <c r="G3424" s="178">
        <f>+D3424*E3424*(1+F3424)</f>
        <v>110838</v>
      </c>
      <c r="H3424" s="200"/>
      <c r="I3424" s="133"/>
      <c r="J3424" s="243" t="s">
        <v>6286</v>
      </c>
      <c r="K3424" s="226" t="s">
        <v>5424</v>
      </c>
      <c r="L3424" s="226">
        <v>1</v>
      </c>
      <c r="M3424" s="272">
        <f>91000*1.16</f>
        <v>105560</v>
      </c>
      <c r="N3424" s="169">
        <v>0.05</v>
      </c>
      <c r="O3424" s="178">
        <f>+L3424*M3424*(1+N3424)</f>
        <v>110838</v>
      </c>
      <c r="P3424" s="200"/>
    </row>
    <row r="3425" spans="1:16" x14ac:dyDescent="0.25">
      <c r="A3425" s="133"/>
      <c r="B3425" s="243"/>
      <c r="C3425" s="226"/>
      <c r="D3425" s="226"/>
      <c r="E3425" s="171"/>
      <c r="F3425" s="169"/>
      <c r="G3425" s="178"/>
      <c r="H3425" s="200"/>
      <c r="I3425" s="133"/>
      <c r="J3425" s="243"/>
      <c r="K3425" s="226"/>
      <c r="L3425" s="226"/>
      <c r="M3425" s="171"/>
      <c r="N3425" s="169"/>
      <c r="O3425" s="178"/>
      <c r="P3425" s="200"/>
    </row>
    <row r="3426" spans="1:16" x14ac:dyDescent="0.25">
      <c r="A3426" s="133"/>
      <c r="B3426" s="194"/>
      <c r="C3426" s="202"/>
      <c r="D3426" s="202"/>
      <c r="E3426" s="171"/>
      <c r="F3426" s="169"/>
      <c r="G3426" s="178"/>
      <c r="H3426" s="200"/>
      <c r="I3426" s="133"/>
      <c r="J3426" s="194"/>
      <c r="K3426" s="202"/>
      <c r="L3426" s="202"/>
      <c r="M3426" s="171"/>
      <c r="N3426" s="169"/>
      <c r="O3426" s="178"/>
      <c r="P3426" s="200"/>
    </row>
    <row r="3427" spans="1:16" x14ac:dyDescent="0.25">
      <c r="A3427" s="133"/>
      <c r="B3427" s="195"/>
      <c r="C3427" s="226"/>
      <c r="D3427" s="226"/>
      <c r="E3427" s="171"/>
      <c r="F3427" s="169"/>
      <c r="G3427" s="178"/>
      <c r="H3427" s="200"/>
      <c r="I3427" s="133"/>
      <c r="J3427" s="195"/>
      <c r="K3427" s="226"/>
      <c r="L3427" s="226"/>
      <c r="M3427" s="171"/>
      <c r="N3427" s="169"/>
      <c r="O3427" s="178"/>
      <c r="P3427" s="200"/>
    </row>
    <row r="3428" spans="1:16" x14ac:dyDescent="0.25">
      <c r="A3428" s="133"/>
      <c r="B3428" s="195"/>
      <c r="C3428" s="226"/>
      <c r="D3428" s="226"/>
      <c r="E3428" s="171"/>
      <c r="F3428" s="169"/>
      <c r="G3428" s="178"/>
      <c r="H3428" s="200"/>
      <c r="I3428" s="133"/>
      <c r="J3428" s="195"/>
      <c r="K3428" s="226"/>
      <c r="L3428" s="226"/>
      <c r="M3428" s="171"/>
      <c r="N3428" s="169"/>
      <c r="O3428" s="178"/>
      <c r="P3428" s="200"/>
    </row>
    <row r="3429" spans="1:16" x14ac:dyDescent="0.25">
      <c r="A3429" s="133"/>
      <c r="B3429" s="195"/>
      <c r="C3429" s="232"/>
      <c r="D3429" s="232"/>
      <c r="E3429" s="232"/>
      <c r="F3429" s="226"/>
      <c r="G3429" s="229"/>
      <c r="H3429" s="200"/>
      <c r="I3429" s="133"/>
      <c r="J3429" s="195"/>
      <c r="K3429" s="232"/>
      <c r="L3429" s="232"/>
      <c r="M3429" s="232"/>
      <c r="N3429" s="226"/>
      <c r="O3429" s="229"/>
      <c r="P3429" s="200"/>
    </row>
    <row r="3430" spans="1:16" x14ac:dyDescent="0.25">
      <c r="A3430" s="133"/>
      <c r="B3430" s="195"/>
      <c r="C3430" s="232"/>
      <c r="D3430" s="232"/>
      <c r="E3430" s="232"/>
      <c r="F3430" s="226"/>
      <c r="G3430" s="229"/>
      <c r="H3430" s="200"/>
      <c r="I3430" s="133"/>
      <c r="J3430" s="195"/>
      <c r="K3430" s="232"/>
      <c r="L3430" s="232"/>
      <c r="M3430" s="232"/>
      <c r="N3430" s="226"/>
      <c r="O3430" s="229"/>
      <c r="P3430" s="200"/>
    </row>
    <row r="3431" spans="1:16" x14ac:dyDescent="0.25">
      <c r="A3431" s="133"/>
      <c r="B3431" s="195"/>
      <c r="C3431" s="232"/>
      <c r="D3431" s="232"/>
      <c r="E3431" s="232"/>
      <c r="F3431" s="226"/>
      <c r="G3431" s="229"/>
      <c r="H3431" s="200"/>
      <c r="I3431" s="133"/>
      <c r="J3431" s="195"/>
      <c r="K3431" s="232"/>
      <c r="L3431" s="232"/>
      <c r="M3431" s="232"/>
      <c r="N3431" s="226"/>
      <c r="O3431" s="229"/>
      <c r="P3431" s="200"/>
    </row>
    <row r="3432" spans="1:16" ht="15.75" thickBot="1" x14ac:dyDescent="0.3">
      <c r="A3432" s="133"/>
      <c r="B3432" s="195"/>
      <c r="C3432" s="232"/>
      <c r="D3432" s="232"/>
      <c r="E3432" s="232"/>
      <c r="F3432" s="226"/>
      <c r="G3432" s="229"/>
      <c r="H3432" s="200"/>
      <c r="I3432" s="133"/>
      <c r="J3432" s="195"/>
      <c r="K3432" s="232"/>
      <c r="L3432" s="232"/>
      <c r="M3432" s="232"/>
      <c r="N3432" s="226"/>
      <c r="O3432" s="229"/>
      <c r="P3432" s="200"/>
    </row>
    <row r="3433" spans="1:16" ht="15.75" thickBot="1" x14ac:dyDescent="0.3">
      <c r="A3433" s="133"/>
      <c r="B3433" s="233"/>
      <c r="C3433" s="234"/>
      <c r="D3433" s="234"/>
      <c r="E3433" s="234"/>
      <c r="F3433" s="235"/>
      <c r="G3433" s="236"/>
      <c r="H3433" s="256">
        <f>+SUM(G3421:G3433)</f>
        <v>156577.83252500001</v>
      </c>
      <c r="I3433" s="133"/>
      <c r="J3433" s="233"/>
      <c r="K3433" s="234"/>
      <c r="L3433" s="234"/>
      <c r="M3433" s="234"/>
      <c r="N3433" s="235"/>
      <c r="O3433" s="236"/>
      <c r="P3433" s="256">
        <f>+SUM(O3421:O3433)</f>
        <v>2834955.3000000003</v>
      </c>
    </row>
    <row r="3434" spans="1:16" ht="15.75" thickBot="1" x14ac:dyDescent="0.3">
      <c r="A3434" s="133"/>
      <c r="B3434" s="238"/>
      <c r="C3434" s="238"/>
      <c r="D3434" s="238"/>
      <c r="E3434" s="238"/>
      <c r="F3434" s="239"/>
      <c r="G3434" s="240"/>
      <c r="H3434" s="241"/>
      <c r="I3434" s="133"/>
      <c r="J3434" s="238"/>
      <c r="K3434" s="238"/>
      <c r="L3434" s="238"/>
      <c r="M3434" s="238"/>
      <c r="N3434" s="239"/>
      <c r="O3434" s="240"/>
      <c r="P3434" s="241"/>
    </row>
    <row r="3435" spans="1:16" ht="15.75" thickBot="1" x14ac:dyDescent="0.3">
      <c r="A3435" s="133"/>
      <c r="B3435" s="224" t="s">
        <v>5410</v>
      </c>
      <c r="C3435" s="193" t="s">
        <v>867</v>
      </c>
      <c r="D3435" s="193" t="s">
        <v>6</v>
      </c>
      <c r="E3435" s="193" t="s">
        <v>870</v>
      </c>
      <c r="F3435" s="193" t="s">
        <v>5411</v>
      </c>
      <c r="G3435" s="225" t="s">
        <v>868</v>
      </c>
      <c r="H3435" s="200"/>
      <c r="I3435" s="133"/>
      <c r="J3435" s="224" t="s">
        <v>5410</v>
      </c>
      <c r="K3435" s="193" t="s">
        <v>867</v>
      </c>
      <c r="L3435" s="193" t="s">
        <v>6</v>
      </c>
      <c r="M3435" s="193" t="s">
        <v>870</v>
      </c>
      <c r="N3435" s="193" t="s">
        <v>5411</v>
      </c>
      <c r="O3435" s="225" t="s">
        <v>868</v>
      </c>
      <c r="P3435" s="200"/>
    </row>
    <row r="3436" spans="1:16" x14ac:dyDescent="0.25">
      <c r="A3436" s="133"/>
      <c r="B3436" s="242"/>
      <c r="C3436" s="202"/>
      <c r="D3436" s="202"/>
      <c r="E3436" s="175"/>
      <c r="F3436" s="202"/>
      <c r="G3436" s="203"/>
      <c r="H3436" s="246"/>
      <c r="I3436" s="133"/>
      <c r="J3436" s="242"/>
      <c r="K3436" s="202"/>
      <c r="L3436" s="202"/>
      <c r="M3436" s="175"/>
      <c r="N3436" s="202"/>
      <c r="O3436" s="203"/>
      <c r="P3436" s="246"/>
    </row>
    <row r="3437" spans="1:16" x14ac:dyDescent="0.25">
      <c r="A3437" s="133"/>
      <c r="B3437" s="243"/>
      <c r="C3437" s="248"/>
      <c r="D3437" s="248"/>
      <c r="E3437" s="248"/>
      <c r="F3437" s="202"/>
      <c r="G3437" s="178"/>
      <c r="H3437" s="200"/>
      <c r="I3437" s="133"/>
      <c r="J3437" s="243"/>
      <c r="K3437" s="248"/>
      <c r="L3437" s="248"/>
      <c r="M3437" s="248"/>
      <c r="N3437" s="202"/>
      <c r="O3437" s="178"/>
      <c r="P3437" s="200"/>
    </row>
    <row r="3438" spans="1:16" x14ac:dyDescent="0.25">
      <c r="A3438" s="133"/>
      <c r="B3438" s="243"/>
      <c r="C3438" s="232"/>
      <c r="D3438" s="232"/>
      <c r="E3438" s="232"/>
      <c r="F3438" s="226"/>
      <c r="G3438" s="229"/>
      <c r="H3438" s="200"/>
      <c r="I3438" s="133"/>
      <c r="J3438" s="243"/>
      <c r="K3438" s="232"/>
      <c r="L3438" s="232"/>
      <c r="M3438" s="232"/>
      <c r="N3438" s="226"/>
      <c r="O3438" s="229"/>
      <c r="P3438" s="200"/>
    </row>
    <row r="3439" spans="1:16" x14ac:dyDescent="0.25">
      <c r="A3439" s="133"/>
      <c r="B3439" s="194"/>
      <c r="C3439" s="232"/>
      <c r="D3439" s="232"/>
      <c r="E3439" s="232"/>
      <c r="F3439" s="226"/>
      <c r="G3439" s="229"/>
      <c r="H3439" s="200"/>
      <c r="I3439" s="133"/>
      <c r="J3439" s="194"/>
      <c r="K3439" s="232"/>
      <c r="L3439" s="232"/>
      <c r="M3439" s="232"/>
      <c r="N3439" s="226"/>
      <c r="O3439" s="229"/>
      <c r="P3439" s="200"/>
    </row>
    <row r="3440" spans="1:16" ht="15.75" thickBot="1" x14ac:dyDescent="0.3">
      <c r="A3440" s="133"/>
      <c r="B3440" s="195"/>
      <c r="C3440" s="232"/>
      <c r="D3440" s="232"/>
      <c r="E3440" s="232"/>
      <c r="F3440" s="226"/>
      <c r="G3440" s="229"/>
      <c r="H3440" s="200"/>
      <c r="I3440" s="133"/>
      <c r="J3440" s="195"/>
      <c r="K3440" s="232"/>
      <c r="L3440" s="232"/>
      <c r="M3440" s="232"/>
      <c r="N3440" s="226"/>
      <c r="O3440" s="229"/>
      <c r="P3440" s="200"/>
    </row>
    <row r="3441" spans="1:16" ht="15.75" thickBot="1" x14ac:dyDescent="0.3">
      <c r="A3441" s="133"/>
      <c r="B3441" s="233"/>
      <c r="C3441" s="234"/>
      <c r="D3441" s="234"/>
      <c r="E3441" s="234"/>
      <c r="F3441" s="235"/>
      <c r="G3441" s="236"/>
      <c r="H3441" s="237">
        <f>+SUM(G3436:G3441)</f>
        <v>0</v>
      </c>
      <c r="I3441" s="133"/>
      <c r="J3441" s="233"/>
      <c r="K3441" s="234"/>
      <c r="L3441" s="234"/>
      <c r="M3441" s="234"/>
      <c r="N3441" s="235"/>
      <c r="O3441" s="236"/>
      <c r="P3441" s="237">
        <f>+SUM(O3436:O3441)</f>
        <v>0</v>
      </c>
    </row>
    <row r="3442" spans="1:16" ht="15.75" thickBot="1" x14ac:dyDescent="0.3">
      <c r="A3442" s="133"/>
      <c r="B3442" s="238"/>
      <c r="C3442" s="238"/>
      <c r="D3442" s="238"/>
      <c r="E3442" s="238"/>
      <c r="F3442" s="249"/>
      <c r="G3442" s="250"/>
      <c r="H3442" s="241"/>
      <c r="I3442" s="133"/>
      <c r="J3442" s="238"/>
      <c r="K3442" s="238"/>
      <c r="L3442" s="238"/>
      <c r="M3442" s="238"/>
      <c r="N3442" s="249"/>
      <c r="O3442" s="250"/>
      <c r="P3442" s="241"/>
    </row>
    <row r="3443" spans="1:16" ht="15.75" thickBot="1" x14ac:dyDescent="0.3">
      <c r="A3443" s="133"/>
      <c r="B3443" s="224" t="s">
        <v>5412</v>
      </c>
      <c r="C3443" s="193" t="s">
        <v>5420</v>
      </c>
      <c r="D3443" s="193" t="s">
        <v>5421</v>
      </c>
      <c r="E3443" s="193" t="s">
        <v>5413</v>
      </c>
      <c r="F3443" s="193" t="s">
        <v>5405</v>
      </c>
      <c r="G3443" s="225" t="s">
        <v>868</v>
      </c>
      <c r="H3443" s="200"/>
      <c r="I3443" s="133"/>
      <c r="J3443" s="224" t="s">
        <v>5412</v>
      </c>
      <c r="K3443" s="193" t="s">
        <v>5420</v>
      </c>
      <c r="L3443" s="193" t="s">
        <v>5421</v>
      </c>
      <c r="M3443" s="193" t="s">
        <v>5413</v>
      </c>
      <c r="N3443" s="193" t="s">
        <v>5405</v>
      </c>
      <c r="O3443" s="225" t="s">
        <v>868</v>
      </c>
      <c r="P3443" s="200"/>
    </row>
    <row r="3444" spans="1:16" x14ac:dyDescent="0.25">
      <c r="A3444" s="133"/>
      <c r="B3444" s="194" t="s">
        <v>5948</v>
      </c>
      <c r="C3444" s="345">
        <v>70000</v>
      </c>
      <c r="D3444" s="176">
        <f>+C3444*0.85</f>
        <v>59500</v>
      </c>
      <c r="E3444" s="176">
        <f>+C3444+D3444</f>
        <v>129500</v>
      </c>
      <c r="F3444" s="204">
        <v>100</v>
      </c>
      <c r="G3444" s="178">
        <f>+E3444/F3444</f>
        <v>1295</v>
      </c>
      <c r="H3444" s="200"/>
      <c r="I3444" s="133"/>
      <c r="J3444" s="194" t="s">
        <v>5948</v>
      </c>
      <c r="K3444" s="345">
        <v>70000</v>
      </c>
      <c r="L3444" s="176">
        <f>+K3444*0.85</f>
        <v>59500</v>
      </c>
      <c r="M3444" s="176">
        <f>+K3444+L3444</f>
        <v>129500</v>
      </c>
      <c r="N3444" s="204">
        <v>25</v>
      </c>
      <c r="O3444" s="178">
        <f>+M3444/N3444</f>
        <v>5180</v>
      </c>
      <c r="P3444" s="200"/>
    </row>
    <row r="3445" spans="1:16" x14ac:dyDescent="0.25">
      <c r="A3445" s="133"/>
      <c r="B3445" s="194" t="s">
        <v>5651</v>
      </c>
      <c r="C3445" s="345">
        <v>40000</v>
      </c>
      <c r="D3445" s="176">
        <f>+C3445*0.85</f>
        <v>34000</v>
      </c>
      <c r="E3445" s="176">
        <f>+C3445+D3445</f>
        <v>74000</v>
      </c>
      <c r="F3445" s="202">
        <v>4</v>
      </c>
      <c r="G3445" s="178">
        <f>+E3445/F3445</f>
        <v>18500</v>
      </c>
      <c r="H3445" s="200"/>
      <c r="I3445" s="133"/>
      <c r="J3445" s="194" t="s">
        <v>5651</v>
      </c>
      <c r="K3445" s="345">
        <v>40000</v>
      </c>
      <c r="L3445" s="176">
        <f>+K3445*0.85</f>
        <v>34000</v>
      </c>
      <c r="M3445" s="176">
        <f>+K3445+L3445</f>
        <v>74000</v>
      </c>
      <c r="N3445" s="202">
        <v>0.5</v>
      </c>
      <c r="O3445" s="178">
        <f>+M3445/N3445</f>
        <v>148000</v>
      </c>
      <c r="P3445" s="200"/>
    </row>
    <row r="3446" spans="1:16" x14ac:dyDescent="0.25">
      <c r="A3446" s="133"/>
      <c r="B3446" s="195" t="s">
        <v>5635</v>
      </c>
      <c r="C3446" s="345">
        <v>20600</v>
      </c>
      <c r="D3446" s="176">
        <f>+C3446*0.85</f>
        <v>17510</v>
      </c>
      <c r="E3446" s="176">
        <f>+C3446+D3446</f>
        <v>38110</v>
      </c>
      <c r="F3446" s="226">
        <v>4</v>
      </c>
      <c r="G3446" s="178">
        <f>+E3446/F3446</f>
        <v>9527.5</v>
      </c>
      <c r="H3446" s="200"/>
      <c r="I3446" s="133"/>
      <c r="J3446" s="195" t="s">
        <v>5635</v>
      </c>
      <c r="K3446" s="345">
        <v>20600</v>
      </c>
      <c r="L3446" s="176">
        <f>+K3446*0.85</f>
        <v>17510</v>
      </c>
      <c r="M3446" s="176">
        <f>+K3446+L3446</f>
        <v>38110</v>
      </c>
      <c r="N3446" s="226">
        <v>0.5</v>
      </c>
      <c r="O3446" s="178">
        <f>+M3446/N3446</f>
        <v>76220</v>
      </c>
      <c r="P3446" s="200"/>
    </row>
    <row r="3447" spans="1:16" x14ac:dyDescent="0.25">
      <c r="A3447" s="133"/>
      <c r="B3447" s="195"/>
      <c r="C3447" s="171"/>
      <c r="D3447" s="176"/>
      <c r="E3447" s="176"/>
      <c r="F3447" s="226"/>
      <c r="G3447" s="178"/>
      <c r="H3447" s="200"/>
      <c r="I3447" s="133"/>
      <c r="J3447" s="195"/>
      <c r="K3447" s="171"/>
      <c r="L3447" s="176"/>
      <c r="M3447" s="176"/>
      <c r="N3447" s="226"/>
      <c r="O3447" s="178"/>
      <c r="P3447" s="200"/>
    </row>
    <row r="3448" spans="1:16" x14ac:dyDescent="0.25">
      <c r="A3448" s="133"/>
      <c r="B3448" s="195"/>
      <c r="C3448" s="232"/>
      <c r="D3448" s="232"/>
      <c r="E3448" s="232"/>
      <c r="F3448" s="226"/>
      <c r="G3448" s="229"/>
      <c r="H3448" s="200"/>
      <c r="I3448" s="133"/>
      <c r="J3448" s="195"/>
      <c r="K3448" s="232"/>
      <c r="L3448" s="232"/>
      <c r="M3448" s="232"/>
      <c r="N3448" s="226"/>
      <c r="O3448" s="229"/>
      <c r="P3448" s="200"/>
    </row>
    <row r="3449" spans="1:16" ht="15.75" thickBot="1" x14ac:dyDescent="0.3">
      <c r="A3449" s="133"/>
      <c r="B3449" s="195"/>
      <c r="C3449" s="232"/>
      <c r="D3449" s="232"/>
      <c r="E3449" s="232"/>
      <c r="F3449" s="226"/>
      <c r="G3449" s="229"/>
      <c r="H3449" s="200"/>
      <c r="I3449" s="133"/>
      <c r="J3449" s="195"/>
      <c r="K3449" s="232"/>
      <c r="L3449" s="232"/>
      <c r="M3449" s="232"/>
      <c r="N3449" s="226"/>
      <c r="O3449" s="229"/>
      <c r="P3449" s="200"/>
    </row>
    <row r="3450" spans="1:16" ht="15.75" thickBot="1" x14ac:dyDescent="0.3">
      <c r="A3450" s="133"/>
      <c r="B3450" s="251"/>
      <c r="C3450" s="252"/>
      <c r="D3450" s="252"/>
      <c r="E3450" s="252"/>
      <c r="F3450" s="253"/>
      <c r="G3450" s="254"/>
      <c r="H3450" s="256">
        <f>+SUM(G3444:G3450)</f>
        <v>29322.5</v>
      </c>
      <c r="I3450" s="133"/>
      <c r="J3450" s="251"/>
      <c r="K3450" s="252"/>
      <c r="L3450" s="252"/>
      <c r="M3450" s="252"/>
      <c r="N3450" s="253"/>
      <c r="O3450" s="254"/>
      <c r="P3450" s="256">
        <f>+SUM(O3444:O3450)</f>
        <v>229400</v>
      </c>
    </row>
    <row r="3451" spans="1:16" ht="15.75" thickBot="1" x14ac:dyDescent="0.3">
      <c r="A3451" s="133"/>
      <c r="B3451" s="8"/>
      <c r="C3451" s="8"/>
      <c r="D3451" s="8"/>
      <c r="E3451" s="8"/>
      <c r="F3451" s="133"/>
      <c r="G3451" s="200"/>
      <c r="H3451" s="200"/>
      <c r="I3451" s="133"/>
      <c r="J3451" s="8"/>
      <c r="K3451" s="8"/>
      <c r="L3451" s="8"/>
      <c r="M3451" s="8"/>
      <c r="N3451" s="133"/>
      <c r="O3451" s="200"/>
      <c r="P3451" s="200"/>
    </row>
    <row r="3452" spans="1:16" ht="15.75" thickBot="1" x14ac:dyDescent="0.3">
      <c r="A3452" s="133"/>
      <c r="B3452" s="8"/>
      <c r="C3452" s="8"/>
      <c r="D3452" s="8"/>
      <c r="E3452" s="223" t="s">
        <v>5415</v>
      </c>
      <c r="F3452" s="133"/>
      <c r="G3452" s="200"/>
      <c r="H3452" s="256">
        <f>ROUND(+H3450+H3441+H3433+H3418,0)</f>
        <v>188833</v>
      </c>
      <c r="I3452" s="133"/>
      <c r="J3452" s="8"/>
      <c r="K3452" s="8"/>
      <c r="L3452" s="8"/>
      <c r="M3452" s="223" t="s">
        <v>5415</v>
      </c>
      <c r="N3452" s="133"/>
      <c r="O3452" s="200"/>
      <c r="P3452" s="256">
        <f>ROUND(+P3450+P3441+P3433+P3418,0)</f>
        <v>3087295</v>
      </c>
    </row>
  </sheetData>
  <mergeCells count="224">
    <mergeCell ref="B3242:G3242"/>
    <mergeCell ref="C3246:E3246"/>
    <mergeCell ref="B3296:G3296"/>
    <mergeCell ref="C3300:E3300"/>
    <mergeCell ref="B3080:G3080"/>
    <mergeCell ref="C3084:E3084"/>
    <mergeCell ref="B3134:G3134"/>
    <mergeCell ref="C3138:E3138"/>
    <mergeCell ref="B3188:G3188"/>
    <mergeCell ref="C3192:E3192"/>
    <mergeCell ref="C2976:E2976"/>
    <mergeCell ref="B3026:G3026"/>
    <mergeCell ref="C3030:E3030"/>
    <mergeCell ref="B2756:G2756"/>
    <mergeCell ref="C2760:E2760"/>
    <mergeCell ref="B2810:G2810"/>
    <mergeCell ref="C2814:E2814"/>
    <mergeCell ref="B2864:G2864"/>
    <mergeCell ref="C2868:E2868"/>
    <mergeCell ref="B2432:G2432"/>
    <mergeCell ref="C2436:E2436"/>
    <mergeCell ref="B2486:G2486"/>
    <mergeCell ref="C2490:E2490"/>
    <mergeCell ref="B2540:G2540"/>
    <mergeCell ref="C2544:E2544"/>
    <mergeCell ref="B2918:G2918"/>
    <mergeCell ref="C2922:E2922"/>
    <mergeCell ref="B2972:G2972"/>
    <mergeCell ref="B1946:G1946"/>
    <mergeCell ref="C1950:E1950"/>
    <mergeCell ref="B2000:G2000"/>
    <mergeCell ref="C2004:E2004"/>
    <mergeCell ref="B2054:G2054"/>
    <mergeCell ref="C2058:E2058"/>
    <mergeCell ref="B1784:G1784"/>
    <mergeCell ref="C1788:E1788"/>
    <mergeCell ref="B1838:G1838"/>
    <mergeCell ref="C1842:E1842"/>
    <mergeCell ref="B1892:G1892"/>
    <mergeCell ref="C1896:E1896"/>
    <mergeCell ref="B1622:G1622"/>
    <mergeCell ref="C1626:E1626"/>
    <mergeCell ref="B1676:G1676"/>
    <mergeCell ref="C1680:E1680"/>
    <mergeCell ref="B1730:G1730"/>
    <mergeCell ref="C1734:E1734"/>
    <mergeCell ref="B1460:G1460"/>
    <mergeCell ref="C1464:E1464"/>
    <mergeCell ref="B1514:G1514"/>
    <mergeCell ref="C1518:E1518"/>
    <mergeCell ref="B1568:G1568"/>
    <mergeCell ref="C1572:E1572"/>
    <mergeCell ref="B1298:G1298"/>
    <mergeCell ref="C1302:E1302"/>
    <mergeCell ref="B1352:G1352"/>
    <mergeCell ref="C1356:E1356"/>
    <mergeCell ref="B1406:G1406"/>
    <mergeCell ref="C1410:E1410"/>
    <mergeCell ref="B1136:G1136"/>
    <mergeCell ref="C1140:E1140"/>
    <mergeCell ref="B1190:G1190"/>
    <mergeCell ref="C1194:E1194"/>
    <mergeCell ref="B1244:G1244"/>
    <mergeCell ref="C1248:E1248"/>
    <mergeCell ref="B974:G974"/>
    <mergeCell ref="C978:E978"/>
    <mergeCell ref="B1028:G1028"/>
    <mergeCell ref="C1032:E1032"/>
    <mergeCell ref="B1082:G1082"/>
    <mergeCell ref="C1086:E1086"/>
    <mergeCell ref="B812:G812"/>
    <mergeCell ref="C816:E816"/>
    <mergeCell ref="B866:G866"/>
    <mergeCell ref="C870:E870"/>
    <mergeCell ref="B920:G920"/>
    <mergeCell ref="C924:E924"/>
    <mergeCell ref="C654:E654"/>
    <mergeCell ref="B704:G704"/>
    <mergeCell ref="C708:E708"/>
    <mergeCell ref="B758:G758"/>
    <mergeCell ref="C762:E762"/>
    <mergeCell ref="B488:G488"/>
    <mergeCell ref="C492:E492"/>
    <mergeCell ref="B542:G542"/>
    <mergeCell ref="C546:E546"/>
    <mergeCell ref="B596:G596"/>
    <mergeCell ref="C600:E600"/>
    <mergeCell ref="S1356:U1356"/>
    <mergeCell ref="K1356:M1356"/>
    <mergeCell ref="R1352:W1352"/>
    <mergeCell ref="I164:O164"/>
    <mergeCell ref="R164:X164"/>
    <mergeCell ref="B2:G2"/>
    <mergeCell ref="C6:E6"/>
    <mergeCell ref="B56:G56"/>
    <mergeCell ref="C60:E60"/>
    <mergeCell ref="B110:G110"/>
    <mergeCell ref="C114:E114"/>
    <mergeCell ref="B326:G326"/>
    <mergeCell ref="C330:E330"/>
    <mergeCell ref="B380:G380"/>
    <mergeCell ref="C384:E384"/>
    <mergeCell ref="B434:G434"/>
    <mergeCell ref="C438:E438"/>
    <mergeCell ref="B164:G164"/>
    <mergeCell ref="C168:E168"/>
    <mergeCell ref="B218:G218"/>
    <mergeCell ref="C222:E222"/>
    <mergeCell ref="B272:G272"/>
    <mergeCell ref="C276:E276"/>
    <mergeCell ref="B650:G650"/>
    <mergeCell ref="AB1730:AG1730"/>
    <mergeCell ref="AJ1730:AO1730"/>
    <mergeCell ref="AR1730:AW1730"/>
    <mergeCell ref="K1680:M1680"/>
    <mergeCell ref="R1676:W1676"/>
    <mergeCell ref="S1680:U1680"/>
    <mergeCell ref="J1568:P1568"/>
    <mergeCell ref="J1622:P1622"/>
    <mergeCell ref="K1518:M1518"/>
    <mergeCell ref="K1572:M1572"/>
    <mergeCell ref="R1568:W1568"/>
    <mergeCell ref="S1572:U1572"/>
    <mergeCell ref="K1626:M1626"/>
    <mergeCell ref="R1622:W1622"/>
    <mergeCell ref="S1626:U1626"/>
    <mergeCell ref="AA1734:AC1734"/>
    <mergeCell ref="AI1734:AK1734"/>
    <mergeCell ref="AQ1734:AS1734"/>
    <mergeCell ref="J1784:P1784"/>
    <mergeCell ref="S1784:Y1784"/>
    <mergeCell ref="AB1784:AG1784"/>
    <mergeCell ref="AJ1784:AO1784"/>
    <mergeCell ref="AR1784:AW1784"/>
    <mergeCell ref="K1734:M1734"/>
    <mergeCell ref="S1734:U1734"/>
    <mergeCell ref="AA1842:AC1842"/>
    <mergeCell ref="AI1842:AK1842"/>
    <mergeCell ref="AQ1842:AS1842"/>
    <mergeCell ref="J1892:P1892"/>
    <mergeCell ref="K1896:N1896"/>
    <mergeCell ref="K1842:M1842"/>
    <mergeCell ref="S1842:U1842"/>
    <mergeCell ref="K2058:M2058"/>
    <mergeCell ref="AA1788:AC1788"/>
    <mergeCell ref="AI1788:AK1788"/>
    <mergeCell ref="AQ1788:AS1788"/>
    <mergeCell ref="J1838:P1838"/>
    <mergeCell ref="S1838:Y1838"/>
    <mergeCell ref="AB1838:AG1838"/>
    <mergeCell ref="AJ1838:AO1838"/>
    <mergeCell ref="AR1838:AW1838"/>
    <mergeCell ref="K1788:M1788"/>
    <mergeCell ref="S1788:U1788"/>
    <mergeCell ref="C3354:E3354"/>
    <mergeCell ref="B3403:G3403"/>
    <mergeCell ref="C3407:E3407"/>
    <mergeCell ref="J2162:P2162"/>
    <mergeCell ref="J2864:P2864"/>
    <mergeCell ref="J2918:P2918"/>
    <mergeCell ref="K2922:N2922"/>
    <mergeCell ref="J3026:P3026"/>
    <mergeCell ref="B2270:G2270"/>
    <mergeCell ref="C2274:E2274"/>
    <mergeCell ref="B2324:G2324"/>
    <mergeCell ref="C2328:E2328"/>
    <mergeCell ref="B2378:G2378"/>
    <mergeCell ref="C2382:E2382"/>
    <mergeCell ref="B2162:G2162"/>
    <mergeCell ref="C2166:E2166"/>
    <mergeCell ref="B2216:G2216"/>
    <mergeCell ref="C2220:E2220"/>
    <mergeCell ref="B2594:G2594"/>
    <mergeCell ref="C2598:E2598"/>
    <mergeCell ref="B2648:G2648"/>
    <mergeCell ref="C2652:E2652"/>
    <mergeCell ref="B2702:G2702"/>
    <mergeCell ref="C2706:E2706"/>
    <mergeCell ref="S168:U168"/>
    <mergeCell ref="K384:M384"/>
    <mergeCell ref="K330:M330"/>
    <mergeCell ref="K276:M276"/>
    <mergeCell ref="K222:M222"/>
    <mergeCell ref="K3030:N3030"/>
    <mergeCell ref="J3080:P3080"/>
    <mergeCell ref="K3084:N3084"/>
    <mergeCell ref="B3350:G3350"/>
    <mergeCell ref="B2108:G2108"/>
    <mergeCell ref="C2112:E2112"/>
    <mergeCell ref="J1676:P1676"/>
    <mergeCell ref="J1730:P1730"/>
    <mergeCell ref="S1730:Y1730"/>
    <mergeCell ref="J1406:P1406"/>
    <mergeCell ref="J1460:P1460"/>
    <mergeCell ref="J1514:P1514"/>
    <mergeCell ref="S1410:U1410"/>
    <mergeCell ref="K1464:M1464"/>
    <mergeCell ref="S1464:U1464"/>
    <mergeCell ref="K1410:M1410"/>
    <mergeCell ref="R1460:W1460"/>
    <mergeCell ref="R1406:W1406"/>
    <mergeCell ref="J380:P380"/>
    <mergeCell ref="J326:P326"/>
    <mergeCell ref="J272:P272"/>
    <mergeCell ref="J218:P218"/>
    <mergeCell ref="K168:M168"/>
    <mergeCell ref="J1352:P1352"/>
    <mergeCell ref="J434:O434"/>
    <mergeCell ref="K438:M438"/>
    <mergeCell ref="J488:O488"/>
    <mergeCell ref="K492:M492"/>
    <mergeCell ref="J542:O542"/>
    <mergeCell ref="K546:M546"/>
    <mergeCell ref="J596:O596"/>
    <mergeCell ref="K600:M600"/>
    <mergeCell ref="J3188:O3188"/>
    <mergeCell ref="K3192:M3192"/>
    <mergeCell ref="J3403:O3403"/>
    <mergeCell ref="K3407:M3407"/>
    <mergeCell ref="K2112:M2112"/>
    <mergeCell ref="I2108:O2108"/>
    <mergeCell ref="J2054:O2054"/>
    <mergeCell ref="K2166:M2166"/>
    <mergeCell ref="K2868:M2868"/>
  </mergeCells>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X1996"/>
  <sheetViews>
    <sheetView workbookViewId="0"/>
  </sheetViews>
  <sheetFormatPr baseColWidth="10" defaultRowHeight="15" x14ac:dyDescent="0.25"/>
  <cols>
    <col min="1" max="1" width="6.28515625" bestFit="1" customWidth="1"/>
    <col min="2" max="2" width="33" customWidth="1"/>
    <col min="3" max="3" width="12.5703125" customWidth="1"/>
    <col min="4" max="4" width="16.28515625" customWidth="1"/>
    <col min="5" max="5" width="19" style="265" customWidth="1"/>
    <col min="6" max="6" width="13.28515625" bestFit="1" customWidth="1"/>
    <col min="7" max="7" width="12.42578125" customWidth="1"/>
    <col min="8" max="8" width="13.85546875" customWidth="1"/>
    <col min="10" max="10" width="31.28515625" customWidth="1"/>
    <col min="18" max="18" width="34.42578125" customWidth="1"/>
  </cols>
  <sheetData>
    <row r="1" spans="1:16" s="8" customFormat="1" ht="12.75" x14ac:dyDescent="0.25">
      <c r="A1" s="133"/>
      <c r="I1" s="133"/>
    </row>
    <row r="2" spans="1:16" s="8" customFormat="1" ht="12.75" x14ac:dyDescent="0.25">
      <c r="A2" s="133"/>
      <c r="I2" s="133"/>
    </row>
    <row r="3" spans="1:16" ht="18.75" x14ac:dyDescent="0.25">
      <c r="A3" s="133"/>
      <c r="B3" s="2506" t="s">
        <v>5400</v>
      </c>
      <c r="C3" s="2506"/>
      <c r="D3" s="2506"/>
      <c r="E3" s="2506"/>
      <c r="F3" s="2506"/>
      <c r="G3" s="2506"/>
      <c r="H3" s="8"/>
      <c r="I3" s="133"/>
      <c r="J3" s="2506" t="s">
        <v>5400</v>
      </c>
      <c r="K3" s="2506"/>
      <c r="L3" s="2506"/>
      <c r="M3" s="2506"/>
      <c r="N3" s="2506"/>
      <c r="O3" s="2506"/>
      <c r="P3" s="8"/>
    </row>
    <row r="4" spans="1:16" x14ac:dyDescent="0.25">
      <c r="A4" s="133"/>
      <c r="B4" s="8"/>
      <c r="C4" s="8"/>
      <c r="D4" s="8"/>
      <c r="E4" s="8"/>
      <c r="F4" s="133"/>
      <c r="G4" s="341"/>
      <c r="H4" s="341"/>
      <c r="I4" s="133"/>
      <c r="J4" s="8"/>
      <c r="K4" s="8"/>
      <c r="L4" s="8"/>
      <c r="M4" s="8"/>
      <c r="N4" s="133"/>
      <c r="O4" s="341"/>
      <c r="P4" s="341"/>
    </row>
    <row r="5" spans="1:16" x14ac:dyDescent="0.25">
      <c r="A5" s="133"/>
      <c r="B5" s="8"/>
      <c r="C5" s="8"/>
      <c r="D5" s="8"/>
      <c r="E5" s="8"/>
      <c r="F5" s="133"/>
      <c r="G5" s="341"/>
      <c r="H5" s="341"/>
      <c r="I5" s="133"/>
      <c r="J5" s="8"/>
      <c r="K5" s="8"/>
      <c r="L5" s="8"/>
      <c r="M5" s="8"/>
      <c r="N5" s="133"/>
      <c r="O5" s="341"/>
      <c r="P5" s="341"/>
    </row>
    <row r="6" spans="1:16" x14ac:dyDescent="0.25">
      <c r="A6" s="133"/>
      <c r="B6" s="8"/>
      <c r="C6" s="8"/>
      <c r="D6" s="8"/>
      <c r="E6" s="8"/>
      <c r="F6" s="133"/>
      <c r="G6" s="341"/>
      <c r="H6" s="341"/>
      <c r="I6" s="133"/>
      <c r="J6" s="8"/>
      <c r="K6" s="8"/>
      <c r="L6" s="8"/>
      <c r="M6" s="8"/>
      <c r="N6" s="133"/>
      <c r="O6" s="341"/>
      <c r="P6" s="341"/>
    </row>
    <row r="7" spans="1:16" ht="24.95" customHeight="1" x14ac:dyDescent="0.25">
      <c r="A7" s="220" t="s">
        <v>5482</v>
      </c>
      <c r="B7" s="221" t="s">
        <v>594</v>
      </c>
      <c r="C7" s="2449" t="s">
        <v>6017</v>
      </c>
      <c r="D7" s="2449"/>
      <c r="E7" s="2449"/>
      <c r="F7" s="220" t="s">
        <v>867</v>
      </c>
      <c r="G7" s="342" t="s">
        <v>5454</v>
      </c>
      <c r="H7" s="341"/>
      <c r="I7" s="220" t="s">
        <v>5482</v>
      </c>
      <c r="J7" s="221" t="s">
        <v>594</v>
      </c>
      <c r="K7" s="2449" t="s">
        <v>6018</v>
      </c>
      <c r="L7" s="2449"/>
      <c r="M7" s="2449"/>
      <c r="N7" s="220" t="s">
        <v>867</v>
      </c>
      <c r="O7" s="342" t="s">
        <v>5454</v>
      </c>
      <c r="P7" s="341"/>
    </row>
    <row r="8" spans="1:16" x14ac:dyDescent="0.25">
      <c r="A8" s="133"/>
      <c r="B8" s="8"/>
      <c r="C8" s="223"/>
      <c r="D8" s="223"/>
      <c r="E8" s="223"/>
      <c r="F8" s="133"/>
      <c r="G8" s="341"/>
      <c r="H8" s="341"/>
      <c r="I8" s="133"/>
      <c r="J8" s="8"/>
      <c r="K8" s="223"/>
      <c r="L8" s="223"/>
      <c r="M8" s="223"/>
      <c r="N8" s="133"/>
      <c r="O8" s="341"/>
      <c r="P8" s="341"/>
    </row>
    <row r="9" spans="1:16" x14ac:dyDescent="0.25">
      <c r="A9" s="133"/>
      <c r="B9" s="8"/>
      <c r="C9" s="8"/>
      <c r="D9" s="8"/>
      <c r="E9" s="8"/>
      <c r="F9" s="8"/>
      <c r="G9" s="8"/>
      <c r="H9" s="341"/>
      <c r="I9" s="133"/>
      <c r="J9" s="8"/>
      <c r="K9" s="8"/>
      <c r="L9" s="8"/>
      <c r="M9" s="8"/>
      <c r="N9" s="8"/>
      <c r="O9" s="8"/>
      <c r="P9" s="341"/>
    </row>
    <row r="10" spans="1:16" ht="15.75" thickBot="1" x14ac:dyDescent="0.3">
      <c r="A10" s="133"/>
      <c r="B10" s="8"/>
      <c r="C10" s="8"/>
      <c r="D10" s="8"/>
      <c r="E10" s="8"/>
      <c r="F10" s="133"/>
      <c r="G10" s="341"/>
      <c r="H10" s="341"/>
      <c r="I10" s="133"/>
      <c r="J10" s="8"/>
      <c r="K10" s="8"/>
      <c r="L10" s="8"/>
      <c r="M10" s="8"/>
      <c r="N10" s="133"/>
      <c r="O10" s="341"/>
      <c r="P10" s="341"/>
    </row>
    <row r="11" spans="1:16" ht="15.75" thickBot="1" x14ac:dyDescent="0.3">
      <c r="A11" s="133"/>
      <c r="B11" s="224" t="s">
        <v>5403</v>
      </c>
      <c r="C11" s="193" t="s">
        <v>867</v>
      </c>
      <c r="D11" s="193" t="s">
        <v>6</v>
      </c>
      <c r="E11" s="193" t="s">
        <v>5439</v>
      </c>
      <c r="F11" s="193" t="s">
        <v>5405</v>
      </c>
      <c r="G11" s="343" t="s">
        <v>868</v>
      </c>
      <c r="H11" s="341"/>
      <c r="I11" s="133"/>
      <c r="J11" s="224" t="s">
        <v>5403</v>
      </c>
      <c r="K11" s="193" t="s">
        <v>867</v>
      </c>
      <c r="L11" s="193" t="s">
        <v>6</v>
      </c>
      <c r="M11" s="193" t="s">
        <v>5439</v>
      </c>
      <c r="N11" s="193" t="s">
        <v>5405</v>
      </c>
      <c r="O11" s="343" t="s">
        <v>868</v>
      </c>
      <c r="P11" s="341"/>
    </row>
    <row r="12" spans="1:16" x14ac:dyDescent="0.25">
      <c r="A12" s="133"/>
      <c r="B12" s="195" t="s">
        <v>5440</v>
      </c>
      <c r="C12" s="226" t="s">
        <v>5402</v>
      </c>
      <c r="D12" s="226">
        <v>1</v>
      </c>
      <c r="E12" s="228">
        <f>+H50</f>
        <v>14522.5</v>
      </c>
      <c r="F12" s="226">
        <v>0.05</v>
      </c>
      <c r="G12" s="344">
        <f>+E12*F12</f>
        <v>726.125</v>
      </c>
      <c r="H12" s="341"/>
      <c r="I12" s="133"/>
      <c r="J12" s="195" t="s">
        <v>5440</v>
      </c>
      <c r="K12" s="226" t="s">
        <v>5402</v>
      </c>
      <c r="L12" s="226">
        <v>1</v>
      </c>
      <c r="M12" s="228">
        <f>+P50</f>
        <v>88060</v>
      </c>
      <c r="N12" s="226">
        <v>0.05</v>
      </c>
      <c r="O12" s="344">
        <f>+M12*N12</f>
        <v>4403</v>
      </c>
      <c r="P12" s="341"/>
    </row>
    <row r="13" spans="1:16" x14ac:dyDescent="0.25">
      <c r="A13" s="133"/>
      <c r="B13" s="195" t="s">
        <v>5548</v>
      </c>
      <c r="C13" s="226" t="s">
        <v>5542</v>
      </c>
      <c r="D13" s="226">
        <v>1</v>
      </c>
      <c r="E13" s="228">
        <v>10000</v>
      </c>
      <c r="F13" s="226">
        <v>4</v>
      </c>
      <c r="G13" s="344">
        <f>+D13*E13/F13</f>
        <v>2500</v>
      </c>
      <c r="H13" s="341"/>
      <c r="I13" s="133"/>
      <c r="J13" s="195" t="s">
        <v>5548</v>
      </c>
      <c r="K13" s="226" t="s">
        <v>5542</v>
      </c>
      <c r="L13" s="226">
        <v>1</v>
      </c>
      <c r="M13" s="228">
        <v>10000</v>
      </c>
      <c r="N13" s="226">
        <v>4</v>
      </c>
      <c r="O13" s="344">
        <f>+L13*M13/N13</f>
        <v>2500</v>
      </c>
      <c r="P13" s="341"/>
    </row>
    <row r="14" spans="1:16" x14ac:dyDescent="0.25">
      <c r="A14" s="133"/>
      <c r="B14" s="195"/>
      <c r="C14" s="226"/>
      <c r="D14" s="226"/>
      <c r="E14" s="345"/>
      <c r="F14" s="226"/>
      <c r="G14" s="344"/>
      <c r="H14" s="341"/>
      <c r="I14" s="133"/>
      <c r="J14" s="195"/>
      <c r="K14" s="226"/>
      <c r="L14" s="226"/>
      <c r="M14" s="345"/>
      <c r="N14" s="226"/>
      <c r="O14" s="344"/>
      <c r="P14" s="341"/>
    </row>
    <row r="15" spans="1:16" x14ac:dyDescent="0.25">
      <c r="A15" s="133"/>
      <c r="B15" s="195"/>
      <c r="C15" s="226"/>
      <c r="D15" s="226"/>
      <c r="E15" s="346"/>
      <c r="F15" s="226"/>
      <c r="G15" s="344"/>
      <c r="H15" s="341"/>
      <c r="I15" s="133"/>
      <c r="J15" s="195"/>
      <c r="K15" s="226"/>
      <c r="L15" s="226"/>
      <c r="M15" s="346"/>
      <c r="N15" s="226"/>
      <c r="O15" s="344"/>
      <c r="P15" s="341"/>
    </row>
    <row r="16" spans="1:16" x14ac:dyDescent="0.25">
      <c r="A16" s="133"/>
      <c r="B16" s="195"/>
      <c r="C16" s="226"/>
      <c r="D16" s="232"/>
      <c r="E16" s="232"/>
      <c r="F16" s="226"/>
      <c r="G16" s="344"/>
      <c r="H16" s="341"/>
      <c r="I16" s="133"/>
      <c r="J16" s="195"/>
      <c r="K16" s="226"/>
      <c r="L16" s="232"/>
      <c r="M16" s="232"/>
      <c r="N16" s="226"/>
      <c r="O16" s="344"/>
      <c r="P16" s="341"/>
    </row>
    <row r="17" spans="1:16" ht="15.75" thickBot="1" x14ac:dyDescent="0.3">
      <c r="A17" s="133"/>
      <c r="B17" s="195"/>
      <c r="C17" s="226"/>
      <c r="D17" s="232"/>
      <c r="E17" s="232"/>
      <c r="F17" s="226"/>
      <c r="G17" s="344"/>
      <c r="H17" s="341"/>
      <c r="I17" s="133"/>
      <c r="J17" s="195"/>
      <c r="K17" s="226"/>
      <c r="L17" s="232"/>
      <c r="M17" s="232"/>
      <c r="N17" s="226"/>
      <c r="O17" s="344"/>
      <c r="P17" s="341"/>
    </row>
    <row r="18" spans="1:16" ht="15.75" thickBot="1" x14ac:dyDescent="0.3">
      <c r="A18" s="133"/>
      <c r="B18" s="233"/>
      <c r="C18" s="234"/>
      <c r="D18" s="234"/>
      <c r="E18" s="234"/>
      <c r="F18" s="235"/>
      <c r="G18" s="347"/>
      <c r="H18" s="348">
        <f>+SUM(G12:G18)</f>
        <v>3226.125</v>
      </c>
      <c r="I18" s="133"/>
      <c r="J18" s="233"/>
      <c r="K18" s="234"/>
      <c r="L18" s="234"/>
      <c r="M18" s="234"/>
      <c r="N18" s="235"/>
      <c r="O18" s="347"/>
      <c r="P18" s="348">
        <f>+SUM(O12:O18)</f>
        <v>6903</v>
      </c>
    </row>
    <row r="19" spans="1:16" ht="15.75" thickBot="1" x14ac:dyDescent="0.3">
      <c r="A19" s="133"/>
      <c r="B19" s="238"/>
      <c r="C19" s="238"/>
      <c r="D19" s="238"/>
      <c r="E19" s="238"/>
      <c r="F19" s="239"/>
      <c r="G19" s="349"/>
      <c r="H19" s="350"/>
      <c r="I19" s="133"/>
      <c r="J19" s="238"/>
      <c r="K19" s="238"/>
      <c r="L19" s="238"/>
      <c r="M19" s="238"/>
      <c r="N19" s="239"/>
      <c r="O19" s="349"/>
      <c r="P19" s="350"/>
    </row>
    <row r="20" spans="1:16" ht="15.75" thickBot="1" x14ac:dyDescent="0.3">
      <c r="A20" s="133"/>
      <c r="B20" s="224" t="s">
        <v>5408</v>
      </c>
      <c r="C20" s="193" t="s">
        <v>867</v>
      </c>
      <c r="D20" s="193" t="s">
        <v>6</v>
      </c>
      <c r="E20" s="193" t="s">
        <v>870</v>
      </c>
      <c r="F20" s="193" t="s">
        <v>5409</v>
      </c>
      <c r="G20" s="343" t="s">
        <v>868</v>
      </c>
      <c r="H20" s="341"/>
      <c r="I20" s="133"/>
      <c r="J20" s="224" t="s">
        <v>5408</v>
      </c>
      <c r="K20" s="193" t="s">
        <v>867</v>
      </c>
      <c r="L20" s="193" t="s">
        <v>6</v>
      </c>
      <c r="M20" s="193" t="s">
        <v>870</v>
      </c>
      <c r="N20" s="193" t="s">
        <v>5409</v>
      </c>
      <c r="O20" s="343" t="s">
        <v>868</v>
      </c>
      <c r="P20" s="341"/>
    </row>
    <row r="21" spans="1:16" x14ac:dyDescent="0.25">
      <c r="A21" s="133"/>
      <c r="B21" s="242" t="s">
        <v>5549</v>
      </c>
      <c r="C21" s="202" t="s">
        <v>5550</v>
      </c>
      <c r="D21" s="226">
        <v>175</v>
      </c>
      <c r="E21" s="228">
        <v>520</v>
      </c>
      <c r="F21" s="169">
        <v>0.1</v>
      </c>
      <c r="G21" s="351">
        <f>+D21*E21*(1+F21)</f>
        <v>100100.00000000001</v>
      </c>
      <c r="H21" s="341"/>
      <c r="I21" s="133"/>
      <c r="J21" s="242" t="s">
        <v>5549</v>
      </c>
      <c r="K21" s="202" t="s">
        <v>5550</v>
      </c>
      <c r="L21" s="226">
        <v>175</v>
      </c>
      <c r="M21" s="228">
        <v>520</v>
      </c>
      <c r="N21" s="169">
        <v>0.1</v>
      </c>
      <c r="O21" s="351">
        <f>+L21*M21*(1+N21)</f>
        <v>100100.00000000001</v>
      </c>
      <c r="P21" s="341"/>
    </row>
    <row r="22" spans="1:16" x14ac:dyDescent="0.25">
      <c r="A22" s="133"/>
      <c r="B22" s="243" t="s">
        <v>5551</v>
      </c>
      <c r="C22" s="202" t="s">
        <v>5542</v>
      </c>
      <c r="D22" s="202">
        <v>0.55500000000000005</v>
      </c>
      <c r="E22" s="228">
        <v>86000</v>
      </c>
      <c r="F22" s="169">
        <v>0.1</v>
      </c>
      <c r="G22" s="351">
        <f>+D22*E22*(1+F22)</f>
        <v>52503.000000000015</v>
      </c>
      <c r="H22" s="341"/>
      <c r="I22" s="133"/>
      <c r="J22" s="243" t="s">
        <v>5551</v>
      </c>
      <c r="K22" s="202" t="s">
        <v>5542</v>
      </c>
      <c r="L22" s="202">
        <v>0.55500000000000005</v>
      </c>
      <c r="M22" s="228">
        <v>86000</v>
      </c>
      <c r="N22" s="169">
        <v>0.1</v>
      </c>
      <c r="O22" s="351">
        <f>+L22*M22*(1+N22)</f>
        <v>52503.000000000015</v>
      </c>
      <c r="P22" s="341"/>
    </row>
    <row r="23" spans="1:16" x14ac:dyDescent="0.25">
      <c r="A23" s="133"/>
      <c r="B23" s="243" t="s">
        <v>5552</v>
      </c>
      <c r="C23" s="226" t="s">
        <v>5542</v>
      </c>
      <c r="D23" s="226">
        <v>0.97499999999999998</v>
      </c>
      <c r="E23" s="228">
        <v>80000</v>
      </c>
      <c r="F23" s="169">
        <v>0.1</v>
      </c>
      <c r="G23" s="351">
        <f>+D23*E23*(1+F23)</f>
        <v>85800</v>
      </c>
      <c r="H23" s="341"/>
      <c r="I23" s="133"/>
      <c r="J23" s="243" t="s">
        <v>5552</v>
      </c>
      <c r="K23" s="226" t="s">
        <v>5542</v>
      </c>
      <c r="L23" s="226">
        <v>0.97499999999999998</v>
      </c>
      <c r="M23" s="228">
        <v>80000</v>
      </c>
      <c r="N23" s="169">
        <v>0.1</v>
      </c>
      <c r="O23" s="351">
        <f>+L23*M23*(1+N23)</f>
        <v>85800</v>
      </c>
      <c r="P23" s="341"/>
    </row>
    <row r="24" spans="1:16" x14ac:dyDescent="0.25">
      <c r="A24" s="133"/>
      <c r="B24" s="194" t="s">
        <v>5553</v>
      </c>
      <c r="C24" s="226" t="s">
        <v>5488</v>
      </c>
      <c r="D24" s="226">
        <f>180*175/350</f>
        <v>90</v>
      </c>
      <c r="E24" s="352">
        <v>10</v>
      </c>
      <c r="F24" s="169">
        <v>0.1</v>
      </c>
      <c r="G24" s="351">
        <f>+D24*E24*(1+F24)</f>
        <v>990.00000000000011</v>
      </c>
      <c r="H24" s="341"/>
      <c r="I24" s="133"/>
      <c r="J24" s="194" t="s">
        <v>5553</v>
      </c>
      <c r="K24" s="226" t="s">
        <v>5488</v>
      </c>
      <c r="L24" s="226">
        <f>180*175/350</f>
        <v>90</v>
      </c>
      <c r="M24" s="352">
        <v>10</v>
      </c>
      <c r="N24" s="169">
        <v>0.1</v>
      </c>
      <c r="O24" s="351">
        <f>+L24*M24*(1+N24)</f>
        <v>990.00000000000011</v>
      </c>
      <c r="P24" s="341"/>
    </row>
    <row r="25" spans="1:16" x14ac:dyDescent="0.25">
      <c r="A25" s="133"/>
      <c r="B25" s="195"/>
      <c r="C25" s="226"/>
      <c r="D25" s="226"/>
      <c r="E25" s="345"/>
      <c r="F25" s="169"/>
      <c r="G25" s="351"/>
      <c r="H25" s="341"/>
      <c r="I25" s="133"/>
      <c r="J25" s="195"/>
      <c r="K25" s="226"/>
      <c r="L25" s="226"/>
      <c r="M25" s="345"/>
      <c r="N25" s="169"/>
      <c r="O25" s="351"/>
      <c r="P25" s="341"/>
    </row>
    <row r="26" spans="1:16" x14ac:dyDescent="0.25">
      <c r="A26" s="133"/>
      <c r="B26" s="194"/>
      <c r="C26" s="202"/>
      <c r="D26" s="202"/>
      <c r="E26" s="345"/>
      <c r="F26" s="169"/>
      <c r="G26" s="351"/>
      <c r="H26" s="341"/>
      <c r="I26" s="133"/>
      <c r="J26" s="194"/>
      <c r="K26" s="202"/>
      <c r="L26" s="202"/>
      <c r="M26" s="345"/>
      <c r="N26" s="169"/>
      <c r="O26" s="351"/>
      <c r="P26" s="341"/>
    </row>
    <row r="27" spans="1:16" x14ac:dyDescent="0.25">
      <c r="A27" s="133"/>
      <c r="B27" s="195"/>
      <c r="C27" s="226"/>
      <c r="D27" s="226"/>
      <c r="E27" s="345"/>
      <c r="F27" s="169"/>
      <c r="G27" s="351"/>
      <c r="H27" s="341"/>
      <c r="I27" s="133"/>
      <c r="J27" s="195"/>
      <c r="K27" s="226"/>
      <c r="L27" s="226"/>
      <c r="M27" s="345"/>
      <c r="N27" s="169"/>
      <c r="O27" s="351"/>
      <c r="P27" s="341"/>
    </row>
    <row r="28" spans="1:16" x14ac:dyDescent="0.25">
      <c r="A28" s="133"/>
      <c r="B28" s="195"/>
      <c r="C28" s="226"/>
      <c r="D28" s="226"/>
      <c r="E28" s="345"/>
      <c r="F28" s="169"/>
      <c r="G28" s="351"/>
      <c r="H28" s="341"/>
      <c r="I28" s="133"/>
      <c r="J28" s="195"/>
      <c r="K28" s="226"/>
      <c r="L28" s="226"/>
      <c r="M28" s="345"/>
      <c r="N28" s="169"/>
      <c r="O28" s="351"/>
      <c r="P28" s="341"/>
    </row>
    <row r="29" spans="1:16" x14ac:dyDescent="0.25">
      <c r="A29" s="133"/>
      <c r="B29" s="195"/>
      <c r="C29" s="232"/>
      <c r="D29" s="232"/>
      <c r="E29" s="232"/>
      <c r="F29" s="226"/>
      <c r="G29" s="344"/>
      <c r="H29" s="341"/>
      <c r="I29" s="133"/>
      <c r="J29" s="195"/>
      <c r="K29" s="232"/>
      <c r="L29" s="232"/>
      <c r="M29" s="232"/>
      <c r="N29" s="226"/>
      <c r="O29" s="344"/>
      <c r="P29" s="341"/>
    </row>
    <row r="30" spans="1:16" x14ac:dyDescent="0.25">
      <c r="A30" s="133"/>
      <c r="B30" s="195"/>
      <c r="C30" s="232"/>
      <c r="D30" s="232"/>
      <c r="E30" s="232"/>
      <c r="F30" s="226"/>
      <c r="G30" s="344"/>
      <c r="H30" s="341"/>
      <c r="I30" s="133"/>
      <c r="J30" s="195"/>
      <c r="K30" s="232"/>
      <c r="L30" s="232"/>
      <c r="M30" s="232"/>
      <c r="N30" s="226"/>
      <c r="O30" s="344"/>
      <c r="P30" s="341"/>
    </row>
    <row r="31" spans="1:16" x14ac:dyDescent="0.25">
      <c r="A31" s="133"/>
      <c r="B31" s="195"/>
      <c r="C31" s="232"/>
      <c r="D31" s="232"/>
      <c r="E31" s="232"/>
      <c r="F31" s="226"/>
      <c r="G31" s="344"/>
      <c r="H31" s="341"/>
      <c r="I31" s="133"/>
      <c r="J31" s="195"/>
      <c r="K31" s="232"/>
      <c r="L31" s="232"/>
      <c r="M31" s="232"/>
      <c r="N31" s="226"/>
      <c r="O31" s="344"/>
      <c r="P31" s="341"/>
    </row>
    <row r="32" spans="1:16" ht="15.75" thickBot="1" x14ac:dyDescent="0.3">
      <c r="A32" s="133"/>
      <c r="B32" s="195"/>
      <c r="C32" s="232"/>
      <c r="D32" s="232"/>
      <c r="E32" s="232"/>
      <c r="F32" s="226"/>
      <c r="G32" s="344"/>
      <c r="H32" s="341"/>
      <c r="I32" s="133"/>
      <c r="J32" s="195"/>
      <c r="K32" s="232"/>
      <c r="L32" s="232"/>
      <c r="M32" s="232"/>
      <c r="N32" s="226"/>
      <c r="O32" s="344"/>
      <c r="P32" s="341"/>
    </row>
    <row r="33" spans="1:16" ht="15.75" thickBot="1" x14ac:dyDescent="0.3">
      <c r="A33" s="133"/>
      <c r="B33" s="233"/>
      <c r="C33" s="234"/>
      <c r="D33" s="234"/>
      <c r="E33" s="234"/>
      <c r="F33" s="235"/>
      <c r="G33" s="347"/>
      <c r="H33" s="348">
        <f>+SUM(G21:G33)</f>
        <v>239393.00000000003</v>
      </c>
      <c r="I33" s="133"/>
      <c r="J33" s="233"/>
      <c r="K33" s="234"/>
      <c r="L33" s="234"/>
      <c r="M33" s="234"/>
      <c r="N33" s="235"/>
      <c r="O33" s="347"/>
      <c r="P33" s="348">
        <f>+SUM(O21:O33)</f>
        <v>239393.00000000003</v>
      </c>
    </row>
    <row r="34" spans="1:16" ht="15.75" thickBot="1" x14ac:dyDescent="0.3">
      <c r="A34" s="133"/>
      <c r="B34" s="238"/>
      <c r="C34" s="238"/>
      <c r="D34" s="238"/>
      <c r="E34" s="238"/>
      <c r="F34" s="239"/>
      <c r="G34" s="349"/>
      <c r="H34" s="350"/>
      <c r="I34" s="133"/>
      <c r="J34" s="238"/>
      <c r="K34" s="238"/>
      <c r="L34" s="238"/>
      <c r="M34" s="238"/>
      <c r="N34" s="239"/>
      <c r="O34" s="349"/>
      <c r="P34" s="350"/>
    </row>
    <row r="35" spans="1:16" ht="15.75" thickBot="1" x14ac:dyDescent="0.3">
      <c r="A35" s="133"/>
      <c r="B35" s="224" t="s">
        <v>5410</v>
      </c>
      <c r="C35" s="193" t="s">
        <v>867</v>
      </c>
      <c r="D35" s="193" t="s">
        <v>6</v>
      </c>
      <c r="E35" s="193" t="s">
        <v>870</v>
      </c>
      <c r="F35" s="193" t="s">
        <v>5411</v>
      </c>
      <c r="G35" s="343" t="s">
        <v>868</v>
      </c>
      <c r="H35" s="341"/>
      <c r="I35" s="133"/>
      <c r="J35" s="224" t="s">
        <v>5410</v>
      </c>
      <c r="K35" s="193" t="s">
        <v>867</v>
      </c>
      <c r="L35" s="193" t="s">
        <v>6</v>
      </c>
      <c r="M35" s="193" t="s">
        <v>870</v>
      </c>
      <c r="N35" s="193" t="s">
        <v>5411</v>
      </c>
      <c r="O35" s="343" t="s">
        <v>868</v>
      </c>
      <c r="P35" s="341"/>
    </row>
    <row r="36" spans="1:16" x14ac:dyDescent="0.25">
      <c r="A36" s="133"/>
      <c r="B36" s="245"/>
      <c r="C36" s="202"/>
      <c r="D36" s="202"/>
      <c r="E36" s="353"/>
      <c r="F36" s="202"/>
      <c r="G36" s="354"/>
      <c r="H36" s="355"/>
      <c r="I36" s="133"/>
      <c r="J36" s="245"/>
      <c r="K36" s="202"/>
      <c r="L36" s="202"/>
      <c r="M36" s="353"/>
      <c r="N36" s="202"/>
      <c r="O36" s="354"/>
      <c r="P36" s="355"/>
    </row>
    <row r="37" spans="1:16" x14ac:dyDescent="0.25">
      <c r="A37" s="133"/>
      <c r="B37" s="247"/>
      <c r="C37" s="248"/>
      <c r="D37" s="248"/>
      <c r="E37" s="248"/>
      <c r="F37" s="202"/>
      <c r="G37" s="351"/>
      <c r="H37" s="341"/>
      <c r="I37" s="133"/>
      <c r="J37" s="247"/>
      <c r="K37" s="248"/>
      <c r="L37" s="248"/>
      <c r="M37" s="248"/>
      <c r="N37" s="202"/>
      <c r="O37" s="351"/>
      <c r="P37" s="341"/>
    </row>
    <row r="38" spans="1:16" x14ac:dyDescent="0.25">
      <c r="A38" s="133"/>
      <c r="B38" s="247"/>
      <c r="C38" s="232"/>
      <c r="D38" s="232"/>
      <c r="E38" s="232"/>
      <c r="F38" s="226"/>
      <c r="G38" s="344"/>
      <c r="H38" s="341"/>
      <c r="I38" s="133"/>
      <c r="J38" s="247"/>
      <c r="K38" s="232"/>
      <c r="L38" s="232"/>
      <c r="M38" s="232"/>
      <c r="N38" s="226"/>
      <c r="O38" s="344"/>
      <c r="P38" s="341"/>
    </row>
    <row r="39" spans="1:16" x14ac:dyDescent="0.25">
      <c r="A39" s="133"/>
      <c r="B39" s="194"/>
      <c r="C39" s="232"/>
      <c r="D39" s="232"/>
      <c r="E39" s="232"/>
      <c r="F39" s="226"/>
      <c r="G39" s="344"/>
      <c r="H39" s="341"/>
      <c r="I39" s="133"/>
      <c r="J39" s="194"/>
      <c r="K39" s="232"/>
      <c r="L39" s="232"/>
      <c r="M39" s="232"/>
      <c r="N39" s="226"/>
      <c r="O39" s="344"/>
      <c r="P39" s="341"/>
    </row>
    <row r="40" spans="1:16" ht="15.75" thickBot="1" x14ac:dyDescent="0.3">
      <c r="A40" s="133"/>
      <c r="B40" s="195"/>
      <c r="C40" s="232"/>
      <c r="D40" s="232"/>
      <c r="E40" s="232"/>
      <c r="F40" s="226"/>
      <c r="G40" s="344"/>
      <c r="H40" s="341"/>
      <c r="I40" s="133"/>
      <c r="J40" s="195"/>
      <c r="K40" s="232"/>
      <c r="L40" s="232"/>
      <c r="M40" s="232"/>
      <c r="N40" s="226"/>
      <c r="O40" s="344"/>
      <c r="P40" s="341"/>
    </row>
    <row r="41" spans="1:16" ht="15.75" thickBot="1" x14ac:dyDescent="0.3">
      <c r="A41" s="133"/>
      <c r="B41" s="233"/>
      <c r="C41" s="234"/>
      <c r="D41" s="234"/>
      <c r="E41" s="234"/>
      <c r="F41" s="235"/>
      <c r="G41" s="347"/>
      <c r="H41" s="348">
        <f>+SUM(G36:G41)</f>
        <v>0</v>
      </c>
      <c r="I41" s="133"/>
      <c r="J41" s="233"/>
      <c r="K41" s="234"/>
      <c r="L41" s="234"/>
      <c r="M41" s="234"/>
      <c r="N41" s="235"/>
      <c r="O41" s="347"/>
      <c r="P41" s="348">
        <f>+SUM(O36:O41)</f>
        <v>0</v>
      </c>
    </row>
    <row r="42" spans="1:16" ht="15.75" thickBot="1" x14ac:dyDescent="0.3">
      <c r="A42" s="133"/>
      <c r="B42" s="238"/>
      <c r="C42" s="238"/>
      <c r="D42" s="238"/>
      <c r="E42" s="238"/>
      <c r="F42" s="249"/>
      <c r="G42" s="356"/>
      <c r="H42" s="350"/>
      <c r="I42" s="133"/>
      <c r="J42" s="238"/>
      <c r="K42" s="238"/>
      <c r="L42" s="238"/>
      <c r="M42" s="238"/>
      <c r="N42" s="249"/>
      <c r="O42" s="356"/>
      <c r="P42" s="350"/>
    </row>
    <row r="43" spans="1:16" ht="15.75" thickBot="1" x14ac:dyDescent="0.3">
      <c r="A43" s="133"/>
      <c r="B43" s="224" t="s">
        <v>5412</v>
      </c>
      <c r="C43" s="193" t="s">
        <v>5420</v>
      </c>
      <c r="D43" s="193" t="s">
        <v>5421</v>
      </c>
      <c r="E43" s="193" t="s">
        <v>5413</v>
      </c>
      <c r="F43" s="193" t="s">
        <v>5405</v>
      </c>
      <c r="G43" s="343" t="s">
        <v>868</v>
      </c>
      <c r="H43" s="341"/>
      <c r="I43" s="133"/>
      <c r="J43" s="224" t="s">
        <v>5412</v>
      </c>
      <c r="K43" s="193" t="s">
        <v>5420</v>
      </c>
      <c r="L43" s="193" t="s">
        <v>5421</v>
      </c>
      <c r="M43" s="193" t="s">
        <v>5413</v>
      </c>
      <c r="N43" s="193" t="s">
        <v>5405</v>
      </c>
      <c r="O43" s="343" t="s">
        <v>868</v>
      </c>
      <c r="P43" s="341"/>
    </row>
    <row r="44" spans="1:16" x14ac:dyDescent="0.25">
      <c r="A44" s="133"/>
      <c r="B44" s="194" t="s">
        <v>5948</v>
      </c>
      <c r="C44" s="345">
        <v>70000</v>
      </c>
      <c r="D44" s="345">
        <f>+C44*0.85</f>
        <v>59500</v>
      </c>
      <c r="E44" s="353">
        <f>+C44+D44</f>
        <v>129500</v>
      </c>
      <c r="F44" s="209">
        <v>100</v>
      </c>
      <c r="G44" s="351">
        <f>+E44/F44</f>
        <v>1295</v>
      </c>
      <c r="H44" s="341"/>
      <c r="I44" s="133"/>
      <c r="J44" s="194" t="s">
        <v>5948</v>
      </c>
      <c r="K44" s="345">
        <v>70000</v>
      </c>
      <c r="L44" s="345">
        <f>+K44*0.85</f>
        <v>59500</v>
      </c>
      <c r="M44" s="353">
        <f>+K44+L44</f>
        <v>129500</v>
      </c>
      <c r="N44" s="209">
        <v>10</v>
      </c>
      <c r="O44" s="351">
        <f>+M44/N44</f>
        <v>12950</v>
      </c>
      <c r="P44" s="341"/>
    </row>
    <row r="45" spans="1:16" x14ac:dyDescent="0.25">
      <c r="A45" s="133"/>
      <c r="B45" s="194" t="s">
        <v>5949</v>
      </c>
      <c r="C45" s="345">
        <v>40000</v>
      </c>
      <c r="D45" s="345">
        <f>+C45*0.85</f>
        <v>34000</v>
      </c>
      <c r="E45" s="353">
        <f>+C45+D45</f>
        <v>74000</v>
      </c>
      <c r="F45" s="202">
        <v>20</v>
      </c>
      <c r="G45" s="351">
        <f>+E45/F45</f>
        <v>3700</v>
      </c>
      <c r="H45" s="341"/>
      <c r="I45" s="133"/>
      <c r="J45" s="194" t="s">
        <v>5949</v>
      </c>
      <c r="K45" s="345">
        <v>40000</v>
      </c>
      <c r="L45" s="345">
        <f>+K45*0.85</f>
        <v>34000</v>
      </c>
      <c r="M45" s="353">
        <f>+K45+L45</f>
        <v>74000</v>
      </c>
      <c r="N45" s="202">
        <v>2</v>
      </c>
      <c r="O45" s="351">
        <f>+M45/N45</f>
        <v>37000</v>
      </c>
      <c r="P45" s="341"/>
    </row>
    <row r="46" spans="1:16" x14ac:dyDescent="0.25">
      <c r="A46" s="133"/>
      <c r="B46" s="195" t="s">
        <v>5635</v>
      </c>
      <c r="C46" s="345">
        <v>20600</v>
      </c>
      <c r="D46" s="345">
        <f>+C46*0.85</f>
        <v>17510</v>
      </c>
      <c r="E46" s="353">
        <f>+C46+D46</f>
        <v>38110</v>
      </c>
      <c r="F46" s="226">
        <v>4</v>
      </c>
      <c r="G46" s="351">
        <f>+E46/F46</f>
        <v>9527.5</v>
      </c>
      <c r="H46" s="341"/>
      <c r="I46" s="133"/>
      <c r="J46" s="195" t="s">
        <v>5635</v>
      </c>
      <c r="K46" s="345">
        <v>20600</v>
      </c>
      <c r="L46" s="345">
        <f>+K46*0.85</f>
        <v>17510</v>
      </c>
      <c r="M46" s="353">
        <f>+K46+L46</f>
        <v>38110</v>
      </c>
      <c r="N46" s="226">
        <v>1</v>
      </c>
      <c r="O46" s="351">
        <f>+M46/N46</f>
        <v>38110</v>
      </c>
      <c r="P46" s="341"/>
    </row>
    <row r="47" spans="1:16" x14ac:dyDescent="0.25">
      <c r="A47" s="133"/>
      <c r="B47" s="195"/>
      <c r="C47" s="346"/>
      <c r="D47" s="345"/>
      <c r="E47" s="345"/>
      <c r="F47" s="226"/>
      <c r="G47" s="351"/>
      <c r="H47" s="341"/>
      <c r="I47" s="133"/>
      <c r="J47" s="195"/>
      <c r="K47" s="346"/>
      <c r="L47" s="345"/>
      <c r="M47" s="345"/>
      <c r="N47" s="226"/>
      <c r="O47" s="351"/>
      <c r="P47" s="341"/>
    </row>
    <row r="48" spans="1:16" x14ac:dyDescent="0.25">
      <c r="A48" s="133"/>
      <c r="B48" s="195"/>
      <c r="C48" s="232"/>
      <c r="D48" s="232"/>
      <c r="E48" s="232"/>
      <c r="F48" s="226"/>
      <c r="G48" s="344"/>
      <c r="H48" s="341"/>
      <c r="I48" s="133"/>
      <c r="J48" s="195"/>
      <c r="K48" s="232"/>
      <c r="L48" s="232"/>
      <c r="M48" s="232"/>
      <c r="N48" s="226"/>
      <c r="O48" s="344"/>
      <c r="P48" s="341"/>
    </row>
    <row r="49" spans="1:16" ht="15.75" thickBot="1" x14ac:dyDescent="0.3">
      <c r="A49" s="133"/>
      <c r="B49" s="195"/>
      <c r="C49" s="232"/>
      <c r="D49" s="232"/>
      <c r="E49" s="232"/>
      <c r="F49" s="226"/>
      <c r="G49" s="344"/>
      <c r="H49" s="341"/>
      <c r="I49" s="133"/>
      <c r="J49" s="195"/>
      <c r="K49" s="232"/>
      <c r="L49" s="232"/>
      <c r="M49" s="232"/>
      <c r="N49" s="226"/>
      <c r="O49" s="344"/>
      <c r="P49" s="341"/>
    </row>
    <row r="50" spans="1:16" ht="15.75" thickBot="1" x14ac:dyDescent="0.3">
      <c r="A50" s="133"/>
      <c r="B50" s="251"/>
      <c r="C50" s="252"/>
      <c r="D50" s="252"/>
      <c r="E50" s="252"/>
      <c r="F50" s="253"/>
      <c r="G50" s="357"/>
      <c r="H50" s="348">
        <f>+SUM(G44:G50)</f>
        <v>14522.5</v>
      </c>
      <c r="I50" s="133"/>
      <c r="J50" s="251"/>
      <c r="K50" s="252"/>
      <c r="L50" s="252"/>
      <c r="M50" s="252"/>
      <c r="N50" s="253"/>
      <c r="O50" s="357"/>
      <c r="P50" s="348">
        <f>+SUM(O44:O50)</f>
        <v>88060</v>
      </c>
    </row>
    <row r="51" spans="1:16" ht="15.75" thickBot="1" x14ac:dyDescent="0.3">
      <c r="A51" s="133"/>
      <c r="B51" s="8"/>
      <c r="C51" s="8"/>
      <c r="D51" s="8"/>
      <c r="E51" s="8"/>
      <c r="F51" s="133"/>
      <c r="G51" s="341"/>
      <c r="H51" s="341"/>
      <c r="I51" s="133"/>
      <c r="J51" s="8"/>
      <c r="K51" s="8"/>
      <c r="L51" s="8"/>
      <c r="M51" s="8"/>
      <c r="N51" s="133"/>
      <c r="O51" s="341"/>
      <c r="P51" s="341"/>
    </row>
    <row r="52" spans="1:16" ht="15.75" thickBot="1" x14ac:dyDescent="0.3">
      <c r="A52" s="133"/>
      <c r="B52" s="8"/>
      <c r="C52" s="8"/>
      <c r="D52" s="8"/>
      <c r="E52" s="223"/>
      <c r="F52" s="133"/>
      <c r="G52" s="341"/>
      <c r="H52" s="348">
        <f>+H50+H41+H33+H18</f>
        <v>257141.62500000003</v>
      </c>
      <c r="I52" s="133"/>
      <c r="J52" s="8"/>
      <c r="K52" s="8"/>
      <c r="L52" s="8"/>
      <c r="M52" s="223"/>
      <c r="N52" s="133"/>
      <c r="O52" s="341"/>
      <c r="P52" s="348">
        <f>+P50+P41+P33+P18</f>
        <v>334356</v>
      </c>
    </row>
    <row r="53" spans="1:16" x14ac:dyDescent="0.25">
      <c r="M53" s="265"/>
    </row>
    <row r="54" spans="1:16" x14ac:dyDescent="0.25">
      <c r="H54" s="273"/>
      <c r="M54" s="265"/>
      <c r="P54" s="273"/>
    </row>
    <row r="55" spans="1:16" x14ac:dyDescent="0.25">
      <c r="A55" s="255"/>
      <c r="I55" s="255"/>
      <c r="M55" s="265"/>
    </row>
    <row r="56" spans="1:16" x14ac:dyDescent="0.25">
      <c r="A56" s="255"/>
      <c r="I56" s="255"/>
      <c r="M56" s="265"/>
    </row>
    <row r="57" spans="1:16" ht="18.75" x14ac:dyDescent="0.25">
      <c r="A57" s="133"/>
      <c r="B57" s="2506" t="s">
        <v>5400</v>
      </c>
      <c r="C57" s="2506"/>
      <c r="D57" s="2506"/>
      <c r="E57" s="2506"/>
      <c r="F57" s="2506"/>
      <c r="G57" s="2506"/>
      <c r="H57" s="8"/>
      <c r="I57" s="133"/>
      <c r="J57" s="2506" t="s">
        <v>5400</v>
      </c>
      <c r="K57" s="2506"/>
      <c r="L57" s="2506"/>
      <c r="M57" s="2506"/>
      <c r="N57" s="2506"/>
      <c r="O57" s="2506"/>
      <c r="P57" s="8"/>
    </row>
    <row r="58" spans="1:16" x14ac:dyDescent="0.25">
      <c r="A58" s="133"/>
      <c r="B58" s="8"/>
      <c r="C58" s="8"/>
      <c r="D58" s="8"/>
      <c r="E58" s="8"/>
      <c r="F58" s="133"/>
      <c r="G58" s="341"/>
      <c r="H58" s="341"/>
      <c r="I58" s="133"/>
      <c r="J58" s="8"/>
      <c r="K58" s="8"/>
      <c r="L58" s="8"/>
      <c r="M58" s="8"/>
      <c r="N58" s="133"/>
      <c r="O58" s="341"/>
      <c r="P58" s="341"/>
    </row>
    <row r="59" spans="1:16" x14ac:dyDescent="0.25">
      <c r="A59" s="133"/>
      <c r="B59" s="8"/>
      <c r="C59" s="8"/>
      <c r="D59" s="8"/>
      <c r="E59" s="8"/>
      <c r="F59" s="133"/>
      <c r="G59" s="341"/>
      <c r="H59" s="341"/>
      <c r="I59" s="133"/>
      <c r="J59" s="8"/>
      <c r="K59" s="8"/>
      <c r="L59" s="8"/>
      <c r="M59" s="8"/>
      <c r="N59" s="133"/>
      <c r="O59" s="341"/>
      <c r="P59" s="341"/>
    </row>
    <row r="60" spans="1:16" x14ac:dyDescent="0.25">
      <c r="A60" s="133"/>
      <c r="B60" s="8"/>
      <c r="C60" s="8"/>
      <c r="D60" s="8"/>
      <c r="E60" s="8"/>
      <c r="F60" s="133"/>
      <c r="G60" s="341"/>
      <c r="H60" s="341"/>
      <c r="I60" s="133"/>
      <c r="J60" s="8"/>
      <c r="K60" s="8"/>
      <c r="L60" s="8"/>
      <c r="M60" s="8"/>
      <c r="N60" s="133"/>
      <c r="O60" s="341"/>
      <c r="P60" s="341"/>
    </row>
    <row r="61" spans="1:16" ht="15" customHeight="1" x14ac:dyDescent="0.25">
      <c r="A61" s="220" t="s">
        <v>5482</v>
      </c>
      <c r="B61" s="221" t="s">
        <v>604</v>
      </c>
      <c r="C61" s="2449" t="s">
        <v>6019</v>
      </c>
      <c r="D61" s="2449"/>
      <c r="E61" s="2449"/>
      <c r="F61" s="220" t="s">
        <v>867</v>
      </c>
      <c r="G61" s="342" t="s">
        <v>5454</v>
      </c>
      <c r="H61" s="341"/>
      <c r="I61" s="220" t="s">
        <v>5482</v>
      </c>
      <c r="J61" s="221" t="s">
        <v>604</v>
      </c>
      <c r="K61" s="2449" t="s">
        <v>6020</v>
      </c>
      <c r="L61" s="2449"/>
      <c r="M61" s="2449"/>
      <c r="N61" s="220" t="s">
        <v>867</v>
      </c>
      <c r="O61" s="342" t="s">
        <v>5454</v>
      </c>
      <c r="P61" s="341"/>
    </row>
    <row r="62" spans="1:16" x14ac:dyDescent="0.25">
      <c r="A62" s="133"/>
      <c r="B62" s="8"/>
      <c r="C62" s="223"/>
      <c r="D62" s="223"/>
      <c r="E62" s="223"/>
      <c r="F62" s="133"/>
      <c r="G62" s="341"/>
      <c r="H62" s="341"/>
      <c r="I62" s="133"/>
      <c r="J62" s="8"/>
      <c r="K62" s="223"/>
      <c r="L62" s="223"/>
      <c r="M62" s="223"/>
      <c r="N62" s="133"/>
      <c r="O62" s="341"/>
      <c r="P62" s="341"/>
    </row>
    <row r="63" spans="1:16" x14ac:dyDescent="0.25">
      <c r="A63" s="133"/>
      <c r="B63" s="8"/>
      <c r="C63" s="8"/>
      <c r="D63" s="8"/>
      <c r="E63" s="8"/>
      <c r="F63" s="8"/>
      <c r="G63" s="8"/>
      <c r="H63" s="341"/>
      <c r="I63" s="133"/>
      <c r="J63" s="8"/>
      <c r="K63" s="8"/>
      <c r="L63" s="8"/>
      <c r="M63" s="8"/>
      <c r="N63" s="8"/>
      <c r="O63" s="8"/>
      <c r="P63" s="341"/>
    </row>
    <row r="64" spans="1:16" ht="15.75" thickBot="1" x14ac:dyDescent="0.3">
      <c r="A64" s="133"/>
      <c r="B64" s="8"/>
      <c r="C64" s="8"/>
      <c r="D64" s="8"/>
      <c r="E64" s="8"/>
      <c r="F64" s="133"/>
      <c r="G64" s="341"/>
      <c r="H64" s="341"/>
      <c r="I64" s="133"/>
      <c r="J64" s="8"/>
      <c r="K64" s="8"/>
      <c r="L64" s="8"/>
      <c r="M64" s="8"/>
      <c r="N64" s="133"/>
      <c r="O64" s="341"/>
      <c r="P64" s="341"/>
    </row>
    <row r="65" spans="1:16" ht="15.75" thickBot="1" x14ac:dyDescent="0.3">
      <c r="A65" s="133"/>
      <c r="B65" s="224" t="s">
        <v>5403</v>
      </c>
      <c r="C65" s="193" t="s">
        <v>867</v>
      </c>
      <c r="D65" s="193" t="s">
        <v>6</v>
      </c>
      <c r="E65" s="193" t="s">
        <v>5439</v>
      </c>
      <c r="F65" s="193" t="s">
        <v>5405</v>
      </c>
      <c r="G65" s="343" t="s">
        <v>868</v>
      </c>
      <c r="H65" s="341"/>
      <c r="I65" s="133"/>
      <c r="J65" s="224" t="s">
        <v>5403</v>
      </c>
      <c r="K65" s="193" t="s">
        <v>867</v>
      </c>
      <c r="L65" s="193" t="s">
        <v>6</v>
      </c>
      <c r="M65" s="193" t="s">
        <v>5439</v>
      </c>
      <c r="N65" s="193" t="s">
        <v>5405</v>
      </c>
      <c r="O65" s="343" t="s">
        <v>868</v>
      </c>
      <c r="P65" s="341"/>
    </row>
    <row r="66" spans="1:16" x14ac:dyDescent="0.25">
      <c r="A66" s="133"/>
      <c r="B66" s="195" t="s">
        <v>5440</v>
      </c>
      <c r="C66" s="226" t="s">
        <v>5402</v>
      </c>
      <c r="D66" s="226">
        <v>1</v>
      </c>
      <c r="E66" s="228">
        <f>+H104</f>
        <v>14522.5</v>
      </c>
      <c r="F66" s="226">
        <v>0.05</v>
      </c>
      <c r="G66" s="344">
        <f>+E66*F66</f>
        <v>726.125</v>
      </c>
      <c r="H66" s="341"/>
      <c r="I66" s="133"/>
      <c r="J66" s="195" t="s">
        <v>5440</v>
      </c>
      <c r="K66" s="226" t="s">
        <v>5402</v>
      </c>
      <c r="L66" s="226">
        <v>1</v>
      </c>
      <c r="M66" s="228">
        <f>+P104</f>
        <v>88060</v>
      </c>
      <c r="N66" s="226">
        <v>0.05</v>
      </c>
      <c r="O66" s="344">
        <f>+M66*N66</f>
        <v>4403</v>
      </c>
      <c r="P66" s="341"/>
    </row>
    <row r="67" spans="1:16" x14ac:dyDescent="0.25">
      <c r="A67" s="133"/>
      <c r="B67" s="195" t="s">
        <v>5548</v>
      </c>
      <c r="C67" s="226" t="s">
        <v>5542</v>
      </c>
      <c r="D67" s="226">
        <v>1</v>
      </c>
      <c r="E67" s="228">
        <v>10000</v>
      </c>
      <c r="F67" s="226">
        <v>3</v>
      </c>
      <c r="G67" s="344">
        <f>+D67*E67/F67</f>
        <v>3333.3333333333335</v>
      </c>
      <c r="H67" s="341"/>
      <c r="I67" s="133"/>
      <c r="J67" s="195" t="s">
        <v>5548</v>
      </c>
      <c r="K67" s="226" t="s">
        <v>5542</v>
      </c>
      <c r="L67" s="226">
        <v>1</v>
      </c>
      <c r="M67" s="228">
        <v>10000</v>
      </c>
      <c r="N67" s="226">
        <v>3</v>
      </c>
      <c r="O67" s="344">
        <f>+L67*M67/N67</f>
        <v>3333.3333333333335</v>
      </c>
      <c r="P67" s="341"/>
    </row>
    <row r="68" spans="1:16" x14ac:dyDescent="0.25">
      <c r="A68" s="133"/>
      <c r="B68" s="195"/>
      <c r="C68" s="226"/>
      <c r="D68" s="226"/>
      <c r="E68" s="345"/>
      <c r="F68" s="226"/>
      <c r="G68" s="344"/>
      <c r="H68" s="341"/>
      <c r="I68" s="133"/>
      <c r="J68" s="195"/>
      <c r="K68" s="226"/>
      <c r="L68" s="226"/>
      <c r="M68" s="345"/>
      <c r="N68" s="226"/>
      <c r="O68" s="344"/>
      <c r="P68" s="341"/>
    </row>
    <row r="69" spans="1:16" x14ac:dyDescent="0.25">
      <c r="A69" s="133"/>
      <c r="B69" s="195"/>
      <c r="C69" s="226"/>
      <c r="D69" s="226"/>
      <c r="E69" s="346"/>
      <c r="F69" s="226"/>
      <c r="G69" s="344"/>
      <c r="H69" s="341"/>
      <c r="I69" s="133"/>
      <c r="J69" s="195"/>
      <c r="K69" s="226"/>
      <c r="L69" s="226"/>
      <c r="M69" s="346"/>
      <c r="N69" s="226"/>
      <c r="O69" s="344"/>
      <c r="P69" s="341"/>
    </row>
    <row r="70" spans="1:16" x14ac:dyDescent="0.25">
      <c r="A70" s="133"/>
      <c r="B70" s="195"/>
      <c r="C70" s="226"/>
      <c r="D70" s="232"/>
      <c r="E70" s="232"/>
      <c r="F70" s="226"/>
      <c r="G70" s="344"/>
      <c r="H70" s="341"/>
      <c r="I70" s="133"/>
      <c r="J70" s="195"/>
      <c r="K70" s="226"/>
      <c r="L70" s="232"/>
      <c r="M70" s="232"/>
      <c r="N70" s="226"/>
      <c r="O70" s="344"/>
      <c r="P70" s="341"/>
    </row>
    <row r="71" spans="1:16" ht="15.75" thickBot="1" x14ac:dyDescent="0.3">
      <c r="A71" s="133"/>
      <c r="B71" s="195"/>
      <c r="C71" s="226"/>
      <c r="D71" s="232"/>
      <c r="E71" s="232"/>
      <c r="F71" s="226"/>
      <c r="G71" s="344"/>
      <c r="H71" s="341"/>
      <c r="I71" s="133"/>
      <c r="J71" s="195"/>
      <c r="K71" s="226"/>
      <c r="L71" s="232"/>
      <c r="M71" s="232"/>
      <c r="N71" s="226"/>
      <c r="O71" s="344"/>
      <c r="P71" s="341"/>
    </row>
    <row r="72" spans="1:16" ht="15.75" thickBot="1" x14ac:dyDescent="0.3">
      <c r="A72" s="133"/>
      <c r="B72" s="233"/>
      <c r="C72" s="234"/>
      <c r="D72" s="234"/>
      <c r="E72" s="234"/>
      <c r="F72" s="235"/>
      <c r="G72" s="347"/>
      <c r="H72" s="348">
        <f>+SUM(G66:G72)</f>
        <v>4059.4583333333335</v>
      </c>
      <c r="I72" s="133"/>
      <c r="J72" s="233"/>
      <c r="K72" s="234"/>
      <c r="L72" s="234"/>
      <c r="M72" s="234"/>
      <c r="N72" s="235"/>
      <c r="O72" s="347"/>
      <c r="P72" s="348">
        <f>+SUM(O66:O72)</f>
        <v>7736.3333333333339</v>
      </c>
    </row>
    <row r="73" spans="1:16" ht="15.75" thickBot="1" x14ac:dyDescent="0.3">
      <c r="A73" s="133"/>
      <c r="B73" s="238"/>
      <c r="C73" s="238"/>
      <c r="D73" s="238"/>
      <c r="E73" s="238"/>
      <c r="F73" s="239"/>
      <c r="G73" s="349"/>
      <c r="H73" s="350"/>
      <c r="I73" s="133"/>
      <c r="J73" s="238"/>
      <c r="K73" s="238"/>
      <c r="L73" s="238"/>
      <c r="M73" s="238"/>
      <c r="N73" s="239"/>
      <c r="O73" s="349"/>
      <c r="P73" s="350"/>
    </row>
    <row r="74" spans="1:16" ht="15.75" thickBot="1" x14ac:dyDescent="0.3">
      <c r="A74" s="133"/>
      <c r="B74" s="224" t="s">
        <v>5408</v>
      </c>
      <c r="C74" s="193" t="s">
        <v>867</v>
      </c>
      <c r="D74" s="193" t="s">
        <v>6</v>
      </c>
      <c r="E74" s="193" t="s">
        <v>870</v>
      </c>
      <c r="F74" s="193" t="s">
        <v>5409</v>
      </c>
      <c r="G74" s="343" t="s">
        <v>868</v>
      </c>
      <c r="H74" s="341"/>
      <c r="I74" s="133"/>
      <c r="J74" s="224" t="s">
        <v>5408</v>
      </c>
      <c r="K74" s="193" t="s">
        <v>867</v>
      </c>
      <c r="L74" s="193" t="s">
        <v>6</v>
      </c>
      <c r="M74" s="193" t="s">
        <v>870</v>
      </c>
      <c r="N74" s="193" t="s">
        <v>5409</v>
      </c>
      <c r="O74" s="343" t="s">
        <v>868</v>
      </c>
      <c r="P74" s="341"/>
    </row>
    <row r="75" spans="1:16" x14ac:dyDescent="0.25">
      <c r="A75" s="133"/>
      <c r="B75" s="242" t="s">
        <v>5549</v>
      </c>
      <c r="C75" s="202" t="s">
        <v>5550</v>
      </c>
      <c r="D75" s="226">
        <v>210</v>
      </c>
      <c r="E75" s="228">
        <v>520</v>
      </c>
      <c r="F75" s="169">
        <v>0.1</v>
      </c>
      <c r="G75" s="351">
        <f>+D75*E75*(1+F75)</f>
        <v>120120.00000000001</v>
      </c>
      <c r="H75" s="341"/>
      <c r="I75" s="133"/>
      <c r="J75" s="242" t="s">
        <v>5549</v>
      </c>
      <c r="K75" s="202" t="s">
        <v>5550</v>
      </c>
      <c r="L75" s="226">
        <v>210</v>
      </c>
      <c r="M75" s="228">
        <v>520</v>
      </c>
      <c r="N75" s="169">
        <v>0.1</v>
      </c>
      <c r="O75" s="351">
        <f>+L75*M75*(1+N75)</f>
        <v>120120.00000000001</v>
      </c>
      <c r="P75" s="341"/>
    </row>
    <row r="76" spans="1:16" x14ac:dyDescent="0.25">
      <c r="A76" s="133"/>
      <c r="B76" s="243" t="s">
        <v>5551</v>
      </c>
      <c r="C76" s="202" t="s">
        <v>5542</v>
      </c>
      <c r="D76" s="202">
        <v>0.5</v>
      </c>
      <c r="E76" s="228">
        <v>86000</v>
      </c>
      <c r="F76" s="169">
        <v>0.1</v>
      </c>
      <c r="G76" s="351">
        <f>+D76*E76*(1+F76)</f>
        <v>47300.000000000007</v>
      </c>
      <c r="H76" s="341"/>
      <c r="I76" s="133"/>
      <c r="J76" s="243" t="s">
        <v>5551</v>
      </c>
      <c r="K76" s="202" t="s">
        <v>5542</v>
      </c>
      <c r="L76" s="202">
        <v>0.5</v>
      </c>
      <c r="M76" s="228">
        <v>86000</v>
      </c>
      <c r="N76" s="169">
        <v>0.1</v>
      </c>
      <c r="O76" s="351">
        <f>+L76*M76*(1+N76)</f>
        <v>47300.000000000007</v>
      </c>
      <c r="P76" s="341"/>
    </row>
    <row r="77" spans="1:16" x14ac:dyDescent="0.25">
      <c r="A77" s="133"/>
      <c r="B77" s="243" t="s">
        <v>5552</v>
      </c>
      <c r="C77" s="226" t="s">
        <v>5542</v>
      </c>
      <c r="D77" s="226">
        <v>1</v>
      </c>
      <c r="E77" s="228">
        <v>80000</v>
      </c>
      <c r="F77" s="169">
        <v>0.1</v>
      </c>
      <c r="G77" s="351">
        <f>+D77*E77*(1+F77)</f>
        <v>88000</v>
      </c>
      <c r="H77" s="341"/>
      <c r="I77" s="133"/>
      <c r="J77" s="243" t="s">
        <v>5552</v>
      </c>
      <c r="K77" s="226" t="s">
        <v>5542</v>
      </c>
      <c r="L77" s="226">
        <v>1</v>
      </c>
      <c r="M77" s="228">
        <v>80000</v>
      </c>
      <c r="N77" s="169">
        <v>0.1</v>
      </c>
      <c r="O77" s="351">
        <f>+L77*M77*(1+N77)</f>
        <v>88000</v>
      </c>
      <c r="P77" s="341"/>
    </row>
    <row r="78" spans="1:16" x14ac:dyDescent="0.25">
      <c r="A78" s="133"/>
      <c r="B78" s="194" t="s">
        <v>5553</v>
      </c>
      <c r="C78" s="226" t="s">
        <v>5488</v>
      </c>
      <c r="D78" s="226">
        <f>210*175/350</f>
        <v>105</v>
      </c>
      <c r="E78" s="352">
        <v>10</v>
      </c>
      <c r="F78" s="169">
        <v>0.1</v>
      </c>
      <c r="G78" s="351">
        <f>+D78*E78*(1+F78)</f>
        <v>1155</v>
      </c>
      <c r="H78" s="341"/>
      <c r="I78" s="133"/>
      <c r="J78" s="194" t="s">
        <v>5553</v>
      </c>
      <c r="K78" s="226" t="s">
        <v>5488</v>
      </c>
      <c r="L78" s="226">
        <f>210*175/350</f>
        <v>105</v>
      </c>
      <c r="M78" s="352">
        <v>10</v>
      </c>
      <c r="N78" s="169">
        <v>0.1</v>
      </c>
      <c r="O78" s="351">
        <f>+L78*M78*(1+N78)</f>
        <v>1155</v>
      </c>
      <c r="P78" s="341"/>
    </row>
    <row r="79" spans="1:16" x14ac:dyDescent="0.25">
      <c r="A79" s="133"/>
      <c r="B79" s="195"/>
      <c r="C79" s="226"/>
      <c r="D79" s="226"/>
      <c r="E79" s="345"/>
      <c r="F79" s="169"/>
      <c r="G79" s="351"/>
      <c r="H79" s="341"/>
      <c r="I79" s="133"/>
      <c r="J79" s="195"/>
      <c r="K79" s="226"/>
      <c r="L79" s="226"/>
      <c r="M79" s="345"/>
      <c r="N79" s="169"/>
      <c r="O79" s="351"/>
      <c r="P79" s="341"/>
    </row>
    <row r="80" spans="1:16" x14ac:dyDescent="0.25">
      <c r="A80" s="133"/>
      <c r="B80" s="194"/>
      <c r="C80" s="202"/>
      <c r="D80" s="202"/>
      <c r="E80" s="345"/>
      <c r="F80" s="169"/>
      <c r="G80" s="351"/>
      <c r="H80" s="341"/>
      <c r="I80" s="133"/>
      <c r="J80" s="194"/>
      <c r="K80" s="202"/>
      <c r="L80" s="202"/>
      <c r="M80" s="345"/>
      <c r="N80" s="169"/>
      <c r="O80" s="351"/>
      <c r="P80" s="341"/>
    </row>
    <row r="81" spans="1:16" x14ac:dyDescent="0.25">
      <c r="A81" s="133"/>
      <c r="B81" s="195"/>
      <c r="C81" s="226"/>
      <c r="D81" s="226"/>
      <c r="E81" s="345"/>
      <c r="F81" s="169"/>
      <c r="G81" s="351"/>
      <c r="H81" s="341"/>
      <c r="I81" s="133"/>
      <c r="J81" s="195"/>
      <c r="K81" s="226"/>
      <c r="L81" s="226"/>
      <c r="M81" s="345"/>
      <c r="N81" s="169"/>
      <c r="O81" s="351"/>
      <c r="P81" s="341"/>
    </row>
    <row r="82" spans="1:16" x14ac:dyDescent="0.25">
      <c r="A82" s="133"/>
      <c r="B82" s="195"/>
      <c r="C82" s="226"/>
      <c r="D82" s="226"/>
      <c r="E82" s="345"/>
      <c r="F82" s="169"/>
      <c r="G82" s="351"/>
      <c r="H82" s="341"/>
      <c r="I82" s="133"/>
      <c r="J82" s="195"/>
      <c r="K82" s="226"/>
      <c r="L82" s="226"/>
      <c r="M82" s="345"/>
      <c r="N82" s="169"/>
      <c r="O82" s="351"/>
      <c r="P82" s="341"/>
    </row>
    <row r="83" spans="1:16" x14ac:dyDescent="0.25">
      <c r="A83" s="133"/>
      <c r="B83" s="195"/>
      <c r="C83" s="232"/>
      <c r="D83" s="232"/>
      <c r="E83" s="232"/>
      <c r="F83" s="226"/>
      <c r="G83" s="344"/>
      <c r="H83" s="341"/>
      <c r="I83" s="133"/>
      <c r="J83" s="195"/>
      <c r="K83" s="232"/>
      <c r="L83" s="232"/>
      <c r="M83" s="232"/>
      <c r="N83" s="226"/>
      <c r="O83" s="344"/>
      <c r="P83" s="341"/>
    </row>
    <row r="84" spans="1:16" x14ac:dyDescent="0.25">
      <c r="A84" s="133"/>
      <c r="B84" s="195"/>
      <c r="C84" s="232"/>
      <c r="D84" s="232"/>
      <c r="E84" s="232"/>
      <c r="F84" s="226"/>
      <c r="G84" s="344"/>
      <c r="H84" s="341"/>
      <c r="I84" s="133"/>
      <c r="J84" s="195"/>
      <c r="K84" s="232"/>
      <c r="L84" s="232"/>
      <c r="M84" s="232"/>
      <c r="N84" s="226"/>
      <c r="O84" s="344"/>
      <c r="P84" s="341"/>
    </row>
    <row r="85" spans="1:16" x14ac:dyDescent="0.25">
      <c r="A85" s="133"/>
      <c r="B85" s="195"/>
      <c r="C85" s="232"/>
      <c r="D85" s="232"/>
      <c r="E85" s="232"/>
      <c r="F85" s="226"/>
      <c r="G85" s="344"/>
      <c r="H85" s="341"/>
      <c r="I85" s="133"/>
      <c r="J85" s="195"/>
      <c r="K85" s="232"/>
      <c r="L85" s="232"/>
      <c r="M85" s="232"/>
      <c r="N85" s="226"/>
      <c r="O85" s="344"/>
      <c r="P85" s="341"/>
    </row>
    <row r="86" spans="1:16" ht="15.75" thickBot="1" x14ac:dyDescent="0.3">
      <c r="A86" s="133"/>
      <c r="B86" s="195"/>
      <c r="C86" s="232"/>
      <c r="D86" s="232"/>
      <c r="E86" s="232"/>
      <c r="F86" s="226"/>
      <c r="G86" s="344"/>
      <c r="H86" s="341"/>
      <c r="I86" s="133"/>
      <c r="J86" s="195"/>
      <c r="K86" s="232"/>
      <c r="L86" s="232"/>
      <c r="M86" s="232"/>
      <c r="N86" s="226"/>
      <c r="O86" s="344"/>
      <c r="P86" s="341"/>
    </row>
    <row r="87" spans="1:16" ht="15.75" thickBot="1" x14ac:dyDescent="0.3">
      <c r="A87" s="133"/>
      <c r="B87" s="233"/>
      <c r="C87" s="234"/>
      <c r="D87" s="234"/>
      <c r="E87" s="234"/>
      <c r="F87" s="235"/>
      <c r="G87" s="347"/>
      <c r="H87" s="348">
        <f>+SUM(G75:G87)</f>
        <v>256575.00000000003</v>
      </c>
      <c r="I87" s="133"/>
      <c r="J87" s="233"/>
      <c r="K87" s="234"/>
      <c r="L87" s="234"/>
      <c r="M87" s="234"/>
      <c r="N87" s="235"/>
      <c r="O87" s="347"/>
      <c r="P87" s="348">
        <f>+SUM(O75:O87)</f>
        <v>256575.00000000003</v>
      </c>
    </row>
    <row r="88" spans="1:16" ht="15.75" thickBot="1" x14ac:dyDescent="0.3">
      <c r="A88" s="133"/>
      <c r="B88" s="238"/>
      <c r="C88" s="238"/>
      <c r="D88" s="238"/>
      <c r="E88" s="238"/>
      <c r="F88" s="239"/>
      <c r="G88" s="349"/>
      <c r="H88" s="350"/>
      <c r="I88" s="133"/>
      <c r="J88" s="238"/>
      <c r="K88" s="238"/>
      <c r="L88" s="238"/>
      <c r="M88" s="238"/>
      <c r="N88" s="239"/>
      <c r="O88" s="349"/>
      <c r="P88" s="350"/>
    </row>
    <row r="89" spans="1:16" ht="15.75" thickBot="1" x14ac:dyDescent="0.3">
      <c r="A89" s="133"/>
      <c r="B89" s="224" t="s">
        <v>5410</v>
      </c>
      <c r="C89" s="193" t="s">
        <v>867</v>
      </c>
      <c r="D89" s="193" t="s">
        <v>6</v>
      </c>
      <c r="E89" s="193" t="s">
        <v>870</v>
      </c>
      <c r="F89" s="193" t="s">
        <v>5411</v>
      </c>
      <c r="G89" s="343" t="s">
        <v>868</v>
      </c>
      <c r="H89" s="341"/>
      <c r="I89" s="133"/>
      <c r="J89" s="224" t="s">
        <v>5410</v>
      </c>
      <c r="K89" s="193" t="s">
        <v>867</v>
      </c>
      <c r="L89" s="193" t="s">
        <v>6</v>
      </c>
      <c r="M89" s="193" t="s">
        <v>870</v>
      </c>
      <c r="N89" s="193" t="s">
        <v>5411</v>
      </c>
      <c r="O89" s="343" t="s">
        <v>868</v>
      </c>
      <c r="P89" s="341"/>
    </row>
    <row r="90" spans="1:16" x14ac:dyDescent="0.25">
      <c r="A90" s="133"/>
      <c r="B90" s="245"/>
      <c r="C90" s="202"/>
      <c r="D90" s="202"/>
      <c r="E90" s="353"/>
      <c r="F90" s="202"/>
      <c r="G90" s="354"/>
      <c r="H90" s="355"/>
      <c r="I90" s="133"/>
      <c r="J90" s="245"/>
      <c r="K90" s="202"/>
      <c r="L90" s="202"/>
      <c r="M90" s="353"/>
      <c r="N90" s="202"/>
      <c r="O90" s="354"/>
      <c r="P90" s="355"/>
    </row>
    <row r="91" spans="1:16" x14ac:dyDescent="0.25">
      <c r="A91" s="133"/>
      <c r="B91" s="247"/>
      <c r="C91" s="248"/>
      <c r="D91" s="248"/>
      <c r="E91" s="248"/>
      <c r="F91" s="202"/>
      <c r="G91" s="351"/>
      <c r="H91" s="341"/>
      <c r="I91" s="133"/>
      <c r="J91" s="247"/>
      <c r="K91" s="248"/>
      <c r="L91" s="248"/>
      <c r="M91" s="248"/>
      <c r="N91" s="202"/>
      <c r="O91" s="351"/>
      <c r="P91" s="341"/>
    </row>
    <row r="92" spans="1:16" x14ac:dyDescent="0.25">
      <c r="A92" s="133"/>
      <c r="B92" s="247"/>
      <c r="C92" s="232"/>
      <c r="D92" s="232"/>
      <c r="E92" s="232"/>
      <c r="F92" s="226"/>
      <c r="G92" s="344"/>
      <c r="H92" s="341"/>
      <c r="I92" s="133"/>
      <c r="J92" s="247"/>
      <c r="K92" s="232"/>
      <c r="L92" s="232"/>
      <c r="M92" s="232"/>
      <c r="N92" s="226"/>
      <c r="O92" s="344"/>
      <c r="P92" s="341"/>
    </row>
    <row r="93" spans="1:16" x14ac:dyDescent="0.25">
      <c r="A93" s="133"/>
      <c r="B93" s="194"/>
      <c r="C93" s="232"/>
      <c r="D93" s="232"/>
      <c r="E93" s="232"/>
      <c r="F93" s="226"/>
      <c r="G93" s="344"/>
      <c r="H93" s="341"/>
      <c r="I93" s="133"/>
      <c r="J93" s="194"/>
      <c r="K93" s="232"/>
      <c r="L93" s="232"/>
      <c r="M93" s="232"/>
      <c r="N93" s="226"/>
      <c r="O93" s="344"/>
      <c r="P93" s="341"/>
    </row>
    <row r="94" spans="1:16" ht="15.75" thickBot="1" x14ac:dyDescent="0.3">
      <c r="A94" s="133"/>
      <c r="B94" s="195"/>
      <c r="C94" s="232"/>
      <c r="D94" s="232"/>
      <c r="E94" s="232"/>
      <c r="F94" s="226"/>
      <c r="G94" s="344"/>
      <c r="H94" s="341"/>
      <c r="I94" s="133"/>
      <c r="J94" s="195"/>
      <c r="K94" s="232"/>
      <c r="L94" s="232"/>
      <c r="M94" s="232"/>
      <c r="N94" s="226"/>
      <c r="O94" s="344"/>
      <c r="P94" s="341"/>
    </row>
    <row r="95" spans="1:16" ht="15.75" thickBot="1" x14ac:dyDescent="0.3">
      <c r="A95" s="133"/>
      <c r="B95" s="233"/>
      <c r="C95" s="234"/>
      <c r="D95" s="234"/>
      <c r="E95" s="234"/>
      <c r="F95" s="235"/>
      <c r="G95" s="347"/>
      <c r="H95" s="348">
        <f>+SUM(G90:G95)</f>
        <v>0</v>
      </c>
      <c r="I95" s="133"/>
      <c r="J95" s="233"/>
      <c r="K95" s="234"/>
      <c r="L95" s="234"/>
      <c r="M95" s="234"/>
      <c r="N95" s="235"/>
      <c r="O95" s="347"/>
      <c r="P95" s="348">
        <f>+SUM(O90:O95)</f>
        <v>0</v>
      </c>
    </row>
    <row r="96" spans="1:16" ht="15.75" thickBot="1" x14ac:dyDescent="0.3">
      <c r="A96" s="133"/>
      <c r="B96" s="238"/>
      <c r="C96" s="238"/>
      <c r="D96" s="238"/>
      <c r="E96" s="238"/>
      <c r="F96" s="249"/>
      <c r="G96" s="356"/>
      <c r="H96" s="350"/>
      <c r="I96" s="133"/>
      <c r="J96" s="238"/>
      <c r="K96" s="238"/>
      <c r="L96" s="238"/>
      <c r="M96" s="238"/>
      <c r="N96" s="249"/>
      <c r="O96" s="356"/>
      <c r="P96" s="350"/>
    </row>
    <row r="97" spans="1:16" ht="15.75" thickBot="1" x14ac:dyDescent="0.3">
      <c r="A97" s="133"/>
      <c r="B97" s="224" t="s">
        <v>5412</v>
      </c>
      <c r="C97" s="193" t="s">
        <v>5420</v>
      </c>
      <c r="D97" s="193" t="s">
        <v>5421</v>
      </c>
      <c r="E97" s="193" t="s">
        <v>5413</v>
      </c>
      <c r="F97" s="193" t="s">
        <v>5405</v>
      </c>
      <c r="G97" s="343" t="s">
        <v>868</v>
      </c>
      <c r="H97" s="341"/>
      <c r="I97" s="133"/>
      <c r="J97" s="224" t="s">
        <v>5412</v>
      </c>
      <c r="K97" s="193" t="s">
        <v>5420</v>
      </c>
      <c r="L97" s="193" t="s">
        <v>5421</v>
      </c>
      <c r="M97" s="193" t="s">
        <v>5413</v>
      </c>
      <c r="N97" s="193" t="s">
        <v>5405</v>
      </c>
      <c r="O97" s="343" t="s">
        <v>868</v>
      </c>
      <c r="P97" s="341"/>
    </row>
    <row r="98" spans="1:16" x14ac:dyDescent="0.25">
      <c r="A98" s="133"/>
      <c r="B98" s="194" t="s">
        <v>5948</v>
      </c>
      <c r="C98" s="345">
        <v>70000</v>
      </c>
      <c r="D98" s="345">
        <f>+C98*0.85</f>
        <v>59500</v>
      </c>
      <c r="E98" s="353">
        <f>+C98+D98</f>
        <v>129500</v>
      </c>
      <c r="F98" s="209">
        <v>100</v>
      </c>
      <c r="G98" s="351">
        <f>+E98/F98</f>
        <v>1295</v>
      </c>
      <c r="H98" s="341"/>
      <c r="I98" s="133"/>
      <c r="J98" s="194" t="s">
        <v>5948</v>
      </c>
      <c r="K98" s="345">
        <v>70000</v>
      </c>
      <c r="L98" s="345">
        <f>+K98*0.85</f>
        <v>59500</v>
      </c>
      <c r="M98" s="353">
        <f>+K98+L98</f>
        <v>129500</v>
      </c>
      <c r="N98" s="209">
        <v>10</v>
      </c>
      <c r="O98" s="351">
        <f>+M98/N98</f>
        <v>12950</v>
      </c>
      <c r="P98" s="341"/>
    </row>
    <row r="99" spans="1:16" x14ac:dyDescent="0.25">
      <c r="A99" s="133"/>
      <c r="B99" s="194" t="s">
        <v>5949</v>
      </c>
      <c r="C99" s="345">
        <v>40000</v>
      </c>
      <c r="D99" s="345">
        <f>+C99*0.85</f>
        <v>34000</v>
      </c>
      <c r="E99" s="353">
        <f>+C99+D99</f>
        <v>74000</v>
      </c>
      <c r="F99" s="202">
        <v>20</v>
      </c>
      <c r="G99" s="351">
        <f>+E99/F99</f>
        <v>3700</v>
      </c>
      <c r="H99" s="341"/>
      <c r="I99" s="133"/>
      <c r="J99" s="194" t="s">
        <v>5949</v>
      </c>
      <c r="K99" s="345">
        <v>40000</v>
      </c>
      <c r="L99" s="345">
        <f>+K99*0.85</f>
        <v>34000</v>
      </c>
      <c r="M99" s="353">
        <f>+K99+L99</f>
        <v>74000</v>
      </c>
      <c r="N99" s="202">
        <v>2</v>
      </c>
      <c r="O99" s="351">
        <f>+M99/N99</f>
        <v>37000</v>
      </c>
      <c r="P99" s="341"/>
    </row>
    <row r="100" spans="1:16" x14ac:dyDescent="0.25">
      <c r="A100" s="133"/>
      <c r="B100" s="195" t="s">
        <v>5635</v>
      </c>
      <c r="C100" s="345">
        <v>20600</v>
      </c>
      <c r="D100" s="345">
        <f>+C100*0.85</f>
        <v>17510</v>
      </c>
      <c r="E100" s="353">
        <f>+C100+D100</f>
        <v>38110</v>
      </c>
      <c r="F100" s="226">
        <v>4</v>
      </c>
      <c r="G100" s="351">
        <f>+E100/F100</f>
        <v>9527.5</v>
      </c>
      <c r="H100" s="341"/>
      <c r="I100" s="133"/>
      <c r="J100" s="195" t="s">
        <v>5635</v>
      </c>
      <c r="K100" s="345">
        <v>20600</v>
      </c>
      <c r="L100" s="345">
        <f>+K100*0.85</f>
        <v>17510</v>
      </c>
      <c r="M100" s="353">
        <f>+K100+L100</f>
        <v>38110</v>
      </c>
      <c r="N100" s="226">
        <v>1</v>
      </c>
      <c r="O100" s="351">
        <f>+M100/N100</f>
        <v>38110</v>
      </c>
      <c r="P100" s="341"/>
    </row>
    <row r="101" spans="1:16" x14ac:dyDescent="0.25">
      <c r="A101" s="133"/>
      <c r="B101" s="195"/>
      <c r="C101" s="346"/>
      <c r="D101" s="345"/>
      <c r="E101" s="345"/>
      <c r="F101" s="226"/>
      <c r="G101" s="351"/>
      <c r="H101" s="341"/>
      <c r="I101" s="133"/>
      <c r="J101" s="195"/>
      <c r="K101" s="346"/>
      <c r="L101" s="345"/>
      <c r="M101" s="345"/>
      <c r="N101" s="226"/>
      <c r="O101" s="351"/>
      <c r="P101" s="341"/>
    </row>
    <row r="102" spans="1:16" x14ac:dyDescent="0.25">
      <c r="A102" s="133"/>
      <c r="B102" s="195"/>
      <c r="C102" s="232"/>
      <c r="D102" s="232"/>
      <c r="E102" s="232"/>
      <c r="F102" s="226"/>
      <c r="G102" s="344"/>
      <c r="H102" s="341"/>
      <c r="I102" s="133"/>
      <c r="J102" s="195"/>
      <c r="K102" s="232"/>
      <c r="L102" s="232"/>
      <c r="M102" s="232"/>
      <c r="N102" s="226"/>
      <c r="O102" s="344"/>
      <c r="P102" s="341"/>
    </row>
    <row r="103" spans="1:16" ht="15.75" thickBot="1" x14ac:dyDescent="0.3">
      <c r="A103" s="133"/>
      <c r="B103" s="195"/>
      <c r="C103" s="232"/>
      <c r="D103" s="232"/>
      <c r="E103" s="232"/>
      <c r="F103" s="226"/>
      <c r="G103" s="344"/>
      <c r="H103" s="341"/>
      <c r="I103" s="133"/>
      <c r="J103" s="195"/>
      <c r="K103" s="232"/>
      <c r="L103" s="232"/>
      <c r="M103" s="232"/>
      <c r="N103" s="226"/>
      <c r="O103" s="344"/>
      <c r="P103" s="341"/>
    </row>
    <row r="104" spans="1:16" ht="15.75" thickBot="1" x14ac:dyDescent="0.3">
      <c r="A104" s="133"/>
      <c r="B104" s="251"/>
      <c r="C104" s="252"/>
      <c r="D104" s="252"/>
      <c r="E104" s="252"/>
      <c r="F104" s="253"/>
      <c r="G104" s="357"/>
      <c r="H104" s="358">
        <f>+SUM(G98:G104)</f>
        <v>14522.5</v>
      </c>
      <c r="I104" s="133"/>
      <c r="J104" s="251"/>
      <c r="K104" s="252"/>
      <c r="L104" s="252"/>
      <c r="M104" s="252"/>
      <c r="N104" s="253"/>
      <c r="O104" s="357"/>
      <c r="P104" s="358">
        <f>+SUM(O98:O104)</f>
        <v>88060</v>
      </c>
    </row>
    <row r="105" spans="1:16" ht="15.75" thickBot="1" x14ac:dyDescent="0.3">
      <c r="A105" s="133"/>
      <c r="B105" s="8"/>
      <c r="C105" s="8"/>
      <c r="D105" s="8"/>
      <c r="E105" s="8"/>
      <c r="F105" s="133"/>
      <c r="G105" s="341"/>
      <c r="H105" s="341"/>
      <c r="I105" s="133"/>
      <c r="J105" s="8"/>
      <c r="K105" s="8"/>
      <c r="L105" s="8"/>
      <c r="M105" s="8"/>
      <c r="N105" s="133"/>
      <c r="O105" s="341"/>
      <c r="P105" s="341"/>
    </row>
    <row r="106" spans="1:16" ht="15.75" thickBot="1" x14ac:dyDescent="0.3">
      <c r="A106" s="133"/>
      <c r="B106" s="8"/>
      <c r="C106" s="8"/>
      <c r="D106" s="8"/>
      <c r="E106" s="223"/>
      <c r="F106" s="133"/>
      <c r="G106" s="341"/>
      <c r="H106" s="348">
        <f>+H104+H95+H87+H72</f>
        <v>275156.95833333331</v>
      </c>
      <c r="I106" s="133"/>
      <c r="J106" s="8"/>
      <c r="K106" s="8"/>
      <c r="L106" s="8"/>
      <c r="M106" s="223"/>
      <c r="N106" s="133"/>
      <c r="O106" s="341"/>
      <c r="P106" s="348">
        <f>+P104+P95+P87+P72</f>
        <v>352371.33333333331</v>
      </c>
    </row>
    <row r="107" spans="1:16" x14ac:dyDescent="0.25">
      <c r="M107" s="265"/>
    </row>
    <row r="108" spans="1:16" x14ac:dyDescent="0.25">
      <c r="H108" s="273"/>
      <c r="M108" s="265"/>
      <c r="P108" s="273"/>
    </row>
    <row r="109" spans="1:16" x14ac:dyDescent="0.25">
      <c r="A109" s="255"/>
      <c r="I109" s="255"/>
      <c r="M109" s="265"/>
    </row>
    <row r="110" spans="1:16" x14ac:dyDescent="0.25">
      <c r="A110" s="255"/>
      <c r="I110" s="255"/>
      <c r="M110" s="265"/>
    </row>
    <row r="111" spans="1:16" ht="18.75" x14ac:dyDescent="0.25">
      <c r="A111" s="133"/>
      <c r="B111" s="2506" t="s">
        <v>5400</v>
      </c>
      <c r="C111" s="2506"/>
      <c r="D111" s="2506"/>
      <c r="E111" s="2506"/>
      <c r="F111" s="2506"/>
      <c r="G111" s="2506"/>
      <c r="H111" s="8"/>
      <c r="I111" s="133"/>
      <c r="J111" s="2506" t="s">
        <v>5400</v>
      </c>
      <c r="K111" s="2506"/>
      <c r="L111" s="2506"/>
      <c r="M111" s="2506"/>
      <c r="N111" s="2506"/>
      <c r="O111" s="2506"/>
      <c r="P111" s="8"/>
    </row>
    <row r="112" spans="1:16" x14ac:dyDescent="0.25">
      <c r="A112" s="133"/>
      <c r="B112" s="8"/>
      <c r="C112" s="8"/>
      <c r="D112" s="8"/>
      <c r="E112" s="8"/>
      <c r="F112" s="133"/>
      <c r="G112" s="341"/>
      <c r="H112" s="341"/>
      <c r="I112" s="133"/>
      <c r="J112" s="8"/>
      <c r="K112" s="8"/>
      <c r="L112" s="8"/>
      <c r="M112" s="8"/>
      <c r="N112" s="133"/>
      <c r="O112" s="341"/>
      <c r="P112" s="341"/>
    </row>
    <row r="113" spans="1:16" x14ac:dyDescent="0.25">
      <c r="A113" s="133"/>
      <c r="B113" s="8"/>
      <c r="C113" s="8"/>
      <c r="D113" s="8"/>
      <c r="E113" s="8"/>
      <c r="F113" s="133"/>
      <c r="G113" s="341"/>
      <c r="H113" s="341"/>
      <c r="I113" s="133"/>
      <c r="J113" s="8"/>
      <c r="K113" s="8"/>
      <c r="L113" s="8"/>
      <c r="M113" s="8"/>
      <c r="N113" s="133"/>
      <c r="O113" s="341"/>
      <c r="P113" s="341"/>
    </row>
    <row r="114" spans="1:16" x14ac:dyDescent="0.25">
      <c r="A114" s="133"/>
      <c r="B114" s="8"/>
      <c r="C114" s="8"/>
      <c r="D114" s="8"/>
      <c r="E114" s="8"/>
      <c r="F114" s="133"/>
      <c r="G114" s="341"/>
      <c r="H114" s="341"/>
      <c r="I114" s="133"/>
      <c r="J114" s="8"/>
      <c r="K114" s="8"/>
      <c r="L114" s="8"/>
      <c r="M114" s="8"/>
      <c r="N114" s="133"/>
      <c r="O114" s="341"/>
      <c r="P114" s="341"/>
    </row>
    <row r="115" spans="1:16" ht="15" customHeight="1" x14ac:dyDescent="0.25">
      <c r="A115" s="220" t="s">
        <v>5482</v>
      </c>
      <c r="B115" s="221" t="s">
        <v>595</v>
      </c>
      <c r="C115" s="2449" t="s">
        <v>6021</v>
      </c>
      <c r="D115" s="2449"/>
      <c r="E115" s="2449"/>
      <c r="F115" s="220" t="s">
        <v>867</v>
      </c>
      <c r="G115" s="342" t="s">
        <v>5454</v>
      </c>
      <c r="H115" s="341"/>
      <c r="I115" s="220" t="s">
        <v>5482</v>
      </c>
      <c r="J115" s="221" t="s">
        <v>595</v>
      </c>
      <c r="K115" s="2449" t="s">
        <v>6022</v>
      </c>
      <c r="L115" s="2449"/>
      <c r="M115" s="2449"/>
      <c r="N115" s="220" t="s">
        <v>867</v>
      </c>
      <c r="O115" s="342" t="s">
        <v>5454</v>
      </c>
      <c r="P115" s="341"/>
    </row>
    <row r="116" spans="1:16" x14ac:dyDescent="0.25">
      <c r="A116" s="133"/>
      <c r="B116" s="8"/>
      <c r="C116" s="223"/>
      <c r="D116" s="223"/>
      <c r="E116" s="223"/>
      <c r="F116" s="133"/>
      <c r="G116" s="341"/>
      <c r="H116" s="341"/>
      <c r="I116" s="133"/>
      <c r="J116" s="8"/>
      <c r="K116" s="223"/>
      <c r="L116" s="223"/>
      <c r="M116" s="223"/>
      <c r="N116" s="133"/>
      <c r="O116" s="341"/>
      <c r="P116" s="341"/>
    </row>
    <row r="117" spans="1:16" x14ac:dyDescent="0.25">
      <c r="A117" s="133"/>
      <c r="B117" s="8"/>
      <c r="C117" s="8"/>
      <c r="D117" s="8"/>
      <c r="E117" s="8"/>
      <c r="F117" s="8"/>
      <c r="G117" s="8"/>
      <c r="H117" s="341"/>
      <c r="I117" s="133"/>
      <c r="J117" s="8"/>
      <c r="K117" s="8"/>
      <c r="L117" s="8"/>
      <c r="M117" s="8"/>
      <c r="N117" s="8"/>
      <c r="O117" s="8"/>
      <c r="P117" s="341"/>
    </row>
    <row r="118" spans="1:16" ht="15.75" thickBot="1" x14ac:dyDescent="0.3">
      <c r="A118" s="133"/>
      <c r="B118" s="8"/>
      <c r="C118" s="8"/>
      <c r="D118" s="8"/>
      <c r="E118" s="8"/>
      <c r="F118" s="133"/>
      <c r="G118" s="341"/>
      <c r="H118" s="341"/>
      <c r="I118" s="133"/>
      <c r="J118" s="8"/>
      <c r="K118" s="8"/>
      <c r="L118" s="8"/>
      <c r="M118" s="8"/>
      <c r="N118" s="133"/>
      <c r="O118" s="341"/>
      <c r="P118" s="341"/>
    </row>
    <row r="119" spans="1:16" ht="15.75" thickBot="1" x14ac:dyDescent="0.3">
      <c r="A119" s="133"/>
      <c r="B119" s="224" t="s">
        <v>5403</v>
      </c>
      <c r="C119" s="193" t="s">
        <v>867</v>
      </c>
      <c r="D119" s="193" t="s">
        <v>6</v>
      </c>
      <c r="E119" s="193" t="s">
        <v>5439</v>
      </c>
      <c r="F119" s="193" t="s">
        <v>5405</v>
      </c>
      <c r="G119" s="343" t="s">
        <v>868</v>
      </c>
      <c r="H119" s="341"/>
      <c r="I119" s="133"/>
      <c r="J119" s="224" t="s">
        <v>5403</v>
      </c>
      <c r="K119" s="193" t="s">
        <v>867</v>
      </c>
      <c r="L119" s="193" t="s">
        <v>6</v>
      </c>
      <c r="M119" s="193" t="s">
        <v>5439</v>
      </c>
      <c r="N119" s="193" t="s">
        <v>5405</v>
      </c>
      <c r="O119" s="343" t="s">
        <v>868</v>
      </c>
      <c r="P119" s="341"/>
    </row>
    <row r="120" spans="1:16" x14ac:dyDescent="0.25">
      <c r="A120" s="133"/>
      <c r="B120" s="195" t="s">
        <v>5440</v>
      </c>
      <c r="C120" s="226" t="s">
        <v>5402</v>
      </c>
      <c r="D120" s="226">
        <v>1</v>
      </c>
      <c r="E120" s="228">
        <f>+H158</f>
        <v>14522.5</v>
      </c>
      <c r="F120" s="226">
        <v>0.05</v>
      </c>
      <c r="G120" s="344">
        <f>+E120*F120</f>
        <v>726.125</v>
      </c>
      <c r="H120" s="341"/>
      <c r="I120" s="133"/>
      <c r="J120" s="195" t="s">
        <v>5440</v>
      </c>
      <c r="K120" s="226" t="s">
        <v>5402</v>
      </c>
      <c r="L120" s="226">
        <v>1</v>
      </c>
      <c r="M120" s="228">
        <f>+P158</f>
        <v>88060</v>
      </c>
      <c r="N120" s="226">
        <v>0.05</v>
      </c>
      <c r="O120" s="344">
        <f>+M120*N120</f>
        <v>4403</v>
      </c>
      <c r="P120" s="341"/>
    </row>
    <row r="121" spans="1:16" x14ac:dyDescent="0.25">
      <c r="A121" s="133"/>
      <c r="B121" s="195" t="s">
        <v>5548</v>
      </c>
      <c r="C121" s="226" t="s">
        <v>5542</v>
      </c>
      <c r="D121" s="226">
        <v>1</v>
      </c>
      <c r="E121" s="228">
        <v>10000</v>
      </c>
      <c r="F121" s="226">
        <v>3</v>
      </c>
      <c r="G121" s="344">
        <f>+D121*E121/F121</f>
        <v>3333.3333333333335</v>
      </c>
      <c r="H121" s="341"/>
      <c r="I121" s="133"/>
      <c r="J121" s="195" t="s">
        <v>5548</v>
      </c>
      <c r="K121" s="226" t="s">
        <v>5542</v>
      </c>
      <c r="L121" s="226">
        <v>1</v>
      </c>
      <c r="M121" s="228">
        <v>10000</v>
      </c>
      <c r="N121" s="226">
        <v>3</v>
      </c>
      <c r="O121" s="344">
        <f>+L121*M121/N121</f>
        <v>3333.3333333333335</v>
      </c>
      <c r="P121" s="341"/>
    </row>
    <row r="122" spans="1:16" x14ac:dyDescent="0.25">
      <c r="A122" s="133"/>
      <c r="B122" s="195"/>
      <c r="C122" s="226"/>
      <c r="D122" s="226"/>
      <c r="E122" s="345"/>
      <c r="F122" s="226"/>
      <c r="G122" s="344"/>
      <c r="H122" s="341"/>
      <c r="I122" s="133"/>
      <c r="J122" s="195"/>
      <c r="K122" s="226"/>
      <c r="L122" s="226"/>
      <c r="M122" s="345"/>
      <c r="N122" s="226"/>
      <c r="O122" s="344"/>
      <c r="P122" s="341"/>
    </row>
    <row r="123" spans="1:16" x14ac:dyDescent="0.25">
      <c r="A123" s="133"/>
      <c r="B123" s="195"/>
      <c r="C123" s="226"/>
      <c r="D123" s="226"/>
      <c r="E123" s="346"/>
      <c r="F123" s="226"/>
      <c r="G123" s="344"/>
      <c r="H123" s="341"/>
      <c r="I123" s="133"/>
      <c r="J123" s="195"/>
      <c r="K123" s="226"/>
      <c r="L123" s="226"/>
      <c r="M123" s="346"/>
      <c r="N123" s="226"/>
      <c r="O123" s="344"/>
      <c r="P123" s="341"/>
    </row>
    <row r="124" spans="1:16" x14ac:dyDescent="0.25">
      <c r="A124" s="133"/>
      <c r="B124" s="195"/>
      <c r="C124" s="226"/>
      <c r="D124" s="232"/>
      <c r="E124" s="232"/>
      <c r="F124" s="226"/>
      <c r="G124" s="344"/>
      <c r="H124" s="341"/>
      <c r="I124" s="133"/>
      <c r="J124" s="195"/>
      <c r="K124" s="226"/>
      <c r="L124" s="232"/>
      <c r="M124" s="232"/>
      <c r="N124" s="226"/>
      <c r="O124" s="344"/>
      <c r="P124" s="341"/>
    </row>
    <row r="125" spans="1:16" ht="15.75" thickBot="1" x14ac:dyDescent="0.3">
      <c r="A125" s="133"/>
      <c r="B125" s="195"/>
      <c r="C125" s="226"/>
      <c r="D125" s="232"/>
      <c r="E125" s="232"/>
      <c r="F125" s="226"/>
      <c r="G125" s="344"/>
      <c r="H125" s="341"/>
      <c r="I125" s="133"/>
      <c r="J125" s="195"/>
      <c r="K125" s="226"/>
      <c r="L125" s="232"/>
      <c r="M125" s="232"/>
      <c r="N125" s="226"/>
      <c r="O125" s="344"/>
      <c r="P125" s="341"/>
    </row>
    <row r="126" spans="1:16" ht="15.75" thickBot="1" x14ac:dyDescent="0.3">
      <c r="A126" s="133"/>
      <c r="B126" s="233"/>
      <c r="C126" s="234"/>
      <c r="D126" s="234"/>
      <c r="E126" s="234"/>
      <c r="F126" s="235"/>
      <c r="G126" s="347"/>
      <c r="H126" s="348">
        <f>+SUM(G120:G126)</f>
        <v>4059.4583333333335</v>
      </c>
      <c r="I126" s="133"/>
      <c r="J126" s="233"/>
      <c r="K126" s="234"/>
      <c r="L126" s="234"/>
      <c r="M126" s="234"/>
      <c r="N126" s="235"/>
      <c r="O126" s="347"/>
      <c r="P126" s="348">
        <f>+SUM(O120:O126)</f>
        <v>7736.3333333333339</v>
      </c>
    </row>
    <row r="127" spans="1:16" ht="15.75" thickBot="1" x14ac:dyDescent="0.3">
      <c r="A127" s="133"/>
      <c r="B127" s="238"/>
      <c r="C127" s="238"/>
      <c r="D127" s="238"/>
      <c r="E127" s="238"/>
      <c r="F127" s="239"/>
      <c r="G127" s="349"/>
      <c r="H127" s="350"/>
      <c r="I127" s="133"/>
      <c r="J127" s="238"/>
      <c r="K127" s="238"/>
      <c r="L127" s="238"/>
      <c r="M127" s="238"/>
      <c r="N127" s="239"/>
      <c r="O127" s="349"/>
      <c r="P127" s="350"/>
    </row>
    <row r="128" spans="1:16" ht="15.75" thickBot="1" x14ac:dyDescent="0.3">
      <c r="A128" s="133"/>
      <c r="B128" s="224" t="s">
        <v>5408</v>
      </c>
      <c r="C128" s="193" t="s">
        <v>867</v>
      </c>
      <c r="D128" s="193" t="s">
        <v>6</v>
      </c>
      <c r="E128" s="193" t="s">
        <v>870</v>
      </c>
      <c r="F128" s="193" t="s">
        <v>5409</v>
      </c>
      <c r="G128" s="343" t="s">
        <v>868</v>
      </c>
      <c r="H128" s="341"/>
      <c r="I128" s="133"/>
      <c r="J128" s="224" t="s">
        <v>5408</v>
      </c>
      <c r="K128" s="193" t="s">
        <v>867</v>
      </c>
      <c r="L128" s="193" t="s">
        <v>6</v>
      </c>
      <c r="M128" s="193" t="s">
        <v>870</v>
      </c>
      <c r="N128" s="193" t="s">
        <v>5409</v>
      </c>
      <c r="O128" s="343" t="s">
        <v>868</v>
      </c>
      <c r="P128" s="341"/>
    </row>
    <row r="129" spans="1:16" x14ac:dyDescent="0.25">
      <c r="A129" s="133"/>
      <c r="B129" s="242" t="s">
        <v>5549</v>
      </c>
      <c r="C129" s="202" t="s">
        <v>5550</v>
      </c>
      <c r="D129" s="226">
        <v>260</v>
      </c>
      <c r="E129" s="228">
        <v>520</v>
      </c>
      <c r="F129" s="169">
        <v>0.1</v>
      </c>
      <c r="G129" s="351">
        <f>+D129*E129*(1+F129)</f>
        <v>148720</v>
      </c>
      <c r="H129" s="341"/>
      <c r="I129" s="133"/>
      <c r="J129" s="242" t="s">
        <v>5549</v>
      </c>
      <c r="K129" s="202" t="s">
        <v>5550</v>
      </c>
      <c r="L129" s="226">
        <v>260</v>
      </c>
      <c r="M129" s="228">
        <v>520</v>
      </c>
      <c r="N129" s="169">
        <v>0.1</v>
      </c>
      <c r="O129" s="351">
        <f>+L129*M129*(1+N129)</f>
        <v>148720</v>
      </c>
      <c r="P129" s="341"/>
    </row>
    <row r="130" spans="1:16" x14ac:dyDescent="0.25">
      <c r="A130" s="133"/>
      <c r="B130" s="243" t="s">
        <v>5551</v>
      </c>
      <c r="C130" s="202" t="s">
        <v>5542</v>
      </c>
      <c r="D130" s="202">
        <v>0.625</v>
      </c>
      <c r="E130" s="228">
        <v>86000</v>
      </c>
      <c r="F130" s="169">
        <v>0.1</v>
      </c>
      <c r="G130" s="351">
        <f>+D130*E130*(1+F130)</f>
        <v>59125.000000000007</v>
      </c>
      <c r="H130" s="341"/>
      <c r="I130" s="133"/>
      <c r="J130" s="243" t="s">
        <v>5551</v>
      </c>
      <c r="K130" s="202" t="s">
        <v>5542</v>
      </c>
      <c r="L130" s="202">
        <v>0.625</v>
      </c>
      <c r="M130" s="228">
        <v>86000</v>
      </c>
      <c r="N130" s="169">
        <v>0.1</v>
      </c>
      <c r="O130" s="351">
        <f>+L130*M130*(1+N130)</f>
        <v>59125.000000000007</v>
      </c>
      <c r="P130" s="341"/>
    </row>
    <row r="131" spans="1:16" x14ac:dyDescent="0.25">
      <c r="A131" s="133"/>
      <c r="B131" s="243" t="s">
        <v>5552</v>
      </c>
      <c r="C131" s="226" t="s">
        <v>5542</v>
      </c>
      <c r="D131" s="226">
        <v>0.83499999999999996</v>
      </c>
      <c r="E131" s="228">
        <v>80000</v>
      </c>
      <c r="F131" s="169">
        <v>0.1</v>
      </c>
      <c r="G131" s="351">
        <f>+D131*E131*(1+F131)</f>
        <v>73480</v>
      </c>
      <c r="H131" s="341"/>
      <c r="I131" s="133"/>
      <c r="J131" s="243" t="s">
        <v>5552</v>
      </c>
      <c r="K131" s="226" t="s">
        <v>5542</v>
      </c>
      <c r="L131" s="226">
        <v>0.83499999999999996</v>
      </c>
      <c r="M131" s="228">
        <v>80000</v>
      </c>
      <c r="N131" s="169">
        <v>0.1</v>
      </c>
      <c r="O131" s="351">
        <f>+L131*M131*(1+N131)</f>
        <v>73480</v>
      </c>
      <c r="P131" s="341"/>
    </row>
    <row r="132" spans="1:16" x14ac:dyDescent="0.25">
      <c r="A132" s="133"/>
      <c r="B132" s="194" t="s">
        <v>5553</v>
      </c>
      <c r="C132" s="226" t="s">
        <v>5488</v>
      </c>
      <c r="D132" s="226">
        <f>260*175/350</f>
        <v>130</v>
      </c>
      <c r="E132" s="352">
        <v>10</v>
      </c>
      <c r="F132" s="169">
        <v>0.1</v>
      </c>
      <c r="G132" s="351">
        <f>+D132*E132*(1+F132)</f>
        <v>1430.0000000000002</v>
      </c>
      <c r="H132" s="341"/>
      <c r="I132" s="133"/>
      <c r="J132" s="194" t="s">
        <v>5553</v>
      </c>
      <c r="K132" s="226" t="s">
        <v>5488</v>
      </c>
      <c r="L132" s="226">
        <f>260*175/350</f>
        <v>130</v>
      </c>
      <c r="M132" s="352">
        <v>10</v>
      </c>
      <c r="N132" s="169">
        <v>0.1</v>
      </c>
      <c r="O132" s="351">
        <f>+L132*M132*(1+N132)</f>
        <v>1430.0000000000002</v>
      </c>
      <c r="P132" s="341"/>
    </row>
    <row r="133" spans="1:16" x14ac:dyDescent="0.25">
      <c r="A133" s="133"/>
      <c r="B133" s="195"/>
      <c r="C133" s="226"/>
      <c r="D133" s="226"/>
      <c r="E133" s="345"/>
      <c r="F133" s="169"/>
      <c r="G133" s="351"/>
      <c r="H133" s="341"/>
      <c r="I133" s="133"/>
      <c r="J133" s="195"/>
      <c r="K133" s="226"/>
      <c r="L133" s="226"/>
      <c r="M133" s="345"/>
      <c r="N133" s="169"/>
      <c r="O133" s="351"/>
      <c r="P133" s="341"/>
    </row>
    <row r="134" spans="1:16" x14ac:dyDescent="0.25">
      <c r="A134" s="133"/>
      <c r="B134" s="194"/>
      <c r="C134" s="202"/>
      <c r="D134" s="202"/>
      <c r="E134" s="345"/>
      <c r="F134" s="169"/>
      <c r="G134" s="351"/>
      <c r="H134" s="341"/>
      <c r="I134" s="133"/>
      <c r="J134" s="194"/>
      <c r="K134" s="202"/>
      <c r="L134" s="202"/>
      <c r="M134" s="345"/>
      <c r="N134" s="169"/>
      <c r="O134" s="351"/>
      <c r="P134" s="341"/>
    </row>
    <row r="135" spans="1:16" x14ac:dyDescent="0.25">
      <c r="A135" s="133"/>
      <c r="B135" s="195"/>
      <c r="C135" s="226"/>
      <c r="D135" s="226"/>
      <c r="E135" s="345"/>
      <c r="F135" s="169"/>
      <c r="G135" s="351"/>
      <c r="H135" s="341"/>
      <c r="I135" s="133"/>
      <c r="J135" s="195"/>
      <c r="K135" s="226"/>
      <c r="L135" s="226"/>
      <c r="M135" s="345"/>
      <c r="N135" s="169"/>
      <c r="O135" s="351"/>
      <c r="P135" s="341"/>
    </row>
    <row r="136" spans="1:16" x14ac:dyDescent="0.25">
      <c r="A136" s="133"/>
      <c r="B136" s="195"/>
      <c r="C136" s="226"/>
      <c r="D136" s="226"/>
      <c r="E136" s="345"/>
      <c r="F136" s="169"/>
      <c r="G136" s="351"/>
      <c r="H136" s="341"/>
      <c r="I136" s="133"/>
      <c r="J136" s="195"/>
      <c r="K136" s="226"/>
      <c r="L136" s="226"/>
      <c r="M136" s="345"/>
      <c r="N136" s="169"/>
      <c r="O136" s="351"/>
      <c r="P136" s="341"/>
    </row>
    <row r="137" spans="1:16" x14ac:dyDescent="0.25">
      <c r="A137" s="133"/>
      <c r="B137" s="195"/>
      <c r="C137" s="232"/>
      <c r="D137" s="232"/>
      <c r="E137" s="232"/>
      <c r="F137" s="226"/>
      <c r="G137" s="344"/>
      <c r="H137" s="341"/>
      <c r="I137" s="133"/>
      <c r="J137" s="195"/>
      <c r="K137" s="232"/>
      <c r="L137" s="232"/>
      <c r="M137" s="232"/>
      <c r="N137" s="226"/>
      <c r="O137" s="344"/>
      <c r="P137" s="341"/>
    </row>
    <row r="138" spans="1:16" x14ac:dyDescent="0.25">
      <c r="A138" s="133"/>
      <c r="B138" s="195"/>
      <c r="C138" s="232"/>
      <c r="D138" s="232"/>
      <c r="E138" s="232"/>
      <c r="F138" s="226"/>
      <c r="G138" s="344"/>
      <c r="H138" s="341"/>
      <c r="I138" s="133"/>
      <c r="J138" s="195"/>
      <c r="K138" s="232"/>
      <c r="L138" s="232"/>
      <c r="M138" s="232"/>
      <c r="N138" s="226"/>
      <c r="O138" s="344"/>
      <c r="P138" s="341"/>
    </row>
    <row r="139" spans="1:16" x14ac:dyDescent="0.25">
      <c r="A139" s="133"/>
      <c r="B139" s="195"/>
      <c r="C139" s="232"/>
      <c r="D139" s="232"/>
      <c r="E139" s="232"/>
      <c r="F139" s="226"/>
      <c r="G139" s="344"/>
      <c r="H139" s="341"/>
      <c r="I139" s="133"/>
      <c r="J139" s="195"/>
      <c r="K139" s="232"/>
      <c r="L139" s="232"/>
      <c r="M139" s="232"/>
      <c r="N139" s="226"/>
      <c r="O139" s="344"/>
      <c r="P139" s="341"/>
    </row>
    <row r="140" spans="1:16" ht="15.75" thickBot="1" x14ac:dyDescent="0.3">
      <c r="A140" s="133"/>
      <c r="B140" s="195"/>
      <c r="C140" s="232"/>
      <c r="D140" s="232"/>
      <c r="E140" s="232"/>
      <c r="F140" s="226"/>
      <c r="G140" s="344"/>
      <c r="H140" s="341"/>
      <c r="I140" s="133"/>
      <c r="J140" s="195"/>
      <c r="K140" s="232"/>
      <c r="L140" s="232"/>
      <c r="M140" s="232"/>
      <c r="N140" s="226"/>
      <c r="O140" s="344"/>
      <c r="P140" s="341"/>
    </row>
    <row r="141" spans="1:16" ht="15.75" thickBot="1" x14ac:dyDescent="0.3">
      <c r="A141" s="133"/>
      <c r="B141" s="233"/>
      <c r="C141" s="234"/>
      <c r="D141" s="234"/>
      <c r="E141" s="234"/>
      <c r="F141" s="235"/>
      <c r="G141" s="347"/>
      <c r="H141" s="348">
        <f>+SUM(G129:G141)</f>
        <v>282755</v>
      </c>
      <c r="I141" s="133"/>
      <c r="J141" s="233"/>
      <c r="K141" s="234"/>
      <c r="L141" s="234"/>
      <c r="M141" s="234"/>
      <c r="N141" s="235"/>
      <c r="O141" s="347"/>
      <c r="P141" s="348">
        <f>+SUM(O129:O141)</f>
        <v>282755</v>
      </c>
    </row>
    <row r="142" spans="1:16" ht="15.75" thickBot="1" x14ac:dyDescent="0.3">
      <c r="A142" s="133"/>
      <c r="B142" s="238"/>
      <c r="C142" s="238"/>
      <c r="D142" s="238"/>
      <c r="E142" s="238"/>
      <c r="F142" s="239"/>
      <c r="G142" s="349"/>
      <c r="H142" s="350"/>
      <c r="I142" s="133"/>
      <c r="J142" s="238"/>
      <c r="K142" s="238"/>
      <c r="L142" s="238"/>
      <c r="M142" s="238"/>
      <c r="N142" s="239"/>
      <c r="O142" s="349"/>
      <c r="P142" s="350"/>
    </row>
    <row r="143" spans="1:16" ht="15.75" thickBot="1" x14ac:dyDescent="0.3">
      <c r="A143" s="133"/>
      <c r="B143" s="224" t="s">
        <v>5410</v>
      </c>
      <c r="C143" s="193" t="s">
        <v>867</v>
      </c>
      <c r="D143" s="193" t="s">
        <v>6</v>
      </c>
      <c r="E143" s="193" t="s">
        <v>870</v>
      </c>
      <c r="F143" s="193" t="s">
        <v>5411</v>
      </c>
      <c r="G143" s="343" t="s">
        <v>868</v>
      </c>
      <c r="H143" s="341"/>
      <c r="I143" s="133"/>
      <c r="J143" s="224" t="s">
        <v>5410</v>
      </c>
      <c r="K143" s="193" t="s">
        <v>867</v>
      </c>
      <c r="L143" s="193" t="s">
        <v>6</v>
      </c>
      <c r="M143" s="193" t="s">
        <v>870</v>
      </c>
      <c r="N143" s="193" t="s">
        <v>5411</v>
      </c>
      <c r="O143" s="343" t="s">
        <v>868</v>
      </c>
      <c r="P143" s="341"/>
    </row>
    <row r="144" spans="1:16" x14ac:dyDescent="0.25">
      <c r="A144" s="133"/>
      <c r="B144" s="245"/>
      <c r="C144" s="202"/>
      <c r="D144" s="202"/>
      <c r="E144" s="353"/>
      <c r="F144" s="202"/>
      <c r="G144" s="354"/>
      <c r="H144" s="355"/>
      <c r="I144" s="133"/>
      <c r="J144" s="245"/>
      <c r="K144" s="202"/>
      <c r="L144" s="202"/>
      <c r="M144" s="353"/>
      <c r="N144" s="202"/>
      <c r="O144" s="354"/>
      <c r="P144" s="355"/>
    </row>
    <row r="145" spans="1:16" x14ac:dyDescent="0.25">
      <c r="A145" s="133"/>
      <c r="B145" s="247"/>
      <c r="C145" s="248"/>
      <c r="D145" s="248"/>
      <c r="E145" s="248"/>
      <c r="F145" s="202"/>
      <c r="G145" s="351"/>
      <c r="H145" s="341"/>
      <c r="I145" s="133"/>
      <c r="J145" s="247"/>
      <c r="K145" s="248"/>
      <c r="L145" s="248"/>
      <c r="M145" s="248"/>
      <c r="N145" s="202"/>
      <c r="O145" s="351"/>
      <c r="P145" s="341"/>
    </row>
    <row r="146" spans="1:16" x14ac:dyDescent="0.25">
      <c r="A146" s="133"/>
      <c r="B146" s="247"/>
      <c r="C146" s="232"/>
      <c r="D146" s="232"/>
      <c r="E146" s="232"/>
      <c r="F146" s="226"/>
      <c r="G146" s="344"/>
      <c r="H146" s="341"/>
      <c r="I146" s="133"/>
      <c r="J146" s="247"/>
      <c r="K146" s="232"/>
      <c r="L146" s="232"/>
      <c r="M146" s="232"/>
      <c r="N146" s="226"/>
      <c r="O146" s="344"/>
      <c r="P146" s="341"/>
    </row>
    <row r="147" spans="1:16" x14ac:dyDescent="0.25">
      <c r="A147" s="133"/>
      <c r="B147" s="194"/>
      <c r="C147" s="232"/>
      <c r="D147" s="232"/>
      <c r="E147" s="232"/>
      <c r="F147" s="226"/>
      <c r="G147" s="344"/>
      <c r="H147" s="341"/>
      <c r="I147" s="133"/>
      <c r="J147" s="194"/>
      <c r="K147" s="232"/>
      <c r="L147" s="232"/>
      <c r="M147" s="232"/>
      <c r="N147" s="226"/>
      <c r="O147" s="344"/>
      <c r="P147" s="341"/>
    </row>
    <row r="148" spans="1:16" ht="15.75" thickBot="1" x14ac:dyDescent="0.3">
      <c r="A148" s="133"/>
      <c r="B148" s="195"/>
      <c r="C148" s="232"/>
      <c r="D148" s="232"/>
      <c r="E148" s="232"/>
      <c r="F148" s="226"/>
      <c r="G148" s="344"/>
      <c r="H148" s="341"/>
      <c r="I148" s="133"/>
      <c r="J148" s="195"/>
      <c r="K148" s="232"/>
      <c r="L148" s="232"/>
      <c r="M148" s="232"/>
      <c r="N148" s="226"/>
      <c r="O148" s="344"/>
      <c r="P148" s="341"/>
    </row>
    <row r="149" spans="1:16" ht="15.75" thickBot="1" x14ac:dyDescent="0.3">
      <c r="A149" s="133"/>
      <c r="B149" s="233"/>
      <c r="C149" s="234"/>
      <c r="D149" s="234"/>
      <c r="E149" s="234"/>
      <c r="F149" s="235"/>
      <c r="G149" s="347"/>
      <c r="H149" s="348">
        <f>+SUM(G144:G149)</f>
        <v>0</v>
      </c>
      <c r="I149" s="133"/>
      <c r="J149" s="233"/>
      <c r="K149" s="234"/>
      <c r="L149" s="234"/>
      <c r="M149" s="234"/>
      <c r="N149" s="235"/>
      <c r="O149" s="347"/>
      <c r="P149" s="348">
        <f>+SUM(O144:O149)</f>
        <v>0</v>
      </c>
    </row>
    <row r="150" spans="1:16" ht="15.75" thickBot="1" x14ac:dyDescent="0.3">
      <c r="A150" s="133"/>
      <c r="B150" s="238"/>
      <c r="C150" s="238"/>
      <c r="D150" s="238"/>
      <c r="E150" s="238"/>
      <c r="F150" s="249"/>
      <c r="G150" s="356"/>
      <c r="H150" s="350"/>
      <c r="I150" s="133"/>
      <c r="J150" s="238"/>
      <c r="K150" s="238"/>
      <c r="L150" s="238"/>
      <c r="M150" s="238"/>
      <c r="N150" s="249"/>
      <c r="O150" s="356"/>
      <c r="P150" s="350"/>
    </row>
    <row r="151" spans="1:16" ht="15.75" thickBot="1" x14ac:dyDescent="0.3">
      <c r="A151" s="133"/>
      <c r="B151" s="224" t="s">
        <v>5412</v>
      </c>
      <c r="C151" s="193" t="s">
        <v>5420</v>
      </c>
      <c r="D151" s="193" t="s">
        <v>5421</v>
      </c>
      <c r="E151" s="193" t="s">
        <v>5413</v>
      </c>
      <c r="F151" s="193" t="s">
        <v>5405</v>
      </c>
      <c r="G151" s="343" t="s">
        <v>868</v>
      </c>
      <c r="H151" s="341"/>
      <c r="I151" s="133"/>
      <c r="J151" s="224" t="s">
        <v>5412</v>
      </c>
      <c r="K151" s="193" t="s">
        <v>5420</v>
      </c>
      <c r="L151" s="193" t="s">
        <v>5421</v>
      </c>
      <c r="M151" s="193" t="s">
        <v>5413</v>
      </c>
      <c r="N151" s="193" t="s">
        <v>5405</v>
      </c>
      <c r="O151" s="343" t="s">
        <v>868</v>
      </c>
      <c r="P151" s="341"/>
    </row>
    <row r="152" spans="1:16" x14ac:dyDescent="0.25">
      <c r="A152" s="133"/>
      <c r="B152" s="194" t="s">
        <v>5948</v>
      </c>
      <c r="C152" s="345">
        <v>70000</v>
      </c>
      <c r="D152" s="345">
        <f>+C152*0.85</f>
        <v>59500</v>
      </c>
      <c r="E152" s="353">
        <f>+C152+D152</f>
        <v>129500</v>
      </c>
      <c r="F152" s="209">
        <v>100</v>
      </c>
      <c r="G152" s="351">
        <f>+E152/F152</f>
        <v>1295</v>
      </c>
      <c r="H152" s="341"/>
      <c r="I152" s="133"/>
      <c r="J152" s="194" t="s">
        <v>5948</v>
      </c>
      <c r="K152" s="345">
        <v>70000</v>
      </c>
      <c r="L152" s="345">
        <f>+K152*0.85</f>
        <v>59500</v>
      </c>
      <c r="M152" s="353">
        <f>+K152+L152</f>
        <v>129500</v>
      </c>
      <c r="N152" s="209">
        <v>10</v>
      </c>
      <c r="O152" s="351">
        <f>+M152/N152</f>
        <v>12950</v>
      </c>
      <c r="P152" s="341"/>
    </row>
    <row r="153" spans="1:16" x14ac:dyDescent="0.25">
      <c r="A153" s="133"/>
      <c r="B153" s="194" t="s">
        <v>5949</v>
      </c>
      <c r="C153" s="345">
        <v>40000</v>
      </c>
      <c r="D153" s="345">
        <f>+C153*0.85</f>
        <v>34000</v>
      </c>
      <c r="E153" s="353">
        <f>+C153+D153</f>
        <v>74000</v>
      </c>
      <c r="F153" s="202">
        <v>20</v>
      </c>
      <c r="G153" s="351">
        <f>+E153/F153</f>
        <v>3700</v>
      </c>
      <c r="H153" s="341"/>
      <c r="I153" s="133"/>
      <c r="J153" s="194" t="s">
        <v>5949</v>
      </c>
      <c r="K153" s="345">
        <v>40000</v>
      </c>
      <c r="L153" s="345">
        <f>+K153*0.85</f>
        <v>34000</v>
      </c>
      <c r="M153" s="353">
        <f>+K153+L153</f>
        <v>74000</v>
      </c>
      <c r="N153" s="202">
        <v>2</v>
      </c>
      <c r="O153" s="351">
        <f>+M153/N153</f>
        <v>37000</v>
      </c>
      <c r="P153" s="341"/>
    </row>
    <row r="154" spans="1:16" x14ac:dyDescent="0.25">
      <c r="A154" s="133"/>
      <c r="B154" s="195" t="s">
        <v>5635</v>
      </c>
      <c r="C154" s="345">
        <v>20600</v>
      </c>
      <c r="D154" s="345">
        <f>+C154*0.85</f>
        <v>17510</v>
      </c>
      <c r="E154" s="353">
        <f>+C154+D154</f>
        <v>38110</v>
      </c>
      <c r="F154" s="226">
        <v>4</v>
      </c>
      <c r="G154" s="351">
        <f>+E154/F154</f>
        <v>9527.5</v>
      </c>
      <c r="H154" s="341"/>
      <c r="I154" s="133"/>
      <c r="J154" s="195" t="s">
        <v>5635</v>
      </c>
      <c r="K154" s="345">
        <v>20600</v>
      </c>
      <c r="L154" s="345">
        <f>+K154*0.85</f>
        <v>17510</v>
      </c>
      <c r="M154" s="353">
        <f>+K154+L154</f>
        <v>38110</v>
      </c>
      <c r="N154" s="226">
        <v>1</v>
      </c>
      <c r="O154" s="351">
        <f>+M154/N154</f>
        <v>38110</v>
      </c>
      <c r="P154" s="341"/>
    </row>
    <row r="155" spans="1:16" x14ac:dyDescent="0.25">
      <c r="A155" s="133"/>
      <c r="B155" s="195"/>
      <c r="C155" s="346"/>
      <c r="D155" s="345"/>
      <c r="E155" s="345"/>
      <c r="F155" s="226"/>
      <c r="G155" s="351"/>
      <c r="H155" s="341"/>
      <c r="I155" s="133"/>
      <c r="J155" s="195"/>
      <c r="K155" s="346"/>
      <c r="L155" s="345"/>
      <c r="M155" s="345"/>
      <c r="N155" s="226"/>
      <c r="O155" s="351"/>
      <c r="P155" s="341"/>
    </row>
    <row r="156" spans="1:16" x14ac:dyDescent="0.25">
      <c r="A156" s="133"/>
      <c r="B156" s="195"/>
      <c r="C156" s="232"/>
      <c r="D156" s="232"/>
      <c r="E156" s="232"/>
      <c r="F156" s="226"/>
      <c r="G156" s="344"/>
      <c r="H156" s="341"/>
      <c r="I156" s="133"/>
      <c r="J156" s="195"/>
      <c r="K156" s="232"/>
      <c r="L156" s="232"/>
      <c r="M156" s="232"/>
      <c r="N156" s="226"/>
      <c r="O156" s="344"/>
      <c r="P156" s="341"/>
    </row>
    <row r="157" spans="1:16" ht="15.75" thickBot="1" x14ac:dyDescent="0.3">
      <c r="A157" s="133"/>
      <c r="B157" s="195"/>
      <c r="C157" s="232"/>
      <c r="D157" s="232"/>
      <c r="E157" s="232"/>
      <c r="F157" s="226"/>
      <c r="G157" s="344"/>
      <c r="H157" s="341"/>
      <c r="I157" s="133"/>
      <c r="J157" s="195"/>
      <c r="K157" s="232"/>
      <c r="L157" s="232"/>
      <c r="M157" s="232"/>
      <c r="N157" s="226"/>
      <c r="O157" s="344"/>
      <c r="P157" s="341"/>
    </row>
    <row r="158" spans="1:16" ht="15.75" thickBot="1" x14ac:dyDescent="0.3">
      <c r="A158" s="133"/>
      <c r="B158" s="251"/>
      <c r="C158" s="252"/>
      <c r="D158" s="252"/>
      <c r="E158" s="252"/>
      <c r="F158" s="253"/>
      <c r="G158" s="357"/>
      <c r="H158" s="348">
        <f>+SUM(G152:G158)</f>
        <v>14522.5</v>
      </c>
      <c r="I158" s="133"/>
      <c r="J158" s="251"/>
      <c r="K158" s="252"/>
      <c r="L158" s="252"/>
      <c r="M158" s="252"/>
      <c r="N158" s="253"/>
      <c r="O158" s="357"/>
      <c r="P158" s="348">
        <f>+SUM(O152:O158)</f>
        <v>88060</v>
      </c>
    </row>
    <row r="159" spans="1:16" ht="15.75" thickBot="1" x14ac:dyDescent="0.3">
      <c r="A159" s="133"/>
      <c r="B159" s="8"/>
      <c r="C159" s="8"/>
      <c r="D159" s="8"/>
      <c r="E159" s="8"/>
      <c r="F159" s="133"/>
      <c r="G159" s="341"/>
      <c r="H159" s="341"/>
      <c r="I159" s="133"/>
      <c r="J159" s="8"/>
      <c r="K159" s="8"/>
      <c r="L159" s="8"/>
      <c r="M159" s="8"/>
      <c r="N159" s="133"/>
      <c r="O159" s="341"/>
      <c r="P159" s="341"/>
    </row>
    <row r="160" spans="1:16" ht="15.75" thickBot="1" x14ac:dyDescent="0.3">
      <c r="A160" s="133"/>
      <c r="B160" s="8"/>
      <c r="C160" s="8"/>
      <c r="D160" s="8"/>
      <c r="E160" s="223"/>
      <c r="F160" s="133"/>
      <c r="G160" s="341"/>
      <c r="H160" s="348">
        <f>+H158+H149+H141+H126</f>
        <v>301336.95833333331</v>
      </c>
      <c r="I160" s="133"/>
      <c r="J160" s="8"/>
      <c r="K160" s="8"/>
      <c r="L160" s="8"/>
      <c r="M160" s="223"/>
      <c r="N160" s="133"/>
      <c r="O160" s="341"/>
      <c r="P160" s="348">
        <f>+P158+P149+P141+P126</f>
        <v>378551.33333333331</v>
      </c>
    </row>
    <row r="161" spans="1:16" x14ac:dyDescent="0.25">
      <c r="M161" s="265"/>
    </row>
    <row r="162" spans="1:16" x14ac:dyDescent="0.25">
      <c r="H162" s="273"/>
      <c r="M162" s="265"/>
      <c r="P162" s="273"/>
    </row>
    <row r="163" spans="1:16" x14ac:dyDescent="0.25">
      <c r="A163" s="255"/>
      <c r="I163" s="255"/>
      <c r="M163" s="265"/>
    </row>
    <row r="164" spans="1:16" x14ac:dyDescent="0.25">
      <c r="A164" s="255"/>
      <c r="I164" s="255"/>
      <c r="M164" s="265"/>
    </row>
    <row r="165" spans="1:16" ht="18.75" x14ac:dyDescent="0.25">
      <c r="A165" s="133"/>
      <c r="B165" s="2506" t="s">
        <v>5400</v>
      </c>
      <c r="C165" s="2506"/>
      <c r="D165" s="2506"/>
      <c r="E165" s="2506"/>
      <c r="F165" s="2506"/>
      <c r="G165" s="2506"/>
      <c r="H165" s="8"/>
      <c r="I165" s="133"/>
      <c r="J165" s="2506" t="s">
        <v>5400</v>
      </c>
      <c r="K165" s="2506"/>
      <c r="L165" s="2506"/>
      <c r="M165" s="2506"/>
      <c r="N165" s="2506"/>
      <c r="O165" s="2506"/>
      <c r="P165" s="8"/>
    </row>
    <row r="166" spans="1:16" x14ac:dyDescent="0.25">
      <c r="A166" s="133"/>
      <c r="B166" s="8"/>
      <c r="C166" s="8"/>
      <c r="D166" s="8"/>
      <c r="E166" s="8"/>
      <c r="F166" s="133"/>
      <c r="G166" s="341"/>
      <c r="H166" s="341"/>
      <c r="I166" s="133"/>
      <c r="J166" s="8"/>
      <c r="K166" s="8"/>
      <c r="L166" s="8"/>
      <c r="M166" s="8"/>
      <c r="N166" s="133"/>
      <c r="O166" s="341"/>
      <c r="P166" s="341"/>
    </row>
    <row r="167" spans="1:16" x14ac:dyDescent="0.25">
      <c r="A167" s="133"/>
      <c r="B167" s="8"/>
      <c r="C167" s="8"/>
      <c r="D167" s="8"/>
      <c r="E167" s="8"/>
      <c r="F167" s="133"/>
      <c r="G167" s="341"/>
      <c r="H167" s="341"/>
      <c r="I167" s="133"/>
      <c r="J167" s="8"/>
      <c r="K167" s="8"/>
      <c r="L167" s="8"/>
      <c r="M167" s="8"/>
      <c r="N167" s="133"/>
      <c r="O167" s="341"/>
      <c r="P167" s="341"/>
    </row>
    <row r="168" spans="1:16" x14ac:dyDescent="0.25">
      <c r="A168" s="133"/>
      <c r="B168" s="8"/>
      <c r="C168" s="8"/>
      <c r="D168" s="8"/>
      <c r="E168" s="8"/>
      <c r="F168" s="133"/>
      <c r="G168" s="341"/>
      <c r="H168" s="341"/>
      <c r="I168" s="133"/>
      <c r="J168" s="8"/>
      <c r="K168" s="8"/>
      <c r="L168" s="8"/>
      <c r="M168" s="8"/>
      <c r="N168" s="133"/>
      <c r="O168" s="341"/>
      <c r="P168" s="341"/>
    </row>
    <row r="169" spans="1:16" ht="15" customHeight="1" x14ac:dyDescent="0.25">
      <c r="A169" s="220" t="s">
        <v>5482</v>
      </c>
      <c r="B169" s="221" t="s">
        <v>596</v>
      </c>
      <c r="C169" s="2449" t="s">
        <v>6023</v>
      </c>
      <c r="D169" s="2449"/>
      <c r="E169" s="2449"/>
      <c r="F169" s="220" t="s">
        <v>867</v>
      </c>
      <c r="G169" s="342" t="s">
        <v>5454</v>
      </c>
      <c r="H169" s="341"/>
      <c r="I169" s="220" t="s">
        <v>5482</v>
      </c>
      <c r="J169" s="221" t="s">
        <v>596</v>
      </c>
      <c r="K169" s="2449" t="s">
        <v>6024</v>
      </c>
      <c r="L169" s="2449"/>
      <c r="M169" s="2449"/>
      <c r="N169" s="220" t="s">
        <v>867</v>
      </c>
      <c r="O169" s="342" t="s">
        <v>5454</v>
      </c>
      <c r="P169" s="341"/>
    </row>
    <row r="170" spans="1:16" x14ac:dyDescent="0.25">
      <c r="A170" s="133"/>
      <c r="B170" s="8"/>
      <c r="C170" s="223"/>
      <c r="D170" s="223"/>
      <c r="E170" s="223"/>
      <c r="F170" s="133"/>
      <c r="G170" s="341"/>
      <c r="H170" s="341"/>
      <c r="I170" s="133"/>
      <c r="J170" s="8"/>
      <c r="K170" s="223"/>
      <c r="L170" s="223"/>
      <c r="M170" s="223"/>
      <c r="N170" s="133"/>
      <c r="O170" s="341"/>
      <c r="P170" s="341"/>
    </row>
    <row r="171" spans="1:16" x14ac:dyDescent="0.25">
      <c r="A171" s="133"/>
      <c r="B171" s="8"/>
      <c r="C171" s="8"/>
      <c r="D171" s="8"/>
      <c r="E171" s="8"/>
      <c r="F171" s="8"/>
      <c r="G171" s="8"/>
      <c r="H171" s="341"/>
      <c r="I171" s="133"/>
      <c r="J171" s="8"/>
      <c r="K171" s="8"/>
      <c r="L171" s="8"/>
      <c r="M171" s="8"/>
      <c r="N171" s="8"/>
      <c r="O171" s="8"/>
      <c r="P171" s="341"/>
    </row>
    <row r="172" spans="1:16" ht="15.75" thickBot="1" x14ac:dyDescent="0.3">
      <c r="A172" s="133"/>
      <c r="B172" s="8"/>
      <c r="C172" s="8"/>
      <c r="D172" s="8"/>
      <c r="E172" s="8"/>
      <c r="F172" s="133"/>
      <c r="G172" s="341"/>
      <c r="H172" s="341"/>
      <c r="I172" s="133"/>
      <c r="J172" s="8"/>
      <c r="K172" s="8"/>
      <c r="L172" s="8"/>
      <c r="M172" s="8"/>
      <c r="N172" s="133"/>
      <c r="O172" s="341"/>
      <c r="P172" s="341"/>
    </row>
    <row r="173" spans="1:16" ht="15.75" thickBot="1" x14ac:dyDescent="0.3">
      <c r="A173" s="133"/>
      <c r="B173" s="224" t="s">
        <v>5403</v>
      </c>
      <c r="C173" s="193" t="s">
        <v>867</v>
      </c>
      <c r="D173" s="193" t="s">
        <v>6</v>
      </c>
      <c r="E173" s="193" t="s">
        <v>5439</v>
      </c>
      <c r="F173" s="193" t="s">
        <v>5405</v>
      </c>
      <c r="G173" s="343" t="s">
        <v>868</v>
      </c>
      <c r="H173" s="341"/>
      <c r="I173" s="133"/>
      <c r="J173" s="224" t="s">
        <v>5403</v>
      </c>
      <c r="K173" s="193" t="s">
        <v>867</v>
      </c>
      <c r="L173" s="193" t="s">
        <v>6</v>
      </c>
      <c r="M173" s="193" t="s">
        <v>5439</v>
      </c>
      <c r="N173" s="193" t="s">
        <v>5405</v>
      </c>
      <c r="O173" s="343" t="s">
        <v>868</v>
      </c>
      <c r="P173" s="341"/>
    </row>
    <row r="174" spans="1:16" x14ac:dyDescent="0.25">
      <c r="A174" s="133"/>
      <c r="B174" s="195" t="s">
        <v>5440</v>
      </c>
      <c r="C174" s="226" t="s">
        <v>5402</v>
      </c>
      <c r="D174" s="226">
        <v>1</v>
      </c>
      <c r="E174" s="228">
        <f>+H212</f>
        <v>17698.333333333336</v>
      </c>
      <c r="F174" s="226">
        <v>0.05</v>
      </c>
      <c r="G174" s="344">
        <f>+E174*F174</f>
        <v>884.91666666666686</v>
      </c>
      <c r="H174" s="341"/>
      <c r="I174" s="133"/>
      <c r="J174" s="195" t="s">
        <v>5440</v>
      </c>
      <c r="K174" s="226" t="s">
        <v>5402</v>
      </c>
      <c r="L174" s="226">
        <v>1</v>
      </c>
      <c r="M174" s="228">
        <f>+P212</f>
        <v>125060</v>
      </c>
      <c r="N174" s="226">
        <v>0.05</v>
      </c>
      <c r="O174" s="344">
        <f>+M174*N174</f>
        <v>6253</v>
      </c>
      <c r="P174" s="341"/>
    </row>
    <row r="175" spans="1:16" x14ac:dyDescent="0.25">
      <c r="A175" s="133"/>
      <c r="B175" s="195" t="s">
        <v>5548</v>
      </c>
      <c r="C175" s="226" t="s">
        <v>5542</v>
      </c>
      <c r="D175" s="226">
        <v>1</v>
      </c>
      <c r="E175" s="228">
        <v>10000</v>
      </c>
      <c r="F175" s="226">
        <v>2.5</v>
      </c>
      <c r="G175" s="344">
        <f>+D175*E175/F175</f>
        <v>4000</v>
      </c>
      <c r="H175" s="341"/>
      <c r="I175" s="133"/>
      <c r="J175" s="195" t="s">
        <v>5548</v>
      </c>
      <c r="K175" s="226" t="s">
        <v>5542</v>
      </c>
      <c r="L175" s="226">
        <v>1</v>
      </c>
      <c r="M175" s="228">
        <v>10000</v>
      </c>
      <c r="N175" s="226">
        <v>2.5</v>
      </c>
      <c r="O175" s="344">
        <f>+L175*M175/N175</f>
        <v>4000</v>
      </c>
      <c r="P175" s="341"/>
    </row>
    <row r="176" spans="1:16" x14ac:dyDescent="0.25">
      <c r="A176" s="133"/>
      <c r="B176" s="195"/>
      <c r="C176" s="226"/>
      <c r="D176" s="226"/>
      <c r="E176" s="345"/>
      <c r="F176" s="226"/>
      <c r="G176" s="344"/>
      <c r="H176" s="341"/>
      <c r="I176" s="133"/>
      <c r="J176" s="195"/>
      <c r="K176" s="226"/>
      <c r="L176" s="226"/>
      <c r="M176" s="345"/>
      <c r="N176" s="226"/>
      <c r="O176" s="344"/>
      <c r="P176" s="341"/>
    </row>
    <row r="177" spans="1:16" x14ac:dyDescent="0.25">
      <c r="A177" s="133"/>
      <c r="B177" s="195"/>
      <c r="C177" s="226"/>
      <c r="D177" s="226"/>
      <c r="E177" s="346"/>
      <c r="F177" s="226"/>
      <c r="G177" s="344"/>
      <c r="H177" s="341"/>
      <c r="I177" s="133"/>
      <c r="J177" s="195"/>
      <c r="K177" s="226"/>
      <c r="L177" s="226"/>
      <c r="M177" s="346"/>
      <c r="N177" s="226"/>
      <c r="O177" s="344"/>
      <c r="P177" s="341"/>
    </row>
    <row r="178" spans="1:16" x14ac:dyDescent="0.25">
      <c r="A178" s="133"/>
      <c r="B178" s="195"/>
      <c r="C178" s="226"/>
      <c r="D178" s="232"/>
      <c r="E178" s="232"/>
      <c r="F178" s="226"/>
      <c r="G178" s="344"/>
      <c r="H178" s="341"/>
      <c r="I178" s="133"/>
      <c r="J178" s="195"/>
      <c r="K178" s="226"/>
      <c r="L178" s="232"/>
      <c r="M178" s="232"/>
      <c r="N178" s="226"/>
      <c r="O178" s="344"/>
      <c r="P178" s="341"/>
    </row>
    <row r="179" spans="1:16" ht="15.75" thickBot="1" x14ac:dyDescent="0.3">
      <c r="A179" s="133"/>
      <c r="B179" s="195"/>
      <c r="C179" s="226"/>
      <c r="D179" s="232"/>
      <c r="E179" s="232"/>
      <c r="F179" s="226"/>
      <c r="G179" s="344"/>
      <c r="H179" s="341"/>
      <c r="I179" s="133"/>
      <c r="J179" s="195"/>
      <c r="K179" s="226"/>
      <c r="L179" s="232"/>
      <c r="M179" s="232"/>
      <c r="N179" s="226"/>
      <c r="O179" s="344"/>
      <c r="P179" s="341"/>
    </row>
    <row r="180" spans="1:16" ht="15.75" thickBot="1" x14ac:dyDescent="0.3">
      <c r="A180" s="133"/>
      <c r="B180" s="233"/>
      <c r="C180" s="234"/>
      <c r="D180" s="234"/>
      <c r="E180" s="234"/>
      <c r="F180" s="235"/>
      <c r="G180" s="347"/>
      <c r="H180" s="348">
        <f>+SUM(G174:G180)</f>
        <v>4884.916666666667</v>
      </c>
      <c r="I180" s="133"/>
      <c r="J180" s="233"/>
      <c r="K180" s="234"/>
      <c r="L180" s="234"/>
      <c r="M180" s="234"/>
      <c r="N180" s="235"/>
      <c r="O180" s="347"/>
      <c r="P180" s="348">
        <f>+SUM(O174:O180)</f>
        <v>10253</v>
      </c>
    </row>
    <row r="181" spans="1:16" ht="15.75" thickBot="1" x14ac:dyDescent="0.3">
      <c r="A181" s="133"/>
      <c r="B181" s="238"/>
      <c r="C181" s="238"/>
      <c r="D181" s="238"/>
      <c r="E181" s="238"/>
      <c r="F181" s="239"/>
      <c r="G181" s="349"/>
      <c r="H181" s="350"/>
      <c r="I181" s="133"/>
      <c r="J181" s="238"/>
      <c r="K181" s="238"/>
      <c r="L181" s="238"/>
      <c r="M181" s="238"/>
      <c r="N181" s="239"/>
      <c r="O181" s="349"/>
      <c r="P181" s="350"/>
    </row>
    <row r="182" spans="1:16" ht="15.75" thickBot="1" x14ac:dyDescent="0.3">
      <c r="A182" s="133"/>
      <c r="B182" s="224" t="s">
        <v>5408</v>
      </c>
      <c r="C182" s="193" t="s">
        <v>867</v>
      </c>
      <c r="D182" s="193" t="s">
        <v>6</v>
      </c>
      <c r="E182" s="193" t="s">
        <v>870</v>
      </c>
      <c r="F182" s="193" t="s">
        <v>5409</v>
      </c>
      <c r="G182" s="343" t="s">
        <v>868</v>
      </c>
      <c r="H182" s="341"/>
      <c r="I182" s="133"/>
      <c r="J182" s="224" t="s">
        <v>5408</v>
      </c>
      <c r="K182" s="193" t="s">
        <v>867</v>
      </c>
      <c r="L182" s="193" t="s">
        <v>6</v>
      </c>
      <c r="M182" s="193" t="s">
        <v>870</v>
      </c>
      <c r="N182" s="193" t="s">
        <v>5409</v>
      </c>
      <c r="O182" s="343" t="s">
        <v>868</v>
      </c>
      <c r="P182" s="341"/>
    </row>
    <row r="183" spans="1:16" x14ac:dyDescent="0.25">
      <c r="A183" s="133"/>
      <c r="B183" s="242" t="s">
        <v>5549</v>
      </c>
      <c r="C183" s="202" t="s">
        <v>5550</v>
      </c>
      <c r="D183" s="226">
        <v>300</v>
      </c>
      <c r="E183" s="228">
        <v>520</v>
      </c>
      <c r="F183" s="169">
        <v>0.1</v>
      </c>
      <c r="G183" s="351">
        <f>+D183*E183*(1+F183)</f>
        <v>171600</v>
      </c>
      <c r="H183" s="341"/>
      <c r="I183" s="133"/>
      <c r="J183" s="242" t="s">
        <v>5549</v>
      </c>
      <c r="K183" s="202" t="s">
        <v>5550</v>
      </c>
      <c r="L183" s="226">
        <v>300</v>
      </c>
      <c r="M183" s="228">
        <v>520</v>
      </c>
      <c r="N183" s="169">
        <v>0.1</v>
      </c>
      <c r="O183" s="351">
        <f>+L183*M183*(1+N183)</f>
        <v>171600</v>
      </c>
      <c r="P183" s="341"/>
    </row>
    <row r="184" spans="1:16" x14ac:dyDescent="0.25">
      <c r="A184" s="133"/>
      <c r="B184" s="243" t="s">
        <v>5551</v>
      </c>
      <c r="C184" s="202" t="s">
        <v>5542</v>
      </c>
      <c r="D184" s="202">
        <v>0.71499999999999997</v>
      </c>
      <c r="E184" s="228">
        <v>86000</v>
      </c>
      <c r="F184" s="169">
        <v>0.1</v>
      </c>
      <c r="G184" s="351">
        <f>+D184*E184*(1+F184)</f>
        <v>67639</v>
      </c>
      <c r="H184" s="341"/>
      <c r="I184" s="133"/>
      <c r="J184" s="243" t="s">
        <v>5551</v>
      </c>
      <c r="K184" s="202" t="s">
        <v>5542</v>
      </c>
      <c r="L184" s="202">
        <v>0.71499999999999997</v>
      </c>
      <c r="M184" s="228">
        <v>86000</v>
      </c>
      <c r="N184" s="169">
        <v>0.1</v>
      </c>
      <c r="O184" s="351">
        <f>+L184*M184*(1+N184)</f>
        <v>67639</v>
      </c>
      <c r="P184" s="341"/>
    </row>
    <row r="185" spans="1:16" x14ac:dyDescent="0.25">
      <c r="A185" s="133"/>
      <c r="B185" s="243" t="s">
        <v>5552</v>
      </c>
      <c r="C185" s="226" t="s">
        <v>5542</v>
      </c>
      <c r="D185" s="226">
        <v>0.71499999999999997</v>
      </c>
      <c r="E185" s="228">
        <v>80000</v>
      </c>
      <c r="F185" s="169">
        <v>0.1</v>
      </c>
      <c r="G185" s="351">
        <f>+D185*E185*(1+F185)</f>
        <v>62920.000000000007</v>
      </c>
      <c r="H185" s="341"/>
      <c r="I185" s="133"/>
      <c r="J185" s="243" t="s">
        <v>5552</v>
      </c>
      <c r="K185" s="226" t="s">
        <v>5542</v>
      </c>
      <c r="L185" s="226">
        <v>0.71499999999999997</v>
      </c>
      <c r="M185" s="228">
        <v>80000</v>
      </c>
      <c r="N185" s="169">
        <v>0.1</v>
      </c>
      <c r="O185" s="351">
        <f>+L185*M185*(1+N185)</f>
        <v>62920.000000000007</v>
      </c>
      <c r="P185" s="341"/>
    </row>
    <row r="186" spans="1:16" x14ac:dyDescent="0.25">
      <c r="A186" s="133"/>
      <c r="B186" s="194" t="s">
        <v>5553</v>
      </c>
      <c r="C186" s="226" t="s">
        <v>5488</v>
      </c>
      <c r="D186" s="226">
        <f>300*175/350</f>
        <v>150</v>
      </c>
      <c r="E186" s="352">
        <v>10</v>
      </c>
      <c r="F186" s="169">
        <v>0.1</v>
      </c>
      <c r="G186" s="351">
        <f>+D186*E186*(1+F186)</f>
        <v>1650.0000000000002</v>
      </c>
      <c r="H186" s="341"/>
      <c r="I186" s="133"/>
      <c r="J186" s="194" t="s">
        <v>5553</v>
      </c>
      <c r="K186" s="226" t="s">
        <v>5488</v>
      </c>
      <c r="L186" s="226">
        <f>300*175/350</f>
        <v>150</v>
      </c>
      <c r="M186" s="352">
        <v>10</v>
      </c>
      <c r="N186" s="169">
        <v>0.1</v>
      </c>
      <c r="O186" s="351">
        <f>+L186*M186*(1+N186)</f>
        <v>1650.0000000000002</v>
      </c>
      <c r="P186" s="341"/>
    </row>
    <row r="187" spans="1:16" x14ac:dyDescent="0.25">
      <c r="A187" s="133"/>
      <c r="B187" s="195"/>
      <c r="C187" s="226"/>
      <c r="D187" s="226"/>
      <c r="E187" s="345"/>
      <c r="F187" s="169"/>
      <c r="G187" s="351"/>
      <c r="H187" s="341"/>
      <c r="I187" s="133"/>
      <c r="J187" s="195"/>
      <c r="K187" s="226"/>
      <c r="L187" s="226"/>
      <c r="M187" s="345"/>
      <c r="N187" s="169"/>
      <c r="O187" s="351"/>
      <c r="P187" s="341"/>
    </row>
    <row r="188" spans="1:16" x14ac:dyDescent="0.25">
      <c r="A188" s="133"/>
      <c r="B188" s="194"/>
      <c r="C188" s="202"/>
      <c r="D188" s="202"/>
      <c r="E188" s="345"/>
      <c r="F188" s="169"/>
      <c r="G188" s="351"/>
      <c r="H188" s="341"/>
      <c r="I188" s="133"/>
      <c r="J188" s="194"/>
      <c r="K188" s="202"/>
      <c r="L188" s="202"/>
      <c r="M188" s="345"/>
      <c r="N188" s="169"/>
      <c r="O188" s="351"/>
      <c r="P188" s="341"/>
    </row>
    <row r="189" spans="1:16" x14ac:dyDescent="0.25">
      <c r="A189" s="133"/>
      <c r="B189" s="195"/>
      <c r="C189" s="226"/>
      <c r="D189" s="226"/>
      <c r="E189" s="345"/>
      <c r="F189" s="169"/>
      <c r="G189" s="351"/>
      <c r="H189" s="341"/>
      <c r="I189" s="133"/>
      <c r="J189" s="195"/>
      <c r="K189" s="226"/>
      <c r="L189" s="226"/>
      <c r="M189" s="345"/>
      <c r="N189" s="169"/>
      <c r="O189" s="351"/>
      <c r="P189" s="341"/>
    </row>
    <row r="190" spans="1:16" x14ac:dyDescent="0.25">
      <c r="A190" s="133"/>
      <c r="B190" s="195"/>
      <c r="C190" s="226"/>
      <c r="D190" s="226"/>
      <c r="E190" s="345"/>
      <c r="F190" s="169"/>
      <c r="G190" s="351"/>
      <c r="H190" s="341"/>
      <c r="I190" s="133"/>
      <c r="J190" s="195"/>
      <c r="K190" s="226"/>
      <c r="L190" s="226"/>
      <c r="M190" s="345"/>
      <c r="N190" s="169"/>
      <c r="O190" s="351"/>
      <c r="P190" s="341"/>
    </row>
    <row r="191" spans="1:16" x14ac:dyDescent="0.25">
      <c r="A191" s="133"/>
      <c r="B191" s="195"/>
      <c r="C191" s="232"/>
      <c r="D191" s="232"/>
      <c r="E191" s="232"/>
      <c r="F191" s="226"/>
      <c r="G191" s="344"/>
      <c r="H191" s="341"/>
      <c r="I191" s="133"/>
      <c r="J191" s="195"/>
      <c r="K191" s="232"/>
      <c r="L191" s="232"/>
      <c r="M191" s="232"/>
      <c r="N191" s="226"/>
      <c r="O191" s="344"/>
      <c r="P191" s="341"/>
    </row>
    <row r="192" spans="1:16" x14ac:dyDescent="0.25">
      <c r="A192" s="133"/>
      <c r="B192" s="195"/>
      <c r="C192" s="232"/>
      <c r="D192" s="232"/>
      <c r="E192" s="232"/>
      <c r="F192" s="226"/>
      <c r="G192" s="344"/>
      <c r="H192" s="341"/>
      <c r="I192" s="133"/>
      <c r="J192" s="195"/>
      <c r="K192" s="232"/>
      <c r="L192" s="232"/>
      <c r="M192" s="232"/>
      <c r="N192" s="226"/>
      <c r="O192" s="344"/>
      <c r="P192" s="341"/>
    </row>
    <row r="193" spans="1:16" x14ac:dyDescent="0.25">
      <c r="A193" s="133"/>
      <c r="B193" s="195"/>
      <c r="C193" s="232"/>
      <c r="D193" s="232"/>
      <c r="E193" s="232"/>
      <c r="F193" s="226"/>
      <c r="G193" s="344"/>
      <c r="H193" s="341"/>
      <c r="I193" s="133"/>
      <c r="J193" s="195"/>
      <c r="K193" s="232"/>
      <c r="L193" s="232"/>
      <c r="M193" s="232"/>
      <c r="N193" s="226"/>
      <c r="O193" s="344"/>
      <c r="P193" s="341"/>
    </row>
    <row r="194" spans="1:16" ht="15.75" thickBot="1" x14ac:dyDescent="0.3">
      <c r="A194" s="133"/>
      <c r="B194" s="195"/>
      <c r="C194" s="232"/>
      <c r="D194" s="232"/>
      <c r="E194" s="232"/>
      <c r="F194" s="226"/>
      <c r="G194" s="344"/>
      <c r="H194" s="341"/>
      <c r="I194" s="133"/>
      <c r="J194" s="195"/>
      <c r="K194" s="232"/>
      <c r="L194" s="232"/>
      <c r="M194" s="232"/>
      <c r="N194" s="226"/>
      <c r="O194" s="344"/>
      <c r="P194" s="341"/>
    </row>
    <row r="195" spans="1:16" ht="15.75" thickBot="1" x14ac:dyDescent="0.3">
      <c r="A195" s="133"/>
      <c r="B195" s="233"/>
      <c r="C195" s="234"/>
      <c r="D195" s="234"/>
      <c r="E195" s="234"/>
      <c r="F195" s="235"/>
      <c r="G195" s="347"/>
      <c r="H195" s="348">
        <f>+SUM(G183:G195)</f>
        <v>303809</v>
      </c>
      <c r="I195" s="133"/>
      <c r="J195" s="233"/>
      <c r="K195" s="234"/>
      <c r="L195" s="234"/>
      <c r="M195" s="234"/>
      <c r="N195" s="235"/>
      <c r="O195" s="347"/>
      <c r="P195" s="348">
        <f>+SUM(O183:O195)</f>
        <v>303809</v>
      </c>
    </row>
    <row r="196" spans="1:16" ht="15.75" thickBot="1" x14ac:dyDescent="0.3">
      <c r="A196" s="133"/>
      <c r="B196" s="238"/>
      <c r="C196" s="238"/>
      <c r="D196" s="238"/>
      <c r="E196" s="238"/>
      <c r="F196" s="239"/>
      <c r="G196" s="349"/>
      <c r="H196" s="350"/>
      <c r="I196" s="133"/>
      <c r="J196" s="238"/>
      <c r="K196" s="238"/>
      <c r="L196" s="238"/>
      <c r="M196" s="238"/>
      <c r="N196" s="239"/>
      <c r="O196" s="349"/>
      <c r="P196" s="350"/>
    </row>
    <row r="197" spans="1:16" ht="15.75" thickBot="1" x14ac:dyDescent="0.3">
      <c r="A197" s="133"/>
      <c r="B197" s="224" t="s">
        <v>5410</v>
      </c>
      <c r="C197" s="193" t="s">
        <v>867</v>
      </c>
      <c r="D197" s="193" t="s">
        <v>6</v>
      </c>
      <c r="E197" s="193" t="s">
        <v>870</v>
      </c>
      <c r="F197" s="193" t="s">
        <v>5411</v>
      </c>
      <c r="G197" s="343" t="s">
        <v>868</v>
      </c>
      <c r="H197" s="341"/>
      <c r="I197" s="133"/>
      <c r="J197" s="224" t="s">
        <v>5410</v>
      </c>
      <c r="K197" s="193" t="s">
        <v>867</v>
      </c>
      <c r="L197" s="193" t="s">
        <v>6</v>
      </c>
      <c r="M197" s="193" t="s">
        <v>870</v>
      </c>
      <c r="N197" s="193" t="s">
        <v>5411</v>
      </c>
      <c r="O197" s="343" t="s">
        <v>868</v>
      </c>
      <c r="P197" s="341"/>
    </row>
    <row r="198" spans="1:16" x14ac:dyDescent="0.25">
      <c r="A198" s="133"/>
      <c r="B198" s="245"/>
      <c r="C198" s="202"/>
      <c r="D198" s="202"/>
      <c r="E198" s="353"/>
      <c r="F198" s="202"/>
      <c r="G198" s="354"/>
      <c r="H198" s="355"/>
      <c r="I198" s="133"/>
      <c r="J198" s="245"/>
      <c r="K198" s="202"/>
      <c r="L198" s="202"/>
      <c r="M198" s="353"/>
      <c r="N198" s="202"/>
      <c r="O198" s="354"/>
      <c r="P198" s="355"/>
    </row>
    <row r="199" spans="1:16" x14ac:dyDescent="0.25">
      <c r="A199" s="133"/>
      <c r="B199" s="247"/>
      <c r="C199" s="248"/>
      <c r="D199" s="248"/>
      <c r="E199" s="248"/>
      <c r="F199" s="202"/>
      <c r="G199" s="351"/>
      <c r="H199" s="341"/>
      <c r="I199" s="133"/>
      <c r="J199" s="247"/>
      <c r="K199" s="248"/>
      <c r="L199" s="248"/>
      <c r="M199" s="248"/>
      <c r="N199" s="202"/>
      <c r="O199" s="351"/>
      <c r="P199" s="341"/>
    </row>
    <row r="200" spans="1:16" x14ac:dyDescent="0.25">
      <c r="A200" s="133"/>
      <c r="B200" s="247"/>
      <c r="C200" s="232"/>
      <c r="D200" s="232"/>
      <c r="E200" s="232"/>
      <c r="F200" s="226"/>
      <c r="G200" s="344"/>
      <c r="H200" s="341"/>
      <c r="I200" s="133"/>
      <c r="J200" s="247"/>
      <c r="K200" s="232"/>
      <c r="L200" s="232"/>
      <c r="M200" s="232"/>
      <c r="N200" s="226"/>
      <c r="O200" s="344"/>
      <c r="P200" s="341"/>
    </row>
    <row r="201" spans="1:16" x14ac:dyDescent="0.25">
      <c r="A201" s="133"/>
      <c r="B201" s="194"/>
      <c r="C201" s="232"/>
      <c r="D201" s="232"/>
      <c r="E201" s="232"/>
      <c r="F201" s="226"/>
      <c r="G201" s="344"/>
      <c r="H201" s="341"/>
      <c r="I201" s="133"/>
      <c r="J201" s="194"/>
      <c r="K201" s="232"/>
      <c r="L201" s="232"/>
      <c r="M201" s="232"/>
      <c r="N201" s="226"/>
      <c r="O201" s="344"/>
      <c r="P201" s="341"/>
    </row>
    <row r="202" spans="1:16" ht="15.75" thickBot="1" x14ac:dyDescent="0.3">
      <c r="A202" s="133"/>
      <c r="B202" s="195"/>
      <c r="C202" s="232"/>
      <c r="D202" s="232"/>
      <c r="E202" s="232"/>
      <c r="F202" s="226"/>
      <c r="G202" s="344"/>
      <c r="H202" s="341"/>
      <c r="I202" s="133"/>
      <c r="J202" s="195"/>
      <c r="K202" s="232"/>
      <c r="L202" s="232"/>
      <c r="M202" s="232"/>
      <c r="N202" s="226"/>
      <c r="O202" s="344"/>
      <c r="P202" s="341"/>
    </row>
    <row r="203" spans="1:16" ht="15.75" thickBot="1" x14ac:dyDescent="0.3">
      <c r="A203" s="133"/>
      <c r="B203" s="233"/>
      <c r="C203" s="234"/>
      <c r="D203" s="234"/>
      <c r="E203" s="234"/>
      <c r="F203" s="235"/>
      <c r="G203" s="347"/>
      <c r="H203" s="348">
        <f>+SUM(G198:G203)</f>
        <v>0</v>
      </c>
      <c r="I203" s="133"/>
      <c r="J203" s="233"/>
      <c r="K203" s="234"/>
      <c r="L203" s="234"/>
      <c r="M203" s="234"/>
      <c r="N203" s="235"/>
      <c r="O203" s="347"/>
      <c r="P203" s="348">
        <f>+SUM(O198:O203)</f>
        <v>0</v>
      </c>
    </row>
    <row r="204" spans="1:16" ht="15.75" thickBot="1" x14ac:dyDescent="0.3">
      <c r="A204" s="133"/>
      <c r="B204" s="238"/>
      <c r="C204" s="238"/>
      <c r="D204" s="238"/>
      <c r="E204" s="238"/>
      <c r="F204" s="249"/>
      <c r="G204" s="356"/>
      <c r="H204" s="350"/>
      <c r="I204" s="133"/>
      <c r="J204" s="238"/>
      <c r="K204" s="238"/>
      <c r="L204" s="238"/>
      <c r="M204" s="238"/>
      <c r="N204" s="249"/>
      <c r="O204" s="356"/>
      <c r="P204" s="350"/>
    </row>
    <row r="205" spans="1:16" ht="15.75" thickBot="1" x14ac:dyDescent="0.3">
      <c r="A205" s="133"/>
      <c r="B205" s="224" t="s">
        <v>5412</v>
      </c>
      <c r="C205" s="193" t="s">
        <v>5420</v>
      </c>
      <c r="D205" s="193" t="s">
        <v>5421</v>
      </c>
      <c r="E205" s="193" t="s">
        <v>5413</v>
      </c>
      <c r="F205" s="193" t="s">
        <v>5405</v>
      </c>
      <c r="G205" s="343" t="s">
        <v>868</v>
      </c>
      <c r="H205" s="341"/>
      <c r="I205" s="133"/>
      <c r="J205" s="224" t="s">
        <v>5412</v>
      </c>
      <c r="K205" s="193" t="s">
        <v>5420</v>
      </c>
      <c r="L205" s="193" t="s">
        <v>5421</v>
      </c>
      <c r="M205" s="193" t="s">
        <v>5413</v>
      </c>
      <c r="N205" s="193" t="s">
        <v>5405</v>
      </c>
      <c r="O205" s="343" t="s">
        <v>868</v>
      </c>
      <c r="P205" s="341"/>
    </row>
    <row r="206" spans="1:16" x14ac:dyDescent="0.25">
      <c r="A206" s="133"/>
      <c r="B206" s="194" t="s">
        <v>5948</v>
      </c>
      <c r="C206" s="345">
        <v>70000</v>
      </c>
      <c r="D206" s="345">
        <f>+C206*0.85</f>
        <v>59500</v>
      </c>
      <c r="E206" s="353">
        <f>+C206+D206</f>
        <v>129500</v>
      </c>
      <c r="F206" s="209">
        <v>100</v>
      </c>
      <c r="G206" s="351">
        <f>+E206/F206</f>
        <v>1295</v>
      </c>
      <c r="H206" s="341"/>
      <c r="I206" s="133"/>
      <c r="J206" s="194" t="s">
        <v>5948</v>
      </c>
      <c r="K206" s="345">
        <v>70000</v>
      </c>
      <c r="L206" s="345">
        <f>+K206*0.85</f>
        <v>59500</v>
      </c>
      <c r="M206" s="353">
        <f>+K206+L206</f>
        <v>129500</v>
      </c>
      <c r="N206" s="209">
        <v>10</v>
      </c>
      <c r="O206" s="351">
        <f>+M206/N206</f>
        <v>12950</v>
      </c>
      <c r="P206" s="341"/>
    </row>
    <row r="207" spans="1:16" x14ac:dyDescent="0.25">
      <c r="A207" s="133"/>
      <c r="B207" s="194" t="s">
        <v>5949</v>
      </c>
      <c r="C207" s="345">
        <v>40000</v>
      </c>
      <c r="D207" s="345">
        <f>+C207*0.85</f>
        <v>34000</v>
      </c>
      <c r="E207" s="353">
        <f>+C207+D207</f>
        <v>74000</v>
      </c>
      <c r="F207" s="202">
        <v>20</v>
      </c>
      <c r="G207" s="351">
        <f>+E207/F207</f>
        <v>3700</v>
      </c>
      <c r="H207" s="341"/>
      <c r="I207" s="133"/>
      <c r="J207" s="194" t="s">
        <v>5949</v>
      </c>
      <c r="K207" s="345">
        <v>40000</v>
      </c>
      <c r="L207" s="345">
        <f>+K207*0.85</f>
        <v>34000</v>
      </c>
      <c r="M207" s="353">
        <f>+K207+L207</f>
        <v>74000</v>
      </c>
      <c r="N207" s="202">
        <v>1</v>
      </c>
      <c r="O207" s="351">
        <f>+M207/N207</f>
        <v>74000</v>
      </c>
      <c r="P207" s="341"/>
    </row>
    <row r="208" spans="1:16" x14ac:dyDescent="0.25">
      <c r="A208" s="133"/>
      <c r="B208" s="195" t="s">
        <v>5635</v>
      </c>
      <c r="C208" s="345">
        <v>20600</v>
      </c>
      <c r="D208" s="345">
        <f>+C208*0.85</f>
        <v>17510</v>
      </c>
      <c r="E208" s="353">
        <f>+C208+D208</f>
        <v>38110</v>
      </c>
      <c r="F208" s="226">
        <v>3</v>
      </c>
      <c r="G208" s="351">
        <f>+E208/F208</f>
        <v>12703.333333333334</v>
      </c>
      <c r="H208" s="341"/>
      <c r="I208" s="133"/>
      <c r="J208" s="195" t="s">
        <v>5635</v>
      </c>
      <c r="K208" s="345">
        <v>20600</v>
      </c>
      <c r="L208" s="345">
        <f>+K208*0.85</f>
        <v>17510</v>
      </c>
      <c r="M208" s="353">
        <f>+K208+L208</f>
        <v>38110</v>
      </c>
      <c r="N208" s="226">
        <v>1</v>
      </c>
      <c r="O208" s="351">
        <f>+M208/N208</f>
        <v>38110</v>
      </c>
      <c r="P208" s="341"/>
    </row>
    <row r="209" spans="1:16" x14ac:dyDescent="0.25">
      <c r="A209" s="133"/>
      <c r="B209" s="195"/>
      <c r="C209" s="346"/>
      <c r="D209" s="345"/>
      <c r="E209" s="345"/>
      <c r="F209" s="226"/>
      <c r="G209" s="351"/>
      <c r="H209" s="341"/>
      <c r="I209" s="133"/>
      <c r="J209" s="195"/>
      <c r="K209" s="346"/>
      <c r="L209" s="345"/>
      <c r="M209" s="345"/>
      <c r="N209" s="226"/>
      <c r="O209" s="351"/>
      <c r="P209" s="341"/>
    </row>
    <row r="210" spans="1:16" x14ac:dyDescent="0.25">
      <c r="A210" s="133"/>
      <c r="B210" s="195"/>
      <c r="C210" s="232"/>
      <c r="D210" s="232"/>
      <c r="E210" s="232"/>
      <c r="F210" s="226"/>
      <c r="G210" s="344"/>
      <c r="H210" s="341"/>
      <c r="I210" s="133"/>
      <c r="J210" s="195"/>
      <c r="K210" s="232"/>
      <c r="L210" s="232"/>
      <c r="M210" s="232"/>
      <c r="N210" s="226"/>
      <c r="O210" s="344"/>
      <c r="P210" s="341"/>
    </row>
    <row r="211" spans="1:16" ht="15.75" thickBot="1" x14ac:dyDescent="0.3">
      <c r="A211" s="133"/>
      <c r="B211" s="195"/>
      <c r="C211" s="232"/>
      <c r="D211" s="232"/>
      <c r="E211" s="232"/>
      <c r="F211" s="226"/>
      <c r="G211" s="344"/>
      <c r="H211" s="341"/>
      <c r="I211" s="133"/>
      <c r="J211" s="195"/>
      <c r="K211" s="232"/>
      <c r="L211" s="232"/>
      <c r="M211" s="232"/>
      <c r="N211" s="226"/>
      <c r="O211" s="344"/>
      <c r="P211" s="341"/>
    </row>
    <row r="212" spans="1:16" ht="15.75" thickBot="1" x14ac:dyDescent="0.3">
      <c r="A212" s="133"/>
      <c r="B212" s="251"/>
      <c r="C212" s="252"/>
      <c r="D212" s="252"/>
      <c r="E212" s="252"/>
      <c r="F212" s="253"/>
      <c r="G212" s="357"/>
      <c r="H212" s="348">
        <f>+SUM(G206:G212)</f>
        <v>17698.333333333336</v>
      </c>
      <c r="I212" s="133"/>
      <c r="J212" s="251"/>
      <c r="K212" s="252"/>
      <c r="L212" s="252"/>
      <c r="M212" s="252"/>
      <c r="N212" s="253"/>
      <c r="O212" s="357"/>
      <c r="P212" s="348">
        <f>+SUM(O206:O212)</f>
        <v>125060</v>
      </c>
    </row>
    <row r="213" spans="1:16" ht="15.75" thickBot="1" x14ac:dyDescent="0.3">
      <c r="A213" s="133"/>
      <c r="B213" s="8"/>
      <c r="C213" s="8"/>
      <c r="D213" s="8"/>
      <c r="E213" s="8"/>
      <c r="F213" s="133"/>
      <c r="G213" s="341"/>
      <c r="H213" s="341"/>
      <c r="I213" s="133"/>
      <c r="J213" s="8"/>
      <c r="K213" s="8"/>
      <c r="L213" s="8"/>
      <c r="M213" s="8"/>
      <c r="N213" s="133"/>
      <c r="O213" s="341"/>
      <c r="P213" s="341"/>
    </row>
    <row r="214" spans="1:16" ht="15.75" thickBot="1" x14ac:dyDescent="0.3">
      <c r="A214" s="133"/>
      <c r="B214" s="8"/>
      <c r="C214" s="8"/>
      <c r="D214" s="8"/>
      <c r="E214" s="223"/>
      <c r="F214" s="133"/>
      <c r="G214" s="341"/>
      <c r="H214" s="348">
        <f>+H212+H203+H195+H180</f>
        <v>326392.25</v>
      </c>
      <c r="I214" s="133"/>
      <c r="J214" s="8"/>
      <c r="K214" s="8"/>
      <c r="L214" s="8"/>
      <c r="M214" s="223"/>
      <c r="N214" s="133"/>
      <c r="O214" s="341"/>
      <c r="P214" s="348">
        <f>+P212+P203+P195+P180</f>
        <v>439122</v>
      </c>
    </row>
    <row r="215" spans="1:16" x14ac:dyDescent="0.25">
      <c r="M215" s="265"/>
    </row>
    <row r="216" spans="1:16" x14ac:dyDescent="0.25">
      <c r="H216" s="273"/>
      <c r="M216" s="265"/>
      <c r="P216" s="273"/>
    </row>
    <row r="217" spans="1:16" x14ac:dyDescent="0.25">
      <c r="A217" s="255"/>
      <c r="I217" s="255"/>
      <c r="M217" s="265"/>
    </row>
    <row r="218" spans="1:16" x14ac:dyDescent="0.25">
      <c r="A218" s="255"/>
      <c r="I218" s="255"/>
      <c r="M218" s="265"/>
    </row>
    <row r="219" spans="1:16" ht="18.75" x14ac:dyDescent="0.25">
      <c r="A219" s="133"/>
      <c r="B219" s="2506" t="s">
        <v>5400</v>
      </c>
      <c r="C219" s="2506"/>
      <c r="D219" s="2506"/>
      <c r="E219" s="2506"/>
      <c r="F219" s="2506"/>
      <c r="G219" s="2506"/>
      <c r="H219" s="8"/>
      <c r="I219" s="133"/>
      <c r="J219" s="2506" t="s">
        <v>5400</v>
      </c>
      <c r="K219" s="2506"/>
      <c r="L219" s="2506"/>
      <c r="M219" s="2506"/>
      <c r="N219" s="2506"/>
      <c r="O219" s="2506"/>
      <c r="P219" s="8"/>
    </row>
    <row r="220" spans="1:16" x14ac:dyDescent="0.25">
      <c r="A220" s="133"/>
      <c r="B220" s="8"/>
      <c r="C220" s="8"/>
      <c r="D220" s="8"/>
      <c r="E220" s="8"/>
      <c r="F220" s="133"/>
      <c r="G220" s="341"/>
      <c r="H220" s="341"/>
      <c r="I220" s="133"/>
      <c r="J220" s="8"/>
      <c r="K220" s="8"/>
      <c r="L220" s="8"/>
      <c r="M220" s="8"/>
      <c r="N220" s="133"/>
      <c r="O220" s="341"/>
      <c r="P220" s="341"/>
    </row>
    <row r="221" spans="1:16" x14ac:dyDescent="0.25">
      <c r="A221" s="133"/>
      <c r="B221" s="8"/>
      <c r="C221" s="8"/>
      <c r="D221" s="8"/>
      <c r="E221" s="8"/>
      <c r="F221" s="133"/>
      <c r="G221" s="341"/>
      <c r="H221" s="341"/>
      <c r="I221" s="133"/>
      <c r="J221" s="8"/>
      <c r="K221" s="8"/>
      <c r="L221" s="8"/>
      <c r="M221" s="8"/>
      <c r="N221" s="133"/>
      <c r="O221" s="341"/>
      <c r="P221" s="341"/>
    </row>
    <row r="222" spans="1:16" x14ac:dyDescent="0.25">
      <c r="A222" s="133"/>
      <c r="B222" s="8"/>
      <c r="C222" s="8"/>
      <c r="D222" s="8"/>
      <c r="E222" s="8"/>
      <c r="F222" s="133"/>
      <c r="G222" s="341"/>
      <c r="H222" s="341"/>
      <c r="I222" s="133"/>
      <c r="J222" s="8"/>
      <c r="K222" s="8"/>
      <c r="L222" s="8"/>
      <c r="M222" s="8"/>
      <c r="N222" s="133"/>
      <c r="O222" s="341"/>
      <c r="P222" s="341"/>
    </row>
    <row r="223" spans="1:16" ht="15" customHeight="1" x14ac:dyDescent="0.25">
      <c r="A223" s="220" t="s">
        <v>5482</v>
      </c>
      <c r="B223" s="221" t="s">
        <v>597</v>
      </c>
      <c r="C223" s="2449" t="s">
        <v>6025</v>
      </c>
      <c r="D223" s="2449"/>
      <c r="E223" s="2449"/>
      <c r="F223" s="220" t="s">
        <v>867</v>
      </c>
      <c r="G223" s="342" t="s">
        <v>5454</v>
      </c>
      <c r="H223" s="341"/>
      <c r="I223" s="220" t="s">
        <v>5482</v>
      </c>
      <c r="J223" s="221" t="s">
        <v>597</v>
      </c>
      <c r="K223" s="2449" t="s">
        <v>6026</v>
      </c>
      <c r="L223" s="2449"/>
      <c r="M223" s="2449"/>
      <c r="N223" s="220" t="s">
        <v>867</v>
      </c>
      <c r="O223" s="342" t="s">
        <v>5454</v>
      </c>
      <c r="P223" s="341"/>
    </row>
    <row r="224" spans="1:16" x14ac:dyDescent="0.25">
      <c r="A224" s="133"/>
      <c r="B224" s="8"/>
      <c r="C224" s="223"/>
      <c r="D224" s="223"/>
      <c r="E224" s="223"/>
      <c r="F224" s="133"/>
      <c r="G224" s="341"/>
      <c r="H224" s="341"/>
      <c r="I224" s="133"/>
      <c r="J224" s="8"/>
      <c r="K224" s="223"/>
      <c r="L224" s="223"/>
      <c r="M224" s="223"/>
      <c r="N224" s="133"/>
      <c r="O224" s="341"/>
      <c r="P224" s="341"/>
    </row>
    <row r="225" spans="1:16" x14ac:dyDescent="0.25">
      <c r="A225" s="133"/>
      <c r="B225" s="8"/>
      <c r="C225" s="8"/>
      <c r="D225" s="8"/>
      <c r="E225" s="8"/>
      <c r="F225" s="8"/>
      <c r="G225" s="8"/>
      <c r="H225" s="341"/>
      <c r="I225" s="133"/>
      <c r="J225" s="8"/>
      <c r="K225" s="8"/>
      <c r="L225" s="8"/>
      <c r="M225" s="8"/>
      <c r="N225" s="8"/>
      <c r="O225" s="8"/>
      <c r="P225" s="341"/>
    </row>
    <row r="226" spans="1:16" ht="15.75" thickBot="1" x14ac:dyDescent="0.3">
      <c r="A226" s="133"/>
      <c r="B226" s="8"/>
      <c r="C226" s="8"/>
      <c r="D226" s="8"/>
      <c r="E226" s="8"/>
      <c r="F226" s="133"/>
      <c r="G226" s="341"/>
      <c r="H226" s="341"/>
      <c r="I226" s="133"/>
      <c r="J226" s="8"/>
      <c r="K226" s="8"/>
      <c r="L226" s="8"/>
      <c r="M226" s="8"/>
      <c r="N226" s="133"/>
      <c r="O226" s="341"/>
      <c r="P226" s="341"/>
    </row>
    <row r="227" spans="1:16" ht="15.75" thickBot="1" x14ac:dyDescent="0.3">
      <c r="A227" s="133"/>
      <c r="B227" s="224" t="s">
        <v>5403</v>
      </c>
      <c r="C227" s="193" t="s">
        <v>867</v>
      </c>
      <c r="D227" s="193" t="s">
        <v>6</v>
      </c>
      <c r="E227" s="193" t="s">
        <v>5439</v>
      </c>
      <c r="F227" s="193" t="s">
        <v>5405</v>
      </c>
      <c r="G227" s="343" t="s">
        <v>868</v>
      </c>
      <c r="H227" s="341"/>
      <c r="I227" s="133"/>
      <c r="J227" s="224" t="s">
        <v>5403</v>
      </c>
      <c r="K227" s="193" t="s">
        <v>867</v>
      </c>
      <c r="L227" s="193" t="s">
        <v>6</v>
      </c>
      <c r="M227" s="193" t="s">
        <v>5439</v>
      </c>
      <c r="N227" s="193" t="s">
        <v>5405</v>
      </c>
      <c r="O227" s="343" t="s">
        <v>868</v>
      </c>
      <c r="P227" s="341"/>
    </row>
    <row r="228" spans="1:16" x14ac:dyDescent="0.25">
      <c r="A228" s="133"/>
      <c r="B228" s="195" t="s">
        <v>5440</v>
      </c>
      <c r="C228" s="226" t="s">
        <v>5542</v>
      </c>
      <c r="D228" s="226">
        <v>1</v>
      </c>
      <c r="E228" s="228">
        <f>+H266</f>
        <v>17698.333333333336</v>
      </c>
      <c r="F228" s="226">
        <v>0.1</v>
      </c>
      <c r="G228" s="344">
        <f>+E228*F228</f>
        <v>1769.8333333333337</v>
      </c>
      <c r="H228" s="341"/>
      <c r="I228" s="133"/>
      <c r="J228" s="195" t="s">
        <v>5440</v>
      </c>
      <c r="K228" s="226" t="s">
        <v>5542</v>
      </c>
      <c r="L228" s="226">
        <v>1</v>
      </c>
      <c r="M228" s="228">
        <f>+P266</f>
        <v>125060</v>
      </c>
      <c r="N228" s="226">
        <v>0.1</v>
      </c>
      <c r="O228" s="344">
        <f>+M228*N228</f>
        <v>12506</v>
      </c>
      <c r="P228" s="341"/>
    </row>
    <row r="229" spans="1:16" x14ac:dyDescent="0.25">
      <c r="A229" s="133"/>
      <c r="B229" s="195" t="s">
        <v>5548</v>
      </c>
      <c r="C229" s="226" t="s">
        <v>5542</v>
      </c>
      <c r="D229" s="226">
        <v>1</v>
      </c>
      <c r="E229" s="228">
        <v>10000</v>
      </c>
      <c r="F229" s="226">
        <v>2</v>
      </c>
      <c r="G229" s="344">
        <f>+D229*E229/F229</f>
        <v>5000</v>
      </c>
      <c r="H229" s="341"/>
      <c r="I229" s="133"/>
      <c r="J229" s="195" t="s">
        <v>5548</v>
      </c>
      <c r="K229" s="226" t="s">
        <v>5542</v>
      </c>
      <c r="L229" s="226">
        <v>1</v>
      </c>
      <c r="M229" s="228">
        <v>10000</v>
      </c>
      <c r="N229" s="226">
        <v>2</v>
      </c>
      <c r="O229" s="344">
        <f>+L229*M229/N229</f>
        <v>5000</v>
      </c>
      <c r="P229" s="341"/>
    </row>
    <row r="230" spans="1:16" x14ac:dyDescent="0.25">
      <c r="A230" s="133"/>
      <c r="B230" s="195"/>
      <c r="C230" s="226"/>
      <c r="D230" s="226"/>
      <c r="E230" s="345"/>
      <c r="F230" s="226"/>
      <c r="G230" s="344"/>
      <c r="H230" s="341"/>
      <c r="I230" s="133"/>
      <c r="J230" s="195" t="s">
        <v>5554</v>
      </c>
      <c r="K230" s="226" t="s">
        <v>5542</v>
      </c>
      <c r="L230" s="226">
        <v>1</v>
      </c>
      <c r="M230" s="345">
        <v>4000</v>
      </c>
      <c r="N230" s="226">
        <v>2</v>
      </c>
      <c r="O230" s="344">
        <f>+L230*M230/N230</f>
        <v>2000</v>
      </c>
      <c r="P230" s="341"/>
    </row>
    <row r="231" spans="1:16" x14ac:dyDescent="0.25">
      <c r="A231" s="133"/>
      <c r="B231" s="195"/>
      <c r="C231" s="226"/>
      <c r="D231" s="226"/>
      <c r="E231" s="346"/>
      <c r="F231" s="226"/>
      <c r="G231" s="344"/>
      <c r="H231" s="341"/>
      <c r="I231" s="133"/>
      <c r="J231" s="195"/>
      <c r="K231" s="226"/>
      <c r="L231" s="226"/>
      <c r="M231" s="346"/>
      <c r="N231" s="226"/>
      <c r="O231" s="344"/>
      <c r="P231" s="341"/>
    </row>
    <row r="232" spans="1:16" x14ac:dyDescent="0.25">
      <c r="A232" s="133"/>
      <c r="B232" s="195"/>
      <c r="C232" s="226"/>
      <c r="D232" s="232"/>
      <c r="E232" s="232"/>
      <c r="F232" s="226"/>
      <c r="G232" s="344"/>
      <c r="H232" s="341"/>
      <c r="I232" s="133"/>
      <c r="J232" s="195"/>
      <c r="K232" s="226"/>
      <c r="L232" s="232"/>
      <c r="M232" s="232"/>
      <c r="N232" s="226"/>
      <c r="O232" s="344"/>
      <c r="P232" s="341"/>
    </row>
    <row r="233" spans="1:16" ht="15.75" thickBot="1" x14ac:dyDescent="0.3">
      <c r="A233" s="133"/>
      <c r="B233" s="195"/>
      <c r="C233" s="226"/>
      <c r="D233" s="232"/>
      <c r="E233" s="232"/>
      <c r="F233" s="226"/>
      <c r="G233" s="344"/>
      <c r="H233" s="341"/>
      <c r="I233" s="133"/>
      <c r="J233" s="195"/>
      <c r="K233" s="226"/>
      <c r="L233" s="232"/>
      <c r="M233" s="232"/>
      <c r="N233" s="226"/>
      <c r="O233" s="344"/>
      <c r="P233" s="341"/>
    </row>
    <row r="234" spans="1:16" ht="15.75" thickBot="1" x14ac:dyDescent="0.3">
      <c r="A234" s="133"/>
      <c r="B234" s="233"/>
      <c r="C234" s="234"/>
      <c r="D234" s="234"/>
      <c r="E234" s="234"/>
      <c r="F234" s="235"/>
      <c r="G234" s="347"/>
      <c r="H234" s="348">
        <f>+SUM(G228:G234)</f>
        <v>6769.8333333333339</v>
      </c>
      <c r="I234" s="133"/>
      <c r="J234" s="233"/>
      <c r="K234" s="234"/>
      <c r="L234" s="234"/>
      <c r="M234" s="234"/>
      <c r="N234" s="235"/>
      <c r="O234" s="347"/>
      <c r="P234" s="348">
        <f>+SUM(O228:O234)</f>
        <v>19506</v>
      </c>
    </row>
    <row r="235" spans="1:16" ht="15.75" thickBot="1" x14ac:dyDescent="0.3">
      <c r="A235" s="133"/>
      <c r="B235" s="238"/>
      <c r="C235" s="238"/>
      <c r="D235" s="238"/>
      <c r="E235" s="238"/>
      <c r="F235" s="239"/>
      <c r="G235" s="349"/>
      <c r="H235" s="350"/>
      <c r="I235" s="133"/>
      <c r="J235" s="238"/>
      <c r="K235" s="238"/>
      <c r="L235" s="238"/>
      <c r="M235" s="238"/>
      <c r="N235" s="239"/>
      <c r="O235" s="349"/>
      <c r="P235" s="350"/>
    </row>
    <row r="236" spans="1:16" ht="15.75" thickBot="1" x14ac:dyDescent="0.3">
      <c r="A236" s="133"/>
      <c r="B236" s="224" t="s">
        <v>5408</v>
      </c>
      <c r="C236" s="193" t="s">
        <v>867</v>
      </c>
      <c r="D236" s="193" t="s">
        <v>6</v>
      </c>
      <c r="E236" s="193" t="s">
        <v>870</v>
      </c>
      <c r="F236" s="193" t="s">
        <v>5409</v>
      </c>
      <c r="G236" s="343" t="s">
        <v>868</v>
      </c>
      <c r="H236" s="341"/>
      <c r="I236" s="133"/>
      <c r="J236" s="224" t="s">
        <v>5408</v>
      </c>
      <c r="K236" s="193" t="s">
        <v>867</v>
      </c>
      <c r="L236" s="193" t="s">
        <v>6</v>
      </c>
      <c r="M236" s="193" t="s">
        <v>870</v>
      </c>
      <c r="N236" s="193" t="s">
        <v>5409</v>
      </c>
      <c r="O236" s="343" t="s">
        <v>868</v>
      </c>
      <c r="P236" s="341"/>
    </row>
    <row r="237" spans="1:16" x14ac:dyDescent="0.25">
      <c r="A237" s="133"/>
      <c r="B237" s="242" t="s">
        <v>5549</v>
      </c>
      <c r="C237" s="202" t="s">
        <v>5550</v>
      </c>
      <c r="D237" s="226">
        <v>350</v>
      </c>
      <c r="E237" s="228">
        <v>520</v>
      </c>
      <c r="F237" s="169">
        <v>0.1</v>
      </c>
      <c r="G237" s="351">
        <f>+D237*E237*(1+F237)</f>
        <v>200200.00000000003</v>
      </c>
      <c r="H237" s="341"/>
      <c r="I237" s="133"/>
      <c r="J237" s="242" t="s">
        <v>5549</v>
      </c>
      <c r="K237" s="202" t="s">
        <v>5550</v>
      </c>
      <c r="L237" s="226">
        <v>350</v>
      </c>
      <c r="M237" s="228">
        <v>520</v>
      </c>
      <c r="N237" s="169">
        <v>0.1</v>
      </c>
      <c r="O237" s="351">
        <f>+L237*M237*(1+N237)</f>
        <v>200200.00000000003</v>
      </c>
      <c r="P237" s="341"/>
    </row>
    <row r="238" spans="1:16" x14ac:dyDescent="0.25">
      <c r="A238" s="133"/>
      <c r="B238" s="243" t="s">
        <v>5551</v>
      </c>
      <c r="C238" s="202" t="s">
        <v>5542</v>
      </c>
      <c r="D238" s="202">
        <v>0.55500000000000005</v>
      </c>
      <c r="E238" s="228">
        <v>86000</v>
      </c>
      <c r="F238" s="169">
        <v>0.1</v>
      </c>
      <c r="G238" s="351">
        <f>+D238*E238*(1+F238)</f>
        <v>52503.000000000015</v>
      </c>
      <c r="H238" s="341"/>
      <c r="I238" s="133"/>
      <c r="J238" s="243" t="s">
        <v>5551</v>
      </c>
      <c r="K238" s="202" t="s">
        <v>5542</v>
      </c>
      <c r="L238" s="202">
        <v>0.55500000000000005</v>
      </c>
      <c r="M238" s="228">
        <v>86000</v>
      </c>
      <c r="N238" s="169">
        <v>0.1</v>
      </c>
      <c r="O238" s="351">
        <f>+L238*M238*(1+N238)</f>
        <v>52503.000000000015</v>
      </c>
      <c r="P238" s="341"/>
    </row>
    <row r="239" spans="1:16" x14ac:dyDescent="0.25">
      <c r="A239" s="133"/>
      <c r="B239" s="243" t="s">
        <v>5552</v>
      </c>
      <c r="C239" s="226" t="s">
        <v>5542</v>
      </c>
      <c r="D239" s="226">
        <v>0.83499999999999996</v>
      </c>
      <c r="E239" s="228">
        <v>80000</v>
      </c>
      <c r="F239" s="169">
        <v>0.1</v>
      </c>
      <c r="G239" s="351">
        <f>+D239*E239*(1+F239)</f>
        <v>73480</v>
      </c>
      <c r="H239" s="341"/>
      <c r="I239" s="133"/>
      <c r="J239" s="243" t="s">
        <v>5552</v>
      </c>
      <c r="K239" s="226" t="s">
        <v>5542</v>
      </c>
      <c r="L239" s="226">
        <v>0.83499999999999996</v>
      </c>
      <c r="M239" s="228">
        <v>80000</v>
      </c>
      <c r="N239" s="169">
        <v>0.1</v>
      </c>
      <c r="O239" s="351">
        <f>+L239*M239*(1+N239)</f>
        <v>73480</v>
      </c>
      <c r="P239" s="341"/>
    </row>
    <row r="240" spans="1:16" x14ac:dyDescent="0.25">
      <c r="A240" s="133"/>
      <c r="B240" s="194" t="s">
        <v>5553</v>
      </c>
      <c r="C240" s="226" t="s">
        <v>5488</v>
      </c>
      <c r="D240" s="226">
        <v>180</v>
      </c>
      <c r="E240" s="352">
        <v>10</v>
      </c>
      <c r="F240" s="169">
        <v>0.1</v>
      </c>
      <c r="G240" s="351">
        <f>+D240*E240*(1+F240)</f>
        <v>1980.0000000000002</v>
      </c>
      <c r="H240" s="341"/>
      <c r="I240" s="133"/>
      <c r="J240" s="194" t="s">
        <v>5553</v>
      </c>
      <c r="K240" s="226" t="s">
        <v>5488</v>
      </c>
      <c r="L240" s="226">
        <v>180</v>
      </c>
      <c r="M240" s="352">
        <v>10</v>
      </c>
      <c r="N240" s="169">
        <v>0.1</v>
      </c>
      <c r="O240" s="351">
        <f>+L240*M240*(1+N240)</f>
        <v>1980.0000000000002</v>
      </c>
      <c r="P240" s="341"/>
    </row>
    <row r="241" spans="1:16" x14ac:dyDescent="0.25">
      <c r="A241" s="133"/>
      <c r="B241" s="195"/>
      <c r="C241" s="226"/>
      <c r="D241" s="226"/>
      <c r="E241" s="345"/>
      <c r="F241" s="169"/>
      <c r="G241" s="351"/>
      <c r="H241" s="341"/>
      <c r="I241" s="133"/>
      <c r="J241" s="195" t="s">
        <v>5555</v>
      </c>
      <c r="K241" s="226" t="s">
        <v>5556</v>
      </c>
      <c r="L241" s="226">
        <v>0.5</v>
      </c>
      <c r="M241" s="345">
        <v>46600</v>
      </c>
      <c r="N241" s="169">
        <v>0.1</v>
      </c>
      <c r="O241" s="351">
        <f>+L241*M241*(1+N241)</f>
        <v>25630.000000000004</v>
      </c>
      <c r="P241" s="341"/>
    </row>
    <row r="242" spans="1:16" x14ac:dyDescent="0.25">
      <c r="A242" s="133"/>
      <c r="B242" s="194"/>
      <c r="C242" s="202"/>
      <c r="D242" s="202"/>
      <c r="E242" s="345"/>
      <c r="F242" s="169"/>
      <c r="G242" s="351"/>
      <c r="H242" s="341"/>
      <c r="I242" s="133"/>
      <c r="J242" s="194"/>
      <c r="K242" s="202"/>
      <c r="L242" s="202"/>
      <c r="M242" s="345"/>
      <c r="N242" s="169"/>
      <c r="O242" s="351"/>
      <c r="P242" s="341"/>
    </row>
    <row r="243" spans="1:16" x14ac:dyDescent="0.25">
      <c r="A243" s="133"/>
      <c r="B243" s="195"/>
      <c r="C243" s="226"/>
      <c r="D243" s="226"/>
      <c r="E243" s="345"/>
      <c r="F243" s="169"/>
      <c r="G243" s="351"/>
      <c r="H243" s="341"/>
      <c r="I243" s="133"/>
      <c r="J243" s="195"/>
      <c r="K243" s="226"/>
      <c r="L243" s="226"/>
      <c r="M243" s="345"/>
      <c r="N243" s="169"/>
      <c r="O243" s="351"/>
      <c r="P243" s="341"/>
    </row>
    <row r="244" spans="1:16" x14ac:dyDescent="0.25">
      <c r="A244" s="133"/>
      <c r="B244" s="195"/>
      <c r="C244" s="226"/>
      <c r="D244" s="226"/>
      <c r="E244" s="345"/>
      <c r="F244" s="169"/>
      <c r="G244" s="351"/>
      <c r="H244" s="341"/>
      <c r="I244" s="133"/>
      <c r="J244" s="195"/>
      <c r="K244" s="226"/>
      <c r="L244" s="226"/>
      <c r="M244" s="345"/>
      <c r="N244" s="169"/>
      <c r="O244" s="351"/>
      <c r="P244" s="341"/>
    </row>
    <row r="245" spans="1:16" x14ac:dyDescent="0.25">
      <c r="A245" s="133"/>
      <c r="B245" s="195"/>
      <c r="C245" s="232"/>
      <c r="D245" s="232"/>
      <c r="E245" s="232"/>
      <c r="F245" s="226"/>
      <c r="G245" s="344"/>
      <c r="H245" s="341"/>
      <c r="I245" s="133"/>
      <c r="J245" s="195"/>
      <c r="K245" s="232"/>
      <c r="L245" s="232"/>
      <c r="M245" s="232"/>
      <c r="N245" s="226"/>
      <c r="O245" s="344"/>
      <c r="P245" s="341"/>
    </row>
    <row r="246" spans="1:16" x14ac:dyDescent="0.25">
      <c r="A246" s="133"/>
      <c r="B246" s="195"/>
      <c r="C246" s="232"/>
      <c r="D246" s="232"/>
      <c r="E246" s="232"/>
      <c r="F246" s="226"/>
      <c r="G246" s="344"/>
      <c r="H246" s="341"/>
      <c r="I246" s="133"/>
      <c r="J246" s="195"/>
      <c r="K246" s="232"/>
      <c r="L246" s="232"/>
      <c r="M246" s="232"/>
      <c r="N246" s="226"/>
      <c r="O246" s="344"/>
      <c r="P246" s="341"/>
    </row>
    <row r="247" spans="1:16" x14ac:dyDescent="0.25">
      <c r="A247" s="133"/>
      <c r="B247" s="195"/>
      <c r="C247" s="232"/>
      <c r="D247" s="232"/>
      <c r="E247" s="232"/>
      <c r="F247" s="226"/>
      <c r="G247" s="344"/>
      <c r="H247" s="341"/>
      <c r="I247" s="133"/>
      <c r="J247" s="195"/>
      <c r="K247" s="232"/>
      <c r="L247" s="232"/>
      <c r="M247" s="232"/>
      <c r="N247" s="226"/>
      <c r="O247" s="344"/>
      <c r="P247" s="341"/>
    </row>
    <row r="248" spans="1:16" ht="15.75" thickBot="1" x14ac:dyDescent="0.3">
      <c r="A248" s="133"/>
      <c r="B248" s="195"/>
      <c r="C248" s="232"/>
      <c r="D248" s="232"/>
      <c r="E248" s="232"/>
      <c r="F248" s="226"/>
      <c r="G248" s="344"/>
      <c r="H248" s="341"/>
      <c r="I248" s="133"/>
      <c r="J248" s="195"/>
      <c r="K248" s="232"/>
      <c r="L248" s="232"/>
      <c r="M248" s="232"/>
      <c r="N248" s="226"/>
      <c r="O248" s="344"/>
      <c r="P248" s="341"/>
    </row>
    <row r="249" spans="1:16" ht="15.75" thickBot="1" x14ac:dyDescent="0.3">
      <c r="A249" s="133"/>
      <c r="B249" s="233"/>
      <c r="C249" s="234"/>
      <c r="D249" s="234"/>
      <c r="E249" s="234"/>
      <c r="F249" s="235"/>
      <c r="G249" s="347"/>
      <c r="H249" s="348">
        <f>+SUM(G237:G249)</f>
        <v>328163.00000000006</v>
      </c>
      <c r="I249" s="133"/>
      <c r="J249" s="233"/>
      <c r="K249" s="234"/>
      <c r="L249" s="234"/>
      <c r="M249" s="234"/>
      <c r="N249" s="235"/>
      <c r="O249" s="347"/>
      <c r="P249" s="348">
        <f>+SUM(O237:O249)</f>
        <v>353793.00000000006</v>
      </c>
    </row>
    <row r="250" spans="1:16" ht="15.75" thickBot="1" x14ac:dyDescent="0.3">
      <c r="A250" s="133"/>
      <c r="B250" s="238"/>
      <c r="C250" s="238"/>
      <c r="D250" s="238"/>
      <c r="E250" s="238"/>
      <c r="F250" s="239"/>
      <c r="G250" s="349"/>
      <c r="H250" s="350"/>
      <c r="I250" s="133"/>
      <c r="J250" s="238"/>
      <c r="K250" s="238"/>
      <c r="L250" s="238"/>
      <c r="M250" s="238"/>
      <c r="N250" s="239"/>
      <c r="O250" s="349"/>
      <c r="P250" s="350"/>
    </row>
    <row r="251" spans="1:16" ht="15.75" thickBot="1" x14ac:dyDescent="0.3">
      <c r="A251" s="133"/>
      <c r="B251" s="224" t="s">
        <v>5410</v>
      </c>
      <c r="C251" s="193" t="s">
        <v>867</v>
      </c>
      <c r="D251" s="193" t="s">
        <v>6</v>
      </c>
      <c r="E251" s="193" t="s">
        <v>870</v>
      </c>
      <c r="F251" s="193" t="s">
        <v>5411</v>
      </c>
      <c r="G251" s="343" t="s">
        <v>868</v>
      </c>
      <c r="H251" s="341"/>
      <c r="I251" s="133"/>
      <c r="J251" s="224" t="s">
        <v>5410</v>
      </c>
      <c r="K251" s="193" t="s">
        <v>867</v>
      </c>
      <c r="L251" s="193" t="s">
        <v>6</v>
      </c>
      <c r="M251" s="193" t="s">
        <v>870</v>
      </c>
      <c r="N251" s="193" t="s">
        <v>5411</v>
      </c>
      <c r="O251" s="343" t="s">
        <v>868</v>
      </c>
      <c r="P251" s="341"/>
    </row>
    <row r="252" spans="1:16" x14ac:dyDescent="0.25">
      <c r="A252" s="133"/>
      <c r="B252" s="245"/>
      <c r="C252" s="202"/>
      <c r="D252" s="202"/>
      <c r="E252" s="353"/>
      <c r="F252" s="202"/>
      <c r="G252" s="354"/>
      <c r="H252" s="355"/>
      <c r="I252" s="133"/>
      <c r="J252" s="245"/>
      <c r="K252" s="202"/>
      <c r="L252" s="202"/>
      <c r="M252" s="353"/>
      <c r="N252" s="202"/>
      <c r="O252" s="354"/>
      <c r="P252" s="355"/>
    </row>
    <row r="253" spans="1:16" x14ac:dyDescent="0.25">
      <c r="A253" s="133"/>
      <c r="B253" s="247"/>
      <c r="C253" s="248"/>
      <c r="D253" s="248"/>
      <c r="E253" s="248"/>
      <c r="F253" s="202"/>
      <c r="G253" s="351"/>
      <c r="H253" s="341"/>
      <c r="I253" s="133"/>
      <c r="J253" s="247"/>
      <c r="K253" s="248"/>
      <c r="L253" s="248"/>
      <c r="M253" s="248"/>
      <c r="N253" s="202"/>
      <c r="O253" s="351"/>
      <c r="P253" s="341"/>
    </row>
    <row r="254" spans="1:16" x14ac:dyDescent="0.25">
      <c r="A254" s="133"/>
      <c r="B254" s="247"/>
      <c r="C254" s="232"/>
      <c r="D254" s="232"/>
      <c r="E254" s="232"/>
      <c r="F254" s="226"/>
      <c r="G254" s="344"/>
      <c r="H254" s="341"/>
      <c r="I254" s="133"/>
      <c r="J254" s="247"/>
      <c r="K254" s="232"/>
      <c r="L254" s="232"/>
      <c r="M254" s="232"/>
      <c r="N254" s="226"/>
      <c r="O254" s="344"/>
      <c r="P254" s="341"/>
    </row>
    <row r="255" spans="1:16" x14ac:dyDescent="0.25">
      <c r="A255" s="133"/>
      <c r="B255" s="194"/>
      <c r="C255" s="232"/>
      <c r="D255" s="232"/>
      <c r="E255" s="232"/>
      <c r="F255" s="226"/>
      <c r="G255" s="344"/>
      <c r="H255" s="341"/>
      <c r="I255" s="133"/>
      <c r="J255" s="194"/>
      <c r="K255" s="232"/>
      <c r="L255" s="232"/>
      <c r="M255" s="232"/>
      <c r="N255" s="226"/>
      <c r="O255" s="344"/>
      <c r="P255" s="341"/>
    </row>
    <row r="256" spans="1:16" ht="15.75" thickBot="1" x14ac:dyDescent="0.3">
      <c r="A256" s="133"/>
      <c r="B256" s="195"/>
      <c r="C256" s="232"/>
      <c r="D256" s="232"/>
      <c r="E256" s="232"/>
      <c r="F256" s="226"/>
      <c r="G256" s="344"/>
      <c r="H256" s="341"/>
      <c r="I256" s="133"/>
      <c r="J256" s="195"/>
      <c r="K256" s="232"/>
      <c r="L256" s="232"/>
      <c r="M256" s="232"/>
      <c r="N256" s="226"/>
      <c r="O256" s="344"/>
      <c r="P256" s="341"/>
    </row>
    <row r="257" spans="1:16" ht="15.75" thickBot="1" x14ac:dyDescent="0.3">
      <c r="A257" s="133"/>
      <c r="B257" s="233"/>
      <c r="C257" s="234"/>
      <c r="D257" s="234"/>
      <c r="E257" s="234"/>
      <c r="F257" s="235"/>
      <c r="G257" s="347"/>
      <c r="H257" s="348">
        <f>+SUM(G252:G257)</f>
        <v>0</v>
      </c>
      <c r="I257" s="133"/>
      <c r="J257" s="233"/>
      <c r="K257" s="234"/>
      <c r="L257" s="234"/>
      <c r="M257" s="234"/>
      <c r="N257" s="235"/>
      <c r="O257" s="347"/>
      <c r="P257" s="348">
        <f>+SUM(O252:O257)</f>
        <v>0</v>
      </c>
    </row>
    <row r="258" spans="1:16" ht="15.75" thickBot="1" x14ac:dyDescent="0.3">
      <c r="A258" s="133"/>
      <c r="B258" s="238"/>
      <c r="C258" s="238"/>
      <c r="D258" s="238"/>
      <c r="E258" s="238"/>
      <c r="F258" s="249"/>
      <c r="G258" s="356"/>
      <c r="H258" s="350"/>
      <c r="I258" s="133"/>
      <c r="J258" s="238"/>
      <c r="K258" s="238"/>
      <c r="L258" s="238"/>
      <c r="M258" s="238"/>
      <c r="N258" s="249"/>
      <c r="O258" s="356"/>
      <c r="P258" s="350"/>
    </row>
    <row r="259" spans="1:16" ht="15.75" thickBot="1" x14ac:dyDescent="0.3">
      <c r="A259" s="133"/>
      <c r="B259" s="224" t="s">
        <v>5412</v>
      </c>
      <c r="C259" s="193" t="s">
        <v>5420</v>
      </c>
      <c r="D259" s="193" t="s">
        <v>5421</v>
      </c>
      <c r="E259" s="193" t="s">
        <v>5413</v>
      </c>
      <c r="F259" s="193" t="s">
        <v>5405</v>
      </c>
      <c r="G259" s="343" t="s">
        <v>868</v>
      </c>
      <c r="H259" s="341"/>
      <c r="I259" s="133"/>
      <c r="J259" s="224" t="s">
        <v>5412</v>
      </c>
      <c r="K259" s="193" t="s">
        <v>5420</v>
      </c>
      <c r="L259" s="193" t="s">
        <v>5421</v>
      </c>
      <c r="M259" s="193" t="s">
        <v>5413</v>
      </c>
      <c r="N259" s="193" t="s">
        <v>5405</v>
      </c>
      <c r="O259" s="343" t="s">
        <v>868</v>
      </c>
      <c r="P259" s="341"/>
    </row>
    <row r="260" spans="1:16" x14ac:dyDescent="0.25">
      <c r="A260" s="133"/>
      <c r="B260" s="194" t="s">
        <v>5948</v>
      </c>
      <c r="C260" s="345">
        <v>70000</v>
      </c>
      <c r="D260" s="345">
        <f>+C260*0.85</f>
        <v>59500</v>
      </c>
      <c r="E260" s="353">
        <f>+C260+D260</f>
        <v>129500</v>
      </c>
      <c r="F260" s="209">
        <v>100</v>
      </c>
      <c r="G260" s="351">
        <f>+E260/F260</f>
        <v>1295</v>
      </c>
      <c r="H260" s="341"/>
      <c r="I260" s="133"/>
      <c r="J260" s="194" t="s">
        <v>5948</v>
      </c>
      <c r="K260" s="345">
        <v>70000</v>
      </c>
      <c r="L260" s="345">
        <f>+K260*0.85</f>
        <v>59500</v>
      </c>
      <c r="M260" s="353">
        <f>+K260+L260</f>
        <v>129500</v>
      </c>
      <c r="N260" s="204">
        <v>10</v>
      </c>
      <c r="O260" s="351">
        <f>+M260/N260</f>
        <v>12950</v>
      </c>
      <c r="P260" s="341"/>
    </row>
    <row r="261" spans="1:16" x14ac:dyDescent="0.25">
      <c r="A261" s="133"/>
      <c r="B261" s="194" t="s">
        <v>5949</v>
      </c>
      <c r="C261" s="345">
        <v>40000</v>
      </c>
      <c r="D261" s="345">
        <f>+C261*0.85</f>
        <v>34000</v>
      </c>
      <c r="E261" s="353">
        <f>+C261+D261</f>
        <v>74000</v>
      </c>
      <c r="F261" s="202">
        <v>20</v>
      </c>
      <c r="G261" s="351">
        <f>+E261/F261</f>
        <v>3700</v>
      </c>
      <c r="H261" s="341"/>
      <c r="I261" s="133"/>
      <c r="J261" s="194" t="s">
        <v>5949</v>
      </c>
      <c r="K261" s="345">
        <v>40000</v>
      </c>
      <c r="L261" s="345">
        <f>+K261*0.85</f>
        <v>34000</v>
      </c>
      <c r="M261" s="353">
        <f>+K261+L261</f>
        <v>74000</v>
      </c>
      <c r="N261" s="167">
        <v>1</v>
      </c>
      <c r="O261" s="351">
        <f>+M261/N261</f>
        <v>74000</v>
      </c>
      <c r="P261" s="341"/>
    </row>
    <row r="262" spans="1:16" x14ac:dyDescent="0.25">
      <c r="A262" s="133"/>
      <c r="B262" s="195" t="s">
        <v>5635</v>
      </c>
      <c r="C262" s="345">
        <v>20600</v>
      </c>
      <c r="D262" s="345">
        <f>+C262*0.85</f>
        <v>17510</v>
      </c>
      <c r="E262" s="353">
        <f>+C262+D262</f>
        <v>38110</v>
      </c>
      <c r="F262" s="226">
        <v>3</v>
      </c>
      <c r="G262" s="351">
        <f>+E262/F262</f>
        <v>12703.333333333334</v>
      </c>
      <c r="H262" s="341"/>
      <c r="I262" s="133"/>
      <c r="J262" s="195" t="s">
        <v>5635</v>
      </c>
      <c r="K262" s="345">
        <v>20600</v>
      </c>
      <c r="L262" s="345">
        <f>+K262*0.85</f>
        <v>17510</v>
      </c>
      <c r="M262" s="353">
        <f>+K262+L262</f>
        <v>38110</v>
      </c>
      <c r="N262" s="197">
        <v>1</v>
      </c>
      <c r="O262" s="351">
        <f>+M262/N262</f>
        <v>38110</v>
      </c>
      <c r="P262" s="341"/>
    </row>
    <row r="263" spans="1:16" x14ac:dyDescent="0.25">
      <c r="A263" s="133"/>
      <c r="B263" s="195"/>
      <c r="C263" s="346"/>
      <c r="D263" s="345"/>
      <c r="E263" s="345"/>
      <c r="F263" s="226"/>
      <c r="G263" s="351"/>
      <c r="H263" s="341"/>
      <c r="I263" s="133"/>
      <c r="J263" s="195"/>
      <c r="K263" s="346"/>
      <c r="L263" s="345"/>
      <c r="M263" s="345"/>
      <c r="N263" s="226"/>
      <c r="O263" s="351"/>
      <c r="P263" s="341"/>
    </row>
    <row r="264" spans="1:16" x14ac:dyDescent="0.25">
      <c r="A264" s="133"/>
      <c r="B264" s="195"/>
      <c r="C264" s="232"/>
      <c r="D264" s="232"/>
      <c r="E264" s="232"/>
      <c r="F264" s="226"/>
      <c r="G264" s="344"/>
      <c r="H264" s="341"/>
      <c r="I264" s="133"/>
      <c r="J264" s="195"/>
      <c r="K264" s="232"/>
      <c r="L264" s="232"/>
      <c r="M264" s="232"/>
      <c r="N264" s="226"/>
      <c r="O264" s="344"/>
      <c r="P264" s="341"/>
    </row>
    <row r="265" spans="1:16" ht="15.75" thickBot="1" x14ac:dyDescent="0.3">
      <c r="A265" s="133"/>
      <c r="B265" s="195"/>
      <c r="C265" s="232"/>
      <c r="D265" s="232"/>
      <c r="E265" s="232"/>
      <c r="F265" s="226"/>
      <c r="G265" s="344"/>
      <c r="H265" s="341"/>
      <c r="I265" s="133"/>
      <c r="J265" s="195"/>
      <c r="K265" s="232"/>
      <c r="L265" s="232"/>
      <c r="M265" s="232"/>
      <c r="N265" s="226"/>
      <c r="O265" s="344"/>
      <c r="P265" s="341"/>
    </row>
    <row r="266" spans="1:16" ht="15.75" thickBot="1" x14ac:dyDescent="0.3">
      <c r="A266" s="133"/>
      <c r="B266" s="251"/>
      <c r="C266" s="252"/>
      <c r="D266" s="252"/>
      <c r="E266" s="252"/>
      <c r="F266" s="253"/>
      <c r="G266" s="357"/>
      <c r="H266" s="348">
        <f>+SUM(G260:G266)</f>
        <v>17698.333333333336</v>
      </c>
      <c r="I266" s="133"/>
      <c r="J266" s="251"/>
      <c r="K266" s="252"/>
      <c r="L266" s="252"/>
      <c r="M266" s="252"/>
      <c r="N266" s="253"/>
      <c r="O266" s="357"/>
      <c r="P266" s="348">
        <f>+SUM(O260:O266)</f>
        <v>125060</v>
      </c>
    </row>
    <row r="267" spans="1:16" ht="15.75" thickBot="1" x14ac:dyDescent="0.3">
      <c r="A267" s="133"/>
      <c r="B267" s="8"/>
      <c r="C267" s="8"/>
      <c r="D267" s="8"/>
      <c r="E267" s="8"/>
      <c r="F267" s="133"/>
      <c r="G267" s="341"/>
      <c r="H267" s="341"/>
      <c r="I267" s="133"/>
      <c r="J267" s="8"/>
      <c r="K267" s="8"/>
      <c r="L267" s="8"/>
      <c r="M267" s="8"/>
      <c r="N267" s="133"/>
      <c r="O267" s="341"/>
      <c r="P267" s="341"/>
    </row>
    <row r="268" spans="1:16" ht="15.75" thickBot="1" x14ac:dyDescent="0.3">
      <c r="A268" s="133"/>
      <c r="B268" s="8"/>
      <c r="C268" s="8"/>
      <c r="D268" s="8"/>
      <c r="E268" s="223"/>
      <c r="F268" s="133"/>
      <c r="G268" s="341"/>
      <c r="H268" s="348">
        <f>+H266+H257+H249+H234</f>
        <v>352631.16666666669</v>
      </c>
      <c r="I268" s="133"/>
      <c r="J268" s="8"/>
      <c r="K268" s="8"/>
      <c r="L268" s="8"/>
      <c r="M268" s="223"/>
      <c r="N268" s="133"/>
      <c r="O268" s="341"/>
      <c r="P268" s="348">
        <f>+P266+P257+P249+P234</f>
        <v>498359.00000000006</v>
      </c>
    </row>
    <row r="269" spans="1:16" x14ac:dyDescent="0.25">
      <c r="M269" s="265"/>
    </row>
    <row r="270" spans="1:16" x14ac:dyDescent="0.25">
      <c r="H270" s="273"/>
      <c r="M270" s="265"/>
      <c r="P270" s="273">
        <f>+P234+P249+40000</f>
        <v>413299.00000000006</v>
      </c>
    </row>
    <row r="271" spans="1:16" x14ac:dyDescent="0.25">
      <c r="A271" s="255"/>
      <c r="I271" s="255"/>
      <c r="M271" s="265"/>
    </row>
    <row r="272" spans="1:16" x14ac:dyDescent="0.25">
      <c r="A272" s="255"/>
      <c r="I272" s="255"/>
      <c r="M272" s="265"/>
    </row>
    <row r="273" spans="1:16" ht="18.75" x14ac:dyDescent="0.25">
      <c r="A273" s="133"/>
      <c r="B273" s="2506" t="s">
        <v>5400</v>
      </c>
      <c r="C273" s="2506"/>
      <c r="D273" s="2506"/>
      <c r="E273" s="2506"/>
      <c r="F273" s="2506"/>
      <c r="G273" s="2506"/>
      <c r="H273" s="8"/>
      <c r="I273" s="133"/>
      <c r="J273" s="2506" t="s">
        <v>5400</v>
      </c>
      <c r="K273" s="2506"/>
      <c r="L273" s="2506"/>
      <c r="M273" s="2506"/>
      <c r="N273" s="2506"/>
      <c r="O273" s="2506"/>
      <c r="P273" s="8"/>
    </row>
    <row r="274" spans="1:16" x14ac:dyDescent="0.25">
      <c r="A274" s="133"/>
      <c r="B274" s="8"/>
      <c r="C274" s="8"/>
      <c r="D274" s="8"/>
      <c r="E274" s="8"/>
      <c r="F274" s="133"/>
      <c r="G274" s="341"/>
      <c r="H274" s="341"/>
      <c r="I274" s="133"/>
      <c r="J274" s="8"/>
      <c r="K274" s="8"/>
      <c r="L274" s="8"/>
      <c r="M274" s="8"/>
      <c r="N274" s="133"/>
      <c r="O274" s="341"/>
      <c r="P274" s="341"/>
    </row>
    <row r="275" spans="1:16" x14ac:dyDescent="0.25">
      <c r="A275" s="133"/>
      <c r="B275" s="8"/>
      <c r="C275" s="8"/>
      <c r="D275" s="8"/>
      <c r="E275" s="8"/>
      <c r="F275" s="133"/>
      <c r="G275" s="341"/>
      <c r="H275" s="341"/>
      <c r="I275" s="133"/>
      <c r="J275" s="8"/>
      <c r="K275" s="8"/>
      <c r="L275" s="8"/>
      <c r="M275" s="8"/>
      <c r="N275" s="133"/>
      <c r="O275" s="341"/>
      <c r="P275" s="341"/>
    </row>
    <row r="276" spans="1:16" x14ac:dyDescent="0.25">
      <c r="A276" s="133"/>
      <c r="B276" s="8"/>
      <c r="C276" s="8"/>
      <c r="D276" s="8"/>
      <c r="E276" s="8"/>
      <c r="F276" s="133"/>
      <c r="G276" s="341"/>
      <c r="H276" s="341"/>
      <c r="I276" s="133"/>
      <c r="J276" s="8"/>
      <c r="K276" s="8"/>
      <c r="L276" s="8"/>
      <c r="M276" s="8"/>
      <c r="N276" s="133"/>
      <c r="O276" s="341"/>
      <c r="P276" s="341"/>
    </row>
    <row r="277" spans="1:16" ht="15" customHeight="1" x14ac:dyDescent="0.25">
      <c r="A277" s="220" t="s">
        <v>5482</v>
      </c>
      <c r="B277" s="221" t="s">
        <v>598</v>
      </c>
      <c r="C277" s="2449" t="s">
        <v>6027</v>
      </c>
      <c r="D277" s="2449"/>
      <c r="E277" s="2449"/>
      <c r="F277" s="220" t="s">
        <v>867</v>
      </c>
      <c r="G277" s="342" t="s">
        <v>5454</v>
      </c>
      <c r="H277" s="341"/>
      <c r="I277" s="220" t="s">
        <v>5482</v>
      </c>
      <c r="J277" s="221" t="s">
        <v>598</v>
      </c>
      <c r="K277" s="2449" t="s">
        <v>6028</v>
      </c>
      <c r="L277" s="2449"/>
      <c r="M277" s="2449"/>
      <c r="N277" s="220" t="s">
        <v>867</v>
      </c>
      <c r="O277" s="342" t="s">
        <v>5454</v>
      </c>
      <c r="P277" s="341"/>
    </row>
    <row r="278" spans="1:16" x14ac:dyDescent="0.25">
      <c r="A278" s="133"/>
      <c r="B278" s="8"/>
      <c r="C278" s="223"/>
      <c r="D278" s="223"/>
      <c r="E278" s="223"/>
      <c r="F278" s="133"/>
      <c r="G278" s="341"/>
      <c r="H278" s="341"/>
      <c r="I278" s="133"/>
      <c r="J278" s="8"/>
      <c r="K278" s="223"/>
      <c r="L278" s="223"/>
      <c r="M278" s="223"/>
      <c r="N278" s="133"/>
      <c r="O278" s="341"/>
      <c r="P278" s="341"/>
    </row>
    <row r="279" spans="1:16" x14ac:dyDescent="0.25">
      <c r="A279" s="133"/>
      <c r="B279" s="8"/>
      <c r="C279" s="8"/>
      <c r="D279" s="8"/>
      <c r="E279" s="8"/>
      <c r="F279" s="8"/>
      <c r="G279" s="8"/>
      <c r="H279" s="341"/>
      <c r="I279" s="133"/>
      <c r="J279" s="8"/>
      <c r="K279" s="8"/>
      <c r="L279" s="8"/>
      <c r="M279" s="8"/>
      <c r="N279" s="8"/>
      <c r="O279" s="8"/>
      <c r="P279" s="341"/>
    </row>
    <row r="280" spans="1:16" ht="15.75" thickBot="1" x14ac:dyDescent="0.3">
      <c r="A280" s="133"/>
      <c r="B280" s="8"/>
      <c r="C280" s="8"/>
      <c r="D280" s="8"/>
      <c r="E280" s="8"/>
      <c r="F280" s="133"/>
      <c r="G280" s="341"/>
      <c r="H280" s="341"/>
      <c r="I280" s="133"/>
      <c r="J280" s="8"/>
      <c r="K280" s="8"/>
      <c r="L280" s="8"/>
      <c r="M280" s="8"/>
      <c r="N280" s="133"/>
      <c r="O280" s="341"/>
      <c r="P280" s="341"/>
    </row>
    <row r="281" spans="1:16" ht="15.75" thickBot="1" x14ac:dyDescent="0.3">
      <c r="A281" s="133"/>
      <c r="B281" s="224" t="s">
        <v>5403</v>
      </c>
      <c r="C281" s="193" t="s">
        <v>867</v>
      </c>
      <c r="D281" s="193" t="s">
        <v>6</v>
      </c>
      <c r="E281" s="193" t="s">
        <v>5439</v>
      </c>
      <c r="F281" s="193" t="s">
        <v>5405</v>
      </c>
      <c r="G281" s="343" t="s">
        <v>868</v>
      </c>
      <c r="H281" s="341"/>
      <c r="I281" s="133"/>
      <c r="J281" s="224" t="s">
        <v>5403</v>
      </c>
      <c r="K281" s="193" t="s">
        <v>867</v>
      </c>
      <c r="L281" s="193" t="s">
        <v>6</v>
      </c>
      <c r="M281" s="193" t="s">
        <v>5439</v>
      </c>
      <c r="N281" s="193" t="s">
        <v>5405</v>
      </c>
      <c r="O281" s="343" t="s">
        <v>868</v>
      </c>
      <c r="P281" s="341"/>
    </row>
    <row r="282" spans="1:16" x14ac:dyDescent="0.25">
      <c r="A282" s="133"/>
      <c r="B282" s="195" t="s">
        <v>5440</v>
      </c>
      <c r="C282" s="226" t="s">
        <v>5542</v>
      </c>
      <c r="D282" s="226">
        <v>1</v>
      </c>
      <c r="E282" s="228">
        <f>+H320</f>
        <v>24050</v>
      </c>
      <c r="F282" s="226">
        <v>0.1</v>
      </c>
      <c r="G282" s="344">
        <f>+E282*F282</f>
        <v>2405</v>
      </c>
      <c r="H282" s="341"/>
      <c r="I282" s="133"/>
      <c r="J282" s="195" t="s">
        <v>5440</v>
      </c>
      <c r="K282" s="226" t="s">
        <v>5542</v>
      </c>
      <c r="L282" s="226">
        <v>1</v>
      </c>
      <c r="M282" s="228">
        <f>+P320</f>
        <v>126498.88888888889</v>
      </c>
      <c r="N282" s="226">
        <v>0.1</v>
      </c>
      <c r="O282" s="344">
        <f>+M282*N282</f>
        <v>12649.888888888891</v>
      </c>
      <c r="P282" s="341"/>
    </row>
    <row r="283" spans="1:16" x14ac:dyDescent="0.25">
      <c r="A283" s="133"/>
      <c r="B283" s="195" t="s">
        <v>5548</v>
      </c>
      <c r="C283" s="226" t="s">
        <v>5542</v>
      </c>
      <c r="D283" s="226">
        <v>1</v>
      </c>
      <c r="E283" s="228">
        <v>10000</v>
      </c>
      <c r="F283" s="226">
        <v>1.5</v>
      </c>
      <c r="G283" s="344">
        <f>+D283*E283/F283</f>
        <v>6666.666666666667</v>
      </c>
      <c r="H283" s="341"/>
      <c r="I283" s="133"/>
      <c r="J283" s="195" t="s">
        <v>5548</v>
      </c>
      <c r="K283" s="226" t="s">
        <v>5542</v>
      </c>
      <c r="L283" s="226">
        <v>1</v>
      </c>
      <c r="M283" s="228">
        <v>10000</v>
      </c>
      <c r="N283" s="226">
        <v>1.5</v>
      </c>
      <c r="O283" s="344">
        <f>+L283*M283/N283</f>
        <v>6666.666666666667</v>
      </c>
      <c r="P283" s="341"/>
    </row>
    <row r="284" spans="1:16" x14ac:dyDescent="0.25">
      <c r="A284" s="133"/>
      <c r="B284" s="195"/>
      <c r="C284" s="226"/>
      <c r="D284" s="226"/>
      <c r="E284" s="345"/>
      <c r="F284" s="226"/>
      <c r="G284" s="344"/>
      <c r="H284" s="341"/>
      <c r="I284" s="133"/>
      <c r="J284" s="195" t="s">
        <v>5554</v>
      </c>
      <c r="K284" s="226" t="s">
        <v>5542</v>
      </c>
      <c r="L284" s="226">
        <v>1</v>
      </c>
      <c r="M284" s="345">
        <v>4000</v>
      </c>
      <c r="N284" s="226">
        <v>1</v>
      </c>
      <c r="O284" s="344">
        <f>+L284*M284/N284</f>
        <v>4000</v>
      </c>
      <c r="P284" s="341"/>
    </row>
    <row r="285" spans="1:16" x14ac:dyDescent="0.25">
      <c r="A285" s="133"/>
      <c r="B285" s="195"/>
      <c r="C285" s="226"/>
      <c r="D285" s="226"/>
      <c r="E285" s="346"/>
      <c r="F285" s="226"/>
      <c r="G285" s="344"/>
      <c r="H285" s="341"/>
      <c r="I285" s="133"/>
      <c r="J285" s="195"/>
      <c r="K285" s="226"/>
      <c r="L285" s="226"/>
      <c r="M285" s="346"/>
      <c r="N285" s="226"/>
      <c r="O285" s="344"/>
      <c r="P285" s="341"/>
    </row>
    <row r="286" spans="1:16" x14ac:dyDescent="0.25">
      <c r="A286" s="133"/>
      <c r="B286" s="195"/>
      <c r="C286" s="226"/>
      <c r="D286" s="232"/>
      <c r="E286" s="232"/>
      <c r="F286" s="226"/>
      <c r="G286" s="344"/>
      <c r="H286" s="341"/>
      <c r="I286" s="133"/>
      <c r="J286" s="195"/>
      <c r="K286" s="226"/>
      <c r="L286" s="232"/>
      <c r="M286" s="232"/>
      <c r="N286" s="226"/>
      <c r="O286" s="344"/>
      <c r="P286" s="341"/>
    </row>
    <row r="287" spans="1:16" ht="15.75" thickBot="1" x14ac:dyDescent="0.3">
      <c r="A287" s="133"/>
      <c r="B287" s="195"/>
      <c r="C287" s="226"/>
      <c r="D287" s="232"/>
      <c r="E287" s="232"/>
      <c r="F287" s="226"/>
      <c r="G287" s="344"/>
      <c r="H287" s="341"/>
      <c r="I287" s="133"/>
      <c r="J287" s="195"/>
      <c r="K287" s="226"/>
      <c r="L287" s="232"/>
      <c r="M287" s="232"/>
      <c r="N287" s="226"/>
      <c r="O287" s="344"/>
      <c r="P287" s="341"/>
    </row>
    <row r="288" spans="1:16" ht="15.75" thickBot="1" x14ac:dyDescent="0.3">
      <c r="A288" s="133"/>
      <c r="B288" s="233"/>
      <c r="C288" s="234"/>
      <c r="D288" s="234"/>
      <c r="E288" s="234"/>
      <c r="F288" s="235"/>
      <c r="G288" s="347"/>
      <c r="H288" s="348">
        <f>+SUM(G282:G288)</f>
        <v>9071.6666666666679</v>
      </c>
      <c r="I288" s="133"/>
      <c r="J288" s="233"/>
      <c r="K288" s="234"/>
      <c r="L288" s="234"/>
      <c r="M288" s="234"/>
      <c r="N288" s="235"/>
      <c r="O288" s="347"/>
      <c r="P288" s="348">
        <f>+SUM(O282:O288)</f>
        <v>23316.555555555558</v>
      </c>
    </row>
    <row r="289" spans="1:16" ht="15.75" thickBot="1" x14ac:dyDescent="0.3">
      <c r="A289" s="133"/>
      <c r="B289" s="238"/>
      <c r="C289" s="238"/>
      <c r="D289" s="238"/>
      <c r="E289" s="238"/>
      <c r="F289" s="239"/>
      <c r="G289" s="349"/>
      <c r="H289" s="350"/>
      <c r="I289" s="133"/>
      <c r="J289" s="238"/>
      <c r="K289" s="238"/>
      <c r="L289" s="238"/>
      <c r="M289" s="238"/>
      <c r="N289" s="239"/>
      <c r="O289" s="349"/>
      <c r="P289" s="350"/>
    </row>
    <row r="290" spans="1:16" ht="15.75" thickBot="1" x14ac:dyDescent="0.3">
      <c r="A290" s="133"/>
      <c r="B290" s="224" t="s">
        <v>5408</v>
      </c>
      <c r="C290" s="193" t="s">
        <v>867</v>
      </c>
      <c r="D290" s="193" t="s">
        <v>6</v>
      </c>
      <c r="E290" s="193" t="s">
        <v>870</v>
      </c>
      <c r="F290" s="193" t="s">
        <v>5409</v>
      </c>
      <c r="G290" s="343" t="s">
        <v>868</v>
      </c>
      <c r="H290" s="341"/>
      <c r="I290" s="133"/>
      <c r="J290" s="224" t="s">
        <v>5408</v>
      </c>
      <c r="K290" s="193" t="s">
        <v>867</v>
      </c>
      <c r="L290" s="193" t="s">
        <v>6</v>
      </c>
      <c r="M290" s="193" t="s">
        <v>870</v>
      </c>
      <c r="N290" s="193" t="s">
        <v>5409</v>
      </c>
      <c r="O290" s="343" t="s">
        <v>868</v>
      </c>
      <c r="P290" s="341"/>
    </row>
    <row r="291" spans="1:16" x14ac:dyDescent="0.25">
      <c r="A291" s="133"/>
      <c r="B291" s="242" t="s">
        <v>5549</v>
      </c>
      <c r="C291" s="202" t="s">
        <v>5550</v>
      </c>
      <c r="D291" s="226">
        <v>420</v>
      </c>
      <c r="E291" s="228">
        <v>520</v>
      </c>
      <c r="F291" s="169">
        <v>0.1</v>
      </c>
      <c r="G291" s="351">
        <f>+D291*E291*(1+F291)</f>
        <v>240240.00000000003</v>
      </c>
      <c r="H291" s="341"/>
      <c r="I291" s="133"/>
      <c r="J291" s="242" t="s">
        <v>5549</v>
      </c>
      <c r="K291" s="202" t="s">
        <v>5550</v>
      </c>
      <c r="L291" s="226">
        <v>420</v>
      </c>
      <c r="M291" s="228">
        <v>520</v>
      </c>
      <c r="N291" s="169">
        <v>0.1</v>
      </c>
      <c r="O291" s="351">
        <f>+L291*M291*(1+N291)</f>
        <v>240240.00000000003</v>
      </c>
      <c r="P291" s="341"/>
    </row>
    <row r="292" spans="1:16" x14ac:dyDescent="0.25">
      <c r="A292" s="133"/>
      <c r="B292" s="243" t="s">
        <v>5551</v>
      </c>
      <c r="C292" s="202" t="s">
        <v>5542</v>
      </c>
      <c r="D292" s="202">
        <v>0.67</v>
      </c>
      <c r="E292" s="228">
        <v>86000</v>
      </c>
      <c r="F292" s="169">
        <v>0.1</v>
      </c>
      <c r="G292" s="351">
        <f>+D292*E292*(1+F292)</f>
        <v>63382.000000000007</v>
      </c>
      <c r="H292" s="341"/>
      <c r="I292" s="133"/>
      <c r="J292" s="243" t="s">
        <v>5551</v>
      </c>
      <c r="K292" s="202" t="s">
        <v>5542</v>
      </c>
      <c r="L292" s="202">
        <v>0.67</v>
      </c>
      <c r="M292" s="228">
        <v>86000</v>
      </c>
      <c r="N292" s="169">
        <v>0.1</v>
      </c>
      <c r="O292" s="351">
        <f>+L292*M292*(1+N292)</f>
        <v>63382.000000000007</v>
      </c>
      <c r="P292" s="341"/>
    </row>
    <row r="293" spans="1:16" x14ac:dyDescent="0.25">
      <c r="A293" s="133"/>
      <c r="B293" s="243" t="s">
        <v>5552</v>
      </c>
      <c r="C293" s="226" t="s">
        <v>5542</v>
      </c>
      <c r="D293" s="226">
        <v>0.67</v>
      </c>
      <c r="E293" s="228">
        <v>80000</v>
      </c>
      <c r="F293" s="169">
        <v>0.1</v>
      </c>
      <c r="G293" s="351">
        <f>+D293*E293*(1+F293)</f>
        <v>58960.000000000007</v>
      </c>
      <c r="H293" s="341"/>
      <c r="I293" s="133"/>
      <c r="J293" s="243" t="s">
        <v>5552</v>
      </c>
      <c r="K293" s="226" t="s">
        <v>5542</v>
      </c>
      <c r="L293" s="226">
        <v>0.67</v>
      </c>
      <c r="M293" s="228">
        <v>80000</v>
      </c>
      <c r="N293" s="169">
        <v>0.1</v>
      </c>
      <c r="O293" s="351">
        <f>+L293*M293*(1+N293)</f>
        <v>58960.000000000007</v>
      </c>
      <c r="P293" s="341"/>
    </row>
    <row r="294" spans="1:16" x14ac:dyDescent="0.25">
      <c r="A294" s="133"/>
      <c r="B294" s="194" t="s">
        <v>5553</v>
      </c>
      <c r="C294" s="226" t="s">
        <v>5488</v>
      </c>
      <c r="D294" s="226">
        <v>200</v>
      </c>
      <c r="E294" s="352">
        <v>10</v>
      </c>
      <c r="F294" s="169">
        <v>0.1</v>
      </c>
      <c r="G294" s="351">
        <f>+D294*E294*(1+F294)</f>
        <v>2200</v>
      </c>
      <c r="H294" s="341"/>
      <c r="I294" s="133"/>
      <c r="J294" s="194" t="s">
        <v>5553</v>
      </c>
      <c r="K294" s="226" t="s">
        <v>5488</v>
      </c>
      <c r="L294" s="226">
        <v>200</v>
      </c>
      <c r="M294" s="352">
        <v>10</v>
      </c>
      <c r="N294" s="169">
        <v>0.1</v>
      </c>
      <c r="O294" s="351">
        <f>+L294*M294*(1+N294)</f>
        <v>2200</v>
      </c>
      <c r="P294" s="341"/>
    </row>
    <row r="295" spans="1:16" x14ac:dyDescent="0.25">
      <c r="A295" s="133"/>
      <c r="B295" s="195"/>
      <c r="C295" s="226"/>
      <c r="D295" s="226"/>
      <c r="E295" s="345"/>
      <c r="F295" s="169"/>
      <c r="G295" s="351"/>
      <c r="H295" s="341"/>
      <c r="I295" s="133"/>
      <c r="J295" s="195" t="s">
        <v>5555</v>
      </c>
      <c r="K295" s="226" t="s">
        <v>5556</v>
      </c>
      <c r="L295" s="226">
        <v>0.5</v>
      </c>
      <c r="M295" s="345">
        <v>46600</v>
      </c>
      <c r="N295" s="169">
        <v>0.1</v>
      </c>
      <c r="O295" s="351">
        <f>+L295*M295*(1+N295)</f>
        <v>25630.000000000004</v>
      </c>
      <c r="P295" s="341"/>
    </row>
    <row r="296" spans="1:16" x14ac:dyDescent="0.25">
      <c r="A296" s="133"/>
      <c r="B296" s="194"/>
      <c r="C296" s="202"/>
      <c r="D296" s="202"/>
      <c r="E296" s="345"/>
      <c r="F296" s="169"/>
      <c r="G296" s="351"/>
      <c r="H296" s="341"/>
      <c r="I296" s="133"/>
      <c r="J296" s="194"/>
      <c r="K296" s="202"/>
      <c r="L296" s="202"/>
      <c r="M296" s="345"/>
      <c r="N296" s="169"/>
      <c r="O296" s="351"/>
      <c r="P296" s="341"/>
    </row>
    <row r="297" spans="1:16" x14ac:dyDescent="0.25">
      <c r="A297" s="133"/>
      <c r="B297" s="195"/>
      <c r="C297" s="226"/>
      <c r="D297" s="226"/>
      <c r="E297" s="345"/>
      <c r="F297" s="169"/>
      <c r="G297" s="351"/>
      <c r="H297" s="341"/>
      <c r="I297" s="133"/>
      <c r="J297" s="195"/>
      <c r="K297" s="226"/>
      <c r="L297" s="226"/>
      <c r="M297" s="345"/>
      <c r="N297" s="169"/>
      <c r="O297" s="351"/>
      <c r="P297" s="341"/>
    </row>
    <row r="298" spans="1:16" x14ac:dyDescent="0.25">
      <c r="A298" s="133"/>
      <c r="B298" s="195"/>
      <c r="C298" s="226"/>
      <c r="D298" s="226"/>
      <c r="E298" s="345"/>
      <c r="F298" s="169"/>
      <c r="G298" s="351"/>
      <c r="H298" s="341"/>
      <c r="I298" s="133"/>
      <c r="J298" s="195"/>
      <c r="K298" s="226"/>
      <c r="L298" s="226"/>
      <c r="M298" s="345"/>
      <c r="N298" s="169"/>
      <c r="O298" s="351"/>
      <c r="P298" s="341"/>
    </row>
    <row r="299" spans="1:16" x14ac:dyDescent="0.25">
      <c r="A299" s="133"/>
      <c r="B299" s="195"/>
      <c r="C299" s="232"/>
      <c r="D299" s="232"/>
      <c r="E299" s="232"/>
      <c r="F299" s="226"/>
      <c r="G299" s="344"/>
      <c r="H299" s="341"/>
      <c r="I299" s="133"/>
      <c r="J299" s="195"/>
      <c r="K299" s="232"/>
      <c r="L299" s="232"/>
      <c r="M299" s="232"/>
      <c r="N299" s="226"/>
      <c r="O299" s="344"/>
      <c r="P299" s="341"/>
    </row>
    <row r="300" spans="1:16" x14ac:dyDescent="0.25">
      <c r="A300" s="133"/>
      <c r="B300" s="195"/>
      <c r="C300" s="232"/>
      <c r="D300" s="232"/>
      <c r="E300" s="232"/>
      <c r="F300" s="226"/>
      <c r="G300" s="344"/>
      <c r="H300" s="341"/>
      <c r="I300" s="133"/>
      <c r="J300" s="195"/>
      <c r="K300" s="232"/>
      <c r="L300" s="232"/>
      <c r="M300" s="232"/>
      <c r="N300" s="226"/>
      <c r="O300" s="344"/>
      <c r="P300" s="341"/>
    </row>
    <row r="301" spans="1:16" x14ac:dyDescent="0.25">
      <c r="A301" s="133"/>
      <c r="B301" s="195"/>
      <c r="C301" s="232"/>
      <c r="D301" s="232"/>
      <c r="E301" s="232"/>
      <c r="F301" s="226"/>
      <c r="G301" s="344"/>
      <c r="H301" s="341"/>
      <c r="I301" s="133"/>
      <c r="J301" s="195"/>
      <c r="K301" s="232"/>
      <c r="L301" s="232"/>
      <c r="M301" s="232"/>
      <c r="N301" s="226"/>
      <c r="O301" s="344"/>
      <c r="P301" s="341"/>
    </row>
    <row r="302" spans="1:16" ht="15.75" thickBot="1" x14ac:dyDescent="0.3">
      <c r="A302" s="133"/>
      <c r="B302" s="195"/>
      <c r="C302" s="232"/>
      <c r="D302" s="232"/>
      <c r="E302" s="232"/>
      <c r="F302" s="226"/>
      <c r="G302" s="344"/>
      <c r="H302" s="341"/>
      <c r="I302" s="133"/>
      <c r="J302" s="195"/>
      <c r="K302" s="232"/>
      <c r="L302" s="232"/>
      <c r="M302" s="232"/>
      <c r="N302" s="226"/>
      <c r="O302" s="344"/>
      <c r="P302" s="341"/>
    </row>
    <row r="303" spans="1:16" ht="15.75" thickBot="1" x14ac:dyDescent="0.3">
      <c r="A303" s="133"/>
      <c r="B303" s="233"/>
      <c r="C303" s="234"/>
      <c r="D303" s="234"/>
      <c r="E303" s="234"/>
      <c r="F303" s="235"/>
      <c r="G303" s="347"/>
      <c r="H303" s="348">
        <f>+SUM(G291:G303)</f>
        <v>364782.00000000006</v>
      </c>
      <c r="I303" s="133"/>
      <c r="J303" s="233"/>
      <c r="K303" s="234"/>
      <c r="L303" s="234"/>
      <c r="M303" s="234"/>
      <c r="N303" s="235"/>
      <c r="O303" s="347"/>
      <c r="P303" s="348">
        <f>+SUM(O291:O303)</f>
        <v>390412.00000000006</v>
      </c>
    </row>
    <row r="304" spans="1:16" ht="15.75" thickBot="1" x14ac:dyDescent="0.3">
      <c r="A304" s="133"/>
      <c r="B304" s="238"/>
      <c r="C304" s="238"/>
      <c r="D304" s="238"/>
      <c r="E304" s="238"/>
      <c r="F304" s="239"/>
      <c r="G304" s="349"/>
      <c r="H304" s="350"/>
      <c r="I304" s="133"/>
      <c r="J304" s="238"/>
      <c r="K304" s="238"/>
      <c r="L304" s="238"/>
      <c r="M304" s="238"/>
      <c r="N304" s="239"/>
      <c r="O304" s="349"/>
      <c r="P304" s="350"/>
    </row>
    <row r="305" spans="1:16" ht="15.75" thickBot="1" x14ac:dyDescent="0.3">
      <c r="A305" s="133"/>
      <c r="B305" s="224" t="s">
        <v>5410</v>
      </c>
      <c r="C305" s="193" t="s">
        <v>867</v>
      </c>
      <c r="D305" s="193" t="s">
        <v>6</v>
      </c>
      <c r="E305" s="193" t="s">
        <v>870</v>
      </c>
      <c r="F305" s="193" t="s">
        <v>5411</v>
      </c>
      <c r="G305" s="343" t="s">
        <v>868</v>
      </c>
      <c r="H305" s="341"/>
      <c r="I305" s="133"/>
      <c r="J305" s="224" t="s">
        <v>5410</v>
      </c>
      <c r="K305" s="193" t="s">
        <v>867</v>
      </c>
      <c r="L305" s="193" t="s">
        <v>6</v>
      </c>
      <c r="M305" s="193" t="s">
        <v>870</v>
      </c>
      <c r="N305" s="193" t="s">
        <v>5411</v>
      </c>
      <c r="O305" s="343" t="s">
        <v>868</v>
      </c>
      <c r="P305" s="341"/>
    </row>
    <row r="306" spans="1:16" x14ac:dyDescent="0.25">
      <c r="A306" s="133"/>
      <c r="B306" s="245"/>
      <c r="C306" s="202"/>
      <c r="D306" s="202"/>
      <c r="E306" s="353"/>
      <c r="F306" s="202"/>
      <c r="G306" s="354"/>
      <c r="H306" s="355"/>
      <c r="I306" s="133"/>
      <c r="J306" s="245"/>
      <c r="K306" s="202"/>
      <c r="L306" s="202"/>
      <c r="M306" s="353"/>
      <c r="N306" s="202"/>
      <c r="O306" s="354"/>
      <c r="P306" s="355"/>
    </row>
    <row r="307" spans="1:16" x14ac:dyDescent="0.25">
      <c r="A307" s="133"/>
      <c r="B307" s="247"/>
      <c r="C307" s="248"/>
      <c r="D307" s="248"/>
      <c r="E307" s="248"/>
      <c r="F307" s="202"/>
      <c r="G307" s="351"/>
      <c r="H307" s="341"/>
      <c r="I307" s="133"/>
      <c r="J307" s="247"/>
      <c r="K307" s="248"/>
      <c r="L307" s="248"/>
      <c r="M307" s="248"/>
      <c r="N307" s="202"/>
      <c r="O307" s="351"/>
      <c r="P307" s="341"/>
    </row>
    <row r="308" spans="1:16" x14ac:dyDescent="0.25">
      <c r="A308" s="133"/>
      <c r="B308" s="247"/>
      <c r="C308" s="232"/>
      <c r="D308" s="232"/>
      <c r="E308" s="232"/>
      <c r="F308" s="226"/>
      <c r="G308" s="344"/>
      <c r="H308" s="341"/>
      <c r="I308" s="133"/>
      <c r="J308" s="247"/>
      <c r="K308" s="232"/>
      <c r="L308" s="232"/>
      <c r="M308" s="232"/>
      <c r="N308" s="226"/>
      <c r="O308" s="344"/>
      <c r="P308" s="341"/>
    </row>
    <row r="309" spans="1:16" x14ac:dyDescent="0.25">
      <c r="A309" s="133"/>
      <c r="B309" s="194"/>
      <c r="C309" s="232"/>
      <c r="D309" s="232"/>
      <c r="E309" s="232"/>
      <c r="F309" s="226"/>
      <c r="G309" s="344"/>
      <c r="H309" s="341"/>
      <c r="I309" s="133"/>
      <c r="J309" s="194"/>
      <c r="K309" s="232"/>
      <c r="L309" s="232"/>
      <c r="M309" s="232"/>
      <c r="N309" s="226"/>
      <c r="O309" s="344"/>
      <c r="P309" s="341"/>
    </row>
    <row r="310" spans="1:16" ht="15.75" thickBot="1" x14ac:dyDescent="0.3">
      <c r="A310" s="133"/>
      <c r="B310" s="195"/>
      <c r="C310" s="232"/>
      <c r="D310" s="232"/>
      <c r="E310" s="232"/>
      <c r="F310" s="226"/>
      <c r="G310" s="344"/>
      <c r="H310" s="341"/>
      <c r="I310" s="133"/>
      <c r="J310" s="195"/>
      <c r="K310" s="232"/>
      <c r="L310" s="232"/>
      <c r="M310" s="232"/>
      <c r="N310" s="226"/>
      <c r="O310" s="344"/>
      <c r="P310" s="341"/>
    </row>
    <row r="311" spans="1:16" ht="15.75" thickBot="1" x14ac:dyDescent="0.3">
      <c r="A311" s="133"/>
      <c r="B311" s="233"/>
      <c r="C311" s="234"/>
      <c r="D311" s="234"/>
      <c r="E311" s="234"/>
      <c r="F311" s="235"/>
      <c r="G311" s="347"/>
      <c r="H311" s="348">
        <f>+SUM(G306:G311)</f>
        <v>0</v>
      </c>
      <c r="I311" s="133"/>
      <c r="J311" s="233"/>
      <c r="K311" s="234"/>
      <c r="L311" s="234"/>
      <c r="M311" s="234"/>
      <c r="N311" s="235"/>
      <c r="O311" s="347"/>
      <c r="P311" s="348">
        <f>+SUM(O306:O311)</f>
        <v>0</v>
      </c>
    </row>
    <row r="312" spans="1:16" ht="15.75" thickBot="1" x14ac:dyDescent="0.3">
      <c r="A312" s="133"/>
      <c r="B312" s="238"/>
      <c r="C312" s="238"/>
      <c r="D312" s="238"/>
      <c r="E312" s="238"/>
      <c r="F312" s="249"/>
      <c r="G312" s="356"/>
      <c r="H312" s="350"/>
      <c r="I312" s="133"/>
      <c r="J312" s="238"/>
      <c r="K312" s="238"/>
      <c r="L312" s="238"/>
      <c r="M312" s="238"/>
      <c r="N312" s="249"/>
      <c r="O312" s="356"/>
      <c r="P312" s="350"/>
    </row>
    <row r="313" spans="1:16" ht="15.75" thickBot="1" x14ac:dyDescent="0.3">
      <c r="A313" s="133"/>
      <c r="B313" s="224" t="s">
        <v>5412</v>
      </c>
      <c r="C313" s="193" t="s">
        <v>5420</v>
      </c>
      <c r="D313" s="193" t="s">
        <v>5421</v>
      </c>
      <c r="E313" s="193" t="s">
        <v>5413</v>
      </c>
      <c r="F313" s="193" t="s">
        <v>5405</v>
      </c>
      <c r="G313" s="343" t="s">
        <v>868</v>
      </c>
      <c r="H313" s="341"/>
      <c r="I313" s="133"/>
      <c r="J313" s="224" t="s">
        <v>5412</v>
      </c>
      <c r="K313" s="193" t="s">
        <v>5420</v>
      </c>
      <c r="L313" s="193" t="s">
        <v>5421</v>
      </c>
      <c r="M313" s="193" t="s">
        <v>5413</v>
      </c>
      <c r="N313" s="193" t="s">
        <v>5405</v>
      </c>
      <c r="O313" s="343" t="s">
        <v>868</v>
      </c>
      <c r="P313" s="341"/>
    </row>
    <row r="314" spans="1:16" x14ac:dyDescent="0.25">
      <c r="A314" s="133"/>
      <c r="B314" s="194" t="s">
        <v>5948</v>
      </c>
      <c r="C314" s="345">
        <v>70000</v>
      </c>
      <c r="D314" s="345">
        <f>+C314*0.85</f>
        <v>59500</v>
      </c>
      <c r="E314" s="353">
        <f>+C314+D314</f>
        <v>129500</v>
      </c>
      <c r="F314" s="209">
        <v>100</v>
      </c>
      <c r="G314" s="351">
        <f>+E314/F314</f>
        <v>1295</v>
      </c>
      <c r="H314" s="341"/>
      <c r="I314" s="133"/>
      <c r="J314" s="194" t="s">
        <v>5948</v>
      </c>
      <c r="K314" s="345">
        <v>70000</v>
      </c>
      <c r="L314" s="345">
        <f>+K314*0.85</f>
        <v>59500</v>
      </c>
      <c r="M314" s="353">
        <f>+K314+L314</f>
        <v>129500</v>
      </c>
      <c r="N314" s="209">
        <v>9</v>
      </c>
      <c r="O314" s="351">
        <f>+M314/N314</f>
        <v>14388.888888888889</v>
      </c>
      <c r="P314" s="341"/>
    </row>
    <row r="315" spans="1:16" x14ac:dyDescent="0.25">
      <c r="A315" s="133"/>
      <c r="B315" s="194" t="s">
        <v>5949</v>
      </c>
      <c r="C315" s="345">
        <v>40000</v>
      </c>
      <c r="D315" s="345">
        <f>+C315*0.85</f>
        <v>34000</v>
      </c>
      <c r="E315" s="353">
        <f>+C315+D315</f>
        <v>74000</v>
      </c>
      <c r="F315" s="202">
        <v>20</v>
      </c>
      <c r="G315" s="351">
        <f>+E315/F315</f>
        <v>3700</v>
      </c>
      <c r="H315" s="341"/>
      <c r="I315" s="133"/>
      <c r="J315" s="194" t="s">
        <v>5949</v>
      </c>
      <c r="K315" s="345">
        <v>40000</v>
      </c>
      <c r="L315" s="345">
        <f>+K315*0.85</f>
        <v>34000</v>
      </c>
      <c r="M315" s="353">
        <f>+K315+L315</f>
        <v>74000</v>
      </c>
      <c r="N315" s="202">
        <v>1</v>
      </c>
      <c r="O315" s="351">
        <f>+M315/N315</f>
        <v>74000</v>
      </c>
      <c r="P315" s="341"/>
    </row>
    <row r="316" spans="1:16" x14ac:dyDescent="0.25">
      <c r="A316" s="133"/>
      <c r="B316" s="195" t="s">
        <v>5635</v>
      </c>
      <c r="C316" s="345">
        <v>20600</v>
      </c>
      <c r="D316" s="345">
        <f>+C316*0.85</f>
        <v>17510</v>
      </c>
      <c r="E316" s="353">
        <f>+C316+D316</f>
        <v>38110</v>
      </c>
      <c r="F316" s="226">
        <v>2</v>
      </c>
      <c r="G316" s="351">
        <f>+E316/F316</f>
        <v>19055</v>
      </c>
      <c r="H316" s="341"/>
      <c r="I316" s="133"/>
      <c r="J316" s="195" t="s">
        <v>5635</v>
      </c>
      <c r="K316" s="345">
        <v>20600</v>
      </c>
      <c r="L316" s="345">
        <f>+K316*0.85</f>
        <v>17510</v>
      </c>
      <c r="M316" s="353">
        <f>+K316+L316</f>
        <v>38110</v>
      </c>
      <c r="N316" s="226">
        <v>1</v>
      </c>
      <c r="O316" s="351">
        <f>+M316/N316</f>
        <v>38110</v>
      </c>
      <c r="P316" s="341"/>
    </row>
    <row r="317" spans="1:16" x14ac:dyDescent="0.25">
      <c r="A317" s="133"/>
      <c r="B317" s="195"/>
      <c r="C317" s="346"/>
      <c r="D317" s="345"/>
      <c r="E317" s="345"/>
      <c r="F317" s="226"/>
      <c r="G317" s="351"/>
      <c r="H317" s="341"/>
      <c r="I317" s="133"/>
      <c r="J317" s="195"/>
      <c r="K317" s="346"/>
      <c r="L317" s="345"/>
      <c r="M317" s="345"/>
      <c r="N317" s="226"/>
      <c r="O317" s="351"/>
      <c r="P317" s="341"/>
    </row>
    <row r="318" spans="1:16" x14ac:dyDescent="0.25">
      <c r="A318" s="133"/>
      <c r="B318" s="195"/>
      <c r="C318" s="232"/>
      <c r="D318" s="232"/>
      <c r="E318" s="232"/>
      <c r="F318" s="226"/>
      <c r="G318" s="344"/>
      <c r="H318" s="341"/>
      <c r="I318" s="133"/>
      <c r="J318" s="195"/>
      <c r="K318" s="232"/>
      <c r="L318" s="232"/>
      <c r="M318" s="232"/>
      <c r="N318" s="226"/>
      <c r="O318" s="344"/>
      <c r="P318" s="341"/>
    </row>
    <row r="319" spans="1:16" ht="15.75" thickBot="1" x14ac:dyDescent="0.3">
      <c r="A319" s="133"/>
      <c r="B319" s="195"/>
      <c r="C319" s="232"/>
      <c r="D319" s="232"/>
      <c r="E319" s="232"/>
      <c r="F319" s="226"/>
      <c r="G319" s="344"/>
      <c r="H319" s="341"/>
      <c r="I319" s="133"/>
      <c r="J319" s="195"/>
      <c r="K319" s="232"/>
      <c r="L319" s="232"/>
      <c r="M319" s="232"/>
      <c r="N319" s="226"/>
      <c r="O319" s="344"/>
      <c r="P319" s="341"/>
    </row>
    <row r="320" spans="1:16" ht="15.75" thickBot="1" x14ac:dyDescent="0.3">
      <c r="A320" s="133"/>
      <c r="B320" s="251"/>
      <c r="C320" s="252"/>
      <c r="D320" s="252"/>
      <c r="E320" s="252"/>
      <c r="F320" s="253"/>
      <c r="G320" s="357"/>
      <c r="H320" s="348">
        <f>+SUM(G314:G320)</f>
        <v>24050</v>
      </c>
      <c r="I320" s="133"/>
      <c r="J320" s="251"/>
      <c r="K320" s="252"/>
      <c r="L320" s="252"/>
      <c r="M320" s="252"/>
      <c r="N320" s="253"/>
      <c r="O320" s="357"/>
      <c r="P320" s="348">
        <f>+SUM(O314:O320)</f>
        <v>126498.88888888889</v>
      </c>
    </row>
    <row r="321" spans="1:16" ht="15.75" thickBot="1" x14ac:dyDescent="0.3">
      <c r="A321" s="133"/>
      <c r="B321" s="8"/>
      <c r="C321" s="8"/>
      <c r="D321" s="8"/>
      <c r="E321" s="8"/>
      <c r="F321" s="133"/>
      <c r="G321" s="341"/>
      <c r="H321" s="341"/>
      <c r="I321" s="133"/>
      <c r="J321" s="8"/>
      <c r="K321" s="8"/>
      <c r="L321" s="8"/>
      <c r="M321" s="8"/>
      <c r="N321" s="133"/>
      <c r="O321" s="341"/>
      <c r="P321" s="341"/>
    </row>
    <row r="322" spans="1:16" ht="15.75" thickBot="1" x14ac:dyDescent="0.3">
      <c r="A322" s="133"/>
      <c r="B322" s="8"/>
      <c r="C322" s="8"/>
      <c r="D322" s="8"/>
      <c r="E322" s="223"/>
      <c r="F322" s="133"/>
      <c r="G322" s="341"/>
      <c r="H322" s="348">
        <f>+H320+H311+H303+H288</f>
        <v>397903.66666666674</v>
      </c>
      <c r="I322" s="133"/>
      <c r="J322" s="8"/>
      <c r="K322" s="8"/>
      <c r="L322" s="8"/>
      <c r="M322" s="223"/>
      <c r="N322" s="133"/>
      <c r="O322" s="341"/>
      <c r="P322" s="348">
        <f>+P320+P311+P303+P288</f>
        <v>540227.4444444445</v>
      </c>
    </row>
    <row r="323" spans="1:16" x14ac:dyDescent="0.25">
      <c r="M323" s="265"/>
    </row>
    <row r="324" spans="1:16" x14ac:dyDescent="0.25">
      <c r="A324" s="255"/>
      <c r="H324" s="273">
        <f>+H288+H303+45000</f>
        <v>418853.66666666674</v>
      </c>
      <c r="I324" s="255"/>
      <c r="M324" s="265"/>
      <c r="P324" s="273">
        <f>+P288+P303+45000</f>
        <v>458728.55555555562</v>
      </c>
    </row>
    <row r="325" spans="1:16" x14ac:dyDescent="0.25">
      <c r="A325" s="255"/>
      <c r="I325" s="255"/>
      <c r="M325" s="265"/>
    </row>
    <row r="326" spans="1:16" x14ac:dyDescent="0.25">
      <c r="A326" s="255"/>
      <c r="I326" s="255"/>
      <c r="M326" s="265"/>
    </row>
    <row r="327" spans="1:16" ht="18.75" x14ac:dyDescent="0.25">
      <c r="A327" s="133"/>
      <c r="B327" s="2506" t="s">
        <v>5400</v>
      </c>
      <c r="C327" s="2506"/>
      <c r="D327" s="2506"/>
      <c r="E327" s="2506"/>
      <c r="F327" s="2506"/>
      <c r="G327" s="2506"/>
      <c r="H327" s="8"/>
      <c r="I327" s="133"/>
      <c r="J327" s="2506" t="s">
        <v>5400</v>
      </c>
      <c r="K327" s="2506"/>
      <c r="L327" s="2506"/>
      <c r="M327" s="2506"/>
      <c r="N327" s="2506"/>
      <c r="O327" s="2506"/>
      <c r="P327" s="8"/>
    </row>
    <row r="328" spans="1:16" x14ac:dyDescent="0.25">
      <c r="A328" s="133"/>
      <c r="B328" s="8"/>
      <c r="C328" s="8"/>
      <c r="D328" s="8"/>
      <c r="E328" s="8"/>
      <c r="F328" s="133"/>
      <c r="G328" s="341"/>
      <c r="H328" s="341"/>
      <c r="I328" s="133"/>
      <c r="J328" s="8"/>
      <c r="K328" s="8"/>
      <c r="L328" s="8"/>
      <c r="M328" s="8"/>
      <c r="N328" s="133"/>
      <c r="O328" s="341"/>
      <c r="P328" s="341"/>
    </row>
    <row r="329" spans="1:16" x14ac:dyDescent="0.25">
      <c r="A329" s="133"/>
      <c r="B329" s="8"/>
      <c r="C329" s="8"/>
      <c r="D329" s="8"/>
      <c r="E329" s="8"/>
      <c r="F329" s="133"/>
      <c r="G329" s="341"/>
      <c r="H329" s="341"/>
      <c r="I329" s="133"/>
      <c r="J329" s="8"/>
      <c r="K329" s="8"/>
      <c r="L329" s="8"/>
      <c r="M329" s="8"/>
      <c r="N329" s="133"/>
      <c r="O329" s="341"/>
      <c r="P329" s="341"/>
    </row>
    <row r="330" spans="1:16" x14ac:dyDescent="0.25">
      <c r="A330" s="133"/>
      <c r="B330" s="8"/>
      <c r="C330" s="8"/>
      <c r="D330" s="8"/>
      <c r="E330" s="8"/>
      <c r="F330" s="133"/>
      <c r="G330" s="341"/>
      <c r="H330" s="341"/>
      <c r="I330" s="133"/>
      <c r="J330" s="8"/>
      <c r="K330" s="8"/>
      <c r="L330" s="8"/>
      <c r="M330" s="8"/>
      <c r="N330" s="133"/>
      <c r="O330" s="341"/>
      <c r="P330" s="341"/>
    </row>
    <row r="331" spans="1:16" ht="15" customHeight="1" x14ac:dyDescent="0.25">
      <c r="A331" s="220" t="s">
        <v>5482</v>
      </c>
      <c r="B331" s="221" t="s">
        <v>5557</v>
      </c>
      <c r="C331" s="2449" t="s">
        <v>5558</v>
      </c>
      <c r="D331" s="2449"/>
      <c r="E331" s="2449"/>
      <c r="F331" s="220" t="s">
        <v>867</v>
      </c>
      <c r="G331" s="342" t="s">
        <v>5454</v>
      </c>
      <c r="H331" s="341"/>
      <c r="I331" s="220" t="s">
        <v>5482</v>
      </c>
      <c r="J331" s="221" t="s">
        <v>5557</v>
      </c>
      <c r="K331" s="2449" t="s">
        <v>5558</v>
      </c>
      <c r="L331" s="2449"/>
      <c r="M331" s="2449"/>
      <c r="N331" s="220" t="s">
        <v>867</v>
      </c>
      <c r="O331" s="342" t="s">
        <v>5454</v>
      </c>
      <c r="P331" s="341"/>
    </row>
    <row r="332" spans="1:16" x14ac:dyDescent="0.25">
      <c r="A332" s="133"/>
      <c r="B332" s="8"/>
      <c r="C332" s="223"/>
      <c r="D332" s="223"/>
      <c r="E332" s="223"/>
      <c r="F332" s="133"/>
      <c r="G332" s="341"/>
      <c r="H332" s="341"/>
      <c r="I332" s="133"/>
      <c r="J332" s="8"/>
      <c r="K332" s="223"/>
      <c r="L332" s="223"/>
      <c r="M332" s="223"/>
      <c r="N332" s="133"/>
      <c r="O332" s="341"/>
      <c r="P332" s="341"/>
    </row>
    <row r="333" spans="1:16" x14ac:dyDescent="0.25">
      <c r="A333" s="133"/>
      <c r="B333" s="8"/>
      <c r="C333" s="8"/>
      <c r="D333" s="8"/>
      <c r="E333" s="8"/>
      <c r="F333" s="8"/>
      <c r="G333" s="8"/>
      <c r="H333" s="341"/>
      <c r="I333" s="133"/>
      <c r="J333" s="8"/>
      <c r="K333" s="8"/>
      <c r="L333" s="8"/>
      <c r="M333" s="8"/>
      <c r="N333" s="8"/>
      <c r="O333" s="8"/>
      <c r="P333" s="341"/>
    </row>
    <row r="334" spans="1:16" ht="15.75" thickBot="1" x14ac:dyDescent="0.3">
      <c r="A334" s="133"/>
      <c r="B334" s="8"/>
      <c r="C334" s="8"/>
      <c r="D334" s="8"/>
      <c r="E334" s="8"/>
      <c r="F334" s="133"/>
      <c r="G334" s="341"/>
      <c r="H334" s="341"/>
      <c r="I334" s="133"/>
      <c r="J334" s="8"/>
      <c r="K334" s="8"/>
      <c r="L334" s="8"/>
      <c r="M334" s="8"/>
      <c r="N334" s="133"/>
      <c r="O334" s="341"/>
      <c r="P334" s="341"/>
    </row>
    <row r="335" spans="1:16" ht="15.75" thickBot="1" x14ac:dyDescent="0.3">
      <c r="A335" s="133"/>
      <c r="B335" s="224" t="s">
        <v>5403</v>
      </c>
      <c r="C335" s="193" t="s">
        <v>867</v>
      </c>
      <c r="D335" s="193" t="s">
        <v>6</v>
      </c>
      <c r="E335" s="193" t="s">
        <v>5439</v>
      </c>
      <c r="F335" s="193" t="s">
        <v>5405</v>
      </c>
      <c r="G335" s="343" t="s">
        <v>868</v>
      </c>
      <c r="H335" s="341"/>
      <c r="I335" s="133"/>
      <c r="J335" s="224" t="s">
        <v>5403</v>
      </c>
      <c r="K335" s="193" t="s">
        <v>867</v>
      </c>
      <c r="L335" s="193" t="s">
        <v>6</v>
      </c>
      <c r="M335" s="193" t="s">
        <v>5439</v>
      </c>
      <c r="N335" s="193" t="s">
        <v>5405</v>
      </c>
      <c r="O335" s="343" t="s">
        <v>868</v>
      </c>
      <c r="P335" s="341"/>
    </row>
    <row r="336" spans="1:16" x14ac:dyDescent="0.25">
      <c r="A336" s="133"/>
      <c r="B336" s="195" t="s">
        <v>5440</v>
      </c>
      <c r="C336" s="226" t="s">
        <v>5542</v>
      </c>
      <c r="D336" s="226">
        <v>1</v>
      </c>
      <c r="E336" s="228">
        <f>+H374</f>
        <v>24050</v>
      </c>
      <c r="F336" s="226">
        <v>0.1</v>
      </c>
      <c r="G336" s="344">
        <f>+E336*F336</f>
        <v>2405</v>
      </c>
      <c r="H336" s="341"/>
      <c r="I336" s="133"/>
      <c r="J336" s="195" t="s">
        <v>5440</v>
      </c>
      <c r="K336" s="226" t="s">
        <v>5542</v>
      </c>
      <c r="L336" s="226">
        <v>1</v>
      </c>
      <c r="M336" s="228">
        <f>+P374</f>
        <v>138010</v>
      </c>
      <c r="N336" s="226">
        <v>0.1</v>
      </c>
      <c r="O336" s="344">
        <f>+M336*N336</f>
        <v>13801</v>
      </c>
      <c r="P336" s="341"/>
    </row>
    <row r="337" spans="1:16" x14ac:dyDescent="0.25">
      <c r="A337" s="133"/>
      <c r="B337" s="444" t="s">
        <v>5548</v>
      </c>
      <c r="C337" s="445" t="s">
        <v>5542</v>
      </c>
      <c r="D337" s="445">
        <v>1</v>
      </c>
      <c r="E337" s="228">
        <v>10000</v>
      </c>
      <c r="F337" s="445">
        <v>1</v>
      </c>
      <c r="G337" s="446">
        <f>+D337*E337/F337</f>
        <v>10000</v>
      </c>
      <c r="H337" s="341"/>
      <c r="I337" s="133"/>
      <c r="J337" s="444" t="s">
        <v>5548</v>
      </c>
      <c r="K337" s="445" t="s">
        <v>5542</v>
      </c>
      <c r="L337" s="445">
        <v>1</v>
      </c>
      <c r="M337" s="228">
        <v>10000</v>
      </c>
      <c r="N337" s="445">
        <v>1</v>
      </c>
      <c r="O337" s="446">
        <f>+L337*M337/N337</f>
        <v>10000</v>
      </c>
      <c r="P337" s="341"/>
    </row>
    <row r="338" spans="1:16" x14ac:dyDescent="0.25">
      <c r="A338" s="133"/>
      <c r="B338" s="195"/>
      <c r="C338" s="226"/>
      <c r="D338" s="226"/>
      <c r="E338" s="345"/>
      <c r="F338" s="226"/>
      <c r="G338" s="344"/>
      <c r="H338" s="341"/>
      <c r="I338" s="133"/>
      <c r="J338" s="195" t="s">
        <v>5554</v>
      </c>
      <c r="K338" s="226" t="s">
        <v>5542</v>
      </c>
      <c r="L338" s="226">
        <v>1</v>
      </c>
      <c r="M338" s="345">
        <v>4000</v>
      </c>
      <c r="N338" s="226">
        <v>1</v>
      </c>
      <c r="O338" s="344">
        <f>+L338*M338/N338</f>
        <v>4000</v>
      </c>
      <c r="P338" s="341"/>
    </row>
    <row r="339" spans="1:16" x14ac:dyDescent="0.25">
      <c r="A339" s="133"/>
      <c r="B339" s="195"/>
      <c r="C339" s="226"/>
      <c r="D339" s="226"/>
      <c r="E339" s="346"/>
      <c r="F339" s="226"/>
      <c r="G339" s="344"/>
      <c r="H339" s="341"/>
      <c r="I339" s="133"/>
      <c r="J339" s="195"/>
      <c r="K339" s="226"/>
      <c r="L339" s="226"/>
      <c r="M339" s="346"/>
      <c r="N339" s="226"/>
      <c r="O339" s="344"/>
      <c r="P339" s="341"/>
    </row>
    <row r="340" spans="1:16" x14ac:dyDescent="0.25">
      <c r="A340" s="133"/>
      <c r="B340" s="195"/>
      <c r="C340" s="226"/>
      <c r="D340" s="232"/>
      <c r="E340" s="232"/>
      <c r="F340" s="226"/>
      <c r="G340" s="344"/>
      <c r="H340" s="341"/>
      <c r="I340" s="133"/>
      <c r="J340" s="195"/>
      <c r="K340" s="226"/>
      <c r="L340" s="232"/>
      <c r="M340" s="232"/>
      <c r="N340" s="226"/>
      <c r="O340" s="344"/>
      <c r="P340" s="341"/>
    </row>
    <row r="341" spans="1:16" ht="15.75" thickBot="1" x14ac:dyDescent="0.3">
      <c r="A341" s="133"/>
      <c r="B341" s="195"/>
      <c r="C341" s="226"/>
      <c r="D341" s="232"/>
      <c r="E341" s="232"/>
      <c r="F341" s="226"/>
      <c r="G341" s="344"/>
      <c r="H341" s="341"/>
      <c r="I341" s="133"/>
      <c r="J341" s="195"/>
      <c r="K341" s="226"/>
      <c r="L341" s="232"/>
      <c r="M341" s="232"/>
      <c r="N341" s="226"/>
      <c r="O341" s="344"/>
      <c r="P341" s="341"/>
    </row>
    <row r="342" spans="1:16" ht="15.75" thickBot="1" x14ac:dyDescent="0.3">
      <c r="A342" s="133"/>
      <c r="B342" s="233"/>
      <c r="C342" s="234"/>
      <c r="D342" s="234"/>
      <c r="E342" s="234"/>
      <c r="F342" s="235"/>
      <c r="G342" s="347"/>
      <c r="H342" s="348">
        <f>+SUM(G336:G342)</f>
        <v>12405</v>
      </c>
      <c r="I342" s="133"/>
      <c r="J342" s="233"/>
      <c r="K342" s="234"/>
      <c r="L342" s="234"/>
      <c r="M342" s="234"/>
      <c r="N342" s="235"/>
      <c r="O342" s="347"/>
      <c r="P342" s="348">
        <f>+SUM(O336:O342)</f>
        <v>27801</v>
      </c>
    </row>
    <row r="343" spans="1:16" ht="15.75" thickBot="1" x14ac:dyDescent="0.3">
      <c r="A343" s="133"/>
      <c r="B343" s="238"/>
      <c r="C343" s="238"/>
      <c r="D343" s="238"/>
      <c r="E343" s="238"/>
      <c r="F343" s="239"/>
      <c r="G343" s="349"/>
      <c r="H343" s="350"/>
      <c r="I343" s="133"/>
      <c r="J343" s="238"/>
      <c r="K343" s="238"/>
      <c r="L343" s="238"/>
      <c r="M343" s="238"/>
      <c r="N343" s="239"/>
      <c r="O343" s="349"/>
      <c r="P343" s="350"/>
    </row>
    <row r="344" spans="1:16" ht="15.75" thickBot="1" x14ac:dyDescent="0.3">
      <c r="A344" s="133"/>
      <c r="B344" s="224" t="s">
        <v>5408</v>
      </c>
      <c r="C344" s="193" t="s">
        <v>867</v>
      </c>
      <c r="D344" s="193" t="s">
        <v>6</v>
      </c>
      <c r="E344" s="193" t="s">
        <v>870</v>
      </c>
      <c r="F344" s="193" t="s">
        <v>5409</v>
      </c>
      <c r="G344" s="343" t="s">
        <v>868</v>
      </c>
      <c r="H344" s="341"/>
      <c r="I344" s="133"/>
      <c r="J344" s="224" t="s">
        <v>5408</v>
      </c>
      <c r="K344" s="193" t="s">
        <v>867</v>
      </c>
      <c r="L344" s="193" t="s">
        <v>6</v>
      </c>
      <c r="M344" s="193" t="s">
        <v>870</v>
      </c>
      <c r="N344" s="193" t="s">
        <v>5409</v>
      </c>
      <c r="O344" s="343" t="s">
        <v>868</v>
      </c>
      <c r="P344" s="341"/>
    </row>
    <row r="345" spans="1:16" x14ac:dyDescent="0.25">
      <c r="A345" s="133"/>
      <c r="B345" s="242" t="s">
        <v>5549</v>
      </c>
      <c r="C345" s="202" t="s">
        <v>5550</v>
      </c>
      <c r="D345" s="226">
        <v>450</v>
      </c>
      <c r="E345" s="228">
        <v>520</v>
      </c>
      <c r="F345" s="169">
        <v>0.1</v>
      </c>
      <c r="G345" s="351">
        <f>+D345*E345*(1+F345)</f>
        <v>257400.00000000003</v>
      </c>
      <c r="H345" s="341"/>
      <c r="I345" s="133"/>
      <c r="J345" s="242" t="s">
        <v>5549</v>
      </c>
      <c r="K345" s="202" t="s">
        <v>5550</v>
      </c>
      <c r="L345" s="226">
        <v>450</v>
      </c>
      <c r="M345" s="228">
        <v>520</v>
      </c>
      <c r="N345" s="169">
        <v>0.1</v>
      </c>
      <c r="O345" s="351">
        <f>+L345*M345*(1+N345)</f>
        <v>257400.00000000003</v>
      </c>
      <c r="P345" s="341"/>
    </row>
    <row r="346" spans="1:16" x14ac:dyDescent="0.25">
      <c r="A346" s="133"/>
      <c r="B346" s="243" t="s">
        <v>5551</v>
      </c>
      <c r="C346" s="202" t="s">
        <v>5542</v>
      </c>
      <c r="D346" s="202">
        <v>0.48</v>
      </c>
      <c r="E346" s="228">
        <v>86000</v>
      </c>
      <c r="F346" s="169">
        <v>0.1</v>
      </c>
      <c r="G346" s="351">
        <f>+D346*E346*(1+F346)</f>
        <v>45408.000000000007</v>
      </c>
      <c r="H346" s="341"/>
      <c r="I346" s="133"/>
      <c r="J346" s="243" t="s">
        <v>5551</v>
      </c>
      <c r="K346" s="202" t="s">
        <v>5542</v>
      </c>
      <c r="L346" s="202">
        <v>0.48</v>
      </c>
      <c r="M346" s="228">
        <v>86000</v>
      </c>
      <c r="N346" s="169">
        <v>0.1</v>
      </c>
      <c r="O346" s="351">
        <f>+L346*M346*(1+N346)</f>
        <v>45408.000000000007</v>
      </c>
      <c r="P346" s="341"/>
    </row>
    <row r="347" spans="1:16" x14ac:dyDescent="0.25">
      <c r="A347" s="133"/>
      <c r="B347" s="243" t="s">
        <v>6029</v>
      </c>
      <c r="C347" s="226" t="s">
        <v>5542</v>
      </c>
      <c r="D347" s="226">
        <v>0.72</v>
      </c>
      <c r="E347" s="228">
        <v>80000</v>
      </c>
      <c r="F347" s="169">
        <v>0.1</v>
      </c>
      <c r="G347" s="351">
        <f>+D347*E347*(1+F347)</f>
        <v>63360.000000000007</v>
      </c>
      <c r="H347" s="341"/>
      <c r="I347" s="133"/>
      <c r="J347" s="243" t="s">
        <v>6029</v>
      </c>
      <c r="K347" s="226" t="s">
        <v>5542</v>
      </c>
      <c r="L347" s="226">
        <v>0.72</v>
      </c>
      <c r="M347" s="228">
        <v>80000</v>
      </c>
      <c r="N347" s="169">
        <v>0.1</v>
      </c>
      <c r="O347" s="351">
        <f>+L347*M347*(1+N347)</f>
        <v>63360.000000000007</v>
      </c>
      <c r="P347" s="341"/>
    </row>
    <row r="348" spans="1:16" x14ac:dyDescent="0.25">
      <c r="A348" s="133"/>
      <c r="B348" s="194" t="s">
        <v>5553</v>
      </c>
      <c r="C348" s="226" t="s">
        <v>5488</v>
      </c>
      <c r="D348" s="226">
        <v>240</v>
      </c>
      <c r="E348" s="352">
        <v>10</v>
      </c>
      <c r="F348" s="169">
        <v>0.1</v>
      </c>
      <c r="G348" s="351">
        <f>+D348*E348*(1+F348)</f>
        <v>2640</v>
      </c>
      <c r="H348" s="341"/>
      <c r="I348" s="133"/>
      <c r="J348" s="194" t="s">
        <v>5553</v>
      </c>
      <c r="K348" s="226" t="s">
        <v>5488</v>
      </c>
      <c r="L348" s="226">
        <v>240</v>
      </c>
      <c r="M348" s="352">
        <v>10</v>
      </c>
      <c r="N348" s="169">
        <v>0.1</v>
      </c>
      <c r="O348" s="351">
        <f>+L348*M348*(1+N348)</f>
        <v>2640</v>
      </c>
      <c r="P348" s="341"/>
    </row>
    <row r="349" spans="1:16" x14ac:dyDescent="0.25">
      <c r="A349" s="133"/>
      <c r="B349" s="195"/>
      <c r="C349" s="226"/>
      <c r="D349" s="226"/>
      <c r="E349" s="345">
        <v>46600</v>
      </c>
      <c r="F349" s="169"/>
      <c r="G349" s="351"/>
      <c r="H349" s="341"/>
      <c r="I349" s="133"/>
      <c r="J349" s="195" t="s">
        <v>5555</v>
      </c>
      <c r="K349" s="226" t="s">
        <v>5556</v>
      </c>
      <c r="L349" s="226">
        <v>0.5</v>
      </c>
      <c r="M349" s="345">
        <v>46600</v>
      </c>
      <c r="N349" s="169">
        <v>0.1</v>
      </c>
      <c r="O349" s="351">
        <f>+L349*M349*(1+N349)</f>
        <v>25630.000000000004</v>
      </c>
      <c r="P349" s="341"/>
    </row>
    <row r="350" spans="1:16" x14ac:dyDescent="0.25">
      <c r="A350" s="133"/>
      <c r="B350" s="194"/>
      <c r="C350" s="202"/>
      <c r="D350" s="202"/>
      <c r="E350" s="345"/>
      <c r="F350" s="169"/>
      <c r="G350" s="351"/>
      <c r="H350" s="341"/>
      <c r="I350" s="133"/>
      <c r="J350" s="194"/>
      <c r="K350" s="202"/>
      <c r="L350" s="202"/>
      <c r="M350" s="345"/>
      <c r="N350" s="169"/>
      <c r="O350" s="351"/>
      <c r="P350" s="341"/>
    </row>
    <row r="351" spans="1:16" x14ac:dyDescent="0.25">
      <c r="A351" s="133"/>
      <c r="B351" s="195"/>
      <c r="C351" s="226"/>
      <c r="D351" s="226"/>
      <c r="E351" s="345"/>
      <c r="F351" s="169"/>
      <c r="G351" s="351"/>
      <c r="H351" s="341"/>
      <c r="I351" s="133"/>
      <c r="J351" s="195"/>
      <c r="K351" s="226"/>
      <c r="L351" s="226"/>
      <c r="M351" s="345"/>
      <c r="N351" s="169"/>
      <c r="O351" s="351"/>
      <c r="P351" s="341"/>
    </row>
    <row r="352" spans="1:16" x14ac:dyDescent="0.25">
      <c r="A352" s="133"/>
      <c r="B352" s="195"/>
      <c r="C352" s="226"/>
      <c r="D352" s="226"/>
      <c r="E352" s="345"/>
      <c r="F352" s="169"/>
      <c r="G352" s="351"/>
      <c r="H352" s="341"/>
      <c r="I352" s="133"/>
      <c r="J352" s="195"/>
      <c r="K352" s="226"/>
      <c r="L352" s="226"/>
      <c r="M352" s="345"/>
      <c r="N352" s="169"/>
      <c r="O352" s="351"/>
      <c r="P352" s="341"/>
    </row>
    <row r="353" spans="1:16" x14ac:dyDescent="0.25">
      <c r="A353" s="133"/>
      <c r="B353" s="195"/>
      <c r="C353" s="232"/>
      <c r="D353" s="232"/>
      <c r="E353" s="232"/>
      <c r="F353" s="226"/>
      <c r="G353" s="344"/>
      <c r="H353" s="341"/>
      <c r="I353" s="133"/>
      <c r="J353" s="195"/>
      <c r="K353" s="232"/>
      <c r="L353" s="232"/>
      <c r="M353" s="232"/>
      <c r="N353" s="226"/>
      <c r="O353" s="344"/>
      <c r="P353" s="341"/>
    </row>
    <row r="354" spans="1:16" x14ac:dyDescent="0.25">
      <c r="A354" s="133"/>
      <c r="B354" s="195"/>
      <c r="C354" s="232"/>
      <c r="D354" s="232"/>
      <c r="E354" s="232"/>
      <c r="F354" s="226"/>
      <c r="G354" s="344"/>
      <c r="H354" s="341"/>
      <c r="I354" s="133"/>
      <c r="J354" s="195"/>
      <c r="K354" s="232"/>
      <c r="L354" s="232"/>
      <c r="M354" s="232"/>
      <c r="N354" s="226"/>
      <c r="O354" s="344"/>
      <c r="P354" s="341"/>
    </row>
    <row r="355" spans="1:16" x14ac:dyDescent="0.25">
      <c r="A355" s="133"/>
      <c r="B355" s="195"/>
      <c r="C355" s="232"/>
      <c r="D355" s="232"/>
      <c r="E355" s="232"/>
      <c r="F355" s="226"/>
      <c r="G355" s="344"/>
      <c r="H355" s="341"/>
      <c r="I355" s="133"/>
      <c r="J355" s="195"/>
      <c r="K355" s="232"/>
      <c r="L355" s="232"/>
      <c r="M355" s="232"/>
      <c r="N355" s="226"/>
      <c r="O355" s="344"/>
      <c r="P355" s="341"/>
    </row>
    <row r="356" spans="1:16" ht="15.75" thickBot="1" x14ac:dyDescent="0.3">
      <c r="A356" s="133"/>
      <c r="B356" s="195"/>
      <c r="C356" s="232"/>
      <c r="D356" s="232"/>
      <c r="E356" s="232"/>
      <c r="F356" s="226"/>
      <c r="G356" s="344"/>
      <c r="H356" s="341"/>
      <c r="I356" s="133"/>
      <c r="J356" s="195"/>
      <c r="K356" s="232"/>
      <c r="L356" s="232"/>
      <c r="M356" s="232"/>
      <c r="N356" s="226"/>
      <c r="O356" s="344"/>
      <c r="P356" s="341"/>
    </row>
    <row r="357" spans="1:16" ht="15.75" thickBot="1" x14ac:dyDescent="0.3">
      <c r="A357" s="133"/>
      <c r="B357" s="233"/>
      <c r="C357" s="234"/>
      <c r="D357" s="234"/>
      <c r="E357" s="234"/>
      <c r="F357" s="235"/>
      <c r="G357" s="347"/>
      <c r="H357" s="348">
        <f>+SUM(G345:G357)</f>
        <v>368808.00000000006</v>
      </c>
      <c r="I357" s="133"/>
      <c r="J357" s="233"/>
      <c r="K357" s="234"/>
      <c r="L357" s="234"/>
      <c r="M357" s="234"/>
      <c r="N357" s="235"/>
      <c r="O357" s="347"/>
      <c r="P357" s="348">
        <f>+SUM(O345:O357)</f>
        <v>394438.00000000006</v>
      </c>
    </row>
    <row r="358" spans="1:16" ht="15.75" thickBot="1" x14ac:dyDescent="0.3">
      <c r="A358" s="133"/>
      <c r="B358" s="238"/>
      <c r="C358" s="238"/>
      <c r="D358" s="238"/>
      <c r="E358" s="238"/>
      <c r="F358" s="239"/>
      <c r="G358" s="349"/>
      <c r="H358" s="350"/>
      <c r="I358" s="133"/>
      <c r="J358" s="238"/>
      <c r="K358" s="238"/>
      <c r="L358" s="238"/>
      <c r="M358" s="238"/>
      <c r="N358" s="239"/>
      <c r="O358" s="349"/>
      <c r="P358" s="350"/>
    </row>
    <row r="359" spans="1:16" ht="15.75" thickBot="1" x14ac:dyDescent="0.3">
      <c r="A359" s="133"/>
      <c r="B359" s="224" t="s">
        <v>5410</v>
      </c>
      <c r="C359" s="193" t="s">
        <v>867</v>
      </c>
      <c r="D359" s="193" t="s">
        <v>6</v>
      </c>
      <c r="E359" s="193" t="s">
        <v>870</v>
      </c>
      <c r="F359" s="193" t="s">
        <v>5411</v>
      </c>
      <c r="G359" s="343" t="s">
        <v>868</v>
      </c>
      <c r="H359" s="341"/>
      <c r="I359" s="133"/>
      <c r="J359" s="224" t="s">
        <v>5410</v>
      </c>
      <c r="K359" s="193" t="s">
        <v>867</v>
      </c>
      <c r="L359" s="193" t="s">
        <v>6</v>
      </c>
      <c r="M359" s="193" t="s">
        <v>870</v>
      </c>
      <c r="N359" s="193" t="s">
        <v>5411</v>
      </c>
      <c r="O359" s="343" t="s">
        <v>868</v>
      </c>
      <c r="P359" s="341"/>
    </row>
    <row r="360" spans="1:16" x14ac:dyDescent="0.25">
      <c r="A360" s="133"/>
      <c r="B360" s="242"/>
      <c r="C360" s="202"/>
      <c r="D360" s="226"/>
      <c r="E360" s="228"/>
      <c r="F360" s="202"/>
      <c r="G360" s="354"/>
      <c r="H360" s="355"/>
      <c r="I360" s="133"/>
      <c r="J360" s="242"/>
      <c r="K360" s="202"/>
      <c r="L360" s="226"/>
      <c r="M360" s="228"/>
      <c r="N360" s="202"/>
      <c r="O360" s="354"/>
      <c r="P360" s="355"/>
    </row>
    <row r="361" spans="1:16" x14ac:dyDescent="0.25">
      <c r="A361" s="133"/>
      <c r="B361" s="243"/>
      <c r="C361" s="202"/>
      <c r="D361" s="202"/>
      <c r="E361" s="228"/>
      <c r="F361" s="202"/>
      <c r="G361" s="354"/>
      <c r="H361" s="341"/>
      <c r="I361" s="133"/>
      <c r="J361" s="243"/>
      <c r="K361" s="202"/>
      <c r="L361" s="202"/>
      <c r="M361" s="228"/>
      <c r="N361" s="202"/>
      <c r="O361" s="354"/>
      <c r="P361" s="341"/>
    </row>
    <row r="362" spans="1:16" x14ac:dyDescent="0.25">
      <c r="A362" s="133"/>
      <c r="B362" s="243"/>
      <c r="C362" s="226"/>
      <c r="D362" s="226"/>
      <c r="E362" s="228"/>
      <c r="F362" s="226"/>
      <c r="G362" s="354"/>
      <c r="H362" s="341"/>
      <c r="I362" s="133"/>
      <c r="J362" s="243"/>
      <c r="K362" s="226"/>
      <c r="L362" s="226"/>
      <c r="M362" s="228"/>
      <c r="N362" s="226"/>
      <c r="O362" s="354"/>
      <c r="P362" s="341"/>
    </row>
    <row r="363" spans="1:16" x14ac:dyDescent="0.25">
      <c r="A363" s="133"/>
      <c r="B363" s="194"/>
      <c r="C363" s="232"/>
      <c r="D363" s="232"/>
      <c r="E363" s="232"/>
      <c r="F363" s="226"/>
      <c r="G363" s="344"/>
      <c r="H363" s="341"/>
      <c r="I363" s="133"/>
      <c r="J363" s="194"/>
      <c r="K363" s="232"/>
      <c r="L363" s="232"/>
      <c r="M363" s="232"/>
      <c r="N363" s="226"/>
      <c r="O363" s="344"/>
      <c r="P363" s="341"/>
    </row>
    <row r="364" spans="1:16" ht="15.75" thickBot="1" x14ac:dyDescent="0.3">
      <c r="A364" s="133"/>
      <c r="B364" s="195"/>
      <c r="C364" s="232"/>
      <c r="D364" s="232"/>
      <c r="E364" s="232"/>
      <c r="F364" s="226"/>
      <c r="G364" s="344"/>
      <c r="H364" s="341"/>
      <c r="I364" s="133"/>
      <c r="J364" s="195"/>
      <c r="K364" s="232"/>
      <c r="L364" s="232"/>
      <c r="M364" s="232"/>
      <c r="N364" s="226"/>
      <c r="O364" s="344"/>
      <c r="P364" s="341"/>
    </row>
    <row r="365" spans="1:16" ht="15.75" thickBot="1" x14ac:dyDescent="0.3">
      <c r="A365" s="133"/>
      <c r="B365" s="233"/>
      <c r="C365" s="234"/>
      <c r="D365" s="234"/>
      <c r="E365" s="234"/>
      <c r="F365" s="235"/>
      <c r="G365" s="347"/>
      <c r="H365" s="348">
        <f>+SUM(G360:G365)</f>
        <v>0</v>
      </c>
      <c r="I365" s="133"/>
      <c r="J365" s="233"/>
      <c r="K365" s="234"/>
      <c r="L365" s="234"/>
      <c r="M365" s="234"/>
      <c r="N365" s="235"/>
      <c r="O365" s="347"/>
      <c r="P365" s="348">
        <f>+SUM(O360:O365)</f>
        <v>0</v>
      </c>
    </row>
    <row r="366" spans="1:16" ht="15.75" thickBot="1" x14ac:dyDescent="0.3">
      <c r="A366" s="133"/>
      <c r="B366" s="238"/>
      <c r="C366" s="238"/>
      <c r="D366" s="238"/>
      <c r="E366" s="238"/>
      <c r="F366" s="249"/>
      <c r="G366" s="356"/>
      <c r="H366" s="350"/>
      <c r="I366" s="133"/>
      <c r="J366" s="238"/>
      <c r="K366" s="238"/>
      <c r="L366" s="238"/>
      <c r="M366" s="238"/>
      <c r="N366" s="249"/>
      <c r="O366" s="356"/>
      <c r="P366" s="350"/>
    </row>
    <row r="367" spans="1:16" ht="15.75" thickBot="1" x14ac:dyDescent="0.3">
      <c r="A367" s="133"/>
      <c r="B367" s="224" t="s">
        <v>5412</v>
      </c>
      <c r="C367" s="193" t="s">
        <v>5420</v>
      </c>
      <c r="D367" s="193" t="s">
        <v>5421</v>
      </c>
      <c r="E367" s="193" t="s">
        <v>5413</v>
      </c>
      <c r="F367" s="193" t="s">
        <v>5405</v>
      </c>
      <c r="G367" s="343" t="s">
        <v>868</v>
      </c>
      <c r="H367" s="341"/>
      <c r="I367" s="133"/>
      <c r="J367" s="224" t="s">
        <v>5412</v>
      </c>
      <c r="K367" s="193" t="s">
        <v>5420</v>
      </c>
      <c r="L367" s="193" t="s">
        <v>5421</v>
      </c>
      <c r="M367" s="193" t="s">
        <v>5413</v>
      </c>
      <c r="N367" s="193" t="s">
        <v>5405</v>
      </c>
      <c r="O367" s="343" t="s">
        <v>868</v>
      </c>
      <c r="P367" s="341"/>
    </row>
    <row r="368" spans="1:16" x14ac:dyDescent="0.25">
      <c r="A368" s="133"/>
      <c r="B368" s="194" t="s">
        <v>5948</v>
      </c>
      <c r="C368" s="345">
        <v>70000</v>
      </c>
      <c r="D368" s="345">
        <f>+C368*0.85</f>
        <v>59500</v>
      </c>
      <c r="E368" s="353">
        <f>+C368+D368</f>
        <v>129500</v>
      </c>
      <c r="F368" s="209">
        <v>100</v>
      </c>
      <c r="G368" s="351">
        <f>+E368/F368</f>
        <v>1295</v>
      </c>
      <c r="H368" s="341"/>
      <c r="I368" s="133"/>
      <c r="J368" s="194" t="s">
        <v>5948</v>
      </c>
      <c r="K368" s="345">
        <v>70000</v>
      </c>
      <c r="L368" s="345">
        <f>+K368*0.85</f>
        <v>59500</v>
      </c>
      <c r="M368" s="353">
        <f>+K368+L368</f>
        <v>129500</v>
      </c>
      <c r="N368" s="209">
        <v>5</v>
      </c>
      <c r="O368" s="351">
        <f>+M368/N368</f>
        <v>25900</v>
      </c>
      <c r="P368" s="341"/>
    </row>
    <row r="369" spans="1:24" x14ac:dyDescent="0.25">
      <c r="A369" s="133"/>
      <c r="B369" s="194" t="s">
        <v>5949</v>
      </c>
      <c r="C369" s="345">
        <v>40000</v>
      </c>
      <c r="D369" s="345">
        <f>+C369*0.85</f>
        <v>34000</v>
      </c>
      <c r="E369" s="353">
        <f>+C369+D369</f>
        <v>74000</v>
      </c>
      <c r="F369" s="202">
        <v>20</v>
      </c>
      <c r="G369" s="351">
        <f>+E369/F369</f>
        <v>3700</v>
      </c>
      <c r="H369" s="341"/>
      <c r="I369" s="133"/>
      <c r="J369" s="194" t="s">
        <v>5949</v>
      </c>
      <c r="K369" s="345">
        <v>40000</v>
      </c>
      <c r="L369" s="345">
        <f>+K369*0.85</f>
        <v>34000</v>
      </c>
      <c r="M369" s="353">
        <f>+K369+L369</f>
        <v>74000</v>
      </c>
      <c r="N369" s="202">
        <v>1</v>
      </c>
      <c r="O369" s="351">
        <f>+M369/N369</f>
        <v>74000</v>
      </c>
      <c r="P369" s="341"/>
    </row>
    <row r="370" spans="1:24" x14ac:dyDescent="0.25">
      <c r="A370" s="133"/>
      <c r="B370" s="195" t="s">
        <v>5635</v>
      </c>
      <c r="C370" s="345">
        <v>20600</v>
      </c>
      <c r="D370" s="345">
        <f>+C370*0.85</f>
        <v>17510</v>
      </c>
      <c r="E370" s="353">
        <f>+C370+D370</f>
        <v>38110</v>
      </c>
      <c r="F370" s="226">
        <v>2</v>
      </c>
      <c r="G370" s="351">
        <f>+E370/F370</f>
        <v>19055</v>
      </c>
      <c r="H370" s="341"/>
      <c r="I370" s="133"/>
      <c r="J370" s="195" t="s">
        <v>5635</v>
      </c>
      <c r="K370" s="345">
        <v>20600</v>
      </c>
      <c r="L370" s="345">
        <f>+K370*0.85</f>
        <v>17510</v>
      </c>
      <c r="M370" s="353">
        <f>+K370+L370</f>
        <v>38110</v>
      </c>
      <c r="N370" s="226">
        <v>1</v>
      </c>
      <c r="O370" s="351">
        <f>+M370/N370</f>
        <v>38110</v>
      </c>
      <c r="P370" s="341"/>
    </row>
    <row r="371" spans="1:24" x14ac:dyDescent="0.25">
      <c r="A371" s="133"/>
      <c r="B371" s="195"/>
      <c r="C371" s="346"/>
      <c r="D371" s="345"/>
      <c r="E371" s="345"/>
      <c r="F371" s="226"/>
      <c r="G371" s="351"/>
      <c r="H371" s="341"/>
      <c r="I371" s="133"/>
      <c r="J371" s="195"/>
      <c r="K371" s="346"/>
      <c r="L371" s="345"/>
      <c r="M371" s="345"/>
      <c r="N371" s="226"/>
      <c r="O371" s="351"/>
      <c r="P371" s="341"/>
    </row>
    <row r="372" spans="1:24" x14ac:dyDescent="0.25">
      <c r="A372" s="133"/>
      <c r="B372" s="195"/>
      <c r="C372" s="232"/>
      <c r="D372" s="232"/>
      <c r="E372" s="232"/>
      <c r="F372" s="226"/>
      <c r="G372" s="344"/>
      <c r="H372" s="341"/>
      <c r="I372" s="133"/>
      <c r="J372" s="195"/>
      <c r="K372" s="232"/>
      <c r="L372" s="232"/>
      <c r="M372" s="232"/>
      <c r="N372" s="226"/>
      <c r="O372" s="344"/>
      <c r="P372" s="341"/>
    </row>
    <row r="373" spans="1:24" ht="15.75" thickBot="1" x14ac:dyDescent="0.3">
      <c r="A373" s="133"/>
      <c r="B373" s="195"/>
      <c r="C373" s="232"/>
      <c r="D373" s="232"/>
      <c r="E373" s="232"/>
      <c r="F373" s="226"/>
      <c r="G373" s="344"/>
      <c r="H373" s="341"/>
      <c r="I373" s="133"/>
      <c r="J373" s="195"/>
      <c r="K373" s="232"/>
      <c r="L373" s="232"/>
      <c r="M373" s="232"/>
      <c r="N373" s="226"/>
      <c r="O373" s="344"/>
      <c r="P373" s="341"/>
    </row>
    <row r="374" spans="1:24" ht="15.75" thickBot="1" x14ac:dyDescent="0.3">
      <c r="A374" s="133"/>
      <c r="B374" s="251"/>
      <c r="C374" s="252"/>
      <c r="D374" s="252"/>
      <c r="E374" s="252"/>
      <c r="F374" s="253"/>
      <c r="G374" s="357"/>
      <c r="H374" s="348">
        <f>+SUM(G368:G374)</f>
        <v>24050</v>
      </c>
      <c r="I374" s="133"/>
      <c r="J374" s="251"/>
      <c r="K374" s="252"/>
      <c r="L374" s="252"/>
      <c r="M374" s="252"/>
      <c r="N374" s="253"/>
      <c r="O374" s="357"/>
      <c r="P374" s="348">
        <f>+SUM(O368:O374)</f>
        <v>138010</v>
      </c>
    </row>
    <row r="375" spans="1:24" ht="15.75" thickBot="1" x14ac:dyDescent="0.3">
      <c r="A375" s="133"/>
      <c r="B375" s="8"/>
      <c r="C375" s="8"/>
      <c r="D375" s="8"/>
      <c r="E375" s="8"/>
      <c r="F375" s="133"/>
      <c r="G375" s="341"/>
      <c r="H375" s="341"/>
      <c r="I375" s="133"/>
      <c r="J375" s="8"/>
      <c r="K375" s="8"/>
      <c r="L375" s="8"/>
      <c r="M375" s="8"/>
      <c r="N375" s="133"/>
      <c r="O375" s="341"/>
      <c r="P375" s="341"/>
    </row>
    <row r="376" spans="1:24" ht="15.75" thickBot="1" x14ac:dyDescent="0.3">
      <c r="A376" s="133"/>
      <c r="B376" s="8"/>
      <c r="C376" s="8"/>
      <c r="D376" s="8"/>
      <c r="E376" s="223"/>
      <c r="F376" s="133"/>
      <c r="G376" s="341"/>
      <c r="H376" s="348">
        <f>+H374+H365+H357+H342</f>
        <v>405263.00000000006</v>
      </c>
      <c r="I376" s="133"/>
      <c r="J376" s="8"/>
      <c r="K376" s="8"/>
      <c r="L376" s="8"/>
      <c r="M376" s="223"/>
      <c r="N376" s="133"/>
      <c r="O376" s="341"/>
      <c r="P376" s="348">
        <f>+P374+P365+P357+P342</f>
        <v>560249</v>
      </c>
    </row>
    <row r="377" spans="1:24" x14ac:dyDescent="0.25">
      <c r="M377" s="265"/>
    </row>
    <row r="378" spans="1:24" x14ac:dyDescent="0.25">
      <c r="H378" s="273"/>
    </row>
    <row r="381" spans="1:24" ht="18.75" x14ac:dyDescent="0.25">
      <c r="A381" s="133"/>
      <c r="B381" s="2506" t="s">
        <v>5400</v>
      </c>
      <c r="C381" s="2506"/>
      <c r="D381" s="2506"/>
      <c r="E381" s="2506"/>
      <c r="F381" s="2506"/>
      <c r="G381" s="2506"/>
      <c r="H381" s="8"/>
      <c r="I381" s="133"/>
      <c r="J381" s="2506" t="s">
        <v>5400</v>
      </c>
      <c r="K381" s="2506"/>
      <c r="L381" s="2506"/>
      <c r="M381" s="2506"/>
      <c r="N381" s="2506"/>
      <c r="O381" s="2506"/>
      <c r="P381" s="8"/>
      <c r="Q381" s="133"/>
      <c r="R381" s="2506" t="s">
        <v>5400</v>
      </c>
      <c r="S381" s="2506"/>
      <c r="T381" s="2506"/>
      <c r="U381" s="2506"/>
      <c r="V381" s="2506"/>
      <c r="W381" s="2506"/>
      <c r="X381" s="8"/>
    </row>
    <row r="382" spans="1:24" x14ac:dyDescent="0.25">
      <c r="A382" s="133"/>
      <c r="B382" s="8"/>
      <c r="C382" s="8"/>
      <c r="D382" s="8"/>
      <c r="E382" s="8"/>
      <c r="F382" s="133"/>
      <c r="G382" s="341"/>
      <c r="H382" s="341"/>
      <c r="I382" s="133"/>
      <c r="J382" s="8"/>
      <c r="K382" s="8"/>
      <c r="L382" s="8"/>
      <c r="M382" s="8"/>
      <c r="N382" s="133"/>
      <c r="O382" s="341"/>
      <c r="P382" s="341"/>
      <c r="Q382" s="133"/>
      <c r="R382" s="8"/>
      <c r="S382" s="8"/>
      <c r="T382" s="8"/>
      <c r="U382" s="8"/>
      <c r="V382" s="133"/>
      <c r="W382" s="341"/>
      <c r="X382" s="341"/>
    </row>
    <row r="383" spans="1:24" x14ac:dyDescent="0.25">
      <c r="A383" s="133"/>
      <c r="B383" s="8"/>
      <c r="C383" s="8"/>
      <c r="D383" s="8"/>
      <c r="E383" s="8"/>
      <c r="F383" s="133"/>
      <c r="G383" s="341"/>
      <c r="H383" s="341"/>
      <c r="I383" s="133"/>
      <c r="J383" s="8"/>
      <c r="K383" s="8"/>
      <c r="L383" s="8"/>
      <c r="M383" s="8"/>
      <c r="N383" s="133"/>
      <c r="O383" s="341"/>
      <c r="P383" s="341"/>
      <c r="Q383" s="133"/>
      <c r="R383" s="8"/>
      <c r="S383" s="8"/>
      <c r="T383" s="8"/>
      <c r="U383" s="8"/>
      <c r="V383" s="133"/>
      <c r="W383" s="341"/>
      <c r="X383" s="341"/>
    </row>
    <row r="384" spans="1:24" x14ac:dyDescent="0.25">
      <c r="A384" s="133"/>
      <c r="B384" s="8"/>
      <c r="C384" s="8"/>
      <c r="D384" s="8"/>
      <c r="E384" s="8"/>
      <c r="F384" s="133"/>
      <c r="G384" s="341"/>
      <c r="H384" s="341"/>
      <c r="I384" s="133"/>
      <c r="J384" s="8"/>
      <c r="K384" s="8"/>
      <c r="L384" s="8"/>
      <c r="M384" s="8"/>
      <c r="N384" s="133"/>
      <c r="O384" s="341"/>
      <c r="P384" s="341"/>
      <c r="Q384" s="133"/>
      <c r="R384" s="8"/>
      <c r="S384" s="8"/>
      <c r="T384" s="8"/>
      <c r="U384" s="8"/>
      <c r="V384" s="133"/>
      <c r="W384" s="341"/>
      <c r="X384" s="341"/>
    </row>
    <row r="385" spans="1:24" ht="37.5" customHeight="1" x14ac:dyDescent="0.25">
      <c r="A385" s="220" t="s">
        <v>5482</v>
      </c>
      <c r="B385" s="221" t="s">
        <v>5559</v>
      </c>
      <c r="C385" s="2449" t="s">
        <v>5927</v>
      </c>
      <c r="D385" s="2449"/>
      <c r="E385" s="2449"/>
      <c r="F385" s="220" t="s">
        <v>867</v>
      </c>
      <c r="G385" s="342" t="s">
        <v>5454</v>
      </c>
      <c r="H385" s="341"/>
      <c r="I385" s="220" t="s">
        <v>5482</v>
      </c>
      <c r="J385" s="221" t="s">
        <v>5559</v>
      </c>
      <c r="K385" s="2449" t="s">
        <v>6030</v>
      </c>
      <c r="L385" s="2449"/>
      <c r="M385" s="2449"/>
      <c r="N385" s="220" t="s">
        <v>867</v>
      </c>
      <c r="O385" s="342" t="s">
        <v>5454</v>
      </c>
      <c r="P385" s="341"/>
      <c r="Q385" s="220" t="s">
        <v>5482</v>
      </c>
      <c r="R385" s="221" t="s">
        <v>5559</v>
      </c>
      <c r="S385" s="2449" t="s">
        <v>6031</v>
      </c>
      <c r="T385" s="2449"/>
      <c r="U385" s="2449"/>
      <c r="V385" s="220" t="s">
        <v>867</v>
      </c>
      <c r="W385" s="342" t="s">
        <v>5454</v>
      </c>
      <c r="X385" s="341"/>
    </row>
    <row r="386" spans="1:24" x14ac:dyDescent="0.25">
      <c r="A386" s="133"/>
      <c r="B386" s="8"/>
      <c r="C386" s="223"/>
      <c r="D386" s="223"/>
      <c r="E386" s="223"/>
      <c r="F386" s="133"/>
      <c r="G386" s="341"/>
      <c r="H386" s="341"/>
      <c r="I386" s="133"/>
      <c r="J386" s="8"/>
      <c r="K386" s="223"/>
      <c r="L386" s="223"/>
      <c r="M386" s="223"/>
      <c r="N386" s="133"/>
      <c r="O386" s="341"/>
      <c r="P386" s="341"/>
      <c r="Q386" s="133"/>
      <c r="R386" s="8"/>
      <c r="S386" s="223"/>
      <c r="T386" s="223"/>
      <c r="U386" s="223"/>
      <c r="V386" s="133"/>
      <c r="W386" s="341"/>
      <c r="X386" s="341"/>
    </row>
    <row r="387" spans="1:24" x14ac:dyDescent="0.25">
      <c r="A387" s="133"/>
      <c r="B387" s="8"/>
      <c r="C387" s="8"/>
      <c r="D387" s="8"/>
      <c r="E387" s="8"/>
      <c r="F387" s="8"/>
      <c r="G387" s="8"/>
      <c r="H387" s="341"/>
      <c r="I387" s="133"/>
      <c r="J387" s="8"/>
      <c r="K387" s="8"/>
      <c r="L387" s="8"/>
      <c r="M387" s="8"/>
      <c r="N387" s="8"/>
      <c r="O387" s="8"/>
      <c r="P387" s="341"/>
      <c r="Q387" s="133"/>
      <c r="R387" s="8"/>
      <c r="S387" s="8"/>
      <c r="T387" s="8"/>
      <c r="U387" s="8"/>
      <c r="V387" s="8"/>
      <c r="W387" s="8"/>
      <c r="X387" s="341"/>
    </row>
    <row r="388" spans="1:24" ht="15.75" thickBot="1" x14ac:dyDescent="0.3">
      <c r="A388" s="133"/>
      <c r="B388" s="8"/>
      <c r="C388" s="8"/>
      <c r="D388" s="8"/>
      <c r="E388" s="8"/>
      <c r="F388" s="133"/>
      <c r="G388" s="341"/>
      <c r="H388" s="341"/>
      <c r="I388" s="133"/>
      <c r="J388" s="8"/>
      <c r="K388" s="8"/>
      <c r="L388" s="8"/>
      <c r="M388" s="8"/>
      <c r="N388" s="133"/>
      <c r="O388" s="341"/>
      <c r="P388" s="341"/>
      <c r="Q388" s="133"/>
      <c r="R388" s="8"/>
      <c r="S388" s="8"/>
      <c r="T388" s="8"/>
      <c r="U388" s="8"/>
      <c r="V388" s="133"/>
      <c r="W388" s="341"/>
      <c r="X388" s="341"/>
    </row>
    <row r="389" spans="1:24" ht="15.75" thickBot="1" x14ac:dyDescent="0.3">
      <c r="A389" s="133"/>
      <c r="B389" s="224" t="s">
        <v>5403</v>
      </c>
      <c r="C389" s="193" t="s">
        <v>867</v>
      </c>
      <c r="D389" s="193" t="s">
        <v>6</v>
      </c>
      <c r="E389" s="193" t="s">
        <v>5439</v>
      </c>
      <c r="F389" s="193" t="s">
        <v>5405</v>
      </c>
      <c r="G389" s="343" t="s">
        <v>868</v>
      </c>
      <c r="H389" s="341"/>
      <c r="I389" s="133"/>
      <c r="J389" s="224" t="s">
        <v>5403</v>
      </c>
      <c r="K389" s="193" t="s">
        <v>867</v>
      </c>
      <c r="L389" s="193" t="s">
        <v>6</v>
      </c>
      <c r="M389" s="193" t="s">
        <v>5439</v>
      </c>
      <c r="N389" s="193" t="s">
        <v>5405</v>
      </c>
      <c r="O389" s="343" t="s">
        <v>868</v>
      </c>
      <c r="P389" s="341"/>
      <c r="Q389" s="133"/>
      <c r="R389" s="224" t="s">
        <v>5403</v>
      </c>
      <c r="S389" s="193" t="s">
        <v>867</v>
      </c>
      <c r="T389" s="193" t="s">
        <v>6</v>
      </c>
      <c r="U389" s="193" t="s">
        <v>5439</v>
      </c>
      <c r="V389" s="193" t="s">
        <v>5405</v>
      </c>
      <c r="W389" s="343" t="s">
        <v>868</v>
      </c>
      <c r="X389" s="341"/>
    </row>
    <row r="390" spans="1:24" x14ac:dyDescent="0.25">
      <c r="A390" s="133"/>
      <c r="B390" s="195" t="s">
        <v>5440</v>
      </c>
      <c r="C390" s="226" t="s">
        <v>5542</v>
      </c>
      <c r="D390" s="226">
        <v>1</v>
      </c>
      <c r="E390" s="228">
        <f>+H428</f>
        <v>138010</v>
      </c>
      <c r="F390" s="226">
        <v>0.1</v>
      </c>
      <c r="G390" s="344">
        <f>+E390*F390</f>
        <v>13801</v>
      </c>
      <c r="H390" s="341"/>
      <c r="I390" s="133"/>
      <c r="J390" s="195" t="s">
        <v>5440</v>
      </c>
      <c r="K390" s="226" t="s">
        <v>5542</v>
      </c>
      <c r="L390" s="226">
        <v>1</v>
      </c>
      <c r="M390" s="228">
        <f>+P428</f>
        <v>207834.28571428574</v>
      </c>
      <c r="N390" s="226">
        <v>0.1</v>
      </c>
      <c r="O390" s="344">
        <f>+M390*N390</f>
        <v>20783.428571428576</v>
      </c>
      <c r="P390" s="341"/>
      <c r="Q390" s="133"/>
      <c r="R390" s="195" t="s">
        <v>5440</v>
      </c>
      <c r="S390" s="226" t="s">
        <v>5542</v>
      </c>
      <c r="T390" s="226">
        <v>1</v>
      </c>
      <c r="U390" s="228">
        <f>+X428</f>
        <v>306175</v>
      </c>
      <c r="V390" s="226">
        <v>0.1</v>
      </c>
      <c r="W390" s="344">
        <f>+U390*V390</f>
        <v>30617.5</v>
      </c>
      <c r="X390" s="341"/>
    </row>
    <row r="391" spans="1:24" x14ac:dyDescent="0.25">
      <c r="A391" s="133"/>
      <c r="B391" s="195" t="s">
        <v>5548</v>
      </c>
      <c r="C391" s="226" t="s">
        <v>5542</v>
      </c>
      <c r="D391" s="226">
        <v>1</v>
      </c>
      <c r="E391" s="228">
        <v>10000</v>
      </c>
      <c r="F391" s="226">
        <v>2</v>
      </c>
      <c r="G391" s="344">
        <f>+D391*E391/F391</f>
        <v>5000</v>
      </c>
      <c r="H391" s="341"/>
      <c r="I391" s="133"/>
      <c r="J391" s="195" t="s">
        <v>5548</v>
      </c>
      <c r="K391" s="226" t="s">
        <v>5542</v>
      </c>
      <c r="L391" s="226">
        <v>1</v>
      </c>
      <c r="M391" s="228">
        <v>10000</v>
      </c>
      <c r="N391" s="226">
        <v>2</v>
      </c>
      <c r="O391" s="344">
        <f>+L391*M391/N391</f>
        <v>5000</v>
      </c>
      <c r="P391" s="341"/>
      <c r="Q391" s="133"/>
      <c r="R391" s="195" t="s">
        <v>5548</v>
      </c>
      <c r="S391" s="226" t="s">
        <v>5542</v>
      </c>
      <c r="T391" s="226">
        <v>1</v>
      </c>
      <c r="U391" s="228">
        <v>10000</v>
      </c>
      <c r="V391" s="226">
        <v>2</v>
      </c>
      <c r="W391" s="344">
        <f>+T391*U391/V391</f>
        <v>5000</v>
      </c>
      <c r="X391" s="341"/>
    </row>
    <row r="392" spans="1:24" x14ac:dyDescent="0.25">
      <c r="A392" s="133"/>
      <c r="B392" s="195" t="s">
        <v>5554</v>
      </c>
      <c r="C392" s="226" t="s">
        <v>5542</v>
      </c>
      <c r="D392" s="226">
        <v>1</v>
      </c>
      <c r="E392" s="345">
        <v>4000</v>
      </c>
      <c r="F392" s="226">
        <v>2</v>
      </c>
      <c r="G392" s="344">
        <f>+D392*E392/F392</f>
        <v>2000</v>
      </c>
      <c r="H392" s="341"/>
      <c r="I392" s="133"/>
      <c r="J392" s="195" t="s">
        <v>5554</v>
      </c>
      <c r="K392" s="226" t="s">
        <v>5542</v>
      </c>
      <c r="L392" s="226">
        <v>1</v>
      </c>
      <c r="M392" s="345">
        <v>4000</v>
      </c>
      <c r="N392" s="226">
        <v>2</v>
      </c>
      <c r="O392" s="344">
        <f>+L392*M392/N392</f>
        <v>2000</v>
      </c>
      <c r="P392" s="341"/>
      <c r="Q392" s="133"/>
      <c r="R392" s="195" t="s">
        <v>5554</v>
      </c>
      <c r="S392" s="226" t="s">
        <v>5542</v>
      </c>
      <c r="T392" s="226">
        <v>1</v>
      </c>
      <c r="U392" s="345">
        <v>4000</v>
      </c>
      <c r="V392" s="226">
        <v>2</v>
      </c>
      <c r="W392" s="344">
        <f>+T392*U392/V392</f>
        <v>2000</v>
      </c>
      <c r="X392" s="341"/>
    </row>
    <row r="393" spans="1:24" x14ac:dyDescent="0.25">
      <c r="A393" s="133"/>
      <c r="B393" s="195"/>
      <c r="C393" s="226"/>
      <c r="D393" s="226"/>
      <c r="E393" s="346"/>
      <c r="F393" s="226"/>
      <c r="G393" s="344"/>
      <c r="H393" s="341"/>
      <c r="I393" s="133"/>
      <c r="J393" s="195"/>
      <c r="K393" s="226"/>
      <c r="L393" s="226"/>
      <c r="M393" s="346"/>
      <c r="N393" s="226"/>
      <c r="O393" s="344"/>
      <c r="P393" s="341"/>
      <c r="Q393" s="133"/>
      <c r="R393" s="195"/>
      <c r="S393" s="226"/>
      <c r="T393" s="226"/>
      <c r="U393" s="346"/>
      <c r="V393" s="226"/>
      <c r="W393" s="344"/>
      <c r="X393" s="341"/>
    </row>
    <row r="394" spans="1:24" x14ac:dyDescent="0.25">
      <c r="A394" s="133"/>
      <c r="B394" s="195"/>
      <c r="C394" s="226"/>
      <c r="D394" s="232"/>
      <c r="E394" s="232"/>
      <c r="F394" s="226"/>
      <c r="G394" s="344"/>
      <c r="H394" s="341"/>
      <c r="I394" s="133"/>
      <c r="J394" s="195"/>
      <c r="K394" s="226"/>
      <c r="L394" s="232"/>
      <c r="M394" s="232"/>
      <c r="N394" s="226"/>
      <c r="O394" s="344"/>
      <c r="P394" s="341"/>
      <c r="Q394" s="133"/>
      <c r="R394" s="195"/>
      <c r="S394" s="226"/>
      <c r="T394" s="232"/>
      <c r="U394" s="232"/>
      <c r="V394" s="226"/>
      <c r="W394" s="344"/>
      <c r="X394" s="341"/>
    </row>
    <row r="395" spans="1:24" ht="15.75" thickBot="1" x14ac:dyDescent="0.3">
      <c r="A395" s="133"/>
      <c r="B395" s="195"/>
      <c r="C395" s="226"/>
      <c r="D395" s="232"/>
      <c r="E395" s="232"/>
      <c r="F395" s="226"/>
      <c r="G395" s="344"/>
      <c r="H395" s="341"/>
      <c r="I395" s="133"/>
      <c r="J395" s="195"/>
      <c r="K395" s="226"/>
      <c r="L395" s="232"/>
      <c r="M395" s="232"/>
      <c r="N395" s="226"/>
      <c r="O395" s="344"/>
      <c r="P395" s="341"/>
      <c r="Q395" s="133"/>
      <c r="R395" s="195"/>
      <c r="S395" s="226"/>
      <c r="T395" s="232"/>
      <c r="U395" s="232"/>
      <c r="V395" s="226"/>
      <c r="W395" s="344"/>
      <c r="X395" s="341"/>
    </row>
    <row r="396" spans="1:24" ht="15.75" thickBot="1" x14ac:dyDescent="0.3">
      <c r="A396" s="133"/>
      <c r="B396" s="233"/>
      <c r="C396" s="234"/>
      <c r="D396" s="234"/>
      <c r="E396" s="234"/>
      <c r="F396" s="235"/>
      <c r="G396" s="347"/>
      <c r="H396" s="348">
        <f>+SUM(G390:G396)</f>
        <v>20801</v>
      </c>
      <c r="I396" s="133"/>
      <c r="J396" s="233"/>
      <c r="K396" s="234"/>
      <c r="L396" s="234"/>
      <c r="M396" s="234"/>
      <c r="N396" s="235"/>
      <c r="O396" s="347"/>
      <c r="P396" s="348">
        <f>+SUM(O390:O396)</f>
        <v>27783.428571428576</v>
      </c>
      <c r="Q396" s="133"/>
      <c r="R396" s="233"/>
      <c r="S396" s="234"/>
      <c r="T396" s="234"/>
      <c r="U396" s="234"/>
      <c r="V396" s="235"/>
      <c r="W396" s="347"/>
      <c r="X396" s="348">
        <f>+SUM(W390:W396)</f>
        <v>37617.5</v>
      </c>
    </row>
    <row r="397" spans="1:24" ht="15.75" thickBot="1" x14ac:dyDescent="0.3">
      <c r="A397" s="133"/>
      <c r="B397" s="238"/>
      <c r="C397" s="238"/>
      <c r="D397" s="238"/>
      <c r="E397" s="238"/>
      <c r="F397" s="239"/>
      <c r="G397" s="349"/>
      <c r="H397" s="350"/>
      <c r="I397" s="133"/>
      <c r="J397" s="238"/>
      <c r="K397" s="238"/>
      <c r="L397" s="238"/>
      <c r="M397" s="238"/>
      <c r="N397" s="239"/>
      <c r="O397" s="349"/>
      <c r="P397" s="350"/>
      <c r="Q397" s="133"/>
      <c r="R397" s="238"/>
      <c r="S397" s="238"/>
      <c r="T397" s="238"/>
      <c r="U397" s="238"/>
      <c r="V397" s="239"/>
      <c r="W397" s="349"/>
      <c r="X397" s="350"/>
    </row>
    <row r="398" spans="1:24" ht="15.75" thickBot="1" x14ac:dyDescent="0.3">
      <c r="A398" s="133"/>
      <c r="B398" s="224" t="s">
        <v>5408</v>
      </c>
      <c r="C398" s="193" t="s">
        <v>867</v>
      </c>
      <c r="D398" s="193" t="s">
        <v>6</v>
      </c>
      <c r="E398" s="193" t="s">
        <v>870</v>
      </c>
      <c r="F398" s="193" t="s">
        <v>5409</v>
      </c>
      <c r="G398" s="343" t="s">
        <v>868</v>
      </c>
      <c r="H398" s="341"/>
      <c r="I398" s="133"/>
      <c r="J398" s="224" t="s">
        <v>5408</v>
      </c>
      <c r="K398" s="193" t="s">
        <v>867</v>
      </c>
      <c r="L398" s="193" t="s">
        <v>6</v>
      </c>
      <c r="M398" s="193" t="s">
        <v>870</v>
      </c>
      <c r="N398" s="193" t="s">
        <v>5409</v>
      </c>
      <c r="O398" s="343" t="s">
        <v>868</v>
      </c>
      <c r="P398" s="341"/>
      <c r="Q398" s="133"/>
      <c r="R398" s="224" t="s">
        <v>5408</v>
      </c>
      <c r="S398" s="193" t="s">
        <v>867</v>
      </c>
      <c r="T398" s="193" t="s">
        <v>6</v>
      </c>
      <c r="U398" s="193" t="s">
        <v>870</v>
      </c>
      <c r="V398" s="193" t="s">
        <v>5409</v>
      </c>
      <c r="W398" s="343" t="s">
        <v>868</v>
      </c>
      <c r="X398" s="341"/>
    </row>
    <row r="399" spans="1:24" x14ac:dyDescent="0.25">
      <c r="A399" s="133"/>
      <c r="B399" s="242" t="s">
        <v>5549</v>
      </c>
      <c r="C399" s="202" t="s">
        <v>5550</v>
      </c>
      <c r="D399" s="226">
        <v>350</v>
      </c>
      <c r="E399" s="228">
        <v>520</v>
      </c>
      <c r="F399" s="169">
        <v>0.1</v>
      </c>
      <c r="G399" s="351">
        <f>+D399*E399*(1+F399)</f>
        <v>200200.00000000003</v>
      </c>
      <c r="H399" s="341"/>
      <c r="I399" s="133"/>
      <c r="J399" s="242" t="s">
        <v>5549</v>
      </c>
      <c r="K399" s="202" t="s">
        <v>5550</v>
      </c>
      <c r="L399" s="226">
        <v>350</v>
      </c>
      <c r="M399" s="228">
        <v>520</v>
      </c>
      <c r="N399" s="169">
        <v>0.1</v>
      </c>
      <c r="O399" s="351">
        <f>+L399*M399*(1+N399)</f>
        <v>200200.00000000003</v>
      </c>
      <c r="P399" s="341"/>
      <c r="Q399" s="133"/>
      <c r="R399" s="242" t="s">
        <v>5549</v>
      </c>
      <c r="S399" s="202" t="s">
        <v>5550</v>
      </c>
      <c r="T399" s="226">
        <v>350</v>
      </c>
      <c r="U399" s="228">
        <v>520</v>
      </c>
      <c r="V399" s="169">
        <v>0.1</v>
      </c>
      <c r="W399" s="351">
        <f>+T399*U399*(1+V399)</f>
        <v>200200.00000000003</v>
      </c>
      <c r="X399" s="341"/>
    </row>
    <row r="400" spans="1:24" x14ac:dyDescent="0.25">
      <c r="A400" s="133"/>
      <c r="B400" s="243" t="s">
        <v>5551</v>
      </c>
      <c r="C400" s="202" t="s">
        <v>5542</v>
      </c>
      <c r="D400" s="202">
        <v>0.55500000000000005</v>
      </c>
      <c r="E400" s="228">
        <v>86000</v>
      </c>
      <c r="F400" s="169">
        <v>0.1</v>
      </c>
      <c r="G400" s="351">
        <f>+D400*E400*(1+F400)</f>
        <v>52503.000000000015</v>
      </c>
      <c r="H400" s="341"/>
      <c r="I400" s="133"/>
      <c r="J400" s="243" t="s">
        <v>5551</v>
      </c>
      <c r="K400" s="202" t="s">
        <v>5542</v>
      </c>
      <c r="L400" s="202">
        <v>0.55500000000000005</v>
      </c>
      <c r="M400" s="228">
        <v>86000</v>
      </c>
      <c r="N400" s="169">
        <v>0.1</v>
      </c>
      <c r="O400" s="351">
        <f>+L400*M400*(1+N400)</f>
        <v>52503.000000000015</v>
      </c>
      <c r="P400" s="341"/>
      <c r="Q400" s="133"/>
      <c r="R400" s="243" t="s">
        <v>5551</v>
      </c>
      <c r="S400" s="202" t="s">
        <v>5542</v>
      </c>
      <c r="T400" s="202">
        <v>0.55500000000000005</v>
      </c>
      <c r="U400" s="228">
        <v>86000</v>
      </c>
      <c r="V400" s="169">
        <v>0.1</v>
      </c>
      <c r="W400" s="351">
        <f>+T400*U400*(1+V400)</f>
        <v>52503.000000000015</v>
      </c>
      <c r="X400" s="341"/>
    </row>
    <row r="401" spans="1:24" x14ac:dyDescent="0.25">
      <c r="A401" s="133"/>
      <c r="B401" s="243" t="s">
        <v>5552</v>
      </c>
      <c r="C401" s="226" t="s">
        <v>5542</v>
      </c>
      <c r="D401" s="226">
        <v>0.83499999999999996</v>
      </c>
      <c r="E401" s="228">
        <v>80000</v>
      </c>
      <c r="F401" s="169">
        <v>0.1</v>
      </c>
      <c r="G401" s="351">
        <f>+D401*E401*(1+F401)</f>
        <v>73480</v>
      </c>
      <c r="H401" s="341"/>
      <c r="I401" s="133"/>
      <c r="J401" s="243" t="s">
        <v>5552</v>
      </c>
      <c r="K401" s="226" t="s">
        <v>5542</v>
      </c>
      <c r="L401" s="226">
        <v>0.83499999999999996</v>
      </c>
      <c r="M401" s="228">
        <v>80000</v>
      </c>
      <c r="N401" s="169">
        <v>0.1</v>
      </c>
      <c r="O401" s="351">
        <f>+L401*M401*(1+N401)</f>
        <v>73480</v>
      </c>
      <c r="P401" s="341"/>
      <c r="Q401" s="133"/>
      <c r="R401" s="243" t="s">
        <v>5552</v>
      </c>
      <c r="S401" s="226" t="s">
        <v>5542</v>
      </c>
      <c r="T401" s="226">
        <v>0.83499999999999996</v>
      </c>
      <c r="U401" s="228">
        <v>80000</v>
      </c>
      <c r="V401" s="169">
        <v>0.1</v>
      </c>
      <c r="W401" s="351">
        <f>+T401*U401*(1+V401)</f>
        <v>73480</v>
      </c>
      <c r="X401" s="341"/>
    </row>
    <row r="402" spans="1:24" x14ac:dyDescent="0.25">
      <c r="A402" s="133"/>
      <c r="B402" s="194" t="s">
        <v>5553</v>
      </c>
      <c r="C402" s="226" t="s">
        <v>5488</v>
      </c>
      <c r="D402" s="226">
        <v>180</v>
      </c>
      <c r="E402" s="352">
        <v>10</v>
      </c>
      <c r="F402" s="169">
        <v>0.1</v>
      </c>
      <c r="G402" s="351">
        <f>+D402*E402*(1+F402)</f>
        <v>1980.0000000000002</v>
      </c>
      <c r="H402" s="341"/>
      <c r="I402" s="133"/>
      <c r="J402" s="194" t="s">
        <v>5553</v>
      </c>
      <c r="K402" s="226" t="s">
        <v>5488</v>
      </c>
      <c r="L402" s="226">
        <v>180</v>
      </c>
      <c r="M402" s="352">
        <v>10</v>
      </c>
      <c r="N402" s="169">
        <v>0.1</v>
      </c>
      <c r="O402" s="351">
        <f>+L402*M402*(1+N402)</f>
        <v>1980.0000000000002</v>
      </c>
      <c r="P402" s="341"/>
      <c r="Q402" s="133"/>
      <c r="R402" s="194" t="s">
        <v>5553</v>
      </c>
      <c r="S402" s="226" t="s">
        <v>5488</v>
      </c>
      <c r="T402" s="226">
        <v>180</v>
      </c>
      <c r="U402" s="352">
        <v>10</v>
      </c>
      <c r="V402" s="169">
        <v>0.1</v>
      </c>
      <c r="W402" s="351">
        <f>+T402*U402*(1+V402)</f>
        <v>1980.0000000000002</v>
      </c>
      <c r="X402" s="341"/>
    </row>
    <row r="403" spans="1:24" x14ac:dyDescent="0.25">
      <c r="A403" s="133"/>
      <c r="B403" s="195" t="s">
        <v>5555</v>
      </c>
      <c r="C403" s="226" t="s">
        <v>5556</v>
      </c>
      <c r="D403" s="226">
        <v>0.5</v>
      </c>
      <c r="E403" s="345">
        <v>46600</v>
      </c>
      <c r="F403" s="169">
        <v>0.1</v>
      </c>
      <c r="G403" s="351">
        <f>+D403*E403*(1+F403)</f>
        <v>25630.000000000004</v>
      </c>
      <c r="H403" s="341"/>
      <c r="I403" s="133"/>
      <c r="J403" s="195" t="s">
        <v>5555</v>
      </c>
      <c r="K403" s="226" t="s">
        <v>5556</v>
      </c>
      <c r="L403" s="226">
        <v>1</v>
      </c>
      <c r="M403" s="345">
        <v>46600</v>
      </c>
      <c r="N403" s="169">
        <v>0.1</v>
      </c>
      <c r="O403" s="351">
        <f>+L403*M403*(1+N403)</f>
        <v>51260.000000000007</v>
      </c>
      <c r="P403" s="341"/>
      <c r="Q403" s="133"/>
      <c r="R403" s="195" t="s">
        <v>5555</v>
      </c>
      <c r="S403" s="226" t="s">
        <v>5556</v>
      </c>
      <c r="T403" s="226">
        <v>1</v>
      </c>
      <c r="U403" s="345">
        <v>46600</v>
      </c>
      <c r="V403" s="169">
        <v>0.1</v>
      </c>
      <c r="W403" s="351">
        <f>+T403*U403*(1+V403)</f>
        <v>51260.000000000007</v>
      </c>
      <c r="X403" s="341"/>
    </row>
    <row r="404" spans="1:24" x14ac:dyDescent="0.25">
      <c r="A404" s="133"/>
      <c r="B404" s="194" t="s">
        <v>5560</v>
      </c>
      <c r="C404" s="202" t="s">
        <v>5460</v>
      </c>
      <c r="D404" s="202"/>
      <c r="E404" s="345"/>
      <c r="F404" s="169"/>
      <c r="G404" s="351">
        <v>5000</v>
      </c>
      <c r="H404" s="341"/>
      <c r="I404" s="133"/>
      <c r="J404" s="194" t="s">
        <v>5560</v>
      </c>
      <c r="K404" s="202" t="s">
        <v>5460</v>
      </c>
      <c r="L404" s="202"/>
      <c r="M404" s="345"/>
      <c r="N404" s="169"/>
      <c r="O404" s="351">
        <v>5000</v>
      </c>
      <c r="P404" s="341"/>
      <c r="Q404" s="133"/>
      <c r="R404" s="194" t="s">
        <v>5560</v>
      </c>
      <c r="S404" s="202" t="s">
        <v>5460</v>
      </c>
      <c r="T404" s="202"/>
      <c r="U404" s="345"/>
      <c r="V404" s="169"/>
      <c r="W404" s="351">
        <v>5000</v>
      </c>
      <c r="X404" s="341"/>
    </row>
    <row r="405" spans="1:24" x14ac:dyDescent="0.25">
      <c r="A405" s="133"/>
      <c r="B405" s="195"/>
      <c r="C405" s="226"/>
      <c r="D405" s="226"/>
      <c r="E405" s="345"/>
      <c r="F405" s="169"/>
      <c r="G405" s="351"/>
      <c r="H405" s="341"/>
      <c r="I405" s="133"/>
      <c r="J405" s="195"/>
      <c r="K405" s="226"/>
      <c r="L405" s="226"/>
      <c r="M405" s="345"/>
      <c r="N405" s="169"/>
      <c r="O405" s="351"/>
      <c r="P405" s="341"/>
      <c r="Q405" s="133"/>
      <c r="R405" s="195" t="s">
        <v>5928</v>
      </c>
      <c r="S405" s="226" t="s">
        <v>5556</v>
      </c>
      <c r="T405" s="226">
        <v>0.4</v>
      </c>
      <c r="U405" s="345">
        <v>25000</v>
      </c>
      <c r="V405" s="169">
        <v>0.1</v>
      </c>
      <c r="W405" s="351">
        <f>+T405*U405*(1+V405)</f>
        <v>11000</v>
      </c>
      <c r="X405" s="341"/>
    </row>
    <row r="406" spans="1:24" x14ac:dyDescent="0.25">
      <c r="A406" s="133"/>
      <c r="B406" s="195"/>
      <c r="C406" s="226"/>
      <c r="D406" s="226"/>
      <c r="E406" s="345"/>
      <c r="F406" s="169"/>
      <c r="G406" s="351"/>
      <c r="H406" s="341"/>
      <c r="I406" s="133"/>
      <c r="J406" s="195"/>
      <c r="K406" s="226"/>
      <c r="L406" s="226"/>
      <c r="M406" s="345"/>
      <c r="N406" s="169"/>
      <c r="O406" s="351"/>
      <c r="P406" s="341"/>
      <c r="Q406" s="133"/>
      <c r="R406" s="195"/>
      <c r="S406" s="226"/>
      <c r="T406" s="226"/>
      <c r="U406" s="345"/>
      <c r="V406" s="169"/>
      <c r="W406" s="351"/>
      <c r="X406" s="341"/>
    </row>
    <row r="407" spans="1:24" x14ac:dyDescent="0.25">
      <c r="A407" s="133"/>
      <c r="B407" s="195"/>
      <c r="C407" s="232"/>
      <c r="D407" s="232"/>
      <c r="E407" s="232"/>
      <c r="F407" s="226"/>
      <c r="G407" s="344"/>
      <c r="H407" s="341"/>
      <c r="I407" s="133"/>
      <c r="J407" s="195"/>
      <c r="K407" s="232"/>
      <c r="L407" s="232"/>
      <c r="M407" s="232"/>
      <c r="N407" s="226"/>
      <c r="O407" s="344"/>
      <c r="P407" s="341"/>
      <c r="Q407" s="133"/>
      <c r="R407" s="195"/>
      <c r="S407" s="232"/>
      <c r="T407" s="232"/>
      <c r="U407" s="232"/>
      <c r="V407" s="226"/>
      <c r="W407" s="344"/>
      <c r="X407" s="341"/>
    </row>
    <row r="408" spans="1:24" x14ac:dyDescent="0.25">
      <c r="A408" s="133"/>
      <c r="B408" s="195"/>
      <c r="C408" s="232"/>
      <c r="D408" s="232"/>
      <c r="E408" s="232"/>
      <c r="F408" s="226"/>
      <c r="G408" s="344"/>
      <c r="H408" s="341"/>
      <c r="I408" s="133"/>
      <c r="J408" s="195"/>
      <c r="K408" s="232"/>
      <c r="L408" s="232"/>
      <c r="M408" s="232"/>
      <c r="N408" s="226"/>
      <c r="O408" s="344"/>
      <c r="P408" s="341"/>
      <c r="Q408" s="133"/>
      <c r="R408" s="195"/>
      <c r="S408" s="232"/>
      <c r="T408" s="232"/>
      <c r="U408" s="232"/>
      <c r="V408" s="226"/>
      <c r="W408" s="344"/>
      <c r="X408" s="341"/>
    </row>
    <row r="409" spans="1:24" x14ac:dyDescent="0.25">
      <c r="A409" s="133"/>
      <c r="B409" s="195"/>
      <c r="C409" s="232"/>
      <c r="D409" s="232"/>
      <c r="E409" s="232"/>
      <c r="F409" s="226"/>
      <c r="G409" s="344"/>
      <c r="H409" s="341"/>
      <c r="I409" s="133"/>
      <c r="J409" s="195"/>
      <c r="K409" s="232"/>
      <c r="L409" s="232"/>
      <c r="M409" s="232"/>
      <c r="N409" s="226"/>
      <c r="O409" s="344"/>
      <c r="P409" s="341"/>
      <c r="Q409" s="133"/>
      <c r="R409" s="195"/>
      <c r="S409" s="232"/>
      <c r="T409" s="232"/>
      <c r="U409" s="232"/>
      <c r="V409" s="226"/>
      <c r="W409" s="344"/>
      <c r="X409" s="341"/>
    </row>
    <row r="410" spans="1:24" ht="15.75" thickBot="1" x14ac:dyDescent="0.3">
      <c r="A410" s="133"/>
      <c r="B410" s="195"/>
      <c r="C410" s="232"/>
      <c r="D410" s="232"/>
      <c r="E410" s="232"/>
      <c r="F410" s="226"/>
      <c r="G410" s="344"/>
      <c r="H410" s="341"/>
      <c r="I410" s="133"/>
      <c r="J410" s="195"/>
      <c r="K410" s="232"/>
      <c r="L410" s="232"/>
      <c r="M410" s="232"/>
      <c r="N410" s="226"/>
      <c r="O410" s="344"/>
      <c r="P410" s="341"/>
      <c r="Q410" s="133"/>
      <c r="R410" s="195"/>
      <c r="S410" s="232"/>
      <c r="T410" s="232"/>
      <c r="U410" s="232"/>
      <c r="V410" s="226"/>
      <c r="W410" s="344"/>
      <c r="X410" s="341"/>
    </row>
    <row r="411" spans="1:24" ht="15.75" thickBot="1" x14ac:dyDescent="0.3">
      <c r="A411" s="133"/>
      <c r="B411" s="233"/>
      <c r="C411" s="234"/>
      <c r="D411" s="234"/>
      <c r="E411" s="234"/>
      <c r="F411" s="235"/>
      <c r="G411" s="347"/>
      <c r="H411" s="348">
        <f>+SUM(G399:G411)</f>
        <v>358793.00000000006</v>
      </c>
      <c r="I411" s="133"/>
      <c r="J411" s="233"/>
      <c r="K411" s="234"/>
      <c r="L411" s="234"/>
      <c r="M411" s="234"/>
      <c r="N411" s="235"/>
      <c r="O411" s="347"/>
      <c r="P411" s="348">
        <f>+SUM(O399:O411)</f>
        <v>384423.00000000006</v>
      </c>
      <c r="Q411" s="133"/>
      <c r="R411" s="233"/>
      <c r="S411" s="234"/>
      <c r="T411" s="234"/>
      <c r="U411" s="234"/>
      <c r="V411" s="235"/>
      <c r="W411" s="347"/>
      <c r="X411" s="348">
        <f>+SUM(W399:W411)</f>
        <v>395423.00000000006</v>
      </c>
    </row>
    <row r="412" spans="1:24" ht="15.75" thickBot="1" x14ac:dyDescent="0.3">
      <c r="A412" s="133"/>
      <c r="B412" s="238"/>
      <c r="C412" s="238"/>
      <c r="D412" s="238"/>
      <c r="E412" s="238"/>
      <c r="F412" s="239"/>
      <c r="G412" s="349"/>
      <c r="H412" s="350"/>
      <c r="I412" s="133"/>
      <c r="J412" s="238"/>
      <c r="K412" s="238"/>
      <c r="L412" s="238"/>
      <c r="M412" s="238"/>
      <c r="N412" s="239"/>
      <c r="O412" s="349"/>
      <c r="P412" s="350"/>
      <c r="Q412" s="133"/>
      <c r="R412" s="238"/>
      <c r="S412" s="238"/>
      <c r="T412" s="238"/>
      <c r="U412" s="238"/>
      <c r="V412" s="239"/>
      <c r="W412" s="349"/>
      <c r="X412" s="350"/>
    </row>
    <row r="413" spans="1:24" ht="15.75" thickBot="1" x14ac:dyDescent="0.3">
      <c r="A413" s="133"/>
      <c r="B413" s="224" t="s">
        <v>5410</v>
      </c>
      <c r="C413" s="193" t="s">
        <v>867</v>
      </c>
      <c r="D413" s="193" t="s">
        <v>6</v>
      </c>
      <c r="E413" s="193" t="s">
        <v>870</v>
      </c>
      <c r="F413" s="193" t="s">
        <v>5411</v>
      </c>
      <c r="G413" s="343" t="s">
        <v>868</v>
      </c>
      <c r="H413" s="341"/>
      <c r="I413" s="133"/>
      <c r="J413" s="224" t="s">
        <v>5410</v>
      </c>
      <c r="K413" s="193" t="s">
        <v>867</v>
      </c>
      <c r="L413" s="193" t="s">
        <v>6</v>
      </c>
      <c r="M413" s="193" t="s">
        <v>870</v>
      </c>
      <c r="N413" s="193" t="s">
        <v>5411</v>
      </c>
      <c r="O413" s="343" t="s">
        <v>868</v>
      </c>
      <c r="P413" s="341"/>
      <c r="Q413" s="133"/>
      <c r="R413" s="224" t="s">
        <v>5410</v>
      </c>
      <c r="S413" s="193" t="s">
        <v>867</v>
      </c>
      <c r="T413" s="193" t="s">
        <v>6</v>
      </c>
      <c r="U413" s="193" t="s">
        <v>870</v>
      </c>
      <c r="V413" s="193" t="s">
        <v>5411</v>
      </c>
      <c r="W413" s="343" t="s">
        <v>868</v>
      </c>
      <c r="X413" s="341"/>
    </row>
    <row r="414" spans="1:24" x14ac:dyDescent="0.25">
      <c r="A414" s="133"/>
      <c r="B414" s="245"/>
      <c r="C414" s="202"/>
      <c r="D414" s="202"/>
      <c r="E414" s="228"/>
      <c r="F414" s="202"/>
      <c r="G414" s="354"/>
      <c r="H414" s="355"/>
      <c r="I414" s="133"/>
      <c r="J414" s="245"/>
      <c r="K414" s="202"/>
      <c r="L414" s="202"/>
      <c r="M414" s="228"/>
      <c r="N414" s="202"/>
      <c r="O414" s="354"/>
      <c r="P414" s="355"/>
      <c r="Q414" s="133"/>
      <c r="R414" s="245"/>
      <c r="S414" s="202"/>
      <c r="T414" s="202"/>
      <c r="U414" s="228"/>
      <c r="V414" s="202"/>
      <c r="W414" s="354"/>
      <c r="X414" s="355"/>
    </row>
    <row r="415" spans="1:24" x14ac:dyDescent="0.25">
      <c r="A415" s="133"/>
      <c r="B415" s="247"/>
      <c r="C415" s="248"/>
      <c r="D415" s="248"/>
      <c r="E415" s="228"/>
      <c r="F415" s="202"/>
      <c r="G415" s="351"/>
      <c r="H415" s="341"/>
      <c r="I415" s="133"/>
      <c r="J415" s="247"/>
      <c r="K415" s="248"/>
      <c r="L415" s="248"/>
      <c r="M415" s="228"/>
      <c r="N415" s="202"/>
      <c r="O415" s="351"/>
      <c r="P415" s="341"/>
      <c r="Q415" s="133"/>
      <c r="R415" s="247"/>
      <c r="S415" s="248"/>
      <c r="T415" s="248"/>
      <c r="U415" s="228"/>
      <c r="V415" s="202"/>
      <c r="W415" s="351"/>
      <c r="X415" s="341"/>
    </row>
    <row r="416" spans="1:24" x14ac:dyDescent="0.25">
      <c r="A416" s="133"/>
      <c r="B416" s="247"/>
      <c r="C416" s="232"/>
      <c r="D416" s="232"/>
      <c r="E416" s="232"/>
      <c r="F416" s="226"/>
      <c r="G416" s="344"/>
      <c r="H416" s="341"/>
      <c r="I416" s="133"/>
      <c r="J416" s="247"/>
      <c r="K416" s="232"/>
      <c r="L416" s="232"/>
      <c r="M416" s="232"/>
      <c r="N416" s="226"/>
      <c r="O416" s="344"/>
      <c r="P416" s="341"/>
      <c r="Q416" s="133"/>
      <c r="R416" s="247"/>
      <c r="S416" s="232"/>
      <c r="T416" s="232"/>
      <c r="U416" s="232"/>
      <c r="V416" s="226"/>
      <c r="W416" s="344"/>
      <c r="X416" s="341"/>
    </row>
    <row r="417" spans="1:24" x14ac:dyDescent="0.25">
      <c r="A417" s="133"/>
      <c r="B417" s="194"/>
      <c r="C417" s="232"/>
      <c r="D417" s="232"/>
      <c r="E417" s="232"/>
      <c r="F417" s="226"/>
      <c r="G417" s="344"/>
      <c r="H417" s="341"/>
      <c r="I417" s="133"/>
      <c r="J417" s="194"/>
      <c r="K417" s="232"/>
      <c r="L417" s="232"/>
      <c r="M417" s="232"/>
      <c r="N417" s="226"/>
      <c r="O417" s="344"/>
      <c r="P417" s="341"/>
      <c r="Q417" s="133"/>
      <c r="R417" s="194"/>
      <c r="S417" s="232"/>
      <c r="T417" s="232"/>
      <c r="U417" s="232"/>
      <c r="V417" s="226"/>
      <c r="W417" s="344"/>
      <c r="X417" s="341"/>
    </row>
    <row r="418" spans="1:24" ht="15.75" thickBot="1" x14ac:dyDescent="0.3">
      <c r="A418" s="133"/>
      <c r="B418" s="195"/>
      <c r="C418" s="232"/>
      <c r="D418" s="232"/>
      <c r="E418" s="232"/>
      <c r="F418" s="226"/>
      <c r="G418" s="344"/>
      <c r="H418" s="341"/>
      <c r="I418" s="133"/>
      <c r="J418" s="195"/>
      <c r="K418" s="232"/>
      <c r="L418" s="232"/>
      <c r="M418" s="232"/>
      <c r="N418" s="226"/>
      <c r="O418" s="344"/>
      <c r="P418" s="341"/>
      <c r="Q418" s="133"/>
      <c r="R418" s="195"/>
      <c r="S418" s="232"/>
      <c r="T418" s="232"/>
      <c r="U418" s="232"/>
      <c r="V418" s="226"/>
      <c r="W418" s="344"/>
      <c r="X418" s="341"/>
    </row>
    <row r="419" spans="1:24" ht="15.75" thickBot="1" x14ac:dyDescent="0.3">
      <c r="A419" s="133"/>
      <c r="B419" s="233"/>
      <c r="C419" s="234"/>
      <c r="D419" s="234"/>
      <c r="E419" s="234"/>
      <c r="F419" s="235"/>
      <c r="G419" s="347"/>
      <c r="H419" s="348">
        <f>+SUM(G414:G419)</f>
        <v>0</v>
      </c>
      <c r="I419" s="133"/>
      <c r="J419" s="233"/>
      <c r="K419" s="234"/>
      <c r="L419" s="234"/>
      <c r="M419" s="234"/>
      <c r="N419" s="235"/>
      <c r="O419" s="347"/>
      <c r="P419" s="348">
        <f>+SUM(O414:O419)</f>
        <v>0</v>
      </c>
      <c r="Q419" s="133"/>
      <c r="R419" s="233"/>
      <c r="S419" s="234"/>
      <c r="T419" s="234"/>
      <c r="U419" s="234"/>
      <c r="V419" s="235"/>
      <c r="W419" s="347"/>
      <c r="X419" s="348">
        <f>+SUM(W414:W419)</f>
        <v>0</v>
      </c>
    </row>
    <row r="420" spans="1:24" ht="15.75" thickBot="1" x14ac:dyDescent="0.3">
      <c r="A420" s="133"/>
      <c r="B420" s="238"/>
      <c r="C420" s="238"/>
      <c r="D420" s="238"/>
      <c r="E420" s="238"/>
      <c r="F420" s="249"/>
      <c r="G420" s="356"/>
      <c r="H420" s="350"/>
      <c r="I420" s="133"/>
      <c r="J420" s="238"/>
      <c r="K420" s="238"/>
      <c r="L420" s="238"/>
      <c r="M420" s="238"/>
      <c r="N420" s="249"/>
      <c r="O420" s="356"/>
      <c r="P420" s="350"/>
      <c r="Q420" s="133"/>
      <c r="R420" s="238"/>
      <c r="S420" s="238"/>
      <c r="T420" s="238"/>
      <c r="U420" s="238"/>
      <c r="V420" s="249"/>
      <c r="W420" s="356"/>
      <c r="X420" s="350"/>
    </row>
    <row r="421" spans="1:24" ht="15.75" thickBot="1" x14ac:dyDescent="0.3">
      <c r="A421" s="133"/>
      <c r="B421" s="224" t="s">
        <v>5412</v>
      </c>
      <c r="C421" s="193" t="s">
        <v>5420</v>
      </c>
      <c r="D421" s="193" t="s">
        <v>5421</v>
      </c>
      <c r="E421" s="193" t="s">
        <v>5413</v>
      </c>
      <c r="F421" s="193" t="s">
        <v>5405</v>
      </c>
      <c r="G421" s="343" t="s">
        <v>868</v>
      </c>
      <c r="H421" s="341"/>
      <c r="I421" s="133"/>
      <c r="J421" s="224" t="s">
        <v>5412</v>
      </c>
      <c r="K421" s="193" t="s">
        <v>5420</v>
      </c>
      <c r="L421" s="193" t="s">
        <v>5421</v>
      </c>
      <c r="M421" s="193" t="s">
        <v>5413</v>
      </c>
      <c r="N421" s="193" t="s">
        <v>5405</v>
      </c>
      <c r="O421" s="343" t="s">
        <v>868</v>
      </c>
      <c r="P421" s="341"/>
      <c r="Q421" s="133"/>
      <c r="R421" s="224" t="s">
        <v>5412</v>
      </c>
      <c r="S421" s="193" t="s">
        <v>5420</v>
      </c>
      <c r="T421" s="193" t="s">
        <v>5421</v>
      </c>
      <c r="U421" s="193" t="s">
        <v>5413</v>
      </c>
      <c r="V421" s="193" t="s">
        <v>5405</v>
      </c>
      <c r="W421" s="343" t="s">
        <v>868</v>
      </c>
      <c r="X421" s="341"/>
    </row>
    <row r="422" spans="1:24" x14ac:dyDescent="0.25">
      <c r="A422" s="133"/>
      <c r="B422" s="194" t="s">
        <v>5948</v>
      </c>
      <c r="C422" s="345">
        <v>70000</v>
      </c>
      <c r="D422" s="345">
        <f>+C422*0.85</f>
        <v>59500</v>
      </c>
      <c r="E422" s="353">
        <f>+C422+D422</f>
        <v>129500</v>
      </c>
      <c r="F422" s="209">
        <v>5</v>
      </c>
      <c r="G422" s="351">
        <f>+E422/F422</f>
        <v>25900</v>
      </c>
      <c r="H422" s="341"/>
      <c r="I422" s="133"/>
      <c r="J422" s="194" t="s">
        <v>5948</v>
      </c>
      <c r="K422" s="345">
        <v>70000</v>
      </c>
      <c r="L422" s="345">
        <f>+K422*0.85</f>
        <v>59500</v>
      </c>
      <c r="M422" s="353">
        <f>+K422+L422</f>
        <v>129500</v>
      </c>
      <c r="N422" s="209">
        <v>5</v>
      </c>
      <c r="O422" s="351">
        <f>+M422/N422</f>
        <v>25900</v>
      </c>
      <c r="P422" s="341"/>
      <c r="Q422" s="133"/>
      <c r="R422" s="194" t="s">
        <v>5948</v>
      </c>
      <c r="S422" s="345">
        <v>70000</v>
      </c>
      <c r="T422" s="345">
        <f>+S422*0.85</f>
        <v>59500</v>
      </c>
      <c r="U422" s="353">
        <f>+S422+T422</f>
        <v>129500</v>
      </c>
      <c r="V422" s="209">
        <v>5</v>
      </c>
      <c r="W422" s="351">
        <f>+U422/V422</f>
        <v>25900</v>
      </c>
      <c r="X422" s="341"/>
    </row>
    <row r="423" spans="1:24" x14ac:dyDescent="0.25">
      <c r="A423" s="133"/>
      <c r="B423" s="194" t="s">
        <v>5949</v>
      </c>
      <c r="C423" s="345">
        <v>40000</v>
      </c>
      <c r="D423" s="345">
        <f>+C423*0.85</f>
        <v>34000</v>
      </c>
      <c r="E423" s="353">
        <f>+C423+D423</f>
        <v>74000</v>
      </c>
      <c r="F423" s="202">
        <v>1</v>
      </c>
      <c r="G423" s="351">
        <f>+E423/F423</f>
        <v>74000</v>
      </c>
      <c r="H423" s="341"/>
      <c r="I423" s="133"/>
      <c r="J423" s="194" t="s">
        <v>5949</v>
      </c>
      <c r="K423" s="345">
        <v>40000</v>
      </c>
      <c r="L423" s="345">
        <f>+K423*0.85</f>
        <v>34000</v>
      </c>
      <c r="M423" s="353">
        <f>+K423+L423</f>
        <v>74000</v>
      </c>
      <c r="N423" s="202">
        <v>0.7</v>
      </c>
      <c r="O423" s="351">
        <f>+M423/N423</f>
        <v>105714.28571428572</v>
      </c>
      <c r="P423" s="341"/>
      <c r="Q423" s="133"/>
      <c r="R423" s="194" t="s">
        <v>5949</v>
      </c>
      <c r="S423" s="345">
        <v>40000</v>
      </c>
      <c r="T423" s="345">
        <f>+S423*0.85</f>
        <v>34000</v>
      </c>
      <c r="U423" s="353">
        <f>+S423+T423</f>
        <v>74000</v>
      </c>
      <c r="V423" s="202">
        <v>0.4</v>
      </c>
      <c r="W423" s="351">
        <f>+U423/V423</f>
        <v>185000</v>
      </c>
      <c r="X423" s="341"/>
    </row>
    <row r="424" spans="1:24" x14ac:dyDescent="0.25">
      <c r="A424" s="133"/>
      <c r="B424" s="195" t="s">
        <v>5635</v>
      </c>
      <c r="C424" s="345">
        <v>20600</v>
      </c>
      <c r="D424" s="345">
        <f>+C424*0.85</f>
        <v>17510</v>
      </c>
      <c r="E424" s="353">
        <f>+C424+D424</f>
        <v>38110</v>
      </c>
      <c r="F424" s="226">
        <v>1</v>
      </c>
      <c r="G424" s="351">
        <f>+E424/F424</f>
        <v>38110</v>
      </c>
      <c r="H424" s="341"/>
      <c r="I424" s="133"/>
      <c r="J424" s="195" t="s">
        <v>5635</v>
      </c>
      <c r="K424" s="345">
        <v>20600</v>
      </c>
      <c r="L424" s="345">
        <f>+K424*0.85</f>
        <v>17510</v>
      </c>
      <c r="M424" s="353">
        <f>+K424+L424</f>
        <v>38110</v>
      </c>
      <c r="N424" s="226">
        <v>0.5</v>
      </c>
      <c r="O424" s="351">
        <f>+M424/N424</f>
        <v>76220</v>
      </c>
      <c r="P424" s="341"/>
      <c r="Q424" s="133"/>
      <c r="R424" s="195" t="s">
        <v>5635</v>
      </c>
      <c r="S424" s="345">
        <v>20600</v>
      </c>
      <c r="T424" s="345">
        <f>+S424*0.85</f>
        <v>17510</v>
      </c>
      <c r="U424" s="353">
        <f>+S424+T424</f>
        <v>38110</v>
      </c>
      <c r="V424" s="226">
        <v>0.4</v>
      </c>
      <c r="W424" s="351">
        <f>+U424/V424</f>
        <v>95275</v>
      </c>
      <c r="X424" s="341"/>
    </row>
    <row r="425" spans="1:24" x14ac:dyDescent="0.25">
      <c r="A425" s="133"/>
      <c r="B425" s="195"/>
      <c r="C425" s="346"/>
      <c r="D425" s="345"/>
      <c r="E425" s="345"/>
      <c r="F425" s="226"/>
      <c r="G425" s="351"/>
      <c r="H425" s="341"/>
      <c r="I425" s="133"/>
      <c r="J425" s="195"/>
      <c r="K425" s="346"/>
      <c r="L425" s="345"/>
      <c r="M425" s="345"/>
      <c r="N425" s="226"/>
      <c r="O425" s="351"/>
      <c r="P425" s="341"/>
      <c r="Q425" s="133"/>
      <c r="R425" s="195"/>
      <c r="S425" s="346"/>
      <c r="T425" s="345"/>
      <c r="U425" s="345"/>
      <c r="V425" s="226"/>
      <c r="W425" s="351"/>
      <c r="X425" s="341"/>
    </row>
    <row r="426" spans="1:24" x14ac:dyDescent="0.25">
      <c r="A426" s="133"/>
      <c r="B426" s="195"/>
      <c r="C426" s="232"/>
      <c r="D426" s="232"/>
      <c r="E426" s="232"/>
      <c r="F426" s="226"/>
      <c r="G426" s="344"/>
      <c r="H426" s="341"/>
      <c r="I426" s="133"/>
      <c r="J426" s="195"/>
      <c r="K426" s="232"/>
      <c r="L426" s="232"/>
      <c r="M426" s="232"/>
      <c r="N426" s="226"/>
      <c r="O426" s="344"/>
      <c r="P426" s="341"/>
      <c r="Q426" s="133"/>
      <c r="R426" s="195"/>
      <c r="S426" s="232"/>
      <c r="T426" s="232"/>
      <c r="U426" s="232"/>
      <c r="V426" s="226"/>
      <c r="W426" s="344"/>
      <c r="X426" s="341"/>
    </row>
    <row r="427" spans="1:24" ht="15.75" thickBot="1" x14ac:dyDescent="0.3">
      <c r="A427" s="133"/>
      <c r="B427" s="195"/>
      <c r="C427" s="232"/>
      <c r="D427" s="232"/>
      <c r="E427" s="232"/>
      <c r="F427" s="226"/>
      <c r="G427" s="344"/>
      <c r="H427" s="341"/>
      <c r="I427" s="133"/>
      <c r="J427" s="195"/>
      <c r="K427" s="232"/>
      <c r="L427" s="232"/>
      <c r="M427" s="232"/>
      <c r="N427" s="226"/>
      <c r="O427" s="344"/>
      <c r="P427" s="341"/>
      <c r="Q427" s="133"/>
      <c r="R427" s="195"/>
      <c r="S427" s="232"/>
      <c r="T427" s="232"/>
      <c r="U427" s="232"/>
      <c r="V427" s="226"/>
      <c r="W427" s="344"/>
      <c r="X427" s="341"/>
    </row>
    <row r="428" spans="1:24" ht="15.75" thickBot="1" x14ac:dyDescent="0.3">
      <c r="A428" s="133"/>
      <c r="B428" s="251"/>
      <c r="C428" s="252"/>
      <c r="D428" s="252"/>
      <c r="E428" s="252"/>
      <c r="F428" s="253"/>
      <c r="G428" s="357"/>
      <c r="H428" s="348">
        <f>+SUM(G422:G428)</f>
        <v>138010</v>
      </c>
      <c r="I428" s="133"/>
      <c r="J428" s="251"/>
      <c r="K428" s="252"/>
      <c r="L428" s="252"/>
      <c r="M428" s="252"/>
      <c r="N428" s="253"/>
      <c r="O428" s="357"/>
      <c r="P428" s="348">
        <f>+SUM(O422:O428)</f>
        <v>207834.28571428574</v>
      </c>
      <c r="Q428" s="133"/>
      <c r="R428" s="251"/>
      <c r="S428" s="252"/>
      <c r="T428" s="252"/>
      <c r="U428" s="252"/>
      <c r="V428" s="253"/>
      <c r="W428" s="357"/>
      <c r="X428" s="348">
        <f>+SUM(W422:W428)</f>
        <v>306175</v>
      </c>
    </row>
    <row r="429" spans="1:24" ht="15.75" thickBot="1" x14ac:dyDescent="0.3">
      <c r="A429" s="133"/>
      <c r="B429" s="8"/>
      <c r="C429" s="8"/>
      <c r="D429" s="8"/>
      <c r="E429" s="8"/>
      <c r="F429" s="133"/>
      <c r="G429" s="341"/>
      <c r="H429" s="341"/>
      <c r="I429" s="133"/>
      <c r="J429" s="8"/>
      <c r="K429" s="8"/>
      <c r="L429" s="8"/>
      <c r="M429" s="8"/>
      <c r="N429" s="133"/>
      <c r="O429" s="341"/>
      <c r="P429" s="341"/>
      <c r="Q429" s="133"/>
      <c r="R429" s="8"/>
      <c r="S429" s="8"/>
      <c r="T429" s="8"/>
      <c r="U429" s="8"/>
      <c r="V429" s="133"/>
      <c r="W429" s="341"/>
      <c r="X429" s="341"/>
    </row>
    <row r="430" spans="1:24" ht="15.75" thickBot="1" x14ac:dyDescent="0.3">
      <c r="A430" s="133"/>
      <c r="B430" s="8"/>
      <c r="C430" s="8"/>
      <c r="D430" s="8"/>
      <c r="E430" s="223"/>
      <c r="F430" s="133"/>
      <c r="G430" s="341"/>
      <c r="H430" s="348">
        <f>+H428+H419+H411+H396</f>
        <v>517604.00000000006</v>
      </c>
      <c r="I430" s="133"/>
      <c r="J430" s="8"/>
      <c r="K430" s="8"/>
      <c r="L430" s="8"/>
      <c r="M430" s="223"/>
      <c r="N430" s="133"/>
      <c r="O430" s="341"/>
      <c r="P430" s="348">
        <f>+P428+P419+P411+P396</f>
        <v>620040.71428571432</v>
      </c>
      <c r="Q430" s="133"/>
      <c r="R430" s="8"/>
      <c r="S430" s="8"/>
      <c r="T430" s="8"/>
      <c r="U430" s="223"/>
      <c r="V430" s="133"/>
      <c r="W430" s="341"/>
      <c r="X430" s="348">
        <f>+X428+X419+X411+X396</f>
        <v>739215.5</v>
      </c>
    </row>
    <row r="435" spans="1:24" ht="18.75" x14ac:dyDescent="0.25">
      <c r="B435" s="2506" t="s">
        <v>5400</v>
      </c>
      <c r="C435" s="2506"/>
      <c r="D435" s="2506"/>
      <c r="E435" s="2506"/>
      <c r="F435" s="2506"/>
      <c r="G435" s="2506"/>
      <c r="J435" s="2506" t="s">
        <v>5400</v>
      </c>
      <c r="K435" s="2506"/>
      <c r="L435" s="2506"/>
      <c r="M435" s="2506"/>
      <c r="N435" s="2506"/>
      <c r="O435" s="2506"/>
      <c r="R435" s="2506" t="s">
        <v>5400</v>
      </c>
      <c r="S435" s="2506"/>
      <c r="T435" s="2506"/>
      <c r="U435" s="2506"/>
      <c r="V435" s="2506"/>
      <c r="W435" s="2506"/>
    </row>
    <row r="436" spans="1:24" x14ac:dyDescent="0.25">
      <c r="A436" s="255"/>
      <c r="E436" s="8"/>
      <c r="I436" s="255"/>
      <c r="M436" s="8"/>
      <c r="Q436" s="255"/>
      <c r="U436" s="8"/>
    </row>
    <row r="437" spans="1:24" x14ac:dyDescent="0.25">
      <c r="A437" s="255"/>
      <c r="E437" s="8"/>
      <c r="I437" s="255"/>
      <c r="M437" s="8"/>
      <c r="Q437" s="255"/>
      <c r="U437" s="8"/>
    </row>
    <row r="438" spans="1:24" ht="15" customHeight="1" x14ac:dyDescent="0.25">
      <c r="A438" s="133"/>
      <c r="B438" s="8"/>
      <c r="C438" s="8"/>
      <c r="D438" s="8"/>
      <c r="E438" s="8"/>
      <c r="F438" s="133"/>
      <c r="G438" s="341"/>
      <c r="H438" s="341"/>
      <c r="I438" s="133"/>
      <c r="J438" s="8"/>
      <c r="K438" s="8"/>
      <c r="L438" s="8"/>
      <c r="M438" s="8"/>
      <c r="N438" s="133"/>
      <c r="O438" s="341"/>
      <c r="P438" s="341"/>
      <c r="Q438" s="133"/>
      <c r="R438" s="8"/>
      <c r="S438" s="8"/>
      <c r="T438" s="8"/>
      <c r="U438" s="8"/>
      <c r="V438" s="133"/>
      <c r="W438" s="341"/>
      <c r="X438" s="341"/>
    </row>
    <row r="439" spans="1:24" ht="37.5" customHeight="1" x14ac:dyDescent="0.25">
      <c r="A439" s="220" t="s">
        <v>5482</v>
      </c>
      <c r="B439" s="221" t="s">
        <v>622</v>
      </c>
      <c r="C439" s="2449" t="s">
        <v>6032</v>
      </c>
      <c r="D439" s="2449"/>
      <c r="E439" s="2449"/>
      <c r="F439" s="220" t="s">
        <v>867</v>
      </c>
      <c r="G439" s="342" t="s">
        <v>5454</v>
      </c>
      <c r="H439" s="341"/>
      <c r="I439" s="220" t="s">
        <v>5482</v>
      </c>
      <c r="J439" s="221" t="s">
        <v>622</v>
      </c>
      <c r="K439" s="2449" t="s">
        <v>6033</v>
      </c>
      <c r="L439" s="2449"/>
      <c r="M439" s="2449"/>
      <c r="N439" s="220" t="s">
        <v>867</v>
      </c>
      <c r="O439" s="342" t="s">
        <v>5454</v>
      </c>
      <c r="P439" s="341"/>
      <c r="Q439" s="220" t="s">
        <v>5482</v>
      </c>
      <c r="R439" s="221" t="s">
        <v>622</v>
      </c>
      <c r="S439" s="2449" t="s">
        <v>6034</v>
      </c>
      <c r="T439" s="2449"/>
      <c r="U439" s="2449"/>
      <c r="V439" s="220" t="s">
        <v>867</v>
      </c>
      <c r="W439" s="342" t="s">
        <v>5454</v>
      </c>
      <c r="X439" s="341"/>
    </row>
    <row r="440" spans="1:24" x14ac:dyDescent="0.25">
      <c r="A440" s="133"/>
      <c r="B440" s="8"/>
      <c r="C440" s="223"/>
      <c r="D440" s="223"/>
      <c r="E440" s="223"/>
      <c r="F440" s="133"/>
      <c r="G440" s="341"/>
      <c r="H440" s="341"/>
      <c r="I440" s="133"/>
      <c r="J440" s="8"/>
      <c r="K440" s="223"/>
      <c r="L440" s="223"/>
      <c r="M440" s="223"/>
      <c r="N440" s="133"/>
      <c r="O440" s="341"/>
      <c r="P440" s="341"/>
      <c r="Q440" s="133"/>
      <c r="R440" s="8"/>
      <c r="S440" s="223"/>
      <c r="T440" s="223"/>
      <c r="U440" s="223"/>
      <c r="V440" s="133"/>
      <c r="W440" s="341"/>
      <c r="X440" s="341"/>
    </row>
    <row r="441" spans="1:24" x14ac:dyDescent="0.25">
      <c r="A441" s="133"/>
      <c r="B441" s="8"/>
      <c r="C441" s="8"/>
      <c r="D441" s="8"/>
      <c r="E441" s="8"/>
      <c r="F441" s="8"/>
      <c r="G441" s="8"/>
      <c r="H441" s="341"/>
      <c r="I441" s="133"/>
      <c r="J441" s="8"/>
      <c r="K441" s="8"/>
      <c r="L441" s="8"/>
      <c r="M441" s="8"/>
      <c r="N441" s="8"/>
      <c r="O441" s="8"/>
      <c r="P441" s="341"/>
      <c r="Q441" s="133"/>
      <c r="R441" s="8"/>
      <c r="S441" s="8"/>
      <c r="T441" s="8"/>
      <c r="U441" s="8"/>
      <c r="V441" s="8"/>
      <c r="W441" s="8"/>
      <c r="X441" s="341"/>
    </row>
    <row r="442" spans="1:24" ht="15.75" thickBot="1" x14ac:dyDescent="0.3">
      <c r="A442" s="133"/>
      <c r="B442" s="8"/>
      <c r="C442" s="8"/>
      <c r="D442" s="8"/>
      <c r="E442" s="8"/>
      <c r="F442" s="133"/>
      <c r="G442" s="341"/>
      <c r="H442" s="341"/>
      <c r="I442" s="133"/>
      <c r="J442" s="8"/>
      <c r="K442" s="8"/>
      <c r="L442" s="8"/>
      <c r="M442" s="8"/>
      <c r="N442" s="133"/>
      <c r="O442" s="341"/>
      <c r="P442" s="341"/>
      <c r="Q442" s="133"/>
      <c r="R442" s="8"/>
      <c r="S442" s="8"/>
      <c r="T442" s="8"/>
      <c r="U442" s="8"/>
      <c r="V442" s="133"/>
      <c r="W442" s="341"/>
      <c r="X442" s="341"/>
    </row>
    <row r="443" spans="1:24" ht="15.75" thickBot="1" x14ac:dyDescent="0.3">
      <c r="A443" s="133"/>
      <c r="B443" s="224" t="s">
        <v>5403</v>
      </c>
      <c r="C443" s="193" t="s">
        <v>867</v>
      </c>
      <c r="D443" s="193" t="s">
        <v>6</v>
      </c>
      <c r="E443" s="193" t="s">
        <v>5439</v>
      </c>
      <c r="F443" s="193" t="s">
        <v>5405</v>
      </c>
      <c r="G443" s="343" t="s">
        <v>868</v>
      </c>
      <c r="H443" s="341"/>
      <c r="I443" s="133"/>
      <c r="J443" s="224" t="s">
        <v>5403</v>
      </c>
      <c r="K443" s="193" t="s">
        <v>867</v>
      </c>
      <c r="L443" s="193" t="s">
        <v>6</v>
      </c>
      <c r="M443" s="193" t="s">
        <v>5439</v>
      </c>
      <c r="N443" s="193" t="s">
        <v>5405</v>
      </c>
      <c r="O443" s="343" t="s">
        <v>868</v>
      </c>
      <c r="P443" s="341"/>
      <c r="Q443" s="133"/>
      <c r="R443" s="224" t="s">
        <v>5403</v>
      </c>
      <c r="S443" s="193" t="s">
        <v>867</v>
      </c>
      <c r="T443" s="193" t="s">
        <v>6</v>
      </c>
      <c r="U443" s="193" t="s">
        <v>5439</v>
      </c>
      <c r="V443" s="193" t="s">
        <v>5405</v>
      </c>
      <c r="W443" s="343" t="s">
        <v>868</v>
      </c>
      <c r="X443" s="341"/>
    </row>
    <row r="444" spans="1:24" x14ac:dyDescent="0.25">
      <c r="A444" s="133"/>
      <c r="B444" s="195" t="s">
        <v>5440</v>
      </c>
      <c r="C444" s="226" t="s">
        <v>5542</v>
      </c>
      <c r="D444" s="226">
        <v>1</v>
      </c>
      <c r="E444" s="228">
        <f>+H482</f>
        <v>138010</v>
      </c>
      <c r="F444" s="226">
        <v>0.1</v>
      </c>
      <c r="G444" s="344">
        <f>+E444*F444</f>
        <v>13801</v>
      </c>
      <c r="H444" s="341"/>
      <c r="I444" s="133"/>
      <c r="J444" s="195" t="s">
        <v>5440</v>
      </c>
      <c r="K444" s="226" t="s">
        <v>5542</v>
      </c>
      <c r="L444" s="226">
        <v>1</v>
      </c>
      <c r="M444" s="228">
        <f>+P482</f>
        <v>207834.28571428574</v>
      </c>
      <c r="N444" s="226">
        <v>0.1</v>
      </c>
      <c r="O444" s="344">
        <f>+M444*N444</f>
        <v>20783.428571428576</v>
      </c>
      <c r="P444" s="341"/>
      <c r="Q444" s="133"/>
      <c r="R444" s="195" t="s">
        <v>5440</v>
      </c>
      <c r="S444" s="226" t="s">
        <v>5542</v>
      </c>
      <c r="T444" s="226">
        <v>1</v>
      </c>
      <c r="U444" s="228">
        <f>+X482</f>
        <v>306175</v>
      </c>
      <c r="V444" s="226">
        <v>0.1</v>
      </c>
      <c r="W444" s="344">
        <f>+U444*V444</f>
        <v>30617.5</v>
      </c>
      <c r="X444" s="341"/>
    </row>
    <row r="445" spans="1:24" x14ac:dyDescent="0.25">
      <c r="A445" s="133"/>
      <c r="B445" s="195" t="s">
        <v>5548</v>
      </c>
      <c r="C445" s="226" t="s">
        <v>5542</v>
      </c>
      <c r="D445" s="226">
        <v>1</v>
      </c>
      <c r="E445" s="228">
        <v>10000</v>
      </c>
      <c r="F445" s="226">
        <v>2</v>
      </c>
      <c r="G445" s="344">
        <f>+D445*E445/F445</f>
        <v>5000</v>
      </c>
      <c r="H445" s="341"/>
      <c r="I445" s="133"/>
      <c r="J445" s="195" t="s">
        <v>5548</v>
      </c>
      <c r="K445" s="226" t="s">
        <v>5542</v>
      </c>
      <c r="L445" s="226">
        <v>1</v>
      </c>
      <c r="M445" s="228">
        <v>10000</v>
      </c>
      <c r="N445" s="226">
        <v>2</v>
      </c>
      <c r="O445" s="344">
        <f>+L445*M445/N445</f>
        <v>5000</v>
      </c>
      <c r="P445" s="341"/>
      <c r="Q445" s="133"/>
      <c r="R445" s="195" t="s">
        <v>5548</v>
      </c>
      <c r="S445" s="226" t="s">
        <v>5542</v>
      </c>
      <c r="T445" s="226">
        <v>1</v>
      </c>
      <c r="U445" s="228">
        <v>10000</v>
      </c>
      <c r="V445" s="226">
        <v>2</v>
      </c>
      <c r="W445" s="344">
        <f>+T445*U445/V445</f>
        <v>5000</v>
      </c>
      <c r="X445" s="341"/>
    </row>
    <row r="446" spans="1:24" x14ac:dyDescent="0.25">
      <c r="A446" s="133"/>
      <c r="B446" s="195" t="s">
        <v>5554</v>
      </c>
      <c r="C446" s="226" t="s">
        <v>5542</v>
      </c>
      <c r="D446" s="226">
        <v>1</v>
      </c>
      <c r="E446" s="345">
        <v>4000</v>
      </c>
      <c r="F446" s="226">
        <v>1</v>
      </c>
      <c r="G446" s="344">
        <f>+D446*E446/F446</f>
        <v>4000</v>
      </c>
      <c r="H446" s="341"/>
      <c r="I446" s="133"/>
      <c r="J446" s="195" t="s">
        <v>5554</v>
      </c>
      <c r="K446" s="226" t="s">
        <v>5542</v>
      </c>
      <c r="L446" s="226">
        <v>1</v>
      </c>
      <c r="M446" s="345">
        <v>4000</v>
      </c>
      <c r="N446" s="226">
        <v>1</v>
      </c>
      <c r="O446" s="344">
        <f>+L446*M446/N446</f>
        <v>4000</v>
      </c>
      <c r="P446" s="341"/>
      <c r="Q446" s="133"/>
      <c r="R446" s="195" t="s">
        <v>5554</v>
      </c>
      <c r="S446" s="226" t="s">
        <v>5542</v>
      </c>
      <c r="T446" s="226">
        <v>1</v>
      </c>
      <c r="U446" s="345">
        <v>4000</v>
      </c>
      <c r="V446" s="226">
        <v>1</v>
      </c>
      <c r="W446" s="344">
        <f>+T446*U446/V446</f>
        <v>4000</v>
      </c>
      <c r="X446" s="341"/>
    </row>
    <row r="447" spans="1:24" x14ac:dyDescent="0.25">
      <c r="A447" s="133"/>
      <c r="B447" s="195"/>
      <c r="C447" s="226"/>
      <c r="D447" s="226"/>
      <c r="E447" s="346"/>
      <c r="F447" s="226"/>
      <c r="G447" s="344"/>
      <c r="H447" s="341"/>
      <c r="I447" s="133"/>
      <c r="J447" s="195"/>
      <c r="K447" s="226"/>
      <c r="L447" s="226"/>
      <c r="M447" s="346"/>
      <c r="N447" s="226"/>
      <c r="O447" s="344"/>
      <c r="P447" s="341"/>
      <c r="Q447" s="133"/>
      <c r="R447" s="195"/>
      <c r="S447" s="226"/>
      <c r="T447" s="226"/>
      <c r="U447" s="346"/>
      <c r="V447" s="226"/>
      <c r="W447" s="344"/>
      <c r="X447" s="341"/>
    </row>
    <row r="448" spans="1:24" x14ac:dyDescent="0.25">
      <c r="A448" s="133"/>
      <c r="B448" s="195"/>
      <c r="C448" s="226"/>
      <c r="D448" s="232"/>
      <c r="E448" s="232"/>
      <c r="F448" s="226"/>
      <c r="G448" s="344"/>
      <c r="H448" s="341"/>
      <c r="I448" s="133"/>
      <c r="J448" s="195"/>
      <c r="K448" s="226"/>
      <c r="L448" s="232"/>
      <c r="M448" s="232"/>
      <c r="N448" s="226"/>
      <c r="O448" s="344"/>
      <c r="P448" s="341"/>
      <c r="Q448" s="133"/>
      <c r="R448" s="195"/>
      <c r="S448" s="226"/>
      <c r="T448" s="232"/>
      <c r="U448" s="232"/>
      <c r="V448" s="226"/>
      <c r="W448" s="344"/>
      <c r="X448" s="341"/>
    </row>
    <row r="449" spans="1:24" ht="15.75" thickBot="1" x14ac:dyDescent="0.3">
      <c r="A449" s="133"/>
      <c r="B449" s="195"/>
      <c r="C449" s="226"/>
      <c r="D449" s="232"/>
      <c r="E449" s="232"/>
      <c r="F449" s="226"/>
      <c r="G449" s="344"/>
      <c r="H449" s="341"/>
      <c r="I449" s="133"/>
      <c r="J449" s="195"/>
      <c r="K449" s="226"/>
      <c r="L449" s="232"/>
      <c r="M449" s="232"/>
      <c r="N449" s="226"/>
      <c r="O449" s="344"/>
      <c r="P449" s="341"/>
      <c r="Q449" s="133"/>
      <c r="R449" s="195"/>
      <c r="S449" s="226"/>
      <c r="T449" s="232"/>
      <c r="U449" s="232"/>
      <c r="V449" s="226"/>
      <c r="W449" s="344"/>
      <c r="X449" s="341"/>
    </row>
    <row r="450" spans="1:24" ht="15.75" thickBot="1" x14ac:dyDescent="0.3">
      <c r="A450" s="133"/>
      <c r="B450" s="233"/>
      <c r="C450" s="234"/>
      <c r="D450" s="234"/>
      <c r="E450" s="234"/>
      <c r="F450" s="235"/>
      <c r="G450" s="347"/>
      <c r="H450" s="348">
        <f>+SUM(G444:G450)</f>
        <v>22801</v>
      </c>
      <c r="I450" s="133"/>
      <c r="J450" s="233"/>
      <c r="K450" s="234"/>
      <c r="L450" s="234"/>
      <c r="M450" s="234"/>
      <c r="N450" s="235"/>
      <c r="O450" s="347"/>
      <c r="P450" s="348">
        <f>+SUM(O444:O450)</f>
        <v>29783.428571428576</v>
      </c>
      <c r="Q450" s="133"/>
      <c r="R450" s="233"/>
      <c r="S450" s="234"/>
      <c r="T450" s="234"/>
      <c r="U450" s="234"/>
      <c r="V450" s="235"/>
      <c r="W450" s="347"/>
      <c r="X450" s="348">
        <f>+SUM(W444:W450)</f>
        <v>39617.5</v>
      </c>
    </row>
    <row r="451" spans="1:24" ht="15.75" thickBot="1" x14ac:dyDescent="0.3">
      <c r="A451" s="133"/>
      <c r="B451" s="238"/>
      <c r="C451" s="238"/>
      <c r="D451" s="238"/>
      <c r="E451" s="238"/>
      <c r="F451" s="239"/>
      <c r="G451" s="349"/>
      <c r="H451" s="350"/>
      <c r="I451" s="133"/>
      <c r="J451" s="238"/>
      <c r="K451" s="238"/>
      <c r="L451" s="238"/>
      <c r="M451" s="238"/>
      <c r="N451" s="239"/>
      <c r="O451" s="349"/>
      <c r="P451" s="350"/>
      <c r="Q451" s="133"/>
      <c r="R451" s="238"/>
      <c r="S451" s="238"/>
      <c r="T451" s="238"/>
      <c r="U451" s="238"/>
      <c r="V451" s="239"/>
      <c r="W451" s="349"/>
      <c r="X451" s="350"/>
    </row>
    <row r="452" spans="1:24" ht="15.75" thickBot="1" x14ac:dyDescent="0.3">
      <c r="A452" s="133"/>
      <c r="B452" s="224" t="s">
        <v>5408</v>
      </c>
      <c r="C452" s="193" t="s">
        <v>867</v>
      </c>
      <c r="D452" s="193" t="s">
        <v>6</v>
      </c>
      <c r="E452" s="193" t="s">
        <v>870</v>
      </c>
      <c r="F452" s="193" t="s">
        <v>5409</v>
      </c>
      <c r="G452" s="343" t="s">
        <v>868</v>
      </c>
      <c r="H452" s="341"/>
      <c r="I452" s="133"/>
      <c r="J452" s="224" t="s">
        <v>5408</v>
      </c>
      <c r="K452" s="193" t="s">
        <v>867</v>
      </c>
      <c r="L452" s="193" t="s">
        <v>6</v>
      </c>
      <c r="M452" s="193" t="s">
        <v>870</v>
      </c>
      <c r="N452" s="193" t="s">
        <v>5409</v>
      </c>
      <c r="O452" s="343" t="s">
        <v>868</v>
      </c>
      <c r="P452" s="341"/>
      <c r="Q452" s="133"/>
      <c r="R452" s="224" t="s">
        <v>5408</v>
      </c>
      <c r="S452" s="193" t="s">
        <v>867</v>
      </c>
      <c r="T452" s="193" t="s">
        <v>6</v>
      </c>
      <c r="U452" s="193" t="s">
        <v>870</v>
      </c>
      <c r="V452" s="193" t="s">
        <v>5409</v>
      </c>
      <c r="W452" s="343" t="s">
        <v>868</v>
      </c>
      <c r="X452" s="341"/>
    </row>
    <row r="453" spans="1:24" x14ac:dyDescent="0.25">
      <c r="A453" s="133"/>
      <c r="B453" s="242" t="s">
        <v>5549</v>
      </c>
      <c r="C453" s="202" t="s">
        <v>5550</v>
      </c>
      <c r="D453" s="226">
        <v>420</v>
      </c>
      <c r="E453" s="228">
        <v>520</v>
      </c>
      <c r="F453" s="169">
        <v>0.1</v>
      </c>
      <c r="G453" s="351">
        <f>+D453*E453*(1+F453)</f>
        <v>240240.00000000003</v>
      </c>
      <c r="H453" s="341"/>
      <c r="I453" s="133"/>
      <c r="J453" s="242" t="s">
        <v>5549</v>
      </c>
      <c r="K453" s="202" t="s">
        <v>5550</v>
      </c>
      <c r="L453" s="226">
        <v>420</v>
      </c>
      <c r="M453" s="228">
        <v>520</v>
      </c>
      <c r="N453" s="169">
        <v>0.1</v>
      </c>
      <c r="O453" s="351">
        <f>+L453*M453*(1+N453)</f>
        <v>240240.00000000003</v>
      </c>
      <c r="P453" s="341"/>
      <c r="Q453" s="133"/>
      <c r="R453" s="242" t="s">
        <v>5549</v>
      </c>
      <c r="S453" s="202" t="s">
        <v>5550</v>
      </c>
      <c r="T453" s="226">
        <v>420</v>
      </c>
      <c r="U453" s="228">
        <v>520</v>
      </c>
      <c r="V453" s="169">
        <v>0.1</v>
      </c>
      <c r="W453" s="351">
        <f>+T453*U453*(1+V453)</f>
        <v>240240.00000000003</v>
      </c>
      <c r="X453" s="341"/>
    </row>
    <row r="454" spans="1:24" x14ac:dyDescent="0.25">
      <c r="A454" s="133"/>
      <c r="B454" s="243" t="s">
        <v>5551</v>
      </c>
      <c r="C454" s="202" t="s">
        <v>5542</v>
      </c>
      <c r="D454" s="202">
        <v>0.67</v>
      </c>
      <c r="E454" s="228">
        <v>86000</v>
      </c>
      <c r="F454" s="169">
        <v>0.1</v>
      </c>
      <c r="G454" s="351">
        <f>+D454*E454*(1+F454)</f>
        <v>63382.000000000007</v>
      </c>
      <c r="H454" s="341"/>
      <c r="I454" s="133"/>
      <c r="J454" s="243" t="s">
        <v>5551</v>
      </c>
      <c r="K454" s="202" t="s">
        <v>5542</v>
      </c>
      <c r="L454" s="202">
        <v>0.67</v>
      </c>
      <c r="M454" s="228">
        <v>86000</v>
      </c>
      <c r="N454" s="169">
        <v>0.1</v>
      </c>
      <c r="O454" s="351">
        <f>+L454*M454*(1+N454)</f>
        <v>63382.000000000007</v>
      </c>
      <c r="P454" s="341"/>
      <c r="Q454" s="133"/>
      <c r="R454" s="243" t="s">
        <v>5551</v>
      </c>
      <c r="S454" s="202" t="s">
        <v>5542</v>
      </c>
      <c r="T454" s="202">
        <v>0.67</v>
      </c>
      <c r="U454" s="228">
        <v>86000</v>
      </c>
      <c r="V454" s="169">
        <v>0.1</v>
      </c>
      <c r="W454" s="351">
        <f>+T454*U454*(1+V454)</f>
        <v>63382.000000000007</v>
      </c>
      <c r="X454" s="341"/>
    </row>
    <row r="455" spans="1:24" x14ac:dyDescent="0.25">
      <c r="A455" s="133"/>
      <c r="B455" s="243" t="s">
        <v>5552</v>
      </c>
      <c r="C455" s="226" t="s">
        <v>5542</v>
      </c>
      <c r="D455" s="226">
        <v>0.67</v>
      </c>
      <c r="E455" s="228">
        <v>80000</v>
      </c>
      <c r="F455" s="169">
        <v>0.1</v>
      </c>
      <c r="G455" s="351">
        <f>+D455*E455*(1+F455)</f>
        <v>58960.000000000007</v>
      </c>
      <c r="H455" s="341"/>
      <c r="I455" s="133"/>
      <c r="J455" s="243" t="s">
        <v>5552</v>
      </c>
      <c r="K455" s="226" t="s">
        <v>5542</v>
      </c>
      <c r="L455" s="226">
        <v>0.67</v>
      </c>
      <c r="M455" s="228">
        <v>80000</v>
      </c>
      <c r="N455" s="169">
        <v>0.1</v>
      </c>
      <c r="O455" s="351">
        <f>+L455*M455*(1+N455)</f>
        <v>58960.000000000007</v>
      </c>
      <c r="P455" s="341"/>
      <c r="Q455" s="133"/>
      <c r="R455" s="243" t="s">
        <v>5552</v>
      </c>
      <c r="S455" s="226" t="s">
        <v>5542</v>
      </c>
      <c r="T455" s="226">
        <v>0.67</v>
      </c>
      <c r="U455" s="228">
        <v>80000</v>
      </c>
      <c r="V455" s="169">
        <v>0.1</v>
      </c>
      <c r="W455" s="351">
        <f>+T455*U455*(1+V455)</f>
        <v>58960.000000000007</v>
      </c>
      <c r="X455" s="341"/>
    </row>
    <row r="456" spans="1:24" x14ac:dyDescent="0.25">
      <c r="A456" s="133"/>
      <c r="B456" s="194" t="s">
        <v>5553</v>
      </c>
      <c r="C456" s="226" t="s">
        <v>5488</v>
      </c>
      <c r="D456" s="226">
        <v>200</v>
      </c>
      <c r="E456" s="352">
        <v>10</v>
      </c>
      <c r="F456" s="169">
        <v>0.1</v>
      </c>
      <c r="G456" s="351">
        <f>+D456*E456*(1+F456)</f>
        <v>2200</v>
      </c>
      <c r="H456" s="341"/>
      <c r="I456" s="133"/>
      <c r="J456" s="194" t="s">
        <v>5553</v>
      </c>
      <c r="K456" s="226" t="s">
        <v>5488</v>
      </c>
      <c r="L456" s="226">
        <v>200</v>
      </c>
      <c r="M456" s="352">
        <v>10</v>
      </c>
      <c r="N456" s="169">
        <v>0.1</v>
      </c>
      <c r="O456" s="351">
        <f>+L456*M456*(1+N456)</f>
        <v>2200</v>
      </c>
      <c r="P456" s="341"/>
      <c r="Q456" s="133"/>
      <c r="R456" s="194" t="s">
        <v>5553</v>
      </c>
      <c r="S456" s="226" t="s">
        <v>5488</v>
      </c>
      <c r="T456" s="226">
        <v>200</v>
      </c>
      <c r="U456" s="352">
        <v>10</v>
      </c>
      <c r="V456" s="169">
        <v>0.1</v>
      </c>
      <c r="W456" s="351">
        <f>+T456*U456*(1+V456)</f>
        <v>2200</v>
      </c>
      <c r="X456" s="341"/>
    </row>
    <row r="457" spans="1:24" x14ac:dyDescent="0.25">
      <c r="A457" s="133"/>
      <c r="B457" s="195" t="s">
        <v>5555</v>
      </c>
      <c r="C457" s="226" t="s">
        <v>5556</v>
      </c>
      <c r="D457" s="226">
        <v>0.5</v>
      </c>
      <c r="E457" s="345">
        <v>46600</v>
      </c>
      <c r="F457" s="169">
        <v>0.1</v>
      </c>
      <c r="G457" s="351">
        <f>+D457*E457*(1+F457)</f>
        <v>25630.000000000004</v>
      </c>
      <c r="H457" s="341"/>
      <c r="I457" s="133"/>
      <c r="J457" s="195" t="s">
        <v>5555</v>
      </c>
      <c r="K457" s="226" t="s">
        <v>5556</v>
      </c>
      <c r="L457" s="226">
        <v>1</v>
      </c>
      <c r="M457" s="345">
        <v>46600</v>
      </c>
      <c r="N457" s="169">
        <v>0.1</v>
      </c>
      <c r="O457" s="351">
        <f>+L457*M457*(1+N457)</f>
        <v>51260.000000000007</v>
      </c>
      <c r="P457" s="341"/>
      <c r="Q457" s="133"/>
      <c r="R457" s="195" t="s">
        <v>5555</v>
      </c>
      <c r="S457" s="226" t="s">
        <v>5556</v>
      </c>
      <c r="T457" s="226">
        <v>1</v>
      </c>
      <c r="U457" s="345">
        <v>46600</v>
      </c>
      <c r="V457" s="169">
        <v>0.1</v>
      </c>
      <c r="W457" s="351">
        <f>+T457*U457*(1+V457)</f>
        <v>51260.000000000007</v>
      </c>
      <c r="X457" s="341"/>
    </row>
    <row r="458" spans="1:24" x14ac:dyDescent="0.25">
      <c r="A458" s="133"/>
      <c r="B458" s="194" t="s">
        <v>5560</v>
      </c>
      <c r="C458" s="202" t="s">
        <v>5460</v>
      </c>
      <c r="D458" s="202"/>
      <c r="E458" s="345"/>
      <c r="F458" s="169"/>
      <c r="G458" s="351">
        <v>5000</v>
      </c>
      <c r="H458" s="341"/>
      <c r="I458" s="133"/>
      <c r="J458" s="194" t="s">
        <v>5560</v>
      </c>
      <c r="K458" s="202" t="s">
        <v>5460</v>
      </c>
      <c r="L458" s="202"/>
      <c r="M458" s="345"/>
      <c r="N458" s="169"/>
      <c r="O458" s="351">
        <v>5000</v>
      </c>
      <c r="P458" s="341"/>
      <c r="Q458" s="133"/>
      <c r="R458" s="194" t="s">
        <v>5560</v>
      </c>
      <c r="S458" s="202" t="s">
        <v>5460</v>
      </c>
      <c r="T458" s="202"/>
      <c r="U458" s="345"/>
      <c r="V458" s="169"/>
      <c r="W458" s="351">
        <v>4100</v>
      </c>
      <c r="X458" s="341"/>
    </row>
    <row r="459" spans="1:24" x14ac:dyDescent="0.25">
      <c r="A459" s="133"/>
      <c r="B459" s="195"/>
      <c r="C459" s="226"/>
      <c r="D459" s="226"/>
      <c r="E459" s="345"/>
      <c r="F459" s="169"/>
      <c r="G459" s="351"/>
      <c r="H459" s="341"/>
      <c r="I459" s="133"/>
      <c r="J459" s="195"/>
      <c r="K459" s="226"/>
      <c r="L459" s="226"/>
      <c r="M459" s="345"/>
      <c r="N459" s="169"/>
      <c r="O459" s="351"/>
      <c r="P459" s="341"/>
      <c r="Q459" s="133"/>
      <c r="R459" s="195" t="s">
        <v>5928</v>
      </c>
      <c r="S459" s="226" t="s">
        <v>5556</v>
      </c>
      <c r="T459" s="226">
        <v>0.4</v>
      </c>
      <c r="U459" s="345">
        <v>25000</v>
      </c>
      <c r="V459" s="169">
        <v>0.1</v>
      </c>
      <c r="W459" s="351">
        <f>+T459*U459*(1+V459)</f>
        <v>11000</v>
      </c>
      <c r="X459" s="341"/>
    </row>
    <row r="460" spans="1:24" x14ac:dyDescent="0.25">
      <c r="A460" s="133"/>
      <c r="B460" s="195"/>
      <c r="C460" s="226"/>
      <c r="D460" s="226"/>
      <c r="E460" s="345"/>
      <c r="F460" s="169"/>
      <c r="G460" s="351"/>
      <c r="H460" s="341"/>
      <c r="I460" s="133"/>
      <c r="J460" s="195"/>
      <c r="K460" s="226"/>
      <c r="L460" s="226"/>
      <c r="M460" s="345"/>
      <c r="N460" s="169"/>
      <c r="O460" s="351"/>
      <c r="P460" s="341"/>
      <c r="Q460" s="133"/>
      <c r="R460" s="195"/>
      <c r="S460" s="226"/>
      <c r="T460" s="226"/>
      <c r="U460" s="345"/>
      <c r="V460" s="169"/>
      <c r="W460" s="351"/>
      <c r="X460" s="341"/>
    </row>
    <row r="461" spans="1:24" x14ac:dyDescent="0.25">
      <c r="A461" s="133"/>
      <c r="B461" s="195"/>
      <c r="C461" s="232"/>
      <c r="D461" s="232"/>
      <c r="E461" s="232"/>
      <c r="F461" s="226"/>
      <c r="G461" s="344"/>
      <c r="H461" s="341"/>
      <c r="I461" s="133"/>
      <c r="J461" s="195"/>
      <c r="K461" s="232"/>
      <c r="L461" s="232"/>
      <c r="M461" s="232"/>
      <c r="N461" s="226"/>
      <c r="O461" s="344"/>
      <c r="P461" s="341"/>
      <c r="Q461" s="133"/>
      <c r="R461" s="195"/>
      <c r="S461" s="232"/>
      <c r="T461" s="232"/>
      <c r="U461" s="232"/>
      <c r="V461" s="226"/>
      <c r="W461" s="344"/>
      <c r="X461" s="341"/>
    </row>
    <row r="462" spans="1:24" x14ac:dyDescent="0.25">
      <c r="A462" s="133"/>
      <c r="B462" s="195"/>
      <c r="C462" s="232"/>
      <c r="D462" s="232"/>
      <c r="E462" s="232"/>
      <c r="F462" s="226"/>
      <c r="G462" s="344"/>
      <c r="H462" s="341"/>
      <c r="I462" s="133"/>
      <c r="J462" s="195"/>
      <c r="K462" s="232"/>
      <c r="L462" s="232"/>
      <c r="M462" s="232"/>
      <c r="N462" s="226"/>
      <c r="O462" s="344"/>
      <c r="P462" s="341"/>
      <c r="Q462" s="133"/>
      <c r="R462" s="195"/>
      <c r="S462" s="232"/>
      <c r="T462" s="232"/>
      <c r="U462" s="232"/>
      <c r="V462" s="226"/>
      <c r="W462" s="344"/>
      <c r="X462" s="341"/>
    </row>
    <row r="463" spans="1:24" x14ac:dyDescent="0.25">
      <c r="A463" s="133"/>
      <c r="B463" s="195"/>
      <c r="C463" s="232"/>
      <c r="D463" s="232"/>
      <c r="E463" s="232"/>
      <c r="F463" s="226"/>
      <c r="G463" s="344"/>
      <c r="H463" s="341"/>
      <c r="I463" s="133"/>
      <c r="J463" s="195"/>
      <c r="K463" s="232"/>
      <c r="L463" s="232"/>
      <c r="M463" s="232"/>
      <c r="N463" s="226"/>
      <c r="O463" s="344"/>
      <c r="P463" s="341"/>
      <c r="Q463" s="133"/>
      <c r="R463" s="195"/>
      <c r="S463" s="232"/>
      <c r="T463" s="232"/>
      <c r="U463" s="232"/>
      <c r="V463" s="226"/>
      <c r="W463" s="344"/>
      <c r="X463" s="341"/>
    </row>
    <row r="464" spans="1:24" ht="15.75" thickBot="1" x14ac:dyDescent="0.3">
      <c r="A464" s="133"/>
      <c r="B464" s="195"/>
      <c r="C464" s="232"/>
      <c r="D464" s="232"/>
      <c r="E464" s="232"/>
      <c r="F464" s="226"/>
      <c r="G464" s="344"/>
      <c r="H464" s="341"/>
      <c r="I464" s="133"/>
      <c r="J464" s="195"/>
      <c r="K464" s="232"/>
      <c r="L464" s="232"/>
      <c r="M464" s="232"/>
      <c r="N464" s="226"/>
      <c r="O464" s="344"/>
      <c r="P464" s="341"/>
      <c r="Q464" s="133"/>
      <c r="R464" s="195"/>
      <c r="S464" s="232"/>
      <c r="T464" s="232"/>
      <c r="U464" s="232"/>
      <c r="V464" s="226"/>
      <c r="W464" s="344"/>
      <c r="X464" s="341"/>
    </row>
    <row r="465" spans="1:24" ht="15.75" thickBot="1" x14ac:dyDescent="0.3">
      <c r="A465" s="133"/>
      <c r="B465" s="233"/>
      <c r="C465" s="234"/>
      <c r="D465" s="234"/>
      <c r="E465" s="234"/>
      <c r="F465" s="235"/>
      <c r="G465" s="347"/>
      <c r="H465" s="348">
        <f>+SUM(G453:G465)</f>
        <v>395412.00000000006</v>
      </c>
      <c r="I465" s="133"/>
      <c r="J465" s="233"/>
      <c r="K465" s="234"/>
      <c r="L465" s="234"/>
      <c r="M465" s="234"/>
      <c r="N465" s="235"/>
      <c r="O465" s="347"/>
      <c r="P465" s="348">
        <f>+SUM(O453:O465)</f>
        <v>421042.00000000006</v>
      </c>
      <c r="Q465" s="133"/>
      <c r="R465" s="233"/>
      <c r="S465" s="234"/>
      <c r="T465" s="234"/>
      <c r="U465" s="234"/>
      <c r="V465" s="235"/>
      <c r="W465" s="347"/>
      <c r="X465" s="348">
        <f>+SUM(W453:W465)</f>
        <v>431142.00000000006</v>
      </c>
    </row>
    <row r="466" spans="1:24" ht="15.75" thickBot="1" x14ac:dyDescent="0.3">
      <c r="A466" s="133"/>
      <c r="B466" s="238"/>
      <c r="C466" s="238"/>
      <c r="D466" s="238"/>
      <c r="E466" s="238"/>
      <c r="F466" s="239"/>
      <c r="G466" s="349"/>
      <c r="H466" s="350"/>
      <c r="I466" s="133"/>
      <c r="J466" s="238"/>
      <c r="K466" s="238"/>
      <c r="L466" s="238"/>
      <c r="M466" s="238"/>
      <c r="N466" s="239"/>
      <c r="O466" s="349"/>
      <c r="P466" s="350"/>
      <c r="Q466" s="133"/>
      <c r="R466" s="238"/>
      <c r="S466" s="238"/>
      <c r="T466" s="238"/>
      <c r="U466" s="238"/>
      <c r="V466" s="239"/>
      <c r="W466" s="349"/>
      <c r="X466" s="350"/>
    </row>
    <row r="467" spans="1:24" ht="15.75" thickBot="1" x14ac:dyDescent="0.3">
      <c r="A467" s="133"/>
      <c r="B467" s="224" t="s">
        <v>5410</v>
      </c>
      <c r="C467" s="193" t="s">
        <v>867</v>
      </c>
      <c r="D467" s="193" t="s">
        <v>6</v>
      </c>
      <c r="E467" s="193" t="s">
        <v>870</v>
      </c>
      <c r="F467" s="193" t="s">
        <v>5411</v>
      </c>
      <c r="G467" s="343" t="s">
        <v>868</v>
      </c>
      <c r="H467" s="341"/>
      <c r="I467" s="133"/>
      <c r="J467" s="224" t="s">
        <v>5410</v>
      </c>
      <c r="K467" s="193" t="s">
        <v>867</v>
      </c>
      <c r="L467" s="193" t="s">
        <v>6</v>
      </c>
      <c r="M467" s="193" t="s">
        <v>870</v>
      </c>
      <c r="N467" s="193" t="s">
        <v>5411</v>
      </c>
      <c r="O467" s="343" t="s">
        <v>868</v>
      </c>
      <c r="P467" s="341"/>
      <c r="Q467" s="133"/>
      <c r="R467" s="224" t="s">
        <v>5410</v>
      </c>
      <c r="S467" s="193" t="s">
        <v>867</v>
      </c>
      <c r="T467" s="193" t="s">
        <v>6</v>
      </c>
      <c r="U467" s="193" t="s">
        <v>870</v>
      </c>
      <c r="V467" s="193" t="s">
        <v>5411</v>
      </c>
      <c r="W467" s="343" t="s">
        <v>868</v>
      </c>
      <c r="X467" s="341"/>
    </row>
    <row r="468" spans="1:24" x14ac:dyDescent="0.25">
      <c r="A468" s="133"/>
      <c r="B468" s="245"/>
      <c r="C468" s="202"/>
      <c r="D468" s="202"/>
      <c r="E468" s="228"/>
      <c r="F468" s="202"/>
      <c r="G468" s="354"/>
      <c r="H468" s="355"/>
      <c r="I468" s="133"/>
      <c r="J468" s="245"/>
      <c r="K468" s="202"/>
      <c r="L468" s="202"/>
      <c r="M468" s="228"/>
      <c r="N468" s="202"/>
      <c r="O468" s="354"/>
      <c r="P468" s="355"/>
      <c r="Q468" s="133"/>
      <c r="R468" s="245"/>
      <c r="S468" s="202"/>
      <c r="T468" s="202"/>
      <c r="U468" s="228"/>
      <c r="V468" s="202"/>
      <c r="W468" s="354"/>
      <c r="X468" s="355"/>
    </row>
    <row r="469" spans="1:24" x14ac:dyDescent="0.25">
      <c r="A469" s="133"/>
      <c r="B469" s="247"/>
      <c r="C469" s="248"/>
      <c r="D469" s="248"/>
      <c r="E469" s="228"/>
      <c r="F469" s="202"/>
      <c r="G469" s="351"/>
      <c r="H469" s="341"/>
      <c r="I469" s="133"/>
      <c r="J469" s="247"/>
      <c r="K469" s="248"/>
      <c r="L469" s="248"/>
      <c r="M469" s="228"/>
      <c r="N469" s="202"/>
      <c r="O469" s="351"/>
      <c r="P469" s="341"/>
      <c r="Q469" s="133"/>
      <c r="R469" s="247"/>
      <c r="S469" s="248"/>
      <c r="T469" s="248"/>
      <c r="U469" s="228"/>
      <c r="V469" s="202"/>
      <c r="W469" s="351"/>
      <c r="X469" s="341"/>
    </row>
    <row r="470" spans="1:24" x14ac:dyDescent="0.25">
      <c r="A470" s="133"/>
      <c r="B470" s="247"/>
      <c r="C470" s="232"/>
      <c r="D470" s="232"/>
      <c r="E470" s="232"/>
      <c r="F470" s="226"/>
      <c r="G470" s="344"/>
      <c r="H470" s="341"/>
      <c r="I470" s="133"/>
      <c r="J470" s="247"/>
      <c r="K470" s="232"/>
      <c r="L470" s="232"/>
      <c r="M470" s="232"/>
      <c r="N470" s="226"/>
      <c r="O470" s="344"/>
      <c r="P470" s="341"/>
      <c r="Q470" s="133"/>
      <c r="R470" s="247"/>
      <c r="S470" s="232"/>
      <c r="T470" s="232"/>
      <c r="U470" s="232"/>
      <c r="V470" s="226"/>
      <c r="W470" s="344"/>
      <c r="X470" s="341"/>
    </row>
    <row r="471" spans="1:24" x14ac:dyDescent="0.25">
      <c r="A471" s="133"/>
      <c r="B471" s="194"/>
      <c r="C471" s="232"/>
      <c r="D471" s="232"/>
      <c r="E471" s="232"/>
      <c r="F471" s="226"/>
      <c r="G471" s="344"/>
      <c r="H471" s="341"/>
      <c r="I471" s="133"/>
      <c r="J471" s="194"/>
      <c r="K471" s="232"/>
      <c r="L471" s="232"/>
      <c r="M471" s="232"/>
      <c r="N471" s="226"/>
      <c r="O471" s="344"/>
      <c r="P471" s="341"/>
      <c r="Q471" s="133"/>
      <c r="R471" s="194"/>
      <c r="S471" s="232"/>
      <c r="T471" s="232"/>
      <c r="U471" s="232"/>
      <c r="V471" s="226"/>
      <c r="W471" s="344"/>
      <c r="X471" s="341"/>
    </row>
    <row r="472" spans="1:24" ht="15.75" thickBot="1" x14ac:dyDescent="0.3">
      <c r="A472" s="133"/>
      <c r="B472" s="195"/>
      <c r="C472" s="232"/>
      <c r="D472" s="232"/>
      <c r="E472" s="232"/>
      <c r="F472" s="226"/>
      <c r="G472" s="344"/>
      <c r="H472" s="341"/>
      <c r="I472" s="133"/>
      <c r="J472" s="195"/>
      <c r="K472" s="232"/>
      <c r="L472" s="232"/>
      <c r="M472" s="232"/>
      <c r="N472" s="226"/>
      <c r="O472" s="344"/>
      <c r="P472" s="341"/>
      <c r="Q472" s="133"/>
      <c r="R472" s="195"/>
      <c r="S472" s="232"/>
      <c r="T472" s="232"/>
      <c r="U472" s="232"/>
      <c r="V472" s="226"/>
      <c r="W472" s="344"/>
      <c r="X472" s="341"/>
    </row>
    <row r="473" spans="1:24" ht="15.75" thickBot="1" x14ac:dyDescent="0.3">
      <c r="A473" s="133"/>
      <c r="B473" s="233"/>
      <c r="C473" s="234"/>
      <c r="D473" s="234"/>
      <c r="E473" s="234"/>
      <c r="F473" s="235"/>
      <c r="G473" s="347"/>
      <c r="H473" s="348">
        <f>+SUM(G468:G473)</f>
        <v>0</v>
      </c>
      <c r="I473" s="133"/>
      <c r="J473" s="233"/>
      <c r="K473" s="234"/>
      <c r="L473" s="234"/>
      <c r="M473" s="234"/>
      <c r="N473" s="235"/>
      <c r="O473" s="347"/>
      <c r="P473" s="348">
        <f>+SUM(O468:O473)</f>
        <v>0</v>
      </c>
      <c r="Q473" s="133"/>
      <c r="R473" s="233"/>
      <c r="S473" s="234"/>
      <c r="T473" s="234"/>
      <c r="U473" s="234"/>
      <c r="V473" s="235"/>
      <c r="W473" s="347"/>
      <c r="X473" s="348">
        <f>+SUM(W468:W473)</f>
        <v>0</v>
      </c>
    </row>
    <row r="474" spans="1:24" ht="15.75" thickBot="1" x14ac:dyDescent="0.3">
      <c r="A474" s="133"/>
      <c r="B474" s="238"/>
      <c r="C474" s="238"/>
      <c r="D474" s="238"/>
      <c r="E474" s="238"/>
      <c r="F474" s="249"/>
      <c r="G474" s="356"/>
      <c r="H474" s="350"/>
      <c r="I474" s="133"/>
      <c r="J474" s="238"/>
      <c r="K474" s="238"/>
      <c r="L474" s="238"/>
      <c r="M474" s="238"/>
      <c r="N474" s="249"/>
      <c r="O474" s="356"/>
      <c r="P474" s="350"/>
      <c r="Q474" s="133"/>
      <c r="R474" s="238"/>
      <c r="S474" s="238"/>
      <c r="T474" s="238"/>
      <c r="U474" s="238"/>
      <c r="V474" s="249"/>
      <c r="W474" s="356"/>
      <c r="X474" s="350"/>
    </row>
    <row r="475" spans="1:24" ht="15.75" thickBot="1" x14ac:dyDescent="0.3">
      <c r="A475" s="133"/>
      <c r="B475" s="224" t="s">
        <v>5412</v>
      </c>
      <c r="C475" s="193" t="s">
        <v>5420</v>
      </c>
      <c r="D475" s="193" t="s">
        <v>5421</v>
      </c>
      <c r="E475" s="193" t="s">
        <v>5413</v>
      </c>
      <c r="F475" s="193" t="s">
        <v>5405</v>
      </c>
      <c r="G475" s="343" t="s">
        <v>868</v>
      </c>
      <c r="H475" s="341"/>
      <c r="I475" s="133"/>
      <c r="J475" s="224" t="s">
        <v>5412</v>
      </c>
      <c r="K475" s="193" t="s">
        <v>5420</v>
      </c>
      <c r="L475" s="193" t="s">
        <v>5421</v>
      </c>
      <c r="M475" s="193" t="s">
        <v>5413</v>
      </c>
      <c r="N475" s="193" t="s">
        <v>5405</v>
      </c>
      <c r="O475" s="343" t="s">
        <v>868</v>
      </c>
      <c r="P475" s="341"/>
      <c r="Q475" s="133"/>
      <c r="R475" s="224" t="s">
        <v>5412</v>
      </c>
      <c r="S475" s="193" t="s">
        <v>5420</v>
      </c>
      <c r="T475" s="193" t="s">
        <v>5421</v>
      </c>
      <c r="U475" s="193" t="s">
        <v>5413</v>
      </c>
      <c r="V475" s="193" t="s">
        <v>5405</v>
      </c>
      <c r="W475" s="343" t="s">
        <v>868</v>
      </c>
      <c r="X475" s="341"/>
    </row>
    <row r="476" spans="1:24" x14ac:dyDescent="0.25">
      <c r="A476" s="133"/>
      <c r="B476" s="194" t="s">
        <v>5948</v>
      </c>
      <c r="C476" s="345">
        <v>70000</v>
      </c>
      <c r="D476" s="345">
        <f>+C476*0.85</f>
        <v>59500</v>
      </c>
      <c r="E476" s="353">
        <f>+C476+D476</f>
        <v>129500</v>
      </c>
      <c r="F476" s="209">
        <v>5</v>
      </c>
      <c r="G476" s="351">
        <f>+E476/F476</f>
        <v>25900</v>
      </c>
      <c r="H476" s="341"/>
      <c r="I476" s="133"/>
      <c r="J476" s="194" t="s">
        <v>5948</v>
      </c>
      <c r="K476" s="345">
        <v>70000</v>
      </c>
      <c r="L476" s="345">
        <f>+K476*0.85</f>
        <v>59500</v>
      </c>
      <c r="M476" s="353">
        <f>+K476+L476</f>
        <v>129500</v>
      </c>
      <c r="N476" s="209">
        <v>5</v>
      </c>
      <c r="O476" s="351">
        <f>+M476/N476</f>
        <v>25900</v>
      </c>
      <c r="P476" s="341"/>
      <c r="Q476" s="133"/>
      <c r="R476" s="194" t="s">
        <v>5948</v>
      </c>
      <c r="S476" s="345">
        <v>70000</v>
      </c>
      <c r="T476" s="345">
        <f>+S476*0.85</f>
        <v>59500</v>
      </c>
      <c r="U476" s="353">
        <f>+S476+T476</f>
        <v>129500</v>
      </c>
      <c r="V476" s="209">
        <v>5</v>
      </c>
      <c r="W476" s="351">
        <f>+U476/V476</f>
        <v>25900</v>
      </c>
      <c r="X476" s="341"/>
    </row>
    <row r="477" spans="1:24" x14ac:dyDescent="0.25">
      <c r="A477" s="133"/>
      <c r="B477" s="194" t="s">
        <v>5949</v>
      </c>
      <c r="C477" s="345">
        <v>40000</v>
      </c>
      <c r="D477" s="345">
        <f>+C477*0.85</f>
        <v>34000</v>
      </c>
      <c r="E477" s="353">
        <f>+C477+D477</f>
        <v>74000</v>
      </c>
      <c r="F477" s="202">
        <v>1</v>
      </c>
      <c r="G477" s="351">
        <f>+E477/F477</f>
        <v>74000</v>
      </c>
      <c r="H477" s="341"/>
      <c r="I477" s="133"/>
      <c r="J477" s="194" t="s">
        <v>5949</v>
      </c>
      <c r="K477" s="345">
        <v>40000</v>
      </c>
      <c r="L477" s="345">
        <f>+K477*0.85</f>
        <v>34000</v>
      </c>
      <c r="M477" s="353">
        <f>+K477+L477</f>
        <v>74000</v>
      </c>
      <c r="N477" s="202">
        <v>0.7</v>
      </c>
      <c r="O477" s="351">
        <f>+M477/N477</f>
        <v>105714.28571428572</v>
      </c>
      <c r="P477" s="341"/>
      <c r="Q477" s="133"/>
      <c r="R477" s="194" t="s">
        <v>5949</v>
      </c>
      <c r="S477" s="345">
        <v>40000</v>
      </c>
      <c r="T477" s="345">
        <f>+S477*0.85</f>
        <v>34000</v>
      </c>
      <c r="U477" s="353">
        <f>+S477+T477</f>
        <v>74000</v>
      </c>
      <c r="V477" s="202">
        <v>0.4</v>
      </c>
      <c r="W477" s="351">
        <f>+U477/V477</f>
        <v>185000</v>
      </c>
      <c r="X477" s="341"/>
    </row>
    <row r="478" spans="1:24" x14ac:dyDescent="0.25">
      <c r="A478" s="133"/>
      <c r="B478" s="195" t="s">
        <v>5635</v>
      </c>
      <c r="C478" s="345">
        <v>20600</v>
      </c>
      <c r="D478" s="345">
        <f>+C478*0.85</f>
        <v>17510</v>
      </c>
      <c r="E478" s="353">
        <f>+C478+D478</f>
        <v>38110</v>
      </c>
      <c r="F478" s="226">
        <v>1</v>
      </c>
      <c r="G478" s="351">
        <f>+E478/F478</f>
        <v>38110</v>
      </c>
      <c r="H478" s="341"/>
      <c r="I478" s="133"/>
      <c r="J478" s="195" t="s">
        <v>5635</v>
      </c>
      <c r="K478" s="345">
        <v>20600</v>
      </c>
      <c r="L478" s="345">
        <f>+K478*0.85</f>
        <v>17510</v>
      </c>
      <c r="M478" s="353">
        <f>+K478+L478</f>
        <v>38110</v>
      </c>
      <c r="N478" s="226">
        <v>0.5</v>
      </c>
      <c r="O478" s="351">
        <f>+M478/N478</f>
        <v>76220</v>
      </c>
      <c r="P478" s="341"/>
      <c r="Q478" s="133"/>
      <c r="R478" s="195" t="s">
        <v>5635</v>
      </c>
      <c r="S478" s="345">
        <v>20600</v>
      </c>
      <c r="T478" s="345">
        <f>+S478*0.85</f>
        <v>17510</v>
      </c>
      <c r="U478" s="353">
        <f>+S478+T478</f>
        <v>38110</v>
      </c>
      <c r="V478" s="226">
        <v>0.4</v>
      </c>
      <c r="W478" s="351">
        <f>+U478/V478</f>
        <v>95275</v>
      </c>
      <c r="X478" s="341"/>
    </row>
    <row r="479" spans="1:24" x14ac:dyDescent="0.25">
      <c r="A479" s="133"/>
      <c r="B479" s="195"/>
      <c r="C479" s="346"/>
      <c r="D479" s="345"/>
      <c r="E479" s="345"/>
      <c r="F479" s="226"/>
      <c r="G479" s="351"/>
      <c r="H479" s="341"/>
      <c r="I479" s="133"/>
      <c r="J479" s="195"/>
      <c r="K479" s="346"/>
      <c r="L479" s="345"/>
      <c r="M479" s="345"/>
      <c r="N479" s="226"/>
      <c r="O479" s="351"/>
      <c r="P479" s="341"/>
      <c r="Q479" s="133"/>
      <c r="R479" s="195"/>
      <c r="S479" s="346"/>
      <c r="T479" s="345"/>
      <c r="U479" s="345"/>
      <c r="V479" s="226"/>
      <c r="W479" s="351"/>
      <c r="X479" s="341"/>
    </row>
    <row r="480" spans="1:24" x14ac:dyDescent="0.25">
      <c r="A480" s="133"/>
      <c r="B480" s="195"/>
      <c r="C480" s="232"/>
      <c r="D480" s="232"/>
      <c r="E480" s="232"/>
      <c r="F480" s="226"/>
      <c r="G480" s="344"/>
      <c r="H480" s="341"/>
      <c r="I480" s="133"/>
      <c r="J480" s="195"/>
      <c r="K480" s="232"/>
      <c r="L480" s="232"/>
      <c r="M480" s="232"/>
      <c r="N480" s="226"/>
      <c r="O480" s="344"/>
      <c r="P480" s="341"/>
      <c r="Q480" s="133"/>
      <c r="R480" s="195"/>
      <c r="S480" s="232"/>
      <c r="T480" s="232"/>
      <c r="U480" s="232"/>
      <c r="V480" s="226"/>
      <c r="W480" s="344"/>
      <c r="X480" s="341"/>
    </row>
    <row r="481" spans="1:24" ht="15.75" thickBot="1" x14ac:dyDescent="0.3">
      <c r="A481" s="133"/>
      <c r="B481" s="195"/>
      <c r="C481" s="232"/>
      <c r="D481" s="232"/>
      <c r="E481" s="232"/>
      <c r="F481" s="226"/>
      <c r="G481" s="344"/>
      <c r="H481" s="341"/>
      <c r="I481" s="133"/>
      <c r="J481" s="195"/>
      <c r="K481" s="232"/>
      <c r="L481" s="232"/>
      <c r="M481" s="232"/>
      <c r="N481" s="226"/>
      <c r="O481" s="344"/>
      <c r="P481" s="341"/>
      <c r="Q481" s="133"/>
      <c r="R481" s="195"/>
      <c r="S481" s="232"/>
      <c r="T481" s="232"/>
      <c r="U481" s="232"/>
      <c r="V481" s="226"/>
      <c r="W481" s="344"/>
      <c r="X481" s="341"/>
    </row>
    <row r="482" spans="1:24" ht="15.75" thickBot="1" x14ac:dyDescent="0.3">
      <c r="A482" s="133"/>
      <c r="B482" s="251"/>
      <c r="C482" s="252"/>
      <c r="D482" s="252"/>
      <c r="E482" s="252"/>
      <c r="F482" s="253"/>
      <c r="G482" s="357"/>
      <c r="H482" s="348">
        <f>+SUM(G476:G482)</f>
        <v>138010</v>
      </c>
      <c r="I482" s="133"/>
      <c r="J482" s="251"/>
      <c r="K482" s="252"/>
      <c r="L482" s="252"/>
      <c r="M482" s="252"/>
      <c r="N482" s="253"/>
      <c r="O482" s="357"/>
      <c r="P482" s="348">
        <f>+SUM(O476:O482)</f>
        <v>207834.28571428574</v>
      </c>
      <c r="Q482" s="133"/>
      <c r="R482" s="251"/>
      <c r="S482" s="252"/>
      <c r="T482" s="252"/>
      <c r="U482" s="252"/>
      <c r="V482" s="253"/>
      <c r="W482" s="357"/>
      <c r="X482" s="348">
        <f>+SUM(W476:W482)</f>
        <v>306175</v>
      </c>
    </row>
    <row r="483" spans="1:24" ht="15.75" thickBot="1" x14ac:dyDescent="0.3">
      <c r="A483" s="133"/>
      <c r="B483" s="8"/>
      <c r="C483" s="8"/>
      <c r="D483" s="8"/>
      <c r="E483" s="8"/>
      <c r="F483" s="133"/>
      <c r="G483" s="341"/>
      <c r="H483" s="341"/>
      <c r="I483" s="133"/>
      <c r="J483" s="8"/>
      <c r="K483" s="8"/>
      <c r="L483" s="8"/>
      <c r="M483" s="8"/>
      <c r="N483" s="133"/>
      <c r="O483" s="341"/>
      <c r="P483" s="341"/>
      <c r="Q483" s="133"/>
      <c r="R483" s="8"/>
      <c r="S483" s="8"/>
      <c r="T483" s="8"/>
      <c r="U483" s="8"/>
      <c r="V483" s="133"/>
      <c r="W483" s="341"/>
      <c r="X483" s="341"/>
    </row>
    <row r="484" spans="1:24" ht="15.75" thickBot="1" x14ac:dyDescent="0.3">
      <c r="A484" s="133"/>
      <c r="B484" s="8"/>
      <c r="C484" s="8"/>
      <c r="D484" s="8"/>
      <c r="E484" s="223"/>
      <c r="F484" s="133"/>
      <c r="G484" s="341"/>
      <c r="H484" s="348">
        <f>+H482+H473+H465+H450</f>
        <v>556223</v>
      </c>
      <c r="I484" s="133"/>
      <c r="J484" s="8"/>
      <c r="K484" s="8"/>
      <c r="L484" s="8"/>
      <c r="M484" s="223"/>
      <c r="N484" s="133"/>
      <c r="O484" s="341"/>
      <c r="P484" s="348">
        <f>+P482+P473+P465+P450</f>
        <v>658659.71428571432</v>
      </c>
      <c r="Q484" s="133"/>
      <c r="R484" s="8"/>
      <c r="S484" s="8"/>
      <c r="T484" s="8"/>
      <c r="U484" s="223"/>
      <c r="V484" s="133"/>
      <c r="W484" s="341"/>
      <c r="X484" s="348">
        <f>+X482+X473+X465+X450</f>
        <v>776934.5</v>
      </c>
    </row>
    <row r="486" spans="1:24" x14ac:dyDescent="0.25">
      <c r="A486" s="255"/>
    </row>
    <row r="487" spans="1:24" x14ac:dyDescent="0.25">
      <c r="A487" s="255"/>
    </row>
    <row r="488" spans="1:24" x14ac:dyDescent="0.25">
      <c r="A488" s="255"/>
    </row>
    <row r="489" spans="1:24" ht="18.75" x14ac:dyDescent="0.25">
      <c r="A489" s="133"/>
      <c r="B489" s="2506" t="s">
        <v>5400</v>
      </c>
      <c r="C489" s="2506"/>
      <c r="D489" s="2506"/>
      <c r="E489" s="2506"/>
      <c r="F489" s="2506"/>
      <c r="G489" s="2506"/>
      <c r="H489" s="8"/>
      <c r="I489" s="133"/>
      <c r="J489" s="2506" t="s">
        <v>5400</v>
      </c>
      <c r="K489" s="2506"/>
      <c r="L489" s="2506"/>
      <c r="M489" s="2506"/>
      <c r="N489" s="2506"/>
      <c r="O489" s="2506"/>
      <c r="P489" s="8"/>
      <c r="Q489" s="133"/>
      <c r="R489" s="2506" t="s">
        <v>5400</v>
      </c>
      <c r="S489" s="2506"/>
      <c r="T489" s="2506"/>
      <c r="U489" s="2506"/>
      <c r="V489" s="2506"/>
      <c r="W489" s="2506"/>
      <c r="X489" s="8"/>
    </row>
    <row r="490" spans="1:24" x14ac:dyDescent="0.25">
      <c r="A490" s="133"/>
      <c r="B490" s="8"/>
      <c r="C490" s="8"/>
      <c r="D490" s="8"/>
      <c r="E490" s="8"/>
      <c r="F490" s="133"/>
      <c r="G490" s="341"/>
      <c r="H490" s="341"/>
      <c r="I490" s="133"/>
      <c r="J490" s="8"/>
      <c r="K490" s="8"/>
      <c r="L490" s="8"/>
      <c r="M490" s="8"/>
      <c r="N490" s="133"/>
      <c r="O490" s="341"/>
      <c r="P490" s="341"/>
      <c r="Q490" s="133"/>
      <c r="R490" s="8"/>
      <c r="S490" s="8"/>
      <c r="T490" s="8"/>
      <c r="U490" s="8"/>
      <c r="V490" s="133"/>
      <c r="W490" s="341"/>
      <c r="X490" s="341"/>
    </row>
    <row r="491" spans="1:24" x14ac:dyDescent="0.25">
      <c r="A491" s="133"/>
      <c r="B491" s="8"/>
      <c r="C491" s="8"/>
      <c r="D491" s="8"/>
      <c r="E491" s="8"/>
      <c r="F491" s="133"/>
      <c r="G491" s="341"/>
      <c r="H491" s="341"/>
      <c r="I491" s="133"/>
      <c r="J491" s="8"/>
      <c r="K491" s="8"/>
      <c r="L491" s="8"/>
      <c r="M491" s="8"/>
      <c r="N491" s="133"/>
      <c r="O491" s="341"/>
      <c r="P491" s="341"/>
      <c r="Q491" s="133"/>
      <c r="R491" s="8"/>
      <c r="S491" s="8"/>
      <c r="T491" s="8"/>
      <c r="U491" s="8"/>
      <c r="V491" s="133"/>
      <c r="W491" s="341"/>
      <c r="X491" s="341"/>
    </row>
    <row r="492" spans="1:24" ht="15" customHeight="1" x14ac:dyDescent="0.25">
      <c r="A492" s="133"/>
      <c r="B492" s="8"/>
      <c r="C492" s="8"/>
      <c r="D492" s="8"/>
      <c r="E492" s="8"/>
      <c r="F492" s="133"/>
      <c r="G492" s="341"/>
      <c r="H492" s="341"/>
      <c r="I492" s="133"/>
      <c r="J492" s="8"/>
      <c r="K492" s="8"/>
      <c r="L492" s="8"/>
      <c r="M492" s="8"/>
      <c r="N492" s="133"/>
      <c r="O492" s="341"/>
      <c r="P492" s="341"/>
      <c r="Q492" s="133"/>
      <c r="R492" s="8"/>
      <c r="S492" s="8"/>
      <c r="T492" s="8"/>
      <c r="U492" s="8"/>
      <c r="V492" s="133"/>
      <c r="W492" s="341"/>
      <c r="X492" s="341"/>
    </row>
    <row r="493" spans="1:24" ht="37.5" customHeight="1" x14ac:dyDescent="0.25">
      <c r="A493" s="220" t="s">
        <v>5482</v>
      </c>
      <c r="B493" s="221" t="s">
        <v>634</v>
      </c>
      <c r="C493" s="2449" t="s">
        <v>5929</v>
      </c>
      <c r="D493" s="2449"/>
      <c r="E493" s="2449"/>
      <c r="F493" s="220" t="s">
        <v>867</v>
      </c>
      <c r="G493" s="342" t="s">
        <v>5454</v>
      </c>
      <c r="H493" s="341"/>
      <c r="I493" s="220" t="s">
        <v>5482</v>
      </c>
      <c r="J493" s="221" t="s">
        <v>634</v>
      </c>
      <c r="K493" s="2449" t="s">
        <v>6035</v>
      </c>
      <c r="L493" s="2449"/>
      <c r="M493" s="2449"/>
      <c r="N493" s="220" t="s">
        <v>867</v>
      </c>
      <c r="O493" s="342" t="s">
        <v>5454</v>
      </c>
      <c r="P493" s="341"/>
      <c r="Q493" s="220" t="s">
        <v>5482</v>
      </c>
      <c r="R493" s="221" t="s">
        <v>634</v>
      </c>
      <c r="S493" s="2449" t="s">
        <v>6036</v>
      </c>
      <c r="T493" s="2449"/>
      <c r="U493" s="2449"/>
      <c r="V493" s="220" t="s">
        <v>867</v>
      </c>
      <c r="W493" s="342" t="s">
        <v>5454</v>
      </c>
      <c r="X493" s="341"/>
    </row>
    <row r="494" spans="1:24" x14ac:dyDescent="0.25">
      <c r="A494" s="133"/>
      <c r="B494" s="8"/>
      <c r="C494" s="223"/>
      <c r="D494" s="223"/>
      <c r="E494" s="223"/>
      <c r="F494" s="133"/>
      <c r="G494" s="341"/>
      <c r="H494" s="341"/>
      <c r="I494" s="133"/>
      <c r="J494" s="8"/>
      <c r="K494" s="223"/>
      <c r="L494" s="223"/>
      <c r="M494" s="223"/>
      <c r="N494" s="133"/>
      <c r="O494" s="341"/>
      <c r="P494" s="341"/>
      <c r="Q494" s="133"/>
      <c r="R494" s="8"/>
      <c r="S494" s="223"/>
      <c r="T494" s="223"/>
      <c r="U494" s="223"/>
      <c r="V494" s="133"/>
      <c r="W494" s="341"/>
      <c r="X494" s="341"/>
    </row>
    <row r="495" spans="1:24" ht="15" customHeight="1" x14ac:dyDescent="0.25">
      <c r="A495" s="133"/>
      <c r="B495" s="8"/>
      <c r="C495" s="8"/>
      <c r="D495" s="8"/>
      <c r="E495" s="8"/>
      <c r="F495" s="8"/>
      <c r="G495" s="8"/>
      <c r="H495" s="341"/>
      <c r="I495" s="133"/>
      <c r="J495" s="8"/>
      <c r="K495" s="8"/>
      <c r="L495" s="8"/>
      <c r="M495" s="8"/>
      <c r="N495" s="8"/>
      <c r="O495" s="8"/>
      <c r="P495" s="341"/>
      <c r="Q495" s="133"/>
      <c r="R495" s="8"/>
      <c r="S495" s="8"/>
      <c r="T495" s="8"/>
      <c r="U495" s="8"/>
      <c r="V495" s="8"/>
      <c r="W495" s="8"/>
      <c r="X495" s="341"/>
    </row>
    <row r="496" spans="1:24" ht="15.75" thickBot="1" x14ac:dyDescent="0.3">
      <c r="A496" s="133"/>
      <c r="B496" s="8"/>
      <c r="C496" s="8"/>
      <c r="D496" s="8"/>
      <c r="E496" s="8"/>
      <c r="F496" s="133"/>
      <c r="G496" s="341"/>
      <c r="H496" s="341"/>
      <c r="I496" s="133"/>
      <c r="J496" s="8"/>
      <c r="K496" s="8"/>
      <c r="L496" s="8"/>
      <c r="M496" s="8"/>
      <c r="N496" s="133"/>
      <c r="O496" s="341"/>
      <c r="P496" s="341"/>
      <c r="Q496" s="133"/>
      <c r="R496" s="8"/>
      <c r="S496" s="8"/>
      <c r="T496" s="8"/>
      <c r="U496" s="8"/>
      <c r="V496" s="133"/>
      <c r="W496" s="341"/>
      <c r="X496" s="341"/>
    </row>
    <row r="497" spans="1:24" ht="15.75" thickBot="1" x14ac:dyDescent="0.3">
      <c r="A497" s="133"/>
      <c r="B497" s="224" t="s">
        <v>5403</v>
      </c>
      <c r="C497" s="193" t="s">
        <v>867</v>
      </c>
      <c r="D497" s="193" t="s">
        <v>6</v>
      </c>
      <c r="E497" s="193" t="s">
        <v>5439</v>
      </c>
      <c r="F497" s="193" t="s">
        <v>5405</v>
      </c>
      <c r="G497" s="343" t="s">
        <v>868</v>
      </c>
      <c r="H497" s="341"/>
      <c r="I497" s="133"/>
      <c r="J497" s="224" t="s">
        <v>5403</v>
      </c>
      <c r="K497" s="193" t="s">
        <v>867</v>
      </c>
      <c r="L497" s="193" t="s">
        <v>6</v>
      </c>
      <c r="M497" s="193" t="s">
        <v>5439</v>
      </c>
      <c r="N497" s="193" t="s">
        <v>5405</v>
      </c>
      <c r="O497" s="343" t="s">
        <v>868</v>
      </c>
      <c r="P497" s="341"/>
      <c r="Q497" s="133"/>
      <c r="R497" s="224" t="s">
        <v>5403</v>
      </c>
      <c r="S497" s="193" t="s">
        <v>867</v>
      </c>
      <c r="T497" s="193" t="s">
        <v>6</v>
      </c>
      <c r="U497" s="193" t="s">
        <v>5439</v>
      </c>
      <c r="V497" s="193" t="s">
        <v>5405</v>
      </c>
      <c r="W497" s="343" t="s">
        <v>868</v>
      </c>
      <c r="X497" s="341"/>
    </row>
    <row r="498" spans="1:24" x14ac:dyDescent="0.25">
      <c r="A498" s="133"/>
      <c r="B498" s="195" t="s">
        <v>5440</v>
      </c>
      <c r="C498" s="226" t="s">
        <v>5542</v>
      </c>
      <c r="D498" s="226">
        <v>1</v>
      </c>
      <c r="E498" s="228">
        <f>+H536</f>
        <v>138010</v>
      </c>
      <c r="F498" s="226">
        <v>0.1</v>
      </c>
      <c r="G498" s="344">
        <f>+E498*F498</f>
        <v>13801</v>
      </c>
      <c r="H498" s="341"/>
      <c r="I498" s="133"/>
      <c r="J498" s="195" t="s">
        <v>5440</v>
      </c>
      <c r="K498" s="226" t="s">
        <v>5542</v>
      </c>
      <c r="L498" s="226">
        <v>1</v>
      </c>
      <c r="M498" s="228">
        <f>+P536</f>
        <v>207834.28571428574</v>
      </c>
      <c r="N498" s="226">
        <v>0.1</v>
      </c>
      <c r="O498" s="344">
        <f>+M498*N498</f>
        <v>20783.428571428576</v>
      </c>
      <c r="P498" s="341"/>
      <c r="Q498" s="133"/>
      <c r="R498" s="195" t="s">
        <v>5440</v>
      </c>
      <c r="S498" s="226" t="s">
        <v>5542</v>
      </c>
      <c r="T498" s="226">
        <v>1</v>
      </c>
      <c r="U498" s="228">
        <f>+X536</f>
        <v>306175</v>
      </c>
      <c r="V498" s="226">
        <v>0.1</v>
      </c>
      <c r="W498" s="344">
        <f>+U498*V498</f>
        <v>30617.5</v>
      </c>
      <c r="X498" s="341"/>
    </row>
    <row r="499" spans="1:24" x14ac:dyDescent="0.25">
      <c r="A499" s="133"/>
      <c r="B499" s="195" t="s">
        <v>5548</v>
      </c>
      <c r="C499" s="226" t="s">
        <v>5542</v>
      </c>
      <c r="D499" s="226">
        <v>1</v>
      </c>
      <c r="E499" s="228">
        <v>10000</v>
      </c>
      <c r="F499" s="226">
        <v>2</v>
      </c>
      <c r="G499" s="344">
        <f>+D499*E499/F499</f>
        <v>5000</v>
      </c>
      <c r="H499" s="341"/>
      <c r="I499" s="133"/>
      <c r="J499" s="195" t="s">
        <v>5548</v>
      </c>
      <c r="K499" s="226" t="s">
        <v>5542</v>
      </c>
      <c r="L499" s="226">
        <v>1</v>
      </c>
      <c r="M499" s="228">
        <v>10000</v>
      </c>
      <c r="N499" s="226">
        <v>2</v>
      </c>
      <c r="O499" s="344">
        <f>+L499*M499/N499</f>
        <v>5000</v>
      </c>
      <c r="P499" s="341"/>
      <c r="Q499" s="133"/>
      <c r="R499" s="195" t="s">
        <v>5548</v>
      </c>
      <c r="S499" s="226" t="s">
        <v>5542</v>
      </c>
      <c r="T499" s="226">
        <v>1</v>
      </c>
      <c r="U499" s="228">
        <v>10000</v>
      </c>
      <c r="V499" s="226">
        <v>2</v>
      </c>
      <c r="W499" s="344">
        <f>+T499*U499/V499</f>
        <v>5000</v>
      </c>
      <c r="X499" s="341"/>
    </row>
    <row r="500" spans="1:24" x14ac:dyDescent="0.25">
      <c r="A500" s="133"/>
      <c r="B500" s="195" t="s">
        <v>5554</v>
      </c>
      <c r="C500" s="226" t="s">
        <v>5542</v>
      </c>
      <c r="D500" s="226">
        <v>1</v>
      </c>
      <c r="E500" s="345">
        <v>4000</v>
      </c>
      <c r="F500" s="226">
        <v>1</v>
      </c>
      <c r="G500" s="344">
        <f>+D500*E500/F500</f>
        <v>4000</v>
      </c>
      <c r="H500" s="341"/>
      <c r="I500" s="133"/>
      <c r="J500" s="195" t="s">
        <v>5554</v>
      </c>
      <c r="K500" s="226" t="s">
        <v>5542</v>
      </c>
      <c r="L500" s="226">
        <v>1</v>
      </c>
      <c r="M500" s="345">
        <v>4000</v>
      </c>
      <c r="N500" s="226">
        <v>1</v>
      </c>
      <c r="O500" s="344">
        <f>+L500*M500/N500</f>
        <v>4000</v>
      </c>
      <c r="P500" s="341"/>
      <c r="Q500" s="133"/>
      <c r="R500" s="195" t="s">
        <v>5554</v>
      </c>
      <c r="S500" s="226" t="s">
        <v>5542</v>
      </c>
      <c r="T500" s="226">
        <v>1</v>
      </c>
      <c r="U500" s="345">
        <v>4000</v>
      </c>
      <c r="V500" s="226">
        <v>1</v>
      </c>
      <c r="W500" s="344">
        <f>+T500*U500/V500</f>
        <v>4000</v>
      </c>
      <c r="X500" s="341"/>
    </row>
    <row r="501" spans="1:24" x14ac:dyDescent="0.25">
      <c r="A501" s="133"/>
      <c r="B501" s="195"/>
      <c r="C501" s="226"/>
      <c r="D501" s="226"/>
      <c r="E501" s="346"/>
      <c r="F501" s="226"/>
      <c r="G501" s="344"/>
      <c r="H501" s="341"/>
      <c r="I501" s="133"/>
      <c r="J501" s="195"/>
      <c r="K501" s="226"/>
      <c r="L501" s="226"/>
      <c r="M501" s="346"/>
      <c r="N501" s="226"/>
      <c r="O501" s="344"/>
      <c r="P501" s="341"/>
      <c r="Q501" s="133"/>
      <c r="R501" s="195"/>
      <c r="S501" s="226"/>
      <c r="T501" s="226"/>
      <c r="U501" s="346"/>
      <c r="V501" s="226"/>
      <c r="W501" s="344"/>
      <c r="X501" s="341"/>
    </row>
    <row r="502" spans="1:24" x14ac:dyDescent="0.25">
      <c r="A502" s="133"/>
      <c r="B502" s="195"/>
      <c r="C502" s="226"/>
      <c r="D502" s="232"/>
      <c r="E502" s="232"/>
      <c r="F502" s="226"/>
      <c r="G502" s="344"/>
      <c r="H502" s="341"/>
      <c r="I502" s="133"/>
      <c r="J502" s="195"/>
      <c r="K502" s="226"/>
      <c r="L502" s="232"/>
      <c r="M502" s="232"/>
      <c r="N502" s="226"/>
      <c r="O502" s="344"/>
      <c r="P502" s="341"/>
      <c r="Q502" s="133"/>
      <c r="R502" s="195"/>
      <c r="S502" s="226"/>
      <c r="T502" s="232"/>
      <c r="U502" s="232"/>
      <c r="V502" s="226"/>
      <c r="W502" s="344"/>
      <c r="X502" s="341"/>
    </row>
    <row r="503" spans="1:24" ht="15.75" thickBot="1" x14ac:dyDescent="0.3">
      <c r="A503" s="133"/>
      <c r="B503" s="195"/>
      <c r="C503" s="226"/>
      <c r="D503" s="232"/>
      <c r="E503" s="232"/>
      <c r="F503" s="226"/>
      <c r="G503" s="344"/>
      <c r="H503" s="341"/>
      <c r="I503" s="133"/>
      <c r="J503" s="195"/>
      <c r="K503" s="226"/>
      <c r="L503" s="232"/>
      <c r="M503" s="232"/>
      <c r="N503" s="226"/>
      <c r="O503" s="344"/>
      <c r="P503" s="341"/>
      <c r="Q503" s="133"/>
      <c r="R503" s="195"/>
      <c r="S503" s="226"/>
      <c r="T503" s="232"/>
      <c r="U503" s="232"/>
      <c r="V503" s="226"/>
      <c r="W503" s="344"/>
      <c r="X503" s="341"/>
    </row>
    <row r="504" spans="1:24" ht="15.75" thickBot="1" x14ac:dyDescent="0.3">
      <c r="A504" s="133"/>
      <c r="B504" s="233"/>
      <c r="C504" s="234"/>
      <c r="D504" s="234"/>
      <c r="E504" s="234"/>
      <c r="F504" s="235"/>
      <c r="G504" s="347"/>
      <c r="H504" s="348">
        <f>+SUM(G498:G504)</f>
        <v>22801</v>
      </c>
      <c r="I504" s="133"/>
      <c r="J504" s="233"/>
      <c r="K504" s="234"/>
      <c r="L504" s="234"/>
      <c r="M504" s="234"/>
      <c r="N504" s="235"/>
      <c r="O504" s="347"/>
      <c r="P504" s="348">
        <f>+SUM(O498:O504)</f>
        <v>29783.428571428576</v>
      </c>
      <c r="Q504" s="133"/>
      <c r="R504" s="233"/>
      <c r="S504" s="234"/>
      <c r="T504" s="234"/>
      <c r="U504" s="234"/>
      <c r="V504" s="235"/>
      <c r="W504" s="347"/>
      <c r="X504" s="348">
        <f>+SUM(W498:W504)</f>
        <v>39617.5</v>
      </c>
    </row>
    <row r="505" spans="1:24" ht="15.75" thickBot="1" x14ac:dyDescent="0.3">
      <c r="A505" s="133"/>
      <c r="B505" s="238"/>
      <c r="C505" s="238"/>
      <c r="D505" s="238"/>
      <c r="E505" s="238"/>
      <c r="F505" s="239"/>
      <c r="G505" s="349"/>
      <c r="H505" s="350"/>
      <c r="I505" s="133"/>
      <c r="J505" s="238"/>
      <c r="K505" s="238"/>
      <c r="L505" s="238"/>
      <c r="M505" s="238"/>
      <c r="N505" s="239"/>
      <c r="O505" s="349"/>
      <c r="P505" s="350"/>
      <c r="Q505" s="133"/>
      <c r="R505" s="238"/>
      <c r="S505" s="238"/>
      <c r="T505" s="238"/>
      <c r="U505" s="238"/>
      <c r="V505" s="239"/>
      <c r="W505" s="349"/>
      <c r="X505" s="350"/>
    </row>
    <row r="506" spans="1:24" ht="15.75" thickBot="1" x14ac:dyDescent="0.3">
      <c r="A506" s="133"/>
      <c r="B506" s="224" t="s">
        <v>5408</v>
      </c>
      <c r="C506" s="193" t="s">
        <v>867</v>
      </c>
      <c r="D506" s="193" t="s">
        <v>6</v>
      </c>
      <c r="E506" s="193" t="s">
        <v>870</v>
      </c>
      <c r="F506" s="193" t="s">
        <v>5409</v>
      </c>
      <c r="G506" s="343" t="s">
        <v>868</v>
      </c>
      <c r="H506" s="341"/>
      <c r="I506" s="133"/>
      <c r="J506" s="224" t="s">
        <v>5408</v>
      </c>
      <c r="K506" s="193" t="s">
        <v>867</v>
      </c>
      <c r="L506" s="193" t="s">
        <v>6</v>
      </c>
      <c r="M506" s="193" t="s">
        <v>870</v>
      </c>
      <c r="N506" s="193" t="s">
        <v>5409</v>
      </c>
      <c r="O506" s="343" t="s">
        <v>868</v>
      </c>
      <c r="P506" s="341"/>
      <c r="Q506" s="133"/>
      <c r="R506" s="224" t="s">
        <v>5408</v>
      </c>
      <c r="S506" s="193" t="s">
        <v>867</v>
      </c>
      <c r="T506" s="193" t="s">
        <v>6</v>
      </c>
      <c r="U506" s="193" t="s">
        <v>870</v>
      </c>
      <c r="V506" s="193" t="s">
        <v>5409</v>
      </c>
      <c r="W506" s="343" t="s">
        <v>868</v>
      </c>
      <c r="X506" s="341"/>
    </row>
    <row r="507" spans="1:24" x14ac:dyDescent="0.25">
      <c r="A507" s="133"/>
      <c r="B507" s="242" t="s">
        <v>5549</v>
      </c>
      <c r="C507" s="202" t="s">
        <v>5550</v>
      </c>
      <c r="D507" s="226">
        <v>450</v>
      </c>
      <c r="E507" s="228">
        <v>520</v>
      </c>
      <c r="F507" s="169">
        <v>0.1</v>
      </c>
      <c r="G507" s="351">
        <f>+D507*E507*(1+F507)</f>
        <v>257400.00000000003</v>
      </c>
      <c r="H507" s="341"/>
      <c r="I507" s="133"/>
      <c r="J507" s="242" t="s">
        <v>5549</v>
      </c>
      <c r="K507" s="202" t="s">
        <v>5550</v>
      </c>
      <c r="L507" s="226">
        <v>450</v>
      </c>
      <c r="M507" s="228">
        <v>520</v>
      </c>
      <c r="N507" s="169">
        <v>0.1</v>
      </c>
      <c r="O507" s="351">
        <f>+L507*M507*(1+N507)</f>
        <v>257400.00000000003</v>
      </c>
      <c r="P507" s="341"/>
      <c r="Q507" s="133"/>
      <c r="R507" s="242" t="s">
        <v>5549</v>
      </c>
      <c r="S507" s="202" t="s">
        <v>5550</v>
      </c>
      <c r="T507" s="226">
        <v>450</v>
      </c>
      <c r="U507" s="228">
        <v>520</v>
      </c>
      <c r="V507" s="169">
        <v>0.1</v>
      </c>
      <c r="W507" s="351">
        <f>+T507*U507*(1+V507)</f>
        <v>257400.00000000003</v>
      </c>
      <c r="X507" s="341"/>
    </row>
    <row r="508" spans="1:24" x14ac:dyDescent="0.25">
      <c r="A508" s="133"/>
      <c r="B508" s="243" t="s">
        <v>5551</v>
      </c>
      <c r="C508" s="202" t="s">
        <v>5542</v>
      </c>
      <c r="D508" s="202">
        <v>0.48</v>
      </c>
      <c r="E508" s="228">
        <v>86000</v>
      </c>
      <c r="F508" s="169">
        <v>0.1</v>
      </c>
      <c r="G508" s="351">
        <f>+D508*E508*(1+F508)</f>
        <v>45408.000000000007</v>
      </c>
      <c r="H508" s="341"/>
      <c r="I508" s="133"/>
      <c r="J508" s="243" t="s">
        <v>5551</v>
      </c>
      <c r="K508" s="202" t="s">
        <v>5542</v>
      </c>
      <c r="L508" s="202">
        <v>0.48</v>
      </c>
      <c r="M508" s="228">
        <v>86000</v>
      </c>
      <c r="N508" s="169">
        <v>0.1</v>
      </c>
      <c r="O508" s="351">
        <f>+L508*M508*(1+N508)</f>
        <v>45408.000000000007</v>
      </c>
      <c r="P508" s="341"/>
      <c r="Q508" s="133"/>
      <c r="R508" s="243" t="s">
        <v>5551</v>
      </c>
      <c r="S508" s="202" t="s">
        <v>5542</v>
      </c>
      <c r="T508" s="202">
        <v>0.48</v>
      </c>
      <c r="U508" s="228">
        <v>86000</v>
      </c>
      <c r="V508" s="169">
        <v>0.1</v>
      </c>
      <c r="W508" s="351">
        <f>+T508*U508*(1+V508)</f>
        <v>45408.000000000007</v>
      </c>
      <c r="X508" s="341"/>
    </row>
    <row r="509" spans="1:24" x14ac:dyDescent="0.25">
      <c r="A509" s="133"/>
      <c r="B509" s="243" t="s">
        <v>5552</v>
      </c>
      <c r="C509" s="226" t="s">
        <v>5542</v>
      </c>
      <c r="D509" s="226">
        <v>0.72</v>
      </c>
      <c r="E509" s="228">
        <v>80000</v>
      </c>
      <c r="F509" s="169">
        <v>0.1</v>
      </c>
      <c r="G509" s="351">
        <f>+D509*E509*(1+F509)</f>
        <v>63360.000000000007</v>
      </c>
      <c r="H509" s="341"/>
      <c r="I509" s="133"/>
      <c r="J509" s="243" t="s">
        <v>5552</v>
      </c>
      <c r="K509" s="226" t="s">
        <v>5542</v>
      </c>
      <c r="L509" s="226">
        <v>0.72</v>
      </c>
      <c r="M509" s="228">
        <v>80000</v>
      </c>
      <c r="N509" s="169">
        <v>0.1</v>
      </c>
      <c r="O509" s="351">
        <f>+L509*M509*(1+N509)</f>
        <v>63360.000000000007</v>
      </c>
      <c r="P509" s="341"/>
      <c r="Q509" s="133"/>
      <c r="R509" s="243" t="s">
        <v>5552</v>
      </c>
      <c r="S509" s="226" t="s">
        <v>5542</v>
      </c>
      <c r="T509" s="226">
        <v>0.72</v>
      </c>
      <c r="U509" s="228">
        <v>80000</v>
      </c>
      <c r="V509" s="169">
        <v>0.1</v>
      </c>
      <c r="W509" s="351">
        <f>+T509*U509*(1+V509)</f>
        <v>63360.000000000007</v>
      </c>
      <c r="X509" s="341"/>
    </row>
    <row r="510" spans="1:24" x14ac:dyDescent="0.25">
      <c r="A510" s="133"/>
      <c r="B510" s="194" t="s">
        <v>5553</v>
      </c>
      <c r="C510" s="226" t="s">
        <v>5488</v>
      </c>
      <c r="D510" s="226">
        <v>240</v>
      </c>
      <c r="E510" s="352">
        <v>10</v>
      </c>
      <c r="F510" s="169">
        <v>0.1</v>
      </c>
      <c r="G510" s="351">
        <f>+D510*E510*(1+F510)</f>
        <v>2640</v>
      </c>
      <c r="H510" s="341"/>
      <c r="I510" s="133"/>
      <c r="J510" s="194" t="s">
        <v>5553</v>
      </c>
      <c r="K510" s="226" t="s">
        <v>5488</v>
      </c>
      <c r="L510" s="226">
        <v>240</v>
      </c>
      <c r="M510" s="352">
        <v>10</v>
      </c>
      <c r="N510" s="169">
        <v>0.1</v>
      </c>
      <c r="O510" s="351">
        <f>+L510*M510*(1+N510)</f>
        <v>2640</v>
      </c>
      <c r="P510" s="341"/>
      <c r="Q510" s="133"/>
      <c r="R510" s="194" t="s">
        <v>5553</v>
      </c>
      <c r="S510" s="226" t="s">
        <v>5488</v>
      </c>
      <c r="T510" s="226">
        <v>240</v>
      </c>
      <c r="U510" s="352">
        <v>10</v>
      </c>
      <c r="V510" s="169">
        <v>0.1</v>
      </c>
      <c r="W510" s="351">
        <f>+T510*U510*(1+V510)</f>
        <v>2640</v>
      </c>
      <c r="X510" s="341"/>
    </row>
    <row r="511" spans="1:24" x14ac:dyDescent="0.25">
      <c r="A511" s="133"/>
      <c r="B511" s="195" t="s">
        <v>5561</v>
      </c>
      <c r="C511" s="226" t="s">
        <v>5556</v>
      </c>
      <c r="D511" s="226">
        <v>0.1</v>
      </c>
      <c r="E511" s="345">
        <v>176800</v>
      </c>
      <c r="F511" s="169">
        <v>0.1</v>
      </c>
      <c r="G511" s="351">
        <f>+D511*E511*(1+F511)</f>
        <v>19448</v>
      </c>
      <c r="H511" s="341"/>
      <c r="I511" s="133"/>
      <c r="J511" s="195" t="s">
        <v>5561</v>
      </c>
      <c r="K511" s="226" t="s">
        <v>5556</v>
      </c>
      <c r="L511" s="226">
        <v>0.3</v>
      </c>
      <c r="M511" s="345">
        <v>176800</v>
      </c>
      <c r="N511" s="169">
        <v>0.1</v>
      </c>
      <c r="O511" s="351">
        <f>+L511*M511*(1+N511)</f>
        <v>58344.000000000007</v>
      </c>
      <c r="P511" s="341"/>
      <c r="Q511" s="133"/>
      <c r="R511" s="195" t="s">
        <v>5561</v>
      </c>
      <c r="S511" s="226" t="s">
        <v>5556</v>
      </c>
      <c r="T511" s="226">
        <v>0.4</v>
      </c>
      <c r="U511" s="345">
        <v>176800</v>
      </c>
      <c r="V511" s="169">
        <v>0.1</v>
      </c>
      <c r="W511" s="351">
        <f>+T511*U511*(1+V511)</f>
        <v>77792</v>
      </c>
      <c r="X511" s="341"/>
    </row>
    <row r="512" spans="1:24" x14ac:dyDescent="0.25">
      <c r="A512" s="133"/>
      <c r="B512" s="194" t="s">
        <v>5560</v>
      </c>
      <c r="C512" s="202" t="s">
        <v>5460</v>
      </c>
      <c r="D512" s="202"/>
      <c r="E512" s="345"/>
      <c r="F512" s="169"/>
      <c r="G512" s="351">
        <v>5000</v>
      </c>
      <c r="H512" s="341"/>
      <c r="I512" s="133"/>
      <c r="J512" s="194" t="s">
        <v>5560</v>
      </c>
      <c r="K512" s="202" t="s">
        <v>5460</v>
      </c>
      <c r="L512" s="202"/>
      <c r="M512" s="345"/>
      <c r="N512" s="169"/>
      <c r="O512" s="351">
        <v>5000</v>
      </c>
      <c r="P512" s="341"/>
      <c r="Q512" s="133"/>
      <c r="R512" s="194" t="s">
        <v>5560</v>
      </c>
      <c r="S512" s="202" t="s">
        <v>5460</v>
      </c>
      <c r="T512" s="202"/>
      <c r="U512" s="345"/>
      <c r="V512" s="169"/>
      <c r="W512" s="351">
        <v>5500</v>
      </c>
      <c r="X512" s="341"/>
    </row>
    <row r="513" spans="1:24" x14ac:dyDescent="0.25">
      <c r="A513" s="133"/>
      <c r="B513" s="195"/>
      <c r="C513" s="226"/>
      <c r="D513" s="226"/>
      <c r="E513" s="345"/>
      <c r="F513" s="169"/>
      <c r="G513" s="351"/>
      <c r="H513" s="341"/>
      <c r="I513" s="133"/>
      <c r="J513" s="195"/>
      <c r="K513" s="226"/>
      <c r="L513" s="226"/>
      <c r="M513" s="345"/>
      <c r="N513" s="169"/>
      <c r="O513" s="351"/>
      <c r="P513" s="341"/>
      <c r="Q513" s="133"/>
      <c r="R513" s="195" t="s">
        <v>5928</v>
      </c>
      <c r="S513" s="226" t="s">
        <v>5556</v>
      </c>
      <c r="T513" s="226">
        <v>0.4</v>
      </c>
      <c r="U513" s="345">
        <v>25000</v>
      </c>
      <c r="V513" s="169">
        <v>0.1</v>
      </c>
      <c r="W513" s="351">
        <f>+T513*U513*(1+V513)</f>
        <v>11000</v>
      </c>
      <c r="X513" s="341"/>
    </row>
    <row r="514" spans="1:24" x14ac:dyDescent="0.25">
      <c r="A514" s="133"/>
      <c r="B514" s="195"/>
      <c r="C514" s="226"/>
      <c r="D514" s="226"/>
      <c r="E514" s="345"/>
      <c r="F514" s="169"/>
      <c r="G514" s="351"/>
      <c r="H514" s="341"/>
      <c r="I514" s="133"/>
      <c r="J514" s="195"/>
      <c r="K514" s="226"/>
      <c r="L514" s="226"/>
      <c r="M514" s="345"/>
      <c r="N514" s="169"/>
      <c r="O514" s="351"/>
      <c r="P514" s="341"/>
      <c r="Q514" s="133"/>
      <c r="R514" s="195"/>
      <c r="S514" s="226"/>
      <c r="T514" s="226"/>
      <c r="U514" s="345"/>
      <c r="V514" s="169"/>
      <c r="W514" s="351"/>
      <c r="X514" s="341"/>
    </row>
    <row r="515" spans="1:24" x14ac:dyDescent="0.25">
      <c r="A515" s="133"/>
      <c r="B515" s="195"/>
      <c r="C515" s="232"/>
      <c r="D515" s="232"/>
      <c r="E515" s="232"/>
      <c r="F515" s="226"/>
      <c r="G515" s="344"/>
      <c r="H515" s="341"/>
      <c r="I515" s="133"/>
      <c r="J515" s="195"/>
      <c r="K515" s="232"/>
      <c r="L515" s="232"/>
      <c r="M515" s="232"/>
      <c r="N515" s="226"/>
      <c r="O515" s="344"/>
      <c r="P515" s="341"/>
      <c r="Q515" s="133"/>
      <c r="R515" s="195"/>
      <c r="S515" s="232"/>
      <c r="T515" s="232"/>
      <c r="U515" s="232"/>
      <c r="V515" s="226"/>
      <c r="W515" s="344"/>
      <c r="X515" s="341"/>
    </row>
    <row r="516" spans="1:24" x14ac:dyDescent="0.25">
      <c r="A516" s="133"/>
      <c r="B516" s="195"/>
      <c r="C516" s="232"/>
      <c r="D516" s="232"/>
      <c r="E516" s="232"/>
      <c r="F516" s="226"/>
      <c r="G516" s="344"/>
      <c r="H516" s="341"/>
      <c r="I516" s="133"/>
      <c r="J516" s="195"/>
      <c r="K516" s="232"/>
      <c r="L516" s="232"/>
      <c r="M516" s="232"/>
      <c r="N516" s="226"/>
      <c r="O516" s="344"/>
      <c r="P516" s="341"/>
      <c r="Q516" s="133"/>
      <c r="R516" s="195"/>
      <c r="S516" s="232"/>
      <c r="T516" s="232"/>
      <c r="U516" s="232"/>
      <c r="V516" s="226"/>
      <c r="W516" s="344"/>
      <c r="X516" s="341"/>
    </row>
    <row r="517" spans="1:24" x14ac:dyDescent="0.25">
      <c r="A517" s="133"/>
      <c r="B517" s="195"/>
      <c r="C517" s="232"/>
      <c r="D517" s="232"/>
      <c r="E517" s="232"/>
      <c r="F517" s="226"/>
      <c r="G517" s="344"/>
      <c r="H517" s="341"/>
      <c r="I517" s="133"/>
      <c r="J517" s="195"/>
      <c r="K517" s="232"/>
      <c r="L517" s="232"/>
      <c r="M517" s="232"/>
      <c r="N517" s="226"/>
      <c r="O517" s="344"/>
      <c r="P517" s="341"/>
      <c r="Q517" s="133"/>
      <c r="R517" s="195"/>
      <c r="S517" s="232"/>
      <c r="T517" s="232"/>
      <c r="U517" s="232"/>
      <c r="V517" s="226"/>
      <c r="W517" s="344"/>
      <c r="X517" s="341"/>
    </row>
    <row r="518" spans="1:24" ht="15.75" thickBot="1" x14ac:dyDescent="0.3">
      <c r="A518" s="133"/>
      <c r="B518" s="195"/>
      <c r="C518" s="232"/>
      <c r="D518" s="232"/>
      <c r="E518" s="232"/>
      <c r="F518" s="226"/>
      <c r="G518" s="344"/>
      <c r="H518" s="341"/>
      <c r="I518" s="133"/>
      <c r="J518" s="195"/>
      <c r="K518" s="232"/>
      <c r="L518" s="232"/>
      <c r="M518" s="232"/>
      <c r="N518" s="226"/>
      <c r="O518" s="344"/>
      <c r="P518" s="341"/>
      <c r="Q518" s="133"/>
      <c r="R518" s="195"/>
      <c r="S518" s="232"/>
      <c r="T518" s="232"/>
      <c r="U518" s="232"/>
      <c r="V518" s="226"/>
      <c r="W518" s="344"/>
      <c r="X518" s="341"/>
    </row>
    <row r="519" spans="1:24" ht="15.75" thickBot="1" x14ac:dyDescent="0.3">
      <c r="A519" s="133"/>
      <c r="B519" s="233"/>
      <c r="C519" s="234"/>
      <c r="D519" s="234"/>
      <c r="E519" s="234"/>
      <c r="F519" s="235"/>
      <c r="G519" s="347"/>
      <c r="H519" s="348">
        <f>+SUM(G507:G519)</f>
        <v>393256.00000000006</v>
      </c>
      <c r="I519" s="133"/>
      <c r="J519" s="233"/>
      <c r="K519" s="234"/>
      <c r="L519" s="234"/>
      <c r="M519" s="234"/>
      <c r="N519" s="235"/>
      <c r="O519" s="347"/>
      <c r="P519" s="348">
        <f>+SUM(O507:O519)</f>
        <v>432152.00000000006</v>
      </c>
      <c r="Q519" s="133"/>
      <c r="R519" s="233"/>
      <c r="S519" s="234"/>
      <c r="T519" s="234"/>
      <c r="U519" s="234"/>
      <c r="V519" s="235"/>
      <c r="W519" s="347"/>
      <c r="X519" s="348">
        <f>+SUM(W507:W519)</f>
        <v>463100.00000000006</v>
      </c>
    </row>
    <row r="520" spans="1:24" ht="15.75" thickBot="1" x14ac:dyDescent="0.3">
      <c r="A520" s="133"/>
      <c r="B520" s="238"/>
      <c r="C520" s="238"/>
      <c r="D520" s="238"/>
      <c r="E520" s="238"/>
      <c r="F520" s="239"/>
      <c r="G520" s="349"/>
      <c r="H520" s="350"/>
      <c r="I520" s="133"/>
      <c r="J520" s="238"/>
      <c r="K520" s="238"/>
      <c r="L520" s="238"/>
      <c r="M520" s="238"/>
      <c r="N520" s="239"/>
      <c r="O520" s="349"/>
      <c r="P520" s="350"/>
      <c r="Q520" s="133"/>
      <c r="R520" s="238"/>
      <c r="S520" s="238"/>
      <c r="T520" s="238"/>
      <c r="U520" s="238"/>
      <c r="V520" s="239"/>
      <c r="W520" s="349"/>
      <c r="X520" s="350"/>
    </row>
    <row r="521" spans="1:24" ht="15.75" thickBot="1" x14ac:dyDescent="0.3">
      <c r="A521" s="133"/>
      <c r="B521" s="224" t="s">
        <v>5410</v>
      </c>
      <c r="C521" s="193" t="s">
        <v>867</v>
      </c>
      <c r="D521" s="193" t="s">
        <v>6</v>
      </c>
      <c r="E521" s="193" t="s">
        <v>870</v>
      </c>
      <c r="F521" s="193" t="s">
        <v>5411</v>
      </c>
      <c r="G521" s="343" t="s">
        <v>868</v>
      </c>
      <c r="H521" s="341"/>
      <c r="I521" s="133"/>
      <c r="J521" s="224" t="s">
        <v>5410</v>
      </c>
      <c r="K521" s="193" t="s">
        <v>867</v>
      </c>
      <c r="L521" s="193" t="s">
        <v>6</v>
      </c>
      <c r="M521" s="193" t="s">
        <v>870</v>
      </c>
      <c r="N521" s="193" t="s">
        <v>5411</v>
      </c>
      <c r="O521" s="343" t="s">
        <v>868</v>
      </c>
      <c r="P521" s="341"/>
      <c r="Q521" s="133"/>
      <c r="R521" s="224" t="s">
        <v>5410</v>
      </c>
      <c r="S521" s="193" t="s">
        <v>867</v>
      </c>
      <c r="T521" s="193" t="s">
        <v>6</v>
      </c>
      <c r="U521" s="193" t="s">
        <v>870</v>
      </c>
      <c r="V521" s="193" t="s">
        <v>5411</v>
      </c>
      <c r="W521" s="343" t="s">
        <v>868</v>
      </c>
      <c r="X521" s="341"/>
    </row>
    <row r="522" spans="1:24" x14ac:dyDescent="0.25">
      <c r="A522" s="133"/>
      <c r="B522" s="245"/>
      <c r="C522" s="202"/>
      <c r="D522" s="202"/>
      <c r="E522" s="228"/>
      <c r="F522" s="202"/>
      <c r="G522" s="354"/>
      <c r="H522" s="355"/>
      <c r="I522" s="133"/>
      <c r="J522" s="245"/>
      <c r="K522" s="202"/>
      <c r="L522" s="202"/>
      <c r="M522" s="228"/>
      <c r="N522" s="202"/>
      <c r="O522" s="354"/>
      <c r="P522" s="355"/>
      <c r="Q522" s="133"/>
      <c r="R522" s="245"/>
      <c r="S522" s="202"/>
      <c r="T522" s="202"/>
      <c r="U522" s="228"/>
      <c r="V522" s="202"/>
      <c r="W522" s="354"/>
      <c r="X522" s="355"/>
    </row>
    <row r="523" spans="1:24" x14ac:dyDescent="0.25">
      <c r="A523" s="133"/>
      <c r="B523" s="247"/>
      <c r="C523" s="248"/>
      <c r="D523" s="248"/>
      <c r="E523" s="228"/>
      <c r="F523" s="202"/>
      <c r="G523" s="351"/>
      <c r="H523" s="341"/>
      <c r="I523" s="133"/>
      <c r="J523" s="247"/>
      <c r="K523" s="248"/>
      <c r="L523" s="248"/>
      <c r="M523" s="228"/>
      <c r="N523" s="202"/>
      <c r="O523" s="351"/>
      <c r="P523" s="341"/>
      <c r="Q523" s="133"/>
      <c r="R523" s="247"/>
      <c r="S523" s="248"/>
      <c r="T523" s="248"/>
      <c r="U523" s="228"/>
      <c r="V523" s="202"/>
      <c r="W523" s="351"/>
      <c r="X523" s="341"/>
    </row>
    <row r="524" spans="1:24" x14ac:dyDescent="0.25">
      <c r="A524" s="133"/>
      <c r="B524" s="247"/>
      <c r="C524" s="232"/>
      <c r="D524" s="232"/>
      <c r="E524" s="232"/>
      <c r="F524" s="226"/>
      <c r="G524" s="344"/>
      <c r="H524" s="341"/>
      <c r="I524" s="133"/>
      <c r="J524" s="247"/>
      <c r="K524" s="232"/>
      <c r="L524" s="232"/>
      <c r="M524" s="232"/>
      <c r="N524" s="226"/>
      <c r="O524" s="344"/>
      <c r="P524" s="341"/>
      <c r="Q524" s="133"/>
      <c r="R524" s="247"/>
      <c r="S524" s="232"/>
      <c r="T524" s="232"/>
      <c r="U524" s="232"/>
      <c r="V524" s="226"/>
      <c r="W524" s="344"/>
      <c r="X524" s="341"/>
    </row>
    <row r="525" spans="1:24" x14ac:dyDescent="0.25">
      <c r="A525" s="133"/>
      <c r="B525" s="194"/>
      <c r="C525" s="232"/>
      <c r="D525" s="232"/>
      <c r="E525" s="232"/>
      <c r="F525" s="226"/>
      <c r="G525" s="344"/>
      <c r="H525" s="341"/>
      <c r="I525" s="133"/>
      <c r="J525" s="194"/>
      <c r="K525" s="232"/>
      <c r="L525" s="232"/>
      <c r="M525" s="232"/>
      <c r="N525" s="226"/>
      <c r="O525" s="344"/>
      <c r="P525" s="341"/>
      <c r="Q525" s="133"/>
      <c r="R525" s="194"/>
      <c r="S525" s="232"/>
      <c r="T525" s="232"/>
      <c r="U525" s="232"/>
      <c r="V525" s="226"/>
      <c r="W525" s="344"/>
      <c r="X525" s="341"/>
    </row>
    <row r="526" spans="1:24" ht="15.75" thickBot="1" x14ac:dyDescent="0.3">
      <c r="A526" s="133"/>
      <c r="B526" s="195"/>
      <c r="C526" s="232"/>
      <c r="D526" s="232"/>
      <c r="E526" s="232"/>
      <c r="F526" s="226"/>
      <c r="G526" s="344"/>
      <c r="H526" s="341"/>
      <c r="I526" s="133"/>
      <c r="J526" s="195"/>
      <c r="K526" s="232"/>
      <c r="L526" s="232"/>
      <c r="M526" s="232"/>
      <c r="N526" s="226"/>
      <c r="O526" s="344"/>
      <c r="P526" s="341"/>
      <c r="Q526" s="133"/>
      <c r="R526" s="195"/>
      <c r="S526" s="232"/>
      <c r="T526" s="232"/>
      <c r="U526" s="232"/>
      <c r="V526" s="226"/>
      <c r="W526" s="344"/>
      <c r="X526" s="341"/>
    </row>
    <row r="527" spans="1:24" ht="15.75" thickBot="1" x14ac:dyDescent="0.3">
      <c r="A527" s="133"/>
      <c r="B527" s="233"/>
      <c r="C527" s="234"/>
      <c r="D527" s="234"/>
      <c r="E527" s="234"/>
      <c r="F527" s="235"/>
      <c r="G527" s="347"/>
      <c r="H527" s="348">
        <f>+SUM(G522:G527)</f>
        <v>0</v>
      </c>
      <c r="I527" s="133"/>
      <c r="J527" s="233"/>
      <c r="K527" s="234"/>
      <c r="L527" s="234"/>
      <c r="M527" s="234"/>
      <c r="N527" s="235"/>
      <c r="O527" s="347"/>
      <c r="P527" s="348">
        <f>+SUM(O522:O527)</f>
        <v>0</v>
      </c>
      <c r="Q527" s="133"/>
      <c r="R527" s="233"/>
      <c r="S527" s="234"/>
      <c r="T527" s="234"/>
      <c r="U527" s="234"/>
      <c r="V527" s="235"/>
      <c r="W527" s="347"/>
      <c r="X527" s="348">
        <f>+SUM(W522:W527)</f>
        <v>0</v>
      </c>
    </row>
    <row r="528" spans="1:24" ht="15.75" thickBot="1" x14ac:dyDescent="0.3">
      <c r="A528" s="133"/>
      <c r="B528" s="238"/>
      <c r="C528" s="238"/>
      <c r="D528" s="238"/>
      <c r="E528" s="238"/>
      <c r="F528" s="249"/>
      <c r="G528" s="356"/>
      <c r="H528" s="350"/>
      <c r="I528" s="133"/>
      <c r="J528" s="238"/>
      <c r="K528" s="238"/>
      <c r="L528" s="238"/>
      <c r="M528" s="238"/>
      <c r="N528" s="249"/>
      <c r="O528" s="356"/>
      <c r="P528" s="350"/>
      <c r="Q528" s="133"/>
      <c r="R528" s="238"/>
      <c r="S528" s="238"/>
      <c r="T528" s="238"/>
      <c r="U528" s="238"/>
      <c r="V528" s="249"/>
      <c r="W528" s="356"/>
      <c r="X528" s="350"/>
    </row>
    <row r="529" spans="1:24" ht="15.75" thickBot="1" x14ac:dyDescent="0.3">
      <c r="A529" s="133"/>
      <c r="B529" s="224" t="s">
        <v>5412</v>
      </c>
      <c r="C529" s="193" t="s">
        <v>5420</v>
      </c>
      <c r="D529" s="193" t="s">
        <v>5421</v>
      </c>
      <c r="E529" s="193" t="s">
        <v>5413</v>
      </c>
      <c r="F529" s="193" t="s">
        <v>5405</v>
      </c>
      <c r="G529" s="343" t="s">
        <v>868</v>
      </c>
      <c r="H529" s="341"/>
      <c r="I529" s="133"/>
      <c r="J529" s="224" t="s">
        <v>5412</v>
      </c>
      <c r="K529" s="193" t="s">
        <v>5420</v>
      </c>
      <c r="L529" s="193" t="s">
        <v>5421</v>
      </c>
      <c r="M529" s="193" t="s">
        <v>5413</v>
      </c>
      <c r="N529" s="193" t="s">
        <v>5405</v>
      </c>
      <c r="O529" s="343" t="s">
        <v>868</v>
      </c>
      <c r="P529" s="341"/>
      <c r="Q529" s="133"/>
      <c r="R529" s="224" t="s">
        <v>5412</v>
      </c>
      <c r="S529" s="193" t="s">
        <v>5420</v>
      </c>
      <c r="T529" s="193" t="s">
        <v>5421</v>
      </c>
      <c r="U529" s="193" t="s">
        <v>5413</v>
      </c>
      <c r="V529" s="193" t="s">
        <v>5405</v>
      </c>
      <c r="W529" s="343" t="s">
        <v>868</v>
      </c>
      <c r="X529" s="341"/>
    </row>
    <row r="530" spans="1:24" x14ac:dyDescent="0.25">
      <c r="A530" s="133"/>
      <c r="B530" s="194" t="s">
        <v>5948</v>
      </c>
      <c r="C530" s="345">
        <v>70000</v>
      </c>
      <c r="D530" s="345">
        <f>+C530*0.85</f>
        <v>59500</v>
      </c>
      <c r="E530" s="353">
        <f>+C530+D530</f>
        <v>129500</v>
      </c>
      <c r="F530" s="209">
        <v>5</v>
      </c>
      <c r="G530" s="351">
        <f>+E530/F530</f>
        <v>25900</v>
      </c>
      <c r="H530" s="341"/>
      <c r="I530" s="133"/>
      <c r="J530" s="194" t="s">
        <v>5948</v>
      </c>
      <c r="K530" s="345">
        <v>70000</v>
      </c>
      <c r="L530" s="345">
        <f>+K530*0.85</f>
        <v>59500</v>
      </c>
      <c r="M530" s="353">
        <f>+K530+L530</f>
        <v>129500</v>
      </c>
      <c r="N530" s="209">
        <v>5</v>
      </c>
      <c r="O530" s="351">
        <f>+M530/N530</f>
        <v>25900</v>
      </c>
      <c r="P530" s="341"/>
      <c r="Q530" s="133"/>
      <c r="R530" s="194" t="s">
        <v>5948</v>
      </c>
      <c r="S530" s="345">
        <v>70000</v>
      </c>
      <c r="T530" s="345">
        <f>+S530*0.85</f>
        <v>59500</v>
      </c>
      <c r="U530" s="353">
        <f>+S530+T530</f>
        <v>129500</v>
      </c>
      <c r="V530" s="209">
        <v>5</v>
      </c>
      <c r="W530" s="351">
        <f>+U530/V530</f>
        <v>25900</v>
      </c>
      <c r="X530" s="341"/>
    </row>
    <row r="531" spans="1:24" x14ac:dyDescent="0.25">
      <c r="A531" s="133"/>
      <c r="B531" s="194" t="s">
        <v>5949</v>
      </c>
      <c r="C531" s="345">
        <v>40000</v>
      </c>
      <c r="D531" s="345">
        <f>+C531*0.85</f>
        <v>34000</v>
      </c>
      <c r="E531" s="353">
        <f>+C531+D531</f>
        <v>74000</v>
      </c>
      <c r="F531" s="202">
        <v>1</v>
      </c>
      <c r="G531" s="351">
        <f>+E531/F531</f>
        <v>74000</v>
      </c>
      <c r="H531" s="341"/>
      <c r="I531" s="133"/>
      <c r="J531" s="194" t="s">
        <v>5949</v>
      </c>
      <c r="K531" s="345">
        <v>40000</v>
      </c>
      <c r="L531" s="345">
        <f>+K531*0.85</f>
        <v>34000</v>
      </c>
      <c r="M531" s="353">
        <f>+K531+L531</f>
        <v>74000</v>
      </c>
      <c r="N531" s="202">
        <v>0.7</v>
      </c>
      <c r="O531" s="351">
        <f>+M531/N531</f>
        <v>105714.28571428572</v>
      </c>
      <c r="P531" s="341"/>
      <c r="Q531" s="133"/>
      <c r="R531" s="194" t="s">
        <v>5949</v>
      </c>
      <c r="S531" s="345">
        <v>40000</v>
      </c>
      <c r="T531" s="345">
        <f>+S531*0.85</f>
        <v>34000</v>
      </c>
      <c r="U531" s="353">
        <f>+S531+T531</f>
        <v>74000</v>
      </c>
      <c r="V531" s="202">
        <v>0.4</v>
      </c>
      <c r="W531" s="351">
        <f>+U531/V531</f>
        <v>185000</v>
      </c>
      <c r="X531" s="341"/>
    </row>
    <row r="532" spans="1:24" x14ac:dyDescent="0.25">
      <c r="A532" s="133"/>
      <c r="B532" s="195" t="s">
        <v>5635</v>
      </c>
      <c r="C532" s="345">
        <v>20600</v>
      </c>
      <c r="D532" s="345">
        <f>+C532*0.85</f>
        <v>17510</v>
      </c>
      <c r="E532" s="353">
        <f>+C532+D532</f>
        <v>38110</v>
      </c>
      <c r="F532" s="226">
        <v>1</v>
      </c>
      <c r="G532" s="351">
        <f>+E532/F532</f>
        <v>38110</v>
      </c>
      <c r="H532" s="341"/>
      <c r="I532" s="133"/>
      <c r="J532" s="195" t="s">
        <v>5635</v>
      </c>
      <c r="K532" s="345">
        <v>20600</v>
      </c>
      <c r="L532" s="345">
        <f>+K532*0.85</f>
        <v>17510</v>
      </c>
      <c r="M532" s="353">
        <f>+K532+L532</f>
        <v>38110</v>
      </c>
      <c r="N532" s="226">
        <v>0.5</v>
      </c>
      <c r="O532" s="351">
        <f>+M532/N532</f>
        <v>76220</v>
      </c>
      <c r="P532" s="341"/>
      <c r="Q532" s="133"/>
      <c r="R532" s="195" t="s">
        <v>5635</v>
      </c>
      <c r="S532" s="345">
        <v>20600</v>
      </c>
      <c r="T532" s="345">
        <f>+S532*0.85</f>
        <v>17510</v>
      </c>
      <c r="U532" s="353">
        <f>+S532+T532</f>
        <v>38110</v>
      </c>
      <c r="V532" s="226">
        <v>0.4</v>
      </c>
      <c r="W532" s="351">
        <f>+U532/V532</f>
        <v>95275</v>
      </c>
      <c r="X532" s="341"/>
    </row>
    <row r="533" spans="1:24" x14ac:dyDescent="0.25">
      <c r="A533" s="133"/>
      <c r="B533" s="195"/>
      <c r="C533" s="346"/>
      <c r="D533" s="345"/>
      <c r="E533" s="345"/>
      <c r="F533" s="226"/>
      <c r="G533" s="351"/>
      <c r="H533" s="341"/>
      <c r="I533" s="133"/>
      <c r="J533" s="195"/>
      <c r="K533" s="346"/>
      <c r="L533" s="345"/>
      <c r="M533" s="345"/>
      <c r="N533" s="226"/>
      <c r="O533" s="351"/>
      <c r="P533" s="341"/>
      <c r="Q533" s="133"/>
      <c r="R533" s="195"/>
      <c r="S533" s="346"/>
      <c r="T533" s="345"/>
      <c r="U533" s="345"/>
      <c r="V533" s="226"/>
      <c r="W533" s="351"/>
      <c r="X533" s="341"/>
    </row>
    <row r="534" spans="1:24" x14ac:dyDescent="0.25">
      <c r="A534" s="133"/>
      <c r="B534" s="195"/>
      <c r="C534" s="232"/>
      <c r="D534" s="232"/>
      <c r="E534" s="232"/>
      <c r="F534" s="226"/>
      <c r="G534" s="344"/>
      <c r="H534" s="341"/>
      <c r="I534" s="133"/>
      <c r="J534" s="195"/>
      <c r="K534" s="232"/>
      <c r="L534" s="232"/>
      <c r="M534" s="232"/>
      <c r="N534" s="226"/>
      <c r="O534" s="344"/>
      <c r="P534" s="341"/>
      <c r="Q534" s="133"/>
      <c r="R534" s="195"/>
      <c r="S534" s="232"/>
      <c r="T534" s="232"/>
      <c r="U534" s="232"/>
      <c r="V534" s="226"/>
      <c r="W534" s="344"/>
      <c r="X534" s="341"/>
    </row>
    <row r="535" spans="1:24" ht="15.75" thickBot="1" x14ac:dyDescent="0.3">
      <c r="A535" s="133"/>
      <c r="B535" s="195"/>
      <c r="C535" s="232"/>
      <c r="D535" s="232"/>
      <c r="E535" s="232"/>
      <c r="F535" s="226"/>
      <c r="G535" s="344"/>
      <c r="H535" s="341"/>
      <c r="I535" s="133"/>
      <c r="J535" s="195"/>
      <c r="K535" s="232"/>
      <c r="L535" s="232"/>
      <c r="M535" s="232"/>
      <c r="N535" s="226"/>
      <c r="O535" s="344"/>
      <c r="P535" s="341"/>
      <c r="Q535" s="133"/>
      <c r="R535" s="195"/>
      <c r="S535" s="232"/>
      <c r="T535" s="232"/>
      <c r="U535" s="232"/>
      <c r="V535" s="226"/>
      <c r="W535" s="344"/>
      <c r="X535" s="341"/>
    </row>
    <row r="536" spans="1:24" ht="15.75" thickBot="1" x14ac:dyDescent="0.3">
      <c r="A536" s="133"/>
      <c r="B536" s="251"/>
      <c r="C536" s="252"/>
      <c r="D536" s="252"/>
      <c r="E536" s="252"/>
      <c r="F536" s="253"/>
      <c r="G536" s="357"/>
      <c r="H536" s="348">
        <f>+SUM(G530:G536)</f>
        <v>138010</v>
      </c>
      <c r="I536" s="133"/>
      <c r="J536" s="251"/>
      <c r="K536" s="252"/>
      <c r="L536" s="252"/>
      <c r="M536" s="252"/>
      <c r="N536" s="253"/>
      <c r="O536" s="357"/>
      <c r="P536" s="348">
        <f>+SUM(O530:O536)</f>
        <v>207834.28571428574</v>
      </c>
      <c r="Q536" s="133"/>
      <c r="R536" s="251"/>
      <c r="S536" s="252"/>
      <c r="T536" s="252"/>
      <c r="U536" s="252"/>
      <c r="V536" s="253"/>
      <c r="W536" s="357"/>
      <c r="X536" s="348">
        <f>+SUM(W530:W536)</f>
        <v>306175</v>
      </c>
    </row>
    <row r="537" spans="1:24" ht="15.75" thickBot="1" x14ac:dyDescent="0.3">
      <c r="A537" s="133"/>
      <c r="B537" s="8"/>
      <c r="C537" s="8"/>
      <c r="D537" s="8"/>
      <c r="E537" s="8"/>
      <c r="F537" s="133"/>
      <c r="G537" s="341"/>
      <c r="H537" s="341"/>
      <c r="I537" s="133"/>
      <c r="J537" s="8"/>
      <c r="K537" s="8"/>
      <c r="L537" s="8"/>
      <c r="M537" s="8"/>
      <c r="N537" s="133"/>
      <c r="O537" s="341"/>
      <c r="P537" s="341"/>
      <c r="Q537" s="133"/>
      <c r="R537" s="8"/>
      <c r="S537" s="8"/>
      <c r="T537" s="8"/>
      <c r="U537" s="8"/>
      <c r="V537" s="133"/>
      <c r="W537" s="341"/>
      <c r="X537" s="341"/>
    </row>
    <row r="538" spans="1:24" ht="15.75" thickBot="1" x14ac:dyDescent="0.3">
      <c r="A538" s="133"/>
      <c r="B538" s="8"/>
      <c r="C538" s="8"/>
      <c r="D538" s="8"/>
      <c r="E538" s="223"/>
      <c r="F538" s="133"/>
      <c r="G538" s="341"/>
      <c r="H538" s="348">
        <f>+H536+H527+H519+H504</f>
        <v>554067</v>
      </c>
      <c r="I538" s="133"/>
      <c r="J538" s="8"/>
      <c r="K538" s="8"/>
      <c r="L538" s="8"/>
      <c r="M538" s="223"/>
      <c r="N538" s="133"/>
      <c r="O538" s="341"/>
      <c r="P538" s="348">
        <f>+P536+P527+P519+P504</f>
        <v>669769.71428571432</v>
      </c>
      <c r="Q538" s="133"/>
      <c r="R538" s="8"/>
      <c r="S538" s="8"/>
      <c r="T538" s="8"/>
      <c r="U538" s="223"/>
      <c r="V538" s="133"/>
      <c r="W538" s="341"/>
      <c r="X538" s="348">
        <f>+X536+X527+X519+X504</f>
        <v>808892.5</v>
      </c>
    </row>
    <row r="543" spans="1:24" ht="18.75" x14ac:dyDescent="0.25">
      <c r="A543" s="133"/>
      <c r="B543" s="2506" t="s">
        <v>5400</v>
      </c>
      <c r="C543" s="2506"/>
      <c r="D543" s="2506"/>
      <c r="E543" s="2506"/>
      <c r="F543" s="2506"/>
      <c r="G543" s="2506"/>
      <c r="H543" s="8"/>
      <c r="I543" s="133"/>
      <c r="J543" s="2506" t="s">
        <v>5400</v>
      </c>
      <c r="K543" s="2506"/>
      <c r="L543" s="2506"/>
      <c r="M543" s="2506"/>
      <c r="N543" s="2506"/>
      <c r="O543" s="2506"/>
      <c r="P543" s="8"/>
      <c r="Q543" s="133"/>
      <c r="R543" s="2506" t="s">
        <v>5400</v>
      </c>
      <c r="S543" s="2506"/>
      <c r="T543" s="2506"/>
      <c r="U543" s="2506"/>
      <c r="V543" s="2506"/>
      <c r="W543" s="2506"/>
      <c r="X543" s="8"/>
    </row>
    <row r="544" spans="1:24" x14ac:dyDescent="0.25">
      <c r="A544" s="133"/>
      <c r="B544" s="8"/>
      <c r="C544" s="8"/>
      <c r="D544" s="8"/>
      <c r="E544" s="8"/>
      <c r="F544" s="133"/>
      <c r="G544" s="341"/>
      <c r="H544" s="341"/>
      <c r="I544" s="133"/>
      <c r="J544" s="8"/>
      <c r="K544" s="8"/>
      <c r="L544" s="8"/>
      <c r="M544" s="8"/>
      <c r="N544" s="133"/>
      <c r="O544" s="341"/>
      <c r="P544" s="341"/>
      <c r="Q544" s="133"/>
      <c r="R544" s="8"/>
      <c r="S544" s="8"/>
      <c r="T544" s="8"/>
      <c r="U544" s="8"/>
      <c r="V544" s="133"/>
      <c r="W544" s="341"/>
      <c r="X544" s="341"/>
    </row>
    <row r="545" spans="1:24" x14ac:dyDescent="0.25">
      <c r="A545" s="133"/>
      <c r="B545" s="8"/>
      <c r="C545" s="8"/>
      <c r="D545" s="8"/>
      <c r="E545" s="8"/>
      <c r="F545" s="133"/>
      <c r="G545" s="341"/>
      <c r="H545" s="341"/>
      <c r="I545" s="133"/>
      <c r="J545" s="8"/>
      <c r="K545" s="8"/>
      <c r="L545" s="8"/>
      <c r="M545" s="8"/>
      <c r="N545" s="133"/>
      <c r="O545" s="341"/>
      <c r="P545" s="341"/>
      <c r="Q545" s="133"/>
      <c r="R545" s="8"/>
      <c r="S545" s="8"/>
      <c r="T545" s="8"/>
      <c r="U545" s="8"/>
      <c r="V545" s="133"/>
      <c r="W545" s="341"/>
      <c r="X545" s="341"/>
    </row>
    <row r="546" spans="1:24" x14ac:dyDescent="0.25">
      <c r="A546" s="133"/>
      <c r="B546" s="8"/>
      <c r="C546" s="8"/>
      <c r="D546" s="8"/>
      <c r="E546" s="8"/>
      <c r="F546" s="133"/>
      <c r="G546" s="341"/>
      <c r="H546" s="341"/>
      <c r="I546" s="133"/>
      <c r="J546" s="8"/>
      <c r="K546" s="8"/>
      <c r="L546" s="8"/>
      <c r="M546" s="8"/>
      <c r="N546" s="133"/>
      <c r="O546" s="341"/>
      <c r="P546" s="341"/>
      <c r="Q546" s="133"/>
      <c r="R546" s="8"/>
      <c r="S546" s="8"/>
      <c r="T546" s="8"/>
      <c r="U546" s="8"/>
      <c r="V546" s="133"/>
      <c r="W546" s="341"/>
      <c r="X546" s="341"/>
    </row>
    <row r="547" spans="1:24" x14ac:dyDescent="0.25">
      <c r="A547" s="220" t="s">
        <v>5482</v>
      </c>
      <c r="B547" s="221" t="s">
        <v>634</v>
      </c>
      <c r="C547" s="2449" t="s">
        <v>6219</v>
      </c>
      <c r="D547" s="2449"/>
      <c r="E547" s="2449"/>
      <c r="F547" s="220" t="s">
        <v>867</v>
      </c>
      <c r="G547" s="342" t="s">
        <v>5454</v>
      </c>
      <c r="H547" s="341"/>
      <c r="I547" s="220" t="s">
        <v>5482</v>
      </c>
      <c r="J547" s="221" t="s">
        <v>634</v>
      </c>
      <c r="K547" s="2449" t="s">
        <v>6220</v>
      </c>
      <c r="L547" s="2449"/>
      <c r="M547" s="2449"/>
      <c r="N547" s="220" t="s">
        <v>867</v>
      </c>
      <c r="O547" s="342" t="s">
        <v>5454</v>
      </c>
      <c r="P547" s="341"/>
      <c r="Q547" s="220" t="s">
        <v>5482</v>
      </c>
      <c r="R547" s="221" t="s">
        <v>634</v>
      </c>
      <c r="S547" s="2449" t="s">
        <v>6221</v>
      </c>
      <c r="T547" s="2449"/>
      <c r="U547" s="2449"/>
      <c r="V547" s="220" t="s">
        <v>867</v>
      </c>
      <c r="W547" s="342" t="s">
        <v>5454</v>
      </c>
      <c r="X547" s="341"/>
    </row>
    <row r="548" spans="1:24" x14ac:dyDescent="0.25">
      <c r="A548" s="133"/>
      <c r="B548" s="8"/>
      <c r="C548" s="223"/>
      <c r="D548" s="223"/>
      <c r="E548" s="223"/>
      <c r="F548" s="133"/>
      <c r="G548" s="341"/>
      <c r="H548" s="341"/>
      <c r="I548" s="133"/>
      <c r="J548" s="8"/>
      <c r="K548" s="223"/>
      <c r="L548" s="223"/>
      <c r="M548" s="223"/>
      <c r="N548" s="133"/>
      <c r="O548" s="341"/>
      <c r="P548" s="341"/>
      <c r="Q548" s="133"/>
      <c r="R548" s="8"/>
      <c r="S548" s="223"/>
      <c r="T548" s="223"/>
      <c r="U548" s="223"/>
      <c r="V548" s="133"/>
      <c r="W548" s="341"/>
      <c r="X548" s="341"/>
    </row>
    <row r="549" spans="1:24" x14ac:dyDescent="0.25">
      <c r="A549" s="133"/>
      <c r="B549" s="8"/>
      <c r="C549" s="8"/>
      <c r="D549" s="8"/>
      <c r="E549" s="8"/>
      <c r="F549" s="8"/>
      <c r="G549" s="8"/>
      <c r="H549" s="341"/>
      <c r="I549" s="133"/>
      <c r="J549" s="8"/>
      <c r="K549" s="8"/>
      <c r="L549" s="8"/>
      <c r="M549" s="8"/>
      <c r="N549" s="8"/>
      <c r="O549" s="8"/>
      <c r="P549" s="341"/>
      <c r="Q549" s="133"/>
      <c r="R549" s="8"/>
      <c r="S549" s="8"/>
      <c r="T549" s="8"/>
      <c r="U549" s="8"/>
      <c r="V549" s="8"/>
      <c r="W549" s="8"/>
      <c r="X549" s="341"/>
    </row>
    <row r="550" spans="1:24" ht="15.75" thickBot="1" x14ac:dyDescent="0.3">
      <c r="A550" s="133"/>
      <c r="B550" s="8"/>
      <c r="C550" s="8"/>
      <c r="D550" s="8"/>
      <c r="E550" s="8"/>
      <c r="F550" s="133"/>
      <c r="G550" s="341"/>
      <c r="H550" s="341"/>
      <c r="I550" s="133"/>
      <c r="J550" s="8"/>
      <c r="K550" s="8"/>
      <c r="L550" s="8"/>
      <c r="M550" s="8"/>
      <c r="N550" s="133"/>
      <c r="O550" s="341"/>
      <c r="P550" s="341"/>
      <c r="Q550" s="133"/>
      <c r="R550" s="8"/>
      <c r="S550" s="8"/>
      <c r="T550" s="8"/>
      <c r="U550" s="8"/>
      <c r="V550" s="133"/>
      <c r="W550" s="341"/>
      <c r="X550" s="341"/>
    </row>
    <row r="551" spans="1:24" ht="15.75" thickBot="1" x14ac:dyDescent="0.3">
      <c r="A551" s="133"/>
      <c r="B551" s="224" t="s">
        <v>5403</v>
      </c>
      <c r="C551" s="193" t="s">
        <v>867</v>
      </c>
      <c r="D551" s="193" t="s">
        <v>6</v>
      </c>
      <c r="E551" s="193" t="s">
        <v>5439</v>
      </c>
      <c r="F551" s="193" t="s">
        <v>5405</v>
      </c>
      <c r="G551" s="343" t="s">
        <v>868</v>
      </c>
      <c r="H551" s="341"/>
      <c r="I551" s="133"/>
      <c r="J551" s="224" t="s">
        <v>5403</v>
      </c>
      <c r="K551" s="193" t="s">
        <v>867</v>
      </c>
      <c r="L551" s="193" t="s">
        <v>6</v>
      </c>
      <c r="M551" s="193" t="s">
        <v>5439</v>
      </c>
      <c r="N551" s="193" t="s">
        <v>5405</v>
      </c>
      <c r="O551" s="343" t="s">
        <v>868</v>
      </c>
      <c r="P551" s="341"/>
      <c r="Q551" s="133"/>
      <c r="R551" s="224" t="s">
        <v>5403</v>
      </c>
      <c r="S551" s="193" t="s">
        <v>867</v>
      </c>
      <c r="T551" s="193" t="s">
        <v>6</v>
      </c>
      <c r="U551" s="193" t="s">
        <v>5439</v>
      </c>
      <c r="V551" s="193" t="s">
        <v>5405</v>
      </c>
      <c r="W551" s="343" t="s">
        <v>868</v>
      </c>
      <c r="X551" s="341"/>
    </row>
    <row r="552" spans="1:24" x14ac:dyDescent="0.25">
      <c r="A552" s="133"/>
      <c r="B552" s="195" t="s">
        <v>5440</v>
      </c>
      <c r="C552" s="226" t="s">
        <v>5542</v>
      </c>
      <c r="D552" s="226">
        <v>1</v>
      </c>
      <c r="E552" s="228">
        <f>+H590</f>
        <v>166037.5</v>
      </c>
      <c r="F552" s="226">
        <v>0.1</v>
      </c>
      <c r="G552" s="344">
        <f>+E552*F552</f>
        <v>16603.75</v>
      </c>
      <c r="H552" s="341"/>
      <c r="I552" s="133"/>
      <c r="J552" s="195" t="s">
        <v>5440</v>
      </c>
      <c r="K552" s="226" t="s">
        <v>5542</v>
      </c>
      <c r="L552" s="226">
        <v>1</v>
      </c>
      <c r="M552" s="228">
        <f>+P590</f>
        <v>250120</v>
      </c>
      <c r="N552" s="226">
        <v>0.1</v>
      </c>
      <c r="O552" s="344">
        <f>+M552*N552</f>
        <v>25012</v>
      </c>
      <c r="P552" s="341"/>
      <c r="Q552" s="133"/>
      <c r="R552" s="195" t="s">
        <v>5440</v>
      </c>
      <c r="S552" s="226" t="s">
        <v>5542</v>
      </c>
      <c r="T552" s="226">
        <v>1</v>
      </c>
      <c r="U552" s="228">
        <f>+X590</f>
        <v>306175</v>
      </c>
      <c r="V552" s="226">
        <v>0.1</v>
      </c>
      <c r="W552" s="344">
        <f>+U552*V552</f>
        <v>30617.5</v>
      </c>
      <c r="X552" s="341"/>
    </row>
    <row r="553" spans="1:24" x14ac:dyDescent="0.25">
      <c r="A553" s="133"/>
      <c r="B553" s="195" t="s">
        <v>5548</v>
      </c>
      <c r="C553" s="226" t="s">
        <v>5542</v>
      </c>
      <c r="D553" s="226">
        <v>1</v>
      </c>
      <c r="E553" s="228">
        <v>10000</v>
      </c>
      <c r="F553" s="226">
        <v>2</v>
      </c>
      <c r="G553" s="344">
        <f>+D553*E553/F553</f>
        <v>5000</v>
      </c>
      <c r="H553" s="341"/>
      <c r="I553" s="133"/>
      <c r="J553" s="195" t="s">
        <v>5548</v>
      </c>
      <c r="K553" s="226" t="s">
        <v>5542</v>
      </c>
      <c r="L553" s="226">
        <v>1</v>
      </c>
      <c r="M553" s="228">
        <v>10000</v>
      </c>
      <c r="N553" s="226">
        <v>2</v>
      </c>
      <c r="O553" s="344">
        <f>+L553*M553/N553</f>
        <v>5000</v>
      </c>
      <c r="P553" s="341"/>
      <c r="Q553" s="133"/>
      <c r="R553" s="195" t="s">
        <v>5548</v>
      </c>
      <c r="S553" s="226" t="s">
        <v>5542</v>
      </c>
      <c r="T553" s="226">
        <v>1</v>
      </c>
      <c r="U553" s="228">
        <v>10000</v>
      </c>
      <c r="V553" s="226">
        <v>2</v>
      </c>
      <c r="W553" s="344">
        <f>+T553*U553/V553</f>
        <v>5000</v>
      </c>
      <c r="X553" s="341"/>
    </row>
    <row r="554" spans="1:24" x14ac:dyDescent="0.25">
      <c r="A554" s="133"/>
      <c r="B554" s="195" t="s">
        <v>5554</v>
      </c>
      <c r="C554" s="226" t="s">
        <v>5542</v>
      </c>
      <c r="D554" s="226">
        <v>1</v>
      </c>
      <c r="E554" s="345">
        <v>4000</v>
      </c>
      <c r="F554" s="226">
        <v>1</v>
      </c>
      <c r="G554" s="344">
        <f>+D554*E554/F554</f>
        <v>4000</v>
      </c>
      <c r="H554" s="341"/>
      <c r="I554" s="133"/>
      <c r="J554" s="195" t="s">
        <v>5554</v>
      </c>
      <c r="K554" s="226" t="s">
        <v>5542</v>
      </c>
      <c r="L554" s="226">
        <v>1</v>
      </c>
      <c r="M554" s="345">
        <v>4000</v>
      </c>
      <c r="N554" s="226">
        <v>1</v>
      </c>
      <c r="O554" s="344">
        <f>+L554*M554/N554</f>
        <v>4000</v>
      </c>
      <c r="P554" s="341"/>
      <c r="Q554" s="133"/>
      <c r="R554" s="195" t="s">
        <v>5554</v>
      </c>
      <c r="S554" s="226" t="s">
        <v>5542</v>
      </c>
      <c r="T554" s="226">
        <v>1</v>
      </c>
      <c r="U554" s="345">
        <v>4000</v>
      </c>
      <c r="V554" s="226">
        <v>1</v>
      </c>
      <c r="W554" s="344">
        <f>+T554*U554/V554</f>
        <v>4000</v>
      </c>
      <c r="X554" s="341"/>
    </row>
    <row r="555" spans="1:24" x14ac:dyDescent="0.25">
      <c r="A555" s="133"/>
      <c r="B555" s="195"/>
      <c r="C555" s="226"/>
      <c r="D555" s="226"/>
      <c r="E555" s="346"/>
      <c r="F555" s="226"/>
      <c r="G555" s="344"/>
      <c r="H555" s="341"/>
      <c r="I555" s="133"/>
      <c r="J555" s="195"/>
      <c r="K555" s="226"/>
      <c r="L555" s="226"/>
      <c r="M555" s="346"/>
      <c r="N555" s="226"/>
      <c r="O555" s="344"/>
      <c r="P555" s="341"/>
      <c r="Q555" s="133"/>
      <c r="R555" s="195"/>
      <c r="S555" s="226"/>
      <c r="T555" s="226"/>
      <c r="U555" s="346"/>
      <c r="V555" s="226"/>
      <c r="W555" s="344"/>
      <c r="X555" s="341"/>
    </row>
    <row r="556" spans="1:24" x14ac:dyDescent="0.25">
      <c r="A556" s="133"/>
      <c r="B556" s="195"/>
      <c r="C556" s="226"/>
      <c r="D556" s="232"/>
      <c r="E556" s="232"/>
      <c r="F556" s="226"/>
      <c r="G556" s="344"/>
      <c r="H556" s="341"/>
      <c r="I556" s="133"/>
      <c r="J556" s="195"/>
      <c r="K556" s="226"/>
      <c r="L556" s="232"/>
      <c r="M556" s="232"/>
      <c r="N556" s="226"/>
      <c r="O556" s="344"/>
      <c r="P556" s="341"/>
      <c r="Q556" s="133"/>
      <c r="R556" s="195"/>
      <c r="S556" s="226"/>
      <c r="T556" s="232"/>
      <c r="U556" s="232"/>
      <c r="V556" s="226"/>
      <c r="W556" s="344"/>
      <c r="X556" s="341"/>
    </row>
    <row r="557" spans="1:24" ht="15.75" thickBot="1" x14ac:dyDescent="0.3">
      <c r="A557" s="133"/>
      <c r="B557" s="195"/>
      <c r="C557" s="226"/>
      <c r="D557" s="232"/>
      <c r="E557" s="232"/>
      <c r="F557" s="226"/>
      <c r="G557" s="344"/>
      <c r="H557" s="341"/>
      <c r="I557" s="133"/>
      <c r="J557" s="195"/>
      <c r="K557" s="226"/>
      <c r="L557" s="232"/>
      <c r="M557" s="232"/>
      <c r="N557" s="226"/>
      <c r="O557" s="344"/>
      <c r="P557" s="341"/>
      <c r="Q557" s="133"/>
      <c r="R557" s="195"/>
      <c r="S557" s="226"/>
      <c r="T557" s="232"/>
      <c r="U557" s="232"/>
      <c r="V557" s="226"/>
      <c r="W557" s="344"/>
      <c r="X557" s="341"/>
    </row>
    <row r="558" spans="1:24" ht="15.75" thickBot="1" x14ac:dyDescent="0.3">
      <c r="A558" s="133"/>
      <c r="B558" s="233"/>
      <c r="C558" s="234"/>
      <c r="D558" s="234"/>
      <c r="E558" s="234"/>
      <c r="F558" s="235"/>
      <c r="G558" s="347"/>
      <c r="H558" s="348">
        <f>+SUM(G552:G558)</f>
        <v>25603.75</v>
      </c>
      <c r="I558" s="133"/>
      <c r="J558" s="233"/>
      <c r="K558" s="234"/>
      <c r="L558" s="234"/>
      <c r="M558" s="234"/>
      <c r="N558" s="235"/>
      <c r="O558" s="347"/>
      <c r="P558" s="348">
        <f>+SUM(O552:O558)</f>
        <v>34012</v>
      </c>
      <c r="Q558" s="133"/>
      <c r="R558" s="233"/>
      <c r="S558" s="234"/>
      <c r="T558" s="234"/>
      <c r="U558" s="234"/>
      <c r="V558" s="235"/>
      <c r="W558" s="347"/>
      <c r="X558" s="348">
        <f>+SUM(W552:W558)</f>
        <v>39617.5</v>
      </c>
    </row>
    <row r="559" spans="1:24" ht="15.75" thickBot="1" x14ac:dyDescent="0.3">
      <c r="A559" s="133"/>
      <c r="B559" s="238"/>
      <c r="C559" s="238"/>
      <c r="D559" s="238"/>
      <c r="E559" s="238"/>
      <c r="F559" s="239"/>
      <c r="G559" s="349"/>
      <c r="H559" s="350"/>
      <c r="I559" s="133"/>
      <c r="J559" s="238"/>
      <c r="K559" s="238"/>
      <c r="L559" s="238"/>
      <c r="M559" s="238"/>
      <c r="N559" s="239"/>
      <c r="O559" s="349"/>
      <c r="P559" s="350"/>
      <c r="Q559" s="133"/>
      <c r="R559" s="238"/>
      <c r="S559" s="238"/>
      <c r="T559" s="238"/>
      <c r="U559" s="238"/>
      <c r="V559" s="239"/>
      <c r="W559" s="349"/>
      <c r="X559" s="350"/>
    </row>
    <row r="560" spans="1:24" ht="15.75" thickBot="1" x14ac:dyDescent="0.3">
      <c r="A560" s="133"/>
      <c r="B560" s="224" t="s">
        <v>5408</v>
      </c>
      <c r="C560" s="193" t="s">
        <v>867</v>
      </c>
      <c r="D560" s="193" t="s">
        <v>6</v>
      </c>
      <c r="E560" s="193" t="s">
        <v>870</v>
      </c>
      <c r="F560" s="193" t="s">
        <v>5409</v>
      </c>
      <c r="G560" s="343" t="s">
        <v>868</v>
      </c>
      <c r="H560" s="341"/>
      <c r="I560" s="133"/>
      <c r="J560" s="224" t="s">
        <v>5408</v>
      </c>
      <c r="K560" s="193" t="s">
        <v>867</v>
      </c>
      <c r="L560" s="193" t="s">
        <v>6</v>
      </c>
      <c r="M560" s="193" t="s">
        <v>870</v>
      </c>
      <c r="N560" s="193" t="s">
        <v>5409</v>
      </c>
      <c r="O560" s="343" t="s">
        <v>868</v>
      </c>
      <c r="P560" s="341"/>
      <c r="Q560" s="133"/>
      <c r="R560" s="224" t="s">
        <v>5408</v>
      </c>
      <c r="S560" s="193" t="s">
        <v>867</v>
      </c>
      <c r="T560" s="193" t="s">
        <v>6</v>
      </c>
      <c r="U560" s="193" t="s">
        <v>870</v>
      </c>
      <c r="V560" s="193" t="s">
        <v>5409</v>
      </c>
      <c r="W560" s="343" t="s">
        <v>868</v>
      </c>
      <c r="X560" s="341"/>
    </row>
    <row r="561" spans="1:24" x14ac:dyDescent="0.25">
      <c r="A561" s="133"/>
      <c r="B561" s="242" t="s">
        <v>5549</v>
      </c>
      <c r="C561" s="202" t="s">
        <v>5550</v>
      </c>
      <c r="D561" s="226">
        <v>470</v>
      </c>
      <c r="E561" s="228">
        <v>520</v>
      </c>
      <c r="F561" s="169">
        <v>0.1</v>
      </c>
      <c r="G561" s="351">
        <f>+D561*E561*(1+F561)</f>
        <v>268840</v>
      </c>
      <c r="H561" s="341"/>
      <c r="I561" s="133"/>
      <c r="J561" s="242" t="s">
        <v>5549</v>
      </c>
      <c r="K561" s="202" t="s">
        <v>5550</v>
      </c>
      <c r="L561" s="226">
        <v>470</v>
      </c>
      <c r="M561" s="228">
        <v>520</v>
      </c>
      <c r="N561" s="169">
        <v>0.1</v>
      </c>
      <c r="O561" s="351">
        <f>+L561*M561*(1+N561)</f>
        <v>268840</v>
      </c>
      <c r="P561" s="341"/>
      <c r="Q561" s="133"/>
      <c r="R561" s="242" t="s">
        <v>5549</v>
      </c>
      <c r="S561" s="202" t="s">
        <v>5550</v>
      </c>
      <c r="T561" s="226">
        <v>470</v>
      </c>
      <c r="U561" s="228">
        <v>520</v>
      </c>
      <c r="V561" s="169">
        <v>0.1</v>
      </c>
      <c r="W561" s="351">
        <f>+T561*U561*(1+V561)</f>
        <v>268840</v>
      </c>
      <c r="X561" s="341"/>
    </row>
    <row r="562" spans="1:24" x14ac:dyDescent="0.25">
      <c r="A562" s="133"/>
      <c r="B562" s="243" t="s">
        <v>5551</v>
      </c>
      <c r="C562" s="202" t="s">
        <v>5542</v>
      </c>
      <c r="D562" s="202">
        <v>0.67</v>
      </c>
      <c r="E562" s="228">
        <v>86000</v>
      </c>
      <c r="F562" s="169">
        <v>0.1</v>
      </c>
      <c r="G562" s="351">
        <f>+D562*E562*(1+F562)</f>
        <v>63382.000000000007</v>
      </c>
      <c r="H562" s="341"/>
      <c r="I562" s="133"/>
      <c r="J562" s="243" t="s">
        <v>5551</v>
      </c>
      <c r="K562" s="202" t="s">
        <v>5542</v>
      </c>
      <c r="L562" s="202">
        <v>0.67</v>
      </c>
      <c r="M562" s="228">
        <v>86000</v>
      </c>
      <c r="N562" s="169">
        <v>0.1</v>
      </c>
      <c r="O562" s="351">
        <f>+L562*M562*(1+N562)</f>
        <v>63382.000000000007</v>
      </c>
      <c r="P562" s="341"/>
      <c r="Q562" s="133"/>
      <c r="R562" s="243" t="s">
        <v>5551</v>
      </c>
      <c r="S562" s="202" t="s">
        <v>5542</v>
      </c>
      <c r="T562" s="202">
        <v>0.67</v>
      </c>
      <c r="U562" s="228">
        <v>86000</v>
      </c>
      <c r="V562" s="169">
        <v>0.1</v>
      </c>
      <c r="W562" s="351">
        <f>+T562*U562*(1+V562)</f>
        <v>63382.000000000007</v>
      </c>
      <c r="X562" s="341"/>
    </row>
    <row r="563" spans="1:24" x14ac:dyDescent="0.25">
      <c r="A563" s="133"/>
      <c r="B563" s="243" t="s">
        <v>5552</v>
      </c>
      <c r="C563" s="226" t="s">
        <v>5542</v>
      </c>
      <c r="D563" s="226">
        <v>0.67</v>
      </c>
      <c r="E563" s="228">
        <v>80000</v>
      </c>
      <c r="F563" s="169">
        <v>0.1</v>
      </c>
      <c r="G563" s="351">
        <f>+D563*E563*(1+F563)</f>
        <v>58960.000000000007</v>
      </c>
      <c r="H563" s="341"/>
      <c r="I563" s="133"/>
      <c r="J563" s="243" t="s">
        <v>5552</v>
      </c>
      <c r="K563" s="226" t="s">
        <v>5542</v>
      </c>
      <c r="L563" s="226">
        <v>0.67</v>
      </c>
      <c r="M563" s="228">
        <v>80000</v>
      </c>
      <c r="N563" s="169">
        <v>0.1</v>
      </c>
      <c r="O563" s="351">
        <f>+L563*M563*(1+N563)</f>
        <v>58960.000000000007</v>
      </c>
      <c r="P563" s="341"/>
      <c r="Q563" s="133"/>
      <c r="R563" s="243" t="s">
        <v>5552</v>
      </c>
      <c r="S563" s="226" t="s">
        <v>5542</v>
      </c>
      <c r="T563" s="226">
        <v>0.67</v>
      </c>
      <c r="U563" s="228">
        <v>80000</v>
      </c>
      <c r="V563" s="169">
        <v>0.1</v>
      </c>
      <c r="W563" s="351">
        <f>+T563*U563*(1+V563)</f>
        <v>58960.000000000007</v>
      </c>
      <c r="X563" s="341"/>
    </row>
    <row r="564" spans="1:24" x14ac:dyDescent="0.25">
      <c r="A564" s="133"/>
      <c r="B564" s="194" t="s">
        <v>5553</v>
      </c>
      <c r="C564" s="226" t="s">
        <v>5488</v>
      </c>
      <c r="D564" s="226">
        <v>180</v>
      </c>
      <c r="E564" s="352">
        <v>10</v>
      </c>
      <c r="F564" s="169">
        <v>0.1</v>
      </c>
      <c r="G564" s="351">
        <f>+D564*E564*(1+F564)</f>
        <v>1980.0000000000002</v>
      </c>
      <c r="H564" s="341"/>
      <c r="I564" s="133"/>
      <c r="J564" s="194" t="s">
        <v>5553</v>
      </c>
      <c r="K564" s="226" t="s">
        <v>5488</v>
      </c>
      <c r="L564" s="226">
        <v>180</v>
      </c>
      <c r="M564" s="352">
        <v>10</v>
      </c>
      <c r="N564" s="169">
        <v>0.1</v>
      </c>
      <c r="O564" s="351">
        <f>+L564*M564*(1+N564)</f>
        <v>1980.0000000000002</v>
      </c>
      <c r="P564" s="341"/>
      <c r="Q564" s="133"/>
      <c r="R564" s="194" t="s">
        <v>5553</v>
      </c>
      <c r="S564" s="226" t="s">
        <v>5488</v>
      </c>
      <c r="T564" s="226">
        <v>180</v>
      </c>
      <c r="U564" s="352">
        <v>10</v>
      </c>
      <c r="V564" s="169">
        <v>0.1</v>
      </c>
      <c r="W564" s="351">
        <f>+T564*U564*(1+V564)</f>
        <v>1980.0000000000002</v>
      </c>
      <c r="X564" s="341"/>
    </row>
    <row r="565" spans="1:24" x14ac:dyDescent="0.25">
      <c r="A565" s="133"/>
      <c r="B565" s="195" t="s">
        <v>5561</v>
      </c>
      <c r="C565" s="226" t="s">
        <v>5556</v>
      </c>
      <c r="D565" s="226">
        <v>0.1</v>
      </c>
      <c r="E565" s="345">
        <v>176800</v>
      </c>
      <c r="F565" s="169">
        <v>0.1</v>
      </c>
      <c r="G565" s="351">
        <f>+D565*E565*(1+F565)</f>
        <v>19448</v>
      </c>
      <c r="H565" s="341"/>
      <c r="I565" s="133"/>
      <c r="J565" s="195" t="s">
        <v>5561</v>
      </c>
      <c r="K565" s="226" t="s">
        <v>5556</v>
      </c>
      <c r="L565" s="226">
        <v>0.3</v>
      </c>
      <c r="M565" s="345">
        <v>176800</v>
      </c>
      <c r="N565" s="169">
        <v>0.1</v>
      </c>
      <c r="O565" s="351">
        <f>+L565*M565*(1+N565)</f>
        <v>58344.000000000007</v>
      </c>
      <c r="P565" s="341"/>
      <c r="Q565" s="133"/>
      <c r="R565" s="195" t="s">
        <v>5561</v>
      </c>
      <c r="S565" s="226" t="s">
        <v>5556</v>
      </c>
      <c r="T565" s="226">
        <v>0.4</v>
      </c>
      <c r="U565" s="345">
        <v>176800</v>
      </c>
      <c r="V565" s="169">
        <v>0.1</v>
      </c>
      <c r="W565" s="351">
        <f>+T565*U565*(1+V565)</f>
        <v>77792</v>
      </c>
      <c r="X565" s="341"/>
    </row>
    <row r="566" spans="1:24" x14ac:dyDescent="0.25">
      <c r="A566" s="133"/>
      <c r="B566" s="194" t="s">
        <v>5560</v>
      </c>
      <c r="C566" s="202" t="s">
        <v>5460</v>
      </c>
      <c r="D566" s="202"/>
      <c r="E566" s="345"/>
      <c r="F566" s="169"/>
      <c r="G566" s="351">
        <v>5000</v>
      </c>
      <c r="H566" s="341"/>
      <c r="I566" s="133"/>
      <c r="J566" s="194" t="s">
        <v>5560</v>
      </c>
      <c r="K566" s="202" t="s">
        <v>5460</v>
      </c>
      <c r="L566" s="202"/>
      <c r="M566" s="345"/>
      <c r="N566" s="169"/>
      <c r="O566" s="351">
        <v>5000</v>
      </c>
      <c r="P566" s="341"/>
      <c r="Q566" s="133"/>
      <c r="R566" s="194" t="s">
        <v>5560</v>
      </c>
      <c r="S566" s="202" t="s">
        <v>5460</v>
      </c>
      <c r="T566" s="202"/>
      <c r="U566" s="345"/>
      <c r="V566" s="169"/>
      <c r="W566" s="351">
        <v>5500</v>
      </c>
      <c r="X566" s="341"/>
    </row>
    <row r="567" spans="1:24" x14ac:dyDescent="0.25">
      <c r="A567" s="133"/>
      <c r="B567" s="195"/>
      <c r="C567" s="226"/>
      <c r="D567" s="226"/>
      <c r="E567" s="345"/>
      <c r="F567" s="169"/>
      <c r="G567" s="351"/>
      <c r="H567" s="341"/>
      <c r="I567" s="133"/>
      <c r="J567" s="195"/>
      <c r="K567" s="226"/>
      <c r="L567" s="226"/>
      <c r="M567" s="345"/>
      <c r="N567" s="169"/>
      <c r="O567" s="351"/>
      <c r="P567" s="341"/>
      <c r="Q567" s="133"/>
      <c r="R567" s="195" t="s">
        <v>5928</v>
      </c>
      <c r="S567" s="226" t="s">
        <v>5556</v>
      </c>
      <c r="T567" s="226">
        <v>4</v>
      </c>
      <c r="U567" s="345">
        <v>25000</v>
      </c>
      <c r="V567" s="169">
        <v>0.1</v>
      </c>
      <c r="W567" s="351">
        <f>+T567*U567*(1+V567)</f>
        <v>110000.00000000001</v>
      </c>
      <c r="X567" s="341"/>
    </row>
    <row r="568" spans="1:24" x14ac:dyDescent="0.25">
      <c r="A568" s="133"/>
      <c r="B568" s="195"/>
      <c r="C568" s="226"/>
      <c r="D568" s="226"/>
      <c r="E568" s="345"/>
      <c r="F568" s="169"/>
      <c r="G568" s="351"/>
      <c r="H568" s="341"/>
      <c r="I568" s="133"/>
      <c r="J568" s="195"/>
      <c r="K568" s="226"/>
      <c r="L568" s="226"/>
      <c r="M568" s="345"/>
      <c r="N568" s="169"/>
      <c r="O568" s="351"/>
      <c r="P568" s="341"/>
      <c r="Q568" s="133"/>
      <c r="R568" s="195"/>
      <c r="S568" s="226"/>
      <c r="T568" s="226"/>
      <c r="U568" s="345"/>
      <c r="V568" s="169"/>
      <c r="W568" s="351"/>
      <c r="X568" s="341"/>
    </row>
    <row r="569" spans="1:24" x14ac:dyDescent="0.25">
      <c r="A569" s="133"/>
      <c r="B569" s="195"/>
      <c r="C569" s="232"/>
      <c r="D569" s="232"/>
      <c r="E569" s="232"/>
      <c r="F569" s="226"/>
      <c r="G569" s="344"/>
      <c r="H569" s="341"/>
      <c r="I569" s="133"/>
      <c r="J569" s="195"/>
      <c r="K569" s="232"/>
      <c r="L569" s="232"/>
      <c r="M569" s="232"/>
      <c r="N569" s="226"/>
      <c r="O569" s="344"/>
      <c r="P569" s="341"/>
      <c r="Q569" s="133"/>
      <c r="R569" s="195"/>
      <c r="S569" s="232"/>
      <c r="T569" s="232"/>
      <c r="U569" s="232"/>
      <c r="V569" s="226"/>
      <c r="W569" s="344"/>
      <c r="X569" s="341"/>
    </row>
    <row r="570" spans="1:24" x14ac:dyDescent="0.25">
      <c r="A570" s="133"/>
      <c r="B570" s="195"/>
      <c r="C570" s="232"/>
      <c r="D570" s="232"/>
      <c r="E570" s="232"/>
      <c r="F570" s="226"/>
      <c r="G570" s="344"/>
      <c r="H570" s="341"/>
      <c r="I570" s="133"/>
      <c r="J570" s="195"/>
      <c r="K570" s="232"/>
      <c r="L570" s="232"/>
      <c r="M570" s="232"/>
      <c r="N570" s="226"/>
      <c r="O570" s="344"/>
      <c r="P570" s="341"/>
      <c r="Q570" s="133"/>
      <c r="R570" s="195"/>
      <c r="S570" s="232"/>
      <c r="T570" s="232"/>
      <c r="U570" s="232"/>
      <c r="V570" s="226"/>
      <c r="W570" s="344"/>
      <c r="X570" s="341"/>
    </row>
    <row r="571" spans="1:24" x14ac:dyDescent="0.25">
      <c r="A571" s="133"/>
      <c r="B571" s="195"/>
      <c r="C571" s="232"/>
      <c r="D571" s="232"/>
      <c r="E571" s="232"/>
      <c r="F571" s="226"/>
      <c r="G571" s="344"/>
      <c r="H571" s="341"/>
      <c r="I571" s="133"/>
      <c r="J571" s="195"/>
      <c r="K571" s="232"/>
      <c r="L571" s="232"/>
      <c r="M571" s="232"/>
      <c r="N571" s="226"/>
      <c r="O571" s="344"/>
      <c r="P571" s="341"/>
      <c r="Q571" s="133"/>
      <c r="R571" s="195"/>
      <c r="S571" s="232"/>
      <c r="T571" s="232"/>
      <c r="U571" s="232"/>
      <c r="V571" s="226"/>
      <c r="W571" s="344"/>
      <c r="X571" s="341"/>
    </row>
    <row r="572" spans="1:24" ht="15.75" thickBot="1" x14ac:dyDescent="0.3">
      <c r="A572" s="133"/>
      <c r="B572" s="195"/>
      <c r="C572" s="232"/>
      <c r="D572" s="232"/>
      <c r="E572" s="232"/>
      <c r="F572" s="226"/>
      <c r="G572" s="344"/>
      <c r="H572" s="341"/>
      <c r="I572" s="133"/>
      <c r="J572" s="195"/>
      <c r="K572" s="232"/>
      <c r="L572" s="232"/>
      <c r="M572" s="232"/>
      <c r="N572" s="226"/>
      <c r="O572" s="344"/>
      <c r="P572" s="341"/>
      <c r="Q572" s="133"/>
      <c r="R572" s="195"/>
      <c r="S572" s="232"/>
      <c r="T572" s="232"/>
      <c r="U572" s="232"/>
      <c r="V572" s="226"/>
      <c r="W572" s="344"/>
      <c r="X572" s="341"/>
    </row>
    <row r="573" spans="1:24" ht="15.75" thickBot="1" x14ac:dyDescent="0.3">
      <c r="A573" s="133"/>
      <c r="B573" s="233"/>
      <c r="C573" s="234"/>
      <c r="D573" s="234"/>
      <c r="E573" s="234"/>
      <c r="F573" s="235"/>
      <c r="G573" s="347"/>
      <c r="H573" s="348">
        <f>+SUM(G561:G573)</f>
        <v>417610</v>
      </c>
      <c r="I573" s="133"/>
      <c r="J573" s="233"/>
      <c r="K573" s="234"/>
      <c r="L573" s="234"/>
      <c r="M573" s="234"/>
      <c r="N573" s="235"/>
      <c r="O573" s="347"/>
      <c r="P573" s="348">
        <f>+SUM(O561:O573)</f>
        <v>456506</v>
      </c>
      <c r="Q573" s="133"/>
      <c r="R573" s="233"/>
      <c r="S573" s="234"/>
      <c r="T573" s="234"/>
      <c r="U573" s="234"/>
      <c r="V573" s="235"/>
      <c r="W573" s="347"/>
      <c r="X573" s="348">
        <f>+SUM(W561:W573)</f>
        <v>586454</v>
      </c>
    </row>
    <row r="574" spans="1:24" ht="15.75" thickBot="1" x14ac:dyDescent="0.3">
      <c r="A574" s="133"/>
      <c r="B574" s="238"/>
      <c r="C574" s="238"/>
      <c r="D574" s="238"/>
      <c r="E574" s="238"/>
      <c r="F574" s="239"/>
      <c r="G574" s="349"/>
      <c r="H574" s="350"/>
      <c r="I574" s="133"/>
      <c r="J574" s="238"/>
      <c r="K574" s="238"/>
      <c r="L574" s="238"/>
      <c r="M574" s="238"/>
      <c r="N574" s="239"/>
      <c r="O574" s="349"/>
      <c r="P574" s="350"/>
      <c r="Q574" s="133"/>
      <c r="R574" s="238"/>
      <c r="S574" s="238"/>
      <c r="T574" s="238"/>
      <c r="U574" s="238"/>
      <c r="V574" s="239"/>
      <c r="W574" s="349"/>
      <c r="X574" s="350"/>
    </row>
    <row r="575" spans="1:24" ht="15.75" thickBot="1" x14ac:dyDescent="0.3">
      <c r="A575" s="133"/>
      <c r="B575" s="224" t="s">
        <v>5410</v>
      </c>
      <c r="C575" s="193" t="s">
        <v>867</v>
      </c>
      <c r="D575" s="193" t="s">
        <v>6</v>
      </c>
      <c r="E575" s="193" t="s">
        <v>870</v>
      </c>
      <c r="F575" s="193" t="s">
        <v>5411</v>
      </c>
      <c r="G575" s="343" t="s">
        <v>868</v>
      </c>
      <c r="H575" s="341"/>
      <c r="I575" s="133"/>
      <c r="J575" s="224" t="s">
        <v>5410</v>
      </c>
      <c r="K575" s="193" t="s">
        <v>867</v>
      </c>
      <c r="L575" s="193" t="s">
        <v>6</v>
      </c>
      <c r="M575" s="193" t="s">
        <v>870</v>
      </c>
      <c r="N575" s="193" t="s">
        <v>5411</v>
      </c>
      <c r="O575" s="343" t="s">
        <v>868</v>
      </c>
      <c r="P575" s="341"/>
      <c r="Q575" s="133"/>
      <c r="R575" s="224" t="s">
        <v>5410</v>
      </c>
      <c r="S575" s="193" t="s">
        <v>867</v>
      </c>
      <c r="T575" s="193" t="s">
        <v>6</v>
      </c>
      <c r="U575" s="193" t="s">
        <v>870</v>
      </c>
      <c r="V575" s="193" t="s">
        <v>5411</v>
      </c>
      <c r="W575" s="343" t="s">
        <v>868</v>
      </c>
      <c r="X575" s="341"/>
    </row>
    <row r="576" spans="1:24" x14ac:dyDescent="0.25">
      <c r="A576" s="133"/>
      <c r="B576" s="245"/>
      <c r="C576" s="202"/>
      <c r="D576" s="202"/>
      <c r="E576" s="228"/>
      <c r="F576" s="202"/>
      <c r="G576" s="354"/>
      <c r="H576" s="355"/>
      <c r="I576" s="133"/>
      <c r="J576" s="245"/>
      <c r="K576" s="202"/>
      <c r="L576" s="202"/>
      <c r="M576" s="228"/>
      <c r="N576" s="202"/>
      <c r="O576" s="354"/>
      <c r="P576" s="355"/>
      <c r="Q576" s="133"/>
      <c r="R576" s="245"/>
      <c r="S576" s="202"/>
      <c r="T576" s="202"/>
      <c r="U576" s="228"/>
      <c r="V576" s="202"/>
      <c r="W576" s="354"/>
      <c r="X576" s="355"/>
    </row>
    <row r="577" spans="1:24" x14ac:dyDescent="0.25">
      <c r="A577" s="133"/>
      <c r="B577" s="247"/>
      <c r="C577" s="248"/>
      <c r="D577" s="248"/>
      <c r="E577" s="228"/>
      <c r="F577" s="202"/>
      <c r="G577" s="351"/>
      <c r="H577" s="341"/>
      <c r="I577" s="133"/>
      <c r="J577" s="247"/>
      <c r="K577" s="248"/>
      <c r="L577" s="248"/>
      <c r="M577" s="228"/>
      <c r="N577" s="202"/>
      <c r="O577" s="351"/>
      <c r="P577" s="341"/>
      <c r="Q577" s="133"/>
      <c r="R577" s="247"/>
      <c r="S577" s="248"/>
      <c r="T577" s="248"/>
      <c r="U577" s="228"/>
      <c r="V577" s="202"/>
      <c r="W577" s="351"/>
      <c r="X577" s="341"/>
    </row>
    <row r="578" spans="1:24" x14ac:dyDescent="0.25">
      <c r="A578" s="133"/>
      <c r="B578" s="247"/>
      <c r="C578" s="232"/>
      <c r="D578" s="232"/>
      <c r="E578" s="232"/>
      <c r="F578" s="226"/>
      <c r="G578" s="344"/>
      <c r="H578" s="341"/>
      <c r="I578" s="133"/>
      <c r="J578" s="247"/>
      <c r="K578" s="232"/>
      <c r="L578" s="232"/>
      <c r="M578" s="232"/>
      <c r="N578" s="226"/>
      <c r="O578" s="344"/>
      <c r="P578" s="341"/>
      <c r="Q578" s="133"/>
      <c r="R578" s="247"/>
      <c r="S578" s="232"/>
      <c r="T578" s="232"/>
      <c r="U578" s="232"/>
      <c r="V578" s="226"/>
      <c r="W578" s="344"/>
      <c r="X578" s="341"/>
    </row>
    <row r="579" spans="1:24" x14ac:dyDescent="0.25">
      <c r="A579" s="133"/>
      <c r="B579" s="194"/>
      <c r="C579" s="232"/>
      <c r="D579" s="232"/>
      <c r="E579" s="232"/>
      <c r="F579" s="226"/>
      <c r="G579" s="344"/>
      <c r="H579" s="341"/>
      <c r="I579" s="133"/>
      <c r="J579" s="194"/>
      <c r="K579" s="232"/>
      <c r="L579" s="232"/>
      <c r="M579" s="232"/>
      <c r="N579" s="226"/>
      <c r="O579" s="344"/>
      <c r="P579" s="341"/>
      <c r="Q579" s="133"/>
      <c r="R579" s="194"/>
      <c r="S579" s="232"/>
      <c r="T579" s="232"/>
      <c r="U579" s="232"/>
      <c r="V579" s="226"/>
      <c r="W579" s="344"/>
      <c r="X579" s="341"/>
    </row>
    <row r="580" spans="1:24" ht="15.75" thickBot="1" x14ac:dyDescent="0.3">
      <c r="A580" s="133"/>
      <c r="B580" s="195"/>
      <c r="C580" s="232"/>
      <c r="D580" s="232"/>
      <c r="E580" s="232"/>
      <c r="F580" s="226"/>
      <c r="G580" s="344"/>
      <c r="H580" s="341"/>
      <c r="I580" s="133"/>
      <c r="J580" s="195"/>
      <c r="K580" s="232"/>
      <c r="L580" s="232"/>
      <c r="M580" s="232"/>
      <c r="N580" s="226"/>
      <c r="O580" s="344"/>
      <c r="P580" s="341"/>
      <c r="Q580" s="133"/>
      <c r="R580" s="195"/>
      <c r="S580" s="232"/>
      <c r="T580" s="232"/>
      <c r="U580" s="232"/>
      <c r="V580" s="226"/>
      <c r="W580" s="344"/>
      <c r="X580" s="341"/>
    </row>
    <row r="581" spans="1:24" ht="15.75" thickBot="1" x14ac:dyDescent="0.3">
      <c r="A581" s="133"/>
      <c r="B581" s="233"/>
      <c r="C581" s="234"/>
      <c r="D581" s="234"/>
      <c r="E581" s="234"/>
      <c r="F581" s="235"/>
      <c r="G581" s="347"/>
      <c r="H581" s="348">
        <f>+SUM(G576:G581)</f>
        <v>0</v>
      </c>
      <c r="I581" s="133"/>
      <c r="J581" s="233"/>
      <c r="K581" s="234"/>
      <c r="L581" s="234"/>
      <c r="M581" s="234"/>
      <c r="N581" s="235"/>
      <c r="O581" s="347"/>
      <c r="P581" s="348">
        <f>+SUM(O576:O581)</f>
        <v>0</v>
      </c>
      <c r="Q581" s="133"/>
      <c r="R581" s="233"/>
      <c r="S581" s="234"/>
      <c r="T581" s="234"/>
      <c r="U581" s="234"/>
      <c r="V581" s="235"/>
      <c r="W581" s="347"/>
      <c r="X581" s="348">
        <f>+SUM(W576:W581)</f>
        <v>0</v>
      </c>
    </row>
    <row r="582" spans="1:24" ht="15.75" thickBot="1" x14ac:dyDescent="0.3">
      <c r="A582" s="133"/>
      <c r="B582" s="238"/>
      <c r="C582" s="238"/>
      <c r="D582" s="238"/>
      <c r="E582" s="238"/>
      <c r="F582" s="249"/>
      <c r="G582" s="356"/>
      <c r="H582" s="350"/>
      <c r="I582" s="133"/>
      <c r="J582" s="238"/>
      <c r="K582" s="238"/>
      <c r="L582" s="238"/>
      <c r="M582" s="238"/>
      <c r="N582" s="249"/>
      <c r="O582" s="356"/>
      <c r="P582" s="350"/>
      <c r="Q582" s="133"/>
      <c r="R582" s="238"/>
      <c r="S582" s="238"/>
      <c r="T582" s="238"/>
      <c r="U582" s="238"/>
      <c r="V582" s="249"/>
      <c r="W582" s="356"/>
      <c r="X582" s="350"/>
    </row>
    <row r="583" spans="1:24" ht="15.75" thickBot="1" x14ac:dyDescent="0.3">
      <c r="A583" s="133"/>
      <c r="B583" s="224" t="s">
        <v>5412</v>
      </c>
      <c r="C583" s="193" t="s">
        <v>5420</v>
      </c>
      <c r="D583" s="193" t="s">
        <v>5421</v>
      </c>
      <c r="E583" s="193" t="s">
        <v>5413</v>
      </c>
      <c r="F583" s="193" t="s">
        <v>5405</v>
      </c>
      <c r="G583" s="343" t="s">
        <v>868</v>
      </c>
      <c r="H583" s="341"/>
      <c r="I583" s="133"/>
      <c r="J583" s="224" t="s">
        <v>5412</v>
      </c>
      <c r="K583" s="193" t="s">
        <v>5420</v>
      </c>
      <c r="L583" s="193" t="s">
        <v>5421</v>
      </c>
      <c r="M583" s="193" t="s">
        <v>5413</v>
      </c>
      <c r="N583" s="193" t="s">
        <v>5405</v>
      </c>
      <c r="O583" s="343" t="s">
        <v>868</v>
      </c>
      <c r="P583" s="341"/>
      <c r="Q583" s="133"/>
      <c r="R583" s="224" t="s">
        <v>5412</v>
      </c>
      <c r="S583" s="193" t="s">
        <v>5420</v>
      </c>
      <c r="T583" s="193" t="s">
        <v>5421</v>
      </c>
      <c r="U583" s="193" t="s">
        <v>5413</v>
      </c>
      <c r="V583" s="193" t="s">
        <v>5405</v>
      </c>
      <c r="W583" s="343" t="s">
        <v>868</v>
      </c>
      <c r="X583" s="341"/>
    </row>
    <row r="584" spans="1:24" x14ac:dyDescent="0.25">
      <c r="A584" s="133"/>
      <c r="B584" s="194" t="s">
        <v>5948</v>
      </c>
      <c r="C584" s="345">
        <v>70000</v>
      </c>
      <c r="D584" s="345">
        <f>+C584*0.85</f>
        <v>59500</v>
      </c>
      <c r="E584" s="353">
        <f>+C584+D584</f>
        <v>129500</v>
      </c>
      <c r="F584" s="209">
        <v>5</v>
      </c>
      <c r="G584" s="351">
        <f>+E584/F584</f>
        <v>25900</v>
      </c>
      <c r="H584" s="341"/>
      <c r="I584" s="133"/>
      <c r="J584" s="194" t="s">
        <v>5948</v>
      </c>
      <c r="K584" s="345">
        <v>70000</v>
      </c>
      <c r="L584" s="345">
        <f>+K584*0.85</f>
        <v>59500</v>
      </c>
      <c r="M584" s="353">
        <f>+K584+L584</f>
        <v>129500</v>
      </c>
      <c r="N584" s="209">
        <v>5</v>
      </c>
      <c r="O584" s="351">
        <f>+M584/N584</f>
        <v>25900</v>
      </c>
      <c r="P584" s="341"/>
      <c r="Q584" s="133"/>
      <c r="R584" s="194" t="s">
        <v>5948</v>
      </c>
      <c r="S584" s="345">
        <v>70000</v>
      </c>
      <c r="T584" s="345">
        <f>+S584*0.85</f>
        <v>59500</v>
      </c>
      <c r="U584" s="353">
        <f>+S584+T584</f>
        <v>129500</v>
      </c>
      <c r="V584" s="209">
        <v>5</v>
      </c>
      <c r="W584" s="351">
        <f>+U584/V584</f>
        <v>25900</v>
      </c>
      <c r="X584" s="341"/>
    </row>
    <row r="585" spans="1:24" x14ac:dyDescent="0.25">
      <c r="A585" s="133"/>
      <c r="B585" s="194" t="s">
        <v>5949</v>
      </c>
      <c r="C585" s="345">
        <v>40000</v>
      </c>
      <c r="D585" s="345">
        <f>+C585*0.85</f>
        <v>34000</v>
      </c>
      <c r="E585" s="353">
        <f>+C585+D585</f>
        <v>74000</v>
      </c>
      <c r="F585" s="202">
        <v>0.8</v>
      </c>
      <c r="G585" s="351">
        <f>+E585/F585</f>
        <v>92500</v>
      </c>
      <c r="H585" s="341"/>
      <c r="I585" s="133"/>
      <c r="J585" s="194" t="s">
        <v>5949</v>
      </c>
      <c r="K585" s="345">
        <v>40000</v>
      </c>
      <c r="L585" s="345">
        <f>+K585*0.85</f>
        <v>34000</v>
      </c>
      <c r="M585" s="353">
        <f>+K585+L585</f>
        <v>74000</v>
      </c>
      <c r="N585" s="202">
        <v>0.5</v>
      </c>
      <c r="O585" s="351">
        <f>+M585/N585</f>
        <v>148000</v>
      </c>
      <c r="P585" s="341"/>
      <c r="Q585" s="133"/>
      <c r="R585" s="194" t="s">
        <v>5949</v>
      </c>
      <c r="S585" s="345">
        <v>40000</v>
      </c>
      <c r="T585" s="345">
        <f>+S585*0.85</f>
        <v>34000</v>
      </c>
      <c r="U585" s="353">
        <f>+S585+T585</f>
        <v>74000</v>
      </c>
      <c r="V585" s="202">
        <v>0.4</v>
      </c>
      <c r="W585" s="351">
        <f>+U585/V585</f>
        <v>185000</v>
      </c>
      <c r="X585" s="341"/>
    </row>
    <row r="586" spans="1:24" x14ac:dyDescent="0.25">
      <c r="A586" s="133"/>
      <c r="B586" s="195" t="s">
        <v>5635</v>
      </c>
      <c r="C586" s="345">
        <v>20600</v>
      </c>
      <c r="D586" s="345">
        <f>+C586*0.85</f>
        <v>17510</v>
      </c>
      <c r="E586" s="353">
        <f>+C586+D586</f>
        <v>38110</v>
      </c>
      <c r="F586" s="226">
        <v>0.8</v>
      </c>
      <c r="G586" s="351">
        <f>+E586/F586</f>
        <v>47637.5</v>
      </c>
      <c r="H586" s="341"/>
      <c r="I586" s="133"/>
      <c r="J586" s="195" t="s">
        <v>5635</v>
      </c>
      <c r="K586" s="345">
        <v>20600</v>
      </c>
      <c r="L586" s="345">
        <f>+K586*0.85</f>
        <v>17510</v>
      </c>
      <c r="M586" s="353">
        <f>+K586+L586</f>
        <v>38110</v>
      </c>
      <c r="N586" s="226">
        <v>0.5</v>
      </c>
      <c r="O586" s="351">
        <f>+M586/N586</f>
        <v>76220</v>
      </c>
      <c r="P586" s="341"/>
      <c r="Q586" s="133"/>
      <c r="R586" s="195" t="s">
        <v>5635</v>
      </c>
      <c r="S586" s="345">
        <v>20600</v>
      </c>
      <c r="T586" s="345">
        <f>+S586*0.85</f>
        <v>17510</v>
      </c>
      <c r="U586" s="353">
        <f>+S586+T586</f>
        <v>38110</v>
      </c>
      <c r="V586" s="226">
        <v>0.4</v>
      </c>
      <c r="W586" s="351">
        <f>+U586/V586</f>
        <v>95275</v>
      </c>
      <c r="X586" s="341"/>
    </row>
    <row r="587" spans="1:24" x14ac:dyDescent="0.25">
      <c r="A587" s="133"/>
      <c r="B587" s="195"/>
      <c r="C587" s="346"/>
      <c r="D587" s="345"/>
      <c r="E587" s="345"/>
      <c r="F587" s="226"/>
      <c r="G587" s="351"/>
      <c r="H587" s="341"/>
      <c r="I587" s="133"/>
      <c r="J587" s="195"/>
      <c r="K587" s="346"/>
      <c r="L587" s="345"/>
      <c r="M587" s="345"/>
      <c r="N587" s="226"/>
      <c r="O587" s="351"/>
      <c r="P587" s="341"/>
      <c r="Q587" s="133"/>
      <c r="R587" s="195"/>
      <c r="S587" s="346"/>
      <c r="T587" s="345"/>
      <c r="U587" s="345"/>
      <c r="V587" s="226"/>
      <c r="W587" s="351"/>
      <c r="X587" s="341"/>
    </row>
    <row r="588" spans="1:24" x14ac:dyDescent="0.25">
      <c r="A588" s="133"/>
      <c r="B588" s="195"/>
      <c r="C588" s="232"/>
      <c r="D588" s="232"/>
      <c r="E588" s="232"/>
      <c r="F588" s="226"/>
      <c r="G588" s="344"/>
      <c r="H588" s="341"/>
      <c r="I588" s="133"/>
      <c r="J588" s="195"/>
      <c r="K588" s="232"/>
      <c r="L588" s="232"/>
      <c r="M588" s="232"/>
      <c r="N588" s="226"/>
      <c r="O588" s="344"/>
      <c r="P588" s="341"/>
      <c r="Q588" s="133"/>
      <c r="R588" s="195"/>
      <c r="S588" s="232"/>
      <c r="T588" s="232"/>
      <c r="U588" s="232"/>
      <c r="V588" s="226"/>
      <c r="W588" s="344"/>
      <c r="X588" s="341"/>
    </row>
    <row r="589" spans="1:24" ht="15.75" thickBot="1" x14ac:dyDescent="0.3">
      <c r="A589" s="133"/>
      <c r="B589" s="195"/>
      <c r="C589" s="232"/>
      <c r="D589" s="232"/>
      <c r="E589" s="232"/>
      <c r="F589" s="226"/>
      <c r="G589" s="344"/>
      <c r="H589" s="341"/>
      <c r="I589" s="133"/>
      <c r="J589" s="195"/>
      <c r="K589" s="232"/>
      <c r="L589" s="232"/>
      <c r="M589" s="232"/>
      <c r="N589" s="226"/>
      <c r="O589" s="344"/>
      <c r="P589" s="341"/>
      <c r="Q589" s="133"/>
      <c r="R589" s="195"/>
      <c r="S589" s="232"/>
      <c r="T589" s="232"/>
      <c r="U589" s="232"/>
      <c r="V589" s="226"/>
      <c r="W589" s="344"/>
      <c r="X589" s="341"/>
    </row>
    <row r="590" spans="1:24" ht="15.75" thickBot="1" x14ac:dyDescent="0.3">
      <c r="A590" s="133"/>
      <c r="B590" s="251"/>
      <c r="C590" s="252"/>
      <c r="D590" s="252"/>
      <c r="E590" s="252"/>
      <c r="F590" s="253"/>
      <c r="G590" s="357"/>
      <c r="H590" s="348">
        <f>+SUM(G584:G590)</f>
        <v>166037.5</v>
      </c>
      <c r="I590" s="133"/>
      <c r="J590" s="251"/>
      <c r="K590" s="252"/>
      <c r="L590" s="252"/>
      <c r="M590" s="252"/>
      <c r="N590" s="253"/>
      <c r="O590" s="357"/>
      <c r="P590" s="348">
        <f>+SUM(O584:O590)</f>
        <v>250120</v>
      </c>
      <c r="Q590" s="133"/>
      <c r="R590" s="251"/>
      <c r="S590" s="252"/>
      <c r="T590" s="252"/>
      <c r="U590" s="252"/>
      <c r="V590" s="253"/>
      <c r="W590" s="357"/>
      <c r="X590" s="348">
        <f>+SUM(W584:W590)</f>
        <v>306175</v>
      </c>
    </row>
    <row r="591" spans="1:24" ht="15.75" thickBot="1" x14ac:dyDescent="0.3">
      <c r="A591" s="133"/>
      <c r="B591" s="8"/>
      <c r="C591" s="8"/>
      <c r="D591" s="8"/>
      <c r="E591" s="8"/>
      <c r="F591" s="133"/>
      <c r="G591" s="341"/>
      <c r="H591" s="341"/>
      <c r="I591" s="133"/>
      <c r="J591" s="8"/>
      <c r="K591" s="8"/>
      <c r="L591" s="8"/>
      <c r="M591" s="8"/>
      <c r="N591" s="133"/>
      <c r="O591" s="341"/>
      <c r="P591" s="341"/>
      <c r="Q591" s="133"/>
      <c r="R591" s="8"/>
      <c r="S591" s="8"/>
      <c r="T591" s="8"/>
      <c r="U591" s="8"/>
      <c r="V591" s="133"/>
      <c r="W591" s="341"/>
      <c r="X591" s="341"/>
    </row>
    <row r="592" spans="1:24" ht="15.75" thickBot="1" x14ac:dyDescent="0.3">
      <c r="A592" s="133"/>
      <c r="B592" s="8"/>
      <c r="C592" s="8"/>
      <c r="D592" s="8"/>
      <c r="E592" s="223"/>
      <c r="F592" s="133"/>
      <c r="G592" s="341"/>
      <c r="H592" s="348">
        <f>+H590+H581+H573+H558</f>
        <v>609251.25</v>
      </c>
      <c r="I592" s="133"/>
      <c r="J592" s="8"/>
      <c r="K592" s="8"/>
      <c r="L592" s="8"/>
      <c r="M592" s="223"/>
      <c r="N592" s="133"/>
      <c r="O592" s="341"/>
      <c r="P592" s="348">
        <f>+P590+P581+P573+P558</f>
        <v>740638</v>
      </c>
      <c r="Q592" s="133"/>
      <c r="R592" s="8"/>
      <c r="S592" s="8"/>
      <c r="T592" s="8"/>
      <c r="U592" s="223"/>
      <c r="V592" s="133"/>
      <c r="W592" s="341"/>
      <c r="X592" s="348">
        <f>+X590+X581+X573+X558</f>
        <v>932246.5</v>
      </c>
    </row>
    <row r="597" spans="1:8" ht="18.75" x14ac:dyDescent="0.25">
      <c r="A597" s="133"/>
      <c r="B597" s="2506" t="s">
        <v>5400</v>
      </c>
      <c r="C597" s="2506"/>
      <c r="D597" s="2506"/>
      <c r="E597" s="2506"/>
      <c r="F597" s="2506"/>
      <c r="G597" s="2506"/>
      <c r="H597" s="8"/>
    </row>
    <row r="598" spans="1:8" x14ac:dyDescent="0.25">
      <c r="A598" s="133"/>
      <c r="B598" s="8"/>
      <c r="C598" s="8"/>
      <c r="D598" s="8"/>
      <c r="E598" s="8"/>
      <c r="F598" s="133"/>
      <c r="G598" s="341"/>
      <c r="H598" s="341"/>
    </row>
    <row r="599" spans="1:8" x14ac:dyDescent="0.25">
      <c r="A599" s="133"/>
      <c r="B599" s="8"/>
      <c r="C599" s="8"/>
      <c r="D599" s="8"/>
      <c r="E599" s="8"/>
      <c r="F599" s="133"/>
      <c r="G599" s="341"/>
      <c r="H599" s="341"/>
    </row>
    <row r="600" spans="1:8" x14ac:dyDescent="0.25">
      <c r="A600" s="133"/>
      <c r="B600" s="8"/>
      <c r="C600" s="8"/>
      <c r="D600" s="8"/>
      <c r="E600" s="8"/>
      <c r="F600" s="133"/>
      <c r="G600" s="341"/>
      <c r="H600" s="341"/>
    </row>
    <row r="601" spans="1:8" ht="15" customHeight="1" x14ac:dyDescent="0.25">
      <c r="A601" s="220" t="s">
        <v>5482</v>
      </c>
      <c r="B601" s="221" t="s">
        <v>646</v>
      </c>
      <c r="C601" s="2449" t="s">
        <v>6037</v>
      </c>
      <c r="D601" s="2449"/>
      <c r="E601" s="2449"/>
      <c r="F601" s="220" t="s">
        <v>867</v>
      </c>
      <c r="G601" s="342" t="s">
        <v>5454</v>
      </c>
      <c r="H601" s="341"/>
    </row>
    <row r="602" spans="1:8" x14ac:dyDescent="0.25">
      <c r="A602" s="133"/>
      <c r="B602" s="8"/>
      <c r="C602" s="223"/>
      <c r="D602" s="223"/>
      <c r="E602" s="223"/>
      <c r="F602" s="133"/>
      <c r="G602" s="341"/>
      <c r="H602" s="341"/>
    </row>
    <row r="603" spans="1:8" x14ac:dyDescent="0.25">
      <c r="A603" s="133"/>
      <c r="B603" s="8"/>
      <c r="C603" s="8"/>
      <c r="D603" s="8"/>
      <c r="E603" s="8"/>
      <c r="F603" s="8"/>
      <c r="G603" s="8"/>
      <c r="H603" s="341"/>
    </row>
    <row r="604" spans="1:8" ht="15.75" thickBot="1" x14ac:dyDescent="0.3">
      <c r="A604" s="133"/>
      <c r="B604" s="8"/>
      <c r="C604" s="8"/>
      <c r="D604" s="8"/>
      <c r="E604" s="8"/>
      <c r="F604" s="133"/>
      <c r="G604" s="341"/>
      <c r="H604" s="341"/>
    </row>
    <row r="605" spans="1:8" ht="15.75" thickBot="1" x14ac:dyDescent="0.3">
      <c r="A605" s="133"/>
      <c r="B605" s="224" t="s">
        <v>5403</v>
      </c>
      <c r="C605" s="193" t="s">
        <v>867</v>
      </c>
      <c r="D605" s="193" t="s">
        <v>6</v>
      </c>
      <c r="E605" s="193" t="s">
        <v>5439</v>
      </c>
      <c r="F605" s="193" t="s">
        <v>5405</v>
      </c>
      <c r="G605" s="343" t="s">
        <v>868</v>
      </c>
      <c r="H605" s="341"/>
    </row>
    <row r="606" spans="1:8" x14ac:dyDescent="0.25">
      <c r="A606" s="133"/>
      <c r="B606" s="195" t="s">
        <v>5440</v>
      </c>
      <c r="C606" s="226" t="s">
        <v>5542</v>
      </c>
      <c r="D606" s="226">
        <v>1</v>
      </c>
      <c r="E606" s="228">
        <f>+H644</f>
        <v>12617</v>
      </c>
      <c r="F606" s="226">
        <v>0.1</v>
      </c>
      <c r="G606" s="344">
        <f>+E606*F606</f>
        <v>1261.7</v>
      </c>
      <c r="H606" s="341"/>
    </row>
    <row r="607" spans="1:8" x14ac:dyDescent="0.25">
      <c r="A607" s="133"/>
      <c r="B607" s="195" t="s">
        <v>5548</v>
      </c>
      <c r="C607" s="226" t="s">
        <v>5542</v>
      </c>
      <c r="D607" s="226">
        <v>1</v>
      </c>
      <c r="E607" s="228">
        <v>10000</v>
      </c>
      <c r="F607" s="226">
        <v>0.5</v>
      </c>
      <c r="G607" s="344">
        <f>+E607*F607</f>
        <v>5000</v>
      </c>
      <c r="H607" s="341"/>
    </row>
    <row r="608" spans="1:8" x14ac:dyDescent="0.25">
      <c r="A608" s="133"/>
      <c r="B608" s="195"/>
      <c r="C608" s="226"/>
      <c r="D608" s="226"/>
      <c r="E608" s="345"/>
      <c r="F608" s="226"/>
      <c r="G608" s="344"/>
      <c r="H608" s="341"/>
    </row>
    <row r="609" spans="1:8" x14ac:dyDescent="0.25">
      <c r="A609" s="133"/>
      <c r="B609" s="195"/>
      <c r="C609" s="226"/>
      <c r="D609" s="226"/>
      <c r="E609" s="346"/>
      <c r="F609" s="226"/>
      <c r="G609" s="344"/>
      <c r="H609" s="341"/>
    </row>
    <row r="610" spans="1:8" x14ac:dyDescent="0.25">
      <c r="A610" s="133"/>
      <c r="B610" s="195"/>
      <c r="C610" s="226"/>
      <c r="D610" s="232"/>
      <c r="E610" s="232"/>
      <c r="F610" s="226"/>
      <c r="G610" s="344"/>
      <c r="H610" s="341"/>
    </row>
    <row r="611" spans="1:8" ht="15.75" thickBot="1" x14ac:dyDescent="0.3">
      <c r="A611" s="133"/>
      <c r="B611" s="195"/>
      <c r="C611" s="226"/>
      <c r="D611" s="232"/>
      <c r="E611" s="232"/>
      <c r="F611" s="226"/>
      <c r="G611" s="344"/>
      <c r="H611" s="341"/>
    </row>
    <row r="612" spans="1:8" ht="15.75" thickBot="1" x14ac:dyDescent="0.3">
      <c r="A612" s="133"/>
      <c r="B612" s="233"/>
      <c r="C612" s="234"/>
      <c r="D612" s="234"/>
      <c r="E612" s="234"/>
      <c r="F612" s="235"/>
      <c r="G612" s="347"/>
      <c r="H612" s="348">
        <f>+SUM(G606:G612)</f>
        <v>6261.7</v>
      </c>
    </row>
    <row r="613" spans="1:8" ht="15.75" thickBot="1" x14ac:dyDescent="0.3">
      <c r="A613" s="133"/>
      <c r="B613" s="238"/>
      <c r="C613" s="238"/>
      <c r="D613" s="238"/>
      <c r="E613" s="238"/>
      <c r="F613" s="239"/>
      <c r="G613" s="349"/>
      <c r="H613" s="350"/>
    </row>
    <row r="614" spans="1:8" ht="15.75" thickBot="1" x14ac:dyDescent="0.3">
      <c r="A614" s="133"/>
      <c r="B614" s="224" t="s">
        <v>5408</v>
      </c>
      <c r="C614" s="193" t="s">
        <v>867</v>
      </c>
      <c r="D614" s="193" t="s">
        <v>6</v>
      </c>
      <c r="E614" s="193" t="s">
        <v>870</v>
      </c>
      <c r="F614" s="193" t="s">
        <v>5409</v>
      </c>
      <c r="G614" s="343" t="s">
        <v>868</v>
      </c>
      <c r="H614" s="341"/>
    </row>
    <row r="615" spans="1:8" x14ac:dyDescent="0.25">
      <c r="A615" s="133"/>
      <c r="B615" s="245" t="s">
        <v>5702</v>
      </c>
      <c r="C615" s="202" t="s">
        <v>5542</v>
      </c>
      <c r="D615" s="226">
        <v>1.3374999999999999</v>
      </c>
      <c r="E615" s="228">
        <v>55000</v>
      </c>
      <c r="F615" s="169">
        <v>0</v>
      </c>
      <c r="G615" s="351">
        <f>+D615*E615*(1+F615)</f>
        <v>73562.5</v>
      </c>
      <c r="H615" s="341"/>
    </row>
    <row r="616" spans="1:8" x14ac:dyDescent="0.25">
      <c r="A616" s="133"/>
      <c r="B616" s="247" t="s">
        <v>6038</v>
      </c>
      <c r="C616" s="202" t="s">
        <v>5431</v>
      </c>
      <c r="D616" s="202">
        <v>220</v>
      </c>
      <c r="E616" s="228">
        <v>520</v>
      </c>
      <c r="F616" s="169">
        <v>0.02</v>
      </c>
      <c r="G616" s="351">
        <f>+D616*E616*(1+F616)</f>
        <v>116688</v>
      </c>
      <c r="H616" s="341"/>
    </row>
    <row r="617" spans="1:8" x14ac:dyDescent="0.25">
      <c r="A617" s="133"/>
      <c r="B617" s="247" t="s">
        <v>5553</v>
      </c>
      <c r="C617" s="226" t="s">
        <v>5488</v>
      </c>
      <c r="D617" s="226">
        <v>160</v>
      </c>
      <c r="E617" s="332">
        <v>10</v>
      </c>
      <c r="F617" s="169">
        <v>0.1</v>
      </c>
      <c r="G617" s="351">
        <f>+D617*E617*(1+F617)</f>
        <v>1760.0000000000002</v>
      </c>
      <c r="H617" s="341"/>
    </row>
    <row r="618" spans="1:8" x14ac:dyDescent="0.25">
      <c r="A618" s="133"/>
      <c r="B618" s="194"/>
      <c r="C618" s="226"/>
      <c r="D618" s="226"/>
      <c r="E618" s="345"/>
      <c r="F618" s="169"/>
      <c r="G618" s="351"/>
      <c r="H618" s="341"/>
    </row>
    <row r="619" spans="1:8" x14ac:dyDescent="0.25">
      <c r="A619" s="133"/>
      <c r="B619" s="195"/>
      <c r="C619" s="226"/>
      <c r="D619" s="226"/>
      <c r="E619" s="345"/>
      <c r="F619" s="169"/>
      <c r="G619" s="351"/>
      <c r="H619" s="341"/>
    </row>
    <row r="620" spans="1:8" x14ac:dyDescent="0.25">
      <c r="A620" s="133"/>
      <c r="B620" s="194"/>
      <c r="C620" s="202"/>
      <c r="D620" s="202"/>
      <c r="E620" s="345"/>
      <c r="F620" s="169"/>
      <c r="G620" s="351"/>
      <c r="H620" s="341"/>
    </row>
    <row r="621" spans="1:8" x14ac:dyDescent="0.25">
      <c r="A621" s="133"/>
      <c r="B621" s="195"/>
      <c r="C621" s="226"/>
      <c r="D621" s="226"/>
      <c r="E621" s="345"/>
      <c r="F621" s="169"/>
      <c r="G621" s="351"/>
      <c r="H621" s="341"/>
    </row>
    <row r="622" spans="1:8" x14ac:dyDescent="0.25">
      <c r="A622" s="133"/>
      <c r="B622" s="195"/>
      <c r="C622" s="226"/>
      <c r="D622" s="226"/>
      <c r="E622" s="345"/>
      <c r="F622" s="169"/>
      <c r="G622" s="351"/>
      <c r="H622" s="341"/>
    </row>
    <row r="623" spans="1:8" x14ac:dyDescent="0.25">
      <c r="A623" s="133"/>
      <c r="B623" s="195"/>
      <c r="C623" s="232"/>
      <c r="D623" s="232"/>
      <c r="E623" s="232"/>
      <c r="F623" s="226"/>
      <c r="G623" s="344"/>
      <c r="H623" s="341"/>
    </row>
    <row r="624" spans="1:8" x14ac:dyDescent="0.25">
      <c r="A624" s="133"/>
      <c r="B624" s="195"/>
      <c r="C624" s="232"/>
      <c r="D624" s="232"/>
      <c r="E624" s="232"/>
      <c r="F624" s="226"/>
      <c r="G624" s="344"/>
      <c r="H624" s="341"/>
    </row>
    <row r="625" spans="1:8" x14ac:dyDescent="0.25">
      <c r="A625" s="133"/>
      <c r="B625" s="195"/>
      <c r="C625" s="232"/>
      <c r="D625" s="232"/>
      <c r="E625" s="232"/>
      <c r="F625" s="226"/>
      <c r="G625" s="344"/>
      <c r="H625" s="341"/>
    </row>
    <row r="626" spans="1:8" ht="15.75" thickBot="1" x14ac:dyDescent="0.3">
      <c r="A626" s="133"/>
      <c r="B626" s="195"/>
      <c r="C626" s="232"/>
      <c r="D626" s="232"/>
      <c r="E626" s="232"/>
      <c r="F626" s="226"/>
      <c r="G626" s="344"/>
      <c r="H626" s="341"/>
    </row>
    <row r="627" spans="1:8" ht="15.75" thickBot="1" x14ac:dyDescent="0.3">
      <c r="A627" s="133"/>
      <c r="B627" s="233"/>
      <c r="C627" s="234"/>
      <c r="D627" s="234"/>
      <c r="E627" s="234"/>
      <c r="F627" s="235"/>
      <c r="G627" s="347"/>
      <c r="H627" s="358">
        <f>+SUM(G615:G627)</f>
        <v>192010.5</v>
      </c>
    </row>
    <row r="628" spans="1:8" ht="15.75" thickBot="1" x14ac:dyDescent="0.3">
      <c r="A628" s="133"/>
      <c r="B628" s="238"/>
      <c r="C628" s="238"/>
      <c r="D628" s="238"/>
      <c r="E628" s="238"/>
      <c r="F628" s="239"/>
      <c r="G628" s="349"/>
      <c r="H628" s="350"/>
    </row>
    <row r="629" spans="1:8" ht="15.75" thickBot="1" x14ac:dyDescent="0.3">
      <c r="A629" s="133"/>
      <c r="B629" s="224" t="s">
        <v>5410</v>
      </c>
      <c r="C629" s="193" t="s">
        <v>867</v>
      </c>
      <c r="D629" s="193" t="s">
        <v>6</v>
      </c>
      <c r="E629" s="193" t="s">
        <v>870</v>
      </c>
      <c r="F629" s="193" t="s">
        <v>5411</v>
      </c>
      <c r="G629" s="343" t="s">
        <v>868</v>
      </c>
      <c r="H629" s="341"/>
    </row>
    <row r="630" spans="1:8" x14ac:dyDescent="0.25">
      <c r="A630" s="133"/>
      <c r="B630" s="245"/>
      <c r="C630" s="202"/>
      <c r="D630" s="202"/>
      <c r="E630" s="353"/>
      <c r="F630" s="202"/>
      <c r="G630" s="354"/>
      <c r="H630" s="355"/>
    </row>
    <row r="631" spans="1:8" x14ac:dyDescent="0.25">
      <c r="A631" s="133"/>
      <c r="B631" s="247"/>
      <c r="C631" s="248"/>
      <c r="D631" s="248"/>
      <c r="E631" s="248"/>
      <c r="F631" s="202"/>
      <c r="G631" s="351"/>
      <c r="H631" s="341"/>
    </row>
    <row r="632" spans="1:8" x14ac:dyDescent="0.25">
      <c r="A632" s="133"/>
      <c r="B632" s="247"/>
      <c r="C632" s="232"/>
      <c r="D632" s="232"/>
      <c r="E632" s="232"/>
      <c r="F632" s="226"/>
      <c r="G632" s="344"/>
      <c r="H632" s="341"/>
    </row>
    <row r="633" spans="1:8" x14ac:dyDescent="0.25">
      <c r="A633" s="133"/>
      <c r="B633" s="194"/>
      <c r="C633" s="232"/>
      <c r="D633" s="232"/>
      <c r="E633" s="232"/>
      <c r="F633" s="226"/>
      <c r="G633" s="344"/>
      <c r="H633" s="341"/>
    </row>
    <row r="634" spans="1:8" ht="15.75" thickBot="1" x14ac:dyDescent="0.3">
      <c r="A634" s="133"/>
      <c r="B634" s="195"/>
      <c r="C634" s="232"/>
      <c r="D634" s="232"/>
      <c r="E634" s="232"/>
      <c r="F634" s="226"/>
      <c r="G634" s="344"/>
      <c r="H634" s="341"/>
    </row>
    <row r="635" spans="1:8" ht="15.75" thickBot="1" x14ac:dyDescent="0.3">
      <c r="A635" s="133"/>
      <c r="B635" s="233"/>
      <c r="C635" s="234"/>
      <c r="D635" s="234"/>
      <c r="E635" s="234"/>
      <c r="F635" s="235"/>
      <c r="G635" s="347"/>
      <c r="H635" s="348">
        <f>+SUM(G630:G635)</f>
        <v>0</v>
      </c>
    </row>
    <row r="636" spans="1:8" ht="15.75" thickBot="1" x14ac:dyDescent="0.3">
      <c r="A636" s="133"/>
      <c r="B636" s="238"/>
      <c r="C636" s="238"/>
      <c r="D636" s="238"/>
      <c r="E636" s="238"/>
      <c r="F636" s="249"/>
      <c r="G636" s="356"/>
      <c r="H636" s="350"/>
    </row>
    <row r="637" spans="1:8" ht="15.75" thickBot="1" x14ac:dyDescent="0.3">
      <c r="A637" s="133"/>
      <c r="B637" s="224" t="s">
        <v>5412</v>
      </c>
      <c r="C637" s="193" t="s">
        <v>5420</v>
      </c>
      <c r="D637" s="193" t="s">
        <v>5421</v>
      </c>
      <c r="E637" s="193" t="s">
        <v>5413</v>
      </c>
      <c r="F637" s="193" t="s">
        <v>5405</v>
      </c>
      <c r="G637" s="343" t="s">
        <v>868</v>
      </c>
      <c r="H637" s="341"/>
    </row>
    <row r="638" spans="1:8" x14ac:dyDescent="0.25">
      <c r="A638" s="133"/>
      <c r="B638" s="194" t="s">
        <v>5948</v>
      </c>
      <c r="C638" s="345">
        <v>70000</v>
      </c>
      <c r="D638" s="345">
        <f>+C638*0.85</f>
        <v>59500</v>
      </c>
      <c r="E638" s="353">
        <f>+C638+D638</f>
        <v>129500</v>
      </c>
      <c r="F638" s="209">
        <v>100</v>
      </c>
      <c r="G638" s="351">
        <f>+E638/F638</f>
        <v>1295</v>
      </c>
      <c r="H638" s="341"/>
    </row>
    <row r="639" spans="1:8" x14ac:dyDescent="0.25">
      <c r="A639" s="133"/>
      <c r="B639" s="194" t="s">
        <v>5949</v>
      </c>
      <c r="C639" s="345">
        <v>40000</v>
      </c>
      <c r="D639" s="345">
        <f>+C639*0.85</f>
        <v>34000</v>
      </c>
      <c r="E639" s="353">
        <f>+C639+D639</f>
        <v>74000</v>
      </c>
      <c r="F639" s="202">
        <v>20</v>
      </c>
      <c r="G639" s="351">
        <f>+E639/F639</f>
        <v>3700</v>
      </c>
      <c r="H639" s="341"/>
    </row>
    <row r="640" spans="1:8" x14ac:dyDescent="0.25">
      <c r="A640" s="133"/>
      <c r="B640" s="195" t="s">
        <v>5635</v>
      </c>
      <c r="C640" s="345">
        <v>20600</v>
      </c>
      <c r="D640" s="345">
        <f>+C640*0.85</f>
        <v>17510</v>
      </c>
      <c r="E640" s="353">
        <f>+C640+D640</f>
        <v>38110</v>
      </c>
      <c r="F640" s="226">
        <v>5</v>
      </c>
      <c r="G640" s="351">
        <f>+E640/F640</f>
        <v>7622</v>
      </c>
      <c r="H640" s="341"/>
    </row>
    <row r="641" spans="1:8" x14ac:dyDescent="0.25">
      <c r="A641" s="133"/>
      <c r="B641" s="195"/>
      <c r="C641" s="346"/>
      <c r="D641" s="345"/>
      <c r="E641" s="345"/>
      <c r="F641" s="226"/>
      <c r="G641" s="351"/>
      <c r="H641" s="341"/>
    </row>
    <row r="642" spans="1:8" x14ac:dyDescent="0.25">
      <c r="A642" s="133"/>
      <c r="B642" s="195"/>
      <c r="C642" s="232"/>
      <c r="D642" s="232"/>
      <c r="E642" s="232"/>
      <c r="F642" s="226"/>
      <c r="G642" s="344"/>
      <c r="H642" s="341"/>
    </row>
    <row r="643" spans="1:8" ht="15.75" thickBot="1" x14ac:dyDescent="0.3">
      <c r="A643" s="133"/>
      <c r="B643" s="195"/>
      <c r="C643" s="232"/>
      <c r="D643" s="232"/>
      <c r="E643" s="232"/>
      <c r="F643" s="226"/>
      <c r="G643" s="344"/>
      <c r="H643" s="341"/>
    </row>
    <row r="644" spans="1:8" ht="15.75" thickBot="1" x14ac:dyDescent="0.3">
      <c r="A644" s="133"/>
      <c r="B644" s="251"/>
      <c r="C644" s="252"/>
      <c r="D644" s="252"/>
      <c r="E644" s="252"/>
      <c r="F644" s="253"/>
      <c r="G644" s="357"/>
      <c r="H644" s="358">
        <f>+SUM(G638:G644)</f>
        <v>12617</v>
      </c>
    </row>
    <row r="645" spans="1:8" ht="15.75" thickBot="1" x14ac:dyDescent="0.3">
      <c r="A645" s="133"/>
      <c r="B645" s="8"/>
      <c r="C645" s="8"/>
      <c r="D645" s="8"/>
      <c r="E645" s="8"/>
      <c r="F645" s="133"/>
      <c r="G645" s="341"/>
      <c r="H645" s="341"/>
    </row>
    <row r="646" spans="1:8" ht="15.75" thickBot="1" x14ac:dyDescent="0.3">
      <c r="A646" s="133"/>
      <c r="B646" s="8"/>
      <c r="C646" s="8"/>
      <c r="D646" s="8"/>
      <c r="E646" s="223"/>
      <c r="F646" s="133"/>
      <c r="G646" s="341"/>
      <c r="H646" s="358">
        <f>ROUND(+H644+H635+H627+H612,0)</f>
        <v>210889</v>
      </c>
    </row>
    <row r="651" spans="1:8" ht="18.75" x14ac:dyDescent="0.25">
      <c r="A651" s="133"/>
      <c r="B651" s="2506" t="s">
        <v>5400</v>
      </c>
      <c r="C651" s="2506"/>
      <c r="D651" s="2506"/>
      <c r="E651" s="2506"/>
      <c r="F651" s="2506"/>
      <c r="G651" s="2506"/>
      <c r="H651" s="8"/>
    </row>
    <row r="652" spans="1:8" x14ac:dyDescent="0.25">
      <c r="A652" s="133"/>
      <c r="B652" s="8"/>
      <c r="C652" s="8"/>
      <c r="D652" s="8"/>
      <c r="E652" s="8"/>
      <c r="F652" s="133"/>
      <c r="G652" s="341"/>
      <c r="H652" s="341"/>
    </row>
    <row r="653" spans="1:8" x14ac:dyDescent="0.25">
      <c r="A653" s="133"/>
      <c r="B653" s="8"/>
      <c r="C653" s="8"/>
      <c r="D653" s="8"/>
      <c r="E653" s="8"/>
      <c r="F653" s="133"/>
      <c r="G653" s="341"/>
      <c r="H653" s="341"/>
    </row>
    <row r="654" spans="1:8" x14ac:dyDescent="0.25">
      <c r="A654" s="133"/>
      <c r="B654" s="8"/>
      <c r="C654" s="8"/>
      <c r="D654" s="8"/>
      <c r="E654" s="8"/>
      <c r="F654" s="133"/>
      <c r="G654" s="341"/>
      <c r="H654" s="341"/>
    </row>
    <row r="655" spans="1:8" ht="15" customHeight="1" x14ac:dyDescent="0.25">
      <c r="A655" s="220" t="s">
        <v>5482</v>
      </c>
      <c r="B655" s="221" t="s">
        <v>5562</v>
      </c>
      <c r="C655" s="2449" t="s">
        <v>5563</v>
      </c>
      <c r="D655" s="2449"/>
      <c r="E655" s="2449"/>
      <c r="F655" s="220" t="s">
        <v>867</v>
      </c>
      <c r="G655" s="342" t="s">
        <v>5454</v>
      </c>
      <c r="H655" s="341"/>
    </row>
    <row r="656" spans="1:8" x14ac:dyDescent="0.25">
      <c r="A656" s="133"/>
      <c r="B656" s="8"/>
      <c r="C656" s="223"/>
      <c r="D656" s="223"/>
      <c r="E656" s="223"/>
      <c r="F656" s="133"/>
      <c r="G656" s="341"/>
      <c r="H656" s="341"/>
    </row>
    <row r="657" spans="1:8" x14ac:dyDescent="0.25">
      <c r="A657" s="133"/>
      <c r="B657" s="8"/>
      <c r="C657" s="8"/>
      <c r="D657" s="8"/>
      <c r="E657" s="8"/>
      <c r="F657" s="8"/>
      <c r="G657" s="8"/>
      <c r="H657" s="341"/>
    </row>
    <row r="658" spans="1:8" ht="15.75" thickBot="1" x14ac:dyDescent="0.3">
      <c r="A658" s="133"/>
      <c r="B658" s="8"/>
      <c r="C658" s="8"/>
      <c r="D658" s="8"/>
      <c r="E658" s="8"/>
      <c r="F658" s="133"/>
      <c r="G658" s="341"/>
      <c r="H658" s="341"/>
    </row>
    <row r="659" spans="1:8" ht="15.75" thickBot="1" x14ac:dyDescent="0.3">
      <c r="A659" s="133"/>
      <c r="B659" s="224" t="s">
        <v>5403</v>
      </c>
      <c r="C659" s="193" t="s">
        <v>867</v>
      </c>
      <c r="D659" s="193" t="s">
        <v>6</v>
      </c>
      <c r="E659" s="193" t="s">
        <v>5439</v>
      </c>
      <c r="F659" s="193" t="s">
        <v>5405</v>
      </c>
      <c r="G659" s="343" t="s">
        <v>868</v>
      </c>
      <c r="H659" s="341"/>
    </row>
    <row r="660" spans="1:8" x14ac:dyDescent="0.25">
      <c r="A660" s="133"/>
      <c r="B660" s="195" t="s">
        <v>5440</v>
      </c>
      <c r="C660" s="226" t="s">
        <v>5542</v>
      </c>
      <c r="D660" s="226">
        <v>1</v>
      </c>
      <c r="E660" s="228">
        <f>+H698</f>
        <v>12617</v>
      </c>
      <c r="F660" s="226">
        <v>0.1</v>
      </c>
      <c r="G660" s="344">
        <f>+E660*F660</f>
        <v>1261.7</v>
      </c>
      <c r="H660" s="341"/>
    </row>
    <row r="661" spans="1:8" x14ac:dyDescent="0.25">
      <c r="A661" s="133"/>
      <c r="B661" s="195" t="s">
        <v>5548</v>
      </c>
      <c r="C661" s="226" t="s">
        <v>5542</v>
      </c>
      <c r="D661" s="226">
        <v>1</v>
      </c>
      <c r="E661" s="228">
        <v>10000</v>
      </c>
      <c r="F661" s="226">
        <v>0.5</v>
      </c>
      <c r="G661" s="344">
        <f>+E661*F661</f>
        <v>5000</v>
      </c>
      <c r="H661" s="341"/>
    </row>
    <row r="662" spans="1:8" x14ac:dyDescent="0.25">
      <c r="A662" s="133"/>
      <c r="B662" s="195"/>
      <c r="C662" s="226"/>
      <c r="D662" s="226"/>
      <c r="E662" s="345"/>
      <c r="F662" s="226"/>
      <c r="G662" s="344"/>
      <c r="H662" s="341"/>
    </row>
    <row r="663" spans="1:8" x14ac:dyDescent="0.25">
      <c r="A663" s="133"/>
      <c r="B663" s="195"/>
      <c r="C663" s="226"/>
      <c r="D663" s="226"/>
      <c r="E663" s="346"/>
      <c r="F663" s="226"/>
      <c r="G663" s="344"/>
      <c r="H663" s="341"/>
    </row>
    <row r="664" spans="1:8" x14ac:dyDescent="0.25">
      <c r="A664" s="133"/>
      <c r="B664" s="195"/>
      <c r="C664" s="226"/>
      <c r="D664" s="232"/>
      <c r="E664" s="232"/>
      <c r="F664" s="226"/>
      <c r="G664" s="344"/>
      <c r="H664" s="341"/>
    </row>
    <row r="665" spans="1:8" ht="15.75" thickBot="1" x14ac:dyDescent="0.3">
      <c r="A665" s="133"/>
      <c r="B665" s="195"/>
      <c r="C665" s="226"/>
      <c r="D665" s="232"/>
      <c r="E665" s="232"/>
      <c r="F665" s="226"/>
      <c r="G665" s="344"/>
      <c r="H665" s="341"/>
    </row>
    <row r="666" spans="1:8" ht="15.75" thickBot="1" x14ac:dyDescent="0.3">
      <c r="A666" s="133"/>
      <c r="B666" s="233"/>
      <c r="C666" s="234"/>
      <c r="D666" s="234"/>
      <c r="E666" s="234"/>
      <c r="F666" s="235"/>
      <c r="G666" s="347"/>
      <c r="H666" s="348">
        <f>+SUM(G660:G666)</f>
        <v>6261.7</v>
      </c>
    </row>
    <row r="667" spans="1:8" ht="15.75" thickBot="1" x14ac:dyDescent="0.3">
      <c r="A667" s="133"/>
      <c r="B667" s="238"/>
      <c r="C667" s="238"/>
      <c r="D667" s="238"/>
      <c r="E667" s="238"/>
      <c r="F667" s="239"/>
      <c r="G667" s="349"/>
      <c r="H667" s="350"/>
    </row>
    <row r="668" spans="1:8" ht="15.75" thickBot="1" x14ac:dyDescent="0.3">
      <c r="A668" s="133"/>
      <c r="B668" s="224" t="s">
        <v>5408</v>
      </c>
      <c r="C668" s="193" t="s">
        <v>867</v>
      </c>
      <c r="D668" s="193" t="s">
        <v>6</v>
      </c>
      <c r="E668" s="193" t="s">
        <v>870</v>
      </c>
      <c r="F668" s="193" t="s">
        <v>5409</v>
      </c>
      <c r="G668" s="343" t="s">
        <v>868</v>
      </c>
      <c r="H668" s="341"/>
    </row>
    <row r="669" spans="1:8" x14ac:dyDescent="0.25">
      <c r="A669" s="133"/>
      <c r="B669" s="245" t="s">
        <v>5702</v>
      </c>
      <c r="C669" s="202" t="s">
        <v>5542</v>
      </c>
      <c r="D669" s="226">
        <v>1.3374999999999999</v>
      </c>
      <c r="E669" s="228">
        <v>55000</v>
      </c>
      <c r="F669" s="169">
        <v>0</v>
      </c>
      <c r="G669" s="351">
        <f>+D669*E669*(1+F669)</f>
        <v>73562.5</v>
      </c>
      <c r="H669" s="341"/>
    </row>
    <row r="670" spans="1:8" x14ac:dyDescent="0.25">
      <c r="A670" s="133"/>
      <c r="B670" s="247" t="s">
        <v>6038</v>
      </c>
      <c r="C670" s="202" t="s">
        <v>5431</v>
      </c>
      <c r="D670" s="202">
        <v>247.5</v>
      </c>
      <c r="E670" s="228">
        <v>520</v>
      </c>
      <c r="F670" s="169">
        <v>0.02</v>
      </c>
      <c r="G670" s="351">
        <f>+D670*E670*(1+F670)</f>
        <v>131274</v>
      </c>
      <c r="H670" s="341"/>
    </row>
    <row r="671" spans="1:8" x14ac:dyDescent="0.25">
      <c r="A671" s="133"/>
      <c r="B671" s="247" t="s">
        <v>5553</v>
      </c>
      <c r="C671" s="226" t="s">
        <v>5488</v>
      </c>
      <c r="D671" s="226">
        <v>160</v>
      </c>
      <c r="E671" s="332">
        <v>10</v>
      </c>
      <c r="F671" s="169">
        <v>0.1</v>
      </c>
      <c r="G671" s="351">
        <f>+D671*E671*(1+F671)</f>
        <v>1760.0000000000002</v>
      </c>
      <c r="H671" s="341"/>
    </row>
    <row r="672" spans="1:8" x14ac:dyDescent="0.25">
      <c r="A672" s="133"/>
      <c r="B672" s="194"/>
      <c r="C672" s="226"/>
      <c r="D672" s="226"/>
      <c r="E672" s="345"/>
      <c r="F672" s="169"/>
      <c r="G672" s="351"/>
      <c r="H672" s="341"/>
    </row>
    <row r="673" spans="1:8" x14ac:dyDescent="0.25">
      <c r="A673" s="133"/>
      <c r="B673" s="195"/>
      <c r="C673" s="226"/>
      <c r="D673" s="226"/>
      <c r="E673" s="345"/>
      <c r="F673" s="169"/>
      <c r="G673" s="351"/>
      <c r="H673" s="341"/>
    </row>
    <row r="674" spans="1:8" x14ac:dyDescent="0.25">
      <c r="A674" s="133"/>
      <c r="B674" s="194"/>
      <c r="C674" s="202"/>
      <c r="D674" s="202"/>
      <c r="E674" s="345"/>
      <c r="F674" s="169"/>
      <c r="G674" s="351"/>
      <c r="H674" s="341"/>
    </row>
    <row r="675" spans="1:8" x14ac:dyDescent="0.25">
      <c r="A675" s="133"/>
      <c r="B675" s="195"/>
      <c r="C675" s="226"/>
      <c r="D675" s="226"/>
      <c r="E675" s="345"/>
      <c r="F675" s="169"/>
      <c r="G675" s="351"/>
      <c r="H675" s="341"/>
    </row>
    <row r="676" spans="1:8" x14ac:dyDescent="0.25">
      <c r="A676" s="133"/>
      <c r="B676" s="195"/>
      <c r="C676" s="226"/>
      <c r="D676" s="226"/>
      <c r="E676" s="345"/>
      <c r="F676" s="169"/>
      <c r="G676" s="351"/>
      <c r="H676" s="341"/>
    </row>
    <row r="677" spans="1:8" x14ac:dyDescent="0.25">
      <c r="A677" s="133"/>
      <c r="B677" s="195"/>
      <c r="C677" s="232"/>
      <c r="D677" s="232"/>
      <c r="E677" s="232"/>
      <c r="F677" s="226"/>
      <c r="G677" s="344"/>
      <c r="H677" s="341"/>
    </row>
    <row r="678" spans="1:8" x14ac:dyDescent="0.25">
      <c r="A678" s="133"/>
      <c r="B678" s="195"/>
      <c r="C678" s="232"/>
      <c r="D678" s="232"/>
      <c r="E678" s="232"/>
      <c r="F678" s="226"/>
      <c r="G678" s="344"/>
      <c r="H678" s="341"/>
    </row>
    <row r="679" spans="1:8" x14ac:dyDescent="0.25">
      <c r="A679" s="133"/>
      <c r="B679" s="195"/>
      <c r="C679" s="232"/>
      <c r="D679" s="232"/>
      <c r="E679" s="232"/>
      <c r="F679" s="226"/>
      <c r="G679" s="344"/>
      <c r="H679" s="341"/>
    </row>
    <row r="680" spans="1:8" ht="15.75" thickBot="1" x14ac:dyDescent="0.3">
      <c r="A680" s="133"/>
      <c r="B680" s="195"/>
      <c r="C680" s="232"/>
      <c r="D680" s="232"/>
      <c r="E680" s="232"/>
      <c r="F680" s="226"/>
      <c r="G680" s="344"/>
      <c r="H680" s="341"/>
    </row>
    <row r="681" spans="1:8" ht="15.75" thickBot="1" x14ac:dyDescent="0.3">
      <c r="A681" s="133"/>
      <c r="B681" s="233"/>
      <c r="C681" s="234"/>
      <c r="D681" s="234"/>
      <c r="E681" s="234"/>
      <c r="F681" s="235"/>
      <c r="G681" s="347"/>
      <c r="H681" s="358">
        <f>+SUM(G669:G681)</f>
        <v>206596.5</v>
      </c>
    </row>
    <row r="682" spans="1:8" ht="15.75" thickBot="1" x14ac:dyDescent="0.3">
      <c r="A682" s="133"/>
      <c r="B682" s="238"/>
      <c r="C682" s="238"/>
      <c r="D682" s="238"/>
      <c r="E682" s="238"/>
      <c r="F682" s="239"/>
      <c r="G682" s="349"/>
      <c r="H682" s="350"/>
    </row>
    <row r="683" spans="1:8" ht="15.75" thickBot="1" x14ac:dyDescent="0.3">
      <c r="A683" s="133"/>
      <c r="B683" s="224" t="s">
        <v>5410</v>
      </c>
      <c r="C683" s="193" t="s">
        <v>867</v>
      </c>
      <c r="D683" s="193" t="s">
        <v>6</v>
      </c>
      <c r="E683" s="193" t="s">
        <v>870</v>
      </c>
      <c r="F683" s="193" t="s">
        <v>5411</v>
      </c>
      <c r="G683" s="343" t="s">
        <v>868</v>
      </c>
      <c r="H683" s="341"/>
    </row>
    <row r="684" spans="1:8" x14ac:dyDescent="0.25">
      <c r="A684" s="133"/>
      <c r="B684" s="245"/>
      <c r="C684" s="202"/>
      <c r="D684" s="202"/>
      <c r="E684" s="353"/>
      <c r="F684" s="202"/>
      <c r="G684" s="354"/>
      <c r="H684" s="355"/>
    </row>
    <row r="685" spans="1:8" x14ac:dyDescent="0.25">
      <c r="A685" s="133"/>
      <c r="B685" s="247"/>
      <c r="C685" s="248"/>
      <c r="D685" s="248"/>
      <c r="E685" s="248"/>
      <c r="F685" s="202"/>
      <c r="G685" s="351"/>
      <c r="H685" s="341"/>
    </row>
    <row r="686" spans="1:8" x14ac:dyDescent="0.25">
      <c r="A686" s="133"/>
      <c r="B686" s="247"/>
      <c r="C686" s="232"/>
      <c r="D686" s="232"/>
      <c r="E686" s="232"/>
      <c r="F686" s="226"/>
      <c r="G686" s="344"/>
      <c r="H686" s="341"/>
    </row>
    <row r="687" spans="1:8" x14ac:dyDescent="0.25">
      <c r="A687" s="133"/>
      <c r="B687" s="194"/>
      <c r="C687" s="232"/>
      <c r="D687" s="232"/>
      <c r="E687" s="232"/>
      <c r="F687" s="226"/>
      <c r="G687" s="344"/>
      <c r="H687" s="341"/>
    </row>
    <row r="688" spans="1:8" ht="15.75" thickBot="1" x14ac:dyDescent="0.3">
      <c r="A688" s="133"/>
      <c r="B688" s="195"/>
      <c r="C688" s="232"/>
      <c r="D688" s="232"/>
      <c r="E688" s="232"/>
      <c r="F688" s="226"/>
      <c r="G688" s="344"/>
      <c r="H688" s="341"/>
    </row>
    <row r="689" spans="1:8" ht="15.75" thickBot="1" x14ac:dyDescent="0.3">
      <c r="A689" s="133"/>
      <c r="B689" s="233"/>
      <c r="C689" s="234"/>
      <c r="D689" s="234"/>
      <c r="E689" s="234"/>
      <c r="F689" s="235"/>
      <c r="G689" s="347"/>
      <c r="H689" s="348">
        <f>+SUM(G684:G689)</f>
        <v>0</v>
      </c>
    </row>
    <row r="690" spans="1:8" ht="15.75" thickBot="1" x14ac:dyDescent="0.3">
      <c r="A690" s="133"/>
      <c r="B690" s="238"/>
      <c r="C690" s="238"/>
      <c r="D690" s="238"/>
      <c r="E690" s="238"/>
      <c r="F690" s="249"/>
      <c r="G690" s="356"/>
      <c r="H690" s="350"/>
    </row>
    <row r="691" spans="1:8" ht="15.75" thickBot="1" x14ac:dyDescent="0.3">
      <c r="A691" s="133"/>
      <c r="B691" s="224" t="s">
        <v>5412</v>
      </c>
      <c r="C691" s="193" t="s">
        <v>5420</v>
      </c>
      <c r="D691" s="193" t="s">
        <v>5421</v>
      </c>
      <c r="E691" s="193" t="s">
        <v>5413</v>
      </c>
      <c r="F691" s="193" t="s">
        <v>5405</v>
      </c>
      <c r="G691" s="343" t="s">
        <v>868</v>
      </c>
      <c r="H691" s="341"/>
    </row>
    <row r="692" spans="1:8" x14ac:dyDescent="0.25">
      <c r="A692" s="133"/>
      <c r="B692" s="194" t="s">
        <v>5948</v>
      </c>
      <c r="C692" s="345">
        <v>70000</v>
      </c>
      <c r="D692" s="345">
        <f>+C692*0.85</f>
        <v>59500</v>
      </c>
      <c r="E692" s="353">
        <f>+C692+D692</f>
        <v>129500</v>
      </c>
      <c r="F692" s="209">
        <v>100</v>
      </c>
      <c r="G692" s="351">
        <f>+E692/F692</f>
        <v>1295</v>
      </c>
      <c r="H692" s="341"/>
    </row>
    <row r="693" spans="1:8" x14ac:dyDescent="0.25">
      <c r="A693" s="133"/>
      <c r="B693" s="194" t="s">
        <v>5949</v>
      </c>
      <c r="C693" s="345">
        <v>40000</v>
      </c>
      <c r="D693" s="345">
        <f>+C693*0.85</f>
        <v>34000</v>
      </c>
      <c r="E693" s="353">
        <f>+C693+D693</f>
        <v>74000</v>
      </c>
      <c r="F693" s="202">
        <v>20</v>
      </c>
      <c r="G693" s="351">
        <f>+E693/F693</f>
        <v>3700</v>
      </c>
      <c r="H693" s="341"/>
    </row>
    <row r="694" spans="1:8" x14ac:dyDescent="0.25">
      <c r="A694" s="133"/>
      <c r="B694" s="195" t="s">
        <v>5635</v>
      </c>
      <c r="C694" s="345">
        <v>20600</v>
      </c>
      <c r="D694" s="345">
        <f>+C694*0.85</f>
        <v>17510</v>
      </c>
      <c r="E694" s="353">
        <f>+C694+D694</f>
        <v>38110</v>
      </c>
      <c r="F694" s="226">
        <v>5</v>
      </c>
      <c r="G694" s="351">
        <f>+E694/F694</f>
        <v>7622</v>
      </c>
      <c r="H694" s="341"/>
    </row>
    <row r="695" spans="1:8" x14ac:dyDescent="0.25">
      <c r="A695" s="133"/>
      <c r="B695" s="195"/>
      <c r="C695" s="346"/>
      <c r="D695" s="345"/>
      <c r="E695" s="345"/>
      <c r="F695" s="226"/>
      <c r="G695" s="351"/>
      <c r="H695" s="341"/>
    </row>
    <row r="696" spans="1:8" x14ac:dyDescent="0.25">
      <c r="A696" s="133"/>
      <c r="B696" s="195"/>
      <c r="C696" s="232"/>
      <c r="D696" s="232"/>
      <c r="E696" s="232"/>
      <c r="F696" s="226"/>
      <c r="G696" s="344"/>
      <c r="H696" s="341"/>
    </row>
    <row r="697" spans="1:8" ht="15.75" thickBot="1" x14ac:dyDescent="0.3">
      <c r="A697" s="133"/>
      <c r="B697" s="195"/>
      <c r="C697" s="232"/>
      <c r="D697" s="232"/>
      <c r="E697" s="232"/>
      <c r="F697" s="226"/>
      <c r="G697" s="344"/>
      <c r="H697" s="341"/>
    </row>
    <row r="698" spans="1:8" ht="15.75" thickBot="1" x14ac:dyDescent="0.3">
      <c r="A698" s="133"/>
      <c r="B698" s="251"/>
      <c r="C698" s="252"/>
      <c r="D698" s="252"/>
      <c r="E698" s="252"/>
      <c r="F698" s="253"/>
      <c r="G698" s="357"/>
      <c r="H698" s="358">
        <f>+SUM(G692:G698)</f>
        <v>12617</v>
      </c>
    </row>
    <row r="699" spans="1:8" ht="15.75" thickBot="1" x14ac:dyDescent="0.3">
      <c r="A699" s="133"/>
      <c r="B699" s="8"/>
      <c r="C699" s="8"/>
      <c r="D699" s="8"/>
      <c r="E699" s="8"/>
      <c r="F699" s="133"/>
      <c r="G699" s="341"/>
      <c r="H699" s="341"/>
    </row>
    <row r="700" spans="1:8" ht="15.75" thickBot="1" x14ac:dyDescent="0.3">
      <c r="A700" s="133"/>
      <c r="B700" s="8"/>
      <c r="C700" s="8"/>
      <c r="D700" s="8"/>
      <c r="E700" s="223"/>
      <c r="F700" s="133"/>
      <c r="G700" s="341"/>
      <c r="H700" s="358">
        <f>ROUND(+H698+H689+H681+H666,0)</f>
        <v>225475</v>
      </c>
    </row>
    <row r="705" spans="1:8" ht="18.75" x14ac:dyDescent="0.25">
      <c r="A705" s="133"/>
      <c r="B705" s="2506" t="s">
        <v>5400</v>
      </c>
      <c r="C705" s="2506"/>
      <c r="D705" s="2506"/>
      <c r="E705" s="2506"/>
      <c r="F705" s="2506"/>
      <c r="G705" s="2506"/>
      <c r="H705" s="8"/>
    </row>
    <row r="706" spans="1:8" x14ac:dyDescent="0.25">
      <c r="A706" s="133"/>
      <c r="B706" s="8"/>
      <c r="C706" s="8"/>
      <c r="D706" s="8"/>
      <c r="E706" s="8"/>
      <c r="F706" s="133"/>
      <c r="G706" s="341"/>
      <c r="H706" s="341"/>
    </row>
    <row r="707" spans="1:8" x14ac:dyDescent="0.25">
      <c r="A707" s="133"/>
      <c r="B707" s="8"/>
      <c r="C707" s="8"/>
      <c r="D707" s="8"/>
      <c r="E707" s="8"/>
      <c r="F707" s="133"/>
      <c r="G707" s="341"/>
      <c r="H707" s="341"/>
    </row>
    <row r="708" spans="1:8" x14ac:dyDescent="0.25">
      <c r="A708" s="133"/>
      <c r="B708" s="8"/>
      <c r="C708" s="8"/>
      <c r="D708" s="8"/>
      <c r="E708" s="8"/>
      <c r="F708" s="133"/>
      <c r="G708" s="341"/>
      <c r="H708" s="341"/>
    </row>
    <row r="709" spans="1:8" ht="15" customHeight="1" x14ac:dyDescent="0.25">
      <c r="A709" s="220" t="s">
        <v>5482</v>
      </c>
      <c r="B709" s="221" t="s">
        <v>5564</v>
      </c>
      <c r="C709" s="2449" t="s">
        <v>5565</v>
      </c>
      <c r="D709" s="2449"/>
      <c r="E709" s="2449"/>
      <c r="F709" s="220" t="s">
        <v>867</v>
      </c>
      <c r="G709" s="342" t="s">
        <v>5454</v>
      </c>
      <c r="H709" s="341"/>
    </row>
    <row r="710" spans="1:8" x14ac:dyDescent="0.25">
      <c r="A710" s="133"/>
      <c r="B710" s="8"/>
      <c r="C710" s="223"/>
      <c r="D710" s="223"/>
      <c r="E710" s="223"/>
      <c r="F710" s="133"/>
      <c r="G710" s="341"/>
      <c r="H710" s="341"/>
    </row>
    <row r="711" spans="1:8" x14ac:dyDescent="0.25">
      <c r="A711" s="133"/>
      <c r="B711" s="8"/>
      <c r="C711" s="8"/>
      <c r="D711" s="8"/>
      <c r="E711" s="8"/>
      <c r="F711" s="8"/>
      <c r="G711" s="8"/>
      <c r="H711" s="341"/>
    </row>
    <row r="712" spans="1:8" ht="15.75" thickBot="1" x14ac:dyDescent="0.3">
      <c r="A712" s="133"/>
      <c r="B712" s="8"/>
      <c r="C712" s="8"/>
      <c r="D712" s="8"/>
      <c r="E712" s="8"/>
      <c r="F712" s="133"/>
      <c r="G712" s="341"/>
      <c r="H712" s="341"/>
    </row>
    <row r="713" spans="1:8" ht="15.75" thickBot="1" x14ac:dyDescent="0.3">
      <c r="A713" s="133"/>
      <c r="B713" s="224" t="s">
        <v>5403</v>
      </c>
      <c r="C713" s="193" t="s">
        <v>867</v>
      </c>
      <c r="D713" s="193" t="s">
        <v>6</v>
      </c>
      <c r="E713" s="193" t="s">
        <v>5439</v>
      </c>
      <c r="F713" s="193" t="s">
        <v>5405</v>
      </c>
      <c r="G713" s="343" t="s">
        <v>868</v>
      </c>
      <c r="H713" s="341"/>
    </row>
    <row r="714" spans="1:8" x14ac:dyDescent="0.25">
      <c r="A714" s="133"/>
      <c r="B714" s="195" t="s">
        <v>5440</v>
      </c>
      <c r="C714" s="226" t="s">
        <v>5542</v>
      </c>
      <c r="D714" s="226">
        <v>1</v>
      </c>
      <c r="E714" s="228">
        <f>+H752</f>
        <v>12617</v>
      </c>
      <c r="F714" s="226">
        <v>0.1</v>
      </c>
      <c r="G714" s="344">
        <f>+E714*F714</f>
        <v>1261.7</v>
      </c>
      <c r="H714" s="341"/>
    </row>
    <row r="715" spans="1:8" x14ac:dyDescent="0.25">
      <c r="A715" s="133"/>
      <c r="B715" s="195" t="s">
        <v>5548</v>
      </c>
      <c r="C715" s="226" t="s">
        <v>5542</v>
      </c>
      <c r="D715" s="226">
        <v>1</v>
      </c>
      <c r="E715" s="228">
        <v>10000</v>
      </c>
      <c r="F715" s="226">
        <v>0.6</v>
      </c>
      <c r="G715" s="344">
        <f>+E715*F715</f>
        <v>6000</v>
      </c>
      <c r="H715" s="341"/>
    </row>
    <row r="716" spans="1:8" x14ac:dyDescent="0.25">
      <c r="A716" s="133"/>
      <c r="B716" s="195"/>
      <c r="C716" s="226"/>
      <c r="D716" s="226"/>
      <c r="E716" s="345"/>
      <c r="F716" s="226"/>
      <c r="G716" s="344"/>
      <c r="H716" s="341"/>
    </row>
    <row r="717" spans="1:8" x14ac:dyDescent="0.25">
      <c r="A717" s="133"/>
      <c r="B717" s="195"/>
      <c r="C717" s="226"/>
      <c r="D717" s="226"/>
      <c r="E717" s="346"/>
      <c r="F717" s="226"/>
      <c r="G717" s="344"/>
      <c r="H717" s="341"/>
    </row>
    <row r="718" spans="1:8" x14ac:dyDescent="0.25">
      <c r="A718" s="133"/>
      <c r="B718" s="195"/>
      <c r="C718" s="226"/>
      <c r="D718" s="232"/>
      <c r="E718" s="232"/>
      <c r="F718" s="226"/>
      <c r="G718" s="344"/>
      <c r="H718" s="341"/>
    </row>
    <row r="719" spans="1:8" ht="15.75" thickBot="1" x14ac:dyDescent="0.3">
      <c r="A719" s="133"/>
      <c r="B719" s="195"/>
      <c r="C719" s="226"/>
      <c r="D719" s="232"/>
      <c r="E719" s="232"/>
      <c r="F719" s="226"/>
      <c r="G719" s="344"/>
      <c r="H719" s="341"/>
    </row>
    <row r="720" spans="1:8" ht="15.75" thickBot="1" x14ac:dyDescent="0.3">
      <c r="A720" s="133"/>
      <c r="B720" s="233"/>
      <c r="C720" s="234"/>
      <c r="D720" s="234"/>
      <c r="E720" s="234"/>
      <c r="F720" s="235"/>
      <c r="G720" s="347"/>
      <c r="H720" s="348">
        <f>+SUM(G714:G720)</f>
        <v>7261.7</v>
      </c>
    </row>
    <row r="721" spans="1:8" ht="15.75" thickBot="1" x14ac:dyDescent="0.3">
      <c r="A721" s="133"/>
      <c r="B721" s="238"/>
      <c r="C721" s="238"/>
      <c r="D721" s="238"/>
      <c r="E721" s="238"/>
      <c r="F721" s="239"/>
      <c r="G721" s="349"/>
      <c r="H721" s="350"/>
    </row>
    <row r="722" spans="1:8" ht="15.75" thickBot="1" x14ac:dyDescent="0.3">
      <c r="A722" s="133"/>
      <c r="B722" s="224" t="s">
        <v>5408</v>
      </c>
      <c r="C722" s="193" t="s">
        <v>867</v>
      </c>
      <c r="D722" s="193" t="s">
        <v>6</v>
      </c>
      <c r="E722" s="193" t="s">
        <v>870</v>
      </c>
      <c r="F722" s="193" t="s">
        <v>5409</v>
      </c>
      <c r="G722" s="343" t="s">
        <v>868</v>
      </c>
      <c r="H722" s="341"/>
    </row>
    <row r="723" spans="1:8" x14ac:dyDescent="0.25">
      <c r="A723" s="133"/>
      <c r="B723" s="245" t="s">
        <v>5702</v>
      </c>
      <c r="C723" s="202" t="s">
        <v>5542</v>
      </c>
      <c r="D723" s="274">
        <v>1.28399</v>
      </c>
      <c r="E723" s="228">
        <v>55000</v>
      </c>
      <c r="F723" s="169">
        <v>0</v>
      </c>
      <c r="G723" s="351">
        <f>+D723*E723*(1+F723)</f>
        <v>70619.45</v>
      </c>
      <c r="H723" s="341"/>
    </row>
    <row r="724" spans="1:8" x14ac:dyDescent="0.25">
      <c r="A724" s="133"/>
      <c r="B724" s="247" t="s">
        <v>6038</v>
      </c>
      <c r="C724" s="202" t="s">
        <v>5431</v>
      </c>
      <c r="D724" s="202">
        <v>288.2</v>
      </c>
      <c r="E724" s="228">
        <v>520</v>
      </c>
      <c r="F724" s="169">
        <v>0.02</v>
      </c>
      <c r="G724" s="351">
        <f>+D724*E724*(1+F724)</f>
        <v>152861.28</v>
      </c>
      <c r="H724" s="341"/>
    </row>
    <row r="725" spans="1:8" x14ac:dyDescent="0.25">
      <c r="A725" s="133"/>
      <c r="B725" s="247" t="s">
        <v>5553</v>
      </c>
      <c r="C725" s="226" t="s">
        <v>5488</v>
      </c>
      <c r="D725" s="226">
        <v>170</v>
      </c>
      <c r="E725" s="332">
        <v>10</v>
      </c>
      <c r="F725" s="169">
        <v>0.1</v>
      </c>
      <c r="G725" s="351">
        <f>+D725*E725*(1+F725)</f>
        <v>1870.0000000000002</v>
      </c>
      <c r="H725" s="341"/>
    </row>
    <row r="726" spans="1:8" x14ac:dyDescent="0.25">
      <c r="A726" s="133"/>
      <c r="B726" s="194"/>
      <c r="C726" s="226"/>
      <c r="D726" s="226"/>
      <c r="E726" s="345"/>
      <c r="F726" s="169"/>
      <c r="G726" s="351"/>
      <c r="H726" s="341"/>
    </row>
    <row r="727" spans="1:8" x14ac:dyDescent="0.25">
      <c r="A727" s="133"/>
      <c r="B727" s="195"/>
      <c r="C727" s="226"/>
      <c r="D727" s="226"/>
      <c r="E727" s="345"/>
      <c r="F727" s="169"/>
      <c r="G727" s="351"/>
      <c r="H727" s="341"/>
    </row>
    <row r="728" spans="1:8" x14ac:dyDescent="0.25">
      <c r="A728" s="133"/>
      <c r="B728" s="194"/>
      <c r="C728" s="202"/>
      <c r="D728" s="202"/>
      <c r="E728" s="345"/>
      <c r="F728" s="169"/>
      <c r="G728" s="351"/>
      <c r="H728" s="341"/>
    </row>
    <row r="729" spans="1:8" x14ac:dyDescent="0.25">
      <c r="A729" s="133"/>
      <c r="B729" s="195"/>
      <c r="C729" s="226"/>
      <c r="D729" s="226"/>
      <c r="E729" s="345"/>
      <c r="F729" s="169"/>
      <c r="G729" s="351"/>
      <c r="H729" s="341"/>
    </row>
    <row r="730" spans="1:8" x14ac:dyDescent="0.25">
      <c r="A730" s="133"/>
      <c r="B730" s="195"/>
      <c r="C730" s="226"/>
      <c r="D730" s="226"/>
      <c r="E730" s="345"/>
      <c r="F730" s="169"/>
      <c r="G730" s="351"/>
      <c r="H730" s="341"/>
    </row>
    <row r="731" spans="1:8" x14ac:dyDescent="0.25">
      <c r="A731" s="133"/>
      <c r="B731" s="195"/>
      <c r="C731" s="232"/>
      <c r="D731" s="232"/>
      <c r="E731" s="232"/>
      <c r="F731" s="226"/>
      <c r="G731" s="344"/>
      <c r="H731" s="341"/>
    </row>
    <row r="732" spans="1:8" x14ac:dyDescent="0.25">
      <c r="A732" s="133"/>
      <c r="B732" s="195"/>
      <c r="C732" s="232"/>
      <c r="D732" s="232"/>
      <c r="E732" s="232"/>
      <c r="F732" s="226"/>
      <c r="G732" s="344"/>
      <c r="H732" s="341"/>
    </row>
    <row r="733" spans="1:8" x14ac:dyDescent="0.25">
      <c r="A733" s="133"/>
      <c r="B733" s="195"/>
      <c r="C733" s="232"/>
      <c r="D733" s="232"/>
      <c r="E733" s="232"/>
      <c r="F733" s="226"/>
      <c r="G733" s="344"/>
      <c r="H733" s="341"/>
    </row>
    <row r="734" spans="1:8" ht="15.75" thickBot="1" x14ac:dyDescent="0.3">
      <c r="A734" s="133"/>
      <c r="B734" s="195"/>
      <c r="C734" s="232"/>
      <c r="D734" s="232"/>
      <c r="E734" s="232"/>
      <c r="F734" s="226"/>
      <c r="G734" s="344"/>
      <c r="H734" s="341"/>
    </row>
    <row r="735" spans="1:8" ht="15.75" thickBot="1" x14ac:dyDescent="0.3">
      <c r="A735" s="133"/>
      <c r="B735" s="233"/>
      <c r="C735" s="234"/>
      <c r="D735" s="234"/>
      <c r="E735" s="234"/>
      <c r="F735" s="235"/>
      <c r="G735" s="347"/>
      <c r="H735" s="358">
        <f>+SUM(G723:G735)</f>
        <v>225350.72999999998</v>
      </c>
    </row>
    <row r="736" spans="1:8" ht="15.75" thickBot="1" x14ac:dyDescent="0.3">
      <c r="A736" s="133"/>
      <c r="B736" s="238"/>
      <c r="C736" s="238"/>
      <c r="D736" s="238"/>
      <c r="E736" s="238"/>
      <c r="F736" s="239"/>
      <c r="G736" s="349"/>
      <c r="H736" s="350"/>
    </row>
    <row r="737" spans="1:8" ht="15.75" thickBot="1" x14ac:dyDescent="0.3">
      <c r="A737" s="133"/>
      <c r="B737" s="224" t="s">
        <v>5410</v>
      </c>
      <c r="C737" s="193" t="s">
        <v>867</v>
      </c>
      <c r="D737" s="193" t="s">
        <v>6</v>
      </c>
      <c r="E737" s="193" t="s">
        <v>870</v>
      </c>
      <c r="F737" s="193" t="s">
        <v>5411</v>
      </c>
      <c r="G737" s="343" t="s">
        <v>868</v>
      </c>
      <c r="H737" s="341"/>
    </row>
    <row r="738" spans="1:8" x14ac:dyDescent="0.25">
      <c r="A738" s="133"/>
      <c r="B738" s="245"/>
      <c r="C738" s="202"/>
      <c r="D738" s="202"/>
      <c r="E738" s="353"/>
      <c r="F738" s="202"/>
      <c r="G738" s="354"/>
      <c r="H738" s="355"/>
    </row>
    <row r="739" spans="1:8" x14ac:dyDescent="0.25">
      <c r="A739" s="133"/>
      <c r="B739" s="247"/>
      <c r="C739" s="248"/>
      <c r="D739" s="248"/>
      <c r="E739" s="248"/>
      <c r="F739" s="202"/>
      <c r="G739" s="351"/>
      <c r="H739" s="341"/>
    </row>
    <row r="740" spans="1:8" x14ac:dyDescent="0.25">
      <c r="A740" s="133"/>
      <c r="B740" s="247"/>
      <c r="C740" s="232"/>
      <c r="D740" s="232"/>
      <c r="E740" s="232"/>
      <c r="F740" s="226"/>
      <c r="G740" s="344"/>
      <c r="H740" s="341"/>
    </row>
    <row r="741" spans="1:8" x14ac:dyDescent="0.25">
      <c r="A741" s="133"/>
      <c r="B741" s="194"/>
      <c r="C741" s="232"/>
      <c r="D741" s="232"/>
      <c r="E741" s="232"/>
      <c r="F741" s="226"/>
      <c r="G741" s="344"/>
      <c r="H741" s="341"/>
    </row>
    <row r="742" spans="1:8" ht="15.75" thickBot="1" x14ac:dyDescent="0.3">
      <c r="A742" s="133"/>
      <c r="B742" s="195"/>
      <c r="C742" s="232"/>
      <c r="D742" s="232"/>
      <c r="E742" s="232"/>
      <c r="F742" s="226"/>
      <c r="G742" s="344"/>
      <c r="H742" s="341"/>
    </row>
    <row r="743" spans="1:8" ht="15.75" thickBot="1" x14ac:dyDescent="0.3">
      <c r="A743" s="133"/>
      <c r="B743" s="233"/>
      <c r="C743" s="234"/>
      <c r="D743" s="234"/>
      <c r="E743" s="234"/>
      <c r="F743" s="235"/>
      <c r="G743" s="347"/>
      <c r="H743" s="348">
        <f>+SUM(G738:G743)</f>
        <v>0</v>
      </c>
    </row>
    <row r="744" spans="1:8" ht="15.75" thickBot="1" x14ac:dyDescent="0.3">
      <c r="A744" s="133"/>
      <c r="B744" s="238"/>
      <c r="C744" s="238"/>
      <c r="D744" s="238"/>
      <c r="E744" s="238"/>
      <c r="F744" s="249"/>
      <c r="G744" s="356"/>
      <c r="H744" s="350"/>
    </row>
    <row r="745" spans="1:8" ht="15.75" thickBot="1" x14ac:dyDescent="0.3">
      <c r="A745" s="133"/>
      <c r="B745" s="224" t="s">
        <v>5412</v>
      </c>
      <c r="C745" s="193" t="s">
        <v>5420</v>
      </c>
      <c r="D745" s="193" t="s">
        <v>5421</v>
      </c>
      <c r="E745" s="193" t="s">
        <v>5413</v>
      </c>
      <c r="F745" s="193" t="s">
        <v>5405</v>
      </c>
      <c r="G745" s="343" t="s">
        <v>868</v>
      </c>
      <c r="H745" s="341"/>
    </row>
    <row r="746" spans="1:8" x14ac:dyDescent="0.25">
      <c r="A746" s="133"/>
      <c r="B746" s="194" t="s">
        <v>5948</v>
      </c>
      <c r="C746" s="345">
        <v>70000</v>
      </c>
      <c r="D746" s="345">
        <f>+C746*0.85</f>
        <v>59500</v>
      </c>
      <c r="E746" s="353">
        <f>+C746+D746</f>
        <v>129500</v>
      </c>
      <c r="F746" s="209">
        <v>100</v>
      </c>
      <c r="G746" s="351">
        <f>+E746/F746</f>
        <v>1295</v>
      </c>
      <c r="H746" s="341"/>
    </row>
    <row r="747" spans="1:8" x14ac:dyDescent="0.25">
      <c r="A747" s="133"/>
      <c r="B747" s="194" t="s">
        <v>5949</v>
      </c>
      <c r="C747" s="345">
        <v>40000</v>
      </c>
      <c r="D747" s="345">
        <f>+C747*0.85</f>
        <v>34000</v>
      </c>
      <c r="E747" s="353">
        <f>+C747+D747</f>
        <v>74000</v>
      </c>
      <c r="F747" s="202">
        <v>20</v>
      </c>
      <c r="G747" s="351">
        <f>+E747/F747</f>
        <v>3700</v>
      </c>
      <c r="H747" s="341"/>
    </row>
    <row r="748" spans="1:8" x14ac:dyDescent="0.25">
      <c r="A748" s="133"/>
      <c r="B748" s="195" t="s">
        <v>5635</v>
      </c>
      <c r="C748" s="345">
        <v>20600</v>
      </c>
      <c r="D748" s="345">
        <f>+C748*0.85</f>
        <v>17510</v>
      </c>
      <c r="E748" s="353">
        <f>+C748+D748</f>
        <v>38110</v>
      </c>
      <c r="F748" s="226">
        <v>5</v>
      </c>
      <c r="G748" s="351">
        <f>+E748/F748</f>
        <v>7622</v>
      </c>
      <c r="H748" s="341"/>
    </row>
    <row r="749" spans="1:8" x14ac:dyDescent="0.25">
      <c r="A749" s="133"/>
      <c r="B749" s="195"/>
      <c r="C749" s="346"/>
      <c r="D749" s="345"/>
      <c r="E749" s="345"/>
      <c r="F749" s="226"/>
      <c r="G749" s="351"/>
      <c r="H749" s="341"/>
    </row>
    <row r="750" spans="1:8" x14ac:dyDescent="0.25">
      <c r="A750" s="133"/>
      <c r="B750" s="195"/>
      <c r="C750" s="232"/>
      <c r="D750" s="232"/>
      <c r="E750" s="232"/>
      <c r="F750" s="226"/>
      <c r="G750" s="344"/>
      <c r="H750" s="341"/>
    </row>
    <row r="751" spans="1:8" ht="15.75" thickBot="1" x14ac:dyDescent="0.3">
      <c r="A751" s="133"/>
      <c r="B751" s="195"/>
      <c r="C751" s="232"/>
      <c r="D751" s="232"/>
      <c r="E751" s="232"/>
      <c r="F751" s="226"/>
      <c r="G751" s="344"/>
      <c r="H751" s="341"/>
    </row>
    <row r="752" spans="1:8" ht="15.75" thickBot="1" x14ac:dyDescent="0.3">
      <c r="A752" s="133"/>
      <c r="B752" s="251"/>
      <c r="C752" s="252"/>
      <c r="D752" s="252"/>
      <c r="E752" s="252"/>
      <c r="F752" s="253"/>
      <c r="G752" s="357"/>
      <c r="H752" s="358">
        <f>+SUM(G746:G752)</f>
        <v>12617</v>
      </c>
    </row>
    <row r="753" spans="1:8" ht="15.75" thickBot="1" x14ac:dyDescent="0.3">
      <c r="A753" s="133"/>
      <c r="B753" s="8"/>
      <c r="C753" s="8"/>
      <c r="D753" s="8"/>
      <c r="E753" s="8"/>
      <c r="F753" s="133"/>
      <c r="G753" s="341"/>
      <c r="H753" s="341"/>
    </row>
    <row r="754" spans="1:8" ht="15.75" thickBot="1" x14ac:dyDescent="0.3">
      <c r="A754" s="133"/>
      <c r="B754" s="8"/>
      <c r="C754" s="8"/>
      <c r="D754" s="8"/>
      <c r="E754" s="223"/>
      <c r="F754" s="133"/>
      <c r="G754" s="341"/>
      <c r="H754" s="358">
        <f>ROUND(+H752+H743+H735+H720,0)</f>
        <v>245229</v>
      </c>
    </row>
    <row r="759" spans="1:8" ht="18.75" x14ac:dyDescent="0.25">
      <c r="A759" s="133"/>
      <c r="B759" s="2506" t="s">
        <v>5400</v>
      </c>
      <c r="C759" s="2506"/>
      <c r="D759" s="2506"/>
      <c r="E759" s="2506"/>
      <c r="F759" s="2506"/>
      <c r="G759" s="2506"/>
      <c r="H759" s="8"/>
    </row>
    <row r="760" spans="1:8" x14ac:dyDescent="0.25">
      <c r="A760" s="133"/>
      <c r="B760" s="8"/>
      <c r="C760" s="8"/>
      <c r="D760" s="8"/>
      <c r="E760" s="8"/>
      <c r="F760" s="133"/>
      <c r="G760" s="341"/>
      <c r="H760" s="341"/>
    </row>
    <row r="761" spans="1:8" x14ac:dyDescent="0.25">
      <c r="A761" s="133"/>
      <c r="B761" s="8"/>
      <c r="C761" s="8"/>
      <c r="D761" s="8"/>
      <c r="E761" s="8"/>
      <c r="F761" s="133"/>
      <c r="G761" s="341"/>
      <c r="H761" s="341"/>
    </row>
    <row r="762" spans="1:8" x14ac:dyDescent="0.25">
      <c r="A762" s="133"/>
      <c r="B762" s="8"/>
      <c r="C762" s="8"/>
      <c r="D762" s="8"/>
      <c r="E762" s="8"/>
      <c r="F762" s="133"/>
      <c r="G762" s="341"/>
      <c r="H762" s="341"/>
    </row>
    <row r="763" spans="1:8" ht="15" customHeight="1" x14ac:dyDescent="0.25">
      <c r="A763" s="220" t="s">
        <v>5482</v>
      </c>
      <c r="B763" s="221" t="s">
        <v>5566</v>
      </c>
      <c r="C763" s="2449" t="s">
        <v>5567</v>
      </c>
      <c r="D763" s="2449"/>
      <c r="E763" s="2449"/>
      <c r="F763" s="220" t="s">
        <v>867</v>
      </c>
      <c r="G763" s="342" t="s">
        <v>5454</v>
      </c>
      <c r="H763" s="341"/>
    </row>
    <row r="764" spans="1:8" x14ac:dyDescent="0.25">
      <c r="A764" s="133"/>
      <c r="B764" s="8"/>
      <c r="C764" s="223"/>
      <c r="D764" s="223"/>
      <c r="E764" s="223"/>
      <c r="F764" s="133"/>
      <c r="G764" s="341"/>
      <c r="H764" s="341"/>
    </row>
    <row r="765" spans="1:8" x14ac:dyDescent="0.25">
      <c r="A765" s="133"/>
      <c r="B765" s="8"/>
      <c r="C765" s="8"/>
      <c r="D765" s="8"/>
      <c r="E765" s="8"/>
      <c r="F765" s="8"/>
      <c r="G765" s="8"/>
      <c r="H765" s="341"/>
    </row>
    <row r="766" spans="1:8" ht="15.75" thickBot="1" x14ac:dyDescent="0.3">
      <c r="A766" s="133"/>
      <c r="B766" s="8"/>
      <c r="C766" s="8"/>
      <c r="D766" s="8"/>
      <c r="E766" s="8"/>
      <c r="F766" s="133"/>
      <c r="G766" s="341"/>
      <c r="H766" s="341"/>
    </row>
    <row r="767" spans="1:8" ht="15.75" thickBot="1" x14ac:dyDescent="0.3">
      <c r="A767" s="133"/>
      <c r="B767" s="224" t="s">
        <v>5403</v>
      </c>
      <c r="C767" s="193" t="s">
        <v>867</v>
      </c>
      <c r="D767" s="193" t="s">
        <v>6</v>
      </c>
      <c r="E767" s="193" t="s">
        <v>5439</v>
      </c>
      <c r="F767" s="193" t="s">
        <v>5405</v>
      </c>
      <c r="G767" s="343" t="s">
        <v>868</v>
      </c>
      <c r="H767" s="341"/>
    </row>
    <row r="768" spans="1:8" x14ac:dyDescent="0.25">
      <c r="A768" s="133"/>
      <c r="B768" s="195" t="s">
        <v>5440</v>
      </c>
      <c r="C768" s="226" t="s">
        <v>5542</v>
      </c>
      <c r="D768" s="226">
        <v>1</v>
      </c>
      <c r="E768" s="228">
        <f>+H806</f>
        <v>14522.5</v>
      </c>
      <c r="F768" s="226">
        <v>0.1</v>
      </c>
      <c r="G768" s="344">
        <f>+E768*F768</f>
        <v>1452.25</v>
      </c>
      <c r="H768" s="341"/>
    </row>
    <row r="769" spans="1:8" x14ac:dyDescent="0.25">
      <c r="A769" s="133"/>
      <c r="B769" s="195" t="s">
        <v>5548</v>
      </c>
      <c r="C769" s="226" t="s">
        <v>5542</v>
      </c>
      <c r="D769" s="226">
        <v>1</v>
      </c>
      <c r="E769" s="228">
        <v>10000</v>
      </c>
      <c r="F769" s="226">
        <v>0.6</v>
      </c>
      <c r="G769" s="344">
        <f>+E769*F769</f>
        <v>6000</v>
      </c>
      <c r="H769" s="341"/>
    </row>
    <row r="770" spans="1:8" x14ac:dyDescent="0.25">
      <c r="A770" s="133"/>
      <c r="B770" s="195"/>
      <c r="C770" s="226"/>
      <c r="D770" s="226"/>
      <c r="E770" s="345"/>
      <c r="F770" s="226"/>
      <c r="G770" s="344"/>
      <c r="H770" s="341"/>
    </row>
    <row r="771" spans="1:8" x14ac:dyDescent="0.25">
      <c r="A771" s="133"/>
      <c r="B771" s="195"/>
      <c r="C771" s="226"/>
      <c r="D771" s="226"/>
      <c r="E771" s="346"/>
      <c r="F771" s="226"/>
      <c r="G771" s="344"/>
      <c r="H771" s="341"/>
    </row>
    <row r="772" spans="1:8" x14ac:dyDescent="0.25">
      <c r="A772" s="133"/>
      <c r="B772" s="195"/>
      <c r="C772" s="226"/>
      <c r="D772" s="232"/>
      <c r="E772" s="232"/>
      <c r="F772" s="226"/>
      <c r="G772" s="344"/>
      <c r="H772" s="341"/>
    </row>
    <row r="773" spans="1:8" ht="15.75" thickBot="1" x14ac:dyDescent="0.3">
      <c r="A773" s="133"/>
      <c r="B773" s="195"/>
      <c r="C773" s="226"/>
      <c r="D773" s="232"/>
      <c r="E773" s="232"/>
      <c r="F773" s="226"/>
      <c r="G773" s="344"/>
      <c r="H773" s="341"/>
    </row>
    <row r="774" spans="1:8" ht="15.75" thickBot="1" x14ac:dyDescent="0.3">
      <c r="A774" s="133"/>
      <c r="B774" s="233"/>
      <c r="C774" s="234"/>
      <c r="D774" s="234"/>
      <c r="E774" s="234"/>
      <c r="F774" s="235"/>
      <c r="G774" s="347"/>
      <c r="H774" s="348">
        <f>+SUM(G768:G774)</f>
        <v>7452.25</v>
      </c>
    </row>
    <row r="775" spans="1:8" ht="15.75" thickBot="1" x14ac:dyDescent="0.3">
      <c r="A775" s="133"/>
      <c r="B775" s="238"/>
      <c r="C775" s="238"/>
      <c r="D775" s="238"/>
      <c r="E775" s="238"/>
      <c r="F775" s="239"/>
      <c r="G775" s="349"/>
      <c r="H775" s="350"/>
    </row>
    <row r="776" spans="1:8" ht="15.75" thickBot="1" x14ac:dyDescent="0.3">
      <c r="A776" s="133"/>
      <c r="B776" s="224" t="s">
        <v>5408</v>
      </c>
      <c r="C776" s="193" t="s">
        <v>867</v>
      </c>
      <c r="D776" s="193" t="s">
        <v>6</v>
      </c>
      <c r="E776" s="193" t="s">
        <v>870</v>
      </c>
      <c r="F776" s="193" t="s">
        <v>5409</v>
      </c>
      <c r="G776" s="343" t="s">
        <v>868</v>
      </c>
      <c r="H776" s="341"/>
    </row>
    <row r="777" spans="1:8" x14ac:dyDescent="0.25">
      <c r="A777" s="133"/>
      <c r="B777" s="245" t="s">
        <v>5702</v>
      </c>
      <c r="C777" s="202" t="s">
        <v>5542</v>
      </c>
      <c r="D777" s="274">
        <v>1.28399</v>
      </c>
      <c r="E777" s="228">
        <v>55000</v>
      </c>
      <c r="F777" s="169">
        <v>0</v>
      </c>
      <c r="G777" s="351">
        <f>+D777*E777*(1+F777)</f>
        <v>70619.45</v>
      </c>
      <c r="H777" s="341"/>
    </row>
    <row r="778" spans="1:8" x14ac:dyDescent="0.25">
      <c r="A778" s="133"/>
      <c r="B778" s="247" t="s">
        <v>6038</v>
      </c>
      <c r="C778" s="202" t="s">
        <v>5431</v>
      </c>
      <c r="D778" s="202">
        <v>330</v>
      </c>
      <c r="E778" s="228">
        <v>520</v>
      </c>
      <c r="F778" s="169">
        <v>0.02</v>
      </c>
      <c r="G778" s="351">
        <f>+D778*E778*(1+F778)</f>
        <v>175032</v>
      </c>
      <c r="H778" s="341"/>
    </row>
    <row r="779" spans="1:8" x14ac:dyDescent="0.25">
      <c r="A779" s="133"/>
      <c r="B779" s="247" t="s">
        <v>5553</v>
      </c>
      <c r="C779" s="226" t="s">
        <v>5488</v>
      </c>
      <c r="D779" s="226">
        <v>180</v>
      </c>
      <c r="E779" s="332">
        <v>10</v>
      </c>
      <c r="F779" s="169">
        <v>0.1</v>
      </c>
      <c r="G779" s="351">
        <f>+D779*E779*(1+F779)</f>
        <v>1980.0000000000002</v>
      </c>
      <c r="H779" s="341"/>
    </row>
    <row r="780" spans="1:8" x14ac:dyDescent="0.25">
      <c r="A780" s="133"/>
      <c r="B780" s="194"/>
      <c r="C780" s="226"/>
      <c r="D780" s="226"/>
      <c r="E780" s="345"/>
      <c r="F780" s="169"/>
      <c r="G780" s="351"/>
      <c r="H780" s="341"/>
    </row>
    <row r="781" spans="1:8" x14ac:dyDescent="0.25">
      <c r="A781" s="133"/>
      <c r="B781" s="195"/>
      <c r="C781" s="226"/>
      <c r="D781" s="226"/>
      <c r="E781" s="345"/>
      <c r="F781" s="169"/>
      <c r="G781" s="351"/>
      <c r="H781" s="341"/>
    </row>
    <row r="782" spans="1:8" x14ac:dyDescent="0.25">
      <c r="A782" s="133"/>
      <c r="B782" s="194"/>
      <c r="C782" s="202"/>
      <c r="D782" s="202"/>
      <c r="E782" s="345"/>
      <c r="F782" s="169"/>
      <c r="G782" s="351"/>
      <c r="H782" s="341"/>
    </row>
    <row r="783" spans="1:8" x14ac:dyDescent="0.25">
      <c r="A783" s="133"/>
      <c r="B783" s="195"/>
      <c r="C783" s="226"/>
      <c r="D783" s="226"/>
      <c r="E783" s="345"/>
      <c r="F783" s="169"/>
      <c r="G783" s="351"/>
      <c r="H783" s="341"/>
    </row>
    <row r="784" spans="1:8" x14ac:dyDescent="0.25">
      <c r="A784" s="133"/>
      <c r="B784" s="195"/>
      <c r="C784" s="226"/>
      <c r="D784" s="226"/>
      <c r="E784" s="345"/>
      <c r="F784" s="169"/>
      <c r="G784" s="351"/>
      <c r="H784" s="341"/>
    </row>
    <row r="785" spans="1:8" x14ac:dyDescent="0.25">
      <c r="A785" s="133"/>
      <c r="B785" s="195"/>
      <c r="C785" s="232"/>
      <c r="D785" s="232"/>
      <c r="E785" s="232"/>
      <c r="F785" s="226"/>
      <c r="G785" s="344"/>
      <c r="H785" s="341"/>
    </row>
    <row r="786" spans="1:8" x14ac:dyDescent="0.25">
      <c r="A786" s="133"/>
      <c r="B786" s="195"/>
      <c r="C786" s="232"/>
      <c r="D786" s="232"/>
      <c r="E786" s="232"/>
      <c r="F786" s="226"/>
      <c r="G786" s="344"/>
      <c r="H786" s="341"/>
    </row>
    <row r="787" spans="1:8" x14ac:dyDescent="0.25">
      <c r="A787" s="133"/>
      <c r="B787" s="195"/>
      <c r="C787" s="232"/>
      <c r="D787" s="232"/>
      <c r="E787" s="232"/>
      <c r="F787" s="226"/>
      <c r="G787" s="344"/>
      <c r="H787" s="341"/>
    </row>
    <row r="788" spans="1:8" ht="15.75" thickBot="1" x14ac:dyDescent="0.3">
      <c r="A788" s="133"/>
      <c r="B788" s="195"/>
      <c r="C788" s="232"/>
      <c r="D788" s="232"/>
      <c r="E788" s="232"/>
      <c r="F788" s="226"/>
      <c r="G788" s="344"/>
      <c r="H788" s="341"/>
    </row>
    <row r="789" spans="1:8" ht="15.75" thickBot="1" x14ac:dyDescent="0.3">
      <c r="A789" s="133"/>
      <c r="B789" s="233"/>
      <c r="C789" s="234"/>
      <c r="D789" s="234"/>
      <c r="E789" s="234"/>
      <c r="F789" s="235"/>
      <c r="G789" s="347"/>
      <c r="H789" s="358">
        <f>+SUM(G777:G789)</f>
        <v>247631.45</v>
      </c>
    </row>
    <row r="790" spans="1:8" ht="15.75" thickBot="1" x14ac:dyDescent="0.3">
      <c r="A790" s="133"/>
      <c r="B790" s="238"/>
      <c r="C790" s="238"/>
      <c r="D790" s="238"/>
      <c r="E790" s="238"/>
      <c r="F790" s="239"/>
      <c r="G790" s="349"/>
      <c r="H790" s="350"/>
    </row>
    <row r="791" spans="1:8" ht="15.75" thickBot="1" x14ac:dyDescent="0.3">
      <c r="A791" s="133"/>
      <c r="B791" s="224" t="s">
        <v>5410</v>
      </c>
      <c r="C791" s="193" t="s">
        <v>867</v>
      </c>
      <c r="D791" s="193" t="s">
        <v>6</v>
      </c>
      <c r="E791" s="193" t="s">
        <v>870</v>
      </c>
      <c r="F791" s="193" t="s">
        <v>5411</v>
      </c>
      <c r="G791" s="343" t="s">
        <v>868</v>
      </c>
      <c r="H791" s="341"/>
    </row>
    <row r="792" spans="1:8" x14ac:dyDescent="0.25">
      <c r="A792" s="133"/>
      <c r="B792" s="245"/>
      <c r="C792" s="202"/>
      <c r="D792" s="202"/>
      <c r="E792" s="353"/>
      <c r="F792" s="202"/>
      <c r="G792" s="354"/>
      <c r="H792" s="355"/>
    </row>
    <row r="793" spans="1:8" x14ac:dyDescent="0.25">
      <c r="A793" s="133"/>
      <c r="B793" s="247"/>
      <c r="C793" s="248"/>
      <c r="D793" s="248"/>
      <c r="E793" s="248"/>
      <c r="F793" s="202"/>
      <c r="G793" s="351"/>
      <c r="H793" s="341"/>
    </row>
    <row r="794" spans="1:8" x14ac:dyDescent="0.25">
      <c r="A794" s="133"/>
      <c r="B794" s="247"/>
      <c r="C794" s="232"/>
      <c r="D794" s="232"/>
      <c r="E794" s="232"/>
      <c r="F794" s="226"/>
      <c r="G794" s="344"/>
      <c r="H794" s="341"/>
    </row>
    <row r="795" spans="1:8" x14ac:dyDescent="0.25">
      <c r="A795" s="133"/>
      <c r="B795" s="194"/>
      <c r="C795" s="232"/>
      <c r="D795" s="232"/>
      <c r="E795" s="232"/>
      <c r="F795" s="226"/>
      <c r="G795" s="344"/>
      <c r="H795" s="341"/>
    </row>
    <row r="796" spans="1:8" ht="15.75" thickBot="1" x14ac:dyDescent="0.3">
      <c r="A796" s="133"/>
      <c r="B796" s="195"/>
      <c r="C796" s="232"/>
      <c r="D796" s="232"/>
      <c r="E796" s="232"/>
      <c r="F796" s="226"/>
      <c r="G796" s="344"/>
      <c r="H796" s="341"/>
    </row>
    <row r="797" spans="1:8" ht="15.75" thickBot="1" x14ac:dyDescent="0.3">
      <c r="A797" s="133"/>
      <c r="B797" s="233"/>
      <c r="C797" s="234"/>
      <c r="D797" s="234"/>
      <c r="E797" s="234"/>
      <c r="F797" s="235"/>
      <c r="G797" s="347"/>
      <c r="H797" s="348">
        <f>+SUM(G792:G797)</f>
        <v>0</v>
      </c>
    </row>
    <row r="798" spans="1:8" ht="15.75" thickBot="1" x14ac:dyDescent="0.3">
      <c r="A798" s="133"/>
      <c r="B798" s="238"/>
      <c r="C798" s="238"/>
      <c r="D798" s="238"/>
      <c r="E798" s="238"/>
      <c r="F798" s="249"/>
      <c r="G798" s="356"/>
      <c r="H798" s="350"/>
    </row>
    <row r="799" spans="1:8" ht="15.75" thickBot="1" x14ac:dyDescent="0.3">
      <c r="A799" s="133"/>
      <c r="B799" s="224" t="s">
        <v>5412</v>
      </c>
      <c r="C799" s="193" t="s">
        <v>5420</v>
      </c>
      <c r="D799" s="193" t="s">
        <v>5421</v>
      </c>
      <c r="E799" s="193" t="s">
        <v>5413</v>
      </c>
      <c r="F799" s="193" t="s">
        <v>5405</v>
      </c>
      <c r="G799" s="343" t="s">
        <v>868</v>
      </c>
      <c r="H799" s="341"/>
    </row>
    <row r="800" spans="1:8" x14ac:dyDescent="0.25">
      <c r="A800" s="133"/>
      <c r="B800" s="194" t="s">
        <v>5948</v>
      </c>
      <c r="C800" s="345">
        <v>70000</v>
      </c>
      <c r="D800" s="345">
        <f>+C800*0.85</f>
        <v>59500</v>
      </c>
      <c r="E800" s="353">
        <f>+C800+D800</f>
        <v>129500</v>
      </c>
      <c r="F800" s="209">
        <v>100</v>
      </c>
      <c r="G800" s="351">
        <f>+E800/F800</f>
        <v>1295</v>
      </c>
      <c r="H800" s="341"/>
    </row>
    <row r="801" spans="1:8" x14ac:dyDescent="0.25">
      <c r="A801" s="133"/>
      <c r="B801" s="194" t="s">
        <v>5949</v>
      </c>
      <c r="C801" s="345">
        <v>40000</v>
      </c>
      <c r="D801" s="345">
        <f>+C801*0.85</f>
        <v>34000</v>
      </c>
      <c r="E801" s="353">
        <f>+C801+D801</f>
        <v>74000</v>
      </c>
      <c r="F801" s="202">
        <v>20</v>
      </c>
      <c r="G801" s="351">
        <f>+E801/F801</f>
        <v>3700</v>
      </c>
      <c r="H801" s="341"/>
    </row>
    <row r="802" spans="1:8" x14ac:dyDescent="0.25">
      <c r="A802" s="133"/>
      <c r="B802" s="195" t="s">
        <v>5635</v>
      </c>
      <c r="C802" s="345">
        <v>20600</v>
      </c>
      <c r="D802" s="345">
        <f>+C802*0.85</f>
        <v>17510</v>
      </c>
      <c r="E802" s="353">
        <f>+C802+D802</f>
        <v>38110</v>
      </c>
      <c r="F802" s="226">
        <v>4</v>
      </c>
      <c r="G802" s="351">
        <f>+E802/F802</f>
        <v>9527.5</v>
      </c>
      <c r="H802" s="341"/>
    </row>
    <row r="803" spans="1:8" x14ac:dyDescent="0.25">
      <c r="A803" s="133"/>
      <c r="B803" s="195"/>
      <c r="C803" s="346"/>
      <c r="D803" s="345"/>
      <c r="E803" s="345"/>
      <c r="F803" s="226"/>
      <c r="G803" s="351"/>
      <c r="H803" s="341"/>
    </row>
    <row r="804" spans="1:8" x14ac:dyDescent="0.25">
      <c r="A804" s="133"/>
      <c r="B804" s="195"/>
      <c r="C804" s="232"/>
      <c r="D804" s="232"/>
      <c r="E804" s="232"/>
      <c r="F804" s="226"/>
      <c r="G804" s="344"/>
      <c r="H804" s="341"/>
    </row>
    <row r="805" spans="1:8" ht="15.75" thickBot="1" x14ac:dyDescent="0.3">
      <c r="A805" s="133"/>
      <c r="B805" s="195"/>
      <c r="C805" s="232"/>
      <c r="D805" s="232"/>
      <c r="E805" s="232"/>
      <c r="F805" s="226"/>
      <c r="G805" s="344"/>
      <c r="H805" s="341"/>
    </row>
    <row r="806" spans="1:8" ht="15.75" thickBot="1" x14ac:dyDescent="0.3">
      <c r="A806" s="133"/>
      <c r="B806" s="251"/>
      <c r="C806" s="252"/>
      <c r="D806" s="252"/>
      <c r="E806" s="252"/>
      <c r="F806" s="253"/>
      <c r="G806" s="357"/>
      <c r="H806" s="358">
        <f>+SUM(G800:G806)</f>
        <v>14522.5</v>
      </c>
    </row>
    <row r="807" spans="1:8" ht="15.75" thickBot="1" x14ac:dyDescent="0.3">
      <c r="A807" s="133"/>
      <c r="B807" s="8"/>
      <c r="C807" s="8"/>
      <c r="D807" s="8"/>
      <c r="E807" s="8"/>
      <c r="F807" s="133"/>
      <c r="G807" s="341"/>
      <c r="H807" s="341"/>
    </row>
    <row r="808" spans="1:8" ht="15.75" thickBot="1" x14ac:dyDescent="0.3">
      <c r="A808" s="133"/>
      <c r="B808" s="8"/>
      <c r="C808" s="8"/>
      <c r="D808" s="8"/>
      <c r="E808" s="223"/>
      <c r="F808" s="133"/>
      <c r="G808" s="341"/>
      <c r="H808" s="358">
        <f>ROUND(+H806+H797+H789+H774,0)</f>
        <v>269606</v>
      </c>
    </row>
    <row r="813" spans="1:8" ht="18.75" x14ac:dyDescent="0.25">
      <c r="A813" s="133"/>
      <c r="B813" s="2506" t="s">
        <v>5400</v>
      </c>
      <c r="C813" s="2506"/>
      <c r="D813" s="2506"/>
      <c r="E813" s="2506"/>
      <c r="F813" s="2506"/>
      <c r="G813" s="2506"/>
      <c r="H813" s="8"/>
    </row>
    <row r="814" spans="1:8" x14ac:dyDescent="0.25">
      <c r="A814" s="133"/>
      <c r="B814" s="8"/>
      <c r="C814" s="8"/>
      <c r="D814" s="8"/>
      <c r="E814" s="8"/>
      <c r="F814" s="133"/>
      <c r="G814" s="341"/>
      <c r="H814" s="341"/>
    </row>
    <row r="815" spans="1:8" x14ac:dyDescent="0.25">
      <c r="A815" s="133"/>
      <c r="B815" s="8"/>
      <c r="C815" s="8"/>
      <c r="D815" s="8"/>
      <c r="E815" s="8"/>
      <c r="F815" s="133"/>
      <c r="G815" s="341"/>
      <c r="H815" s="341"/>
    </row>
    <row r="816" spans="1:8" x14ac:dyDescent="0.25">
      <c r="A816" s="133"/>
      <c r="B816" s="8"/>
      <c r="C816" s="8"/>
      <c r="D816" s="8"/>
      <c r="E816" s="8"/>
      <c r="F816" s="133"/>
      <c r="G816" s="341"/>
      <c r="H816" s="341"/>
    </row>
    <row r="817" spans="1:8" ht="15" customHeight="1" x14ac:dyDescent="0.25">
      <c r="A817" s="220" t="s">
        <v>5482</v>
      </c>
      <c r="B817" s="221" t="s">
        <v>5568</v>
      </c>
      <c r="C817" s="2449" t="s">
        <v>5569</v>
      </c>
      <c r="D817" s="2449"/>
      <c r="E817" s="2449"/>
      <c r="F817" s="220" t="s">
        <v>867</v>
      </c>
      <c r="G817" s="342" t="s">
        <v>5454</v>
      </c>
      <c r="H817" s="341"/>
    </row>
    <row r="818" spans="1:8" x14ac:dyDescent="0.25">
      <c r="A818" s="133"/>
      <c r="B818" s="8"/>
      <c r="C818" s="223"/>
      <c r="D818" s="223"/>
      <c r="E818" s="223"/>
      <c r="F818" s="133"/>
      <c r="G818" s="341"/>
      <c r="H818" s="341"/>
    </row>
    <row r="819" spans="1:8" x14ac:dyDescent="0.25">
      <c r="A819" s="133"/>
      <c r="B819" s="8"/>
      <c r="C819" s="8"/>
      <c r="D819" s="8"/>
      <c r="E819" s="8"/>
      <c r="F819" s="8"/>
      <c r="G819" s="8"/>
      <c r="H819" s="341"/>
    </row>
    <row r="820" spans="1:8" ht="15.75" thickBot="1" x14ac:dyDescent="0.3">
      <c r="A820" s="133"/>
      <c r="B820" s="8"/>
      <c r="C820" s="8"/>
      <c r="D820" s="8"/>
      <c r="E820" s="8"/>
      <c r="F820" s="133"/>
      <c r="G820" s="341"/>
      <c r="H820" s="341"/>
    </row>
    <row r="821" spans="1:8" ht="15.75" thickBot="1" x14ac:dyDescent="0.3">
      <c r="A821" s="133"/>
      <c r="B821" s="224" t="s">
        <v>5403</v>
      </c>
      <c r="C821" s="193" t="s">
        <v>867</v>
      </c>
      <c r="D821" s="193" t="s">
        <v>6</v>
      </c>
      <c r="E821" s="193" t="s">
        <v>5439</v>
      </c>
      <c r="F821" s="193" t="s">
        <v>5405</v>
      </c>
      <c r="G821" s="343" t="s">
        <v>868</v>
      </c>
      <c r="H821" s="341"/>
    </row>
    <row r="822" spans="1:8" x14ac:dyDescent="0.25">
      <c r="A822" s="133"/>
      <c r="B822" s="195" t="s">
        <v>5440</v>
      </c>
      <c r="C822" s="226" t="s">
        <v>5542</v>
      </c>
      <c r="D822" s="226">
        <v>1</v>
      </c>
      <c r="E822" s="228">
        <f>+H860</f>
        <v>14522.5</v>
      </c>
      <c r="F822" s="226">
        <v>0.1</v>
      </c>
      <c r="G822" s="344">
        <f>+E822*F822</f>
        <v>1452.25</v>
      </c>
      <c r="H822" s="341"/>
    </row>
    <row r="823" spans="1:8" x14ac:dyDescent="0.25">
      <c r="A823" s="133"/>
      <c r="B823" s="195" t="s">
        <v>5548</v>
      </c>
      <c r="C823" s="226" t="s">
        <v>5542</v>
      </c>
      <c r="D823" s="226">
        <v>1</v>
      </c>
      <c r="E823" s="228">
        <v>10000</v>
      </c>
      <c r="F823" s="226">
        <v>0.8</v>
      </c>
      <c r="G823" s="344">
        <f>+E823*F823</f>
        <v>8000</v>
      </c>
      <c r="H823" s="341"/>
    </row>
    <row r="824" spans="1:8" x14ac:dyDescent="0.25">
      <c r="A824" s="133"/>
      <c r="B824" s="195"/>
      <c r="C824" s="226"/>
      <c r="D824" s="226"/>
      <c r="E824" s="345"/>
      <c r="F824" s="226"/>
      <c r="G824" s="344"/>
      <c r="H824" s="341"/>
    </row>
    <row r="825" spans="1:8" x14ac:dyDescent="0.25">
      <c r="A825" s="133"/>
      <c r="B825" s="195"/>
      <c r="C825" s="226"/>
      <c r="D825" s="226"/>
      <c r="E825" s="346"/>
      <c r="F825" s="226"/>
      <c r="G825" s="344"/>
      <c r="H825" s="341"/>
    </row>
    <row r="826" spans="1:8" x14ac:dyDescent="0.25">
      <c r="A826" s="133"/>
      <c r="B826" s="195"/>
      <c r="C826" s="226"/>
      <c r="D826" s="232"/>
      <c r="E826" s="232"/>
      <c r="F826" s="226"/>
      <c r="G826" s="344"/>
      <c r="H826" s="341"/>
    </row>
    <row r="827" spans="1:8" ht="15.75" thickBot="1" x14ac:dyDescent="0.3">
      <c r="A827" s="133"/>
      <c r="B827" s="195"/>
      <c r="C827" s="226"/>
      <c r="D827" s="232"/>
      <c r="E827" s="232"/>
      <c r="F827" s="226"/>
      <c r="G827" s="344"/>
      <c r="H827" s="341"/>
    </row>
    <row r="828" spans="1:8" ht="15.75" thickBot="1" x14ac:dyDescent="0.3">
      <c r="A828" s="133"/>
      <c r="B828" s="233"/>
      <c r="C828" s="234"/>
      <c r="D828" s="234"/>
      <c r="E828" s="234"/>
      <c r="F828" s="235"/>
      <c r="G828" s="347"/>
      <c r="H828" s="348">
        <f>+SUM(G822:G828)</f>
        <v>9452.25</v>
      </c>
    </row>
    <row r="829" spans="1:8" ht="15.75" thickBot="1" x14ac:dyDescent="0.3">
      <c r="A829" s="133"/>
      <c r="B829" s="238"/>
      <c r="C829" s="238"/>
      <c r="D829" s="238"/>
      <c r="E829" s="238"/>
      <c r="F829" s="239"/>
      <c r="G829" s="349"/>
      <c r="H829" s="350"/>
    </row>
    <row r="830" spans="1:8" ht="15.75" thickBot="1" x14ac:dyDescent="0.3">
      <c r="A830" s="133"/>
      <c r="B830" s="224" t="s">
        <v>5408</v>
      </c>
      <c r="C830" s="193" t="s">
        <v>867</v>
      </c>
      <c r="D830" s="193" t="s">
        <v>6</v>
      </c>
      <c r="E830" s="193" t="s">
        <v>870</v>
      </c>
      <c r="F830" s="193" t="s">
        <v>5409</v>
      </c>
      <c r="G830" s="343" t="s">
        <v>868</v>
      </c>
      <c r="H830" s="341"/>
    </row>
    <row r="831" spans="1:8" x14ac:dyDescent="0.25">
      <c r="A831" s="133"/>
      <c r="B831" s="245" t="s">
        <v>5702</v>
      </c>
      <c r="C831" s="202" t="s">
        <v>5542</v>
      </c>
      <c r="D831" s="274">
        <v>1.2412000000000001</v>
      </c>
      <c r="E831" s="228">
        <v>55000</v>
      </c>
      <c r="F831" s="169">
        <v>0</v>
      </c>
      <c r="G831" s="351">
        <f>+D831*E831*(1+F831)</f>
        <v>68266</v>
      </c>
      <c r="H831" s="341"/>
    </row>
    <row r="832" spans="1:8" x14ac:dyDescent="0.25">
      <c r="A832" s="133"/>
      <c r="B832" s="247" t="s">
        <v>6038</v>
      </c>
      <c r="C832" s="202" t="s">
        <v>5431</v>
      </c>
      <c r="D832" s="202">
        <v>399.3</v>
      </c>
      <c r="E832" s="228">
        <v>520</v>
      </c>
      <c r="F832" s="169">
        <v>0.02</v>
      </c>
      <c r="G832" s="351">
        <f>+D832*E832*(1+F832)</f>
        <v>211788.72</v>
      </c>
      <c r="H832" s="341"/>
    </row>
    <row r="833" spans="1:8" x14ac:dyDescent="0.25">
      <c r="A833" s="133"/>
      <c r="B833" s="247" t="s">
        <v>5553</v>
      </c>
      <c r="C833" s="226" t="s">
        <v>5488</v>
      </c>
      <c r="D833" s="226">
        <v>200</v>
      </c>
      <c r="E833" s="332">
        <v>10</v>
      </c>
      <c r="F833" s="169">
        <v>0.1</v>
      </c>
      <c r="G833" s="351">
        <f>+D833*E833*(1+F833)</f>
        <v>2200</v>
      </c>
      <c r="H833" s="341"/>
    </row>
    <row r="834" spans="1:8" x14ac:dyDescent="0.25">
      <c r="A834" s="133"/>
      <c r="B834" s="194"/>
      <c r="C834" s="226"/>
      <c r="D834" s="226"/>
      <c r="E834" s="345"/>
      <c r="F834" s="169"/>
      <c r="G834" s="351"/>
      <c r="H834" s="341"/>
    </row>
    <row r="835" spans="1:8" x14ac:dyDescent="0.25">
      <c r="A835" s="133"/>
      <c r="B835" s="195"/>
      <c r="C835" s="226"/>
      <c r="D835" s="226"/>
      <c r="E835" s="345"/>
      <c r="F835" s="169"/>
      <c r="G835" s="351"/>
      <c r="H835" s="341"/>
    </row>
    <row r="836" spans="1:8" x14ac:dyDescent="0.25">
      <c r="A836" s="133"/>
      <c r="B836" s="194"/>
      <c r="C836" s="202"/>
      <c r="D836" s="202"/>
      <c r="E836" s="345"/>
      <c r="F836" s="169"/>
      <c r="G836" s="351"/>
      <c r="H836" s="341"/>
    </row>
    <row r="837" spans="1:8" x14ac:dyDescent="0.25">
      <c r="A837" s="133"/>
      <c r="B837" s="195"/>
      <c r="C837" s="226"/>
      <c r="D837" s="226"/>
      <c r="E837" s="345"/>
      <c r="F837" s="169"/>
      <c r="G837" s="351"/>
      <c r="H837" s="341"/>
    </row>
    <row r="838" spans="1:8" x14ac:dyDescent="0.25">
      <c r="A838" s="133"/>
      <c r="B838" s="195"/>
      <c r="C838" s="226"/>
      <c r="D838" s="226"/>
      <c r="E838" s="345"/>
      <c r="F838" s="169"/>
      <c r="G838" s="351"/>
      <c r="H838" s="341"/>
    </row>
    <row r="839" spans="1:8" x14ac:dyDescent="0.25">
      <c r="A839" s="133"/>
      <c r="B839" s="195"/>
      <c r="C839" s="232"/>
      <c r="D839" s="232"/>
      <c r="E839" s="232"/>
      <c r="F839" s="226"/>
      <c r="G839" s="344"/>
      <c r="H839" s="341"/>
    </row>
    <row r="840" spans="1:8" x14ac:dyDescent="0.25">
      <c r="A840" s="133"/>
      <c r="B840" s="195"/>
      <c r="C840" s="232"/>
      <c r="D840" s="232"/>
      <c r="E840" s="232"/>
      <c r="F840" s="226"/>
      <c r="G840" s="344"/>
      <c r="H840" s="341"/>
    </row>
    <row r="841" spans="1:8" x14ac:dyDescent="0.25">
      <c r="A841" s="133"/>
      <c r="B841" s="195"/>
      <c r="C841" s="232"/>
      <c r="D841" s="232"/>
      <c r="E841" s="232"/>
      <c r="F841" s="226"/>
      <c r="G841" s="344"/>
      <c r="H841" s="341"/>
    </row>
    <row r="842" spans="1:8" ht="15.75" thickBot="1" x14ac:dyDescent="0.3">
      <c r="A842" s="133"/>
      <c r="B842" s="195"/>
      <c r="C842" s="232"/>
      <c r="D842" s="232"/>
      <c r="E842" s="232"/>
      <c r="F842" s="226"/>
      <c r="G842" s="344"/>
      <c r="H842" s="341"/>
    </row>
    <row r="843" spans="1:8" ht="15.75" thickBot="1" x14ac:dyDescent="0.3">
      <c r="A843" s="133"/>
      <c r="B843" s="233"/>
      <c r="C843" s="234"/>
      <c r="D843" s="234"/>
      <c r="E843" s="234"/>
      <c r="F843" s="235"/>
      <c r="G843" s="347"/>
      <c r="H843" s="358">
        <f>+SUM(G831:G843)</f>
        <v>282254.71999999997</v>
      </c>
    </row>
    <row r="844" spans="1:8" ht="15.75" thickBot="1" x14ac:dyDescent="0.3">
      <c r="A844" s="133"/>
      <c r="B844" s="238"/>
      <c r="C844" s="238"/>
      <c r="D844" s="238"/>
      <c r="E844" s="238"/>
      <c r="F844" s="239"/>
      <c r="G844" s="349"/>
      <c r="H844" s="350"/>
    </row>
    <row r="845" spans="1:8" ht="15.75" thickBot="1" x14ac:dyDescent="0.3">
      <c r="A845" s="133"/>
      <c r="B845" s="224" t="s">
        <v>5410</v>
      </c>
      <c r="C845" s="193" t="s">
        <v>867</v>
      </c>
      <c r="D845" s="193" t="s">
        <v>6</v>
      </c>
      <c r="E845" s="193" t="s">
        <v>870</v>
      </c>
      <c r="F845" s="193" t="s">
        <v>5411</v>
      </c>
      <c r="G845" s="343" t="s">
        <v>868</v>
      </c>
      <c r="H845" s="341"/>
    </row>
    <row r="846" spans="1:8" x14ac:dyDescent="0.25">
      <c r="A846" s="133"/>
      <c r="B846" s="245"/>
      <c r="C846" s="202"/>
      <c r="D846" s="202"/>
      <c r="E846" s="353"/>
      <c r="F846" s="202"/>
      <c r="G846" s="354"/>
      <c r="H846" s="355"/>
    </row>
    <row r="847" spans="1:8" x14ac:dyDescent="0.25">
      <c r="A847" s="133"/>
      <c r="B847" s="247"/>
      <c r="C847" s="248"/>
      <c r="D847" s="248"/>
      <c r="E847" s="248"/>
      <c r="F847" s="202"/>
      <c r="G847" s="351"/>
      <c r="H847" s="341"/>
    </row>
    <row r="848" spans="1:8" x14ac:dyDescent="0.25">
      <c r="A848" s="133"/>
      <c r="B848" s="247"/>
      <c r="C848" s="232"/>
      <c r="D848" s="232"/>
      <c r="E848" s="232"/>
      <c r="F848" s="226"/>
      <c r="G848" s="344"/>
      <c r="H848" s="341"/>
    </row>
    <row r="849" spans="1:8" x14ac:dyDescent="0.25">
      <c r="A849" s="133"/>
      <c r="B849" s="194"/>
      <c r="C849" s="232"/>
      <c r="D849" s="232"/>
      <c r="E849" s="232"/>
      <c r="F849" s="226"/>
      <c r="G849" s="344"/>
      <c r="H849" s="341"/>
    </row>
    <row r="850" spans="1:8" ht="15.75" thickBot="1" x14ac:dyDescent="0.3">
      <c r="A850" s="133"/>
      <c r="B850" s="195"/>
      <c r="C850" s="232"/>
      <c r="D850" s="232"/>
      <c r="E850" s="232"/>
      <c r="F850" s="226"/>
      <c r="G850" s="344"/>
      <c r="H850" s="341"/>
    </row>
    <row r="851" spans="1:8" ht="15.75" thickBot="1" x14ac:dyDescent="0.3">
      <c r="A851" s="133"/>
      <c r="B851" s="233"/>
      <c r="C851" s="234"/>
      <c r="D851" s="234"/>
      <c r="E851" s="234"/>
      <c r="F851" s="235"/>
      <c r="G851" s="347"/>
      <c r="H851" s="348">
        <f>+SUM(G846:G851)</f>
        <v>0</v>
      </c>
    </row>
    <row r="852" spans="1:8" ht="15.75" thickBot="1" x14ac:dyDescent="0.3">
      <c r="A852" s="133"/>
      <c r="B852" s="238"/>
      <c r="C852" s="238"/>
      <c r="D852" s="238"/>
      <c r="E852" s="238"/>
      <c r="F852" s="249"/>
      <c r="G852" s="356"/>
      <c r="H852" s="350"/>
    </row>
    <row r="853" spans="1:8" ht="15.75" thickBot="1" x14ac:dyDescent="0.3">
      <c r="A853" s="133"/>
      <c r="B853" s="224" t="s">
        <v>5412</v>
      </c>
      <c r="C853" s="193" t="s">
        <v>5420</v>
      </c>
      <c r="D853" s="193" t="s">
        <v>5421</v>
      </c>
      <c r="E853" s="193" t="s">
        <v>5413</v>
      </c>
      <c r="F853" s="193" t="s">
        <v>5405</v>
      </c>
      <c r="G853" s="343" t="s">
        <v>868</v>
      </c>
      <c r="H853" s="341"/>
    </row>
    <row r="854" spans="1:8" x14ac:dyDescent="0.25">
      <c r="A854" s="133"/>
      <c r="B854" s="194" t="s">
        <v>5948</v>
      </c>
      <c r="C854" s="345">
        <v>70000</v>
      </c>
      <c r="D854" s="345">
        <f>+C854*0.85</f>
        <v>59500</v>
      </c>
      <c r="E854" s="353">
        <f>+C854+D854</f>
        <v>129500</v>
      </c>
      <c r="F854" s="209">
        <v>100</v>
      </c>
      <c r="G854" s="351">
        <f>+E854/F854</f>
        <v>1295</v>
      </c>
      <c r="H854" s="341"/>
    </row>
    <row r="855" spans="1:8" x14ac:dyDescent="0.25">
      <c r="A855" s="133"/>
      <c r="B855" s="194" t="s">
        <v>5949</v>
      </c>
      <c r="C855" s="345">
        <v>40000</v>
      </c>
      <c r="D855" s="345">
        <f>+C855*0.85</f>
        <v>34000</v>
      </c>
      <c r="E855" s="353">
        <f>+C855+D855</f>
        <v>74000</v>
      </c>
      <c r="F855" s="202">
        <v>20</v>
      </c>
      <c r="G855" s="351">
        <f>+E855/F855</f>
        <v>3700</v>
      </c>
      <c r="H855" s="341"/>
    </row>
    <row r="856" spans="1:8" x14ac:dyDescent="0.25">
      <c r="A856" s="133"/>
      <c r="B856" s="195" t="s">
        <v>5635</v>
      </c>
      <c r="C856" s="345">
        <v>20600</v>
      </c>
      <c r="D856" s="345">
        <f>+C856*0.85</f>
        <v>17510</v>
      </c>
      <c r="E856" s="353">
        <f>+C856+D856</f>
        <v>38110</v>
      </c>
      <c r="F856" s="226">
        <v>4</v>
      </c>
      <c r="G856" s="351">
        <f>+E856/F856</f>
        <v>9527.5</v>
      </c>
      <c r="H856" s="341"/>
    </row>
    <row r="857" spans="1:8" x14ac:dyDescent="0.25">
      <c r="A857" s="133"/>
      <c r="B857" s="195"/>
      <c r="C857" s="346"/>
      <c r="D857" s="345"/>
      <c r="E857" s="345"/>
      <c r="F857" s="226"/>
      <c r="G857" s="351"/>
      <c r="H857" s="341"/>
    </row>
    <row r="858" spans="1:8" x14ac:dyDescent="0.25">
      <c r="A858" s="133"/>
      <c r="B858" s="195"/>
      <c r="C858" s="232"/>
      <c r="D858" s="232"/>
      <c r="E858" s="232"/>
      <c r="F858" s="226"/>
      <c r="G858" s="344"/>
      <c r="H858" s="341"/>
    </row>
    <row r="859" spans="1:8" ht="15.75" thickBot="1" x14ac:dyDescent="0.3">
      <c r="A859" s="133"/>
      <c r="B859" s="195"/>
      <c r="C859" s="232"/>
      <c r="D859" s="232"/>
      <c r="E859" s="232"/>
      <c r="F859" s="226"/>
      <c r="G859" s="344"/>
      <c r="H859" s="341"/>
    </row>
    <row r="860" spans="1:8" ht="15.75" thickBot="1" x14ac:dyDescent="0.3">
      <c r="A860" s="133"/>
      <c r="B860" s="251"/>
      <c r="C860" s="252"/>
      <c r="D860" s="252"/>
      <c r="E860" s="252"/>
      <c r="F860" s="253"/>
      <c r="G860" s="357"/>
      <c r="H860" s="358">
        <f>+SUM(G854:G860)</f>
        <v>14522.5</v>
      </c>
    </row>
    <row r="861" spans="1:8" ht="15.75" thickBot="1" x14ac:dyDescent="0.3">
      <c r="A861" s="133"/>
      <c r="B861" s="8"/>
      <c r="C861" s="8"/>
      <c r="D861" s="8"/>
      <c r="E861" s="8"/>
      <c r="F861" s="133"/>
      <c r="G861" s="341"/>
      <c r="H861" s="341"/>
    </row>
    <row r="862" spans="1:8" ht="15.75" thickBot="1" x14ac:dyDescent="0.3">
      <c r="A862" s="133"/>
      <c r="B862" s="8"/>
      <c r="C862" s="8"/>
      <c r="D862" s="8"/>
      <c r="E862" s="223"/>
      <c r="F862" s="133"/>
      <c r="G862" s="341"/>
      <c r="H862" s="358">
        <f>ROUND(+H860+H851+H843+H828,0)</f>
        <v>306229</v>
      </c>
    </row>
    <row r="867" spans="1:8" ht="18.75" x14ac:dyDescent="0.25">
      <c r="A867" s="133"/>
      <c r="B867" s="2506" t="s">
        <v>5400</v>
      </c>
      <c r="C867" s="2506"/>
      <c r="D867" s="2506"/>
      <c r="E867" s="2506"/>
      <c r="F867" s="2506"/>
      <c r="G867" s="2506"/>
      <c r="H867" s="8"/>
    </row>
    <row r="868" spans="1:8" x14ac:dyDescent="0.25">
      <c r="A868" s="133"/>
      <c r="B868" s="8"/>
      <c r="C868" s="8"/>
      <c r="D868" s="8"/>
      <c r="E868" s="8"/>
      <c r="F868" s="133"/>
      <c r="G868" s="341"/>
      <c r="H868" s="341"/>
    </row>
    <row r="869" spans="1:8" x14ac:dyDescent="0.25">
      <c r="A869" s="133"/>
      <c r="B869" s="8"/>
      <c r="C869" s="8"/>
      <c r="D869" s="8"/>
      <c r="E869" s="8"/>
      <c r="F869" s="133"/>
      <c r="G869" s="341"/>
      <c r="H869" s="341"/>
    </row>
    <row r="870" spans="1:8" x14ac:dyDescent="0.25">
      <c r="A870" s="133"/>
      <c r="B870" s="8"/>
      <c r="C870" s="8"/>
      <c r="D870" s="8"/>
      <c r="E870" s="8"/>
      <c r="F870" s="133"/>
      <c r="G870" s="341"/>
      <c r="H870" s="341"/>
    </row>
    <row r="871" spans="1:8" ht="15" customHeight="1" x14ac:dyDescent="0.25">
      <c r="A871" s="220" t="s">
        <v>5482</v>
      </c>
      <c r="B871" s="221" t="s">
        <v>5570</v>
      </c>
      <c r="C871" s="2449" t="s">
        <v>5571</v>
      </c>
      <c r="D871" s="2449"/>
      <c r="E871" s="2449"/>
      <c r="F871" s="220" t="s">
        <v>867</v>
      </c>
      <c r="G871" s="342" t="s">
        <v>5454</v>
      </c>
      <c r="H871" s="341"/>
    </row>
    <row r="872" spans="1:8" x14ac:dyDescent="0.25">
      <c r="A872" s="133"/>
      <c r="B872" s="8"/>
      <c r="C872" s="223"/>
      <c r="D872" s="223"/>
      <c r="E872" s="223"/>
      <c r="F872" s="133"/>
      <c r="G872" s="341"/>
      <c r="H872" s="341"/>
    </row>
    <row r="873" spans="1:8" x14ac:dyDescent="0.25">
      <c r="A873" s="133"/>
      <c r="B873" s="8"/>
      <c r="C873" s="8"/>
      <c r="D873" s="8"/>
      <c r="E873" s="8"/>
      <c r="F873" s="8"/>
      <c r="G873" s="8"/>
      <c r="H873" s="341"/>
    </row>
    <row r="874" spans="1:8" ht="15.75" thickBot="1" x14ac:dyDescent="0.3">
      <c r="A874" s="133"/>
      <c r="B874" s="8"/>
      <c r="C874" s="8"/>
      <c r="D874" s="8"/>
      <c r="E874" s="8"/>
      <c r="F874" s="133"/>
      <c r="G874" s="341"/>
      <c r="H874" s="341"/>
    </row>
    <row r="875" spans="1:8" ht="15.75" thickBot="1" x14ac:dyDescent="0.3">
      <c r="A875" s="133"/>
      <c r="B875" s="224" t="s">
        <v>5403</v>
      </c>
      <c r="C875" s="193" t="s">
        <v>867</v>
      </c>
      <c r="D875" s="193" t="s">
        <v>6</v>
      </c>
      <c r="E875" s="193" t="s">
        <v>5439</v>
      </c>
      <c r="F875" s="193" t="s">
        <v>5405</v>
      </c>
      <c r="G875" s="343" t="s">
        <v>868</v>
      </c>
      <c r="H875" s="341"/>
    </row>
    <row r="876" spans="1:8" x14ac:dyDescent="0.25">
      <c r="A876" s="133"/>
      <c r="B876" s="195" t="s">
        <v>5440</v>
      </c>
      <c r="C876" s="226" t="s">
        <v>5542</v>
      </c>
      <c r="D876" s="226">
        <v>1</v>
      </c>
      <c r="E876" s="228">
        <f>+H914</f>
        <v>14522.5</v>
      </c>
      <c r="F876" s="226">
        <v>0.1</v>
      </c>
      <c r="G876" s="344">
        <f>+E876*F876</f>
        <v>1452.25</v>
      </c>
      <c r="H876" s="341"/>
    </row>
    <row r="877" spans="1:8" x14ac:dyDescent="0.25">
      <c r="A877" s="133"/>
      <c r="B877" s="195" t="s">
        <v>5548</v>
      </c>
      <c r="C877" s="226" t="s">
        <v>5542</v>
      </c>
      <c r="D877" s="226">
        <v>1</v>
      </c>
      <c r="E877" s="228">
        <v>10000</v>
      </c>
      <c r="F877" s="226">
        <v>0.8</v>
      </c>
      <c r="G877" s="344">
        <f>+E877*F877</f>
        <v>8000</v>
      </c>
      <c r="H877" s="341"/>
    </row>
    <row r="878" spans="1:8" x14ac:dyDescent="0.25">
      <c r="A878" s="133"/>
      <c r="B878" s="195"/>
      <c r="C878" s="226"/>
      <c r="D878" s="226"/>
      <c r="E878" s="345"/>
      <c r="F878" s="226"/>
      <c r="G878" s="344"/>
      <c r="H878" s="341"/>
    </row>
    <row r="879" spans="1:8" x14ac:dyDescent="0.25">
      <c r="A879" s="133"/>
      <c r="B879" s="195"/>
      <c r="C879" s="226"/>
      <c r="D879" s="226"/>
      <c r="E879" s="346"/>
      <c r="F879" s="226"/>
      <c r="G879" s="344"/>
      <c r="H879" s="341"/>
    </row>
    <row r="880" spans="1:8" x14ac:dyDescent="0.25">
      <c r="A880" s="133"/>
      <c r="B880" s="195"/>
      <c r="C880" s="226"/>
      <c r="D880" s="232"/>
      <c r="E880" s="232"/>
      <c r="F880" s="226"/>
      <c r="G880" s="344"/>
      <c r="H880" s="341"/>
    </row>
    <row r="881" spans="1:8" ht="15.75" thickBot="1" x14ac:dyDescent="0.3">
      <c r="A881" s="133"/>
      <c r="B881" s="195"/>
      <c r="C881" s="226"/>
      <c r="D881" s="232"/>
      <c r="E881" s="232"/>
      <c r="F881" s="226"/>
      <c r="G881" s="344"/>
      <c r="H881" s="341"/>
    </row>
    <row r="882" spans="1:8" ht="15.75" thickBot="1" x14ac:dyDescent="0.3">
      <c r="A882" s="133"/>
      <c r="B882" s="233"/>
      <c r="C882" s="234"/>
      <c r="D882" s="234"/>
      <c r="E882" s="234"/>
      <c r="F882" s="235"/>
      <c r="G882" s="347"/>
      <c r="H882" s="348">
        <f>+SUM(G876:G882)</f>
        <v>9452.25</v>
      </c>
    </row>
    <row r="883" spans="1:8" ht="15.75" thickBot="1" x14ac:dyDescent="0.3">
      <c r="A883" s="133"/>
      <c r="B883" s="238"/>
      <c r="C883" s="238"/>
      <c r="D883" s="238"/>
      <c r="E883" s="238"/>
      <c r="F883" s="239"/>
      <c r="G883" s="349"/>
      <c r="H883" s="350"/>
    </row>
    <row r="884" spans="1:8" ht="15.75" thickBot="1" x14ac:dyDescent="0.3">
      <c r="A884" s="133"/>
      <c r="B884" s="224" t="s">
        <v>5408</v>
      </c>
      <c r="C884" s="193" t="s">
        <v>867</v>
      </c>
      <c r="D884" s="193" t="s">
        <v>6</v>
      </c>
      <c r="E884" s="193" t="s">
        <v>870</v>
      </c>
      <c r="F884" s="193" t="s">
        <v>5409</v>
      </c>
      <c r="G884" s="343" t="s">
        <v>868</v>
      </c>
      <c r="H884" s="341"/>
    </row>
    <row r="885" spans="1:8" x14ac:dyDescent="0.25">
      <c r="A885" s="133"/>
      <c r="B885" s="245" t="s">
        <v>5702</v>
      </c>
      <c r="C885" s="202" t="s">
        <v>5542</v>
      </c>
      <c r="D885" s="274">
        <v>1.166296</v>
      </c>
      <c r="E885" s="228">
        <v>55000</v>
      </c>
      <c r="F885" s="169">
        <v>0</v>
      </c>
      <c r="G885" s="351">
        <f>+D885*E885*(1+F885)</f>
        <v>64146.28</v>
      </c>
      <c r="H885" s="341"/>
    </row>
    <row r="886" spans="1:8" x14ac:dyDescent="0.25">
      <c r="A886" s="133"/>
      <c r="B886" s="247" t="s">
        <v>6038</v>
      </c>
      <c r="C886" s="202" t="s">
        <v>5431</v>
      </c>
      <c r="D886" s="202">
        <v>495</v>
      </c>
      <c r="E886" s="228">
        <v>520</v>
      </c>
      <c r="F886" s="169">
        <v>0.02</v>
      </c>
      <c r="G886" s="351">
        <f>+D886*E886*(1+F886)</f>
        <v>262548</v>
      </c>
      <c r="H886" s="341"/>
    </row>
    <row r="887" spans="1:8" x14ac:dyDescent="0.25">
      <c r="A887" s="133"/>
      <c r="B887" s="247" t="s">
        <v>5553</v>
      </c>
      <c r="C887" s="226" t="s">
        <v>5488</v>
      </c>
      <c r="D887" s="226">
        <v>220</v>
      </c>
      <c r="E887" s="332">
        <v>10</v>
      </c>
      <c r="F887" s="169">
        <v>0.1</v>
      </c>
      <c r="G887" s="351">
        <f>+D887*E887*(1+F887)</f>
        <v>2420</v>
      </c>
      <c r="H887" s="341"/>
    </row>
    <row r="888" spans="1:8" x14ac:dyDescent="0.25">
      <c r="A888" s="133"/>
      <c r="B888" s="194"/>
      <c r="C888" s="226"/>
      <c r="D888" s="226"/>
      <c r="E888" s="345"/>
      <c r="F888" s="169"/>
      <c r="G888" s="351"/>
      <c r="H888" s="341"/>
    </row>
    <row r="889" spans="1:8" x14ac:dyDescent="0.25">
      <c r="A889" s="133"/>
      <c r="B889" s="195"/>
      <c r="C889" s="226"/>
      <c r="D889" s="226"/>
      <c r="E889" s="345"/>
      <c r="F889" s="169"/>
      <c r="G889" s="351"/>
      <c r="H889" s="341"/>
    </row>
    <row r="890" spans="1:8" x14ac:dyDescent="0.25">
      <c r="A890" s="133"/>
      <c r="B890" s="194"/>
      <c r="C890" s="202"/>
      <c r="D890" s="202"/>
      <c r="E890" s="345"/>
      <c r="F890" s="169"/>
      <c r="G890" s="351"/>
      <c r="H890" s="341"/>
    </row>
    <row r="891" spans="1:8" x14ac:dyDescent="0.25">
      <c r="A891" s="133"/>
      <c r="B891" s="195"/>
      <c r="C891" s="226"/>
      <c r="D891" s="226"/>
      <c r="E891" s="345"/>
      <c r="F891" s="169"/>
      <c r="G891" s="351"/>
      <c r="H891" s="341"/>
    </row>
    <row r="892" spans="1:8" x14ac:dyDescent="0.25">
      <c r="A892" s="133"/>
      <c r="B892" s="195"/>
      <c r="C892" s="226"/>
      <c r="D892" s="226"/>
      <c r="E892" s="345"/>
      <c r="F892" s="169"/>
      <c r="G892" s="351"/>
      <c r="H892" s="341"/>
    </row>
    <row r="893" spans="1:8" x14ac:dyDescent="0.25">
      <c r="A893" s="133"/>
      <c r="B893" s="195"/>
      <c r="C893" s="232"/>
      <c r="D893" s="232"/>
      <c r="E893" s="232"/>
      <c r="F893" s="226"/>
      <c r="G893" s="344"/>
      <c r="H893" s="341"/>
    </row>
    <row r="894" spans="1:8" x14ac:dyDescent="0.25">
      <c r="A894" s="133"/>
      <c r="B894" s="195"/>
      <c r="C894" s="232"/>
      <c r="D894" s="232"/>
      <c r="E894" s="232"/>
      <c r="F894" s="226"/>
      <c r="G894" s="344"/>
      <c r="H894" s="341"/>
    </row>
    <row r="895" spans="1:8" x14ac:dyDescent="0.25">
      <c r="A895" s="133"/>
      <c r="B895" s="195"/>
      <c r="C895" s="232"/>
      <c r="D895" s="232"/>
      <c r="E895" s="232"/>
      <c r="F895" s="226"/>
      <c r="G895" s="344"/>
      <c r="H895" s="341"/>
    </row>
    <row r="896" spans="1:8" ht="15.75" thickBot="1" x14ac:dyDescent="0.3">
      <c r="A896" s="133"/>
      <c r="B896" s="195"/>
      <c r="C896" s="232"/>
      <c r="D896" s="232"/>
      <c r="E896" s="232"/>
      <c r="F896" s="226"/>
      <c r="G896" s="344"/>
      <c r="H896" s="341"/>
    </row>
    <row r="897" spans="1:11" ht="15.75" thickBot="1" x14ac:dyDescent="0.3">
      <c r="A897" s="133"/>
      <c r="B897" s="233"/>
      <c r="C897" s="234"/>
      <c r="D897" s="234"/>
      <c r="E897" s="234"/>
      <c r="F897" s="235"/>
      <c r="G897" s="347"/>
      <c r="H897" s="358">
        <f>+SUM(G885:G897)</f>
        <v>329114.28000000003</v>
      </c>
    </row>
    <row r="898" spans="1:11" ht="15.75" thickBot="1" x14ac:dyDescent="0.3">
      <c r="A898" s="133"/>
      <c r="B898" s="238"/>
      <c r="C898" s="238"/>
      <c r="D898" s="238"/>
      <c r="E898" s="238"/>
      <c r="F898" s="239"/>
      <c r="G898" s="349"/>
      <c r="H898" s="350"/>
    </row>
    <row r="899" spans="1:11" ht="15.75" thickBot="1" x14ac:dyDescent="0.3">
      <c r="A899" s="133"/>
      <c r="B899" s="224" t="s">
        <v>5410</v>
      </c>
      <c r="C899" s="193" t="s">
        <v>867</v>
      </c>
      <c r="D899" s="193" t="s">
        <v>6</v>
      </c>
      <c r="E899" s="193" t="s">
        <v>870</v>
      </c>
      <c r="F899" s="193" t="s">
        <v>5411</v>
      </c>
      <c r="G899" s="343" t="s">
        <v>868</v>
      </c>
      <c r="H899" s="341"/>
    </row>
    <row r="900" spans="1:11" x14ac:dyDescent="0.25">
      <c r="A900" s="133"/>
      <c r="B900" s="245"/>
      <c r="C900" s="202"/>
      <c r="D900" s="202"/>
      <c r="E900" s="353"/>
      <c r="F900" s="202"/>
      <c r="G900" s="354"/>
      <c r="H900" s="355"/>
    </row>
    <row r="901" spans="1:11" x14ac:dyDescent="0.25">
      <c r="A901" s="133"/>
      <c r="B901" s="247"/>
      <c r="C901" s="248"/>
      <c r="D901" s="248"/>
      <c r="E901" s="248"/>
      <c r="F901" s="202"/>
      <c r="G901" s="351"/>
      <c r="H901" s="341"/>
      <c r="K901">
        <f>330901*0.03</f>
        <v>9927.0299999999988</v>
      </c>
    </row>
    <row r="902" spans="1:11" x14ac:dyDescent="0.25">
      <c r="A902" s="133"/>
      <c r="B902" s="247"/>
      <c r="C902" s="232"/>
      <c r="D902" s="232"/>
      <c r="E902" s="232"/>
      <c r="F902" s="226"/>
      <c r="G902" s="344"/>
      <c r="H902" s="341"/>
      <c r="K902">
        <f>0.5*8143*1.16</f>
        <v>4722.9399999999996</v>
      </c>
    </row>
    <row r="903" spans="1:11" x14ac:dyDescent="0.25">
      <c r="A903" s="133"/>
      <c r="B903" s="194"/>
      <c r="C903" s="232"/>
      <c r="D903" s="232"/>
      <c r="E903" s="232"/>
      <c r="F903" s="226"/>
      <c r="G903" s="344"/>
      <c r="H903" s="341"/>
    </row>
    <row r="904" spans="1:11" ht="15.75" thickBot="1" x14ac:dyDescent="0.3">
      <c r="A904" s="133"/>
      <c r="B904" s="195"/>
      <c r="C904" s="232"/>
      <c r="D904" s="232"/>
      <c r="E904" s="232"/>
      <c r="F904" s="226"/>
      <c r="G904" s="344"/>
      <c r="H904" s="341"/>
    </row>
    <row r="905" spans="1:11" ht="15.75" thickBot="1" x14ac:dyDescent="0.3">
      <c r="A905" s="133"/>
      <c r="B905" s="233"/>
      <c r="C905" s="234"/>
      <c r="D905" s="234"/>
      <c r="E905" s="234"/>
      <c r="F905" s="235"/>
      <c r="G905" s="347"/>
      <c r="H905" s="348">
        <f>+SUM(G900:G905)</f>
        <v>0</v>
      </c>
    </row>
    <row r="906" spans="1:11" ht="15.75" thickBot="1" x14ac:dyDescent="0.3">
      <c r="A906" s="133"/>
      <c r="B906" s="238"/>
      <c r="C906" s="238"/>
      <c r="D906" s="238"/>
      <c r="E906" s="238"/>
      <c r="F906" s="249"/>
      <c r="G906" s="356"/>
      <c r="H906" s="350"/>
    </row>
    <row r="907" spans="1:11" ht="15.75" thickBot="1" x14ac:dyDescent="0.3">
      <c r="A907" s="133"/>
      <c r="B907" s="224" t="s">
        <v>5412</v>
      </c>
      <c r="C907" s="193" t="s">
        <v>5420</v>
      </c>
      <c r="D907" s="193" t="s">
        <v>5421</v>
      </c>
      <c r="E907" s="193" t="s">
        <v>5413</v>
      </c>
      <c r="F907" s="193" t="s">
        <v>5405</v>
      </c>
      <c r="G907" s="343" t="s">
        <v>868</v>
      </c>
      <c r="H907" s="341"/>
    </row>
    <row r="908" spans="1:11" x14ac:dyDescent="0.25">
      <c r="A908" s="133"/>
      <c r="B908" s="194" t="s">
        <v>5948</v>
      </c>
      <c r="C908" s="345">
        <v>70000</v>
      </c>
      <c r="D908" s="345">
        <f>+C908*0.85</f>
        <v>59500</v>
      </c>
      <c r="E908" s="353">
        <f>+C908+D908</f>
        <v>129500</v>
      </c>
      <c r="F908" s="209">
        <v>100</v>
      </c>
      <c r="G908" s="351">
        <f>+E908/F908</f>
        <v>1295</v>
      </c>
      <c r="H908" s="341"/>
    </row>
    <row r="909" spans="1:11" x14ac:dyDescent="0.25">
      <c r="A909" s="133"/>
      <c r="B909" s="194" t="s">
        <v>5949</v>
      </c>
      <c r="C909" s="345">
        <v>40000</v>
      </c>
      <c r="D909" s="345">
        <f>+C909*0.85</f>
        <v>34000</v>
      </c>
      <c r="E909" s="353">
        <f>+C909+D909</f>
        <v>74000</v>
      </c>
      <c r="F909" s="202">
        <v>20</v>
      </c>
      <c r="G909" s="351">
        <f>+E909/F909</f>
        <v>3700</v>
      </c>
      <c r="H909" s="341"/>
    </row>
    <row r="910" spans="1:11" x14ac:dyDescent="0.25">
      <c r="A910" s="133"/>
      <c r="B910" s="195" t="s">
        <v>5635</v>
      </c>
      <c r="C910" s="345">
        <v>20600</v>
      </c>
      <c r="D910" s="345">
        <f>+C910*0.85</f>
        <v>17510</v>
      </c>
      <c r="E910" s="353">
        <f>+C910+D910</f>
        <v>38110</v>
      </c>
      <c r="F910" s="226">
        <v>4</v>
      </c>
      <c r="G910" s="351">
        <f>+E910/F910</f>
        <v>9527.5</v>
      </c>
      <c r="H910" s="341"/>
    </row>
    <row r="911" spans="1:11" x14ac:dyDescent="0.25">
      <c r="A911" s="133"/>
      <c r="B911" s="195"/>
      <c r="C911" s="346"/>
      <c r="D911" s="345"/>
      <c r="E911" s="345"/>
      <c r="F911" s="226"/>
      <c r="G911" s="351"/>
      <c r="H911" s="341"/>
    </row>
    <row r="912" spans="1:11" x14ac:dyDescent="0.25">
      <c r="A912" s="133"/>
      <c r="B912" s="195"/>
      <c r="C912" s="232"/>
      <c r="D912" s="232"/>
      <c r="E912" s="232"/>
      <c r="F912" s="226"/>
      <c r="G912" s="344"/>
      <c r="H912" s="341"/>
    </row>
    <row r="913" spans="1:24" ht="15.75" thickBot="1" x14ac:dyDescent="0.3">
      <c r="A913" s="133"/>
      <c r="B913" s="195"/>
      <c r="C913" s="232"/>
      <c r="D913" s="232"/>
      <c r="E913" s="232"/>
      <c r="F913" s="226"/>
      <c r="G913" s="344"/>
      <c r="H913" s="341"/>
    </row>
    <row r="914" spans="1:24" ht="15.75" thickBot="1" x14ac:dyDescent="0.3">
      <c r="A914" s="133"/>
      <c r="B914" s="251"/>
      <c r="C914" s="252"/>
      <c r="D914" s="252"/>
      <c r="E914" s="252"/>
      <c r="F914" s="253"/>
      <c r="G914" s="357"/>
      <c r="H914" s="358">
        <f>+SUM(G908:G914)</f>
        <v>14522.5</v>
      </c>
    </row>
    <row r="915" spans="1:24" ht="15.75" thickBot="1" x14ac:dyDescent="0.3">
      <c r="A915" s="133"/>
      <c r="B915" s="8"/>
      <c r="C915" s="8"/>
      <c r="D915" s="8"/>
      <c r="E915" s="8"/>
      <c r="F915" s="133"/>
      <c r="G915" s="341"/>
      <c r="H915" s="341"/>
    </row>
    <row r="916" spans="1:24" ht="15.75" thickBot="1" x14ac:dyDescent="0.3">
      <c r="A916" s="133"/>
      <c r="B916" s="8"/>
      <c r="C916" s="8"/>
      <c r="D916" s="8"/>
      <c r="E916" s="223"/>
      <c r="F916" s="133"/>
      <c r="G916" s="341"/>
      <c r="H916" s="358">
        <f>ROUND(+H914+H905+H897+H882,0)</f>
        <v>353089</v>
      </c>
    </row>
    <row r="921" spans="1:24" ht="18.75" x14ac:dyDescent="0.25">
      <c r="A921" s="133"/>
      <c r="B921" s="2506" t="s">
        <v>5400</v>
      </c>
      <c r="C921" s="2506"/>
      <c r="D921" s="2506"/>
      <c r="E921" s="2506"/>
      <c r="F921" s="2506"/>
      <c r="G921" s="2506"/>
      <c r="H921" s="8"/>
      <c r="I921" s="133"/>
      <c r="J921" s="2506" t="s">
        <v>5400</v>
      </c>
      <c r="K921" s="2506"/>
      <c r="L921" s="2506"/>
      <c r="M921" s="2506"/>
      <c r="N921" s="2506"/>
      <c r="O921" s="2506"/>
      <c r="P921" s="8"/>
      <c r="Q921" s="133"/>
      <c r="R921" s="2506" t="s">
        <v>5400</v>
      </c>
      <c r="S921" s="2506"/>
      <c r="T921" s="2506"/>
      <c r="U921" s="2506"/>
      <c r="V921" s="2506"/>
      <c r="W921" s="2506"/>
      <c r="X921" s="8"/>
    </row>
    <row r="922" spans="1:24" x14ac:dyDescent="0.25">
      <c r="A922" s="133"/>
      <c r="B922" s="8"/>
      <c r="C922" s="8"/>
      <c r="D922" s="8"/>
      <c r="E922" s="8"/>
      <c r="F922" s="133"/>
      <c r="G922" s="341"/>
      <c r="H922" s="341"/>
      <c r="I922" s="133"/>
      <c r="J922" s="8"/>
      <c r="K922" s="8"/>
      <c r="L922" s="8"/>
      <c r="M922" s="8"/>
      <c r="N922" s="133"/>
      <c r="O922" s="341"/>
      <c r="P922" s="341"/>
      <c r="Q922" s="133"/>
      <c r="R922" s="8"/>
      <c r="S922" s="8"/>
      <c r="T922" s="8"/>
      <c r="U922" s="8"/>
      <c r="V922" s="133"/>
      <c r="W922" s="341"/>
      <c r="X922" s="341"/>
    </row>
    <row r="923" spans="1:24" x14ac:dyDescent="0.25">
      <c r="A923" s="133"/>
      <c r="B923" s="8"/>
      <c r="C923" s="8"/>
      <c r="D923" s="8"/>
      <c r="E923" s="8"/>
      <c r="F923" s="133"/>
      <c r="G923" s="341"/>
      <c r="H923" s="341"/>
      <c r="I923" s="133"/>
      <c r="J923" s="8"/>
      <c r="K923" s="8"/>
      <c r="L923" s="8"/>
      <c r="M923" s="8"/>
      <c r="N923" s="133"/>
      <c r="O923" s="341"/>
      <c r="P923" s="341"/>
      <c r="Q923" s="133"/>
      <c r="R923" s="8"/>
      <c r="S923" s="8"/>
      <c r="T923" s="8"/>
      <c r="U923" s="8"/>
      <c r="V923" s="133"/>
      <c r="W923" s="341"/>
      <c r="X923" s="341"/>
    </row>
    <row r="924" spans="1:24" x14ac:dyDescent="0.25">
      <c r="A924" s="133"/>
      <c r="B924" s="8"/>
      <c r="C924" s="8"/>
      <c r="D924" s="8"/>
      <c r="E924" s="8"/>
      <c r="F924" s="133"/>
      <c r="G924" s="341"/>
      <c r="H924" s="341"/>
      <c r="I924" s="133"/>
      <c r="J924" s="8"/>
      <c r="K924" s="8"/>
      <c r="L924" s="8"/>
      <c r="M924" s="8"/>
      <c r="N924" s="133"/>
      <c r="O924" s="341"/>
      <c r="P924" s="341"/>
      <c r="Q924" s="133"/>
      <c r="R924" s="8"/>
      <c r="S924" s="8"/>
      <c r="T924" s="8"/>
      <c r="U924" s="8"/>
      <c r="V924" s="133"/>
      <c r="W924" s="341"/>
      <c r="X924" s="341"/>
    </row>
    <row r="925" spans="1:24" ht="15" customHeight="1" x14ac:dyDescent="0.25">
      <c r="A925" s="220" t="s">
        <v>5482</v>
      </c>
      <c r="B925" s="221" t="s">
        <v>5572</v>
      </c>
      <c r="C925" s="2449" t="s">
        <v>5573</v>
      </c>
      <c r="D925" s="2449"/>
      <c r="E925" s="2449"/>
      <c r="F925" s="220" t="s">
        <v>867</v>
      </c>
      <c r="G925" s="342" t="s">
        <v>5431</v>
      </c>
      <c r="H925" s="341"/>
      <c r="I925" s="220" t="s">
        <v>5482</v>
      </c>
      <c r="J925" s="221" t="s">
        <v>5572</v>
      </c>
      <c r="K925" s="2449" t="s">
        <v>6222</v>
      </c>
      <c r="L925" s="2449"/>
      <c r="M925" s="2449"/>
      <c r="N925" s="220" t="s">
        <v>867</v>
      </c>
      <c r="O925" s="342" t="s">
        <v>5431</v>
      </c>
      <c r="P925" s="341"/>
      <c r="Q925" s="220" t="s">
        <v>5482</v>
      </c>
      <c r="R925" s="221" t="s">
        <v>5572</v>
      </c>
      <c r="S925" s="2449" t="s">
        <v>6223</v>
      </c>
      <c r="T925" s="2449"/>
      <c r="U925" s="2449"/>
      <c r="V925" s="220" t="s">
        <v>867</v>
      </c>
      <c r="W925" s="342" t="s">
        <v>5431</v>
      </c>
      <c r="X925" s="341"/>
    </row>
    <row r="926" spans="1:24" x14ac:dyDescent="0.25">
      <c r="A926" s="133"/>
      <c r="B926" s="8"/>
      <c r="C926" s="223"/>
      <c r="D926" s="223"/>
      <c r="E926" s="223"/>
      <c r="F926" s="133"/>
      <c r="G926" s="341"/>
      <c r="H926" s="341"/>
      <c r="I926" s="133"/>
      <c r="J926" s="8"/>
      <c r="K926" s="223"/>
      <c r="L926" s="223"/>
      <c r="M926" s="223"/>
      <c r="N926" s="133"/>
      <c r="O926" s="341"/>
      <c r="P926" s="341"/>
      <c r="Q926" s="133"/>
      <c r="R926" s="8"/>
      <c r="S926" s="223"/>
      <c r="T926" s="223"/>
      <c r="U926" s="223"/>
      <c r="V926" s="133"/>
      <c r="W926" s="341"/>
      <c r="X926" s="341"/>
    </row>
    <row r="927" spans="1:24" x14ac:dyDescent="0.25">
      <c r="A927" s="133"/>
      <c r="B927" s="8"/>
      <c r="C927" s="8"/>
      <c r="D927" s="8"/>
      <c r="E927" s="8"/>
      <c r="F927" s="8"/>
      <c r="G927" s="8"/>
      <c r="H927" s="341"/>
      <c r="I927" s="133"/>
      <c r="J927" s="8"/>
      <c r="K927" s="8"/>
      <c r="L927" s="8"/>
      <c r="M927" s="8"/>
      <c r="N927" s="8"/>
      <c r="O927" s="8"/>
      <c r="P927" s="341"/>
      <c r="Q927" s="133"/>
      <c r="R927" s="8"/>
      <c r="S927" s="8"/>
      <c r="T927" s="8"/>
      <c r="U927" s="8"/>
      <c r="V927" s="8"/>
      <c r="W927" s="8"/>
      <c r="X927" s="341"/>
    </row>
    <row r="928" spans="1:24" ht="15.75" thickBot="1" x14ac:dyDescent="0.3">
      <c r="A928" s="133"/>
      <c r="B928" s="8"/>
      <c r="C928" s="8"/>
      <c r="D928" s="8"/>
      <c r="E928" s="8"/>
      <c r="F928" s="133"/>
      <c r="G928" s="341"/>
      <c r="H928" s="341"/>
      <c r="I928" s="133"/>
      <c r="J928" s="8"/>
      <c r="K928" s="8"/>
      <c r="L928" s="8"/>
      <c r="M928" s="8"/>
      <c r="N928" s="133"/>
      <c r="O928" s="341"/>
      <c r="P928" s="341"/>
      <c r="Q928" s="133"/>
      <c r="R928" s="8"/>
      <c r="S928" s="8"/>
      <c r="T928" s="8"/>
      <c r="U928" s="8"/>
      <c r="V928" s="133"/>
      <c r="W928" s="341"/>
      <c r="X928" s="341"/>
    </row>
    <row r="929" spans="1:24" ht="15.75" thickBot="1" x14ac:dyDescent="0.3">
      <c r="A929" s="133"/>
      <c r="B929" s="224" t="s">
        <v>5403</v>
      </c>
      <c r="C929" s="193" t="s">
        <v>867</v>
      </c>
      <c r="D929" s="193" t="s">
        <v>6</v>
      </c>
      <c r="E929" s="193" t="s">
        <v>5439</v>
      </c>
      <c r="F929" s="193" t="s">
        <v>5405</v>
      </c>
      <c r="G929" s="343" t="s">
        <v>868</v>
      </c>
      <c r="H929" s="341"/>
      <c r="I929" s="133"/>
      <c r="J929" s="224" t="s">
        <v>5403</v>
      </c>
      <c r="K929" s="193" t="s">
        <v>867</v>
      </c>
      <c r="L929" s="193" t="s">
        <v>6</v>
      </c>
      <c r="M929" s="193" t="s">
        <v>5439</v>
      </c>
      <c r="N929" s="193" t="s">
        <v>5405</v>
      </c>
      <c r="O929" s="343" t="s">
        <v>868</v>
      </c>
      <c r="P929" s="341"/>
      <c r="Q929" s="133"/>
      <c r="R929" s="224" t="s">
        <v>5403</v>
      </c>
      <c r="S929" s="193" t="s">
        <v>867</v>
      </c>
      <c r="T929" s="193" t="s">
        <v>6</v>
      </c>
      <c r="U929" s="193" t="s">
        <v>5439</v>
      </c>
      <c r="V929" s="193" t="s">
        <v>5405</v>
      </c>
      <c r="W929" s="343" t="s">
        <v>868</v>
      </c>
      <c r="X929" s="341"/>
    </row>
    <row r="930" spans="1:24" x14ac:dyDescent="0.25">
      <c r="A930" s="133"/>
      <c r="B930" s="195" t="s">
        <v>5440</v>
      </c>
      <c r="C930" s="226" t="s">
        <v>5402</v>
      </c>
      <c r="D930" s="226">
        <v>1</v>
      </c>
      <c r="E930" s="228">
        <f>+H968</f>
        <v>634.54999999999995</v>
      </c>
      <c r="F930" s="226">
        <v>0.1</v>
      </c>
      <c r="G930" s="344">
        <f>+E930*F930</f>
        <v>63.454999999999998</v>
      </c>
      <c r="H930" s="341"/>
      <c r="I930" s="133"/>
      <c r="J930" s="195" t="s">
        <v>5440</v>
      </c>
      <c r="K930" s="226" t="s">
        <v>5402</v>
      </c>
      <c r="L930" s="226">
        <v>1</v>
      </c>
      <c r="M930" s="228">
        <f>+P968</f>
        <v>345.02499999999998</v>
      </c>
      <c r="N930" s="226">
        <v>0.05</v>
      </c>
      <c r="O930" s="344">
        <f>+M930*N930</f>
        <v>17.251249999999999</v>
      </c>
      <c r="P930" s="341"/>
      <c r="Q930" s="133"/>
      <c r="R930" s="195" t="s">
        <v>5440</v>
      </c>
      <c r="S930" s="226" t="s">
        <v>5402</v>
      </c>
      <c r="T930" s="226">
        <v>1</v>
      </c>
      <c r="U930" s="228">
        <f>+X968</f>
        <v>345.02499999999998</v>
      </c>
      <c r="V930" s="226">
        <v>0.05</v>
      </c>
      <c r="W930" s="344">
        <f>+U930*V930</f>
        <v>17.251249999999999</v>
      </c>
      <c r="X930" s="341"/>
    </row>
    <row r="931" spans="1:24" x14ac:dyDescent="0.25">
      <c r="A931" s="133"/>
      <c r="B931" s="195"/>
      <c r="C931" s="226"/>
      <c r="D931" s="226"/>
      <c r="E931" s="228"/>
      <c r="F931" s="226"/>
      <c r="G931" s="344"/>
      <c r="H931" s="341"/>
      <c r="I931" s="133"/>
      <c r="J931" s="195"/>
      <c r="K931" s="226"/>
      <c r="L931" s="226"/>
      <c r="M931" s="228"/>
      <c r="N931" s="226"/>
      <c r="O931" s="344"/>
      <c r="P931" s="341"/>
      <c r="Q931" s="133"/>
      <c r="R931" s="195"/>
      <c r="S931" s="226"/>
      <c r="T931" s="226"/>
      <c r="U931" s="228"/>
      <c r="V931" s="226"/>
      <c r="W931" s="344"/>
      <c r="X931" s="341"/>
    </row>
    <row r="932" spans="1:24" x14ac:dyDescent="0.25">
      <c r="A932" s="133"/>
      <c r="B932" s="195"/>
      <c r="C932" s="226"/>
      <c r="D932" s="226"/>
      <c r="E932" s="345"/>
      <c r="F932" s="226"/>
      <c r="G932" s="344"/>
      <c r="H932" s="341"/>
      <c r="I932" s="133"/>
      <c r="J932" s="195"/>
      <c r="K932" s="226"/>
      <c r="L932" s="226"/>
      <c r="M932" s="345"/>
      <c r="N932" s="226"/>
      <c r="O932" s="344"/>
      <c r="P932" s="341"/>
      <c r="Q932" s="133"/>
      <c r="R932" s="195"/>
      <c r="S932" s="226"/>
      <c r="T932" s="226"/>
      <c r="U932" s="345"/>
      <c r="V932" s="226"/>
      <c r="W932" s="344"/>
      <c r="X932" s="341"/>
    </row>
    <row r="933" spans="1:24" x14ac:dyDescent="0.25">
      <c r="A933" s="133"/>
      <c r="B933" s="195"/>
      <c r="C933" s="226"/>
      <c r="D933" s="226"/>
      <c r="E933" s="346"/>
      <c r="F933" s="226"/>
      <c r="G933" s="344"/>
      <c r="H933" s="341"/>
      <c r="I933" s="133"/>
      <c r="J933" s="195"/>
      <c r="K933" s="226"/>
      <c r="L933" s="226"/>
      <c r="M933" s="346"/>
      <c r="N933" s="226"/>
      <c r="O933" s="344"/>
      <c r="P933" s="341"/>
      <c r="Q933" s="133"/>
      <c r="R933" s="195"/>
      <c r="S933" s="226"/>
      <c r="T933" s="226"/>
      <c r="U933" s="346"/>
      <c r="V933" s="226"/>
      <c r="W933" s="344"/>
      <c r="X933" s="341"/>
    </row>
    <row r="934" spans="1:24" x14ac:dyDescent="0.25">
      <c r="A934" s="133"/>
      <c r="B934" s="195"/>
      <c r="C934" s="226"/>
      <c r="D934" s="232"/>
      <c r="E934" s="232"/>
      <c r="F934" s="226"/>
      <c r="G934" s="344"/>
      <c r="H934" s="341"/>
      <c r="I934" s="133"/>
      <c r="J934" s="195"/>
      <c r="K934" s="226"/>
      <c r="L934" s="232"/>
      <c r="M934" s="232"/>
      <c r="N934" s="226"/>
      <c r="O934" s="344"/>
      <c r="P934" s="341"/>
      <c r="Q934" s="133"/>
      <c r="R934" s="195"/>
      <c r="S934" s="226"/>
      <c r="T934" s="232"/>
      <c r="U934" s="232"/>
      <c r="V934" s="226"/>
      <c r="W934" s="344"/>
      <c r="X934" s="341"/>
    </row>
    <row r="935" spans="1:24" ht="15.75" thickBot="1" x14ac:dyDescent="0.3">
      <c r="A935" s="133"/>
      <c r="B935" s="195"/>
      <c r="C935" s="226"/>
      <c r="D935" s="232"/>
      <c r="E935" s="232"/>
      <c r="F935" s="226"/>
      <c r="G935" s="344"/>
      <c r="H935" s="341"/>
      <c r="I935" s="133"/>
      <c r="J935" s="195"/>
      <c r="K935" s="226"/>
      <c r="L935" s="232"/>
      <c r="M935" s="232"/>
      <c r="N935" s="226"/>
      <c r="O935" s="344"/>
      <c r="P935" s="341"/>
      <c r="Q935" s="133"/>
      <c r="R935" s="195"/>
      <c r="S935" s="226"/>
      <c r="T935" s="232"/>
      <c r="U935" s="232"/>
      <c r="V935" s="226"/>
      <c r="W935" s="344"/>
      <c r="X935" s="341"/>
    </row>
    <row r="936" spans="1:24" ht="15.75" thickBot="1" x14ac:dyDescent="0.3">
      <c r="A936" s="133"/>
      <c r="B936" s="233"/>
      <c r="C936" s="234"/>
      <c r="D936" s="234"/>
      <c r="E936" s="234"/>
      <c r="F936" s="235"/>
      <c r="G936" s="347"/>
      <c r="H936" s="348">
        <f>+SUM(G930:G936)</f>
        <v>63.454999999999998</v>
      </c>
      <c r="I936" s="133"/>
      <c r="J936" s="233"/>
      <c r="K936" s="234"/>
      <c r="L936" s="234"/>
      <c r="M936" s="234"/>
      <c r="N936" s="235"/>
      <c r="O936" s="347"/>
      <c r="P936" s="348">
        <f>+SUM(O930:O936)</f>
        <v>17.251249999999999</v>
      </c>
      <c r="Q936" s="133"/>
      <c r="R936" s="233"/>
      <c r="S936" s="234"/>
      <c r="T936" s="234"/>
      <c r="U936" s="234"/>
      <c r="V936" s="235"/>
      <c r="W936" s="347"/>
      <c r="X936" s="348">
        <f>+SUM(W930:W936)</f>
        <v>17.251249999999999</v>
      </c>
    </row>
    <row r="937" spans="1:24" ht="15.75" thickBot="1" x14ac:dyDescent="0.3">
      <c r="A937" s="133"/>
      <c r="B937" s="238"/>
      <c r="C937" s="238"/>
      <c r="D937" s="238"/>
      <c r="E937" s="238"/>
      <c r="F937" s="239"/>
      <c r="G937" s="349"/>
      <c r="H937" s="350"/>
      <c r="I937" s="133"/>
      <c r="J937" s="238"/>
      <c r="K937" s="238"/>
      <c r="L937" s="238"/>
      <c r="M937" s="238"/>
      <c r="N937" s="239"/>
      <c r="O937" s="349"/>
      <c r="P937" s="350"/>
      <c r="Q937" s="133"/>
      <c r="R937" s="238"/>
      <c r="S937" s="238"/>
      <c r="T937" s="238"/>
      <c r="U937" s="238"/>
      <c r="V937" s="239"/>
      <c r="W937" s="349"/>
      <c r="X937" s="350"/>
    </row>
    <row r="938" spans="1:24" ht="15.75" thickBot="1" x14ac:dyDescent="0.3">
      <c r="A938" s="133"/>
      <c r="B938" s="224" t="s">
        <v>5408</v>
      </c>
      <c r="C938" s="193" t="s">
        <v>867</v>
      </c>
      <c r="D938" s="193" t="s">
        <v>6</v>
      </c>
      <c r="E938" s="193" t="s">
        <v>870</v>
      </c>
      <c r="F938" s="193" t="s">
        <v>5409</v>
      </c>
      <c r="G938" s="343" t="s">
        <v>868</v>
      </c>
      <c r="H938" s="341"/>
      <c r="I938" s="133"/>
      <c r="J938" s="224" t="s">
        <v>5408</v>
      </c>
      <c r="K938" s="193" t="s">
        <v>867</v>
      </c>
      <c r="L938" s="193" t="s">
        <v>6</v>
      </c>
      <c r="M938" s="193" t="s">
        <v>870</v>
      </c>
      <c r="N938" s="193" t="s">
        <v>5409</v>
      </c>
      <c r="O938" s="343" t="s">
        <v>868</v>
      </c>
      <c r="P938" s="341"/>
      <c r="Q938" s="133"/>
      <c r="R938" s="224" t="s">
        <v>5408</v>
      </c>
      <c r="S938" s="193" t="s">
        <v>867</v>
      </c>
      <c r="T938" s="193" t="s">
        <v>6</v>
      </c>
      <c r="U938" s="193" t="s">
        <v>870</v>
      </c>
      <c r="V938" s="193" t="s">
        <v>5409</v>
      </c>
      <c r="W938" s="343" t="s">
        <v>868</v>
      </c>
      <c r="X938" s="341"/>
    </row>
    <row r="939" spans="1:24" x14ac:dyDescent="0.25">
      <c r="A939" s="133"/>
      <c r="B939" s="245" t="s">
        <v>6039</v>
      </c>
      <c r="C939" s="202" t="s">
        <v>5431</v>
      </c>
      <c r="D939" s="226">
        <v>1</v>
      </c>
      <c r="E939" s="228">
        <v>2500</v>
      </c>
      <c r="F939" s="169">
        <v>0.05</v>
      </c>
      <c r="G939" s="351">
        <f>+D939*E939*(1+F939)</f>
        <v>2625</v>
      </c>
      <c r="H939" s="341"/>
      <c r="I939" s="133"/>
      <c r="J939" s="245" t="s">
        <v>6224</v>
      </c>
      <c r="K939" s="202" t="s">
        <v>5431</v>
      </c>
      <c r="L939" s="226">
        <v>1</v>
      </c>
      <c r="M939" s="228">
        <f>2430*1.16</f>
        <v>2818.7999999999997</v>
      </c>
      <c r="N939" s="169">
        <v>0.05</v>
      </c>
      <c r="O939" s="351">
        <f>+L939*M939*(1+N939)</f>
        <v>2959.74</v>
      </c>
      <c r="P939" s="341"/>
      <c r="Q939" s="133"/>
      <c r="R939" s="245" t="s">
        <v>6224</v>
      </c>
      <c r="S939" s="202" t="s">
        <v>5431</v>
      </c>
      <c r="T939" s="226">
        <v>1</v>
      </c>
      <c r="U939" s="228">
        <v>3500</v>
      </c>
      <c r="V939" s="169">
        <v>0.05</v>
      </c>
      <c r="W939" s="351">
        <f>+T939*U939*(1+V939)</f>
        <v>3675</v>
      </c>
      <c r="X939" s="341"/>
    </row>
    <row r="940" spans="1:24" x14ac:dyDescent="0.25">
      <c r="A940" s="133"/>
      <c r="B940" s="247" t="s">
        <v>6040</v>
      </c>
      <c r="C940" s="202" t="s">
        <v>5431</v>
      </c>
      <c r="D940" s="202">
        <v>0.03</v>
      </c>
      <c r="E940" s="228">
        <v>4000</v>
      </c>
      <c r="F940" s="169">
        <v>0.1</v>
      </c>
      <c r="G940" s="351">
        <f>+D940*E940*(1+F940)</f>
        <v>132</v>
      </c>
      <c r="H940" s="341"/>
      <c r="I940" s="133"/>
      <c r="J940" s="247"/>
      <c r="K940" s="202"/>
      <c r="L940" s="202"/>
      <c r="M940" s="228"/>
      <c r="N940" s="169"/>
      <c r="O940" s="351"/>
      <c r="P940" s="341"/>
      <c r="Q940" s="133"/>
      <c r="R940" s="247"/>
      <c r="S940" s="202"/>
      <c r="T940" s="202"/>
      <c r="U940" s="228"/>
      <c r="V940" s="169"/>
      <c r="W940" s="351"/>
      <c r="X940" s="341"/>
    </row>
    <row r="941" spans="1:24" x14ac:dyDescent="0.25">
      <c r="A941" s="133"/>
      <c r="B941" s="247"/>
      <c r="C941" s="202"/>
      <c r="D941" s="226"/>
      <c r="E941" s="228"/>
      <c r="F941" s="169"/>
      <c r="G941" s="351"/>
      <c r="H941" s="341"/>
      <c r="I941" s="133"/>
      <c r="J941" s="247"/>
      <c r="K941" s="202"/>
      <c r="L941" s="226"/>
      <c r="M941" s="228"/>
      <c r="N941" s="169"/>
      <c r="O941" s="351"/>
      <c r="P941" s="341"/>
      <c r="Q941" s="133"/>
      <c r="R941" s="247"/>
      <c r="S941" s="202"/>
      <c r="T941" s="226"/>
      <c r="U941" s="228"/>
      <c r="V941" s="169"/>
      <c r="W941" s="351"/>
      <c r="X941" s="341"/>
    </row>
    <row r="942" spans="1:24" x14ac:dyDescent="0.25">
      <c r="A942" s="133"/>
      <c r="B942" s="194"/>
      <c r="C942" s="226"/>
      <c r="D942" s="226"/>
      <c r="E942" s="345"/>
      <c r="F942" s="169"/>
      <c r="G942" s="351"/>
      <c r="H942" s="341"/>
      <c r="I942" s="133"/>
      <c r="J942" s="194"/>
      <c r="K942" s="226"/>
      <c r="L942" s="226"/>
      <c r="M942" s="345"/>
      <c r="N942" s="169"/>
      <c r="O942" s="351"/>
      <c r="P942" s="341"/>
      <c r="Q942" s="133"/>
      <c r="R942" s="194"/>
      <c r="S942" s="226"/>
      <c r="T942" s="226"/>
      <c r="U942" s="345"/>
      <c r="V942" s="169"/>
      <c r="W942" s="351"/>
      <c r="X942" s="341"/>
    </row>
    <row r="943" spans="1:24" x14ac:dyDescent="0.25">
      <c r="A943" s="133"/>
      <c r="B943" s="195"/>
      <c r="C943" s="226"/>
      <c r="D943" s="226"/>
      <c r="E943" s="345"/>
      <c r="F943" s="169"/>
      <c r="G943" s="351"/>
      <c r="H943" s="341"/>
      <c r="I943" s="133"/>
      <c r="J943" s="195"/>
      <c r="K943" s="226"/>
      <c r="L943" s="226"/>
      <c r="M943" s="345"/>
      <c r="N943" s="169"/>
      <c r="O943" s="351"/>
      <c r="P943" s="341"/>
      <c r="Q943" s="133"/>
      <c r="R943" s="195"/>
      <c r="S943" s="226"/>
      <c r="T943" s="226"/>
      <c r="U943" s="345"/>
      <c r="V943" s="169"/>
      <c r="W943" s="351"/>
      <c r="X943" s="341"/>
    </row>
    <row r="944" spans="1:24" x14ac:dyDescent="0.25">
      <c r="A944" s="133"/>
      <c r="B944" s="194"/>
      <c r="C944" s="202"/>
      <c r="D944" s="202"/>
      <c r="E944" s="345"/>
      <c r="F944" s="169"/>
      <c r="G944" s="351"/>
      <c r="H944" s="341"/>
      <c r="I944" s="133"/>
      <c r="J944" s="194"/>
      <c r="K944" s="202"/>
      <c r="L944" s="202"/>
      <c r="M944" s="345"/>
      <c r="N944" s="169"/>
      <c r="O944" s="351"/>
      <c r="P944" s="341"/>
      <c r="Q944" s="133"/>
      <c r="R944" s="194"/>
      <c r="S944" s="202"/>
      <c r="T944" s="202"/>
      <c r="U944" s="345"/>
      <c r="V944" s="169"/>
      <c r="W944" s="351"/>
      <c r="X944" s="341"/>
    </row>
    <row r="945" spans="1:24" x14ac:dyDescent="0.25">
      <c r="A945" s="133"/>
      <c r="B945" s="195"/>
      <c r="C945" s="226"/>
      <c r="D945" s="226"/>
      <c r="E945" s="345"/>
      <c r="F945" s="169"/>
      <c r="G945" s="351"/>
      <c r="H945" s="341"/>
      <c r="I945" s="133"/>
      <c r="J945" s="195"/>
      <c r="K945" s="226"/>
      <c r="L945" s="226"/>
      <c r="M945" s="345"/>
      <c r="N945" s="169"/>
      <c r="O945" s="351"/>
      <c r="P945" s="341"/>
      <c r="Q945" s="133"/>
      <c r="R945" s="195"/>
      <c r="S945" s="226"/>
      <c r="T945" s="226"/>
      <c r="U945" s="345"/>
      <c r="V945" s="169"/>
      <c r="W945" s="351"/>
      <c r="X945" s="341"/>
    </row>
    <row r="946" spans="1:24" x14ac:dyDescent="0.25">
      <c r="A946" s="133"/>
      <c r="B946" s="195"/>
      <c r="C946" s="226"/>
      <c r="D946" s="226"/>
      <c r="E946" s="345"/>
      <c r="F946" s="169"/>
      <c r="G946" s="351"/>
      <c r="H946" s="341"/>
      <c r="I946" s="133"/>
      <c r="J946" s="195"/>
      <c r="K946" s="226"/>
      <c r="L946" s="226"/>
      <c r="M946" s="345"/>
      <c r="N946" s="169"/>
      <c r="O946" s="351"/>
      <c r="P946" s="341"/>
      <c r="Q946" s="133"/>
      <c r="R946" s="195"/>
      <c r="S946" s="226"/>
      <c r="T946" s="226"/>
      <c r="U946" s="345"/>
      <c r="V946" s="169"/>
      <c r="W946" s="351"/>
      <c r="X946" s="341"/>
    </row>
    <row r="947" spans="1:24" x14ac:dyDescent="0.25">
      <c r="A947" s="133"/>
      <c r="B947" s="195"/>
      <c r="C947" s="232"/>
      <c r="D947" s="232"/>
      <c r="E947" s="232"/>
      <c r="F947" s="226"/>
      <c r="G947" s="344"/>
      <c r="H947" s="341"/>
      <c r="I947" s="133"/>
      <c r="J947" s="195"/>
      <c r="K947" s="232"/>
      <c r="L947" s="232"/>
      <c r="M947" s="232"/>
      <c r="N947" s="226"/>
      <c r="O947" s="344"/>
      <c r="P947" s="341"/>
      <c r="Q947" s="133"/>
      <c r="R947" s="195"/>
      <c r="S947" s="232"/>
      <c r="T947" s="232"/>
      <c r="U947" s="232"/>
      <c r="V947" s="226"/>
      <c r="W947" s="344"/>
      <c r="X947" s="341"/>
    </row>
    <row r="948" spans="1:24" x14ac:dyDescent="0.25">
      <c r="A948" s="133"/>
      <c r="B948" s="195"/>
      <c r="C948" s="232"/>
      <c r="D948" s="232"/>
      <c r="E948" s="232"/>
      <c r="F948" s="226"/>
      <c r="G948" s="344"/>
      <c r="H948" s="341"/>
      <c r="I948" s="133"/>
      <c r="J948" s="195"/>
      <c r="K948" s="232"/>
      <c r="L948" s="232"/>
      <c r="M948" s="232"/>
      <c r="N948" s="226"/>
      <c r="O948" s="344"/>
      <c r="P948" s="341"/>
      <c r="Q948" s="133"/>
      <c r="R948" s="195"/>
      <c r="S948" s="232"/>
      <c r="T948" s="232"/>
      <c r="U948" s="232"/>
      <c r="V948" s="226"/>
      <c r="W948" s="344"/>
      <c r="X948" s="341"/>
    </row>
    <row r="949" spans="1:24" x14ac:dyDescent="0.25">
      <c r="A949" s="133"/>
      <c r="B949" s="195"/>
      <c r="C949" s="232"/>
      <c r="D949" s="232"/>
      <c r="E949" s="232"/>
      <c r="F949" s="226"/>
      <c r="G949" s="344"/>
      <c r="H949" s="341"/>
      <c r="I949" s="133"/>
      <c r="J949" s="195"/>
      <c r="K949" s="232"/>
      <c r="L949" s="232"/>
      <c r="M949" s="232"/>
      <c r="N949" s="226"/>
      <c r="O949" s="344"/>
      <c r="P949" s="341"/>
      <c r="Q949" s="133"/>
      <c r="R949" s="195"/>
      <c r="S949" s="232"/>
      <c r="T949" s="232"/>
      <c r="U949" s="232"/>
      <c r="V949" s="226"/>
      <c r="W949" s="344"/>
      <c r="X949" s="341"/>
    </row>
    <row r="950" spans="1:24" ht="15.75" thickBot="1" x14ac:dyDescent="0.3">
      <c r="A950" s="133"/>
      <c r="B950" s="195"/>
      <c r="C950" s="232"/>
      <c r="D950" s="232"/>
      <c r="E950" s="232"/>
      <c r="F950" s="226"/>
      <c r="G950" s="344"/>
      <c r="H950" s="341"/>
      <c r="I950" s="133"/>
      <c r="J950" s="195"/>
      <c r="K950" s="232"/>
      <c r="L950" s="232"/>
      <c r="M950" s="232"/>
      <c r="N950" s="226"/>
      <c r="O950" s="344"/>
      <c r="P950" s="341"/>
      <c r="Q950" s="133"/>
      <c r="R950" s="195"/>
      <c r="S950" s="232"/>
      <c r="T950" s="232"/>
      <c r="U950" s="232"/>
      <c r="V950" s="226"/>
      <c r="W950" s="344"/>
      <c r="X950" s="341"/>
    </row>
    <row r="951" spans="1:24" ht="15.75" thickBot="1" x14ac:dyDescent="0.3">
      <c r="A951" s="133"/>
      <c r="B951" s="233"/>
      <c r="C951" s="234"/>
      <c r="D951" s="234"/>
      <c r="E951" s="234"/>
      <c r="F951" s="235"/>
      <c r="G951" s="347"/>
      <c r="H951" s="358">
        <f>+SUM(G939:G951)</f>
        <v>2757</v>
      </c>
      <c r="I951" s="133"/>
      <c r="J951" s="233"/>
      <c r="K951" s="234"/>
      <c r="L951" s="234"/>
      <c r="M951" s="234"/>
      <c r="N951" s="235"/>
      <c r="O951" s="347"/>
      <c r="P951" s="358">
        <f>+SUM(O939:O951)</f>
        <v>2959.74</v>
      </c>
      <c r="Q951" s="133"/>
      <c r="R951" s="233"/>
      <c r="S951" s="234"/>
      <c r="T951" s="234"/>
      <c r="U951" s="234"/>
      <c r="V951" s="235"/>
      <c r="W951" s="347"/>
      <c r="X951" s="358">
        <f>+SUM(W939:W951)</f>
        <v>3675</v>
      </c>
    </row>
    <row r="952" spans="1:24" ht="15.75" thickBot="1" x14ac:dyDescent="0.3">
      <c r="A952" s="133"/>
      <c r="B952" s="238"/>
      <c r="C952" s="238"/>
      <c r="D952" s="238"/>
      <c r="E952" s="238"/>
      <c r="F952" s="239"/>
      <c r="G952" s="349"/>
      <c r="H952" s="350"/>
      <c r="I952" s="133"/>
      <c r="J952" s="238"/>
      <c r="K952" s="238"/>
      <c r="L952" s="238"/>
      <c r="M952" s="238"/>
      <c r="N952" s="239"/>
      <c r="O952" s="349"/>
      <c r="P952" s="350"/>
      <c r="Q952" s="133"/>
      <c r="R952" s="238"/>
      <c r="S952" s="238"/>
      <c r="T952" s="238"/>
      <c r="U952" s="238"/>
      <c r="V952" s="239"/>
      <c r="W952" s="349"/>
      <c r="X952" s="350"/>
    </row>
    <row r="953" spans="1:24" ht="15.75" thickBot="1" x14ac:dyDescent="0.3">
      <c r="A953" s="133"/>
      <c r="B953" s="224" t="s">
        <v>5410</v>
      </c>
      <c r="C953" s="193" t="s">
        <v>867</v>
      </c>
      <c r="D953" s="193" t="s">
        <v>6</v>
      </c>
      <c r="E953" s="193" t="s">
        <v>870</v>
      </c>
      <c r="F953" s="193" t="s">
        <v>5411</v>
      </c>
      <c r="G953" s="343" t="s">
        <v>868</v>
      </c>
      <c r="H953" s="341"/>
      <c r="I953" s="133"/>
      <c r="J953" s="224" t="s">
        <v>5410</v>
      </c>
      <c r="K953" s="193" t="s">
        <v>867</v>
      </c>
      <c r="L953" s="193" t="s">
        <v>6</v>
      </c>
      <c r="M953" s="193" t="s">
        <v>870</v>
      </c>
      <c r="N953" s="193" t="s">
        <v>5411</v>
      </c>
      <c r="O953" s="343" t="s">
        <v>868</v>
      </c>
      <c r="P953" s="341"/>
      <c r="Q953" s="133"/>
      <c r="R953" s="224" t="s">
        <v>5410</v>
      </c>
      <c r="S953" s="193" t="s">
        <v>867</v>
      </c>
      <c r="T953" s="193" t="s">
        <v>6</v>
      </c>
      <c r="U953" s="193" t="s">
        <v>870</v>
      </c>
      <c r="V953" s="193" t="s">
        <v>5411</v>
      </c>
      <c r="W953" s="343" t="s">
        <v>868</v>
      </c>
      <c r="X953" s="341"/>
    </row>
    <row r="954" spans="1:24" x14ac:dyDescent="0.25">
      <c r="A954" s="133"/>
      <c r="B954" s="275"/>
      <c r="C954" s="276"/>
      <c r="D954" s="276"/>
      <c r="E954" s="228"/>
      <c r="F954" s="276"/>
      <c r="G954" s="354"/>
      <c r="H954" s="355"/>
      <c r="I954" s="133"/>
      <c r="J954" s="275"/>
      <c r="K954" s="276"/>
      <c r="L954" s="276"/>
      <c r="M954" s="228"/>
      <c r="N954" s="276"/>
      <c r="O954" s="354"/>
      <c r="P954" s="355"/>
      <c r="Q954" s="133"/>
      <c r="R954" s="275"/>
      <c r="S954" s="276"/>
      <c r="T954" s="276"/>
      <c r="U954" s="228"/>
      <c r="V954" s="276"/>
      <c r="W954" s="354"/>
      <c r="X954" s="355"/>
    </row>
    <row r="955" spans="1:24" x14ac:dyDescent="0.25">
      <c r="A955" s="133"/>
      <c r="B955" s="278"/>
      <c r="C955" s="279"/>
      <c r="D955" s="279"/>
      <c r="E955" s="228"/>
      <c r="F955" s="279"/>
      <c r="G955" s="351"/>
      <c r="H955" s="341"/>
      <c r="I955" s="133"/>
      <c r="J955" s="278"/>
      <c r="K955" s="279"/>
      <c r="L955" s="279"/>
      <c r="M955" s="228"/>
      <c r="N955" s="279"/>
      <c r="O955" s="351"/>
      <c r="P955" s="341"/>
      <c r="Q955" s="133"/>
      <c r="R955" s="278"/>
      <c r="S955" s="279"/>
      <c r="T955" s="279"/>
      <c r="U955" s="228"/>
      <c r="V955" s="279"/>
      <c r="W955" s="351"/>
      <c r="X955" s="341"/>
    </row>
    <row r="956" spans="1:24" x14ac:dyDescent="0.25">
      <c r="A956" s="133"/>
      <c r="B956" s="278"/>
      <c r="C956" s="279"/>
      <c r="D956" s="279"/>
      <c r="E956" s="232"/>
      <c r="F956" s="279"/>
      <c r="G956" s="344"/>
      <c r="H956" s="341"/>
      <c r="I956" s="133"/>
      <c r="J956" s="278"/>
      <c r="K956" s="279"/>
      <c r="L956" s="279"/>
      <c r="M956" s="232"/>
      <c r="N956" s="279"/>
      <c r="O956" s="344"/>
      <c r="P956" s="341"/>
      <c r="Q956" s="133"/>
      <c r="R956" s="278"/>
      <c r="S956" s="279"/>
      <c r="T956" s="279"/>
      <c r="U956" s="232"/>
      <c r="V956" s="279"/>
      <c r="W956" s="344"/>
      <c r="X956" s="341"/>
    </row>
    <row r="957" spans="1:24" x14ac:dyDescent="0.25">
      <c r="A957" s="133"/>
      <c r="B957" s="194"/>
      <c r="C957" s="248"/>
      <c r="D957" s="248"/>
      <c r="E957" s="232"/>
      <c r="F957" s="202"/>
      <c r="G957" s="344"/>
      <c r="H957" s="341"/>
      <c r="I957" s="133"/>
      <c r="J957" s="194"/>
      <c r="K957" s="248"/>
      <c r="L957" s="248"/>
      <c r="M957" s="232"/>
      <c r="N957" s="202"/>
      <c r="O957" s="344"/>
      <c r="P957" s="341"/>
      <c r="Q957" s="133"/>
      <c r="R957" s="194"/>
      <c r="S957" s="248"/>
      <c r="T957" s="248"/>
      <c r="U957" s="232"/>
      <c r="V957" s="202"/>
      <c r="W957" s="344"/>
      <c r="X957" s="341"/>
    </row>
    <row r="958" spans="1:24" ht="15.75" thickBot="1" x14ac:dyDescent="0.3">
      <c r="A958" s="133"/>
      <c r="B958" s="195"/>
      <c r="C958" s="232"/>
      <c r="D958" s="232"/>
      <c r="E958" s="232"/>
      <c r="F958" s="226"/>
      <c r="G958" s="344"/>
      <c r="H958" s="341"/>
      <c r="I958" s="133"/>
      <c r="J958" s="195"/>
      <c r="K958" s="232"/>
      <c r="L958" s="232"/>
      <c r="M958" s="232"/>
      <c r="N958" s="226"/>
      <c r="O958" s="344"/>
      <c r="P958" s="341"/>
      <c r="Q958" s="133"/>
      <c r="R958" s="195"/>
      <c r="S958" s="232"/>
      <c r="T958" s="232"/>
      <c r="U958" s="232"/>
      <c r="V958" s="226"/>
      <c r="W958" s="344"/>
      <c r="X958" s="341"/>
    </row>
    <row r="959" spans="1:24" ht="15.75" thickBot="1" x14ac:dyDescent="0.3">
      <c r="A959" s="133"/>
      <c r="B959" s="233"/>
      <c r="C959" s="234"/>
      <c r="D959" s="234"/>
      <c r="E959" s="234"/>
      <c r="F959" s="235"/>
      <c r="G959" s="347"/>
      <c r="H959" s="348">
        <f>+SUM(G954:G959)</f>
        <v>0</v>
      </c>
      <c r="I959" s="133"/>
      <c r="J959" s="233"/>
      <c r="K959" s="234"/>
      <c r="L959" s="234"/>
      <c r="M959" s="234"/>
      <c r="N959" s="235"/>
      <c r="O959" s="347"/>
      <c r="P959" s="348">
        <f>+SUM(O954:O959)</f>
        <v>0</v>
      </c>
      <c r="Q959" s="133"/>
      <c r="R959" s="233"/>
      <c r="S959" s="234"/>
      <c r="T959" s="234"/>
      <c r="U959" s="234"/>
      <c r="V959" s="235"/>
      <c r="W959" s="347"/>
      <c r="X959" s="348">
        <f>+SUM(W954:W959)</f>
        <v>0</v>
      </c>
    </row>
    <row r="960" spans="1:24" ht="15.75" thickBot="1" x14ac:dyDescent="0.3">
      <c r="A960" s="133"/>
      <c r="B960" s="238"/>
      <c r="C960" s="238"/>
      <c r="D960" s="238"/>
      <c r="E960" s="238"/>
      <c r="F960" s="249"/>
      <c r="G960" s="356"/>
      <c r="H960" s="350"/>
      <c r="I960" s="133"/>
      <c r="J960" s="238"/>
      <c r="K960" s="238"/>
      <c r="L960" s="238"/>
      <c r="M960" s="238"/>
      <c r="N960" s="249"/>
      <c r="O960" s="356"/>
      <c r="P960" s="350"/>
      <c r="Q960" s="133"/>
      <c r="R960" s="238"/>
      <c r="S960" s="238"/>
      <c r="T960" s="238"/>
      <c r="U960" s="238"/>
      <c r="V960" s="249"/>
      <c r="W960" s="356"/>
      <c r="X960" s="350"/>
    </row>
    <row r="961" spans="1:24" ht="15.75" thickBot="1" x14ac:dyDescent="0.3">
      <c r="A961" s="133"/>
      <c r="B961" s="224" t="s">
        <v>5412</v>
      </c>
      <c r="C961" s="193" t="s">
        <v>5420</v>
      </c>
      <c r="D961" s="193" t="s">
        <v>5421</v>
      </c>
      <c r="E961" s="193" t="s">
        <v>5413</v>
      </c>
      <c r="F961" s="193" t="s">
        <v>5405</v>
      </c>
      <c r="G961" s="343" t="s">
        <v>868</v>
      </c>
      <c r="H961" s="341"/>
      <c r="I961" s="133"/>
      <c r="J961" s="224" t="s">
        <v>5412</v>
      </c>
      <c r="K961" s="193" t="s">
        <v>5420</v>
      </c>
      <c r="L961" s="193" t="s">
        <v>5421</v>
      </c>
      <c r="M961" s="193" t="s">
        <v>5413</v>
      </c>
      <c r="N961" s="193" t="s">
        <v>5405</v>
      </c>
      <c r="O961" s="343" t="s">
        <v>868</v>
      </c>
      <c r="P961" s="341"/>
      <c r="Q961" s="133"/>
      <c r="R961" s="224" t="s">
        <v>5412</v>
      </c>
      <c r="S961" s="193" t="s">
        <v>5420</v>
      </c>
      <c r="T961" s="193" t="s">
        <v>5421</v>
      </c>
      <c r="U961" s="193" t="s">
        <v>5413</v>
      </c>
      <c r="V961" s="193" t="s">
        <v>5405</v>
      </c>
      <c r="W961" s="343" t="s">
        <v>868</v>
      </c>
      <c r="X961" s="341"/>
    </row>
    <row r="962" spans="1:24" x14ac:dyDescent="0.25">
      <c r="A962" s="133"/>
      <c r="B962" s="194" t="s">
        <v>5948</v>
      </c>
      <c r="C962" s="345">
        <v>70000</v>
      </c>
      <c r="D962" s="345">
        <f>+C962*0.85</f>
        <v>59500</v>
      </c>
      <c r="E962" s="353">
        <f>+C962+D962</f>
        <v>129500</v>
      </c>
      <c r="F962" s="204">
        <v>1750</v>
      </c>
      <c r="G962" s="351">
        <f>+E962/F962</f>
        <v>74</v>
      </c>
      <c r="H962" s="341"/>
      <c r="I962" s="133"/>
      <c r="J962" s="194" t="s">
        <v>5948</v>
      </c>
      <c r="K962" s="345">
        <v>70000</v>
      </c>
      <c r="L962" s="345">
        <f>+K962*0.85</f>
        <v>59500</v>
      </c>
      <c r="M962" s="353">
        <f>+K962+L962</f>
        <v>129500</v>
      </c>
      <c r="N962" s="204">
        <v>2000</v>
      </c>
      <c r="O962" s="351">
        <f>+M962/N962</f>
        <v>64.75</v>
      </c>
      <c r="P962" s="341"/>
      <c r="Q962" s="133"/>
      <c r="R962" s="194" t="s">
        <v>5948</v>
      </c>
      <c r="S962" s="345">
        <v>70000</v>
      </c>
      <c r="T962" s="345">
        <f>+S962*0.85</f>
        <v>59500</v>
      </c>
      <c r="U962" s="353">
        <f>+S962+T962</f>
        <v>129500</v>
      </c>
      <c r="V962" s="204">
        <v>2000</v>
      </c>
      <c r="W962" s="351">
        <f>+U962/V962</f>
        <v>64.75</v>
      </c>
      <c r="X962" s="341"/>
    </row>
    <row r="963" spans="1:24" x14ac:dyDescent="0.25">
      <c r="A963" s="133"/>
      <c r="B963" s="194" t="s">
        <v>5949</v>
      </c>
      <c r="C963" s="345">
        <v>40000</v>
      </c>
      <c r="D963" s="345">
        <f>+C963*0.85</f>
        <v>34000</v>
      </c>
      <c r="E963" s="353">
        <f>+C963+D963</f>
        <v>74000</v>
      </c>
      <c r="F963" s="202">
        <v>200</v>
      </c>
      <c r="G963" s="351">
        <f>+E963/F963</f>
        <v>370</v>
      </c>
      <c r="H963" s="341"/>
      <c r="I963" s="133"/>
      <c r="J963" s="194" t="s">
        <v>5949</v>
      </c>
      <c r="K963" s="345">
        <v>40000</v>
      </c>
      <c r="L963" s="345">
        <f>+K963*0.85</f>
        <v>34000</v>
      </c>
      <c r="M963" s="353">
        <f>+K963+L963</f>
        <v>74000</v>
      </c>
      <c r="N963" s="202">
        <v>400</v>
      </c>
      <c r="O963" s="351">
        <f>+M963/N963</f>
        <v>185</v>
      </c>
      <c r="P963" s="341"/>
      <c r="Q963" s="133"/>
      <c r="R963" s="194" t="s">
        <v>5949</v>
      </c>
      <c r="S963" s="345">
        <v>40000</v>
      </c>
      <c r="T963" s="345">
        <f>+S963*0.85</f>
        <v>34000</v>
      </c>
      <c r="U963" s="353">
        <f>+S963+T963</f>
        <v>74000</v>
      </c>
      <c r="V963" s="202">
        <v>400</v>
      </c>
      <c r="W963" s="351">
        <f>+U963/V963</f>
        <v>185</v>
      </c>
      <c r="X963" s="341"/>
    </row>
    <row r="964" spans="1:24" x14ac:dyDescent="0.25">
      <c r="A964" s="133"/>
      <c r="B964" s="195" t="s">
        <v>5635</v>
      </c>
      <c r="C964" s="345">
        <v>20600</v>
      </c>
      <c r="D964" s="345">
        <f>+C964*0.85</f>
        <v>17510</v>
      </c>
      <c r="E964" s="353">
        <f>+C964+D964</f>
        <v>38110</v>
      </c>
      <c r="F964" s="226">
        <v>200</v>
      </c>
      <c r="G964" s="351">
        <f>+E964/F964</f>
        <v>190.55</v>
      </c>
      <c r="H964" s="341"/>
      <c r="I964" s="133"/>
      <c r="J964" s="195" t="s">
        <v>5635</v>
      </c>
      <c r="K964" s="345">
        <v>20600</v>
      </c>
      <c r="L964" s="345">
        <f>+K964*0.85</f>
        <v>17510</v>
      </c>
      <c r="M964" s="353">
        <f>+K964+L964</f>
        <v>38110</v>
      </c>
      <c r="N964" s="226">
        <v>400</v>
      </c>
      <c r="O964" s="351">
        <f>+M964/N964</f>
        <v>95.275000000000006</v>
      </c>
      <c r="P964" s="341"/>
      <c r="Q964" s="133"/>
      <c r="R964" s="195" t="s">
        <v>5635</v>
      </c>
      <c r="S964" s="345">
        <v>20600</v>
      </c>
      <c r="T964" s="345">
        <f>+S964*0.85</f>
        <v>17510</v>
      </c>
      <c r="U964" s="353">
        <f>+S964+T964</f>
        <v>38110</v>
      </c>
      <c r="V964" s="226">
        <v>400</v>
      </c>
      <c r="W964" s="351">
        <f>+U964/V964</f>
        <v>95.275000000000006</v>
      </c>
      <c r="X964" s="341"/>
    </row>
    <row r="965" spans="1:24" x14ac:dyDescent="0.25">
      <c r="A965" s="133"/>
      <c r="B965" s="195"/>
      <c r="C965" s="346"/>
      <c r="D965" s="345"/>
      <c r="E965" s="345"/>
      <c r="F965" s="226"/>
      <c r="G965" s="351"/>
      <c r="H965" s="341"/>
      <c r="I965" s="133"/>
      <c r="J965" s="195"/>
      <c r="K965" s="346"/>
      <c r="L965" s="345"/>
      <c r="M965" s="345"/>
      <c r="N965" s="226"/>
      <c r="O965" s="351"/>
      <c r="P965" s="341"/>
      <c r="Q965" s="133"/>
      <c r="R965" s="195"/>
      <c r="S965" s="346"/>
      <c r="T965" s="345"/>
      <c r="U965" s="345"/>
      <c r="V965" s="226"/>
      <c r="W965" s="351"/>
      <c r="X965" s="341"/>
    </row>
    <row r="966" spans="1:24" x14ac:dyDescent="0.25">
      <c r="A966" s="133"/>
      <c r="B966" s="195"/>
      <c r="C966" s="232"/>
      <c r="D966" s="232"/>
      <c r="E966" s="232"/>
      <c r="F966" s="226"/>
      <c r="G966" s="344"/>
      <c r="H966" s="341"/>
      <c r="I966" s="133"/>
      <c r="J966" s="195"/>
      <c r="K966" s="232"/>
      <c r="L966" s="232"/>
      <c r="M966" s="232"/>
      <c r="N966" s="226"/>
      <c r="O966" s="344"/>
      <c r="P966" s="341"/>
      <c r="Q966" s="133"/>
      <c r="R966" s="195"/>
      <c r="S966" s="232"/>
      <c r="T966" s="232"/>
      <c r="U966" s="232"/>
      <c r="V966" s="226"/>
      <c r="W966" s="344"/>
      <c r="X966" s="341"/>
    </row>
    <row r="967" spans="1:24" ht="15.75" thickBot="1" x14ac:dyDescent="0.3">
      <c r="A967" s="133"/>
      <c r="B967" s="195"/>
      <c r="C967" s="232"/>
      <c r="D967" s="232"/>
      <c r="E967" s="232"/>
      <c r="F967" s="226"/>
      <c r="G967" s="344"/>
      <c r="H967" s="341"/>
      <c r="I967" s="133"/>
      <c r="J967" s="195"/>
      <c r="K967" s="232"/>
      <c r="L967" s="232"/>
      <c r="M967" s="232"/>
      <c r="N967" s="226"/>
      <c r="O967" s="344"/>
      <c r="P967" s="341"/>
      <c r="Q967" s="133"/>
      <c r="R967" s="195"/>
      <c r="S967" s="232"/>
      <c r="T967" s="232"/>
      <c r="U967" s="232"/>
      <c r="V967" s="226"/>
      <c r="W967" s="344"/>
      <c r="X967" s="341"/>
    </row>
    <row r="968" spans="1:24" ht="15.75" thickBot="1" x14ac:dyDescent="0.3">
      <c r="A968" s="133"/>
      <c r="B968" s="251"/>
      <c r="C968" s="252"/>
      <c r="D968" s="252"/>
      <c r="E968" s="252"/>
      <c r="F968" s="253"/>
      <c r="G968" s="357"/>
      <c r="H968" s="358">
        <f>+SUM(G962:G968)</f>
        <v>634.54999999999995</v>
      </c>
      <c r="I968" s="133"/>
      <c r="J968" s="251"/>
      <c r="K968" s="252"/>
      <c r="L968" s="252"/>
      <c r="M968" s="252"/>
      <c r="N968" s="253"/>
      <c r="O968" s="357"/>
      <c r="P968" s="358">
        <f>+SUM(O962:O968)</f>
        <v>345.02499999999998</v>
      </c>
      <c r="Q968" s="133"/>
      <c r="R968" s="251"/>
      <c r="S968" s="252"/>
      <c r="T968" s="252"/>
      <c r="U968" s="252"/>
      <c r="V968" s="253"/>
      <c r="W968" s="357"/>
      <c r="X968" s="358">
        <f>+SUM(W962:W968)</f>
        <v>345.02499999999998</v>
      </c>
    </row>
    <row r="969" spans="1:24" ht="15.75" thickBot="1" x14ac:dyDescent="0.3">
      <c r="A969" s="133"/>
      <c r="B969" s="8"/>
      <c r="C969" s="8"/>
      <c r="D969" s="8"/>
      <c r="E969" s="8"/>
      <c r="F969" s="133"/>
      <c r="G969" s="341"/>
      <c r="H969" s="341"/>
      <c r="I969" s="133"/>
      <c r="J969" s="8"/>
      <c r="K969" s="8"/>
      <c r="L969" s="8"/>
      <c r="M969" s="8"/>
      <c r="N969" s="133"/>
      <c r="O969" s="341"/>
      <c r="P969" s="341"/>
      <c r="Q969" s="133"/>
      <c r="R969" s="8"/>
      <c r="S969" s="8"/>
      <c r="T969" s="8"/>
      <c r="U969" s="8"/>
      <c r="V969" s="133"/>
      <c r="W969" s="341"/>
      <c r="X969" s="341"/>
    </row>
    <row r="970" spans="1:24" ht="15.75" thickBot="1" x14ac:dyDescent="0.3">
      <c r="A970" s="133"/>
      <c r="B970" s="8"/>
      <c r="C970" s="8"/>
      <c r="D970" s="8"/>
      <c r="E970" s="223"/>
      <c r="F970" s="133"/>
      <c r="G970" s="341"/>
      <c r="H970" s="358">
        <f>ROUND(+H968+H959+H951+H936,0)</f>
        <v>3455</v>
      </c>
      <c r="I970" s="133"/>
      <c r="J970" s="8"/>
      <c r="K970" s="8"/>
      <c r="L970" s="8"/>
      <c r="M970" s="223"/>
      <c r="N970" s="133"/>
      <c r="O970" s="341"/>
      <c r="P970" s="358">
        <f>ROUND(+P968+P959+P951+P936,0)</f>
        <v>3322</v>
      </c>
      <c r="Q970" s="133"/>
      <c r="R970" s="8"/>
      <c r="S970" s="8"/>
      <c r="T970" s="8"/>
      <c r="U970" s="223"/>
      <c r="V970" s="133"/>
      <c r="W970" s="341"/>
      <c r="X970" s="358">
        <f>ROUND(+X968+X959+X951+X936,0)</f>
        <v>4037</v>
      </c>
    </row>
    <row r="975" spans="1:24" ht="18.75" x14ac:dyDescent="0.25">
      <c r="A975" s="133"/>
      <c r="B975" s="2506" t="s">
        <v>5400</v>
      </c>
      <c r="C975" s="2506"/>
      <c r="D975" s="2506"/>
      <c r="E975" s="2506"/>
      <c r="F975" s="2506"/>
      <c r="G975" s="2506"/>
      <c r="H975" s="8"/>
    </row>
    <row r="976" spans="1:24" x14ac:dyDescent="0.25">
      <c r="A976" s="133"/>
      <c r="B976" s="8"/>
      <c r="C976" s="8"/>
      <c r="D976" s="8"/>
      <c r="E976" s="8"/>
      <c r="F976" s="133"/>
      <c r="G976" s="341"/>
      <c r="H976" s="341"/>
    </row>
    <row r="977" spans="1:8" x14ac:dyDescent="0.25">
      <c r="A977" s="133"/>
      <c r="B977" s="8"/>
      <c r="C977" s="8"/>
      <c r="D977" s="8"/>
      <c r="E977" s="8"/>
      <c r="F977" s="133"/>
      <c r="G977" s="341"/>
      <c r="H977" s="341"/>
    </row>
    <row r="978" spans="1:8" x14ac:dyDescent="0.25">
      <c r="A978" s="133"/>
      <c r="B978" s="8"/>
      <c r="C978" s="8"/>
      <c r="D978" s="8"/>
      <c r="E978" s="8"/>
      <c r="F978" s="133"/>
      <c r="G978" s="341"/>
      <c r="H978" s="341"/>
    </row>
    <row r="979" spans="1:8" ht="15" customHeight="1" x14ac:dyDescent="0.25">
      <c r="A979" s="220" t="s">
        <v>5482</v>
      </c>
      <c r="B979" s="221" t="s">
        <v>659</v>
      </c>
      <c r="C979" s="2449" t="s">
        <v>5574</v>
      </c>
      <c r="D979" s="2449"/>
      <c r="E979" s="2449"/>
      <c r="F979" s="220" t="s">
        <v>867</v>
      </c>
      <c r="G979" s="342" t="s">
        <v>5431</v>
      </c>
      <c r="H979" s="341"/>
    </row>
    <row r="980" spans="1:8" x14ac:dyDescent="0.25">
      <c r="A980" s="133"/>
      <c r="B980" s="8"/>
      <c r="C980" s="223"/>
      <c r="D980" s="223"/>
      <c r="E980" s="223"/>
      <c r="F980" s="133"/>
      <c r="G980" s="341"/>
      <c r="H980" s="341"/>
    </row>
    <row r="981" spans="1:8" x14ac:dyDescent="0.25">
      <c r="A981" s="133"/>
      <c r="B981" s="8"/>
      <c r="C981" s="8"/>
      <c r="D981" s="8"/>
      <c r="E981" s="8"/>
      <c r="F981" s="8"/>
      <c r="G981" s="8"/>
      <c r="H981" s="341"/>
    </row>
    <row r="982" spans="1:8" ht="15.75" thickBot="1" x14ac:dyDescent="0.3">
      <c r="A982" s="133"/>
      <c r="B982" s="8"/>
      <c r="C982" s="8"/>
      <c r="D982" s="8"/>
      <c r="E982" s="8"/>
      <c r="F982" s="133"/>
      <c r="G982" s="341"/>
      <c r="H982" s="341"/>
    </row>
    <row r="983" spans="1:8" ht="15.75" thickBot="1" x14ac:dyDescent="0.3">
      <c r="A983" s="133"/>
      <c r="B983" s="224" t="s">
        <v>5403</v>
      </c>
      <c r="C983" s="193" t="s">
        <v>867</v>
      </c>
      <c r="D983" s="193" t="s">
        <v>6</v>
      </c>
      <c r="E983" s="193" t="s">
        <v>5439</v>
      </c>
      <c r="F983" s="193" t="s">
        <v>5405</v>
      </c>
      <c r="G983" s="343" t="s">
        <v>868</v>
      </c>
      <c r="H983" s="341"/>
    </row>
    <row r="984" spans="1:8" x14ac:dyDescent="0.25">
      <c r="A984" s="133"/>
      <c r="B984" s="195" t="s">
        <v>5440</v>
      </c>
      <c r="C984" s="226" t="s">
        <v>5402</v>
      </c>
      <c r="D984" s="226">
        <v>1</v>
      </c>
      <c r="E984" s="228">
        <f>+H1022</f>
        <v>945.72</v>
      </c>
      <c r="F984" s="226">
        <v>0.1</v>
      </c>
      <c r="G984" s="344">
        <f>+E984*F984</f>
        <v>94.572000000000003</v>
      </c>
      <c r="H984" s="341"/>
    </row>
    <row r="985" spans="1:8" x14ac:dyDescent="0.25">
      <c r="A985" s="133"/>
      <c r="B985" s="195"/>
      <c r="C985" s="226"/>
      <c r="D985" s="226"/>
      <c r="E985" s="228"/>
      <c r="F985" s="226"/>
      <c r="G985" s="344"/>
      <c r="H985" s="341"/>
    </row>
    <row r="986" spans="1:8" x14ac:dyDescent="0.25">
      <c r="A986" s="133"/>
      <c r="B986" s="195"/>
      <c r="C986" s="226"/>
      <c r="D986" s="226"/>
      <c r="E986" s="345"/>
      <c r="F986" s="226"/>
      <c r="G986" s="344"/>
      <c r="H986" s="341"/>
    </row>
    <row r="987" spans="1:8" x14ac:dyDescent="0.25">
      <c r="A987" s="133"/>
      <c r="B987" s="195"/>
      <c r="C987" s="226"/>
      <c r="D987" s="226"/>
      <c r="E987" s="346"/>
      <c r="F987" s="226"/>
      <c r="G987" s="344"/>
      <c r="H987" s="341"/>
    </row>
    <row r="988" spans="1:8" x14ac:dyDescent="0.25">
      <c r="A988" s="133"/>
      <c r="B988" s="195"/>
      <c r="C988" s="226"/>
      <c r="D988" s="232"/>
      <c r="E988" s="232"/>
      <c r="F988" s="226"/>
      <c r="G988" s="344"/>
      <c r="H988" s="341"/>
    </row>
    <row r="989" spans="1:8" ht="15.75" thickBot="1" x14ac:dyDescent="0.3">
      <c r="A989" s="133"/>
      <c r="B989" s="195"/>
      <c r="C989" s="226"/>
      <c r="D989" s="232"/>
      <c r="E989" s="232"/>
      <c r="F989" s="226"/>
      <c r="G989" s="344"/>
      <c r="H989" s="341"/>
    </row>
    <row r="990" spans="1:8" ht="15.75" thickBot="1" x14ac:dyDescent="0.3">
      <c r="A990" s="133"/>
      <c r="B990" s="233"/>
      <c r="C990" s="234"/>
      <c r="D990" s="234"/>
      <c r="E990" s="234"/>
      <c r="F990" s="235"/>
      <c r="G990" s="347"/>
      <c r="H990" s="348">
        <f>+SUM(G984:G990)</f>
        <v>94.572000000000003</v>
      </c>
    </row>
    <row r="991" spans="1:8" ht="15.75" thickBot="1" x14ac:dyDescent="0.3">
      <c r="A991" s="133"/>
      <c r="B991" s="238"/>
      <c r="C991" s="238"/>
      <c r="D991" s="238"/>
      <c r="E991" s="238"/>
      <c r="F991" s="239"/>
      <c r="G991" s="349"/>
      <c r="H991" s="350"/>
    </row>
    <row r="992" spans="1:8" ht="15.75" thickBot="1" x14ac:dyDescent="0.3">
      <c r="A992" s="133"/>
      <c r="B992" s="224" t="s">
        <v>5408</v>
      </c>
      <c r="C992" s="193" t="s">
        <v>867</v>
      </c>
      <c r="D992" s="193" t="s">
        <v>6</v>
      </c>
      <c r="E992" s="193" t="s">
        <v>870</v>
      </c>
      <c r="F992" s="193" t="s">
        <v>5409</v>
      </c>
      <c r="G992" s="343" t="s">
        <v>868</v>
      </c>
      <c r="H992" s="341"/>
    </row>
    <row r="993" spans="1:8" x14ac:dyDescent="0.25">
      <c r="A993" s="133"/>
      <c r="B993" s="245" t="s">
        <v>6041</v>
      </c>
      <c r="C993" s="202" t="s">
        <v>5431</v>
      </c>
      <c r="D993" s="226">
        <v>1</v>
      </c>
      <c r="E993" s="228">
        <v>61480</v>
      </c>
      <c r="F993" s="169">
        <v>0.1</v>
      </c>
      <c r="G993" s="351">
        <f>+D993*E993*(1+F993)</f>
        <v>67628</v>
      </c>
      <c r="H993" s="341"/>
    </row>
    <row r="994" spans="1:8" x14ac:dyDescent="0.25">
      <c r="A994" s="133"/>
      <c r="B994" s="247"/>
      <c r="C994" s="202"/>
      <c r="D994" s="202"/>
      <c r="E994" s="228"/>
      <c r="F994" s="169"/>
      <c r="G994" s="351"/>
      <c r="H994" s="341"/>
    </row>
    <row r="995" spans="1:8" x14ac:dyDescent="0.25">
      <c r="A995" s="133"/>
      <c r="B995" s="247"/>
      <c r="C995" s="202"/>
      <c r="D995" s="226"/>
      <c r="E995" s="228"/>
      <c r="F995" s="169"/>
      <c r="G995" s="351"/>
      <c r="H995" s="341"/>
    </row>
    <row r="996" spans="1:8" x14ac:dyDescent="0.25">
      <c r="A996" s="133"/>
      <c r="B996" s="194"/>
      <c r="C996" s="226"/>
      <c r="D996" s="226"/>
      <c r="E996" s="345"/>
      <c r="F996" s="169"/>
      <c r="G996" s="351"/>
      <c r="H996" s="341"/>
    </row>
    <row r="997" spans="1:8" x14ac:dyDescent="0.25">
      <c r="A997" s="133"/>
      <c r="B997" s="195"/>
      <c r="C997" s="226"/>
      <c r="D997" s="226"/>
      <c r="E997" s="345"/>
      <c r="F997" s="169"/>
      <c r="G997" s="351"/>
      <c r="H997" s="341"/>
    </row>
    <row r="998" spans="1:8" x14ac:dyDescent="0.25">
      <c r="A998" s="133"/>
      <c r="B998" s="194"/>
      <c r="C998" s="202"/>
      <c r="D998" s="202"/>
      <c r="E998" s="345"/>
      <c r="F998" s="169"/>
      <c r="G998" s="351"/>
      <c r="H998" s="341"/>
    </row>
    <row r="999" spans="1:8" x14ac:dyDescent="0.25">
      <c r="A999" s="133"/>
      <c r="B999" s="195"/>
      <c r="C999" s="226"/>
      <c r="D999" s="226"/>
      <c r="E999" s="345"/>
      <c r="F999" s="169"/>
      <c r="G999" s="351"/>
      <c r="H999" s="341"/>
    </row>
    <row r="1000" spans="1:8" x14ac:dyDescent="0.25">
      <c r="A1000" s="133"/>
      <c r="B1000" s="195"/>
      <c r="C1000" s="226"/>
      <c r="D1000" s="226"/>
      <c r="E1000" s="345"/>
      <c r="F1000" s="169"/>
      <c r="G1000" s="351"/>
      <c r="H1000" s="341"/>
    </row>
    <row r="1001" spans="1:8" x14ac:dyDescent="0.25">
      <c r="A1001" s="133"/>
      <c r="B1001" s="195"/>
      <c r="C1001" s="232"/>
      <c r="D1001" s="232"/>
      <c r="E1001" s="232"/>
      <c r="F1001" s="226"/>
      <c r="G1001" s="344"/>
      <c r="H1001" s="341"/>
    </row>
    <row r="1002" spans="1:8" x14ac:dyDescent="0.25">
      <c r="A1002" s="133"/>
      <c r="B1002" s="195"/>
      <c r="C1002" s="232"/>
      <c r="D1002" s="232"/>
      <c r="E1002" s="232"/>
      <c r="F1002" s="226"/>
      <c r="G1002" s="344"/>
      <c r="H1002" s="341"/>
    </row>
    <row r="1003" spans="1:8" x14ac:dyDescent="0.25">
      <c r="A1003" s="133"/>
      <c r="B1003" s="195"/>
      <c r="C1003" s="232"/>
      <c r="D1003" s="232"/>
      <c r="E1003" s="232"/>
      <c r="F1003" s="226"/>
      <c r="G1003" s="344"/>
      <c r="H1003" s="341"/>
    </row>
    <row r="1004" spans="1:8" ht="15.75" thickBot="1" x14ac:dyDescent="0.3">
      <c r="A1004" s="133"/>
      <c r="B1004" s="195"/>
      <c r="C1004" s="232"/>
      <c r="D1004" s="232"/>
      <c r="E1004" s="232"/>
      <c r="F1004" s="226"/>
      <c r="G1004" s="344"/>
      <c r="H1004" s="341"/>
    </row>
    <row r="1005" spans="1:8" ht="15.75" thickBot="1" x14ac:dyDescent="0.3">
      <c r="A1005" s="133"/>
      <c r="B1005" s="233"/>
      <c r="C1005" s="234"/>
      <c r="D1005" s="234"/>
      <c r="E1005" s="234"/>
      <c r="F1005" s="235"/>
      <c r="G1005" s="347"/>
      <c r="H1005" s="358">
        <f>+SUM(G993:G1005)</f>
        <v>67628</v>
      </c>
    </row>
    <row r="1006" spans="1:8" ht="15.75" thickBot="1" x14ac:dyDescent="0.3">
      <c r="A1006" s="133"/>
      <c r="B1006" s="238"/>
      <c r="C1006" s="238"/>
      <c r="D1006" s="238"/>
      <c r="E1006" s="238"/>
      <c r="F1006" s="239"/>
      <c r="G1006" s="349"/>
      <c r="H1006" s="350"/>
    </row>
    <row r="1007" spans="1:8" ht="15.75" thickBot="1" x14ac:dyDescent="0.3">
      <c r="A1007" s="133"/>
      <c r="B1007" s="224" t="s">
        <v>5410</v>
      </c>
      <c r="C1007" s="193" t="s">
        <v>867</v>
      </c>
      <c r="D1007" s="193" t="s">
        <v>6</v>
      </c>
      <c r="E1007" s="193" t="s">
        <v>870</v>
      </c>
      <c r="F1007" s="193" t="s">
        <v>5411</v>
      </c>
      <c r="G1007" s="343" t="s">
        <v>868</v>
      </c>
      <c r="H1007" s="341"/>
    </row>
    <row r="1008" spans="1:8" x14ac:dyDescent="0.25">
      <c r="A1008" s="133"/>
      <c r="B1008" s="282"/>
      <c r="C1008" s="283"/>
      <c r="D1008" s="283"/>
      <c r="E1008" s="228"/>
      <c r="F1008" s="283"/>
      <c r="G1008" s="354"/>
      <c r="H1008" s="355"/>
    </row>
    <row r="1009" spans="1:8" x14ac:dyDescent="0.25">
      <c r="A1009" s="133"/>
      <c r="B1009" s="285"/>
      <c r="C1009" s="286"/>
      <c r="D1009" s="286"/>
      <c r="E1009" s="228"/>
      <c r="F1009" s="286"/>
      <c r="G1009" s="351"/>
      <c r="H1009" s="341"/>
    </row>
    <row r="1010" spans="1:8" x14ac:dyDescent="0.25">
      <c r="A1010" s="133"/>
      <c r="B1010" s="285"/>
      <c r="C1010" s="286"/>
      <c r="D1010" s="286"/>
      <c r="E1010" s="232"/>
      <c r="F1010" s="286"/>
      <c r="G1010" s="344"/>
      <c r="H1010" s="341"/>
    </row>
    <row r="1011" spans="1:8" x14ac:dyDescent="0.25">
      <c r="A1011" s="133"/>
      <c r="B1011" s="194"/>
      <c r="C1011" s="248"/>
      <c r="D1011" s="248"/>
      <c r="E1011" s="232"/>
      <c r="F1011" s="202"/>
      <c r="G1011" s="344"/>
      <c r="H1011" s="341"/>
    </row>
    <row r="1012" spans="1:8" ht="15.75" thickBot="1" x14ac:dyDescent="0.3">
      <c r="A1012" s="133"/>
      <c r="B1012" s="195"/>
      <c r="C1012" s="232"/>
      <c r="D1012" s="232"/>
      <c r="E1012" s="232"/>
      <c r="F1012" s="226"/>
      <c r="G1012" s="344"/>
      <c r="H1012" s="341"/>
    </row>
    <row r="1013" spans="1:8" ht="15.75" thickBot="1" x14ac:dyDescent="0.3">
      <c r="A1013" s="133"/>
      <c r="B1013" s="233"/>
      <c r="C1013" s="234"/>
      <c r="D1013" s="234"/>
      <c r="E1013" s="234"/>
      <c r="F1013" s="235"/>
      <c r="G1013" s="347"/>
      <c r="H1013" s="348">
        <f>+SUM(G1008:G1013)</f>
        <v>0</v>
      </c>
    </row>
    <row r="1014" spans="1:8" ht="15.75" thickBot="1" x14ac:dyDescent="0.3">
      <c r="A1014" s="133"/>
      <c r="B1014" s="238"/>
      <c r="C1014" s="238"/>
      <c r="D1014" s="238"/>
      <c r="E1014" s="238"/>
      <c r="F1014" s="249"/>
      <c r="G1014" s="356"/>
      <c r="H1014" s="350"/>
    </row>
    <row r="1015" spans="1:8" ht="15.75" thickBot="1" x14ac:dyDescent="0.3">
      <c r="A1015" s="133"/>
      <c r="B1015" s="224" t="s">
        <v>5412</v>
      </c>
      <c r="C1015" s="193" t="s">
        <v>5420</v>
      </c>
      <c r="D1015" s="193" t="s">
        <v>5421</v>
      </c>
      <c r="E1015" s="193" t="s">
        <v>5413</v>
      </c>
      <c r="F1015" s="193" t="s">
        <v>5405</v>
      </c>
      <c r="G1015" s="343" t="s">
        <v>868</v>
      </c>
      <c r="H1015" s="341"/>
    </row>
    <row r="1016" spans="1:8" x14ac:dyDescent="0.25">
      <c r="A1016" s="133"/>
      <c r="B1016" s="194" t="s">
        <v>5948</v>
      </c>
      <c r="C1016" s="345">
        <v>70000</v>
      </c>
      <c r="D1016" s="345">
        <f>+C1016*0.85</f>
        <v>59500</v>
      </c>
      <c r="E1016" s="353">
        <f>+C1016+D1016</f>
        <v>129500</v>
      </c>
      <c r="F1016" s="204">
        <v>1000</v>
      </c>
      <c r="G1016" s="351">
        <f>+E1016/F1016</f>
        <v>129.5</v>
      </c>
      <c r="H1016" s="341"/>
    </row>
    <row r="1017" spans="1:8" x14ac:dyDescent="0.25">
      <c r="A1017" s="133"/>
      <c r="B1017" s="194" t="s">
        <v>5949</v>
      </c>
      <c r="C1017" s="345">
        <v>40000</v>
      </c>
      <c r="D1017" s="345">
        <f>+C1017*0.85</f>
        <v>34000</v>
      </c>
      <c r="E1017" s="353">
        <f>+C1017+D1017</f>
        <v>74000</v>
      </c>
      <c r="F1017" s="202">
        <v>100</v>
      </c>
      <c r="G1017" s="351">
        <f>+E1017/F1017</f>
        <v>740</v>
      </c>
      <c r="H1017" s="341"/>
    </row>
    <row r="1018" spans="1:8" x14ac:dyDescent="0.25">
      <c r="A1018" s="133"/>
      <c r="B1018" s="195" t="s">
        <v>5635</v>
      </c>
      <c r="C1018" s="345">
        <v>20600</v>
      </c>
      <c r="D1018" s="345">
        <f>+C1018*0.85</f>
        <v>17510</v>
      </c>
      <c r="E1018" s="353">
        <f>+C1018+D1018</f>
        <v>38110</v>
      </c>
      <c r="F1018" s="226">
        <v>500</v>
      </c>
      <c r="G1018" s="351">
        <f>+E1018/F1018</f>
        <v>76.22</v>
      </c>
      <c r="H1018" s="341"/>
    </row>
    <row r="1019" spans="1:8" x14ac:dyDescent="0.25">
      <c r="A1019" s="133"/>
      <c r="B1019" s="195"/>
      <c r="C1019" s="346"/>
      <c r="D1019" s="345"/>
      <c r="E1019" s="345"/>
      <c r="F1019" s="226"/>
      <c r="G1019" s="351"/>
      <c r="H1019" s="341"/>
    </row>
    <row r="1020" spans="1:8" x14ac:dyDescent="0.25">
      <c r="A1020" s="133"/>
      <c r="B1020" s="195"/>
      <c r="C1020" s="232"/>
      <c r="D1020" s="232"/>
      <c r="E1020" s="232"/>
      <c r="F1020" s="226"/>
      <c r="G1020" s="344"/>
      <c r="H1020" s="341"/>
    </row>
    <row r="1021" spans="1:8" ht="15.75" thickBot="1" x14ac:dyDescent="0.3">
      <c r="A1021" s="133"/>
      <c r="B1021" s="195"/>
      <c r="C1021" s="232"/>
      <c r="D1021" s="232"/>
      <c r="E1021" s="232"/>
      <c r="F1021" s="226"/>
      <c r="G1021" s="344"/>
      <c r="H1021" s="341"/>
    </row>
    <row r="1022" spans="1:8" ht="15.75" thickBot="1" x14ac:dyDescent="0.3">
      <c r="A1022" s="133"/>
      <c r="B1022" s="251"/>
      <c r="C1022" s="252"/>
      <c r="D1022" s="252"/>
      <c r="E1022" s="252"/>
      <c r="F1022" s="253"/>
      <c r="G1022" s="357"/>
      <c r="H1022" s="358">
        <f>+SUM(G1016:G1022)</f>
        <v>945.72</v>
      </c>
    </row>
    <row r="1023" spans="1:8" ht="15.75" thickBot="1" x14ac:dyDescent="0.3">
      <c r="A1023" s="133"/>
      <c r="B1023" s="8"/>
      <c r="C1023" s="8"/>
      <c r="D1023" s="8"/>
      <c r="E1023" s="8"/>
      <c r="F1023" s="133"/>
      <c r="G1023" s="341"/>
      <c r="H1023" s="341"/>
    </row>
    <row r="1024" spans="1:8" ht="15.75" thickBot="1" x14ac:dyDescent="0.3">
      <c r="A1024" s="133"/>
      <c r="B1024" s="8"/>
      <c r="C1024" s="8"/>
      <c r="D1024" s="8"/>
      <c r="E1024" s="223"/>
      <c r="F1024" s="133"/>
      <c r="G1024" s="341"/>
      <c r="H1024" s="358">
        <f>ROUND(+H1022+H1013+H1005+H990,0)</f>
        <v>68668</v>
      </c>
    </row>
    <row r="1028" spans="1:8" x14ac:dyDescent="0.25">
      <c r="A1028" s="255"/>
    </row>
    <row r="1029" spans="1:8" ht="18.75" x14ac:dyDescent="0.25">
      <c r="A1029" s="133"/>
      <c r="B1029" s="2506" t="s">
        <v>5400</v>
      </c>
      <c r="C1029" s="2506"/>
      <c r="D1029" s="2506"/>
      <c r="E1029" s="2506"/>
      <c r="F1029" s="2506"/>
      <c r="G1029" s="2506"/>
      <c r="H1029" s="8"/>
    </row>
    <row r="1030" spans="1:8" x14ac:dyDescent="0.25">
      <c r="A1030" s="133"/>
      <c r="B1030" s="8"/>
      <c r="C1030" s="8"/>
      <c r="D1030" s="8"/>
      <c r="E1030" s="8"/>
      <c r="F1030" s="133"/>
      <c r="G1030" s="341"/>
      <c r="H1030" s="341"/>
    </row>
    <row r="1031" spans="1:8" x14ac:dyDescent="0.25">
      <c r="A1031" s="133"/>
      <c r="B1031" s="8"/>
      <c r="C1031" s="8"/>
      <c r="D1031" s="8"/>
      <c r="E1031" s="8"/>
      <c r="F1031" s="133"/>
      <c r="G1031" s="341"/>
      <c r="H1031" s="341"/>
    </row>
    <row r="1032" spans="1:8" x14ac:dyDescent="0.25">
      <c r="A1032" s="133"/>
      <c r="B1032" s="8"/>
      <c r="C1032" s="8"/>
      <c r="D1032" s="8"/>
      <c r="E1032" s="8"/>
      <c r="F1032" s="133"/>
      <c r="G1032" s="341"/>
      <c r="H1032" s="341"/>
    </row>
    <row r="1033" spans="1:8" ht="15" customHeight="1" x14ac:dyDescent="0.25">
      <c r="A1033" s="220" t="s">
        <v>5482</v>
      </c>
      <c r="B1033" s="221" t="s">
        <v>664</v>
      </c>
      <c r="C1033" s="2449" t="s">
        <v>5575</v>
      </c>
      <c r="D1033" s="2449"/>
      <c r="E1033" s="2449"/>
      <c r="F1033" s="220" t="s">
        <v>867</v>
      </c>
      <c r="G1033" s="342" t="s">
        <v>5431</v>
      </c>
      <c r="H1033" s="341"/>
    </row>
    <row r="1034" spans="1:8" x14ac:dyDescent="0.25">
      <c r="A1034" s="133"/>
      <c r="B1034" s="8"/>
      <c r="C1034" s="223"/>
      <c r="D1034" s="223"/>
      <c r="E1034" s="223"/>
      <c r="F1034" s="133"/>
      <c r="G1034" s="341"/>
      <c r="H1034" s="341"/>
    </row>
    <row r="1035" spans="1:8" x14ac:dyDescent="0.25">
      <c r="A1035" s="133"/>
      <c r="B1035" s="8"/>
      <c r="C1035" s="8"/>
      <c r="D1035" s="8"/>
      <c r="E1035" s="8"/>
      <c r="F1035" s="8"/>
      <c r="G1035" s="8"/>
      <c r="H1035" s="341"/>
    </row>
    <row r="1036" spans="1:8" ht="15.75" thickBot="1" x14ac:dyDescent="0.3">
      <c r="A1036" s="133"/>
      <c r="B1036" s="8"/>
      <c r="C1036" s="8"/>
      <c r="D1036" s="8"/>
      <c r="E1036" s="8"/>
      <c r="F1036" s="133"/>
      <c r="G1036" s="341"/>
      <c r="H1036" s="341"/>
    </row>
    <row r="1037" spans="1:8" ht="15.75" thickBot="1" x14ac:dyDescent="0.3">
      <c r="A1037" s="133"/>
      <c r="B1037" s="224" t="s">
        <v>5403</v>
      </c>
      <c r="C1037" s="193" t="s">
        <v>867</v>
      </c>
      <c r="D1037" s="193" t="s">
        <v>6</v>
      </c>
      <c r="E1037" s="193" t="s">
        <v>5439</v>
      </c>
      <c r="F1037" s="193" t="s">
        <v>5405</v>
      </c>
      <c r="G1037" s="343" t="s">
        <v>868</v>
      </c>
      <c r="H1037" s="341"/>
    </row>
    <row r="1038" spans="1:8" x14ac:dyDescent="0.25">
      <c r="A1038" s="133"/>
      <c r="B1038" s="195" t="s">
        <v>5440</v>
      </c>
      <c r="C1038" s="226" t="s">
        <v>5402</v>
      </c>
      <c r="D1038" s="226">
        <v>1</v>
      </c>
      <c r="E1038" s="228">
        <f>+H1076</f>
        <v>202.01999999999998</v>
      </c>
      <c r="F1038" s="226">
        <v>0.1</v>
      </c>
      <c r="G1038" s="344">
        <f>+E1038*F1038</f>
        <v>20.201999999999998</v>
      </c>
      <c r="H1038" s="341"/>
    </row>
    <row r="1039" spans="1:8" x14ac:dyDescent="0.25">
      <c r="A1039" s="133"/>
      <c r="B1039" s="195"/>
      <c r="C1039" s="226"/>
      <c r="D1039" s="226"/>
      <c r="E1039" s="228"/>
      <c r="F1039" s="226"/>
      <c r="G1039" s="344"/>
      <c r="H1039" s="341"/>
    </row>
    <row r="1040" spans="1:8" x14ac:dyDescent="0.25">
      <c r="A1040" s="133"/>
      <c r="B1040" s="195"/>
      <c r="C1040" s="226"/>
      <c r="D1040" s="226"/>
      <c r="E1040" s="345"/>
      <c r="F1040" s="226"/>
      <c r="G1040" s="344"/>
      <c r="H1040" s="341"/>
    </row>
    <row r="1041" spans="1:8" x14ac:dyDescent="0.25">
      <c r="A1041" s="133"/>
      <c r="B1041" s="195"/>
      <c r="C1041" s="226"/>
      <c r="D1041" s="226"/>
      <c r="E1041" s="346"/>
      <c r="F1041" s="226"/>
      <c r="G1041" s="344"/>
      <c r="H1041" s="341"/>
    </row>
    <row r="1042" spans="1:8" x14ac:dyDescent="0.25">
      <c r="A1042" s="133"/>
      <c r="B1042" s="195"/>
      <c r="C1042" s="226"/>
      <c r="D1042" s="232"/>
      <c r="E1042" s="232"/>
      <c r="F1042" s="226"/>
      <c r="G1042" s="344"/>
      <c r="H1042" s="341"/>
    </row>
    <row r="1043" spans="1:8" ht="15.75" thickBot="1" x14ac:dyDescent="0.3">
      <c r="A1043" s="133"/>
      <c r="B1043" s="195"/>
      <c r="C1043" s="226"/>
      <c r="D1043" s="232"/>
      <c r="E1043" s="232"/>
      <c r="F1043" s="226"/>
      <c r="G1043" s="344"/>
      <c r="H1043" s="341"/>
    </row>
    <row r="1044" spans="1:8" ht="15.75" thickBot="1" x14ac:dyDescent="0.3">
      <c r="A1044" s="133"/>
      <c r="B1044" s="233"/>
      <c r="C1044" s="234"/>
      <c r="D1044" s="234"/>
      <c r="E1044" s="234"/>
      <c r="F1044" s="235"/>
      <c r="G1044" s="347"/>
      <c r="H1044" s="348">
        <f>+SUM(G1038:G1044)</f>
        <v>20.201999999999998</v>
      </c>
    </row>
    <row r="1045" spans="1:8" ht="15.75" thickBot="1" x14ac:dyDescent="0.3">
      <c r="A1045" s="133"/>
      <c r="B1045" s="238"/>
      <c r="C1045" s="238"/>
      <c r="D1045" s="238"/>
      <c r="E1045" s="238"/>
      <c r="F1045" s="239"/>
      <c r="G1045" s="349"/>
      <c r="H1045" s="350"/>
    </row>
    <row r="1046" spans="1:8" ht="15.75" thickBot="1" x14ac:dyDescent="0.3">
      <c r="A1046" s="133"/>
      <c r="B1046" s="224" t="s">
        <v>5408</v>
      </c>
      <c r="C1046" s="193" t="s">
        <v>867</v>
      </c>
      <c r="D1046" s="193" t="s">
        <v>6</v>
      </c>
      <c r="E1046" s="193" t="s">
        <v>870</v>
      </c>
      <c r="F1046" s="193" t="s">
        <v>5409</v>
      </c>
      <c r="G1046" s="343" t="s">
        <v>868</v>
      </c>
      <c r="H1046" s="341"/>
    </row>
    <row r="1047" spans="1:8" x14ac:dyDescent="0.25">
      <c r="A1047" s="133"/>
      <c r="B1047" s="245" t="s">
        <v>6042</v>
      </c>
      <c r="C1047" s="202" t="s">
        <v>5431</v>
      </c>
      <c r="D1047" s="226">
        <v>1</v>
      </c>
      <c r="E1047" s="228">
        <f>37166/4.5</f>
        <v>8259.1111111111113</v>
      </c>
      <c r="F1047" s="169">
        <v>0.05</v>
      </c>
      <c r="G1047" s="351">
        <f>+D1047*E1047*(1+F1047)</f>
        <v>8672.0666666666675</v>
      </c>
      <c r="H1047" s="341"/>
    </row>
    <row r="1048" spans="1:8" x14ac:dyDescent="0.25">
      <c r="A1048" s="133"/>
      <c r="B1048" s="247"/>
      <c r="C1048" s="202"/>
      <c r="D1048" s="202"/>
      <c r="E1048" s="228"/>
      <c r="F1048" s="169"/>
      <c r="G1048" s="351"/>
      <c r="H1048" s="341"/>
    </row>
    <row r="1049" spans="1:8" x14ac:dyDescent="0.25">
      <c r="A1049" s="133"/>
      <c r="B1049" s="247"/>
      <c r="C1049" s="202"/>
      <c r="D1049" s="226"/>
      <c r="E1049" s="228"/>
      <c r="F1049" s="169"/>
      <c r="G1049" s="351"/>
      <c r="H1049" s="341"/>
    </row>
    <row r="1050" spans="1:8" x14ac:dyDescent="0.25">
      <c r="A1050" s="133"/>
      <c r="B1050" s="194"/>
      <c r="C1050" s="226"/>
      <c r="D1050" s="226"/>
      <c r="E1050" s="345"/>
      <c r="F1050" s="169"/>
      <c r="G1050" s="351"/>
      <c r="H1050" s="341"/>
    </row>
    <row r="1051" spans="1:8" x14ac:dyDescent="0.25">
      <c r="A1051" s="133"/>
      <c r="B1051" s="195"/>
      <c r="C1051" s="226"/>
      <c r="D1051" s="226"/>
      <c r="E1051" s="345"/>
      <c r="F1051" s="169"/>
      <c r="G1051" s="351"/>
      <c r="H1051" s="341"/>
    </row>
    <row r="1052" spans="1:8" x14ac:dyDescent="0.25">
      <c r="A1052" s="133"/>
      <c r="B1052" s="194"/>
      <c r="C1052" s="202"/>
      <c r="D1052" s="202"/>
      <c r="E1052" s="345"/>
      <c r="F1052" s="169"/>
      <c r="G1052" s="351"/>
      <c r="H1052" s="341"/>
    </row>
    <row r="1053" spans="1:8" x14ac:dyDescent="0.25">
      <c r="A1053" s="133"/>
      <c r="B1053" s="195"/>
      <c r="C1053" s="226"/>
      <c r="D1053" s="226"/>
      <c r="E1053" s="345"/>
      <c r="F1053" s="169"/>
      <c r="G1053" s="351"/>
      <c r="H1053" s="341"/>
    </row>
    <row r="1054" spans="1:8" x14ac:dyDescent="0.25">
      <c r="A1054" s="133"/>
      <c r="B1054" s="195"/>
      <c r="C1054" s="226"/>
      <c r="D1054" s="226"/>
      <c r="E1054" s="345"/>
      <c r="F1054" s="169"/>
      <c r="G1054" s="351"/>
      <c r="H1054" s="341"/>
    </row>
    <row r="1055" spans="1:8" x14ac:dyDescent="0.25">
      <c r="A1055" s="133"/>
      <c r="B1055" s="195"/>
      <c r="C1055" s="232"/>
      <c r="D1055" s="232"/>
      <c r="E1055" s="232"/>
      <c r="F1055" s="226"/>
      <c r="G1055" s="344"/>
      <c r="H1055" s="341"/>
    </row>
    <row r="1056" spans="1:8" x14ac:dyDescent="0.25">
      <c r="A1056" s="133"/>
      <c r="B1056" s="195"/>
      <c r="C1056" s="232"/>
      <c r="D1056" s="232"/>
      <c r="E1056" s="232"/>
      <c r="F1056" s="226"/>
      <c r="G1056" s="344"/>
      <c r="H1056" s="341"/>
    </row>
    <row r="1057" spans="1:8" x14ac:dyDescent="0.25">
      <c r="A1057" s="133"/>
      <c r="B1057" s="195"/>
      <c r="C1057" s="232"/>
      <c r="D1057" s="232"/>
      <c r="E1057" s="232"/>
      <c r="F1057" s="226"/>
      <c r="G1057" s="344"/>
      <c r="H1057" s="341"/>
    </row>
    <row r="1058" spans="1:8" ht="15.75" thickBot="1" x14ac:dyDescent="0.3">
      <c r="A1058" s="133"/>
      <c r="B1058" s="195"/>
      <c r="C1058" s="232"/>
      <c r="D1058" s="232"/>
      <c r="E1058" s="232"/>
      <c r="F1058" s="226"/>
      <c r="G1058" s="344"/>
      <c r="H1058" s="341"/>
    </row>
    <row r="1059" spans="1:8" ht="15.75" thickBot="1" x14ac:dyDescent="0.3">
      <c r="A1059" s="133"/>
      <c r="B1059" s="233"/>
      <c r="C1059" s="234"/>
      <c r="D1059" s="234"/>
      <c r="E1059" s="234"/>
      <c r="F1059" s="235"/>
      <c r="G1059" s="347"/>
      <c r="H1059" s="358">
        <f>+SUM(G1047:G1059)</f>
        <v>8672.0666666666675</v>
      </c>
    </row>
    <row r="1060" spans="1:8" ht="15.75" thickBot="1" x14ac:dyDescent="0.3">
      <c r="A1060" s="133"/>
      <c r="B1060" s="238"/>
      <c r="C1060" s="238"/>
      <c r="D1060" s="238"/>
      <c r="E1060" s="238"/>
      <c r="F1060" s="239"/>
      <c r="G1060" s="349"/>
      <c r="H1060" s="350"/>
    </row>
    <row r="1061" spans="1:8" ht="15.75" thickBot="1" x14ac:dyDescent="0.3">
      <c r="A1061" s="133"/>
      <c r="B1061" s="224" t="s">
        <v>5410</v>
      </c>
      <c r="C1061" s="193" t="s">
        <v>867</v>
      </c>
      <c r="D1061" s="193" t="s">
        <v>6</v>
      </c>
      <c r="E1061" s="193" t="s">
        <v>870</v>
      </c>
      <c r="F1061" s="193" t="s">
        <v>5411</v>
      </c>
      <c r="G1061" s="343" t="s">
        <v>868</v>
      </c>
      <c r="H1061" s="341"/>
    </row>
    <row r="1062" spans="1:8" x14ac:dyDescent="0.25">
      <c r="A1062" s="133"/>
      <c r="B1062" s="282"/>
      <c r="C1062" s="283"/>
      <c r="D1062" s="283"/>
      <c r="E1062" s="228"/>
      <c r="F1062" s="283"/>
      <c r="G1062" s="354"/>
      <c r="H1062" s="355"/>
    </row>
    <row r="1063" spans="1:8" x14ac:dyDescent="0.25">
      <c r="A1063" s="133"/>
      <c r="B1063" s="285"/>
      <c r="C1063" s="286"/>
      <c r="D1063" s="286"/>
      <c r="E1063" s="228"/>
      <c r="F1063" s="286"/>
      <c r="G1063" s="351"/>
      <c r="H1063" s="341"/>
    </row>
    <row r="1064" spans="1:8" x14ac:dyDescent="0.25">
      <c r="A1064" s="133"/>
      <c r="B1064" s="285"/>
      <c r="C1064" s="286"/>
      <c r="D1064" s="286"/>
      <c r="E1064" s="232"/>
      <c r="F1064" s="286"/>
      <c r="G1064" s="344"/>
      <c r="H1064" s="341"/>
    </row>
    <row r="1065" spans="1:8" x14ac:dyDescent="0.25">
      <c r="A1065" s="133"/>
      <c r="B1065" s="194"/>
      <c r="C1065" s="248"/>
      <c r="D1065" s="248"/>
      <c r="E1065" s="232"/>
      <c r="F1065" s="202"/>
      <c r="G1065" s="344"/>
      <c r="H1065" s="341"/>
    </row>
    <row r="1066" spans="1:8" ht="15.75" thickBot="1" x14ac:dyDescent="0.3">
      <c r="A1066" s="133"/>
      <c r="B1066" s="195"/>
      <c r="C1066" s="232"/>
      <c r="D1066" s="232"/>
      <c r="E1066" s="232"/>
      <c r="F1066" s="226"/>
      <c r="G1066" s="344"/>
      <c r="H1066" s="341"/>
    </row>
    <row r="1067" spans="1:8" ht="15.75" thickBot="1" x14ac:dyDescent="0.3">
      <c r="A1067" s="133"/>
      <c r="B1067" s="233"/>
      <c r="C1067" s="234"/>
      <c r="D1067" s="234"/>
      <c r="E1067" s="234"/>
      <c r="F1067" s="235"/>
      <c r="G1067" s="347"/>
      <c r="H1067" s="348">
        <f>+SUM(G1062:G1067)</f>
        <v>0</v>
      </c>
    </row>
    <row r="1068" spans="1:8" ht="15.75" thickBot="1" x14ac:dyDescent="0.3">
      <c r="A1068" s="133"/>
      <c r="B1068" s="238"/>
      <c r="C1068" s="238"/>
      <c r="D1068" s="238"/>
      <c r="E1068" s="238"/>
      <c r="F1068" s="249"/>
      <c r="G1068" s="356"/>
      <c r="H1068" s="350"/>
    </row>
    <row r="1069" spans="1:8" ht="15.75" thickBot="1" x14ac:dyDescent="0.3">
      <c r="A1069" s="133"/>
      <c r="B1069" s="224" t="s">
        <v>5412</v>
      </c>
      <c r="C1069" s="193" t="s">
        <v>5420</v>
      </c>
      <c r="D1069" s="193" t="s">
        <v>5421</v>
      </c>
      <c r="E1069" s="193" t="s">
        <v>5413</v>
      </c>
      <c r="F1069" s="193" t="s">
        <v>5405</v>
      </c>
      <c r="G1069" s="343" t="s">
        <v>868</v>
      </c>
      <c r="H1069" s="341"/>
    </row>
    <row r="1070" spans="1:8" x14ac:dyDescent="0.25">
      <c r="A1070" s="133"/>
      <c r="B1070" s="194" t="s">
        <v>5948</v>
      </c>
      <c r="C1070" s="345">
        <v>70000</v>
      </c>
      <c r="D1070" s="345">
        <f>+C1070*0.85</f>
        <v>59500</v>
      </c>
      <c r="E1070" s="353">
        <f>+C1070+D1070</f>
        <v>129500</v>
      </c>
      <c r="F1070" s="204">
        <v>2500</v>
      </c>
      <c r="G1070" s="351">
        <f>+E1070/F1070</f>
        <v>51.8</v>
      </c>
      <c r="H1070" s="341"/>
    </row>
    <row r="1071" spans="1:8" x14ac:dyDescent="0.25">
      <c r="A1071" s="133"/>
      <c r="B1071" s="194" t="s">
        <v>5949</v>
      </c>
      <c r="C1071" s="345">
        <v>40000</v>
      </c>
      <c r="D1071" s="345">
        <f>+C1071*0.85</f>
        <v>34000</v>
      </c>
      <c r="E1071" s="353">
        <f>+C1071+D1071</f>
        <v>74000</v>
      </c>
      <c r="F1071" s="202">
        <v>1000</v>
      </c>
      <c r="G1071" s="351">
        <f>+E1071/F1071</f>
        <v>74</v>
      </c>
      <c r="H1071" s="341"/>
    </row>
    <row r="1072" spans="1:8" x14ac:dyDescent="0.25">
      <c r="A1072" s="133"/>
      <c r="B1072" s="195" t="s">
        <v>5635</v>
      </c>
      <c r="C1072" s="345">
        <v>20600</v>
      </c>
      <c r="D1072" s="345">
        <f>+C1072*0.85</f>
        <v>17510</v>
      </c>
      <c r="E1072" s="353">
        <f>+C1072+D1072</f>
        <v>38110</v>
      </c>
      <c r="F1072" s="226">
        <v>500</v>
      </c>
      <c r="G1072" s="351">
        <f>+E1072/F1072</f>
        <v>76.22</v>
      </c>
      <c r="H1072" s="341"/>
    </row>
    <row r="1073" spans="1:8" x14ac:dyDescent="0.25">
      <c r="A1073" s="133"/>
      <c r="B1073" s="195"/>
      <c r="C1073" s="346"/>
      <c r="D1073" s="345"/>
      <c r="E1073" s="345"/>
      <c r="F1073" s="226"/>
      <c r="G1073" s="351"/>
      <c r="H1073" s="341"/>
    </row>
    <row r="1074" spans="1:8" x14ac:dyDescent="0.25">
      <c r="A1074" s="133"/>
      <c r="B1074" s="195"/>
      <c r="C1074" s="232"/>
      <c r="D1074" s="232"/>
      <c r="E1074" s="232"/>
      <c r="F1074" s="226"/>
      <c r="G1074" s="344"/>
      <c r="H1074" s="341"/>
    </row>
    <row r="1075" spans="1:8" ht="15.75" thickBot="1" x14ac:dyDescent="0.3">
      <c r="A1075" s="133"/>
      <c r="B1075" s="195"/>
      <c r="C1075" s="232"/>
      <c r="D1075" s="232"/>
      <c r="E1075" s="232"/>
      <c r="F1075" s="226"/>
      <c r="G1075" s="344"/>
      <c r="H1075" s="341"/>
    </row>
    <row r="1076" spans="1:8" ht="15.75" thickBot="1" x14ac:dyDescent="0.3">
      <c r="A1076" s="133"/>
      <c r="B1076" s="251"/>
      <c r="C1076" s="252"/>
      <c r="D1076" s="252"/>
      <c r="E1076" s="252"/>
      <c r="F1076" s="253"/>
      <c r="G1076" s="357"/>
      <c r="H1076" s="358">
        <f>+SUM(G1070:G1076)</f>
        <v>202.01999999999998</v>
      </c>
    </row>
    <row r="1077" spans="1:8" ht="15.75" thickBot="1" x14ac:dyDescent="0.3">
      <c r="A1077" s="133"/>
      <c r="B1077" s="8"/>
      <c r="C1077" s="8"/>
      <c r="D1077" s="8"/>
      <c r="E1077" s="8"/>
      <c r="F1077" s="133"/>
      <c r="G1077" s="341"/>
      <c r="H1077" s="341"/>
    </row>
    <row r="1078" spans="1:8" ht="15.75" thickBot="1" x14ac:dyDescent="0.3">
      <c r="A1078" s="133"/>
      <c r="B1078" s="8"/>
      <c r="C1078" s="8"/>
      <c r="D1078" s="8"/>
      <c r="E1078" s="223"/>
      <c r="F1078" s="133"/>
      <c r="G1078" s="341"/>
      <c r="H1078" s="358">
        <f>ROUND(+H1076+H1067+H1059+H1044,0)</f>
        <v>8894</v>
      </c>
    </row>
    <row r="1080" spans="1:8" x14ac:dyDescent="0.25">
      <c r="A1080" s="255"/>
    </row>
    <row r="1081" spans="1:8" x14ac:dyDescent="0.25">
      <c r="A1081" s="255"/>
    </row>
    <row r="1082" spans="1:8" x14ac:dyDescent="0.25">
      <c r="A1082" s="255"/>
    </row>
    <row r="1083" spans="1:8" ht="18.75" x14ac:dyDescent="0.25">
      <c r="A1083" s="133"/>
      <c r="B1083" s="2506" t="s">
        <v>5400</v>
      </c>
      <c r="C1083" s="2506"/>
      <c r="D1083" s="2506"/>
      <c r="E1083" s="2506"/>
      <c r="F1083" s="2506"/>
      <c r="G1083" s="2506"/>
      <c r="H1083" s="8"/>
    </row>
    <row r="1084" spans="1:8" x14ac:dyDescent="0.25">
      <c r="A1084" s="133"/>
      <c r="B1084" s="8"/>
      <c r="C1084" s="8"/>
      <c r="D1084" s="8"/>
      <c r="E1084" s="8"/>
      <c r="F1084" s="133"/>
      <c r="G1084" s="341"/>
      <c r="H1084" s="341"/>
    </row>
    <row r="1085" spans="1:8" x14ac:dyDescent="0.25">
      <c r="A1085" s="133"/>
      <c r="B1085" s="8"/>
      <c r="C1085" s="8"/>
      <c r="D1085" s="8"/>
      <c r="E1085" s="8"/>
      <c r="F1085" s="133"/>
      <c r="G1085" s="341"/>
      <c r="H1085" s="341"/>
    </row>
    <row r="1086" spans="1:8" ht="15" customHeight="1" x14ac:dyDescent="0.25">
      <c r="A1086" s="133"/>
      <c r="B1086" s="8"/>
      <c r="E1086"/>
      <c r="F1086" s="133"/>
      <c r="G1086" s="341"/>
      <c r="H1086" s="341"/>
    </row>
    <row r="1087" spans="1:8" ht="15" customHeight="1" x14ac:dyDescent="0.25">
      <c r="A1087" s="220" t="s">
        <v>5482</v>
      </c>
      <c r="B1087" s="221" t="s">
        <v>665</v>
      </c>
      <c r="C1087" s="2449" t="s">
        <v>5576</v>
      </c>
      <c r="D1087" s="2449"/>
      <c r="E1087" s="2449"/>
      <c r="F1087" s="220" t="s">
        <v>867</v>
      </c>
      <c r="G1087" s="342" t="s">
        <v>5431</v>
      </c>
      <c r="H1087" s="341"/>
    </row>
    <row r="1088" spans="1:8" x14ac:dyDescent="0.25">
      <c r="A1088" s="133"/>
      <c r="B1088" s="8"/>
      <c r="C1088" s="223"/>
      <c r="D1088" s="223"/>
      <c r="E1088" s="223"/>
      <c r="F1088" s="133"/>
      <c r="G1088" s="341"/>
      <c r="H1088" s="341"/>
    </row>
    <row r="1089" spans="1:8" x14ac:dyDescent="0.25">
      <c r="A1089" s="133"/>
      <c r="B1089" s="8"/>
      <c r="C1089" s="8"/>
      <c r="D1089" s="8"/>
      <c r="E1089" s="8"/>
      <c r="F1089" s="8"/>
      <c r="G1089" s="8"/>
      <c r="H1089" s="341"/>
    </row>
    <row r="1090" spans="1:8" ht="15.75" thickBot="1" x14ac:dyDescent="0.3">
      <c r="A1090" s="133"/>
      <c r="B1090" s="8"/>
      <c r="C1090" s="8"/>
      <c r="D1090" s="8"/>
      <c r="E1090" s="8"/>
      <c r="F1090" s="133"/>
      <c r="G1090" s="341"/>
      <c r="H1090" s="341"/>
    </row>
    <row r="1091" spans="1:8" ht="15.75" thickBot="1" x14ac:dyDescent="0.3">
      <c r="A1091" s="133"/>
      <c r="B1091" s="224" t="s">
        <v>5403</v>
      </c>
      <c r="C1091" s="193" t="s">
        <v>867</v>
      </c>
      <c r="D1091" s="193" t="s">
        <v>6</v>
      </c>
      <c r="E1091" s="193" t="s">
        <v>5439</v>
      </c>
      <c r="F1091" s="193" t="s">
        <v>5405</v>
      </c>
      <c r="G1091" s="343" t="s">
        <v>868</v>
      </c>
      <c r="H1091" s="341"/>
    </row>
    <row r="1092" spans="1:8" x14ac:dyDescent="0.25">
      <c r="A1092" s="133"/>
      <c r="B1092" s="195" t="s">
        <v>5440</v>
      </c>
      <c r="C1092" s="226" t="s">
        <v>5402</v>
      </c>
      <c r="D1092" s="226">
        <v>1</v>
      </c>
      <c r="E1092" s="228">
        <f>+H1130</f>
        <v>202.01999999999998</v>
      </c>
      <c r="F1092" s="226">
        <v>0.1</v>
      </c>
      <c r="G1092" s="344">
        <f>+E1092*F1092</f>
        <v>20.201999999999998</v>
      </c>
      <c r="H1092" s="341"/>
    </row>
    <row r="1093" spans="1:8" x14ac:dyDescent="0.25">
      <c r="A1093" s="133"/>
      <c r="B1093" s="195"/>
      <c r="C1093" s="226"/>
      <c r="D1093" s="226"/>
      <c r="E1093" s="228"/>
      <c r="F1093" s="226"/>
      <c r="G1093" s="344"/>
      <c r="H1093" s="341"/>
    </row>
    <row r="1094" spans="1:8" x14ac:dyDescent="0.25">
      <c r="A1094" s="133"/>
      <c r="B1094" s="195"/>
      <c r="C1094" s="226"/>
      <c r="D1094" s="226"/>
      <c r="E1094" s="345"/>
      <c r="F1094" s="226"/>
      <c r="G1094" s="344"/>
      <c r="H1094" s="341"/>
    </row>
    <row r="1095" spans="1:8" x14ac:dyDescent="0.25">
      <c r="A1095" s="133"/>
      <c r="B1095" s="195"/>
      <c r="C1095" s="226"/>
      <c r="D1095" s="226"/>
      <c r="E1095" s="346"/>
      <c r="F1095" s="226"/>
      <c r="G1095" s="344"/>
      <c r="H1095" s="341"/>
    </row>
    <row r="1096" spans="1:8" x14ac:dyDescent="0.25">
      <c r="A1096" s="133"/>
      <c r="B1096" s="195"/>
      <c r="C1096" s="226"/>
      <c r="D1096" s="232"/>
      <c r="E1096" s="232"/>
      <c r="F1096" s="226"/>
      <c r="G1096" s="344"/>
      <c r="H1096" s="341"/>
    </row>
    <row r="1097" spans="1:8" ht="15.75" thickBot="1" x14ac:dyDescent="0.3">
      <c r="A1097" s="133"/>
      <c r="B1097" s="195"/>
      <c r="C1097" s="226"/>
      <c r="D1097" s="232"/>
      <c r="E1097" s="232"/>
      <c r="F1097" s="226"/>
      <c r="G1097" s="344"/>
      <c r="H1097" s="341"/>
    </row>
    <row r="1098" spans="1:8" ht="15.75" thickBot="1" x14ac:dyDescent="0.3">
      <c r="A1098" s="133"/>
      <c r="B1098" s="233"/>
      <c r="C1098" s="234"/>
      <c r="D1098" s="234"/>
      <c r="E1098" s="234"/>
      <c r="F1098" s="235"/>
      <c r="G1098" s="347"/>
      <c r="H1098" s="348">
        <f>+SUM(G1092:G1098)</f>
        <v>20.201999999999998</v>
      </c>
    </row>
    <row r="1099" spans="1:8" ht="15.75" thickBot="1" x14ac:dyDescent="0.3">
      <c r="A1099" s="133"/>
      <c r="B1099" s="238"/>
      <c r="C1099" s="238"/>
      <c r="D1099" s="238"/>
      <c r="E1099" s="238"/>
      <c r="F1099" s="239"/>
      <c r="G1099" s="349"/>
      <c r="H1099" s="350"/>
    </row>
    <row r="1100" spans="1:8" ht="15.75" thickBot="1" x14ac:dyDescent="0.3">
      <c r="A1100" s="133"/>
      <c r="B1100" s="224" t="s">
        <v>5408</v>
      </c>
      <c r="C1100" s="193" t="s">
        <v>867</v>
      </c>
      <c r="D1100" s="193" t="s">
        <v>6</v>
      </c>
      <c r="E1100" s="193" t="s">
        <v>870</v>
      </c>
      <c r="F1100" s="193" t="s">
        <v>5409</v>
      </c>
      <c r="G1100" s="343" t="s">
        <v>868</v>
      </c>
      <c r="H1100" s="341"/>
    </row>
    <row r="1101" spans="1:8" x14ac:dyDescent="0.25">
      <c r="A1101" s="133"/>
      <c r="B1101" s="245" t="s">
        <v>6043</v>
      </c>
      <c r="C1101" s="202" t="s">
        <v>5431</v>
      </c>
      <c r="D1101" s="226">
        <v>1</v>
      </c>
      <c r="E1101" s="228">
        <f>45240/5</f>
        <v>9048</v>
      </c>
      <c r="F1101" s="169">
        <v>0.05</v>
      </c>
      <c r="G1101" s="351">
        <f>+D1101*E1101*(1+F1101)</f>
        <v>9500.4</v>
      </c>
      <c r="H1101" s="341"/>
    </row>
    <row r="1102" spans="1:8" x14ac:dyDescent="0.25">
      <c r="A1102" s="133"/>
      <c r="B1102" s="247"/>
      <c r="C1102" s="202"/>
      <c r="D1102" s="202"/>
      <c r="E1102" s="228"/>
      <c r="F1102" s="169"/>
      <c r="G1102" s="351"/>
      <c r="H1102" s="341"/>
    </row>
    <row r="1103" spans="1:8" x14ac:dyDescent="0.25">
      <c r="A1103" s="133"/>
      <c r="B1103" s="247"/>
      <c r="C1103" s="202"/>
      <c r="D1103" s="226"/>
      <c r="E1103" s="228"/>
      <c r="F1103" s="169"/>
      <c r="G1103" s="351"/>
      <c r="H1103" s="341"/>
    </row>
    <row r="1104" spans="1:8" x14ac:dyDescent="0.25">
      <c r="A1104" s="133"/>
      <c r="B1104" s="194"/>
      <c r="C1104" s="226"/>
      <c r="D1104" s="226"/>
      <c r="E1104" s="345"/>
      <c r="F1104" s="169"/>
      <c r="G1104" s="351"/>
      <c r="H1104" s="341"/>
    </row>
    <row r="1105" spans="1:8" x14ac:dyDescent="0.25">
      <c r="A1105" s="133"/>
      <c r="B1105" s="195"/>
      <c r="C1105" s="226"/>
      <c r="D1105" s="226"/>
      <c r="E1105" s="345"/>
      <c r="F1105" s="169"/>
      <c r="G1105" s="351"/>
      <c r="H1105" s="341"/>
    </row>
    <row r="1106" spans="1:8" x14ac:dyDescent="0.25">
      <c r="A1106" s="133"/>
      <c r="B1106" s="194"/>
      <c r="C1106" s="202"/>
      <c r="D1106" s="202"/>
      <c r="E1106" s="345"/>
      <c r="F1106" s="169"/>
      <c r="G1106" s="351"/>
      <c r="H1106" s="341"/>
    </row>
    <row r="1107" spans="1:8" x14ac:dyDescent="0.25">
      <c r="A1107" s="133"/>
      <c r="B1107" s="195"/>
      <c r="C1107" s="226"/>
      <c r="D1107" s="226"/>
      <c r="E1107" s="345"/>
      <c r="F1107" s="169"/>
      <c r="G1107" s="351"/>
      <c r="H1107" s="341"/>
    </row>
    <row r="1108" spans="1:8" x14ac:dyDescent="0.25">
      <c r="A1108" s="133"/>
      <c r="B1108" s="195"/>
      <c r="C1108" s="226"/>
      <c r="D1108" s="226"/>
      <c r="E1108" s="345"/>
      <c r="F1108" s="169"/>
      <c r="G1108" s="351"/>
      <c r="H1108" s="341"/>
    </row>
    <row r="1109" spans="1:8" x14ac:dyDescent="0.25">
      <c r="A1109" s="133"/>
      <c r="B1109" s="195"/>
      <c r="C1109" s="232"/>
      <c r="D1109" s="232"/>
      <c r="E1109" s="232"/>
      <c r="F1109" s="226"/>
      <c r="G1109" s="344"/>
      <c r="H1109" s="341"/>
    </row>
    <row r="1110" spans="1:8" x14ac:dyDescent="0.25">
      <c r="A1110" s="133"/>
      <c r="B1110" s="195"/>
      <c r="C1110" s="232"/>
      <c r="D1110" s="232"/>
      <c r="E1110" s="232"/>
      <c r="F1110" s="226"/>
      <c r="G1110" s="344"/>
      <c r="H1110" s="341"/>
    </row>
    <row r="1111" spans="1:8" x14ac:dyDescent="0.25">
      <c r="A1111" s="133"/>
      <c r="B1111" s="195"/>
      <c r="C1111" s="232"/>
      <c r="D1111" s="232"/>
      <c r="E1111" s="232"/>
      <c r="F1111" s="226"/>
      <c r="G1111" s="344"/>
      <c r="H1111" s="341"/>
    </row>
    <row r="1112" spans="1:8" ht="15.75" thickBot="1" x14ac:dyDescent="0.3">
      <c r="A1112" s="133"/>
      <c r="B1112" s="195"/>
      <c r="C1112" s="232"/>
      <c r="D1112" s="232"/>
      <c r="E1112" s="232"/>
      <c r="F1112" s="226"/>
      <c r="G1112" s="344"/>
      <c r="H1112" s="341"/>
    </row>
    <row r="1113" spans="1:8" ht="15.75" thickBot="1" x14ac:dyDescent="0.3">
      <c r="A1113" s="133"/>
      <c r="B1113" s="233"/>
      <c r="C1113" s="234"/>
      <c r="D1113" s="234"/>
      <c r="E1113" s="234"/>
      <c r="F1113" s="235"/>
      <c r="G1113" s="347"/>
      <c r="H1113" s="358">
        <f>+SUM(G1101:G1113)</f>
        <v>9500.4</v>
      </c>
    </row>
    <row r="1114" spans="1:8" ht="15.75" thickBot="1" x14ac:dyDescent="0.3">
      <c r="A1114" s="133"/>
      <c r="B1114" s="238"/>
      <c r="C1114" s="238"/>
      <c r="D1114" s="238"/>
      <c r="E1114" s="238"/>
      <c r="F1114" s="239"/>
      <c r="G1114" s="349"/>
      <c r="H1114" s="350"/>
    </row>
    <row r="1115" spans="1:8" ht="15.75" thickBot="1" x14ac:dyDescent="0.3">
      <c r="A1115" s="133"/>
      <c r="B1115" s="224" t="s">
        <v>5410</v>
      </c>
      <c r="C1115" s="193" t="s">
        <v>867</v>
      </c>
      <c r="D1115" s="193" t="s">
        <v>6</v>
      </c>
      <c r="E1115" s="193" t="s">
        <v>870</v>
      </c>
      <c r="F1115" s="193" t="s">
        <v>5411</v>
      </c>
      <c r="G1115" s="343" t="s">
        <v>868</v>
      </c>
      <c r="H1115" s="341"/>
    </row>
    <row r="1116" spans="1:8" x14ac:dyDescent="0.25">
      <c r="A1116" s="133"/>
      <c r="B1116" s="282"/>
      <c r="C1116" s="283"/>
      <c r="D1116" s="283"/>
      <c r="E1116" s="228"/>
      <c r="F1116" s="283"/>
      <c r="G1116" s="354"/>
      <c r="H1116" s="355"/>
    </row>
    <row r="1117" spans="1:8" x14ac:dyDescent="0.25">
      <c r="A1117" s="133"/>
      <c r="B1117" s="285"/>
      <c r="C1117" s="286"/>
      <c r="D1117" s="286"/>
      <c r="E1117" s="228"/>
      <c r="F1117" s="286"/>
      <c r="G1117" s="351"/>
      <c r="H1117" s="341"/>
    </row>
    <row r="1118" spans="1:8" x14ac:dyDescent="0.25">
      <c r="A1118" s="133"/>
      <c r="B1118" s="285"/>
      <c r="C1118" s="286"/>
      <c r="D1118" s="286"/>
      <c r="E1118" s="232"/>
      <c r="F1118" s="286"/>
      <c r="G1118" s="344"/>
      <c r="H1118" s="341"/>
    </row>
    <row r="1119" spans="1:8" x14ac:dyDescent="0.25">
      <c r="A1119" s="133"/>
      <c r="B1119" s="194"/>
      <c r="C1119" s="248"/>
      <c r="D1119" s="248"/>
      <c r="E1119" s="232"/>
      <c r="F1119" s="202"/>
      <c r="G1119" s="344"/>
      <c r="H1119" s="341"/>
    </row>
    <row r="1120" spans="1:8" ht="15.75" thickBot="1" x14ac:dyDescent="0.3">
      <c r="A1120" s="133"/>
      <c r="B1120" s="195"/>
      <c r="C1120" s="232"/>
      <c r="D1120" s="232"/>
      <c r="E1120" s="232"/>
      <c r="F1120" s="226"/>
      <c r="G1120" s="344"/>
      <c r="H1120" s="341"/>
    </row>
    <row r="1121" spans="1:8" ht="15.75" thickBot="1" x14ac:dyDescent="0.3">
      <c r="A1121" s="133"/>
      <c r="B1121" s="233"/>
      <c r="C1121" s="234"/>
      <c r="D1121" s="234"/>
      <c r="E1121" s="234"/>
      <c r="F1121" s="235"/>
      <c r="G1121" s="347"/>
      <c r="H1121" s="348">
        <f>+SUM(G1116:G1121)</f>
        <v>0</v>
      </c>
    </row>
    <row r="1122" spans="1:8" ht="15.75" thickBot="1" x14ac:dyDescent="0.3">
      <c r="A1122" s="133"/>
      <c r="B1122" s="238"/>
      <c r="C1122" s="238"/>
      <c r="D1122" s="238"/>
      <c r="E1122" s="238"/>
      <c r="F1122" s="249"/>
      <c r="G1122" s="356"/>
      <c r="H1122" s="350"/>
    </row>
    <row r="1123" spans="1:8" ht="15.75" thickBot="1" x14ac:dyDescent="0.3">
      <c r="A1123" s="133"/>
      <c r="B1123" s="224" t="s">
        <v>5412</v>
      </c>
      <c r="C1123" s="193" t="s">
        <v>5420</v>
      </c>
      <c r="D1123" s="193" t="s">
        <v>5421</v>
      </c>
      <c r="E1123" s="193" t="s">
        <v>5413</v>
      </c>
      <c r="F1123" s="193" t="s">
        <v>5405</v>
      </c>
      <c r="G1123" s="343" t="s">
        <v>868</v>
      </c>
      <c r="H1123" s="341"/>
    </row>
    <row r="1124" spans="1:8" x14ac:dyDescent="0.25">
      <c r="A1124" s="133"/>
      <c r="B1124" s="194" t="s">
        <v>5948</v>
      </c>
      <c r="C1124" s="345">
        <v>70000</v>
      </c>
      <c r="D1124" s="345">
        <f>+C1124*0.85</f>
        <v>59500</v>
      </c>
      <c r="E1124" s="353">
        <f>+C1124+D1124</f>
        <v>129500</v>
      </c>
      <c r="F1124" s="204">
        <v>2500</v>
      </c>
      <c r="G1124" s="351">
        <f>+E1124/F1124</f>
        <v>51.8</v>
      </c>
      <c r="H1124" s="341"/>
    </row>
    <row r="1125" spans="1:8" x14ac:dyDescent="0.25">
      <c r="A1125" s="133"/>
      <c r="B1125" s="194" t="s">
        <v>5949</v>
      </c>
      <c r="C1125" s="345">
        <v>40000</v>
      </c>
      <c r="D1125" s="345">
        <f>+C1125*0.85</f>
        <v>34000</v>
      </c>
      <c r="E1125" s="353">
        <f>+C1125+D1125</f>
        <v>74000</v>
      </c>
      <c r="F1125" s="202">
        <v>1000</v>
      </c>
      <c r="G1125" s="351">
        <f>+E1125/F1125</f>
        <v>74</v>
      </c>
      <c r="H1125" s="341"/>
    </row>
    <row r="1126" spans="1:8" x14ac:dyDescent="0.25">
      <c r="A1126" s="133"/>
      <c r="B1126" s="195" t="s">
        <v>5635</v>
      </c>
      <c r="C1126" s="345">
        <v>20600</v>
      </c>
      <c r="D1126" s="345">
        <f>+C1126*0.85</f>
        <v>17510</v>
      </c>
      <c r="E1126" s="353">
        <f>+C1126+D1126</f>
        <v>38110</v>
      </c>
      <c r="F1126" s="226">
        <v>500</v>
      </c>
      <c r="G1126" s="351">
        <f>+E1126/F1126</f>
        <v>76.22</v>
      </c>
      <c r="H1126" s="341"/>
    </row>
    <row r="1127" spans="1:8" x14ac:dyDescent="0.25">
      <c r="A1127" s="133"/>
      <c r="B1127" s="195"/>
      <c r="C1127" s="346"/>
      <c r="D1127" s="345"/>
      <c r="E1127" s="345"/>
      <c r="F1127" s="226"/>
      <c r="G1127" s="351"/>
      <c r="H1127" s="341"/>
    </row>
    <row r="1128" spans="1:8" x14ac:dyDescent="0.25">
      <c r="A1128" s="133"/>
      <c r="B1128" s="195"/>
      <c r="C1128" s="232"/>
      <c r="D1128" s="232"/>
      <c r="E1128" s="232"/>
      <c r="F1128" s="226"/>
      <c r="G1128" s="344"/>
      <c r="H1128" s="341"/>
    </row>
    <row r="1129" spans="1:8" ht="15.75" thickBot="1" x14ac:dyDescent="0.3">
      <c r="A1129" s="133"/>
      <c r="B1129" s="195"/>
      <c r="C1129" s="232"/>
      <c r="D1129" s="232"/>
      <c r="E1129" s="232"/>
      <c r="F1129" s="226"/>
      <c r="G1129" s="344"/>
      <c r="H1129" s="341"/>
    </row>
    <row r="1130" spans="1:8" ht="15.75" thickBot="1" x14ac:dyDescent="0.3">
      <c r="A1130" s="133"/>
      <c r="B1130" s="251"/>
      <c r="C1130" s="252"/>
      <c r="D1130" s="252"/>
      <c r="E1130" s="252"/>
      <c r="F1130" s="253"/>
      <c r="G1130" s="357"/>
      <c r="H1130" s="358">
        <f>+SUM(G1124:G1130)</f>
        <v>202.01999999999998</v>
      </c>
    </row>
    <row r="1131" spans="1:8" ht="15.75" thickBot="1" x14ac:dyDescent="0.3">
      <c r="A1131" s="133"/>
      <c r="B1131" s="8"/>
      <c r="C1131" s="8"/>
      <c r="D1131" s="8"/>
      <c r="E1131" s="8"/>
      <c r="F1131" s="133"/>
      <c r="G1131" s="341"/>
      <c r="H1131" s="341"/>
    </row>
    <row r="1132" spans="1:8" ht="15.75" thickBot="1" x14ac:dyDescent="0.3">
      <c r="A1132" s="133"/>
      <c r="B1132" s="8"/>
      <c r="C1132" s="8"/>
      <c r="D1132" s="8"/>
      <c r="E1132" s="223"/>
      <c r="F1132" s="133"/>
      <c r="G1132" s="341"/>
      <c r="H1132" s="358">
        <f>ROUND(+H1130+H1121+H1113+H1098,0)</f>
        <v>9723</v>
      </c>
    </row>
    <row r="1137" spans="1:8" ht="18.75" x14ac:dyDescent="0.25">
      <c r="A1137" s="133"/>
      <c r="B1137" s="2506" t="s">
        <v>5400</v>
      </c>
      <c r="C1137" s="2506"/>
      <c r="D1137" s="2506"/>
      <c r="E1137" s="2506"/>
      <c r="F1137" s="2506"/>
      <c r="G1137" s="2506"/>
      <c r="H1137" s="8"/>
    </row>
    <row r="1138" spans="1:8" x14ac:dyDescent="0.25">
      <c r="A1138" s="133"/>
      <c r="B1138" s="8"/>
      <c r="C1138" s="8"/>
      <c r="D1138" s="8"/>
      <c r="E1138" s="8"/>
      <c r="F1138" s="133"/>
      <c r="G1138" s="341"/>
      <c r="H1138" s="341"/>
    </row>
    <row r="1139" spans="1:8" x14ac:dyDescent="0.25">
      <c r="A1139" s="133"/>
      <c r="B1139" s="8"/>
      <c r="C1139" s="8"/>
      <c r="D1139" s="8"/>
      <c r="E1139" s="8"/>
      <c r="F1139" s="133"/>
      <c r="G1139" s="341"/>
      <c r="H1139" s="341"/>
    </row>
    <row r="1140" spans="1:8" x14ac:dyDescent="0.25">
      <c r="A1140" s="133"/>
      <c r="B1140" s="8"/>
      <c r="C1140" s="8"/>
      <c r="D1140" s="8"/>
      <c r="E1140" s="8"/>
      <c r="F1140" s="133"/>
      <c r="G1140" s="341"/>
      <c r="H1140" s="341"/>
    </row>
    <row r="1141" spans="1:8" ht="15" customHeight="1" x14ac:dyDescent="0.25">
      <c r="A1141" s="220" t="s">
        <v>5482</v>
      </c>
      <c r="B1141" s="221" t="s">
        <v>5577</v>
      </c>
      <c r="C1141" s="2449" t="s">
        <v>5578</v>
      </c>
      <c r="D1141" s="2449"/>
      <c r="E1141" s="2449"/>
      <c r="F1141" s="220" t="s">
        <v>867</v>
      </c>
      <c r="G1141" s="342" t="s">
        <v>5431</v>
      </c>
      <c r="H1141" s="341"/>
    </row>
    <row r="1142" spans="1:8" x14ac:dyDescent="0.25">
      <c r="A1142" s="133"/>
      <c r="B1142" s="8"/>
      <c r="C1142" s="223"/>
      <c r="D1142" s="223"/>
      <c r="E1142" s="223"/>
      <c r="F1142" s="133"/>
      <c r="G1142" s="341"/>
      <c r="H1142" s="341"/>
    </row>
    <row r="1143" spans="1:8" x14ac:dyDescent="0.25">
      <c r="A1143" s="133"/>
      <c r="B1143" s="8"/>
      <c r="C1143" s="8"/>
      <c r="D1143" s="8"/>
      <c r="E1143" s="8"/>
      <c r="F1143" s="8"/>
      <c r="G1143" s="8"/>
      <c r="H1143" s="341"/>
    </row>
    <row r="1144" spans="1:8" ht="15.75" thickBot="1" x14ac:dyDescent="0.3">
      <c r="A1144" s="133"/>
      <c r="B1144" s="8"/>
      <c r="C1144" s="8"/>
      <c r="D1144" s="8"/>
      <c r="E1144" s="8"/>
      <c r="F1144" s="133"/>
      <c r="G1144" s="341"/>
      <c r="H1144" s="341"/>
    </row>
    <row r="1145" spans="1:8" ht="15.75" thickBot="1" x14ac:dyDescent="0.3">
      <c r="A1145" s="133"/>
      <c r="B1145" s="224" t="s">
        <v>5403</v>
      </c>
      <c r="C1145" s="193" t="s">
        <v>867</v>
      </c>
      <c r="D1145" s="193" t="s">
        <v>6</v>
      </c>
      <c r="E1145" s="193" t="s">
        <v>5439</v>
      </c>
      <c r="F1145" s="193" t="s">
        <v>5405</v>
      </c>
      <c r="G1145" s="343" t="s">
        <v>868</v>
      </c>
      <c r="H1145" s="341"/>
    </row>
    <row r="1146" spans="1:8" x14ac:dyDescent="0.25">
      <c r="A1146" s="133"/>
      <c r="B1146" s="195" t="s">
        <v>5440</v>
      </c>
      <c r="C1146" s="226" t="s">
        <v>5402</v>
      </c>
      <c r="D1146" s="226">
        <v>1</v>
      </c>
      <c r="E1146" s="228">
        <f>+H1184</f>
        <v>202.01999999999998</v>
      </c>
      <c r="F1146" s="226">
        <v>0.1</v>
      </c>
      <c r="G1146" s="344">
        <f>+E1146*F1146</f>
        <v>20.201999999999998</v>
      </c>
      <c r="H1146" s="341"/>
    </row>
    <row r="1147" spans="1:8" x14ac:dyDescent="0.25">
      <c r="A1147" s="133"/>
      <c r="B1147" s="195"/>
      <c r="C1147" s="226"/>
      <c r="D1147" s="226"/>
      <c r="E1147" s="228"/>
      <c r="F1147" s="226"/>
      <c r="G1147" s="344"/>
      <c r="H1147" s="341"/>
    </row>
    <row r="1148" spans="1:8" x14ac:dyDescent="0.25">
      <c r="A1148" s="133"/>
      <c r="B1148" s="195"/>
      <c r="C1148" s="226"/>
      <c r="D1148" s="226"/>
      <c r="E1148" s="345"/>
      <c r="F1148" s="226"/>
      <c r="G1148" s="344"/>
      <c r="H1148" s="341"/>
    </row>
    <row r="1149" spans="1:8" x14ac:dyDescent="0.25">
      <c r="A1149" s="133"/>
      <c r="B1149" s="195"/>
      <c r="C1149" s="226"/>
      <c r="D1149" s="226"/>
      <c r="E1149" s="346"/>
      <c r="F1149" s="226"/>
      <c r="G1149" s="344"/>
      <c r="H1149" s="341"/>
    </row>
    <row r="1150" spans="1:8" x14ac:dyDescent="0.25">
      <c r="A1150" s="133"/>
      <c r="B1150" s="195"/>
      <c r="C1150" s="226"/>
      <c r="D1150" s="232"/>
      <c r="E1150" s="232"/>
      <c r="F1150" s="226"/>
      <c r="G1150" s="344"/>
      <c r="H1150" s="341"/>
    </row>
    <row r="1151" spans="1:8" ht="15.75" thickBot="1" x14ac:dyDescent="0.3">
      <c r="A1151" s="133"/>
      <c r="B1151" s="195"/>
      <c r="C1151" s="226"/>
      <c r="D1151" s="232"/>
      <c r="E1151" s="232"/>
      <c r="F1151" s="226"/>
      <c r="G1151" s="344"/>
      <c r="H1151" s="341"/>
    </row>
    <row r="1152" spans="1:8" ht="15.75" thickBot="1" x14ac:dyDescent="0.3">
      <c r="A1152" s="133"/>
      <c r="B1152" s="233"/>
      <c r="C1152" s="234"/>
      <c r="D1152" s="234"/>
      <c r="E1152" s="234"/>
      <c r="F1152" s="235"/>
      <c r="G1152" s="347"/>
      <c r="H1152" s="348">
        <f>+SUM(G1146:G1152)</f>
        <v>20.201999999999998</v>
      </c>
    </row>
    <row r="1153" spans="1:8" ht="15.75" thickBot="1" x14ac:dyDescent="0.3">
      <c r="A1153" s="133"/>
      <c r="B1153" s="238"/>
      <c r="C1153" s="238"/>
      <c r="D1153" s="238"/>
      <c r="E1153" s="238"/>
      <c r="F1153" s="239"/>
      <c r="G1153" s="349"/>
      <c r="H1153" s="350"/>
    </row>
    <row r="1154" spans="1:8" ht="15.75" thickBot="1" x14ac:dyDescent="0.3">
      <c r="A1154" s="133"/>
      <c r="B1154" s="224" t="s">
        <v>5408</v>
      </c>
      <c r="C1154" s="193" t="s">
        <v>867</v>
      </c>
      <c r="D1154" s="193" t="s">
        <v>6</v>
      </c>
      <c r="E1154" s="193" t="s">
        <v>870</v>
      </c>
      <c r="F1154" s="193" t="s">
        <v>5409</v>
      </c>
      <c r="G1154" s="343" t="s">
        <v>868</v>
      </c>
      <c r="H1154" s="341"/>
    </row>
    <row r="1155" spans="1:8" x14ac:dyDescent="0.25">
      <c r="A1155" s="133"/>
      <c r="B1155" s="245" t="s">
        <v>6044</v>
      </c>
      <c r="C1155" s="202" t="s">
        <v>5431</v>
      </c>
      <c r="D1155" s="226">
        <v>1</v>
      </c>
      <c r="E1155" s="228">
        <f>141520/25</f>
        <v>5660.8</v>
      </c>
      <c r="F1155" s="169">
        <v>0.05</v>
      </c>
      <c r="G1155" s="351">
        <f>+D1155*E1155*(1+F1155)</f>
        <v>5943.84</v>
      </c>
      <c r="H1155" s="341"/>
    </row>
    <row r="1156" spans="1:8" x14ac:dyDescent="0.25">
      <c r="A1156" s="133"/>
      <c r="B1156" s="247"/>
      <c r="C1156" s="202"/>
      <c r="D1156" s="202"/>
      <c r="E1156" s="228"/>
      <c r="F1156" s="169"/>
      <c r="G1156" s="351"/>
      <c r="H1156" s="341"/>
    </row>
    <row r="1157" spans="1:8" x14ac:dyDescent="0.25">
      <c r="A1157" s="133"/>
      <c r="B1157" s="247"/>
      <c r="C1157" s="202"/>
      <c r="D1157" s="226"/>
      <c r="E1157" s="228"/>
      <c r="F1157" s="169"/>
      <c r="G1157" s="351"/>
      <c r="H1157" s="341"/>
    </row>
    <row r="1158" spans="1:8" x14ac:dyDescent="0.25">
      <c r="A1158" s="133"/>
      <c r="B1158" s="194"/>
      <c r="C1158" s="226"/>
      <c r="D1158" s="226"/>
      <c r="E1158" s="345"/>
      <c r="F1158" s="169"/>
      <c r="G1158" s="351"/>
      <c r="H1158" s="341"/>
    </row>
    <row r="1159" spans="1:8" x14ac:dyDescent="0.25">
      <c r="A1159" s="133"/>
      <c r="B1159" s="195"/>
      <c r="C1159" s="226"/>
      <c r="D1159" s="226"/>
      <c r="E1159" s="345"/>
      <c r="F1159" s="169"/>
      <c r="G1159" s="351"/>
      <c r="H1159" s="341"/>
    </row>
    <row r="1160" spans="1:8" x14ac:dyDescent="0.25">
      <c r="A1160" s="133"/>
      <c r="B1160" s="194"/>
      <c r="C1160" s="202"/>
      <c r="D1160" s="202"/>
      <c r="E1160" s="345"/>
      <c r="F1160" s="169"/>
      <c r="G1160" s="351"/>
      <c r="H1160" s="341"/>
    </row>
    <row r="1161" spans="1:8" x14ac:dyDescent="0.25">
      <c r="A1161" s="133"/>
      <c r="B1161" s="195"/>
      <c r="C1161" s="226"/>
      <c r="D1161" s="226"/>
      <c r="E1161" s="345"/>
      <c r="F1161" s="169"/>
      <c r="G1161" s="351"/>
      <c r="H1161" s="341"/>
    </row>
    <row r="1162" spans="1:8" x14ac:dyDescent="0.25">
      <c r="A1162" s="133"/>
      <c r="B1162" s="195"/>
      <c r="C1162" s="226"/>
      <c r="D1162" s="226"/>
      <c r="E1162" s="345"/>
      <c r="F1162" s="169"/>
      <c r="G1162" s="351"/>
      <c r="H1162" s="341"/>
    </row>
    <row r="1163" spans="1:8" x14ac:dyDescent="0.25">
      <c r="A1163" s="133"/>
      <c r="B1163" s="195"/>
      <c r="C1163" s="232"/>
      <c r="D1163" s="232"/>
      <c r="E1163" s="232"/>
      <c r="F1163" s="226"/>
      <c r="G1163" s="344"/>
      <c r="H1163" s="341"/>
    </row>
    <row r="1164" spans="1:8" x14ac:dyDescent="0.25">
      <c r="A1164" s="133"/>
      <c r="B1164" s="195"/>
      <c r="C1164" s="232"/>
      <c r="D1164" s="232"/>
      <c r="E1164" s="232"/>
      <c r="F1164" s="226"/>
      <c r="G1164" s="344"/>
      <c r="H1164" s="341"/>
    </row>
    <row r="1165" spans="1:8" x14ac:dyDescent="0.25">
      <c r="A1165" s="133"/>
      <c r="B1165" s="195"/>
      <c r="C1165" s="232"/>
      <c r="D1165" s="232"/>
      <c r="E1165" s="232"/>
      <c r="F1165" s="226"/>
      <c r="G1165" s="344"/>
      <c r="H1165" s="341"/>
    </row>
    <row r="1166" spans="1:8" ht="15.75" thickBot="1" x14ac:dyDescent="0.3">
      <c r="A1166" s="133"/>
      <c r="B1166" s="195"/>
      <c r="C1166" s="232"/>
      <c r="D1166" s="232"/>
      <c r="E1166" s="232"/>
      <c r="F1166" s="226"/>
      <c r="G1166" s="344"/>
      <c r="H1166" s="341"/>
    </row>
    <row r="1167" spans="1:8" ht="15.75" thickBot="1" x14ac:dyDescent="0.3">
      <c r="A1167" s="133"/>
      <c r="B1167" s="233"/>
      <c r="C1167" s="234"/>
      <c r="D1167" s="234"/>
      <c r="E1167" s="234"/>
      <c r="F1167" s="235"/>
      <c r="G1167" s="347"/>
      <c r="H1167" s="358">
        <f>+SUM(G1155:G1167)</f>
        <v>5943.84</v>
      </c>
    </row>
    <row r="1168" spans="1:8" ht="15.75" thickBot="1" x14ac:dyDescent="0.3">
      <c r="A1168" s="133"/>
      <c r="B1168" s="238"/>
      <c r="C1168" s="238"/>
      <c r="D1168" s="238"/>
      <c r="E1168" s="238"/>
      <c r="F1168" s="239"/>
      <c r="G1168" s="349"/>
      <c r="H1168" s="350"/>
    </row>
    <row r="1169" spans="1:8" ht="15.75" thickBot="1" x14ac:dyDescent="0.3">
      <c r="A1169" s="133"/>
      <c r="B1169" s="224" t="s">
        <v>5410</v>
      </c>
      <c r="C1169" s="193" t="s">
        <v>867</v>
      </c>
      <c r="D1169" s="193" t="s">
        <v>6</v>
      </c>
      <c r="E1169" s="193" t="s">
        <v>870</v>
      </c>
      <c r="F1169" s="193" t="s">
        <v>5411</v>
      </c>
      <c r="G1169" s="343" t="s">
        <v>868</v>
      </c>
      <c r="H1169" s="341"/>
    </row>
    <row r="1170" spans="1:8" x14ac:dyDescent="0.25">
      <c r="A1170" s="133"/>
      <c r="B1170" s="282"/>
      <c r="C1170" s="283"/>
      <c r="D1170" s="283"/>
      <c r="E1170" s="228"/>
      <c r="F1170" s="283"/>
      <c r="G1170" s="354"/>
      <c r="H1170" s="355"/>
    </row>
    <row r="1171" spans="1:8" x14ac:dyDescent="0.25">
      <c r="A1171" s="133"/>
      <c r="B1171" s="285"/>
      <c r="C1171" s="286"/>
      <c r="D1171" s="286"/>
      <c r="E1171" s="228"/>
      <c r="F1171" s="286"/>
      <c r="G1171" s="351"/>
      <c r="H1171" s="341"/>
    </row>
    <row r="1172" spans="1:8" x14ac:dyDescent="0.25">
      <c r="A1172" s="133"/>
      <c r="B1172" s="285"/>
      <c r="C1172" s="286"/>
      <c r="D1172" s="286"/>
      <c r="E1172" s="232"/>
      <c r="F1172" s="286"/>
      <c r="G1172" s="344"/>
      <c r="H1172" s="341"/>
    </row>
    <row r="1173" spans="1:8" x14ac:dyDescent="0.25">
      <c r="A1173" s="133"/>
      <c r="B1173" s="194"/>
      <c r="C1173" s="248"/>
      <c r="D1173" s="248"/>
      <c r="E1173" s="232"/>
      <c r="F1173" s="202"/>
      <c r="G1173" s="344"/>
      <c r="H1173" s="341"/>
    </row>
    <row r="1174" spans="1:8" ht="15.75" thickBot="1" x14ac:dyDescent="0.3">
      <c r="A1174" s="133"/>
      <c r="B1174" s="195"/>
      <c r="C1174" s="232"/>
      <c r="D1174" s="232"/>
      <c r="E1174" s="232"/>
      <c r="F1174" s="226"/>
      <c r="G1174" s="344"/>
      <c r="H1174" s="341"/>
    </row>
    <row r="1175" spans="1:8" ht="15.75" thickBot="1" x14ac:dyDescent="0.3">
      <c r="A1175" s="133"/>
      <c r="B1175" s="233"/>
      <c r="C1175" s="234"/>
      <c r="D1175" s="234"/>
      <c r="E1175" s="234"/>
      <c r="F1175" s="235"/>
      <c r="G1175" s="347"/>
      <c r="H1175" s="348">
        <f>+SUM(G1170:G1175)</f>
        <v>0</v>
      </c>
    </row>
    <row r="1176" spans="1:8" ht="15.75" thickBot="1" x14ac:dyDescent="0.3">
      <c r="A1176" s="133"/>
      <c r="B1176" s="238"/>
      <c r="C1176" s="238"/>
      <c r="D1176" s="238"/>
      <c r="E1176" s="238"/>
      <c r="F1176" s="249"/>
      <c r="G1176" s="356"/>
      <c r="H1176" s="350"/>
    </row>
    <row r="1177" spans="1:8" ht="15.75" thickBot="1" x14ac:dyDescent="0.3">
      <c r="A1177" s="133"/>
      <c r="B1177" s="224" t="s">
        <v>5412</v>
      </c>
      <c r="C1177" s="193" t="s">
        <v>5420</v>
      </c>
      <c r="D1177" s="193" t="s">
        <v>5421</v>
      </c>
      <c r="E1177" s="193" t="s">
        <v>5413</v>
      </c>
      <c r="F1177" s="193" t="s">
        <v>5405</v>
      </c>
      <c r="G1177" s="343" t="s">
        <v>868</v>
      </c>
      <c r="H1177" s="341"/>
    </row>
    <row r="1178" spans="1:8" x14ac:dyDescent="0.25">
      <c r="A1178" s="133"/>
      <c r="B1178" s="194" t="s">
        <v>5948</v>
      </c>
      <c r="C1178" s="345">
        <v>70000</v>
      </c>
      <c r="D1178" s="345">
        <f>+C1178*0.85</f>
        <v>59500</v>
      </c>
      <c r="E1178" s="353">
        <f>+C1178+D1178</f>
        <v>129500</v>
      </c>
      <c r="F1178" s="204">
        <v>2500</v>
      </c>
      <c r="G1178" s="351">
        <f>+E1178/F1178</f>
        <v>51.8</v>
      </c>
      <c r="H1178" s="341"/>
    </row>
    <row r="1179" spans="1:8" x14ac:dyDescent="0.25">
      <c r="A1179" s="133"/>
      <c r="B1179" s="194" t="s">
        <v>5949</v>
      </c>
      <c r="C1179" s="345">
        <v>40000</v>
      </c>
      <c r="D1179" s="345">
        <f>+C1179*0.85</f>
        <v>34000</v>
      </c>
      <c r="E1179" s="353">
        <f>+C1179+D1179</f>
        <v>74000</v>
      </c>
      <c r="F1179" s="202">
        <v>1000</v>
      </c>
      <c r="G1179" s="351">
        <f>+E1179/F1179</f>
        <v>74</v>
      </c>
      <c r="H1179" s="341"/>
    </row>
    <row r="1180" spans="1:8" x14ac:dyDescent="0.25">
      <c r="A1180" s="133"/>
      <c r="B1180" s="195" t="s">
        <v>5635</v>
      </c>
      <c r="C1180" s="345">
        <v>20600</v>
      </c>
      <c r="D1180" s="345">
        <f>+C1180*0.85</f>
        <v>17510</v>
      </c>
      <c r="E1180" s="353">
        <f>+C1180+D1180</f>
        <v>38110</v>
      </c>
      <c r="F1180" s="226">
        <v>500</v>
      </c>
      <c r="G1180" s="351">
        <f>+E1180/F1180</f>
        <v>76.22</v>
      </c>
      <c r="H1180" s="341"/>
    </row>
    <row r="1181" spans="1:8" x14ac:dyDescent="0.25">
      <c r="A1181" s="133"/>
      <c r="B1181" s="195"/>
      <c r="C1181" s="346"/>
      <c r="D1181" s="345"/>
      <c r="E1181" s="345"/>
      <c r="F1181" s="226"/>
      <c r="G1181" s="351"/>
      <c r="H1181" s="341"/>
    </row>
    <row r="1182" spans="1:8" x14ac:dyDescent="0.25">
      <c r="A1182" s="133"/>
      <c r="B1182" s="195"/>
      <c r="C1182" s="232"/>
      <c r="D1182" s="232"/>
      <c r="E1182" s="232"/>
      <c r="F1182" s="226"/>
      <c r="G1182" s="344"/>
      <c r="H1182" s="341"/>
    </row>
    <row r="1183" spans="1:8" ht="15.75" thickBot="1" x14ac:dyDescent="0.3">
      <c r="A1183" s="133"/>
      <c r="B1183" s="195"/>
      <c r="C1183" s="232"/>
      <c r="D1183" s="232"/>
      <c r="E1183" s="232"/>
      <c r="F1183" s="226"/>
      <c r="G1183" s="344"/>
      <c r="H1183" s="341"/>
    </row>
    <row r="1184" spans="1:8" ht="15.75" thickBot="1" x14ac:dyDescent="0.3">
      <c r="A1184" s="133"/>
      <c r="B1184" s="251"/>
      <c r="C1184" s="252"/>
      <c r="D1184" s="252"/>
      <c r="E1184" s="252"/>
      <c r="F1184" s="253"/>
      <c r="G1184" s="357"/>
      <c r="H1184" s="358">
        <f>+SUM(G1178:G1184)</f>
        <v>202.01999999999998</v>
      </c>
    </row>
    <row r="1185" spans="1:8" ht="15.75" thickBot="1" x14ac:dyDescent="0.3">
      <c r="A1185" s="133"/>
      <c r="B1185" s="8"/>
      <c r="C1185" s="8"/>
      <c r="D1185" s="8"/>
      <c r="E1185" s="8"/>
      <c r="F1185" s="133"/>
      <c r="G1185" s="341"/>
      <c r="H1185" s="341"/>
    </row>
    <row r="1186" spans="1:8" ht="15.75" thickBot="1" x14ac:dyDescent="0.3">
      <c r="A1186" s="133"/>
      <c r="B1186" s="8"/>
      <c r="C1186" s="8"/>
      <c r="D1186" s="8"/>
      <c r="E1186" s="223"/>
      <c r="F1186" s="133"/>
      <c r="G1186" s="341"/>
      <c r="H1186" s="358">
        <f>ROUND(+H1184+H1175+H1167+H1152,0)</f>
        <v>6166</v>
      </c>
    </row>
    <row r="1191" spans="1:8" ht="18.75" x14ac:dyDescent="0.25">
      <c r="A1191" s="133"/>
      <c r="B1191" s="2506" t="s">
        <v>5400</v>
      </c>
      <c r="C1191" s="2506"/>
      <c r="D1191" s="2506"/>
      <c r="E1191" s="2506"/>
      <c r="F1191" s="2506"/>
      <c r="G1191" s="2506"/>
      <c r="H1191" s="8"/>
    </row>
    <row r="1192" spans="1:8" x14ac:dyDescent="0.25">
      <c r="A1192" s="133"/>
      <c r="B1192" s="8"/>
      <c r="C1192" s="8"/>
      <c r="D1192" s="8"/>
      <c r="E1192" s="8"/>
      <c r="F1192" s="133"/>
      <c r="G1192" s="341"/>
      <c r="H1192" s="341"/>
    </row>
    <row r="1193" spans="1:8" x14ac:dyDescent="0.25">
      <c r="A1193" s="133"/>
      <c r="B1193" s="8"/>
      <c r="C1193" s="8"/>
      <c r="D1193" s="8"/>
      <c r="E1193" s="8"/>
      <c r="F1193" s="133"/>
      <c r="G1193" s="341"/>
      <c r="H1193" s="341"/>
    </row>
    <row r="1194" spans="1:8" x14ac:dyDescent="0.25">
      <c r="A1194" s="133"/>
      <c r="B1194" s="8"/>
      <c r="C1194" s="8"/>
      <c r="D1194" s="8"/>
      <c r="E1194" s="8"/>
      <c r="F1194" s="133"/>
      <c r="G1194" s="341"/>
      <c r="H1194" s="341"/>
    </row>
    <row r="1195" spans="1:8" ht="15" customHeight="1" x14ac:dyDescent="0.25">
      <c r="A1195" s="220" t="s">
        <v>5482</v>
      </c>
      <c r="B1195" s="221" t="s">
        <v>667</v>
      </c>
      <c r="C1195" s="2449" t="s">
        <v>5579</v>
      </c>
      <c r="D1195" s="2449"/>
      <c r="E1195" s="2449"/>
      <c r="F1195" s="220" t="s">
        <v>867</v>
      </c>
      <c r="G1195" s="342" t="s">
        <v>5402</v>
      </c>
      <c r="H1195" s="341"/>
    </row>
    <row r="1196" spans="1:8" x14ac:dyDescent="0.25">
      <c r="A1196" s="133"/>
      <c r="B1196" s="8"/>
      <c r="C1196" s="223"/>
      <c r="D1196" s="223"/>
      <c r="E1196" s="223"/>
      <c r="F1196" s="133"/>
      <c r="G1196" s="341"/>
      <c r="H1196" s="341"/>
    </row>
    <row r="1197" spans="1:8" x14ac:dyDescent="0.25">
      <c r="A1197" s="133"/>
      <c r="B1197" s="8"/>
      <c r="C1197" s="8"/>
      <c r="D1197" s="8"/>
      <c r="E1197" s="8"/>
      <c r="F1197" s="8"/>
      <c r="G1197" s="8"/>
      <c r="H1197" s="341"/>
    </row>
    <row r="1198" spans="1:8" ht="15.75" thickBot="1" x14ac:dyDescent="0.3">
      <c r="A1198" s="133"/>
      <c r="B1198" s="8"/>
      <c r="C1198" s="8"/>
      <c r="D1198" s="8"/>
      <c r="E1198" s="8"/>
      <c r="F1198" s="133"/>
      <c r="G1198" s="341"/>
      <c r="H1198" s="341"/>
    </row>
    <row r="1199" spans="1:8" ht="15.75" thickBot="1" x14ac:dyDescent="0.3">
      <c r="A1199" s="133"/>
      <c r="B1199" s="224" t="s">
        <v>5403</v>
      </c>
      <c r="C1199" s="193" t="s">
        <v>867</v>
      </c>
      <c r="D1199" s="193" t="s">
        <v>6</v>
      </c>
      <c r="E1199" s="193" t="s">
        <v>5439</v>
      </c>
      <c r="F1199" s="193" t="s">
        <v>5405</v>
      </c>
      <c r="G1199" s="343" t="s">
        <v>868</v>
      </c>
      <c r="H1199" s="341"/>
    </row>
    <row r="1200" spans="1:8" x14ac:dyDescent="0.25">
      <c r="A1200" s="133"/>
      <c r="B1200" s="195" t="s">
        <v>5440</v>
      </c>
      <c r="C1200" s="226"/>
      <c r="D1200" s="226"/>
      <c r="E1200" s="228">
        <f>+H1238</f>
        <v>7954.3412462908</v>
      </c>
      <c r="F1200" s="226">
        <v>0.05</v>
      </c>
      <c r="G1200" s="344">
        <f>+E1200*F1200</f>
        <v>397.71706231454004</v>
      </c>
      <c r="H1200" s="341"/>
    </row>
    <row r="1201" spans="1:8" x14ac:dyDescent="0.25">
      <c r="A1201" s="133"/>
      <c r="B1201" s="195"/>
      <c r="C1201" s="226"/>
      <c r="D1201" s="226"/>
      <c r="E1201" s="228"/>
      <c r="F1201" s="226"/>
      <c r="G1201" s="344"/>
      <c r="H1201" s="341"/>
    </row>
    <row r="1202" spans="1:8" x14ac:dyDescent="0.25">
      <c r="A1202" s="133"/>
      <c r="B1202" s="195"/>
      <c r="C1202" s="226"/>
      <c r="D1202" s="226"/>
      <c r="E1202" s="345"/>
      <c r="F1202" s="226"/>
      <c r="G1202" s="344"/>
      <c r="H1202" s="341"/>
    </row>
    <row r="1203" spans="1:8" x14ac:dyDescent="0.25">
      <c r="A1203" s="133"/>
      <c r="B1203" s="195"/>
      <c r="C1203" s="226"/>
      <c r="D1203" s="226"/>
      <c r="E1203" s="346"/>
      <c r="F1203" s="226"/>
      <c r="G1203" s="344"/>
      <c r="H1203" s="341"/>
    </row>
    <row r="1204" spans="1:8" x14ac:dyDescent="0.25">
      <c r="A1204" s="133"/>
      <c r="B1204" s="195"/>
      <c r="C1204" s="226"/>
      <c r="D1204" s="232"/>
      <c r="E1204" s="232"/>
      <c r="F1204" s="226"/>
      <c r="G1204" s="344"/>
      <c r="H1204" s="341"/>
    </row>
    <row r="1205" spans="1:8" ht="15.75" thickBot="1" x14ac:dyDescent="0.3">
      <c r="A1205" s="133"/>
      <c r="B1205" s="195"/>
      <c r="C1205" s="226"/>
      <c r="D1205" s="232"/>
      <c r="E1205" s="232"/>
      <c r="F1205" s="226"/>
      <c r="G1205" s="344"/>
      <c r="H1205" s="341"/>
    </row>
    <row r="1206" spans="1:8" ht="15.75" thickBot="1" x14ac:dyDescent="0.3">
      <c r="A1206" s="133"/>
      <c r="B1206" s="233"/>
      <c r="C1206" s="234"/>
      <c r="D1206" s="234"/>
      <c r="E1206" s="234"/>
      <c r="F1206" s="235"/>
      <c r="G1206" s="347"/>
      <c r="H1206" s="348">
        <f>+SUM(G1200:G1206)</f>
        <v>397.71706231454004</v>
      </c>
    </row>
    <row r="1207" spans="1:8" ht="15.75" thickBot="1" x14ac:dyDescent="0.3">
      <c r="A1207" s="133"/>
      <c r="B1207" s="238"/>
      <c r="C1207" s="238"/>
      <c r="D1207" s="238"/>
      <c r="E1207" s="238"/>
      <c r="F1207" s="239"/>
      <c r="G1207" s="349"/>
      <c r="H1207" s="350"/>
    </row>
    <row r="1208" spans="1:8" ht="15.75" thickBot="1" x14ac:dyDescent="0.3">
      <c r="A1208" s="133"/>
      <c r="B1208" s="224" t="s">
        <v>5408</v>
      </c>
      <c r="C1208" s="193" t="s">
        <v>867</v>
      </c>
      <c r="D1208" s="193" t="s">
        <v>6</v>
      </c>
      <c r="E1208" s="193" t="s">
        <v>870</v>
      </c>
      <c r="F1208" s="193" t="s">
        <v>5409</v>
      </c>
      <c r="G1208" s="343" t="s">
        <v>868</v>
      </c>
      <c r="H1208" s="341"/>
    </row>
    <row r="1209" spans="1:8" x14ac:dyDescent="0.25">
      <c r="A1209" s="133"/>
      <c r="B1209" s="289" t="s">
        <v>6045</v>
      </c>
      <c r="C1209" s="202" t="s">
        <v>5402</v>
      </c>
      <c r="D1209" s="197">
        <v>1</v>
      </c>
      <c r="E1209" s="228">
        <f>18000*1.16</f>
        <v>20880</v>
      </c>
      <c r="F1209" s="169">
        <v>0.1</v>
      </c>
      <c r="G1209" s="351">
        <f>+D1209*E1209*(1+F1209)</f>
        <v>22968.000000000004</v>
      </c>
      <c r="H1209" s="341"/>
    </row>
    <row r="1210" spans="1:8" x14ac:dyDescent="0.25">
      <c r="A1210" s="133"/>
      <c r="B1210" s="247"/>
      <c r="C1210" s="202"/>
      <c r="D1210" s="202"/>
      <c r="E1210" s="228"/>
      <c r="F1210" s="169"/>
      <c r="G1210" s="351"/>
      <c r="H1210" s="341"/>
    </row>
    <row r="1211" spans="1:8" x14ac:dyDescent="0.25">
      <c r="A1211" s="133"/>
      <c r="B1211" s="247"/>
      <c r="C1211" s="202"/>
      <c r="D1211" s="226"/>
      <c r="E1211" s="228"/>
      <c r="F1211" s="169"/>
      <c r="G1211" s="351"/>
      <c r="H1211" s="341"/>
    </row>
    <row r="1212" spans="1:8" x14ac:dyDescent="0.25">
      <c r="A1212" s="133"/>
      <c r="B1212" s="194"/>
      <c r="C1212" s="226"/>
      <c r="D1212" s="226"/>
      <c r="E1212" s="345"/>
      <c r="F1212" s="169"/>
      <c r="G1212" s="351"/>
      <c r="H1212" s="341"/>
    </row>
    <row r="1213" spans="1:8" x14ac:dyDescent="0.25">
      <c r="A1213" s="133"/>
      <c r="B1213" s="195"/>
      <c r="C1213" s="226"/>
      <c r="D1213" s="226"/>
      <c r="E1213" s="345"/>
      <c r="F1213" s="169"/>
      <c r="G1213" s="351"/>
      <c r="H1213" s="341"/>
    </row>
    <row r="1214" spans="1:8" x14ac:dyDescent="0.25">
      <c r="A1214" s="133"/>
      <c r="B1214" s="194"/>
      <c r="C1214" s="202"/>
      <c r="D1214" s="202"/>
      <c r="E1214" s="345"/>
      <c r="F1214" s="169"/>
      <c r="G1214" s="351"/>
      <c r="H1214" s="341"/>
    </row>
    <row r="1215" spans="1:8" x14ac:dyDescent="0.25">
      <c r="A1215" s="133"/>
      <c r="B1215" s="195"/>
      <c r="C1215" s="226"/>
      <c r="D1215" s="226"/>
      <c r="E1215" s="345"/>
      <c r="F1215" s="169"/>
      <c r="G1215" s="351"/>
      <c r="H1215" s="341"/>
    </row>
    <row r="1216" spans="1:8" x14ac:dyDescent="0.25">
      <c r="A1216" s="133"/>
      <c r="B1216" s="195"/>
      <c r="C1216" s="226"/>
      <c r="D1216" s="226"/>
      <c r="E1216" s="345"/>
      <c r="F1216" s="169"/>
      <c r="G1216" s="351"/>
      <c r="H1216" s="341"/>
    </row>
    <row r="1217" spans="1:8" x14ac:dyDescent="0.25">
      <c r="A1217" s="133"/>
      <c r="B1217" s="195"/>
      <c r="C1217" s="232"/>
      <c r="D1217" s="232"/>
      <c r="E1217" s="232"/>
      <c r="F1217" s="226"/>
      <c r="G1217" s="344"/>
      <c r="H1217" s="341"/>
    </row>
    <row r="1218" spans="1:8" x14ac:dyDescent="0.25">
      <c r="A1218" s="133"/>
      <c r="B1218" s="195"/>
      <c r="C1218" s="232"/>
      <c r="D1218" s="232"/>
      <c r="E1218" s="232"/>
      <c r="F1218" s="226"/>
      <c r="G1218" s="344"/>
      <c r="H1218" s="341"/>
    </row>
    <row r="1219" spans="1:8" x14ac:dyDescent="0.25">
      <c r="A1219" s="133"/>
      <c r="B1219" s="195"/>
      <c r="C1219" s="232"/>
      <c r="D1219" s="232"/>
      <c r="E1219" s="232"/>
      <c r="F1219" s="226"/>
      <c r="G1219" s="344"/>
      <c r="H1219" s="341"/>
    </row>
    <row r="1220" spans="1:8" ht="15.75" thickBot="1" x14ac:dyDescent="0.3">
      <c r="A1220" s="133"/>
      <c r="B1220" s="195"/>
      <c r="C1220" s="232"/>
      <c r="D1220" s="232"/>
      <c r="E1220" s="232"/>
      <c r="F1220" s="226"/>
      <c r="G1220" s="344"/>
      <c r="H1220" s="341"/>
    </row>
    <row r="1221" spans="1:8" ht="15.75" thickBot="1" x14ac:dyDescent="0.3">
      <c r="A1221" s="133"/>
      <c r="B1221" s="233"/>
      <c r="C1221" s="234"/>
      <c r="D1221" s="234"/>
      <c r="E1221" s="234"/>
      <c r="F1221" s="235"/>
      <c r="G1221" s="347"/>
      <c r="H1221" s="358">
        <f>+SUM(G1209:G1221)</f>
        <v>22968.000000000004</v>
      </c>
    </row>
    <row r="1222" spans="1:8" ht="15.75" thickBot="1" x14ac:dyDescent="0.3">
      <c r="A1222" s="133"/>
      <c r="B1222" s="238"/>
      <c r="C1222" s="238"/>
      <c r="D1222" s="238"/>
      <c r="E1222" s="238"/>
      <c r="F1222" s="239"/>
      <c r="G1222" s="349"/>
      <c r="H1222" s="350"/>
    </row>
    <row r="1223" spans="1:8" ht="15.75" thickBot="1" x14ac:dyDescent="0.3">
      <c r="A1223" s="133"/>
      <c r="B1223" s="224" t="s">
        <v>5410</v>
      </c>
      <c r="C1223" s="193" t="s">
        <v>867</v>
      </c>
      <c r="D1223" s="193" t="s">
        <v>6</v>
      </c>
      <c r="E1223" s="193" t="s">
        <v>870</v>
      </c>
      <c r="F1223" s="193" t="s">
        <v>5411</v>
      </c>
      <c r="G1223" s="343" t="s">
        <v>868</v>
      </c>
      <c r="H1223" s="341"/>
    </row>
    <row r="1224" spans="1:8" x14ac:dyDescent="0.25">
      <c r="A1224" s="133"/>
      <c r="B1224" s="245"/>
      <c r="C1224" s="202"/>
      <c r="D1224" s="202"/>
      <c r="E1224" s="228"/>
      <c r="F1224" s="202"/>
      <c r="G1224" s="354"/>
      <c r="H1224" s="355"/>
    </row>
    <row r="1225" spans="1:8" x14ac:dyDescent="0.25">
      <c r="A1225" s="133"/>
      <c r="B1225" s="247"/>
      <c r="C1225" s="202"/>
      <c r="D1225" s="202"/>
      <c r="E1225" s="228"/>
      <c r="F1225" s="202"/>
      <c r="G1225" s="351"/>
      <c r="H1225" s="341"/>
    </row>
    <row r="1226" spans="1:8" x14ac:dyDescent="0.25">
      <c r="A1226" s="133"/>
      <c r="B1226" s="247"/>
      <c r="C1226" s="202"/>
      <c r="D1226" s="226"/>
      <c r="E1226" s="232"/>
      <c r="F1226" s="226"/>
      <c r="G1226" s="344"/>
      <c r="H1226" s="341"/>
    </row>
    <row r="1227" spans="1:8" x14ac:dyDescent="0.25">
      <c r="A1227" s="133"/>
      <c r="B1227" s="194"/>
      <c r="C1227" s="232"/>
      <c r="D1227" s="232"/>
      <c r="E1227" s="232"/>
      <c r="F1227" s="226"/>
      <c r="G1227" s="344"/>
      <c r="H1227" s="341"/>
    </row>
    <row r="1228" spans="1:8" ht="15.75" thickBot="1" x14ac:dyDescent="0.3">
      <c r="A1228" s="133"/>
      <c r="B1228" s="195"/>
      <c r="C1228" s="232"/>
      <c r="D1228" s="232"/>
      <c r="E1228" s="232"/>
      <c r="F1228" s="226"/>
      <c r="G1228" s="344"/>
      <c r="H1228" s="341"/>
    </row>
    <row r="1229" spans="1:8" ht="15.75" thickBot="1" x14ac:dyDescent="0.3">
      <c r="A1229" s="133"/>
      <c r="B1229" s="233"/>
      <c r="C1229" s="234"/>
      <c r="D1229" s="234"/>
      <c r="E1229" s="234"/>
      <c r="F1229" s="235"/>
      <c r="G1229" s="347"/>
      <c r="H1229" s="348">
        <f>+SUM(G1224:G1229)</f>
        <v>0</v>
      </c>
    </row>
    <row r="1230" spans="1:8" ht="15.75" thickBot="1" x14ac:dyDescent="0.3">
      <c r="A1230" s="133"/>
      <c r="B1230" s="238"/>
      <c r="C1230" s="238"/>
      <c r="D1230" s="238"/>
      <c r="E1230" s="238"/>
      <c r="F1230" s="249"/>
      <c r="G1230" s="356"/>
      <c r="H1230" s="350"/>
    </row>
    <row r="1231" spans="1:8" ht="15.75" thickBot="1" x14ac:dyDescent="0.3">
      <c r="A1231" s="133"/>
      <c r="B1231" s="224" t="s">
        <v>5412</v>
      </c>
      <c r="C1231" s="193" t="s">
        <v>5420</v>
      </c>
      <c r="D1231" s="193" t="s">
        <v>5421</v>
      </c>
      <c r="E1231" s="193" t="s">
        <v>5413</v>
      </c>
      <c r="F1231" s="193" t="s">
        <v>5405</v>
      </c>
      <c r="G1231" s="343" t="s">
        <v>868</v>
      </c>
      <c r="H1231" s="341"/>
    </row>
    <row r="1232" spans="1:8" x14ac:dyDescent="0.25">
      <c r="A1232" s="133"/>
      <c r="B1232" s="194" t="s">
        <v>5948</v>
      </c>
      <c r="C1232" s="345">
        <v>70000</v>
      </c>
      <c r="D1232" s="345">
        <f>+C1232*0.85</f>
        <v>59500</v>
      </c>
      <c r="E1232" s="353">
        <f>+C1232+D1232</f>
        <v>129500</v>
      </c>
      <c r="F1232" s="204">
        <v>269.60000000000002</v>
      </c>
      <c r="G1232" s="351">
        <f>+E1232/F1232</f>
        <v>480.34124629080117</v>
      </c>
      <c r="H1232" s="341"/>
    </row>
    <row r="1233" spans="1:8" x14ac:dyDescent="0.25">
      <c r="A1233" s="133"/>
      <c r="B1233" s="194" t="s">
        <v>5949</v>
      </c>
      <c r="C1233" s="345">
        <v>40000</v>
      </c>
      <c r="D1233" s="345">
        <f>+C1233*0.85</f>
        <v>34000</v>
      </c>
      <c r="E1233" s="353">
        <f>+C1233+D1233</f>
        <v>74000</v>
      </c>
      <c r="F1233" s="202">
        <v>15</v>
      </c>
      <c r="G1233" s="351">
        <f>+E1233/F1233</f>
        <v>4933.333333333333</v>
      </c>
      <c r="H1233" s="341"/>
    </row>
    <row r="1234" spans="1:8" x14ac:dyDescent="0.25">
      <c r="A1234" s="133"/>
      <c r="B1234" s="195" t="s">
        <v>5635</v>
      </c>
      <c r="C1234" s="345">
        <v>20600</v>
      </c>
      <c r="D1234" s="345">
        <f>+C1234*0.85</f>
        <v>17510</v>
      </c>
      <c r="E1234" s="353">
        <f>+C1234+D1234</f>
        <v>38110</v>
      </c>
      <c r="F1234" s="226">
        <v>15</v>
      </c>
      <c r="G1234" s="351">
        <f>+E1234/F1234</f>
        <v>2540.6666666666665</v>
      </c>
      <c r="H1234" s="341"/>
    </row>
    <row r="1235" spans="1:8" x14ac:dyDescent="0.25">
      <c r="A1235" s="133"/>
      <c r="B1235" s="195"/>
      <c r="C1235" s="346"/>
      <c r="D1235" s="345"/>
      <c r="E1235" s="345"/>
      <c r="F1235" s="226"/>
      <c r="G1235" s="351"/>
      <c r="H1235" s="341"/>
    </row>
    <row r="1236" spans="1:8" x14ac:dyDescent="0.25">
      <c r="A1236" s="133"/>
      <c r="B1236" s="195"/>
      <c r="C1236" s="232"/>
      <c r="D1236" s="232"/>
      <c r="E1236" s="232"/>
      <c r="F1236" s="226"/>
      <c r="G1236" s="344"/>
      <c r="H1236" s="341"/>
    </row>
    <row r="1237" spans="1:8" ht="15.75" thickBot="1" x14ac:dyDescent="0.3">
      <c r="A1237" s="133"/>
      <c r="B1237" s="195"/>
      <c r="C1237" s="232"/>
      <c r="D1237" s="232"/>
      <c r="E1237" s="232"/>
      <c r="F1237" s="226"/>
      <c r="G1237" s="344"/>
      <c r="H1237" s="341"/>
    </row>
    <row r="1238" spans="1:8" ht="15.75" thickBot="1" x14ac:dyDescent="0.3">
      <c r="A1238" s="133"/>
      <c r="B1238" s="251"/>
      <c r="C1238" s="252"/>
      <c r="D1238" s="252"/>
      <c r="E1238" s="252"/>
      <c r="F1238" s="253"/>
      <c r="G1238" s="357"/>
      <c r="H1238" s="348">
        <f>+SUM(G1232:G1238)</f>
        <v>7954.3412462908</v>
      </c>
    </row>
    <row r="1239" spans="1:8" ht="15.75" thickBot="1" x14ac:dyDescent="0.3">
      <c r="A1239" s="133"/>
      <c r="B1239" s="8"/>
      <c r="C1239" s="8"/>
      <c r="D1239" s="8"/>
      <c r="E1239" s="8"/>
      <c r="F1239" s="133"/>
      <c r="G1239" s="341"/>
      <c r="H1239" s="341"/>
    </row>
    <row r="1240" spans="1:8" ht="15.75" thickBot="1" x14ac:dyDescent="0.3">
      <c r="A1240" s="133"/>
      <c r="B1240" s="8"/>
      <c r="C1240" s="8"/>
      <c r="D1240" s="8"/>
      <c r="E1240" s="223"/>
      <c r="F1240" s="133"/>
      <c r="G1240" s="341"/>
      <c r="H1240" s="358">
        <f>ROUND(+H1238+H1229+H1221+H1206,0)</f>
        <v>31320</v>
      </c>
    </row>
    <row r="1245" spans="1:8" ht="18.75" x14ac:dyDescent="0.25">
      <c r="A1245" s="133"/>
      <c r="B1245" s="2506" t="s">
        <v>5400</v>
      </c>
      <c r="C1245" s="2506"/>
      <c r="D1245" s="2506"/>
      <c r="E1245" s="2506"/>
      <c r="F1245" s="2506"/>
      <c r="G1245" s="2506"/>
      <c r="H1245" s="8"/>
    </row>
    <row r="1246" spans="1:8" x14ac:dyDescent="0.25">
      <c r="A1246" s="133"/>
      <c r="B1246" s="8"/>
      <c r="C1246" s="8"/>
      <c r="D1246" s="8"/>
      <c r="E1246" s="8"/>
      <c r="F1246" s="133"/>
      <c r="G1246" s="341"/>
      <c r="H1246" s="341"/>
    </row>
    <row r="1247" spans="1:8" x14ac:dyDescent="0.25">
      <c r="A1247" s="133"/>
      <c r="B1247" s="8"/>
      <c r="C1247" s="8"/>
      <c r="D1247" s="8"/>
      <c r="E1247" s="8"/>
      <c r="F1247" s="133"/>
      <c r="G1247" s="341"/>
      <c r="H1247" s="341"/>
    </row>
    <row r="1248" spans="1:8" x14ac:dyDescent="0.25">
      <c r="A1248" s="133"/>
      <c r="B1248" s="8"/>
      <c r="C1248" s="8"/>
      <c r="D1248" s="8"/>
      <c r="E1248" s="8"/>
      <c r="F1248" s="133"/>
      <c r="G1248" s="341"/>
      <c r="H1248" s="341"/>
    </row>
    <row r="1249" spans="1:8" ht="15" customHeight="1" x14ac:dyDescent="0.25">
      <c r="A1249" s="220" t="s">
        <v>5482</v>
      </c>
      <c r="B1249" s="221" t="s">
        <v>668</v>
      </c>
      <c r="C1249" s="2449" t="s">
        <v>6046</v>
      </c>
      <c r="D1249" s="2449"/>
      <c r="E1249" s="2449"/>
      <c r="F1249" s="220" t="s">
        <v>867</v>
      </c>
      <c r="G1249" s="342" t="s">
        <v>5402</v>
      </c>
      <c r="H1249" s="341"/>
    </row>
    <row r="1250" spans="1:8" x14ac:dyDescent="0.25">
      <c r="A1250" s="133"/>
      <c r="B1250" s="8"/>
      <c r="C1250" s="223"/>
      <c r="D1250" s="223"/>
      <c r="E1250" s="223"/>
      <c r="F1250" s="133"/>
      <c r="G1250" s="341"/>
      <c r="H1250" s="341"/>
    </row>
    <row r="1251" spans="1:8" x14ac:dyDescent="0.25">
      <c r="A1251" s="133"/>
      <c r="B1251" s="8"/>
      <c r="C1251" s="8"/>
      <c r="D1251" s="8"/>
      <c r="E1251" s="8"/>
      <c r="F1251" s="8"/>
      <c r="G1251" s="8"/>
      <c r="H1251" s="341"/>
    </row>
    <row r="1252" spans="1:8" ht="15.75" thickBot="1" x14ac:dyDescent="0.3">
      <c r="A1252" s="133"/>
      <c r="B1252" s="8"/>
      <c r="C1252" s="8"/>
      <c r="D1252" s="8"/>
      <c r="E1252" s="8"/>
      <c r="F1252" s="133"/>
      <c r="G1252" s="341"/>
      <c r="H1252" s="341"/>
    </row>
    <row r="1253" spans="1:8" ht="15.75" thickBot="1" x14ac:dyDescent="0.3">
      <c r="A1253" s="133"/>
      <c r="B1253" s="224" t="s">
        <v>5403</v>
      </c>
      <c r="C1253" s="193" t="s">
        <v>867</v>
      </c>
      <c r="D1253" s="193" t="s">
        <v>6</v>
      </c>
      <c r="E1253" s="193" t="s">
        <v>5439</v>
      </c>
      <c r="F1253" s="193" t="s">
        <v>5405</v>
      </c>
      <c r="G1253" s="343" t="s">
        <v>868</v>
      </c>
      <c r="H1253" s="341"/>
    </row>
    <row r="1254" spans="1:8" x14ac:dyDescent="0.25">
      <c r="A1254" s="133"/>
      <c r="B1254" s="195" t="s">
        <v>5440</v>
      </c>
      <c r="C1254" s="226"/>
      <c r="D1254" s="226"/>
      <c r="E1254" s="228">
        <f>+H1292</f>
        <v>7954.1809484964215</v>
      </c>
      <c r="F1254" s="226">
        <v>0.05</v>
      </c>
      <c r="G1254" s="344">
        <f>+E1254*F1254</f>
        <v>397.70904742482111</v>
      </c>
      <c r="H1254" s="341"/>
    </row>
    <row r="1255" spans="1:8" x14ac:dyDescent="0.25">
      <c r="A1255" s="133"/>
      <c r="B1255" s="195"/>
      <c r="C1255" s="226"/>
      <c r="D1255" s="226"/>
      <c r="E1255" s="228"/>
      <c r="F1255" s="226"/>
      <c r="G1255" s="344"/>
      <c r="H1255" s="341"/>
    </row>
    <row r="1256" spans="1:8" x14ac:dyDescent="0.25">
      <c r="A1256" s="133"/>
      <c r="B1256" s="195"/>
      <c r="C1256" s="226"/>
      <c r="D1256" s="226"/>
      <c r="E1256" s="345"/>
      <c r="F1256" s="226"/>
      <c r="G1256" s="344"/>
      <c r="H1256" s="341"/>
    </row>
    <row r="1257" spans="1:8" x14ac:dyDescent="0.25">
      <c r="A1257" s="133"/>
      <c r="B1257" s="195"/>
      <c r="C1257" s="226"/>
      <c r="D1257" s="226"/>
      <c r="E1257" s="346"/>
      <c r="F1257" s="226"/>
      <c r="G1257" s="344"/>
      <c r="H1257" s="341"/>
    </row>
    <row r="1258" spans="1:8" x14ac:dyDescent="0.25">
      <c r="A1258" s="133"/>
      <c r="B1258" s="195"/>
      <c r="C1258" s="226"/>
      <c r="D1258" s="232"/>
      <c r="E1258" s="232"/>
      <c r="F1258" s="226"/>
      <c r="G1258" s="344"/>
      <c r="H1258" s="341"/>
    </row>
    <row r="1259" spans="1:8" ht="15.75" thickBot="1" x14ac:dyDescent="0.3">
      <c r="A1259" s="133"/>
      <c r="B1259" s="195"/>
      <c r="C1259" s="226"/>
      <c r="D1259" s="232"/>
      <c r="E1259" s="232"/>
      <c r="F1259" s="226"/>
      <c r="G1259" s="344"/>
      <c r="H1259" s="341"/>
    </row>
    <row r="1260" spans="1:8" ht="15.75" thickBot="1" x14ac:dyDescent="0.3">
      <c r="A1260" s="133"/>
      <c r="B1260" s="233"/>
      <c r="C1260" s="234"/>
      <c r="D1260" s="234"/>
      <c r="E1260" s="234"/>
      <c r="F1260" s="235"/>
      <c r="G1260" s="347"/>
      <c r="H1260" s="348">
        <f>+SUM(G1254:G1260)</f>
        <v>397.70904742482111</v>
      </c>
    </row>
    <row r="1261" spans="1:8" ht="15.75" thickBot="1" x14ac:dyDescent="0.3">
      <c r="A1261" s="133"/>
      <c r="B1261" s="238"/>
      <c r="C1261" s="238"/>
      <c r="D1261" s="238"/>
      <c r="E1261" s="238"/>
      <c r="F1261" s="239"/>
      <c r="G1261" s="349"/>
      <c r="H1261" s="350"/>
    </row>
    <row r="1262" spans="1:8" ht="15.75" thickBot="1" x14ac:dyDescent="0.3">
      <c r="A1262" s="133"/>
      <c r="B1262" s="224" t="s">
        <v>5408</v>
      </c>
      <c r="C1262" s="193" t="s">
        <v>867</v>
      </c>
      <c r="D1262" s="193" t="s">
        <v>6</v>
      </c>
      <c r="E1262" s="193" t="s">
        <v>870</v>
      </c>
      <c r="F1262" s="193" t="s">
        <v>5409</v>
      </c>
      <c r="G1262" s="343" t="s">
        <v>868</v>
      </c>
      <c r="H1262" s="341"/>
    </row>
    <row r="1263" spans="1:8" x14ac:dyDescent="0.25">
      <c r="A1263" s="133"/>
      <c r="B1263" s="289" t="s">
        <v>6047</v>
      </c>
      <c r="C1263" s="202" t="s">
        <v>5402</v>
      </c>
      <c r="D1263" s="197">
        <v>1</v>
      </c>
      <c r="E1263" s="228">
        <f>31300*1.16</f>
        <v>36308</v>
      </c>
      <c r="F1263" s="169">
        <v>0.1</v>
      </c>
      <c r="G1263" s="351">
        <f>+D1263*E1263*(1+F1263)</f>
        <v>39938.800000000003</v>
      </c>
      <c r="H1263" s="341"/>
    </row>
    <row r="1264" spans="1:8" x14ac:dyDescent="0.25">
      <c r="A1264" s="133"/>
      <c r="B1264" s="247"/>
      <c r="C1264" s="202"/>
      <c r="D1264" s="202"/>
      <c r="E1264" s="228"/>
      <c r="F1264" s="169"/>
      <c r="G1264" s="351"/>
      <c r="H1264" s="341"/>
    </row>
    <row r="1265" spans="1:8" x14ac:dyDescent="0.25">
      <c r="A1265" s="133"/>
      <c r="B1265" s="247"/>
      <c r="C1265" s="202"/>
      <c r="D1265" s="226"/>
      <c r="E1265" s="228"/>
      <c r="F1265" s="169"/>
      <c r="G1265" s="351"/>
      <c r="H1265" s="341"/>
    </row>
    <row r="1266" spans="1:8" x14ac:dyDescent="0.25">
      <c r="A1266" s="133"/>
      <c r="B1266" s="194"/>
      <c r="C1266" s="226"/>
      <c r="D1266" s="226"/>
      <c r="E1266" s="345"/>
      <c r="F1266" s="169"/>
      <c r="G1266" s="351"/>
      <c r="H1266" s="341"/>
    </row>
    <row r="1267" spans="1:8" x14ac:dyDescent="0.25">
      <c r="A1267" s="133"/>
      <c r="B1267" s="195"/>
      <c r="C1267" s="226"/>
      <c r="D1267" s="226"/>
      <c r="E1267" s="345"/>
      <c r="F1267" s="169"/>
      <c r="G1267" s="351"/>
      <c r="H1267" s="341"/>
    </row>
    <row r="1268" spans="1:8" x14ac:dyDescent="0.25">
      <c r="A1268" s="133"/>
      <c r="B1268" s="194"/>
      <c r="C1268" s="202"/>
      <c r="D1268" s="202"/>
      <c r="E1268" s="345"/>
      <c r="F1268" s="169"/>
      <c r="G1268" s="351"/>
      <c r="H1268" s="341"/>
    </row>
    <row r="1269" spans="1:8" x14ac:dyDescent="0.25">
      <c r="A1269" s="133"/>
      <c r="B1269" s="195"/>
      <c r="C1269" s="226"/>
      <c r="D1269" s="226"/>
      <c r="E1269" s="345"/>
      <c r="F1269" s="169"/>
      <c r="G1269" s="351"/>
      <c r="H1269" s="341"/>
    </row>
    <row r="1270" spans="1:8" x14ac:dyDescent="0.25">
      <c r="A1270" s="133"/>
      <c r="B1270" s="195"/>
      <c r="C1270" s="226"/>
      <c r="D1270" s="226"/>
      <c r="E1270" s="345"/>
      <c r="F1270" s="169"/>
      <c r="G1270" s="351"/>
      <c r="H1270" s="341"/>
    </row>
    <row r="1271" spans="1:8" x14ac:dyDescent="0.25">
      <c r="A1271" s="133"/>
      <c r="B1271" s="195"/>
      <c r="C1271" s="232"/>
      <c r="D1271" s="232"/>
      <c r="E1271" s="232"/>
      <c r="F1271" s="226"/>
      <c r="G1271" s="344"/>
      <c r="H1271" s="341"/>
    </row>
    <row r="1272" spans="1:8" x14ac:dyDescent="0.25">
      <c r="A1272" s="133"/>
      <c r="B1272" s="195"/>
      <c r="C1272" s="232"/>
      <c r="D1272" s="232"/>
      <c r="E1272" s="232"/>
      <c r="F1272" s="226"/>
      <c r="G1272" s="344"/>
      <c r="H1272" s="341"/>
    </row>
    <row r="1273" spans="1:8" x14ac:dyDescent="0.25">
      <c r="A1273" s="133"/>
      <c r="B1273" s="195"/>
      <c r="C1273" s="232"/>
      <c r="D1273" s="232"/>
      <c r="E1273" s="232"/>
      <c r="F1273" s="226"/>
      <c r="G1273" s="344"/>
      <c r="H1273" s="341"/>
    </row>
    <row r="1274" spans="1:8" ht="15.75" thickBot="1" x14ac:dyDescent="0.3">
      <c r="A1274" s="133"/>
      <c r="B1274" s="195"/>
      <c r="C1274" s="232"/>
      <c r="D1274" s="232"/>
      <c r="E1274" s="232"/>
      <c r="F1274" s="226"/>
      <c r="G1274" s="344"/>
      <c r="H1274" s="341"/>
    </row>
    <row r="1275" spans="1:8" ht="15.75" thickBot="1" x14ac:dyDescent="0.3">
      <c r="A1275" s="133"/>
      <c r="B1275" s="233"/>
      <c r="C1275" s="234"/>
      <c r="D1275" s="234"/>
      <c r="E1275" s="234"/>
      <c r="F1275" s="235"/>
      <c r="G1275" s="347"/>
      <c r="H1275" s="358">
        <f>+SUM(G1263:G1275)</f>
        <v>39938.800000000003</v>
      </c>
    </row>
    <row r="1276" spans="1:8" ht="15.75" thickBot="1" x14ac:dyDescent="0.3">
      <c r="A1276" s="133"/>
      <c r="B1276" s="238"/>
      <c r="C1276" s="238"/>
      <c r="D1276" s="238"/>
      <c r="E1276" s="238"/>
      <c r="F1276" s="239"/>
      <c r="G1276" s="349"/>
      <c r="H1276" s="350"/>
    </row>
    <row r="1277" spans="1:8" ht="15.75" thickBot="1" x14ac:dyDescent="0.3">
      <c r="A1277" s="133"/>
      <c r="B1277" s="224" t="s">
        <v>5410</v>
      </c>
      <c r="C1277" s="193" t="s">
        <v>867</v>
      </c>
      <c r="D1277" s="193" t="s">
        <v>6</v>
      </c>
      <c r="E1277" s="193" t="s">
        <v>870</v>
      </c>
      <c r="F1277" s="193" t="s">
        <v>5411</v>
      </c>
      <c r="G1277" s="343" t="s">
        <v>868</v>
      </c>
      <c r="H1277" s="341"/>
    </row>
    <row r="1278" spans="1:8" x14ac:dyDescent="0.25">
      <c r="A1278" s="133"/>
      <c r="B1278" s="245"/>
      <c r="C1278" s="202"/>
      <c r="D1278" s="202"/>
      <c r="E1278" s="353"/>
      <c r="F1278" s="202"/>
      <c r="G1278" s="354"/>
      <c r="H1278" s="355"/>
    </row>
    <row r="1279" spans="1:8" x14ac:dyDescent="0.25">
      <c r="A1279" s="133"/>
      <c r="B1279" s="247"/>
      <c r="C1279" s="202"/>
      <c r="D1279" s="202"/>
      <c r="E1279" s="248"/>
      <c r="F1279" s="202"/>
      <c r="G1279" s="351"/>
      <c r="H1279" s="341"/>
    </row>
    <row r="1280" spans="1:8" x14ac:dyDescent="0.25">
      <c r="A1280" s="133"/>
      <c r="B1280" s="247"/>
      <c r="C1280" s="202"/>
      <c r="D1280" s="226"/>
      <c r="E1280" s="232"/>
      <c r="F1280" s="226"/>
      <c r="G1280" s="344"/>
      <c r="H1280" s="341"/>
    </row>
    <row r="1281" spans="1:8" x14ac:dyDescent="0.25">
      <c r="A1281" s="133"/>
      <c r="B1281" s="194"/>
      <c r="C1281" s="232"/>
      <c r="D1281" s="232"/>
      <c r="E1281" s="232"/>
      <c r="F1281" s="226"/>
      <c r="G1281" s="344"/>
      <c r="H1281" s="341"/>
    </row>
    <row r="1282" spans="1:8" ht="15.75" thickBot="1" x14ac:dyDescent="0.3">
      <c r="A1282" s="133"/>
      <c r="B1282" s="195"/>
      <c r="C1282" s="232"/>
      <c r="D1282" s="232"/>
      <c r="E1282" s="232"/>
      <c r="F1282" s="226"/>
      <c r="G1282" s="344"/>
      <c r="H1282" s="341"/>
    </row>
    <row r="1283" spans="1:8" ht="15.75" thickBot="1" x14ac:dyDescent="0.3">
      <c r="A1283" s="133"/>
      <c r="B1283" s="233"/>
      <c r="C1283" s="234"/>
      <c r="D1283" s="234"/>
      <c r="E1283" s="234"/>
      <c r="F1283" s="235"/>
      <c r="G1283" s="347"/>
      <c r="H1283" s="348">
        <f>+SUM(G1278:G1283)</f>
        <v>0</v>
      </c>
    </row>
    <row r="1284" spans="1:8" ht="15.75" thickBot="1" x14ac:dyDescent="0.3">
      <c r="A1284" s="133"/>
      <c r="B1284" s="238"/>
      <c r="C1284" s="238"/>
      <c r="D1284" s="238"/>
      <c r="E1284" s="238"/>
      <c r="F1284" s="249"/>
      <c r="G1284" s="356"/>
      <c r="H1284" s="350"/>
    </row>
    <row r="1285" spans="1:8" ht="15.75" thickBot="1" x14ac:dyDescent="0.3">
      <c r="A1285" s="133"/>
      <c r="B1285" s="224" t="s">
        <v>5412</v>
      </c>
      <c r="C1285" s="193" t="s">
        <v>5420</v>
      </c>
      <c r="D1285" s="193" t="s">
        <v>5421</v>
      </c>
      <c r="E1285" s="193" t="s">
        <v>5413</v>
      </c>
      <c r="F1285" s="193" t="s">
        <v>5405</v>
      </c>
      <c r="G1285" s="343" t="s">
        <v>868</v>
      </c>
      <c r="H1285" s="341"/>
    </row>
    <row r="1286" spans="1:8" x14ac:dyDescent="0.25">
      <c r="A1286" s="133"/>
      <c r="B1286" s="194" t="s">
        <v>5948</v>
      </c>
      <c r="C1286" s="345">
        <v>70000</v>
      </c>
      <c r="D1286" s="345">
        <f>+C1286*0.85</f>
        <v>59500</v>
      </c>
      <c r="E1286" s="353">
        <f>+C1286+D1286</f>
        <v>129500</v>
      </c>
      <c r="F1286" s="204">
        <v>269.69</v>
      </c>
      <c r="G1286" s="351">
        <f>+E1286/F1286</f>
        <v>480.18094849642182</v>
      </c>
      <c r="H1286" s="341"/>
    </row>
    <row r="1287" spans="1:8" x14ac:dyDescent="0.25">
      <c r="A1287" s="133"/>
      <c r="B1287" s="194" t="s">
        <v>5949</v>
      </c>
      <c r="C1287" s="345">
        <v>40000</v>
      </c>
      <c r="D1287" s="345">
        <f>+C1287*0.85</f>
        <v>34000</v>
      </c>
      <c r="E1287" s="353">
        <f>+C1287+D1287</f>
        <v>74000</v>
      </c>
      <c r="F1287" s="202">
        <v>15</v>
      </c>
      <c r="G1287" s="351">
        <f>+E1287/F1287</f>
        <v>4933.333333333333</v>
      </c>
      <c r="H1287" s="341"/>
    </row>
    <row r="1288" spans="1:8" x14ac:dyDescent="0.25">
      <c r="A1288" s="133"/>
      <c r="B1288" s="195" t="s">
        <v>5635</v>
      </c>
      <c r="C1288" s="345">
        <v>20600</v>
      </c>
      <c r="D1288" s="345">
        <f>+C1288*0.85</f>
        <v>17510</v>
      </c>
      <c r="E1288" s="353">
        <f>+C1288+D1288</f>
        <v>38110</v>
      </c>
      <c r="F1288" s="226">
        <v>15</v>
      </c>
      <c r="G1288" s="351">
        <f>+E1288/F1288</f>
        <v>2540.6666666666665</v>
      </c>
      <c r="H1288" s="341"/>
    </row>
    <row r="1289" spans="1:8" x14ac:dyDescent="0.25">
      <c r="A1289" s="133"/>
      <c r="B1289" s="195"/>
      <c r="C1289" s="346"/>
      <c r="D1289" s="345"/>
      <c r="E1289" s="345"/>
      <c r="F1289" s="226"/>
      <c r="G1289" s="351"/>
      <c r="H1289" s="341"/>
    </row>
    <row r="1290" spans="1:8" x14ac:dyDescent="0.25">
      <c r="A1290" s="133"/>
      <c r="B1290" s="195"/>
      <c r="C1290" s="232"/>
      <c r="D1290" s="232"/>
      <c r="E1290" s="232"/>
      <c r="F1290" s="226"/>
      <c r="G1290" s="344"/>
      <c r="H1290" s="341"/>
    </row>
    <row r="1291" spans="1:8" ht="15.75" thickBot="1" x14ac:dyDescent="0.3">
      <c r="A1291" s="133"/>
      <c r="B1291" s="195"/>
      <c r="C1291" s="232"/>
      <c r="D1291" s="232"/>
      <c r="E1291" s="232"/>
      <c r="F1291" s="226"/>
      <c r="G1291" s="344"/>
      <c r="H1291" s="341"/>
    </row>
    <row r="1292" spans="1:8" ht="15.75" thickBot="1" x14ac:dyDescent="0.3">
      <c r="A1292" s="133"/>
      <c r="B1292" s="251"/>
      <c r="C1292" s="252"/>
      <c r="D1292" s="252"/>
      <c r="E1292" s="252"/>
      <c r="F1292" s="253"/>
      <c r="G1292" s="357"/>
      <c r="H1292" s="348">
        <f>+SUM(G1286:G1292)</f>
        <v>7954.1809484964215</v>
      </c>
    </row>
    <row r="1293" spans="1:8" ht="15.75" thickBot="1" x14ac:dyDescent="0.3">
      <c r="A1293" s="133"/>
      <c r="B1293" s="8"/>
      <c r="C1293" s="8"/>
      <c r="D1293" s="8"/>
      <c r="E1293" s="8"/>
      <c r="F1293" s="133"/>
      <c r="G1293" s="341"/>
      <c r="H1293" s="341"/>
    </row>
    <row r="1294" spans="1:8" ht="15.75" thickBot="1" x14ac:dyDescent="0.3">
      <c r="A1294" s="133"/>
      <c r="B1294" s="8"/>
      <c r="C1294" s="8"/>
      <c r="D1294" s="8"/>
      <c r="E1294" s="223"/>
      <c r="F1294" s="133"/>
      <c r="G1294" s="341"/>
      <c r="H1294" s="358">
        <f>ROUND(+H1292+H1283+H1275+H1260,0)</f>
        <v>48291</v>
      </c>
    </row>
    <row r="1299" spans="5:5" x14ac:dyDescent="0.25">
      <c r="E1299"/>
    </row>
    <row r="1300" spans="5:5" x14ac:dyDescent="0.25">
      <c r="E1300"/>
    </row>
    <row r="1301" spans="5:5" x14ac:dyDescent="0.25">
      <c r="E1301"/>
    </row>
    <row r="1302" spans="5:5" x14ac:dyDescent="0.25">
      <c r="E1302"/>
    </row>
    <row r="1303" spans="5:5" x14ac:dyDescent="0.25">
      <c r="E1303"/>
    </row>
    <row r="1304" spans="5:5" x14ac:dyDescent="0.25">
      <c r="E1304"/>
    </row>
    <row r="1305" spans="5:5" x14ac:dyDescent="0.25">
      <c r="E1305"/>
    </row>
    <row r="1306" spans="5:5" x14ac:dyDescent="0.25">
      <c r="E1306"/>
    </row>
    <row r="1307" spans="5:5" x14ac:dyDescent="0.25">
      <c r="E1307"/>
    </row>
    <row r="1308" spans="5:5" x14ac:dyDescent="0.25">
      <c r="E1308"/>
    </row>
    <row r="1309" spans="5:5" x14ac:dyDescent="0.25">
      <c r="E1309"/>
    </row>
    <row r="1310" spans="5:5" x14ac:dyDescent="0.25">
      <c r="E1310"/>
    </row>
    <row r="1311" spans="5:5" x14ac:dyDescent="0.25">
      <c r="E1311"/>
    </row>
    <row r="1312" spans="5:5" x14ac:dyDescent="0.25">
      <c r="E1312"/>
    </row>
    <row r="1313" spans="5:5" x14ac:dyDescent="0.25">
      <c r="E1313"/>
    </row>
    <row r="1314" spans="5:5" x14ac:dyDescent="0.25">
      <c r="E1314"/>
    </row>
    <row r="1315" spans="5:5" x14ac:dyDescent="0.25">
      <c r="E1315"/>
    </row>
    <row r="1316" spans="5:5" x14ac:dyDescent="0.25">
      <c r="E1316"/>
    </row>
    <row r="1317" spans="5:5" x14ac:dyDescent="0.25">
      <c r="E1317"/>
    </row>
    <row r="1318" spans="5:5" x14ac:dyDescent="0.25">
      <c r="E1318"/>
    </row>
    <row r="1319" spans="5:5" x14ac:dyDescent="0.25">
      <c r="E1319"/>
    </row>
    <row r="1320" spans="5:5" x14ac:dyDescent="0.25">
      <c r="E1320"/>
    </row>
    <row r="1321" spans="5:5" x14ac:dyDescent="0.25">
      <c r="E1321"/>
    </row>
    <row r="1322" spans="5:5" x14ac:dyDescent="0.25">
      <c r="E1322"/>
    </row>
    <row r="1323" spans="5:5" x14ac:dyDescent="0.25">
      <c r="E1323"/>
    </row>
    <row r="1324" spans="5:5" x14ac:dyDescent="0.25">
      <c r="E1324"/>
    </row>
    <row r="1325" spans="5:5" x14ac:dyDescent="0.25">
      <c r="E1325"/>
    </row>
    <row r="1326" spans="5:5" x14ac:dyDescent="0.25">
      <c r="E1326"/>
    </row>
    <row r="1327" spans="5:5" x14ac:dyDescent="0.25">
      <c r="E1327"/>
    </row>
    <row r="1328" spans="5:5" x14ac:dyDescent="0.25">
      <c r="E1328"/>
    </row>
    <row r="1329" spans="5:5" x14ac:dyDescent="0.25">
      <c r="E1329"/>
    </row>
    <row r="1330" spans="5:5" x14ac:dyDescent="0.25">
      <c r="E1330"/>
    </row>
    <row r="1331" spans="5:5" x14ac:dyDescent="0.25">
      <c r="E1331"/>
    </row>
    <row r="1332" spans="5:5" x14ac:dyDescent="0.25">
      <c r="E1332"/>
    </row>
    <row r="1333" spans="5:5" x14ac:dyDescent="0.25">
      <c r="E1333"/>
    </row>
    <row r="1334" spans="5:5" x14ac:dyDescent="0.25">
      <c r="E1334"/>
    </row>
    <row r="1335" spans="5:5" x14ac:dyDescent="0.25">
      <c r="E1335"/>
    </row>
    <row r="1336" spans="5:5" x14ac:dyDescent="0.25">
      <c r="E1336"/>
    </row>
    <row r="1337" spans="5:5" x14ac:dyDescent="0.25">
      <c r="E1337"/>
    </row>
    <row r="1338" spans="5:5" x14ac:dyDescent="0.25">
      <c r="E1338"/>
    </row>
    <row r="1339" spans="5:5" x14ac:dyDescent="0.25">
      <c r="E1339"/>
    </row>
    <row r="1340" spans="5:5" x14ac:dyDescent="0.25">
      <c r="E1340"/>
    </row>
    <row r="1341" spans="5:5" x14ac:dyDescent="0.25">
      <c r="E1341"/>
    </row>
    <row r="1342" spans="5:5" x14ac:dyDescent="0.25">
      <c r="E1342"/>
    </row>
    <row r="1343" spans="5:5" x14ac:dyDescent="0.25">
      <c r="E1343"/>
    </row>
    <row r="1344" spans="5:5" x14ac:dyDescent="0.25">
      <c r="E1344"/>
    </row>
    <row r="1345" spans="5:5" x14ac:dyDescent="0.25">
      <c r="E1345"/>
    </row>
    <row r="1346" spans="5:5" x14ac:dyDescent="0.25">
      <c r="E1346"/>
    </row>
    <row r="1347" spans="5:5" x14ac:dyDescent="0.25">
      <c r="E1347"/>
    </row>
    <row r="1348" spans="5:5" x14ac:dyDescent="0.25">
      <c r="E1348"/>
    </row>
    <row r="1349" spans="5:5" x14ac:dyDescent="0.25">
      <c r="E1349"/>
    </row>
    <row r="1350" spans="5:5" x14ac:dyDescent="0.25">
      <c r="E1350"/>
    </row>
    <row r="1351" spans="5:5" x14ac:dyDescent="0.25">
      <c r="E1351"/>
    </row>
    <row r="1352" spans="5:5" x14ac:dyDescent="0.25">
      <c r="E1352"/>
    </row>
    <row r="1353" spans="5:5" x14ac:dyDescent="0.25">
      <c r="E1353"/>
    </row>
    <row r="1354" spans="5:5" x14ac:dyDescent="0.25">
      <c r="E1354"/>
    </row>
    <row r="1355" spans="5:5" x14ac:dyDescent="0.25">
      <c r="E1355"/>
    </row>
    <row r="1356" spans="5:5" x14ac:dyDescent="0.25">
      <c r="E1356"/>
    </row>
    <row r="1357" spans="5:5" x14ac:dyDescent="0.25">
      <c r="E1357"/>
    </row>
    <row r="1358" spans="5:5" x14ac:dyDescent="0.25">
      <c r="E1358"/>
    </row>
    <row r="1359" spans="5:5" x14ac:dyDescent="0.25">
      <c r="E1359"/>
    </row>
    <row r="1360" spans="5:5" x14ac:dyDescent="0.25">
      <c r="E1360"/>
    </row>
    <row r="1361" spans="5:5" x14ac:dyDescent="0.25">
      <c r="E1361"/>
    </row>
    <row r="1362" spans="5:5" x14ac:dyDescent="0.25">
      <c r="E1362"/>
    </row>
    <row r="1363" spans="5:5" x14ac:dyDescent="0.25">
      <c r="E1363"/>
    </row>
    <row r="1364" spans="5:5" x14ac:dyDescent="0.25">
      <c r="E1364"/>
    </row>
    <row r="1365" spans="5:5" x14ac:dyDescent="0.25">
      <c r="E1365"/>
    </row>
    <row r="1366" spans="5:5" x14ac:dyDescent="0.25">
      <c r="E1366"/>
    </row>
    <row r="1367" spans="5:5" x14ac:dyDescent="0.25">
      <c r="E1367"/>
    </row>
    <row r="1368" spans="5:5" x14ac:dyDescent="0.25">
      <c r="E1368"/>
    </row>
    <row r="1369" spans="5:5" x14ac:dyDescent="0.25">
      <c r="E1369"/>
    </row>
    <row r="1370" spans="5:5" x14ac:dyDescent="0.25">
      <c r="E1370"/>
    </row>
    <row r="1371" spans="5:5" x14ac:dyDescent="0.25">
      <c r="E1371"/>
    </row>
    <row r="1372" spans="5:5" x14ac:dyDescent="0.25">
      <c r="E1372"/>
    </row>
    <row r="1373" spans="5:5" x14ac:dyDescent="0.25">
      <c r="E1373"/>
    </row>
    <row r="1374" spans="5:5" x14ac:dyDescent="0.25">
      <c r="E1374"/>
    </row>
    <row r="1375" spans="5:5" x14ac:dyDescent="0.25">
      <c r="E1375"/>
    </row>
    <row r="1376" spans="5:5" x14ac:dyDescent="0.25">
      <c r="E1376"/>
    </row>
    <row r="1377" spans="5:5" x14ac:dyDescent="0.25">
      <c r="E1377"/>
    </row>
    <row r="1378" spans="5:5" x14ac:dyDescent="0.25">
      <c r="E1378"/>
    </row>
    <row r="1379" spans="5:5" x14ac:dyDescent="0.25">
      <c r="E1379"/>
    </row>
    <row r="1380" spans="5:5" x14ac:dyDescent="0.25">
      <c r="E1380"/>
    </row>
    <row r="1381" spans="5:5" x14ac:dyDescent="0.25">
      <c r="E1381"/>
    </row>
    <row r="1382" spans="5:5" x14ac:dyDescent="0.25">
      <c r="E1382"/>
    </row>
    <row r="1383" spans="5:5" x14ac:dyDescent="0.25">
      <c r="E1383"/>
    </row>
    <row r="1384" spans="5:5" x14ac:dyDescent="0.25">
      <c r="E1384"/>
    </row>
    <row r="1385" spans="5:5" x14ac:dyDescent="0.25">
      <c r="E1385"/>
    </row>
    <row r="1386" spans="5:5" x14ac:dyDescent="0.25">
      <c r="E1386"/>
    </row>
    <row r="1387" spans="5:5" x14ac:dyDescent="0.25">
      <c r="E1387"/>
    </row>
    <row r="1388" spans="5:5" x14ac:dyDescent="0.25">
      <c r="E1388"/>
    </row>
    <row r="1389" spans="5:5" x14ac:dyDescent="0.25">
      <c r="E1389"/>
    </row>
    <row r="1390" spans="5:5" x14ac:dyDescent="0.25">
      <c r="E1390"/>
    </row>
    <row r="1391" spans="5:5" x14ac:dyDescent="0.25">
      <c r="E1391"/>
    </row>
    <row r="1392" spans="5:5" x14ac:dyDescent="0.25">
      <c r="E1392"/>
    </row>
    <row r="1393" spans="5:5" x14ac:dyDescent="0.25">
      <c r="E1393"/>
    </row>
    <row r="1394" spans="5:5" x14ac:dyDescent="0.25">
      <c r="E1394"/>
    </row>
    <row r="1395" spans="5:5" x14ac:dyDescent="0.25">
      <c r="E1395"/>
    </row>
    <row r="1396" spans="5:5" x14ac:dyDescent="0.25">
      <c r="E1396"/>
    </row>
    <row r="1397" spans="5:5" x14ac:dyDescent="0.25">
      <c r="E1397"/>
    </row>
    <row r="1398" spans="5:5" x14ac:dyDescent="0.25">
      <c r="E1398"/>
    </row>
    <row r="1399" spans="5:5" x14ac:dyDescent="0.25">
      <c r="E1399"/>
    </row>
    <row r="1400" spans="5:5" x14ac:dyDescent="0.25">
      <c r="E1400"/>
    </row>
    <row r="1401" spans="5:5" x14ac:dyDescent="0.25">
      <c r="E1401"/>
    </row>
    <row r="1402" spans="5:5" x14ac:dyDescent="0.25">
      <c r="E1402"/>
    </row>
    <row r="1403" spans="5:5" x14ac:dyDescent="0.25">
      <c r="E1403"/>
    </row>
    <row r="1404" spans="5:5" x14ac:dyDescent="0.25">
      <c r="E1404"/>
    </row>
    <row r="1405" spans="5:5" x14ac:dyDescent="0.25">
      <c r="E1405"/>
    </row>
    <row r="1406" spans="5:5" x14ac:dyDescent="0.25">
      <c r="E1406"/>
    </row>
    <row r="1407" spans="5:5" x14ac:dyDescent="0.25">
      <c r="E1407"/>
    </row>
    <row r="1408" spans="5:5" x14ac:dyDescent="0.25">
      <c r="E1408"/>
    </row>
    <row r="1409" spans="5:5" x14ac:dyDescent="0.25">
      <c r="E1409"/>
    </row>
    <row r="1410" spans="5:5" x14ac:dyDescent="0.25">
      <c r="E1410"/>
    </row>
    <row r="1411" spans="5:5" x14ac:dyDescent="0.25">
      <c r="E1411"/>
    </row>
    <row r="1412" spans="5:5" x14ac:dyDescent="0.25">
      <c r="E1412"/>
    </row>
    <row r="1413" spans="5:5" x14ac:dyDescent="0.25">
      <c r="E1413"/>
    </row>
    <row r="1414" spans="5:5" x14ac:dyDescent="0.25">
      <c r="E1414"/>
    </row>
    <row r="1415" spans="5:5" x14ac:dyDescent="0.25">
      <c r="E1415"/>
    </row>
    <row r="1416" spans="5:5" x14ac:dyDescent="0.25">
      <c r="E1416"/>
    </row>
    <row r="1417" spans="5:5" x14ac:dyDescent="0.25">
      <c r="E1417"/>
    </row>
    <row r="1418" spans="5:5" x14ac:dyDescent="0.25">
      <c r="E1418"/>
    </row>
    <row r="1419" spans="5:5" x14ac:dyDescent="0.25">
      <c r="E1419"/>
    </row>
    <row r="1420" spans="5:5" x14ac:dyDescent="0.25">
      <c r="E1420"/>
    </row>
    <row r="1421" spans="5:5" x14ac:dyDescent="0.25">
      <c r="E1421"/>
    </row>
    <row r="1422" spans="5:5" x14ac:dyDescent="0.25">
      <c r="E1422"/>
    </row>
    <row r="1423" spans="5:5" x14ac:dyDescent="0.25">
      <c r="E1423"/>
    </row>
    <row r="1424" spans="5:5" x14ac:dyDescent="0.25">
      <c r="E1424"/>
    </row>
    <row r="1425" spans="5:5" x14ac:dyDescent="0.25">
      <c r="E1425"/>
    </row>
    <row r="1426" spans="5:5" x14ac:dyDescent="0.25">
      <c r="E1426"/>
    </row>
    <row r="1427" spans="5:5" x14ac:dyDescent="0.25">
      <c r="E1427"/>
    </row>
    <row r="1428" spans="5:5" x14ac:dyDescent="0.25">
      <c r="E1428"/>
    </row>
    <row r="1429" spans="5:5" x14ac:dyDescent="0.25">
      <c r="E1429"/>
    </row>
    <row r="1430" spans="5:5" x14ac:dyDescent="0.25">
      <c r="E1430"/>
    </row>
    <row r="1431" spans="5:5" x14ac:dyDescent="0.25">
      <c r="E1431"/>
    </row>
    <row r="1432" spans="5:5" x14ac:dyDescent="0.25">
      <c r="E1432"/>
    </row>
    <row r="1433" spans="5:5" x14ac:dyDescent="0.25">
      <c r="E1433"/>
    </row>
    <row r="1434" spans="5:5" x14ac:dyDescent="0.25">
      <c r="E1434"/>
    </row>
    <row r="1435" spans="5:5" x14ac:dyDescent="0.25">
      <c r="E1435"/>
    </row>
    <row r="1436" spans="5:5" x14ac:dyDescent="0.25">
      <c r="E1436"/>
    </row>
    <row r="1437" spans="5:5" x14ac:dyDescent="0.25">
      <c r="E1437"/>
    </row>
    <row r="1438" spans="5:5" x14ac:dyDescent="0.25">
      <c r="E1438"/>
    </row>
    <row r="1439" spans="5:5" x14ac:dyDescent="0.25">
      <c r="E1439"/>
    </row>
    <row r="1440" spans="5:5" x14ac:dyDescent="0.25">
      <c r="E1440"/>
    </row>
    <row r="1441" spans="5:5" x14ac:dyDescent="0.25">
      <c r="E1441"/>
    </row>
    <row r="1442" spans="5:5" x14ac:dyDescent="0.25">
      <c r="E1442"/>
    </row>
    <row r="1443" spans="5:5" x14ac:dyDescent="0.25">
      <c r="E1443"/>
    </row>
    <row r="1444" spans="5:5" x14ac:dyDescent="0.25">
      <c r="E1444"/>
    </row>
    <row r="1445" spans="5:5" x14ac:dyDescent="0.25">
      <c r="E1445"/>
    </row>
    <row r="1446" spans="5:5" x14ac:dyDescent="0.25">
      <c r="E1446"/>
    </row>
    <row r="1447" spans="5:5" x14ac:dyDescent="0.25">
      <c r="E1447"/>
    </row>
    <row r="1448" spans="5:5" x14ac:dyDescent="0.25">
      <c r="E1448"/>
    </row>
    <row r="1449" spans="5:5" x14ac:dyDescent="0.25">
      <c r="E1449"/>
    </row>
    <row r="1450" spans="5:5" x14ac:dyDescent="0.25">
      <c r="E1450"/>
    </row>
    <row r="1451" spans="5:5" x14ac:dyDescent="0.25">
      <c r="E1451"/>
    </row>
    <row r="1452" spans="5:5" x14ac:dyDescent="0.25">
      <c r="E1452"/>
    </row>
    <row r="1453" spans="5:5" x14ac:dyDescent="0.25">
      <c r="E1453"/>
    </row>
    <row r="1454" spans="5:5" x14ac:dyDescent="0.25">
      <c r="E1454"/>
    </row>
    <row r="1455" spans="5:5" x14ac:dyDescent="0.25">
      <c r="E1455"/>
    </row>
    <row r="1456" spans="5:5" x14ac:dyDescent="0.25">
      <c r="E1456"/>
    </row>
    <row r="1457" spans="5:5" x14ac:dyDescent="0.25">
      <c r="E1457"/>
    </row>
    <row r="1458" spans="5:5" x14ac:dyDescent="0.25">
      <c r="E1458"/>
    </row>
    <row r="1459" spans="5:5" x14ac:dyDescent="0.25">
      <c r="E1459"/>
    </row>
    <row r="1460" spans="5:5" x14ac:dyDescent="0.25">
      <c r="E1460"/>
    </row>
    <row r="1461" spans="5:5" x14ac:dyDescent="0.25">
      <c r="E1461"/>
    </row>
    <row r="1462" spans="5:5" x14ac:dyDescent="0.25">
      <c r="E1462"/>
    </row>
    <row r="1463" spans="5:5" x14ac:dyDescent="0.25">
      <c r="E1463"/>
    </row>
    <row r="1464" spans="5:5" x14ac:dyDescent="0.25">
      <c r="E1464"/>
    </row>
    <row r="1465" spans="5:5" x14ac:dyDescent="0.25">
      <c r="E1465"/>
    </row>
    <row r="1466" spans="5:5" x14ac:dyDescent="0.25">
      <c r="E1466"/>
    </row>
    <row r="1467" spans="5:5" x14ac:dyDescent="0.25">
      <c r="E1467"/>
    </row>
    <row r="1468" spans="5:5" x14ac:dyDescent="0.25">
      <c r="E1468"/>
    </row>
    <row r="1469" spans="5:5" x14ac:dyDescent="0.25">
      <c r="E1469"/>
    </row>
    <row r="1470" spans="5:5" x14ac:dyDescent="0.25">
      <c r="E1470"/>
    </row>
    <row r="1471" spans="5:5" x14ac:dyDescent="0.25">
      <c r="E1471"/>
    </row>
    <row r="1472" spans="5:5" x14ac:dyDescent="0.25">
      <c r="E1472"/>
    </row>
    <row r="1473" spans="5:5" x14ac:dyDescent="0.25">
      <c r="E1473"/>
    </row>
    <row r="1474" spans="5:5" x14ac:dyDescent="0.25">
      <c r="E1474"/>
    </row>
    <row r="1475" spans="5:5" x14ac:dyDescent="0.25">
      <c r="E1475"/>
    </row>
    <row r="1476" spans="5:5" x14ac:dyDescent="0.25">
      <c r="E1476"/>
    </row>
    <row r="1477" spans="5:5" x14ac:dyDescent="0.25">
      <c r="E1477"/>
    </row>
    <row r="1478" spans="5:5" x14ac:dyDescent="0.25">
      <c r="E1478"/>
    </row>
    <row r="1479" spans="5:5" x14ac:dyDescent="0.25">
      <c r="E1479"/>
    </row>
    <row r="1480" spans="5:5" x14ac:dyDescent="0.25">
      <c r="E1480"/>
    </row>
    <row r="1481" spans="5:5" x14ac:dyDescent="0.25">
      <c r="E1481"/>
    </row>
    <row r="1482" spans="5:5" x14ac:dyDescent="0.25">
      <c r="E1482"/>
    </row>
    <row r="1483" spans="5:5" x14ac:dyDescent="0.25">
      <c r="E1483"/>
    </row>
    <row r="1484" spans="5:5" x14ac:dyDescent="0.25">
      <c r="E1484"/>
    </row>
    <row r="1485" spans="5:5" x14ac:dyDescent="0.25">
      <c r="E1485"/>
    </row>
    <row r="1486" spans="5:5" x14ac:dyDescent="0.25">
      <c r="E1486"/>
    </row>
    <row r="1487" spans="5:5" x14ac:dyDescent="0.25">
      <c r="E1487"/>
    </row>
    <row r="1488" spans="5:5" x14ac:dyDescent="0.25">
      <c r="E1488"/>
    </row>
    <row r="1489" spans="5:5" x14ac:dyDescent="0.25">
      <c r="E1489"/>
    </row>
    <row r="1490" spans="5:5" x14ac:dyDescent="0.25">
      <c r="E1490"/>
    </row>
    <row r="1491" spans="5:5" x14ac:dyDescent="0.25">
      <c r="E1491"/>
    </row>
    <row r="1492" spans="5:5" x14ac:dyDescent="0.25">
      <c r="E1492"/>
    </row>
    <row r="1493" spans="5:5" x14ac:dyDescent="0.25">
      <c r="E1493"/>
    </row>
    <row r="1494" spans="5:5" x14ac:dyDescent="0.25">
      <c r="E1494"/>
    </row>
    <row r="1495" spans="5:5" x14ac:dyDescent="0.25">
      <c r="E1495"/>
    </row>
    <row r="1496" spans="5:5" x14ac:dyDescent="0.25">
      <c r="E1496"/>
    </row>
    <row r="1497" spans="5:5" x14ac:dyDescent="0.25">
      <c r="E1497"/>
    </row>
    <row r="1498" spans="5:5" x14ac:dyDescent="0.25">
      <c r="E1498"/>
    </row>
    <row r="1499" spans="5:5" x14ac:dyDescent="0.25">
      <c r="E1499"/>
    </row>
    <row r="1500" spans="5:5" x14ac:dyDescent="0.25">
      <c r="E1500"/>
    </row>
    <row r="1501" spans="5:5" x14ac:dyDescent="0.25">
      <c r="E1501"/>
    </row>
    <row r="1502" spans="5:5" x14ac:dyDescent="0.25">
      <c r="E1502"/>
    </row>
    <row r="1503" spans="5:5" x14ac:dyDescent="0.25">
      <c r="E1503"/>
    </row>
    <row r="1504" spans="5:5" x14ac:dyDescent="0.25">
      <c r="E1504"/>
    </row>
    <row r="1505" spans="5:5" x14ac:dyDescent="0.25">
      <c r="E1505"/>
    </row>
    <row r="1506" spans="5:5" x14ac:dyDescent="0.25">
      <c r="E1506"/>
    </row>
    <row r="1507" spans="5:5" x14ac:dyDescent="0.25">
      <c r="E1507"/>
    </row>
    <row r="1508" spans="5:5" x14ac:dyDescent="0.25">
      <c r="E1508"/>
    </row>
    <row r="1509" spans="5:5" x14ac:dyDescent="0.25">
      <c r="E1509"/>
    </row>
    <row r="1510" spans="5:5" x14ac:dyDescent="0.25">
      <c r="E1510"/>
    </row>
    <row r="1511" spans="5:5" x14ac:dyDescent="0.25">
      <c r="E1511"/>
    </row>
    <row r="1512" spans="5:5" x14ac:dyDescent="0.25">
      <c r="E1512"/>
    </row>
    <row r="1513" spans="5:5" x14ac:dyDescent="0.25">
      <c r="E1513"/>
    </row>
    <row r="1514" spans="5:5" x14ac:dyDescent="0.25">
      <c r="E1514"/>
    </row>
    <row r="1515" spans="5:5" x14ac:dyDescent="0.25">
      <c r="E1515"/>
    </row>
    <row r="1516" spans="5:5" x14ac:dyDescent="0.25">
      <c r="E1516"/>
    </row>
    <row r="1517" spans="5:5" x14ac:dyDescent="0.25">
      <c r="E1517"/>
    </row>
    <row r="1518" spans="5:5" x14ac:dyDescent="0.25">
      <c r="E1518"/>
    </row>
    <row r="1519" spans="5:5" x14ac:dyDescent="0.25">
      <c r="E1519"/>
    </row>
    <row r="1520" spans="5:5" x14ac:dyDescent="0.25">
      <c r="E1520"/>
    </row>
    <row r="1521" spans="5:5" x14ac:dyDescent="0.25">
      <c r="E1521"/>
    </row>
    <row r="1522" spans="5:5" x14ac:dyDescent="0.25">
      <c r="E1522"/>
    </row>
    <row r="1523" spans="5:5" x14ac:dyDescent="0.25">
      <c r="E1523"/>
    </row>
    <row r="1524" spans="5:5" x14ac:dyDescent="0.25">
      <c r="E1524"/>
    </row>
    <row r="1525" spans="5:5" x14ac:dyDescent="0.25">
      <c r="E1525"/>
    </row>
    <row r="1526" spans="5:5" x14ac:dyDescent="0.25">
      <c r="E1526"/>
    </row>
    <row r="1527" spans="5:5" x14ac:dyDescent="0.25">
      <c r="E1527"/>
    </row>
    <row r="1528" spans="5:5" x14ac:dyDescent="0.25">
      <c r="E1528"/>
    </row>
    <row r="1529" spans="5:5" x14ac:dyDescent="0.25">
      <c r="E1529"/>
    </row>
    <row r="1530" spans="5:5" x14ac:dyDescent="0.25">
      <c r="E1530"/>
    </row>
    <row r="1531" spans="5:5" x14ac:dyDescent="0.25">
      <c r="E1531"/>
    </row>
    <row r="1532" spans="5:5" x14ac:dyDescent="0.25">
      <c r="E1532"/>
    </row>
    <row r="1533" spans="5:5" x14ac:dyDescent="0.25">
      <c r="E1533"/>
    </row>
    <row r="1534" spans="5:5" x14ac:dyDescent="0.25">
      <c r="E1534"/>
    </row>
    <row r="1535" spans="5:5" x14ac:dyDescent="0.25">
      <c r="E1535"/>
    </row>
    <row r="1536" spans="5:5" x14ac:dyDescent="0.25">
      <c r="E1536"/>
    </row>
    <row r="1537" spans="5:5" x14ac:dyDescent="0.25">
      <c r="E1537"/>
    </row>
    <row r="1538" spans="5:5" x14ac:dyDescent="0.25">
      <c r="E1538"/>
    </row>
    <row r="1539" spans="5:5" x14ac:dyDescent="0.25">
      <c r="E1539"/>
    </row>
    <row r="1540" spans="5:5" x14ac:dyDescent="0.25">
      <c r="E1540"/>
    </row>
    <row r="1541" spans="5:5" x14ac:dyDescent="0.25">
      <c r="E1541"/>
    </row>
    <row r="1542" spans="5:5" x14ac:dyDescent="0.25">
      <c r="E1542"/>
    </row>
    <row r="1543" spans="5:5" x14ac:dyDescent="0.25">
      <c r="E1543"/>
    </row>
    <row r="1544" spans="5:5" x14ac:dyDescent="0.25">
      <c r="E1544"/>
    </row>
    <row r="1545" spans="5:5" x14ac:dyDescent="0.25">
      <c r="E1545"/>
    </row>
    <row r="1546" spans="5:5" x14ac:dyDescent="0.25">
      <c r="E1546"/>
    </row>
    <row r="1547" spans="5:5" x14ac:dyDescent="0.25">
      <c r="E1547"/>
    </row>
    <row r="1548" spans="5:5" x14ac:dyDescent="0.25">
      <c r="E1548"/>
    </row>
    <row r="1549" spans="5:5" x14ac:dyDescent="0.25">
      <c r="E1549"/>
    </row>
    <row r="1550" spans="5:5" x14ac:dyDescent="0.25">
      <c r="E1550"/>
    </row>
    <row r="1551" spans="5:5" x14ac:dyDescent="0.25">
      <c r="E1551"/>
    </row>
    <row r="1552" spans="5:5" x14ac:dyDescent="0.25">
      <c r="E1552"/>
    </row>
    <row r="1553" spans="5:5" x14ac:dyDescent="0.25">
      <c r="E1553"/>
    </row>
    <row r="1554" spans="5:5" x14ac:dyDescent="0.25">
      <c r="E1554"/>
    </row>
    <row r="1555" spans="5:5" x14ac:dyDescent="0.25">
      <c r="E1555"/>
    </row>
    <row r="1556" spans="5:5" x14ac:dyDescent="0.25">
      <c r="E1556"/>
    </row>
    <row r="1557" spans="5:5" x14ac:dyDescent="0.25">
      <c r="E1557"/>
    </row>
    <row r="1558" spans="5:5" x14ac:dyDescent="0.25">
      <c r="E1558"/>
    </row>
    <row r="1559" spans="5:5" x14ac:dyDescent="0.25">
      <c r="E1559"/>
    </row>
    <row r="1560" spans="5:5" x14ac:dyDescent="0.25">
      <c r="E1560"/>
    </row>
    <row r="1561" spans="5:5" x14ac:dyDescent="0.25">
      <c r="E1561"/>
    </row>
    <row r="1562" spans="5:5" x14ac:dyDescent="0.25">
      <c r="E1562"/>
    </row>
    <row r="1563" spans="5:5" x14ac:dyDescent="0.25">
      <c r="E1563"/>
    </row>
    <row r="1564" spans="5:5" x14ac:dyDescent="0.25">
      <c r="E1564"/>
    </row>
    <row r="1565" spans="5:5" x14ac:dyDescent="0.25">
      <c r="E1565"/>
    </row>
    <row r="1566" spans="5:5" x14ac:dyDescent="0.25">
      <c r="E1566"/>
    </row>
    <row r="1567" spans="5:5" x14ac:dyDescent="0.25">
      <c r="E1567"/>
    </row>
    <row r="1568" spans="5:5" x14ac:dyDescent="0.25">
      <c r="E1568"/>
    </row>
    <row r="1569" spans="5:5" x14ac:dyDescent="0.25">
      <c r="E1569"/>
    </row>
    <row r="1570" spans="5:5" x14ac:dyDescent="0.25">
      <c r="E1570"/>
    </row>
    <row r="1571" spans="5:5" x14ac:dyDescent="0.25">
      <c r="E1571"/>
    </row>
    <row r="1572" spans="5:5" x14ac:dyDescent="0.25">
      <c r="E1572"/>
    </row>
    <row r="1573" spans="5:5" x14ac:dyDescent="0.25">
      <c r="E1573"/>
    </row>
    <row r="1574" spans="5:5" x14ac:dyDescent="0.25">
      <c r="E1574"/>
    </row>
    <row r="1575" spans="5:5" x14ac:dyDescent="0.25">
      <c r="E1575"/>
    </row>
    <row r="1576" spans="5:5" x14ac:dyDescent="0.25">
      <c r="E1576"/>
    </row>
    <row r="1577" spans="5:5" x14ac:dyDescent="0.25">
      <c r="E1577"/>
    </row>
    <row r="1578" spans="5:5" x14ac:dyDescent="0.25">
      <c r="E1578"/>
    </row>
    <row r="1579" spans="5:5" x14ac:dyDescent="0.25">
      <c r="E1579"/>
    </row>
    <row r="1580" spans="5:5" x14ac:dyDescent="0.25">
      <c r="E1580"/>
    </row>
    <row r="1581" spans="5:5" x14ac:dyDescent="0.25">
      <c r="E1581"/>
    </row>
    <row r="1582" spans="5:5" x14ac:dyDescent="0.25">
      <c r="E1582"/>
    </row>
    <row r="1583" spans="5:5" x14ac:dyDescent="0.25">
      <c r="E1583"/>
    </row>
    <row r="1584" spans="5:5" x14ac:dyDescent="0.25">
      <c r="E1584"/>
    </row>
    <row r="1585" spans="5:5" x14ac:dyDescent="0.25">
      <c r="E1585"/>
    </row>
    <row r="1586" spans="5:5" x14ac:dyDescent="0.25">
      <c r="E1586"/>
    </row>
    <row r="1587" spans="5:5" x14ac:dyDescent="0.25">
      <c r="E1587"/>
    </row>
    <row r="1588" spans="5:5" x14ac:dyDescent="0.25">
      <c r="E1588"/>
    </row>
    <row r="1589" spans="5:5" x14ac:dyDescent="0.25">
      <c r="E1589"/>
    </row>
    <row r="1590" spans="5:5" x14ac:dyDescent="0.25">
      <c r="E1590"/>
    </row>
    <row r="1591" spans="5:5" x14ac:dyDescent="0.25">
      <c r="E1591"/>
    </row>
    <row r="1592" spans="5:5" x14ac:dyDescent="0.25">
      <c r="E1592"/>
    </row>
    <row r="1593" spans="5:5" x14ac:dyDescent="0.25">
      <c r="E1593"/>
    </row>
    <row r="1594" spans="5:5" x14ac:dyDescent="0.25">
      <c r="E1594"/>
    </row>
    <row r="1595" spans="5:5" x14ac:dyDescent="0.25">
      <c r="E1595"/>
    </row>
    <row r="1596" spans="5:5" x14ac:dyDescent="0.25">
      <c r="E1596"/>
    </row>
    <row r="1597" spans="5:5" x14ac:dyDescent="0.25">
      <c r="E1597"/>
    </row>
    <row r="1598" spans="5:5" x14ac:dyDescent="0.25">
      <c r="E1598"/>
    </row>
    <row r="1599" spans="5:5" x14ac:dyDescent="0.25">
      <c r="E1599"/>
    </row>
    <row r="1600" spans="5:5" x14ac:dyDescent="0.25">
      <c r="E1600"/>
    </row>
    <row r="1601" spans="5:5" x14ac:dyDescent="0.25">
      <c r="E1601"/>
    </row>
    <row r="1602" spans="5:5" x14ac:dyDescent="0.25">
      <c r="E1602"/>
    </row>
    <row r="1603" spans="5:5" x14ac:dyDescent="0.25">
      <c r="E1603"/>
    </row>
    <row r="1604" spans="5:5" x14ac:dyDescent="0.25">
      <c r="E1604"/>
    </row>
    <row r="1605" spans="5:5" x14ac:dyDescent="0.25">
      <c r="E1605"/>
    </row>
    <row r="1606" spans="5:5" x14ac:dyDescent="0.25">
      <c r="E1606"/>
    </row>
    <row r="1607" spans="5:5" x14ac:dyDescent="0.25">
      <c r="E1607"/>
    </row>
    <row r="1608" spans="5:5" x14ac:dyDescent="0.25">
      <c r="E1608"/>
    </row>
    <row r="1609" spans="5:5" x14ac:dyDescent="0.25">
      <c r="E1609"/>
    </row>
    <row r="1610" spans="5:5" x14ac:dyDescent="0.25">
      <c r="E1610"/>
    </row>
    <row r="1611" spans="5:5" x14ac:dyDescent="0.25">
      <c r="E1611"/>
    </row>
    <row r="1612" spans="5:5" x14ac:dyDescent="0.25">
      <c r="E1612"/>
    </row>
    <row r="1613" spans="5:5" x14ac:dyDescent="0.25">
      <c r="E1613"/>
    </row>
    <row r="1614" spans="5:5" x14ac:dyDescent="0.25">
      <c r="E1614"/>
    </row>
    <row r="1615" spans="5:5" x14ac:dyDescent="0.25">
      <c r="E1615"/>
    </row>
    <row r="1616" spans="5:5" x14ac:dyDescent="0.25">
      <c r="E1616"/>
    </row>
    <row r="1617" spans="5:5" x14ac:dyDescent="0.25">
      <c r="E1617"/>
    </row>
    <row r="1618" spans="5:5" x14ac:dyDescent="0.25">
      <c r="E1618"/>
    </row>
    <row r="1619" spans="5:5" x14ac:dyDescent="0.25">
      <c r="E1619"/>
    </row>
    <row r="1620" spans="5:5" x14ac:dyDescent="0.25">
      <c r="E1620"/>
    </row>
    <row r="1621" spans="5:5" x14ac:dyDescent="0.25">
      <c r="E1621"/>
    </row>
    <row r="1622" spans="5:5" x14ac:dyDescent="0.25">
      <c r="E1622"/>
    </row>
    <row r="1623" spans="5:5" x14ac:dyDescent="0.25">
      <c r="E1623"/>
    </row>
    <row r="1624" spans="5:5" x14ac:dyDescent="0.25">
      <c r="E1624"/>
    </row>
    <row r="1625" spans="5:5" x14ac:dyDescent="0.25">
      <c r="E1625"/>
    </row>
    <row r="1626" spans="5:5" x14ac:dyDescent="0.25">
      <c r="E1626"/>
    </row>
    <row r="1627" spans="5:5" x14ac:dyDescent="0.25">
      <c r="E1627"/>
    </row>
    <row r="1628" spans="5:5" x14ac:dyDescent="0.25">
      <c r="E1628"/>
    </row>
    <row r="1629" spans="5:5" x14ac:dyDescent="0.25">
      <c r="E1629"/>
    </row>
    <row r="1630" spans="5:5" x14ac:dyDescent="0.25">
      <c r="E1630"/>
    </row>
    <row r="1631" spans="5:5" x14ac:dyDescent="0.25">
      <c r="E1631"/>
    </row>
    <row r="1632" spans="5:5" x14ac:dyDescent="0.25">
      <c r="E1632"/>
    </row>
    <row r="1633" spans="5:5" x14ac:dyDescent="0.25">
      <c r="E1633"/>
    </row>
    <row r="1634" spans="5:5" x14ac:dyDescent="0.25">
      <c r="E1634"/>
    </row>
    <row r="1635" spans="5:5" x14ac:dyDescent="0.25">
      <c r="E1635"/>
    </row>
    <row r="1636" spans="5:5" x14ac:dyDescent="0.25">
      <c r="E1636"/>
    </row>
    <row r="1637" spans="5:5" x14ac:dyDescent="0.25">
      <c r="E1637"/>
    </row>
    <row r="1638" spans="5:5" x14ac:dyDescent="0.25">
      <c r="E1638"/>
    </row>
    <row r="1639" spans="5:5" x14ac:dyDescent="0.25">
      <c r="E1639"/>
    </row>
    <row r="1640" spans="5:5" x14ac:dyDescent="0.25">
      <c r="E1640"/>
    </row>
    <row r="1641" spans="5:5" x14ac:dyDescent="0.25">
      <c r="E1641"/>
    </row>
    <row r="1642" spans="5:5" x14ac:dyDescent="0.25">
      <c r="E1642"/>
    </row>
    <row r="1643" spans="5:5" x14ac:dyDescent="0.25">
      <c r="E1643"/>
    </row>
    <row r="1644" spans="5:5" x14ac:dyDescent="0.25">
      <c r="E1644"/>
    </row>
    <row r="1645" spans="5:5" x14ac:dyDescent="0.25">
      <c r="E1645"/>
    </row>
    <row r="1646" spans="5:5" x14ac:dyDescent="0.25">
      <c r="E1646"/>
    </row>
    <row r="1647" spans="5:5" x14ac:dyDescent="0.25">
      <c r="E1647"/>
    </row>
    <row r="1648" spans="5:5" x14ac:dyDescent="0.25">
      <c r="E1648"/>
    </row>
    <row r="1649" spans="5:5" x14ac:dyDescent="0.25">
      <c r="E1649"/>
    </row>
    <row r="1650" spans="5:5" x14ac:dyDescent="0.25">
      <c r="E1650"/>
    </row>
    <row r="1651" spans="5:5" x14ac:dyDescent="0.25">
      <c r="E1651"/>
    </row>
    <row r="1652" spans="5:5" x14ac:dyDescent="0.25">
      <c r="E1652"/>
    </row>
    <row r="1653" spans="5:5" x14ac:dyDescent="0.25">
      <c r="E1653"/>
    </row>
    <row r="1654" spans="5:5" x14ac:dyDescent="0.25">
      <c r="E1654"/>
    </row>
    <row r="1655" spans="5:5" x14ac:dyDescent="0.25">
      <c r="E1655"/>
    </row>
    <row r="1656" spans="5:5" x14ac:dyDescent="0.25">
      <c r="E1656"/>
    </row>
    <row r="1657" spans="5:5" x14ac:dyDescent="0.25">
      <c r="E1657"/>
    </row>
    <row r="1658" spans="5:5" x14ac:dyDescent="0.25">
      <c r="E1658"/>
    </row>
    <row r="1659" spans="5:5" x14ac:dyDescent="0.25">
      <c r="E1659"/>
    </row>
    <row r="1660" spans="5:5" x14ac:dyDescent="0.25">
      <c r="E1660"/>
    </row>
    <row r="1661" spans="5:5" x14ac:dyDescent="0.25">
      <c r="E1661"/>
    </row>
    <row r="1662" spans="5:5" x14ac:dyDescent="0.25">
      <c r="E1662"/>
    </row>
    <row r="1663" spans="5:5" x14ac:dyDescent="0.25">
      <c r="E1663"/>
    </row>
    <row r="1664" spans="5:5" x14ac:dyDescent="0.25">
      <c r="E1664"/>
    </row>
    <row r="1665" spans="5:5" x14ac:dyDescent="0.25">
      <c r="E1665"/>
    </row>
    <row r="1666" spans="5:5" x14ac:dyDescent="0.25">
      <c r="E1666"/>
    </row>
    <row r="1667" spans="5:5" x14ac:dyDescent="0.25">
      <c r="E1667"/>
    </row>
    <row r="1668" spans="5:5" x14ac:dyDescent="0.25">
      <c r="E1668"/>
    </row>
    <row r="1669" spans="5:5" x14ac:dyDescent="0.25">
      <c r="E1669"/>
    </row>
    <row r="1670" spans="5:5" x14ac:dyDescent="0.25">
      <c r="E1670"/>
    </row>
    <row r="1671" spans="5:5" x14ac:dyDescent="0.25">
      <c r="E1671"/>
    </row>
    <row r="1672" spans="5:5" x14ac:dyDescent="0.25">
      <c r="E1672"/>
    </row>
    <row r="1673" spans="5:5" x14ac:dyDescent="0.25">
      <c r="E1673"/>
    </row>
    <row r="1674" spans="5:5" x14ac:dyDescent="0.25">
      <c r="E1674"/>
    </row>
    <row r="1675" spans="5:5" x14ac:dyDescent="0.25">
      <c r="E1675"/>
    </row>
    <row r="1676" spans="5:5" x14ac:dyDescent="0.25">
      <c r="E1676"/>
    </row>
    <row r="1677" spans="5:5" x14ac:dyDescent="0.25">
      <c r="E1677"/>
    </row>
    <row r="1678" spans="5:5" x14ac:dyDescent="0.25">
      <c r="E1678"/>
    </row>
    <row r="1679" spans="5:5" x14ac:dyDescent="0.25">
      <c r="E1679"/>
    </row>
    <row r="1680" spans="5:5" x14ac:dyDescent="0.25">
      <c r="E1680"/>
    </row>
    <row r="1681" spans="5:5" x14ac:dyDescent="0.25">
      <c r="E1681"/>
    </row>
    <row r="1682" spans="5:5" x14ac:dyDescent="0.25">
      <c r="E1682"/>
    </row>
    <row r="1683" spans="5:5" x14ac:dyDescent="0.25">
      <c r="E1683"/>
    </row>
    <row r="1684" spans="5:5" x14ac:dyDescent="0.25">
      <c r="E1684"/>
    </row>
    <row r="1685" spans="5:5" x14ac:dyDescent="0.25">
      <c r="E1685"/>
    </row>
    <row r="1686" spans="5:5" x14ac:dyDescent="0.25">
      <c r="E1686"/>
    </row>
    <row r="1687" spans="5:5" x14ac:dyDescent="0.25">
      <c r="E1687"/>
    </row>
    <row r="1688" spans="5:5" x14ac:dyDescent="0.25">
      <c r="E1688"/>
    </row>
    <row r="1689" spans="5:5" x14ac:dyDescent="0.25">
      <c r="E1689"/>
    </row>
    <row r="1690" spans="5:5" x14ac:dyDescent="0.25">
      <c r="E1690"/>
    </row>
    <row r="1691" spans="5:5" x14ac:dyDescent="0.25">
      <c r="E1691"/>
    </row>
    <row r="1692" spans="5:5" x14ac:dyDescent="0.25">
      <c r="E1692"/>
    </row>
    <row r="1693" spans="5:5" x14ac:dyDescent="0.25">
      <c r="E1693"/>
    </row>
    <row r="1694" spans="5:5" x14ac:dyDescent="0.25">
      <c r="E1694"/>
    </row>
    <row r="1695" spans="5:5" x14ac:dyDescent="0.25">
      <c r="E1695"/>
    </row>
    <row r="1696" spans="5:5" x14ac:dyDescent="0.25">
      <c r="E1696"/>
    </row>
    <row r="1697" spans="5:5" x14ac:dyDescent="0.25">
      <c r="E1697"/>
    </row>
    <row r="1698" spans="5:5" x14ac:dyDescent="0.25">
      <c r="E1698"/>
    </row>
    <row r="1699" spans="5:5" x14ac:dyDescent="0.25">
      <c r="E1699"/>
    </row>
    <row r="1700" spans="5:5" x14ac:dyDescent="0.25">
      <c r="E1700"/>
    </row>
    <row r="1701" spans="5:5" x14ac:dyDescent="0.25">
      <c r="E1701"/>
    </row>
    <row r="1702" spans="5:5" x14ac:dyDescent="0.25">
      <c r="E1702"/>
    </row>
    <row r="1703" spans="5:5" x14ac:dyDescent="0.25">
      <c r="E1703"/>
    </row>
    <row r="1704" spans="5:5" x14ac:dyDescent="0.25">
      <c r="E1704"/>
    </row>
    <row r="1705" spans="5:5" x14ac:dyDescent="0.25">
      <c r="E1705"/>
    </row>
    <row r="1706" spans="5:5" x14ac:dyDescent="0.25">
      <c r="E1706"/>
    </row>
    <row r="1707" spans="5:5" x14ac:dyDescent="0.25">
      <c r="E1707"/>
    </row>
    <row r="1708" spans="5:5" x14ac:dyDescent="0.25">
      <c r="E1708"/>
    </row>
    <row r="1709" spans="5:5" x14ac:dyDescent="0.25">
      <c r="E1709"/>
    </row>
    <row r="1710" spans="5:5" x14ac:dyDescent="0.25">
      <c r="E1710"/>
    </row>
    <row r="1711" spans="5:5" x14ac:dyDescent="0.25">
      <c r="E1711"/>
    </row>
    <row r="1712" spans="5:5" x14ac:dyDescent="0.25">
      <c r="E1712"/>
    </row>
    <row r="1713" spans="5:5" x14ac:dyDescent="0.25">
      <c r="E1713"/>
    </row>
    <row r="1714" spans="5:5" x14ac:dyDescent="0.25">
      <c r="E1714"/>
    </row>
    <row r="1715" spans="5:5" x14ac:dyDescent="0.25">
      <c r="E1715"/>
    </row>
    <row r="1716" spans="5:5" x14ac:dyDescent="0.25">
      <c r="E1716"/>
    </row>
    <row r="1717" spans="5:5" x14ac:dyDescent="0.25">
      <c r="E1717"/>
    </row>
    <row r="1718" spans="5:5" x14ac:dyDescent="0.25">
      <c r="E1718"/>
    </row>
    <row r="1719" spans="5:5" x14ac:dyDescent="0.25">
      <c r="E1719"/>
    </row>
    <row r="1720" spans="5:5" x14ac:dyDescent="0.25">
      <c r="E1720"/>
    </row>
    <row r="1721" spans="5:5" x14ac:dyDescent="0.25">
      <c r="E1721"/>
    </row>
    <row r="1722" spans="5:5" x14ac:dyDescent="0.25">
      <c r="E1722"/>
    </row>
    <row r="1723" spans="5:5" x14ac:dyDescent="0.25">
      <c r="E1723"/>
    </row>
    <row r="1724" spans="5:5" x14ac:dyDescent="0.25">
      <c r="E1724"/>
    </row>
    <row r="1725" spans="5:5" x14ac:dyDescent="0.25">
      <c r="E1725" s="8"/>
    </row>
    <row r="1726" spans="5:5" x14ac:dyDescent="0.25">
      <c r="E1726" s="223"/>
    </row>
    <row r="1731" spans="5:5" x14ac:dyDescent="0.25">
      <c r="E1731"/>
    </row>
    <row r="1732" spans="5:5" x14ac:dyDescent="0.25">
      <c r="E1732"/>
    </row>
    <row r="1733" spans="5:5" x14ac:dyDescent="0.25">
      <c r="E1733"/>
    </row>
    <row r="1734" spans="5:5" x14ac:dyDescent="0.25">
      <c r="E1734"/>
    </row>
    <row r="1735" spans="5:5" x14ac:dyDescent="0.25">
      <c r="E1735"/>
    </row>
    <row r="1736" spans="5:5" x14ac:dyDescent="0.25">
      <c r="E1736"/>
    </row>
    <row r="1737" spans="5:5" x14ac:dyDescent="0.25">
      <c r="E1737"/>
    </row>
    <row r="1738" spans="5:5" x14ac:dyDescent="0.25">
      <c r="E1738"/>
    </row>
    <row r="1739" spans="5:5" x14ac:dyDescent="0.25">
      <c r="E1739"/>
    </row>
    <row r="1740" spans="5:5" x14ac:dyDescent="0.25">
      <c r="E1740"/>
    </row>
    <row r="1741" spans="5:5" x14ac:dyDescent="0.25">
      <c r="E1741"/>
    </row>
    <row r="1742" spans="5:5" x14ac:dyDescent="0.25">
      <c r="E1742"/>
    </row>
    <row r="1743" spans="5:5" x14ac:dyDescent="0.25">
      <c r="E1743"/>
    </row>
    <row r="1744" spans="5:5" x14ac:dyDescent="0.25">
      <c r="E1744"/>
    </row>
    <row r="1745" spans="5:5" x14ac:dyDescent="0.25">
      <c r="E1745"/>
    </row>
    <row r="1746" spans="5:5" x14ac:dyDescent="0.25">
      <c r="E1746"/>
    </row>
    <row r="1747" spans="5:5" x14ac:dyDescent="0.25">
      <c r="E1747"/>
    </row>
    <row r="1748" spans="5:5" x14ac:dyDescent="0.25">
      <c r="E1748"/>
    </row>
    <row r="1749" spans="5:5" x14ac:dyDescent="0.25">
      <c r="E1749"/>
    </row>
    <row r="1750" spans="5:5" x14ac:dyDescent="0.25">
      <c r="E1750"/>
    </row>
    <row r="1751" spans="5:5" x14ac:dyDescent="0.25">
      <c r="E1751"/>
    </row>
    <row r="1752" spans="5:5" x14ac:dyDescent="0.25">
      <c r="E1752"/>
    </row>
    <row r="1753" spans="5:5" x14ac:dyDescent="0.25">
      <c r="E1753"/>
    </row>
    <row r="1754" spans="5:5" x14ac:dyDescent="0.25">
      <c r="E1754"/>
    </row>
    <row r="1755" spans="5:5" x14ac:dyDescent="0.25">
      <c r="E1755"/>
    </row>
    <row r="1756" spans="5:5" x14ac:dyDescent="0.25">
      <c r="E1756"/>
    </row>
    <row r="1757" spans="5:5" x14ac:dyDescent="0.25">
      <c r="E1757"/>
    </row>
    <row r="1758" spans="5:5" x14ac:dyDescent="0.25">
      <c r="E1758"/>
    </row>
    <row r="1759" spans="5:5" x14ac:dyDescent="0.25">
      <c r="E1759"/>
    </row>
    <row r="1760" spans="5:5" x14ac:dyDescent="0.25">
      <c r="E1760"/>
    </row>
    <row r="1761" spans="5:5" x14ac:dyDescent="0.25">
      <c r="E1761"/>
    </row>
    <row r="1762" spans="5:5" x14ac:dyDescent="0.25">
      <c r="E1762"/>
    </row>
    <row r="1763" spans="5:5" x14ac:dyDescent="0.25">
      <c r="E1763"/>
    </row>
    <row r="1764" spans="5:5" x14ac:dyDescent="0.25">
      <c r="E1764"/>
    </row>
    <row r="1765" spans="5:5" x14ac:dyDescent="0.25">
      <c r="E1765"/>
    </row>
    <row r="1766" spans="5:5" x14ac:dyDescent="0.25">
      <c r="E1766"/>
    </row>
    <row r="1767" spans="5:5" x14ac:dyDescent="0.25">
      <c r="E1767"/>
    </row>
    <row r="1768" spans="5:5" x14ac:dyDescent="0.25">
      <c r="E1768"/>
    </row>
    <row r="1769" spans="5:5" x14ac:dyDescent="0.25">
      <c r="E1769"/>
    </row>
    <row r="1770" spans="5:5" x14ac:dyDescent="0.25">
      <c r="E1770"/>
    </row>
    <row r="1771" spans="5:5" x14ac:dyDescent="0.25">
      <c r="E1771"/>
    </row>
    <row r="1772" spans="5:5" x14ac:dyDescent="0.25">
      <c r="E1772"/>
    </row>
    <row r="1773" spans="5:5" x14ac:dyDescent="0.25">
      <c r="E1773"/>
    </row>
    <row r="1774" spans="5:5" x14ac:dyDescent="0.25">
      <c r="E1774"/>
    </row>
    <row r="1775" spans="5:5" x14ac:dyDescent="0.25">
      <c r="E1775"/>
    </row>
    <row r="1776" spans="5:5" x14ac:dyDescent="0.25">
      <c r="E1776"/>
    </row>
    <row r="1777" spans="5:5" x14ac:dyDescent="0.25">
      <c r="E1777"/>
    </row>
    <row r="1778" spans="5:5" x14ac:dyDescent="0.25">
      <c r="E1778"/>
    </row>
    <row r="1779" spans="5:5" x14ac:dyDescent="0.25">
      <c r="E1779"/>
    </row>
    <row r="1780" spans="5:5" x14ac:dyDescent="0.25">
      <c r="E1780"/>
    </row>
    <row r="1781" spans="5:5" x14ac:dyDescent="0.25">
      <c r="E1781"/>
    </row>
    <row r="1782" spans="5:5" x14ac:dyDescent="0.25">
      <c r="E1782"/>
    </row>
    <row r="1783" spans="5:5" x14ac:dyDescent="0.25">
      <c r="E1783"/>
    </row>
    <row r="1784" spans="5:5" x14ac:dyDescent="0.25">
      <c r="E1784"/>
    </row>
    <row r="1785" spans="5:5" x14ac:dyDescent="0.25">
      <c r="E1785"/>
    </row>
    <row r="1786" spans="5:5" x14ac:dyDescent="0.25">
      <c r="E1786"/>
    </row>
    <row r="1787" spans="5:5" x14ac:dyDescent="0.25">
      <c r="E1787"/>
    </row>
    <row r="1788" spans="5:5" x14ac:dyDescent="0.25">
      <c r="E1788"/>
    </row>
    <row r="1789" spans="5:5" x14ac:dyDescent="0.25">
      <c r="E1789"/>
    </row>
    <row r="1790" spans="5:5" x14ac:dyDescent="0.25">
      <c r="E1790"/>
    </row>
    <row r="1791" spans="5:5" x14ac:dyDescent="0.25">
      <c r="E1791"/>
    </row>
    <row r="1792" spans="5:5" x14ac:dyDescent="0.25">
      <c r="E1792"/>
    </row>
    <row r="1793" spans="5:5" x14ac:dyDescent="0.25">
      <c r="E1793"/>
    </row>
    <row r="1794" spans="5:5" x14ac:dyDescent="0.25">
      <c r="E1794"/>
    </row>
    <row r="1795" spans="5:5" x14ac:dyDescent="0.25">
      <c r="E1795"/>
    </row>
    <row r="1796" spans="5:5" x14ac:dyDescent="0.25">
      <c r="E1796"/>
    </row>
    <row r="1797" spans="5:5" x14ac:dyDescent="0.25">
      <c r="E1797"/>
    </row>
    <row r="1798" spans="5:5" x14ac:dyDescent="0.25">
      <c r="E1798"/>
    </row>
    <row r="1799" spans="5:5" x14ac:dyDescent="0.25">
      <c r="E1799"/>
    </row>
    <row r="1800" spans="5:5" x14ac:dyDescent="0.25">
      <c r="E1800"/>
    </row>
    <row r="1801" spans="5:5" x14ac:dyDescent="0.25">
      <c r="E1801"/>
    </row>
    <row r="1802" spans="5:5" x14ac:dyDescent="0.25">
      <c r="E1802"/>
    </row>
    <row r="1803" spans="5:5" x14ac:dyDescent="0.25">
      <c r="E1803"/>
    </row>
    <row r="1804" spans="5:5" x14ac:dyDescent="0.25">
      <c r="E1804"/>
    </row>
    <row r="1805" spans="5:5" x14ac:dyDescent="0.25">
      <c r="E1805"/>
    </row>
    <row r="1806" spans="5:5" x14ac:dyDescent="0.25">
      <c r="E1806"/>
    </row>
    <row r="1807" spans="5:5" x14ac:dyDescent="0.25">
      <c r="E1807"/>
    </row>
    <row r="1808" spans="5:5" x14ac:dyDescent="0.25">
      <c r="E1808"/>
    </row>
    <row r="1809" spans="5:5" x14ac:dyDescent="0.25">
      <c r="E1809"/>
    </row>
    <row r="1810" spans="5:5" x14ac:dyDescent="0.25">
      <c r="E1810"/>
    </row>
    <row r="1811" spans="5:5" x14ac:dyDescent="0.25">
      <c r="E1811"/>
    </row>
    <row r="1812" spans="5:5" x14ac:dyDescent="0.25">
      <c r="E1812"/>
    </row>
    <row r="1813" spans="5:5" x14ac:dyDescent="0.25">
      <c r="E1813"/>
    </row>
    <row r="1814" spans="5:5" x14ac:dyDescent="0.25">
      <c r="E1814"/>
    </row>
    <row r="1815" spans="5:5" x14ac:dyDescent="0.25">
      <c r="E1815"/>
    </row>
    <row r="1816" spans="5:5" x14ac:dyDescent="0.25">
      <c r="E1816"/>
    </row>
    <row r="1817" spans="5:5" x14ac:dyDescent="0.25">
      <c r="E1817"/>
    </row>
    <row r="1818" spans="5:5" x14ac:dyDescent="0.25">
      <c r="E1818"/>
    </row>
    <row r="1819" spans="5:5" x14ac:dyDescent="0.25">
      <c r="E1819"/>
    </row>
    <row r="1820" spans="5:5" x14ac:dyDescent="0.25">
      <c r="E1820"/>
    </row>
    <row r="1821" spans="5:5" x14ac:dyDescent="0.25">
      <c r="E1821"/>
    </row>
    <row r="1822" spans="5:5" x14ac:dyDescent="0.25">
      <c r="E1822"/>
    </row>
    <row r="1823" spans="5:5" x14ac:dyDescent="0.25">
      <c r="E1823"/>
    </row>
    <row r="1824" spans="5:5" x14ac:dyDescent="0.25">
      <c r="E1824"/>
    </row>
    <row r="1825" spans="5:5" x14ac:dyDescent="0.25">
      <c r="E1825"/>
    </row>
    <row r="1826" spans="5:5" x14ac:dyDescent="0.25">
      <c r="E1826"/>
    </row>
    <row r="1827" spans="5:5" x14ac:dyDescent="0.25">
      <c r="E1827"/>
    </row>
    <row r="1828" spans="5:5" x14ac:dyDescent="0.25">
      <c r="E1828"/>
    </row>
    <row r="1829" spans="5:5" x14ac:dyDescent="0.25">
      <c r="E1829"/>
    </row>
    <row r="1830" spans="5:5" x14ac:dyDescent="0.25">
      <c r="E1830"/>
    </row>
    <row r="1831" spans="5:5" x14ac:dyDescent="0.25">
      <c r="E1831"/>
    </row>
    <row r="1832" spans="5:5" x14ac:dyDescent="0.25">
      <c r="E1832"/>
    </row>
    <row r="1833" spans="5:5" x14ac:dyDescent="0.25">
      <c r="E1833"/>
    </row>
    <row r="1834" spans="5:5" x14ac:dyDescent="0.25">
      <c r="E1834"/>
    </row>
    <row r="1835" spans="5:5" x14ac:dyDescent="0.25">
      <c r="E1835"/>
    </row>
    <row r="1836" spans="5:5" x14ac:dyDescent="0.25">
      <c r="E1836"/>
    </row>
    <row r="1837" spans="5:5" x14ac:dyDescent="0.25">
      <c r="E1837"/>
    </row>
    <row r="1838" spans="5:5" x14ac:dyDescent="0.25">
      <c r="E1838"/>
    </row>
    <row r="1839" spans="5:5" x14ac:dyDescent="0.25">
      <c r="E1839"/>
    </row>
    <row r="1840" spans="5:5" x14ac:dyDescent="0.25">
      <c r="E1840"/>
    </row>
    <row r="1841" spans="5:5" x14ac:dyDescent="0.25">
      <c r="E1841"/>
    </row>
    <row r="1842" spans="5:5" x14ac:dyDescent="0.25">
      <c r="E1842"/>
    </row>
    <row r="1843" spans="5:5" x14ac:dyDescent="0.25">
      <c r="E1843"/>
    </row>
    <row r="1844" spans="5:5" x14ac:dyDescent="0.25">
      <c r="E1844"/>
    </row>
    <row r="1845" spans="5:5" x14ac:dyDescent="0.25">
      <c r="E1845"/>
    </row>
    <row r="1846" spans="5:5" x14ac:dyDescent="0.25">
      <c r="E1846"/>
    </row>
    <row r="1847" spans="5:5" x14ac:dyDescent="0.25">
      <c r="E1847"/>
    </row>
    <row r="1848" spans="5:5" x14ac:dyDescent="0.25">
      <c r="E1848"/>
    </row>
    <row r="1849" spans="5:5" x14ac:dyDescent="0.25">
      <c r="E1849"/>
    </row>
    <row r="1850" spans="5:5" x14ac:dyDescent="0.25">
      <c r="E1850"/>
    </row>
    <row r="1851" spans="5:5" x14ac:dyDescent="0.25">
      <c r="E1851"/>
    </row>
    <row r="1852" spans="5:5" x14ac:dyDescent="0.25">
      <c r="E1852"/>
    </row>
    <row r="1853" spans="5:5" x14ac:dyDescent="0.25">
      <c r="E1853"/>
    </row>
    <row r="1854" spans="5:5" x14ac:dyDescent="0.25">
      <c r="E1854"/>
    </row>
    <row r="1855" spans="5:5" x14ac:dyDescent="0.25">
      <c r="E1855"/>
    </row>
    <row r="1856" spans="5:5" x14ac:dyDescent="0.25">
      <c r="E1856"/>
    </row>
    <row r="1857" spans="5:5" x14ac:dyDescent="0.25">
      <c r="E1857"/>
    </row>
    <row r="1858" spans="5:5" x14ac:dyDescent="0.25">
      <c r="E1858"/>
    </row>
    <row r="1859" spans="5:5" x14ac:dyDescent="0.25">
      <c r="E1859"/>
    </row>
    <row r="1860" spans="5:5" x14ac:dyDescent="0.25">
      <c r="E1860"/>
    </row>
    <row r="1861" spans="5:5" x14ac:dyDescent="0.25">
      <c r="E1861"/>
    </row>
    <row r="1862" spans="5:5" x14ac:dyDescent="0.25">
      <c r="E1862"/>
    </row>
    <row r="1863" spans="5:5" x14ac:dyDescent="0.25">
      <c r="E1863"/>
    </row>
    <row r="1864" spans="5:5" x14ac:dyDescent="0.25">
      <c r="E1864"/>
    </row>
    <row r="1865" spans="5:5" x14ac:dyDescent="0.25">
      <c r="E1865"/>
    </row>
    <row r="1866" spans="5:5" x14ac:dyDescent="0.25">
      <c r="E1866"/>
    </row>
    <row r="1867" spans="5:5" x14ac:dyDescent="0.25">
      <c r="E1867"/>
    </row>
    <row r="1868" spans="5:5" x14ac:dyDescent="0.25">
      <c r="E1868"/>
    </row>
    <row r="1869" spans="5:5" x14ac:dyDescent="0.25">
      <c r="E1869"/>
    </row>
    <row r="1870" spans="5:5" x14ac:dyDescent="0.25">
      <c r="E1870"/>
    </row>
    <row r="1871" spans="5:5" x14ac:dyDescent="0.25">
      <c r="E1871"/>
    </row>
    <row r="1872" spans="5:5" x14ac:dyDescent="0.25">
      <c r="E1872"/>
    </row>
    <row r="1873" spans="5:5" x14ac:dyDescent="0.25">
      <c r="E1873"/>
    </row>
    <row r="1874" spans="5:5" x14ac:dyDescent="0.25">
      <c r="E1874"/>
    </row>
    <row r="1875" spans="5:5" x14ac:dyDescent="0.25">
      <c r="E1875"/>
    </row>
    <row r="1876" spans="5:5" x14ac:dyDescent="0.25">
      <c r="E1876"/>
    </row>
    <row r="1877" spans="5:5" x14ac:dyDescent="0.25">
      <c r="E1877"/>
    </row>
    <row r="1878" spans="5:5" x14ac:dyDescent="0.25">
      <c r="E1878"/>
    </row>
    <row r="1879" spans="5:5" x14ac:dyDescent="0.25">
      <c r="E1879"/>
    </row>
    <row r="1880" spans="5:5" x14ac:dyDescent="0.25">
      <c r="E1880"/>
    </row>
    <row r="1881" spans="5:5" x14ac:dyDescent="0.25">
      <c r="E1881"/>
    </row>
    <row r="1882" spans="5:5" x14ac:dyDescent="0.25">
      <c r="E1882"/>
    </row>
    <row r="1883" spans="5:5" x14ac:dyDescent="0.25">
      <c r="E1883"/>
    </row>
    <row r="1884" spans="5:5" x14ac:dyDescent="0.25">
      <c r="E1884"/>
    </row>
    <row r="1885" spans="5:5" x14ac:dyDescent="0.25">
      <c r="E1885"/>
    </row>
    <row r="1886" spans="5:5" x14ac:dyDescent="0.25">
      <c r="E1886"/>
    </row>
    <row r="1887" spans="5:5" x14ac:dyDescent="0.25">
      <c r="E1887"/>
    </row>
    <row r="1888" spans="5:5" x14ac:dyDescent="0.25">
      <c r="E1888"/>
    </row>
    <row r="1889" spans="5:5" x14ac:dyDescent="0.25">
      <c r="E1889"/>
    </row>
    <row r="1890" spans="5:5" x14ac:dyDescent="0.25">
      <c r="E1890"/>
    </row>
    <row r="1891" spans="5:5" x14ac:dyDescent="0.25">
      <c r="E1891"/>
    </row>
    <row r="1892" spans="5:5" x14ac:dyDescent="0.25">
      <c r="E1892"/>
    </row>
    <row r="1893" spans="5:5" x14ac:dyDescent="0.25">
      <c r="E1893"/>
    </row>
    <row r="1894" spans="5:5" x14ac:dyDescent="0.25">
      <c r="E1894"/>
    </row>
    <row r="1895" spans="5:5" x14ac:dyDescent="0.25">
      <c r="E1895"/>
    </row>
    <row r="1896" spans="5:5" x14ac:dyDescent="0.25">
      <c r="E1896"/>
    </row>
    <row r="1897" spans="5:5" x14ac:dyDescent="0.25">
      <c r="E1897"/>
    </row>
    <row r="1898" spans="5:5" x14ac:dyDescent="0.25">
      <c r="E1898"/>
    </row>
    <row r="1899" spans="5:5" x14ac:dyDescent="0.25">
      <c r="E1899"/>
    </row>
    <row r="1900" spans="5:5" x14ac:dyDescent="0.25">
      <c r="E1900"/>
    </row>
    <row r="1901" spans="5:5" x14ac:dyDescent="0.25">
      <c r="E1901"/>
    </row>
    <row r="1902" spans="5:5" x14ac:dyDescent="0.25">
      <c r="E1902"/>
    </row>
    <row r="1903" spans="5:5" x14ac:dyDescent="0.25">
      <c r="E1903"/>
    </row>
    <row r="1904" spans="5:5" x14ac:dyDescent="0.25">
      <c r="E1904"/>
    </row>
    <row r="1905" spans="5:5" x14ac:dyDescent="0.25">
      <c r="E1905"/>
    </row>
    <row r="1906" spans="5:5" x14ac:dyDescent="0.25">
      <c r="E1906"/>
    </row>
    <row r="1907" spans="5:5" x14ac:dyDescent="0.25">
      <c r="E1907"/>
    </row>
    <row r="1908" spans="5:5" x14ac:dyDescent="0.25">
      <c r="E1908"/>
    </row>
    <row r="1909" spans="5:5" x14ac:dyDescent="0.25">
      <c r="E1909"/>
    </row>
    <row r="1910" spans="5:5" x14ac:dyDescent="0.25">
      <c r="E1910"/>
    </row>
    <row r="1911" spans="5:5" x14ac:dyDescent="0.25">
      <c r="E1911"/>
    </row>
    <row r="1912" spans="5:5" x14ac:dyDescent="0.25">
      <c r="E1912"/>
    </row>
    <row r="1913" spans="5:5" x14ac:dyDescent="0.25">
      <c r="E1913"/>
    </row>
    <row r="1914" spans="5:5" x14ac:dyDescent="0.25">
      <c r="E1914"/>
    </row>
    <row r="1915" spans="5:5" x14ac:dyDescent="0.25">
      <c r="E1915"/>
    </row>
    <row r="1916" spans="5:5" x14ac:dyDescent="0.25">
      <c r="E1916"/>
    </row>
    <row r="1917" spans="5:5" x14ac:dyDescent="0.25">
      <c r="E1917"/>
    </row>
    <row r="1918" spans="5:5" x14ac:dyDescent="0.25">
      <c r="E1918"/>
    </row>
    <row r="1919" spans="5:5" x14ac:dyDescent="0.25">
      <c r="E1919"/>
    </row>
    <row r="1920" spans="5:5" x14ac:dyDescent="0.25">
      <c r="E1920"/>
    </row>
    <row r="1921" spans="5:5" x14ac:dyDescent="0.25">
      <c r="E1921"/>
    </row>
    <row r="1922" spans="5:5" x14ac:dyDescent="0.25">
      <c r="E1922"/>
    </row>
    <row r="1923" spans="5:5" x14ac:dyDescent="0.25">
      <c r="E1923"/>
    </row>
    <row r="1924" spans="5:5" x14ac:dyDescent="0.25">
      <c r="E1924"/>
    </row>
    <row r="1925" spans="5:5" x14ac:dyDescent="0.25">
      <c r="E1925"/>
    </row>
    <row r="1926" spans="5:5" x14ac:dyDescent="0.25">
      <c r="E1926"/>
    </row>
    <row r="1927" spans="5:5" x14ac:dyDescent="0.25">
      <c r="E1927"/>
    </row>
    <row r="1928" spans="5:5" x14ac:dyDescent="0.25">
      <c r="E1928"/>
    </row>
    <row r="1929" spans="5:5" x14ac:dyDescent="0.25">
      <c r="E1929"/>
    </row>
    <row r="1930" spans="5:5" x14ac:dyDescent="0.25">
      <c r="E1930"/>
    </row>
    <row r="1931" spans="5:5" x14ac:dyDescent="0.25">
      <c r="E1931"/>
    </row>
    <row r="1932" spans="5:5" x14ac:dyDescent="0.25">
      <c r="E1932"/>
    </row>
    <row r="1933" spans="5:5" x14ac:dyDescent="0.25">
      <c r="E1933"/>
    </row>
    <row r="1934" spans="5:5" x14ac:dyDescent="0.25">
      <c r="E1934"/>
    </row>
    <row r="1935" spans="5:5" x14ac:dyDescent="0.25">
      <c r="E1935"/>
    </row>
    <row r="1936" spans="5:5" x14ac:dyDescent="0.25">
      <c r="E1936"/>
    </row>
    <row r="1937" spans="5:5" x14ac:dyDescent="0.25">
      <c r="E1937"/>
    </row>
    <row r="1938" spans="5:5" x14ac:dyDescent="0.25">
      <c r="E1938"/>
    </row>
    <row r="1939" spans="5:5" x14ac:dyDescent="0.25">
      <c r="E1939"/>
    </row>
    <row r="1940" spans="5:5" x14ac:dyDescent="0.25">
      <c r="E1940"/>
    </row>
    <row r="1941" spans="5:5" x14ac:dyDescent="0.25">
      <c r="E1941"/>
    </row>
    <row r="1942" spans="5:5" x14ac:dyDescent="0.25">
      <c r="E1942"/>
    </row>
    <row r="1943" spans="5:5" x14ac:dyDescent="0.25">
      <c r="E1943"/>
    </row>
    <row r="1944" spans="5:5" x14ac:dyDescent="0.25">
      <c r="E1944"/>
    </row>
    <row r="1945" spans="5:5" x14ac:dyDescent="0.25">
      <c r="E1945"/>
    </row>
    <row r="1946" spans="5:5" x14ac:dyDescent="0.25">
      <c r="E1946"/>
    </row>
    <row r="1947" spans="5:5" x14ac:dyDescent="0.25">
      <c r="E1947"/>
    </row>
    <row r="1948" spans="5:5" x14ac:dyDescent="0.25">
      <c r="E1948"/>
    </row>
    <row r="1949" spans="5:5" x14ac:dyDescent="0.25">
      <c r="E1949"/>
    </row>
    <row r="1950" spans="5:5" x14ac:dyDescent="0.25">
      <c r="E1950"/>
    </row>
    <row r="1951" spans="5:5" x14ac:dyDescent="0.25">
      <c r="E1951"/>
    </row>
    <row r="1952" spans="5:5" x14ac:dyDescent="0.25">
      <c r="E1952"/>
    </row>
    <row r="1953" spans="5:5" x14ac:dyDescent="0.25">
      <c r="E1953"/>
    </row>
    <row r="1954" spans="5:5" x14ac:dyDescent="0.25">
      <c r="E1954"/>
    </row>
    <row r="1955" spans="5:5" x14ac:dyDescent="0.25">
      <c r="E1955"/>
    </row>
    <row r="1956" spans="5:5" x14ac:dyDescent="0.25">
      <c r="E1956"/>
    </row>
    <row r="1957" spans="5:5" x14ac:dyDescent="0.25">
      <c r="E1957"/>
    </row>
    <row r="1958" spans="5:5" x14ac:dyDescent="0.25">
      <c r="E1958"/>
    </row>
    <row r="1959" spans="5:5" x14ac:dyDescent="0.25">
      <c r="E1959"/>
    </row>
    <row r="1960" spans="5:5" x14ac:dyDescent="0.25">
      <c r="E1960"/>
    </row>
    <row r="1961" spans="5:5" x14ac:dyDescent="0.25">
      <c r="E1961"/>
    </row>
    <row r="1962" spans="5:5" x14ac:dyDescent="0.25">
      <c r="E1962"/>
    </row>
    <row r="1963" spans="5:5" x14ac:dyDescent="0.25">
      <c r="E1963"/>
    </row>
    <row r="1964" spans="5:5" x14ac:dyDescent="0.25">
      <c r="E1964"/>
    </row>
    <row r="1965" spans="5:5" x14ac:dyDescent="0.25">
      <c r="E1965"/>
    </row>
    <row r="1966" spans="5:5" x14ac:dyDescent="0.25">
      <c r="E1966"/>
    </row>
    <row r="1967" spans="5:5" x14ac:dyDescent="0.25">
      <c r="E1967"/>
    </row>
    <row r="1968" spans="5:5" x14ac:dyDescent="0.25">
      <c r="E1968"/>
    </row>
    <row r="1969" spans="5:5" x14ac:dyDescent="0.25">
      <c r="E1969"/>
    </row>
    <row r="1970" spans="5:5" x14ac:dyDescent="0.25">
      <c r="E1970"/>
    </row>
    <row r="1971" spans="5:5" x14ac:dyDescent="0.25">
      <c r="E1971"/>
    </row>
    <row r="1972" spans="5:5" x14ac:dyDescent="0.25">
      <c r="E1972"/>
    </row>
    <row r="1973" spans="5:5" x14ac:dyDescent="0.25">
      <c r="E1973"/>
    </row>
    <row r="1974" spans="5:5" x14ac:dyDescent="0.25">
      <c r="E1974"/>
    </row>
    <row r="1975" spans="5:5" x14ac:dyDescent="0.25">
      <c r="E1975"/>
    </row>
    <row r="1976" spans="5:5" x14ac:dyDescent="0.25">
      <c r="E1976"/>
    </row>
    <row r="1977" spans="5:5" x14ac:dyDescent="0.25">
      <c r="E1977"/>
    </row>
    <row r="1978" spans="5:5" x14ac:dyDescent="0.25">
      <c r="E1978"/>
    </row>
    <row r="1979" spans="5:5" x14ac:dyDescent="0.25">
      <c r="E1979"/>
    </row>
    <row r="1980" spans="5:5" x14ac:dyDescent="0.25">
      <c r="E1980"/>
    </row>
    <row r="1981" spans="5:5" x14ac:dyDescent="0.25">
      <c r="E1981"/>
    </row>
    <row r="1982" spans="5:5" x14ac:dyDescent="0.25">
      <c r="E1982"/>
    </row>
    <row r="1983" spans="5:5" x14ac:dyDescent="0.25">
      <c r="E1983"/>
    </row>
    <row r="1984" spans="5:5" x14ac:dyDescent="0.25">
      <c r="E1984"/>
    </row>
    <row r="1985" spans="5:5" x14ac:dyDescent="0.25">
      <c r="E1985"/>
    </row>
    <row r="1986" spans="5:5" x14ac:dyDescent="0.25">
      <c r="E1986"/>
    </row>
    <row r="1987" spans="5:5" x14ac:dyDescent="0.25">
      <c r="E1987"/>
    </row>
    <row r="1988" spans="5:5" x14ac:dyDescent="0.25">
      <c r="E1988"/>
    </row>
    <row r="1989" spans="5:5" x14ac:dyDescent="0.25">
      <c r="E1989"/>
    </row>
    <row r="1990" spans="5:5" x14ac:dyDescent="0.25">
      <c r="E1990"/>
    </row>
    <row r="1991" spans="5:5" x14ac:dyDescent="0.25">
      <c r="E1991"/>
    </row>
    <row r="1992" spans="5:5" x14ac:dyDescent="0.25">
      <c r="E1992"/>
    </row>
    <row r="1993" spans="5:5" x14ac:dyDescent="0.25">
      <c r="E1993"/>
    </row>
    <row r="1994" spans="5:5" x14ac:dyDescent="0.25">
      <c r="E1994"/>
    </row>
    <row r="1995" spans="5:5" x14ac:dyDescent="0.25">
      <c r="E1995"/>
    </row>
    <row r="1996" spans="5:5" x14ac:dyDescent="0.25">
      <c r="E1996"/>
    </row>
  </sheetData>
  <mergeCells count="82">
    <mergeCell ref="R381:W381"/>
    <mergeCell ref="K385:M385"/>
    <mergeCell ref="S385:U385"/>
    <mergeCell ref="S493:U493"/>
    <mergeCell ref="R435:W435"/>
    <mergeCell ref="K439:M439"/>
    <mergeCell ref="S439:U439"/>
    <mergeCell ref="J489:O489"/>
    <mergeCell ref="R489:W489"/>
    <mergeCell ref="B1245:G1245"/>
    <mergeCell ref="C1249:E1249"/>
    <mergeCell ref="J3:O3"/>
    <mergeCell ref="K7:M7"/>
    <mergeCell ref="J57:O57"/>
    <mergeCell ref="K61:M61"/>
    <mergeCell ref="J111:O111"/>
    <mergeCell ref="K115:M115"/>
    <mergeCell ref="J165:O165"/>
    <mergeCell ref="K169:M169"/>
    <mergeCell ref="J219:O219"/>
    <mergeCell ref="K223:M223"/>
    <mergeCell ref="J273:O273"/>
    <mergeCell ref="K277:M277"/>
    <mergeCell ref="J327:O327"/>
    <mergeCell ref="K331:M331"/>
    <mergeCell ref="C1087:E1087"/>
    <mergeCell ref="B1137:G1137"/>
    <mergeCell ref="C1141:E1141"/>
    <mergeCell ref="B1191:G1191"/>
    <mergeCell ref="C1195:E1195"/>
    <mergeCell ref="B975:G975"/>
    <mergeCell ref="C979:E979"/>
    <mergeCell ref="B1029:G1029"/>
    <mergeCell ref="C1033:E1033"/>
    <mergeCell ref="B1083:G1083"/>
    <mergeCell ref="C817:E817"/>
    <mergeCell ref="B867:G867"/>
    <mergeCell ref="C871:E871"/>
    <mergeCell ref="B921:G921"/>
    <mergeCell ref="C925:E925"/>
    <mergeCell ref="B705:G705"/>
    <mergeCell ref="C709:E709"/>
    <mergeCell ref="B759:G759"/>
    <mergeCell ref="C763:E763"/>
    <mergeCell ref="B813:G813"/>
    <mergeCell ref="B597:G597"/>
    <mergeCell ref="C601:E601"/>
    <mergeCell ref="B651:G651"/>
    <mergeCell ref="C547:E547"/>
    <mergeCell ref="C655:E655"/>
    <mergeCell ref="B3:G3"/>
    <mergeCell ref="C7:E7"/>
    <mergeCell ref="B57:G57"/>
    <mergeCell ref="C61:E61"/>
    <mergeCell ref="B111:G111"/>
    <mergeCell ref="C115:E115"/>
    <mergeCell ref="B165:G165"/>
    <mergeCell ref="C169:E169"/>
    <mergeCell ref="B219:G219"/>
    <mergeCell ref="C223:E223"/>
    <mergeCell ref="B273:G273"/>
    <mergeCell ref="C277:E277"/>
    <mergeCell ref="B543:G543"/>
    <mergeCell ref="J543:O543"/>
    <mergeCell ref="R543:W543"/>
    <mergeCell ref="B327:G327"/>
    <mergeCell ref="C331:E331"/>
    <mergeCell ref="B381:G381"/>
    <mergeCell ref="B435:G435"/>
    <mergeCell ref="C439:E439"/>
    <mergeCell ref="C385:E385"/>
    <mergeCell ref="B489:G489"/>
    <mergeCell ref="C493:E493"/>
    <mergeCell ref="J435:O435"/>
    <mergeCell ref="J381:O381"/>
    <mergeCell ref="K493:M493"/>
    <mergeCell ref="K547:M547"/>
    <mergeCell ref="S547:U547"/>
    <mergeCell ref="J921:O921"/>
    <mergeCell ref="R921:W921"/>
    <mergeCell ref="K925:M925"/>
    <mergeCell ref="S925:U925"/>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AF1627"/>
  <sheetViews>
    <sheetView workbookViewId="0"/>
  </sheetViews>
  <sheetFormatPr baseColWidth="10" defaultRowHeight="15" x14ac:dyDescent="0.25"/>
  <cols>
    <col min="1" max="1" width="6.28515625" bestFit="1" customWidth="1"/>
    <col min="2" max="2" width="36" customWidth="1"/>
    <col min="3" max="3" width="12.5703125" customWidth="1"/>
    <col min="4" max="4" width="16.28515625" customWidth="1"/>
    <col min="5" max="5" width="19" customWidth="1"/>
    <col min="6" max="6" width="13.28515625" bestFit="1" customWidth="1"/>
    <col min="7" max="7" width="12.42578125" customWidth="1"/>
    <col min="8" max="8" width="13.85546875" customWidth="1"/>
    <col min="10" max="10" width="37.5703125" customWidth="1"/>
    <col min="11" max="11" width="10.85546875" customWidth="1"/>
    <col min="13" max="13" width="16.140625" customWidth="1"/>
    <col min="14" max="14" width="14" customWidth="1"/>
    <col min="15" max="15" width="13.7109375" customWidth="1"/>
    <col min="16" max="16" width="14" customWidth="1"/>
    <col min="18" max="18" width="24.7109375" customWidth="1"/>
    <col min="21" max="21" width="14.85546875" customWidth="1"/>
    <col min="22" max="22" width="12.42578125" customWidth="1"/>
    <col min="24" max="24" width="12.5703125" customWidth="1"/>
    <col min="26" max="26" width="23.7109375" customWidth="1"/>
    <col min="29" max="29" width="13.85546875" customWidth="1"/>
    <col min="30" max="30" width="13.7109375" customWidth="1"/>
  </cols>
  <sheetData>
    <row r="1" spans="1:12" s="8" customFormat="1" ht="12.75" x14ac:dyDescent="0.25">
      <c r="A1" s="133"/>
      <c r="G1" s="133"/>
      <c r="H1" s="134"/>
    </row>
    <row r="2" spans="1:12" s="8" customFormat="1" ht="12.75" x14ac:dyDescent="0.25">
      <c r="C2" s="135"/>
      <c r="G2" s="133"/>
      <c r="H2" s="134"/>
    </row>
    <row r="3" spans="1:12" s="8" customFormat="1" ht="12.75" x14ac:dyDescent="0.25">
      <c r="C3" s="135"/>
    </row>
    <row r="4" spans="1:12" s="8" customFormat="1" ht="18.75" x14ac:dyDescent="0.25">
      <c r="C4" s="136"/>
      <c r="E4" s="137"/>
      <c r="F4" s="137"/>
      <c r="G4" s="137"/>
      <c r="H4" s="137"/>
      <c r="L4" s="218"/>
    </row>
    <row r="5" spans="1:12" s="8" customFormat="1" ht="18.75" x14ac:dyDescent="0.25">
      <c r="C5" s="136"/>
      <c r="E5" s="137"/>
      <c r="F5" s="137"/>
      <c r="G5" s="137"/>
      <c r="H5" s="137"/>
      <c r="L5" s="219"/>
    </row>
    <row r="6" spans="1:12" s="8" customFormat="1" ht="12.75" x14ac:dyDescent="0.25">
      <c r="A6" s="133"/>
      <c r="G6" s="133"/>
      <c r="H6" s="134"/>
    </row>
    <row r="7" spans="1:12" ht="18.75" x14ac:dyDescent="0.25">
      <c r="A7" s="133"/>
      <c r="B7" s="2506" t="s">
        <v>5400</v>
      </c>
      <c r="C7" s="2506"/>
      <c r="D7" s="2506"/>
      <c r="E7" s="2506"/>
      <c r="F7" s="2506"/>
      <c r="G7" s="2506"/>
      <c r="H7" s="8"/>
    </row>
    <row r="8" spans="1:12" x14ac:dyDescent="0.25">
      <c r="A8" s="133"/>
      <c r="B8" s="8"/>
      <c r="C8" s="8"/>
      <c r="D8" s="8"/>
      <c r="E8" s="8"/>
      <c r="F8" s="133"/>
      <c r="G8" s="200"/>
      <c r="H8" s="200"/>
    </row>
    <row r="9" spans="1:12" x14ac:dyDescent="0.25">
      <c r="A9" s="133"/>
      <c r="B9" s="8"/>
      <c r="C9" s="8"/>
      <c r="D9" s="8"/>
      <c r="E9" s="8"/>
      <c r="F9" s="133"/>
      <c r="G9" s="200"/>
      <c r="H9" s="200"/>
    </row>
    <row r="10" spans="1:12" x14ac:dyDescent="0.25">
      <c r="A10" s="133"/>
      <c r="B10" s="8"/>
      <c r="C10" s="8"/>
      <c r="D10" s="8"/>
      <c r="E10" s="8"/>
      <c r="F10" s="133"/>
      <c r="G10" s="200"/>
      <c r="H10" s="200"/>
    </row>
    <row r="11" spans="1:12" ht="15" customHeight="1" x14ac:dyDescent="0.25">
      <c r="A11" s="220" t="s">
        <v>5482</v>
      </c>
      <c r="B11" s="138" t="s">
        <v>816</v>
      </c>
      <c r="C11" s="2449" t="s">
        <v>5594</v>
      </c>
      <c r="D11" s="2449"/>
      <c r="E11" s="2449"/>
      <c r="F11" s="220" t="s">
        <v>867</v>
      </c>
      <c r="G11" s="222" t="s">
        <v>5454</v>
      </c>
      <c r="H11" s="200"/>
    </row>
    <row r="12" spans="1:12" x14ac:dyDescent="0.25">
      <c r="A12" s="133"/>
      <c r="B12" s="8"/>
      <c r="C12" s="223"/>
      <c r="D12" s="223"/>
      <c r="E12" s="223"/>
      <c r="F12" s="133"/>
      <c r="G12" s="200"/>
      <c r="H12" s="200"/>
    </row>
    <row r="13" spans="1:12" x14ac:dyDescent="0.25">
      <c r="A13" s="133"/>
      <c r="B13" s="8"/>
      <c r="C13" s="8"/>
      <c r="D13" s="8"/>
      <c r="E13" s="8"/>
      <c r="F13" s="8"/>
      <c r="G13" s="8"/>
      <c r="H13" s="200"/>
    </row>
    <row r="14" spans="1:12" ht="15.75" thickBot="1" x14ac:dyDescent="0.3">
      <c r="A14" s="133"/>
      <c r="B14" s="8"/>
      <c r="C14" s="8"/>
      <c r="D14" s="8"/>
      <c r="E14" s="8"/>
      <c r="F14" s="133"/>
      <c r="G14" s="200"/>
      <c r="H14" s="200"/>
    </row>
    <row r="15" spans="1:12" ht="15.75" thickBot="1" x14ac:dyDescent="0.3">
      <c r="A15" s="133"/>
      <c r="B15" s="224" t="s">
        <v>5403</v>
      </c>
      <c r="C15" s="193" t="s">
        <v>867</v>
      </c>
      <c r="D15" s="193" t="s">
        <v>6</v>
      </c>
      <c r="E15" s="193" t="s">
        <v>5439</v>
      </c>
      <c r="F15" s="193" t="s">
        <v>5405</v>
      </c>
      <c r="G15" s="225" t="s">
        <v>868</v>
      </c>
      <c r="H15" s="200"/>
    </row>
    <row r="16" spans="1:12" x14ac:dyDescent="0.25">
      <c r="A16" s="133"/>
      <c r="B16" s="195" t="s">
        <v>5440</v>
      </c>
      <c r="C16" s="226" t="s">
        <v>5402</v>
      </c>
      <c r="D16" s="226">
        <v>1</v>
      </c>
      <c r="E16" s="227">
        <f>+H54</f>
        <v>137516.66666666666</v>
      </c>
      <c r="F16" s="226">
        <v>0.05</v>
      </c>
      <c r="G16" s="292">
        <f>+E16*F16</f>
        <v>6875.833333333333</v>
      </c>
      <c r="H16" s="200"/>
    </row>
    <row r="17" spans="1:8" x14ac:dyDescent="0.25">
      <c r="A17" s="133"/>
      <c r="B17" s="195"/>
      <c r="C17" s="226"/>
      <c r="D17" s="226"/>
      <c r="E17" s="230"/>
      <c r="F17" s="226"/>
      <c r="G17" s="229"/>
      <c r="H17" s="200"/>
    </row>
    <row r="18" spans="1:8" x14ac:dyDescent="0.25">
      <c r="A18" s="133"/>
      <c r="B18" s="195"/>
      <c r="C18" s="226"/>
      <c r="D18" s="226"/>
      <c r="E18" s="176"/>
      <c r="F18" s="226"/>
      <c r="G18" s="229"/>
      <c r="H18" s="200"/>
    </row>
    <row r="19" spans="1:8" x14ac:dyDescent="0.25">
      <c r="A19" s="133"/>
      <c r="B19" s="195"/>
      <c r="C19" s="226"/>
      <c r="D19" s="226"/>
      <c r="E19" s="171"/>
      <c r="F19" s="226"/>
      <c r="G19" s="293"/>
      <c r="H19" s="200"/>
    </row>
    <row r="20" spans="1:8" x14ac:dyDescent="0.25">
      <c r="A20" s="133"/>
      <c r="B20" s="195"/>
      <c r="C20" s="226"/>
      <c r="D20" s="232"/>
      <c r="E20" s="232"/>
      <c r="F20" s="226"/>
      <c r="G20" s="229"/>
      <c r="H20" s="200"/>
    </row>
    <row r="21" spans="1:8" ht="15.75" thickBot="1" x14ac:dyDescent="0.3">
      <c r="A21" s="133"/>
      <c r="B21" s="195"/>
      <c r="C21" s="226"/>
      <c r="D21" s="232"/>
      <c r="E21" s="232"/>
      <c r="F21" s="226"/>
      <c r="G21" s="229"/>
      <c r="H21" s="200"/>
    </row>
    <row r="22" spans="1:8" ht="15.75" thickBot="1" x14ac:dyDescent="0.3">
      <c r="A22" s="133"/>
      <c r="B22" s="233"/>
      <c r="C22" s="234"/>
      <c r="D22" s="234"/>
      <c r="E22" s="234"/>
      <c r="F22" s="235"/>
      <c r="G22" s="236"/>
      <c r="H22" s="237">
        <f>+SUM(G16:G22)</f>
        <v>6875.833333333333</v>
      </c>
    </row>
    <row r="23" spans="1:8" ht="15.75" thickBot="1" x14ac:dyDescent="0.3">
      <c r="A23" s="133"/>
      <c r="B23" s="238"/>
      <c r="C23" s="238"/>
      <c r="D23" s="238"/>
      <c r="E23" s="238"/>
      <c r="F23" s="239"/>
      <c r="G23" s="240"/>
      <c r="H23" s="241"/>
    </row>
    <row r="24" spans="1:8" ht="15.75" thickBot="1" x14ac:dyDescent="0.3">
      <c r="A24" s="133"/>
      <c r="B24" s="224" t="s">
        <v>5408</v>
      </c>
      <c r="C24" s="193" t="s">
        <v>867</v>
      </c>
      <c r="D24" s="193" t="s">
        <v>6</v>
      </c>
      <c r="E24" s="193" t="s">
        <v>870</v>
      </c>
      <c r="F24" s="193" t="s">
        <v>5409</v>
      </c>
      <c r="G24" s="225" t="s">
        <v>868</v>
      </c>
      <c r="H24" s="200"/>
    </row>
    <row r="25" spans="1:8" x14ac:dyDescent="0.25">
      <c r="A25" s="133"/>
      <c r="B25" s="258" t="s">
        <v>819</v>
      </c>
      <c r="C25" s="202" t="s">
        <v>5542</v>
      </c>
      <c r="D25" s="226">
        <v>1</v>
      </c>
      <c r="E25" s="244">
        <f>525000*1.16</f>
        <v>609000</v>
      </c>
      <c r="F25" s="169">
        <v>0</v>
      </c>
      <c r="G25" s="294">
        <f>+D25*E25*(1+F25)</f>
        <v>609000</v>
      </c>
      <c r="H25" s="200"/>
    </row>
    <row r="26" spans="1:8" x14ac:dyDescent="0.25">
      <c r="A26" s="133"/>
      <c r="B26" s="260"/>
      <c r="C26" s="202"/>
      <c r="D26" s="202"/>
      <c r="E26" s="257"/>
      <c r="F26" s="169"/>
      <c r="G26" s="294"/>
      <c r="H26" s="200"/>
    </row>
    <row r="27" spans="1:8" x14ac:dyDescent="0.25">
      <c r="A27" s="133"/>
      <c r="B27" s="260"/>
      <c r="C27" s="226"/>
      <c r="D27" s="226"/>
      <c r="E27" s="244"/>
      <c r="F27" s="169"/>
      <c r="G27" s="294"/>
      <c r="H27" s="200"/>
    </row>
    <row r="28" spans="1:8" x14ac:dyDescent="0.25">
      <c r="A28" s="133"/>
      <c r="B28" s="260"/>
      <c r="C28" s="226"/>
      <c r="D28" s="226"/>
      <c r="E28" s="244"/>
      <c r="F28" s="169"/>
      <c r="G28" s="294"/>
      <c r="H28" s="200"/>
    </row>
    <row r="29" spans="1:8" x14ac:dyDescent="0.25">
      <c r="A29" s="133"/>
      <c r="B29" s="195"/>
      <c r="C29" s="226"/>
      <c r="D29" s="226"/>
      <c r="E29" s="171"/>
      <c r="F29" s="169"/>
      <c r="G29" s="178"/>
      <c r="H29" s="200"/>
    </row>
    <row r="30" spans="1:8" x14ac:dyDescent="0.25">
      <c r="A30" s="133"/>
      <c r="B30" s="194"/>
      <c r="C30" s="202"/>
      <c r="D30" s="202"/>
      <c r="E30" s="171"/>
      <c r="F30" s="169"/>
      <c r="G30" s="178"/>
      <c r="H30" s="200"/>
    </row>
    <row r="31" spans="1:8" x14ac:dyDescent="0.25">
      <c r="A31" s="133"/>
      <c r="B31" s="195"/>
      <c r="C31" s="226"/>
      <c r="D31" s="226"/>
      <c r="E31" s="171"/>
      <c r="F31" s="169"/>
      <c r="G31" s="178"/>
      <c r="H31" s="200"/>
    </row>
    <row r="32" spans="1:8" x14ac:dyDescent="0.25">
      <c r="A32" s="133"/>
      <c r="B32" s="195"/>
      <c r="C32" s="226"/>
      <c r="D32" s="226"/>
      <c r="E32" s="171"/>
      <c r="F32" s="169"/>
      <c r="G32" s="178"/>
      <c r="H32" s="200"/>
    </row>
    <row r="33" spans="1:8" x14ac:dyDescent="0.25">
      <c r="A33" s="133"/>
      <c r="B33" s="195"/>
      <c r="C33" s="232"/>
      <c r="D33" s="232"/>
      <c r="E33" s="232"/>
      <c r="F33" s="226"/>
      <c r="G33" s="229"/>
      <c r="H33" s="200"/>
    </row>
    <row r="34" spans="1:8" x14ac:dyDescent="0.25">
      <c r="A34" s="133"/>
      <c r="B34" s="195"/>
      <c r="C34" s="232"/>
      <c r="D34" s="232"/>
      <c r="E34" s="232"/>
      <c r="F34" s="226"/>
      <c r="G34" s="229"/>
      <c r="H34" s="200"/>
    </row>
    <row r="35" spans="1:8" x14ac:dyDescent="0.25">
      <c r="A35" s="133"/>
      <c r="B35" s="195"/>
      <c r="C35" s="232"/>
      <c r="D35" s="232"/>
      <c r="E35" s="232"/>
      <c r="F35" s="226"/>
      <c r="G35" s="229"/>
      <c r="H35" s="200"/>
    </row>
    <row r="36" spans="1:8" ht="15.75" thickBot="1" x14ac:dyDescent="0.3">
      <c r="A36" s="133"/>
      <c r="B36" s="195"/>
      <c r="C36" s="232"/>
      <c r="D36" s="232"/>
      <c r="E36" s="232"/>
      <c r="F36" s="226"/>
      <c r="G36" s="229"/>
      <c r="H36" s="200"/>
    </row>
    <row r="37" spans="1:8" ht="15.75" thickBot="1" x14ac:dyDescent="0.3">
      <c r="A37" s="133"/>
      <c r="B37" s="233"/>
      <c r="C37" s="234"/>
      <c r="D37" s="234"/>
      <c r="E37" s="234"/>
      <c r="F37" s="235"/>
      <c r="G37" s="236"/>
      <c r="H37" s="256">
        <f>+SUM(G25:G37)</f>
        <v>609000</v>
      </c>
    </row>
    <row r="38" spans="1:8" ht="15.75" thickBot="1" x14ac:dyDescent="0.3">
      <c r="A38" s="133"/>
      <c r="B38" s="238"/>
      <c r="C38" s="238"/>
      <c r="D38" s="238"/>
      <c r="E38" s="238"/>
      <c r="F38" s="239"/>
      <c r="G38" s="240"/>
      <c r="H38" s="241"/>
    </row>
    <row r="39" spans="1:8" ht="15.75" thickBot="1" x14ac:dyDescent="0.3">
      <c r="A39" s="133"/>
      <c r="B39" s="224" t="s">
        <v>5410</v>
      </c>
      <c r="C39" s="193" t="s">
        <v>867</v>
      </c>
      <c r="D39" s="193" t="s">
        <v>6</v>
      </c>
      <c r="E39" s="193" t="s">
        <v>870</v>
      </c>
      <c r="F39" s="193" t="s">
        <v>5411</v>
      </c>
      <c r="G39" s="225" t="s">
        <v>868</v>
      </c>
      <c r="H39" s="200"/>
    </row>
    <row r="40" spans="1:8" x14ac:dyDescent="0.25">
      <c r="A40" s="133"/>
      <c r="B40" s="245" t="s">
        <v>6292</v>
      </c>
      <c r="C40" s="202" t="s">
        <v>5464</v>
      </c>
      <c r="D40" s="202">
        <v>750</v>
      </c>
      <c r="E40" s="175">
        <v>120</v>
      </c>
      <c r="F40" s="202">
        <v>1</v>
      </c>
      <c r="G40" s="203">
        <f>+D40*E40*F40</f>
        <v>90000</v>
      </c>
      <c r="H40" s="246"/>
    </row>
    <row r="41" spans="1:8" x14ac:dyDescent="0.25">
      <c r="A41" s="133"/>
      <c r="B41" s="247"/>
      <c r="C41" s="248"/>
      <c r="D41" s="248"/>
      <c r="E41" s="248"/>
      <c r="F41" s="202"/>
      <c r="G41" s="178"/>
      <c r="H41" s="200"/>
    </row>
    <row r="42" spans="1:8" x14ac:dyDescent="0.25">
      <c r="A42" s="133"/>
      <c r="B42" s="247"/>
      <c r="C42" s="232"/>
      <c r="D42" s="232"/>
      <c r="E42" s="232"/>
      <c r="F42" s="226"/>
      <c r="G42" s="229"/>
      <c r="H42" s="200"/>
    </row>
    <row r="43" spans="1:8" x14ac:dyDescent="0.25">
      <c r="A43" s="133"/>
      <c r="B43" s="194"/>
      <c r="C43" s="232"/>
      <c r="D43" s="232"/>
      <c r="E43" s="232"/>
      <c r="F43" s="226"/>
      <c r="G43" s="229"/>
      <c r="H43" s="200"/>
    </row>
    <row r="44" spans="1:8" ht="15.75" thickBot="1" x14ac:dyDescent="0.3">
      <c r="A44" s="133"/>
      <c r="B44" s="195"/>
      <c r="C44" s="232"/>
      <c r="D44" s="232"/>
      <c r="E44" s="232"/>
      <c r="F44" s="226"/>
      <c r="G44" s="229"/>
      <c r="H44" s="200"/>
    </row>
    <row r="45" spans="1:8" ht="15.75" thickBot="1" x14ac:dyDescent="0.3">
      <c r="A45" s="133"/>
      <c r="B45" s="233"/>
      <c r="C45" s="234"/>
      <c r="D45" s="234"/>
      <c r="E45" s="234"/>
      <c r="F45" s="235"/>
      <c r="G45" s="236"/>
      <c r="H45" s="237">
        <f>+SUM(G40:G45)</f>
        <v>90000</v>
      </c>
    </row>
    <row r="46" spans="1:8" ht="15.75" thickBot="1" x14ac:dyDescent="0.3">
      <c r="A46" s="133"/>
      <c r="B46" s="238"/>
      <c r="C46" s="238"/>
      <c r="D46" s="238"/>
      <c r="E46" s="238"/>
      <c r="F46" s="249"/>
      <c r="G46" s="250"/>
      <c r="H46" s="241"/>
    </row>
    <row r="47" spans="1:8" ht="15.75" thickBot="1" x14ac:dyDescent="0.3">
      <c r="A47" s="133"/>
      <c r="B47" s="224" t="s">
        <v>5412</v>
      </c>
      <c r="C47" s="193" t="s">
        <v>5420</v>
      </c>
      <c r="D47" s="193" t="s">
        <v>5421</v>
      </c>
      <c r="E47" s="193" t="s">
        <v>5413</v>
      </c>
      <c r="F47" s="193" t="s">
        <v>5405</v>
      </c>
      <c r="G47" s="225" t="s">
        <v>868</v>
      </c>
      <c r="H47" s="200"/>
    </row>
    <row r="48" spans="1:8" x14ac:dyDescent="0.25">
      <c r="A48" s="133"/>
      <c r="B48" s="194" t="s">
        <v>5948</v>
      </c>
      <c r="C48" s="345">
        <v>70000</v>
      </c>
      <c r="D48" s="176">
        <f>+C48*0.85</f>
        <v>59500</v>
      </c>
      <c r="E48" s="176">
        <f>+C48+D48</f>
        <v>129500</v>
      </c>
      <c r="F48" s="204">
        <v>10</v>
      </c>
      <c r="G48" s="178">
        <f>+E48/F48</f>
        <v>12950</v>
      </c>
      <c r="H48" s="200"/>
    </row>
    <row r="49" spans="1:8" x14ac:dyDescent="0.25">
      <c r="A49" s="133"/>
      <c r="B49" s="194" t="s">
        <v>5651</v>
      </c>
      <c r="C49" s="345">
        <v>40000</v>
      </c>
      <c r="D49" s="176">
        <f>+C49*0.85</f>
        <v>34000</v>
      </c>
      <c r="E49" s="176">
        <f>+C49+D49</f>
        <v>74000</v>
      </c>
      <c r="F49" s="202">
        <v>0.9</v>
      </c>
      <c r="G49" s="178">
        <f>+E49/F49</f>
        <v>82222.222222222219</v>
      </c>
      <c r="H49" s="200"/>
    </row>
    <row r="50" spans="1:8" x14ac:dyDescent="0.25">
      <c r="A50" s="133"/>
      <c r="B50" s="195" t="s">
        <v>5635</v>
      </c>
      <c r="C50" s="345">
        <v>20600</v>
      </c>
      <c r="D50" s="176">
        <f>+C50*0.85</f>
        <v>17510</v>
      </c>
      <c r="E50" s="176">
        <f>+C50+D50</f>
        <v>38110</v>
      </c>
      <c r="F50" s="226">
        <v>0.9</v>
      </c>
      <c r="G50" s="178">
        <f>+E50/F50</f>
        <v>42344.444444444445</v>
      </c>
      <c r="H50" s="200"/>
    </row>
    <row r="51" spans="1:8" x14ac:dyDescent="0.25">
      <c r="A51" s="133"/>
      <c r="B51" s="195"/>
      <c r="C51" s="171"/>
      <c r="D51" s="176"/>
      <c r="E51" s="176"/>
      <c r="F51" s="226"/>
      <c r="G51" s="178"/>
      <c r="H51" s="200"/>
    </row>
    <row r="52" spans="1:8" x14ac:dyDescent="0.25">
      <c r="A52" s="133"/>
      <c r="B52" s="195"/>
      <c r="C52" s="232"/>
      <c r="D52" s="232"/>
      <c r="E52" s="232"/>
      <c r="F52" s="226"/>
      <c r="G52" s="229"/>
      <c r="H52" s="200"/>
    </row>
    <row r="53" spans="1:8" ht="15.75" thickBot="1" x14ac:dyDescent="0.3">
      <c r="A53" s="133"/>
      <c r="B53" s="195"/>
      <c r="C53" s="232"/>
      <c r="D53" s="232"/>
      <c r="E53" s="232"/>
      <c r="F53" s="226"/>
      <c r="G53" s="229"/>
      <c r="H53" s="200"/>
    </row>
    <row r="54" spans="1:8" ht="15.75" thickBot="1" x14ac:dyDescent="0.3">
      <c r="A54" s="133"/>
      <c r="B54" s="251"/>
      <c r="C54" s="252"/>
      <c r="D54" s="252"/>
      <c r="E54" s="252"/>
      <c r="F54" s="253"/>
      <c r="G54" s="254"/>
      <c r="H54" s="256">
        <f>+SUM(G48:G54)</f>
        <v>137516.66666666666</v>
      </c>
    </row>
    <row r="55" spans="1:8" ht="15.75" thickBot="1" x14ac:dyDescent="0.3">
      <c r="A55" s="133"/>
      <c r="B55" s="8"/>
      <c r="C55" s="8"/>
      <c r="D55" s="8"/>
      <c r="E55" s="8"/>
      <c r="F55" s="133"/>
      <c r="G55" s="200"/>
      <c r="H55" s="200"/>
    </row>
    <row r="56" spans="1:8" ht="15.75" thickBot="1" x14ac:dyDescent="0.3">
      <c r="A56" s="133"/>
      <c r="B56" s="8"/>
      <c r="C56" s="8"/>
      <c r="D56" s="8"/>
      <c r="E56" s="223" t="s">
        <v>5415</v>
      </c>
      <c r="F56" s="133"/>
      <c r="G56" s="200"/>
      <c r="H56" s="256">
        <f>ROUND(+H54+H45+H37+H22,0)</f>
        <v>843393</v>
      </c>
    </row>
    <row r="61" spans="1:8" ht="18.75" x14ac:dyDescent="0.25">
      <c r="A61" s="133"/>
      <c r="B61" s="2506" t="s">
        <v>5400</v>
      </c>
      <c r="C61" s="2506"/>
      <c r="D61" s="2506"/>
      <c r="E61" s="2506"/>
      <c r="F61" s="2506"/>
      <c r="G61" s="2506"/>
      <c r="H61" s="8"/>
    </row>
    <row r="62" spans="1:8" x14ac:dyDescent="0.25">
      <c r="A62" s="133"/>
      <c r="B62" s="8"/>
      <c r="C62" s="8"/>
      <c r="D62" s="8"/>
      <c r="E62" s="8"/>
      <c r="F62" s="133"/>
      <c r="G62" s="200"/>
      <c r="H62" s="200"/>
    </row>
    <row r="63" spans="1:8" x14ac:dyDescent="0.25">
      <c r="A63" s="133"/>
      <c r="B63" s="8"/>
      <c r="C63" s="8"/>
      <c r="D63" s="8"/>
      <c r="E63" s="8"/>
      <c r="F63" s="133"/>
      <c r="G63" s="200"/>
      <c r="H63" s="200"/>
    </row>
    <row r="64" spans="1:8" x14ac:dyDescent="0.25">
      <c r="A64" s="133"/>
      <c r="B64" s="8"/>
      <c r="C64" s="8"/>
      <c r="D64" s="8"/>
      <c r="E64" s="8"/>
      <c r="F64" s="133"/>
      <c r="G64" s="200"/>
      <c r="H64" s="200"/>
    </row>
    <row r="65" spans="1:8" x14ac:dyDescent="0.25">
      <c r="A65" s="220" t="s">
        <v>5482</v>
      </c>
      <c r="B65" s="138" t="s">
        <v>679</v>
      </c>
      <c r="C65" s="2449" t="s">
        <v>5595</v>
      </c>
      <c r="D65" s="2449"/>
      <c r="E65" s="2449"/>
      <c r="F65" s="220" t="s">
        <v>867</v>
      </c>
      <c r="G65" s="222" t="s">
        <v>5454</v>
      </c>
      <c r="H65" s="200"/>
    </row>
    <row r="66" spans="1:8" x14ac:dyDescent="0.25">
      <c r="A66" s="133"/>
      <c r="B66" s="8"/>
      <c r="C66" s="223"/>
      <c r="D66" s="223"/>
      <c r="E66" s="223"/>
      <c r="F66" s="133"/>
      <c r="G66" s="200"/>
      <c r="H66" s="200"/>
    </row>
    <row r="67" spans="1:8" x14ac:dyDescent="0.25">
      <c r="A67" s="133"/>
      <c r="B67" s="8"/>
      <c r="C67" s="8"/>
      <c r="D67" s="8"/>
      <c r="E67" s="8"/>
      <c r="F67" s="8"/>
      <c r="G67" s="8"/>
      <c r="H67" s="200"/>
    </row>
    <row r="68" spans="1:8" ht="15.75" thickBot="1" x14ac:dyDescent="0.3">
      <c r="A68" s="133"/>
      <c r="B68" s="8"/>
      <c r="C68" s="8"/>
      <c r="D68" s="8"/>
      <c r="E68" s="8"/>
      <c r="F68" s="133"/>
      <c r="G68" s="200"/>
      <c r="H68" s="200"/>
    </row>
    <row r="69" spans="1:8" ht="15.75" thickBot="1" x14ac:dyDescent="0.3">
      <c r="A69" s="133"/>
      <c r="B69" s="224" t="s">
        <v>5403</v>
      </c>
      <c r="C69" s="193" t="s">
        <v>867</v>
      </c>
      <c r="D69" s="193" t="s">
        <v>6</v>
      </c>
      <c r="E69" s="193" t="s">
        <v>5439</v>
      </c>
      <c r="F69" s="193" t="s">
        <v>5405</v>
      </c>
      <c r="G69" s="225" t="s">
        <v>868</v>
      </c>
      <c r="H69" s="200"/>
    </row>
    <row r="70" spans="1:8" x14ac:dyDescent="0.25">
      <c r="A70" s="133"/>
      <c r="B70" s="195" t="s">
        <v>5440</v>
      </c>
      <c r="C70" s="226" t="s">
        <v>5402</v>
      </c>
      <c r="D70" s="226">
        <v>1</v>
      </c>
      <c r="E70" s="227">
        <f>+H108</f>
        <v>137516.66666666666</v>
      </c>
      <c r="F70" s="226">
        <v>0.05</v>
      </c>
      <c r="G70" s="292">
        <f>+E70*F70</f>
        <v>6875.833333333333</v>
      </c>
      <c r="H70" s="200"/>
    </row>
    <row r="71" spans="1:8" x14ac:dyDescent="0.25">
      <c r="A71" s="133"/>
      <c r="B71" s="195"/>
      <c r="C71" s="226"/>
      <c r="D71" s="226"/>
      <c r="E71" s="230"/>
      <c r="F71" s="226"/>
      <c r="G71" s="229"/>
      <c r="H71" s="200"/>
    </row>
    <row r="72" spans="1:8" x14ac:dyDescent="0.25">
      <c r="A72" s="133"/>
      <c r="B72" s="195"/>
      <c r="C72" s="226"/>
      <c r="D72" s="226"/>
      <c r="E72" s="176"/>
      <c r="F72" s="226"/>
      <c r="G72" s="229"/>
      <c r="H72" s="200"/>
    </row>
    <row r="73" spans="1:8" x14ac:dyDescent="0.25">
      <c r="A73" s="133"/>
      <c r="B73" s="195"/>
      <c r="C73" s="226"/>
      <c r="D73" s="226"/>
      <c r="E73" s="171"/>
      <c r="F73" s="226"/>
      <c r="G73" s="293"/>
      <c r="H73" s="200"/>
    </row>
    <row r="74" spans="1:8" x14ac:dyDescent="0.25">
      <c r="A74" s="133"/>
      <c r="B74" s="195"/>
      <c r="C74" s="226"/>
      <c r="D74" s="232"/>
      <c r="E74" s="232"/>
      <c r="F74" s="226"/>
      <c r="G74" s="229"/>
      <c r="H74" s="200"/>
    </row>
    <row r="75" spans="1:8" ht="15.75" thickBot="1" x14ac:dyDescent="0.3">
      <c r="A75" s="133"/>
      <c r="B75" s="195"/>
      <c r="C75" s="226"/>
      <c r="D75" s="232"/>
      <c r="E75" s="232"/>
      <c r="F75" s="226"/>
      <c r="G75" s="229"/>
      <c r="H75" s="200"/>
    </row>
    <row r="76" spans="1:8" ht="15.75" thickBot="1" x14ac:dyDescent="0.3">
      <c r="A76" s="133"/>
      <c r="B76" s="233"/>
      <c r="C76" s="234"/>
      <c r="D76" s="234"/>
      <c r="E76" s="234"/>
      <c r="F76" s="235"/>
      <c r="G76" s="236"/>
      <c r="H76" s="237">
        <f>+SUM(G70:G76)</f>
        <v>6875.833333333333</v>
      </c>
    </row>
    <row r="77" spans="1:8" ht="15.75" thickBot="1" x14ac:dyDescent="0.3">
      <c r="A77" s="133"/>
      <c r="B77" s="238"/>
      <c r="C77" s="238"/>
      <c r="D77" s="238"/>
      <c r="E77" s="238"/>
      <c r="F77" s="239"/>
      <c r="G77" s="240"/>
      <c r="H77" s="241"/>
    </row>
    <row r="78" spans="1:8" ht="15.75" thickBot="1" x14ac:dyDescent="0.3">
      <c r="A78" s="133"/>
      <c r="B78" s="224" t="s">
        <v>5408</v>
      </c>
      <c r="C78" s="193" t="s">
        <v>867</v>
      </c>
      <c r="D78" s="193" t="s">
        <v>6</v>
      </c>
      <c r="E78" s="193" t="s">
        <v>870</v>
      </c>
      <c r="F78" s="193" t="s">
        <v>5409</v>
      </c>
      <c r="G78" s="225" t="s">
        <v>868</v>
      </c>
      <c r="H78" s="200"/>
    </row>
    <row r="79" spans="1:8" x14ac:dyDescent="0.25">
      <c r="A79" s="133"/>
      <c r="B79" s="258" t="s">
        <v>821</v>
      </c>
      <c r="C79" s="202" t="s">
        <v>5542</v>
      </c>
      <c r="D79" s="226">
        <v>1</v>
      </c>
      <c r="E79" s="244">
        <f>435000*1.16</f>
        <v>504599.99999999994</v>
      </c>
      <c r="F79" s="169">
        <v>0</v>
      </c>
      <c r="G79" s="294">
        <f>+D79*E79*(1+F79)</f>
        <v>504599.99999999994</v>
      </c>
      <c r="H79" s="200"/>
    </row>
    <row r="80" spans="1:8" x14ac:dyDescent="0.25">
      <c r="A80" s="133"/>
      <c r="B80" s="260"/>
      <c r="C80" s="202"/>
      <c r="D80" s="202"/>
      <c r="E80" s="257"/>
      <c r="F80" s="169"/>
      <c r="G80" s="294"/>
      <c r="H80" s="200"/>
    </row>
    <row r="81" spans="1:8" x14ac:dyDescent="0.25">
      <c r="A81" s="133"/>
      <c r="B81" s="260"/>
      <c r="C81" s="226"/>
      <c r="D81" s="226"/>
      <c r="E81" s="244"/>
      <c r="F81" s="169"/>
      <c r="G81" s="294"/>
      <c r="H81" s="200"/>
    </row>
    <row r="82" spans="1:8" x14ac:dyDescent="0.25">
      <c r="A82" s="133"/>
      <c r="B82" s="260"/>
      <c r="C82" s="226"/>
      <c r="D82" s="226"/>
      <c r="E82" s="244"/>
      <c r="F82" s="169"/>
      <c r="G82" s="294"/>
      <c r="H82" s="200"/>
    </row>
    <row r="83" spans="1:8" x14ac:dyDescent="0.25">
      <c r="A83" s="133"/>
      <c r="B83" s="195"/>
      <c r="C83" s="226"/>
      <c r="D83" s="226"/>
      <c r="E83" s="171"/>
      <c r="F83" s="169"/>
      <c r="G83" s="178"/>
      <c r="H83" s="200"/>
    </row>
    <row r="84" spans="1:8" x14ac:dyDescent="0.25">
      <c r="A84" s="133"/>
      <c r="B84" s="194"/>
      <c r="C84" s="202"/>
      <c r="D84" s="202"/>
      <c r="E84" s="171"/>
      <c r="F84" s="169"/>
      <c r="G84" s="178"/>
      <c r="H84" s="200"/>
    </row>
    <row r="85" spans="1:8" x14ac:dyDescent="0.25">
      <c r="A85" s="133"/>
      <c r="B85" s="195"/>
      <c r="C85" s="226"/>
      <c r="D85" s="226"/>
      <c r="E85" s="171"/>
      <c r="F85" s="169"/>
      <c r="G85" s="178"/>
      <c r="H85" s="200"/>
    </row>
    <row r="86" spans="1:8" x14ac:dyDescent="0.25">
      <c r="A86" s="133"/>
      <c r="B86" s="195"/>
      <c r="C86" s="226"/>
      <c r="D86" s="226"/>
      <c r="E86" s="171"/>
      <c r="F86" s="169"/>
      <c r="G86" s="178"/>
      <c r="H86" s="200"/>
    </row>
    <row r="87" spans="1:8" x14ac:dyDescent="0.25">
      <c r="A87" s="133"/>
      <c r="B87" s="195"/>
      <c r="C87" s="232"/>
      <c r="D87" s="232"/>
      <c r="E87" s="232"/>
      <c r="F87" s="226"/>
      <c r="G87" s="229"/>
      <c r="H87" s="200"/>
    </row>
    <row r="88" spans="1:8" x14ac:dyDescent="0.25">
      <c r="A88" s="133"/>
      <c r="B88" s="195"/>
      <c r="C88" s="232"/>
      <c r="D88" s="232"/>
      <c r="E88" s="232"/>
      <c r="F88" s="226"/>
      <c r="G88" s="229"/>
      <c r="H88" s="200"/>
    </row>
    <row r="89" spans="1:8" x14ac:dyDescent="0.25">
      <c r="A89" s="133"/>
      <c r="B89" s="195"/>
      <c r="C89" s="232"/>
      <c r="D89" s="232"/>
      <c r="E89" s="232"/>
      <c r="F89" s="226"/>
      <c r="G89" s="229"/>
      <c r="H89" s="200"/>
    </row>
    <row r="90" spans="1:8" ht="15.75" thickBot="1" x14ac:dyDescent="0.3">
      <c r="A90" s="133"/>
      <c r="B90" s="195"/>
      <c r="C90" s="232"/>
      <c r="D90" s="232"/>
      <c r="E90" s="232"/>
      <c r="F90" s="226"/>
      <c r="G90" s="229"/>
      <c r="H90" s="200"/>
    </row>
    <row r="91" spans="1:8" ht="15.75" thickBot="1" x14ac:dyDescent="0.3">
      <c r="A91" s="133"/>
      <c r="B91" s="233"/>
      <c r="C91" s="234"/>
      <c r="D91" s="234"/>
      <c r="E91" s="234"/>
      <c r="F91" s="235"/>
      <c r="G91" s="236"/>
      <c r="H91" s="256">
        <f>+SUM(G79:G91)</f>
        <v>504599.99999999994</v>
      </c>
    </row>
    <row r="92" spans="1:8" ht="15.75" thickBot="1" x14ac:dyDescent="0.3">
      <c r="A92" s="133"/>
      <c r="B92" s="238"/>
      <c r="C92" s="238"/>
      <c r="D92" s="238"/>
      <c r="E92" s="238"/>
      <c r="F92" s="239"/>
      <c r="G92" s="240"/>
      <c r="H92" s="241"/>
    </row>
    <row r="93" spans="1:8" ht="15.75" thickBot="1" x14ac:dyDescent="0.3">
      <c r="A93" s="133"/>
      <c r="B93" s="224" t="s">
        <v>5410</v>
      </c>
      <c r="C93" s="193" t="s">
        <v>867</v>
      </c>
      <c r="D93" s="193" t="s">
        <v>6</v>
      </c>
      <c r="E93" s="193" t="s">
        <v>870</v>
      </c>
      <c r="F93" s="193" t="s">
        <v>5411</v>
      </c>
      <c r="G93" s="225" t="s">
        <v>868</v>
      </c>
      <c r="H93" s="200"/>
    </row>
    <row r="94" spans="1:8" x14ac:dyDescent="0.25">
      <c r="A94" s="133"/>
      <c r="B94" s="245" t="s">
        <v>6014</v>
      </c>
      <c r="C94" s="202" t="s">
        <v>5464</v>
      </c>
      <c r="D94" s="202">
        <v>1500</v>
      </c>
      <c r="E94" s="175">
        <v>120</v>
      </c>
      <c r="F94" s="202">
        <v>1</v>
      </c>
      <c r="G94" s="203">
        <f>+D94*E94*F94</f>
        <v>180000</v>
      </c>
      <c r="H94" s="246"/>
    </row>
    <row r="95" spans="1:8" x14ac:dyDescent="0.25">
      <c r="A95" s="133"/>
      <c r="B95" s="247"/>
      <c r="C95" s="248"/>
      <c r="D95" s="248"/>
      <c r="E95" s="248"/>
      <c r="F95" s="202"/>
      <c r="G95" s="178"/>
      <c r="H95" s="200"/>
    </row>
    <row r="96" spans="1:8" x14ac:dyDescent="0.25">
      <c r="A96" s="133"/>
      <c r="B96" s="247"/>
      <c r="C96" s="232"/>
      <c r="D96" s="232"/>
      <c r="E96" s="232"/>
      <c r="F96" s="226"/>
      <c r="G96" s="229"/>
      <c r="H96" s="200"/>
    </row>
    <row r="97" spans="1:8" x14ac:dyDescent="0.25">
      <c r="A97" s="133"/>
      <c r="B97" s="194"/>
      <c r="C97" s="232"/>
      <c r="D97" s="232"/>
      <c r="E97" s="232"/>
      <c r="F97" s="226"/>
      <c r="G97" s="229"/>
      <c r="H97" s="200"/>
    </row>
    <row r="98" spans="1:8" ht="15.75" thickBot="1" x14ac:dyDescent="0.3">
      <c r="A98" s="133"/>
      <c r="B98" s="195"/>
      <c r="C98" s="232"/>
      <c r="D98" s="232"/>
      <c r="E98" s="232"/>
      <c r="F98" s="226"/>
      <c r="G98" s="229"/>
      <c r="H98" s="200"/>
    </row>
    <row r="99" spans="1:8" ht="15.75" thickBot="1" x14ac:dyDescent="0.3">
      <c r="A99" s="133"/>
      <c r="B99" s="233"/>
      <c r="C99" s="234"/>
      <c r="D99" s="234"/>
      <c r="E99" s="234"/>
      <c r="F99" s="235"/>
      <c r="G99" s="236"/>
      <c r="H99" s="237">
        <f>+SUM(G94:G99)</f>
        <v>180000</v>
      </c>
    </row>
    <row r="100" spans="1:8" ht="15.75" thickBot="1" x14ac:dyDescent="0.3">
      <c r="A100" s="133"/>
      <c r="B100" s="238"/>
      <c r="C100" s="238"/>
      <c r="D100" s="238"/>
      <c r="E100" s="238"/>
      <c r="F100" s="249"/>
      <c r="G100" s="250"/>
      <c r="H100" s="241"/>
    </row>
    <row r="101" spans="1:8" ht="15.75" thickBot="1" x14ac:dyDescent="0.3">
      <c r="A101" s="133"/>
      <c r="B101" s="224" t="s">
        <v>5412</v>
      </c>
      <c r="C101" s="193" t="s">
        <v>5420</v>
      </c>
      <c r="D101" s="193" t="s">
        <v>5421</v>
      </c>
      <c r="E101" s="193" t="s">
        <v>5413</v>
      </c>
      <c r="F101" s="193" t="s">
        <v>5405</v>
      </c>
      <c r="G101" s="225" t="s">
        <v>868</v>
      </c>
      <c r="H101" s="200"/>
    </row>
    <row r="102" spans="1:8" x14ac:dyDescent="0.25">
      <c r="A102" s="133"/>
      <c r="B102" s="194" t="s">
        <v>5948</v>
      </c>
      <c r="C102" s="345">
        <v>70000</v>
      </c>
      <c r="D102" s="176">
        <f>+C102*0.85</f>
        <v>59500</v>
      </c>
      <c r="E102" s="176">
        <f>+C102+D102</f>
        <v>129500</v>
      </c>
      <c r="F102" s="204">
        <v>10</v>
      </c>
      <c r="G102" s="178">
        <f>+E102/F102</f>
        <v>12950</v>
      </c>
      <c r="H102" s="200"/>
    </row>
    <row r="103" spans="1:8" x14ac:dyDescent="0.25">
      <c r="A103" s="133"/>
      <c r="B103" s="194" t="s">
        <v>5651</v>
      </c>
      <c r="C103" s="345">
        <v>40000</v>
      </c>
      <c r="D103" s="176">
        <f>+C103*0.85</f>
        <v>34000</v>
      </c>
      <c r="E103" s="176">
        <f>+C103+D103</f>
        <v>74000</v>
      </c>
      <c r="F103" s="202">
        <v>0.9</v>
      </c>
      <c r="G103" s="178">
        <f>+E103/F103</f>
        <v>82222.222222222219</v>
      </c>
      <c r="H103" s="200"/>
    </row>
    <row r="104" spans="1:8" x14ac:dyDescent="0.25">
      <c r="A104" s="133"/>
      <c r="B104" s="195" t="s">
        <v>5635</v>
      </c>
      <c r="C104" s="345">
        <v>20600</v>
      </c>
      <c r="D104" s="176">
        <f>+C104*0.85</f>
        <v>17510</v>
      </c>
      <c r="E104" s="176">
        <f>+C104+D104</f>
        <v>38110</v>
      </c>
      <c r="F104" s="226">
        <v>0.9</v>
      </c>
      <c r="G104" s="178">
        <f>+E104/F104</f>
        <v>42344.444444444445</v>
      </c>
      <c r="H104" s="200"/>
    </row>
    <row r="105" spans="1:8" x14ac:dyDescent="0.25">
      <c r="A105" s="133"/>
      <c r="B105" s="195"/>
      <c r="C105" s="171"/>
      <c r="D105" s="176"/>
      <c r="E105" s="176"/>
      <c r="F105" s="226"/>
      <c r="G105" s="178"/>
      <c r="H105" s="200"/>
    </row>
    <row r="106" spans="1:8" x14ac:dyDescent="0.25">
      <c r="A106" s="133"/>
      <c r="B106" s="195"/>
      <c r="C106" s="232"/>
      <c r="D106" s="232"/>
      <c r="E106" s="232"/>
      <c r="F106" s="226"/>
      <c r="G106" s="229"/>
      <c r="H106" s="200"/>
    </row>
    <row r="107" spans="1:8" ht="15.75" thickBot="1" x14ac:dyDescent="0.3">
      <c r="A107" s="133"/>
      <c r="B107" s="195"/>
      <c r="C107" s="232"/>
      <c r="D107" s="232"/>
      <c r="E107" s="232"/>
      <c r="F107" s="226"/>
      <c r="G107" s="229"/>
      <c r="H107" s="200"/>
    </row>
    <row r="108" spans="1:8" ht="15.75" thickBot="1" x14ac:dyDescent="0.3">
      <c r="A108" s="133"/>
      <c r="B108" s="251"/>
      <c r="C108" s="252"/>
      <c r="D108" s="252"/>
      <c r="E108" s="252"/>
      <c r="F108" s="253"/>
      <c r="G108" s="254"/>
      <c r="H108" s="256">
        <f>+SUM(G102:G108)</f>
        <v>137516.66666666666</v>
      </c>
    </row>
    <row r="109" spans="1:8" ht="15.75" thickBot="1" x14ac:dyDescent="0.3">
      <c r="A109" s="133"/>
      <c r="B109" s="8"/>
      <c r="C109" s="8"/>
      <c r="D109" s="8"/>
      <c r="E109" s="8"/>
      <c r="F109" s="133"/>
      <c r="G109" s="200"/>
      <c r="H109" s="200"/>
    </row>
    <row r="110" spans="1:8" ht="15.75" thickBot="1" x14ac:dyDescent="0.3">
      <c r="A110" s="133"/>
      <c r="B110" s="8"/>
      <c r="C110" s="8"/>
      <c r="D110" s="8"/>
      <c r="E110" s="223" t="s">
        <v>5415</v>
      </c>
      <c r="F110" s="133"/>
      <c r="G110" s="200"/>
      <c r="H110" s="256">
        <f>ROUND(+H108+H99+H91+H76,0)</f>
        <v>828993</v>
      </c>
    </row>
    <row r="115" spans="1:8" ht="18.75" x14ac:dyDescent="0.25">
      <c r="A115" s="133"/>
      <c r="B115" s="2506" t="s">
        <v>5400</v>
      </c>
      <c r="C115" s="2506"/>
      <c r="D115" s="2506"/>
      <c r="E115" s="2506"/>
      <c r="F115" s="2506"/>
      <c r="G115" s="2506"/>
      <c r="H115" s="8"/>
    </row>
    <row r="116" spans="1:8" x14ac:dyDescent="0.25">
      <c r="A116" s="133"/>
      <c r="B116" s="8"/>
      <c r="C116" s="8"/>
      <c r="D116" s="8"/>
      <c r="E116" s="8"/>
      <c r="F116" s="133"/>
      <c r="G116" s="200"/>
      <c r="H116" s="200"/>
    </row>
    <row r="117" spans="1:8" x14ac:dyDescent="0.25">
      <c r="A117" s="133"/>
      <c r="B117" s="8"/>
      <c r="C117" s="8"/>
      <c r="D117" s="8"/>
      <c r="E117" s="8"/>
      <c r="F117" s="133"/>
      <c r="G117" s="200"/>
      <c r="H117" s="200"/>
    </row>
    <row r="118" spans="1:8" x14ac:dyDescent="0.25">
      <c r="A118" s="133"/>
      <c r="B118" s="8"/>
      <c r="C118" s="8"/>
      <c r="D118" s="8"/>
      <c r="E118" s="8"/>
      <c r="F118" s="133"/>
      <c r="G118" s="200"/>
      <c r="H118" s="200"/>
    </row>
    <row r="119" spans="1:8" x14ac:dyDescent="0.25">
      <c r="A119" s="220" t="s">
        <v>5482</v>
      </c>
      <c r="B119" s="138" t="s">
        <v>684</v>
      </c>
      <c r="C119" s="2449" t="s">
        <v>5596</v>
      </c>
      <c r="D119" s="2449"/>
      <c r="E119" s="2449"/>
      <c r="F119" s="220" t="s">
        <v>867</v>
      </c>
      <c r="G119" s="222" t="s">
        <v>5454</v>
      </c>
      <c r="H119" s="200"/>
    </row>
    <row r="120" spans="1:8" x14ac:dyDescent="0.25">
      <c r="A120" s="133"/>
      <c r="B120" s="8"/>
      <c r="C120" s="223"/>
      <c r="D120" s="223"/>
      <c r="E120" s="223"/>
      <c r="F120" s="133"/>
      <c r="G120" s="200"/>
      <c r="H120" s="200"/>
    </row>
    <row r="121" spans="1:8" x14ac:dyDescent="0.25">
      <c r="A121" s="133"/>
      <c r="B121" s="8"/>
      <c r="C121" s="8"/>
      <c r="D121" s="8"/>
      <c r="E121" s="8"/>
      <c r="F121" s="8"/>
      <c r="G121" s="8"/>
      <c r="H121" s="200"/>
    </row>
    <row r="122" spans="1:8" ht="15.75" thickBot="1" x14ac:dyDescent="0.3">
      <c r="A122" s="133"/>
      <c r="B122" s="8"/>
      <c r="C122" s="8"/>
      <c r="D122" s="8"/>
      <c r="E122" s="8"/>
      <c r="F122" s="133"/>
      <c r="G122" s="200"/>
      <c r="H122" s="200"/>
    </row>
    <row r="123" spans="1:8" ht="15.75" thickBot="1" x14ac:dyDescent="0.3">
      <c r="A123" s="133"/>
      <c r="B123" s="224" t="s">
        <v>5403</v>
      </c>
      <c r="C123" s="193" t="s">
        <v>867</v>
      </c>
      <c r="D123" s="193" t="s">
        <v>6</v>
      </c>
      <c r="E123" s="193" t="s">
        <v>5439</v>
      </c>
      <c r="F123" s="193" t="s">
        <v>5405</v>
      </c>
      <c r="G123" s="225" t="s">
        <v>868</v>
      </c>
      <c r="H123" s="200"/>
    </row>
    <row r="124" spans="1:8" x14ac:dyDescent="0.25">
      <c r="A124" s="133"/>
      <c r="B124" s="195" t="s">
        <v>5440</v>
      </c>
      <c r="C124" s="226" t="s">
        <v>5402</v>
      </c>
      <c r="D124" s="226">
        <v>1</v>
      </c>
      <c r="E124" s="227">
        <f>+H162</f>
        <v>137516.66666666666</v>
      </c>
      <c r="F124" s="226">
        <v>0.05</v>
      </c>
      <c r="G124" s="292">
        <f>+E124*F124</f>
        <v>6875.833333333333</v>
      </c>
      <c r="H124" s="200"/>
    </row>
    <row r="125" spans="1:8" x14ac:dyDescent="0.25">
      <c r="A125" s="133"/>
      <c r="B125" s="195"/>
      <c r="C125" s="226"/>
      <c r="D125" s="226"/>
      <c r="E125" s="230"/>
      <c r="F125" s="226"/>
      <c r="G125" s="229"/>
      <c r="H125" s="200"/>
    </row>
    <row r="126" spans="1:8" x14ac:dyDescent="0.25">
      <c r="A126" s="133"/>
      <c r="B126" s="195"/>
      <c r="C126" s="226"/>
      <c r="D126" s="226"/>
      <c r="E126" s="176"/>
      <c r="F126" s="226"/>
      <c r="G126" s="229"/>
      <c r="H126" s="200"/>
    </row>
    <row r="127" spans="1:8" x14ac:dyDescent="0.25">
      <c r="A127" s="133"/>
      <c r="B127" s="195"/>
      <c r="C127" s="226"/>
      <c r="D127" s="226"/>
      <c r="E127" s="171"/>
      <c r="F127" s="226"/>
      <c r="G127" s="293"/>
      <c r="H127" s="200"/>
    </row>
    <row r="128" spans="1:8" x14ac:dyDescent="0.25">
      <c r="A128" s="133"/>
      <c r="B128" s="195"/>
      <c r="C128" s="226"/>
      <c r="D128" s="232"/>
      <c r="E128" s="232"/>
      <c r="F128" s="226"/>
      <c r="G128" s="229"/>
      <c r="H128" s="200"/>
    </row>
    <row r="129" spans="1:8" ht="15.75" thickBot="1" x14ac:dyDescent="0.3">
      <c r="A129" s="133"/>
      <c r="B129" s="195"/>
      <c r="C129" s="226"/>
      <c r="D129" s="232"/>
      <c r="E129" s="232"/>
      <c r="F129" s="226"/>
      <c r="G129" s="229"/>
      <c r="H129" s="200"/>
    </row>
    <row r="130" spans="1:8" ht="15.75" thickBot="1" x14ac:dyDescent="0.3">
      <c r="A130" s="133"/>
      <c r="B130" s="233"/>
      <c r="C130" s="234"/>
      <c r="D130" s="234"/>
      <c r="E130" s="234"/>
      <c r="F130" s="235"/>
      <c r="G130" s="236"/>
      <c r="H130" s="237">
        <f>+SUM(G124:G130)</f>
        <v>6875.833333333333</v>
      </c>
    </row>
    <row r="131" spans="1:8" ht="15.75" thickBot="1" x14ac:dyDescent="0.3">
      <c r="A131" s="133"/>
      <c r="B131" s="238"/>
      <c r="C131" s="238"/>
      <c r="D131" s="238"/>
      <c r="E131" s="238"/>
      <c r="F131" s="239"/>
      <c r="G131" s="240"/>
      <c r="H131" s="241"/>
    </row>
    <row r="132" spans="1:8" ht="15.75" thickBot="1" x14ac:dyDescent="0.3">
      <c r="A132" s="133"/>
      <c r="B132" s="224" t="s">
        <v>5408</v>
      </c>
      <c r="C132" s="193" t="s">
        <v>867</v>
      </c>
      <c r="D132" s="193" t="s">
        <v>6</v>
      </c>
      <c r="E132" s="193" t="s">
        <v>870</v>
      </c>
      <c r="F132" s="193" t="s">
        <v>5409</v>
      </c>
      <c r="G132" s="225" t="s">
        <v>868</v>
      </c>
      <c r="H132" s="200"/>
    </row>
    <row r="133" spans="1:8" x14ac:dyDescent="0.25">
      <c r="A133" s="133"/>
      <c r="B133" s="258" t="s">
        <v>820</v>
      </c>
      <c r="C133" s="202" t="s">
        <v>5542</v>
      </c>
      <c r="D133" s="226">
        <v>1</v>
      </c>
      <c r="E133" s="244">
        <f>525000*1.16</f>
        <v>609000</v>
      </c>
      <c r="F133" s="169">
        <v>0</v>
      </c>
      <c r="G133" s="294">
        <f>+D133*E133*(1+F133)</f>
        <v>609000</v>
      </c>
      <c r="H133" s="200"/>
    </row>
    <row r="134" spans="1:8" x14ac:dyDescent="0.25">
      <c r="A134" s="133"/>
      <c r="B134" s="260"/>
      <c r="C134" s="202"/>
      <c r="D134" s="202"/>
      <c r="E134" s="257"/>
      <c r="F134" s="169"/>
      <c r="G134" s="294"/>
      <c r="H134" s="200"/>
    </row>
    <row r="135" spans="1:8" x14ac:dyDescent="0.25">
      <c r="A135" s="133"/>
      <c r="B135" s="260"/>
      <c r="C135" s="226"/>
      <c r="D135" s="226"/>
      <c r="E135" s="244"/>
      <c r="F135" s="169"/>
      <c r="G135" s="294"/>
      <c r="H135" s="200"/>
    </row>
    <row r="136" spans="1:8" x14ac:dyDescent="0.25">
      <c r="A136" s="133"/>
      <c r="B136" s="260"/>
      <c r="C136" s="226"/>
      <c r="D136" s="226"/>
      <c r="E136" s="244"/>
      <c r="F136" s="169"/>
      <c r="G136" s="294"/>
      <c r="H136" s="200"/>
    </row>
    <row r="137" spans="1:8" x14ac:dyDescent="0.25">
      <c r="A137" s="133"/>
      <c r="B137" s="195"/>
      <c r="C137" s="226"/>
      <c r="D137" s="226"/>
      <c r="E137" s="171"/>
      <c r="F137" s="169"/>
      <c r="G137" s="178"/>
      <c r="H137" s="200"/>
    </row>
    <row r="138" spans="1:8" x14ac:dyDescent="0.25">
      <c r="A138" s="133"/>
      <c r="B138" s="194"/>
      <c r="C138" s="202"/>
      <c r="D138" s="202"/>
      <c r="E138" s="171"/>
      <c r="F138" s="169"/>
      <c r="G138" s="178"/>
      <c r="H138" s="200"/>
    </row>
    <row r="139" spans="1:8" x14ac:dyDescent="0.25">
      <c r="A139" s="133"/>
      <c r="B139" s="195"/>
      <c r="C139" s="226"/>
      <c r="D139" s="226"/>
      <c r="E139" s="171"/>
      <c r="F139" s="169"/>
      <c r="G139" s="178"/>
      <c r="H139" s="200"/>
    </row>
    <row r="140" spans="1:8" x14ac:dyDescent="0.25">
      <c r="A140" s="133"/>
      <c r="B140" s="195"/>
      <c r="C140" s="226"/>
      <c r="D140" s="226"/>
      <c r="E140" s="171"/>
      <c r="F140" s="169"/>
      <c r="G140" s="178"/>
      <c r="H140" s="200"/>
    </row>
    <row r="141" spans="1:8" x14ac:dyDescent="0.25">
      <c r="A141" s="133"/>
      <c r="B141" s="195"/>
      <c r="C141" s="232"/>
      <c r="D141" s="232"/>
      <c r="E141" s="232"/>
      <c r="F141" s="226"/>
      <c r="G141" s="229"/>
      <c r="H141" s="200"/>
    </row>
    <row r="142" spans="1:8" x14ac:dyDescent="0.25">
      <c r="A142" s="133"/>
      <c r="B142" s="195"/>
      <c r="C142" s="232"/>
      <c r="D142" s="232"/>
      <c r="E142" s="232"/>
      <c r="F142" s="226"/>
      <c r="G142" s="229"/>
      <c r="H142" s="200"/>
    </row>
    <row r="143" spans="1:8" x14ac:dyDescent="0.25">
      <c r="A143" s="133"/>
      <c r="B143" s="195"/>
      <c r="C143" s="232"/>
      <c r="D143" s="232"/>
      <c r="E143" s="232"/>
      <c r="F143" s="226"/>
      <c r="G143" s="229"/>
      <c r="H143" s="200"/>
    </row>
    <row r="144" spans="1:8" ht="15.75" thickBot="1" x14ac:dyDescent="0.3">
      <c r="A144" s="133"/>
      <c r="B144" s="195"/>
      <c r="C144" s="232"/>
      <c r="D144" s="232"/>
      <c r="E144" s="232"/>
      <c r="F144" s="226"/>
      <c r="G144" s="229"/>
      <c r="H144" s="200"/>
    </row>
    <row r="145" spans="1:8" ht="15.75" thickBot="1" x14ac:dyDescent="0.3">
      <c r="A145" s="133"/>
      <c r="B145" s="233"/>
      <c r="C145" s="234"/>
      <c r="D145" s="234"/>
      <c r="E145" s="234"/>
      <c r="F145" s="235"/>
      <c r="G145" s="236"/>
      <c r="H145" s="256">
        <f>+SUM(G133:G145)</f>
        <v>609000</v>
      </c>
    </row>
    <row r="146" spans="1:8" ht="15.75" thickBot="1" x14ac:dyDescent="0.3">
      <c r="A146" s="133"/>
      <c r="B146" s="238"/>
      <c r="C146" s="238"/>
      <c r="D146" s="238"/>
      <c r="E146" s="238"/>
      <c r="F146" s="239"/>
      <c r="G146" s="240"/>
      <c r="H146" s="241"/>
    </row>
    <row r="147" spans="1:8" ht="15.75" thickBot="1" x14ac:dyDescent="0.3">
      <c r="A147" s="133"/>
      <c r="B147" s="224" t="s">
        <v>5410</v>
      </c>
      <c r="C147" s="193" t="s">
        <v>867</v>
      </c>
      <c r="D147" s="193" t="s">
        <v>6</v>
      </c>
      <c r="E147" s="193" t="s">
        <v>870</v>
      </c>
      <c r="F147" s="193" t="s">
        <v>5411</v>
      </c>
      <c r="G147" s="225" t="s">
        <v>868</v>
      </c>
      <c r="H147" s="200"/>
    </row>
    <row r="148" spans="1:8" x14ac:dyDescent="0.25">
      <c r="A148" s="133"/>
      <c r="B148" s="245" t="s">
        <v>5552</v>
      </c>
      <c r="C148" s="202" t="s">
        <v>5464</v>
      </c>
      <c r="D148" s="202">
        <v>1500</v>
      </c>
      <c r="E148" s="175">
        <v>120</v>
      </c>
      <c r="F148" s="202">
        <v>1</v>
      </c>
      <c r="G148" s="203">
        <f>+D148*E148*F148</f>
        <v>180000</v>
      </c>
      <c r="H148" s="590" t="s">
        <v>6293</v>
      </c>
    </row>
    <row r="149" spans="1:8" x14ac:dyDescent="0.25">
      <c r="A149" s="133"/>
      <c r="B149" s="247"/>
      <c r="C149" s="248"/>
      <c r="D149" s="248"/>
      <c r="E149" s="248"/>
      <c r="F149" s="202"/>
      <c r="G149" s="178"/>
      <c r="H149" s="200"/>
    </row>
    <row r="150" spans="1:8" x14ac:dyDescent="0.25">
      <c r="A150" s="133"/>
      <c r="B150" s="247"/>
      <c r="C150" s="232"/>
      <c r="D150" s="232"/>
      <c r="E150" s="232"/>
      <c r="F150" s="226"/>
      <c r="G150" s="229"/>
      <c r="H150" s="200"/>
    </row>
    <row r="151" spans="1:8" x14ac:dyDescent="0.25">
      <c r="A151" s="133"/>
      <c r="B151" s="194"/>
      <c r="C151" s="232"/>
      <c r="D151" s="232"/>
      <c r="E151" s="232"/>
      <c r="F151" s="226"/>
      <c r="G151" s="229"/>
      <c r="H151" s="200"/>
    </row>
    <row r="152" spans="1:8" ht="15.75" thickBot="1" x14ac:dyDescent="0.3">
      <c r="A152" s="133"/>
      <c r="B152" s="195"/>
      <c r="C152" s="232"/>
      <c r="D152" s="232"/>
      <c r="E152" s="232"/>
      <c r="F152" s="226"/>
      <c r="G152" s="229"/>
      <c r="H152" s="200"/>
    </row>
    <row r="153" spans="1:8" ht="15.75" thickBot="1" x14ac:dyDescent="0.3">
      <c r="A153" s="133"/>
      <c r="B153" s="233"/>
      <c r="C153" s="234"/>
      <c r="D153" s="234"/>
      <c r="E153" s="234"/>
      <c r="F153" s="235"/>
      <c r="G153" s="236"/>
      <c r="H153" s="237">
        <f>+SUM(G148:G153)</f>
        <v>180000</v>
      </c>
    </row>
    <row r="154" spans="1:8" ht="15.75" thickBot="1" x14ac:dyDescent="0.3">
      <c r="A154" s="133"/>
      <c r="B154" s="238"/>
      <c r="C154" s="238"/>
      <c r="D154" s="238"/>
      <c r="E154" s="238"/>
      <c r="F154" s="249"/>
      <c r="G154" s="250"/>
      <c r="H154" s="241"/>
    </row>
    <row r="155" spans="1:8" ht="15.75" thickBot="1" x14ac:dyDescent="0.3">
      <c r="A155" s="133"/>
      <c r="B155" s="224" t="s">
        <v>5412</v>
      </c>
      <c r="C155" s="193" t="s">
        <v>5420</v>
      </c>
      <c r="D155" s="193" t="s">
        <v>5421</v>
      </c>
      <c r="E155" s="193" t="s">
        <v>5413</v>
      </c>
      <c r="F155" s="193" t="s">
        <v>5405</v>
      </c>
      <c r="G155" s="225" t="s">
        <v>868</v>
      </c>
      <c r="H155" s="200"/>
    </row>
    <row r="156" spans="1:8" x14ac:dyDescent="0.25">
      <c r="A156" s="133"/>
      <c r="B156" s="194" t="s">
        <v>5948</v>
      </c>
      <c r="C156" s="345">
        <v>70000</v>
      </c>
      <c r="D156" s="176">
        <f>+C156*0.85</f>
        <v>59500</v>
      </c>
      <c r="E156" s="176">
        <f>+C156+D156</f>
        <v>129500</v>
      </c>
      <c r="F156" s="204">
        <v>10</v>
      </c>
      <c r="G156" s="178">
        <f>+E156/F156</f>
        <v>12950</v>
      </c>
      <c r="H156" s="200"/>
    </row>
    <row r="157" spans="1:8" x14ac:dyDescent="0.25">
      <c r="A157" s="133"/>
      <c r="B157" s="194" t="s">
        <v>5651</v>
      </c>
      <c r="C157" s="345">
        <v>40000</v>
      </c>
      <c r="D157" s="176">
        <f>+C157*0.85</f>
        <v>34000</v>
      </c>
      <c r="E157" s="176">
        <f>+C157+D157</f>
        <v>74000</v>
      </c>
      <c r="F157" s="202">
        <v>0.9</v>
      </c>
      <c r="G157" s="178">
        <f>+E157/F157</f>
        <v>82222.222222222219</v>
      </c>
      <c r="H157" s="200"/>
    </row>
    <row r="158" spans="1:8" x14ac:dyDescent="0.25">
      <c r="A158" s="133"/>
      <c r="B158" s="195" t="s">
        <v>5635</v>
      </c>
      <c r="C158" s="345">
        <v>20600</v>
      </c>
      <c r="D158" s="176">
        <f>+C158*0.85</f>
        <v>17510</v>
      </c>
      <c r="E158" s="176">
        <f>+C158+D158</f>
        <v>38110</v>
      </c>
      <c r="F158" s="226">
        <v>0.9</v>
      </c>
      <c r="G158" s="178">
        <f>+E158/F158</f>
        <v>42344.444444444445</v>
      </c>
      <c r="H158" s="200"/>
    </row>
    <row r="159" spans="1:8" x14ac:dyDescent="0.25">
      <c r="A159" s="133"/>
      <c r="B159" s="195"/>
      <c r="C159" s="171"/>
      <c r="D159" s="176"/>
      <c r="E159" s="176"/>
      <c r="F159" s="226"/>
      <c r="G159" s="178"/>
      <c r="H159" s="200"/>
    </row>
    <row r="160" spans="1:8" x14ac:dyDescent="0.25">
      <c r="A160" s="133"/>
      <c r="B160" s="195"/>
      <c r="C160" s="232"/>
      <c r="D160" s="232"/>
      <c r="E160" s="232"/>
      <c r="F160" s="226"/>
      <c r="G160" s="229"/>
      <c r="H160" s="200"/>
    </row>
    <row r="161" spans="1:24" ht="15.75" thickBot="1" x14ac:dyDescent="0.3">
      <c r="A161" s="133"/>
      <c r="B161" s="195"/>
      <c r="C161" s="232"/>
      <c r="D161" s="232"/>
      <c r="E161" s="232"/>
      <c r="F161" s="226"/>
      <c r="G161" s="229"/>
      <c r="H161" s="200"/>
    </row>
    <row r="162" spans="1:24" ht="15.75" thickBot="1" x14ac:dyDescent="0.3">
      <c r="A162" s="133"/>
      <c r="B162" s="251"/>
      <c r="C162" s="252"/>
      <c r="D162" s="252"/>
      <c r="E162" s="252"/>
      <c r="F162" s="253"/>
      <c r="G162" s="254"/>
      <c r="H162" s="256">
        <f>+SUM(G156:G162)</f>
        <v>137516.66666666666</v>
      </c>
    </row>
    <row r="163" spans="1:24" ht="15.75" thickBot="1" x14ac:dyDescent="0.3">
      <c r="A163" s="133"/>
      <c r="B163" s="8"/>
      <c r="C163" s="8"/>
      <c r="D163" s="8"/>
      <c r="E163" s="8"/>
      <c r="F163" s="133"/>
      <c r="G163" s="200"/>
      <c r="H163" s="200"/>
    </row>
    <row r="164" spans="1:24" ht="15.75" thickBot="1" x14ac:dyDescent="0.3">
      <c r="A164" s="133"/>
      <c r="B164" s="8"/>
      <c r="C164" s="8"/>
      <c r="D164" s="8"/>
      <c r="E164" s="223" t="s">
        <v>5415</v>
      </c>
      <c r="F164" s="133"/>
      <c r="G164" s="200"/>
      <c r="H164" s="256">
        <f>ROUND(+H162+H153+H145+H130,0)</f>
        <v>933393</v>
      </c>
    </row>
    <row r="168" spans="1:24" x14ac:dyDescent="0.25">
      <c r="A168" s="255"/>
    </row>
    <row r="169" spans="1:24" ht="18.75" x14ac:dyDescent="0.25">
      <c r="A169" s="133"/>
      <c r="B169" s="2506" t="s">
        <v>5400</v>
      </c>
      <c r="C169" s="2506"/>
      <c r="D169" s="2506"/>
      <c r="E169" s="2506"/>
      <c r="F169" s="2506"/>
      <c r="G169" s="2506"/>
      <c r="H169" s="8"/>
      <c r="I169" s="133"/>
      <c r="J169" s="2506" t="s">
        <v>5400</v>
      </c>
      <c r="K169" s="2506"/>
      <c r="L169" s="2506"/>
      <c r="M169" s="2506"/>
      <c r="N169" s="2506"/>
      <c r="O169" s="2506"/>
      <c r="P169" s="8"/>
      <c r="Q169" s="133"/>
      <c r="R169" s="2506" t="s">
        <v>5400</v>
      </c>
      <c r="S169" s="2506"/>
      <c r="T169" s="2506"/>
      <c r="U169" s="2506"/>
      <c r="V169" s="2506"/>
      <c r="W169" s="2506"/>
      <c r="X169" s="8"/>
    </row>
    <row r="170" spans="1:24" x14ac:dyDescent="0.25">
      <c r="A170" s="133"/>
      <c r="B170" s="8"/>
      <c r="C170" s="8"/>
      <c r="D170" s="8"/>
      <c r="E170" s="8"/>
      <c r="F170" s="133"/>
      <c r="G170" s="200"/>
      <c r="H170" s="200"/>
      <c r="I170" s="133"/>
      <c r="J170" s="8"/>
      <c r="K170" s="8"/>
      <c r="L170" s="8"/>
      <c r="M170" s="8"/>
      <c r="N170" s="133"/>
      <c r="O170" s="200"/>
      <c r="P170" s="200"/>
      <c r="Q170" s="133"/>
      <c r="R170" s="8"/>
      <c r="S170" s="8"/>
      <c r="T170" s="8"/>
      <c r="U170" s="8"/>
      <c r="V170" s="133"/>
      <c r="W170" s="200"/>
      <c r="X170" s="200"/>
    </row>
    <row r="171" spans="1:24" x14ac:dyDescent="0.25">
      <c r="A171" s="133"/>
      <c r="B171" s="8"/>
      <c r="C171" s="8"/>
      <c r="D171" s="8"/>
      <c r="E171" s="8"/>
      <c r="F171" s="133"/>
      <c r="G171" s="200"/>
      <c r="H171" s="200"/>
      <c r="I171" s="133"/>
      <c r="J171" s="8"/>
      <c r="K171" s="8"/>
      <c r="L171" s="8"/>
      <c r="M171" s="8"/>
      <c r="N171" s="133"/>
      <c r="O171" s="200"/>
      <c r="P171" s="200"/>
      <c r="Q171" s="133"/>
      <c r="R171" s="8"/>
      <c r="S171" s="8"/>
      <c r="T171" s="8"/>
      <c r="U171" s="8"/>
      <c r="V171" s="133"/>
      <c r="W171" s="200"/>
      <c r="X171" s="200"/>
    </row>
    <row r="172" spans="1:24" x14ac:dyDescent="0.25">
      <c r="A172" s="133"/>
      <c r="B172" s="8"/>
      <c r="C172" s="8"/>
      <c r="D172" s="8"/>
      <c r="E172" s="8"/>
      <c r="F172" s="133"/>
      <c r="G172" s="200"/>
      <c r="H172" s="200"/>
      <c r="I172" s="133"/>
      <c r="J172" s="8"/>
      <c r="K172" s="8"/>
      <c r="L172" s="8"/>
      <c r="M172" s="8"/>
      <c r="N172" s="133"/>
      <c r="O172" s="200"/>
      <c r="P172" s="200"/>
      <c r="Q172" s="133"/>
      <c r="R172" s="8"/>
      <c r="S172" s="8"/>
      <c r="T172" s="8"/>
      <c r="U172" s="8"/>
      <c r="V172" s="133"/>
      <c r="W172" s="200"/>
      <c r="X172" s="200"/>
    </row>
    <row r="173" spans="1:24" x14ac:dyDescent="0.25">
      <c r="A173" s="220" t="s">
        <v>5482</v>
      </c>
      <c r="B173" s="138" t="s">
        <v>705</v>
      </c>
      <c r="C173" s="2449" t="s">
        <v>6225</v>
      </c>
      <c r="D173" s="2449"/>
      <c r="E173" s="2449"/>
      <c r="F173" s="220" t="s">
        <v>867</v>
      </c>
      <c r="G173" s="222" t="s">
        <v>5418</v>
      </c>
      <c r="H173" s="200"/>
      <c r="I173" s="220" t="s">
        <v>5482</v>
      </c>
      <c r="J173" s="138" t="s">
        <v>705</v>
      </c>
      <c r="K173" s="2449" t="s">
        <v>6226</v>
      </c>
      <c r="L173" s="2449"/>
      <c r="M173" s="2449"/>
      <c r="N173" s="220" t="s">
        <v>867</v>
      </c>
      <c r="O173" s="222" t="s">
        <v>5418</v>
      </c>
      <c r="P173" s="200"/>
      <c r="Q173" s="220" t="s">
        <v>5482</v>
      </c>
      <c r="R173" s="138" t="s">
        <v>705</v>
      </c>
      <c r="S173" s="2449" t="s">
        <v>6227</v>
      </c>
      <c r="T173" s="2449"/>
      <c r="U173" s="2449"/>
      <c r="V173" s="220" t="s">
        <v>867</v>
      </c>
      <c r="W173" s="222" t="s">
        <v>5418</v>
      </c>
      <c r="X173" s="200"/>
    </row>
    <row r="174" spans="1:24" x14ac:dyDescent="0.25">
      <c r="A174" s="133"/>
      <c r="B174" s="8"/>
      <c r="C174" s="223"/>
      <c r="D174" s="223"/>
      <c r="E174" s="223"/>
      <c r="F174" s="133"/>
      <c r="G174" s="200"/>
      <c r="H174" s="200"/>
      <c r="I174" s="133"/>
      <c r="J174" s="8"/>
      <c r="K174" s="223"/>
      <c r="L174" s="223"/>
      <c r="M174" s="223"/>
      <c r="N174" s="133"/>
      <c r="O174" s="200"/>
      <c r="P174" s="200"/>
      <c r="Q174" s="133"/>
      <c r="R174" s="8"/>
      <c r="S174" s="223"/>
      <c r="T174" s="223"/>
      <c r="U174" s="223"/>
      <c r="V174" s="133"/>
      <c r="W174" s="200"/>
      <c r="X174" s="200"/>
    </row>
    <row r="175" spans="1:24" x14ac:dyDescent="0.25">
      <c r="A175" s="133"/>
      <c r="B175" s="8"/>
      <c r="C175" s="8"/>
      <c r="D175" s="8"/>
      <c r="E175" s="8"/>
      <c r="F175" s="8"/>
      <c r="G175" s="8"/>
      <c r="H175" s="200"/>
      <c r="I175" s="133"/>
      <c r="J175" s="8"/>
      <c r="K175" s="8"/>
      <c r="L175" s="8"/>
      <c r="M175" s="8"/>
      <c r="N175" s="8"/>
      <c r="O175" s="8"/>
      <c r="P175" s="200"/>
      <c r="Q175" s="133"/>
      <c r="R175" s="8"/>
      <c r="S175" s="8"/>
      <c r="T175" s="8"/>
      <c r="U175" s="8"/>
      <c r="V175" s="8"/>
      <c r="W175" s="8"/>
      <c r="X175" s="200"/>
    </row>
    <row r="176" spans="1:24" ht="15.75" thickBot="1" x14ac:dyDescent="0.3">
      <c r="A176" s="133"/>
      <c r="B176" s="8"/>
      <c r="C176" s="8"/>
      <c r="D176" s="8"/>
      <c r="E176" s="8"/>
      <c r="F176" s="133"/>
      <c r="G176" s="200"/>
      <c r="H176" s="200"/>
      <c r="I176" s="133"/>
      <c r="J176" s="8"/>
      <c r="K176" s="8"/>
      <c r="L176" s="8"/>
      <c r="M176" s="8"/>
      <c r="N176" s="133"/>
      <c r="O176" s="200"/>
      <c r="P176" s="200"/>
      <c r="Q176" s="133"/>
      <c r="R176" s="8"/>
      <c r="S176" s="8"/>
      <c r="T176" s="8"/>
      <c r="U176" s="8"/>
      <c r="V176" s="133"/>
      <c r="W176" s="200"/>
      <c r="X176" s="200"/>
    </row>
    <row r="177" spans="1:24" ht="15.75" thickBot="1" x14ac:dyDescent="0.3">
      <c r="A177" s="133"/>
      <c r="B177" s="224" t="s">
        <v>5403</v>
      </c>
      <c r="C177" s="193" t="s">
        <v>867</v>
      </c>
      <c r="D177" s="193" t="s">
        <v>6</v>
      </c>
      <c r="E177" s="193" t="s">
        <v>5439</v>
      </c>
      <c r="F177" s="193" t="s">
        <v>5405</v>
      </c>
      <c r="G177" s="225" t="s">
        <v>868</v>
      </c>
      <c r="H177" s="200"/>
      <c r="I177" s="133"/>
      <c r="J177" s="224" t="s">
        <v>5403</v>
      </c>
      <c r="K177" s="193" t="s">
        <v>867</v>
      </c>
      <c r="L177" s="193" t="s">
        <v>6</v>
      </c>
      <c r="M177" s="193" t="s">
        <v>5439</v>
      </c>
      <c r="N177" s="193" t="s">
        <v>5405</v>
      </c>
      <c r="O177" s="225" t="s">
        <v>868</v>
      </c>
      <c r="P177" s="200"/>
      <c r="Q177" s="133"/>
      <c r="R177" s="224" t="s">
        <v>5403</v>
      </c>
      <c r="S177" s="193" t="s">
        <v>867</v>
      </c>
      <c r="T177" s="193" t="s">
        <v>6</v>
      </c>
      <c r="U177" s="193" t="s">
        <v>5439</v>
      </c>
      <c r="V177" s="193" t="s">
        <v>5405</v>
      </c>
      <c r="W177" s="225" t="s">
        <v>868</v>
      </c>
      <c r="X177" s="200"/>
    </row>
    <row r="178" spans="1:24" x14ac:dyDescent="0.25">
      <c r="A178" s="133"/>
      <c r="B178" s="195" t="s">
        <v>5440</v>
      </c>
      <c r="C178" s="226" t="s">
        <v>5402</v>
      </c>
      <c r="D178" s="226">
        <v>1</v>
      </c>
      <c r="E178" s="227">
        <f>+H216</f>
        <v>10637.5</v>
      </c>
      <c r="F178" s="226">
        <v>0.1</v>
      </c>
      <c r="G178" s="292">
        <f>+E178*F178</f>
        <v>1063.75</v>
      </c>
      <c r="H178" s="200"/>
      <c r="I178" s="133"/>
      <c r="J178" s="195" t="s">
        <v>5440</v>
      </c>
      <c r="K178" s="226" t="s">
        <v>5402</v>
      </c>
      <c r="L178" s="226">
        <v>1</v>
      </c>
      <c r="M178" s="227">
        <f>+P216</f>
        <v>15308.75</v>
      </c>
      <c r="N178" s="226">
        <v>0.1</v>
      </c>
      <c r="O178" s="292">
        <f>+M178*N178</f>
        <v>1530.875</v>
      </c>
      <c r="P178" s="200"/>
      <c r="Q178" s="133"/>
      <c r="R178" s="195" t="s">
        <v>5440</v>
      </c>
      <c r="S178" s="226" t="s">
        <v>5402</v>
      </c>
      <c r="T178" s="226">
        <v>1</v>
      </c>
      <c r="U178" s="227">
        <f>+X216</f>
        <v>23717</v>
      </c>
      <c r="V178" s="226">
        <v>0.1</v>
      </c>
      <c r="W178" s="292">
        <f>+U178*V178</f>
        <v>2371.7000000000003</v>
      </c>
      <c r="X178" s="200"/>
    </row>
    <row r="179" spans="1:24" x14ac:dyDescent="0.25">
      <c r="A179" s="133"/>
      <c r="B179" s="195"/>
      <c r="C179" s="226"/>
      <c r="D179" s="226"/>
      <c r="E179" s="230"/>
      <c r="F179" s="226"/>
      <c r="G179" s="229"/>
      <c r="H179" s="200"/>
      <c r="I179" s="133"/>
      <c r="J179" s="195"/>
      <c r="K179" s="226"/>
      <c r="L179" s="226"/>
      <c r="M179" s="230"/>
      <c r="N179" s="226"/>
      <c r="O179" s="229"/>
      <c r="P179" s="200"/>
      <c r="Q179" s="133"/>
      <c r="R179" s="195"/>
      <c r="S179" s="226"/>
      <c r="T179" s="226"/>
      <c r="U179" s="230"/>
      <c r="V179" s="226"/>
      <c r="W179" s="229"/>
      <c r="X179" s="200"/>
    </row>
    <row r="180" spans="1:24" x14ac:dyDescent="0.25">
      <c r="A180" s="133"/>
      <c r="B180" s="195"/>
      <c r="C180" s="226"/>
      <c r="D180" s="226"/>
      <c r="E180" s="176"/>
      <c r="F180" s="226"/>
      <c r="G180" s="229"/>
      <c r="H180" s="200"/>
      <c r="I180" s="133"/>
      <c r="J180" s="195"/>
      <c r="K180" s="226"/>
      <c r="L180" s="226"/>
      <c r="M180" s="176"/>
      <c r="N180" s="226"/>
      <c r="O180" s="229"/>
      <c r="P180" s="200"/>
      <c r="Q180" s="133"/>
      <c r="R180" s="195"/>
      <c r="S180" s="226"/>
      <c r="T180" s="226"/>
      <c r="U180" s="176"/>
      <c r="V180" s="226"/>
      <c r="W180" s="229"/>
      <c r="X180" s="200"/>
    </row>
    <row r="181" spans="1:24" x14ac:dyDescent="0.25">
      <c r="A181" s="133"/>
      <c r="B181" s="195"/>
      <c r="C181" s="226"/>
      <c r="D181" s="226"/>
      <c r="E181" s="171"/>
      <c r="F181" s="226"/>
      <c r="G181" s="293"/>
      <c r="H181" s="200"/>
      <c r="I181" s="133"/>
      <c r="J181" s="195"/>
      <c r="K181" s="226"/>
      <c r="L181" s="226"/>
      <c r="M181" s="171"/>
      <c r="N181" s="226"/>
      <c r="O181" s="293"/>
      <c r="P181" s="200"/>
      <c r="Q181" s="133"/>
      <c r="R181" s="195"/>
      <c r="S181" s="226"/>
      <c r="T181" s="226"/>
      <c r="U181" s="171"/>
      <c r="V181" s="226"/>
      <c r="W181" s="293"/>
      <c r="X181" s="200"/>
    </row>
    <row r="182" spans="1:24" x14ac:dyDescent="0.25">
      <c r="A182" s="133"/>
      <c r="B182" s="195"/>
      <c r="C182" s="226"/>
      <c r="D182" s="232"/>
      <c r="E182" s="232"/>
      <c r="F182" s="226"/>
      <c r="G182" s="229"/>
      <c r="H182" s="200"/>
      <c r="I182" s="133"/>
      <c r="J182" s="195"/>
      <c r="K182" s="226"/>
      <c r="L182" s="232"/>
      <c r="M182" s="232"/>
      <c r="N182" s="226"/>
      <c r="O182" s="229"/>
      <c r="P182" s="200"/>
      <c r="Q182" s="133"/>
      <c r="R182" s="195"/>
      <c r="S182" s="226"/>
      <c r="T182" s="232"/>
      <c r="U182" s="232"/>
      <c r="V182" s="226"/>
      <c r="W182" s="229"/>
      <c r="X182" s="200"/>
    </row>
    <row r="183" spans="1:24" ht="15.75" thickBot="1" x14ac:dyDescent="0.3">
      <c r="A183" s="133"/>
      <c r="B183" s="195"/>
      <c r="C183" s="226"/>
      <c r="D183" s="232"/>
      <c r="E183" s="232"/>
      <c r="F183" s="226"/>
      <c r="G183" s="229"/>
      <c r="H183" s="200"/>
      <c r="I183" s="133"/>
      <c r="J183" s="195"/>
      <c r="K183" s="226"/>
      <c r="L183" s="232"/>
      <c r="M183" s="232"/>
      <c r="N183" s="226"/>
      <c r="O183" s="229"/>
      <c r="P183" s="200"/>
      <c r="Q183" s="133"/>
      <c r="R183" s="195"/>
      <c r="S183" s="226"/>
      <c r="T183" s="232"/>
      <c r="U183" s="232"/>
      <c r="V183" s="226"/>
      <c r="W183" s="229"/>
      <c r="X183" s="200"/>
    </row>
    <row r="184" spans="1:24" ht="15.75" thickBot="1" x14ac:dyDescent="0.3">
      <c r="A184" s="133"/>
      <c r="B184" s="233"/>
      <c r="C184" s="234"/>
      <c r="D184" s="234"/>
      <c r="E184" s="234"/>
      <c r="F184" s="235"/>
      <c r="G184" s="236"/>
      <c r="H184" s="237">
        <f>+SUM(G178:G184)</f>
        <v>1063.75</v>
      </c>
      <c r="I184" s="133"/>
      <c r="J184" s="233"/>
      <c r="K184" s="234"/>
      <c r="L184" s="234"/>
      <c r="M184" s="234"/>
      <c r="N184" s="235"/>
      <c r="O184" s="236"/>
      <c r="P184" s="237">
        <f>+SUM(O178:O184)</f>
        <v>1530.875</v>
      </c>
      <c r="Q184" s="133"/>
      <c r="R184" s="233"/>
      <c r="S184" s="234"/>
      <c r="T184" s="234"/>
      <c r="U184" s="234"/>
      <c r="V184" s="235"/>
      <c r="W184" s="236"/>
      <c r="X184" s="237">
        <f>+SUM(W178:W184)</f>
        <v>2371.7000000000003</v>
      </c>
    </row>
    <row r="185" spans="1:24" ht="15.75" thickBot="1" x14ac:dyDescent="0.3">
      <c r="A185" s="133"/>
      <c r="B185" s="238"/>
      <c r="C185" s="238"/>
      <c r="D185" s="238"/>
      <c r="E185" s="238"/>
      <c r="F185" s="239"/>
      <c r="G185" s="240"/>
      <c r="H185" s="241"/>
      <c r="I185" s="133"/>
      <c r="J185" s="238"/>
      <c r="K185" s="238"/>
      <c r="L185" s="238"/>
      <c r="M185" s="238"/>
      <c r="N185" s="239"/>
      <c r="O185" s="240"/>
      <c r="P185" s="241"/>
      <c r="Q185" s="133"/>
      <c r="R185" s="238"/>
      <c r="S185" s="238"/>
      <c r="T185" s="238"/>
      <c r="U185" s="238"/>
      <c r="V185" s="239"/>
      <c r="W185" s="240"/>
      <c r="X185" s="241"/>
    </row>
    <row r="186" spans="1:24" ht="15.75" thickBot="1" x14ac:dyDescent="0.3">
      <c r="A186" s="133"/>
      <c r="B186" s="224" t="s">
        <v>5408</v>
      </c>
      <c r="C186" s="193" t="s">
        <v>867</v>
      </c>
      <c r="D186" s="193" t="s">
        <v>6</v>
      </c>
      <c r="E186" s="193" t="s">
        <v>870</v>
      </c>
      <c r="F186" s="193" t="s">
        <v>5409</v>
      </c>
      <c r="G186" s="225" t="s">
        <v>868</v>
      </c>
      <c r="H186" s="200"/>
      <c r="I186" s="133"/>
      <c r="J186" s="224" t="s">
        <v>5408</v>
      </c>
      <c r="K186" s="193" t="s">
        <v>867</v>
      </c>
      <c r="L186" s="193" t="s">
        <v>6</v>
      </c>
      <c r="M186" s="193" t="s">
        <v>870</v>
      </c>
      <c r="N186" s="193" t="s">
        <v>5409</v>
      </c>
      <c r="O186" s="225" t="s">
        <v>868</v>
      </c>
      <c r="P186" s="200"/>
      <c r="Q186" s="133"/>
      <c r="R186" s="224" t="s">
        <v>5408</v>
      </c>
      <c r="S186" s="193" t="s">
        <v>867</v>
      </c>
      <c r="T186" s="193" t="s">
        <v>6</v>
      </c>
      <c r="U186" s="193" t="s">
        <v>870</v>
      </c>
      <c r="V186" s="193" t="s">
        <v>5409</v>
      </c>
      <c r="W186" s="225" t="s">
        <v>868</v>
      </c>
      <c r="X186" s="473"/>
    </row>
    <row r="187" spans="1:24" x14ac:dyDescent="0.25">
      <c r="A187" s="133"/>
      <c r="B187" s="258" t="s">
        <v>6133</v>
      </c>
      <c r="C187" s="202" t="s">
        <v>5424</v>
      </c>
      <c r="D187" s="226">
        <v>31</v>
      </c>
      <c r="E187" s="244">
        <v>450</v>
      </c>
      <c r="F187" s="169">
        <v>0.05</v>
      </c>
      <c r="G187" s="294">
        <f>+D187*E187*(1+F187)</f>
        <v>14647.5</v>
      </c>
      <c r="H187" s="472"/>
      <c r="I187" s="133"/>
      <c r="J187" s="258" t="s">
        <v>6133</v>
      </c>
      <c r="K187" s="202" t="s">
        <v>5424</v>
      </c>
      <c r="L187" s="226">
        <v>55</v>
      </c>
      <c r="M187" s="244">
        <v>450</v>
      </c>
      <c r="N187" s="169">
        <v>0.05</v>
      </c>
      <c r="O187" s="294">
        <f>+L187*M187*(1+N187)</f>
        <v>25987.5</v>
      </c>
      <c r="P187" s="200"/>
      <c r="Q187" s="133"/>
      <c r="R187" s="258" t="s">
        <v>6133</v>
      </c>
      <c r="S187" s="202" t="s">
        <v>5424</v>
      </c>
      <c r="T187" s="226">
        <v>110</v>
      </c>
      <c r="U187" s="244">
        <v>450</v>
      </c>
      <c r="V187" s="169">
        <v>0.05</v>
      </c>
      <c r="W187" s="294">
        <f>+T187*U187*(1+V187)</f>
        <v>51975</v>
      </c>
      <c r="X187" s="473"/>
    </row>
    <row r="188" spans="1:24" x14ac:dyDescent="0.25">
      <c r="A188" s="133"/>
      <c r="B188" s="260" t="s">
        <v>6009</v>
      </c>
      <c r="C188" s="202" t="s">
        <v>5542</v>
      </c>
      <c r="D188" s="202">
        <v>8.9999999999999993E-3</v>
      </c>
      <c r="E188" s="257">
        <v>258470</v>
      </c>
      <c r="F188" s="169">
        <v>0.05</v>
      </c>
      <c r="G188" s="294">
        <f>+D188*E188*(1+F188)</f>
        <v>2442.5415000000003</v>
      </c>
      <c r="H188" s="473"/>
      <c r="I188" s="133"/>
      <c r="J188" s="260" t="s">
        <v>6009</v>
      </c>
      <c r="K188" s="202" t="s">
        <v>5542</v>
      </c>
      <c r="L188" s="202">
        <v>1.7999999999999999E-2</v>
      </c>
      <c r="M188" s="257">
        <v>258470</v>
      </c>
      <c r="N188" s="169">
        <v>0.05</v>
      </c>
      <c r="O188" s="294">
        <f>+L188*M188*(1+N188)</f>
        <v>4885.0830000000005</v>
      </c>
      <c r="P188" s="200"/>
      <c r="Q188" s="133"/>
      <c r="R188" s="260" t="s">
        <v>6009</v>
      </c>
      <c r="S188" s="202" t="s">
        <v>5542</v>
      </c>
      <c r="T188" s="202">
        <v>0.04</v>
      </c>
      <c r="U188" s="257">
        <v>258470</v>
      </c>
      <c r="V188" s="169">
        <v>0.05</v>
      </c>
      <c r="W188" s="294">
        <f>+T188*U188*(1+V188)</f>
        <v>10855.740000000002</v>
      </c>
      <c r="X188" s="473"/>
    </row>
    <row r="189" spans="1:24" x14ac:dyDescent="0.25">
      <c r="A189" s="133"/>
      <c r="B189" s="247"/>
      <c r="C189" s="226"/>
      <c r="D189" s="226"/>
      <c r="E189" s="244"/>
      <c r="F189" s="169"/>
      <c r="G189" s="294"/>
      <c r="H189" s="473"/>
      <c r="I189" s="133"/>
      <c r="J189" s="247"/>
      <c r="K189" s="226"/>
      <c r="L189" s="226"/>
      <c r="M189" s="244"/>
      <c r="N189" s="169"/>
      <c r="O189" s="294"/>
      <c r="P189" s="200"/>
      <c r="Q189" s="133"/>
      <c r="R189" s="247"/>
      <c r="S189" s="226"/>
      <c r="T189" s="226"/>
      <c r="U189" s="244"/>
      <c r="V189" s="169"/>
      <c r="W189" s="294"/>
      <c r="X189" s="473"/>
    </row>
    <row r="190" spans="1:24" x14ac:dyDescent="0.25">
      <c r="A190" s="133"/>
      <c r="B190" s="194"/>
      <c r="C190" s="226"/>
      <c r="D190" s="226"/>
      <c r="E190" s="171"/>
      <c r="F190" s="169"/>
      <c r="G190" s="294"/>
      <c r="H190" s="473"/>
      <c r="I190" s="133"/>
      <c r="J190" s="194"/>
      <c r="K190" s="226"/>
      <c r="L190" s="226"/>
      <c r="M190" s="171"/>
      <c r="N190" s="169"/>
      <c r="O190" s="294"/>
      <c r="P190" s="200"/>
      <c r="Q190" s="133"/>
      <c r="R190" s="194"/>
      <c r="S190" s="226"/>
      <c r="T190" s="226"/>
      <c r="U190" s="171"/>
      <c r="V190" s="169"/>
      <c r="W190" s="294"/>
      <c r="X190" s="473"/>
    </row>
    <row r="191" spans="1:24" x14ac:dyDescent="0.25">
      <c r="A191" s="133"/>
      <c r="B191" s="195"/>
      <c r="C191" s="226"/>
      <c r="D191" s="226"/>
      <c r="E191" s="171"/>
      <c r="F191" s="169"/>
      <c r="G191" s="178"/>
      <c r="H191" s="200"/>
      <c r="I191" s="133"/>
      <c r="J191" s="195"/>
      <c r="K191" s="226"/>
      <c r="L191" s="226"/>
      <c r="M191" s="171"/>
      <c r="N191" s="169"/>
      <c r="O191" s="178"/>
      <c r="P191" s="200"/>
      <c r="Q191" s="133"/>
      <c r="R191" s="195"/>
      <c r="S191" s="226"/>
      <c r="T191" s="226"/>
      <c r="U191" s="171"/>
      <c r="V191" s="169"/>
      <c r="W191" s="178"/>
      <c r="X191" s="473"/>
    </row>
    <row r="192" spans="1:24" x14ac:dyDescent="0.25">
      <c r="A192" s="133"/>
      <c r="B192" s="194"/>
      <c r="C192" s="202"/>
      <c r="D192" s="202"/>
      <c r="E192" s="171"/>
      <c r="F192" s="169"/>
      <c r="G192" s="178"/>
      <c r="H192" s="200"/>
      <c r="I192" s="133"/>
      <c r="J192" s="194"/>
      <c r="K192" s="202"/>
      <c r="L192" s="202"/>
      <c r="M192" s="171"/>
      <c r="N192" s="169"/>
      <c r="O192" s="178"/>
      <c r="P192" s="200"/>
      <c r="Q192" s="133"/>
      <c r="R192" s="194"/>
      <c r="S192" s="202"/>
      <c r="T192" s="202"/>
      <c r="U192" s="171"/>
      <c r="V192" s="169"/>
      <c r="W192" s="178"/>
      <c r="X192" s="200"/>
    </row>
    <row r="193" spans="1:24" x14ac:dyDescent="0.25">
      <c r="A193" s="133"/>
      <c r="B193" s="195"/>
      <c r="C193" s="226"/>
      <c r="D193" s="226"/>
      <c r="E193" s="171"/>
      <c r="F193" s="169"/>
      <c r="G193" s="178"/>
      <c r="H193" s="200"/>
      <c r="I193" s="133"/>
      <c r="J193" s="195"/>
      <c r="K193" s="226"/>
      <c r="L193" s="226"/>
      <c r="M193" s="171"/>
      <c r="N193" s="169"/>
      <c r="O193" s="178"/>
      <c r="P193" s="200"/>
      <c r="Q193" s="133"/>
      <c r="R193" s="195"/>
      <c r="S193" s="226"/>
      <c r="T193" s="226"/>
      <c r="U193" s="171"/>
      <c r="V193" s="169"/>
      <c r="W193" s="178"/>
      <c r="X193" s="200"/>
    </row>
    <row r="194" spans="1:24" x14ac:dyDescent="0.25">
      <c r="A194" s="133"/>
      <c r="B194" s="195"/>
      <c r="C194" s="226"/>
      <c r="D194" s="226"/>
      <c r="E194" s="171"/>
      <c r="F194" s="169"/>
      <c r="G194" s="178"/>
      <c r="H194" s="200"/>
      <c r="I194" s="133"/>
      <c r="J194" s="195"/>
      <c r="K194" s="226"/>
      <c r="L194" s="226"/>
      <c r="M194" s="171"/>
      <c r="N194" s="169"/>
      <c r="O194" s="178"/>
      <c r="P194" s="200"/>
      <c r="Q194" s="133"/>
      <c r="R194" s="195"/>
      <c r="S194" s="226"/>
      <c r="T194" s="226"/>
      <c r="U194" s="171"/>
      <c r="V194" s="169"/>
      <c r="W194" s="178"/>
      <c r="X194" s="200"/>
    </row>
    <row r="195" spans="1:24" x14ac:dyDescent="0.25">
      <c r="A195" s="133"/>
      <c r="B195" s="195"/>
      <c r="C195" s="232"/>
      <c r="D195" s="232"/>
      <c r="E195" s="232"/>
      <c r="F195" s="226"/>
      <c r="G195" s="229"/>
      <c r="H195" s="200"/>
      <c r="I195" s="133"/>
      <c r="J195" s="195"/>
      <c r="K195" s="232"/>
      <c r="L195" s="232"/>
      <c r="M195" s="232"/>
      <c r="N195" s="226"/>
      <c r="O195" s="229"/>
      <c r="P195" s="200"/>
      <c r="Q195" s="133"/>
      <c r="R195" s="195"/>
      <c r="S195" s="232"/>
      <c r="T195" s="232"/>
      <c r="U195" s="232"/>
      <c r="V195" s="226"/>
      <c r="W195" s="229"/>
      <c r="X195" s="200"/>
    </row>
    <row r="196" spans="1:24" x14ac:dyDescent="0.25">
      <c r="A196" s="133"/>
      <c r="B196" s="195"/>
      <c r="C196" s="232"/>
      <c r="D196" s="232"/>
      <c r="E196" s="232"/>
      <c r="F196" s="226"/>
      <c r="G196" s="229"/>
      <c r="H196" s="200"/>
      <c r="I196" s="133"/>
      <c r="J196" s="195"/>
      <c r="K196" s="232"/>
      <c r="L196" s="232"/>
      <c r="M196" s="232"/>
      <c r="N196" s="226"/>
      <c r="O196" s="229"/>
      <c r="P196" s="200"/>
      <c r="Q196" s="133"/>
      <c r="R196" s="195"/>
      <c r="S196" s="232"/>
      <c r="T196" s="232"/>
      <c r="U196" s="232"/>
      <c r="V196" s="226"/>
      <c r="W196" s="229"/>
      <c r="X196" s="200"/>
    </row>
    <row r="197" spans="1:24" x14ac:dyDescent="0.25">
      <c r="A197" s="133"/>
      <c r="B197" s="195"/>
      <c r="C197" s="232"/>
      <c r="D197" s="232"/>
      <c r="E197" s="232"/>
      <c r="F197" s="226"/>
      <c r="G197" s="229"/>
      <c r="H197" s="200"/>
      <c r="I197" s="133"/>
      <c r="J197" s="195"/>
      <c r="K197" s="232"/>
      <c r="L197" s="232"/>
      <c r="M197" s="232"/>
      <c r="N197" s="226"/>
      <c r="O197" s="229"/>
      <c r="P197" s="200"/>
      <c r="Q197" s="133"/>
      <c r="R197" s="195"/>
      <c r="S197" s="232"/>
      <c r="T197" s="232"/>
      <c r="U197" s="232"/>
      <c r="V197" s="226"/>
      <c r="W197" s="229"/>
      <c r="X197" s="200"/>
    </row>
    <row r="198" spans="1:24" ht="15.75" thickBot="1" x14ac:dyDescent="0.3">
      <c r="A198" s="133"/>
      <c r="B198" s="195"/>
      <c r="C198" s="232"/>
      <c r="D198" s="232"/>
      <c r="E198" s="232"/>
      <c r="F198" s="226"/>
      <c r="G198" s="229"/>
      <c r="H198" s="200"/>
      <c r="I198" s="133"/>
      <c r="J198" s="195"/>
      <c r="K198" s="232"/>
      <c r="L198" s="232"/>
      <c r="M198" s="232"/>
      <c r="N198" s="226"/>
      <c r="O198" s="229"/>
      <c r="P198" s="200"/>
      <c r="Q198" s="133"/>
      <c r="R198" s="195"/>
      <c r="S198" s="232"/>
      <c r="T198" s="232"/>
      <c r="U198" s="232"/>
      <c r="V198" s="226"/>
      <c r="W198" s="229"/>
      <c r="X198" s="200"/>
    </row>
    <row r="199" spans="1:24" ht="15.75" thickBot="1" x14ac:dyDescent="0.3">
      <c r="A199" s="133"/>
      <c r="B199" s="233"/>
      <c r="C199" s="234"/>
      <c r="D199" s="234"/>
      <c r="E199" s="234"/>
      <c r="F199" s="235"/>
      <c r="G199" s="236"/>
      <c r="H199" s="256">
        <f>+SUM(G187:G199)</f>
        <v>17090.041499999999</v>
      </c>
      <c r="I199" s="133"/>
      <c r="J199" s="233"/>
      <c r="K199" s="234"/>
      <c r="L199" s="234"/>
      <c r="M199" s="234"/>
      <c r="N199" s="235"/>
      <c r="O199" s="236"/>
      <c r="P199" s="256">
        <f>+SUM(O187:O199)</f>
        <v>30872.582999999999</v>
      </c>
      <c r="Q199" s="133"/>
      <c r="R199" s="233"/>
      <c r="S199" s="234"/>
      <c r="T199" s="234"/>
      <c r="U199" s="234"/>
      <c r="V199" s="235"/>
      <c r="W199" s="236"/>
      <c r="X199" s="256">
        <f>+SUM(W187:W199)</f>
        <v>62830.740000000005</v>
      </c>
    </row>
    <row r="200" spans="1:24" ht="15.75" thickBot="1" x14ac:dyDescent="0.3">
      <c r="A200" s="133"/>
      <c r="B200" s="238"/>
      <c r="C200" s="238"/>
      <c r="D200" s="238"/>
      <c r="E200" s="238"/>
      <c r="F200" s="239"/>
      <c r="G200" s="240"/>
      <c r="H200" s="241"/>
      <c r="I200" s="133"/>
      <c r="J200" s="238"/>
      <c r="K200" s="238"/>
      <c r="L200" s="238"/>
      <c r="M200" s="238"/>
      <c r="N200" s="239"/>
      <c r="O200" s="240"/>
      <c r="P200" s="241"/>
      <c r="Q200" s="133"/>
      <c r="R200" s="238"/>
      <c r="S200" s="238"/>
      <c r="T200" s="238"/>
      <c r="U200" s="238"/>
      <c r="V200" s="239"/>
      <c r="W200" s="240"/>
      <c r="X200" s="241"/>
    </row>
    <row r="201" spans="1:24" ht="15.75" thickBot="1" x14ac:dyDescent="0.3">
      <c r="A201" s="133"/>
      <c r="B201" s="224" t="s">
        <v>5410</v>
      </c>
      <c r="C201" s="193" t="s">
        <v>867</v>
      </c>
      <c r="D201" s="193" t="s">
        <v>6</v>
      </c>
      <c r="E201" s="193" t="s">
        <v>870</v>
      </c>
      <c r="F201" s="193" t="s">
        <v>5411</v>
      </c>
      <c r="G201" s="225" t="s">
        <v>868</v>
      </c>
      <c r="H201" s="200"/>
      <c r="I201" s="133"/>
      <c r="J201" s="224" t="s">
        <v>5410</v>
      </c>
      <c r="K201" s="193" t="s">
        <v>867</v>
      </c>
      <c r="L201" s="193" t="s">
        <v>6</v>
      </c>
      <c r="M201" s="193" t="s">
        <v>870</v>
      </c>
      <c r="N201" s="193" t="s">
        <v>5411</v>
      </c>
      <c r="O201" s="225" t="s">
        <v>868</v>
      </c>
      <c r="P201" s="200"/>
      <c r="Q201" s="133"/>
      <c r="R201" s="224" t="s">
        <v>5410</v>
      </c>
      <c r="S201" s="193" t="s">
        <v>867</v>
      </c>
      <c r="T201" s="193" t="s">
        <v>6</v>
      </c>
      <c r="U201" s="193" t="s">
        <v>870</v>
      </c>
      <c r="V201" s="193" t="s">
        <v>5411</v>
      </c>
      <c r="W201" s="225" t="s">
        <v>868</v>
      </c>
      <c r="X201" s="200"/>
    </row>
    <row r="202" spans="1:24" x14ac:dyDescent="0.25">
      <c r="A202" s="133"/>
      <c r="B202" s="245"/>
      <c r="C202" s="202"/>
      <c r="D202" s="202"/>
      <c r="E202" s="175"/>
      <c r="F202" s="202"/>
      <c r="G202" s="203"/>
      <c r="H202" s="246"/>
      <c r="I202" s="133"/>
      <c r="J202" s="245"/>
      <c r="K202" s="202"/>
      <c r="L202" s="202"/>
      <c r="M202" s="175"/>
      <c r="N202" s="202"/>
      <c r="O202" s="203"/>
      <c r="P202" s="246"/>
      <c r="Q202" s="133"/>
      <c r="R202" s="245"/>
      <c r="S202" s="202"/>
      <c r="T202" s="202"/>
      <c r="U202" s="175"/>
      <c r="V202" s="202"/>
      <c r="W202" s="203"/>
      <c r="X202" s="246"/>
    </row>
    <row r="203" spans="1:24" x14ac:dyDescent="0.25">
      <c r="A203" s="133"/>
      <c r="B203" s="247"/>
      <c r="C203" s="248"/>
      <c r="D203" s="248"/>
      <c r="E203" s="248"/>
      <c r="F203" s="202"/>
      <c r="G203" s="178"/>
      <c r="H203" s="200"/>
      <c r="I203" s="133"/>
      <c r="J203" s="247"/>
      <c r="K203" s="248"/>
      <c r="L203" s="248"/>
      <c r="M203" s="248"/>
      <c r="N203" s="202"/>
      <c r="O203" s="178"/>
      <c r="P203" s="200"/>
      <c r="Q203" s="133"/>
      <c r="R203" s="247"/>
      <c r="S203" s="248"/>
      <c r="T203" s="248"/>
      <c r="U203" s="248"/>
      <c r="V203" s="202"/>
      <c r="W203" s="178"/>
      <c r="X203" s="200"/>
    </row>
    <row r="204" spans="1:24" x14ac:dyDescent="0.25">
      <c r="A204" s="133"/>
      <c r="B204" s="247"/>
      <c r="C204" s="232"/>
      <c r="D204" s="232"/>
      <c r="E204" s="232"/>
      <c r="F204" s="226"/>
      <c r="G204" s="229"/>
      <c r="H204" s="200"/>
      <c r="I204" s="133"/>
      <c r="J204" s="247"/>
      <c r="K204" s="232"/>
      <c r="L204" s="232"/>
      <c r="M204" s="232"/>
      <c r="N204" s="226"/>
      <c r="O204" s="229"/>
      <c r="P204" s="200"/>
      <c r="Q204" s="133"/>
      <c r="R204" s="247"/>
      <c r="S204" s="232"/>
      <c r="T204" s="232"/>
      <c r="U204" s="232"/>
      <c r="V204" s="226"/>
      <c r="W204" s="229"/>
      <c r="X204" s="200"/>
    </row>
    <row r="205" spans="1:24" x14ac:dyDescent="0.25">
      <c r="A205" s="133"/>
      <c r="B205" s="194"/>
      <c r="C205" s="232"/>
      <c r="D205" s="232"/>
      <c r="E205" s="232"/>
      <c r="F205" s="226"/>
      <c r="G205" s="229"/>
      <c r="H205" s="200"/>
      <c r="I205" s="133"/>
      <c r="J205" s="194"/>
      <c r="K205" s="232"/>
      <c r="L205" s="232"/>
      <c r="M205" s="232"/>
      <c r="N205" s="226"/>
      <c r="O205" s="229"/>
      <c r="P205" s="200"/>
      <c r="Q205" s="133"/>
      <c r="R205" s="194"/>
      <c r="S205" s="232"/>
      <c r="T205" s="232"/>
      <c r="U205" s="232"/>
      <c r="V205" s="226"/>
      <c r="W205" s="229"/>
      <c r="X205" s="200"/>
    </row>
    <row r="206" spans="1:24" ht="15.75" thickBot="1" x14ac:dyDescent="0.3">
      <c r="A206" s="133"/>
      <c r="B206" s="195"/>
      <c r="C206" s="232"/>
      <c r="D206" s="232"/>
      <c r="E206" s="232"/>
      <c r="F206" s="226"/>
      <c r="G206" s="229"/>
      <c r="H206" s="200"/>
      <c r="I206" s="133"/>
      <c r="J206" s="195"/>
      <c r="K206" s="232"/>
      <c r="L206" s="232"/>
      <c r="M206" s="232"/>
      <c r="N206" s="226"/>
      <c r="O206" s="229"/>
      <c r="P206" s="200"/>
      <c r="Q206" s="133"/>
      <c r="R206" s="195"/>
      <c r="S206" s="232"/>
      <c r="T206" s="232"/>
      <c r="U206" s="232"/>
      <c r="V206" s="226"/>
      <c r="W206" s="229"/>
      <c r="X206" s="200"/>
    </row>
    <row r="207" spans="1:24" ht="15.75" thickBot="1" x14ac:dyDescent="0.3">
      <c r="A207" s="133"/>
      <c r="B207" s="233"/>
      <c r="C207" s="234"/>
      <c r="D207" s="234"/>
      <c r="E207" s="234"/>
      <c r="F207" s="235"/>
      <c r="G207" s="236"/>
      <c r="H207" s="237">
        <f>+SUM(G202:G207)</f>
        <v>0</v>
      </c>
      <c r="I207" s="133"/>
      <c r="J207" s="233"/>
      <c r="K207" s="234"/>
      <c r="L207" s="234"/>
      <c r="M207" s="234"/>
      <c r="N207" s="235"/>
      <c r="O207" s="236"/>
      <c r="P207" s="237">
        <f>+SUM(O202:O207)</f>
        <v>0</v>
      </c>
      <c r="Q207" s="133"/>
      <c r="R207" s="233"/>
      <c r="S207" s="234"/>
      <c r="T207" s="234"/>
      <c r="U207" s="234"/>
      <c r="V207" s="235"/>
      <c r="W207" s="236"/>
      <c r="X207" s="237">
        <f>+SUM(W202:W207)</f>
        <v>0</v>
      </c>
    </row>
    <row r="208" spans="1:24" ht="15.75" thickBot="1" x14ac:dyDescent="0.3">
      <c r="A208" s="133"/>
      <c r="B208" s="238"/>
      <c r="C208" s="238"/>
      <c r="D208" s="238"/>
      <c r="E208" s="238"/>
      <c r="F208" s="249"/>
      <c r="G208" s="250"/>
      <c r="H208" s="241"/>
      <c r="I208" s="133"/>
      <c r="J208" s="238"/>
      <c r="K208" s="238"/>
      <c r="L208" s="238"/>
      <c r="M208" s="238"/>
      <c r="N208" s="249"/>
      <c r="O208" s="250"/>
      <c r="P208" s="241"/>
      <c r="Q208" s="133"/>
      <c r="R208" s="238"/>
      <c r="S208" s="238"/>
      <c r="T208" s="238"/>
      <c r="U208" s="238"/>
      <c r="V208" s="249"/>
      <c r="W208" s="250"/>
      <c r="X208" s="241"/>
    </row>
    <row r="209" spans="1:24" ht="15.75" thickBot="1" x14ac:dyDescent="0.3">
      <c r="A209" s="133"/>
      <c r="B209" s="224" t="s">
        <v>5412</v>
      </c>
      <c r="C209" s="193" t="s">
        <v>5420</v>
      </c>
      <c r="D209" s="193" t="s">
        <v>5421</v>
      </c>
      <c r="E209" s="193" t="s">
        <v>5413</v>
      </c>
      <c r="F209" s="193" t="s">
        <v>5405</v>
      </c>
      <c r="G209" s="225" t="s">
        <v>868</v>
      </c>
      <c r="H209" s="200"/>
      <c r="I209" s="133"/>
      <c r="J209" s="224" t="s">
        <v>5412</v>
      </c>
      <c r="K209" s="193" t="s">
        <v>5420</v>
      </c>
      <c r="L209" s="193" t="s">
        <v>5421</v>
      </c>
      <c r="M209" s="193" t="s">
        <v>5413</v>
      </c>
      <c r="N209" s="193" t="s">
        <v>5405</v>
      </c>
      <c r="O209" s="225" t="s">
        <v>868</v>
      </c>
      <c r="P209" s="200"/>
      <c r="Q209" s="133"/>
      <c r="R209" s="224" t="s">
        <v>5412</v>
      </c>
      <c r="S209" s="193" t="s">
        <v>5420</v>
      </c>
      <c r="T209" s="193" t="s">
        <v>5421</v>
      </c>
      <c r="U209" s="193" t="s">
        <v>5413</v>
      </c>
      <c r="V209" s="193" t="s">
        <v>5405</v>
      </c>
      <c r="W209" s="225" t="s">
        <v>868</v>
      </c>
      <c r="X209" s="200"/>
    </row>
    <row r="210" spans="1:24" x14ac:dyDescent="0.25">
      <c r="A210" s="133"/>
      <c r="B210" s="194" t="s">
        <v>5948</v>
      </c>
      <c r="C210" s="345">
        <v>70000</v>
      </c>
      <c r="D210" s="176">
        <f>+C210*0.85</f>
        <v>59500</v>
      </c>
      <c r="E210" s="176">
        <f>+C210+D210</f>
        <v>129500</v>
      </c>
      <c r="F210" s="204">
        <v>100</v>
      </c>
      <c r="G210" s="178">
        <f>+E210/F210</f>
        <v>1295</v>
      </c>
      <c r="H210" s="200"/>
      <c r="I210" s="133"/>
      <c r="J210" s="194" t="s">
        <v>5948</v>
      </c>
      <c r="K210" s="345">
        <v>70000</v>
      </c>
      <c r="L210" s="176">
        <f>+K210*0.85</f>
        <v>59500</v>
      </c>
      <c r="M210" s="176">
        <f>+K210+L210</f>
        <v>129500</v>
      </c>
      <c r="N210" s="204">
        <v>100</v>
      </c>
      <c r="O210" s="178">
        <f>+M210/N210</f>
        <v>1295</v>
      </c>
      <c r="P210" s="200"/>
      <c r="Q210" s="133"/>
      <c r="R210" s="194" t="s">
        <v>5948</v>
      </c>
      <c r="S210" s="345">
        <v>70000</v>
      </c>
      <c r="T210" s="176">
        <f>+S210*0.85</f>
        <v>59500</v>
      </c>
      <c r="U210" s="176">
        <f>+S210+T210</f>
        <v>129500</v>
      </c>
      <c r="V210" s="204">
        <v>100</v>
      </c>
      <c r="W210" s="178">
        <f>+U210/V210</f>
        <v>1295</v>
      </c>
      <c r="X210" s="200"/>
    </row>
    <row r="211" spans="1:24" x14ac:dyDescent="0.25">
      <c r="A211" s="133"/>
      <c r="B211" s="194" t="s">
        <v>5651</v>
      </c>
      <c r="C211" s="345">
        <v>40000</v>
      </c>
      <c r="D211" s="176">
        <f>+C211*0.85</f>
        <v>34000</v>
      </c>
      <c r="E211" s="176">
        <f>+C211+D211</f>
        <v>74000</v>
      </c>
      <c r="F211" s="202">
        <v>12</v>
      </c>
      <c r="G211" s="178">
        <f>+E211/F211</f>
        <v>6166.666666666667</v>
      </c>
      <c r="H211" s="200"/>
      <c r="I211" s="133"/>
      <c r="J211" s="194" t="s">
        <v>5651</v>
      </c>
      <c r="K211" s="345">
        <v>40000</v>
      </c>
      <c r="L211" s="176">
        <f>+K211*0.85</f>
        <v>34000</v>
      </c>
      <c r="M211" s="176">
        <f>+K211+L211</f>
        <v>74000</v>
      </c>
      <c r="N211" s="202">
        <v>8</v>
      </c>
      <c r="O211" s="178">
        <f>+M211/N211</f>
        <v>9250</v>
      </c>
      <c r="P211" s="200"/>
      <c r="Q211" s="133"/>
      <c r="R211" s="194" t="s">
        <v>5651</v>
      </c>
      <c r="S211" s="345">
        <v>40000</v>
      </c>
      <c r="T211" s="176">
        <f>+S211*0.85</f>
        <v>34000</v>
      </c>
      <c r="U211" s="176">
        <f>+S211+T211</f>
        <v>74000</v>
      </c>
      <c r="V211" s="202">
        <v>5</v>
      </c>
      <c r="W211" s="178">
        <f>+U211/V211</f>
        <v>14800</v>
      </c>
      <c r="X211" s="200"/>
    </row>
    <row r="212" spans="1:24" x14ac:dyDescent="0.25">
      <c r="A212" s="133"/>
      <c r="B212" s="195" t="s">
        <v>5635</v>
      </c>
      <c r="C212" s="345">
        <v>20600</v>
      </c>
      <c r="D212" s="176">
        <f>+C212*0.85</f>
        <v>17510</v>
      </c>
      <c r="E212" s="176">
        <f>+C212+D212</f>
        <v>38110</v>
      </c>
      <c r="F212" s="226">
        <v>12</v>
      </c>
      <c r="G212" s="178">
        <f>+E212/F212</f>
        <v>3175.8333333333335</v>
      </c>
      <c r="H212" s="200"/>
      <c r="I212" s="133"/>
      <c r="J212" s="195" t="s">
        <v>5635</v>
      </c>
      <c r="K212" s="345">
        <v>20600</v>
      </c>
      <c r="L212" s="176">
        <f>+K212*0.85</f>
        <v>17510</v>
      </c>
      <c r="M212" s="176">
        <f>+K212+L212</f>
        <v>38110</v>
      </c>
      <c r="N212" s="226">
        <v>8</v>
      </c>
      <c r="O212" s="178">
        <f>+M212/N212</f>
        <v>4763.75</v>
      </c>
      <c r="P212" s="200"/>
      <c r="Q212" s="133"/>
      <c r="R212" s="195" t="s">
        <v>5635</v>
      </c>
      <c r="S212" s="345">
        <v>20600</v>
      </c>
      <c r="T212" s="176">
        <f>+S212*0.85</f>
        <v>17510</v>
      </c>
      <c r="U212" s="176">
        <f>+S212+T212</f>
        <v>38110</v>
      </c>
      <c r="V212" s="226">
        <v>5</v>
      </c>
      <c r="W212" s="178">
        <f>+U212/V212</f>
        <v>7622</v>
      </c>
      <c r="X212" s="200"/>
    </row>
    <row r="213" spans="1:24" x14ac:dyDescent="0.25">
      <c r="A213" s="133"/>
      <c r="B213" s="195"/>
      <c r="C213" s="171"/>
      <c r="D213" s="176"/>
      <c r="E213" s="176"/>
      <c r="F213" s="226"/>
      <c r="G213" s="178"/>
      <c r="H213" s="200"/>
      <c r="I213" s="133"/>
      <c r="J213" s="195"/>
      <c r="K213" s="171"/>
      <c r="L213" s="176"/>
      <c r="M213" s="176"/>
      <c r="N213" s="226"/>
      <c r="O213" s="178"/>
      <c r="P213" s="200"/>
      <c r="Q213" s="133"/>
      <c r="R213" s="195"/>
      <c r="S213" s="171"/>
      <c r="T213" s="176"/>
      <c r="U213" s="176"/>
      <c r="V213" s="226"/>
      <c r="W213" s="178"/>
      <c r="X213" s="200"/>
    </row>
    <row r="214" spans="1:24" x14ac:dyDescent="0.25">
      <c r="A214" s="133"/>
      <c r="B214" s="195"/>
      <c r="C214" s="232"/>
      <c r="D214" s="232"/>
      <c r="E214" s="232"/>
      <c r="F214" s="226"/>
      <c r="G214" s="229"/>
      <c r="H214" s="200"/>
      <c r="I214" s="133"/>
      <c r="J214" s="195"/>
      <c r="K214" s="232"/>
      <c r="L214" s="232"/>
      <c r="M214" s="232"/>
      <c r="N214" s="226"/>
      <c r="O214" s="229"/>
      <c r="P214" s="200"/>
      <c r="Q214" s="133"/>
      <c r="R214" s="195"/>
      <c r="S214" s="232"/>
      <c r="T214" s="232"/>
      <c r="U214" s="232"/>
      <c r="V214" s="226"/>
      <c r="W214" s="229"/>
      <c r="X214" s="200"/>
    </row>
    <row r="215" spans="1:24" ht="15.75" thickBot="1" x14ac:dyDescent="0.3">
      <c r="A215" s="133"/>
      <c r="B215" s="195"/>
      <c r="C215" s="232"/>
      <c r="D215" s="232"/>
      <c r="E215" s="232"/>
      <c r="F215" s="226"/>
      <c r="G215" s="229"/>
      <c r="H215" s="200"/>
      <c r="I215" s="133"/>
      <c r="J215" s="195"/>
      <c r="K215" s="232"/>
      <c r="L215" s="232"/>
      <c r="M215" s="232"/>
      <c r="N215" s="226"/>
      <c r="O215" s="229"/>
      <c r="P215" s="200"/>
      <c r="Q215" s="133"/>
      <c r="R215" s="195"/>
      <c r="S215" s="232"/>
      <c r="T215" s="232"/>
      <c r="U215" s="232"/>
      <c r="V215" s="226"/>
      <c r="W215" s="229"/>
      <c r="X215" s="200"/>
    </row>
    <row r="216" spans="1:24" ht="15.75" thickBot="1" x14ac:dyDescent="0.3">
      <c r="A216" s="133"/>
      <c r="B216" s="251"/>
      <c r="C216" s="252"/>
      <c r="D216" s="252"/>
      <c r="E216" s="252"/>
      <c r="F216" s="253"/>
      <c r="G216" s="254"/>
      <c r="H216" s="256">
        <f>+SUM(G210:G216)</f>
        <v>10637.5</v>
      </c>
      <c r="I216" s="133"/>
      <c r="J216" s="251"/>
      <c r="K216" s="252"/>
      <c r="L216" s="252"/>
      <c r="M216" s="252"/>
      <c r="N216" s="253"/>
      <c r="O216" s="254"/>
      <c r="P216" s="256">
        <f>+SUM(O210:O216)</f>
        <v>15308.75</v>
      </c>
      <c r="Q216" s="133"/>
      <c r="R216" s="251"/>
      <c r="S216" s="252"/>
      <c r="T216" s="252"/>
      <c r="U216" s="252"/>
      <c r="V216" s="253"/>
      <c r="W216" s="254"/>
      <c r="X216" s="256">
        <f>+SUM(W210:W216)</f>
        <v>23717</v>
      </c>
    </row>
    <row r="217" spans="1:24" ht="15.75" thickBot="1" x14ac:dyDescent="0.3">
      <c r="A217" s="133"/>
      <c r="B217" s="8"/>
      <c r="C217" s="8"/>
      <c r="D217" s="8"/>
      <c r="E217" s="8"/>
      <c r="F217" s="133"/>
      <c r="G217" s="200"/>
      <c r="H217" s="200"/>
      <c r="I217" s="133"/>
      <c r="J217" s="8"/>
      <c r="K217" s="8"/>
      <c r="L217" s="8"/>
      <c r="M217" s="8"/>
      <c r="N217" s="133"/>
      <c r="O217" s="200"/>
      <c r="P217" s="200"/>
      <c r="Q217" s="133"/>
      <c r="R217" s="8"/>
      <c r="S217" s="8"/>
      <c r="T217" s="8"/>
      <c r="U217" s="8"/>
      <c r="V217" s="133"/>
      <c r="W217" s="200"/>
      <c r="X217" s="200"/>
    </row>
    <row r="218" spans="1:24" ht="15.75" thickBot="1" x14ac:dyDescent="0.3">
      <c r="A218" s="133"/>
      <c r="B218" s="8"/>
      <c r="C218" s="8"/>
      <c r="D218" s="8"/>
      <c r="E218" s="223" t="s">
        <v>5415</v>
      </c>
      <c r="F218" s="133"/>
      <c r="G218" s="200"/>
      <c r="H218" s="256">
        <f>ROUND(+H216+H207+H199+H184,0)</f>
        <v>28791</v>
      </c>
      <c r="I218" s="133"/>
      <c r="J218" s="8"/>
      <c r="K218" s="8"/>
      <c r="L218" s="8"/>
      <c r="M218" s="223" t="s">
        <v>5415</v>
      </c>
      <c r="N218" s="133"/>
      <c r="O218" s="200"/>
      <c r="P218" s="256">
        <f>ROUND(+P216+P207+P199+P184,0)</f>
        <v>47712</v>
      </c>
      <c r="Q218" s="133"/>
      <c r="R218" s="8"/>
      <c r="S218" s="8"/>
      <c r="T218" s="8"/>
      <c r="U218" s="223" t="s">
        <v>5415</v>
      </c>
      <c r="V218" s="133"/>
      <c r="W218" s="200"/>
      <c r="X218" s="256">
        <f>ROUND(+X216+X207+X199+X184,0)</f>
        <v>88919</v>
      </c>
    </row>
    <row r="220" spans="1:24" x14ac:dyDescent="0.25">
      <c r="A220" s="255"/>
    </row>
    <row r="221" spans="1:24" x14ac:dyDescent="0.25">
      <c r="A221" s="255"/>
    </row>
    <row r="222" spans="1:24" x14ac:dyDescent="0.25">
      <c r="A222" s="255"/>
    </row>
    <row r="223" spans="1:24" ht="18.75" x14ac:dyDescent="0.25">
      <c r="A223" s="133"/>
      <c r="B223" s="2506" t="s">
        <v>5400</v>
      </c>
      <c r="C223" s="2506"/>
      <c r="D223" s="2506"/>
      <c r="E223" s="2506"/>
      <c r="F223" s="2506"/>
      <c r="G223" s="2506"/>
      <c r="H223" s="8"/>
    </row>
    <row r="224" spans="1:24" x14ac:dyDescent="0.25">
      <c r="A224" s="133"/>
      <c r="B224" s="8"/>
      <c r="C224" s="8"/>
      <c r="D224" s="8"/>
      <c r="E224" s="8"/>
      <c r="F224" s="133"/>
      <c r="G224" s="200"/>
      <c r="H224" s="200"/>
    </row>
    <row r="225" spans="1:8" x14ac:dyDescent="0.25">
      <c r="A225" s="133"/>
      <c r="B225" s="8"/>
      <c r="C225" s="8"/>
      <c r="D225" s="8"/>
      <c r="E225" s="8"/>
      <c r="F225" s="133"/>
      <c r="G225" s="200"/>
      <c r="H225" s="200"/>
    </row>
    <row r="226" spans="1:8" x14ac:dyDescent="0.25">
      <c r="A226" s="133"/>
      <c r="B226" s="8"/>
      <c r="C226" s="8"/>
      <c r="D226" s="8"/>
      <c r="E226" s="8"/>
      <c r="F226" s="133"/>
      <c r="G226" s="200"/>
      <c r="H226" s="200"/>
    </row>
    <row r="227" spans="1:8" x14ac:dyDescent="0.25">
      <c r="A227" s="220" t="s">
        <v>5482</v>
      </c>
      <c r="B227" s="138" t="s">
        <v>712</v>
      </c>
      <c r="C227" s="2449" t="s">
        <v>5597</v>
      </c>
      <c r="D227" s="2449"/>
      <c r="E227" s="2449"/>
      <c r="F227" s="220" t="s">
        <v>867</v>
      </c>
      <c r="G227" s="222" t="s">
        <v>5418</v>
      </c>
      <c r="H227" s="200"/>
    </row>
    <row r="228" spans="1:8" x14ac:dyDescent="0.25">
      <c r="A228" s="133"/>
      <c r="B228" s="8"/>
      <c r="C228" s="223"/>
      <c r="D228" s="223"/>
      <c r="E228" s="223"/>
      <c r="F228" s="133"/>
      <c r="G228" s="200"/>
      <c r="H228" s="200"/>
    </row>
    <row r="229" spans="1:8" x14ac:dyDescent="0.25">
      <c r="A229" s="133"/>
      <c r="B229" s="8"/>
      <c r="C229" s="8"/>
      <c r="D229" s="8"/>
      <c r="E229" s="8"/>
      <c r="F229" s="8"/>
      <c r="G229" s="8"/>
      <c r="H229" s="200"/>
    </row>
    <row r="230" spans="1:8" ht="15.75" thickBot="1" x14ac:dyDescent="0.3">
      <c r="A230" s="133"/>
      <c r="B230" s="8"/>
      <c r="C230" s="8"/>
      <c r="D230" s="8"/>
      <c r="E230" s="8"/>
      <c r="F230" s="133"/>
      <c r="G230" s="200"/>
      <c r="H230" s="200"/>
    </row>
    <row r="231" spans="1:8" ht="15.75" thickBot="1" x14ac:dyDescent="0.3">
      <c r="A231" s="133"/>
      <c r="B231" s="224" t="s">
        <v>5403</v>
      </c>
      <c r="C231" s="193" t="s">
        <v>867</v>
      </c>
      <c r="D231" s="193" t="s">
        <v>6</v>
      </c>
      <c r="E231" s="193" t="s">
        <v>5439</v>
      </c>
      <c r="F231" s="193" t="s">
        <v>5405</v>
      </c>
      <c r="G231" s="225" t="s">
        <v>868</v>
      </c>
      <c r="H231" s="200"/>
    </row>
    <row r="232" spans="1:8" x14ac:dyDescent="0.25">
      <c r="A232" s="133"/>
      <c r="B232" s="195" t="s">
        <v>5440</v>
      </c>
      <c r="C232" s="226" t="s">
        <v>5402</v>
      </c>
      <c r="D232" s="226">
        <v>1</v>
      </c>
      <c r="E232" s="227">
        <f>+H270</f>
        <v>15308.75</v>
      </c>
      <c r="F232" s="226">
        <v>0.1</v>
      </c>
      <c r="G232" s="292">
        <f>+E232*F232</f>
        <v>1530.875</v>
      </c>
      <c r="H232" s="200"/>
    </row>
    <row r="233" spans="1:8" x14ac:dyDescent="0.25">
      <c r="A233" s="133"/>
      <c r="B233" s="195"/>
      <c r="C233" s="226"/>
      <c r="D233" s="226"/>
      <c r="E233" s="230"/>
      <c r="F233" s="226"/>
      <c r="G233" s="229"/>
      <c r="H233" s="200"/>
    </row>
    <row r="234" spans="1:8" x14ac:dyDescent="0.25">
      <c r="A234" s="133"/>
      <c r="B234" s="195"/>
      <c r="C234" s="226"/>
      <c r="D234" s="226"/>
      <c r="E234" s="176"/>
      <c r="F234" s="226"/>
      <c r="G234" s="229"/>
      <c r="H234" s="200"/>
    </row>
    <row r="235" spans="1:8" x14ac:dyDescent="0.25">
      <c r="A235" s="133"/>
      <c r="B235" s="195"/>
      <c r="C235" s="226"/>
      <c r="D235" s="226"/>
      <c r="E235" s="171"/>
      <c r="F235" s="226"/>
      <c r="G235" s="293"/>
      <c r="H235" s="200"/>
    </row>
    <row r="236" spans="1:8" x14ac:dyDescent="0.25">
      <c r="A236" s="133"/>
      <c r="B236" s="195"/>
      <c r="C236" s="226"/>
      <c r="D236" s="232"/>
      <c r="E236" s="232"/>
      <c r="F236" s="226"/>
      <c r="G236" s="229"/>
      <c r="H236" s="200"/>
    </row>
    <row r="237" spans="1:8" ht="15.75" thickBot="1" x14ac:dyDescent="0.3">
      <c r="A237" s="133"/>
      <c r="B237" s="195"/>
      <c r="C237" s="226"/>
      <c r="D237" s="232"/>
      <c r="E237" s="232"/>
      <c r="F237" s="226"/>
      <c r="G237" s="229"/>
      <c r="H237" s="200"/>
    </row>
    <row r="238" spans="1:8" ht="15.75" thickBot="1" x14ac:dyDescent="0.3">
      <c r="A238" s="133"/>
      <c r="B238" s="233"/>
      <c r="C238" s="234"/>
      <c r="D238" s="234"/>
      <c r="E238" s="234"/>
      <c r="F238" s="235"/>
      <c r="G238" s="236"/>
      <c r="H238" s="237">
        <f>+SUM(G232:G238)</f>
        <v>1530.875</v>
      </c>
    </row>
    <row r="239" spans="1:8" ht="15.75" thickBot="1" x14ac:dyDescent="0.3">
      <c r="A239" s="133"/>
      <c r="B239" s="238"/>
      <c r="C239" s="238"/>
      <c r="D239" s="238"/>
      <c r="E239" s="238"/>
      <c r="F239" s="239"/>
      <c r="G239" s="240"/>
      <c r="H239" s="241"/>
    </row>
    <row r="240" spans="1:8" ht="15.75" thickBot="1" x14ac:dyDescent="0.3">
      <c r="A240" s="133"/>
      <c r="B240" s="224" t="s">
        <v>5408</v>
      </c>
      <c r="C240" s="193" t="s">
        <v>867</v>
      </c>
      <c r="D240" s="193" t="s">
        <v>6</v>
      </c>
      <c r="E240" s="193" t="s">
        <v>870</v>
      </c>
      <c r="F240" s="193" t="s">
        <v>5409</v>
      </c>
      <c r="G240" s="225" t="s">
        <v>868</v>
      </c>
      <c r="H240" s="200"/>
    </row>
    <row r="241" spans="1:10" x14ac:dyDescent="0.25">
      <c r="A241" s="133"/>
      <c r="B241" s="258" t="s">
        <v>5749</v>
      </c>
      <c r="C241" s="202" t="s">
        <v>5424</v>
      </c>
      <c r="D241" s="226">
        <v>13</v>
      </c>
      <c r="E241" s="244">
        <v>1030.58</v>
      </c>
      <c r="F241" s="169">
        <v>0.1</v>
      </c>
      <c r="G241" s="294">
        <f>+D241*E241*(1+F241)</f>
        <v>14737.294</v>
      </c>
      <c r="H241" s="200"/>
      <c r="I241">
        <f>1/J241</f>
        <v>12.499999999999998</v>
      </c>
      <c r="J241">
        <f>0.4*0.2</f>
        <v>8.0000000000000016E-2</v>
      </c>
    </row>
    <row r="242" spans="1:10" x14ac:dyDescent="0.25">
      <c r="A242" s="133"/>
      <c r="B242" s="260" t="s">
        <v>6134</v>
      </c>
      <c r="C242" s="202" t="s">
        <v>5542</v>
      </c>
      <c r="D242" s="202">
        <v>8.0000000000000002E-3</v>
      </c>
      <c r="E242" s="257">
        <v>258470</v>
      </c>
      <c r="F242" s="169">
        <v>0.05</v>
      </c>
      <c r="G242" s="294">
        <f>+D242*E242*(1+F242)</f>
        <v>2171.1480000000001</v>
      </c>
      <c r="H242" s="200"/>
      <c r="I242">
        <f>13*J242</f>
        <v>7.8000000000000005E-3</v>
      </c>
      <c r="J242">
        <f>0.6*0.01*0.1</f>
        <v>6.0000000000000006E-4</v>
      </c>
    </row>
    <row r="243" spans="1:10" x14ac:dyDescent="0.25">
      <c r="A243" s="133"/>
      <c r="B243" s="247"/>
      <c r="C243" s="226"/>
      <c r="D243" s="226"/>
      <c r="E243" s="244"/>
      <c r="F243" s="169"/>
      <c r="G243" s="294"/>
      <c r="H243" s="200"/>
    </row>
    <row r="244" spans="1:10" x14ac:dyDescent="0.25">
      <c r="A244" s="133"/>
      <c r="B244" s="194"/>
      <c r="C244" s="226"/>
      <c r="D244" s="226"/>
      <c r="E244" s="171"/>
      <c r="F244" s="169"/>
      <c r="G244" s="294"/>
      <c r="H244" s="200"/>
    </row>
    <row r="245" spans="1:10" x14ac:dyDescent="0.25">
      <c r="A245" s="133"/>
      <c r="B245" s="195"/>
      <c r="C245" s="226"/>
      <c r="D245" s="226"/>
      <c r="E245" s="171"/>
      <c r="F245" s="169"/>
      <c r="G245" s="178"/>
      <c r="H245" s="200"/>
    </row>
    <row r="246" spans="1:10" x14ac:dyDescent="0.25">
      <c r="A246" s="133"/>
      <c r="B246" s="194"/>
      <c r="C246" s="202"/>
      <c r="D246" s="202"/>
      <c r="E246" s="171"/>
      <c r="F246" s="169"/>
      <c r="G246" s="178"/>
      <c r="H246" s="200"/>
    </row>
    <row r="247" spans="1:10" x14ac:dyDescent="0.25">
      <c r="A247" s="133"/>
      <c r="B247" s="195"/>
      <c r="C247" s="226"/>
      <c r="D247" s="226"/>
      <c r="E247" s="171"/>
      <c r="F247" s="169"/>
      <c r="G247" s="178"/>
      <c r="H247" s="200"/>
    </row>
    <row r="248" spans="1:10" x14ac:dyDescent="0.25">
      <c r="A248" s="133"/>
      <c r="B248" s="195"/>
      <c r="C248" s="226"/>
      <c r="D248" s="226"/>
      <c r="E248" s="171"/>
      <c r="F248" s="169"/>
      <c r="G248" s="178"/>
      <c r="H248" s="200"/>
    </row>
    <row r="249" spans="1:10" x14ac:dyDescent="0.25">
      <c r="A249" s="133"/>
      <c r="B249" s="195"/>
      <c r="C249" s="232"/>
      <c r="D249" s="232"/>
      <c r="E249" s="232"/>
      <c r="F249" s="226"/>
      <c r="G249" s="229"/>
      <c r="H249" s="200"/>
    </row>
    <row r="250" spans="1:10" x14ac:dyDescent="0.25">
      <c r="A250" s="133"/>
      <c r="B250" s="195"/>
      <c r="C250" s="232"/>
      <c r="D250" s="232"/>
      <c r="E250" s="232"/>
      <c r="F250" s="226"/>
      <c r="G250" s="229"/>
      <c r="H250" s="200"/>
    </row>
    <row r="251" spans="1:10" x14ac:dyDescent="0.25">
      <c r="A251" s="133"/>
      <c r="B251" s="195"/>
      <c r="C251" s="232"/>
      <c r="D251" s="232"/>
      <c r="E251" s="232"/>
      <c r="F251" s="226"/>
      <c r="G251" s="229"/>
      <c r="H251" s="200"/>
    </row>
    <row r="252" spans="1:10" ht="15.75" thickBot="1" x14ac:dyDescent="0.3">
      <c r="A252" s="133"/>
      <c r="B252" s="195"/>
      <c r="C252" s="232"/>
      <c r="D252" s="232"/>
      <c r="E252" s="232"/>
      <c r="F252" s="226"/>
      <c r="G252" s="229"/>
      <c r="H252" s="200"/>
    </row>
    <row r="253" spans="1:10" ht="15.75" thickBot="1" x14ac:dyDescent="0.3">
      <c r="A253" s="133"/>
      <c r="B253" s="233"/>
      <c r="C253" s="234"/>
      <c r="D253" s="234"/>
      <c r="E253" s="234"/>
      <c r="F253" s="235"/>
      <c r="G253" s="236"/>
      <c r="H253" s="256">
        <f>+SUM(G241:G253)</f>
        <v>16908.441999999999</v>
      </c>
    </row>
    <row r="254" spans="1:10" ht="15.75" thickBot="1" x14ac:dyDescent="0.3">
      <c r="A254" s="133"/>
      <c r="B254" s="238"/>
      <c r="C254" s="238"/>
      <c r="D254" s="238"/>
      <c r="E254" s="238"/>
      <c r="F254" s="239"/>
      <c r="G254" s="240"/>
      <c r="H254" s="241"/>
    </row>
    <row r="255" spans="1:10" ht="15.75" thickBot="1" x14ac:dyDescent="0.3">
      <c r="A255" s="133"/>
      <c r="B255" s="224" t="s">
        <v>5410</v>
      </c>
      <c r="C255" s="193" t="s">
        <v>867</v>
      </c>
      <c r="D255" s="193" t="s">
        <v>6</v>
      </c>
      <c r="E255" s="193" t="s">
        <v>870</v>
      </c>
      <c r="F255" s="193" t="s">
        <v>5411</v>
      </c>
      <c r="G255" s="225" t="s">
        <v>868</v>
      </c>
      <c r="H255" s="200"/>
    </row>
    <row r="256" spans="1:10" x14ac:dyDescent="0.25">
      <c r="A256" s="133"/>
      <c r="B256" s="245"/>
      <c r="C256" s="202"/>
      <c r="D256" s="202"/>
      <c r="E256" s="175"/>
      <c r="F256" s="202"/>
      <c r="G256" s="203"/>
      <c r="H256" s="246"/>
    </row>
    <row r="257" spans="1:8" x14ac:dyDescent="0.25">
      <c r="A257" s="133"/>
      <c r="B257" s="247"/>
      <c r="C257" s="248"/>
      <c r="D257" s="248"/>
      <c r="E257" s="248"/>
      <c r="F257" s="202"/>
      <c r="G257" s="178"/>
      <c r="H257" s="200"/>
    </row>
    <row r="258" spans="1:8" x14ac:dyDescent="0.25">
      <c r="A258" s="133"/>
      <c r="B258" s="247"/>
      <c r="C258" s="232"/>
      <c r="D258" s="232"/>
      <c r="E258" s="232"/>
      <c r="F258" s="226"/>
      <c r="G258" s="229"/>
      <c r="H258" s="200"/>
    </row>
    <row r="259" spans="1:8" x14ac:dyDescent="0.25">
      <c r="A259" s="133"/>
      <c r="B259" s="194"/>
      <c r="C259" s="232"/>
      <c r="D259" s="232"/>
      <c r="E259" s="232"/>
      <c r="F259" s="226"/>
      <c r="G259" s="229"/>
      <c r="H259" s="200"/>
    </row>
    <row r="260" spans="1:8" ht="15.75" thickBot="1" x14ac:dyDescent="0.3">
      <c r="A260" s="133"/>
      <c r="B260" s="195"/>
      <c r="C260" s="232"/>
      <c r="D260" s="232"/>
      <c r="E260" s="232"/>
      <c r="F260" s="226"/>
      <c r="G260" s="229"/>
      <c r="H260" s="200"/>
    </row>
    <row r="261" spans="1:8" ht="15.75" thickBot="1" x14ac:dyDescent="0.3">
      <c r="A261" s="133"/>
      <c r="B261" s="233"/>
      <c r="C261" s="234"/>
      <c r="D261" s="234"/>
      <c r="E261" s="234"/>
      <c r="F261" s="235"/>
      <c r="G261" s="236"/>
      <c r="H261" s="237">
        <f>+SUM(G256:G261)</f>
        <v>0</v>
      </c>
    </row>
    <row r="262" spans="1:8" ht="15.75" thickBot="1" x14ac:dyDescent="0.3">
      <c r="A262" s="133"/>
      <c r="B262" s="238"/>
      <c r="C262" s="238"/>
      <c r="D262" s="238"/>
      <c r="E262" s="238"/>
      <c r="F262" s="249"/>
      <c r="G262" s="250"/>
      <c r="H262" s="241"/>
    </row>
    <row r="263" spans="1:8" ht="15.75" thickBot="1" x14ac:dyDescent="0.3">
      <c r="A263" s="133"/>
      <c r="B263" s="224" t="s">
        <v>5412</v>
      </c>
      <c r="C263" s="193" t="s">
        <v>5420</v>
      </c>
      <c r="D263" s="193" t="s">
        <v>5421</v>
      </c>
      <c r="E263" s="193" t="s">
        <v>5413</v>
      </c>
      <c r="F263" s="193" t="s">
        <v>5405</v>
      </c>
      <c r="G263" s="225" t="s">
        <v>868</v>
      </c>
      <c r="H263" s="200"/>
    </row>
    <row r="264" spans="1:8" x14ac:dyDescent="0.25">
      <c r="A264" s="133"/>
      <c r="B264" s="194" t="s">
        <v>5948</v>
      </c>
      <c r="C264" s="345">
        <v>70000</v>
      </c>
      <c r="D264" s="176">
        <f>+C264*0.85</f>
        <v>59500</v>
      </c>
      <c r="E264" s="176">
        <f>+C264+D264</f>
        <v>129500</v>
      </c>
      <c r="F264" s="204">
        <v>100</v>
      </c>
      <c r="G264" s="178">
        <f>+E264/F264</f>
        <v>1295</v>
      </c>
      <c r="H264" s="200"/>
    </row>
    <row r="265" spans="1:8" x14ac:dyDescent="0.25">
      <c r="A265" s="133"/>
      <c r="B265" s="194" t="s">
        <v>5651</v>
      </c>
      <c r="C265" s="345">
        <v>40000</v>
      </c>
      <c r="D265" s="176">
        <f>+C265*0.85</f>
        <v>34000</v>
      </c>
      <c r="E265" s="176">
        <f>+C265+D265</f>
        <v>74000</v>
      </c>
      <c r="F265" s="202">
        <v>8</v>
      </c>
      <c r="G265" s="178">
        <f>+E265/F265</f>
        <v>9250</v>
      </c>
      <c r="H265" s="200"/>
    </row>
    <row r="266" spans="1:8" x14ac:dyDescent="0.25">
      <c r="A266" s="133"/>
      <c r="B266" s="195" t="s">
        <v>5635</v>
      </c>
      <c r="C266" s="345">
        <v>20600</v>
      </c>
      <c r="D266" s="176">
        <f>+C266*0.85</f>
        <v>17510</v>
      </c>
      <c r="E266" s="176">
        <f>+C266+D266</f>
        <v>38110</v>
      </c>
      <c r="F266" s="226">
        <v>8</v>
      </c>
      <c r="G266" s="178">
        <f>+E266/F266</f>
        <v>4763.75</v>
      </c>
      <c r="H266" s="200"/>
    </row>
    <row r="267" spans="1:8" x14ac:dyDescent="0.25">
      <c r="A267" s="133"/>
      <c r="B267" s="195"/>
      <c r="C267" s="171"/>
      <c r="D267" s="176"/>
      <c r="E267" s="176"/>
      <c r="F267" s="226"/>
      <c r="G267" s="178"/>
      <c r="H267" s="200"/>
    </row>
    <row r="268" spans="1:8" x14ac:dyDescent="0.25">
      <c r="A268" s="133"/>
      <c r="B268" s="195"/>
      <c r="C268" s="232"/>
      <c r="D268" s="232"/>
      <c r="E268" s="232"/>
      <c r="F268" s="226"/>
      <c r="G268" s="229"/>
      <c r="H268" s="200"/>
    </row>
    <row r="269" spans="1:8" ht="15.75" thickBot="1" x14ac:dyDescent="0.3">
      <c r="A269" s="133"/>
      <c r="B269" s="195"/>
      <c r="C269" s="232"/>
      <c r="D269" s="232"/>
      <c r="E269" s="232"/>
      <c r="F269" s="226"/>
      <c r="G269" s="229"/>
      <c r="H269" s="200"/>
    </row>
    <row r="270" spans="1:8" ht="15.75" thickBot="1" x14ac:dyDescent="0.3">
      <c r="A270" s="133"/>
      <c r="B270" s="251"/>
      <c r="C270" s="252"/>
      <c r="D270" s="252"/>
      <c r="E270" s="252"/>
      <c r="F270" s="253"/>
      <c r="G270" s="254"/>
      <c r="H270" s="256">
        <f>+SUM(G264:G270)</f>
        <v>15308.75</v>
      </c>
    </row>
    <row r="271" spans="1:8" ht="15.75" thickBot="1" x14ac:dyDescent="0.3">
      <c r="A271" s="133"/>
      <c r="B271" s="8"/>
      <c r="C271" s="8"/>
      <c r="D271" s="8"/>
      <c r="E271" s="8"/>
      <c r="F271" s="133"/>
      <c r="G271" s="200"/>
      <c r="H271" s="200"/>
    </row>
    <row r="272" spans="1:8" ht="15.75" thickBot="1" x14ac:dyDescent="0.3">
      <c r="A272" s="133"/>
      <c r="B272" s="8"/>
      <c r="C272" s="8"/>
      <c r="D272" s="8"/>
      <c r="E272" s="223" t="s">
        <v>5415</v>
      </c>
      <c r="F272" s="133"/>
      <c r="G272" s="200"/>
      <c r="H272" s="256">
        <f>ROUND(+H270+H261+H253+H238,0)</f>
        <v>33748</v>
      </c>
    </row>
    <row r="277" spans="1:16" ht="18.75" x14ac:dyDescent="0.25">
      <c r="A277" s="133"/>
      <c r="B277" s="2506" t="s">
        <v>5400</v>
      </c>
      <c r="C277" s="2506"/>
      <c r="D277" s="2506"/>
      <c r="E277" s="2506"/>
      <c r="F277" s="2506"/>
      <c r="G277" s="2506"/>
      <c r="H277" s="8"/>
      <c r="I277" s="133"/>
      <c r="J277" s="2506" t="s">
        <v>5400</v>
      </c>
      <c r="K277" s="2506"/>
      <c r="L277" s="2506"/>
      <c r="M277" s="2506"/>
      <c r="N277" s="2506"/>
      <c r="O277" s="2506"/>
      <c r="P277" s="8"/>
    </row>
    <row r="278" spans="1:16" ht="18.75" x14ac:dyDescent="0.25">
      <c r="A278" s="133"/>
      <c r="B278" s="137"/>
      <c r="C278" s="137"/>
      <c r="D278" s="137"/>
      <c r="E278" s="137"/>
      <c r="F278" s="137"/>
      <c r="G278" s="137"/>
      <c r="H278" s="8"/>
      <c r="I278" s="133"/>
      <c r="J278" s="463"/>
      <c r="K278" s="463"/>
      <c r="L278" s="463"/>
      <c r="M278" s="463"/>
      <c r="N278" s="463"/>
      <c r="O278" s="463"/>
      <c r="P278" s="8"/>
    </row>
    <row r="279" spans="1:16" x14ac:dyDescent="0.25">
      <c r="A279" s="133"/>
      <c r="B279" s="8"/>
      <c r="C279" s="8"/>
      <c r="D279" s="8"/>
      <c r="E279" s="8"/>
      <c r="F279" s="133"/>
      <c r="G279" s="200"/>
      <c r="H279" s="200"/>
      <c r="I279" s="133"/>
      <c r="J279" s="8"/>
      <c r="K279" s="8"/>
      <c r="L279" s="8"/>
      <c r="M279" s="8"/>
      <c r="N279" s="133"/>
      <c r="O279" s="200"/>
      <c r="P279" s="200"/>
    </row>
    <row r="280" spans="1:16" x14ac:dyDescent="0.25">
      <c r="A280" s="133"/>
      <c r="B280" s="8"/>
      <c r="C280" s="8"/>
      <c r="D280" s="8"/>
      <c r="E280" s="8"/>
      <c r="F280" s="133"/>
      <c r="G280" s="200"/>
      <c r="H280" s="200"/>
      <c r="I280" s="133"/>
      <c r="J280" s="8"/>
      <c r="K280" s="8"/>
      <c r="L280" s="8"/>
      <c r="M280" s="8"/>
      <c r="N280" s="133"/>
      <c r="O280" s="200"/>
      <c r="P280" s="200"/>
    </row>
    <row r="281" spans="1:16" ht="24.95" customHeight="1" x14ac:dyDescent="0.25">
      <c r="A281" s="220" t="s">
        <v>5482</v>
      </c>
      <c r="B281" s="138" t="s">
        <v>5598</v>
      </c>
      <c r="C281" s="2449" t="s">
        <v>6228</v>
      </c>
      <c r="D281" s="2449"/>
      <c r="E281" s="2449"/>
      <c r="F281" s="220" t="s">
        <v>867</v>
      </c>
      <c r="G281" s="222" t="s">
        <v>5418</v>
      </c>
      <c r="H281" s="200"/>
      <c r="I281" s="220" t="s">
        <v>5482</v>
      </c>
      <c r="J281" s="138" t="s">
        <v>5598</v>
      </c>
      <c r="K281" s="2449" t="s">
        <v>6229</v>
      </c>
      <c r="L281" s="2449"/>
      <c r="M281" s="2449"/>
      <c r="N281" s="220" t="s">
        <v>867</v>
      </c>
      <c r="O281" s="222" t="s">
        <v>5418</v>
      </c>
      <c r="P281" s="200"/>
    </row>
    <row r="282" spans="1:16" x14ac:dyDescent="0.25">
      <c r="A282" s="133"/>
      <c r="B282" s="8"/>
      <c r="C282" s="223"/>
      <c r="D282" s="223"/>
      <c r="E282" s="223"/>
      <c r="F282" s="133"/>
      <c r="G282" s="200"/>
      <c r="H282" s="200"/>
      <c r="I282" s="133"/>
      <c r="J282" s="8"/>
      <c r="K282" s="223"/>
      <c r="L282" s="223"/>
      <c r="M282" s="223"/>
      <c r="N282" s="133"/>
      <c r="O282" s="200"/>
      <c r="P282" s="200"/>
    </row>
    <row r="283" spans="1:16" x14ac:dyDescent="0.25">
      <c r="A283" s="133"/>
      <c r="B283" s="8"/>
      <c r="C283" s="8"/>
      <c r="D283" s="8"/>
      <c r="E283" s="8"/>
      <c r="F283" s="8"/>
      <c r="G283" s="8"/>
      <c r="H283" s="200"/>
      <c r="I283" s="133"/>
      <c r="J283" s="8"/>
      <c r="K283" s="8"/>
      <c r="L283" s="8"/>
      <c r="M283" s="8"/>
      <c r="N283" s="8"/>
      <c r="O283" s="8"/>
      <c r="P283" s="200"/>
    </row>
    <row r="284" spans="1:16" ht="15.75" thickBot="1" x14ac:dyDescent="0.3">
      <c r="A284" s="133"/>
      <c r="B284" s="8"/>
      <c r="C284" s="8"/>
      <c r="D284" s="8"/>
      <c r="E284" s="8"/>
      <c r="F284" s="133"/>
      <c r="G284" s="200"/>
      <c r="H284" s="200"/>
      <c r="I284" s="133"/>
      <c r="J284" s="8"/>
      <c r="K284" s="8"/>
      <c r="L284" s="8"/>
      <c r="M284" s="8"/>
      <c r="N284" s="133"/>
      <c r="O284" s="200"/>
      <c r="P284" s="200"/>
    </row>
    <row r="285" spans="1:16" ht="15.75" thickBot="1" x14ac:dyDescent="0.3">
      <c r="A285" s="133"/>
      <c r="B285" s="224" t="s">
        <v>5403</v>
      </c>
      <c r="C285" s="193" t="s">
        <v>867</v>
      </c>
      <c r="D285" s="193" t="s">
        <v>6</v>
      </c>
      <c r="E285" s="193" t="s">
        <v>5439</v>
      </c>
      <c r="F285" s="193" t="s">
        <v>5405</v>
      </c>
      <c r="G285" s="225" t="s">
        <v>868</v>
      </c>
      <c r="H285" s="200"/>
      <c r="I285" s="133"/>
      <c r="J285" s="224" t="s">
        <v>5403</v>
      </c>
      <c r="K285" s="193" t="s">
        <v>867</v>
      </c>
      <c r="L285" s="193" t="s">
        <v>6</v>
      </c>
      <c r="M285" s="193" t="s">
        <v>5439</v>
      </c>
      <c r="N285" s="193" t="s">
        <v>5405</v>
      </c>
      <c r="O285" s="225" t="s">
        <v>868</v>
      </c>
      <c r="P285" s="200"/>
    </row>
    <row r="286" spans="1:16" ht="15" customHeight="1" x14ac:dyDescent="0.25">
      <c r="A286" s="133"/>
      <c r="B286" s="195" t="s">
        <v>5440</v>
      </c>
      <c r="C286" s="226" t="s">
        <v>5402</v>
      </c>
      <c r="D286" s="226">
        <v>1</v>
      </c>
      <c r="E286" s="227">
        <f>+H324</f>
        <v>19980</v>
      </c>
      <c r="F286" s="226">
        <v>0.1</v>
      </c>
      <c r="G286" s="292">
        <f>+E286*F286</f>
        <v>1998</v>
      </c>
      <c r="H286" s="200"/>
      <c r="I286" s="133"/>
      <c r="J286" s="195" t="s">
        <v>5440</v>
      </c>
      <c r="K286" s="226" t="s">
        <v>5402</v>
      </c>
      <c r="L286" s="226">
        <v>1</v>
      </c>
      <c r="M286" s="227">
        <f>+P324</f>
        <v>29322.5</v>
      </c>
      <c r="N286" s="226">
        <v>0.1</v>
      </c>
      <c r="O286" s="292">
        <f>+M286*N286</f>
        <v>2932.25</v>
      </c>
      <c r="P286" s="200"/>
    </row>
    <row r="287" spans="1:16" x14ac:dyDescent="0.25">
      <c r="A287" s="133"/>
      <c r="B287" s="195"/>
      <c r="C287" s="226"/>
      <c r="D287" s="226"/>
      <c r="E287" s="230"/>
      <c r="F287" s="226"/>
      <c r="G287" s="229"/>
      <c r="H287" s="200"/>
      <c r="I287" s="133"/>
      <c r="J287" s="195"/>
      <c r="K287" s="226"/>
      <c r="L287" s="226"/>
      <c r="M287" s="230"/>
      <c r="N287" s="226"/>
      <c r="O287" s="229"/>
      <c r="P287" s="200"/>
    </row>
    <row r="288" spans="1:16" x14ac:dyDescent="0.25">
      <c r="A288" s="133"/>
      <c r="B288" s="195"/>
      <c r="C288" s="226"/>
      <c r="D288" s="226"/>
      <c r="E288" s="176"/>
      <c r="F288" s="226"/>
      <c r="G288" s="229"/>
      <c r="H288" s="200"/>
      <c r="I288" s="133"/>
      <c r="J288" s="195"/>
      <c r="K288" s="226"/>
      <c r="L288" s="226"/>
      <c r="M288" s="176"/>
      <c r="N288" s="226"/>
      <c r="O288" s="229"/>
      <c r="P288" s="200"/>
    </row>
    <row r="289" spans="1:16" x14ac:dyDescent="0.25">
      <c r="A289" s="133"/>
      <c r="B289" s="195"/>
      <c r="C289" s="226"/>
      <c r="D289" s="226"/>
      <c r="E289" s="171"/>
      <c r="F289" s="226"/>
      <c r="G289" s="293"/>
      <c r="H289" s="200"/>
      <c r="I289" s="133"/>
      <c r="J289" s="195"/>
      <c r="K289" s="226"/>
      <c r="L289" s="226"/>
      <c r="M289" s="171"/>
      <c r="N289" s="226"/>
      <c r="O289" s="293"/>
      <c r="P289" s="200"/>
    </row>
    <row r="290" spans="1:16" x14ac:dyDescent="0.25">
      <c r="A290" s="133"/>
      <c r="B290" s="195"/>
      <c r="C290" s="226"/>
      <c r="D290" s="232"/>
      <c r="E290" s="232"/>
      <c r="F290" s="226"/>
      <c r="G290" s="229"/>
      <c r="H290" s="200"/>
      <c r="I290" s="133"/>
      <c r="J290" s="195"/>
      <c r="K290" s="226"/>
      <c r="L290" s="232"/>
      <c r="M290" s="232"/>
      <c r="N290" s="226"/>
      <c r="O290" s="229"/>
      <c r="P290" s="200"/>
    </row>
    <row r="291" spans="1:16" ht="15.75" thickBot="1" x14ac:dyDescent="0.3">
      <c r="A291" s="133"/>
      <c r="B291" s="195"/>
      <c r="C291" s="226"/>
      <c r="D291" s="232"/>
      <c r="E291" s="232"/>
      <c r="F291" s="226"/>
      <c r="G291" s="229"/>
      <c r="H291" s="200"/>
      <c r="I291" s="133"/>
      <c r="J291" s="195"/>
      <c r="K291" s="226"/>
      <c r="L291" s="232"/>
      <c r="M291" s="232"/>
      <c r="N291" s="226"/>
      <c r="O291" s="229"/>
      <c r="P291" s="200"/>
    </row>
    <row r="292" spans="1:16" ht="15.75" thickBot="1" x14ac:dyDescent="0.3">
      <c r="A292" s="133"/>
      <c r="B292" s="233"/>
      <c r="C292" s="234"/>
      <c r="D292" s="234"/>
      <c r="E292" s="234"/>
      <c r="F292" s="235"/>
      <c r="G292" s="236"/>
      <c r="H292" s="237">
        <f>+SUM(G286:G292)</f>
        <v>1998</v>
      </c>
      <c r="I292" s="133"/>
      <c r="J292" s="233"/>
      <c r="K292" s="234"/>
      <c r="L292" s="234"/>
      <c r="M292" s="234"/>
      <c r="N292" s="235"/>
      <c r="O292" s="236"/>
      <c r="P292" s="237">
        <f>+SUM(O286:O292)</f>
        <v>2932.25</v>
      </c>
    </row>
    <row r="293" spans="1:16" ht="15.75" thickBot="1" x14ac:dyDescent="0.3">
      <c r="A293" s="133"/>
      <c r="B293" s="238"/>
      <c r="C293" s="238"/>
      <c r="D293" s="238"/>
      <c r="E293" s="238"/>
      <c r="F293" s="239"/>
      <c r="G293" s="240"/>
      <c r="H293" s="241"/>
      <c r="I293" s="133"/>
      <c r="J293" s="238"/>
      <c r="K293" s="238"/>
      <c r="L293" s="238"/>
      <c r="M293" s="238"/>
      <c r="N293" s="239"/>
      <c r="O293" s="240"/>
      <c r="P293" s="241"/>
    </row>
    <row r="294" spans="1:16" ht="15.75" thickBot="1" x14ac:dyDescent="0.3">
      <c r="A294" s="133"/>
      <c r="B294" s="224" t="s">
        <v>5408</v>
      </c>
      <c r="C294" s="193" t="s">
        <v>867</v>
      </c>
      <c r="D294" s="193" t="s">
        <v>6</v>
      </c>
      <c r="E294" s="193" t="s">
        <v>870</v>
      </c>
      <c r="F294" s="193" t="s">
        <v>5409</v>
      </c>
      <c r="G294" s="225" t="s">
        <v>868</v>
      </c>
      <c r="H294" s="200"/>
      <c r="I294" s="133"/>
      <c r="J294" s="224" t="s">
        <v>5408</v>
      </c>
      <c r="K294" s="193" t="s">
        <v>867</v>
      </c>
      <c r="L294" s="193" t="s">
        <v>6</v>
      </c>
      <c r="M294" s="193" t="s">
        <v>870</v>
      </c>
      <c r="N294" s="193" t="s">
        <v>5409</v>
      </c>
      <c r="O294" s="225" t="s">
        <v>868</v>
      </c>
      <c r="P294" s="200"/>
    </row>
    <row r="295" spans="1:16" ht="15" customHeight="1" x14ac:dyDescent="0.25">
      <c r="A295" s="133"/>
      <c r="B295" s="258" t="s">
        <v>6135</v>
      </c>
      <c r="C295" s="202" t="s">
        <v>5424</v>
      </c>
      <c r="D295" s="226">
        <v>55</v>
      </c>
      <c r="E295" s="244">
        <v>540</v>
      </c>
      <c r="F295" s="169">
        <v>0.05</v>
      </c>
      <c r="G295" s="294">
        <f>+D295*E295*(1+F295)</f>
        <v>31185</v>
      </c>
      <c r="H295" s="200"/>
      <c r="I295" s="133"/>
      <c r="J295" s="258" t="s">
        <v>6135</v>
      </c>
      <c r="K295" s="202" t="s">
        <v>5424</v>
      </c>
      <c r="L295" s="226">
        <v>110</v>
      </c>
      <c r="M295" s="244">
        <v>540</v>
      </c>
      <c r="N295" s="169">
        <v>0.05</v>
      </c>
      <c r="O295" s="294">
        <f>+L295*M295*(1+N295)</f>
        <v>62370</v>
      </c>
      <c r="P295" s="200"/>
    </row>
    <row r="296" spans="1:16" ht="15" customHeight="1" x14ac:dyDescent="0.25">
      <c r="A296" s="133"/>
      <c r="B296" s="260" t="s">
        <v>6136</v>
      </c>
      <c r="C296" s="202" t="s">
        <v>5542</v>
      </c>
      <c r="D296" s="202">
        <v>1.7999999999999999E-2</v>
      </c>
      <c r="E296" s="257">
        <v>258470</v>
      </c>
      <c r="F296" s="169">
        <v>0.05</v>
      </c>
      <c r="G296" s="294">
        <f>+D296*E296*(1+F296)</f>
        <v>4885.0830000000005</v>
      </c>
      <c r="H296" s="200"/>
      <c r="I296" s="133"/>
      <c r="J296" s="260" t="s">
        <v>6136</v>
      </c>
      <c r="K296" s="202" t="s">
        <v>5542</v>
      </c>
      <c r="L296" s="202">
        <v>0.04</v>
      </c>
      <c r="M296" s="257">
        <v>258470</v>
      </c>
      <c r="N296" s="169">
        <v>0.05</v>
      </c>
      <c r="O296" s="294">
        <f>+L296*M296*(1+N296)</f>
        <v>10855.740000000002</v>
      </c>
      <c r="P296" s="200"/>
    </row>
    <row r="297" spans="1:16" x14ac:dyDescent="0.25">
      <c r="A297" s="133"/>
      <c r="B297" s="247"/>
      <c r="C297" s="226"/>
      <c r="D297" s="226"/>
      <c r="E297" s="244"/>
      <c r="F297" s="169"/>
      <c r="G297" s="294"/>
      <c r="H297" s="200"/>
      <c r="I297" s="133"/>
      <c r="J297" s="247"/>
      <c r="K297" s="226"/>
      <c r="L297" s="226"/>
      <c r="M297" s="244"/>
      <c r="N297" s="169"/>
      <c r="O297" s="294"/>
      <c r="P297" s="200"/>
    </row>
    <row r="298" spans="1:16" x14ac:dyDescent="0.25">
      <c r="A298" s="133"/>
      <c r="B298" s="194"/>
      <c r="C298" s="226"/>
      <c r="D298" s="226"/>
      <c r="E298" s="171"/>
      <c r="F298" s="169"/>
      <c r="G298" s="294"/>
      <c r="H298" s="200"/>
      <c r="I298" s="133"/>
      <c r="J298" s="194"/>
      <c r="K298" s="226"/>
      <c r="L298" s="226"/>
      <c r="M298" s="171"/>
      <c r="N298" s="169"/>
      <c r="O298" s="294"/>
      <c r="P298" s="200"/>
    </row>
    <row r="299" spans="1:16" x14ac:dyDescent="0.25">
      <c r="A299" s="133"/>
      <c r="B299" s="195"/>
      <c r="C299" s="226"/>
      <c r="D299" s="226"/>
      <c r="E299" s="171"/>
      <c r="F299" s="169"/>
      <c r="G299" s="178"/>
      <c r="H299" s="200"/>
      <c r="I299" s="133"/>
      <c r="J299" s="195"/>
      <c r="K299" s="226"/>
      <c r="L299" s="226"/>
      <c r="M299" s="171"/>
      <c r="N299" s="169"/>
      <c r="O299" s="178"/>
      <c r="P299" s="200"/>
    </row>
    <row r="300" spans="1:16" x14ac:dyDescent="0.25">
      <c r="A300" s="133"/>
      <c r="B300" s="194"/>
      <c r="C300" s="202"/>
      <c r="D300" s="202"/>
      <c r="E300" s="171"/>
      <c r="F300" s="169"/>
      <c r="G300" s="178"/>
      <c r="H300" s="200"/>
      <c r="I300" s="133"/>
      <c r="J300" s="194"/>
      <c r="K300" s="202"/>
      <c r="L300" s="202"/>
      <c r="M300" s="171"/>
      <c r="N300" s="169"/>
      <c r="O300" s="178"/>
      <c r="P300" s="200"/>
    </row>
    <row r="301" spans="1:16" x14ac:dyDescent="0.25">
      <c r="A301" s="133"/>
      <c r="B301" s="195"/>
      <c r="C301" s="226"/>
      <c r="D301" s="226"/>
      <c r="E301" s="171"/>
      <c r="F301" s="169"/>
      <c r="G301" s="178"/>
      <c r="H301" s="200"/>
      <c r="I301" s="133"/>
      <c r="J301" s="195"/>
      <c r="K301" s="226"/>
      <c r="L301" s="226"/>
      <c r="M301" s="171"/>
      <c r="N301" s="169"/>
      <c r="O301" s="178"/>
      <c r="P301" s="200"/>
    </row>
    <row r="302" spans="1:16" x14ac:dyDescent="0.25">
      <c r="A302" s="133"/>
      <c r="B302" s="195"/>
      <c r="C302" s="226"/>
      <c r="D302" s="226"/>
      <c r="E302" s="171"/>
      <c r="F302" s="169"/>
      <c r="G302" s="178"/>
      <c r="H302" s="200"/>
      <c r="I302" s="133"/>
      <c r="J302" s="195"/>
      <c r="K302" s="226"/>
      <c r="L302" s="226"/>
      <c r="M302" s="171"/>
      <c r="N302" s="169"/>
      <c r="O302" s="178"/>
      <c r="P302" s="200"/>
    </row>
    <row r="303" spans="1:16" x14ac:dyDescent="0.25">
      <c r="A303" s="133"/>
      <c r="B303" s="195"/>
      <c r="C303" s="232"/>
      <c r="D303" s="232"/>
      <c r="E303" s="232"/>
      <c r="F303" s="226"/>
      <c r="G303" s="229"/>
      <c r="H303" s="200"/>
      <c r="I303" s="133"/>
      <c r="J303" s="195"/>
      <c r="K303" s="232"/>
      <c r="L303" s="232"/>
      <c r="M303" s="232"/>
      <c r="N303" s="226"/>
      <c r="O303" s="229"/>
      <c r="P303" s="200"/>
    </row>
    <row r="304" spans="1:16" x14ac:dyDescent="0.25">
      <c r="A304" s="133"/>
      <c r="B304" s="195"/>
      <c r="C304" s="232"/>
      <c r="D304" s="232"/>
      <c r="E304" s="232"/>
      <c r="F304" s="226"/>
      <c r="G304" s="229"/>
      <c r="H304" s="200"/>
      <c r="I304" s="133"/>
      <c r="J304" s="195"/>
      <c r="K304" s="232"/>
      <c r="L304" s="232"/>
      <c r="M304" s="232"/>
      <c r="N304" s="226"/>
      <c r="O304" s="229"/>
      <c r="P304" s="200"/>
    </row>
    <row r="305" spans="1:16" x14ac:dyDescent="0.25">
      <c r="A305" s="133"/>
      <c r="B305" s="195"/>
      <c r="C305" s="232"/>
      <c r="D305" s="232"/>
      <c r="E305" s="232"/>
      <c r="F305" s="226"/>
      <c r="G305" s="229"/>
      <c r="H305" s="200"/>
      <c r="I305" s="133"/>
      <c r="J305" s="195"/>
      <c r="K305" s="232"/>
      <c r="L305" s="232"/>
      <c r="M305" s="232"/>
      <c r="N305" s="226"/>
      <c r="O305" s="229"/>
      <c r="P305" s="200"/>
    </row>
    <row r="306" spans="1:16" ht="15.75" thickBot="1" x14ac:dyDescent="0.3">
      <c r="A306" s="133"/>
      <c r="B306" s="195"/>
      <c r="C306" s="232"/>
      <c r="D306" s="232"/>
      <c r="E306" s="232"/>
      <c r="F306" s="226"/>
      <c r="G306" s="229"/>
      <c r="H306" s="200"/>
      <c r="I306" s="133"/>
      <c r="J306" s="195"/>
      <c r="K306" s="232"/>
      <c r="L306" s="232"/>
      <c r="M306" s="232"/>
      <c r="N306" s="226"/>
      <c r="O306" s="229"/>
      <c r="P306" s="200"/>
    </row>
    <row r="307" spans="1:16" ht="15.75" thickBot="1" x14ac:dyDescent="0.3">
      <c r="A307" s="133"/>
      <c r="B307" s="233"/>
      <c r="C307" s="234"/>
      <c r="D307" s="234"/>
      <c r="E307" s="234"/>
      <c r="F307" s="235"/>
      <c r="G307" s="236"/>
      <c r="H307" s="256">
        <f>+SUM(G295:G307)</f>
        <v>36070.082999999999</v>
      </c>
      <c r="I307" s="133"/>
      <c r="J307" s="233"/>
      <c r="K307" s="234"/>
      <c r="L307" s="234"/>
      <c r="M307" s="234"/>
      <c r="N307" s="235"/>
      <c r="O307" s="236"/>
      <c r="P307" s="256">
        <f>+SUM(O295:O307)</f>
        <v>73225.740000000005</v>
      </c>
    </row>
    <row r="308" spans="1:16" ht="15.75" thickBot="1" x14ac:dyDescent="0.3">
      <c r="A308" s="133"/>
      <c r="B308" s="238"/>
      <c r="C308" s="238"/>
      <c r="D308" s="238"/>
      <c r="E308" s="238"/>
      <c r="F308" s="239"/>
      <c r="G308" s="240"/>
      <c r="H308" s="241"/>
      <c r="I308" s="133"/>
      <c r="J308" s="238"/>
      <c r="K308" s="238"/>
      <c r="L308" s="238"/>
      <c r="M308" s="238"/>
      <c r="N308" s="239"/>
      <c r="O308" s="240"/>
      <c r="P308" s="241"/>
    </row>
    <row r="309" spans="1:16" ht="15.75" thickBot="1" x14ac:dyDescent="0.3">
      <c r="A309" s="133"/>
      <c r="B309" s="224" t="s">
        <v>5410</v>
      </c>
      <c r="C309" s="193" t="s">
        <v>867</v>
      </c>
      <c r="D309" s="193" t="s">
        <v>6</v>
      </c>
      <c r="E309" s="193" t="s">
        <v>870</v>
      </c>
      <c r="F309" s="193" t="s">
        <v>5411</v>
      </c>
      <c r="G309" s="225" t="s">
        <v>868</v>
      </c>
      <c r="H309" s="200"/>
      <c r="I309" s="133"/>
      <c r="J309" s="224" t="s">
        <v>5410</v>
      </c>
      <c r="K309" s="193" t="s">
        <v>867</v>
      </c>
      <c r="L309" s="193" t="s">
        <v>6</v>
      </c>
      <c r="M309" s="193" t="s">
        <v>870</v>
      </c>
      <c r="N309" s="193" t="s">
        <v>5411</v>
      </c>
      <c r="O309" s="225" t="s">
        <v>868</v>
      </c>
      <c r="P309" s="200"/>
    </row>
    <row r="310" spans="1:16" x14ac:dyDescent="0.25">
      <c r="A310" s="133"/>
      <c r="B310" s="245"/>
      <c r="C310" s="202"/>
      <c r="D310" s="202"/>
      <c r="E310" s="175"/>
      <c r="F310" s="202"/>
      <c r="G310" s="203"/>
      <c r="H310" s="246"/>
      <c r="I310" s="133"/>
      <c r="J310" s="245"/>
      <c r="K310" s="202"/>
      <c r="L310" s="202"/>
      <c r="M310" s="175"/>
      <c r="N310" s="202"/>
      <c r="O310" s="203"/>
      <c r="P310" s="246"/>
    </row>
    <row r="311" spans="1:16" x14ac:dyDescent="0.25">
      <c r="A311" s="133"/>
      <c r="B311" s="247"/>
      <c r="C311" s="248"/>
      <c r="D311" s="248"/>
      <c r="E311" s="248"/>
      <c r="F311" s="202"/>
      <c r="G311" s="178"/>
      <c r="H311" s="200"/>
      <c r="I311" s="133"/>
      <c r="J311" s="247"/>
      <c r="K311" s="248"/>
      <c r="L311" s="248"/>
      <c r="M311" s="248"/>
      <c r="N311" s="202"/>
      <c r="O311" s="178"/>
      <c r="P311" s="200"/>
    </row>
    <row r="312" spans="1:16" x14ac:dyDescent="0.25">
      <c r="A312" s="133"/>
      <c r="B312" s="247"/>
      <c r="C312" s="232"/>
      <c r="D312" s="232"/>
      <c r="E312" s="232"/>
      <c r="F312" s="226"/>
      <c r="G312" s="229"/>
      <c r="H312" s="200"/>
      <c r="I312" s="133"/>
      <c r="J312" s="247"/>
      <c r="K312" s="232"/>
      <c r="L312" s="232"/>
      <c r="M312" s="232"/>
      <c r="N312" s="226"/>
      <c r="O312" s="229"/>
      <c r="P312" s="200"/>
    </row>
    <row r="313" spans="1:16" x14ac:dyDescent="0.25">
      <c r="A313" s="133"/>
      <c r="B313" s="194"/>
      <c r="C313" s="232"/>
      <c r="D313" s="232"/>
      <c r="E313" s="232"/>
      <c r="F313" s="226"/>
      <c r="G313" s="229"/>
      <c r="H313" s="200"/>
      <c r="I313" s="133"/>
      <c r="J313" s="194"/>
      <c r="K313" s="232"/>
      <c r="L313" s="232"/>
      <c r="M313" s="232"/>
      <c r="N313" s="226"/>
      <c r="O313" s="229"/>
      <c r="P313" s="200"/>
    </row>
    <row r="314" spans="1:16" ht="15.75" thickBot="1" x14ac:dyDescent="0.3">
      <c r="A314" s="133"/>
      <c r="B314" s="195"/>
      <c r="C314" s="232"/>
      <c r="D314" s="232"/>
      <c r="E314" s="232"/>
      <c r="F314" s="226"/>
      <c r="G314" s="229"/>
      <c r="H314" s="200"/>
      <c r="I314" s="133"/>
      <c r="J314" s="195"/>
      <c r="K314" s="232"/>
      <c r="L314" s="232"/>
      <c r="M314" s="232"/>
      <c r="N314" s="226"/>
      <c r="O314" s="229"/>
      <c r="P314" s="200"/>
    </row>
    <row r="315" spans="1:16" ht="15.75" thickBot="1" x14ac:dyDescent="0.3">
      <c r="A315" s="133"/>
      <c r="B315" s="233"/>
      <c r="C315" s="234"/>
      <c r="D315" s="234"/>
      <c r="E315" s="234"/>
      <c r="F315" s="235"/>
      <c r="G315" s="236"/>
      <c r="H315" s="237">
        <f>+SUM(G310:G315)</f>
        <v>0</v>
      </c>
      <c r="I315" s="133"/>
      <c r="J315" s="233"/>
      <c r="K315" s="234"/>
      <c r="L315" s="234"/>
      <c r="M315" s="234"/>
      <c r="N315" s="235"/>
      <c r="O315" s="236"/>
      <c r="P315" s="237">
        <f>+SUM(O310:O315)</f>
        <v>0</v>
      </c>
    </row>
    <row r="316" spans="1:16" ht="15.75" thickBot="1" x14ac:dyDescent="0.3">
      <c r="A316" s="133"/>
      <c r="B316" s="238"/>
      <c r="C316" s="238"/>
      <c r="D316" s="238"/>
      <c r="E316" s="238"/>
      <c r="F316" s="249"/>
      <c r="G316" s="250"/>
      <c r="H316" s="241"/>
      <c r="I316" s="133"/>
      <c r="J316" s="238"/>
      <c r="K316" s="238"/>
      <c r="L316" s="238"/>
      <c r="M316" s="238"/>
      <c r="N316" s="249"/>
      <c r="O316" s="250"/>
      <c r="P316" s="241"/>
    </row>
    <row r="317" spans="1:16" ht="15.75" thickBot="1" x14ac:dyDescent="0.3">
      <c r="A317" s="133"/>
      <c r="B317" s="224" t="s">
        <v>5412</v>
      </c>
      <c r="C317" s="193" t="s">
        <v>5420</v>
      </c>
      <c r="D317" s="193" t="s">
        <v>5421</v>
      </c>
      <c r="E317" s="193" t="s">
        <v>5413</v>
      </c>
      <c r="F317" s="193" t="s">
        <v>5405</v>
      </c>
      <c r="G317" s="225" t="s">
        <v>868</v>
      </c>
      <c r="H317" s="200"/>
      <c r="I317" s="133"/>
      <c r="J317" s="224" t="s">
        <v>5412</v>
      </c>
      <c r="K317" s="193" t="s">
        <v>5420</v>
      </c>
      <c r="L317" s="193" t="s">
        <v>5421</v>
      </c>
      <c r="M317" s="193" t="s">
        <v>5413</v>
      </c>
      <c r="N317" s="193" t="s">
        <v>5405</v>
      </c>
      <c r="O317" s="225" t="s">
        <v>868</v>
      </c>
      <c r="P317" s="200"/>
    </row>
    <row r="318" spans="1:16" x14ac:dyDescent="0.25">
      <c r="A318" s="133"/>
      <c r="B318" s="194" t="s">
        <v>5948</v>
      </c>
      <c r="C318" s="345">
        <v>70000</v>
      </c>
      <c r="D318" s="176">
        <f>+C318*0.85</f>
        <v>59500</v>
      </c>
      <c r="E318" s="176">
        <f>+C318+D318</f>
        <v>129500</v>
      </c>
      <c r="F318" s="204">
        <v>100</v>
      </c>
      <c r="G318" s="178">
        <f>+E318/F318</f>
        <v>1295</v>
      </c>
      <c r="H318" s="200"/>
      <c r="I318" s="133"/>
      <c r="J318" s="194" t="s">
        <v>5948</v>
      </c>
      <c r="K318" s="345">
        <v>70000</v>
      </c>
      <c r="L318" s="176">
        <f>+K318*0.85</f>
        <v>59500</v>
      </c>
      <c r="M318" s="176">
        <f>+K318+L318</f>
        <v>129500</v>
      </c>
      <c r="N318" s="204">
        <v>100</v>
      </c>
      <c r="O318" s="178">
        <f>+M318/N318</f>
        <v>1295</v>
      </c>
      <c r="P318" s="200"/>
    </row>
    <row r="319" spans="1:16" x14ac:dyDescent="0.25">
      <c r="A319" s="133"/>
      <c r="B319" s="194" t="s">
        <v>5651</v>
      </c>
      <c r="C319" s="345">
        <v>40000</v>
      </c>
      <c r="D319" s="176">
        <f>+C319*0.85</f>
        <v>34000</v>
      </c>
      <c r="E319" s="176">
        <f>+C319+D319</f>
        <v>74000</v>
      </c>
      <c r="F319" s="202">
        <v>6</v>
      </c>
      <c r="G319" s="178">
        <f>+E319/F319</f>
        <v>12333.333333333334</v>
      </c>
      <c r="H319" s="200"/>
      <c r="I319" s="133"/>
      <c r="J319" s="194" t="s">
        <v>5651</v>
      </c>
      <c r="K319" s="345">
        <v>40000</v>
      </c>
      <c r="L319" s="176">
        <f>+K319*0.85</f>
        <v>34000</v>
      </c>
      <c r="M319" s="176">
        <f>+K319+L319</f>
        <v>74000</v>
      </c>
      <c r="N319" s="202">
        <v>4</v>
      </c>
      <c r="O319" s="178">
        <f>+M319/N319</f>
        <v>18500</v>
      </c>
      <c r="P319" s="200"/>
    </row>
    <row r="320" spans="1:16" x14ac:dyDescent="0.25">
      <c r="A320" s="133"/>
      <c r="B320" s="195" t="s">
        <v>5635</v>
      </c>
      <c r="C320" s="345">
        <v>20600</v>
      </c>
      <c r="D320" s="176">
        <f>+C320*0.85</f>
        <v>17510</v>
      </c>
      <c r="E320" s="176">
        <f>+C320+D320</f>
        <v>38110</v>
      </c>
      <c r="F320" s="226">
        <v>6</v>
      </c>
      <c r="G320" s="178">
        <f>+E320/F320</f>
        <v>6351.666666666667</v>
      </c>
      <c r="H320" s="200"/>
      <c r="I320" s="133"/>
      <c r="J320" s="195" t="s">
        <v>5635</v>
      </c>
      <c r="K320" s="345">
        <v>20600</v>
      </c>
      <c r="L320" s="176">
        <f>+K320*0.85</f>
        <v>17510</v>
      </c>
      <c r="M320" s="176">
        <f>+K320+L320</f>
        <v>38110</v>
      </c>
      <c r="N320" s="226">
        <v>4</v>
      </c>
      <c r="O320" s="178">
        <f>+M320/N320</f>
        <v>9527.5</v>
      </c>
      <c r="P320" s="200"/>
    </row>
    <row r="321" spans="1:16" x14ac:dyDescent="0.25">
      <c r="A321" s="133"/>
      <c r="B321" s="195"/>
      <c r="C321" s="171"/>
      <c r="D321" s="176"/>
      <c r="E321" s="176"/>
      <c r="F321" s="226"/>
      <c r="G321" s="178"/>
      <c r="H321" s="200"/>
      <c r="I321" s="133"/>
      <c r="J321" s="195"/>
      <c r="K321" s="171"/>
      <c r="L321" s="176"/>
      <c r="M321" s="176"/>
      <c r="N321" s="226"/>
      <c r="O321" s="178"/>
      <c r="P321" s="200"/>
    </row>
    <row r="322" spans="1:16" x14ac:dyDescent="0.25">
      <c r="A322" s="133"/>
      <c r="B322" s="195"/>
      <c r="C322" s="232"/>
      <c r="D322" s="232"/>
      <c r="E322" s="232"/>
      <c r="F322" s="226"/>
      <c r="G322" s="229"/>
      <c r="H322" s="200"/>
      <c r="I322" s="133"/>
      <c r="J322" s="195"/>
      <c r="K322" s="232"/>
      <c r="L322" s="232"/>
      <c r="M322" s="232"/>
      <c r="N322" s="226"/>
      <c r="O322" s="229"/>
      <c r="P322" s="200"/>
    </row>
    <row r="323" spans="1:16" ht="15.75" thickBot="1" x14ac:dyDescent="0.3">
      <c r="A323" s="133"/>
      <c r="B323" s="195"/>
      <c r="C323" s="232"/>
      <c r="D323" s="232"/>
      <c r="E323" s="232"/>
      <c r="F323" s="226"/>
      <c r="G323" s="229"/>
      <c r="H323" s="200"/>
      <c r="I323" s="133"/>
      <c r="J323" s="195"/>
      <c r="K323" s="232"/>
      <c r="L323" s="232"/>
      <c r="M323" s="232"/>
      <c r="N323" s="226"/>
      <c r="O323" s="229"/>
      <c r="P323" s="200"/>
    </row>
    <row r="324" spans="1:16" ht="15.75" thickBot="1" x14ac:dyDescent="0.3">
      <c r="A324" s="133"/>
      <c r="B324" s="251"/>
      <c r="C324" s="252"/>
      <c r="D324" s="252"/>
      <c r="E324" s="252"/>
      <c r="F324" s="253"/>
      <c r="G324" s="254"/>
      <c r="H324" s="256">
        <f>+SUM(G318:G324)</f>
        <v>19980</v>
      </c>
      <c r="I324" s="133"/>
      <c r="J324" s="251"/>
      <c r="K324" s="252"/>
      <c r="L324" s="252"/>
      <c r="M324" s="252"/>
      <c r="N324" s="253"/>
      <c r="O324" s="254"/>
      <c r="P324" s="256">
        <f>+SUM(O318:O324)</f>
        <v>29322.5</v>
      </c>
    </row>
    <row r="325" spans="1:16" ht="15.75" thickBot="1" x14ac:dyDescent="0.3">
      <c r="A325" s="133"/>
      <c r="B325" s="8"/>
      <c r="C325" s="8"/>
      <c r="D325" s="8"/>
      <c r="E325" s="8"/>
      <c r="F325" s="133"/>
      <c r="G325" s="200"/>
      <c r="H325" s="200"/>
      <c r="I325" s="133"/>
      <c r="J325" s="8"/>
      <c r="K325" s="8"/>
      <c r="L325" s="8"/>
      <c r="M325" s="8"/>
      <c r="N325" s="133"/>
      <c r="O325" s="200"/>
      <c r="P325" s="200"/>
    </row>
    <row r="326" spans="1:16" ht="15.75" thickBot="1" x14ac:dyDescent="0.3">
      <c r="A326" s="133"/>
      <c r="B326" s="8"/>
      <c r="C326" s="8"/>
      <c r="D326" s="8"/>
      <c r="E326" s="223" t="s">
        <v>5415</v>
      </c>
      <c r="F326" s="133"/>
      <c r="G326" s="200"/>
      <c r="H326" s="256">
        <f>ROUND(+H324+H315+H307+H292,0)</f>
        <v>58048</v>
      </c>
      <c r="I326" s="133"/>
      <c r="J326" s="8"/>
      <c r="K326" s="8"/>
      <c r="L326" s="8"/>
      <c r="M326" s="223" t="s">
        <v>5415</v>
      </c>
      <c r="N326" s="133"/>
      <c r="O326" s="200"/>
      <c r="P326" s="256">
        <f>ROUND(+P324+P315+P307+P292,0)</f>
        <v>105480</v>
      </c>
    </row>
    <row r="331" spans="1:16" ht="18.75" x14ac:dyDescent="0.25">
      <c r="A331" s="133"/>
      <c r="B331" s="2506" t="s">
        <v>5400</v>
      </c>
      <c r="C331" s="2506"/>
      <c r="D331" s="2506"/>
      <c r="E331" s="2506"/>
      <c r="F331" s="2506"/>
      <c r="G331" s="2506"/>
      <c r="H331" s="8"/>
      <c r="I331" s="133"/>
      <c r="J331" s="2506" t="s">
        <v>5400</v>
      </c>
      <c r="K331" s="2506"/>
      <c r="L331" s="2506"/>
      <c r="M331" s="2506"/>
      <c r="N331" s="2506"/>
      <c r="O331" s="2506"/>
      <c r="P331" s="8"/>
    </row>
    <row r="332" spans="1:16" ht="18.75" x14ac:dyDescent="0.25">
      <c r="A332" s="133"/>
      <c r="B332" s="463"/>
      <c r="C332" s="463"/>
      <c r="D332" s="463"/>
      <c r="E332" s="463"/>
      <c r="F332" s="463"/>
      <c r="G332" s="463"/>
      <c r="H332" s="8"/>
      <c r="I332" s="133"/>
      <c r="J332" s="463"/>
      <c r="K332" s="463"/>
      <c r="L332" s="463"/>
      <c r="M332" s="463"/>
      <c r="N332" s="463"/>
      <c r="O332" s="463"/>
      <c r="P332" s="8"/>
    </row>
    <row r="333" spans="1:16" x14ac:dyDescent="0.25">
      <c r="A333" s="133"/>
      <c r="B333" s="8"/>
      <c r="C333" s="8"/>
      <c r="D333" s="8"/>
      <c r="E333" s="8"/>
      <c r="F333" s="133"/>
      <c r="G333" s="200"/>
      <c r="H333" s="200"/>
      <c r="I333" s="133"/>
      <c r="J333" s="8"/>
      <c r="K333" s="8"/>
      <c r="L333" s="8"/>
      <c r="M333" s="8"/>
      <c r="N333" s="133"/>
      <c r="O333" s="200"/>
      <c r="P333" s="200"/>
    </row>
    <row r="334" spans="1:16" x14ac:dyDescent="0.25">
      <c r="A334" s="133"/>
      <c r="B334" s="8"/>
      <c r="C334" s="8"/>
      <c r="D334" s="8"/>
      <c r="E334" s="8"/>
      <c r="F334" s="133"/>
      <c r="G334" s="200"/>
      <c r="H334" s="200"/>
      <c r="I334" s="133"/>
      <c r="J334" s="8"/>
      <c r="K334" s="8"/>
      <c r="L334" s="8"/>
      <c r="M334" s="8"/>
      <c r="N334" s="133"/>
      <c r="O334" s="200"/>
      <c r="P334" s="200"/>
    </row>
    <row r="335" spans="1:16" x14ac:dyDescent="0.25">
      <c r="A335" s="220" t="s">
        <v>5482</v>
      </c>
      <c r="B335" s="138" t="s">
        <v>5598</v>
      </c>
      <c r="C335" s="2449" t="s">
        <v>6230</v>
      </c>
      <c r="D335" s="2449"/>
      <c r="E335" s="2449"/>
      <c r="F335" s="220" t="s">
        <v>867</v>
      </c>
      <c r="G335" s="222" t="s">
        <v>5418</v>
      </c>
      <c r="H335" s="200"/>
      <c r="I335" s="220" t="s">
        <v>5482</v>
      </c>
      <c r="J335" s="138" t="s">
        <v>5598</v>
      </c>
      <c r="K335" s="2449" t="s">
        <v>6231</v>
      </c>
      <c r="L335" s="2449"/>
      <c r="M335" s="2449"/>
      <c r="N335" s="220" t="s">
        <v>867</v>
      </c>
      <c r="O335" s="222" t="s">
        <v>5418</v>
      </c>
      <c r="P335" s="200"/>
    </row>
    <row r="336" spans="1:16" x14ac:dyDescent="0.25">
      <c r="A336" s="133"/>
      <c r="B336" s="8"/>
      <c r="C336" s="223"/>
      <c r="D336" s="223"/>
      <c r="E336" s="223"/>
      <c r="F336" s="133"/>
      <c r="G336" s="200"/>
      <c r="H336" s="200"/>
      <c r="I336" s="133"/>
      <c r="J336" s="8"/>
      <c r="K336" s="223"/>
      <c r="L336" s="223"/>
      <c r="M336" s="223"/>
      <c r="N336" s="133"/>
      <c r="O336" s="200"/>
      <c r="P336" s="200"/>
    </row>
    <row r="337" spans="1:16" x14ac:dyDescent="0.25">
      <c r="A337" s="133"/>
      <c r="B337" s="8"/>
      <c r="C337" s="8"/>
      <c r="D337" s="8"/>
      <c r="E337" s="8"/>
      <c r="F337" s="8"/>
      <c r="G337" s="8"/>
      <c r="H337" s="200"/>
      <c r="I337" s="133"/>
      <c r="J337" s="8"/>
      <c r="K337" s="8"/>
      <c r="L337" s="8"/>
      <c r="M337" s="8"/>
      <c r="N337" s="8"/>
      <c r="O337" s="8"/>
      <c r="P337" s="200"/>
    </row>
    <row r="338" spans="1:16" ht="15.75" thickBot="1" x14ac:dyDescent="0.3">
      <c r="A338" s="133"/>
      <c r="B338" s="8"/>
      <c r="C338" s="8"/>
      <c r="D338" s="8"/>
      <c r="E338" s="8"/>
      <c r="F338" s="133"/>
      <c r="G338" s="200"/>
      <c r="H338" s="200"/>
      <c r="I338" s="133"/>
      <c r="J338" s="8"/>
      <c r="K338" s="8"/>
      <c r="L338" s="8"/>
      <c r="M338" s="8"/>
      <c r="N338" s="133"/>
      <c r="O338" s="200"/>
      <c r="P338" s="200"/>
    </row>
    <row r="339" spans="1:16" ht="15.75" thickBot="1" x14ac:dyDescent="0.3">
      <c r="A339" s="133"/>
      <c r="B339" s="224" t="s">
        <v>5403</v>
      </c>
      <c r="C339" s="193" t="s">
        <v>867</v>
      </c>
      <c r="D339" s="193" t="s">
        <v>6</v>
      </c>
      <c r="E339" s="193" t="s">
        <v>5439</v>
      </c>
      <c r="F339" s="193" t="s">
        <v>5405</v>
      </c>
      <c r="G339" s="225" t="s">
        <v>868</v>
      </c>
      <c r="H339" s="200"/>
      <c r="I339" s="133"/>
      <c r="J339" s="224" t="s">
        <v>5403</v>
      </c>
      <c r="K339" s="193" t="s">
        <v>867</v>
      </c>
      <c r="L339" s="193" t="s">
        <v>6</v>
      </c>
      <c r="M339" s="193" t="s">
        <v>5439</v>
      </c>
      <c r="N339" s="193" t="s">
        <v>5405</v>
      </c>
      <c r="O339" s="225" t="s">
        <v>868</v>
      </c>
      <c r="P339" s="200"/>
    </row>
    <row r="340" spans="1:16" x14ac:dyDescent="0.25">
      <c r="A340" s="133"/>
      <c r="B340" s="195" t="s">
        <v>5440</v>
      </c>
      <c r="C340" s="226" t="s">
        <v>5402</v>
      </c>
      <c r="D340" s="226">
        <v>1</v>
      </c>
      <c r="E340" s="227">
        <f>+H378</f>
        <v>23717</v>
      </c>
      <c r="F340" s="226">
        <v>0.1</v>
      </c>
      <c r="G340" s="292">
        <f>+E340*F340</f>
        <v>2371.7000000000003</v>
      </c>
      <c r="H340" s="200"/>
      <c r="I340" s="133"/>
      <c r="J340" s="195" t="s">
        <v>5440</v>
      </c>
      <c r="K340" s="226" t="s">
        <v>5402</v>
      </c>
      <c r="L340" s="226">
        <v>1</v>
      </c>
      <c r="M340" s="227">
        <f>+P378</f>
        <v>29322.5</v>
      </c>
      <c r="N340" s="226">
        <v>0.1</v>
      </c>
      <c r="O340" s="292">
        <f>+M340*N340</f>
        <v>2932.25</v>
      </c>
      <c r="P340" s="200"/>
    </row>
    <row r="341" spans="1:16" x14ac:dyDescent="0.25">
      <c r="A341" s="133"/>
      <c r="B341" s="195"/>
      <c r="C341" s="226"/>
      <c r="D341" s="226"/>
      <c r="E341" s="230"/>
      <c r="F341" s="226"/>
      <c r="G341" s="229"/>
      <c r="H341" s="200"/>
      <c r="I341" s="133"/>
      <c r="J341" s="195"/>
      <c r="K341" s="226"/>
      <c r="L341" s="226"/>
      <c r="M341" s="230"/>
      <c r="N341" s="226"/>
      <c r="O341" s="229"/>
      <c r="P341" s="200"/>
    </row>
    <row r="342" spans="1:16" x14ac:dyDescent="0.25">
      <c r="A342" s="133"/>
      <c r="B342" s="195"/>
      <c r="C342" s="226"/>
      <c r="D342" s="226"/>
      <c r="E342" s="176"/>
      <c r="F342" s="226"/>
      <c r="G342" s="229"/>
      <c r="H342" s="200"/>
      <c r="I342" s="133"/>
      <c r="J342" s="195"/>
      <c r="K342" s="226"/>
      <c r="L342" s="226"/>
      <c r="M342" s="176"/>
      <c r="N342" s="226"/>
      <c r="O342" s="229"/>
      <c r="P342" s="200"/>
    </row>
    <row r="343" spans="1:16" x14ac:dyDescent="0.25">
      <c r="A343" s="133"/>
      <c r="B343" s="195"/>
      <c r="C343" s="226"/>
      <c r="D343" s="226"/>
      <c r="E343" s="171"/>
      <c r="F343" s="226"/>
      <c r="G343" s="293"/>
      <c r="H343" s="200"/>
      <c r="I343" s="133"/>
      <c r="J343" s="195"/>
      <c r="K343" s="226"/>
      <c r="L343" s="226"/>
      <c r="M343" s="171"/>
      <c r="N343" s="226"/>
      <c r="O343" s="293"/>
      <c r="P343" s="200"/>
    </row>
    <row r="344" spans="1:16" x14ac:dyDescent="0.25">
      <c r="A344" s="133"/>
      <c r="B344" s="195"/>
      <c r="C344" s="226"/>
      <c r="D344" s="232"/>
      <c r="E344" s="232"/>
      <c r="F344" s="226"/>
      <c r="G344" s="229"/>
      <c r="H344" s="200"/>
      <c r="I344" s="133"/>
      <c r="J344" s="195"/>
      <c r="K344" s="226"/>
      <c r="L344" s="232"/>
      <c r="M344" s="232"/>
      <c r="N344" s="226"/>
      <c r="O344" s="229"/>
      <c r="P344" s="200"/>
    </row>
    <row r="345" spans="1:16" ht="15.75" thickBot="1" x14ac:dyDescent="0.3">
      <c r="A345" s="133"/>
      <c r="B345" s="195"/>
      <c r="C345" s="226"/>
      <c r="D345" s="232"/>
      <c r="E345" s="232"/>
      <c r="F345" s="226"/>
      <c r="G345" s="229"/>
      <c r="H345" s="200"/>
      <c r="I345" s="133"/>
      <c r="J345" s="195"/>
      <c r="K345" s="226"/>
      <c r="L345" s="232"/>
      <c r="M345" s="232"/>
      <c r="N345" s="226"/>
      <c r="O345" s="229"/>
      <c r="P345" s="200"/>
    </row>
    <row r="346" spans="1:16" ht="15.75" thickBot="1" x14ac:dyDescent="0.3">
      <c r="A346" s="133"/>
      <c r="B346" s="233"/>
      <c r="C346" s="234"/>
      <c r="D346" s="234"/>
      <c r="E346" s="234"/>
      <c r="F346" s="235"/>
      <c r="G346" s="236"/>
      <c r="H346" s="237">
        <f>+SUM(G340:G346)</f>
        <v>2371.7000000000003</v>
      </c>
      <c r="I346" s="133"/>
      <c r="J346" s="233"/>
      <c r="K346" s="234"/>
      <c r="L346" s="234"/>
      <c r="M346" s="234"/>
      <c r="N346" s="235"/>
      <c r="O346" s="236"/>
      <c r="P346" s="237">
        <f>+SUM(O340:O346)</f>
        <v>2932.25</v>
      </c>
    </row>
    <row r="347" spans="1:16" ht="15.75" thickBot="1" x14ac:dyDescent="0.3">
      <c r="A347" s="133"/>
      <c r="B347" s="238"/>
      <c r="C347" s="238"/>
      <c r="D347" s="238"/>
      <c r="E347" s="238"/>
      <c r="F347" s="239"/>
      <c r="G347" s="240"/>
      <c r="H347" s="241"/>
      <c r="I347" s="133"/>
      <c r="J347" s="238"/>
      <c r="K347" s="238"/>
      <c r="L347" s="238"/>
      <c r="M347" s="238"/>
      <c r="N347" s="239"/>
      <c r="O347" s="240"/>
      <c r="P347" s="241"/>
    </row>
    <row r="348" spans="1:16" ht="15.75" thickBot="1" x14ac:dyDescent="0.3">
      <c r="A348" s="133"/>
      <c r="B348" s="224" t="s">
        <v>5408</v>
      </c>
      <c r="C348" s="193" t="s">
        <v>867</v>
      </c>
      <c r="D348" s="193" t="s">
        <v>6</v>
      </c>
      <c r="E348" s="193" t="s">
        <v>870</v>
      </c>
      <c r="F348" s="193" t="s">
        <v>5409</v>
      </c>
      <c r="G348" s="225" t="s">
        <v>868</v>
      </c>
      <c r="H348" s="200"/>
      <c r="I348" s="133"/>
      <c r="J348" s="224" t="s">
        <v>5408</v>
      </c>
      <c r="K348" s="193" t="s">
        <v>867</v>
      </c>
      <c r="L348" s="193" t="s">
        <v>6</v>
      </c>
      <c r="M348" s="193" t="s">
        <v>870</v>
      </c>
      <c r="N348" s="193" t="s">
        <v>5409</v>
      </c>
      <c r="O348" s="225" t="s">
        <v>868</v>
      </c>
      <c r="P348" s="200"/>
    </row>
    <row r="349" spans="1:16" x14ac:dyDescent="0.25">
      <c r="A349" s="133"/>
      <c r="B349" s="258" t="s">
        <v>6135</v>
      </c>
      <c r="C349" s="202" t="s">
        <v>5424</v>
      </c>
      <c r="D349" s="226">
        <v>40</v>
      </c>
      <c r="E349" s="244">
        <v>770</v>
      </c>
      <c r="F349" s="169">
        <v>0.05</v>
      </c>
      <c r="G349" s="294">
        <f>+D349*E349*(1+F349)</f>
        <v>32340</v>
      </c>
      <c r="H349" s="200"/>
      <c r="I349" s="133"/>
      <c r="J349" s="258" t="s">
        <v>6135</v>
      </c>
      <c r="K349" s="202" t="s">
        <v>5424</v>
      </c>
      <c r="L349" s="226">
        <v>40</v>
      </c>
      <c r="M349" s="244">
        <v>770</v>
      </c>
      <c r="N349" s="169">
        <v>0.05</v>
      </c>
      <c r="O349" s="294">
        <f>+L349*M349*(1+N349)</f>
        <v>32340</v>
      </c>
      <c r="P349" s="200"/>
    </row>
    <row r="350" spans="1:16" x14ac:dyDescent="0.25">
      <c r="A350" s="133"/>
      <c r="B350" s="260" t="s">
        <v>6136</v>
      </c>
      <c r="C350" s="202" t="s">
        <v>5542</v>
      </c>
      <c r="D350" s="202">
        <v>2.4E-2</v>
      </c>
      <c r="E350" s="257">
        <v>258470</v>
      </c>
      <c r="F350" s="169">
        <v>0.05</v>
      </c>
      <c r="G350" s="294">
        <f>+D350*E350*(1+F350)</f>
        <v>6513.4440000000004</v>
      </c>
      <c r="H350" s="200"/>
      <c r="I350" s="133"/>
      <c r="J350" s="260" t="s">
        <v>6136</v>
      </c>
      <c r="K350" s="202" t="s">
        <v>5542</v>
      </c>
      <c r="L350" s="202">
        <v>2.4E-2</v>
      </c>
      <c r="M350" s="257">
        <v>258470</v>
      </c>
      <c r="N350" s="169">
        <v>0.05</v>
      </c>
      <c r="O350" s="294">
        <f>+L350*M350*(1+N350)</f>
        <v>6513.4440000000004</v>
      </c>
      <c r="P350" s="200"/>
    </row>
    <row r="351" spans="1:16" x14ac:dyDescent="0.25">
      <c r="A351" s="133"/>
      <c r="B351" s="247" t="s">
        <v>6138</v>
      </c>
      <c r="C351" s="226" t="s">
        <v>5550</v>
      </c>
      <c r="D351" s="226"/>
      <c r="E351" s="244"/>
      <c r="F351" s="169"/>
      <c r="G351" s="294"/>
      <c r="H351" s="200"/>
      <c r="I351" s="133"/>
      <c r="J351" s="247" t="s">
        <v>6138</v>
      </c>
      <c r="K351" s="226" t="s">
        <v>5550</v>
      </c>
      <c r="L351" s="226"/>
      <c r="M351" s="244"/>
      <c r="N351" s="169"/>
      <c r="O351" s="294"/>
      <c r="P351" s="200"/>
    </row>
    <row r="352" spans="1:16" x14ac:dyDescent="0.25">
      <c r="A352" s="133"/>
      <c r="B352" s="194" t="s">
        <v>6137</v>
      </c>
      <c r="C352" s="226" t="s">
        <v>5542</v>
      </c>
      <c r="D352" s="226">
        <v>0.06</v>
      </c>
      <c r="E352" s="171"/>
      <c r="F352" s="169"/>
      <c r="G352" s="294"/>
      <c r="H352" s="200"/>
      <c r="I352" s="133"/>
      <c r="J352" s="194" t="s">
        <v>6137</v>
      </c>
      <c r="K352" s="226" t="s">
        <v>5542</v>
      </c>
      <c r="L352" s="226">
        <v>0.06</v>
      </c>
      <c r="M352" s="171"/>
      <c r="N352" s="169"/>
      <c r="O352" s="294"/>
      <c r="P352" s="200"/>
    </row>
    <row r="353" spans="1:16" x14ac:dyDescent="0.25">
      <c r="A353" s="133"/>
      <c r="B353" s="195"/>
      <c r="C353" s="226"/>
      <c r="D353" s="226"/>
      <c r="E353" s="171"/>
      <c r="F353" s="169"/>
      <c r="G353" s="178"/>
      <c r="H353" s="200"/>
      <c r="I353" s="133"/>
      <c r="J353" s="195"/>
      <c r="K353" s="226"/>
      <c r="L353" s="226"/>
      <c r="M353" s="171"/>
      <c r="N353" s="169"/>
      <c r="O353" s="178"/>
      <c r="P353" s="200"/>
    </row>
    <row r="354" spans="1:16" x14ac:dyDescent="0.25">
      <c r="A354" s="133"/>
      <c r="B354" s="194"/>
      <c r="C354" s="202"/>
      <c r="D354" s="202"/>
      <c r="E354" s="171"/>
      <c r="F354" s="169"/>
      <c r="G354" s="178"/>
      <c r="H354" s="200"/>
      <c r="I354" s="133"/>
      <c r="J354" s="194"/>
      <c r="K354" s="202"/>
      <c r="L354" s="202"/>
      <c r="M354" s="171"/>
      <c r="N354" s="169"/>
      <c r="O354" s="178"/>
      <c r="P354" s="200"/>
    </row>
    <row r="355" spans="1:16" x14ac:dyDescent="0.25">
      <c r="A355" s="133"/>
      <c r="B355" s="195"/>
      <c r="C355" s="226"/>
      <c r="D355" s="226"/>
      <c r="E355" s="171"/>
      <c r="F355" s="169"/>
      <c r="G355" s="178"/>
      <c r="H355" s="200"/>
      <c r="I355" s="133"/>
      <c r="J355" s="195"/>
      <c r="K355" s="226"/>
      <c r="L355" s="226"/>
      <c r="M355" s="171"/>
      <c r="N355" s="169"/>
      <c r="O355" s="178"/>
      <c r="P355" s="200"/>
    </row>
    <row r="356" spans="1:16" x14ac:dyDescent="0.25">
      <c r="A356" s="133"/>
      <c r="B356" s="195"/>
      <c r="C356" s="226"/>
      <c r="D356" s="226"/>
      <c r="E356" s="171"/>
      <c r="F356" s="169"/>
      <c r="G356" s="178"/>
      <c r="H356" s="200"/>
      <c r="I356" s="133"/>
      <c r="J356" s="195"/>
      <c r="K356" s="226"/>
      <c r="L356" s="226"/>
      <c r="M356" s="171"/>
      <c r="N356" s="169"/>
      <c r="O356" s="178"/>
      <c r="P356" s="200"/>
    </row>
    <row r="357" spans="1:16" x14ac:dyDescent="0.25">
      <c r="A357" s="133"/>
      <c r="B357" s="195"/>
      <c r="C357" s="232"/>
      <c r="D357" s="232"/>
      <c r="E357" s="232"/>
      <c r="F357" s="226"/>
      <c r="G357" s="229"/>
      <c r="H357" s="200"/>
      <c r="I357" s="133"/>
      <c r="J357" s="195"/>
      <c r="K357" s="232"/>
      <c r="L357" s="232"/>
      <c r="M357" s="232"/>
      <c r="N357" s="226"/>
      <c r="O357" s="229"/>
      <c r="P357" s="200"/>
    </row>
    <row r="358" spans="1:16" x14ac:dyDescent="0.25">
      <c r="A358" s="133"/>
      <c r="B358" s="195"/>
      <c r="C358" s="232"/>
      <c r="D358" s="232"/>
      <c r="E358" s="232"/>
      <c r="F358" s="226"/>
      <c r="G358" s="229"/>
      <c r="H358" s="200"/>
      <c r="I358" s="133"/>
      <c r="J358" s="195"/>
      <c r="K358" s="232"/>
      <c r="L358" s="232"/>
      <c r="M358" s="232"/>
      <c r="N358" s="226"/>
      <c r="O358" s="229"/>
      <c r="P358" s="200"/>
    </row>
    <row r="359" spans="1:16" x14ac:dyDescent="0.25">
      <c r="A359" s="133"/>
      <c r="B359" s="195"/>
      <c r="C359" s="232"/>
      <c r="D359" s="232"/>
      <c r="E359" s="232"/>
      <c r="F359" s="226"/>
      <c r="G359" s="229"/>
      <c r="H359" s="200"/>
      <c r="I359" s="133"/>
      <c r="J359" s="195"/>
      <c r="K359" s="232"/>
      <c r="L359" s="232"/>
      <c r="M359" s="232"/>
      <c r="N359" s="226"/>
      <c r="O359" s="229"/>
      <c r="P359" s="200"/>
    </row>
    <row r="360" spans="1:16" ht="15.75" thickBot="1" x14ac:dyDescent="0.3">
      <c r="A360" s="133"/>
      <c r="B360" s="195"/>
      <c r="C360" s="232"/>
      <c r="D360" s="232"/>
      <c r="E360" s="232"/>
      <c r="F360" s="226"/>
      <c r="G360" s="229"/>
      <c r="H360" s="200"/>
      <c r="I360" s="133"/>
      <c r="J360" s="195"/>
      <c r="K360" s="232"/>
      <c r="L360" s="232"/>
      <c r="M360" s="232"/>
      <c r="N360" s="226"/>
      <c r="O360" s="229"/>
      <c r="P360" s="200"/>
    </row>
    <row r="361" spans="1:16" ht="15.75" thickBot="1" x14ac:dyDescent="0.3">
      <c r="A361" s="133"/>
      <c r="B361" s="233"/>
      <c r="C361" s="234"/>
      <c r="D361" s="234"/>
      <c r="E361" s="234"/>
      <c r="F361" s="235"/>
      <c r="G361" s="236"/>
      <c r="H361" s="256">
        <f>+SUM(G349:G361)</f>
        <v>38853.444000000003</v>
      </c>
      <c r="I361" s="133"/>
      <c r="J361" s="233"/>
      <c r="K361" s="234"/>
      <c r="L361" s="234"/>
      <c r="M361" s="234"/>
      <c r="N361" s="235"/>
      <c r="O361" s="236"/>
      <c r="P361" s="256">
        <f>+SUM(O349:O361)</f>
        <v>38853.444000000003</v>
      </c>
    </row>
    <row r="362" spans="1:16" ht="15.75" thickBot="1" x14ac:dyDescent="0.3">
      <c r="A362" s="133"/>
      <c r="B362" s="238"/>
      <c r="C362" s="238"/>
      <c r="D362" s="238"/>
      <c r="E362" s="238"/>
      <c r="F362" s="239"/>
      <c r="G362" s="240"/>
      <c r="H362" s="241"/>
      <c r="I362" s="133"/>
      <c r="J362" s="238"/>
      <c r="K362" s="238"/>
      <c r="L362" s="238"/>
      <c r="M362" s="238"/>
      <c r="N362" s="239"/>
      <c r="O362" s="240"/>
      <c r="P362" s="241"/>
    </row>
    <row r="363" spans="1:16" ht="15.75" thickBot="1" x14ac:dyDescent="0.3">
      <c r="A363" s="133"/>
      <c r="B363" s="224" t="s">
        <v>5410</v>
      </c>
      <c r="C363" s="193" t="s">
        <v>867</v>
      </c>
      <c r="D363" s="193" t="s">
        <v>6</v>
      </c>
      <c r="E363" s="193" t="s">
        <v>870</v>
      </c>
      <c r="F363" s="193" t="s">
        <v>5411</v>
      </c>
      <c r="G363" s="225" t="s">
        <v>868</v>
      </c>
      <c r="H363" s="200"/>
      <c r="I363" s="133"/>
      <c r="J363" s="224" t="s">
        <v>5410</v>
      </c>
      <c r="K363" s="193" t="s">
        <v>867</v>
      </c>
      <c r="L363" s="193" t="s">
        <v>6</v>
      </c>
      <c r="M363" s="193" t="s">
        <v>870</v>
      </c>
      <c r="N363" s="193" t="s">
        <v>5411</v>
      </c>
      <c r="O363" s="225" t="s">
        <v>868</v>
      </c>
      <c r="P363" s="200"/>
    </row>
    <row r="364" spans="1:16" x14ac:dyDescent="0.25">
      <c r="A364" s="133"/>
      <c r="B364" s="245"/>
      <c r="C364" s="202"/>
      <c r="D364" s="202"/>
      <c r="E364" s="175"/>
      <c r="F364" s="202"/>
      <c r="G364" s="203"/>
      <c r="H364" s="246"/>
      <c r="I364" s="133"/>
      <c r="J364" s="245"/>
      <c r="K364" s="202"/>
      <c r="L364" s="202"/>
      <c r="M364" s="175"/>
      <c r="N364" s="202"/>
      <c r="O364" s="203"/>
      <c r="P364" s="246"/>
    </row>
    <row r="365" spans="1:16" x14ac:dyDescent="0.25">
      <c r="A365" s="133"/>
      <c r="B365" s="247"/>
      <c r="C365" s="248"/>
      <c r="D365" s="248"/>
      <c r="E365" s="248"/>
      <c r="F365" s="202"/>
      <c r="G365" s="178"/>
      <c r="H365" s="200"/>
      <c r="I365" s="133"/>
      <c r="J365" s="247"/>
      <c r="K365" s="248"/>
      <c r="L365" s="248"/>
      <c r="M365" s="248"/>
      <c r="N365" s="202"/>
      <c r="O365" s="178"/>
      <c r="P365" s="200"/>
    </row>
    <row r="366" spans="1:16" x14ac:dyDescent="0.25">
      <c r="A366" s="133"/>
      <c r="B366" s="247"/>
      <c r="C366" s="232"/>
      <c r="D366" s="232"/>
      <c r="E366" s="232"/>
      <c r="F366" s="226"/>
      <c r="G366" s="229"/>
      <c r="H366" s="200"/>
      <c r="I366" s="133"/>
      <c r="J366" s="247"/>
      <c r="K366" s="232"/>
      <c r="L366" s="232"/>
      <c r="M366" s="232"/>
      <c r="N366" s="226"/>
      <c r="O366" s="229"/>
      <c r="P366" s="200"/>
    </row>
    <row r="367" spans="1:16" x14ac:dyDescent="0.25">
      <c r="A367" s="133"/>
      <c r="B367" s="194"/>
      <c r="C367" s="232"/>
      <c r="D367" s="232"/>
      <c r="E367" s="232"/>
      <c r="F367" s="226"/>
      <c r="G367" s="229"/>
      <c r="H367" s="200"/>
      <c r="I367" s="133"/>
      <c r="J367" s="194"/>
      <c r="K367" s="232"/>
      <c r="L367" s="232"/>
      <c r="M367" s="232"/>
      <c r="N367" s="226"/>
      <c r="O367" s="229"/>
      <c r="P367" s="200"/>
    </row>
    <row r="368" spans="1:16" ht="15.75" thickBot="1" x14ac:dyDescent="0.3">
      <c r="A368" s="133"/>
      <c r="B368" s="195"/>
      <c r="C368" s="232"/>
      <c r="D368" s="232"/>
      <c r="E368" s="232"/>
      <c r="F368" s="226"/>
      <c r="G368" s="229"/>
      <c r="H368" s="200"/>
      <c r="I368" s="133"/>
      <c r="J368" s="195"/>
      <c r="K368" s="232"/>
      <c r="L368" s="232"/>
      <c r="M368" s="232"/>
      <c r="N368" s="226"/>
      <c r="O368" s="229"/>
      <c r="P368" s="200"/>
    </row>
    <row r="369" spans="1:16" ht="15.75" thickBot="1" x14ac:dyDescent="0.3">
      <c r="A369" s="133"/>
      <c r="B369" s="233"/>
      <c r="C369" s="234"/>
      <c r="D369" s="234"/>
      <c r="E369" s="234"/>
      <c r="F369" s="235"/>
      <c r="G369" s="236"/>
      <c r="H369" s="237">
        <f>+SUM(G364:G369)</f>
        <v>0</v>
      </c>
      <c r="I369" s="133"/>
      <c r="J369" s="233"/>
      <c r="K369" s="234"/>
      <c r="L369" s="234"/>
      <c r="M369" s="234"/>
      <c r="N369" s="235"/>
      <c r="O369" s="236"/>
      <c r="P369" s="237">
        <f>+SUM(O364:O369)</f>
        <v>0</v>
      </c>
    </row>
    <row r="370" spans="1:16" ht="15.75" thickBot="1" x14ac:dyDescent="0.3">
      <c r="A370" s="133"/>
      <c r="B370" s="238"/>
      <c r="C370" s="238"/>
      <c r="D370" s="238"/>
      <c r="E370" s="238"/>
      <c r="F370" s="249"/>
      <c r="G370" s="250"/>
      <c r="H370" s="241"/>
      <c r="I370" s="133"/>
      <c r="J370" s="238"/>
      <c r="K370" s="238"/>
      <c r="L370" s="238"/>
      <c r="M370" s="238"/>
      <c r="N370" s="249"/>
      <c r="O370" s="250"/>
      <c r="P370" s="241"/>
    </row>
    <row r="371" spans="1:16" ht="15.75" thickBot="1" x14ac:dyDescent="0.3">
      <c r="A371" s="133"/>
      <c r="B371" s="224" t="s">
        <v>5412</v>
      </c>
      <c r="C371" s="193" t="s">
        <v>5420</v>
      </c>
      <c r="D371" s="193" t="s">
        <v>5421</v>
      </c>
      <c r="E371" s="193" t="s">
        <v>5413</v>
      </c>
      <c r="F371" s="193" t="s">
        <v>5405</v>
      </c>
      <c r="G371" s="225" t="s">
        <v>868</v>
      </c>
      <c r="H371" s="200"/>
      <c r="I371" s="133"/>
      <c r="J371" s="224" t="s">
        <v>5412</v>
      </c>
      <c r="K371" s="193" t="s">
        <v>5420</v>
      </c>
      <c r="L371" s="193" t="s">
        <v>5421</v>
      </c>
      <c r="M371" s="193" t="s">
        <v>5413</v>
      </c>
      <c r="N371" s="193" t="s">
        <v>5405</v>
      </c>
      <c r="O371" s="225" t="s">
        <v>868</v>
      </c>
      <c r="P371" s="200"/>
    </row>
    <row r="372" spans="1:16" x14ac:dyDescent="0.25">
      <c r="A372" s="133"/>
      <c r="B372" s="194" t="s">
        <v>5948</v>
      </c>
      <c r="C372" s="345">
        <v>70000</v>
      </c>
      <c r="D372" s="176">
        <f>+C372*0.85</f>
        <v>59500</v>
      </c>
      <c r="E372" s="176">
        <f>+C372+D372</f>
        <v>129500</v>
      </c>
      <c r="F372" s="204">
        <v>100</v>
      </c>
      <c r="G372" s="178">
        <f>+E372/F372</f>
        <v>1295</v>
      </c>
      <c r="H372" s="200"/>
      <c r="I372" s="133"/>
      <c r="J372" s="194" t="s">
        <v>5948</v>
      </c>
      <c r="K372" s="345">
        <v>70000</v>
      </c>
      <c r="L372" s="176">
        <f>+K372*0.85</f>
        <v>59500</v>
      </c>
      <c r="M372" s="176">
        <f>+K372+L372</f>
        <v>129500</v>
      </c>
      <c r="N372" s="204">
        <v>100</v>
      </c>
      <c r="O372" s="178">
        <f>+M372/N372</f>
        <v>1295</v>
      </c>
      <c r="P372" s="200"/>
    </row>
    <row r="373" spans="1:16" x14ac:dyDescent="0.25">
      <c r="A373" s="133"/>
      <c r="B373" s="194" t="s">
        <v>5651</v>
      </c>
      <c r="C373" s="345">
        <v>40000</v>
      </c>
      <c r="D373" s="176">
        <f>+C373*0.85</f>
        <v>34000</v>
      </c>
      <c r="E373" s="176">
        <f>+C373+D373</f>
        <v>74000</v>
      </c>
      <c r="F373" s="202">
        <v>5</v>
      </c>
      <c r="G373" s="178">
        <f>+E373/F373</f>
        <v>14800</v>
      </c>
      <c r="H373" s="200"/>
      <c r="I373" s="133"/>
      <c r="J373" s="194" t="s">
        <v>5651</v>
      </c>
      <c r="K373" s="345">
        <v>40000</v>
      </c>
      <c r="L373" s="176">
        <f>+K373*0.85</f>
        <v>34000</v>
      </c>
      <c r="M373" s="176">
        <f>+K373+L373</f>
        <v>74000</v>
      </c>
      <c r="N373" s="202">
        <v>4</v>
      </c>
      <c r="O373" s="178">
        <f>+M373/N373</f>
        <v>18500</v>
      </c>
      <c r="P373" s="200"/>
    </row>
    <row r="374" spans="1:16" x14ac:dyDescent="0.25">
      <c r="A374" s="133"/>
      <c r="B374" s="195" t="s">
        <v>5635</v>
      </c>
      <c r="C374" s="345">
        <v>20600</v>
      </c>
      <c r="D374" s="176">
        <f>+C374*0.85</f>
        <v>17510</v>
      </c>
      <c r="E374" s="176">
        <f>+C374+D374</f>
        <v>38110</v>
      </c>
      <c r="F374" s="226">
        <v>5</v>
      </c>
      <c r="G374" s="178">
        <f>+E374/F374</f>
        <v>7622</v>
      </c>
      <c r="H374" s="200"/>
      <c r="I374" s="133"/>
      <c r="J374" s="195" t="s">
        <v>5635</v>
      </c>
      <c r="K374" s="345">
        <v>20600</v>
      </c>
      <c r="L374" s="176">
        <f>+K374*0.85</f>
        <v>17510</v>
      </c>
      <c r="M374" s="176">
        <f>+K374+L374</f>
        <v>38110</v>
      </c>
      <c r="N374" s="226">
        <v>4</v>
      </c>
      <c r="O374" s="178">
        <f>+M374/N374</f>
        <v>9527.5</v>
      </c>
      <c r="P374" s="200"/>
    </row>
    <row r="375" spans="1:16" x14ac:dyDescent="0.25">
      <c r="A375" s="133"/>
      <c r="B375" s="195"/>
      <c r="C375" s="171"/>
      <c r="D375" s="176"/>
      <c r="E375" s="176"/>
      <c r="F375" s="226"/>
      <c r="G375" s="178"/>
      <c r="H375" s="200"/>
      <c r="I375" s="133"/>
      <c r="J375" s="195"/>
      <c r="K375" s="171"/>
      <c r="L375" s="176"/>
      <c r="M375" s="176"/>
      <c r="N375" s="226"/>
      <c r="O375" s="178"/>
      <c r="P375" s="200"/>
    </row>
    <row r="376" spans="1:16" x14ac:dyDescent="0.25">
      <c r="A376" s="133"/>
      <c r="B376" s="195"/>
      <c r="C376" s="232"/>
      <c r="D376" s="232"/>
      <c r="E376" s="232"/>
      <c r="F376" s="226"/>
      <c r="G376" s="229"/>
      <c r="H376" s="200"/>
      <c r="I376" s="133"/>
      <c r="J376" s="195"/>
      <c r="K376" s="232"/>
      <c r="L376" s="232"/>
      <c r="M376" s="232"/>
      <c r="N376" s="226"/>
      <c r="O376" s="229"/>
      <c r="P376" s="200"/>
    </row>
    <row r="377" spans="1:16" ht="15.75" thickBot="1" x14ac:dyDescent="0.3">
      <c r="A377" s="133"/>
      <c r="B377" s="195"/>
      <c r="C377" s="232"/>
      <c r="D377" s="232"/>
      <c r="E377" s="232"/>
      <c r="F377" s="226"/>
      <c r="G377" s="229"/>
      <c r="H377" s="200"/>
      <c r="I377" s="133"/>
      <c r="J377" s="195"/>
      <c r="K377" s="232"/>
      <c r="L377" s="232"/>
      <c r="M377" s="232"/>
      <c r="N377" s="226"/>
      <c r="O377" s="229"/>
      <c r="P377" s="200"/>
    </row>
    <row r="378" spans="1:16" ht="15.75" thickBot="1" x14ac:dyDescent="0.3">
      <c r="A378" s="133"/>
      <c r="B378" s="251"/>
      <c r="C378" s="252"/>
      <c r="D378" s="252"/>
      <c r="E378" s="252"/>
      <c r="F378" s="253"/>
      <c r="G378" s="254"/>
      <c r="H378" s="256">
        <f>+SUM(G372:G378)</f>
        <v>23717</v>
      </c>
      <c r="I378" s="133"/>
      <c r="J378" s="251"/>
      <c r="K378" s="252"/>
      <c r="L378" s="252"/>
      <c r="M378" s="252"/>
      <c r="N378" s="253"/>
      <c r="O378" s="254"/>
      <c r="P378" s="256">
        <f>+SUM(O372:O378)</f>
        <v>29322.5</v>
      </c>
    </row>
    <row r="379" spans="1:16" ht="15.75" thickBot="1" x14ac:dyDescent="0.3">
      <c r="A379" s="133"/>
      <c r="B379" s="8"/>
      <c r="C379" s="8"/>
      <c r="D379" s="8"/>
      <c r="E379" s="8"/>
      <c r="F379" s="133"/>
      <c r="G379" s="200"/>
      <c r="H379" s="200"/>
      <c r="I379" s="133"/>
      <c r="J379" s="8"/>
      <c r="K379" s="8"/>
      <c r="L379" s="8"/>
      <c r="M379" s="8"/>
      <c r="N379" s="133"/>
      <c r="O379" s="200"/>
      <c r="P379" s="200"/>
    </row>
    <row r="380" spans="1:16" ht="15.75" thickBot="1" x14ac:dyDescent="0.3">
      <c r="A380" s="133"/>
      <c r="B380" s="8"/>
      <c r="C380" s="8"/>
      <c r="D380" s="8"/>
      <c r="E380" s="223" t="s">
        <v>5415</v>
      </c>
      <c r="F380" s="133"/>
      <c r="G380" s="200"/>
      <c r="H380" s="256">
        <f>ROUND(+H378+H369+H361+H346,0)</f>
        <v>64942</v>
      </c>
      <c r="I380" s="133"/>
      <c r="J380" s="8"/>
      <c r="K380" s="8"/>
      <c r="L380" s="8"/>
      <c r="M380" s="223" t="s">
        <v>5415</v>
      </c>
      <c r="N380" s="133"/>
      <c r="O380" s="200"/>
      <c r="P380" s="256">
        <f>ROUND(+P378+P369+P361+P346,0)</f>
        <v>71108</v>
      </c>
    </row>
    <row r="385" spans="1:16" ht="18.75" x14ac:dyDescent="0.25">
      <c r="A385" s="133"/>
      <c r="B385" s="2506" t="s">
        <v>5400</v>
      </c>
      <c r="C385" s="2506"/>
      <c r="D385" s="2506"/>
      <c r="E385" s="2506"/>
      <c r="F385" s="2506"/>
      <c r="G385" s="2506"/>
      <c r="H385" s="8"/>
      <c r="I385" s="133"/>
      <c r="J385" s="2506" t="s">
        <v>5400</v>
      </c>
      <c r="K385" s="2506"/>
      <c r="L385" s="2506"/>
      <c r="M385" s="2506"/>
      <c r="N385" s="2506"/>
      <c r="O385" s="2506"/>
      <c r="P385" s="8"/>
    </row>
    <row r="386" spans="1:16" ht="18.75" x14ac:dyDescent="0.25">
      <c r="A386" s="133"/>
      <c r="B386" s="137"/>
      <c r="C386" s="137"/>
      <c r="D386" s="137"/>
      <c r="E386" s="137"/>
      <c r="F386" s="137"/>
      <c r="G386" s="137"/>
      <c r="H386" s="8"/>
      <c r="I386" s="133"/>
      <c r="J386" s="613"/>
      <c r="K386" s="613"/>
      <c r="L386" s="613"/>
      <c r="M386" s="613"/>
      <c r="N386" s="613"/>
      <c r="O386" s="613"/>
      <c r="P386" s="8"/>
    </row>
    <row r="387" spans="1:16" x14ac:dyDescent="0.25">
      <c r="A387" s="133"/>
      <c r="B387" s="8"/>
      <c r="C387" s="8"/>
      <c r="D387" s="8"/>
      <c r="E387" s="8"/>
      <c r="F387" s="133"/>
      <c r="G387" s="200"/>
      <c r="H387" s="200"/>
      <c r="I387" s="133"/>
      <c r="J387" s="8"/>
      <c r="K387" s="8"/>
      <c r="L387" s="8"/>
      <c r="M387" s="8"/>
      <c r="N387" s="133"/>
      <c r="O387" s="200"/>
      <c r="P387" s="200"/>
    </row>
    <row r="388" spans="1:16" x14ac:dyDescent="0.25">
      <c r="A388" s="133"/>
      <c r="B388" s="8"/>
      <c r="C388" s="8"/>
      <c r="D388" s="8"/>
      <c r="E388" s="8"/>
      <c r="F388" s="133"/>
      <c r="G388" s="200"/>
      <c r="H388" s="200"/>
      <c r="I388" s="133"/>
      <c r="J388" s="8"/>
      <c r="K388" s="8"/>
      <c r="L388" s="8"/>
      <c r="M388" s="8"/>
      <c r="N388" s="133"/>
      <c r="O388" s="200"/>
      <c r="P388" s="200"/>
    </row>
    <row r="389" spans="1:16" x14ac:dyDescent="0.25">
      <c r="A389" s="220" t="s">
        <v>5482</v>
      </c>
      <c r="B389" s="138" t="s">
        <v>5599</v>
      </c>
      <c r="C389" s="2449" t="s">
        <v>5600</v>
      </c>
      <c r="D389" s="2449"/>
      <c r="E389" s="2449"/>
      <c r="F389" s="220" t="s">
        <v>867</v>
      </c>
      <c r="G389" s="222" t="s">
        <v>5418</v>
      </c>
      <c r="H389" s="200"/>
      <c r="I389" s="220" t="s">
        <v>5482</v>
      </c>
      <c r="J389" s="138" t="s">
        <v>5599</v>
      </c>
      <c r="K389" s="2449" t="s">
        <v>5600</v>
      </c>
      <c r="L389" s="2449"/>
      <c r="M389" s="2449"/>
      <c r="N389" s="220" t="s">
        <v>867</v>
      </c>
      <c r="O389" s="222" t="s">
        <v>5418</v>
      </c>
      <c r="P389" s="200"/>
    </row>
    <row r="390" spans="1:16" x14ac:dyDescent="0.25">
      <c r="A390" s="133"/>
      <c r="B390" s="8"/>
      <c r="C390" s="223"/>
      <c r="D390" s="223"/>
      <c r="E390" s="223"/>
      <c r="F390" s="133"/>
      <c r="G390" s="200"/>
      <c r="H390" s="200"/>
      <c r="I390" s="133"/>
      <c r="J390" s="8"/>
      <c r="K390" s="223"/>
      <c r="L390" s="223"/>
      <c r="M390" s="223"/>
      <c r="N390" s="133"/>
      <c r="O390" s="200"/>
      <c r="P390" s="200"/>
    </row>
    <row r="391" spans="1:16" x14ac:dyDescent="0.25">
      <c r="A391" s="133"/>
      <c r="B391" s="8"/>
      <c r="C391" s="8"/>
      <c r="D391" s="8"/>
      <c r="E391" s="8"/>
      <c r="F391" s="8"/>
      <c r="G391" s="8"/>
      <c r="H391" s="200"/>
      <c r="I391" s="133"/>
      <c r="J391" s="8"/>
      <c r="K391" s="8"/>
      <c r="L391" s="8"/>
      <c r="M391" s="8"/>
      <c r="N391" s="8"/>
      <c r="O391" s="8"/>
      <c r="P391" s="200"/>
    </row>
    <row r="392" spans="1:16" ht="15.75" thickBot="1" x14ac:dyDescent="0.3">
      <c r="A392" s="133"/>
      <c r="B392" s="8"/>
      <c r="C392" s="8"/>
      <c r="D392" s="8"/>
      <c r="E392" s="8"/>
      <c r="F392" s="133"/>
      <c r="G392" s="200"/>
      <c r="H392" s="200"/>
      <c r="I392" s="133"/>
      <c r="J392" s="8"/>
      <c r="K392" s="8"/>
      <c r="L392" s="8"/>
      <c r="M392" s="8"/>
      <c r="N392" s="133"/>
      <c r="O392" s="200"/>
      <c r="P392" s="200"/>
    </row>
    <row r="393" spans="1:16" ht="15.75" thickBot="1" x14ac:dyDescent="0.3">
      <c r="A393" s="133"/>
      <c r="B393" s="224" t="s">
        <v>5403</v>
      </c>
      <c r="C393" s="193" t="s">
        <v>867</v>
      </c>
      <c r="D393" s="193" t="s">
        <v>6</v>
      </c>
      <c r="E393" s="193" t="s">
        <v>5439</v>
      </c>
      <c r="F393" s="193" t="s">
        <v>5405</v>
      </c>
      <c r="G393" s="225" t="s">
        <v>868</v>
      </c>
      <c r="H393" s="200"/>
      <c r="I393" s="133"/>
      <c r="J393" s="224" t="s">
        <v>5403</v>
      </c>
      <c r="K393" s="193" t="s">
        <v>867</v>
      </c>
      <c r="L393" s="193" t="s">
        <v>6</v>
      </c>
      <c r="M393" s="193" t="s">
        <v>5439</v>
      </c>
      <c r="N393" s="193" t="s">
        <v>5405</v>
      </c>
      <c r="O393" s="225" t="s">
        <v>868</v>
      </c>
      <c r="P393" s="200"/>
    </row>
    <row r="394" spans="1:16" x14ac:dyDescent="0.25">
      <c r="A394" s="133"/>
      <c r="B394" s="195" t="s">
        <v>5440</v>
      </c>
      <c r="C394" s="226" t="s">
        <v>5402</v>
      </c>
      <c r="D394" s="226">
        <v>1</v>
      </c>
      <c r="E394" s="227">
        <f>+H432</f>
        <v>8086.041666666667</v>
      </c>
      <c r="F394" s="226">
        <v>0.1</v>
      </c>
      <c r="G394" s="292">
        <f>+E394*F394</f>
        <v>808.60416666666674</v>
      </c>
      <c r="H394" s="200"/>
      <c r="I394" s="133"/>
      <c r="J394" s="195" t="s">
        <v>5440</v>
      </c>
      <c r="K394" s="226" t="s">
        <v>5402</v>
      </c>
      <c r="L394" s="226">
        <v>1</v>
      </c>
      <c r="M394" s="227">
        <f>+P432</f>
        <v>30463.333333333336</v>
      </c>
      <c r="N394" s="226">
        <v>0.1</v>
      </c>
      <c r="O394" s="292">
        <f>+M394*N394</f>
        <v>3046.3333333333339</v>
      </c>
      <c r="P394" s="200"/>
    </row>
    <row r="395" spans="1:16" x14ac:dyDescent="0.25">
      <c r="A395" s="133"/>
      <c r="B395" s="195"/>
      <c r="C395" s="226"/>
      <c r="D395" s="226"/>
      <c r="E395" s="230"/>
      <c r="F395" s="226"/>
      <c r="G395" s="229"/>
      <c r="H395" s="200"/>
      <c r="I395" s="133"/>
      <c r="J395" s="195"/>
      <c r="K395" s="226"/>
      <c r="L395" s="226"/>
      <c r="M395" s="230"/>
      <c r="N395" s="226"/>
      <c r="O395" s="229"/>
      <c r="P395" s="200"/>
    </row>
    <row r="396" spans="1:16" x14ac:dyDescent="0.25">
      <c r="A396" s="133"/>
      <c r="B396" s="195"/>
      <c r="C396" s="226"/>
      <c r="D396" s="226"/>
      <c r="E396" s="176"/>
      <c r="F396" s="226"/>
      <c r="G396" s="229"/>
      <c r="H396" s="200"/>
      <c r="I396" s="133"/>
      <c r="J396" s="195"/>
      <c r="K396" s="226"/>
      <c r="L396" s="226"/>
      <c r="M396" s="176"/>
      <c r="N396" s="226"/>
      <c r="O396" s="229"/>
      <c r="P396" s="200"/>
    </row>
    <row r="397" spans="1:16" x14ac:dyDescent="0.25">
      <c r="A397" s="133"/>
      <c r="B397" s="195"/>
      <c r="C397" s="226"/>
      <c r="D397" s="226"/>
      <c r="E397" s="171"/>
      <c r="F397" s="226"/>
      <c r="G397" s="293"/>
      <c r="H397" s="200"/>
      <c r="I397" s="133"/>
      <c r="J397" s="195"/>
      <c r="K397" s="226"/>
      <c r="L397" s="226"/>
      <c r="M397" s="171"/>
      <c r="N397" s="226"/>
      <c r="O397" s="293"/>
      <c r="P397" s="200"/>
    </row>
    <row r="398" spans="1:16" x14ac:dyDescent="0.25">
      <c r="A398" s="133"/>
      <c r="B398" s="195"/>
      <c r="C398" s="226"/>
      <c r="D398" s="232"/>
      <c r="E398" s="232"/>
      <c r="F398" s="226"/>
      <c r="G398" s="229"/>
      <c r="H398" s="200"/>
      <c r="I398" s="133"/>
      <c r="J398" s="195"/>
      <c r="K398" s="226"/>
      <c r="L398" s="232"/>
      <c r="M398" s="232"/>
      <c r="N398" s="226"/>
      <c r="O398" s="229"/>
      <c r="P398" s="200"/>
    </row>
    <row r="399" spans="1:16" ht="15.75" thickBot="1" x14ac:dyDescent="0.3">
      <c r="A399" s="133"/>
      <c r="B399" s="195"/>
      <c r="C399" s="226"/>
      <c r="D399" s="232"/>
      <c r="E399" s="232"/>
      <c r="F399" s="226"/>
      <c r="G399" s="229"/>
      <c r="H399" s="200"/>
      <c r="I399" s="133"/>
      <c r="J399" s="195"/>
      <c r="K399" s="226"/>
      <c r="L399" s="232"/>
      <c r="M399" s="232"/>
      <c r="N399" s="226"/>
      <c r="O399" s="229"/>
      <c r="P399" s="200"/>
    </row>
    <row r="400" spans="1:16" ht="15.75" thickBot="1" x14ac:dyDescent="0.3">
      <c r="A400" s="133"/>
      <c r="B400" s="233"/>
      <c r="C400" s="234"/>
      <c r="D400" s="234"/>
      <c r="E400" s="234"/>
      <c r="F400" s="235"/>
      <c r="G400" s="236"/>
      <c r="H400" s="237">
        <f>+SUM(G394:G400)</f>
        <v>808.60416666666674</v>
      </c>
      <c r="I400" s="133"/>
      <c r="J400" s="233"/>
      <c r="K400" s="234"/>
      <c r="L400" s="234"/>
      <c r="M400" s="234"/>
      <c r="N400" s="235"/>
      <c r="O400" s="236"/>
      <c r="P400" s="237">
        <f>+SUM(O394:O400)</f>
        <v>3046.3333333333339</v>
      </c>
    </row>
    <row r="401" spans="1:16" ht="15.75" thickBot="1" x14ac:dyDescent="0.3">
      <c r="A401" s="133"/>
      <c r="B401" s="238"/>
      <c r="C401" s="238"/>
      <c r="D401" s="238"/>
      <c r="E401" s="238"/>
      <c r="F401" s="239"/>
      <c r="G401" s="240"/>
      <c r="H401" s="241"/>
      <c r="I401" s="133"/>
      <c r="J401" s="238"/>
      <c r="K401" s="238"/>
      <c r="L401" s="238"/>
      <c r="M401" s="238"/>
      <c r="N401" s="239"/>
      <c r="O401" s="240"/>
      <c r="P401" s="241"/>
    </row>
    <row r="402" spans="1:16" ht="15.75" thickBot="1" x14ac:dyDescent="0.3">
      <c r="A402" s="133"/>
      <c r="B402" s="224" t="s">
        <v>5408</v>
      </c>
      <c r="C402" s="193" t="s">
        <v>867</v>
      </c>
      <c r="D402" s="193" t="s">
        <v>6</v>
      </c>
      <c r="E402" s="193" t="s">
        <v>870</v>
      </c>
      <c r="F402" s="193" t="s">
        <v>5409</v>
      </c>
      <c r="G402" s="225" t="s">
        <v>868</v>
      </c>
      <c r="H402" s="200"/>
      <c r="I402" s="133"/>
      <c r="J402" s="224" t="s">
        <v>5408</v>
      </c>
      <c r="K402" s="193" t="s">
        <v>867</v>
      </c>
      <c r="L402" s="193" t="s">
        <v>6</v>
      </c>
      <c r="M402" s="193" t="s">
        <v>870</v>
      </c>
      <c r="N402" s="193" t="s">
        <v>5409</v>
      </c>
      <c r="O402" s="225" t="s">
        <v>868</v>
      </c>
      <c r="P402" s="200"/>
    </row>
    <row r="403" spans="1:16" x14ac:dyDescent="0.25">
      <c r="A403" s="133"/>
      <c r="B403" s="260" t="s">
        <v>6009</v>
      </c>
      <c r="C403" s="202" t="s">
        <v>5542</v>
      </c>
      <c r="D403" s="202">
        <v>0.02</v>
      </c>
      <c r="E403" s="257">
        <f>+'APU CAP 5'!H808</f>
        <v>269606</v>
      </c>
      <c r="F403" s="169">
        <v>0.1</v>
      </c>
      <c r="G403" s="294">
        <f>+D403*E403*(1+F403)</f>
        <v>5931.3320000000003</v>
      </c>
      <c r="H403" s="200"/>
      <c r="I403" s="133"/>
      <c r="J403" s="260" t="s">
        <v>6009</v>
      </c>
      <c r="K403" s="202" t="s">
        <v>5542</v>
      </c>
      <c r="L403" s="202">
        <v>0.02</v>
      </c>
      <c r="M403" s="257">
        <f>+'APU CAP 5'!H808</f>
        <v>269606</v>
      </c>
      <c r="N403" s="169">
        <v>0.1</v>
      </c>
      <c r="O403" s="294">
        <f>+L403*M403*(1+N403)</f>
        <v>5931.3320000000003</v>
      </c>
      <c r="P403" s="200"/>
    </row>
    <row r="404" spans="1:16" x14ac:dyDescent="0.25">
      <c r="A404" s="133"/>
      <c r="B404" s="260"/>
      <c r="C404" s="202"/>
      <c r="D404" s="202"/>
      <c r="E404" s="257"/>
      <c r="F404" s="169"/>
      <c r="G404" s="294">
        <f>+D404*E404*(1+F404)</f>
        <v>0</v>
      </c>
      <c r="H404" s="200"/>
      <c r="I404" s="133"/>
      <c r="J404" s="260" t="s">
        <v>6553</v>
      </c>
      <c r="K404" s="202" t="s">
        <v>5550</v>
      </c>
      <c r="L404" s="202">
        <f>12*0.02</f>
        <v>0.24</v>
      </c>
      <c r="M404" s="257">
        <f>7200*1.16</f>
        <v>8352</v>
      </c>
      <c r="N404" s="169">
        <v>0.05</v>
      </c>
      <c r="O404" s="294">
        <f>+L404*M404*(1+N404)</f>
        <v>2104.7040000000002</v>
      </c>
      <c r="P404" s="200"/>
    </row>
    <row r="405" spans="1:16" x14ac:dyDescent="0.25">
      <c r="A405" s="133"/>
      <c r="B405" s="247"/>
      <c r="C405" s="226"/>
      <c r="D405" s="226"/>
      <c r="E405" s="244"/>
      <c r="F405" s="169"/>
      <c r="G405" s="294"/>
      <c r="H405" s="200"/>
      <c r="I405" s="133"/>
      <c r="J405" s="247"/>
      <c r="K405" s="226"/>
      <c r="L405" s="226"/>
      <c r="M405" s="244" t="s">
        <v>6554</v>
      </c>
      <c r="N405" s="169"/>
      <c r="O405" s="294"/>
      <c r="P405" s="200"/>
    </row>
    <row r="406" spans="1:16" x14ac:dyDescent="0.25">
      <c r="A406" s="133"/>
      <c r="B406" s="194"/>
      <c r="C406" s="226"/>
      <c r="D406" s="226"/>
      <c r="E406" s="171"/>
      <c r="F406" s="169"/>
      <c r="G406" s="294"/>
      <c r="H406" s="200"/>
      <c r="I406" s="133"/>
      <c r="J406" s="194"/>
      <c r="K406" s="226"/>
      <c r="L406" s="226"/>
      <c r="M406" s="171"/>
      <c r="N406" s="169"/>
      <c r="O406" s="294"/>
      <c r="P406" s="200"/>
    </row>
    <row r="407" spans="1:16" x14ac:dyDescent="0.25">
      <c r="A407" s="133"/>
      <c r="B407" s="195"/>
      <c r="C407" s="226"/>
      <c r="D407" s="226"/>
      <c r="E407" s="171"/>
      <c r="F407" s="169"/>
      <c r="G407" s="178"/>
      <c r="H407" s="200"/>
      <c r="I407" s="133"/>
      <c r="J407" s="195"/>
      <c r="K407" s="226"/>
      <c r="L407" s="226"/>
      <c r="M407" s="171"/>
      <c r="N407" s="169"/>
      <c r="O407" s="178"/>
      <c r="P407" s="200"/>
    </row>
    <row r="408" spans="1:16" x14ac:dyDescent="0.25">
      <c r="A408" s="133"/>
      <c r="B408" s="194"/>
      <c r="C408" s="202"/>
      <c r="D408" s="202"/>
      <c r="E408" s="171"/>
      <c r="F408" s="169"/>
      <c r="G408" s="178"/>
      <c r="H408" s="200"/>
      <c r="I408" s="133"/>
      <c r="J408" s="194"/>
      <c r="K408" s="202"/>
      <c r="L408" s="202"/>
      <c r="M408" s="171"/>
      <c r="N408" s="169"/>
      <c r="O408" s="178"/>
      <c r="P408" s="200"/>
    </row>
    <row r="409" spans="1:16" x14ac:dyDescent="0.25">
      <c r="A409" s="133"/>
      <c r="B409" s="195"/>
      <c r="C409" s="226"/>
      <c r="D409" s="226"/>
      <c r="E409" s="171"/>
      <c r="F409" s="169"/>
      <c r="G409" s="178"/>
      <c r="H409" s="200"/>
      <c r="I409" s="133"/>
      <c r="J409" s="195"/>
      <c r="K409" s="226"/>
      <c r="L409" s="226"/>
      <c r="M409" s="171"/>
      <c r="N409" s="169"/>
      <c r="O409" s="178"/>
      <c r="P409" s="200"/>
    </row>
    <row r="410" spans="1:16" x14ac:dyDescent="0.25">
      <c r="A410" s="133"/>
      <c r="B410" s="195"/>
      <c r="C410" s="226"/>
      <c r="D410" s="226"/>
      <c r="E410" s="171"/>
      <c r="F410" s="169"/>
      <c r="G410" s="178"/>
      <c r="H410" s="200"/>
      <c r="I410" s="133"/>
      <c r="J410" s="195"/>
      <c r="K410" s="226"/>
      <c r="L410" s="226"/>
      <c r="M410" s="171"/>
      <c r="N410" s="169"/>
      <c r="O410" s="178"/>
      <c r="P410" s="200"/>
    </row>
    <row r="411" spans="1:16" x14ac:dyDescent="0.25">
      <c r="A411" s="133"/>
      <c r="B411" s="195"/>
      <c r="C411" s="232"/>
      <c r="D411" s="232"/>
      <c r="E411" s="232"/>
      <c r="F411" s="226"/>
      <c r="G411" s="229"/>
      <c r="H411" s="200"/>
      <c r="I411" s="133"/>
      <c r="J411" s="195"/>
      <c r="K411" s="232"/>
      <c r="L411" s="232"/>
      <c r="M411" s="232"/>
      <c r="N411" s="226"/>
      <c r="O411" s="229"/>
      <c r="P411" s="200"/>
    </row>
    <row r="412" spans="1:16" x14ac:dyDescent="0.25">
      <c r="A412" s="133"/>
      <c r="B412" s="195"/>
      <c r="C412" s="232"/>
      <c r="D412" s="232"/>
      <c r="E412" s="232"/>
      <c r="F412" s="226"/>
      <c r="G412" s="229"/>
      <c r="H412" s="200"/>
      <c r="I412" s="133"/>
      <c r="J412" s="195"/>
      <c r="K412" s="232"/>
      <c r="L412" s="232"/>
      <c r="M412" s="232"/>
      <c r="N412" s="226"/>
      <c r="O412" s="229"/>
      <c r="P412" s="200"/>
    </row>
    <row r="413" spans="1:16" x14ac:dyDescent="0.25">
      <c r="A413" s="133"/>
      <c r="B413" s="195"/>
      <c r="C413" s="232"/>
      <c r="D413" s="232"/>
      <c r="E413" s="232"/>
      <c r="F413" s="226"/>
      <c r="G413" s="229"/>
      <c r="H413" s="200"/>
      <c r="I413" s="133"/>
      <c r="J413" s="195"/>
      <c r="K413" s="232"/>
      <c r="L413" s="232"/>
      <c r="M413" s="232"/>
      <c r="N413" s="226"/>
      <c r="O413" s="229"/>
      <c r="P413" s="200"/>
    </row>
    <row r="414" spans="1:16" ht="15.75" thickBot="1" x14ac:dyDescent="0.3">
      <c r="A414" s="133"/>
      <c r="B414" s="195"/>
      <c r="C414" s="232"/>
      <c r="D414" s="232"/>
      <c r="E414" s="232"/>
      <c r="F414" s="226"/>
      <c r="G414" s="229"/>
      <c r="H414" s="200"/>
      <c r="I414" s="133"/>
      <c r="J414" s="195"/>
      <c r="K414" s="232"/>
      <c r="L414" s="232"/>
      <c r="M414" s="232"/>
      <c r="N414" s="226"/>
      <c r="O414" s="229"/>
      <c r="P414" s="200"/>
    </row>
    <row r="415" spans="1:16" ht="15.75" thickBot="1" x14ac:dyDescent="0.3">
      <c r="A415" s="133"/>
      <c r="B415" s="233"/>
      <c r="C415" s="234"/>
      <c r="D415" s="234"/>
      <c r="E415" s="234"/>
      <c r="F415" s="235"/>
      <c r="G415" s="236"/>
      <c r="H415" s="256">
        <f>+SUM(G403:G415)</f>
        <v>5931.3320000000003</v>
      </c>
      <c r="I415" s="133"/>
      <c r="J415" s="233"/>
      <c r="K415" s="234"/>
      <c r="L415" s="234"/>
      <c r="M415" s="234"/>
      <c r="N415" s="235"/>
      <c r="O415" s="236"/>
      <c r="P415" s="256">
        <f>+SUM(O403:O415)</f>
        <v>8036.0360000000001</v>
      </c>
    </row>
    <row r="416" spans="1:16" ht="15.75" thickBot="1" x14ac:dyDescent="0.3">
      <c r="A416" s="133"/>
      <c r="B416" s="238"/>
      <c r="C416" s="238"/>
      <c r="D416" s="238"/>
      <c r="E416" s="238"/>
      <c r="F416" s="239"/>
      <c r="G416" s="240"/>
      <c r="H416" s="241"/>
      <c r="I416" s="133"/>
      <c r="J416" s="238"/>
      <c r="K416" s="238"/>
      <c r="L416" s="238"/>
      <c r="M416" s="238"/>
      <c r="N416" s="239"/>
      <c r="O416" s="240"/>
      <c r="P416" s="241"/>
    </row>
    <row r="417" spans="1:16" ht="15.75" thickBot="1" x14ac:dyDescent="0.3">
      <c r="A417" s="133"/>
      <c r="B417" s="224" t="s">
        <v>5410</v>
      </c>
      <c r="C417" s="193" t="s">
        <v>867</v>
      </c>
      <c r="D417" s="193" t="s">
        <v>6</v>
      </c>
      <c r="E417" s="193" t="s">
        <v>870</v>
      </c>
      <c r="F417" s="193" t="s">
        <v>5411</v>
      </c>
      <c r="G417" s="225" t="s">
        <v>868</v>
      </c>
      <c r="H417" s="200"/>
      <c r="I417" s="133"/>
      <c r="J417" s="224" t="s">
        <v>5410</v>
      </c>
      <c r="K417" s="193" t="s">
        <v>867</v>
      </c>
      <c r="L417" s="193" t="s">
        <v>6</v>
      </c>
      <c r="M417" s="193" t="s">
        <v>870</v>
      </c>
      <c r="N417" s="193" t="s">
        <v>5411</v>
      </c>
      <c r="O417" s="225" t="s">
        <v>868</v>
      </c>
      <c r="P417" s="200"/>
    </row>
    <row r="418" spans="1:16" x14ac:dyDescent="0.25">
      <c r="A418" s="133"/>
      <c r="B418" s="245"/>
      <c r="C418" s="202"/>
      <c r="D418" s="202"/>
      <c r="E418" s="175"/>
      <c r="F418" s="202"/>
      <c r="G418" s="203"/>
      <c r="H418" s="246"/>
      <c r="I418" s="133"/>
      <c r="J418" s="245"/>
      <c r="K418" s="202"/>
      <c r="L418" s="202"/>
      <c r="M418" s="175"/>
      <c r="N418" s="202"/>
      <c r="O418" s="203"/>
      <c r="P418" s="246"/>
    </row>
    <row r="419" spans="1:16" x14ac:dyDescent="0.25">
      <c r="A419" s="133"/>
      <c r="B419" s="247"/>
      <c r="C419" s="248"/>
      <c r="D419" s="248"/>
      <c r="E419" s="248"/>
      <c r="F419" s="202"/>
      <c r="G419" s="178"/>
      <c r="H419" s="200"/>
      <c r="I419" s="133"/>
      <c r="J419" s="247"/>
      <c r="K419" s="248"/>
      <c r="L419" s="248"/>
      <c r="M419" s="248"/>
      <c r="N419" s="202"/>
      <c r="O419" s="178"/>
      <c r="P419" s="200"/>
    </row>
    <row r="420" spans="1:16" x14ac:dyDescent="0.25">
      <c r="A420" s="133"/>
      <c r="B420" s="247"/>
      <c r="C420" s="232"/>
      <c r="D420" s="232"/>
      <c r="E420" s="232"/>
      <c r="F420" s="226"/>
      <c r="G420" s="229"/>
      <c r="H420" s="200"/>
      <c r="I420" s="133"/>
      <c r="J420" s="247"/>
      <c r="K420" s="232"/>
      <c r="L420" s="232"/>
      <c r="M420" s="232"/>
      <c r="N420" s="226"/>
      <c r="O420" s="229"/>
      <c r="P420" s="200"/>
    </row>
    <row r="421" spans="1:16" x14ac:dyDescent="0.25">
      <c r="A421" s="133"/>
      <c r="B421" s="194"/>
      <c r="C421" s="232"/>
      <c r="D421" s="232"/>
      <c r="E421" s="232"/>
      <c r="F421" s="226"/>
      <c r="G421" s="229"/>
      <c r="H421" s="200"/>
      <c r="I421" s="133"/>
      <c r="J421" s="194"/>
      <c r="K421" s="232"/>
      <c r="L421" s="232"/>
      <c r="M421" s="232"/>
      <c r="N421" s="226"/>
      <c r="O421" s="229"/>
      <c r="P421" s="200"/>
    </row>
    <row r="422" spans="1:16" ht="15.75" thickBot="1" x14ac:dyDescent="0.3">
      <c r="A422" s="133"/>
      <c r="B422" s="195"/>
      <c r="C422" s="232"/>
      <c r="D422" s="232"/>
      <c r="E422" s="232"/>
      <c r="F422" s="226"/>
      <c r="G422" s="229"/>
      <c r="H422" s="200"/>
      <c r="I422" s="133"/>
      <c r="J422" s="195"/>
      <c r="K422" s="232"/>
      <c r="L422" s="232"/>
      <c r="M422" s="232"/>
      <c r="N422" s="226"/>
      <c r="O422" s="229"/>
      <c r="P422" s="200"/>
    </row>
    <row r="423" spans="1:16" ht="15.75" thickBot="1" x14ac:dyDescent="0.3">
      <c r="A423" s="133"/>
      <c r="B423" s="233"/>
      <c r="C423" s="234"/>
      <c r="D423" s="234"/>
      <c r="E423" s="234"/>
      <c r="F423" s="235"/>
      <c r="G423" s="236"/>
      <c r="H423" s="237">
        <f>+SUM(G418:G423)</f>
        <v>0</v>
      </c>
      <c r="I423" s="133"/>
      <c r="J423" s="233"/>
      <c r="K423" s="234"/>
      <c r="L423" s="234"/>
      <c r="M423" s="234"/>
      <c r="N423" s="235"/>
      <c r="O423" s="236"/>
      <c r="P423" s="237">
        <f>+SUM(O418:O423)</f>
        <v>0</v>
      </c>
    </row>
    <row r="424" spans="1:16" ht="15.75" thickBot="1" x14ac:dyDescent="0.3">
      <c r="A424" s="133"/>
      <c r="B424" s="238"/>
      <c r="C424" s="238"/>
      <c r="D424" s="238"/>
      <c r="E424" s="238"/>
      <c r="F424" s="249"/>
      <c r="G424" s="250"/>
      <c r="H424" s="241"/>
      <c r="I424" s="133"/>
      <c r="J424" s="238"/>
      <c r="K424" s="238"/>
      <c r="L424" s="238"/>
      <c r="M424" s="238"/>
      <c r="N424" s="249"/>
      <c r="O424" s="250"/>
      <c r="P424" s="241"/>
    </row>
    <row r="425" spans="1:16" ht="15.75" thickBot="1" x14ac:dyDescent="0.3">
      <c r="A425" s="133"/>
      <c r="B425" s="224" t="s">
        <v>5412</v>
      </c>
      <c r="C425" s="193" t="s">
        <v>5420</v>
      </c>
      <c r="D425" s="193" t="s">
        <v>5421</v>
      </c>
      <c r="E425" s="193" t="s">
        <v>5413</v>
      </c>
      <c r="F425" s="193" t="s">
        <v>5405</v>
      </c>
      <c r="G425" s="225" t="s">
        <v>868</v>
      </c>
      <c r="H425" s="200"/>
      <c r="I425" s="133"/>
      <c r="J425" s="224" t="s">
        <v>5412</v>
      </c>
      <c r="K425" s="193" t="s">
        <v>5420</v>
      </c>
      <c r="L425" s="193" t="s">
        <v>5421</v>
      </c>
      <c r="M425" s="193" t="s">
        <v>5413</v>
      </c>
      <c r="N425" s="193" t="s">
        <v>5405</v>
      </c>
      <c r="O425" s="225" t="s">
        <v>868</v>
      </c>
      <c r="P425" s="200"/>
    </row>
    <row r="426" spans="1:16" x14ac:dyDescent="0.25">
      <c r="A426" s="133"/>
      <c r="B426" s="194" t="s">
        <v>5948</v>
      </c>
      <c r="C426" s="345">
        <v>70000</v>
      </c>
      <c r="D426" s="176">
        <f>+C426*0.85</f>
        <v>59500</v>
      </c>
      <c r="E426" s="176">
        <f>+C426+D426</f>
        <v>129500</v>
      </c>
      <c r="F426" s="204">
        <v>120</v>
      </c>
      <c r="G426" s="178">
        <f>+E426/F426</f>
        <v>1079.1666666666667</v>
      </c>
      <c r="H426" s="200"/>
      <c r="I426" s="133"/>
      <c r="J426" s="194" t="s">
        <v>5948</v>
      </c>
      <c r="K426" s="345">
        <v>70000</v>
      </c>
      <c r="L426" s="176">
        <f>+K426*0.85</f>
        <v>59500</v>
      </c>
      <c r="M426" s="176">
        <f>+K426+L426</f>
        <v>129500</v>
      </c>
      <c r="N426" s="204">
        <v>60</v>
      </c>
      <c r="O426" s="178">
        <f>+M426/N426</f>
        <v>2158.3333333333335</v>
      </c>
      <c r="P426" s="200"/>
    </row>
    <row r="427" spans="1:16" x14ac:dyDescent="0.25">
      <c r="A427" s="133"/>
      <c r="B427" s="194" t="s">
        <v>5651</v>
      </c>
      <c r="C427" s="345">
        <v>40000</v>
      </c>
      <c r="D427" s="176">
        <f>+C427*0.85</f>
        <v>34000</v>
      </c>
      <c r="E427" s="176">
        <f>+C427+D427</f>
        <v>74000</v>
      </c>
      <c r="F427" s="202">
        <v>16</v>
      </c>
      <c r="G427" s="178">
        <f>+E427/F427</f>
        <v>4625</v>
      </c>
      <c r="H427" s="200"/>
      <c r="I427" s="133"/>
      <c r="J427" s="194" t="s">
        <v>5651</v>
      </c>
      <c r="K427" s="345">
        <v>40000</v>
      </c>
      <c r="L427" s="176">
        <f>+K427*0.85</f>
        <v>34000</v>
      </c>
      <c r="M427" s="176">
        <f>+K427+L427</f>
        <v>74000</v>
      </c>
      <c r="N427" s="202">
        <v>8</v>
      </c>
      <c r="O427" s="178">
        <f>+M427/N427</f>
        <v>9250</v>
      </c>
      <c r="P427" s="200"/>
    </row>
    <row r="428" spans="1:16" x14ac:dyDescent="0.25">
      <c r="A428" s="133"/>
      <c r="B428" s="195" t="s">
        <v>5635</v>
      </c>
      <c r="C428" s="345">
        <v>20600</v>
      </c>
      <c r="D428" s="176">
        <f>+C428*0.85</f>
        <v>17510</v>
      </c>
      <c r="E428" s="176">
        <f>+C428+D428</f>
        <v>38110</v>
      </c>
      <c r="F428" s="226">
        <v>16</v>
      </c>
      <c r="G428" s="178">
        <f>+E428/F428</f>
        <v>2381.875</v>
      </c>
      <c r="H428" s="200"/>
      <c r="I428" s="133"/>
      <c r="J428" s="195" t="s">
        <v>5635</v>
      </c>
      <c r="K428" s="345">
        <v>20600</v>
      </c>
      <c r="L428" s="176">
        <f>+K428*0.85</f>
        <v>17510</v>
      </c>
      <c r="M428" s="176">
        <f>+K428+L428</f>
        <v>38110</v>
      </c>
      <c r="N428" s="226">
        <v>2</v>
      </c>
      <c r="O428" s="178">
        <f>+M428/N428</f>
        <v>19055</v>
      </c>
      <c r="P428" s="200"/>
    </row>
    <row r="429" spans="1:16" x14ac:dyDescent="0.25">
      <c r="A429" s="133"/>
      <c r="B429" s="195"/>
      <c r="C429" s="171"/>
      <c r="D429" s="176"/>
      <c r="E429" s="176"/>
      <c r="F429" s="226"/>
      <c r="G429" s="178"/>
      <c r="H429" s="200"/>
      <c r="I429" s="133"/>
      <c r="J429" s="195"/>
      <c r="K429" s="171"/>
      <c r="L429" s="176"/>
      <c r="M429" s="176"/>
      <c r="N429" s="226"/>
      <c r="O429" s="178"/>
      <c r="P429" s="200"/>
    </row>
    <row r="430" spans="1:16" x14ac:dyDescent="0.25">
      <c r="A430" s="133"/>
      <c r="B430" s="195"/>
      <c r="C430" s="232"/>
      <c r="D430" s="232"/>
      <c r="E430" s="232"/>
      <c r="F430" s="226"/>
      <c r="G430" s="229"/>
      <c r="H430" s="200"/>
      <c r="I430" s="133"/>
      <c r="J430" s="195"/>
      <c r="K430" s="232"/>
      <c r="L430" s="232"/>
      <c r="M430" s="232"/>
      <c r="N430" s="226"/>
      <c r="O430" s="229"/>
      <c r="P430" s="200"/>
    </row>
    <row r="431" spans="1:16" ht="15.75" thickBot="1" x14ac:dyDescent="0.3">
      <c r="A431" s="133"/>
      <c r="B431" s="195"/>
      <c r="C431" s="232"/>
      <c r="D431" s="232"/>
      <c r="E431" s="232"/>
      <c r="F431" s="226"/>
      <c r="G431" s="229"/>
      <c r="H431" s="200"/>
      <c r="I431" s="133"/>
      <c r="J431" s="195"/>
      <c r="K431" s="232"/>
      <c r="L431" s="232"/>
      <c r="M431" s="232"/>
      <c r="N431" s="226"/>
      <c r="O431" s="229"/>
      <c r="P431" s="200"/>
    </row>
    <row r="432" spans="1:16" ht="15.75" thickBot="1" x14ac:dyDescent="0.3">
      <c r="A432" s="133"/>
      <c r="B432" s="251"/>
      <c r="C432" s="252"/>
      <c r="D432" s="252"/>
      <c r="E432" s="252"/>
      <c r="F432" s="253"/>
      <c r="G432" s="254"/>
      <c r="H432" s="256">
        <f>+SUM(G426:G432)</f>
        <v>8086.041666666667</v>
      </c>
      <c r="I432" s="133"/>
      <c r="J432" s="251"/>
      <c r="K432" s="252"/>
      <c r="L432" s="252"/>
      <c r="M432" s="252"/>
      <c r="N432" s="253"/>
      <c r="O432" s="254"/>
      <c r="P432" s="256">
        <f>+SUM(O426:O432)</f>
        <v>30463.333333333336</v>
      </c>
    </row>
    <row r="433" spans="1:16" ht="15.75" thickBot="1" x14ac:dyDescent="0.3">
      <c r="A433" s="133"/>
      <c r="B433" s="8"/>
      <c r="C433" s="8"/>
      <c r="D433" s="8"/>
      <c r="E433" s="8"/>
      <c r="F433" s="133"/>
      <c r="G433" s="200"/>
      <c r="H433" s="200"/>
      <c r="I433" s="133"/>
      <c r="J433" s="8"/>
      <c r="K433" s="8"/>
      <c r="L433" s="8"/>
      <c r="M433" s="8"/>
      <c r="N433" s="133"/>
      <c r="O433" s="200"/>
      <c r="P433" s="200"/>
    </row>
    <row r="434" spans="1:16" ht="15.75" thickBot="1" x14ac:dyDescent="0.3">
      <c r="A434" s="133"/>
      <c r="B434" s="8"/>
      <c r="C434" s="8"/>
      <c r="D434" s="8"/>
      <c r="E434" s="223" t="s">
        <v>5415</v>
      </c>
      <c r="F434" s="133"/>
      <c r="G434" s="200"/>
      <c r="H434" s="256">
        <f>ROUND(+H432+H423+H415+H400,0)</f>
        <v>14826</v>
      </c>
      <c r="I434" s="133"/>
      <c r="J434" s="8"/>
      <c r="K434" s="8"/>
      <c r="L434" s="8"/>
      <c r="M434" s="223" t="s">
        <v>5415</v>
      </c>
      <c r="N434" s="133"/>
      <c r="O434" s="200"/>
      <c r="P434" s="256">
        <f>ROUND(+P432+P423+P415+P400,0)</f>
        <v>41546</v>
      </c>
    </row>
    <row r="439" spans="1:16" ht="18.75" x14ac:dyDescent="0.25">
      <c r="A439" s="133"/>
      <c r="B439" s="2506" t="s">
        <v>5400</v>
      </c>
      <c r="C439" s="2506"/>
      <c r="D439" s="2506"/>
      <c r="E439" s="2506"/>
      <c r="F439" s="2506"/>
      <c r="G439" s="2506"/>
      <c r="H439" s="8"/>
      <c r="I439" s="133"/>
      <c r="J439" s="2506" t="s">
        <v>5400</v>
      </c>
      <c r="K439" s="2506"/>
      <c r="L439" s="2506"/>
      <c r="M439" s="2506"/>
      <c r="N439" s="2506"/>
      <c r="O439" s="2506"/>
      <c r="P439" s="8"/>
    </row>
    <row r="440" spans="1:16" x14ac:dyDescent="0.25">
      <c r="A440" s="133"/>
      <c r="B440" s="8"/>
      <c r="C440" s="8"/>
      <c r="D440" s="8"/>
      <c r="E440" s="8"/>
      <c r="F440" s="133"/>
      <c r="G440" s="200"/>
      <c r="H440" s="200"/>
      <c r="I440" s="133"/>
      <c r="J440" s="8"/>
      <c r="K440" s="8"/>
      <c r="L440" s="8"/>
      <c r="M440" s="8"/>
      <c r="N440" s="133"/>
      <c r="O440" s="200"/>
      <c r="P440" s="200"/>
    </row>
    <row r="441" spans="1:16" x14ac:dyDescent="0.25">
      <c r="A441" s="133"/>
      <c r="B441" s="8"/>
      <c r="C441" s="8"/>
      <c r="D441" s="8"/>
      <c r="E441" s="8"/>
      <c r="F441" s="133"/>
      <c r="G441" s="200"/>
      <c r="H441" s="200"/>
      <c r="I441" s="133"/>
      <c r="J441" s="8"/>
      <c r="K441" s="8"/>
      <c r="L441" s="8"/>
      <c r="M441" s="8"/>
      <c r="N441" s="133"/>
      <c r="O441" s="200"/>
      <c r="P441" s="200"/>
    </row>
    <row r="442" spans="1:16" x14ac:dyDescent="0.25">
      <c r="A442" s="133"/>
      <c r="B442" s="8"/>
      <c r="C442" s="8"/>
      <c r="D442" s="8"/>
      <c r="E442" s="8"/>
      <c r="F442" s="133"/>
      <c r="G442" s="200"/>
      <c r="H442" s="200"/>
      <c r="I442" s="133"/>
      <c r="J442" s="8"/>
      <c r="K442" s="8"/>
      <c r="L442" s="8"/>
      <c r="M442" s="8"/>
      <c r="N442" s="133"/>
      <c r="O442" s="200"/>
      <c r="P442" s="200"/>
    </row>
    <row r="443" spans="1:16" x14ac:dyDescent="0.25">
      <c r="A443" s="220" t="s">
        <v>5482</v>
      </c>
      <c r="B443" s="138" t="s">
        <v>5601</v>
      </c>
      <c r="C443" s="2449" t="s">
        <v>5602</v>
      </c>
      <c r="D443" s="2449"/>
      <c r="E443" s="2449"/>
      <c r="F443" s="220" t="s">
        <v>867</v>
      </c>
      <c r="G443" s="222" t="s">
        <v>5418</v>
      </c>
      <c r="H443" s="200"/>
      <c r="I443" s="220" t="s">
        <v>5482</v>
      </c>
      <c r="J443" s="138" t="s">
        <v>5601</v>
      </c>
      <c r="K443" s="2449" t="s">
        <v>5602</v>
      </c>
      <c r="L443" s="2449"/>
      <c r="M443" s="2449"/>
      <c r="N443" s="220" t="s">
        <v>867</v>
      </c>
      <c r="O443" s="222" t="s">
        <v>5418</v>
      </c>
      <c r="P443" s="200"/>
    </row>
    <row r="444" spans="1:16" x14ac:dyDescent="0.25">
      <c r="A444" s="133"/>
      <c r="B444" s="8"/>
      <c r="C444" s="223"/>
      <c r="D444" s="223"/>
      <c r="E444" s="223"/>
      <c r="F444" s="133"/>
      <c r="G444" s="200"/>
      <c r="H444" s="200"/>
      <c r="I444" s="133"/>
      <c r="J444" s="8"/>
      <c r="K444" s="223"/>
      <c r="L444" s="223"/>
      <c r="M444" s="223"/>
      <c r="N444" s="133"/>
      <c r="O444" s="200"/>
      <c r="P444" s="200"/>
    </row>
    <row r="445" spans="1:16" x14ac:dyDescent="0.25">
      <c r="A445" s="133"/>
      <c r="B445" s="8"/>
      <c r="C445" s="8"/>
      <c r="D445" s="8"/>
      <c r="E445" s="8"/>
      <c r="F445" s="8"/>
      <c r="G445" s="8"/>
      <c r="H445" s="200"/>
      <c r="I445" s="133"/>
      <c r="J445" s="8"/>
      <c r="K445" s="8"/>
      <c r="L445" s="8"/>
      <c r="M445" s="8"/>
      <c r="N445" s="8"/>
      <c r="O445" s="8"/>
      <c r="P445" s="200"/>
    </row>
    <row r="446" spans="1:16" ht="15.75" thickBot="1" x14ac:dyDescent="0.3">
      <c r="A446" s="133"/>
      <c r="B446" s="8"/>
      <c r="C446" s="8"/>
      <c r="D446" s="8"/>
      <c r="E446" s="8"/>
      <c r="F446" s="133"/>
      <c r="G446" s="200"/>
      <c r="H446" s="200"/>
      <c r="I446" s="133"/>
      <c r="J446" s="8"/>
      <c r="K446" s="8"/>
      <c r="L446" s="8"/>
      <c r="M446" s="8"/>
      <c r="N446" s="133"/>
      <c r="O446" s="200"/>
      <c r="P446" s="200"/>
    </row>
    <row r="447" spans="1:16" ht="15.75" thickBot="1" x14ac:dyDescent="0.3">
      <c r="A447" s="133"/>
      <c r="B447" s="224" t="s">
        <v>5403</v>
      </c>
      <c r="C447" s="193" t="s">
        <v>867</v>
      </c>
      <c r="D447" s="193" t="s">
        <v>6</v>
      </c>
      <c r="E447" s="193" t="s">
        <v>5439</v>
      </c>
      <c r="F447" s="193" t="s">
        <v>5405</v>
      </c>
      <c r="G447" s="225" t="s">
        <v>868</v>
      </c>
      <c r="H447" s="200"/>
      <c r="I447" s="133"/>
      <c r="J447" s="224" t="s">
        <v>5403</v>
      </c>
      <c r="K447" s="193" t="s">
        <v>867</v>
      </c>
      <c r="L447" s="193" t="s">
        <v>6</v>
      </c>
      <c r="M447" s="193" t="s">
        <v>5439</v>
      </c>
      <c r="N447" s="193" t="s">
        <v>5405</v>
      </c>
      <c r="O447" s="225" t="s">
        <v>868</v>
      </c>
      <c r="P447" s="200"/>
    </row>
    <row r="448" spans="1:16" x14ac:dyDescent="0.25">
      <c r="A448" s="133"/>
      <c r="B448" s="195" t="s">
        <v>5440</v>
      </c>
      <c r="C448" s="226" t="s">
        <v>5402</v>
      </c>
      <c r="D448" s="226">
        <v>1</v>
      </c>
      <c r="E448" s="227">
        <f>+H486</f>
        <v>10637.5</v>
      </c>
      <c r="F448" s="226">
        <v>0.1</v>
      </c>
      <c r="G448" s="292">
        <f>+E448*F448</f>
        <v>1063.75</v>
      </c>
      <c r="H448" s="200"/>
      <c r="I448" s="133"/>
      <c r="J448" s="195" t="s">
        <v>5440</v>
      </c>
      <c r="K448" s="226" t="s">
        <v>5402</v>
      </c>
      <c r="L448" s="226">
        <v>1</v>
      </c>
      <c r="M448" s="227">
        <f>+P486</f>
        <v>10637.5</v>
      </c>
      <c r="N448" s="226">
        <v>0.1</v>
      </c>
      <c r="O448" s="292">
        <f>+M448*N448</f>
        <v>1063.75</v>
      </c>
      <c r="P448" s="200"/>
    </row>
    <row r="449" spans="1:16" x14ac:dyDescent="0.25">
      <c r="A449" s="133"/>
      <c r="B449" s="195"/>
      <c r="C449" s="226"/>
      <c r="D449" s="226"/>
      <c r="E449" s="230"/>
      <c r="F449" s="226"/>
      <c r="G449" s="229"/>
      <c r="H449" s="200"/>
      <c r="I449" s="133"/>
      <c r="J449" s="195"/>
      <c r="K449" s="226"/>
      <c r="L449" s="226"/>
      <c r="M449" s="230"/>
      <c r="N449" s="226"/>
      <c r="O449" s="229"/>
      <c r="P449" s="200"/>
    </row>
    <row r="450" spans="1:16" x14ac:dyDescent="0.25">
      <c r="A450" s="133"/>
      <c r="B450" s="195"/>
      <c r="C450" s="226"/>
      <c r="D450" s="226"/>
      <c r="E450" s="176"/>
      <c r="F450" s="226"/>
      <c r="G450" s="229"/>
      <c r="H450" s="200"/>
      <c r="I450" s="133"/>
      <c r="J450" s="195"/>
      <c r="K450" s="226"/>
      <c r="L450" s="226"/>
      <c r="M450" s="176"/>
      <c r="N450" s="226"/>
      <c r="O450" s="229"/>
      <c r="P450" s="200"/>
    </row>
    <row r="451" spans="1:16" x14ac:dyDescent="0.25">
      <c r="A451" s="133"/>
      <c r="B451" s="195"/>
      <c r="C451" s="226"/>
      <c r="D451" s="226"/>
      <c r="E451" s="171"/>
      <c r="F451" s="226"/>
      <c r="G451" s="293"/>
      <c r="H451" s="200"/>
      <c r="I451" s="133"/>
      <c r="J451" s="195"/>
      <c r="K451" s="226"/>
      <c r="L451" s="226"/>
      <c r="M451" s="171"/>
      <c r="N451" s="226"/>
      <c r="O451" s="293"/>
      <c r="P451" s="200"/>
    </row>
    <row r="452" spans="1:16" x14ac:dyDescent="0.25">
      <c r="A452" s="133"/>
      <c r="B452" s="195"/>
      <c r="C452" s="226"/>
      <c r="D452" s="232"/>
      <c r="E452" s="232"/>
      <c r="F452" s="226"/>
      <c r="G452" s="229"/>
      <c r="H452" s="200"/>
      <c r="I452" s="133"/>
      <c r="J452" s="195"/>
      <c r="K452" s="226"/>
      <c r="L452" s="232"/>
      <c r="M452" s="232"/>
      <c r="N452" s="226"/>
      <c r="O452" s="229"/>
      <c r="P452" s="200"/>
    </row>
    <row r="453" spans="1:16" ht="15.75" thickBot="1" x14ac:dyDescent="0.3">
      <c r="A453" s="133"/>
      <c r="B453" s="195"/>
      <c r="C453" s="226"/>
      <c r="D453" s="232"/>
      <c r="E453" s="232"/>
      <c r="F453" s="226"/>
      <c r="G453" s="229"/>
      <c r="H453" s="200"/>
      <c r="I453" s="133"/>
      <c r="J453" s="195"/>
      <c r="K453" s="226"/>
      <c r="L453" s="232"/>
      <c r="M453" s="232"/>
      <c r="N453" s="226"/>
      <c r="O453" s="229"/>
      <c r="P453" s="200"/>
    </row>
    <row r="454" spans="1:16" ht="15.75" thickBot="1" x14ac:dyDescent="0.3">
      <c r="A454" s="133"/>
      <c r="B454" s="233"/>
      <c r="C454" s="234"/>
      <c r="D454" s="234"/>
      <c r="E454" s="234"/>
      <c r="F454" s="235"/>
      <c r="G454" s="236"/>
      <c r="H454" s="237">
        <f>+SUM(G448:G454)</f>
        <v>1063.75</v>
      </c>
      <c r="I454" s="133"/>
      <c r="J454" s="233"/>
      <c r="K454" s="234"/>
      <c r="L454" s="234"/>
      <c r="M454" s="234"/>
      <c r="N454" s="235"/>
      <c r="O454" s="236"/>
      <c r="P454" s="237">
        <f>+SUM(O448:O454)</f>
        <v>1063.75</v>
      </c>
    </row>
    <row r="455" spans="1:16" ht="15.75" thickBot="1" x14ac:dyDescent="0.3">
      <c r="A455" s="133"/>
      <c r="B455" s="238"/>
      <c r="C455" s="238"/>
      <c r="D455" s="238"/>
      <c r="E455" s="238"/>
      <c r="F455" s="239"/>
      <c r="G455" s="240"/>
      <c r="H455" s="241"/>
      <c r="I455" s="133"/>
      <c r="J455" s="238"/>
      <c r="K455" s="238"/>
      <c r="L455" s="238"/>
      <c r="M455" s="238"/>
      <c r="N455" s="239"/>
      <c r="O455" s="240"/>
      <c r="P455" s="241"/>
    </row>
    <row r="456" spans="1:16" ht="15.75" thickBot="1" x14ac:dyDescent="0.3">
      <c r="A456" s="133"/>
      <c r="B456" s="224" t="s">
        <v>5408</v>
      </c>
      <c r="C456" s="193" t="s">
        <v>867</v>
      </c>
      <c r="D456" s="193" t="s">
        <v>6</v>
      </c>
      <c r="E456" s="193" t="s">
        <v>870</v>
      </c>
      <c r="F456" s="193" t="s">
        <v>5409</v>
      </c>
      <c r="G456" s="225" t="s">
        <v>868</v>
      </c>
      <c r="H456" s="200"/>
      <c r="I456" s="133"/>
      <c r="J456" s="224" t="s">
        <v>5408</v>
      </c>
      <c r="K456" s="193" t="s">
        <v>867</v>
      </c>
      <c r="L456" s="193" t="s">
        <v>6</v>
      </c>
      <c r="M456" s="193" t="s">
        <v>870</v>
      </c>
      <c r="N456" s="193" t="s">
        <v>5409</v>
      </c>
      <c r="O456" s="225" t="s">
        <v>868</v>
      </c>
      <c r="P456" s="200"/>
    </row>
    <row r="457" spans="1:16" x14ac:dyDescent="0.25">
      <c r="A457" s="133"/>
      <c r="B457" s="260" t="s">
        <v>6009</v>
      </c>
      <c r="C457" s="202" t="s">
        <v>5542</v>
      </c>
      <c r="D457" s="202">
        <v>0.02</v>
      </c>
      <c r="E457" s="257">
        <f>+'APU CAP 5'!H808</f>
        <v>269606</v>
      </c>
      <c r="F457" s="169">
        <v>0.1</v>
      </c>
      <c r="G457" s="294">
        <f>+D457*E457*(1+F457)</f>
        <v>5931.3320000000003</v>
      </c>
      <c r="H457" s="200"/>
      <c r="I457" s="133"/>
      <c r="J457" s="260" t="s">
        <v>6009</v>
      </c>
      <c r="K457" s="202" t="s">
        <v>5542</v>
      </c>
      <c r="L457" s="202">
        <v>0.02</v>
      </c>
      <c r="M457" s="257">
        <f>+'APU CAP 5'!P808</f>
        <v>0</v>
      </c>
      <c r="N457" s="169">
        <v>0.1</v>
      </c>
      <c r="O457" s="294">
        <f>+L457*M457*(1+N457)</f>
        <v>0</v>
      </c>
      <c r="P457" s="200"/>
    </row>
    <row r="458" spans="1:16" x14ac:dyDescent="0.25">
      <c r="A458" s="133"/>
      <c r="B458" s="260"/>
      <c r="C458" s="202"/>
      <c r="D458" s="202"/>
      <c r="E458" s="257"/>
      <c r="F458" s="169"/>
      <c r="G458" s="294">
        <f>+D458*E458*(1+F458)</f>
        <v>0</v>
      </c>
      <c r="H458" s="200"/>
      <c r="I458" s="133"/>
      <c r="J458" s="260"/>
      <c r="K458" s="202"/>
      <c r="L458" s="202"/>
      <c r="M458" s="257"/>
      <c r="N458" s="169"/>
      <c r="O458" s="294">
        <f>+L458*M458*(1+N458)</f>
        <v>0</v>
      </c>
      <c r="P458" s="200"/>
    </row>
    <row r="459" spans="1:16" x14ac:dyDescent="0.25">
      <c r="A459" s="133"/>
      <c r="B459" s="247"/>
      <c r="C459" s="226"/>
      <c r="D459" s="226"/>
      <c r="E459" s="244"/>
      <c r="F459" s="169"/>
      <c r="G459" s="294"/>
      <c r="H459" s="200"/>
      <c r="I459" s="133"/>
      <c r="J459" s="247"/>
      <c r="K459" s="226"/>
      <c r="L459" s="226"/>
      <c r="M459" s="244"/>
      <c r="N459" s="169"/>
      <c r="O459" s="294"/>
      <c r="P459" s="200"/>
    </row>
    <row r="460" spans="1:16" x14ac:dyDescent="0.25">
      <c r="A460" s="133"/>
      <c r="B460" s="194"/>
      <c r="C460" s="226"/>
      <c r="D460" s="226"/>
      <c r="E460" s="171"/>
      <c r="F460" s="169"/>
      <c r="G460" s="294"/>
      <c r="H460" s="200"/>
      <c r="I460" s="133"/>
      <c r="J460" s="194"/>
      <c r="K460" s="226"/>
      <c r="L460" s="226"/>
      <c r="M460" s="171"/>
      <c r="N460" s="169"/>
      <c r="O460" s="294"/>
      <c r="P460" s="200"/>
    </row>
    <row r="461" spans="1:16" x14ac:dyDescent="0.25">
      <c r="A461" s="133"/>
      <c r="B461" s="195"/>
      <c r="C461" s="226"/>
      <c r="D461" s="226"/>
      <c r="E461" s="171"/>
      <c r="F461" s="169"/>
      <c r="G461" s="178"/>
      <c r="H461" s="200"/>
      <c r="I461" s="133"/>
      <c r="J461" s="195"/>
      <c r="K461" s="226"/>
      <c r="L461" s="226"/>
      <c r="M461" s="171"/>
      <c r="N461" s="169"/>
      <c r="O461" s="178"/>
      <c r="P461" s="200"/>
    </row>
    <row r="462" spans="1:16" x14ac:dyDescent="0.25">
      <c r="A462" s="133"/>
      <c r="B462" s="194"/>
      <c r="C462" s="202"/>
      <c r="D462" s="202"/>
      <c r="E462" s="171"/>
      <c r="F462" s="169"/>
      <c r="G462" s="178"/>
      <c r="H462" s="200"/>
      <c r="I462" s="133"/>
      <c r="J462" s="194"/>
      <c r="K462" s="202"/>
      <c r="L462" s="202"/>
      <c r="M462" s="171"/>
      <c r="N462" s="169"/>
      <c r="O462" s="178"/>
      <c r="P462" s="200"/>
    </row>
    <row r="463" spans="1:16" x14ac:dyDescent="0.25">
      <c r="A463" s="133"/>
      <c r="B463" s="195"/>
      <c r="C463" s="226"/>
      <c r="D463" s="226"/>
      <c r="E463" s="171"/>
      <c r="F463" s="169"/>
      <c r="G463" s="178"/>
      <c r="H463" s="200"/>
      <c r="I463" s="133"/>
      <c r="J463" s="195"/>
      <c r="K463" s="226"/>
      <c r="L463" s="226"/>
      <c r="M463" s="171"/>
      <c r="N463" s="169"/>
      <c r="O463" s="178"/>
      <c r="P463" s="200"/>
    </row>
    <row r="464" spans="1:16" x14ac:dyDescent="0.25">
      <c r="A464" s="133"/>
      <c r="B464" s="195"/>
      <c r="C464" s="226"/>
      <c r="D464" s="226"/>
      <c r="E464" s="171"/>
      <c r="F464" s="169"/>
      <c r="G464" s="178"/>
      <c r="H464" s="200"/>
      <c r="I464" s="133"/>
      <c r="J464" s="195"/>
      <c r="K464" s="226"/>
      <c r="L464" s="226"/>
      <c r="M464" s="171"/>
      <c r="N464" s="169"/>
      <c r="O464" s="178"/>
      <c r="P464" s="200"/>
    </row>
    <row r="465" spans="1:16" x14ac:dyDescent="0.25">
      <c r="A465" s="133"/>
      <c r="B465" s="195"/>
      <c r="C465" s="232"/>
      <c r="D465" s="232"/>
      <c r="E465" s="232"/>
      <c r="F465" s="226"/>
      <c r="G465" s="229"/>
      <c r="H465" s="200"/>
      <c r="I465" s="133"/>
      <c r="J465" s="195"/>
      <c r="K465" s="232"/>
      <c r="L465" s="232"/>
      <c r="M465" s="232"/>
      <c r="N465" s="226"/>
      <c r="O465" s="229"/>
      <c r="P465" s="200"/>
    </row>
    <row r="466" spans="1:16" x14ac:dyDescent="0.25">
      <c r="A466" s="133"/>
      <c r="B466" s="195"/>
      <c r="C466" s="232"/>
      <c r="D466" s="232"/>
      <c r="E466" s="232"/>
      <c r="F466" s="226"/>
      <c r="G466" s="229"/>
      <c r="H466" s="200"/>
      <c r="I466" s="133"/>
      <c r="J466" s="195"/>
      <c r="K466" s="232"/>
      <c r="L466" s="232"/>
      <c r="M466" s="232"/>
      <c r="N466" s="226"/>
      <c r="O466" s="229"/>
      <c r="P466" s="200"/>
    </row>
    <row r="467" spans="1:16" x14ac:dyDescent="0.25">
      <c r="A467" s="133"/>
      <c r="B467" s="195"/>
      <c r="C467" s="232"/>
      <c r="D467" s="232"/>
      <c r="E467" s="232"/>
      <c r="F467" s="226"/>
      <c r="G467" s="229"/>
      <c r="H467" s="200"/>
      <c r="I467" s="133"/>
      <c r="J467" s="195"/>
      <c r="K467" s="232"/>
      <c r="L467" s="232"/>
      <c r="M467" s="232"/>
      <c r="N467" s="226"/>
      <c r="O467" s="229"/>
      <c r="P467" s="200"/>
    </row>
    <row r="468" spans="1:16" ht="15.75" thickBot="1" x14ac:dyDescent="0.3">
      <c r="A468" s="133"/>
      <c r="B468" s="195"/>
      <c r="C468" s="232"/>
      <c r="D468" s="232"/>
      <c r="E468" s="232"/>
      <c r="F468" s="226"/>
      <c r="G468" s="229"/>
      <c r="H468" s="200"/>
      <c r="I468" s="133"/>
      <c r="J468" s="195"/>
      <c r="K468" s="232"/>
      <c r="L468" s="232"/>
      <c r="M468" s="232"/>
      <c r="N468" s="226"/>
      <c r="O468" s="229"/>
      <c r="P468" s="200"/>
    </row>
    <row r="469" spans="1:16" ht="15.75" thickBot="1" x14ac:dyDescent="0.3">
      <c r="A469" s="133"/>
      <c r="B469" s="233"/>
      <c r="C469" s="234"/>
      <c r="D469" s="234"/>
      <c r="E469" s="234"/>
      <c r="F469" s="235"/>
      <c r="G469" s="236"/>
      <c r="H469" s="256">
        <f>+SUM(G457:G469)</f>
        <v>5931.3320000000003</v>
      </c>
      <c r="I469" s="133"/>
      <c r="J469" s="233"/>
      <c r="K469" s="234"/>
      <c r="L469" s="234"/>
      <c r="M469" s="234"/>
      <c r="N469" s="235"/>
      <c r="O469" s="236"/>
      <c r="P469" s="256">
        <f>+SUM(O457:O469)</f>
        <v>0</v>
      </c>
    </row>
    <row r="470" spans="1:16" ht="15.75" thickBot="1" x14ac:dyDescent="0.3">
      <c r="A470" s="133"/>
      <c r="B470" s="238"/>
      <c r="C470" s="238"/>
      <c r="D470" s="238"/>
      <c r="E470" s="238"/>
      <c r="F470" s="239"/>
      <c r="G470" s="240"/>
      <c r="H470" s="241"/>
      <c r="I470" s="133"/>
      <c r="J470" s="238"/>
      <c r="K470" s="238"/>
      <c r="L470" s="238"/>
      <c r="M470" s="238"/>
      <c r="N470" s="239"/>
      <c r="O470" s="240"/>
      <c r="P470" s="241"/>
    </row>
    <row r="471" spans="1:16" ht="15.75" thickBot="1" x14ac:dyDescent="0.3">
      <c r="A471" s="133"/>
      <c r="B471" s="224" t="s">
        <v>5410</v>
      </c>
      <c r="C471" s="193" t="s">
        <v>867</v>
      </c>
      <c r="D471" s="193" t="s">
        <v>6</v>
      </c>
      <c r="E471" s="193" t="s">
        <v>870</v>
      </c>
      <c r="F471" s="193" t="s">
        <v>5411</v>
      </c>
      <c r="G471" s="225" t="s">
        <v>868</v>
      </c>
      <c r="H471" s="200"/>
      <c r="I471" s="133"/>
      <c r="J471" s="224" t="s">
        <v>5410</v>
      </c>
      <c r="K471" s="193" t="s">
        <v>867</v>
      </c>
      <c r="L471" s="193" t="s">
        <v>6</v>
      </c>
      <c r="M471" s="193" t="s">
        <v>870</v>
      </c>
      <c r="N471" s="193" t="s">
        <v>5411</v>
      </c>
      <c r="O471" s="225" t="s">
        <v>868</v>
      </c>
      <c r="P471" s="200"/>
    </row>
    <row r="472" spans="1:16" x14ac:dyDescent="0.25">
      <c r="A472" s="133"/>
      <c r="B472" s="245"/>
      <c r="C472" s="202"/>
      <c r="D472" s="202"/>
      <c r="E472" s="175"/>
      <c r="F472" s="202"/>
      <c r="G472" s="203"/>
      <c r="H472" s="246"/>
      <c r="I472" s="133"/>
      <c r="J472" s="245"/>
      <c r="K472" s="202"/>
      <c r="L472" s="202"/>
      <c r="M472" s="175"/>
      <c r="N472" s="202"/>
      <c r="O472" s="203"/>
      <c r="P472" s="246"/>
    </row>
    <row r="473" spans="1:16" x14ac:dyDescent="0.25">
      <c r="A473" s="133"/>
      <c r="B473" s="247"/>
      <c r="C473" s="248"/>
      <c r="D473" s="248"/>
      <c r="E473" s="248"/>
      <c r="F473" s="202"/>
      <c r="G473" s="178"/>
      <c r="H473" s="200"/>
      <c r="I473" s="133"/>
      <c r="J473" s="247"/>
      <c r="K473" s="248"/>
      <c r="L473" s="248"/>
      <c r="M473" s="248"/>
      <c r="N473" s="202"/>
      <c r="O473" s="178"/>
      <c r="P473" s="200"/>
    </row>
    <row r="474" spans="1:16" x14ac:dyDescent="0.25">
      <c r="A474" s="133"/>
      <c r="B474" s="247"/>
      <c r="C474" s="232"/>
      <c r="D474" s="232"/>
      <c r="E474" s="232"/>
      <c r="F474" s="226"/>
      <c r="G474" s="229"/>
      <c r="H474" s="200"/>
      <c r="I474" s="133"/>
      <c r="J474" s="247"/>
      <c r="K474" s="232"/>
      <c r="L474" s="232"/>
      <c r="M474" s="232"/>
      <c r="N474" s="226"/>
      <c r="O474" s="229"/>
      <c r="P474" s="200"/>
    </row>
    <row r="475" spans="1:16" x14ac:dyDescent="0.25">
      <c r="A475" s="133"/>
      <c r="B475" s="194"/>
      <c r="C475" s="232"/>
      <c r="D475" s="232"/>
      <c r="E475" s="232"/>
      <c r="F475" s="226"/>
      <c r="G475" s="229"/>
      <c r="H475" s="200"/>
      <c r="I475" s="133"/>
      <c r="J475" s="194"/>
      <c r="K475" s="232"/>
      <c r="L475" s="232"/>
      <c r="M475" s="232"/>
      <c r="N475" s="226"/>
      <c r="O475" s="229"/>
      <c r="P475" s="200"/>
    </row>
    <row r="476" spans="1:16" ht="15.75" thickBot="1" x14ac:dyDescent="0.3">
      <c r="A476" s="133"/>
      <c r="B476" s="195"/>
      <c r="C476" s="232"/>
      <c r="D476" s="232"/>
      <c r="E476" s="232"/>
      <c r="F476" s="226"/>
      <c r="G476" s="229"/>
      <c r="H476" s="200"/>
      <c r="I476" s="133"/>
      <c r="J476" s="195"/>
      <c r="K476" s="232"/>
      <c r="L476" s="232"/>
      <c r="M476" s="232"/>
      <c r="N476" s="226"/>
      <c r="O476" s="229"/>
      <c r="P476" s="200"/>
    </row>
    <row r="477" spans="1:16" ht="15.75" thickBot="1" x14ac:dyDescent="0.3">
      <c r="A477" s="133"/>
      <c r="B477" s="233"/>
      <c r="C477" s="234"/>
      <c r="D477" s="234"/>
      <c r="E477" s="234"/>
      <c r="F477" s="235"/>
      <c r="G477" s="236"/>
      <c r="H477" s="237">
        <f>+SUM(G472:G477)</f>
        <v>0</v>
      </c>
      <c r="I477" s="133"/>
      <c r="J477" s="233"/>
      <c r="K477" s="234"/>
      <c r="L477" s="234"/>
      <c r="M477" s="234"/>
      <c r="N477" s="235"/>
      <c r="O477" s="236"/>
      <c r="P477" s="237">
        <f>+SUM(O472:O477)</f>
        <v>0</v>
      </c>
    </row>
    <row r="478" spans="1:16" ht="15.75" thickBot="1" x14ac:dyDescent="0.3">
      <c r="A478" s="133"/>
      <c r="B478" s="238"/>
      <c r="C478" s="238"/>
      <c r="D478" s="238"/>
      <c r="E478" s="238"/>
      <c r="F478" s="249"/>
      <c r="G478" s="250"/>
      <c r="H478" s="241"/>
      <c r="I478" s="133"/>
      <c r="J478" s="238"/>
      <c r="K478" s="238"/>
      <c r="L478" s="238"/>
      <c r="M478" s="238"/>
      <c r="N478" s="249"/>
      <c r="O478" s="250"/>
      <c r="P478" s="241"/>
    </row>
    <row r="479" spans="1:16" ht="15.75" thickBot="1" x14ac:dyDescent="0.3">
      <c r="A479" s="133"/>
      <c r="B479" s="224" t="s">
        <v>5412</v>
      </c>
      <c r="C479" s="193" t="s">
        <v>5420</v>
      </c>
      <c r="D479" s="193" t="s">
        <v>5421</v>
      </c>
      <c r="E479" s="193" t="s">
        <v>5413</v>
      </c>
      <c r="F479" s="193" t="s">
        <v>5405</v>
      </c>
      <c r="G479" s="225" t="s">
        <v>868</v>
      </c>
      <c r="H479" s="200"/>
      <c r="I479" s="133"/>
      <c r="J479" s="224" t="s">
        <v>5412</v>
      </c>
      <c r="K479" s="193" t="s">
        <v>5420</v>
      </c>
      <c r="L479" s="193" t="s">
        <v>5421</v>
      </c>
      <c r="M479" s="193" t="s">
        <v>5413</v>
      </c>
      <c r="N479" s="193" t="s">
        <v>5405</v>
      </c>
      <c r="O479" s="225" t="s">
        <v>868</v>
      </c>
      <c r="P479" s="200"/>
    </row>
    <row r="480" spans="1:16" x14ac:dyDescent="0.25">
      <c r="A480" s="133"/>
      <c r="B480" s="194" t="s">
        <v>5948</v>
      </c>
      <c r="C480" s="345">
        <v>70000</v>
      </c>
      <c r="D480" s="176">
        <f>+C480*0.85</f>
        <v>59500</v>
      </c>
      <c r="E480" s="176">
        <f>+C480+D480</f>
        <v>129500</v>
      </c>
      <c r="F480" s="204">
        <v>100</v>
      </c>
      <c r="G480" s="178">
        <f>+E480/F480</f>
        <v>1295</v>
      </c>
      <c r="H480" s="200"/>
      <c r="I480" s="133"/>
      <c r="J480" s="194" t="s">
        <v>5948</v>
      </c>
      <c r="K480" s="345">
        <v>70000</v>
      </c>
      <c r="L480" s="176">
        <f>+K480*0.85</f>
        <v>59500</v>
      </c>
      <c r="M480" s="176">
        <f>+K480+L480</f>
        <v>129500</v>
      </c>
      <c r="N480" s="204">
        <v>100</v>
      </c>
      <c r="O480" s="178">
        <f>+M480/N480</f>
        <v>1295</v>
      </c>
      <c r="P480" s="200"/>
    </row>
    <row r="481" spans="1:16" x14ac:dyDescent="0.25">
      <c r="A481" s="133"/>
      <c r="B481" s="194" t="s">
        <v>5651</v>
      </c>
      <c r="C481" s="345">
        <v>40000</v>
      </c>
      <c r="D481" s="176">
        <f>+C481*0.85</f>
        <v>34000</v>
      </c>
      <c r="E481" s="176">
        <f>+C481+D481</f>
        <v>74000</v>
      </c>
      <c r="F481" s="202">
        <v>12</v>
      </c>
      <c r="G481" s="178">
        <f>+E481/F481</f>
        <v>6166.666666666667</v>
      </c>
      <c r="H481" s="200"/>
      <c r="I481" s="133"/>
      <c r="J481" s="194" t="s">
        <v>5651</v>
      </c>
      <c r="K481" s="345">
        <v>40000</v>
      </c>
      <c r="L481" s="176">
        <f>+K481*0.85</f>
        <v>34000</v>
      </c>
      <c r="M481" s="176">
        <f>+K481+L481</f>
        <v>74000</v>
      </c>
      <c r="N481" s="202">
        <v>12</v>
      </c>
      <c r="O481" s="178">
        <f>+M481/N481</f>
        <v>6166.666666666667</v>
      </c>
      <c r="P481" s="200"/>
    </row>
    <row r="482" spans="1:16" x14ac:dyDescent="0.25">
      <c r="A482" s="133"/>
      <c r="B482" s="195" t="s">
        <v>5635</v>
      </c>
      <c r="C482" s="345">
        <v>20600</v>
      </c>
      <c r="D482" s="176">
        <f>+C482*0.85</f>
        <v>17510</v>
      </c>
      <c r="E482" s="176">
        <f>+C482+D482</f>
        <v>38110</v>
      </c>
      <c r="F482" s="226">
        <v>12</v>
      </c>
      <c r="G482" s="178">
        <f>+E482/F482</f>
        <v>3175.8333333333335</v>
      </c>
      <c r="H482" s="200"/>
      <c r="I482" s="133"/>
      <c r="J482" s="195" t="s">
        <v>5635</v>
      </c>
      <c r="K482" s="345">
        <v>20600</v>
      </c>
      <c r="L482" s="176">
        <f>+K482*0.85</f>
        <v>17510</v>
      </c>
      <c r="M482" s="176">
        <f>+K482+L482</f>
        <v>38110</v>
      </c>
      <c r="N482" s="226">
        <v>12</v>
      </c>
      <c r="O482" s="178">
        <f>+M482/N482</f>
        <v>3175.8333333333335</v>
      </c>
      <c r="P482" s="200"/>
    </row>
    <row r="483" spans="1:16" x14ac:dyDescent="0.25">
      <c r="A483" s="133"/>
      <c r="B483" s="195"/>
      <c r="C483" s="171"/>
      <c r="D483" s="176"/>
      <c r="E483" s="176"/>
      <c r="F483" s="226"/>
      <c r="G483" s="178"/>
      <c r="H483" s="200"/>
      <c r="I483" s="133"/>
      <c r="J483" s="195"/>
      <c r="K483" s="171"/>
      <c r="L483" s="176"/>
      <c r="M483" s="176"/>
      <c r="N483" s="226"/>
      <c r="O483" s="178"/>
      <c r="P483" s="200"/>
    </row>
    <row r="484" spans="1:16" x14ac:dyDescent="0.25">
      <c r="A484" s="133"/>
      <c r="B484" s="195"/>
      <c r="C484" s="232"/>
      <c r="D484" s="232"/>
      <c r="E484" s="232"/>
      <c r="F484" s="226"/>
      <c r="G484" s="229"/>
      <c r="H484" s="200"/>
      <c r="I484" s="133"/>
      <c r="J484" s="195"/>
      <c r="K484" s="232"/>
      <c r="L484" s="232"/>
      <c r="M484" s="232"/>
      <c r="N484" s="226"/>
      <c r="O484" s="229"/>
      <c r="P484" s="200"/>
    </row>
    <row r="485" spans="1:16" ht="15.75" thickBot="1" x14ac:dyDescent="0.3">
      <c r="A485" s="133"/>
      <c r="B485" s="195"/>
      <c r="C485" s="232"/>
      <c r="D485" s="232"/>
      <c r="E485" s="232"/>
      <c r="F485" s="226"/>
      <c r="G485" s="229"/>
      <c r="H485" s="200"/>
      <c r="I485" s="133"/>
      <c r="J485" s="195"/>
      <c r="K485" s="232"/>
      <c r="L485" s="232"/>
      <c r="M485" s="232"/>
      <c r="N485" s="226"/>
      <c r="O485" s="229"/>
      <c r="P485" s="200"/>
    </row>
    <row r="486" spans="1:16" ht="15.75" thickBot="1" x14ac:dyDescent="0.3">
      <c r="A486" s="133"/>
      <c r="B486" s="251"/>
      <c r="C486" s="252"/>
      <c r="D486" s="252"/>
      <c r="E486" s="252"/>
      <c r="F486" s="253"/>
      <c r="G486" s="254"/>
      <c r="H486" s="256">
        <f>+SUM(G480:G486)</f>
        <v>10637.5</v>
      </c>
      <c r="I486" s="133"/>
      <c r="J486" s="251"/>
      <c r="K486" s="252"/>
      <c r="L486" s="252"/>
      <c r="M486" s="252"/>
      <c r="N486" s="253"/>
      <c r="O486" s="254"/>
      <c r="P486" s="256">
        <f>+SUM(O480:O486)</f>
        <v>10637.5</v>
      </c>
    </row>
    <row r="487" spans="1:16" ht="15.75" thickBot="1" x14ac:dyDescent="0.3">
      <c r="A487" s="133"/>
      <c r="B487" s="8"/>
      <c r="C487" s="8"/>
      <c r="D487" s="8"/>
      <c r="E487" s="8"/>
      <c r="F487" s="133"/>
      <c r="G487" s="200"/>
      <c r="H487" s="200"/>
      <c r="I487" s="133"/>
      <c r="J487" s="8"/>
      <c r="K487" s="8"/>
      <c r="L487" s="8"/>
      <c r="M487" s="8"/>
      <c r="N487" s="133"/>
      <c r="O487" s="200"/>
      <c r="P487" s="200"/>
    </row>
    <row r="488" spans="1:16" ht="15.75" thickBot="1" x14ac:dyDescent="0.3">
      <c r="A488" s="133"/>
      <c r="B488" s="8"/>
      <c r="C488" s="8"/>
      <c r="D488" s="8"/>
      <c r="E488" s="223" t="s">
        <v>5415</v>
      </c>
      <c r="F488" s="133"/>
      <c r="G488" s="200"/>
      <c r="H488" s="256">
        <f>ROUND(+H486+H477+H469+H454,0)</f>
        <v>17633</v>
      </c>
      <c r="I488" s="133"/>
      <c r="J488" s="8"/>
      <c r="K488" s="8"/>
      <c r="L488" s="8"/>
      <c r="M488" s="223" t="s">
        <v>5415</v>
      </c>
      <c r="N488" s="133"/>
      <c r="O488" s="200"/>
      <c r="P488" s="256">
        <f>ROUND(+P486+P477+P469+P454,0)</f>
        <v>11701</v>
      </c>
    </row>
    <row r="489" spans="1:16" x14ac:dyDescent="0.25">
      <c r="A489" s="133"/>
      <c r="B489" s="8"/>
      <c r="C489" s="8"/>
      <c r="D489" s="8"/>
      <c r="E489" s="223"/>
      <c r="F489" s="133"/>
      <c r="G489" s="200"/>
      <c r="H489" s="261"/>
    </row>
    <row r="490" spans="1:16" x14ac:dyDescent="0.25">
      <c r="A490" s="133"/>
      <c r="B490" s="8"/>
      <c r="C490" s="8"/>
      <c r="D490" s="8"/>
      <c r="E490" s="223"/>
      <c r="F490" s="133"/>
      <c r="G490" s="200"/>
      <c r="H490" s="261"/>
    </row>
    <row r="491" spans="1:16" x14ac:dyDescent="0.25">
      <c r="A491" s="133"/>
      <c r="B491" s="8"/>
      <c r="C491" s="8"/>
      <c r="D491" s="8"/>
      <c r="E491" s="223"/>
      <c r="F491" s="133"/>
      <c r="G491" s="200"/>
      <c r="H491" s="261"/>
    </row>
    <row r="492" spans="1:16" x14ac:dyDescent="0.25">
      <c r="A492" s="133"/>
      <c r="B492" s="8"/>
      <c r="C492" s="8"/>
      <c r="D492" s="8"/>
      <c r="E492" s="223"/>
      <c r="F492" s="133"/>
      <c r="G492" s="200"/>
      <c r="H492" s="261"/>
    </row>
    <row r="493" spans="1:16" ht="18.75" x14ac:dyDescent="0.25">
      <c r="A493" s="133"/>
      <c r="B493" s="2506" t="s">
        <v>5400</v>
      </c>
      <c r="C493" s="2506"/>
      <c r="D493" s="2506"/>
      <c r="E493" s="2506"/>
      <c r="F493" s="2506"/>
      <c r="G493" s="2506"/>
      <c r="H493" s="8"/>
    </row>
    <row r="494" spans="1:16" x14ac:dyDescent="0.25">
      <c r="A494" s="133"/>
      <c r="B494" s="8"/>
      <c r="C494" s="8"/>
      <c r="D494" s="8"/>
      <c r="E494" s="8"/>
      <c r="F494" s="133"/>
      <c r="G494" s="200"/>
      <c r="H494" s="200"/>
    </row>
    <row r="495" spans="1:16" x14ac:dyDescent="0.25">
      <c r="A495" s="133"/>
      <c r="B495" s="8"/>
      <c r="C495" s="8"/>
      <c r="D495" s="8"/>
      <c r="E495" s="8"/>
      <c r="F495" s="133"/>
      <c r="G495" s="200"/>
      <c r="H495" s="200"/>
    </row>
    <row r="496" spans="1:16" x14ac:dyDescent="0.25">
      <c r="A496" s="133"/>
      <c r="B496" s="8"/>
      <c r="C496" s="8"/>
      <c r="D496" s="8"/>
      <c r="E496" s="8"/>
      <c r="F496" s="133"/>
      <c r="G496" s="200"/>
      <c r="H496" s="200"/>
    </row>
    <row r="497" spans="1:8" x14ac:dyDescent="0.25">
      <c r="A497" s="220" t="s">
        <v>5482</v>
      </c>
      <c r="B497" s="138" t="s">
        <v>5601</v>
      </c>
      <c r="C497" s="2449" t="s">
        <v>6232</v>
      </c>
      <c r="D497" s="2449"/>
      <c r="E497" s="2449"/>
      <c r="F497" s="220" t="s">
        <v>867</v>
      </c>
      <c r="G497" s="222" t="s">
        <v>6233</v>
      </c>
      <c r="H497" s="200"/>
    </row>
    <row r="498" spans="1:8" x14ac:dyDescent="0.25">
      <c r="A498" s="133"/>
      <c r="B498" s="8"/>
      <c r="C498" s="223"/>
      <c r="D498" s="223"/>
      <c r="E498" s="223"/>
      <c r="F498" s="133"/>
      <c r="G498" s="200"/>
      <c r="H498" s="200"/>
    </row>
    <row r="499" spans="1:8" x14ac:dyDescent="0.25">
      <c r="A499" s="133"/>
      <c r="B499" s="8"/>
      <c r="C499" s="8"/>
      <c r="D499" s="8"/>
      <c r="E499" s="8"/>
      <c r="F499" s="8"/>
      <c r="G499" s="8"/>
      <c r="H499" s="200"/>
    </row>
    <row r="500" spans="1:8" ht="15.75" thickBot="1" x14ac:dyDescent="0.3">
      <c r="A500" s="133"/>
      <c r="B500" s="8"/>
      <c r="C500" s="8"/>
      <c r="D500" s="8"/>
      <c r="E500" s="8"/>
      <c r="F500" s="133"/>
      <c r="G500" s="200"/>
      <c r="H500" s="200"/>
    </row>
    <row r="501" spans="1:8" ht="15.75" thickBot="1" x14ac:dyDescent="0.3">
      <c r="A501" s="133"/>
      <c r="B501" s="224" t="s">
        <v>5403</v>
      </c>
      <c r="C501" s="193" t="s">
        <v>867</v>
      </c>
      <c r="D501" s="193" t="s">
        <v>6</v>
      </c>
      <c r="E501" s="193" t="s">
        <v>5439</v>
      </c>
      <c r="F501" s="193" t="s">
        <v>5405</v>
      </c>
      <c r="G501" s="225" t="s">
        <v>868</v>
      </c>
      <c r="H501" s="200"/>
    </row>
    <row r="502" spans="1:8" x14ac:dyDescent="0.25">
      <c r="A502" s="133"/>
      <c r="B502" s="195" t="s">
        <v>5440</v>
      </c>
      <c r="C502" s="226" t="s">
        <v>5402</v>
      </c>
      <c r="D502" s="226">
        <v>1</v>
      </c>
      <c r="E502" s="227">
        <f>+H540</f>
        <v>461390</v>
      </c>
      <c r="F502" s="226">
        <v>0.1</v>
      </c>
      <c r="G502" s="292">
        <f>+E502*F502</f>
        <v>46139</v>
      </c>
      <c r="H502" s="200"/>
    </row>
    <row r="503" spans="1:8" x14ac:dyDescent="0.25">
      <c r="A503" s="133"/>
      <c r="B503" s="195"/>
      <c r="C503" s="226"/>
      <c r="D503" s="226"/>
      <c r="E503" s="230"/>
      <c r="F503" s="226"/>
      <c r="G503" s="229"/>
      <c r="H503" s="200"/>
    </row>
    <row r="504" spans="1:8" x14ac:dyDescent="0.25">
      <c r="A504" s="133"/>
      <c r="B504" s="195"/>
      <c r="C504" s="226"/>
      <c r="D504" s="226"/>
      <c r="E504" s="176"/>
      <c r="F504" s="226"/>
      <c r="G504" s="229"/>
      <c r="H504" s="200"/>
    </row>
    <row r="505" spans="1:8" x14ac:dyDescent="0.25">
      <c r="A505" s="133"/>
      <c r="B505" s="195"/>
      <c r="C505" s="226"/>
      <c r="D505" s="226"/>
      <c r="E505" s="171"/>
      <c r="F505" s="226"/>
      <c r="G505" s="293"/>
      <c r="H505" s="200"/>
    </row>
    <row r="506" spans="1:8" x14ac:dyDescent="0.25">
      <c r="A506" s="133"/>
      <c r="B506" s="195"/>
      <c r="C506" s="226"/>
      <c r="D506" s="232"/>
      <c r="E506" s="232"/>
      <c r="F506" s="226"/>
      <c r="G506" s="229"/>
      <c r="H506" s="200"/>
    </row>
    <row r="507" spans="1:8" ht="15.75" thickBot="1" x14ac:dyDescent="0.3">
      <c r="A507" s="133"/>
      <c r="B507" s="195"/>
      <c r="C507" s="226"/>
      <c r="D507" s="232"/>
      <c r="E507" s="232"/>
      <c r="F507" s="226"/>
      <c r="G507" s="229"/>
      <c r="H507" s="200"/>
    </row>
    <row r="508" spans="1:8" ht="15.75" thickBot="1" x14ac:dyDescent="0.3">
      <c r="A508" s="133"/>
      <c r="B508" s="233"/>
      <c r="C508" s="234"/>
      <c r="D508" s="234"/>
      <c r="E508" s="234"/>
      <c r="F508" s="235"/>
      <c r="G508" s="236"/>
      <c r="H508" s="237">
        <f>+SUM(G502:G508)</f>
        <v>46139</v>
      </c>
    </row>
    <row r="509" spans="1:8" ht="15.75" thickBot="1" x14ac:dyDescent="0.3">
      <c r="A509" s="133"/>
      <c r="B509" s="238"/>
      <c r="C509" s="238"/>
      <c r="D509" s="238"/>
      <c r="E509" s="238"/>
      <c r="F509" s="239"/>
      <c r="G509" s="240"/>
      <c r="H509" s="241"/>
    </row>
    <row r="510" spans="1:8" ht="15.75" thickBot="1" x14ac:dyDescent="0.3">
      <c r="A510" s="133"/>
      <c r="B510" s="224" t="s">
        <v>5408</v>
      </c>
      <c r="C510" s="193" t="s">
        <v>867</v>
      </c>
      <c r="D510" s="193" t="s">
        <v>6</v>
      </c>
      <c r="E510" s="193" t="s">
        <v>870</v>
      </c>
      <c r="F510" s="193" t="s">
        <v>5409</v>
      </c>
      <c r="G510" s="225" t="s">
        <v>868</v>
      </c>
      <c r="H510" s="200"/>
    </row>
    <row r="511" spans="1:8" x14ac:dyDescent="0.25">
      <c r="A511" s="133"/>
      <c r="B511" s="260" t="s">
        <v>6009</v>
      </c>
      <c r="C511" s="202" t="s">
        <v>5542</v>
      </c>
      <c r="D511" s="202">
        <v>1</v>
      </c>
      <c r="E511" s="257">
        <f>+'APU CAP 5'!H862</f>
        <v>306229</v>
      </c>
      <c r="F511" s="169">
        <v>0.1</v>
      </c>
      <c r="G511" s="294">
        <f>+D511*E511*(1+F511)</f>
        <v>336851.9</v>
      </c>
      <c r="H511" s="200"/>
    </row>
    <row r="512" spans="1:8" x14ac:dyDescent="0.25">
      <c r="A512" s="133"/>
      <c r="B512" s="260"/>
      <c r="C512" s="202"/>
      <c r="D512" s="202"/>
      <c r="E512" s="257"/>
      <c r="F512" s="169"/>
      <c r="G512" s="294">
        <f>+D512*E512*(1+F512)</f>
        <v>0</v>
      </c>
      <c r="H512" s="200"/>
    </row>
    <row r="513" spans="1:8" x14ac:dyDescent="0.25">
      <c r="A513" s="133"/>
      <c r="B513" s="247"/>
      <c r="C513" s="226"/>
      <c r="D513" s="226"/>
      <c r="E513" s="244"/>
      <c r="F513" s="169"/>
      <c r="G513" s="294"/>
      <c r="H513" s="200"/>
    </row>
    <row r="514" spans="1:8" x14ac:dyDescent="0.25">
      <c r="A514" s="133"/>
      <c r="B514" s="194"/>
      <c r="C514" s="226"/>
      <c r="D514" s="226"/>
      <c r="E514" s="171"/>
      <c r="F514" s="169"/>
      <c r="G514" s="294"/>
      <c r="H514" s="200"/>
    </row>
    <row r="515" spans="1:8" x14ac:dyDescent="0.25">
      <c r="A515" s="133"/>
      <c r="B515" s="195"/>
      <c r="C515" s="226"/>
      <c r="D515" s="226"/>
      <c r="E515" s="171"/>
      <c r="F515" s="169"/>
      <c r="G515" s="178"/>
      <c r="H515" s="200"/>
    </row>
    <row r="516" spans="1:8" x14ac:dyDescent="0.25">
      <c r="A516" s="133"/>
      <c r="B516" s="194"/>
      <c r="C516" s="202"/>
      <c r="D516" s="202"/>
      <c r="E516" s="171"/>
      <c r="F516" s="169"/>
      <c r="G516" s="178"/>
      <c r="H516" s="200"/>
    </row>
    <row r="517" spans="1:8" x14ac:dyDescent="0.25">
      <c r="A517" s="133"/>
      <c r="B517" s="195"/>
      <c r="C517" s="226"/>
      <c r="D517" s="226"/>
      <c r="E517" s="171"/>
      <c r="F517" s="169"/>
      <c r="G517" s="178"/>
      <c r="H517" s="200"/>
    </row>
    <row r="518" spans="1:8" x14ac:dyDescent="0.25">
      <c r="A518" s="133"/>
      <c r="B518" s="195"/>
      <c r="C518" s="226"/>
      <c r="D518" s="226"/>
      <c r="E518" s="171"/>
      <c r="F518" s="169"/>
      <c r="G518" s="178"/>
      <c r="H518" s="200"/>
    </row>
    <row r="519" spans="1:8" x14ac:dyDescent="0.25">
      <c r="A519" s="133"/>
      <c r="B519" s="195"/>
      <c r="C519" s="232"/>
      <c r="D519" s="232"/>
      <c r="E519" s="232"/>
      <c r="F519" s="226"/>
      <c r="G519" s="229"/>
      <c r="H519" s="200"/>
    </row>
    <row r="520" spans="1:8" x14ac:dyDescent="0.25">
      <c r="A520" s="133"/>
      <c r="B520" s="195"/>
      <c r="C520" s="232"/>
      <c r="D520" s="232"/>
      <c r="E520" s="232"/>
      <c r="F520" s="226"/>
      <c r="G520" s="229"/>
      <c r="H520" s="200"/>
    </row>
    <row r="521" spans="1:8" x14ac:dyDescent="0.25">
      <c r="A521" s="133"/>
      <c r="B521" s="195"/>
      <c r="C521" s="232"/>
      <c r="D521" s="232"/>
      <c r="E521" s="232"/>
      <c r="F521" s="226"/>
      <c r="G521" s="229"/>
      <c r="H521" s="200"/>
    </row>
    <row r="522" spans="1:8" ht="15.75" thickBot="1" x14ac:dyDescent="0.3">
      <c r="A522" s="133"/>
      <c r="B522" s="195"/>
      <c r="C522" s="232"/>
      <c r="D522" s="232"/>
      <c r="E522" s="232"/>
      <c r="F522" s="226"/>
      <c r="G522" s="229"/>
      <c r="H522" s="200"/>
    </row>
    <row r="523" spans="1:8" ht="15.75" thickBot="1" x14ac:dyDescent="0.3">
      <c r="A523" s="133"/>
      <c r="B523" s="233"/>
      <c r="C523" s="234"/>
      <c r="D523" s="234"/>
      <c r="E523" s="234"/>
      <c r="F523" s="235"/>
      <c r="G523" s="236"/>
      <c r="H523" s="256">
        <f>+SUM(G511:G523)</f>
        <v>336851.9</v>
      </c>
    </row>
    <row r="524" spans="1:8" ht="15.75" thickBot="1" x14ac:dyDescent="0.3">
      <c r="A524" s="133"/>
      <c r="B524" s="238"/>
      <c r="C524" s="238"/>
      <c r="D524" s="238"/>
      <c r="E524" s="238"/>
      <c r="F524" s="239"/>
      <c r="G524" s="240"/>
      <c r="H524" s="241"/>
    </row>
    <row r="525" spans="1:8" ht="15.75" thickBot="1" x14ac:dyDescent="0.3">
      <c r="A525" s="133"/>
      <c r="B525" s="224" t="s">
        <v>5410</v>
      </c>
      <c r="C525" s="193" t="s">
        <v>867</v>
      </c>
      <c r="D525" s="193" t="s">
        <v>6</v>
      </c>
      <c r="E525" s="193" t="s">
        <v>870</v>
      </c>
      <c r="F525" s="193" t="s">
        <v>5411</v>
      </c>
      <c r="G525" s="225" t="s">
        <v>868</v>
      </c>
      <c r="H525" s="200"/>
    </row>
    <row r="526" spans="1:8" x14ac:dyDescent="0.25">
      <c r="A526" s="133"/>
      <c r="B526" s="245"/>
      <c r="C526" s="202"/>
      <c r="D526" s="202"/>
      <c r="E526" s="175"/>
      <c r="F526" s="202"/>
      <c r="G526" s="203"/>
      <c r="H526" s="246"/>
    </row>
    <row r="527" spans="1:8" x14ac:dyDescent="0.25">
      <c r="A527" s="133"/>
      <c r="B527" s="247"/>
      <c r="C527" s="248"/>
      <c r="D527" s="248"/>
      <c r="E527" s="248"/>
      <c r="F527" s="202"/>
      <c r="G527" s="178"/>
      <c r="H527" s="200"/>
    </row>
    <row r="528" spans="1:8" x14ac:dyDescent="0.25">
      <c r="A528" s="133"/>
      <c r="B528" s="247"/>
      <c r="C528" s="232"/>
      <c r="D528" s="232"/>
      <c r="E528" s="232"/>
      <c r="F528" s="226"/>
      <c r="G528" s="229"/>
      <c r="H528" s="200"/>
    </row>
    <row r="529" spans="1:8" x14ac:dyDescent="0.25">
      <c r="A529" s="133"/>
      <c r="B529" s="194"/>
      <c r="C529" s="232"/>
      <c r="D529" s="232"/>
      <c r="E529" s="232"/>
      <c r="F529" s="226"/>
      <c r="G529" s="229"/>
      <c r="H529" s="200"/>
    </row>
    <row r="530" spans="1:8" ht="15.75" thickBot="1" x14ac:dyDescent="0.3">
      <c r="A530" s="133"/>
      <c r="B530" s="195"/>
      <c r="C530" s="232"/>
      <c r="D530" s="232"/>
      <c r="E530" s="232"/>
      <c r="F530" s="226"/>
      <c r="G530" s="229"/>
      <c r="H530" s="200"/>
    </row>
    <row r="531" spans="1:8" ht="15.75" thickBot="1" x14ac:dyDescent="0.3">
      <c r="A531" s="133"/>
      <c r="B531" s="233"/>
      <c r="C531" s="234"/>
      <c r="D531" s="234"/>
      <c r="E531" s="234"/>
      <c r="F531" s="235"/>
      <c r="G531" s="236"/>
      <c r="H531" s="237">
        <f>+SUM(G526:G531)</f>
        <v>0</v>
      </c>
    </row>
    <row r="532" spans="1:8" ht="15.75" thickBot="1" x14ac:dyDescent="0.3">
      <c r="A532" s="133"/>
      <c r="B532" s="238"/>
      <c r="C532" s="238"/>
      <c r="D532" s="238"/>
      <c r="E532" s="238"/>
      <c r="F532" s="249"/>
      <c r="G532" s="250"/>
      <c r="H532" s="241"/>
    </row>
    <row r="533" spans="1:8" ht="15.75" thickBot="1" x14ac:dyDescent="0.3">
      <c r="A533" s="133"/>
      <c r="B533" s="224" t="s">
        <v>5412</v>
      </c>
      <c r="C533" s="193" t="s">
        <v>5420</v>
      </c>
      <c r="D533" s="193" t="s">
        <v>5421</v>
      </c>
      <c r="E533" s="193" t="s">
        <v>5413</v>
      </c>
      <c r="F533" s="193" t="s">
        <v>5405</v>
      </c>
      <c r="G533" s="225" t="s">
        <v>868</v>
      </c>
      <c r="H533" s="200"/>
    </row>
    <row r="534" spans="1:8" x14ac:dyDescent="0.25">
      <c r="A534" s="133"/>
      <c r="B534" s="194" t="s">
        <v>5948</v>
      </c>
      <c r="C534" s="345">
        <v>70000</v>
      </c>
      <c r="D534" s="176">
        <f>+C534*0.85</f>
        <v>59500</v>
      </c>
      <c r="E534" s="176">
        <f>+C534+D534</f>
        <v>129500</v>
      </c>
      <c r="F534" s="204">
        <v>10</v>
      </c>
      <c r="G534" s="178">
        <f>+E534/F534</f>
        <v>12950</v>
      </c>
      <c r="H534" s="200"/>
    </row>
    <row r="535" spans="1:8" x14ac:dyDescent="0.25">
      <c r="A535" s="133"/>
      <c r="B535" s="194" t="s">
        <v>5651</v>
      </c>
      <c r="C535" s="345">
        <v>40000</v>
      </c>
      <c r="D535" s="176">
        <f>+C535*0.85</f>
        <v>34000</v>
      </c>
      <c r="E535" s="176">
        <f>+C535+D535</f>
        <v>74000</v>
      </c>
      <c r="F535" s="202">
        <v>0.25</v>
      </c>
      <c r="G535" s="178">
        <f>+E535/F535</f>
        <v>296000</v>
      </c>
      <c r="H535" s="200"/>
    </row>
    <row r="536" spans="1:8" x14ac:dyDescent="0.25">
      <c r="A536" s="133"/>
      <c r="B536" s="195" t="s">
        <v>5635</v>
      </c>
      <c r="C536" s="345">
        <v>20600</v>
      </c>
      <c r="D536" s="176">
        <f>+C536*0.85</f>
        <v>17510</v>
      </c>
      <c r="E536" s="176">
        <f>+C536+D536</f>
        <v>38110</v>
      </c>
      <c r="F536" s="226">
        <v>0.25</v>
      </c>
      <c r="G536" s="178">
        <f>+E536/F536</f>
        <v>152440</v>
      </c>
      <c r="H536" s="200"/>
    </row>
    <row r="537" spans="1:8" x14ac:dyDescent="0.25">
      <c r="A537" s="133"/>
      <c r="B537" s="195"/>
      <c r="C537" s="171"/>
      <c r="D537" s="176"/>
      <c r="E537" s="176"/>
      <c r="F537" s="226"/>
      <c r="G537" s="178"/>
      <c r="H537" s="200"/>
    </row>
    <row r="538" spans="1:8" x14ac:dyDescent="0.25">
      <c r="A538" s="133"/>
      <c r="B538" s="195"/>
      <c r="C538" s="232"/>
      <c r="D538" s="232"/>
      <c r="E538" s="232"/>
      <c r="F538" s="226"/>
      <c r="G538" s="229"/>
      <c r="H538" s="200"/>
    </row>
    <row r="539" spans="1:8" ht="15.75" thickBot="1" x14ac:dyDescent="0.3">
      <c r="A539" s="133"/>
      <c r="B539" s="195"/>
      <c r="C539" s="232"/>
      <c r="D539" s="232"/>
      <c r="E539" s="232"/>
      <c r="F539" s="226"/>
      <c r="G539" s="229"/>
      <c r="H539" s="200"/>
    </row>
    <row r="540" spans="1:8" ht="15.75" thickBot="1" x14ac:dyDescent="0.3">
      <c r="A540" s="133"/>
      <c r="B540" s="251"/>
      <c r="C540" s="252"/>
      <c r="D540" s="252"/>
      <c r="E540" s="252"/>
      <c r="F540" s="253"/>
      <c r="G540" s="254"/>
      <c r="H540" s="256">
        <f>+SUM(G534:G540)</f>
        <v>461390</v>
      </c>
    </row>
    <row r="541" spans="1:8" ht="15.75" thickBot="1" x14ac:dyDescent="0.3">
      <c r="A541" s="133"/>
      <c r="B541" s="8"/>
      <c r="C541" s="8"/>
      <c r="D541" s="8"/>
      <c r="E541" s="8"/>
      <c r="F541" s="133"/>
      <c r="G541" s="200"/>
      <c r="H541" s="200"/>
    </row>
    <row r="542" spans="1:8" ht="15.75" thickBot="1" x14ac:dyDescent="0.3">
      <c r="A542" s="133"/>
      <c r="B542" s="8"/>
      <c r="C542" s="8"/>
      <c r="D542" s="8"/>
      <c r="E542" s="223" t="s">
        <v>5415</v>
      </c>
      <c r="F542" s="133"/>
      <c r="G542" s="200"/>
      <c r="H542" s="256">
        <f>ROUND(+H540+H531+H523+H508,0)</f>
        <v>844381</v>
      </c>
    </row>
    <row r="543" spans="1:8" x14ac:dyDescent="0.25">
      <c r="A543" s="133"/>
      <c r="B543" s="8"/>
      <c r="C543" s="8"/>
      <c r="D543" s="8"/>
      <c r="E543" s="223"/>
      <c r="F543" s="133"/>
      <c r="G543" s="200"/>
      <c r="H543" s="261"/>
    </row>
    <row r="544" spans="1:8" x14ac:dyDescent="0.25">
      <c r="A544" s="133"/>
      <c r="B544" s="8"/>
      <c r="C544" s="8"/>
      <c r="D544" s="8"/>
      <c r="E544" s="223"/>
      <c r="F544" s="133"/>
      <c r="G544" s="200"/>
      <c r="H544" s="261"/>
    </row>
    <row r="545" spans="1:32" x14ac:dyDescent="0.25">
      <c r="A545" s="133"/>
      <c r="B545" s="8"/>
      <c r="C545" s="8"/>
      <c r="D545" s="8"/>
      <c r="E545" s="223"/>
      <c r="F545" s="133"/>
      <c r="G545" s="200"/>
      <c r="H545" s="261"/>
    </row>
    <row r="546" spans="1:32" x14ac:dyDescent="0.25">
      <c r="A546" s="133"/>
      <c r="B546" s="8"/>
      <c r="C546" s="8"/>
      <c r="D546" s="8"/>
      <c r="E546" s="223"/>
      <c r="F546" s="133"/>
      <c r="G546" s="200"/>
      <c r="H546" s="261"/>
    </row>
    <row r="547" spans="1:32" ht="18.75" x14ac:dyDescent="0.25">
      <c r="A547" s="133"/>
      <c r="B547" s="2506" t="s">
        <v>5400</v>
      </c>
      <c r="C547" s="2506"/>
      <c r="D547" s="2506"/>
      <c r="E547" s="2506"/>
      <c r="F547" s="2506"/>
      <c r="G547" s="2506"/>
      <c r="H547" s="8"/>
      <c r="I547" s="133"/>
      <c r="J547" s="2506" t="s">
        <v>5400</v>
      </c>
      <c r="K547" s="2506"/>
      <c r="L547" s="2506"/>
      <c r="M547" s="2506"/>
      <c r="N547" s="2506"/>
      <c r="O547" s="2506"/>
      <c r="P547" s="8"/>
      <c r="Q547" s="133"/>
      <c r="R547" s="2506" t="s">
        <v>5400</v>
      </c>
      <c r="S547" s="2506"/>
      <c r="T547" s="2506"/>
      <c r="U547" s="2506"/>
      <c r="V547" s="2506"/>
      <c r="W547" s="2506"/>
      <c r="X547" s="8"/>
      <c r="Y547" s="133"/>
      <c r="Z547" s="2506" t="s">
        <v>5400</v>
      </c>
      <c r="AA547" s="2506"/>
      <c r="AB547" s="2506"/>
      <c r="AC547" s="2506"/>
      <c r="AD547" s="2506"/>
      <c r="AE547" s="2506"/>
      <c r="AF547" s="8"/>
    </row>
    <row r="548" spans="1:32" x14ac:dyDescent="0.25">
      <c r="A548" s="133"/>
      <c r="B548" s="8"/>
      <c r="C548" s="8"/>
      <c r="D548" s="8"/>
      <c r="E548" s="8"/>
      <c r="F548" s="133"/>
      <c r="G548" s="200"/>
      <c r="H548" s="200"/>
      <c r="I548" s="133"/>
      <c r="J548" s="8"/>
      <c r="K548" s="8"/>
      <c r="L548" s="8"/>
      <c r="M548" s="8"/>
      <c r="N548" s="133"/>
      <c r="O548" s="200"/>
      <c r="P548" s="200"/>
      <c r="Q548" s="133"/>
      <c r="R548" s="8"/>
      <c r="S548" s="8"/>
      <c r="T548" s="8"/>
      <c r="U548" s="8"/>
      <c r="V548" s="133"/>
      <c r="W548" s="200"/>
      <c r="X548" s="200"/>
      <c r="Y548" s="133"/>
      <c r="Z548" s="8"/>
      <c r="AA548" s="8"/>
      <c r="AB548" s="8"/>
      <c r="AC548" s="8"/>
      <c r="AD548" s="133"/>
      <c r="AE548" s="200"/>
      <c r="AF548" s="200"/>
    </row>
    <row r="549" spans="1:32" x14ac:dyDescent="0.25">
      <c r="A549" s="133"/>
      <c r="B549" s="8"/>
      <c r="C549" s="8"/>
      <c r="D549" s="8"/>
      <c r="E549" s="8"/>
      <c r="F549" s="133"/>
      <c r="G549" s="200"/>
      <c r="H549" s="200"/>
      <c r="I549" s="133"/>
      <c r="J549" s="8"/>
      <c r="K549" s="8"/>
      <c r="L549" s="8"/>
      <c r="M549" s="8"/>
      <c r="N549" s="133"/>
      <c r="O549" s="200"/>
      <c r="P549" s="200"/>
      <c r="Q549" s="133"/>
      <c r="R549" s="8"/>
      <c r="S549" s="8"/>
      <c r="T549" s="8"/>
      <c r="U549" s="8"/>
      <c r="V549" s="133"/>
      <c r="W549" s="200"/>
      <c r="X549" s="200"/>
      <c r="Y549" s="133"/>
      <c r="Z549" s="8"/>
      <c r="AA549" s="8"/>
      <c r="AB549" s="8"/>
      <c r="AC549" s="8"/>
      <c r="AD549" s="133"/>
      <c r="AE549" s="200"/>
      <c r="AF549" s="200"/>
    </row>
    <row r="550" spans="1:32" x14ac:dyDescent="0.25">
      <c r="A550" s="133"/>
      <c r="B550" s="8"/>
      <c r="C550" s="8"/>
      <c r="D550" s="8"/>
      <c r="E550" s="8"/>
      <c r="F550" s="133"/>
      <c r="G550" s="200"/>
      <c r="H550" s="200"/>
      <c r="I550" s="133"/>
      <c r="J550" s="8"/>
      <c r="K550" s="8"/>
      <c r="L550" s="8"/>
      <c r="M550" s="8"/>
      <c r="N550" s="133"/>
      <c r="O550" s="200"/>
      <c r="P550" s="200"/>
      <c r="Q550" s="133"/>
      <c r="R550" s="8"/>
      <c r="S550" s="8"/>
      <c r="T550" s="8"/>
      <c r="U550" s="8"/>
      <c r="V550" s="133"/>
      <c r="W550" s="200"/>
      <c r="X550" s="200"/>
      <c r="Y550" s="133"/>
      <c r="Z550" s="8"/>
      <c r="AA550" s="8"/>
      <c r="AB550" s="8"/>
      <c r="AC550" s="8"/>
      <c r="AD550" s="133"/>
      <c r="AE550" s="200"/>
      <c r="AF550" s="200"/>
    </row>
    <row r="551" spans="1:32" x14ac:dyDescent="0.25">
      <c r="A551" s="220" t="s">
        <v>5482</v>
      </c>
      <c r="B551" s="138" t="s">
        <v>745</v>
      </c>
      <c r="C551" s="2449" t="s">
        <v>6240</v>
      </c>
      <c r="D551" s="2449"/>
      <c r="E551" s="2449"/>
      <c r="F551" s="220" t="s">
        <v>867</v>
      </c>
      <c r="G551" s="222" t="s">
        <v>5418</v>
      </c>
      <c r="H551" s="200"/>
      <c r="I551" s="220" t="s">
        <v>5482</v>
      </c>
      <c r="J551" s="138" t="s">
        <v>745</v>
      </c>
      <c r="K551" s="2449" t="s">
        <v>6241</v>
      </c>
      <c r="L551" s="2449"/>
      <c r="M551" s="2449"/>
      <c r="N551" s="220" t="s">
        <v>867</v>
      </c>
      <c r="O551" s="222" t="s">
        <v>5418</v>
      </c>
      <c r="P551" s="200"/>
      <c r="Q551" s="220" t="s">
        <v>5482</v>
      </c>
      <c r="R551" s="138" t="s">
        <v>745</v>
      </c>
      <c r="S551" s="2449" t="s">
        <v>6234</v>
      </c>
      <c r="T551" s="2449"/>
      <c r="U551" s="2449"/>
      <c r="V551" s="220" t="s">
        <v>867</v>
      </c>
      <c r="W551" s="222" t="s">
        <v>5418</v>
      </c>
      <c r="X551" s="200"/>
      <c r="Y551" s="220" t="s">
        <v>5482</v>
      </c>
      <c r="Z551" s="138" t="s">
        <v>745</v>
      </c>
      <c r="AA551" s="2449" t="s">
        <v>6237</v>
      </c>
      <c r="AB551" s="2449"/>
      <c r="AC551" s="2449"/>
      <c r="AD551" s="220" t="s">
        <v>867</v>
      </c>
      <c r="AE551" s="222" t="s">
        <v>5418</v>
      </c>
      <c r="AF551" s="200"/>
    </row>
    <row r="552" spans="1:32" x14ac:dyDescent="0.25">
      <c r="A552" s="133"/>
      <c r="B552" s="8"/>
      <c r="C552" s="223"/>
      <c r="D552" s="223"/>
      <c r="E552" s="223"/>
      <c r="F552" s="133"/>
      <c r="G552" s="200"/>
      <c r="H552" s="200"/>
      <c r="I552" s="133"/>
      <c r="J552" s="8"/>
      <c r="K552" s="223"/>
      <c r="L552" s="223"/>
      <c r="M552" s="223"/>
      <c r="N552" s="133"/>
      <c r="O552" s="200"/>
      <c r="P552" s="200"/>
      <c r="Q552" s="133"/>
      <c r="R552" s="8"/>
      <c r="S552" s="223"/>
      <c r="T552" s="223"/>
      <c r="U552" s="223"/>
      <c r="V552" s="133"/>
      <c r="W552" s="200"/>
      <c r="X552" s="200"/>
      <c r="Y552" s="133"/>
      <c r="Z552" s="8"/>
      <c r="AA552" s="223"/>
      <c r="AB552" s="223"/>
      <c r="AC552" s="223"/>
      <c r="AD552" s="133"/>
      <c r="AE552" s="200"/>
      <c r="AF552" s="200"/>
    </row>
    <row r="553" spans="1:32" x14ac:dyDescent="0.25">
      <c r="A553" s="133"/>
      <c r="B553" s="8"/>
      <c r="C553" s="8"/>
      <c r="D553" s="8"/>
      <c r="E553" s="8"/>
      <c r="F553" s="8"/>
      <c r="G553" s="8"/>
      <c r="H553" s="200"/>
      <c r="I553" s="133"/>
      <c r="J553" s="8"/>
      <c r="K553" s="8"/>
      <c r="L553" s="8"/>
      <c r="M553" s="8"/>
      <c r="N553" s="8"/>
      <c r="O553" s="8"/>
      <c r="P553" s="200"/>
      <c r="Q553" s="133"/>
      <c r="R553" s="8"/>
      <c r="S553" s="8"/>
      <c r="T553" s="8"/>
      <c r="U553" s="8"/>
      <c r="V553" s="8"/>
      <c r="W553" s="8"/>
      <c r="X553" s="200"/>
      <c r="Y553" s="133"/>
      <c r="Z553" s="8"/>
      <c r="AA553" s="8"/>
      <c r="AB553" s="8"/>
      <c r="AC553" s="8"/>
      <c r="AD553" s="8"/>
      <c r="AE553" s="8"/>
      <c r="AF553" s="200"/>
    </row>
    <row r="554" spans="1:32" ht="15.75" thickBot="1" x14ac:dyDescent="0.3">
      <c r="A554" s="133"/>
      <c r="B554" s="8"/>
      <c r="C554" s="8"/>
      <c r="D554" s="8"/>
      <c r="E554" s="8"/>
      <c r="F554" s="133"/>
      <c r="G554" s="200"/>
      <c r="H554" s="200"/>
      <c r="I554" s="133"/>
      <c r="J554" s="8"/>
      <c r="K554" s="8"/>
      <c r="L554" s="8"/>
      <c r="M554" s="8"/>
      <c r="N554" s="133"/>
      <c r="O554" s="200"/>
      <c r="P554" s="200"/>
      <c r="Q554" s="133"/>
      <c r="R554" s="8"/>
      <c r="S554" s="8"/>
      <c r="T554" s="8"/>
      <c r="U554" s="8"/>
      <c r="V554" s="133"/>
      <c r="W554" s="200"/>
      <c r="X554" s="200"/>
      <c r="Y554" s="133"/>
      <c r="Z554" s="8"/>
      <c r="AA554" s="8"/>
      <c r="AB554" s="8"/>
      <c r="AC554" s="8"/>
      <c r="AD554" s="133"/>
      <c r="AE554" s="200"/>
      <c r="AF554" s="200"/>
    </row>
    <row r="555" spans="1:32" ht="15.75" thickBot="1" x14ac:dyDescent="0.3">
      <c r="A555" s="133"/>
      <c r="B555" s="224" t="s">
        <v>5403</v>
      </c>
      <c r="C555" s="193" t="s">
        <v>867</v>
      </c>
      <c r="D555" s="193" t="s">
        <v>6</v>
      </c>
      <c r="E555" s="193" t="s">
        <v>5439</v>
      </c>
      <c r="F555" s="193" t="s">
        <v>5405</v>
      </c>
      <c r="G555" s="225" t="s">
        <v>868</v>
      </c>
      <c r="H555" s="200"/>
      <c r="I555" s="133"/>
      <c r="J555" s="224" t="s">
        <v>5403</v>
      </c>
      <c r="K555" s="193" t="s">
        <v>867</v>
      </c>
      <c r="L555" s="193" t="s">
        <v>6</v>
      </c>
      <c r="M555" s="193" t="s">
        <v>5439</v>
      </c>
      <c r="N555" s="193" t="s">
        <v>5405</v>
      </c>
      <c r="O555" s="225" t="s">
        <v>868</v>
      </c>
      <c r="P555" s="200"/>
      <c r="Q555" s="133"/>
      <c r="R555" s="224" t="s">
        <v>5403</v>
      </c>
      <c r="S555" s="193" t="s">
        <v>867</v>
      </c>
      <c r="T555" s="193" t="s">
        <v>6</v>
      </c>
      <c r="U555" s="193" t="s">
        <v>5439</v>
      </c>
      <c r="V555" s="193" t="s">
        <v>5405</v>
      </c>
      <c r="W555" s="225" t="s">
        <v>868</v>
      </c>
      <c r="X555" s="200"/>
      <c r="Y555" s="133"/>
      <c r="Z555" s="224" t="s">
        <v>5403</v>
      </c>
      <c r="AA555" s="193" t="s">
        <v>867</v>
      </c>
      <c r="AB555" s="193" t="s">
        <v>6</v>
      </c>
      <c r="AC555" s="193" t="s">
        <v>5439</v>
      </c>
      <c r="AD555" s="193" t="s">
        <v>5405</v>
      </c>
      <c r="AE555" s="225" t="s">
        <v>868</v>
      </c>
      <c r="AF555" s="200"/>
    </row>
    <row r="556" spans="1:32" x14ac:dyDescent="0.25">
      <c r="A556" s="133"/>
      <c r="B556" s="195" t="s">
        <v>5440</v>
      </c>
      <c r="C556" s="226" t="s">
        <v>5402</v>
      </c>
      <c r="D556" s="226">
        <v>1</v>
      </c>
      <c r="E556" s="227">
        <f>+H594</f>
        <v>15811.333333333332</v>
      </c>
      <c r="F556" s="226">
        <v>0.05</v>
      </c>
      <c r="G556" s="292">
        <f>+E556*F556</f>
        <v>790.56666666666661</v>
      </c>
      <c r="H556" s="200"/>
      <c r="I556" s="133"/>
      <c r="J556" s="195" t="s">
        <v>5440</v>
      </c>
      <c r="K556" s="226" t="s">
        <v>5402</v>
      </c>
      <c r="L556" s="226">
        <v>1</v>
      </c>
      <c r="M556" s="227">
        <f>+P594</f>
        <v>15811.333333333332</v>
      </c>
      <c r="N556" s="226">
        <v>0.05</v>
      </c>
      <c r="O556" s="292">
        <f>+M556*N556</f>
        <v>790.56666666666661</v>
      </c>
      <c r="P556" s="200"/>
      <c r="Q556" s="133"/>
      <c r="R556" s="195" t="s">
        <v>5440</v>
      </c>
      <c r="S556" s="226" t="s">
        <v>5402</v>
      </c>
      <c r="T556" s="226">
        <v>1</v>
      </c>
      <c r="U556" s="227">
        <f>+X594</f>
        <v>15811.333333333332</v>
      </c>
      <c r="V556" s="226">
        <v>0.05</v>
      </c>
      <c r="W556" s="292">
        <f>+U556*V556</f>
        <v>790.56666666666661</v>
      </c>
      <c r="X556" s="200"/>
      <c r="Y556" s="133"/>
      <c r="Z556" s="195" t="s">
        <v>5440</v>
      </c>
      <c r="AA556" s="226" t="s">
        <v>5402</v>
      </c>
      <c r="AB556" s="226">
        <v>1</v>
      </c>
      <c r="AC556" s="227">
        <f>+AF594</f>
        <v>15811.333333333332</v>
      </c>
      <c r="AD556" s="226">
        <v>0.05</v>
      </c>
      <c r="AE556" s="292">
        <f>+AC556*AD556</f>
        <v>790.56666666666661</v>
      </c>
      <c r="AF556" s="200"/>
    </row>
    <row r="557" spans="1:32" x14ac:dyDescent="0.25">
      <c r="A557" s="133"/>
      <c r="B557" s="195"/>
      <c r="C557" s="226"/>
      <c r="D557" s="226"/>
      <c r="E557" s="230"/>
      <c r="F557" s="226"/>
      <c r="G557" s="229"/>
      <c r="H557" s="200"/>
      <c r="I557" s="133"/>
      <c r="J557" s="195"/>
      <c r="K557" s="226"/>
      <c r="L557" s="226"/>
      <c r="M557" s="230"/>
      <c r="N557" s="226"/>
      <c r="O557" s="229"/>
      <c r="P557" s="200"/>
      <c r="Q557" s="133"/>
      <c r="R557" s="195"/>
      <c r="S557" s="226"/>
      <c r="T557" s="226"/>
      <c r="U557" s="230"/>
      <c r="V557" s="226"/>
      <c r="W557" s="229"/>
      <c r="X557" s="200"/>
      <c r="Y557" s="133"/>
      <c r="Z557" s="195" t="s">
        <v>6238</v>
      </c>
      <c r="AA557" s="226"/>
      <c r="AB557" s="226"/>
      <c r="AC557" s="230"/>
      <c r="AD557" s="226"/>
      <c r="AE557" s="229"/>
      <c r="AF557" s="200"/>
    </row>
    <row r="558" spans="1:32" x14ac:dyDescent="0.25">
      <c r="A558" s="133"/>
      <c r="B558" s="195"/>
      <c r="C558" s="226"/>
      <c r="D558" s="226"/>
      <c r="E558" s="176"/>
      <c r="F558" s="226"/>
      <c r="G558" s="229"/>
      <c r="H558" s="200"/>
      <c r="I558" s="133"/>
      <c r="J558" s="195"/>
      <c r="K558" s="226"/>
      <c r="L558" s="226"/>
      <c r="M558" s="176"/>
      <c r="N558" s="226"/>
      <c r="O558" s="229"/>
      <c r="P558" s="200"/>
      <c r="Q558" s="133"/>
      <c r="R558" s="195"/>
      <c r="S558" s="226"/>
      <c r="T558" s="226"/>
      <c r="U558" s="176"/>
      <c r="V558" s="226"/>
      <c r="W558" s="229"/>
      <c r="X558" s="200"/>
      <c r="Y558" s="133"/>
      <c r="Z558" s="195"/>
      <c r="AA558" s="226"/>
      <c r="AB558" s="226"/>
      <c r="AC558" s="176"/>
      <c r="AD558" s="226"/>
      <c r="AE558" s="229"/>
      <c r="AF558" s="200"/>
    </row>
    <row r="559" spans="1:32" x14ac:dyDescent="0.25">
      <c r="A559" s="133"/>
      <c r="B559" s="195"/>
      <c r="C559" s="226"/>
      <c r="D559" s="226"/>
      <c r="E559" s="171"/>
      <c r="F559" s="226"/>
      <c r="G559" s="293"/>
      <c r="H559" s="200"/>
      <c r="I559" s="133"/>
      <c r="J559" s="195"/>
      <c r="K559" s="226"/>
      <c r="L559" s="226"/>
      <c r="M559" s="171"/>
      <c r="N559" s="226"/>
      <c r="O559" s="293"/>
      <c r="P559" s="200"/>
      <c r="Q559" s="133"/>
      <c r="R559" s="195"/>
      <c r="S559" s="226"/>
      <c r="T559" s="226"/>
      <c r="U559" s="171"/>
      <c r="V559" s="226"/>
      <c r="W559" s="293"/>
      <c r="X559" s="200"/>
      <c r="Y559" s="133"/>
      <c r="Z559" s="195"/>
      <c r="AA559" s="226"/>
      <c r="AB559" s="226"/>
      <c r="AC559" s="171"/>
      <c r="AD559" s="226"/>
      <c r="AE559" s="293"/>
      <c r="AF559" s="200"/>
    </row>
    <row r="560" spans="1:32" x14ac:dyDescent="0.25">
      <c r="A560" s="133"/>
      <c r="B560" s="195"/>
      <c r="C560" s="226"/>
      <c r="D560" s="232"/>
      <c r="E560" s="232"/>
      <c r="F560" s="226"/>
      <c r="G560" s="229"/>
      <c r="H560" s="200"/>
      <c r="I560" s="133"/>
      <c r="J560" s="195"/>
      <c r="K560" s="226"/>
      <c r="L560" s="232"/>
      <c r="M560" s="232"/>
      <c r="N560" s="226"/>
      <c r="O560" s="229"/>
      <c r="P560" s="200"/>
      <c r="Q560" s="133"/>
      <c r="R560" s="195"/>
      <c r="S560" s="226"/>
      <c r="T560" s="232"/>
      <c r="U560" s="232"/>
      <c r="V560" s="226"/>
      <c r="W560" s="229"/>
      <c r="X560" s="200"/>
      <c r="Y560" s="133"/>
      <c r="Z560" s="195"/>
      <c r="AA560" s="226"/>
      <c r="AB560" s="232"/>
      <c r="AC560" s="232"/>
      <c r="AD560" s="226"/>
      <c r="AE560" s="229"/>
      <c r="AF560" s="200"/>
    </row>
    <row r="561" spans="1:32" ht="15.75" thickBot="1" x14ac:dyDescent="0.3">
      <c r="A561" s="133"/>
      <c r="B561" s="195"/>
      <c r="C561" s="226"/>
      <c r="D561" s="232"/>
      <c r="E561" s="232"/>
      <c r="F561" s="226"/>
      <c r="G561" s="229"/>
      <c r="H561" s="200"/>
      <c r="I561" s="133"/>
      <c r="J561" s="195"/>
      <c r="K561" s="226"/>
      <c r="L561" s="232"/>
      <c r="M561" s="232"/>
      <c r="N561" s="226"/>
      <c r="O561" s="229"/>
      <c r="P561" s="200"/>
      <c r="Q561" s="133"/>
      <c r="R561" s="195"/>
      <c r="S561" s="226"/>
      <c r="T561" s="232"/>
      <c r="U561" s="232"/>
      <c r="V561" s="226"/>
      <c r="W561" s="229"/>
      <c r="X561" s="200"/>
      <c r="Y561" s="133"/>
      <c r="Z561" s="195"/>
      <c r="AA561" s="226"/>
      <c r="AB561" s="232"/>
      <c r="AC561" s="232"/>
      <c r="AD561" s="226"/>
      <c r="AE561" s="229"/>
      <c r="AF561" s="200"/>
    </row>
    <row r="562" spans="1:32" ht="15.75" thickBot="1" x14ac:dyDescent="0.3">
      <c r="A562" s="133"/>
      <c r="B562" s="233"/>
      <c r="C562" s="234"/>
      <c r="D562" s="234"/>
      <c r="E562" s="234"/>
      <c r="F562" s="235"/>
      <c r="G562" s="236"/>
      <c r="H562" s="237">
        <f>+SUM(G556:G562)</f>
        <v>790.56666666666661</v>
      </c>
      <c r="I562" s="133"/>
      <c r="J562" s="233"/>
      <c r="K562" s="234"/>
      <c r="L562" s="234"/>
      <c r="M562" s="234"/>
      <c r="N562" s="235"/>
      <c r="O562" s="236"/>
      <c r="P562" s="237">
        <f>+SUM(O556:O562)</f>
        <v>790.56666666666661</v>
      </c>
      <c r="Q562" s="133"/>
      <c r="R562" s="233"/>
      <c r="S562" s="234"/>
      <c r="T562" s="234"/>
      <c r="U562" s="234"/>
      <c r="V562" s="235"/>
      <c r="W562" s="236"/>
      <c r="X562" s="237">
        <f>+SUM(W556:W562)</f>
        <v>790.56666666666661</v>
      </c>
      <c r="Y562" s="133"/>
      <c r="Z562" s="233"/>
      <c r="AA562" s="234"/>
      <c r="AB562" s="234"/>
      <c r="AC562" s="234"/>
      <c r="AD562" s="235"/>
      <c r="AE562" s="236"/>
      <c r="AF562" s="237">
        <f>+SUM(AE556:AE562)</f>
        <v>790.56666666666661</v>
      </c>
    </row>
    <row r="563" spans="1:32" ht="15.75" thickBot="1" x14ac:dyDescent="0.3">
      <c r="A563" s="133"/>
      <c r="B563" s="238"/>
      <c r="C563" s="238"/>
      <c r="D563" s="238"/>
      <c r="E563" s="238"/>
      <c r="F563" s="239"/>
      <c r="G563" s="240"/>
      <c r="H563" s="241"/>
      <c r="I563" s="133"/>
      <c r="J563" s="238"/>
      <c r="K563" s="238"/>
      <c r="L563" s="238"/>
      <c r="M563" s="238"/>
      <c r="N563" s="239"/>
      <c r="O563" s="240"/>
      <c r="P563" s="241"/>
      <c r="Q563" s="133"/>
      <c r="R563" s="238"/>
      <c r="S563" s="238"/>
      <c r="T563" s="238"/>
      <c r="U563" s="238"/>
      <c r="V563" s="239"/>
      <c r="W563" s="240"/>
      <c r="X563" s="241"/>
      <c r="Y563" s="133"/>
      <c r="Z563" s="238"/>
      <c r="AA563" s="238"/>
      <c r="AB563" s="238"/>
      <c r="AC563" s="238"/>
      <c r="AD563" s="239"/>
      <c r="AE563" s="240"/>
      <c r="AF563" s="241"/>
    </row>
    <row r="564" spans="1:32" ht="15.75" thickBot="1" x14ac:dyDescent="0.3">
      <c r="A564" s="133"/>
      <c r="B564" s="224" t="s">
        <v>5408</v>
      </c>
      <c r="C564" s="193" t="s">
        <v>867</v>
      </c>
      <c r="D564" s="193" t="s">
        <v>6</v>
      </c>
      <c r="E564" s="193" t="s">
        <v>870</v>
      </c>
      <c r="F564" s="193" t="s">
        <v>5409</v>
      </c>
      <c r="G564" s="225" t="s">
        <v>868</v>
      </c>
      <c r="H564" s="200"/>
      <c r="I564" s="133"/>
      <c r="J564" s="224" t="s">
        <v>5408</v>
      </c>
      <c r="K564" s="193" t="s">
        <v>867</v>
      </c>
      <c r="L564" s="193" t="s">
        <v>6</v>
      </c>
      <c r="M564" s="193" t="s">
        <v>870</v>
      </c>
      <c r="N564" s="193" t="s">
        <v>5409</v>
      </c>
      <c r="O564" s="225" t="s">
        <v>868</v>
      </c>
      <c r="P564" s="200"/>
      <c r="Q564" s="133"/>
      <c r="R564" s="224" t="s">
        <v>5408</v>
      </c>
      <c r="S564" s="193" t="s">
        <v>867</v>
      </c>
      <c r="T564" s="193" t="s">
        <v>6</v>
      </c>
      <c r="U564" s="193" t="s">
        <v>870</v>
      </c>
      <c r="V564" s="193" t="s">
        <v>5409</v>
      </c>
      <c r="W564" s="225" t="s">
        <v>868</v>
      </c>
      <c r="X564" s="200"/>
      <c r="Y564" s="133"/>
      <c r="Z564" s="224" t="s">
        <v>5408</v>
      </c>
      <c r="AA564" s="193" t="s">
        <v>867</v>
      </c>
      <c r="AB564" s="193" t="s">
        <v>6</v>
      </c>
      <c r="AC564" s="193" t="s">
        <v>870</v>
      </c>
      <c r="AD564" s="193" t="s">
        <v>5409</v>
      </c>
      <c r="AE564" s="225" t="s">
        <v>868</v>
      </c>
      <c r="AF564" s="200"/>
    </row>
    <row r="565" spans="1:32" x14ac:dyDescent="0.25">
      <c r="A565" s="133"/>
      <c r="B565" s="245" t="s">
        <v>6239</v>
      </c>
      <c r="C565" s="202" t="s">
        <v>5556</v>
      </c>
      <c r="D565" s="226">
        <v>1</v>
      </c>
      <c r="E565" s="244">
        <v>20000</v>
      </c>
      <c r="F565" s="169">
        <v>0.05</v>
      </c>
      <c r="G565" s="294">
        <f>+D565*E565*(1+F565)</f>
        <v>21000</v>
      </c>
      <c r="H565" s="200"/>
      <c r="I565" s="133"/>
      <c r="J565" s="245" t="s">
        <v>6235</v>
      </c>
      <c r="K565" s="202" t="s">
        <v>5556</v>
      </c>
      <c r="L565" s="226">
        <v>1</v>
      </c>
      <c r="M565" s="244">
        <v>29000</v>
      </c>
      <c r="N565" s="169">
        <v>0.05</v>
      </c>
      <c r="O565" s="294">
        <f>+L565*M565*(1+N565)</f>
        <v>30450</v>
      </c>
      <c r="P565" s="200"/>
      <c r="Q565" s="133"/>
      <c r="R565" s="245" t="s">
        <v>6171</v>
      </c>
      <c r="S565" s="202" t="s">
        <v>5556</v>
      </c>
      <c r="T565" s="226">
        <v>1</v>
      </c>
      <c r="U565" s="244">
        <v>31000</v>
      </c>
      <c r="V565" s="169">
        <v>0.05</v>
      </c>
      <c r="W565" s="294">
        <f>+T565*U565*(1+V565)</f>
        <v>32550</v>
      </c>
      <c r="X565" s="200"/>
      <c r="Y565" s="133"/>
      <c r="Z565" s="314"/>
      <c r="AA565" s="202" t="s">
        <v>5556</v>
      </c>
      <c r="AB565" s="226">
        <v>1</v>
      </c>
      <c r="AC565" s="244">
        <v>20000</v>
      </c>
      <c r="AD565" s="169">
        <v>0.05</v>
      </c>
      <c r="AE565" s="294">
        <f>+AB565*AC565*(1+AD565)</f>
        <v>21000</v>
      </c>
      <c r="AF565" s="200"/>
    </row>
    <row r="566" spans="1:32" x14ac:dyDescent="0.25">
      <c r="A566" s="133"/>
      <c r="B566" s="247" t="s">
        <v>6236</v>
      </c>
      <c r="C566" s="202" t="s">
        <v>5431</v>
      </c>
      <c r="D566" s="202">
        <v>3</v>
      </c>
      <c r="E566" s="168">
        <v>800</v>
      </c>
      <c r="F566" s="169">
        <v>0.05</v>
      </c>
      <c r="G566" s="294">
        <f>+D566*E566*(1+F566)</f>
        <v>2520</v>
      </c>
      <c r="H566" s="200"/>
      <c r="I566" s="133"/>
      <c r="J566" s="247" t="s">
        <v>6236</v>
      </c>
      <c r="K566" s="202" t="s">
        <v>5431</v>
      </c>
      <c r="L566" s="202">
        <v>3</v>
      </c>
      <c r="M566" s="257">
        <v>800</v>
      </c>
      <c r="N566" s="169">
        <v>0.05</v>
      </c>
      <c r="O566" s="294">
        <f>+L566*M566*(1+N566)</f>
        <v>2520</v>
      </c>
      <c r="P566" s="200"/>
      <c r="Q566" s="133"/>
      <c r="R566" s="247" t="s">
        <v>6009</v>
      </c>
      <c r="S566" s="202" t="s">
        <v>5542</v>
      </c>
      <c r="T566" s="202">
        <v>1.4999999999999999E-2</v>
      </c>
      <c r="U566" s="257">
        <v>240714</v>
      </c>
      <c r="V566" s="169">
        <v>0.1</v>
      </c>
      <c r="W566" s="294">
        <f>+T566*U566*(1+V566)</f>
        <v>3971.7810000000004</v>
      </c>
      <c r="X566" s="200"/>
      <c r="Y566" s="133"/>
      <c r="Z566" s="247"/>
      <c r="AA566" s="202" t="s">
        <v>5542</v>
      </c>
      <c r="AB566" s="202">
        <v>1.4999999999999999E-2</v>
      </c>
      <c r="AC566" s="257">
        <v>240714</v>
      </c>
      <c r="AD566" s="169">
        <v>0.1</v>
      </c>
      <c r="AE566" s="294">
        <f>+AB566*AC566*(1+AD566)</f>
        <v>3971.7810000000004</v>
      </c>
      <c r="AF566" s="200"/>
    </row>
    <row r="567" spans="1:32" x14ac:dyDescent="0.25">
      <c r="A567" s="133"/>
      <c r="B567" s="247"/>
      <c r="C567" s="202"/>
      <c r="D567" s="226"/>
      <c r="E567" s="244"/>
      <c r="F567" s="169"/>
      <c r="G567" s="294"/>
      <c r="H567" s="200"/>
      <c r="I567" s="133"/>
      <c r="J567" s="247"/>
      <c r="K567" s="202"/>
      <c r="L567" s="226"/>
      <c r="M567" s="244"/>
      <c r="N567" s="169"/>
      <c r="O567" s="294"/>
      <c r="P567" s="200"/>
      <c r="Q567" s="133"/>
      <c r="R567" s="247"/>
      <c r="S567" s="202"/>
      <c r="T567" s="226"/>
      <c r="U567" s="244"/>
      <c r="V567" s="169"/>
      <c r="W567" s="294"/>
      <c r="X567" s="200"/>
      <c r="Y567" s="133"/>
      <c r="Z567" s="247"/>
      <c r="AA567" s="202"/>
      <c r="AB567" s="226"/>
      <c r="AC567" s="244"/>
      <c r="AD567" s="169"/>
      <c r="AE567" s="294"/>
      <c r="AF567" s="200"/>
    </row>
    <row r="568" spans="1:32" x14ac:dyDescent="0.25">
      <c r="A568" s="133"/>
      <c r="B568" s="194"/>
      <c r="C568" s="226"/>
      <c r="D568" s="226"/>
      <c r="E568" s="171"/>
      <c r="F568" s="169"/>
      <c r="G568" s="294"/>
      <c r="H568" s="200"/>
      <c r="I568" s="133"/>
      <c r="J568" s="194"/>
      <c r="K568" s="226"/>
      <c r="L568" s="226"/>
      <c r="M568" s="171"/>
      <c r="N568" s="169"/>
      <c r="O568" s="294"/>
      <c r="P568" s="200"/>
      <c r="Q568" s="133"/>
      <c r="R568" s="194"/>
      <c r="S568" s="226"/>
      <c r="T568" s="226"/>
      <c r="U568" s="171"/>
      <c r="V568" s="169"/>
      <c r="W568" s="294"/>
      <c r="X568" s="200"/>
      <c r="Y568" s="133"/>
      <c r="Z568" s="194"/>
      <c r="AA568" s="226"/>
      <c r="AB568" s="226"/>
      <c r="AC568" s="171"/>
      <c r="AD568" s="169"/>
      <c r="AE568" s="294"/>
      <c r="AF568" s="200"/>
    </row>
    <row r="569" spans="1:32" x14ac:dyDescent="0.25">
      <c r="A569" s="133"/>
      <c r="B569" s="195"/>
      <c r="C569" s="226"/>
      <c r="D569" s="226"/>
      <c r="E569" s="171"/>
      <c r="F569" s="169"/>
      <c r="G569" s="178"/>
      <c r="H569" s="200"/>
      <c r="I569" s="133"/>
      <c r="J569" s="195"/>
      <c r="K569" s="226"/>
      <c r="L569" s="226"/>
      <c r="M569" s="171"/>
      <c r="N569" s="169"/>
      <c r="O569" s="178"/>
      <c r="P569" s="200"/>
      <c r="Q569" s="133"/>
      <c r="R569" s="195"/>
      <c r="S569" s="226"/>
      <c r="T569" s="226"/>
      <c r="U569" s="171"/>
      <c r="V569" s="169"/>
      <c r="W569" s="178"/>
      <c r="X569" s="200"/>
      <c r="Y569" s="133"/>
      <c r="Z569" s="195"/>
      <c r="AA569" s="226"/>
      <c r="AB569" s="226"/>
      <c r="AC569" s="171"/>
      <c r="AD569" s="169"/>
      <c r="AE569" s="178"/>
      <c r="AF569" s="200"/>
    </row>
    <row r="570" spans="1:32" x14ac:dyDescent="0.25">
      <c r="A570" s="133"/>
      <c r="B570" s="194"/>
      <c r="C570" s="202"/>
      <c r="D570" s="202"/>
      <c r="E570" s="171"/>
      <c r="F570" s="169"/>
      <c r="G570" s="178"/>
      <c r="H570" s="200"/>
      <c r="I570" s="133"/>
      <c r="J570" s="194"/>
      <c r="K570" s="202"/>
      <c r="L570" s="202"/>
      <c r="M570" s="171"/>
      <c r="N570" s="169"/>
      <c r="O570" s="178"/>
      <c r="P570" s="200"/>
      <c r="Q570" s="133"/>
      <c r="R570" s="194"/>
      <c r="S570" s="202"/>
      <c r="T570" s="202"/>
      <c r="U570" s="171"/>
      <c r="V570" s="169"/>
      <c r="W570" s="178"/>
      <c r="X570" s="200"/>
      <c r="Y570" s="133"/>
      <c r="Z570" s="194"/>
      <c r="AA570" s="202"/>
      <c r="AB570" s="202"/>
      <c r="AC570" s="171"/>
      <c r="AD570" s="169"/>
      <c r="AE570" s="178"/>
      <c r="AF570" s="200"/>
    </row>
    <row r="571" spans="1:32" x14ac:dyDescent="0.25">
      <c r="A571" s="133"/>
      <c r="B571" s="195"/>
      <c r="C571" s="226"/>
      <c r="D571" s="226"/>
      <c r="E571" s="171"/>
      <c r="F571" s="169"/>
      <c r="G571" s="178"/>
      <c r="H571" s="200"/>
      <c r="I571" s="133"/>
      <c r="J571" s="195"/>
      <c r="K571" s="226"/>
      <c r="L571" s="226"/>
      <c r="M571" s="171"/>
      <c r="N571" s="169"/>
      <c r="O571" s="178"/>
      <c r="P571" s="200"/>
      <c r="Q571" s="133"/>
      <c r="R571" s="195"/>
      <c r="S571" s="226"/>
      <c r="T571" s="226"/>
      <c r="U571" s="171"/>
      <c r="V571" s="169"/>
      <c r="W571" s="178"/>
      <c r="X571" s="200"/>
      <c r="Y571" s="133"/>
      <c r="Z571" s="195"/>
      <c r="AA571" s="226"/>
      <c r="AB571" s="226"/>
      <c r="AC571" s="171"/>
      <c r="AD571" s="169"/>
      <c r="AE571" s="178"/>
      <c r="AF571" s="200"/>
    </row>
    <row r="572" spans="1:32" x14ac:dyDescent="0.25">
      <c r="A572" s="133"/>
      <c r="B572" s="195"/>
      <c r="C572" s="226"/>
      <c r="D572" s="226"/>
      <c r="E572" s="171"/>
      <c r="F572" s="169"/>
      <c r="G572" s="178"/>
      <c r="H572" s="200"/>
      <c r="I572" s="133"/>
      <c r="J572" s="195"/>
      <c r="K572" s="226"/>
      <c r="L572" s="226"/>
      <c r="M572" s="171"/>
      <c r="N572" s="169"/>
      <c r="O572" s="178"/>
      <c r="P572" s="200"/>
      <c r="Q572" s="133"/>
      <c r="R572" s="195"/>
      <c r="S572" s="226"/>
      <c r="T572" s="226"/>
      <c r="U572" s="171"/>
      <c r="V572" s="169"/>
      <c r="W572" s="178"/>
      <c r="X572" s="200"/>
      <c r="Y572" s="133"/>
      <c r="Z572" s="195"/>
      <c r="AA572" s="226"/>
      <c r="AB572" s="226"/>
      <c r="AC572" s="171"/>
      <c r="AD572" s="169"/>
      <c r="AE572" s="178"/>
      <c r="AF572" s="200"/>
    </row>
    <row r="573" spans="1:32" x14ac:dyDescent="0.25">
      <c r="A573" s="133"/>
      <c r="B573" s="195"/>
      <c r="C573" s="232"/>
      <c r="D573" s="232"/>
      <c r="E573" s="232"/>
      <c r="F573" s="226"/>
      <c r="G573" s="229"/>
      <c r="H573" s="200"/>
      <c r="I573" s="133"/>
      <c r="J573" s="195"/>
      <c r="K573" s="232"/>
      <c r="L573" s="232"/>
      <c r="M573" s="232"/>
      <c r="N573" s="226"/>
      <c r="O573" s="229"/>
      <c r="P573" s="200"/>
      <c r="Q573" s="133"/>
      <c r="R573" s="195"/>
      <c r="S573" s="232"/>
      <c r="T573" s="232"/>
      <c r="U573" s="232"/>
      <c r="V573" s="226"/>
      <c r="W573" s="229"/>
      <c r="X573" s="200"/>
      <c r="Y573" s="133"/>
      <c r="Z573" s="195"/>
      <c r="AA573" s="232"/>
      <c r="AB573" s="232"/>
      <c r="AC573" s="232"/>
      <c r="AD573" s="226"/>
      <c r="AE573" s="229"/>
      <c r="AF573" s="200"/>
    </row>
    <row r="574" spans="1:32" x14ac:dyDescent="0.25">
      <c r="A574" s="133"/>
      <c r="B574" s="195"/>
      <c r="C574" s="232"/>
      <c r="D574" s="232"/>
      <c r="E574" s="232"/>
      <c r="F574" s="226"/>
      <c r="G574" s="229"/>
      <c r="H574" s="200"/>
      <c r="I574" s="133"/>
      <c r="J574" s="195"/>
      <c r="K574" s="232"/>
      <c r="L574" s="232"/>
      <c r="M574" s="232"/>
      <c r="N574" s="226"/>
      <c r="O574" s="229"/>
      <c r="P574" s="200"/>
      <c r="Q574" s="133"/>
      <c r="R574" s="195"/>
      <c r="S574" s="232"/>
      <c r="T574" s="232"/>
      <c r="U574" s="232"/>
      <c r="V574" s="226"/>
      <c r="W574" s="229"/>
      <c r="X574" s="200"/>
      <c r="Y574" s="133"/>
      <c r="Z574" s="195"/>
      <c r="AA574" s="232"/>
      <c r="AB574" s="232"/>
      <c r="AC574" s="232"/>
      <c r="AD574" s="226"/>
      <c r="AE574" s="229"/>
      <c r="AF574" s="200"/>
    </row>
    <row r="575" spans="1:32" x14ac:dyDescent="0.25">
      <c r="A575" s="133"/>
      <c r="B575" s="195"/>
      <c r="C575" s="232"/>
      <c r="D575" s="232"/>
      <c r="E575" s="232"/>
      <c r="F575" s="226"/>
      <c r="G575" s="229"/>
      <c r="H575" s="200"/>
      <c r="I575" s="133"/>
      <c r="J575" s="195"/>
      <c r="K575" s="232"/>
      <c r="L575" s="232"/>
      <c r="M575" s="232"/>
      <c r="N575" s="226"/>
      <c r="O575" s="229"/>
      <c r="P575" s="200"/>
      <c r="Q575" s="133"/>
      <c r="R575" s="195"/>
      <c r="S575" s="232"/>
      <c r="T575" s="232"/>
      <c r="U575" s="232"/>
      <c r="V575" s="226"/>
      <c r="W575" s="229"/>
      <c r="X575" s="200"/>
      <c r="Y575" s="133"/>
      <c r="Z575" s="195"/>
      <c r="AA575" s="232"/>
      <c r="AB575" s="232"/>
      <c r="AC575" s="232"/>
      <c r="AD575" s="226"/>
      <c r="AE575" s="229"/>
      <c r="AF575" s="200"/>
    </row>
    <row r="576" spans="1:32" ht="15.75" thickBot="1" x14ac:dyDescent="0.3">
      <c r="A576" s="133"/>
      <c r="B576" s="195"/>
      <c r="C576" s="232"/>
      <c r="D576" s="232"/>
      <c r="E576" s="232"/>
      <c r="F576" s="226"/>
      <c r="G576" s="229"/>
      <c r="H576" s="200"/>
      <c r="I576" s="133"/>
      <c r="J576" s="195"/>
      <c r="K576" s="232"/>
      <c r="L576" s="232"/>
      <c r="M576" s="232"/>
      <c r="N576" s="226"/>
      <c r="O576" s="229"/>
      <c r="P576" s="200"/>
      <c r="Q576" s="133"/>
      <c r="R576" s="195"/>
      <c r="S576" s="232"/>
      <c r="T576" s="232"/>
      <c r="U576" s="232"/>
      <c r="V576" s="226"/>
      <c r="W576" s="229"/>
      <c r="X576" s="200"/>
      <c r="Y576" s="133"/>
      <c r="Z576" s="195"/>
      <c r="AA576" s="232"/>
      <c r="AB576" s="232"/>
      <c r="AC576" s="232"/>
      <c r="AD576" s="226"/>
      <c r="AE576" s="229"/>
      <c r="AF576" s="200"/>
    </row>
    <row r="577" spans="1:32" ht="15.75" thickBot="1" x14ac:dyDescent="0.3">
      <c r="A577" s="133"/>
      <c r="B577" s="233"/>
      <c r="C577" s="234"/>
      <c r="D577" s="234"/>
      <c r="E577" s="234"/>
      <c r="F577" s="235"/>
      <c r="G577" s="236"/>
      <c r="H577" s="256">
        <f>+SUM(G565:G577)</f>
        <v>23520</v>
      </c>
      <c r="I577" s="133"/>
      <c r="J577" s="233"/>
      <c r="K577" s="234"/>
      <c r="L577" s="234"/>
      <c r="M577" s="234"/>
      <c r="N577" s="235"/>
      <c r="O577" s="236"/>
      <c r="P577" s="256">
        <f>+SUM(O565:O577)</f>
        <v>32970</v>
      </c>
      <c r="Q577" s="133"/>
      <c r="R577" s="233"/>
      <c r="S577" s="234"/>
      <c r="T577" s="234"/>
      <c r="U577" s="234"/>
      <c r="V577" s="235"/>
      <c r="W577" s="236"/>
      <c r="X577" s="256">
        <f>+SUM(W565:W577)</f>
        <v>36521.781000000003</v>
      </c>
      <c r="Y577" s="133"/>
      <c r="Z577" s="233"/>
      <c r="AA577" s="234"/>
      <c r="AB577" s="234"/>
      <c r="AC577" s="234"/>
      <c r="AD577" s="235"/>
      <c r="AE577" s="236"/>
      <c r="AF577" s="256">
        <f>+SUM(AE565:AE577)</f>
        <v>24971.780999999999</v>
      </c>
    </row>
    <row r="578" spans="1:32" ht="15.75" thickBot="1" x14ac:dyDescent="0.3">
      <c r="A578" s="133"/>
      <c r="B578" s="238"/>
      <c r="C578" s="238"/>
      <c r="D578" s="238"/>
      <c r="E578" s="238"/>
      <c r="F578" s="239"/>
      <c r="G578" s="240"/>
      <c r="H578" s="241"/>
      <c r="I578" s="133"/>
      <c r="J578" s="238"/>
      <c r="K578" s="238"/>
      <c r="L578" s="238"/>
      <c r="M578" s="238"/>
      <c r="N578" s="239"/>
      <c r="O578" s="240"/>
      <c r="P578" s="241"/>
      <c r="Q578" s="133"/>
      <c r="R578" s="238"/>
      <c r="S578" s="238"/>
      <c r="T578" s="238"/>
      <c r="U578" s="238"/>
      <c r="V578" s="239"/>
      <c r="W578" s="240"/>
      <c r="X578" s="241"/>
      <c r="Y578" s="133"/>
      <c r="Z578" s="238"/>
      <c r="AA578" s="238"/>
      <c r="AB578" s="238"/>
      <c r="AC578" s="238"/>
      <c r="AD578" s="239"/>
      <c r="AE578" s="240"/>
      <c r="AF578" s="241"/>
    </row>
    <row r="579" spans="1:32" ht="15.75" thickBot="1" x14ac:dyDescent="0.3">
      <c r="A579" s="133"/>
      <c r="B579" s="224" t="s">
        <v>5410</v>
      </c>
      <c r="C579" s="193" t="s">
        <v>867</v>
      </c>
      <c r="D579" s="193" t="s">
        <v>6</v>
      </c>
      <c r="E579" s="193" t="s">
        <v>870</v>
      </c>
      <c r="F579" s="193" t="s">
        <v>5411</v>
      </c>
      <c r="G579" s="225" t="s">
        <v>868</v>
      </c>
      <c r="H579" s="200"/>
      <c r="I579" s="133"/>
      <c r="J579" s="224" t="s">
        <v>5410</v>
      </c>
      <c r="K579" s="193" t="s">
        <v>867</v>
      </c>
      <c r="L579" s="193" t="s">
        <v>6</v>
      </c>
      <c r="M579" s="193" t="s">
        <v>870</v>
      </c>
      <c r="N579" s="193" t="s">
        <v>5411</v>
      </c>
      <c r="O579" s="225" t="s">
        <v>868</v>
      </c>
      <c r="P579" s="200"/>
      <c r="Q579" s="133"/>
      <c r="R579" s="224" t="s">
        <v>5410</v>
      </c>
      <c r="S579" s="193" t="s">
        <v>867</v>
      </c>
      <c r="T579" s="193" t="s">
        <v>6</v>
      </c>
      <c r="U579" s="193" t="s">
        <v>870</v>
      </c>
      <c r="V579" s="193" t="s">
        <v>5411</v>
      </c>
      <c r="W579" s="225" t="s">
        <v>868</v>
      </c>
      <c r="X579" s="200"/>
      <c r="Y579" s="133"/>
      <c r="Z579" s="224" t="s">
        <v>5410</v>
      </c>
      <c r="AA579" s="193" t="s">
        <v>867</v>
      </c>
      <c r="AB579" s="193" t="s">
        <v>6</v>
      </c>
      <c r="AC579" s="193" t="s">
        <v>870</v>
      </c>
      <c r="AD579" s="193" t="s">
        <v>5411</v>
      </c>
      <c r="AE579" s="225" t="s">
        <v>868</v>
      </c>
      <c r="AF579" s="200"/>
    </row>
    <row r="580" spans="1:32" x14ac:dyDescent="0.25">
      <c r="A580" s="133"/>
      <c r="B580" s="275"/>
      <c r="C580" s="276"/>
      <c r="D580" s="276"/>
      <c r="E580" s="277"/>
      <c r="F580" s="276"/>
      <c r="G580" s="203"/>
      <c r="H580" s="246"/>
      <c r="I580" s="133"/>
      <c r="J580" s="275"/>
      <c r="K580" s="276"/>
      <c r="L580" s="276"/>
      <c r="M580" s="277"/>
      <c r="N580" s="276"/>
      <c r="O580" s="203"/>
      <c r="P580" s="246"/>
      <c r="Q580" s="133"/>
      <c r="R580" s="275"/>
      <c r="S580" s="276"/>
      <c r="T580" s="276"/>
      <c r="U580" s="277"/>
      <c r="V580" s="276"/>
      <c r="W580" s="203"/>
      <c r="X580" s="246"/>
      <c r="Y580" s="133"/>
      <c r="Z580" s="275"/>
      <c r="AA580" s="276"/>
      <c r="AB580" s="276"/>
      <c r="AC580" s="277"/>
      <c r="AD580" s="276"/>
      <c r="AE580" s="203"/>
      <c r="AF580" s="246"/>
    </row>
    <row r="581" spans="1:32" x14ac:dyDescent="0.25">
      <c r="A581" s="133"/>
      <c r="B581" s="278"/>
      <c r="C581" s="279"/>
      <c r="D581" s="279"/>
      <c r="E581" s="280"/>
      <c r="F581" s="279"/>
      <c r="G581" s="178"/>
      <c r="H581" s="200"/>
      <c r="I581" s="133"/>
      <c r="J581" s="278"/>
      <c r="K581" s="279"/>
      <c r="L581" s="279"/>
      <c r="M581" s="280"/>
      <c r="N581" s="279"/>
      <c r="O581" s="178"/>
      <c r="P581" s="200"/>
      <c r="Q581" s="133"/>
      <c r="R581" s="278"/>
      <c r="S581" s="279"/>
      <c r="T581" s="279"/>
      <c r="U581" s="280"/>
      <c r="V581" s="279"/>
      <c r="W581" s="178"/>
      <c r="X581" s="200"/>
      <c r="Y581" s="133"/>
      <c r="Z581" s="278"/>
      <c r="AA581" s="279"/>
      <c r="AB581" s="279"/>
      <c r="AC581" s="280"/>
      <c r="AD581" s="279"/>
      <c r="AE581" s="178"/>
      <c r="AF581" s="200"/>
    </row>
    <row r="582" spans="1:32" x14ac:dyDescent="0.25">
      <c r="A582" s="133"/>
      <c r="B582" s="278"/>
      <c r="C582" s="279"/>
      <c r="D582" s="279"/>
      <c r="E582" s="281"/>
      <c r="F582" s="279"/>
      <c r="G582" s="229"/>
      <c r="H582" s="200"/>
      <c r="I582" s="133"/>
      <c r="J582" s="278"/>
      <c r="K582" s="279"/>
      <c r="L582" s="279"/>
      <c r="M582" s="281"/>
      <c r="N582" s="279"/>
      <c r="O582" s="229"/>
      <c r="P582" s="200"/>
      <c r="Q582" s="133"/>
      <c r="R582" s="278"/>
      <c r="S582" s="279"/>
      <c r="T582" s="279"/>
      <c r="U582" s="281"/>
      <c r="V582" s="279"/>
      <c r="W582" s="229"/>
      <c r="X582" s="200"/>
      <c r="Y582" s="133"/>
      <c r="Z582" s="278"/>
      <c r="AA582" s="279"/>
      <c r="AB582" s="279"/>
      <c r="AC582" s="281"/>
      <c r="AD582" s="279"/>
      <c r="AE582" s="229"/>
      <c r="AF582" s="200"/>
    </row>
    <row r="583" spans="1:32" x14ac:dyDescent="0.25">
      <c r="A583" s="133"/>
      <c r="B583" s="194"/>
      <c r="C583" s="248"/>
      <c r="D583" s="248"/>
      <c r="E583" s="248"/>
      <c r="F583" s="202"/>
      <c r="G583" s="229"/>
      <c r="H583" s="200"/>
      <c r="I583" s="133"/>
      <c r="J583" s="194"/>
      <c r="K583" s="248"/>
      <c r="L583" s="248"/>
      <c r="M583" s="248"/>
      <c r="N583" s="202"/>
      <c r="O583" s="229"/>
      <c r="P583" s="200"/>
      <c r="Q583" s="133"/>
      <c r="R583" s="194"/>
      <c r="S583" s="248"/>
      <c r="T583" s="248"/>
      <c r="U583" s="248"/>
      <c r="V583" s="202"/>
      <c r="W583" s="229"/>
      <c r="X583" s="200"/>
      <c r="Y583" s="133"/>
      <c r="Z583" s="194"/>
      <c r="AA583" s="248"/>
      <c r="AB583" s="248"/>
      <c r="AC583" s="248"/>
      <c r="AD583" s="202"/>
      <c r="AE583" s="229"/>
      <c r="AF583" s="200"/>
    </row>
    <row r="584" spans="1:32" ht="15.75" thickBot="1" x14ac:dyDescent="0.3">
      <c r="A584" s="133"/>
      <c r="B584" s="195"/>
      <c r="C584" s="232"/>
      <c r="D584" s="232"/>
      <c r="E584" s="232"/>
      <c r="F584" s="226"/>
      <c r="G584" s="229"/>
      <c r="H584" s="200"/>
      <c r="I584" s="133"/>
      <c r="J584" s="195"/>
      <c r="K584" s="232"/>
      <c r="L584" s="232"/>
      <c r="M584" s="232"/>
      <c r="N584" s="226"/>
      <c r="O584" s="229"/>
      <c r="P584" s="200"/>
      <c r="Q584" s="133"/>
      <c r="R584" s="195"/>
      <c r="S584" s="232"/>
      <c r="T584" s="232"/>
      <c r="U584" s="232"/>
      <c r="V584" s="226"/>
      <c r="W584" s="229"/>
      <c r="X584" s="200"/>
      <c r="Y584" s="133"/>
      <c r="Z584" s="195"/>
      <c r="AA584" s="232"/>
      <c r="AB584" s="232"/>
      <c r="AC584" s="232"/>
      <c r="AD584" s="226"/>
      <c r="AE584" s="229"/>
      <c r="AF584" s="200"/>
    </row>
    <row r="585" spans="1:32" ht="15.75" thickBot="1" x14ac:dyDescent="0.3">
      <c r="A585" s="133"/>
      <c r="B585" s="233"/>
      <c r="C585" s="234"/>
      <c r="D585" s="234"/>
      <c r="E585" s="234"/>
      <c r="F585" s="235"/>
      <c r="G585" s="236"/>
      <c r="H585" s="237">
        <f>+SUM(G580:G585)</f>
        <v>0</v>
      </c>
      <c r="I585" s="133"/>
      <c r="J585" s="233"/>
      <c r="K585" s="234"/>
      <c r="L585" s="234"/>
      <c r="M585" s="234"/>
      <c r="N585" s="235"/>
      <c r="O585" s="236"/>
      <c r="P585" s="237">
        <f>+SUM(O580:O585)</f>
        <v>0</v>
      </c>
      <c r="Q585" s="133"/>
      <c r="R585" s="233"/>
      <c r="S585" s="234"/>
      <c r="T585" s="234"/>
      <c r="U585" s="234"/>
      <c r="V585" s="235"/>
      <c r="W585" s="236"/>
      <c r="X585" s="237">
        <f>+SUM(W580:W585)</f>
        <v>0</v>
      </c>
      <c r="Y585" s="133"/>
      <c r="Z585" s="233"/>
      <c r="AA585" s="234"/>
      <c r="AB585" s="234"/>
      <c r="AC585" s="234"/>
      <c r="AD585" s="235"/>
      <c r="AE585" s="236"/>
      <c r="AF585" s="237">
        <f>+SUM(AE580:AE585)</f>
        <v>0</v>
      </c>
    </row>
    <row r="586" spans="1:32" ht="15.75" thickBot="1" x14ac:dyDescent="0.3">
      <c r="A586" s="133"/>
      <c r="B586" s="238"/>
      <c r="C586" s="238"/>
      <c r="D586" s="238"/>
      <c r="E586" s="238"/>
      <c r="F586" s="249"/>
      <c r="G586" s="250"/>
      <c r="H586" s="241"/>
      <c r="I586" s="133"/>
      <c r="J586" s="238"/>
      <c r="K586" s="238"/>
      <c r="L586" s="238"/>
      <c r="M586" s="238"/>
      <c r="N586" s="249"/>
      <c r="O586" s="250"/>
      <c r="P586" s="241"/>
      <c r="Q586" s="133"/>
      <c r="R586" s="238"/>
      <c r="S586" s="238"/>
      <c r="T586" s="238"/>
      <c r="U586" s="238"/>
      <c r="V586" s="249"/>
      <c r="W586" s="250"/>
      <c r="X586" s="241"/>
      <c r="Y586" s="133"/>
      <c r="Z586" s="238"/>
      <c r="AA586" s="238"/>
      <c r="AB586" s="238"/>
      <c r="AC586" s="238"/>
      <c r="AD586" s="249"/>
      <c r="AE586" s="250"/>
      <c r="AF586" s="241"/>
    </row>
    <row r="587" spans="1:32" ht="15.75" thickBot="1" x14ac:dyDescent="0.3">
      <c r="A587" s="133"/>
      <c r="B587" s="224" t="s">
        <v>5412</v>
      </c>
      <c r="C587" s="193" t="s">
        <v>5420</v>
      </c>
      <c r="D587" s="193" t="s">
        <v>5421</v>
      </c>
      <c r="E587" s="193" t="s">
        <v>5413</v>
      </c>
      <c r="F587" s="193" t="s">
        <v>5405</v>
      </c>
      <c r="G587" s="225" t="s">
        <v>868</v>
      </c>
      <c r="H587" s="200"/>
      <c r="I587" s="133"/>
      <c r="J587" s="224" t="s">
        <v>5412</v>
      </c>
      <c r="K587" s="193" t="s">
        <v>5420</v>
      </c>
      <c r="L587" s="193" t="s">
        <v>5421</v>
      </c>
      <c r="M587" s="193" t="s">
        <v>5413</v>
      </c>
      <c r="N587" s="193" t="s">
        <v>5405</v>
      </c>
      <c r="O587" s="225" t="s">
        <v>868</v>
      </c>
      <c r="P587" s="200"/>
      <c r="Q587" s="133"/>
      <c r="R587" s="224" t="s">
        <v>5412</v>
      </c>
      <c r="S587" s="193" t="s">
        <v>5420</v>
      </c>
      <c r="T587" s="193" t="s">
        <v>5421</v>
      </c>
      <c r="U587" s="193" t="s">
        <v>5413</v>
      </c>
      <c r="V587" s="193" t="s">
        <v>5405</v>
      </c>
      <c r="W587" s="225" t="s">
        <v>868</v>
      </c>
      <c r="X587" s="200"/>
      <c r="Y587" s="133"/>
      <c r="Z587" s="224" t="s">
        <v>5412</v>
      </c>
      <c r="AA587" s="193" t="s">
        <v>5420</v>
      </c>
      <c r="AB587" s="193" t="s">
        <v>5421</v>
      </c>
      <c r="AC587" s="193" t="s">
        <v>5413</v>
      </c>
      <c r="AD587" s="193" t="s">
        <v>5405</v>
      </c>
      <c r="AE587" s="225" t="s">
        <v>868</v>
      </c>
      <c r="AF587" s="200"/>
    </row>
    <row r="588" spans="1:32" x14ac:dyDescent="0.25">
      <c r="A588" s="133"/>
      <c r="B588" s="194" t="s">
        <v>5948</v>
      </c>
      <c r="C588" s="345">
        <v>70000</v>
      </c>
      <c r="D588" s="176">
        <f>+C588*0.85</f>
        <v>59500</v>
      </c>
      <c r="E588" s="176">
        <f>+C588+D588</f>
        <v>129500</v>
      </c>
      <c r="F588" s="204">
        <v>150</v>
      </c>
      <c r="G588" s="178">
        <f>+E588/F588</f>
        <v>863.33333333333337</v>
      </c>
      <c r="H588" s="200"/>
      <c r="I588" s="133"/>
      <c r="J588" s="194" t="s">
        <v>5948</v>
      </c>
      <c r="K588" s="345">
        <v>70000</v>
      </c>
      <c r="L588" s="176">
        <f>+K588*0.85</f>
        <v>59500</v>
      </c>
      <c r="M588" s="176">
        <f>+K588+L588</f>
        <v>129500</v>
      </c>
      <c r="N588" s="204">
        <v>150</v>
      </c>
      <c r="O588" s="178">
        <f>+M588/N588</f>
        <v>863.33333333333337</v>
      </c>
      <c r="P588" s="200"/>
      <c r="Q588" s="133"/>
      <c r="R588" s="194" t="s">
        <v>5948</v>
      </c>
      <c r="S588" s="345">
        <v>70000</v>
      </c>
      <c r="T588" s="176">
        <f>+S588*0.85</f>
        <v>59500</v>
      </c>
      <c r="U588" s="176">
        <f>+S588+T588</f>
        <v>129500</v>
      </c>
      <c r="V588" s="204">
        <v>150</v>
      </c>
      <c r="W588" s="178">
        <f>+U588/V588</f>
        <v>863.33333333333337</v>
      </c>
      <c r="X588" s="200"/>
      <c r="Y588" s="133"/>
      <c r="Z588" s="194" t="s">
        <v>5948</v>
      </c>
      <c r="AA588" s="345">
        <v>70000</v>
      </c>
      <c r="AB588" s="176">
        <f>+AA588*0.85</f>
        <v>59500</v>
      </c>
      <c r="AC588" s="176">
        <f>+AA588+AB588</f>
        <v>129500</v>
      </c>
      <c r="AD588" s="204">
        <v>150</v>
      </c>
      <c r="AE588" s="178">
        <f>+AC588/AD588</f>
        <v>863.33333333333337</v>
      </c>
      <c r="AF588" s="200"/>
    </row>
    <row r="589" spans="1:32" x14ac:dyDescent="0.25">
      <c r="A589" s="133"/>
      <c r="B589" s="194" t="s">
        <v>5651</v>
      </c>
      <c r="C589" s="345">
        <v>40000</v>
      </c>
      <c r="D589" s="176">
        <f>+C589*0.85</f>
        <v>34000</v>
      </c>
      <c r="E589" s="176">
        <f>+C589+D589</f>
        <v>74000</v>
      </c>
      <c r="F589" s="202">
        <v>7.5</v>
      </c>
      <c r="G589" s="178">
        <f>+E589/F589</f>
        <v>9866.6666666666661</v>
      </c>
      <c r="H589" s="200"/>
      <c r="I589" s="133"/>
      <c r="J589" s="194" t="s">
        <v>5651</v>
      </c>
      <c r="K589" s="345">
        <v>40000</v>
      </c>
      <c r="L589" s="176">
        <f>+K589*0.85</f>
        <v>34000</v>
      </c>
      <c r="M589" s="176">
        <f>+K589+L589</f>
        <v>74000</v>
      </c>
      <c r="N589" s="202">
        <v>7.5</v>
      </c>
      <c r="O589" s="178">
        <f>+M589/N589</f>
        <v>9866.6666666666661</v>
      </c>
      <c r="P589" s="200"/>
      <c r="Q589" s="133"/>
      <c r="R589" s="194" t="s">
        <v>5651</v>
      </c>
      <c r="S589" s="345">
        <v>40000</v>
      </c>
      <c r="T589" s="176">
        <f>+S589*0.85</f>
        <v>34000</v>
      </c>
      <c r="U589" s="176">
        <f>+S589+T589</f>
        <v>74000</v>
      </c>
      <c r="V589" s="202">
        <v>7.5</v>
      </c>
      <c r="W589" s="178">
        <f>+U589/V589</f>
        <v>9866.6666666666661</v>
      </c>
      <c r="X589" s="200"/>
      <c r="Y589" s="133"/>
      <c r="Z589" s="194" t="s">
        <v>5651</v>
      </c>
      <c r="AA589" s="345">
        <v>40000</v>
      </c>
      <c r="AB589" s="176">
        <f>+AA589*0.85</f>
        <v>34000</v>
      </c>
      <c r="AC589" s="176">
        <f>+AA589+AB589</f>
        <v>74000</v>
      </c>
      <c r="AD589" s="202">
        <v>7.5</v>
      </c>
      <c r="AE589" s="178">
        <f>+AC589/AD589</f>
        <v>9866.6666666666661</v>
      </c>
      <c r="AF589" s="200"/>
    </row>
    <row r="590" spans="1:32" x14ac:dyDescent="0.25">
      <c r="A590" s="133"/>
      <c r="B590" s="195" t="s">
        <v>5635</v>
      </c>
      <c r="C590" s="345">
        <v>20600</v>
      </c>
      <c r="D590" s="176">
        <f>+C590*0.85</f>
        <v>17510</v>
      </c>
      <c r="E590" s="176">
        <f>+C590+D590</f>
        <v>38110</v>
      </c>
      <c r="F590" s="226">
        <v>7.5</v>
      </c>
      <c r="G590" s="178">
        <f>+E590/F590</f>
        <v>5081.333333333333</v>
      </c>
      <c r="H590" s="200"/>
      <c r="I590" s="133"/>
      <c r="J590" s="195" t="s">
        <v>5635</v>
      </c>
      <c r="K590" s="345">
        <v>20600</v>
      </c>
      <c r="L590" s="176">
        <f>+K590*0.85</f>
        <v>17510</v>
      </c>
      <c r="M590" s="176">
        <f>+K590+L590</f>
        <v>38110</v>
      </c>
      <c r="N590" s="226">
        <v>7.5</v>
      </c>
      <c r="O590" s="178">
        <f>+M590/N590</f>
        <v>5081.333333333333</v>
      </c>
      <c r="P590" s="200"/>
      <c r="Q590" s="133"/>
      <c r="R590" s="195" t="s">
        <v>5635</v>
      </c>
      <c r="S590" s="345">
        <v>20600</v>
      </c>
      <c r="T590" s="176">
        <f>+S590*0.85</f>
        <v>17510</v>
      </c>
      <c r="U590" s="176">
        <f>+S590+T590</f>
        <v>38110</v>
      </c>
      <c r="V590" s="226">
        <v>7.5</v>
      </c>
      <c r="W590" s="178">
        <f>+U590/V590</f>
        <v>5081.333333333333</v>
      </c>
      <c r="X590" s="200"/>
      <c r="Y590" s="133"/>
      <c r="Z590" s="195" t="s">
        <v>5635</v>
      </c>
      <c r="AA590" s="345">
        <v>20600</v>
      </c>
      <c r="AB590" s="176">
        <f>+AA590*0.85</f>
        <v>17510</v>
      </c>
      <c r="AC590" s="176">
        <f>+AA590+AB590</f>
        <v>38110</v>
      </c>
      <c r="AD590" s="226">
        <v>7.5</v>
      </c>
      <c r="AE590" s="178">
        <f>+AC590/AD590</f>
        <v>5081.333333333333</v>
      </c>
      <c r="AF590" s="200"/>
    </row>
    <row r="591" spans="1:32" x14ac:dyDescent="0.25">
      <c r="A591" s="133"/>
      <c r="B591" s="195"/>
      <c r="C591" s="171"/>
      <c r="D591" s="176"/>
      <c r="E591" s="176"/>
      <c r="F591" s="226"/>
      <c r="G591" s="178"/>
      <c r="H591" s="200"/>
      <c r="I591" s="133"/>
      <c r="J591" s="195"/>
      <c r="K591" s="171"/>
      <c r="L591" s="176"/>
      <c r="M591" s="176"/>
      <c r="N591" s="226"/>
      <c r="O591" s="178"/>
      <c r="P591" s="200"/>
      <c r="Q591" s="133"/>
      <c r="R591" s="195"/>
      <c r="S591" s="171"/>
      <c r="T591" s="176"/>
      <c r="U591" s="176"/>
      <c r="V591" s="226"/>
      <c r="W591" s="178"/>
      <c r="X591" s="200"/>
      <c r="Y591" s="133"/>
      <c r="Z591" s="195"/>
      <c r="AA591" s="171"/>
      <c r="AB591" s="176"/>
      <c r="AC591" s="176"/>
      <c r="AD591" s="226"/>
      <c r="AE591" s="178"/>
      <c r="AF591" s="200"/>
    </row>
    <row r="592" spans="1:32" x14ac:dyDescent="0.25">
      <c r="A592" s="133"/>
      <c r="B592" s="195"/>
      <c r="C592" s="232"/>
      <c r="D592" s="232"/>
      <c r="E592" s="232"/>
      <c r="F592" s="226"/>
      <c r="G592" s="229"/>
      <c r="H592" s="200"/>
      <c r="I592" s="133"/>
      <c r="J592" s="195"/>
      <c r="K592" s="232"/>
      <c r="L592" s="232"/>
      <c r="M592" s="232"/>
      <c r="N592" s="226"/>
      <c r="O592" s="229"/>
      <c r="P592" s="200"/>
      <c r="Q592" s="133"/>
      <c r="R592" s="195"/>
      <c r="S592" s="232"/>
      <c r="T592" s="232"/>
      <c r="U592" s="232"/>
      <c r="V592" s="226"/>
      <c r="W592" s="229"/>
      <c r="X592" s="200"/>
      <c r="Y592" s="133"/>
      <c r="Z592" s="195"/>
      <c r="AA592" s="232"/>
      <c r="AB592" s="232"/>
      <c r="AC592" s="232"/>
      <c r="AD592" s="226"/>
      <c r="AE592" s="229"/>
      <c r="AF592" s="200"/>
    </row>
    <row r="593" spans="1:32" ht="15.75" thickBot="1" x14ac:dyDescent="0.3">
      <c r="A593" s="133"/>
      <c r="B593" s="195"/>
      <c r="C593" s="232"/>
      <c r="D593" s="232"/>
      <c r="E593" s="232"/>
      <c r="F593" s="226"/>
      <c r="G593" s="229"/>
      <c r="H593" s="200"/>
      <c r="I593" s="133"/>
      <c r="J593" s="195"/>
      <c r="K593" s="232"/>
      <c r="L593" s="232"/>
      <c r="M593" s="232"/>
      <c r="N593" s="226"/>
      <c r="O593" s="229"/>
      <c r="P593" s="200"/>
      <c r="Q593" s="133"/>
      <c r="R593" s="195"/>
      <c r="S593" s="232"/>
      <c r="T593" s="232"/>
      <c r="U593" s="232"/>
      <c r="V593" s="226"/>
      <c r="W593" s="229"/>
      <c r="X593" s="200"/>
      <c r="Y593" s="133"/>
      <c r="Z593" s="195"/>
      <c r="AA593" s="232"/>
      <c r="AB593" s="232"/>
      <c r="AC593" s="232"/>
      <c r="AD593" s="226"/>
      <c r="AE593" s="229"/>
      <c r="AF593" s="200"/>
    </row>
    <row r="594" spans="1:32" ht="15.75" thickBot="1" x14ac:dyDescent="0.3">
      <c r="A594" s="133"/>
      <c r="B594" s="251"/>
      <c r="C594" s="252"/>
      <c r="D594" s="252"/>
      <c r="E594" s="252"/>
      <c r="F594" s="253"/>
      <c r="G594" s="254"/>
      <c r="H594" s="256">
        <f>+SUM(G588:G594)</f>
        <v>15811.333333333332</v>
      </c>
      <c r="I594" s="133"/>
      <c r="J594" s="251"/>
      <c r="K594" s="252"/>
      <c r="L594" s="252"/>
      <c r="M594" s="252"/>
      <c r="N594" s="253"/>
      <c r="O594" s="254"/>
      <c r="P594" s="256">
        <f>+SUM(O588:O594)</f>
        <v>15811.333333333332</v>
      </c>
      <c r="Q594" s="133"/>
      <c r="R594" s="251"/>
      <c r="S594" s="252"/>
      <c r="T594" s="252"/>
      <c r="U594" s="252"/>
      <c r="V594" s="253"/>
      <c r="W594" s="254"/>
      <c r="X594" s="256">
        <f>+SUM(W588:W594)</f>
        <v>15811.333333333332</v>
      </c>
      <c r="Y594" s="133"/>
      <c r="Z594" s="251"/>
      <c r="AA594" s="252"/>
      <c r="AB594" s="252"/>
      <c r="AC594" s="252"/>
      <c r="AD594" s="253"/>
      <c r="AE594" s="254"/>
      <c r="AF594" s="256">
        <f>+SUM(AE588:AE594)</f>
        <v>15811.333333333332</v>
      </c>
    </row>
    <row r="595" spans="1:32" ht="15.75" thickBot="1" x14ac:dyDescent="0.3">
      <c r="A595" s="133"/>
      <c r="B595" s="8"/>
      <c r="C595" s="8"/>
      <c r="D595" s="8"/>
      <c r="E595" s="8"/>
      <c r="F595" s="133"/>
      <c r="G595" s="200"/>
      <c r="H595" s="200"/>
      <c r="I595" s="133"/>
      <c r="J595" s="8"/>
      <c r="K595" s="8"/>
      <c r="L595" s="8"/>
      <c r="M595" s="8"/>
      <c r="N595" s="133"/>
      <c r="O595" s="200"/>
      <c r="P595" s="200"/>
      <c r="Q595" s="133"/>
      <c r="R595" s="8"/>
      <c r="S595" s="8"/>
      <c r="T595" s="8"/>
      <c r="U595" s="8"/>
      <c r="V595" s="133"/>
      <c r="W595" s="200"/>
      <c r="X595" s="200"/>
      <c r="Y595" s="133"/>
      <c r="Z595" s="8"/>
      <c r="AA595" s="8"/>
      <c r="AB595" s="8"/>
      <c r="AC595" s="8"/>
      <c r="AD595" s="133"/>
      <c r="AE595" s="200"/>
      <c r="AF595" s="200"/>
    </row>
    <row r="596" spans="1:32" ht="15.75" thickBot="1" x14ac:dyDescent="0.3">
      <c r="A596" s="133"/>
      <c r="B596" s="8"/>
      <c r="C596" s="8"/>
      <c r="D596" s="8"/>
      <c r="E596" s="223" t="s">
        <v>5415</v>
      </c>
      <c r="F596" s="133"/>
      <c r="G596" s="200"/>
      <c r="H596" s="256">
        <f>ROUND(+H594+H585+H577+H562,0)</f>
        <v>40122</v>
      </c>
      <c r="I596" s="133"/>
      <c r="J596" s="8"/>
      <c r="K596" s="8"/>
      <c r="L596" s="8"/>
      <c r="M596" s="223" t="s">
        <v>5415</v>
      </c>
      <c r="N596" s="133"/>
      <c r="O596" s="200"/>
      <c r="P596" s="256">
        <f>ROUND(+P594+P585+P577+P562,0)</f>
        <v>49572</v>
      </c>
      <c r="Q596" s="133"/>
      <c r="R596" s="8"/>
      <c r="S596" s="8"/>
      <c r="T596" s="8"/>
      <c r="U596" s="223" t="s">
        <v>5415</v>
      </c>
      <c r="V596" s="133"/>
      <c r="W596" s="200"/>
      <c r="X596" s="256">
        <f>ROUND(+X594+X585+X577+X562,0)</f>
        <v>53124</v>
      </c>
      <c r="Y596" s="133"/>
      <c r="Z596" s="8"/>
      <c r="AA596" s="8"/>
      <c r="AB596" s="8"/>
      <c r="AC596" s="223" t="s">
        <v>5415</v>
      </c>
      <c r="AD596" s="133"/>
      <c r="AE596" s="200"/>
      <c r="AF596" s="256">
        <f>ROUND(+AF594+AF585+AF577+AF562,0)</f>
        <v>41574</v>
      </c>
    </row>
    <row r="601" spans="1:32" ht="18.75" x14ac:dyDescent="0.25">
      <c r="A601" s="133"/>
      <c r="B601" s="2506" t="s">
        <v>5400</v>
      </c>
      <c r="C601" s="2506"/>
      <c r="D601" s="2506"/>
      <c r="E601" s="2506"/>
      <c r="F601" s="2506"/>
      <c r="G601" s="2506"/>
      <c r="H601" s="8"/>
      <c r="I601" s="133"/>
      <c r="J601" s="2506" t="s">
        <v>5400</v>
      </c>
      <c r="K601" s="2506"/>
      <c r="L601" s="2506"/>
      <c r="M601" s="2506"/>
      <c r="N601" s="2506"/>
      <c r="O601" s="2506"/>
      <c r="P601" s="8"/>
    </row>
    <row r="602" spans="1:32" x14ac:dyDescent="0.25">
      <c r="A602" s="133"/>
      <c r="B602" s="8"/>
      <c r="C602" s="8"/>
      <c r="D602" s="8"/>
      <c r="E602" s="8"/>
      <c r="F602" s="133"/>
      <c r="G602" s="200"/>
      <c r="H602" s="200"/>
      <c r="I602" s="133"/>
      <c r="J602" s="8"/>
      <c r="K602" s="8"/>
      <c r="L602" s="8"/>
      <c r="M602" s="8"/>
      <c r="N602" s="133"/>
      <c r="O602" s="200"/>
      <c r="P602" s="200"/>
    </row>
    <row r="603" spans="1:32" x14ac:dyDescent="0.25">
      <c r="A603" s="133"/>
      <c r="B603" s="8"/>
      <c r="C603" s="8"/>
      <c r="D603" s="8"/>
      <c r="E603" s="8"/>
      <c r="F603" s="133"/>
      <c r="G603" s="200"/>
      <c r="H603" s="200"/>
      <c r="I603" s="133"/>
      <c r="J603" s="8"/>
      <c r="K603" s="8"/>
      <c r="L603" s="8"/>
      <c r="M603" s="8"/>
      <c r="N603" s="133"/>
      <c r="O603" s="200"/>
      <c r="P603" s="200"/>
    </row>
    <row r="604" spans="1:32" x14ac:dyDescent="0.25">
      <c r="A604" s="133"/>
      <c r="B604" s="8"/>
      <c r="C604" s="8"/>
      <c r="D604" s="8"/>
      <c r="E604" s="8"/>
      <c r="F604" s="133"/>
      <c r="G604" s="200"/>
      <c r="H604" s="200"/>
      <c r="I604" s="133"/>
      <c r="J604" s="8"/>
      <c r="K604" s="8"/>
      <c r="L604" s="8"/>
      <c r="M604" s="8"/>
      <c r="N604" s="133"/>
      <c r="O604" s="200"/>
      <c r="P604" s="200"/>
    </row>
    <row r="605" spans="1:32" x14ac:dyDescent="0.25">
      <c r="A605" s="220" t="s">
        <v>5482</v>
      </c>
      <c r="B605" s="138" t="s">
        <v>746</v>
      </c>
      <c r="C605" s="2449" t="s">
        <v>6242</v>
      </c>
      <c r="D605" s="2449"/>
      <c r="E605" s="2449"/>
      <c r="F605" s="220" t="s">
        <v>867</v>
      </c>
      <c r="G605" s="222" t="s">
        <v>5402</v>
      </c>
      <c r="H605" s="200"/>
      <c r="I605" s="220" t="s">
        <v>5482</v>
      </c>
      <c r="J605" s="138" t="s">
        <v>746</v>
      </c>
      <c r="K605" s="2449" t="s">
        <v>6242</v>
      </c>
      <c r="L605" s="2449"/>
      <c r="M605" s="2449"/>
      <c r="N605" s="220" t="s">
        <v>867</v>
      </c>
      <c r="O605" s="222" t="s">
        <v>5402</v>
      </c>
      <c r="P605" s="200"/>
    </row>
    <row r="606" spans="1:32" x14ac:dyDescent="0.25">
      <c r="A606" s="133"/>
      <c r="B606" s="8"/>
      <c r="C606" s="223"/>
      <c r="D606" s="223"/>
      <c r="E606" s="223"/>
      <c r="F606" s="133"/>
      <c r="G606" s="200"/>
      <c r="H606" s="200"/>
      <c r="I606" s="133"/>
      <c r="J606" s="8"/>
      <c r="K606" s="223"/>
      <c r="L606" s="223"/>
      <c r="M606" s="223"/>
      <c r="N606" s="133"/>
      <c r="O606" s="200"/>
      <c r="P606" s="200"/>
    </row>
    <row r="607" spans="1:32" x14ac:dyDescent="0.25">
      <c r="A607" s="133"/>
      <c r="B607" s="8"/>
      <c r="C607" s="8"/>
      <c r="D607" s="8"/>
      <c r="E607" s="8"/>
      <c r="F607" s="8"/>
      <c r="G607" s="8"/>
      <c r="H607" s="200"/>
      <c r="I607" s="133"/>
      <c r="J607" s="8"/>
      <c r="K607" s="8"/>
      <c r="L607" s="8"/>
      <c r="M607" s="8"/>
      <c r="N607" s="8"/>
      <c r="O607" s="8"/>
      <c r="P607" s="200"/>
    </row>
    <row r="608" spans="1:32" ht="15.75" thickBot="1" x14ac:dyDescent="0.3">
      <c r="A608" s="133"/>
      <c r="B608" s="8"/>
      <c r="C608" s="8"/>
      <c r="D608" s="8"/>
      <c r="E608" s="8"/>
      <c r="F608" s="133"/>
      <c r="G608" s="200"/>
      <c r="H608" s="200"/>
      <c r="I608" s="133"/>
      <c r="J608" s="8"/>
      <c r="K608" s="8"/>
      <c r="L608" s="8"/>
      <c r="M608" s="8"/>
      <c r="N608" s="133"/>
      <c r="O608" s="200"/>
      <c r="P608" s="200"/>
    </row>
    <row r="609" spans="1:16" ht="15.75" thickBot="1" x14ac:dyDescent="0.3">
      <c r="A609" s="133"/>
      <c r="B609" s="224" t="s">
        <v>5403</v>
      </c>
      <c r="C609" s="193" t="s">
        <v>867</v>
      </c>
      <c r="D609" s="193" t="s">
        <v>6</v>
      </c>
      <c r="E609" s="193" t="s">
        <v>5439</v>
      </c>
      <c r="F609" s="193" t="s">
        <v>5405</v>
      </c>
      <c r="G609" s="225" t="s">
        <v>868</v>
      </c>
      <c r="H609" s="200"/>
      <c r="I609" s="133"/>
      <c r="J609" s="224" t="s">
        <v>5403</v>
      </c>
      <c r="K609" s="193" t="s">
        <v>867</v>
      </c>
      <c r="L609" s="193" t="s">
        <v>6</v>
      </c>
      <c r="M609" s="193" t="s">
        <v>5439</v>
      </c>
      <c r="N609" s="193" t="s">
        <v>5405</v>
      </c>
      <c r="O609" s="225" t="s">
        <v>868</v>
      </c>
      <c r="P609" s="200"/>
    </row>
    <row r="610" spans="1:16" x14ac:dyDescent="0.25">
      <c r="A610" s="133"/>
      <c r="B610" s="195" t="s">
        <v>5440</v>
      </c>
      <c r="C610" s="226" t="s">
        <v>5402</v>
      </c>
      <c r="D610" s="226">
        <v>1</v>
      </c>
      <c r="E610" s="227">
        <f>+H648</f>
        <v>19980</v>
      </c>
      <c r="F610" s="226">
        <v>0.05</v>
      </c>
      <c r="G610" s="292">
        <f>+E610*F610</f>
        <v>999</v>
      </c>
      <c r="H610" s="200"/>
      <c r="I610" s="133"/>
      <c r="J610" s="195" t="s">
        <v>5440</v>
      </c>
      <c r="K610" s="226" t="s">
        <v>5402</v>
      </c>
      <c r="L610" s="226">
        <v>1</v>
      </c>
      <c r="M610" s="227">
        <f>+P648</f>
        <v>5002.3999999999996</v>
      </c>
      <c r="N610" s="226">
        <v>0.05</v>
      </c>
      <c r="O610" s="292">
        <f>+M610*N610</f>
        <v>250.12</v>
      </c>
      <c r="P610" s="200"/>
    </row>
    <row r="611" spans="1:16" x14ac:dyDescent="0.25">
      <c r="A611" s="133"/>
      <c r="B611" s="195"/>
      <c r="C611" s="226"/>
      <c r="D611" s="226"/>
      <c r="E611" s="230"/>
      <c r="F611" s="226"/>
      <c r="G611" s="229"/>
      <c r="H611" s="200"/>
      <c r="I611" s="133"/>
      <c r="J611" s="195"/>
      <c r="K611" s="226"/>
      <c r="L611" s="226"/>
      <c r="M611" s="230"/>
      <c r="N611" s="226"/>
      <c r="O611" s="229"/>
      <c r="P611" s="200"/>
    </row>
    <row r="612" spans="1:16" x14ac:dyDescent="0.25">
      <c r="A612" s="133"/>
      <c r="B612" s="195"/>
      <c r="C612" s="226"/>
      <c r="D612" s="226"/>
      <c r="E612" s="176"/>
      <c r="F612" s="226"/>
      <c r="G612" s="229"/>
      <c r="H612" s="200"/>
      <c r="I612" s="133"/>
      <c r="J612" s="195"/>
      <c r="K612" s="226"/>
      <c r="L612" s="226"/>
      <c r="M612" s="176"/>
      <c r="N612" s="226"/>
      <c r="O612" s="229"/>
      <c r="P612" s="200"/>
    </row>
    <row r="613" spans="1:16" x14ac:dyDescent="0.25">
      <c r="A613" s="133"/>
      <c r="B613" s="195"/>
      <c r="C613" s="226"/>
      <c r="D613" s="226"/>
      <c r="E613" s="171"/>
      <c r="F613" s="226"/>
      <c r="G613" s="293"/>
      <c r="H613" s="200"/>
      <c r="I613" s="133"/>
      <c r="J613" s="195"/>
      <c r="K613" s="226"/>
      <c r="L613" s="226"/>
      <c r="M613" s="171"/>
      <c r="N613" s="226"/>
      <c r="O613" s="293"/>
      <c r="P613" s="200"/>
    </row>
    <row r="614" spans="1:16" x14ac:dyDescent="0.25">
      <c r="A614" s="133"/>
      <c r="B614" s="195"/>
      <c r="C614" s="226"/>
      <c r="D614" s="232"/>
      <c r="E614" s="232"/>
      <c r="F614" s="226"/>
      <c r="G614" s="229"/>
      <c r="H614" s="200"/>
      <c r="I614" s="133"/>
      <c r="J614" s="195"/>
      <c r="K614" s="226"/>
      <c r="L614" s="232"/>
      <c r="M614" s="232"/>
      <c r="N614" s="226"/>
      <c r="O614" s="229"/>
      <c r="P614" s="200"/>
    </row>
    <row r="615" spans="1:16" ht="15.75" thickBot="1" x14ac:dyDescent="0.3">
      <c r="A615" s="133"/>
      <c r="B615" s="195"/>
      <c r="C615" s="226"/>
      <c r="D615" s="232"/>
      <c r="E615" s="232"/>
      <c r="F615" s="226"/>
      <c r="G615" s="229"/>
      <c r="H615" s="200"/>
      <c r="I615" s="133"/>
      <c r="J615" s="195"/>
      <c r="K615" s="226"/>
      <c r="L615" s="232"/>
      <c r="M615" s="232"/>
      <c r="N615" s="226"/>
      <c r="O615" s="229"/>
      <c r="P615" s="200"/>
    </row>
    <row r="616" spans="1:16" ht="15.75" thickBot="1" x14ac:dyDescent="0.3">
      <c r="A616" s="133"/>
      <c r="B616" s="233"/>
      <c r="C616" s="234"/>
      <c r="D616" s="234"/>
      <c r="E616" s="234"/>
      <c r="F616" s="235"/>
      <c r="G616" s="236"/>
      <c r="H616" s="237">
        <f>+SUM(G610:G616)</f>
        <v>999</v>
      </c>
      <c r="I616" s="133"/>
      <c r="J616" s="233"/>
      <c r="K616" s="234"/>
      <c r="L616" s="234"/>
      <c r="M616" s="234"/>
      <c r="N616" s="235"/>
      <c r="O616" s="236"/>
      <c r="P616" s="237">
        <f>+SUM(O610:O616)</f>
        <v>250.12</v>
      </c>
    </row>
    <row r="617" spans="1:16" ht="15.75" thickBot="1" x14ac:dyDescent="0.3">
      <c r="A617" s="133"/>
      <c r="B617" s="238"/>
      <c r="C617" s="238"/>
      <c r="D617" s="238"/>
      <c r="E617" s="238"/>
      <c r="F617" s="239"/>
      <c r="G617" s="240"/>
      <c r="H617" s="241"/>
      <c r="I617" s="133"/>
      <c r="J617" s="238"/>
      <c r="K617" s="238"/>
      <c r="L617" s="238"/>
      <c r="M617" s="238"/>
      <c r="N617" s="239"/>
      <c r="O617" s="240"/>
      <c r="P617" s="241"/>
    </row>
    <row r="618" spans="1:16" ht="15.75" thickBot="1" x14ac:dyDescent="0.3">
      <c r="A618" s="133"/>
      <c r="B618" s="224" t="s">
        <v>5408</v>
      </c>
      <c r="C618" s="193" t="s">
        <v>867</v>
      </c>
      <c r="D618" s="193" t="s">
        <v>6</v>
      </c>
      <c r="E618" s="193" t="s">
        <v>870</v>
      </c>
      <c r="F618" s="193" t="s">
        <v>5409</v>
      </c>
      <c r="G618" s="225" t="s">
        <v>868</v>
      </c>
      <c r="H618" s="200"/>
      <c r="I618" s="133"/>
      <c r="J618" s="224" t="s">
        <v>5408</v>
      </c>
      <c r="K618" s="193" t="s">
        <v>867</v>
      </c>
      <c r="L618" s="193" t="s">
        <v>6</v>
      </c>
      <c r="M618" s="193" t="s">
        <v>870</v>
      </c>
      <c r="N618" s="193" t="s">
        <v>5409</v>
      </c>
      <c r="O618" s="225" t="s">
        <v>868</v>
      </c>
      <c r="P618" s="200"/>
    </row>
    <row r="619" spans="1:16" x14ac:dyDescent="0.25">
      <c r="A619" s="133"/>
      <c r="B619" s="245" t="s">
        <v>6243</v>
      </c>
      <c r="C619" s="202" t="s">
        <v>5556</v>
      </c>
      <c r="D619" s="226">
        <v>1</v>
      </c>
      <c r="E619" s="244">
        <v>16000</v>
      </c>
      <c r="F619" s="169">
        <v>0.05</v>
      </c>
      <c r="G619" s="294">
        <f>+D619*E619*(1+F619)</f>
        <v>16800</v>
      </c>
      <c r="H619" s="200"/>
      <c r="I619" s="133"/>
      <c r="J619" s="245" t="s">
        <v>6245</v>
      </c>
      <c r="K619" s="202" t="s">
        <v>5475</v>
      </c>
      <c r="L619" s="226">
        <f>1/25</f>
        <v>0.04</v>
      </c>
      <c r="M619" s="244">
        <v>56000</v>
      </c>
      <c r="N619" s="169">
        <v>0.05</v>
      </c>
      <c r="O619" s="294">
        <f>+L619*M619*(1+N619)</f>
        <v>2352</v>
      </c>
      <c r="P619" s="200"/>
    </row>
    <row r="620" spans="1:16" x14ac:dyDescent="0.25">
      <c r="A620" s="133"/>
      <c r="B620" s="247" t="s">
        <v>6244</v>
      </c>
      <c r="C620" s="202" t="s">
        <v>5431</v>
      </c>
      <c r="D620" s="202">
        <v>2</v>
      </c>
      <c r="E620" s="257">
        <v>800</v>
      </c>
      <c r="F620" s="169">
        <v>0.1</v>
      </c>
      <c r="G620" s="294">
        <f>+D620*E620*(1+F620)</f>
        <v>1760.0000000000002</v>
      </c>
      <c r="H620" s="200"/>
      <c r="I620" s="133"/>
      <c r="J620" s="247" t="s">
        <v>6246</v>
      </c>
      <c r="K620" s="202" t="s">
        <v>5556</v>
      </c>
      <c r="L620" s="202">
        <v>1</v>
      </c>
      <c r="M620" s="257">
        <v>150</v>
      </c>
      <c r="N620" s="169">
        <v>0.1</v>
      </c>
      <c r="O620" s="294">
        <f>+L620*M620*(1+N620)</f>
        <v>165</v>
      </c>
      <c r="P620" s="200"/>
    </row>
    <row r="621" spans="1:16" x14ac:dyDescent="0.25">
      <c r="A621" s="133"/>
      <c r="B621" s="247"/>
      <c r="C621" s="202"/>
      <c r="D621" s="226"/>
      <c r="E621" s="244"/>
      <c r="F621" s="169"/>
      <c r="G621" s="294"/>
      <c r="H621" s="200"/>
      <c r="I621" s="133"/>
      <c r="J621" s="247"/>
      <c r="K621" s="202"/>
      <c r="L621" s="226"/>
      <c r="M621" s="244"/>
      <c r="N621" s="169"/>
      <c r="O621" s="294"/>
      <c r="P621" s="200"/>
    </row>
    <row r="622" spans="1:16" x14ac:dyDescent="0.25">
      <c r="A622" s="133"/>
      <c r="B622" s="194"/>
      <c r="C622" s="226"/>
      <c r="D622" s="226"/>
      <c r="E622" s="171"/>
      <c r="F622" s="169"/>
      <c r="G622" s="294"/>
      <c r="H622" s="200"/>
      <c r="I622" s="133"/>
      <c r="J622" s="194"/>
      <c r="K622" s="226"/>
      <c r="L622" s="226"/>
      <c r="M622" s="171"/>
      <c r="N622" s="169"/>
      <c r="O622" s="294"/>
      <c r="P622" s="200"/>
    </row>
    <row r="623" spans="1:16" x14ac:dyDescent="0.25">
      <c r="A623" s="133"/>
      <c r="B623" s="195"/>
      <c r="C623" s="226"/>
      <c r="D623" s="226"/>
      <c r="E623" s="171"/>
      <c r="F623" s="169"/>
      <c r="G623" s="178"/>
      <c r="H623" s="200"/>
      <c r="I623" s="133"/>
      <c r="J623" s="195"/>
      <c r="K623" s="226"/>
      <c r="L623" s="226"/>
      <c r="M623" s="171"/>
      <c r="N623" s="169"/>
      <c r="O623" s="178"/>
      <c r="P623" s="200"/>
    </row>
    <row r="624" spans="1:16" x14ac:dyDescent="0.25">
      <c r="A624" s="133"/>
      <c r="B624" s="194"/>
      <c r="C624" s="202"/>
      <c r="D624" s="202"/>
      <c r="E624" s="171"/>
      <c r="F624" s="169"/>
      <c r="G624" s="178"/>
      <c r="H624" s="200"/>
      <c r="I624" s="133"/>
      <c r="J624" s="194"/>
      <c r="K624" s="202"/>
      <c r="L624" s="202"/>
      <c r="M624" s="171"/>
      <c r="N624" s="169"/>
      <c r="O624" s="178"/>
      <c r="P624" s="200"/>
    </row>
    <row r="625" spans="1:16" x14ac:dyDescent="0.25">
      <c r="A625" s="133"/>
      <c r="B625" s="195"/>
      <c r="C625" s="226"/>
      <c r="D625" s="226"/>
      <c r="E625" s="171"/>
      <c r="F625" s="169"/>
      <c r="G625" s="178"/>
      <c r="H625" s="200"/>
      <c r="I625" s="133"/>
      <c r="J625" s="195"/>
      <c r="K625" s="226"/>
      <c r="L625" s="226"/>
      <c r="M625" s="171"/>
      <c r="N625" s="169"/>
      <c r="O625" s="178"/>
      <c r="P625" s="200"/>
    </row>
    <row r="626" spans="1:16" x14ac:dyDescent="0.25">
      <c r="A626" s="133"/>
      <c r="B626" s="195"/>
      <c r="C626" s="226"/>
      <c r="D626" s="226"/>
      <c r="E626" s="171"/>
      <c r="F626" s="169"/>
      <c r="G626" s="178"/>
      <c r="H626" s="200"/>
      <c r="I626" s="133"/>
      <c r="J626" s="195"/>
      <c r="K626" s="226"/>
      <c r="L626" s="226"/>
      <c r="M626" s="171"/>
      <c r="N626" s="169"/>
      <c r="O626" s="178"/>
      <c r="P626" s="200"/>
    </row>
    <row r="627" spans="1:16" x14ac:dyDescent="0.25">
      <c r="A627" s="133"/>
      <c r="B627" s="195"/>
      <c r="C627" s="232"/>
      <c r="D627" s="232"/>
      <c r="E627" s="232"/>
      <c r="F627" s="226"/>
      <c r="G627" s="229"/>
      <c r="H627" s="200"/>
      <c r="I627" s="133"/>
      <c r="J627" s="195"/>
      <c r="K627" s="232"/>
      <c r="L627" s="232"/>
      <c r="M627" s="232"/>
      <c r="N627" s="226"/>
      <c r="O627" s="229"/>
      <c r="P627" s="200"/>
    </row>
    <row r="628" spans="1:16" x14ac:dyDescent="0.25">
      <c r="A628" s="133"/>
      <c r="B628" s="195"/>
      <c r="C628" s="232"/>
      <c r="D628" s="232"/>
      <c r="E628" s="232"/>
      <c r="F628" s="226"/>
      <c r="G628" s="229"/>
      <c r="H628" s="200"/>
      <c r="I628" s="133"/>
      <c r="J628" s="195"/>
      <c r="K628" s="232"/>
      <c r="L628" s="232"/>
      <c r="M628" s="232"/>
      <c r="N628" s="226"/>
      <c r="O628" s="229"/>
      <c r="P628" s="200"/>
    </row>
    <row r="629" spans="1:16" x14ac:dyDescent="0.25">
      <c r="A629" s="133"/>
      <c r="B629" s="195"/>
      <c r="C629" s="232"/>
      <c r="D629" s="232"/>
      <c r="E629" s="232"/>
      <c r="F629" s="226"/>
      <c r="G629" s="229"/>
      <c r="H629" s="200"/>
      <c r="I629" s="133"/>
      <c r="J629" s="195"/>
      <c r="K629" s="232"/>
      <c r="L629" s="232"/>
      <c r="M629" s="232"/>
      <c r="N629" s="226"/>
      <c r="O629" s="229"/>
      <c r="P629" s="200"/>
    </row>
    <row r="630" spans="1:16" ht="15.75" thickBot="1" x14ac:dyDescent="0.3">
      <c r="A630" s="133"/>
      <c r="B630" s="195"/>
      <c r="C630" s="232"/>
      <c r="D630" s="232"/>
      <c r="E630" s="232"/>
      <c r="F630" s="226"/>
      <c r="G630" s="229"/>
      <c r="H630" s="200"/>
      <c r="I630" s="133"/>
      <c r="J630" s="195"/>
      <c r="K630" s="232"/>
      <c r="L630" s="232"/>
      <c r="M630" s="232"/>
      <c r="N630" s="226"/>
      <c r="O630" s="229"/>
      <c r="P630" s="200"/>
    </row>
    <row r="631" spans="1:16" ht="15.75" thickBot="1" x14ac:dyDescent="0.3">
      <c r="A631" s="133"/>
      <c r="B631" s="233"/>
      <c r="C631" s="234"/>
      <c r="D631" s="234"/>
      <c r="E631" s="234"/>
      <c r="F631" s="235"/>
      <c r="G631" s="236"/>
      <c r="H631" s="256">
        <f>+SUM(G619:G631)</f>
        <v>18560</v>
      </c>
      <c r="I631" s="133"/>
      <c r="J631" s="233"/>
      <c r="K631" s="234"/>
      <c r="L631" s="234"/>
      <c r="M631" s="234"/>
      <c r="N631" s="235"/>
      <c r="O631" s="236"/>
      <c r="P631" s="256">
        <f>+SUM(O619:O631)</f>
        <v>2517</v>
      </c>
    </row>
    <row r="632" spans="1:16" ht="15.75" thickBot="1" x14ac:dyDescent="0.3">
      <c r="A632" s="133"/>
      <c r="B632" s="238"/>
      <c r="C632" s="238"/>
      <c r="D632" s="238"/>
      <c r="E632" s="238"/>
      <c r="F632" s="239"/>
      <c r="G632" s="240"/>
      <c r="H632" s="241"/>
      <c r="I632" s="133"/>
      <c r="J632" s="238"/>
      <c r="K632" s="238"/>
      <c r="L632" s="238"/>
      <c r="M632" s="238"/>
      <c r="N632" s="239"/>
      <c r="O632" s="240"/>
      <c r="P632" s="241"/>
    </row>
    <row r="633" spans="1:16" ht="15.75" thickBot="1" x14ac:dyDescent="0.3">
      <c r="A633" s="133"/>
      <c r="B633" s="224" t="s">
        <v>5410</v>
      </c>
      <c r="C633" s="193" t="s">
        <v>867</v>
      </c>
      <c r="D633" s="193" t="s">
        <v>6</v>
      </c>
      <c r="E633" s="193" t="s">
        <v>870</v>
      </c>
      <c r="F633" s="193" t="s">
        <v>5411</v>
      </c>
      <c r="G633" s="225" t="s">
        <v>868</v>
      </c>
      <c r="H633" s="200"/>
      <c r="I633" s="133"/>
      <c r="J633" s="224" t="s">
        <v>5410</v>
      </c>
      <c r="K633" s="193" t="s">
        <v>867</v>
      </c>
      <c r="L633" s="193" t="s">
        <v>6</v>
      </c>
      <c r="M633" s="193" t="s">
        <v>870</v>
      </c>
      <c r="N633" s="193" t="s">
        <v>5411</v>
      </c>
      <c r="O633" s="225" t="s">
        <v>868</v>
      </c>
      <c r="P633" s="200"/>
    </row>
    <row r="634" spans="1:16" x14ac:dyDescent="0.25">
      <c r="A634" s="133"/>
      <c r="B634" s="275"/>
      <c r="C634" s="276"/>
      <c r="D634" s="276"/>
      <c r="E634" s="277"/>
      <c r="F634" s="276"/>
      <c r="G634" s="203"/>
      <c r="H634" s="246"/>
      <c r="I634" s="133"/>
      <c r="J634" s="275"/>
      <c r="K634" s="276"/>
      <c r="L634" s="276"/>
      <c r="M634" s="277"/>
      <c r="N634" s="276"/>
      <c r="O634" s="203"/>
      <c r="P634" s="246"/>
    </row>
    <row r="635" spans="1:16" x14ac:dyDescent="0.25">
      <c r="A635" s="133"/>
      <c r="B635" s="278"/>
      <c r="C635" s="279"/>
      <c r="D635" s="279"/>
      <c r="E635" s="280"/>
      <c r="F635" s="279"/>
      <c r="G635" s="178"/>
      <c r="H635" s="200"/>
      <c r="I635" s="133"/>
      <c r="J635" s="278"/>
      <c r="K635" s="279"/>
      <c r="L635" s="279"/>
      <c r="M635" s="280"/>
      <c r="N635" s="279"/>
      <c r="O635" s="178"/>
      <c r="P635" s="200"/>
    </row>
    <row r="636" spans="1:16" x14ac:dyDescent="0.25">
      <c r="A636" s="133"/>
      <c r="B636" s="278"/>
      <c r="C636" s="279"/>
      <c r="D636" s="279"/>
      <c r="E636" s="281"/>
      <c r="F636" s="279"/>
      <c r="G636" s="229"/>
      <c r="H636" s="200"/>
      <c r="I636" s="133"/>
      <c r="J636" s="278"/>
      <c r="K636" s="279"/>
      <c r="L636" s="279"/>
      <c r="M636" s="281"/>
      <c r="N636" s="279"/>
      <c r="O636" s="229"/>
      <c r="P636" s="200"/>
    </row>
    <row r="637" spans="1:16" x14ac:dyDescent="0.25">
      <c r="A637" s="133"/>
      <c r="B637" s="194"/>
      <c r="C637" s="248"/>
      <c r="D637" s="248"/>
      <c r="E637" s="248"/>
      <c r="F637" s="202"/>
      <c r="G637" s="229"/>
      <c r="H637" s="200"/>
      <c r="I637" s="133"/>
      <c r="J637" s="194"/>
      <c r="K637" s="248"/>
      <c r="L637" s="248"/>
      <c r="M637" s="248"/>
      <c r="N637" s="202"/>
      <c r="O637" s="229"/>
      <c r="P637" s="200"/>
    </row>
    <row r="638" spans="1:16" ht="15.75" thickBot="1" x14ac:dyDescent="0.3">
      <c r="A638" s="133"/>
      <c r="B638" s="195"/>
      <c r="C638" s="232"/>
      <c r="D638" s="232"/>
      <c r="E638" s="232"/>
      <c r="F638" s="226"/>
      <c r="G638" s="229"/>
      <c r="H638" s="200"/>
      <c r="I638" s="133"/>
      <c r="J638" s="195"/>
      <c r="K638" s="232"/>
      <c r="L638" s="232"/>
      <c r="M638" s="232"/>
      <c r="N638" s="226"/>
      <c r="O638" s="229"/>
      <c r="P638" s="200"/>
    </row>
    <row r="639" spans="1:16" ht="15.75" thickBot="1" x14ac:dyDescent="0.3">
      <c r="A639" s="133"/>
      <c r="B639" s="233"/>
      <c r="C639" s="234"/>
      <c r="D639" s="234"/>
      <c r="E639" s="234"/>
      <c r="F639" s="235"/>
      <c r="G639" s="236"/>
      <c r="H639" s="237">
        <f>+SUM(G634:G639)</f>
        <v>0</v>
      </c>
      <c r="I639" s="133"/>
      <c r="J639" s="233"/>
      <c r="K639" s="234"/>
      <c r="L639" s="234"/>
      <c r="M639" s="234"/>
      <c r="N639" s="235"/>
      <c r="O639" s="236"/>
      <c r="P639" s="237">
        <f>+SUM(O634:O639)</f>
        <v>0</v>
      </c>
    </row>
    <row r="640" spans="1:16" ht="15.75" thickBot="1" x14ac:dyDescent="0.3">
      <c r="A640" s="133"/>
      <c r="B640" s="238"/>
      <c r="C640" s="238"/>
      <c r="D640" s="238"/>
      <c r="E640" s="238"/>
      <c r="F640" s="249"/>
      <c r="G640" s="250"/>
      <c r="H640" s="241"/>
      <c r="I640" s="133"/>
      <c r="J640" s="238"/>
      <c r="K640" s="238"/>
      <c r="L640" s="238"/>
      <c r="M640" s="238"/>
      <c r="N640" s="249"/>
      <c r="O640" s="250"/>
      <c r="P640" s="241"/>
    </row>
    <row r="641" spans="1:16" ht="15.75" thickBot="1" x14ac:dyDescent="0.3">
      <c r="A641" s="133"/>
      <c r="B641" s="224" t="s">
        <v>5412</v>
      </c>
      <c r="C641" s="193" t="s">
        <v>5420</v>
      </c>
      <c r="D641" s="193" t="s">
        <v>5421</v>
      </c>
      <c r="E641" s="193" t="s">
        <v>5413</v>
      </c>
      <c r="F641" s="193" t="s">
        <v>5405</v>
      </c>
      <c r="G641" s="225" t="s">
        <v>868</v>
      </c>
      <c r="H641" s="200"/>
      <c r="I641" s="133"/>
      <c r="J641" s="224" t="s">
        <v>5412</v>
      </c>
      <c r="K641" s="193" t="s">
        <v>5420</v>
      </c>
      <c r="L641" s="193" t="s">
        <v>5421</v>
      </c>
      <c r="M641" s="193" t="s">
        <v>5413</v>
      </c>
      <c r="N641" s="193" t="s">
        <v>5405</v>
      </c>
      <c r="O641" s="225" t="s">
        <v>868</v>
      </c>
      <c r="P641" s="200"/>
    </row>
    <row r="642" spans="1:16" x14ac:dyDescent="0.25">
      <c r="A642" s="133"/>
      <c r="B642" s="194" t="s">
        <v>5948</v>
      </c>
      <c r="C642" s="345">
        <v>70000</v>
      </c>
      <c r="D642" s="176">
        <f>+C642*0.85</f>
        <v>59500</v>
      </c>
      <c r="E642" s="176">
        <f>+C642+D642</f>
        <v>129500</v>
      </c>
      <c r="F642" s="204">
        <v>100</v>
      </c>
      <c r="G642" s="178">
        <f>+E642/F642</f>
        <v>1295</v>
      </c>
      <c r="H642" s="200"/>
      <c r="I642" s="133"/>
      <c r="J642" s="194" t="s">
        <v>5948</v>
      </c>
      <c r="K642" s="345">
        <v>70000</v>
      </c>
      <c r="L642" s="176">
        <f>+K642*0.85</f>
        <v>59500</v>
      </c>
      <c r="M642" s="176">
        <f>+K642+L642</f>
        <v>129500</v>
      </c>
      <c r="N642" s="204">
        <v>250</v>
      </c>
      <c r="O642" s="178">
        <f>+M642/N642</f>
        <v>518</v>
      </c>
      <c r="P642" s="200"/>
    </row>
    <row r="643" spans="1:16" x14ac:dyDescent="0.25">
      <c r="A643" s="133"/>
      <c r="B643" s="194" t="s">
        <v>5651</v>
      </c>
      <c r="C643" s="345">
        <v>40000</v>
      </c>
      <c r="D643" s="176">
        <f>+C643*0.85</f>
        <v>34000</v>
      </c>
      <c r="E643" s="176">
        <f>+C643+D643</f>
        <v>74000</v>
      </c>
      <c r="F643" s="202">
        <v>6</v>
      </c>
      <c r="G643" s="178">
        <f>+E643/F643</f>
        <v>12333.333333333334</v>
      </c>
      <c r="H643" s="200"/>
      <c r="I643" s="133"/>
      <c r="J643" s="194" t="s">
        <v>5651</v>
      </c>
      <c r="K643" s="345">
        <v>40000</v>
      </c>
      <c r="L643" s="176">
        <f>+K643*0.85</f>
        <v>34000</v>
      </c>
      <c r="M643" s="176">
        <f>+K643+L643</f>
        <v>74000</v>
      </c>
      <c r="N643" s="202">
        <v>25</v>
      </c>
      <c r="O643" s="178">
        <f>+M643/N643</f>
        <v>2960</v>
      </c>
      <c r="P643" s="200"/>
    </row>
    <row r="644" spans="1:16" x14ac:dyDescent="0.25">
      <c r="A644" s="133"/>
      <c r="B644" s="195" t="s">
        <v>5635</v>
      </c>
      <c r="C644" s="345">
        <v>20600</v>
      </c>
      <c r="D644" s="176">
        <f>+C644*0.85</f>
        <v>17510</v>
      </c>
      <c r="E644" s="176">
        <f>+C644+D644</f>
        <v>38110</v>
      </c>
      <c r="F644" s="226">
        <v>6</v>
      </c>
      <c r="G644" s="178">
        <f>+E644/F644</f>
        <v>6351.666666666667</v>
      </c>
      <c r="H644" s="200"/>
      <c r="I644" s="133"/>
      <c r="J644" s="195" t="s">
        <v>5635</v>
      </c>
      <c r="K644" s="345">
        <v>20600</v>
      </c>
      <c r="L644" s="176">
        <f>+K644*0.85</f>
        <v>17510</v>
      </c>
      <c r="M644" s="176">
        <f>+K644+L644</f>
        <v>38110</v>
      </c>
      <c r="N644" s="226">
        <v>25</v>
      </c>
      <c r="O644" s="178">
        <f>+M644/N644</f>
        <v>1524.4</v>
      </c>
      <c r="P644" s="200"/>
    </row>
    <row r="645" spans="1:16" x14ac:dyDescent="0.25">
      <c r="A645" s="133"/>
      <c r="B645" s="195"/>
      <c r="C645" s="171"/>
      <c r="D645" s="176"/>
      <c r="E645" s="176"/>
      <c r="F645" s="226"/>
      <c r="G645" s="178"/>
      <c r="H645" s="200"/>
      <c r="I645" s="133"/>
      <c r="J645" s="195"/>
      <c r="K645" s="171"/>
      <c r="L645" s="176"/>
      <c r="M645" s="176"/>
      <c r="N645" s="226"/>
      <c r="O645" s="178"/>
      <c r="P645" s="200"/>
    </row>
    <row r="646" spans="1:16" x14ac:dyDescent="0.25">
      <c r="A646" s="133"/>
      <c r="B646" s="195"/>
      <c r="C646" s="232"/>
      <c r="D646" s="232"/>
      <c r="E646" s="232"/>
      <c r="F646" s="226"/>
      <c r="G646" s="229"/>
      <c r="H646" s="200"/>
      <c r="I646" s="133"/>
      <c r="J646" s="195"/>
      <c r="K646" s="232"/>
      <c r="L646" s="232"/>
      <c r="M646" s="232"/>
      <c r="N646" s="226"/>
      <c r="O646" s="229"/>
      <c r="P646" s="200"/>
    </row>
    <row r="647" spans="1:16" ht="15.75" thickBot="1" x14ac:dyDescent="0.3">
      <c r="A647" s="133"/>
      <c r="B647" s="195"/>
      <c r="C647" s="232"/>
      <c r="D647" s="232"/>
      <c r="E647" s="232"/>
      <c r="F647" s="226"/>
      <c r="G647" s="229"/>
      <c r="H647" s="200"/>
      <c r="I647" s="133"/>
      <c r="J647" s="195"/>
      <c r="K647" s="232"/>
      <c r="L647" s="232"/>
      <c r="M647" s="232"/>
      <c r="N647" s="226"/>
      <c r="O647" s="229"/>
      <c r="P647" s="200"/>
    </row>
    <row r="648" spans="1:16" ht="15.75" thickBot="1" x14ac:dyDescent="0.3">
      <c r="A648" s="133"/>
      <c r="B648" s="251"/>
      <c r="C648" s="252"/>
      <c r="D648" s="252"/>
      <c r="E648" s="252"/>
      <c r="F648" s="253"/>
      <c r="G648" s="254"/>
      <c r="H648" s="256">
        <f>+SUM(G642:G648)</f>
        <v>19980</v>
      </c>
      <c r="I648" s="133"/>
      <c r="J648" s="251"/>
      <c r="K648" s="252"/>
      <c r="L648" s="252"/>
      <c r="M648" s="252"/>
      <c r="N648" s="253"/>
      <c r="O648" s="254"/>
      <c r="P648" s="256">
        <f>+SUM(O642:O648)</f>
        <v>5002.3999999999996</v>
      </c>
    </row>
    <row r="649" spans="1:16" ht="15.75" thickBot="1" x14ac:dyDescent="0.3">
      <c r="A649" s="133"/>
      <c r="B649" s="8"/>
      <c r="C649" s="8"/>
      <c r="D649" s="8"/>
      <c r="E649" s="8"/>
      <c r="F649" s="133"/>
      <c r="G649" s="200"/>
      <c r="H649" s="200"/>
      <c r="I649" s="133"/>
      <c r="J649" s="8"/>
      <c r="K649" s="8"/>
      <c r="L649" s="8"/>
      <c r="M649" s="8"/>
      <c r="N649" s="133"/>
      <c r="O649" s="200"/>
      <c r="P649" s="200"/>
    </row>
    <row r="650" spans="1:16" ht="15.75" thickBot="1" x14ac:dyDescent="0.3">
      <c r="A650" s="133"/>
      <c r="B650" s="8"/>
      <c r="C650" s="8"/>
      <c r="D650" s="8"/>
      <c r="E650" s="223" t="s">
        <v>5415</v>
      </c>
      <c r="F650" s="133"/>
      <c r="G650" s="200"/>
      <c r="H650" s="256">
        <f>ROUND(+H648+H639+H631+H616,0)</f>
        <v>39539</v>
      </c>
      <c r="I650" s="133"/>
      <c r="J650" s="8"/>
      <c r="K650" s="8"/>
      <c r="L650" s="8"/>
      <c r="M650" s="223" t="s">
        <v>5415</v>
      </c>
      <c r="N650" s="133"/>
      <c r="O650" s="200"/>
      <c r="P650" s="256">
        <f>ROUND(+P648+P639+P631+P616,0)</f>
        <v>7770</v>
      </c>
    </row>
    <row r="651" spans="1:16" x14ac:dyDescent="0.25">
      <c r="A651" s="133"/>
      <c r="B651" s="8"/>
      <c r="C651" s="8"/>
      <c r="D651" s="8"/>
      <c r="E651" s="223"/>
      <c r="F651" s="133"/>
      <c r="G651" s="200"/>
      <c r="H651" s="261"/>
    </row>
    <row r="652" spans="1:16" x14ac:dyDescent="0.25">
      <c r="A652" s="133"/>
      <c r="B652" s="8"/>
      <c r="C652" s="8"/>
      <c r="D652" s="8"/>
      <c r="E652" s="223"/>
      <c r="F652" s="133"/>
      <c r="G652" s="200"/>
      <c r="H652" s="261"/>
    </row>
    <row r="653" spans="1:16" x14ac:dyDescent="0.25">
      <c r="A653" s="133"/>
      <c r="B653" s="8"/>
      <c r="C653" s="8"/>
      <c r="D653" s="8"/>
      <c r="E653" s="223"/>
      <c r="F653" s="133"/>
      <c r="G653" s="200"/>
      <c r="H653" s="261"/>
    </row>
    <row r="654" spans="1:16" x14ac:dyDescent="0.25">
      <c r="A654" s="133"/>
      <c r="B654" s="8"/>
      <c r="C654" s="8"/>
      <c r="D654" s="8"/>
      <c r="E654" s="223"/>
      <c r="F654" s="133"/>
      <c r="G654" s="200"/>
      <c r="H654" s="261"/>
    </row>
    <row r="655" spans="1:16" ht="18.75" x14ac:dyDescent="0.25">
      <c r="A655" s="133"/>
      <c r="B655" s="2506" t="s">
        <v>5400</v>
      </c>
      <c r="C655" s="2506"/>
      <c r="D655" s="2506"/>
      <c r="E655" s="2506"/>
      <c r="F655" s="2506"/>
      <c r="G655" s="2506"/>
      <c r="H655" s="8"/>
      <c r="I655" s="133"/>
      <c r="J655" s="2506" t="s">
        <v>5400</v>
      </c>
      <c r="K655" s="2506"/>
      <c r="L655" s="2506"/>
      <c r="M655" s="2506"/>
      <c r="N655" s="2506"/>
      <c r="O655" s="2506"/>
      <c r="P655" s="8"/>
    </row>
    <row r="656" spans="1:16" x14ac:dyDescent="0.25">
      <c r="A656" s="133"/>
      <c r="B656" s="8"/>
      <c r="C656" s="8"/>
      <c r="D656" s="8"/>
      <c r="E656" s="8"/>
      <c r="F656" s="133"/>
      <c r="G656" s="200"/>
      <c r="H656" s="200"/>
      <c r="I656" s="133"/>
      <c r="J656" s="8"/>
      <c r="K656" s="8"/>
      <c r="L656" s="8"/>
      <c r="M656" s="8"/>
      <c r="N656" s="133"/>
      <c r="O656" s="200"/>
      <c r="P656" s="200"/>
    </row>
    <row r="657" spans="1:16" x14ac:dyDescent="0.25">
      <c r="A657" s="133"/>
      <c r="B657" s="8"/>
      <c r="C657" s="8"/>
      <c r="D657" s="8"/>
      <c r="E657" s="8"/>
      <c r="F657" s="133"/>
      <c r="G657" s="200"/>
      <c r="H657" s="200"/>
      <c r="I657" s="133"/>
      <c r="J657" s="8"/>
      <c r="K657" s="8"/>
      <c r="L657" s="8"/>
      <c r="M657" s="8"/>
      <c r="N657" s="133"/>
      <c r="O657" s="200"/>
      <c r="P657" s="200"/>
    </row>
    <row r="658" spans="1:16" x14ac:dyDescent="0.25">
      <c r="A658" s="133"/>
      <c r="B658" s="8"/>
      <c r="C658" s="8"/>
      <c r="D658" s="8"/>
      <c r="E658" s="8"/>
      <c r="F658" s="133"/>
      <c r="G658" s="200"/>
      <c r="H658" s="200"/>
      <c r="I658" s="133"/>
      <c r="J658" s="8"/>
      <c r="K658" s="8"/>
      <c r="L658" s="8"/>
      <c r="M658" s="8"/>
      <c r="N658" s="133"/>
      <c r="O658" s="200"/>
      <c r="P658" s="200"/>
    </row>
    <row r="659" spans="1:16" x14ac:dyDescent="0.25">
      <c r="A659" s="220" t="s">
        <v>5482</v>
      </c>
      <c r="B659" s="138" t="s">
        <v>727</v>
      </c>
      <c r="C659" s="2449" t="s">
        <v>5604</v>
      </c>
      <c r="D659" s="2449"/>
      <c r="E659" s="2449"/>
      <c r="F659" s="220" t="s">
        <v>867</v>
      </c>
      <c r="G659" s="222" t="s">
        <v>5424</v>
      </c>
      <c r="H659" s="200"/>
      <c r="I659" s="220" t="s">
        <v>5482</v>
      </c>
      <c r="J659" s="138" t="s">
        <v>727</v>
      </c>
      <c r="K659" s="2449" t="s">
        <v>6150</v>
      </c>
      <c r="L659" s="2449"/>
      <c r="M659" s="2449"/>
      <c r="N659" s="220" t="s">
        <v>867</v>
      </c>
      <c r="O659" s="222" t="s">
        <v>5424</v>
      </c>
      <c r="P659" s="200"/>
    </row>
    <row r="660" spans="1:16" x14ac:dyDescent="0.25">
      <c r="A660" s="133"/>
      <c r="B660" s="8"/>
      <c r="C660" s="223"/>
      <c r="D660" s="223"/>
      <c r="E660" s="223"/>
      <c r="F660" s="133"/>
      <c r="G660" s="200"/>
      <c r="H660" s="200"/>
      <c r="I660" s="133"/>
      <c r="J660" s="8"/>
      <c r="K660" s="223"/>
      <c r="L660" s="223"/>
      <c r="M660" s="223"/>
      <c r="N660" s="133"/>
      <c r="O660" s="200"/>
      <c r="P660" s="200"/>
    </row>
    <row r="661" spans="1:16" x14ac:dyDescent="0.25">
      <c r="A661" s="133"/>
      <c r="B661" s="8"/>
      <c r="C661" s="8"/>
      <c r="D661" s="8"/>
      <c r="E661" s="8"/>
      <c r="F661" s="8"/>
      <c r="G661" s="8"/>
      <c r="H661" s="200"/>
      <c r="I661" s="133"/>
      <c r="J661" s="8"/>
      <c r="K661" s="8"/>
      <c r="L661" s="8"/>
      <c r="M661" s="8"/>
      <c r="N661" s="8"/>
      <c r="O661" s="8"/>
      <c r="P661" s="200"/>
    </row>
    <row r="662" spans="1:16" ht="15.75" thickBot="1" x14ac:dyDescent="0.3">
      <c r="A662" s="133"/>
      <c r="B662" s="8"/>
      <c r="C662" s="8"/>
      <c r="D662" s="8"/>
      <c r="E662" s="8"/>
      <c r="F662" s="133"/>
      <c r="G662" s="200"/>
      <c r="H662" s="200"/>
      <c r="I662" s="133"/>
      <c r="J662" s="8"/>
      <c r="K662" s="8"/>
      <c r="L662" s="8"/>
      <c r="M662" s="8"/>
      <c r="N662" s="133"/>
      <c r="O662" s="200"/>
      <c r="P662" s="200"/>
    </row>
    <row r="663" spans="1:16" ht="15.75" thickBot="1" x14ac:dyDescent="0.3">
      <c r="A663" s="133"/>
      <c r="B663" s="224" t="s">
        <v>5403</v>
      </c>
      <c r="C663" s="193" t="s">
        <v>867</v>
      </c>
      <c r="D663" s="193" t="s">
        <v>6</v>
      </c>
      <c r="E663" s="193" t="s">
        <v>5439</v>
      </c>
      <c r="F663" s="193" t="s">
        <v>5405</v>
      </c>
      <c r="G663" s="225" t="s">
        <v>868</v>
      </c>
      <c r="H663" s="200"/>
      <c r="I663" s="133"/>
      <c r="J663" s="224" t="s">
        <v>5403</v>
      </c>
      <c r="K663" s="193" t="s">
        <v>867</v>
      </c>
      <c r="L663" s="193" t="s">
        <v>6</v>
      </c>
      <c r="M663" s="193" t="s">
        <v>5439</v>
      </c>
      <c r="N663" s="193" t="s">
        <v>5405</v>
      </c>
      <c r="O663" s="225" t="s">
        <v>868</v>
      </c>
      <c r="P663" s="200"/>
    </row>
    <row r="664" spans="1:16" x14ac:dyDescent="0.25">
      <c r="A664" s="133"/>
      <c r="B664" s="195" t="s">
        <v>5440</v>
      </c>
      <c r="C664" s="226" t="s">
        <v>5542</v>
      </c>
      <c r="D664" s="226">
        <v>1</v>
      </c>
      <c r="E664" s="227">
        <f>+H702</f>
        <v>50024</v>
      </c>
      <c r="F664" s="226">
        <v>0.1</v>
      </c>
      <c r="G664" s="292">
        <f>+E664*F664</f>
        <v>5002.4000000000005</v>
      </c>
      <c r="H664" s="200"/>
      <c r="I664" s="133"/>
      <c r="J664" s="195" t="s">
        <v>5440</v>
      </c>
      <c r="K664" s="226" t="s">
        <v>5542</v>
      </c>
      <c r="L664" s="226">
        <v>1</v>
      </c>
      <c r="M664" s="227">
        <f>+P702</f>
        <v>61235</v>
      </c>
      <c r="N664" s="226">
        <v>0.1</v>
      </c>
      <c r="O664" s="292">
        <f>+M664*N664</f>
        <v>6123.5</v>
      </c>
      <c r="P664" s="200"/>
    </row>
    <row r="665" spans="1:16" x14ac:dyDescent="0.25">
      <c r="A665" s="133"/>
      <c r="B665" s="195"/>
      <c r="C665" s="226"/>
      <c r="D665" s="226"/>
      <c r="E665" s="230"/>
      <c r="F665" s="226"/>
      <c r="G665" s="229"/>
      <c r="H665" s="200"/>
      <c r="I665" s="133"/>
      <c r="J665" s="195"/>
      <c r="K665" s="226"/>
      <c r="L665" s="226"/>
      <c r="M665" s="230"/>
      <c r="N665" s="226"/>
      <c r="O665" s="229"/>
      <c r="P665" s="200"/>
    </row>
    <row r="666" spans="1:16" x14ac:dyDescent="0.25">
      <c r="A666" s="133"/>
      <c r="B666" s="195"/>
      <c r="C666" s="226"/>
      <c r="D666" s="226"/>
      <c r="E666" s="176"/>
      <c r="F666" s="226"/>
      <c r="G666" s="229"/>
      <c r="H666" s="200"/>
      <c r="I666" s="133"/>
      <c r="J666" s="195"/>
      <c r="K666" s="226"/>
      <c r="L666" s="226"/>
      <c r="M666" s="176"/>
      <c r="N666" s="226"/>
      <c r="O666" s="229"/>
      <c r="P666" s="200"/>
    </row>
    <row r="667" spans="1:16" x14ac:dyDescent="0.25">
      <c r="A667" s="133"/>
      <c r="B667" s="195"/>
      <c r="C667" s="226"/>
      <c r="D667" s="226"/>
      <c r="E667" s="171"/>
      <c r="F667" s="226"/>
      <c r="G667" s="293"/>
      <c r="H667" s="200"/>
      <c r="I667" s="133"/>
      <c r="J667" s="195"/>
      <c r="K667" s="226"/>
      <c r="L667" s="226"/>
      <c r="M667" s="171"/>
      <c r="N667" s="226"/>
      <c r="O667" s="293"/>
      <c r="P667" s="200"/>
    </row>
    <row r="668" spans="1:16" x14ac:dyDescent="0.25">
      <c r="A668" s="133"/>
      <c r="B668" s="195"/>
      <c r="C668" s="226"/>
      <c r="D668" s="232"/>
      <c r="E668" s="232"/>
      <c r="F668" s="226"/>
      <c r="G668" s="229"/>
      <c r="H668" s="200"/>
      <c r="I668" s="133"/>
      <c r="J668" s="195"/>
      <c r="K668" s="226"/>
      <c r="L668" s="232"/>
      <c r="M668" s="232"/>
      <c r="N668" s="226"/>
      <c r="O668" s="229"/>
      <c r="P668" s="200"/>
    </row>
    <row r="669" spans="1:16" ht="15.75" thickBot="1" x14ac:dyDescent="0.3">
      <c r="A669" s="133"/>
      <c r="B669" s="195"/>
      <c r="C669" s="226"/>
      <c r="D669" s="232"/>
      <c r="E669" s="232"/>
      <c r="F669" s="226"/>
      <c r="G669" s="229"/>
      <c r="H669" s="200"/>
      <c r="I669" s="133"/>
      <c r="J669" s="195"/>
      <c r="K669" s="226"/>
      <c r="L669" s="232"/>
      <c r="M669" s="232"/>
      <c r="N669" s="226"/>
      <c r="O669" s="229"/>
      <c r="P669" s="200"/>
    </row>
    <row r="670" spans="1:16" ht="15.75" thickBot="1" x14ac:dyDescent="0.3">
      <c r="A670" s="133"/>
      <c r="B670" s="233"/>
      <c r="C670" s="234"/>
      <c r="D670" s="234"/>
      <c r="E670" s="234"/>
      <c r="F670" s="235"/>
      <c r="G670" s="236"/>
      <c r="H670" s="237">
        <f>+SUM(G664:G670)</f>
        <v>5002.4000000000005</v>
      </c>
      <c r="I670" s="133"/>
      <c r="J670" s="233"/>
      <c r="K670" s="234"/>
      <c r="L670" s="234"/>
      <c r="M670" s="234"/>
      <c r="N670" s="235"/>
      <c r="O670" s="236"/>
      <c r="P670" s="237">
        <f>+SUM(O664:O670)</f>
        <v>6123.5</v>
      </c>
    </row>
    <row r="671" spans="1:16" ht="15.75" thickBot="1" x14ac:dyDescent="0.3">
      <c r="A671" s="133"/>
      <c r="B671" s="238"/>
      <c r="C671" s="238"/>
      <c r="D671" s="238"/>
      <c r="E671" s="238"/>
      <c r="F671" s="239"/>
      <c r="G671" s="240"/>
      <c r="H671" s="241"/>
      <c r="I671" s="133"/>
      <c r="J671" s="238"/>
      <c r="K671" s="238"/>
      <c r="L671" s="238"/>
      <c r="M671" s="238"/>
      <c r="N671" s="239"/>
      <c r="O671" s="240"/>
      <c r="P671" s="241"/>
    </row>
    <row r="672" spans="1:16" ht="15.75" thickBot="1" x14ac:dyDescent="0.3">
      <c r="A672" s="133"/>
      <c r="B672" s="224" t="s">
        <v>5408</v>
      </c>
      <c r="C672" s="193" t="s">
        <v>867</v>
      </c>
      <c r="D672" s="193" t="s">
        <v>6</v>
      </c>
      <c r="E672" s="193" t="s">
        <v>870</v>
      </c>
      <c r="F672" s="193" t="s">
        <v>5409</v>
      </c>
      <c r="G672" s="225" t="s">
        <v>868</v>
      </c>
      <c r="H672" s="200"/>
      <c r="I672" s="133"/>
      <c r="J672" s="224" t="s">
        <v>5408</v>
      </c>
      <c r="K672" s="193" t="s">
        <v>867</v>
      </c>
      <c r="L672" s="193" t="s">
        <v>6</v>
      </c>
      <c r="M672" s="193" t="s">
        <v>870</v>
      </c>
      <c r="N672" s="193" t="s">
        <v>5409</v>
      </c>
      <c r="O672" s="225" t="s">
        <v>868</v>
      </c>
      <c r="P672" s="200"/>
    </row>
    <row r="673" spans="1:16" x14ac:dyDescent="0.25">
      <c r="A673" s="133"/>
      <c r="B673" s="242" t="s">
        <v>6142</v>
      </c>
      <c r="C673" s="202" t="s">
        <v>5424</v>
      </c>
      <c r="D673" s="226">
        <v>2</v>
      </c>
      <c r="E673" s="171">
        <v>250</v>
      </c>
      <c r="F673" s="169">
        <v>0.02</v>
      </c>
      <c r="G673" s="294">
        <f>+D673*E673*(1+F673)</f>
        <v>510</v>
      </c>
      <c r="H673" s="200"/>
      <c r="I673" s="133"/>
      <c r="J673" s="242" t="s">
        <v>6152</v>
      </c>
      <c r="K673" s="202" t="s">
        <v>5424</v>
      </c>
      <c r="L673" s="226">
        <v>2</v>
      </c>
      <c r="M673" s="171">
        <v>16000</v>
      </c>
      <c r="N673" s="169">
        <v>0.02</v>
      </c>
      <c r="O673" s="294">
        <f>+L673*M673*(1+N673)</f>
        <v>32640</v>
      </c>
      <c r="P673" s="200"/>
    </row>
    <row r="674" spans="1:16" x14ac:dyDescent="0.25">
      <c r="A674" s="133"/>
      <c r="B674" s="243" t="s">
        <v>6143</v>
      </c>
      <c r="C674" s="202" t="s">
        <v>5402</v>
      </c>
      <c r="D674" s="202">
        <v>3</v>
      </c>
      <c r="E674" s="175">
        <v>3200</v>
      </c>
      <c r="F674" s="169">
        <v>0.05</v>
      </c>
      <c r="G674" s="294">
        <f>+D674*E674*(1+F674)</f>
        <v>10080</v>
      </c>
      <c r="H674" s="200"/>
      <c r="I674" s="133"/>
      <c r="J674" s="243" t="s">
        <v>6153</v>
      </c>
      <c r="K674" s="202" t="s">
        <v>5402</v>
      </c>
      <c r="L674" s="202">
        <v>15</v>
      </c>
      <c r="M674" s="175">
        <v>3000</v>
      </c>
      <c r="N674" s="169">
        <v>0.05</v>
      </c>
      <c r="O674" s="294">
        <f>+L674*M674*(1+N674)</f>
        <v>47250</v>
      </c>
      <c r="P674" s="200"/>
    </row>
    <row r="675" spans="1:16" x14ac:dyDescent="0.25">
      <c r="A675" s="133"/>
      <c r="B675" s="243" t="s">
        <v>6144</v>
      </c>
      <c r="C675" s="226" t="s">
        <v>5402</v>
      </c>
      <c r="D675" s="226">
        <v>6</v>
      </c>
      <c r="E675" s="171">
        <v>1600</v>
      </c>
      <c r="F675" s="169">
        <v>0.05</v>
      </c>
      <c r="G675" s="294">
        <f t="shared" ref="G675:G680" si="0">+D675*E675*(1+F675)</f>
        <v>10080</v>
      </c>
      <c r="H675" s="200"/>
      <c r="I675" s="133"/>
      <c r="J675" s="464" t="s">
        <v>6144</v>
      </c>
      <c r="K675" s="226" t="s">
        <v>5402</v>
      </c>
      <c r="L675" s="226">
        <v>4.5</v>
      </c>
      <c r="M675" s="171">
        <v>1600</v>
      </c>
      <c r="N675" s="169">
        <v>0.05</v>
      </c>
      <c r="O675" s="294">
        <f t="shared" ref="O675:O680" si="1">+L675*M675*(1+N675)</f>
        <v>7560</v>
      </c>
      <c r="P675" s="200"/>
    </row>
    <row r="676" spans="1:16" x14ac:dyDescent="0.25">
      <c r="A676" s="133"/>
      <c r="B676" s="194" t="s">
        <v>6145</v>
      </c>
      <c r="C676" s="226" t="s">
        <v>5424</v>
      </c>
      <c r="D676" s="226">
        <v>1</v>
      </c>
      <c r="E676" s="171">
        <v>2500</v>
      </c>
      <c r="F676" s="169">
        <v>0.01</v>
      </c>
      <c r="G676" s="294">
        <f t="shared" si="0"/>
        <v>2525</v>
      </c>
      <c r="H676" s="200"/>
      <c r="I676" s="133"/>
      <c r="J676" s="194" t="s">
        <v>6151</v>
      </c>
      <c r="K676" s="226" t="s">
        <v>5424</v>
      </c>
      <c r="L676" s="226">
        <v>1</v>
      </c>
      <c r="M676" s="171">
        <v>2500</v>
      </c>
      <c r="N676" s="169">
        <v>0.01</v>
      </c>
      <c r="O676" s="294">
        <f t="shared" si="1"/>
        <v>2525</v>
      </c>
      <c r="P676" s="200"/>
    </row>
    <row r="677" spans="1:16" x14ac:dyDescent="0.25">
      <c r="A677" s="133"/>
      <c r="B677" s="195" t="s">
        <v>6146</v>
      </c>
      <c r="C677" s="226" t="s">
        <v>5424</v>
      </c>
      <c r="D677" s="226">
        <v>2</v>
      </c>
      <c r="E677" s="171">
        <v>500</v>
      </c>
      <c r="F677" s="169">
        <v>0.05</v>
      </c>
      <c r="G677" s="294">
        <f t="shared" si="0"/>
        <v>1050</v>
      </c>
      <c r="H677" s="200"/>
      <c r="I677" s="133"/>
      <c r="J677" s="195" t="s">
        <v>6146</v>
      </c>
      <c r="K677" s="226" t="s">
        <v>5424</v>
      </c>
      <c r="L677" s="226">
        <v>3</v>
      </c>
      <c r="M677" s="171">
        <v>500</v>
      </c>
      <c r="N677" s="169">
        <v>0.05</v>
      </c>
      <c r="O677" s="294">
        <f t="shared" si="1"/>
        <v>1575</v>
      </c>
      <c r="P677" s="200"/>
    </row>
    <row r="678" spans="1:16" x14ac:dyDescent="0.25">
      <c r="A678" s="133"/>
      <c r="B678" s="194" t="s">
        <v>6147</v>
      </c>
      <c r="C678" s="202" t="s">
        <v>5424</v>
      </c>
      <c r="D678" s="202">
        <v>1</v>
      </c>
      <c r="E678" s="171">
        <v>600</v>
      </c>
      <c r="F678" s="169">
        <v>0.01</v>
      </c>
      <c r="G678" s="294">
        <f t="shared" si="0"/>
        <v>606</v>
      </c>
      <c r="H678" s="200"/>
      <c r="I678" s="133"/>
      <c r="J678" s="194" t="s">
        <v>6147</v>
      </c>
      <c r="K678" s="202" t="s">
        <v>5424</v>
      </c>
      <c r="L678" s="202">
        <v>1</v>
      </c>
      <c r="M678" s="171">
        <v>600</v>
      </c>
      <c r="N678" s="169">
        <v>0.01</v>
      </c>
      <c r="O678" s="294">
        <f t="shared" si="1"/>
        <v>606</v>
      </c>
      <c r="P678" s="200"/>
    </row>
    <row r="679" spans="1:16" x14ac:dyDescent="0.25">
      <c r="A679" s="133"/>
      <c r="B679" s="195" t="s">
        <v>6148</v>
      </c>
      <c r="C679" s="226" t="s">
        <v>5424</v>
      </c>
      <c r="D679" s="226">
        <v>1</v>
      </c>
      <c r="E679" s="171">
        <v>8500</v>
      </c>
      <c r="F679" s="169">
        <v>0.01</v>
      </c>
      <c r="G679" s="294">
        <f t="shared" si="0"/>
        <v>8585</v>
      </c>
      <c r="H679" s="200"/>
      <c r="I679" s="133"/>
      <c r="J679" s="195" t="s">
        <v>6148</v>
      </c>
      <c r="K679" s="226" t="s">
        <v>5424</v>
      </c>
      <c r="L679" s="226">
        <v>1</v>
      </c>
      <c r="M679" s="171">
        <v>8500</v>
      </c>
      <c r="N679" s="169">
        <v>0.01</v>
      </c>
      <c r="O679" s="294">
        <f t="shared" si="1"/>
        <v>8585</v>
      </c>
      <c r="P679" s="200"/>
    </row>
    <row r="680" spans="1:16" x14ac:dyDescent="0.25">
      <c r="A680" s="133"/>
      <c r="B680" s="195" t="s">
        <v>6149</v>
      </c>
      <c r="C680" s="226" t="s">
        <v>5402</v>
      </c>
      <c r="D680" s="226">
        <v>3</v>
      </c>
      <c r="E680" s="171">
        <v>5500</v>
      </c>
      <c r="F680" s="169">
        <v>0.05</v>
      </c>
      <c r="G680" s="294">
        <f t="shared" si="0"/>
        <v>17325</v>
      </c>
      <c r="H680" s="200"/>
      <c r="I680" s="133"/>
      <c r="J680" s="195" t="s">
        <v>6149</v>
      </c>
      <c r="K680" s="226" t="s">
        <v>5402</v>
      </c>
      <c r="L680" s="226">
        <v>4.5</v>
      </c>
      <c r="M680" s="171">
        <v>6500</v>
      </c>
      <c r="N680" s="169">
        <v>0.05</v>
      </c>
      <c r="O680" s="294">
        <f t="shared" si="1"/>
        <v>30712.5</v>
      </c>
      <c r="P680" s="200"/>
    </row>
    <row r="681" spans="1:16" x14ac:dyDescent="0.25">
      <c r="A681" s="133"/>
      <c r="B681" s="195"/>
      <c r="C681" s="232"/>
      <c r="D681" s="232"/>
      <c r="E681" s="232"/>
      <c r="F681" s="226"/>
      <c r="G681" s="229"/>
      <c r="H681" s="200"/>
      <c r="I681" s="133"/>
      <c r="J681" s="195"/>
      <c r="K681" s="232"/>
      <c r="L681" s="232"/>
      <c r="M681" s="232"/>
      <c r="N681" s="226"/>
      <c r="O681" s="229"/>
      <c r="P681" s="200"/>
    </row>
    <row r="682" spans="1:16" x14ac:dyDescent="0.25">
      <c r="A682" s="133"/>
      <c r="B682" s="195"/>
      <c r="C682" s="232"/>
      <c r="D682" s="232"/>
      <c r="E682" s="232"/>
      <c r="F682" s="226"/>
      <c r="G682" s="229"/>
      <c r="H682" s="200"/>
      <c r="I682" s="133"/>
      <c r="J682" s="195"/>
      <c r="K682" s="232"/>
      <c r="L682" s="232"/>
      <c r="M682" s="232"/>
      <c r="N682" s="226"/>
      <c r="O682" s="229"/>
      <c r="P682" s="200"/>
    </row>
    <row r="683" spans="1:16" x14ac:dyDescent="0.25">
      <c r="A683" s="133"/>
      <c r="B683" s="195"/>
      <c r="C683" s="232"/>
      <c r="D683" s="232"/>
      <c r="E683" s="232"/>
      <c r="F683" s="226"/>
      <c r="G683" s="229"/>
      <c r="H683" s="200"/>
      <c r="I683" s="133"/>
      <c r="J683" s="195"/>
      <c r="K683" s="232"/>
      <c r="L683" s="232"/>
      <c r="M683" s="232"/>
      <c r="N683" s="226"/>
      <c r="O683" s="229"/>
      <c r="P683" s="200"/>
    </row>
    <row r="684" spans="1:16" ht="15.75" thickBot="1" x14ac:dyDescent="0.3">
      <c r="A684" s="133"/>
      <c r="B684" s="195"/>
      <c r="C684" s="232"/>
      <c r="D684" s="232"/>
      <c r="E684" s="232"/>
      <c r="F684" s="226"/>
      <c r="G684" s="229"/>
      <c r="H684" s="200"/>
      <c r="I684" s="133"/>
      <c r="J684" s="195"/>
      <c r="K684" s="232"/>
      <c r="L684" s="232"/>
      <c r="M684" s="232"/>
      <c r="N684" s="226"/>
      <c r="O684" s="229"/>
      <c r="P684" s="200"/>
    </row>
    <row r="685" spans="1:16" ht="15.75" thickBot="1" x14ac:dyDescent="0.3">
      <c r="A685" s="133"/>
      <c r="B685" s="233"/>
      <c r="C685" s="234"/>
      <c r="D685" s="234"/>
      <c r="E685" s="234"/>
      <c r="F685" s="235"/>
      <c r="G685" s="236"/>
      <c r="H685" s="237">
        <f>+SUM(G673:G685)</f>
        <v>50761</v>
      </c>
      <c r="I685" s="133"/>
      <c r="J685" s="233"/>
      <c r="K685" s="234"/>
      <c r="L685" s="234"/>
      <c r="M685" s="234"/>
      <c r="N685" s="235"/>
      <c r="O685" s="236"/>
      <c r="P685" s="237">
        <f>+SUM(O673:O685)</f>
        <v>131453.5</v>
      </c>
    </row>
    <row r="686" spans="1:16" ht="15.75" thickBot="1" x14ac:dyDescent="0.3">
      <c r="A686" s="133"/>
      <c r="B686" s="238"/>
      <c r="C686" s="238"/>
      <c r="D686" s="238"/>
      <c r="E686" s="238"/>
      <c r="F686" s="239"/>
      <c r="G686" s="240"/>
      <c r="H686" s="241"/>
      <c r="I686" s="133"/>
      <c r="J686" s="238"/>
      <c r="K686" s="238"/>
      <c r="L686" s="238"/>
      <c r="M686" s="238"/>
      <c r="N686" s="239"/>
      <c r="O686" s="240"/>
      <c r="P686" s="241"/>
    </row>
    <row r="687" spans="1:16" ht="15.75" thickBot="1" x14ac:dyDescent="0.3">
      <c r="A687" s="133"/>
      <c r="B687" s="224" t="s">
        <v>5410</v>
      </c>
      <c r="C687" s="193" t="s">
        <v>867</v>
      </c>
      <c r="D687" s="193" t="s">
        <v>6</v>
      </c>
      <c r="E687" s="193" t="s">
        <v>870</v>
      </c>
      <c r="F687" s="193" t="s">
        <v>5411</v>
      </c>
      <c r="G687" s="225" t="s">
        <v>868</v>
      </c>
      <c r="H687" s="200"/>
      <c r="I687" s="133"/>
      <c r="J687" s="224" t="s">
        <v>5410</v>
      </c>
      <c r="K687" s="193" t="s">
        <v>867</v>
      </c>
      <c r="L687" s="193" t="s">
        <v>6</v>
      </c>
      <c r="M687" s="193" t="s">
        <v>870</v>
      </c>
      <c r="N687" s="193" t="s">
        <v>5411</v>
      </c>
      <c r="O687" s="225" t="s">
        <v>868</v>
      </c>
      <c r="P687" s="200"/>
    </row>
    <row r="688" spans="1:16" x14ac:dyDescent="0.25">
      <c r="A688" s="133"/>
      <c r="B688" s="245"/>
      <c r="C688" s="202"/>
      <c r="D688" s="202"/>
      <c r="E688" s="175"/>
      <c r="F688" s="202"/>
      <c r="G688" s="203"/>
      <c r="H688" s="246"/>
      <c r="I688" s="133"/>
      <c r="J688" s="245"/>
      <c r="K688" s="202"/>
      <c r="L688" s="202"/>
      <c r="M688" s="175"/>
      <c r="N688" s="202"/>
      <c r="O688" s="203"/>
      <c r="P688" s="246"/>
    </row>
    <row r="689" spans="1:16" x14ac:dyDescent="0.25">
      <c r="A689" s="133"/>
      <c r="B689" s="247"/>
      <c r="C689" s="248"/>
      <c r="D689" s="248"/>
      <c r="E689" s="248"/>
      <c r="F689" s="202"/>
      <c r="G689" s="178"/>
      <c r="H689" s="200"/>
      <c r="I689" s="133"/>
      <c r="J689" s="247"/>
      <c r="K689" s="248"/>
      <c r="L689" s="248"/>
      <c r="M689" s="248"/>
      <c r="N689" s="202"/>
      <c r="O689" s="178"/>
      <c r="P689" s="200"/>
    </row>
    <row r="690" spans="1:16" x14ac:dyDescent="0.25">
      <c r="A690" s="133"/>
      <c r="B690" s="247"/>
      <c r="C690" s="232"/>
      <c r="D690" s="232"/>
      <c r="E690" s="232"/>
      <c r="F690" s="226"/>
      <c r="G690" s="229"/>
      <c r="H690" s="200"/>
      <c r="I690" s="133"/>
      <c r="J690" s="247"/>
      <c r="K690" s="232"/>
      <c r="L690" s="232"/>
      <c r="M690" s="232"/>
      <c r="N690" s="226"/>
      <c r="O690" s="229"/>
      <c r="P690" s="200"/>
    </row>
    <row r="691" spans="1:16" x14ac:dyDescent="0.25">
      <c r="A691" s="133"/>
      <c r="B691" s="194"/>
      <c r="C691" s="232"/>
      <c r="D691" s="232"/>
      <c r="E691" s="232"/>
      <c r="F691" s="226"/>
      <c r="G691" s="229"/>
      <c r="H691" s="200"/>
      <c r="I691" s="133"/>
      <c r="J691" s="194"/>
      <c r="K691" s="232"/>
      <c r="L691" s="232"/>
      <c r="M691" s="232"/>
      <c r="N691" s="226"/>
      <c r="O691" s="229"/>
      <c r="P691" s="200"/>
    </row>
    <row r="692" spans="1:16" ht="15.75" thickBot="1" x14ac:dyDescent="0.3">
      <c r="A692" s="133"/>
      <c r="B692" s="195"/>
      <c r="C692" s="232"/>
      <c r="D692" s="232"/>
      <c r="E692" s="232"/>
      <c r="F692" s="226"/>
      <c r="G692" s="229"/>
      <c r="H692" s="200"/>
      <c r="I692" s="133"/>
      <c r="J692" s="195"/>
      <c r="K692" s="232"/>
      <c r="L692" s="232"/>
      <c r="M692" s="232"/>
      <c r="N692" s="226"/>
      <c r="O692" s="229"/>
      <c r="P692" s="200"/>
    </row>
    <row r="693" spans="1:16" ht="15.75" thickBot="1" x14ac:dyDescent="0.3">
      <c r="A693" s="133"/>
      <c r="B693" s="233"/>
      <c r="C693" s="234"/>
      <c r="D693" s="234"/>
      <c r="E693" s="234"/>
      <c r="F693" s="235"/>
      <c r="G693" s="236"/>
      <c r="H693" s="237">
        <f>+SUM(G688:G693)</f>
        <v>0</v>
      </c>
      <c r="I693" s="133"/>
      <c r="J693" s="233"/>
      <c r="K693" s="234"/>
      <c r="L693" s="234"/>
      <c r="M693" s="234"/>
      <c r="N693" s="235"/>
      <c r="O693" s="236"/>
      <c r="P693" s="237">
        <f>+SUM(O688:O693)</f>
        <v>0</v>
      </c>
    </row>
    <row r="694" spans="1:16" ht="15.75" thickBot="1" x14ac:dyDescent="0.3">
      <c r="A694" s="133"/>
      <c r="B694" s="238"/>
      <c r="C694" s="238"/>
      <c r="D694" s="238"/>
      <c r="E694" s="238"/>
      <c r="F694" s="249"/>
      <c r="G694" s="250"/>
      <c r="H694" s="241"/>
      <c r="I694" s="133"/>
      <c r="J694" s="238"/>
      <c r="K694" s="238"/>
      <c r="L694" s="238"/>
      <c r="M694" s="238"/>
      <c r="N694" s="249"/>
      <c r="O694" s="250"/>
      <c r="P694" s="241"/>
    </row>
    <row r="695" spans="1:16" ht="15.75" thickBot="1" x14ac:dyDescent="0.3">
      <c r="A695" s="133"/>
      <c r="B695" s="224" t="s">
        <v>5412</v>
      </c>
      <c r="C695" s="193" t="s">
        <v>5420</v>
      </c>
      <c r="D695" s="193" t="s">
        <v>5421</v>
      </c>
      <c r="E695" s="193" t="s">
        <v>5413</v>
      </c>
      <c r="F695" s="193" t="s">
        <v>5405</v>
      </c>
      <c r="G695" s="225" t="s">
        <v>868</v>
      </c>
      <c r="H695" s="200"/>
      <c r="I695" s="133"/>
      <c r="J695" s="224" t="s">
        <v>5412</v>
      </c>
      <c r="K695" s="193" t="s">
        <v>5420</v>
      </c>
      <c r="L695" s="193" t="s">
        <v>5421</v>
      </c>
      <c r="M695" s="193" t="s">
        <v>5413</v>
      </c>
      <c r="N695" s="193" t="s">
        <v>5405</v>
      </c>
      <c r="O695" s="225" t="s">
        <v>868</v>
      </c>
      <c r="P695" s="200"/>
    </row>
    <row r="696" spans="1:16" x14ac:dyDescent="0.25">
      <c r="A696" s="133"/>
      <c r="B696" s="194" t="s">
        <v>5948</v>
      </c>
      <c r="C696" s="345">
        <v>70000</v>
      </c>
      <c r="D696" s="176">
        <f>+C696*0.85</f>
        <v>59500</v>
      </c>
      <c r="E696" s="176">
        <f>+C696+D696</f>
        <v>129500</v>
      </c>
      <c r="F696" s="209">
        <v>25</v>
      </c>
      <c r="G696" s="178">
        <f>+E696/F696</f>
        <v>5180</v>
      </c>
      <c r="H696" s="200"/>
      <c r="I696" s="133"/>
      <c r="J696" s="194" t="s">
        <v>5948</v>
      </c>
      <c r="K696" s="345">
        <v>70000</v>
      </c>
      <c r="L696" s="176">
        <f>+K696*0.85</f>
        <v>59500</v>
      </c>
      <c r="M696" s="176">
        <f>+K696+L696</f>
        <v>129500</v>
      </c>
      <c r="N696" s="209">
        <v>25</v>
      </c>
      <c r="O696" s="178">
        <f>+M696/N696</f>
        <v>5180</v>
      </c>
      <c r="P696" s="200"/>
    </row>
    <row r="697" spans="1:16" x14ac:dyDescent="0.25">
      <c r="A697" s="133"/>
      <c r="B697" s="194" t="s">
        <v>5651</v>
      </c>
      <c r="C697" s="345">
        <v>40000</v>
      </c>
      <c r="D697" s="176">
        <f>+C697*0.85</f>
        <v>34000</v>
      </c>
      <c r="E697" s="176">
        <f>+C697+D697</f>
        <v>74000</v>
      </c>
      <c r="F697" s="202">
        <v>2.5</v>
      </c>
      <c r="G697" s="178">
        <f>+E697/F697</f>
        <v>29600</v>
      </c>
      <c r="H697" s="200"/>
      <c r="I697" s="133"/>
      <c r="J697" s="194" t="s">
        <v>5651</v>
      </c>
      <c r="K697" s="345">
        <v>40000</v>
      </c>
      <c r="L697" s="176">
        <f>+K697*0.85</f>
        <v>34000</v>
      </c>
      <c r="M697" s="176">
        <f>+K697+L697</f>
        <v>74000</v>
      </c>
      <c r="N697" s="202">
        <v>2</v>
      </c>
      <c r="O697" s="178">
        <f>+M697/N697</f>
        <v>37000</v>
      </c>
      <c r="P697" s="200"/>
    </row>
    <row r="698" spans="1:16" x14ac:dyDescent="0.25">
      <c r="A698" s="133"/>
      <c r="B698" s="195" t="s">
        <v>5635</v>
      </c>
      <c r="C698" s="345">
        <v>20600</v>
      </c>
      <c r="D698" s="176">
        <f>+C698*0.85</f>
        <v>17510</v>
      </c>
      <c r="E698" s="176">
        <f>+C698+D698</f>
        <v>38110</v>
      </c>
      <c r="F698" s="226">
        <v>2.5</v>
      </c>
      <c r="G698" s="178">
        <f>+E698/F698</f>
        <v>15244</v>
      </c>
      <c r="H698" s="200"/>
      <c r="I698" s="133"/>
      <c r="J698" s="195" t="s">
        <v>5635</v>
      </c>
      <c r="K698" s="345">
        <v>20600</v>
      </c>
      <c r="L698" s="176">
        <f>+K698*0.85</f>
        <v>17510</v>
      </c>
      <c r="M698" s="176">
        <f>+K698+L698</f>
        <v>38110</v>
      </c>
      <c r="N698" s="226">
        <v>2</v>
      </c>
      <c r="O698" s="178">
        <f>+M698/N698</f>
        <v>19055</v>
      </c>
      <c r="P698" s="200"/>
    </row>
    <row r="699" spans="1:16" x14ac:dyDescent="0.25">
      <c r="A699" s="133"/>
      <c r="B699" s="195"/>
      <c r="C699" s="171"/>
      <c r="D699" s="176"/>
      <c r="E699" s="176"/>
      <c r="F699" s="226"/>
      <c r="G699" s="178"/>
      <c r="H699" s="200"/>
      <c r="I699" s="133"/>
      <c r="J699" s="195"/>
      <c r="K699" s="171"/>
      <c r="L699" s="176"/>
      <c r="M699" s="176"/>
      <c r="N699" s="226"/>
      <c r="O699" s="178"/>
      <c r="P699" s="200"/>
    </row>
    <row r="700" spans="1:16" x14ac:dyDescent="0.25">
      <c r="A700" s="133"/>
      <c r="B700" s="195"/>
      <c r="C700" s="232"/>
      <c r="D700" s="232"/>
      <c r="E700" s="232"/>
      <c r="F700" s="226"/>
      <c r="G700" s="229"/>
      <c r="H700" s="200"/>
      <c r="I700" s="133"/>
      <c r="J700" s="195"/>
      <c r="K700" s="232"/>
      <c r="L700" s="232"/>
      <c r="M700" s="232"/>
      <c r="N700" s="226"/>
      <c r="O700" s="229"/>
      <c r="P700" s="200"/>
    </row>
    <row r="701" spans="1:16" ht="15.75" thickBot="1" x14ac:dyDescent="0.3">
      <c r="A701" s="133"/>
      <c r="B701" s="195"/>
      <c r="C701" s="232"/>
      <c r="D701" s="232"/>
      <c r="E701" s="232"/>
      <c r="F701" s="226"/>
      <c r="G701" s="229"/>
      <c r="H701" s="200"/>
      <c r="I701" s="133"/>
      <c r="J701" s="195"/>
      <c r="K701" s="232"/>
      <c r="L701" s="232"/>
      <c r="M701" s="232"/>
      <c r="N701" s="226"/>
      <c r="O701" s="229"/>
      <c r="P701" s="200"/>
    </row>
    <row r="702" spans="1:16" ht="15.75" thickBot="1" x14ac:dyDescent="0.3">
      <c r="A702" s="133"/>
      <c r="B702" s="251"/>
      <c r="C702" s="252"/>
      <c r="D702" s="252"/>
      <c r="E702" s="252"/>
      <c r="F702" s="253"/>
      <c r="G702" s="254"/>
      <c r="H702" s="237">
        <f>+SUM(G696:G702)</f>
        <v>50024</v>
      </c>
      <c r="I702" s="133"/>
      <c r="J702" s="251"/>
      <c r="K702" s="252"/>
      <c r="L702" s="252"/>
      <c r="M702" s="252"/>
      <c r="N702" s="253"/>
      <c r="O702" s="254"/>
      <c r="P702" s="237">
        <f>+SUM(O696:O702)</f>
        <v>61235</v>
      </c>
    </row>
    <row r="703" spans="1:16" ht="15.75" thickBot="1" x14ac:dyDescent="0.3">
      <c r="A703" s="133"/>
      <c r="B703" s="8"/>
      <c r="C703" s="8"/>
      <c r="D703" s="8"/>
      <c r="E703" s="8"/>
      <c r="F703" s="133"/>
      <c r="G703" s="200"/>
      <c r="H703" s="200"/>
      <c r="I703" s="133"/>
      <c r="J703" s="8"/>
      <c r="K703" s="8"/>
      <c r="L703" s="8"/>
      <c r="M703" s="8"/>
      <c r="N703" s="133"/>
      <c r="O703" s="200"/>
      <c r="P703" s="200"/>
    </row>
    <row r="704" spans="1:16" ht="15.75" thickBot="1" x14ac:dyDescent="0.3">
      <c r="A704" s="133"/>
      <c r="B704" s="8"/>
      <c r="C704" s="8"/>
      <c r="D704" s="8"/>
      <c r="E704" s="223" t="s">
        <v>5415</v>
      </c>
      <c r="F704" s="133"/>
      <c r="G704" s="200"/>
      <c r="H704" s="237">
        <f>+H702+H693+H685+H670</f>
        <v>105787.4</v>
      </c>
      <c r="I704" s="133"/>
      <c r="J704" s="8"/>
      <c r="K704" s="8"/>
      <c r="L704" s="8"/>
      <c r="M704" s="223" t="s">
        <v>5415</v>
      </c>
      <c r="N704" s="133"/>
      <c r="O704" s="200"/>
      <c r="P704" s="237">
        <f>+P702+P693+P685+P670</f>
        <v>198812</v>
      </c>
    </row>
    <row r="709" spans="1:8" ht="18.75" x14ac:dyDescent="0.25">
      <c r="A709" s="133"/>
      <c r="B709" s="2506" t="s">
        <v>5400</v>
      </c>
      <c r="C709" s="2506"/>
      <c r="D709" s="2506"/>
      <c r="E709" s="2506"/>
      <c r="F709" s="2506"/>
      <c r="G709" s="2506"/>
      <c r="H709" s="8"/>
    </row>
    <row r="710" spans="1:8" x14ac:dyDescent="0.25">
      <c r="A710" s="133"/>
      <c r="B710" s="8"/>
      <c r="C710" s="8"/>
      <c r="D710" s="8"/>
      <c r="E710" s="8"/>
      <c r="F710" s="133"/>
      <c r="G710" s="200"/>
      <c r="H710" s="200"/>
    </row>
    <row r="711" spans="1:8" x14ac:dyDescent="0.25">
      <c r="A711" s="133"/>
      <c r="B711" s="8"/>
      <c r="C711" s="8"/>
      <c r="D711" s="8"/>
      <c r="E711" s="8"/>
      <c r="F711" s="133"/>
      <c r="G711" s="200"/>
      <c r="H711" s="200"/>
    </row>
    <row r="712" spans="1:8" x14ac:dyDescent="0.25">
      <c r="A712" s="133"/>
      <c r="B712" s="8"/>
      <c r="C712" s="8"/>
      <c r="D712" s="8"/>
      <c r="E712" s="8"/>
      <c r="F712" s="133"/>
      <c r="G712" s="200"/>
      <c r="H712" s="200"/>
    </row>
    <row r="713" spans="1:8" x14ac:dyDescent="0.25">
      <c r="A713" s="220" t="s">
        <v>5482</v>
      </c>
      <c r="B713" s="138" t="s">
        <v>731</v>
      </c>
      <c r="C713" s="2449" t="s">
        <v>5605</v>
      </c>
      <c r="D713" s="2449"/>
      <c r="E713" s="2449"/>
      <c r="F713" s="220" t="s">
        <v>867</v>
      </c>
      <c r="G713" s="222" t="s">
        <v>5424</v>
      </c>
      <c r="H713" s="200"/>
    </row>
    <row r="714" spans="1:8" x14ac:dyDescent="0.25">
      <c r="A714" s="133"/>
      <c r="B714" s="8"/>
      <c r="C714" s="223"/>
      <c r="D714" s="223"/>
      <c r="E714" s="223"/>
      <c r="F714" s="133"/>
      <c r="G714" s="200"/>
      <c r="H714" s="200"/>
    </row>
    <row r="715" spans="1:8" x14ac:dyDescent="0.25">
      <c r="A715" s="133"/>
      <c r="B715" s="8"/>
      <c r="C715" s="8"/>
      <c r="D715" s="8"/>
      <c r="E715" s="8"/>
      <c r="F715" s="8"/>
      <c r="G715" s="8"/>
      <c r="H715" s="200"/>
    </row>
    <row r="716" spans="1:8" ht="15.75" thickBot="1" x14ac:dyDescent="0.3">
      <c r="A716" s="133"/>
      <c r="B716" s="8"/>
      <c r="C716" s="8"/>
      <c r="D716" s="8"/>
      <c r="E716" s="8"/>
      <c r="F716" s="133"/>
      <c r="G716" s="200"/>
      <c r="H716" s="200"/>
    </row>
    <row r="717" spans="1:8" ht="15.75" thickBot="1" x14ac:dyDescent="0.3">
      <c r="A717" s="133"/>
      <c r="B717" s="224" t="s">
        <v>5403</v>
      </c>
      <c r="C717" s="193" t="s">
        <v>867</v>
      </c>
      <c r="D717" s="193" t="s">
        <v>6</v>
      </c>
      <c r="E717" s="193" t="s">
        <v>5439</v>
      </c>
      <c r="F717" s="193" t="s">
        <v>5405</v>
      </c>
      <c r="G717" s="225" t="s">
        <v>868</v>
      </c>
      <c r="H717" s="200"/>
    </row>
    <row r="718" spans="1:8" x14ac:dyDescent="0.25">
      <c r="A718" s="133"/>
      <c r="B718" s="195" t="s">
        <v>5440</v>
      </c>
      <c r="C718" s="226" t="s">
        <v>5542</v>
      </c>
      <c r="D718" s="226">
        <v>1</v>
      </c>
      <c r="E718" s="227">
        <f>+H756</f>
        <v>41686.666666666672</v>
      </c>
      <c r="F718" s="226">
        <v>0.05</v>
      </c>
      <c r="G718" s="292">
        <f>+E718*F718</f>
        <v>2084.3333333333335</v>
      </c>
      <c r="H718" s="200"/>
    </row>
    <row r="719" spans="1:8" x14ac:dyDescent="0.25">
      <c r="A719" s="133"/>
      <c r="B719" s="195"/>
      <c r="C719" s="226"/>
      <c r="D719" s="226"/>
      <c r="E719" s="230"/>
      <c r="F719" s="226"/>
      <c r="G719" s="229"/>
      <c r="H719" s="200"/>
    </row>
    <row r="720" spans="1:8" x14ac:dyDescent="0.25">
      <c r="A720" s="133"/>
      <c r="B720" s="195"/>
      <c r="C720" s="226"/>
      <c r="D720" s="226"/>
      <c r="E720" s="176"/>
      <c r="F720" s="226"/>
      <c r="G720" s="229"/>
      <c r="H720" s="200"/>
    </row>
    <row r="721" spans="1:8" x14ac:dyDescent="0.25">
      <c r="A721" s="133"/>
      <c r="B721" s="195"/>
      <c r="C721" s="226"/>
      <c r="D721" s="226"/>
      <c r="E721" s="171"/>
      <c r="F721" s="226"/>
      <c r="G721" s="293"/>
      <c r="H721" s="200"/>
    </row>
    <row r="722" spans="1:8" x14ac:dyDescent="0.25">
      <c r="A722" s="133"/>
      <c r="B722" s="195"/>
      <c r="C722" s="226"/>
      <c r="D722" s="232"/>
      <c r="E722" s="232"/>
      <c r="F722" s="226"/>
      <c r="G722" s="229"/>
      <c r="H722" s="200"/>
    </row>
    <row r="723" spans="1:8" ht="15.75" thickBot="1" x14ac:dyDescent="0.3">
      <c r="A723" s="133"/>
      <c r="B723" s="195"/>
      <c r="C723" s="226"/>
      <c r="D723" s="232"/>
      <c r="E723" s="232"/>
      <c r="F723" s="226"/>
      <c r="G723" s="229"/>
      <c r="H723" s="200"/>
    </row>
    <row r="724" spans="1:8" ht="15.75" thickBot="1" x14ac:dyDescent="0.3">
      <c r="A724" s="133"/>
      <c r="B724" s="233"/>
      <c r="C724" s="234"/>
      <c r="D724" s="234"/>
      <c r="E724" s="234"/>
      <c r="F724" s="235"/>
      <c r="G724" s="236"/>
      <c r="H724" s="237">
        <f>+SUM(G718:G724)</f>
        <v>2084.3333333333335</v>
      </c>
    </row>
    <row r="725" spans="1:8" ht="15.75" thickBot="1" x14ac:dyDescent="0.3">
      <c r="A725" s="133"/>
      <c r="B725" s="238"/>
      <c r="C725" s="238"/>
      <c r="D725" s="238"/>
      <c r="E725" s="238"/>
      <c r="F725" s="239"/>
      <c r="G725" s="240"/>
      <c r="H725" s="241"/>
    </row>
    <row r="726" spans="1:8" ht="15.75" thickBot="1" x14ac:dyDescent="0.3">
      <c r="A726" s="133"/>
      <c r="B726" s="224" t="s">
        <v>5408</v>
      </c>
      <c r="C726" s="193" t="s">
        <v>867</v>
      </c>
      <c r="D726" s="193" t="s">
        <v>6</v>
      </c>
      <c r="E726" s="193" t="s">
        <v>870</v>
      </c>
      <c r="F726" s="193" t="s">
        <v>5409</v>
      </c>
      <c r="G726" s="225" t="s">
        <v>868</v>
      </c>
      <c r="H726" s="200"/>
    </row>
    <row r="727" spans="1:8" x14ac:dyDescent="0.25">
      <c r="A727" s="133"/>
      <c r="B727" s="242" t="s">
        <v>6154</v>
      </c>
      <c r="C727" s="202" t="s">
        <v>5424</v>
      </c>
      <c r="D727" s="226">
        <v>1</v>
      </c>
      <c r="E727" s="171">
        <v>300</v>
      </c>
      <c r="F727" s="169">
        <v>0.02</v>
      </c>
      <c r="G727" s="294">
        <f>+D727*E727*(1+F727)</f>
        <v>306</v>
      </c>
      <c r="H727" s="200"/>
    </row>
    <row r="728" spans="1:8" x14ac:dyDescent="0.25">
      <c r="A728" s="133"/>
      <c r="B728" s="243" t="s">
        <v>6155</v>
      </c>
      <c r="C728" s="202" t="s">
        <v>5443</v>
      </c>
      <c r="D728" s="202">
        <v>0.1</v>
      </c>
      <c r="E728" s="175">
        <v>800</v>
      </c>
      <c r="F728" s="169">
        <v>0.1</v>
      </c>
      <c r="G728" s="294">
        <f>+D728*E728*(1+F728)</f>
        <v>88</v>
      </c>
      <c r="H728" s="200"/>
    </row>
    <row r="729" spans="1:8" x14ac:dyDescent="0.25">
      <c r="A729" s="133"/>
      <c r="B729" s="243" t="s">
        <v>6156</v>
      </c>
      <c r="C729" s="226" t="s">
        <v>5424</v>
      </c>
      <c r="D729" s="226">
        <v>2</v>
      </c>
      <c r="E729" s="244">
        <v>450</v>
      </c>
      <c r="F729" s="169">
        <v>0.02</v>
      </c>
      <c r="G729" s="294">
        <f>+D729*E729*(1+F729)</f>
        <v>918</v>
      </c>
      <c r="H729" s="200"/>
    </row>
    <row r="730" spans="1:8" x14ac:dyDescent="0.25">
      <c r="A730" s="133"/>
      <c r="B730" s="194" t="s">
        <v>6157</v>
      </c>
      <c r="C730" s="226" t="s">
        <v>5402</v>
      </c>
      <c r="D730" s="226">
        <v>2</v>
      </c>
      <c r="E730" s="171">
        <v>3000</v>
      </c>
      <c r="F730" s="169">
        <v>0.05</v>
      </c>
      <c r="G730" s="294">
        <f>+D730*E730*(1+F730)</f>
        <v>6300</v>
      </c>
      <c r="H730" s="200"/>
    </row>
    <row r="731" spans="1:8" x14ac:dyDescent="0.25">
      <c r="A731" s="133"/>
      <c r="B731" s="195" t="s">
        <v>6158</v>
      </c>
      <c r="C731" s="226" t="s">
        <v>5424</v>
      </c>
      <c r="D731" s="226">
        <v>1</v>
      </c>
      <c r="E731" s="171">
        <v>400</v>
      </c>
      <c r="F731" s="169">
        <v>0.02</v>
      </c>
      <c r="G731" s="294">
        <f>+D731*E731*(1+F731)</f>
        <v>408</v>
      </c>
      <c r="H731" s="200"/>
    </row>
    <row r="732" spans="1:8" x14ac:dyDescent="0.25">
      <c r="A732" s="133"/>
      <c r="B732" s="194"/>
      <c r="C732" s="202"/>
      <c r="D732" s="202"/>
      <c r="E732" s="171"/>
      <c r="F732" s="169"/>
      <c r="G732" s="178"/>
      <c r="H732" s="200"/>
    </row>
    <row r="733" spans="1:8" x14ac:dyDescent="0.25">
      <c r="A733" s="133"/>
      <c r="B733" s="195"/>
      <c r="C733" s="226"/>
      <c r="D733" s="226"/>
      <c r="E733" s="171"/>
      <c r="F733" s="169"/>
      <c r="G733" s="178"/>
      <c r="H733" s="200"/>
    </row>
    <row r="734" spans="1:8" x14ac:dyDescent="0.25">
      <c r="A734" s="133"/>
      <c r="B734" s="195"/>
      <c r="C734" s="226"/>
      <c r="D734" s="226"/>
      <c r="E734" s="171"/>
      <c r="F734" s="169"/>
      <c r="G734" s="178"/>
      <c r="H734" s="200"/>
    </row>
    <row r="735" spans="1:8" x14ac:dyDescent="0.25">
      <c r="A735" s="133"/>
      <c r="B735" s="195"/>
      <c r="C735" s="232"/>
      <c r="D735" s="232"/>
      <c r="E735" s="232"/>
      <c r="F735" s="226"/>
      <c r="G735" s="229"/>
      <c r="H735" s="200"/>
    </row>
    <row r="736" spans="1:8" x14ac:dyDescent="0.25">
      <c r="A736" s="133"/>
      <c r="B736" s="195"/>
      <c r="C736" s="232"/>
      <c r="D736" s="232"/>
      <c r="E736" s="232"/>
      <c r="F736" s="226"/>
      <c r="G736" s="229"/>
      <c r="H736" s="200"/>
    </row>
    <row r="737" spans="1:8" x14ac:dyDescent="0.25">
      <c r="A737" s="133"/>
      <c r="B737" s="195"/>
      <c r="C737" s="232"/>
      <c r="D737" s="232"/>
      <c r="E737" s="232"/>
      <c r="F737" s="226"/>
      <c r="G737" s="229"/>
      <c r="H737" s="200"/>
    </row>
    <row r="738" spans="1:8" ht="15.75" thickBot="1" x14ac:dyDescent="0.3">
      <c r="A738" s="133"/>
      <c r="B738" s="195"/>
      <c r="C738" s="232"/>
      <c r="D738" s="232"/>
      <c r="E738" s="232"/>
      <c r="F738" s="226"/>
      <c r="G738" s="229"/>
      <c r="H738" s="200"/>
    </row>
    <row r="739" spans="1:8" ht="15.75" thickBot="1" x14ac:dyDescent="0.3">
      <c r="A739" s="133"/>
      <c r="B739" s="233"/>
      <c r="C739" s="234"/>
      <c r="D739" s="234"/>
      <c r="E739" s="234"/>
      <c r="F739" s="235"/>
      <c r="G739" s="236"/>
      <c r="H739" s="237">
        <f>+SUM(G727:G739)</f>
        <v>8020</v>
      </c>
    </row>
    <row r="740" spans="1:8" ht="15.75" thickBot="1" x14ac:dyDescent="0.3">
      <c r="A740" s="133"/>
      <c r="B740" s="238"/>
      <c r="C740" s="238"/>
      <c r="D740" s="238"/>
      <c r="E740" s="238"/>
      <c r="F740" s="239"/>
      <c r="G740" s="240"/>
      <c r="H740" s="241"/>
    </row>
    <row r="741" spans="1:8" ht="15.75" thickBot="1" x14ac:dyDescent="0.3">
      <c r="A741" s="133"/>
      <c r="B741" s="224" t="s">
        <v>5410</v>
      </c>
      <c r="C741" s="193" t="s">
        <v>867</v>
      </c>
      <c r="D741" s="193" t="s">
        <v>6</v>
      </c>
      <c r="E741" s="193" t="s">
        <v>870</v>
      </c>
      <c r="F741" s="193" t="s">
        <v>5411</v>
      </c>
      <c r="G741" s="225" t="s">
        <v>868</v>
      </c>
      <c r="H741" s="200"/>
    </row>
    <row r="742" spans="1:8" x14ac:dyDescent="0.25">
      <c r="A742" s="133"/>
      <c r="B742" s="245"/>
      <c r="C742" s="202"/>
      <c r="D742" s="202"/>
      <c r="E742" s="175"/>
      <c r="F742" s="202"/>
      <c r="G742" s="203"/>
      <c r="H742" s="246"/>
    </row>
    <row r="743" spans="1:8" x14ac:dyDescent="0.25">
      <c r="A743" s="133"/>
      <c r="B743" s="247"/>
      <c r="C743" s="248"/>
      <c r="D743" s="248"/>
      <c r="E743" s="248"/>
      <c r="F743" s="202"/>
      <c r="G743" s="178"/>
      <c r="H743" s="200"/>
    </row>
    <row r="744" spans="1:8" x14ac:dyDescent="0.25">
      <c r="A744" s="133"/>
      <c r="B744" s="247"/>
      <c r="C744" s="232"/>
      <c r="D744" s="232"/>
      <c r="E744" s="232"/>
      <c r="F744" s="226"/>
      <c r="G744" s="229"/>
      <c r="H744" s="200"/>
    </row>
    <row r="745" spans="1:8" x14ac:dyDescent="0.25">
      <c r="A745" s="133"/>
      <c r="B745" s="194"/>
      <c r="C745" s="232"/>
      <c r="D745" s="232"/>
      <c r="E745" s="232"/>
      <c r="F745" s="226"/>
      <c r="G745" s="229"/>
      <c r="H745" s="200"/>
    </row>
    <row r="746" spans="1:8" ht="15.75" thickBot="1" x14ac:dyDescent="0.3">
      <c r="A746" s="133"/>
      <c r="B746" s="195"/>
      <c r="C746" s="232"/>
      <c r="D746" s="232"/>
      <c r="E746" s="232"/>
      <c r="F746" s="226"/>
      <c r="G746" s="229"/>
      <c r="H746" s="200"/>
    </row>
    <row r="747" spans="1:8" ht="15.75" thickBot="1" x14ac:dyDescent="0.3">
      <c r="A747" s="133"/>
      <c r="B747" s="233"/>
      <c r="C747" s="234"/>
      <c r="D747" s="234"/>
      <c r="E747" s="234"/>
      <c r="F747" s="235"/>
      <c r="G747" s="236"/>
      <c r="H747" s="237">
        <f>+SUM(G742:G747)</f>
        <v>0</v>
      </c>
    </row>
    <row r="748" spans="1:8" ht="15.75" thickBot="1" x14ac:dyDescent="0.3">
      <c r="A748" s="133"/>
      <c r="B748" s="238"/>
      <c r="C748" s="238"/>
      <c r="D748" s="238"/>
      <c r="E748" s="238"/>
      <c r="F748" s="249"/>
      <c r="G748" s="250"/>
      <c r="H748" s="241"/>
    </row>
    <row r="749" spans="1:8" ht="15.75" thickBot="1" x14ac:dyDescent="0.3">
      <c r="A749" s="133"/>
      <c r="B749" s="224" t="s">
        <v>5412</v>
      </c>
      <c r="C749" s="193" t="s">
        <v>5420</v>
      </c>
      <c r="D749" s="193" t="s">
        <v>5421</v>
      </c>
      <c r="E749" s="193" t="s">
        <v>5413</v>
      </c>
      <c r="F749" s="193" t="s">
        <v>5405</v>
      </c>
      <c r="G749" s="225" t="s">
        <v>868</v>
      </c>
      <c r="H749" s="200"/>
    </row>
    <row r="750" spans="1:8" x14ac:dyDescent="0.25">
      <c r="A750" s="133"/>
      <c r="B750" s="194" t="s">
        <v>5948</v>
      </c>
      <c r="C750" s="345">
        <v>70000</v>
      </c>
      <c r="D750" s="176">
        <f>+C750*0.85</f>
        <v>59500</v>
      </c>
      <c r="E750" s="176">
        <f>+C750+D750</f>
        <v>129500</v>
      </c>
      <c r="F750" s="209">
        <v>30</v>
      </c>
      <c r="G750" s="178">
        <f>+E750/F750</f>
        <v>4316.666666666667</v>
      </c>
      <c r="H750" s="200"/>
    </row>
    <row r="751" spans="1:8" x14ac:dyDescent="0.25">
      <c r="A751" s="133"/>
      <c r="B751" s="194" t="s">
        <v>5651</v>
      </c>
      <c r="C751" s="345">
        <v>40000</v>
      </c>
      <c r="D751" s="176">
        <f>+C751*0.85</f>
        <v>34000</v>
      </c>
      <c r="E751" s="176">
        <f>+C751+D751</f>
        <v>74000</v>
      </c>
      <c r="F751" s="202">
        <v>3</v>
      </c>
      <c r="G751" s="178">
        <f>+E751/F751</f>
        <v>24666.666666666668</v>
      </c>
      <c r="H751" s="200"/>
    </row>
    <row r="752" spans="1:8" x14ac:dyDescent="0.25">
      <c r="A752" s="133"/>
      <c r="B752" s="195" t="s">
        <v>5635</v>
      </c>
      <c r="C752" s="345">
        <v>20600</v>
      </c>
      <c r="D752" s="176">
        <f>+C752*0.85</f>
        <v>17510</v>
      </c>
      <c r="E752" s="176">
        <f>+C752+D752</f>
        <v>38110</v>
      </c>
      <c r="F752" s="226">
        <v>3</v>
      </c>
      <c r="G752" s="178">
        <f>+E752/F752</f>
        <v>12703.333333333334</v>
      </c>
      <c r="H752" s="200"/>
    </row>
    <row r="753" spans="1:16" x14ac:dyDescent="0.25">
      <c r="A753" s="133"/>
      <c r="B753" s="195"/>
      <c r="C753" s="171"/>
      <c r="D753" s="176"/>
      <c r="E753" s="176"/>
      <c r="F753" s="226"/>
      <c r="G753" s="178"/>
      <c r="H753" s="200"/>
    </row>
    <row r="754" spans="1:16" x14ac:dyDescent="0.25">
      <c r="A754" s="133"/>
      <c r="B754" s="195"/>
      <c r="C754" s="232"/>
      <c r="D754" s="232"/>
      <c r="E754" s="232"/>
      <c r="F754" s="226"/>
      <c r="G754" s="229"/>
      <c r="H754" s="200"/>
    </row>
    <row r="755" spans="1:16" ht="15.75" thickBot="1" x14ac:dyDescent="0.3">
      <c r="A755" s="133"/>
      <c r="B755" s="195"/>
      <c r="C755" s="232"/>
      <c r="D755" s="232"/>
      <c r="E755" s="232"/>
      <c r="F755" s="226"/>
      <c r="G755" s="229"/>
      <c r="H755" s="200"/>
    </row>
    <row r="756" spans="1:16" ht="15.75" thickBot="1" x14ac:dyDescent="0.3">
      <c r="A756" s="133"/>
      <c r="B756" s="251"/>
      <c r="C756" s="252"/>
      <c r="D756" s="252"/>
      <c r="E756" s="252"/>
      <c r="F756" s="253"/>
      <c r="G756" s="254"/>
      <c r="H756" s="237">
        <f>+SUM(G750:G756)</f>
        <v>41686.666666666672</v>
      </c>
    </row>
    <row r="757" spans="1:16" ht="15.75" thickBot="1" x14ac:dyDescent="0.3">
      <c r="A757" s="133"/>
      <c r="B757" s="8"/>
      <c r="C757" s="8"/>
      <c r="D757" s="8"/>
      <c r="E757" s="8"/>
      <c r="F757" s="133"/>
      <c r="G757" s="200"/>
      <c r="H757" s="200"/>
    </row>
    <row r="758" spans="1:16" ht="15.75" thickBot="1" x14ac:dyDescent="0.3">
      <c r="A758" s="133"/>
      <c r="B758" s="8"/>
      <c r="C758" s="8"/>
      <c r="D758" s="8"/>
      <c r="E758" s="223" t="s">
        <v>5415</v>
      </c>
      <c r="F758" s="133"/>
      <c r="G758" s="200"/>
      <c r="H758" s="237">
        <f>+H756+H747+H739+H724</f>
        <v>51791.000000000007</v>
      </c>
    </row>
    <row r="763" spans="1:16" ht="18.75" x14ac:dyDescent="0.25">
      <c r="A763" s="133"/>
      <c r="B763" s="2506" t="s">
        <v>5400</v>
      </c>
      <c r="C763" s="2506"/>
      <c r="D763" s="2506"/>
      <c r="E763" s="2506"/>
      <c r="F763" s="2506"/>
      <c r="G763" s="2506"/>
      <c r="H763" s="8"/>
      <c r="I763" s="133"/>
      <c r="J763" s="2506" t="s">
        <v>5400</v>
      </c>
      <c r="K763" s="2506"/>
      <c r="L763" s="2506"/>
      <c r="M763" s="2506"/>
      <c r="N763" s="2506"/>
      <c r="O763" s="2506"/>
      <c r="P763" s="8"/>
    </row>
    <row r="764" spans="1:16" x14ac:dyDescent="0.25">
      <c r="A764" s="133"/>
      <c r="B764" s="8"/>
      <c r="C764" s="8"/>
      <c r="D764" s="8"/>
      <c r="E764" s="8"/>
      <c r="F764" s="133"/>
      <c r="G764" s="200"/>
      <c r="H764" s="200"/>
      <c r="I764" s="133"/>
      <c r="J764" s="8"/>
      <c r="K764" s="8"/>
      <c r="L764" s="8"/>
      <c r="M764" s="8"/>
      <c r="N764" s="133"/>
      <c r="O764" s="200"/>
      <c r="P764" s="200"/>
    </row>
    <row r="765" spans="1:16" x14ac:dyDescent="0.25">
      <c r="A765" s="133"/>
      <c r="B765" s="8"/>
      <c r="C765" s="8"/>
      <c r="D765" s="8"/>
      <c r="E765" s="8"/>
      <c r="F765" s="133"/>
      <c r="G765" s="200"/>
      <c r="H765" s="200"/>
      <c r="I765" s="133"/>
      <c r="J765" s="8"/>
      <c r="K765" s="8"/>
      <c r="L765" s="8"/>
      <c r="M765" s="8"/>
      <c r="N765" s="133"/>
      <c r="O765" s="200"/>
      <c r="P765" s="200"/>
    </row>
    <row r="766" spans="1:16" x14ac:dyDescent="0.25">
      <c r="A766" s="133"/>
      <c r="B766" s="8"/>
      <c r="C766" s="8"/>
      <c r="D766" s="8"/>
      <c r="E766" s="8"/>
      <c r="F766" s="133"/>
      <c r="G766" s="200"/>
      <c r="H766" s="200"/>
      <c r="I766" s="133"/>
      <c r="J766" s="8"/>
      <c r="K766" s="8"/>
      <c r="L766" s="8"/>
      <c r="M766" s="8"/>
      <c r="N766" s="133"/>
      <c r="O766" s="200"/>
      <c r="P766" s="200"/>
    </row>
    <row r="767" spans="1:16" x14ac:dyDescent="0.25">
      <c r="A767" s="220" t="s">
        <v>5482</v>
      </c>
      <c r="B767" s="138" t="s">
        <v>732</v>
      </c>
      <c r="C767" s="2449" t="s">
        <v>6159</v>
      </c>
      <c r="D767" s="2449"/>
      <c r="E767" s="2449"/>
      <c r="F767" s="220" t="s">
        <v>867</v>
      </c>
      <c r="G767" s="222" t="s">
        <v>5424</v>
      </c>
      <c r="H767" s="200"/>
      <c r="I767" s="220" t="s">
        <v>5482</v>
      </c>
      <c r="J767" s="138" t="s">
        <v>732</v>
      </c>
      <c r="K767" s="2449" t="s">
        <v>6162</v>
      </c>
      <c r="L767" s="2449"/>
      <c r="M767" s="2449"/>
      <c r="N767" s="220" t="s">
        <v>867</v>
      </c>
      <c r="O767" s="222" t="s">
        <v>5424</v>
      </c>
      <c r="P767" s="200"/>
    </row>
    <row r="768" spans="1:16" x14ac:dyDescent="0.25">
      <c r="A768" s="133"/>
      <c r="B768" s="8"/>
      <c r="C768" s="223"/>
      <c r="D768" s="223"/>
      <c r="E768" s="223"/>
      <c r="F768" s="133"/>
      <c r="G768" s="200"/>
      <c r="H768" s="200"/>
      <c r="I768" s="133"/>
      <c r="J768" s="8"/>
      <c r="K768" s="223"/>
      <c r="L768" s="223"/>
      <c r="M768" s="223"/>
      <c r="N768" s="133"/>
      <c r="O768" s="200"/>
      <c r="P768" s="200"/>
    </row>
    <row r="769" spans="1:16" x14ac:dyDescent="0.25">
      <c r="A769" s="133"/>
      <c r="B769" s="8"/>
      <c r="C769" s="8"/>
      <c r="D769" s="8"/>
      <c r="E769" s="8"/>
      <c r="F769" s="8"/>
      <c r="G769" s="8"/>
      <c r="H769" s="200"/>
      <c r="I769" s="133"/>
      <c r="J769" s="8"/>
      <c r="K769" s="8"/>
      <c r="L769" s="8"/>
      <c r="M769" s="8"/>
      <c r="N769" s="8"/>
      <c r="O769" s="8"/>
      <c r="P769" s="200"/>
    </row>
    <row r="770" spans="1:16" ht="15.75" thickBot="1" x14ac:dyDescent="0.3">
      <c r="A770" s="133"/>
      <c r="B770" s="8"/>
      <c r="C770" s="8"/>
      <c r="D770" s="8"/>
      <c r="E770" s="8"/>
      <c r="F770" s="133"/>
      <c r="G770" s="200"/>
      <c r="H770" s="200"/>
      <c r="I770" s="133"/>
      <c r="J770" s="8"/>
      <c r="K770" s="8"/>
      <c r="L770" s="8"/>
      <c r="M770" s="8"/>
      <c r="N770" s="133"/>
      <c r="O770" s="200"/>
      <c r="P770" s="200"/>
    </row>
    <row r="771" spans="1:16" ht="15.75" thickBot="1" x14ac:dyDescent="0.3">
      <c r="A771" s="133"/>
      <c r="B771" s="224" t="s">
        <v>5403</v>
      </c>
      <c r="C771" s="193" t="s">
        <v>867</v>
      </c>
      <c r="D771" s="193" t="s">
        <v>6</v>
      </c>
      <c r="E771" s="193" t="s">
        <v>5439</v>
      </c>
      <c r="F771" s="193" t="s">
        <v>5405</v>
      </c>
      <c r="G771" s="225" t="s">
        <v>868</v>
      </c>
      <c r="H771" s="200"/>
      <c r="I771" s="133"/>
      <c r="J771" s="224" t="s">
        <v>5403</v>
      </c>
      <c r="K771" s="193" t="s">
        <v>867</v>
      </c>
      <c r="L771" s="193" t="s">
        <v>6</v>
      </c>
      <c r="M771" s="193" t="s">
        <v>5439</v>
      </c>
      <c r="N771" s="193" t="s">
        <v>5405</v>
      </c>
      <c r="O771" s="225" t="s">
        <v>868</v>
      </c>
      <c r="P771" s="200"/>
    </row>
    <row r="772" spans="1:16" x14ac:dyDescent="0.25">
      <c r="A772" s="133"/>
      <c r="B772" s="195" t="s">
        <v>5440</v>
      </c>
      <c r="C772" s="226" t="s">
        <v>5542</v>
      </c>
      <c r="D772" s="226">
        <v>1</v>
      </c>
      <c r="E772" s="227">
        <f>+H810</f>
        <v>25012</v>
      </c>
      <c r="F772" s="226">
        <v>0.05</v>
      </c>
      <c r="G772" s="292">
        <f>+E772*F772</f>
        <v>1250.6000000000001</v>
      </c>
      <c r="H772" s="200"/>
      <c r="I772" s="133"/>
      <c r="J772" s="195" t="s">
        <v>5440</v>
      </c>
      <c r="K772" s="226" t="s">
        <v>5542</v>
      </c>
      <c r="L772" s="226">
        <v>1</v>
      </c>
      <c r="M772" s="227">
        <f>+P810</f>
        <v>25012</v>
      </c>
      <c r="N772" s="226">
        <v>0.05</v>
      </c>
      <c r="O772" s="292">
        <f>+M772*N772</f>
        <v>1250.6000000000001</v>
      </c>
      <c r="P772" s="200"/>
    </row>
    <row r="773" spans="1:16" x14ac:dyDescent="0.25">
      <c r="A773" s="133"/>
      <c r="B773" s="195"/>
      <c r="C773" s="226"/>
      <c r="D773" s="226"/>
      <c r="E773" s="230"/>
      <c r="F773" s="226"/>
      <c r="G773" s="229"/>
      <c r="H773" s="200"/>
      <c r="I773" s="133"/>
      <c r="J773" s="195"/>
      <c r="K773" s="226"/>
      <c r="L773" s="226"/>
      <c r="M773" s="230"/>
      <c r="N773" s="226"/>
      <c r="O773" s="229"/>
      <c r="P773" s="200"/>
    </row>
    <row r="774" spans="1:16" x14ac:dyDescent="0.25">
      <c r="A774" s="133"/>
      <c r="B774" s="195"/>
      <c r="C774" s="226"/>
      <c r="D774" s="226"/>
      <c r="E774" s="176"/>
      <c r="F774" s="226"/>
      <c r="G774" s="229"/>
      <c r="H774" s="200"/>
      <c r="I774" s="133"/>
      <c r="J774" s="195"/>
      <c r="K774" s="226"/>
      <c r="L774" s="226"/>
      <c r="M774" s="176"/>
      <c r="N774" s="226"/>
      <c r="O774" s="229"/>
      <c r="P774" s="200"/>
    </row>
    <row r="775" spans="1:16" x14ac:dyDescent="0.25">
      <c r="A775" s="133"/>
      <c r="B775" s="195"/>
      <c r="C775" s="226"/>
      <c r="D775" s="226"/>
      <c r="E775" s="171"/>
      <c r="F775" s="226"/>
      <c r="G775" s="293"/>
      <c r="H775" s="200"/>
      <c r="I775" s="133"/>
      <c r="J775" s="195"/>
      <c r="K775" s="226"/>
      <c r="L775" s="226"/>
      <c r="M775" s="171"/>
      <c r="N775" s="226"/>
      <c r="O775" s="293"/>
      <c r="P775" s="200"/>
    </row>
    <row r="776" spans="1:16" x14ac:dyDescent="0.25">
      <c r="A776" s="133"/>
      <c r="B776" s="195"/>
      <c r="C776" s="226"/>
      <c r="D776" s="232"/>
      <c r="E776" s="232"/>
      <c r="F776" s="226"/>
      <c r="G776" s="229"/>
      <c r="H776" s="200"/>
      <c r="I776" s="133"/>
      <c r="J776" s="195"/>
      <c r="K776" s="226"/>
      <c r="L776" s="232"/>
      <c r="M776" s="232"/>
      <c r="N776" s="226"/>
      <c r="O776" s="229"/>
      <c r="P776" s="200"/>
    </row>
    <row r="777" spans="1:16" ht="15.75" thickBot="1" x14ac:dyDescent="0.3">
      <c r="A777" s="133"/>
      <c r="B777" s="195"/>
      <c r="C777" s="226"/>
      <c r="D777" s="232"/>
      <c r="E777" s="232"/>
      <c r="F777" s="226"/>
      <c r="G777" s="229"/>
      <c r="H777" s="200"/>
      <c r="I777" s="133"/>
      <c r="J777" s="195"/>
      <c r="K777" s="226"/>
      <c r="L777" s="232"/>
      <c r="M777" s="232"/>
      <c r="N777" s="226"/>
      <c r="O777" s="229"/>
      <c r="P777" s="200"/>
    </row>
    <row r="778" spans="1:16" ht="15.75" thickBot="1" x14ac:dyDescent="0.3">
      <c r="A778" s="133"/>
      <c r="B778" s="233"/>
      <c r="C778" s="234"/>
      <c r="D778" s="234"/>
      <c r="E778" s="234"/>
      <c r="F778" s="235"/>
      <c r="G778" s="236"/>
      <c r="H778" s="237">
        <f>+SUM(G772:G778)</f>
        <v>1250.6000000000001</v>
      </c>
      <c r="I778" s="133"/>
      <c r="J778" s="233"/>
      <c r="K778" s="234"/>
      <c r="L778" s="234"/>
      <c r="M778" s="234"/>
      <c r="N778" s="235"/>
      <c r="O778" s="236"/>
      <c r="P778" s="237">
        <f>+SUM(O772:O778)</f>
        <v>1250.6000000000001</v>
      </c>
    </row>
    <row r="779" spans="1:16" ht="15.75" thickBot="1" x14ac:dyDescent="0.3">
      <c r="A779" s="133"/>
      <c r="B779" s="238"/>
      <c r="C779" s="238"/>
      <c r="D779" s="238"/>
      <c r="E779" s="238"/>
      <c r="F779" s="239"/>
      <c r="G779" s="240"/>
      <c r="H779" s="241"/>
      <c r="I779" s="133"/>
      <c r="J779" s="238"/>
      <c r="K779" s="238"/>
      <c r="L779" s="238"/>
      <c r="M779" s="238"/>
      <c r="N779" s="239"/>
      <c r="O779" s="240"/>
      <c r="P779" s="241"/>
    </row>
    <row r="780" spans="1:16" ht="15.75" thickBot="1" x14ac:dyDescent="0.3">
      <c r="A780" s="133"/>
      <c r="B780" s="224" t="s">
        <v>5408</v>
      </c>
      <c r="C780" s="193" t="s">
        <v>867</v>
      </c>
      <c r="D780" s="193" t="s">
        <v>6</v>
      </c>
      <c r="E780" s="193" t="s">
        <v>870</v>
      </c>
      <c r="F780" s="193" t="s">
        <v>5409</v>
      </c>
      <c r="G780" s="225" t="s">
        <v>868</v>
      </c>
      <c r="H780" s="200"/>
      <c r="I780" s="133"/>
      <c r="J780" s="224" t="s">
        <v>5408</v>
      </c>
      <c r="K780" s="193" t="s">
        <v>867</v>
      </c>
      <c r="L780" s="193" t="s">
        <v>6</v>
      </c>
      <c r="M780" s="193" t="s">
        <v>870</v>
      </c>
      <c r="N780" s="193" t="s">
        <v>5409</v>
      </c>
      <c r="O780" s="225" t="s">
        <v>868</v>
      </c>
      <c r="P780" s="200"/>
    </row>
    <row r="781" spans="1:16" x14ac:dyDescent="0.25">
      <c r="A781" s="133"/>
      <c r="B781" s="242" t="s">
        <v>6160</v>
      </c>
      <c r="C781" s="202" t="s">
        <v>5424</v>
      </c>
      <c r="D781" s="226">
        <v>2</v>
      </c>
      <c r="E781" s="171">
        <v>10000</v>
      </c>
      <c r="F781" s="169">
        <v>0.02</v>
      </c>
      <c r="G781" s="294">
        <f>+D781*E781*(1+F781)</f>
        <v>20400</v>
      </c>
      <c r="H781" s="200"/>
      <c r="I781" s="133"/>
      <c r="J781" s="242" t="s">
        <v>6163</v>
      </c>
      <c r="K781" s="202" t="s">
        <v>5424</v>
      </c>
      <c r="L781" s="226">
        <v>2</v>
      </c>
      <c r="M781" s="171">
        <v>9500</v>
      </c>
      <c r="N781" s="169">
        <v>0.02</v>
      </c>
      <c r="O781" s="294">
        <f>+L781*M781*(1+N781)</f>
        <v>19380</v>
      </c>
      <c r="P781" s="200"/>
    </row>
    <row r="782" spans="1:16" x14ac:dyDescent="0.25">
      <c r="A782" s="133"/>
      <c r="B782" s="243" t="s">
        <v>6161</v>
      </c>
      <c r="C782" s="202" t="s">
        <v>5402</v>
      </c>
      <c r="D782" s="202">
        <v>1</v>
      </c>
      <c r="E782" s="175">
        <v>18000</v>
      </c>
      <c r="F782" s="169">
        <v>0.05</v>
      </c>
      <c r="G782" s="294">
        <f>+D782*E782*(1+F782)</f>
        <v>18900</v>
      </c>
      <c r="H782" s="200"/>
      <c r="I782" s="133"/>
      <c r="J782" s="243" t="s">
        <v>6164</v>
      </c>
      <c r="K782" s="202" t="s">
        <v>5402</v>
      </c>
      <c r="L782" s="202">
        <v>1</v>
      </c>
      <c r="M782" s="175">
        <v>12000</v>
      </c>
      <c r="N782" s="169">
        <v>0.05</v>
      </c>
      <c r="O782" s="294">
        <f>+L782*M782*(1+N782)</f>
        <v>12600</v>
      </c>
      <c r="P782" s="200"/>
    </row>
    <row r="783" spans="1:16" x14ac:dyDescent="0.25">
      <c r="A783" s="133"/>
      <c r="B783" s="243" t="s">
        <v>6165</v>
      </c>
      <c r="C783" s="226" t="s">
        <v>5424</v>
      </c>
      <c r="D783" s="226">
        <v>1</v>
      </c>
      <c r="E783" s="244">
        <v>5000</v>
      </c>
      <c r="F783" s="169">
        <v>0.02</v>
      </c>
      <c r="G783" s="294">
        <f>+D783*E783*(1+F783)</f>
        <v>5100</v>
      </c>
      <c r="H783" s="200"/>
      <c r="I783" s="133"/>
      <c r="J783" s="243" t="s">
        <v>6166</v>
      </c>
      <c r="K783" s="226" t="s">
        <v>5424</v>
      </c>
      <c r="L783" s="226">
        <v>1</v>
      </c>
      <c r="M783" s="244">
        <v>5000</v>
      </c>
      <c r="N783" s="169">
        <v>0.02</v>
      </c>
      <c r="O783" s="294">
        <f>+L783*M783*(1+N783)</f>
        <v>5100</v>
      </c>
      <c r="P783" s="200"/>
    </row>
    <row r="784" spans="1:16" x14ac:dyDescent="0.25">
      <c r="A784" s="133"/>
      <c r="B784" s="194"/>
      <c r="C784" s="226"/>
      <c r="D784" s="226"/>
      <c r="E784" s="171"/>
      <c r="F784" s="169"/>
      <c r="G784" s="294"/>
      <c r="H784" s="200"/>
      <c r="I784" s="133"/>
      <c r="J784" s="194"/>
      <c r="K784" s="226"/>
      <c r="L784" s="226"/>
      <c r="M784" s="171"/>
      <c r="N784" s="169"/>
      <c r="O784" s="294"/>
      <c r="P784" s="200"/>
    </row>
    <row r="785" spans="1:16" x14ac:dyDescent="0.25">
      <c r="A785" s="133"/>
      <c r="B785" s="195"/>
      <c r="C785" s="226"/>
      <c r="D785" s="226"/>
      <c r="E785" s="171"/>
      <c r="F785" s="169"/>
      <c r="G785" s="178"/>
      <c r="H785" s="200"/>
      <c r="I785" s="133"/>
      <c r="J785" s="195"/>
      <c r="K785" s="226"/>
      <c r="L785" s="226"/>
      <c r="M785" s="171"/>
      <c r="N785" s="169"/>
      <c r="O785" s="178"/>
      <c r="P785" s="200"/>
    </row>
    <row r="786" spans="1:16" x14ac:dyDescent="0.25">
      <c r="A786" s="133"/>
      <c r="B786" s="194"/>
      <c r="C786" s="202"/>
      <c r="D786" s="202"/>
      <c r="E786" s="171"/>
      <c r="F786" s="169"/>
      <c r="G786" s="178"/>
      <c r="H786" s="200"/>
      <c r="I786" s="133"/>
      <c r="J786" s="194"/>
      <c r="K786" s="202"/>
      <c r="L786" s="202"/>
      <c r="M786" s="171"/>
      <c r="N786" s="169"/>
      <c r="O786" s="178"/>
      <c r="P786" s="200"/>
    </row>
    <row r="787" spans="1:16" x14ac:dyDescent="0.25">
      <c r="A787" s="133"/>
      <c r="B787" s="195"/>
      <c r="C787" s="226"/>
      <c r="D787" s="226"/>
      <c r="E787" s="171"/>
      <c r="F787" s="169"/>
      <c r="G787" s="178"/>
      <c r="H787" s="200"/>
      <c r="I787" s="133"/>
      <c r="J787" s="195"/>
      <c r="K787" s="226"/>
      <c r="L787" s="226"/>
      <c r="M787" s="171"/>
      <c r="N787" s="169"/>
      <c r="O787" s="178"/>
      <c r="P787" s="200"/>
    </row>
    <row r="788" spans="1:16" x14ac:dyDescent="0.25">
      <c r="A788" s="133"/>
      <c r="B788" s="195"/>
      <c r="C788" s="226"/>
      <c r="D788" s="226"/>
      <c r="E788" s="171"/>
      <c r="F788" s="169"/>
      <c r="G788" s="178"/>
      <c r="H788" s="200"/>
      <c r="I788" s="133"/>
      <c r="J788" s="195"/>
      <c r="K788" s="226"/>
      <c r="L788" s="226"/>
      <c r="M788" s="171"/>
      <c r="N788" s="169"/>
      <c r="O788" s="178"/>
      <c r="P788" s="200"/>
    </row>
    <row r="789" spans="1:16" x14ac:dyDescent="0.25">
      <c r="A789" s="133"/>
      <c r="B789" s="195"/>
      <c r="C789" s="232"/>
      <c r="D789" s="232"/>
      <c r="E789" s="232"/>
      <c r="F789" s="226"/>
      <c r="G789" s="229"/>
      <c r="H789" s="200"/>
      <c r="I789" s="133"/>
      <c r="J789" s="195"/>
      <c r="K789" s="232"/>
      <c r="L789" s="232"/>
      <c r="M789" s="232"/>
      <c r="N789" s="226"/>
      <c r="O789" s="229"/>
      <c r="P789" s="200"/>
    </row>
    <row r="790" spans="1:16" x14ac:dyDescent="0.25">
      <c r="A790" s="133"/>
      <c r="B790" s="195"/>
      <c r="C790" s="232"/>
      <c r="D790" s="232"/>
      <c r="E790" s="232"/>
      <c r="F790" s="226"/>
      <c r="G790" s="229"/>
      <c r="H790" s="200"/>
      <c r="I790" s="133"/>
      <c r="J790" s="195"/>
      <c r="K790" s="232"/>
      <c r="L790" s="232"/>
      <c r="M790" s="232"/>
      <c r="N790" s="226"/>
      <c r="O790" s="229"/>
      <c r="P790" s="200"/>
    </row>
    <row r="791" spans="1:16" x14ac:dyDescent="0.25">
      <c r="A791" s="133"/>
      <c r="B791" s="195"/>
      <c r="C791" s="232"/>
      <c r="D791" s="232"/>
      <c r="E791" s="232"/>
      <c r="F791" s="226"/>
      <c r="G791" s="229"/>
      <c r="H791" s="200"/>
      <c r="I791" s="133"/>
      <c r="J791" s="195"/>
      <c r="K791" s="232"/>
      <c r="L791" s="232"/>
      <c r="M791" s="232"/>
      <c r="N791" s="226"/>
      <c r="O791" s="229"/>
      <c r="P791" s="200"/>
    </row>
    <row r="792" spans="1:16" ht="15.75" thickBot="1" x14ac:dyDescent="0.3">
      <c r="A792" s="133"/>
      <c r="B792" s="195"/>
      <c r="C792" s="232"/>
      <c r="D792" s="232"/>
      <c r="E792" s="232"/>
      <c r="F792" s="226"/>
      <c r="G792" s="229"/>
      <c r="H792" s="200"/>
      <c r="I792" s="133"/>
      <c r="J792" s="195"/>
      <c r="K792" s="232"/>
      <c r="L792" s="232"/>
      <c r="M792" s="232"/>
      <c r="N792" s="226"/>
      <c r="O792" s="229"/>
      <c r="P792" s="200"/>
    </row>
    <row r="793" spans="1:16" ht="15.75" thickBot="1" x14ac:dyDescent="0.3">
      <c r="A793" s="133"/>
      <c r="B793" s="233"/>
      <c r="C793" s="234"/>
      <c r="D793" s="234"/>
      <c r="E793" s="234"/>
      <c r="F793" s="235"/>
      <c r="G793" s="236"/>
      <c r="H793" s="237">
        <f>+SUM(G781:G793)</f>
        <v>44400</v>
      </c>
      <c r="I793" s="133"/>
      <c r="J793" s="233"/>
      <c r="K793" s="234"/>
      <c r="L793" s="234"/>
      <c r="M793" s="234"/>
      <c r="N793" s="235"/>
      <c r="O793" s="236"/>
      <c r="P793" s="237">
        <f>+SUM(O781:O793)</f>
        <v>37080</v>
      </c>
    </row>
    <row r="794" spans="1:16" ht="15.75" thickBot="1" x14ac:dyDescent="0.3">
      <c r="A794" s="133"/>
      <c r="B794" s="238"/>
      <c r="C794" s="238"/>
      <c r="D794" s="238"/>
      <c r="E794" s="238"/>
      <c r="F794" s="239"/>
      <c r="G794" s="240"/>
      <c r="H794" s="241"/>
      <c r="I794" s="133"/>
      <c r="J794" s="238"/>
      <c r="K794" s="238"/>
      <c r="L794" s="238"/>
      <c r="M794" s="238"/>
      <c r="N794" s="239"/>
      <c r="O794" s="240"/>
      <c r="P794" s="241"/>
    </row>
    <row r="795" spans="1:16" ht="15.75" thickBot="1" x14ac:dyDescent="0.3">
      <c r="A795" s="133"/>
      <c r="B795" s="224" t="s">
        <v>5410</v>
      </c>
      <c r="C795" s="193" t="s">
        <v>867</v>
      </c>
      <c r="D795" s="193" t="s">
        <v>6</v>
      </c>
      <c r="E795" s="193" t="s">
        <v>870</v>
      </c>
      <c r="F795" s="193" t="s">
        <v>5411</v>
      </c>
      <c r="G795" s="225" t="s">
        <v>868</v>
      </c>
      <c r="H795" s="200"/>
      <c r="I795" s="133"/>
      <c r="J795" s="224" t="s">
        <v>5410</v>
      </c>
      <c r="K795" s="193" t="s">
        <v>867</v>
      </c>
      <c r="L795" s="193" t="s">
        <v>6</v>
      </c>
      <c r="M795" s="193" t="s">
        <v>870</v>
      </c>
      <c r="N795" s="193" t="s">
        <v>5411</v>
      </c>
      <c r="O795" s="225" t="s">
        <v>868</v>
      </c>
      <c r="P795" s="200"/>
    </row>
    <row r="796" spans="1:16" x14ac:dyDescent="0.25">
      <c r="A796" s="133"/>
      <c r="B796" s="245"/>
      <c r="C796" s="202"/>
      <c r="D796" s="202"/>
      <c r="E796" s="175"/>
      <c r="F796" s="202"/>
      <c r="G796" s="203"/>
      <c r="H796" s="246"/>
      <c r="I796" s="133"/>
      <c r="J796" s="245"/>
      <c r="K796" s="202"/>
      <c r="L796" s="202"/>
      <c r="M796" s="175"/>
      <c r="N796" s="202"/>
      <c r="O796" s="203"/>
      <c r="P796" s="246"/>
    </row>
    <row r="797" spans="1:16" x14ac:dyDescent="0.25">
      <c r="A797" s="133"/>
      <c r="B797" s="247"/>
      <c r="C797" s="248"/>
      <c r="D797" s="248"/>
      <c r="E797" s="248"/>
      <c r="F797" s="202"/>
      <c r="G797" s="178"/>
      <c r="H797" s="200"/>
      <c r="I797" s="133"/>
      <c r="J797" s="247"/>
      <c r="K797" s="248"/>
      <c r="L797" s="248"/>
      <c r="M797" s="248"/>
      <c r="N797" s="202"/>
      <c r="O797" s="178"/>
      <c r="P797" s="200"/>
    </row>
    <row r="798" spans="1:16" x14ac:dyDescent="0.25">
      <c r="A798" s="133"/>
      <c r="B798" s="247"/>
      <c r="C798" s="232"/>
      <c r="D798" s="232"/>
      <c r="E798" s="232"/>
      <c r="F798" s="226"/>
      <c r="G798" s="229"/>
      <c r="H798" s="200"/>
      <c r="I798" s="133"/>
      <c r="J798" s="247"/>
      <c r="K798" s="232"/>
      <c r="L798" s="232"/>
      <c r="M798" s="232"/>
      <c r="N798" s="226"/>
      <c r="O798" s="229"/>
      <c r="P798" s="200"/>
    </row>
    <row r="799" spans="1:16" x14ac:dyDescent="0.25">
      <c r="A799" s="133"/>
      <c r="B799" s="194"/>
      <c r="C799" s="232"/>
      <c r="D799" s="232"/>
      <c r="E799" s="232"/>
      <c r="F799" s="226"/>
      <c r="G799" s="229"/>
      <c r="H799" s="200"/>
      <c r="I799" s="133"/>
      <c r="J799" s="194"/>
      <c r="K799" s="232"/>
      <c r="L799" s="232"/>
      <c r="M799" s="232"/>
      <c r="N799" s="226"/>
      <c r="O799" s="229"/>
      <c r="P799" s="200"/>
    </row>
    <row r="800" spans="1:16" ht="15.75" thickBot="1" x14ac:dyDescent="0.3">
      <c r="A800" s="133"/>
      <c r="B800" s="195"/>
      <c r="C800" s="232"/>
      <c r="D800" s="232"/>
      <c r="E800" s="232"/>
      <c r="F800" s="226"/>
      <c r="G800" s="229"/>
      <c r="H800" s="200"/>
      <c r="I800" s="133"/>
      <c r="J800" s="195"/>
      <c r="K800" s="232"/>
      <c r="L800" s="232"/>
      <c r="M800" s="232"/>
      <c r="N800" s="226"/>
      <c r="O800" s="229"/>
      <c r="P800" s="200"/>
    </row>
    <row r="801" spans="1:16" ht="15.75" thickBot="1" x14ac:dyDescent="0.3">
      <c r="A801" s="133"/>
      <c r="B801" s="233"/>
      <c r="C801" s="234"/>
      <c r="D801" s="234"/>
      <c r="E801" s="234"/>
      <c r="F801" s="235"/>
      <c r="G801" s="236"/>
      <c r="H801" s="237">
        <f>+SUM(G796:G801)</f>
        <v>0</v>
      </c>
      <c r="I801" s="133"/>
      <c r="J801" s="233"/>
      <c r="K801" s="234"/>
      <c r="L801" s="234"/>
      <c r="M801" s="234"/>
      <c r="N801" s="235"/>
      <c r="O801" s="236"/>
      <c r="P801" s="237">
        <f>+SUM(O796:O801)</f>
        <v>0</v>
      </c>
    </row>
    <row r="802" spans="1:16" ht="15.75" thickBot="1" x14ac:dyDescent="0.3">
      <c r="A802" s="133"/>
      <c r="B802" s="238"/>
      <c r="C802" s="238"/>
      <c r="D802" s="238"/>
      <c r="E802" s="238"/>
      <c r="F802" s="249"/>
      <c r="G802" s="250"/>
      <c r="H802" s="241"/>
      <c r="I802" s="133"/>
      <c r="J802" s="238"/>
      <c r="K802" s="238"/>
      <c r="L802" s="238"/>
      <c r="M802" s="238"/>
      <c r="N802" s="249"/>
      <c r="O802" s="250"/>
      <c r="P802" s="241"/>
    </row>
    <row r="803" spans="1:16" ht="15.75" thickBot="1" x14ac:dyDescent="0.3">
      <c r="A803" s="133"/>
      <c r="B803" s="224" t="s">
        <v>5412</v>
      </c>
      <c r="C803" s="193" t="s">
        <v>5420</v>
      </c>
      <c r="D803" s="193" t="s">
        <v>5421</v>
      </c>
      <c r="E803" s="193" t="s">
        <v>5413</v>
      </c>
      <c r="F803" s="193" t="s">
        <v>5405</v>
      </c>
      <c r="G803" s="225" t="s">
        <v>868</v>
      </c>
      <c r="H803" s="200"/>
      <c r="I803" s="133"/>
      <c r="J803" s="224" t="s">
        <v>5412</v>
      </c>
      <c r="K803" s="193" t="s">
        <v>5420</v>
      </c>
      <c r="L803" s="193" t="s">
        <v>5421</v>
      </c>
      <c r="M803" s="193" t="s">
        <v>5413</v>
      </c>
      <c r="N803" s="193" t="s">
        <v>5405</v>
      </c>
      <c r="O803" s="225" t="s">
        <v>868</v>
      </c>
      <c r="P803" s="200"/>
    </row>
    <row r="804" spans="1:16" x14ac:dyDescent="0.25">
      <c r="A804" s="133"/>
      <c r="B804" s="194" t="s">
        <v>5948</v>
      </c>
      <c r="C804" s="345">
        <v>70000</v>
      </c>
      <c r="D804" s="176">
        <f>+C804*0.85</f>
        <v>59500</v>
      </c>
      <c r="E804" s="176">
        <f>+C804+D804</f>
        <v>129500</v>
      </c>
      <c r="F804" s="209">
        <v>50</v>
      </c>
      <c r="G804" s="178">
        <f>+E804/F804</f>
        <v>2590</v>
      </c>
      <c r="H804" s="200"/>
      <c r="I804" s="133"/>
      <c r="J804" s="194" t="s">
        <v>5948</v>
      </c>
      <c r="K804" s="345">
        <v>70000</v>
      </c>
      <c r="L804" s="176">
        <f>+K804*0.85</f>
        <v>59500</v>
      </c>
      <c r="M804" s="176">
        <f>+K804+L804</f>
        <v>129500</v>
      </c>
      <c r="N804" s="209">
        <v>50</v>
      </c>
      <c r="O804" s="178">
        <f>+M804/N804</f>
        <v>2590</v>
      </c>
      <c r="P804" s="200"/>
    </row>
    <row r="805" spans="1:16" x14ac:dyDescent="0.25">
      <c r="A805" s="133"/>
      <c r="B805" s="194" t="s">
        <v>5651</v>
      </c>
      <c r="C805" s="345">
        <v>40000</v>
      </c>
      <c r="D805" s="176">
        <f>+C805*0.85</f>
        <v>34000</v>
      </c>
      <c r="E805" s="176">
        <f>+C805+D805</f>
        <v>74000</v>
      </c>
      <c r="F805" s="202">
        <v>5</v>
      </c>
      <c r="G805" s="178">
        <f>+E805/F805</f>
        <v>14800</v>
      </c>
      <c r="H805" s="200"/>
      <c r="I805" s="133"/>
      <c r="J805" s="194" t="s">
        <v>5651</v>
      </c>
      <c r="K805" s="345">
        <v>40000</v>
      </c>
      <c r="L805" s="176">
        <f>+K805*0.85</f>
        <v>34000</v>
      </c>
      <c r="M805" s="176">
        <f>+K805+L805</f>
        <v>74000</v>
      </c>
      <c r="N805" s="202">
        <v>5</v>
      </c>
      <c r="O805" s="178">
        <f>+M805/N805</f>
        <v>14800</v>
      </c>
      <c r="P805" s="200"/>
    </row>
    <row r="806" spans="1:16" x14ac:dyDescent="0.25">
      <c r="A806" s="133"/>
      <c r="B806" s="195" t="s">
        <v>5635</v>
      </c>
      <c r="C806" s="345">
        <v>20600</v>
      </c>
      <c r="D806" s="176">
        <f>+C806*0.85</f>
        <v>17510</v>
      </c>
      <c r="E806" s="176">
        <f>+C806+D806</f>
        <v>38110</v>
      </c>
      <c r="F806" s="226">
        <v>5</v>
      </c>
      <c r="G806" s="178">
        <f>+E806/F806</f>
        <v>7622</v>
      </c>
      <c r="H806" s="200"/>
      <c r="I806" s="133"/>
      <c r="J806" s="195" t="s">
        <v>5635</v>
      </c>
      <c r="K806" s="345">
        <v>20600</v>
      </c>
      <c r="L806" s="176">
        <f>+K806*0.85</f>
        <v>17510</v>
      </c>
      <c r="M806" s="176">
        <f>+K806+L806</f>
        <v>38110</v>
      </c>
      <c r="N806" s="226">
        <v>5</v>
      </c>
      <c r="O806" s="178">
        <f>+M806/N806</f>
        <v>7622</v>
      </c>
      <c r="P806" s="200"/>
    </row>
    <row r="807" spans="1:16" x14ac:dyDescent="0.25">
      <c r="A807" s="133"/>
      <c r="B807" s="195"/>
      <c r="C807" s="171"/>
      <c r="D807" s="176"/>
      <c r="E807" s="176"/>
      <c r="F807" s="226"/>
      <c r="G807" s="178"/>
      <c r="H807" s="200"/>
      <c r="I807" s="133"/>
      <c r="J807" s="195"/>
      <c r="K807" s="171"/>
      <c r="L807" s="176"/>
      <c r="M807" s="176"/>
      <c r="N807" s="226"/>
      <c r="O807" s="178"/>
      <c r="P807" s="200"/>
    </row>
    <row r="808" spans="1:16" x14ac:dyDescent="0.25">
      <c r="A808" s="133"/>
      <c r="B808" s="195"/>
      <c r="C808" s="232"/>
      <c r="D808" s="232"/>
      <c r="E808" s="232"/>
      <c r="F808" s="226"/>
      <c r="G808" s="229"/>
      <c r="H808" s="200"/>
      <c r="I808" s="133"/>
      <c r="J808" s="195"/>
      <c r="K808" s="232"/>
      <c r="L808" s="232"/>
      <c r="M808" s="232"/>
      <c r="N808" s="226"/>
      <c r="O808" s="229"/>
      <c r="P808" s="200"/>
    </row>
    <row r="809" spans="1:16" ht="15.75" thickBot="1" x14ac:dyDescent="0.3">
      <c r="A809" s="133"/>
      <c r="B809" s="195"/>
      <c r="C809" s="232"/>
      <c r="D809" s="232"/>
      <c r="E809" s="232"/>
      <c r="F809" s="226"/>
      <c r="G809" s="229"/>
      <c r="H809" s="200"/>
      <c r="I809" s="133"/>
      <c r="J809" s="195"/>
      <c r="K809" s="232"/>
      <c r="L809" s="232"/>
      <c r="M809" s="232"/>
      <c r="N809" s="226"/>
      <c r="O809" s="229"/>
      <c r="P809" s="200"/>
    </row>
    <row r="810" spans="1:16" ht="15.75" thickBot="1" x14ac:dyDescent="0.3">
      <c r="A810" s="133"/>
      <c r="B810" s="251"/>
      <c r="C810" s="252"/>
      <c r="D810" s="252"/>
      <c r="E810" s="252"/>
      <c r="F810" s="253"/>
      <c r="G810" s="254"/>
      <c r="H810" s="237">
        <f>+SUM(G804:G810)</f>
        <v>25012</v>
      </c>
      <c r="I810" s="133"/>
      <c r="J810" s="251"/>
      <c r="K810" s="252"/>
      <c r="L810" s="252"/>
      <c r="M810" s="252"/>
      <c r="N810" s="253"/>
      <c r="O810" s="254"/>
      <c r="P810" s="237">
        <f>+SUM(O804:O810)</f>
        <v>25012</v>
      </c>
    </row>
    <row r="811" spans="1:16" ht="15.75" thickBot="1" x14ac:dyDescent="0.3">
      <c r="A811" s="133"/>
      <c r="B811" s="8"/>
      <c r="C811" s="8"/>
      <c r="D811" s="8"/>
      <c r="E811" s="8"/>
      <c r="F811" s="133"/>
      <c r="G811" s="200"/>
      <c r="H811" s="200"/>
      <c r="I811" s="133"/>
      <c r="J811" s="8"/>
      <c r="K811" s="8"/>
      <c r="L811" s="8"/>
      <c r="M811" s="8"/>
      <c r="N811" s="133"/>
      <c r="O811" s="200"/>
      <c r="P811" s="200"/>
    </row>
    <row r="812" spans="1:16" ht="15.75" thickBot="1" x14ac:dyDescent="0.3">
      <c r="A812" s="133"/>
      <c r="B812" s="8"/>
      <c r="C812" s="8"/>
      <c r="D812" s="8"/>
      <c r="E812" s="223" t="s">
        <v>5415</v>
      </c>
      <c r="F812" s="133"/>
      <c r="G812" s="200"/>
      <c r="H812" s="237">
        <f>+H810+H801+H793+H778</f>
        <v>70662.600000000006</v>
      </c>
      <c r="I812" s="133"/>
      <c r="J812" s="8"/>
      <c r="K812" s="8"/>
      <c r="L812" s="8"/>
      <c r="M812" s="223" t="s">
        <v>5415</v>
      </c>
      <c r="N812" s="133"/>
      <c r="O812" s="200"/>
      <c r="P812" s="237">
        <f>+P810+P801+P793+P778</f>
        <v>63342.6</v>
      </c>
    </row>
    <row r="817" spans="1:16" ht="18.75" x14ac:dyDescent="0.25">
      <c r="A817" s="133"/>
      <c r="B817" s="2506" t="s">
        <v>5400</v>
      </c>
      <c r="C817" s="2506"/>
      <c r="D817" s="2506"/>
      <c r="E817" s="2506"/>
      <c r="F817" s="2506"/>
      <c r="G817" s="2506"/>
      <c r="H817" s="8"/>
      <c r="I817" s="133"/>
      <c r="J817" s="2506" t="s">
        <v>5400</v>
      </c>
      <c r="K817" s="2506"/>
      <c r="L817" s="2506"/>
      <c r="M817" s="2506"/>
      <c r="N817" s="2506"/>
      <c r="O817" s="2506"/>
      <c r="P817" s="8"/>
    </row>
    <row r="818" spans="1:16" x14ac:dyDescent="0.25">
      <c r="A818" s="133"/>
      <c r="B818" s="8"/>
      <c r="C818" s="8"/>
      <c r="D818" s="8"/>
      <c r="E818" s="8"/>
      <c r="F818" s="133"/>
      <c r="G818" s="200"/>
      <c r="H818" s="200"/>
      <c r="I818" s="133"/>
      <c r="J818" s="8"/>
      <c r="K818" s="8"/>
      <c r="L818" s="8"/>
      <c r="M818" s="8"/>
      <c r="N818" s="133"/>
      <c r="O818" s="200"/>
      <c r="P818" s="200"/>
    </row>
    <row r="819" spans="1:16" x14ac:dyDescent="0.25">
      <c r="A819" s="133"/>
      <c r="B819" s="8"/>
      <c r="C819" s="8"/>
      <c r="D819" s="8"/>
      <c r="E819" s="8"/>
      <c r="F819" s="133"/>
      <c r="G819" s="200"/>
      <c r="H819" s="200"/>
      <c r="I819" s="133"/>
      <c r="J819" s="8"/>
      <c r="K819" s="8"/>
      <c r="L819" s="8"/>
      <c r="M819" s="8"/>
      <c r="N819" s="133"/>
      <c r="O819" s="200"/>
      <c r="P819" s="200"/>
    </row>
    <row r="820" spans="1:16" x14ac:dyDescent="0.25">
      <c r="A820" s="133"/>
      <c r="B820" s="8"/>
      <c r="C820" s="8"/>
      <c r="D820" s="8"/>
      <c r="E820" s="8"/>
      <c r="F820" s="133"/>
      <c r="G820" s="200"/>
      <c r="H820" s="200"/>
      <c r="I820" s="133"/>
      <c r="J820" s="8"/>
      <c r="K820" s="8"/>
      <c r="L820" s="8"/>
      <c r="M820" s="8"/>
      <c r="N820" s="133"/>
      <c r="O820" s="200"/>
      <c r="P820" s="200"/>
    </row>
    <row r="821" spans="1:16" x14ac:dyDescent="0.25">
      <c r="A821" s="220" t="s">
        <v>5482</v>
      </c>
      <c r="B821" s="138" t="s">
        <v>738</v>
      </c>
      <c r="C821" s="2449" t="s">
        <v>5606</v>
      </c>
      <c r="D821" s="2449"/>
      <c r="E821" s="2449"/>
      <c r="F821" s="220" t="s">
        <v>867</v>
      </c>
      <c r="G821" s="222" t="s">
        <v>5424</v>
      </c>
      <c r="H821" s="200"/>
      <c r="I821" s="220" t="s">
        <v>5482</v>
      </c>
      <c r="J821" s="138" t="s">
        <v>738</v>
      </c>
      <c r="K821" s="2449" t="s">
        <v>6247</v>
      </c>
      <c r="L821" s="2449"/>
      <c r="M821" s="2449"/>
      <c r="N821" s="220" t="s">
        <v>867</v>
      </c>
      <c r="O821" s="222" t="s">
        <v>5424</v>
      </c>
      <c r="P821" s="200"/>
    </row>
    <row r="822" spans="1:16" x14ac:dyDescent="0.25">
      <c r="A822" s="133"/>
      <c r="B822" s="8"/>
      <c r="C822" s="223"/>
      <c r="D822" s="223"/>
      <c r="E822" s="223"/>
      <c r="F822" s="133"/>
      <c r="G822" s="200"/>
      <c r="H822" s="200"/>
      <c r="I822" s="133"/>
      <c r="J822" s="8"/>
      <c r="K822" s="223"/>
      <c r="L822" s="223"/>
      <c r="M822" s="223"/>
      <c r="N822" s="133"/>
      <c r="O822" s="200"/>
      <c r="P822" s="200"/>
    </row>
    <row r="823" spans="1:16" x14ac:dyDescent="0.25">
      <c r="A823" s="133"/>
      <c r="B823" s="8"/>
      <c r="C823" s="8"/>
      <c r="D823" s="8"/>
      <c r="E823" s="8"/>
      <c r="F823" s="8"/>
      <c r="G823" s="8"/>
      <c r="H823" s="200"/>
      <c r="I823" s="133"/>
      <c r="J823" s="8"/>
      <c r="K823" s="8"/>
      <c r="L823" s="8"/>
      <c r="M823" s="8"/>
      <c r="N823" s="8"/>
      <c r="O823" s="8"/>
      <c r="P823" s="200"/>
    </row>
    <row r="824" spans="1:16" ht="15.75" thickBot="1" x14ac:dyDescent="0.3">
      <c r="A824" s="133"/>
      <c r="B824" s="8"/>
      <c r="C824" s="8"/>
      <c r="D824" s="8"/>
      <c r="E824" s="8"/>
      <c r="F824" s="133"/>
      <c r="G824" s="200"/>
      <c r="H824" s="200"/>
      <c r="I824" s="133"/>
      <c r="J824" s="8"/>
      <c r="K824" s="8"/>
      <c r="L824" s="8"/>
      <c r="M824" s="8"/>
      <c r="N824" s="133"/>
      <c r="O824" s="200"/>
      <c r="P824" s="200"/>
    </row>
    <row r="825" spans="1:16" ht="15.75" thickBot="1" x14ac:dyDescent="0.3">
      <c r="A825" s="133"/>
      <c r="B825" s="224" t="s">
        <v>5403</v>
      </c>
      <c r="C825" s="193" t="s">
        <v>867</v>
      </c>
      <c r="D825" s="193" t="s">
        <v>6</v>
      </c>
      <c r="E825" s="193" t="s">
        <v>5439</v>
      </c>
      <c r="F825" s="193" t="s">
        <v>5405</v>
      </c>
      <c r="G825" s="225" t="s">
        <v>868</v>
      </c>
      <c r="H825" s="200"/>
      <c r="I825" s="133"/>
      <c r="J825" s="224" t="s">
        <v>5403</v>
      </c>
      <c r="K825" s="193" t="s">
        <v>867</v>
      </c>
      <c r="L825" s="193" t="s">
        <v>6</v>
      </c>
      <c r="M825" s="193" t="s">
        <v>5439</v>
      </c>
      <c r="N825" s="193" t="s">
        <v>5405</v>
      </c>
      <c r="O825" s="225" t="s">
        <v>868</v>
      </c>
      <c r="P825" s="200"/>
    </row>
    <row r="826" spans="1:16" x14ac:dyDescent="0.25">
      <c r="A826" s="133"/>
      <c r="B826" s="195" t="s">
        <v>5440</v>
      </c>
      <c r="C826" s="226" t="s">
        <v>5542</v>
      </c>
      <c r="D826" s="226">
        <v>1</v>
      </c>
      <c r="E826" s="227">
        <f>+H864</f>
        <v>32344.166666666668</v>
      </c>
      <c r="F826" s="226">
        <v>0.05</v>
      </c>
      <c r="G826" s="292">
        <f>+E826*F826</f>
        <v>1617.2083333333335</v>
      </c>
      <c r="H826" s="200"/>
      <c r="I826" s="133"/>
      <c r="J826" s="195" t="s">
        <v>5440</v>
      </c>
      <c r="K826" s="226" t="s">
        <v>5542</v>
      </c>
      <c r="L826" s="226">
        <v>1</v>
      </c>
      <c r="M826" s="227">
        <f>+P864</f>
        <v>26738.666666666668</v>
      </c>
      <c r="N826" s="226">
        <v>0.05</v>
      </c>
      <c r="O826" s="292">
        <f>+M826*N826</f>
        <v>1336.9333333333334</v>
      </c>
      <c r="P826" s="200"/>
    </row>
    <row r="827" spans="1:16" x14ac:dyDescent="0.25">
      <c r="A827" s="133"/>
      <c r="B827" s="195"/>
      <c r="C827" s="226"/>
      <c r="D827" s="226"/>
      <c r="E827" s="230"/>
      <c r="F827" s="226"/>
      <c r="G827" s="229"/>
      <c r="H827" s="200"/>
      <c r="I827" s="133"/>
      <c r="J827" s="195"/>
      <c r="K827" s="226"/>
      <c r="L827" s="226"/>
      <c r="M827" s="230"/>
      <c r="N827" s="226"/>
      <c r="O827" s="229"/>
      <c r="P827" s="200"/>
    </row>
    <row r="828" spans="1:16" x14ac:dyDescent="0.25">
      <c r="A828" s="133"/>
      <c r="B828" s="195"/>
      <c r="C828" s="226"/>
      <c r="D828" s="226"/>
      <c r="E828" s="176"/>
      <c r="F828" s="226"/>
      <c r="G828" s="229"/>
      <c r="H828" s="200"/>
      <c r="I828" s="133"/>
      <c r="J828" s="195"/>
      <c r="K828" s="226"/>
      <c r="L828" s="226"/>
      <c r="M828" s="176"/>
      <c r="N828" s="226"/>
      <c r="O828" s="229"/>
      <c r="P828" s="200"/>
    </row>
    <row r="829" spans="1:16" x14ac:dyDescent="0.25">
      <c r="A829" s="133"/>
      <c r="B829" s="195"/>
      <c r="C829" s="226"/>
      <c r="D829" s="226"/>
      <c r="E829" s="171"/>
      <c r="F829" s="226"/>
      <c r="G829" s="293"/>
      <c r="H829" s="200"/>
      <c r="I829" s="133"/>
      <c r="J829" s="195"/>
      <c r="K829" s="226"/>
      <c r="L829" s="226"/>
      <c r="M829" s="171"/>
      <c r="N829" s="226"/>
      <c r="O829" s="293"/>
      <c r="P829" s="200"/>
    </row>
    <row r="830" spans="1:16" x14ac:dyDescent="0.25">
      <c r="A830" s="133"/>
      <c r="B830" s="195"/>
      <c r="C830" s="226"/>
      <c r="D830" s="232"/>
      <c r="E830" s="232"/>
      <c r="F830" s="226"/>
      <c r="G830" s="229"/>
      <c r="H830" s="200"/>
      <c r="I830" s="133"/>
      <c r="J830" s="195"/>
      <c r="K830" s="226"/>
      <c r="L830" s="232"/>
      <c r="M830" s="232"/>
      <c r="N830" s="226"/>
      <c r="O830" s="229"/>
      <c r="P830" s="200"/>
    </row>
    <row r="831" spans="1:16" ht="15.75" thickBot="1" x14ac:dyDescent="0.3">
      <c r="A831" s="133"/>
      <c r="B831" s="195"/>
      <c r="C831" s="226"/>
      <c r="D831" s="232"/>
      <c r="E831" s="232"/>
      <c r="F831" s="226"/>
      <c r="G831" s="229"/>
      <c r="H831" s="200"/>
      <c r="I831" s="133"/>
      <c r="J831" s="195"/>
      <c r="K831" s="226"/>
      <c r="L831" s="232"/>
      <c r="M831" s="232"/>
      <c r="N831" s="226"/>
      <c r="O831" s="229"/>
      <c r="P831" s="200"/>
    </row>
    <row r="832" spans="1:16" ht="15.75" thickBot="1" x14ac:dyDescent="0.3">
      <c r="A832" s="133"/>
      <c r="B832" s="233"/>
      <c r="C832" s="234"/>
      <c r="D832" s="234"/>
      <c r="E832" s="234"/>
      <c r="F832" s="235"/>
      <c r="G832" s="236"/>
      <c r="H832" s="237">
        <f>+SUM(G826:G832)</f>
        <v>1617.2083333333335</v>
      </c>
      <c r="I832" s="133"/>
      <c r="J832" s="233"/>
      <c r="K832" s="234"/>
      <c r="L832" s="234"/>
      <c r="M832" s="234"/>
      <c r="N832" s="235"/>
      <c r="O832" s="236"/>
      <c r="P832" s="237">
        <f>+SUM(O826:O832)</f>
        <v>1336.9333333333334</v>
      </c>
    </row>
    <row r="833" spans="1:16" ht="15.75" thickBot="1" x14ac:dyDescent="0.3">
      <c r="A833" s="133"/>
      <c r="B833" s="238"/>
      <c r="C833" s="238"/>
      <c r="D833" s="238"/>
      <c r="E833" s="238"/>
      <c r="F833" s="239"/>
      <c r="G833" s="240"/>
      <c r="H833" s="241"/>
      <c r="I833" s="133"/>
      <c r="J833" s="238"/>
      <c r="K833" s="238"/>
      <c r="L833" s="238"/>
      <c r="M833" s="238"/>
      <c r="N833" s="239"/>
      <c r="O833" s="240"/>
      <c r="P833" s="241"/>
    </row>
    <row r="834" spans="1:16" ht="15.75" thickBot="1" x14ac:dyDescent="0.3">
      <c r="A834" s="133"/>
      <c r="B834" s="224" t="s">
        <v>5408</v>
      </c>
      <c r="C834" s="193" t="s">
        <v>867</v>
      </c>
      <c r="D834" s="193" t="s">
        <v>6</v>
      </c>
      <c r="E834" s="193" t="s">
        <v>870</v>
      </c>
      <c r="F834" s="193" t="s">
        <v>5409</v>
      </c>
      <c r="G834" s="225" t="s">
        <v>868</v>
      </c>
      <c r="H834" s="200"/>
      <c r="I834" s="133"/>
      <c r="J834" s="224" t="s">
        <v>5408</v>
      </c>
      <c r="K834" s="193" t="s">
        <v>867</v>
      </c>
      <c r="L834" s="193" t="s">
        <v>6</v>
      </c>
      <c r="M834" s="193" t="s">
        <v>870</v>
      </c>
      <c r="N834" s="193" t="s">
        <v>5409</v>
      </c>
      <c r="O834" s="225" t="s">
        <v>868</v>
      </c>
      <c r="P834" s="200"/>
    </row>
    <row r="835" spans="1:16" x14ac:dyDescent="0.25">
      <c r="A835" s="133"/>
      <c r="B835" s="245" t="s">
        <v>6167</v>
      </c>
      <c r="C835" s="202" t="s">
        <v>5424</v>
      </c>
      <c r="D835" s="274">
        <v>1</v>
      </c>
      <c r="E835" s="244">
        <v>180000</v>
      </c>
      <c r="F835" s="169">
        <v>0.05</v>
      </c>
      <c r="G835" s="294">
        <f>+D835*E835*(1+F835)</f>
        <v>189000</v>
      </c>
      <c r="H835" s="200"/>
      <c r="I835" s="133"/>
      <c r="J835" s="245" t="s">
        <v>6248</v>
      </c>
      <c r="K835" s="202" t="s">
        <v>5424</v>
      </c>
      <c r="L835" s="212">
        <v>1</v>
      </c>
      <c r="M835" s="244">
        <v>150000</v>
      </c>
      <c r="N835" s="169">
        <v>0.05</v>
      </c>
      <c r="O835" s="294">
        <f>+L835*M835*(1+N835)</f>
        <v>157500</v>
      </c>
      <c r="P835" s="200"/>
    </row>
    <row r="836" spans="1:16" x14ac:dyDescent="0.25">
      <c r="A836" s="133"/>
      <c r="B836" s="247" t="s">
        <v>5753</v>
      </c>
      <c r="C836" s="202" t="s">
        <v>5431</v>
      </c>
      <c r="D836" s="202">
        <v>2</v>
      </c>
      <c r="E836" s="257">
        <v>1200</v>
      </c>
      <c r="F836" s="169">
        <v>0.05</v>
      </c>
      <c r="G836" s="294">
        <f>+D836*E836*(1+F836)</f>
        <v>2520</v>
      </c>
      <c r="H836" s="200"/>
      <c r="I836" s="133"/>
      <c r="J836" s="247" t="s">
        <v>5753</v>
      </c>
      <c r="K836" s="202" t="s">
        <v>5431</v>
      </c>
      <c r="L836" s="202">
        <v>2</v>
      </c>
      <c r="M836" s="257">
        <v>1200</v>
      </c>
      <c r="N836" s="169">
        <v>0.05</v>
      </c>
      <c r="O836" s="294">
        <f>+L836*M836*(1+N836)</f>
        <v>2520</v>
      </c>
      <c r="P836" s="200"/>
    </row>
    <row r="837" spans="1:16" x14ac:dyDescent="0.25">
      <c r="A837" s="133"/>
      <c r="B837" s="247"/>
      <c r="C837" s="226"/>
      <c r="D837" s="226"/>
      <c r="E837" s="244"/>
      <c r="F837" s="169"/>
      <c r="G837" s="294"/>
      <c r="H837" s="200"/>
      <c r="I837" s="133"/>
      <c r="J837" s="247"/>
      <c r="K837" s="226"/>
      <c r="L837" s="226"/>
      <c r="M837" s="244"/>
      <c r="N837" s="169"/>
      <c r="O837" s="294"/>
      <c r="P837" s="200"/>
    </row>
    <row r="838" spans="1:16" x14ac:dyDescent="0.25">
      <c r="A838" s="133"/>
      <c r="B838" s="194"/>
      <c r="C838" s="226"/>
      <c r="D838" s="226"/>
      <c r="E838" s="171"/>
      <c r="F838" s="169"/>
      <c r="G838" s="294"/>
      <c r="H838" s="200"/>
      <c r="I838" s="133"/>
      <c r="J838" s="194"/>
      <c r="K838" s="226"/>
      <c r="L838" s="226"/>
      <c r="M838" s="171"/>
      <c r="N838" s="169"/>
      <c r="O838" s="294"/>
      <c r="P838" s="200"/>
    </row>
    <row r="839" spans="1:16" x14ac:dyDescent="0.25">
      <c r="A839" s="133"/>
      <c r="B839" s="195"/>
      <c r="C839" s="226"/>
      <c r="D839" s="226"/>
      <c r="E839" s="171"/>
      <c r="F839" s="169"/>
      <c r="G839" s="178"/>
      <c r="H839" s="200"/>
      <c r="I839" s="133"/>
      <c r="J839" s="195"/>
      <c r="K839" s="226"/>
      <c r="L839" s="226"/>
      <c r="M839" s="171"/>
      <c r="N839" s="169"/>
      <c r="O839" s="178"/>
      <c r="P839" s="200"/>
    </row>
    <row r="840" spans="1:16" x14ac:dyDescent="0.25">
      <c r="A840" s="133"/>
      <c r="B840" s="194"/>
      <c r="C840" s="202"/>
      <c r="D840" s="202"/>
      <c r="E840" s="171"/>
      <c r="F840" s="169"/>
      <c r="G840" s="178"/>
      <c r="H840" s="200"/>
      <c r="I840" s="133"/>
      <c r="J840" s="194"/>
      <c r="K840" s="202"/>
      <c r="L840" s="202"/>
      <c r="M840" s="171"/>
      <c r="N840" s="169"/>
      <c r="O840" s="178"/>
      <c r="P840" s="200"/>
    </row>
    <row r="841" spans="1:16" x14ac:dyDescent="0.25">
      <c r="A841" s="133"/>
      <c r="B841" s="195"/>
      <c r="C841" s="226"/>
      <c r="D841" s="226"/>
      <c r="E841" s="171"/>
      <c r="F841" s="169"/>
      <c r="G841" s="178"/>
      <c r="H841" s="200"/>
      <c r="I841" s="133"/>
      <c r="J841" s="195"/>
      <c r="K841" s="226"/>
      <c r="L841" s="226"/>
      <c r="M841" s="171"/>
      <c r="N841" s="169"/>
      <c r="O841" s="178"/>
      <c r="P841" s="200"/>
    </row>
    <row r="842" spans="1:16" x14ac:dyDescent="0.25">
      <c r="A842" s="133"/>
      <c r="B842" s="195"/>
      <c r="C842" s="226"/>
      <c r="D842" s="226"/>
      <c r="E842" s="171"/>
      <c r="F842" s="169"/>
      <c r="G842" s="178"/>
      <c r="H842" s="200"/>
      <c r="I842" s="133"/>
      <c r="J842" s="195"/>
      <c r="K842" s="226"/>
      <c r="L842" s="226"/>
      <c r="M842" s="171"/>
      <c r="N842" s="169"/>
      <c r="O842" s="178"/>
      <c r="P842" s="200"/>
    </row>
    <row r="843" spans="1:16" x14ac:dyDescent="0.25">
      <c r="A843" s="133"/>
      <c r="B843" s="195"/>
      <c r="C843" s="232"/>
      <c r="D843" s="232"/>
      <c r="E843" s="232"/>
      <c r="F843" s="226"/>
      <c r="G843" s="229"/>
      <c r="H843" s="200"/>
      <c r="I843" s="133"/>
      <c r="J843" s="195"/>
      <c r="K843" s="232"/>
      <c r="L843" s="232"/>
      <c r="M843" s="232"/>
      <c r="N843" s="226"/>
      <c r="O843" s="229"/>
      <c r="P843" s="200"/>
    </row>
    <row r="844" spans="1:16" x14ac:dyDescent="0.25">
      <c r="A844" s="133"/>
      <c r="B844" s="195"/>
      <c r="C844" s="232"/>
      <c r="D844" s="232"/>
      <c r="E844" s="232"/>
      <c r="F844" s="226"/>
      <c r="G844" s="229"/>
      <c r="H844" s="200"/>
      <c r="I844" s="133"/>
      <c r="J844" s="195"/>
      <c r="K844" s="232"/>
      <c r="L844" s="232"/>
      <c r="M844" s="232"/>
      <c r="N844" s="226"/>
      <c r="O844" s="229"/>
      <c r="P844" s="200"/>
    </row>
    <row r="845" spans="1:16" x14ac:dyDescent="0.25">
      <c r="A845" s="133"/>
      <c r="B845" s="195"/>
      <c r="C845" s="232"/>
      <c r="D845" s="232"/>
      <c r="E845" s="232"/>
      <c r="F845" s="226"/>
      <c r="G845" s="229"/>
      <c r="H845" s="200"/>
      <c r="I845" s="133"/>
      <c r="J845" s="195"/>
      <c r="K845" s="232"/>
      <c r="L845" s="232"/>
      <c r="M845" s="232"/>
      <c r="N845" s="226"/>
      <c r="O845" s="229"/>
      <c r="P845" s="200"/>
    </row>
    <row r="846" spans="1:16" ht="15.75" thickBot="1" x14ac:dyDescent="0.3">
      <c r="A846" s="133"/>
      <c r="B846" s="195"/>
      <c r="C846" s="232"/>
      <c r="D846" s="232"/>
      <c r="E846" s="232"/>
      <c r="F846" s="226"/>
      <c r="G846" s="229"/>
      <c r="H846" s="200"/>
      <c r="I846" s="133"/>
      <c r="J846" s="195"/>
      <c r="K846" s="232"/>
      <c r="L846" s="232"/>
      <c r="M846" s="232"/>
      <c r="N846" s="226"/>
      <c r="O846" s="229"/>
      <c r="P846" s="200"/>
    </row>
    <row r="847" spans="1:16" ht="15.75" thickBot="1" x14ac:dyDescent="0.3">
      <c r="A847" s="133"/>
      <c r="B847" s="233"/>
      <c r="C847" s="234"/>
      <c r="D847" s="234"/>
      <c r="E847" s="234"/>
      <c r="F847" s="235"/>
      <c r="G847" s="236"/>
      <c r="H847" s="256">
        <f>+SUM(G835:G847)</f>
        <v>191520</v>
      </c>
      <c r="I847" s="133"/>
      <c r="J847" s="233"/>
      <c r="K847" s="234"/>
      <c r="L847" s="234"/>
      <c r="M847" s="234"/>
      <c r="N847" s="235"/>
      <c r="O847" s="236"/>
      <c r="P847" s="256">
        <f>+SUM(O835:O847)</f>
        <v>160020</v>
      </c>
    </row>
    <row r="848" spans="1:16" ht="15.75" thickBot="1" x14ac:dyDescent="0.3">
      <c r="A848" s="133"/>
      <c r="B848" s="238"/>
      <c r="C848" s="238"/>
      <c r="D848" s="238"/>
      <c r="E848" s="238"/>
      <c r="F848" s="239"/>
      <c r="G848" s="240"/>
      <c r="H848" s="241"/>
      <c r="I848" s="133"/>
      <c r="J848" s="238"/>
      <c r="K848" s="238"/>
      <c r="L848" s="238"/>
      <c r="M848" s="238"/>
      <c r="N848" s="239"/>
      <c r="O848" s="240"/>
      <c r="P848" s="241"/>
    </row>
    <row r="849" spans="1:16" ht="15.75" thickBot="1" x14ac:dyDescent="0.3">
      <c r="A849" s="133"/>
      <c r="B849" s="224" t="s">
        <v>5410</v>
      </c>
      <c r="C849" s="193" t="s">
        <v>867</v>
      </c>
      <c r="D849" s="193" t="s">
        <v>6</v>
      </c>
      <c r="E849" s="193" t="s">
        <v>870</v>
      </c>
      <c r="F849" s="193" t="s">
        <v>5411</v>
      </c>
      <c r="G849" s="225" t="s">
        <v>868</v>
      </c>
      <c r="H849" s="200"/>
      <c r="I849" s="133"/>
      <c r="J849" s="224" t="s">
        <v>5410</v>
      </c>
      <c r="K849" s="193" t="s">
        <v>867</v>
      </c>
      <c r="L849" s="193" t="s">
        <v>6</v>
      </c>
      <c r="M849" s="193" t="s">
        <v>870</v>
      </c>
      <c r="N849" s="193" t="s">
        <v>5411</v>
      </c>
      <c r="O849" s="225" t="s">
        <v>868</v>
      </c>
      <c r="P849" s="200"/>
    </row>
    <row r="850" spans="1:16" x14ac:dyDescent="0.25">
      <c r="A850" s="133"/>
      <c r="B850" s="245"/>
      <c r="C850" s="202"/>
      <c r="D850" s="202"/>
      <c r="E850" s="175"/>
      <c r="F850" s="202"/>
      <c r="G850" s="203"/>
      <c r="H850" s="246"/>
      <c r="I850" s="133"/>
      <c r="J850" s="245"/>
      <c r="K850" s="202"/>
      <c r="L850" s="202"/>
      <c r="M850" s="175"/>
      <c r="N850" s="202"/>
      <c r="O850" s="203"/>
      <c r="P850" s="246"/>
    </row>
    <row r="851" spans="1:16" x14ac:dyDescent="0.25">
      <c r="A851" s="133"/>
      <c r="B851" s="247"/>
      <c r="C851" s="248"/>
      <c r="D851" s="248"/>
      <c r="E851" s="248"/>
      <c r="F851" s="202"/>
      <c r="G851" s="178"/>
      <c r="H851" s="200"/>
      <c r="I851" s="133"/>
      <c r="J851" s="247"/>
      <c r="K851" s="248"/>
      <c r="L851" s="248"/>
      <c r="M851" s="248"/>
      <c r="N851" s="202"/>
      <c r="O851" s="178"/>
      <c r="P851" s="200"/>
    </row>
    <row r="852" spans="1:16" x14ac:dyDescent="0.25">
      <c r="A852" s="133"/>
      <c r="B852" s="247"/>
      <c r="C852" s="232"/>
      <c r="D852" s="232"/>
      <c r="E852" s="232"/>
      <c r="F852" s="226"/>
      <c r="G852" s="229"/>
      <c r="H852" s="200"/>
      <c r="I852" s="133"/>
      <c r="J852" s="247"/>
      <c r="K852" s="232"/>
      <c r="L852" s="232"/>
      <c r="M852" s="232"/>
      <c r="N852" s="226"/>
      <c r="O852" s="229"/>
      <c r="P852" s="200"/>
    </row>
    <row r="853" spans="1:16" x14ac:dyDescent="0.25">
      <c r="A853" s="133"/>
      <c r="B853" s="194"/>
      <c r="C853" s="232"/>
      <c r="D853" s="232"/>
      <c r="E853" s="232"/>
      <c r="F853" s="226"/>
      <c r="G853" s="229"/>
      <c r="H853" s="200"/>
      <c r="I853" s="133"/>
      <c r="J853" s="194"/>
      <c r="K853" s="232"/>
      <c r="L853" s="232"/>
      <c r="M853" s="232"/>
      <c r="N853" s="226"/>
      <c r="O853" s="229"/>
      <c r="P853" s="200"/>
    </row>
    <row r="854" spans="1:16" ht="15.75" thickBot="1" x14ac:dyDescent="0.3">
      <c r="A854" s="133"/>
      <c r="B854" s="195"/>
      <c r="C854" s="232"/>
      <c r="D854" s="232"/>
      <c r="E854" s="232"/>
      <c r="F854" s="226"/>
      <c r="G854" s="229"/>
      <c r="H854" s="200"/>
      <c r="I854" s="133"/>
      <c r="J854" s="195"/>
      <c r="K854" s="232"/>
      <c r="L854" s="232"/>
      <c r="M854" s="232"/>
      <c r="N854" s="226"/>
      <c r="O854" s="229"/>
      <c r="P854" s="200"/>
    </row>
    <row r="855" spans="1:16" ht="15.75" thickBot="1" x14ac:dyDescent="0.3">
      <c r="A855" s="133"/>
      <c r="B855" s="233"/>
      <c r="C855" s="234"/>
      <c r="D855" s="234"/>
      <c r="E855" s="234"/>
      <c r="F855" s="235"/>
      <c r="G855" s="236"/>
      <c r="H855" s="237">
        <f>+SUM(G850:G855)</f>
        <v>0</v>
      </c>
      <c r="I855" s="133"/>
      <c r="J855" s="233"/>
      <c r="K855" s="234"/>
      <c r="L855" s="234"/>
      <c r="M855" s="234"/>
      <c r="N855" s="235"/>
      <c r="O855" s="236"/>
      <c r="P855" s="237">
        <f>+SUM(O850:O855)</f>
        <v>0</v>
      </c>
    </row>
    <row r="856" spans="1:16" ht="15.75" thickBot="1" x14ac:dyDescent="0.3">
      <c r="A856" s="133"/>
      <c r="B856" s="238"/>
      <c r="C856" s="238"/>
      <c r="D856" s="238"/>
      <c r="E856" s="238"/>
      <c r="F856" s="249"/>
      <c r="G856" s="250"/>
      <c r="H856" s="241"/>
      <c r="I856" s="133"/>
      <c r="J856" s="238"/>
      <c r="K856" s="238"/>
      <c r="L856" s="238"/>
      <c r="M856" s="238"/>
      <c r="N856" s="249"/>
      <c r="O856" s="250"/>
      <c r="P856" s="241"/>
    </row>
    <row r="857" spans="1:16" ht="15.75" thickBot="1" x14ac:dyDescent="0.3">
      <c r="A857" s="133"/>
      <c r="B857" s="224" t="s">
        <v>5412</v>
      </c>
      <c r="C857" s="193" t="s">
        <v>5420</v>
      </c>
      <c r="D857" s="193" t="s">
        <v>5421</v>
      </c>
      <c r="E857" s="193" t="s">
        <v>5413</v>
      </c>
      <c r="F857" s="193" t="s">
        <v>5405</v>
      </c>
      <c r="G857" s="225" t="s">
        <v>868</v>
      </c>
      <c r="H857" s="200"/>
      <c r="I857" s="133"/>
      <c r="J857" s="224" t="s">
        <v>5412</v>
      </c>
      <c r="K857" s="193" t="s">
        <v>5420</v>
      </c>
      <c r="L857" s="193" t="s">
        <v>5421</v>
      </c>
      <c r="M857" s="193" t="s">
        <v>5413</v>
      </c>
      <c r="N857" s="193" t="s">
        <v>5405</v>
      </c>
      <c r="O857" s="225" t="s">
        <v>868</v>
      </c>
      <c r="P857" s="200"/>
    </row>
    <row r="858" spans="1:16" x14ac:dyDescent="0.25">
      <c r="A858" s="133"/>
      <c r="B858" s="194" t="s">
        <v>5948</v>
      </c>
      <c r="C858" s="345">
        <v>70000</v>
      </c>
      <c r="D858" s="176">
        <f>+C858*0.85</f>
        <v>59500</v>
      </c>
      <c r="E858" s="176">
        <f>+C858+D858</f>
        <v>129500</v>
      </c>
      <c r="F858" s="204">
        <v>30</v>
      </c>
      <c r="G858" s="178">
        <f>+E858/F858</f>
        <v>4316.666666666667</v>
      </c>
      <c r="H858" s="200"/>
      <c r="I858" s="133"/>
      <c r="J858" s="194" t="s">
        <v>5948</v>
      </c>
      <c r="K858" s="345">
        <v>70000</v>
      </c>
      <c r="L858" s="176">
        <f>+K858*0.85</f>
        <v>59500</v>
      </c>
      <c r="M858" s="176">
        <f>+K858+L858</f>
        <v>129500</v>
      </c>
      <c r="N858" s="204">
        <v>30</v>
      </c>
      <c r="O858" s="178">
        <f>+M858/N858</f>
        <v>4316.666666666667</v>
      </c>
      <c r="P858" s="200"/>
    </row>
    <row r="859" spans="1:16" x14ac:dyDescent="0.25">
      <c r="A859" s="133"/>
      <c r="B859" s="194" t="s">
        <v>5651</v>
      </c>
      <c r="C859" s="345">
        <v>40000</v>
      </c>
      <c r="D859" s="176">
        <f>+C859*0.85</f>
        <v>34000</v>
      </c>
      <c r="E859" s="176">
        <f>+C859+D859</f>
        <v>74000</v>
      </c>
      <c r="F859" s="202">
        <v>4</v>
      </c>
      <c r="G859" s="178">
        <f>+E859/F859</f>
        <v>18500</v>
      </c>
      <c r="H859" s="200"/>
      <c r="I859" s="133"/>
      <c r="J859" s="194" t="s">
        <v>5651</v>
      </c>
      <c r="K859" s="345">
        <v>40000</v>
      </c>
      <c r="L859" s="176">
        <f>+K859*0.85</f>
        <v>34000</v>
      </c>
      <c r="M859" s="176">
        <f>+K859+L859</f>
        <v>74000</v>
      </c>
      <c r="N859" s="202">
        <v>5</v>
      </c>
      <c r="O859" s="178">
        <f>+M859/N859</f>
        <v>14800</v>
      </c>
      <c r="P859" s="200"/>
    </row>
    <row r="860" spans="1:16" x14ac:dyDescent="0.25">
      <c r="A860" s="133"/>
      <c r="B860" s="195" t="s">
        <v>5635</v>
      </c>
      <c r="C860" s="345">
        <v>20600</v>
      </c>
      <c r="D860" s="176">
        <f>+C860*0.85</f>
        <v>17510</v>
      </c>
      <c r="E860" s="176">
        <f>+C860+D860</f>
        <v>38110</v>
      </c>
      <c r="F860" s="226">
        <v>4</v>
      </c>
      <c r="G860" s="178">
        <f>+E860/F860</f>
        <v>9527.5</v>
      </c>
      <c r="H860" s="200"/>
      <c r="I860" s="133"/>
      <c r="J860" s="195" t="s">
        <v>5635</v>
      </c>
      <c r="K860" s="345">
        <v>20600</v>
      </c>
      <c r="L860" s="176">
        <f>+K860*0.85</f>
        <v>17510</v>
      </c>
      <c r="M860" s="176">
        <f>+K860+L860</f>
        <v>38110</v>
      </c>
      <c r="N860" s="226">
        <v>5</v>
      </c>
      <c r="O860" s="178">
        <f>+M860/N860</f>
        <v>7622</v>
      </c>
      <c r="P860" s="200"/>
    </row>
    <row r="861" spans="1:16" x14ac:dyDescent="0.25">
      <c r="A861" s="133"/>
      <c r="B861" s="195"/>
      <c r="C861" s="171"/>
      <c r="D861" s="176"/>
      <c r="E861" s="176"/>
      <c r="F861" s="226"/>
      <c r="G861" s="178"/>
      <c r="H861" s="200"/>
      <c r="I861" s="133"/>
      <c r="J861" s="195"/>
      <c r="K861" s="171"/>
      <c r="L861" s="176"/>
      <c r="M861" s="176"/>
      <c r="N861" s="226"/>
      <c r="O861" s="178"/>
      <c r="P861" s="200"/>
    </row>
    <row r="862" spans="1:16" x14ac:dyDescent="0.25">
      <c r="A862" s="133"/>
      <c r="B862" s="195"/>
      <c r="C862" s="232"/>
      <c r="D862" s="232"/>
      <c r="E862" s="232"/>
      <c r="F862" s="226"/>
      <c r="G862" s="229"/>
      <c r="H862" s="200"/>
      <c r="I862" s="133"/>
      <c r="J862" s="195"/>
      <c r="K862" s="232"/>
      <c r="L862" s="232"/>
      <c r="M862" s="232"/>
      <c r="N862" s="226"/>
      <c r="O862" s="229"/>
      <c r="P862" s="200"/>
    </row>
    <row r="863" spans="1:16" ht="15.75" thickBot="1" x14ac:dyDescent="0.3">
      <c r="A863" s="133"/>
      <c r="B863" s="195"/>
      <c r="C863" s="232"/>
      <c r="D863" s="232"/>
      <c r="E863" s="232"/>
      <c r="F863" s="226"/>
      <c r="G863" s="229"/>
      <c r="H863" s="200"/>
      <c r="I863" s="133"/>
      <c r="J863" s="195"/>
      <c r="K863" s="232"/>
      <c r="L863" s="232"/>
      <c r="M863" s="232"/>
      <c r="N863" s="226"/>
      <c r="O863" s="229"/>
      <c r="P863" s="200"/>
    </row>
    <row r="864" spans="1:16" ht="15.75" thickBot="1" x14ac:dyDescent="0.3">
      <c r="A864" s="133"/>
      <c r="B864" s="251"/>
      <c r="C864" s="252"/>
      <c r="D864" s="252"/>
      <c r="E864" s="252"/>
      <c r="F864" s="253"/>
      <c r="G864" s="254"/>
      <c r="H864" s="256">
        <f>+SUM(G858:G864)</f>
        <v>32344.166666666668</v>
      </c>
      <c r="I864" s="133"/>
      <c r="J864" s="251"/>
      <c r="K864" s="252"/>
      <c r="L864" s="252"/>
      <c r="M864" s="252"/>
      <c r="N864" s="253"/>
      <c r="O864" s="254"/>
      <c r="P864" s="256">
        <f>+SUM(O858:O864)</f>
        <v>26738.666666666668</v>
      </c>
    </row>
    <row r="865" spans="1:16" ht="15.75" thickBot="1" x14ac:dyDescent="0.3">
      <c r="A865" s="133"/>
      <c r="B865" s="8"/>
      <c r="C865" s="8"/>
      <c r="D865" s="8"/>
      <c r="E865" s="8"/>
      <c r="F865" s="133"/>
      <c r="G865" s="200"/>
      <c r="H865" s="200"/>
      <c r="I865" s="133"/>
      <c r="J865" s="8"/>
      <c r="K865" s="8"/>
      <c r="L865" s="8"/>
      <c r="M865" s="8"/>
      <c r="N865" s="133"/>
      <c r="O865" s="200"/>
      <c r="P865" s="200"/>
    </row>
    <row r="866" spans="1:16" ht="15.75" thickBot="1" x14ac:dyDescent="0.3">
      <c r="A866" s="133"/>
      <c r="B866" s="8"/>
      <c r="C866" s="8"/>
      <c r="D866" s="8"/>
      <c r="E866" s="223" t="s">
        <v>5415</v>
      </c>
      <c r="F866" s="133"/>
      <c r="G866" s="200"/>
      <c r="H866" s="256">
        <f>ROUND(+H864+H855+H847+H832,0)</f>
        <v>225481</v>
      </c>
      <c r="I866" s="133"/>
      <c r="J866" s="8"/>
      <c r="K866" s="8"/>
      <c r="L866" s="8"/>
      <c r="M866" s="223" t="s">
        <v>5415</v>
      </c>
      <c r="N866" s="133"/>
      <c r="O866" s="200"/>
      <c r="P866" s="256">
        <f>ROUND(+P864+P855+P847+P832,0)</f>
        <v>188096</v>
      </c>
    </row>
    <row r="871" spans="1:16" ht="18.75" x14ac:dyDescent="0.25">
      <c r="A871" s="133"/>
      <c r="B871" s="2506" t="s">
        <v>5400</v>
      </c>
      <c r="C871" s="2506"/>
      <c r="D871" s="2506"/>
      <c r="E871" s="2506"/>
      <c r="F871" s="2506"/>
      <c r="G871" s="2506"/>
      <c r="H871" s="8"/>
    </row>
    <row r="872" spans="1:16" x14ac:dyDescent="0.25">
      <c r="A872" s="133"/>
      <c r="B872" s="8"/>
      <c r="C872" s="8"/>
      <c r="D872" s="8"/>
      <c r="E872" s="8"/>
      <c r="F872" s="133"/>
      <c r="G872" s="200"/>
      <c r="H872" s="200"/>
    </row>
    <row r="873" spans="1:16" x14ac:dyDescent="0.25">
      <c r="A873" s="133"/>
      <c r="B873" s="8"/>
      <c r="C873" s="8"/>
      <c r="D873" s="8"/>
      <c r="E873" s="8"/>
      <c r="F873" s="133"/>
      <c r="G873" s="200"/>
      <c r="H873" s="200"/>
    </row>
    <row r="874" spans="1:16" x14ac:dyDescent="0.25">
      <c r="A874" s="133"/>
      <c r="B874" s="8"/>
      <c r="C874" s="8"/>
      <c r="D874" s="8"/>
      <c r="E874" s="8"/>
      <c r="F874" s="133"/>
      <c r="G874" s="200"/>
      <c r="H874" s="200"/>
    </row>
    <row r="875" spans="1:16" x14ac:dyDescent="0.25">
      <c r="A875" s="220" t="s">
        <v>5482</v>
      </c>
      <c r="B875" s="138" t="s">
        <v>739</v>
      </c>
      <c r="C875" s="2449" t="s">
        <v>5607</v>
      </c>
      <c r="D875" s="2449"/>
      <c r="E875" s="2449"/>
      <c r="F875" s="220" t="s">
        <v>867</v>
      </c>
      <c r="G875" s="222" t="s">
        <v>5424</v>
      </c>
      <c r="H875" s="200"/>
    </row>
    <row r="876" spans="1:16" x14ac:dyDescent="0.25">
      <c r="A876" s="133"/>
      <c r="B876" s="8"/>
      <c r="C876" s="223"/>
      <c r="D876" s="223"/>
      <c r="E876" s="223"/>
      <c r="F876" s="133"/>
      <c r="G876" s="200"/>
      <c r="H876" s="200"/>
    </row>
    <row r="877" spans="1:16" x14ac:dyDescent="0.25">
      <c r="A877" s="133"/>
      <c r="B877" s="8"/>
      <c r="C877" s="8"/>
      <c r="D877" s="8"/>
      <c r="E877" s="8"/>
      <c r="F877" s="8"/>
      <c r="G877" s="8"/>
      <c r="H877" s="200"/>
    </row>
    <row r="878" spans="1:16" ht="15.75" thickBot="1" x14ac:dyDescent="0.3">
      <c r="A878" s="133"/>
      <c r="B878" s="8"/>
      <c r="C878" s="8"/>
      <c r="D878" s="8"/>
      <c r="E878" s="8"/>
      <c r="F878" s="133"/>
      <c r="G878" s="200"/>
      <c r="H878" s="200"/>
    </row>
    <row r="879" spans="1:16" ht="15.75" thickBot="1" x14ac:dyDescent="0.3">
      <c r="A879" s="133"/>
      <c r="B879" s="224" t="s">
        <v>5403</v>
      </c>
      <c r="C879" s="193" t="s">
        <v>867</v>
      </c>
      <c r="D879" s="193" t="s">
        <v>6</v>
      </c>
      <c r="E879" s="193" t="s">
        <v>5439</v>
      </c>
      <c r="F879" s="193" t="s">
        <v>5405</v>
      </c>
      <c r="G879" s="225" t="s">
        <v>868</v>
      </c>
      <c r="H879" s="200"/>
    </row>
    <row r="880" spans="1:16" x14ac:dyDescent="0.25">
      <c r="A880" s="133"/>
      <c r="B880" s="195" t="s">
        <v>5440</v>
      </c>
      <c r="C880" s="226" t="s">
        <v>5542</v>
      </c>
      <c r="D880" s="226">
        <v>1</v>
      </c>
      <c r="E880" s="227">
        <f>+H918</f>
        <v>32344.166666666668</v>
      </c>
      <c r="F880" s="226">
        <v>0.05</v>
      </c>
      <c r="G880" s="292">
        <f>+E880*F880</f>
        <v>1617.2083333333335</v>
      </c>
      <c r="H880" s="200"/>
    </row>
    <row r="881" spans="1:8" x14ac:dyDescent="0.25">
      <c r="A881" s="133"/>
      <c r="B881" s="195"/>
      <c r="C881" s="226"/>
      <c r="D881" s="226"/>
      <c r="E881" s="230"/>
      <c r="F881" s="226"/>
      <c r="G881" s="229"/>
      <c r="H881" s="200"/>
    </row>
    <row r="882" spans="1:8" x14ac:dyDescent="0.25">
      <c r="A882" s="133"/>
      <c r="B882" s="195"/>
      <c r="C882" s="226"/>
      <c r="D882" s="226"/>
      <c r="E882" s="176"/>
      <c r="F882" s="226"/>
      <c r="G882" s="229"/>
      <c r="H882" s="200"/>
    </row>
    <row r="883" spans="1:8" x14ac:dyDescent="0.25">
      <c r="A883" s="133"/>
      <c r="B883" s="195"/>
      <c r="C883" s="226"/>
      <c r="D883" s="226"/>
      <c r="E883" s="171"/>
      <c r="F883" s="226"/>
      <c r="G883" s="293"/>
      <c r="H883" s="200"/>
    </row>
    <row r="884" spans="1:8" x14ac:dyDescent="0.25">
      <c r="A884" s="133"/>
      <c r="B884" s="195"/>
      <c r="C884" s="226"/>
      <c r="D884" s="232"/>
      <c r="E884" s="232"/>
      <c r="F884" s="226"/>
      <c r="G884" s="229"/>
      <c r="H884" s="200"/>
    </row>
    <row r="885" spans="1:8" ht="15.75" thickBot="1" x14ac:dyDescent="0.3">
      <c r="A885" s="133"/>
      <c r="B885" s="195"/>
      <c r="C885" s="226"/>
      <c r="D885" s="232"/>
      <c r="E885" s="232"/>
      <c r="F885" s="226"/>
      <c r="G885" s="229"/>
      <c r="H885" s="200"/>
    </row>
    <row r="886" spans="1:8" ht="15.75" thickBot="1" x14ac:dyDescent="0.3">
      <c r="A886" s="133"/>
      <c r="B886" s="233"/>
      <c r="C886" s="234"/>
      <c r="D886" s="234"/>
      <c r="E886" s="234"/>
      <c r="F886" s="235"/>
      <c r="G886" s="236"/>
      <c r="H886" s="237">
        <f>+SUM(G880:G886)</f>
        <v>1617.2083333333335</v>
      </c>
    </row>
    <row r="887" spans="1:8" ht="15.75" thickBot="1" x14ac:dyDescent="0.3">
      <c r="A887" s="133"/>
      <c r="B887" s="238"/>
      <c r="C887" s="238"/>
      <c r="D887" s="238"/>
      <c r="E887" s="238"/>
      <c r="F887" s="239"/>
      <c r="G887" s="240"/>
      <c r="H887" s="241"/>
    </row>
    <row r="888" spans="1:8" ht="15.75" thickBot="1" x14ac:dyDescent="0.3">
      <c r="A888" s="133"/>
      <c r="B888" s="224" t="s">
        <v>5408</v>
      </c>
      <c r="C888" s="193" t="s">
        <v>867</v>
      </c>
      <c r="D888" s="193" t="s">
        <v>6</v>
      </c>
      <c r="E888" s="193" t="s">
        <v>870</v>
      </c>
      <c r="F888" s="193" t="s">
        <v>5409</v>
      </c>
      <c r="G888" s="225" t="s">
        <v>868</v>
      </c>
      <c r="H888" s="200"/>
    </row>
    <row r="889" spans="1:8" x14ac:dyDescent="0.25">
      <c r="A889" s="133"/>
      <c r="B889" s="245" t="s">
        <v>6168</v>
      </c>
      <c r="C889" s="202" t="s">
        <v>5424</v>
      </c>
      <c r="D889" s="274">
        <v>1</v>
      </c>
      <c r="E889" s="244">
        <v>130000</v>
      </c>
      <c r="F889" s="169">
        <v>0</v>
      </c>
      <c r="G889" s="294">
        <f>+D889*E889*(1+F889)</f>
        <v>130000</v>
      </c>
      <c r="H889" s="200"/>
    </row>
    <row r="890" spans="1:8" x14ac:dyDescent="0.25">
      <c r="A890" s="133"/>
      <c r="B890" s="247"/>
      <c r="C890" s="202"/>
      <c r="D890" s="202"/>
      <c r="E890" s="257"/>
      <c r="F890" s="169"/>
      <c r="G890" s="294">
        <f>+D890*E890*(1+F890)</f>
        <v>0</v>
      </c>
      <c r="H890" s="200"/>
    </row>
    <row r="891" spans="1:8" x14ac:dyDescent="0.25">
      <c r="A891" s="133"/>
      <c r="B891" s="247"/>
      <c r="C891" s="226"/>
      <c r="D891" s="226"/>
      <c r="E891" s="244"/>
      <c r="F891" s="169"/>
      <c r="G891" s="294"/>
      <c r="H891" s="200"/>
    </row>
    <row r="892" spans="1:8" x14ac:dyDescent="0.25">
      <c r="A892" s="133"/>
      <c r="B892" s="194"/>
      <c r="C892" s="226"/>
      <c r="D892" s="226"/>
      <c r="E892" s="171"/>
      <c r="F892" s="169"/>
      <c r="G892" s="294"/>
      <c r="H892" s="200"/>
    </row>
    <row r="893" spans="1:8" x14ac:dyDescent="0.25">
      <c r="A893" s="133"/>
      <c r="B893" s="195"/>
      <c r="C893" s="226"/>
      <c r="D893" s="226"/>
      <c r="E893" s="171"/>
      <c r="F893" s="169"/>
      <c r="G893" s="178"/>
      <c r="H893" s="200"/>
    </row>
    <row r="894" spans="1:8" x14ac:dyDescent="0.25">
      <c r="A894" s="133"/>
      <c r="B894" s="194"/>
      <c r="C894" s="202"/>
      <c r="D894" s="202"/>
      <c r="E894" s="171"/>
      <c r="F894" s="169"/>
      <c r="G894" s="178"/>
      <c r="H894" s="200"/>
    </row>
    <row r="895" spans="1:8" x14ac:dyDescent="0.25">
      <c r="A895" s="133"/>
      <c r="B895" s="195"/>
      <c r="C895" s="226"/>
      <c r="D895" s="226"/>
      <c r="E895" s="171"/>
      <c r="F895" s="169"/>
      <c r="G895" s="178"/>
      <c r="H895" s="200"/>
    </row>
    <row r="896" spans="1:8" x14ac:dyDescent="0.25">
      <c r="A896" s="133"/>
      <c r="B896" s="195"/>
      <c r="C896" s="226"/>
      <c r="D896" s="226"/>
      <c r="E896" s="171"/>
      <c r="F896" s="169"/>
      <c r="G896" s="178"/>
      <c r="H896" s="200"/>
    </row>
    <row r="897" spans="1:8" x14ac:dyDescent="0.25">
      <c r="A897" s="133"/>
      <c r="B897" s="195"/>
      <c r="C897" s="232"/>
      <c r="D897" s="232"/>
      <c r="E897" s="232"/>
      <c r="F897" s="226"/>
      <c r="G897" s="229"/>
      <c r="H897" s="200"/>
    </row>
    <row r="898" spans="1:8" x14ac:dyDescent="0.25">
      <c r="A898" s="133"/>
      <c r="B898" s="195"/>
      <c r="C898" s="232"/>
      <c r="D898" s="232"/>
      <c r="E898" s="232"/>
      <c r="F898" s="226"/>
      <c r="G898" s="229"/>
      <c r="H898" s="200"/>
    </row>
    <row r="899" spans="1:8" x14ac:dyDescent="0.25">
      <c r="A899" s="133"/>
      <c r="B899" s="195"/>
      <c r="C899" s="232"/>
      <c r="D899" s="232"/>
      <c r="E899" s="232"/>
      <c r="F899" s="226"/>
      <c r="G899" s="229"/>
      <c r="H899" s="200"/>
    </row>
    <row r="900" spans="1:8" ht="15.75" thickBot="1" x14ac:dyDescent="0.3">
      <c r="A900" s="133"/>
      <c r="B900" s="195"/>
      <c r="C900" s="232"/>
      <c r="D900" s="232"/>
      <c r="E900" s="232"/>
      <c r="F900" s="226"/>
      <c r="G900" s="229"/>
      <c r="H900" s="200"/>
    </row>
    <row r="901" spans="1:8" ht="15.75" thickBot="1" x14ac:dyDescent="0.3">
      <c r="A901" s="133"/>
      <c r="B901" s="233"/>
      <c r="C901" s="234"/>
      <c r="D901" s="234"/>
      <c r="E901" s="234"/>
      <c r="F901" s="235"/>
      <c r="G901" s="236"/>
      <c r="H901" s="256">
        <f>+SUM(G889:G901)</f>
        <v>130000</v>
      </c>
    </row>
    <row r="902" spans="1:8" ht="15.75" thickBot="1" x14ac:dyDescent="0.3">
      <c r="A902" s="133"/>
      <c r="B902" s="238"/>
      <c r="C902" s="238"/>
      <c r="D902" s="238"/>
      <c r="E902" s="238"/>
      <c r="F902" s="239"/>
      <c r="G902" s="240"/>
      <c r="H902" s="241"/>
    </row>
    <row r="903" spans="1:8" ht="15.75" thickBot="1" x14ac:dyDescent="0.3">
      <c r="A903" s="133"/>
      <c r="B903" s="224" t="s">
        <v>5410</v>
      </c>
      <c r="C903" s="193" t="s">
        <v>867</v>
      </c>
      <c r="D903" s="193" t="s">
        <v>6</v>
      </c>
      <c r="E903" s="193" t="s">
        <v>870</v>
      </c>
      <c r="F903" s="193" t="s">
        <v>5411</v>
      </c>
      <c r="G903" s="225" t="s">
        <v>868</v>
      </c>
      <c r="H903" s="200"/>
    </row>
    <row r="904" spans="1:8" x14ac:dyDescent="0.25">
      <c r="A904" s="133"/>
      <c r="B904" s="245"/>
      <c r="C904" s="202"/>
      <c r="D904" s="202"/>
      <c r="E904" s="175"/>
      <c r="F904" s="202"/>
      <c r="G904" s="203"/>
      <c r="H904" s="246"/>
    </row>
    <row r="905" spans="1:8" x14ac:dyDescent="0.25">
      <c r="A905" s="133"/>
      <c r="B905" s="247"/>
      <c r="C905" s="248"/>
      <c r="D905" s="248"/>
      <c r="E905" s="248"/>
      <c r="F905" s="202"/>
      <c r="G905" s="178"/>
      <c r="H905" s="200"/>
    </row>
    <row r="906" spans="1:8" x14ac:dyDescent="0.25">
      <c r="A906" s="133"/>
      <c r="B906" s="247"/>
      <c r="C906" s="232"/>
      <c r="D906" s="232"/>
      <c r="E906" s="232"/>
      <c r="F906" s="226"/>
      <c r="G906" s="229"/>
      <c r="H906" s="200"/>
    </row>
    <row r="907" spans="1:8" x14ac:dyDescent="0.25">
      <c r="A907" s="133"/>
      <c r="B907" s="194"/>
      <c r="C907" s="232"/>
      <c r="D907" s="232"/>
      <c r="E907" s="232"/>
      <c r="F907" s="226"/>
      <c r="G907" s="229"/>
      <c r="H907" s="200"/>
    </row>
    <row r="908" spans="1:8" ht="15.75" thickBot="1" x14ac:dyDescent="0.3">
      <c r="A908" s="133"/>
      <c r="B908" s="195"/>
      <c r="C908" s="232"/>
      <c r="D908" s="232"/>
      <c r="E908" s="232"/>
      <c r="F908" s="226"/>
      <c r="G908" s="229"/>
      <c r="H908" s="200"/>
    </row>
    <row r="909" spans="1:8" ht="15.75" thickBot="1" x14ac:dyDescent="0.3">
      <c r="A909" s="133"/>
      <c r="B909" s="233"/>
      <c r="C909" s="234"/>
      <c r="D909" s="234"/>
      <c r="E909" s="234"/>
      <c r="F909" s="235"/>
      <c r="G909" s="236"/>
      <c r="H909" s="237">
        <f>+SUM(G904:G909)</f>
        <v>0</v>
      </c>
    </row>
    <row r="910" spans="1:8" ht="15.75" thickBot="1" x14ac:dyDescent="0.3">
      <c r="A910" s="133"/>
      <c r="B910" s="238"/>
      <c r="C910" s="238"/>
      <c r="D910" s="238"/>
      <c r="E910" s="238"/>
      <c r="F910" s="249"/>
      <c r="G910" s="250"/>
      <c r="H910" s="241"/>
    </row>
    <row r="911" spans="1:8" ht="15.75" thickBot="1" x14ac:dyDescent="0.3">
      <c r="A911" s="133"/>
      <c r="B911" s="224" t="s">
        <v>5412</v>
      </c>
      <c r="C911" s="193" t="s">
        <v>5420</v>
      </c>
      <c r="D911" s="193" t="s">
        <v>5421</v>
      </c>
      <c r="E911" s="193" t="s">
        <v>5413</v>
      </c>
      <c r="F911" s="193" t="s">
        <v>5405</v>
      </c>
      <c r="G911" s="225" t="s">
        <v>868</v>
      </c>
      <c r="H911" s="200"/>
    </row>
    <row r="912" spans="1:8" x14ac:dyDescent="0.25">
      <c r="A912" s="133"/>
      <c r="B912" s="194" t="s">
        <v>5948</v>
      </c>
      <c r="C912" s="345">
        <v>70000</v>
      </c>
      <c r="D912" s="176">
        <f>+C912*0.85</f>
        <v>59500</v>
      </c>
      <c r="E912" s="176">
        <f>+C912+D912</f>
        <v>129500</v>
      </c>
      <c r="F912" s="204">
        <v>30</v>
      </c>
      <c r="G912" s="178">
        <f>+E912/F912</f>
        <v>4316.666666666667</v>
      </c>
      <c r="H912" s="200"/>
    </row>
    <row r="913" spans="1:8" x14ac:dyDescent="0.25">
      <c r="A913" s="133"/>
      <c r="B913" s="194" t="s">
        <v>5651</v>
      </c>
      <c r="C913" s="345">
        <v>40000</v>
      </c>
      <c r="D913" s="176">
        <f>+C913*0.85</f>
        <v>34000</v>
      </c>
      <c r="E913" s="176">
        <f>+C913+D913</f>
        <v>74000</v>
      </c>
      <c r="F913" s="202">
        <v>4</v>
      </c>
      <c r="G913" s="178">
        <f>+E913/F913</f>
        <v>18500</v>
      </c>
      <c r="H913" s="200"/>
    </row>
    <row r="914" spans="1:8" x14ac:dyDescent="0.25">
      <c r="A914" s="133"/>
      <c r="B914" s="195" t="s">
        <v>5635</v>
      </c>
      <c r="C914" s="345">
        <v>20600</v>
      </c>
      <c r="D914" s="176">
        <f>+C914*0.85</f>
        <v>17510</v>
      </c>
      <c r="E914" s="176">
        <f>+C914+D914</f>
        <v>38110</v>
      </c>
      <c r="F914" s="226">
        <v>4</v>
      </c>
      <c r="G914" s="178">
        <f>+E914/F914</f>
        <v>9527.5</v>
      </c>
      <c r="H914" s="200"/>
    </row>
    <row r="915" spans="1:8" x14ac:dyDescent="0.25">
      <c r="A915" s="133"/>
      <c r="B915" s="195"/>
      <c r="C915" s="171"/>
      <c r="D915" s="176"/>
      <c r="E915" s="176"/>
      <c r="F915" s="226"/>
      <c r="G915" s="178"/>
      <c r="H915" s="200"/>
    </row>
    <row r="916" spans="1:8" x14ac:dyDescent="0.25">
      <c r="A916" s="133"/>
      <c r="B916" s="195"/>
      <c r="C916" s="232"/>
      <c r="D916" s="232"/>
      <c r="E916" s="232"/>
      <c r="F916" s="226"/>
      <c r="G916" s="229"/>
      <c r="H916" s="200"/>
    </row>
    <row r="917" spans="1:8" ht="15.75" thickBot="1" x14ac:dyDescent="0.3">
      <c r="A917" s="133"/>
      <c r="B917" s="195"/>
      <c r="C917" s="232"/>
      <c r="D917" s="232"/>
      <c r="E917" s="232"/>
      <c r="F917" s="226"/>
      <c r="G917" s="229"/>
      <c r="H917" s="200"/>
    </row>
    <row r="918" spans="1:8" ht="15.75" thickBot="1" x14ac:dyDescent="0.3">
      <c r="A918" s="133"/>
      <c r="B918" s="251"/>
      <c r="C918" s="252"/>
      <c r="D918" s="252"/>
      <c r="E918" s="252"/>
      <c r="F918" s="253"/>
      <c r="G918" s="254"/>
      <c r="H918" s="256">
        <f>+SUM(G912:G918)</f>
        <v>32344.166666666668</v>
      </c>
    </row>
    <row r="919" spans="1:8" ht="15.75" thickBot="1" x14ac:dyDescent="0.3">
      <c r="A919" s="133"/>
      <c r="B919" s="8"/>
      <c r="C919" s="8"/>
      <c r="D919" s="8"/>
      <c r="E919" s="8"/>
      <c r="F919" s="133"/>
      <c r="G919" s="200"/>
      <c r="H919" s="200"/>
    </row>
    <row r="920" spans="1:8" ht="15.75" thickBot="1" x14ac:dyDescent="0.3">
      <c r="A920" s="133"/>
      <c r="B920" s="8"/>
      <c r="C920" s="8"/>
      <c r="D920" s="8"/>
      <c r="E920" s="223" t="s">
        <v>5415</v>
      </c>
      <c r="F920" s="133"/>
      <c r="G920" s="200"/>
      <c r="H920" s="256">
        <f>ROUND(+H918+H909+H901+H886,0)</f>
        <v>163961</v>
      </c>
    </row>
    <row r="925" spans="1:8" ht="18.75" x14ac:dyDescent="0.25">
      <c r="A925" s="133"/>
      <c r="B925" s="2506" t="s">
        <v>5400</v>
      </c>
      <c r="C925" s="2506"/>
      <c r="D925" s="2506"/>
      <c r="E925" s="2506"/>
      <c r="F925" s="2506"/>
      <c r="G925" s="2506"/>
      <c r="H925" s="8"/>
    </row>
    <row r="926" spans="1:8" x14ac:dyDescent="0.25">
      <c r="A926" s="133"/>
      <c r="B926" s="8"/>
      <c r="C926" s="8"/>
      <c r="D926" s="8"/>
      <c r="E926" s="8"/>
      <c r="F926" s="133"/>
      <c r="G926" s="200"/>
      <c r="H926" s="200"/>
    </row>
    <row r="927" spans="1:8" x14ac:dyDescent="0.25">
      <c r="A927" s="133"/>
      <c r="B927" s="8"/>
      <c r="C927" s="8"/>
      <c r="D927" s="8"/>
      <c r="E927" s="8"/>
      <c r="F927" s="133"/>
      <c r="G927" s="200"/>
      <c r="H927" s="200"/>
    </row>
    <row r="928" spans="1:8" x14ac:dyDescent="0.25">
      <c r="A928" s="133"/>
      <c r="B928" s="8"/>
      <c r="C928" s="8"/>
      <c r="D928" s="8"/>
      <c r="E928" s="8"/>
      <c r="F928" s="133"/>
      <c r="G928" s="200"/>
      <c r="H928" s="200"/>
    </row>
    <row r="929" spans="1:8" x14ac:dyDescent="0.25">
      <c r="A929" s="220" t="s">
        <v>5482</v>
      </c>
      <c r="B929" s="138" t="s">
        <v>5608</v>
      </c>
      <c r="C929" s="2449" t="s">
        <v>5609</v>
      </c>
      <c r="D929" s="2449"/>
      <c r="E929" s="2449"/>
      <c r="F929" s="220" t="s">
        <v>867</v>
      </c>
      <c r="G929" s="222" t="s">
        <v>5424</v>
      </c>
      <c r="H929" s="200"/>
    </row>
    <row r="930" spans="1:8" x14ac:dyDescent="0.25">
      <c r="A930" s="133"/>
      <c r="B930" s="8"/>
      <c r="C930" s="223"/>
      <c r="D930" s="223"/>
      <c r="E930" s="223"/>
      <c r="F930" s="133"/>
      <c r="G930" s="200"/>
      <c r="H930" s="200"/>
    </row>
    <row r="931" spans="1:8" x14ac:dyDescent="0.25">
      <c r="A931" s="133"/>
      <c r="B931" s="8"/>
      <c r="C931" s="8"/>
      <c r="D931" s="8"/>
      <c r="E931" s="8"/>
      <c r="F931" s="8"/>
      <c r="G931" s="8"/>
      <c r="H931" s="200"/>
    </row>
    <row r="932" spans="1:8" ht="15.75" thickBot="1" x14ac:dyDescent="0.3">
      <c r="A932" s="133"/>
      <c r="B932" s="8"/>
      <c r="C932" s="8"/>
      <c r="D932" s="8"/>
      <c r="E932" s="8"/>
      <c r="F932" s="133"/>
      <c r="G932" s="200"/>
      <c r="H932" s="200"/>
    </row>
    <row r="933" spans="1:8" ht="15.75" thickBot="1" x14ac:dyDescent="0.3">
      <c r="A933" s="133"/>
      <c r="B933" s="224" t="s">
        <v>5403</v>
      </c>
      <c r="C933" s="193" t="s">
        <v>867</v>
      </c>
      <c r="D933" s="193" t="s">
        <v>6</v>
      </c>
      <c r="E933" s="193" t="s">
        <v>5439</v>
      </c>
      <c r="F933" s="193" t="s">
        <v>5405</v>
      </c>
      <c r="G933" s="225" t="s">
        <v>868</v>
      </c>
      <c r="H933" s="200"/>
    </row>
    <row r="934" spans="1:8" x14ac:dyDescent="0.25">
      <c r="A934" s="133"/>
      <c r="B934" s="195" t="s">
        <v>5440</v>
      </c>
      <c r="C934" s="226" t="s">
        <v>5542</v>
      </c>
      <c r="D934" s="226">
        <v>1</v>
      </c>
      <c r="E934" s="227">
        <f>+H972</f>
        <v>41686.666666666672</v>
      </c>
      <c r="F934" s="226">
        <v>0.05</v>
      </c>
      <c r="G934" s="292">
        <f>+E934*F934</f>
        <v>2084.3333333333335</v>
      </c>
      <c r="H934" s="200"/>
    </row>
    <row r="935" spans="1:8" x14ac:dyDescent="0.25">
      <c r="A935" s="133"/>
      <c r="B935" s="195"/>
      <c r="C935" s="226"/>
      <c r="D935" s="226"/>
      <c r="E935" s="230"/>
      <c r="F935" s="226"/>
      <c r="G935" s="229"/>
      <c r="H935" s="200"/>
    </row>
    <row r="936" spans="1:8" x14ac:dyDescent="0.25">
      <c r="A936" s="133"/>
      <c r="B936" s="195"/>
      <c r="C936" s="226"/>
      <c r="D936" s="226"/>
      <c r="E936" s="176"/>
      <c r="F936" s="226"/>
      <c r="G936" s="229"/>
      <c r="H936" s="200"/>
    </row>
    <row r="937" spans="1:8" x14ac:dyDescent="0.25">
      <c r="A937" s="133"/>
      <c r="B937" s="195"/>
      <c r="C937" s="226"/>
      <c r="D937" s="226"/>
      <c r="E937" s="171"/>
      <c r="F937" s="226"/>
      <c r="G937" s="293"/>
      <c r="H937" s="200"/>
    </row>
    <row r="938" spans="1:8" x14ac:dyDescent="0.25">
      <c r="A938" s="133"/>
      <c r="B938" s="195"/>
      <c r="C938" s="226"/>
      <c r="D938" s="232"/>
      <c r="E938" s="232"/>
      <c r="F938" s="226"/>
      <c r="G938" s="229"/>
      <c r="H938" s="200"/>
    </row>
    <row r="939" spans="1:8" ht="15.75" thickBot="1" x14ac:dyDescent="0.3">
      <c r="A939" s="133"/>
      <c r="B939" s="195"/>
      <c r="C939" s="226"/>
      <c r="D939" s="232"/>
      <c r="E939" s="232"/>
      <c r="F939" s="226"/>
      <c r="G939" s="229"/>
      <c r="H939" s="200"/>
    </row>
    <row r="940" spans="1:8" ht="15.75" thickBot="1" x14ac:dyDescent="0.3">
      <c r="A940" s="133"/>
      <c r="B940" s="233"/>
      <c r="C940" s="234"/>
      <c r="D940" s="234"/>
      <c r="E940" s="234"/>
      <c r="F940" s="235"/>
      <c r="G940" s="236"/>
      <c r="H940" s="237">
        <f>+SUM(G934:G940)</f>
        <v>2084.3333333333335</v>
      </c>
    </row>
    <row r="941" spans="1:8" ht="15.75" thickBot="1" x14ac:dyDescent="0.3">
      <c r="A941" s="133"/>
      <c r="B941" s="238"/>
      <c r="C941" s="238"/>
      <c r="D941" s="238"/>
      <c r="E941" s="238"/>
      <c r="F941" s="239"/>
      <c r="G941" s="240"/>
      <c r="H941" s="241"/>
    </row>
    <row r="942" spans="1:8" ht="15.75" thickBot="1" x14ac:dyDescent="0.3">
      <c r="A942" s="133"/>
      <c r="B942" s="224" t="s">
        <v>5408</v>
      </c>
      <c r="C942" s="193" t="s">
        <v>867</v>
      </c>
      <c r="D942" s="193" t="s">
        <v>6</v>
      </c>
      <c r="E942" s="193" t="s">
        <v>870</v>
      </c>
      <c r="F942" s="193" t="s">
        <v>5409</v>
      </c>
      <c r="G942" s="225" t="s">
        <v>868</v>
      </c>
      <c r="H942" s="200"/>
    </row>
    <row r="943" spans="1:8" x14ac:dyDescent="0.25">
      <c r="A943" s="133"/>
      <c r="B943" s="245" t="s">
        <v>6169</v>
      </c>
      <c r="C943" s="202" t="s">
        <v>5424</v>
      </c>
      <c r="D943" s="274">
        <v>1</v>
      </c>
      <c r="E943" s="244">
        <v>135000</v>
      </c>
      <c r="F943" s="169">
        <v>0</v>
      </c>
      <c r="G943" s="294">
        <f>+D943*E943*(1+F943)</f>
        <v>135000</v>
      </c>
      <c r="H943" s="200"/>
    </row>
    <row r="944" spans="1:8" x14ac:dyDescent="0.25">
      <c r="A944" s="133"/>
      <c r="B944" s="247"/>
      <c r="C944" s="202"/>
      <c r="D944" s="202"/>
      <c r="E944" s="257"/>
      <c r="F944" s="169"/>
      <c r="G944" s="294">
        <f>+D944*E944*(1+F944)</f>
        <v>0</v>
      </c>
      <c r="H944" s="200"/>
    </row>
    <row r="945" spans="1:8" x14ac:dyDescent="0.25">
      <c r="A945" s="133"/>
      <c r="B945" s="247"/>
      <c r="C945" s="226"/>
      <c r="D945" s="226"/>
      <c r="E945" s="244"/>
      <c r="F945" s="169"/>
      <c r="G945" s="294"/>
      <c r="H945" s="200"/>
    </row>
    <row r="946" spans="1:8" x14ac:dyDescent="0.25">
      <c r="A946" s="133"/>
      <c r="B946" s="194"/>
      <c r="C946" s="226"/>
      <c r="D946" s="226"/>
      <c r="E946" s="171"/>
      <c r="F946" s="169"/>
      <c r="G946" s="294"/>
      <c r="H946" s="200"/>
    </row>
    <row r="947" spans="1:8" x14ac:dyDescent="0.25">
      <c r="A947" s="133"/>
      <c r="B947" s="195"/>
      <c r="C947" s="226"/>
      <c r="D947" s="226"/>
      <c r="E947" s="171"/>
      <c r="F947" s="169"/>
      <c r="G947" s="178"/>
      <c r="H947" s="200"/>
    </row>
    <row r="948" spans="1:8" x14ac:dyDescent="0.25">
      <c r="A948" s="133"/>
      <c r="B948" s="194"/>
      <c r="C948" s="202"/>
      <c r="D948" s="202"/>
      <c r="E948" s="171"/>
      <c r="F948" s="169"/>
      <c r="G948" s="178"/>
      <c r="H948" s="200"/>
    </row>
    <row r="949" spans="1:8" x14ac:dyDescent="0.25">
      <c r="A949" s="133"/>
      <c r="B949" s="195"/>
      <c r="C949" s="226"/>
      <c r="D949" s="226"/>
      <c r="E949" s="171"/>
      <c r="F949" s="169"/>
      <c r="G949" s="178"/>
      <c r="H949" s="200"/>
    </row>
    <row r="950" spans="1:8" x14ac:dyDescent="0.25">
      <c r="A950" s="133"/>
      <c r="B950" s="195"/>
      <c r="C950" s="226"/>
      <c r="D950" s="226"/>
      <c r="E950" s="171"/>
      <c r="F950" s="169"/>
      <c r="G950" s="178"/>
      <c r="H950" s="200"/>
    </row>
    <row r="951" spans="1:8" x14ac:dyDescent="0.25">
      <c r="A951" s="133"/>
      <c r="B951" s="195"/>
      <c r="C951" s="232"/>
      <c r="D951" s="232"/>
      <c r="E951" s="232"/>
      <c r="F951" s="226"/>
      <c r="G951" s="229"/>
      <c r="H951" s="200"/>
    </row>
    <row r="952" spans="1:8" x14ac:dyDescent="0.25">
      <c r="A952" s="133"/>
      <c r="B952" s="195"/>
      <c r="C952" s="232"/>
      <c r="D952" s="232"/>
      <c r="E952" s="232"/>
      <c r="F952" s="226"/>
      <c r="G952" s="229"/>
      <c r="H952" s="200"/>
    </row>
    <row r="953" spans="1:8" x14ac:dyDescent="0.25">
      <c r="A953" s="133"/>
      <c r="B953" s="195"/>
      <c r="C953" s="232"/>
      <c r="D953" s="232"/>
      <c r="E953" s="232"/>
      <c r="F953" s="226"/>
      <c r="G953" s="229"/>
      <c r="H953" s="200"/>
    </row>
    <row r="954" spans="1:8" ht="15.75" thickBot="1" x14ac:dyDescent="0.3">
      <c r="A954" s="133"/>
      <c r="B954" s="195"/>
      <c r="C954" s="232"/>
      <c r="D954" s="232"/>
      <c r="E954" s="232"/>
      <c r="F954" s="226"/>
      <c r="G954" s="229"/>
      <c r="H954" s="200"/>
    </row>
    <row r="955" spans="1:8" ht="15.75" thickBot="1" x14ac:dyDescent="0.3">
      <c r="A955" s="133"/>
      <c r="B955" s="233"/>
      <c r="C955" s="234"/>
      <c r="D955" s="234"/>
      <c r="E955" s="234"/>
      <c r="F955" s="235"/>
      <c r="G955" s="236"/>
      <c r="H955" s="256">
        <f>+SUM(G943:G955)</f>
        <v>135000</v>
      </c>
    </row>
    <row r="956" spans="1:8" ht="15.75" thickBot="1" x14ac:dyDescent="0.3">
      <c r="A956" s="133"/>
      <c r="B956" s="238"/>
      <c r="C956" s="238"/>
      <c r="D956" s="238"/>
      <c r="E956" s="238"/>
      <c r="F956" s="239"/>
      <c r="G956" s="240"/>
      <c r="H956" s="241"/>
    </row>
    <row r="957" spans="1:8" ht="15.75" thickBot="1" x14ac:dyDescent="0.3">
      <c r="A957" s="133"/>
      <c r="B957" s="224" t="s">
        <v>5410</v>
      </c>
      <c r="C957" s="193" t="s">
        <v>867</v>
      </c>
      <c r="D957" s="193" t="s">
        <v>6</v>
      </c>
      <c r="E957" s="193" t="s">
        <v>870</v>
      </c>
      <c r="F957" s="193" t="s">
        <v>5411</v>
      </c>
      <c r="G957" s="225" t="s">
        <v>868</v>
      </c>
      <c r="H957" s="200"/>
    </row>
    <row r="958" spans="1:8" x14ac:dyDescent="0.25">
      <c r="A958" s="133"/>
      <c r="B958" s="245"/>
      <c r="C958" s="202"/>
      <c r="D958" s="202"/>
      <c r="E958" s="175"/>
      <c r="F958" s="202"/>
      <c r="G958" s="203"/>
      <c r="H958" s="246"/>
    </row>
    <row r="959" spans="1:8" x14ac:dyDescent="0.25">
      <c r="A959" s="133"/>
      <c r="B959" s="247"/>
      <c r="C959" s="248"/>
      <c r="D959" s="248"/>
      <c r="E959" s="248"/>
      <c r="F959" s="202"/>
      <c r="G959" s="178"/>
      <c r="H959" s="200"/>
    </row>
    <row r="960" spans="1:8" x14ac:dyDescent="0.25">
      <c r="A960" s="133"/>
      <c r="B960" s="247"/>
      <c r="C960" s="232"/>
      <c r="D960" s="232"/>
      <c r="E960" s="232"/>
      <c r="F960" s="226"/>
      <c r="G960" s="229"/>
      <c r="H960" s="200"/>
    </row>
    <row r="961" spans="1:8" x14ac:dyDescent="0.25">
      <c r="A961" s="133"/>
      <c r="B961" s="194"/>
      <c r="C961" s="232"/>
      <c r="D961" s="232"/>
      <c r="E961" s="232"/>
      <c r="F961" s="226"/>
      <c r="G961" s="229"/>
      <c r="H961" s="200"/>
    </row>
    <row r="962" spans="1:8" ht="15.75" thickBot="1" x14ac:dyDescent="0.3">
      <c r="A962" s="133"/>
      <c r="B962" s="195"/>
      <c r="C962" s="232"/>
      <c r="D962" s="232"/>
      <c r="E962" s="232"/>
      <c r="F962" s="226"/>
      <c r="G962" s="229"/>
      <c r="H962" s="200"/>
    </row>
    <row r="963" spans="1:8" ht="15.75" thickBot="1" x14ac:dyDescent="0.3">
      <c r="A963" s="133"/>
      <c r="B963" s="233"/>
      <c r="C963" s="234"/>
      <c r="D963" s="234"/>
      <c r="E963" s="234"/>
      <c r="F963" s="235"/>
      <c r="G963" s="236"/>
      <c r="H963" s="237">
        <f>+SUM(G958:G963)</f>
        <v>0</v>
      </c>
    </row>
    <row r="964" spans="1:8" ht="15.75" thickBot="1" x14ac:dyDescent="0.3">
      <c r="A964" s="133"/>
      <c r="B964" s="238"/>
      <c r="C964" s="238"/>
      <c r="D964" s="238"/>
      <c r="E964" s="238"/>
      <c r="F964" s="249"/>
      <c r="G964" s="250"/>
      <c r="H964" s="241"/>
    </row>
    <row r="965" spans="1:8" ht="15.75" thickBot="1" x14ac:dyDescent="0.3">
      <c r="A965" s="133"/>
      <c r="B965" s="224" t="s">
        <v>5412</v>
      </c>
      <c r="C965" s="193" t="s">
        <v>5420</v>
      </c>
      <c r="D965" s="193" t="s">
        <v>5421</v>
      </c>
      <c r="E965" s="193" t="s">
        <v>5413</v>
      </c>
      <c r="F965" s="193" t="s">
        <v>5405</v>
      </c>
      <c r="G965" s="225" t="s">
        <v>868</v>
      </c>
      <c r="H965" s="200"/>
    </row>
    <row r="966" spans="1:8" x14ac:dyDescent="0.25">
      <c r="A966" s="133"/>
      <c r="B966" s="194" t="s">
        <v>5948</v>
      </c>
      <c r="C966" s="345">
        <v>70000</v>
      </c>
      <c r="D966" s="176">
        <f>+C966*0.85</f>
        <v>59500</v>
      </c>
      <c r="E966" s="176">
        <f>+C966+D966</f>
        <v>129500</v>
      </c>
      <c r="F966" s="204">
        <v>30</v>
      </c>
      <c r="G966" s="178">
        <f>+E966/F966</f>
        <v>4316.666666666667</v>
      </c>
      <c r="H966" s="200"/>
    </row>
    <row r="967" spans="1:8" x14ac:dyDescent="0.25">
      <c r="A967" s="133"/>
      <c r="B967" s="194" t="s">
        <v>5651</v>
      </c>
      <c r="C967" s="345">
        <v>40000</v>
      </c>
      <c r="D967" s="176">
        <f>+C967*0.85</f>
        <v>34000</v>
      </c>
      <c r="E967" s="176">
        <f>+C967+D967</f>
        <v>74000</v>
      </c>
      <c r="F967" s="202">
        <v>3</v>
      </c>
      <c r="G967" s="178">
        <f>+E967/F967</f>
        <v>24666.666666666668</v>
      </c>
      <c r="H967" s="200"/>
    </row>
    <row r="968" spans="1:8" x14ac:dyDescent="0.25">
      <c r="A968" s="133"/>
      <c r="B968" s="195" t="s">
        <v>5635</v>
      </c>
      <c r="C968" s="345">
        <v>20600</v>
      </c>
      <c r="D968" s="176">
        <f>+C968*0.85</f>
        <v>17510</v>
      </c>
      <c r="E968" s="176">
        <f>+C968+D968</f>
        <v>38110</v>
      </c>
      <c r="F968" s="226">
        <v>3</v>
      </c>
      <c r="G968" s="178">
        <f>+E968/F968</f>
        <v>12703.333333333334</v>
      </c>
      <c r="H968" s="200"/>
    </row>
    <row r="969" spans="1:8" x14ac:dyDescent="0.25">
      <c r="A969" s="133"/>
      <c r="B969" s="195"/>
      <c r="C969" s="171"/>
      <c r="D969" s="176"/>
      <c r="E969" s="176"/>
      <c r="F969" s="226"/>
      <c r="G969" s="178"/>
      <c r="H969" s="200"/>
    </row>
    <row r="970" spans="1:8" x14ac:dyDescent="0.25">
      <c r="A970" s="133"/>
      <c r="B970" s="195"/>
      <c r="C970" s="232"/>
      <c r="D970" s="232"/>
      <c r="E970" s="232"/>
      <c r="F970" s="226"/>
      <c r="G970" s="229"/>
      <c r="H970" s="200"/>
    </row>
    <row r="971" spans="1:8" ht="15.75" thickBot="1" x14ac:dyDescent="0.3">
      <c r="A971" s="133"/>
      <c r="B971" s="195"/>
      <c r="C971" s="232"/>
      <c r="D971" s="232"/>
      <c r="E971" s="232"/>
      <c r="F971" s="226"/>
      <c r="G971" s="229"/>
      <c r="H971" s="200"/>
    </row>
    <row r="972" spans="1:8" ht="15.75" thickBot="1" x14ac:dyDescent="0.3">
      <c r="A972" s="133"/>
      <c r="B972" s="251"/>
      <c r="C972" s="252"/>
      <c r="D972" s="252"/>
      <c r="E972" s="252"/>
      <c r="F972" s="253"/>
      <c r="G972" s="254"/>
      <c r="H972" s="256">
        <f>+SUM(G966:G972)</f>
        <v>41686.666666666672</v>
      </c>
    </row>
    <row r="973" spans="1:8" ht="15.75" thickBot="1" x14ac:dyDescent="0.3">
      <c r="A973" s="133"/>
      <c r="B973" s="8"/>
      <c r="C973" s="8"/>
      <c r="D973" s="8"/>
      <c r="E973" s="8"/>
      <c r="F973" s="133"/>
      <c r="G973" s="200"/>
      <c r="H973" s="200"/>
    </row>
    <row r="974" spans="1:8" ht="15.75" thickBot="1" x14ac:dyDescent="0.3">
      <c r="A974" s="133"/>
      <c r="B974" s="8"/>
      <c r="C974" s="8"/>
      <c r="D974" s="8"/>
      <c r="E974" s="223" t="s">
        <v>5415</v>
      </c>
      <c r="F974" s="133"/>
      <c r="G974" s="200"/>
      <c r="H974" s="256">
        <f>ROUND(+H972+H963+H955+H940,0)</f>
        <v>178771</v>
      </c>
    </row>
    <row r="979" spans="1:8" ht="18.75" x14ac:dyDescent="0.25">
      <c r="A979" s="133"/>
      <c r="B979" s="2506" t="s">
        <v>5400</v>
      </c>
      <c r="C979" s="2506"/>
      <c r="D979" s="2506"/>
      <c r="E979" s="2506"/>
      <c r="F979" s="2506"/>
      <c r="G979" s="2506"/>
      <c r="H979" s="8"/>
    </row>
    <row r="980" spans="1:8" x14ac:dyDescent="0.25">
      <c r="A980" s="133"/>
      <c r="B980" s="8"/>
      <c r="C980" s="8"/>
      <c r="D980" s="8"/>
      <c r="E980" s="8"/>
      <c r="F980" s="133"/>
      <c r="G980" s="200"/>
      <c r="H980" s="200"/>
    </row>
    <row r="981" spans="1:8" x14ac:dyDescent="0.25">
      <c r="A981" s="133"/>
      <c r="B981" s="8"/>
      <c r="C981" s="8"/>
      <c r="D981" s="8"/>
      <c r="E981" s="8"/>
      <c r="F981" s="133"/>
      <c r="G981" s="200"/>
      <c r="H981" s="200"/>
    </row>
    <row r="982" spans="1:8" x14ac:dyDescent="0.25">
      <c r="A982" s="133"/>
      <c r="B982" s="8"/>
      <c r="C982" s="8"/>
      <c r="D982" s="8"/>
      <c r="E982" s="8"/>
      <c r="F982" s="133"/>
      <c r="G982" s="200"/>
      <c r="H982" s="200"/>
    </row>
    <row r="983" spans="1:8" x14ac:dyDescent="0.25">
      <c r="A983" s="220" t="s">
        <v>5482</v>
      </c>
      <c r="B983" s="138" t="s">
        <v>5610</v>
      </c>
      <c r="C983" s="2449" t="s">
        <v>5611</v>
      </c>
      <c r="D983" s="2449"/>
      <c r="E983" s="2449"/>
      <c r="F983" s="220" t="s">
        <v>867</v>
      </c>
      <c r="G983" s="222" t="s">
        <v>5424</v>
      </c>
      <c r="H983" s="200"/>
    </row>
    <row r="984" spans="1:8" x14ac:dyDescent="0.25">
      <c r="A984" s="133"/>
      <c r="B984" s="8"/>
      <c r="C984" s="223"/>
      <c r="D984" s="223"/>
      <c r="E984" s="223"/>
      <c r="F984" s="133"/>
      <c r="G984" s="200"/>
      <c r="H984" s="200"/>
    </row>
    <row r="985" spans="1:8" x14ac:dyDescent="0.25">
      <c r="A985" s="133"/>
      <c r="B985" s="8"/>
      <c r="C985" s="8"/>
      <c r="D985" s="8"/>
      <c r="E985" s="8"/>
      <c r="F985" s="8"/>
      <c r="G985" s="8"/>
      <c r="H985" s="200"/>
    </row>
    <row r="986" spans="1:8" ht="15.75" thickBot="1" x14ac:dyDescent="0.3">
      <c r="A986" s="133"/>
      <c r="B986" s="8"/>
      <c r="C986" s="8"/>
      <c r="D986" s="8"/>
      <c r="E986" s="8"/>
      <c r="F986" s="133"/>
      <c r="G986" s="200"/>
      <c r="H986" s="200"/>
    </row>
    <row r="987" spans="1:8" ht="15.75" thickBot="1" x14ac:dyDescent="0.3">
      <c r="A987" s="133"/>
      <c r="B987" s="224" t="s">
        <v>5403</v>
      </c>
      <c r="C987" s="193" t="s">
        <v>867</v>
      </c>
      <c r="D987" s="193" t="s">
        <v>6</v>
      </c>
      <c r="E987" s="193" t="s">
        <v>5439</v>
      </c>
      <c r="F987" s="193" t="s">
        <v>5405</v>
      </c>
      <c r="G987" s="225" t="s">
        <v>868</v>
      </c>
      <c r="H987" s="200"/>
    </row>
    <row r="988" spans="1:8" x14ac:dyDescent="0.25">
      <c r="A988" s="133"/>
      <c r="B988" s="195" t="s">
        <v>5440</v>
      </c>
      <c r="C988" s="226" t="s">
        <v>5542</v>
      </c>
      <c r="D988" s="226">
        <v>1</v>
      </c>
      <c r="E988" s="227">
        <f>+H1026</f>
        <v>62530</v>
      </c>
      <c r="F988" s="226">
        <v>0.05</v>
      </c>
      <c r="G988" s="292">
        <f>+E988*F988</f>
        <v>3126.5</v>
      </c>
      <c r="H988" s="200"/>
    </row>
    <row r="989" spans="1:8" x14ac:dyDescent="0.25">
      <c r="A989" s="133"/>
      <c r="B989" s="195"/>
      <c r="C989" s="226"/>
      <c r="D989" s="226"/>
      <c r="E989" s="230"/>
      <c r="F989" s="226"/>
      <c r="G989" s="229"/>
      <c r="H989" s="200"/>
    </row>
    <row r="990" spans="1:8" x14ac:dyDescent="0.25">
      <c r="A990" s="133"/>
      <c r="B990" s="195"/>
      <c r="C990" s="226"/>
      <c r="D990" s="226"/>
      <c r="E990" s="176"/>
      <c r="F990" s="226"/>
      <c r="G990" s="229"/>
      <c r="H990" s="200"/>
    </row>
    <row r="991" spans="1:8" x14ac:dyDescent="0.25">
      <c r="A991" s="133"/>
      <c r="B991" s="195"/>
      <c r="C991" s="226"/>
      <c r="D991" s="226"/>
      <c r="E991" s="171"/>
      <c r="F991" s="226"/>
      <c r="G991" s="293"/>
      <c r="H991" s="200"/>
    </row>
    <row r="992" spans="1:8" x14ac:dyDescent="0.25">
      <c r="A992" s="133"/>
      <c r="B992" s="195"/>
      <c r="C992" s="226"/>
      <c r="D992" s="232"/>
      <c r="E992" s="232"/>
      <c r="F992" s="226"/>
      <c r="G992" s="229"/>
      <c r="H992" s="200"/>
    </row>
    <row r="993" spans="1:8" ht="15.75" thickBot="1" x14ac:dyDescent="0.3">
      <c r="A993" s="133"/>
      <c r="B993" s="195"/>
      <c r="C993" s="226"/>
      <c r="D993" s="232"/>
      <c r="E993" s="232"/>
      <c r="F993" s="226"/>
      <c r="G993" s="229"/>
      <c r="H993" s="200"/>
    </row>
    <row r="994" spans="1:8" ht="15.75" thickBot="1" x14ac:dyDescent="0.3">
      <c r="A994" s="133"/>
      <c r="B994" s="233"/>
      <c r="C994" s="234"/>
      <c r="D994" s="234"/>
      <c r="E994" s="234"/>
      <c r="F994" s="235"/>
      <c r="G994" s="236"/>
      <c r="H994" s="237">
        <f>+SUM(G988:G994)</f>
        <v>3126.5</v>
      </c>
    </row>
    <row r="995" spans="1:8" ht="15.75" thickBot="1" x14ac:dyDescent="0.3">
      <c r="A995" s="133"/>
      <c r="B995" s="238"/>
      <c r="C995" s="238"/>
      <c r="D995" s="238"/>
      <c r="E995" s="238"/>
      <c r="F995" s="239"/>
      <c r="G995" s="240"/>
      <c r="H995" s="241"/>
    </row>
    <row r="996" spans="1:8" ht="15.75" thickBot="1" x14ac:dyDescent="0.3">
      <c r="A996" s="133"/>
      <c r="B996" s="224" t="s">
        <v>5408</v>
      </c>
      <c r="C996" s="193" t="s">
        <v>867</v>
      </c>
      <c r="D996" s="193" t="s">
        <v>6</v>
      </c>
      <c r="E996" s="193" t="s">
        <v>870</v>
      </c>
      <c r="F996" s="193" t="s">
        <v>5409</v>
      </c>
      <c r="G996" s="225" t="s">
        <v>868</v>
      </c>
      <c r="H996" s="200"/>
    </row>
    <row r="997" spans="1:8" x14ac:dyDescent="0.25">
      <c r="A997" s="133"/>
      <c r="B997" s="245" t="s">
        <v>6170</v>
      </c>
      <c r="C997" s="202" t="s">
        <v>5424</v>
      </c>
      <c r="D997" s="274">
        <v>1</v>
      </c>
      <c r="E997" s="244">
        <v>75000</v>
      </c>
      <c r="F997" s="169">
        <v>0.01</v>
      </c>
      <c r="G997" s="294">
        <f>+D997*E997*(1+F997)</f>
        <v>75750</v>
      </c>
      <c r="H997" s="200"/>
    </row>
    <row r="998" spans="1:8" x14ac:dyDescent="0.25">
      <c r="A998" s="133"/>
      <c r="B998" s="247" t="s">
        <v>5753</v>
      </c>
      <c r="C998" s="202" t="s">
        <v>5431</v>
      </c>
      <c r="D998" s="202">
        <v>4</v>
      </c>
      <c r="E998" s="257">
        <v>1200</v>
      </c>
      <c r="F998" s="169">
        <v>0.05</v>
      </c>
      <c r="G998" s="294">
        <f>+D998*E998*(1+F998)</f>
        <v>5040</v>
      </c>
      <c r="H998" s="200"/>
    </row>
    <row r="999" spans="1:8" x14ac:dyDescent="0.25">
      <c r="A999" s="133"/>
      <c r="B999" s="247"/>
      <c r="C999" s="226"/>
      <c r="D999" s="226"/>
      <c r="E999" s="244"/>
      <c r="F999" s="169"/>
      <c r="G999" s="294"/>
      <c r="H999" s="200"/>
    </row>
    <row r="1000" spans="1:8" x14ac:dyDescent="0.25">
      <c r="A1000" s="133"/>
      <c r="B1000" s="194"/>
      <c r="C1000" s="226"/>
      <c r="D1000" s="226"/>
      <c r="E1000" s="171"/>
      <c r="F1000" s="169"/>
      <c r="G1000" s="294"/>
      <c r="H1000" s="200"/>
    </row>
    <row r="1001" spans="1:8" x14ac:dyDescent="0.25">
      <c r="A1001" s="133"/>
      <c r="B1001" s="195"/>
      <c r="C1001" s="226"/>
      <c r="D1001" s="226"/>
      <c r="E1001" s="171"/>
      <c r="F1001" s="169"/>
      <c r="G1001" s="178"/>
      <c r="H1001" s="200"/>
    </row>
    <row r="1002" spans="1:8" x14ac:dyDescent="0.25">
      <c r="A1002" s="133"/>
      <c r="B1002" s="194"/>
      <c r="C1002" s="202"/>
      <c r="D1002" s="202"/>
      <c r="E1002" s="171"/>
      <c r="F1002" s="169"/>
      <c r="G1002" s="178"/>
      <c r="H1002" s="200"/>
    </row>
    <row r="1003" spans="1:8" x14ac:dyDescent="0.25">
      <c r="A1003" s="133"/>
      <c r="B1003" s="195"/>
      <c r="C1003" s="226"/>
      <c r="D1003" s="226"/>
      <c r="E1003" s="171"/>
      <c r="F1003" s="169"/>
      <c r="G1003" s="178"/>
      <c r="H1003" s="200"/>
    </row>
    <row r="1004" spans="1:8" x14ac:dyDescent="0.25">
      <c r="A1004" s="133"/>
      <c r="B1004" s="195"/>
      <c r="C1004" s="226"/>
      <c r="D1004" s="226"/>
      <c r="E1004" s="171"/>
      <c r="F1004" s="169"/>
      <c r="G1004" s="178"/>
      <c r="H1004" s="200"/>
    </row>
    <row r="1005" spans="1:8" x14ac:dyDescent="0.25">
      <c r="A1005" s="133"/>
      <c r="B1005" s="195"/>
      <c r="C1005" s="232"/>
      <c r="D1005" s="232"/>
      <c r="E1005" s="232"/>
      <c r="F1005" s="226"/>
      <c r="G1005" s="229"/>
      <c r="H1005" s="200"/>
    </row>
    <row r="1006" spans="1:8" x14ac:dyDescent="0.25">
      <c r="A1006" s="133"/>
      <c r="B1006" s="195"/>
      <c r="C1006" s="232"/>
      <c r="D1006" s="232"/>
      <c r="E1006" s="232"/>
      <c r="F1006" s="226"/>
      <c r="G1006" s="229"/>
      <c r="H1006" s="200"/>
    </row>
    <row r="1007" spans="1:8" x14ac:dyDescent="0.25">
      <c r="A1007" s="133"/>
      <c r="B1007" s="195"/>
      <c r="C1007" s="232"/>
      <c r="D1007" s="232"/>
      <c r="E1007" s="232"/>
      <c r="F1007" s="226"/>
      <c r="G1007" s="229"/>
      <c r="H1007" s="200"/>
    </row>
    <row r="1008" spans="1:8" ht="15.75" thickBot="1" x14ac:dyDescent="0.3">
      <c r="A1008" s="133"/>
      <c r="B1008" s="195"/>
      <c r="C1008" s="232"/>
      <c r="D1008" s="232"/>
      <c r="E1008" s="232"/>
      <c r="F1008" s="226"/>
      <c r="G1008" s="229"/>
      <c r="H1008" s="200"/>
    </row>
    <row r="1009" spans="1:8" ht="15.75" thickBot="1" x14ac:dyDescent="0.3">
      <c r="A1009" s="133"/>
      <c r="B1009" s="233"/>
      <c r="C1009" s="234"/>
      <c r="D1009" s="234"/>
      <c r="E1009" s="234"/>
      <c r="F1009" s="235"/>
      <c r="G1009" s="236"/>
      <c r="H1009" s="256">
        <f>+SUM(G997:G1009)</f>
        <v>80790</v>
      </c>
    </row>
    <row r="1010" spans="1:8" ht="15.75" thickBot="1" x14ac:dyDescent="0.3">
      <c r="A1010" s="133"/>
      <c r="B1010" s="238"/>
      <c r="C1010" s="238"/>
      <c r="D1010" s="238"/>
      <c r="E1010" s="238"/>
      <c r="F1010" s="239"/>
      <c r="G1010" s="240"/>
      <c r="H1010" s="241"/>
    </row>
    <row r="1011" spans="1:8" ht="15.75" thickBot="1" x14ac:dyDescent="0.3">
      <c r="A1011" s="133"/>
      <c r="B1011" s="224" t="s">
        <v>5410</v>
      </c>
      <c r="C1011" s="193" t="s">
        <v>867</v>
      </c>
      <c r="D1011" s="193" t="s">
        <v>6</v>
      </c>
      <c r="E1011" s="193" t="s">
        <v>870</v>
      </c>
      <c r="F1011" s="193" t="s">
        <v>5411</v>
      </c>
      <c r="G1011" s="225" t="s">
        <v>868</v>
      </c>
      <c r="H1011" s="200"/>
    </row>
    <row r="1012" spans="1:8" x14ac:dyDescent="0.25">
      <c r="A1012" s="133"/>
      <c r="B1012" s="245"/>
      <c r="C1012" s="202"/>
      <c r="D1012" s="202"/>
      <c r="E1012" s="175"/>
      <c r="F1012" s="202"/>
      <c r="G1012" s="203"/>
      <c r="H1012" s="246"/>
    </row>
    <row r="1013" spans="1:8" x14ac:dyDescent="0.25">
      <c r="A1013" s="133"/>
      <c r="B1013" s="247"/>
      <c r="C1013" s="248"/>
      <c r="D1013" s="248"/>
      <c r="E1013" s="248"/>
      <c r="F1013" s="202"/>
      <c r="G1013" s="178"/>
      <c r="H1013" s="200"/>
    </row>
    <row r="1014" spans="1:8" x14ac:dyDescent="0.25">
      <c r="A1014" s="133"/>
      <c r="B1014" s="247"/>
      <c r="C1014" s="232"/>
      <c r="D1014" s="232"/>
      <c r="E1014" s="232"/>
      <c r="F1014" s="226"/>
      <c r="G1014" s="229"/>
      <c r="H1014" s="200"/>
    </row>
    <row r="1015" spans="1:8" x14ac:dyDescent="0.25">
      <c r="A1015" s="133"/>
      <c r="B1015" s="194"/>
      <c r="C1015" s="232"/>
      <c r="D1015" s="232"/>
      <c r="E1015" s="232"/>
      <c r="F1015" s="226"/>
      <c r="G1015" s="229"/>
      <c r="H1015" s="200"/>
    </row>
    <row r="1016" spans="1:8" ht="15.75" thickBot="1" x14ac:dyDescent="0.3">
      <c r="A1016" s="133"/>
      <c r="B1016" s="195"/>
      <c r="C1016" s="232"/>
      <c r="D1016" s="232"/>
      <c r="E1016" s="232"/>
      <c r="F1016" s="226"/>
      <c r="G1016" s="229"/>
      <c r="H1016" s="200"/>
    </row>
    <row r="1017" spans="1:8" ht="15.75" thickBot="1" x14ac:dyDescent="0.3">
      <c r="A1017" s="133"/>
      <c r="B1017" s="233"/>
      <c r="C1017" s="234"/>
      <c r="D1017" s="234"/>
      <c r="E1017" s="234"/>
      <c r="F1017" s="235"/>
      <c r="G1017" s="236"/>
      <c r="H1017" s="237">
        <f>+SUM(G1012:G1017)</f>
        <v>0</v>
      </c>
    </row>
    <row r="1018" spans="1:8" ht="15.75" thickBot="1" x14ac:dyDescent="0.3">
      <c r="A1018" s="133"/>
      <c r="B1018" s="238"/>
      <c r="C1018" s="238"/>
      <c r="D1018" s="238"/>
      <c r="E1018" s="238"/>
      <c r="F1018" s="249"/>
      <c r="G1018" s="250"/>
      <c r="H1018" s="241"/>
    </row>
    <row r="1019" spans="1:8" ht="15.75" thickBot="1" x14ac:dyDescent="0.3">
      <c r="A1019" s="133"/>
      <c r="B1019" s="224" t="s">
        <v>5412</v>
      </c>
      <c r="C1019" s="193" t="s">
        <v>5420</v>
      </c>
      <c r="D1019" s="193" t="s">
        <v>5421</v>
      </c>
      <c r="E1019" s="193" t="s">
        <v>5413</v>
      </c>
      <c r="F1019" s="193" t="s">
        <v>5405</v>
      </c>
      <c r="G1019" s="225" t="s">
        <v>868</v>
      </c>
      <c r="H1019" s="200"/>
    </row>
    <row r="1020" spans="1:8" x14ac:dyDescent="0.25">
      <c r="A1020" s="133"/>
      <c r="B1020" s="194" t="s">
        <v>5948</v>
      </c>
      <c r="C1020" s="345">
        <v>70000</v>
      </c>
      <c r="D1020" s="176">
        <f>+C1020*0.85</f>
        <v>59500</v>
      </c>
      <c r="E1020" s="176">
        <f>+C1020+D1020</f>
        <v>129500</v>
      </c>
      <c r="F1020" s="204">
        <v>20</v>
      </c>
      <c r="G1020" s="178">
        <f>+E1020/F1020</f>
        <v>6475</v>
      </c>
      <c r="H1020" s="200"/>
    </row>
    <row r="1021" spans="1:8" x14ac:dyDescent="0.25">
      <c r="A1021" s="133"/>
      <c r="B1021" s="194" t="s">
        <v>5651</v>
      </c>
      <c r="C1021" s="345">
        <v>40000</v>
      </c>
      <c r="D1021" s="176">
        <f>+C1021*0.85</f>
        <v>34000</v>
      </c>
      <c r="E1021" s="176">
        <f>+C1021+D1021</f>
        <v>74000</v>
      </c>
      <c r="F1021" s="202">
        <v>2</v>
      </c>
      <c r="G1021" s="178">
        <f>+E1021/F1021</f>
        <v>37000</v>
      </c>
      <c r="H1021" s="200"/>
    </row>
    <row r="1022" spans="1:8" x14ac:dyDescent="0.25">
      <c r="A1022" s="133"/>
      <c r="B1022" s="195" t="s">
        <v>5635</v>
      </c>
      <c r="C1022" s="345">
        <v>20600</v>
      </c>
      <c r="D1022" s="176">
        <f>+C1022*0.85</f>
        <v>17510</v>
      </c>
      <c r="E1022" s="176">
        <f>+C1022+D1022</f>
        <v>38110</v>
      </c>
      <c r="F1022" s="226">
        <v>2</v>
      </c>
      <c r="G1022" s="178">
        <f>+E1022/F1022</f>
        <v>19055</v>
      </c>
      <c r="H1022" s="200"/>
    </row>
    <row r="1023" spans="1:8" x14ac:dyDescent="0.25">
      <c r="A1023" s="133"/>
      <c r="B1023" s="195"/>
      <c r="C1023" s="171"/>
      <c r="D1023" s="176"/>
      <c r="E1023" s="176"/>
      <c r="F1023" s="226"/>
      <c r="G1023" s="178"/>
      <c r="H1023" s="200"/>
    </row>
    <row r="1024" spans="1:8" x14ac:dyDescent="0.25">
      <c r="A1024" s="133"/>
      <c r="B1024" s="195"/>
      <c r="C1024" s="232"/>
      <c r="D1024" s="232"/>
      <c r="E1024" s="232"/>
      <c r="F1024" s="226"/>
      <c r="G1024" s="229"/>
      <c r="H1024" s="200"/>
    </row>
    <row r="1025" spans="1:8" ht="15.75" thickBot="1" x14ac:dyDescent="0.3">
      <c r="A1025" s="133"/>
      <c r="B1025" s="195"/>
      <c r="C1025" s="232"/>
      <c r="D1025" s="232"/>
      <c r="E1025" s="232"/>
      <c r="F1025" s="226"/>
      <c r="G1025" s="229"/>
      <c r="H1025" s="200"/>
    </row>
    <row r="1026" spans="1:8" ht="15.75" thickBot="1" x14ac:dyDescent="0.3">
      <c r="A1026" s="133"/>
      <c r="B1026" s="251"/>
      <c r="C1026" s="252"/>
      <c r="D1026" s="252"/>
      <c r="E1026" s="252"/>
      <c r="F1026" s="253"/>
      <c r="G1026" s="254"/>
      <c r="H1026" s="256">
        <f>+SUM(G1020:G1026)</f>
        <v>62530</v>
      </c>
    </row>
    <row r="1027" spans="1:8" ht="15.75" thickBot="1" x14ac:dyDescent="0.3">
      <c r="A1027" s="133"/>
      <c r="B1027" s="8"/>
      <c r="C1027" s="8"/>
      <c r="D1027" s="8"/>
      <c r="E1027" s="8"/>
      <c r="F1027" s="133"/>
      <c r="G1027" s="200"/>
      <c r="H1027" s="200"/>
    </row>
    <row r="1028" spans="1:8" ht="15.75" thickBot="1" x14ac:dyDescent="0.3">
      <c r="A1028" s="133"/>
      <c r="B1028" s="8"/>
      <c r="C1028" s="8"/>
      <c r="D1028" s="8"/>
      <c r="E1028" s="223" t="s">
        <v>5415</v>
      </c>
      <c r="F1028" s="133"/>
      <c r="G1028" s="200"/>
      <c r="H1028" s="256">
        <f>ROUND(+H1026+H1017+H1009+H994,0)</f>
        <v>146447</v>
      </c>
    </row>
    <row r="1033" spans="1:8" ht="18.75" x14ac:dyDescent="0.25">
      <c r="B1033" s="2506" t="s">
        <v>5400</v>
      </c>
      <c r="C1033" s="2506"/>
      <c r="D1033" s="2506"/>
      <c r="E1033" s="2506"/>
      <c r="F1033" s="2506"/>
      <c r="G1033" s="2506"/>
    </row>
    <row r="1034" spans="1:8" x14ac:dyDescent="0.25">
      <c r="A1034" s="255"/>
    </row>
    <row r="1035" spans="1:8" x14ac:dyDescent="0.25">
      <c r="A1035" s="255"/>
    </row>
    <row r="1036" spans="1:8" x14ac:dyDescent="0.25">
      <c r="A1036" s="133"/>
      <c r="B1036" s="8"/>
      <c r="C1036" s="8"/>
      <c r="D1036" s="8"/>
      <c r="E1036" s="8"/>
      <c r="F1036" s="133"/>
      <c r="G1036" s="200"/>
      <c r="H1036" s="200"/>
    </row>
    <row r="1037" spans="1:8" ht="24.95" customHeight="1" x14ac:dyDescent="0.25">
      <c r="A1037" s="220" t="s">
        <v>5482</v>
      </c>
      <c r="B1037" s="138" t="s">
        <v>723</v>
      </c>
      <c r="C1037" s="2449" t="s">
        <v>6249</v>
      </c>
      <c r="D1037" s="2449"/>
      <c r="E1037" s="2449"/>
      <c r="F1037" s="220" t="s">
        <v>867</v>
      </c>
      <c r="G1037" s="222" t="s">
        <v>5424</v>
      </c>
      <c r="H1037" s="200"/>
    </row>
    <row r="1038" spans="1:8" x14ac:dyDescent="0.25">
      <c r="A1038" s="133"/>
      <c r="B1038" s="8"/>
      <c r="C1038" s="223"/>
      <c r="D1038" s="223"/>
      <c r="E1038" s="223"/>
      <c r="F1038" s="133"/>
      <c r="G1038" s="200"/>
      <c r="H1038" s="200"/>
    </row>
    <row r="1039" spans="1:8" x14ac:dyDescent="0.25">
      <c r="A1039" s="133"/>
      <c r="B1039" s="8"/>
      <c r="C1039" s="8"/>
      <c r="D1039" s="8"/>
      <c r="E1039" s="8"/>
      <c r="F1039" s="8"/>
      <c r="G1039" s="8"/>
      <c r="H1039" s="200"/>
    </row>
    <row r="1040" spans="1:8" ht="15.75" thickBot="1" x14ac:dyDescent="0.3">
      <c r="A1040" s="133"/>
      <c r="B1040" s="8"/>
      <c r="C1040" s="8"/>
      <c r="D1040" s="8"/>
      <c r="E1040" s="8"/>
      <c r="F1040" s="133"/>
      <c r="G1040" s="200"/>
      <c r="H1040" s="200"/>
    </row>
    <row r="1041" spans="1:8" ht="15.75" thickBot="1" x14ac:dyDescent="0.3">
      <c r="A1041" s="133"/>
      <c r="B1041" s="224" t="s">
        <v>5403</v>
      </c>
      <c r="C1041" s="193" t="s">
        <v>867</v>
      </c>
      <c r="D1041" s="193" t="s">
        <v>6</v>
      </c>
      <c r="E1041" s="193" t="s">
        <v>5439</v>
      </c>
      <c r="F1041" s="193" t="s">
        <v>5405</v>
      </c>
      <c r="G1041" s="225" t="s">
        <v>868</v>
      </c>
      <c r="H1041" s="200"/>
    </row>
    <row r="1042" spans="1:8" x14ac:dyDescent="0.25">
      <c r="A1042" s="133"/>
      <c r="B1042" s="195" t="s">
        <v>5440</v>
      </c>
      <c r="C1042" s="226" t="s">
        <v>5542</v>
      </c>
      <c r="D1042" s="226">
        <v>1</v>
      </c>
      <c r="E1042" s="227">
        <f>+H1080</f>
        <v>29322.5</v>
      </c>
      <c r="F1042" s="226">
        <v>0.05</v>
      </c>
      <c r="G1042" s="292">
        <f>+E1042*F1042</f>
        <v>1466.125</v>
      </c>
      <c r="H1042" s="200"/>
    </row>
    <row r="1043" spans="1:8" x14ac:dyDescent="0.25">
      <c r="A1043" s="133"/>
      <c r="B1043" s="195"/>
      <c r="C1043" s="226"/>
      <c r="D1043" s="226"/>
      <c r="E1043" s="230"/>
      <c r="F1043" s="226"/>
      <c r="G1043" s="229"/>
      <c r="H1043" s="200"/>
    </row>
    <row r="1044" spans="1:8" x14ac:dyDescent="0.25">
      <c r="A1044" s="133"/>
      <c r="B1044" s="195"/>
      <c r="C1044" s="226"/>
      <c r="D1044" s="226"/>
      <c r="E1044" s="176"/>
      <c r="F1044" s="226"/>
      <c r="G1044" s="229"/>
      <c r="H1044" s="200"/>
    </row>
    <row r="1045" spans="1:8" x14ac:dyDescent="0.25">
      <c r="A1045" s="133"/>
      <c r="B1045" s="195"/>
      <c r="C1045" s="226"/>
      <c r="D1045" s="226"/>
      <c r="E1045" s="171"/>
      <c r="F1045" s="226"/>
      <c r="G1045" s="293"/>
      <c r="H1045" s="200"/>
    </row>
    <row r="1046" spans="1:8" x14ac:dyDescent="0.25">
      <c r="A1046" s="133"/>
      <c r="B1046" s="195"/>
      <c r="C1046" s="226"/>
      <c r="D1046" s="232"/>
      <c r="E1046" s="232"/>
      <c r="F1046" s="226"/>
      <c r="G1046" s="229"/>
      <c r="H1046" s="200"/>
    </row>
    <row r="1047" spans="1:8" ht="15.75" thickBot="1" x14ac:dyDescent="0.3">
      <c r="A1047" s="133"/>
      <c r="B1047" s="195"/>
      <c r="C1047" s="226"/>
      <c r="D1047" s="232"/>
      <c r="E1047" s="232"/>
      <c r="F1047" s="226"/>
      <c r="G1047" s="229"/>
      <c r="H1047" s="200"/>
    </row>
    <row r="1048" spans="1:8" ht="15.75" thickBot="1" x14ac:dyDescent="0.3">
      <c r="A1048" s="133"/>
      <c r="B1048" s="233"/>
      <c r="C1048" s="234"/>
      <c r="D1048" s="234"/>
      <c r="E1048" s="234"/>
      <c r="F1048" s="235"/>
      <c r="G1048" s="236"/>
      <c r="H1048" s="237">
        <f>+SUM(G1042:G1048)</f>
        <v>1466.125</v>
      </c>
    </row>
    <row r="1049" spans="1:8" ht="15.75" thickBot="1" x14ac:dyDescent="0.3">
      <c r="A1049" s="133"/>
      <c r="B1049" s="238"/>
      <c r="C1049" s="238"/>
      <c r="D1049" s="238"/>
      <c r="E1049" s="238"/>
      <c r="F1049" s="239"/>
      <c r="G1049" s="240"/>
      <c r="H1049" s="241"/>
    </row>
    <row r="1050" spans="1:8" ht="15.75" thickBot="1" x14ac:dyDescent="0.3">
      <c r="A1050" s="133"/>
      <c r="B1050" s="224" t="s">
        <v>5408</v>
      </c>
      <c r="C1050" s="193" t="s">
        <v>867</v>
      </c>
      <c r="D1050" s="193" t="s">
        <v>6</v>
      </c>
      <c r="E1050" s="193" t="s">
        <v>870</v>
      </c>
      <c r="F1050" s="193" t="s">
        <v>5409</v>
      </c>
      <c r="G1050" s="225" t="s">
        <v>868</v>
      </c>
      <c r="H1050" s="200"/>
    </row>
    <row r="1051" spans="1:8" x14ac:dyDescent="0.25">
      <c r="A1051" s="133"/>
      <c r="B1051" s="242" t="s">
        <v>6252</v>
      </c>
      <c r="C1051" s="202" t="s">
        <v>5424</v>
      </c>
      <c r="D1051" s="226">
        <v>1</v>
      </c>
      <c r="E1051" s="171">
        <v>70000</v>
      </c>
      <c r="F1051" s="169">
        <v>0.05</v>
      </c>
      <c r="G1051" s="294">
        <f>+D1051*E1051*(1+F1051)</f>
        <v>73500</v>
      </c>
      <c r="H1051" s="200"/>
    </row>
    <row r="1052" spans="1:8" x14ac:dyDescent="0.25">
      <c r="A1052" s="133"/>
      <c r="B1052" s="243" t="s">
        <v>6250</v>
      </c>
      <c r="C1052" s="202" t="s">
        <v>5424</v>
      </c>
      <c r="D1052" s="202">
        <v>1</v>
      </c>
      <c r="E1052" s="175">
        <v>250000</v>
      </c>
      <c r="F1052" s="169">
        <v>0.01</v>
      </c>
      <c r="G1052" s="294">
        <f>+D1052*E1052*(1+F1052)</f>
        <v>252500</v>
      </c>
      <c r="H1052" s="200"/>
    </row>
    <row r="1053" spans="1:8" x14ac:dyDescent="0.25">
      <c r="A1053" s="133"/>
      <c r="B1053" s="266" t="s">
        <v>6251</v>
      </c>
      <c r="C1053" s="226" t="s">
        <v>5424</v>
      </c>
      <c r="D1053" s="226">
        <v>6</v>
      </c>
      <c r="E1053" s="244">
        <v>250</v>
      </c>
      <c r="F1053" s="169">
        <v>0.05</v>
      </c>
      <c r="G1053" s="294">
        <f>+D1053*E1053*(1+F1053)</f>
        <v>1575</v>
      </c>
      <c r="H1053" s="200"/>
    </row>
    <row r="1054" spans="1:8" x14ac:dyDescent="0.25">
      <c r="A1054" s="133"/>
      <c r="B1054" s="260" t="s">
        <v>6255</v>
      </c>
      <c r="C1054" s="226" t="s">
        <v>5424</v>
      </c>
      <c r="D1054" s="226">
        <v>1</v>
      </c>
      <c r="E1054" s="171">
        <v>30000</v>
      </c>
      <c r="F1054" s="169"/>
      <c r="G1054" s="294">
        <f>+D1054*E1054*(1+F1054)</f>
        <v>30000</v>
      </c>
      <c r="H1054" s="200"/>
    </row>
    <row r="1055" spans="1:8" x14ac:dyDescent="0.25">
      <c r="A1055" s="133"/>
      <c r="B1055" s="195"/>
      <c r="C1055" s="226"/>
      <c r="D1055" s="226"/>
      <c r="E1055" s="171"/>
      <c r="F1055" s="169"/>
      <c r="G1055" s="178"/>
      <c r="H1055" s="200"/>
    </row>
    <row r="1056" spans="1:8" x14ac:dyDescent="0.25">
      <c r="A1056" s="133"/>
      <c r="B1056" s="194"/>
      <c r="C1056" s="202"/>
      <c r="D1056" s="202"/>
      <c r="E1056" s="171"/>
      <c r="F1056" s="169"/>
      <c r="G1056" s="178"/>
      <c r="H1056" s="200"/>
    </row>
    <row r="1057" spans="1:8" x14ac:dyDescent="0.25">
      <c r="A1057" s="133"/>
      <c r="B1057" s="195"/>
      <c r="C1057" s="226"/>
      <c r="D1057" s="226"/>
      <c r="E1057" s="171"/>
      <c r="F1057" s="169"/>
      <c r="G1057" s="178"/>
      <c r="H1057" s="200"/>
    </row>
    <row r="1058" spans="1:8" x14ac:dyDescent="0.25">
      <c r="A1058" s="133"/>
      <c r="B1058" s="195"/>
      <c r="C1058" s="226"/>
      <c r="D1058" s="226"/>
      <c r="E1058" s="171"/>
      <c r="F1058" s="169"/>
      <c r="G1058" s="178"/>
      <c r="H1058" s="200"/>
    </row>
    <row r="1059" spans="1:8" x14ac:dyDescent="0.25">
      <c r="A1059" s="133"/>
      <c r="B1059" s="195"/>
      <c r="C1059" s="232"/>
      <c r="D1059" s="232"/>
      <c r="E1059" s="232"/>
      <c r="F1059" s="226"/>
      <c r="G1059" s="229"/>
      <c r="H1059" s="200"/>
    </row>
    <row r="1060" spans="1:8" x14ac:dyDescent="0.25">
      <c r="A1060" s="133"/>
      <c r="B1060" s="195"/>
      <c r="C1060" s="232"/>
      <c r="D1060" s="232"/>
      <c r="E1060" s="232"/>
      <c r="F1060" s="226"/>
      <c r="G1060" s="229"/>
      <c r="H1060" s="200"/>
    </row>
    <row r="1061" spans="1:8" x14ac:dyDescent="0.25">
      <c r="A1061" s="133"/>
      <c r="B1061" s="195"/>
      <c r="C1061" s="232"/>
      <c r="D1061" s="232"/>
      <c r="E1061" s="232"/>
      <c r="F1061" s="226"/>
      <c r="G1061" s="229"/>
      <c r="H1061" s="200"/>
    </row>
    <row r="1062" spans="1:8" ht="15.75" thickBot="1" x14ac:dyDescent="0.3">
      <c r="A1062" s="133"/>
      <c r="B1062" s="195"/>
      <c r="C1062" s="232"/>
      <c r="D1062" s="232"/>
      <c r="E1062" s="232"/>
      <c r="F1062" s="226"/>
      <c r="G1062" s="229"/>
      <c r="H1062" s="200"/>
    </row>
    <row r="1063" spans="1:8" ht="15.75" thickBot="1" x14ac:dyDescent="0.3">
      <c r="A1063" s="133"/>
      <c r="B1063" s="233"/>
      <c r="C1063" s="234"/>
      <c r="D1063" s="234"/>
      <c r="E1063" s="234"/>
      <c r="F1063" s="235"/>
      <c r="G1063" s="236"/>
      <c r="H1063" s="237">
        <f>+SUM(G1051:G1063)</f>
        <v>357575</v>
      </c>
    </row>
    <row r="1064" spans="1:8" ht="15.75" thickBot="1" x14ac:dyDescent="0.3">
      <c r="A1064" s="133"/>
      <c r="B1064" s="238"/>
      <c r="C1064" s="238"/>
      <c r="D1064" s="238"/>
      <c r="E1064" s="238"/>
      <c r="F1064" s="239"/>
      <c r="G1064" s="240"/>
      <c r="H1064" s="241"/>
    </row>
    <row r="1065" spans="1:8" ht="15.75" thickBot="1" x14ac:dyDescent="0.3">
      <c r="A1065" s="133"/>
      <c r="B1065" s="224" t="s">
        <v>5410</v>
      </c>
      <c r="C1065" s="193" t="s">
        <v>867</v>
      </c>
      <c r="D1065" s="193" t="s">
        <v>6</v>
      </c>
      <c r="E1065" s="193" t="s">
        <v>870</v>
      </c>
      <c r="F1065" s="193" t="s">
        <v>5411</v>
      </c>
      <c r="G1065" s="225" t="s">
        <v>868</v>
      </c>
      <c r="H1065" s="200"/>
    </row>
    <row r="1066" spans="1:8" x14ac:dyDescent="0.25">
      <c r="A1066" s="133"/>
      <c r="B1066" s="245"/>
      <c r="C1066" s="202"/>
      <c r="D1066" s="202"/>
      <c r="E1066" s="175"/>
      <c r="F1066" s="202"/>
      <c r="G1066" s="203"/>
      <c r="H1066" s="246"/>
    </row>
    <row r="1067" spans="1:8" x14ac:dyDescent="0.25">
      <c r="A1067" s="133"/>
      <c r="B1067" s="247"/>
      <c r="C1067" s="248"/>
      <c r="D1067" s="248"/>
      <c r="E1067" s="248"/>
      <c r="F1067" s="202"/>
      <c r="G1067" s="178"/>
      <c r="H1067" s="200"/>
    </row>
    <row r="1068" spans="1:8" x14ac:dyDescent="0.25">
      <c r="A1068" s="133"/>
      <c r="B1068" s="247"/>
      <c r="C1068" s="232"/>
      <c r="D1068" s="232"/>
      <c r="E1068" s="232"/>
      <c r="F1068" s="226"/>
      <c r="G1068" s="229"/>
      <c r="H1068" s="200"/>
    </row>
    <row r="1069" spans="1:8" x14ac:dyDescent="0.25">
      <c r="A1069" s="133"/>
      <c r="B1069" s="194"/>
      <c r="C1069" s="232"/>
      <c r="D1069" s="232"/>
      <c r="E1069" s="232"/>
      <c r="F1069" s="226"/>
      <c r="G1069" s="229"/>
      <c r="H1069" s="200"/>
    </row>
    <row r="1070" spans="1:8" ht="15.75" thickBot="1" x14ac:dyDescent="0.3">
      <c r="A1070" s="133"/>
      <c r="B1070" s="195"/>
      <c r="C1070" s="232"/>
      <c r="D1070" s="232"/>
      <c r="E1070" s="232"/>
      <c r="F1070" s="226"/>
      <c r="G1070" s="229"/>
      <c r="H1070" s="200"/>
    </row>
    <row r="1071" spans="1:8" ht="15.75" thickBot="1" x14ac:dyDescent="0.3">
      <c r="A1071" s="133"/>
      <c r="B1071" s="233"/>
      <c r="C1071" s="234"/>
      <c r="D1071" s="234"/>
      <c r="E1071" s="234"/>
      <c r="F1071" s="235"/>
      <c r="G1071" s="236"/>
      <c r="H1071" s="237">
        <f>+SUM(G1066:G1071)</f>
        <v>0</v>
      </c>
    </row>
    <row r="1072" spans="1:8" ht="15.75" thickBot="1" x14ac:dyDescent="0.3">
      <c r="A1072" s="133"/>
      <c r="B1072" s="238"/>
      <c r="C1072" s="238"/>
      <c r="D1072" s="238"/>
      <c r="E1072" s="238"/>
      <c r="F1072" s="249"/>
      <c r="G1072" s="250"/>
      <c r="H1072" s="241"/>
    </row>
    <row r="1073" spans="1:8" ht="15.75" thickBot="1" x14ac:dyDescent="0.3">
      <c r="A1073" s="133"/>
      <c r="B1073" s="224" t="s">
        <v>5412</v>
      </c>
      <c r="C1073" s="193" t="s">
        <v>5420</v>
      </c>
      <c r="D1073" s="193" t="s">
        <v>5421</v>
      </c>
      <c r="E1073" s="193" t="s">
        <v>5413</v>
      </c>
      <c r="F1073" s="193" t="s">
        <v>5405</v>
      </c>
      <c r="G1073" s="225" t="s">
        <v>868</v>
      </c>
      <c r="H1073" s="200"/>
    </row>
    <row r="1074" spans="1:8" x14ac:dyDescent="0.25">
      <c r="A1074" s="133"/>
      <c r="B1074" s="194" t="s">
        <v>5948</v>
      </c>
      <c r="C1074" s="345">
        <v>70000</v>
      </c>
      <c r="D1074" s="176">
        <f>+C1074*0.85</f>
        <v>59500</v>
      </c>
      <c r="E1074" s="176">
        <f>+C1074+D1074</f>
        <v>129500</v>
      </c>
      <c r="F1074" s="209">
        <v>100</v>
      </c>
      <c r="G1074" s="178">
        <f>+E1074/F1074</f>
        <v>1295</v>
      </c>
      <c r="H1074" s="200"/>
    </row>
    <row r="1075" spans="1:8" x14ac:dyDescent="0.25">
      <c r="A1075" s="133"/>
      <c r="B1075" s="194" t="s">
        <v>5651</v>
      </c>
      <c r="C1075" s="345">
        <v>40000</v>
      </c>
      <c r="D1075" s="176">
        <f>+C1075*0.85</f>
        <v>34000</v>
      </c>
      <c r="E1075" s="176">
        <f>+C1075+D1075</f>
        <v>74000</v>
      </c>
      <c r="F1075" s="202">
        <v>4</v>
      </c>
      <c r="G1075" s="178">
        <f>+E1075/F1075</f>
        <v>18500</v>
      </c>
      <c r="H1075" s="200"/>
    </row>
    <row r="1076" spans="1:8" x14ac:dyDescent="0.25">
      <c r="A1076" s="133"/>
      <c r="B1076" s="195" t="s">
        <v>5635</v>
      </c>
      <c r="C1076" s="345">
        <v>20600</v>
      </c>
      <c r="D1076" s="176">
        <f>+C1076*0.85</f>
        <v>17510</v>
      </c>
      <c r="E1076" s="176">
        <f>+C1076+D1076</f>
        <v>38110</v>
      </c>
      <c r="F1076" s="226">
        <v>4</v>
      </c>
      <c r="G1076" s="178">
        <f>+E1076/F1076</f>
        <v>9527.5</v>
      </c>
      <c r="H1076" s="200"/>
    </row>
    <row r="1077" spans="1:8" x14ac:dyDescent="0.25">
      <c r="A1077" s="133"/>
      <c r="B1077" s="195"/>
      <c r="C1077" s="171"/>
      <c r="D1077" s="176"/>
      <c r="E1077" s="176"/>
      <c r="F1077" s="226"/>
      <c r="G1077" s="178"/>
      <c r="H1077" s="200"/>
    </row>
    <row r="1078" spans="1:8" x14ac:dyDescent="0.25">
      <c r="A1078" s="133"/>
      <c r="B1078" s="195"/>
      <c r="C1078" s="232"/>
      <c r="D1078" s="232"/>
      <c r="E1078" s="232"/>
      <c r="F1078" s="226"/>
      <c r="G1078" s="229"/>
      <c r="H1078" s="200"/>
    </row>
    <row r="1079" spans="1:8" ht="15.75" thickBot="1" x14ac:dyDescent="0.3">
      <c r="A1079" s="133"/>
      <c r="B1079" s="195"/>
      <c r="C1079" s="232"/>
      <c r="D1079" s="232"/>
      <c r="E1079" s="232"/>
      <c r="F1079" s="226"/>
      <c r="G1079" s="229"/>
      <c r="H1079" s="200"/>
    </row>
    <row r="1080" spans="1:8" ht="15.75" thickBot="1" x14ac:dyDescent="0.3">
      <c r="A1080" s="133"/>
      <c r="B1080" s="251"/>
      <c r="C1080" s="252"/>
      <c r="D1080" s="252"/>
      <c r="E1080" s="252"/>
      <c r="F1080" s="253"/>
      <c r="G1080" s="254"/>
      <c r="H1080" s="237">
        <f>+SUM(G1074:G1080)</f>
        <v>29322.5</v>
      </c>
    </row>
    <row r="1081" spans="1:8" ht="15.75" thickBot="1" x14ac:dyDescent="0.3">
      <c r="A1081" s="133"/>
      <c r="B1081" s="8"/>
      <c r="C1081" s="8"/>
      <c r="D1081" s="8"/>
      <c r="E1081" s="8"/>
      <c r="F1081" s="133"/>
      <c r="G1081" s="200"/>
      <c r="H1081" s="200"/>
    </row>
    <row r="1082" spans="1:8" ht="15.75" thickBot="1" x14ac:dyDescent="0.3">
      <c r="A1082" s="133"/>
      <c r="B1082" s="8"/>
      <c r="C1082" s="8"/>
      <c r="D1082" s="8"/>
      <c r="E1082" s="223" t="s">
        <v>5415</v>
      </c>
      <c r="F1082" s="133"/>
      <c r="G1082" s="200"/>
      <c r="H1082" s="237">
        <f>+H1080+H1071+H1063+H1048</f>
        <v>388363.625</v>
      </c>
    </row>
    <row r="1084" spans="1:8" x14ac:dyDescent="0.25">
      <c r="A1084" s="255"/>
    </row>
    <row r="1085" spans="1:8" x14ac:dyDescent="0.25">
      <c r="A1085" s="255"/>
    </row>
    <row r="1086" spans="1:8" x14ac:dyDescent="0.25">
      <c r="A1086" s="255"/>
    </row>
    <row r="1087" spans="1:8" ht="18.75" x14ac:dyDescent="0.25">
      <c r="B1087" s="2506" t="s">
        <v>5400</v>
      </c>
      <c r="C1087" s="2506"/>
      <c r="D1087" s="2506"/>
      <c r="E1087" s="2506"/>
      <c r="F1087" s="2506"/>
      <c r="G1087" s="2506"/>
    </row>
    <row r="1088" spans="1:8" x14ac:dyDescent="0.25">
      <c r="A1088" s="255"/>
    </row>
    <row r="1089" spans="1:8" x14ac:dyDescent="0.25">
      <c r="A1089" s="255"/>
    </row>
    <row r="1090" spans="1:8" x14ac:dyDescent="0.25">
      <c r="A1090" s="133"/>
      <c r="B1090" s="8"/>
      <c r="C1090" s="8"/>
      <c r="D1090" s="8"/>
      <c r="E1090" s="8"/>
      <c r="F1090" s="133"/>
      <c r="G1090" s="200"/>
      <c r="H1090" s="200"/>
    </row>
    <row r="1091" spans="1:8" x14ac:dyDescent="0.25">
      <c r="A1091" s="220" t="s">
        <v>5482</v>
      </c>
      <c r="B1091" s="138" t="s">
        <v>723</v>
      </c>
      <c r="C1091" s="2449" t="s">
        <v>5603</v>
      </c>
      <c r="D1091" s="2449"/>
      <c r="E1091" s="2449"/>
      <c r="F1091" s="220" t="s">
        <v>867</v>
      </c>
      <c r="G1091" s="222" t="s">
        <v>5418</v>
      </c>
      <c r="H1091" s="200"/>
    </row>
    <row r="1092" spans="1:8" x14ac:dyDescent="0.25">
      <c r="A1092" s="133"/>
      <c r="B1092" s="8"/>
      <c r="C1092" s="223"/>
      <c r="D1092" s="223"/>
      <c r="E1092" s="223"/>
      <c r="F1092" s="133"/>
      <c r="G1092" s="200"/>
      <c r="H1092" s="200"/>
    </row>
    <row r="1093" spans="1:8" x14ac:dyDescent="0.25">
      <c r="A1093" s="133"/>
      <c r="B1093" s="8"/>
      <c r="C1093" s="8"/>
      <c r="D1093" s="8"/>
      <c r="E1093" s="8"/>
      <c r="F1093" s="8"/>
      <c r="G1093" s="8"/>
      <c r="H1093" s="200"/>
    </row>
    <row r="1094" spans="1:8" ht="15.75" thickBot="1" x14ac:dyDescent="0.3">
      <c r="A1094" s="133"/>
      <c r="B1094" s="8"/>
      <c r="C1094" s="8"/>
      <c r="D1094" s="8"/>
      <c r="E1094" s="8"/>
      <c r="F1094" s="133"/>
      <c r="G1094" s="200"/>
      <c r="H1094" s="200"/>
    </row>
    <row r="1095" spans="1:8" ht="15.75" thickBot="1" x14ac:dyDescent="0.3">
      <c r="A1095" s="133"/>
      <c r="B1095" s="224" t="s">
        <v>5403</v>
      </c>
      <c r="C1095" s="193" t="s">
        <v>867</v>
      </c>
      <c r="D1095" s="193" t="s">
        <v>6</v>
      </c>
      <c r="E1095" s="193" t="s">
        <v>5439</v>
      </c>
      <c r="F1095" s="193" t="s">
        <v>5405</v>
      </c>
      <c r="G1095" s="225" t="s">
        <v>868</v>
      </c>
      <c r="H1095" s="200"/>
    </row>
    <row r="1096" spans="1:8" x14ac:dyDescent="0.25">
      <c r="A1096" s="133"/>
      <c r="B1096" s="195" t="s">
        <v>5440</v>
      </c>
      <c r="C1096" s="226" t="s">
        <v>5542</v>
      </c>
      <c r="D1096" s="226">
        <v>1</v>
      </c>
      <c r="E1096" s="227">
        <f>+H1134</f>
        <v>15223.465086408221</v>
      </c>
      <c r="F1096" s="226">
        <v>0.05</v>
      </c>
      <c r="G1096" s="292">
        <f>+E1096*F1096</f>
        <v>761.17325432041116</v>
      </c>
      <c r="H1096" s="200"/>
    </row>
    <row r="1097" spans="1:8" x14ac:dyDescent="0.25">
      <c r="A1097" s="133"/>
      <c r="B1097" s="195"/>
      <c r="C1097" s="226"/>
      <c r="D1097" s="226"/>
      <c r="E1097" s="230"/>
      <c r="F1097" s="226"/>
      <c r="G1097" s="229"/>
      <c r="H1097" s="200"/>
    </row>
    <row r="1098" spans="1:8" x14ac:dyDescent="0.25">
      <c r="A1098" s="133"/>
      <c r="B1098" s="195"/>
      <c r="C1098" s="226"/>
      <c r="D1098" s="226"/>
      <c r="E1098" s="176"/>
      <c r="F1098" s="226"/>
      <c r="G1098" s="229"/>
      <c r="H1098" s="200"/>
    </row>
    <row r="1099" spans="1:8" x14ac:dyDescent="0.25">
      <c r="A1099" s="133"/>
      <c r="B1099" s="195"/>
      <c r="C1099" s="226"/>
      <c r="D1099" s="226"/>
      <c r="E1099" s="171"/>
      <c r="F1099" s="226"/>
      <c r="G1099" s="293"/>
      <c r="H1099" s="200"/>
    </row>
    <row r="1100" spans="1:8" x14ac:dyDescent="0.25">
      <c r="A1100" s="133"/>
      <c r="B1100" s="195"/>
      <c r="C1100" s="226"/>
      <c r="D1100" s="232"/>
      <c r="E1100" s="232"/>
      <c r="F1100" s="226"/>
      <c r="G1100" s="229"/>
      <c r="H1100" s="200"/>
    </row>
    <row r="1101" spans="1:8" ht="15.75" thickBot="1" x14ac:dyDescent="0.3">
      <c r="A1101" s="133"/>
      <c r="B1101" s="195"/>
      <c r="C1101" s="226"/>
      <c r="D1101" s="232"/>
      <c r="E1101" s="232"/>
      <c r="F1101" s="226"/>
      <c r="G1101" s="229"/>
      <c r="H1101" s="200"/>
    </row>
    <row r="1102" spans="1:8" ht="15.75" thickBot="1" x14ac:dyDescent="0.3">
      <c r="A1102" s="133"/>
      <c r="B1102" s="233"/>
      <c r="C1102" s="234"/>
      <c r="D1102" s="234"/>
      <c r="E1102" s="234"/>
      <c r="F1102" s="235"/>
      <c r="G1102" s="236"/>
      <c r="H1102" s="237">
        <f>+SUM(G1096:G1102)</f>
        <v>761.17325432041116</v>
      </c>
    </row>
    <row r="1103" spans="1:8" ht="15.75" thickBot="1" x14ac:dyDescent="0.3">
      <c r="A1103" s="133"/>
      <c r="B1103" s="238"/>
      <c r="C1103" s="238"/>
      <c r="D1103" s="238"/>
      <c r="E1103" s="238"/>
      <c r="F1103" s="239"/>
      <c r="G1103" s="240"/>
      <c r="H1103" s="241"/>
    </row>
    <row r="1104" spans="1:8" ht="15.75" thickBot="1" x14ac:dyDescent="0.3">
      <c r="A1104" s="133"/>
      <c r="B1104" s="224" t="s">
        <v>5408</v>
      </c>
      <c r="C1104" s="193" t="s">
        <v>867</v>
      </c>
      <c r="D1104" s="193" t="s">
        <v>6</v>
      </c>
      <c r="E1104" s="193" t="s">
        <v>870</v>
      </c>
      <c r="F1104" s="193" t="s">
        <v>5409</v>
      </c>
      <c r="G1104" s="225" t="s">
        <v>868</v>
      </c>
      <c r="H1104" s="200"/>
    </row>
    <row r="1105" spans="1:8" x14ac:dyDescent="0.25">
      <c r="A1105" s="133"/>
      <c r="B1105" s="242" t="s">
        <v>6139</v>
      </c>
      <c r="C1105" s="202" t="s">
        <v>5424</v>
      </c>
      <c r="D1105" s="226">
        <v>1.1100000000000001</v>
      </c>
      <c r="E1105" s="171">
        <f>1366.67+37474.08</f>
        <v>38840.75</v>
      </c>
      <c r="F1105" s="169">
        <v>0.05</v>
      </c>
      <c r="G1105" s="294">
        <f>+D1105*E1105*(1+F1105)</f>
        <v>45268.894125000006</v>
      </c>
      <c r="H1105" s="200"/>
    </row>
    <row r="1106" spans="1:8" x14ac:dyDescent="0.25">
      <c r="A1106" s="133"/>
      <c r="B1106" s="243" t="s">
        <v>6140</v>
      </c>
      <c r="C1106" s="202" t="s">
        <v>5424</v>
      </c>
      <c r="D1106" s="202">
        <v>1.5</v>
      </c>
      <c r="E1106" s="175">
        <v>526.1</v>
      </c>
      <c r="F1106" s="169">
        <v>0.05</v>
      </c>
      <c r="G1106" s="294">
        <f>+D1106*E1106*(1+F1106)</f>
        <v>828.60750000000019</v>
      </c>
      <c r="H1106" s="200"/>
    </row>
    <row r="1107" spans="1:8" x14ac:dyDescent="0.25">
      <c r="A1107" s="133"/>
      <c r="B1107" s="462" t="s">
        <v>5429</v>
      </c>
      <c r="C1107" s="226" t="s">
        <v>5424</v>
      </c>
      <c r="D1107" s="226">
        <v>1.5</v>
      </c>
      <c r="E1107" s="244">
        <v>335.1</v>
      </c>
      <c r="F1107" s="169">
        <v>0.05</v>
      </c>
      <c r="G1107" s="294">
        <f>+D1107*E1107*(1+F1107)</f>
        <v>527.78250000000003</v>
      </c>
      <c r="H1107" s="200"/>
    </row>
    <row r="1108" spans="1:8" x14ac:dyDescent="0.25">
      <c r="A1108" s="133"/>
      <c r="B1108" s="194" t="s">
        <v>6141</v>
      </c>
      <c r="C1108" s="226" t="s">
        <v>5402</v>
      </c>
      <c r="D1108" s="226">
        <v>0.98</v>
      </c>
      <c r="E1108" s="171">
        <v>14500</v>
      </c>
      <c r="F1108" s="169">
        <v>0.02</v>
      </c>
      <c r="G1108" s="294">
        <f>+D1108*E1108*(1+F1108)</f>
        <v>14494.2</v>
      </c>
      <c r="H1108" s="200"/>
    </row>
    <row r="1109" spans="1:8" x14ac:dyDescent="0.25">
      <c r="A1109" s="133"/>
      <c r="B1109" s="195"/>
      <c r="C1109" s="226"/>
      <c r="D1109" s="226"/>
      <c r="E1109" s="171"/>
      <c r="F1109" s="169"/>
      <c r="G1109" s="178"/>
      <c r="H1109" s="200"/>
    </row>
    <row r="1110" spans="1:8" x14ac:dyDescent="0.25">
      <c r="A1110" s="133"/>
      <c r="B1110" s="194"/>
      <c r="C1110" s="202"/>
      <c r="D1110" s="202"/>
      <c r="E1110" s="171"/>
      <c r="F1110" s="169"/>
      <c r="G1110" s="178"/>
      <c r="H1110" s="200"/>
    </row>
    <row r="1111" spans="1:8" x14ac:dyDescent="0.25">
      <c r="A1111" s="133"/>
      <c r="B1111" s="195"/>
      <c r="C1111" s="226"/>
      <c r="D1111" s="226"/>
      <c r="E1111" s="171"/>
      <c r="F1111" s="169"/>
      <c r="G1111" s="178"/>
      <c r="H1111" s="200"/>
    </row>
    <row r="1112" spans="1:8" x14ac:dyDescent="0.25">
      <c r="A1112" s="133"/>
      <c r="B1112" s="195"/>
      <c r="C1112" s="226"/>
      <c r="D1112" s="226"/>
      <c r="E1112" s="171"/>
      <c r="F1112" s="169"/>
      <c r="G1112" s="178"/>
      <c r="H1112" s="200"/>
    </row>
    <row r="1113" spans="1:8" x14ac:dyDescent="0.25">
      <c r="A1113" s="133"/>
      <c r="B1113" s="195"/>
      <c r="C1113" s="232"/>
      <c r="D1113" s="232"/>
      <c r="E1113" s="232"/>
      <c r="F1113" s="226"/>
      <c r="G1113" s="229"/>
      <c r="H1113" s="200"/>
    </row>
    <row r="1114" spans="1:8" x14ac:dyDescent="0.25">
      <c r="A1114" s="133"/>
      <c r="B1114" s="195"/>
      <c r="C1114" s="232"/>
      <c r="D1114" s="232"/>
      <c r="E1114" s="232"/>
      <c r="F1114" s="226"/>
      <c r="G1114" s="229"/>
      <c r="H1114" s="200"/>
    </row>
    <row r="1115" spans="1:8" x14ac:dyDescent="0.25">
      <c r="A1115" s="133"/>
      <c r="B1115" s="195"/>
      <c r="C1115" s="232"/>
      <c r="D1115" s="232"/>
      <c r="E1115" s="232"/>
      <c r="F1115" s="226"/>
      <c r="G1115" s="229"/>
      <c r="H1115" s="200"/>
    </row>
    <row r="1116" spans="1:8" ht="15.75" thickBot="1" x14ac:dyDescent="0.3">
      <c r="A1116" s="133"/>
      <c r="B1116" s="195"/>
      <c r="C1116" s="232"/>
      <c r="D1116" s="232"/>
      <c r="E1116" s="232"/>
      <c r="F1116" s="226"/>
      <c r="G1116" s="229"/>
      <c r="H1116" s="200"/>
    </row>
    <row r="1117" spans="1:8" ht="15.75" thickBot="1" x14ac:dyDescent="0.3">
      <c r="A1117" s="133"/>
      <c r="B1117" s="233"/>
      <c r="C1117" s="234"/>
      <c r="D1117" s="234"/>
      <c r="E1117" s="234"/>
      <c r="F1117" s="235"/>
      <c r="G1117" s="236"/>
      <c r="H1117" s="237">
        <f>+SUM(G1105:G1117)</f>
        <v>61119.484125000003</v>
      </c>
    </row>
    <row r="1118" spans="1:8" ht="15.75" thickBot="1" x14ac:dyDescent="0.3">
      <c r="A1118" s="133"/>
      <c r="B1118" s="238"/>
      <c r="C1118" s="238"/>
      <c r="D1118" s="238"/>
      <c r="E1118" s="238"/>
      <c r="F1118" s="239"/>
      <c r="G1118" s="240"/>
      <c r="H1118" s="241"/>
    </row>
    <row r="1119" spans="1:8" ht="15.75" thickBot="1" x14ac:dyDescent="0.3">
      <c r="A1119" s="133"/>
      <c r="B1119" s="224" t="s">
        <v>5410</v>
      </c>
      <c r="C1119" s="193" t="s">
        <v>867</v>
      </c>
      <c r="D1119" s="193" t="s">
        <v>6</v>
      </c>
      <c r="E1119" s="193" t="s">
        <v>870</v>
      </c>
      <c r="F1119" s="193" t="s">
        <v>5411</v>
      </c>
      <c r="G1119" s="225" t="s">
        <v>868</v>
      </c>
      <c r="H1119" s="200"/>
    </row>
    <row r="1120" spans="1:8" x14ac:dyDescent="0.25">
      <c r="A1120" s="133"/>
      <c r="B1120" s="245"/>
      <c r="C1120" s="202"/>
      <c r="D1120" s="202"/>
      <c r="E1120" s="175"/>
      <c r="F1120" s="202"/>
      <c r="G1120" s="203"/>
      <c r="H1120" s="246"/>
    </row>
    <row r="1121" spans="1:8" x14ac:dyDescent="0.25">
      <c r="A1121" s="133"/>
      <c r="B1121" s="247"/>
      <c r="C1121" s="248"/>
      <c r="D1121" s="248"/>
      <c r="E1121" s="248"/>
      <c r="F1121" s="202"/>
      <c r="G1121" s="178"/>
      <c r="H1121" s="200"/>
    </row>
    <row r="1122" spans="1:8" x14ac:dyDescent="0.25">
      <c r="A1122" s="133"/>
      <c r="B1122" s="247"/>
      <c r="C1122" s="232"/>
      <c r="D1122" s="232"/>
      <c r="E1122" s="232"/>
      <c r="F1122" s="226"/>
      <c r="G1122" s="229"/>
      <c r="H1122" s="200"/>
    </row>
    <row r="1123" spans="1:8" x14ac:dyDescent="0.25">
      <c r="A1123" s="133"/>
      <c r="B1123" s="194"/>
      <c r="C1123" s="232"/>
      <c r="D1123" s="232"/>
      <c r="E1123" s="232"/>
      <c r="F1123" s="226"/>
      <c r="G1123" s="229"/>
      <c r="H1123" s="200"/>
    </row>
    <row r="1124" spans="1:8" ht="15.75" thickBot="1" x14ac:dyDescent="0.3">
      <c r="A1124" s="133"/>
      <c r="B1124" s="195"/>
      <c r="C1124" s="232"/>
      <c r="D1124" s="232"/>
      <c r="E1124" s="232"/>
      <c r="F1124" s="226"/>
      <c r="G1124" s="229"/>
      <c r="H1124" s="200"/>
    </row>
    <row r="1125" spans="1:8" ht="15.75" thickBot="1" x14ac:dyDescent="0.3">
      <c r="A1125" s="133"/>
      <c r="B1125" s="233"/>
      <c r="C1125" s="234"/>
      <c r="D1125" s="234"/>
      <c r="E1125" s="234"/>
      <c r="F1125" s="235"/>
      <c r="G1125" s="236"/>
      <c r="H1125" s="237">
        <f>+SUM(G1120:G1125)</f>
        <v>0</v>
      </c>
    </row>
    <row r="1126" spans="1:8" ht="15.75" thickBot="1" x14ac:dyDescent="0.3">
      <c r="A1126" s="133"/>
      <c r="B1126" s="238"/>
      <c r="C1126" s="238"/>
      <c r="D1126" s="238"/>
      <c r="E1126" s="238"/>
      <c r="F1126" s="249"/>
      <c r="G1126" s="250"/>
      <c r="H1126" s="241"/>
    </row>
    <row r="1127" spans="1:8" ht="15.75" thickBot="1" x14ac:dyDescent="0.3">
      <c r="A1127" s="133"/>
      <c r="B1127" s="224" t="s">
        <v>5412</v>
      </c>
      <c r="C1127" s="193" t="s">
        <v>5420</v>
      </c>
      <c r="D1127" s="193" t="s">
        <v>5421</v>
      </c>
      <c r="E1127" s="193" t="s">
        <v>5413</v>
      </c>
      <c r="F1127" s="193" t="s">
        <v>5405</v>
      </c>
      <c r="G1127" s="225" t="s">
        <v>868</v>
      </c>
      <c r="H1127" s="200"/>
    </row>
    <row r="1128" spans="1:8" x14ac:dyDescent="0.25">
      <c r="A1128" s="133"/>
      <c r="B1128" s="194" t="s">
        <v>5948</v>
      </c>
      <c r="C1128" s="345">
        <v>70000</v>
      </c>
      <c r="D1128" s="176">
        <f>+C1128*0.85</f>
        <v>59500</v>
      </c>
      <c r="E1128" s="176">
        <f>+C1128+D1128</f>
        <v>129500</v>
      </c>
      <c r="F1128" s="209">
        <v>107.05</v>
      </c>
      <c r="G1128" s="178">
        <f>+E1128/F1128</f>
        <v>1209.7150864082205</v>
      </c>
      <c r="H1128" s="200"/>
    </row>
    <row r="1129" spans="1:8" x14ac:dyDescent="0.25">
      <c r="A1129" s="133"/>
      <c r="B1129" s="194" t="s">
        <v>5651</v>
      </c>
      <c r="C1129" s="345">
        <v>40000</v>
      </c>
      <c r="D1129" s="176">
        <f>+C1129*0.85</f>
        <v>34000</v>
      </c>
      <c r="E1129" s="176">
        <f>+C1129+D1129</f>
        <v>74000</v>
      </c>
      <c r="F1129" s="202">
        <v>8</v>
      </c>
      <c r="G1129" s="178">
        <f>+E1129/F1129</f>
        <v>9250</v>
      </c>
      <c r="H1129" s="200"/>
    </row>
    <row r="1130" spans="1:8" x14ac:dyDescent="0.25">
      <c r="A1130" s="133"/>
      <c r="B1130" s="195" t="s">
        <v>5635</v>
      </c>
      <c r="C1130" s="345">
        <v>20600</v>
      </c>
      <c r="D1130" s="176">
        <f>+C1130*0.85</f>
        <v>17510</v>
      </c>
      <c r="E1130" s="176">
        <f>+C1130+D1130</f>
        <v>38110</v>
      </c>
      <c r="F1130" s="226">
        <v>8</v>
      </c>
      <c r="G1130" s="178">
        <f>+E1130/F1130</f>
        <v>4763.75</v>
      </c>
      <c r="H1130" s="200"/>
    </row>
    <row r="1131" spans="1:8" x14ac:dyDescent="0.25">
      <c r="A1131" s="133"/>
      <c r="B1131" s="195"/>
      <c r="C1131" s="171"/>
      <c r="D1131" s="176"/>
      <c r="E1131" s="176"/>
      <c r="F1131" s="226"/>
      <c r="G1131" s="178"/>
      <c r="H1131" s="200"/>
    </row>
    <row r="1132" spans="1:8" x14ac:dyDescent="0.25">
      <c r="A1132" s="133"/>
      <c r="B1132" s="195"/>
      <c r="C1132" s="232"/>
      <c r="D1132" s="232"/>
      <c r="E1132" s="232"/>
      <c r="F1132" s="226"/>
      <c r="G1132" s="229"/>
      <c r="H1132" s="200"/>
    </row>
    <row r="1133" spans="1:8" ht="15.75" thickBot="1" x14ac:dyDescent="0.3">
      <c r="A1133" s="133"/>
      <c r="B1133" s="195"/>
      <c r="C1133" s="232"/>
      <c r="D1133" s="232"/>
      <c r="E1133" s="232"/>
      <c r="F1133" s="226"/>
      <c r="G1133" s="229"/>
      <c r="H1133" s="200"/>
    </row>
    <row r="1134" spans="1:8" ht="15.75" thickBot="1" x14ac:dyDescent="0.3">
      <c r="A1134" s="133"/>
      <c r="B1134" s="251"/>
      <c r="C1134" s="252"/>
      <c r="D1134" s="252"/>
      <c r="E1134" s="252"/>
      <c r="F1134" s="253"/>
      <c r="G1134" s="254"/>
      <c r="H1134" s="237">
        <f>+SUM(G1128:G1134)</f>
        <v>15223.465086408221</v>
      </c>
    </row>
    <row r="1135" spans="1:8" ht="15.75" thickBot="1" x14ac:dyDescent="0.3">
      <c r="A1135" s="133"/>
      <c r="B1135" s="8"/>
      <c r="C1135" s="8"/>
      <c r="D1135" s="8"/>
      <c r="E1135" s="8"/>
      <c r="F1135" s="133"/>
      <c r="G1135" s="200"/>
      <c r="H1135" s="200"/>
    </row>
    <row r="1136" spans="1:8" ht="15.75" thickBot="1" x14ac:dyDescent="0.3">
      <c r="A1136" s="133"/>
      <c r="B1136" s="8"/>
      <c r="C1136" s="8"/>
      <c r="D1136" s="8"/>
      <c r="E1136" s="223" t="s">
        <v>5415</v>
      </c>
      <c r="F1136" s="133"/>
      <c r="G1136" s="200"/>
      <c r="H1136" s="237">
        <f>+H1134+H1125+H1117+H1102</f>
        <v>77104.122465728637</v>
      </c>
    </row>
    <row r="1138" spans="1:8" x14ac:dyDescent="0.25">
      <c r="A1138" s="255"/>
    </row>
    <row r="1139" spans="1:8" x14ac:dyDescent="0.25">
      <c r="A1139" s="255"/>
    </row>
    <row r="1140" spans="1:8" x14ac:dyDescent="0.25">
      <c r="A1140" s="255"/>
    </row>
    <row r="1141" spans="1:8" ht="18.75" x14ac:dyDescent="0.25">
      <c r="A1141" s="133"/>
      <c r="B1141" s="2506" t="s">
        <v>5400</v>
      </c>
      <c r="C1141" s="2506"/>
      <c r="D1141" s="2506"/>
      <c r="E1141" s="2506"/>
      <c r="F1141" s="2506"/>
      <c r="G1141" s="2506"/>
      <c r="H1141" s="8"/>
    </row>
    <row r="1142" spans="1:8" x14ac:dyDescent="0.25">
      <c r="A1142" s="133"/>
      <c r="B1142" s="8"/>
      <c r="C1142" s="8"/>
      <c r="D1142" s="8"/>
      <c r="E1142" s="8"/>
      <c r="F1142" s="133"/>
      <c r="G1142" s="200"/>
      <c r="H1142" s="200"/>
    </row>
    <row r="1143" spans="1:8" x14ac:dyDescent="0.25">
      <c r="A1143" s="133"/>
      <c r="B1143" s="8"/>
      <c r="C1143" s="8"/>
      <c r="D1143" s="8"/>
      <c r="E1143" s="8"/>
      <c r="F1143" s="133"/>
      <c r="G1143" s="200"/>
      <c r="H1143" s="200"/>
    </row>
    <row r="1144" spans="1:8" x14ac:dyDescent="0.25">
      <c r="A1144" s="133"/>
      <c r="B1144" s="8"/>
      <c r="C1144" s="8"/>
      <c r="D1144" s="8"/>
      <c r="E1144" s="8"/>
      <c r="F1144" s="133"/>
      <c r="G1144" s="200"/>
      <c r="H1144" s="200"/>
    </row>
    <row r="1145" spans="1:8" x14ac:dyDescent="0.25">
      <c r="A1145" s="220" t="s">
        <v>5482</v>
      </c>
      <c r="B1145" s="138" t="s">
        <v>747</v>
      </c>
      <c r="C1145" s="2449" t="s">
        <v>5612</v>
      </c>
      <c r="D1145" s="2449"/>
      <c r="E1145" s="2449"/>
      <c r="F1145" s="220" t="s">
        <v>867</v>
      </c>
      <c r="G1145" s="222" t="s">
        <v>5402</v>
      </c>
      <c r="H1145" s="200"/>
    </row>
    <row r="1146" spans="1:8" x14ac:dyDescent="0.25">
      <c r="A1146" s="133"/>
      <c r="B1146" s="8"/>
      <c r="C1146" s="223"/>
      <c r="D1146" s="223"/>
      <c r="E1146" s="223"/>
      <c r="F1146" s="133"/>
      <c r="G1146" s="200"/>
      <c r="H1146" s="200"/>
    </row>
    <row r="1147" spans="1:8" x14ac:dyDescent="0.25">
      <c r="A1147" s="133"/>
      <c r="B1147" s="8"/>
      <c r="C1147" s="8"/>
      <c r="D1147" s="8"/>
      <c r="E1147" s="8"/>
      <c r="F1147" s="8"/>
      <c r="G1147" s="8"/>
      <c r="H1147" s="200"/>
    </row>
    <row r="1148" spans="1:8" ht="15.75" thickBot="1" x14ac:dyDescent="0.3">
      <c r="A1148" s="133"/>
      <c r="B1148" s="8"/>
      <c r="C1148" s="8"/>
      <c r="D1148" s="8"/>
      <c r="E1148" s="8"/>
      <c r="F1148" s="133"/>
      <c r="G1148" s="200"/>
      <c r="H1148" s="200"/>
    </row>
    <row r="1149" spans="1:8" ht="15.75" thickBot="1" x14ac:dyDescent="0.3">
      <c r="A1149" s="133"/>
      <c r="B1149" s="224" t="s">
        <v>5403</v>
      </c>
      <c r="C1149" s="193" t="s">
        <v>867</v>
      </c>
      <c r="D1149" s="193" t="s">
        <v>6</v>
      </c>
      <c r="E1149" s="193" t="s">
        <v>5439</v>
      </c>
      <c r="F1149" s="193" t="s">
        <v>5405</v>
      </c>
      <c r="G1149" s="225" t="s">
        <v>868</v>
      </c>
      <c r="H1149" s="200"/>
    </row>
    <row r="1150" spans="1:8" x14ac:dyDescent="0.25">
      <c r="A1150" s="133"/>
      <c r="B1150" s="195" t="s">
        <v>5440</v>
      </c>
      <c r="C1150" s="226" t="s">
        <v>5402</v>
      </c>
      <c r="D1150" s="226">
        <v>1</v>
      </c>
      <c r="E1150" s="227">
        <f>+H1188</f>
        <v>25012</v>
      </c>
      <c r="F1150" s="226">
        <v>0.05</v>
      </c>
      <c r="G1150" s="292">
        <f>+E1150*F1150</f>
        <v>1250.6000000000001</v>
      </c>
      <c r="H1150" s="200"/>
    </row>
    <row r="1151" spans="1:8" x14ac:dyDescent="0.25">
      <c r="A1151" s="133"/>
      <c r="B1151" s="195"/>
      <c r="C1151" s="226"/>
      <c r="D1151" s="226"/>
      <c r="E1151" s="230"/>
      <c r="F1151" s="226"/>
      <c r="G1151" s="229"/>
      <c r="H1151" s="200"/>
    </row>
    <row r="1152" spans="1:8" x14ac:dyDescent="0.25">
      <c r="A1152" s="133"/>
      <c r="B1152" s="195"/>
      <c r="C1152" s="226"/>
      <c r="D1152" s="226"/>
      <c r="E1152" s="176"/>
      <c r="F1152" s="226"/>
      <c r="G1152" s="229"/>
      <c r="H1152" s="200"/>
    </row>
    <row r="1153" spans="1:8" x14ac:dyDescent="0.25">
      <c r="A1153" s="133"/>
      <c r="B1153" s="195"/>
      <c r="C1153" s="226"/>
      <c r="D1153" s="226"/>
      <c r="E1153" s="171"/>
      <c r="F1153" s="226"/>
      <c r="G1153" s="293"/>
      <c r="H1153" s="200"/>
    </row>
    <row r="1154" spans="1:8" x14ac:dyDescent="0.25">
      <c r="A1154" s="133"/>
      <c r="B1154" s="195"/>
      <c r="C1154" s="226"/>
      <c r="D1154" s="232"/>
      <c r="E1154" s="232"/>
      <c r="F1154" s="226"/>
      <c r="G1154" s="229"/>
      <c r="H1154" s="200"/>
    </row>
    <row r="1155" spans="1:8" ht="15.75" thickBot="1" x14ac:dyDescent="0.3">
      <c r="A1155" s="133"/>
      <c r="B1155" s="195"/>
      <c r="C1155" s="226"/>
      <c r="D1155" s="232"/>
      <c r="E1155" s="232"/>
      <c r="F1155" s="226"/>
      <c r="G1155" s="229"/>
      <c r="H1155" s="200"/>
    </row>
    <row r="1156" spans="1:8" ht="15.75" thickBot="1" x14ac:dyDescent="0.3">
      <c r="A1156" s="133"/>
      <c r="B1156" s="233"/>
      <c r="C1156" s="234"/>
      <c r="D1156" s="234"/>
      <c r="E1156" s="234"/>
      <c r="F1156" s="235"/>
      <c r="G1156" s="236"/>
      <c r="H1156" s="237">
        <f>+SUM(G1150:G1156)</f>
        <v>1250.6000000000001</v>
      </c>
    </row>
    <row r="1157" spans="1:8" ht="15.75" thickBot="1" x14ac:dyDescent="0.3">
      <c r="A1157" s="133"/>
      <c r="B1157" s="238"/>
      <c r="C1157" s="238"/>
      <c r="D1157" s="238"/>
      <c r="E1157" s="238"/>
      <c r="F1157" s="239"/>
      <c r="G1157" s="240"/>
      <c r="H1157" s="241"/>
    </row>
    <row r="1158" spans="1:8" ht="15.75" thickBot="1" x14ac:dyDescent="0.3">
      <c r="A1158" s="133"/>
      <c r="B1158" s="224" t="s">
        <v>5408</v>
      </c>
      <c r="C1158" s="193" t="s">
        <v>867</v>
      </c>
      <c r="D1158" s="193" t="s">
        <v>6</v>
      </c>
      <c r="E1158" s="193" t="s">
        <v>870</v>
      </c>
      <c r="F1158" s="193" t="s">
        <v>5409</v>
      </c>
      <c r="G1158" s="225" t="s">
        <v>868</v>
      </c>
      <c r="H1158" s="200"/>
    </row>
    <row r="1159" spans="1:8" x14ac:dyDescent="0.25">
      <c r="A1159" s="133"/>
      <c r="B1159" s="314" t="s">
        <v>6172</v>
      </c>
      <c r="C1159" s="202" t="s">
        <v>5542</v>
      </c>
      <c r="D1159" s="226">
        <v>0.06</v>
      </c>
      <c r="E1159" s="244">
        <f>+'APU CAP 5'!P430</f>
        <v>620040.71428571432</v>
      </c>
      <c r="F1159" s="169">
        <v>0.05</v>
      </c>
      <c r="G1159" s="294">
        <f t="shared" ref="G1159:G1164" si="2">+D1159*E1159*(1+F1159)</f>
        <v>39062.565000000002</v>
      </c>
      <c r="H1159" s="200"/>
    </row>
    <row r="1160" spans="1:8" x14ac:dyDescent="0.25">
      <c r="A1160" s="133"/>
      <c r="B1160" s="247" t="s">
        <v>6173</v>
      </c>
      <c r="C1160" s="202" t="s">
        <v>5431</v>
      </c>
      <c r="D1160" s="202">
        <v>4.28</v>
      </c>
      <c r="E1160" s="257">
        <f>+'APU CAP 5'!H970</f>
        <v>3455</v>
      </c>
      <c r="F1160" s="169">
        <v>0.05</v>
      </c>
      <c r="G1160" s="294">
        <f t="shared" si="2"/>
        <v>15526.770000000002</v>
      </c>
      <c r="H1160" s="200"/>
    </row>
    <row r="1161" spans="1:8" x14ac:dyDescent="0.25">
      <c r="A1161" s="133"/>
      <c r="B1161" s="194" t="s">
        <v>6174</v>
      </c>
      <c r="C1161" s="226" t="s">
        <v>5556</v>
      </c>
      <c r="D1161" s="226">
        <v>1.77</v>
      </c>
      <c r="E1161" s="171">
        <v>20000</v>
      </c>
      <c r="F1161" s="169">
        <v>0.05</v>
      </c>
      <c r="G1161" s="294">
        <f t="shared" si="2"/>
        <v>37170</v>
      </c>
      <c r="H1161" s="200"/>
    </row>
    <row r="1162" spans="1:8" x14ac:dyDescent="0.25">
      <c r="A1162" s="133"/>
      <c r="B1162" s="195" t="s">
        <v>5753</v>
      </c>
      <c r="C1162" s="226" t="s">
        <v>5431</v>
      </c>
      <c r="D1162" s="226">
        <v>1</v>
      </c>
      <c r="E1162" s="171">
        <v>1200</v>
      </c>
      <c r="F1162" s="169">
        <v>0.05</v>
      </c>
      <c r="G1162" s="294">
        <f t="shared" si="2"/>
        <v>1260</v>
      </c>
      <c r="H1162" s="200"/>
    </row>
    <row r="1163" spans="1:8" x14ac:dyDescent="0.25">
      <c r="A1163" s="133"/>
      <c r="B1163" s="195" t="s">
        <v>6175</v>
      </c>
      <c r="C1163" s="226" t="s">
        <v>5556</v>
      </c>
      <c r="D1163" s="226">
        <f>0.6*0.8*2/2.5</f>
        <v>0.38400000000000001</v>
      </c>
      <c r="E1163" s="171">
        <f>+H218</f>
        <v>28791</v>
      </c>
      <c r="F1163" s="169">
        <v>0.05</v>
      </c>
      <c r="G1163" s="294">
        <f t="shared" si="2"/>
        <v>11608.531200000001</v>
      </c>
      <c r="H1163" s="200"/>
    </row>
    <row r="1164" spans="1:8" x14ac:dyDescent="0.25">
      <c r="A1164" s="133"/>
      <c r="B1164" s="194" t="s">
        <v>6176</v>
      </c>
      <c r="C1164" s="202" t="s">
        <v>5556</v>
      </c>
      <c r="D1164" s="202">
        <f>+D1163*2</f>
        <v>0.76800000000000002</v>
      </c>
      <c r="E1164" s="171">
        <f>+H434</f>
        <v>14826</v>
      </c>
      <c r="F1164" s="169">
        <v>0.05</v>
      </c>
      <c r="G1164" s="178">
        <f t="shared" si="2"/>
        <v>11955.686400000001</v>
      </c>
      <c r="H1164" s="200"/>
    </row>
    <row r="1165" spans="1:8" x14ac:dyDescent="0.25">
      <c r="A1165" s="133"/>
      <c r="B1165" s="195"/>
      <c r="C1165" s="226"/>
      <c r="D1165" s="226"/>
      <c r="E1165" s="171"/>
      <c r="F1165" s="169"/>
      <c r="G1165" s="178"/>
      <c r="H1165" s="200"/>
    </row>
    <row r="1166" spans="1:8" x14ac:dyDescent="0.25">
      <c r="A1166" s="133"/>
      <c r="B1166" s="195"/>
      <c r="C1166" s="226"/>
      <c r="D1166" s="226"/>
      <c r="E1166" s="171"/>
      <c r="F1166" s="169"/>
      <c r="G1166" s="178"/>
      <c r="H1166" s="200"/>
    </row>
    <row r="1167" spans="1:8" x14ac:dyDescent="0.25">
      <c r="A1167" s="133"/>
      <c r="B1167" s="195"/>
      <c r="C1167" s="232"/>
      <c r="D1167" s="232"/>
      <c r="E1167" s="232"/>
      <c r="F1167" s="226"/>
      <c r="G1167" s="229"/>
      <c r="H1167" s="200"/>
    </row>
    <row r="1168" spans="1:8" x14ac:dyDescent="0.25">
      <c r="A1168" s="133"/>
      <c r="B1168" s="195"/>
      <c r="C1168" s="232"/>
      <c r="D1168" s="232"/>
      <c r="E1168" s="232"/>
      <c r="F1168" s="226"/>
      <c r="G1168" s="229"/>
      <c r="H1168" s="200"/>
    </row>
    <row r="1169" spans="1:8" x14ac:dyDescent="0.25">
      <c r="A1169" s="133"/>
      <c r="B1169" s="195"/>
      <c r="C1169" s="232"/>
      <c r="D1169" s="232"/>
      <c r="E1169" s="232"/>
      <c r="F1169" s="226"/>
      <c r="G1169" s="229"/>
      <c r="H1169" s="200"/>
    </row>
    <row r="1170" spans="1:8" ht="15.75" thickBot="1" x14ac:dyDescent="0.3">
      <c r="A1170" s="133"/>
      <c r="B1170" s="195"/>
      <c r="C1170" s="232"/>
      <c r="D1170" s="232"/>
      <c r="E1170" s="232"/>
      <c r="F1170" s="226"/>
      <c r="G1170" s="229"/>
      <c r="H1170" s="200"/>
    </row>
    <row r="1171" spans="1:8" ht="15.75" thickBot="1" x14ac:dyDescent="0.3">
      <c r="A1171" s="133"/>
      <c r="B1171" s="233"/>
      <c r="C1171" s="234"/>
      <c r="D1171" s="234"/>
      <c r="E1171" s="234"/>
      <c r="F1171" s="235"/>
      <c r="G1171" s="236"/>
      <c r="H1171" s="256">
        <f>+SUM(G1159:G1171)</f>
        <v>116583.55260000001</v>
      </c>
    </row>
    <row r="1172" spans="1:8" ht="15.75" thickBot="1" x14ac:dyDescent="0.3">
      <c r="A1172" s="133"/>
      <c r="B1172" s="238"/>
      <c r="C1172" s="238"/>
      <c r="D1172" s="238"/>
      <c r="E1172" s="238"/>
      <c r="F1172" s="239"/>
      <c r="G1172" s="240"/>
      <c r="H1172" s="241"/>
    </row>
    <row r="1173" spans="1:8" ht="15.75" thickBot="1" x14ac:dyDescent="0.3">
      <c r="A1173" s="133"/>
      <c r="B1173" s="224" t="s">
        <v>5410</v>
      </c>
      <c r="C1173" s="193" t="s">
        <v>867</v>
      </c>
      <c r="D1173" s="193" t="s">
        <v>6</v>
      </c>
      <c r="E1173" s="193" t="s">
        <v>870</v>
      </c>
      <c r="F1173" s="193" t="s">
        <v>5411</v>
      </c>
      <c r="G1173" s="225" t="s">
        <v>868</v>
      </c>
      <c r="H1173" s="200"/>
    </row>
    <row r="1174" spans="1:8" x14ac:dyDescent="0.25">
      <c r="A1174" s="133"/>
      <c r="B1174" s="275"/>
      <c r="C1174" s="276"/>
      <c r="D1174" s="276"/>
      <c r="E1174" s="277"/>
      <c r="F1174" s="276"/>
      <c r="G1174" s="203"/>
      <c r="H1174" s="246"/>
    </row>
    <row r="1175" spans="1:8" x14ac:dyDescent="0.25">
      <c r="A1175" s="133"/>
      <c r="B1175" s="278"/>
      <c r="C1175" s="279"/>
      <c r="D1175" s="279"/>
      <c r="E1175" s="280"/>
      <c r="F1175" s="279"/>
      <c r="G1175" s="178"/>
      <c r="H1175" s="200"/>
    </row>
    <row r="1176" spans="1:8" x14ac:dyDescent="0.25">
      <c r="A1176" s="133"/>
      <c r="B1176" s="278"/>
      <c r="C1176" s="279"/>
      <c r="D1176" s="279"/>
      <c r="E1176" s="281"/>
      <c r="F1176" s="279"/>
      <c r="G1176" s="229"/>
      <c r="H1176" s="200"/>
    </row>
    <row r="1177" spans="1:8" x14ac:dyDescent="0.25">
      <c r="A1177" s="133"/>
      <c r="B1177" s="194"/>
      <c r="C1177" s="248"/>
      <c r="D1177" s="248"/>
      <c r="E1177" s="248"/>
      <c r="F1177" s="202"/>
      <c r="G1177" s="229"/>
      <c r="H1177" s="200"/>
    </row>
    <row r="1178" spans="1:8" ht="15.75" thickBot="1" x14ac:dyDescent="0.3">
      <c r="A1178" s="133"/>
      <c r="B1178" s="195"/>
      <c r="C1178" s="232"/>
      <c r="D1178" s="232"/>
      <c r="E1178" s="232"/>
      <c r="F1178" s="226"/>
      <c r="G1178" s="229"/>
      <c r="H1178" s="200"/>
    </row>
    <row r="1179" spans="1:8" ht="15.75" thickBot="1" x14ac:dyDescent="0.3">
      <c r="A1179" s="133"/>
      <c r="B1179" s="233"/>
      <c r="C1179" s="234"/>
      <c r="D1179" s="234"/>
      <c r="E1179" s="234"/>
      <c r="F1179" s="235"/>
      <c r="G1179" s="236"/>
      <c r="H1179" s="237">
        <f>+SUM(G1174:G1179)</f>
        <v>0</v>
      </c>
    </row>
    <row r="1180" spans="1:8" ht="15.75" thickBot="1" x14ac:dyDescent="0.3">
      <c r="A1180" s="133"/>
      <c r="B1180" s="238"/>
      <c r="C1180" s="238"/>
      <c r="D1180" s="238"/>
      <c r="E1180" s="238"/>
      <c r="F1180" s="249"/>
      <c r="G1180" s="250"/>
      <c r="H1180" s="241"/>
    </row>
    <row r="1181" spans="1:8" ht="15.75" thickBot="1" x14ac:dyDescent="0.3">
      <c r="A1181" s="133"/>
      <c r="B1181" s="224" t="s">
        <v>5412</v>
      </c>
      <c r="C1181" s="193" t="s">
        <v>5420</v>
      </c>
      <c r="D1181" s="193" t="s">
        <v>5421</v>
      </c>
      <c r="E1181" s="193" t="s">
        <v>5413</v>
      </c>
      <c r="F1181" s="193" t="s">
        <v>5405</v>
      </c>
      <c r="G1181" s="225" t="s">
        <v>868</v>
      </c>
      <c r="H1181" s="200"/>
    </row>
    <row r="1182" spans="1:8" x14ac:dyDescent="0.25">
      <c r="A1182" s="133"/>
      <c r="B1182" s="194" t="s">
        <v>5948</v>
      </c>
      <c r="C1182" s="345">
        <v>70000</v>
      </c>
      <c r="D1182" s="176">
        <f>+C1182*0.85</f>
        <v>59500</v>
      </c>
      <c r="E1182" s="176">
        <f>+C1182+D1182</f>
        <v>129500</v>
      </c>
      <c r="F1182" s="204">
        <v>50</v>
      </c>
      <c r="G1182" s="178">
        <f>+E1182/F1182</f>
        <v>2590</v>
      </c>
      <c r="H1182" s="200"/>
    </row>
    <row r="1183" spans="1:8" x14ac:dyDescent="0.25">
      <c r="A1183" s="133"/>
      <c r="B1183" s="194" t="s">
        <v>5651</v>
      </c>
      <c r="C1183" s="345">
        <v>40000</v>
      </c>
      <c r="D1183" s="176">
        <f>+C1183*0.85</f>
        <v>34000</v>
      </c>
      <c r="E1183" s="176">
        <f>+C1183+D1183</f>
        <v>74000</v>
      </c>
      <c r="F1183" s="202">
        <v>5</v>
      </c>
      <c r="G1183" s="178">
        <f>+E1183/F1183</f>
        <v>14800</v>
      </c>
      <c r="H1183" s="200"/>
    </row>
    <row r="1184" spans="1:8" x14ac:dyDescent="0.25">
      <c r="A1184" s="133"/>
      <c r="B1184" s="195" t="s">
        <v>5635</v>
      </c>
      <c r="C1184" s="345">
        <v>20600</v>
      </c>
      <c r="D1184" s="176">
        <f>+C1184*0.85</f>
        <v>17510</v>
      </c>
      <c r="E1184" s="176">
        <f>+C1184+D1184</f>
        <v>38110</v>
      </c>
      <c r="F1184" s="226">
        <v>5</v>
      </c>
      <c r="G1184" s="178">
        <f>+E1184/F1184</f>
        <v>7622</v>
      </c>
      <c r="H1184" s="200"/>
    </row>
    <row r="1185" spans="1:8" x14ac:dyDescent="0.25">
      <c r="A1185" s="133"/>
      <c r="B1185" s="195"/>
      <c r="C1185" s="171"/>
      <c r="D1185" s="176"/>
      <c r="E1185" s="176"/>
      <c r="F1185" s="226"/>
      <c r="G1185" s="178"/>
      <c r="H1185" s="200"/>
    </row>
    <row r="1186" spans="1:8" x14ac:dyDescent="0.25">
      <c r="A1186" s="133"/>
      <c r="B1186" s="195"/>
      <c r="C1186" s="232"/>
      <c r="D1186" s="232"/>
      <c r="E1186" s="232"/>
      <c r="F1186" s="226"/>
      <c r="G1186" s="229"/>
      <c r="H1186" s="200"/>
    </row>
    <row r="1187" spans="1:8" ht="15.75" thickBot="1" x14ac:dyDescent="0.3">
      <c r="A1187" s="133"/>
      <c r="B1187" s="195"/>
      <c r="C1187" s="232"/>
      <c r="D1187" s="232"/>
      <c r="E1187" s="232"/>
      <c r="F1187" s="226"/>
      <c r="G1187" s="229"/>
      <c r="H1187" s="200"/>
    </row>
    <row r="1188" spans="1:8" ht="15.75" thickBot="1" x14ac:dyDescent="0.3">
      <c r="A1188" s="133"/>
      <c r="B1188" s="251"/>
      <c r="C1188" s="252"/>
      <c r="D1188" s="252"/>
      <c r="E1188" s="252"/>
      <c r="F1188" s="253"/>
      <c r="G1188" s="254"/>
      <c r="H1188" s="256">
        <f>+SUM(G1182:G1188)</f>
        <v>25012</v>
      </c>
    </row>
    <row r="1189" spans="1:8" ht="15.75" thickBot="1" x14ac:dyDescent="0.3">
      <c r="A1189" s="133"/>
      <c r="B1189" s="8"/>
      <c r="C1189" s="8"/>
      <c r="D1189" s="8"/>
      <c r="E1189" s="8"/>
      <c r="F1189" s="133"/>
      <c r="G1189" s="200"/>
      <c r="H1189" s="200"/>
    </row>
    <row r="1190" spans="1:8" ht="15.75" thickBot="1" x14ac:dyDescent="0.3">
      <c r="A1190" s="133"/>
      <c r="B1190" s="8"/>
      <c r="C1190" s="8"/>
      <c r="D1190" s="8"/>
      <c r="E1190" s="223" t="s">
        <v>5415</v>
      </c>
      <c r="F1190" s="133"/>
      <c r="G1190" s="200"/>
      <c r="H1190" s="256">
        <f>ROUND(+H1188+H1179+H1171+H1156,0)</f>
        <v>142846</v>
      </c>
    </row>
    <row r="1192" spans="1:8" x14ac:dyDescent="0.25">
      <c r="A1192" s="255"/>
    </row>
    <row r="1193" spans="1:8" x14ac:dyDescent="0.25">
      <c r="A1193" s="255"/>
    </row>
    <row r="1194" spans="1:8" x14ac:dyDescent="0.25">
      <c r="A1194" s="255"/>
    </row>
    <row r="1195" spans="1:8" ht="18.75" x14ac:dyDescent="0.25">
      <c r="A1195" s="133"/>
      <c r="B1195" s="2506" t="s">
        <v>5400</v>
      </c>
      <c r="C1195" s="2506"/>
      <c r="D1195" s="2506"/>
      <c r="E1195" s="2506"/>
      <c r="F1195" s="2506"/>
      <c r="G1195" s="2506"/>
      <c r="H1195" s="8"/>
    </row>
    <row r="1196" spans="1:8" x14ac:dyDescent="0.25">
      <c r="A1196" s="133"/>
      <c r="B1196" s="8"/>
      <c r="C1196" s="8"/>
      <c r="D1196" s="8"/>
      <c r="E1196" s="8"/>
      <c r="F1196" s="133"/>
      <c r="G1196" s="200"/>
      <c r="H1196" s="200"/>
    </row>
    <row r="1197" spans="1:8" x14ac:dyDescent="0.25">
      <c r="A1197" s="133"/>
      <c r="B1197" s="8"/>
      <c r="C1197" s="8"/>
      <c r="D1197" s="8"/>
      <c r="E1197" s="8"/>
      <c r="F1197" s="133"/>
      <c r="G1197" s="200"/>
      <c r="H1197" s="200"/>
    </row>
    <row r="1198" spans="1:8" x14ac:dyDescent="0.25">
      <c r="A1198" s="133"/>
      <c r="B1198" s="8"/>
      <c r="C1198" s="8"/>
      <c r="D1198" s="8"/>
      <c r="E1198" s="8"/>
      <c r="F1198" s="133"/>
      <c r="G1198" s="200"/>
      <c r="H1198" s="200"/>
    </row>
    <row r="1199" spans="1:8" x14ac:dyDescent="0.25">
      <c r="A1199" s="220" t="s">
        <v>5482</v>
      </c>
      <c r="B1199" s="138" t="s">
        <v>750</v>
      </c>
      <c r="C1199" s="2449" t="s">
        <v>5613</v>
      </c>
      <c r="D1199" s="2449"/>
      <c r="E1199" s="2449"/>
      <c r="F1199" s="220" t="s">
        <v>867</v>
      </c>
      <c r="G1199" s="222" t="s">
        <v>5402</v>
      </c>
      <c r="H1199" s="200"/>
    </row>
    <row r="1200" spans="1:8" x14ac:dyDescent="0.25">
      <c r="A1200" s="133"/>
      <c r="B1200" s="8"/>
      <c r="C1200" s="223"/>
      <c r="D1200" s="223"/>
      <c r="E1200" s="223"/>
      <c r="F1200" s="133"/>
      <c r="G1200" s="200"/>
      <c r="H1200" s="200"/>
    </row>
    <row r="1201" spans="1:8" x14ac:dyDescent="0.25">
      <c r="A1201" s="133"/>
      <c r="B1201" s="8"/>
      <c r="C1201" s="8"/>
      <c r="D1201" s="8"/>
      <c r="E1201" s="8"/>
      <c r="F1201" s="8"/>
      <c r="G1201" s="8"/>
      <c r="H1201" s="200"/>
    </row>
    <row r="1202" spans="1:8" ht="15.75" thickBot="1" x14ac:dyDescent="0.3">
      <c r="A1202" s="133"/>
      <c r="B1202" s="8"/>
      <c r="C1202" s="8"/>
      <c r="D1202" s="8"/>
      <c r="E1202" s="8"/>
      <c r="F1202" s="133"/>
      <c r="G1202" s="200"/>
      <c r="H1202" s="200"/>
    </row>
    <row r="1203" spans="1:8" ht="15.75" thickBot="1" x14ac:dyDescent="0.3">
      <c r="A1203" s="133"/>
      <c r="B1203" s="224" t="s">
        <v>5403</v>
      </c>
      <c r="C1203" s="193" t="s">
        <v>867</v>
      </c>
      <c r="D1203" s="193" t="s">
        <v>6</v>
      </c>
      <c r="E1203" s="193" t="s">
        <v>5439</v>
      </c>
      <c r="F1203" s="193" t="s">
        <v>5405</v>
      </c>
      <c r="G1203" s="225" t="s">
        <v>868</v>
      </c>
      <c r="H1203" s="200"/>
    </row>
    <row r="1204" spans="1:8" x14ac:dyDescent="0.25">
      <c r="A1204" s="133"/>
      <c r="B1204" s="195" t="s">
        <v>5440</v>
      </c>
      <c r="C1204" s="226" t="s">
        <v>5475</v>
      </c>
      <c r="D1204" s="226"/>
      <c r="E1204" s="227">
        <f>+H1242</f>
        <v>115440</v>
      </c>
      <c r="F1204" s="226">
        <v>0.1</v>
      </c>
      <c r="G1204" s="292">
        <f>+E1204*F1204</f>
        <v>11544</v>
      </c>
      <c r="H1204" s="200"/>
    </row>
    <row r="1205" spans="1:8" x14ac:dyDescent="0.25">
      <c r="A1205" s="133"/>
      <c r="B1205" s="195" t="s">
        <v>5951</v>
      </c>
      <c r="C1205" s="226"/>
      <c r="D1205" s="226"/>
      <c r="E1205" s="230"/>
      <c r="F1205" s="226"/>
      <c r="G1205" s="229"/>
      <c r="H1205" s="200"/>
    </row>
    <row r="1206" spans="1:8" x14ac:dyDescent="0.25">
      <c r="A1206" s="133"/>
      <c r="B1206" s="195"/>
      <c r="C1206" s="226"/>
      <c r="D1206" s="226"/>
      <c r="E1206" s="176"/>
      <c r="F1206" s="226"/>
      <c r="G1206" s="229"/>
      <c r="H1206" s="200"/>
    </row>
    <row r="1207" spans="1:8" x14ac:dyDescent="0.25">
      <c r="A1207" s="133"/>
      <c r="B1207" s="195"/>
      <c r="C1207" s="226"/>
      <c r="D1207" s="226"/>
      <c r="E1207" s="171"/>
      <c r="F1207" s="226"/>
      <c r="G1207" s="293"/>
      <c r="H1207" s="200"/>
    </row>
    <row r="1208" spans="1:8" x14ac:dyDescent="0.25">
      <c r="A1208" s="133"/>
      <c r="B1208" s="195"/>
      <c r="C1208" s="226"/>
      <c r="D1208" s="232"/>
      <c r="E1208" s="232"/>
      <c r="F1208" s="226"/>
      <c r="G1208" s="229"/>
      <c r="H1208" s="200"/>
    </row>
    <row r="1209" spans="1:8" ht="15.75" thickBot="1" x14ac:dyDescent="0.3">
      <c r="A1209" s="133"/>
      <c r="B1209" s="195"/>
      <c r="C1209" s="226"/>
      <c r="D1209" s="232"/>
      <c r="E1209" s="232"/>
      <c r="F1209" s="226"/>
      <c r="G1209" s="229"/>
      <c r="H1209" s="200"/>
    </row>
    <row r="1210" spans="1:8" ht="15.75" thickBot="1" x14ac:dyDescent="0.3">
      <c r="A1210" s="133"/>
      <c r="B1210" s="233"/>
      <c r="C1210" s="234"/>
      <c r="D1210" s="234"/>
      <c r="E1210" s="234"/>
      <c r="F1210" s="235"/>
      <c r="G1210" s="236"/>
      <c r="H1210" s="237">
        <f>+SUM(G1204:G1210)</f>
        <v>11544</v>
      </c>
    </row>
    <row r="1211" spans="1:8" ht="15.75" thickBot="1" x14ac:dyDescent="0.3">
      <c r="A1211" s="133"/>
      <c r="B1211" s="238"/>
      <c r="C1211" s="238"/>
      <c r="D1211" s="238"/>
      <c r="E1211" s="238"/>
      <c r="F1211" s="239"/>
      <c r="G1211" s="240"/>
      <c r="H1211" s="241"/>
    </row>
    <row r="1212" spans="1:8" ht="15.75" thickBot="1" x14ac:dyDescent="0.3">
      <c r="A1212" s="133"/>
      <c r="B1212" s="224" t="s">
        <v>5408</v>
      </c>
      <c r="C1212" s="193" t="s">
        <v>867</v>
      </c>
      <c r="D1212" s="193" t="s">
        <v>6</v>
      </c>
      <c r="E1212" s="193" t="s">
        <v>870</v>
      </c>
      <c r="F1212" s="193" t="s">
        <v>5409</v>
      </c>
      <c r="G1212" s="225" t="s">
        <v>868</v>
      </c>
      <c r="H1212" s="200"/>
    </row>
    <row r="1213" spans="1:8" x14ac:dyDescent="0.25">
      <c r="A1213" s="133"/>
      <c r="B1213" s="465" t="s">
        <v>6181</v>
      </c>
      <c r="C1213" s="202" t="s">
        <v>5402</v>
      </c>
      <c r="D1213" s="226">
        <v>2</v>
      </c>
      <c r="E1213" s="244">
        <v>18000</v>
      </c>
      <c r="F1213" s="169">
        <v>0.1</v>
      </c>
      <c r="G1213" s="294">
        <f t="shared" ref="G1213:G1219" si="3">+D1213*E1213*(1+F1213)</f>
        <v>39600</v>
      </c>
      <c r="H1213" s="200"/>
    </row>
    <row r="1214" spans="1:8" x14ac:dyDescent="0.25">
      <c r="A1214" s="133"/>
      <c r="B1214" s="315" t="s">
        <v>6177</v>
      </c>
      <c r="C1214" s="202" t="s">
        <v>5402</v>
      </c>
      <c r="D1214" s="202">
        <v>2</v>
      </c>
      <c r="E1214" s="257">
        <v>15000</v>
      </c>
      <c r="F1214" s="169">
        <v>0.1</v>
      </c>
      <c r="G1214" s="294">
        <f t="shared" si="3"/>
        <v>33000</v>
      </c>
      <c r="H1214" s="200"/>
    </row>
    <row r="1215" spans="1:8" x14ac:dyDescent="0.25">
      <c r="A1215" s="133"/>
      <c r="B1215" s="315" t="s">
        <v>6178</v>
      </c>
      <c r="C1215" s="202" t="s">
        <v>5402</v>
      </c>
      <c r="D1215" s="226">
        <f>0.5*3.333</f>
        <v>1.6665000000000001</v>
      </c>
      <c r="E1215" s="244">
        <v>13000</v>
      </c>
      <c r="F1215" s="169">
        <v>0.1</v>
      </c>
      <c r="G1215" s="294">
        <f t="shared" si="3"/>
        <v>23830.95</v>
      </c>
      <c r="H1215" s="200"/>
    </row>
    <row r="1216" spans="1:8" x14ac:dyDescent="0.25">
      <c r="A1216" s="133"/>
      <c r="B1216" s="194" t="s">
        <v>5752</v>
      </c>
      <c r="C1216" s="226" t="s">
        <v>5475</v>
      </c>
      <c r="D1216" s="202">
        <v>0.02</v>
      </c>
      <c r="E1216" s="257">
        <v>53916</v>
      </c>
      <c r="F1216" s="169">
        <v>0.05</v>
      </c>
      <c r="G1216" s="294">
        <f t="shared" si="3"/>
        <v>1132.2359999999999</v>
      </c>
      <c r="H1216" s="200"/>
    </row>
    <row r="1217" spans="1:8" x14ac:dyDescent="0.25">
      <c r="A1217" s="133"/>
      <c r="B1217" s="195" t="s">
        <v>6179</v>
      </c>
      <c r="C1217" s="226" t="s">
        <v>5475</v>
      </c>
      <c r="D1217" s="226">
        <v>0.02</v>
      </c>
      <c r="E1217" s="244">
        <v>45000</v>
      </c>
      <c r="F1217" s="169">
        <v>0.05</v>
      </c>
      <c r="G1217" s="294">
        <f t="shared" si="3"/>
        <v>945</v>
      </c>
      <c r="H1217" s="200"/>
    </row>
    <row r="1218" spans="1:8" x14ac:dyDescent="0.25">
      <c r="A1218" s="133"/>
      <c r="B1218" s="194" t="s">
        <v>6180</v>
      </c>
      <c r="C1218" s="226" t="s">
        <v>5475</v>
      </c>
      <c r="D1218" s="226">
        <v>0.01</v>
      </c>
      <c r="E1218" s="171">
        <v>27000</v>
      </c>
      <c r="F1218" s="169">
        <v>0.1</v>
      </c>
      <c r="G1218" s="294">
        <f t="shared" si="3"/>
        <v>297</v>
      </c>
      <c r="H1218" s="200"/>
    </row>
    <row r="1219" spans="1:8" x14ac:dyDescent="0.25">
      <c r="A1219" s="133"/>
      <c r="B1219" s="195" t="s">
        <v>5756</v>
      </c>
      <c r="C1219" s="226" t="s">
        <v>5550</v>
      </c>
      <c r="D1219" s="226">
        <v>1</v>
      </c>
      <c r="E1219" s="171">
        <v>40900</v>
      </c>
      <c r="F1219" s="169">
        <v>0.05</v>
      </c>
      <c r="G1219" s="178">
        <f t="shared" si="3"/>
        <v>42945</v>
      </c>
      <c r="H1219" s="200"/>
    </row>
    <row r="1220" spans="1:8" x14ac:dyDescent="0.25">
      <c r="A1220" s="133"/>
      <c r="B1220" s="195"/>
      <c r="C1220" s="226"/>
      <c r="D1220" s="226"/>
      <c r="E1220" s="171"/>
      <c r="F1220" s="169"/>
      <c r="G1220" s="178"/>
      <c r="H1220" s="200"/>
    </row>
    <row r="1221" spans="1:8" x14ac:dyDescent="0.25">
      <c r="A1221" s="133"/>
      <c r="B1221" s="195"/>
      <c r="C1221" s="232"/>
      <c r="D1221" s="232"/>
      <c r="E1221" s="232"/>
      <c r="F1221" s="226"/>
      <c r="G1221" s="229"/>
      <c r="H1221" s="200"/>
    </row>
    <row r="1222" spans="1:8" x14ac:dyDescent="0.25">
      <c r="A1222" s="133"/>
      <c r="B1222" s="195"/>
      <c r="C1222" s="232"/>
      <c r="D1222" s="232"/>
      <c r="E1222" s="232"/>
      <c r="F1222" s="226"/>
      <c r="G1222" s="229"/>
      <c r="H1222" s="200"/>
    </row>
    <row r="1223" spans="1:8" x14ac:dyDescent="0.25">
      <c r="A1223" s="133"/>
      <c r="B1223" s="195"/>
      <c r="C1223" s="232"/>
      <c r="D1223" s="232"/>
      <c r="E1223" s="232"/>
      <c r="F1223" s="226"/>
      <c r="G1223" s="229"/>
      <c r="H1223" s="200"/>
    </row>
    <row r="1224" spans="1:8" ht="15.75" thickBot="1" x14ac:dyDescent="0.3">
      <c r="A1224" s="133"/>
      <c r="B1224" s="195"/>
      <c r="C1224" s="232"/>
      <c r="D1224" s="232"/>
      <c r="E1224" s="232"/>
      <c r="F1224" s="226"/>
      <c r="G1224" s="229"/>
      <c r="H1224" s="200"/>
    </row>
    <row r="1225" spans="1:8" ht="15.75" thickBot="1" x14ac:dyDescent="0.3">
      <c r="A1225" s="133"/>
      <c r="B1225" s="233"/>
      <c r="C1225" s="234"/>
      <c r="D1225" s="234"/>
      <c r="E1225" s="234"/>
      <c r="F1225" s="235"/>
      <c r="G1225" s="236"/>
      <c r="H1225" s="256">
        <f>+SUM(G1213:G1225)</f>
        <v>141750.18599999999</v>
      </c>
    </row>
    <row r="1226" spans="1:8" ht="15.75" thickBot="1" x14ac:dyDescent="0.3">
      <c r="A1226" s="133"/>
      <c r="B1226" s="238"/>
      <c r="C1226" s="238"/>
      <c r="D1226" s="238"/>
      <c r="E1226" s="238"/>
      <c r="F1226" s="239"/>
      <c r="G1226" s="240"/>
      <c r="H1226" s="241"/>
    </row>
    <row r="1227" spans="1:8" ht="15.75" thickBot="1" x14ac:dyDescent="0.3">
      <c r="A1227" s="133"/>
      <c r="B1227" s="224" t="s">
        <v>5410</v>
      </c>
      <c r="C1227" s="193" t="s">
        <v>867</v>
      </c>
      <c r="D1227" s="193" t="s">
        <v>6</v>
      </c>
      <c r="E1227" s="193" t="s">
        <v>870</v>
      </c>
      <c r="F1227" s="193" t="s">
        <v>5411</v>
      </c>
      <c r="G1227" s="225" t="s">
        <v>868</v>
      </c>
      <c r="H1227" s="200"/>
    </row>
    <row r="1228" spans="1:8" x14ac:dyDescent="0.25">
      <c r="A1228" s="133"/>
      <c r="B1228" s="282"/>
      <c r="C1228" s="283"/>
      <c r="D1228" s="283"/>
      <c r="E1228" s="284"/>
      <c r="F1228" s="283"/>
      <c r="G1228" s="203"/>
      <c r="H1228" s="246"/>
    </row>
    <row r="1229" spans="1:8" x14ac:dyDescent="0.25">
      <c r="A1229" s="133"/>
      <c r="B1229" s="285"/>
      <c r="C1229" s="286"/>
      <c r="D1229" s="286"/>
      <c r="E1229" s="287"/>
      <c r="F1229" s="286"/>
      <c r="G1229" s="178"/>
      <c r="H1229" s="200"/>
    </row>
    <row r="1230" spans="1:8" x14ac:dyDescent="0.25">
      <c r="A1230" s="133"/>
      <c r="B1230" s="285"/>
      <c r="C1230" s="286"/>
      <c r="D1230" s="286"/>
      <c r="E1230" s="288"/>
      <c r="F1230" s="286"/>
      <c r="G1230" s="229"/>
      <c r="H1230" s="200"/>
    </row>
    <row r="1231" spans="1:8" x14ac:dyDescent="0.25">
      <c r="A1231" s="133"/>
      <c r="B1231" s="194"/>
      <c r="C1231" s="248"/>
      <c r="D1231" s="248"/>
      <c r="E1231" s="248"/>
      <c r="F1231" s="202"/>
      <c r="G1231" s="229"/>
      <c r="H1231" s="200"/>
    </row>
    <row r="1232" spans="1:8" ht="15.75" thickBot="1" x14ac:dyDescent="0.3">
      <c r="A1232" s="133"/>
      <c r="B1232" s="195"/>
      <c r="C1232" s="232"/>
      <c r="D1232" s="232"/>
      <c r="E1232" s="232"/>
      <c r="F1232" s="226"/>
      <c r="G1232" s="229"/>
      <c r="H1232" s="200"/>
    </row>
    <row r="1233" spans="1:8" ht="15.75" thickBot="1" x14ac:dyDescent="0.3">
      <c r="A1233" s="133"/>
      <c r="B1233" s="233"/>
      <c r="C1233" s="234"/>
      <c r="D1233" s="234"/>
      <c r="E1233" s="234"/>
      <c r="F1233" s="235"/>
      <c r="G1233" s="236"/>
      <c r="H1233" s="237">
        <f>+SUM(G1228:G1233)</f>
        <v>0</v>
      </c>
    </row>
    <row r="1234" spans="1:8" ht="15.75" thickBot="1" x14ac:dyDescent="0.3">
      <c r="A1234" s="133"/>
      <c r="B1234" s="238"/>
      <c r="C1234" s="238"/>
      <c r="D1234" s="238"/>
      <c r="E1234" s="238"/>
      <c r="F1234" s="249"/>
      <c r="G1234" s="250"/>
      <c r="H1234" s="241"/>
    </row>
    <row r="1235" spans="1:8" ht="15.75" thickBot="1" x14ac:dyDescent="0.3">
      <c r="A1235" s="133"/>
      <c r="B1235" s="224" t="s">
        <v>5412</v>
      </c>
      <c r="C1235" s="193" t="s">
        <v>5420</v>
      </c>
      <c r="D1235" s="193" t="s">
        <v>5421</v>
      </c>
      <c r="E1235" s="193" t="s">
        <v>5413</v>
      </c>
      <c r="F1235" s="193" t="s">
        <v>5405</v>
      </c>
      <c r="G1235" s="225" t="s">
        <v>868</v>
      </c>
      <c r="H1235" s="200"/>
    </row>
    <row r="1236" spans="1:8" x14ac:dyDescent="0.25">
      <c r="A1236" s="133"/>
      <c r="B1236" s="194" t="s">
        <v>5948</v>
      </c>
      <c r="C1236" s="345">
        <v>70000</v>
      </c>
      <c r="D1236" s="176">
        <f>+C1236*0.85</f>
        <v>59500</v>
      </c>
      <c r="E1236" s="176">
        <f>+C1236+D1236</f>
        <v>129500</v>
      </c>
      <c r="F1236" s="204">
        <v>250</v>
      </c>
      <c r="G1236" s="178">
        <f>+E1236/F1236</f>
        <v>518</v>
      </c>
      <c r="H1236" s="200"/>
    </row>
    <row r="1237" spans="1:8" x14ac:dyDescent="0.25">
      <c r="A1237" s="133"/>
      <c r="B1237" s="194" t="s">
        <v>5651</v>
      </c>
      <c r="C1237" s="345">
        <v>40000</v>
      </c>
      <c r="D1237" s="176">
        <f>+C1237*0.85</f>
        <v>34000</v>
      </c>
      <c r="E1237" s="176">
        <f>+C1237+D1237</f>
        <v>74000</v>
      </c>
      <c r="F1237" s="202">
        <v>5</v>
      </c>
      <c r="G1237" s="178">
        <f>+E1237/F1237</f>
        <v>14800</v>
      </c>
      <c r="H1237" s="200"/>
    </row>
    <row r="1238" spans="1:8" x14ac:dyDescent="0.25">
      <c r="A1238" s="133"/>
      <c r="B1238" s="195" t="s">
        <v>5635</v>
      </c>
      <c r="C1238" s="345">
        <v>20600</v>
      </c>
      <c r="D1238" s="176">
        <f>+C1238*0.85</f>
        <v>17510</v>
      </c>
      <c r="E1238" s="176">
        <f>+C1238+D1238</f>
        <v>38110</v>
      </c>
      <c r="F1238" s="226">
        <v>5</v>
      </c>
      <c r="G1238" s="178">
        <f>+E1238/F1238</f>
        <v>7622</v>
      </c>
      <c r="H1238" s="200"/>
    </row>
    <row r="1239" spans="1:8" x14ac:dyDescent="0.25">
      <c r="A1239" s="133"/>
      <c r="B1239" s="195" t="s">
        <v>5956</v>
      </c>
      <c r="C1239" s="171">
        <v>100000</v>
      </c>
      <c r="D1239" s="176">
        <f>+C1239*0.85</f>
        <v>85000</v>
      </c>
      <c r="E1239" s="176">
        <f>+C1239+D1239</f>
        <v>185000</v>
      </c>
      <c r="F1239" s="226">
        <v>2</v>
      </c>
      <c r="G1239" s="178">
        <f>+E1239/F1239</f>
        <v>92500</v>
      </c>
      <c r="H1239" s="200"/>
    </row>
    <row r="1240" spans="1:8" x14ac:dyDescent="0.25">
      <c r="A1240" s="133"/>
      <c r="B1240" s="195"/>
      <c r="C1240" s="232"/>
      <c r="D1240" s="232"/>
      <c r="E1240" s="232"/>
      <c r="F1240" s="226"/>
      <c r="G1240" s="229"/>
      <c r="H1240" s="200"/>
    </row>
    <row r="1241" spans="1:8" ht="15.75" thickBot="1" x14ac:dyDescent="0.3">
      <c r="A1241" s="133"/>
      <c r="B1241" s="195"/>
      <c r="C1241" s="232"/>
      <c r="D1241" s="232"/>
      <c r="E1241" s="232"/>
      <c r="F1241" s="226"/>
      <c r="G1241" s="229"/>
      <c r="H1241" s="200"/>
    </row>
    <row r="1242" spans="1:8" ht="15.75" thickBot="1" x14ac:dyDescent="0.3">
      <c r="A1242" s="133"/>
      <c r="B1242" s="251"/>
      <c r="C1242" s="252"/>
      <c r="D1242" s="252"/>
      <c r="E1242" s="252"/>
      <c r="F1242" s="253"/>
      <c r="G1242" s="254"/>
      <c r="H1242" s="256">
        <f>+SUM(G1236:G1242)</f>
        <v>115440</v>
      </c>
    </row>
    <row r="1243" spans="1:8" ht="15.75" thickBot="1" x14ac:dyDescent="0.3">
      <c r="A1243" s="133"/>
      <c r="B1243" s="8"/>
      <c r="C1243" s="8"/>
      <c r="D1243" s="8"/>
      <c r="E1243" s="8"/>
      <c r="F1243" s="133"/>
      <c r="G1243" s="200"/>
      <c r="H1243" s="200"/>
    </row>
    <row r="1244" spans="1:8" ht="15.75" thickBot="1" x14ac:dyDescent="0.3">
      <c r="A1244" s="133"/>
      <c r="B1244" s="8"/>
      <c r="C1244" s="8"/>
      <c r="D1244" s="8"/>
      <c r="E1244" s="223" t="s">
        <v>5415</v>
      </c>
      <c r="F1244" s="133"/>
      <c r="G1244" s="200"/>
      <c r="H1244" s="256">
        <f>ROUND(+H1242+H1233+H1225+H1210,0)</f>
        <v>268734</v>
      </c>
    </row>
    <row r="1249" spans="1:16" ht="18.75" x14ac:dyDescent="0.25">
      <c r="A1249" s="133"/>
      <c r="B1249" s="2506" t="s">
        <v>5400</v>
      </c>
      <c r="C1249" s="2506"/>
      <c r="D1249" s="2506"/>
      <c r="E1249" s="2506"/>
      <c r="F1249" s="2506"/>
      <c r="G1249" s="2506"/>
      <c r="H1249" s="8"/>
      <c r="I1249" s="133"/>
      <c r="J1249" s="2506" t="s">
        <v>5400</v>
      </c>
      <c r="K1249" s="2506"/>
      <c r="L1249" s="2506"/>
      <c r="M1249" s="2506"/>
      <c r="N1249" s="2506"/>
      <c r="O1249" s="2506"/>
      <c r="P1249" s="8"/>
    </row>
    <row r="1250" spans="1:16" x14ac:dyDescent="0.25">
      <c r="A1250" s="133"/>
      <c r="B1250" s="8"/>
      <c r="C1250" s="8"/>
      <c r="D1250" s="8"/>
      <c r="E1250" s="8"/>
      <c r="F1250" s="133"/>
      <c r="G1250" s="200"/>
      <c r="H1250" s="200"/>
      <c r="I1250" s="133"/>
      <c r="J1250" s="8"/>
      <c r="K1250" s="8"/>
      <c r="L1250" s="8"/>
      <c r="M1250" s="8"/>
      <c r="N1250" s="133"/>
      <c r="O1250" s="200"/>
      <c r="P1250" s="200"/>
    </row>
    <row r="1251" spans="1:16" x14ac:dyDescent="0.25">
      <c r="A1251" s="133"/>
      <c r="B1251" s="8"/>
      <c r="C1251" s="8"/>
      <c r="D1251" s="8"/>
      <c r="E1251" s="8"/>
      <c r="F1251" s="133"/>
      <c r="G1251" s="200"/>
      <c r="H1251" s="200"/>
      <c r="I1251" s="133"/>
      <c r="J1251" s="8"/>
      <c r="K1251" s="8"/>
      <c r="L1251" s="8"/>
      <c r="M1251" s="8"/>
      <c r="N1251" s="133"/>
      <c r="O1251" s="200"/>
      <c r="P1251" s="200"/>
    </row>
    <row r="1252" spans="1:16" x14ac:dyDescent="0.25">
      <c r="A1252" s="133"/>
      <c r="B1252" s="8"/>
      <c r="C1252" s="8"/>
      <c r="D1252" s="8"/>
      <c r="E1252" s="8"/>
      <c r="F1252" s="133"/>
      <c r="G1252" s="200"/>
      <c r="H1252" s="200"/>
      <c r="I1252" s="133"/>
      <c r="J1252" s="8"/>
      <c r="K1252" s="8"/>
      <c r="L1252" s="8"/>
      <c r="M1252" s="8"/>
      <c r="N1252" s="133"/>
      <c r="O1252" s="200"/>
      <c r="P1252" s="200"/>
    </row>
    <row r="1253" spans="1:16" x14ac:dyDescent="0.25">
      <c r="A1253" s="220" t="s">
        <v>5482</v>
      </c>
      <c r="B1253" s="138" t="s">
        <v>752</v>
      </c>
      <c r="C1253" s="2449" t="s">
        <v>5614</v>
      </c>
      <c r="D1253" s="2449"/>
      <c r="E1253" s="2449"/>
      <c r="F1253" s="220" t="s">
        <v>867</v>
      </c>
      <c r="G1253" s="222" t="s">
        <v>5402</v>
      </c>
      <c r="H1253" s="200"/>
      <c r="I1253" s="220" t="s">
        <v>5482</v>
      </c>
      <c r="J1253" s="138" t="s">
        <v>752</v>
      </c>
      <c r="K1253" s="2449" t="s">
        <v>6299</v>
      </c>
      <c r="L1253" s="2449"/>
      <c r="M1253" s="2449"/>
      <c r="N1253" s="220" t="s">
        <v>867</v>
      </c>
      <c r="O1253" s="222" t="s">
        <v>5556</v>
      </c>
      <c r="P1253" s="200"/>
    </row>
    <row r="1254" spans="1:16" x14ac:dyDescent="0.25">
      <c r="A1254" s="133"/>
      <c r="B1254" s="8"/>
      <c r="C1254" s="223"/>
      <c r="D1254" s="223"/>
      <c r="E1254" s="223"/>
      <c r="F1254" s="133"/>
      <c r="G1254" s="200"/>
      <c r="H1254" s="200"/>
      <c r="I1254" s="133"/>
      <c r="J1254" s="8"/>
      <c r="K1254" s="223"/>
      <c r="L1254" s="223"/>
      <c r="M1254" s="223"/>
      <c r="N1254" s="133"/>
      <c r="O1254" s="200"/>
      <c r="P1254" s="200"/>
    </row>
    <row r="1255" spans="1:16" x14ac:dyDescent="0.25">
      <c r="A1255" s="133"/>
      <c r="B1255" s="8"/>
      <c r="C1255" s="8"/>
      <c r="D1255" s="8"/>
      <c r="E1255" s="8"/>
      <c r="F1255" s="8"/>
      <c r="G1255" s="8"/>
      <c r="H1255" s="200"/>
      <c r="I1255" s="133"/>
      <c r="J1255" s="8"/>
      <c r="K1255" s="8"/>
      <c r="L1255" s="8"/>
      <c r="M1255" s="8"/>
      <c r="N1255" s="8"/>
      <c r="O1255" s="8"/>
      <c r="P1255" s="200"/>
    </row>
    <row r="1256" spans="1:16" ht="15.75" thickBot="1" x14ac:dyDescent="0.3">
      <c r="A1256" s="133"/>
      <c r="B1256" s="8"/>
      <c r="C1256" s="8"/>
      <c r="D1256" s="8"/>
      <c r="E1256" s="8"/>
      <c r="F1256" s="133"/>
      <c r="G1256" s="200"/>
      <c r="H1256" s="200"/>
      <c r="I1256" s="133"/>
      <c r="J1256" s="8"/>
      <c r="K1256" s="8"/>
      <c r="L1256" s="8"/>
      <c r="M1256" s="8"/>
      <c r="N1256" s="133"/>
      <c r="O1256" s="200"/>
      <c r="P1256" s="200"/>
    </row>
    <row r="1257" spans="1:16" ht="15.75" thickBot="1" x14ac:dyDescent="0.3">
      <c r="A1257" s="133"/>
      <c r="B1257" s="224" t="s">
        <v>5403</v>
      </c>
      <c r="C1257" s="193" t="s">
        <v>867</v>
      </c>
      <c r="D1257" s="193" t="s">
        <v>6</v>
      </c>
      <c r="E1257" s="193" t="s">
        <v>5439</v>
      </c>
      <c r="F1257" s="193" t="s">
        <v>5405</v>
      </c>
      <c r="G1257" s="225" t="s">
        <v>868</v>
      </c>
      <c r="H1257" s="200"/>
      <c r="I1257" s="133"/>
      <c r="J1257" s="224" t="s">
        <v>5403</v>
      </c>
      <c r="K1257" s="193" t="s">
        <v>867</v>
      </c>
      <c r="L1257" s="193" t="s">
        <v>6</v>
      </c>
      <c r="M1257" s="193" t="s">
        <v>5439</v>
      </c>
      <c r="N1257" s="193" t="s">
        <v>5405</v>
      </c>
      <c r="O1257" s="225" t="s">
        <v>868</v>
      </c>
      <c r="P1257" s="200"/>
    </row>
    <row r="1258" spans="1:16" x14ac:dyDescent="0.25">
      <c r="A1258" s="133"/>
      <c r="B1258" s="195" t="s">
        <v>5440</v>
      </c>
      <c r="C1258" s="226" t="s">
        <v>5402</v>
      </c>
      <c r="D1258" s="226">
        <v>1</v>
      </c>
      <c r="E1258" s="227">
        <f>+H1296</f>
        <v>122146.25</v>
      </c>
      <c r="F1258" s="226">
        <v>0.1</v>
      </c>
      <c r="G1258" s="292">
        <f>+E1258*F1258</f>
        <v>12214.625</v>
      </c>
      <c r="H1258" s="200"/>
      <c r="I1258" s="133"/>
      <c r="J1258" s="195" t="s">
        <v>5440</v>
      </c>
      <c r="K1258" s="226" t="s">
        <v>5402</v>
      </c>
      <c r="L1258" s="226">
        <v>1</v>
      </c>
      <c r="M1258" s="227">
        <f>+P1296</f>
        <v>214646.25</v>
      </c>
      <c r="N1258" s="226">
        <v>0.1</v>
      </c>
      <c r="O1258" s="292">
        <f>+M1258*N1258</f>
        <v>21464.625</v>
      </c>
      <c r="P1258" s="200"/>
    </row>
    <row r="1259" spans="1:16" x14ac:dyDescent="0.25">
      <c r="A1259" s="133"/>
      <c r="B1259" s="195"/>
      <c r="C1259" s="226"/>
      <c r="D1259" s="226"/>
      <c r="E1259" s="230"/>
      <c r="F1259" s="226"/>
      <c r="G1259" s="229"/>
      <c r="H1259" s="200"/>
      <c r="I1259" s="133"/>
      <c r="J1259" s="195"/>
      <c r="K1259" s="226"/>
      <c r="L1259" s="226"/>
      <c r="M1259" s="230"/>
      <c r="N1259" s="226"/>
      <c r="O1259" s="229"/>
      <c r="P1259" s="200"/>
    </row>
    <row r="1260" spans="1:16" x14ac:dyDescent="0.25">
      <c r="A1260" s="133"/>
      <c r="B1260" s="195"/>
      <c r="C1260" s="226"/>
      <c r="D1260" s="226"/>
      <c r="E1260" s="176"/>
      <c r="F1260" s="226"/>
      <c r="G1260" s="229"/>
      <c r="H1260" s="200"/>
      <c r="I1260" s="133"/>
      <c r="J1260" s="195"/>
      <c r="K1260" s="226"/>
      <c r="L1260" s="226"/>
      <c r="M1260" s="176"/>
      <c r="N1260" s="226"/>
      <c r="O1260" s="229"/>
      <c r="P1260" s="200"/>
    </row>
    <row r="1261" spans="1:16" x14ac:dyDescent="0.25">
      <c r="A1261" s="133"/>
      <c r="B1261" s="195"/>
      <c r="C1261" s="226"/>
      <c r="D1261" s="226"/>
      <c r="E1261" s="171"/>
      <c r="F1261" s="226"/>
      <c r="G1261" s="293"/>
      <c r="H1261" s="200"/>
      <c r="I1261" s="133"/>
      <c r="J1261" s="195"/>
      <c r="K1261" s="226"/>
      <c r="L1261" s="226"/>
      <c r="M1261" s="171"/>
      <c r="N1261" s="226"/>
      <c r="O1261" s="293"/>
      <c r="P1261" s="200"/>
    </row>
    <row r="1262" spans="1:16" x14ac:dyDescent="0.25">
      <c r="A1262" s="133"/>
      <c r="B1262" s="195"/>
      <c r="C1262" s="226"/>
      <c r="D1262" s="232"/>
      <c r="E1262" s="232"/>
      <c r="F1262" s="226"/>
      <c r="G1262" s="229"/>
      <c r="H1262" s="200"/>
      <c r="I1262" s="133"/>
      <c r="J1262" s="195"/>
      <c r="K1262" s="226"/>
      <c r="L1262" s="232"/>
      <c r="M1262" s="232"/>
      <c r="N1262" s="226"/>
      <c r="O1262" s="229"/>
      <c r="P1262" s="200"/>
    </row>
    <row r="1263" spans="1:16" ht="15.75" thickBot="1" x14ac:dyDescent="0.3">
      <c r="A1263" s="133"/>
      <c r="B1263" s="195"/>
      <c r="C1263" s="226"/>
      <c r="D1263" s="232"/>
      <c r="E1263" s="232"/>
      <c r="F1263" s="226"/>
      <c r="G1263" s="229"/>
      <c r="H1263" s="200"/>
      <c r="I1263" s="133"/>
      <c r="J1263" s="195"/>
      <c r="K1263" s="226"/>
      <c r="L1263" s="232"/>
      <c r="M1263" s="232"/>
      <c r="N1263" s="226"/>
      <c r="O1263" s="229"/>
      <c r="P1263" s="200"/>
    </row>
    <row r="1264" spans="1:16" ht="15.75" thickBot="1" x14ac:dyDescent="0.3">
      <c r="A1264" s="133"/>
      <c r="B1264" s="233"/>
      <c r="C1264" s="234"/>
      <c r="D1264" s="234"/>
      <c r="E1264" s="234"/>
      <c r="F1264" s="235"/>
      <c r="G1264" s="236"/>
      <c r="H1264" s="237">
        <f>+SUM(G1258:G1264)</f>
        <v>12214.625</v>
      </c>
      <c r="I1264" s="133"/>
      <c r="J1264" s="233"/>
      <c r="K1264" s="234"/>
      <c r="L1264" s="234"/>
      <c r="M1264" s="234"/>
      <c r="N1264" s="235"/>
      <c r="O1264" s="236"/>
      <c r="P1264" s="237">
        <f>+SUM(O1258:O1264)</f>
        <v>21464.625</v>
      </c>
    </row>
    <row r="1265" spans="1:16" ht="15.75" thickBot="1" x14ac:dyDescent="0.3">
      <c r="A1265" s="133"/>
      <c r="B1265" s="238"/>
      <c r="C1265" s="238"/>
      <c r="D1265" s="238"/>
      <c r="E1265" s="238"/>
      <c r="F1265" s="239"/>
      <c r="G1265" s="240"/>
      <c r="H1265" s="241"/>
      <c r="I1265" s="133"/>
      <c r="J1265" s="238"/>
      <c r="K1265" s="238"/>
      <c r="L1265" s="238"/>
      <c r="M1265" s="238"/>
      <c r="N1265" s="239"/>
      <c r="O1265" s="240"/>
      <c r="P1265" s="241"/>
    </row>
    <row r="1266" spans="1:16" ht="15.75" thickBot="1" x14ac:dyDescent="0.3">
      <c r="A1266" s="133"/>
      <c r="B1266" s="224" t="s">
        <v>5408</v>
      </c>
      <c r="C1266" s="193" t="s">
        <v>867</v>
      </c>
      <c r="D1266" s="193" t="s">
        <v>6</v>
      </c>
      <c r="E1266" s="193" t="s">
        <v>870</v>
      </c>
      <c r="F1266" s="193" t="s">
        <v>5409</v>
      </c>
      <c r="G1266" s="225" t="s">
        <v>868</v>
      </c>
      <c r="H1266" s="200"/>
      <c r="I1266" s="133"/>
      <c r="J1266" s="224" t="s">
        <v>5408</v>
      </c>
      <c r="K1266" s="193" t="s">
        <v>867</v>
      </c>
      <c r="L1266" s="193" t="s">
        <v>6</v>
      </c>
      <c r="M1266" s="193" t="s">
        <v>870</v>
      </c>
      <c r="N1266" s="193" t="s">
        <v>5409</v>
      </c>
      <c r="O1266" s="225" t="s">
        <v>868</v>
      </c>
      <c r="P1266" s="200"/>
    </row>
    <row r="1267" spans="1:16" x14ac:dyDescent="0.25">
      <c r="A1267" s="133"/>
      <c r="B1267" s="245" t="s">
        <v>6182</v>
      </c>
      <c r="C1267" s="202" t="s">
        <v>5424</v>
      </c>
      <c r="D1267" s="226">
        <v>0.25</v>
      </c>
      <c r="E1267" s="244">
        <v>122500</v>
      </c>
      <c r="F1267" s="169">
        <v>0.05</v>
      </c>
      <c r="G1267" s="294">
        <f>+D1267*E1267*(1+F1267)</f>
        <v>32156.25</v>
      </c>
      <c r="H1267" s="200"/>
      <c r="I1267" s="133"/>
      <c r="J1267" s="245" t="s">
        <v>6182</v>
      </c>
      <c r="K1267" s="202" t="s">
        <v>5424</v>
      </c>
      <c r="L1267" s="226">
        <v>0.4</v>
      </c>
      <c r="M1267" s="244">
        <v>122500</v>
      </c>
      <c r="N1267" s="169">
        <v>0.05</v>
      </c>
      <c r="O1267" s="294">
        <f>+L1267*M1267*(1+N1267)</f>
        <v>51450</v>
      </c>
      <c r="P1267" s="200"/>
    </row>
    <row r="1268" spans="1:16" x14ac:dyDescent="0.25">
      <c r="A1268" s="133"/>
      <c r="B1268" s="247" t="s">
        <v>6183</v>
      </c>
      <c r="C1268" s="202" t="s">
        <v>5431</v>
      </c>
      <c r="D1268" s="202">
        <v>1</v>
      </c>
      <c r="E1268" s="257">
        <v>7846</v>
      </c>
      <c r="F1268" s="169">
        <v>0.05</v>
      </c>
      <c r="G1268" s="294">
        <f>+D1268*E1268*(1+F1268)</f>
        <v>8238.3000000000011</v>
      </c>
      <c r="H1268" s="200"/>
      <c r="I1268" s="133"/>
      <c r="J1268" s="247" t="s">
        <v>6183</v>
      </c>
      <c r="K1268" s="202" t="s">
        <v>5431</v>
      </c>
      <c r="L1268" s="202">
        <v>1.2</v>
      </c>
      <c r="M1268" s="257">
        <v>7846</v>
      </c>
      <c r="N1268" s="169">
        <v>0.05</v>
      </c>
      <c r="O1268" s="294">
        <f>+L1268*M1268*(1+N1268)</f>
        <v>9885.9599999999991</v>
      </c>
      <c r="P1268" s="200"/>
    </row>
    <row r="1269" spans="1:16" x14ac:dyDescent="0.25">
      <c r="A1269" s="133"/>
      <c r="B1269" s="247" t="s">
        <v>6184</v>
      </c>
      <c r="C1269" s="202" t="s">
        <v>5402</v>
      </c>
      <c r="D1269" s="226">
        <v>2</v>
      </c>
      <c r="E1269" s="244">
        <v>20000</v>
      </c>
      <c r="F1269" s="169">
        <v>0.05</v>
      </c>
      <c r="G1269" s="294">
        <f>+D1269*E1269*(1+F1269)</f>
        <v>42000</v>
      </c>
      <c r="H1269" s="200"/>
      <c r="I1269" s="133"/>
      <c r="J1269" s="247" t="s">
        <v>6184</v>
      </c>
      <c r="K1269" s="202" t="s">
        <v>5402</v>
      </c>
      <c r="L1269" s="226">
        <v>2</v>
      </c>
      <c r="M1269" s="244">
        <v>20000</v>
      </c>
      <c r="N1269" s="169">
        <v>0.05</v>
      </c>
      <c r="O1269" s="294">
        <f>+L1269*M1269*(1+N1269)</f>
        <v>42000</v>
      </c>
      <c r="P1269" s="200"/>
    </row>
    <row r="1270" spans="1:16" x14ac:dyDescent="0.25">
      <c r="A1270" s="133"/>
      <c r="B1270" s="194"/>
      <c r="C1270" s="226"/>
      <c r="D1270" s="226"/>
      <c r="E1270" s="171"/>
      <c r="F1270" s="169"/>
      <c r="G1270" s="294"/>
      <c r="H1270" s="200"/>
      <c r="I1270" s="133"/>
      <c r="J1270" s="194"/>
      <c r="K1270" s="226"/>
      <c r="L1270" s="226"/>
      <c r="M1270" s="171"/>
      <c r="N1270" s="169"/>
      <c r="O1270" s="294"/>
      <c r="P1270" s="200"/>
    </row>
    <row r="1271" spans="1:16" x14ac:dyDescent="0.25">
      <c r="A1271" s="133"/>
      <c r="B1271" s="195"/>
      <c r="C1271" s="226"/>
      <c r="D1271" s="226"/>
      <c r="E1271" s="171"/>
      <c r="F1271" s="169"/>
      <c r="G1271" s="178"/>
      <c r="H1271" s="200"/>
      <c r="I1271" s="133"/>
      <c r="J1271" s="195"/>
      <c r="K1271" s="226"/>
      <c r="L1271" s="226"/>
      <c r="M1271" s="171"/>
      <c r="N1271" s="169"/>
      <c r="O1271" s="178"/>
      <c r="P1271" s="200"/>
    </row>
    <row r="1272" spans="1:16" x14ac:dyDescent="0.25">
      <c r="A1272" s="133"/>
      <c r="B1272" s="194"/>
      <c r="C1272" s="202"/>
      <c r="D1272" s="202"/>
      <c r="E1272" s="171"/>
      <c r="F1272" s="169"/>
      <c r="G1272" s="178"/>
      <c r="H1272" s="200"/>
      <c r="I1272" s="133"/>
      <c r="J1272" s="194"/>
      <c r="K1272" s="202"/>
      <c r="L1272" s="202"/>
      <c r="M1272" s="171"/>
      <c r="N1272" s="169"/>
      <c r="O1272" s="178"/>
      <c r="P1272" s="200"/>
    </row>
    <row r="1273" spans="1:16" x14ac:dyDescent="0.25">
      <c r="A1273" s="133"/>
      <c r="B1273" s="195"/>
      <c r="C1273" s="226"/>
      <c r="D1273" s="226"/>
      <c r="E1273" s="171"/>
      <c r="F1273" s="169"/>
      <c r="G1273" s="178"/>
      <c r="H1273" s="200"/>
      <c r="I1273" s="133"/>
      <c r="J1273" s="195"/>
      <c r="K1273" s="226"/>
      <c r="L1273" s="226"/>
      <c r="M1273" s="171"/>
      <c r="N1273" s="169"/>
      <c r="O1273" s="178"/>
      <c r="P1273" s="200"/>
    </row>
    <row r="1274" spans="1:16" x14ac:dyDescent="0.25">
      <c r="A1274" s="133"/>
      <c r="B1274" s="195"/>
      <c r="C1274" s="226"/>
      <c r="D1274" s="226"/>
      <c r="E1274" s="171"/>
      <c r="F1274" s="169"/>
      <c r="G1274" s="178"/>
      <c r="H1274" s="200"/>
      <c r="I1274" s="133"/>
      <c r="J1274" s="195"/>
      <c r="K1274" s="226"/>
      <c r="L1274" s="226"/>
      <c r="M1274" s="171"/>
      <c r="N1274" s="169"/>
      <c r="O1274" s="178"/>
      <c r="P1274" s="200"/>
    </row>
    <row r="1275" spans="1:16" x14ac:dyDescent="0.25">
      <c r="A1275" s="133"/>
      <c r="B1275" s="195"/>
      <c r="C1275" s="232"/>
      <c r="D1275" s="232"/>
      <c r="E1275" s="232"/>
      <c r="F1275" s="226"/>
      <c r="G1275" s="229"/>
      <c r="H1275" s="200"/>
      <c r="I1275" s="133"/>
      <c r="J1275" s="195"/>
      <c r="K1275" s="232"/>
      <c r="L1275" s="232"/>
      <c r="M1275" s="232"/>
      <c r="N1275" s="226"/>
      <c r="O1275" s="229"/>
      <c r="P1275" s="200"/>
    </row>
    <row r="1276" spans="1:16" x14ac:dyDescent="0.25">
      <c r="A1276" s="133"/>
      <c r="B1276" s="195"/>
      <c r="C1276" s="232"/>
      <c r="D1276" s="232"/>
      <c r="E1276" s="232"/>
      <c r="F1276" s="226"/>
      <c r="G1276" s="229"/>
      <c r="H1276" s="200"/>
      <c r="I1276" s="133"/>
      <c r="J1276" s="195"/>
      <c r="K1276" s="232"/>
      <c r="L1276" s="232"/>
      <c r="M1276" s="232"/>
      <c r="N1276" s="226"/>
      <c r="O1276" s="229"/>
      <c r="P1276" s="200"/>
    </row>
    <row r="1277" spans="1:16" x14ac:dyDescent="0.25">
      <c r="A1277" s="133"/>
      <c r="B1277" s="195"/>
      <c r="C1277" s="232"/>
      <c r="D1277" s="232"/>
      <c r="E1277" s="232"/>
      <c r="F1277" s="226"/>
      <c r="G1277" s="229"/>
      <c r="H1277" s="200"/>
      <c r="I1277" s="133"/>
      <c r="J1277" s="195"/>
      <c r="K1277" s="232"/>
      <c r="L1277" s="232"/>
      <c r="M1277" s="232"/>
      <c r="N1277" s="226"/>
      <c r="O1277" s="229"/>
      <c r="P1277" s="200"/>
    </row>
    <row r="1278" spans="1:16" ht="15.75" thickBot="1" x14ac:dyDescent="0.3">
      <c r="A1278" s="133"/>
      <c r="B1278" s="195"/>
      <c r="C1278" s="232"/>
      <c r="D1278" s="232"/>
      <c r="E1278" s="232"/>
      <c r="F1278" s="226"/>
      <c r="G1278" s="229"/>
      <c r="H1278" s="200"/>
      <c r="I1278" s="133"/>
      <c r="J1278" s="195"/>
      <c r="K1278" s="232"/>
      <c r="L1278" s="232"/>
      <c r="M1278" s="232"/>
      <c r="N1278" s="226"/>
      <c r="O1278" s="229"/>
      <c r="P1278" s="200"/>
    </row>
    <row r="1279" spans="1:16" ht="15.75" thickBot="1" x14ac:dyDescent="0.3">
      <c r="A1279" s="133"/>
      <c r="B1279" s="233"/>
      <c r="C1279" s="234"/>
      <c r="D1279" s="234"/>
      <c r="E1279" s="234"/>
      <c r="F1279" s="235"/>
      <c r="G1279" s="236"/>
      <c r="H1279" s="256">
        <f>+SUM(G1267:G1279)</f>
        <v>82394.55</v>
      </c>
      <c r="I1279" s="133"/>
      <c r="J1279" s="233"/>
      <c r="K1279" s="234"/>
      <c r="L1279" s="234"/>
      <c r="M1279" s="234"/>
      <c r="N1279" s="235"/>
      <c r="O1279" s="236"/>
      <c r="P1279" s="256">
        <f>+SUM(O1267:O1279)</f>
        <v>103335.95999999999</v>
      </c>
    </row>
    <row r="1280" spans="1:16" ht="15.75" thickBot="1" x14ac:dyDescent="0.3">
      <c r="A1280" s="133"/>
      <c r="B1280" s="238"/>
      <c r="C1280" s="238"/>
      <c r="D1280" s="238"/>
      <c r="E1280" s="238"/>
      <c r="F1280" s="239"/>
      <c r="G1280" s="240"/>
      <c r="H1280" s="241"/>
      <c r="I1280" s="133"/>
      <c r="J1280" s="238"/>
      <c r="K1280" s="238"/>
      <c r="L1280" s="238"/>
      <c r="M1280" s="238"/>
      <c r="N1280" s="239"/>
      <c r="O1280" s="240"/>
      <c r="P1280" s="241"/>
    </row>
    <row r="1281" spans="1:16" ht="15.75" thickBot="1" x14ac:dyDescent="0.3">
      <c r="A1281" s="133"/>
      <c r="B1281" s="224" t="s">
        <v>5410</v>
      </c>
      <c r="C1281" s="193" t="s">
        <v>867</v>
      </c>
      <c r="D1281" s="193" t="s">
        <v>6</v>
      </c>
      <c r="E1281" s="193" t="s">
        <v>870</v>
      </c>
      <c r="F1281" s="193" t="s">
        <v>5411</v>
      </c>
      <c r="G1281" s="225" t="s">
        <v>868</v>
      </c>
      <c r="H1281" s="200"/>
      <c r="I1281" s="133"/>
      <c r="J1281" s="224" t="s">
        <v>5410</v>
      </c>
      <c r="K1281" s="193" t="s">
        <v>867</v>
      </c>
      <c r="L1281" s="193" t="s">
        <v>6</v>
      </c>
      <c r="M1281" s="193" t="s">
        <v>870</v>
      </c>
      <c r="N1281" s="193" t="s">
        <v>5411</v>
      </c>
      <c r="O1281" s="225" t="s">
        <v>868</v>
      </c>
      <c r="P1281" s="200"/>
    </row>
    <row r="1282" spans="1:16" x14ac:dyDescent="0.25">
      <c r="A1282" s="133"/>
      <c r="B1282" s="282"/>
      <c r="C1282" s="283"/>
      <c r="D1282" s="283"/>
      <c r="E1282" s="284"/>
      <c r="F1282" s="283"/>
      <c r="G1282" s="203"/>
      <c r="H1282" s="246"/>
      <c r="I1282" s="133"/>
      <c r="J1282" s="282"/>
      <c r="K1282" s="283"/>
      <c r="L1282" s="283"/>
      <c r="M1282" s="284"/>
      <c r="N1282" s="283"/>
      <c r="O1282" s="203"/>
      <c r="P1282" s="246"/>
    </row>
    <row r="1283" spans="1:16" x14ac:dyDescent="0.25">
      <c r="A1283" s="133"/>
      <c r="B1283" s="285"/>
      <c r="C1283" s="286"/>
      <c r="D1283" s="286"/>
      <c r="E1283" s="287"/>
      <c r="F1283" s="286"/>
      <c r="G1283" s="178"/>
      <c r="H1283" s="200"/>
      <c r="I1283" s="133"/>
      <c r="J1283" s="285"/>
      <c r="K1283" s="286"/>
      <c r="L1283" s="286"/>
      <c r="M1283" s="287"/>
      <c r="N1283" s="286"/>
      <c r="O1283" s="178"/>
      <c r="P1283" s="200"/>
    </row>
    <row r="1284" spans="1:16" x14ac:dyDescent="0.25">
      <c r="A1284" s="133"/>
      <c r="B1284" s="285"/>
      <c r="C1284" s="286"/>
      <c r="D1284" s="286"/>
      <c r="E1284" s="288"/>
      <c r="F1284" s="286"/>
      <c r="G1284" s="229"/>
      <c r="H1284" s="200"/>
      <c r="I1284" s="133"/>
      <c r="J1284" s="285"/>
      <c r="K1284" s="286"/>
      <c r="L1284" s="286"/>
      <c r="M1284" s="288"/>
      <c r="N1284" s="286"/>
      <c r="O1284" s="229"/>
      <c r="P1284" s="200"/>
    </row>
    <row r="1285" spans="1:16" x14ac:dyDescent="0.25">
      <c r="A1285" s="133"/>
      <c r="B1285" s="194"/>
      <c r="C1285" s="248"/>
      <c r="D1285" s="248"/>
      <c r="E1285" s="248"/>
      <c r="F1285" s="202"/>
      <c r="G1285" s="229"/>
      <c r="H1285" s="200"/>
      <c r="I1285" s="133"/>
      <c r="J1285" s="194"/>
      <c r="K1285" s="248"/>
      <c r="L1285" s="248"/>
      <c r="M1285" s="248"/>
      <c r="N1285" s="202"/>
      <c r="O1285" s="229"/>
      <c r="P1285" s="200"/>
    </row>
    <row r="1286" spans="1:16" ht="15.75" thickBot="1" x14ac:dyDescent="0.3">
      <c r="A1286" s="133"/>
      <c r="B1286" s="195"/>
      <c r="C1286" s="232"/>
      <c r="D1286" s="232"/>
      <c r="E1286" s="232"/>
      <c r="F1286" s="226"/>
      <c r="G1286" s="229"/>
      <c r="H1286" s="200"/>
      <c r="I1286" s="133"/>
      <c r="J1286" s="195"/>
      <c r="K1286" s="232"/>
      <c r="L1286" s="232"/>
      <c r="M1286" s="232"/>
      <c r="N1286" s="226"/>
      <c r="O1286" s="229"/>
      <c r="P1286" s="200"/>
    </row>
    <row r="1287" spans="1:16" ht="15.75" thickBot="1" x14ac:dyDescent="0.3">
      <c r="A1287" s="133"/>
      <c r="B1287" s="233"/>
      <c r="C1287" s="234"/>
      <c r="D1287" s="234"/>
      <c r="E1287" s="234"/>
      <c r="F1287" s="235"/>
      <c r="G1287" s="236"/>
      <c r="H1287" s="237">
        <f>+SUM(G1282:G1287)</f>
        <v>0</v>
      </c>
      <c r="I1287" s="133"/>
      <c r="J1287" s="233"/>
      <c r="K1287" s="234"/>
      <c r="L1287" s="234"/>
      <c r="M1287" s="234"/>
      <c r="N1287" s="235"/>
      <c r="O1287" s="236"/>
      <c r="P1287" s="237">
        <f>+SUM(O1282:O1287)</f>
        <v>0</v>
      </c>
    </row>
    <row r="1288" spans="1:16" ht="15.75" thickBot="1" x14ac:dyDescent="0.3">
      <c r="A1288" s="133"/>
      <c r="B1288" s="238"/>
      <c r="C1288" s="238"/>
      <c r="D1288" s="238"/>
      <c r="E1288" s="238"/>
      <c r="F1288" s="249"/>
      <c r="G1288" s="250"/>
      <c r="H1288" s="241"/>
      <c r="I1288" s="133"/>
      <c r="J1288" s="238"/>
      <c r="K1288" s="238"/>
      <c r="L1288" s="238"/>
      <c r="M1288" s="238"/>
      <c r="N1288" s="249"/>
      <c r="O1288" s="250"/>
      <c r="P1288" s="241"/>
    </row>
    <row r="1289" spans="1:16" ht="15.75" thickBot="1" x14ac:dyDescent="0.3">
      <c r="A1289" s="133"/>
      <c r="B1289" s="224" t="s">
        <v>5412</v>
      </c>
      <c r="C1289" s="193" t="s">
        <v>5420</v>
      </c>
      <c r="D1289" s="193" t="s">
        <v>5421</v>
      </c>
      <c r="E1289" s="193" t="s">
        <v>5413</v>
      </c>
      <c r="F1289" s="193" t="s">
        <v>5405</v>
      </c>
      <c r="G1289" s="225" t="s">
        <v>868</v>
      </c>
      <c r="H1289" s="200"/>
      <c r="I1289" s="133"/>
      <c r="J1289" s="224" t="s">
        <v>5412</v>
      </c>
      <c r="K1289" s="193" t="s">
        <v>5420</v>
      </c>
      <c r="L1289" s="193" t="s">
        <v>5421</v>
      </c>
      <c r="M1289" s="193" t="s">
        <v>5413</v>
      </c>
      <c r="N1289" s="193" t="s">
        <v>5405</v>
      </c>
      <c r="O1289" s="225" t="s">
        <v>868</v>
      </c>
      <c r="P1289" s="200"/>
    </row>
    <row r="1290" spans="1:16" x14ac:dyDescent="0.25">
      <c r="A1290" s="133"/>
      <c r="B1290" s="194" t="s">
        <v>5948</v>
      </c>
      <c r="C1290" s="345">
        <v>70000</v>
      </c>
      <c r="D1290" s="176">
        <f>+C1290*0.85</f>
        <v>59500</v>
      </c>
      <c r="E1290" s="176">
        <f>+C1290+D1290</f>
        <v>129500</v>
      </c>
      <c r="F1290" s="204">
        <v>80</v>
      </c>
      <c r="G1290" s="178">
        <f>+E1290/F1290</f>
        <v>1618.75</v>
      </c>
      <c r="H1290" s="200"/>
      <c r="I1290" s="133"/>
      <c r="J1290" s="194" t="s">
        <v>5948</v>
      </c>
      <c r="K1290" s="345">
        <v>70000</v>
      </c>
      <c r="L1290" s="176">
        <f>+K1290*0.85</f>
        <v>59500</v>
      </c>
      <c r="M1290" s="176">
        <f>+K1290+L1290</f>
        <v>129500</v>
      </c>
      <c r="N1290" s="204">
        <v>80</v>
      </c>
      <c r="O1290" s="178">
        <f>+M1290/N1290</f>
        <v>1618.75</v>
      </c>
      <c r="P1290" s="200"/>
    </row>
    <row r="1291" spans="1:16" x14ac:dyDescent="0.25">
      <c r="A1291" s="133"/>
      <c r="B1291" s="194" t="s">
        <v>5651</v>
      </c>
      <c r="C1291" s="345">
        <v>40000</v>
      </c>
      <c r="D1291" s="176">
        <f>+C1291*0.85</f>
        <v>34000</v>
      </c>
      <c r="E1291" s="176">
        <f>+C1291+D1291</f>
        <v>74000</v>
      </c>
      <c r="F1291" s="202">
        <v>4</v>
      </c>
      <c r="G1291" s="178">
        <f>+E1291/F1291</f>
        <v>18500</v>
      </c>
      <c r="H1291" s="200"/>
      <c r="I1291" s="133"/>
      <c r="J1291" s="194" t="s">
        <v>5651</v>
      </c>
      <c r="K1291" s="345">
        <v>40000</v>
      </c>
      <c r="L1291" s="176">
        <f>+K1291*0.85</f>
        <v>34000</v>
      </c>
      <c r="M1291" s="176">
        <f>+K1291+L1291</f>
        <v>74000</v>
      </c>
      <c r="N1291" s="202">
        <v>4</v>
      </c>
      <c r="O1291" s="178">
        <f>+M1291/N1291</f>
        <v>18500</v>
      </c>
      <c r="P1291" s="200"/>
    </row>
    <row r="1292" spans="1:16" x14ac:dyDescent="0.25">
      <c r="A1292" s="133"/>
      <c r="B1292" s="195" t="s">
        <v>5635</v>
      </c>
      <c r="C1292" s="345">
        <v>20600</v>
      </c>
      <c r="D1292" s="176">
        <f>+C1292*0.85</f>
        <v>17510</v>
      </c>
      <c r="E1292" s="176">
        <f>+C1292+D1292</f>
        <v>38110</v>
      </c>
      <c r="F1292" s="226">
        <v>4</v>
      </c>
      <c r="G1292" s="178">
        <f>+E1292/F1292</f>
        <v>9527.5</v>
      </c>
      <c r="H1292" s="200"/>
      <c r="I1292" s="133"/>
      <c r="J1292" s="195" t="s">
        <v>5635</v>
      </c>
      <c r="K1292" s="345">
        <v>20600</v>
      </c>
      <c r="L1292" s="176">
        <f>+K1292*0.85</f>
        <v>17510</v>
      </c>
      <c r="M1292" s="176">
        <f>+K1292+L1292</f>
        <v>38110</v>
      </c>
      <c r="N1292" s="226">
        <v>4</v>
      </c>
      <c r="O1292" s="178">
        <f>+M1292/N1292</f>
        <v>9527.5</v>
      </c>
      <c r="P1292" s="200"/>
    </row>
    <row r="1293" spans="1:16" x14ac:dyDescent="0.25">
      <c r="A1293" s="133"/>
      <c r="B1293" s="195" t="s">
        <v>5956</v>
      </c>
      <c r="C1293" s="171">
        <v>100000</v>
      </c>
      <c r="D1293" s="176">
        <f>+C1293*0.85</f>
        <v>85000</v>
      </c>
      <c r="E1293" s="176">
        <f>+C1293+D1293</f>
        <v>185000</v>
      </c>
      <c r="F1293" s="226">
        <v>2</v>
      </c>
      <c r="G1293" s="178">
        <f>+E1293/F1293</f>
        <v>92500</v>
      </c>
      <c r="H1293" s="200"/>
      <c r="I1293" s="133"/>
      <c r="J1293" s="195" t="s">
        <v>5956</v>
      </c>
      <c r="K1293" s="171">
        <v>100000</v>
      </c>
      <c r="L1293" s="176">
        <f>+K1293*0.85</f>
        <v>85000</v>
      </c>
      <c r="M1293" s="176">
        <f>+K1293+L1293</f>
        <v>185000</v>
      </c>
      <c r="N1293" s="226">
        <v>1</v>
      </c>
      <c r="O1293" s="178">
        <f>+M1293/N1293</f>
        <v>185000</v>
      </c>
      <c r="P1293" s="200"/>
    </row>
    <row r="1294" spans="1:16" x14ac:dyDescent="0.25">
      <c r="A1294" s="133"/>
      <c r="B1294" s="195"/>
      <c r="C1294" s="232"/>
      <c r="D1294" s="232"/>
      <c r="E1294" s="232"/>
      <c r="F1294" s="226"/>
      <c r="G1294" s="229"/>
      <c r="H1294" s="200"/>
      <c r="I1294" s="133"/>
      <c r="J1294" s="195"/>
      <c r="K1294" s="232"/>
      <c r="L1294" s="232"/>
      <c r="M1294" s="232"/>
      <c r="N1294" s="226"/>
      <c r="O1294" s="229"/>
      <c r="P1294" s="200"/>
    </row>
    <row r="1295" spans="1:16" ht="15.75" thickBot="1" x14ac:dyDescent="0.3">
      <c r="A1295" s="133"/>
      <c r="B1295" s="195"/>
      <c r="C1295" s="232"/>
      <c r="D1295" s="232"/>
      <c r="E1295" s="232"/>
      <c r="F1295" s="226"/>
      <c r="G1295" s="229"/>
      <c r="H1295" s="200"/>
      <c r="I1295" s="133"/>
      <c r="J1295" s="195"/>
      <c r="K1295" s="232"/>
      <c r="L1295" s="232"/>
      <c r="M1295" s="232"/>
      <c r="N1295" s="226"/>
      <c r="O1295" s="229"/>
      <c r="P1295" s="200"/>
    </row>
    <row r="1296" spans="1:16" ht="15.75" thickBot="1" x14ac:dyDescent="0.3">
      <c r="A1296" s="133"/>
      <c r="B1296" s="251"/>
      <c r="C1296" s="252"/>
      <c r="D1296" s="252"/>
      <c r="E1296" s="252"/>
      <c r="F1296" s="253"/>
      <c r="G1296" s="254"/>
      <c r="H1296" s="256">
        <f>+SUM(G1290:G1296)</f>
        <v>122146.25</v>
      </c>
      <c r="I1296" s="133"/>
      <c r="J1296" s="251"/>
      <c r="K1296" s="252"/>
      <c r="L1296" s="252"/>
      <c r="M1296" s="252"/>
      <c r="N1296" s="253"/>
      <c r="O1296" s="254"/>
      <c r="P1296" s="256">
        <f>+SUM(O1290:O1296)</f>
        <v>214646.25</v>
      </c>
    </row>
    <row r="1297" spans="1:16" ht="15.75" thickBot="1" x14ac:dyDescent="0.3">
      <c r="A1297" s="133"/>
      <c r="B1297" s="8"/>
      <c r="C1297" s="8"/>
      <c r="D1297" s="8"/>
      <c r="E1297" s="8"/>
      <c r="F1297" s="133"/>
      <c r="G1297" s="200"/>
      <c r="H1297" s="200"/>
      <c r="I1297" s="133"/>
      <c r="J1297" s="8"/>
      <c r="K1297" s="8"/>
      <c r="L1297" s="8"/>
      <c r="M1297" s="8"/>
      <c r="N1297" s="133"/>
      <c r="O1297" s="200"/>
      <c r="P1297" s="200"/>
    </row>
    <row r="1298" spans="1:16" ht="15.75" thickBot="1" x14ac:dyDescent="0.3">
      <c r="A1298" s="133"/>
      <c r="B1298" s="8"/>
      <c r="C1298" s="8"/>
      <c r="D1298" s="8"/>
      <c r="E1298" s="223" t="s">
        <v>5415</v>
      </c>
      <c r="F1298" s="133"/>
      <c r="G1298" s="200"/>
      <c r="H1298" s="256">
        <f>ROUND(+H1296+H1287+H1279+H1264,0)</f>
        <v>216755</v>
      </c>
      <c r="I1298" s="133"/>
      <c r="J1298" s="8"/>
      <c r="K1298" s="8"/>
      <c r="L1298" s="8"/>
      <c r="M1298" s="223" t="s">
        <v>5415</v>
      </c>
      <c r="N1298" s="133"/>
      <c r="O1298" s="200"/>
      <c r="P1298" s="256">
        <f>ROUND(+P1296+P1287+P1279+P1264,0)</f>
        <v>339447</v>
      </c>
    </row>
    <row r="1303" spans="1:16" ht="18.75" x14ac:dyDescent="0.25">
      <c r="A1303" s="133"/>
      <c r="B1303" s="2506" t="s">
        <v>5400</v>
      </c>
      <c r="C1303" s="2506"/>
      <c r="D1303" s="2506"/>
      <c r="E1303" s="2506"/>
      <c r="F1303" s="2506"/>
      <c r="G1303" s="2506"/>
      <c r="H1303" s="8"/>
    </row>
    <row r="1304" spans="1:16" x14ac:dyDescent="0.25">
      <c r="A1304" s="133"/>
      <c r="B1304" s="8"/>
      <c r="C1304" s="8"/>
      <c r="D1304" s="8"/>
      <c r="E1304" s="8"/>
      <c r="F1304" s="133"/>
      <c r="G1304" s="200"/>
      <c r="H1304" s="200"/>
    </row>
    <row r="1305" spans="1:16" x14ac:dyDescent="0.25">
      <c r="A1305" s="133"/>
      <c r="B1305" s="8"/>
      <c r="C1305" s="8"/>
      <c r="D1305" s="8"/>
      <c r="E1305" s="8"/>
      <c r="F1305" s="133"/>
      <c r="G1305" s="200"/>
      <c r="H1305" s="200"/>
    </row>
    <row r="1306" spans="1:16" x14ac:dyDescent="0.25">
      <c r="A1306" s="133"/>
      <c r="B1306" s="8"/>
      <c r="C1306" s="8"/>
      <c r="D1306" s="8"/>
      <c r="E1306" s="8"/>
      <c r="F1306" s="133"/>
      <c r="G1306" s="200"/>
      <c r="H1306" s="200"/>
    </row>
    <row r="1307" spans="1:16" x14ac:dyDescent="0.25">
      <c r="A1307" s="220" t="s">
        <v>5482</v>
      </c>
      <c r="B1307" s="138" t="s">
        <v>753</v>
      </c>
      <c r="C1307" s="2449" t="s">
        <v>6185</v>
      </c>
      <c r="D1307" s="2449"/>
      <c r="E1307" s="2449"/>
      <c r="F1307" s="220" t="s">
        <v>867</v>
      </c>
      <c r="G1307" s="222" t="s">
        <v>5402</v>
      </c>
      <c r="H1307" s="200"/>
    </row>
    <row r="1308" spans="1:16" x14ac:dyDescent="0.25">
      <c r="A1308" s="133"/>
      <c r="B1308" s="8"/>
      <c r="C1308" s="223"/>
      <c r="D1308" s="223"/>
      <c r="E1308" s="223"/>
      <c r="F1308" s="133"/>
      <c r="G1308" s="200"/>
      <c r="H1308" s="200"/>
    </row>
    <row r="1309" spans="1:16" x14ac:dyDescent="0.25">
      <c r="A1309" s="133"/>
      <c r="B1309" s="8"/>
      <c r="C1309" s="8"/>
      <c r="D1309" s="8"/>
      <c r="E1309" s="8"/>
      <c r="F1309" s="8"/>
      <c r="G1309" s="8"/>
      <c r="H1309" s="200"/>
    </row>
    <row r="1310" spans="1:16" ht="15.75" thickBot="1" x14ac:dyDescent="0.3">
      <c r="A1310" s="133"/>
      <c r="B1310" s="8"/>
      <c r="C1310" s="8"/>
      <c r="D1310" s="8"/>
      <c r="E1310" s="8"/>
      <c r="F1310" s="133"/>
      <c r="G1310" s="200"/>
      <c r="H1310" s="200"/>
    </row>
    <row r="1311" spans="1:16" ht="15.75" thickBot="1" x14ac:dyDescent="0.3">
      <c r="A1311" s="133"/>
      <c r="B1311" s="224" t="s">
        <v>5403</v>
      </c>
      <c r="C1311" s="193" t="s">
        <v>867</v>
      </c>
      <c r="D1311" s="193" t="s">
        <v>6</v>
      </c>
      <c r="E1311" s="193" t="s">
        <v>5439</v>
      </c>
      <c r="F1311" s="193" t="s">
        <v>5405</v>
      </c>
      <c r="G1311" s="225" t="s">
        <v>868</v>
      </c>
      <c r="H1311" s="200"/>
    </row>
    <row r="1312" spans="1:16" x14ac:dyDescent="0.25">
      <c r="A1312" s="133"/>
      <c r="B1312" s="195" t="s">
        <v>5440</v>
      </c>
      <c r="C1312" s="226" t="s">
        <v>5402</v>
      </c>
      <c r="D1312" s="226">
        <v>1</v>
      </c>
      <c r="E1312" s="227">
        <f>+H1350</f>
        <v>73395.666666666657</v>
      </c>
      <c r="F1312" s="226">
        <v>0.1</v>
      </c>
      <c r="G1312" s="292">
        <f>+E1312*F1312</f>
        <v>7339.5666666666657</v>
      </c>
      <c r="H1312" s="200"/>
    </row>
    <row r="1313" spans="1:8" x14ac:dyDescent="0.25">
      <c r="A1313" s="133"/>
      <c r="B1313" s="195"/>
      <c r="C1313" s="226"/>
      <c r="D1313" s="226"/>
      <c r="E1313" s="230"/>
      <c r="F1313" s="226"/>
      <c r="G1313" s="229"/>
      <c r="H1313" s="200"/>
    </row>
    <row r="1314" spans="1:8" x14ac:dyDescent="0.25">
      <c r="A1314" s="133"/>
      <c r="B1314" s="195"/>
      <c r="C1314" s="226"/>
      <c r="D1314" s="226"/>
      <c r="E1314" s="176"/>
      <c r="F1314" s="226"/>
      <c r="G1314" s="229"/>
      <c r="H1314" s="200"/>
    </row>
    <row r="1315" spans="1:8" x14ac:dyDescent="0.25">
      <c r="A1315" s="133"/>
      <c r="B1315" s="195"/>
      <c r="C1315" s="226"/>
      <c r="D1315" s="226"/>
      <c r="E1315" s="171"/>
      <c r="F1315" s="226"/>
      <c r="G1315" s="293"/>
      <c r="H1315" s="200"/>
    </row>
    <row r="1316" spans="1:8" x14ac:dyDescent="0.25">
      <c r="A1316" s="133"/>
      <c r="B1316" s="195"/>
      <c r="C1316" s="226"/>
      <c r="D1316" s="232"/>
      <c r="E1316" s="232"/>
      <c r="F1316" s="226"/>
      <c r="G1316" s="229"/>
      <c r="H1316" s="200"/>
    </row>
    <row r="1317" spans="1:8" ht="15.75" thickBot="1" x14ac:dyDescent="0.3">
      <c r="A1317" s="133"/>
      <c r="B1317" s="195"/>
      <c r="C1317" s="226"/>
      <c r="D1317" s="232"/>
      <c r="E1317" s="232"/>
      <c r="F1317" s="226"/>
      <c r="G1317" s="229"/>
      <c r="H1317" s="200"/>
    </row>
    <row r="1318" spans="1:8" ht="15.75" thickBot="1" x14ac:dyDescent="0.3">
      <c r="A1318" s="133"/>
      <c r="B1318" s="233"/>
      <c r="C1318" s="234"/>
      <c r="D1318" s="234"/>
      <c r="E1318" s="234"/>
      <c r="F1318" s="235"/>
      <c r="G1318" s="236"/>
      <c r="H1318" s="237">
        <f>+SUM(G1312:G1318)</f>
        <v>7339.5666666666657</v>
      </c>
    </row>
    <row r="1319" spans="1:8" ht="15.75" thickBot="1" x14ac:dyDescent="0.3">
      <c r="A1319" s="133"/>
      <c r="B1319" s="238"/>
      <c r="C1319" s="238"/>
      <c r="D1319" s="238"/>
      <c r="E1319" s="238"/>
      <c r="F1319" s="239"/>
      <c r="G1319" s="240"/>
      <c r="H1319" s="241"/>
    </row>
    <row r="1320" spans="1:8" ht="15.75" thickBot="1" x14ac:dyDescent="0.3">
      <c r="A1320" s="133"/>
      <c r="B1320" s="224" t="s">
        <v>5408</v>
      </c>
      <c r="C1320" s="193" t="s">
        <v>867</v>
      </c>
      <c r="D1320" s="193" t="s">
        <v>6</v>
      </c>
      <c r="E1320" s="193" t="s">
        <v>870</v>
      </c>
      <c r="F1320" s="193" t="s">
        <v>5409</v>
      </c>
      <c r="G1320" s="225" t="s">
        <v>868</v>
      </c>
      <c r="H1320" s="200"/>
    </row>
    <row r="1321" spans="1:8" x14ac:dyDescent="0.25">
      <c r="A1321" s="133"/>
      <c r="B1321" s="289" t="s">
        <v>6186</v>
      </c>
      <c r="C1321" s="202" t="s">
        <v>5402</v>
      </c>
      <c r="D1321" s="197">
        <v>3.1</v>
      </c>
      <c r="E1321" s="244">
        <v>15000</v>
      </c>
      <c r="F1321" s="169">
        <v>0.05</v>
      </c>
      <c r="G1321" s="294">
        <f>+D1321*E1321*(1+F1321)</f>
        <v>48825</v>
      </c>
      <c r="H1321" s="200"/>
    </row>
    <row r="1322" spans="1:8" x14ac:dyDescent="0.25">
      <c r="A1322" s="133"/>
      <c r="B1322" s="247" t="s">
        <v>6188</v>
      </c>
      <c r="C1322" s="202" t="s">
        <v>5424</v>
      </c>
      <c r="D1322" s="202">
        <v>0.5</v>
      </c>
      <c r="E1322" s="257">
        <v>20000</v>
      </c>
      <c r="F1322" s="169">
        <v>0.1</v>
      </c>
      <c r="G1322" s="294">
        <f>+D1322*E1322*(1+F1322)</f>
        <v>11000</v>
      </c>
      <c r="H1322" s="200"/>
    </row>
    <row r="1323" spans="1:8" x14ac:dyDescent="0.25">
      <c r="A1323" s="133"/>
      <c r="B1323" s="247" t="s">
        <v>5756</v>
      </c>
      <c r="C1323" s="202" t="s">
        <v>5431</v>
      </c>
      <c r="D1323" s="226">
        <v>0.5</v>
      </c>
      <c r="E1323" s="244">
        <v>40900</v>
      </c>
      <c r="F1323" s="169">
        <v>0.05</v>
      </c>
      <c r="G1323" s="294">
        <f>+D1323*E1323*(1+F1323)</f>
        <v>21472.5</v>
      </c>
      <c r="H1323" s="200"/>
    </row>
    <row r="1324" spans="1:8" x14ac:dyDescent="0.25">
      <c r="A1324" s="133"/>
      <c r="B1324" s="194" t="s">
        <v>6187</v>
      </c>
      <c r="C1324" s="226" t="s">
        <v>5424</v>
      </c>
      <c r="D1324" s="226">
        <v>2</v>
      </c>
      <c r="E1324" s="171">
        <v>10000</v>
      </c>
      <c r="F1324" s="169">
        <v>0.05</v>
      </c>
      <c r="G1324" s="294">
        <f>+D1324*E1324*(1+F1324)</f>
        <v>21000</v>
      </c>
      <c r="H1324" s="200"/>
    </row>
    <row r="1325" spans="1:8" x14ac:dyDescent="0.25">
      <c r="A1325" s="133"/>
      <c r="B1325" s="195"/>
      <c r="C1325" s="226"/>
      <c r="D1325" s="226"/>
      <c r="E1325" s="171"/>
      <c r="F1325" s="169"/>
      <c r="G1325" s="178"/>
      <c r="H1325" s="200"/>
    </row>
    <row r="1326" spans="1:8" x14ac:dyDescent="0.25">
      <c r="A1326" s="133"/>
      <c r="B1326" s="194"/>
      <c r="C1326" s="202"/>
      <c r="D1326" s="202"/>
      <c r="E1326" s="171"/>
      <c r="F1326" s="169"/>
      <c r="G1326" s="178"/>
      <c r="H1326" s="200"/>
    </row>
    <row r="1327" spans="1:8" x14ac:dyDescent="0.25">
      <c r="A1327" s="133"/>
      <c r="B1327" s="195"/>
      <c r="C1327" s="226"/>
      <c r="D1327" s="226"/>
      <c r="E1327" s="171"/>
      <c r="F1327" s="169"/>
      <c r="G1327" s="178"/>
      <c r="H1327" s="200"/>
    </row>
    <row r="1328" spans="1:8" x14ac:dyDescent="0.25">
      <c r="A1328" s="133"/>
      <c r="B1328" s="195"/>
      <c r="C1328" s="226"/>
      <c r="D1328" s="226"/>
      <c r="E1328" s="171"/>
      <c r="F1328" s="169"/>
      <c r="G1328" s="178"/>
      <c r="H1328" s="200"/>
    </row>
    <row r="1329" spans="1:8" x14ac:dyDescent="0.25">
      <c r="A1329" s="133"/>
      <c r="B1329" s="195"/>
      <c r="C1329" s="232"/>
      <c r="D1329" s="232"/>
      <c r="E1329" s="232"/>
      <c r="F1329" s="226"/>
      <c r="G1329" s="229"/>
      <c r="H1329" s="200"/>
    </row>
    <row r="1330" spans="1:8" x14ac:dyDescent="0.25">
      <c r="A1330" s="133"/>
      <c r="B1330" s="195"/>
      <c r="C1330" s="232"/>
      <c r="D1330" s="232"/>
      <c r="E1330" s="232"/>
      <c r="F1330" s="226"/>
      <c r="G1330" s="229"/>
      <c r="H1330" s="200"/>
    </row>
    <row r="1331" spans="1:8" x14ac:dyDescent="0.25">
      <c r="A1331" s="133"/>
      <c r="B1331" s="195"/>
      <c r="C1331" s="232"/>
      <c r="D1331" s="232"/>
      <c r="E1331" s="232"/>
      <c r="F1331" s="226"/>
      <c r="G1331" s="229"/>
      <c r="H1331" s="200"/>
    </row>
    <row r="1332" spans="1:8" ht="15.75" thickBot="1" x14ac:dyDescent="0.3">
      <c r="A1332" s="133"/>
      <c r="B1332" s="195"/>
      <c r="C1332" s="232"/>
      <c r="D1332" s="232"/>
      <c r="E1332" s="232"/>
      <c r="F1332" s="226"/>
      <c r="G1332" s="229"/>
      <c r="H1332" s="200"/>
    </row>
    <row r="1333" spans="1:8" ht="15.75" thickBot="1" x14ac:dyDescent="0.3">
      <c r="A1333" s="133"/>
      <c r="B1333" s="233"/>
      <c r="C1333" s="234"/>
      <c r="D1333" s="234"/>
      <c r="E1333" s="234"/>
      <c r="F1333" s="235"/>
      <c r="G1333" s="236"/>
      <c r="H1333" s="256">
        <f>+SUM(G1321:G1333)</f>
        <v>102297.5</v>
      </c>
    </row>
    <row r="1334" spans="1:8" ht="15.75" thickBot="1" x14ac:dyDescent="0.3">
      <c r="A1334" s="133"/>
      <c r="B1334" s="238"/>
      <c r="C1334" s="238"/>
      <c r="D1334" s="238"/>
      <c r="E1334" s="238"/>
      <c r="F1334" s="239"/>
      <c r="G1334" s="240"/>
      <c r="H1334" s="241"/>
    </row>
    <row r="1335" spans="1:8" ht="15.75" thickBot="1" x14ac:dyDescent="0.3">
      <c r="A1335" s="133"/>
      <c r="B1335" s="224" t="s">
        <v>5410</v>
      </c>
      <c r="C1335" s="193" t="s">
        <v>867</v>
      </c>
      <c r="D1335" s="193" t="s">
        <v>6</v>
      </c>
      <c r="E1335" s="193" t="s">
        <v>870</v>
      </c>
      <c r="F1335" s="193" t="s">
        <v>5411</v>
      </c>
      <c r="G1335" s="225" t="s">
        <v>868</v>
      </c>
      <c r="H1335" s="200"/>
    </row>
    <row r="1336" spans="1:8" x14ac:dyDescent="0.25">
      <c r="A1336" s="133"/>
      <c r="B1336" s="245"/>
      <c r="C1336" s="202"/>
      <c r="D1336" s="202"/>
      <c r="E1336" s="168"/>
      <c r="F1336" s="202"/>
      <c r="G1336" s="203"/>
      <c r="H1336" s="246"/>
    </row>
    <row r="1337" spans="1:8" x14ac:dyDescent="0.25">
      <c r="A1337" s="133"/>
      <c r="B1337" s="247"/>
      <c r="C1337" s="202"/>
      <c r="D1337" s="202"/>
      <c r="E1337" s="199"/>
      <c r="F1337" s="202"/>
      <c r="G1337" s="178"/>
      <c r="H1337" s="200"/>
    </row>
    <row r="1338" spans="1:8" x14ac:dyDescent="0.25">
      <c r="A1338" s="133"/>
      <c r="B1338" s="247"/>
      <c r="C1338" s="202"/>
      <c r="D1338" s="226"/>
      <c r="E1338" s="232"/>
      <c r="F1338" s="226"/>
      <c r="G1338" s="229"/>
      <c r="H1338" s="200"/>
    </row>
    <row r="1339" spans="1:8" x14ac:dyDescent="0.25">
      <c r="A1339" s="133"/>
      <c r="B1339" s="194"/>
      <c r="C1339" s="232"/>
      <c r="D1339" s="232"/>
      <c r="E1339" s="232"/>
      <c r="F1339" s="226"/>
      <c r="G1339" s="229"/>
      <c r="H1339" s="200"/>
    </row>
    <row r="1340" spans="1:8" ht="15.75" thickBot="1" x14ac:dyDescent="0.3">
      <c r="A1340" s="133"/>
      <c r="B1340" s="195"/>
      <c r="C1340" s="232"/>
      <c r="D1340" s="232"/>
      <c r="E1340" s="232"/>
      <c r="F1340" s="226"/>
      <c r="G1340" s="229"/>
      <c r="H1340" s="200"/>
    </row>
    <row r="1341" spans="1:8" ht="15.75" thickBot="1" x14ac:dyDescent="0.3">
      <c r="A1341" s="133"/>
      <c r="B1341" s="233"/>
      <c r="C1341" s="234"/>
      <c r="D1341" s="234"/>
      <c r="E1341" s="234"/>
      <c r="F1341" s="235"/>
      <c r="G1341" s="236"/>
      <c r="H1341" s="237">
        <f>+SUM(G1336:G1341)</f>
        <v>0</v>
      </c>
    </row>
    <row r="1342" spans="1:8" ht="15.75" thickBot="1" x14ac:dyDescent="0.3">
      <c r="A1342" s="133"/>
      <c r="B1342" s="238"/>
      <c r="C1342" s="238"/>
      <c r="D1342" s="238"/>
      <c r="E1342" s="238"/>
      <c r="F1342" s="249"/>
      <c r="G1342" s="250"/>
      <c r="H1342" s="241"/>
    </row>
    <row r="1343" spans="1:8" ht="15.75" thickBot="1" x14ac:dyDescent="0.3">
      <c r="A1343" s="133"/>
      <c r="B1343" s="224" t="s">
        <v>5412</v>
      </c>
      <c r="C1343" s="193" t="s">
        <v>5420</v>
      </c>
      <c r="D1343" s="193" t="s">
        <v>5421</v>
      </c>
      <c r="E1343" s="193" t="s">
        <v>5413</v>
      </c>
      <c r="F1343" s="193" t="s">
        <v>5405</v>
      </c>
      <c r="G1343" s="225" t="s">
        <v>868</v>
      </c>
      <c r="H1343" s="200"/>
    </row>
    <row r="1344" spans="1:8" x14ac:dyDescent="0.25">
      <c r="A1344" s="133"/>
      <c r="B1344" s="194" t="s">
        <v>5948</v>
      </c>
      <c r="C1344" s="345">
        <v>70000</v>
      </c>
      <c r="D1344" s="176">
        <f>+C1344*0.85</f>
        <v>59500</v>
      </c>
      <c r="E1344" s="176">
        <f>+C1344+D1344</f>
        <v>129500</v>
      </c>
      <c r="F1344" s="204">
        <v>250</v>
      </c>
      <c r="G1344" s="178">
        <f>+E1344/F1344</f>
        <v>518</v>
      </c>
      <c r="H1344" s="200"/>
    </row>
    <row r="1345" spans="1:8" x14ac:dyDescent="0.25">
      <c r="A1345" s="133"/>
      <c r="B1345" s="194" t="s">
        <v>5651</v>
      </c>
      <c r="C1345" s="345">
        <v>40000</v>
      </c>
      <c r="D1345" s="176">
        <f>+C1345*0.85</f>
        <v>34000</v>
      </c>
      <c r="E1345" s="176">
        <f>+C1345+D1345</f>
        <v>74000</v>
      </c>
      <c r="F1345" s="202">
        <v>10</v>
      </c>
      <c r="G1345" s="178">
        <f>+E1345/F1345</f>
        <v>7400</v>
      </c>
      <c r="H1345" s="200"/>
    </row>
    <row r="1346" spans="1:8" x14ac:dyDescent="0.25">
      <c r="A1346" s="133"/>
      <c r="B1346" s="195" t="s">
        <v>5635</v>
      </c>
      <c r="C1346" s="345">
        <v>20600</v>
      </c>
      <c r="D1346" s="176">
        <f>+C1346*0.85</f>
        <v>17510</v>
      </c>
      <c r="E1346" s="176">
        <f>+C1346+D1346</f>
        <v>38110</v>
      </c>
      <c r="F1346" s="226">
        <v>10</v>
      </c>
      <c r="G1346" s="178">
        <f>+E1346/F1346</f>
        <v>3811</v>
      </c>
      <c r="H1346" s="200"/>
    </row>
    <row r="1347" spans="1:8" x14ac:dyDescent="0.25">
      <c r="A1347" s="133"/>
      <c r="B1347" s="195" t="s">
        <v>5956</v>
      </c>
      <c r="C1347" s="171">
        <v>100000</v>
      </c>
      <c r="D1347" s="176">
        <f>+C1347*0.85</f>
        <v>85000</v>
      </c>
      <c r="E1347" s="176">
        <f>+C1347+D1347</f>
        <v>185000</v>
      </c>
      <c r="F1347" s="226">
        <v>3</v>
      </c>
      <c r="G1347" s="178">
        <f>+E1347/F1347</f>
        <v>61666.666666666664</v>
      </c>
      <c r="H1347" s="200"/>
    </row>
    <row r="1348" spans="1:8" x14ac:dyDescent="0.25">
      <c r="A1348" s="133"/>
      <c r="B1348" s="195"/>
      <c r="C1348" s="232"/>
      <c r="D1348" s="232"/>
      <c r="E1348" s="232"/>
      <c r="F1348" s="226"/>
      <c r="G1348" s="229"/>
      <c r="H1348" s="200"/>
    </row>
    <row r="1349" spans="1:8" ht="15.75" thickBot="1" x14ac:dyDescent="0.3">
      <c r="A1349" s="133"/>
      <c r="B1349" s="195"/>
      <c r="C1349" s="232"/>
      <c r="D1349" s="232"/>
      <c r="E1349" s="232"/>
      <c r="F1349" s="226"/>
      <c r="G1349" s="229"/>
      <c r="H1349" s="200"/>
    </row>
    <row r="1350" spans="1:8" ht="15.75" thickBot="1" x14ac:dyDescent="0.3">
      <c r="A1350" s="133"/>
      <c r="B1350" s="251"/>
      <c r="C1350" s="252"/>
      <c r="D1350" s="252"/>
      <c r="E1350" s="252"/>
      <c r="F1350" s="253"/>
      <c r="G1350" s="254"/>
      <c r="H1350" s="237">
        <f>+SUM(G1344:G1350)</f>
        <v>73395.666666666657</v>
      </c>
    </row>
    <row r="1351" spans="1:8" ht="15.75" thickBot="1" x14ac:dyDescent="0.3">
      <c r="A1351" s="133"/>
      <c r="B1351" s="8"/>
      <c r="C1351" s="8"/>
      <c r="D1351" s="8"/>
      <c r="E1351" s="8"/>
      <c r="F1351" s="133"/>
      <c r="G1351" s="200"/>
      <c r="H1351" s="200"/>
    </row>
    <row r="1352" spans="1:8" ht="15.75" thickBot="1" x14ac:dyDescent="0.3">
      <c r="A1352" s="133"/>
      <c r="B1352" s="8"/>
      <c r="C1352" s="8"/>
      <c r="D1352" s="8"/>
      <c r="E1352" s="223" t="s">
        <v>5415</v>
      </c>
      <c r="F1352" s="133"/>
      <c r="G1352" s="200"/>
      <c r="H1352" s="256">
        <f>ROUND(+H1350+H1341+H1333+H1318,0)</f>
        <v>183033</v>
      </c>
    </row>
    <row r="1357" spans="1:8" ht="18.75" x14ac:dyDescent="0.25">
      <c r="A1357" s="133"/>
      <c r="B1357" s="2506" t="s">
        <v>5400</v>
      </c>
      <c r="C1357" s="2506"/>
      <c r="D1357" s="2506"/>
      <c r="E1357" s="2506"/>
      <c r="F1357" s="2506"/>
      <c r="G1357" s="2506"/>
      <c r="H1357" s="8"/>
    </row>
    <row r="1358" spans="1:8" x14ac:dyDescent="0.25">
      <c r="A1358" s="133"/>
      <c r="B1358" s="8"/>
      <c r="C1358" s="8"/>
      <c r="D1358" s="8"/>
      <c r="E1358" s="8"/>
      <c r="F1358" s="133"/>
      <c r="G1358" s="200"/>
      <c r="H1358" s="200"/>
    </row>
    <row r="1359" spans="1:8" x14ac:dyDescent="0.25">
      <c r="A1359" s="133"/>
      <c r="B1359" s="8"/>
      <c r="C1359" s="8"/>
      <c r="D1359" s="8"/>
      <c r="E1359" s="8"/>
      <c r="F1359" s="133"/>
      <c r="G1359" s="200"/>
      <c r="H1359" s="200"/>
    </row>
    <row r="1360" spans="1:8" x14ac:dyDescent="0.25">
      <c r="A1360" s="133"/>
      <c r="B1360" s="8"/>
      <c r="C1360" s="8"/>
      <c r="D1360" s="8"/>
      <c r="E1360" s="8"/>
      <c r="F1360" s="133"/>
      <c r="G1360" s="200"/>
      <c r="H1360" s="200"/>
    </row>
    <row r="1361" spans="1:8" x14ac:dyDescent="0.25">
      <c r="A1361" s="220" t="s">
        <v>5482</v>
      </c>
      <c r="B1361" s="138" t="s">
        <v>772</v>
      </c>
      <c r="C1361" s="2449" t="s">
        <v>5615</v>
      </c>
      <c r="D1361" s="2449"/>
      <c r="E1361" s="2449"/>
      <c r="F1361" s="220" t="s">
        <v>867</v>
      </c>
      <c r="G1361" s="222" t="s">
        <v>5424</v>
      </c>
      <c r="H1361" s="200"/>
    </row>
    <row r="1362" spans="1:8" x14ac:dyDescent="0.25">
      <c r="A1362" s="133"/>
      <c r="B1362" s="8"/>
      <c r="C1362" s="223"/>
      <c r="D1362" s="223"/>
      <c r="E1362" s="223"/>
      <c r="F1362" s="133"/>
      <c r="G1362" s="200"/>
      <c r="H1362" s="200"/>
    </row>
    <row r="1363" spans="1:8" x14ac:dyDescent="0.25">
      <c r="A1363" s="133"/>
      <c r="B1363" s="8"/>
      <c r="C1363" s="8"/>
      <c r="D1363" s="8"/>
      <c r="E1363" s="8"/>
      <c r="F1363" s="8"/>
      <c r="G1363" s="8"/>
      <c r="H1363" s="200"/>
    </row>
    <row r="1364" spans="1:8" ht="15.75" thickBot="1" x14ac:dyDescent="0.3">
      <c r="A1364" s="133"/>
      <c r="B1364" s="8"/>
      <c r="C1364" s="8"/>
      <c r="D1364" s="8"/>
      <c r="E1364" s="8"/>
      <c r="F1364" s="133"/>
      <c r="G1364" s="200"/>
      <c r="H1364" s="200"/>
    </row>
    <row r="1365" spans="1:8" ht="15.75" thickBot="1" x14ac:dyDescent="0.3">
      <c r="A1365" s="133"/>
      <c r="B1365" s="224" t="s">
        <v>5403</v>
      </c>
      <c r="C1365" s="193" t="s">
        <v>867</v>
      </c>
      <c r="D1365" s="193" t="s">
        <v>6</v>
      </c>
      <c r="E1365" s="193" t="s">
        <v>5439</v>
      </c>
      <c r="F1365" s="193" t="s">
        <v>5405</v>
      </c>
      <c r="G1365" s="225" t="s">
        <v>868</v>
      </c>
      <c r="H1365" s="200"/>
    </row>
    <row r="1366" spans="1:8" x14ac:dyDescent="0.25">
      <c r="A1366" s="133"/>
      <c r="B1366" s="195" t="s">
        <v>5440</v>
      </c>
      <c r="C1366" s="226" t="s">
        <v>5402</v>
      </c>
      <c r="D1366" s="226">
        <v>1</v>
      </c>
      <c r="E1366" s="227">
        <f>+H1404</f>
        <v>31265</v>
      </c>
      <c r="F1366" s="226">
        <v>0.05</v>
      </c>
      <c r="G1366" s="292">
        <f>+E1366*F1366</f>
        <v>1563.25</v>
      </c>
      <c r="H1366" s="200"/>
    </row>
    <row r="1367" spans="1:8" x14ac:dyDescent="0.25">
      <c r="A1367" s="133"/>
      <c r="B1367" s="195"/>
      <c r="C1367" s="226"/>
      <c r="D1367" s="226"/>
      <c r="E1367" s="230"/>
      <c r="F1367" s="226"/>
      <c r="G1367" s="229"/>
      <c r="H1367" s="200"/>
    </row>
    <row r="1368" spans="1:8" x14ac:dyDescent="0.25">
      <c r="A1368" s="133"/>
      <c r="B1368" s="195"/>
      <c r="C1368" s="226"/>
      <c r="D1368" s="226"/>
      <c r="E1368" s="176"/>
      <c r="F1368" s="226"/>
      <c r="G1368" s="229"/>
      <c r="H1368" s="200"/>
    </row>
    <row r="1369" spans="1:8" x14ac:dyDescent="0.25">
      <c r="A1369" s="133"/>
      <c r="B1369" s="195"/>
      <c r="C1369" s="226"/>
      <c r="D1369" s="226"/>
      <c r="E1369" s="171"/>
      <c r="F1369" s="226"/>
      <c r="G1369" s="293"/>
      <c r="H1369" s="200"/>
    </row>
    <row r="1370" spans="1:8" x14ac:dyDescent="0.25">
      <c r="A1370" s="133"/>
      <c r="B1370" s="195"/>
      <c r="C1370" s="226"/>
      <c r="D1370" s="232"/>
      <c r="E1370" s="232"/>
      <c r="F1370" s="226"/>
      <c r="G1370" s="229"/>
      <c r="H1370" s="200"/>
    </row>
    <row r="1371" spans="1:8" ht="15.75" thickBot="1" x14ac:dyDescent="0.3">
      <c r="A1371" s="133"/>
      <c r="B1371" s="195"/>
      <c r="C1371" s="226"/>
      <c r="D1371" s="232"/>
      <c r="E1371" s="232"/>
      <c r="F1371" s="226"/>
      <c r="G1371" s="229"/>
      <c r="H1371" s="200"/>
    </row>
    <row r="1372" spans="1:8" ht="15.75" thickBot="1" x14ac:dyDescent="0.3">
      <c r="A1372" s="133"/>
      <c r="B1372" s="233"/>
      <c r="C1372" s="234"/>
      <c r="D1372" s="234"/>
      <c r="E1372" s="234"/>
      <c r="F1372" s="235"/>
      <c r="G1372" s="236"/>
      <c r="H1372" s="237">
        <f>+SUM(G1366:G1372)</f>
        <v>1563.25</v>
      </c>
    </row>
    <row r="1373" spans="1:8" ht="15.75" thickBot="1" x14ac:dyDescent="0.3">
      <c r="A1373" s="133"/>
      <c r="B1373" s="238"/>
      <c r="C1373" s="238"/>
      <c r="D1373" s="238"/>
      <c r="E1373" s="238"/>
      <c r="F1373" s="239"/>
      <c r="G1373" s="240"/>
      <c r="H1373" s="241"/>
    </row>
    <row r="1374" spans="1:8" ht="15.75" thickBot="1" x14ac:dyDescent="0.3">
      <c r="A1374" s="133"/>
      <c r="B1374" s="224" t="s">
        <v>5408</v>
      </c>
      <c r="C1374" s="193" t="s">
        <v>867</v>
      </c>
      <c r="D1374" s="193" t="s">
        <v>6</v>
      </c>
      <c r="E1374" s="193" t="s">
        <v>870</v>
      </c>
      <c r="F1374" s="193" t="s">
        <v>5409</v>
      </c>
      <c r="G1374" s="225" t="s">
        <v>868</v>
      </c>
      <c r="H1374" s="200"/>
    </row>
    <row r="1375" spans="1:8" ht="25.5" x14ac:dyDescent="0.25">
      <c r="A1375" s="133"/>
      <c r="B1375" s="289" t="s">
        <v>6191</v>
      </c>
      <c r="C1375" s="202" t="s">
        <v>5424</v>
      </c>
      <c r="D1375" s="197">
        <v>1</v>
      </c>
      <c r="E1375" s="244">
        <v>65000</v>
      </c>
      <c r="F1375" s="169">
        <v>0.02</v>
      </c>
      <c r="G1375" s="294">
        <f>+D1375*E1375*(1+F1375)</f>
        <v>66300</v>
      </c>
      <c r="H1375" s="200"/>
    </row>
    <row r="1376" spans="1:8" x14ac:dyDescent="0.25">
      <c r="A1376" s="133"/>
      <c r="B1376" s="466" t="s">
        <v>6189</v>
      </c>
      <c r="C1376" s="202" t="s">
        <v>5424</v>
      </c>
      <c r="D1376" s="202">
        <v>2</v>
      </c>
      <c r="E1376" s="257">
        <v>2200</v>
      </c>
      <c r="F1376" s="169">
        <v>0.05</v>
      </c>
      <c r="G1376" s="294">
        <f>+D1376*E1376*(1+F1376)</f>
        <v>4620</v>
      </c>
      <c r="H1376" s="200"/>
    </row>
    <row r="1377" spans="1:8" x14ac:dyDescent="0.25">
      <c r="A1377" s="133"/>
      <c r="B1377" s="315" t="s">
        <v>6172</v>
      </c>
      <c r="C1377" s="202" t="s">
        <v>5556</v>
      </c>
      <c r="D1377" s="226">
        <v>0.03</v>
      </c>
      <c r="E1377" s="244">
        <f>+'APU CAP 5'!H268</f>
        <v>352631.16666666669</v>
      </c>
      <c r="F1377" s="169">
        <v>0.05</v>
      </c>
      <c r="G1377" s="294">
        <f>+D1377*E1377*(1+F1377)</f>
        <v>11107.88175</v>
      </c>
      <c r="H1377" s="200"/>
    </row>
    <row r="1378" spans="1:8" x14ac:dyDescent="0.25">
      <c r="A1378" s="133"/>
      <c r="B1378" s="194" t="s">
        <v>5752</v>
      </c>
      <c r="C1378" s="226" t="s">
        <v>5475</v>
      </c>
      <c r="D1378" s="226">
        <v>0.1</v>
      </c>
      <c r="E1378" s="171">
        <v>21000</v>
      </c>
      <c r="F1378" s="169">
        <v>0.02</v>
      </c>
      <c r="G1378" s="294">
        <f>+D1378*E1378*(1+F1378)</f>
        <v>2142</v>
      </c>
      <c r="H1378" s="200"/>
    </row>
    <row r="1379" spans="1:8" x14ac:dyDescent="0.25">
      <c r="A1379" s="133"/>
      <c r="B1379" s="195"/>
      <c r="C1379" s="226"/>
      <c r="D1379" s="226"/>
      <c r="E1379" s="171"/>
      <c r="F1379" s="169"/>
      <c r="G1379" s="178"/>
      <c r="H1379" s="200"/>
    </row>
    <row r="1380" spans="1:8" x14ac:dyDescent="0.25">
      <c r="A1380" s="133"/>
      <c r="B1380" s="194"/>
      <c r="C1380" s="202"/>
      <c r="D1380" s="202"/>
      <c r="E1380" s="171"/>
      <c r="F1380" s="169"/>
      <c r="G1380" s="178"/>
      <c r="H1380" s="200"/>
    </row>
    <row r="1381" spans="1:8" x14ac:dyDescent="0.25">
      <c r="A1381" s="133"/>
      <c r="B1381" s="195"/>
      <c r="C1381" s="226"/>
      <c r="D1381" s="226"/>
      <c r="E1381" s="171"/>
      <c r="F1381" s="169"/>
      <c r="G1381" s="178"/>
      <c r="H1381" s="200"/>
    </row>
    <row r="1382" spans="1:8" x14ac:dyDescent="0.25">
      <c r="A1382" s="133"/>
      <c r="B1382" s="195"/>
      <c r="C1382" s="226"/>
      <c r="D1382" s="226"/>
      <c r="E1382" s="171"/>
      <c r="F1382" s="169"/>
      <c r="G1382" s="178"/>
      <c r="H1382" s="200"/>
    </row>
    <row r="1383" spans="1:8" x14ac:dyDescent="0.25">
      <c r="A1383" s="133"/>
      <c r="B1383" s="195"/>
      <c r="C1383" s="232"/>
      <c r="D1383" s="232"/>
      <c r="E1383" s="232"/>
      <c r="F1383" s="226"/>
      <c r="G1383" s="229"/>
      <c r="H1383" s="200"/>
    </row>
    <row r="1384" spans="1:8" x14ac:dyDescent="0.25">
      <c r="A1384" s="133"/>
      <c r="B1384" s="195"/>
      <c r="C1384" s="232"/>
      <c r="D1384" s="232"/>
      <c r="E1384" s="232"/>
      <c r="F1384" s="226"/>
      <c r="G1384" s="229"/>
      <c r="H1384" s="200"/>
    </row>
    <row r="1385" spans="1:8" x14ac:dyDescent="0.25">
      <c r="A1385" s="133"/>
      <c r="B1385" s="195"/>
      <c r="C1385" s="232"/>
      <c r="D1385" s="232"/>
      <c r="E1385" s="232"/>
      <c r="F1385" s="226"/>
      <c r="G1385" s="229"/>
      <c r="H1385" s="200"/>
    </row>
    <row r="1386" spans="1:8" ht="15.75" thickBot="1" x14ac:dyDescent="0.3">
      <c r="A1386" s="133"/>
      <c r="B1386" s="195"/>
      <c r="C1386" s="232"/>
      <c r="D1386" s="232"/>
      <c r="E1386" s="232"/>
      <c r="F1386" s="226"/>
      <c r="G1386" s="229"/>
      <c r="H1386" s="200"/>
    </row>
    <row r="1387" spans="1:8" ht="15.75" thickBot="1" x14ac:dyDescent="0.3">
      <c r="A1387" s="133"/>
      <c r="B1387" s="233"/>
      <c r="C1387" s="234"/>
      <c r="D1387" s="234"/>
      <c r="E1387" s="234"/>
      <c r="F1387" s="235"/>
      <c r="G1387" s="236"/>
      <c r="H1387" s="256">
        <f>+SUM(G1375:G1387)</f>
        <v>84169.88175</v>
      </c>
    </row>
    <row r="1388" spans="1:8" ht="15.75" thickBot="1" x14ac:dyDescent="0.3">
      <c r="A1388" s="133"/>
      <c r="B1388" s="238"/>
      <c r="C1388" s="238"/>
      <c r="D1388" s="238"/>
      <c r="E1388" s="238"/>
      <c r="F1388" s="239"/>
      <c r="G1388" s="240"/>
      <c r="H1388" s="241"/>
    </row>
    <row r="1389" spans="1:8" ht="15.75" thickBot="1" x14ac:dyDescent="0.3">
      <c r="A1389" s="133"/>
      <c r="B1389" s="224" t="s">
        <v>5410</v>
      </c>
      <c r="C1389" s="193" t="s">
        <v>867</v>
      </c>
      <c r="D1389" s="193" t="s">
        <v>6</v>
      </c>
      <c r="E1389" s="193" t="s">
        <v>870</v>
      </c>
      <c r="F1389" s="193" t="s">
        <v>5411</v>
      </c>
      <c r="G1389" s="225" t="s">
        <v>868</v>
      </c>
      <c r="H1389" s="200"/>
    </row>
    <row r="1390" spans="1:8" x14ac:dyDescent="0.25">
      <c r="A1390" s="133"/>
      <c r="B1390" s="245"/>
      <c r="C1390" s="202"/>
      <c r="D1390" s="202"/>
      <c r="E1390" s="168"/>
      <c r="F1390" s="202"/>
      <c r="G1390" s="203"/>
      <c r="H1390" s="246"/>
    </row>
    <row r="1391" spans="1:8" x14ac:dyDescent="0.25">
      <c r="A1391" s="133"/>
      <c r="B1391" s="247"/>
      <c r="C1391" s="202"/>
      <c r="D1391" s="202"/>
      <c r="E1391" s="199"/>
      <c r="F1391" s="202"/>
      <c r="G1391" s="178"/>
      <c r="H1391" s="200"/>
    </row>
    <row r="1392" spans="1:8" x14ac:dyDescent="0.25">
      <c r="A1392" s="133"/>
      <c r="B1392" s="247"/>
      <c r="C1392" s="202"/>
      <c r="D1392" s="226"/>
      <c r="E1392" s="232"/>
      <c r="F1392" s="226"/>
      <c r="G1392" s="229"/>
      <c r="H1392" s="200"/>
    </row>
    <row r="1393" spans="1:8" x14ac:dyDescent="0.25">
      <c r="A1393" s="133"/>
      <c r="B1393" s="194"/>
      <c r="C1393" s="232"/>
      <c r="D1393" s="232"/>
      <c r="E1393" s="232"/>
      <c r="F1393" s="226"/>
      <c r="G1393" s="229"/>
      <c r="H1393" s="200"/>
    </row>
    <row r="1394" spans="1:8" ht="15.75" thickBot="1" x14ac:dyDescent="0.3">
      <c r="A1394" s="133"/>
      <c r="B1394" s="195"/>
      <c r="C1394" s="232"/>
      <c r="D1394" s="232"/>
      <c r="E1394" s="232"/>
      <c r="F1394" s="226"/>
      <c r="G1394" s="229"/>
      <c r="H1394" s="200"/>
    </row>
    <row r="1395" spans="1:8" ht="15.75" thickBot="1" x14ac:dyDescent="0.3">
      <c r="A1395" s="133"/>
      <c r="B1395" s="233"/>
      <c r="C1395" s="234"/>
      <c r="D1395" s="234"/>
      <c r="E1395" s="234"/>
      <c r="F1395" s="235"/>
      <c r="G1395" s="236"/>
      <c r="H1395" s="237">
        <f>+SUM(G1390:G1395)</f>
        <v>0</v>
      </c>
    </row>
    <row r="1396" spans="1:8" ht="15.75" thickBot="1" x14ac:dyDescent="0.3">
      <c r="A1396" s="133"/>
      <c r="B1396" s="238"/>
      <c r="C1396" s="238"/>
      <c r="D1396" s="238"/>
      <c r="E1396" s="238"/>
      <c r="F1396" s="249"/>
      <c r="G1396" s="250"/>
      <c r="H1396" s="241"/>
    </row>
    <row r="1397" spans="1:8" ht="15.75" thickBot="1" x14ac:dyDescent="0.3">
      <c r="A1397" s="133"/>
      <c r="B1397" s="224" t="s">
        <v>5412</v>
      </c>
      <c r="C1397" s="193" t="s">
        <v>5420</v>
      </c>
      <c r="D1397" s="193" t="s">
        <v>5421</v>
      </c>
      <c r="E1397" s="193" t="s">
        <v>5413</v>
      </c>
      <c r="F1397" s="193" t="s">
        <v>5405</v>
      </c>
      <c r="G1397" s="225" t="s">
        <v>868</v>
      </c>
      <c r="H1397" s="200"/>
    </row>
    <row r="1398" spans="1:8" x14ac:dyDescent="0.25">
      <c r="A1398" s="133"/>
      <c r="B1398" s="194" t="s">
        <v>5948</v>
      </c>
      <c r="C1398" s="345">
        <v>70000</v>
      </c>
      <c r="D1398" s="176">
        <f>+C1398*0.85</f>
        <v>59500</v>
      </c>
      <c r="E1398" s="176">
        <f>+C1398+D1398</f>
        <v>129500</v>
      </c>
      <c r="F1398" s="204">
        <v>40</v>
      </c>
      <c r="G1398" s="178">
        <f>+E1398/F1398</f>
        <v>3237.5</v>
      </c>
      <c r="H1398" s="200"/>
    </row>
    <row r="1399" spans="1:8" x14ac:dyDescent="0.25">
      <c r="A1399" s="133"/>
      <c r="B1399" s="194" t="s">
        <v>5651</v>
      </c>
      <c r="C1399" s="345">
        <v>40000</v>
      </c>
      <c r="D1399" s="176">
        <f>+C1399*0.85</f>
        <v>34000</v>
      </c>
      <c r="E1399" s="176">
        <f>+C1399+D1399</f>
        <v>74000</v>
      </c>
      <c r="F1399" s="202">
        <v>4</v>
      </c>
      <c r="G1399" s="178">
        <f>+E1399/F1399</f>
        <v>18500</v>
      </c>
      <c r="H1399" s="200"/>
    </row>
    <row r="1400" spans="1:8" x14ac:dyDescent="0.25">
      <c r="A1400" s="133"/>
      <c r="B1400" s="195" t="s">
        <v>5635</v>
      </c>
      <c r="C1400" s="345">
        <v>20600</v>
      </c>
      <c r="D1400" s="176">
        <f>+C1400*0.85</f>
        <v>17510</v>
      </c>
      <c r="E1400" s="176">
        <f>+C1400+D1400</f>
        <v>38110</v>
      </c>
      <c r="F1400" s="226">
        <v>4</v>
      </c>
      <c r="G1400" s="178">
        <f>+E1400/F1400</f>
        <v>9527.5</v>
      </c>
      <c r="H1400" s="200"/>
    </row>
    <row r="1401" spans="1:8" x14ac:dyDescent="0.25">
      <c r="A1401" s="133"/>
      <c r="B1401" s="195"/>
      <c r="C1401" s="171"/>
      <c r="D1401" s="176"/>
      <c r="E1401" s="176"/>
      <c r="F1401" s="226"/>
      <c r="G1401" s="178"/>
      <c r="H1401" s="200"/>
    </row>
    <row r="1402" spans="1:8" x14ac:dyDescent="0.25">
      <c r="A1402" s="133"/>
      <c r="B1402" s="195"/>
      <c r="C1402" s="232"/>
      <c r="D1402" s="232"/>
      <c r="E1402" s="232"/>
      <c r="F1402" s="226"/>
      <c r="G1402" s="229"/>
      <c r="H1402" s="200"/>
    </row>
    <row r="1403" spans="1:8" ht="15.75" thickBot="1" x14ac:dyDescent="0.3">
      <c r="A1403" s="133"/>
      <c r="B1403" s="195"/>
      <c r="C1403" s="232"/>
      <c r="D1403" s="232"/>
      <c r="E1403" s="232"/>
      <c r="F1403" s="226"/>
      <c r="G1403" s="229"/>
      <c r="H1403" s="200"/>
    </row>
    <row r="1404" spans="1:8" ht="15.75" thickBot="1" x14ac:dyDescent="0.3">
      <c r="A1404" s="133"/>
      <c r="B1404" s="251"/>
      <c r="C1404" s="252"/>
      <c r="D1404" s="252"/>
      <c r="E1404" s="252"/>
      <c r="F1404" s="253"/>
      <c r="G1404" s="254"/>
      <c r="H1404" s="237">
        <f>+SUM(G1398:G1404)</f>
        <v>31265</v>
      </c>
    </row>
    <row r="1405" spans="1:8" ht="15.75" thickBot="1" x14ac:dyDescent="0.3">
      <c r="A1405" s="133"/>
      <c r="B1405" s="8"/>
      <c r="C1405" s="8"/>
      <c r="D1405" s="8"/>
      <c r="E1405" s="8"/>
      <c r="F1405" s="133"/>
      <c r="G1405" s="200"/>
      <c r="H1405" s="200"/>
    </row>
    <row r="1406" spans="1:8" ht="15.75" thickBot="1" x14ac:dyDescent="0.3">
      <c r="A1406" s="133"/>
      <c r="B1406" s="8"/>
      <c r="C1406" s="8"/>
      <c r="D1406" s="8"/>
      <c r="E1406" s="223" t="s">
        <v>5415</v>
      </c>
      <c r="F1406" s="133"/>
      <c r="G1406" s="200"/>
      <c r="H1406" s="256">
        <f>ROUND(+H1404+H1395+H1387+H1372,0)</f>
        <v>116998</v>
      </c>
    </row>
    <row r="1411" spans="1:16" ht="18.75" x14ac:dyDescent="0.25">
      <c r="A1411" s="133"/>
      <c r="B1411" s="2506" t="s">
        <v>5400</v>
      </c>
      <c r="C1411" s="2506"/>
      <c r="D1411" s="2506"/>
      <c r="E1411" s="2506"/>
      <c r="F1411" s="2506"/>
      <c r="G1411" s="2506"/>
      <c r="H1411" s="8"/>
      <c r="I1411" s="133"/>
      <c r="J1411" s="2506" t="s">
        <v>5400</v>
      </c>
      <c r="K1411" s="2506"/>
      <c r="L1411" s="2506"/>
      <c r="M1411" s="2506"/>
      <c r="N1411" s="2506"/>
      <c r="O1411" s="2506"/>
      <c r="P1411" s="8"/>
    </row>
    <row r="1412" spans="1:16" x14ac:dyDescent="0.25">
      <c r="A1412" s="133"/>
      <c r="B1412" s="8"/>
      <c r="C1412" s="8"/>
      <c r="D1412" s="8"/>
      <c r="E1412" s="8"/>
      <c r="F1412" s="133"/>
      <c r="G1412" s="200"/>
      <c r="H1412" s="200"/>
      <c r="I1412" s="133"/>
      <c r="J1412" s="8"/>
      <c r="K1412" s="8"/>
      <c r="L1412" s="8"/>
      <c r="M1412" s="8"/>
      <c r="N1412" s="133"/>
      <c r="O1412" s="200"/>
      <c r="P1412" s="200"/>
    </row>
    <row r="1413" spans="1:16" x14ac:dyDescent="0.25">
      <c r="A1413" s="133"/>
      <c r="B1413" s="8"/>
      <c r="C1413" s="8"/>
      <c r="D1413" s="8"/>
      <c r="E1413" s="8"/>
      <c r="F1413" s="133"/>
      <c r="G1413" s="200"/>
      <c r="H1413" s="200"/>
      <c r="I1413" s="133"/>
      <c r="J1413" s="8"/>
      <c r="K1413" s="8"/>
      <c r="L1413" s="8"/>
      <c r="M1413" s="8"/>
      <c r="N1413" s="133"/>
      <c r="O1413" s="200"/>
      <c r="P1413" s="200"/>
    </row>
    <row r="1414" spans="1:16" x14ac:dyDescent="0.25">
      <c r="A1414" s="133"/>
      <c r="B1414" s="8"/>
      <c r="C1414" s="8"/>
      <c r="D1414" s="8"/>
      <c r="E1414" s="8"/>
      <c r="F1414" s="133"/>
      <c r="G1414" s="200"/>
      <c r="H1414" s="200"/>
      <c r="I1414" s="133"/>
      <c r="J1414" s="8"/>
      <c r="K1414" s="8"/>
      <c r="L1414" s="8"/>
      <c r="M1414" s="8"/>
      <c r="N1414" s="133"/>
      <c r="O1414" s="200"/>
      <c r="P1414" s="200"/>
    </row>
    <row r="1415" spans="1:16" x14ac:dyDescent="0.25">
      <c r="A1415" s="220" t="s">
        <v>5482</v>
      </c>
      <c r="B1415" s="138" t="s">
        <v>5616</v>
      </c>
      <c r="C1415" s="2449" t="s">
        <v>6253</v>
      </c>
      <c r="D1415" s="2449"/>
      <c r="E1415" s="2449"/>
      <c r="F1415" s="220" t="s">
        <v>867</v>
      </c>
      <c r="G1415" s="222" t="s">
        <v>5424</v>
      </c>
      <c r="H1415" s="200"/>
      <c r="I1415" s="220" t="s">
        <v>5482</v>
      </c>
      <c r="J1415" s="138" t="s">
        <v>5616</v>
      </c>
      <c r="K1415" s="2449" t="s">
        <v>6256</v>
      </c>
      <c r="L1415" s="2449"/>
      <c r="M1415" s="2449"/>
      <c r="N1415" s="220" t="s">
        <v>867</v>
      </c>
      <c r="O1415" s="222" t="s">
        <v>5424</v>
      </c>
      <c r="P1415" s="200"/>
    </row>
    <row r="1416" spans="1:16" x14ac:dyDescent="0.25">
      <c r="A1416" s="133"/>
      <c r="B1416" s="8"/>
      <c r="C1416" s="223"/>
      <c r="D1416" s="223"/>
      <c r="E1416" s="223"/>
      <c r="F1416" s="133"/>
      <c r="G1416" s="200"/>
      <c r="H1416" s="200"/>
      <c r="I1416" s="133"/>
      <c r="J1416" s="8"/>
      <c r="K1416" s="223"/>
      <c r="L1416" s="223"/>
      <c r="M1416" s="223"/>
      <c r="N1416" s="133"/>
      <c r="O1416" s="200"/>
      <c r="P1416" s="200"/>
    </row>
    <row r="1417" spans="1:16" x14ac:dyDescent="0.25">
      <c r="A1417" s="133"/>
      <c r="B1417" s="8"/>
      <c r="C1417" s="8"/>
      <c r="D1417" s="8"/>
      <c r="E1417" s="8"/>
      <c r="F1417" s="8"/>
      <c r="G1417" s="8"/>
      <c r="H1417" s="200"/>
      <c r="I1417" s="133"/>
      <c r="J1417" s="8"/>
      <c r="K1417" s="8"/>
      <c r="L1417" s="8"/>
      <c r="M1417" s="8"/>
      <c r="N1417" s="8"/>
      <c r="O1417" s="8"/>
      <c r="P1417" s="200"/>
    </row>
    <row r="1418" spans="1:16" ht="15.75" thickBot="1" x14ac:dyDescent="0.3">
      <c r="A1418" s="133"/>
      <c r="B1418" s="8"/>
      <c r="C1418" s="8"/>
      <c r="D1418" s="8"/>
      <c r="E1418" s="8"/>
      <c r="F1418" s="133"/>
      <c r="G1418" s="200"/>
      <c r="H1418" s="200"/>
      <c r="I1418" s="133"/>
      <c r="J1418" s="8"/>
      <c r="K1418" s="8"/>
      <c r="L1418" s="8"/>
      <c r="M1418" s="8"/>
      <c r="N1418" s="133"/>
      <c r="O1418" s="200"/>
      <c r="P1418" s="200"/>
    </row>
    <row r="1419" spans="1:16" ht="15.75" thickBot="1" x14ac:dyDescent="0.3">
      <c r="A1419" s="133"/>
      <c r="B1419" s="224" t="s">
        <v>5403</v>
      </c>
      <c r="C1419" s="193" t="s">
        <v>867</v>
      </c>
      <c r="D1419" s="193" t="s">
        <v>6</v>
      </c>
      <c r="E1419" s="193" t="s">
        <v>5439</v>
      </c>
      <c r="F1419" s="193" t="s">
        <v>5405</v>
      </c>
      <c r="G1419" s="225" t="s">
        <v>868</v>
      </c>
      <c r="H1419" s="200"/>
      <c r="I1419" s="133"/>
      <c r="J1419" s="224" t="s">
        <v>5403</v>
      </c>
      <c r="K1419" s="193" t="s">
        <v>867</v>
      </c>
      <c r="L1419" s="193" t="s">
        <v>6</v>
      </c>
      <c r="M1419" s="193" t="s">
        <v>5439</v>
      </c>
      <c r="N1419" s="193" t="s">
        <v>5405</v>
      </c>
      <c r="O1419" s="225" t="s">
        <v>868</v>
      </c>
      <c r="P1419" s="200"/>
    </row>
    <row r="1420" spans="1:16" x14ac:dyDescent="0.25">
      <c r="A1420" s="133"/>
      <c r="B1420" s="195" t="s">
        <v>5440</v>
      </c>
      <c r="C1420" s="226" t="s">
        <v>5402</v>
      </c>
      <c r="D1420" s="226">
        <v>1</v>
      </c>
      <c r="E1420" s="227">
        <f>+H1458</f>
        <v>59292.5</v>
      </c>
      <c r="F1420" s="226">
        <v>0.1</v>
      </c>
      <c r="G1420" s="292">
        <f>+E1420*F1420</f>
        <v>5929.25</v>
      </c>
      <c r="H1420" s="200"/>
      <c r="I1420" s="133"/>
      <c r="J1420" s="195" t="s">
        <v>5440</v>
      </c>
      <c r="K1420" s="226" t="s">
        <v>5402</v>
      </c>
      <c r="L1420" s="226">
        <v>1</v>
      </c>
      <c r="M1420" s="227">
        <f>+P1458</f>
        <v>225515</v>
      </c>
      <c r="N1420" s="226">
        <v>0.1</v>
      </c>
      <c r="O1420" s="292">
        <f>+M1420*N1420</f>
        <v>22551.5</v>
      </c>
      <c r="P1420" s="200"/>
    </row>
    <row r="1421" spans="1:16" x14ac:dyDescent="0.25">
      <c r="A1421" s="133"/>
      <c r="B1421" s="195"/>
      <c r="C1421" s="226"/>
      <c r="D1421" s="226"/>
      <c r="E1421" s="230"/>
      <c r="F1421" s="226"/>
      <c r="G1421" s="229"/>
      <c r="H1421" s="200"/>
      <c r="I1421" s="133"/>
      <c r="J1421" s="195"/>
      <c r="K1421" s="226"/>
      <c r="L1421" s="226"/>
      <c r="M1421" s="230"/>
      <c r="N1421" s="226"/>
      <c r="O1421" s="229"/>
      <c r="P1421" s="200"/>
    </row>
    <row r="1422" spans="1:16" x14ac:dyDescent="0.25">
      <c r="A1422" s="133"/>
      <c r="B1422" s="195"/>
      <c r="C1422" s="226"/>
      <c r="D1422" s="226"/>
      <c r="E1422" s="176"/>
      <c r="F1422" s="226"/>
      <c r="G1422" s="229"/>
      <c r="H1422" s="200"/>
      <c r="I1422" s="133"/>
      <c r="J1422" s="195"/>
      <c r="K1422" s="226"/>
      <c r="L1422" s="226"/>
      <c r="M1422" s="176"/>
      <c r="N1422" s="226"/>
      <c r="O1422" s="229"/>
      <c r="P1422" s="200"/>
    </row>
    <row r="1423" spans="1:16" x14ac:dyDescent="0.25">
      <c r="A1423" s="133"/>
      <c r="B1423" s="195"/>
      <c r="C1423" s="226"/>
      <c r="D1423" s="226"/>
      <c r="E1423" s="171"/>
      <c r="F1423" s="226"/>
      <c r="G1423" s="293"/>
      <c r="H1423" s="200"/>
      <c r="I1423" s="133"/>
      <c r="J1423" s="195"/>
      <c r="K1423" s="226"/>
      <c r="L1423" s="226"/>
      <c r="M1423" s="171"/>
      <c r="N1423" s="226"/>
      <c r="O1423" s="293"/>
      <c r="P1423" s="200"/>
    </row>
    <row r="1424" spans="1:16" x14ac:dyDescent="0.25">
      <c r="A1424" s="133"/>
      <c r="B1424" s="195"/>
      <c r="C1424" s="226"/>
      <c r="D1424" s="232"/>
      <c r="E1424" s="232"/>
      <c r="F1424" s="226"/>
      <c r="G1424" s="229"/>
      <c r="H1424" s="200"/>
      <c r="I1424" s="133"/>
      <c r="J1424" s="195"/>
      <c r="K1424" s="226"/>
      <c r="L1424" s="232"/>
      <c r="M1424" s="232"/>
      <c r="N1424" s="226"/>
      <c r="O1424" s="229"/>
      <c r="P1424" s="200"/>
    </row>
    <row r="1425" spans="1:16" ht="15.75" thickBot="1" x14ac:dyDescent="0.3">
      <c r="A1425" s="133"/>
      <c r="B1425" s="195"/>
      <c r="C1425" s="226"/>
      <c r="D1425" s="232"/>
      <c r="E1425" s="232"/>
      <c r="F1425" s="226"/>
      <c r="G1425" s="229"/>
      <c r="H1425" s="200"/>
      <c r="I1425" s="133"/>
      <c r="J1425" s="195"/>
      <c r="K1425" s="226"/>
      <c r="L1425" s="232"/>
      <c r="M1425" s="232"/>
      <c r="N1425" s="226"/>
      <c r="O1425" s="229"/>
      <c r="P1425" s="200"/>
    </row>
    <row r="1426" spans="1:16" ht="15.75" thickBot="1" x14ac:dyDescent="0.3">
      <c r="A1426" s="133"/>
      <c r="B1426" s="233"/>
      <c r="C1426" s="234"/>
      <c r="D1426" s="234"/>
      <c r="E1426" s="234"/>
      <c r="F1426" s="235"/>
      <c r="G1426" s="236"/>
      <c r="H1426" s="237">
        <f>+SUM(G1420:G1426)</f>
        <v>5929.25</v>
      </c>
      <c r="I1426" s="133"/>
      <c r="J1426" s="233"/>
      <c r="K1426" s="234"/>
      <c r="L1426" s="234"/>
      <c r="M1426" s="234"/>
      <c r="N1426" s="235"/>
      <c r="O1426" s="236"/>
      <c r="P1426" s="237">
        <f>+SUM(O1420:O1426)</f>
        <v>22551.5</v>
      </c>
    </row>
    <row r="1427" spans="1:16" ht="15.75" thickBot="1" x14ac:dyDescent="0.3">
      <c r="A1427" s="133"/>
      <c r="B1427" s="238"/>
      <c r="C1427" s="238"/>
      <c r="D1427" s="238"/>
      <c r="E1427" s="238"/>
      <c r="F1427" s="239"/>
      <c r="G1427" s="240"/>
      <c r="H1427" s="241"/>
      <c r="I1427" s="133"/>
      <c r="J1427" s="238"/>
      <c r="K1427" s="238"/>
      <c r="L1427" s="238"/>
      <c r="M1427" s="238"/>
      <c r="N1427" s="239"/>
      <c r="O1427" s="240"/>
      <c r="P1427" s="241"/>
    </row>
    <row r="1428" spans="1:16" ht="15.75" thickBot="1" x14ac:dyDescent="0.3">
      <c r="A1428" s="133"/>
      <c r="B1428" s="224" t="s">
        <v>5408</v>
      </c>
      <c r="C1428" s="193" t="s">
        <v>867</v>
      </c>
      <c r="D1428" s="193" t="s">
        <v>6</v>
      </c>
      <c r="E1428" s="193" t="s">
        <v>870</v>
      </c>
      <c r="F1428" s="193" t="s">
        <v>5409</v>
      </c>
      <c r="G1428" s="225" t="s">
        <v>868</v>
      </c>
      <c r="H1428" s="200"/>
      <c r="I1428" s="133"/>
      <c r="J1428" s="224" t="s">
        <v>5408</v>
      </c>
      <c r="K1428" s="193" t="s">
        <v>867</v>
      </c>
      <c r="L1428" s="193" t="s">
        <v>6</v>
      </c>
      <c r="M1428" s="193" t="s">
        <v>870</v>
      </c>
      <c r="N1428" s="193" t="s">
        <v>5409</v>
      </c>
      <c r="O1428" s="225" t="s">
        <v>868</v>
      </c>
      <c r="P1428" s="200"/>
    </row>
    <row r="1429" spans="1:16" x14ac:dyDescent="0.25">
      <c r="A1429" s="133"/>
      <c r="B1429" s="295" t="s">
        <v>6190</v>
      </c>
      <c r="C1429" s="202" t="s">
        <v>5424</v>
      </c>
      <c r="D1429" s="226">
        <v>1</v>
      </c>
      <c r="E1429" s="244">
        <v>370000</v>
      </c>
      <c r="F1429" s="169">
        <v>0</v>
      </c>
      <c r="G1429" s="294">
        <f>+D1429*E1429*(1+F1429)</f>
        <v>370000</v>
      </c>
      <c r="H1429" s="200"/>
      <c r="I1429" s="133"/>
      <c r="J1429" s="295" t="s">
        <v>6257</v>
      </c>
      <c r="K1429" s="202" t="s">
        <v>5424</v>
      </c>
      <c r="L1429" s="226">
        <v>1</v>
      </c>
      <c r="M1429" s="244">
        <v>1250000</v>
      </c>
      <c r="N1429" s="169">
        <v>0</v>
      </c>
      <c r="O1429" s="294">
        <f>+L1429*M1429*(1+N1429)</f>
        <v>1250000</v>
      </c>
      <c r="P1429" s="200"/>
    </row>
    <row r="1430" spans="1:16" x14ac:dyDescent="0.25">
      <c r="A1430" s="133"/>
      <c r="B1430" s="260" t="s">
        <v>6254</v>
      </c>
      <c r="C1430" s="202" t="s">
        <v>5424</v>
      </c>
      <c r="D1430" s="202">
        <v>1</v>
      </c>
      <c r="E1430" s="257">
        <f>+H1406</f>
        <v>116998</v>
      </c>
      <c r="F1430" s="169"/>
      <c r="G1430" s="294">
        <f>+D1430*E1430*(1+F1430)</f>
        <v>116998</v>
      </c>
      <c r="H1430" s="200"/>
      <c r="I1430" s="133"/>
      <c r="J1430" s="260" t="s">
        <v>6254</v>
      </c>
      <c r="K1430" s="202" t="s">
        <v>5424</v>
      </c>
      <c r="L1430" s="202">
        <v>1</v>
      </c>
      <c r="M1430" s="257">
        <v>350000</v>
      </c>
      <c r="N1430" s="169"/>
      <c r="O1430" s="294">
        <f>+L1430*M1430*(1+N1430)</f>
        <v>350000</v>
      </c>
      <c r="P1430" s="200"/>
    </row>
    <row r="1431" spans="1:16" x14ac:dyDescent="0.25">
      <c r="A1431" s="133"/>
      <c r="B1431" s="260" t="s">
        <v>6251</v>
      </c>
      <c r="C1431" s="226" t="s">
        <v>5424</v>
      </c>
      <c r="D1431" s="226">
        <v>8</v>
      </c>
      <c r="E1431" s="244">
        <v>500</v>
      </c>
      <c r="F1431" s="169">
        <v>0.1</v>
      </c>
      <c r="G1431" s="294">
        <f>+D1431*E1431*(1+F1431)</f>
        <v>4400</v>
      </c>
      <c r="H1431" s="200"/>
      <c r="I1431" s="133"/>
      <c r="J1431" s="260" t="s">
        <v>6251</v>
      </c>
      <c r="K1431" s="226" t="s">
        <v>5424</v>
      </c>
      <c r="L1431" s="226">
        <v>8</v>
      </c>
      <c r="M1431" s="244">
        <v>500</v>
      </c>
      <c r="N1431" s="169">
        <v>0.1</v>
      </c>
      <c r="O1431" s="294">
        <f>+L1431*M1431*(1+N1431)</f>
        <v>4400</v>
      </c>
      <c r="P1431" s="200"/>
    </row>
    <row r="1432" spans="1:16" x14ac:dyDescent="0.25">
      <c r="A1432" s="133"/>
      <c r="B1432" s="260" t="s">
        <v>6255</v>
      </c>
      <c r="C1432" s="226" t="s">
        <v>5424</v>
      </c>
      <c r="D1432" s="226">
        <v>1</v>
      </c>
      <c r="E1432" s="244">
        <v>45000</v>
      </c>
      <c r="F1432" s="169"/>
      <c r="G1432" s="294">
        <f>+D1432*E1432*(1+F1432)</f>
        <v>45000</v>
      </c>
      <c r="H1432" s="200"/>
      <c r="I1432" s="133"/>
      <c r="J1432" s="260" t="s">
        <v>6255</v>
      </c>
      <c r="K1432" s="226" t="s">
        <v>5424</v>
      </c>
      <c r="L1432" s="226">
        <v>2</v>
      </c>
      <c r="M1432" s="244">
        <v>45000</v>
      </c>
      <c r="N1432" s="169"/>
      <c r="O1432" s="294">
        <f>+L1432*M1432*(1+N1432)</f>
        <v>90000</v>
      </c>
      <c r="P1432" s="200"/>
    </row>
    <row r="1433" spans="1:16" x14ac:dyDescent="0.25">
      <c r="A1433" s="133"/>
      <c r="B1433" s="195" t="s">
        <v>6258</v>
      </c>
      <c r="C1433" s="226" t="s">
        <v>5424</v>
      </c>
      <c r="D1433" s="226">
        <v>1</v>
      </c>
      <c r="E1433" s="171">
        <v>50000</v>
      </c>
      <c r="F1433" s="169">
        <v>0.02</v>
      </c>
      <c r="G1433" s="178">
        <f>+D1433*E1433*(1+F1433)</f>
        <v>51000</v>
      </c>
      <c r="H1433" s="200"/>
      <c r="I1433" s="133"/>
      <c r="J1433" s="195" t="s">
        <v>6258</v>
      </c>
      <c r="K1433" s="226" t="s">
        <v>5424</v>
      </c>
      <c r="L1433" s="226">
        <v>1</v>
      </c>
      <c r="M1433" s="171">
        <v>250000</v>
      </c>
      <c r="N1433" s="169">
        <v>0.02</v>
      </c>
      <c r="O1433" s="178">
        <f>+L1433*M1433*(1+N1433)</f>
        <v>255000</v>
      </c>
      <c r="P1433" s="200"/>
    </row>
    <row r="1434" spans="1:16" x14ac:dyDescent="0.25">
      <c r="A1434" s="133"/>
      <c r="B1434" s="194"/>
      <c r="C1434" s="202"/>
      <c r="D1434" s="202"/>
      <c r="E1434" s="171"/>
      <c r="F1434" s="169"/>
      <c r="G1434" s="178"/>
      <c r="H1434" s="200"/>
      <c r="I1434" s="133"/>
      <c r="J1434" s="194"/>
      <c r="K1434" s="202"/>
      <c r="L1434" s="202"/>
      <c r="M1434" s="171"/>
      <c r="N1434" s="169"/>
      <c r="O1434" s="178"/>
      <c r="P1434" s="200"/>
    </row>
    <row r="1435" spans="1:16" x14ac:dyDescent="0.25">
      <c r="A1435" s="133"/>
      <c r="B1435" s="195"/>
      <c r="C1435" s="226"/>
      <c r="D1435" s="226"/>
      <c r="E1435" s="171"/>
      <c r="F1435" s="169"/>
      <c r="G1435" s="178"/>
      <c r="H1435" s="200"/>
      <c r="I1435" s="133"/>
      <c r="J1435" s="195"/>
      <c r="K1435" s="226"/>
      <c r="L1435" s="226"/>
      <c r="M1435" s="171"/>
      <c r="N1435" s="169"/>
      <c r="O1435" s="178"/>
      <c r="P1435" s="200"/>
    </row>
    <row r="1436" spans="1:16" x14ac:dyDescent="0.25">
      <c r="A1436" s="133"/>
      <c r="B1436" s="195"/>
      <c r="C1436" s="226"/>
      <c r="D1436" s="226"/>
      <c r="E1436" s="171"/>
      <c r="F1436" s="169"/>
      <c r="G1436" s="178"/>
      <c r="H1436" s="200"/>
      <c r="I1436" s="133"/>
      <c r="J1436" s="195"/>
      <c r="K1436" s="226"/>
      <c r="L1436" s="226"/>
      <c r="M1436" s="171"/>
      <c r="N1436" s="169"/>
      <c r="O1436" s="178"/>
      <c r="P1436" s="200"/>
    </row>
    <row r="1437" spans="1:16" x14ac:dyDescent="0.25">
      <c r="A1437" s="133"/>
      <c r="B1437" s="195"/>
      <c r="C1437" s="232"/>
      <c r="D1437" s="232"/>
      <c r="E1437" s="232"/>
      <c r="F1437" s="226"/>
      <c r="G1437" s="229"/>
      <c r="H1437" s="200"/>
      <c r="I1437" s="133"/>
      <c r="J1437" s="195"/>
      <c r="K1437" s="232"/>
      <c r="L1437" s="232"/>
      <c r="M1437" s="232"/>
      <c r="N1437" s="226"/>
      <c r="O1437" s="229"/>
      <c r="P1437" s="200"/>
    </row>
    <row r="1438" spans="1:16" x14ac:dyDescent="0.25">
      <c r="A1438" s="133"/>
      <c r="B1438" s="195"/>
      <c r="C1438" s="232"/>
      <c r="D1438" s="232"/>
      <c r="E1438" s="232"/>
      <c r="F1438" s="226"/>
      <c r="G1438" s="229"/>
      <c r="H1438" s="200"/>
      <c r="I1438" s="133"/>
      <c r="J1438" s="195"/>
      <c r="K1438" s="232"/>
      <c r="L1438" s="232"/>
      <c r="M1438" s="232"/>
      <c r="N1438" s="226"/>
      <c r="O1438" s="229"/>
      <c r="P1438" s="200"/>
    </row>
    <row r="1439" spans="1:16" x14ac:dyDescent="0.25">
      <c r="A1439" s="133"/>
      <c r="B1439" s="195"/>
      <c r="C1439" s="232"/>
      <c r="D1439" s="232"/>
      <c r="E1439" s="232"/>
      <c r="F1439" s="226"/>
      <c r="G1439" s="229"/>
      <c r="H1439" s="200"/>
      <c r="I1439" s="133"/>
      <c r="J1439" s="195"/>
      <c r="K1439" s="232"/>
      <c r="L1439" s="232"/>
      <c r="M1439" s="232"/>
      <c r="N1439" s="226"/>
      <c r="O1439" s="229"/>
      <c r="P1439" s="200"/>
    </row>
    <row r="1440" spans="1:16" ht="15.75" thickBot="1" x14ac:dyDescent="0.3">
      <c r="A1440" s="133"/>
      <c r="B1440" s="195"/>
      <c r="C1440" s="232"/>
      <c r="D1440" s="232"/>
      <c r="E1440" s="232"/>
      <c r="F1440" s="226"/>
      <c r="G1440" s="229"/>
      <c r="H1440" s="200"/>
      <c r="I1440" s="133"/>
      <c r="J1440" s="195"/>
      <c r="K1440" s="232"/>
      <c r="L1440" s="232"/>
      <c r="M1440" s="232"/>
      <c r="N1440" s="226"/>
      <c r="O1440" s="229"/>
      <c r="P1440" s="200"/>
    </row>
    <row r="1441" spans="1:16" ht="15.75" thickBot="1" x14ac:dyDescent="0.3">
      <c r="A1441" s="133"/>
      <c r="B1441" s="233"/>
      <c r="C1441" s="234"/>
      <c r="D1441" s="234"/>
      <c r="E1441" s="234"/>
      <c r="F1441" s="235"/>
      <c r="G1441" s="236"/>
      <c r="H1441" s="256">
        <f>+SUM(G1429:G1441)</f>
        <v>587398</v>
      </c>
      <c r="I1441" s="133"/>
      <c r="J1441" s="233"/>
      <c r="K1441" s="234"/>
      <c r="L1441" s="234"/>
      <c r="M1441" s="234"/>
      <c r="N1441" s="235"/>
      <c r="O1441" s="236"/>
      <c r="P1441" s="256">
        <f>+SUM(O1429:O1441)</f>
        <v>1949400</v>
      </c>
    </row>
    <row r="1442" spans="1:16" ht="15.75" thickBot="1" x14ac:dyDescent="0.3">
      <c r="A1442" s="133"/>
      <c r="B1442" s="238"/>
      <c r="C1442" s="238"/>
      <c r="D1442" s="238"/>
      <c r="E1442" s="238"/>
      <c r="F1442" s="239"/>
      <c r="G1442" s="240"/>
      <c r="H1442" s="241"/>
      <c r="I1442" s="133"/>
      <c r="J1442" s="238"/>
      <c r="K1442" s="238"/>
      <c r="L1442" s="238"/>
      <c r="M1442" s="238"/>
      <c r="N1442" s="239"/>
      <c r="O1442" s="240"/>
      <c r="P1442" s="241"/>
    </row>
    <row r="1443" spans="1:16" ht="15.75" thickBot="1" x14ac:dyDescent="0.3">
      <c r="A1443" s="133"/>
      <c r="B1443" s="224" t="s">
        <v>5410</v>
      </c>
      <c r="C1443" s="193" t="s">
        <v>867</v>
      </c>
      <c r="D1443" s="193" t="s">
        <v>6</v>
      </c>
      <c r="E1443" s="193" t="s">
        <v>870</v>
      </c>
      <c r="F1443" s="193" t="s">
        <v>5411</v>
      </c>
      <c r="G1443" s="225" t="s">
        <v>868</v>
      </c>
      <c r="H1443" s="200"/>
      <c r="I1443" s="133"/>
      <c r="J1443" s="224" t="s">
        <v>5410</v>
      </c>
      <c r="K1443" s="193" t="s">
        <v>867</v>
      </c>
      <c r="L1443" s="193" t="s">
        <v>6</v>
      </c>
      <c r="M1443" s="193" t="s">
        <v>870</v>
      </c>
      <c r="N1443" s="193" t="s">
        <v>5411</v>
      </c>
      <c r="O1443" s="225" t="s">
        <v>868</v>
      </c>
      <c r="P1443" s="200"/>
    </row>
    <row r="1444" spans="1:16" x14ac:dyDescent="0.25">
      <c r="A1444" s="133"/>
      <c r="B1444" s="245"/>
      <c r="C1444" s="202"/>
      <c r="D1444" s="202"/>
      <c r="E1444" s="175"/>
      <c r="F1444" s="202"/>
      <c r="G1444" s="203"/>
      <c r="H1444" s="246"/>
      <c r="I1444" s="133"/>
      <c r="J1444" s="245"/>
      <c r="K1444" s="202"/>
      <c r="L1444" s="202"/>
      <c r="M1444" s="175"/>
      <c r="N1444" s="202"/>
      <c r="O1444" s="203"/>
      <c r="P1444" s="246"/>
    </row>
    <row r="1445" spans="1:16" x14ac:dyDescent="0.25">
      <c r="A1445" s="133"/>
      <c r="B1445" s="247"/>
      <c r="C1445" s="248"/>
      <c r="D1445" s="248"/>
      <c r="E1445" s="248"/>
      <c r="F1445" s="202"/>
      <c r="G1445" s="178"/>
      <c r="H1445" s="200"/>
      <c r="I1445" s="133"/>
      <c r="J1445" s="247"/>
      <c r="K1445" s="248"/>
      <c r="L1445" s="248"/>
      <c r="M1445" s="248"/>
      <c r="N1445" s="202"/>
      <c r="O1445" s="178"/>
      <c r="P1445" s="200"/>
    </row>
    <row r="1446" spans="1:16" x14ac:dyDescent="0.25">
      <c r="A1446" s="133"/>
      <c r="B1446" s="247"/>
      <c r="C1446" s="232"/>
      <c r="D1446" s="232"/>
      <c r="E1446" s="232"/>
      <c r="F1446" s="226"/>
      <c r="G1446" s="229"/>
      <c r="H1446" s="200"/>
      <c r="I1446" s="133"/>
      <c r="J1446" s="247"/>
      <c r="K1446" s="232"/>
      <c r="L1446" s="232"/>
      <c r="M1446" s="232"/>
      <c r="N1446" s="226"/>
      <c r="O1446" s="229"/>
      <c r="P1446" s="200"/>
    </row>
    <row r="1447" spans="1:16" x14ac:dyDescent="0.25">
      <c r="A1447" s="133"/>
      <c r="B1447" s="194"/>
      <c r="C1447" s="232"/>
      <c r="D1447" s="232"/>
      <c r="E1447" s="232"/>
      <c r="F1447" s="226"/>
      <c r="G1447" s="229"/>
      <c r="H1447" s="200"/>
      <c r="I1447" s="133"/>
      <c r="J1447" s="194"/>
      <c r="K1447" s="232"/>
      <c r="L1447" s="232"/>
      <c r="M1447" s="232"/>
      <c r="N1447" s="226"/>
      <c r="O1447" s="229"/>
      <c r="P1447" s="200"/>
    </row>
    <row r="1448" spans="1:16" ht="15.75" thickBot="1" x14ac:dyDescent="0.3">
      <c r="A1448" s="133"/>
      <c r="B1448" s="195"/>
      <c r="C1448" s="232"/>
      <c r="D1448" s="232"/>
      <c r="E1448" s="232"/>
      <c r="F1448" s="226"/>
      <c r="G1448" s="229"/>
      <c r="H1448" s="200"/>
      <c r="I1448" s="133"/>
      <c r="J1448" s="195"/>
      <c r="K1448" s="232"/>
      <c r="L1448" s="232"/>
      <c r="M1448" s="232"/>
      <c r="N1448" s="226"/>
      <c r="O1448" s="229"/>
      <c r="P1448" s="200"/>
    </row>
    <row r="1449" spans="1:16" ht="15.75" thickBot="1" x14ac:dyDescent="0.3">
      <c r="A1449" s="133"/>
      <c r="B1449" s="233"/>
      <c r="C1449" s="234"/>
      <c r="D1449" s="234"/>
      <c r="E1449" s="234"/>
      <c r="F1449" s="235"/>
      <c r="G1449" s="236"/>
      <c r="H1449" s="237">
        <f>+SUM(G1444:G1449)</f>
        <v>0</v>
      </c>
      <c r="I1449" s="133"/>
      <c r="J1449" s="233"/>
      <c r="K1449" s="234"/>
      <c r="L1449" s="234"/>
      <c r="M1449" s="234"/>
      <c r="N1449" s="235"/>
      <c r="O1449" s="236"/>
      <c r="P1449" s="237">
        <f>+SUM(O1444:O1449)</f>
        <v>0</v>
      </c>
    </row>
    <row r="1450" spans="1:16" ht="15.75" thickBot="1" x14ac:dyDescent="0.3">
      <c r="A1450" s="133"/>
      <c r="B1450" s="238"/>
      <c r="C1450" s="238"/>
      <c r="D1450" s="238"/>
      <c r="E1450" s="238"/>
      <c r="F1450" s="249"/>
      <c r="G1450" s="250"/>
      <c r="H1450" s="241"/>
      <c r="I1450" s="133"/>
      <c r="J1450" s="238"/>
      <c r="K1450" s="238"/>
      <c r="L1450" s="238"/>
      <c r="M1450" s="238"/>
      <c r="N1450" s="249"/>
      <c r="O1450" s="250"/>
      <c r="P1450" s="241"/>
    </row>
    <row r="1451" spans="1:16" ht="15.75" thickBot="1" x14ac:dyDescent="0.3">
      <c r="A1451" s="133"/>
      <c r="B1451" s="224" t="s">
        <v>5412</v>
      </c>
      <c r="C1451" s="193" t="s">
        <v>5420</v>
      </c>
      <c r="D1451" s="193" t="s">
        <v>5421</v>
      </c>
      <c r="E1451" s="193" t="s">
        <v>5413</v>
      </c>
      <c r="F1451" s="193" t="s">
        <v>5405</v>
      </c>
      <c r="G1451" s="225" t="s">
        <v>868</v>
      </c>
      <c r="H1451" s="200"/>
      <c r="I1451" s="133"/>
      <c r="J1451" s="224" t="s">
        <v>5412</v>
      </c>
      <c r="K1451" s="193" t="s">
        <v>5420</v>
      </c>
      <c r="L1451" s="193" t="s">
        <v>5421</v>
      </c>
      <c r="M1451" s="193" t="s">
        <v>5413</v>
      </c>
      <c r="N1451" s="193" t="s">
        <v>5405</v>
      </c>
      <c r="O1451" s="225" t="s">
        <v>868</v>
      </c>
      <c r="P1451" s="200"/>
    </row>
    <row r="1452" spans="1:16" x14ac:dyDescent="0.25">
      <c r="A1452" s="133"/>
      <c r="B1452" s="194" t="s">
        <v>5948</v>
      </c>
      <c r="C1452" s="345">
        <v>70000</v>
      </c>
      <c r="D1452" s="176">
        <f>+C1452*0.85</f>
        <v>59500</v>
      </c>
      <c r="E1452" s="176">
        <f>+C1452+D1452</f>
        <v>129500</v>
      </c>
      <c r="F1452" s="204">
        <v>40</v>
      </c>
      <c r="G1452" s="178">
        <f>+E1452/F1452</f>
        <v>3237.5</v>
      </c>
      <c r="H1452" s="200"/>
      <c r="I1452" s="133"/>
      <c r="J1452" s="194" t="s">
        <v>5948</v>
      </c>
      <c r="K1452" s="345">
        <v>70000</v>
      </c>
      <c r="L1452" s="176">
        <f>+K1452*0.85</f>
        <v>59500</v>
      </c>
      <c r="M1452" s="176">
        <f>+K1452+L1452</f>
        <v>129500</v>
      </c>
      <c r="N1452" s="204">
        <v>100</v>
      </c>
      <c r="O1452" s="178">
        <f>+M1452/N1452</f>
        <v>1295</v>
      </c>
      <c r="P1452" s="200"/>
    </row>
    <row r="1453" spans="1:16" x14ac:dyDescent="0.25">
      <c r="A1453" s="133"/>
      <c r="B1453" s="194" t="s">
        <v>5651</v>
      </c>
      <c r="C1453" s="345">
        <v>40000</v>
      </c>
      <c r="D1453" s="176">
        <f>+C1453*0.85</f>
        <v>34000</v>
      </c>
      <c r="E1453" s="176">
        <f>+C1453+D1453</f>
        <v>74000</v>
      </c>
      <c r="F1453" s="202">
        <v>2</v>
      </c>
      <c r="G1453" s="178">
        <f>+E1453/F1453</f>
        <v>37000</v>
      </c>
      <c r="H1453" s="200"/>
      <c r="I1453" s="133"/>
      <c r="J1453" s="194" t="s">
        <v>5651</v>
      </c>
      <c r="K1453" s="345">
        <v>40000</v>
      </c>
      <c r="L1453" s="176">
        <f>+K1453*0.85</f>
        <v>34000</v>
      </c>
      <c r="M1453" s="176">
        <f>+K1453+L1453</f>
        <v>74000</v>
      </c>
      <c r="N1453" s="202">
        <v>0.5</v>
      </c>
      <c r="O1453" s="178">
        <f>+M1453/N1453</f>
        <v>148000</v>
      </c>
      <c r="P1453" s="200"/>
    </row>
    <row r="1454" spans="1:16" x14ac:dyDescent="0.25">
      <c r="A1454" s="133"/>
      <c r="B1454" s="195" t="s">
        <v>5635</v>
      </c>
      <c r="C1454" s="345">
        <v>20600</v>
      </c>
      <c r="D1454" s="176">
        <f>+C1454*0.85</f>
        <v>17510</v>
      </c>
      <c r="E1454" s="176">
        <f>+C1454+D1454</f>
        <v>38110</v>
      </c>
      <c r="F1454" s="226">
        <v>2</v>
      </c>
      <c r="G1454" s="178">
        <f>+E1454/F1454</f>
        <v>19055</v>
      </c>
      <c r="H1454" s="200"/>
      <c r="I1454" s="133"/>
      <c r="J1454" s="195" t="s">
        <v>5635</v>
      </c>
      <c r="K1454" s="345">
        <v>20600</v>
      </c>
      <c r="L1454" s="176">
        <f>+K1454*0.85</f>
        <v>17510</v>
      </c>
      <c r="M1454" s="176">
        <f>+K1454+L1454</f>
        <v>38110</v>
      </c>
      <c r="N1454" s="226">
        <v>0.5</v>
      </c>
      <c r="O1454" s="178">
        <f>+M1454/N1454</f>
        <v>76220</v>
      </c>
      <c r="P1454" s="200"/>
    </row>
    <row r="1455" spans="1:16" x14ac:dyDescent="0.25">
      <c r="A1455" s="133"/>
      <c r="B1455" s="195"/>
      <c r="C1455" s="171"/>
      <c r="D1455" s="176"/>
      <c r="E1455" s="176"/>
      <c r="F1455" s="226"/>
      <c r="G1455" s="178"/>
      <c r="H1455" s="200"/>
      <c r="I1455" s="133"/>
      <c r="J1455" s="195"/>
      <c r="K1455" s="171"/>
      <c r="L1455" s="176"/>
      <c r="M1455" s="176"/>
      <c r="N1455" s="226"/>
      <c r="O1455" s="178"/>
      <c r="P1455" s="200"/>
    </row>
    <row r="1456" spans="1:16" x14ac:dyDescent="0.25">
      <c r="A1456" s="133"/>
      <c r="B1456" s="195"/>
      <c r="C1456" s="232"/>
      <c r="D1456" s="232"/>
      <c r="E1456" s="232"/>
      <c r="F1456" s="226"/>
      <c r="G1456" s="229"/>
      <c r="H1456" s="200"/>
      <c r="I1456" s="133"/>
      <c r="J1456" s="195"/>
      <c r="K1456" s="232"/>
      <c r="L1456" s="232"/>
      <c r="M1456" s="232"/>
      <c r="N1456" s="226"/>
      <c r="O1456" s="229"/>
      <c r="P1456" s="200"/>
    </row>
    <row r="1457" spans="1:16" ht="15.75" thickBot="1" x14ac:dyDescent="0.3">
      <c r="A1457" s="133"/>
      <c r="B1457" s="195"/>
      <c r="C1457" s="232"/>
      <c r="D1457" s="232"/>
      <c r="E1457" s="232"/>
      <c r="F1457" s="226"/>
      <c r="G1457" s="229"/>
      <c r="H1457" s="200"/>
      <c r="I1457" s="133"/>
      <c r="J1457" s="195"/>
      <c r="K1457" s="232"/>
      <c r="L1457" s="232"/>
      <c r="M1457" s="232"/>
      <c r="N1457" s="226"/>
      <c r="O1457" s="229"/>
      <c r="P1457" s="200"/>
    </row>
    <row r="1458" spans="1:16" ht="15.75" thickBot="1" x14ac:dyDescent="0.3">
      <c r="A1458" s="133"/>
      <c r="B1458" s="251"/>
      <c r="C1458" s="252"/>
      <c r="D1458" s="252"/>
      <c r="E1458" s="252"/>
      <c r="F1458" s="253"/>
      <c r="G1458" s="254"/>
      <c r="H1458" s="256">
        <f>+SUM(G1452:G1458)</f>
        <v>59292.5</v>
      </c>
      <c r="I1458" s="133"/>
      <c r="J1458" s="251"/>
      <c r="K1458" s="252"/>
      <c r="L1458" s="252"/>
      <c r="M1458" s="252"/>
      <c r="N1458" s="253"/>
      <c r="O1458" s="254"/>
      <c r="P1458" s="256">
        <f>+SUM(O1452:O1458)</f>
        <v>225515</v>
      </c>
    </row>
    <row r="1459" spans="1:16" ht="15.75" thickBot="1" x14ac:dyDescent="0.3">
      <c r="A1459" s="133"/>
      <c r="B1459" s="8"/>
      <c r="C1459" s="8"/>
      <c r="D1459" s="8"/>
      <c r="E1459" s="8"/>
      <c r="F1459" s="133"/>
      <c r="G1459" s="200"/>
      <c r="H1459" s="200"/>
      <c r="I1459" s="133"/>
      <c r="J1459" s="8"/>
      <c r="K1459" s="8"/>
      <c r="L1459" s="8"/>
      <c r="M1459" s="8"/>
      <c r="N1459" s="133"/>
      <c r="O1459" s="200"/>
      <c r="P1459" s="200"/>
    </row>
    <row r="1460" spans="1:16" ht="15.75" thickBot="1" x14ac:dyDescent="0.3">
      <c r="A1460" s="133"/>
      <c r="B1460" s="8"/>
      <c r="C1460" s="8"/>
      <c r="D1460" s="8"/>
      <c r="E1460" s="223" t="s">
        <v>5415</v>
      </c>
      <c r="F1460" s="133"/>
      <c r="G1460" s="200"/>
      <c r="H1460" s="256">
        <f>ROUND(+H1458+H1449+H1441+H1426,0)</f>
        <v>652620</v>
      </c>
      <c r="I1460" s="133"/>
      <c r="J1460" s="8"/>
      <c r="K1460" s="8"/>
      <c r="L1460" s="8"/>
      <c r="M1460" s="223" t="s">
        <v>5415</v>
      </c>
      <c r="N1460" s="133"/>
      <c r="O1460" s="200"/>
      <c r="P1460" s="256">
        <f>ROUND(+P1458+P1449+P1441+P1426,0)</f>
        <v>2197467</v>
      </c>
    </row>
    <row r="1465" spans="1:16" ht="18.75" x14ac:dyDescent="0.25">
      <c r="A1465" s="133"/>
      <c r="B1465" s="2506" t="s">
        <v>5400</v>
      </c>
      <c r="C1465" s="2506"/>
      <c r="D1465" s="2506"/>
      <c r="E1465" s="2506"/>
      <c r="F1465" s="2506"/>
      <c r="G1465" s="2506"/>
      <c r="H1465" s="8"/>
    </row>
    <row r="1466" spans="1:16" x14ac:dyDescent="0.25">
      <c r="A1466" s="133"/>
      <c r="B1466" s="8"/>
      <c r="C1466" s="8"/>
      <c r="D1466" s="8"/>
      <c r="E1466" s="8"/>
      <c r="F1466" s="133"/>
      <c r="G1466" s="200"/>
      <c r="H1466" s="200"/>
    </row>
    <row r="1467" spans="1:16" x14ac:dyDescent="0.25">
      <c r="A1467" s="133"/>
      <c r="B1467" s="8"/>
      <c r="C1467" s="8"/>
      <c r="D1467" s="8"/>
      <c r="E1467" s="8"/>
      <c r="F1467" s="133"/>
      <c r="G1467" s="200"/>
      <c r="H1467" s="200"/>
    </row>
    <row r="1468" spans="1:16" x14ac:dyDescent="0.25">
      <c r="A1468" s="133"/>
      <c r="B1468" s="8"/>
      <c r="C1468" s="8"/>
      <c r="D1468" s="8"/>
      <c r="E1468" s="8"/>
      <c r="F1468" s="133"/>
      <c r="G1468" s="200"/>
      <c r="H1468" s="200"/>
    </row>
    <row r="1469" spans="1:16" x14ac:dyDescent="0.25">
      <c r="A1469" s="220" t="s">
        <v>5482</v>
      </c>
      <c r="B1469" s="138" t="s">
        <v>5617</v>
      </c>
      <c r="C1469" s="2449" t="s">
        <v>5618</v>
      </c>
      <c r="D1469" s="2449"/>
      <c r="E1469" s="2449"/>
      <c r="F1469" s="220" t="s">
        <v>867</v>
      </c>
      <c r="G1469" s="222" t="s">
        <v>5418</v>
      </c>
      <c r="H1469" s="200"/>
    </row>
    <row r="1470" spans="1:16" x14ac:dyDescent="0.25">
      <c r="A1470" s="133"/>
      <c r="B1470" s="8"/>
      <c r="C1470" s="223"/>
      <c r="D1470" s="223"/>
      <c r="E1470" s="223"/>
      <c r="F1470" s="133"/>
      <c r="G1470" s="200"/>
      <c r="H1470" s="200"/>
    </row>
    <row r="1471" spans="1:16" x14ac:dyDescent="0.25">
      <c r="A1471" s="133"/>
      <c r="B1471" s="8"/>
      <c r="C1471" s="8"/>
      <c r="D1471" s="8"/>
      <c r="E1471" s="8"/>
      <c r="F1471" s="8"/>
      <c r="G1471" s="8"/>
      <c r="H1471" s="200"/>
    </row>
    <row r="1472" spans="1:16" ht="15.75" thickBot="1" x14ac:dyDescent="0.3">
      <c r="A1472" s="133"/>
      <c r="B1472" s="8"/>
      <c r="C1472" s="8"/>
      <c r="D1472" s="8"/>
      <c r="E1472" s="8"/>
      <c r="F1472" s="133"/>
      <c r="G1472" s="200"/>
      <c r="H1472" s="200"/>
    </row>
    <row r="1473" spans="1:8" ht="15.75" thickBot="1" x14ac:dyDescent="0.3">
      <c r="A1473" s="133"/>
      <c r="B1473" s="224" t="s">
        <v>5403</v>
      </c>
      <c r="C1473" s="193" t="s">
        <v>867</v>
      </c>
      <c r="D1473" s="193" t="s">
        <v>6</v>
      </c>
      <c r="E1473" s="193" t="s">
        <v>5439</v>
      </c>
      <c r="F1473" s="193" t="s">
        <v>5405</v>
      </c>
      <c r="G1473" s="225" t="s">
        <v>868</v>
      </c>
      <c r="H1473" s="200"/>
    </row>
    <row r="1474" spans="1:8" x14ac:dyDescent="0.25">
      <c r="A1474" s="133"/>
      <c r="B1474" s="195" t="s">
        <v>5440</v>
      </c>
      <c r="C1474" s="226"/>
      <c r="D1474" s="226"/>
      <c r="E1474" s="227">
        <f>+H1512</f>
        <v>19116.666666666668</v>
      </c>
      <c r="F1474" s="226">
        <v>0.05</v>
      </c>
      <c r="G1474" s="292">
        <f>+E1474*F1474</f>
        <v>955.83333333333348</v>
      </c>
      <c r="H1474" s="200"/>
    </row>
    <row r="1475" spans="1:8" x14ac:dyDescent="0.25">
      <c r="A1475" s="133"/>
      <c r="B1475" s="195"/>
      <c r="C1475" s="226"/>
      <c r="D1475" s="226"/>
      <c r="E1475" s="230"/>
      <c r="F1475" s="226"/>
      <c r="G1475" s="229"/>
      <c r="H1475" s="200"/>
    </row>
    <row r="1476" spans="1:8" x14ac:dyDescent="0.25">
      <c r="A1476" s="133"/>
      <c r="B1476" s="195"/>
      <c r="C1476" s="226"/>
      <c r="D1476" s="226"/>
      <c r="E1476" s="176"/>
      <c r="F1476" s="226"/>
      <c r="G1476" s="229"/>
      <c r="H1476" s="200"/>
    </row>
    <row r="1477" spans="1:8" x14ac:dyDescent="0.25">
      <c r="A1477" s="133"/>
      <c r="B1477" s="195"/>
      <c r="C1477" s="226"/>
      <c r="D1477" s="226"/>
      <c r="E1477" s="171"/>
      <c r="F1477" s="226"/>
      <c r="G1477" s="293"/>
      <c r="H1477" s="200"/>
    </row>
    <row r="1478" spans="1:8" x14ac:dyDescent="0.25">
      <c r="A1478" s="133"/>
      <c r="B1478" s="195"/>
      <c r="C1478" s="226"/>
      <c r="D1478" s="232"/>
      <c r="E1478" s="232"/>
      <c r="F1478" s="226"/>
      <c r="G1478" s="229"/>
      <c r="H1478" s="200"/>
    </row>
    <row r="1479" spans="1:8" ht="15.75" thickBot="1" x14ac:dyDescent="0.3">
      <c r="A1479" s="133"/>
      <c r="B1479" s="195"/>
      <c r="C1479" s="226"/>
      <c r="D1479" s="232"/>
      <c r="E1479" s="232"/>
      <c r="F1479" s="226"/>
      <c r="G1479" s="229"/>
      <c r="H1479" s="200"/>
    </row>
    <row r="1480" spans="1:8" ht="15.75" thickBot="1" x14ac:dyDescent="0.3">
      <c r="A1480" s="133"/>
      <c r="B1480" s="233"/>
      <c r="C1480" s="234"/>
      <c r="D1480" s="234"/>
      <c r="E1480" s="234"/>
      <c r="F1480" s="235"/>
      <c r="G1480" s="236"/>
      <c r="H1480" s="237">
        <f>+SUM(G1474:G1480)</f>
        <v>955.83333333333348</v>
      </c>
    </row>
    <row r="1481" spans="1:8" ht="15.75" thickBot="1" x14ac:dyDescent="0.3">
      <c r="A1481" s="133"/>
      <c r="B1481" s="238"/>
      <c r="C1481" s="238"/>
      <c r="D1481" s="238"/>
      <c r="E1481" s="238"/>
      <c r="F1481" s="239"/>
      <c r="G1481" s="240"/>
      <c r="H1481" s="241"/>
    </row>
    <row r="1482" spans="1:8" ht="15.75" thickBot="1" x14ac:dyDescent="0.3">
      <c r="A1482" s="133"/>
      <c r="B1482" s="224" t="s">
        <v>5408</v>
      </c>
      <c r="C1482" s="193" t="s">
        <v>867</v>
      </c>
      <c r="D1482" s="193" t="s">
        <v>6</v>
      </c>
      <c r="E1482" s="193" t="s">
        <v>870</v>
      </c>
      <c r="F1482" s="193" t="s">
        <v>5409</v>
      </c>
      <c r="G1482" s="225" t="s">
        <v>868</v>
      </c>
      <c r="H1482" s="200"/>
    </row>
    <row r="1483" spans="1:8" x14ac:dyDescent="0.25">
      <c r="A1483" s="133"/>
      <c r="B1483" s="258" t="s">
        <v>6192</v>
      </c>
      <c r="C1483" s="202" t="s">
        <v>5556</v>
      </c>
      <c r="D1483" s="226">
        <v>1</v>
      </c>
      <c r="E1483" s="244">
        <v>150000</v>
      </c>
      <c r="F1483" s="169">
        <v>0.05</v>
      </c>
      <c r="G1483" s="294">
        <f>+D1483*E1483*(1+F1483)</f>
        <v>157500</v>
      </c>
      <c r="H1483" s="200"/>
    </row>
    <row r="1484" spans="1:8" x14ac:dyDescent="0.25">
      <c r="A1484" s="133"/>
      <c r="B1484" s="260" t="s">
        <v>5619</v>
      </c>
      <c r="C1484" s="202" t="s">
        <v>5556</v>
      </c>
      <c r="D1484" s="226">
        <v>1</v>
      </c>
      <c r="E1484" s="257">
        <v>28000</v>
      </c>
      <c r="F1484" s="169">
        <v>0.1</v>
      </c>
      <c r="G1484" s="294">
        <f>+D1484*E1484*(1+F1484)</f>
        <v>30800.000000000004</v>
      </c>
      <c r="H1484" s="200"/>
    </row>
    <row r="1485" spans="1:8" x14ac:dyDescent="0.25">
      <c r="A1485" s="133"/>
      <c r="B1485" s="260"/>
      <c r="C1485" s="226"/>
      <c r="D1485" s="226"/>
      <c r="E1485" s="244"/>
      <c r="F1485" s="169"/>
      <c r="G1485" s="294">
        <f>+D1485*E1485*(1+F1485)</f>
        <v>0</v>
      </c>
      <c r="H1485" s="200"/>
    </row>
    <row r="1486" spans="1:8" x14ac:dyDescent="0.25">
      <c r="A1486" s="133"/>
      <c r="B1486" s="260"/>
      <c r="C1486" s="226"/>
      <c r="D1486" s="226"/>
      <c r="E1486" s="244"/>
      <c r="F1486" s="169"/>
      <c r="G1486" s="294">
        <f>+D1486*E1486*(1+F1486)</f>
        <v>0</v>
      </c>
      <c r="H1486" s="200"/>
    </row>
    <row r="1487" spans="1:8" x14ac:dyDescent="0.25">
      <c r="A1487" s="133"/>
      <c r="B1487" s="195"/>
      <c r="C1487" s="226"/>
      <c r="D1487" s="226"/>
      <c r="E1487" s="171"/>
      <c r="F1487" s="169"/>
      <c r="G1487" s="178"/>
      <c r="H1487" s="200"/>
    </row>
    <row r="1488" spans="1:8" x14ac:dyDescent="0.25">
      <c r="A1488" s="133"/>
      <c r="B1488" s="194"/>
      <c r="C1488" s="202"/>
      <c r="D1488" s="202"/>
      <c r="E1488" s="171"/>
      <c r="F1488" s="169"/>
      <c r="G1488" s="178"/>
      <c r="H1488" s="200"/>
    </row>
    <row r="1489" spans="1:8" x14ac:dyDescent="0.25">
      <c r="A1489" s="133"/>
      <c r="B1489" s="195"/>
      <c r="C1489" s="226"/>
      <c r="D1489" s="226"/>
      <c r="E1489" s="171"/>
      <c r="F1489" s="169"/>
      <c r="G1489" s="178"/>
      <c r="H1489" s="200"/>
    </row>
    <row r="1490" spans="1:8" x14ac:dyDescent="0.25">
      <c r="A1490" s="133"/>
      <c r="B1490" s="195"/>
      <c r="C1490" s="226"/>
      <c r="D1490" s="226"/>
      <c r="E1490" s="171"/>
      <c r="F1490" s="169"/>
      <c r="G1490" s="178"/>
      <c r="H1490" s="200"/>
    </row>
    <row r="1491" spans="1:8" x14ac:dyDescent="0.25">
      <c r="A1491" s="133"/>
      <c r="B1491" s="195"/>
      <c r="C1491" s="232"/>
      <c r="D1491" s="232"/>
      <c r="E1491" s="232"/>
      <c r="F1491" s="226"/>
      <c r="G1491" s="229"/>
      <c r="H1491" s="200"/>
    </row>
    <row r="1492" spans="1:8" x14ac:dyDescent="0.25">
      <c r="A1492" s="133"/>
      <c r="B1492" s="195"/>
      <c r="C1492" s="232"/>
      <c r="D1492" s="232"/>
      <c r="E1492" s="232"/>
      <c r="F1492" s="226"/>
      <c r="G1492" s="229"/>
      <c r="H1492" s="200"/>
    </row>
    <row r="1493" spans="1:8" x14ac:dyDescent="0.25">
      <c r="A1493" s="133"/>
      <c r="B1493" s="195"/>
      <c r="C1493" s="232"/>
      <c r="D1493" s="232"/>
      <c r="E1493" s="232"/>
      <c r="F1493" s="226"/>
      <c r="G1493" s="229"/>
      <c r="H1493" s="200"/>
    </row>
    <row r="1494" spans="1:8" ht="15.75" thickBot="1" x14ac:dyDescent="0.3">
      <c r="A1494" s="133"/>
      <c r="B1494" s="195"/>
      <c r="C1494" s="232"/>
      <c r="D1494" s="232"/>
      <c r="E1494" s="232"/>
      <c r="F1494" s="226"/>
      <c r="G1494" s="229"/>
      <c r="H1494" s="200"/>
    </row>
    <row r="1495" spans="1:8" ht="15.75" thickBot="1" x14ac:dyDescent="0.3">
      <c r="A1495" s="133"/>
      <c r="B1495" s="233"/>
      <c r="C1495" s="234"/>
      <c r="D1495" s="234"/>
      <c r="E1495" s="234"/>
      <c r="F1495" s="235"/>
      <c r="G1495" s="236"/>
      <c r="H1495" s="256">
        <f>+SUM(G1483:G1495)</f>
        <v>188300</v>
      </c>
    </row>
    <row r="1496" spans="1:8" ht="15.75" thickBot="1" x14ac:dyDescent="0.3">
      <c r="A1496" s="133"/>
      <c r="B1496" s="238"/>
      <c r="C1496" s="238"/>
      <c r="D1496" s="238"/>
      <c r="E1496" s="238"/>
      <c r="F1496" s="239"/>
      <c r="G1496" s="240"/>
      <c r="H1496" s="241"/>
    </row>
    <row r="1497" spans="1:8" ht="15.75" thickBot="1" x14ac:dyDescent="0.3">
      <c r="A1497" s="133"/>
      <c r="B1497" s="224" t="s">
        <v>5410</v>
      </c>
      <c r="C1497" s="193" t="s">
        <v>867</v>
      </c>
      <c r="D1497" s="193" t="s">
        <v>6</v>
      </c>
      <c r="E1497" s="193" t="s">
        <v>870</v>
      </c>
      <c r="F1497" s="193" t="s">
        <v>5411</v>
      </c>
      <c r="G1497" s="225" t="s">
        <v>868</v>
      </c>
      <c r="H1497" s="200"/>
    </row>
    <row r="1498" spans="1:8" x14ac:dyDescent="0.25">
      <c r="A1498" s="133"/>
      <c r="B1498" s="245"/>
      <c r="C1498" s="202"/>
      <c r="D1498" s="202"/>
      <c r="E1498" s="175"/>
      <c r="F1498" s="202"/>
      <c r="G1498" s="203"/>
      <c r="H1498" s="246"/>
    </row>
    <row r="1499" spans="1:8" x14ac:dyDescent="0.25">
      <c r="A1499" s="133"/>
      <c r="B1499" s="247"/>
      <c r="C1499" s="248"/>
      <c r="D1499" s="248"/>
      <c r="E1499" s="248"/>
      <c r="F1499" s="202"/>
      <c r="G1499" s="178"/>
      <c r="H1499" s="200"/>
    </row>
    <row r="1500" spans="1:8" x14ac:dyDescent="0.25">
      <c r="A1500" s="133"/>
      <c r="B1500" s="247"/>
      <c r="C1500" s="232"/>
      <c r="D1500" s="232"/>
      <c r="E1500" s="232"/>
      <c r="F1500" s="226"/>
      <c r="G1500" s="229"/>
      <c r="H1500" s="200"/>
    </row>
    <row r="1501" spans="1:8" x14ac:dyDescent="0.25">
      <c r="A1501" s="133"/>
      <c r="B1501" s="194"/>
      <c r="C1501" s="232"/>
      <c r="D1501" s="232"/>
      <c r="E1501" s="232"/>
      <c r="F1501" s="226"/>
      <c r="G1501" s="229"/>
      <c r="H1501" s="200"/>
    </row>
    <row r="1502" spans="1:8" ht="15.75" thickBot="1" x14ac:dyDescent="0.3">
      <c r="A1502" s="133"/>
      <c r="B1502" s="195"/>
      <c r="C1502" s="232"/>
      <c r="D1502" s="232"/>
      <c r="E1502" s="232"/>
      <c r="F1502" s="226"/>
      <c r="G1502" s="229"/>
      <c r="H1502" s="200"/>
    </row>
    <row r="1503" spans="1:8" ht="15.75" thickBot="1" x14ac:dyDescent="0.3">
      <c r="A1503" s="133"/>
      <c r="B1503" s="233"/>
      <c r="C1503" s="234"/>
      <c r="D1503" s="234"/>
      <c r="E1503" s="234"/>
      <c r="F1503" s="235"/>
      <c r="G1503" s="236"/>
      <c r="H1503" s="237">
        <f>+SUM(G1498:G1503)</f>
        <v>0</v>
      </c>
    </row>
    <row r="1504" spans="1:8" ht="15.75" thickBot="1" x14ac:dyDescent="0.3">
      <c r="A1504" s="133"/>
      <c r="B1504" s="238"/>
      <c r="C1504" s="238"/>
      <c r="D1504" s="238"/>
      <c r="E1504" s="238"/>
      <c r="F1504" s="249"/>
      <c r="G1504" s="250"/>
      <c r="H1504" s="241"/>
    </row>
    <row r="1505" spans="1:8" ht="15.75" thickBot="1" x14ac:dyDescent="0.3">
      <c r="A1505" s="133"/>
      <c r="B1505" s="224" t="s">
        <v>5412</v>
      </c>
      <c r="C1505" s="193" t="s">
        <v>5420</v>
      </c>
      <c r="D1505" s="193" t="s">
        <v>5421</v>
      </c>
      <c r="E1505" s="193" t="s">
        <v>5413</v>
      </c>
      <c r="F1505" s="193" t="s">
        <v>5405</v>
      </c>
      <c r="G1505" s="225" t="s">
        <v>868</v>
      </c>
      <c r="H1505" s="200"/>
    </row>
    <row r="1506" spans="1:8" x14ac:dyDescent="0.25">
      <c r="A1506" s="133"/>
      <c r="B1506" s="194" t="s">
        <v>5948</v>
      </c>
      <c r="C1506" s="345">
        <v>70000</v>
      </c>
      <c r="D1506" s="176">
        <f>+C1506*0.85</f>
        <v>59500</v>
      </c>
      <c r="E1506" s="176">
        <f>+C1506+D1506</f>
        <v>129500</v>
      </c>
      <c r="F1506" s="204">
        <v>300</v>
      </c>
      <c r="G1506" s="178">
        <f>+E1506/F1506</f>
        <v>431.66666666666669</v>
      </c>
      <c r="H1506" s="200"/>
    </row>
    <row r="1507" spans="1:8" x14ac:dyDescent="0.25">
      <c r="A1507" s="133"/>
      <c r="B1507" s="194" t="s">
        <v>5651</v>
      </c>
      <c r="C1507" s="345">
        <v>40000</v>
      </c>
      <c r="D1507" s="176">
        <f>+C1507*0.85</f>
        <v>34000</v>
      </c>
      <c r="E1507" s="176">
        <f>+C1507+D1507</f>
        <v>74000</v>
      </c>
      <c r="F1507" s="202">
        <v>6</v>
      </c>
      <c r="G1507" s="178">
        <f>+E1507/F1507</f>
        <v>12333.333333333334</v>
      </c>
      <c r="H1507" s="200"/>
    </row>
    <row r="1508" spans="1:8" x14ac:dyDescent="0.25">
      <c r="A1508" s="133"/>
      <c r="B1508" s="195" t="s">
        <v>5635</v>
      </c>
      <c r="C1508" s="345">
        <v>20600</v>
      </c>
      <c r="D1508" s="176">
        <f>+C1508*0.85</f>
        <v>17510</v>
      </c>
      <c r="E1508" s="176">
        <f>+C1508+D1508</f>
        <v>38110</v>
      </c>
      <c r="F1508" s="226">
        <v>6</v>
      </c>
      <c r="G1508" s="178">
        <f>+E1508/F1508</f>
        <v>6351.666666666667</v>
      </c>
      <c r="H1508" s="200"/>
    </row>
    <row r="1509" spans="1:8" x14ac:dyDescent="0.25">
      <c r="A1509" s="133"/>
      <c r="B1509" s="195"/>
      <c r="C1509" s="171"/>
      <c r="D1509" s="176"/>
      <c r="E1509" s="176"/>
      <c r="F1509" s="226"/>
      <c r="G1509" s="178"/>
      <c r="H1509" s="200"/>
    </row>
    <row r="1510" spans="1:8" x14ac:dyDescent="0.25">
      <c r="A1510" s="133"/>
      <c r="B1510" s="195"/>
      <c r="C1510" s="232"/>
      <c r="D1510" s="232"/>
      <c r="E1510" s="232"/>
      <c r="F1510" s="226"/>
      <c r="G1510" s="229"/>
      <c r="H1510" s="200"/>
    </row>
    <row r="1511" spans="1:8" ht="15.75" thickBot="1" x14ac:dyDescent="0.3">
      <c r="A1511" s="133"/>
      <c r="B1511" s="195"/>
      <c r="C1511" s="232"/>
      <c r="D1511" s="232"/>
      <c r="E1511" s="232"/>
      <c r="F1511" s="226"/>
      <c r="G1511" s="229"/>
      <c r="H1511" s="200"/>
    </row>
    <row r="1512" spans="1:8" ht="15.75" thickBot="1" x14ac:dyDescent="0.3">
      <c r="A1512" s="133"/>
      <c r="B1512" s="251"/>
      <c r="C1512" s="252"/>
      <c r="D1512" s="252"/>
      <c r="E1512" s="252"/>
      <c r="F1512" s="253"/>
      <c r="G1512" s="254"/>
      <c r="H1512" s="256">
        <f>+SUM(G1506:G1512)</f>
        <v>19116.666666666668</v>
      </c>
    </row>
    <row r="1513" spans="1:8" ht="15.75" thickBot="1" x14ac:dyDescent="0.3">
      <c r="A1513" s="133"/>
      <c r="B1513" s="8"/>
      <c r="C1513" s="8"/>
      <c r="D1513" s="8"/>
      <c r="E1513" s="8"/>
      <c r="F1513" s="133"/>
      <c r="G1513" s="200"/>
      <c r="H1513" s="200"/>
    </row>
    <row r="1514" spans="1:8" ht="15.75" thickBot="1" x14ac:dyDescent="0.3">
      <c r="A1514" s="133"/>
      <c r="B1514" s="8"/>
      <c r="C1514" s="8"/>
      <c r="D1514" s="8"/>
      <c r="E1514" s="223" t="s">
        <v>5415</v>
      </c>
      <c r="F1514" s="133"/>
      <c r="G1514" s="200"/>
      <c r="H1514" s="256">
        <f>ROUND(+H1512+H1503+H1495+H1480,0)</f>
        <v>208373</v>
      </c>
    </row>
    <row r="1519" spans="1:8" ht="18.75" x14ac:dyDescent="0.25">
      <c r="A1519" s="133"/>
      <c r="B1519" s="2506" t="s">
        <v>5400</v>
      </c>
      <c r="C1519" s="2506"/>
      <c r="D1519" s="2506"/>
      <c r="E1519" s="2506"/>
      <c r="F1519" s="2506"/>
      <c r="G1519" s="2506"/>
      <c r="H1519" s="8"/>
    </row>
    <row r="1520" spans="1:8" x14ac:dyDescent="0.25">
      <c r="A1520" s="133"/>
      <c r="B1520" s="8"/>
      <c r="C1520" s="8"/>
      <c r="D1520" s="8"/>
      <c r="E1520" s="8"/>
      <c r="F1520" s="133"/>
      <c r="G1520" s="200"/>
      <c r="H1520" s="200"/>
    </row>
    <row r="1521" spans="1:8" x14ac:dyDescent="0.25">
      <c r="A1521" s="133"/>
      <c r="B1521" s="8"/>
      <c r="C1521" s="8"/>
      <c r="D1521" s="8"/>
      <c r="E1521" s="8"/>
      <c r="F1521" s="133"/>
      <c r="G1521" s="200"/>
      <c r="H1521" s="200"/>
    </row>
    <row r="1522" spans="1:8" x14ac:dyDescent="0.25">
      <c r="A1522" s="133"/>
      <c r="B1522" s="8"/>
      <c r="C1522" s="8"/>
      <c r="D1522" s="8"/>
      <c r="E1522" s="8"/>
      <c r="F1522" s="133"/>
      <c r="G1522" s="200"/>
      <c r="H1522" s="200"/>
    </row>
    <row r="1523" spans="1:8" x14ac:dyDescent="0.25">
      <c r="A1523" s="220" t="s">
        <v>5482</v>
      </c>
      <c r="B1523" s="138" t="s">
        <v>5620</v>
      </c>
      <c r="C1523" s="2449" t="s">
        <v>5621</v>
      </c>
      <c r="D1523" s="2449"/>
      <c r="E1523" s="2449"/>
      <c r="F1523" s="220" t="s">
        <v>867</v>
      </c>
      <c r="G1523" s="222" t="s">
        <v>5418</v>
      </c>
      <c r="H1523" s="200"/>
    </row>
    <row r="1524" spans="1:8" x14ac:dyDescent="0.25">
      <c r="A1524" s="133"/>
      <c r="B1524" s="8"/>
      <c r="C1524" s="223"/>
      <c r="D1524" s="223"/>
      <c r="E1524" s="223"/>
      <c r="F1524" s="133"/>
      <c r="G1524" s="200"/>
      <c r="H1524" s="200"/>
    </row>
    <row r="1525" spans="1:8" x14ac:dyDescent="0.25">
      <c r="A1525" s="133"/>
      <c r="B1525" s="8"/>
      <c r="C1525" s="8"/>
      <c r="D1525" s="8"/>
      <c r="E1525" s="8"/>
      <c r="F1525" s="8"/>
      <c r="G1525" s="8"/>
      <c r="H1525" s="200"/>
    </row>
    <row r="1526" spans="1:8" ht="15.75" thickBot="1" x14ac:dyDescent="0.3">
      <c r="A1526" s="133"/>
      <c r="B1526" s="8"/>
      <c r="C1526" s="8"/>
      <c r="D1526" s="8"/>
      <c r="E1526" s="8"/>
      <c r="F1526" s="133"/>
      <c r="G1526" s="200"/>
      <c r="H1526" s="200"/>
    </row>
    <row r="1527" spans="1:8" ht="15.75" thickBot="1" x14ac:dyDescent="0.3">
      <c r="A1527" s="133"/>
      <c r="B1527" s="224" t="s">
        <v>5403</v>
      </c>
      <c r="C1527" s="193" t="s">
        <v>867</v>
      </c>
      <c r="D1527" s="193" t="s">
        <v>6</v>
      </c>
      <c r="E1527" s="193" t="s">
        <v>5439</v>
      </c>
      <c r="F1527" s="193" t="s">
        <v>5405</v>
      </c>
      <c r="G1527" s="225" t="s">
        <v>868</v>
      </c>
      <c r="H1527" s="200"/>
    </row>
    <row r="1528" spans="1:8" x14ac:dyDescent="0.25">
      <c r="A1528" s="133"/>
      <c r="B1528" s="195" t="s">
        <v>5440</v>
      </c>
      <c r="C1528" s="226" t="s">
        <v>5402</v>
      </c>
      <c r="D1528" s="226">
        <v>1</v>
      </c>
      <c r="E1528" s="227">
        <f>+H1566</f>
        <v>12506</v>
      </c>
      <c r="F1528" s="226">
        <v>0.05</v>
      </c>
      <c r="G1528" s="292">
        <f>+E1528*F1528</f>
        <v>625.30000000000007</v>
      </c>
      <c r="H1528" s="200"/>
    </row>
    <row r="1529" spans="1:8" x14ac:dyDescent="0.25">
      <c r="A1529" s="133"/>
      <c r="B1529" s="195"/>
      <c r="C1529" s="226"/>
      <c r="D1529" s="226"/>
      <c r="E1529" s="230"/>
      <c r="F1529" s="226"/>
      <c r="G1529" s="229"/>
      <c r="H1529" s="200"/>
    </row>
    <row r="1530" spans="1:8" x14ac:dyDescent="0.25">
      <c r="A1530" s="133"/>
      <c r="B1530" s="195"/>
      <c r="C1530" s="226"/>
      <c r="D1530" s="226"/>
      <c r="E1530" s="176"/>
      <c r="F1530" s="226"/>
      <c r="G1530" s="229"/>
      <c r="H1530" s="200"/>
    </row>
    <row r="1531" spans="1:8" x14ac:dyDescent="0.25">
      <c r="A1531" s="133"/>
      <c r="B1531" s="195"/>
      <c r="C1531" s="226"/>
      <c r="D1531" s="226"/>
      <c r="E1531" s="171"/>
      <c r="F1531" s="226"/>
      <c r="G1531" s="293"/>
      <c r="H1531" s="200"/>
    </row>
    <row r="1532" spans="1:8" x14ac:dyDescent="0.25">
      <c r="A1532" s="133"/>
      <c r="B1532" s="195"/>
      <c r="C1532" s="226"/>
      <c r="D1532" s="232"/>
      <c r="E1532" s="232"/>
      <c r="F1532" s="226"/>
      <c r="G1532" s="229"/>
      <c r="H1532" s="200"/>
    </row>
    <row r="1533" spans="1:8" ht="15.75" thickBot="1" x14ac:dyDescent="0.3">
      <c r="A1533" s="133"/>
      <c r="B1533" s="195"/>
      <c r="C1533" s="226"/>
      <c r="D1533" s="232"/>
      <c r="E1533" s="232"/>
      <c r="F1533" s="226"/>
      <c r="G1533" s="229"/>
      <c r="H1533" s="200"/>
    </row>
    <row r="1534" spans="1:8" ht="15.75" thickBot="1" x14ac:dyDescent="0.3">
      <c r="A1534" s="133"/>
      <c r="B1534" s="233"/>
      <c r="C1534" s="234"/>
      <c r="D1534" s="234"/>
      <c r="E1534" s="234"/>
      <c r="F1534" s="235"/>
      <c r="G1534" s="236"/>
      <c r="H1534" s="237">
        <f>+SUM(G1528:G1534)</f>
        <v>625.30000000000007</v>
      </c>
    </row>
    <row r="1535" spans="1:8" ht="15.75" thickBot="1" x14ac:dyDescent="0.3">
      <c r="A1535" s="133"/>
      <c r="B1535" s="238"/>
      <c r="C1535" s="238"/>
      <c r="D1535" s="238"/>
      <c r="E1535" s="238"/>
      <c r="F1535" s="239"/>
      <c r="G1535" s="240"/>
      <c r="H1535" s="241"/>
    </row>
    <row r="1536" spans="1:8" ht="15.75" thickBot="1" x14ac:dyDescent="0.3">
      <c r="A1536" s="133"/>
      <c r="B1536" s="224" t="s">
        <v>5408</v>
      </c>
      <c r="C1536" s="193" t="s">
        <v>867</v>
      </c>
      <c r="D1536" s="193" t="s">
        <v>6</v>
      </c>
      <c r="E1536" s="193" t="s">
        <v>870</v>
      </c>
      <c r="F1536" s="193" t="s">
        <v>5409</v>
      </c>
      <c r="G1536" s="225" t="s">
        <v>868</v>
      </c>
      <c r="H1536" s="200"/>
    </row>
    <row r="1537" spans="1:8" x14ac:dyDescent="0.25">
      <c r="A1537" s="133"/>
      <c r="B1537" s="258" t="s">
        <v>6193</v>
      </c>
      <c r="C1537" s="202" t="s">
        <v>5556</v>
      </c>
      <c r="D1537" s="226">
        <v>3.5000000000000003E-2</v>
      </c>
      <c r="E1537" s="244">
        <v>65000</v>
      </c>
      <c r="F1537" s="169">
        <v>0.05</v>
      </c>
      <c r="G1537" s="294">
        <f>+D1537*E1537*(1+F1537)</f>
        <v>2388.75</v>
      </c>
      <c r="H1537" s="200"/>
    </row>
    <row r="1538" spans="1:8" x14ac:dyDescent="0.25">
      <c r="A1538" s="133"/>
      <c r="B1538" s="260"/>
      <c r="C1538" s="202"/>
      <c r="D1538" s="202"/>
      <c r="E1538" s="257"/>
      <c r="F1538" s="169"/>
      <c r="G1538" s="294"/>
      <c r="H1538" s="200"/>
    </row>
    <row r="1539" spans="1:8" x14ac:dyDescent="0.25">
      <c r="A1539" s="133"/>
      <c r="B1539" s="260"/>
      <c r="C1539" s="226"/>
      <c r="D1539" s="226"/>
      <c r="E1539" s="244"/>
      <c r="F1539" s="169"/>
      <c r="G1539" s="294"/>
      <c r="H1539" s="200"/>
    </row>
    <row r="1540" spans="1:8" x14ac:dyDescent="0.25">
      <c r="A1540" s="133"/>
      <c r="B1540" s="260"/>
      <c r="C1540" s="226"/>
      <c r="D1540" s="226"/>
      <c r="E1540" s="244"/>
      <c r="F1540" s="169"/>
      <c r="G1540" s="294"/>
      <c r="H1540" s="200"/>
    </row>
    <row r="1541" spans="1:8" x14ac:dyDescent="0.25">
      <c r="A1541" s="133"/>
      <c r="B1541" s="195"/>
      <c r="C1541" s="226"/>
      <c r="D1541" s="226"/>
      <c r="E1541" s="171"/>
      <c r="F1541" s="169"/>
      <c r="G1541" s="178"/>
      <c r="H1541" s="200"/>
    </row>
    <row r="1542" spans="1:8" x14ac:dyDescent="0.25">
      <c r="A1542" s="133"/>
      <c r="B1542" s="194"/>
      <c r="C1542" s="202"/>
      <c r="D1542" s="202"/>
      <c r="E1542" s="171"/>
      <c r="F1542" s="169"/>
      <c r="G1542" s="178"/>
      <c r="H1542" s="200"/>
    </row>
    <row r="1543" spans="1:8" x14ac:dyDescent="0.25">
      <c r="A1543" s="133"/>
      <c r="B1543" s="195"/>
      <c r="C1543" s="226"/>
      <c r="D1543" s="226"/>
      <c r="E1543" s="171"/>
      <c r="F1543" s="169"/>
      <c r="G1543" s="178"/>
      <c r="H1543" s="200"/>
    </row>
    <row r="1544" spans="1:8" x14ac:dyDescent="0.25">
      <c r="A1544" s="133"/>
      <c r="B1544" s="195"/>
      <c r="C1544" s="226"/>
      <c r="D1544" s="226"/>
      <c r="E1544" s="171"/>
      <c r="F1544" s="169"/>
      <c r="G1544" s="178"/>
      <c r="H1544" s="200"/>
    </row>
    <row r="1545" spans="1:8" x14ac:dyDescent="0.25">
      <c r="A1545" s="133"/>
      <c r="B1545" s="195"/>
      <c r="C1545" s="232"/>
      <c r="D1545" s="232"/>
      <c r="E1545" s="232"/>
      <c r="F1545" s="226"/>
      <c r="G1545" s="229"/>
      <c r="H1545" s="200"/>
    </row>
    <row r="1546" spans="1:8" x14ac:dyDescent="0.25">
      <c r="A1546" s="133"/>
      <c r="B1546" s="195"/>
      <c r="C1546" s="232"/>
      <c r="D1546" s="232"/>
      <c r="E1546" s="232"/>
      <c r="F1546" s="226"/>
      <c r="G1546" s="229"/>
      <c r="H1546" s="200"/>
    </row>
    <row r="1547" spans="1:8" x14ac:dyDescent="0.25">
      <c r="A1547" s="133"/>
      <c r="B1547" s="195"/>
      <c r="C1547" s="232"/>
      <c r="D1547" s="232"/>
      <c r="E1547" s="232"/>
      <c r="F1547" s="226"/>
      <c r="G1547" s="229"/>
      <c r="H1547" s="200"/>
    </row>
    <row r="1548" spans="1:8" ht="15.75" thickBot="1" x14ac:dyDescent="0.3">
      <c r="A1548" s="133"/>
      <c r="B1548" s="195"/>
      <c r="C1548" s="232"/>
      <c r="D1548" s="232"/>
      <c r="E1548" s="232"/>
      <c r="F1548" s="226"/>
      <c r="G1548" s="229"/>
      <c r="H1548" s="200"/>
    </row>
    <row r="1549" spans="1:8" ht="15.75" thickBot="1" x14ac:dyDescent="0.3">
      <c r="A1549" s="133"/>
      <c r="B1549" s="233"/>
      <c r="C1549" s="234"/>
      <c r="D1549" s="234"/>
      <c r="E1549" s="234"/>
      <c r="F1549" s="235"/>
      <c r="G1549" s="236"/>
      <c r="H1549" s="256">
        <f>+SUM(G1537:G1549)</f>
        <v>2388.75</v>
      </c>
    </row>
    <row r="1550" spans="1:8" ht="15.75" thickBot="1" x14ac:dyDescent="0.3">
      <c r="A1550" s="133"/>
      <c r="B1550" s="238"/>
      <c r="C1550" s="238"/>
      <c r="D1550" s="238"/>
      <c r="E1550" s="238"/>
      <c r="F1550" s="239"/>
      <c r="G1550" s="240"/>
      <c r="H1550" s="241"/>
    </row>
    <row r="1551" spans="1:8" ht="15.75" thickBot="1" x14ac:dyDescent="0.3">
      <c r="A1551" s="133"/>
      <c r="B1551" s="224" t="s">
        <v>5410</v>
      </c>
      <c r="C1551" s="193" t="s">
        <v>867</v>
      </c>
      <c r="D1551" s="193" t="s">
        <v>6</v>
      </c>
      <c r="E1551" s="193" t="s">
        <v>870</v>
      </c>
      <c r="F1551" s="193" t="s">
        <v>5411</v>
      </c>
      <c r="G1551" s="225" t="s">
        <v>868</v>
      </c>
      <c r="H1551" s="200"/>
    </row>
    <row r="1552" spans="1:8" x14ac:dyDescent="0.25">
      <c r="A1552" s="133"/>
      <c r="B1552" s="245"/>
      <c r="C1552" s="202"/>
      <c r="D1552" s="202"/>
      <c r="E1552" s="175"/>
      <c r="F1552" s="202"/>
      <c r="G1552" s="203"/>
      <c r="H1552" s="246"/>
    </row>
    <row r="1553" spans="1:8" x14ac:dyDescent="0.25">
      <c r="A1553" s="133"/>
      <c r="B1553" s="247"/>
      <c r="C1553" s="248"/>
      <c r="D1553" s="248"/>
      <c r="E1553" s="248"/>
      <c r="F1553" s="202"/>
      <c r="G1553" s="178"/>
      <c r="H1553" s="200"/>
    </row>
    <row r="1554" spans="1:8" x14ac:dyDescent="0.25">
      <c r="A1554" s="133"/>
      <c r="B1554" s="247"/>
      <c r="C1554" s="232"/>
      <c r="D1554" s="232"/>
      <c r="E1554" s="232"/>
      <c r="F1554" s="226"/>
      <c r="G1554" s="229"/>
      <c r="H1554" s="200"/>
    </row>
    <row r="1555" spans="1:8" x14ac:dyDescent="0.25">
      <c r="A1555" s="133"/>
      <c r="B1555" s="194"/>
      <c r="C1555" s="232"/>
      <c r="D1555" s="232"/>
      <c r="E1555" s="232"/>
      <c r="F1555" s="226"/>
      <c r="G1555" s="229"/>
      <c r="H1555" s="200"/>
    </row>
    <row r="1556" spans="1:8" ht="15.75" thickBot="1" x14ac:dyDescent="0.3">
      <c r="A1556" s="133"/>
      <c r="B1556" s="195"/>
      <c r="C1556" s="232"/>
      <c r="D1556" s="232"/>
      <c r="E1556" s="232"/>
      <c r="F1556" s="226"/>
      <c r="G1556" s="229"/>
      <c r="H1556" s="200"/>
    </row>
    <row r="1557" spans="1:8" ht="15.75" thickBot="1" x14ac:dyDescent="0.3">
      <c r="A1557" s="133"/>
      <c r="B1557" s="233"/>
      <c r="C1557" s="234"/>
      <c r="D1557" s="234"/>
      <c r="E1557" s="234"/>
      <c r="F1557" s="235"/>
      <c r="G1557" s="236"/>
      <c r="H1557" s="237">
        <f>+SUM(G1552:G1557)</f>
        <v>0</v>
      </c>
    </row>
    <row r="1558" spans="1:8" ht="15.75" thickBot="1" x14ac:dyDescent="0.3">
      <c r="A1558" s="133"/>
      <c r="B1558" s="238"/>
      <c r="C1558" s="238"/>
      <c r="D1558" s="238"/>
      <c r="E1558" s="238"/>
      <c r="F1558" s="249"/>
      <c r="G1558" s="250"/>
      <c r="H1558" s="241"/>
    </row>
    <row r="1559" spans="1:8" ht="15.75" thickBot="1" x14ac:dyDescent="0.3">
      <c r="A1559" s="133"/>
      <c r="B1559" s="224" t="s">
        <v>5412</v>
      </c>
      <c r="C1559" s="193" t="s">
        <v>5420</v>
      </c>
      <c r="D1559" s="193" t="s">
        <v>5421</v>
      </c>
      <c r="E1559" s="193" t="s">
        <v>5413</v>
      </c>
      <c r="F1559" s="193" t="s">
        <v>5405</v>
      </c>
      <c r="G1559" s="225" t="s">
        <v>868</v>
      </c>
      <c r="H1559" s="200"/>
    </row>
    <row r="1560" spans="1:8" x14ac:dyDescent="0.25">
      <c r="A1560" s="133"/>
      <c r="B1560" s="194" t="s">
        <v>5948</v>
      </c>
      <c r="C1560" s="345">
        <v>70000</v>
      </c>
      <c r="D1560" s="176">
        <f>+C1560*0.85</f>
        <v>59500</v>
      </c>
      <c r="E1560" s="176">
        <f>+C1560+D1560</f>
        <v>129500</v>
      </c>
      <c r="F1560" s="204">
        <v>100</v>
      </c>
      <c r="G1560" s="178">
        <f>+E1560/F1560</f>
        <v>1295</v>
      </c>
      <c r="H1560" s="200"/>
    </row>
    <row r="1561" spans="1:8" x14ac:dyDescent="0.25">
      <c r="A1561" s="133"/>
      <c r="B1561" s="194" t="s">
        <v>5651</v>
      </c>
      <c r="C1561" s="345">
        <v>40000</v>
      </c>
      <c r="D1561" s="176">
        <f>+C1561*0.85</f>
        <v>34000</v>
      </c>
      <c r="E1561" s="176">
        <f>+C1561+D1561</f>
        <v>74000</v>
      </c>
      <c r="F1561" s="202">
        <v>10</v>
      </c>
      <c r="G1561" s="178">
        <f>+E1561/F1561</f>
        <v>7400</v>
      </c>
      <c r="H1561" s="200"/>
    </row>
    <row r="1562" spans="1:8" x14ac:dyDescent="0.25">
      <c r="A1562" s="133"/>
      <c r="B1562" s="195" t="s">
        <v>5635</v>
      </c>
      <c r="C1562" s="345">
        <v>20600</v>
      </c>
      <c r="D1562" s="176">
        <f>+C1562*0.85</f>
        <v>17510</v>
      </c>
      <c r="E1562" s="176">
        <f>+C1562+D1562</f>
        <v>38110</v>
      </c>
      <c r="F1562" s="226">
        <v>10</v>
      </c>
      <c r="G1562" s="178">
        <f>+E1562/F1562</f>
        <v>3811</v>
      </c>
      <c r="H1562" s="200"/>
    </row>
    <row r="1563" spans="1:8" x14ac:dyDescent="0.25">
      <c r="A1563" s="133"/>
      <c r="B1563" s="195"/>
      <c r="C1563" s="171"/>
      <c r="D1563" s="176"/>
      <c r="E1563" s="176"/>
      <c r="F1563" s="226"/>
      <c r="G1563" s="178"/>
      <c r="H1563" s="200"/>
    </row>
    <row r="1564" spans="1:8" x14ac:dyDescent="0.25">
      <c r="A1564" s="133"/>
      <c r="B1564" s="195"/>
      <c r="C1564" s="232"/>
      <c r="D1564" s="232"/>
      <c r="E1564" s="232"/>
      <c r="F1564" s="226"/>
      <c r="G1564" s="229"/>
      <c r="H1564" s="200"/>
    </row>
    <row r="1565" spans="1:8" ht="15.75" thickBot="1" x14ac:dyDescent="0.3">
      <c r="A1565" s="133"/>
      <c r="B1565" s="195"/>
      <c r="C1565" s="232"/>
      <c r="D1565" s="232"/>
      <c r="E1565" s="232"/>
      <c r="F1565" s="226"/>
      <c r="G1565" s="229"/>
      <c r="H1565" s="200"/>
    </row>
    <row r="1566" spans="1:8" ht="15.75" thickBot="1" x14ac:dyDescent="0.3">
      <c r="A1566" s="133"/>
      <c r="B1566" s="251"/>
      <c r="C1566" s="252"/>
      <c r="D1566" s="252"/>
      <c r="E1566" s="252"/>
      <c r="F1566" s="253"/>
      <c r="G1566" s="254"/>
      <c r="H1566" s="256">
        <f>+SUM(G1560:G1566)</f>
        <v>12506</v>
      </c>
    </row>
    <row r="1567" spans="1:8" ht="15.75" thickBot="1" x14ac:dyDescent="0.3">
      <c r="A1567" s="133"/>
      <c r="B1567" s="8"/>
      <c r="C1567" s="8"/>
      <c r="D1567" s="8"/>
      <c r="E1567" s="8"/>
      <c r="F1567" s="133"/>
      <c r="G1567" s="200"/>
      <c r="H1567" s="200"/>
    </row>
    <row r="1568" spans="1:8" ht="15.75" thickBot="1" x14ac:dyDescent="0.3">
      <c r="A1568" s="133"/>
      <c r="B1568" s="8"/>
      <c r="C1568" s="8"/>
      <c r="D1568" s="8"/>
      <c r="E1568" s="223" t="s">
        <v>5415</v>
      </c>
      <c r="F1568" s="133"/>
      <c r="G1568" s="200"/>
      <c r="H1568" s="256">
        <f>ROUND(+H1566+H1557+H1549+H1534,0)</f>
        <v>15520</v>
      </c>
    </row>
    <row r="1572" spans="1:8" x14ac:dyDescent="0.25">
      <c r="A1572" s="255"/>
    </row>
    <row r="1573" spans="1:8" ht="18.75" x14ac:dyDescent="0.25">
      <c r="A1573" s="133"/>
      <c r="B1573" s="2506" t="s">
        <v>5400</v>
      </c>
      <c r="C1573" s="2506"/>
      <c r="D1573" s="2506"/>
      <c r="E1573" s="2506"/>
      <c r="F1573" s="2506"/>
      <c r="G1573" s="2506"/>
      <c r="H1573" s="8"/>
    </row>
    <row r="1574" spans="1:8" x14ac:dyDescent="0.25">
      <c r="A1574" s="133"/>
      <c r="B1574" s="8"/>
      <c r="C1574" s="8"/>
      <c r="D1574" s="8"/>
      <c r="E1574" s="8"/>
      <c r="F1574" s="133"/>
      <c r="G1574" s="200"/>
      <c r="H1574" s="200"/>
    </row>
    <row r="1575" spans="1:8" x14ac:dyDescent="0.25">
      <c r="A1575" s="133"/>
      <c r="B1575" s="8"/>
      <c r="C1575" s="8"/>
      <c r="D1575" s="8"/>
      <c r="E1575" s="8"/>
      <c r="F1575" s="133"/>
      <c r="G1575" s="200"/>
      <c r="H1575" s="200"/>
    </row>
    <row r="1576" spans="1:8" x14ac:dyDescent="0.25">
      <c r="A1576" s="133"/>
      <c r="B1576" s="8"/>
      <c r="C1576" s="8"/>
      <c r="D1576" s="8"/>
      <c r="E1576" s="8"/>
      <c r="F1576" s="133"/>
      <c r="G1576" s="200"/>
      <c r="H1576" s="200"/>
    </row>
    <row r="1577" spans="1:8" x14ac:dyDescent="0.25">
      <c r="A1577" s="220" t="s">
        <v>5482</v>
      </c>
      <c r="B1577" s="138" t="s">
        <v>5622</v>
      </c>
      <c r="C1577" s="2449" t="s">
        <v>5623</v>
      </c>
      <c r="D1577" s="2449"/>
      <c r="E1577" s="2449"/>
      <c r="F1577" s="220" t="s">
        <v>867</v>
      </c>
      <c r="G1577" s="222" t="s">
        <v>5418</v>
      </c>
      <c r="H1577" s="200"/>
    </row>
    <row r="1578" spans="1:8" x14ac:dyDescent="0.25">
      <c r="A1578" s="133"/>
      <c r="B1578" s="8"/>
      <c r="C1578" s="223"/>
      <c r="D1578" s="223"/>
      <c r="E1578" s="223"/>
      <c r="F1578" s="133"/>
      <c r="G1578" s="200"/>
      <c r="H1578" s="200"/>
    </row>
    <row r="1579" spans="1:8" x14ac:dyDescent="0.25">
      <c r="A1579" s="133"/>
      <c r="B1579" s="8"/>
      <c r="C1579" s="8"/>
      <c r="D1579" s="8"/>
      <c r="E1579" s="8"/>
      <c r="F1579" s="8"/>
      <c r="G1579" s="8"/>
      <c r="H1579" s="200"/>
    </row>
    <row r="1580" spans="1:8" ht="15.75" thickBot="1" x14ac:dyDescent="0.3">
      <c r="A1580" s="133"/>
      <c r="B1580" s="8"/>
      <c r="C1580" s="8"/>
      <c r="D1580" s="8"/>
      <c r="E1580" s="8"/>
      <c r="F1580" s="133"/>
      <c r="G1580" s="200"/>
      <c r="H1580" s="200"/>
    </row>
    <row r="1581" spans="1:8" ht="15.75" thickBot="1" x14ac:dyDescent="0.3">
      <c r="A1581" s="133"/>
      <c r="B1581" s="224" t="s">
        <v>5403</v>
      </c>
      <c r="C1581" s="193" t="s">
        <v>867</v>
      </c>
      <c r="D1581" s="193" t="s">
        <v>6</v>
      </c>
      <c r="E1581" s="193" t="s">
        <v>5439</v>
      </c>
      <c r="F1581" s="193" t="s">
        <v>5405</v>
      </c>
      <c r="G1581" s="225" t="s">
        <v>868</v>
      </c>
      <c r="H1581" s="200"/>
    </row>
    <row r="1582" spans="1:8" x14ac:dyDescent="0.25">
      <c r="A1582" s="133"/>
      <c r="B1582" s="195" t="s">
        <v>5440</v>
      </c>
      <c r="C1582" s="226" t="s">
        <v>5402</v>
      </c>
      <c r="D1582" s="226">
        <v>1</v>
      </c>
      <c r="E1582" s="227">
        <f>+H1620</f>
        <v>12506</v>
      </c>
      <c r="F1582" s="226">
        <v>0.1</v>
      </c>
      <c r="G1582" s="292">
        <f>+E1582*F1582</f>
        <v>1250.6000000000001</v>
      </c>
      <c r="H1582" s="200"/>
    </row>
    <row r="1583" spans="1:8" x14ac:dyDescent="0.25">
      <c r="A1583" s="133"/>
      <c r="B1583" s="195"/>
      <c r="C1583" s="226"/>
      <c r="D1583" s="226"/>
      <c r="E1583" s="230"/>
      <c r="F1583" s="226"/>
      <c r="G1583" s="229"/>
      <c r="H1583" s="200"/>
    </row>
    <row r="1584" spans="1:8" x14ac:dyDescent="0.25">
      <c r="A1584" s="133"/>
      <c r="B1584" s="195"/>
      <c r="C1584" s="226"/>
      <c r="D1584" s="226"/>
      <c r="E1584" s="176"/>
      <c r="F1584" s="226"/>
      <c r="G1584" s="229"/>
      <c r="H1584" s="200"/>
    </row>
    <row r="1585" spans="1:8" x14ac:dyDescent="0.25">
      <c r="A1585" s="133"/>
      <c r="B1585" s="195"/>
      <c r="C1585" s="226"/>
      <c r="D1585" s="226"/>
      <c r="E1585" s="171"/>
      <c r="F1585" s="226"/>
      <c r="G1585" s="293"/>
      <c r="H1585" s="200"/>
    </row>
    <row r="1586" spans="1:8" x14ac:dyDescent="0.25">
      <c r="A1586" s="133"/>
      <c r="B1586" s="195"/>
      <c r="C1586" s="226"/>
      <c r="D1586" s="232"/>
      <c r="E1586" s="232"/>
      <c r="F1586" s="226"/>
      <c r="G1586" s="229"/>
      <c r="H1586" s="200"/>
    </row>
    <row r="1587" spans="1:8" ht="15.75" thickBot="1" x14ac:dyDescent="0.3">
      <c r="A1587" s="133"/>
      <c r="B1587" s="195"/>
      <c r="C1587" s="226"/>
      <c r="D1587" s="232"/>
      <c r="E1587" s="232"/>
      <c r="F1587" s="226"/>
      <c r="G1587" s="229"/>
      <c r="H1587" s="200"/>
    </row>
    <row r="1588" spans="1:8" ht="15.75" thickBot="1" x14ac:dyDescent="0.3">
      <c r="A1588" s="133"/>
      <c r="B1588" s="233"/>
      <c r="C1588" s="234"/>
      <c r="D1588" s="234"/>
      <c r="E1588" s="234"/>
      <c r="F1588" s="235"/>
      <c r="G1588" s="236"/>
      <c r="H1588" s="237">
        <f>+SUM(G1582:G1588)</f>
        <v>1250.6000000000001</v>
      </c>
    </row>
    <row r="1589" spans="1:8" ht="15.75" thickBot="1" x14ac:dyDescent="0.3">
      <c r="A1589" s="133"/>
      <c r="B1589" s="238"/>
      <c r="C1589" s="238"/>
      <c r="D1589" s="238"/>
      <c r="E1589" s="238"/>
      <c r="F1589" s="239"/>
      <c r="G1589" s="240"/>
      <c r="H1589" s="241"/>
    </row>
    <row r="1590" spans="1:8" ht="15.75" thickBot="1" x14ac:dyDescent="0.3">
      <c r="A1590" s="133"/>
      <c r="B1590" s="224" t="s">
        <v>5408</v>
      </c>
      <c r="C1590" s="193" t="s">
        <v>867</v>
      </c>
      <c r="D1590" s="193" t="s">
        <v>6</v>
      </c>
      <c r="E1590" s="193" t="s">
        <v>870</v>
      </c>
      <c r="F1590" s="193" t="s">
        <v>5409</v>
      </c>
      <c r="G1590" s="225" t="s">
        <v>868</v>
      </c>
      <c r="H1590" s="200"/>
    </row>
    <row r="1591" spans="1:8" x14ac:dyDescent="0.25">
      <c r="A1591" s="133"/>
      <c r="B1591" s="258" t="s">
        <v>6193</v>
      </c>
      <c r="C1591" s="202" t="s">
        <v>5556</v>
      </c>
      <c r="D1591" s="226">
        <v>0.06</v>
      </c>
      <c r="E1591" s="244">
        <v>65000</v>
      </c>
      <c r="F1591" s="169">
        <v>0.05</v>
      </c>
      <c r="G1591" s="294">
        <f>+D1591*E1591*(1+F1591)</f>
        <v>4095</v>
      </c>
      <c r="H1591" s="200"/>
    </row>
    <row r="1592" spans="1:8" x14ac:dyDescent="0.25">
      <c r="A1592" s="133"/>
      <c r="B1592" s="260" t="s">
        <v>5752</v>
      </c>
      <c r="C1592" s="202" t="s">
        <v>5556</v>
      </c>
      <c r="D1592" s="202">
        <v>0.02</v>
      </c>
      <c r="E1592" s="257">
        <v>21000</v>
      </c>
      <c r="F1592" s="169">
        <v>0.05</v>
      </c>
      <c r="G1592" s="294">
        <f>+D1592*E1592*(1+F1592)</f>
        <v>441</v>
      </c>
      <c r="H1592" s="200"/>
    </row>
    <row r="1593" spans="1:8" x14ac:dyDescent="0.25">
      <c r="A1593" s="133"/>
      <c r="B1593" s="260"/>
      <c r="C1593" s="226"/>
      <c r="D1593" s="226"/>
      <c r="E1593" s="244"/>
      <c r="F1593" s="169"/>
      <c r="G1593" s="294"/>
      <c r="H1593" s="200"/>
    </row>
    <row r="1594" spans="1:8" x14ac:dyDescent="0.25">
      <c r="A1594" s="133"/>
      <c r="B1594" s="260"/>
      <c r="C1594" s="226"/>
      <c r="D1594" s="226"/>
      <c r="E1594" s="244"/>
      <c r="F1594" s="169"/>
      <c r="G1594" s="294"/>
      <c r="H1594" s="200"/>
    </row>
    <row r="1595" spans="1:8" x14ac:dyDescent="0.25">
      <c r="A1595" s="133"/>
      <c r="B1595" s="195"/>
      <c r="C1595" s="226"/>
      <c r="D1595" s="226"/>
      <c r="E1595" s="171"/>
      <c r="F1595" s="169"/>
      <c r="G1595" s="178"/>
      <c r="H1595" s="200"/>
    </row>
    <row r="1596" spans="1:8" x14ac:dyDescent="0.25">
      <c r="A1596" s="133"/>
      <c r="B1596" s="194"/>
      <c r="C1596" s="202"/>
      <c r="D1596" s="202"/>
      <c r="E1596" s="171"/>
      <c r="F1596" s="169"/>
      <c r="G1596" s="178"/>
      <c r="H1596" s="200"/>
    </row>
    <row r="1597" spans="1:8" x14ac:dyDescent="0.25">
      <c r="A1597" s="133"/>
      <c r="B1597" s="195"/>
      <c r="C1597" s="226"/>
      <c r="D1597" s="226"/>
      <c r="E1597" s="171"/>
      <c r="F1597" s="169"/>
      <c r="G1597" s="178"/>
      <c r="H1597" s="200"/>
    </row>
    <row r="1598" spans="1:8" x14ac:dyDescent="0.25">
      <c r="A1598" s="133"/>
      <c r="B1598" s="195"/>
      <c r="C1598" s="226"/>
      <c r="D1598" s="226"/>
      <c r="E1598" s="171"/>
      <c r="F1598" s="169"/>
      <c r="G1598" s="178"/>
      <c r="H1598" s="200"/>
    </row>
    <row r="1599" spans="1:8" x14ac:dyDescent="0.25">
      <c r="A1599" s="133"/>
      <c r="B1599" s="195"/>
      <c r="C1599" s="232"/>
      <c r="D1599" s="232"/>
      <c r="E1599" s="232"/>
      <c r="F1599" s="226"/>
      <c r="G1599" s="229"/>
      <c r="H1599" s="200"/>
    </row>
    <row r="1600" spans="1:8" x14ac:dyDescent="0.25">
      <c r="A1600" s="133"/>
      <c r="B1600" s="195"/>
      <c r="C1600" s="232"/>
      <c r="D1600" s="232"/>
      <c r="E1600" s="232"/>
      <c r="F1600" s="226"/>
      <c r="G1600" s="229"/>
      <c r="H1600" s="200"/>
    </row>
    <row r="1601" spans="1:8" x14ac:dyDescent="0.25">
      <c r="A1601" s="133"/>
      <c r="B1601" s="195"/>
      <c r="C1601" s="232"/>
      <c r="D1601" s="232"/>
      <c r="E1601" s="232"/>
      <c r="F1601" s="226"/>
      <c r="G1601" s="229"/>
      <c r="H1601" s="200"/>
    </row>
    <row r="1602" spans="1:8" ht="15.75" thickBot="1" x14ac:dyDescent="0.3">
      <c r="A1602" s="133"/>
      <c r="B1602" s="195"/>
      <c r="C1602" s="232"/>
      <c r="D1602" s="232"/>
      <c r="E1602" s="232"/>
      <c r="F1602" s="226"/>
      <c r="G1602" s="229"/>
      <c r="H1602" s="200"/>
    </row>
    <row r="1603" spans="1:8" ht="15.75" thickBot="1" x14ac:dyDescent="0.3">
      <c r="A1603" s="133"/>
      <c r="B1603" s="233"/>
      <c r="C1603" s="234"/>
      <c r="D1603" s="234"/>
      <c r="E1603" s="234"/>
      <c r="F1603" s="235"/>
      <c r="G1603" s="236"/>
      <c r="H1603" s="256">
        <f>+SUM(G1591:G1603)</f>
        <v>4536</v>
      </c>
    </row>
    <row r="1604" spans="1:8" ht="15.75" thickBot="1" x14ac:dyDescent="0.3">
      <c r="A1604" s="133"/>
      <c r="B1604" s="238"/>
      <c r="C1604" s="238"/>
      <c r="D1604" s="238"/>
      <c r="E1604" s="238"/>
      <c r="F1604" s="239"/>
      <c r="G1604" s="240"/>
      <c r="H1604" s="241"/>
    </row>
    <row r="1605" spans="1:8" ht="15.75" thickBot="1" x14ac:dyDescent="0.3">
      <c r="A1605" s="133"/>
      <c r="B1605" s="224" t="s">
        <v>5410</v>
      </c>
      <c r="C1605" s="193" t="s">
        <v>867</v>
      </c>
      <c r="D1605" s="193" t="s">
        <v>6</v>
      </c>
      <c r="E1605" s="193" t="s">
        <v>870</v>
      </c>
      <c r="F1605" s="193" t="s">
        <v>5411</v>
      </c>
      <c r="G1605" s="225" t="s">
        <v>868</v>
      </c>
      <c r="H1605" s="200"/>
    </row>
    <row r="1606" spans="1:8" x14ac:dyDescent="0.25">
      <c r="A1606" s="133"/>
      <c r="B1606" s="245"/>
      <c r="C1606" s="202"/>
      <c r="D1606" s="202"/>
      <c r="E1606" s="175"/>
      <c r="F1606" s="202"/>
      <c r="G1606" s="203"/>
      <c r="H1606" s="246"/>
    </row>
    <row r="1607" spans="1:8" x14ac:dyDescent="0.25">
      <c r="A1607" s="133"/>
      <c r="B1607" s="247"/>
      <c r="C1607" s="248"/>
      <c r="D1607" s="248"/>
      <c r="E1607" s="248"/>
      <c r="F1607" s="202"/>
      <c r="G1607" s="178"/>
      <c r="H1607" s="200"/>
    </row>
    <row r="1608" spans="1:8" x14ac:dyDescent="0.25">
      <c r="A1608" s="133"/>
      <c r="B1608" s="247"/>
      <c r="C1608" s="232"/>
      <c r="D1608" s="232"/>
      <c r="E1608" s="232"/>
      <c r="F1608" s="226"/>
      <c r="G1608" s="229"/>
      <c r="H1608" s="200"/>
    </row>
    <row r="1609" spans="1:8" x14ac:dyDescent="0.25">
      <c r="A1609" s="133"/>
      <c r="B1609" s="194"/>
      <c r="C1609" s="232"/>
      <c r="D1609" s="232"/>
      <c r="E1609" s="232"/>
      <c r="F1609" s="226"/>
      <c r="G1609" s="229"/>
      <c r="H1609" s="200"/>
    </row>
    <row r="1610" spans="1:8" ht="15.75" thickBot="1" x14ac:dyDescent="0.3">
      <c r="A1610" s="133"/>
      <c r="B1610" s="195"/>
      <c r="C1610" s="232"/>
      <c r="D1610" s="232"/>
      <c r="E1610" s="232"/>
      <c r="F1610" s="226"/>
      <c r="G1610" s="229"/>
      <c r="H1610" s="200"/>
    </row>
    <row r="1611" spans="1:8" ht="15.75" thickBot="1" x14ac:dyDescent="0.3">
      <c r="A1611" s="133"/>
      <c r="B1611" s="233"/>
      <c r="C1611" s="234"/>
      <c r="D1611" s="234"/>
      <c r="E1611" s="234"/>
      <c r="F1611" s="235"/>
      <c r="G1611" s="236"/>
      <c r="H1611" s="237">
        <f>+SUM(G1606:G1611)</f>
        <v>0</v>
      </c>
    </row>
    <row r="1612" spans="1:8" ht="15.75" thickBot="1" x14ac:dyDescent="0.3">
      <c r="A1612" s="133"/>
      <c r="B1612" s="238"/>
      <c r="C1612" s="238"/>
      <c r="D1612" s="238"/>
      <c r="E1612" s="238"/>
      <c r="F1612" s="249"/>
      <c r="G1612" s="250"/>
      <c r="H1612" s="241"/>
    </row>
    <row r="1613" spans="1:8" ht="15.75" thickBot="1" x14ac:dyDescent="0.3">
      <c r="A1613" s="133"/>
      <c r="B1613" s="224" t="s">
        <v>5412</v>
      </c>
      <c r="C1613" s="193" t="s">
        <v>5420</v>
      </c>
      <c r="D1613" s="193" t="s">
        <v>5421</v>
      </c>
      <c r="E1613" s="193" t="s">
        <v>5413</v>
      </c>
      <c r="F1613" s="193" t="s">
        <v>5405</v>
      </c>
      <c r="G1613" s="225" t="s">
        <v>868</v>
      </c>
      <c r="H1613" s="200"/>
    </row>
    <row r="1614" spans="1:8" x14ac:dyDescent="0.25">
      <c r="A1614" s="133"/>
      <c r="B1614" s="194" t="s">
        <v>5948</v>
      </c>
      <c r="C1614" s="345">
        <v>70000</v>
      </c>
      <c r="D1614" s="176">
        <f>+C1614*0.85</f>
        <v>59500</v>
      </c>
      <c r="E1614" s="176">
        <f>+C1614+D1614</f>
        <v>129500</v>
      </c>
      <c r="F1614" s="204">
        <v>100</v>
      </c>
      <c r="G1614" s="178">
        <f>+E1614/F1614</f>
        <v>1295</v>
      </c>
      <c r="H1614" s="200"/>
    </row>
    <row r="1615" spans="1:8" x14ac:dyDescent="0.25">
      <c r="A1615" s="133"/>
      <c r="B1615" s="194" t="s">
        <v>5651</v>
      </c>
      <c r="C1615" s="345">
        <v>40000</v>
      </c>
      <c r="D1615" s="176">
        <f>+C1615*0.85</f>
        <v>34000</v>
      </c>
      <c r="E1615" s="176">
        <f>+C1615+D1615</f>
        <v>74000</v>
      </c>
      <c r="F1615" s="202">
        <v>10</v>
      </c>
      <c r="G1615" s="178">
        <f>+E1615/F1615</f>
        <v>7400</v>
      </c>
      <c r="H1615" s="200"/>
    </row>
    <row r="1616" spans="1:8" x14ac:dyDescent="0.25">
      <c r="A1616" s="133"/>
      <c r="B1616" s="195" t="s">
        <v>5635</v>
      </c>
      <c r="C1616" s="345">
        <v>20600</v>
      </c>
      <c r="D1616" s="176">
        <f>+C1616*0.85</f>
        <v>17510</v>
      </c>
      <c r="E1616" s="176">
        <f>+C1616+D1616</f>
        <v>38110</v>
      </c>
      <c r="F1616" s="226">
        <v>10</v>
      </c>
      <c r="G1616" s="178">
        <f>+E1616/F1616</f>
        <v>3811</v>
      </c>
      <c r="H1616" s="200"/>
    </row>
    <row r="1617" spans="1:8" x14ac:dyDescent="0.25">
      <c r="A1617" s="133"/>
      <c r="B1617" s="195"/>
      <c r="C1617" s="171"/>
      <c r="D1617" s="176"/>
      <c r="E1617" s="176"/>
      <c r="F1617" s="226"/>
      <c r="G1617" s="178"/>
      <c r="H1617" s="200"/>
    </row>
    <row r="1618" spans="1:8" x14ac:dyDescent="0.25">
      <c r="A1618" s="133"/>
      <c r="B1618" s="195"/>
      <c r="C1618" s="232"/>
      <c r="D1618" s="232"/>
      <c r="E1618" s="232"/>
      <c r="F1618" s="226"/>
      <c r="G1618" s="229"/>
      <c r="H1618" s="200"/>
    </row>
    <row r="1619" spans="1:8" ht="15.75" thickBot="1" x14ac:dyDescent="0.3">
      <c r="A1619" s="133"/>
      <c r="B1619" s="195"/>
      <c r="C1619" s="232"/>
      <c r="D1619" s="232"/>
      <c r="E1619" s="232"/>
      <c r="F1619" s="226"/>
      <c r="G1619" s="229"/>
      <c r="H1619" s="200"/>
    </row>
    <row r="1620" spans="1:8" ht="15.75" thickBot="1" x14ac:dyDescent="0.3">
      <c r="A1620" s="133"/>
      <c r="B1620" s="251"/>
      <c r="C1620" s="252"/>
      <c r="D1620" s="252"/>
      <c r="E1620" s="252"/>
      <c r="F1620" s="253"/>
      <c r="G1620" s="254"/>
      <c r="H1620" s="256">
        <f>+SUM(G1614:G1620)</f>
        <v>12506</v>
      </c>
    </row>
    <row r="1621" spans="1:8" ht="15.75" thickBot="1" x14ac:dyDescent="0.3">
      <c r="A1621" s="133"/>
      <c r="B1621" s="8"/>
      <c r="C1621" s="8"/>
      <c r="D1621" s="8"/>
      <c r="E1621" s="8"/>
      <c r="F1621" s="133"/>
      <c r="G1621" s="200"/>
      <c r="H1621" s="200"/>
    </row>
    <row r="1622" spans="1:8" ht="15.75" thickBot="1" x14ac:dyDescent="0.3">
      <c r="A1622" s="133"/>
      <c r="B1622" s="8"/>
      <c r="C1622" s="8"/>
      <c r="D1622" s="8"/>
      <c r="E1622" s="223" t="s">
        <v>5415</v>
      </c>
      <c r="F1622" s="133"/>
      <c r="G1622" s="200"/>
      <c r="H1622" s="256">
        <f>ROUND(+H1620+H1611+H1603+H1588,0)</f>
        <v>18293</v>
      </c>
    </row>
    <row r="1624" spans="1:8" x14ac:dyDescent="0.25">
      <c r="A1624" s="255"/>
    </row>
    <row r="1625" spans="1:8" x14ac:dyDescent="0.25">
      <c r="A1625" s="133"/>
      <c r="B1625" s="8"/>
      <c r="C1625" s="8"/>
      <c r="D1625" s="8"/>
      <c r="E1625" s="8"/>
      <c r="F1625" s="133"/>
      <c r="G1625" s="200"/>
      <c r="H1625" s="8"/>
    </row>
    <row r="1626" spans="1:8" x14ac:dyDescent="0.25">
      <c r="A1626" s="133"/>
      <c r="B1626" s="8"/>
      <c r="C1626" s="8"/>
      <c r="D1626" s="8"/>
      <c r="E1626" s="8"/>
      <c r="F1626" s="133"/>
      <c r="G1626" s="200"/>
      <c r="H1626" s="200"/>
    </row>
    <row r="1627" spans="1:8" x14ac:dyDescent="0.25">
      <c r="A1627" s="133"/>
      <c r="B1627" s="8"/>
      <c r="C1627" s="8"/>
      <c r="D1627" s="8"/>
      <c r="E1627" s="8"/>
      <c r="F1627" s="133"/>
      <c r="G1627" s="200"/>
      <c r="H1627" s="200"/>
    </row>
  </sheetData>
  <mergeCells count="90">
    <mergeCell ref="C1577:E1577"/>
    <mergeCell ref="B1303:G1303"/>
    <mergeCell ref="C1307:E1307"/>
    <mergeCell ref="B1357:G1357"/>
    <mergeCell ref="C1361:E1361"/>
    <mergeCell ref="B1411:G1411"/>
    <mergeCell ref="C1415:E1415"/>
    <mergeCell ref="B1465:G1465"/>
    <mergeCell ref="C1469:E1469"/>
    <mergeCell ref="B1519:G1519"/>
    <mergeCell ref="C1523:E1523"/>
    <mergeCell ref="B1573:G1573"/>
    <mergeCell ref="C1253:E1253"/>
    <mergeCell ref="B979:G979"/>
    <mergeCell ref="C983:E983"/>
    <mergeCell ref="B547:G547"/>
    <mergeCell ref="C551:E551"/>
    <mergeCell ref="B601:G601"/>
    <mergeCell ref="C605:E605"/>
    <mergeCell ref="B1141:G1141"/>
    <mergeCell ref="C1145:E1145"/>
    <mergeCell ref="B1195:G1195"/>
    <mergeCell ref="C1199:E1199"/>
    <mergeCell ref="B1249:G1249"/>
    <mergeCell ref="C1091:E1091"/>
    <mergeCell ref="B1087:G1087"/>
    <mergeCell ref="C443:E443"/>
    <mergeCell ref="B1033:G1033"/>
    <mergeCell ref="B493:G493"/>
    <mergeCell ref="C497:E497"/>
    <mergeCell ref="C929:E929"/>
    <mergeCell ref="B655:G655"/>
    <mergeCell ref="C659:E659"/>
    <mergeCell ref="B709:G709"/>
    <mergeCell ref="C713:E713"/>
    <mergeCell ref="B763:G763"/>
    <mergeCell ref="C767:E767"/>
    <mergeCell ref="B817:G817"/>
    <mergeCell ref="C821:E821"/>
    <mergeCell ref="B871:G871"/>
    <mergeCell ref="C875:E875"/>
    <mergeCell ref="B925:G925"/>
    <mergeCell ref="B277:G277"/>
    <mergeCell ref="C281:E281"/>
    <mergeCell ref="B385:G385"/>
    <mergeCell ref="C389:E389"/>
    <mergeCell ref="B439:G439"/>
    <mergeCell ref="C119:E119"/>
    <mergeCell ref="B7:G7"/>
    <mergeCell ref="C11:E11"/>
    <mergeCell ref="B61:G61"/>
    <mergeCell ref="C65:E65"/>
    <mergeCell ref="B115:G115"/>
    <mergeCell ref="Z547:AE547"/>
    <mergeCell ref="AA551:AC551"/>
    <mergeCell ref="R169:W169"/>
    <mergeCell ref="S173:U173"/>
    <mergeCell ref="B331:G331"/>
    <mergeCell ref="C335:E335"/>
    <mergeCell ref="J331:O331"/>
    <mergeCell ref="K335:M335"/>
    <mergeCell ref="J277:O277"/>
    <mergeCell ref="K281:M281"/>
    <mergeCell ref="J169:O169"/>
    <mergeCell ref="K173:M173"/>
    <mergeCell ref="B169:G169"/>
    <mergeCell ref="C173:E173"/>
    <mergeCell ref="B223:G223"/>
    <mergeCell ref="C227:E227"/>
    <mergeCell ref="R547:W547"/>
    <mergeCell ref="S551:U551"/>
    <mergeCell ref="C1037:E1037"/>
    <mergeCell ref="J655:O655"/>
    <mergeCell ref="K659:M659"/>
    <mergeCell ref="J763:O763"/>
    <mergeCell ref="K767:M767"/>
    <mergeCell ref="K1415:M1415"/>
    <mergeCell ref="J601:O601"/>
    <mergeCell ref="K605:M605"/>
    <mergeCell ref="J817:O817"/>
    <mergeCell ref="K821:M821"/>
    <mergeCell ref="J1249:O1249"/>
    <mergeCell ref="K1253:M1253"/>
    <mergeCell ref="J385:O385"/>
    <mergeCell ref="K389:M389"/>
    <mergeCell ref="J439:O439"/>
    <mergeCell ref="K443:M443"/>
    <mergeCell ref="J1411:O1411"/>
    <mergeCell ref="J547:O547"/>
    <mergeCell ref="K551:M551"/>
  </mergeCells>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Q703"/>
  <sheetViews>
    <sheetView workbookViewId="0"/>
  </sheetViews>
  <sheetFormatPr baseColWidth="10" defaultRowHeight="15" x14ac:dyDescent="0.25"/>
  <cols>
    <col min="1" max="1" width="6.28515625" customWidth="1"/>
    <col min="2" max="2" width="33.7109375" customWidth="1"/>
    <col min="3" max="3" width="11.7109375" customWidth="1"/>
    <col min="4" max="4" width="13.7109375" customWidth="1"/>
    <col min="5" max="5" width="17.140625" customWidth="1"/>
    <col min="6" max="7" width="12.7109375" customWidth="1"/>
    <col min="8" max="8" width="13.85546875" bestFit="1" customWidth="1"/>
    <col min="9" max="9" width="10.42578125" customWidth="1"/>
    <col min="10" max="10" width="33.5703125" customWidth="1"/>
    <col min="12" max="12" width="12.140625" customWidth="1"/>
    <col min="13" max="13" width="13.85546875" customWidth="1"/>
    <col min="14" max="14" width="12.28515625" customWidth="1"/>
    <col min="15" max="15" width="12.85546875" customWidth="1"/>
  </cols>
  <sheetData>
    <row r="1" spans="1:16" s="8" customFormat="1" ht="12.75" x14ac:dyDescent="0.25">
      <c r="A1" s="133"/>
      <c r="F1" s="133"/>
      <c r="G1" s="134"/>
    </row>
    <row r="2" spans="1:16" s="8" customFormat="1" ht="18.75" x14ac:dyDescent="0.25">
      <c r="A2" s="133"/>
      <c r="B2" s="2506" t="s">
        <v>5400</v>
      </c>
      <c r="C2" s="2506"/>
      <c r="D2" s="2506"/>
      <c r="E2" s="2506"/>
      <c r="F2" s="2506"/>
      <c r="G2" s="2506"/>
      <c r="I2" s="133"/>
      <c r="J2" s="2506" t="s">
        <v>5400</v>
      </c>
      <c r="K2" s="2506"/>
      <c r="L2" s="2506"/>
      <c r="M2" s="2506"/>
      <c r="N2" s="2506"/>
      <c r="O2" s="2506"/>
    </row>
    <row r="3" spans="1:16" s="8" customFormat="1" ht="12.75" x14ac:dyDescent="0.25">
      <c r="A3" s="133"/>
      <c r="F3" s="133"/>
      <c r="G3" s="134"/>
      <c r="I3" s="133"/>
      <c r="N3" s="133"/>
      <c r="O3" s="134"/>
    </row>
    <row r="4" spans="1:16" s="8" customFormat="1" ht="12.75" x14ac:dyDescent="0.25">
      <c r="A4" s="133"/>
      <c r="F4" s="133"/>
      <c r="G4" s="134"/>
      <c r="I4" s="133"/>
      <c r="N4" s="133"/>
      <c r="O4" s="134"/>
    </row>
    <row r="5" spans="1:16" s="8" customFormat="1" ht="12.75" x14ac:dyDescent="0.25">
      <c r="A5" s="133"/>
      <c r="F5" s="133"/>
      <c r="G5" s="134"/>
      <c r="I5" s="133"/>
      <c r="N5" s="133"/>
      <c r="O5" s="134"/>
    </row>
    <row r="6" spans="1:16" s="140" customFormat="1" ht="12.75" x14ac:dyDescent="0.25">
      <c r="A6" s="138" t="s">
        <v>3</v>
      </c>
      <c r="B6" s="138" t="s">
        <v>778</v>
      </c>
      <c r="C6" s="2451" t="s">
        <v>5580</v>
      </c>
      <c r="D6" s="2451"/>
      <c r="E6" s="2451"/>
      <c r="F6" s="138" t="s">
        <v>867</v>
      </c>
      <c r="G6" s="139" t="s">
        <v>5454</v>
      </c>
      <c r="H6" s="134"/>
      <c r="I6" s="138" t="s">
        <v>3</v>
      </c>
      <c r="J6" s="138" t="s">
        <v>778</v>
      </c>
      <c r="K6" s="2451" t="s">
        <v>5957</v>
      </c>
      <c r="L6" s="2451"/>
      <c r="M6" s="2451"/>
      <c r="N6" s="138" t="s">
        <v>867</v>
      </c>
      <c r="O6" s="139" t="s">
        <v>5454</v>
      </c>
      <c r="P6" s="134"/>
    </row>
    <row r="7" spans="1:16" s="140" customFormat="1" ht="12.75" x14ac:dyDescent="0.25">
      <c r="A7" s="141"/>
      <c r="F7" s="141"/>
      <c r="G7" s="134"/>
      <c r="H7" s="134"/>
      <c r="I7" s="141"/>
      <c r="N7" s="141"/>
      <c r="O7" s="134"/>
      <c r="P7" s="134"/>
    </row>
    <row r="8" spans="1:16" s="140" customFormat="1" ht="12.75" x14ac:dyDescent="0.25">
      <c r="A8" s="141"/>
      <c r="F8" s="141"/>
      <c r="G8" s="142"/>
      <c r="H8" s="134"/>
      <c r="I8" s="141"/>
      <c r="N8" s="141"/>
      <c r="O8" s="142"/>
      <c r="P8" s="134"/>
    </row>
    <row r="9" spans="1:16" s="140" customFormat="1" ht="13.5" thickBot="1" x14ac:dyDescent="0.3">
      <c r="A9" s="141"/>
      <c r="F9" s="141"/>
      <c r="G9" s="134"/>
      <c r="H9" s="134"/>
      <c r="I9" s="141"/>
      <c r="N9" s="141"/>
      <c r="O9" s="134"/>
      <c r="P9" s="134"/>
    </row>
    <row r="10" spans="1:16" s="140" customFormat="1" ht="13.5" thickBot="1" x14ac:dyDescent="0.3">
      <c r="A10" s="141"/>
      <c r="B10" s="143" t="s">
        <v>5403</v>
      </c>
      <c r="C10" s="144" t="s">
        <v>867</v>
      </c>
      <c r="D10" s="144" t="s">
        <v>6</v>
      </c>
      <c r="E10" s="144" t="s">
        <v>5404</v>
      </c>
      <c r="F10" s="144" t="s">
        <v>5405</v>
      </c>
      <c r="G10" s="145" t="s">
        <v>868</v>
      </c>
      <c r="H10" s="134"/>
      <c r="I10" s="141"/>
      <c r="J10" s="143" t="s">
        <v>5403</v>
      </c>
      <c r="K10" s="144" t="s">
        <v>867</v>
      </c>
      <c r="L10" s="144" t="s">
        <v>6</v>
      </c>
      <c r="M10" s="144" t="s">
        <v>5404</v>
      </c>
      <c r="N10" s="144" t="s">
        <v>5405</v>
      </c>
      <c r="O10" s="145" t="s">
        <v>868</v>
      </c>
      <c r="P10" s="134"/>
    </row>
    <row r="11" spans="1:16" s="140" customFormat="1" ht="12.75" x14ac:dyDescent="0.25">
      <c r="A11" s="141"/>
      <c r="B11" s="146" t="s">
        <v>5934</v>
      </c>
      <c r="C11" s="147" t="s">
        <v>5406</v>
      </c>
      <c r="D11" s="148"/>
      <c r="E11" s="434">
        <f>+H49</f>
        <v>2231.4606049290514</v>
      </c>
      <c r="F11" s="191">
        <v>0.05</v>
      </c>
      <c r="G11" s="360">
        <f>+E11*F11</f>
        <v>111.57303024645257</v>
      </c>
      <c r="H11" s="134"/>
      <c r="I11" s="141"/>
      <c r="J11" s="146" t="s">
        <v>5934</v>
      </c>
      <c r="K11" s="147" t="s">
        <v>5406</v>
      </c>
      <c r="L11" s="148"/>
      <c r="M11" s="359">
        <v>31028</v>
      </c>
      <c r="N11" s="191">
        <v>0.05</v>
      </c>
      <c r="O11" s="360">
        <f>+M11*N11</f>
        <v>1551.4</v>
      </c>
      <c r="P11" s="134"/>
    </row>
    <row r="12" spans="1:16" s="140" customFormat="1" ht="12.75" x14ac:dyDescent="0.25">
      <c r="A12" s="141"/>
      <c r="B12" s="150" t="s">
        <v>5959</v>
      </c>
      <c r="C12" s="151" t="s">
        <v>5414</v>
      </c>
      <c r="D12" s="152"/>
      <c r="E12" s="433">
        <v>1100000</v>
      </c>
      <c r="F12" s="192">
        <v>125</v>
      </c>
      <c r="G12" s="360">
        <f>+E12/F12</f>
        <v>8800</v>
      </c>
      <c r="H12" s="134"/>
      <c r="I12" s="141"/>
      <c r="J12" s="150" t="s">
        <v>5960</v>
      </c>
      <c r="K12" s="151"/>
      <c r="L12" s="152"/>
      <c r="M12" s="361">
        <v>65000</v>
      </c>
      <c r="N12" s="192">
        <v>25</v>
      </c>
      <c r="O12" s="360">
        <f>+M12/N12</f>
        <v>2600</v>
      </c>
      <c r="P12" s="134"/>
    </row>
    <row r="13" spans="1:16" s="140" customFormat="1" ht="12.75" x14ac:dyDescent="0.25">
      <c r="A13" s="141"/>
      <c r="B13" s="150" t="s">
        <v>5992</v>
      </c>
      <c r="C13" s="151"/>
      <c r="D13" s="152"/>
      <c r="E13" s="361">
        <v>75000</v>
      </c>
      <c r="F13" s="192">
        <v>25</v>
      </c>
      <c r="G13" s="360">
        <f>+E13/F13</f>
        <v>3000</v>
      </c>
      <c r="H13" s="134"/>
      <c r="I13" s="141"/>
      <c r="J13" s="154"/>
      <c r="K13" s="151"/>
      <c r="L13" s="152"/>
      <c r="M13" s="152"/>
      <c r="N13" s="153"/>
      <c r="O13" s="360"/>
      <c r="P13" s="134"/>
    </row>
    <row r="14" spans="1:16" s="140" customFormat="1" ht="12.75" x14ac:dyDescent="0.25">
      <c r="A14" s="141"/>
      <c r="B14" s="155" t="s">
        <v>5958</v>
      </c>
      <c r="C14" s="151"/>
      <c r="D14" s="152"/>
      <c r="E14" s="361">
        <v>75000</v>
      </c>
      <c r="F14" s="205">
        <v>25</v>
      </c>
      <c r="G14" s="360">
        <f>+E14/F14</f>
        <v>3000</v>
      </c>
      <c r="H14" s="134"/>
      <c r="I14" s="141"/>
      <c r="J14" s="155"/>
      <c r="K14" s="151"/>
      <c r="L14" s="152"/>
      <c r="M14" s="152"/>
      <c r="N14" s="151"/>
      <c r="O14" s="362"/>
      <c r="P14" s="134"/>
    </row>
    <row r="15" spans="1:16" s="140" customFormat="1" ht="12.75" x14ac:dyDescent="0.25">
      <c r="A15" s="141"/>
      <c r="B15" s="155"/>
      <c r="C15" s="151"/>
      <c r="D15" s="152"/>
      <c r="E15" s="152"/>
      <c r="F15" s="151"/>
      <c r="G15" s="362"/>
      <c r="H15" s="134"/>
      <c r="I15" s="141"/>
      <c r="J15" s="155"/>
      <c r="K15" s="151"/>
      <c r="L15" s="152"/>
      <c r="M15" s="152"/>
      <c r="N15" s="151"/>
      <c r="O15" s="362"/>
      <c r="P15" s="134"/>
    </row>
    <row r="16" spans="1:16" s="140" customFormat="1" ht="13.5" thickBot="1" x14ac:dyDescent="0.3">
      <c r="A16" s="141"/>
      <c r="B16" s="155"/>
      <c r="C16" s="151"/>
      <c r="D16" s="152"/>
      <c r="E16" s="152"/>
      <c r="F16" s="151"/>
      <c r="G16" s="362"/>
      <c r="H16" s="134"/>
      <c r="I16" s="141"/>
      <c r="J16" s="155"/>
      <c r="K16" s="151"/>
      <c r="L16" s="152"/>
      <c r="M16" s="152"/>
      <c r="N16" s="151"/>
      <c r="O16" s="362"/>
      <c r="P16" s="134"/>
    </row>
    <row r="17" spans="1:16" s="140" customFormat="1" ht="13.5" thickBot="1" x14ac:dyDescent="0.3">
      <c r="A17" s="141"/>
      <c r="B17" s="157"/>
      <c r="C17" s="158"/>
      <c r="D17" s="159"/>
      <c r="E17" s="159"/>
      <c r="F17" s="158"/>
      <c r="G17" s="363"/>
      <c r="H17" s="161">
        <f>+SUM(G11:G17)</f>
        <v>14911.573030246453</v>
      </c>
      <c r="I17" s="141"/>
      <c r="J17" s="157"/>
      <c r="K17" s="158"/>
      <c r="L17" s="159"/>
      <c r="M17" s="159"/>
      <c r="N17" s="158"/>
      <c r="O17" s="363"/>
      <c r="P17" s="161">
        <f>+SUM(O11:O17)</f>
        <v>4151.3999999999996</v>
      </c>
    </row>
    <row r="18" spans="1:16" s="140" customFormat="1" ht="13.5" thickBot="1" x14ac:dyDescent="0.3">
      <c r="A18" s="141"/>
      <c r="B18" s="162"/>
      <c r="C18" s="163"/>
      <c r="D18" s="162"/>
      <c r="E18" s="162"/>
      <c r="F18" s="163"/>
      <c r="G18" s="364"/>
      <c r="H18" s="165"/>
      <c r="I18" s="141"/>
      <c r="J18" s="162"/>
      <c r="K18" s="163"/>
      <c r="L18" s="162"/>
      <c r="M18" s="162"/>
      <c r="N18" s="163"/>
      <c r="O18" s="364"/>
      <c r="P18" s="165"/>
    </row>
    <row r="19" spans="1:16" s="140" customFormat="1" ht="13.5" thickBot="1" x14ac:dyDescent="0.3">
      <c r="B19" s="143" t="s">
        <v>5408</v>
      </c>
      <c r="C19" s="144" t="s">
        <v>867</v>
      </c>
      <c r="D19" s="144" t="s">
        <v>6</v>
      </c>
      <c r="E19" s="144" t="s">
        <v>870</v>
      </c>
      <c r="F19" s="144" t="s">
        <v>5409</v>
      </c>
      <c r="G19" s="365" t="s">
        <v>868</v>
      </c>
      <c r="H19" s="134"/>
      <c r="J19" s="143" t="s">
        <v>5408</v>
      </c>
      <c r="K19" s="144" t="s">
        <v>867</v>
      </c>
      <c r="L19" s="144" t="s">
        <v>6</v>
      </c>
      <c r="M19" s="144" t="s">
        <v>870</v>
      </c>
      <c r="N19" s="144" t="s">
        <v>5409</v>
      </c>
      <c r="O19" s="365" t="s">
        <v>868</v>
      </c>
      <c r="P19" s="134"/>
    </row>
    <row r="20" spans="1:16" s="140" customFormat="1" ht="12.95" customHeight="1" x14ac:dyDescent="0.25">
      <c r="B20" s="201" t="s">
        <v>5993</v>
      </c>
      <c r="C20" s="147" t="s">
        <v>5430</v>
      </c>
      <c r="D20" s="211">
        <v>1</v>
      </c>
      <c r="E20" s="366">
        <v>357466</v>
      </c>
      <c r="F20" s="169">
        <v>0.2</v>
      </c>
      <c r="G20" s="367">
        <f>+D20*E20*(1+F20)</f>
        <v>428959.2</v>
      </c>
      <c r="H20" s="134"/>
      <c r="J20" s="201" t="s">
        <v>5993</v>
      </c>
      <c r="K20" s="147" t="s">
        <v>5430</v>
      </c>
      <c r="L20" s="211">
        <v>1</v>
      </c>
      <c r="M20" s="366">
        <v>357466</v>
      </c>
      <c r="N20" s="169">
        <v>0.2</v>
      </c>
      <c r="O20" s="367">
        <f>+L20*M20*(1+N20)</f>
        <v>428959.2</v>
      </c>
      <c r="P20" s="134"/>
    </row>
    <row r="21" spans="1:16" s="140" customFormat="1" ht="12.75" x14ac:dyDescent="0.25">
      <c r="B21" s="155" t="s">
        <v>5961</v>
      </c>
      <c r="C21" s="151" t="s">
        <v>5944</v>
      </c>
      <c r="D21" s="205">
        <v>1</v>
      </c>
      <c r="E21" s="346">
        <v>2100</v>
      </c>
      <c r="F21" s="169">
        <v>0.1</v>
      </c>
      <c r="G21" s="367">
        <f>+D21*E21*(1+F21)</f>
        <v>2310</v>
      </c>
      <c r="H21" s="134"/>
      <c r="J21" s="155" t="s">
        <v>5961</v>
      </c>
      <c r="K21" s="151" t="s">
        <v>5944</v>
      </c>
      <c r="L21" s="205">
        <v>1</v>
      </c>
      <c r="M21" s="346">
        <v>2100</v>
      </c>
      <c r="N21" s="169">
        <v>0.1</v>
      </c>
      <c r="O21" s="367">
        <f>+L21*M21*(1+N21)</f>
        <v>2310</v>
      </c>
      <c r="P21" s="134"/>
    </row>
    <row r="22" spans="1:16" s="140" customFormat="1" ht="12.75" x14ac:dyDescent="0.25">
      <c r="B22" s="196" t="s">
        <v>5962</v>
      </c>
      <c r="C22" s="151" t="s">
        <v>5944</v>
      </c>
      <c r="D22" s="205">
        <v>2</v>
      </c>
      <c r="E22" s="346">
        <v>4930</v>
      </c>
      <c r="F22" s="169">
        <v>0.1</v>
      </c>
      <c r="G22" s="367">
        <f>+D22*E22*(1+F22)</f>
        <v>10846</v>
      </c>
      <c r="H22" s="134"/>
      <c r="J22" s="196" t="s">
        <v>5962</v>
      </c>
      <c r="K22" s="151" t="s">
        <v>5944</v>
      </c>
      <c r="L22" s="207">
        <v>2</v>
      </c>
      <c r="M22" s="346">
        <v>4930</v>
      </c>
      <c r="N22" s="169">
        <v>0.1</v>
      </c>
      <c r="O22" s="367">
        <f>+L22*M22*(1+N22)</f>
        <v>10846</v>
      </c>
      <c r="P22" s="134"/>
    </row>
    <row r="23" spans="1:16" s="140" customFormat="1" ht="12.75" x14ac:dyDescent="0.25">
      <c r="B23" s="155"/>
      <c r="C23" s="152"/>
      <c r="D23" s="152"/>
      <c r="E23" s="152"/>
      <c r="F23" s="151"/>
      <c r="G23" s="362"/>
      <c r="H23" s="134"/>
      <c r="J23" s="155"/>
      <c r="K23" s="152"/>
      <c r="L23" s="152"/>
      <c r="M23" s="152"/>
      <c r="N23" s="151"/>
      <c r="O23" s="362"/>
      <c r="P23" s="134"/>
    </row>
    <row r="24" spans="1:16" s="140" customFormat="1" ht="12.75" x14ac:dyDescent="0.25">
      <c r="B24" s="155"/>
      <c r="C24" s="152"/>
      <c r="D24" s="152"/>
      <c r="E24" s="152"/>
      <c r="F24" s="151"/>
      <c r="G24" s="362"/>
      <c r="H24" s="134"/>
      <c r="J24" s="155"/>
      <c r="K24" s="152"/>
      <c r="L24" s="152"/>
      <c r="M24" s="152"/>
      <c r="N24" s="151"/>
      <c r="O24" s="362"/>
      <c r="P24" s="134"/>
    </row>
    <row r="25" spans="1:16" s="140" customFormat="1" ht="12.75" x14ac:dyDescent="0.25">
      <c r="B25" s="155"/>
      <c r="C25" s="152"/>
      <c r="D25" s="152"/>
      <c r="E25" s="152"/>
      <c r="F25" s="151"/>
      <c r="G25" s="362"/>
      <c r="H25" s="134"/>
      <c r="J25" s="155"/>
      <c r="K25" s="152"/>
      <c r="L25" s="152"/>
      <c r="M25" s="152"/>
      <c r="N25" s="151"/>
      <c r="O25" s="362"/>
      <c r="P25" s="134"/>
    </row>
    <row r="26" spans="1:16" s="140" customFormat="1" ht="12.75" x14ac:dyDescent="0.25">
      <c r="B26" s="155"/>
      <c r="C26" s="152"/>
      <c r="D26" s="152"/>
      <c r="E26" s="152"/>
      <c r="F26" s="151"/>
      <c r="G26" s="362"/>
      <c r="H26" s="134"/>
      <c r="J26" s="155"/>
      <c r="K26" s="152"/>
      <c r="L26" s="152"/>
      <c r="M26" s="152"/>
      <c r="N26" s="151"/>
      <c r="O26" s="362"/>
      <c r="P26" s="134"/>
    </row>
    <row r="27" spans="1:16" s="140" customFormat="1" ht="12.75" x14ac:dyDescent="0.25">
      <c r="B27" s="155"/>
      <c r="C27" s="152"/>
      <c r="D27" s="152"/>
      <c r="E27" s="152"/>
      <c r="F27" s="151"/>
      <c r="G27" s="362"/>
      <c r="H27" s="134"/>
      <c r="J27" s="155"/>
      <c r="K27" s="152"/>
      <c r="L27" s="152"/>
      <c r="M27" s="152"/>
      <c r="N27" s="151"/>
      <c r="O27" s="362"/>
      <c r="P27" s="134"/>
    </row>
    <row r="28" spans="1:16" s="140" customFormat="1" ht="12.75" x14ac:dyDescent="0.25">
      <c r="B28" s="155"/>
      <c r="C28" s="152"/>
      <c r="D28" s="152"/>
      <c r="E28" s="152"/>
      <c r="F28" s="151"/>
      <c r="G28" s="362"/>
      <c r="H28" s="134"/>
      <c r="J28" s="155"/>
      <c r="K28" s="152"/>
      <c r="L28" s="152"/>
      <c r="M28" s="152"/>
      <c r="N28" s="151"/>
      <c r="O28" s="362"/>
      <c r="P28" s="134"/>
    </row>
    <row r="29" spans="1:16" s="140" customFormat="1" ht="12.75" x14ac:dyDescent="0.25">
      <c r="B29" s="155"/>
      <c r="C29" s="152"/>
      <c r="D29" s="152"/>
      <c r="E29" s="152"/>
      <c r="F29" s="151"/>
      <c r="G29" s="362"/>
      <c r="H29" s="134"/>
      <c r="J29" s="155"/>
      <c r="K29" s="152"/>
      <c r="L29" s="152"/>
      <c r="M29" s="152"/>
      <c r="N29" s="151"/>
      <c r="O29" s="362"/>
      <c r="P29" s="134"/>
    </row>
    <row r="30" spans="1:16" s="140" customFormat="1" ht="12.75" x14ac:dyDescent="0.25">
      <c r="B30" s="155"/>
      <c r="C30" s="152"/>
      <c r="D30" s="152"/>
      <c r="E30" s="152"/>
      <c r="F30" s="151"/>
      <c r="G30" s="362"/>
      <c r="H30" s="134"/>
      <c r="J30" s="155"/>
      <c r="K30" s="152"/>
      <c r="L30" s="152"/>
      <c r="M30" s="152"/>
      <c r="N30" s="151"/>
      <c r="O30" s="362"/>
      <c r="P30" s="134"/>
    </row>
    <row r="31" spans="1:16" s="140" customFormat="1" ht="13.5" thickBot="1" x14ac:dyDescent="0.3">
      <c r="B31" s="155"/>
      <c r="C31" s="152"/>
      <c r="D31" s="152"/>
      <c r="E31" s="152"/>
      <c r="F31" s="151"/>
      <c r="G31" s="362"/>
      <c r="H31" s="134"/>
      <c r="J31" s="155"/>
      <c r="K31" s="152"/>
      <c r="L31" s="152"/>
      <c r="M31" s="152"/>
      <c r="N31" s="151"/>
      <c r="O31" s="362"/>
      <c r="P31" s="134"/>
    </row>
    <row r="32" spans="1:16" s="140" customFormat="1" ht="13.5" thickBot="1" x14ac:dyDescent="0.3">
      <c r="B32" s="157"/>
      <c r="C32" s="159"/>
      <c r="D32" s="159"/>
      <c r="E32" s="159"/>
      <c r="F32" s="158"/>
      <c r="G32" s="363"/>
      <c r="H32" s="161">
        <f>+SUM(G20:G32)</f>
        <v>442115.2</v>
      </c>
      <c r="J32" s="157"/>
      <c r="K32" s="159"/>
      <c r="L32" s="159"/>
      <c r="M32" s="159"/>
      <c r="N32" s="158"/>
      <c r="O32" s="363"/>
      <c r="P32" s="161">
        <f>+SUM(O20:O32)</f>
        <v>442115.2</v>
      </c>
    </row>
    <row r="33" spans="2:16" s="140" customFormat="1" ht="13.5" thickBot="1" x14ac:dyDescent="0.3">
      <c r="B33" s="162"/>
      <c r="C33" s="162"/>
      <c r="D33" s="162"/>
      <c r="E33" s="162"/>
      <c r="F33" s="163"/>
      <c r="G33" s="364"/>
      <c r="H33" s="165"/>
      <c r="J33" s="162"/>
      <c r="K33" s="162"/>
      <c r="L33" s="162"/>
      <c r="M33" s="162"/>
      <c r="N33" s="163"/>
      <c r="O33" s="364"/>
      <c r="P33" s="165"/>
    </row>
    <row r="34" spans="2:16" s="140" customFormat="1" ht="13.5" thickBot="1" x14ac:dyDescent="0.3">
      <c r="B34" s="143" t="s">
        <v>5410</v>
      </c>
      <c r="C34" s="144" t="s">
        <v>867</v>
      </c>
      <c r="D34" s="144" t="s">
        <v>6</v>
      </c>
      <c r="E34" s="144" t="s">
        <v>870</v>
      </c>
      <c r="F34" s="144" t="s">
        <v>5411</v>
      </c>
      <c r="G34" s="365" t="s">
        <v>868</v>
      </c>
      <c r="H34" s="134"/>
      <c r="J34" s="143" t="s">
        <v>5410</v>
      </c>
      <c r="K34" s="144" t="s">
        <v>867</v>
      </c>
      <c r="L34" s="144" t="s">
        <v>6</v>
      </c>
      <c r="M34" s="144" t="s">
        <v>870</v>
      </c>
      <c r="N34" s="144" t="s">
        <v>5411</v>
      </c>
      <c r="O34" s="365" t="s">
        <v>868</v>
      </c>
      <c r="P34" s="134"/>
    </row>
    <row r="35" spans="2:16" s="140" customFormat="1" ht="12.75" x14ac:dyDescent="0.25">
      <c r="B35" s="201" t="s">
        <v>5994</v>
      </c>
      <c r="C35" s="147" t="s">
        <v>5430</v>
      </c>
      <c r="D35" s="211">
        <v>1.2</v>
      </c>
      <c r="E35" s="366">
        <v>750</v>
      </c>
      <c r="F35" s="211">
        <v>40</v>
      </c>
      <c r="G35" s="367">
        <f>+D35*E35*F35</f>
        <v>36000</v>
      </c>
      <c r="H35" s="134"/>
      <c r="J35" s="201" t="s">
        <v>5994</v>
      </c>
      <c r="K35" s="147" t="s">
        <v>5430</v>
      </c>
      <c r="L35" s="211">
        <v>1.2</v>
      </c>
      <c r="M35" s="366">
        <v>750</v>
      </c>
      <c r="N35" s="211">
        <v>40</v>
      </c>
      <c r="O35" s="367">
        <f>+L35*M35*N35</f>
        <v>36000</v>
      </c>
      <c r="P35" s="134"/>
    </row>
    <row r="36" spans="2:16" s="140" customFormat="1" ht="12.75" x14ac:dyDescent="0.25">
      <c r="B36" s="166"/>
      <c r="C36" s="148"/>
      <c r="D36" s="148"/>
      <c r="E36" s="148"/>
      <c r="F36" s="147"/>
      <c r="G36" s="172"/>
      <c r="H36" s="134"/>
      <c r="J36" s="166"/>
      <c r="K36" s="148"/>
      <c r="L36" s="148"/>
      <c r="M36" s="148"/>
      <c r="N36" s="147"/>
      <c r="O36" s="172"/>
      <c r="P36" s="134"/>
    </row>
    <row r="37" spans="2:16" s="140" customFormat="1" ht="12.75" x14ac:dyDescent="0.25">
      <c r="B37" s="155"/>
      <c r="C37" s="152"/>
      <c r="D37" s="152"/>
      <c r="E37" s="152"/>
      <c r="F37" s="151"/>
      <c r="G37" s="156"/>
      <c r="H37" s="134"/>
      <c r="J37" s="155"/>
      <c r="K37" s="152"/>
      <c r="L37" s="152"/>
      <c r="M37" s="152"/>
      <c r="N37" s="151"/>
      <c r="O37" s="156"/>
      <c r="P37" s="134"/>
    </row>
    <row r="38" spans="2:16" s="140" customFormat="1" ht="12.75" x14ac:dyDescent="0.25">
      <c r="B38" s="155"/>
      <c r="C38" s="152"/>
      <c r="D38" s="152"/>
      <c r="E38" s="152"/>
      <c r="F38" s="151"/>
      <c r="G38" s="156"/>
      <c r="H38" s="134"/>
      <c r="J38" s="155"/>
      <c r="K38" s="152"/>
      <c r="L38" s="152"/>
      <c r="M38" s="152"/>
      <c r="N38" s="151"/>
      <c r="O38" s="156"/>
      <c r="P38" s="134"/>
    </row>
    <row r="39" spans="2:16" s="140" customFormat="1" ht="13.5" thickBot="1" x14ac:dyDescent="0.3">
      <c r="B39" s="155"/>
      <c r="C39" s="152"/>
      <c r="D39" s="152"/>
      <c r="E39" s="152"/>
      <c r="F39" s="151"/>
      <c r="G39" s="156"/>
      <c r="H39" s="134"/>
      <c r="J39" s="155"/>
      <c r="K39" s="152"/>
      <c r="L39" s="152"/>
      <c r="M39" s="152"/>
      <c r="N39" s="151"/>
      <c r="O39" s="156"/>
      <c r="P39" s="134"/>
    </row>
    <row r="40" spans="2:16" s="140" customFormat="1" ht="13.5" thickBot="1" x14ac:dyDescent="0.3">
      <c r="B40" s="157"/>
      <c r="C40" s="159"/>
      <c r="D40" s="159"/>
      <c r="E40" s="159"/>
      <c r="F40" s="158"/>
      <c r="G40" s="160"/>
      <c r="H40" s="161">
        <f>+SUM(G35:G40)</f>
        <v>36000</v>
      </c>
      <c r="J40" s="157"/>
      <c r="K40" s="159"/>
      <c r="L40" s="159"/>
      <c r="M40" s="159"/>
      <c r="N40" s="158"/>
      <c r="O40" s="160"/>
      <c r="P40" s="161">
        <f>+SUM(O35:O40)</f>
        <v>36000</v>
      </c>
    </row>
    <row r="41" spans="2:16" s="140" customFormat="1" ht="13.5" thickBot="1" x14ac:dyDescent="0.3">
      <c r="B41" s="162"/>
      <c r="C41" s="162"/>
      <c r="D41" s="162"/>
      <c r="E41" s="162"/>
      <c r="F41" s="173"/>
      <c r="G41" s="174"/>
      <c r="H41" s="165"/>
      <c r="J41" s="162"/>
      <c r="K41" s="162"/>
      <c r="L41" s="162"/>
      <c r="M41" s="162"/>
      <c r="N41" s="173"/>
      <c r="O41" s="174"/>
      <c r="P41" s="165"/>
    </row>
    <row r="42" spans="2:16" s="140" customFormat="1" ht="13.5" thickBot="1" x14ac:dyDescent="0.3">
      <c r="B42" s="143" t="s">
        <v>5412</v>
      </c>
      <c r="C42" s="193" t="s">
        <v>5420</v>
      </c>
      <c r="D42" s="193" t="s">
        <v>5421</v>
      </c>
      <c r="E42" s="193" t="s">
        <v>5413</v>
      </c>
      <c r="F42" s="144" t="s">
        <v>5405</v>
      </c>
      <c r="G42" s="145" t="s">
        <v>868</v>
      </c>
      <c r="H42" s="134"/>
      <c r="J42" s="143" t="s">
        <v>5412</v>
      </c>
      <c r="K42" s="193" t="s">
        <v>5420</v>
      </c>
      <c r="L42" s="193" t="s">
        <v>5421</v>
      </c>
      <c r="M42" s="193" t="s">
        <v>5413</v>
      </c>
      <c r="N42" s="144" t="s">
        <v>5405</v>
      </c>
      <c r="O42" s="145" t="s">
        <v>868</v>
      </c>
      <c r="P42" s="134"/>
    </row>
    <row r="43" spans="2:16" s="140" customFormat="1" ht="12.75" x14ac:dyDescent="0.25">
      <c r="B43" s="194" t="s">
        <v>5948</v>
      </c>
      <c r="C43" s="345">
        <v>70000</v>
      </c>
      <c r="D43" s="345">
        <v>53961.351755041069</v>
      </c>
      <c r="E43" s="345">
        <v>117445.29499626586</v>
      </c>
      <c r="F43" s="192">
        <v>500</v>
      </c>
      <c r="G43" s="351">
        <f>+E43/F43</f>
        <v>234.89058999253172</v>
      </c>
      <c r="H43" s="134"/>
      <c r="J43" s="194" t="s">
        <v>5948</v>
      </c>
      <c r="K43" s="345">
        <v>70000</v>
      </c>
      <c r="L43" s="345">
        <v>53961.351755041069</v>
      </c>
      <c r="M43" s="345">
        <v>117445.29499626586</v>
      </c>
      <c r="N43" s="192">
        <v>50</v>
      </c>
      <c r="O43" s="351">
        <f>+M43/N43</f>
        <v>2348.905899925317</v>
      </c>
      <c r="P43" s="134"/>
    </row>
    <row r="44" spans="2:16" s="140" customFormat="1" ht="12.75" x14ac:dyDescent="0.25">
      <c r="B44" s="194" t="s">
        <v>5949</v>
      </c>
      <c r="C44" s="345">
        <v>40000</v>
      </c>
      <c r="D44" s="345">
        <v>26980.675877520534</v>
      </c>
      <c r="E44" s="345">
        <v>58722.64749813293</v>
      </c>
      <c r="F44" s="192">
        <v>100</v>
      </c>
      <c r="G44" s="351">
        <f>+E44/F44</f>
        <v>587.22647498132926</v>
      </c>
      <c r="H44" s="134"/>
      <c r="J44" s="194" t="s">
        <v>5949</v>
      </c>
      <c r="K44" s="345">
        <v>40000</v>
      </c>
      <c r="L44" s="345">
        <v>26980.675877520534</v>
      </c>
      <c r="M44" s="345">
        <v>58722.64749813293</v>
      </c>
      <c r="N44" s="192">
        <v>5</v>
      </c>
      <c r="O44" s="351">
        <f>+M44/N44</f>
        <v>11744.529499626586</v>
      </c>
      <c r="P44" s="134"/>
    </row>
    <row r="45" spans="2:16" s="140" customFormat="1" ht="12.75" x14ac:dyDescent="0.25">
      <c r="B45" s="195" t="s">
        <v>5635</v>
      </c>
      <c r="C45" s="345">
        <v>20600</v>
      </c>
      <c r="D45" s="345">
        <v>16188.405526512322</v>
      </c>
      <c r="E45" s="345">
        <v>35233.588498879762</v>
      </c>
      <c r="F45" s="192">
        <v>25</v>
      </c>
      <c r="G45" s="351">
        <f>+E45/F45</f>
        <v>1409.3435399551904</v>
      </c>
      <c r="H45" s="134"/>
      <c r="J45" s="195" t="s">
        <v>5635</v>
      </c>
      <c r="K45" s="345">
        <v>20600</v>
      </c>
      <c r="L45" s="345">
        <v>16188.405526512322</v>
      </c>
      <c r="M45" s="345">
        <v>35233.588498879762</v>
      </c>
      <c r="N45" s="192">
        <v>2</v>
      </c>
      <c r="O45" s="351">
        <f>+M45/N45</f>
        <v>17616.794249439881</v>
      </c>
      <c r="P45" s="134"/>
    </row>
    <row r="46" spans="2:16" s="140" customFormat="1" ht="12.75" x14ac:dyDescent="0.25">
      <c r="B46" s="155"/>
      <c r="C46" s="152"/>
      <c r="D46" s="152"/>
      <c r="E46" s="152"/>
      <c r="F46" s="151"/>
      <c r="G46" s="156"/>
      <c r="H46" s="134"/>
      <c r="J46" s="155"/>
      <c r="K46" s="152"/>
      <c r="L46" s="152"/>
      <c r="M46" s="152"/>
      <c r="N46" s="151"/>
      <c r="O46" s="156"/>
      <c r="P46" s="134"/>
    </row>
    <row r="47" spans="2:16" s="140" customFormat="1" ht="12.75" x14ac:dyDescent="0.25">
      <c r="B47" s="155"/>
      <c r="C47" s="152"/>
      <c r="D47" s="152"/>
      <c r="E47" s="152"/>
      <c r="F47" s="151"/>
      <c r="G47" s="156"/>
      <c r="H47" s="134"/>
      <c r="J47" s="155"/>
      <c r="K47" s="152"/>
      <c r="L47" s="152"/>
      <c r="M47" s="152"/>
      <c r="N47" s="151"/>
      <c r="O47" s="156"/>
      <c r="P47" s="134"/>
    </row>
    <row r="48" spans="2:16" s="140" customFormat="1" ht="13.5" thickBot="1" x14ac:dyDescent="0.3">
      <c r="B48" s="155"/>
      <c r="C48" s="152"/>
      <c r="D48" s="152"/>
      <c r="E48" s="152"/>
      <c r="F48" s="151"/>
      <c r="G48" s="156"/>
      <c r="H48" s="134"/>
      <c r="J48" s="155"/>
      <c r="K48" s="152"/>
      <c r="L48" s="152"/>
      <c r="M48" s="152"/>
      <c r="N48" s="151"/>
      <c r="O48" s="156"/>
      <c r="P48" s="134"/>
    </row>
    <row r="49" spans="1:16" s="140" customFormat="1" ht="13.5" thickBot="1" x14ac:dyDescent="0.3">
      <c r="B49" s="179"/>
      <c r="C49" s="180"/>
      <c r="D49" s="180"/>
      <c r="E49" s="180"/>
      <c r="F49" s="181"/>
      <c r="G49" s="182"/>
      <c r="H49" s="161">
        <f>+SUM(G43:G49)</f>
        <v>2231.4606049290514</v>
      </c>
      <c r="J49" s="179"/>
      <c r="K49" s="180"/>
      <c r="L49" s="180"/>
      <c r="M49" s="180"/>
      <c r="N49" s="181"/>
      <c r="O49" s="182"/>
      <c r="P49" s="161">
        <f>+SUM(O43:O49)</f>
        <v>31710.229648991786</v>
      </c>
    </row>
    <row r="50" spans="1:16" s="140" customFormat="1" ht="13.5" thickBot="1" x14ac:dyDescent="0.3">
      <c r="F50" s="141"/>
      <c r="G50" s="134"/>
      <c r="H50" s="134"/>
      <c r="N50" s="141"/>
      <c r="O50" s="134"/>
      <c r="P50" s="134"/>
    </row>
    <row r="51" spans="1:16" s="140" customFormat="1" ht="13.5" thickBot="1" x14ac:dyDescent="0.3">
      <c r="E51" s="183" t="s">
        <v>5415</v>
      </c>
      <c r="F51" s="141"/>
      <c r="G51" s="134"/>
      <c r="H51" s="161">
        <f>ROUND(+H17+H32+H40+H49,0)</f>
        <v>495258</v>
      </c>
      <c r="M51" s="183" t="s">
        <v>5415</v>
      </c>
      <c r="N51" s="141"/>
      <c r="O51" s="134"/>
      <c r="P51" s="161">
        <f>ROUND(+P17+P32+P40+P49,0)</f>
        <v>513977</v>
      </c>
    </row>
    <row r="52" spans="1:16" s="8" customFormat="1" ht="12.75" x14ac:dyDescent="0.25">
      <c r="F52" s="133"/>
      <c r="N52" s="133"/>
    </row>
    <row r="53" spans="1:16" s="8" customFormat="1" ht="12.75" x14ac:dyDescent="0.25">
      <c r="F53" s="133"/>
      <c r="H53" s="368"/>
      <c r="N53" s="133"/>
      <c r="P53" s="368"/>
    </row>
    <row r="54" spans="1:16" s="8" customFormat="1" ht="12.75" x14ac:dyDescent="0.25">
      <c r="F54" s="133"/>
      <c r="N54" s="133"/>
    </row>
    <row r="55" spans="1:16" s="8" customFormat="1" ht="12.75" x14ac:dyDescent="0.25">
      <c r="F55" s="133"/>
      <c r="N55" s="133"/>
    </row>
    <row r="56" spans="1:16" s="8" customFormat="1" ht="18.75" x14ac:dyDescent="0.25">
      <c r="A56" s="133"/>
      <c r="B56" s="2506" t="s">
        <v>5400</v>
      </c>
      <c r="C56" s="2506"/>
      <c r="D56" s="2506"/>
      <c r="E56" s="2506"/>
      <c r="F56" s="2506"/>
      <c r="G56" s="2506"/>
      <c r="I56" s="133"/>
      <c r="J56" s="2506" t="s">
        <v>5400</v>
      </c>
      <c r="K56" s="2506"/>
      <c r="L56" s="2506"/>
      <c r="M56" s="2506"/>
      <c r="N56" s="2506"/>
      <c r="O56" s="2506"/>
    </row>
    <row r="57" spans="1:16" s="8" customFormat="1" ht="12.75" x14ac:dyDescent="0.25">
      <c r="A57" s="133"/>
      <c r="F57" s="133"/>
      <c r="G57" s="134"/>
      <c r="I57" s="133"/>
      <c r="N57" s="133"/>
      <c r="O57" s="134"/>
    </row>
    <row r="58" spans="1:16" s="8" customFormat="1" ht="12.75" x14ac:dyDescent="0.25">
      <c r="A58" s="133"/>
      <c r="F58" s="133"/>
      <c r="G58" s="134"/>
      <c r="I58" s="133"/>
      <c r="N58" s="133"/>
      <c r="O58" s="134"/>
    </row>
    <row r="59" spans="1:16" s="8" customFormat="1" ht="12.75" x14ac:dyDescent="0.25">
      <c r="A59" s="133"/>
      <c r="F59" s="133"/>
      <c r="G59" s="134"/>
      <c r="I59" s="133"/>
      <c r="N59" s="133"/>
      <c r="O59" s="134"/>
    </row>
    <row r="60" spans="1:16" s="140" customFormat="1" ht="12.75" x14ac:dyDescent="0.25">
      <c r="A60" s="138" t="s">
        <v>3</v>
      </c>
      <c r="B60" s="138" t="s">
        <v>779</v>
      </c>
      <c r="C60" s="2451" t="s">
        <v>5581</v>
      </c>
      <c r="D60" s="2451"/>
      <c r="E60" s="2451"/>
      <c r="F60" s="138" t="s">
        <v>867</v>
      </c>
      <c r="G60" s="139" t="s">
        <v>5454</v>
      </c>
      <c r="H60" s="134"/>
      <c r="I60" s="138" t="s">
        <v>3</v>
      </c>
      <c r="J60" s="138" t="s">
        <v>779</v>
      </c>
      <c r="K60" s="2451" t="s">
        <v>5581</v>
      </c>
      <c r="L60" s="2451"/>
      <c r="M60" s="2451"/>
      <c r="N60" s="138" t="s">
        <v>867</v>
      </c>
      <c r="O60" s="139" t="s">
        <v>5454</v>
      </c>
      <c r="P60" s="134"/>
    </row>
    <row r="61" spans="1:16" s="140" customFormat="1" ht="12.75" x14ac:dyDescent="0.25">
      <c r="A61" s="141"/>
      <c r="F61" s="141"/>
      <c r="G61" s="134"/>
      <c r="H61" s="134"/>
      <c r="I61" s="141"/>
      <c r="N61" s="141"/>
      <c r="O61" s="134"/>
      <c r="P61" s="134"/>
    </row>
    <row r="62" spans="1:16" s="140" customFormat="1" ht="12.75" x14ac:dyDescent="0.25">
      <c r="A62" s="141"/>
      <c r="F62" s="141"/>
      <c r="G62" s="142"/>
      <c r="H62" s="134"/>
      <c r="I62" s="141"/>
      <c r="N62" s="141"/>
      <c r="O62" s="142"/>
      <c r="P62" s="134"/>
    </row>
    <row r="63" spans="1:16" s="140" customFormat="1" ht="13.5" thickBot="1" x14ac:dyDescent="0.3">
      <c r="A63" s="141"/>
      <c r="F63" s="141"/>
      <c r="G63" s="134"/>
      <c r="H63" s="134"/>
      <c r="I63" s="141"/>
      <c r="N63" s="141"/>
      <c r="O63" s="134"/>
      <c r="P63" s="134"/>
    </row>
    <row r="64" spans="1:16" s="140" customFormat="1" ht="13.5" thickBot="1" x14ac:dyDescent="0.3">
      <c r="A64" s="141"/>
      <c r="B64" s="143" t="s">
        <v>5403</v>
      </c>
      <c r="C64" s="144" t="s">
        <v>867</v>
      </c>
      <c r="D64" s="144" t="s">
        <v>6</v>
      </c>
      <c r="E64" s="144" t="s">
        <v>5404</v>
      </c>
      <c r="F64" s="144" t="s">
        <v>5405</v>
      </c>
      <c r="G64" s="145" t="s">
        <v>868</v>
      </c>
      <c r="H64" s="134"/>
      <c r="I64" s="141"/>
      <c r="J64" s="143" t="s">
        <v>5403</v>
      </c>
      <c r="K64" s="144" t="s">
        <v>867</v>
      </c>
      <c r="L64" s="144" t="s">
        <v>6</v>
      </c>
      <c r="M64" s="144" t="s">
        <v>5404</v>
      </c>
      <c r="N64" s="144" t="s">
        <v>5405</v>
      </c>
      <c r="O64" s="145" t="s">
        <v>868</v>
      </c>
      <c r="P64" s="134"/>
    </row>
    <row r="65" spans="1:16" s="140" customFormat="1" ht="12.75" x14ac:dyDescent="0.25">
      <c r="A65" s="141"/>
      <c r="B65" s="146" t="s">
        <v>5934</v>
      </c>
      <c r="C65" s="147" t="s">
        <v>5406</v>
      </c>
      <c r="D65" s="148"/>
      <c r="E65" s="434">
        <f>+H103</f>
        <v>2231.4606049290514</v>
      </c>
      <c r="F65" s="191">
        <v>0.05</v>
      </c>
      <c r="G65" s="360">
        <f>+E65*F65</f>
        <v>111.57303024645257</v>
      </c>
      <c r="H65" s="134"/>
      <c r="I65" s="141"/>
      <c r="J65" s="146" t="s">
        <v>5934</v>
      </c>
      <c r="K65" s="147" t="s">
        <v>5406</v>
      </c>
      <c r="L65" s="148"/>
      <c r="M65" s="359">
        <v>1000</v>
      </c>
      <c r="N65" s="191">
        <v>0.1</v>
      </c>
      <c r="O65" s="360">
        <f>+M65*N65</f>
        <v>100</v>
      </c>
      <c r="P65" s="134"/>
    </row>
    <row r="66" spans="1:16" s="140" customFormat="1" ht="12.75" x14ac:dyDescent="0.25">
      <c r="A66" s="141"/>
      <c r="B66" s="150" t="s">
        <v>5959</v>
      </c>
      <c r="C66" s="151" t="s">
        <v>5414</v>
      </c>
      <c r="D66" s="152"/>
      <c r="E66" s="433">
        <v>1100000</v>
      </c>
      <c r="F66" s="192">
        <v>125</v>
      </c>
      <c r="G66" s="360">
        <f>+E66/F66</f>
        <v>8800</v>
      </c>
      <c r="H66" s="134">
        <v>8.0000000000000002E-3</v>
      </c>
      <c r="I66" s="141"/>
      <c r="J66" s="150" t="s">
        <v>5960</v>
      </c>
      <c r="K66" s="151" t="s">
        <v>5995</v>
      </c>
      <c r="L66" s="212">
        <v>1</v>
      </c>
      <c r="M66" s="361">
        <v>65000</v>
      </c>
      <c r="N66" s="192">
        <v>25</v>
      </c>
      <c r="O66" s="360">
        <f>+M66/N66</f>
        <v>2600</v>
      </c>
      <c r="P66" s="134"/>
    </row>
    <row r="67" spans="1:16" s="140" customFormat="1" ht="12.75" x14ac:dyDescent="0.25">
      <c r="A67" s="141"/>
      <c r="B67" s="150" t="s">
        <v>5992</v>
      </c>
      <c r="C67" s="151"/>
      <c r="D67" s="152"/>
      <c r="E67" s="361">
        <v>75000</v>
      </c>
      <c r="F67" s="192">
        <v>25</v>
      </c>
      <c r="G67" s="360">
        <f>+E67/F67</f>
        <v>3000</v>
      </c>
      <c r="H67" s="134"/>
      <c r="I67" s="141"/>
      <c r="J67" s="154"/>
      <c r="K67" s="151"/>
      <c r="L67" s="152"/>
      <c r="M67" s="361"/>
      <c r="N67" s="153"/>
      <c r="O67" s="360"/>
      <c r="P67" s="134"/>
    </row>
    <row r="68" spans="1:16" s="140" customFormat="1" ht="12.75" x14ac:dyDescent="0.25">
      <c r="A68" s="141"/>
      <c r="B68" s="155" t="s">
        <v>5958</v>
      </c>
      <c r="C68" s="151"/>
      <c r="D68" s="152"/>
      <c r="E68" s="361">
        <v>75000</v>
      </c>
      <c r="F68" s="205">
        <v>25</v>
      </c>
      <c r="G68" s="360">
        <f>+E68/F68</f>
        <v>3000</v>
      </c>
      <c r="H68" s="134"/>
      <c r="I68" s="141"/>
      <c r="J68" s="155"/>
      <c r="K68" s="151"/>
      <c r="L68" s="152"/>
      <c r="M68" s="361"/>
      <c r="N68" s="151"/>
      <c r="O68" s="362"/>
      <c r="P68" s="134"/>
    </row>
    <row r="69" spans="1:16" s="140" customFormat="1" ht="12.75" x14ac:dyDescent="0.25">
      <c r="A69" s="141"/>
      <c r="B69" s="155"/>
      <c r="C69" s="151"/>
      <c r="D69" s="152"/>
      <c r="E69" s="361"/>
      <c r="F69" s="151"/>
      <c r="G69" s="362"/>
      <c r="H69" s="134"/>
      <c r="I69" s="141"/>
      <c r="J69" s="155"/>
      <c r="K69" s="151"/>
      <c r="L69" s="152"/>
      <c r="M69" s="361"/>
      <c r="N69" s="151"/>
      <c r="O69" s="362"/>
      <c r="P69" s="134"/>
    </row>
    <row r="70" spans="1:16" s="140" customFormat="1" ht="13.5" thickBot="1" x14ac:dyDescent="0.3">
      <c r="A70" s="141"/>
      <c r="B70" s="155"/>
      <c r="C70" s="151"/>
      <c r="D70" s="152"/>
      <c r="E70" s="361"/>
      <c r="F70" s="151"/>
      <c r="G70" s="362"/>
      <c r="H70" s="134"/>
      <c r="I70" s="141"/>
      <c r="J70" s="155"/>
      <c r="K70" s="151"/>
      <c r="L70" s="152"/>
      <c r="M70" s="361"/>
      <c r="N70" s="151"/>
      <c r="O70" s="362"/>
      <c r="P70" s="134"/>
    </row>
    <row r="71" spans="1:16" s="140" customFormat="1" ht="13.5" thickBot="1" x14ac:dyDescent="0.3">
      <c r="A71" s="141"/>
      <c r="B71" s="157"/>
      <c r="C71" s="158"/>
      <c r="D71" s="159"/>
      <c r="E71" s="369"/>
      <c r="F71" s="158"/>
      <c r="G71" s="363"/>
      <c r="H71" s="161">
        <f>+SUM(G65:G71)</f>
        <v>14911.573030246453</v>
      </c>
      <c r="I71" s="141"/>
      <c r="J71" s="157"/>
      <c r="K71" s="158"/>
      <c r="L71" s="159"/>
      <c r="M71" s="369"/>
      <c r="N71" s="158"/>
      <c r="O71" s="363"/>
      <c r="P71" s="161">
        <f>+SUM(O65:O71)</f>
        <v>2700</v>
      </c>
    </row>
    <row r="72" spans="1:16" s="140" customFormat="1" ht="13.5" thickBot="1" x14ac:dyDescent="0.3">
      <c r="A72" s="141"/>
      <c r="B72" s="162"/>
      <c r="C72" s="163"/>
      <c r="D72" s="162"/>
      <c r="E72" s="364"/>
      <c r="F72" s="163"/>
      <c r="G72" s="364"/>
      <c r="H72" s="165"/>
      <c r="I72" s="141"/>
      <c r="J72" s="162"/>
      <c r="K72" s="163"/>
      <c r="L72" s="162"/>
      <c r="M72" s="364"/>
      <c r="N72" s="163"/>
      <c r="O72" s="364"/>
      <c r="P72" s="165"/>
    </row>
    <row r="73" spans="1:16" s="140" customFormat="1" ht="13.5" thickBot="1" x14ac:dyDescent="0.3">
      <c r="B73" s="143" t="s">
        <v>5408</v>
      </c>
      <c r="C73" s="144" t="s">
        <v>867</v>
      </c>
      <c r="D73" s="144" t="s">
        <v>6</v>
      </c>
      <c r="E73" s="370" t="s">
        <v>870</v>
      </c>
      <c r="F73" s="144" t="s">
        <v>5409</v>
      </c>
      <c r="G73" s="365" t="s">
        <v>868</v>
      </c>
      <c r="H73" s="134"/>
      <c r="J73" s="143" t="s">
        <v>5408</v>
      </c>
      <c r="K73" s="144" t="s">
        <v>867</v>
      </c>
      <c r="L73" s="144" t="s">
        <v>6</v>
      </c>
      <c r="M73" s="370" t="s">
        <v>870</v>
      </c>
      <c r="N73" s="144" t="s">
        <v>5409</v>
      </c>
      <c r="O73" s="365" t="s">
        <v>868</v>
      </c>
      <c r="P73" s="134"/>
    </row>
    <row r="74" spans="1:16" s="140" customFormat="1" ht="12.75" x14ac:dyDescent="0.25">
      <c r="B74" s="201" t="s">
        <v>5996</v>
      </c>
      <c r="C74" s="147" t="s">
        <v>5430</v>
      </c>
      <c r="D74" s="211">
        <v>1</v>
      </c>
      <c r="E74" s="366">
        <v>382719</v>
      </c>
      <c r="F74" s="169">
        <v>0.2</v>
      </c>
      <c r="G74" s="367">
        <f>+D74*E74*(1+F74)</f>
        <v>459262.8</v>
      </c>
      <c r="H74" s="134"/>
      <c r="J74" s="201" t="s">
        <v>5996</v>
      </c>
      <c r="K74" s="147" t="s">
        <v>5430</v>
      </c>
      <c r="L74" s="211">
        <v>1</v>
      </c>
      <c r="M74" s="366">
        <v>382719</v>
      </c>
      <c r="N74" s="169">
        <v>0.2</v>
      </c>
      <c r="O74" s="367">
        <f>+L74*M74*(1+N74)</f>
        <v>459262.8</v>
      </c>
      <c r="P74" s="134"/>
    </row>
    <row r="75" spans="1:16" s="140" customFormat="1" ht="12.75" x14ac:dyDescent="0.25">
      <c r="B75" s="155" t="s">
        <v>5961</v>
      </c>
      <c r="C75" s="151" t="s">
        <v>5944</v>
      </c>
      <c r="D75" s="205">
        <v>1</v>
      </c>
      <c r="E75" s="346">
        <v>2100</v>
      </c>
      <c r="F75" s="169">
        <v>0.1</v>
      </c>
      <c r="G75" s="367">
        <f>+D75*E75*(1+F75)</f>
        <v>2310</v>
      </c>
      <c r="H75" s="134"/>
      <c r="J75" s="155" t="s">
        <v>5961</v>
      </c>
      <c r="K75" s="151" t="s">
        <v>5944</v>
      </c>
      <c r="L75" s="205">
        <v>1</v>
      </c>
      <c r="M75" s="346">
        <v>2100</v>
      </c>
      <c r="N75" s="169">
        <v>0.1</v>
      </c>
      <c r="O75" s="367">
        <f>+L75*M75*(1+N75)</f>
        <v>2310</v>
      </c>
      <c r="P75" s="134"/>
    </row>
    <row r="76" spans="1:16" s="140" customFormat="1" ht="12.75" x14ac:dyDescent="0.25">
      <c r="B76" s="196" t="s">
        <v>5962</v>
      </c>
      <c r="C76" s="151" t="s">
        <v>5944</v>
      </c>
      <c r="D76" s="205">
        <v>2</v>
      </c>
      <c r="E76" s="346">
        <v>4930</v>
      </c>
      <c r="F76" s="169">
        <v>0.1</v>
      </c>
      <c r="G76" s="367">
        <f>+D76*E76*(1+F76)</f>
        <v>10846</v>
      </c>
      <c r="H76" s="134"/>
      <c r="J76" s="196" t="s">
        <v>5962</v>
      </c>
      <c r="K76" s="151" t="s">
        <v>5944</v>
      </c>
      <c r="L76" s="205">
        <v>2</v>
      </c>
      <c r="M76" s="346">
        <v>4930</v>
      </c>
      <c r="N76" s="169">
        <v>0.1</v>
      </c>
      <c r="O76" s="367">
        <f>+L76*M76*(1+N76)</f>
        <v>10846</v>
      </c>
      <c r="P76" s="134"/>
    </row>
    <row r="77" spans="1:16" s="140" customFormat="1" ht="12.75" x14ac:dyDescent="0.25">
      <c r="B77" s="155"/>
      <c r="C77" s="152"/>
      <c r="D77" s="152"/>
      <c r="E77" s="361"/>
      <c r="F77" s="151"/>
      <c r="G77" s="362"/>
      <c r="H77" s="134"/>
      <c r="J77" s="155"/>
      <c r="K77" s="152"/>
      <c r="L77" s="152"/>
      <c r="M77" s="361"/>
      <c r="N77" s="151"/>
      <c r="O77" s="362"/>
      <c r="P77" s="134"/>
    </row>
    <row r="78" spans="1:16" s="140" customFormat="1" ht="12.75" x14ac:dyDescent="0.25">
      <c r="B78" s="155"/>
      <c r="C78" s="152"/>
      <c r="D78" s="152"/>
      <c r="E78" s="361"/>
      <c r="F78" s="151"/>
      <c r="G78" s="362"/>
      <c r="H78" s="134"/>
      <c r="J78" s="155"/>
      <c r="K78" s="152"/>
      <c r="L78" s="152"/>
      <c r="M78" s="361"/>
      <c r="N78" s="151"/>
      <c r="O78" s="362"/>
      <c r="P78" s="134"/>
    </row>
    <row r="79" spans="1:16" s="140" customFormat="1" ht="12.75" x14ac:dyDescent="0.25">
      <c r="B79" s="155"/>
      <c r="C79" s="152"/>
      <c r="D79" s="152"/>
      <c r="E79" s="361"/>
      <c r="F79" s="151"/>
      <c r="G79" s="362"/>
      <c r="H79" s="134"/>
      <c r="J79" s="155"/>
      <c r="K79" s="152"/>
      <c r="L79" s="152"/>
      <c r="M79" s="361"/>
      <c r="N79" s="151"/>
      <c r="O79" s="362"/>
      <c r="P79" s="134"/>
    </row>
    <row r="80" spans="1:16" s="140" customFormat="1" ht="12.75" x14ac:dyDescent="0.25">
      <c r="B80" s="155"/>
      <c r="C80" s="152"/>
      <c r="D80" s="152"/>
      <c r="E80" s="361"/>
      <c r="F80" s="151"/>
      <c r="G80" s="362"/>
      <c r="H80" s="134"/>
      <c r="J80" s="155"/>
      <c r="K80" s="152"/>
      <c r="L80" s="152"/>
      <c r="M80" s="361"/>
      <c r="N80" s="151"/>
      <c r="O80" s="362"/>
      <c r="P80" s="134"/>
    </row>
    <row r="81" spans="2:16" s="140" customFormat="1" ht="12.75" x14ac:dyDescent="0.25">
      <c r="B81" s="155"/>
      <c r="C81" s="152"/>
      <c r="D81" s="152"/>
      <c r="E81" s="361"/>
      <c r="F81" s="151"/>
      <c r="G81" s="362"/>
      <c r="H81" s="134"/>
      <c r="J81" s="155"/>
      <c r="K81" s="152"/>
      <c r="L81" s="152"/>
      <c r="M81" s="361"/>
      <c r="N81" s="151"/>
      <c r="O81" s="362"/>
      <c r="P81" s="134"/>
    </row>
    <row r="82" spans="2:16" s="140" customFormat="1" ht="12.75" x14ac:dyDescent="0.25">
      <c r="B82" s="155"/>
      <c r="C82" s="152"/>
      <c r="D82" s="152"/>
      <c r="E82" s="361"/>
      <c r="F82" s="151"/>
      <c r="G82" s="362"/>
      <c r="H82" s="134"/>
      <c r="J82" s="155"/>
      <c r="K82" s="152"/>
      <c r="L82" s="152"/>
      <c r="M82" s="361"/>
      <c r="N82" s="151"/>
      <c r="O82" s="362"/>
      <c r="P82" s="134"/>
    </row>
    <row r="83" spans="2:16" s="140" customFormat="1" ht="12.75" x14ac:dyDescent="0.25">
      <c r="B83" s="155"/>
      <c r="C83" s="152"/>
      <c r="D83" s="152"/>
      <c r="E83" s="361"/>
      <c r="F83" s="151"/>
      <c r="G83" s="362"/>
      <c r="H83" s="134"/>
      <c r="J83" s="155"/>
      <c r="K83" s="152"/>
      <c r="L83" s="152"/>
      <c r="M83" s="361"/>
      <c r="N83" s="151"/>
      <c r="O83" s="362"/>
      <c r="P83" s="134"/>
    </row>
    <row r="84" spans="2:16" s="140" customFormat="1" ht="12.75" x14ac:dyDescent="0.25">
      <c r="B84" s="155"/>
      <c r="C84" s="152"/>
      <c r="D84" s="152"/>
      <c r="E84" s="361"/>
      <c r="F84" s="151"/>
      <c r="G84" s="362"/>
      <c r="H84" s="134"/>
      <c r="J84" s="155"/>
      <c r="K84" s="152"/>
      <c r="L84" s="152"/>
      <c r="M84" s="361"/>
      <c r="N84" s="151"/>
      <c r="O84" s="362"/>
      <c r="P84" s="134"/>
    </row>
    <row r="85" spans="2:16" s="140" customFormat="1" ht="13.5" thickBot="1" x14ac:dyDescent="0.3">
      <c r="B85" s="155"/>
      <c r="C85" s="152"/>
      <c r="D85" s="152"/>
      <c r="E85" s="361"/>
      <c r="F85" s="151"/>
      <c r="G85" s="362"/>
      <c r="H85" s="134"/>
      <c r="J85" s="155"/>
      <c r="K85" s="152"/>
      <c r="L85" s="152"/>
      <c r="M85" s="361"/>
      <c r="N85" s="151"/>
      <c r="O85" s="362"/>
      <c r="P85" s="134"/>
    </row>
    <row r="86" spans="2:16" s="140" customFormat="1" ht="13.5" thickBot="1" x14ac:dyDescent="0.3">
      <c r="B86" s="157"/>
      <c r="C86" s="159"/>
      <c r="D86" s="159"/>
      <c r="E86" s="369"/>
      <c r="F86" s="158"/>
      <c r="G86" s="363"/>
      <c r="H86" s="161">
        <f>+SUM(G74:G86)</f>
        <v>472418.8</v>
      </c>
      <c r="J86" s="157"/>
      <c r="K86" s="159"/>
      <c r="L86" s="159"/>
      <c r="M86" s="369"/>
      <c r="N86" s="158"/>
      <c r="O86" s="363"/>
      <c r="P86" s="161">
        <f>+SUM(O74:O86)</f>
        <v>472418.8</v>
      </c>
    </row>
    <row r="87" spans="2:16" s="140" customFormat="1" ht="13.5" thickBot="1" x14ac:dyDescent="0.3">
      <c r="B87" s="162"/>
      <c r="C87" s="162"/>
      <c r="D87" s="162"/>
      <c r="E87" s="364"/>
      <c r="F87" s="163"/>
      <c r="G87" s="364"/>
      <c r="H87" s="165"/>
      <c r="J87" s="162"/>
      <c r="K87" s="162"/>
      <c r="L87" s="162"/>
      <c r="M87" s="364"/>
      <c r="N87" s="163"/>
      <c r="O87" s="364"/>
      <c r="P87" s="165"/>
    </row>
    <row r="88" spans="2:16" s="140" customFormat="1" ht="13.5" thickBot="1" x14ac:dyDescent="0.3">
      <c r="B88" s="143" t="s">
        <v>5410</v>
      </c>
      <c r="C88" s="144" t="s">
        <v>867</v>
      </c>
      <c r="D88" s="144" t="s">
        <v>6</v>
      </c>
      <c r="E88" s="370" t="s">
        <v>870</v>
      </c>
      <c r="F88" s="144" t="s">
        <v>5411</v>
      </c>
      <c r="G88" s="365" t="s">
        <v>868</v>
      </c>
      <c r="H88" s="134"/>
      <c r="J88" s="143" t="s">
        <v>5410</v>
      </c>
      <c r="K88" s="144" t="s">
        <v>867</v>
      </c>
      <c r="L88" s="144" t="s">
        <v>6</v>
      </c>
      <c r="M88" s="370" t="s">
        <v>870</v>
      </c>
      <c r="N88" s="144" t="s">
        <v>5411</v>
      </c>
      <c r="O88" s="365" t="s">
        <v>868</v>
      </c>
      <c r="P88" s="134"/>
    </row>
    <row r="89" spans="2:16" s="140" customFormat="1" ht="12.75" x14ac:dyDescent="0.25">
      <c r="B89" s="201" t="s">
        <v>5997</v>
      </c>
      <c r="C89" s="147" t="s">
        <v>5430</v>
      </c>
      <c r="D89" s="211">
        <v>1.1499999999999999</v>
      </c>
      <c r="E89" s="366">
        <v>31850</v>
      </c>
      <c r="F89" s="211">
        <v>1</v>
      </c>
      <c r="G89" s="367">
        <f>+D89*E89*F89</f>
        <v>36627.5</v>
      </c>
      <c r="H89" s="134"/>
      <c r="J89" s="201" t="s">
        <v>5997</v>
      </c>
      <c r="K89" s="147" t="s">
        <v>5430</v>
      </c>
      <c r="L89" s="211">
        <v>1.1499999999999999</v>
      </c>
      <c r="M89" s="366">
        <v>31850</v>
      </c>
      <c r="N89" s="211">
        <v>1</v>
      </c>
      <c r="O89" s="367">
        <f>+L89*M89*N89</f>
        <v>36627.5</v>
      </c>
      <c r="P89" s="134"/>
    </row>
    <row r="90" spans="2:16" s="140" customFormat="1" ht="12.75" x14ac:dyDescent="0.25">
      <c r="B90" s="166"/>
      <c r="C90" s="148"/>
      <c r="D90" s="148"/>
      <c r="E90" s="148"/>
      <c r="F90" s="147"/>
      <c r="G90" s="172"/>
      <c r="H90" s="134"/>
      <c r="J90" s="166"/>
      <c r="K90" s="148"/>
      <c r="L90" s="148"/>
      <c r="M90" s="148"/>
      <c r="N90" s="147"/>
      <c r="O90" s="172"/>
      <c r="P90" s="134"/>
    </row>
    <row r="91" spans="2:16" s="140" customFormat="1" ht="12.75" x14ac:dyDescent="0.25">
      <c r="B91" s="155"/>
      <c r="C91" s="152"/>
      <c r="D91" s="152"/>
      <c r="E91" s="152"/>
      <c r="F91" s="151"/>
      <c r="G91" s="156"/>
      <c r="H91" s="134"/>
      <c r="J91" s="155"/>
      <c r="K91" s="152"/>
      <c r="L91" s="152"/>
      <c r="M91" s="152"/>
      <c r="N91" s="151"/>
      <c r="O91" s="156"/>
      <c r="P91" s="134"/>
    </row>
    <row r="92" spans="2:16" s="140" customFormat="1" ht="12.75" x14ac:dyDescent="0.25">
      <c r="B92" s="155"/>
      <c r="C92" s="152"/>
      <c r="D92" s="152"/>
      <c r="E92" s="152"/>
      <c r="F92" s="151"/>
      <c r="G92" s="156"/>
      <c r="H92" s="134"/>
      <c r="J92" s="155"/>
      <c r="K92" s="152"/>
      <c r="L92" s="152"/>
      <c r="M92" s="152"/>
      <c r="N92" s="151"/>
      <c r="O92" s="156"/>
      <c r="P92" s="134"/>
    </row>
    <row r="93" spans="2:16" s="140" customFormat="1" ht="13.5" thickBot="1" x14ac:dyDescent="0.3">
      <c r="B93" s="155"/>
      <c r="C93" s="152"/>
      <c r="D93" s="152"/>
      <c r="E93" s="152"/>
      <c r="F93" s="151"/>
      <c r="G93" s="156"/>
      <c r="H93" s="134"/>
      <c r="J93" s="155"/>
      <c r="K93" s="152"/>
      <c r="L93" s="152"/>
      <c r="M93" s="152"/>
      <c r="N93" s="151"/>
      <c r="O93" s="156"/>
      <c r="P93" s="134"/>
    </row>
    <row r="94" spans="2:16" s="140" customFormat="1" ht="13.5" thickBot="1" x14ac:dyDescent="0.3">
      <c r="B94" s="157"/>
      <c r="C94" s="159"/>
      <c r="D94" s="159"/>
      <c r="E94" s="159"/>
      <c r="F94" s="158"/>
      <c r="G94" s="160"/>
      <c r="H94" s="161">
        <f>+SUM(G89:G94)</f>
        <v>36627.5</v>
      </c>
      <c r="J94" s="157"/>
      <c r="K94" s="159"/>
      <c r="L94" s="159"/>
      <c r="M94" s="159"/>
      <c r="N94" s="158"/>
      <c r="O94" s="160"/>
      <c r="P94" s="161">
        <f>+SUM(O89:O94)</f>
        <v>36627.5</v>
      </c>
    </row>
    <row r="95" spans="2:16" s="140" customFormat="1" ht="13.5" thickBot="1" x14ac:dyDescent="0.3">
      <c r="B95" s="162"/>
      <c r="C95" s="162"/>
      <c r="D95" s="162"/>
      <c r="E95" s="162"/>
      <c r="F95" s="173"/>
      <c r="G95" s="174"/>
      <c r="H95" s="165"/>
      <c r="J95" s="162"/>
      <c r="K95" s="162"/>
      <c r="L95" s="162"/>
      <c r="M95" s="162"/>
      <c r="N95" s="173"/>
      <c r="O95" s="174"/>
      <c r="P95" s="165"/>
    </row>
    <row r="96" spans="2:16" s="140" customFormat="1" ht="13.5" thickBot="1" x14ac:dyDescent="0.3">
      <c r="B96" s="143" t="s">
        <v>5412</v>
      </c>
      <c r="C96" s="193" t="s">
        <v>5420</v>
      </c>
      <c r="D96" s="193" t="s">
        <v>5421</v>
      </c>
      <c r="E96" s="193" t="s">
        <v>5413</v>
      </c>
      <c r="F96" s="144" t="s">
        <v>5405</v>
      </c>
      <c r="G96" s="145" t="s">
        <v>868</v>
      </c>
      <c r="H96" s="134"/>
      <c r="J96" s="143" t="s">
        <v>5412</v>
      </c>
      <c r="K96" s="193" t="s">
        <v>5420</v>
      </c>
      <c r="L96" s="193" t="s">
        <v>5421</v>
      </c>
      <c r="M96" s="193" t="s">
        <v>5413</v>
      </c>
      <c r="N96" s="144" t="s">
        <v>5405</v>
      </c>
      <c r="O96" s="145" t="s">
        <v>868</v>
      </c>
      <c r="P96" s="134"/>
    </row>
    <row r="97" spans="1:16" s="140" customFormat="1" ht="12.75" x14ac:dyDescent="0.25">
      <c r="B97" s="194" t="s">
        <v>5948</v>
      </c>
      <c r="C97" s="345">
        <v>70000</v>
      </c>
      <c r="D97" s="345">
        <v>53961.351755041069</v>
      </c>
      <c r="E97" s="345">
        <v>117445.29499626586</v>
      </c>
      <c r="F97" s="192">
        <v>500</v>
      </c>
      <c r="G97" s="351">
        <f>+E97/F97</f>
        <v>234.89058999253172</v>
      </c>
      <c r="H97" s="134"/>
      <c r="J97" s="194" t="s">
        <v>5948</v>
      </c>
      <c r="K97" s="345">
        <v>70000</v>
      </c>
      <c r="L97" s="345">
        <v>53961.351755041069</v>
      </c>
      <c r="M97" s="345">
        <v>117445.29499626586</v>
      </c>
      <c r="N97" s="192">
        <v>50</v>
      </c>
      <c r="O97" s="351">
        <f>+M97/N97</f>
        <v>2348.905899925317</v>
      </c>
      <c r="P97" s="134"/>
    </row>
    <row r="98" spans="1:16" s="140" customFormat="1" ht="12.75" x14ac:dyDescent="0.25">
      <c r="B98" s="194" t="s">
        <v>5949</v>
      </c>
      <c r="C98" s="345">
        <v>40000</v>
      </c>
      <c r="D98" s="345">
        <v>26980.675877520534</v>
      </c>
      <c r="E98" s="345">
        <v>58722.64749813293</v>
      </c>
      <c r="F98" s="192">
        <v>100</v>
      </c>
      <c r="G98" s="351">
        <f>+E98/F98</f>
        <v>587.22647498132926</v>
      </c>
      <c r="H98" s="134"/>
      <c r="J98" s="194" t="s">
        <v>5949</v>
      </c>
      <c r="K98" s="345">
        <v>40000</v>
      </c>
      <c r="L98" s="345">
        <v>26980.675877520534</v>
      </c>
      <c r="M98" s="345">
        <v>58722.64749813293</v>
      </c>
      <c r="N98" s="192">
        <v>5</v>
      </c>
      <c r="O98" s="351">
        <f>+M98/N98</f>
        <v>11744.529499626586</v>
      </c>
      <c r="P98" s="134"/>
    </row>
    <row r="99" spans="1:16" s="140" customFormat="1" ht="12.75" x14ac:dyDescent="0.25">
      <c r="B99" s="195" t="s">
        <v>5635</v>
      </c>
      <c r="C99" s="345">
        <v>20600</v>
      </c>
      <c r="D99" s="345">
        <v>16188.405526512322</v>
      </c>
      <c r="E99" s="345">
        <v>35233.588498879762</v>
      </c>
      <c r="F99" s="192">
        <v>25</v>
      </c>
      <c r="G99" s="351">
        <f>+E99/F99</f>
        <v>1409.3435399551904</v>
      </c>
      <c r="H99" s="134"/>
      <c r="J99" s="195" t="s">
        <v>5635</v>
      </c>
      <c r="K99" s="345">
        <v>20600</v>
      </c>
      <c r="L99" s="345">
        <v>16188.405526512322</v>
      </c>
      <c r="M99" s="345">
        <v>35233.588498879762</v>
      </c>
      <c r="N99" s="192">
        <v>2</v>
      </c>
      <c r="O99" s="351">
        <f>+M99/N99</f>
        <v>17616.794249439881</v>
      </c>
      <c r="P99" s="134"/>
    </row>
    <row r="100" spans="1:16" s="140" customFormat="1" ht="12.75" x14ac:dyDescent="0.25">
      <c r="B100" s="155"/>
      <c r="C100" s="152"/>
      <c r="D100" s="152"/>
      <c r="E100" s="152"/>
      <c r="F100" s="151"/>
      <c r="G100" s="156"/>
      <c r="H100" s="134"/>
      <c r="J100" s="155"/>
      <c r="K100" s="152"/>
      <c r="L100" s="152"/>
      <c r="M100" s="152"/>
      <c r="N100" s="151"/>
      <c r="O100" s="156"/>
      <c r="P100" s="134"/>
    </row>
    <row r="101" spans="1:16" s="140" customFormat="1" ht="12.75" x14ac:dyDescent="0.25">
      <c r="B101" s="155"/>
      <c r="C101" s="152"/>
      <c r="D101" s="152"/>
      <c r="E101" s="152"/>
      <c r="F101" s="151"/>
      <c r="G101" s="156"/>
      <c r="H101" s="134"/>
      <c r="J101" s="155"/>
      <c r="K101" s="152"/>
      <c r="L101" s="152"/>
      <c r="M101" s="152"/>
      <c r="N101" s="151"/>
      <c r="O101" s="156"/>
      <c r="P101" s="134"/>
    </row>
    <row r="102" spans="1:16" s="140" customFormat="1" ht="13.5" thickBot="1" x14ac:dyDescent="0.3">
      <c r="B102" s="155"/>
      <c r="C102" s="152"/>
      <c r="D102" s="152"/>
      <c r="E102" s="152"/>
      <c r="F102" s="151"/>
      <c r="G102" s="156"/>
      <c r="H102" s="134"/>
      <c r="J102" s="155"/>
      <c r="K102" s="152"/>
      <c r="L102" s="152"/>
      <c r="M102" s="152"/>
      <c r="N102" s="151"/>
      <c r="O102" s="156"/>
      <c r="P102" s="134"/>
    </row>
    <row r="103" spans="1:16" s="140" customFormat="1" ht="13.5" thickBot="1" x14ac:dyDescent="0.3">
      <c r="B103" s="179"/>
      <c r="C103" s="180"/>
      <c r="D103" s="180"/>
      <c r="E103" s="180"/>
      <c r="F103" s="181"/>
      <c r="G103" s="182"/>
      <c r="H103" s="161">
        <f>+SUM(G97:G103)</f>
        <v>2231.4606049290514</v>
      </c>
      <c r="J103" s="179"/>
      <c r="K103" s="180"/>
      <c r="L103" s="180"/>
      <c r="M103" s="180"/>
      <c r="N103" s="181"/>
      <c r="O103" s="182"/>
      <c r="P103" s="161">
        <f>+SUM(O97:O103)</f>
        <v>31710.229648991786</v>
      </c>
    </row>
    <row r="104" spans="1:16" s="140" customFormat="1" ht="13.5" thickBot="1" x14ac:dyDescent="0.3">
      <c r="F104" s="141"/>
      <c r="G104" s="134"/>
      <c r="H104" s="134"/>
      <c r="N104" s="141"/>
      <c r="O104" s="134"/>
      <c r="P104" s="134"/>
    </row>
    <row r="105" spans="1:16" s="140" customFormat="1" ht="13.5" thickBot="1" x14ac:dyDescent="0.3">
      <c r="E105" s="183" t="s">
        <v>5415</v>
      </c>
      <c r="F105" s="141"/>
      <c r="G105" s="134"/>
      <c r="H105" s="161">
        <f>ROUND(+H71+H86+H94+H103,0)</f>
        <v>526189</v>
      </c>
      <c r="M105" s="183" t="s">
        <v>5415</v>
      </c>
      <c r="N105" s="141"/>
      <c r="O105" s="134"/>
      <c r="P105" s="161">
        <f>ROUND(+P71+P86+P94+P103,0)</f>
        <v>543457</v>
      </c>
    </row>
    <row r="106" spans="1:16" s="8" customFormat="1" ht="12.75" x14ac:dyDescent="0.25">
      <c r="F106" s="133"/>
      <c r="N106" s="133"/>
    </row>
    <row r="107" spans="1:16" s="8" customFormat="1" ht="12.75" x14ac:dyDescent="0.25">
      <c r="F107" s="133"/>
      <c r="H107" s="368"/>
      <c r="N107" s="133"/>
      <c r="P107" s="368"/>
    </row>
    <row r="108" spans="1:16" s="8" customFormat="1" ht="12.75" x14ac:dyDescent="0.25">
      <c r="F108" s="133"/>
      <c r="N108" s="133"/>
    </row>
    <row r="109" spans="1:16" s="8" customFormat="1" ht="12.75" x14ac:dyDescent="0.25">
      <c r="F109" s="133"/>
      <c r="N109" s="133"/>
    </row>
    <row r="110" spans="1:16" s="8" customFormat="1" ht="18.75" x14ac:dyDescent="0.25">
      <c r="A110" s="133"/>
      <c r="B110" s="2506" t="s">
        <v>5400</v>
      </c>
      <c r="C110" s="2506"/>
      <c r="D110" s="2506"/>
      <c r="E110" s="2506"/>
      <c r="F110" s="2506"/>
      <c r="G110" s="2506"/>
      <c r="I110" s="133"/>
      <c r="J110" s="2506" t="s">
        <v>5400</v>
      </c>
      <c r="K110" s="2506"/>
      <c r="L110" s="2506"/>
      <c r="M110" s="2506"/>
      <c r="N110" s="2506"/>
      <c r="O110" s="2506"/>
    </row>
    <row r="111" spans="1:16" s="8" customFormat="1" ht="12.75" x14ac:dyDescent="0.25">
      <c r="A111" s="133"/>
      <c r="F111" s="133"/>
      <c r="G111" s="134"/>
      <c r="I111" s="133"/>
      <c r="N111" s="133"/>
      <c r="O111" s="134"/>
    </row>
    <row r="112" spans="1:16" s="8" customFormat="1" ht="12.75" x14ac:dyDescent="0.25">
      <c r="A112" s="133"/>
      <c r="F112" s="133"/>
      <c r="G112" s="134"/>
      <c r="I112" s="133"/>
      <c r="N112" s="133"/>
      <c r="O112" s="134"/>
    </row>
    <row r="113" spans="1:16" s="8" customFormat="1" ht="12.75" x14ac:dyDescent="0.25">
      <c r="A113" s="133"/>
      <c r="F113" s="133"/>
      <c r="G113" s="134"/>
      <c r="I113" s="133"/>
      <c r="N113" s="133"/>
      <c r="O113" s="134"/>
    </row>
    <row r="114" spans="1:16" s="140" customFormat="1" ht="12.75" x14ac:dyDescent="0.25">
      <c r="A114" s="138" t="s">
        <v>3</v>
      </c>
      <c r="B114" s="138" t="s">
        <v>780</v>
      </c>
      <c r="C114" s="2451" t="s">
        <v>5582</v>
      </c>
      <c r="D114" s="2451"/>
      <c r="E114" s="2451"/>
      <c r="F114" s="138" t="s">
        <v>867</v>
      </c>
      <c r="G114" s="139" t="s">
        <v>5454</v>
      </c>
      <c r="H114" s="134"/>
      <c r="I114" s="138" t="s">
        <v>3</v>
      </c>
      <c r="J114" s="138" t="s">
        <v>780</v>
      </c>
      <c r="K114" s="2451" t="s">
        <v>5582</v>
      </c>
      <c r="L114" s="2451"/>
      <c r="M114" s="2451"/>
      <c r="N114" s="138" t="s">
        <v>867</v>
      </c>
      <c r="O114" s="139" t="s">
        <v>5454</v>
      </c>
      <c r="P114" s="134"/>
    </row>
    <row r="115" spans="1:16" s="140" customFormat="1" ht="12.75" x14ac:dyDescent="0.25">
      <c r="A115" s="141"/>
      <c r="F115" s="141"/>
      <c r="G115" s="134"/>
      <c r="H115" s="134"/>
      <c r="I115" s="141"/>
      <c r="N115" s="141"/>
      <c r="O115" s="134"/>
      <c r="P115" s="134"/>
    </row>
    <row r="116" spans="1:16" s="140" customFormat="1" ht="12.75" x14ac:dyDescent="0.25">
      <c r="A116" s="141"/>
      <c r="F116" s="141"/>
      <c r="G116" s="142"/>
      <c r="H116" s="134"/>
      <c r="I116" s="141"/>
      <c r="N116" s="141"/>
      <c r="O116" s="142"/>
      <c r="P116" s="134"/>
    </row>
    <row r="117" spans="1:16" s="140" customFormat="1" ht="13.5" thickBot="1" x14ac:dyDescent="0.3">
      <c r="A117" s="141"/>
      <c r="F117" s="141"/>
      <c r="G117" s="134"/>
      <c r="H117" s="134"/>
      <c r="I117" s="141"/>
      <c r="N117" s="141"/>
      <c r="O117" s="134"/>
      <c r="P117" s="134"/>
    </row>
    <row r="118" spans="1:16" s="140" customFormat="1" ht="13.5" thickBot="1" x14ac:dyDescent="0.3">
      <c r="A118" s="141"/>
      <c r="B118" s="143" t="s">
        <v>5403</v>
      </c>
      <c r="C118" s="144" t="s">
        <v>867</v>
      </c>
      <c r="D118" s="144" t="s">
        <v>6</v>
      </c>
      <c r="E118" s="144" t="s">
        <v>5404</v>
      </c>
      <c r="F118" s="144" t="s">
        <v>5405</v>
      </c>
      <c r="G118" s="145" t="s">
        <v>868</v>
      </c>
      <c r="H118" s="134"/>
      <c r="I118" s="141"/>
      <c r="J118" s="143" t="s">
        <v>5403</v>
      </c>
      <c r="K118" s="144" t="s">
        <v>867</v>
      </c>
      <c r="L118" s="144" t="s">
        <v>6</v>
      </c>
      <c r="M118" s="144" t="s">
        <v>5404</v>
      </c>
      <c r="N118" s="144" t="s">
        <v>5405</v>
      </c>
      <c r="O118" s="145" t="s">
        <v>868</v>
      </c>
      <c r="P118" s="134"/>
    </row>
    <row r="119" spans="1:16" s="140" customFormat="1" ht="12.75" x14ac:dyDescent="0.25">
      <c r="A119" s="141"/>
      <c r="B119" s="146" t="s">
        <v>5934</v>
      </c>
      <c r="C119" s="147" t="s">
        <v>5406</v>
      </c>
      <c r="D119" s="148"/>
      <c r="E119" s="434">
        <f>+H157</f>
        <v>2231.4606049290514</v>
      </c>
      <c r="F119" s="191">
        <v>0.05</v>
      </c>
      <c r="G119" s="360">
        <f>+E119*F119</f>
        <v>111.57303024645257</v>
      </c>
      <c r="H119" s="134"/>
      <c r="I119" s="141"/>
      <c r="J119" s="146" t="s">
        <v>5934</v>
      </c>
      <c r="K119" s="147" t="s">
        <v>5406</v>
      </c>
      <c r="L119" s="148"/>
      <c r="M119" s="359">
        <v>1000</v>
      </c>
      <c r="N119" s="191">
        <v>0.1</v>
      </c>
      <c r="O119" s="360">
        <f>+M119*N119</f>
        <v>100</v>
      </c>
      <c r="P119" s="134"/>
    </row>
    <row r="120" spans="1:16" s="140" customFormat="1" ht="12.75" x14ac:dyDescent="0.25">
      <c r="A120" s="141"/>
      <c r="B120" s="150" t="s">
        <v>5959</v>
      </c>
      <c r="C120" s="151" t="s">
        <v>5414</v>
      </c>
      <c r="D120" s="152"/>
      <c r="E120" s="433">
        <v>1100000</v>
      </c>
      <c r="F120" s="192">
        <v>125</v>
      </c>
      <c r="G120" s="360">
        <f>+E120/F120</f>
        <v>8800</v>
      </c>
      <c r="H120" s="134"/>
      <c r="I120" s="141"/>
      <c r="J120" s="150" t="s">
        <v>5960</v>
      </c>
      <c r="K120" s="151" t="s">
        <v>5995</v>
      </c>
      <c r="L120" s="212">
        <v>1</v>
      </c>
      <c r="M120" s="361">
        <v>65000</v>
      </c>
      <c r="N120" s="192">
        <v>25</v>
      </c>
      <c r="O120" s="360">
        <f>+M120/N120</f>
        <v>2600</v>
      </c>
      <c r="P120" s="134"/>
    </row>
    <row r="121" spans="1:16" s="140" customFormat="1" ht="12.75" x14ac:dyDescent="0.25">
      <c r="A121" s="141"/>
      <c r="B121" s="150" t="s">
        <v>5992</v>
      </c>
      <c r="C121" s="151"/>
      <c r="D121" s="152"/>
      <c r="E121" s="361">
        <v>75000</v>
      </c>
      <c r="F121" s="192">
        <v>25</v>
      </c>
      <c r="G121" s="360">
        <f>+E121/F121</f>
        <v>3000</v>
      </c>
      <c r="H121" s="134"/>
      <c r="I121" s="141"/>
      <c r="J121" s="154"/>
      <c r="K121" s="151"/>
      <c r="L121" s="152"/>
      <c r="M121" s="361"/>
      <c r="N121" s="153"/>
      <c r="O121" s="360"/>
      <c r="P121" s="134"/>
    </row>
    <row r="122" spans="1:16" s="140" customFormat="1" ht="12.75" x14ac:dyDescent="0.25">
      <c r="A122" s="141"/>
      <c r="B122" s="155" t="s">
        <v>5958</v>
      </c>
      <c r="C122" s="151"/>
      <c r="D122" s="152"/>
      <c r="E122" s="361">
        <v>75000</v>
      </c>
      <c r="F122" s="205">
        <v>25</v>
      </c>
      <c r="G122" s="360">
        <f>+E122/F122</f>
        <v>3000</v>
      </c>
      <c r="H122" s="134"/>
      <c r="I122" s="141"/>
      <c r="J122" s="155"/>
      <c r="K122" s="151"/>
      <c r="L122" s="152"/>
      <c r="M122" s="361"/>
      <c r="N122" s="151"/>
      <c r="O122" s="362"/>
      <c r="P122" s="134"/>
    </row>
    <row r="123" spans="1:16" s="140" customFormat="1" ht="12.75" x14ac:dyDescent="0.25">
      <c r="A123" s="141"/>
      <c r="B123" s="155"/>
      <c r="C123" s="151"/>
      <c r="D123" s="152"/>
      <c r="E123" s="361"/>
      <c r="F123" s="151"/>
      <c r="G123" s="362"/>
      <c r="H123" s="134"/>
      <c r="I123" s="141"/>
      <c r="J123" s="155"/>
      <c r="K123" s="151"/>
      <c r="L123" s="152"/>
      <c r="M123" s="361"/>
      <c r="N123" s="151"/>
      <c r="O123" s="362"/>
      <c r="P123" s="134"/>
    </row>
    <row r="124" spans="1:16" s="140" customFormat="1" ht="13.5" thickBot="1" x14ac:dyDescent="0.3">
      <c r="A124" s="141"/>
      <c r="B124" s="155"/>
      <c r="C124" s="151"/>
      <c r="D124" s="152"/>
      <c r="E124" s="361"/>
      <c r="F124" s="151"/>
      <c r="G124" s="362"/>
      <c r="H124" s="134"/>
      <c r="I124" s="141"/>
      <c r="J124" s="155"/>
      <c r="K124" s="151"/>
      <c r="L124" s="152"/>
      <c r="M124" s="361"/>
      <c r="N124" s="151"/>
      <c r="O124" s="362"/>
      <c r="P124" s="134"/>
    </row>
    <row r="125" spans="1:16" s="140" customFormat="1" ht="13.5" thickBot="1" x14ac:dyDescent="0.3">
      <c r="A125" s="141"/>
      <c r="B125" s="157"/>
      <c r="C125" s="158"/>
      <c r="D125" s="159"/>
      <c r="E125" s="369"/>
      <c r="F125" s="158"/>
      <c r="G125" s="363"/>
      <c r="H125" s="161">
        <f>+SUM(G119:G125)</f>
        <v>14911.573030246453</v>
      </c>
      <c r="I125" s="141"/>
      <c r="J125" s="157"/>
      <c r="K125" s="158"/>
      <c r="L125" s="159"/>
      <c r="M125" s="369"/>
      <c r="N125" s="158"/>
      <c r="O125" s="363"/>
      <c r="P125" s="161">
        <f>+SUM(O119:O125)</f>
        <v>2700</v>
      </c>
    </row>
    <row r="126" spans="1:16" s="140" customFormat="1" ht="13.5" thickBot="1" x14ac:dyDescent="0.3">
      <c r="A126" s="141"/>
      <c r="B126" s="162"/>
      <c r="C126" s="163"/>
      <c r="D126" s="162"/>
      <c r="E126" s="364"/>
      <c r="F126" s="163"/>
      <c r="G126" s="364"/>
      <c r="H126" s="165"/>
      <c r="I126" s="141"/>
      <c r="J126" s="162"/>
      <c r="K126" s="163"/>
      <c r="L126" s="162"/>
      <c r="M126" s="364"/>
      <c r="N126" s="163"/>
      <c r="O126" s="364"/>
      <c r="P126" s="165"/>
    </row>
    <row r="127" spans="1:16" s="140" customFormat="1" ht="13.5" thickBot="1" x14ac:dyDescent="0.3">
      <c r="B127" s="143" t="s">
        <v>5408</v>
      </c>
      <c r="C127" s="144" t="s">
        <v>867</v>
      </c>
      <c r="D127" s="144" t="s">
        <v>6</v>
      </c>
      <c r="E127" s="370" t="s">
        <v>870</v>
      </c>
      <c r="F127" s="144" t="s">
        <v>5409</v>
      </c>
      <c r="G127" s="365" t="s">
        <v>868</v>
      </c>
      <c r="H127" s="134"/>
      <c r="J127" s="143" t="s">
        <v>5408</v>
      </c>
      <c r="K127" s="144" t="s">
        <v>867</v>
      </c>
      <c r="L127" s="144" t="s">
        <v>6</v>
      </c>
      <c r="M127" s="370" t="s">
        <v>870</v>
      </c>
      <c r="N127" s="144" t="s">
        <v>5409</v>
      </c>
      <c r="O127" s="365" t="s">
        <v>868</v>
      </c>
      <c r="P127" s="134"/>
    </row>
    <row r="128" spans="1:16" s="140" customFormat="1" ht="12.75" x14ac:dyDescent="0.25">
      <c r="B128" s="201" t="s">
        <v>5998</v>
      </c>
      <c r="C128" s="147" t="s">
        <v>5430</v>
      </c>
      <c r="D128" s="211">
        <v>1</v>
      </c>
      <c r="E128" s="366">
        <v>398820</v>
      </c>
      <c r="F128" s="169">
        <v>0.2</v>
      </c>
      <c r="G128" s="367">
        <f>+D128*E128*(1+F128)</f>
        <v>478584</v>
      </c>
      <c r="H128" s="134"/>
      <c r="J128" s="201" t="s">
        <v>5998</v>
      </c>
      <c r="K128" s="147" t="s">
        <v>5430</v>
      </c>
      <c r="L128" s="211">
        <v>1</v>
      </c>
      <c r="M128" s="366">
        <v>398820</v>
      </c>
      <c r="N128" s="169">
        <v>0.2</v>
      </c>
      <c r="O128" s="367">
        <f>+L128*M128*(1+N128)</f>
        <v>478584</v>
      </c>
      <c r="P128" s="134"/>
    </row>
    <row r="129" spans="2:16" s="140" customFormat="1" ht="12.75" x14ac:dyDescent="0.25">
      <c r="B129" s="155" t="s">
        <v>5961</v>
      </c>
      <c r="C129" s="151" t="s">
        <v>5944</v>
      </c>
      <c r="D129" s="205">
        <v>1</v>
      </c>
      <c r="E129" s="346">
        <v>2100</v>
      </c>
      <c r="F129" s="169">
        <v>0.1</v>
      </c>
      <c r="G129" s="367">
        <f>+D129*E129*(1+F129)</f>
        <v>2310</v>
      </c>
      <c r="H129" s="134"/>
      <c r="J129" s="155" t="s">
        <v>5961</v>
      </c>
      <c r="K129" s="151" t="s">
        <v>5944</v>
      </c>
      <c r="L129" s="205">
        <v>1</v>
      </c>
      <c r="M129" s="346">
        <v>2100</v>
      </c>
      <c r="N129" s="169">
        <v>0.1</v>
      </c>
      <c r="O129" s="367">
        <f>+L129*M129*(1+N129)</f>
        <v>2310</v>
      </c>
      <c r="P129" s="134"/>
    </row>
    <row r="130" spans="2:16" s="140" customFormat="1" ht="12.75" x14ac:dyDescent="0.25">
      <c r="B130" s="196" t="s">
        <v>5962</v>
      </c>
      <c r="C130" s="151" t="s">
        <v>5944</v>
      </c>
      <c r="D130" s="205">
        <v>2</v>
      </c>
      <c r="E130" s="346">
        <v>4930</v>
      </c>
      <c r="F130" s="169">
        <v>0.1</v>
      </c>
      <c r="G130" s="367">
        <f>+D130*E130*(1+F130)</f>
        <v>10846</v>
      </c>
      <c r="H130" s="134"/>
      <c r="J130" s="196" t="s">
        <v>5962</v>
      </c>
      <c r="K130" s="151" t="s">
        <v>5944</v>
      </c>
      <c r="L130" s="205">
        <v>2</v>
      </c>
      <c r="M130" s="346">
        <v>4930</v>
      </c>
      <c r="N130" s="169">
        <v>0.1</v>
      </c>
      <c r="O130" s="367">
        <f>+L130*M130*(1+N130)</f>
        <v>10846</v>
      </c>
      <c r="P130" s="134"/>
    </row>
    <row r="131" spans="2:16" s="140" customFormat="1" ht="12.75" x14ac:dyDescent="0.25">
      <c r="B131" s="155"/>
      <c r="C131" s="152"/>
      <c r="D131" s="152"/>
      <c r="E131" s="361"/>
      <c r="F131" s="151"/>
      <c r="G131" s="362"/>
      <c r="H131" s="134"/>
      <c r="J131" s="155"/>
      <c r="K131" s="152"/>
      <c r="L131" s="152"/>
      <c r="M131" s="361"/>
      <c r="N131" s="151"/>
      <c r="O131" s="362"/>
      <c r="P131" s="134"/>
    </row>
    <row r="132" spans="2:16" s="140" customFormat="1" ht="12.75" x14ac:dyDescent="0.25">
      <c r="B132" s="155"/>
      <c r="C132" s="152"/>
      <c r="D132" s="152"/>
      <c r="E132" s="361"/>
      <c r="F132" s="151"/>
      <c r="G132" s="362"/>
      <c r="H132" s="134"/>
      <c r="J132" s="155"/>
      <c r="K132" s="152"/>
      <c r="L132" s="152"/>
      <c r="M132" s="361"/>
      <c r="N132" s="151"/>
      <c r="O132" s="362"/>
      <c r="P132" s="134"/>
    </row>
    <row r="133" spans="2:16" s="140" customFormat="1" ht="12.75" x14ac:dyDescent="0.25">
      <c r="B133" s="155"/>
      <c r="C133" s="152"/>
      <c r="D133" s="152"/>
      <c r="E133" s="361"/>
      <c r="F133" s="151"/>
      <c r="G133" s="362"/>
      <c r="H133" s="134"/>
      <c r="J133" s="155"/>
      <c r="K133" s="152"/>
      <c r="L133" s="152"/>
      <c r="M133" s="361"/>
      <c r="N133" s="151"/>
      <c r="O133" s="362"/>
      <c r="P133" s="134"/>
    </row>
    <row r="134" spans="2:16" s="140" customFormat="1" ht="12.75" x14ac:dyDescent="0.25">
      <c r="B134" s="155"/>
      <c r="C134" s="152"/>
      <c r="D134" s="152"/>
      <c r="E134" s="361"/>
      <c r="F134" s="151"/>
      <c r="G134" s="362"/>
      <c r="H134" s="134"/>
      <c r="J134" s="155"/>
      <c r="K134" s="152"/>
      <c r="L134" s="152"/>
      <c r="M134" s="361"/>
      <c r="N134" s="151"/>
      <c r="O134" s="362"/>
      <c r="P134" s="134"/>
    </row>
    <row r="135" spans="2:16" s="140" customFormat="1" ht="12.75" x14ac:dyDescent="0.25">
      <c r="B135" s="155"/>
      <c r="C135" s="152"/>
      <c r="D135" s="152"/>
      <c r="E135" s="361"/>
      <c r="F135" s="151"/>
      <c r="G135" s="362"/>
      <c r="H135" s="134"/>
      <c r="J135" s="155"/>
      <c r="K135" s="152"/>
      <c r="L135" s="152"/>
      <c r="M135" s="361"/>
      <c r="N135" s="151"/>
      <c r="O135" s="362"/>
      <c r="P135" s="134"/>
    </row>
    <row r="136" spans="2:16" s="140" customFormat="1" ht="12.75" x14ac:dyDescent="0.25">
      <c r="B136" s="155"/>
      <c r="C136" s="152"/>
      <c r="D136" s="152"/>
      <c r="E136" s="361"/>
      <c r="F136" s="151"/>
      <c r="G136" s="362"/>
      <c r="H136" s="134"/>
      <c r="J136" s="155"/>
      <c r="K136" s="152"/>
      <c r="L136" s="152"/>
      <c r="M136" s="361"/>
      <c r="N136" s="151"/>
      <c r="O136" s="362"/>
      <c r="P136" s="134"/>
    </row>
    <row r="137" spans="2:16" s="140" customFormat="1" ht="12.75" x14ac:dyDescent="0.25">
      <c r="B137" s="155"/>
      <c r="C137" s="152"/>
      <c r="D137" s="152"/>
      <c r="E137" s="361"/>
      <c r="F137" s="151"/>
      <c r="G137" s="362"/>
      <c r="H137" s="134"/>
      <c r="J137" s="155"/>
      <c r="K137" s="152"/>
      <c r="L137" s="152"/>
      <c r="M137" s="361"/>
      <c r="N137" s="151"/>
      <c r="O137" s="362"/>
      <c r="P137" s="134"/>
    </row>
    <row r="138" spans="2:16" s="140" customFormat="1" ht="12.75" x14ac:dyDescent="0.25">
      <c r="B138" s="155"/>
      <c r="C138" s="152"/>
      <c r="D138" s="152"/>
      <c r="E138" s="361"/>
      <c r="F138" s="151"/>
      <c r="G138" s="362"/>
      <c r="H138" s="134"/>
      <c r="J138" s="155"/>
      <c r="K138" s="152"/>
      <c r="L138" s="152"/>
      <c r="M138" s="361"/>
      <c r="N138" s="151"/>
      <c r="O138" s="362"/>
      <c r="P138" s="134"/>
    </row>
    <row r="139" spans="2:16" s="140" customFormat="1" ht="13.5" thickBot="1" x14ac:dyDescent="0.3">
      <c r="B139" s="155"/>
      <c r="C139" s="152"/>
      <c r="D139" s="152"/>
      <c r="E139" s="361"/>
      <c r="F139" s="151"/>
      <c r="G139" s="362"/>
      <c r="H139" s="134"/>
      <c r="J139" s="155"/>
      <c r="K139" s="152"/>
      <c r="L139" s="152"/>
      <c r="M139" s="361"/>
      <c r="N139" s="151"/>
      <c r="O139" s="362"/>
      <c r="P139" s="134"/>
    </row>
    <row r="140" spans="2:16" s="140" customFormat="1" ht="13.5" thickBot="1" x14ac:dyDescent="0.3">
      <c r="B140" s="157"/>
      <c r="C140" s="159"/>
      <c r="D140" s="159"/>
      <c r="E140" s="369"/>
      <c r="F140" s="158"/>
      <c r="G140" s="363"/>
      <c r="H140" s="161">
        <f>+SUM(G128:G140)</f>
        <v>491740</v>
      </c>
      <c r="J140" s="157"/>
      <c r="K140" s="159"/>
      <c r="L140" s="159"/>
      <c r="M140" s="369"/>
      <c r="N140" s="158"/>
      <c r="O140" s="363"/>
      <c r="P140" s="161">
        <f>+SUM(O128:O140)</f>
        <v>491740</v>
      </c>
    </row>
    <row r="141" spans="2:16" s="140" customFormat="1" ht="13.5" thickBot="1" x14ac:dyDescent="0.3">
      <c r="B141" s="162"/>
      <c r="C141" s="162"/>
      <c r="D141" s="162"/>
      <c r="E141" s="364"/>
      <c r="F141" s="163"/>
      <c r="G141" s="364"/>
      <c r="H141" s="165"/>
      <c r="J141" s="162"/>
      <c r="K141" s="162"/>
      <c r="L141" s="162"/>
      <c r="M141" s="364"/>
      <c r="N141" s="163"/>
      <c r="O141" s="364"/>
      <c r="P141" s="165"/>
    </row>
    <row r="142" spans="2:16" s="140" customFormat="1" ht="13.5" thickBot="1" x14ac:dyDescent="0.3">
      <c r="B142" s="143" t="s">
        <v>5410</v>
      </c>
      <c r="C142" s="144" t="s">
        <v>867</v>
      </c>
      <c r="D142" s="144" t="s">
        <v>6</v>
      </c>
      <c r="E142" s="370" t="s">
        <v>870</v>
      </c>
      <c r="F142" s="144" t="s">
        <v>5411</v>
      </c>
      <c r="G142" s="365" t="s">
        <v>868</v>
      </c>
      <c r="H142" s="134"/>
      <c r="J142" s="143" t="s">
        <v>5410</v>
      </c>
      <c r="K142" s="144" t="s">
        <v>867</v>
      </c>
      <c r="L142" s="144" t="s">
        <v>6</v>
      </c>
      <c r="M142" s="370" t="s">
        <v>870</v>
      </c>
      <c r="N142" s="144" t="s">
        <v>5411</v>
      </c>
      <c r="O142" s="365" t="s">
        <v>868</v>
      </c>
      <c r="P142" s="134"/>
    </row>
    <row r="143" spans="2:16" s="140" customFormat="1" ht="12.75" x14ac:dyDescent="0.25">
      <c r="B143" s="201" t="s">
        <v>5999</v>
      </c>
      <c r="C143" s="147" t="s">
        <v>5430</v>
      </c>
      <c r="D143" s="211">
        <v>1.1499999999999999</v>
      </c>
      <c r="E143" s="366">
        <v>31850</v>
      </c>
      <c r="F143" s="211">
        <v>1</v>
      </c>
      <c r="G143" s="367">
        <f>+D143*E143*F143</f>
        <v>36627.5</v>
      </c>
      <c r="H143" s="134"/>
      <c r="J143" s="201" t="s">
        <v>6000</v>
      </c>
      <c r="K143" s="147" t="s">
        <v>5430</v>
      </c>
      <c r="L143" s="211">
        <v>1.1499999999999999</v>
      </c>
      <c r="M143" s="366">
        <v>31850</v>
      </c>
      <c r="N143" s="211">
        <v>1</v>
      </c>
      <c r="O143" s="367">
        <f>+L143*M143*N143</f>
        <v>36627.5</v>
      </c>
      <c r="P143" s="134"/>
    </row>
    <row r="144" spans="2:16" s="140" customFormat="1" ht="12.75" x14ac:dyDescent="0.25">
      <c r="B144" s="166"/>
      <c r="C144" s="148"/>
      <c r="D144" s="148"/>
      <c r="E144" s="148"/>
      <c r="F144" s="147"/>
      <c r="G144" s="172"/>
      <c r="H144" s="134"/>
      <c r="J144" s="166"/>
      <c r="K144" s="148"/>
      <c r="L144" s="148"/>
      <c r="M144" s="148"/>
      <c r="N144" s="147"/>
      <c r="O144" s="172"/>
      <c r="P144" s="134"/>
    </row>
    <row r="145" spans="2:16" s="140" customFormat="1" ht="12.75" x14ac:dyDescent="0.25">
      <c r="B145" s="155"/>
      <c r="C145" s="152"/>
      <c r="D145" s="152"/>
      <c r="E145" s="152"/>
      <c r="F145" s="151"/>
      <c r="G145" s="156"/>
      <c r="H145" s="134"/>
      <c r="J145" s="155"/>
      <c r="K145" s="152"/>
      <c r="L145" s="152"/>
      <c r="M145" s="152"/>
      <c r="N145" s="151"/>
      <c r="O145" s="156"/>
      <c r="P145" s="134"/>
    </row>
    <row r="146" spans="2:16" s="140" customFormat="1" ht="12.75" x14ac:dyDescent="0.25">
      <c r="B146" s="155"/>
      <c r="C146" s="152"/>
      <c r="D146" s="152"/>
      <c r="E146" s="152"/>
      <c r="F146" s="151"/>
      <c r="G146" s="156"/>
      <c r="H146" s="134"/>
      <c r="J146" s="155"/>
      <c r="K146" s="152"/>
      <c r="L146" s="152"/>
      <c r="M146" s="152"/>
      <c r="N146" s="151"/>
      <c r="O146" s="156"/>
      <c r="P146" s="134"/>
    </row>
    <row r="147" spans="2:16" s="140" customFormat="1" ht="13.5" thickBot="1" x14ac:dyDescent="0.3">
      <c r="B147" s="155"/>
      <c r="C147" s="152"/>
      <c r="D147" s="152"/>
      <c r="E147" s="152"/>
      <c r="F147" s="151"/>
      <c r="G147" s="156"/>
      <c r="H147" s="134"/>
      <c r="J147" s="155"/>
      <c r="K147" s="152"/>
      <c r="L147" s="152"/>
      <c r="M147" s="152"/>
      <c r="N147" s="151"/>
      <c r="O147" s="156"/>
      <c r="P147" s="134"/>
    </row>
    <row r="148" spans="2:16" s="140" customFormat="1" ht="13.5" thickBot="1" x14ac:dyDescent="0.3">
      <c r="B148" s="157"/>
      <c r="C148" s="159"/>
      <c r="D148" s="159"/>
      <c r="E148" s="159"/>
      <c r="F148" s="158"/>
      <c r="G148" s="160"/>
      <c r="H148" s="161">
        <f>+SUM(G143:G148)</f>
        <v>36627.5</v>
      </c>
      <c r="J148" s="157"/>
      <c r="K148" s="159"/>
      <c r="L148" s="159"/>
      <c r="M148" s="159"/>
      <c r="N148" s="158"/>
      <c r="O148" s="160"/>
      <c r="P148" s="161">
        <f>+SUM(O143:O148)</f>
        <v>36627.5</v>
      </c>
    </row>
    <row r="149" spans="2:16" s="140" customFormat="1" ht="13.5" thickBot="1" x14ac:dyDescent="0.3">
      <c r="B149" s="162"/>
      <c r="C149" s="162"/>
      <c r="D149" s="162"/>
      <c r="E149" s="162"/>
      <c r="F149" s="173"/>
      <c r="G149" s="174"/>
      <c r="H149" s="165"/>
      <c r="J149" s="162"/>
      <c r="K149" s="162"/>
      <c r="L149" s="162"/>
      <c r="M149" s="162"/>
      <c r="N149" s="173"/>
      <c r="O149" s="174"/>
      <c r="P149" s="165"/>
    </row>
    <row r="150" spans="2:16" s="140" customFormat="1" ht="13.5" thickBot="1" x14ac:dyDescent="0.3">
      <c r="B150" s="143" t="s">
        <v>5412</v>
      </c>
      <c r="C150" s="193" t="s">
        <v>5420</v>
      </c>
      <c r="D150" s="193" t="s">
        <v>5421</v>
      </c>
      <c r="E150" s="193" t="s">
        <v>5413</v>
      </c>
      <c r="F150" s="144" t="s">
        <v>5405</v>
      </c>
      <c r="G150" s="145" t="s">
        <v>868</v>
      </c>
      <c r="H150" s="134"/>
      <c r="J150" s="143" t="s">
        <v>5412</v>
      </c>
      <c r="K150" s="193" t="s">
        <v>5420</v>
      </c>
      <c r="L150" s="193" t="s">
        <v>5421</v>
      </c>
      <c r="M150" s="193" t="s">
        <v>5413</v>
      </c>
      <c r="N150" s="144" t="s">
        <v>5405</v>
      </c>
      <c r="O150" s="145" t="s">
        <v>868</v>
      </c>
      <c r="P150" s="134"/>
    </row>
    <row r="151" spans="2:16" s="140" customFormat="1" ht="12.75" x14ac:dyDescent="0.25">
      <c r="B151" s="194" t="s">
        <v>5948</v>
      </c>
      <c r="C151" s="345">
        <v>70000</v>
      </c>
      <c r="D151" s="345">
        <v>53961.351755041069</v>
      </c>
      <c r="E151" s="345">
        <v>117445.29499626586</v>
      </c>
      <c r="F151" s="192">
        <v>500</v>
      </c>
      <c r="G151" s="351">
        <f>+E151/F151</f>
        <v>234.89058999253172</v>
      </c>
      <c r="H151" s="134"/>
      <c r="J151" s="194" t="s">
        <v>5948</v>
      </c>
      <c r="K151" s="345">
        <v>70000</v>
      </c>
      <c r="L151" s="345">
        <v>53961.351755041069</v>
      </c>
      <c r="M151" s="345">
        <v>117445.29499626586</v>
      </c>
      <c r="N151" s="192">
        <v>50</v>
      </c>
      <c r="O151" s="351">
        <f>+M151/N151</f>
        <v>2348.905899925317</v>
      </c>
      <c r="P151" s="134"/>
    </row>
    <row r="152" spans="2:16" s="140" customFormat="1" ht="12.75" x14ac:dyDescent="0.25">
      <c r="B152" s="194" t="s">
        <v>5949</v>
      </c>
      <c r="C152" s="345">
        <v>40000</v>
      </c>
      <c r="D152" s="345">
        <v>26980.675877520534</v>
      </c>
      <c r="E152" s="345">
        <v>58722.64749813293</v>
      </c>
      <c r="F152" s="192">
        <v>100</v>
      </c>
      <c r="G152" s="351">
        <f>+E152/F152</f>
        <v>587.22647498132926</v>
      </c>
      <c r="H152" s="134"/>
      <c r="J152" s="194" t="s">
        <v>5949</v>
      </c>
      <c r="K152" s="345">
        <v>40000</v>
      </c>
      <c r="L152" s="345">
        <v>26980.675877520534</v>
      </c>
      <c r="M152" s="345">
        <v>58722.64749813293</v>
      </c>
      <c r="N152" s="192">
        <v>5</v>
      </c>
      <c r="O152" s="351">
        <f>+M152/N152</f>
        <v>11744.529499626586</v>
      </c>
      <c r="P152" s="134"/>
    </row>
    <row r="153" spans="2:16" s="140" customFormat="1" ht="12.75" x14ac:dyDescent="0.25">
      <c r="B153" s="195" t="s">
        <v>5635</v>
      </c>
      <c r="C153" s="345">
        <v>20600</v>
      </c>
      <c r="D153" s="345">
        <v>16188.405526512322</v>
      </c>
      <c r="E153" s="345">
        <v>35233.588498879762</v>
      </c>
      <c r="F153" s="192">
        <v>25</v>
      </c>
      <c r="G153" s="351">
        <f>+E153/F153</f>
        <v>1409.3435399551904</v>
      </c>
      <c r="H153" s="134"/>
      <c r="J153" s="195" t="s">
        <v>5635</v>
      </c>
      <c r="K153" s="345">
        <v>20600</v>
      </c>
      <c r="L153" s="345">
        <v>16188.405526512322</v>
      </c>
      <c r="M153" s="345">
        <v>35233.588498879762</v>
      </c>
      <c r="N153" s="192">
        <v>2</v>
      </c>
      <c r="O153" s="351">
        <f>+M153/N153</f>
        <v>17616.794249439881</v>
      </c>
      <c r="P153" s="134"/>
    </row>
    <row r="154" spans="2:16" s="140" customFormat="1" ht="12.75" x14ac:dyDescent="0.25">
      <c r="B154" s="155"/>
      <c r="C154" s="152"/>
      <c r="D154" s="152"/>
      <c r="E154" s="152"/>
      <c r="F154" s="151"/>
      <c r="G154" s="156"/>
      <c r="H154" s="134"/>
      <c r="J154" s="155"/>
      <c r="K154" s="152"/>
      <c r="L154" s="152"/>
      <c r="M154" s="152"/>
      <c r="N154" s="151"/>
      <c r="O154" s="156"/>
      <c r="P154" s="134"/>
    </row>
    <row r="155" spans="2:16" s="140" customFormat="1" ht="12.75" x14ac:dyDescent="0.25">
      <c r="B155" s="155"/>
      <c r="C155" s="152"/>
      <c r="D155" s="152"/>
      <c r="E155" s="152"/>
      <c r="F155" s="151"/>
      <c r="G155" s="156"/>
      <c r="H155" s="134"/>
      <c r="J155" s="155"/>
      <c r="K155" s="152"/>
      <c r="L155" s="152"/>
      <c r="M155" s="152"/>
      <c r="N155" s="151"/>
      <c r="O155" s="156"/>
      <c r="P155" s="134"/>
    </row>
    <row r="156" spans="2:16" s="140" customFormat="1" ht="13.5" thickBot="1" x14ac:dyDescent="0.3">
      <c r="B156" s="155"/>
      <c r="C156" s="152"/>
      <c r="D156" s="152"/>
      <c r="E156" s="152"/>
      <c r="F156" s="151"/>
      <c r="G156" s="156"/>
      <c r="H156" s="134"/>
      <c r="J156" s="155"/>
      <c r="K156" s="152"/>
      <c r="L156" s="152"/>
      <c r="M156" s="152"/>
      <c r="N156" s="151"/>
      <c r="O156" s="156"/>
      <c r="P156" s="134"/>
    </row>
    <row r="157" spans="2:16" s="140" customFormat="1" ht="13.5" thickBot="1" x14ac:dyDescent="0.3">
      <c r="B157" s="179"/>
      <c r="C157" s="180"/>
      <c r="D157" s="180"/>
      <c r="E157" s="180"/>
      <c r="F157" s="181"/>
      <c r="G157" s="182"/>
      <c r="H157" s="161">
        <f>+SUM(G151:G157)</f>
        <v>2231.4606049290514</v>
      </c>
      <c r="J157" s="179"/>
      <c r="K157" s="180"/>
      <c r="L157" s="180"/>
      <c r="M157" s="180"/>
      <c r="N157" s="181"/>
      <c r="O157" s="182"/>
      <c r="P157" s="161">
        <f>+SUM(O151:O157)</f>
        <v>31710.229648991786</v>
      </c>
    </row>
    <row r="158" spans="2:16" s="140" customFormat="1" ht="13.5" thickBot="1" x14ac:dyDescent="0.3">
      <c r="F158" s="141"/>
      <c r="G158" s="134"/>
      <c r="H158" s="134"/>
      <c r="N158" s="141"/>
      <c r="O158" s="134"/>
      <c r="P158" s="134"/>
    </row>
    <row r="159" spans="2:16" s="140" customFormat="1" ht="13.5" thickBot="1" x14ac:dyDescent="0.3">
      <c r="E159" s="183" t="s">
        <v>5415</v>
      </c>
      <c r="F159" s="141"/>
      <c r="G159" s="134"/>
      <c r="H159" s="161">
        <f>ROUND(+H125+H140+H148+H157,0)</f>
        <v>545511</v>
      </c>
      <c r="M159" s="183" t="s">
        <v>5415</v>
      </c>
      <c r="N159" s="141"/>
      <c r="O159" s="134"/>
      <c r="P159" s="161">
        <f>ROUND(+P125+P140+P148+P157,0)</f>
        <v>562778</v>
      </c>
    </row>
    <row r="160" spans="2:16" s="8" customFormat="1" ht="12.75" x14ac:dyDescent="0.25">
      <c r="F160" s="133"/>
      <c r="N160" s="133"/>
    </row>
    <row r="161" spans="1:16" s="8" customFormat="1" ht="12.75" x14ac:dyDescent="0.25">
      <c r="F161" s="133"/>
      <c r="H161" s="368"/>
      <c r="N161" s="133"/>
      <c r="P161" s="368"/>
    </row>
    <row r="162" spans="1:16" s="8" customFormat="1" ht="12.75" x14ac:dyDescent="0.25">
      <c r="F162" s="133"/>
      <c r="N162" s="133"/>
    </row>
    <row r="163" spans="1:16" s="8" customFormat="1" ht="12.75" x14ac:dyDescent="0.25">
      <c r="F163" s="133"/>
      <c r="N163" s="133"/>
    </row>
    <row r="164" spans="1:16" s="8" customFormat="1" ht="18.75" x14ac:dyDescent="0.25">
      <c r="A164" s="133"/>
      <c r="B164" s="2506" t="s">
        <v>5400</v>
      </c>
      <c r="C164" s="2506"/>
      <c r="D164" s="2506"/>
      <c r="E164" s="2506"/>
      <c r="F164" s="2506"/>
      <c r="G164" s="2506"/>
      <c r="I164" s="133"/>
      <c r="J164" s="2506" t="s">
        <v>5400</v>
      </c>
      <c r="K164" s="2506"/>
      <c r="L164" s="2506"/>
      <c r="M164" s="2506"/>
      <c r="N164" s="2506"/>
      <c r="O164" s="2506"/>
    </row>
    <row r="165" spans="1:16" s="8" customFormat="1" ht="12.75" x14ac:dyDescent="0.25">
      <c r="A165" s="133"/>
      <c r="F165" s="133"/>
      <c r="G165" s="134"/>
      <c r="I165" s="133"/>
      <c r="N165" s="133"/>
      <c r="O165" s="134"/>
    </row>
    <row r="166" spans="1:16" s="8" customFormat="1" ht="12.75" x14ac:dyDescent="0.25">
      <c r="A166" s="133"/>
      <c r="F166" s="133"/>
      <c r="G166" s="134"/>
      <c r="I166" s="133"/>
      <c r="N166" s="133"/>
      <c r="O166" s="134"/>
    </row>
    <row r="167" spans="1:16" s="8" customFormat="1" ht="12.75" x14ac:dyDescent="0.25">
      <c r="A167" s="133"/>
      <c r="F167" s="133"/>
      <c r="G167" s="134"/>
      <c r="I167" s="133"/>
      <c r="N167" s="133"/>
      <c r="O167" s="134"/>
    </row>
    <row r="168" spans="1:16" s="140" customFormat="1" ht="12.75" x14ac:dyDescent="0.25">
      <c r="A168" s="138" t="s">
        <v>3</v>
      </c>
      <c r="B168" s="138" t="s">
        <v>5583</v>
      </c>
      <c r="C168" s="2451" t="s">
        <v>5584</v>
      </c>
      <c r="D168" s="2451"/>
      <c r="E168" s="2451"/>
      <c r="F168" s="138" t="s">
        <v>867</v>
      </c>
      <c r="G168" s="139" t="s">
        <v>5454</v>
      </c>
      <c r="H168" s="134"/>
      <c r="I168" s="138" t="s">
        <v>3</v>
      </c>
      <c r="J168" s="138" t="s">
        <v>5583</v>
      </c>
      <c r="K168" s="2451" t="s">
        <v>5584</v>
      </c>
      <c r="L168" s="2451"/>
      <c r="M168" s="2451"/>
      <c r="N168" s="138" t="s">
        <v>867</v>
      </c>
      <c r="O168" s="139" t="s">
        <v>5454</v>
      </c>
      <c r="P168" s="134"/>
    </row>
    <row r="169" spans="1:16" s="140" customFormat="1" ht="12.75" x14ac:dyDescent="0.25">
      <c r="A169" s="141"/>
      <c r="F169" s="141"/>
      <c r="G169" s="134"/>
      <c r="H169" s="134"/>
      <c r="I169" s="141"/>
      <c r="N169" s="141"/>
      <c r="O169" s="134"/>
      <c r="P169" s="134"/>
    </row>
    <row r="170" spans="1:16" s="140" customFormat="1" ht="12.75" x14ac:dyDescent="0.25">
      <c r="A170" s="141"/>
      <c r="F170" s="141"/>
      <c r="G170" s="142"/>
      <c r="H170" s="134"/>
      <c r="I170" s="141"/>
      <c r="N170" s="141"/>
      <c r="O170" s="142"/>
      <c r="P170" s="134"/>
    </row>
    <row r="171" spans="1:16" s="140" customFormat="1" ht="13.5" thickBot="1" x14ac:dyDescent="0.3">
      <c r="A171" s="141"/>
      <c r="F171" s="141"/>
      <c r="G171" s="134"/>
      <c r="H171" s="134"/>
      <c r="I171" s="141"/>
      <c r="N171" s="141"/>
      <c r="O171" s="134"/>
      <c r="P171" s="134"/>
    </row>
    <row r="172" spans="1:16" s="140" customFormat="1" ht="13.5" thickBot="1" x14ac:dyDescent="0.3">
      <c r="A172" s="141"/>
      <c r="B172" s="143" t="s">
        <v>5403</v>
      </c>
      <c r="C172" s="144" t="s">
        <v>867</v>
      </c>
      <c r="D172" s="144" t="s">
        <v>6</v>
      </c>
      <c r="E172" s="144" t="s">
        <v>5404</v>
      </c>
      <c r="F172" s="144" t="s">
        <v>5405</v>
      </c>
      <c r="G172" s="145" t="s">
        <v>868</v>
      </c>
      <c r="H172" s="134"/>
      <c r="I172" s="141"/>
      <c r="J172" s="143" t="s">
        <v>5403</v>
      </c>
      <c r="K172" s="144" t="s">
        <v>867</v>
      </c>
      <c r="L172" s="144" t="s">
        <v>6</v>
      </c>
      <c r="M172" s="144" t="s">
        <v>5404</v>
      </c>
      <c r="N172" s="144" t="s">
        <v>5405</v>
      </c>
      <c r="O172" s="145" t="s">
        <v>868</v>
      </c>
      <c r="P172" s="134"/>
    </row>
    <row r="173" spans="1:16" s="140" customFormat="1" ht="12.75" x14ac:dyDescent="0.25">
      <c r="A173" s="141"/>
      <c r="B173" s="146" t="s">
        <v>5440</v>
      </c>
      <c r="C173" s="147" t="s">
        <v>5406</v>
      </c>
      <c r="D173" s="148"/>
      <c r="E173" s="359">
        <f>+H211</f>
        <v>88083.971247199399</v>
      </c>
      <c r="F173" s="290">
        <v>0.1</v>
      </c>
      <c r="G173" s="360">
        <f>+E173*F173</f>
        <v>8808.3971247199406</v>
      </c>
      <c r="H173" s="134"/>
      <c r="I173" s="141"/>
      <c r="J173" s="146" t="s">
        <v>5440</v>
      </c>
      <c r="K173" s="147" t="s">
        <v>5406</v>
      </c>
      <c r="L173" s="148"/>
      <c r="M173" s="359">
        <f>+P211</f>
        <v>117445.29499626586</v>
      </c>
      <c r="N173" s="290">
        <v>0.1</v>
      </c>
      <c r="O173" s="360">
        <f>+M173*N173</f>
        <v>11744.529499626587</v>
      </c>
      <c r="P173" s="134"/>
    </row>
    <row r="174" spans="1:16" s="140" customFormat="1" ht="12.75" x14ac:dyDescent="0.25">
      <c r="A174" s="141"/>
      <c r="B174" s="150" t="s">
        <v>5747</v>
      </c>
      <c r="C174" s="151" t="s">
        <v>5407</v>
      </c>
      <c r="D174" s="152"/>
      <c r="E174" s="361">
        <v>7000</v>
      </c>
      <c r="F174" s="298">
        <v>7</v>
      </c>
      <c r="G174" s="360">
        <f>+E174/F174</f>
        <v>1000</v>
      </c>
      <c r="H174" s="134"/>
      <c r="I174" s="141"/>
      <c r="J174" s="150" t="s">
        <v>5554</v>
      </c>
      <c r="K174" s="151" t="s">
        <v>5407</v>
      </c>
      <c r="L174" s="152"/>
      <c r="M174" s="361">
        <v>3500</v>
      </c>
      <c r="N174" s="291">
        <v>7</v>
      </c>
      <c r="O174" s="360">
        <f>+M174/N174</f>
        <v>500</v>
      </c>
      <c r="P174" s="134"/>
    </row>
    <row r="175" spans="1:16" s="140" customFormat="1" ht="12.75" x14ac:dyDescent="0.25">
      <c r="A175" s="141"/>
      <c r="B175" s="154" t="s">
        <v>5963</v>
      </c>
      <c r="C175" s="151" t="s">
        <v>5746</v>
      </c>
      <c r="D175" s="152"/>
      <c r="E175" s="361"/>
      <c r="F175" s="153"/>
      <c r="G175" s="360"/>
      <c r="H175" s="134"/>
      <c r="I175" s="141"/>
      <c r="J175" s="154"/>
      <c r="K175" s="151"/>
      <c r="L175" s="152"/>
      <c r="M175" s="361"/>
      <c r="N175" s="153"/>
      <c r="O175" s="360"/>
      <c r="P175" s="134"/>
    </row>
    <row r="176" spans="1:16" s="140" customFormat="1" ht="12.75" x14ac:dyDescent="0.25">
      <c r="A176" s="141"/>
      <c r="B176" s="155"/>
      <c r="C176" s="151"/>
      <c r="D176" s="152"/>
      <c r="E176" s="361"/>
      <c r="F176" s="151"/>
      <c r="G176" s="362"/>
      <c r="H176" s="134"/>
      <c r="I176" s="141"/>
      <c r="J176" s="155"/>
      <c r="K176" s="151"/>
      <c r="L176" s="152"/>
      <c r="M176" s="361"/>
      <c r="N176" s="151"/>
      <c r="O176" s="362"/>
      <c r="P176" s="134"/>
    </row>
    <row r="177" spans="1:16" s="140" customFormat="1" ht="12.75" x14ac:dyDescent="0.25">
      <c r="A177" s="141"/>
      <c r="B177" s="155"/>
      <c r="C177" s="151"/>
      <c r="D177" s="152"/>
      <c r="E177" s="361"/>
      <c r="F177" s="151"/>
      <c r="G177" s="362"/>
      <c r="H177" s="134"/>
      <c r="I177" s="141"/>
      <c r="J177" s="155"/>
      <c r="K177" s="151"/>
      <c r="L177" s="152"/>
      <c r="M177" s="361"/>
      <c r="N177" s="151"/>
      <c r="O177" s="362"/>
      <c r="P177" s="134"/>
    </row>
    <row r="178" spans="1:16" s="140" customFormat="1" ht="13.5" thickBot="1" x14ac:dyDescent="0.3">
      <c r="A178" s="141"/>
      <c r="B178" s="155"/>
      <c r="C178" s="151"/>
      <c r="D178" s="152"/>
      <c r="E178" s="361"/>
      <c r="F178" s="151"/>
      <c r="G178" s="362"/>
      <c r="H178" s="134"/>
      <c r="I178" s="141"/>
      <c r="J178" s="155"/>
      <c r="K178" s="151"/>
      <c r="L178" s="152"/>
      <c r="M178" s="361"/>
      <c r="N178" s="151"/>
      <c r="O178" s="362"/>
      <c r="P178" s="134"/>
    </row>
    <row r="179" spans="1:16" s="140" customFormat="1" ht="13.5" thickBot="1" x14ac:dyDescent="0.3">
      <c r="A179" s="141"/>
      <c r="B179" s="157"/>
      <c r="C179" s="158"/>
      <c r="D179" s="159"/>
      <c r="E179" s="369"/>
      <c r="F179" s="158"/>
      <c r="G179" s="363"/>
      <c r="H179" s="161">
        <f>+SUM(G173:G179)</f>
        <v>9808.3971247199406</v>
      </c>
      <c r="I179" s="141"/>
      <c r="J179" s="157"/>
      <c r="K179" s="158"/>
      <c r="L179" s="159"/>
      <c r="M179" s="369"/>
      <c r="N179" s="158"/>
      <c r="O179" s="363"/>
      <c r="P179" s="161">
        <f>+SUM(O173:O179)</f>
        <v>12244.529499626587</v>
      </c>
    </row>
    <row r="180" spans="1:16" s="140" customFormat="1" ht="13.5" thickBot="1" x14ac:dyDescent="0.3">
      <c r="A180" s="141"/>
      <c r="B180" s="162"/>
      <c r="C180" s="163"/>
      <c r="D180" s="162"/>
      <c r="E180" s="364"/>
      <c r="F180" s="163"/>
      <c r="G180" s="364"/>
      <c r="H180" s="165"/>
      <c r="I180" s="141"/>
      <c r="J180" s="162"/>
      <c r="K180" s="163"/>
      <c r="L180" s="162"/>
      <c r="M180" s="364"/>
      <c r="N180" s="163"/>
      <c r="O180" s="364"/>
      <c r="P180" s="165"/>
    </row>
    <row r="181" spans="1:16" s="140" customFormat="1" ht="13.5" thickBot="1" x14ac:dyDescent="0.3">
      <c r="B181" s="143" t="s">
        <v>5408</v>
      </c>
      <c r="C181" s="144" t="s">
        <v>867</v>
      </c>
      <c r="D181" s="144" t="s">
        <v>6</v>
      </c>
      <c r="E181" s="370" t="s">
        <v>870</v>
      </c>
      <c r="F181" s="144" t="s">
        <v>5409</v>
      </c>
      <c r="G181" s="365" t="s">
        <v>868</v>
      </c>
      <c r="H181" s="134"/>
      <c r="J181" s="143" t="s">
        <v>5408</v>
      </c>
      <c r="K181" s="144" t="s">
        <v>867</v>
      </c>
      <c r="L181" s="144" t="s">
        <v>6</v>
      </c>
      <c r="M181" s="370" t="s">
        <v>870</v>
      </c>
      <c r="N181" s="144" t="s">
        <v>5409</v>
      </c>
      <c r="O181" s="365" t="s">
        <v>868</v>
      </c>
      <c r="P181" s="134"/>
    </row>
    <row r="182" spans="1:16" s="140" customFormat="1" ht="12.75" x14ac:dyDescent="0.25">
      <c r="B182" s="201" t="s">
        <v>6001</v>
      </c>
      <c r="C182" s="147" t="s">
        <v>5430</v>
      </c>
      <c r="D182" s="211">
        <v>1.05</v>
      </c>
      <c r="E182" s="366">
        <v>285440</v>
      </c>
      <c r="F182" s="169">
        <v>0.02</v>
      </c>
      <c r="G182" s="367">
        <f>+D182*E182*(1+F182)</f>
        <v>305706.23999999999</v>
      </c>
      <c r="H182" s="134"/>
      <c r="J182" s="201" t="s">
        <v>6001</v>
      </c>
      <c r="K182" s="147" t="s">
        <v>5430</v>
      </c>
      <c r="L182" s="211">
        <v>1.05</v>
      </c>
      <c r="M182" s="366">
        <v>285440</v>
      </c>
      <c r="N182" s="169">
        <v>0.05</v>
      </c>
      <c r="O182" s="367">
        <f>+L182*M182*(1+N182)</f>
        <v>314697.60000000003</v>
      </c>
      <c r="P182" s="134"/>
    </row>
    <row r="183" spans="1:16" s="140" customFormat="1" ht="12.75" x14ac:dyDescent="0.25">
      <c r="B183" s="155" t="s">
        <v>5560</v>
      </c>
      <c r="C183" s="151" t="s">
        <v>5944</v>
      </c>
      <c r="D183" s="274">
        <f>0.2/0.2</f>
        <v>1</v>
      </c>
      <c r="E183" s="361">
        <f>81200/20</f>
        <v>4060</v>
      </c>
      <c r="F183" s="169">
        <v>0.1</v>
      </c>
      <c r="G183" s="367">
        <f>+D183*E183*(1+F183)</f>
        <v>4466</v>
      </c>
      <c r="H183" s="134"/>
      <c r="J183" s="155" t="s">
        <v>5560</v>
      </c>
      <c r="K183" s="151" t="s">
        <v>5944</v>
      </c>
      <c r="L183" s="274">
        <f>0.2/0.2</f>
        <v>1</v>
      </c>
      <c r="M183" s="361">
        <f>81200/20</f>
        <v>4060</v>
      </c>
      <c r="N183" s="169">
        <v>0.1</v>
      </c>
      <c r="O183" s="367">
        <f>+L183*M183*(1+N183)</f>
        <v>4466</v>
      </c>
      <c r="P183" s="134"/>
    </row>
    <row r="184" spans="1:16" s="140" customFormat="1" ht="12.75" x14ac:dyDescent="0.25">
      <c r="B184" s="196"/>
      <c r="C184" s="151"/>
      <c r="D184" s="274"/>
      <c r="E184" s="361"/>
      <c r="F184" s="169"/>
      <c r="G184" s="367"/>
      <c r="H184" s="134"/>
      <c r="J184" s="196"/>
      <c r="K184" s="151"/>
      <c r="L184" s="274"/>
      <c r="M184" s="361"/>
      <c r="N184" s="169"/>
      <c r="O184" s="367"/>
      <c r="P184" s="134"/>
    </row>
    <row r="185" spans="1:16" s="140" customFormat="1" ht="12.75" x14ac:dyDescent="0.25">
      <c r="B185" s="155"/>
      <c r="C185" s="152"/>
      <c r="D185" s="152"/>
      <c r="E185" s="361"/>
      <c r="F185" s="151"/>
      <c r="G185" s="362"/>
      <c r="H185" s="134"/>
      <c r="J185" s="155"/>
      <c r="K185" s="152"/>
      <c r="L185" s="152"/>
      <c r="M185" s="361"/>
      <c r="N185" s="151"/>
      <c r="O185" s="362"/>
      <c r="P185" s="134"/>
    </row>
    <row r="186" spans="1:16" s="140" customFormat="1" ht="12.75" x14ac:dyDescent="0.25">
      <c r="B186" s="155"/>
      <c r="C186" s="152"/>
      <c r="D186" s="152"/>
      <c r="E186" s="361"/>
      <c r="F186" s="151"/>
      <c r="G186" s="362"/>
      <c r="H186" s="134"/>
      <c r="J186" s="155"/>
      <c r="K186" s="152"/>
      <c r="L186" s="152"/>
      <c r="M186" s="361"/>
      <c r="N186" s="151"/>
      <c r="O186" s="362"/>
      <c r="P186" s="134"/>
    </row>
    <row r="187" spans="1:16" s="140" customFormat="1" ht="12.75" x14ac:dyDescent="0.25">
      <c r="B187" s="155"/>
      <c r="C187" s="152"/>
      <c r="D187" s="152"/>
      <c r="E187" s="361"/>
      <c r="F187" s="151"/>
      <c r="G187" s="362"/>
      <c r="H187" s="134"/>
      <c r="J187" s="155"/>
      <c r="K187" s="152"/>
      <c r="L187" s="152"/>
      <c r="M187" s="361"/>
      <c r="N187" s="151"/>
      <c r="O187" s="362"/>
      <c r="P187" s="134"/>
    </row>
    <row r="188" spans="1:16" s="140" customFormat="1" ht="12.75" x14ac:dyDescent="0.25">
      <c r="B188" s="155"/>
      <c r="C188" s="152"/>
      <c r="D188" s="152"/>
      <c r="E188" s="361"/>
      <c r="F188" s="151"/>
      <c r="G188" s="362"/>
      <c r="H188" s="134"/>
      <c r="J188" s="155"/>
      <c r="K188" s="152"/>
      <c r="L188" s="152"/>
      <c r="M188" s="361"/>
      <c r="N188" s="151"/>
      <c r="O188" s="362"/>
      <c r="P188" s="134"/>
    </row>
    <row r="189" spans="1:16" s="140" customFormat="1" ht="12.75" x14ac:dyDescent="0.25">
      <c r="B189" s="155"/>
      <c r="C189" s="152"/>
      <c r="D189" s="152"/>
      <c r="E189" s="361"/>
      <c r="F189" s="151"/>
      <c r="G189" s="362"/>
      <c r="H189" s="134"/>
      <c r="J189" s="155"/>
      <c r="K189" s="152"/>
      <c r="L189" s="152"/>
      <c r="M189" s="361"/>
      <c r="N189" s="151"/>
      <c r="O189" s="362"/>
      <c r="P189" s="134"/>
    </row>
    <row r="190" spans="1:16" s="140" customFormat="1" ht="12.75" x14ac:dyDescent="0.25">
      <c r="B190" s="155"/>
      <c r="C190" s="152"/>
      <c r="D190" s="152"/>
      <c r="E190" s="361"/>
      <c r="F190" s="151"/>
      <c r="G190" s="362"/>
      <c r="H190" s="134"/>
      <c r="J190" s="155"/>
      <c r="K190" s="152"/>
      <c r="L190" s="152"/>
      <c r="M190" s="361"/>
      <c r="N190" s="151"/>
      <c r="O190" s="362"/>
      <c r="P190" s="134"/>
    </row>
    <row r="191" spans="1:16" s="140" customFormat="1" ht="12.75" x14ac:dyDescent="0.25">
      <c r="B191" s="155"/>
      <c r="C191" s="152"/>
      <c r="D191" s="152"/>
      <c r="E191" s="361"/>
      <c r="F191" s="151"/>
      <c r="G191" s="362"/>
      <c r="H191" s="134"/>
      <c r="J191" s="155"/>
      <c r="K191" s="152"/>
      <c r="L191" s="152"/>
      <c r="M191" s="361"/>
      <c r="N191" s="151"/>
      <c r="O191" s="362"/>
      <c r="P191" s="134"/>
    </row>
    <row r="192" spans="1:16" s="140" customFormat="1" ht="12.75" x14ac:dyDescent="0.25">
      <c r="B192" s="155"/>
      <c r="C192" s="152"/>
      <c r="D192" s="152"/>
      <c r="E192" s="361"/>
      <c r="F192" s="151"/>
      <c r="G192" s="362"/>
      <c r="H192" s="134"/>
      <c r="J192" s="155"/>
      <c r="K192" s="152"/>
      <c r="L192" s="152"/>
      <c r="M192" s="361"/>
      <c r="N192" s="151"/>
      <c r="O192" s="362"/>
      <c r="P192" s="134"/>
    </row>
    <row r="193" spans="2:16" s="140" customFormat="1" ht="13.5" thickBot="1" x14ac:dyDescent="0.3">
      <c r="B193" s="155"/>
      <c r="C193" s="152"/>
      <c r="D193" s="152"/>
      <c r="E193" s="361"/>
      <c r="F193" s="151"/>
      <c r="G193" s="362"/>
      <c r="H193" s="134"/>
      <c r="J193" s="155"/>
      <c r="K193" s="152"/>
      <c r="L193" s="152"/>
      <c r="M193" s="361"/>
      <c r="N193" s="151"/>
      <c r="O193" s="362"/>
      <c r="P193" s="134"/>
    </row>
    <row r="194" spans="2:16" s="140" customFormat="1" ht="13.5" thickBot="1" x14ac:dyDescent="0.3">
      <c r="B194" s="157"/>
      <c r="C194" s="159"/>
      <c r="D194" s="159"/>
      <c r="E194" s="369"/>
      <c r="F194" s="158"/>
      <c r="G194" s="363"/>
      <c r="H194" s="161">
        <f>+SUM(G182:G194)</f>
        <v>310172.24</v>
      </c>
      <c r="J194" s="157"/>
      <c r="K194" s="159"/>
      <c r="L194" s="159"/>
      <c r="M194" s="369"/>
      <c r="N194" s="158"/>
      <c r="O194" s="363"/>
      <c r="P194" s="161">
        <f>+SUM(O182:O194)</f>
        <v>319163.60000000003</v>
      </c>
    </row>
    <row r="195" spans="2:16" s="140" customFormat="1" ht="13.5" thickBot="1" x14ac:dyDescent="0.3">
      <c r="B195" s="162"/>
      <c r="C195" s="162"/>
      <c r="D195" s="162"/>
      <c r="E195" s="364"/>
      <c r="F195" s="163"/>
      <c r="G195" s="364"/>
      <c r="H195" s="165"/>
      <c r="J195" s="162"/>
      <c r="K195" s="162"/>
      <c r="L195" s="162"/>
      <c r="M195" s="364"/>
      <c r="N195" s="163"/>
      <c r="O195" s="364"/>
      <c r="P195" s="165"/>
    </row>
    <row r="196" spans="2:16" s="140" customFormat="1" ht="13.5" thickBot="1" x14ac:dyDescent="0.3">
      <c r="B196" s="143" t="s">
        <v>5410</v>
      </c>
      <c r="C196" s="144" t="s">
        <v>867</v>
      </c>
      <c r="D196" s="144" t="s">
        <v>6</v>
      </c>
      <c r="E196" s="370" t="s">
        <v>870</v>
      </c>
      <c r="F196" s="144" t="s">
        <v>5411</v>
      </c>
      <c r="G196" s="365" t="s">
        <v>868</v>
      </c>
      <c r="H196" s="134"/>
      <c r="J196" s="143" t="s">
        <v>5410</v>
      </c>
      <c r="K196" s="144" t="s">
        <v>867</v>
      </c>
      <c r="L196" s="144" t="s">
        <v>6</v>
      </c>
      <c r="M196" s="370" t="s">
        <v>870</v>
      </c>
      <c r="N196" s="144" t="s">
        <v>5411</v>
      </c>
      <c r="O196" s="365" t="s">
        <v>868</v>
      </c>
      <c r="P196" s="134"/>
    </row>
    <row r="197" spans="2:16" s="140" customFormat="1" ht="12.75" x14ac:dyDescent="0.25">
      <c r="B197" s="201"/>
      <c r="C197" s="147"/>
      <c r="D197" s="211"/>
      <c r="E197" s="366"/>
      <c r="F197" s="211"/>
      <c r="G197" s="367"/>
      <c r="H197" s="134"/>
      <c r="J197" s="201"/>
      <c r="K197" s="147"/>
      <c r="L197" s="211"/>
      <c r="M197" s="366"/>
      <c r="N197" s="211"/>
      <c r="O197" s="367">
        <f>+L197*M197*N197</f>
        <v>0</v>
      </c>
      <c r="P197" s="134"/>
    </row>
    <row r="198" spans="2:16" s="140" customFormat="1" ht="12.75" x14ac:dyDescent="0.25">
      <c r="B198" s="166"/>
      <c r="C198" s="148"/>
      <c r="D198" s="148"/>
      <c r="E198" s="148"/>
      <c r="F198" s="147"/>
      <c r="G198" s="172"/>
      <c r="H198" s="134"/>
      <c r="J198" s="166"/>
      <c r="K198" s="148"/>
      <c r="L198" s="148"/>
      <c r="M198" s="148"/>
      <c r="N198" s="147"/>
      <c r="O198" s="172"/>
      <c r="P198" s="134"/>
    </row>
    <row r="199" spans="2:16" s="140" customFormat="1" ht="12.75" x14ac:dyDescent="0.25">
      <c r="B199" s="155"/>
      <c r="C199" s="152"/>
      <c r="D199" s="152"/>
      <c r="E199" s="152"/>
      <c r="F199" s="151"/>
      <c r="G199" s="156"/>
      <c r="H199" s="134"/>
      <c r="J199" s="155"/>
      <c r="K199" s="152"/>
      <c r="L199" s="152"/>
      <c r="M199" s="152"/>
      <c r="N199" s="151"/>
      <c r="O199" s="156"/>
      <c r="P199" s="134"/>
    </row>
    <row r="200" spans="2:16" s="140" customFormat="1" ht="12.75" x14ac:dyDescent="0.25">
      <c r="B200" s="155"/>
      <c r="C200" s="152"/>
      <c r="D200" s="152"/>
      <c r="E200" s="152"/>
      <c r="F200" s="151"/>
      <c r="G200" s="156"/>
      <c r="H200" s="134"/>
      <c r="J200" s="155"/>
      <c r="K200" s="152"/>
      <c r="L200" s="152"/>
      <c r="M200" s="152"/>
      <c r="N200" s="151"/>
      <c r="O200" s="156"/>
      <c r="P200" s="134"/>
    </row>
    <row r="201" spans="2:16" s="140" customFormat="1" ht="13.5" thickBot="1" x14ac:dyDescent="0.3">
      <c r="B201" s="155"/>
      <c r="C201" s="152"/>
      <c r="D201" s="152"/>
      <c r="E201" s="152"/>
      <c r="F201" s="151"/>
      <c r="G201" s="156"/>
      <c r="H201" s="134"/>
      <c r="J201" s="155"/>
      <c r="K201" s="152"/>
      <c r="L201" s="152"/>
      <c r="M201" s="152"/>
      <c r="N201" s="151"/>
      <c r="O201" s="156"/>
      <c r="P201" s="134"/>
    </row>
    <row r="202" spans="2:16" s="140" customFormat="1" ht="13.5" thickBot="1" x14ac:dyDescent="0.3">
      <c r="B202" s="157"/>
      <c r="C202" s="159"/>
      <c r="D202" s="159"/>
      <c r="E202" s="159"/>
      <c r="F202" s="158"/>
      <c r="G202" s="160"/>
      <c r="H202" s="161">
        <f>+SUM(G197:G202)</f>
        <v>0</v>
      </c>
      <c r="J202" s="157"/>
      <c r="K202" s="159"/>
      <c r="L202" s="159"/>
      <c r="M202" s="159"/>
      <c r="N202" s="158"/>
      <c r="O202" s="160"/>
      <c r="P202" s="161">
        <f>+SUM(O197:O202)</f>
        <v>0</v>
      </c>
    </row>
    <row r="203" spans="2:16" s="140" customFormat="1" ht="13.5" thickBot="1" x14ac:dyDescent="0.3">
      <c r="B203" s="162"/>
      <c r="C203" s="162"/>
      <c r="D203" s="162"/>
      <c r="E203" s="162"/>
      <c r="F203" s="173"/>
      <c r="G203" s="174"/>
      <c r="H203" s="165"/>
      <c r="J203" s="162"/>
      <c r="K203" s="162"/>
      <c r="L203" s="162"/>
      <c r="M203" s="162"/>
      <c r="N203" s="173"/>
      <c r="O203" s="174"/>
      <c r="P203" s="165"/>
    </row>
    <row r="204" spans="2:16" s="140" customFormat="1" ht="13.5" thickBot="1" x14ac:dyDescent="0.3">
      <c r="B204" s="143" t="s">
        <v>5412</v>
      </c>
      <c r="C204" s="193" t="s">
        <v>5420</v>
      </c>
      <c r="D204" s="193" t="s">
        <v>5421</v>
      </c>
      <c r="E204" s="193" t="s">
        <v>5413</v>
      </c>
      <c r="F204" s="144" t="s">
        <v>5405</v>
      </c>
      <c r="G204" s="145" t="s">
        <v>868</v>
      </c>
      <c r="H204" s="134"/>
      <c r="J204" s="143" t="s">
        <v>5412</v>
      </c>
      <c r="K204" s="193" t="s">
        <v>5420</v>
      </c>
      <c r="L204" s="193" t="s">
        <v>5421</v>
      </c>
      <c r="M204" s="193" t="s">
        <v>5413</v>
      </c>
      <c r="N204" s="144" t="s">
        <v>5405</v>
      </c>
      <c r="O204" s="145" t="s">
        <v>868</v>
      </c>
      <c r="P204" s="134"/>
    </row>
    <row r="205" spans="2:16" s="140" customFormat="1" ht="12.75" x14ac:dyDescent="0.25">
      <c r="B205" s="194" t="s">
        <v>5948</v>
      </c>
      <c r="C205" s="345">
        <v>70000</v>
      </c>
      <c r="D205" s="345">
        <v>53961.351755041069</v>
      </c>
      <c r="E205" s="345">
        <v>117445.29499626586</v>
      </c>
      <c r="F205" s="192">
        <v>5</v>
      </c>
      <c r="G205" s="351">
        <f>+E205/F205</f>
        <v>23489.058999253171</v>
      </c>
      <c r="H205" s="134"/>
      <c r="J205" s="194" t="s">
        <v>5948</v>
      </c>
      <c r="K205" s="345">
        <v>70000</v>
      </c>
      <c r="L205" s="345">
        <v>53961.351755041069</v>
      </c>
      <c r="M205" s="345">
        <v>117445.29499626586</v>
      </c>
      <c r="N205" s="192">
        <v>5</v>
      </c>
      <c r="O205" s="351">
        <f>+M205/N205</f>
        <v>23489.058999253171</v>
      </c>
      <c r="P205" s="134"/>
    </row>
    <row r="206" spans="2:16" s="140" customFormat="1" ht="12.75" x14ac:dyDescent="0.25">
      <c r="B206" s="194" t="s">
        <v>5949</v>
      </c>
      <c r="C206" s="345">
        <v>40000</v>
      </c>
      <c r="D206" s="345">
        <v>26980.675877520534</v>
      </c>
      <c r="E206" s="345">
        <v>58722.64749813293</v>
      </c>
      <c r="F206" s="192">
        <v>2</v>
      </c>
      <c r="G206" s="351">
        <f>+E206/F206</f>
        <v>29361.323749066465</v>
      </c>
      <c r="H206" s="134"/>
      <c r="J206" s="194" t="s">
        <v>5949</v>
      </c>
      <c r="K206" s="345">
        <v>40000</v>
      </c>
      <c r="L206" s="345">
        <v>26980.675877520534</v>
      </c>
      <c r="M206" s="345">
        <v>58722.64749813293</v>
      </c>
      <c r="N206" s="192">
        <v>1</v>
      </c>
      <c r="O206" s="351">
        <f>+M206/N206</f>
        <v>58722.64749813293</v>
      </c>
      <c r="P206" s="134"/>
    </row>
    <row r="207" spans="2:16" s="140" customFormat="1" ht="12.75" x14ac:dyDescent="0.25">
      <c r="B207" s="195" t="s">
        <v>5635</v>
      </c>
      <c r="C207" s="345">
        <v>20600</v>
      </c>
      <c r="D207" s="345">
        <v>16188.405526512322</v>
      </c>
      <c r="E207" s="345">
        <v>35233.588498879762</v>
      </c>
      <c r="F207" s="192">
        <v>1</v>
      </c>
      <c r="G207" s="351">
        <f>+E207/F207</f>
        <v>35233.588498879762</v>
      </c>
      <c r="H207" s="134"/>
      <c r="J207" s="195" t="s">
        <v>5635</v>
      </c>
      <c r="K207" s="345">
        <v>20600</v>
      </c>
      <c r="L207" s="345">
        <v>16188.405526512322</v>
      </c>
      <c r="M207" s="345">
        <v>35233.588498879762</v>
      </c>
      <c r="N207" s="192">
        <v>1</v>
      </c>
      <c r="O207" s="351">
        <f>+M207/N207</f>
        <v>35233.588498879762</v>
      </c>
      <c r="P207" s="134"/>
    </row>
    <row r="208" spans="2:16" s="140" customFormat="1" ht="12.75" x14ac:dyDescent="0.25">
      <c r="B208" s="155"/>
      <c r="C208" s="152"/>
      <c r="D208" s="152"/>
      <c r="E208" s="152"/>
      <c r="F208" s="151"/>
      <c r="G208" s="156"/>
      <c r="H208" s="134"/>
      <c r="J208" s="155"/>
      <c r="K208" s="152"/>
      <c r="L208" s="152"/>
      <c r="M208" s="152"/>
      <c r="N208" s="151"/>
      <c r="O208" s="156"/>
      <c r="P208" s="134"/>
    </row>
    <row r="209" spans="1:16" s="140" customFormat="1" ht="12.75" x14ac:dyDescent="0.25">
      <c r="B209" s="155"/>
      <c r="C209" s="152"/>
      <c r="D209" s="152"/>
      <c r="E209" s="152"/>
      <c r="F209" s="151"/>
      <c r="G209" s="156"/>
      <c r="H209" s="134"/>
      <c r="J209" s="155"/>
      <c r="K209" s="152"/>
      <c r="L209" s="152"/>
      <c r="M209" s="152"/>
      <c r="N209" s="151"/>
      <c r="O209" s="156"/>
      <c r="P209" s="134"/>
    </row>
    <row r="210" spans="1:16" s="140" customFormat="1" ht="13.5" thickBot="1" x14ac:dyDescent="0.3">
      <c r="B210" s="155"/>
      <c r="C210" s="152"/>
      <c r="D210" s="152"/>
      <c r="E210" s="152"/>
      <c r="F210" s="151"/>
      <c r="G210" s="156"/>
      <c r="H210" s="134"/>
      <c r="J210" s="155"/>
      <c r="K210" s="152"/>
      <c r="L210" s="152"/>
      <c r="M210" s="152"/>
      <c r="N210" s="151"/>
      <c r="O210" s="156"/>
      <c r="P210" s="134"/>
    </row>
    <row r="211" spans="1:16" s="140" customFormat="1" ht="13.5" thickBot="1" x14ac:dyDescent="0.3">
      <c r="B211" s="179"/>
      <c r="C211" s="180"/>
      <c r="D211" s="180"/>
      <c r="E211" s="180"/>
      <c r="F211" s="181"/>
      <c r="G211" s="182"/>
      <c r="H211" s="161">
        <f>+SUM(G205:G211)</f>
        <v>88083.971247199399</v>
      </c>
      <c r="J211" s="179"/>
      <c r="K211" s="180"/>
      <c r="L211" s="180"/>
      <c r="M211" s="180"/>
      <c r="N211" s="181"/>
      <c r="O211" s="182"/>
      <c r="P211" s="161">
        <f>+SUM(O205:O211)</f>
        <v>117445.29499626586</v>
      </c>
    </row>
    <row r="212" spans="1:16" s="140" customFormat="1" ht="13.5" thickBot="1" x14ac:dyDescent="0.3">
      <c r="F212" s="141"/>
      <c r="G212" s="134"/>
      <c r="H212" s="134"/>
      <c r="N212" s="141"/>
      <c r="O212" s="134"/>
      <c r="P212" s="134"/>
    </row>
    <row r="213" spans="1:16" s="140" customFormat="1" ht="13.5" thickBot="1" x14ac:dyDescent="0.3">
      <c r="E213" s="183" t="s">
        <v>5415</v>
      </c>
      <c r="F213" s="141"/>
      <c r="G213" s="134"/>
      <c r="H213" s="161">
        <f>ROUND(+H179+H194+H202+H211,0)</f>
        <v>408065</v>
      </c>
      <c r="M213" s="183" t="s">
        <v>5415</v>
      </c>
      <c r="N213" s="141"/>
      <c r="O213" s="134"/>
      <c r="P213" s="161">
        <f>ROUND(+P179+P194+P202+P211,0)</f>
        <v>448853</v>
      </c>
    </row>
    <row r="214" spans="1:16" s="8" customFormat="1" ht="12.75" x14ac:dyDescent="0.25">
      <c r="F214" s="133"/>
      <c r="N214" s="133"/>
    </row>
    <row r="215" spans="1:16" s="8" customFormat="1" ht="12.75" x14ac:dyDescent="0.25">
      <c r="F215" s="133"/>
      <c r="H215" s="368"/>
      <c r="N215" s="133"/>
      <c r="P215" s="368"/>
    </row>
    <row r="216" spans="1:16" s="8" customFormat="1" ht="12.75" x14ac:dyDescent="0.25">
      <c r="F216" s="133"/>
      <c r="N216" s="133"/>
    </row>
    <row r="217" spans="1:16" s="8" customFormat="1" ht="12.75" x14ac:dyDescent="0.25">
      <c r="F217" s="133"/>
      <c r="N217" s="133"/>
    </row>
    <row r="218" spans="1:16" s="8" customFormat="1" ht="18.75" x14ac:dyDescent="0.25">
      <c r="A218" s="133"/>
      <c r="B218" s="2506" t="s">
        <v>5400</v>
      </c>
      <c r="C218" s="2506"/>
      <c r="D218" s="2506"/>
      <c r="E218" s="2506"/>
      <c r="F218" s="2506"/>
      <c r="G218" s="2506"/>
      <c r="I218" s="133"/>
      <c r="J218" s="2506" t="s">
        <v>5400</v>
      </c>
      <c r="K218" s="2506"/>
      <c r="L218" s="2506"/>
      <c r="M218" s="2506"/>
      <c r="N218" s="2506"/>
      <c r="O218" s="2506"/>
    </row>
    <row r="219" spans="1:16" s="8" customFormat="1" ht="12.75" x14ac:dyDescent="0.25">
      <c r="A219" s="133"/>
      <c r="F219" s="133"/>
      <c r="G219" s="134"/>
      <c r="I219" s="133"/>
      <c r="N219" s="133"/>
      <c r="O219" s="134"/>
    </row>
    <row r="220" spans="1:16" s="8" customFormat="1" ht="12.75" x14ac:dyDescent="0.25">
      <c r="A220" s="133"/>
      <c r="F220" s="133"/>
      <c r="G220" s="134"/>
      <c r="I220" s="133"/>
      <c r="N220" s="133"/>
      <c r="O220" s="134"/>
    </row>
    <row r="221" spans="1:16" s="8" customFormat="1" ht="12.75" x14ac:dyDescent="0.25">
      <c r="A221" s="133"/>
      <c r="F221" s="133"/>
      <c r="G221" s="134"/>
      <c r="I221" s="133"/>
      <c r="N221" s="133"/>
      <c r="O221" s="134"/>
    </row>
    <row r="222" spans="1:16" s="140" customFormat="1" ht="12.75" x14ac:dyDescent="0.25">
      <c r="A222" s="138" t="s">
        <v>3</v>
      </c>
      <c r="B222" s="138" t="s">
        <v>5585</v>
      </c>
      <c r="C222" s="2451" t="s">
        <v>5586</v>
      </c>
      <c r="D222" s="2451"/>
      <c r="E222" s="2451"/>
      <c r="F222" s="138" t="s">
        <v>867</v>
      </c>
      <c r="G222" s="139" t="s">
        <v>5454</v>
      </c>
      <c r="H222" s="134"/>
      <c r="I222" s="138" t="s">
        <v>3</v>
      </c>
      <c r="J222" s="138" t="s">
        <v>5585</v>
      </c>
      <c r="K222" s="2451" t="s">
        <v>5586</v>
      </c>
      <c r="L222" s="2451"/>
      <c r="M222" s="2451"/>
      <c r="N222" s="138" t="s">
        <v>867</v>
      </c>
      <c r="O222" s="139" t="s">
        <v>5454</v>
      </c>
      <c r="P222" s="134"/>
    </row>
    <row r="223" spans="1:16" s="140" customFormat="1" ht="12.75" x14ac:dyDescent="0.25">
      <c r="A223" s="141"/>
      <c r="F223" s="141"/>
      <c r="G223" s="134"/>
      <c r="H223" s="134"/>
      <c r="I223" s="141"/>
      <c r="N223" s="141"/>
      <c r="O223" s="134"/>
      <c r="P223" s="134"/>
    </row>
    <row r="224" spans="1:16" s="140" customFormat="1" ht="12.75" x14ac:dyDescent="0.25">
      <c r="A224" s="141"/>
      <c r="F224" s="141"/>
      <c r="G224" s="142"/>
      <c r="H224" s="134"/>
      <c r="I224" s="141"/>
      <c r="N224" s="141"/>
      <c r="O224" s="142"/>
      <c r="P224" s="134"/>
    </row>
    <row r="225" spans="1:16" s="140" customFormat="1" ht="13.5" thickBot="1" x14ac:dyDescent="0.3">
      <c r="A225" s="141"/>
      <c r="F225" s="141"/>
      <c r="G225" s="134"/>
      <c r="H225" s="134"/>
      <c r="I225" s="141"/>
      <c r="N225" s="141"/>
      <c r="O225" s="134"/>
      <c r="P225" s="134"/>
    </row>
    <row r="226" spans="1:16" s="140" customFormat="1" ht="13.5" thickBot="1" x14ac:dyDescent="0.3">
      <c r="A226" s="141"/>
      <c r="B226" s="143" t="s">
        <v>5403</v>
      </c>
      <c r="C226" s="144" t="s">
        <v>867</v>
      </c>
      <c r="D226" s="144" t="s">
        <v>6</v>
      </c>
      <c r="E226" s="144" t="s">
        <v>5404</v>
      </c>
      <c r="F226" s="144" t="s">
        <v>5405</v>
      </c>
      <c r="G226" s="145" t="s">
        <v>868</v>
      </c>
      <c r="H226" s="134"/>
      <c r="I226" s="141"/>
      <c r="J226" s="143" t="s">
        <v>5403</v>
      </c>
      <c r="K226" s="144" t="s">
        <v>867</v>
      </c>
      <c r="L226" s="144" t="s">
        <v>6</v>
      </c>
      <c r="M226" s="144" t="s">
        <v>5404</v>
      </c>
      <c r="N226" s="144" t="s">
        <v>5405</v>
      </c>
      <c r="O226" s="145" t="s">
        <v>868</v>
      </c>
      <c r="P226" s="134"/>
    </row>
    <row r="227" spans="1:16" s="140" customFormat="1" ht="12.75" x14ac:dyDescent="0.25">
      <c r="A227" s="141"/>
      <c r="B227" s="146" t="s">
        <v>5440</v>
      </c>
      <c r="C227" s="147" t="s">
        <v>5406</v>
      </c>
      <c r="D227" s="148"/>
      <c r="E227" s="434">
        <f>+H265</f>
        <v>88083.971247199399</v>
      </c>
      <c r="F227" s="290">
        <v>0.1</v>
      </c>
      <c r="G227" s="360">
        <f>+E227*F227</f>
        <v>8808.3971247199406</v>
      </c>
      <c r="H227" s="134"/>
      <c r="I227" s="141"/>
      <c r="J227" s="146" t="s">
        <v>5440</v>
      </c>
      <c r="K227" s="147" t="s">
        <v>5406</v>
      </c>
      <c r="L227" s="148"/>
      <c r="M227" s="434">
        <f>+P265</f>
        <v>117445.29499626586</v>
      </c>
      <c r="N227" s="290">
        <v>0.1</v>
      </c>
      <c r="O227" s="360">
        <f>+M227*N227</f>
        <v>11744.529499626587</v>
      </c>
      <c r="P227" s="134"/>
    </row>
    <row r="228" spans="1:16" s="140" customFormat="1" ht="12.75" x14ac:dyDescent="0.25">
      <c r="A228" s="141"/>
      <c r="B228" s="150" t="s">
        <v>5747</v>
      </c>
      <c r="C228" s="151" t="s">
        <v>5407</v>
      </c>
      <c r="D228" s="152"/>
      <c r="E228" s="361">
        <v>7000</v>
      </c>
      <c r="F228" s="298">
        <v>7</v>
      </c>
      <c r="G228" s="360">
        <f>+E228/F228</f>
        <v>1000</v>
      </c>
      <c r="H228" s="134"/>
      <c r="I228" s="141"/>
      <c r="J228" s="150" t="s">
        <v>5554</v>
      </c>
      <c r="K228" s="151" t="s">
        <v>5407</v>
      </c>
      <c r="L228" s="152"/>
      <c r="M228" s="361">
        <v>3500</v>
      </c>
      <c r="N228" s="291">
        <v>7</v>
      </c>
      <c r="O228" s="360">
        <f>+M228/N228</f>
        <v>500</v>
      </c>
      <c r="P228" s="134"/>
    </row>
    <row r="229" spans="1:16" s="140" customFormat="1" ht="12.75" x14ac:dyDescent="0.25">
      <c r="A229" s="141"/>
      <c r="B229" s="154" t="s">
        <v>5963</v>
      </c>
      <c r="C229" s="151"/>
      <c r="D229" s="152"/>
      <c r="E229" s="361"/>
      <c r="F229" s="153"/>
      <c r="G229" s="360"/>
      <c r="H229" s="134"/>
      <c r="I229" s="141"/>
      <c r="J229" s="154"/>
      <c r="K229" s="151"/>
      <c r="L229" s="152"/>
      <c r="M229" s="361"/>
      <c r="N229" s="153"/>
      <c r="O229" s="360"/>
      <c r="P229" s="134"/>
    </row>
    <row r="230" spans="1:16" s="140" customFormat="1" ht="12.75" x14ac:dyDescent="0.25">
      <c r="A230" s="141"/>
      <c r="B230" s="155"/>
      <c r="C230" s="151"/>
      <c r="D230" s="152"/>
      <c r="E230" s="361"/>
      <c r="F230" s="151"/>
      <c r="G230" s="362"/>
      <c r="H230" s="134"/>
      <c r="I230" s="141"/>
      <c r="J230" s="155"/>
      <c r="K230" s="151"/>
      <c r="L230" s="152"/>
      <c r="M230" s="361"/>
      <c r="N230" s="151"/>
      <c r="O230" s="362"/>
      <c r="P230" s="134"/>
    </row>
    <row r="231" spans="1:16" s="140" customFormat="1" ht="12.75" x14ac:dyDescent="0.25">
      <c r="A231" s="141"/>
      <c r="B231" s="155"/>
      <c r="C231" s="151"/>
      <c r="D231" s="152"/>
      <c r="E231" s="361"/>
      <c r="F231" s="151"/>
      <c r="G231" s="362"/>
      <c r="H231" s="134"/>
      <c r="I231" s="141"/>
      <c r="J231" s="155"/>
      <c r="K231" s="151"/>
      <c r="L231" s="152"/>
      <c r="M231" s="361"/>
      <c r="N231" s="151"/>
      <c r="O231" s="362"/>
      <c r="P231" s="134"/>
    </row>
    <row r="232" spans="1:16" s="140" customFormat="1" ht="13.5" thickBot="1" x14ac:dyDescent="0.3">
      <c r="A232" s="141"/>
      <c r="B232" s="155"/>
      <c r="C232" s="151"/>
      <c r="D232" s="152"/>
      <c r="E232" s="361"/>
      <c r="F232" s="151"/>
      <c r="G232" s="362"/>
      <c r="H232" s="134"/>
      <c r="I232" s="141"/>
      <c r="J232" s="155"/>
      <c r="K232" s="151"/>
      <c r="L232" s="152"/>
      <c r="M232" s="361"/>
      <c r="N232" s="151"/>
      <c r="O232" s="362"/>
      <c r="P232" s="134"/>
    </row>
    <row r="233" spans="1:16" s="140" customFormat="1" ht="13.5" thickBot="1" x14ac:dyDescent="0.3">
      <c r="A233" s="141"/>
      <c r="B233" s="157"/>
      <c r="C233" s="158"/>
      <c r="D233" s="159"/>
      <c r="E233" s="369"/>
      <c r="F233" s="158"/>
      <c r="G233" s="363"/>
      <c r="H233" s="161">
        <f>+SUM(G227:G233)</f>
        <v>9808.3971247199406</v>
      </c>
      <c r="I233" s="141"/>
      <c r="J233" s="157"/>
      <c r="K233" s="158"/>
      <c r="L233" s="159"/>
      <c r="M233" s="369"/>
      <c r="N233" s="158"/>
      <c r="O233" s="363"/>
      <c r="P233" s="161">
        <f>+SUM(O227:O233)</f>
        <v>12244.529499626587</v>
      </c>
    </row>
    <row r="234" spans="1:16" s="140" customFormat="1" ht="13.5" thickBot="1" x14ac:dyDescent="0.3">
      <c r="A234" s="141"/>
      <c r="B234" s="162"/>
      <c r="C234" s="163"/>
      <c r="D234" s="162"/>
      <c r="E234" s="364"/>
      <c r="F234" s="163"/>
      <c r="G234" s="364"/>
      <c r="H234" s="165"/>
      <c r="I234" s="141"/>
      <c r="J234" s="162"/>
      <c r="K234" s="163"/>
      <c r="L234" s="162"/>
      <c r="M234" s="364"/>
      <c r="N234" s="163"/>
      <c r="O234" s="364"/>
      <c r="P234" s="165"/>
    </row>
    <row r="235" spans="1:16" s="140" customFormat="1" ht="13.5" thickBot="1" x14ac:dyDescent="0.3">
      <c r="B235" s="143" t="s">
        <v>5408</v>
      </c>
      <c r="C235" s="144" t="s">
        <v>867</v>
      </c>
      <c r="D235" s="144" t="s">
        <v>6</v>
      </c>
      <c r="E235" s="370" t="s">
        <v>870</v>
      </c>
      <c r="F235" s="144" t="s">
        <v>5409</v>
      </c>
      <c r="G235" s="365" t="s">
        <v>868</v>
      </c>
      <c r="H235" s="134"/>
      <c r="J235" s="143" t="s">
        <v>5408</v>
      </c>
      <c r="K235" s="144" t="s">
        <v>867</v>
      </c>
      <c r="L235" s="144" t="s">
        <v>6</v>
      </c>
      <c r="M235" s="370" t="s">
        <v>870</v>
      </c>
      <c r="N235" s="144" t="s">
        <v>5409</v>
      </c>
      <c r="O235" s="365" t="s">
        <v>868</v>
      </c>
      <c r="P235" s="134"/>
    </row>
    <row r="236" spans="1:16" s="140" customFormat="1" ht="12.75" x14ac:dyDescent="0.25">
      <c r="B236" s="201" t="s">
        <v>6002</v>
      </c>
      <c r="C236" s="147" t="s">
        <v>5430</v>
      </c>
      <c r="D236" s="211">
        <v>1.05</v>
      </c>
      <c r="E236" s="366">
        <v>293927</v>
      </c>
      <c r="F236" s="169">
        <v>0.02</v>
      </c>
      <c r="G236" s="367">
        <f>+D236*E236*(1+F236)</f>
        <v>314795.81700000004</v>
      </c>
      <c r="H236" s="134"/>
      <c r="J236" s="201" t="s">
        <v>6002</v>
      </c>
      <c r="K236" s="147" t="s">
        <v>5430</v>
      </c>
      <c r="L236" s="211">
        <v>1.05</v>
      </c>
      <c r="M236" s="366">
        <v>293927</v>
      </c>
      <c r="N236" s="169">
        <v>0.05</v>
      </c>
      <c r="O236" s="367">
        <f>+L236*M236*(1+N236)</f>
        <v>324054.51750000007</v>
      </c>
      <c r="P236" s="134"/>
    </row>
    <row r="237" spans="1:16" s="140" customFormat="1" ht="12.75" x14ac:dyDescent="0.25">
      <c r="B237" s="155" t="s">
        <v>5560</v>
      </c>
      <c r="C237" s="151" t="s">
        <v>5944</v>
      </c>
      <c r="D237" s="274">
        <f>0.2/0.2</f>
        <v>1</v>
      </c>
      <c r="E237" s="361">
        <f>81200/20</f>
        <v>4060</v>
      </c>
      <c r="F237" s="169">
        <v>0.1</v>
      </c>
      <c r="G237" s="367">
        <f>+D237*E237*(1+F237)</f>
        <v>4466</v>
      </c>
      <c r="H237" s="134"/>
      <c r="J237" s="155" t="s">
        <v>5560</v>
      </c>
      <c r="K237" s="151" t="s">
        <v>5944</v>
      </c>
      <c r="L237" s="274">
        <f>0.2/0.2</f>
        <v>1</v>
      </c>
      <c r="M237" s="361">
        <f>81200/20</f>
        <v>4060</v>
      </c>
      <c r="N237" s="169">
        <v>0.1</v>
      </c>
      <c r="O237" s="367">
        <f>+L237*M237*(1+N237)</f>
        <v>4466</v>
      </c>
      <c r="P237" s="134"/>
    </row>
    <row r="238" spans="1:16" s="140" customFormat="1" ht="12.75" x14ac:dyDescent="0.25">
      <c r="B238" s="196"/>
      <c r="C238" s="151"/>
      <c r="D238" s="274"/>
      <c r="E238" s="361"/>
      <c r="F238" s="169"/>
      <c r="G238" s="367"/>
      <c r="H238" s="134"/>
      <c r="J238" s="196"/>
      <c r="K238" s="151"/>
      <c r="L238" s="274"/>
      <c r="M238" s="361"/>
      <c r="N238" s="169"/>
      <c r="O238" s="367"/>
      <c r="P238" s="134"/>
    </row>
    <row r="239" spans="1:16" s="140" customFormat="1" ht="12.75" x14ac:dyDescent="0.25">
      <c r="B239" s="155"/>
      <c r="C239" s="152"/>
      <c r="D239" s="152"/>
      <c r="E239" s="361"/>
      <c r="F239" s="151"/>
      <c r="G239" s="362"/>
      <c r="H239" s="134"/>
      <c r="J239" s="155"/>
      <c r="K239" s="152"/>
      <c r="L239" s="152"/>
      <c r="M239" s="361"/>
      <c r="N239" s="151"/>
      <c r="O239" s="362"/>
      <c r="P239" s="134"/>
    </row>
    <row r="240" spans="1:16" s="140" customFormat="1" ht="12.75" x14ac:dyDescent="0.25">
      <c r="B240" s="155"/>
      <c r="C240" s="152"/>
      <c r="D240" s="152"/>
      <c r="E240" s="361"/>
      <c r="F240" s="151"/>
      <c r="G240" s="362"/>
      <c r="H240" s="134"/>
      <c r="J240" s="155"/>
      <c r="K240" s="152"/>
      <c r="L240" s="152"/>
      <c r="M240" s="361"/>
      <c r="N240" s="151"/>
      <c r="O240" s="362"/>
      <c r="P240" s="134"/>
    </row>
    <row r="241" spans="2:16" s="140" customFormat="1" ht="12.75" x14ac:dyDescent="0.25">
      <c r="B241" s="155"/>
      <c r="C241" s="152"/>
      <c r="D241" s="152"/>
      <c r="E241" s="361"/>
      <c r="F241" s="151"/>
      <c r="G241" s="362"/>
      <c r="H241" s="134"/>
      <c r="J241" s="155"/>
      <c r="K241" s="152"/>
      <c r="L241" s="152"/>
      <c r="M241" s="361"/>
      <c r="N241" s="151"/>
      <c r="O241" s="362"/>
      <c r="P241" s="134"/>
    </row>
    <row r="242" spans="2:16" s="140" customFormat="1" ht="12.75" x14ac:dyDescent="0.25">
      <c r="B242" s="155"/>
      <c r="C242" s="152"/>
      <c r="D242" s="152"/>
      <c r="E242" s="361"/>
      <c r="F242" s="151"/>
      <c r="G242" s="362"/>
      <c r="H242" s="134"/>
      <c r="J242" s="155"/>
      <c r="K242" s="152"/>
      <c r="L242" s="152"/>
      <c r="M242" s="361"/>
      <c r="N242" s="151"/>
      <c r="O242" s="362"/>
      <c r="P242" s="134"/>
    </row>
    <row r="243" spans="2:16" s="140" customFormat="1" ht="12.75" x14ac:dyDescent="0.25">
      <c r="B243" s="155"/>
      <c r="C243" s="152"/>
      <c r="D243" s="152"/>
      <c r="E243" s="361"/>
      <c r="F243" s="151"/>
      <c r="G243" s="362"/>
      <c r="H243" s="134"/>
      <c r="J243" s="155"/>
      <c r="K243" s="152"/>
      <c r="L243" s="152"/>
      <c r="M243" s="361"/>
      <c r="N243" s="151"/>
      <c r="O243" s="362"/>
      <c r="P243" s="134"/>
    </row>
    <row r="244" spans="2:16" s="140" customFormat="1" ht="12.75" x14ac:dyDescent="0.25">
      <c r="B244" s="155"/>
      <c r="C244" s="152"/>
      <c r="D244" s="152"/>
      <c r="E244" s="361"/>
      <c r="F244" s="151"/>
      <c r="G244" s="362"/>
      <c r="H244" s="134"/>
      <c r="J244" s="155"/>
      <c r="K244" s="152"/>
      <c r="L244" s="152"/>
      <c r="M244" s="361"/>
      <c r="N244" s="151"/>
      <c r="O244" s="362"/>
      <c r="P244" s="134"/>
    </row>
    <row r="245" spans="2:16" s="140" customFormat="1" ht="12.75" x14ac:dyDescent="0.25">
      <c r="B245" s="155"/>
      <c r="C245" s="152"/>
      <c r="D245" s="152"/>
      <c r="E245" s="361"/>
      <c r="F245" s="151"/>
      <c r="G245" s="362"/>
      <c r="H245" s="134"/>
      <c r="J245" s="155"/>
      <c r="K245" s="152"/>
      <c r="L245" s="152"/>
      <c r="M245" s="361"/>
      <c r="N245" s="151"/>
      <c r="O245" s="362"/>
      <c r="P245" s="134"/>
    </row>
    <row r="246" spans="2:16" s="140" customFormat="1" ht="12.75" x14ac:dyDescent="0.25">
      <c r="B246" s="155"/>
      <c r="C246" s="152"/>
      <c r="D246" s="152"/>
      <c r="E246" s="361"/>
      <c r="F246" s="151"/>
      <c r="G246" s="362"/>
      <c r="H246" s="134"/>
      <c r="J246" s="155"/>
      <c r="K246" s="152"/>
      <c r="L246" s="152"/>
      <c r="M246" s="361"/>
      <c r="N246" s="151"/>
      <c r="O246" s="362"/>
      <c r="P246" s="134"/>
    </row>
    <row r="247" spans="2:16" s="140" customFormat="1" ht="13.5" thickBot="1" x14ac:dyDescent="0.3">
      <c r="B247" s="155"/>
      <c r="C247" s="152"/>
      <c r="D247" s="152"/>
      <c r="E247" s="361"/>
      <c r="F247" s="151"/>
      <c r="G247" s="362"/>
      <c r="H247" s="134"/>
      <c r="J247" s="155"/>
      <c r="K247" s="152"/>
      <c r="L247" s="152"/>
      <c r="M247" s="361"/>
      <c r="N247" s="151"/>
      <c r="O247" s="362"/>
      <c r="P247" s="134"/>
    </row>
    <row r="248" spans="2:16" s="140" customFormat="1" ht="13.5" thickBot="1" x14ac:dyDescent="0.3">
      <c r="B248" s="157"/>
      <c r="C248" s="159"/>
      <c r="D248" s="159"/>
      <c r="E248" s="369"/>
      <c r="F248" s="158"/>
      <c r="G248" s="363"/>
      <c r="H248" s="161">
        <f>+SUM(G236:G248)</f>
        <v>319261.81700000004</v>
      </c>
      <c r="J248" s="157"/>
      <c r="K248" s="159"/>
      <c r="L248" s="159"/>
      <c r="M248" s="369"/>
      <c r="N248" s="158"/>
      <c r="O248" s="363"/>
      <c r="P248" s="161">
        <f>+SUM(O236:O248)</f>
        <v>328520.51750000007</v>
      </c>
    </row>
    <row r="249" spans="2:16" s="140" customFormat="1" ht="13.5" thickBot="1" x14ac:dyDescent="0.3">
      <c r="B249" s="162"/>
      <c r="C249" s="162"/>
      <c r="D249" s="162"/>
      <c r="E249" s="364"/>
      <c r="F249" s="163"/>
      <c r="G249" s="364"/>
      <c r="H249" s="165"/>
      <c r="J249" s="162"/>
      <c r="K249" s="162"/>
      <c r="L249" s="162"/>
      <c r="M249" s="364"/>
      <c r="N249" s="163"/>
      <c r="O249" s="364"/>
      <c r="P249" s="165"/>
    </row>
    <row r="250" spans="2:16" s="140" customFormat="1" ht="13.5" thickBot="1" x14ac:dyDescent="0.3">
      <c r="B250" s="143" t="s">
        <v>5410</v>
      </c>
      <c r="C250" s="144" t="s">
        <v>867</v>
      </c>
      <c r="D250" s="144" t="s">
        <v>6</v>
      </c>
      <c r="E250" s="370" t="s">
        <v>870</v>
      </c>
      <c r="F250" s="144" t="s">
        <v>5411</v>
      </c>
      <c r="G250" s="365" t="s">
        <v>868</v>
      </c>
      <c r="H250" s="134"/>
      <c r="J250" s="143" t="s">
        <v>5410</v>
      </c>
      <c r="K250" s="144" t="s">
        <v>867</v>
      </c>
      <c r="L250" s="144" t="s">
        <v>6</v>
      </c>
      <c r="M250" s="370" t="s">
        <v>870</v>
      </c>
      <c r="N250" s="144" t="s">
        <v>5411</v>
      </c>
      <c r="O250" s="365" t="s">
        <v>868</v>
      </c>
      <c r="P250" s="134"/>
    </row>
    <row r="251" spans="2:16" s="140" customFormat="1" ht="12.75" x14ac:dyDescent="0.25">
      <c r="B251" s="201"/>
      <c r="C251" s="147"/>
      <c r="D251" s="211"/>
      <c r="E251" s="366"/>
      <c r="F251" s="211"/>
      <c r="G251" s="367">
        <f>+D251*E251*F251</f>
        <v>0</v>
      </c>
      <c r="H251" s="134"/>
      <c r="J251" s="201"/>
      <c r="K251" s="147"/>
      <c r="L251" s="211"/>
      <c r="M251" s="366"/>
      <c r="N251" s="211"/>
      <c r="O251" s="367">
        <f>+L251*M251*N251</f>
        <v>0</v>
      </c>
      <c r="P251" s="134"/>
    </row>
    <row r="252" spans="2:16" s="140" customFormat="1" ht="12.75" x14ac:dyDescent="0.25">
      <c r="B252" s="166"/>
      <c r="C252" s="148"/>
      <c r="D252" s="148"/>
      <c r="E252" s="148"/>
      <c r="F252" s="147"/>
      <c r="G252" s="172"/>
      <c r="H252" s="134"/>
      <c r="J252" s="166"/>
      <c r="K252" s="148"/>
      <c r="L252" s="148"/>
      <c r="M252" s="148"/>
      <c r="N252" s="147"/>
      <c r="O252" s="172"/>
      <c r="P252" s="134"/>
    </row>
    <row r="253" spans="2:16" s="140" customFormat="1" ht="12.75" x14ac:dyDescent="0.25">
      <c r="B253" s="155"/>
      <c r="C253" s="152"/>
      <c r="D253" s="152"/>
      <c r="E253" s="152"/>
      <c r="F253" s="151"/>
      <c r="G253" s="156"/>
      <c r="H253" s="134"/>
      <c r="J253" s="155"/>
      <c r="K253" s="152"/>
      <c r="L253" s="152"/>
      <c r="M253" s="152"/>
      <c r="N253" s="151"/>
      <c r="O253" s="156"/>
      <c r="P253" s="134"/>
    </row>
    <row r="254" spans="2:16" s="140" customFormat="1" ht="12.75" x14ac:dyDescent="0.25">
      <c r="B254" s="155"/>
      <c r="C254" s="152"/>
      <c r="D254" s="152"/>
      <c r="E254" s="152"/>
      <c r="F254" s="151"/>
      <c r="G254" s="156"/>
      <c r="H254" s="134"/>
      <c r="J254" s="155"/>
      <c r="K254" s="152"/>
      <c r="L254" s="152"/>
      <c r="M254" s="152"/>
      <c r="N254" s="151"/>
      <c r="O254" s="156"/>
      <c r="P254" s="134"/>
    </row>
    <row r="255" spans="2:16" s="140" customFormat="1" ht="13.5" thickBot="1" x14ac:dyDescent="0.3">
      <c r="B255" s="155"/>
      <c r="C255" s="152"/>
      <c r="D255" s="152"/>
      <c r="E255" s="152"/>
      <c r="F255" s="151"/>
      <c r="G255" s="156"/>
      <c r="H255" s="134"/>
      <c r="J255" s="155"/>
      <c r="K255" s="152"/>
      <c r="L255" s="152"/>
      <c r="M255" s="152"/>
      <c r="N255" s="151"/>
      <c r="O255" s="156"/>
      <c r="P255" s="134"/>
    </row>
    <row r="256" spans="2:16" s="140" customFormat="1" ht="13.5" thickBot="1" x14ac:dyDescent="0.3">
      <c r="B256" s="157"/>
      <c r="C256" s="159"/>
      <c r="D256" s="159"/>
      <c r="E256" s="159"/>
      <c r="F256" s="158"/>
      <c r="G256" s="160"/>
      <c r="H256" s="161">
        <f>+SUM(G251:G256)</f>
        <v>0</v>
      </c>
      <c r="J256" s="157"/>
      <c r="K256" s="159"/>
      <c r="L256" s="159"/>
      <c r="M256" s="159"/>
      <c r="N256" s="158"/>
      <c r="O256" s="160"/>
      <c r="P256" s="161">
        <f>+SUM(O251:O256)</f>
        <v>0</v>
      </c>
    </row>
    <row r="257" spans="1:16" s="140" customFormat="1" ht="13.5" thickBot="1" x14ac:dyDescent="0.3">
      <c r="B257" s="162"/>
      <c r="C257" s="162"/>
      <c r="D257" s="162"/>
      <c r="E257" s="162"/>
      <c r="F257" s="173"/>
      <c r="G257" s="174"/>
      <c r="H257" s="165"/>
      <c r="J257" s="162"/>
      <c r="K257" s="162"/>
      <c r="L257" s="162"/>
      <c r="M257" s="162"/>
      <c r="N257" s="173"/>
      <c r="O257" s="174"/>
      <c r="P257" s="165"/>
    </row>
    <row r="258" spans="1:16" s="140" customFormat="1" ht="13.5" thickBot="1" x14ac:dyDescent="0.3">
      <c r="B258" s="143" t="s">
        <v>5412</v>
      </c>
      <c r="C258" s="193" t="s">
        <v>5420</v>
      </c>
      <c r="D258" s="193" t="s">
        <v>5421</v>
      </c>
      <c r="E258" s="193" t="s">
        <v>5413</v>
      </c>
      <c r="F258" s="144" t="s">
        <v>5405</v>
      </c>
      <c r="G258" s="145" t="s">
        <v>868</v>
      </c>
      <c r="H258" s="134"/>
      <c r="J258" s="143" t="s">
        <v>5412</v>
      </c>
      <c r="K258" s="193" t="s">
        <v>5420</v>
      </c>
      <c r="L258" s="193" t="s">
        <v>5421</v>
      </c>
      <c r="M258" s="193" t="s">
        <v>5413</v>
      </c>
      <c r="N258" s="144" t="s">
        <v>5405</v>
      </c>
      <c r="O258" s="145" t="s">
        <v>868</v>
      </c>
      <c r="P258" s="134"/>
    </row>
    <row r="259" spans="1:16" s="140" customFormat="1" ht="12.75" x14ac:dyDescent="0.25">
      <c r="B259" s="194" t="s">
        <v>5948</v>
      </c>
      <c r="C259" s="345">
        <v>70000</v>
      </c>
      <c r="D259" s="345">
        <v>53961.351755041069</v>
      </c>
      <c r="E259" s="345">
        <v>117445.29499626586</v>
      </c>
      <c r="F259" s="192">
        <v>5</v>
      </c>
      <c r="G259" s="351">
        <f>+E259/F259</f>
        <v>23489.058999253171</v>
      </c>
      <c r="H259" s="134"/>
      <c r="J259" s="194" t="s">
        <v>5948</v>
      </c>
      <c r="K259" s="345">
        <v>70000</v>
      </c>
      <c r="L259" s="345">
        <v>53961.351755041069</v>
      </c>
      <c r="M259" s="345">
        <v>117445.29499626586</v>
      </c>
      <c r="N259" s="192">
        <v>5</v>
      </c>
      <c r="O259" s="351">
        <f>+M259/N259</f>
        <v>23489.058999253171</v>
      </c>
      <c r="P259" s="134"/>
    </row>
    <row r="260" spans="1:16" s="140" customFormat="1" ht="12.75" x14ac:dyDescent="0.25">
      <c r="B260" s="194" t="s">
        <v>5949</v>
      </c>
      <c r="C260" s="345">
        <v>40000</v>
      </c>
      <c r="D260" s="345">
        <v>26980.675877520534</v>
      </c>
      <c r="E260" s="345">
        <v>58722.64749813293</v>
      </c>
      <c r="F260" s="192">
        <v>2</v>
      </c>
      <c r="G260" s="351">
        <f>+E260/F260</f>
        <v>29361.323749066465</v>
      </c>
      <c r="H260" s="134"/>
      <c r="J260" s="194" t="s">
        <v>5949</v>
      </c>
      <c r="K260" s="345">
        <v>40000</v>
      </c>
      <c r="L260" s="345">
        <v>26980.675877520534</v>
      </c>
      <c r="M260" s="345">
        <v>58722.64749813293</v>
      </c>
      <c r="N260" s="192">
        <v>1</v>
      </c>
      <c r="O260" s="351">
        <f>+M260/N260</f>
        <v>58722.64749813293</v>
      </c>
      <c r="P260" s="134"/>
    </row>
    <row r="261" spans="1:16" s="140" customFormat="1" ht="12.75" x14ac:dyDescent="0.25">
      <c r="B261" s="195" t="s">
        <v>5635</v>
      </c>
      <c r="C261" s="345">
        <v>20600</v>
      </c>
      <c r="D261" s="345">
        <v>16188.405526512322</v>
      </c>
      <c r="E261" s="345">
        <v>35233.588498879762</v>
      </c>
      <c r="F261" s="192">
        <v>1</v>
      </c>
      <c r="G261" s="351">
        <f>+E261/F261</f>
        <v>35233.588498879762</v>
      </c>
      <c r="H261" s="134"/>
      <c r="J261" s="195" t="s">
        <v>5635</v>
      </c>
      <c r="K261" s="345">
        <v>20600</v>
      </c>
      <c r="L261" s="345">
        <v>16188.405526512322</v>
      </c>
      <c r="M261" s="345">
        <v>35233.588498879762</v>
      </c>
      <c r="N261" s="192">
        <v>1</v>
      </c>
      <c r="O261" s="351">
        <f>+M261/N261</f>
        <v>35233.588498879762</v>
      </c>
      <c r="P261" s="134"/>
    </row>
    <row r="262" spans="1:16" s="140" customFormat="1" ht="12.75" x14ac:dyDescent="0.25">
      <c r="B262" s="155"/>
      <c r="C262" s="152"/>
      <c r="D262" s="152"/>
      <c r="E262" s="152"/>
      <c r="F262" s="151"/>
      <c r="G262" s="156"/>
      <c r="H262" s="134"/>
      <c r="J262" s="155"/>
      <c r="K262" s="152"/>
      <c r="L262" s="152"/>
      <c r="M262" s="152"/>
      <c r="N262" s="151"/>
      <c r="O262" s="156"/>
      <c r="P262" s="134"/>
    </row>
    <row r="263" spans="1:16" s="140" customFormat="1" ht="12.75" x14ac:dyDescent="0.25">
      <c r="B263" s="155"/>
      <c r="C263" s="152"/>
      <c r="D263" s="152"/>
      <c r="E263" s="152"/>
      <c r="F263" s="151"/>
      <c r="G263" s="156"/>
      <c r="H263" s="134"/>
      <c r="J263" s="155"/>
      <c r="K263" s="152"/>
      <c r="L263" s="152"/>
      <c r="M263" s="152"/>
      <c r="N263" s="151"/>
      <c r="O263" s="156"/>
      <c r="P263" s="134"/>
    </row>
    <row r="264" spans="1:16" s="140" customFormat="1" ht="13.5" thickBot="1" x14ac:dyDescent="0.3">
      <c r="B264" s="155"/>
      <c r="C264" s="152"/>
      <c r="D264" s="152"/>
      <c r="E264" s="152"/>
      <c r="F264" s="151"/>
      <c r="G264" s="156"/>
      <c r="H264" s="134"/>
      <c r="J264" s="155"/>
      <c r="K264" s="152"/>
      <c r="L264" s="152"/>
      <c r="M264" s="152"/>
      <c r="N264" s="151"/>
      <c r="O264" s="156"/>
      <c r="P264" s="134"/>
    </row>
    <row r="265" spans="1:16" s="140" customFormat="1" ht="13.5" thickBot="1" x14ac:dyDescent="0.3">
      <c r="B265" s="179"/>
      <c r="C265" s="180"/>
      <c r="D265" s="180"/>
      <c r="E265" s="180"/>
      <c r="F265" s="181"/>
      <c r="G265" s="182"/>
      <c r="H265" s="161">
        <f>+SUM(G259:G265)</f>
        <v>88083.971247199399</v>
      </c>
      <c r="J265" s="179"/>
      <c r="K265" s="180"/>
      <c r="L265" s="180"/>
      <c r="M265" s="180"/>
      <c r="N265" s="181"/>
      <c r="O265" s="182"/>
      <c r="P265" s="161">
        <f>+SUM(O259:O265)</f>
        <v>117445.29499626586</v>
      </c>
    </row>
    <row r="266" spans="1:16" s="140" customFormat="1" ht="13.5" thickBot="1" x14ac:dyDescent="0.3">
      <c r="F266" s="141"/>
      <c r="G266" s="134"/>
      <c r="H266" s="134"/>
      <c r="N266" s="141"/>
      <c r="O266" s="134"/>
      <c r="P266" s="134"/>
    </row>
    <row r="267" spans="1:16" s="140" customFormat="1" ht="13.5" thickBot="1" x14ac:dyDescent="0.3">
      <c r="E267" s="183" t="s">
        <v>5415</v>
      </c>
      <c r="F267" s="141"/>
      <c r="G267" s="134"/>
      <c r="H267" s="161">
        <f>ROUND(+H233+H248+H256+H265,0)</f>
        <v>417154</v>
      </c>
      <c r="M267" s="183" t="s">
        <v>5415</v>
      </c>
      <c r="N267" s="141"/>
      <c r="O267" s="134"/>
      <c r="P267" s="161">
        <f>ROUND(+P233+P248+P256+P265,0)</f>
        <v>458210</v>
      </c>
    </row>
    <row r="268" spans="1:16" s="8" customFormat="1" ht="12.75" x14ac:dyDescent="0.25">
      <c r="F268" s="133"/>
      <c r="N268" s="133"/>
    </row>
    <row r="269" spans="1:16" s="8" customFormat="1" ht="12.75" x14ac:dyDescent="0.25">
      <c r="F269" s="133"/>
      <c r="H269" s="368"/>
      <c r="N269" s="133"/>
      <c r="P269" s="368"/>
    </row>
    <row r="270" spans="1:16" s="8" customFormat="1" ht="12.75" x14ac:dyDescent="0.25">
      <c r="F270" s="133"/>
      <c r="N270" s="133"/>
    </row>
    <row r="271" spans="1:16" s="8" customFormat="1" ht="12.75" x14ac:dyDescent="0.25">
      <c r="F271" s="133"/>
      <c r="N271" s="133"/>
    </row>
    <row r="272" spans="1:16" s="8" customFormat="1" ht="18.75" x14ac:dyDescent="0.25">
      <c r="A272" s="133"/>
      <c r="B272" s="2506" t="s">
        <v>5400</v>
      </c>
      <c r="C272" s="2506"/>
      <c r="D272" s="2506"/>
      <c r="E272" s="2506"/>
      <c r="F272" s="2506"/>
      <c r="G272" s="2506"/>
      <c r="I272" s="133"/>
      <c r="J272" s="2506" t="s">
        <v>5400</v>
      </c>
      <c r="K272" s="2506"/>
      <c r="L272" s="2506"/>
      <c r="M272" s="2506"/>
      <c r="N272" s="2506"/>
      <c r="O272" s="2506"/>
    </row>
    <row r="273" spans="1:16" s="8" customFormat="1" ht="12.75" x14ac:dyDescent="0.25">
      <c r="A273" s="133"/>
      <c r="F273" s="133"/>
      <c r="G273" s="134"/>
      <c r="I273" s="133"/>
      <c r="N273" s="133"/>
      <c r="O273" s="134"/>
    </row>
    <row r="274" spans="1:16" s="8" customFormat="1" ht="12.75" x14ac:dyDescent="0.25">
      <c r="A274" s="133"/>
      <c r="F274" s="133"/>
      <c r="G274" s="134"/>
      <c r="I274" s="133"/>
      <c r="N274" s="133"/>
      <c r="O274" s="134"/>
    </row>
    <row r="275" spans="1:16" s="8" customFormat="1" ht="12.75" x14ac:dyDescent="0.25">
      <c r="A275" s="133"/>
      <c r="F275" s="133"/>
      <c r="G275" s="134"/>
      <c r="I275" s="133"/>
      <c r="N275" s="133"/>
      <c r="O275" s="134"/>
    </row>
    <row r="276" spans="1:16" s="140" customFormat="1" ht="12.75" x14ac:dyDescent="0.25">
      <c r="A276" s="138" t="s">
        <v>3</v>
      </c>
      <c r="B276" s="138" t="s">
        <v>5587</v>
      </c>
      <c r="C276" s="2451" t="s">
        <v>5588</v>
      </c>
      <c r="D276" s="2451"/>
      <c r="E276" s="2451"/>
      <c r="F276" s="138" t="s">
        <v>867</v>
      </c>
      <c r="G276" s="139" t="s">
        <v>5454</v>
      </c>
      <c r="H276" s="134"/>
      <c r="I276" s="138" t="s">
        <v>3</v>
      </c>
      <c r="J276" s="138" t="s">
        <v>5587</v>
      </c>
      <c r="K276" s="2451" t="s">
        <v>5588</v>
      </c>
      <c r="L276" s="2451"/>
      <c r="M276" s="2451"/>
      <c r="N276" s="138" t="s">
        <v>867</v>
      </c>
      <c r="O276" s="139" t="s">
        <v>5454</v>
      </c>
      <c r="P276" s="134"/>
    </row>
    <row r="277" spans="1:16" s="140" customFormat="1" ht="12.75" x14ac:dyDescent="0.25">
      <c r="A277" s="141"/>
      <c r="F277" s="141"/>
      <c r="G277" s="134"/>
      <c r="H277" s="134"/>
      <c r="I277" s="141"/>
      <c r="N277" s="141"/>
      <c r="O277" s="134"/>
      <c r="P277" s="134"/>
    </row>
    <row r="278" spans="1:16" s="140" customFormat="1" ht="12.75" x14ac:dyDescent="0.25">
      <c r="A278" s="141"/>
      <c r="F278" s="141"/>
      <c r="G278" s="142"/>
      <c r="H278" s="134"/>
      <c r="I278" s="141"/>
      <c r="N278" s="141"/>
      <c r="O278" s="142"/>
      <c r="P278" s="134"/>
    </row>
    <row r="279" spans="1:16" s="140" customFormat="1" ht="13.5" thickBot="1" x14ac:dyDescent="0.3">
      <c r="A279" s="141"/>
      <c r="F279" s="141"/>
      <c r="G279" s="134"/>
      <c r="H279" s="134"/>
      <c r="I279" s="141"/>
      <c r="N279" s="141"/>
      <c r="O279" s="134"/>
      <c r="P279" s="134"/>
    </row>
    <row r="280" spans="1:16" s="140" customFormat="1" ht="13.5" thickBot="1" x14ac:dyDescent="0.3">
      <c r="A280" s="141"/>
      <c r="B280" s="143" t="s">
        <v>5403</v>
      </c>
      <c r="C280" s="144" t="s">
        <v>867</v>
      </c>
      <c r="D280" s="144" t="s">
        <v>6</v>
      </c>
      <c r="E280" s="144" t="s">
        <v>5404</v>
      </c>
      <c r="F280" s="144" t="s">
        <v>5405</v>
      </c>
      <c r="G280" s="145" t="s">
        <v>868</v>
      </c>
      <c r="H280" s="134"/>
      <c r="I280" s="141"/>
      <c r="J280" s="143" t="s">
        <v>5403</v>
      </c>
      <c r="K280" s="144" t="s">
        <v>867</v>
      </c>
      <c r="L280" s="144" t="s">
        <v>6</v>
      </c>
      <c r="M280" s="144" t="s">
        <v>5404</v>
      </c>
      <c r="N280" s="144" t="s">
        <v>5405</v>
      </c>
      <c r="O280" s="145" t="s">
        <v>868</v>
      </c>
      <c r="P280" s="134"/>
    </row>
    <row r="281" spans="1:16" s="140" customFormat="1" ht="12.75" x14ac:dyDescent="0.25">
      <c r="A281" s="141"/>
      <c r="B281" s="146" t="s">
        <v>5440</v>
      </c>
      <c r="C281" s="147" t="s">
        <v>5406</v>
      </c>
      <c r="D281" s="148"/>
      <c r="E281" s="434">
        <f>+H319</f>
        <v>88083.971247199399</v>
      </c>
      <c r="F281" s="191">
        <v>0.1</v>
      </c>
      <c r="G281" s="360">
        <f>+E281*F281</f>
        <v>8808.3971247199406</v>
      </c>
      <c r="H281" s="134"/>
      <c r="I281" s="141"/>
      <c r="J281" s="146" t="s">
        <v>5440</v>
      </c>
      <c r="K281" s="147" t="s">
        <v>5406</v>
      </c>
      <c r="L281" s="148"/>
      <c r="M281" s="434">
        <f>+P319</f>
        <v>117445.29499626586</v>
      </c>
      <c r="N281" s="191">
        <v>0.1</v>
      </c>
      <c r="O281" s="360">
        <f>+M281*N281</f>
        <v>11744.529499626587</v>
      </c>
      <c r="P281" s="134"/>
    </row>
    <row r="282" spans="1:16" s="140" customFormat="1" ht="12.75" x14ac:dyDescent="0.25">
      <c r="A282" s="141"/>
      <c r="B282" s="150" t="s">
        <v>5747</v>
      </c>
      <c r="C282" s="151" t="s">
        <v>5407</v>
      </c>
      <c r="D282" s="152"/>
      <c r="E282" s="361">
        <v>7000</v>
      </c>
      <c r="F282" s="298">
        <v>7</v>
      </c>
      <c r="G282" s="360">
        <f>+E282/F282</f>
        <v>1000</v>
      </c>
      <c r="H282" s="134"/>
      <c r="I282" s="141"/>
      <c r="J282" s="150" t="s">
        <v>5554</v>
      </c>
      <c r="K282" s="151" t="s">
        <v>5407</v>
      </c>
      <c r="L282" s="152"/>
      <c r="M282" s="361">
        <v>3500</v>
      </c>
      <c r="N282" s="291">
        <v>7</v>
      </c>
      <c r="O282" s="360">
        <f>+M282/N282</f>
        <v>500</v>
      </c>
      <c r="P282" s="134"/>
    </row>
    <row r="283" spans="1:16" s="140" customFormat="1" ht="12.75" x14ac:dyDescent="0.25">
      <c r="A283" s="141"/>
      <c r="B283" s="154" t="s">
        <v>5963</v>
      </c>
      <c r="C283" s="151"/>
      <c r="D283" s="152"/>
      <c r="E283" s="361"/>
      <c r="F283" s="153"/>
      <c r="G283" s="360"/>
      <c r="H283" s="134"/>
      <c r="I283" s="141"/>
      <c r="J283" s="154"/>
      <c r="K283" s="151"/>
      <c r="L283" s="152"/>
      <c r="M283" s="361"/>
      <c r="N283" s="153"/>
      <c r="O283" s="360"/>
      <c r="P283" s="134"/>
    </row>
    <row r="284" spans="1:16" s="140" customFormat="1" ht="12.75" x14ac:dyDescent="0.25">
      <c r="A284" s="141"/>
      <c r="B284" s="155"/>
      <c r="C284" s="151"/>
      <c r="D284" s="152"/>
      <c r="E284" s="361"/>
      <c r="F284" s="151"/>
      <c r="G284" s="362"/>
      <c r="H284" s="134"/>
      <c r="I284" s="141"/>
      <c r="J284" s="155"/>
      <c r="K284" s="151"/>
      <c r="L284" s="152"/>
      <c r="M284" s="361"/>
      <c r="N284" s="151"/>
      <c r="O284" s="362"/>
      <c r="P284" s="134"/>
    </row>
    <row r="285" spans="1:16" s="140" customFormat="1" ht="12.75" x14ac:dyDescent="0.25">
      <c r="A285" s="141"/>
      <c r="B285" s="155"/>
      <c r="C285" s="151"/>
      <c r="D285" s="152"/>
      <c r="E285" s="361"/>
      <c r="F285" s="151"/>
      <c r="G285" s="362"/>
      <c r="H285" s="134"/>
      <c r="I285" s="141"/>
      <c r="J285" s="155"/>
      <c r="K285" s="151"/>
      <c r="L285" s="152"/>
      <c r="M285" s="361"/>
      <c r="N285" s="151"/>
      <c r="O285" s="362"/>
      <c r="P285" s="134"/>
    </row>
    <row r="286" spans="1:16" s="140" customFormat="1" ht="13.5" thickBot="1" x14ac:dyDescent="0.3">
      <c r="A286" s="141"/>
      <c r="B286" s="155"/>
      <c r="C286" s="151"/>
      <c r="D286" s="152"/>
      <c r="E286" s="361"/>
      <c r="F286" s="151"/>
      <c r="G286" s="362"/>
      <c r="H286" s="134"/>
      <c r="I286" s="141"/>
      <c r="J286" s="155"/>
      <c r="K286" s="151"/>
      <c r="L286" s="152"/>
      <c r="M286" s="361"/>
      <c r="N286" s="151"/>
      <c r="O286" s="362"/>
      <c r="P286" s="134"/>
    </row>
    <row r="287" spans="1:16" s="140" customFormat="1" ht="13.5" thickBot="1" x14ac:dyDescent="0.3">
      <c r="A287" s="141"/>
      <c r="B287" s="157"/>
      <c r="C287" s="158"/>
      <c r="D287" s="159"/>
      <c r="E287" s="369"/>
      <c r="F287" s="158"/>
      <c r="G287" s="363"/>
      <c r="H287" s="161">
        <f>+SUM(G281:G287)</f>
        <v>9808.3971247199406</v>
      </c>
      <c r="I287" s="141"/>
      <c r="J287" s="157"/>
      <c r="K287" s="158"/>
      <c r="L287" s="159"/>
      <c r="M287" s="369"/>
      <c r="N287" s="158"/>
      <c r="O287" s="363"/>
      <c r="P287" s="161">
        <f>+SUM(O281:O287)</f>
        <v>12244.529499626587</v>
      </c>
    </row>
    <row r="288" spans="1:16" s="140" customFormat="1" ht="13.5" thickBot="1" x14ac:dyDescent="0.3">
      <c r="A288" s="141"/>
      <c r="B288" s="162"/>
      <c r="C288" s="163"/>
      <c r="D288" s="162"/>
      <c r="E288" s="364"/>
      <c r="F288" s="163"/>
      <c r="G288" s="364"/>
      <c r="H288" s="165"/>
      <c r="I288" s="141"/>
      <c r="J288" s="162"/>
      <c r="K288" s="163"/>
      <c r="L288" s="162"/>
      <c r="M288" s="364"/>
      <c r="N288" s="163"/>
      <c r="O288" s="364"/>
      <c r="P288" s="165"/>
    </row>
    <row r="289" spans="2:16" s="140" customFormat="1" ht="13.5" thickBot="1" x14ac:dyDescent="0.3">
      <c r="B289" s="143" t="s">
        <v>5408</v>
      </c>
      <c r="C289" s="144" t="s">
        <v>867</v>
      </c>
      <c r="D289" s="144" t="s">
        <v>6</v>
      </c>
      <c r="E289" s="370" t="s">
        <v>870</v>
      </c>
      <c r="F289" s="144" t="s">
        <v>5409</v>
      </c>
      <c r="G289" s="365" t="s">
        <v>868</v>
      </c>
      <c r="H289" s="134"/>
      <c r="J289" s="143" t="s">
        <v>5408</v>
      </c>
      <c r="K289" s="144" t="s">
        <v>867</v>
      </c>
      <c r="L289" s="144" t="s">
        <v>6</v>
      </c>
      <c r="M289" s="370" t="s">
        <v>870</v>
      </c>
      <c r="N289" s="144" t="s">
        <v>5409</v>
      </c>
      <c r="O289" s="365" t="s">
        <v>868</v>
      </c>
      <c r="P289" s="134"/>
    </row>
    <row r="290" spans="2:16" s="140" customFormat="1" ht="12.75" x14ac:dyDescent="0.25">
      <c r="B290" s="201" t="s">
        <v>6003</v>
      </c>
      <c r="C290" s="147" t="s">
        <v>5430</v>
      </c>
      <c r="D290" s="211">
        <v>1.05</v>
      </c>
      <c r="E290" s="366">
        <v>273418</v>
      </c>
      <c r="F290" s="169">
        <v>0.02</v>
      </c>
      <c r="G290" s="367">
        <f>+D290*E290*(1+F290)</f>
        <v>292830.67800000001</v>
      </c>
      <c r="H290" s="134"/>
      <c r="J290" s="201" t="s">
        <v>6003</v>
      </c>
      <c r="K290" s="147" t="s">
        <v>5430</v>
      </c>
      <c r="L290" s="211">
        <v>1.05</v>
      </c>
      <c r="M290" s="366">
        <v>273418</v>
      </c>
      <c r="N290" s="169">
        <v>0.05</v>
      </c>
      <c r="O290" s="367">
        <f>+L290*M290*(1+N290)</f>
        <v>301443.34500000003</v>
      </c>
      <c r="P290" s="134"/>
    </row>
    <row r="291" spans="2:16" s="140" customFormat="1" ht="12.75" x14ac:dyDescent="0.25">
      <c r="B291" s="155" t="s">
        <v>5560</v>
      </c>
      <c r="C291" s="151" t="s">
        <v>5944</v>
      </c>
      <c r="D291" s="274">
        <f>0.2/0.2</f>
        <v>1</v>
      </c>
      <c r="E291" s="361">
        <f>81200/20</f>
        <v>4060</v>
      </c>
      <c r="F291" s="169">
        <v>0.1</v>
      </c>
      <c r="G291" s="367">
        <f>+D291*E291*(1+F291)</f>
        <v>4466</v>
      </c>
      <c r="H291" s="134"/>
      <c r="J291" s="155" t="s">
        <v>5560</v>
      </c>
      <c r="K291" s="151" t="s">
        <v>5944</v>
      </c>
      <c r="L291" s="274">
        <f>0.2/0.2</f>
        <v>1</v>
      </c>
      <c r="M291" s="361">
        <f>81200/20</f>
        <v>4060</v>
      </c>
      <c r="N291" s="169">
        <v>0.1</v>
      </c>
      <c r="O291" s="367">
        <f>+L291*M291*(1+N291)</f>
        <v>4466</v>
      </c>
      <c r="P291" s="134"/>
    </row>
    <row r="292" spans="2:16" s="140" customFormat="1" ht="12.75" x14ac:dyDescent="0.25">
      <c r="B292" s="196"/>
      <c r="C292" s="151"/>
      <c r="D292" s="274"/>
      <c r="E292" s="361"/>
      <c r="F292" s="169"/>
      <c r="G292" s="367"/>
      <c r="H292" s="134"/>
      <c r="J292" s="196"/>
      <c r="K292" s="151"/>
      <c r="L292" s="274"/>
      <c r="M292" s="361"/>
      <c r="N292" s="169"/>
      <c r="O292" s="367"/>
      <c r="P292" s="134"/>
    </row>
    <row r="293" spans="2:16" s="140" customFormat="1" ht="12.75" x14ac:dyDescent="0.25">
      <c r="B293" s="155"/>
      <c r="C293" s="152"/>
      <c r="D293" s="152"/>
      <c r="E293" s="361"/>
      <c r="F293" s="151"/>
      <c r="G293" s="362"/>
      <c r="H293" s="134"/>
      <c r="J293" s="155"/>
      <c r="K293" s="152"/>
      <c r="L293" s="152"/>
      <c r="M293" s="361"/>
      <c r="N293" s="151"/>
      <c r="O293" s="362"/>
      <c r="P293" s="134"/>
    </row>
    <row r="294" spans="2:16" s="140" customFormat="1" ht="12.75" x14ac:dyDescent="0.25">
      <c r="B294" s="155"/>
      <c r="C294" s="152"/>
      <c r="D294" s="152"/>
      <c r="E294" s="361"/>
      <c r="F294" s="151"/>
      <c r="G294" s="362"/>
      <c r="H294" s="134"/>
      <c r="J294" s="155"/>
      <c r="K294" s="152"/>
      <c r="L294" s="152"/>
      <c r="M294" s="361"/>
      <c r="N294" s="151"/>
      <c r="O294" s="362"/>
      <c r="P294" s="134"/>
    </row>
    <row r="295" spans="2:16" s="140" customFormat="1" ht="12.75" x14ac:dyDescent="0.25">
      <c r="B295" s="155"/>
      <c r="C295" s="152"/>
      <c r="D295" s="152"/>
      <c r="E295" s="361"/>
      <c r="F295" s="151"/>
      <c r="G295" s="362"/>
      <c r="H295" s="134"/>
      <c r="J295" s="155"/>
      <c r="K295" s="152"/>
      <c r="L295" s="152"/>
      <c r="M295" s="361"/>
      <c r="N295" s="151"/>
      <c r="O295" s="362"/>
      <c r="P295" s="134"/>
    </row>
    <row r="296" spans="2:16" s="140" customFormat="1" ht="12.75" x14ac:dyDescent="0.25">
      <c r="B296" s="155"/>
      <c r="C296" s="152"/>
      <c r="D296" s="152"/>
      <c r="E296" s="361"/>
      <c r="F296" s="151"/>
      <c r="G296" s="362"/>
      <c r="H296" s="134"/>
      <c r="J296" s="155"/>
      <c r="K296" s="152"/>
      <c r="L296" s="152"/>
      <c r="M296" s="361"/>
      <c r="N296" s="151"/>
      <c r="O296" s="362"/>
      <c r="P296" s="134"/>
    </row>
    <row r="297" spans="2:16" s="140" customFormat="1" ht="12.75" x14ac:dyDescent="0.25">
      <c r="B297" s="155"/>
      <c r="C297" s="152"/>
      <c r="D297" s="152"/>
      <c r="E297" s="361"/>
      <c r="F297" s="151"/>
      <c r="G297" s="362"/>
      <c r="H297" s="134"/>
      <c r="J297" s="155"/>
      <c r="K297" s="152"/>
      <c r="L297" s="152"/>
      <c r="M297" s="361"/>
      <c r="N297" s="151"/>
      <c r="O297" s="362"/>
      <c r="P297" s="134"/>
    </row>
    <row r="298" spans="2:16" s="140" customFormat="1" ht="12.75" x14ac:dyDescent="0.25">
      <c r="B298" s="155"/>
      <c r="C298" s="152"/>
      <c r="D298" s="152"/>
      <c r="E298" s="361"/>
      <c r="F298" s="151"/>
      <c r="G298" s="362"/>
      <c r="H298" s="134"/>
      <c r="J298" s="155"/>
      <c r="K298" s="152"/>
      <c r="L298" s="152"/>
      <c r="M298" s="361"/>
      <c r="N298" s="151"/>
      <c r="O298" s="362"/>
      <c r="P298" s="134"/>
    </row>
    <row r="299" spans="2:16" s="140" customFormat="1" ht="12.75" x14ac:dyDescent="0.25">
      <c r="B299" s="155"/>
      <c r="C299" s="152"/>
      <c r="D299" s="152"/>
      <c r="E299" s="361"/>
      <c r="F299" s="151"/>
      <c r="G299" s="362"/>
      <c r="H299" s="134"/>
      <c r="J299" s="155"/>
      <c r="K299" s="152"/>
      <c r="L299" s="152"/>
      <c r="M299" s="361"/>
      <c r="N299" s="151"/>
      <c r="O299" s="362"/>
      <c r="P299" s="134"/>
    </row>
    <row r="300" spans="2:16" s="140" customFormat="1" ht="12.75" x14ac:dyDescent="0.25">
      <c r="B300" s="155"/>
      <c r="C300" s="152"/>
      <c r="D300" s="152"/>
      <c r="E300" s="361"/>
      <c r="F300" s="151"/>
      <c r="G300" s="362"/>
      <c r="H300" s="134"/>
      <c r="J300" s="155"/>
      <c r="K300" s="152"/>
      <c r="L300" s="152"/>
      <c r="M300" s="361"/>
      <c r="N300" s="151"/>
      <c r="O300" s="362"/>
      <c r="P300" s="134"/>
    </row>
    <row r="301" spans="2:16" s="140" customFormat="1" ht="13.5" thickBot="1" x14ac:dyDescent="0.3">
      <c r="B301" s="155"/>
      <c r="C301" s="152"/>
      <c r="D301" s="152"/>
      <c r="E301" s="361"/>
      <c r="F301" s="151"/>
      <c r="G301" s="362"/>
      <c r="H301" s="134"/>
      <c r="J301" s="155"/>
      <c r="K301" s="152"/>
      <c r="L301" s="152"/>
      <c r="M301" s="361"/>
      <c r="N301" s="151"/>
      <c r="O301" s="362"/>
      <c r="P301" s="134"/>
    </row>
    <row r="302" spans="2:16" s="140" customFormat="1" ht="13.5" thickBot="1" x14ac:dyDescent="0.3">
      <c r="B302" s="157"/>
      <c r="C302" s="159"/>
      <c r="D302" s="159"/>
      <c r="E302" s="369"/>
      <c r="F302" s="158"/>
      <c r="G302" s="363"/>
      <c r="H302" s="161">
        <f>+SUM(G290:G302)</f>
        <v>297296.67800000001</v>
      </c>
      <c r="J302" s="157"/>
      <c r="K302" s="159"/>
      <c r="L302" s="159"/>
      <c r="M302" s="369"/>
      <c r="N302" s="158"/>
      <c r="O302" s="363"/>
      <c r="P302" s="161">
        <f>+SUM(O290:O302)</f>
        <v>305909.34500000003</v>
      </c>
    </row>
    <row r="303" spans="2:16" s="140" customFormat="1" ht="13.5" thickBot="1" x14ac:dyDescent="0.3">
      <c r="B303" s="162"/>
      <c r="C303" s="162"/>
      <c r="D303" s="162"/>
      <c r="E303" s="364"/>
      <c r="F303" s="163"/>
      <c r="G303" s="364"/>
      <c r="H303" s="165"/>
      <c r="J303" s="162"/>
      <c r="K303" s="162"/>
      <c r="L303" s="162"/>
      <c r="M303" s="364"/>
      <c r="N303" s="163"/>
      <c r="O303" s="364"/>
      <c r="P303" s="165"/>
    </row>
    <row r="304" spans="2:16" s="140" customFormat="1" ht="13.5" thickBot="1" x14ac:dyDescent="0.3">
      <c r="B304" s="143" t="s">
        <v>5410</v>
      </c>
      <c r="C304" s="144" t="s">
        <v>867</v>
      </c>
      <c r="D304" s="144" t="s">
        <v>6</v>
      </c>
      <c r="E304" s="370" t="s">
        <v>870</v>
      </c>
      <c r="F304" s="144" t="s">
        <v>5411</v>
      </c>
      <c r="G304" s="365" t="s">
        <v>868</v>
      </c>
      <c r="H304" s="134"/>
      <c r="J304" s="143" t="s">
        <v>5410</v>
      </c>
      <c r="K304" s="144" t="s">
        <v>867</v>
      </c>
      <c r="L304" s="144" t="s">
        <v>6</v>
      </c>
      <c r="M304" s="370" t="s">
        <v>870</v>
      </c>
      <c r="N304" s="144" t="s">
        <v>5411</v>
      </c>
      <c r="O304" s="365" t="s">
        <v>868</v>
      </c>
      <c r="P304" s="134"/>
    </row>
    <row r="305" spans="2:16" s="140" customFormat="1" ht="12.75" x14ac:dyDescent="0.25">
      <c r="B305" s="201"/>
      <c r="C305" s="147"/>
      <c r="D305" s="211"/>
      <c r="E305" s="366"/>
      <c r="F305" s="211"/>
      <c r="G305" s="367">
        <f>+D305*E305*F305</f>
        <v>0</v>
      </c>
      <c r="H305" s="134"/>
      <c r="J305" s="201"/>
      <c r="K305" s="147"/>
      <c r="L305" s="211"/>
      <c r="M305" s="366"/>
      <c r="N305" s="211"/>
      <c r="O305" s="367">
        <f>+L305*M305*N305</f>
        <v>0</v>
      </c>
      <c r="P305" s="134"/>
    </row>
    <row r="306" spans="2:16" s="140" customFormat="1" ht="12.75" x14ac:dyDescent="0.25">
      <c r="B306" s="166"/>
      <c r="C306" s="148"/>
      <c r="D306" s="148"/>
      <c r="E306" s="148"/>
      <c r="F306" s="147"/>
      <c r="G306" s="172"/>
      <c r="H306" s="134"/>
      <c r="J306" s="166"/>
      <c r="K306" s="148"/>
      <c r="L306" s="148"/>
      <c r="M306" s="148"/>
      <c r="N306" s="147"/>
      <c r="O306" s="172"/>
      <c r="P306" s="134"/>
    </row>
    <row r="307" spans="2:16" s="140" customFormat="1" ht="12.75" x14ac:dyDescent="0.25">
      <c r="B307" s="155"/>
      <c r="C307" s="152"/>
      <c r="D307" s="152"/>
      <c r="E307" s="152"/>
      <c r="F307" s="151"/>
      <c r="G307" s="156"/>
      <c r="H307" s="134"/>
      <c r="J307" s="155"/>
      <c r="K307" s="152"/>
      <c r="L307" s="152"/>
      <c r="M307" s="152"/>
      <c r="N307" s="151"/>
      <c r="O307" s="156"/>
      <c r="P307" s="134"/>
    </row>
    <row r="308" spans="2:16" s="140" customFormat="1" ht="12.75" x14ac:dyDescent="0.25">
      <c r="B308" s="155"/>
      <c r="C308" s="152"/>
      <c r="D308" s="152"/>
      <c r="E308" s="152"/>
      <c r="F308" s="151"/>
      <c r="G308" s="156"/>
      <c r="H308" s="134"/>
      <c r="J308" s="155"/>
      <c r="K308" s="152"/>
      <c r="L308" s="152"/>
      <c r="M308" s="152"/>
      <c r="N308" s="151"/>
      <c r="O308" s="156"/>
      <c r="P308" s="134"/>
    </row>
    <row r="309" spans="2:16" s="140" customFormat="1" ht="13.5" thickBot="1" x14ac:dyDescent="0.3">
      <c r="B309" s="155"/>
      <c r="C309" s="152"/>
      <c r="D309" s="152"/>
      <c r="E309" s="152"/>
      <c r="F309" s="151"/>
      <c r="G309" s="156"/>
      <c r="H309" s="134"/>
      <c r="J309" s="155"/>
      <c r="K309" s="152"/>
      <c r="L309" s="152"/>
      <c r="M309" s="152"/>
      <c r="N309" s="151"/>
      <c r="O309" s="156"/>
      <c r="P309" s="134"/>
    </row>
    <row r="310" spans="2:16" s="140" customFormat="1" ht="13.5" thickBot="1" x14ac:dyDescent="0.3">
      <c r="B310" s="157"/>
      <c r="C310" s="159"/>
      <c r="D310" s="159"/>
      <c r="E310" s="159"/>
      <c r="F310" s="158"/>
      <c r="G310" s="160"/>
      <c r="H310" s="161">
        <f>+SUM(G305:G310)</f>
        <v>0</v>
      </c>
      <c r="J310" s="157"/>
      <c r="K310" s="159"/>
      <c r="L310" s="159"/>
      <c r="M310" s="159"/>
      <c r="N310" s="158"/>
      <c r="O310" s="160"/>
      <c r="P310" s="161">
        <f>+SUM(O305:O310)</f>
        <v>0</v>
      </c>
    </row>
    <row r="311" spans="2:16" s="140" customFormat="1" ht="13.5" thickBot="1" x14ac:dyDescent="0.3">
      <c r="B311" s="162"/>
      <c r="C311" s="162"/>
      <c r="D311" s="162"/>
      <c r="E311" s="162"/>
      <c r="F311" s="173"/>
      <c r="G311" s="174"/>
      <c r="H311" s="165"/>
      <c r="J311" s="162"/>
      <c r="K311" s="162"/>
      <c r="L311" s="162"/>
      <c r="M311" s="162"/>
      <c r="N311" s="173"/>
      <c r="O311" s="174"/>
      <c r="P311" s="165"/>
    </row>
    <row r="312" spans="2:16" s="140" customFormat="1" ht="13.5" thickBot="1" x14ac:dyDescent="0.3">
      <c r="B312" s="143" t="s">
        <v>5412</v>
      </c>
      <c r="C312" s="193" t="s">
        <v>5420</v>
      </c>
      <c r="D312" s="193" t="s">
        <v>5421</v>
      </c>
      <c r="E312" s="193" t="s">
        <v>5413</v>
      </c>
      <c r="F312" s="144" t="s">
        <v>5405</v>
      </c>
      <c r="G312" s="145" t="s">
        <v>868</v>
      </c>
      <c r="H312" s="134"/>
      <c r="J312" s="143" t="s">
        <v>5412</v>
      </c>
      <c r="K312" s="193" t="s">
        <v>5420</v>
      </c>
      <c r="L312" s="193" t="s">
        <v>5421</v>
      </c>
      <c r="M312" s="193" t="s">
        <v>5413</v>
      </c>
      <c r="N312" s="144" t="s">
        <v>5405</v>
      </c>
      <c r="O312" s="145" t="s">
        <v>868</v>
      </c>
      <c r="P312" s="134"/>
    </row>
    <row r="313" spans="2:16" s="140" customFormat="1" ht="12.75" x14ac:dyDescent="0.25">
      <c r="B313" s="194" t="s">
        <v>5948</v>
      </c>
      <c r="C313" s="345">
        <v>70000</v>
      </c>
      <c r="D313" s="345">
        <v>53961.351755041069</v>
      </c>
      <c r="E313" s="345">
        <v>117445.29499626586</v>
      </c>
      <c r="F313" s="192">
        <v>5</v>
      </c>
      <c r="G313" s="351">
        <f>+E313/F313</f>
        <v>23489.058999253171</v>
      </c>
      <c r="H313" s="134"/>
      <c r="J313" s="194" t="s">
        <v>5948</v>
      </c>
      <c r="K313" s="345">
        <v>70000</v>
      </c>
      <c r="L313" s="345">
        <v>53961.351755041069</v>
      </c>
      <c r="M313" s="345">
        <v>117445.29499626586</v>
      </c>
      <c r="N313" s="192">
        <v>5</v>
      </c>
      <c r="O313" s="351">
        <f>+M313/N313</f>
        <v>23489.058999253171</v>
      </c>
      <c r="P313" s="134"/>
    </row>
    <row r="314" spans="2:16" s="140" customFormat="1" ht="12.75" x14ac:dyDescent="0.25">
      <c r="B314" s="194" t="s">
        <v>5949</v>
      </c>
      <c r="C314" s="345">
        <v>40000</v>
      </c>
      <c r="D314" s="345">
        <v>26980.675877520534</v>
      </c>
      <c r="E314" s="345">
        <v>58722.64749813293</v>
      </c>
      <c r="F314" s="192">
        <v>2</v>
      </c>
      <c r="G314" s="351">
        <f>+E314/F314</f>
        <v>29361.323749066465</v>
      </c>
      <c r="H314" s="134"/>
      <c r="J314" s="194" t="s">
        <v>5949</v>
      </c>
      <c r="K314" s="345">
        <v>40000</v>
      </c>
      <c r="L314" s="345">
        <v>26980.675877520534</v>
      </c>
      <c r="M314" s="345">
        <v>58722.64749813293</v>
      </c>
      <c r="N314" s="192">
        <v>1</v>
      </c>
      <c r="O314" s="351">
        <f>+M314/N314</f>
        <v>58722.64749813293</v>
      </c>
      <c r="P314" s="134"/>
    </row>
    <row r="315" spans="2:16" s="140" customFormat="1" ht="12.75" x14ac:dyDescent="0.25">
      <c r="B315" s="195" t="s">
        <v>5635</v>
      </c>
      <c r="C315" s="345">
        <v>20600</v>
      </c>
      <c r="D315" s="345">
        <v>16188.405526512322</v>
      </c>
      <c r="E315" s="345">
        <v>35233.588498879762</v>
      </c>
      <c r="F315" s="192">
        <v>1</v>
      </c>
      <c r="G315" s="351">
        <f>+E315/F315</f>
        <v>35233.588498879762</v>
      </c>
      <c r="H315" s="134"/>
      <c r="J315" s="195" t="s">
        <v>5635</v>
      </c>
      <c r="K315" s="345">
        <v>20600</v>
      </c>
      <c r="L315" s="345">
        <v>16188.405526512322</v>
      </c>
      <c r="M315" s="345">
        <v>35233.588498879762</v>
      </c>
      <c r="N315" s="192">
        <v>1</v>
      </c>
      <c r="O315" s="351">
        <f>+M315/N315</f>
        <v>35233.588498879762</v>
      </c>
      <c r="P315" s="134"/>
    </row>
    <row r="316" spans="2:16" s="140" customFormat="1" ht="12.75" x14ac:dyDescent="0.25">
      <c r="B316" s="155"/>
      <c r="C316" s="152"/>
      <c r="D316" s="152"/>
      <c r="E316" s="152"/>
      <c r="F316" s="151"/>
      <c r="G316" s="156"/>
      <c r="H316" s="134"/>
      <c r="J316" s="155"/>
      <c r="K316" s="152"/>
      <c r="L316" s="152"/>
      <c r="M316" s="152"/>
      <c r="N316" s="151"/>
      <c r="O316" s="156"/>
      <c r="P316" s="134"/>
    </row>
    <row r="317" spans="2:16" s="140" customFormat="1" ht="12.75" x14ac:dyDescent="0.25">
      <c r="B317" s="155"/>
      <c r="C317" s="152"/>
      <c r="D317" s="152"/>
      <c r="E317" s="152"/>
      <c r="F317" s="151"/>
      <c r="G317" s="156"/>
      <c r="H317" s="134"/>
      <c r="J317" s="155"/>
      <c r="K317" s="152"/>
      <c r="L317" s="152"/>
      <c r="M317" s="152"/>
      <c r="N317" s="151"/>
      <c r="O317" s="156"/>
      <c r="P317" s="134"/>
    </row>
    <row r="318" spans="2:16" s="140" customFormat="1" ht="13.5" thickBot="1" x14ac:dyDescent="0.3">
      <c r="B318" s="155"/>
      <c r="C318" s="152"/>
      <c r="D318" s="152"/>
      <c r="E318" s="152"/>
      <c r="F318" s="151"/>
      <c r="G318" s="156"/>
      <c r="H318" s="134"/>
      <c r="J318" s="155"/>
      <c r="K318" s="152"/>
      <c r="L318" s="152"/>
      <c r="M318" s="152"/>
      <c r="N318" s="151"/>
      <c r="O318" s="156"/>
      <c r="P318" s="134"/>
    </row>
    <row r="319" spans="2:16" s="140" customFormat="1" ht="13.5" thickBot="1" x14ac:dyDescent="0.3">
      <c r="B319" s="179"/>
      <c r="C319" s="180"/>
      <c r="D319" s="180"/>
      <c r="E319" s="180"/>
      <c r="F319" s="181"/>
      <c r="G319" s="182"/>
      <c r="H319" s="161">
        <f>+SUM(G313:G319)</f>
        <v>88083.971247199399</v>
      </c>
      <c r="J319" s="179"/>
      <c r="K319" s="180"/>
      <c r="L319" s="180"/>
      <c r="M319" s="180"/>
      <c r="N319" s="181"/>
      <c r="O319" s="182"/>
      <c r="P319" s="161">
        <f>+SUM(O313:O319)</f>
        <v>117445.29499626586</v>
      </c>
    </row>
    <row r="320" spans="2:16" s="140" customFormat="1" ht="13.5" thickBot="1" x14ac:dyDescent="0.3">
      <c r="F320" s="141"/>
      <c r="G320" s="134"/>
      <c r="H320" s="134"/>
      <c r="N320" s="141"/>
      <c r="O320" s="134"/>
      <c r="P320" s="134"/>
    </row>
    <row r="321" spans="1:16" s="140" customFormat="1" ht="13.5" thickBot="1" x14ac:dyDescent="0.3">
      <c r="E321" s="183" t="s">
        <v>5415</v>
      </c>
      <c r="F321" s="141"/>
      <c r="G321" s="134"/>
      <c r="H321" s="161">
        <f>ROUND(+H287+H302+H310+H319,0)</f>
        <v>395189</v>
      </c>
      <c r="M321" s="183" t="s">
        <v>5415</v>
      </c>
      <c r="N321" s="141"/>
      <c r="O321" s="134"/>
      <c r="P321" s="161">
        <f>ROUND(+P287+P302+P310+P319,0)</f>
        <v>435599</v>
      </c>
    </row>
    <row r="322" spans="1:16" s="8" customFormat="1" ht="12.75" x14ac:dyDescent="0.25">
      <c r="F322" s="133"/>
    </row>
    <row r="323" spans="1:16" s="8" customFormat="1" ht="12.75" x14ac:dyDescent="0.25">
      <c r="F323" s="133"/>
      <c r="H323" s="368"/>
    </row>
    <row r="324" spans="1:16" s="8" customFormat="1" ht="12.75" x14ac:dyDescent="0.25">
      <c r="F324" s="133"/>
    </row>
    <row r="325" spans="1:16" s="8" customFormat="1" ht="12.75" x14ac:dyDescent="0.25">
      <c r="F325" s="133"/>
    </row>
    <row r="326" spans="1:16" s="8" customFormat="1" ht="18.75" x14ac:dyDescent="0.25">
      <c r="A326" s="133"/>
      <c r="B326" s="2506" t="s">
        <v>5400</v>
      </c>
      <c r="C326" s="2506"/>
      <c r="D326" s="2506"/>
      <c r="E326" s="2506"/>
      <c r="F326" s="2506"/>
      <c r="G326" s="2506"/>
    </row>
    <row r="327" spans="1:16" s="8" customFormat="1" ht="12.75" x14ac:dyDescent="0.25">
      <c r="A327" s="133"/>
      <c r="F327" s="133"/>
      <c r="G327" s="134"/>
    </row>
    <row r="328" spans="1:16" s="8" customFormat="1" ht="12.75" x14ac:dyDescent="0.25">
      <c r="A328" s="133"/>
      <c r="F328" s="133"/>
      <c r="G328" s="134"/>
    </row>
    <row r="329" spans="1:16" s="8" customFormat="1" ht="12.75" x14ac:dyDescent="0.25">
      <c r="A329" s="133"/>
      <c r="F329" s="133"/>
      <c r="G329" s="134"/>
    </row>
    <row r="330" spans="1:16" s="140" customFormat="1" ht="12.75" x14ac:dyDescent="0.25">
      <c r="A330" s="138" t="s">
        <v>3</v>
      </c>
      <c r="B330" s="138" t="s">
        <v>782</v>
      </c>
      <c r="C330" s="2451" t="s">
        <v>6004</v>
      </c>
      <c r="D330" s="2451"/>
      <c r="E330" s="2451"/>
      <c r="F330" s="138" t="s">
        <v>867</v>
      </c>
      <c r="G330" s="139" t="s">
        <v>5418</v>
      </c>
      <c r="H330" s="134"/>
    </row>
    <row r="331" spans="1:16" s="140" customFormat="1" ht="12.75" x14ac:dyDescent="0.25">
      <c r="A331" s="141"/>
      <c r="F331" s="141"/>
      <c r="G331" s="134"/>
      <c r="H331" s="134"/>
    </row>
    <row r="332" spans="1:16" s="140" customFormat="1" ht="12.75" x14ac:dyDescent="0.25">
      <c r="A332" s="141"/>
      <c r="F332" s="141"/>
      <c r="G332" s="142"/>
      <c r="H332" s="134"/>
    </row>
    <row r="333" spans="1:16" s="140" customFormat="1" ht="13.5" thickBot="1" x14ac:dyDescent="0.3">
      <c r="A333" s="141"/>
      <c r="F333" s="141"/>
      <c r="G333" s="134"/>
      <c r="H333" s="134"/>
    </row>
    <row r="334" spans="1:16" s="140" customFormat="1" ht="13.5" thickBot="1" x14ac:dyDescent="0.3">
      <c r="A334" s="141"/>
      <c r="B334" s="143" t="s">
        <v>5403</v>
      </c>
      <c r="C334" s="144" t="s">
        <v>867</v>
      </c>
      <c r="D334" s="144" t="s">
        <v>6</v>
      </c>
      <c r="E334" s="144" t="s">
        <v>5404</v>
      </c>
      <c r="F334" s="144" t="s">
        <v>5405</v>
      </c>
      <c r="G334" s="145" t="s">
        <v>868</v>
      </c>
      <c r="H334" s="134"/>
    </row>
    <row r="335" spans="1:16" s="140" customFormat="1" ht="12.75" x14ac:dyDescent="0.25">
      <c r="A335" s="141"/>
      <c r="B335" s="146" t="s">
        <v>5440</v>
      </c>
      <c r="C335" s="147" t="s">
        <v>5406</v>
      </c>
      <c r="D335" s="148"/>
      <c r="E335" s="434">
        <f>+H373</f>
        <v>25837.964899178489</v>
      </c>
      <c r="F335" s="191">
        <v>0.1</v>
      </c>
      <c r="G335" s="360">
        <f>+E335*F335</f>
        <v>2583.7964899178492</v>
      </c>
      <c r="H335" s="134"/>
    </row>
    <row r="336" spans="1:16" s="140" customFormat="1" ht="12.75" x14ac:dyDescent="0.25">
      <c r="A336" s="141"/>
      <c r="B336" s="150" t="s">
        <v>6005</v>
      </c>
      <c r="C336" s="151" t="s">
        <v>5414</v>
      </c>
      <c r="D336" s="152"/>
      <c r="E336" s="361">
        <v>20000</v>
      </c>
      <c r="F336" s="192">
        <v>0.13</v>
      </c>
      <c r="G336" s="360">
        <f>+E336*F336</f>
        <v>2600</v>
      </c>
      <c r="H336" s="134"/>
    </row>
    <row r="337" spans="1:9" s="140" customFormat="1" ht="12.75" x14ac:dyDescent="0.25">
      <c r="A337" s="141"/>
      <c r="B337" s="154"/>
      <c r="C337" s="151"/>
      <c r="D337" s="152"/>
      <c r="E337" s="361"/>
      <c r="F337" s="153"/>
      <c r="G337" s="360"/>
      <c r="H337" s="134"/>
    </row>
    <row r="338" spans="1:9" s="140" customFormat="1" ht="12.75" x14ac:dyDescent="0.25">
      <c r="A338" s="141"/>
      <c r="B338" s="155"/>
      <c r="C338" s="151"/>
      <c r="D338" s="152"/>
      <c r="E338" s="361"/>
      <c r="F338" s="151"/>
      <c r="G338" s="362"/>
      <c r="H338" s="134"/>
    </row>
    <row r="339" spans="1:9" s="140" customFormat="1" ht="12.75" x14ac:dyDescent="0.25">
      <c r="A339" s="141"/>
      <c r="B339" s="155"/>
      <c r="C339" s="151"/>
      <c r="D339" s="152"/>
      <c r="E339" s="361"/>
      <c r="F339" s="151"/>
      <c r="G339" s="362"/>
      <c r="H339" s="134"/>
    </row>
    <row r="340" spans="1:9" s="140" customFormat="1" ht="13.5" thickBot="1" x14ac:dyDescent="0.3">
      <c r="A340" s="141"/>
      <c r="B340" s="155"/>
      <c r="C340" s="151"/>
      <c r="D340" s="152"/>
      <c r="E340" s="361"/>
      <c r="F340" s="151"/>
      <c r="G340" s="362"/>
      <c r="H340" s="134"/>
    </row>
    <row r="341" spans="1:9" s="140" customFormat="1" ht="13.5" thickBot="1" x14ac:dyDescent="0.3">
      <c r="A341" s="141"/>
      <c r="B341" s="157"/>
      <c r="C341" s="158"/>
      <c r="D341" s="159"/>
      <c r="E341" s="369"/>
      <c r="F341" s="158"/>
      <c r="G341" s="363"/>
      <c r="H341" s="161">
        <f>+SUM(G335:G341)</f>
        <v>5183.7964899178496</v>
      </c>
      <c r="I341" s="134"/>
    </row>
    <row r="342" spans="1:9" s="140" customFormat="1" ht="13.5" thickBot="1" x14ac:dyDescent="0.3">
      <c r="A342" s="141"/>
      <c r="B342" s="162"/>
      <c r="C342" s="163"/>
      <c r="D342" s="162"/>
      <c r="E342" s="364"/>
      <c r="F342" s="163"/>
      <c r="G342" s="364"/>
      <c r="H342" s="165"/>
    </row>
    <row r="343" spans="1:9" s="140" customFormat="1" ht="13.5" thickBot="1" x14ac:dyDescent="0.3">
      <c r="B343" s="143" t="s">
        <v>5408</v>
      </c>
      <c r="C343" s="144" t="s">
        <v>867</v>
      </c>
      <c r="D343" s="144" t="s">
        <v>6</v>
      </c>
      <c r="E343" s="370" t="s">
        <v>870</v>
      </c>
      <c r="F343" s="144" t="s">
        <v>5409</v>
      </c>
      <c r="G343" s="365" t="s">
        <v>868</v>
      </c>
      <c r="H343" s="134"/>
    </row>
    <row r="344" spans="1:9" s="140" customFormat="1" ht="12.75" x14ac:dyDescent="0.25">
      <c r="B344" s="201" t="s">
        <v>5754</v>
      </c>
      <c r="C344" s="147" t="s">
        <v>5589</v>
      </c>
      <c r="D344" s="211">
        <v>0.3</v>
      </c>
      <c r="E344" s="366">
        <v>19000</v>
      </c>
      <c r="F344" s="169">
        <v>0.02</v>
      </c>
      <c r="G344" s="367">
        <f>+D344*E344*(1+F344)</f>
        <v>5814</v>
      </c>
      <c r="H344" s="134"/>
    </row>
    <row r="345" spans="1:9" s="140" customFormat="1" ht="12.75" x14ac:dyDescent="0.25">
      <c r="B345" s="196" t="s">
        <v>6006</v>
      </c>
      <c r="C345" s="151" t="s">
        <v>5430</v>
      </c>
      <c r="D345" s="212">
        <v>0.1</v>
      </c>
      <c r="E345" s="361">
        <v>249407</v>
      </c>
      <c r="F345" s="169">
        <v>0.03</v>
      </c>
      <c r="G345" s="367">
        <f>+D345*E345*(1+F345)</f>
        <v>25688.921000000002</v>
      </c>
      <c r="H345" s="134"/>
    </row>
    <row r="346" spans="1:9" s="140" customFormat="1" ht="12.75" x14ac:dyDescent="0.25">
      <c r="B346" s="196"/>
      <c r="C346" s="151"/>
      <c r="D346" s="274"/>
      <c r="E346" s="346"/>
      <c r="F346" s="169"/>
      <c r="G346" s="367"/>
      <c r="H346" s="134"/>
    </row>
    <row r="347" spans="1:9" s="140" customFormat="1" ht="12.75" x14ac:dyDescent="0.25">
      <c r="B347" s="155"/>
      <c r="C347" s="152"/>
      <c r="D347" s="152"/>
      <c r="E347" s="152"/>
      <c r="F347" s="151"/>
      <c r="G347" s="362"/>
      <c r="H347" s="134"/>
    </row>
    <row r="348" spans="1:9" s="140" customFormat="1" ht="12.75" x14ac:dyDescent="0.25">
      <c r="B348" s="155"/>
      <c r="C348" s="152"/>
      <c r="D348" s="152"/>
      <c r="E348" s="152"/>
      <c r="F348" s="151"/>
      <c r="G348" s="362"/>
      <c r="H348" s="134"/>
    </row>
    <row r="349" spans="1:9" s="140" customFormat="1" ht="12.75" x14ac:dyDescent="0.25">
      <c r="B349" s="155"/>
      <c r="C349" s="152"/>
      <c r="D349" s="152"/>
      <c r="E349" s="152"/>
      <c r="F349" s="151"/>
      <c r="G349" s="362"/>
      <c r="H349" s="134"/>
    </row>
    <row r="350" spans="1:9" s="140" customFormat="1" ht="12.75" x14ac:dyDescent="0.25">
      <c r="B350" s="155"/>
      <c r="C350" s="152"/>
      <c r="D350" s="152"/>
      <c r="E350" s="152"/>
      <c r="F350" s="151"/>
      <c r="G350" s="362"/>
      <c r="H350" s="134"/>
    </row>
    <row r="351" spans="1:9" s="140" customFormat="1" ht="12.75" x14ac:dyDescent="0.25">
      <c r="B351" s="155"/>
      <c r="C351" s="152"/>
      <c r="D351" s="152"/>
      <c r="E351" s="152"/>
      <c r="F351" s="151"/>
      <c r="G351" s="362"/>
      <c r="H351" s="134"/>
    </row>
    <row r="352" spans="1:9" s="140" customFormat="1" ht="12.75" x14ac:dyDescent="0.25">
      <c r="B352" s="155"/>
      <c r="C352" s="152"/>
      <c r="D352" s="152"/>
      <c r="E352" s="152"/>
      <c r="F352" s="151"/>
      <c r="G352" s="362"/>
      <c r="H352" s="134"/>
    </row>
    <row r="353" spans="2:9" s="140" customFormat="1" ht="12.75" x14ac:dyDescent="0.25">
      <c r="B353" s="155"/>
      <c r="C353" s="152"/>
      <c r="D353" s="152"/>
      <c r="E353" s="152"/>
      <c r="F353" s="151"/>
      <c r="G353" s="362"/>
      <c r="H353" s="134"/>
    </row>
    <row r="354" spans="2:9" s="140" customFormat="1" ht="12.75" x14ac:dyDescent="0.25">
      <c r="B354" s="155"/>
      <c r="C354" s="152"/>
      <c r="D354" s="152"/>
      <c r="E354" s="152"/>
      <c r="F354" s="151"/>
      <c r="G354" s="362"/>
      <c r="H354" s="134"/>
    </row>
    <row r="355" spans="2:9" s="140" customFormat="1" ht="13.5" thickBot="1" x14ac:dyDescent="0.3">
      <c r="B355" s="155"/>
      <c r="C355" s="152"/>
      <c r="D355" s="152"/>
      <c r="E355" s="152"/>
      <c r="F355" s="151"/>
      <c r="G355" s="362"/>
      <c r="H355" s="134"/>
    </row>
    <row r="356" spans="2:9" s="140" customFormat="1" ht="13.5" thickBot="1" x14ac:dyDescent="0.3">
      <c r="B356" s="157"/>
      <c r="C356" s="159"/>
      <c r="D356" s="159"/>
      <c r="E356" s="159"/>
      <c r="F356" s="158"/>
      <c r="G356" s="363"/>
      <c r="H356" s="161">
        <f>+SUM(G344:G356)</f>
        <v>31502.921000000002</v>
      </c>
      <c r="I356" s="134"/>
    </row>
    <row r="357" spans="2:9" s="140" customFormat="1" ht="13.5" thickBot="1" x14ac:dyDescent="0.3">
      <c r="B357" s="162"/>
      <c r="C357" s="162"/>
      <c r="D357" s="162"/>
      <c r="E357" s="162"/>
      <c r="F357" s="163"/>
      <c r="G357" s="364"/>
      <c r="H357" s="165"/>
    </row>
    <row r="358" spans="2:9" s="140" customFormat="1" ht="13.5" thickBot="1" x14ac:dyDescent="0.3">
      <c r="B358" s="143" t="s">
        <v>5410</v>
      </c>
      <c r="C358" s="144" t="s">
        <v>867</v>
      </c>
      <c r="D358" s="144" t="s">
        <v>6</v>
      </c>
      <c r="E358" s="144" t="s">
        <v>870</v>
      </c>
      <c r="F358" s="144" t="s">
        <v>5411</v>
      </c>
      <c r="G358" s="365" t="s">
        <v>868</v>
      </c>
      <c r="H358" s="134"/>
    </row>
    <row r="359" spans="2:9" s="140" customFormat="1" ht="12.75" x14ac:dyDescent="0.25">
      <c r="B359" s="201"/>
      <c r="C359" s="147"/>
      <c r="D359" s="206"/>
      <c r="E359" s="371"/>
      <c r="F359" s="147"/>
      <c r="G359" s="367">
        <f>+D359*E359*F359</f>
        <v>0</v>
      </c>
      <c r="H359" s="134"/>
    </row>
    <row r="360" spans="2:9" s="140" customFormat="1" ht="12.75" x14ac:dyDescent="0.25">
      <c r="B360" s="196"/>
      <c r="C360" s="151"/>
      <c r="D360" s="274"/>
      <c r="E360" s="346"/>
      <c r="F360" s="147"/>
      <c r="G360" s="172"/>
      <c r="H360" s="134"/>
    </row>
    <row r="361" spans="2:9" s="140" customFormat="1" ht="12.75" x14ac:dyDescent="0.25">
      <c r="B361" s="155"/>
      <c r="C361" s="152"/>
      <c r="D361" s="152"/>
      <c r="E361" s="152"/>
      <c r="F361" s="151"/>
      <c r="G361" s="156"/>
      <c r="H361" s="134"/>
    </row>
    <row r="362" spans="2:9" s="140" customFormat="1" ht="12.75" x14ac:dyDescent="0.25">
      <c r="B362" s="155"/>
      <c r="C362" s="152"/>
      <c r="D362" s="152"/>
      <c r="E362" s="152"/>
      <c r="F362" s="151"/>
      <c r="G362" s="156"/>
      <c r="H362" s="134"/>
    </row>
    <row r="363" spans="2:9" s="140" customFormat="1" ht="13.5" thickBot="1" x14ac:dyDescent="0.3">
      <c r="B363" s="155"/>
      <c r="C363" s="152"/>
      <c r="D363" s="152"/>
      <c r="E363" s="152"/>
      <c r="F363" s="151"/>
      <c r="G363" s="156"/>
      <c r="H363" s="134"/>
    </row>
    <row r="364" spans="2:9" s="140" customFormat="1" ht="13.5" thickBot="1" x14ac:dyDescent="0.3">
      <c r="B364" s="157"/>
      <c r="C364" s="159"/>
      <c r="D364" s="159"/>
      <c r="E364" s="159"/>
      <c r="F364" s="158"/>
      <c r="G364" s="160"/>
      <c r="H364" s="161">
        <f>+SUM(G359:G364)</f>
        <v>0</v>
      </c>
      <c r="I364" s="134"/>
    </row>
    <row r="365" spans="2:9" s="140" customFormat="1" ht="13.5" thickBot="1" x14ac:dyDescent="0.3">
      <c r="B365" s="162"/>
      <c r="C365" s="162"/>
      <c r="D365" s="162"/>
      <c r="E365" s="162"/>
      <c r="F365" s="173"/>
      <c r="G365" s="174"/>
      <c r="H365" s="165"/>
    </row>
    <row r="366" spans="2:9" s="140" customFormat="1" ht="13.5" thickBot="1" x14ac:dyDescent="0.3">
      <c r="B366" s="143" t="s">
        <v>5412</v>
      </c>
      <c r="C366" s="193" t="s">
        <v>5420</v>
      </c>
      <c r="D366" s="193" t="s">
        <v>5421</v>
      </c>
      <c r="E366" s="193" t="s">
        <v>5413</v>
      </c>
      <c r="F366" s="144" t="s">
        <v>5405</v>
      </c>
      <c r="G366" s="145" t="s">
        <v>868</v>
      </c>
      <c r="H366" s="134"/>
    </row>
    <row r="367" spans="2:9" s="140" customFormat="1" ht="12.75" x14ac:dyDescent="0.25">
      <c r="B367" s="194" t="s">
        <v>5948</v>
      </c>
      <c r="C367" s="345">
        <v>70000</v>
      </c>
      <c r="D367" s="345">
        <v>53961.351755041069</v>
      </c>
      <c r="E367" s="345">
        <v>117445.29499626586</v>
      </c>
      <c r="F367" s="192">
        <v>50</v>
      </c>
      <c r="G367" s="351">
        <f>+E367/F367</f>
        <v>2348.905899925317</v>
      </c>
      <c r="H367" s="134"/>
    </row>
    <row r="368" spans="2:9" s="140" customFormat="1" ht="12.75" x14ac:dyDescent="0.25">
      <c r="B368" s="194" t="s">
        <v>5949</v>
      </c>
      <c r="C368" s="345">
        <v>40000</v>
      </c>
      <c r="D368" s="345">
        <v>26980.675877520534</v>
      </c>
      <c r="E368" s="345">
        <v>58722.64749813293</v>
      </c>
      <c r="F368" s="192">
        <v>4</v>
      </c>
      <c r="G368" s="351">
        <f>+E368/F368</f>
        <v>14680.661874533233</v>
      </c>
      <c r="H368" s="134"/>
    </row>
    <row r="369" spans="1:9" s="140" customFormat="1" ht="12.75" x14ac:dyDescent="0.25">
      <c r="B369" s="195" t="s">
        <v>5635</v>
      </c>
      <c r="C369" s="345">
        <v>20600</v>
      </c>
      <c r="D369" s="345">
        <v>16188.405526512322</v>
      </c>
      <c r="E369" s="345">
        <v>35233.588498879762</v>
      </c>
      <c r="F369" s="192">
        <v>4</v>
      </c>
      <c r="G369" s="351">
        <f>+E369/F369</f>
        <v>8808.3971247199406</v>
      </c>
      <c r="H369" s="134"/>
    </row>
    <row r="370" spans="1:9" s="140" customFormat="1" ht="12.75" x14ac:dyDescent="0.25">
      <c r="B370" s="155"/>
      <c r="C370" s="152"/>
      <c r="D370" s="152"/>
      <c r="E370" s="152"/>
      <c r="F370" s="151"/>
      <c r="G370" s="156"/>
      <c r="H370" s="134"/>
    </row>
    <row r="371" spans="1:9" s="140" customFormat="1" ht="12.75" x14ac:dyDescent="0.25">
      <c r="B371" s="155"/>
      <c r="C371" s="152"/>
      <c r="D371" s="152"/>
      <c r="E371" s="152"/>
      <c r="F371" s="151"/>
      <c r="G371" s="156"/>
      <c r="H371" s="134"/>
    </row>
    <row r="372" spans="1:9" s="140" customFormat="1" ht="13.5" thickBot="1" x14ac:dyDescent="0.3">
      <c r="B372" s="155"/>
      <c r="C372" s="152"/>
      <c r="D372" s="152"/>
      <c r="E372" s="152"/>
      <c r="F372" s="151"/>
      <c r="G372" s="156"/>
      <c r="H372" s="134"/>
    </row>
    <row r="373" spans="1:9" s="140" customFormat="1" ht="13.5" thickBot="1" x14ac:dyDescent="0.3">
      <c r="B373" s="179"/>
      <c r="C373" s="180"/>
      <c r="D373" s="180"/>
      <c r="E373" s="180"/>
      <c r="F373" s="181"/>
      <c r="G373" s="182"/>
      <c r="H373" s="161">
        <f>+SUM(G367:G373)</f>
        <v>25837.964899178489</v>
      </c>
      <c r="I373" s="134"/>
    </row>
    <row r="374" spans="1:9" s="140" customFormat="1" ht="13.5" thickBot="1" x14ac:dyDescent="0.3">
      <c r="F374" s="141"/>
      <c r="G374" s="134"/>
      <c r="H374" s="134"/>
    </row>
    <row r="375" spans="1:9" s="140" customFormat="1" ht="13.5" thickBot="1" x14ac:dyDescent="0.3">
      <c r="E375" s="183" t="s">
        <v>5415</v>
      </c>
      <c r="F375" s="141"/>
      <c r="G375" s="134"/>
      <c r="H375" s="161">
        <f>ROUND(+H341+H356+H364+H373,0)</f>
        <v>62525</v>
      </c>
    </row>
    <row r="376" spans="1:9" s="8" customFormat="1" ht="12.75" x14ac:dyDescent="0.25">
      <c r="F376" s="133"/>
    </row>
    <row r="377" spans="1:9" s="8" customFormat="1" ht="12.75" x14ac:dyDescent="0.25">
      <c r="F377" s="133"/>
      <c r="H377" s="368"/>
    </row>
    <row r="378" spans="1:9" s="8" customFormat="1" ht="12.75" x14ac:dyDescent="0.25">
      <c r="F378" s="133"/>
    </row>
    <row r="379" spans="1:9" s="8" customFormat="1" ht="12.75" x14ac:dyDescent="0.25">
      <c r="F379" s="133"/>
    </row>
    <row r="380" spans="1:9" s="8" customFormat="1" ht="18.75" x14ac:dyDescent="0.25">
      <c r="A380" s="133"/>
      <c r="B380" s="2506" t="s">
        <v>5400</v>
      </c>
      <c r="C380" s="2506"/>
      <c r="D380" s="2506"/>
      <c r="E380" s="2506"/>
      <c r="F380" s="2506"/>
      <c r="G380" s="2506"/>
    </row>
    <row r="381" spans="1:9" s="8" customFormat="1" ht="12.75" x14ac:dyDescent="0.25">
      <c r="A381" s="133"/>
      <c r="F381" s="133"/>
      <c r="G381" s="134"/>
    </row>
    <row r="382" spans="1:9" s="8" customFormat="1" ht="12.75" x14ac:dyDescent="0.25">
      <c r="A382" s="133"/>
      <c r="F382" s="133"/>
      <c r="G382" s="134"/>
    </row>
    <row r="383" spans="1:9" s="8" customFormat="1" ht="12.75" x14ac:dyDescent="0.25">
      <c r="A383" s="133"/>
      <c r="F383" s="133"/>
      <c r="G383" s="134"/>
    </row>
    <row r="384" spans="1:9" s="140" customFormat="1" ht="12.75" x14ac:dyDescent="0.25">
      <c r="A384" s="138" t="s">
        <v>3</v>
      </c>
      <c r="B384" s="138" t="s">
        <v>784</v>
      </c>
      <c r="C384" s="2451" t="s">
        <v>6007</v>
      </c>
      <c r="D384" s="2451"/>
      <c r="E384" s="2451"/>
      <c r="F384" s="138" t="s">
        <v>867</v>
      </c>
      <c r="G384" s="139" t="s">
        <v>5418</v>
      </c>
      <c r="H384" s="134"/>
    </row>
    <row r="385" spans="1:9" s="140" customFormat="1" ht="12.75" x14ac:dyDescent="0.25">
      <c r="A385" s="141"/>
      <c r="F385" s="141"/>
      <c r="G385" s="134"/>
      <c r="H385" s="134"/>
    </row>
    <row r="386" spans="1:9" s="140" customFormat="1" ht="12.75" x14ac:dyDescent="0.25">
      <c r="A386" s="141"/>
      <c r="F386" s="141"/>
      <c r="G386" s="142"/>
      <c r="H386" s="134"/>
    </row>
    <row r="387" spans="1:9" s="140" customFormat="1" ht="13.5" thickBot="1" x14ac:dyDescent="0.3">
      <c r="A387" s="141"/>
      <c r="F387" s="141"/>
      <c r="G387" s="134"/>
      <c r="H387" s="134"/>
    </row>
    <row r="388" spans="1:9" s="140" customFormat="1" ht="13.5" thickBot="1" x14ac:dyDescent="0.3">
      <c r="A388" s="141"/>
      <c r="B388" s="143" t="s">
        <v>5403</v>
      </c>
      <c r="C388" s="144" t="s">
        <v>867</v>
      </c>
      <c r="D388" s="144" t="s">
        <v>6</v>
      </c>
      <c r="E388" s="144" t="s">
        <v>5404</v>
      </c>
      <c r="F388" s="144" t="s">
        <v>5405</v>
      </c>
      <c r="G388" s="145" t="s">
        <v>868</v>
      </c>
      <c r="H388" s="134"/>
    </row>
    <row r="389" spans="1:9" s="140" customFormat="1" ht="12.75" x14ac:dyDescent="0.25">
      <c r="A389" s="141"/>
      <c r="B389" s="146" t="s">
        <v>5440</v>
      </c>
      <c r="C389" s="147" t="s">
        <v>5406</v>
      </c>
      <c r="D389" s="148"/>
      <c r="E389" s="434">
        <f>+H427</f>
        <v>14876.404032860342</v>
      </c>
      <c r="F389" s="191">
        <v>0.1</v>
      </c>
      <c r="G389" s="360">
        <f>+E389*F389</f>
        <v>1487.6404032860344</v>
      </c>
      <c r="H389" s="134"/>
    </row>
    <row r="390" spans="1:9" s="140" customFormat="1" ht="12.75" x14ac:dyDescent="0.25">
      <c r="A390" s="141"/>
      <c r="B390" s="150"/>
      <c r="C390" s="151"/>
      <c r="D390" s="152"/>
      <c r="E390" s="361"/>
      <c r="F390" s="291"/>
      <c r="G390" s="360">
        <f>+E390*F390</f>
        <v>0</v>
      </c>
      <c r="H390" s="134"/>
    </row>
    <row r="391" spans="1:9" s="140" customFormat="1" ht="12.75" x14ac:dyDescent="0.25">
      <c r="A391" s="141"/>
      <c r="B391" s="154"/>
      <c r="C391" s="151"/>
      <c r="D391" s="152"/>
      <c r="E391" s="361"/>
      <c r="F391" s="153"/>
      <c r="G391" s="360"/>
      <c r="H391" s="134"/>
    </row>
    <row r="392" spans="1:9" s="140" customFormat="1" ht="12.75" x14ac:dyDescent="0.25">
      <c r="A392" s="141"/>
      <c r="B392" s="155"/>
      <c r="C392" s="151"/>
      <c r="D392" s="152"/>
      <c r="E392" s="361"/>
      <c r="F392" s="151"/>
      <c r="G392" s="362"/>
      <c r="H392" s="134"/>
    </row>
    <row r="393" spans="1:9" s="140" customFormat="1" ht="12.75" x14ac:dyDescent="0.25">
      <c r="A393" s="141"/>
      <c r="B393" s="155"/>
      <c r="C393" s="151"/>
      <c r="D393" s="152"/>
      <c r="E393" s="361"/>
      <c r="F393" s="151"/>
      <c r="G393" s="362"/>
      <c r="H393" s="134"/>
    </row>
    <row r="394" spans="1:9" s="140" customFormat="1" ht="13.5" thickBot="1" x14ac:dyDescent="0.3">
      <c r="A394" s="141"/>
      <c r="B394" s="155"/>
      <c r="C394" s="151"/>
      <c r="D394" s="152"/>
      <c r="E394" s="361"/>
      <c r="F394" s="151"/>
      <c r="G394" s="362"/>
      <c r="H394" s="134"/>
    </row>
    <row r="395" spans="1:9" s="140" customFormat="1" ht="13.5" thickBot="1" x14ac:dyDescent="0.3">
      <c r="A395" s="141"/>
      <c r="B395" s="157"/>
      <c r="C395" s="158"/>
      <c r="D395" s="159"/>
      <c r="E395" s="369"/>
      <c r="F395" s="158"/>
      <c r="G395" s="363"/>
      <c r="H395" s="161">
        <f>+SUM(G389:G395)</f>
        <v>1487.6404032860344</v>
      </c>
      <c r="I395" s="134"/>
    </row>
    <row r="396" spans="1:9" s="140" customFormat="1" ht="13.5" thickBot="1" x14ac:dyDescent="0.3">
      <c r="A396" s="141"/>
      <c r="B396" s="162"/>
      <c r="C396" s="163"/>
      <c r="D396" s="162"/>
      <c r="E396" s="364"/>
      <c r="F396" s="163"/>
      <c r="G396" s="364"/>
      <c r="H396" s="165"/>
    </row>
    <row r="397" spans="1:9" s="140" customFormat="1" ht="13.5" thickBot="1" x14ac:dyDescent="0.3">
      <c r="B397" s="143" t="s">
        <v>5408</v>
      </c>
      <c r="C397" s="144" t="s">
        <v>867</v>
      </c>
      <c r="D397" s="144" t="s">
        <v>6</v>
      </c>
      <c r="E397" s="370" t="s">
        <v>870</v>
      </c>
      <c r="F397" s="144" t="s">
        <v>5409</v>
      </c>
      <c r="G397" s="365" t="s">
        <v>868</v>
      </c>
      <c r="H397" s="134"/>
    </row>
    <row r="398" spans="1:9" s="140" customFormat="1" ht="12.75" x14ac:dyDescent="0.25">
      <c r="B398" s="196" t="s">
        <v>6006</v>
      </c>
      <c r="C398" s="147" t="s">
        <v>5430</v>
      </c>
      <c r="D398" s="167">
        <v>0.1</v>
      </c>
      <c r="E398" s="366">
        <v>249407</v>
      </c>
      <c r="F398" s="169">
        <v>0.03</v>
      </c>
      <c r="G398" s="367">
        <f>+D398*E398*(1+F398)</f>
        <v>25688.921000000002</v>
      </c>
      <c r="H398" s="134"/>
    </row>
    <row r="399" spans="1:9" s="140" customFormat="1" ht="12.75" x14ac:dyDescent="0.25">
      <c r="B399" s="196" t="s">
        <v>5964</v>
      </c>
      <c r="C399" s="151" t="s">
        <v>17</v>
      </c>
      <c r="D399" s="197">
        <v>0.05</v>
      </c>
      <c r="E399" s="346">
        <v>46200</v>
      </c>
      <c r="F399" s="169">
        <v>0.05</v>
      </c>
      <c r="G399" s="367">
        <f>+D399*E399*(1+F399)</f>
        <v>2425.5</v>
      </c>
      <c r="H399" s="435"/>
    </row>
    <row r="400" spans="1:9" s="140" customFormat="1" ht="12.75" x14ac:dyDescent="0.25">
      <c r="B400" s="196"/>
      <c r="C400" s="151"/>
      <c r="D400" s="274"/>
      <c r="E400" s="346"/>
      <c r="F400" s="169"/>
      <c r="G400" s="367"/>
      <c r="H400" s="134"/>
    </row>
    <row r="401" spans="2:9" s="140" customFormat="1" ht="12.75" x14ac:dyDescent="0.25">
      <c r="B401" s="155"/>
      <c r="C401" s="152"/>
      <c r="D401" s="152"/>
      <c r="E401" s="152"/>
      <c r="F401" s="151"/>
      <c r="G401" s="362"/>
      <c r="H401" s="134"/>
    </row>
    <row r="402" spans="2:9" s="140" customFormat="1" ht="12.75" x14ac:dyDescent="0.25">
      <c r="B402" s="155"/>
      <c r="C402" s="152"/>
      <c r="D402" s="152"/>
      <c r="E402" s="152"/>
      <c r="F402" s="151"/>
      <c r="G402" s="362"/>
      <c r="H402" s="134"/>
    </row>
    <row r="403" spans="2:9" s="140" customFormat="1" ht="12.75" x14ac:dyDescent="0.25">
      <c r="B403" s="155"/>
      <c r="C403" s="152"/>
      <c r="D403" s="152"/>
      <c r="E403" s="152"/>
      <c r="F403" s="151"/>
      <c r="G403" s="362"/>
      <c r="H403" s="134"/>
    </row>
    <row r="404" spans="2:9" s="140" customFormat="1" ht="12.75" x14ac:dyDescent="0.25">
      <c r="B404" s="155"/>
      <c r="C404" s="152"/>
      <c r="D404" s="152"/>
      <c r="E404" s="152"/>
      <c r="F404" s="151"/>
      <c r="G404" s="362"/>
      <c r="H404" s="134"/>
    </row>
    <row r="405" spans="2:9" s="140" customFormat="1" ht="12.75" x14ac:dyDescent="0.25">
      <c r="B405" s="155"/>
      <c r="C405" s="152"/>
      <c r="D405" s="152"/>
      <c r="E405" s="152"/>
      <c r="F405" s="151"/>
      <c r="G405" s="362"/>
      <c r="H405" s="134"/>
    </row>
    <row r="406" spans="2:9" s="140" customFormat="1" ht="12.75" x14ac:dyDescent="0.25">
      <c r="B406" s="155"/>
      <c r="C406" s="152"/>
      <c r="D406" s="152"/>
      <c r="E406" s="152"/>
      <c r="F406" s="151"/>
      <c r="G406" s="362"/>
      <c r="H406" s="134"/>
    </row>
    <row r="407" spans="2:9" s="140" customFormat="1" ht="12.75" x14ac:dyDescent="0.25">
      <c r="B407" s="155"/>
      <c r="C407" s="152"/>
      <c r="D407" s="152"/>
      <c r="E407" s="152"/>
      <c r="F407" s="151"/>
      <c r="G407" s="362"/>
      <c r="H407" s="134"/>
    </row>
    <row r="408" spans="2:9" s="140" customFormat="1" ht="12.75" x14ac:dyDescent="0.25">
      <c r="B408" s="155"/>
      <c r="C408" s="152"/>
      <c r="D408" s="152"/>
      <c r="E408" s="152"/>
      <c r="F408" s="151"/>
      <c r="G408" s="362"/>
      <c r="H408" s="134"/>
    </row>
    <row r="409" spans="2:9" s="140" customFormat="1" ht="13.5" thickBot="1" x14ac:dyDescent="0.3">
      <c r="B409" s="155"/>
      <c r="C409" s="152"/>
      <c r="D409" s="152"/>
      <c r="E409" s="152"/>
      <c r="F409" s="151"/>
      <c r="G409" s="362"/>
      <c r="H409" s="134"/>
    </row>
    <row r="410" spans="2:9" s="140" customFormat="1" ht="13.5" thickBot="1" x14ac:dyDescent="0.3">
      <c r="B410" s="157"/>
      <c r="C410" s="159"/>
      <c r="D410" s="159"/>
      <c r="E410" s="159"/>
      <c r="F410" s="158"/>
      <c r="G410" s="363"/>
      <c r="H410" s="161">
        <f>+SUM(G398:G410)</f>
        <v>28114.421000000002</v>
      </c>
      <c r="I410" s="134"/>
    </row>
    <row r="411" spans="2:9" s="140" customFormat="1" ht="13.5" thickBot="1" x14ac:dyDescent="0.3">
      <c r="B411" s="162"/>
      <c r="C411" s="162"/>
      <c r="D411" s="162"/>
      <c r="E411" s="162"/>
      <c r="F411" s="163"/>
      <c r="G411" s="364"/>
      <c r="H411" s="165"/>
    </row>
    <row r="412" spans="2:9" s="140" customFormat="1" ht="13.5" thickBot="1" x14ac:dyDescent="0.3">
      <c r="B412" s="143" t="s">
        <v>5410</v>
      </c>
      <c r="C412" s="144" t="s">
        <v>867</v>
      </c>
      <c r="D412" s="144" t="s">
        <v>6</v>
      </c>
      <c r="E412" s="144" t="s">
        <v>870</v>
      </c>
      <c r="F412" s="144" t="s">
        <v>5411</v>
      </c>
      <c r="G412" s="365" t="s">
        <v>868</v>
      </c>
      <c r="H412" s="134"/>
    </row>
    <row r="413" spans="2:9" s="140" customFormat="1" ht="12.75" x14ac:dyDescent="0.25">
      <c r="B413" s="201"/>
      <c r="C413" s="147"/>
      <c r="D413" s="206"/>
      <c r="E413" s="371"/>
      <c r="F413" s="147"/>
      <c r="G413" s="367">
        <f>+D413*E413*F413</f>
        <v>0</v>
      </c>
      <c r="H413" s="134"/>
    </row>
    <row r="414" spans="2:9" s="140" customFormat="1" ht="12.75" x14ac:dyDescent="0.25">
      <c r="B414" s="196"/>
      <c r="C414" s="151"/>
      <c r="D414" s="274"/>
      <c r="E414" s="346"/>
      <c r="F414" s="147"/>
      <c r="G414" s="172"/>
      <c r="H414" s="134"/>
    </row>
    <row r="415" spans="2:9" s="140" customFormat="1" ht="12.75" x14ac:dyDescent="0.25">
      <c r="B415" s="155"/>
      <c r="C415" s="152"/>
      <c r="D415" s="152"/>
      <c r="E415" s="152"/>
      <c r="F415" s="151"/>
      <c r="G415" s="156"/>
      <c r="H415" s="134"/>
    </row>
    <row r="416" spans="2:9" s="140" customFormat="1" ht="12.75" x14ac:dyDescent="0.25">
      <c r="B416" s="155"/>
      <c r="C416" s="152"/>
      <c r="D416" s="152"/>
      <c r="E416" s="152"/>
      <c r="F416" s="151"/>
      <c r="G416" s="156"/>
      <c r="H416" s="134"/>
    </row>
    <row r="417" spans="2:9" s="140" customFormat="1" ht="13.5" thickBot="1" x14ac:dyDescent="0.3">
      <c r="B417" s="155"/>
      <c r="C417" s="152"/>
      <c r="D417" s="152"/>
      <c r="E417" s="152"/>
      <c r="F417" s="151"/>
      <c r="G417" s="156"/>
      <c r="H417" s="134"/>
    </row>
    <row r="418" spans="2:9" s="140" customFormat="1" ht="13.5" thickBot="1" x14ac:dyDescent="0.3">
      <c r="B418" s="157"/>
      <c r="C418" s="159"/>
      <c r="D418" s="159"/>
      <c r="E418" s="159"/>
      <c r="F418" s="158"/>
      <c r="G418" s="160"/>
      <c r="H418" s="161">
        <f>+SUM(G413:G418)</f>
        <v>0</v>
      </c>
      <c r="I418" s="134"/>
    </row>
    <row r="419" spans="2:9" s="140" customFormat="1" ht="13.5" thickBot="1" x14ac:dyDescent="0.3">
      <c r="B419" s="162"/>
      <c r="C419" s="162"/>
      <c r="D419" s="162"/>
      <c r="E419" s="162"/>
      <c r="F419" s="173"/>
      <c r="G419" s="174"/>
      <c r="H419" s="165"/>
    </row>
    <row r="420" spans="2:9" s="140" customFormat="1" ht="13.5" thickBot="1" x14ac:dyDescent="0.3">
      <c r="B420" s="143" t="s">
        <v>5412</v>
      </c>
      <c r="C420" s="193" t="s">
        <v>5420</v>
      </c>
      <c r="D420" s="193" t="s">
        <v>5421</v>
      </c>
      <c r="E420" s="193" t="s">
        <v>5413</v>
      </c>
      <c r="F420" s="144" t="s">
        <v>5405</v>
      </c>
      <c r="G420" s="145" t="s">
        <v>868</v>
      </c>
      <c r="H420" s="134"/>
    </row>
    <row r="421" spans="2:9" s="140" customFormat="1" ht="12.75" x14ac:dyDescent="0.25">
      <c r="B421" s="194" t="s">
        <v>5948</v>
      </c>
      <c r="C421" s="345">
        <v>70000</v>
      </c>
      <c r="D421" s="345">
        <v>53961.351755041069</v>
      </c>
      <c r="E421" s="345">
        <v>117445.29499626586</v>
      </c>
      <c r="F421" s="192">
        <v>50</v>
      </c>
      <c r="G421" s="351">
        <f>+E421/F421</f>
        <v>2348.905899925317</v>
      </c>
      <c r="H421" s="134"/>
    </row>
    <row r="422" spans="2:9" s="140" customFormat="1" ht="12.75" x14ac:dyDescent="0.25">
      <c r="B422" s="194" t="s">
        <v>5949</v>
      </c>
      <c r="C422" s="345">
        <v>40000</v>
      </c>
      <c r="D422" s="345">
        <v>26980.675877520534</v>
      </c>
      <c r="E422" s="345">
        <v>58722.64749813293</v>
      </c>
      <c r="F422" s="192">
        <v>7.5</v>
      </c>
      <c r="G422" s="351">
        <f>+E422/F422</f>
        <v>7829.6863330843908</v>
      </c>
      <c r="H422" s="134"/>
    </row>
    <row r="423" spans="2:9" s="140" customFormat="1" ht="12.75" x14ac:dyDescent="0.25">
      <c r="B423" s="195" t="s">
        <v>5635</v>
      </c>
      <c r="C423" s="345">
        <v>20600</v>
      </c>
      <c r="D423" s="345">
        <v>16188.405526512322</v>
      </c>
      <c r="E423" s="345">
        <v>35233.588498879762</v>
      </c>
      <c r="F423" s="192">
        <v>7.5</v>
      </c>
      <c r="G423" s="351">
        <f>+E423/F423</f>
        <v>4697.811799850635</v>
      </c>
      <c r="H423" s="134"/>
    </row>
    <row r="424" spans="2:9" s="140" customFormat="1" ht="12.75" x14ac:dyDescent="0.25">
      <c r="B424" s="155"/>
      <c r="C424" s="152"/>
      <c r="D424" s="152"/>
      <c r="E424" s="152"/>
      <c r="F424" s="151"/>
      <c r="G424" s="156"/>
      <c r="H424" s="134"/>
    </row>
    <row r="425" spans="2:9" s="140" customFormat="1" ht="12.75" x14ac:dyDescent="0.25">
      <c r="B425" s="155"/>
      <c r="C425" s="152"/>
      <c r="D425" s="152"/>
      <c r="E425" s="152"/>
      <c r="F425" s="151"/>
      <c r="G425" s="156"/>
      <c r="H425" s="134"/>
    </row>
    <row r="426" spans="2:9" s="140" customFormat="1" ht="13.5" thickBot="1" x14ac:dyDescent="0.3">
      <c r="B426" s="155"/>
      <c r="C426" s="152"/>
      <c r="D426" s="152"/>
      <c r="E426" s="152"/>
      <c r="F426" s="151"/>
      <c r="G426" s="156"/>
      <c r="H426" s="134"/>
    </row>
    <row r="427" spans="2:9" s="140" customFormat="1" ht="13.5" thickBot="1" x14ac:dyDescent="0.3">
      <c r="B427" s="179"/>
      <c r="C427" s="180"/>
      <c r="D427" s="180"/>
      <c r="E427" s="180"/>
      <c r="F427" s="181"/>
      <c r="G427" s="182"/>
      <c r="H427" s="161">
        <f>+SUM(G421:G427)</f>
        <v>14876.404032860342</v>
      </c>
      <c r="I427" s="134"/>
    </row>
    <row r="428" spans="2:9" s="140" customFormat="1" ht="13.5" thickBot="1" x14ac:dyDescent="0.3">
      <c r="F428" s="141"/>
      <c r="G428" s="134"/>
      <c r="H428" s="134"/>
    </row>
    <row r="429" spans="2:9" s="140" customFormat="1" ht="13.5" thickBot="1" x14ac:dyDescent="0.3">
      <c r="E429" s="183" t="s">
        <v>5415</v>
      </c>
      <c r="F429" s="141"/>
      <c r="G429" s="134"/>
      <c r="H429" s="161">
        <f>ROUND(+H395+H410+H418+H427,0)</f>
        <v>44478</v>
      </c>
    </row>
    <row r="430" spans="2:9" s="8" customFormat="1" ht="12.75" x14ac:dyDescent="0.25">
      <c r="F430" s="133"/>
    </row>
    <row r="431" spans="2:9" s="8" customFormat="1" ht="12.75" x14ac:dyDescent="0.25">
      <c r="F431" s="133"/>
      <c r="H431" s="368"/>
    </row>
    <row r="432" spans="2:9" s="8" customFormat="1" ht="12.75" x14ac:dyDescent="0.25">
      <c r="F432" s="133"/>
    </row>
    <row r="433" spans="1:8" s="8" customFormat="1" ht="12.75" x14ac:dyDescent="0.25">
      <c r="F433" s="133"/>
    </row>
    <row r="434" spans="1:8" s="8" customFormat="1" ht="18.75" x14ac:dyDescent="0.25">
      <c r="A434" s="133"/>
      <c r="B434" s="2506" t="s">
        <v>5400</v>
      </c>
      <c r="C434" s="2506"/>
      <c r="D434" s="2506"/>
      <c r="E434" s="2506"/>
      <c r="F434" s="2506"/>
      <c r="G434" s="2506"/>
    </row>
    <row r="435" spans="1:8" s="8" customFormat="1" ht="12.75" x14ac:dyDescent="0.25">
      <c r="A435" s="133"/>
      <c r="F435" s="133"/>
      <c r="G435" s="134"/>
    </row>
    <row r="436" spans="1:8" s="8" customFormat="1" ht="12.75" x14ac:dyDescent="0.25">
      <c r="A436" s="133"/>
      <c r="F436" s="133"/>
      <c r="G436" s="134"/>
    </row>
    <row r="437" spans="1:8" s="8" customFormat="1" ht="12.75" x14ac:dyDescent="0.25">
      <c r="A437" s="133"/>
      <c r="F437" s="133"/>
      <c r="G437" s="134"/>
    </row>
    <row r="438" spans="1:8" s="140" customFormat="1" ht="12.75" x14ac:dyDescent="0.25">
      <c r="A438" s="138" t="s">
        <v>3</v>
      </c>
      <c r="B438" s="138" t="s">
        <v>785</v>
      </c>
      <c r="C438" s="2451" t="s">
        <v>5590</v>
      </c>
      <c r="D438" s="2451"/>
      <c r="E438" s="2451"/>
      <c r="F438" s="138" t="s">
        <v>867</v>
      </c>
      <c r="G438" s="139" t="s">
        <v>5418</v>
      </c>
      <c r="H438" s="134"/>
    </row>
    <row r="439" spans="1:8" s="140" customFormat="1" ht="12.75" x14ac:dyDescent="0.25">
      <c r="A439" s="141"/>
      <c r="F439" s="141"/>
      <c r="G439" s="134"/>
      <c r="H439" s="134"/>
    </row>
    <row r="440" spans="1:8" s="140" customFormat="1" ht="12.75" x14ac:dyDescent="0.25">
      <c r="A440" s="141"/>
      <c r="F440" s="141"/>
      <c r="G440" s="142"/>
      <c r="H440" s="134"/>
    </row>
    <row r="441" spans="1:8" s="140" customFormat="1" ht="13.5" thickBot="1" x14ac:dyDescent="0.3">
      <c r="A441" s="141"/>
      <c r="F441" s="141"/>
      <c r="G441" s="134"/>
      <c r="H441" s="134"/>
    </row>
    <row r="442" spans="1:8" s="140" customFormat="1" ht="13.5" thickBot="1" x14ac:dyDescent="0.3">
      <c r="A442" s="141"/>
      <c r="B442" s="143" t="s">
        <v>5403</v>
      </c>
      <c r="C442" s="144" t="s">
        <v>867</v>
      </c>
      <c r="D442" s="144" t="s">
        <v>6</v>
      </c>
      <c r="E442" s="144" t="s">
        <v>5404</v>
      </c>
      <c r="F442" s="144" t="s">
        <v>5405</v>
      </c>
      <c r="G442" s="145" t="s">
        <v>868</v>
      </c>
      <c r="H442" s="134"/>
    </row>
    <row r="443" spans="1:8" s="140" customFormat="1" ht="12.75" x14ac:dyDescent="0.25">
      <c r="A443" s="141"/>
      <c r="B443" s="146" t="s">
        <v>5440</v>
      </c>
      <c r="C443" s="147" t="s">
        <v>5406</v>
      </c>
      <c r="D443" s="148"/>
      <c r="E443" s="434">
        <f>+H481</f>
        <v>21140.153099327857</v>
      </c>
      <c r="F443" s="191">
        <v>0.1</v>
      </c>
      <c r="G443" s="360">
        <f>+E443*F443</f>
        <v>2114.0153099327858</v>
      </c>
      <c r="H443" s="134"/>
    </row>
    <row r="444" spans="1:8" s="140" customFormat="1" ht="12.75" x14ac:dyDescent="0.25">
      <c r="A444" s="141"/>
      <c r="B444" s="150" t="s">
        <v>6008</v>
      </c>
      <c r="C444" s="151" t="s">
        <v>5414</v>
      </c>
      <c r="D444" s="152"/>
      <c r="E444" s="361">
        <v>40000</v>
      </c>
      <c r="F444" s="192">
        <v>50</v>
      </c>
      <c r="G444" s="360">
        <f>+E444/F444</f>
        <v>800</v>
      </c>
      <c r="H444" s="134"/>
    </row>
    <row r="445" spans="1:8" s="140" customFormat="1" ht="12.75" x14ac:dyDescent="0.25">
      <c r="A445" s="141"/>
      <c r="B445" s="154"/>
      <c r="C445" s="151"/>
      <c r="D445" s="152"/>
      <c r="E445" s="361"/>
      <c r="F445" s="153"/>
      <c r="G445" s="360"/>
      <c r="H445" s="134"/>
    </row>
    <row r="446" spans="1:8" s="140" customFormat="1" ht="12.75" x14ac:dyDescent="0.25">
      <c r="A446" s="141"/>
      <c r="B446" s="155"/>
      <c r="C446" s="151"/>
      <c r="D446" s="152"/>
      <c r="E446" s="361"/>
      <c r="F446" s="151"/>
      <c r="G446" s="362"/>
      <c r="H446" s="134"/>
    </row>
    <row r="447" spans="1:8" s="140" customFormat="1" ht="12.75" x14ac:dyDescent="0.25">
      <c r="A447" s="141"/>
      <c r="B447" s="155"/>
      <c r="C447" s="151"/>
      <c r="D447" s="152"/>
      <c r="E447" s="361"/>
      <c r="F447" s="151"/>
      <c r="G447" s="362"/>
      <c r="H447" s="134"/>
    </row>
    <row r="448" spans="1:8" s="140" customFormat="1" ht="13.5" thickBot="1" x14ac:dyDescent="0.3">
      <c r="A448" s="141"/>
      <c r="B448" s="155"/>
      <c r="C448" s="151"/>
      <c r="D448" s="152"/>
      <c r="E448" s="361"/>
      <c r="F448" s="151"/>
      <c r="G448" s="362"/>
      <c r="H448" s="134"/>
    </row>
    <row r="449" spans="1:9" s="140" customFormat="1" ht="13.5" thickBot="1" x14ac:dyDescent="0.3">
      <c r="A449" s="141"/>
      <c r="B449" s="157"/>
      <c r="C449" s="158"/>
      <c r="D449" s="159"/>
      <c r="E449" s="369"/>
      <c r="F449" s="158"/>
      <c r="G449" s="363"/>
      <c r="H449" s="161">
        <f>+SUM(G443:G449)</f>
        <v>2914.0153099327858</v>
      </c>
      <c r="I449" s="134"/>
    </row>
    <row r="450" spans="1:9" s="140" customFormat="1" ht="13.5" thickBot="1" x14ac:dyDescent="0.3">
      <c r="A450" s="141"/>
      <c r="B450" s="162"/>
      <c r="C450" s="163"/>
      <c r="D450" s="162"/>
      <c r="E450" s="364"/>
      <c r="F450" s="163"/>
      <c r="G450" s="364"/>
      <c r="H450" s="165"/>
    </row>
    <row r="451" spans="1:9" s="140" customFormat="1" ht="13.5" thickBot="1" x14ac:dyDescent="0.3">
      <c r="B451" s="143" t="s">
        <v>5408</v>
      </c>
      <c r="C451" s="144" t="s">
        <v>867</v>
      </c>
      <c r="D451" s="144" t="s">
        <v>6</v>
      </c>
      <c r="E451" s="370" t="s">
        <v>870</v>
      </c>
      <c r="F451" s="144" t="s">
        <v>5409</v>
      </c>
      <c r="G451" s="365" t="s">
        <v>868</v>
      </c>
      <c r="H451" s="134"/>
    </row>
    <row r="452" spans="1:9" s="140" customFormat="1" ht="12.75" x14ac:dyDescent="0.25">
      <c r="B452" s="201" t="s">
        <v>6259</v>
      </c>
      <c r="C452" s="147" t="s">
        <v>5591</v>
      </c>
      <c r="D452" s="211">
        <v>1.1000000000000001</v>
      </c>
      <c r="E452" s="366">
        <v>24000</v>
      </c>
      <c r="F452" s="169">
        <v>0.05</v>
      </c>
      <c r="G452" s="367">
        <f>+D452*E452*(1+F452)</f>
        <v>27720.000000000004</v>
      </c>
      <c r="H452" s="134"/>
    </row>
    <row r="453" spans="1:9" s="140" customFormat="1" ht="12.75" x14ac:dyDescent="0.25">
      <c r="B453" s="196" t="s">
        <v>6009</v>
      </c>
      <c r="C453" s="151" t="s">
        <v>5430</v>
      </c>
      <c r="D453" s="212">
        <v>0.03</v>
      </c>
      <c r="E453" s="361">
        <v>258470</v>
      </c>
      <c r="F453" s="169">
        <v>0.05</v>
      </c>
      <c r="G453" s="367">
        <f>+D453*E453*(1+F453)</f>
        <v>8141.8049999999994</v>
      </c>
      <c r="H453" s="134"/>
    </row>
    <row r="454" spans="1:9" s="140" customFormat="1" ht="12.75" x14ac:dyDescent="0.25">
      <c r="B454" s="196"/>
      <c r="C454" s="151"/>
      <c r="D454" s="274"/>
      <c r="E454" s="361"/>
      <c r="F454" s="169"/>
      <c r="G454" s="367"/>
      <c r="H454" s="134"/>
    </row>
    <row r="455" spans="1:9" s="140" customFormat="1" ht="12.75" x14ac:dyDescent="0.25">
      <c r="B455" s="155"/>
      <c r="C455" s="152"/>
      <c r="D455" s="152"/>
      <c r="E455" s="361"/>
      <c r="F455" s="151"/>
      <c r="G455" s="362"/>
      <c r="H455" s="134"/>
    </row>
    <row r="456" spans="1:9" s="140" customFormat="1" ht="12.75" x14ac:dyDescent="0.25">
      <c r="B456" s="155"/>
      <c r="C456" s="152"/>
      <c r="D456" s="152"/>
      <c r="E456" s="361"/>
      <c r="F456" s="151"/>
      <c r="G456" s="362"/>
      <c r="H456" s="134"/>
    </row>
    <row r="457" spans="1:9" s="140" customFormat="1" ht="12.75" x14ac:dyDescent="0.25">
      <c r="B457" s="155"/>
      <c r="C457" s="152"/>
      <c r="D457" s="152"/>
      <c r="E457" s="361"/>
      <c r="F457" s="151"/>
      <c r="G457" s="362"/>
      <c r="H457" s="134"/>
    </row>
    <row r="458" spans="1:9" s="140" customFormat="1" ht="12.75" x14ac:dyDescent="0.25">
      <c r="B458" s="155"/>
      <c r="C458" s="152"/>
      <c r="D458" s="152"/>
      <c r="E458" s="361"/>
      <c r="F458" s="151"/>
      <c r="G458" s="362"/>
      <c r="H458" s="134"/>
    </row>
    <row r="459" spans="1:9" s="140" customFormat="1" ht="12.75" x14ac:dyDescent="0.25">
      <c r="B459" s="155"/>
      <c r="C459" s="152"/>
      <c r="D459" s="152"/>
      <c r="E459" s="361"/>
      <c r="F459" s="151"/>
      <c r="G459" s="362"/>
      <c r="H459" s="134"/>
    </row>
    <row r="460" spans="1:9" s="140" customFormat="1" ht="12.75" x14ac:dyDescent="0.25">
      <c r="B460" s="155"/>
      <c r="C460" s="152"/>
      <c r="D460" s="152"/>
      <c r="E460" s="361"/>
      <c r="F460" s="151"/>
      <c r="G460" s="362"/>
      <c r="H460" s="134"/>
    </row>
    <row r="461" spans="1:9" s="140" customFormat="1" ht="12.75" x14ac:dyDescent="0.25">
      <c r="B461" s="155"/>
      <c r="C461" s="152"/>
      <c r="D461" s="152"/>
      <c r="E461" s="361"/>
      <c r="F461" s="151"/>
      <c r="G461" s="362"/>
      <c r="H461" s="134"/>
    </row>
    <row r="462" spans="1:9" s="140" customFormat="1" ht="12.75" x14ac:dyDescent="0.25">
      <c r="B462" s="155"/>
      <c r="C462" s="152"/>
      <c r="D462" s="152"/>
      <c r="E462" s="361"/>
      <c r="F462" s="151"/>
      <c r="G462" s="362"/>
      <c r="H462" s="134"/>
    </row>
    <row r="463" spans="1:9" s="140" customFormat="1" ht="13.5" thickBot="1" x14ac:dyDescent="0.3">
      <c r="B463" s="155"/>
      <c r="C463" s="152"/>
      <c r="D463" s="152"/>
      <c r="E463" s="361"/>
      <c r="F463" s="151"/>
      <c r="G463" s="362"/>
      <c r="H463" s="134"/>
    </row>
    <row r="464" spans="1:9" s="140" customFormat="1" ht="13.5" thickBot="1" x14ac:dyDescent="0.3">
      <c r="B464" s="157"/>
      <c r="C464" s="159"/>
      <c r="D464" s="159"/>
      <c r="E464" s="369"/>
      <c r="F464" s="158"/>
      <c r="G464" s="363"/>
      <c r="H464" s="161">
        <f>+SUM(G452:G464)</f>
        <v>35861.805</v>
      </c>
      <c r="I464" s="134"/>
    </row>
    <row r="465" spans="2:9" s="140" customFormat="1" ht="13.5" thickBot="1" x14ac:dyDescent="0.3">
      <c r="B465" s="162"/>
      <c r="C465" s="162"/>
      <c r="D465" s="162"/>
      <c r="E465" s="364"/>
      <c r="F465" s="163"/>
      <c r="G465" s="364"/>
      <c r="H465" s="165"/>
    </row>
    <row r="466" spans="2:9" s="140" customFormat="1" ht="13.5" thickBot="1" x14ac:dyDescent="0.3">
      <c r="B466" s="143" t="s">
        <v>5410</v>
      </c>
      <c r="C466" s="144" t="s">
        <v>867</v>
      </c>
      <c r="D466" s="144" t="s">
        <v>6</v>
      </c>
      <c r="E466" s="370" t="s">
        <v>870</v>
      </c>
      <c r="F466" s="144" t="s">
        <v>5411</v>
      </c>
      <c r="G466" s="365" t="s">
        <v>868</v>
      </c>
      <c r="H466" s="134"/>
    </row>
    <row r="467" spans="2:9" s="140" customFormat="1" ht="12.75" x14ac:dyDescent="0.25">
      <c r="B467" s="201"/>
      <c r="C467" s="147"/>
      <c r="D467" s="211"/>
      <c r="E467" s="366"/>
      <c r="F467" s="211"/>
      <c r="G467" s="367"/>
      <c r="H467" s="134"/>
    </row>
    <row r="468" spans="2:9" s="140" customFormat="1" ht="12.75" x14ac:dyDescent="0.25">
      <c r="B468" s="196"/>
      <c r="C468" s="151"/>
      <c r="D468" s="274"/>
      <c r="E468" s="346"/>
      <c r="F468" s="147"/>
      <c r="G468" s="172"/>
      <c r="H468" s="134"/>
    </row>
    <row r="469" spans="2:9" s="140" customFormat="1" ht="12.75" x14ac:dyDescent="0.25">
      <c r="B469" s="155"/>
      <c r="C469" s="152"/>
      <c r="D469" s="152"/>
      <c r="E469" s="152"/>
      <c r="F469" s="151"/>
      <c r="G469" s="156"/>
      <c r="H469" s="134"/>
    </row>
    <row r="470" spans="2:9" s="140" customFormat="1" ht="12.75" x14ac:dyDescent="0.25">
      <c r="B470" s="155"/>
      <c r="C470" s="152"/>
      <c r="D470" s="152"/>
      <c r="E470" s="152"/>
      <c r="F470" s="151"/>
      <c r="G470" s="156"/>
      <c r="H470" s="134"/>
    </row>
    <row r="471" spans="2:9" s="140" customFormat="1" ht="13.5" thickBot="1" x14ac:dyDescent="0.3">
      <c r="B471" s="155"/>
      <c r="C471" s="152"/>
      <c r="D471" s="152"/>
      <c r="E471" s="152"/>
      <c r="F471" s="151"/>
      <c r="G471" s="156"/>
      <c r="H471" s="134"/>
    </row>
    <row r="472" spans="2:9" s="140" customFormat="1" ht="13.5" thickBot="1" x14ac:dyDescent="0.3">
      <c r="B472" s="157"/>
      <c r="C472" s="159"/>
      <c r="D472" s="159"/>
      <c r="E472" s="159"/>
      <c r="F472" s="158"/>
      <c r="G472" s="160"/>
      <c r="H472" s="161">
        <f>+SUM(G467:G472)</f>
        <v>0</v>
      </c>
      <c r="I472" s="134"/>
    </row>
    <row r="473" spans="2:9" s="140" customFormat="1" ht="13.5" thickBot="1" x14ac:dyDescent="0.3">
      <c r="B473" s="162"/>
      <c r="C473" s="162"/>
      <c r="D473" s="162"/>
      <c r="E473" s="162"/>
      <c r="F473" s="173"/>
      <c r="G473" s="174"/>
      <c r="H473" s="165"/>
    </row>
    <row r="474" spans="2:9" s="140" customFormat="1" ht="13.5" thickBot="1" x14ac:dyDescent="0.3">
      <c r="B474" s="143" t="s">
        <v>5412</v>
      </c>
      <c r="C474" s="193" t="s">
        <v>5420</v>
      </c>
      <c r="D474" s="193" t="s">
        <v>5421</v>
      </c>
      <c r="E474" s="193" t="s">
        <v>5413</v>
      </c>
      <c r="F474" s="144" t="s">
        <v>5405</v>
      </c>
      <c r="G474" s="145" t="s">
        <v>868</v>
      </c>
      <c r="H474" s="134"/>
    </row>
    <row r="475" spans="2:9" s="140" customFormat="1" ht="12.75" x14ac:dyDescent="0.25">
      <c r="B475" s="194" t="s">
        <v>5948</v>
      </c>
      <c r="C475" s="345">
        <v>70000</v>
      </c>
      <c r="D475" s="345">
        <v>53961.351755041069</v>
      </c>
      <c r="E475" s="345">
        <v>117445.29499626586</v>
      </c>
      <c r="F475" s="192">
        <v>50</v>
      </c>
      <c r="G475" s="351">
        <f>+E475/F475</f>
        <v>2348.905899925317</v>
      </c>
      <c r="H475" s="134"/>
    </row>
    <row r="476" spans="2:9" s="140" customFormat="1" ht="12.75" x14ac:dyDescent="0.25">
      <c r="B476" s="194" t="s">
        <v>5949</v>
      </c>
      <c r="C476" s="345">
        <v>40000</v>
      </c>
      <c r="D476" s="345">
        <v>26980.675877520534</v>
      </c>
      <c r="E476" s="345">
        <v>58722.64749813293</v>
      </c>
      <c r="F476" s="192">
        <v>5</v>
      </c>
      <c r="G476" s="351">
        <f>+E476/F476</f>
        <v>11744.529499626586</v>
      </c>
      <c r="H476" s="134"/>
    </row>
    <row r="477" spans="2:9" s="140" customFormat="1" ht="12.75" x14ac:dyDescent="0.25">
      <c r="B477" s="195" t="s">
        <v>5635</v>
      </c>
      <c r="C477" s="345">
        <v>20600</v>
      </c>
      <c r="D477" s="345">
        <v>16188.405526512322</v>
      </c>
      <c r="E477" s="345">
        <v>35233.588498879762</v>
      </c>
      <c r="F477" s="192">
        <v>5</v>
      </c>
      <c r="G477" s="351">
        <f>+E477/F477</f>
        <v>7046.7176997759525</v>
      </c>
      <c r="H477" s="134"/>
    </row>
    <row r="478" spans="2:9" s="140" customFormat="1" ht="12.75" x14ac:dyDescent="0.25">
      <c r="B478" s="155"/>
      <c r="C478" s="152"/>
      <c r="D478" s="152"/>
      <c r="E478" s="152"/>
      <c r="F478" s="151"/>
      <c r="G478" s="156"/>
      <c r="H478" s="134"/>
    </row>
    <row r="479" spans="2:9" s="140" customFormat="1" ht="12.75" x14ac:dyDescent="0.25">
      <c r="B479" s="155"/>
      <c r="C479" s="152"/>
      <c r="D479" s="152"/>
      <c r="E479" s="152"/>
      <c r="F479" s="151"/>
      <c r="G479" s="156"/>
      <c r="H479" s="134"/>
    </row>
    <row r="480" spans="2:9" s="140" customFormat="1" ht="13.5" thickBot="1" x14ac:dyDescent="0.3">
      <c r="B480" s="155"/>
      <c r="C480" s="152"/>
      <c r="D480" s="152"/>
      <c r="E480" s="152"/>
      <c r="F480" s="151"/>
      <c r="G480" s="156"/>
      <c r="H480" s="134"/>
    </row>
    <row r="481" spans="1:17" s="140" customFormat="1" ht="13.5" thickBot="1" x14ac:dyDescent="0.3">
      <c r="B481" s="179"/>
      <c r="C481" s="180"/>
      <c r="D481" s="180"/>
      <c r="E481" s="180"/>
      <c r="F481" s="181"/>
      <c r="G481" s="182"/>
      <c r="H481" s="161">
        <f>+SUM(G475:G481)</f>
        <v>21140.153099327857</v>
      </c>
      <c r="I481" s="134"/>
    </row>
    <row r="482" spans="1:17" s="140" customFormat="1" ht="13.5" thickBot="1" x14ac:dyDescent="0.3">
      <c r="F482" s="141"/>
      <c r="G482" s="134"/>
      <c r="H482" s="134"/>
    </row>
    <row r="483" spans="1:17" s="140" customFormat="1" ht="13.5" thickBot="1" x14ac:dyDescent="0.3">
      <c r="E483" s="183" t="s">
        <v>5415</v>
      </c>
      <c r="F483" s="141"/>
      <c r="G483" s="134"/>
      <c r="H483" s="161">
        <f>ROUND(+H449+H464+H472+H481,0)</f>
        <v>59916</v>
      </c>
    </row>
    <row r="484" spans="1:17" s="8" customFormat="1" ht="12.75" x14ac:dyDescent="0.25">
      <c r="F484" s="133"/>
    </row>
    <row r="485" spans="1:17" s="8" customFormat="1" ht="12.75" x14ac:dyDescent="0.25">
      <c r="F485" s="133"/>
      <c r="H485" s="368"/>
    </row>
    <row r="486" spans="1:17" s="8" customFormat="1" ht="12.75" x14ac:dyDescent="0.25">
      <c r="F486" s="133"/>
    </row>
    <row r="487" spans="1:17" s="8" customFormat="1" ht="12.75" x14ac:dyDescent="0.25">
      <c r="F487" s="133"/>
    </row>
    <row r="488" spans="1:17" s="8" customFormat="1" ht="18.75" x14ac:dyDescent="0.25">
      <c r="A488" s="133"/>
      <c r="B488" s="2506" t="s">
        <v>5400</v>
      </c>
      <c r="C488" s="2506"/>
      <c r="D488" s="2506"/>
      <c r="E488" s="2506"/>
      <c r="F488" s="2506"/>
      <c r="G488" s="2506"/>
      <c r="I488" s="133"/>
      <c r="J488" s="2506" t="s">
        <v>5400</v>
      </c>
      <c r="K488" s="2506"/>
      <c r="L488" s="2506"/>
      <c r="M488" s="2506"/>
      <c r="N488" s="2506"/>
      <c r="O488" s="2506"/>
      <c r="P488" s="2506"/>
    </row>
    <row r="489" spans="1:17" s="8" customFormat="1" ht="12.75" x14ac:dyDescent="0.25">
      <c r="A489" s="133"/>
      <c r="F489" s="133"/>
      <c r="G489" s="134"/>
      <c r="I489" s="133"/>
      <c r="O489" s="133"/>
      <c r="P489" s="134"/>
    </row>
    <row r="490" spans="1:17" s="8" customFormat="1" ht="12.75" x14ac:dyDescent="0.25">
      <c r="A490" s="133"/>
      <c r="F490" s="133"/>
      <c r="G490" s="134"/>
      <c r="I490" s="133"/>
      <c r="O490" s="133"/>
      <c r="P490" s="134"/>
    </row>
    <row r="491" spans="1:17" s="8" customFormat="1" ht="12.75" x14ac:dyDescent="0.25">
      <c r="A491" s="133"/>
      <c r="F491" s="133"/>
      <c r="G491" s="134"/>
      <c r="I491" s="133"/>
      <c r="O491" s="133"/>
      <c r="P491" s="134"/>
    </row>
    <row r="492" spans="1:17" s="140" customFormat="1" ht="12.75" x14ac:dyDescent="0.25">
      <c r="A492" s="138" t="s">
        <v>3</v>
      </c>
      <c r="B492" s="138" t="s">
        <v>797</v>
      </c>
      <c r="C492" s="2451" t="s">
        <v>5592</v>
      </c>
      <c r="D492" s="2451"/>
      <c r="E492" s="2451"/>
      <c r="F492" s="138" t="s">
        <v>867</v>
      </c>
      <c r="G492" s="139" t="s">
        <v>5418</v>
      </c>
      <c r="H492" s="134"/>
      <c r="I492" s="138" t="s">
        <v>3</v>
      </c>
      <c r="J492" s="138" t="s">
        <v>797</v>
      </c>
      <c r="K492" s="2451" t="s">
        <v>5930</v>
      </c>
      <c r="L492" s="2451"/>
      <c r="M492" s="2451"/>
      <c r="N492" s="2451"/>
      <c r="O492" s="138" t="s">
        <v>867</v>
      </c>
      <c r="P492" s="139" t="s">
        <v>5418</v>
      </c>
      <c r="Q492" s="134"/>
    </row>
    <row r="493" spans="1:17" s="140" customFormat="1" ht="12.75" x14ac:dyDescent="0.25">
      <c r="A493" s="141"/>
      <c r="F493" s="141"/>
      <c r="G493" s="134"/>
      <c r="H493" s="134"/>
      <c r="I493" s="141"/>
      <c r="N493" s="141"/>
      <c r="O493" s="134"/>
      <c r="P493" s="134"/>
    </row>
    <row r="494" spans="1:17" s="140" customFormat="1" ht="12.75" x14ac:dyDescent="0.25">
      <c r="A494" s="141"/>
      <c r="F494" s="141"/>
      <c r="G494" s="142"/>
      <c r="H494" s="134"/>
      <c r="I494" s="141"/>
      <c r="N494" s="141"/>
      <c r="O494" s="142"/>
      <c r="P494" s="134"/>
    </row>
    <row r="495" spans="1:17" s="140" customFormat="1" ht="13.5" thickBot="1" x14ac:dyDescent="0.3">
      <c r="A495" s="141"/>
      <c r="F495" s="141"/>
      <c r="G495" s="134"/>
      <c r="H495" s="134"/>
      <c r="I495" s="141"/>
      <c r="N495" s="141"/>
      <c r="O495" s="134"/>
      <c r="P495" s="134"/>
    </row>
    <row r="496" spans="1:17" s="140" customFormat="1" ht="13.5" thickBot="1" x14ac:dyDescent="0.3">
      <c r="A496" s="141"/>
      <c r="B496" s="143" t="s">
        <v>5403</v>
      </c>
      <c r="C496" s="144" t="s">
        <v>867</v>
      </c>
      <c r="D496" s="144" t="s">
        <v>6</v>
      </c>
      <c r="E496" s="144" t="s">
        <v>5404</v>
      </c>
      <c r="F496" s="144" t="s">
        <v>5405</v>
      </c>
      <c r="G496" s="145" t="s">
        <v>868</v>
      </c>
      <c r="H496" s="134"/>
      <c r="I496" s="141"/>
      <c r="J496" s="143" t="s">
        <v>5403</v>
      </c>
      <c r="K496" s="144" t="s">
        <v>867</v>
      </c>
      <c r="L496" s="144" t="s">
        <v>6</v>
      </c>
      <c r="M496" s="144" t="s">
        <v>5404</v>
      </c>
      <c r="N496" s="144" t="s">
        <v>5405</v>
      </c>
      <c r="O496" s="145" t="s">
        <v>868</v>
      </c>
      <c r="P496" s="134"/>
    </row>
    <row r="497" spans="1:16" s="140" customFormat="1" ht="12.75" x14ac:dyDescent="0.25">
      <c r="A497" s="141"/>
      <c r="B497" s="146" t="s">
        <v>5440</v>
      </c>
      <c r="C497" s="147" t="s">
        <v>5406</v>
      </c>
      <c r="D497" s="148"/>
      <c r="E497" s="434">
        <f>+H535</f>
        <v>20748.668782673638</v>
      </c>
      <c r="F497" s="191">
        <v>0.1</v>
      </c>
      <c r="G497" s="360">
        <f>+E497*F497</f>
        <v>2074.866878267364</v>
      </c>
      <c r="H497" s="134"/>
      <c r="I497" s="141"/>
      <c r="J497" s="146" t="s">
        <v>5440</v>
      </c>
      <c r="K497" s="147" t="s">
        <v>5406</v>
      </c>
      <c r="L497" s="148"/>
      <c r="M497" s="148">
        <f>+P535</f>
        <v>30074.315409509589</v>
      </c>
      <c r="N497" s="191">
        <v>0.1</v>
      </c>
      <c r="O497" s="360">
        <f>+M497*N497</f>
        <v>3007.4315409509591</v>
      </c>
      <c r="P497" s="134"/>
    </row>
    <row r="498" spans="1:16" s="140" customFormat="1" ht="12.75" x14ac:dyDescent="0.25">
      <c r="A498" s="141"/>
      <c r="B498" s="150" t="s">
        <v>6010</v>
      </c>
      <c r="C498" s="151" t="s">
        <v>5414</v>
      </c>
      <c r="D498" s="152"/>
      <c r="E498" s="361">
        <v>60000</v>
      </c>
      <c r="F498" s="192">
        <v>100</v>
      </c>
      <c r="G498" s="360">
        <f>+E498/F498</f>
        <v>600</v>
      </c>
      <c r="H498" s="134"/>
      <c r="I498" s="141"/>
      <c r="J498" s="150" t="s">
        <v>6010</v>
      </c>
      <c r="K498" s="151" t="s">
        <v>5414</v>
      </c>
      <c r="L498" s="152"/>
      <c r="M498" s="148">
        <v>60000</v>
      </c>
      <c r="N498" s="192">
        <v>100</v>
      </c>
      <c r="O498" s="360">
        <f>+M498/N498</f>
        <v>600</v>
      </c>
      <c r="P498" s="134"/>
    </row>
    <row r="499" spans="1:16" s="140" customFormat="1" ht="12.75" x14ac:dyDescent="0.25">
      <c r="A499" s="141"/>
      <c r="B499" s="154"/>
      <c r="C499" s="151"/>
      <c r="D499" s="152"/>
      <c r="E499" s="361"/>
      <c r="F499" s="153"/>
      <c r="G499" s="360"/>
      <c r="H499" s="134"/>
      <c r="I499" s="141"/>
      <c r="J499" s="154"/>
      <c r="K499" s="151"/>
      <c r="L499" s="152"/>
      <c r="M499" s="148"/>
      <c r="N499" s="153"/>
      <c r="O499" s="360"/>
      <c r="P499" s="134"/>
    </row>
    <row r="500" spans="1:16" s="140" customFormat="1" ht="12.75" x14ac:dyDescent="0.25">
      <c r="A500" s="141"/>
      <c r="B500" s="155"/>
      <c r="C500" s="151"/>
      <c r="D500" s="152"/>
      <c r="E500" s="361"/>
      <c r="F500" s="151"/>
      <c r="G500" s="362"/>
      <c r="H500" s="134"/>
      <c r="I500" s="141"/>
      <c r="J500" s="155"/>
      <c r="K500" s="151"/>
      <c r="L500" s="152"/>
      <c r="M500" s="152"/>
      <c r="N500" s="151"/>
      <c r="O500" s="362"/>
      <c r="P500" s="134"/>
    </row>
    <row r="501" spans="1:16" s="140" customFormat="1" ht="12.75" x14ac:dyDescent="0.25">
      <c r="A501" s="141"/>
      <c r="B501" s="155"/>
      <c r="C501" s="151"/>
      <c r="D501" s="152"/>
      <c r="E501" s="361"/>
      <c r="F501" s="151"/>
      <c r="G501" s="362"/>
      <c r="H501" s="134"/>
      <c r="I501" s="141"/>
      <c r="J501" s="155"/>
      <c r="K501" s="151"/>
      <c r="L501" s="152"/>
      <c r="M501" s="152"/>
      <c r="N501" s="151"/>
      <c r="O501" s="362"/>
      <c r="P501" s="134"/>
    </row>
    <row r="502" spans="1:16" s="140" customFormat="1" ht="13.5" thickBot="1" x14ac:dyDescent="0.3">
      <c r="A502" s="141"/>
      <c r="B502" s="155"/>
      <c r="C502" s="151"/>
      <c r="D502" s="152"/>
      <c r="E502" s="361"/>
      <c r="F502" s="151"/>
      <c r="G502" s="362"/>
      <c r="H502" s="134"/>
      <c r="I502" s="141"/>
      <c r="J502" s="155"/>
      <c r="K502" s="151"/>
      <c r="L502" s="152"/>
      <c r="M502" s="152"/>
      <c r="N502" s="151"/>
      <c r="O502" s="362"/>
      <c r="P502" s="134"/>
    </row>
    <row r="503" spans="1:16" s="140" customFormat="1" ht="13.5" thickBot="1" x14ac:dyDescent="0.3">
      <c r="A503" s="141"/>
      <c r="B503" s="157"/>
      <c r="C503" s="158"/>
      <c r="D503" s="159"/>
      <c r="E503" s="369"/>
      <c r="F503" s="158"/>
      <c r="G503" s="363"/>
      <c r="H503" s="161">
        <f>+SUM(G497:G503)</f>
        <v>2674.866878267364</v>
      </c>
      <c r="I503" s="141"/>
      <c r="J503" s="157"/>
      <c r="K503" s="158"/>
      <c r="L503" s="159"/>
      <c r="M503" s="159"/>
      <c r="N503" s="158"/>
      <c r="O503" s="363"/>
      <c r="P503" s="161">
        <f>+SUM(O497:O503)</f>
        <v>3607.4315409509591</v>
      </c>
    </row>
    <row r="504" spans="1:16" s="140" customFormat="1" ht="13.5" thickBot="1" x14ac:dyDescent="0.3">
      <c r="A504" s="141"/>
      <c r="B504" s="162"/>
      <c r="C504" s="163"/>
      <c r="D504" s="162"/>
      <c r="E504" s="364"/>
      <c r="F504" s="163"/>
      <c r="G504" s="364"/>
      <c r="H504" s="165"/>
      <c r="I504" s="141"/>
      <c r="J504" s="162"/>
      <c r="K504" s="163"/>
      <c r="L504" s="162"/>
      <c r="M504" s="162"/>
      <c r="N504" s="163"/>
      <c r="O504" s="364"/>
      <c r="P504" s="165"/>
    </row>
    <row r="505" spans="1:16" s="140" customFormat="1" ht="13.5" thickBot="1" x14ac:dyDescent="0.3">
      <c r="B505" s="143" t="s">
        <v>5408</v>
      </c>
      <c r="C505" s="144" t="s">
        <v>867</v>
      </c>
      <c r="D505" s="144" t="s">
        <v>6</v>
      </c>
      <c r="E505" s="370" t="s">
        <v>870</v>
      </c>
      <c r="F505" s="144" t="s">
        <v>5409</v>
      </c>
      <c r="G505" s="365" t="s">
        <v>868</v>
      </c>
      <c r="H505" s="134"/>
      <c r="J505" s="143" t="s">
        <v>5408</v>
      </c>
      <c r="K505" s="144" t="s">
        <v>867</v>
      </c>
      <c r="L505" s="144" t="s">
        <v>6</v>
      </c>
      <c r="M505" s="144" t="s">
        <v>870</v>
      </c>
      <c r="N505" s="144" t="s">
        <v>5409</v>
      </c>
      <c r="O505" s="365" t="s">
        <v>868</v>
      </c>
      <c r="P505" s="134"/>
    </row>
    <row r="506" spans="1:16" s="140" customFormat="1" ht="12.75" x14ac:dyDescent="0.25">
      <c r="B506" s="201" t="s">
        <v>6011</v>
      </c>
      <c r="C506" s="147" t="s">
        <v>5591</v>
      </c>
      <c r="D506" s="211">
        <v>1</v>
      </c>
      <c r="E506" s="366">
        <v>30700</v>
      </c>
      <c r="F506" s="169">
        <v>0.05</v>
      </c>
      <c r="G506" s="367">
        <f>+D506*E506*(1+F506)</f>
        <v>32235</v>
      </c>
      <c r="H506" s="134"/>
      <c r="J506" s="166" t="s">
        <v>6012</v>
      </c>
      <c r="K506" s="147" t="s">
        <v>5591</v>
      </c>
      <c r="L506" s="211">
        <v>1</v>
      </c>
      <c r="M506" s="366">
        <v>35000</v>
      </c>
      <c r="N506" s="169">
        <v>0.1</v>
      </c>
      <c r="O506" s="367">
        <f>+L506*M506*(1+N506)</f>
        <v>38500</v>
      </c>
      <c r="P506" s="134"/>
    </row>
    <row r="507" spans="1:16" s="140" customFormat="1" ht="12.75" x14ac:dyDescent="0.25">
      <c r="B507" s="196" t="s">
        <v>6013</v>
      </c>
      <c r="C507" s="151" t="s">
        <v>5430</v>
      </c>
      <c r="D507" s="212">
        <v>0.1</v>
      </c>
      <c r="E507" s="361">
        <f>+'APU CAP 1-2'!H2965</f>
        <v>80534</v>
      </c>
      <c r="F507" s="169">
        <v>0.05</v>
      </c>
      <c r="G507" s="367">
        <f>+D507*E507*(1+F507)</f>
        <v>8456.0700000000015</v>
      </c>
      <c r="H507" s="134"/>
      <c r="J507" s="155" t="s">
        <v>6014</v>
      </c>
      <c r="K507" s="151" t="s">
        <v>5430</v>
      </c>
      <c r="L507" s="212">
        <v>0.1</v>
      </c>
      <c r="M507" s="361">
        <f>+'APU CAP 1-2'!H2965</f>
        <v>80534</v>
      </c>
      <c r="N507" s="169">
        <v>0.05</v>
      </c>
      <c r="O507" s="367">
        <f>+L507*M507*(1+N507)</f>
        <v>8456.0700000000015</v>
      </c>
      <c r="P507" s="134"/>
    </row>
    <row r="508" spans="1:16" s="140" customFormat="1" ht="12.75" x14ac:dyDescent="0.25">
      <c r="B508" s="196"/>
      <c r="C508" s="151"/>
      <c r="D508" s="274"/>
      <c r="E508" s="361"/>
      <c r="F508" s="169"/>
      <c r="G508" s="367"/>
      <c r="H508" s="134"/>
      <c r="J508" s="196"/>
      <c r="K508" s="151"/>
      <c r="L508" s="274"/>
      <c r="M508" s="366"/>
      <c r="N508" s="169"/>
      <c r="O508" s="367"/>
      <c r="P508" s="134"/>
    </row>
    <row r="509" spans="1:16" s="140" customFormat="1" ht="12.75" x14ac:dyDescent="0.25">
      <c r="B509" s="155"/>
      <c r="C509" s="152"/>
      <c r="D509" s="152"/>
      <c r="E509" s="361"/>
      <c r="F509" s="151"/>
      <c r="G509" s="362"/>
      <c r="H509" s="134"/>
      <c r="J509" s="155"/>
      <c r="K509" s="152"/>
      <c r="L509" s="152"/>
      <c r="M509" s="152"/>
      <c r="N509" s="151"/>
      <c r="O509" s="362"/>
      <c r="P509" s="134"/>
    </row>
    <row r="510" spans="1:16" s="140" customFormat="1" ht="12.75" x14ac:dyDescent="0.25">
      <c r="B510" s="155"/>
      <c r="C510" s="152"/>
      <c r="D510" s="152"/>
      <c r="E510" s="361"/>
      <c r="F510" s="151"/>
      <c r="G510" s="362"/>
      <c r="H510" s="134"/>
      <c r="J510" s="155"/>
      <c r="K510" s="152"/>
      <c r="L510" s="152"/>
      <c r="M510" s="152"/>
      <c r="N510" s="151"/>
      <c r="O510" s="362"/>
      <c r="P510" s="134"/>
    </row>
    <row r="511" spans="1:16" s="140" customFormat="1" ht="12.75" x14ac:dyDescent="0.25">
      <c r="B511" s="155"/>
      <c r="C511" s="152"/>
      <c r="D511" s="152"/>
      <c r="E511" s="361"/>
      <c r="F511" s="151"/>
      <c r="G511" s="362"/>
      <c r="H511" s="134"/>
      <c r="J511" s="155"/>
      <c r="K511" s="152"/>
      <c r="L511" s="152"/>
      <c r="M511" s="152"/>
      <c r="N511" s="151"/>
      <c r="O511" s="362"/>
      <c r="P511" s="134"/>
    </row>
    <row r="512" spans="1:16" s="140" customFormat="1" ht="12.75" x14ac:dyDescent="0.25">
      <c r="B512" s="155"/>
      <c r="C512" s="152"/>
      <c r="D512" s="152"/>
      <c r="E512" s="361"/>
      <c r="F512" s="151"/>
      <c r="G512" s="362"/>
      <c r="H512" s="134"/>
      <c r="J512" s="155"/>
      <c r="K512" s="152"/>
      <c r="L512" s="152"/>
      <c r="M512" s="152"/>
      <c r="N512" s="151"/>
      <c r="O512" s="362"/>
      <c r="P512" s="134"/>
    </row>
    <row r="513" spans="2:16" s="140" customFormat="1" ht="12.75" x14ac:dyDescent="0.25">
      <c r="B513" s="155"/>
      <c r="C513" s="152"/>
      <c r="D513" s="152"/>
      <c r="E513" s="361"/>
      <c r="F513" s="151"/>
      <c r="G513" s="362"/>
      <c r="H513" s="134"/>
      <c r="J513" s="155"/>
      <c r="K513" s="152"/>
      <c r="L513" s="152"/>
      <c r="M513" s="152"/>
      <c r="N513" s="151"/>
      <c r="O513" s="362"/>
      <c r="P513" s="134"/>
    </row>
    <row r="514" spans="2:16" s="140" customFormat="1" ht="12.75" x14ac:dyDescent="0.25">
      <c r="B514" s="155"/>
      <c r="C514" s="152"/>
      <c r="D514" s="152"/>
      <c r="E514" s="361"/>
      <c r="F514" s="151"/>
      <c r="G514" s="362"/>
      <c r="H514" s="134"/>
      <c r="J514" s="155"/>
      <c r="K514" s="152"/>
      <c r="L514" s="152"/>
      <c r="M514" s="152"/>
      <c r="N514" s="151"/>
      <c r="O514" s="362"/>
      <c r="P514" s="134"/>
    </row>
    <row r="515" spans="2:16" s="140" customFormat="1" ht="12.75" x14ac:dyDescent="0.25">
      <c r="B515" s="155"/>
      <c r="C515" s="152"/>
      <c r="D515" s="152"/>
      <c r="E515" s="361"/>
      <c r="F515" s="151"/>
      <c r="G515" s="362"/>
      <c r="H515" s="134"/>
      <c r="J515" s="155"/>
      <c r="K515" s="152"/>
      <c r="L515" s="152"/>
      <c r="M515" s="152"/>
      <c r="N515" s="151"/>
      <c r="O515" s="362"/>
      <c r="P515" s="134"/>
    </row>
    <row r="516" spans="2:16" s="140" customFormat="1" ht="12.75" x14ac:dyDescent="0.25">
      <c r="B516" s="155"/>
      <c r="C516" s="152"/>
      <c r="D516" s="152"/>
      <c r="E516" s="361"/>
      <c r="F516" s="151"/>
      <c r="G516" s="362"/>
      <c r="H516" s="134"/>
      <c r="J516" s="155"/>
      <c r="K516" s="152"/>
      <c r="L516" s="152"/>
      <c r="M516" s="152"/>
      <c r="N516" s="151"/>
      <c r="O516" s="362"/>
      <c r="P516" s="134"/>
    </row>
    <row r="517" spans="2:16" s="140" customFormat="1" ht="13.5" thickBot="1" x14ac:dyDescent="0.3">
      <c r="B517" s="155"/>
      <c r="C517" s="152"/>
      <c r="D517" s="152"/>
      <c r="E517" s="361"/>
      <c r="F517" s="151"/>
      <c r="G517" s="362"/>
      <c r="H517" s="134"/>
      <c r="J517" s="155"/>
      <c r="K517" s="152"/>
      <c r="L517" s="152"/>
      <c r="M517" s="152"/>
      <c r="N517" s="151"/>
      <c r="O517" s="362"/>
      <c r="P517" s="134"/>
    </row>
    <row r="518" spans="2:16" s="140" customFormat="1" ht="13.5" thickBot="1" x14ac:dyDescent="0.3">
      <c r="B518" s="157"/>
      <c r="C518" s="159"/>
      <c r="D518" s="159"/>
      <c r="E518" s="369"/>
      <c r="F518" s="158"/>
      <c r="G518" s="363"/>
      <c r="H518" s="161">
        <f>+SUM(G506:G518)</f>
        <v>40691.07</v>
      </c>
      <c r="J518" s="157"/>
      <c r="K518" s="159"/>
      <c r="L518" s="159"/>
      <c r="M518" s="159"/>
      <c r="N518" s="158"/>
      <c r="O518" s="363"/>
      <c r="P518" s="161">
        <f>+SUM(O506:O518)</f>
        <v>46956.07</v>
      </c>
    </row>
    <row r="519" spans="2:16" s="140" customFormat="1" ht="13.5" thickBot="1" x14ac:dyDescent="0.3">
      <c r="B519" s="162"/>
      <c r="C519" s="162"/>
      <c r="D519" s="162"/>
      <c r="E519" s="364"/>
      <c r="F519" s="163"/>
      <c r="G519" s="364"/>
      <c r="H519" s="165"/>
      <c r="J519" s="162"/>
      <c r="K519" s="162"/>
      <c r="L519" s="162"/>
      <c r="M519" s="162"/>
      <c r="N519" s="163"/>
      <c r="O519" s="364"/>
      <c r="P519" s="165"/>
    </row>
    <row r="520" spans="2:16" s="140" customFormat="1" ht="13.5" thickBot="1" x14ac:dyDescent="0.3">
      <c r="B520" s="143" t="s">
        <v>5410</v>
      </c>
      <c r="C520" s="144" t="s">
        <v>867</v>
      </c>
      <c r="D520" s="144" t="s">
        <v>6</v>
      </c>
      <c r="E520" s="370" t="s">
        <v>870</v>
      </c>
      <c r="F520" s="144" t="s">
        <v>5411</v>
      </c>
      <c r="G520" s="365" t="s">
        <v>868</v>
      </c>
      <c r="H520" s="134"/>
      <c r="J520" s="143" t="s">
        <v>5410</v>
      </c>
      <c r="K520" s="144" t="s">
        <v>867</v>
      </c>
      <c r="L520" s="144" t="s">
        <v>6</v>
      </c>
      <c r="M520" s="144" t="s">
        <v>870</v>
      </c>
      <c r="N520" s="144" t="s">
        <v>5411</v>
      </c>
      <c r="O520" s="365" t="s">
        <v>868</v>
      </c>
      <c r="P520" s="134"/>
    </row>
    <row r="521" spans="2:16" s="140" customFormat="1" ht="12.75" x14ac:dyDescent="0.25">
      <c r="B521" s="201"/>
      <c r="C521" s="147"/>
      <c r="D521" s="211"/>
      <c r="E521" s="366"/>
      <c r="F521" s="211"/>
      <c r="G521" s="367">
        <f>+D521*E521*F521</f>
        <v>0</v>
      </c>
      <c r="H521" s="134"/>
      <c r="J521" s="201"/>
      <c r="K521" s="147"/>
      <c r="L521" s="211"/>
      <c r="M521" s="366"/>
      <c r="N521" s="211"/>
      <c r="O521" s="367"/>
      <c r="P521" s="134"/>
    </row>
    <row r="522" spans="2:16" s="140" customFormat="1" ht="12.75" x14ac:dyDescent="0.25">
      <c r="B522" s="196"/>
      <c r="C522" s="151"/>
      <c r="D522" s="274"/>
      <c r="E522" s="346"/>
      <c r="F522" s="147"/>
      <c r="G522" s="172"/>
      <c r="H522" s="134"/>
      <c r="J522" s="196"/>
      <c r="K522" s="151"/>
      <c r="L522" s="274"/>
      <c r="M522" s="366"/>
      <c r="N522" s="147"/>
      <c r="O522" s="170"/>
      <c r="P522" s="134"/>
    </row>
    <row r="523" spans="2:16" s="140" customFormat="1" ht="12.75" x14ac:dyDescent="0.25">
      <c r="B523" s="155"/>
      <c r="C523" s="152"/>
      <c r="D523" s="152"/>
      <c r="E523" s="152"/>
      <c r="F523" s="151"/>
      <c r="G523" s="156"/>
      <c r="H523" s="134"/>
      <c r="J523" s="155"/>
      <c r="K523" s="152"/>
      <c r="L523" s="152"/>
      <c r="M523" s="152"/>
      <c r="N523" s="151"/>
      <c r="O523" s="156"/>
      <c r="P523" s="134"/>
    </row>
    <row r="524" spans="2:16" s="140" customFormat="1" ht="12.75" x14ac:dyDescent="0.25">
      <c r="B524" s="155"/>
      <c r="C524" s="152"/>
      <c r="D524" s="152"/>
      <c r="E524" s="152"/>
      <c r="F524" s="151"/>
      <c r="G524" s="156"/>
      <c r="H524" s="134"/>
      <c r="J524" s="155"/>
      <c r="K524" s="152"/>
      <c r="L524" s="152"/>
      <c r="M524" s="152"/>
      <c r="N524" s="151"/>
      <c r="O524" s="156"/>
      <c r="P524" s="134"/>
    </row>
    <row r="525" spans="2:16" s="140" customFormat="1" ht="13.5" thickBot="1" x14ac:dyDescent="0.3">
      <c r="B525" s="155"/>
      <c r="C525" s="152"/>
      <c r="D525" s="152"/>
      <c r="E525" s="152"/>
      <c r="F525" s="151"/>
      <c r="G525" s="156"/>
      <c r="H525" s="134"/>
      <c r="J525" s="155"/>
      <c r="K525" s="152"/>
      <c r="L525" s="152"/>
      <c r="M525" s="152"/>
      <c r="N525" s="151"/>
      <c r="O525" s="156"/>
      <c r="P525" s="134"/>
    </row>
    <row r="526" spans="2:16" s="140" customFormat="1" ht="13.5" thickBot="1" x14ac:dyDescent="0.3">
      <c r="B526" s="157"/>
      <c r="C526" s="159"/>
      <c r="D526" s="159"/>
      <c r="E526" s="159"/>
      <c r="F526" s="158"/>
      <c r="G526" s="160"/>
      <c r="H526" s="161">
        <f>+SUM(G521:G526)</f>
        <v>0</v>
      </c>
      <c r="J526" s="157"/>
      <c r="K526" s="159"/>
      <c r="L526" s="159"/>
      <c r="M526" s="159"/>
      <c r="N526" s="158"/>
      <c r="O526" s="160"/>
      <c r="P526" s="161">
        <f>+SUM(O521:O526)</f>
        <v>0</v>
      </c>
    </row>
    <row r="527" spans="2:16" s="140" customFormat="1" ht="13.5" thickBot="1" x14ac:dyDescent="0.3">
      <c r="B527" s="162"/>
      <c r="C527" s="162"/>
      <c r="D527" s="162"/>
      <c r="E527" s="162"/>
      <c r="F527" s="173"/>
      <c r="G527" s="174"/>
      <c r="H527" s="165"/>
      <c r="J527" s="162"/>
      <c r="K527" s="162"/>
      <c r="L527" s="162"/>
      <c r="M527" s="162"/>
      <c r="N527" s="173"/>
      <c r="O527" s="174"/>
      <c r="P527" s="165"/>
    </row>
    <row r="528" spans="2:16" s="140" customFormat="1" ht="13.5" thickBot="1" x14ac:dyDescent="0.3">
      <c r="B528" s="143" t="s">
        <v>5412</v>
      </c>
      <c r="C528" s="193" t="s">
        <v>5420</v>
      </c>
      <c r="D528" s="193" t="s">
        <v>5421</v>
      </c>
      <c r="E528" s="193" t="s">
        <v>5413</v>
      </c>
      <c r="F528" s="144" t="s">
        <v>5405</v>
      </c>
      <c r="G528" s="145" t="s">
        <v>868</v>
      </c>
      <c r="H528" s="134"/>
      <c r="J528" s="143" t="s">
        <v>5412</v>
      </c>
      <c r="K528" s="193" t="s">
        <v>5420</v>
      </c>
      <c r="L528" s="193" t="s">
        <v>5421</v>
      </c>
      <c r="M528" s="144" t="s">
        <v>5413</v>
      </c>
      <c r="N528" s="144" t="s">
        <v>5405</v>
      </c>
      <c r="O528" s="145" t="s">
        <v>868</v>
      </c>
      <c r="P528" s="134"/>
    </row>
    <row r="529" spans="1:16" s="140" customFormat="1" ht="12.75" x14ac:dyDescent="0.25">
      <c r="B529" s="194" t="s">
        <v>5948</v>
      </c>
      <c r="C529" s="345">
        <v>70000</v>
      </c>
      <c r="D529" s="345">
        <v>53961.351755041069</v>
      </c>
      <c r="E529" s="345">
        <v>117445.29499626586</v>
      </c>
      <c r="F529" s="192">
        <v>60</v>
      </c>
      <c r="G529" s="351">
        <f>+E529/F529</f>
        <v>1957.4215832710977</v>
      </c>
      <c r="H529" s="134"/>
      <c r="J529" s="194" t="s">
        <v>5948</v>
      </c>
      <c r="K529" s="345">
        <v>70000</v>
      </c>
      <c r="L529" s="345">
        <v>53961.351755041069</v>
      </c>
      <c r="M529" s="353">
        <f>+K529+L529</f>
        <v>123961.35175504108</v>
      </c>
      <c r="N529" s="192">
        <v>30</v>
      </c>
      <c r="O529" s="351">
        <f>+M529/N529</f>
        <v>4132.0450585013696</v>
      </c>
      <c r="P529" s="134"/>
    </row>
    <row r="530" spans="1:16" s="140" customFormat="1" ht="12.75" x14ac:dyDescent="0.25">
      <c r="B530" s="194" t="s">
        <v>5949</v>
      </c>
      <c r="C530" s="345">
        <v>40000</v>
      </c>
      <c r="D530" s="345">
        <v>26980.675877520534</v>
      </c>
      <c r="E530" s="345">
        <v>58722.64749813293</v>
      </c>
      <c r="F530" s="192">
        <v>5</v>
      </c>
      <c r="G530" s="351">
        <f>+E530/F530</f>
        <v>11744.529499626586</v>
      </c>
      <c r="H530" s="134"/>
      <c r="J530" s="194" t="s">
        <v>5949</v>
      </c>
      <c r="K530" s="345">
        <v>40000</v>
      </c>
      <c r="L530" s="345">
        <v>26980.675877520534</v>
      </c>
      <c r="M530" s="353">
        <f>+K530+L530</f>
        <v>66980.675877520538</v>
      </c>
      <c r="N530" s="192">
        <v>4</v>
      </c>
      <c r="O530" s="351">
        <f>+M530/N530</f>
        <v>16745.168969380135</v>
      </c>
      <c r="P530" s="134"/>
    </row>
    <row r="531" spans="1:16" s="140" customFormat="1" ht="12.75" x14ac:dyDescent="0.25">
      <c r="B531" s="195" t="s">
        <v>5635</v>
      </c>
      <c r="C531" s="345">
        <v>20600</v>
      </c>
      <c r="D531" s="345">
        <v>16188.405526512322</v>
      </c>
      <c r="E531" s="345">
        <v>35233.588498879762</v>
      </c>
      <c r="F531" s="192">
        <v>5</v>
      </c>
      <c r="G531" s="351">
        <f>+E531/F531</f>
        <v>7046.7176997759525</v>
      </c>
      <c r="H531" s="134"/>
      <c r="J531" s="195" t="s">
        <v>5635</v>
      </c>
      <c r="K531" s="345">
        <v>20600</v>
      </c>
      <c r="L531" s="345">
        <v>16188.405526512322</v>
      </c>
      <c r="M531" s="353">
        <f>+K531+L531</f>
        <v>36788.405526512324</v>
      </c>
      <c r="N531" s="192">
        <v>4</v>
      </c>
      <c r="O531" s="351">
        <f>+M531/N531</f>
        <v>9197.1013816280811</v>
      </c>
      <c r="P531" s="134"/>
    </row>
    <row r="532" spans="1:16" s="140" customFormat="1" ht="12.75" x14ac:dyDescent="0.25">
      <c r="B532" s="155"/>
      <c r="C532" s="152"/>
      <c r="D532" s="152"/>
      <c r="E532" s="152"/>
      <c r="F532" s="151"/>
      <c r="G532" s="156"/>
      <c r="H532" s="134"/>
      <c r="J532" s="155"/>
      <c r="K532" s="152"/>
      <c r="L532" s="152"/>
      <c r="M532" s="152"/>
      <c r="N532" s="151"/>
      <c r="O532" s="156"/>
      <c r="P532" s="134"/>
    </row>
    <row r="533" spans="1:16" s="140" customFormat="1" ht="12.75" x14ac:dyDescent="0.25">
      <c r="B533" s="155"/>
      <c r="C533" s="152"/>
      <c r="D533" s="152"/>
      <c r="E533" s="152"/>
      <c r="F533" s="151"/>
      <c r="G533" s="156"/>
      <c r="H533" s="134"/>
      <c r="J533" s="155"/>
      <c r="K533" s="152"/>
      <c r="L533" s="152"/>
      <c r="M533" s="152"/>
      <c r="N533" s="151"/>
      <c r="O533" s="156"/>
      <c r="P533" s="134"/>
    </row>
    <row r="534" spans="1:16" s="140" customFormat="1" ht="13.5" thickBot="1" x14ac:dyDescent="0.3">
      <c r="B534" s="155"/>
      <c r="C534" s="152"/>
      <c r="D534" s="152"/>
      <c r="E534" s="152"/>
      <c r="F534" s="151"/>
      <c r="G534" s="156"/>
      <c r="H534" s="134"/>
      <c r="J534" s="155"/>
      <c r="K534" s="152"/>
      <c r="L534" s="152"/>
      <c r="M534" s="152"/>
      <c r="N534" s="151"/>
      <c r="O534" s="156"/>
      <c r="P534" s="134"/>
    </row>
    <row r="535" spans="1:16" s="140" customFormat="1" ht="13.5" thickBot="1" x14ac:dyDescent="0.3">
      <c r="B535" s="179"/>
      <c r="C535" s="180"/>
      <c r="D535" s="180"/>
      <c r="E535" s="180"/>
      <c r="F535" s="181"/>
      <c r="G535" s="182"/>
      <c r="H535" s="161">
        <f>+SUM(G529:G535)</f>
        <v>20748.668782673638</v>
      </c>
      <c r="J535" s="179"/>
      <c r="K535" s="180"/>
      <c r="L535" s="180"/>
      <c r="M535" s="180"/>
      <c r="N535" s="181"/>
      <c r="O535" s="182"/>
      <c r="P535" s="161">
        <f>+SUM(O529:O535)</f>
        <v>30074.315409509589</v>
      </c>
    </row>
    <row r="536" spans="1:16" s="140" customFormat="1" ht="13.5" thickBot="1" x14ac:dyDescent="0.3">
      <c r="F536" s="141"/>
      <c r="G536" s="134"/>
      <c r="H536" s="134"/>
      <c r="N536" s="141"/>
      <c r="O536" s="134"/>
      <c r="P536" s="134"/>
    </row>
    <row r="537" spans="1:16" s="140" customFormat="1" ht="13.5" thickBot="1" x14ac:dyDescent="0.3">
      <c r="E537" s="183" t="s">
        <v>5415</v>
      </c>
      <c r="F537" s="141"/>
      <c r="G537" s="134"/>
      <c r="H537" s="161">
        <f>ROUND(+H503+H518+H526+H535,0)</f>
        <v>64115</v>
      </c>
      <c r="M537" s="183" t="s">
        <v>5415</v>
      </c>
      <c r="N537" s="141"/>
      <c r="O537" s="134"/>
      <c r="P537" s="161">
        <f>ROUND(+P503+P518+P526+P535,0)</f>
        <v>80638</v>
      </c>
    </row>
    <row r="538" spans="1:16" s="8" customFormat="1" ht="12.75" x14ac:dyDescent="0.25">
      <c r="F538" s="133"/>
    </row>
    <row r="539" spans="1:16" s="8" customFormat="1" ht="12.75" x14ac:dyDescent="0.25">
      <c r="F539" s="133"/>
      <c r="H539" s="368"/>
    </row>
    <row r="540" spans="1:16" s="8" customFormat="1" ht="12.75" x14ac:dyDescent="0.25">
      <c r="F540" s="133"/>
    </row>
    <row r="541" spans="1:16" s="8" customFormat="1" ht="12.75" x14ac:dyDescent="0.25">
      <c r="F541" s="133"/>
    </row>
    <row r="542" spans="1:16" s="8" customFormat="1" ht="18.75" x14ac:dyDescent="0.25">
      <c r="A542" s="133"/>
      <c r="B542" s="2506" t="s">
        <v>5400</v>
      </c>
      <c r="C542" s="2506"/>
      <c r="D542" s="2506"/>
      <c r="E542" s="2506"/>
      <c r="F542" s="2506"/>
      <c r="G542" s="2506"/>
      <c r="I542" s="133"/>
      <c r="J542" s="2506" t="s">
        <v>5400</v>
      </c>
      <c r="K542" s="2506"/>
      <c r="L542" s="2506"/>
      <c r="M542" s="2506"/>
      <c r="N542" s="2506"/>
      <c r="O542" s="2506"/>
    </row>
    <row r="543" spans="1:16" s="8" customFormat="1" ht="12.75" x14ac:dyDescent="0.25">
      <c r="A543" s="133"/>
      <c r="F543" s="133"/>
      <c r="G543" s="134"/>
      <c r="I543" s="133"/>
      <c r="N543" s="133"/>
      <c r="O543" s="134"/>
    </row>
    <row r="544" spans="1:16" s="8" customFormat="1" ht="12.75" x14ac:dyDescent="0.25">
      <c r="A544" s="133"/>
      <c r="F544" s="133"/>
      <c r="G544" s="134"/>
      <c r="I544" s="133"/>
      <c r="N544" s="133"/>
      <c r="O544" s="134"/>
    </row>
    <row r="545" spans="1:17" s="8" customFormat="1" ht="12.75" x14ac:dyDescent="0.25">
      <c r="A545" s="133"/>
      <c r="F545" s="133"/>
      <c r="G545" s="134"/>
      <c r="I545" s="133"/>
      <c r="N545" s="133"/>
      <c r="O545" s="134"/>
    </row>
    <row r="546" spans="1:17" s="140" customFormat="1" ht="12.75" x14ac:dyDescent="0.25">
      <c r="A546" s="138" t="s">
        <v>3</v>
      </c>
      <c r="B546" s="138" t="s">
        <v>792</v>
      </c>
      <c r="C546" s="2451" t="s">
        <v>5931</v>
      </c>
      <c r="D546" s="2451"/>
      <c r="E546" s="2451"/>
      <c r="F546" s="138" t="s">
        <v>867</v>
      </c>
      <c r="G546" s="139" t="s">
        <v>5402</v>
      </c>
      <c r="H546" s="134"/>
      <c r="I546" s="138" t="s">
        <v>3</v>
      </c>
      <c r="J546" s="138" t="s">
        <v>792</v>
      </c>
      <c r="K546" s="2451" t="s">
        <v>5931</v>
      </c>
      <c r="L546" s="2451"/>
      <c r="M546" s="2451"/>
      <c r="N546" s="138" t="s">
        <v>867</v>
      </c>
      <c r="O546" s="139" t="s">
        <v>5402</v>
      </c>
      <c r="P546" s="134"/>
    </row>
    <row r="547" spans="1:17" s="140" customFormat="1" ht="12.75" x14ac:dyDescent="0.25">
      <c r="A547" s="141"/>
      <c r="F547" s="141"/>
      <c r="G547" s="134"/>
      <c r="H547" s="134"/>
      <c r="I547" s="141"/>
      <c r="N547" s="141"/>
      <c r="O547" s="134"/>
      <c r="P547" s="134"/>
    </row>
    <row r="548" spans="1:17" s="140" customFormat="1" ht="12.75" x14ac:dyDescent="0.25">
      <c r="A548" s="141"/>
      <c r="F548" s="141"/>
      <c r="G548" s="142"/>
      <c r="H548" s="134"/>
      <c r="I548" s="141"/>
      <c r="N548" s="141"/>
      <c r="O548" s="142"/>
      <c r="P548" s="134"/>
    </row>
    <row r="549" spans="1:17" s="140" customFormat="1" ht="13.5" thickBot="1" x14ac:dyDescent="0.3">
      <c r="A549" s="141"/>
      <c r="F549" s="141"/>
      <c r="G549" s="134"/>
      <c r="H549" s="134"/>
      <c r="I549" s="141"/>
      <c r="N549" s="141"/>
      <c r="O549" s="134"/>
      <c r="P549" s="134"/>
    </row>
    <row r="550" spans="1:17" s="140" customFormat="1" ht="13.5" thickBot="1" x14ac:dyDescent="0.3">
      <c r="A550" s="141"/>
      <c r="B550" s="143" t="s">
        <v>5403</v>
      </c>
      <c r="C550" s="144" t="s">
        <v>867</v>
      </c>
      <c r="D550" s="144" t="s">
        <v>6</v>
      </c>
      <c r="E550" s="144" t="s">
        <v>5404</v>
      </c>
      <c r="F550" s="144" t="s">
        <v>5405</v>
      </c>
      <c r="G550" s="145" t="s">
        <v>868</v>
      </c>
      <c r="H550" s="134"/>
      <c r="I550" s="141"/>
      <c r="J550" s="143" t="s">
        <v>5403</v>
      </c>
      <c r="K550" s="144" t="s">
        <v>867</v>
      </c>
      <c r="L550" s="144" t="s">
        <v>6</v>
      </c>
      <c r="M550" s="144" t="s">
        <v>5404</v>
      </c>
      <c r="N550" s="144" t="s">
        <v>5405</v>
      </c>
      <c r="O550" s="145" t="s">
        <v>868</v>
      </c>
      <c r="P550" s="134"/>
    </row>
    <row r="551" spans="1:17" s="140" customFormat="1" ht="12.75" x14ac:dyDescent="0.25">
      <c r="A551" s="141"/>
      <c r="B551" s="146" t="s">
        <v>5440</v>
      </c>
      <c r="C551" s="147" t="s">
        <v>5406</v>
      </c>
      <c r="D551" s="148"/>
      <c r="E551" s="434">
        <f>+H589</f>
        <v>4932.7023898431653</v>
      </c>
      <c r="F551" s="191">
        <v>0.05</v>
      </c>
      <c r="G551" s="360">
        <f>+E551*F551</f>
        <v>246.63511949215828</v>
      </c>
      <c r="H551" s="134"/>
      <c r="I551" s="141"/>
      <c r="J551" s="146" t="s">
        <v>5440</v>
      </c>
      <c r="K551" s="147" t="s">
        <v>5406</v>
      </c>
      <c r="L551" s="148"/>
      <c r="M551" s="434">
        <f>+P589</f>
        <v>10570.076549663929</v>
      </c>
      <c r="N551" s="191">
        <v>0.05</v>
      </c>
      <c r="O551" s="360">
        <f>+M551*N551</f>
        <v>528.50382748319646</v>
      </c>
      <c r="P551" s="134"/>
    </row>
    <row r="552" spans="1:17" s="140" customFormat="1" ht="12.75" x14ac:dyDescent="0.25">
      <c r="A552" s="141"/>
      <c r="B552" s="150"/>
      <c r="C552" s="151"/>
      <c r="D552" s="152"/>
      <c r="E552" s="361"/>
      <c r="F552" s="291"/>
      <c r="G552" s="360"/>
      <c r="H552" s="134"/>
      <c r="I552" s="141"/>
      <c r="J552" s="150" t="s">
        <v>5953</v>
      </c>
      <c r="K552" s="151"/>
      <c r="L552" s="152"/>
      <c r="M552" s="361"/>
      <c r="N552" s="291"/>
      <c r="O552" s="360">
        <v>1000</v>
      </c>
      <c r="P552" s="134"/>
    </row>
    <row r="553" spans="1:17" s="140" customFormat="1" ht="12.75" x14ac:dyDescent="0.25">
      <c r="A553" s="141"/>
      <c r="B553" s="154"/>
      <c r="C553" s="151"/>
      <c r="D553" s="152"/>
      <c r="E553" s="361"/>
      <c r="F553" s="153"/>
      <c r="G553" s="360"/>
      <c r="H553" s="134"/>
      <c r="I553" s="141"/>
      <c r="J553" s="154"/>
      <c r="K553" s="151"/>
      <c r="L553" s="152"/>
      <c r="M553" s="361"/>
      <c r="N553" s="153"/>
      <c r="O553" s="360"/>
      <c r="P553" s="134"/>
    </row>
    <row r="554" spans="1:17" s="140" customFormat="1" ht="12.75" x14ac:dyDescent="0.25">
      <c r="A554" s="141"/>
      <c r="B554" s="155"/>
      <c r="C554" s="151"/>
      <c r="D554" s="152"/>
      <c r="E554" s="361"/>
      <c r="F554" s="151"/>
      <c r="G554" s="362"/>
      <c r="H554" s="134"/>
      <c r="I554" s="141"/>
      <c r="J554" s="155"/>
      <c r="K554" s="151"/>
      <c r="L554" s="152"/>
      <c r="M554" s="361"/>
      <c r="N554" s="151"/>
      <c r="O554" s="362"/>
      <c r="P554" s="134"/>
    </row>
    <row r="555" spans="1:17" s="140" customFormat="1" ht="12.75" x14ac:dyDescent="0.25">
      <c r="A555" s="141"/>
      <c r="B555" s="155"/>
      <c r="C555" s="151"/>
      <c r="D555" s="152"/>
      <c r="E555" s="361"/>
      <c r="F555" s="151"/>
      <c r="G555" s="362"/>
      <c r="H555" s="134"/>
      <c r="I555" s="141"/>
      <c r="J555" s="155"/>
      <c r="K555" s="151"/>
      <c r="L555" s="152"/>
      <c r="M555" s="361"/>
      <c r="N555" s="151"/>
      <c r="O555" s="362"/>
      <c r="P555" s="134"/>
    </row>
    <row r="556" spans="1:17" s="140" customFormat="1" ht="13.5" thickBot="1" x14ac:dyDescent="0.3">
      <c r="A556" s="141"/>
      <c r="B556" s="155"/>
      <c r="C556" s="151"/>
      <c r="D556" s="152"/>
      <c r="E556" s="361"/>
      <c r="F556" s="151"/>
      <c r="G556" s="362"/>
      <c r="H556" s="134"/>
      <c r="I556" s="141"/>
      <c r="J556" s="155"/>
      <c r="K556" s="151"/>
      <c r="L556" s="152"/>
      <c r="M556" s="361"/>
      <c r="N556" s="151"/>
      <c r="O556" s="362"/>
      <c r="P556" s="134"/>
    </row>
    <row r="557" spans="1:17" s="140" customFormat="1" ht="13.5" thickBot="1" x14ac:dyDescent="0.3">
      <c r="A557" s="141"/>
      <c r="B557" s="157"/>
      <c r="C557" s="158"/>
      <c r="D557" s="159"/>
      <c r="E557" s="369"/>
      <c r="F557" s="158"/>
      <c r="G557" s="363"/>
      <c r="H557" s="161">
        <f>+SUM(G551:G557)</f>
        <v>246.63511949215828</v>
      </c>
      <c r="I557" s="141"/>
      <c r="J557" s="157"/>
      <c r="K557" s="158"/>
      <c r="L557" s="159"/>
      <c r="M557" s="369"/>
      <c r="N557" s="158"/>
      <c r="O557" s="363"/>
      <c r="P557" s="161">
        <f>+SUM(O551:O557)</f>
        <v>1528.5038274831963</v>
      </c>
    </row>
    <row r="558" spans="1:17" s="140" customFormat="1" ht="13.5" thickBot="1" x14ac:dyDescent="0.3">
      <c r="A558" s="141"/>
      <c r="B558" s="162"/>
      <c r="C558" s="163"/>
      <c r="D558" s="162"/>
      <c r="E558" s="364"/>
      <c r="F558" s="163"/>
      <c r="G558" s="364"/>
      <c r="H558" s="165"/>
      <c r="I558" s="141"/>
      <c r="J558" s="162"/>
      <c r="K558" s="163"/>
      <c r="L558" s="162"/>
      <c r="M558" s="364"/>
      <c r="N558" s="163"/>
      <c r="O558" s="364"/>
      <c r="P558" s="165"/>
    </row>
    <row r="559" spans="1:17" s="140" customFormat="1" ht="13.5" thickBot="1" x14ac:dyDescent="0.3">
      <c r="B559" s="143" t="s">
        <v>5408</v>
      </c>
      <c r="C559" s="144" t="s">
        <v>867</v>
      </c>
      <c r="D559" s="144" t="s">
        <v>6</v>
      </c>
      <c r="E559" s="370" t="s">
        <v>870</v>
      </c>
      <c r="F559" s="144" t="s">
        <v>5409</v>
      </c>
      <c r="G559" s="365" t="s">
        <v>868</v>
      </c>
      <c r="H559" s="134"/>
      <c r="J559" s="143" t="s">
        <v>5408</v>
      </c>
      <c r="K559" s="144" t="s">
        <v>867</v>
      </c>
      <c r="L559" s="144" t="s">
        <v>6</v>
      </c>
      <c r="M559" s="370" t="s">
        <v>870</v>
      </c>
      <c r="N559" s="144" t="s">
        <v>5409</v>
      </c>
      <c r="O559" s="365" t="s">
        <v>868</v>
      </c>
      <c r="P559" s="134"/>
    </row>
    <row r="560" spans="1:17" s="140" customFormat="1" ht="12.75" x14ac:dyDescent="0.25">
      <c r="B560" s="201" t="s">
        <v>6015</v>
      </c>
      <c r="C560" s="147" t="s">
        <v>5464</v>
      </c>
      <c r="D560" s="211">
        <v>1</v>
      </c>
      <c r="E560" s="366">
        <v>24750</v>
      </c>
      <c r="F560" s="169">
        <v>0.02</v>
      </c>
      <c r="G560" s="367">
        <f>+D560*E560*(1+F560)</f>
        <v>25245</v>
      </c>
      <c r="H560" s="134"/>
      <c r="J560" s="196" t="s">
        <v>6006</v>
      </c>
      <c r="K560" s="147" t="s">
        <v>5464</v>
      </c>
      <c r="L560" s="211">
        <f>0.4*0.17</f>
        <v>6.8000000000000005E-2</v>
      </c>
      <c r="M560" s="366">
        <f>+'APU CAP 5'!H214</f>
        <v>326392.25</v>
      </c>
      <c r="N560" s="169">
        <v>0.1</v>
      </c>
      <c r="O560" s="367">
        <f>+L560*M560*(1+N560)</f>
        <v>24414.140300000006</v>
      </c>
      <c r="P560" s="134"/>
      <c r="Q560" s="432"/>
    </row>
    <row r="561" spans="2:16" s="140" customFormat="1" ht="12.75" x14ac:dyDescent="0.25">
      <c r="B561" s="196" t="s">
        <v>6009</v>
      </c>
      <c r="C561" s="151" t="s">
        <v>5430</v>
      </c>
      <c r="D561" s="197">
        <v>6.6003791542538787E-3</v>
      </c>
      <c r="E561" s="361">
        <f>+'APU CAP 5'!H808</f>
        <v>269606</v>
      </c>
      <c r="F561" s="169"/>
      <c r="G561" s="367">
        <f>+D561*E561*(1+F561)</f>
        <v>1779.5018222617712</v>
      </c>
      <c r="H561" s="134"/>
      <c r="J561" s="196"/>
      <c r="K561" s="151"/>
      <c r="L561" s="197"/>
      <c r="M561" s="361"/>
      <c r="N561" s="169"/>
      <c r="O561" s="367"/>
      <c r="P561" s="134"/>
    </row>
    <row r="562" spans="2:16" s="140" customFormat="1" ht="12.75" x14ac:dyDescent="0.25">
      <c r="B562" s="196"/>
      <c r="C562" s="151"/>
      <c r="D562" s="274"/>
      <c r="E562" s="361"/>
      <c r="F562" s="169"/>
      <c r="G562" s="367"/>
      <c r="H562" s="134"/>
      <c r="J562" s="196"/>
      <c r="K562" s="151"/>
      <c r="L562" s="274"/>
      <c r="M562" s="361"/>
      <c r="N562" s="169"/>
      <c r="O562" s="367"/>
      <c r="P562" s="134"/>
    </row>
    <row r="563" spans="2:16" s="140" customFormat="1" ht="12.75" x14ac:dyDescent="0.25">
      <c r="B563" s="155"/>
      <c r="C563" s="152"/>
      <c r="D563" s="152"/>
      <c r="E563" s="361"/>
      <c r="F563" s="151"/>
      <c r="G563" s="362"/>
      <c r="H563" s="134"/>
      <c r="J563" s="155"/>
      <c r="K563" s="152"/>
      <c r="L563" s="152"/>
      <c r="M563" s="361"/>
      <c r="N563" s="151"/>
      <c r="O563" s="362"/>
      <c r="P563" s="134"/>
    </row>
    <row r="564" spans="2:16" s="140" customFormat="1" ht="12.75" x14ac:dyDescent="0.25">
      <c r="B564" s="155"/>
      <c r="C564" s="152"/>
      <c r="D564" s="152"/>
      <c r="E564" s="361"/>
      <c r="F564" s="151"/>
      <c r="G564" s="362"/>
      <c r="H564" s="134"/>
      <c r="J564" s="155"/>
      <c r="K564" s="152"/>
      <c r="L564" s="152"/>
      <c r="M564" s="361"/>
      <c r="N564" s="151"/>
      <c r="O564" s="362"/>
      <c r="P564" s="134"/>
    </row>
    <row r="565" spans="2:16" s="140" customFormat="1" ht="12.75" x14ac:dyDescent="0.25">
      <c r="B565" s="155"/>
      <c r="C565" s="152"/>
      <c r="D565" s="152"/>
      <c r="E565" s="361"/>
      <c r="F565" s="151"/>
      <c r="G565" s="362"/>
      <c r="H565" s="134"/>
      <c r="J565" s="155"/>
      <c r="K565" s="152"/>
      <c r="L565" s="152"/>
      <c r="M565" s="361"/>
      <c r="N565" s="151"/>
      <c r="O565" s="362"/>
      <c r="P565" s="134"/>
    </row>
    <row r="566" spans="2:16" s="140" customFormat="1" ht="12.75" x14ac:dyDescent="0.25">
      <c r="B566" s="155"/>
      <c r="C566" s="152"/>
      <c r="D566" s="152"/>
      <c r="E566" s="361"/>
      <c r="F566" s="151"/>
      <c r="G566" s="362"/>
      <c r="H566" s="134"/>
      <c r="J566" s="155"/>
      <c r="K566" s="152"/>
      <c r="L566" s="152"/>
      <c r="M566" s="361"/>
      <c r="N566" s="151"/>
      <c r="O566" s="362"/>
      <c r="P566" s="134"/>
    </row>
    <row r="567" spans="2:16" s="140" customFormat="1" ht="12.75" x14ac:dyDescent="0.25">
      <c r="B567" s="155"/>
      <c r="C567" s="152"/>
      <c r="D567" s="152"/>
      <c r="E567" s="361"/>
      <c r="F567" s="151"/>
      <c r="G567" s="362"/>
      <c r="H567" s="134"/>
      <c r="J567" s="155"/>
      <c r="K567" s="152"/>
      <c r="L567" s="152"/>
      <c r="M567" s="361"/>
      <c r="N567" s="151"/>
      <c r="O567" s="362"/>
      <c r="P567" s="134"/>
    </row>
    <row r="568" spans="2:16" s="140" customFormat="1" ht="12.75" x14ac:dyDescent="0.25">
      <c r="B568" s="155"/>
      <c r="C568" s="152"/>
      <c r="D568" s="152"/>
      <c r="E568" s="361"/>
      <c r="F568" s="151"/>
      <c r="G568" s="362"/>
      <c r="H568" s="134"/>
      <c r="J568" s="155"/>
      <c r="K568" s="152"/>
      <c r="L568" s="152"/>
      <c r="M568" s="361"/>
      <c r="N568" s="151"/>
      <c r="O568" s="362"/>
      <c r="P568" s="134"/>
    </row>
    <row r="569" spans="2:16" s="140" customFormat="1" ht="12.75" x14ac:dyDescent="0.25">
      <c r="B569" s="155"/>
      <c r="C569" s="152"/>
      <c r="D569" s="152"/>
      <c r="E569" s="361"/>
      <c r="F569" s="151"/>
      <c r="G569" s="362"/>
      <c r="H569" s="134"/>
      <c r="J569" s="155"/>
      <c r="K569" s="152"/>
      <c r="L569" s="152"/>
      <c r="M569" s="361"/>
      <c r="N569" s="151"/>
      <c r="O569" s="362"/>
      <c r="P569" s="134"/>
    </row>
    <row r="570" spans="2:16" s="140" customFormat="1" ht="12.75" x14ac:dyDescent="0.25">
      <c r="B570" s="155"/>
      <c r="C570" s="152"/>
      <c r="D570" s="152"/>
      <c r="E570" s="361"/>
      <c r="F570" s="151"/>
      <c r="G570" s="362"/>
      <c r="H570" s="134"/>
      <c r="J570" s="155"/>
      <c r="K570" s="152"/>
      <c r="L570" s="152"/>
      <c r="M570" s="361"/>
      <c r="N570" s="151"/>
      <c r="O570" s="362"/>
      <c r="P570" s="134"/>
    </row>
    <row r="571" spans="2:16" s="140" customFormat="1" ht="13.5" thickBot="1" x14ac:dyDescent="0.3">
      <c r="B571" s="155"/>
      <c r="C571" s="152"/>
      <c r="D571" s="152"/>
      <c r="E571" s="361"/>
      <c r="F571" s="151"/>
      <c r="G571" s="362"/>
      <c r="H571" s="134"/>
      <c r="J571" s="155"/>
      <c r="K571" s="152"/>
      <c r="L571" s="152"/>
      <c r="M571" s="361"/>
      <c r="N571" s="151"/>
      <c r="O571" s="362"/>
      <c r="P571" s="134"/>
    </row>
    <row r="572" spans="2:16" s="140" customFormat="1" ht="13.5" thickBot="1" x14ac:dyDescent="0.3">
      <c r="B572" s="157"/>
      <c r="C572" s="159"/>
      <c r="D572" s="159"/>
      <c r="E572" s="369"/>
      <c r="F572" s="158"/>
      <c r="G572" s="363"/>
      <c r="H572" s="161">
        <f>+SUM(G560:G572)</f>
        <v>27024.501822261773</v>
      </c>
      <c r="J572" s="157"/>
      <c r="K572" s="159"/>
      <c r="L572" s="159"/>
      <c r="M572" s="369"/>
      <c r="N572" s="158"/>
      <c r="O572" s="363"/>
      <c r="P572" s="161">
        <f>+SUM(O560:O572)</f>
        <v>24414.140300000006</v>
      </c>
    </row>
    <row r="573" spans="2:16" s="140" customFormat="1" ht="13.5" thickBot="1" x14ac:dyDescent="0.3">
      <c r="B573" s="162"/>
      <c r="C573" s="162"/>
      <c r="D573" s="162"/>
      <c r="E573" s="364"/>
      <c r="F573" s="163"/>
      <c r="G573" s="364"/>
      <c r="H573" s="165"/>
      <c r="J573" s="162"/>
      <c r="K573" s="162"/>
      <c r="L573" s="162"/>
      <c r="M573" s="364"/>
      <c r="N573" s="163"/>
      <c r="O573" s="364"/>
      <c r="P573" s="165"/>
    </row>
    <row r="574" spans="2:16" s="140" customFormat="1" ht="13.5" thickBot="1" x14ac:dyDescent="0.3">
      <c r="B574" s="143" t="s">
        <v>5410</v>
      </c>
      <c r="C574" s="144" t="s">
        <v>867</v>
      </c>
      <c r="D574" s="144" t="s">
        <v>6</v>
      </c>
      <c r="E574" s="370" t="s">
        <v>870</v>
      </c>
      <c r="F574" s="144" t="s">
        <v>5411</v>
      </c>
      <c r="G574" s="365" t="s">
        <v>868</v>
      </c>
      <c r="H574" s="134"/>
      <c r="J574" s="143" t="s">
        <v>5410</v>
      </c>
      <c r="K574" s="144" t="s">
        <v>867</v>
      </c>
      <c r="L574" s="144" t="s">
        <v>6</v>
      </c>
      <c r="M574" s="370" t="s">
        <v>870</v>
      </c>
      <c r="N574" s="144" t="s">
        <v>5411</v>
      </c>
      <c r="O574" s="365" t="s">
        <v>868</v>
      </c>
      <c r="P574" s="134"/>
    </row>
    <row r="575" spans="2:16" s="140" customFormat="1" ht="12.75" x14ac:dyDescent="0.25">
      <c r="B575" s="201"/>
      <c r="C575" s="147"/>
      <c r="D575" s="211"/>
      <c r="E575" s="366"/>
      <c r="F575" s="211"/>
      <c r="G575" s="367">
        <f>+D575*E575*F575</f>
        <v>0</v>
      </c>
      <c r="H575" s="134"/>
      <c r="J575" s="201"/>
      <c r="K575" s="147"/>
      <c r="L575" s="211"/>
      <c r="M575" s="366"/>
      <c r="N575" s="211"/>
      <c r="O575" s="367">
        <f>+L575*M575*N575</f>
        <v>0</v>
      </c>
      <c r="P575" s="134"/>
    </row>
    <row r="576" spans="2:16" s="140" customFormat="1" ht="12.75" x14ac:dyDescent="0.25">
      <c r="B576" s="196"/>
      <c r="C576" s="151"/>
      <c r="D576" s="274"/>
      <c r="E576" s="361"/>
      <c r="F576" s="147"/>
      <c r="G576" s="172"/>
      <c r="H576" s="134"/>
      <c r="J576" s="196"/>
      <c r="K576" s="151"/>
      <c r="L576" s="274"/>
      <c r="M576" s="361"/>
      <c r="N576" s="147"/>
      <c r="O576" s="172"/>
      <c r="P576" s="134"/>
    </row>
    <row r="577" spans="2:16" s="140" customFormat="1" ht="12.75" x14ac:dyDescent="0.25">
      <c r="B577" s="155"/>
      <c r="C577" s="152"/>
      <c r="D577" s="152"/>
      <c r="E577" s="152"/>
      <c r="F577" s="151"/>
      <c r="G577" s="156"/>
      <c r="H577" s="134"/>
      <c r="J577" s="155"/>
      <c r="K577" s="152"/>
      <c r="L577" s="152"/>
      <c r="M577" s="152"/>
      <c r="N577" s="151"/>
      <c r="O577" s="156"/>
      <c r="P577" s="134"/>
    </row>
    <row r="578" spans="2:16" s="140" customFormat="1" ht="12.75" x14ac:dyDescent="0.25">
      <c r="B578" s="155"/>
      <c r="C578" s="152"/>
      <c r="D578" s="152"/>
      <c r="E578" s="152"/>
      <c r="F578" s="151"/>
      <c r="G578" s="156"/>
      <c r="H578" s="134"/>
      <c r="J578" s="155"/>
      <c r="K578" s="152"/>
      <c r="L578" s="152"/>
      <c r="M578" s="152"/>
      <c r="N578" s="151"/>
      <c r="O578" s="156"/>
      <c r="P578" s="134"/>
    </row>
    <row r="579" spans="2:16" s="140" customFormat="1" ht="13.5" thickBot="1" x14ac:dyDescent="0.3">
      <c r="B579" s="155"/>
      <c r="C579" s="152"/>
      <c r="D579" s="152"/>
      <c r="E579" s="152"/>
      <c r="F579" s="151"/>
      <c r="G579" s="156"/>
      <c r="H579" s="134"/>
      <c r="J579" s="155"/>
      <c r="K579" s="152"/>
      <c r="L579" s="152"/>
      <c r="M579" s="152"/>
      <c r="N579" s="151"/>
      <c r="O579" s="156"/>
      <c r="P579" s="134"/>
    </row>
    <row r="580" spans="2:16" s="140" customFormat="1" ht="13.5" thickBot="1" x14ac:dyDescent="0.3">
      <c r="B580" s="157"/>
      <c r="C580" s="159"/>
      <c r="D580" s="159"/>
      <c r="E580" s="159"/>
      <c r="F580" s="158"/>
      <c r="G580" s="160"/>
      <c r="H580" s="161">
        <f>+SUM(G575:G580)</f>
        <v>0</v>
      </c>
      <c r="J580" s="157"/>
      <c r="K580" s="159"/>
      <c r="L580" s="159"/>
      <c r="M580" s="159"/>
      <c r="N580" s="158"/>
      <c r="O580" s="160"/>
      <c r="P580" s="161">
        <f>+SUM(O575:O580)</f>
        <v>0</v>
      </c>
    </row>
    <row r="581" spans="2:16" s="140" customFormat="1" ht="13.5" thickBot="1" x14ac:dyDescent="0.3">
      <c r="B581" s="162"/>
      <c r="C581" s="162"/>
      <c r="D581" s="162"/>
      <c r="E581" s="162"/>
      <c r="F581" s="173"/>
      <c r="G581" s="174"/>
      <c r="H581" s="165"/>
      <c r="J581" s="162"/>
      <c r="K581" s="162"/>
      <c r="L581" s="162"/>
      <c r="M581" s="162"/>
      <c r="N581" s="173"/>
      <c r="O581" s="174"/>
      <c r="P581" s="165"/>
    </row>
    <row r="582" spans="2:16" s="140" customFormat="1" ht="13.5" thickBot="1" x14ac:dyDescent="0.3">
      <c r="B582" s="143" t="s">
        <v>5412</v>
      </c>
      <c r="C582" s="193" t="s">
        <v>5420</v>
      </c>
      <c r="D582" s="193" t="s">
        <v>5421</v>
      </c>
      <c r="E582" s="193" t="s">
        <v>5413</v>
      </c>
      <c r="F582" s="144" t="s">
        <v>5405</v>
      </c>
      <c r="G582" s="145" t="s">
        <v>868</v>
      </c>
      <c r="H582" s="134"/>
      <c r="J582" s="143" t="s">
        <v>5412</v>
      </c>
      <c r="K582" s="193" t="s">
        <v>5420</v>
      </c>
      <c r="L582" s="193" t="s">
        <v>5421</v>
      </c>
      <c r="M582" s="193" t="s">
        <v>5413</v>
      </c>
      <c r="N582" s="144" t="s">
        <v>5405</v>
      </c>
      <c r="O582" s="145" t="s">
        <v>868</v>
      </c>
      <c r="P582" s="134"/>
    </row>
    <row r="583" spans="2:16" s="140" customFormat="1" ht="12.75" x14ac:dyDescent="0.25">
      <c r="B583" s="194" t="s">
        <v>5948</v>
      </c>
      <c r="C583" s="345">
        <v>70000</v>
      </c>
      <c r="D583" s="345">
        <v>53961.351755041069</v>
      </c>
      <c r="E583" s="345">
        <v>117445.29499626586</v>
      </c>
      <c r="F583" s="192">
        <v>100</v>
      </c>
      <c r="G583" s="351">
        <f>+E583/F583</f>
        <v>1174.4529499626585</v>
      </c>
      <c r="H583" s="134"/>
      <c r="J583" s="194" t="s">
        <v>5948</v>
      </c>
      <c r="K583" s="345">
        <v>70000</v>
      </c>
      <c r="L583" s="345">
        <v>53961.351755041069</v>
      </c>
      <c r="M583" s="345">
        <v>117445.29499626586</v>
      </c>
      <c r="N583" s="192">
        <v>100</v>
      </c>
      <c r="O583" s="351">
        <f>+M583/N583</f>
        <v>1174.4529499626585</v>
      </c>
      <c r="P583" s="134"/>
    </row>
    <row r="584" spans="2:16" s="140" customFormat="1" ht="12.75" x14ac:dyDescent="0.25">
      <c r="B584" s="194" t="s">
        <v>5949</v>
      </c>
      <c r="C584" s="345">
        <v>40000</v>
      </c>
      <c r="D584" s="345">
        <v>26980.675877520534</v>
      </c>
      <c r="E584" s="345">
        <v>58722.64749813293</v>
      </c>
      <c r="F584" s="192">
        <v>25</v>
      </c>
      <c r="G584" s="351">
        <f>+E584/F584</f>
        <v>2348.905899925317</v>
      </c>
      <c r="H584" s="134"/>
      <c r="J584" s="194" t="s">
        <v>5949</v>
      </c>
      <c r="K584" s="345">
        <v>40000</v>
      </c>
      <c r="L584" s="345">
        <v>26980.675877520534</v>
      </c>
      <c r="M584" s="345">
        <v>58722.64749813293</v>
      </c>
      <c r="N584" s="192">
        <v>10</v>
      </c>
      <c r="O584" s="351">
        <f>+M584/N584</f>
        <v>5872.2647498132928</v>
      </c>
      <c r="P584" s="134"/>
    </row>
    <row r="585" spans="2:16" s="140" customFormat="1" ht="12.75" x14ac:dyDescent="0.25">
      <c r="B585" s="195" t="s">
        <v>5635</v>
      </c>
      <c r="C585" s="345">
        <v>20600</v>
      </c>
      <c r="D585" s="345">
        <v>16188.405526512322</v>
      </c>
      <c r="E585" s="345">
        <v>35233.588498879762</v>
      </c>
      <c r="F585" s="192">
        <v>25</v>
      </c>
      <c r="G585" s="351">
        <f>+E585/F585</f>
        <v>1409.3435399551904</v>
      </c>
      <c r="H585" s="134"/>
      <c r="J585" s="195" t="s">
        <v>5635</v>
      </c>
      <c r="K585" s="345">
        <v>20600</v>
      </c>
      <c r="L585" s="345">
        <v>16188.405526512322</v>
      </c>
      <c r="M585" s="345">
        <v>35233.588498879762</v>
      </c>
      <c r="N585" s="192">
        <v>10</v>
      </c>
      <c r="O585" s="351">
        <f>+M585/N585</f>
        <v>3523.3588498879762</v>
      </c>
      <c r="P585" s="134"/>
    </row>
    <row r="586" spans="2:16" s="140" customFormat="1" ht="12.75" x14ac:dyDescent="0.25">
      <c r="B586" s="155"/>
      <c r="C586" s="152"/>
      <c r="D586" s="152"/>
      <c r="E586" s="152"/>
      <c r="F586" s="151"/>
      <c r="G586" s="156"/>
      <c r="H586" s="134"/>
      <c r="J586" s="155"/>
      <c r="K586" s="152"/>
      <c r="L586" s="152"/>
      <c r="M586" s="152"/>
      <c r="N586" s="151"/>
      <c r="O586" s="156"/>
      <c r="P586" s="134"/>
    </row>
    <row r="587" spans="2:16" s="140" customFormat="1" ht="12.75" x14ac:dyDescent="0.25">
      <c r="B587" s="155"/>
      <c r="C587" s="152"/>
      <c r="D587" s="152"/>
      <c r="E587" s="152"/>
      <c r="F587" s="151"/>
      <c r="G587" s="156"/>
      <c r="H587" s="134"/>
      <c r="J587" s="155"/>
      <c r="K587" s="152"/>
      <c r="L587" s="152"/>
      <c r="M587" s="152"/>
      <c r="N587" s="151"/>
      <c r="O587" s="156"/>
      <c r="P587" s="134"/>
    </row>
    <row r="588" spans="2:16" s="140" customFormat="1" ht="13.5" thickBot="1" x14ac:dyDescent="0.3">
      <c r="B588" s="155"/>
      <c r="C588" s="152"/>
      <c r="D588" s="152"/>
      <c r="E588" s="152"/>
      <c r="F588" s="151"/>
      <c r="G588" s="156"/>
      <c r="H588" s="134"/>
      <c r="J588" s="155"/>
      <c r="K588" s="152"/>
      <c r="L588" s="152"/>
      <c r="M588" s="152"/>
      <c r="N588" s="151"/>
      <c r="O588" s="156"/>
      <c r="P588" s="134"/>
    </row>
    <row r="589" spans="2:16" s="140" customFormat="1" ht="13.5" thickBot="1" x14ac:dyDescent="0.3">
      <c r="B589" s="179"/>
      <c r="C589" s="180"/>
      <c r="D589" s="180"/>
      <c r="E589" s="180"/>
      <c r="F589" s="181"/>
      <c r="G589" s="182"/>
      <c r="H589" s="161">
        <f>+SUM(G583:G589)</f>
        <v>4932.7023898431653</v>
      </c>
      <c r="J589" s="179"/>
      <c r="K589" s="180"/>
      <c r="L589" s="180"/>
      <c r="M589" s="180"/>
      <c r="N589" s="181"/>
      <c r="O589" s="182"/>
      <c r="P589" s="161">
        <f>+SUM(O583:O589)</f>
        <v>10570.076549663929</v>
      </c>
    </row>
    <row r="590" spans="2:16" s="140" customFormat="1" ht="13.5" thickBot="1" x14ac:dyDescent="0.3">
      <c r="F590" s="141"/>
      <c r="G590" s="134"/>
      <c r="H590" s="134"/>
      <c r="N590" s="141"/>
      <c r="O590" s="134"/>
      <c r="P590" s="134"/>
    </row>
    <row r="591" spans="2:16" s="140" customFormat="1" ht="13.5" thickBot="1" x14ac:dyDescent="0.3">
      <c r="E591" s="183" t="s">
        <v>5415</v>
      </c>
      <c r="F591" s="141"/>
      <c r="G591" s="134"/>
      <c r="H591" s="161">
        <f>ROUND(+H557+H572+H580+H589,0)</f>
        <v>32204</v>
      </c>
      <c r="M591" s="183" t="s">
        <v>5415</v>
      </c>
      <c r="N591" s="141"/>
      <c r="O591" s="134"/>
      <c r="P591" s="161">
        <f>ROUND(+P557+P572+P580+P589,0)</f>
        <v>36513</v>
      </c>
    </row>
    <row r="592" spans="2:16" s="8" customFormat="1" ht="12.75" x14ac:dyDescent="0.25">
      <c r="F592" s="133"/>
      <c r="N592" s="133"/>
    </row>
    <row r="593" spans="1:16" s="8" customFormat="1" ht="12.75" x14ac:dyDescent="0.25">
      <c r="F593" s="133"/>
      <c r="H593" s="368"/>
      <c r="N593" s="133"/>
      <c r="P593" s="368"/>
    </row>
    <row r="594" spans="1:16" s="8" customFormat="1" ht="12.75" x14ac:dyDescent="0.25">
      <c r="F594" s="133"/>
      <c r="N594" s="133"/>
    </row>
    <row r="595" spans="1:16" s="8" customFormat="1" ht="12.75" x14ac:dyDescent="0.25">
      <c r="F595" s="133"/>
      <c r="N595" s="133"/>
    </row>
    <row r="596" spans="1:16" s="8" customFormat="1" ht="18.75" x14ac:dyDescent="0.25">
      <c r="A596" s="133"/>
      <c r="B596" s="2506" t="s">
        <v>5400</v>
      </c>
      <c r="C596" s="2506"/>
      <c r="D596" s="2506"/>
      <c r="E596" s="2506"/>
      <c r="F596" s="2506"/>
      <c r="G596" s="2506"/>
      <c r="I596" s="133"/>
      <c r="J596" s="2506" t="s">
        <v>5400</v>
      </c>
      <c r="K596" s="2506"/>
      <c r="L596" s="2506"/>
      <c r="M596" s="2506"/>
      <c r="N596" s="2506"/>
      <c r="O596" s="2506"/>
    </row>
    <row r="597" spans="1:16" s="8" customFormat="1" ht="12.75" x14ac:dyDescent="0.25">
      <c r="A597" s="133"/>
      <c r="F597" s="133"/>
      <c r="G597" s="134"/>
      <c r="I597" s="133"/>
      <c r="N597" s="133"/>
      <c r="O597" s="134"/>
    </row>
    <row r="598" spans="1:16" s="8" customFormat="1" ht="12.75" x14ac:dyDescent="0.25">
      <c r="A598" s="133"/>
      <c r="F598" s="133"/>
      <c r="G598" s="134"/>
      <c r="I598" s="133"/>
      <c r="N598" s="133"/>
      <c r="O598" s="134"/>
    </row>
    <row r="599" spans="1:16" s="8" customFormat="1" ht="12.75" x14ac:dyDescent="0.25">
      <c r="A599" s="133"/>
      <c r="F599" s="133"/>
      <c r="G599" s="134"/>
      <c r="I599" s="133"/>
      <c r="N599" s="133"/>
      <c r="O599" s="134"/>
    </row>
    <row r="600" spans="1:16" s="140" customFormat="1" ht="12.75" x14ac:dyDescent="0.25">
      <c r="A600" s="138" t="s">
        <v>3</v>
      </c>
      <c r="B600" s="138" t="s">
        <v>793</v>
      </c>
      <c r="C600" s="2451" t="s">
        <v>5593</v>
      </c>
      <c r="D600" s="2451"/>
      <c r="E600" s="2451"/>
      <c r="F600" s="138" t="s">
        <v>867</v>
      </c>
      <c r="G600" s="139" t="s">
        <v>5402</v>
      </c>
      <c r="H600" s="134"/>
      <c r="I600" s="138" t="s">
        <v>3</v>
      </c>
      <c r="J600" s="138" t="s">
        <v>793</v>
      </c>
      <c r="K600" s="2451" t="s">
        <v>5593</v>
      </c>
      <c r="L600" s="2451"/>
      <c r="M600" s="2451"/>
      <c r="N600" s="138" t="s">
        <v>867</v>
      </c>
      <c r="O600" s="139" t="s">
        <v>5402</v>
      </c>
      <c r="P600" s="134"/>
    </row>
    <row r="601" spans="1:16" s="140" customFormat="1" ht="12.75" x14ac:dyDescent="0.25">
      <c r="A601" s="141"/>
      <c r="F601" s="141"/>
      <c r="G601" s="134"/>
      <c r="H601" s="134"/>
      <c r="I601" s="141"/>
      <c r="N601" s="141"/>
      <c r="O601" s="134"/>
      <c r="P601" s="134"/>
    </row>
    <row r="602" spans="1:16" s="140" customFormat="1" ht="12.75" x14ac:dyDescent="0.25">
      <c r="A602" s="141"/>
      <c r="F602" s="141"/>
      <c r="G602" s="142"/>
      <c r="H602" s="134"/>
      <c r="I602" s="141"/>
      <c r="N602" s="141"/>
      <c r="O602" s="142"/>
      <c r="P602" s="134"/>
    </row>
    <row r="603" spans="1:16" s="140" customFormat="1" ht="13.5" thickBot="1" x14ac:dyDescent="0.3">
      <c r="A603" s="141"/>
      <c r="F603" s="141"/>
      <c r="G603" s="134"/>
      <c r="H603" s="134"/>
      <c r="I603" s="141"/>
      <c r="N603" s="141"/>
      <c r="O603" s="134"/>
      <c r="P603" s="134"/>
    </row>
    <row r="604" spans="1:16" s="140" customFormat="1" ht="13.5" thickBot="1" x14ac:dyDescent="0.3">
      <c r="A604" s="141"/>
      <c r="B604" s="143" t="s">
        <v>5403</v>
      </c>
      <c r="C604" s="144" t="s">
        <v>867</v>
      </c>
      <c r="D604" s="144" t="s">
        <v>6</v>
      </c>
      <c r="E604" s="144" t="s">
        <v>5404</v>
      </c>
      <c r="F604" s="144" t="s">
        <v>5405</v>
      </c>
      <c r="G604" s="145" t="s">
        <v>868</v>
      </c>
      <c r="H604" s="134"/>
      <c r="I604" s="141"/>
      <c r="J604" s="143" t="s">
        <v>5403</v>
      </c>
      <c r="K604" s="144" t="s">
        <v>867</v>
      </c>
      <c r="L604" s="144" t="s">
        <v>6</v>
      </c>
      <c r="M604" s="144" t="s">
        <v>5404</v>
      </c>
      <c r="N604" s="144" t="s">
        <v>5405</v>
      </c>
      <c r="O604" s="145" t="s">
        <v>868</v>
      </c>
      <c r="P604" s="134"/>
    </row>
    <row r="605" spans="1:16" s="140" customFormat="1" ht="12.75" x14ac:dyDescent="0.25">
      <c r="A605" s="141"/>
      <c r="B605" s="146" t="s">
        <v>5440</v>
      </c>
      <c r="C605" s="147" t="s">
        <v>5406</v>
      </c>
      <c r="D605" s="148"/>
      <c r="E605" s="434">
        <f>+H643</f>
        <v>5872.2647498132928</v>
      </c>
      <c r="F605" s="191">
        <v>0.1</v>
      </c>
      <c r="G605" s="360">
        <f>+E605*F605</f>
        <v>587.22647498132926</v>
      </c>
      <c r="H605" s="134"/>
      <c r="I605" s="141"/>
      <c r="J605" s="146" t="s">
        <v>5440</v>
      </c>
      <c r="K605" s="147" t="s">
        <v>5406</v>
      </c>
      <c r="L605" s="148"/>
      <c r="M605" s="434">
        <f>+P643</f>
        <v>12918.982449589244</v>
      </c>
      <c r="N605" s="191">
        <v>0.1</v>
      </c>
      <c r="O605" s="360">
        <f>+M605*N605</f>
        <v>1291.8982449589246</v>
      </c>
      <c r="P605" s="134"/>
    </row>
    <row r="606" spans="1:16" s="140" customFormat="1" ht="12.75" x14ac:dyDescent="0.25">
      <c r="A606" s="141"/>
      <c r="B606" s="150"/>
      <c r="C606" s="151"/>
      <c r="D606" s="152"/>
      <c r="E606" s="361"/>
      <c r="F606" s="291"/>
      <c r="G606" s="360"/>
      <c r="H606" s="134"/>
      <c r="I606" s="141"/>
      <c r="J606" s="150" t="s">
        <v>5953</v>
      </c>
      <c r="K606" s="151"/>
      <c r="L606" s="152"/>
      <c r="M606" s="361"/>
      <c r="N606" s="291"/>
      <c r="O606" s="360">
        <v>1000</v>
      </c>
      <c r="P606" s="134"/>
    </row>
    <row r="607" spans="1:16" s="140" customFormat="1" ht="12.75" x14ac:dyDescent="0.25">
      <c r="A607" s="141"/>
      <c r="B607" s="154"/>
      <c r="C607" s="151"/>
      <c r="D607" s="152"/>
      <c r="E607" s="361"/>
      <c r="F607" s="153"/>
      <c r="G607" s="360"/>
      <c r="H607" s="134"/>
      <c r="I607" s="141"/>
      <c r="J607" s="154"/>
      <c r="K607" s="151"/>
      <c r="L607" s="152"/>
      <c r="M607" s="361"/>
      <c r="N607" s="153"/>
      <c r="O607" s="360"/>
      <c r="P607" s="134"/>
    </row>
    <row r="608" spans="1:16" s="140" customFormat="1" ht="12.75" x14ac:dyDescent="0.25">
      <c r="A608" s="141"/>
      <c r="B608" s="155"/>
      <c r="C608" s="151"/>
      <c r="D608" s="152"/>
      <c r="E608" s="361"/>
      <c r="F608" s="151"/>
      <c r="G608" s="362"/>
      <c r="H608" s="134"/>
      <c r="I608" s="141"/>
      <c r="J608" s="155"/>
      <c r="K608" s="151"/>
      <c r="L608" s="152"/>
      <c r="M608" s="361"/>
      <c r="N608" s="151"/>
      <c r="O608" s="362"/>
      <c r="P608" s="134"/>
    </row>
    <row r="609" spans="1:16" s="140" customFormat="1" ht="12.75" x14ac:dyDescent="0.25">
      <c r="A609" s="141"/>
      <c r="B609" s="155"/>
      <c r="C609" s="151"/>
      <c r="D609" s="152"/>
      <c r="E609" s="361"/>
      <c r="F609" s="151"/>
      <c r="G609" s="362"/>
      <c r="H609" s="134"/>
      <c r="I609" s="141"/>
      <c r="J609" s="155"/>
      <c r="K609" s="151"/>
      <c r="L609" s="152"/>
      <c r="M609" s="361"/>
      <c r="N609" s="151"/>
      <c r="O609" s="362"/>
      <c r="P609" s="134"/>
    </row>
    <row r="610" spans="1:16" s="140" customFormat="1" ht="13.5" thickBot="1" x14ac:dyDescent="0.3">
      <c r="A610" s="141"/>
      <c r="B610" s="155"/>
      <c r="C610" s="151"/>
      <c r="D610" s="152"/>
      <c r="E610" s="361"/>
      <c r="F610" s="151"/>
      <c r="G610" s="362"/>
      <c r="H610" s="134"/>
      <c r="I610" s="141"/>
      <c r="J610" s="155"/>
      <c r="K610" s="151"/>
      <c r="L610" s="152"/>
      <c r="M610" s="361"/>
      <c r="N610" s="151"/>
      <c r="O610" s="362"/>
      <c r="P610" s="134"/>
    </row>
    <row r="611" spans="1:16" s="140" customFormat="1" ht="13.5" thickBot="1" x14ac:dyDescent="0.3">
      <c r="A611" s="141"/>
      <c r="B611" s="157"/>
      <c r="C611" s="158"/>
      <c r="D611" s="159"/>
      <c r="E611" s="369"/>
      <c r="F611" s="158"/>
      <c r="G611" s="363"/>
      <c r="H611" s="161">
        <f>+SUM(G605:G611)</f>
        <v>587.22647498132926</v>
      </c>
      <c r="I611" s="141"/>
      <c r="J611" s="157"/>
      <c r="K611" s="158"/>
      <c r="L611" s="159"/>
      <c r="M611" s="369"/>
      <c r="N611" s="158"/>
      <c r="O611" s="363"/>
      <c r="P611" s="161">
        <f>+SUM(O605:O611)</f>
        <v>2291.8982449589248</v>
      </c>
    </row>
    <row r="612" spans="1:16" s="140" customFormat="1" ht="13.5" thickBot="1" x14ac:dyDescent="0.3">
      <c r="A612" s="141"/>
      <c r="B612" s="162"/>
      <c r="C612" s="163"/>
      <c r="D612" s="162"/>
      <c r="E612" s="364"/>
      <c r="F612" s="163"/>
      <c r="G612" s="364"/>
      <c r="H612" s="165"/>
      <c r="I612" s="141"/>
      <c r="J612" s="162"/>
      <c r="K612" s="163"/>
      <c r="L612" s="162"/>
      <c r="M612" s="364"/>
      <c r="N612" s="163"/>
      <c r="O612" s="364"/>
      <c r="P612" s="165"/>
    </row>
    <row r="613" spans="1:16" s="140" customFormat="1" ht="13.5" thickBot="1" x14ac:dyDescent="0.3">
      <c r="B613" s="143" t="s">
        <v>5408</v>
      </c>
      <c r="C613" s="144" t="s">
        <v>867</v>
      </c>
      <c r="D613" s="144" t="s">
        <v>6</v>
      </c>
      <c r="E613" s="370" t="s">
        <v>870</v>
      </c>
      <c r="F613" s="144" t="s">
        <v>5409</v>
      </c>
      <c r="G613" s="365" t="s">
        <v>868</v>
      </c>
      <c r="H613" s="134"/>
      <c r="J613" s="143" t="s">
        <v>5408</v>
      </c>
      <c r="K613" s="144" t="s">
        <v>867</v>
      </c>
      <c r="L613" s="144" t="s">
        <v>6</v>
      </c>
      <c r="M613" s="370" t="s">
        <v>870</v>
      </c>
      <c r="N613" s="144" t="s">
        <v>5409</v>
      </c>
      <c r="O613" s="365" t="s">
        <v>868</v>
      </c>
      <c r="P613" s="134"/>
    </row>
    <row r="614" spans="1:16" s="140" customFormat="1" ht="12.75" x14ac:dyDescent="0.25">
      <c r="B614" s="201" t="s">
        <v>6016</v>
      </c>
      <c r="C614" s="147" t="s">
        <v>14</v>
      </c>
      <c r="D614" s="211">
        <v>1</v>
      </c>
      <c r="E614" s="366">
        <v>27830</v>
      </c>
      <c r="F614" s="169"/>
      <c r="G614" s="367">
        <f>+D614*E614*(1+F614)</f>
        <v>27830</v>
      </c>
      <c r="H614" s="134"/>
      <c r="J614" s="196" t="s">
        <v>6006</v>
      </c>
      <c r="K614" s="147" t="s">
        <v>5464</v>
      </c>
      <c r="L614" s="211">
        <f>0.5*0.175</f>
        <v>8.7499999999999994E-2</v>
      </c>
      <c r="M614" s="366">
        <f>+'APU CAP 5'!H214</f>
        <v>326392.25</v>
      </c>
      <c r="N614" s="169">
        <v>0.1</v>
      </c>
      <c r="O614" s="367">
        <f>+L614*M614*(1+N614)</f>
        <v>31415.2540625</v>
      </c>
      <c r="P614" s="134"/>
    </row>
    <row r="615" spans="1:16" s="140" customFormat="1" ht="12.75" x14ac:dyDescent="0.25">
      <c r="B615" s="196" t="s">
        <v>6009</v>
      </c>
      <c r="C615" s="151" t="s">
        <v>5430</v>
      </c>
      <c r="D615" s="197">
        <v>6.6003791542538787E-3</v>
      </c>
      <c r="E615" s="361">
        <f>+'APU CAP 5'!H808</f>
        <v>269606</v>
      </c>
      <c r="F615" s="169"/>
      <c r="G615" s="367">
        <f>+D615*E615*(1+F615)</f>
        <v>1779.5018222617712</v>
      </c>
      <c r="H615" s="134"/>
      <c r="J615" s="196"/>
      <c r="K615" s="151"/>
      <c r="L615" s="197"/>
      <c r="M615" s="361"/>
      <c r="N615" s="169"/>
      <c r="O615" s="367"/>
      <c r="P615" s="134"/>
    </row>
    <row r="616" spans="1:16" s="140" customFormat="1" ht="12.75" x14ac:dyDescent="0.25">
      <c r="B616" s="196"/>
      <c r="C616" s="151"/>
      <c r="D616" s="274"/>
      <c r="E616" s="361"/>
      <c r="F616" s="169"/>
      <c r="G616" s="367"/>
      <c r="H616" s="134"/>
      <c r="J616" s="196"/>
      <c r="K616" s="151"/>
      <c r="L616" s="274"/>
      <c r="M616" s="361"/>
      <c r="N616" s="169"/>
      <c r="O616" s="367"/>
      <c r="P616" s="134"/>
    </row>
    <row r="617" spans="1:16" s="140" customFormat="1" ht="12.75" x14ac:dyDescent="0.25">
      <c r="B617" s="155"/>
      <c r="C617" s="152"/>
      <c r="D617" s="152"/>
      <c r="E617" s="361"/>
      <c r="F617" s="151"/>
      <c r="G617" s="362"/>
      <c r="H617" s="134"/>
      <c r="J617" s="155"/>
      <c r="K617" s="152"/>
      <c r="L617" s="152"/>
      <c r="M617" s="361"/>
      <c r="N617" s="151"/>
      <c r="O617" s="362"/>
      <c r="P617" s="134"/>
    </row>
    <row r="618" spans="1:16" s="140" customFormat="1" ht="12.75" x14ac:dyDescent="0.25">
      <c r="B618" s="155"/>
      <c r="C618" s="152"/>
      <c r="D618" s="152"/>
      <c r="E618" s="361"/>
      <c r="F618" s="151"/>
      <c r="G618" s="362"/>
      <c r="H618" s="134"/>
      <c r="J618" s="155"/>
      <c r="K618" s="152"/>
      <c r="L618" s="152"/>
      <c r="M618" s="361"/>
      <c r="N618" s="151"/>
      <c r="O618" s="362"/>
      <c r="P618" s="134"/>
    </row>
    <row r="619" spans="1:16" s="140" customFormat="1" ht="12.75" x14ac:dyDescent="0.25">
      <c r="B619" s="155"/>
      <c r="C619" s="152"/>
      <c r="D619" s="152"/>
      <c r="E619" s="361"/>
      <c r="F619" s="151"/>
      <c r="G619" s="362"/>
      <c r="H619" s="134"/>
      <c r="J619" s="155"/>
      <c r="K619" s="152"/>
      <c r="L619" s="152"/>
      <c r="M619" s="361"/>
      <c r="N619" s="151"/>
      <c r="O619" s="362"/>
      <c r="P619" s="134"/>
    </row>
    <row r="620" spans="1:16" s="140" customFormat="1" ht="12.75" x14ac:dyDescent="0.25">
      <c r="B620" s="155"/>
      <c r="C620" s="152"/>
      <c r="D620" s="152"/>
      <c r="E620" s="361"/>
      <c r="F620" s="151"/>
      <c r="G620" s="362"/>
      <c r="H620" s="134"/>
      <c r="J620" s="155"/>
      <c r="K620" s="152"/>
      <c r="L620" s="152"/>
      <c r="M620" s="361"/>
      <c r="N620" s="151"/>
      <c r="O620" s="362"/>
      <c r="P620" s="134"/>
    </row>
    <row r="621" spans="1:16" s="140" customFormat="1" ht="12.75" x14ac:dyDescent="0.25">
      <c r="B621" s="155"/>
      <c r="C621" s="152"/>
      <c r="D621" s="152"/>
      <c r="E621" s="361"/>
      <c r="F621" s="151"/>
      <c r="G621" s="362"/>
      <c r="H621" s="134"/>
      <c r="J621" s="155"/>
      <c r="K621" s="152"/>
      <c r="L621" s="152"/>
      <c r="M621" s="361"/>
      <c r="N621" s="151"/>
      <c r="O621" s="362"/>
      <c r="P621" s="134"/>
    </row>
    <row r="622" spans="1:16" s="140" customFormat="1" ht="12.75" x14ac:dyDescent="0.25">
      <c r="B622" s="155"/>
      <c r="C622" s="152"/>
      <c r="D622" s="152"/>
      <c r="E622" s="361"/>
      <c r="F622" s="151"/>
      <c r="G622" s="362"/>
      <c r="H622" s="134"/>
      <c r="J622" s="155"/>
      <c r="K622" s="152"/>
      <c r="L622" s="152"/>
      <c r="M622" s="361"/>
      <c r="N622" s="151"/>
      <c r="O622" s="362"/>
      <c r="P622" s="134"/>
    </row>
    <row r="623" spans="1:16" s="140" customFormat="1" ht="12.75" x14ac:dyDescent="0.25">
      <c r="B623" s="155"/>
      <c r="C623" s="152"/>
      <c r="D623" s="152"/>
      <c r="E623" s="361"/>
      <c r="F623" s="151"/>
      <c r="G623" s="362"/>
      <c r="H623" s="134"/>
      <c r="J623" s="155"/>
      <c r="K623" s="152"/>
      <c r="L623" s="152"/>
      <c r="M623" s="361"/>
      <c r="N623" s="151"/>
      <c r="O623" s="362"/>
      <c r="P623" s="134"/>
    </row>
    <row r="624" spans="1:16" s="140" customFormat="1" ht="12.75" x14ac:dyDescent="0.25">
      <c r="B624" s="155"/>
      <c r="C624" s="152"/>
      <c r="D624" s="152"/>
      <c r="E624" s="361"/>
      <c r="F624" s="151"/>
      <c r="G624" s="362"/>
      <c r="H624" s="134"/>
      <c r="J624" s="155"/>
      <c r="K624" s="152"/>
      <c r="L624" s="152"/>
      <c r="M624" s="361"/>
      <c r="N624" s="151"/>
      <c r="O624" s="362"/>
      <c r="P624" s="134"/>
    </row>
    <row r="625" spans="2:16" s="140" customFormat="1" ht="13.5" thickBot="1" x14ac:dyDescent="0.3">
      <c r="B625" s="155"/>
      <c r="C625" s="152"/>
      <c r="D625" s="152"/>
      <c r="E625" s="361"/>
      <c r="F625" s="151"/>
      <c r="G625" s="362"/>
      <c r="H625" s="134"/>
      <c r="J625" s="155"/>
      <c r="K625" s="152"/>
      <c r="L625" s="152"/>
      <c r="M625" s="361"/>
      <c r="N625" s="151"/>
      <c r="O625" s="362"/>
      <c r="P625" s="134"/>
    </row>
    <row r="626" spans="2:16" s="140" customFormat="1" ht="13.5" thickBot="1" x14ac:dyDescent="0.3">
      <c r="B626" s="157"/>
      <c r="C626" s="159"/>
      <c r="D626" s="159"/>
      <c r="E626" s="369"/>
      <c r="F626" s="158"/>
      <c r="G626" s="363"/>
      <c r="H626" s="161">
        <f>+SUM(G614:G626)</f>
        <v>29609.501822261773</v>
      </c>
      <c r="J626" s="157"/>
      <c r="K626" s="159"/>
      <c r="L626" s="159"/>
      <c r="M626" s="369"/>
      <c r="N626" s="158"/>
      <c r="O626" s="363"/>
      <c r="P626" s="161">
        <f>+SUM(O614:O626)</f>
        <v>31415.2540625</v>
      </c>
    </row>
    <row r="627" spans="2:16" s="140" customFormat="1" ht="13.5" thickBot="1" x14ac:dyDescent="0.3">
      <c r="B627" s="162"/>
      <c r="C627" s="162"/>
      <c r="D627" s="162"/>
      <c r="E627" s="364"/>
      <c r="F627" s="163"/>
      <c r="G627" s="364"/>
      <c r="H627" s="165"/>
      <c r="J627" s="162"/>
      <c r="K627" s="162"/>
      <c r="L627" s="162"/>
      <c r="M627" s="364"/>
      <c r="N627" s="163"/>
      <c r="O627" s="364"/>
      <c r="P627" s="165"/>
    </row>
    <row r="628" spans="2:16" s="140" customFormat="1" ht="13.5" thickBot="1" x14ac:dyDescent="0.3">
      <c r="B628" s="143" t="s">
        <v>5410</v>
      </c>
      <c r="C628" s="144" t="s">
        <v>867</v>
      </c>
      <c r="D628" s="144" t="s">
        <v>6</v>
      </c>
      <c r="E628" s="370" t="s">
        <v>870</v>
      </c>
      <c r="F628" s="144" t="s">
        <v>5411</v>
      </c>
      <c r="G628" s="365" t="s">
        <v>868</v>
      </c>
      <c r="H628" s="134"/>
      <c r="J628" s="143" t="s">
        <v>5410</v>
      </c>
      <c r="K628" s="144" t="s">
        <v>867</v>
      </c>
      <c r="L628" s="144" t="s">
        <v>6</v>
      </c>
      <c r="M628" s="370" t="s">
        <v>870</v>
      </c>
      <c r="N628" s="144" t="s">
        <v>5411</v>
      </c>
      <c r="O628" s="365" t="s">
        <v>868</v>
      </c>
      <c r="P628" s="134"/>
    </row>
    <row r="629" spans="2:16" s="140" customFormat="1" ht="12.75" x14ac:dyDescent="0.25">
      <c r="B629" s="201" t="s">
        <v>6291</v>
      </c>
      <c r="C629" s="147" t="s">
        <v>14</v>
      </c>
      <c r="D629" s="211">
        <v>1.25</v>
      </c>
      <c r="E629" s="366">
        <v>100.1</v>
      </c>
      <c r="F629" s="211">
        <v>1</v>
      </c>
      <c r="G629" s="367">
        <f>+D629*E629*F629</f>
        <v>125.125</v>
      </c>
      <c r="H629" s="134"/>
      <c r="J629" s="201"/>
      <c r="K629" s="147"/>
      <c r="L629" s="211"/>
      <c r="M629" s="366"/>
      <c r="N629" s="211"/>
      <c r="O629" s="367"/>
      <c r="P629" s="134"/>
    </row>
    <row r="630" spans="2:16" s="140" customFormat="1" ht="12.75" x14ac:dyDescent="0.25">
      <c r="B630" s="196"/>
      <c r="C630" s="151"/>
      <c r="D630" s="274"/>
      <c r="E630" s="346"/>
      <c r="F630" s="147"/>
      <c r="G630" s="172"/>
      <c r="H630" s="134"/>
      <c r="J630" s="196"/>
      <c r="K630" s="151"/>
      <c r="L630" s="274"/>
      <c r="M630" s="346"/>
      <c r="N630" s="147"/>
      <c r="O630" s="172"/>
      <c r="P630" s="134"/>
    </row>
    <row r="631" spans="2:16" s="140" customFormat="1" ht="12.75" x14ac:dyDescent="0.25">
      <c r="B631" s="155"/>
      <c r="C631" s="152"/>
      <c r="D631" s="152"/>
      <c r="E631" s="152"/>
      <c r="F631" s="151"/>
      <c r="G631" s="156"/>
      <c r="H631" s="134"/>
      <c r="J631" s="155"/>
      <c r="K631" s="152"/>
      <c r="L631" s="152"/>
      <c r="M631" s="152"/>
      <c r="N631" s="151"/>
      <c r="O631" s="156"/>
      <c r="P631" s="134"/>
    </row>
    <row r="632" spans="2:16" s="140" customFormat="1" ht="12.75" x14ac:dyDescent="0.25">
      <c r="B632" s="155"/>
      <c r="C632" s="152"/>
      <c r="D632" s="152"/>
      <c r="E632" s="152"/>
      <c r="F632" s="151"/>
      <c r="G632" s="156"/>
      <c r="H632" s="134"/>
      <c r="J632" s="155"/>
      <c r="K632" s="152"/>
      <c r="L632" s="152"/>
      <c r="M632" s="152"/>
      <c r="N632" s="151"/>
      <c r="O632" s="156"/>
      <c r="P632" s="134"/>
    </row>
    <row r="633" spans="2:16" s="140" customFormat="1" ht="13.5" thickBot="1" x14ac:dyDescent="0.3">
      <c r="B633" s="155"/>
      <c r="C633" s="152"/>
      <c r="D633" s="152"/>
      <c r="E633" s="152"/>
      <c r="F633" s="151"/>
      <c r="G633" s="156"/>
      <c r="H633" s="134"/>
      <c r="J633" s="155"/>
      <c r="K633" s="152"/>
      <c r="L633" s="152"/>
      <c r="M633" s="152"/>
      <c r="N633" s="151"/>
      <c r="O633" s="156"/>
      <c r="P633" s="134"/>
    </row>
    <row r="634" spans="2:16" s="140" customFormat="1" ht="13.5" thickBot="1" x14ac:dyDescent="0.3">
      <c r="B634" s="157"/>
      <c r="C634" s="159"/>
      <c r="D634" s="159"/>
      <c r="E634" s="159"/>
      <c r="F634" s="158"/>
      <c r="G634" s="160"/>
      <c r="H634" s="161">
        <f>+SUM(G629:G634)</f>
        <v>125.125</v>
      </c>
      <c r="J634" s="157"/>
      <c r="K634" s="159"/>
      <c r="L634" s="159"/>
      <c r="M634" s="159"/>
      <c r="N634" s="158"/>
      <c r="O634" s="160"/>
      <c r="P634" s="161">
        <f>+SUM(O629:O634)</f>
        <v>0</v>
      </c>
    </row>
    <row r="635" spans="2:16" s="140" customFormat="1" ht="13.5" thickBot="1" x14ac:dyDescent="0.3">
      <c r="B635" s="162"/>
      <c r="C635" s="162"/>
      <c r="D635" s="162"/>
      <c r="E635" s="162"/>
      <c r="F635" s="173"/>
      <c r="G635" s="174"/>
      <c r="H635" s="165"/>
      <c r="J635" s="162"/>
      <c r="K635" s="162"/>
      <c r="L635" s="162"/>
      <c r="M635" s="162"/>
      <c r="N635" s="173"/>
      <c r="O635" s="174"/>
      <c r="P635" s="165"/>
    </row>
    <row r="636" spans="2:16" s="140" customFormat="1" ht="13.5" thickBot="1" x14ac:dyDescent="0.3">
      <c r="B636" s="143" t="s">
        <v>5412</v>
      </c>
      <c r="C636" s="193" t="s">
        <v>5420</v>
      </c>
      <c r="D636" s="193" t="s">
        <v>5421</v>
      </c>
      <c r="E636" s="193" t="s">
        <v>5413</v>
      </c>
      <c r="F636" s="144" t="s">
        <v>5405</v>
      </c>
      <c r="G636" s="145" t="s">
        <v>868</v>
      </c>
      <c r="H636" s="134"/>
      <c r="J636" s="143" t="s">
        <v>5412</v>
      </c>
      <c r="K636" s="193" t="s">
        <v>5420</v>
      </c>
      <c r="L636" s="193" t="s">
        <v>5421</v>
      </c>
      <c r="M636" s="193" t="s">
        <v>5413</v>
      </c>
      <c r="N636" s="144" t="s">
        <v>5405</v>
      </c>
      <c r="O636" s="145" t="s">
        <v>868</v>
      </c>
      <c r="P636" s="134"/>
    </row>
    <row r="637" spans="2:16" s="140" customFormat="1" ht="12.75" x14ac:dyDescent="0.25">
      <c r="B637" s="194" t="s">
        <v>5948</v>
      </c>
      <c r="C637" s="345">
        <v>70000</v>
      </c>
      <c r="D637" s="345">
        <v>53961.351755041069</v>
      </c>
      <c r="E637" s="345">
        <v>117445.29499626586</v>
      </c>
      <c r="F637" s="192">
        <v>100</v>
      </c>
      <c r="G637" s="351">
        <f>+E637/F637</f>
        <v>1174.4529499626585</v>
      </c>
      <c r="H637" s="134"/>
      <c r="J637" s="194" t="s">
        <v>5948</v>
      </c>
      <c r="K637" s="345">
        <v>70000</v>
      </c>
      <c r="L637" s="345">
        <v>53961.351755041069</v>
      </c>
      <c r="M637" s="345">
        <v>117445.29499626586</v>
      </c>
      <c r="N637" s="192">
        <v>100</v>
      </c>
      <c r="O637" s="351">
        <f>+M637/N637</f>
        <v>1174.4529499626585</v>
      </c>
      <c r="P637" s="134"/>
    </row>
    <row r="638" spans="2:16" s="140" customFormat="1" ht="12.75" x14ac:dyDescent="0.25">
      <c r="B638" s="194" t="s">
        <v>5949</v>
      </c>
      <c r="C638" s="345">
        <v>40000</v>
      </c>
      <c r="D638" s="345">
        <v>26980.675877520534</v>
      </c>
      <c r="E638" s="345">
        <v>58722.64749813293</v>
      </c>
      <c r="F638" s="192">
        <v>20</v>
      </c>
      <c r="G638" s="351">
        <f>+E638/F638</f>
        <v>2936.1323749066464</v>
      </c>
      <c r="H638" s="134"/>
      <c r="J638" s="194" t="s">
        <v>5949</v>
      </c>
      <c r="K638" s="345">
        <v>40000</v>
      </c>
      <c r="L638" s="345">
        <v>26980.675877520534</v>
      </c>
      <c r="M638" s="345">
        <v>58722.64749813293</v>
      </c>
      <c r="N638" s="192">
        <v>8</v>
      </c>
      <c r="O638" s="351">
        <f>+M638/N638</f>
        <v>7340.3309372666163</v>
      </c>
      <c r="P638" s="134"/>
    </row>
    <row r="639" spans="2:16" s="140" customFormat="1" ht="12.75" x14ac:dyDescent="0.25">
      <c r="B639" s="195" t="s">
        <v>5635</v>
      </c>
      <c r="C639" s="345">
        <v>20600</v>
      </c>
      <c r="D639" s="345">
        <v>16188.405526512322</v>
      </c>
      <c r="E639" s="345">
        <v>35233.588498879762</v>
      </c>
      <c r="F639" s="192">
        <v>20</v>
      </c>
      <c r="G639" s="351">
        <f>+E639/F639</f>
        <v>1761.6794249439881</v>
      </c>
      <c r="H639" s="134"/>
      <c r="J639" s="195" t="s">
        <v>5635</v>
      </c>
      <c r="K639" s="345">
        <v>20600</v>
      </c>
      <c r="L639" s="345">
        <v>16188.405526512322</v>
      </c>
      <c r="M639" s="345">
        <v>35233.588498879762</v>
      </c>
      <c r="N639" s="192">
        <v>8</v>
      </c>
      <c r="O639" s="351">
        <f>+M639/N639</f>
        <v>4404.1985623599703</v>
      </c>
      <c r="P639" s="134"/>
    </row>
    <row r="640" spans="2:16" s="140" customFormat="1" ht="12.75" x14ac:dyDescent="0.25">
      <c r="B640" s="155"/>
      <c r="C640" s="152"/>
      <c r="D640" s="152"/>
      <c r="E640" s="152"/>
      <c r="F640" s="151"/>
      <c r="G640" s="156"/>
      <c r="H640" s="134"/>
      <c r="J640" s="155"/>
      <c r="K640" s="152"/>
      <c r="L640" s="152"/>
      <c r="M640" s="152"/>
      <c r="N640" s="151"/>
      <c r="O640" s="156"/>
      <c r="P640" s="134"/>
    </row>
    <row r="641" spans="1:16" s="140" customFormat="1" ht="12.75" x14ac:dyDescent="0.25">
      <c r="B641" s="155"/>
      <c r="C641" s="152"/>
      <c r="D641" s="152"/>
      <c r="E641" s="152"/>
      <c r="F641" s="151"/>
      <c r="G641" s="156"/>
      <c r="H641" s="134"/>
      <c r="J641" s="155"/>
      <c r="K641" s="152"/>
      <c r="L641" s="152"/>
      <c r="M641" s="152"/>
      <c r="N641" s="151"/>
      <c r="O641" s="156"/>
      <c r="P641" s="134"/>
    </row>
    <row r="642" spans="1:16" s="140" customFormat="1" ht="13.5" thickBot="1" x14ac:dyDescent="0.3">
      <c r="B642" s="155"/>
      <c r="C642" s="152"/>
      <c r="D642" s="152"/>
      <c r="E642" s="152"/>
      <c r="F642" s="151"/>
      <c r="G642" s="156"/>
      <c r="H642" s="134"/>
      <c r="J642" s="155"/>
      <c r="K642" s="152"/>
      <c r="L642" s="152"/>
      <c r="M642" s="152"/>
      <c r="N642" s="151"/>
      <c r="O642" s="156"/>
      <c r="P642" s="134"/>
    </row>
    <row r="643" spans="1:16" s="140" customFormat="1" ht="13.5" thickBot="1" x14ac:dyDescent="0.3">
      <c r="B643" s="179"/>
      <c r="C643" s="180"/>
      <c r="D643" s="180"/>
      <c r="E643" s="180"/>
      <c r="F643" s="181"/>
      <c r="G643" s="182"/>
      <c r="H643" s="161">
        <f>+SUM(G637:G643)</f>
        <v>5872.2647498132928</v>
      </c>
      <c r="J643" s="179"/>
      <c r="K643" s="180"/>
      <c r="L643" s="180"/>
      <c r="M643" s="180"/>
      <c r="N643" s="181"/>
      <c r="O643" s="182"/>
      <c r="P643" s="161">
        <f>+SUM(O637:O643)</f>
        <v>12918.982449589244</v>
      </c>
    </row>
    <row r="644" spans="1:16" s="140" customFormat="1" ht="13.5" thickBot="1" x14ac:dyDescent="0.3">
      <c r="F644" s="141"/>
      <c r="G644" s="134"/>
      <c r="H644" s="134"/>
      <c r="N644" s="141"/>
      <c r="O644" s="134"/>
      <c r="P644" s="134"/>
    </row>
    <row r="645" spans="1:16" s="140" customFormat="1" ht="13.5" thickBot="1" x14ac:dyDescent="0.3">
      <c r="E645" s="183" t="s">
        <v>5415</v>
      </c>
      <c r="F645" s="141"/>
      <c r="G645" s="134"/>
      <c r="H645" s="161">
        <f>ROUND(+H611+H626+H634+H643,0)</f>
        <v>36194</v>
      </c>
      <c r="M645" s="183" t="s">
        <v>5415</v>
      </c>
      <c r="N645" s="141"/>
      <c r="O645" s="134"/>
      <c r="P645" s="161">
        <f>ROUND(+P611+P626+P634+P643,0)</f>
        <v>46626</v>
      </c>
    </row>
    <row r="646" spans="1:16" s="8" customFormat="1" ht="12.75" x14ac:dyDescent="0.25">
      <c r="F646" s="133"/>
    </row>
    <row r="647" spans="1:16" s="8" customFormat="1" ht="12.75" x14ac:dyDescent="0.25">
      <c r="F647" s="133"/>
      <c r="H647" s="368"/>
    </row>
    <row r="648" spans="1:16" s="8" customFormat="1" ht="12.75" x14ac:dyDescent="0.25">
      <c r="F648" s="133"/>
    </row>
    <row r="649" spans="1:16" s="8" customFormat="1" ht="12.75" x14ac:dyDescent="0.25">
      <c r="F649" s="133"/>
    </row>
    <row r="650" spans="1:16" s="8" customFormat="1" ht="12.75" x14ac:dyDescent="0.25">
      <c r="F650" s="133"/>
    </row>
    <row r="651" spans="1:16" s="8" customFormat="1" x14ac:dyDescent="0.25">
      <c r="A651"/>
      <c r="B651"/>
      <c r="C651"/>
      <c r="D651"/>
      <c r="E651"/>
      <c r="F651"/>
      <c r="G651"/>
      <c r="H651"/>
    </row>
    <row r="652" spans="1:16" s="8" customFormat="1" x14ac:dyDescent="0.25">
      <c r="A652"/>
      <c r="B652"/>
      <c r="C652"/>
      <c r="D652"/>
      <c r="E652"/>
      <c r="F652"/>
      <c r="G652"/>
      <c r="H652"/>
    </row>
    <row r="653" spans="1:16" s="8" customFormat="1" x14ac:dyDescent="0.25">
      <c r="A653"/>
      <c r="B653"/>
      <c r="C653"/>
      <c r="D653"/>
      <c r="E653"/>
      <c r="F653"/>
      <c r="G653"/>
      <c r="H653"/>
    </row>
    <row r="654" spans="1:16" s="140" customFormat="1" x14ac:dyDescent="0.25">
      <c r="A654"/>
      <c r="B654"/>
      <c r="C654"/>
      <c r="D654"/>
      <c r="E654"/>
      <c r="F654"/>
      <c r="G654"/>
      <c r="H654"/>
    </row>
    <row r="655" spans="1:16" s="140" customFormat="1" x14ac:dyDescent="0.25">
      <c r="A655"/>
      <c r="B655"/>
      <c r="C655"/>
      <c r="D655"/>
      <c r="E655"/>
      <c r="F655"/>
      <c r="G655"/>
      <c r="H655"/>
    </row>
    <row r="656" spans="1:16" s="140" customFormat="1" x14ac:dyDescent="0.25">
      <c r="A656"/>
      <c r="B656"/>
      <c r="C656"/>
      <c r="D656"/>
      <c r="E656"/>
      <c r="F656"/>
      <c r="G656"/>
      <c r="H656"/>
    </row>
    <row r="657" spans="1:9" s="140" customFormat="1" x14ac:dyDescent="0.25">
      <c r="A657"/>
      <c r="B657"/>
      <c r="C657"/>
      <c r="D657"/>
      <c r="E657"/>
      <c r="F657"/>
      <c r="G657"/>
      <c r="H657"/>
    </row>
    <row r="658" spans="1:9" s="140" customFormat="1" x14ac:dyDescent="0.25">
      <c r="A658"/>
      <c r="B658"/>
      <c r="C658"/>
      <c r="D658"/>
      <c r="E658"/>
      <c r="F658"/>
      <c r="G658"/>
      <c r="H658"/>
    </row>
    <row r="659" spans="1:9" s="140" customFormat="1" x14ac:dyDescent="0.25">
      <c r="A659"/>
      <c r="B659"/>
      <c r="C659"/>
      <c r="D659"/>
      <c r="E659"/>
      <c r="F659"/>
      <c r="G659"/>
      <c r="H659"/>
    </row>
    <row r="660" spans="1:9" s="140" customFormat="1" x14ac:dyDescent="0.25">
      <c r="A660"/>
      <c r="B660"/>
      <c r="C660"/>
      <c r="D660"/>
      <c r="E660"/>
      <c r="F660"/>
      <c r="G660"/>
      <c r="H660"/>
    </row>
    <row r="661" spans="1:9" s="140" customFormat="1" x14ac:dyDescent="0.25">
      <c r="A661"/>
      <c r="B661"/>
      <c r="C661"/>
      <c r="D661"/>
      <c r="E661"/>
      <c r="F661"/>
      <c r="G661"/>
      <c r="H661"/>
    </row>
    <row r="662" spans="1:9" s="140" customFormat="1" x14ac:dyDescent="0.25">
      <c r="A662"/>
      <c r="B662"/>
      <c r="C662"/>
      <c r="D662"/>
      <c r="E662"/>
      <c r="F662"/>
      <c r="G662"/>
      <c r="H662"/>
    </row>
    <row r="663" spans="1:9" s="140" customFormat="1" x14ac:dyDescent="0.25">
      <c r="A663"/>
      <c r="B663"/>
      <c r="C663"/>
      <c r="D663"/>
      <c r="E663"/>
      <c r="F663"/>
      <c r="G663"/>
      <c r="H663"/>
    </row>
    <row r="664" spans="1:9" s="140" customFormat="1" x14ac:dyDescent="0.25">
      <c r="A664"/>
      <c r="B664"/>
      <c r="C664"/>
      <c r="D664"/>
      <c r="E664"/>
      <c r="F664"/>
      <c r="G664"/>
      <c r="H664"/>
    </row>
    <row r="665" spans="1:9" s="140" customFormat="1" x14ac:dyDescent="0.25">
      <c r="A665"/>
      <c r="B665"/>
      <c r="C665"/>
      <c r="D665"/>
      <c r="E665"/>
      <c r="F665"/>
      <c r="G665"/>
      <c r="H665"/>
      <c r="I665" s="134"/>
    </row>
    <row r="666" spans="1:9" s="140" customFormat="1" x14ac:dyDescent="0.25">
      <c r="A666"/>
      <c r="B666"/>
      <c r="C666"/>
      <c r="D666"/>
      <c r="E666"/>
      <c r="F666"/>
      <c r="G666"/>
      <c r="H666"/>
    </row>
    <row r="667" spans="1:9" s="140" customFormat="1" x14ac:dyDescent="0.25">
      <c r="A667"/>
      <c r="B667"/>
      <c r="C667"/>
      <c r="D667"/>
      <c r="E667"/>
      <c r="F667"/>
      <c r="G667"/>
      <c r="H667"/>
    </row>
    <row r="668" spans="1:9" s="140" customFormat="1" x14ac:dyDescent="0.25">
      <c r="A668"/>
      <c r="B668"/>
      <c r="C668"/>
      <c r="D668"/>
      <c r="E668"/>
      <c r="F668"/>
      <c r="G668"/>
      <c r="H668"/>
    </row>
    <row r="669" spans="1:9" s="140" customFormat="1" x14ac:dyDescent="0.25">
      <c r="A669"/>
      <c r="B669"/>
      <c r="C669"/>
      <c r="D669"/>
      <c r="E669"/>
      <c r="F669"/>
      <c r="G669"/>
      <c r="H669"/>
    </row>
    <row r="670" spans="1:9" s="140" customFormat="1" x14ac:dyDescent="0.25">
      <c r="A670"/>
      <c r="B670"/>
      <c r="C670"/>
      <c r="D670"/>
      <c r="E670"/>
      <c r="F670"/>
      <c r="G670"/>
      <c r="H670"/>
    </row>
    <row r="671" spans="1:9" s="140" customFormat="1" x14ac:dyDescent="0.25">
      <c r="A671"/>
      <c r="B671"/>
      <c r="C671"/>
      <c r="D671"/>
      <c r="E671"/>
      <c r="F671"/>
      <c r="G671"/>
      <c r="H671"/>
    </row>
    <row r="672" spans="1:9" s="140" customFormat="1" x14ac:dyDescent="0.25">
      <c r="A672"/>
      <c r="B672"/>
      <c r="C672"/>
      <c r="D672"/>
      <c r="E672"/>
      <c r="F672"/>
      <c r="G672"/>
      <c r="H672"/>
    </row>
    <row r="673" spans="1:9" s="140" customFormat="1" x14ac:dyDescent="0.25">
      <c r="A673"/>
      <c r="B673"/>
      <c r="C673"/>
      <c r="D673"/>
      <c r="E673"/>
      <c r="F673"/>
      <c r="G673"/>
      <c r="H673"/>
    </row>
    <row r="674" spans="1:9" s="140" customFormat="1" x14ac:dyDescent="0.25">
      <c r="A674"/>
      <c r="B674"/>
      <c r="C674"/>
      <c r="D674"/>
      <c r="E674"/>
      <c r="F674"/>
      <c r="G674"/>
      <c r="H674"/>
    </row>
    <row r="675" spans="1:9" s="140" customFormat="1" x14ac:dyDescent="0.25">
      <c r="A675"/>
      <c r="B675"/>
      <c r="C675"/>
      <c r="D675"/>
      <c r="E675"/>
      <c r="F675"/>
      <c r="G675"/>
      <c r="H675"/>
    </row>
    <row r="676" spans="1:9" s="140" customFormat="1" x14ac:dyDescent="0.25">
      <c r="A676"/>
      <c r="B676"/>
      <c r="C676"/>
      <c r="D676"/>
      <c r="E676"/>
      <c r="F676"/>
      <c r="G676"/>
      <c r="H676"/>
    </row>
    <row r="677" spans="1:9" s="140" customFormat="1" x14ac:dyDescent="0.25">
      <c r="A677"/>
      <c r="B677"/>
      <c r="C677"/>
      <c r="D677"/>
      <c r="E677"/>
      <c r="F677"/>
      <c r="G677"/>
      <c r="H677"/>
    </row>
    <row r="678" spans="1:9" s="140" customFormat="1" x14ac:dyDescent="0.25">
      <c r="A678"/>
      <c r="B678"/>
      <c r="C678"/>
      <c r="D678"/>
      <c r="E678"/>
      <c r="F678"/>
      <c r="G678"/>
      <c r="H678"/>
    </row>
    <row r="679" spans="1:9" s="140" customFormat="1" x14ac:dyDescent="0.25">
      <c r="A679"/>
      <c r="B679"/>
      <c r="C679"/>
      <c r="D679"/>
      <c r="E679"/>
      <c r="F679"/>
      <c r="G679"/>
      <c r="H679"/>
    </row>
    <row r="680" spans="1:9" s="140" customFormat="1" x14ac:dyDescent="0.25">
      <c r="A680"/>
      <c r="B680"/>
      <c r="C680"/>
      <c r="D680"/>
      <c r="E680"/>
      <c r="F680"/>
      <c r="G680"/>
      <c r="H680"/>
      <c r="I680" s="134"/>
    </row>
    <row r="681" spans="1:9" s="140" customFormat="1" x14ac:dyDescent="0.25">
      <c r="A681"/>
      <c r="B681"/>
      <c r="C681"/>
      <c r="D681"/>
      <c r="E681"/>
      <c r="F681"/>
      <c r="G681"/>
      <c r="H681"/>
    </row>
    <row r="682" spans="1:9" s="140" customFormat="1" x14ac:dyDescent="0.25">
      <c r="A682"/>
      <c r="B682"/>
      <c r="C682"/>
      <c r="D682"/>
      <c r="E682"/>
      <c r="F682"/>
      <c r="G682"/>
      <c r="H682"/>
    </row>
    <row r="683" spans="1:9" s="140" customFormat="1" x14ac:dyDescent="0.25">
      <c r="A683"/>
      <c r="B683"/>
      <c r="C683"/>
      <c r="D683"/>
      <c r="E683"/>
      <c r="F683"/>
      <c r="G683"/>
      <c r="H683"/>
    </row>
    <row r="684" spans="1:9" s="140" customFormat="1" x14ac:dyDescent="0.25">
      <c r="A684"/>
      <c r="B684"/>
      <c r="C684"/>
      <c r="D684"/>
      <c r="E684"/>
      <c r="F684"/>
      <c r="G684"/>
      <c r="H684"/>
    </row>
    <row r="685" spans="1:9" s="140" customFormat="1" x14ac:dyDescent="0.25">
      <c r="A685"/>
      <c r="B685"/>
      <c r="C685"/>
      <c r="D685"/>
      <c r="E685"/>
      <c r="F685"/>
      <c r="G685"/>
      <c r="H685"/>
    </row>
    <row r="686" spans="1:9" s="140" customFormat="1" x14ac:dyDescent="0.25">
      <c r="A686"/>
      <c r="B686"/>
      <c r="C686"/>
      <c r="D686"/>
      <c r="E686"/>
      <c r="F686"/>
      <c r="G686"/>
      <c r="H686"/>
    </row>
    <row r="687" spans="1:9" s="140" customFormat="1" x14ac:dyDescent="0.25">
      <c r="A687"/>
      <c r="B687"/>
      <c r="C687"/>
      <c r="D687"/>
      <c r="E687"/>
      <c r="F687"/>
      <c r="G687"/>
      <c r="H687"/>
    </row>
    <row r="688" spans="1:9" s="140" customFormat="1" x14ac:dyDescent="0.25">
      <c r="A688"/>
      <c r="B688"/>
      <c r="C688"/>
      <c r="D688"/>
      <c r="E688"/>
      <c r="F688"/>
      <c r="G688"/>
      <c r="H688"/>
      <c r="I688" s="134"/>
    </row>
    <row r="689" spans="1:9" s="140" customFormat="1" x14ac:dyDescent="0.25">
      <c r="A689"/>
      <c r="B689"/>
      <c r="C689"/>
      <c r="D689"/>
      <c r="E689"/>
      <c r="F689"/>
      <c r="G689"/>
      <c r="H689"/>
    </row>
    <row r="690" spans="1:9" s="140" customFormat="1" x14ac:dyDescent="0.25">
      <c r="A690"/>
      <c r="B690"/>
      <c r="C690"/>
      <c r="D690"/>
      <c r="E690"/>
      <c r="F690"/>
      <c r="G690"/>
      <c r="H690"/>
    </row>
    <row r="691" spans="1:9" s="140" customFormat="1" x14ac:dyDescent="0.25">
      <c r="A691"/>
      <c r="B691"/>
      <c r="C691"/>
      <c r="D691"/>
      <c r="E691"/>
      <c r="F691"/>
      <c r="G691"/>
      <c r="H691"/>
    </row>
    <row r="692" spans="1:9" s="140" customFormat="1" x14ac:dyDescent="0.25">
      <c r="A692"/>
      <c r="B692"/>
      <c r="C692"/>
      <c r="D692"/>
      <c r="E692"/>
      <c r="F692"/>
      <c r="G692"/>
      <c r="H692"/>
    </row>
    <row r="693" spans="1:9" s="140" customFormat="1" x14ac:dyDescent="0.25">
      <c r="A693"/>
      <c r="B693"/>
      <c r="C693"/>
      <c r="D693"/>
      <c r="E693"/>
      <c r="F693"/>
      <c r="G693"/>
      <c r="H693"/>
    </row>
    <row r="694" spans="1:9" s="140" customFormat="1" x14ac:dyDescent="0.25">
      <c r="A694"/>
      <c r="B694"/>
      <c r="C694"/>
      <c r="D694"/>
      <c r="E694"/>
      <c r="F694"/>
      <c r="G694"/>
      <c r="H694"/>
    </row>
    <row r="695" spans="1:9" s="140" customFormat="1" x14ac:dyDescent="0.25">
      <c r="A695"/>
      <c r="B695"/>
      <c r="C695"/>
      <c r="D695"/>
      <c r="E695"/>
      <c r="F695"/>
      <c r="G695"/>
      <c r="H695"/>
    </row>
    <row r="696" spans="1:9" s="140" customFormat="1" x14ac:dyDescent="0.25">
      <c r="A696"/>
      <c r="B696"/>
      <c r="C696"/>
      <c r="D696"/>
      <c r="E696"/>
      <c r="F696"/>
      <c r="G696"/>
      <c r="H696"/>
    </row>
    <row r="697" spans="1:9" s="140" customFormat="1" x14ac:dyDescent="0.25">
      <c r="A697"/>
      <c r="B697"/>
      <c r="C697"/>
      <c r="D697"/>
      <c r="E697"/>
      <c r="F697"/>
      <c r="G697"/>
      <c r="H697"/>
      <c r="I697" s="134"/>
    </row>
    <row r="698" spans="1:9" s="140" customFormat="1" x14ac:dyDescent="0.25">
      <c r="A698"/>
      <c r="B698"/>
      <c r="C698"/>
      <c r="D698"/>
      <c r="E698"/>
      <c r="F698"/>
      <c r="G698"/>
      <c r="H698"/>
    </row>
    <row r="699" spans="1:9" s="140" customFormat="1" x14ac:dyDescent="0.25">
      <c r="A699"/>
      <c r="B699"/>
      <c r="C699"/>
      <c r="D699"/>
      <c r="E699"/>
      <c r="F699"/>
      <c r="G699"/>
      <c r="H699"/>
    </row>
    <row r="700" spans="1:9" s="8" customFormat="1" x14ac:dyDescent="0.25">
      <c r="A700"/>
      <c r="B700"/>
      <c r="C700"/>
      <c r="D700"/>
      <c r="E700"/>
      <c r="F700"/>
      <c r="G700"/>
      <c r="H700"/>
    </row>
    <row r="701" spans="1:9" s="8" customFormat="1" x14ac:dyDescent="0.25">
      <c r="A701"/>
      <c r="B701"/>
      <c r="C701"/>
      <c r="D701"/>
      <c r="E701"/>
      <c r="F701"/>
      <c r="G701"/>
      <c r="H701"/>
    </row>
    <row r="702" spans="1:9" s="8" customFormat="1" x14ac:dyDescent="0.25">
      <c r="A702"/>
      <c r="B702"/>
      <c r="C702"/>
      <c r="D702"/>
      <c r="E702"/>
      <c r="F702"/>
      <c r="G702"/>
      <c r="H702"/>
    </row>
    <row r="703" spans="1:9" s="8" customFormat="1" x14ac:dyDescent="0.25">
      <c r="A703"/>
      <c r="B703"/>
      <c r="C703"/>
      <c r="D703"/>
      <c r="E703"/>
      <c r="F703"/>
      <c r="G703"/>
      <c r="H703"/>
    </row>
  </sheetData>
  <mergeCells count="42">
    <mergeCell ref="C600:E600"/>
    <mergeCell ref="B326:G326"/>
    <mergeCell ref="C330:E330"/>
    <mergeCell ref="B380:G380"/>
    <mergeCell ref="C384:E384"/>
    <mergeCell ref="B434:G434"/>
    <mergeCell ref="C438:E438"/>
    <mergeCell ref="B488:G488"/>
    <mergeCell ref="C492:E492"/>
    <mergeCell ref="B542:G542"/>
    <mergeCell ref="C546:E546"/>
    <mergeCell ref="B596:G596"/>
    <mergeCell ref="J272:O272"/>
    <mergeCell ref="K276:M276"/>
    <mergeCell ref="C276:E276"/>
    <mergeCell ref="B2:G2"/>
    <mergeCell ref="C6:E6"/>
    <mergeCell ref="B56:G56"/>
    <mergeCell ref="C60:E60"/>
    <mergeCell ref="B110:G110"/>
    <mergeCell ref="C114:E114"/>
    <mergeCell ref="B164:G164"/>
    <mergeCell ref="C168:E168"/>
    <mergeCell ref="B218:G218"/>
    <mergeCell ref="C222:E222"/>
    <mergeCell ref="B272:G272"/>
    <mergeCell ref="K114:M114"/>
    <mergeCell ref="J164:O164"/>
    <mergeCell ref="K168:M168"/>
    <mergeCell ref="J218:O218"/>
    <mergeCell ref="K222:M222"/>
    <mergeCell ref="J2:O2"/>
    <mergeCell ref="K6:M6"/>
    <mergeCell ref="J56:O56"/>
    <mergeCell ref="K60:M60"/>
    <mergeCell ref="J110:O110"/>
    <mergeCell ref="J542:O542"/>
    <mergeCell ref="K546:M546"/>
    <mergeCell ref="J596:O596"/>
    <mergeCell ref="K600:M600"/>
    <mergeCell ref="J488:P488"/>
    <mergeCell ref="K492:N492"/>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R850"/>
  <sheetViews>
    <sheetView workbookViewId="0"/>
  </sheetViews>
  <sheetFormatPr baseColWidth="10" defaultRowHeight="15" x14ac:dyDescent="0.25"/>
  <cols>
    <col min="2" max="2" width="33.7109375" customWidth="1"/>
    <col min="3" max="3" width="10.7109375" customWidth="1"/>
    <col min="5" max="5" width="14.5703125" customWidth="1"/>
    <col min="6" max="6" width="12.7109375" customWidth="1"/>
    <col min="7" max="7" width="13.140625" customWidth="1"/>
    <col min="8" max="8" width="14.42578125" customWidth="1"/>
    <col min="9" max="9" width="12.7109375" customWidth="1"/>
    <col min="10" max="10" width="32" customWidth="1"/>
    <col min="11" max="11" width="11.140625" customWidth="1"/>
    <col min="13" max="13" width="14" customWidth="1"/>
    <col min="14" max="14" width="12.140625" customWidth="1"/>
    <col min="15" max="15" width="12.42578125" bestFit="1" customWidth="1"/>
    <col min="16" max="16" width="14.7109375" customWidth="1"/>
    <col min="17" max="17" width="13.5703125" customWidth="1"/>
    <col min="18" max="18" width="13.7109375" customWidth="1"/>
  </cols>
  <sheetData>
    <row r="1" spans="1:9" x14ac:dyDescent="0.25">
      <c r="A1" s="133"/>
      <c r="B1" s="8"/>
      <c r="C1" s="8"/>
      <c r="D1" s="8"/>
      <c r="E1" s="8"/>
      <c r="F1" s="8"/>
      <c r="G1" s="8"/>
      <c r="H1" s="133"/>
      <c r="I1" s="134"/>
    </row>
    <row r="2" spans="1:9" x14ac:dyDescent="0.25">
      <c r="A2" s="397"/>
      <c r="B2" s="2512" t="s">
        <v>5400</v>
      </c>
      <c r="C2" s="2512"/>
      <c r="D2" s="2512"/>
      <c r="E2" s="2512"/>
      <c r="F2" s="2512"/>
      <c r="G2" s="2512"/>
      <c r="H2" s="398"/>
      <c r="I2" s="8"/>
    </row>
    <row r="3" spans="1:9" x14ac:dyDescent="0.25">
      <c r="A3" s="397"/>
      <c r="B3" s="399"/>
      <c r="C3" s="399"/>
      <c r="D3" s="397"/>
      <c r="E3" s="397"/>
      <c r="F3" s="400"/>
      <c r="G3" s="401"/>
      <c r="H3" s="401"/>
      <c r="I3" s="341"/>
    </row>
    <row r="4" spans="1:9" x14ac:dyDescent="0.25">
      <c r="A4" s="593" t="s">
        <v>5952</v>
      </c>
      <c r="B4" s="594" t="s">
        <v>814</v>
      </c>
      <c r="C4" s="2445" t="s">
        <v>6300</v>
      </c>
      <c r="D4" s="2445"/>
      <c r="E4" s="2445"/>
      <c r="F4" s="595" t="s">
        <v>867</v>
      </c>
      <c r="G4" s="139" t="s">
        <v>5424</v>
      </c>
      <c r="H4" s="134"/>
      <c r="I4" s="341"/>
    </row>
    <row r="5" spans="1:9" x14ac:dyDescent="0.25">
      <c r="A5" s="404"/>
      <c r="B5" s="405"/>
      <c r="C5" s="591"/>
      <c r="D5" s="591"/>
      <c r="E5" s="591"/>
      <c r="F5" s="400"/>
      <c r="G5" s="142"/>
      <c r="H5" s="134"/>
      <c r="I5" s="341"/>
    </row>
    <row r="6" spans="1:9" ht="15" customHeight="1" thickBot="1" x14ac:dyDescent="0.3">
      <c r="A6" s="397"/>
      <c r="B6" s="397"/>
      <c r="C6" s="397"/>
      <c r="D6" s="397"/>
      <c r="E6" s="397"/>
      <c r="F6" s="400"/>
      <c r="G6" s="401"/>
      <c r="H6" s="401"/>
      <c r="I6" s="341"/>
    </row>
    <row r="7" spans="1:9" ht="15.75" thickBot="1" x14ac:dyDescent="0.3">
      <c r="A7" s="397"/>
      <c r="B7" s="407" t="s">
        <v>5403</v>
      </c>
      <c r="C7" s="408" t="s">
        <v>867</v>
      </c>
      <c r="D7" s="408" t="s">
        <v>6</v>
      </c>
      <c r="E7" s="408" t="s">
        <v>5439</v>
      </c>
      <c r="F7" s="408" t="s">
        <v>5405</v>
      </c>
      <c r="G7" s="409" t="s">
        <v>868</v>
      </c>
      <c r="H7" s="401"/>
    </row>
    <row r="8" spans="1:9" x14ac:dyDescent="0.25">
      <c r="A8" s="397"/>
      <c r="B8" s="381" t="s">
        <v>5934</v>
      </c>
      <c r="C8" s="382"/>
      <c r="D8" s="383"/>
      <c r="E8" s="384"/>
      <c r="F8" s="383"/>
      <c r="G8" s="410">
        <f>0.05*H45</f>
        <v>764.05000000000007</v>
      </c>
      <c r="H8" s="401"/>
    </row>
    <row r="9" spans="1:9" x14ac:dyDescent="0.25">
      <c r="A9" s="397"/>
      <c r="B9" s="385"/>
      <c r="C9" s="386"/>
      <c r="D9" s="387"/>
      <c r="E9" s="388"/>
      <c r="F9" s="387"/>
      <c r="G9" s="411"/>
      <c r="H9" s="401"/>
    </row>
    <row r="10" spans="1:9" x14ac:dyDescent="0.25">
      <c r="A10" s="397"/>
      <c r="B10" s="385"/>
      <c r="C10" s="386"/>
      <c r="D10" s="387"/>
      <c r="E10" s="388"/>
      <c r="F10" s="387"/>
      <c r="G10" s="411"/>
      <c r="H10" s="401"/>
    </row>
    <row r="11" spans="1:9" x14ac:dyDescent="0.25">
      <c r="A11" s="397"/>
      <c r="B11" s="385"/>
      <c r="C11" s="386"/>
      <c r="D11" s="387"/>
      <c r="E11" s="388"/>
      <c r="F11" s="387"/>
      <c r="G11" s="411"/>
      <c r="H11" s="401"/>
    </row>
    <row r="12" spans="1:9" x14ac:dyDescent="0.25">
      <c r="A12" s="397"/>
      <c r="B12" s="385"/>
      <c r="C12" s="386"/>
      <c r="D12" s="387"/>
      <c r="E12" s="388"/>
      <c r="F12" s="387"/>
      <c r="G12" s="411"/>
      <c r="H12" s="401"/>
    </row>
    <row r="13" spans="1:9" ht="15.75" thickBot="1" x14ac:dyDescent="0.3">
      <c r="A13" s="397"/>
      <c r="B13" s="385"/>
      <c r="C13" s="386"/>
      <c r="D13" s="387"/>
      <c r="E13" s="387"/>
      <c r="F13" s="387"/>
      <c r="G13" s="411"/>
      <c r="H13" s="401"/>
    </row>
    <row r="14" spans="1:9" ht="15.75" thickBot="1" x14ac:dyDescent="0.3">
      <c r="A14" s="397"/>
      <c r="B14" s="412"/>
      <c r="C14" s="413"/>
      <c r="D14" s="414"/>
      <c r="E14" s="414"/>
      <c r="F14" s="414"/>
      <c r="G14" s="415"/>
      <c r="H14" s="416">
        <f>+SUM(G8:G14)</f>
        <v>764.05000000000007</v>
      </c>
    </row>
    <row r="15" spans="1:9" ht="15.75" thickBot="1" x14ac:dyDescent="0.3">
      <c r="A15" s="397"/>
      <c r="B15" s="417"/>
      <c r="C15" s="418"/>
      <c r="D15" s="417"/>
      <c r="E15" s="417"/>
      <c r="F15" s="417"/>
      <c r="G15" s="419"/>
      <c r="H15" s="420"/>
    </row>
    <row r="16" spans="1:9" ht="15.75" thickBot="1" x14ac:dyDescent="0.3">
      <c r="A16" s="397"/>
      <c r="B16" s="407" t="s">
        <v>5408</v>
      </c>
      <c r="C16" s="408" t="s">
        <v>867</v>
      </c>
      <c r="D16" s="408" t="s">
        <v>6</v>
      </c>
      <c r="E16" s="408" t="s">
        <v>870</v>
      </c>
      <c r="F16" s="408" t="s">
        <v>5409</v>
      </c>
      <c r="G16" s="409" t="s">
        <v>868</v>
      </c>
      <c r="H16" s="401"/>
    </row>
    <row r="17" spans="1:8" x14ac:dyDescent="0.25">
      <c r="A17" s="397"/>
      <c r="B17" s="389" t="s">
        <v>6301</v>
      </c>
      <c r="C17" s="211" t="s">
        <v>5424</v>
      </c>
      <c r="D17" s="211">
        <v>1</v>
      </c>
      <c r="E17" s="345">
        <v>25000</v>
      </c>
      <c r="F17" s="169">
        <v>0.05</v>
      </c>
      <c r="G17" s="172">
        <f>+D17*E17*(1+F17)</f>
        <v>26250</v>
      </c>
      <c r="H17" s="401"/>
    </row>
    <row r="18" spans="1:8" x14ac:dyDescent="0.25">
      <c r="A18" s="397"/>
      <c r="B18" s="391"/>
      <c r="C18" s="212"/>
      <c r="D18" s="212"/>
      <c r="E18" s="346"/>
      <c r="F18" s="169"/>
      <c r="G18" s="172"/>
      <c r="H18" s="401"/>
    </row>
    <row r="19" spans="1:8" x14ac:dyDescent="0.25">
      <c r="A19" s="397"/>
      <c r="B19" s="385"/>
      <c r="C19" s="386"/>
      <c r="D19" s="386"/>
      <c r="E19" s="384"/>
      <c r="F19" s="169"/>
      <c r="G19" s="410"/>
      <c r="H19" s="401"/>
    </row>
    <row r="20" spans="1:8" x14ac:dyDescent="0.25">
      <c r="A20" s="404"/>
      <c r="B20" s="391"/>
      <c r="C20" s="212"/>
      <c r="D20" s="212"/>
      <c r="E20" s="395"/>
      <c r="F20" s="169"/>
      <c r="G20" s="172"/>
      <c r="H20" s="134"/>
    </row>
    <row r="21" spans="1:8" x14ac:dyDescent="0.25">
      <c r="A21" s="397"/>
      <c r="B21" s="385"/>
      <c r="C21" s="386"/>
      <c r="D21" s="386"/>
      <c r="E21" s="384"/>
      <c r="F21" s="169"/>
      <c r="G21" s="410"/>
      <c r="H21" s="401"/>
    </row>
    <row r="22" spans="1:8" x14ac:dyDescent="0.25">
      <c r="A22" s="397"/>
      <c r="B22" s="385"/>
      <c r="C22" s="386"/>
      <c r="D22" s="386"/>
      <c r="E22" s="421"/>
      <c r="F22" s="169"/>
      <c r="G22" s="410"/>
      <c r="H22" s="401"/>
    </row>
    <row r="23" spans="1:8" x14ac:dyDescent="0.25">
      <c r="A23" s="397"/>
      <c r="B23" s="385"/>
      <c r="C23" s="386"/>
      <c r="D23" s="386"/>
      <c r="E23" s="388"/>
      <c r="F23" s="396"/>
      <c r="G23" s="410"/>
      <c r="H23" s="401"/>
    </row>
    <row r="24" spans="1:8" x14ac:dyDescent="0.25">
      <c r="A24" s="397"/>
      <c r="B24" s="385"/>
      <c r="C24" s="386"/>
      <c r="D24" s="386"/>
      <c r="E24" s="388"/>
      <c r="F24" s="396"/>
      <c r="G24" s="410"/>
      <c r="H24" s="401"/>
    </row>
    <row r="25" spans="1:8" x14ac:dyDescent="0.25">
      <c r="A25" s="397"/>
      <c r="B25" s="385"/>
      <c r="C25" s="386"/>
      <c r="D25" s="386"/>
      <c r="E25" s="388"/>
      <c r="F25" s="396"/>
      <c r="G25" s="410"/>
      <c r="H25" s="401"/>
    </row>
    <row r="26" spans="1:8" x14ac:dyDescent="0.25">
      <c r="A26" s="397"/>
      <c r="B26" s="385"/>
      <c r="C26" s="386"/>
      <c r="D26" s="387"/>
      <c r="E26" s="387"/>
      <c r="F26" s="387"/>
      <c r="G26" s="411"/>
      <c r="H26" s="401"/>
    </row>
    <row r="27" spans="1:8" ht="15.75" thickBot="1" x14ac:dyDescent="0.3">
      <c r="A27" s="397"/>
      <c r="B27" s="385"/>
      <c r="C27" s="386"/>
      <c r="D27" s="386"/>
      <c r="E27" s="388"/>
      <c r="F27" s="596"/>
      <c r="G27" s="410"/>
      <c r="H27" s="401"/>
    </row>
    <row r="28" spans="1:8" ht="15.75" thickBot="1" x14ac:dyDescent="0.3">
      <c r="A28" s="397"/>
      <c r="B28" s="412"/>
      <c r="C28" s="413"/>
      <c r="D28" s="413"/>
      <c r="E28" s="423"/>
      <c r="F28" s="597"/>
      <c r="G28" s="410"/>
      <c r="H28" s="416">
        <f>+SUM(G17:G28)</f>
        <v>26250</v>
      </c>
    </row>
    <row r="29" spans="1:8" ht="15.75" thickBot="1" x14ac:dyDescent="0.3">
      <c r="A29" s="397"/>
      <c r="B29" s="417"/>
      <c r="C29" s="417"/>
      <c r="D29" s="417"/>
      <c r="E29" s="417"/>
      <c r="F29" s="417"/>
      <c r="G29" s="419"/>
      <c r="H29" s="420"/>
    </row>
    <row r="30" spans="1:8" ht="15.75" thickBot="1" x14ac:dyDescent="0.3">
      <c r="A30" s="397"/>
      <c r="B30" s="407" t="s">
        <v>5410</v>
      </c>
      <c r="C30" s="408" t="s">
        <v>867</v>
      </c>
      <c r="D30" s="408" t="s">
        <v>6</v>
      </c>
      <c r="E30" s="408" t="s">
        <v>870</v>
      </c>
      <c r="F30" s="408" t="s">
        <v>5411</v>
      </c>
      <c r="G30" s="409" t="s">
        <v>868</v>
      </c>
      <c r="H30" s="401"/>
    </row>
    <row r="31" spans="1:8" x14ac:dyDescent="0.25">
      <c r="A31" s="397"/>
      <c r="B31" s="579"/>
      <c r="C31" s="580"/>
      <c r="D31" s="580"/>
      <c r="E31" s="580"/>
      <c r="F31" s="580"/>
      <c r="G31" s="581"/>
      <c r="H31" s="401"/>
    </row>
    <row r="32" spans="1:8" x14ac:dyDescent="0.25">
      <c r="A32" s="397"/>
      <c r="B32" s="579"/>
      <c r="C32" s="580"/>
      <c r="D32" s="580"/>
      <c r="E32" s="580"/>
      <c r="F32" s="580"/>
      <c r="G32" s="581"/>
      <c r="H32" s="401"/>
    </row>
    <row r="33" spans="1:8" x14ac:dyDescent="0.25">
      <c r="A33" s="397"/>
      <c r="B33" s="579"/>
      <c r="C33" s="580"/>
      <c r="D33" s="580"/>
      <c r="E33" s="580"/>
      <c r="F33" s="580"/>
      <c r="G33" s="581"/>
      <c r="H33" s="401"/>
    </row>
    <row r="34" spans="1:8" x14ac:dyDescent="0.25">
      <c r="A34" s="397"/>
      <c r="B34" s="579"/>
      <c r="C34" s="580"/>
      <c r="D34" s="580"/>
      <c r="E34" s="580"/>
      <c r="F34" s="580"/>
      <c r="G34" s="581"/>
      <c r="H34" s="401"/>
    </row>
    <row r="35" spans="1:8" ht="15.75" thickBot="1" x14ac:dyDescent="0.3">
      <c r="A35" s="397"/>
      <c r="B35" s="579"/>
      <c r="C35" s="580"/>
      <c r="D35" s="580"/>
      <c r="E35" s="580"/>
      <c r="F35" s="580"/>
      <c r="G35" s="581"/>
      <c r="H35" s="401"/>
    </row>
    <row r="36" spans="1:8" ht="15.75" thickBot="1" x14ac:dyDescent="0.3">
      <c r="A36" s="397"/>
      <c r="B36" s="412"/>
      <c r="C36" s="414"/>
      <c r="D36" s="414"/>
      <c r="E36" s="414"/>
      <c r="F36" s="414"/>
      <c r="G36" s="415"/>
      <c r="H36" s="416">
        <f>+SUM(G36:G36)</f>
        <v>0</v>
      </c>
    </row>
    <row r="37" spans="1:8" ht="15.75" thickBot="1" x14ac:dyDescent="0.3">
      <c r="A37" s="397"/>
      <c r="B37" s="417"/>
      <c r="C37" s="417"/>
      <c r="D37" s="417"/>
      <c r="E37" s="417"/>
      <c r="F37" s="425"/>
      <c r="G37" s="426"/>
      <c r="H37" s="420"/>
    </row>
    <row r="38" spans="1:8" ht="15.75" thickBot="1" x14ac:dyDescent="0.3">
      <c r="A38" s="397"/>
      <c r="B38" s="407" t="s">
        <v>5412</v>
      </c>
      <c r="C38" s="408" t="s">
        <v>5420</v>
      </c>
      <c r="D38" s="408" t="s">
        <v>5421</v>
      </c>
      <c r="E38" s="408" t="s">
        <v>5413</v>
      </c>
      <c r="F38" s="408" t="s">
        <v>5405</v>
      </c>
      <c r="G38" s="409" t="s">
        <v>868</v>
      </c>
      <c r="H38" s="401"/>
    </row>
    <row r="39" spans="1:8" x14ac:dyDescent="0.25">
      <c r="A39" s="397"/>
      <c r="B39" s="381" t="s">
        <v>5948</v>
      </c>
      <c r="C39" s="345">
        <v>70000</v>
      </c>
      <c r="D39" s="384">
        <f>+C39*0.85</f>
        <v>59500</v>
      </c>
      <c r="E39" s="384">
        <f>+C39+D39</f>
        <v>129500</v>
      </c>
      <c r="F39" s="382">
        <v>500</v>
      </c>
      <c r="G39" s="410">
        <f>+E39/F39</f>
        <v>259</v>
      </c>
      <c r="H39" s="401"/>
    </row>
    <row r="40" spans="1:8" x14ac:dyDescent="0.25">
      <c r="A40" s="397"/>
      <c r="B40" s="385" t="s">
        <v>5949</v>
      </c>
      <c r="C40" s="345">
        <v>40000</v>
      </c>
      <c r="D40" s="384">
        <f>+C40*0.85</f>
        <v>34000</v>
      </c>
      <c r="E40" s="384">
        <f>+C40+D40</f>
        <v>74000</v>
      </c>
      <c r="F40" s="382">
        <v>10</v>
      </c>
      <c r="G40" s="410">
        <f>+E40/F40</f>
        <v>7400</v>
      </c>
      <c r="H40" s="401"/>
    </row>
    <row r="41" spans="1:8" x14ac:dyDescent="0.25">
      <c r="A41" s="397"/>
      <c r="B41" s="385" t="s">
        <v>5950</v>
      </c>
      <c r="C41" s="345">
        <v>20600</v>
      </c>
      <c r="D41" s="384">
        <f>+C41*0.85</f>
        <v>17510</v>
      </c>
      <c r="E41" s="384">
        <f>+C41+D41</f>
        <v>38110</v>
      </c>
      <c r="F41" s="382">
        <v>5</v>
      </c>
      <c r="G41" s="410">
        <f>+E41/F41</f>
        <v>7622</v>
      </c>
      <c r="H41" s="401"/>
    </row>
    <row r="42" spans="1:8" x14ac:dyDescent="0.25">
      <c r="A42" s="397"/>
      <c r="B42" s="385"/>
      <c r="C42" s="384"/>
      <c r="D42" s="384"/>
      <c r="E42" s="384"/>
      <c r="F42" s="382"/>
      <c r="G42" s="410"/>
      <c r="H42" s="401"/>
    </row>
    <row r="43" spans="1:8" x14ac:dyDescent="0.25">
      <c r="A43" s="397"/>
      <c r="B43" s="412"/>
      <c r="C43" s="582"/>
      <c r="D43" s="582"/>
      <c r="E43" s="582"/>
      <c r="F43" s="580"/>
      <c r="G43" s="583"/>
      <c r="H43" s="401"/>
    </row>
    <row r="44" spans="1:8" ht="15.75" thickBot="1" x14ac:dyDescent="0.3">
      <c r="A44" s="397"/>
      <c r="B44" s="412"/>
      <c r="C44" s="582"/>
      <c r="D44" s="582"/>
      <c r="E44" s="582"/>
      <c r="F44" s="580"/>
      <c r="G44" s="583"/>
      <c r="H44" s="401"/>
    </row>
    <row r="45" spans="1:8" ht="15.75" thickBot="1" x14ac:dyDescent="0.3">
      <c r="A45" s="397"/>
      <c r="B45" s="427"/>
      <c r="C45" s="428"/>
      <c r="D45" s="428"/>
      <c r="E45" s="428"/>
      <c r="F45" s="428"/>
      <c r="G45" s="429"/>
      <c r="H45" s="416">
        <f>+SUM(G39:G45)</f>
        <v>15281</v>
      </c>
    </row>
    <row r="46" spans="1:8" ht="15.75" thickBot="1" x14ac:dyDescent="0.3">
      <c r="A46" s="397"/>
      <c r="B46" s="430"/>
      <c r="C46" s="430"/>
      <c r="D46" s="430"/>
      <c r="E46" s="430"/>
      <c r="F46" s="430"/>
      <c r="G46" s="401"/>
      <c r="H46" s="401"/>
    </row>
    <row r="47" spans="1:8" ht="15.75" thickBot="1" x14ac:dyDescent="0.3">
      <c r="A47" s="397"/>
      <c r="B47" s="430"/>
      <c r="C47" s="430"/>
      <c r="D47" s="430"/>
      <c r="E47" s="431" t="s">
        <v>5415</v>
      </c>
      <c r="F47" s="430"/>
      <c r="G47" s="401"/>
      <c r="H47" s="416">
        <f>+ROUND(H14+H28+H36+H45,0)</f>
        <v>42295</v>
      </c>
    </row>
    <row r="48" spans="1:8" x14ac:dyDescent="0.25">
      <c r="A48" s="397"/>
      <c r="B48" s="397"/>
      <c r="C48" s="397"/>
      <c r="D48" s="397"/>
      <c r="E48" s="397"/>
      <c r="F48" s="400"/>
      <c r="G48" s="401"/>
      <c r="H48" s="401"/>
    </row>
    <row r="52" spans="1:9" x14ac:dyDescent="0.25">
      <c r="A52" s="397"/>
      <c r="B52" s="2512" t="s">
        <v>5400</v>
      </c>
      <c r="C52" s="2512"/>
      <c r="D52" s="2512"/>
      <c r="E52" s="2512"/>
      <c r="F52" s="2512"/>
      <c r="G52" s="2512"/>
      <c r="H52" s="398"/>
    </row>
    <row r="53" spans="1:9" x14ac:dyDescent="0.25">
      <c r="A53" s="397"/>
      <c r="B53" s="399"/>
      <c r="C53" s="399"/>
      <c r="D53" s="397"/>
      <c r="E53" s="397"/>
      <c r="F53" s="400"/>
      <c r="G53" s="401"/>
      <c r="H53" s="401"/>
    </row>
    <row r="54" spans="1:9" x14ac:dyDescent="0.25">
      <c r="A54" s="593" t="s">
        <v>5952</v>
      </c>
      <c r="B54" s="594" t="s">
        <v>814</v>
      </c>
      <c r="C54" s="2445" t="s">
        <v>6302</v>
      </c>
      <c r="D54" s="2445"/>
      <c r="E54" s="2445"/>
      <c r="F54" s="595" t="s">
        <v>867</v>
      </c>
      <c r="G54" s="139" t="s">
        <v>5424</v>
      </c>
      <c r="H54" s="134"/>
    </row>
    <row r="55" spans="1:9" x14ac:dyDescent="0.25">
      <c r="A55" s="404"/>
      <c r="B55" s="405"/>
      <c r="C55" s="591"/>
      <c r="D55" s="591"/>
      <c r="E55" s="591"/>
      <c r="F55" s="400"/>
      <c r="G55" s="142"/>
      <c r="H55" s="134"/>
    </row>
    <row r="56" spans="1:9" ht="15.75" thickBot="1" x14ac:dyDescent="0.3">
      <c r="A56" s="397"/>
      <c r="B56" s="397"/>
      <c r="C56" s="397"/>
      <c r="D56" s="397"/>
      <c r="E56" s="397"/>
      <c r="F56" s="400"/>
      <c r="G56" s="401"/>
      <c r="H56" s="401"/>
      <c r="I56" s="8"/>
    </row>
    <row r="57" spans="1:9" ht="15.75" thickBot="1" x14ac:dyDescent="0.3">
      <c r="A57" s="397"/>
      <c r="B57" s="407" t="s">
        <v>5403</v>
      </c>
      <c r="C57" s="408" t="s">
        <v>867</v>
      </c>
      <c r="D57" s="408" t="s">
        <v>6</v>
      </c>
      <c r="E57" s="408" t="s">
        <v>5439</v>
      </c>
      <c r="F57" s="408" t="s">
        <v>5405</v>
      </c>
      <c r="G57" s="409" t="s">
        <v>868</v>
      </c>
      <c r="H57" s="401"/>
      <c r="I57" s="341"/>
    </row>
    <row r="58" spans="1:9" x14ac:dyDescent="0.25">
      <c r="A58" s="397"/>
      <c r="B58" s="381" t="s">
        <v>5934</v>
      </c>
      <c r="C58" s="382"/>
      <c r="D58" s="383"/>
      <c r="E58" s="384"/>
      <c r="F58" s="383"/>
      <c r="G58" s="410">
        <f>0.05*H95</f>
        <v>5875.6</v>
      </c>
      <c r="H58" s="401"/>
      <c r="I58" s="341"/>
    </row>
    <row r="59" spans="1:9" x14ac:dyDescent="0.25">
      <c r="A59" s="397"/>
      <c r="B59" s="385" t="s">
        <v>5935</v>
      </c>
      <c r="C59" s="386" t="s">
        <v>5936</v>
      </c>
      <c r="D59" s="387">
        <v>1</v>
      </c>
      <c r="E59" s="388">
        <f>100000/8</f>
        <v>12500</v>
      </c>
      <c r="F59" s="387">
        <v>50</v>
      </c>
      <c r="G59" s="411">
        <f>+D59*E59/F59</f>
        <v>250</v>
      </c>
      <c r="H59" s="401"/>
      <c r="I59" s="341"/>
    </row>
    <row r="60" spans="1:9" ht="15" customHeight="1" x14ac:dyDescent="0.25">
      <c r="A60" s="397"/>
      <c r="B60" s="385"/>
      <c r="C60" s="386"/>
      <c r="D60" s="387"/>
      <c r="E60" s="388"/>
      <c r="F60" s="387"/>
      <c r="G60" s="411"/>
      <c r="H60" s="401"/>
      <c r="I60" s="341"/>
    </row>
    <row r="61" spans="1:9" x14ac:dyDescent="0.25">
      <c r="A61" s="397"/>
      <c r="B61" s="385"/>
      <c r="C61" s="386"/>
      <c r="D61" s="387"/>
      <c r="E61" s="388"/>
      <c r="F61" s="387"/>
      <c r="G61" s="411"/>
      <c r="H61" s="401"/>
    </row>
    <row r="62" spans="1:9" x14ac:dyDescent="0.25">
      <c r="A62" s="397"/>
      <c r="B62" s="385"/>
      <c r="C62" s="386"/>
      <c r="D62" s="387"/>
      <c r="E62" s="388"/>
      <c r="F62" s="387"/>
      <c r="G62" s="411"/>
      <c r="H62" s="401"/>
    </row>
    <row r="63" spans="1:9" ht="15.75" thickBot="1" x14ac:dyDescent="0.3">
      <c r="A63" s="397"/>
      <c r="B63" s="385"/>
      <c r="C63" s="386"/>
      <c r="D63" s="387"/>
      <c r="E63" s="387"/>
      <c r="F63" s="387"/>
      <c r="G63" s="411"/>
      <c r="H63" s="401"/>
    </row>
    <row r="64" spans="1:9" ht="15.75" thickBot="1" x14ac:dyDescent="0.3">
      <c r="A64" s="397"/>
      <c r="B64" s="412"/>
      <c r="C64" s="413"/>
      <c r="D64" s="414"/>
      <c r="E64" s="414"/>
      <c r="F64" s="414"/>
      <c r="G64" s="415"/>
      <c r="H64" s="416">
        <f>+SUM(G58:G64)</f>
        <v>6125.6</v>
      </c>
    </row>
    <row r="65" spans="1:8" ht="15.75" thickBot="1" x14ac:dyDescent="0.3">
      <c r="A65" s="397"/>
      <c r="B65" s="417"/>
      <c r="C65" s="418"/>
      <c r="D65" s="417"/>
      <c r="E65" s="417"/>
      <c r="F65" s="417"/>
      <c r="G65" s="419"/>
      <c r="H65" s="420"/>
    </row>
    <row r="66" spans="1:8" ht="15.75" thickBot="1" x14ac:dyDescent="0.3">
      <c r="A66" s="397"/>
      <c r="B66" s="407" t="s">
        <v>5408</v>
      </c>
      <c r="C66" s="408" t="s">
        <v>867</v>
      </c>
      <c r="D66" s="408" t="s">
        <v>6</v>
      </c>
      <c r="E66" s="408" t="s">
        <v>870</v>
      </c>
      <c r="F66" s="408" t="s">
        <v>5409</v>
      </c>
      <c r="G66" s="409" t="s">
        <v>868</v>
      </c>
      <c r="H66" s="401"/>
    </row>
    <row r="67" spans="1:8" x14ac:dyDescent="0.25">
      <c r="A67" s="397"/>
      <c r="B67" s="389" t="s">
        <v>6303</v>
      </c>
      <c r="C67" s="211" t="s">
        <v>5424</v>
      </c>
      <c r="D67" s="211">
        <v>0.33</v>
      </c>
      <c r="E67" s="345">
        <v>349765</v>
      </c>
      <c r="F67" s="169">
        <v>0.05</v>
      </c>
      <c r="G67" s="172">
        <f>+D67*E67*(1+F67)</f>
        <v>121193.57250000002</v>
      </c>
      <c r="H67" s="401"/>
    </row>
    <row r="68" spans="1:8" x14ac:dyDescent="0.25">
      <c r="A68" s="397"/>
      <c r="B68" s="391" t="s">
        <v>6304</v>
      </c>
      <c r="C68" s="212" t="s">
        <v>5402</v>
      </c>
      <c r="D68" s="212">
        <v>8</v>
      </c>
      <c r="E68" s="346">
        <v>7950</v>
      </c>
      <c r="F68" s="169">
        <v>0.05</v>
      </c>
      <c r="G68" s="172">
        <f>+D68*E68*(1+F68)</f>
        <v>66780</v>
      </c>
      <c r="H68" s="401"/>
    </row>
    <row r="69" spans="1:8" x14ac:dyDescent="0.25">
      <c r="A69" s="397"/>
      <c r="B69" s="385"/>
      <c r="C69" s="386"/>
      <c r="D69" s="386"/>
      <c r="E69" s="384"/>
      <c r="F69" s="169"/>
      <c r="G69" s="410"/>
      <c r="H69" s="401"/>
    </row>
    <row r="70" spans="1:8" x14ac:dyDescent="0.25">
      <c r="A70" s="404"/>
      <c r="B70" s="391"/>
      <c r="C70" s="212"/>
      <c r="D70" s="212"/>
      <c r="E70" s="395"/>
      <c r="F70" s="169"/>
      <c r="G70" s="172"/>
      <c r="H70" s="134"/>
    </row>
    <row r="71" spans="1:8" x14ac:dyDescent="0.25">
      <c r="A71" s="397"/>
      <c r="B71" s="385"/>
      <c r="C71" s="386"/>
      <c r="D71" s="386"/>
      <c r="E71" s="384"/>
      <c r="F71" s="169"/>
      <c r="G71" s="410"/>
      <c r="H71" s="401"/>
    </row>
    <row r="72" spans="1:8" x14ac:dyDescent="0.25">
      <c r="A72" s="397"/>
      <c r="B72" s="385"/>
      <c r="C72" s="386"/>
      <c r="D72" s="386"/>
      <c r="E72" s="421"/>
      <c r="F72" s="169"/>
      <c r="G72" s="410"/>
      <c r="H72" s="401"/>
    </row>
    <row r="73" spans="1:8" x14ac:dyDescent="0.25">
      <c r="A73" s="397"/>
      <c r="B73" s="385"/>
      <c r="C73" s="386"/>
      <c r="D73" s="386"/>
      <c r="E73" s="388"/>
      <c r="F73" s="396"/>
      <c r="G73" s="410"/>
      <c r="H73" s="401"/>
    </row>
    <row r="74" spans="1:8" x14ac:dyDescent="0.25">
      <c r="A74" s="397"/>
      <c r="B74" s="385"/>
      <c r="C74" s="386"/>
      <c r="D74" s="386"/>
      <c r="E74" s="388"/>
      <c r="F74" s="396"/>
      <c r="G74" s="410"/>
      <c r="H74" s="401"/>
    </row>
    <row r="75" spans="1:8" x14ac:dyDescent="0.25">
      <c r="A75" s="397"/>
      <c r="B75" s="385"/>
      <c r="C75" s="386"/>
      <c r="D75" s="386"/>
      <c r="E75" s="388"/>
      <c r="F75" s="396"/>
      <c r="G75" s="410"/>
      <c r="H75" s="401"/>
    </row>
    <row r="76" spans="1:8" x14ac:dyDescent="0.25">
      <c r="A76" s="397"/>
      <c r="B76" s="385"/>
      <c r="C76" s="386"/>
      <c r="D76" s="387"/>
      <c r="E76" s="387"/>
      <c r="F76" s="387"/>
      <c r="G76" s="411"/>
      <c r="H76" s="401"/>
    </row>
    <row r="77" spans="1:8" ht="15.75" thickBot="1" x14ac:dyDescent="0.3">
      <c r="A77" s="397"/>
      <c r="B77" s="385"/>
      <c r="C77" s="386"/>
      <c r="D77" s="386"/>
      <c r="E77" s="388"/>
      <c r="F77" s="596"/>
      <c r="G77" s="410"/>
      <c r="H77" s="401"/>
    </row>
    <row r="78" spans="1:8" ht="15.75" thickBot="1" x14ac:dyDescent="0.3">
      <c r="A78" s="397"/>
      <c r="B78" s="412"/>
      <c r="C78" s="413"/>
      <c r="D78" s="413"/>
      <c r="E78" s="423"/>
      <c r="F78" s="597"/>
      <c r="G78" s="410"/>
      <c r="H78" s="416">
        <f>+SUM(G67:G78)</f>
        <v>187973.57250000001</v>
      </c>
    </row>
    <row r="79" spans="1:8" ht="15.75" thickBot="1" x14ac:dyDescent="0.3">
      <c r="A79" s="397"/>
      <c r="B79" s="417"/>
      <c r="C79" s="417"/>
      <c r="D79" s="417"/>
      <c r="E79" s="417"/>
      <c r="F79" s="417"/>
      <c r="G79" s="419"/>
      <c r="H79" s="420"/>
    </row>
    <row r="80" spans="1:8" ht="15.75" thickBot="1" x14ac:dyDescent="0.3">
      <c r="A80" s="397"/>
      <c r="B80" s="407" t="s">
        <v>5410</v>
      </c>
      <c r="C80" s="408" t="s">
        <v>867</v>
      </c>
      <c r="D80" s="408" t="s">
        <v>6</v>
      </c>
      <c r="E80" s="408" t="s">
        <v>870</v>
      </c>
      <c r="F80" s="408" t="s">
        <v>5411</v>
      </c>
      <c r="G80" s="409" t="s">
        <v>868</v>
      </c>
      <c r="H80" s="401"/>
    </row>
    <row r="81" spans="1:8" x14ac:dyDescent="0.25">
      <c r="A81" s="397"/>
      <c r="B81" s="579"/>
      <c r="C81" s="580"/>
      <c r="D81" s="580"/>
      <c r="E81" s="580"/>
      <c r="F81" s="580"/>
      <c r="G81" s="581"/>
      <c r="H81" s="401"/>
    </row>
    <row r="82" spans="1:8" x14ac:dyDescent="0.25">
      <c r="A82" s="397"/>
      <c r="B82" s="579"/>
      <c r="C82" s="580"/>
      <c r="D82" s="580"/>
      <c r="E82" s="580"/>
      <c r="F82" s="580"/>
      <c r="G82" s="581"/>
      <c r="H82" s="401"/>
    </row>
    <row r="83" spans="1:8" x14ac:dyDescent="0.25">
      <c r="A83" s="397"/>
      <c r="B83" s="579"/>
      <c r="C83" s="580"/>
      <c r="D83" s="580"/>
      <c r="E83" s="580"/>
      <c r="F83" s="580"/>
      <c r="G83" s="581"/>
      <c r="H83" s="401"/>
    </row>
    <row r="84" spans="1:8" x14ac:dyDescent="0.25">
      <c r="A84" s="397"/>
      <c r="B84" s="579"/>
      <c r="C84" s="580"/>
      <c r="D84" s="580"/>
      <c r="E84" s="580"/>
      <c r="F84" s="580"/>
      <c r="G84" s="581"/>
      <c r="H84" s="401"/>
    </row>
    <row r="85" spans="1:8" ht="15.75" thickBot="1" x14ac:dyDescent="0.3">
      <c r="A85" s="397"/>
      <c r="B85" s="579"/>
      <c r="C85" s="580"/>
      <c r="D85" s="580"/>
      <c r="E85" s="580"/>
      <c r="F85" s="580"/>
      <c r="G85" s="581"/>
      <c r="H85" s="401"/>
    </row>
    <row r="86" spans="1:8" ht="15.75" thickBot="1" x14ac:dyDescent="0.3">
      <c r="A86" s="397"/>
      <c r="B86" s="412"/>
      <c r="C86" s="414"/>
      <c r="D86" s="414"/>
      <c r="E86" s="414"/>
      <c r="F86" s="414"/>
      <c r="G86" s="415"/>
      <c r="H86" s="416">
        <f>+SUM(G86:G86)</f>
        <v>0</v>
      </c>
    </row>
    <row r="87" spans="1:8" ht="15.75" thickBot="1" x14ac:dyDescent="0.3">
      <c r="A87" s="397"/>
      <c r="B87" s="417"/>
      <c r="C87" s="417"/>
      <c r="D87" s="417"/>
      <c r="E87" s="417"/>
      <c r="F87" s="425"/>
      <c r="G87" s="426"/>
      <c r="H87" s="420"/>
    </row>
    <row r="88" spans="1:8" ht="15.75" thickBot="1" x14ac:dyDescent="0.3">
      <c r="A88" s="397"/>
      <c r="B88" s="407" t="s">
        <v>5412</v>
      </c>
      <c r="C88" s="408" t="s">
        <v>5420</v>
      </c>
      <c r="D88" s="408" t="s">
        <v>5421</v>
      </c>
      <c r="E88" s="408" t="s">
        <v>5413</v>
      </c>
      <c r="F88" s="408" t="s">
        <v>5405</v>
      </c>
      <c r="G88" s="409" t="s">
        <v>868</v>
      </c>
      <c r="H88" s="401"/>
    </row>
    <row r="89" spans="1:8" x14ac:dyDescent="0.25">
      <c r="A89" s="397"/>
      <c r="B89" s="381" t="s">
        <v>5948</v>
      </c>
      <c r="C89" s="345">
        <v>70000</v>
      </c>
      <c r="D89" s="384">
        <f>+C89*0.85</f>
        <v>59500</v>
      </c>
      <c r="E89" s="384">
        <f>+C89+D89</f>
        <v>129500</v>
      </c>
      <c r="F89" s="382">
        <v>50</v>
      </c>
      <c r="G89" s="410">
        <f>+E89/F89</f>
        <v>2590</v>
      </c>
      <c r="H89" s="401"/>
    </row>
    <row r="90" spans="1:8" x14ac:dyDescent="0.25">
      <c r="A90" s="397"/>
      <c r="B90" s="385" t="s">
        <v>5949</v>
      </c>
      <c r="C90" s="345">
        <v>40000</v>
      </c>
      <c r="D90" s="384">
        <f>+C90*0.85</f>
        <v>34000</v>
      </c>
      <c r="E90" s="384">
        <f>+C90+D90</f>
        <v>74000</v>
      </c>
      <c r="F90" s="382">
        <v>5</v>
      </c>
      <c r="G90" s="410">
        <f>+E90/F90</f>
        <v>14800</v>
      </c>
      <c r="H90" s="401"/>
    </row>
    <row r="91" spans="1:8" x14ac:dyDescent="0.25">
      <c r="A91" s="397"/>
      <c r="B91" s="385" t="s">
        <v>5950</v>
      </c>
      <c r="C91" s="345">
        <v>20600</v>
      </c>
      <c r="D91" s="384">
        <f>+C91*0.85</f>
        <v>17510</v>
      </c>
      <c r="E91" s="384">
        <f>+C91+D91</f>
        <v>38110</v>
      </c>
      <c r="F91" s="382">
        <v>5</v>
      </c>
      <c r="G91" s="410">
        <f>+E91/F91</f>
        <v>7622</v>
      </c>
      <c r="H91" s="401"/>
    </row>
    <row r="92" spans="1:8" x14ac:dyDescent="0.25">
      <c r="A92" s="397"/>
      <c r="B92" s="385" t="s">
        <v>5951</v>
      </c>
      <c r="C92" s="384">
        <v>100000</v>
      </c>
      <c r="D92" s="384">
        <f>+C92*0.85</f>
        <v>85000</v>
      </c>
      <c r="E92" s="384">
        <f>+C92+D92</f>
        <v>185000</v>
      </c>
      <c r="F92" s="382">
        <v>2</v>
      </c>
      <c r="G92" s="410">
        <f>+E92/F92</f>
        <v>92500</v>
      </c>
      <c r="H92" s="401"/>
    </row>
    <row r="93" spans="1:8" x14ac:dyDescent="0.25">
      <c r="A93" s="397"/>
      <c r="B93" s="412"/>
      <c r="C93" s="582"/>
      <c r="D93" s="582"/>
      <c r="E93" s="582"/>
      <c r="F93" s="580"/>
      <c r="G93" s="583"/>
      <c r="H93" s="401"/>
    </row>
    <row r="94" spans="1:8" ht="15.75" thickBot="1" x14ac:dyDescent="0.3">
      <c r="A94" s="397"/>
      <c r="B94" s="412"/>
      <c r="C94" s="582"/>
      <c r="D94" s="582"/>
      <c r="E94" s="582"/>
      <c r="F94" s="580"/>
      <c r="G94" s="583"/>
      <c r="H94" s="401"/>
    </row>
    <row r="95" spans="1:8" ht="15.75" thickBot="1" x14ac:dyDescent="0.3">
      <c r="A95" s="397"/>
      <c r="B95" s="427"/>
      <c r="C95" s="428"/>
      <c r="D95" s="428"/>
      <c r="E95" s="428"/>
      <c r="F95" s="428"/>
      <c r="G95" s="429"/>
      <c r="H95" s="416">
        <f>+SUM(G89:G95)</f>
        <v>117512</v>
      </c>
    </row>
    <row r="96" spans="1:8" ht="15.75" thickBot="1" x14ac:dyDescent="0.3">
      <c r="A96" s="397"/>
      <c r="B96" s="430"/>
      <c r="C96" s="430"/>
      <c r="D96" s="430"/>
      <c r="E96" s="430"/>
      <c r="F96" s="430"/>
      <c r="G96" s="401"/>
      <c r="H96" s="401"/>
    </row>
    <row r="97" spans="1:9" ht="15.75" thickBot="1" x14ac:dyDescent="0.3">
      <c r="A97" s="397"/>
      <c r="B97" s="430"/>
      <c r="C97" s="430"/>
      <c r="D97" s="430"/>
      <c r="E97" s="431" t="s">
        <v>5415</v>
      </c>
      <c r="F97" s="430"/>
      <c r="G97" s="401"/>
      <c r="H97" s="416">
        <f>+ROUND(H64+H78+H86+H95,0)</f>
        <v>311611</v>
      </c>
    </row>
    <row r="98" spans="1:9" x14ac:dyDescent="0.25">
      <c r="F98" s="8"/>
    </row>
    <row r="99" spans="1:9" x14ac:dyDescent="0.25">
      <c r="F99" s="8"/>
    </row>
    <row r="100" spans="1:9" x14ac:dyDescent="0.25">
      <c r="F100" s="8"/>
    </row>
    <row r="101" spans="1:9" x14ac:dyDescent="0.25">
      <c r="F101" s="8"/>
    </row>
    <row r="102" spans="1:9" ht="18.75" x14ac:dyDescent="0.25">
      <c r="A102" s="133"/>
      <c r="B102" s="2506" t="s">
        <v>5400</v>
      </c>
      <c r="C102" s="2506"/>
      <c r="D102" s="2506"/>
      <c r="E102" s="2506"/>
      <c r="F102" s="2506"/>
      <c r="G102" s="2506"/>
      <c r="H102" s="2506"/>
      <c r="I102" s="8"/>
    </row>
    <row r="103" spans="1:9" x14ac:dyDescent="0.25">
      <c r="A103" s="133"/>
      <c r="B103" s="8"/>
      <c r="C103" s="8"/>
      <c r="D103" s="8"/>
      <c r="E103" s="8"/>
      <c r="F103" s="8"/>
      <c r="G103" s="133"/>
      <c r="H103" s="341"/>
      <c r="I103" s="341"/>
    </row>
    <row r="104" spans="1:9" x14ac:dyDescent="0.25">
      <c r="A104" s="133"/>
      <c r="B104" s="8"/>
      <c r="C104" s="8"/>
      <c r="D104" s="8"/>
      <c r="E104" s="8"/>
      <c r="F104" s="8"/>
      <c r="G104" s="133"/>
      <c r="H104" s="341"/>
      <c r="I104" s="341"/>
    </row>
    <row r="105" spans="1:9" x14ac:dyDescent="0.25">
      <c r="A105" s="133"/>
      <c r="B105" s="8"/>
      <c r="C105" s="8"/>
      <c r="D105" s="8"/>
      <c r="E105" s="8"/>
      <c r="F105" s="8"/>
      <c r="G105" s="133"/>
      <c r="H105" s="341"/>
      <c r="I105" s="341"/>
    </row>
    <row r="106" spans="1:9" ht="24.95" customHeight="1" x14ac:dyDescent="0.25">
      <c r="A106" s="220" t="s">
        <v>5482</v>
      </c>
      <c r="B106" s="138" t="s">
        <v>684</v>
      </c>
      <c r="C106" s="2449" t="s">
        <v>6295</v>
      </c>
      <c r="D106" s="2449"/>
      <c r="E106" s="2449"/>
      <c r="F106" s="220" t="s">
        <v>867</v>
      </c>
      <c r="G106" s="342" t="s">
        <v>5424</v>
      </c>
      <c r="H106" s="341"/>
    </row>
    <row r="107" spans="1:9" x14ac:dyDescent="0.25">
      <c r="A107" s="133"/>
      <c r="B107" s="8"/>
      <c r="C107" s="223"/>
      <c r="D107" s="223"/>
      <c r="E107" s="223"/>
      <c r="F107" s="133"/>
      <c r="G107" s="341"/>
      <c r="H107" s="341"/>
    </row>
    <row r="108" spans="1:9" x14ac:dyDescent="0.25">
      <c r="A108" s="133"/>
      <c r="B108" s="8"/>
      <c r="C108" s="8"/>
      <c r="D108" s="8"/>
      <c r="E108" s="8"/>
      <c r="F108" s="8"/>
      <c r="G108" s="8"/>
      <c r="H108" s="341"/>
    </row>
    <row r="109" spans="1:9" ht="15.75" thickBot="1" x14ac:dyDescent="0.3">
      <c r="A109" s="133"/>
      <c r="B109" s="8"/>
      <c r="C109" s="8"/>
      <c r="D109" s="8"/>
      <c r="E109" s="8"/>
      <c r="F109" s="133"/>
      <c r="G109" s="341"/>
      <c r="H109" s="341"/>
    </row>
    <row r="110" spans="1:9" ht="15.75" thickBot="1" x14ac:dyDescent="0.3">
      <c r="A110" s="133"/>
      <c r="B110" s="224" t="s">
        <v>5403</v>
      </c>
      <c r="C110" s="193" t="s">
        <v>867</v>
      </c>
      <c r="D110" s="193" t="s">
        <v>6</v>
      </c>
      <c r="E110" s="193" t="s">
        <v>5439</v>
      </c>
      <c r="F110" s="193" t="s">
        <v>5405</v>
      </c>
      <c r="G110" s="343" t="s">
        <v>868</v>
      </c>
      <c r="H110" s="341"/>
    </row>
    <row r="111" spans="1:9" x14ac:dyDescent="0.25">
      <c r="A111" s="133"/>
      <c r="B111" s="146" t="s">
        <v>5934</v>
      </c>
      <c r="C111" s="226" t="s">
        <v>5402</v>
      </c>
      <c r="D111" s="226">
        <v>1</v>
      </c>
      <c r="E111" s="372">
        <f>+H149</f>
        <v>17612</v>
      </c>
      <c r="F111" s="226">
        <v>0.2</v>
      </c>
      <c r="G111" s="373">
        <f>+E111*F111</f>
        <v>3522.4</v>
      </c>
      <c r="H111" s="341"/>
    </row>
    <row r="112" spans="1:9" x14ac:dyDescent="0.25">
      <c r="A112" s="133"/>
      <c r="B112" s="195" t="s">
        <v>6306</v>
      </c>
      <c r="C112" s="226" t="s">
        <v>5424</v>
      </c>
      <c r="D112" s="226">
        <v>1</v>
      </c>
      <c r="E112" s="374">
        <v>35000</v>
      </c>
      <c r="F112" s="226">
        <v>50</v>
      </c>
      <c r="G112" s="344">
        <f>+E112/F112</f>
        <v>700</v>
      </c>
      <c r="H112" s="341"/>
    </row>
    <row r="113" spans="1:8" x14ac:dyDescent="0.25">
      <c r="A113" s="133"/>
      <c r="B113" s="195"/>
      <c r="C113" s="226"/>
      <c r="D113" s="226"/>
      <c r="E113" s="345"/>
      <c r="F113" s="226"/>
      <c r="G113" s="344"/>
      <c r="H113" s="341"/>
    </row>
    <row r="114" spans="1:8" x14ac:dyDescent="0.25">
      <c r="A114" s="133"/>
      <c r="B114" s="195"/>
      <c r="C114" s="226"/>
      <c r="D114" s="226"/>
      <c r="E114" s="346"/>
      <c r="F114" s="226"/>
      <c r="G114" s="375"/>
      <c r="H114" s="341"/>
    </row>
    <row r="115" spans="1:8" x14ac:dyDescent="0.25">
      <c r="A115" s="133"/>
      <c r="B115" s="195"/>
      <c r="C115" s="226"/>
      <c r="D115" s="232"/>
      <c r="E115" s="232"/>
      <c r="F115" s="226"/>
      <c r="G115" s="344"/>
      <c r="H115" s="341"/>
    </row>
    <row r="116" spans="1:8" ht="15.75" thickBot="1" x14ac:dyDescent="0.3">
      <c r="A116" s="133"/>
      <c r="B116" s="195"/>
      <c r="C116" s="226"/>
      <c r="D116" s="232"/>
      <c r="E116" s="232"/>
      <c r="F116" s="226"/>
      <c r="G116" s="344"/>
      <c r="H116" s="341"/>
    </row>
    <row r="117" spans="1:8" ht="15.75" thickBot="1" x14ac:dyDescent="0.3">
      <c r="A117" s="133"/>
      <c r="B117" s="233"/>
      <c r="C117" s="234"/>
      <c r="D117" s="234"/>
      <c r="E117" s="234"/>
      <c r="F117" s="235"/>
      <c r="G117" s="347"/>
      <c r="H117" s="348">
        <f>+SUM(G111:G117)</f>
        <v>4222.3999999999996</v>
      </c>
    </row>
    <row r="118" spans="1:8" ht="15.75" thickBot="1" x14ac:dyDescent="0.3">
      <c r="A118" s="133"/>
      <c r="B118" s="238"/>
      <c r="C118" s="238"/>
      <c r="D118" s="238"/>
      <c r="E118" s="238"/>
      <c r="F118" s="239"/>
      <c r="G118" s="349"/>
      <c r="H118" s="350"/>
    </row>
    <row r="119" spans="1:8" ht="15.75" thickBot="1" x14ac:dyDescent="0.3">
      <c r="A119" s="133"/>
      <c r="B119" s="224" t="s">
        <v>5408</v>
      </c>
      <c r="C119" s="193" t="s">
        <v>867</v>
      </c>
      <c r="D119" s="193" t="s">
        <v>6</v>
      </c>
      <c r="E119" s="193" t="s">
        <v>870</v>
      </c>
      <c r="F119" s="193" t="s">
        <v>5409</v>
      </c>
      <c r="G119" s="343" t="s">
        <v>868</v>
      </c>
      <c r="H119" s="341"/>
    </row>
    <row r="120" spans="1:8" x14ac:dyDescent="0.25">
      <c r="A120" s="133"/>
      <c r="B120" s="258" t="s">
        <v>6305</v>
      </c>
      <c r="C120" s="202" t="s">
        <v>5944</v>
      </c>
      <c r="D120" s="226">
        <v>0.2</v>
      </c>
      <c r="E120" s="376">
        <v>58000</v>
      </c>
      <c r="F120" s="169">
        <v>0.1</v>
      </c>
      <c r="G120" s="377">
        <f>+D120*E120*(1+F120)</f>
        <v>12760.000000000002</v>
      </c>
      <c r="H120" s="341"/>
    </row>
    <row r="121" spans="1:8" x14ac:dyDescent="0.25">
      <c r="A121" s="133"/>
      <c r="B121" s="260" t="s">
        <v>6307</v>
      </c>
      <c r="C121" s="202" t="s">
        <v>5424</v>
      </c>
      <c r="D121" s="202">
        <v>0.1</v>
      </c>
      <c r="E121" s="378">
        <v>12000</v>
      </c>
      <c r="F121" s="169">
        <v>0.1</v>
      </c>
      <c r="G121" s="377">
        <f>+D121*E121*(1+F121)</f>
        <v>1320</v>
      </c>
      <c r="H121" s="341"/>
    </row>
    <row r="122" spans="1:8" x14ac:dyDescent="0.25">
      <c r="A122" s="133"/>
      <c r="B122" s="260"/>
      <c r="C122" s="226"/>
      <c r="D122" s="226"/>
      <c r="E122" s="376"/>
      <c r="F122" s="169"/>
      <c r="G122" s="377"/>
      <c r="H122" s="341"/>
    </row>
    <row r="123" spans="1:8" x14ac:dyDescent="0.25">
      <c r="A123" s="133"/>
      <c r="B123" s="260"/>
      <c r="C123" s="226"/>
      <c r="D123" s="226"/>
      <c r="E123" s="376"/>
      <c r="F123" s="169"/>
      <c r="G123" s="377"/>
      <c r="H123" s="341"/>
    </row>
    <row r="124" spans="1:8" x14ac:dyDescent="0.25">
      <c r="A124" s="133"/>
      <c r="B124" s="195"/>
      <c r="C124" s="226"/>
      <c r="D124" s="226"/>
      <c r="E124" s="346"/>
      <c r="F124" s="169"/>
      <c r="G124" s="351"/>
      <c r="H124" s="341"/>
    </row>
    <row r="125" spans="1:8" x14ac:dyDescent="0.25">
      <c r="A125" s="133"/>
      <c r="B125" s="194"/>
      <c r="C125" s="202"/>
      <c r="D125" s="202"/>
      <c r="E125" s="346"/>
      <c r="F125" s="169"/>
      <c r="G125" s="351"/>
      <c r="H125" s="341"/>
    </row>
    <row r="126" spans="1:8" x14ac:dyDescent="0.25">
      <c r="A126" s="133"/>
      <c r="B126" s="195"/>
      <c r="C126" s="226"/>
      <c r="D126" s="226"/>
      <c r="E126" s="346"/>
      <c r="F126" s="169"/>
      <c r="G126" s="351"/>
      <c r="H126" s="341"/>
    </row>
    <row r="127" spans="1:8" x14ac:dyDescent="0.25">
      <c r="A127" s="133"/>
      <c r="B127" s="195"/>
      <c r="C127" s="226"/>
      <c r="D127" s="226"/>
      <c r="E127" s="346"/>
      <c r="F127" s="169"/>
      <c r="G127" s="351"/>
      <c r="H127" s="341"/>
    </row>
    <row r="128" spans="1:8" x14ac:dyDescent="0.25">
      <c r="A128" s="133"/>
      <c r="B128" s="195"/>
      <c r="C128" s="232"/>
      <c r="D128" s="232"/>
      <c r="E128" s="232"/>
      <c r="F128" s="226"/>
      <c r="G128" s="344"/>
      <c r="H128" s="341"/>
    </row>
    <row r="129" spans="1:8" x14ac:dyDescent="0.25">
      <c r="A129" s="133"/>
      <c r="B129" s="195"/>
      <c r="C129" s="232"/>
      <c r="D129" s="232"/>
      <c r="E129" s="232"/>
      <c r="F129" s="226"/>
      <c r="G129" s="344"/>
      <c r="H129" s="341"/>
    </row>
    <row r="130" spans="1:8" x14ac:dyDescent="0.25">
      <c r="A130" s="133"/>
      <c r="B130" s="195"/>
      <c r="C130" s="232"/>
      <c r="D130" s="232"/>
      <c r="E130" s="232"/>
      <c r="F130" s="226"/>
      <c r="G130" s="344"/>
      <c r="H130" s="341"/>
    </row>
    <row r="131" spans="1:8" ht="15.75" thickBot="1" x14ac:dyDescent="0.3">
      <c r="A131" s="133"/>
      <c r="B131" s="195"/>
      <c r="C131" s="232"/>
      <c r="D131" s="232"/>
      <c r="E131" s="232"/>
      <c r="F131" s="226"/>
      <c r="G131" s="344"/>
      <c r="H131" s="341"/>
    </row>
    <row r="132" spans="1:8" ht="15.75" thickBot="1" x14ac:dyDescent="0.3">
      <c r="A132" s="133"/>
      <c r="B132" s="233"/>
      <c r="C132" s="234"/>
      <c r="D132" s="234"/>
      <c r="E132" s="234"/>
      <c r="F132" s="235"/>
      <c r="G132" s="347"/>
      <c r="H132" s="358">
        <f>+SUM(G120:G132)</f>
        <v>14080.000000000002</v>
      </c>
    </row>
    <row r="133" spans="1:8" ht="15.75" thickBot="1" x14ac:dyDescent="0.3">
      <c r="A133" s="133"/>
      <c r="B133" s="238"/>
      <c r="C133" s="238"/>
      <c r="D133" s="238"/>
      <c r="E133" s="238"/>
      <c r="F133" s="239"/>
      <c r="G133" s="349"/>
      <c r="H133" s="350"/>
    </row>
    <row r="134" spans="1:8" ht="15.75" thickBot="1" x14ac:dyDescent="0.3">
      <c r="A134" s="133"/>
      <c r="B134" s="224" t="s">
        <v>5410</v>
      </c>
      <c r="C134" s="193" t="s">
        <v>867</v>
      </c>
      <c r="D134" s="193" t="s">
        <v>6</v>
      </c>
      <c r="E134" s="193" t="s">
        <v>870</v>
      </c>
      <c r="F134" s="193" t="s">
        <v>5411</v>
      </c>
      <c r="G134" s="343" t="s">
        <v>868</v>
      </c>
      <c r="H134" s="341"/>
    </row>
    <row r="135" spans="1:8" x14ac:dyDescent="0.25">
      <c r="A135" s="133"/>
      <c r="B135" s="245"/>
      <c r="C135" s="202"/>
      <c r="D135" s="202"/>
      <c r="E135" s="353"/>
      <c r="F135" s="202"/>
      <c r="G135" s="354"/>
      <c r="H135" s="355"/>
    </row>
    <row r="136" spans="1:8" x14ac:dyDescent="0.25">
      <c r="A136" s="133"/>
      <c r="B136" s="247"/>
      <c r="C136" s="248"/>
      <c r="D136" s="248"/>
      <c r="E136" s="248"/>
      <c r="F136" s="202"/>
      <c r="G136" s="351"/>
      <c r="H136" s="341"/>
    </row>
    <row r="137" spans="1:8" x14ac:dyDescent="0.25">
      <c r="A137" s="133"/>
      <c r="B137" s="247"/>
      <c r="C137" s="232"/>
      <c r="D137" s="232"/>
      <c r="E137" s="232"/>
      <c r="F137" s="226"/>
      <c r="G137" s="344"/>
      <c r="H137" s="341"/>
    </row>
    <row r="138" spans="1:8" x14ac:dyDescent="0.25">
      <c r="A138" s="133"/>
      <c r="B138" s="194"/>
      <c r="C138" s="232"/>
      <c r="D138" s="232"/>
      <c r="E138" s="232"/>
      <c r="F138" s="226"/>
      <c r="G138" s="344"/>
      <c r="H138" s="341"/>
    </row>
    <row r="139" spans="1:8" ht="15.75" thickBot="1" x14ac:dyDescent="0.3">
      <c r="A139" s="133"/>
      <c r="B139" s="195"/>
      <c r="C139" s="232"/>
      <c r="D139" s="232"/>
      <c r="E139" s="232"/>
      <c r="F139" s="226"/>
      <c r="G139" s="344"/>
      <c r="H139" s="341"/>
    </row>
    <row r="140" spans="1:8" ht="15.75" thickBot="1" x14ac:dyDescent="0.3">
      <c r="A140" s="133"/>
      <c r="B140" s="233"/>
      <c r="C140" s="234"/>
      <c r="D140" s="234"/>
      <c r="E140" s="234"/>
      <c r="F140" s="235"/>
      <c r="G140" s="347"/>
      <c r="H140" s="348">
        <f>+SUM(G135:G140)</f>
        <v>0</v>
      </c>
    </row>
    <row r="141" spans="1:8" ht="15.75" thickBot="1" x14ac:dyDescent="0.3">
      <c r="A141" s="133"/>
      <c r="B141" s="238"/>
      <c r="C141" s="238"/>
      <c r="D141" s="238"/>
      <c r="E141" s="238"/>
      <c r="F141" s="249"/>
      <c r="G141" s="356"/>
      <c r="H141" s="350"/>
    </row>
    <row r="142" spans="1:8" ht="15.75" thickBot="1" x14ac:dyDescent="0.3">
      <c r="A142" s="133"/>
      <c r="B142" s="224" t="s">
        <v>5412</v>
      </c>
      <c r="C142" s="193" t="s">
        <v>5420</v>
      </c>
      <c r="D142" s="193" t="s">
        <v>5421</v>
      </c>
      <c r="E142" s="193" t="s">
        <v>5413</v>
      </c>
      <c r="F142" s="193" t="s">
        <v>5405</v>
      </c>
      <c r="G142" s="343" t="s">
        <v>868</v>
      </c>
      <c r="H142" s="341"/>
    </row>
    <row r="143" spans="1:8" x14ac:dyDescent="0.25">
      <c r="A143" s="133"/>
      <c r="B143" s="381" t="s">
        <v>5948</v>
      </c>
      <c r="C143" s="345">
        <v>70000</v>
      </c>
      <c r="D143" s="345">
        <f>+C143*0.85</f>
        <v>59500</v>
      </c>
      <c r="E143" s="345">
        <f>+C143+D143</f>
        <v>129500</v>
      </c>
      <c r="F143" s="204">
        <v>50</v>
      </c>
      <c r="G143" s="351">
        <f>+E143/F143</f>
        <v>2590</v>
      </c>
      <c r="H143" s="341"/>
    </row>
    <row r="144" spans="1:8" x14ac:dyDescent="0.25">
      <c r="A144" s="133"/>
      <c r="B144" s="385" t="s">
        <v>5949</v>
      </c>
      <c r="C144" s="345">
        <v>40000</v>
      </c>
      <c r="D144" s="345">
        <f>+C144*0.85</f>
        <v>34000</v>
      </c>
      <c r="E144" s="345">
        <f>+C144+D144</f>
        <v>74000</v>
      </c>
      <c r="F144" s="202">
        <v>10</v>
      </c>
      <c r="G144" s="351">
        <f>+E144/F144</f>
        <v>7400</v>
      </c>
      <c r="H144" s="341"/>
    </row>
    <row r="145" spans="1:16" x14ac:dyDescent="0.25">
      <c r="A145" s="133"/>
      <c r="B145" s="385" t="s">
        <v>5950</v>
      </c>
      <c r="C145" s="345">
        <v>20600</v>
      </c>
      <c r="D145" s="345">
        <f>+C145*0.85</f>
        <v>17510</v>
      </c>
      <c r="E145" s="345">
        <f>+C145+D145</f>
        <v>38110</v>
      </c>
      <c r="F145" s="226">
        <v>5</v>
      </c>
      <c r="G145" s="351">
        <f>+E145/F145</f>
        <v>7622</v>
      </c>
      <c r="H145" s="341"/>
    </row>
    <row r="146" spans="1:16" x14ac:dyDescent="0.25">
      <c r="A146" s="133"/>
      <c r="B146" s="195"/>
      <c r="C146" s="346"/>
      <c r="D146" s="345"/>
      <c r="E146" s="345"/>
      <c r="F146" s="226"/>
      <c r="G146" s="351"/>
      <c r="H146" s="341"/>
    </row>
    <row r="147" spans="1:16" x14ac:dyDescent="0.25">
      <c r="A147" s="133"/>
      <c r="B147" s="195"/>
      <c r="C147" s="232"/>
      <c r="D147" s="232"/>
      <c r="E147" s="232"/>
      <c r="F147" s="226"/>
      <c r="G147" s="344"/>
      <c r="H147" s="341"/>
    </row>
    <row r="148" spans="1:16" ht="15.75" thickBot="1" x14ac:dyDescent="0.3">
      <c r="A148" s="133"/>
      <c r="B148" s="195"/>
      <c r="C148" s="232"/>
      <c r="D148" s="232"/>
      <c r="E148" s="232"/>
      <c r="F148" s="226"/>
      <c r="G148" s="344"/>
      <c r="H148" s="341"/>
    </row>
    <row r="149" spans="1:16" ht="15.75" thickBot="1" x14ac:dyDescent="0.3">
      <c r="A149" s="133"/>
      <c r="B149" s="251"/>
      <c r="C149" s="252"/>
      <c r="D149" s="252"/>
      <c r="E149" s="252"/>
      <c r="F149" s="253"/>
      <c r="G149" s="357"/>
      <c r="H149" s="358">
        <f>+SUM(G143:G149)</f>
        <v>17612</v>
      </c>
    </row>
    <row r="150" spans="1:16" ht="15.75" thickBot="1" x14ac:dyDescent="0.3">
      <c r="A150" s="133"/>
      <c r="B150" s="8"/>
      <c r="C150" s="8"/>
      <c r="D150" s="8"/>
      <c r="E150" s="8"/>
      <c r="F150" s="133"/>
      <c r="G150" s="341"/>
      <c r="H150" s="341"/>
    </row>
    <row r="151" spans="1:16" ht="15.75" thickBot="1" x14ac:dyDescent="0.3">
      <c r="A151" s="133"/>
      <c r="B151" s="8"/>
      <c r="C151" s="8"/>
      <c r="D151" s="8"/>
      <c r="E151" s="223" t="s">
        <v>5415</v>
      </c>
      <c r="F151" s="133"/>
      <c r="G151" s="341"/>
      <c r="H151" s="358">
        <f>ROUND(+H149+H140+H132+H117,0)</f>
        <v>35914</v>
      </c>
    </row>
    <row r="156" spans="1:16" ht="18.75" x14ac:dyDescent="0.25">
      <c r="A156" s="133"/>
      <c r="B156" s="2506" t="s">
        <v>5400</v>
      </c>
      <c r="C156" s="2506"/>
      <c r="D156" s="2506"/>
      <c r="E156" s="2506"/>
      <c r="F156" s="2506"/>
      <c r="G156" s="2506"/>
      <c r="H156" s="2506"/>
      <c r="I156" s="133"/>
      <c r="J156" s="2506" t="s">
        <v>5400</v>
      </c>
      <c r="K156" s="2506"/>
      <c r="L156" s="2506"/>
      <c r="M156" s="2506"/>
      <c r="N156" s="2506"/>
      <c r="O156" s="2506"/>
      <c r="P156" s="2506"/>
    </row>
    <row r="157" spans="1:16" x14ac:dyDescent="0.25">
      <c r="A157" s="133"/>
      <c r="B157" s="8"/>
      <c r="C157" s="8"/>
      <c r="D157" s="8"/>
      <c r="E157" s="8"/>
      <c r="F157" s="133"/>
      <c r="G157" s="341"/>
      <c r="H157" s="341"/>
      <c r="I157" s="133"/>
      <c r="J157" s="8"/>
      <c r="K157" s="8"/>
      <c r="L157" s="8"/>
      <c r="M157" s="8"/>
      <c r="N157" s="133"/>
      <c r="O157" s="341"/>
      <c r="P157" s="341"/>
    </row>
    <row r="158" spans="1:16" x14ac:dyDescent="0.25">
      <c r="A158" s="133"/>
      <c r="B158" s="8"/>
      <c r="C158" s="8"/>
      <c r="D158" s="8"/>
      <c r="E158" s="8"/>
      <c r="F158" s="133"/>
      <c r="G158" s="341"/>
      <c r="H158" s="341"/>
      <c r="I158" s="133"/>
      <c r="J158" s="8"/>
      <c r="K158" s="8"/>
      <c r="L158" s="8"/>
      <c r="M158" s="8"/>
      <c r="N158" s="133"/>
      <c r="O158" s="341"/>
      <c r="P158" s="341"/>
    </row>
    <row r="159" spans="1:16" x14ac:dyDescent="0.25">
      <c r="A159" s="133"/>
      <c r="B159" s="8"/>
      <c r="C159" s="8"/>
      <c r="D159" s="8"/>
      <c r="E159" s="8"/>
      <c r="F159" s="133"/>
      <c r="G159" s="341"/>
      <c r="H159" s="341"/>
      <c r="I159" s="133"/>
      <c r="J159" s="8"/>
      <c r="K159" s="8"/>
      <c r="L159" s="8"/>
      <c r="M159" s="8"/>
      <c r="N159" s="133"/>
      <c r="O159" s="341"/>
      <c r="P159" s="341"/>
    </row>
    <row r="160" spans="1:16" x14ac:dyDescent="0.25">
      <c r="A160" s="220" t="s">
        <v>5482</v>
      </c>
      <c r="B160" s="138" t="s">
        <v>750</v>
      </c>
      <c r="C160" s="2510" t="s">
        <v>6382</v>
      </c>
      <c r="D160" s="2511"/>
      <c r="E160" s="2511"/>
      <c r="F160" s="220" t="s">
        <v>867</v>
      </c>
      <c r="G160" s="342" t="s">
        <v>5402</v>
      </c>
      <c r="H160" s="341"/>
      <c r="I160" s="220" t="s">
        <v>5482</v>
      </c>
      <c r="J160" s="138" t="s">
        <v>750</v>
      </c>
      <c r="K160" s="2510" t="s">
        <v>6326</v>
      </c>
      <c r="L160" s="2511"/>
      <c r="M160" s="2511"/>
      <c r="N160" s="220" t="s">
        <v>867</v>
      </c>
      <c r="O160" s="342" t="s">
        <v>5402</v>
      </c>
      <c r="P160" s="341"/>
    </row>
    <row r="161" spans="1:16" x14ac:dyDescent="0.25">
      <c r="A161" s="133"/>
      <c r="B161" s="8"/>
      <c r="C161" s="223"/>
      <c r="D161" s="223"/>
      <c r="E161" s="223"/>
      <c r="F161" s="133"/>
      <c r="G161" s="341"/>
      <c r="H161" s="341"/>
      <c r="I161" s="133"/>
      <c r="J161" s="8"/>
      <c r="K161" s="223"/>
      <c r="L161" s="223"/>
      <c r="M161" s="223"/>
      <c r="N161" s="133"/>
      <c r="O161" s="341"/>
      <c r="P161" s="341"/>
    </row>
    <row r="162" spans="1:16" x14ac:dyDescent="0.25">
      <c r="A162" s="133"/>
      <c r="B162" s="8"/>
      <c r="C162" s="8"/>
      <c r="D162" s="8"/>
      <c r="E162" s="8"/>
      <c r="F162" s="8"/>
      <c r="G162" s="8"/>
      <c r="H162" s="341"/>
      <c r="I162" s="133"/>
      <c r="J162" s="8"/>
      <c r="K162" s="8"/>
      <c r="L162" s="8"/>
      <c r="M162" s="8"/>
      <c r="N162" s="8"/>
      <c r="O162" s="8"/>
      <c r="P162" s="341"/>
    </row>
    <row r="163" spans="1:16" ht="15.75" thickBot="1" x14ac:dyDescent="0.3">
      <c r="A163" s="133"/>
      <c r="B163" s="8"/>
      <c r="C163" s="8"/>
      <c r="D163" s="8"/>
      <c r="E163" s="8"/>
      <c r="F163" s="133"/>
      <c r="G163" s="341"/>
      <c r="H163" s="341"/>
      <c r="I163" s="133"/>
      <c r="J163" s="8"/>
      <c r="K163" s="8"/>
      <c r="L163" s="8"/>
      <c r="M163" s="8"/>
      <c r="N163" s="133"/>
      <c r="O163" s="341"/>
      <c r="P163" s="341"/>
    </row>
    <row r="164" spans="1:16" ht="15.75" thickBot="1" x14ac:dyDescent="0.3">
      <c r="A164" s="133"/>
      <c r="B164" s="224" t="s">
        <v>5403</v>
      </c>
      <c r="C164" s="193" t="s">
        <v>867</v>
      </c>
      <c r="D164" s="193" t="s">
        <v>6</v>
      </c>
      <c r="E164" s="193" t="s">
        <v>5439</v>
      </c>
      <c r="F164" s="193" t="s">
        <v>5405</v>
      </c>
      <c r="G164" s="343" t="s">
        <v>868</v>
      </c>
      <c r="H164" s="341"/>
      <c r="I164" s="133"/>
      <c r="J164" s="224" t="s">
        <v>5403</v>
      </c>
      <c r="K164" s="193" t="s">
        <v>867</v>
      </c>
      <c r="L164" s="193" t="s">
        <v>6</v>
      </c>
      <c r="M164" s="193" t="s">
        <v>5439</v>
      </c>
      <c r="N164" s="193" t="s">
        <v>5405</v>
      </c>
      <c r="O164" s="343" t="s">
        <v>868</v>
      </c>
      <c r="P164" s="341"/>
    </row>
    <row r="165" spans="1:16" x14ac:dyDescent="0.25">
      <c r="A165" s="133"/>
      <c r="B165" s="146" t="s">
        <v>5934</v>
      </c>
      <c r="C165" s="226"/>
      <c r="D165" s="226"/>
      <c r="E165" s="372">
        <f>+H203</f>
        <v>15632.5</v>
      </c>
      <c r="F165" s="226">
        <v>0.1</v>
      </c>
      <c r="G165" s="344">
        <f>+E165*F165</f>
        <v>1563.25</v>
      </c>
      <c r="H165" s="341"/>
      <c r="I165" s="133"/>
      <c r="J165" s="146" t="s">
        <v>5934</v>
      </c>
      <c r="K165" s="226"/>
      <c r="L165" s="226"/>
      <c r="M165" s="372">
        <f>+P203</f>
        <v>125060</v>
      </c>
      <c r="N165" s="226">
        <v>0.1</v>
      </c>
      <c r="O165" s="344">
        <f>+M165*N165</f>
        <v>12506</v>
      </c>
      <c r="P165" s="341"/>
    </row>
    <row r="166" spans="1:16" x14ac:dyDescent="0.25">
      <c r="A166" s="133"/>
      <c r="B166" s="195" t="s">
        <v>6327</v>
      </c>
      <c r="C166" s="226" t="s">
        <v>5424</v>
      </c>
      <c r="D166" s="226">
        <v>1</v>
      </c>
      <c r="E166" s="374">
        <v>5000</v>
      </c>
      <c r="F166" s="226">
        <v>1</v>
      </c>
      <c r="G166" s="344">
        <f>+D166*E166/F166</f>
        <v>5000</v>
      </c>
      <c r="H166" s="341"/>
      <c r="I166" s="133"/>
      <c r="J166" s="195"/>
      <c r="K166" s="226"/>
      <c r="L166" s="226"/>
      <c r="M166" s="374"/>
      <c r="N166" s="226"/>
      <c r="O166" s="344"/>
      <c r="P166" s="341"/>
    </row>
    <row r="167" spans="1:16" x14ac:dyDescent="0.25">
      <c r="A167" s="133"/>
      <c r="B167" s="195"/>
      <c r="C167" s="226"/>
      <c r="D167" s="226"/>
      <c r="E167" s="345"/>
      <c r="F167" s="226"/>
      <c r="G167" s="344"/>
      <c r="H167" s="341"/>
      <c r="I167" s="133"/>
      <c r="J167" s="195"/>
      <c r="K167" s="226"/>
      <c r="L167" s="226"/>
      <c r="M167" s="345"/>
      <c r="N167" s="226"/>
      <c r="O167" s="344"/>
      <c r="P167" s="341"/>
    </row>
    <row r="168" spans="1:16" x14ac:dyDescent="0.25">
      <c r="A168" s="133"/>
      <c r="B168" s="195"/>
      <c r="C168" s="226"/>
      <c r="D168" s="226"/>
      <c r="E168" s="346"/>
      <c r="F168" s="226"/>
      <c r="G168" s="375"/>
      <c r="H168" s="341"/>
      <c r="I168" s="133"/>
      <c r="J168" s="195"/>
      <c r="K168" s="226"/>
      <c r="L168" s="226"/>
      <c r="M168" s="346"/>
      <c r="N168" s="226"/>
      <c r="O168" s="375"/>
      <c r="P168" s="341"/>
    </row>
    <row r="169" spans="1:16" x14ac:dyDescent="0.25">
      <c r="A169" s="133"/>
      <c r="B169" s="195"/>
      <c r="C169" s="226"/>
      <c r="D169" s="232"/>
      <c r="E169" s="232"/>
      <c r="F169" s="226"/>
      <c r="G169" s="344"/>
      <c r="H169" s="341"/>
      <c r="I169" s="133"/>
      <c r="J169" s="195"/>
      <c r="K169" s="226"/>
      <c r="L169" s="232"/>
      <c r="M169" s="232"/>
      <c r="N169" s="226"/>
      <c r="O169" s="344"/>
      <c r="P169" s="341"/>
    </row>
    <row r="170" spans="1:16" ht="15.75" thickBot="1" x14ac:dyDescent="0.3">
      <c r="A170" s="133"/>
      <c r="B170" s="195"/>
      <c r="C170" s="226"/>
      <c r="D170" s="232"/>
      <c r="E170" s="232"/>
      <c r="F170" s="226"/>
      <c r="G170" s="344"/>
      <c r="H170" s="341"/>
      <c r="I170" s="133"/>
      <c r="J170" s="195"/>
      <c r="K170" s="226"/>
      <c r="L170" s="232"/>
      <c r="M170" s="232"/>
      <c r="N170" s="226"/>
      <c r="O170" s="344"/>
      <c r="P170" s="341"/>
    </row>
    <row r="171" spans="1:16" ht="15.75" thickBot="1" x14ac:dyDescent="0.3">
      <c r="A171" s="133"/>
      <c r="B171" s="233"/>
      <c r="C171" s="234"/>
      <c r="D171" s="234"/>
      <c r="E171" s="234"/>
      <c r="F171" s="235"/>
      <c r="G171" s="347"/>
      <c r="H171" s="348">
        <f>+SUM(G165:G171)</f>
        <v>6563.25</v>
      </c>
      <c r="I171" s="133"/>
      <c r="J171" s="233"/>
      <c r="K171" s="234"/>
      <c r="L171" s="234"/>
      <c r="M171" s="234"/>
      <c r="N171" s="235"/>
      <c r="O171" s="347"/>
      <c r="P171" s="348">
        <f>+SUM(O165:O171)</f>
        <v>12506</v>
      </c>
    </row>
    <row r="172" spans="1:16" ht="15.75" thickBot="1" x14ac:dyDescent="0.3">
      <c r="A172" s="133"/>
      <c r="B172" s="238"/>
      <c r="C172" s="238"/>
      <c r="D172" s="238"/>
      <c r="E172" s="238"/>
      <c r="F172" s="239"/>
      <c r="G172" s="349"/>
      <c r="H172" s="350"/>
      <c r="I172" s="133"/>
      <c r="J172" s="238"/>
      <c r="K172" s="238"/>
      <c r="L172" s="238"/>
      <c r="M172" s="238"/>
      <c r="N172" s="239"/>
      <c r="O172" s="349"/>
      <c r="P172" s="350"/>
    </row>
    <row r="173" spans="1:16" ht="15.75" thickBot="1" x14ac:dyDescent="0.3">
      <c r="A173" s="133"/>
      <c r="B173" s="224" t="s">
        <v>5408</v>
      </c>
      <c r="C173" s="193" t="s">
        <v>867</v>
      </c>
      <c r="D173" s="193" t="s">
        <v>6</v>
      </c>
      <c r="E173" s="193" t="s">
        <v>870</v>
      </c>
      <c r="F173" s="193" t="s">
        <v>5409</v>
      </c>
      <c r="G173" s="343" t="s">
        <v>868</v>
      </c>
      <c r="H173" s="341"/>
      <c r="I173" s="133"/>
      <c r="J173" s="224" t="s">
        <v>5408</v>
      </c>
      <c r="K173" s="193" t="s">
        <v>867</v>
      </c>
      <c r="L173" s="193" t="s">
        <v>6</v>
      </c>
      <c r="M173" s="193" t="s">
        <v>870</v>
      </c>
      <c r="N173" s="193" t="s">
        <v>5409</v>
      </c>
      <c r="O173" s="343" t="s">
        <v>868</v>
      </c>
      <c r="P173" s="341"/>
    </row>
    <row r="174" spans="1:16" x14ac:dyDescent="0.25">
      <c r="A174" s="133"/>
      <c r="B174" s="258" t="s">
        <v>6532</v>
      </c>
      <c r="C174" s="202" t="s">
        <v>5424</v>
      </c>
      <c r="D174" s="226">
        <v>0.1</v>
      </c>
      <c r="E174" s="346">
        <v>580000</v>
      </c>
      <c r="F174" s="169">
        <v>0.1</v>
      </c>
      <c r="G174" s="351">
        <f>+E174*D174*(1+F174)</f>
        <v>63800.000000000007</v>
      </c>
      <c r="H174" s="341"/>
      <c r="I174" s="133"/>
      <c r="J174" s="258"/>
      <c r="K174" s="202"/>
      <c r="L174" s="226"/>
      <c r="M174" s="376"/>
      <c r="N174" s="169"/>
      <c r="O174" s="351">
        <f>+M174*L174*(1+N174)</f>
        <v>0</v>
      </c>
      <c r="P174" s="341"/>
    </row>
    <row r="175" spans="1:16" x14ac:dyDescent="0.25">
      <c r="A175" s="133"/>
      <c r="B175" s="260"/>
      <c r="C175" s="202"/>
      <c r="D175" s="202"/>
      <c r="E175" s="378"/>
      <c r="F175" s="169"/>
      <c r="G175" s="377">
        <f>+E175*D175*(1+F175)</f>
        <v>0</v>
      </c>
      <c r="H175" s="341"/>
      <c r="I175" s="133"/>
      <c r="J175" s="260"/>
      <c r="K175" s="202"/>
      <c r="L175" s="202"/>
      <c r="M175" s="378"/>
      <c r="N175" s="169"/>
      <c r="O175" s="377">
        <f>+M175*L175*(1+N175)</f>
        <v>0</v>
      </c>
      <c r="P175" s="341"/>
    </row>
    <row r="176" spans="1:16" x14ac:dyDescent="0.25">
      <c r="A176" s="133"/>
      <c r="B176" s="260"/>
      <c r="C176" s="202"/>
      <c r="D176" s="226"/>
      <c r="E176" s="376"/>
      <c r="F176" s="169"/>
      <c r="G176" s="377">
        <f>+E176*D176*(1+F176)</f>
        <v>0</v>
      </c>
      <c r="H176" s="341"/>
      <c r="I176" s="133"/>
      <c r="J176" s="260"/>
      <c r="K176" s="202"/>
      <c r="L176" s="226"/>
      <c r="M176" s="376"/>
      <c r="N176" s="169"/>
      <c r="O176" s="377">
        <f>+M176*L176*(1+N176)</f>
        <v>0</v>
      </c>
      <c r="P176" s="341"/>
    </row>
    <row r="177" spans="1:16" x14ac:dyDescent="0.25">
      <c r="A177" s="133"/>
      <c r="B177" s="260"/>
      <c r="C177" s="226"/>
      <c r="D177" s="226"/>
      <c r="E177" s="346"/>
      <c r="F177" s="169"/>
      <c r="G177" s="377">
        <f>+E177*D177*(1+F177)</f>
        <v>0</v>
      </c>
      <c r="H177" s="341"/>
      <c r="I177" s="133"/>
      <c r="J177" s="260"/>
      <c r="K177" s="226"/>
      <c r="L177" s="226"/>
      <c r="M177" s="346"/>
      <c r="N177" s="169"/>
      <c r="O177" s="377">
        <f>+M177*L177*(1+N177)</f>
        <v>0</v>
      </c>
      <c r="P177" s="341"/>
    </row>
    <row r="178" spans="1:16" x14ac:dyDescent="0.25">
      <c r="A178" s="133"/>
      <c r="B178" s="195"/>
      <c r="C178" s="226"/>
      <c r="D178" s="226"/>
      <c r="E178" s="346"/>
      <c r="F178" s="169"/>
      <c r="G178" s="351"/>
      <c r="H178" s="341"/>
      <c r="I178" s="133"/>
      <c r="J178" s="195"/>
      <c r="K178" s="226"/>
      <c r="L178" s="226"/>
      <c r="M178" s="346"/>
      <c r="N178" s="169"/>
      <c r="O178" s="351"/>
      <c r="P178" s="341"/>
    </row>
    <row r="179" spans="1:16" x14ac:dyDescent="0.25">
      <c r="A179" s="133"/>
      <c r="B179" s="194"/>
      <c r="C179" s="202"/>
      <c r="D179" s="202"/>
      <c r="E179" s="346"/>
      <c r="F179" s="169"/>
      <c r="G179" s="351"/>
      <c r="H179" s="341"/>
      <c r="I179" s="133"/>
      <c r="J179" s="194"/>
      <c r="K179" s="202"/>
      <c r="L179" s="202"/>
      <c r="M179" s="346"/>
      <c r="N179" s="169"/>
      <c r="O179" s="351"/>
      <c r="P179" s="341"/>
    </row>
    <row r="180" spans="1:16" x14ac:dyDescent="0.25">
      <c r="A180" s="133"/>
      <c r="B180" s="195"/>
      <c r="C180" s="226"/>
      <c r="D180" s="226"/>
      <c r="E180" s="346"/>
      <c r="F180" s="169"/>
      <c r="G180" s="351"/>
      <c r="H180" s="341"/>
      <c r="I180" s="133"/>
      <c r="J180" s="195"/>
      <c r="K180" s="226"/>
      <c r="L180" s="226"/>
      <c r="M180" s="346"/>
      <c r="N180" s="169"/>
      <c r="O180" s="351"/>
      <c r="P180" s="341"/>
    </row>
    <row r="181" spans="1:16" x14ac:dyDescent="0.25">
      <c r="A181" s="133"/>
      <c r="B181" s="195"/>
      <c r="C181" s="226"/>
      <c r="D181" s="226"/>
      <c r="E181" s="346"/>
      <c r="F181" s="169"/>
      <c r="G181" s="351"/>
      <c r="H181" s="341"/>
      <c r="I181" s="133"/>
      <c r="J181" s="195"/>
      <c r="K181" s="226"/>
      <c r="L181" s="226"/>
      <c r="M181" s="346"/>
      <c r="N181" s="169"/>
      <c r="O181" s="351"/>
      <c r="P181" s="341"/>
    </row>
    <row r="182" spans="1:16" x14ac:dyDescent="0.25">
      <c r="A182" s="133"/>
      <c r="B182" s="195"/>
      <c r="C182" s="232"/>
      <c r="D182" s="232"/>
      <c r="E182" s="232"/>
      <c r="F182" s="226"/>
      <c r="G182" s="344"/>
      <c r="H182" s="341"/>
      <c r="I182" s="133"/>
      <c r="J182" s="195"/>
      <c r="K182" s="232"/>
      <c r="L182" s="232"/>
      <c r="M182" s="232"/>
      <c r="N182" s="226"/>
      <c r="O182" s="344"/>
      <c r="P182" s="341"/>
    </row>
    <row r="183" spans="1:16" x14ac:dyDescent="0.25">
      <c r="A183" s="133"/>
      <c r="B183" s="195"/>
      <c r="C183" s="232"/>
      <c r="D183" s="232"/>
      <c r="E183" s="232"/>
      <c r="F183" s="226"/>
      <c r="G183" s="344"/>
      <c r="H183" s="341"/>
      <c r="I183" s="133"/>
      <c r="J183" s="195"/>
      <c r="K183" s="232"/>
      <c r="L183" s="232"/>
      <c r="M183" s="232"/>
      <c r="N183" s="226"/>
      <c r="O183" s="344"/>
      <c r="P183" s="341"/>
    </row>
    <row r="184" spans="1:16" x14ac:dyDescent="0.25">
      <c r="A184" s="133"/>
      <c r="B184" s="195"/>
      <c r="C184" s="232"/>
      <c r="D184" s="232"/>
      <c r="E184" s="232"/>
      <c r="F184" s="226"/>
      <c r="G184" s="344"/>
      <c r="H184" s="341"/>
      <c r="I184" s="133"/>
      <c r="J184" s="195"/>
      <c r="K184" s="232"/>
      <c r="L184" s="232"/>
      <c r="M184" s="232"/>
      <c r="N184" s="226"/>
      <c r="O184" s="344"/>
      <c r="P184" s="341"/>
    </row>
    <row r="185" spans="1:16" ht="15.75" thickBot="1" x14ac:dyDescent="0.3">
      <c r="A185" s="133"/>
      <c r="B185" s="195"/>
      <c r="C185" s="232"/>
      <c r="D185" s="232"/>
      <c r="E185" s="232"/>
      <c r="F185" s="226"/>
      <c r="G185" s="344"/>
      <c r="H185" s="341"/>
      <c r="I185" s="133"/>
      <c r="J185" s="195"/>
      <c r="K185" s="232"/>
      <c r="L185" s="232"/>
      <c r="M185" s="232"/>
      <c r="N185" s="226"/>
      <c r="O185" s="344"/>
      <c r="P185" s="341"/>
    </row>
    <row r="186" spans="1:16" ht="15.75" thickBot="1" x14ac:dyDescent="0.3">
      <c r="A186" s="133"/>
      <c r="B186" s="233"/>
      <c r="C186" s="234"/>
      <c r="D186" s="234"/>
      <c r="E186" s="234"/>
      <c r="F186" s="235"/>
      <c r="G186" s="347"/>
      <c r="H186" s="348">
        <f>+SUM(G174:G186)</f>
        <v>63800.000000000007</v>
      </c>
      <c r="I186" s="133"/>
      <c r="J186" s="233"/>
      <c r="K186" s="234"/>
      <c r="L186" s="234"/>
      <c r="M186" s="234"/>
      <c r="N186" s="235"/>
      <c r="O186" s="347"/>
      <c r="P186" s="348">
        <f>+SUM(O174:O186)</f>
        <v>0</v>
      </c>
    </row>
    <row r="187" spans="1:16" ht="15.75" thickBot="1" x14ac:dyDescent="0.3">
      <c r="A187" s="133"/>
      <c r="B187" s="238"/>
      <c r="C187" s="238"/>
      <c r="D187" s="238"/>
      <c r="E187" s="238"/>
      <c r="F187" s="239"/>
      <c r="G187" s="349"/>
      <c r="H187" s="350"/>
      <c r="I187" s="133"/>
      <c r="J187" s="238"/>
      <c r="K187" s="238"/>
      <c r="L187" s="238"/>
      <c r="M187" s="238"/>
      <c r="N187" s="239"/>
      <c r="O187" s="349"/>
      <c r="P187" s="350"/>
    </row>
    <row r="188" spans="1:16" ht="15.75" thickBot="1" x14ac:dyDescent="0.3">
      <c r="A188" s="133"/>
      <c r="B188" s="224" t="s">
        <v>5410</v>
      </c>
      <c r="C188" s="193" t="s">
        <v>867</v>
      </c>
      <c r="D188" s="193" t="s">
        <v>6</v>
      </c>
      <c r="E188" s="193" t="s">
        <v>870</v>
      </c>
      <c r="F188" s="193" t="s">
        <v>5411</v>
      </c>
      <c r="G188" s="343" t="s">
        <v>868</v>
      </c>
      <c r="H188" s="341"/>
      <c r="I188" s="133"/>
      <c r="J188" s="224" t="s">
        <v>5410</v>
      </c>
      <c r="K188" s="193" t="s">
        <v>867</v>
      </c>
      <c r="L188" s="193" t="s">
        <v>6</v>
      </c>
      <c r="M188" s="193" t="s">
        <v>870</v>
      </c>
      <c r="N188" s="193" t="s">
        <v>5411</v>
      </c>
      <c r="O188" s="343" t="s">
        <v>868</v>
      </c>
      <c r="P188" s="341"/>
    </row>
    <row r="189" spans="1:16" x14ac:dyDescent="0.25">
      <c r="A189" s="133"/>
      <c r="B189" s="245"/>
      <c r="C189" s="283"/>
      <c r="D189" s="283"/>
      <c r="E189" s="379"/>
      <c r="F189" s="283"/>
      <c r="G189" s="354"/>
      <c r="H189" s="355"/>
      <c r="I189" s="133"/>
      <c r="J189" s="245"/>
      <c r="K189" s="283"/>
      <c r="L189" s="283"/>
      <c r="M189" s="379"/>
      <c r="N189" s="283"/>
      <c r="O189" s="354"/>
      <c r="P189" s="355"/>
    </row>
    <row r="190" spans="1:16" x14ac:dyDescent="0.25">
      <c r="A190" s="133"/>
      <c r="B190" s="247"/>
      <c r="C190" s="286"/>
      <c r="D190" s="286"/>
      <c r="E190" s="380"/>
      <c r="F190" s="286"/>
      <c r="G190" s="351"/>
      <c r="H190" s="341"/>
      <c r="I190" s="133"/>
      <c r="J190" s="247"/>
      <c r="K190" s="286"/>
      <c r="L190" s="286"/>
      <c r="M190" s="380"/>
      <c r="N190" s="286"/>
      <c r="O190" s="351"/>
      <c r="P190" s="341"/>
    </row>
    <row r="191" spans="1:16" x14ac:dyDescent="0.25">
      <c r="A191" s="133"/>
      <c r="B191" s="247"/>
      <c r="C191" s="286"/>
      <c r="D191" s="286"/>
      <c r="E191" s="288"/>
      <c r="F191" s="286"/>
      <c r="G191" s="344"/>
      <c r="H191" s="341"/>
      <c r="I191" s="133"/>
      <c r="J191" s="247"/>
      <c r="K191" s="286"/>
      <c r="L191" s="286"/>
      <c r="M191" s="288"/>
      <c r="N191" s="286"/>
      <c r="O191" s="344"/>
      <c r="P191" s="341"/>
    </row>
    <row r="192" spans="1:16" x14ac:dyDescent="0.25">
      <c r="A192" s="133"/>
      <c r="B192" s="194"/>
      <c r="C192" s="248"/>
      <c r="D192" s="248"/>
      <c r="E192" s="248"/>
      <c r="F192" s="202"/>
      <c r="G192" s="344"/>
      <c r="H192" s="341"/>
      <c r="I192" s="133"/>
      <c r="J192" s="194"/>
      <c r="K192" s="248"/>
      <c r="L192" s="248"/>
      <c r="M192" s="248"/>
      <c r="N192" s="202"/>
      <c r="O192" s="344"/>
      <c r="P192" s="341"/>
    </row>
    <row r="193" spans="1:16" ht="15.75" thickBot="1" x14ac:dyDescent="0.3">
      <c r="A193" s="133"/>
      <c r="B193" s="195"/>
      <c r="C193" s="232"/>
      <c r="D193" s="232"/>
      <c r="E193" s="232"/>
      <c r="F193" s="226"/>
      <c r="G193" s="344"/>
      <c r="H193" s="341"/>
      <c r="I193" s="133"/>
      <c r="J193" s="195"/>
      <c r="K193" s="232"/>
      <c r="L193" s="232"/>
      <c r="M193" s="232"/>
      <c r="N193" s="226"/>
      <c r="O193" s="344"/>
      <c r="P193" s="341"/>
    </row>
    <row r="194" spans="1:16" ht="15.75" thickBot="1" x14ac:dyDescent="0.3">
      <c r="A194" s="133"/>
      <c r="B194" s="233"/>
      <c r="C194" s="234"/>
      <c r="D194" s="234"/>
      <c r="E194" s="234"/>
      <c r="F194" s="235"/>
      <c r="G194" s="347"/>
      <c r="H194" s="348">
        <f>+SUM(G189:G194)</f>
        <v>0</v>
      </c>
      <c r="I194" s="133"/>
      <c r="J194" s="233"/>
      <c r="K194" s="234"/>
      <c r="L194" s="234"/>
      <c r="M194" s="234"/>
      <c r="N194" s="235"/>
      <c r="O194" s="347"/>
      <c r="P194" s="348">
        <f>+SUM(O189:O194)</f>
        <v>0</v>
      </c>
    </row>
    <row r="195" spans="1:16" ht="15.75" thickBot="1" x14ac:dyDescent="0.3">
      <c r="A195" s="133"/>
      <c r="B195" s="238"/>
      <c r="C195" s="238"/>
      <c r="D195" s="238"/>
      <c r="E195" s="238"/>
      <c r="F195" s="249"/>
      <c r="G195" s="356"/>
      <c r="H195" s="350"/>
      <c r="I195" s="133"/>
      <c r="J195" s="238"/>
      <c r="K195" s="238"/>
      <c r="L195" s="238"/>
      <c r="M195" s="238"/>
      <c r="N195" s="249"/>
      <c r="O195" s="356"/>
      <c r="P195" s="350"/>
    </row>
    <row r="196" spans="1:16" ht="15.75" thickBot="1" x14ac:dyDescent="0.3">
      <c r="A196" s="133"/>
      <c r="B196" s="224" t="s">
        <v>5412</v>
      </c>
      <c r="C196" s="193" t="s">
        <v>5420</v>
      </c>
      <c r="D196" s="193" t="s">
        <v>5421</v>
      </c>
      <c r="E196" s="193" t="s">
        <v>5413</v>
      </c>
      <c r="F196" s="193" t="s">
        <v>5405</v>
      </c>
      <c r="G196" s="343" t="s">
        <v>868</v>
      </c>
      <c r="H196" s="341"/>
      <c r="I196" s="133"/>
      <c r="J196" s="224" t="s">
        <v>5412</v>
      </c>
      <c r="K196" s="193" t="s">
        <v>5420</v>
      </c>
      <c r="L196" s="193" t="s">
        <v>5421</v>
      </c>
      <c r="M196" s="193" t="s">
        <v>5413</v>
      </c>
      <c r="N196" s="193" t="s">
        <v>5405</v>
      </c>
      <c r="O196" s="343" t="s">
        <v>868</v>
      </c>
      <c r="P196" s="341"/>
    </row>
    <row r="197" spans="1:16" x14ac:dyDescent="0.25">
      <c r="A197" s="133"/>
      <c r="B197" s="381" t="s">
        <v>5948</v>
      </c>
      <c r="C197" s="345">
        <v>70000</v>
      </c>
      <c r="D197" s="345">
        <f>+C197*0.85</f>
        <v>59500</v>
      </c>
      <c r="E197" s="345">
        <f>+C197+D197</f>
        <v>129500</v>
      </c>
      <c r="F197" s="204">
        <v>80</v>
      </c>
      <c r="G197" s="351">
        <f>+E197/F197</f>
        <v>1618.75</v>
      </c>
      <c r="H197" s="341"/>
      <c r="I197" s="133"/>
      <c r="J197" s="381" t="s">
        <v>5948</v>
      </c>
      <c r="K197" s="345">
        <v>70000</v>
      </c>
      <c r="L197" s="345">
        <f>+K197*0.85</f>
        <v>59500</v>
      </c>
      <c r="M197" s="345">
        <f>+K197+L197</f>
        <v>129500</v>
      </c>
      <c r="N197" s="204">
        <v>10</v>
      </c>
      <c r="O197" s="351">
        <f>+M197/N197</f>
        <v>12950</v>
      </c>
      <c r="P197" s="341"/>
    </row>
    <row r="198" spans="1:16" x14ac:dyDescent="0.25">
      <c r="A198" s="133"/>
      <c r="B198" s="385" t="s">
        <v>5949</v>
      </c>
      <c r="C198" s="345">
        <v>40000</v>
      </c>
      <c r="D198" s="345">
        <f>+C198*0.85</f>
        <v>34000</v>
      </c>
      <c r="E198" s="345">
        <f>+C198+D198</f>
        <v>74000</v>
      </c>
      <c r="F198" s="202">
        <v>8</v>
      </c>
      <c r="G198" s="351">
        <f>+E198/F198</f>
        <v>9250</v>
      </c>
      <c r="H198" s="341"/>
      <c r="I198" s="133"/>
      <c r="J198" s="385" t="s">
        <v>5949</v>
      </c>
      <c r="K198" s="345">
        <v>40000</v>
      </c>
      <c r="L198" s="345">
        <f>+K198*0.85</f>
        <v>34000</v>
      </c>
      <c r="M198" s="345">
        <f>+K198+L198</f>
        <v>74000</v>
      </c>
      <c r="N198" s="202">
        <v>1</v>
      </c>
      <c r="O198" s="351">
        <f>+M198/N198</f>
        <v>74000</v>
      </c>
      <c r="P198" s="341"/>
    </row>
    <row r="199" spans="1:16" x14ac:dyDescent="0.25">
      <c r="A199" s="133"/>
      <c r="B199" s="385" t="s">
        <v>5950</v>
      </c>
      <c r="C199" s="345">
        <v>20600</v>
      </c>
      <c r="D199" s="345">
        <f>+C199*0.85</f>
        <v>17510</v>
      </c>
      <c r="E199" s="345">
        <f>+C199+D199</f>
        <v>38110</v>
      </c>
      <c r="F199" s="226">
        <v>8</v>
      </c>
      <c r="G199" s="351">
        <f>+E199/F199</f>
        <v>4763.75</v>
      </c>
      <c r="H199" s="341"/>
      <c r="I199" s="133"/>
      <c r="J199" s="385" t="s">
        <v>5950</v>
      </c>
      <c r="K199" s="345">
        <v>20600</v>
      </c>
      <c r="L199" s="345">
        <f>+K199*0.85</f>
        <v>17510</v>
      </c>
      <c r="M199" s="345">
        <f>+K199+L199</f>
        <v>38110</v>
      </c>
      <c r="N199" s="226">
        <v>1</v>
      </c>
      <c r="O199" s="351">
        <f>+M199/N199</f>
        <v>38110</v>
      </c>
      <c r="P199" s="341"/>
    </row>
    <row r="200" spans="1:16" x14ac:dyDescent="0.25">
      <c r="A200" s="133"/>
      <c r="B200" s="195"/>
      <c r="C200" s="346"/>
      <c r="D200" s="345"/>
      <c r="E200" s="345"/>
      <c r="F200" s="226"/>
      <c r="G200" s="351"/>
      <c r="H200" s="341"/>
      <c r="I200" s="133"/>
      <c r="J200" s="195"/>
      <c r="K200" s="346"/>
      <c r="L200" s="345"/>
      <c r="M200" s="345"/>
      <c r="N200" s="226"/>
      <c r="O200" s="351"/>
      <c r="P200" s="341"/>
    </row>
    <row r="201" spans="1:16" x14ac:dyDescent="0.25">
      <c r="A201" s="133"/>
      <c r="B201" s="195"/>
      <c r="C201" s="232"/>
      <c r="D201" s="232"/>
      <c r="E201" s="232"/>
      <c r="F201" s="226"/>
      <c r="G201" s="344"/>
      <c r="H201" s="341"/>
      <c r="I201" s="133"/>
      <c r="J201" s="195"/>
      <c r="K201" s="232"/>
      <c r="L201" s="232"/>
      <c r="M201" s="232"/>
      <c r="N201" s="226"/>
      <c r="O201" s="344"/>
      <c r="P201" s="341"/>
    </row>
    <row r="202" spans="1:16" ht="15.75" thickBot="1" x14ac:dyDescent="0.3">
      <c r="A202" s="133"/>
      <c r="B202" s="195"/>
      <c r="C202" s="232"/>
      <c r="D202" s="232"/>
      <c r="E202" s="232"/>
      <c r="F202" s="226"/>
      <c r="G202" s="344"/>
      <c r="H202" s="341"/>
      <c r="I202" s="133"/>
      <c r="J202" s="195"/>
      <c r="K202" s="232"/>
      <c r="L202" s="232"/>
      <c r="M202" s="232"/>
      <c r="N202" s="226"/>
      <c r="O202" s="344"/>
      <c r="P202" s="341"/>
    </row>
    <row r="203" spans="1:16" ht="15.75" thickBot="1" x14ac:dyDescent="0.3">
      <c r="A203" s="133"/>
      <c r="B203" s="251"/>
      <c r="C203" s="252"/>
      <c r="D203" s="252"/>
      <c r="E203" s="252"/>
      <c r="F203" s="253"/>
      <c r="G203" s="357"/>
      <c r="H203" s="348">
        <f>+SUM(G197:G203)</f>
        <v>15632.5</v>
      </c>
      <c r="I203" s="133"/>
      <c r="J203" s="251"/>
      <c r="K203" s="252"/>
      <c r="L203" s="252"/>
      <c r="M203" s="252"/>
      <c r="N203" s="253"/>
      <c r="O203" s="357"/>
      <c r="P203" s="348">
        <f>+SUM(O197:O203)</f>
        <v>125060</v>
      </c>
    </row>
    <row r="204" spans="1:16" ht="15.75" thickBot="1" x14ac:dyDescent="0.3">
      <c r="A204" s="133"/>
      <c r="B204" s="8"/>
      <c r="C204" s="8"/>
      <c r="D204" s="8"/>
      <c r="E204" s="8"/>
      <c r="F204" s="133"/>
      <c r="G204" s="341"/>
      <c r="H204" s="341"/>
      <c r="I204" s="133"/>
      <c r="J204" s="8"/>
      <c r="K204" s="8"/>
      <c r="L204" s="8"/>
      <c r="M204" s="8"/>
      <c r="N204" s="133"/>
      <c r="O204" s="341"/>
      <c r="P204" s="341"/>
    </row>
    <row r="205" spans="1:16" ht="15.75" thickBot="1" x14ac:dyDescent="0.3">
      <c r="A205" s="133"/>
      <c r="B205" s="8"/>
      <c r="C205" s="8"/>
      <c r="D205" s="8"/>
      <c r="E205" s="223" t="s">
        <v>5415</v>
      </c>
      <c r="F205" s="133"/>
      <c r="G205" s="341"/>
      <c r="H205" s="348">
        <f>ROUND(+H203+H194+H186+H171,0)</f>
        <v>85996</v>
      </c>
      <c r="I205" s="133"/>
      <c r="J205" s="8"/>
      <c r="K205" s="8"/>
      <c r="L205" s="8"/>
      <c r="M205" s="223" t="s">
        <v>5415</v>
      </c>
      <c r="N205" s="133"/>
      <c r="O205" s="341"/>
      <c r="P205" s="348">
        <f>ROUND(+P203+P194+P186+P171,0)</f>
        <v>137566</v>
      </c>
    </row>
    <row r="210" spans="1:16" ht="18.75" x14ac:dyDescent="0.25">
      <c r="A210" s="133"/>
      <c r="B210" s="2506" t="s">
        <v>5400</v>
      </c>
      <c r="C210" s="2506"/>
      <c r="D210" s="2506"/>
      <c r="E210" s="2506"/>
      <c r="F210" s="2506"/>
      <c r="G210" s="2506"/>
      <c r="H210" s="2506"/>
      <c r="I210" s="133"/>
      <c r="J210" s="2506" t="s">
        <v>5400</v>
      </c>
      <c r="K210" s="2506"/>
      <c r="L210" s="2506"/>
      <c r="M210" s="2506"/>
      <c r="N210" s="2506"/>
      <c r="O210" s="2506"/>
      <c r="P210" s="2506"/>
    </row>
    <row r="211" spans="1:16" x14ac:dyDescent="0.25">
      <c r="A211" s="133"/>
      <c r="B211" s="8"/>
      <c r="C211" s="8"/>
      <c r="D211" s="8"/>
      <c r="E211" s="8"/>
      <c r="F211" s="133"/>
      <c r="G211" s="341"/>
      <c r="H211" s="341"/>
      <c r="I211" s="133"/>
      <c r="J211" s="8"/>
      <c r="K211" s="8"/>
      <c r="L211" s="8"/>
      <c r="M211" s="8"/>
      <c r="N211" s="133"/>
      <c r="O211" s="341"/>
      <c r="P211" s="341"/>
    </row>
    <row r="212" spans="1:16" x14ac:dyDescent="0.25">
      <c r="A212" s="133"/>
      <c r="B212" s="8"/>
      <c r="C212" s="8"/>
      <c r="D212" s="8"/>
      <c r="E212" s="8"/>
      <c r="F212" s="133"/>
      <c r="G212" s="341"/>
      <c r="H212" s="341"/>
      <c r="I212" s="133"/>
      <c r="J212" s="8"/>
      <c r="K212" s="8"/>
      <c r="L212" s="8"/>
      <c r="M212" s="8"/>
      <c r="N212" s="133"/>
      <c r="O212" s="341"/>
      <c r="P212" s="341"/>
    </row>
    <row r="213" spans="1:16" x14ac:dyDescent="0.25">
      <c r="A213" s="133"/>
      <c r="B213" s="8"/>
      <c r="C213" s="8"/>
      <c r="D213" s="8"/>
      <c r="E213" s="8"/>
      <c r="F213" s="133"/>
      <c r="G213" s="341"/>
      <c r="H213" s="341"/>
      <c r="I213" s="133"/>
      <c r="J213" s="8"/>
      <c r="K213" s="8"/>
      <c r="L213" s="8"/>
      <c r="M213" s="8"/>
      <c r="N213" s="133"/>
      <c r="O213" s="341"/>
      <c r="P213" s="341"/>
    </row>
    <row r="214" spans="1:16" ht="15" customHeight="1" x14ac:dyDescent="0.25">
      <c r="A214" s="220" t="s">
        <v>5482</v>
      </c>
      <c r="B214" s="138" t="s">
        <v>750</v>
      </c>
      <c r="C214" s="2510" t="s">
        <v>6383</v>
      </c>
      <c r="D214" s="2511"/>
      <c r="E214" s="2511"/>
      <c r="F214" s="220" t="s">
        <v>867</v>
      </c>
      <c r="G214" s="342" t="s">
        <v>5402</v>
      </c>
      <c r="H214" s="341"/>
      <c r="I214" s="220" t="s">
        <v>5482</v>
      </c>
      <c r="J214" s="138"/>
      <c r="K214" s="2510" t="s">
        <v>6328</v>
      </c>
      <c r="L214" s="2511"/>
      <c r="M214" s="2511"/>
      <c r="N214" s="220" t="s">
        <v>867</v>
      </c>
      <c r="O214" s="342" t="s">
        <v>5402</v>
      </c>
      <c r="P214" s="341"/>
    </row>
    <row r="215" spans="1:16" x14ac:dyDescent="0.25">
      <c r="A215" s="133"/>
      <c r="B215" s="8"/>
      <c r="C215" s="223"/>
      <c r="D215" s="223"/>
      <c r="E215" s="223"/>
      <c r="F215" s="133"/>
      <c r="G215" s="341"/>
      <c r="H215" s="341"/>
      <c r="I215" s="133"/>
      <c r="J215" s="8"/>
      <c r="K215" s="223"/>
      <c r="L215" s="223"/>
      <c r="M215" s="223"/>
      <c r="N215" s="133"/>
      <c r="O215" s="341"/>
      <c r="P215" s="341"/>
    </row>
    <row r="216" spans="1:16" x14ac:dyDescent="0.25">
      <c r="A216" s="133"/>
      <c r="B216" s="8"/>
      <c r="C216" s="8"/>
      <c r="D216" s="8"/>
      <c r="E216" s="8"/>
      <c r="F216" s="8"/>
      <c r="G216" s="8"/>
      <c r="H216" s="341"/>
      <c r="I216" s="133"/>
      <c r="J216" s="8"/>
      <c r="K216" s="8"/>
      <c r="L216" s="8"/>
      <c r="M216" s="8"/>
      <c r="N216" s="8"/>
      <c r="O216" s="8"/>
      <c r="P216" s="341"/>
    </row>
    <row r="217" spans="1:16" ht="15.75" thickBot="1" x14ac:dyDescent="0.3">
      <c r="A217" s="133"/>
      <c r="B217" s="8"/>
      <c r="C217" s="8"/>
      <c r="D217" s="8"/>
      <c r="E217" s="8"/>
      <c r="F217" s="133"/>
      <c r="G217" s="341"/>
      <c r="H217" s="341"/>
      <c r="I217" s="133"/>
      <c r="J217" s="8"/>
      <c r="K217" s="8"/>
      <c r="L217" s="8"/>
      <c r="M217" s="8"/>
      <c r="N217" s="133"/>
      <c r="O217" s="341"/>
      <c r="P217" s="341"/>
    </row>
    <row r="218" spans="1:16" ht="15.75" thickBot="1" x14ac:dyDescent="0.3">
      <c r="A218" s="133"/>
      <c r="B218" s="224" t="s">
        <v>5403</v>
      </c>
      <c r="C218" s="193" t="s">
        <v>867</v>
      </c>
      <c r="D218" s="193" t="s">
        <v>6</v>
      </c>
      <c r="E218" s="193" t="s">
        <v>5439</v>
      </c>
      <c r="F218" s="193" t="s">
        <v>5405</v>
      </c>
      <c r="G218" s="343" t="s">
        <v>868</v>
      </c>
      <c r="H218" s="341"/>
      <c r="I218" s="133"/>
      <c r="J218" s="224" t="s">
        <v>5403</v>
      </c>
      <c r="K218" s="193" t="s">
        <v>867</v>
      </c>
      <c r="L218" s="193" t="s">
        <v>6</v>
      </c>
      <c r="M218" s="193" t="s">
        <v>5439</v>
      </c>
      <c r="N218" s="193" t="s">
        <v>5405</v>
      </c>
      <c r="O218" s="343" t="s">
        <v>868</v>
      </c>
      <c r="P218" s="341"/>
    </row>
    <row r="219" spans="1:16" x14ac:dyDescent="0.25">
      <c r="A219" s="133"/>
      <c r="B219" s="146" t="s">
        <v>5934</v>
      </c>
      <c r="C219" s="226"/>
      <c r="D219" s="226"/>
      <c r="E219" s="372">
        <f>+H257</f>
        <v>17865.714285714286</v>
      </c>
      <c r="F219" s="226">
        <v>0.1</v>
      </c>
      <c r="G219" s="344">
        <f>+E219*F219</f>
        <v>1786.5714285714287</v>
      </c>
      <c r="H219" s="341"/>
      <c r="I219" s="133"/>
      <c r="J219" s="146" t="s">
        <v>5934</v>
      </c>
      <c r="K219" s="226" t="s">
        <v>5402</v>
      </c>
      <c r="L219" s="226">
        <v>1</v>
      </c>
      <c r="M219" s="372">
        <f>+P257</f>
        <v>137763.33333333334</v>
      </c>
      <c r="N219" s="226">
        <v>0.1</v>
      </c>
      <c r="O219" s="373">
        <f>+M219*N219</f>
        <v>13776.333333333336</v>
      </c>
      <c r="P219" s="341"/>
    </row>
    <row r="220" spans="1:16" x14ac:dyDescent="0.25">
      <c r="A220" s="133"/>
      <c r="B220" s="195" t="s">
        <v>6327</v>
      </c>
      <c r="C220" s="226" t="s">
        <v>5424</v>
      </c>
      <c r="D220" s="226">
        <v>1</v>
      </c>
      <c r="E220" s="374">
        <v>5000</v>
      </c>
      <c r="F220" s="226">
        <v>1.3</v>
      </c>
      <c r="G220" s="344">
        <f>+D220*E220*F220</f>
        <v>6500</v>
      </c>
      <c r="H220" s="341"/>
      <c r="I220" s="133"/>
      <c r="J220" s="195"/>
      <c r="K220" s="226"/>
      <c r="L220" s="226"/>
      <c r="M220" s="374"/>
      <c r="N220" s="226"/>
      <c r="O220" s="344"/>
      <c r="P220" s="341"/>
    </row>
    <row r="221" spans="1:16" x14ac:dyDescent="0.25">
      <c r="A221" s="133"/>
      <c r="B221" s="195"/>
      <c r="C221" s="226"/>
      <c r="D221" s="226"/>
      <c r="E221" s="345"/>
      <c r="F221" s="226"/>
      <c r="G221" s="344"/>
      <c r="H221" s="341"/>
      <c r="I221" s="133"/>
      <c r="J221" s="195"/>
      <c r="K221" s="226"/>
      <c r="L221" s="226"/>
      <c r="M221" s="345"/>
      <c r="N221" s="226"/>
      <c r="O221" s="344"/>
      <c r="P221" s="341"/>
    </row>
    <row r="222" spans="1:16" x14ac:dyDescent="0.25">
      <c r="A222" s="133"/>
      <c r="B222" s="195"/>
      <c r="C222" s="226"/>
      <c r="D222" s="226"/>
      <c r="E222" s="346"/>
      <c r="F222" s="226"/>
      <c r="G222" s="375"/>
      <c r="H222" s="341"/>
      <c r="I222" s="133"/>
      <c r="J222" s="195"/>
      <c r="K222" s="226"/>
      <c r="L222" s="226"/>
      <c r="M222" s="346"/>
      <c r="N222" s="226"/>
      <c r="O222" s="375"/>
      <c r="P222" s="341"/>
    </row>
    <row r="223" spans="1:16" x14ac:dyDescent="0.25">
      <c r="A223" s="133"/>
      <c r="B223" s="195"/>
      <c r="C223" s="226"/>
      <c r="D223" s="232"/>
      <c r="E223" s="232"/>
      <c r="F223" s="226"/>
      <c r="G223" s="344"/>
      <c r="H223" s="341"/>
      <c r="I223" s="133"/>
      <c r="J223" s="195"/>
      <c r="K223" s="226"/>
      <c r="L223" s="232"/>
      <c r="M223" s="232"/>
      <c r="N223" s="226"/>
      <c r="O223" s="344"/>
      <c r="P223" s="341"/>
    </row>
    <row r="224" spans="1:16" ht="15.75" thickBot="1" x14ac:dyDescent="0.3">
      <c r="A224" s="133"/>
      <c r="B224" s="195"/>
      <c r="C224" s="226"/>
      <c r="D224" s="232"/>
      <c r="E224" s="232"/>
      <c r="F224" s="226"/>
      <c r="G224" s="344"/>
      <c r="H224" s="341"/>
      <c r="I224" s="133"/>
      <c r="J224" s="195"/>
      <c r="K224" s="226"/>
      <c r="L224" s="232"/>
      <c r="M224" s="232"/>
      <c r="N224" s="226"/>
      <c r="O224" s="344"/>
      <c r="P224" s="341"/>
    </row>
    <row r="225" spans="1:16" ht="15.75" thickBot="1" x14ac:dyDescent="0.3">
      <c r="A225" s="133"/>
      <c r="B225" s="233"/>
      <c r="C225" s="234"/>
      <c r="D225" s="234"/>
      <c r="E225" s="234"/>
      <c r="F225" s="235"/>
      <c r="G225" s="347"/>
      <c r="H225" s="348">
        <f>+SUM(G219:G225)</f>
        <v>8286.5714285714294</v>
      </c>
      <c r="I225" s="133"/>
      <c r="J225" s="233"/>
      <c r="K225" s="234"/>
      <c r="L225" s="234"/>
      <c r="M225" s="234"/>
      <c r="N225" s="235"/>
      <c r="O225" s="347"/>
      <c r="P225" s="348">
        <f>+SUM(O219:O225)</f>
        <v>13776.333333333336</v>
      </c>
    </row>
    <row r="226" spans="1:16" ht="15.75" thickBot="1" x14ac:dyDescent="0.3">
      <c r="A226" s="133"/>
      <c r="B226" s="238"/>
      <c r="C226" s="238"/>
      <c r="D226" s="238"/>
      <c r="E226" s="238"/>
      <c r="F226" s="239"/>
      <c r="G226" s="349"/>
      <c r="H226" s="350"/>
      <c r="I226" s="133"/>
      <c r="J226" s="238"/>
      <c r="K226" s="238"/>
      <c r="L226" s="238"/>
      <c r="M226" s="238"/>
      <c r="N226" s="239"/>
      <c r="O226" s="349"/>
      <c r="P226" s="350"/>
    </row>
    <row r="227" spans="1:16" ht="15.75" thickBot="1" x14ac:dyDescent="0.3">
      <c r="A227" s="133"/>
      <c r="B227" s="224" t="s">
        <v>5408</v>
      </c>
      <c r="C227" s="193" t="s">
        <v>867</v>
      </c>
      <c r="D227" s="193" t="s">
        <v>6</v>
      </c>
      <c r="E227" s="193" t="s">
        <v>870</v>
      </c>
      <c r="F227" s="193" t="s">
        <v>5409</v>
      </c>
      <c r="G227" s="343" t="s">
        <v>868</v>
      </c>
      <c r="H227" s="341"/>
      <c r="I227" s="133"/>
      <c r="J227" s="224" t="s">
        <v>5408</v>
      </c>
      <c r="K227" s="193" t="s">
        <v>867</v>
      </c>
      <c r="L227" s="193" t="s">
        <v>6</v>
      </c>
      <c r="M227" s="193" t="s">
        <v>870</v>
      </c>
      <c r="N227" s="193" t="s">
        <v>5409</v>
      </c>
      <c r="O227" s="343" t="s">
        <v>868</v>
      </c>
      <c r="P227" s="341"/>
    </row>
    <row r="228" spans="1:16" x14ac:dyDescent="0.25">
      <c r="A228" s="133"/>
      <c r="B228" s="258" t="s">
        <v>6532</v>
      </c>
      <c r="C228" s="202" t="s">
        <v>5424</v>
      </c>
      <c r="D228" s="226">
        <v>0.12</v>
      </c>
      <c r="E228" s="346">
        <v>580000</v>
      </c>
      <c r="F228" s="169">
        <v>0.1</v>
      </c>
      <c r="G228" s="351">
        <f>+E228*D228*(1+F228)</f>
        <v>76560</v>
      </c>
      <c r="H228" s="341"/>
      <c r="I228" s="133"/>
      <c r="J228" s="258"/>
      <c r="K228" s="202"/>
      <c r="L228" s="226"/>
      <c r="M228" s="346"/>
      <c r="N228" s="169"/>
      <c r="O228" s="351"/>
      <c r="P228" s="341"/>
    </row>
    <row r="229" spans="1:16" x14ac:dyDescent="0.25">
      <c r="A229" s="133"/>
      <c r="B229" s="260"/>
      <c r="C229" s="202"/>
      <c r="D229" s="202"/>
      <c r="E229" s="378"/>
      <c r="F229" s="169"/>
      <c r="G229" s="377">
        <f>+E229*D229*(1+F229)</f>
        <v>0</v>
      </c>
      <c r="H229" s="341"/>
      <c r="I229" s="133"/>
      <c r="J229" s="260"/>
      <c r="K229" s="202"/>
      <c r="L229" s="202"/>
      <c r="M229" s="378"/>
      <c r="N229" s="169"/>
      <c r="O229" s="377"/>
      <c r="P229" s="341"/>
    </row>
    <row r="230" spans="1:16" x14ac:dyDescent="0.25">
      <c r="A230" s="133"/>
      <c r="B230" s="260"/>
      <c r="C230" s="202"/>
      <c r="D230" s="226"/>
      <c r="E230" s="376"/>
      <c r="F230" s="169"/>
      <c r="G230" s="377">
        <f>+E230*D230*(1+F230)</f>
        <v>0</v>
      </c>
      <c r="H230" s="341"/>
      <c r="I230" s="133"/>
      <c r="J230" s="260"/>
      <c r="K230" s="202"/>
      <c r="L230" s="226"/>
      <c r="M230" s="376"/>
      <c r="N230" s="169"/>
      <c r="O230" s="377"/>
      <c r="P230" s="341"/>
    </row>
    <row r="231" spans="1:16" x14ac:dyDescent="0.25">
      <c r="A231" s="133"/>
      <c r="B231" s="260"/>
      <c r="C231" s="226"/>
      <c r="D231" s="226"/>
      <c r="E231" s="346"/>
      <c r="F231" s="169"/>
      <c r="G231" s="377">
        <f>+E231*D231*(1+F231)</f>
        <v>0</v>
      </c>
      <c r="H231" s="341"/>
      <c r="I231" s="133"/>
      <c r="J231" s="260"/>
      <c r="K231" s="226"/>
      <c r="L231" s="226"/>
      <c r="M231" s="346"/>
      <c r="N231" s="169"/>
      <c r="O231" s="377"/>
      <c r="P231" s="341"/>
    </row>
    <row r="232" spans="1:16" x14ac:dyDescent="0.25">
      <c r="A232" s="133"/>
      <c r="B232" s="195"/>
      <c r="C232" s="226"/>
      <c r="D232" s="226"/>
      <c r="E232" s="346"/>
      <c r="F232" s="169"/>
      <c r="G232" s="351"/>
      <c r="H232" s="341"/>
      <c r="I232" s="133"/>
      <c r="J232" s="195"/>
      <c r="K232" s="226"/>
      <c r="L232" s="226"/>
      <c r="M232" s="346"/>
      <c r="N232" s="169"/>
      <c r="O232" s="351"/>
      <c r="P232" s="341"/>
    </row>
    <row r="233" spans="1:16" x14ac:dyDescent="0.25">
      <c r="A233" s="133"/>
      <c r="B233" s="194"/>
      <c r="C233" s="202"/>
      <c r="D233" s="202"/>
      <c r="E233" s="346"/>
      <c r="F233" s="169"/>
      <c r="G233" s="351"/>
      <c r="H233" s="341"/>
      <c r="I233" s="133"/>
      <c r="J233" s="194"/>
      <c r="K233" s="202"/>
      <c r="L233" s="202"/>
      <c r="M233" s="346"/>
      <c r="N233" s="169"/>
      <c r="O233" s="351"/>
      <c r="P233" s="341"/>
    </row>
    <row r="234" spans="1:16" x14ac:dyDescent="0.25">
      <c r="A234" s="133"/>
      <c r="B234" s="195"/>
      <c r="C234" s="226"/>
      <c r="D234" s="226"/>
      <c r="E234" s="346"/>
      <c r="F234" s="169"/>
      <c r="G234" s="351"/>
      <c r="H234" s="341"/>
      <c r="I234" s="133"/>
      <c r="J234" s="195"/>
      <c r="K234" s="226"/>
      <c r="L234" s="226"/>
      <c r="M234" s="346"/>
      <c r="N234" s="169"/>
      <c r="O234" s="351"/>
      <c r="P234" s="341"/>
    </row>
    <row r="235" spans="1:16" x14ac:dyDescent="0.25">
      <c r="A235" s="133"/>
      <c r="B235" s="195"/>
      <c r="C235" s="226"/>
      <c r="D235" s="226"/>
      <c r="E235" s="346"/>
      <c r="F235" s="169"/>
      <c r="G235" s="351"/>
      <c r="H235" s="341"/>
      <c r="I235" s="133"/>
      <c r="J235" s="195"/>
      <c r="K235" s="226"/>
      <c r="L235" s="226"/>
      <c r="M235" s="346"/>
      <c r="N235" s="169"/>
      <c r="O235" s="351"/>
      <c r="P235" s="341"/>
    </row>
    <row r="236" spans="1:16" x14ac:dyDescent="0.25">
      <c r="A236" s="133"/>
      <c r="B236" s="195"/>
      <c r="C236" s="232"/>
      <c r="D236" s="232"/>
      <c r="E236" s="232"/>
      <c r="F236" s="226"/>
      <c r="G236" s="344"/>
      <c r="H236" s="341"/>
      <c r="I236" s="133"/>
      <c r="J236" s="195"/>
      <c r="K236" s="232"/>
      <c r="L236" s="232"/>
      <c r="M236" s="232"/>
      <c r="N236" s="226"/>
      <c r="O236" s="344"/>
      <c r="P236" s="341"/>
    </row>
    <row r="237" spans="1:16" x14ac:dyDescent="0.25">
      <c r="A237" s="133"/>
      <c r="B237" s="195"/>
      <c r="C237" s="232"/>
      <c r="D237" s="232"/>
      <c r="E237" s="232"/>
      <c r="F237" s="226"/>
      <c r="G237" s="344"/>
      <c r="H237" s="341"/>
      <c r="I237" s="133"/>
      <c r="J237" s="195"/>
      <c r="K237" s="232"/>
      <c r="L237" s="232"/>
      <c r="M237" s="232"/>
      <c r="N237" s="226"/>
      <c r="O237" s="344"/>
      <c r="P237" s="341"/>
    </row>
    <row r="238" spans="1:16" x14ac:dyDescent="0.25">
      <c r="A238" s="133"/>
      <c r="B238" s="195"/>
      <c r="C238" s="232"/>
      <c r="D238" s="232"/>
      <c r="E238" s="232"/>
      <c r="F238" s="226"/>
      <c r="G238" s="344"/>
      <c r="H238" s="341"/>
      <c r="I238" s="133"/>
      <c r="J238" s="195"/>
      <c r="K238" s="232"/>
      <c r="L238" s="232"/>
      <c r="M238" s="232"/>
      <c r="N238" s="226"/>
      <c r="O238" s="344"/>
      <c r="P238" s="341"/>
    </row>
    <row r="239" spans="1:16" ht="15.75" thickBot="1" x14ac:dyDescent="0.3">
      <c r="A239" s="133"/>
      <c r="B239" s="195"/>
      <c r="C239" s="232"/>
      <c r="D239" s="232"/>
      <c r="E239" s="232"/>
      <c r="F239" s="226"/>
      <c r="G239" s="344"/>
      <c r="H239" s="341"/>
      <c r="I239" s="133"/>
      <c r="J239" s="195"/>
      <c r="K239" s="232"/>
      <c r="L239" s="232"/>
      <c r="M239" s="232"/>
      <c r="N239" s="226"/>
      <c r="O239" s="344"/>
      <c r="P239" s="341"/>
    </row>
    <row r="240" spans="1:16" ht="15.75" thickBot="1" x14ac:dyDescent="0.3">
      <c r="A240" s="133"/>
      <c r="B240" s="233"/>
      <c r="C240" s="234"/>
      <c r="D240" s="234"/>
      <c r="E240" s="234"/>
      <c r="F240" s="235"/>
      <c r="G240" s="347"/>
      <c r="H240" s="348">
        <f>+SUM(G228:G240)</f>
        <v>76560</v>
      </c>
      <c r="I240" s="133"/>
      <c r="J240" s="233"/>
      <c r="K240" s="234"/>
      <c r="L240" s="234"/>
      <c r="M240" s="234"/>
      <c r="N240" s="235"/>
      <c r="O240" s="347"/>
      <c r="P240" s="358">
        <f>+SUM(O228:O240)</f>
        <v>0</v>
      </c>
    </row>
    <row r="241" spans="1:16" ht="15.75" thickBot="1" x14ac:dyDescent="0.3">
      <c r="A241" s="133"/>
      <c r="B241" s="238"/>
      <c r="C241" s="238"/>
      <c r="D241" s="238"/>
      <c r="E241" s="238"/>
      <c r="F241" s="239"/>
      <c r="G241" s="349"/>
      <c r="H241" s="350"/>
      <c r="I241" s="133"/>
      <c r="J241" s="238"/>
      <c r="K241" s="238"/>
      <c r="L241" s="238"/>
      <c r="M241" s="238"/>
      <c r="N241" s="239"/>
      <c r="O241" s="349"/>
      <c r="P241" s="350"/>
    </row>
    <row r="242" spans="1:16" ht="15.75" thickBot="1" x14ac:dyDescent="0.3">
      <c r="A242" s="133"/>
      <c r="B242" s="224" t="s">
        <v>5410</v>
      </c>
      <c r="C242" s="193" t="s">
        <v>867</v>
      </c>
      <c r="D242" s="193" t="s">
        <v>6</v>
      </c>
      <c r="E242" s="193" t="s">
        <v>870</v>
      </c>
      <c r="F242" s="193" t="s">
        <v>5411</v>
      </c>
      <c r="G242" s="343" t="s">
        <v>868</v>
      </c>
      <c r="H242" s="341"/>
      <c r="I242" s="133"/>
      <c r="J242" s="224" t="s">
        <v>5410</v>
      </c>
      <c r="K242" s="193" t="s">
        <v>867</v>
      </c>
      <c r="L242" s="193" t="s">
        <v>6</v>
      </c>
      <c r="M242" s="193" t="s">
        <v>870</v>
      </c>
      <c r="N242" s="193" t="s">
        <v>5411</v>
      </c>
      <c r="O242" s="343" t="s">
        <v>868</v>
      </c>
      <c r="P242" s="341"/>
    </row>
    <row r="243" spans="1:16" x14ac:dyDescent="0.25">
      <c r="A243" s="133"/>
      <c r="B243" s="245"/>
      <c r="C243" s="283"/>
      <c r="D243" s="283"/>
      <c r="E243" s="379"/>
      <c r="F243" s="283"/>
      <c r="G243" s="354"/>
      <c r="H243" s="355"/>
      <c r="I243" s="133"/>
      <c r="J243" s="245"/>
      <c r="K243" s="283"/>
      <c r="L243" s="283"/>
      <c r="M243" s="379"/>
      <c r="N243" s="283"/>
      <c r="O243" s="354"/>
      <c r="P243" s="355"/>
    </row>
    <row r="244" spans="1:16" x14ac:dyDescent="0.25">
      <c r="A244" s="133"/>
      <c r="B244" s="247"/>
      <c r="C244" s="286"/>
      <c r="D244" s="286"/>
      <c r="E244" s="380"/>
      <c r="F244" s="286"/>
      <c r="G244" s="351"/>
      <c r="H244" s="341"/>
      <c r="I244" s="133"/>
      <c r="J244" s="247"/>
      <c r="K244" s="286"/>
      <c r="L244" s="286"/>
      <c r="M244" s="380"/>
      <c r="N244" s="286"/>
      <c r="O244" s="351"/>
      <c r="P244" s="341"/>
    </row>
    <row r="245" spans="1:16" x14ac:dyDescent="0.25">
      <c r="A245" s="133"/>
      <c r="B245" s="247"/>
      <c r="C245" s="286"/>
      <c r="D245" s="286"/>
      <c r="E245" s="288"/>
      <c r="F245" s="286"/>
      <c r="G245" s="344"/>
      <c r="H245" s="341"/>
      <c r="I245" s="133"/>
      <c r="J245" s="247"/>
      <c r="K245" s="286"/>
      <c r="L245" s="286"/>
      <c r="M245" s="288"/>
      <c r="N245" s="286"/>
      <c r="O245" s="344"/>
      <c r="P245" s="341"/>
    </row>
    <row r="246" spans="1:16" x14ac:dyDescent="0.25">
      <c r="A246" s="133"/>
      <c r="B246" s="194"/>
      <c r="C246" s="248"/>
      <c r="D246" s="248"/>
      <c r="E246" s="248"/>
      <c r="F246" s="202"/>
      <c r="G246" s="344"/>
      <c r="H246" s="341"/>
      <c r="I246" s="133"/>
      <c r="J246" s="194"/>
      <c r="K246" s="248"/>
      <c r="L246" s="248"/>
      <c r="M246" s="248"/>
      <c r="N246" s="202"/>
      <c r="O246" s="344"/>
      <c r="P246" s="341"/>
    </row>
    <row r="247" spans="1:16" ht="15.75" thickBot="1" x14ac:dyDescent="0.3">
      <c r="A247" s="133"/>
      <c r="B247" s="195"/>
      <c r="C247" s="232"/>
      <c r="D247" s="232"/>
      <c r="E247" s="232"/>
      <c r="F247" s="226"/>
      <c r="G247" s="344"/>
      <c r="H247" s="341"/>
      <c r="I247" s="133"/>
      <c r="J247" s="195"/>
      <c r="K247" s="232"/>
      <c r="L247" s="232"/>
      <c r="M247" s="232"/>
      <c r="N247" s="226"/>
      <c r="O247" s="344"/>
      <c r="P247" s="341"/>
    </row>
    <row r="248" spans="1:16" ht="15.75" thickBot="1" x14ac:dyDescent="0.3">
      <c r="A248" s="133"/>
      <c r="B248" s="233"/>
      <c r="C248" s="234"/>
      <c r="D248" s="234"/>
      <c r="E248" s="234"/>
      <c r="F248" s="235"/>
      <c r="G248" s="347"/>
      <c r="H248" s="348">
        <f>+SUM(G243:G248)</f>
        <v>0</v>
      </c>
      <c r="I248" s="133"/>
      <c r="J248" s="233"/>
      <c r="K248" s="234"/>
      <c r="L248" s="234"/>
      <c r="M248" s="234"/>
      <c r="N248" s="235"/>
      <c r="O248" s="347"/>
      <c r="P248" s="348">
        <f>+SUM(O243:O248)</f>
        <v>0</v>
      </c>
    </row>
    <row r="249" spans="1:16" ht="15.75" thickBot="1" x14ac:dyDescent="0.3">
      <c r="A249" s="133"/>
      <c r="B249" s="238"/>
      <c r="C249" s="238"/>
      <c r="D249" s="238"/>
      <c r="E249" s="238"/>
      <c r="F249" s="249"/>
      <c r="G249" s="356"/>
      <c r="H249" s="350"/>
      <c r="I249" s="133"/>
      <c r="J249" s="238"/>
      <c r="K249" s="238"/>
      <c r="L249" s="238"/>
      <c r="M249" s="238"/>
      <c r="N249" s="249"/>
      <c r="O249" s="356"/>
      <c r="P249" s="350"/>
    </row>
    <row r="250" spans="1:16" ht="15.75" thickBot="1" x14ac:dyDescent="0.3">
      <c r="A250" s="133"/>
      <c r="B250" s="224" t="s">
        <v>5412</v>
      </c>
      <c r="C250" s="193" t="s">
        <v>5420</v>
      </c>
      <c r="D250" s="193" t="s">
        <v>5421</v>
      </c>
      <c r="E250" s="193" t="s">
        <v>5413</v>
      </c>
      <c r="F250" s="193" t="s">
        <v>5405</v>
      </c>
      <c r="G250" s="343" t="s">
        <v>868</v>
      </c>
      <c r="H250" s="341"/>
      <c r="I250" s="133"/>
      <c r="J250" s="224" t="s">
        <v>5412</v>
      </c>
      <c r="K250" s="193" t="s">
        <v>5420</v>
      </c>
      <c r="L250" s="193" t="s">
        <v>5421</v>
      </c>
      <c r="M250" s="193" t="s">
        <v>5413</v>
      </c>
      <c r="N250" s="193" t="s">
        <v>5405</v>
      </c>
      <c r="O250" s="343" t="s">
        <v>868</v>
      </c>
      <c r="P250" s="341"/>
    </row>
    <row r="251" spans="1:16" x14ac:dyDescent="0.25">
      <c r="A251" s="133"/>
      <c r="B251" s="381" t="s">
        <v>5948</v>
      </c>
      <c r="C251" s="345">
        <v>70000</v>
      </c>
      <c r="D251" s="345">
        <f>+C251*0.85</f>
        <v>59500</v>
      </c>
      <c r="E251" s="345">
        <f>+C251+D251</f>
        <v>129500</v>
      </c>
      <c r="F251" s="204">
        <v>70</v>
      </c>
      <c r="G251" s="351">
        <f>+E251/F251</f>
        <v>1850</v>
      </c>
      <c r="H251" s="341"/>
      <c r="I251" s="133"/>
      <c r="J251" s="381" t="s">
        <v>5948</v>
      </c>
      <c r="K251" s="345">
        <v>70000</v>
      </c>
      <c r="L251" s="345">
        <f>+K251*0.85</f>
        <v>59500</v>
      </c>
      <c r="M251" s="345">
        <f>+K251+L251</f>
        <v>129500</v>
      </c>
      <c r="N251" s="204">
        <v>10</v>
      </c>
      <c r="O251" s="351">
        <f>+M251/N251</f>
        <v>12950</v>
      </c>
      <c r="P251" s="341"/>
    </row>
    <row r="252" spans="1:16" x14ac:dyDescent="0.25">
      <c r="A252" s="133"/>
      <c r="B252" s="385" t="s">
        <v>5949</v>
      </c>
      <c r="C252" s="345">
        <v>40000</v>
      </c>
      <c r="D252" s="345">
        <f>+C252*0.85</f>
        <v>34000</v>
      </c>
      <c r="E252" s="345">
        <f>+C252+D252</f>
        <v>74000</v>
      </c>
      <c r="F252" s="202">
        <v>7</v>
      </c>
      <c r="G252" s="351">
        <f>+E252/F252</f>
        <v>10571.428571428571</v>
      </c>
      <c r="H252" s="341"/>
      <c r="I252" s="133"/>
      <c r="J252" s="385" t="s">
        <v>5949</v>
      </c>
      <c r="K252" s="345">
        <v>40000</v>
      </c>
      <c r="L252" s="345">
        <f>+K252*0.85</f>
        <v>34000</v>
      </c>
      <c r="M252" s="345">
        <f>+K252+L252</f>
        <v>74000</v>
      </c>
      <c r="N252" s="202">
        <v>1</v>
      </c>
      <c r="O252" s="351">
        <f>+M252/N252</f>
        <v>74000</v>
      </c>
      <c r="P252" s="341"/>
    </row>
    <row r="253" spans="1:16" x14ac:dyDescent="0.25">
      <c r="A253" s="133"/>
      <c r="B253" s="385" t="s">
        <v>5950</v>
      </c>
      <c r="C253" s="345">
        <v>20600</v>
      </c>
      <c r="D253" s="345">
        <f>+C253*0.85</f>
        <v>17510</v>
      </c>
      <c r="E253" s="345">
        <f>+C253+D253</f>
        <v>38110</v>
      </c>
      <c r="F253" s="226">
        <v>7</v>
      </c>
      <c r="G253" s="351">
        <f>+E253/F253</f>
        <v>5444.2857142857147</v>
      </c>
      <c r="H253" s="341"/>
      <c r="I253" s="133"/>
      <c r="J253" s="385" t="s">
        <v>5950</v>
      </c>
      <c r="K253" s="345">
        <v>20600</v>
      </c>
      <c r="L253" s="345">
        <f>+K253*0.85</f>
        <v>17510</v>
      </c>
      <c r="M253" s="345">
        <f>+K253+L253</f>
        <v>38110</v>
      </c>
      <c r="N253" s="226">
        <v>0.75</v>
      </c>
      <c r="O253" s="351">
        <f>+M253/N253</f>
        <v>50813.333333333336</v>
      </c>
      <c r="P253" s="341"/>
    </row>
    <row r="254" spans="1:16" x14ac:dyDescent="0.25">
      <c r="A254" s="133"/>
      <c r="B254" s="195"/>
      <c r="C254" s="346"/>
      <c r="D254" s="345"/>
      <c r="E254" s="345"/>
      <c r="F254" s="226"/>
      <c r="G254" s="351"/>
      <c r="H254" s="341"/>
      <c r="I254" s="133"/>
      <c r="J254" s="195"/>
      <c r="K254" s="346"/>
      <c r="L254" s="345"/>
      <c r="M254" s="345"/>
      <c r="N254" s="226"/>
      <c r="O254" s="351"/>
      <c r="P254" s="341"/>
    </row>
    <row r="255" spans="1:16" x14ac:dyDescent="0.25">
      <c r="A255" s="133"/>
      <c r="B255" s="195"/>
      <c r="C255" s="232"/>
      <c r="D255" s="232"/>
      <c r="E255" s="232"/>
      <c r="F255" s="226"/>
      <c r="G255" s="344"/>
      <c r="H255" s="341"/>
      <c r="I255" s="133"/>
      <c r="J255" s="195"/>
      <c r="K255" s="232"/>
      <c r="L255" s="232"/>
      <c r="M255" s="232"/>
      <c r="N255" s="226"/>
      <c r="O255" s="344"/>
      <c r="P255" s="341"/>
    </row>
    <row r="256" spans="1:16" ht="15.75" thickBot="1" x14ac:dyDescent="0.3">
      <c r="A256" s="133"/>
      <c r="B256" s="195"/>
      <c r="C256" s="232"/>
      <c r="D256" s="232"/>
      <c r="E256" s="232"/>
      <c r="F256" s="226"/>
      <c r="G256" s="344"/>
      <c r="H256" s="341"/>
      <c r="I256" s="133"/>
      <c r="J256" s="195"/>
      <c r="K256" s="232"/>
      <c r="L256" s="232"/>
      <c r="M256" s="232"/>
      <c r="N256" s="226"/>
      <c r="O256" s="344"/>
      <c r="P256" s="341"/>
    </row>
    <row r="257" spans="1:16" ht="15.75" thickBot="1" x14ac:dyDescent="0.3">
      <c r="A257" s="133"/>
      <c r="B257" s="251"/>
      <c r="C257" s="252"/>
      <c r="D257" s="252"/>
      <c r="E257" s="252"/>
      <c r="F257" s="253"/>
      <c r="G257" s="357"/>
      <c r="H257" s="348">
        <f>+SUM(G251:G257)</f>
        <v>17865.714285714286</v>
      </c>
      <c r="I257" s="133"/>
      <c r="J257" s="251"/>
      <c r="K257" s="252"/>
      <c r="L257" s="252"/>
      <c r="M257" s="252"/>
      <c r="N257" s="253"/>
      <c r="O257" s="357"/>
      <c r="P257" s="358">
        <f>+SUM(O251:O257)</f>
        <v>137763.33333333334</v>
      </c>
    </row>
    <row r="258" spans="1:16" ht="15.75" thickBot="1" x14ac:dyDescent="0.3">
      <c r="A258" s="133"/>
      <c r="B258" s="8"/>
      <c r="C258" s="8"/>
      <c r="D258" s="8"/>
      <c r="E258" s="8"/>
      <c r="F258" s="133"/>
      <c r="G258" s="341"/>
      <c r="H258" s="341"/>
      <c r="I258" s="133"/>
      <c r="J258" s="8"/>
      <c r="K258" s="8"/>
      <c r="L258" s="8"/>
      <c r="M258" s="8"/>
      <c r="N258" s="133"/>
      <c r="O258" s="341"/>
      <c r="P258" s="341"/>
    </row>
    <row r="259" spans="1:16" ht="15.75" thickBot="1" x14ac:dyDescent="0.3">
      <c r="A259" s="133"/>
      <c r="B259" s="8"/>
      <c r="C259" s="8"/>
      <c r="D259" s="8"/>
      <c r="E259" s="223" t="s">
        <v>5415</v>
      </c>
      <c r="F259" s="133"/>
      <c r="G259" s="341"/>
      <c r="H259" s="348">
        <f>ROUND(+H257+H248+H240+H225,0)</f>
        <v>102712</v>
      </c>
      <c r="I259" s="133"/>
      <c r="J259" s="8"/>
      <c r="K259" s="8"/>
      <c r="L259" s="8"/>
      <c r="M259" s="223" t="s">
        <v>5415</v>
      </c>
      <c r="N259" s="133"/>
      <c r="O259" s="341"/>
      <c r="P259" s="358">
        <f>ROUND(+P257+P248+P240+P225,0)</f>
        <v>151540</v>
      </c>
    </row>
    <row r="264" spans="1:16" ht="18.75" x14ac:dyDescent="0.25">
      <c r="A264" s="133"/>
      <c r="B264" s="2506" t="s">
        <v>5400</v>
      </c>
      <c r="C264" s="2506"/>
      <c r="D264" s="2506"/>
      <c r="E264" s="2506"/>
      <c r="F264" s="2506"/>
      <c r="G264" s="2506"/>
      <c r="H264" s="2506"/>
      <c r="I264" s="133"/>
      <c r="J264" s="2506" t="s">
        <v>5400</v>
      </c>
      <c r="K264" s="2506"/>
      <c r="L264" s="2506"/>
      <c r="M264" s="2506"/>
      <c r="N264" s="2506"/>
      <c r="O264" s="2506"/>
      <c r="P264" s="2506"/>
    </row>
    <row r="265" spans="1:16" x14ac:dyDescent="0.25">
      <c r="A265" s="133"/>
      <c r="B265" s="8"/>
      <c r="C265" s="8"/>
      <c r="D265" s="8"/>
      <c r="E265" s="8"/>
      <c r="F265" s="133"/>
      <c r="G265" s="341"/>
      <c r="H265" s="341"/>
      <c r="I265" s="133"/>
      <c r="J265" s="8"/>
      <c r="K265" s="8"/>
      <c r="L265" s="8"/>
      <c r="M265" s="8"/>
      <c r="N265" s="133"/>
      <c r="O265" s="341"/>
      <c r="P265" s="341"/>
    </row>
    <row r="266" spans="1:16" x14ac:dyDescent="0.25">
      <c r="A266" s="133"/>
      <c r="B266" s="8"/>
      <c r="C266" s="8"/>
      <c r="D266" s="8"/>
      <c r="E266" s="8"/>
      <c r="F266" s="133"/>
      <c r="G266" s="341"/>
      <c r="H266" s="341"/>
      <c r="I266" s="133"/>
      <c r="J266" s="8"/>
      <c r="K266" s="8"/>
      <c r="L266" s="8"/>
      <c r="M266" s="8"/>
      <c r="N266" s="133"/>
      <c r="O266" s="341"/>
      <c r="P266" s="341"/>
    </row>
    <row r="267" spans="1:16" x14ac:dyDescent="0.25">
      <c r="A267" s="133"/>
      <c r="B267" s="8"/>
      <c r="C267" s="8"/>
      <c r="D267" s="8"/>
      <c r="E267" s="8"/>
      <c r="F267" s="133"/>
      <c r="G267" s="341"/>
      <c r="H267" s="341"/>
      <c r="I267" s="133"/>
      <c r="J267" s="8"/>
      <c r="K267" s="8"/>
      <c r="L267" s="8"/>
      <c r="M267" s="8"/>
      <c r="N267" s="133"/>
      <c r="O267" s="341"/>
      <c r="P267" s="341"/>
    </row>
    <row r="268" spans="1:16" x14ac:dyDescent="0.25">
      <c r="A268" s="220" t="s">
        <v>5482</v>
      </c>
      <c r="B268" s="138" t="s">
        <v>750</v>
      </c>
      <c r="C268" s="2510" t="s">
        <v>6589</v>
      </c>
      <c r="D268" s="2511"/>
      <c r="E268" s="2511"/>
      <c r="F268" s="220" t="s">
        <v>867</v>
      </c>
      <c r="G268" s="342" t="s">
        <v>5402</v>
      </c>
      <c r="H268" s="341"/>
      <c r="I268" s="220" t="s">
        <v>5482</v>
      </c>
      <c r="J268" s="138"/>
      <c r="K268" s="2510" t="s">
        <v>6590</v>
      </c>
      <c r="L268" s="2511"/>
      <c r="M268" s="2511"/>
      <c r="N268" s="220" t="s">
        <v>867</v>
      </c>
      <c r="O268" s="342" t="s">
        <v>5402</v>
      </c>
      <c r="P268" s="341"/>
    </row>
    <row r="269" spans="1:16" x14ac:dyDescent="0.25">
      <c r="A269" s="133"/>
      <c r="B269" s="8"/>
      <c r="C269" s="223"/>
      <c r="D269" s="223"/>
      <c r="E269" s="223"/>
      <c r="F269" s="133"/>
      <c r="G269" s="341"/>
      <c r="H269" s="341"/>
      <c r="I269" s="133"/>
      <c r="J269" s="8"/>
      <c r="K269" s="223"/>
      <c r="L269" s="223"/>
      <c r="M269" s="223"/>
      <c r="N269" s="133"/>
      <c r="O269" s="341"/>
      <c r="P269" s="341"/>
    </row>
    <row r="270" spans="1:16" x14ac:dyDescent="0.25">
      <c r="A270" s="133"/>
      <c r="B270" s="8"/>
      <c r="C270" s="8"/>
      <c r="D270" s="8"/>
      <c r="E270" s="8"/>
      <c r="F270" s="8"/>
      <c r="G270" s="8"/>
      <c r="H270" s="341"/>
      <c r="I270" s="133"/>
      <c r="J270" s="8"/>
      <c r="K270" s="8"/>
      <c r="L270" s="8"/>
      <c r="M270" s="8"/>
      <c r="N270" s="8"/>
      <c r="O270" s="8"/>
      <c r="P270" s="341"/>
    </row>
    <row r="271" spans="1:16" ht="15.75" thickBot="1" x14ac:dyDescent="0.3">
      <c r="A271" s="133"/>
      <c r="B271" s="8"/>
      <c r="C271" s="8"/>
      <c r="D271" s="8"/>
      <c r="E271" s="8"/>
      <c r="F271" s="133"/>
      <c r="G271" s="341"/>
      <c r="H271" s="341"/>
      <c r="I271" s="133"/>
      <c r="J271" s="8"/>
      <c r="K271" s="8"/>
      <c r="L271" s="8"/>
      <c r="M271" s="8"/>
      <c r="N271" s="133"/>
      <c r="O271" s="341"/>
      <c r="P271" s="341"/>
    </row>
    <row r="272" spans="1:16" ht="15.75" thickBot="1" x14ac:dyDescent="0.3">
      <c r="A272" s="133"/>
      <c r="B272" s="224" t="s">
        <v>5403</v>
      </c>
      <c r="C272" s="193" t="s">
        <v>867</v>
      </c>
      <c r="D272" s="193" t="s">
        <v>6</v>
      </c>
      <c r="E272" s="193" t="s">
        <v>5439</v>
      </c>
      <c r="F272" s="193" t="s">
        <v>5405</v>
      </c>
      <c r="G272" s="343" t="s">
        <v>868</v>
      </c>
      <c r="H272" s="341"/>
      <c r="I272" s="133"/>
      <c r="J272" s="224" t="s">
        <v>5403</v>
      </c>
      <c r="K272" s="193" t="s">
        <v>867</v>
      </c>
      <c r="L272" s="193" t="s">
        <v>6</v>
      </c>
      <c r="M272" s="193" t="s">
        <v>5439</v>
      </c>
      <c r="N272" s="193" t="s">
        <v>5405</v>
      </c>
      <c r="O272" s="343" t="s">
        <v>868</v>
      </c>
      <c r="P272" s="341"/>
    </row>
    <row r="273" spans="1:16" x14ac:dyDescent="0.25">
      <c r="A273" s="133"/>
      <c r="B273" s="146" t="s">
        <v>5934</v>
      </c>
      <c r="C273" s="226"/>
      <c r="D273" s="226"/>
      <c r="E273" s="372">
        <f>+H311</f>
        <v>20843.333333333336</v>
      </c>
      <c r="F273" s="226">
        <v>0.1</v>
      </c>
      <c r="G273" s="344">
        <f>+E273*F273</f>
        <v>2084.3333333333335</v>
      </c>
      <c r="H273" s="341"/>
      <c r="I273" s="133"/>
      <c r="J273" s="146" t="s">
        <v>5934</v>
      </c>
      <c r="K273" s="226" t="s">
        <v>5402</v>
      </c>
      <c r="L273" s="226">
        <v>1</v>
      </c>
      <c r="M273" s="372">
        <f>+P311</f>
        <v>163170</v>
      </c>
      <c r="N273" s="226">
        <v>0.1</v>
      </c>
      <c r="O273" s="373">
        <f>+M273*N273</f>
        <v>16317</v>
      </c>
      <c r="P273" s="341"/>
    </row>
    <row r="274" spans="1:16" x14ac:dyDescent="0.25">
      <c r="A274" s="133"/>
      <c r="B274" s="195" t="s">
        <v>6327</v>
      </c>
      <c r="C274" s="226" t="s">
        <v>5424</v>
      </c>
      <c r="D274" s="226">
        <v>1</v>
      </c>
      <c r="E274" s="374">
        <v>5000</v>
      </c>
      <c r="F274" s="226">
        <v>1.5</v>
      </c>
      <c r="G274" s="344">
        <f>+D274*E274*F274</f>
        <v>7500</v>
      </c>
      <c r="H274" s="341"/>
      <c r="I274" s="133"/>
      <c r="J274" s="195"/>
      <c r="K274" s="226"/>
      <c r="L274" s="226"/>
      <c r="M274" s="374"/>
      <c r="N274" s="226"/>
      <c r="O274" s="344"/>
      <c r="P274" s="341"/>
    </row>
    <row r="275" spans="1:16" x14ac:dyDescent="0.25">
      <c r="A275" s="133"/>
      <c r="B275" s="195"/>
      <c r="C275" s="226"/>
      <c r="D275" s="226"/>
      <c r="E275" s="345"/>
      <c r="F275" s="226"/>
      <c r="G275" s="344"/>
      <c r="H275" s="341"/>
      <c r="I275" s="133"/>
      <c r="J275" s="195"/>
      <c r="K275" s="226"/>
      <c r="L275" s="226"/>
      <c r="M275" s="345"/>
      <c r="N275" s="226"/>
      <c r="O275" s="344"/>
      <c r="P275" s="341"/>
    </row>
    <row r="276" spans="1:16" x14ac:dyDescent="0.25">
      <c r="A276" s="133"/>
      <c r="B276" s="195"/>
      <c r="C276" s="226"/>
      <c r="D276" s="226"/>
      <c r="E276" s="346"/>
      <c r="F276" s="226"/>
      <c r="G276" s="375"/>
      <c r="H276" s="341"/>
      <c r="I276" s="133"/>
      <c r="J276" s="195"/>
      <c r="K276" s="226"/>
      <c r="L276" s="226"/>
      <c r="M276" s="346"/>
      <c r="N276" s="226"/>
      <c r="O276" s="375"/>
      <c r="P276" s="341"/>
    </row>
    <row r="277" spans="1:16" x14ac:dyDescent="0.25">
      <c r="A277" s="133"/>
      <c r="B277" s="195"/>
      <c r="C277" s="226"/>
      <c r="D277" s="232"/>
      <c r="E277" s="232"/>
      <c r="F277" s="226"/>
      <c r="G277" s="344"/>
      <c r="H277" s="341"/>
      <c r="I277" s="133"/>
      <c r="J277" s="195"/>
      <c r="K277" s="226"/>
      <c r="L277" s="232"/>
      <c r="M277" s="232"/>
      <c r="N277" s="226"/>
      <c r="O277" s="344"/>
      <c r="P277" s="341"/>
    </row>
    <row r="278" spans="1:16" ht="15.75" thickBot="1" x14ac:dyDescent="0.3">
      <c r="A278" s="133"/>
      <c r="B278" s="195"/>
      <c r="C278" s="226"/>
      <c r="D278" s="232"/>
      <c r="E278" s="232"/>
      <c r="F278" s="226"/>
      <c r="G278" s="344"/>
      <c r="H278" s="341"/>
      <c r="I278" s="133"/>
      <c r="J278" s="195"/>
      <c r="K278" s="226"/>
      <c r="L278" s="232"/>
      <c r="M278" s="232"/>
      <c r="N278" s="226"/>
      <c r="O278" s="344"/>
      <c r="P278" s="341"/>
    </row>
    <row r="279" spans="1:16" ht="15.75" thickBot="1" x14ac:dyDescent="0.3">
      <c r="A279" s="133"/>
      <c r="B279" s="233"/>
      <c r="C279" s="234"/>
      <c r="D279" s="234"/>
      <c r="E279" s="234"/>
      <c r="F279" s="235"/>
      <c r="G279" s="347"/>
      <c r="H279" s="348">
        <f>+SUM(G273:G279)</f>
        <v>9584.3333333333339</v>
      </c>
      <c r="I279" s="133"/>
      <c r="J279" s="233"/>
      <c r="K279" s="234"/>
      <c r="L279" s="234"/>
      <c r="M279" s="234"/>
      <c r="N279" s="235"/>
      <c r="O279" s="347"/>
      <c r="P279" s="348">
        <f>+SUM(O273:O279)</f>
        <v>16317</v>
      </c>
    </row>
    <row r="280" spans="1:16" ht="15.75" thickBot="1" x14ac:dyDescent="0.3">
      <c r="A280" s="133"/>
      <c r="B280" s="238"/>
      <c r="C280" s="238"/>
      <c r="D280" s="238"/>
      <c r="E280" s="238"/>
      <c r="F280" s="239"/>
      <c r="G280" s="349"/>
      <c r="H280" s="350"/>
      <c r="I280" s="133"/>
      <c r="J280" s="238"/>
      <c r="K280" s="238"/>
      <c r="L280" s="238"/>
      <c r="M280" s="238"/>
      <c r="N280" s="239"/>
      <c r="O280" s="349"/>
      <c r="P280" s="350"/>
    </row>
    <row r="281" spans="1:16" ht="15.75" thickBot="1" x14ac:dyDescent="0.3">
      <c r="A281" s="133"/>
      <c r="B281" s="224" t="s">
        <v>5408</v>
      </c>
      <c r="C281" s="193" t="s">
        <v>867</v>
      </c>
      <c r="D281" s="193" t="s">
        <v>6</v>
      </c>
      <c r="E281" s="193" t="s">
        <v>870</v>
      </c>
      <c r="F281" s="193" t="s">
        <v>5409</v>
      </c>
      <c r="G281" s="343" t="s">
        <v>868</v>
      </c>
      <c r="H281" s="341"/>
      <c r="I281" s="133"/>
      <c r="J281" s="224" t="s">
        <v>5408</v>
      </c>
      <c r="K281" s="193" t="s">
        <v>867</v>
      </c>
      <c r="L281" s="193" t="s">
        <v>6</v>
      </c>
      <c r="M281" s="193" t="s">
        <v>870</v>
      </c>
      <c r="N281" s="193" t="s">
        <v>5409</v>
      </c>
      <c r="O281" s="343" t="s">
        <v>868</v>
      </c>
      <c r="P281" s="341"/>
    </row>
    <row r="282" spans="1:16" x14ac:dyDescent="0.25">
      <c r="A282" s="133"/>
      <c r="B282" s="258" t="s">
        <v>6532</v>
      </c>
      <c r="C282" s="202" t="s">
        <v>5424</v>
      </c>
      <c r="D282" s="226">
        <v>0.15</v>
      </c>
      <c r="E282" s="346">
        <v>580000</v>
      </c>
      <c r="F282" s="169">
        <v>0.1</v>
      </c>
      <c r="G282" s="351">
        <f>+E282*D282*(1+F282)</f>
        <v>95700.000000000015</v>
      </c>
      <c r="H282" s="341"/>
      <c r="I282" s="133"/>
      <c r="J282" s="258" t="s">
        <v>6532</v>
      </c>
      <c r="K282" s="202" t="s">
        <v>5424</v>
      </c>
      <c r="L282" s="226">
        <v>0.12</v>
      </c>
      <c r="M282" s="346">
        <v>580000</v>
      </c>
      <c r="N282" s="169">
        <v>0.1</v>
      </c>
      <c r="O282" s="351">
        <f>+M282*L282*(1+N282)</f>
        <v>76560</v>
      </c>
      <c r="P282" s="341"/>
    </row>
    <row r="283" spans="1:16" x14ac:dyDescent="0.25">
      <c r="A283" s="133"/>
      <c r="B283" s="260"/>
      <c r="C283" s="202"/>
      <c r="D283" s="202"/>
      <c r="E283" s="378"/>
      <c r="F283" s="169"/>
      <c r="G283" s="377">
        <f>+E283*D283*(1+F283)</f>
        <v>0</v>
      </c>
      <c r="H283" s="341"/>
      <c r="I283" s="133"/>
      <c r="J283" s="260"/>
      <c r="K283" s="202"/>
      <c r="L283" s="202"/>
      <c r="M283" s="378"/>
      <c r="N283" s="169"/>
      <c r="O283" s="377"/>
      <c r="P283" s="341"/>
    </row>
    <row r="284" spans="1:16" x14ac:dyDescent="0.25">
      <c r="A284" s="133"/>
      <c r="B284" s="260"/>
      <c r="C284" s="202"/>
      <c r="D284" s="226"/>
      <c r="E284" s="376"/>
      <c r="F284" s="169"/>
      <c r="G284" s="377">
        <f>+E284*D284*(1+F284)</f>
        <v>0</v>
      </c>
      <c r="H284" s="341"/>
      <c r="I284" s="133"/>
      <c r="J284" s="260"/>
      <c r="K284" s="202"/>
      <c r="L284" s="226"/>
      <c r="M284" s="376"/>
      <c r="N284" s="169"/>
      <c r="O284" s="377"/>
      <c r="P284" s="341"/>
    </row>
    <row r="285" spans="1:16" x14ac:dyDescent="0.25">
      <c r="A285" s="133"/>
      <c r="B285" s="260"/>
      <c r="C285" s="226"/>
      <c r="D285" s="226"/>
      <c r="E285" s="346"/>
      <c r="F285" s="169"/>
      <c r="G285" s="377">
        <f>+E285*D285*(1+F285)</f>
        <v>0</v>
      </c>
      <c r="H285" s="341"/>
      <c r="I285" s="133"/>
      <c r="J285" s="260"/>
      <c r="K285" s="226"/>
      <c r="L285" s="226"/>
      <c r="M285" s="346"/>
      <c r="N285" s="169"/>
      <c r="O285" s="377"/>
      <c r="P285" s="341"/>
    </row>
    <row r="286" spans="1:16" x14ac:dyDescent="0.25">
      <c r="A286" s="133"/>
      <c r="B286" s="195"/>
      <c r="C286" s="226"/>
      <c r="D286" s="226"/>
      <c r="E286" s="346"/>
      <c r="F286" s="169"/>
      <c r="G286" s="351"/>
      <c r="H286" s="341"/>
      <c r="I286" s="133"/>
      <c r="J286" s="195"/>
      <c r="K286" s="226"/>
      <c r="L286" s="226"/>
      <c r="M286" s="346"/>
      <c r="N286" s="169"/>
      <c r="O286" s="351"/>
      <c r="P286" s="341"/>
    </row>
    <row r="287" spans="1:16" x14ac:dyDescent="0.25">
      <c r="A287" s="133"/>
      <c r="B287" s="194"/>
      <c r="C287" s="202"/>
      <c r="D287" s="202"/>
      <c r="E287" s="346"/>
      <c r="F287" s="169"/>
      <c r="G287" s="351"/>
      <c r="H287" s="341"/>
      <c r="I287" s="133"/>
      <c r="J287" s="194"/>
      <c r="K287" s="202"/>
      <c r="L287" s="202"/>
      <c r="M287" s="346"/>
      <c r="N287" s="169"/>
      <c r="O287" s="351"/>
      <c r="P287" s="341"/>
    </row>
    <row r="288" spans="1:16" x14ac:dyDescent="0.25">
      <c r="A288" s="133"/>
      <c r="B288" s="195"/>
      <c r="C288" s="226"/>
      <c r="D288" s="226"/>
      <c r="E288" s="346"/>
      <c r="F288" s="169"/>
      <c r="G288" s="351"/>
      <c r="H288" s="341"/>
      <c r="I288" s="133"/>
      <c r="J288" s="195"/>
      <c r="K288" s="226"/>
      <c r="L288" s="226"/>
      <c r="M288" s="346"/>
      <c r="N288" s="169"/>
      <c r="O288" s="351"/>
      <c r="P288" s="341"/>
    </row>
    <row r="289" spans="1:16" x14ac:dyDescent="0.25">
      <c r="A289" s="133"/>
      <c r="B289" s="195"/>
      <c r="C289" s="226"/>
      <c r="D289" s="226"/>
      <c r="E289" s="346"/>
      <c r="F289" s="169"/>
      <c r="G289" s="351"/>
      <c r="H289" s="341"/>
      <c r="I289" s="133"/>
      <c r="J289" s="195"/>
      <c r="K289" s="226"/>
      <c r="L289" s="226"/>
      <c r="M289" s="346"/>
      <c r="N289" s="169"/>
      <c r="O289" s="351"/>
      <c r="P289" s="341"/>
    </row>
    <row r="290" spans="1:16" x14ac:dyDescent="0.25">
      <c r="A290" s="133"/>
      <c r="B290" s="195"/>
      <c r="C290" s="232"/>
      <c r="D290" s="232"/>
      <c r="E290" s="232"/>
      <c r="F290" s="226"/>
      <c r="G290" s="344"/>
      <c r="H290" s="341"/>
      <c r="I290" s="133"/>
      <c r="J290" s="195"/>
      <c r="K290" s="232"/>
      <c r="L290" s="232"/>
      <c r="M290" s="232"/>
      <c r="N290" s="226"/>
      <c r="O290" s="344"/>
      <c r="P290" s="341"/>
    </row>
    <row r="291" spans="1:16" x14ac:dyDescent="0.25">
      <c r="A291" s="133"/>
      <c r="B291" s="195"/>
      <c r="C291" s="232"/>
      <c r="D291" s="232"/>
      <c r="E291" s="232"/>
      <c r="F291" s="226"/>
      <c r="G291" s="344"/>
      <c r="H291" s="341"/>
      <c r="I291" s="133"/>
      <c r="J291" s="195"/>
      <c r="K291" s="232"/>
      <c r="L291" s="232"/>
      <c r="M291" s="232"/>
      <c r="N291" s="226"/>
      <c r="O291" s="344"/>
      <c r="P291" s="341"/>
    </row>
    <row r="292" spans="1:16" x14ac:dyDescent="0.25">
      <c r="A292" s="133"/>
      <c r="B292" s="195"/>
      <c r="C292" s="232"/>
      <c r="D292" s="232"/>
      <c r="E292" s="232"/>
      <c r="F292" s="226"/>
      <c r="G292" s="344"/>
      <c r="H292" s="341"/>
      <c r="I292" s="133"/>
      <c r="J292" s="195"/>
      <c r="K292" s="232"/>
      <c r="L292" s="232"/>
      <c r="M292" s="232"/>
      <c r="N292" s="226"/>
      <c r="O292" s="344"/>
      <c r="P292" s="341"/>
    </row>
    <row r="293" spans="1:16" ht="15.75" thickBot="1" x14ac:dyDescent="0.3">
      <c r="A293" s="133"/>
      <c r="B293" s="195"/>
      <c r="C293" s="232"/>
      <c r="D293" s="232"/>
      <c r="E293" s="232"/>
      <c r="F293" s="226"/>
      <c r="G293" s="344"/>
      <c r="H293" s="341"/>
      <c r="I293" s="133"/>
      <c r="J293" s="195"/>
      <c r="K293" s="232"/>
      <c r="L293" s="232"/>
      <c r="M293" s="232"/>
      <c r="N293" s="226"/>
      <c r="O293" s="344"/>
      <c r="P293" s="341"/>
    </row>
    <row r="294" spans="1:16" ht="15.75" thickBot="1" x14ac:dyDescent="0.3">
      <c r="A294" s="133"/>
      <c r="B294" s="233"/>
      <c r="C294" s="234"/>
      <c r="D294" s="234"/>
      <c r="E294" s="234"/>
      <c r="F294" s="235"/>
      <c r="G294" s="347"/>
      <c r="H294" s="348">
        <f>+SUM(G282:G294)</f>
        <v>95700.000000000015</v>
      </c>
      <c r="I294" s="133"/>
      <c r="J294" s="233"/>
      <c r="K294" s="234"/>
      <c r="L294" s="234"/>
      <c r="M294" s="234"/>
      <c r="N294" s="235"/>
      <c r="O294" s="347"/>
      <c r="P294" s="358">
        <f>+SUM(O282:O294)</f>
        <v>76560</v>
      </c>
    </row>
    <row r="295" spans="1:16" ht="15.75" thickBot="1" x14ac:dyDescent="0.3">
      <c r="A295" s="133"/>
      <c r="B295" s="238"/>
      <c r="C295" s="238"/>
      <c r="D295" s="238"/>
      <c r="E295" s="238"/>
      <c r="F295" s="239"/>
      <c r="G295" s="349"/>
      <c r="H295" s="350"/>
      <c r="I295" s="133"/>
      <c r="J295" s="238"/>
      <c r="K295" s="238"/>
      <c r="L295" s="238"/>
      <c r="M295" s="238"/>
      <c r="N295" s="239"/>
      <c r="O295" s="349"/>
      <c r="P295" s="350"/>
    </row>
    <row r="296" spans="1:16" ht="15.75" thickBot="1" x14ac:dyDescent="0.3">
      <c r="A296" s="133"/>
      <c r="B296" s="224" t="s">
        <v>5410</v>
      </c>
      <c r="C296" s="193" t="s">
        <v>867</v>
      </c>
      <c r="D296" s="193" t="s">
        <v>6</v>
      </c>
      <c r="E296" s="193" t="s">
        <v>870</v>
      </c>
      <c r="F296" s="193" t="s">
        <v>5411</v>
      </c>
      <c r="G296" s="343" t="s">
        <v>868</v>
      </c>
      <c r="H296" s="341"/>
      <c r="I296" s="133"/>
      <c r="J296" s="224" t="s">
        <v>5410</v>
      </c>
      <c r="K296" s="193" t="s">
        <v>867</v>
      </c>
      <c r="L296" s="193" t="s">
        <v>6</v>
      </c>
      <c r="M296" s="193" t="s">
        <v>870</v>
      </c>
      <c r="N296" s="193" t="s">
        <v>5411</v>
      </c>
      <c r="O296" s="343" t="s">
        <v>868</v>
      </c>
      <c r="P296" s="341"/>
    </row>
    <row r="297" spans="1:16" x14ac:dyDescent="0.25">
      <c r="A297" s="133"/>
      <c r="B297" s="245"/>
      <c r="C297" s="283"/>
      <c r="D297" s="283"/>
      <c r="E297" s="379"/>
      <c r="F297" s="283"/>
      <c r="G297" s="354"/>
      <c r="H297" s="355"/>
      <c r="I297" s="133"/>
      <c r="J297" s="245"/>
      <c r="K297" s="283"/>
      <c r="L297" s="283"/>
      <c r="M297" s="379"/>
      <c r="N297" s="283"/>
      <c r="O297" s="354"/>
      <c r="P297" s="355"/>
    </row>
    <row r="298" spans="1:16" x14ac:dyDescent="0.25">
      <c r="A298" s="133"/>
      <c r="B298" s="247"/>
      <c r="C298" s="286"/>
      <c r="D298" s="286"/>
      <c r="E298" s="380"/>
      <c r="F298" s="286"/>
      <c r="G298" s="351"/>
      <c r="H298" s="341"/>
      <c r="I298" s="133"/>
      <c r="J298" s="247"/>
      <c r="K298" s="286"/>
      <c r="L298" s="286"/>
      <c r="M298" s="380"/>
      <c r="N298" s="286"/>
      <c r="O298" s="351"/>
      <c r="P298" s="341"/>
    </row>
    <row r="299" spans="1:16" x14ac:dyDescent="0.25">
      <c r="A299" s="133"/>
      <c r="B299" s="247"/>
      <c r="C299" s="286"/>
      <c r="D299" s="286"/>
      <c r="E299" s="288"/>
      <c r="F299" s="286"/>
      <c r="G299" s="344"/>
      <c r="H299" s="341"/>
      <c r="I299" s="133"/>
      <c r="J299" s="247"/>
      <c r="K299" s="286"/>
      <c r="L299" s="286"/>
      <c r="M299" s="288"/>
      <c r="N299" s="286"/>
      <c r="O299" s="344"/>
      <c r="P299" s="341"/>
    </row>
    <row r="300" spans="1:16" x14ac:dyDescent="0.25">
      <c r="A300" s="133"/>
      <c r="B300" s="194"/>
      <c r="C300" s="248"/>
      <c r="D300" s="248"/>
      <c r="E300" s="248"/>
      <c r="F300" s="202"/>
      <c r="G300" s="344"/>
      <c r="H300" s="341"/>
      <c r="I300" s="133"/>
      <c r="J300" s="194"/>
      <c r="K300" s="248"/>
      <c r="L300" s="248"/>
      <c r="M300" s="248"/>
      <c r="N300" s="202"/>
      <c r="O300" s="344"/>
      <c r="P300" s="341"/>
    </row>
    <row r="301" spans="1:16" ht="15.75" thickBot="1" x14ac:dyDescent="0.3">
      <c r="A301" s="133"/>
      <c r="B301" s="195"/>
      <c r="C301" s="232"/>
      <c r="D301" s="232"/>
      <c r="E301" s="232"/>
      <c r="F301" s="226"/>
      <c r="G301" s="344"/>
      <c r="H301" s="341"/>
      <c r="I301" s="133"/>
      <c r="J301" s="195"/>
      <c r="K301" s="232"/>
      <c r="L301" s="232"/>
      <c r="M301" s="232"/>
      <c r="N301" s="226"/>
      <c r="O301" s="344"/>
      <c r="P301" s="341"/>
    </row>
    <row r="302" spans="1:16" ht="15.75" thickBot="1" x14ac:dyDescent="0.3">
      <c r="A302" s="133"/>
      <c r="B302" s="233"/>
      <c r="C302" s="234"/>
      <c r="D302" s="234"/>
      <c r="E302" s="234"/>
      <c r="F302" s="235"/>
      <c r="G302" s="347"/>
      <c r="H302" s="348">
        <f>+SUM(G297:G302)</f>
        <v>0</v>
      </c>
      <c r="I302" s="133"/>
      <c r="J302" s="233"/>
      <c r="K302" s="234"/>
      <c r="L302" s="234"/>
      <c r="M302" s="234"/>
      <c r="N302" s="235"/>
      <c r="O302" s="347"/>
      <c r="P302" s="348">
        <f>+SUM(O297:O302)</f>
        <v>0</v>
      </c>
    </row>
    <row r="303" spans="1:16" ht="15.75" thickBot="1" x14ac:dyDescent="0.3">
      <c r="A303" s="133"/>
      <c r="B303" s="238"/>
      <c r="C303" s="238"/>
      <c r="D303" s="238"/>
      <c r="E303" s="238"/>
      <c r="F303" s="249"/>
      <c r="G303" s="356"/>
      <c r="H303" s="350"/>
      <c r="I303" s="133"/>
      <c r="J303" s="238"/>
      <c r="K303" s="238"/>
      <c r="L303" s="238"/>
      <c r="M303" s="238"/>
      <c r="N303" s="249"/>
      <c r="O303" s="356"/>
      <c r="P303" s="350"/>
    </row>
    <row r="304" spans="1:16" ht="15.75" thickBot="1" x14ac:dyDescent="0.3">
      <c r="A304" s="133"/>
      <c r="B304" s="224" t="s">
        <v>5412</v>
      </c>
      <c r="C304" s="193" t="s">
        <v>5420</v>
      </c>
      <c r="D304" s="193" t="s">
        <v>5421</v>
      </c>
      <c r="E304" s="193" t="s">
        <v>5413</v>
      </c>
      <c r="F304" s="193" t="s">
        <v>5405</v>
      </c>
      <c r="G304" s="343" t="s">
        <v>868</v>
      </c>
      <c r="H304" s="341"/>
      <c r="I304" s="133"/>
      <c r="J304" s="224" t="s">
        <v>5412</v>
      </c>
      <c r="K304" s="193" t="s">
        <v>5420</v>
      </c>
      <c r="L304" s="193" t="s">
        <v>5421</v>
      </c>
      <c r="M304" s="193" t="s">
        <v>5413</v>
      </c>
      <c r="N304" s="193" t="s">
        <v>5405</v>
      </c>
      <c r="O304" s="343" t="s">
        <v>868</v>
      </c>
      <c r="P304" s="341"/>
    </row>
    <row r="305" spans="1:18" x14ac:dyDescent="0.25">
      <c r="A305" s="133"/>
      <c r="B305" s="381" t="s">
        <v>5948</v>
      </c>
      <c r="C305" s="345">
        <v>70000</v>
      </c>
      <c r="D305" s="345">
        <f>+C305*0.85</f>
        <v>59500</v>
      </c>
      <c r="E305" s="345">
        <f>+C305+D305</f>
        <v>129500</v>
      </c>
      <c r="F305" s="204">
        <v>60</v>
      </c>
      <c r="G305" s="351">
        <f>+E305/F305</f>
        <v>2158.3333333333335</v>
      </c>
      <c r="H305" s="341"/>
      <c r="I305" s="133"/>
      <c r="J305" s="381" t="s">
        <v>5948</v>
      </c>
      <c r="K305" s="345">
        <v>70000</v>
      </c>
      <c r="L305" s="345">
        <f>+K305*0.85</f>
        <v>59500</v>
      </c>
      <c r="M305" s="345">
        <f>+K305+L305</f>
        <v>129500</v>
      </c>
      <c r="N305" s="204">
        <v>10</v>
      </c>
      <c r="O305" s="351">
        <f>+M305/N305</f>
        <v>12950</v>
      </c>
      <c r="P305" s="341"/>
    </row>
    <row r="306" spans="1:18" x14ac:dyDescent="0.25">
      <c r="A306" s="133"/>
      <c r="B306" s="385" t="s">
        <v>5949</v>
      </c>
      <c r="C306" s="345">
        <v>40000</v>
      </c>
      <c r="D306" s="345">
        <f>+C306*0.85</f>
        <v>34000</v>
      </c>
      <c r="E306" s="345">
        <f>+C306+D306</f>
        <v>74000</v>
      </c>
      <c r="F306" s="202">
        <v>6</v>
      </c>
      <c r="G306" s="351">
        <f>+E306/F306</f>
        <v>12333.333333333334</v>
      </c>
      <c r="H306" s="341"/>
      <c r="I306" s="133"/>
      <c r="J306" s="385" t="s">
        <v>5949</v>
      </c>
      <c r="K306" s="345">
        <v>40000</v>
      </c>
      <c r="L306" s="345">
        <f>+K306*0.85</f>
        <v>34000</v>
      </c>
      <c r="M306" s="345">
        <f>+K306+L306</f>
        <v>74000</v>
      </c>
      <c r="N306" s="202">
        <v>1</v>
      </c>
      <c r="O306" s="351">
        <f>+M306/N306</f>
        <v>74000</v>
      </c>
      <c r="P306" s="341"/>
    </row>
    <row r="307" spans="1:18" x14ac:dyDescent="0.25">
      <c r="A307" s="133"/>
      <c r="B307" s="385" t="s">
        <v>5950</v>
      </c>
      <c r="C307" s="345">
        <v>20600</v>
      </c>
      <c r="D307" s="345">
        <f>+C307*0.85</f>
        <v>17510</v>
      </c>
      <c r="E307" s="345">
        <f>+C307+D307</f>
        <v>38110</v>
      </c>
      <c r="F307" s="226">
        <v>6</v>
      </c>
      <c r="G307" s="351">
        <f>+E307/F307</f>
        <v>6351.666666666667</v>
      </c>
      <c r="H307" s="341"/>
      <c r="I307" s="133"/>
      <c r="J307" s="385" t="s">
        <v>5950</v>
      </c>
      <c r="K307" s="345">
        <v>20600</v>
      </c>
      <c r="L307" s="345">
        <f>+K307*0.85</f>
        <v>17510</v>
      </c>
      <c r="M307" s="345">
        <f>+K307+L307</f>
        <v>38110</v>
      </c>
      <c r="N307" s="226">
        <v>0.5</v>
      </c>
      <c r="O307" s="351">
        <f>+M307/N307</f>
        <v>76220</v>
      </c>
      <c r="P307" s="341"/>
    </row>
    <row r="308" spans="1:18" x14ac:dyDescent="0.25">
      <c r="A308" s="133"/>
      <c r="B308" s="195"/>
      <c r="C308" s="346"/>
      <c r="D308" s="345"/>
      <c r="E308" s="345"/>
      <c r="F308" s="226"/>
      <c r="G308" s="351"/>
      <c r="H308" s="341"/>
      <c r="I308" s="133"/>
      <c r="J308" s="195"/>
      <c r="K308" s="346"/>
      <c r="L308" s="345"/>
      <c r="M308" s="345"/>
      <c r="N308" s="226"/>
      <c r="O308" s="351"/>
      <c r="P308" s="341"/>
    </row>
    <row r="309" spans="1:18" x14ac:dyDescent="0.25">
      <c r="A309" s="133"/>
      <c r="B309" s="195"/>
      <c r="C309" s="232"/>
      <c r="D309" s="232"/>
      <c r="E309" s="232"/>
      <c r="F309" s="226"/>
      <c r="G309" s="344"/>
      <c r="H309" s="341"/>
      <c r="I309" s="133"/>
      <c r="J309" s="195"/>
      <c r="K309" s="232"/>
      <c r="L309" s="232"/>
      <c r="M309" s="232"/>
      <c r="N309" s="226"/>
      <c r="O309" s="344"/>
      <c r="P309" s="341"/>
    </row>
    <row r="310" spans="1:18" ht="15.75" thickBot="1" x14ac:dyDescent="0.3">
      <c r="A310" s="133"/>
      <c r="B310" s="195"/>
      <c r="C310" s="232"/>
      <c r="D310" s="232"/>
      <c r="E310" s="232"/>
      <c r="F310" s="226"/>
      <c r="G310" s="344"/>
      <c r="H310" s="341"/>
      <c r="I310" s="133"/>
      <c r="J310" s="195"/>
      <c r="K310" s="232"/>
      <c r="L310" s="232"/>
      <c r="M310" s="232"/>
      <c r="N310" s="226"/>
      <c r="O310" s="344"/>
      <c r="P310" s="341"/>
    </row>
    <row r="311" spans="1:18" ht="15.75" thickBot="1" x14ac:dyDescent="0.3">
      <c r="A311" s="133"/>
      <c r="B311" s="251"/>
      <c r="C311" s="252"/>
      <c r="D311" s="252"/>
      <c r="E311" s="252"/>
      <c r="F311" s="253"/>
      <c r="G311" s="357"/>
      <c r="H311" s="348">
        <f>+SUM(G305:G311)</f>
        <v>20843.333333333336</v>
      </c>
      <c r="I311" s="133"/>
      <c r="J311" s="251"/>
      <c r="K311" s="252"/>
      <c r="L311" s="252"/>
      <c r="M311" s="252"/>
      <c r="N311" s="253"/>
      <c r="O311" s="357"/>
      <c r="P311" s="358">
        <f>+SUM(O305:O311)</f>
        <v>163170</v>
      </c>
    </row>
    <row r="312" spans="1:18" ht="15.75" thickBot="1" x14ac:dyDescent="0.3">
      <c r="A312" s="133"/>
      <c r="B312" s="8"/>
      <c r="C312" s="8"/>
      <c r="D312" s="8"/>
      <c r="E312" s="8"/>
      <c r="F312" s="133"/>
      <c r="G312" s="341"/>
      <c r="H312" s="341"/>
      <c r="I312" s="133"/>
      <c r="J312" s="8"/>
      <c r="K312" s="8"/>
      <c r="L312" s="8"/>
      <c r="M312" s="8"/>
      <c r="N312" s="133"/>
      <c r="O312" s="341"/>
      <c r="P312" s="341"/>
    </row>
    <row r="313" spans="1:18" ht="15.75" thickBot="1" x14ac:dyDescent="0.3">
      <c r="A313" s="133"/>
      <c r="B313" s="8"/>
      <c r="C313" s="8"/>
      <c r="D313" s="8"/>
      <c r="E313" s="223" t="s">
        <v>5415</v>
      </c>
      <c r="F313" s="133"/>
      <c r="G313" s="341"/>
      <c r="H313" s="348">
        <f>ROUND(+H311+H302+H294+H279,0)</f>
        <v>126128</v>
      </c>
      <c r="I313" s="133"/>
      <c r="J313" s="8"/>
      <c r="K313" s="8"/>
      <c r="L313" s="8"/>
      <c r="M313" s="223" t="s">
        <v>5415</v>
      </c>
      <c r="N313" s="133"/>
      <c r="O313" s="341"/>
      <c r="P313" s="358">
        <f>ROUND(+P311+P302+P294+P279,0)</f>
        <v>256047</v>
      </c>
    </row>
    <row r="314" spans="1:18" x14ac:dyDescent="0.25">
      <c r="A314" s="133"/>
      <c r="B314" s="8"/>
      <c r="C314" s="8"/>
      <c r="D314" s="8"/>
      <c r="E314" s="223"/>
      <c r="F314" s="133"/>
      <c r="G314" s="341"/>
      <c r="H314" s="350"/>
      <c r="I314" s="133"/>
      <c r="J314" s="8"/>
      <c r="K314" s="8"/>
      <c r="L314" s="8"/>
      <c r="M314" s="223"/>
      <c r="N314" s="133"/>
      <c r="O314" s="341"/>
      <c r="P314" s="436"/>
    </row>
    <row r="315" spans="1:18" x14ac:dyDescent="0.25">
      <c r="A315" s="133"/>
      <c r="B315" s="8"/>
      <c r="C315" s="8"/>
      <c r="D315" s="8"/>
      <c r="E315" s="223"/>
      <c r="F315" s="133"/>
      <c r="G315" s="341"/>
      <c r="H315" s="350"/>
      <c r="I315" s="133"/>
      <c r="J315" s="8"/>
      <c r="K315" s="8"/>
      <c r="L315" s="8"/>
      <c r="M315" s="223"/>
      <c r="N315" s="133"/>
      <c r="O315" s="341"/>
      <c r="P315" s="436"/>
    </row>
    <row r="316" spans="1:18" x14ac:dyDescent="0.25">
      <c r="A316" s="133"/>
      <c r="B316" s="8"/>
      <c r="C316" s="8"/>
      <c r="D316" s="8"/>
      <c r="E316" s="223"/>
      <c r="F316" s="133"/>
      <c r="G316" s="341"/>
      <c r="H316" s="350"/>
      <c r="I316" s="133"/>
      <c r="J316" s="8"/>
      <c r="K316" s="8"/>
      <c r="L316" s="8"/>
      <c r="M316" s="223"/>
      <c r="N316" s="133"/>
      <c r="O316" s="341"/>
      <c r="P316" s="436"/>
    </row>
    <row r="317" spans="1:18" x14ac:dyDescent="0.25">
      <c r="A317" s="133"/>
      <c r="B317" s="8"/>
      <c r="C317" s="8"/>
      <c r="D317" s="8"/>
      <c r="E317" s="223"/>
      <c r="F317" s="133"/>
      <c r="G317" s="341"/>
      <c r="H317" s="350"/>
      <c r="I317" s="133"/>
      <c r="J317" s="8"/>
      <c r="K317" s="8"/>
      <c r="L317" s="8"/>
      <c r="M317" s="223"/>
      <c r="N317" s="133"/>
      <c r="O317" s="341"/>
      <c r="P317" s="436"/>
    </row>
    <row r="318" spans="1:18" ht="18.75" x14ac:dyDescent="0.25">
      <c r="A318" s="133"/>
      <c r="B318" s="2506" t="s">
        <v>5400</v>
      </c>
      <c r="C318" s="2506"/>
      <c r="D318" s="2506"/>
      <c r="E318" s="2506"/>
      <c r="F318" s="2506"/>
      <c r="G318" s="2506"/>
      <c r="H318" s="2506"/>
      <c r="I318" s="8"/>
      <c r="J318" s="133"/>
      <c r="K318" s="2506" t="s">
        <v>5400</v>
      </c>
      <c r="L318" s="2506"/>
      <c r="M318" s="2506"/>
      <c r="N318" s="2506"/>
      <c r="O318" s="2506"/>
      <c r="P318" s="2506"/>
      <c r="Q318" s="2506"/>
      <c r="R318" s="8"/>
    </row>
    <row r="319" spans="1:18" x14ac:dyDescent="0.25">
      <c r="A319" s="133"/>
      <c r="B319" s="8"/>
      <c r="C319" s="8"/>
      <c r="D319" s="8"/>
      <c r="E319" s="8"/>
      <c r="F319" s="133"/>
      <c r="G319" s="341"/>
      <c r="H319" s="341"/>
      <c r="I319" s="133"/>
      <c r="J319" s="8"/>
      <c r="K319" s="8"/>
      <c r="L319" s="8"/>
      <c r="M319" s="8"/>
      <c r="O319" s="133"/>
      <c r="P319" s="341"/>
      <c r="Q319" s="341"/>
    </row>
    <row r="320" spans="1:18" x14ac:dyDescent="0.25">
      <c r="A320" s="133"/>
      <c r="B320" s="8"/>
      <c r="C320" s="8"/>
      <c r="D320" s="8"/>
      <c r="E320" s="8"/>
      <c r="F320" s="133"/>
      <c r="G320" s="341"/>
      <c r="H320" s="341"/>
      <c r="I320" s="133"/>
      <c r="J320" s="8"/>
      <c r="K320" s="8"/>
      <c r="L320" s="8"/>
      <c r="M320" s="8"/>
      <c r="O320" s="133"/>
      <c r="P320" s="341"/>
      <c r="Q320" s="341"/>
    </row>
    <row r="321" spans="1:17" x14ac:dyDescent="0.25">
      <c r="A321" s="133"/>
      <c r="B321" s="8"/>
      <c r="C321" s="8"/>
      <c r="D321" s="8"/>
      <c r="E321" s="8"/>
      <c r="F321" s="133"/>
      <c r="G321" s="341"/>
      <c r="H321" s="341"/>
      <c r="I321" s="133"/>
      <c r="J321" s="8"/>
      <c r="K321" s="8"/>
      <c r="L321" s="8"/>
      <c r="M321" s="8"/>
      <c r="O321" s="133"/>
      <c r="P321" s="341"/>
      <c r="Q321" s="341"/>
    </row>
    <row r="322" spans="1:17" ht="15" customHeight="1" x14ac:dyDescent="0.25">
      <c r="A322" s="220" t="s">
        <v>5482</v>
      </c>
      <c r="B322" s="138" t="s">
        <v>753</v>
      </c>
      <c r="C322" s="2449" t="s">
        <v>5932</v>
      </c>
      <c r="D322" s="2449"/>
      <c r="E322" s="2449"/>
      <c r="F322" s="220" t="s">
        <v>867</v>
      </c>
      <c r="G322" s="342" t="s">
        <v>5402</v>
      </c>
      <c r="H322" s="341"/>
      <c r="I322" s="220" t="s">
        <v>5482</v>
      </c>
      <c r="J322" s="138" t="s">
        <v>753</v>
      </c>
      <c r="K322" s="2449" t="s">
        <v>5933</v>
      </c>
      <c r="L322" s="2449"/>
      <c r="M322" s="2449"/>
      <c r="N322" s="220" t="s">
        <v>867</v>
      </c>
      <c r="O322" s="342" t="s">
        <v>5424</v>
      </c>
      <c r="P322" s="341"/>
    </row>
    <row r="323" spans="1:17" x14ac:dyDescent="0.25">
      <c r="A323" s="133"/>
      <c r="B323" s="8"/>
      <c r="C323" s="223"/>
      <c r="D323" s="223"/>
      <c r="E323" s="223"/>
      <c r="F323" s="133"/>
      <c r="G323" s="341"/>
      <c r="H323" s="341"/>
      <c r="I323" s="133"/>
      <c r="J323" s="8"/>
      <c r="K323" s="223"/>
      <c r="L323" s="223"/>
      <c r="M323" s="223"/>
      <c r="N323" s="133"/>
      <c r="O323" s="341"/>
      <c r="P323" s="341"/>
    </row>
    <row r="324" spans="1:17" x14ac:dyDescent="0.25">
      <c r="A324" s="133"/>
      <c r="B324" s="8"/>
      <c r="C324" s="8"/>
      <c r="D324" s="8"/>
      <c r="E324" s="8"/>
      <c r="F324" s="8"/>
      <c r="G324" s="8"/>
      <c r="H324" s="341"/>
      <c r="I324" s="133"/>
      <c r="J324" s="8"/>
      <c r="K324" s="8"/>
      <c r="L324" s="8"/>
      <c r="M324" s="8"/>
      <c r="N324" s="8"/>
      <c r="O324" s="8"/>
      <c r="P324" s="341"/>
    </row>
    <row r="325" spans="1:17" ht="15.75" thickBot="1" x14ac:dyDescent="0.3">
      <c r="A325" s="133"/>
      <c r="B325" s="8"/>
      <c r="C325" s="8"/>
      <c r="D325" s="8"/>
      <c r="E325" s="8"/>
      <c r="F325" s="133"/>
      <c r="G325" s="341"/>
      <c r="H325" s="341"/>
      <c r="I325" s="133"/>
      <c r="J325" s="8"/>
      <c r="K325" s="8"/>
      <c r="L325" s="8"/>
      <c r="M325" s="8"/>
      <c r="N325" s="133"/>
      <c r="O325" s="341"/>
      <c r="P325" s="341"/>
    </row>
    <row r="326" spans="1:17" ht="15.75" thickBot="1" x14ac:dyDescent="0.3">
      <c r="A326" s="133"/>
      <c r="B326" s="224" t="s">
        <v>5403</v>
      </c>
      <c r="C326" s="193" t="s">
        <v>867</v>
      </c>
      <c r="D326" s="193" t="s">
        <v>6</v>
      </c>
      <c r="E326" s="193" t="s">
        <v>5439</v>
      </c>
      <c r="F326" s="193" t="s">
        <v>5405</v>
      </c>
      <c r="G326" s="343" t="s">
        <v>868</v>
      </c>
      <c r="H326" s="341"/>
      <c r="I326" s="133"/>
      <c r="J326" s="224" t="s">
        <v>5403</v>
      </c>
      <c r="K326" s="193" t="s">
        <v>867</v>
      </c>
      <c r="L326" s="193" t="s">
        <v>6</v>
      </c>
      <c r="M326" s="193" t="s">
        <v>5439</v>
      </c>
      <c r="N326" s="193" t="s">
        <v>5405</v>
      </c>
      <c r="O326" s="343" t="s">
        <v>868</v>
      </c>
      <c r="P326" s="341"/>
    </row>
    <row r="327" spans="1:17" x14ac:dyDescent="0.25">
      <c r="A327" s="133"/>
      <c r="B327" s="381" t="s">
        <v>5934</v>
      </c>
      <c r="C327" s="382"/>
      <c r="D327" s="383"/>
      <c r="E327" s="384">
        <f>+H365</f>
        <v>32597</v>
      </c>
      <c r="F327" s="469">
        <v>0.1</v>
      </c>
      <c r="G327" s="467">
        <f>+E327*F327</f>
        <v>3259.7000000000003</v>
      </c>
      <c r="H327" s="341"/>
      <c r="I327" s="133"/>
      <c r="J327" s="381" t="s">
        <v>5934</v>
      </c>
      <c r="K327" s="382"/>
      <c r="L327" s="383"/>
      <c r="M327" s="384">
        <f>+P365</f>
        <v>853836.66666666674</v>
      </c>
      <c r="N327" s="469">
        <v>0.1</v>
      </c>
      <c r="O327" s="467">
        <f>+M327*N327</f>
        <v>85383.666666666686</v>
      </c>
      <c r="P327" s="341"/>
    </row>
    <row r="328" spans="1:17" x14ac:dyDescent="0.25">
      <c r="A328" s="133"/>
      <c r="B328" s="385" t="s">
        <v>5935</v>
      </c>
      <c r="C328" s="386" t="s">
        <v>5936</v>
      </c>
      <c r="D328" s="386">
        <v>1</v>
      </c>
      <c r="E328" s="388">
        <f>100000/8</f>
        <v>12500</v>
      </c>
      <c r="F328" s="470">
        <v>50</v>
      </c>
      <c r="G328" s="468">
        <f>+D328*E328/F328</f>
        <v>250</v>
      </c>
      <c r="H328" s="341"/>
      <c r="I328" s="133"/>
      <c r="J328" s="385" t="s">
        <v>5935</v>
      </c>
      <c r="K328" s="386" t="s">
        <v>5936</v>
      </c>
      <c r="L328" s="386">
        <v>1</v>
      </c>
      <c r="M328" s="388">
        <f>100000/8</f>
        <v>12500</v>
      </c>
      <c r="N328" s="470">
        <v>1</v>
      </c>
      <c r="O328" s="467">
        <f>+L328*M328/N328</f>
        <v>12500</v>
      </c>
      <c r="P328" s="341"/>
    </row>
    <row r="329" spans="1:17" x14ac:dyDescent="0.25">
      <c r="A329" s="133"/>
      <c r="B329" s="195"/>
      <c r="C329" s="226"/>
      <c r="D329" s="226"/>
      <c r="E329" s="345"/>
      <c r="F329" s="226"/>
      <c r="G329" s="344"/>
      <c r="H329" s="341"/>
      <c r="I329" s="133"/>
      <c r="J329" s="195" t="s">
        <v>5937</v>
      </c>
      <c r="K329" s="226"/>
      <c r="L329" s="226"/>
      <c r="M329" s="345"/>
      <c r="N329" s="226"/>
      <c r="O329" s="344">
        <v>20000</v>
      </c>
      <c r="P329" s="341"/>
    </row>
    <row r="330" spans="1:17" x14ac:dyDescent="0.25">
      <c r="A330" s="133"/>
      <c r="B330" s="195"/>
      <c r="C330" s="226"/>
      <c r="D330" s="226"/>
      <c r="E330" s="346"/>
      <c r="F330" s="226"/>
      <c r="G330" s="375"/>
      <c r="H330" s="341"/>
      <c r="I330" s="133"/>
      <c r="J330" s="195"/>
      <c r="K330" s="226"/>
      <c r="L330" s="226"/>
      <c r="M330" s="346"/>
      <c r="N330" s="226"/>
      <c r="O330" s="375"/>
      <c r="P330" s="341"/>
    </row>
    <row r="331" spans="1:17" x14ac:dyDescent="0.25">
      <c r="A331" s="133"/>
      <c r="B331" s="195"/>
      <c r="C331" s="226"/>
      <c r="D331" s="232"/>
      <c r="E331" s="232"/>
      <c r="F331" s="226"/>
      <c r="G331" s="344"/>
      <c r="H331" s="341"/>
      <c r="I331" s="133"/>
      <c r="J331" s="195"/>
      <c r="K331" s="226"/>
      <c r="L331" s="232"/>
      <c r="M331" s="232"/>
      <c r="N331" s="226"/>
      <c r="O331" s="344"/>
      <c r="P331" s="341"/>
    </row>
    <row r="332" spans="1:17" ht="15.75" thickBot="1" x14ac:dyDescent="0.3">
      <c r="A332" s="133"/>
      <c r="B332" s="195"/>
      <c r="C332" s="226"/>
      <c r="D332" s="232"/>
      <c r="E332" s="232"/>
      <c r="F332" s="226"/>
      <c r="G332" s="344"/>
      <c r="H332" s="341"/>
      <c r="I332" s="133"/>
      <c r="J332" s="195"/>
      <c r="K332" s="226"/>
      <c r="L332" s="232"/>
      <c r="M332" s="232"/>
      <c r="N332" s="226"/>
      <c r="O332" s="344"/>
      <c r="P332" s="341"/>
    </row>
    <row r="333" spans="1:17" ht="15.75" thickBot="1" x14ac:dyDescent="0.3">
      <c r="A333" s="133"/>
      <c r="B333" s="233"/>
      <c r="C333" s="234"/>
      <c r="D333" s="234"/>
      <c r="E333" s="234"/>
      <c r="F333" s="235"/>
      <c r="G333" s="347"/>
      <c r="H333" s="348">
        <f>+SUM(G327:G333)</f>
        <v>3509.7000000000003</v>
      </c>
      <c r="I333" s="133"/>
      <c r="J333" s="233"/>
      <c r="K333" s="234"/>
      <c r="L333" s="234"/>
      <c r="M333" s="234"/>
      <c r="N333" s="235"/>
      <c r="O333" s="347"/>
      <c r="P333" s="348">
        <f>+SUM(O327:O333)</f>
        <v>117883.66666666669</v>
      </c>
    </row>
    <row r="334" spans="1:17" ht="15.75" thickBot="1" x14ac:dyDescent="0.3">
      <c r="A334" s="133"/>
      <c r="B334" s="238"/>
      <c r="C334" s="238"/>
      <c r="D334" s="238"/>
      <c r="E334" s="238"/>
      <c r="F334" s="239"/>
      <c r="G334" s="349"/>
      <c r="H334" s="350"/>
      <c r="I334" s="133"/>
      <c r="J334" s="238"/>
      <c r="K334" s="238"/>
      <c r="L334" s="238"/>
      <c r="M334" s="238"/>
      <c r="N334" s="239"/>
      <c r="O334" s="349"/>
      <c r="P334" s="350"/>
    </row>
    <row r="335" spans="1:17" ht="15.75" thickBot="1" x14ac:dyDescent="0.3">
      <c r="A335" s="133"/>
      <c r="B335" s="224" t="s">
        <v>5408</v>
      </c>
      <c r="C335" s="193" t="s">
        <v>867</v>
      </c>
      <c r="D335" s="193" t="s">
        <v>6</v>
      </c>
      <c r="E335" s="193" t="s">
        <v>870</v>
      </c>
      <c r="F335" s="193" t="s">
        <v>5409</v>
      </c>
      <c r="G335" s="343" t="s">
        <v>868</v>
      </c>
      <c r="H335" s="341"/>
      <c r="I335" s="133"/>
      <c r="J335" s="224" t="s">
        <v>5408</v>
      </c>
      <c r="K335" s="193" t="s">
        <v>867</v>
      </c>
      <c r="L335" s="193" t="s">
        <v>6</v>
      </c>
      <c r="M335" s="193" t="s">
        <v>870</v>
      </c>
      <c r="N335" s="193" t="s">
        <v>5409</v>
      </c>
      <c r="O335" s="343" t="s">
        <v>868</v>
      </c>
      <c r="P335" s="341"/>
    </row>
    <row r="336" spans="1:17" ht="26.25" x14ac:dyDescent="0.25">
      <c r="A336" s="133"/>
      <c r="B336" s="389" t="s">
        <v>5938</v>
      </c>
      <c r="C336" s="211" t="s">
        <v>5402</v>
      </c>
      <c r="D336" s="211">
        <v>1</v>
      </c>
      <c r="E336" s="376">
        <v>23500</v>
      </c>
      <c r="F336" s="169">
        <v>0.05</v>
      </c>
      <c r="G336" s="377">
        <f>+E336*D336*(1+F336)</f>
        <v>24675</v>
      </c>
      <c r="H336" s="341"/>
      <c r="I336" s="133"/>
      <c r="J336" s="390" t="s">
        <v>5938</v>
      </c>
      <c r="K336" s="211" t="s">
        <v>5556</v>
      </c>
      <c r="L336" s="211">
        <v>7</v>
      </c>
      <c r="M336" s="376">
        <v>61490</v>
      </c>
      <c r="N336" s="169">
        <v>0.1</v>
      </c>
      <c r="O336" s="377">
        <f t="shared" ref="O336:O344" si="0">+L336*M336*(1+N336)</f>
        <v>473473.00000000006</v>
      </c>
      <c r="P336" s="341"/>
    </row>
    <row r="337" spans="1:16" x14ac:dyDescent="0.25">
      <c r="A337" s="133"/>
      <c r="B337" s="391" t="s">
        <v>5939</v>
      </c>
      <c r="C337" s="212" t="s">
        <v>5542</v>
      </c>
      <c r="D337" s="212">
        <v>0.04</v>
      </c>
      <c r="E337" s="378">
        <f>+'APU CAP 5'!H268</f>
        <v>352631.16666666669</v>
      </c>
      <c r="F337" s="169">
        <v>0.05</v>
      </c>
      <c r="G337" s="377">
        <f t="shared" ref="G337:G344" si="1">+E337*D337*(1+F337)</f>
        <v>14810.509000000002</v>
      </c>
      <c r="H337" s="341"/>
      <c r="I337" s="133"/>
      <c r="J337" s="392" t="s">
        <v>5940</v>
      </c>
      <c r="K337" s="386" t="s">
        <v>5936</v>
      </c>
      <c r="L337" s="212">
        <v>2</v>
      </c>
      <c r="M337" s="378"/>
      <c r="N337" s="169"/>
      <c r="O337" s="377">
        <f t="shared" si="0"/>
        <v>0</v>
      </c>
      <c r="P337" s="341"/>
    </row>
    <row r="338" spans="1:16" x14ac:dyDescent="0.25">
      <c r="A338" s="133"/>
      <c r="B338" s="385" t="s">
        <v>5941</v>
      </c>
      <c r="C338" s="386" t="s">
        <v>5542</v>
      </c>
      <c r="D338" s="386">
        <v>4.4999999999999998E-2</v>
      </c>
      <c r="E338" s="376">
        <f>+E337</f>
        <v>352631.16666666669</v>
      </c>
      <c r="F338" s="169">
        <v>0.05</v>
      </c>
      <c r="G338" s="377">
        <f t="shared" si="1"/>
        <v>16661.822625000001</v>
      </c>
      <c r="H338" s="341"/>
      <c r="I338" s="133"/>
      <c r="J338" s="393" t="s">
        <v>5941</v>
      </c>
      <c r="K338" s="386" t="s">
        <v>5542</v>
      </c>
      <c r="L338" s="386">
        <v>6.3E-2</v>
      </c>
      <c r="M338" s="376">
        <f>+'APU CAP 5'!H268</f>
        <v>352631.16666666669</v>
      </c>
      <c r="N338" s="169">
        <v>0.05</v>
      </c>
      <c r="O338" s="377">
        <f t="shared" si="0"/>
        <v>23326.551675000002</v>
      </c>
      <c r="P338" s="394"/>
    </row>
    <row r="339" spans="1:16" x14ac:dyDescent="0.25">
      <c r="A339" s="133"/>
      <c r="B339" s="391" t="s">
        <v>5942</v>
      </c>
      <c r="C339" s="212" t="s">
        <v>5402</v>
      </c>
      <c r="D339" s="212">
        <v>3</v>
      </c>
      <c r="E339" s="395">
        <v>400</v>
      </c>
      <c r="F339" s="169">
        <v>0.02</v>
      </c>
      <c r="G339" s="377">
        <f t="shared" si="1"/>
        <v>1224</v>
      </c>
      <c r="H339" s="341"/>
      <c r="I339" s="133"/>
      <c r="J339" s="392" t="s">
        <v>5942</v>
      </c>
      <c r="K339" s="212" t="s">
        <v>5402</v>
      </c>
      <c r="L339" s="212">
        <v>25</v>
      </c>
      <c r="M339" s="395">
        <v>400</v>
      </c>
      <c r="N339" s="169">
        <v>0.02</v>
      </c>
      <c r="O339" s="377">
        <f t="shared" si="0"/>
        <v>10200</v>
      </c>
      <c r="P339" s="341"/>
    </row>
    <row r="340" spans="1:16" x14ac:dyDescent="0.25">
      <c r="A340" s="133"/>
      <c r="B340" s="385" t="s">
        <v>5943</v>
      </c>
      <c r="C340" s="386" t="s">
        <v>5734</v>
      </c>
      <c r="D340" s="386">
        <v>3</v>
      </c>
      <c r="E340" s="384">
        <v>3143</v>
      </c>
      <c r="F340" s="169">
        <v>0.02</v>
      </c>
      <c r="G340" s="377">
        <f t="shared" si="1"/>
        <v>9617.58</v>
      </c>
      <c r="H340" s="341"/>
      <c r="I340" s="133"/>
      <c r="J340" s="385" t="s">
        <v>5943</v>
      </c>
      <c r="K340" s="386" t="s">
        <v>5734</v>
      </c>
      <c r="L340" s="386">
        <v>64</v>
      </c>
      <c r="M340" s="384">
        <v>3143</v>
      </c>
      <c r="N340" s="169">
        <v>0.02</v>
      </c>
      <c r="O340" s="377">
        <f t="shared" si="0"/>
        <v>205175.04000000001</v>
      </c>
      <c r="P340" s="341"/>
    </row>
    <row r="341" spans="1:16" x14ac:dyDescent="0.25">
      <c r="A341" s="133"/>
      <c r="B341" s="385" t="s">
        <v>5741</v>
      </c>
      <c r="C341" s="386" t="s">
        <v>5944</v>
      </c>
      <c r="D341" s="386">
        <v>8</v>
      </c>
      <c r="E341" s="346">
        <f>+'APU CAP 5'!H970</f>
        <v>3455</v>
      </c>
      <c r="F341" s="169">
        <v>0.05</v>
      </c>
      <c r="G341" s="377">
        <f t="shared" si="1"/>
        <v>29022</v>
      </c>
      <c r="H341" s="341"/>
      <c r="I341" s="133"/>
      <c r="J341" s="385" t="s">
        <v>5741</v>
      </c>
      <c r="K341" s="386" t="s">
        <v>5944</v>
      </c>
      <c r="L341" s="386">
        <v>20</v>
      </c>
      <c r="M341" s="346">
        <f>+'APU CAP 5'!H970</f>
        <v>3455</v>
      </c>
      <c r="N341" s="169">
        <v>0.05</v>
      </c>
      <c r="O341" s="377">
        <f t="shared" si="0"/>
        <v>72555</v>
      </c>
      <c r="P341" s="341"/>
    </row>
    <row r="342" spans="1:16" x14ac:dyDescent="0.25">
      <c r="A342" s="133"/>
      <c r="B342" s="385" t="s">
        <v>5756</v>
      </c>
      <c r="C342" s="386" t="s">
        <v>5431</v>
      </c>
      <c r="D342" s="386">
        <v>0.1</v>
      </c>
      <c r="E342" s="346">
        <v>35000</v>
      </c>
      <c r="F342" s="396">
        <v>0.02</v>
      </c>
      <c r="G342" s="377">
        <f t="shared" si="1"/>
        <v>3570</v>
      </c>
      <c r="H342" s="341"/>
      <c r="I342" s="133"/>
      <c r="J342" s="385" t="s">
        <v>5756</v>
      </c>
      <c r="K342" s="386" t="s">
        <v>5431</v>
      </c>
      <c r="L342" s="386">
        <v>2</v>
      </c>
      <c r="M342" s="346">
        <v>35000</v>
      </c>
      <c r="N342" s="396">
        <v>0.02</v>
      </c>
      <c r="O342" s="377">
        <f t="shared" si="0"/>
        <v>71400</v>
      </c>
      <c r="P342" s="341"/>
    </row>
    <row r="343" spans="1:16" x14ac:dyDescent="0.25">
      <c r="A343" s="133"/>
      <c r="B343" s="385" t="s">
        <v>5945</v>
      </c>
      <c r="C343" s="386" t="s">
        <v>5424</v>
      </c>
      <c r="D343" s="386">
        <v>0.75</v>
      </c>
      <c r="E343" s="346">
        <v>3500</v>
      </c>
      <c r="F343" s="396">
        <v>0.02</v>
      </c>
      <c r="G343" s="377">
        <f t="shared" si="1"/>
        <v>2677.5</v>
      </c>
      <c r="H343" s="341"/>
      <c r="I343" s="133"/>
      <c r="J343" s="385" t="s">
        <v>5946</v>
      </c>
      <c r="K343" s="386" t="s">
        <v>5402</v>
      </c>
      <c r="L343" s="386">
        <v>8</v>
      </c>
      <c r="M343" s="346">
        <v>3500</v>
      </c>
      <c r="N343" s="396">
        <v>0.02</v>
      </c>
      <c r="O343" s="377">
        <f t="shared" si="0"/>
        <v>28560</v>
      </c>
      <c r="P343" s="341"/>
    </row>
    <row r="344" spans="1:16" x14ac:dyDescent="0.25">
      <c r="A344" s="133"/>
      <c r="B344" s="385" t="s">
        <v>5947</v>
      </c>
      <c r="C344" s="386" t="s">
        <v>5402</v>
      </c>
      <c r="D344" s="386">
        <v>0.3</v>
      </c>
      <c r="E344" s="346">
        <v>12000</v>
      </c>
      <c r="F344" s="396">
        <v>0.02</v>
      </c>
      <c r="G344" s="377">
        <f t="shared" si="1"/>
        <v>3672</v>
      </c>
      <c r="H344" s="341"/>
      <c r="I344" s="133"/>
      <c r="J344" s="385" t="s">
        <v>5947</v>
      </c>
      <c r="K344" s="386" t="s">
        <v>5402</v>
      </c>
      <c r="L344" s="386">
        <v>8</v>
      </c>
      <c r="M344" s="346">
        <v>12000</v>
      </c>
      <c r="N344" s="396">
        <v>0.02</v>
      </c>
      <c r="O344" s="377">
        <f t="shared" si="0"/>
        <v>97920</v>
      </c>
      <c r="P344" s="341"/>
    </row>
    <row r="345" spans="1:16" x14ac:dyDescent="0.25">
      <c r="A345" s="133"/>
      <c r="B345" s="195"/>
      <c r="C345" s="232"/>
      <c r="D345" s="232"/>
      <c r="E345" s="232"/>
      <c r="F345" s="226"/>
      <c r="G345" s="344"/>
      <c r="H345" s="341"/>
      <c r="I345" s="133"/>
      <c r="J345" s="195"/>
      <c r="K345" s="232"/>
      <c r="L345" s="232"/>
      <c r="M345" s="232"/>
      <c r="N345" s="226"/>
      <c r="O345" s="344"/>
      <c r="P345" s="341"/>
    </row>
    <row r="346" spans="1:16" x14ac:dyDescent="0.25">
      <c r="A346" s="133"/>
      <c r="B346" s="195"/>
      <c r="C346" s="232"/>
      <c r="D346" s="232"/>
      <c r="E346" s="232"/>
      <c r="F346" s="226"/>
      <c r="G346" s="344"/>
      <c r="H346" s="341"/>
      <c r="I346" s="133"/>
      <c r="J346" s="195"/>
      <c r="K346" s="232"/>
      <c r="L346" s="232"/>
      <c r="M346" s="232"/>
      <c r="N346" s="226"/>
      <c r="O346" s="344"/>
      <c r="P346" s="341"/>
    </row>
    <row r="347" spans="1:16" ht="15.75" thickBot="1" x14ac:dyDescent="0.3">
      <c r="A347" s="133"/>
      <c r="B347" s="195"/>
      <c r="C347" s="232"/>
      <c r="D347" s="232"/>
      <c r="E347" s="232"/>
      <c r="F347" s="226"/>
      <c r="G347" s="344"/>
      <c r="H347" s="341"/>
      <c r="I347" s="133"/>
      <c r="J347" s="195"/>
      <c r="K347" s="232"/>
      <c r="L347" s="232"/>
      <c r="M347" s="232"/>
      <c r="N347" s="226"/>
      <c r="O347" s="344"/>
      <c r="P347" s="341"/>
    </row>
    <row r="348" spans="1:16" ht="15.75" thickBot="1" x14ac:dyDescent="0.3">
      <c r="A348" s="133"/>
      <c r="B348" s="233"/>
      <c r="C348" s="234"/>
      <c r="D348" s="234"/>
      <c r="E348" s="234"/>
      <c r="F348" s="235"/>
      <c r="G348" s="347"/>
      <c r="H348" s="358">
        <f>+SUM(G336:G348)</f>
        <v>105930.41162500001</v>
      </c>
      <c r="I348" s="133"/>
      <c r="J348" s="233"/>
      <c r="K348" s="234"/>
      <c r="L348" s="234"/>
      <c r="M348" s="234"/>
      <c r="N348" s="235"/>
      <c r="O348" s="347"/>
      <c r="P348" s="358">
        <f>+SUM(O336:O348)</f>
        <v>982609.59167500003</v>
      </c>
    </row>
    <row r="349" spans="1:16" ht="15.75" thickBot="1" x14ac:dyDescent="0.3">
      <c r="A349" s="133"/>
      <c r="B349" s="238"/>
      <c r="C349" s="238"/>
      <c r="D349" s="238"/>
      <c r="E349" s="238"/>
      <c r="F349" s="239"/>
      <c r="G349" s="349"/>
      <c r="H349" s="350"/>
      <c r="I349" s="133"/>
      <c r="J349" s="238"/>
      <c r="K349" s="238"/>
      <c r="L349" s="238"/>
      <c r="M349" s="238"/>
      <c r="N349" s="239"/>
      <c r="O349" s="349"/>
      <c r="P349" s="350"/>
    </row>
    <row r="350" spans="1:16" ht="15.75" thickBot="1" x14ac:dyDescent="0.3">
      <c r="A350" s="133"/>
      <c r="B350" s="224" t="s">
        <v>5410</v>
      </c>
      <c r="C350" s="193" t="s">
        <v>867</v>
      </c>
      <c r="D350" s="193" t="s">
        <v>6</v>
      </c>
      <c r="E350" s="193" t="s">
        <v>870</v>
      </c>
      <c r="F350" s="193" t="s">
        <v>5411</v>
      </c>
      <c r="G350" s="343" t="s">
        <v>868</v>
      </c>
      <c r="H350" s="341"/>
      <c r="I350" s="133"/>
      <c r="J350" s="224" t="s">
        <v>5410</v>
      </c>
      <c r="K350" s="193" t="s">
        <v>867</v>
      </c>
      <c r="L350" s="193" t="s">
        <v>6</v>
      </c>
      <c r="M350" s="193" t="s">
        <v>870</v>
      </c>
      <c r="N350" s="193" t="s">
        <v>5411</v>
      </c>
      <c r="O350" s="343" t="s">
        <v>868</v>
      </c>
      <c r="P350" s="341"/>
    </row>
    <row r="351" spans="1:16" x14ac:dyDescent="0.25">
      <c r="A351" s="133"/>
      <c r="B351" s="245"/>
      <c r="C351" s="202"/>
      <c r="D351" s="202"/>
      <c r="E351" s="366"/>
      <c r="F351" s="202"/>
      <c r="G351" s="354"/>
      <c r="H351" s="355"/>
      <c r="I351" s="133"/>
      <c r="J351" s="245"/>
      <c r="K351" s="202"/>
      <c r="L351" s="202"/>
      <c r="M351" s="366"/>
      <c r="N351" s="202"/>
      <c r="O351" s="354"/>
      <c r="P351" s="355"/>
    </row>
    <row r="352" spans="1:16" x14ac:dyDescent="0.25">
      <c r="A352" s="133"/>
      <c r="B352" s="247"/>
      <c r="C352" s="202"/>
      <c r="D352" s="202"/>
      <c r="E352" s="359"/>
      <c r="F352" s="202"/>
      <c r="G352" s="351"/>
      <c r="H352" s="341"/>
      <c r="I352" s="133"/>
      <c r="J352" s="247"/>
      <c r="K352" s="202"/>
      <c r="L352" s="202"/>
      <c r="M352" s="359"/>
      <c r="N352" s="202"/>
      <c r="O352" s="351"/>
      <c r="P352" s="341"/>
    </row>
    <row r="353" spans="1:17" x14ac:dyDescent="0.25">
      <c r="A353" s="133"/>
      <c r="B353" s="247"/>
      <c r="C353" s="202"/>
      <c r="D353" s="226"/>
      <c r="E353" s="232"/>
      <c r="F353" s="226"/>
      <c r="G353" s="344"/>
      <c r="H353" s="341"/>
      <c r="I353" s="133"/>
      <c r="J353" s="247"/>
      <c r="K353" s="202"/>
      <c r="L353" s="226"/>
      <c r="M353" s="232"/>
      <c r="N353" s="226"/>
      <c r="O353" s="344"/>
      <c r="P353" s="341"/>
    </row>
    <row r="354" spans="1:17" x14ac:dyDescent="0.25">
      <c r="A354" s="133"/>
      <c r="B354" s="194"/>
      <c r="C354" s="232"/>
      <c r="D354" s="232"/>
      <c r="E354" s="232"/>
      <c r="F354" s="226"/>
      <c r="G354" s="344"/>
      <c r="H354" s="341"/>
      <c r="I354" s="133"/>
      <c r="J354" s="194"/>
      <c r="K354" s="232"/>
      <c r="L354" s="232"/>
      <c r="M354" s="232"/>
      <c r="N354" s="226"/>
      <c r="O354" s="344"/>
      <c r="P354" s="341"/>
    </row>
    <row r="355" spans="1:17" ht="15.75" thickBot="1" x14ac:dyDescent="0.3">
      <c r="A355" s="133"/>
      <c r="B355" s="195"/>
      <c r="C355" s="232"/>
      <c r="D355" s="232"/>
      <c r="E355" s="232"/>
      <c r="F355" s="226"/>
      <c r="G355" s="344"/>
      <c r="H355" s="341"/>
      <c r="I355" s="133"/>
      <c r="J355" s="195"/>
      <c r="K355" s="232"/>
      <c r="L355" s="232"/>
      <c r="M355" s="232"/>
      <c r="N355" s="226"/>
      <c r="O355" s="344"/>
      <c r="P355" s="341"/>
    </row>
    <row r="356" spans="1:17" ht="15.75" thickBot="1" x14ac:dyDescent="0.3">
      <c r="A356" s="133"/>
      <c r="B356" s="233"/>
      <c r="C356" s="234"/>
      <c r="D356" s="234"/>
      <c r="E356" s="234"/>
      <c r="F356" s="235"/>
      <c r="G356" s="347"/>
      <c r="H356" s="348">
        <f>+SUM(G351:G356)</f>
        <v>0</v>
      </c>
      <c r="I356" s="133"/>
      <c r="J356" s="233"/>
      <c r="K356" s="234"/>
      <c r="L356" s="234"/>
      <c r="M356" s="234"/>
      <c r="N356" s="235"/>
      <c r="O356" s="347"/>
      <c r="P356" s="348">
        <f>+SUM(O351:O356)</f>
        <v>0</v>
      </c>
    </row>
    <row r="357" spans="1:17" ht="15.75" thickBot="1" x14ac:dyDescent="0.3">
      <c r="A357" s="133"/>
      <c r="B357" s="238"/>
      <c r="C357" s="238"/>
      <c r="D357" s="238"/>
      <c r="E357" s="238"/>
      <c r="F357" s="249"/>
      <c r="G357" s="356"/>
      <c r="H357" s="350"/>
      <c r="I357" s="133"/>
      <c r="J357" s="238"/>
      <c r="K357" s="238"/>
      <c r="L357" s="238"/>
      <c r="M357" s="238"/>
      <c r="N357" s="249"/>
      <c r="O357" s="356"/>
      <c r="P357" s="350"/>
    </row>
    <row r="358" spans="1:17" ht="15.75" thickBot="1" x14ac:dyDescent="0.3">
      <c r="A358" s="133"/>
      <c r="B358" s="224" t="s">
        <v>5412</v>
      </c>
      <c r="C358" s="193" t="s">
        <v>5420</v>
      </c>
      <c r="D358" s="193" t="s">
        <v>5421</v>
      </c>
      <c r="E358" s="193" t="s">
        <v>5413</v>
      </c>
      <c r="F358" s="193" t="s">
        <v>5405</v>
      </c>
      <c r="G358" s="343" t="s">
        <v>868</v>
      </c>
      <c r="H358" s="341"/>
      <c r="I358" s="133"/>
      <c r="J358" s="224" t="s">
        <v>5412</v>
      </c>
      <c r="K358" s="193" t="s">
        <v>5420</v>
      </c>
      <c r="L358" s="193" t="s">
        <v>5421</v>
      </c>
      <c r="M358" s="193" t="s">
        <v>5413</v>
      </c>
      <c r="N358" s="193" t="s">
        <v>5405</v>
      </c>
      <c r="O358" s="343" t="s">
        <v>868</v>
      </c>
      <c r="P358" s="341"/>
    </row>
    <row r="359" spans="1:17" x14ac:dyDescent="0.25">
      <c r="A359" s="133"/>
      <c r="B359" s="381" t="s">
        <v>5948</v>
      </c>
      <c r="C359" s="345">
        <v>70000</v>
      </c>
      <c r="D359" s="345">
        <f>+C359*0.85</f>
        <v>59500</v>
      </c>
      <c r="E359" s="345">
        <f>+C359+D359</f>
        <v>129500</v>
      </c>
      <c r="F359" s="204">
        <v>20</v>
      </c>
      <c r="G359" s="351">
        <f>+E359/F359</f>
        <v>6475</v>
      </c>
      <c r="H359" s="341"/>
      <c r="I359" s="133"/>
      <c r="J359" s="381" t="s">
        <v>5948</v>
      </c>
      <c r="K359" s="345">
        <v>70000</v>
      </c>
      <c r="L359" s="345">
        <f>+K359*0.85</f>
        <v>59500</v>
      </c>
      <c r="M359" s="345">
        <f>+K359+L359</f>
        <v>129500</v>
      </c>
      <c r="N359" s="204">
        <v>10</v>
      </c>
      <c r="O359" s="351">
        <f>+M359/N359</f>
        <v>12950</v>
      </c>
      <c r="P359" s="341"/>
    </row>
    <row r="360" spans="1:17" x14ac:dyDescent="0.25">
      <c r="A360" s="133"/>
      <c r="B360" s="385" t="s">
        <v>5949</v>
      </c>
      <c r="C360" s="345">
        <v>40000</v>
      </c>
      <c r="D360" s="345">
        <f>+C360*0.85</f>
        <v>34000</v>
      </c>
      <c r="E360" s="345">
        <f>+C360+D360</f>
        <v>74000</v>
      </c>
      <c r="F360" s="204">
        <v>5</v>
      </c>
      <c r="G360" s="351">
        <f>+E360/F360</f>
        <v>14800</v>
      </c>
      <c r="H360" s="341"/>
      <c r="I360" s="133"/>
      <c r="J360" s="385" t="s">
        <v>5949</v>
      </c>
      <c r="K360" s="345">
        <v>40000</v>
      </c>
      <c r="L360" s="345">
        <f>+K360*0.85</f>
        <v>34000</v>
      </c>
      <c r="M360" s="345">
        <f>+K360+L360</f>
        <v>74000</v>
      </c>
      <c r="N360" s="204">
        <v>0.5</v>
      </c>
      <c r="O360" s="351">
        <f>+M360/N360</f>
        <v>148000</v>
      </c>
      <c r="P360" s="341"/>
    </row>
    <row r="361" spans="1:17" x14ac:dyDescent="0.25">
      <c r="A361" s="133"/>
      <c r="B361" s="385" t="s">
        <v>5950</v>
      </c>
      <c r="C361" s="345">
        <v>20600</v>
      </c>
      <c r="D361" s="345">
        <f>+C361*0.85</f>
        <v>17510</v>
      </c>
      <c r="E361" s="345">
        <f>+C361+D361</f>
        <v>38110</v>
      </c>
      <c r="F361" s="204">
        <v>5</v>
      </c>
      <c r="G361" s="351">
        <f>+E361/F361</f>
        <v>7622</v>
      </c>
      <c r="H361" s="341"/>
      <c r="I361" s="133"/>
      <c r="J361" s="385" t="s">
        <v>5950</v>
      </c>
      <c r="K361" s="345">
        <v>20600</v>
      </c>
      <c r="L361" s="345">
        <f>+K361*0.85</f>
        <v>17510</v>
      </c>
      <c r="M361" s="345">
        <f>+K361+L361</f>
        <v>38110</v>
      </c>
      <c r="N361" s="204">
        <v>0.5</v>
      </c>
      <c r="O361" s="351">
        <f>+M361/N361</f>
        <v>76220</v>
      </c>
      <c r="P361" s="341"/>
    </row>
    <row r="362" spans="1:17" x14ac:dyDescent="0.25">
      <c r="A362" s="133"/>
      <c r="B362" s="385" t="s">
        <v>5951</v>
      </c>
      <c r="C362" s="384">
        <v>100000</v>
      </c>
      <c r="D362" s="345">
        <f>+C362*0.85</f>
        <v>85000</v>
      </c>
      <c r="E362" s="345">
        <f>+C362+D362</f>
        <v>185000</v>
      </c>
      <c r="F362" s="204">
        <v>50</v>
      </c>
      <c r="G362" s="351">
        <f>+E362/F362</f>
        <v>3700</v>
      </c>
      <c r="H362" s="341"/>
      <c r="I362" s="133"/>
      <c r="J362" s="385" t="s">
        <v>5951</v>
      </c>
      <c r="K362" s="384">
        <v>100000</v>
      </c>
      <c r="L362" s="345">
        <f>+K362*0.85</f>
        <v>85000</v>
      </c>
      <c r="M362" s="345">
        <f>+K362+L362</f>
        <v>185000</v>
      </c>
      <c r="N362" s="209">
        <v>0.3</v>
      </c>
      <c r="O362" s="351">
        <f>+M362/N362</f>
        <v>616666.66666666674</v>
      </c>
      <c r="P362" s="341"/>
    </row>
    <row r="363" spans="1:17" x14ac:dyDescent="0.25">
      <c r="A363" s="133"/>
      <c r="B363" s="195"/>
      <c r="C363" s="232"/>
      <c r="D363" s="232"/>
      <c r="E363" s="232"/>
      <c r="F363" s="226"/>
      <c r="G363" s="344"/>
      <c r="H363" s="341"/>
      <c r="I363" s="133"/>
      <c r="J363" s="195"/>
      <c r="K363" s="232"/>
      <c r="L363" s="232"/>
      <c r="M363" s="232"/>
      <c r="N363" s="226"/>
      <c r="O363" s="344"/>
      <c r="P363" s="341"/>
    </row>
    <row r="364" spans="1:17" ht="15.75" thickBot="1" x14ac:dyDescent="0.3">
      <c r="A364" s="133"/>
      <c r="B364" s="195"/>
      <c r="C364" s="232"/>
      <c r="D364" s="232"/>
      <c r="E364" s="232"/>
      <c r="F364" s="226"/>
      <c r="G364" s="344"/>
      <c r="H364" s="341"/>
      <c r="I364" s="133"/>
      <c r="J364" s="195"/>
      <c r="K364" s="232"/>
      <c r="L364" s="232"/>
      <c r="M364" s="232"/>
      <c r="N364" s="226"/>
      <c r="O364" s="344"/>
      <c r="P364" s="341"/>
    </row>
    <row r="365" spans="1:17" ht="15.75" thickBot="1" x14ac:dyDescent="0.3">
      <c r="A365" s="133"/>
      <c r="B365" s="251"/>
      <c r="C365" s="252"/>
      <c r="D365" s="252"/>
      <c r="E365" s="252"/>
      <c r="F365" s="253"/>
      <c r="G365" s="357"/>
      <c r="H365" s="348">
        <f>+SUM(G359:G365)</f>
        <v>32597</v>
      </c>
      <c r="I365" s="133"/>
      <c r="J365" s="251"/>
      <c r="K365" s="252"/>
      <c r="L365" s="252"/>
      <c r="M365" s="252"/>
      <c r="N365" s="253"/>
      <c r="O365" s="357"/>
      <c r="P365" s="348">
        <f>+SUM(O359:O365)</f>
        <v>853836.66666666674</v>
      </c>
    </row>
    <row r="366" spans="1:17" ht="15.75" thickBot="1" x14ac:dyDescent="0.3">
      <c r="A366" s="133"/>
      <c r="B366" s="8"/>
      <c r="C366" s="8"/>
      <c r="D366" s="8"/>
      <c r="E366" s="8"/>
      <c r="F366" s="133"/>
      <c r="G366" s="341"/>
      <c r="H366" s="341"/>
      <c r="I366" s="133"/>
      <c r="J366" s="8"/>
      <c r="K366" s="8"/>
      <c r="L366" s="8"/>
      <c r="M366" s="8"/>
      <c r="N366" s="133"/>
      <c r="O366" s="341"/>
      <c r="P366" s="341"/>
    </row>
    <row r="367" spans="1:17" ht="15.75" thickBot="1" x14ac:dyDescent="0.3">
      <c r="A367" s="133"/>
      <c r="B367" s="8"/>
      <c r="C367" s="8"/>
      <c r="D367" s="8"/>
      <c r="E367" s="223" t="s">
        <v>5415</v>
      </c>
      <c r="F367" s="133"/>
      <c r="G367" s="341"/>
      <c r="H367" s="358">
        <f>ROUND(+H365+H356+H348+H333,0)</f>
        <v>142037</v>
      </c>
      <c r="I367" s="133"/>
      <c r="J367" s="8"/>
      <c r="K367" s="8"/>
      <c r="L367" s="8"/>
      <c r="M367" s="223" t="s">
        <v>5415</v>
      </c>
      <c r="N367" s="133"/>
      <c r="O367" s="341"/>
      <c r="P367" s="358">
        <f>ROUND(+P365+P356+P348+P333,0)</f>
        <v>1954330</v>
      </c>
    </row>
    <row r="368" spans="1:17" x14ac:dyDescent="0.25">
      <c r="A368" s="133"/>
      <c r="B368" s="8"/>
      <c r="C368" s="8"/>
      <c r="D368" s="8"/>
      <c r="E368" s="223"/>
      <c r="F368" s="133"/>
      <c r="G368" s="341"/>
      <c r="H368" s="436"/>
      <c r="I368" s="133"/>
      <c r="J368" s="8"/>
      <c r="K368" s="8"/>
      <c r="L368" s="8"/>
      <c r="M368" s="223"/>
      <c r="N368" s="183"/>
      <c r="O368" s="133"/>
      <c r="P368" s="341"/>
      <c r="Q368" s="436"/>
    </row>
    <row r="369" spans="1:17" x14ac:dyDescent="0.25">
      <c r="A369" s="133"/>
      <c r="B369" s="8"/>
      <c r="C369" s="8"/>
      <c r="D369" s="8"/>
      <c r="E369" s="223"/>
      <c r="F369" s="133"/>
      <c r="G369" s="341"/>
      <c r="H369" s="436"/>
      <c r="I369" s="133"/>
      <c r="J369" s="8"/>
      <c r="K369" s="8"/>
      <c r="L369" s="8"/>
      <c r="M369" s="223"/>
      <c r="N369" s="183"/>
      <c r="O369" s="133"/>
      <c r="P369" s="341"/>
      <c r="Q369" s="436"/>
    </row>
    <row r="372" spans="1:17" x14ac:dyDescent="0.25">
      <c r="A372" s="397"/>
      <c r="B372" s="2512" t="s">
        <v>5400</v>
      </c>
      <c r="C372" s="2512"/>
      <c r="D372" s="2512"/>
      <c r="E372" s="2512"/>
      <c r="F372" s="2512"/>
      <c r="G372" s="2512"/>
      <c r="H372" s="398"/>
    </row>
    <row r="373" spans="1:17" x14ac:dyDescent="0.25">
      <c r="A373" s="397"/>
      <c r="B373" s="399"/>
      <c r="C373" s="399"/>
      <c r="D373" s="397"/>
      <c r="E373" s="397"/>
      <c r="F373" s="400"/>
      <c r="G373" s="401"/>
      <c r="H373" s="401"/>
    </row>
    <row r="374" spans="1:17" ht="45" customHeight="1" x14ac:dyDescent="0.25">
      <c r="A374" s="402" t="s">
        <v>5952</v>
      </c>
      <c r="B374" s="403" t="s">
        <v>814</v>
      </c>
      <c r="C374" s="2513" t="s">
        <v>6290</v>
      </c>
      <c r="D374" s="2513"/>
      <c r="E374" s="2513"/>
      <c r="F374" s="400" t="s">
        <v>867</v>
      </c>
      <c r="G374" s="142" t="s">
        <v>5424</v>
      </c>
      <c r="H374" s="134"/>
    </row>
    <row r="375" spans="1:17" x14ac:dyDescent="0.25">
      <c r="A375" s="404"/>
      <c r="B375" s="405"/>
      <c r="C375" s="406"/>
      <c r="D375" s="406"/>
      <c r="E375" s="406"/>
      <c r="F375" s="400"/>
      <c r="G375" s="142"/>
      <c r="H375" s="134"/>
    </row>
    <row r="376" spans="1:17" ht="15.75" thickBot="1" x14ac:dyDescent="0.3">
      <c r="A376" s="397"/>
      <c r="B376" s="397"/>
      <c r="C376" s="397"/>
      <c r="D376" s="397"/>
      <c r="E376" s="397"/>
      <c r="F376" s="400"/>
      <c r="G376" s="401"/>
      <c r="H376" s="401"/>
    </row>
    <row r="377" spans="1:17" ht="15.75" thickBot="1" x14ac:dyDescent="0.3">
      <c r="A377" s="397"/>
      <c r="B377" s="407" t="s">
        <v>5403</v>
      </c>
      <c r="C377" s="408" t="s">
        <v>867</v>
      </c>
      <c r="D377" s="408" t="s">
        <v>6</v>
      </c>
      <c r="E377" s="408" t="s">
        <v>5439</v>
      </c>
      <c r="F377" s="408" t="s">
        <v>5405</v>
      </c>
      <c r="G377" s="409" t="s">
        <v>868</v>
      </c>
      <c r="H377" s="401"/>
    </row>
    <row r="378" spans="1:17" x14ac:dyDescent="0.25">
      <c r="A378" s="397"/>
      <c r="B378" s="381" t="s">
        <v>5934</v>
      </c>
      <c r="C378" s="382"/>
      <c r="D378" s="383"/>
      <c r="E378" s="384"/>
      <c r="F378" s="383"/>
      <c r="G378" s="410">
        <f>0.05*H415</f>
        <v>4333.9333333333334</v>
      </c>
      <c r="H378" s="401"/>
    </row>
    <row r="379" spans="1:17" x14ac:dyDescent="0.25">
      <c r="A379" s="397"/>
      <c r="B379" s="385" t="s">
        <v>5935</v>
      </c>
      <c r="C379" s="386" t="s">
        <v>5936</v>
      </c>
      <c r="D379" s="387">
        <v>1</v>
      </c>
      <c r="E379" s="388">
        <f>100000/8</f>
        <v>12500</v>
      </c>
      <c r="F379" s="387">
        <v>50</v>
      </c>
      <c r="G379" s="411">
        <f>+D379*E379/F379</f>
        <v>250</v>
      </c>
      <c r="H379" s="401"/>
    </row>
    <row r="380" spans="1:17" x14ac:dyDescent="0.25">
      <c r="A380" s="397"/>
      <c r="B380" s="385"/>
      <c r="C380" s="386"/>
      <c r="D380" s="387"/>
      <c r="E380" s="388"/>
      <c r="F380" s="387"/>
      <c r="G380" s="411"/>
      <c r="H380" s="401"/>
    </row>
    <row r="381" spans="1:17" x14ac:dyDescent="0.25">
      <c r="A381" s="397"/>
      <c r="B381" s="385"/>
      <c r="C381" s="386"/>
      <c r="D381" s="387"/>
      <c r="E381" s="388"/>
      <c r="F381" s="387"/>
      <c r="G381" s="411"/>
      <c r="H381" s="401"/>
    </row>
    <row r="382" spans="1:17" x14ac:dyDescent="0.25">
      <c r="A382" s="397"/>
      <c r="B382" s="385"/>
      <c r="C382" s="386"/>
      <c r="D382" s="387"/>
      <c r="E382" s="388"/>
      <c r="F382" s="387"/>
      <c r="G382" s="411"/>
      <c r="H382" s="401"/>
    </row>
    <row r="383" spans="1:17" ht="15.75" thickBot="1" x14ac:dyDescent="0.3">
      <c r="A383" s="397"/>
      <c r="B383" s="385"/>
      <c r="C383" s="386"/>
      <c r="D383" s="387"/>
      <c r="E383" s="387"/>
      <c r="F383" s="387"/>
      <c r="G383" s="411"/>
      <c r="H383" s="401"/>
    </row>
    <row r="384" spans="1:17" ht="15.75" thickBot="1" x14ac:dyDescent="0.3">
      <c r="A384" s="397"/>
      <c r="B384" s="412"/>
      <c r="C384" s="413"/>
      <c r="D384" s="414"/>
      <c r="E384" s="414"/>
      <c r="F384" s="414"/>
      <c r="G384" s="415"/>
      <c r="H384" s="416">
        <f>+SUM(G378:G384)</f>
        <v>4583.9333333333334</v>
      </c>
    </row>
    <row r="385" spans="1:8" ht="15.75" thickBot="1" x14ac:dyDescent="0.3">
      <c r="A385" s="397"/>
      <c r="B385" s="417"/>
      <c r="C385" s="418"/>
      <c r="D385" s="417"/>
      <c r="E385" s="417"/>
      <c r="F385" s="417"/>
      <c r="G385" s="419"/>
      <c r="H385" s="420"/>
    </row>
    <row r="386" spans="1:8" ht="15.75" thickBot="1" x14ac:dyDescent="0.3">
      <c r="A386" s="397"/>
      <c r="B386" s="407" t="s">
        <v>5408</v>
      </c>
      <c r="C386" s="408" t="s">
        <v>867</v>
      </c>
      <c r="D386" s="408" t="s">
        <v>6</v>
      </c>
      <c r="E386" s="408" t="s">
        <v>870</v>
      </c>
      <c r="F386" s="408" t="s">
        <v>5409</v>
      </c>
      <c r="G386" s="409" t="s">
        <v>868</v>
      </c>
      <c r="H386" s="401"/>
    </row>
    <row r="387" spans="1:8" ht="26.25" x14ac:dyDescent="0.25">
      <c r="A387" s="397"/>
      <c r="B387" s="389" t="s">
        <v>5938</v>
      </c>
      <c r="C387" s="211" t="s">
        <v>5556</v>
      </c>
      <c r="D387" s="211">
        <v>6</v>
      </c>
      <c r="E387" s="345">
        <v>9800</v>
      </c>
      <c r="F387" s="169">
        <v>0.05</v>
      </c>
      <c r="G387" s="172">
        <f t="shared" ref="G387:G395" si="2">+D387*E387*(1+F387)</f>
        <v>61740</v>
      </c>
      <c r="H387" s="401"/>
    </row>
    <row r="388" spans="1:8" x14ac:dyDescent="0.25">
      <c r="A388" s="397"/>
      <c r="B388" s="391" t="s">
        <v>5939</v>
      </c>
      <c r="C388" s="212" t="s">
        <v>5542</v>
      </c>
      <c r="D388" s="212">
        <v>0.12</v>
      </c>
      <c r="E388" s="346">
        <v>322480</v>
      </c>
      <c r="F388" s="169">
        <v>0.05</v>
      </c>
      <c r="G388" s="172">
        <f t="shared" si="2"/>
        <v>40632.480000000003</v>
      </c>
      <c r="H388" s="401"/>
    </row>
    <row r="389" spans="1:8" x14ac:dyDescent="0.25">
      <c r="A389" s="397"/>
      <c r="B389" s="385" t="s">
        <v>5941</v>
      </c>
      <c r="C389" s="386" t="s">
        <v>5542</v>
      </c>
      <c r="D389" s="386">
        <v>0.14000000000000001</v>
      </c>
      <c r="E389" s="384">
        <v>322480</v>
      </c>
      <c r="F389" s="169">
        <v>0.05</v>
      </c>
      <c r="G389" s="410">
        <f t="shared" si="2"/>
        <v>47404.560000000005</v>
      </c>
      <c r="H389" s="401"/>
    </row>
    <row r="390" spans="1:8" x14ac:dyDescent="0.25">
      <c r="A390" s="404"/>
      <c r="B390" s="391" t="s">
        <v>5942</v>
      </c>
      <c r="C390" s="212" t="s">
        <v>5402</v>
      </c>
      <c r="D390" s="212">
        <v>9</v>
      </c>
      <c r="E390" s="395">
        <v>300</v>
      </c>
      <c r="F390" s="169">
        <v>0.02</v>
      </c>
      <c r="G390" s="172">
        <f t="shared" si="2"/>
        <v>2754</v>
      </c>
      <c r="H390" s="134"/>
    </row>
    <row r="391" spans="1:8" x14ac:dyDescent="0.25">
      <c r="A391" s="397"/>
      <c r="B391" s="385" t="s">
        <v>5943</v>
      </c>
      <c r="C391" s="386" t="s">
        <v>5734</v>
      </c>
      <c r="D391" s="386">
        <v>9</v>
      </c>
      <c r="E391" s="384">
        <v>3143</v>
      </c>
      <c r="F391" s="169">
        <v>0.02</v>
      </c>
      <c r="G391" s="410">
        <f t="shared" si="2"/>
        <v>28852.74</v>
      </c>
      <c r="H391" s="401"/>
    </row>
    <row r="392" spans="1:8" x14ac:dyDescent="0.25">
      <c r="A392" s="397"/>
      <c r="B392" s="385" t="s">
        <v>5741</v>
      </c>
      <c r="C392" s="386" t="s">
        <v>5944</v>
      </c>
      <c r="D392" s="386">
        <v>26</v>
      </c>
      <c r="E392" s="421">
        <v>3912</v>
      </c>
      <c r="F392" s="169">
        <v>0.05</v>
      </c>
      <c r="G392" s="410">
        <f t="shared" si="2"/>
        <v>106797.6</v>
      </c>
      <c r="H392" s="401"/>
    </row>
    <row r="393" spans="1:8" x14ac:dyDescent="0.25">
      <c r="A393" s="397"/>
      <c r="B393" s="385" t="s">
        <v>5756</v>
      </c>
      <c r="C393" s="386" t="s">
        <v>5431</v>
      </c>
      <c r="D393" s="386">
        <v>0.5</v>
      </c>
      <c r="E393" s="388">
        <v>7000</v>
      </c>
      <c r="F393" s="396">
        <v>0.02</v>
      </c>
      <c r="G393" s="410">
        <f t="shared" si="2"/>
        <v>3570</v>
      </c>
      <c r="H393" s="401"/>
    </row>
    <row r="394" spans="1:8" x14ac:dyDescent="0.25">
      <c r="A394" s="397"/>
      <c r="B394" s="385" t="s">
        <v>5945</v>
      </c>
      <c r="C394" s="386" t="s">
        <v>5424</v>
      </c>
      <c r="D394" s="386">
        <v>1.5</v>
      </c>
      <c r="E394" s="388">
        <v>3333</v>
      </c>
      <c r="F394" s="396">
        <v>0.02</v>
      </c>
      <c r="G394" s="410">
        <f t="shared" si="2"/>
        <v>5099.49</v>
      </c>
      <c r="H394" s="401"/>
    </row>
    <row r="395" spans="1:8" x14ac:dyDescent="0.25">
      <c r="A395" s="397"/>
      <c r="B395" s="385" t="s">
        <v>5947</v>
      </c>
      <c r="C395" s="386" t="s">
        <v>5402</v>
      </c>
      <c r="D395" s="386">
        <v>1</v>
      </c>
      <c r="E395" s="388">
        <v>12000</v>
      </c>
      <c r="F395" s="396">
        <v>0.02</v>
      </c>
      <c r="G395" s="410">
        <f t="shared" si="2"/>
        <v>12240</v>
      </c>
      <c r="H395" s="401"/>
    </row>
    <row r="396" spans="1:8" x14ac:dyDescent="0.25">
      <c r="A396" s="397"/>
      <c r="B396" s="385" t="s">
        <v>5953</v>
      </c>
      <c r="C396" s="386" t="s">
        <v>5424</v>
      </c>
      <c r="D396" s="387"/>
      <c r="E396" s="387"/>
      <c r="F396" s="387"/>
      <c r="G396" s="411">
        <v>500</v>
      </c>
      <c r="H396" s="401"/>
    </row>
    <row r="397" spans="1:8" ht="15.75" thickBot="1" x14ac:dyDescent="0.3">
      <c r="A397" s="397"/>
      <c r="B397" s="385" t="s">
        <v>5954</v>
      </c>
      <c r="C397" s="386" t="s">
        <v>5556</v>
      </c>
      <c r="D397" s="386">
        <v>1.5</v>
      </c>
      <c r="E397" s="388">
        <f>+'APU CAP 6'!H218</f>
        <v>28791</v>
      </c>
      <c r="F397" s="422">
        <v>0.1</v>
      </c>
      <c r="G397" s="410">
        <f>+D397*E397*(1+F397)</f>
        <v>47505.15</v>
      </c>
      <c r="H397" s="401"/>
    </row>
    <row r="398" spans="1:8" ht="15.75" thickBot="1" x14ac:dyDescent="0.3">
      <c r="A398" s="397"/>
      <c r="B398" s="412" t="s">
        <v>5955</v>
      </c>
      <c r="C398" s="413" t="s">
        <v>5542</v>
      </c>
      <c r="D398" s="413">
        <v>2.2499999999999999E-2</v>
      </c>
      <c r="E398" s="423">
        <v>322480</v>
      </c>
      <c r="F398" s="424">
        <v>0.05</v>
      </c>
      <c r="G398" s="410">
        <f>+D398*E398*(1+F398)</f>
        <v>7618.59</v>
      </c>
      <c r="H398" s="416">
        <f>+SUM(G387:G398)</f>
        <v>364714.61000000004</v>
      </c>
    </row>
    <row r="399" spans="1:8" ht="15.75" thickBot="1" x14ac:dyDescent="0.3">
      <c r="A399" s="397"/>
      <c r="B399" s="417"/>
      <c r="C399" s="417"/>
      <c r="D399" s="417"/>
      <c r="E399" s="417"/>
      <c r="F399" s="417"/>
      <c r="G399" s="419"/>
      <c r="H399" s="420"/>
    </row>
    <row r="400" spans="1:8" ht="15.75" thickBot="1" x14ac:dyDescent="0.3">
      <c r="A400" s="397"/>
      <c r="B400" s="407" t="s">
        <v>5410</v>
      </c>
      <c r="C400" s="408" t="s">
        <v>867</v>
      </c>
      <c r="D400" s="408" t="s">
        <v>6</v>
      </c>
      <c r="E400" s="408" t="s">
        <v>870</v>
      </c>
      <c r="F400" s="408" t="s">
        <v>5411</v>
      </c>
      <c r="G400" s="409" t="s">
        <v>868</v>
      </c>
      <c r="H400" s="401"/>
    </row>
    <row r="401" spans="1:8" x14ac:dyDescent="0.25">
      <c r="A401" s="397"/>
      <c r="B401" s="579"/>
      <c r="C401" s="580"/>
      <c r="D401" s="580"/>
      <c r="E401" s="580"/>
      <c r="F401" s="580"/>
      <c r="G401" s="581"/>
      <c r="H401" s="401"/>
    </row>
    <row r="402" spans="1:8" x14ac:dyDescent="0.25">
      <c r="A402" s="397"/>
      <c r="B402" s="579"/>
      <c r="C402" s="580"/>
      <c r="D402" s="580"/>
      <c r="E402" s="580"/>
      <c r="F402" s="580"/>
      <c r="G402" s="581"/>
      <c r="H402" s="401"/>
    </row>
    <row r="403" spans="1:8" x14ac:dyDescent="0.25">
      <c r="A403" s="397"/>
      <c r="B403" s="579"/>
      <c r="C403" s="580"/>
      <c r="D403" s="580"/>
      <c r="E403" s="580"/>
      <c r="F403" s="580"/>
      <c r="G403" s="581"/>
      <c r="H403" s="401"/>
    </row>
    <row r="404" spans="1:8" x14ac:dyDescent="0.25">
      <c r="A404" s="397"/>
      <c r="B404" s="579"/>
      <c r="C404" s="580"/>
      <c r="D404" s="580"/>
      <c r="E404" s="580"/>
      <c r="F404" s="580"/>
      <c r="G404" s="581"/>
      <c r="H404" s="401"/>
    </row>
    <row r="405" spans="1:8" ht="15.75" thickBot="1" x14ac:dyDescent="0.3">
      <c r="A405" s="397"/>
      <c r="B405" s="579"/>
      <c r="C405" s="580"/>
      <c r="D405" s="580"/>
      <c r="E405" s="580"/>
      <c r="F405" s="580"/>
      <c r="G405" s="581"/>
      <c r="H405" s="401"/>
    </row>
    <row r="406" spans="1:8" ht="15.75" thickBot="1" x14ac:dyDescent="0.3">
      <c r="A406" s="397"/>
      <c r="B406" s="412"/>
      <c r="C406" s="414"/>
      <c r="D406" s="414"/>
      <c r="E406" s="414"/>
      <c r="F406" s="414"/>
      <c r="G406" s="415"/>
      <c r="H406" s="416">
        <f>+SUM(G406:G406)</f>
        <v>0</v>
      </c>
    </row>
    <row r="407" spans="1:8" ht="15.75" thickBot="1" x14ac:dyDescent="0.3">
      <c r="A407" s="397"/>
      <c r="B407" s="417"/>
      <c r="C407" s="417"/>
      <c r="D407" s="417"/>
      <c r="E407" s="417"/>
      <c r="F407" s="425"/>
      <c r="G407" s="426"/>
      <c r="H407" s="420"/>
    </row>
    <row r="408" spans="1:8" ht="15.75" thickBot="1" x14ac:dyDescent="0.3">
      <c r="A408" s="397"/>
      <c r="B408" s="407" t="s">
        <v>5412</v>
      </c>
      <c r="C408" s="408" t="s">
        <v>5420</v>
      </c>
      <c r="D408" s="408" t="s">
        <v>5421</v>
      </c>
      <c r="E408" s="408" t="s">
        <v>5413</v>
      </c>
      <c r="F408" s="408" t="s">
        <v>5405</v>
      </c>
      <c r="G408" s="409" t="s">
        <v>868</v>
      </c>
      <c r="H408" s="401"/>
    </row>
    <row r="409" spans="1:8" x14ac:dyDescent="0.25">
      <c r="A409" s="397"/>
      <c r="B409" s="381" t="s">
        <v>5948</v>
      </c>
      <c r="C409" s="345">
        <v>70000</v>
      </c>
      <c r="D409" s="384">
        <f>+C409*0.85</f>
        <v>59500</v>
      </c>
      <c r="E409" s="384">
        <f>+C409+D409</f>
        <v>129500</v>
      </c>
      <c r="F409" s="382">
        <v>50</v>
      </c>
      <c r="G409" s="410">
        <f>+E409/F409</f>
        <v>2590</v>
      </c>
      <c r="H409" s="401"/>
    </row>
    <row r="410" spans="1:8" x14ac:dyDescent="0.25">
      <c r="A410" s="397"/>
      <c r="B410" s="385" t="s">
        <v>5949</v>
      </c>
      <c r="C410" s="345">
        <v>40000</v>
      </c>
      <c r="D410" s="384">
        <f>+C410*0.85</f>
        <v>34000</v>
      </c>
      <c r="E410" s="384">
        <f>+C410+D410</f>
        <v>74000</v>
      </c>
      <c r="F410" s="382">
        <v>5</v>
      </c>
      <c r="G410" s="410">
        <f>+E410/F410</f>
        <v>14800</v>
      </c>
      <c r="H410" s="401"/>
    </row>
    <row r="411" spans="1:8" x14ac:dyDescent="0.25">
      <c r="A411" s="397"/>
      <c r="B411" s="385" t="s">
        <v>5950</v>
      </c>
      <c r="C411" s="345">
        <v>20600</v>
      </c>
      <c r="D411" s="384">
        <f>+C411*0.85</f>
        <v>17510</v>
      </c>
      <c r="E411" s="384">
        <f>+C411+D411</f>
        <v>38110</v>
      </c>
      <c r="F411" s="382">
        <v>5</v>
      </c>
      <c r="G411" s="410">
        <f>+E411/F411</f>
        <v>7622</v>
      </c>
      <c r="H411" s="401"/>
    </row>
    <row r="412" spans="1:8" x14ac:dyDescent="0.25">
      <c r="A412" s="397"/>
      <c r="B412" s="385" t="s">
        <v>5951</v>
      </c>
      <c r="C412" s="384">
        <v>100000</v>
      </c>
      <c r="D412" s="384">
        <f>+C412*0.85</f>
        <v>85000</v>
      </c>
      <c r="E412" s="384">
        <f>+C412+D412</f>
        <v>185000</v>
      </c>
      <c r="F412" s="382">
        <v>3</v>
      </c>
      <c r="G412" s="410">
        <f>+E412/F412</f>
        <v>61666.666666666664</v>
      </c>
      <c r="H412" s="401"/>
    </row>
    <row r="413" spans="1:8" x14ac:dyDescent="0.25">
      <c r="A413" s="397"/>
      <c r="B413" s="412"/>
      <c r="C413" s="582"/>
      <c r="D413" s="582"/>
      <c r="E413" s="582"/>
      <c r="F413" s="580"/>
      <c r="G413" s="583"/>
      <c r="H413" s="401"/>
    </row>
    <row r="414" spans="1:8" ht="15.75" thickBot="1" x14ac:dyDescent="0.3">
      <c r="A414" s="397"/>
      <c r="B414" s="412"/>
      <c r="C414" s="582"/>
      <c r="D414" s="582"/>
      <c r="E414" s="582"/>
      <c r="F414" s="580"/>
      <c r="G414" s="583"/>
      <c r="H414" s="401"/>
    </row>
    <row r="415" spans="1:8" ht="15.75" thickBot="1" x14ac:dyDescent="0.3">
      <c r="A415" s="397"/>
      <c r="B415" s="427"/>
      <c r="C415" s="428"/>
      <c r="D415" s="428"/>
      <c r="E415" s="428"/>
      <c r="F415" s="428"/>
      <c r="G415" s="429"/>
      <c r="H415" s="416">
        <f>+SUM(G409:G415)</f>
        <v>86678.666666666657</v>
      </c>
    </row>
    <row r="416" spans="1:8" ht="15.75" thickBot="1" x14ac:dyDescent="0.3">
      <c r="A416" s="397"/>
      <c r="B416" s="430"/>
      <c r="C416" s="430"/>
      <c r="D416" s="430"/>
      <c r="E416" s="430"/>
      <c r="F416" s="430"/>
      <c r="G416" s="401"/>
      <c r="H416" s="401"/>
    </row>
    <row r="417" spans="1:16" ht="15.75" thickBot="1" x14ac:dyDescent="0.3">
      <c r="A417" s="397"/>
      <c r="B417" s="430"/>
      <c r="C417" s="430"/>
      <c r="D417" s="430"/>
      <c r="E417" s="431" t="s">
        <v>5415</v>
      </c>
      <c r="F417" s="430"/>
      <c r="G417" s="401"/>
      <c r="H417" s="416">
        <f>+ROUND(H384+H398+H406+H415,0)</f>
        <v>455977</v>
      </c>
    </row>
    <row r="418" spans="1:16" x14ac:dyDescent="0.25">
      <c r="A418" s="397"/>
      <c r="B418" s="397"/>
      <c r="C418" s="397"/>
      <c r="D418" s="397"/>
      <c r="E418" s="397"/>
      <c r="F418" s="400"/>
      <c r="G418" s="401"/>
      <c r="H418" s="401"/>
    </row>
    <row r="423" spans="1:16" ht="18.75" x14ac:dyDescent="0.25">
      <c r="A423" s="133"/>
      <c r="B423" s="2506" t="s">
        <v>5400</v>
      </c>
      <c r="C423" s="2506"/>
      <c r="D423" s="2506"/>
      <c r="E423" s="2506"/>
      <c r="F423" s="2506"/>
      <c r="G423" s="2506"/>
      <c r="H423" s="2506"/>
      <c r="I423" s="133"/>
      <c r="J423" s="2506" t="s">
        <v>5400</v>
      </c>
      <c r="K423" s="2506"/>
      <c r="L423" s="2506"/>
      <c r="M423" s="2506"/>
      <c r="N423" s="2506"/>
      <c r="O423" s="2506"/>
      <c r="P423" s="2506"/>
    </row>
    <row r="424" spans="1:16" x14ac:dyDescent="0.25">
      <c r="A424" s="133"/>
      <c r="B424" s="8"/>
      <c r="C424" s="8"/>
      <c r="D424" s="8"/>
      <c r="E424" s="8"/>
      <c r="F424" s="133"/>
      <c r="G424" s="341"/>
      <c r="H424" s="341"/>
      <c r="I424" s="133"/>
      <c r="J424" s="8"/>
      <c r="K424" s="8"/>
      <c r="L424" s="8"/>
      <c r="M424" s="8"/>
      <c r="N424" s="133"/>
      <c r="O424" s="341"/>
      <c r="P424" s="341"/>
    </row>
    <row r="425" spans="1:16" x14ac:dyDescent="0.25">
      <c r="A425" s="133"/>
      <c r="B425" s="8"/>
      <c r="C425" s="8"/>
      <c r="D425" s="8"/>
      <c r="E425" s="8"/>
      <c r="F425" s="133"/>
      <c r="G425" s="341"/>
      <c r="H425" s="341"/>
      <c r="I425" s="133"/>
      <c r="J425" s="8"/>
      <c r="K425" s="8"/>
      <c r="L425" s="8"/>
      <c r="M425" s="8"/>
      <c r="N425" s="133"/>
      <c r="O425" s="341"/>
      <c r="P425" s="341"/>
    </row>
    <row r="426" spans="1:16" x14ac:dyDescent="0.25">
      <c r="A426" s="133"/>
      <c r="B426" s="8"/>
      <c r="C426" s="8"/>
      <c r="D426" s="8"/>
      <c r="E426" s="8"/>
      <c r="F426" s="133"/>
      <c r="G426" s="341"/>
      <c r="H426" s="341"/>
      <c r="I426" s="133"/>
      <c r="J426" s="8"/>
      <c r="K426" s="8"/>
      <c r="L426" s="8"/>
      <c r="M426" s="8"/>
      <c r="N426" s="133"/>
      <c r="O426" s="341"/>
      <c r="P426" s="341"/>
    </row>
    <row r="427" spans="1:16" ht="24.95" customHeight="1" x14ac:dyDescent="0.25">
      <c r="A427" s="220" t="s">
        <v>5482</v>
      </c>
      <c r="B427" s="138" t="s">
        <v>750</v>
      </c>
      <c r="C427" s="2510" t="s">
        <v>6387</v>
      </c>
      <c r="D427" s="2511"/>
      <c r="E427" s="2511"/>
      <c r="F427" s="220" t="s">
        <v>867</v>
      </c>
      <c r="G427" s="342" t="s">
        <v>5402</v>
      </c>
      <c r="H427" s="341"/>
      <c r="I427" s="220" t="s">
        <v>5482</v>
      </c>
      <c r="J427" s="138"/>
      <c r="K427" s="2510" t="s">
        <v>6386</v>
      </c>
      <c r="L427" s="2511"/>
      <c r="M427" s="2511"/>
      <c r="N427" s="220" t="s">
        <v>867</v>
      </c>
      <c r="O427" s="342" t="s">
        <v>5402</v>
      </c>
      <c r="P427" s="341"/>
    </row>
    <row r="428" spans="1:16" x14ac:dyDescent="0.25">
      <c r="A428" s="133"/>
      <c r="B428" s="8"/>
      <c r="C428" s="223"/>
      <c r="D428" s="223"/>
      <c r="E428" s="223"/>
      <c r="F428" s="133"/>
      <c r="G428" s="341"/>
      <c r="H428" s="341"/>
      <c r="I428" s="133"/>
      <c r="J428" s="8"/>
      <c r="K428" s="223"/>
      <c r="L428" s="223"/>
      <c r="M428" s="223"/>
      <c r="N428" s="133"/>
      <c r="O428" s="341"/>
      <c r="P428" s="341"/>
    </row>
    <row r="429" spans="1:16" x14ac:dyDescent="0.25">
      <c r="A429" s="133"/>
      <c r="B429" s="8"/>
      <c r="C429" s="8"/>
      <c r="D429" s="8"/>
      <c r="E429" s="8"/>
      <c r="F429" s="8"/>
      <c r="G429" s="8"/>
      <c r="H429" s="341"/>
      <c r="I429" s="133"/>
      <c r="J429" s="8"/>
      <c r="K429" s="8"/>
      <c r="L429" s="8"/>
      <c r="M429" s="8"/>
      <c r="N429" s="8"/>
      <c r="O429" s="8"/>
      <c r="P429" s="341"/>
    </row>
    <row r="430" spans="1:16" ht="15.75" thickBot="1" x14ac:dyDescent="0.3">
      <c r="A430" s="133"/>
      <c r="B430" s="8"/>
      <c r="C430" s="8"/>
      <c r="D430" s="8"/>
      <c r="E430" s="8"/>
      <c r="F430" s="133"/>
      <c r="G430" s="341"/>
      <c r="H430" s="341"/>
      <c r="I430" s="133"/>
      <c r="J430" s="8"/>
      <c r="K430" s="8"/>
      <c r="L430" s="8"/>
      <c r="M430" s="8"/>
      <c r="N430" s="133"/>
      <c r="O430" s="341"/>
      <c r="P430" s="341"/>
    </row>
    <row r="431" spans="1:16" ht="15.75" thickBot="1" x14ac:dyDescent="0.3">
      <c r="A431" s="133"/>
      <c r="B431" s="224" t="s">
        <v>5403</v>
      </c>
      <c r="C431" s="193" t="s">
        <v>867</v>
      </c>
      <c r="D431" s="193" t="s">
        <v>6</v>
      </c>
      <c r="E431" s="193" t="s">
        <v>5439</v>
      </c>
      <c r="F431" s="193" t="s">
        <v>5405</v>
      </c>
      <c r="G431" s="343" t="s">
        <v>868</v>
      </c>
      <c r="H431" s="341"/>
      <c r="I431" s="133"/>
      <c r="J431" s="224" t="s">
        <v>5403</v>
      </c>
      <c r="K431" s="193" t="s">
        <v>867</v>
      </c>
      <c r="L431" s="193" t="s">
        <v>6</v>
      </c>
      <c r="M431" s="193" t="s">
        <v>5439</v>
      </c>
      <c r="N431" s="193" t="s">
        <v>5405</v>
      </c>
      <c r="O431" s="343" t="s">
        <v>868</v>
      </c>
      <c r="P431" s="341"/>
    </row>
    <row r="432" spans="1:16" x14ac:dyDescent="0.25">
      <c r="A432" s="133"/>
      <c r="B432" s="146" t="s">
        <v>5934</v>
      </c>
      <c r="C432" s="226"/>
      <c r="D432" s="226"/>
      <c r="E432" s="372">
        <f>+H470</f>
        <v>22884.5</v>
      </c>
      <c r="F432" s="226">
        <v>0.1</v>
      </c>
      <c r="G432" s="344">
        <f>+E432*F432</f>
        <v>2288.4500000000003</v>
      </c>
      <c r="H432" s="341"/>
      <c r="I432" s="133"/>
      <c r="J432" s="146" t="s">
        <v>5934</v>
      </c>
      <c r="K432" s="226" t="s">
        <v>5402</v>
      </c>
      <c r="L432" s="226">
        <v>1</v>
      </c>
      <c r="M432" s="372">
        <f>+P470</f>
        <v>22884.5</v>
      </c>
      <c r="N432" s="226">
        <v>0.1</v>
      </c>
      <c r="O432" s="373">
        <f>+M432*N432</f>
        <v>2288.4500000000003</v>
      </c>
      <c r="P432" s="341"/>
    </row>
    <row r="433" spans="1:16" x14ac:dyDescent="0.25">
      <c r="A433" s="133"/>
      <c r="B433" s="195" t="s">
        <v>6388</v>
      </c>
      <c r="C433" s="226"/>
      <c r="D433" s="226"/>
      <c r="E433" s="374"/>
      <c r="F433" s="226"/>
      <c r="G433" s="344">
        <v>15000</v>
      </c>
      <c r="H433" s="341"/>
      <c r="I433" s="133"/>
      <c r="J433" s="195" t="s">
        <v>6388</v>
      </c>
      <c r="K433" s="226"/>
      <c r="L433" s="226"/>
      <c r="M433" s="374"/>
      <c r="N433" s="226"/>
      <c r="O433" s="344">
        <v>15000</v>
      </c>
      <c r="P433" s="341"/>
    </row>
    <row r="434" spans="1:16" x14ac:dyDescent="0.25">
      <c r="A434" s="133"/>
      <c r="B434" s="195" t="s">
        <v>6389</v>
      </c>
      <c r="C434" s="226" t="s">
        <v>5424</v>
      </c>
      <c r="D434" s="226">
        <v>1</v>
      </c>
      <c r="E434" s="345">
        <v>350000</v>
      </c>
      <c r="F434" s="226">
        <v>0.01</v>
      </c>
      <c r="G434" s="344">
        <f>+E434*F434</f>
        <v>3500</v>
      </c>
      <c r="H434" s="341"/>
      <c r="I434" s="133"/>
      <c r="J434" s="195" t="s">
        <v>6389</v>
      </c>
      <c r="K434" s="226" t="s">
        <v>5424</v>
      </c>
      <c r="L434" s="226">
        <v>1</v>
      </c>
      <c r="M434" s="345">
        <v>350000</v>
      </c>
      <c r="N434" s="226">
        <v>1.4E-2</v>
      </c>
      <c r="O434" s="344">
        <f>+M434*N434</f>
        <v>4900</v>
      </c>
      <c r="P434" s="341"/>
    </row>
    <row r="435" spans="1:16" x14ac:dyDescent="0.25">
      <c r="A435" s="133"/>
      <c r="B435" s="195"/>
      <c r="C435" s="226"/>
      <c r="D435" s="226"/>
      <c r="E435" s="346"/>
      <c r="F435" s="226"/>
      <c r="G435" s="375"/>
      <c r="H435" s="341"/>
      <c r="I435" s="133"/>
      <c r="J435" s="195"/>
      <c r="K435" s="226"/>
      <c r="L435" s="226"/>
      <c r="M435" s="346"/>
      <c r="N435" s="226"/>
      <c r="O435" s="375"/>
      <c r="P435" s="341"/>
    </row>
    <row r="436" spans="1:16" x14ac:dyDescent="0.25">
      <c r="A436" s="133"/>
      <c r="B436" s="195"/>
      <c r="C436" s="226"/>
      <c r="D436" s="232"/>
      <c r="E436" s="232"/>
      <c r="F436" s="226"/>
      <c r="G436" s="344"/>
      <c r="H436" s="341"/>
      <c r="I436" s="133"/>
      <c r="J436" s="195"/>
      <c r="K436" s="226"/>
      <c r="L436" s="232"/>
      <c r="M436" s="232"/>
      <c r="N436" s="226"/>
      <c r="O436" s="344"/>
      <c r="P436" s="341"/>
    </row>
    <row r="437" spans="1:16" ht="15.75" thickBot="1" x14ac:dyDescent="0.3">
      <c r="A437" s="133"/>
      <c r="B437" s="195"/>
      <c r="C437" s="226"/>
      <c r="D437" s="232"/>
      <c r="E437" s="232"/>
      <c r="F437" s="226"/>
      <c r="G437" s="344"/>
      <c r="H437" s="341"/>
      <c r="I437" s="133"/>
      <c r="J437" s="195"/>
      <c r="K437" s="226"/>
      <c r="L437" s="232"/>
      <c r="M437" s="232"/>
      <c r="N437" s="226"/>
      <c r="O437" s="344"/>
      <c r="P437" s="341"/>
    </row>
    <row r="438" spans="1:16" ht="15.75" thickBot="1" x14ac:dyDescent="0.3">
      <c r="A438" s="133"/>
      <c r="B438" s="233"/>
      <c r="C438" s="234"/>
      <c r="D438" s="234"/>
      <c r="E438" s="234"/>
      <c r="F438" s="235"/>
      <c r="G438" s="347"/>
      <c r="H438" s="348">
        <f>+SUM(G432:G438)</f>
        <v>20788.45</v>
      </c>
      <c r="I438" s="133"/>
      <c r="J438" s="233"/>
      <c r="K438" s="234"/>
      <c r="L438" s="234"/>
      <c r="M438" s="234"/>
      <c r="N438" s="235"/>
      <c r="O438" s="347"/>
      <c r="P438" s="348">
        <f>+SUM(O432:O438)</f>
        <v>22188.45</v>
      </c>
    </row>
    <row r="439" spans="1:16" ht="15.75" thickBot="1" x14ac:dyDescent="0.3">
      <c r="A439" s="133"/>
      <c r="B439" s="238"/>
      <c r="C439" s="238"/>
      <c r="D439" s="238"/>
      <c r="E439" s="238"/>
      <c r="F439" s="239"/>
      <c r="G439" s="349"/>
      <c r="H439" s="350"/>
      <c r="I439" s="133"/>
      <c r="J439" s="238"/>
      <c r="K439" s="238"/>
      <c r="L439" s="238"/>
      <c r="M439" s="238"/>
      <c r="N439" s="239"/>
      <c r="O439" s="349"/>
      <c r="P439" s="350"/>
    </row>
    <row r="440" spans="1:16" ht="15.75" thickBot="1" x14ac:dyDescent="0.3">
      <c r="A440" s="133"/>
      <c r="B440" s="224" t="s">
        <v>5408</v>
      </c>
      <c r="C440" s="193" t="s">
        <v>867</v>
      </c>
      <c r="D440" s="193" t="s">
        <v>6</v>
      </c>
      <c r="E440" s="193" t="s">
        <v>870</v>
      </c>
      <c r="F440" s="193" t="s">
        <v>5409</v>
      </c>
      <c r="G440" s="343" t="s">
        <v>868</v>
      </c>
      <c r="H440" s="341"/>
      <c r="I440" s="133"/>
      <c r="J440" s="224" t="s">
        <v>5408</v>
      </c>
      <c r="K440" s="193" t="s">
        <v>867</v>
      </c>
      <c r="L440" s="193" t="s">
        <v>6</v>
      </c>
      <c r="M440" s="193" t="s">
        <v>870</v>
      </c>
      <c r="N440" s="193" t="s">
        <v>5409</v>
      </c>
      <c r="O440" s="343" t="s">
        <v>868</v>
      </c>
      <c r="P440" s="341"/>
    </row>
    <row r="441" spans="1:16" x14ac:dyDescent="0.25">
      <c r="A441" s="133"/>
      <c r="B441" s="295" t="s">
        <v>5553</v>
      </c>
      <c r="C441" s="202" t="s">
        <v>5488</v>
      </c>
      <c r="D441" s="226">
        <f>+PI()*0.125^2*1000</f>
        <v>49.087385212340514</v>
      </c>
      <c r="E441" s="332">
        <v>20</v>
      </c>
      <c r="F441" s="169">
        <v>0.05</v>
      </c>
      <c r="G441" s="178">
        <f>+D441*E441*(1+F441)</f>
        <v>1030.8350894591508</v>
      </c>
      <c r="H441" s="341"/>
      <c r="I441" s="133"/>
      <c r="J441" s="295" t="s">
        <v>5553</v>
      </c>
      <c r="K441" s="202" t="s">
        <v>5488</v>
      </c>
      <c r="L441" s="226">
        <f>+PI()*0.175^2*1000</f>
        <v>96.2112750161874</v>
      </c>
      <c r="M441" s="332">
        <v>20</v>
      </c>
      <c r="N441" s="169">
        <v>0.05</v>
      </c>
      <c r="O441" s="178">
        <f>+L441*M441*(1+N441)</f>
        <v>2020.4367753399356</v>
      </c>
      <c r="P441" s="341"/>
    </row>
    <row r="442" spans="1:16" x14ac:dyDescent="0.25">
      <c r="A442" s="133"/>
      <c r="B442" s="450" t="s">
        <v>5755</v>
      </c>
      <c r="C442" s="202" t="s">
        <v>5487</v>
      </c>
      <c r="D442" s="202">
        <v>2052.5</v>
      </c>
      <c r="E442" s="228">
        <v>0.65</v>
      </c>
      <c r="F442" s="169">
        <v>0.05</v>
      </c>
      <c r="G442" s="178">
        <f>+D442*E442*(1+F442)</f>
        <v>1400.83125</v>
      </c>
      <c r="H442" s="341"/>
      <c r="I442" s="133"/>
      <c r="J442" s="450" t="s">
        <v>5755</v>
      </c>
      <c r="K442" s="202" t="s">
        <v>5487</v>
      </c>
      <c r="L442" s="202">
        <f>+D442*L441/D441</f>
        <v>4022.9</v>
      </c>
      <c r="M442" s="228">
        <v>0.65</v>
      </c>
      <c r="N442" s="169">
        <v>0.05</v>
      </c>
      <c r="O442" s="178">
        <f>+L442*M442*(1+N442)</f>
        <v>2745.6292500000004</v>
      </c>
      <c r="P442" s="341"/>
    </row>
    <row r="443" spans="1:16" x14ac:dyDescent="0.25">
      <c r="A443" s="133"/>
      <c r="B443" s="260"/>
      <c r="C443" s="202"/>
      <c r="D443" s="226"/>
      <c r="E443" s="376"/>
      <c r="F443" s="169"/>
      <c r="G443" s="377">
        <f>+E443*D443*(1+F443)</f>
        <v>0</v>
      </c>
      <c r="H443" s="341"/>
      <c r="I443" s="133"/>
      <c r="J443" s="260"/>
      <c r="K443" s="202"/>
      <c r="L443" s="226"/>
      <c r="M443" s="376"/>
      <c r="N443" s="169"/>
      <c r="O443" s="377"/>
      <c r="P443" s="341"/>
    </row>
    <row r="444" spans="1:16" x14ac:dyDescent="0.25">
      <c r="A444" s="133"/>
      <c r="B444" s="260"/>
      <c r="C444" s="226"/>
      <c r="D444" s="226"/>
      <c r="E444" s="346"/>
      <c r="F444" s="169"/>
      <c r="G444" s="377">
        <f>+E444*D444*(1+F444)</f>
        <v>0</v>
      </c>
      <c r="H444" s="341"/>
      <c r="I444" s="133"/>
      <c r="J444" s="260"/>
      <c r="K444" s="226"/>
      <c r="L444" s="226"/>
      <c r="M444" s="346"/>
      <c r="N444" s="169"/>
      <c r="O444" s="377"/>
      <c r="P444" s="341"/>
    </row>
    <row r="445" spans="1:16" x14ac:dyDescent="0.25">
      <c r="A445" s="133"/>
      <c r="B445" s="195"/>
      <c r="C445" s="226"/>
      <c r="D445" s="226"/>
      <c r="E445" s="346"/>
      <c r="F445" s="169"/>
      <c r="G445" s="351"/>
      <c r="H445" s="341"/>
      <c r="I445" s="133"/>
      <c r="J445" s="195"/>
      <c r="K445" s="226"/>
      <c r="L445" s="226"/>
      <c r="M445" s="346"/>
      <c r="N445" s="169"/>
      <c r="O445" s="351"/>
      <c r="P445" s="341"/>
    </row>
    <row r="446" spans="1:16" x14ac:dyDescent="0.25">
      <c r="A446" s="133"/>
      <c r="B446" s="194"/>
      <c r="C446" s="202"/>
      <c r="D446" s="202"/>
      <c r="E446" s="346"/>
      <c r="F446" s="169"/>
      <c r="G446" s="351"/>
      <c r="H446" s="341"/>
      <c r="I446" s="133"/>
      <c r="J446" s="194"/>
      <c r="K446" s="202"/>
      <c r="L446" s="202"/>
      <c r="M446" s="346"/>
      <c r="N446" s="169"/>
      <c r="O446" s="351"/>
      <c r="P446" s="341"/>
    </row>
    <row r="447" spans="1:16" x14ac:dyDescent="0.25">
      <c r="A447" s="133"/>
      <c r="B447" s="195"/>
      <c r="C447" s="226"/>
      <c r="D447" s="226"/>
      <c r="E447" s="346"/>
      <c r="F447" s="169"/>
      <c r="G447" s="351"/>
      <c r="H447" s="341"/>
      <c r="I447" s="133"/>
      <c r="J447" s="195"/>
      <c r="K447" s="226"/>
      <c r="L447" s="226"/>
      <c r="M447" s="346"/>
      <c r="N447" s="169"/>
      <c r="O447" s="351"/>
      <c r="P447" s="341"/>
    </row>
    <row r="448" spans="1:16" x14ac:dyDescent="0.25">
      <c r="A448" s="133"/>
      <c r="B448" s="195"/>
      <c r="C448" s="226"/>
      <c r="D448" s="226"/>
      <c r="E448" s="346"/>
      <c r="F448" s="169"/>
      <c r="G448" s="351"/>
      <c r="H448" s="341"/>
      <c r="I448" s="133"/>
      <c r="J448" s="195"/>
      <c r="K448" s="226"/>
      <c r="L448" s="226"/>
      <c r="M448" s="346"/>
      <c r="N448" s="169"/>
      <c r="O448" s="351"/>
      <c r="P448" s="341"/>
    </row>
    <row r="449" spans="1:16" x14ac:dyDescent="0.25">
      <c r="A449" s="133"/>
      <c r="B449" s="195"/>
      <c r="C449" s="232"/>
      <c r="D449" s="232"/>
      <c r="E449" s="232"/>
      <c r="F449" s="226"/>
      <c r="G449" s="344"/>
      <c r="H449" s="341"/>
      <c r="I449" s="133"/>
      <c r="J449" s="195"/>
      <c r="K449" s="232"/>
      <c r="L449" s="232"/>
      <c r="M449" s="232"/>
      <c r="N449" s="226"/>
      <c r="O449" s="344"/>
      <c r="P449" s="341"/>
    </row>
    <row r="450" spans="1:16" x14ac:dyDescent="0.25">
      <c r="A450" s="133"/>
      <c r="B450" s="195"/>
      <c r="C450" s="232"/>
      <c r="D450" s="232"/>
      <c r="E450" s="232"/>
      <c r="F450" s="226"/>
      <c r="G450" s="344"/>
      <c r="H450" s="341"/>
      <c r="I450" s="133"/>
      <c r="J450" s="195"/>
      <c r="K450" s="232"/>
      <c r="L450" s="232"/>
      <c r="M450" s="232"/>
      <c r="N450" s="226"/>
      <c r="O450" s="344"/>
      <c r="P450" s="341"/>
    </row>
    <row r="451" spans="1:16" x14ac:dyDescent="0.25">
      <c r="A451" s="133"/>
      <c r="B451" s="195"/>
      <c r="C451" s="232"/>
      <c r="D451" s="232"/>
      <c r="E451" s="232"/>
      <c r="F451" s="226"/>
      <c r="G451" s="344"/>
      <c r="H451" s="341"/>
      <c r="I451" s="133"/>
      <c r="J451" s="195"/>
      <c r="K451" s="232"/>
      <c r="L451" s="232"/>
      <c r="M451" s="232"/>
      <c r="N451" s="226"/>
      <c r="O451" s="344"/>
      <c r="P451" s="341"/>
    </row>
    <row r="452" spans="1:16" ht="15.75" thickBot="1" x14ac:dyDescent="0.3">
      <c r="A452" s="133"/>
      <c r="B452" s="195"/>
      <c r="C452" s="232"/>
      <c r="D452" s="232"/>
      <c r="E452" s="232"/>
      <c r="F452" s="226"/>
      <c r="G452" s="344"/>
      <c r="H452" s="341"/>
      <c r="I452" s="133"/>
      <c r="J452" s="195"/>
      <c r="K452" s="232"/>
      <c r="L452" s="232"/>
      <c r="M452" s="232"/>
      <c r="N452" s="226"/>
      <c r="O452" s="344"/>
      <c r="P452" s="341"/>
    </row>
    <row r="453" spans="1:16" ht="15.75" thickBot="1" x14ac:dyDescent="0.3">
      <c r="A453" s="133"/>
      <c r="B453" s="233"/>
      <c r="C453" s="234"/>
      <c r="D453" s="234"/>
      <c r="E453" s="234"/>
      <c r="F453" s="235"/>
      <c r="G453" s="347"/>
      <c r="H453" s="348">
        <f>+SUM(G441:G453)</f>
        <v>2431.6663394591505</v>
      </c>
      <c r="I453" s="133"/>
      <c r="J453" s="233"/>
      <c r="K453" s="234"/>
      <c r="L453" s="234"/>
      <c r="M453" s="234"/>
      <c r="N453" s="235"/>
      <c r="O453" s="347"/>
      <c r="P453" s="358">
        <f>+SUM(O441:O453)</f>
        <v>4766.0660253399365</v>
      </c>
    </row>
    <row r="454" spans="1:16" ht="15.75" thickBot="1" x14ac:dyDescent="0.3">
      <c r="A454" s="133"/>
      <c r="B454" s="238"/>
      <c r="C454" s="238"/>
      <c r="D454" s="238"/>
      <c r="E454" s="238"/>
      <c r="F454" s="239"/>
      <c r="G454" s="349"/>
      <c r="H454" s="350"/>
      <c r="I454" s="133"/>
      <c r="J454" s="238"/>
      <c r="K454" s="238"/>
      <c r="L454" s="238"/>
      <c r="M454" s="238"/>
      <c r="N454" s="239"/>
      <c r="O454" s="349"/>
      <c r="P454" s="350"/>
    </row>
    <row r="455" spans="1:16" ht="15.75" thickBot="1" x14ac:dyDescent="0.3">
      <c r="A455" s="133"/>
      <c r="B455" s="224" t="s">
        <v>5410</v>
      </c>
      <c r="C455" s="193" t="s">
        <v>867</v>
      </c>
      <c r="D455" s="193" t="s">
        <v>6</v>
      </c>
      <c r="E455" s="193" t="s">
        <v>870</v>
      </c>
      <c r="F455" s="193" t="s">
        <v>5411</v>
      </c>
      <c r="G455" s="343" t="s">
        <v>868</v>
      </c>
      <c r="H455" s="341"/>
      <c r="I455" s="133"/>
      <c r="J455" s="224" t="s">
        <v>5410</v>
      </c>
      <c r="K455" s="193" t="s">
        <v>867</v>
      </c>
      <c r="L455" s="193" t="s">
        <v>6</v>
      </c>
      <c r="M455" s="193" t="s">
        <v>870</v>
      </c>
      <c r="N455" s="193" t="s">
        <v>5411</v>
      </c>
      <c r="O455" s="343" t="s">
        <v>868</v>
      </c>
      <c r="P455" s="341"/>
    </row>
    <row r="456" spans="1:16" x14ac:dyDescent="0.25">
      <c r="A456" s="133"/>
      <c r="B456" s="245"/>
      <c r="C456" s="283"/>
      <c r="D456" s="283"/>
      <c r="E456" s="379"/>
      <c r="F456" s="283"/>
      <c r="G456" s="354"/>
      <c r="H456" s="355"/>
      <c r="I456" s="133"/>
      <c r="J456" s="245"/>
      <c r="K456" s="283"/>
      <c r="L456" s="283"/>
      <c r="M456" s="379"/>
      <c r="N456" s="283"/>
      <c r="O456" s="354"/>
      <c r="P456" s="355"/>
    </row>
    <row r="457" spans="1:16" x14ac:dyDescent="0.25">
      <c r="A457" s="133"/>
      <c r="B457" s="247"/>
      <c r="C457" s="286"/>
      <c r="D457" s="286"/>
      <c r="E457" s="380"/>
      <c r="F457" s="286"/>
      <c r="G457" s="351"/>
      <c r="H457" s="341"/>
      <c r="I457" s="133"/>
      <c r="J457" s="247"/>
      <c r="K457" s="286"/>
      <c r="L457" s="286"/>
      <c r="M457" s="380"/>
      <c r="N457" s="286"/>
      <c r="O457" s="351"/>
      <c r="P457" s="341"/>
    </row>
    <row r="458" spans="1:16" x14ac:dyDescent="0.25">
      <c r="A458" s="133"/>
      <c r="B458" s="247"/>
      <c r="C458" s="286"/>
      <c r="D458" s="286"/>
      <c r="E458" s="288"/>
      <c r="F458" s="286"/>
      <c r="G458" s="344"/>
      <c r="H458" s="341"/>
      <c r="I458" s="133"/>
      <c r="J458" s="247"/>
      <c r="K458" s="286"/>
      <c r="L458" s="286"/>
      <c r="M458" s="288"/>
      <c r="N458" s="286"/>
      <c r="O458" s="344"/>
      <c r="P458" s="341"/>
    </row>
    <row r="459" spans="1:16" x14ac:dyDescent="0.25">
      <c r="A459" s="133"/>
      <c r="B459" s="194"/>
      <c r="C459" s="248"/>
      <c r="D459" s="248"/>
      <c r="E459" s="248"/>
      <c r="F459" s="202"/>
      <c r="G459" s="344"/>
      <c r="H459" s="341"/>
      <c r="I459" s="133"/>
      <c r="J459" s="194"/>
      <c r="K459" s="248"/>
      <c r="L459" s="248"/>
      <c r="M459" s="248"/>
      <c r="N459" s="202"/>
      <c r="O459" s="344"/>
      <c r="P459" s="341"/>
    </row>
    <row r="460" spans="1:16" ht="15.75" thickBot="1" x14ac:dyDescent="0.3">
      <c r="A460" s="133"/>
      <c r="B460" s="195"/>
      <c r="C460" s="232"/>
      <c r="D460" s="232"/>
      <c r="E460" s="232"/>
      <c r="F460" s="226"/>
      <c r="G460" s="344"/>
      <c r="H460" s="341"/>
      <c r="I460" s="133"/>
      <c r="J460" s="195"/>
      <c r="K460" s="232"/>
      <c r="L460" s="232"/>
      <c r="M460" s="232"/>
      <c r="N460" s="226"/>
      <c r="O460" s="344"/>
      <c r="P460" s="341"/>
    </row>
    <row r="461" spans="1:16" ht="15.75" thickBot="1" x14ac:dyDescent="0.3">
      <c r="A461" s="133"/>
      <c r="B461" s="233"/>
      <c r="C461" s="234"/>
      <c r="D461" s="234"/>
      <c r="E461" s="234"/>
      <c r="F461" s="235"/>
      <c r="G461" s="347"/>
      <c r="H461" s="348">
        <f>+SUM(G456:G461)</f>
        <v>0</v>
      </c>
      <c r="I461" s="133"/>
      <c r="J461" s="233"/>
      <c r="K461" s="234"/>
      <c r="L461" s="234"/>
      <c r="M461" s="234"/>
      <c r="N461" s="235"/>
      <c r="O461" s="347"/>
      <c r="P461" s="348">
        <f>+SUM(O456:O461)</f>
        <v>0</v>
      </c>
    </row>
    <row r="462" spans="1:16" ht="15.75" thickBot="1" x14ac:dyDescent="0.3">
      <c r="A462" s="133"/>
      <c r="B462" s="238"/>
      <c r="C462" s="238"/>
      <c r="D462" s="238"/>
      <c r="E462" s="238"/>
      <c r="F462" s="249"/>
      <c r="G462" s="356"/>
      <c r="H462" s="350"/>
      <c r="I462" s="133"/>
      <c r="J462" s="238"/>
      <c r="K462" s="238"/>
      <c r="L462" s="238"/>
      <c r="M462" s="238"/>
      <c r="N462" s="249"/>
      <c r="O462" s="356"/>
      <c r="P462" s="350"/>
    </row>
    <row r="463" spans="1:16" ht="15.75" thickBot="1" x14ac:dyDescent="0.3">
      <c r="A463" s="133"/>
      <c r="B463" s="224" t="s">
        <v>5412</v>
      </c>
      <c r="C463" s="193" t="s">
        <v>5420</v>
      </c>
      <c r="D463" s="193" t="s">
        <v>5421</v>
      </c>
      <c r="E463" s="193" t="s">
        <v>5413</v>
      </c>
      <c r="F463" s="193" t="s">
        <v>5405</v>
      </c>
      <c r="G463" s="343" t="s">
        <v>868</v>
      </c>
      <c r="H463" s="341"/>
      <c r="I463" s="133"/>
      <c r="J463" s="224" t="s">
        <v>5412</v>
      </c>
      <c r="K463" s="193" t="s">
        <v>5420</v>
      </c>
      <c r="L463" s="193" t="s">
        <v>5421</v>
      </c>
      <c r="M463" s="193" t="s">
        <v>5413</v>
      </c>
      <c r="N463" s="193" t="s">
        <v>5405</v>
      </c>
      <c r="O463" s="343" t="s">
        <v>868</v>
      </c>
      <c r="P463" s="341"/>
    </row>
    <row r="464" spans="1:16" x14ac:dyDescent="0.25">
      <c r="A464" s="133"/>
      <c r="B464" s="381" t="s">
        <v>5948</v>
      </c>
      <c r="C464" s="345">
        <v>70000</v>
      </c>
      <c r="D464" s="345">
        <f>+C464*0.85</f>
        <v>59500</v>
      </c>
      <c r="E464" s="345">
        <f>+C464+D464</f>
        <v>129500</v>
      </c>
      <c r="F464" s="204">
        <v>1000</v>
      </c>
      <c r="G464" s="351">
        <f>+E464/F464</f>
        <v>129.5</v>
      </c>
      <c r="H464" s="341"/>
      <c r="I464" s="133"/>
      <c r="J464" s="381" t="s">
        <v>5948</v>
      </c>
      <c r="K464" s="345">
        <v>70000</v>
      </c>
      <c r="L464" s="345">
        <f>+K464*0.85</f>
        <v>59500</v>
      </c>
      <c r="M464" s="345">
        <f>+K464+L464</f>
        <v>129500</v>
      </c>
      <c r="N464" s="204">
        <v>1000</v>
      </c>
      <c r="O464" s="351">
        <f>+M464/N464</f>
        <v>129.5</v>
      </c>
      <c r="P464" s="341"/>
    </row>
    <row r="465" spans="1:16" x14ac:dyDescent="0.25">
      <c r="A465" s="133"/>
      <c r="B465" s="385" t="s">
        <v>5949</v>
      </c>
      <c r="C465" s="345">
        <v>40000</v>
      </c>
      <c r="D465" s="345">
        <f>+C465*0.85</f>
        <v>34000</v>
      </c>
      <c r="E465" s="345">
        <f>+C465+D465</f>
        <v>74000</v>
      </c>
      <c r="F465" s="202">
        <v>20</v>
      </c>
      <c r="G465" s="351">
        <f>+E465/F465</f>
        <v>3700</v>
      </c>
      <c r="H465" s="341"/>
      <c r="I465" s="133"/>
      <c r="J465" s="385" t="s">
        <v>5949</v>
      </c>
      <c r="K465" s="345">
        <v>40000</v>
      </c>
      <c r="L465" s="345">
        <f>+K465*0.85</f>
        <v>34000</v>
      </c>
      <c r="M465" s="345">
        <f>+K465+L465</f>
        <v>74000</v>
      </c>
      <c r="N465" s="202">
        <v>20</v>
      </c>
      <c r="O465" s="351">
        <f>+M465/N465</f>
        <v>3700</v>
      </c>
      <c r="P465" s="341"/>
    </row>
    <row r="466" spans="1:16" x14ac:dyDescent="0.25">
      <c r="A466" s="133"/>
      <c r="B466" s="385" t="s">
        <v>5950</v>
      </c>
      <c r="C466" s="345">
        <v>20600</v>
      </c>
      <c r="D466" s="345">
        <f>+C466*0.85</f>
        <v>17510</v>
      </c>
      <c r="E466" s="345">
        <f>+C466+D466</f>
        <v>38110</v>
      </c>
      <c r="F466" s="226">
        <v>2</v>
      </c>
      <c r="G466" s="351">
        <f>+E466/F466</f>
        <v>19055</v>
      </c>
      <c r="H466" s="341"/>
      <c r="I466" s="133"/>
      <c r="J466" s="385" t="s">
        <v>5950</v>
      </c>
      <c r="K466" s="345">
        <v>20600</v>
      </c>
      <c r="L466" s="345">
        <f>+K466*0.85</f>
        <v>17510</v>
      </c>
      <c r="M466" s="345">
        <f>+K466+L466</f>
        <v>38110</v>
      </c>
      <c r="N466" s="226">
        <v>2</v>
      </c>
      <c r="O466" s="351">
        <f>+M466/N466</f>
        <v>19055</v>
      </c>
      <c r="P466" s="341"/>
    </row>
    <row r="467" spans="1:16" x14ac:dyDescent="0.25">
      <c r="A467" s="133"/>
      <c r="B467" s="195"/>
      <c r="C467" s="346"/>
      <c r="D467" s="345"/>
      <c r="E467" s="345"/>
      <c r="F467" s="226"/>
      <c r="G467" s="351"/>
      <c r="H467" s="341"/>
      <c r="I467" s="133"/>
      <c r="J467" s="195"/>
      <c r="K467" s="346"/>
      <c r="L467" s="345"/>
      <c r="M467" s="345"/>
      <c r="N467" s="226"/>
      <c r="O467" s="351"/>
      <c r="P467" s="341"/>
    </row>
    <row r="468" spans="1:16" x14ac:dyDescent="0.25">
      <c r="A468" s="133"/>
      <c r="B468" s="195"/>
      <c r="C468" s="232"/>
      <c r="D468" s="232"/>
      <c r="E468" s="232"/>
      <c r="F468" s="226"/>
      <c r="G468" s="344"/>
      <c r="H468" s="341"/>
      <c r="I468" s="133"/>
      <c r="J468" s="195"/>
      <c r="K468" s="232"/>
      <c r="L468" s="232"/>
      <c r="M468" s="232"/>
      <c r="N468" s="226"/>
      <c r="O468" s="344"/>
      <c r="P468" s="341"/>
    </row>
    <row r="469" spans="1:16" ht="15.75" thickBot="1" x14ac:dyDescent="0.3">
      <c r="A469" s="133"/>
      <c r="B469" s="195"/>
      <c r="C469" s="232"/>
      <c r="D469" s="232"/>
      <c r="E469" s="232"/>
      <c r="F469" s="226"/>
      <c r="G469" s="344"/>
      <c r="H469" s="341"/>
      <c r="I469" s="133"/>
      <c r="J469" s="195"/>
      <c r="K469" s="232"/>
      <c r="L469" s="232"/>
      <c r="M469" s="232"/>
      <c r="N469" s="226"/>
      <c r="O469" s="344"/>
      <c r="P469" s="341"/>
    </row>
    <row r="470" spans="1:16" ht="15.75" thickBot="1" x14ac:dyDescent="0.3">
      <c r="A470" s="133"/>
      <c r="B470" s="251"/>
      <c r="C470" s="252"/>
      <c r="D470" s="252"/>
      <c r="E470" s="252"/>
      <c r="F470" s="253"/>
      <c r="G470" s="357"/>
      <c r="H470" s="348">
        <f>+SUM(G464:G470)</f>
        <v>22884.5</v>
      </c>
      <c r="I470" s="133"/>
      <c r="J470" s="251"/>
      <c r="K470" s="252"/>
      <c r="L470" s="252"/>
      <c r="M470" s="252"/>
      <c r="N470" s="253"/>
      <c r="O470" s="357"/>
      <c r="P470" s="358">
        <f>+SUM(O464:O470)</f>
        <v>22884.5</v>
      </c>
    </row>
    <row r="471" spans="1:16" ht="15.75" thickBot="1" x14ac:dyDescent="0.3">
      <c r="A471" s="133"/>
      <c r="B471" s="8"/>
      <c r="C471" s="8"/>
      <c r="D471" s="8"/>
      <c r="E471" s="8"/>
      <c r="F471" s="133"/>
      <c r="G471" s="341"/>
      <c r="H471" s="341"/>
      <c r="I471" s="133"/>
      <c r="J471" s="8"/>
      <c r="K471" s="8"/>
      <c r="L471" s="8"/>
      <c r="M471" s="8"/>
      <c r="N471" s="133"/>
      <c r="O471" s="341"/>
      <c r="P471" s="341"/>
    </row>
    <row r="472" spans="1:16" ht="15.75" thickBot="1" x14ac:dyDescent="0.3">
      <c r="A472" s="133"/>
      <c r="B472" s="8"/>
      <c r="C472" s="8"/>
      <c r="D472" s="8"/>
      <c r="E472" s="223" t="s">
        <v>5415</v>
      </c>
      <c r="F472" s="133"/>
      <c r="G472" s="341"/>
      <c r="H472" s="348">
        <f>ROUND(+H470+H461+H453+H438,0)</f>
        <v>46105</v>
      </c>
      <c r="I472" s="133"/>
      <c r="J472" s="8"/>
      <c r="K472" s="8"/>
      <c r="L472" s="8"/>
      <c r="M472" s="223" t="s">
        <v>5415</v>
      </c>
      <c r="N472" s="133"/>
      <c r="O472" s="341"/>
      <c r="P472" s="358">
        <f>ROUND(+P470+P461+P453+P438,0)</f>
        <v>49839</v>
      </c>
    </row>
    <row r="477" spans="1:16" ht="18.75" x14ac:dyDescent="0.25">
      <c r="A477" s="133"/>
      <c r="B477" s="2506" t="s">
        <v>5400</v>
      </c>
      <c r="C477" s="2506"/>
      <c r="D477" s="2506"/>
      <c r="E477" s="2506"/>
      <c r="F477" s="2506"/>
      <c r="G477" s="2506"/>
      <c r="H477" s="2506"/>
    </row>
    <row r="478" spans="1:16" x14ac:dyDescent="0.25">
      <c r="A478" s="133"/>
      <c r="B478" s="8"/>
      <c r="C478" s="8"/>
      <c r="D478" s="8"/>
      <c r="E478" s="8"/>
      <c r="F478" s="133"/>
      <c r="G478" s="341"/>
      <c r="H478" s="341"/>
    </row>
    <row r="479" spans="1:16" x14ac:dyDescent="0.25">
      <c r="A479" s="133"/>
      <c r="B479" s="8"/>
      <c r="C479" s="8"/>
      <c r="D479" s="8"/>
      <c r="E479" s="8"/>
      <c r="F479" s="133"/>
      <c r="G479" s="341"/>
      <c r="H479" s="341"/>
    </row>
    <row r="480" spans="1:16" x14ac:dyDescent="0.25">
      <c r="A480" s="133"/>
      <c r="B480" s="8"/>
      <c r="C480" s="8"/>
      <c r="D480" s="8"/>
      <c r="E480" s="8"/>
      <c r="F480" s="133"/>
      <c r="G480" s="341"/>
      <c r="H480" s="341"/>
    </row>
    <row r="481" spans="1:8" ht="15" customHeight="1" x14ac:dyDescent="0.25">
      <c r="A481" s="220" t="s">
        <v>5482</v>
      </c>
      <c r="B481" s="138"/>
      <c r="C481" s="2510" t="s">
        <v>6391</v>
      </c>
      <c r="D481" s="2511"/>
      <c r="E481" s="2511"/>
      <c r="F481" s="220" t="s">
        <v>867</v>
      </c>
      <c r="G481" s="342" t="s">
        <v>5402</v>
      </c>
      <c r="H481" s="341"/>
    </row>
    <row r="482" spans="1:8" x14ac:dyDescent="0.25">
      <c r="A482" s="133"/>
      <c r="B482" s="8"/>
      <c r="C482" s="223"/>
      <c r="D482" s="223"/>
      <c r="E482" s="223"/>
      <c r="F482" s="133"/>
      <c r="G482" s="341"/>
      <c r="H482" s="341"/>
    </row>
    <row r="483" spans="1:8" x14ac:dyDescent="0.25">
      <c r="A483" s="133"/>
      <c r="B483" s="8"/>
      <c r="C483" s="8"/>
      <c r="D483" s="8"/>
      <c r="E483" s="8"/>
      <c r="F483" s="8"/>
      <c r="G483" s="8"/>
      <c r="H483" s="341"/>
    </row>
    <row r="484" spans="1:8" ht="15.75" thickBot="1" x14ac:dyDescent="0.3">
      <c r="A484" s="133"/>
      <c r="B484" s="8"/>
      <c r="C484" s="8"/>
      <c r="D484" s="8"/>
      <c r="E484" s="8"/>
      <c r="F484" s="133"/>
      <c r="G484" s="341"/>
      <c r="H484" s="341"/>
    </row>
    <row r="485" spans="1:8" ht="15.75" thickBot="1" x14ac:dyDescent="0.3">
      <c r="A485" s="133"/>
      <c r="B485" s="224" t="s">
        <v>5403</v>
      </c>
      <c r="C485" s="193" t="s">
        <v>867</v>
      </c>
      <c r="D485" s="193" t="s">
        <v>6</v>
      </c>
      <c r="E485" s="193" t="s">
        <v>5439</v>
      </c>
      <c r="F485" s="193" t="s">
        <v>5405</v>
      </c>
      <c r="G485" s="343" t="s">
        <v>868</v>
      </c>
      <c r="H485" s="341"/>
    </row>
    <row r="486" spans="1:8" x14ac:dyDescent="0.25">
      <c r="A486" s="133"/>
      <c r="B486" s="146" t="s">
        <v>5934</v>
      </c>
      <c r="C486" s="226" t="s">
        <v>5402</v>
      </c>
      <c r="D486" s="226">
        <v>1</v>
      </c>
      <c r="E486" s="372">
        <f>+H524</f>
        <v>191419.5</v>
      </c>
      <c r="F486" s="226">
        <v>0.1</v>
      </c>
      <c r="G486" s="373">
        <f>+E486*F486</f>
        <v>19141.95</v>
      </c>
      <c r="H486" s="341"/>
    </row>
    <row r="487" spans="1:8" x14ac:dyDescent="0.25">
      <c r="A487" s="133"/>
      <c r="B487" s="195" t="s">
        <v>5646</v>
      </c>
      <c r="C487" s="226" t="s">
        <v>5424</v>
      </c>
      <c r="D487" s="226">
        <v>1</v>
      </c>
      <c r="E487" s="374">
        <v>180000</v>
      </c>
      <c r="F487" s="226">
        <v>8</v>
      </c>
      <c r="G487" s="344">
        <f>+E487*F487</f>
        <v>1440000</v>
      </c>
      <c r="H487" s="341"/>
    </row>
    <row r="488" spans="1:8" x14ac:dyDescent="0.25">
      <c r="A488" s="133"/>
      <c r="B488" s="195"/>
      <c r="C488" s="226"/>
      <c r="D488" s="226"/>
      <c r="E488" s="345"/>
      <c r="F488" s="226"/>
      <c r="G488" s="344"/>
      <c r="H488" s="341"/>
    </row>
    <row r="489" spans="1:8" x14ac:dyDescent="0.25">
      <c r="A489" s="133"/>
      <c r="B489" s="195"/>
      <c r="C489" s="226"/>
      <c r="D489" s="226"/>
      <c r="E489" s="346"/>
      <c r="F489" s="226"/>
      <c r="G489" s="375"/>
      <c r="H489" s="341"/>
    </row>
    <row r="490" spans="1:8" x14ac:dyDescent="0.25">
      <c r="A490" s="133"/>
      <c r="B490" s="195"/>
      <c r="C490" s="226"/>
      <c r="D490" s="232"/>
      <c r="E490" s="232"/>
      <c r="F490" s="226"/>
      <c r="G490" s="344"/>
      <c r="H490" s="341"/>
    </row>
    <row r="491" spans="1:8" ht="15.75" thickBot="1" x14ac:dyDescent="0.3">
      <c r="A491" s="133"/>
      <c r="B491" s="195"/>
      <c r="C491" s="226"/>
      <c r="D491" s="232"/>
      <c r="E491" s="232"/>
      <c r="F491" s="226"/>
      <c r="G491" s="344"/>
      <c r="H491" s="341"/>
    </row>
    <row r="492" spans="1:8" ht="15.75" thickBot="1" x14ac:dyDescent="0.3">
      <c r="A492" s="133"/>
      <c r="B492" s="233"/>
      <c r="C492" s="234"/>
      <c r="D492" s="234"/>
      <c r="E492" s="234"/>
      <c r="F492" s="235"/>
      <c r="G492" s="347"/>
      <c r="H492" s="348">
        <f>+SUM(G486:G492)</f>
        <v>1459141.95</v>
      </c>
    </row>
    <row r="493" spans="1:8" ht="15.75" thickBot="1" x14ac:dyDescent="0.3">
      <c r="A493" s="133"/>
      <c r="B493" s="238"/>
      <c r="C493" s="238"/>
      <c r="D493" s="238"/>
      <c r="E493" s="238"/>
      <c r="F493" s="239"/>
      <c r="G493" s="349"/>
      <c r="H493" s="350"/>
    </row>
    <row r="494" spans="1:8" ht="15.75" thickBot="1" x14ac:dyDescent="0.3">
      <c r="A494" s="133"/>
      <c r="B494" s="224" t="s">
        <v>5408</v>
      </c>
      <c r="C494" s="193" t="s">
        <v>867</v>
      </c>
      <c r="D494" s="193" t="s">
        <v>6</v>
      </c>
      <c r="E494" s="193" t="s">
        <v>870</v>
      </c>
      <c r="F494" s="193" t="s">
        <v>5409</v>
      </c>
      <c r="G494" s="343" t="s">
        <v>868</v>
      </c>
      <c r="H494" s="341"/>
    </row>
    <row r="495" spans="1:8" x14ac:dyDescent="0.25">
      <c r="A495" s="133"/>
      <c r="B495" s="295" t="s">
        <v>5553</v>
      </c>
      <c r="C495" s="202" t="s">
        <v>5488</v>
      </c>
      <c r="D495" s="226">
        <v>1000</v>
      </c>
      <c r="E495" s="332">
        <v>20</v>
      </c>
      <c r="F495" s="169">
        <v>0.05</v>
      </c>
      <c r="G495" s="178">
        <f>+D495*E495*(1+F495)</f>
        <v>21000</v>
      </c>
      <c r="H495" s="341"/>
    </row>
    <row r="496" spans="1:8" x14ac:dyDescent="0.25">
      <c r="A496" s="133"/>
      <c r="B496" s="450" t="s">
        <v>6392</v>
      </c>
      <c r="C496" s="202" t="s">
        <v>5475</v>
      </c>
      <c r="D496" s="202"/>
      <c r="E496" s="228"/>
      <c r="F496" s="169"/>
      <c r="G496" s="178">
        <v>15000</v>
      </c>
      <c r="H496" s="341"/>
    </row>
    <row r="497" spans="1:8" x14ac:dyDescent="0.25">
      <c r="A497" s="133"/>
      <c r="B497" s="260"/>
      <c r="C497" s="202"/>
      <c r="D497" s="226"/>
      <c r="E497" s="376"/>
      <c r="F497" s="169"/>
      <c r="G497" s="377"/>
      <c r="H497" s="341"/>
    </row>
    <row r="498" spans="1:8" x14ac:dyDescent="0.25">
      <c r="A498" s="133"/>
      <c r="B498" s="260"/>
      <c r="C498" s="226"/>
      <c r="D498" s="226"/>
      <c r="E498" s="346"/>
      <c r="F498" s="169"/>
      <c r="G498" s="377"/>
      <c r="H498" s="341"/>
    </row>
    <row r="499" spans="1:8" x14ac:dyDescent="0.25">
      <c r="A499" s="133"/>
      <c r="B499" s="195"/>
      <c r="C499" s="226"/>
      <c r="D499" s="226"/>
      <c r="E499" s="346"/>
      <c r="F499" s="169"/>
      <c r="G499" s="351"/>
      <c r="H499" s="341"/>
    </row>
    <row r="500" spans="1:8" x14ac:dyDescent="0.25">
      <c r="A500" s="133"/>
      <c r="B500" s="194"/>
      <c r="C500" s="202"/>
      <c r="D500" s="202"/>
      <c r="E500" s="346"/>
      <c r="F500" s="169"/>
      <c r="G500" s="351"/>
      <c r="H500" s="341"/>
    </row>
    <row r="501" spans="1:8" x14ac:dyDescent="0.25">
      <c r="A501" s="133"/>
      <c r="B501" s="195"/>
      <c r="C501" s="226"/>
      <c r="D501" s="226"/>
      <c r="E501" s="346"/>
      <c r="F501" s="169"/>
      <c r="G501" s="351"/>
      <c r="H501" s="341"/>
    </row>
    <row r="502" spans="1:8" x14ac:dyDescent="0.25">
      <c r="A502" s="133"/>
      <c r="B502" s="195"/>
      <c r="C502" s="226"/>
      <c r="D502" s="226"/>
      <c r="E502" s="346"/>
      <c r="F502" s="169"/>
      <c r="G502" s="351"/>
      <c r="H502" s="341"/>
    </row>
    <row r="503" spans="1:8" x14ac:dyDescent="0.25">
      <c r="A503" s="133"/>
      <c r="B503" s="195"/>
      <c r="C503" s="232"/>
      <c r="D503" s="232"/>
      <c r="E503" s="232"/>
      <c r="F503" s="226"/>
      <c r="G503" s="344"/>
      <c r="H503" s="341"/>
    </row>
    <row r="504" spans="1:8" x14ac:dyDescent="0.25">
      <c r="A504" s="133"/>
      <c r="B504" s="195"/>
      <c r="C504" s="232"/>
      <c r="D504" s="232"/>
      <c r="E504" s="232"/>
      <c r="F504" s="226"/>
      <c r="G504" s="344"/>
      <c r="H504" s="341"/>
    </row>
    <row r="505" spans="1:8" x14ac:dyDescent="0.25">
      <c r="A505" s="133"/>
      <c r="B505" s="195"/>
      <c r="C505" s="232"/>
      <c r="D505" s="232"/>
      <c r="E505" s="232"/>
      <c r="F505" s="226"/>
      <c r="G505" s="344"/>
      <c r="H505" s="341"/>
    </row>
    <row r="506" spans="1:8" ht="15.75" thickBot="1" x14ac:dyDescent="0.3">
      <c r="A506" s="133"/>
      <c r="B506" s="195"/>
      <c r="C506" s="232"/>
      <c r="D506" s="232"/>
      <c r="E506" s="232"/>
      <c r="F506" s="226"/>
      <c r="G506" s="344"/>
      <c r="H506" s="341"/>
    </row>
    <row r="507" spans="1:8" ht="15.75" thickBot="1" x14ac:dyDescent="0.3">
      <c r="A507" s="133"/>
      <c r="B507" s="233"/>
      <c r="C507" s="234"/>
      <c r="D507" s="234"/>
      <c r="E507" s="234"/>
      <c r="F507" s="235"/>
      <c r="G507" s="347"/>
      <c r="H507" s="358">
        <f>+SUM(G495:G507)</f>
        <v>36000</v>
      </c>
    </row>
    <row r="508" spans="1:8" ht="15.75" thickBot="1" x14ac:dyDescent="0.3">
      <c r="A508" s="133"/>
      <c r="B508" s="238"/>
      <c r="C508" s="238"/>
      <c r="D508" s="238"/>
      <c r="E508" s="238"/>
      <c r="F508" s="239"/>
      <c r="G508" s="349"/>
      <c r="H508" s="350"/>
    </row>
    <row r="509" spans="1:8" ht="15.75" thickBot="1" x14ac:dyDescent="0.3">
      <c r="A509" s="133"/>
      <c r="B509" s="224" t="s">
        <v>5410</v>
      </c>
      <c r="C509" s="193" t="s">
        <v>867</v>
      </c>
      <c r="D509" s="193" t="s">
        <v>6</v>
      </c>
      <c r="E509" s="193" t="s">
        <v>870</v>
      </c>
      <c r="F509" s="193" t="s">
        <v>5411</v>
      </c>
      <c r="G509" s="343" t="s">
        <v>868</v>
      </c>
      <c r="H509" s="341"/>
    </row>
    <row r="510" spans="1:8" x14ac:dyDescent="0.25">
      <c r="A510" s="133"/>
      <c r="B510" s="245" t="s">
        <v>6393</v>
      </c>
      <c r="C510" s="283" t="s">
        <v>5424</v>
      </c>
      <c r="D510" s="283">
        <v>1</v>
      </c>
      <c r="E510" s="379">
        <v>450000</v>
      </c>
      <c r="F510" s="283">
        <v>1</v>
      </c>
      <c r="G510" s="354">
        <f>+D510*E510*F510</f>
        <v>450000</v>
      </c>
      <c r="H510" s="355"/>
    </row>
    <row r="511" spans="1:8" x14ac:dyDescent="0.25">
      <c r="A511" s="133"/>
      <c r="B511" s="247"/>
      <c r="C511" s="286"/>
      <c r="D511" s="286"/>
      <c r="E511" s="380"/>
      <c r="F511" s="286"/>
      <c r="G511" s="351"/>
      <c r="H511" s="341"/>
    </row>
    <row r="512" spans="1:8" x14ac:dyDescent="0.25">
      <c r="A512" s="133"/>
      <c r="B512" s="247"/>
      <c r="C512" s="286"/>
      <c r="D512" s="286"/>
      <c r="E512" s="288"/>
      <c r="F512" s="286"/>
      <c r="G512" s="344"/>
      <c r="H512" s="341"/>
    </row>
    <row r="513" spans="1:8" x14ac:dyDescent="0.25">
      <c r="A513" s="133"/>
      <c r="B513" s="194"/>
      <c r="C513" s="248"/>
      <c r="D513" s="248"/>
      <c r="E513" s="248"/>
      <c r="F513" s="202"/>
      <c r="G513" s="344"/>
      <c r="H513" s="341"/>
    </row>
    <row r="514" spans="1:8" ht="15.75" thickBot="1" x14ac:dyDescent="0.3">
      <c r="A514" s="133"/>
      <c r="B514" s="195"/>
      <c r="C514" s="232"/>
      <c r="D514" s="232"/>
      <c r="E514" s="232"/>
      <c r="F514" s="226"/>
      <c r="G514" s="344"/>
      <c r="H514" s="341"/>
    </row>
    <row r="515" spans="1:8" ht="15.75" thickBot="1" x14ac:dyDescent="0.3">
      <c r="A515" s="133"/>
      <c r="B515" s="233"/>
      <c r="C515" s="234"/>
      <c r="D515" s="234"/>
      <c r="E515" s="234"/>
      <c r="F515" s="235"/>
      <c r="G515" s="347"/>
      <c r="H515" s="348">
        <f>+SUM(G510:G515)</f>
        <v>450000</v>
      </c>
    </row>
    <row r="516" spans="1:8" ht="15.75" thickBot="1" x14ac:dyDescent="0.3">
      <c r="A516" s="133"/>
      <c r="B516" s="238"/>
      <c r="C516" s="238"/>
      <c r="D516" s="238"/>
      <c r="E516" s="238"/>
      <c r="F516" s="249"/>
      <c r="G516" s="356"/>
      <c r="H516" s="350"/>
    </row>
    <row r="517" spans="1:8" ht="15.75" thickBot="1" x14ac:dyDescent="0.3">
      <c r="A517" s="133"/>
      <c r="B517" s="224" t="s">
        <v>5412</v>
      </c>
      <c r="C517" s="193" t="s">
        <v>5420</v>
      </c>
      <c r="D517" s="193" t="s">
        <v>5421</v>
      </c>
      <c r="E517" s="193" t="s">
        <v>5413</v>
      </c>
      <c r="F517" s="193" t="s">
        <v>5405</v>
      </c>
      <c r="G517" s="343" t="s">
        <v>868</v>
      </c>
      <c r="H517" s="341"/>
    </row>
    <row r="518" spans="1:8" x14ac:dyDescent="0.25">
      <c r="A518" s="133"/>
      <c r="B518" s="381" t="s">
        <v>5948</v>
      </c>
      <c r="C518" s="345">
        <v>70000</v>
      </c>
      <c r="D518" s="345">
        <f>+C518*0.85</f>
        <v>59500</v>
      </c>
      <c r="E518" s="345">
        <f>+C518+D518</f>
        <v>129500</v>
      </c>
      <c r="F518" s="204">
        <v>1000</v>
      </c>
      <c r="G518" s="351">
        <f>+E518/F518</f>
        <v>129.5</v>
      </c>
      <c r="H518" s="341"/>
    </row>
    <row r="519" spans="1:8" x14ac:dyDescent="0.25">
      <c r="A519" s="133"/>
      <c r="B519" s="385" t="s">
        <v>5949</v>
      </c>
      <c r="C519" s="345">
        <v>40000</v>
      </c>
      <c r="D519" s="345">
        <f>+C519*0.85</f>
        <v>34000</v>
      </c>
      <c r="E519" s="345">
        <f>+C519+D519</f>
        <v>74000</v>
      </c>
      <c r="F519" s="202">
        <v>100</v>
      </c>
      <c r="G519" s="351">
        <f>+E519/F519</f>
        <v>740</v>
      </c>
      <c r="H519" s="341"/>
    </row>
    <row r="520" spans="1:8" x14ac:dyDescent="0.25">
      <c r="A520" s="133"/>
      <c r="B520" s="385" t="s">
        <v>5950</v>
      </c>
      <c r="C520" s="345">
        <v>20600</v>
      </c>
      <c r="D520" s="345">
        <f>+C520*0.85</f>
        <v>17510</v>
      </c>
      <c r="E520" s="345">
        <f>+C520+D520</f>
        <v>38110</v>
      </c>
      <c r="F520" s="226">
        <v>0.2</v>
      </c>
      <c r="G520" s="351">
        <f>+E520/F520</f>
        <v>190550</v>
      </c>
      <c r="H520" s="341"/>
    </row>
    <row r="521" spans="1:8" x14ac:dyDescent="0.25">
      <c r="A521" s="133"/>
      <c r="B521" s="195"/>
      <c r="C521" s="346"/>
      <c r="D521" s="345"/>
      <c r="E521" s="345"/>
      <c r="F521" s="226"/>
      <c r="G521" s="351"/>
      <c r="H521" s="341"/>
    </row>
    <row r="522" spans="1:8" x14ac:dyDescent="0.25">
      <c r="A522" s="133"/>
      <c r="B522" s="195"/>
      <c r="C522" s="232"/>
      <c r="D522" s="232"/>
      <c r="E522" s="232"/>
      <c r="F522" s="226"/>
      <c r="G522" s="344"/>
      <c r="H522" s="341"/>
    </row>
    <row r="523" spans="1:8" ht="15.75" thickBot="1" x14ac:dyDescent="0.3">
      <c r="A523" s="133"/>
      <c r="B523" s="195"/>
      <c r="C523" s="232"/>
      <c r="D523" s="232"/>
      <c r="E523" s="232"/>
      <c r="F523" s="226"/>
      <c r="G523" s="344"/>
      <c r="H523" s="341"/>
    </row>
    <row r="524" spans="1:8" ht="15.75" thickBot="1" x14ac:dyDescent="0.3">
      <c r="A524" s="133"/>
      <c r="B524" s="251"/>
      <c r="C524" s="252"/>
      <c r="D524" s="252"/>
      <c r="E524" s="252"/>
      <c r="F524" s="253"/>
      <c r="G524" s="357"/>
      <c r="H524" s="358">
        <f>+SUM(G518:G524)</f>
        <v>191419.5</v>
      </c>
    </row>
    <row r="525" spans="1:8" ht="15.75" thickBot="1" x14ac:dyDescent="0.3">
      <c r="A525" s="133"/>
      <c r="B525" s="8"/>
      <c r="C525" s="8"/>
      <c r="D525" s="8"/>
      <c r="E525" s="8"/>
      <c r="F525" s="133"/>
      <c r="G525" s="341"/>
      <c r="H525" s="341"/>
    </row>
    <row r="526" spans="1:8" ht="15.75" thickBot="1" x14ac:dyDescent="0.3">
      <c r="A526" s="133"/>
      <c r="B526" s="8"/>
      <c r="C526" s="8"/>
      <c r="D526" s="8"/>
      <c r="E526" s="223" t="s">
        <v>5415</v>
      </c>
      <c r="F526" s="133"/>
      <c r="G526" s="341"/>
      <c r="H526" s="358">
        <f>ROUND(+H524+H515+H507+H492,0)</f>
        <v>2136561</v>
      </c>
    </row>
    <row r="531" spans="1:8" ht="18.75" x14ac:dyDescent="0.25">
      <c r="A531" s="133"/>
      <c r="B531" s="2506" t="s">
        <v>5400</v>
      </c>
      <c r="C531" s="2506"/>
      <c r="D531" s="2506"/>
      <c r="E531" s="2506"/>
      <c r="F531" s="2506"/>
      <c r="G531" s="2506"/>
      <c r="H531" s="2506"/>
    </row>
    <row r="532" spans="1:8" x14ac:dyDescent="0.25">
      <c r="A532" s="133"/>
      <c r="B532" s="8"/>
      <c r="C532" s="8"/>
      <c r="D532" s="8"/>
      <c r="E532" s="8"/>
      <c r="F532" s="133"/>
      <c r="G532" s="341"/>
      <c r="H532" s="341"/>
    </row>
    <row r="533" spans="1:8" x14ac:dyDescent="0.25">
      <c r="A533" s="133"/>
      <c r="B533" s="8"/>
      <c r="C533" s="8"/>
      <c r="D533" s="8"/>
      <c r="E533" s="8"/>
      <c r="F533" s="133"/>
      <c r="G533" s="341"/>
      <c r="H533" s="341"/>
    </row>
    <row r="534" spans="1:8" x14ac:dyDescent="0.25">
      <c r="A534" s="133"/>
      <c r="B534" s="8"/>
      <c r="C534" s="8"/>
      <c r="D534" s="8"/>
      <c r="E534" s="8"/>
      <c r="F534" s="133"/>
      <c r="G534" s="341"/>
      <c r="H534" s="341"/>
    </row>
    <row r="535" spans="1:8" ht="24.95" customHeight="1" x14ac:dyDescent="0.25">
      <c r="A535" s="220" t="s">
        <v>5482</v>
      </c>
      <c r="B535" s="138"/>
      <c r="C535" s="2514" t="s">
        <v>6408</v>
      </c>
      <c r="D535" s="2515"/>
      <c r="E535" s="2515"/>
      <c r="F535" s="220" t="s">
        <v>867</v>
      </c>
      <c r="G535" s="342" t="s">
        <v>5402</v>
      </c>
      <c r="H535" s="341"/>
    </row>
    <row r="536" spans="1:8" x14ac:dyDescent="0.25">
      <c r="A536" s="133"/>
      <c r="B536" s="8"/>
      <c r="C536" s="223"/>
      <c r="D536" s="223"/>
      <c r="E536" s="223"/>
      <c r="F536" s="133"/>
      <c r="G536" s="341"/>
      <c r="H536" s="341"/>
    </row>
    <row r="537" spans="1:8" x14ac:dyDescent="0.25">
      <c r="A537" s="133"/>
      <c r="B537" s="8"/>
      <c r="C537" s="8"/>
      <c r="D537" s="8"/>
      <c r="E537" s="8"/>
      <c r="F537" s="8"/>
      <c r="G537" s="8"/>
      <c r="H537" s="341"/>
    </row>
    <row r="538" spans="1:8" ht="15.75" thickBot="1" x14ac:dyDescent="0.3">
      <c r="A538" s="133"/>
      <c r="B538" s="8"/>
      <c r="C538" s="8"/>
      <c r="D538" s="8"/>
      <c r="E538" s="8"/>
      <c r="F538" s="133"/>
      <c r="G538" s="341"/>
      <c r="H538" s="341"/>
    </row>
    <row r="539" spans="1:8" ht="15.75" thickBot="1" x14ac:dyDescent="0.3">
      <c r="A539" s="133"/>
      <c r="B539" s="224" t="s">
        <v>5403</v>
      </c>
      <c r="C539" s="193" t="s">
        <v>867</v>
      </c>
      <c r="D539" s="193" t="s">
        <v>6</v>
      </c>
      <c r="E539" s="193" t="s">
        <v>5439</v>
      </c>
      <c r="F539" s="193" t="s">
        <v>5405</v>
      </c>
      <c r="G539" s="343" t="s">
        <v>868</v>
      </c>
      <c r="H539" s="341"/>
    </row>
    <row r="540" spans="1:8" x14ac:dyDescent="0.25">
      <c r="A540" s="133"/>
      <c r="B540" s="146" t="s">
        <v>5934</v>
      </c>
      <c r="C540" s="226" t="s">
        <v>5402</v>
      </c>
      <c r="D540" s="226">
        <v>1</v>
      </c>
      <c r="E540" s="372">
        <f>+H578</f>
        <v>595.08333333333326</v>
      </c>
      <c r="F540" s="226">
        <v>0.1</v>
      </c>
      <c r="G540" s="373">
        <f>+E540*F540</f>
        <v>59.508333333333326</v>
      </c>
      <c r="H540" s="341"/>
    </row>
    <row r="541" spans="1:8" x14ac:dyDescent="0.25">
      <c r="A541" s="133"/>
      <c r="B541" s="195" t="s">
        <v>5646</v>
      </c>
      <c r="C541" s="226" t="s">
        <v>5424</v>
      </c>
      <c r="D541" s="226">
        <v>1</v>
      </c>
      <c r="E541" s="374">
        <v>180000</v>
      </c>
      <c r="F541" s="226">
        <v>5.0000000000000001E-3</v>
      </c>
      <c r="G541" s="344">
        <f>+E541*F541</f>
        <v>900</v>
      </c>
      <c r="H541" s="341"/>
    </row>
    <row r="542" spans="1:8" x14ac:dyDescent="0.25">
      <c r="A542" s="133"/>
      <c r="B542" s="195"/>
      <c r="C542" s="226"/>
      <c r="D542" s="226"/>
      <c r="E542" s="345"/>
      <c r="F542" s="226"/>
      <c r="G542" s="344"/>
      <c r="H542" s="341"/>
    </row>
    <row r="543" spans="1:8" x14ac:dyDescent="0.25">
      <c r="A543" s="133"/>
      <c r="B543" s="195"/>
      <c r="C543" s="226"/>
      <c r="D543" s="226"/>
      <c r="E543" s="346"/>
      <c r="F543" s="226"/>
      <c r="G543" s="375"/>
      <c r="H543" s="341"/>
    </row>
    <row r="544" spans="1:8" x14ac:dyDescent="0.25">
      <c r="A544" s="133"/>
      <c r="B544" s="195"/>
      <c r="C544" s="226"/>
      <c r="D544" s="232"/>
      <c r="E544" s="232"/>
      <c r="F544" s="226"/>
      <c r="G544" s="344"/>
      <c r="H544" s="341"/>
    </row>
    <row r="545" spans="1:8" ht="15.75" thickBot="1" x14ac:dyDescent="0.3">
      <c r="A545" s="133"/>
      <c r="B545" s="195"/>
      <c r="C545" s="226"/>
      <c r="D545" s="232"/>
      <c r="E545" s="232"/>
      <c r="F545" s="226"/>
      <c r="G545" s="344"/>
      <c r="H545" s="341"/>
    </row>
    <row r="546" spans="1:8" ht="15.75" thickBot="1" x14ac:dyDescent="0.3">
      <c r="A546" s="133"/>
      <c r="B546" s="233"/>
      <c r="C546" s="234"/>
      <c r="D546" s="234"/>
      <c r="E546" s="234"/>
      <c r="F546" s="235"/>
      <c r="G546" s="347"/>
      <c r="H546" s="348">
        <f>+SUM(G540:G546)</f>
        <v>959.50833333333333</v>
      </c>
    </row>
    <row r="547" spans="1:8" ht="15.75" thickBot="1" x14ac:dyDescent="0.3">
      <c r="A547" s="133"/>
      <c r="B547" s="238"/>
      <c r="C547" s="238"/>
      <c r="D547" s="238"/>
      <c r="E547" s="238"/>
      <c r="F547" s="239"/>
      <c r="G547" s="349"/>
      <c r="H547" s="350"/>
    </row>
    <row r="548" spans="1:8" ht="15.75" thickBot="1" x14ac:dyDescent="0.3">
      <c r="A548" s="133"/>
      <c r="B548" s="224" t="s">
        <v>5408</v>
      </c>
      <c r="C548" s="193" t="s">
        <v>867</v>
      </c>
      <c r="D548" s="193" t="s">
        <v>6</v>
      </c>
      <c r="E548" s="193" t="s">
        <v>870</v>
      </c>
      <c r="F548" s="193" t="s">
        <v>5409</v>
      </c>
      <c r="G548" s="343" t="s">
        <v>868</v>
      </c>
      <c r="H548" s="341"/>
    </row>
    <row r="549" spans="1:8" x14ac:dyDescent="0.25">
      <c r="A549" s="133"/>
      <c r="B549" s="295" t="s">
        <v>6410</v>
      </c>
      <c r="C549" s="202" t="s">
        <v>5475</v>
      </c>
      <c r="D549" s="226"/>
      <c r="E549" s="332"/>
      <c r="F549" s="169"/>
      <c r="G549" s="178">
        <v>10</v>
      </c>
      <c r="H549" s="341"/>
    </row>
    <row r="550" spans="1:8" x14ac:dyDescent="0.25">
      <c r="A550" s="133"/>
      <c r="B550" s="450"/>
      <c r="C550" s="202"/>
      <c r="D550" s="202"/>
      <c r="E550" s="228"/>
      <c r="F550" s="169"/>
      <c r="G550" s="178"/>
      <c r="H550" s="341"/>
    </row>
    <row r="551" spans="1:8" x14ac:dyDescent="0.25">
      <c r="A551" s="133"/>
      <c r="B551" s="260"/>
      <c r="C551" s="202"/>
      <c r="D551" s="226"/>
      <c r="E551" s="376"/>
      <c r="F551" s="169"/>
      <c r="G551" s="377"/>
      <c r="H551" s="341"/>
    </row>
    <row r="552" spans="1:8" x14ac:dyDescent="0.25">
      <c r="A552" s="133"/>
      <c r="B552" s="260"/>
      <c r="C552" s="226"/>
      <c r="D552" s="226"/>
      <c r="E552" s="346"/>
      <c r="F552" s="169"/>
      <c r="G552" s="377"/>
      <c r="H552" s="341"/>
    </row>
    <row r="553" spans="1:8" x14ac:dyDescent="0.25">
      <c r="A553" s="133"/>
      <c r="B553" s="195"/>
      <c r="C553" s="226"/>
      <c r="D553" s="226"/>
      <c r="E553" s="346"/>
      <c r="F553" s="169"/>
      <c r="G553" s="351"/>
      <c r="H553" s="341"/>
    </row>
    <row r="554" spans="1:8" x14ac:dyDescent="0.25">
      <c r="A554" s="133"/>
      <c r="B554" s="194"/>
      <c r="C554" s="202"/>
      <c r="D554" s="202"/>
      <c r="E554" s="346"/>
      <c r="F554" s="169"/>
      <c r="G554" s="351"/>
      <c r="H554" s="607"/>
    </row>
    <row r="555" spans="1:8" x14ac:dyDescent="0.25">
      <c r="A555" s="133"/>
      <c r="B555" s="195"/>
      <c r="C555" s="226"/>
      <c r="D555" s="226"/>
      <c r="E555" s="606"/>
      <c r="F555" s="169"/>
      <c r="G555" s="351"/>
      <c r="H555" s="341"/>
    </row>
    <row r="556" spans="1:8" x14ac:dyDescent="0.25">
      <c r="A556" s="133"/>
      <c r="B556" s="195"/>
      <c r="C556" s="226"/>
      <c r="D556" s="226"/>
      <c r="E556" s="346"/>
      <c r="F556" s="169"/>
      <c r="G556" s="351"/>
      <c r="H556" s="341"/>
    </row>
    <row r="557" spans="1:8" x14ac:dyDescent="0.25">
      <c r="A557" s="133"/>
      <c r="B557" s="195"/>
      <c r="C557" s="232"/>
      <c r="D557" s="232"/>
      <c r="E557" s="232"/>
      <c r="F557" s="226"/>
      <c r="G557" s="344"/>
      <c r="H557" s="341"/>
    </row>
    <row r="558" spans="1:8" x14ac:dyDescent="0.25">
      <c r="A558" s="133"/>
      <c r="B558" s="195"/>
      <c r="C558" s="232"/>
      <c r="D558" s="232"/>
      <c r="E558" s="232"/>
      <c r="F558" s="226"/>
      <c r="G558" s="344"/>
      <c r="H558" s="341"/>
    </row>
    <row r="559" spans="1:8" x14ac:dyDescent="0.25">
      <c r="A559" s="133"/>
      <c r="B559" s="195"/>
      <c r="C559" s="232"/>
      <c r="D559" s="232"/>
      <c r="E559" s="232"/>
      <c r="F559" s="226"/>
      <c r="G559" s="344"/>
      <c r="H559" s="341"/>
    </row>
    <row r="560" spans="1:8" ht="15.75" thickBot="1" x14ac:dyDescent="0.3">
      <c r="A560" s="133"/>
      <c r="B560" s="195"/>
      <c r="C560" s="232"/>
      <c r="D560" s="232"/>
      <c r="E560" s="232"/>
      <c r="F560" s="226"/>
      <c r="G560" s="344"/>
      <c r="H560" s="341"/>
    </row>
    <row r="561" spans="1:8" ht="15.75" thickBot="1" x14ac:dyDescent="0.3">
      <c r="A561" s="133"/>
      <c r="B561" s="233"/>
      <c r="C561" s="234"/>
      <c r="D561" s="234"/>
      <c r="E561" s="234"/>
      <c r="F561" s="235"/>
      <c r="G561" s="347"/>
      <c r="H561" s="358">
        <f>+SUM(G549:G561)</f>
        <v>10</v>
      </c>
    </row>
    <row r="562" spans="1:8" ht="15.75" thickBot="1" x14ac:dyDescent="0.3">
      <c r="A562" s="133"/>
      <c r="B562" s="238"/>
      <c r="C562" s="238"/>
      <c r="D562" s="238"/>
      <c r="E562" s="238"/>
      <c r="F562" s="239"/>
      <c r="G562" s="349"/>
      <c r="H562" s="350"/>
    </row>
    <row r="563" spans="1:8" ht="15.75" thickBot="1" x14ac:dyDescent="0.3">
      <c r="A563" s="133"/>
      <c r="B563" s="224" t="s">
        <v>5410</v>
      </c>
      <c r="C563" s="193" t="s">
        <v>867</v>
      </c>
      <c r="D563" s="193" t="s">
        <v>6</v>
      </c>
      <c r="E563" s="193" t="s">
        <v>870</v>
      </c>
      <c r="F563" s="193" t="s">
        <v>5411</v>
      </c>
      <c r="G563" s="343" t="s">
        <v>868</v>
      </c>
      <c r="H563" s="341"/>
    </row>
    <row r="564" spans="1:8" x14ac:dyDescent="0.25">
      <c r="A564" s="133"/>
      <c r="B564" s="245" t="s">
        <v>6393</v>
      </c>
      <c r="C564" s="283" t="s">
        <v>5402</v>
      </c>
      <c r="D564" s="283">
        <v>1</v>
      </c>
      <c r="E564" s="379">
        <v>50</v>
      </c>
      <c r="F564" s="283">
        <v>1</v>
      </c>
      <c r="G564" s="354">
        <f>+D564*E564*F564</f>
        <v>50</v>
      </c>
      <c r="H564" s="355"/>
    </row>
    <row r="565" spans="1:8" x14ac:dyDescent="0.25">
      <c r="A565" s="133"/>
      <c r="B565" s="247"/>
      <c r="C565" s="286"/>
      <c r="D565" s="286"/>
      <c r="E565" s="380"/>
      <c r="F565" s="286"/>
      <c r="G565" s="351"/>
      <c r="H565" s="341"/>
    </row>
    <row r="566" spans="1:8" x14ac:dyDescent="0.25">
      <c r="A566" s="133"/>
      <c r="B566" s="247"/>
      <c r="C566" s="286"/>
      <c r="D566" s="286"/>
      <c r="E566" s="288"/>
      <c r="F566" s="286"/>
      <c r="G566" s="344"/>
      <c r="H566" s="341"/>
    </row>
    <row r="567" spans="1:8" x14ac:dyDescent="0.25">
      <c r="A567" s="133"/>
      <c r="B567" s="194"/>
      <c r="C567" s="248"/>
      <c r="D567" s="248"/>
      <c r="E567" s="248"/>
      <c r="F567" s="202"/>
      <c r="G567" s="344"/>
      <c r="H567" s="341"/>
    </row>
    <row r="568" spans="1:8" ht="15.75" thickBot="1" x14ac:dyDescent="0.3">
      <c r="A568" s="133"/>
      <c r="B568" s="195"/>
      <c r="C568" s="232"/>
      <c r="D568" s="232"/>
      <c r="E568" s="232"/>
      <c r="F568" s="226"/>
      <c r="G568" s="344"/>
      <c r="H568" s="341"/>
    </row>
    <row r="569" spans="1:8" ht="15.75" thickBot="1" x14ac:dyDescent="0.3">
      <c r="A569" s="133"/>
      <c r="B569" s="233"/>
      <c r="C569" s="234"/>
      <c r="D569" s="234"/>
      <c r="E569" s="234"/>
      <c r="F569" s="235"/>
      <c r="G569" s="347"/>
      <c r="H569" s="348">
        <f>+SUM(G564:G569)</f>
        <v>50</v>
      </c>
    </row>
    <row r="570" spans="1:8" ht="15.75" thickBot="1" x14ac:dyDescent="0.3">
      <c r="A570" s="133"/>
      <c r="B570" s="238"/>
      <c r="C570" s="238"/>
      <c r="D570" s="238"/>
      <c r="E570" s="238"/>
      <c r="F570" s="249"/>
      <c r="G570" s="356"/>
      <c r="H570" s="350"/>
    </row>
    <row r="571" spans="1:8" ht="15.75" thickBot="1" x14ac:dyDescent="0.3">
      <c r="A571" s="133"/>
      <c r="B571" s="224" t="s">
        <v>5412</v>
      </c>
      <c r="C571" s="193" t="s">
        <v>5420</v>
      </c>
      <c r="D571" s="193" t="s">
        <v>5421</v>
      </c>
      <c r="E571" s="193" t="s">
        <v>5413</v>
      </c>
      <c r="F571" s="193" t="s">
        <v>5405</v>
      </c>
      <c r="G571" s="343" t="s">
        <v>868</v>
      </c>
      <c r="H571" s="341"/>
    </row>
    <row r="572" spans="1:8" x14ac:dyDescent="0.25">
      <c r="A572" s="133"/>
      <c r="B572" s="381" t="s">
        <v>5948</v>
      </c>
      <c r="C572" s="345">
        <v>70000</v>
      </c>
      <c r="D572" s="345">
        <f>+C572*0.85</f>
        <v>59500</v>
      </c>
      <c r="E572" s="345">
        <f>+C572+D572</f>
        <v>129500</v>
      </c>
      <c r="F572" s="204">
        <v>1000</v>
      </c>
      <c r="G572" s="351">
        <f>+E572/F572</f>
        <v>129.5</v>
      </c>
      <c r="H572" s="341"/>
    </row>
    <row r="573" spans="1:8" x14ac:dyDescent="0.25">
      <c r="A573" s="133"/>
      <c r="B573" s="385" t="s">
        <v>5949</v>
      </c>
      <c r="C573" s="345">
        <v>40000</v>
      </c>
      <c r="D573" s="345">
        <f>+C573*0.85</f>
        <v>34000</v>
      </c>
      <c r="E573" s="345">
        <f>+C573+D573</f>
        <v>74000</v>
      </c>
      <c r="F573" s="202">
        <v>500</v>
      </c>
      <c r="G573" s="351">
        <f>+E573/F573</f>
        <v>148</v>
      </c>
      <c r="H573" s="341"/>
    </row>
    <row r="574" spans="1:8" x14ac:dyDescent="0.25">
      <c r="A574" s="133"/>
      <c r="B574" s="385" t="s">
        <v>5950</v>
      </c>
      <c r="C574" s="345">
        <v>20600</v>
      </c>
      <c r="D574" s="345">
        <f>+C574*0.85</f>
        <v>17510</v>
      </c>
      <c r="E574" s="345">
        <f>+C574+D574</f>
        <v>38110</v>
      </c>
      <c r="F574" s="226">
        <v>120</v>
      </c>
      <c r="G574" s="351">
        <f>+E574/F574</f>
        <v>317.58333333333331</v>
      </c>
      <c r="H574" s="341"/>
    </row>
    <row r="575" spans="1:8" x14ac:dyDescent="0.25">
      <c r="A575" s="133"/>
      <c r="B575" s="195"/>
      <c r="C575" s="346"/>
      <c r="D575" s="345"/>
      <c r="E575" s="345"/>
      <c r="F575" s="226"/>
      <c r="G575" s="351"/>
      <c r="H575" s="341"/>
    </row>
    <row r="576" spans="1:8" x14ac:dyDescent="0.25">
      <c r="A576" s="133"/>
      <c r="B576" s="195"/>
      <c r="C576" s="232"/>
      <c r="D576" s="232"/>
      <c r="E576" s="232"/>
      <c r="F576" s="226"/>
      <c r="G576" s="344"/>
      <c r="H576" s="341"/>
    </row>
    <row r="577" spans="1:8" ht="15.75" thickBot="1" x14ac:dyDescent="0.3">
      <c r="A577" s="133"/>
      <c r="B577" s="195"/>
      <c r="C577" s="232"/>
      <c r="D577" s="232"/>
      <c r="E577" s="232"/>
      <c r="F577" s="226"/>
      <c r="G577" s="344"/>
      <c r="H577" s="341"/>
    </row>
    <row r="578" spans="1:8" ht="15.75" thickBot="1" x14ac:dyDescent="0.3">
      <c r="A578" s="133"/>
      <c r="B578" s="251"/>
      <c r="C578" s="252"/>
      <c r="D578" s="252"/>
      <c r="E578" s="252"/>
      <c r="F578" s="253"/>
      <c r="G578" s="357"/>
      <c r="H578" s="358">
        <f>+SUM(G572:G578)</f>
        <v>595.08333333333326</v>
      </c>
    </row>
    <row r="579" spans="1:8" ht="15.75" thickBot="1" x14ac:dyDescent="0.3">
      <c r="A579" s="133"/>
      <c r="B579" s="8"/>
      <c r="C579" s="8"/>
      <c r="D579" s="8"/>
      <c r="E579" s="8"/>
      <c r="F579" s="133"/>
      <c r="G579" s="341"/>
      <c r="H579" s="341"/>
    </row>
    <row r="580" spans="1:8" ht="15.75" thickBot="1" x14ac:dyDescent="0.3">
      <c r="A580" s="133"/>
      <c r="B580" s="8"/>
      <c r="C580" s="8"/>
      <c r="D580" s="8"/>
      <c r="E580" s="223" t="s">
        <v>5415</v>
      </c>
      <c r="F580" s="133"/>
      <c r="G580" s="341"/>
      <c r="H580" s="358">
        <f>ROUND(+H578+H569+H561+H546,0)</f>
        <v>1615</v>
      </c>
    </row>
    <row r="585" spans="1:8" ht="18.75" x14ac:dyDescent="0.25">
      <c r="A585" s="133"/>
      <c r="B585" s="2506" t="s">
        <v>5400</v>
      </c>
      <c r="C585" s="2506"/>
      <c r="D585" s="2506"/>
      <c r="E585" s="2506"/>
      <c r="F585" s="2506"/>
      <c r="G585" s="2506"/>
      <c r="H585" s="2506"/>
    </row>
    <row r="586" spans="1:8" x14ac:dyDescent="0.25">
      <c r="A586" s="133"/>
      <c r="B586" s="8"/>
      <c r="C586" s="8"/>
      <c r="D586" s="8"/>
      <c r="E586" s="8"/>
      <c r="F586" s="133"/>
      <c r="G586" s="341"/>
      <c r="H586" s="341"/>
    </row>
    <row r="587" spans="1:8" x14ac:dyDescent="0.25">
      <c r="A587" s="133"/>
      <c r="B587" s="8"/>
      <c r="C587" s="8"/>
      <c r="D587" s="8"/>
      <c r="E587" s="8"/>
      <c r="F587" s="133"/>
      <c r="G587" s="341"/>
      <c r="H587" s="341"/>
    </row>
    <row r="588" spans="1:8" x14ac:dyDescent="0.25">
      <c r="A588" s="133"/>
      <c r="B588" s="8"/>
      <c r="C588" s="8"/>
      <c r="D588" s="8"/>
      <c r="E588" s="8"/>
      <c r="F588" s="133"/>
      <c r="G588" s="341"/>
      <c r="H588" s="341"/>
    </row>
    <row r="589" spans="1:8" ht="24.95" customHeight="1" x14ac:dyDescent="0.25">
      <c r="A589" s="220" t="s">
        <v>5482</v>
      </c>
      <c r="B589" s="138"/>
      <c r="C589" s="2514" t="s">
        <v>6412</v>
      </c>
      <c r="D589" s="2515"/>
      <c r="E589" s="2515"/>
      <c r="F589" s="220" t="s">
        <v>867</v>
      </c>
      <c r="G589" s="342" t="s">
        <v>5402</v>
      </c>
      <c r="H589" s="341"/>
    </row>
    <row r="590" spans="1:8" x14ac:dyDescent="0.25">
      <c r="A590" s="133"/>
      <c r="B590" s="8"/>
      <c r="C590" s="223"/>
      <c r="D590" s="223"/>
      <c r="E590" s="223"/>
      <c r="F590" s="133"/>
      <c r="G590" s="341"/>
      <c r="H590" s="341"/>
    </row>
    <row r="591" spans="1:8" x14ac:dyDescent="0.25">
      <c r="A591" s="133"/>
      <c r="B591" s="8"/>
      <c r="C591" s="8"/>
      <c r="D591" s="8"/>
      <c r="E591" s="8"/>
      <c r="F591" s="8"/>
      <c r="G591" s="8"/>
      <c r="H591" s="341"/>
    </row>
    <row r="592" spans="1:8" ht="15.75" thickBot="1" x14ac:dyDescent="0.3">
      <c r="A592" s="133"/>
      <c r="B592" s="8"/>
      <c r="C592" s="8"/>
      <c r="D592" s="8"/>
      <c r="E592" s="8"/>
      <c r="F592" s="133"/>
      <c r="G592" s="341"/>
      <c r="H592" s="341"/>
    </row>
    <row r="593" spans="1:8" ht="15.75" thickBot="1" x14ac:dyDescent="0.3">
      <c r="A593" s="133"/>
      <c r="B593" s="224" t="s">
        <v>5403</v>
      </c>
      <c r="C593" s="193" t="s">
        <v>867</v>
      </c>
      <c r="D593" s="193" t="s">
        <v>6</v>
      </c>
      <c r="E593" s="193" t="s">
        <v>5439</v>
      </c>
      <c r="F593" s="193" t="s">
        <v>5405</v>
      </c>
      <c r="G593" s="343" t="s">
        <v>868</v>
      </c>
      <c r="H593" s="341"/>
    </row>
    <row r="594" spans="1:8" x14ac:dyDescent="0.25">
      <c r="A594" s="133"/>
      <c r="B594" s="146" t="s">
        <v>5934</v>
      </c>
      <c r="C594" s="226" t="s">
        <v>5402</v>
      </c>
      <c r="D594" s="226">
        <v>1</v>
      </c>
      <c r="E594" s="372">
        <f>+H632</f>
        <v>700.94444444444446</v>
      </c>
      <c r="F594" s="226">
        <v>0.1</v>
      </c>
      <c r="G594" s="373">
        <f>+E594*F594</f>
        <v>70.094444444444449</v>
      </c>
      <c r="H594" s="341"/>
    </row>
    <row r="595" spans="1:8" x14ac:dyDescent="0.25">
      <c r="A595" s="133"/>
      <c r="B595" s="195" t="s">
        <v>5646</v>
      </c>
      <c r="C595" s="226" t="s">
        <v>5424</v>
      </c>
      <c r="D595" s="226">
        <v>1</v>
      </c>
      <c r="E595" s="374">
        <v>180000</v>
      </c>
      <c r="F595" s="226">
        <v>0.01</v>
      </c>
      <c r="G595" s="344">
        <f>+E595*F595</f>
        <v>1800</v>
      </c>
      <c r="H595" s="341"/>
    </row>
    <row r="596" spans="1:8" x14ac:dyDescent="0.25">
      <c r="A596" s="133"/>
      <c r="B596" s="195"/>
      <c r="C596" s="226"/>
      <c r="D596" s="226"/>
      <c r="E596" s="345"/>
      <c r="F596" s="226"/>
      <c r="G596" s="344"/>
      <c r="H596" s="341"/>
    </row>
    <row r="597" spans="1:8" x14ac:dyDescent="0.25">
      <c r="A597" s="133"/>
      <c r="B597" s="195"/>
      <c r="C597" s="226"/>
      <c r="D597" s="226"/>
      <c r="E597" s="346"/>
      <c r="F597" s="226"/>
      <c r="G597" s="375"/>
      <c r="H597" s="341"/>
    </row>
    <row r="598" spans="1:8" x14ac:dyDescent="0.25">
      <c r="A598" s="133"/>
      <c r="B598" s="195"/>
      <c r="C598" s="226"/>
      <c r="D598" s="232"/>
      <c r="E598" s="232"/>
      <c r="F598" s="226"/>
      <c r="G598" s="344"/>
      <c r="H598" s="341"/>
    </row>
    <row r="599" spans="1:8" ht="15.75" thickBot="1" x14ac:dyDescent="0.3">
      <c r="A599" s="133"/>
      <c r="B599" s="195"/>
      <c r="C599" s="226"/>
      <c r="D599" s="232"/>
      <c r="E599" s="232"/>
      <c r="F599" s="226"/>
      <c r="G599" s="344"/>
      <c r="H599" s="341"/>
    </row>
    <row r="600" spans="1:8" ht="15.75" thickBot="1" x14ac:dyDescent="0.3">
      <c r="A600" s="133"/>
      <c r="B600" s="233"/>
      <c r="C600" s="234"/>
      <c r="D600" s="234"/>
      <c r="E600" s="234"/>
      <c r="F600" s="235"/>
      <c r="G600" s="347"/>
      <c r="H600" s="348">
        <f>+SUM(G594:G600)</f>
        <v>1870.0944444444444</v>
      </c>
    </row>
    <row r="601" spans="1:8" ht="15.75" thickBot="1" x14ac:dyDescent="0.3">
      <c r="A601" s="133"/>
      <c r="B601" s="238"/>
      <c r="C601" s="238"/>
      <c r="D601" s="238"/>
      <c r="E601" s="238"/>
      <c r="F601" s="239"/>
      <c r="G601" s="349"/>
      <c r="H601" s="350"/>
    </row>
    <row r="602" spans="1:8" ht="15.75" thickBot="1" x14ac:dyDescent="0.3">
      <c r="A602" s="133"/>
      <c r="B602" s="224" t="s">
        <v>5408</v>
      </c>
      <c r="C602" s="193" t="s">
        <v>867</v>
      </c>
      <c r="D602" s="193" t="s">
        <v>6</v>
      </c>
      <c r="E602" s="193" t="s">
        <v>870</v>
      </c>
      <c r="F602" s="193" t="s">
        <v>5409</v>
      </c>
      <c r="G602" s="343" t="s">
        <v>868</v>
      </c>
      <c r="H602" s="341"/>
    </row>
    <row r="603" spans="1:8" x14ac:dyDescent="0.25">
      <c r="A603" s="133"/>
      <c r="B603" s="295" t="s">
        <v>6410</v>
      </c>
      <c r="C603" s="202" t="s">
        <v>5475</v>
      </c>
      <c r="D603" s="226"/>
      <c r="E603" s="332"/>
      <c r="F603" s="169"/>
      <c r="G603" s="178">
        <v>10</v>
      </c>
      <c r="H603" s="341"/>
    </row>
    <row r="604" spans="1:8" x14ac:dyDescent="0.25">
      <c r="A604" s="133"/>
      <c r="B604" s="450"/>
      <c r="C604" s="202"/>
      <c r="D604" s="202"/>
      <c r="E604" s="228"/>
      <c r="F604" s="169"/>
      <c r="G604" s="178"/>
      <c r="H604" s="341"/>
    </row>
    <row r="605" spans="1:8" x14ac:dyDescent="0.25">
      <c r="A605" s="133"/>
      <c r="B605" s="260"/>
      <c r="C605" s="202"/>
      <c r="D605" s="226"/>
      <c r="E605" s="376"/>
      <c r="F605" s="169"/>
      <c r="G605" s="377"/>
      <c r="H605" s="341"/>
    </row>
    <row r="606" spans="1:8" x14ac:dyDescent="0.25">
      <c r="A606" s="133"/>
      <c r="B606" s="260"/>
      <c r="C606" s="226"/>
      <c r="D606" s="226"/>
      <c r="E606" s="346"/>
      <c r="F606" s="169"/>
      <c r="G606" s="377"/>
      <c r="H606" s="341"/>
    </row>
    <row r="607" spans="1:8" x14ac:dyDescent="0.25">
      <c r="A607" s="133"/>
      <c r="B607" s="195"/>
      <c r="C607" s="226"/>
      <c r="D607" s="226"/>
      <c r="E607" s="346"/>
      <c r="F607" s="169"/>
      <c r="G607" s="351"/>
      <c r="H607" s="341"/>
    </row>
    <row r="608" spans="1:8" x14ac:dyDescent="0.25">
      <c r="A608" s="133"/>
      <c r="B608" s="194"/>
      <c r="C608" s="202"/>
      <c r="D608" s="202"/>
      <c r="E608" s="346"/>
      <c r="F608" s="169"/>
      <c r="G608" s="351"/>
      <c r="H608" s="341"/>
    </row>
    <row r="609" spans="1:8" x14ac:dyDescent="0.25">
      <c r="A609" s="133"/>
      <c r="B609" s="195"/>
      <c r="C609" s="226"/>
      <c r="D609" s="226"/>
      <c r="E609" s="606"/>
      <c r="F609" s="169"/>
      <c r="G609" s="351"/>
      <c r="H609" s="341"/>
    </row>
    <row r="610" spans="1:8" x14ac:dyDescent="0.25">
      <c r="A610" s="133"/>
      <c r="B610" s="195"/>
      <c r="C610" s="226"/>
      <c r="D610" s="226"/>
      <c r="E610" s="346"/>
      <c r="F610" s="169"/>
      <c r="G610" s="351"/>
      <c r="H610" s="341"/>
    </row>
    <row r="611" spans="1:8" x14ac:dyDescent="0.25">
      <c r="A611" s="133"/>
      <c r="B611" s="195"/>
      <c r="C611" s="232"/>
      <c r="D611" s="232"/>
      <c r="E611" s="232"/>
      <c r="F611" s="226"/>
      <c r="G611" s="344"/>
      <c r="H611" s="341"/>
    </row>
    <row r="612" spans="1:8" x14ac:dyDescent="0.25">
      <c r="A612" s="133"/>
      <c r="B612" s="195"/>
      <c r="C612" s="232"/>
      <c r="D612" s="232"/>
      <c r="E612" s="232"/>
      <c r="F612" s="226"/>
      <c r="G612" s="344"/>
      <c r="H612" s="341"/>
    </row>
    <row r="613" spans="1:8" x14ac:dyDescent="0.25">
      <c r="A613" s="133"/>
      <c r="B613" s="195"/>
      <c r="C613" s="232"/>
      <c r="D613" s="232"/>
      <c r="E613" s="232"/>
      <c r="F613" s="226"/>
      <c r="G613" s="344"/>
      <c r="H613" s="341"/>
    </row>
    <row r="614" spans="1:8" ht="15.75" thickBot="1" x14ac:dyDescent="0.3">
      <c r="A614" s="133"/>
      <c r="B614" s="195"/>
      <c r="C614" s="232"/>
      <c r="D614" s="232"/>
      <c r="E614" s="232"/>
      <c r="F614" s="226"/>
      <c r="G614" s="344"/>
      <c r="H614" s="341"/>
    </row>
    <row r="615" spans="1:8" ht="15.75" thickBot="1" x14ac:dyDescent="0.3">
      <c r="A615" s="133"/>
      <c r="B615" s="233"/>
      <c r="C615" s="234"/>
      <c r="D615" s="234"/>
      <c r="E615" s="234"/>
      <c r="F615" s="235"/>
      <c r="G615" s="347"/>
      <c r="H615" s="358">
        <f>+SUM(G603:G615)</f>
        <v>10</v>
      </c>
    </row>
    <row r="616" spans="1:8" ht="15.75" thickBot="1" x14ac:dyDescent="0.3">
      <c r="A616" s="133"/>
      <c r="B616" s="238"/>
      <c r="C616" s="238"/>
      <c r="D616" s="238"/>
      <c r="E616" s="238"/>
      <c r="F616" s="239"/>
      <c r="G616" s="349"/>
      <c r="H616" s="350"/>
    </row>
    <row r="617" spans="1:8" ht="15.75" thickBot="1" x14ac:dyDescent="0.3">
      <c r="A617" s="133"/>
      <c r="B617" s="224" t="s">
        <v>5410</v>
      </c>
      <c r="C617" s="193" t="s">
        <v>867</v>
      </c>
      <c r="D617" s="193" t="s">
        <v>6</v>
      </c>
      <c r="E617" s="193" t="s">
        <v>870</v>
      </c>
      <c r="F617" s="193" t="s">
        <v>5411</v>
      </c>
      <c r="G617" s="343" t="s">
        <v>868</v>
      </c>
      <c r="H617" s="341"/>
    </row>
    <row r="618" spans="1:8" x14ac:dyDescent="0.25">
      <c r="A618" s="133"/>
      <c r="B618" s="245" t="s">
        <v>6393</v>
      </c>
      <c r="C618" s="283" t="s">
        <v>5402</v>
      </c>
      <c r="D618" s="283">
        <v>1</v>
      </c>
      <c r="E618" s="379">
        <v>70</v>
      </c>
      <c r="F618" s="283">
        <v>1</v>
      </c>
      <c r="G618" s="354">
        <f>+D618*E618*F618</f>
        <v>70</v>
      </c>
      <c r="H618" s="355"/>
    </row>
    <row r="619" spans="1:8" x14ac:dyDescent="0.25">
      <c r="A619" s="133"/>
      <c r="B619" s="247"/>
      <c r="C619" s="286"/>
      <c r="D619" s="286"/>
      <c r="E619" s="380"/>
      <c r="F619" s="286"/>
      <c r="G619" s="351"/>
      <c r="H619" s="341"/>
    </row>
    <row r="620" spans="1:8" x14ac:dyDescent="0.25">
      <c r="A620" s="133"/>
      <c r="B620" s="247"/>
      <c r="C620" s="286"/>
      <c r="D620" s="286"/>
      <c r="E620" s="288"/>
      <c r="F620" s="286"/>
      <c r="G620" s="344"/>
      <c r="H620" s="341"/>
    </row>
    <row r="621" spans="1:8" x14ac:dyDescent="0.25">
      <c r="A621" s="133"/>
      <c r="B621" s="194"/>
      <c r="C621" s="248"/>
      <c r="D621" s="248"/>
      <c r="E621" s="248"/>
      <c r="F621" s="202"/>
      <c r="G621" s="344"/>
      <c r="H621" s="341"/>
    </row>
    <row r="622" spans="1:8" ht="15.75" thickBot="1" x14ac:dyDescent="0.3">
      <c r="A622" s="133"/>
      <c r="B622" s="195"/>
      <c r="C622" s="232"/>
      <c r="D622" s="232"/>
      <c r="E622" s="232"/>
      <c r="F622" s="226"/>
      <c r="G622" s="344"/>
      <c r="H622" s="341"/>
    </row>
    <row r="623" spans="1:8" ht="15.75" thickBot="1" x14ac:dyDescent="0.3">
      <c r="A623" s="133"/>
      <c r="B623" s="233"/>
      <c r="C623" s="234"/>
      <c r="D623" s="234"/>
      <c r="E623" s="234"/>
      <c r="F623" s="235"/>
      <c r="G623" s="347"/>
      <c r="H623" s="348">
        <f>+SUM(G618:G623)</f>
        <v>70</v>
      </c>
    </row>
    <row r="624" spans="1:8" ht="15.75" thickBot="1" x14ac:dyDescent="0.3">
      <c r="A624" s="133"/>
      <c r="B624" s="238"/>
      <c r="C624" s="238"/>
      <c r="D624" s="238"/>
      <c r="E624" s="238"/>
      <c r="F624" s="249"/>
      <c r="G624" s="356"/>
      <c r="H624" s="350"/>
    </row>
    <row r="625" spans="1:8" ht="15.75" thickBot="1" x14ac:dyDescent="0.3">
      <c r="A625" s="133"/>
      <c r="B625" s="224" t="s">
        <v>5412</v>
      </c>
      <c r="C625" s="193" t="s">
        <v>5420</v>
      </c>
      <c r="D625" s="193" t="s">
        <v>5421</v>
      </c>
      <c r="E625" s="193" t="s">
        <v>5413</v>
      </c>
      <c r="F625" s="193" t="s">
        <v>5405</v>
      </c>
      <c r="G625" s="343" t="s">
        <v>868</v>
      </c>
      <c r="H625" s="341"/>
    </row>
    <row r="626" spans="1:8" x14ac:dyDescent="0.25">
      <c r="A626" s="133"/>
      <c r="B626" s="381" t="s">
        <v>5948</v>
      </c>
      <c r="C626" s="345">
        <v>70000</v>
      </c>
      <c r="D626" s="345">
        <f>+C626*0.85</f>
        <v>59500</v>
      </c>
      <c r="E626" s="345">
        <f>+C626+D626</f>
        <v>129500</v>
      </c>
      <c r="F626" s="204">
        <v>1000</v>
      </c>
      <c r="G626" s="351">
        <f>+E626/F626</f>
        <v>129.5</v>
      </c>
      <c r="H626" s="341"/>
    </row>
    <row r="627" spans="1:8" x14ac:dyDescent="0.25">
      <c r="A627" s="133"/>
      <c r="B627" s="385" t="s">
        <v>5949</v>
      </c>
      <c r="C627" s="345">
        <v>40000</v>
      </c>
      <c r="D627" s="345">
        <f>+C627*0.85</f>
        <v>34000</v>
      </c>
      <c r="E627" s="345">
        <f>+C627+D627</f>
        <v>74000</v>
      </c>
      <c r="F627" s="202">
        <v>500</v>
      </c>
      <c r="G627" s="351">
        <f>+E627/F627</f>
        <v>148</v>
      </c>
      <c r="H627" s="341"/>
    </row>
    <row r="628" spans="1:8" x14ac:dyDescent="0.25">
      <c r="A628" s="133"/>
      <c r="B628" s="385" t="s">
        <v>5950</v>
      </c>
      <c r="C628" s="345">
        <v>20600</v>
      </c>
      <c r="D628" s="345">
        <f>+C628*0.85</f>
        <v>17510</v>
      </c>
      <c r="E628" s="345">
        <f>+C628+D628</f>
        <v>38110</v>
      </c>
      <c r="F628" s="226">
        <v>90</v>
      </c>
      <c r="G628" s="351">
        <f>+E628/F628</f>
        <v>423.44444444444446</v>
      </c>
      <c r="H628" s="341"/>
    </row>
    <row r="629" spans="1:8" x14ac:dyDescent="0.25">
      <c r="A629" s="133"/>
      <c r="B629" s="195"/>
      <c r="C629" s="346"/>
      <c r="D629" s="345"/>
      <c r="E629" s="345"/>
      <c r="F629" s="226"/>
      <c r="G629" s="351"/>
      <c r="H629" s="341"/>
    </row>
    <row r="630" spans="1:8" x14ac:dyDescent="0.25">
      <c r="A630" s="133"/>
      <c r="B630" s="195"/>
      <c r="C630" s="232"/>
      <c r="D630" s="232"/>
      <c r="E630" s="232"/>
      <c r="F630" s="226"/>
      <c r="G630" s="344"/>
      <c r="H630" s="341"/>
    </row>
    <row r="631" spans="1:8" ht="15.75" thickBot="1" x14ac:dyDescent="0.3">
      <c r="A631" s="133"/>
      <c r="B631" s="195"/>
      <c r="C631" s="232"/>
      <c r="D631" s="232"/>
      <c r="E631" s="232"/>
      <c r="F631" s="226"/>
      <c r="G631" s="344"/>
      <c r="H631" s="341"/>
    </row>
    <row r="632" spans="1:8" ht="15.75" thickBot="1" x14ac:dyDescent="0.3">
      <c r="A632" s="133"/>
      <c r="B632" s="251"/>
      <c r="C632" s="252"/>
      <c r="D632" s="252"/>
      <c r="E632" s="252"/>
      <c r="F632" s="253"/>
      <c r="G632" s="357"/>
      <c r="H632" s="358">
        <f>+SUM(G626:G632)</f>
        <v>700.94444444444446</v>
      </c>
    </row>
    <row r="633" spans="1:8" ht="15.75" thickBot="1" x14ac:dyDescent="0.3">
      <c r="A633" s="133"/>
      <c r="B633" s="8"/>
      <c r="C633" s="8"/>
      <c r="D633" s="8"/>
      <c r="E633" s="8"/>
      <c r="F633" s="133"/>
      <c r="G633" s="341"/>
      <c r="H633" s="341"/>
    </row>
    <row r="634" spans="1:8" ht="15.75" thickBot="1" x14ac:dyDescent="0.3">
      <c r="A634" s="133"/>
      <c r="B634" s="8"/>
      <c r="C634" s="8"/>
      <c r="D634" s="8"/>
      <c r="E634" s="223" t="s">
        <v>5415</v>
      </c>
      <c r="F634" s="133"/>
      <c r="G634" s="341"/>
      <c r="H634" s="358">
        <f>ROUND(+H632+H623+H615+H600,0)</f>
        <v>2651</v>
      </c>
    </row>
    <row r="639" spans="1:8" ht="18.75" x14ac:dyDescent="0.25">
      <c r="A639" s="133"/>
      <c r="B639" s="2506" t="s">
        <v>5400</v>
      </c>
      <c r="C639" s="2506"/>
      <c r="D639" s="2506"/>
      <c r="E639" s="2506"/>
      <c r="F639" s="2506"/>
      <c r="G639" s="2506"/>
      <c r="H639" s="2506"/>
    </row>
    <row r="640" spans="1:8" x14ac:dyDescent="0.25">
      <c r="A640" s="133"/>
      <c r="B640" s="8"/>
      <c r="C640" s="8"/>
      <c r="D640" s="8"/>
      <c r="E640" s="8"/>
      <c r="F640" s="133"/>
      <c r="G640" s="341"/>
      <c r="H640" s="341"/>
    </row>
    <row r="641" spans="1:8" x14ac:dyDescent="0.25">
      <c r="A641" s="133"/>
      <c r="B641" s="8"/>
      <c r="C641" s="8"/>
      <c r="D641" s="8"/>
      <c r="E641" s="8"/>
      <c r="F641" s="133"/>
      <c r="G641" s="341"/>
      <c r="H641" s="341"/>
    </row>
    <row r="642" spans="1:8" x14ac:dyDescent="0.25">
      <c r="A642" s="133"/>
      <c r="B642" s="8"/>
      <c r="C642" s="8"/>
      <c r="D642" s="8"/>
      <c r="E642" s="8"/>
      <c r="F642" s="133"/>
      <c r="G642" s="341"/>
      <c r="H642" s="341"/>
    </row>
    <row r="643" spans="1:8" ht="24.95" customHeight="1" x14ac:dyDescent="0.25">
      <c r="A643" s="220" t="s">
        <v>5482</v>
      </c>
      <c r="B643" s="138"/>
      <c r="C643" s="2514" t="s">
        <v>6411</v>
      </c>
      <c r="D643" s="2515"/>
      <c r="E643" s="2515"/>
      <c r="F643" s="220" t="s">
        <v>867</v>
      </c>
      <c r="G643" s="342" t="s">
        <v>5402</v>
      </c>
      <c r="H643" s="341"/>
    </row>
    <row r="644" spans="1:8" x14ac:dyDescent="0.25">
      <c r="A644" s="133"/>
      <c r="B644" s="8"/>
      <c r="C644" s="223"/>
      <c r="D644" s="223"/>
      <c r="E644" s="223"/>
      <c r="F644" s="133"/>
      <c r="G644" s="341"/>
      <c r="H644" s="341"/>
    </row>
    <row r="645" spans="1:8" x14ac:dyDescent="0.25">
      <c r="A645" s="133"/>
      <c r="B645" s="8"/>
      <c r="C645" s="8"/>
      <c r="D645" s="8"/>
      <c r="E645" s="8"/>
      <c r="F645" s="8"/>
      <c r="G645" s="8"/>
      <c r="H645" s="341"/>
    </row>
    <row r="646" spans="1:8" ht="15.75" thickBot="1" x14ac:dyDescent="0.3">
      <c r="A646" s="133"/>
      <c r="B646" s="8"/>
      <c r="C646" s="8"/>
      <c r="D646" s="8"/>
      <c r="E646" s="8"/>
      <c r="F646" s="133"/>
      <c r="G646" s="341"/>
      <c r="H646" s="341"/>
    </row>
    <row r="647" spans="1:8" ht="15.75" thickBot="1" x14ac:dyDescent="0.3">
      <c r="A647" s="133"/>
      <c r="B647" s="224" t="s">
        <v>5403</v>
      </c>
      <c r="C647" s="193" t="s">
        <v>867</v>
      </c>
      <c r="D647" s="193" t="s">
        <v>6</v>
      </c>
      <c r="E647" s="193" t="s">
        <v>5439</v>
      </c>
      <c r="F647" s="193" t="s">
        <v>5405</v>
      </c>
      <c r="G647" s="343" t="s">
        <v>868</v>
      </c>
      <c r="H647" s="341"/>
    </row>
    <row r="648" spans="1:8" x14ac:dyDescent="0.25">
      <c r="A648" s="133"/>
      <c r="B648" s="146" t="s">
        <v>5934</v>
      </c>
      <c r="C648" s="226" t="s">
        <v>5402</v>
      </c>
      <c r="D648" s="226">
        <v>1</v>
      </c>
      <c r="E648" s="372">
        <f>+H686</f>
        <v>753.875</v>
      </c>
      <c r="F648" s="226">
        <v>0.1</v>
      </c>
      <c r="G648" s="373">
        <f>+E648*F648</f>
        <v>75.387500000000003</v>
      </c>
      <c r="H648" s="341"/>
    </row>
    <row r="649" spans="1:8" x14ac:dyDescent="0.25">
      <c r="A649" s="133"/>
      <c r="B649" s="195" t="s">
        <v>5646</v>
      </c>
      <c r="C649" s="226" t="s">
        <v>5424</v>
      </c>
      <c r="D649" s="226">
        <v>1</v>
      </c>
      <c r="E649" s="374">
        <v>180000</v>
      </c>
      <c r="F649" s="226">
        <v>1.4999999999999999E-2</v>
      </c>
      <c r="G649" s="344">
        <f>+E649*F649</f>
        <v>2700</v>
      </c>
      <c r="H649" s="341"/>
    </row>
    <row r="650" spans="1:8" x14ac:dyDescent="0.25">
      <c r="A650" s="133"/>
      <c r="B650" s="195"/>
      <c r="C650" s="226"/>
      <c r="D650" s="226"/>
      <c r="E650" s="345"/>
      <c r="F650" s="226"/>
      <c r="G650" s="344"/>
      <c r="H650" s="341"/>
    </row>
    <row r="651" spans="1:8" x14ac:dyDescent="0.25">
      <c r="A651" s="133"/>
      <c r="B651" s="195"/>
      <c r="C651" s="226"/>
      <c r="D651" s="226"/>
      <c r="E651" s="346"/>
      <c r="F651" s="226"/>
      <c r="G651" s="375"/>
      <c r="H651" s="341"/>
    </row>
    <row r="652" spans="1:8" x14ac:dyDescent="0.25">
      <c r="A652" s="133"/>
      <c r="B652" s="195"/>
      <c r="C652" s="226"/>
      <c r="D652" s="232"/>
      <c r="E652" s="232"/>
      <c r="F652" s="226"/>
      <c r="G652" s="344"/>
      <c r="H652" s="341"/>
    </row>
    <row r="653" spans="1:8" ht="15.75" thickBot="1" x14ac:dyDescent="0.3">
      <c r="A653" s="133"/>
      <c r="B653" s="195"/>
      <c r="C653" s="226"/>
      <c r="D653" s="232"/>
      <c r="E653" s="232"/>
      <c r="F653" s="226"/>
      <c r="G653" s="344"/>
      <c r="H653" s="341"/>
    </row>
    <row r="654" spans="1:8" ht="15.75" thickBot="1" x14ac:dyDescent="0.3">
      <c r="A654" s="133"/>
      <c r="B654" s="233"/>
      <c r="C654" s="234"/>
      <c r="D654" s="234"/>
      <c r="E654" s="234"/>
      <c r="F654" s="235"/>
      <c r="G654" s="347"/>
      <c r="H654" s="348">
        <f>+SUM(G648:G654)</f>
        <v>2775.3874999999998</v>
      </c>
    </row>
    <row r="655" spans="1:8" ht="15.75" thickBot="1" x14ac:dyDescent="0.3">
      <c r="A655" s="133"/>
      <c r="B655" s="238"/>
      <c r="C655" s="238"/>
      <c r="D655" s="238"/>
      <c r="E655" s="238"/>
      <c r="F655" s="239"/>
      <c r="G655" s="349"/>
      <c r="H655" s="350"/>
    </row>
    <row r="656" spans="1:8" ht="15.75" thickBot="1" x14ac:dyDescent="0.3">
      <c r="A656" s="133"/>
      <c r="B656" s="224" t="s">
        <v>5408</v>
      </c>
      <c r="C656" s="193" t="s">
        <v>867</v>
      </c>
      <c r="D656" s="193" t="s">
        <v>6</v>
      </c>
      <c r="E656" s="193" t="s">
        <v>870</v>
      </c>
      <c r="F656" s="193" t="s">
        <v>5409</v>
      </c>
      <c r="G656" s="343" t="s">
        <v>868</v>
      </c>
      <c r="H656" s="341"/>
    </row>
    <row r="657" spans="1:8" x14ac:dyDescent="0.25">
      <c r="A657" s="133"/>
      <c r="B657" s="295" t="s">
        <v>6410</v>
      </c>
      <c r="C657" s="202" t="s">
        <v>5475</v>
      </c>
      <c r="D657" s="226"/>
      <c r="E657" s="332"/>
      <c r="F657" s="169"/>
      <c r="G657" s="178">
        <v>10</v>
      </c>
      <c r="H657" s="341"/>
    </row>
    <row r="658" spans="1:8" x14ac:dyDescent="0.25">
      <c r="A658" s="133"/>
      <c r="B658" s="450"/>
      <c r="C658" s="202"/>
      <c r="D658" s="202"/>
      <c r="E658" s="228"/>
      <c r="F658" s="169"/>
      <c r="G658" s="178"/>
      <c r="H658" s="341"/>
    </row>
    <row r="659" spans="1:8" x14ac:dyDescent="0.25">
      <c r="A659" s="133"/>
      <c r="B659" s="260"/>
      <c r="C659" s="202"/>
      <c r="D659" s="226"/>
      <c r="E659" s="376"/>
      <c r="F659" s="169"/>
      <c r="G659" s="377"/>
      <c r="H659" s="341"/>
    </row>
    <row r="660" spans="1:8" x14ac:dyDescent="0.25">
      <c r="A660" s="133"/>
      <c r="B660" s="260"/>
      <c r="C660" s="226"/>
      <c r="D660" s="226"/>
      <c r="E660" s="346"/>
      <c r="F660" s="169"/>
      <c r="G660" s="377"/>
      <c r="H660" s="341"/>
    </row>
    <row r="661" spans="1:8" x14ac:dyDescent="0.25">
      <c r="A661" s="133"/>
      <c r="B661" s="195"/>
      <c r="C661" s="226"/>
      <c r="D661" s="226"/>
      <c r="E661" s="346"/>
      <c r="F661" s="169"/>
      <c r="G661" s="351"/>
      <c r="H661" s="341"/>
    </row>
    <row r="662" spans="1:8" x14ac:dyDescent="0.25">
      <c r="A662" s="133"/>
      <c r="B662" s="194"/>
      <c r="C662" s="202"/>
      <c r="D662" s="202"/>
      <c r="E662" s="346"/>
      <c r="F662" s="169"/>
      <c r="G662" s="351"/>
      <c r="H662" s="341"/>
    </row>
    <row r="663" spans="1:8" x14ac:dyDescent="0.25">
      <c r="A663" s="133"/>
      <c r="B663" s="195"/>
      <c r="C663" s="226"/>
      <c r="D663" s="226"/>
      <c r="E663" s="606"/>
      <c r="F663" s="169"/>
      <c r="G663" s="351"/>
      <c r="H663" s="341"/>
    </row>
    <row r="664" spans="1:8" x14ac:dyDescent="0.25">
      <c r="A664" s="133"/>
      <c r="B664" s="195"/>
      <c r="C664" s="226"/>
      <c r="D664" s="226"/>
      <c r="E664" s="346"/>
      <c r="F664" s="169"/>
      <c r="G664" s="351"/>
      <c r="H664" s="341"/>
    </row>
    <row r="665" spans="1:8" x14ac:dyDescent="0.25">
      <c r="A665" s="133"/>
      <c r="B665" s="195"/>
      <c r="C665" s="232"/>
      <c r="D665" s="232"/>
      <c r="E665" s="232"/>
      <c r="F665" s="226"/>
      <c r="G665" s="344"/>
      <c r="H665" s="341"/>
    </row>
    <row r="666" spans="1:8" x14ac:dyDescent="0.25">
      <c r="A666" s="133"/>
      <c r="B666" s="195"/>
      <c r="C666" s="232"/>
      <c r="D666" s="232"/>
      <c r="E666" s="232"/>
      <c r="F666" s="226"/>
      <c r="G666" s="344"/>
      <c r="H666" s="341"/>
    </row>
    <row r="667" spans="1:8" x14ac:dyDescent="0.25">
      <c r="A667" s="133"/>
      <c r="B667" s="195"/>
      <c r="C667" s="232"/>
      <c r="D667" s="232"/>
      <c r="E667" s="232"/>
      <c r="F667" s="226"/>
      <c r="G667" s="344"/>
      <c r="H667" s="341"/>
    </row>
    <row r="668" spans="1:8" ht="15.75" thickBot="1" x14ac:dyDescent="0.3">
      <c r="A668" s="133"/>
      <c r="B668" s="195"/>
      <c r="C668" s="232"/>
      <c r="D668" s="232"/>
      <c r="E668" s="232"/>
      <c r="F668" s="226"/>
      <c r="G668" s="344"/>
      <c r="H668" s="341"/>
    </row>
    <row r="669" spans="1:8" ht="15.75" thickBot="1" x14ac:dyDescent="0.3">
      <c r="A669" s="133"/>
      <c r="B669" s="233"/>
      <c r="C669" s="234"/>
      <c r="D669" s="234"/>
      <c r="E669" s="234"/>
      <c r="F669" s="235"/>
      <c r="G669" s="347"/>
      <c r="H669" s="358">
        <f>+SUM(G657:G669)</f>
        <v>10</v>
      </c>
    </row>
    <row r="670" spans="1:8" ht="15.75" thickBot="1" x14ac:dyDescent="0.3">
      <c r="A670" s="133"/>
      <c r="B670" s="238"/>
      <c r="C670" s="238"/>
      <c r="D670" s="238"/>
      <c r="E670" s="238"/>
      <c r="F670" s="239"/>
      <c r="G670" s="349"/>
      <c r="H670" s="350"/>
    </row>
    <row r="671" spans="1:8" ht="15.75" thickBot="1" x14ac:dyDescent="0.3">
      <c r="A671" s="133"/>
      <c r="B671" s="224" t="s">
        <v>5410</v>
      </c>
      <c r="C671" s="193" t="s">
        <v>867</v>
      </c>
      <c r="D671" s="193" t="s">
        <v>6</v>
      </c>
      <c r="E671" s="193" t="s">
        <v>870</v>
      </c>
      <c r="F671" s="193" t="s">
        <v>5411</v>
      </c>
      <c r="G671" s="343" t="s">
        <v>868</v>
      </c>
      <c r="H671" s="341"/>
    </row>
    <row r="672" spans="1:8" x14ac:dyDescent="0.25">
      <c r="A672" s="133"/>
      <c r="B672" s="245" t="s">
        <v>6393</v>
      </c>
      <c r="C672" s="283" t="s">
        <v>5402</v>
      </c>
      <c r="D672" s="283">
        <v>1</v>
      </c>
      <c r="E672" s="379">
        <v>80</v>
      </c>
      <c r="F672" s="283">
        <v>1</v>
      </c>
      <c r="G672" s="354">
        <f>+D672*E672*F672</f>
        <v>80</v>
      </c>
      <c r="H672" s="355"/>
    </row>
    <row r="673" spans="1:8" x14ac:dyDescent="0.25">
      <c r="A673" s="133"/>
      <c r="B673" s="247"/>
      <c r="C673" s="286"/>
      <c r="D673" s="286"/>
      <c r="E673" s="380"/>
      <c r="F673" s="286"/>
      <c r="G673" s="351"/>
      <c r="H673" s="341"/>
    </row>
    <row r="674" spans="1:8" x14ac:dyDescent="0.25">
      <c r="A674" s="133"/>
      <c r="B674" s="247"/>
      <c r="C674" s="286"/>
      <c r="D674" s="286"/>
      <c r="E674" s="288"/>
      <c r="F674" s="286"/>
      <c r="G674" s="344"/>
      <c r="H674" s="341"/>
    </row>
    <row r="675" spans="1:8" x14ac:dyDescent="0.25">
      <c r="A675" s="133"/>
      <c r="B675" s="194"/>
      <c r="C675" s="248"/>
      <c r="D675" s="248"/>
      <c r="E675" s="248"/>
      <c r="F675" s="202"/>
      <c r="G675" s="344"/>
      <c r="H675" s="341"/>
    </row>
    <row r="676" spans="1:8" ht="15.75" thickBot="1" x14ac:dyDescent="0.3">
      <c r="A676" s="133"/>
      <c r="B676" s="195"/>
      <c r="C676" s="232"/>
      <c r="D676" s="232"/>
      <c r="E676" s="232"/>
      <c r="F676" s="226"/>
      <c r="G676" s="344"/>
      <c r="H676" s="341"/>
    </row>
    <row r="677" spans="1:8" ht="15.75" thickBot="1" x14ac:dyDescent="0.3">
      <c r="A677" s="133"/>
      <c r="B677" s="233"/>
      <c r="C677" s="234"/>
      <c r="D677" s="234"/>
      <c r="E677" s="234"/>
      <c r="F677" s="235"/>
      <c r="G677" s="347"/>
      <c r="H677" s="348">
        <f>+SUM(G672:G677)</f>
        <v>80</v>
      </c>
    </row>
    <row r="678" spans="1:8" ht="15.75" thickBot="1" x14ac:dyDescent="0.3">
      <c r="A678" s="133"/>
      <c r="B678" s="238"/>
      <c r="C678" s="238"/>
      <c r="D678" s="238"/>
      <c r="E678" s="238"/>
      <c r="F678" s="249"/>
      <c r="G678" s="356"/>
      <c r="H678" s="350"/>
    </row>
    <row r="679" spans="1:8" ht="15.75" thickBot="1" x14ac:dyDescent="0.3">
      <c r="A679" s="133"/>
      <c r="B679" s="224" t="s">
        <v>5412</v>
      </c>
      <c r="C679" s="193" t="s">
        <v>5420</v>
      </c>
      <c r="D679" s="193" t="s">
        <v>5421</v>
      </c>
      <c r="E679" s="193" t="s">
        <v>5413</v>
      </c>
      <c r="F679" s="193" t="s">
        <v>5405</v>
      </c>
      <c r="G679" s="343" t="s">
        <v>868</v>
      </c>
      <c r="H679" s="341"/>
    </row>
    <row r="680" spans="1:8" x14ac:dyDescent="0.25">
      <c r="A680" s="133"/>
      <c r="B680" s="381" t="s">
        <v>5948</v>
      </c>
      <c r="C680" s="345">
        <v>70000</v>
      </c>
      <c r="D680" s="345">
        <f>+C680*0.85</f>
        <v>59500</v>
      </c>
      <c r="E680" s="345">
        <f>+C680+D680</f>
        <v>129500</v>
      </c>
      <c r="F680" s="204">
        <v>1000</v>
      </c>
      <c r="G680" s="351">
        <f>+E680/F680</f>
        <v>129.5</v>
      </c>
      <c r="H680" s="341"/>
    </row>
    <row r="681" spans="1:8" x14ac:dyDescent="0.25">
      <c r="A681" s="133"/>
      <c r="B681" s="385" t="s">
        <v>5949</v>
      </c>
      <c r="C681" s="345">
        <v>40000</v>
      </c>
      <c r="D681" s="345">
        <f>+C681*0.85</f>
        <v>34000</v>
      </c>
      <c r="E681" s="345">
        <f>+C681+D681</f>
        <v>74000</v>
      </c>
      <c r="F681" s="202">
        <v>500</v>
      </c>
      <c r="G681" s="351">
        <f>+E681/F681</f>
        <v>148</v>
      </c>
      <c r="H681" s="341"/>
    </row>
    <row r="682" spans="1:8" x14ac:dyDescent="0.25">
      <c r="A682" s="133"/>
      <c r="B682" s="385" t="s">
        <v>5950</v>
      </c>
      <c r="C682" s="345">
        <v>20600</v>
      </c>
      <c r="D682" s="345">
        <f>+C682*0.85</f>
        <v>17510</v>
      </c>
      <c r="E682" s="345">
        <f>+C682+D682</f>
        <v>38110</v>
      </c>
      <c r="F682" s="226">
        <v>80</v>
      </c>
      <c r="G682" s="351">
        <f>+E682/F682</f>
        <v>476.375</v>
      </c>
      <c r="H682" s="341"/>
    </row>
    <row r="683" spans="1:8" x14ac:dyDescent="0.25">
      <c r="A683" s="133"/>
      <c r="B683" s="195"/>
      <c r="C683" s="346"/>
      <c r="D683" s="345"/>
      <c r="E683" s="345"/>
      <c r="F683" s="226"/>
      <c r="G683" s="351"/>
      <c r="H683" s="341"/>
    </row>
    <row r="684" spans="1:8" x14ac:dyDescent="0.25">
      <c r="A684" s="133"/>
      <c r="B684" s="195"/>
      <c r="C684" s="232"/>
      <c r="D684" s="232"/>
      <c r="E684" s="232"/>
      <c r="F684" s="226"/>
      <c r="G684" s="344"/>
      <c r="H684" s="341"/>
    </row>
    <row r="685" spans="1:8" ht="15.75" thickBot="1" x14ac:dyDescent="0.3">
      <c r="A685" s="133"/>
      <c r="B685" s="195"/>
      <c r="C685" s="232"/>
      <c r="D685" s="232"/>
      <c r="E685" s="232"/>
      <c r="F685" s="226"/>
      <c r="G685" s="344"/>
      <c r="H685" s="341"/>
    </row>
    <row r="686" spans="1:8" ht="15.75" thickBot="1" x14ac:dyDescent="0.3">
      <c r="A686" s="133"/>
      <c r="B686" s="251"/>
      <c r="C686" s="252"/>
      <c r="D686" s="252"/>
      <c r="E686" s="252"/>
      <c r="F686" s="253"/>
      <c r="G686" s="357"/>
      <c r="H686" s="358">
        <f>+SUM(G680:G686)</f>
        <v>753.875</v>
      </c>
    </row>
    <row r="687" spans="1:8" ht="15.75" thickBot="1" x14ac:dyDescent="0.3">
      <c r="A687" s="133"/>
      <c r="B687" s="8"/>
      <c r="C687" s="8"/>
      <c r="D687" s="8"/>
      <c r="E687" s="8"/>
      <c r="F687" s="133"/>
      <c r="G687" s="341"/>
      <c r="H687" s="341"/>
    </row>
    <row r="688" spans="1:8" ht="15.75" thickBot="1" x14ac:dyDescent="0.3">
      <c r="A688" s="133"/>
      <c r="B688" s="8"/>
      <c r="C688" s="8"/>
      <c r="D688" s="8"/>
      <c r="E688" s="223" t="s">
        <v>5415</v>
      </c>
      <c r="F688" s="133"/>
      <c r="G688" s="341"/>
      <c r="H688" s="358">
        <f>ROUND(+H686+H677+H669+H654,0)</f>
        <v>3619</v>
      </c>
    </row>
    <row r="693" spans="1:8" ht="18.75" x14ac:dyDescent="0.25">
      <c r="A693" s="133"/>
      <c r="B693" s="2506" t="s">
        <v>5400</v>
      </c>
      <c r="C693" s="2506"/>
      <c r="D693" s="2506"/>
      <c r="E693" s="2506"/>
      <c r="F693" s="2506"/>
      <c r="G693" s="2506"/>
      <c r="H693" s="2506"/>
    </row>
    <row r="694" spans="1:8" x14ac:dyDescent="0.25">
      <c r="A694" s="133"/>
      <c r="B694" s="8"/>
      <c r="C694" s="8"/>
      <c r="D694" s="8"/>
      <c r="E694" s="8"/>
      <c r="F694" s="133"/>
      <c r="G694" s="341"/>
      <c r="H694" s="341"/>
    </row>
    <row r="695" spans="1:8" x14ac:dyDescent="0.25">
      <c r="A695" s="133"/>
      <c r="B695" s="8"/>
      <c r="C695" s="8"/>
      <c r="D695" s="8"/>
      <c r="E695" s="8"/>
      <c r="F695" s="133"/>
      <c r="G695" s="341"/>
      <c r="H695" s="341"/>
    </row>
    <row r="696" spans="1:8" x14ac:dyDescent="0.25">
      <c r="A696" s="133"/>
      <c r="B696" s="8"/>
      <c r="C696" s="8"/>
      <c r="D696" s="8"/>
      <c r="E696" s="8"/>
      <c r="F696" s="133"/>
      <c r="G696" s="341"/>
      <c r="H696" s="341"/>
    </row>
    <row r="697" spans="1:8" ht="15" customHeight="1" x14ac:dyDescent="0.25">
      <c r="A697" s="220" t="s">
        <v>5482</v>
      </c>
      <c r="B697" s="138"/>
      <c r="C697" s="2514" t="s">
        <v>6413</v>
      </c>
      <c r="D697" s="2515"/>
      <c r="E697" s="2515"/>
      <c r="F697" s="220" t="s">
        <v>867</v>
      </c>
      <c r="G697" s="342" t="s">
        <v>6414</v>
      </c>
      <c r="H697" s="341"/>
    </row>
    <row r="698" spans="1:8" x14ac:dyDescent="0.25">
      <c r="A698" s="133"/>
      <c r="B698" s="8"/>
      <c r="C698" s="223"/>
      <c r="D698" s="223"/>
      <c r="E698" s="223"/>
      <c r="F698" s="133"/>
      <c r="G698" s="341"/>
      <c r="H698" s="341"/>
    </row>
    <row r="699" spans="1:8" x14ac:dyDescent="0.25">
      <c r="A699" s="133"/>
      <c r="B699" s="8"/>
      <c r="C699" s="8"/>
      <c r="D699" s="8"/>
      <c r="E699" s="8"/>
      <c r="F699" s="8"/>
      <c r="G699" s="8"/>
      <c r="H699" s="341"/>
    </row>
    <row r="700" spans="1:8" ht="15.75" thickBot="1" x14ac:dyDescent="0.3">
      <c r="A700" s="133"/>
      <c r="B700" s="8"/>
      <c r="C700" s="8"/>
      <c r="D700" s="8"/>
      <c r="E700" s="8"/>
      <c r="F700" s="133"/>
      <c r="G700" s="341"/>
      <c r="H700" s="341"/>
    </row>
    <row r="701" spans="1:8" ht="15.75" thickBot="1" x14ac:dyDescent="0.3">
      <c r="A701" s="133"/>
      <c r="B701" s="224" t="s">
        <v>5403</v>
      </c>
      <c r="C701" s="193" t="s">
        <v>867</v>
      </c>
      <c r="D701" s="193" t="s">
        <v>6</v>
      </c>
      <c r="E701" s="193" t="s">
        <v>5439</v>
      </c>
      <c r="F701" s="193" t="s">
        <v>5405</v>
      </c>
      <c r="G701" s="343" t="s">
        <v>868</v>
      </c>
      <c r="H701" s="341"/>
    </row>
    <row r="702" spans="1:8" x14ac:dyDescent="0.25">
      <c r="A702" s="133"/>
      <c r="B702" s="146" t="s">
        <v>5934</v>
      </c>
      <c r="C702" s="226" t="s">
        <v>5402</v>
      </c>
      <c r="D702" s="226">
        <v>1</v>
      </c>
      <c r="E702" s="372">
        <f>+H740</f>
        <v>1631.7</v>
      </c>
      <c r="F702" s="226">
        <v>0.1</v>
      </c>
      <c r="G702" s="373">
        <f>+E702*F702</f>
        <v>163.17000000000002</v>
      </c>
      <c r="H702" s="341"/>
    </row>
    <row r="703" spans="1:8" x14ac:dyDescent="0.25">
      <c r="A703" s="133"/>
      <c r="B703" s="195" t="s">
        <v>5646</v>
      </c>
      <c r="C703" s="226" t="s">
        <v>5424</v>
      </c>
      <c r="D703" s="226">
        <v>1</v>
      </c>
      <c r="E703" s="374">
        <v>180000</v>
      </c>
      <c r="F703" s="226">
        <v>3.0000000000000001E-3</v>
      </c>
      <c r="G703" s="344">
        <f>+E703*F703</f>
        <v>540</v>
      </c>
      <c r="H703" s="341"/>
    </row>
    <row r="704" spans="1:8" x14ac:dyDescent="0.25">
      <c r="A704" s="133"/>
      <c r="B704" s="195"/>
      <c r="C704" s="226"/>
      <c r="D704" s="226"/>
      <c r="E704" s="345"/>
      <c r="F704" s="226"/>
      <c r="G704" s="344"/>
      <c r="H704" s="341"/>
    </row>
    <row r="705" spans="1:8" x14ac:dyDescent="0.25">
      <c r="A705" s="133"/>
      <c r="B705" s="195"/>
      <c r="C705" s="226"/>
      <c r="D705" s="226"/>
      <c r="E705" s="346"/>
      <c r="F705" s="226"/>
      <c r="G705" s="375"/>
      <c r="H705" s="341"/>
    </row>
    <row r="706" spans="1:8" x14ac:dyDescent="0.25">
      <c r="A706" s="133"/>
      <c r="B706" s="195"/>
      <c r="C706" s="226"/>
      <c r="D706" s="232"/>
      <c r="E706" s="232"/>
      <c r="F706" s="226"/>
      <c r="G706" s="344"/>
      <c r="H706" s="341"/>
    </row>
    <row r="707" spans="1:8" ht="15.75" thickBot="1" x14ac:dyDescent="0.3">
      <c r="A707" s="133"/>
      <c r="B707" s="195"/>
      <c r="C707" s="226"/>
      <c r="D707" s="232"/>
      <c r="E707" s="232"/>
      <c r="F707" s="226"/>
      <c r="G707" s="344"/>
      <c r="H707" s="341"/>
    </row>
    <row r="708" spans="1:8" ht="15.75" thickBot="1" x14ac:dyDescent="0.3">
      <c r="A708" s="133"/>
      <c r="B708" s="233"/>
      <c r="C708" s="234"/>
      <c r="D708" s="234"/>
      <c r="E708" s="234"/>
      <c r="F708" s="235"/>
      <c r="G708" s="347"/>
      <c r="H708" s="348">
        <f>+SUM(G702:G708)</f>
        <v>703.17000000000007</v>
      </c>
    </row>
    <row r="709" spans="1:8" ht="15.75" thickBot="1" x14ac:dyDescent="0.3">
      <c r="A709" s="133"/>
      <c r="B709" s="238"/>
      <c r="C709" s="238"/>
      <c r="D709" s="238"/>
      <c r="E709" s="238"/>
      <c r="F709" s="239"/>
      <c r="G709" s="349"/>
      <c r="H709" s="350"/>
    </row>
    <row r="710" spans="1:8" ht="15.75" thickBot="1" x14ac:dyDescent="0.3">
      <c r="A710" s="133"/>
      <c r="B710" s="224" t="s">
        <v>5408</v>
      </c>
      <c r="C710" s="193" t="s">
        <v>867</v>
      </c>
      <c r="D710" s="193" t="s">
        <v>6</v>
      </c>
      <c r="E710" s="193" t="s">
        <v>870</v>
      </c>
      <c r="F710" s="193" t="s">
        <v>5409</v>
      </c>
      <c r="G710" s="343" t="s">
        <v>868</v>
      </c>
      <c r="H710" s="341"/>
    </row>
    <row r="711" spans="1:8" x14ac:dyDescent="0.25">
      <c r="A711" s="133"/>
      <c r="B711" s="295" t="s">
        <v>6409</v>
      </c>
      <c r="C711" s="202" t="s">
        <v>5475</v>
      </c>
      <c r="D711" s="226"/>
      <c r="E711" s="332"/>
      <c r="F711" s="169"/>
      <c r="G711" s="178">
        <v>100</v>
      </c>
      <c r="H711" s="341"/>
    </row>
    <row r="712" spans="1:8" x14ac:dyDescent="0.25">
      <c r="A712" s="133"/>
      <c r="B712" s="450"/>
      <c r="C712" s="202"/>
      <c r="D712" s="202"/>
      <c r="E712" s="228"/>
      <c r="F712" s="169"/>
      <c r="G712" s="178"/>
      <c r="H712" s="341"/>
    </row>
    <row r="713" spans="1:8" x14ac:dyDescent="0.25">
      <c r="A713" s="133"/>
      <c r="B713" s="260"/>
      <c r="C713" s="202"/>
      <c r="D713" s="226"/>
      <c r="E713" s="376"/>
      <c r="F713" s="169"/>
      <c r="G713" s="377"/>
      <c r="H713" s="341"/>
    </row>
    <row r="714" spans="1:8" x14ac:dyDescent="0.25">
      <c r="A714" s="133"/>
      <c r="B714" s="260"/>
      <c r="C714" s="226"/>
      <c r="D714" s="226"/>
      <c r="E714" s="346"/>
      <c r="F714" s="169"/>
      <c r="G714" s="377"/>
      <c r="H714" s="341"/>
    </row>
    <row r="715" spans="1:8" x14ac:dyDescent="0.25">
      <c r="A715" s="133"/>
      <c r="B715" s="195"/>
      <c r="C715" s="226"/>
      <c r="D715" s="226"/>
      <c r="E715" s="346"/>
      <c r="F715" s="169"/>
      <c r="G715" s="351"/>
      <c r="H715" s="341"/>
    </row>
    <row r="716" spans="1:8" x14ac:dyDescent="0.25">
      <c r="A716" s="133"/>
      <c r="B716" s="194"/>
      <c r="C716" s="202"/>
      <c r="D716" s="202"/>
      <c r="E716" s="346"/>
      <c r="F716" s="169"/>
      <c r="G716" s="351"/>
      <c r="H716" s="341"/>
    </row>
    <row r="717" spans="1:8" x14ac:dyDescent="0.25">
      <c r="A717" s="133"/>
      <c r="B717" s="195"/>
      <c r="C717" s="226"/>
      <c r="D717" s="226"/>
      <c r="E717" s="346"/>
      <c r="F717" s="169"/>
      <c r="G717" s="351"/>
      <c r="H717" s="341"/>
    </row>
    <row r="718" spans="1:8" x14ac:dyDescent="0.25">
      <c r="A718" s="133"/>
      <c r="B718" s="195"/>
      <c r="C718" s="226"/>
      <c r="D718" s="226"/>
      <c r="E718" s="346"/>
      <c r="F718" s="169"/>
      <c r="G718" s="351"/>
      <c r="H718" s="341"/>
    </row>
    <row r="719" spans="1:8" x14ac:dyDescent="0.25">
      <c r="A719" s="133"/>
      <c r="B719" s="195"/>
      <c r="C719" s="232"/>
      <c r="D719" s="232"/>
      <c r="E719" s="232"/>
      <c r="F719" s="226"/>
      <c r="G719" s="344"/>
      <c r="H719" s="341"/>
    </row>
    <row r="720" spans="1:8" x14ac:dyDescent="0.25">
      <c r="A720" s="133"/>
      <c r="B720" s="195"/>
      <c r="C720" s="232"/>
      <c r="D720" s="232"/>
      <c r="E720" s="232"/>
      <c r="F720" s="226"/>
      <c r="G720" s="344"/>
      <c r="H720" s="341"/>
    </row>
    <row r="721" spans="1:8" x14ac:dyDescent="0.25">
      <c r="A721" s="133"/>
      <c r="B721" s="195"/>
      <c r="C721" s="232"/>
      <c r="D721" s="232"/>
      <c r="E721" s="232"/>
      <c r="F721" s="226"/>
      <c r="G721" s="344"/>
      <c r="H721" s="341"/>
    </row>
    <row r="722" spans="1:8" ht="15.75" thickBot="1" x14ac:dyDescent="0.3">
      <c r="A722" s="133"/>
      <c r="B722" s="195"/>
      <c r="C722" s="232"/>
      <c r="D722" s="232"/>
      <c r="E722" s="232"/>
      <c r="F722" s="226"/>
      <c r="G722" s="344"/>
      <c r="H722" s="341"/>
    </row>
    <row r="723" spans="1:8" ht="15.75" thickBot="1" x14ac:dyDescent="0.3">
      <c r="A723" s="133"/>
      <c r="B723" s="233"/>
      <c r="C723" s="234"/>
      <c r="D723" s="234"/>
      <c r="E723" s="234"/>
      <c r="F723" s="235"/>
      <c r="G723" s="347"/>
      <c r="H723" s="358">
        <f>+SUM(G711:G723)</f>
        <v>100</v>
      </c>
    </row>
    <row r="724" spans="1:8" ht="15.75" thickBot="1" x14ac:dyDescent="0.3">
      <c r="A724" s="133"/>
      <c r="B724" s="238"/>
      <c r="C724" s="238"/>
      <c r="D724" s="238"/>
      <c r="E724" s="238"/>
      <c r="F724" s="239"/>
      <c r="G724" s="349"/>
      <c r="H724" s="350"/>
    </row>
    <row r="725" spans="1:8" ht="15.75" thickBot="1" x14ac:dyDescent="0.3">
      <c r="A725" s="133"/>
      <c r="B725" s="224" t="s">
        <v>5410</v>
      </c>
      <c r="C725" s="193" t="s">
        <v>867</v>
      </c>
      <c r="D725" s="193" t="s">
        <v>6</v>
      </c>
      <c r="E725" s="193" t="s">
        <v>870</v>
      </c>
      <c r="F725" s="193" t="s">
        <v>5411</v>
      </c>
      <c r="G725" s="343" t="s">
        <v>868</v>
      </c>
      <c r="H725" s="341"/>
    </row>
    <row r="726" spans="1:8" x14ac:dyDescent="0.25">
      <c r="A726" s="133"/>
      <c r="B726" s="245" t="s">
        <v>6393</v>
      </c>
      <c r="C726" s="283" t="s">
        <v>5424</v>
      </c>
      <c r="D726" s="283">
        <v>1</v>
      </c>
      <c r="E726" s="379">
        <v>500</v>
      </c>
      <c r="F726" s="283">
        <v>1</v>
      </c>
      <c r="G726" s="354">
        <f>+D726*E726*F726</f>
        <v>500</v>
      </c>
      <c r="H726" s="355"/>
    </row>
    <row r="727" spans="1:8" x14ac:dyDescent="0.25">
      <c r="A727" s="133"/>
      <c r="B727" s="247"/>
      <c r="C727" s="286"/>
      <c r="D727" s="286"/>
      <c r="E727" s="380"/>
      <c r="F727" s="286"/>
      <c r="G727" s="351"/>
      <c r="H727" s="341"/>
    </row>
    <row r="728" spans="1:8" x14ac:dyDescent="0.25">
      <c r="A728" s="133"/>
      <c r="B728" s="247"/>
      <c r="C728" s="286"/>
      <c r="D728" s="286"/>
      <c r="E728" s="288"/>
      <c r="F728" s="286"/>
      <c r="G728" s="344"/>
      <c r="H728" s="341"/>
    </row>
    <row r="729" spans="1:8" x14ac:dyDescent="0.25">
      <c r="A729" s="133"/>
      <c r="B729" s="194"/>
      <c r="C729" s="248"/>
      <c r="D729" s="248"/>
      <c r="E729" s="248"/>
      <c r="F729" s="202"/>
      <c r="G729" s="344"/>
      <c r="H729" s="341"/>
    </row>
    <row r="730" spans="1:8" ht="15.75" thickBot="1" x14ac:dyDescent="0.3">
      <c r="A730" s="133"/>
      <c r="B730" s="195"/>
      <c r="C730" s="232"/>
      <c r="D730" s="232"/>
      <c r="E730" s="232"/>
      <c r="F730" s="226"/>
      <c r="G730" s="344"/>
      <c r="H730" s="341"/>
    </row>
    <row r="731" spans="1:8" ht="15.75" thickBot="1" x14ac:dyDescent="0.3">
      <c r="A731" s="133"/>
      <c r="B731" s="233"/>
      <c r="C731" s="234"/>
      <c r="D731" s="234"/>
      <c r="E731" s="234"/>
      <c r="F731" s="235"/>
      <c r="G731" s="347"/>
      <c r="H731" s="348">
        <f>+SUM(G726:G731)</f>
        <v>500</v>
      </c>
    </row>
    <row r="732" spans="1:8" ht="15.75" thickBot="1" x14ac:dyDescent="0.3">
      <c r="A732" s="133"/>
      <c r="B732" s="238"/>
      <c r="C732" s="238"/>
      <c r="D732" s="238"/>
      <c r="E732" s="238"/>
      <c r="F732" s="249"/>
      <c r="G732" s="356"/>
      <c r="H732" s="350"/>
    </row>
    <row r="733" spans="1:8" ht="15.75" thickBot="1" x14ac:dyDescent="0.3">
      <c r="A733" s="133"/>
      <c r="B733" s="224" t="s">
        <v>5412</v>
      </c>
      <c r="C733" s="193" t="s">
        <v>5420</v>
      </c>
      <c r="D733" s="193" t="s">
        <v>5421</v>
      </c>
      <c r="E733" s="193" t="s">
        <v>5413</v>
      </c>
      <c r="F733" s="193" t="s">
        <v>5405</v>
      </c>
      <c r="G733" s="343" t="s">
        <v>868</v>
      </c>
      <c r="H733" s="341"/>
    </row>
    <row r="734" spans="1:8" x14ac:dyDescent="0.25">
      <c r="A734" s="133"/>
      <c r="B734" s="381" t="s">
        <v>5948</v>
      </c>
      <c r="C734" s="345">
        <v>70000</v>
      </c>
      <c r="D734" s="345">
        <f>+C734*0.85</f>
        <v>59500</v>
      </c>
      <c r="E734" s="345">
        <f>+C734+D734</f>
        <v>129500</v>
      </c>
      <c r="F734" s="204">
        <v>1000</v>
      </c>
      <c r="G734" s="351">
        <f>+E734/F734</f>
        <v>129.5</v>
      </c>
      <c r="H734" s="341"/>
    </row>
    <row r="735" spans="1:8" x14ac:dyDescent="0.25">
      <c r="A735" s="133"/>
      <c r="B735" s="385" t="s">
        <v>5949</v>
      </c>
      <c r="C735" s="345">
        <v>40000</v>
      </c>
      <c r="D735" s="345">
        <f>+C735*0.85</f>
        <v>34000</v>
      </c>
      <c r="E735" s="345">
        <f>+C735+D735</f>
        <v>74000</v>
      </c>
      <c r="F735" s="202">
        <v>100</v>
      </c>
      <c r="G735" s="351">
        <f>+E735/F735</f>
        <v>740</v>
      </c>
      <c r="H735" s="341"/>
    </row>
    <row r="736" spans="1:8" x14ac:dyDescent="0.25">
      <c r="A736" s="133"/>
      <c r="B736" s="385" t="s">
        <v>5950</v>
      </c>
      <c r="C736" s="345">
        <v>20600</v>
      </c>
      <c r="D736" s="345">
        <f>+C736*0.85</f>
        <v>17510</v>
      </c>
      <c r="E736" s="345">
        <f>+C736+D736</f>
        <v>38110</v>
      </c>
      <c r="F736" s="226">
        <v>50</v>
      </c>
      <c r="G736" s="351">
        <f>+E736/F736</f>
        <v>762.2</v>
      </c>
      <c r="H736" s="341"/>
    </row>
    <row r="737" spans="1:9" x14ac:dyDescent="0.25">
      <c r="A737" s="133"/>
      <c r="B737" s="195"/>
      <c r="C737" s="346"/>
      <c r="D737" s="345"/>
      <c r="E737" s="345"/>
      <c r="F737" s="226"/>
      <c r="G737" s="351"/>
      <c r="H737" s="341"/>
    </row>
    <row r="738" spans="1:9" x14ac:dyDescent="0.25">
      <c r="A738" s="133"/>
      <c r="B738" s="195"/>
      <c r="C738" s="232"/>
      <c r="D738" s="232"/>
      <c r="E738" s="232"/>
      <c r="F738" s="226"/>
      <c r="G738" s="344"/>
      <c r="H738" s="341"/>
    </row>
    <row r="739" spans="1:9" ht="15.75" thickBot="1" x14ac:dyDescent="0.3">
      <c r="A739" s="133"/>
      <c r="B739" s="195"/>
      <c r="C739" s="232"/>
      <c r="D739" s="232"/>
      <c r="E739" s="232"/>
      <c r="F739" s="226"/>
      <c r="G739" s="344"/>
      <c r="H739" s="341"/>
    </row>
    <row r="740" spans="1:9" ht="15.75" thickBot="1" x14ac:dyDescent="0.3">
      <c r="A740" s="133"/>
      <c r="B740" s="251"/>
      <c r="C740" s="252"/>
      <c r="D740" s="252"/>
      <c r="E740" s="252"/>
      <c r="F740" s="253"/>
      <c r="G740" s="357"/>
      <c r="H740" s="358">
        <f>+SUM(G734:G740)</f>
        <v>1631.7</v>
      </c>
    </row>
    <row r="741" spans="1:9" ht="15.75" thickBot="1" x14ac:dyDescent="0.3">
      <c r="A741" s="133"/>
      <c r="B741" s="8"/>
      <c r="C741" s="8"/>
      <c r="D741" s="8"/>
      <c r="E741" s="8"/>
      <c r="F741" s="133"/>
      <c r="G741" s="341"/>
      <c r="H741" s="341"/>
    </row>
    <row r="742" spans="1:9" ht="15.75" thickBot="1" x14ac:dyDescent="0.3">
      <c r="A742" s="133"/>
      <c r="B742" s="8"/>
      <c r="C742" s="8"/>
      <c r="D742" s="8"/>
      <c r="E742" s="223" t="s">
        <v>5415</v>
      </c>
      <c r="F742" s="133"/>
      <c r="G742" s="341"/>
      <c r="H742" s="358">
        <f>ROUND(+H740+H731+H723+H708,0)</f>
        <v>2935</v>
      </c>
    </row>
    <row r="747" spans="1:9" ht="18.75" x14ac:dyDescent="0.25">
      <c r="A747" s="133"/>
      <c r="B747" s="611" t="s">
        <v>5400</v>
      </c>
      <c r="C747" s="611"/>
      <c r="D747" s="611"/>
      <c r="E747" s="611"/>
      <c r="F747" s="611"/>
      <c r="G747" s="611"/>
      <c r="H747" s="611"/>
      <c r="I747" s="8"/>
    </row>
    <row r="748" spans="1:9" x14ac:dyDescent="0.25">
      <c r="A748" s="133"/>
      <c r="B748" s="8"/>
      <c r="C748" s="8"/>
      <c r="D748" s="8"/>
      <c r="E748" s="8"/>
      <c r="G748" s="133"/>
      <c r="H748" s="341"/>
      <c r="I748" s="341"/>
    </row>
    <row r="749" spans="1:9" x14ac:dyDescent="0.25">
      <c r="A749" s="133"/>
      <c r="B749" s="8"/>
      <c r="C749" s="8"/>
      <c r="D749" s="8"/>
      <c r="E749" s="8"/>
      <c r="G749" s="133"/>
      <c r="H749" s="341"/>
      <c r="I749" s="341"/>
    </row>
    <row r="750" spans="1:9" x14ac:dyDescent="0.25">
      <c r="A750" s="133"/>
      <c r="B750" s="8"/>
      <c r="C750" s="8"/>
      <c r="D750" s="8"/>
      <c r="E750" s="8"/>
      <c r="G750" s="133"/>
      <c r="H750" s="341"/>
      <c r="I750" s="341"/>
    </row>
    <row r="751" spans="1:9" x14ac:dyDescent="0.25">
      <c r="A751" s="220" t="s">
        <v>5482</v>
      </c>
      <c r="B751" s="138" t="s">
        <v>6520</v>
      </c>
      <c r="C751" s="612" t="s">
        <v>6521</v>
      </c>
      <c r="D751" s="612"/>
      <c r="E751" s="612"/>
      <c r="F751" s="612"/>
      <c r="G751" s="220" t="s">
        <v>867</v>
      </c>
      <c r="H751" s="342" t="s">
        <v>5944</v>
      </c>
      <c r="I751" s="341"/>
    </row>
    <row r="752" spans="1:9" x14ac:dyDescent="0.25">
      <c r="A752" s="133"/>
      <c r="B752" s="8"/>
      <c r="C752" s="223"/>
      <c r="D752" s="223"/>
      <c r="E752" s="223"/>
      <c r="F752" s="140"/>
      <c r="G752" s="133"/>
      <c r="H752" s="341"/>
      <c r="I752" s="341"/>
    </row>
    <row r="753" spans="1:9" x14ac:dyDescent="0.25">
      <c r="A753" s="133"/>
      <c r="B753" s="8"/>
      <c r="C753" s="8"/>
      <c r="D753" s="8"/>
      <c r="E753" s="8"/>
      <c r="F753" s="140"/>
      <c r="G753" s="8"/>
      <c r="H753" s="8"/>
      <c r="I753" s="341"/>
    </row>
    <row r="754" spans="1:9" ht="15.75" thickBot="1" x14ac:dyDescent="0.3">
      <c r="A754" s="133"/>
      <c r="B754" s="8"/>
      <c r="C754" s="8"/>
      <c r="D754" s="8"/>
      <c r="E754" s="8"/>
      <c r="F754" s="140"/>
      <c r="G754" s="133"/>
      <c r="H754" s="341"/>
      <c r="I754" s="341"/>
    </row>
    <row r="755" spans="1:9" ht="15.75" thickBot="1" x14ac:dyDescent="0.3">
      <c r="A755" s="133"/>
      <c r="B755" s="224" t="s">
        <v>5403</v>
      </c>
      <c r="C755" s="193" t="s">
        <v>867</v>
      </c>
      <c r="D755" s="193" t="s">
        <v>6</v>
      </c>
      <c r="E755" s="144" t="s">
        <v>5404</v>
      </c>
      <c r="F755" s="193" t="s">
        <v>5405</v>
      </c>
      <c r="G755" s="343" t="s">
        <v>868</v>
      </c>
      <c r="H755" s="341"/>
    </row>
    <row r="756" spans="1:9" x14ac:dyDescent="0.25">
      <c r="A756" s="133"/>
      <c r="B756" s="195" t="s">
        <v>5440</v>
      </c>
      <c r="C756" s="226"/>
      <c r="D756" s="226"/>
      <c r="E756" s="148">
        <f>H794</f>
        <v>1538.2750000000001</v>
      </c>
      <c r="F756" s="226">
        <v>0.2</v>
      </c>
      <c r="G756" s="373">
        <f>E756*F756</f>
        <v>307.65500000000003</v>
      </c>
      <c r="H756" s="341"/>
    </row>
    <row r="757" spans="1:9" x14ac:dyDescent="0.25">
      <c r="A757" s="133"/>
      <c r="B757" s="195"/>
      <c r="C757" s="226"/>
      <c r="D757" s="226"/>
      <c r="E757" s="148"/>
      <c r="F757" s="226"/>
      <c r="G757" s="344"/>
      <c r="H757" s="341"/>
    </row>
    <row r="758" spans="1:9" x14ac:dyDescent="0.25">
      <c r="A758" s="133"/>
      <c r="B758" s="195"/>
      <c r="C758" s="226"/>
      <c r="D758" s="226"/>
      <c r="E758" s="148"/>
      <c r="F758" s="226"/>
      <c r="G758" s="344"/>
      <c r="H758" s="341"/>
    </row>
    <row r="759" spans="1:9" x14ac:dyDescent="0.25">
      <c r="A759" s="133"/>
      <c r="B759" s="195"/>
      <c r="C759" s="226"/>
      <c r="D759" s="226"/>
      <c r="E759" s="152"/>
      <c r="F759" s="226"/>
      <c r="G759" s="375"/>
      <c r="H759" s="341"/>
    </row>
    <row r="760" spans="1:9" x14ac:dyDescent="0.25">
      <c r="A760" s="133"/>
      <c r="B760" s="195"/>
      <c r="C760" s="226"/>
      <c r="D760" s="232"/>
      <c r="E760" s="152"/>
      <c r="F760" s="226"/>
      <c r="G760" s="344"/>
      <c r="H760" s="341"/>
    </row>
    <row r="761" spans="1:9" ht="15.75" thickBot="1" x14ac:dyDescent="0.3">
      <c r="A761" s="133"/>
      <c r="B761" s="195"/>
      <c r="C761" s="226"/>
      <c r="D761" s="232"/>
      <c r="E761" s="152"/>
      <c r="F761" s="226"/>
      <c r="G761" s="344"/>
      <c r="H761" s="341"/>
    </row>
    <row r="762" spans="1:9" ht="15.75" thickBot="1" x14ac:dyDescent="0.3">
      <c r="A762" s="133"/>
      <c r="B762" s="233"/>
      <c r="C762" s="234"/>
      <c r="D762" s="234"/>
      <c r="E762" s="159"/>
      <c r="F762" s="235"/>
      <c r="G762" s="347"/>
      <c r="H762" s="348">
        <f>SUM(G756:G762)</f>
        <v>307.65500000000003</v>
      </c>
    </row>
    <row r="763" spans="1:9" ht="15.75" thickBot="1" x14ac:dyDescent="0.3">
      <c r="A763" s="133"/>
      <c r="B763" s="238"/>
      <c r="C763" s="238"/>
      <c r="D763" s="238"/>
      <c r="E763" s="162"/>
      <c r="F763" s="239"/>
      <c r="G763" s="349"/>
      <c r="H763" s="350"/>
    </row>
    <row r="764" spans="1:9" ht="15.75" thickBot="1" x14ac:dyDescent="0.3">
      <c r="A764" s="133"/>
      <c r="B764" s="224" t="s">
        <v>5408</v>
      </c>
      <c r="C764" s="193" t="s">
        <v>867</v>
      </c>
      <c r="D764" s="193" t="s">
        <v>6</v>
      </c>
      <c r="E764" s="144" t="s">
        <v>870</v>
      </c>
      <c r="F764" s="193" t="s">
        <v>5409</v>
      </c>
      <c r="G764" s="343" t="s">
        <v>868</v>
      </c>
      <c r="H764" s="341"/>
    </row>
    <row r="765" spans="1:9" x14ac:dyDescent="0.25">
      <c r="A765" s="133"/>
      <c r="B765" s="289" t="s">
        <v>6522</v>
      </c>
      <c r="C765" s="202" t="s">
        <v>5944</v>
      </c>
      <c r="D765" s="197">
        <v>1</v>
      </c>
      <c r="E765" s="366">
        <v>7250</v>
      </c>
      <c r="F765" s="169">
        <v>0.02</v>
      </c>
      <c r="G765" s="377">
        <f>D765*E765*(1+F765)</f>
        <v>7395</v>
      </c>
      <c r="H765" s="341"/>
    </row>
    <row r="766" spans="1:9" x14ac:dyDescent="0.25">
      <c r="A766" s="133"/>
      <c r="B766" s="247"/>
      <c r="C766" s="202"/>
      <c r="D766" s="202"/>
      <c r="E766" s="366"/>
      <c r="F766" s="169"/>
      <c r="G766" s="377"/>
      <c r="H766" s="341"/>
    </row>
    <row r="767" spans="1:9" x14ac:dyDescent="0.25">
      <c r="A767" s="133"/>
      <c r="B767" s="247"/>
      <c r="C767" s="202"/>
      <c r="D767" s="226"/>
      <c r="E767" s="366"/>
      <c r="F767" s="169"/>
      <c r="G767" s="377"/>
      <c r="H767" s="341"/>
    </row>
    <row r="768" spans="1:9" x14ac:dyDescent="0.25">
      <c r="A768" s="133"/>
      <c r="B768" s="194"/>
      <c r="C768" s="226"/>
      <c r="D768" s="226"/>
      <c r="E768" s="366"/>
      <c r="F768" s="169"/>
      <c r="G768" s="377"/>
      <c r="H768" s="341"/>
    </row>
    <row r="769" spans="1:8" x14ac:dyDescent="0.25">
      <c r="A769" s="133"/>
      <c r="B769" s="195"/>
      <c r="C769" s="226"/>
      <c r="D769" s="226"/>
      <c r="E769" s="152"/>
      <c r="F769" s="169"/>
      <c r="G769" s="351"/>
      <c r="H769" s="341"/>
    </row>
    <row r="770" spans="1:8" x14ac:dyDescent="0.25">
      <c r="A770" s="133"/>
      <c r="B770" s="194"/>
      <c r="C770" s="202"/>
      <c r="D770" s="202"/>
      <c r="E770" s="152"/>
      <c r="F770" s="169"/>
      <c r="G770" s="351"/>
      <c r="H770" s="341"/>
    </row>
    <row r="771" spans="1:8" x14ac:dyDescent="0.25">
      <c r="A771" s="133"/>
      <c r="B771" s="195"/>
      <c r="C771" s="226"/>
      <c r="D771" s="226"/>
      <c r="E771" s="152"/>
      <c r="F771" s="169"/>
      <c r="G771" s="351"/>
      <c r="H771" s="341"/>
    </row>
    <row r="772" spans="1:8" x14ac:dyDescent="0.25">
      <c r="A772" s="133"/>
      <c r="B772" s="195"/>
      <c r="C772" s="226"/>
      <c r="D772" s="226"/>
      <c r="E772" s="152"/>
      <c r="F772" s="169"/>
      <c r="G772" s="351"/>
      <c r="H772" s="341"/>
    </row>
    <row r="773" spans="1:8" x14ac:dyDescent="0.25">
      <c r="A773" s="133"/>
      <c r="B773" s="195"/>
      <c r="C773" s="232"/>
      <c r="D773" s="232"/>
      <c r="E773" s="152"/>
      <c r="F773" s="226"/>
      <c r="G773" s="344"/>
      <c r="H773" s="341"/>
    </row>
    <row r="774" spans="1:8" x14ac:dyDescent="0.25">
      <c r="A774" s="133"/>
      <c r="B774" s="195"/>
      <c r="C774" s="232"/>
      <c r="D774" s="232"/>
      <c r="E774" s="152"/>
      <c r="F774" s="226"/>
      <c r="G774" s="344"/>
      <c r="H774" s="341"/>
    </row>
    <row r="775" spans="1:8" x14ac:dyDescent="0.25">
      <c r="A775" s="133"/>
      <c r="B775" s="195"/>
      <c r="C775" s="232"/>
      <c r="D775" s="232"/>
      <c r="E775" s="152"/>
      <c r="F775" s="226"/>
      <c r="G775" s="344"/>
      <c r="H775" s="341"/>
    </row>
    <row r="776" spans="1:8" ht="15.75" thickBot="1" x14ac:dyDescent="0.3">
      <c r="A776" s="133"/>
      <c r="B776" s="195"/>
      <c r="C776" s="232"/>
      <c r="D776" s="232"/>
      <c r="E776" s="152"/>
      <c r="F776" s="226"/>
      <c r="G776" s="344"/>
      <c r="H776" s="341"/>
    </row>
    <row r="777" spans="1:8" ht="15.75" thickBot="1" x14ac:dyDescent="0.3">
      <c r="A777" s="133"/>
      <c r="B777" s="233"/>
      <c r="C777" s="234"/>
      <c r="D777" s="234"/>
      <c r="E777" s="159"/>
      <c r="F777" s="235"/>
      <c r="G777" s="347"/>
      <c r="H777" s="358">
        <f>SUM(G765:G777)</f>
        <v>7395</v>
      </c>
    </row>
    <row r="778" spans="1:8" ht="15.75" thickBot="1" x14ac:dyDescent="0.3">
      <c r="A778" s="133"/>
      <c r="B778" s="238"/>
      <c r="C778" s="238"/>
      <c r="D778" s="238"/>
      <c r="E778" s="162"/>
      <c r="F778" s="239"/>
      <c r="G778" s="349"/>
      <c r="H778" s="350"/>
    </row>
    <row r="779" spans="1:8" ht="15.75" thickBot="1" x14ac:dyDescent="0.3">
      <c r="A779" s="133"/>
      <c r="B779" s="224" t="s">
        <v>5410</v>
      </c>
      <c r="C779" s="193" t="s">
        <v>867</v>
      </c>
      <c r="D779" s="193" t="s">
        <v>6</v>
      </c>
      <c r="E779" s="144" t="s">
        <v>870</v>
      </c>
      <c r="F779" s="193" t="s">
        <v>5411</v>
      </c>
      <c r="G779" s="343" t="s">
        <v>868</v>
      </c>
      <c r="H779" s="341"/>
    </row>
    <row r="780" spans="1:8" x14ac:dyDescent="0.25">
      <c r="A780" s="133"/>
      <c r="B780" s="245"/>
      <c r="C780" s="202"/>
      <c r="D780" s="202"/>
      <c r="E780" s="366"/>
      <c r="F780" s="202"/>
      <c r="G780" s="354"/>
      <c r="H780" s="355"/>
    </row>
    <row r="781" spans="1:8" x14ac:dyDescent="0.25">
      <c r="A781" s="133"/>
      <c r="B781" s="247"/>
      <c r="C781" s="202"/>
      <c r="D781" s="202"/>
      <c r="E781" s="366"/>
      <c r="F781" s="202"/>
      <c r="G781" s="351"/>
      <c r="H781" s="341"/>
    </row>
    <row r="782" spans="1:8" x14ac:dyDescent="0.25">
      <c r="A782" s="133"/>
      <c r="B782" s="247"/>
      <c r="C782" s="202"/>
      <c r="D782" s="226"/>
      <c r="E782" s="152"/>
      <c r="F782" s="226"/>
      <c r="G782" s="344"/>
      <c r="H782" s="341"/>
    </row>
    <row r="783" spans="1:8" x14ac:dyDescent="0.25">
      <c r="A783" s="133"/>
      <c r="B783" s="194"/>
      <c r="C783" s="232"/>
      <c r="D783" s="232"/>
      <c r="E783" s="152"/>
      <c r="F783" s="226"/>
      <c r="G783" s="344"/>
      <c r="H783" s="341"/>
    </row>
    <row r="784" spans="1:8" ht="15.75" thickBot="1" x14ac:dyDescent="0.3">
      <c r="A784" s="133"/>
      <c r="B784" s="195"/>
      <c r="C784" s="232"/>
      <c r="D784" s="232"/>
      <c r="E784" s="152"/>
      <c r="F784" s="226"/>
      <c r="G784" s="344"/>
      <c r="H784" s="341"/>
    </row>
    <row r="785" spans="1:8" ht="15.75" thickBot="1" x14ac:dyDescent="0.3">
      <c r="A785" s="133"/>
      <c r="B785" s="233"/>
      <c r="C785" s="234"/>
      <c r="D785" s="234"/>
      <c r="E785" s="159"/>
      <c r="F785" s="235"/>
      <c r="G785" s="347"/>
      <c r="H785" s="348">
        <f>SUM(G780:G785)</f>
        <v>0</v>
      </c>
    </row>
    <row r="786" spans="1:8" ht="15.75" thickBot="1" x14ac:dyDescent="0.3">
      <c r="A786" s="133"/>
      <c r="B786" s="238"/>
      <c r="C786" s="238"/>
      <c r="D786" s="238"/>
      <c r="E786" s="162"/>
      <c r="F786" s="249"/>
      <c r="G786" s="356"/>
      <c r="H786" s="350"/>
    </row>
    <row r="787" spans="1:8" ht="15.75" thickBot="1" x14ac:dyDescent="0.3">
      <c r="A787" s="133"/>
      <c r="B787" s="224" t="s">
        <v>5412</v>
      </c>
      <c r="C787" s="193" t="s">
        <v>5420</v>
      </c>
      <c r="D787" s="193" t="s">
        <v>5421</v>
      </c>
      <c r="E787" s="144" t="s">
        <v>5413</v>
      </c>
      <c r="F787" s="193" t="s">
        <v>5405</v>
      </c>
      <c r="G787" s="343" t="s">
        <v>868</v>
      </c>
      <c r="H787" s="341"/>
    </row>
    <row r="788" spans="1:8" x14ac:dyDescent="0.25">
      <c r="A788" s="133"/>
      <c r="B788" s="194" t="s">
        <v>6523</v>
      </c>
      <c r="C788" s="345">
        <v>70000</v>
      </c>
      <c r="D788" s="345">
        <f>C788*0.85</f>
        <v>59500</v>
      </c>
      <c r="E788" s="353">
        <f>C788+D788</f>
        <v>129500</v>
      </c>
      <c r="F788" s="192">
        <v>2000</v>
      </c>
      <c r="G788" s="351">
        <f>E788/F788</f>
        <v>64.75</v>
      </c>
      <c r="H788" s="341"/>
    </row>
    <row r="789" spans="1:8" x14ac:dyDescent="0.25">
      <c r="A789" s="133"/>
      <c r="B789" s="194" t="s">
        <v>6524</v>
      </c>
      <c r="C789" s="345">
        <v>40000</v>
      </c>
      <c r="D789" s="345">
        <f>C789*0.85</f>
        <v>34000</v>
      </c>
      <c r="E789" s="353">
        <f>C789+D789</f>
        <v>74000</v>
      </c>
      <c r="F789" s="192">
        <v>200</v>
      </c>
      <c r="G789" s="351">
        <f>E789/F789</f>
        <v>370</v>
      </c>
      <c r="H789" s="341"/>
    </row>
    <row r="790" spans="1:8" x14ac:dyDescent="0.25">
      <c r="A790" s="133"/>
      <c r="B790" s="195" t="s">
        <v>6525</v>
      </c>
      <c r="C790" s="345">
        <v>19650</v>
      </c>
      <c r="D790" s="345">
        <f>C790*0.85</f>
        <v>16702.5</v>
      </c>
      <c r="E790" s="353">
        <f>C790+D790</f>
        <v>36352.5</v>
      </c>
      <c r="F790" s="192">
        <v>100</v>
      </c>
      <c r="G790" s="351">
        <f>E790/F790</f>
        <v>363.52499999999998</v>
      </c>
      <c r="H790" s="341"/>
    </row>
    <row r="791" spans="1:8" x14ac:dyDescent="0.25">
      <c r="A791" s="133"/>
      <c r="B791" s="195" t="s">
        <v>6526</v>
      </c>
      <c r="C791" s="346">
        <v>200000</v>
      </c>
      <c r="D791" s="345">
        <f>C791*0.85</f>
        <v>170000</v>
      </c>
      <c r="E791" s="353">
        <f>C791+D791</f>
        <v>370000</v>
      </c>
      <c r="F791" s="192">
        <v>500</v>
      </c>
      <c r="G791" s="351">
        <f>E791/F791</f>
        <v>740</v>
      </c>
      <c r="H791" s="341"/>
    </row>
    <row r="792" spans="1:8" x14ac:dyDescent="0.25">
      <c r="A792" s="133"/>
      <c r="B792" s="195"/>
      <c r="C792" s="232"/>
      <c r="D792" s="232"/>
      <c r="E792" s="152"/>
      <c r="F792" s="226"/>
      <c r="G792" s="344"/>
      <c r="H792" s="341"/>
    </row>
    <row r="793" spans="1:8" ht="15.75" thickBot="1" x14ac:dyDescent="0.3">
      <c r="A793" s="133"/>
      <c r="B793" s="195"/>
      <c r="C793" s="232"/>
      <c r="D793" s="232"/>
      <c r="E793" s="152"/>
      <c r="F793" s="226"/>
      <c r="G793" s="344"/>
      <c r="H793" s="341"/>
    </row>
    <row r="794" spans="1:8" ht="15.75" thickBot="1" x14ac:dyDescent="0.3">
      <c r="A794" s="133"/>
      <c r="B794" s="251"/>
      <c r="C794" s="252"/>
      <c r="D794" s="252"/>
      <c r="E794" s="180"/>
      <c r="F794" s="253"/>
      <c r="G794" s="357"/>
      <c r="H794" s="348">
        <f>SUM(G788:G794)</f>
        <v>1538.2750000000001</v>
      </c>
    </row>
    <row r="795" spans="1:8" ht="15.75" thickBot="1" x14ac:dyDescent="0.3">
      <c r="A795" s="133"/>
      <c r="B795" s="8"/>
      <c r="C795" s="8"/>
      <c r="D795" s="8"/>
      <c r="E795" s="140"/>
      <c r="F795" s="133"/>
      <c r="G795" s="341"/>
      <c r="H795" s="341"/>
    </row>
    <row r="796" spans="1:8" ht="15.75" thickBot="1" x14ac:dyDescent="0.3">
      <c r="A796" s="133"/>
      <c r="B796" s="8"/>
      <c r="C796" s="8"/>
      <c r="D796" s="8"/>
      <c r="E796" s="183" t="s">
        <v>5415</v>
      </c>
      <c r="F796" s="133"/>
      <c r="G796" s="341"/>
      <c r="H796" s="358">
        <f>ROUND(+H794+H785+H777+H762,0)</f>
        <v>9241</v>
      </c>
    </row>
    <row r="801" spans="1:9" ht="18.75" x14ac:dyDescent="0.25">
      <c r="A801" s="133"/>
      <c r="B801" s="611" t="s">
        <v>5400</v>
      </c>
      <c r="C801" s="611"/>
      <c r="D801" s="611"/>
      <c r="E801" s="611"/>
      <c r="F801" s="611"/>
      <c r="G801" s="611"/>
      <c r="H801" s="611"/>
      <c r="I801" s="8"/>
    </row>
    <row r="804" spans="1:9" ht="15" customHeight="1" x14ac:dyDescent="0.25">
      <c r="A804" s="220" t="s">
        <v>5482</v>
      </c>
      <c r="B804" s="138" t="s">
        <v>750</v>
      </c>
      <c r="C804" s="2449" t="s">
        <v>6566</v>
      </c>
      <c r="D804" s="2449"/>
      <c r="E804" s="2449"/>
      <c r="F804" s="220" t="s">
        <v>867</v>
      </c>
      <c r="G804" s="342" t="s">
        <v>5424</v>
      </c>
      <c r="H804" s="341"/>
    </row>
    <row r="805" spans="1:9" x14ac:dyDescent="0.25">
      <c r="A805" s="133"/>
      <c r="B805" s="8"/>
      <c r="C805" s="223"/>
      <c r="D805" s="223"/>
      <c r="E805" s="223"/>
      <c r="F805" s="133"/>
      <c r="G805" s="341"/>
      <c r="H805" s="341"/>
    </row>
    <row r="806" spans="1:9" x14ac:dyDescent="0.25">
      <c r="A806" s="133"/>
      <c r="B806" s="8"/>
      <c r="C806" s="8"/>
      <c r="D806" s="8"/>
      <c r="E806" s="8"/>
      <c r="F806" s="8"/>
      <c r="G806" s="8"/>
      <c r="H806" s="341"/>
    </row>
    <row r="807" spans="1:9" ht="15.75" thickBot="1" x14ac:dyDescent="0.3">
      <c r="A807" s="133"/>
      <c r="B807" s="8"/>
      <c r="C807" s="8"/>
      <c r="D807" s="8"/>
      <c r="E807" s="8"/>
      <c r="F807" s="133"/>
      <c r="G807" s="341"/>
      <c r="H807" s="341"/>
    </row>
    <row r="808" spans="1:9" ht="15.75" thickBot="1" x14ac:dyDescent="0.3">
      <c r="A808" s="133"/>
      <c r="B808" s="224" t="s">
        <v>5403</v>
      </c>
      <c r="C808" s="193" t="s">
        <v>867</v>
      </c>
      <c r="D808" s="193" t="s">
        <v>6</v>
      </c>
      <c r="E808" s="193" t="s">
        <v>5439</v>
      </c>
      <c r="F808" s="193" t="s">
        <v>5405</v>
      </c>
      <c r="G808" s="343" t="s">
        <v>868</v>
      </c>
      <c r="H808" s="341"/>
    </row>
    <row r="809" spans="1:9" x14ac:dyDescent="0.25">
      <c r="A809" s="133"/>
      <c r="B809" s="146" t="s">
        <v>5934</v>
      </c>
      <c r="C809" s="226"/>
      <c r="D809" s="226"/>
      <c r="E809" s="372">
        <f>+H848</f>
        <v>58645</v>
      </c>
      <c r="F809" s="226">
        <v>0.1</v>
      </c>
      <c r="G809" s="373">
        <f>+E809*F809</f>
        <v>5864.5</v>
      </c>
      <c r="H809" s="341"/>
    </row>
    <row r="810" spans="1:9" x14ac:dyDescent="0.25">
      <c r="A810" s="133"/>
      <c r="B810" s="195"/>
      <c r="C810" s="226"/>
      <c r="D810" s="226"/>
      <c r="E810" s="374"/>
      <c r="F810" s="226"/>
      <c r="G810" s="344"/>
      <c r="H810" s="341"/>
    </row>
    <row r="811" spans="1:9" x14ac:dyDescent="0.25">
      <c r="A811" s="133"/>
      <c r="B811" s="195"/>
      <c r="C811" s="226"/>
      <c r="D811" s="226"/>
      <c r="E811" s="345"/>
      <c r="F811" s="226"/>
      <c r="G811" s="344"/>
      <c r="H811" s="341"/>
    </row>
    <row r="812" spans="1:9" x14ac:dyDescent="0.25">
      <c r="A812" s="133"/>
      <c r="B812" s="195"/>
      <c r="C812" s="226"/>
      <c r="D812" s="226"/>
      <c r="E812" s="346"/>
      <c r="F812" s="226"/>
      <c r="G812" s="375"/>
      <c r="H812" s="341"/>
    </row>
    <row r="813" spans="1:9" x14ac:dyDescent="0.25">
      <c r="A813" s="133"/>
      <c r="B813" s="195"/>
      <c r="C813" s="226"/>
      <c r="D813" s="232"/>
      <c r="E813" s="232"/>
      <c r="F813" s="226"/>
      <c r="G813" s="344"/>
      <c r="H813" s="341"/>
    </row>
    <row r="814" spans="1:9" ht="15.75" thickBot="1" x14ac:dyDescent="0.3">
      <c r="A814" s="133"/>
      <c r="B814" s="195"/>
      <c r="C814" s="226"/>
      <c r="D814" s="232"/>
      <c r="E814" s="232"/>
      <c r="F814" s="226"/>
      <c r="G814" s="344"/>
      <c r="H814" s="341"/>
    </row>
    <row r="815" spans="1:9" ht="15.75" thickBot="1" x14ac:dyDescent="0.3">
      <c r="A815" s="133"/>
      <c r="B815" s="233"/>
      <c r="C815" s="234"/>
      <c r="D815" s="234"/>
      <c r="E815" s="234"/>
      <c r="F815" s="235"/>
      <c r="G815" s="347"/>
      <c r="H815" s="348">
        <f>+SUM(G809:G815)</f>
        <v>5864.5</v>
      </c>
    </row>
    <row r="816" spans="1:9" ht="15.75" thickBot="1" x14ac:dyDescent="0.3">
      <c r="A816" s="133"/>
      <c r="B816" s="238"/>
      <c r="C816" s="238"/>
      <c r="D816" s="238"/>
      <c r="E816" s="238"/>
      <c r="F816" s="239"/>
      <c r="G816" s="349"/>
      <c r="H816" s="350"/>
    </row>
    <row r="817" spans="1:8" ht="15.75" thickBot="1" x14ac:dyDescent="0.3">
      <c r="A817" s="133"/>
      <c r="B817" s="224" t="s">
        <v>5408</v>
      </c>
      <c r="C817" s="193" t="s">
        <v>867</v>
      </c>
      <c r="D817" s="193" t="s">
        <v>6</v>
      </c>
      <c r="E817" s="193" t="s">
        <v>870</v>
      </c>
      <c r="F817" s="193" t="s">
        <v>5409</v>
      </c>
      <c r="G817" s="343" t="s">
        <v>868</v>
      </c>
      <c r="H817" s="341"/>
    </row>
    <row r="818" spans="1:8" x14ac:dyDescent="0.25">
      <c r="A818" s="133"/>
      <c r="B818" s="258" t="s">
        <v>6563</v>
      </c>
      <c r="C818" s="202" t="s">
        <v>5402</v>
      </c>
      <c r="D818" s="226">
        <v>1</v>
      </c>
      <c r="E818" s="376">
        <f>1157680/6</f>
        <v>192946.66666666666</v>
      </c>
      <c r="F818" s="169">
        <v>0.1</v>
      </c>
      <c r="G818" s="377">
        <f>+E818*D818*(1+F818)</f>
        <v>212241.33333333334</v>
      </c>
      <c r="H818" s="341"/>
    </row>
    <row r="819" spans="1:8" x14ac:dyDescent="0.25">
      <c r="A819" s="133"/>
      <c r="B819" s="260" t="s">
        <v>6564</v>
      </c>
      <c r="C819" s="202" t="s">
        <v>5424</v>
      </c>
      <c r="D819" s="202">
        <v>2</v>
      </c>
      <c r="E819" s="378">
        <v>139200</v>
      </c>
      <c r="F819" s="169">
        <v>0.05</v>
      </c>
      <c r="G819" s="377">
        <f>+E819*D819*(1+F819)</f>
        <v>292320</v>
      </c>
      <c r="H819" s="341"/>
    </row>
    <row r="820" spans="1:8" x14ac:dyDescent="0.25">
      <c r="A820" s="133"/>
      <c r="B820" s="260" t="s">
        <v>6565</v>
      </c>
      <c r="C820" s="202" t="s">
        <v>5556</v>
      </c>
      <c r="D820" s="226">
        <v>1.7999999999999999E-2</v>
      </c>
      <c r="E820" s="376">
        <v>10000</v>
      </c>
      <c r="F820" s="169">
        <v>0.05</v>
      </c>
      <c r="G820" s="377">
        <f>+E820*D820*(1+F820)</f>
        <v>189</v>
      </c>
      <c r="H820" s="341"/>
    </row>
    <row r="821" spans="1:8" x14ac:dyDescent="0.25">
      <c r="A821" s="133"/>
      <c r="B821" s="260"/>
      <c r="C821" s="226"/>
      <c r="D821" s="226"/>
      <c r="E821" s="346"/>
      <c r="F821" s="169"/>
      <c r="G821" s="377"/>
      <c r="H821" s="341"/>
    </row>
    <row r="822" spans="1:8" x14ac:dyDescent="0.25">
      <c r="A822" s="133"/>
      <c r="B822" s="195"/>
      <c r="C822" s="226"/>
      <c r="D822" s="226"/>
      <c r="E822" s="346"/>
      <c r="F822" s="169"/>
      <c r="G822" s="351"/>
      <c r="H822" s="341"/>
    </row>
    <row r="823" spans="1:8" x14ac:dyDescent="0.25">
      <c r="A823" s="133"/>
      <c r="B823" s="194"/>
      <c r="C823" s="202"/>
      <c r="D823" s="202"/>
      <c r="E823" s="346"/>
      <c r="F823" s="169"/>
      <c r="G823" s="351"/>
      <c r="H823" s="341"/>
    </row>
    <row r="824" spans="1:8" x14ac:dyDescent="0.25">
      <c r="A824" s="133"/>
      <c r="B824" s="195"/>
      <c r="C824" s="226"/>
      <c r="D824" s="226"/>
      <c r="E824" s="346"/>
      <c r="F824" s="169"/>
      <c r="G824" s="351"/>
      <c r="H824" s="341"/>
    </row>
    <row r="825" spans="1:8" x14ac:dyDescent="0.25">
      <c r="A825" s="133"/>
      <c r="B825" s="195"/>
      <c r="C825" s="226"/>
      <c r="D825" s="226"/>
      <c r="E825" s="346"/>
      <c r="F825" s="169"/>
      <c r="G825" s="351"/>
      <c r="H825" s="341"/>
    </row>
    <row r="826" spans="1:8" x14ac:dyDescent="0.25">
      <c r="A826" s="133"/>
      <c r="B826" s="195"/>
      <c r="C826" s="232"/>
      <c r="D826" s="232"/>
      <c r="E826" s="232"/>
      <c r="F826" s="226"/>
      <c r="G826" s="344"/>
      <c r="H826" s="341"/>
    </row>
    <row r="827" spans="1:8" x14ac:dyDescent="0.25">
      <c r="A827" s="133"/>
      <c r="B827" s="195"/>
      <c r="C827" s="232"/>
      <c r="D827" s="232"/>
      <c r="E827" s="232"/>
      <c r="F827" s="226"/>
      <c r="G827" s="344"/>
      <c r="H827" s="341"/>
    </row>
    <row r="828" spans="1:8" x14ac:dyDescent="0.25">
      <c r="A828" s="133"/>
      <c r="B828" s="195"/>
      <c r="C828" s="232"/>
      <c r="D828" s="232"/>
      <c r="E828" s="232"/>
      <c r="F828" s="226"/>
      <c r="G828" s="344"/>
      <c r="H828" s="341"/>
    </row>
    <row r="829" spans="1:8" ht="15.75" thickBot="1" x14ac:dyDescent="0.3">
      <c r="A829" s="133"/>
      <c r="B829" s="195"/>
      <c r="C829" s="232"/>
      <c r="D829" s="232"/>
      <c r="E829" s="232"/>
      <c r="F829" s="226"/>
      <c r="G829" s="344"/>
      <c r="H829" s="341"/>
    </row>
    <row r="830" spans="1:8" ht="15.75" thickBot="1" x14ac:dyDescent="0.3">
      <c r="A830" s="133"/>
      <c r="B830" s="233"/>
      <c r="C830" s="234"/>
      <c r="D830" s="234"/>
      <c r="E830" s="234"/>
      <c r="F830" s="235"/>
      <c r="G830" s="347"/>
      <c r="H830" s="358">
        <f>+SUM(G818:G830)</f>
        <v>504750.33333333337</v>
      </c>
    </row>
    <row r="831" spans="1:8" ht="15.75" thickBot="1" x14ac:dyDescent="0.3">
      <c r="A831" s="133"/>
      <c r="B831" s="238"/>
      <c r="C831" s="238"/>
      <c r="D831" s="238"/>
      <c r="E831" s="238"/>
      <c r="F831" s="239"/>
      <c r="G831" s="349"/>
      <c r="H831" s="350"/>
    </row>
    <row r="832" spans="1:8" ht="15.75" thickBot="1" x14ac:dyDescent="0.3">
      <c r="A832" s="133"/>
      <c r="B832" s="224" t="s">
        <v>5410</v>
      </c>
      <c r="C832" s="193" t="s">
        <v>867</v>
      </c>
      <c r="D832" s="193" t="s">
        <v>6</v>
      </c>
      <c r="E832" s="193" t="s">
        <v>870</v>
      </c>
      <c r="F832" s="193" t="s">
        <v>5411</v>
      </c>
      <c r="G832" s="343" t="s">
        <v>868</v>
      </c>
      <c r="H832" s="341"/>
    </row>
    <row r="833" spans="1:8" x14ac:dyDescent="0.25">
      <c r="A833" s="133"/>
      <c r="B833" s="245"/>
      <c r="C833" s="283"/>
      <c r="D833" s="283"/>
      <c r="E833" s="379"/>
      <c r="F833" s="283"/>
      <c r="G833" s="354"/>
      <c r="H833" s="355"/>
    </row>
    <row r="834" spans="1:8" x14ac:dyDescent="0.25">
      <c r="A834" s="133"/>
      <c r="B834" s="247"/>
      <c r="C834" s="286"/>
      <c r="D834" s="286"/>
      <c r="E834" s="380"/>
      <c r="F834" s="286"/>
      <c r="G834" s="351"/>
      <c r="H834" s="341"/>
    </row>
    <row r="835" spans="1:8" x14ac:dyDescent="0.25">
      <c r="A835" s="133"/>
      <c r="B835" s="247"/>
      <c r="C835" s="286"/>
      <c r="D835" s="286"/>
      <c r="E835" s="380"/>
      <c r="F835" s="286"/>
      <c r="G835" s="351"/>
      <c r="H835" s="341"/>
    </row>
    <row r="836" spans="1:8" x14ac:dyDescent="0.25">
      <c r="A836" s="133"/>
      <c r="B836" s="247"/>
      <c r="C836" s="286"/>
      <c r="D836" s="286"/>
      <c r="E836" s="288"/>
      <c r="F836" s="286"/>
      <c r="G836" s="344"/>
      <c r="H836" s="341"/>
    </row>
    <row r="837" spans="1:8" x14ac:dyDescent="0.25">
      <c r="A837" s="133"/>
      <c r="B837" s="194"/>
      <c r="C837" s="248"/>
      <c r="D837" s="248"/>
      <c r="E837" s="248"/>
      <c r="F837" s="202"/>
      <c r="G837" s="344"/>
      <c r="H837" s="341"/>
    </row>
    <row r="838" spans="1:8" ht="15.75" thickBot="1" x14ac:dyDescent="0.3">
      <c r="A838" s="133"/>
      <c r="B838" s="195"/>
      <c r="C838" s="232"/>
      <c r="D838" s="232"/>
      <c r="E838" s="232"/>
      <c r="F838" s="226"/>
      <c r="G838" s="344"/>
      <c r="H838" s="341"/>
    </row>
    <row r="839" spans="1:8" ht="15.75" thickBot="1" x14ac:dyDescent="0.3">
      <c r="A839" s="133"/>
      <c r="B839" s="233"/>
      <c r="C839" s="234"/>
      <c r="D839" s="234"/>
      <c r="E839" s="234"/>
      <c r="F839" s="235"/>
      <c r="G839" s="347"/>
      <c r="H839" s="348">
        <f>+SUM(G833:G839)</f>
        <v>0</v>
      </c>
    </row>
    <row r="840" spans="1:8" ht="15.75" thickBot="1" x14ac:dyDescent="0.3">
      <c r="A840" s="133"/>
      <c r="B840" s="238"/>
      <c r="C840" s="238"/>
      <c r="D840" s="238"/>
      <c r="E840" s="238"/>
      <c r="F840" s="249"/>
      <c r="G840" s="356"/>
      <c r="H840" s="350"/>
    </row>
    <row r="841" spans="1:8" ht="15.75" thickBot="1" x14ac:dyDescent="0.3">
      <c r="A841" s="133"/>
      <c r="B841" s="224" t="s">
        <v>5412</v>
      </c>
      <c r="C841" s="193" t="s">
        <v>5420</v>
      </c>
      <c r="D841" s="193" t="s">
        <v>5421</v>
      </c>
      <c r="E841" s="193" t="s">
        <v>5413</v>
      </c>
      <c r="F841" s="193" t="s">
        <v>5405</v>
      </c>
      <c r="G841" s="343" t="s">
        <v>868</v>
      </c>
      <c r="H841" s="341"/>
    </row>
    <row r="842" spans="1:8" x14ac:dyDescent="0.25">
      <c r="A842" s="133"/>
      <c r="B842" s="381" t="s">
        <v>5948</v>
      </c>
      <c r="C842" s="345">
        <v>70000</v>
      </c>
      <c r="D842" s="345">
        <f>+C842*0.85</f>
        <v>59500</v>
      </c>
      <c r="E842" s="345">
        <f>+C842+D842</f>
        <v>129500</v>
      </c>
      <c r="F842" s="204">
        <v>50</v>
      </c>
      <c r="G842" s="351">
        <f>+E842/F842</f>
        <v>2590</v>
      </c>
      <c r="H842" s="341"/>
    </row>
    <row r="843" spans="1:8" x14ac:dyDescent="0.25">
      <c r="A843" s="133"/>
      <c r="B843" s="385" t="s">
        <v>5949</v>
      </c>
      <c r="C843" s="345">
        <v>40000</v>
      </c>
      <c r="D843" s="345">
        <f>+C843*0.85</f>
        <v>34000</v>
      </c>
      <c r="E843" s="345">
        <f>+C843+D843</f>
        <v>74000</v>
      </c>
      <c r="F843" s="202">
        <v>2</v>
      </c>
      <c r="G843" s="351">
        <f>+E843/F843</f>
        <v>37000</v>
      </c>
      <c r="H843" s="341"/>
    </row>
    <row r="844" spans="1:8" x14ac:dyDescent="0.25">
      <c r="A844" s="133"/>
      <c r="B844" s="385" t="s">
        <v>5950</v>
      </c>
      <c r="C844" s="345">
        <v>20600</v>
      </c>
      <c r="D844" s="345">
        <f>+C844*0.85</f>
        <v>17510</v>
      </c>
      <c r="E844" s="345">
        <f>+C844+D844</f>
        <v>38110</v>
      </c>
      <c r="F844" s="226">
        <v>2</v>
      </c>
      <c r="G844" s="351">
        <f>+E844/F844</f>
        <v>19055</v>
      </c>
      <c r="H844" s="341"/>
    </row>
    <row r="845" spans="1:8" x14ac:dyDescent="0.25">
      <c r="A845" s="133"/>
      <c r="B845" s="195"/>
      <c r="C845" s="346"/>
      <c r="D845" s="345"/>
      <c r="E845" s="345"/>
      <c r="F845" s="226"/>
      <c r="G845" s="351"/>
      <c r="H845" s="341"/>
    </row>
    <row r="846" spans="1:8" x14ac:dyDescent="0.25">
      <c r="A846" s="133"/>
      <c r="B846" s="195"/>
      <c r="C846" s="232"/>
      <c r="D846" s="232"/>
      <c r="E846" s="232"/>
      <c r="F846" s="226"/>
      <c r="G846" s="344"/>
      <c r="H846" s="341"/>
    </row>
    <row r="847" spans="1:8" ht="15.75" thickBot="1" x14ac:dyDescent="0.3">
      <c r="A847" s="133"/>
      <c r="B847" s="195"/>
      <c r="C847" s="232"/>
      <c r="D847" s="232"/>
      <c r="E847" s="232"/>
      <c r="F847" s="226"/>
      <c r="G847" s="344"/>
      <c r="H847" s="341"/>
    </row>
    <row r="848" spans="1:8" ht="15.75" thickBot="1" x14ac:dyDescent="0.3">
      <c r="A848" s="133"/>
      <c r="B848" s="251"/>
      <c r="C848" s="252"/>
      <c r="D848" s="252"/>
      <c r="E848" s="252"/>
      <c r="F848" s="253"/>
      <c r="G848" s="357"/>
      <c r="H848" s="358">
        <f>+SUM(G842:G848)</f>
        <v>58645</v>
      </c>
    </row>
    <row r="849" spans="1:8" ht="15.75" thickBot="1" x14ac:dyDescent="0.3">
      <c r="A849" s="133"/>
      <c r="B849" s="8"/>
      <c r="C849" s="8"/>
      <c r="D849" s="8"/>
      <c r="E849" s="8"/>
      <c r="F849" s="133"/>
      <c r="G849" s="341"/>
      <c r="H849" s="341"/>
    </row>
    <row r="850" spans="1:8" ht="15.75" thickBot="1" x14ac:dyDescent="0.3">
      <c r="A850" s="133"/>
      <c r="B850" s="8"/>
      <c r="C850" s="8"/>
      <c r="D850" s="8"/>
      <c r="E850" s="223" t="s">
        <v>5415</v>
      </c>
      <c r="F850" s="133"/>
      <c r="G850" s="341"/>
      <c r="H850" s="358">
        <f>ROUND(+H848+H839+H830+H815,0)</f>
        <v>569260</v>
      </c>
    </row>
  </sheetData>
  <mergeCells count="39">
    <mergeCell ref="C804:E804"/>
    <mergeCell ref="B639:H639"/>
    <mergeCell ref="C643:E643"/>
    <mergeCell ref="B693:H693"/>
    <mergeCell ref="C697:E697"/>
    <mergeCell ref="C481:E481"/>
    <mergeCell ref="B531:H531"/>
    <mergeCell ref="C535:E535"/>
    <mergeCell ref="B585:H585"/>
    <mergeCell ref="C589:E589"/>
    <mergeCell ref="B423:H423"/>
    <mergeCell ref="J423:P423"/>
    <mergeCell ref="C427:E427"/>
    <mergeCell ref="K427:M427"/>
    <mergeCell ref="B477:H477"/>
    <mergeCell ref="B102:H102"/>
    <mergeCell ref="B2:G2"/>
    <mergeCell ref="C4:E4"/>
    <mergeCell ref="B52:G52"/>
    <mergeCell ref="C54:E54"/>
    <mergeCell ref="J210:P210"/>
    <mergeCell ref="K214:M214"/>
    <mergeCell ref="J156:P156"/>
    <mergeCell ref="K160:M160"/>
    <mergeCell ref="B264:H264"/>
    <mergeCell ref="J264:P264"/>
    <mergeCell ref="C106:E106"/>
    <mergeCell ref="B156:H156"/>
    <mergeCell ref="B210:H210"/>
    <mergeCell ref="B318:H318"/>
    <mergeCell ref="C322:E322"/>
    <mergeCell ref="C160:E160"/>
    <mergeCell ref="C214:E214"/>
    <mergeCell ref="C268:E268"/>
    <mergeCell ref="K268:M268"/>
    <mergeCell ref="K318:Q318"/>
    <mergeCell ref="B372:G372"/>
    <mergeCell ref="K322:M322"/>
    <mergeCell ref="C374:E374"/>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524"/>
  <sheetViews>
    <sheetView workbookViewId="0"/>
  </sheetViews>
  <sheetFormatPr baseColWidth="10" defaultRowHeight="15" x14ac:dyDescent="0.25"/>
  <cols>
    <col min="2" max="2" width="34.5703125" customWidth="1"/>
    <col min="3" max="3" width="10.7109375" customWidth="1"/>
    <col min="5" max="5" width="14.5703125" customWidth="1"/>
    <col min="6" max="6" width="12.7109375" customWidth="1"/>
    <col min="7" max="7" width="15" customWidth="1"/>
    <col min="8" max="8" width="16" customWidth="1"/>
    <col min="10" max="10" width="34.5703125" customWidth="1"/>
    <col min="11" max="11" width="10.7109375" customWidth="1"/>
    <col min="13" max="13" width="14.5703125" customWidth="1"/>
    <col min="14" max="14" width="12.7109375" customWidth="1"/>
    <col min="15" max="15" width="13.140625" customWidth="1"/>
    <col min="16" max="16" width="14.42578125" customWidth="1"/>
    <col min="18" max="18" width="34.5703125" customWidth="1"/>
    <col min="19" max="19" width="10.7109375" customWidth="1"/>
    <col min="21" max="21" width="14.5703125" customWidth="1"/>
    <col min="22" max="22" width="12.7109375" customWidth="1"/>
    <col min="23" max="23" width="13.140625" customWidth="1"/>
    <col min="24" max="24" width="14.42578125" customWidth="1"/>
    <col min="26" max="26" width="34.5703125" customWidth="1"/>
    <col min="27" max="27" width="10.7109375" customWidth="1"/>
    <col min="29" max="29" width="14.5703125" customWidth="1"/>
    <col min="30" max="30" width="12.7109375" customWidth="1"/>
    <col min="31" max="31" width="13.140625" customWidth="1"/>
    <col min="32" max="32" width="14.42578125" customWidth="1"/>
    <col min="34" max="34" width="34.5703125" customWidth="1"/>
    <col min="35" max="35" width="10.7109375" customWidth="1"/>
    <col min="37" max="37" width="14.5703125" customWidth="1"/>
    <col min="38" max="38" width="12.7109375" customWidth="1"/>
    <col min="39" max="39" width="13.140625" customWidth="1"/>
    <col min="40" max="40" width="14.42578125" customWidth="1"/>
  </cols>
  <sheetData>
    <row r="1" spans="1:32" x14ac:dyDescent="0.25">
      <c r="A1" s="133"/>
      <c r="B1" s="8"/>
      <c r="C1" s="8"/>
      <c r="D1" s="8"/>
      <c r="E1" s="8"/>
      <c r="F1" s="8"/>
      <c r="G1" s="8"/>
      <c r="H1" s="133"/>
      <c r="I1" s="133"/>
      <c r="J1" s="8"/>
      <c r="K1" s="8"/>
      <c r="L1" s="8"/>
      <c r="M1" s="8"/>
      <c r="N1" s="8"/>
      <c r="O1" s="8"/>
      <c r="P1" s="133"/>
      <c r="Q1" s="133"/>
      <c r="R1" s="8"/>
      <c r="S1" s="8"/>
      <c r="T1" s="8"/>
      <c r="U1" s="8"/>
      <c r="V1" s="8"/>
      <c r="W1" s="8"/>
      <c r="X1" s="133"/>
      <c r="Y1" s="133"/>
      <c r="Z1" s="8"/>
      <c r="AA1" s="8"/>
      <c r="AB1" s="8"/>
      <c r="AC1" s="8"/>
      <c r="AD1" s="8"/>
      <c r="AE1" s="8"/>
      <c r="AF1" s="133"/>
    </row>
    <row r="2" spans="1:32" x14ac:dyDescent="0.25">
      <c r="A2" s="397"/>
      <c r="B2" s="2512" t="s">
        <v>5400</v>
      </c>
      <c r="C2" s="2512"/>
      <c r="D2" s="2512"/>
      <c r="E2" s="2512"/>
      <c r="F2" s="2512"/>
      <c r="G2" s="2512"/>
      <c r="H2" s="398"/>
      <c r="I2" s="397"/>
      <c r="J2" s="2512" t="s">
        <v>5400</v>
      </c>
      <c r="K2" s="2512"/>
      <c r="L2" s="2512"/>
      <c r="M2" s="2512"/>
      <c r="N2" s="2512"/>
      <c r="O2" s="2512"/>
      <c r="P2" s="398"/>
      <c r="Q2" s="397"/>
      <c r="R2" s="2512" t="s">
        <v>5400</v>
      </c>
      <c r="S2" s="2512"/>
      <c r="T2" s="2512"/>
      <c r="U2" s="2512"/>
      <c r="V2" s="2512"/>
      <c r="W2" s="2512"/>
      <c r="X2" s="398"/>
      <c r="Y2" s="397"/>
      <c r="Z2" s="2512" t="s">
        <v>5400</v>
      </c>
      <c r="AA2" s="2512"/>
      <c r="AB2" s="2512"/>
      <c r="AC2" s="2512"/>
      <c r="AD2" s="2512"/>
      <c r="AE2" s="2512"/>
      <c r="AF2" s="398"/>
    </row>
    <row r="3" spans="1:32" x14ac:dyDescent="0.25">
      <c r="A3" s="397"/>
      <c r="B3" s="399"/>
      <c r="C3" s="399"/>
      <c r="D3" s="397"/>
      <c r="E3" s="397"/>
      <c r="F3" s="400"/>
      <c r="G3" s="401"/>
      <c r="H3" s="401"/>
      <c r="I3" s="397"/>
      <c r="J3" s="399"/>
      <c r="K3" s="399"/>
      <c r="L3" s="397"/>
      <c r="M3" s="397"/>
      <c r="N3" s="400"/>
      <c r="O3" s="401"/>
      <c r="P3" s="401"/>
      <c r="Q3" s="397"/>
      <c r="R3" s="399"/>
      <c r="S3" s="399"/>
      <c r="T3" s="397"/>
      <c r="U3" s="397"/>
      <c r="V3" s="400"/>
      <c r="W3" s="401"/>
      <c r="X3" s="401"/>
      <c r="Y3" s="397"/>
      <c r="Z3" s="399"/>
      <c r="AA3" s="399"/>
      <c r="AB3" s="397"/>
      <c r="AC3" s="397"/>
      <c r="AD3" s="400"/>
      <c r="AE3" s="401"/>
      <c r="AF3" s="401"/>
    </row>
    <row r="4" spans="1:32" ht="30" customHeight="1" x14ac:dyDescent="0.25">
      <c r="A4" s="593" t="s">
        <v>5952</v>
      </c>
      <c r="B4" s="594">
        <v>9.1</v>
      </c>
      <c r="C4" s="2445" t="s">
        <v>6354</v>
      </c>
      <c r="D4" s="2445"/>
      <c r="E4" s="2445"/>
      <c r="F4" s="595" t="s">
        <v>867</v>
      </c>
      <c r="G4" s="139" t="s">
        <v>5424</v>
      </c>
      <c r="H4" s="134"/>
      <c r="I4" s="593" t="s">
        <v>5952</v>
      </c>
      <c r="J4" s="594">
        <v>9.1</v>
      </c>
      <c r="K4" s="2445" t="s">
        <v>6352</v>
      </c>
      <c r="L4" s="2445"/>
      <c r="M4" s="2445"/>
      <c r="N4" s="595" t="s">
        <v>867</v>
      </c>
      <c r="O4" s="139" t="s">
        <v>5424</v>
      </c>
      <c r="P4" s="134"/>
      <c r="Q4" s="593" t="s">
        <v>5952</v>
      </c>
      <c r="R4" s="594">
        <v>9.1</v>
      </c>
      <c r="S4" s="2445" t="s">
        <v>6353</v>
      </c>
      <c r="T4" s="2445"/>
      <c r="U4" s="2445"/>
      <c r="V4" s="595" t="s">
        <v>867</v>
      </c>
      <c r="W4" s="139" t="s">
        <v>5424</v>
      </c>
      <c r="X4" s="134"/>
      <c r="Y4" s="593" t="s">
        <v>5952</v>
      </c>
      <c r="Z4" s="594">
        <v>9.1</v>
      </c>
      <c r="AA4" s="2445" t="s">
        <v>6595</v>
      </c>
      <c r="AB4" s="2445"/>
      <c r="AC4" s="2445"/>
      <c r="AD4" s="595" t="s">
        <v>867</v>
      </c>
      <c r="AE4" s="139" t="s">
        <v>5424</v>
      </c>
      <c r="AF4" s="134"/>
    </row>
    <row r="5" spans="1:32" x14ac:dyDescent="0.25">
      <c r="A5" s="404"/>
      <c r="B5" s="405"/>
      <c r="C5" s="600"/>
      <c r="D5" s="600"/>
      <c r="E5" s="600"/>
      <c r="F5" s="400"/>
      <c r="G5" s="142"/>
      <c r="H5" s="134"/>
      <c r="I5" s="404"/>
      <c r="J5" s="405"/>
      <c r="K5" s="600"/>
      <c r="L5" s="600"/>
      <c r="M5" s="600"/>
      <c r="N5" s="400"/>
      <c r="O5" s="142"/>
      <c r="P5" s="134"/>
      <c r="Q5" s="404"/>
      <c r="R5" s="405"/>
      <c r="S5" s="600"/>
      <c r="T5" s="600"/>
      <c r="U5" s="600"/>
      <c r="V5" s="400"/>
      <c r="W5" s="142"/>
      <c r="X5" s="134"/>
      <c r="Y5" s="404"/>
      <c r="Z5" s="405"/>
      <c r="AA5" s="623"/>
      <c r="AB5" s="623"/>
      <c r="AC5" s="623"/>
      <c r="AD5" s="400"/>
      <c r="AE5" s="142"/>
      <c r="AF5" s="134"/>
    </row>
    <row r="6" spans="1:32" ht="15.75" thickBot="1" x14ac:dyDescent="0.3">
      <c r="A6" s="397"/>
      <c r="B6" s="397"/>
      <c r="C6" s="397"/>
      <c r="D6" s="397"/>
      <c r="E6" s="397"/>
      <c r="F6" s="400"/>
      <c r="G6" s="401"/>
      <c r="H6" s="401"/>
      <c r="I6" s="397"/>
      <c r="J6" s="397"/>
      <c r="K6" s="397"/>
      <c r="L6" s="397"/>
      <c r="M6" s="397"/>
      <c r="N6" s="400"/>
      <c r="O6" s="401"/>
      <c r="P6" s="401"/>
      <c r="Q6" s="397"/>
      <c r="R6" s="397"/>
      <c r="S6" s="397"/>
      <c r="T6" s="397"/>
      <c r="U6" s="397"/>
      <c r="V6" s="400"/>
      <c r="W6" s="401"/>
      <c r="X6" s="401"/>
      <c r="Y6" s="397"/>
      <c r="Z6" s="397"/>
      <c r="AA6" s="397"/>
      <c r="AB6" s="397"/>
      <c r="AC6" s="397"/>
      <c r="AD6" s="400"/>
      <c r="AE6" s="401"/>
      <c r="AF6" s="401"/>
    </row>
    <row r="7" spans="1:32" ht="15.75" thickBot="1" x14ac:dyDescent="0.3">
      <c r="A7" s="397"/>
      <c r="B7" s="407" t="s">
        <v>5403</v>
      </c>
      <c r="C7" s="408" t="s">
        <v>867</v>
      </c>
      <c r="D7" s="408" t="s">
        <v>6</v>
      </c>
      <c r="E7" s="408" t="s">
        <v>5439</v>
      </c>
      <c r="F7" s="408" t="s">
        <v>5405</v>
      </c>
      <c r="G7" s="409" t="s">
        <v>868</v>
      </c>
      <c r="H7" s="401"/>
      <c r="I7" s="397"/>
      <c r="J7" s="407" t="s">
        <v>5403</v>
      </c>
      <c r="K7" s="408" t="s">
        <v>867</v>
      </c>
      <c r="L7" s="408" t="s">
        <v>6</v>
      </c>
      <c r="M7" s="408" t="s">
        <v>5439</v>
      </c>
      <c r="N7" s="408" t="s">
        <v>5405</v>
      </c>
      <c r="O7" s="409" t="s">
        <v>868</v>
      </c>
      <c r="P7" s="401"/>
      <c r="Q7" s="397"/>
      <c r="R7" s="407" t="s">
        <v>5403</v>
      </c>
      <c r="S7" s="408" t="s">
        <v>867</v>
      </c>
      <c r="T7" s="408" t="s">
        <v>6</v>
      </c>
      <c r="U7" s="408" t="s">
        <v>5439</v>
      </c>
      <c r="V7" s="408" t="s">
        <v>5405</v>
      </c>
      <c r="W7" s="409" t="s">
        <v>868</v>
      </c>
      <c r="X7" s="401"/>
      <c r="Y7" s="397"/>
      <c r="Z7" s="407" t="s">
        <v>5403</v>
      </c>
      <c r="AA7" s="408" t="s">
        <v>867</v>
      </c>
      <c r="AB7" s="408" t="s">
        <v>6</v>
      </c>
      <c r="AC7" s="408" t="s">
        <v>5439</v>
      </c>
      <c r="AD7" s="408" t="s">
        <v>5405</v>
      </c>
      <c r="AE7" s="409" t="s">
        <v>868</v>
      </c>
      <c r="AF7" s="401"/>
    </row>
    <row r="8" spans="1:32" x14ac:dyDescent="0.25">
      <c r="A8" s="397"/>
      <c r="B8" s="381" t="s">
        <v>5934</v>
      </c>
      <c r="C8" s="382"/>
      <c r="D8" s="383"/>
      <c r="E8" s="384"/>
      <c r="F8" s="383"/>
      <c r="G8" s="410">
        <f>0.05*H44</f>
        <v>11858.5</v>
      </c>
      <c r="H8" s="401"/>
      <c r="I8" s="397"/>
      <c r="J8" s="381" t="s">
        <v>5934</v>
      </c>
      <c r="K8" s="382"/>
      <c r="L8" s="383"/>
      <c r="M8" s="384"/>
      <c r="N8" s="383"/>
      <c r="O8" s="410">
        <f>0.05*P44</f>
        <v>14661.25</v>
      </c>
      <c r="P8" s="401"/>
      <c r="Q8" s="397"/>
      <c r="R8" s="381" t="s">
        <v>5934</v>
      </c>
      <c r="S8" s="382"/>
      <c r="T8" s="383"/>
      <c r="U8" s="384"/>
      <c r="V8" s="383"/>
      <c r="W8" s="410">
        <f>0.05*X44</f>
        <v>19332.5</v>
      </c>
      <c r="X8" s="401"/>
      <c r="Y8" s="397"/>
      <c r="Z8" s="381" t="s">
        <v>5934</v>
      </c>
      <c r="AA8" s="382"/>
      <c r="AB8" s="383"/>
      <c r="AC8" s="384"/>
      <c r="AD8" s="383"/>
      <c r="AE8" s="410">
        <f>0.05*AF44</f>
        <v>19332.5</v>
      </c>
      <c r="AF8" s="401"/>
    </row>
    <row r="9" spans="1:32" x14ac:dyDescent="0.25">
      <c r="A9" s="397"/>
      <c r="B9" s="385"/>
      <c r="C9" s="386"/>
      <c r="D9" s="387"/>
      <c r="E9" s="388"/>
      <c r="F9" s="387"/>
      <c r="G9" s="411"/>
      <c r="H9" s="401"/>
      <c r="I9" s="397"/>
      <c r="J9" s="385"/>
      <c r="K9" s="386"/>
      <c r="L9" s="387"/>
      <c r="M9" s="388"/>
      <c r="N9" s="387"/>
      <c r="O9" s="411"/>
      <c r="P9" s="401"/>
      <c r="Q9" s="397"/>
      <c r="R9" s="385"/>
      <c r="S9" s="386"/>
      <c r="T9" s="387"/>
      <c r="U9" s="388"/>
      <c r="V9" s="387"/>
      <c r="W9" s="411"/>
      <c r="X9" s="401"/>
      <c r="Y9" s="397"/>
      <c r="Z9" s="385"/>
      <c r="AA9" s="386"/>
      <c r="AB9" s="387"/>
      <c r="AC9" s="388"/>
      <c r="AD9" s="387"/>
      <c r="AE9" s="411"/>
      <c r="AF9" s="401"/>
    </row>
    <row r="10" spans="1:32" x14ac:dyDescent="0.25">
      <c r="A10" s="397"/>
      <c r="B10" s="385"/>
      <c r="C10" s="386"/>
      <c r="D10" s="387"/>
      <c r="E10" s="388"/>
      <c r="F10" s="387"/>
      <c r="G10" s="411"/>
      <c r="H10" s="401"/>
      <c r="I10" s="397"/>
      <c r="J10" s="385"/>
      <c r="K10" s="386"/>
      <c r="L10" s="387"/>
      <c r="M10" s="388"/>
      <c r="N10" s="387"/>
      <c r="O10" s="411"/>
      <c r="P10" s="401"/>
      <c r="Q10" s="397"/>
      <c r="R10" s="385"/>
      <c r="S10" s="386"/>
      <c r="T10" s="387"/>
      <c r="U10" s="388"/>
      <c r="V10" s="387"/>
      <c r="W10" s="411"/>
      <c r="X10" s="401"/>
      <c r="Y10" s="397"/>
      <c r="Z10" s="385"/>
      <c r="AA10" s="386"/>
      <c r="AB10" s="387"/>
      <c r="AC10" s="388"/>
      <c r="AD10" s="387"/>
      <c r="AE10" s="411"/>
      <c r="AF10" s="401"/>
    </row>
    <row r="11" spans="1:32" x14ac:dyDescent="0.25">
      <c r="A11" s="397"/>
      <c r="B11" s="385"/>
      <c r="C11" s="386"/>
      <c r="D11" s="387"/>
      <c r="E11" s="388"/>
      <c r="F11" s="387"/>
      <c r="G11" s="411"/>
      <c r="H11" s="401"/>
      <c r="I11" s="397"/>
      <c r="J11" s="385"/>
      <c r="K11" s="386"/>
      <c r="L11" s="387"/>
      <c r="M11" s="388"/>
      <c r="N11" s="387"/>
      <c r="O11" s="411"/>
      <c r="P11" s="401"/>
      <c r="Q11" s="397"/>
      <c r="R11" s="385"/>
      <c r="S11" s="386"/>
      <c r="T11" s="387"/>
      <c r="U11" s="388"/>
      <c r="V11" s="387"/>
      <c r="W11" s="411"/>
      <c r="X11" s="401"/>
      <c r="Y11" s="397"/>
      <c r="Z11" s="385"/>
      <c r="AA11" s="386"/>
      <c r="AB11" s="387"/>
      <c r="AC11" s="388"/>
      <c r="AD11" s="387"/>
      <c r="AE11" s="411"/>
      <c r="AF11" s="401"/>
    </row>
    <row r="12" spans="1:32" x14ac:dyDescent="0.25">
      <c r="A12" s="397"/>
      <c r="B12" s="385"/>
      <c r="C12" s="386"/>
      <c r="D12" s="387"/>
      <c r="E12" s="388"/>
      <c r="F12" s="387"/>
      <c r="G12" s="411"/>
      <c r="H12" s="401"/>
      <c r="I12" s="397"/>
      <c r="J12" s="385"/>
      <c r="K12" s="386"/>
      <c r="L12" s="387"/>
      <c r="M12" s="388"/>
      <c r="N12" s="387"/>
      <c r="O12" s="411"/>
      <c r="P12" s="401"/>
      <c r="Q12" s="397"/>
      <c r="R12" s="385"/>
      <c r="S12" s="386"/>
      <c r="T12" s="387"/>
      <c r="U12" s="388"/>
      <c r="V12" s="387"/>
      <c r="W12" s="411"/>
      <c r="X12" s="401"/>
      <c r="Y12" s="397"/>
      <c r="Z12" s="385"/>
      <c r="AA12" s="386"/>
      <c r="AB12" s="387"/>
      <c r="AC12" s="388"/>
      <c r="AD12" s="387"/>
      <c r="AE12" s="411"/>
      <c r="AF12" s="401"/>
    </row>
    <row r="13" spans="1:32" ht="15.75" thickBot="1" x14ac:dyDescent="0.3">
      <c r="A13" s="397"/>
      <c r="B13" s="385"/>
      <c r="C13" s="386"/>
      <c r="D13" s="387"/>
      <c r="E13" s="387"/>
      <c r="F13" s="387"/>
      <c r="G13" s="411"/>
      <c r="H13" s="401"/>
      <c r="I13" s="397"/>
      <c r="J13" s="385"/>
      <c r="K13" s="386"/>
      <c r="L13" s="387"/>
      <c r="M13" s="387"/>
      <c r="N13" s="387"/>
      <c r="O13" s="411"/>
      <c r="P13" s="401"/>
      <c r="Q13" s="397"/>
      <c r="R13" s="385"/>
      <c r="S13" s="386"/>
      <c r="T13" s="387"/>
      <c r="U13" s="387"/>
      <c r="V13" s="387"/>
      <c r="W13" s="411"/>
      <c r="X13" s="401"/>
      <c r="Y13" s="397"/>
      <c r="Z13" s="385"/>
      <c r="AA13" s="386"/>
      <c r="AB13" s="387"/>
      <c r="AC13" s="387"/>
      <c r="AD13" s="387"/>
      <c r="AE13" s="411"/>
      <c r="AF13" s="401"/>
    </row>
    <row r="14" spans="1:32" ht="15.75" thickBot="1" x14ac:dyDescent="0.3">
      <c r="A14" s="397"/>
      <c r="B14" s="412"/>
      <c r="C14" s="413"/>
      <c r="D14" s="414"/>
      <c r="E14" s="414"/>
      <c r="F14" s="414"/>
      <c r="G14" s="415"/>
      <c r="H14" s="416">
        <f>+SUM(G8:G14)</f>
        <v>11858.5</v>
      </c>
      <c r="I14" s="397"/>
      <c r="J14" s="412"/>
      <c r="K14" s="413"/>
      <c r="L14" s="414"/>
      <c r="M14" s="414"/>
      <c r="N14" s="414"/>
      <c r="O14" s="415"/>
      <c r="P14" s="416">
        <f>+SUM(O8:O14)</f>
        <v>14661.25</v>
      </c>
      <c r="Q14" s="397"/>
      <c r="R14" s="412"/>
      <c r="S14" s="413"/>
      <c r="T14" s="414"/>
      <c r="U14" s="414"/>
      <c r="V14" s="414"/>
      <c r="W14" s="415"/>
      <c r="X14" s="416">
        <f>+SUM(W8:W14)</f>
        <v>19332.5</v>
      </c>
      <c r="Y14" s="397"/>
      <c r="Z14" s="412"/>
      <c r="AA14" s="413"/>
      <c r="AB14" s="414"/>
      <c r="AC14" s="414"/>
      <c r="AD14" s="414"/>
      <c r="AE14" s="415"/>
      <c r="AF14" s="416">
        <f>+SUM(AE8:AE14)</f>
        <v>19332.5</v>
      </c>
    </row>
    <row r="15" spans="1:32" ht="15.75" thickBot="1" x14ac:dyDescent="0.3">
      <c r="A15" s="397"/>
      <c r="B15" s="417"/>
      <c r="C15" s="418"/>
      <c r="D15" s="417"/>
      <c r="E15" s="417"/>
      <c r="F15" s="417"/>
      <c r="G15" s="419"/>
      <c r="H15" s="420"/>
      <c r="I15" s="397"/>
      <c r="J15" s="417"/>
      <c r="K15" s="418"/>
      <c r="L15" s="417"/>
      <c r="M15" s="417"/>
      <c r="N15" s="417"/>
      <c r="O15" s="419"/>
      <c r="P15" s="420"/>
      <c r="Q15" s="397"/>
      <c r="R15" s="417"/>
      <c r="S15" s="418"/>
      <c r="T15" s="417"/>
      <c r="U15" s="417"/>
      <c r="V15" s="417"/>
      <c r="W15" s="419"/>
      <c r="X15" s="420"/>
      <c r="Y15" s="397"/>
      <c r="Z15" s="417"/>
      <c r="AA15" s="418"/>
      <c r="AB15" s="417"/>
      <c r="AC15" s="417"/>
      <c r="AD15" s="417"/>
      <c r="AE15" s="419"/>
      <c r="AF15" s="420"/>
    </row>
    <row r="16" spans="1:32" ht="15.75" thickBot="1" x14ac:dyDescent="0.3">
      <c r="A16" s="397"/>
      <c r="B16" s="407" t="s">
        <v>5408</v>
      </c>
      <c r="C16" s="408" t="s">
        <v>867</v>
      </c>
      <c r="D16" s="408" t="s">
        <v>6</v>
      </c>
      <c r="E16" s="408" t="s">
        <v>870</v>
      </c>
      <c r="F16" s="408" t="s">
        <v>5409</v>
      </c>
      <c r="G16" s="409" t="s">
        <v>868</v>
      </c>
      <c r="H16" s="401"/>
      <c r="I16" s="397"/>
      <c r="J16" s="407" t="s">
        <v>5408</v>
      </c>
      <c r="K16" s="408" t="s">
        <v>867</v>
      </c>
      <c r="L16" s="408" t="s">
        <v>6</v>
      </c>
      <c r="M16" s="408" t="s">
        <v>870</v>
      </c>
      <c r="N16" s="408" t="s">
        <v>5409</v>
      </c>
      <c r="O16" s="409" t="s">
        <v>868</v>
      </c>
      <c r="P16" s="401"/>
      <c r="Q16" s="397"/>
      <c r="R16" s="407" t="s">
        <v>5408</v>
      </c>
      <c r="S16" s="408" t="s">
        <v>867</v>
      </c>
      <c r="T16" s="408" t="s">
        <v>6</v>
      </c>
      <c r="U16" s="408" t="s">
        <v>870</v>
      </c>
      <c r="V16" s="408" t="s">
        <v>5409</v>
      </c>
      <c r="W16" s="409" t="s">
        <v>868</v>
      </c>
      <c r="X16" s="401"/>
      <c r="Y16" s="397"/>
      <c r="Z16" s="407" t="s">
        <v>5408</v>
      </c>
      <c r="AA16" s="408" t="s">
        <v>867</v>
      </c>
      <c r="AB16" s="408" t="s">
        <v>6</v>
      </c>
      <c r="AC16" s="408" t="s">
        <v>870</v>
      </c>
      <c r="AD16" s="408" t="s">
        <v>5409</v>
      </c>
      <c r="AE16" s="409" t="s">
        <v>868</v>
      </c>
      <c r="AF16" s="401"/>
    </row>
    <row r="17" spans="1:32" x14ac:dyDescent="0.25">
      <c r="A17" s="397"/>
      <c r="B17" s="389" t="s">
        <v>6337</v>
      </c>
      <c r="C17" s="212" t="s">
        <v>6421</v>
      </c>
      <c r="D17" s="211">
        <f>1.4*1.8*1.05</f>
        <v>2.6460000000000004</v>
      </c>
      <c r="E17" s="345">
        <f>+'APU CAP 1-2'!$H$1150</f>
        <v>22263</v>
      </c>
      <c r="F17" s="169">
        <v>0.05</v>
      </c>
      <c r="G17" s="172">
        <f>+D17*E17*(1+F17)</f>
        <v>61853.292900000015</v>
      </c>
      <c r="H17" s="401"/>
      <c r="I17" s="397"/>
      <c r="J17" s="389" t="s">
        <v>6337</v>
      </c>
      <c r="K17" s="212" t="s">
        <v>6421</v>
      </c>
      <c r="L17" s="211">
        <f>1.4*1.8*1.05</f>
        <v>2.6460000000000004</v>
      </c>
      <c r="M17" s="345">
        <f>+'APU CAP 1-2'!$H$1150</f>
        <v>22263</v>
      </c>
      <c r="N17" s="169">
        <v>0.05</v>
      </c>
      <c r="O17" s="172">
        <f>+L17*M17*(1+N17)</f>
        <v>61853.292900000015</v>
      </c>
      <c r="P17" s="401"/>
      <c r="Q17" s="397"/>
      <c r="R17" s="389" t="s">
        <v>6337</v>
      </c>
      <c r="S17" s="212" t="s">
        <v>6421</v>
      </c>
      <c r="T17" s="211">
        <f>1.4*1.8*1.05</f>
        <v>2.6460000000000004</v>
      </c>
      <c r="U17" s="345">
        <f>+'APU CAP 1-2'!$H$1150</f>
        <v>22263</v>
      </c>
      <c r="V17" s="169">
        <v>0.05</v>
      </c>
      <c r="W17" s="172">
        <f>+T17*U17*(1+V17)</f>
        <v>61853.292900000015</v>
      </c>
      <c r="X17" s="401"/>
      <c r="Y17" s="397"/>
      <c r="Z17" s="389" t="s">
        <v>6337</v>
      </c>
      <c r="AA17" s="212" t="s">
        <v>6421</v>
      </c>
      <c r="AB17" s="211">
        <f>1.4*1.8*1.05</f>
        <v>2.6460000000000004</v>
      </c>
      <c r="AC17" s="345">
        <f>+'APU CAP 1-2'!$H$1150</f>
        <v>22263</v>
      </c>
      <c r="AD17" s="169">
        <v>0.05</v>
      </c>
      <c r="AE17" s="172">
        <f>+AB17*AC17*(1+AD17)</f>
        <v>61853.292900000015</v>
      </c>
      <c r="AF17" s="401"/>
    </row>
    <row r="18" spans="1:32" x14ac:dyDescent="0.25">
      <c r="A18" s="397"/>
      <c r="B18" s="391" t="s">
        <v>6345</v>
      </c>
      <c r="C18" s="212" t="s">
        <v>6421</v>
      </c>
      <c r="D18" s="212">
        <f>1.4*1.8*0.05</f>
        <v>0.126</v>
      </c>
      <c r="E18" s="346">
        <f>+'APU CAP 5'!$H$160</f>
        <v>301336.95833333331</v>
      </c>
      <c r="F18" s="169">
        <v>0.05</v>
      </c>
      <c r="G18" s="172">
        <f t="shared" ref="G18:G30" si="0">+D18*E18*(1+F18)</f>
        <v>39866.8795875</v>
      </c>
      <c r="H18" s="401"/>
      <c r="I18" s="397"/>
      <c r="J18" s="391" t="s">
        <v>6345</v>
      </c>
      <c r="K18" s="212" t="s">
        <v>6421</v>
      </c>
      <c r="L18" s="212">
        <f>1.4*1.8*0.05</f>
        <v>0.126</v>
      </c>
      <c r="M18" s="346">
        <f>+'APU CAP 5'!$H$160</f>
        <v>301336.95833333331</v>
      </c>
      <c r="N18" s="169">
        <v>0.05</v>
      </c>
      <c r="O18" s="172">
        <f t="shared" ref="O18:O30" si="1">+L18*M18*(1+N18)</f>
        <v>39866.8795875</v>
      </c>
      <c r="P18" s="401"/>
      <c r="Q18" s="397"/>
      <c r="R18" s="391" t="s">
        <v>6345</v>
      </c>
      <c r="S18" s="212" t="s">
        <v>6421</v>
      </c>
      <c r="T18" s="212">
        <f>1.4*1.8*0.05</f>
        <v>0.126</v>
      </c>
      <c r="U18" s="346">
        <f>+'APU CAP 5'!$H$160</f>
        <v>301336.95833333331</v>
      </c>
      <c r="V18" s="169">
        <v>0.05</v>
      </c>
      <c r="W18" s="172">
        <f t="shared" ref="W18:W30" si="2">+T18*U18*(1+V18)</f>
        <v>39866.8795875</v>
      </c>
      <c r="X18" s="401"/>
      <c r="Y18" s="397"/>
      <c r="Z18" s="391" t="s">
        <v>6345</v>
      </c>
      <c r="AA18" s="212" t="s">
        <v>6421</v>
      </c>
      <c r="AB18" s="212">
        <f>1.4*1.8*0.05</f>
        <v>0.126</v>
      </c>
      <c r="AC18" s="346">
        <f>+'APU CAP 5'!$H$160</f>
        <v>301336.95833333331</v>
      </c>
      <c r="AD18" s="169">
        <v>0.05</v>
      </c>
      <c r="AE18" s="172">
        <f t="shared" ref="AE18:AE30" si="3">+AB18*AC18*(1+AD18)</f>
        <v>39866.8795875</v>
      </c>
      <c r="AF18" s="401"/>
    </row>
    <row r="19" spans="1:32" x14ac:dyDescent="0.25">
      <c r="A19" s="397"/>
      <c r="B19" s="385" t="s">
        <v>6338</v>
      </c>
      <c r="C19" s="212" t="s">
        <v>6421</v>
      </c>
      <c r="D19" s="386">
        <f>1.4*1.8*0.2</f>
        <v>0.504</v>
      </c>
      <c r="E19" s="384">
        <f>+'APU CAP 5'!$H$538</f>
        <v>554067</v>
      </c>
      <c r="F19" s="169">
        <v>0.05</v>
      </c>
      <c r="G19" s="172">
        <f t="shared" si="0"/>
        <v>293212.25640000001</v>
      </c>
      <c r="H19" s="401"/>
      <c r="I19" s="397"/>
      <c r="J19" s="385" t="s">
        <v>6338</v>
      </c>
      <c r="K19" s="212" t="s">
        <v>6421</v>
      </c>
      <c r="L19" s="386">
        <f>1.4*1.8*0.2</f>
        <v>0.504</v>
      </c>
      <c r="M19" s="384">
        <f>+'APU CAP 5'!$H$538</f>
        <v>554067</v>
      </c>
      <c r="N19" s="169">
        <v>0.05</v>
      </c>
      <c r="O19" s="172">
        <f t="shared" si="1"/>
        <v>293212.25640000001</v>
      </c>
      <c r="P19" s="401"/>
      <c r="Q19" s="397"/>
      <c r="R19" s="385" t="s">
        <v>6338</v>
      </c>
      <c r="S19" s="212" t="s">
        <v>6421</v>
      </c>
      <c r="T19" s="386">
        <f>1.4*1.8*0.2</f>
        <v>0.504</v>
      </c>
      <c r="U19" s="384">
        <f>+'APU CAP 5'!$H$538</f>
        <v>554067</v>
      </c>
      <c r="V19" s="169">
        <v>0.05</v>
      </c>
      <c r="W19" s="172">
        <f t="shared" si="2"/>
        <v>293212.25640000001</v>
      </c>
      <c r="X19" s="401"/>
      <c r="Y19" s="397"/>
      <c r="Z19" s="385" t="s">
        <v>6338</v>
      </c>
      <c r="AA19" s="212" t="s">
        <v>6421</v>
      </c>
      <c r="AB19" s="386">
        <f>1.4*1.8*0.2</f>
        <v>0.504</v>
      </c>
      <c r="AC19" s="384">
        <f>+'APU CAP 5'!$H$538</f>
        <v>554067</v>
      </c>
      <c r="AD19" s="169">
        <v>0.05</v>
      </c>
      <c r="AE19" s="172">
        <f t="shared" si="3"/>
        <v>293212.25640000001</v>
      </c>
      <c r="AF19" s="401"/>
    </row>
    <row r="20" spans="1:32" x14ac:dyDescent="0.25">
      <c r="A20" s="404"/>
      <c r="B20" s="385" t="s">
        <v>6567</v>
      </c>
      <c r="C20" s="212" t="s">
        <v>6421</v>
      </c>
      <c r="D20" s="212">
        <f>1.4*4*0.8*0.2</f>
        <v>0.89599999999999991</v>
      </c>
      <c r="E20" s="395">
        <f>+'APU CAP 5'!$P$538</f>
        <v>669769.71428571432</v>
      </c>
      <c r="F20" s="169">
        <v>0.05</v>
      </c>
      <c r="G20" s="172">
        <f t="shared" si="0"/>
        <v>630119.34719999996</v>
      </c>
      <c r="H20" s="134"/>
      <c r="I20" s="404"/>
      <c r="J20" s="385" t="s">
        <v>6339</v>
      </c>
      <c r="K20" s="212" t="s">
        <v>6421</v>
      </c>
      <c r="L20" s="212">
        <f>1.4*4*0.8*0.2</f>
        <v>0.89599999999999991</v>
      </c>
      <c r="M20" s="395">
        <f>+'APU CAP 5'!$P$538</f>
        <v>669769.71428571432</v>
      </c>
      <c r="N20" s="169">
        <v>0.05</v>
      </c>
      <c r="O20" s="172">
        <f t="shared" si="1"/>
        <v>630119.34719999996</v>
      </c>
      <c r="P20" s="134"/>
      <c r="Q20" s="404"/>
      <c r="R20" s="385" t="s">
        <v>6339</v>
      </c>
      <c r="S20" s="212" t="s">
        <v>6421</v>
      </c>
      <c r="T20" s="212">
        <f>1.4*4*0.8*0.2</f>
        <v>0.89599999999999991</v>
      </c>
      <c r="U20" s="395">
        <f>+'APU CAP 5'!$P$538</f>
        <v>669769.71428571432</v>
      </c>
      <c r="V20" s="169">
        <v>0.05</v>
      </c>
      <c r="W20" s="172">
        <f t="shared" si="2"/>
        <v>630119.34719999996</v>
      </c>
      <c r="X20" s="134"/>
      <c r="Y20" s="404"/>
      <c r="Z20" s="385" t="s">
        <v>6339</v>
      </c>
      <c r="AA20" s="212" t="s">
        <v>6421</v>
      </c>
      <c r="AB20" s="212">
        <f>1.4*4*0.8*0.2</f>
        <v>0.89599999999999991</v>
      </c>
      <c r="AC20" s="395">
        <f>+'APU CAP 5'!$P$538</f>
        <v>669769.71428571432</v>
      </c>
      <c r="AD20" s="169">
        <v>0.05</v>
      </c>
      <c r="AE20" s="172">
        <f t="shared" si="3"/>
        <v>630119.34719999996</v>
      </c>
      <c r="AF20" s="134"/>
    </row>
    <row r="21" spans="1:32" x14ac:dyDescent="0.25">
      <c r="A21" s="397"/>
      <c r="B21" s="385" t="s">
        <v>5741</v>
      </c>
      <c r="C21" s="212" t="s">
        <v>5550</v>
      </c>
      <c r="D21" s="386">
        <f>1.6*150</f>
        <v>240</v>
      </c>
      <c r="E21" s="384">
        <f>+'APU CAP 5'!$H$970</f>
        <v>3455</v>
      </c>
      <c r="F21" s="169">
        <v>0.05</v>
      </c>
      <c r="G21" s="172">
        <f t="shared" si="0"/>
        <v>870660</v>
      </c>
      <c r="H21" s="401"/>
      <c r="I21" s="397"/>
      <c r="J21" s="385" t="s">
        <v>5741</v>
      </c>
      <c r="K21" s="212" t="s">
        <v>5550</v>
      </c>
      <c r="L21" s="386">
        <f>1.6*150</f>
        <v>240</v>
      </c>
      <c r="M21" s="384">
        <f>+'APU CAP 5'!$H$970</f>
        <v>3455</v>
      </c>
      <c r="N21" s="169">
        <v>0.05</v>
      </c>
      <c r="O21" s="172">
        <f t="shared" si="1"/>
        <v>870660</v>
      </c>
      <c r="P21" s="401"/>
      <c r="Q21" s="397"/>
      <c r="R21" s="385" t="s">
        <v>5741</v>
      </c>
      <c r="S21" s="212" t="s">
        <v>5550</v>
      </c>
      <c r="T21" s="386">
        <f>1.6*150</f>
        <v>240</v>
      </c>
      <c r="U21" s="384">
        <f>+'APU CAP 5'!$H$970</f>
        <v>3455</v>
      </c>
      <c r="V21" s="169">
        <v>0.05</v>
      </c>
      <c r="W21" s="172">
        <f t="shared" si="2"/>
        <v>870660</v>
      </c>
      <c r="X21" s="401"/>
      <c r="Y21" s="397"/>
      <c r="Z21" s="385" t="s">
        <v>5741</v>
      </c>
      <c r="AA21" s="212" t="s">
        <v>5550</v>
      </c>
      <c r="AB21" s="386">
        <f>1.6*150</f>
        <v>240</v>
      </c>
      <c r="AC21" s="384">
        <f>+'APU CAP 5'!$H$970</f>
        <v>3455</v>
      </c>
      <c r="AD21" s="169">
        <v>0.05</v>
      </c>
      <c r="AE21" s="172">
        <f t="shared" si="3"/>
        <v>870660</v>
      </c>
      <c r="AF21" s="401"/>
    </row>
    <row r="22" spans="1:32" x14ac:dyDescent="0.25">
      <c r="A22" s="397"/>
      <c r="B22" s="385" t="s">
        <v>5750</v>
      </c>
      <c r="C22" s="212" t="s">
        <v>5550</v>
      </c>
      <c r="D22" s="386">
        <f>1.6*450*0.005</f>
        <v>3.6</v>
      </c>
      <c r="E22" s="421">
        <f>+'APU CAP 5'!$H$1078</f>
        <v>8894</v>
      </c>
      <c r="F22" s="169">
        <v>0.05</v>
      </c>
      <c r="G22" s="172">
        <f t="shared" si="0"/>
        <v>33619.32</v>
      </c>
      <c r="H22" s="401"/>
      <c r="I22" s="397"/>
      <c r="J22" s="385" t="s">
        <v>5750</v>
      </c>
      <c r="K22" s="212" t="s">
        <v>5550</v>
      </c>
      <c r="L22" s="386">
        <f>1.6*450*0.005</f>
        <v>3.6</v>
      </c>
      <c r="M22" s="421">
        <f>+'APU CAP 5'!$H$1078</f>
        <v>8894</v>
      </c>
      <c r="N22" s="169">
        <v>0.05</v>
      </c>
      <c r="O22" s="172">
        <f t="shared" si="1"/>
        <v>33619.32</v>
      </c>
      <c r="P22" s="401"/>
      <c r="Q22" s="397"/>
      <c r="R22" s="385" t="s">
        <v>5750</v>
      </c>
      <c r="S22" s="212" t="s">
        <v>5550</v>
      </c>
      <c r="T22" s="386">
        <f>1.6*450*0.005</f>
        <v>3.6</v>
      </c>
      <c r="U22" s="421">
        <f>+'APU CAP 5'!$H$1078</f>
        <v>8894</v>
      </c>
      <c r="V22" s="169">
        <v>0.05</v>
      </c>
      <c r="W22" s="172">
        <f t="shared" si="2"/>
        <v>33619.32</v>
      </c>
      <c r="X22" s="401"/>
      <c r="Y22" s="397"/>
      <c r="Z22" s="385" t="s">
        <v>5750</v>
      </c>
      <c r="AA22" s="212" t="s">
        <v>5550</v>
      </c>
      <c r="AB22" s="386">
        <f>1.6*450*0.005</f>
        <v>3.6</v>
      </c>
      <c r="AC22" s="421">
        <f>+'APU CAP 5'!$H$1078</f>
        <v>8894</v>
      </c>
      <c r="AD22" s="169">
        <v>0.05</v>
      </c>
      <c r="AE22" s="172">
        <f t="shared" si="3"/>
        <v>33619.32</v>
      </c>
      <c r="AF22" s="401"/>
    </row>
    <row r="23" spans="1:32" x14ac:dyDescent="0.25">
      <c r="A23" s="397"/>
      <c r="B23" s="385" t="s">
        <v>6340</v>
      </c>
      <c r="C23" s="212" t="s">
        <v>5402</v>
      </c>
      <c r="D23" s="386">
        <v>0</v>
      </c>
      <c r="E23" s="388">
        <f>+'APU CAP 5'!$H$1240</f>
        <v>31320</v>
      </c>
      <c r="F23" s="169">
        <v>0.05</v>
      </c>
      <c r="G23" s="172">
        <f t="shared" si="0"/>
        <v>0</v>
      </c>
      <c r="H23" s="401"/>
      <c r="I23" s="397"/>
      <c r="J23" s="385" t="s">
        <v>6340</v>
      </c>
      <c r="K23" s="212" t="s">
        <v>5402</v>
      </c>
      <c r="L23" s="386">
        <v>0</v>
      </c>
      <c r="M23" s="388">
        <f>+'APU CAP 5'!$H$1240</f>
        <v>31320</v>
      </c>
      <c r="N23" s="169">
        <v>0.05</v>
      </c>
      <c r="O23" s="172">
        <f t="shared" si="1"/>
        <v>0</v>
      </c>
      <c r="P23" s="401"/>
      <c r="Q23" s="397"/>
      <c r="R23" s="385" t="s">
        <v>6340</v>
      </c>
      <c r="S23" s="212" t="s">
        <v>5402</v>
      </c>
      <c r="T23" s="386">
        <v>0</v>
      </c>
      <c r="U23" s="388">
        <f>+'APU CAP 5'!$H$1240</f>
        <v>31320</v>
      </c>
      <c r="V23" s="169">
        <v>0.05</v>
      </c>
      <c r="W23" s="172">
        <f t="shared" si="2"/>
        <v>0</v>
      </c>
      <c r="X23" s="401"/>
      <c r="Y23" s="397"/>
      <c r="Z23" s="385" t="s">
        <v>6340</v>
      </c>
      <c r="AA23" s="212" t="s">
        <v>5402</v>
      </c>
      <c r="AB23" s="386">
        <v>0</v>
      </c>
      <c r="AC23" s="388">
        <f>+'APU CAP 5'!$H$1240</f>
        <v>31320</v>
      </c>
      <c r="AD23" s="169">
        <v>0.05</v>
      </c>
      <c r="AE23" s="172">
        <f t="shared" si="3"/>
        <v>0</v>
      </c>
      <c r="AF23" s="401"/>
    </row>
    <row r="24" spans="1:32" x14ac:dyDescent="0.25">
      <c r="A24" s="397"/>
      <c r="B24" s="385" t="s">
        <v>6341</v>
      </c>
      <c r="C24" s="212" t="s">
        <v>6421</v>
      </c>
      <c r="D24" s="386">
        <v>0</v>
      </c>
      <c r="E24" s="388">
        <f>+'APU CAP 1-2'!$H$2745</f>
        <v>11097</v>
      </c>
      <c r="F24" s="169">
        <v>0.05</v>
      </c>
      <c r="G24" s="172">
        <f t="shared" si="0"/>
        <v>0</v>
      </c>
      <c r="H24" s="401">
        <f>SUM(G17:G24)</f>
        <v>1929331.0960875</v>
      </c>
      <c r="I24" s="397"/>
      <c r="J24" s="385" t="s">
        <v>6341</v>
      </c>
      <c r="K24" s="212" t="s">
        <v>6421</v>
      </c>
      <c r="L24" s="386">
        <v>0</v>
      </c>
      <c r="M24" s="388">
        <f>+'APU CAP 1-2'!$H$2745</f>
        <v>11097</v>
      </c>
      <c r="N24" s="169">
        <v>0.05</v>
      </c>
      <c r="O24" s="172">
        <f t="shared" si="1"/>
        <v>0</v>
      </c>
      <c r="P24" s="401">
        <f>SUM(O17:O24)</f>
        <v>1929331.0960875</v>
      </c>
      <c r="Q24" s="397"/>
      <c r="R24" s="385" t="s">
        <v>6341</v>
      </c>
      <c r="S24" s="212" t="s">
        <v>6421</v>
      </c>
      <c r="T24" s="386">
        <v>0</v>
      </c>
      <c r="U24" s="388">
        <f>+'APU CAP 1-2'!$H$2745</f>
        <v>11097</v>
      </c>
      <c r="V24" s="169">
        <v>0.05</v>
      </c>
      <c r="W24" s="172">
        <f t="shared" si="2"/>
        <v>0</v>
      </c>
      <c r="X24" s="401"/>
      <c r="Y24" s="397"/>
      <c r="Z24" s="385" t="s">
        <v>6341</v>
      </c>
      <c r="AA24" s="212" t="s">
        <v>6421</v>
      </c>
      <c r="AB24" s="386">
        <v>0</v>
      </c>
      <c r="AC24" s="388">
        <f>+'APU CAP 1-2'!$H$2745</f>
        <v>11097</v>
      </c>
      <c r="AD24" s="169">
        <v>0.05</v>
      </c>
      <c r="AE24" s="172">
        <f t="shared" si="3"/>
        <v>0</v>
      </c>
      <c r="AF24" s="401">
        <f>SUM(AE17:AE24)</f>
        <v>1929331.0960875</v>
      </c>
    </row>
    <row r="25" spans="1:32" x14ac:dyDescent="0.25">
      <c r="A25" s="397"/>
      <c r="B25" s="385" t="s">
        <v>6556</v>
      </c>
      <c r="C25" s="386" t="s">
        <v>5424</v>
      </c>
      <c r="D25" s="386">
        <v>1</v>
      </c>
      <c r="E25" s="388">
        <f>+SUM!H863</f>
        <v>411237</v>
      </c>
      <c r="F25" s="396"/>
      <c r="G25" s="172">
        <f>+D25*E25*(1+F25)</f>
        <v>411237</v>
      </c>
      <c r="H25" s="401"/>
      <c r="I25" s="397"/>
      <c r="J25" s="385" t="s">
        <v>6556</v>
      </c>
      <c r="K25" s="386" t="s">
        <v>5424</v>
      </c>
      <c r="L25" s="386">
        <v>1</v>
      </c>
      <c r="M25" s="388">
        <f>+E25*1.1</f>
        <v>452360.7</v>
      </c>
      <c r="N25" s="396"/>
      <c r="O25" s="172">
        <f>+L25*M25*(1+N25)</f>
        <v>452360.7</v>
      </c>
      <c r="P25" s="401"/>
      <c r="Q25" s="397"/>
      <c r="R25" s="385" t="s">
        <v>6556</v>
      </c>
      <c r="S25" s="386" t="s">
        <v>5424</v>
      </c>
      <c r="T25" s="386">
        <v>1</v>
      </c>
      <c r="U25" s="388">
        <f>+M25*1.1</f>
        <v>497596.77000000008</v>
      </c>
      <c r="V25" s="396"/>
      <c r="W25" s="172">
        <f>+T25*U25*(1+V25)</f>
        <v>497596.77000000008</v>
      </c>
      <c r="X25" s="401"/>
      <c r="Y25" s="397"/>
      <c r="Z25" s="385" t="s">
        <v>6556</v>
      </c>
      <c r="AA25" s="386" t="s">
        <v>5424</v>
      </c>
      <c r="AB25" s="386">
        <v>1</v>
      </c>
      <c r="AC25" s="388">
        <f>E25</f>
        <v>411237</v>
      </c>
      <c r="AD25" s="396"/>
      <c r="AE25" s="172">
        <f t="shared" si="3"/>
        <v>411237</v>
      </c>
      <c r="AF25" s="401"/>
    </row>
    <row r="26" spans="1:32" x14ac:dyDescent="0.25">
      <c r="A26" s="397"/>
      <c r="B26" s="385" t="s">
        <v>6557</v>
      </c>
      <c r="C26" s="386" t="s">
        <v>5424</v>
      </c>
      <c r="D26" s="386">
        <v>2</v>
      </c>
      <c r="E26" s="388">
        <f>+SUM!H893</f>
        <v>1217893</v>
      </c>
      <c r="F26" s="396"/>
      <c r="G26" s="172">
        <f t="shared" si="0"/>
        <v>2435786</v>
      </c>
      <c r="H26" s="401"/>
      <c r="I26" s="397"/>
      <c r="J26" s="385" t="s">
        <v>6557</v>
      </c>
      <c r="K26" s="386" t="s">
        <v>5424</v>
      </c>
      <c r="L26" s="386">
        <v>2</v>
      </c>
      <c r="M26" s="388">
        <f>+E26*1.1</f>
        <v>1339682.3</v>
      </c>
      <c r="N26" s="396"/>
      <c r="O26" s="172">
        <f t="shared" si="1"/>
        <v>2679364.6</v>
      </c>
      <c r="P26" s="401"/>
      <c r="Q26" s="397"/>
      <c r="R26" s="385" t="s">
        <v>6557</v>
      </c>
      <c r="S26" s="386" t="s">
        <v>5424</v>
      </c>
      <c r="T26" s="386">
        <v>2</v>
      </c>
      <c r="U26" s="388">
        <f>+M26*1.1</f>
        <v>1473650.5300000003</v>
      </c>
      <c r="V26" s="396"/>
      <c r="W26" s="172">
        <f t="shared" si="2"/>
        <v>2947301.0600000005</v>
      </c>
      <c r="X26" s="401"/>
      <c r="Y26" s="397"/>
      <c r="Z26" s="385" t="s">
        <v>6592</v>
      </c>
      <c r="AA26" s="386" t="s">
        <v>5424</v>
      </c>
      <c r="AB26" s="386">
        <v>2</v>
      </c>
      <c r="AC26" s="388">
        <f>+SUM!H923</f>
        <v>2630860</v>
      </c>
      <c r="AD26" s="396"/>
      <c r="AE26" s="172">
        <f t="shared" si="3"/>
        <v>5261720</v>
      </c>
      <c r="AF26" s="401"/>
    </row>
    <row r="27" spans="1:32" x14ac:dyDescent="0.25">
      <c r="A27" s="397"/>
      <c r="B27" s="385" t="s">
        <v>6569</v>
      </c>
      <c r="C27" s="386" t="s">
        <v>5424</v>
      </c>
      <c r="D27" s="386">
        <v>2</v>
      </c>
      <c r="E27" s="388">
        <f>+SUM!H1957</f>
        <v>481058</v>
      </c>
      <c r="F27" s="396"/>
      <c r="G27" s="172">
        <f>+D27*E27*(1+F27)</f>
        <v>962116</v>
      </c>
      <c r="H27" s="401"/>
      <c r="I27" s="397"/>
      <c r="J27" s="385" t="s">
        <v>6569</v>
      </c>
      <c r="K27" s="386" t="s">
        <v>5424</v>
      </c>
      <c r="L27" s="386">
        <v>2</v>
      </c>
      <c r="M27" s="388">
        <f>+E27*1.1</f>
        <v>529163.80000000005</v>
      </c>
      <c r="N27" s="396"/>
      <c r="O27" s="172">
        <f t="shared" si="1"/>
        <v>1058327.6000000001</v>
      </c>
      <c r="P27" s="401"/>
      <c r="Q27" s="397"/>
      <c r="R27" s="385" t="s">
        <v>6569</v>
      </c>
      <c r="S27" s="386" t="s">
        <v>5424</v>
      </c>
      <c r="T27" s="386">
        <v>2</v>
      </c>
      <c r="U27" s="388">
        <f>+M27*1.1</f>
        <v>582080.18000000005</v>
      </c>
      <c r="V27" s="396"/>
      <c r="W27" s="172">
        <f t="shared" si="2"/>
        <v>1164160.3600000001</v>
      </c>
      <c r="X27" s="401"/>
      <c r="Y27" s="397"/>
      <c r="Z27" s="385" t="s">
        <v>6593</v>
      </c>
      <c r="AA27" s="386" t="s">
        <v>5424</v>
      </c>
      <c r="AB27" s="386">
        <v>2</v>
      </c>
      <c r="AC27" s="388">
        <f>+SUM!H1963</f>
        <v>1478908</v>
      </c>
      <c r="AD27" s="396"/>
      <c r="AE27" s="172">
        <f t="shared" si="3"/>
        <v>2957816</v>
      </c>
      <c r="AF27" s="401"/>
    </row>
    <row r="28" spans="1:32" x14ac:dyDescent="0.25">
      <c r="A28" s="397"/>
      <c r="B28" s="385" t="s">
        <v>6568</v>
      </c>
      <c r="C28" s="386" t="s">
        <v>5424</v>
      </c>
      <c r="D28" s="386">
        <v>1</v>
      </c>
      <c r="E28" s="388">
        <f>+SUM!H2176</f>
        <v>814038</v>
      </c>
      <c r="F28" s="396"/>
      <c r="G28" s="172">
        <f t="shared" si="0"/>
        <v>814038</v>
      </c>
      <c r="H28" s="401"/>
      <c r="I28" s="397"/>
      <c r="J28" s="385" t="s">
        <v>6568</v>
      </c>
      <c r="K28" s="386" t="s">
        <v>5424</v>
      </c>
      <c r="L28" s="386">
        <v>1</v>
      </c>
      <c r="M28" s="388">
        <f>+SUM!H2302</f>
        <v>1075542</v>
      </c>
      <c r="N28" s="396"/>
      <c r="O28" s="172">
        <f t="shared" si="1"/>
        <v>1075542</v>
      </c>
      <c r="P28" s="401"/>
      <c r="Q28" s="397"/>
      <c r="R28" s="385" t="s">
        <v>6568</v>
      </c>
      <c r="S28" s="386" t="s">
        <v>5424</v>
      </c>
      <c r="T28" s="386">
        <v>1</v>
      </c>
      <c r="U28" s="388">
        <f>+M28*1.1</f>
        <v>1183096.2000000002</v>
      </c>
      <c r="V28" s="396"/>
      <c r="W28" s="172">
        <f t="shared" si="2"/>
        <v>1183096.2000000002</v>
      </c>
      <c r="X28" s="401"/>
      <c r="Y28" s="397"/>
      <c r="Z28" s="385" t="s">
        <v>6568</v>
      </c>
      <c r="AA28" s="386" t="s">
        <v>5424</v>
      </c>
      <c r="AB28" s="386">
        <v>1</v>
      </c>
      <c r="AC28" s="388">
        <f>+U28*1.1</f>
        <v>1301405.8200000003</v>
      </c>
      <c r="AD28" s="396"/>
      <c r="AE28" s="172">
        <f t="shared" si="3"/>
        <v>1301405.8200000003</v>
      </c>
      <c r="AF28" s="401"/>
    </row>
    <row r="29" spans="1:32" x14ac:dyDescent="0.25">
      <c r="A29" s="397"/>
      <c r="B29" s="385" t="s">
        <v>6531</v>
      </c>
      <c r="C29" s="386" t="s">
        <v>5424</v>
      </c>
      <c r="D29" s="386">
        <v>1</v>
      </c>
      <c r="E29" s="388">
        <f>+SUM!H2232</f>
        <v>1627349</v>
      </c>
      <c r="F29" s="396"/>
      <c r="G29" s="172">
        <f t="shared" si="0"/>
        <v>1627349</v>
      </c>
      <c r="H29" s="401"/>
      <c r="I29" s="397"/>
      <c r="J29" s="385" t="s">
        <v>6531</v>
      </c>
      <c r="K29" s="386" t="s">
        <v>5424</v>
      </c>
      <c r="L29" s="386">
        <v>1</v>
      </c>
      <c r="M29" s="388">
        <f>+E29*1.1</f>
        <v>1790083.9000000001</v>
      </c>
      <c r="N29" s="396"/>
      <c r="O29" s="172">
        <f t="shared" si="1"/>
        <v>1790083.9000000001</v>
      </c>
      <c r="P29" s="401"/>
      <c r="Q29" s="397"/>
      <c r="R29" s="385" t="s">
        <v>6531</v>
      </c>
      <c r="S29" s="386" t="s">
        <v>5424</v>
      </c>
      <c r="T29" s="386">
        <v>1</v>
      </c>
      <c r="U29" s="388">
        <f>+M29*1.1</f>
        <v>1969092.2900000003</v>
      </c>
      <c r="V29" s="396"/>
      <c r="W29" s="172">
        <f t="shared" si="2"/>
        <v>1969092.2900000003</v>
      </c>
      <c r="X29" s="401"/>
      <c r="Y29" s="397"/>
      <c r="Z29" s="385" t="s">
        <v>6531</v>
      </c>
      <c r="AA29" s="386" t="s">
        <v>5424</v>
      </c>
      <c r="AB29" s="386">
        <v>1</v>
      </c>
      <c r="AC29" s="388">
        <f>+E29</f>
        <v>1627349</v>
      </c>
      <c r="AD29" s="396"/>
      <c r="AE29" s="172">
        <f t="shared" si="3"/>
        <v>1627349</v>
      </c>
      <c r="AF29" s="401"/>
    </row>
    <row r="30" spans="1:32" ht="15.75" thickBot="1" x14ac:dyDescent="0.3">
      <c r="A30" s="397"/>
      <c r="B30" s="385" t="s">
        <v>6570</v>
      </c>
      <c r="C30" s="212" t="s">
        <v>6571</v>
      </c>
      <c r="D30" s="386">
        <f>1.2*1.6</f>
        <v>1.92</v>
      </c>
      <c r="E30" s="388">
        <f>+'APU CAP 6'!P1298</f>
        <v>339447</v>
      </c>
      <c r="F30" s="596"/>
      <c r="G30" s="172">
        <f t="shared" si="0"/>
        <v>651738.24</v>
      </c>
      <c r="H30" s="401"/>
      <c r="I30" s="397"/>
      <c r="J30" s="385" t="s">
        <v>6570</v>
      </c>
      <c r="K30" s="212" t="s">
        <v>6571</v>
      </c>
      <c r="L30" s="386">
        <f>1.2*1.6</f>
        <v>1.92</v>
      </c>
      <c r="M30" s="388">
        <f>+'APU CAP 6'!X1298</f>
        <v>0</v>
      </c>
      <c r="N30" s="596"/>
      <c r="O30" s="172">
        <f t="shared" si="1"/>
        <v>0</v>
      </c>
      <c r="P30" s="401"/>
      <c r="Q30" s="397"/>
      <c r="R30" s="385" t="s">
        <v>6570</v>
      </c>
      <c r="S30" s="212" t="s">
        <v>6571</v>
      </c>
      <c r="T30" s="386">
        <f>1.2*1.6</f>
        <v>1.92</v>
      </c>
      <c r="U30" s="388">
        <f>+'APU CAP 6'!AF1298</f>
        <v>0</v>
      </c>
      <c r="V30" s="596"/>
      <c r="W30" s="172">
        <f t="shared" si="2"/>
        <v>0</v>
      </c>
      <c r="X30" s="401"/>
      <c r="Y30" s="397"/>
      <c r="Z30" s="385" t="s">
        <v>6570</v>
      </c>
      <c r="AA30" s="212" t="s">
        <v>6571</v>
      </c>
      <c r="AB30" s="386">
        <f>1.2*1.6</f>
        <v>1.92</v>
      </c>
      <c r="AC30" s="388">
        <f>+E30</f>
        <v>339447</v>
      </c>
      <c r="AD30" s="596"/>
      <c r="AE30" s="172">
        <f t="shared" si="3"/>
        <v>651738.24</v>
      </c>
      <c r="AF30" s="401"/>
    </row>
    <row r="31" spans="1:32" ht="15.75" thickBot="1" x14ac:dyDescent="0.3">
      <c r="A31" s="397"/>
      <c r="B31" s="412"/>
      <c r="C31" s="413"/>
      <c r="D31" s="413"/>
      <c r="E31" s="423"/>
      <c r="F31" s="597"/>
      <c r="G31" s="410"/>
      <c r="H31" s="416">
        <f>+SUM(G17:G31)</f>
        <v>8831595.3360875007</v>
      </c>
      <c r="I31" s="397"/>
      <c r="J31" s="412"/>
      <c r="K31" s="413"/>
      <c r="L31" s="413"/>
      <c r="M31" s="423"/>
      <c r="N31" s="597"/>
      <c r="O31" s="410"/>
      <c r="P31" s="416">
        <f>+SUM(O17:O31)</f>
        <v>8985009.8960875012</v>
      </c>
      <c r="Q31" s="397"/>
      <c r="R31" s="412"/>
      <c r="S31" s="413"/>
      <c r="T31" s="413"/>
      <c r="U31" s="423"/>
      <c r="V31" s="597"/>
      <c r="W31" s="410"/>
      <c r="X31" s="416">
        <f>+SUM(W17:W31)</f>
        <v>9690577.776087502</v>
      </c>
      <c r="Y31" s="397"/>
      <c r="Z31" s="412"/>
      <c r="AA31" s="413"/>
      <c r="AB31" s="413"/>
      <c r="AC31" s="423"/>
      <c r="AD31" s="597"/>
      <c r="AE31" s="410"/>
      <c r="AF31" s="416">
        <f>+SUM(AE17:AE31)</f>
        <v>14140597.156087501</v>
      </c>
    </row>
    <row r="32" spans="1:32" ht="15.75" thickBot="1" x14ac:dyDescent="0.3">
      <c r="A32" s="397"/>
      <c r="B32" s="417"/>
      <c r="C32" s="417"/>
      <c r="D32" s="417"/>
      <c r="E32" s="417"/>
      <c r="F32" s="417"/>
      <c r="G32" s="419"/>
      <c r="H32" s="420"/>
      <c r="I32" s="397"/>
      <c r="J32" s="417"/>
      <c r="K32" s="417"/>
      <c r="L32" s="417"/>
      <c r="M32" s="417"/>
      <c r="N32" s="417"/>
      <c r="O32" s="419"/>
      <c r="P32" s="420"/>
      <c r="Q32" s="397"/>
      <c r="R32" s="417"/>
      <c r="S32" s="417"/>
      <c r="T32" s="417"/>
      <c r="U32" s="417"/>
      <c r="V32" s="417"/>
      <c r="W32" s="419"/>
      <c r="X32" s="420"/>
      <c r="Y32" s="397"/>
      <c r="Z32" s="417"/>
      <c r="AA32" s="417"/>
      <c r="AB32" s="417"/>
      <c r="AC32" s="417"/>
      <c r="AD32" s="417"/>
      <c r="AE32" s="419"/>
      <c r="AF32" s="420"/>
    </row>
    <row r="33" spans="1:32" ht="15.75" thickBot="1" x14ac:dyDescent="0.3">
      <c r="A33" s="397"/>
      <c r="B33" s="407" t="s">
        <v>5410</v>
      </c>
      <c r="C33" s="408" t="s">
        <v>867</v>
      </c>
      <c r="D33" s="408" t="s">
        <v>6</v>
      </c>
      <c r="E33" s="408" t="s">
        <v>870</v>
      </c>
      <c r="F33" s="408" t="s">
        <v>5411</v>
      </c>
      <c r="G33" s="409" t="s">
        <v>868</v>
      </c>
      <c r="H33" s="401"/>
      <c r="I33" s="397"/>
      <c r="J33" s="407" t="s">
        <v>5410</v>
      </c>
      <c r="K33" s="408" t="s">
        <v>867</v>
      </c>
      <c r="L33" s="408" t="s">
        <v>6</v>
      </c>
      <c r="M33" s="408" t="s">
        <v>870</v>
      </c>
      <c r="N33" s="408" t="s">
        <v>5411</v>
      </c>
      <c r="O33" s="409" t="s">
        <v>868</v>
      </c>
      <c r="P33" s="401"/>
      <c r="Q33" s="397"/>
      <c r="R33" s="407" t="s">
        <v>5410</v>
      </c>
      <c r="S33" s="408" t="s">
        <v>867</v>
      </c>
      <c r="T33" s="408" t="s">
        <v>6</v>
      </c>
      <c r="U33" s="408" t="s">
        <v>870</v>
      </c>
      <c r="V33" s="408" t="s">
        <v>5411</v>
      </c>
      <c r="W33" s="409" t="s">
        <v>868</v>
      </c>
      <c r="X33" s="401"/>
      <c r="Y33" s="397"/>
      <c r="Z33" s="407" t="s">
        <v>5410</v>
      </c>
      <c r="AA33" s="408" t="s">
        <v>867</v>
      </c>
      <c r="AB33" s="408" t="s">
        <v>6</v>
      </c>
      <c r="AC33" s="408" t="s">
        <v>870</v>
      </c>
      <c r="AD33" s="408" t="s">
        <v>5411</v>
      </c>
      <c r="AE33" s="409" t="s">
        <v>868</v>
      </c>
      <c r="AF33" s="401"/>
    </row>
    <row r="34" spans="1:32" ht="15.75" thickBot="1" x14ac:dyDescent="0.3">
      <c r="A34" s="397"/>
      <c r="B34" s="579"/>
      <c r="C34" s="580"/>
      <c r="D34" s="580"/>
      <c r="E34" s="580"/>
      <c r="F34" s="580"/>
      <c r="G34" s="581"/>
      <c r="H34" s="401"/>
      <c r="I34" s="397"/>
      <c r="J34" s="579"/>
      <c r="K34" s="580"/>
      <c r="L34" s="580"/>
      <c r="M34" s="580"/>
      <c r="N34" s="580"/>
      <c r="O34" s="581"/>
      <c r="P34" s="401"/>
      <c r="Q34" s="397"/>
      <c r="R34" s="579"/>
      <c r="S34" s="580"/>
      <c r="T34" s="580"/>
      <c r="U34" s="580"/>
      <c r="V34" s="580"/>
      <c r="W34" s="581"/>
      <c r="X34" s="401"/>
      <c r="Y34" s="397"/>
      <c r="Z34" s="579"/>
      <c r="AA34" s="580"/>
      <c r="AB34" s="580"/>
      <c r="AC34" s="580"/>
      <c r="AD34" s="580"/>
      <c r="AE34" s="581"/>
      <c r="AF34" s="401"/>
    </row>
    <row r="35" spans="1:32" ht="15.75" thickBot="1" x14ac:dyDescent="0.3">
      <c r="A35" s="397"/>
      <c r="B35" s="412"/>
      <c r="C35" s="414"/>
      <c r="D35" s="414"/>
      <c r="E35" s="414"/>
      <c r="F35" s="414"/>
      <c r="G35" s="415"/>
      <c r="H35" s="416">
        <f>+SUM(G35:G35)</f>
        <v>0</v>
      </c>
      <c r="I35" s="397"/>
      <c r="J35" s="412"/>
      <c r="K35" s="414"/>
      <c r="L35" s="414"/>
      <c r="M35" s="414"/>
      <c r="N35" s="414"/>
      <c r="O35" s="415"/>
      <c r="P35" s="416">
        <f>+SUM(O35:O35)</f>
        <v>0</v>
      </c>
      <c r="Q35" s="397"/>
      <c r="R35" s="412"/>
      <c r="S35" s="414"/>
      <c r="T35" s="414"/>
      <c r="U35" s="414"/>
      <c r="V35" s="414"/>
      <c r="W35" s="415"/>
      <c r="X35" s="416">
        <f>+SUM(W35:W35)</f>
        <v>0</v>
      </c>
      <c r="Y35" s="397"/>
      <c r="Z35" s="412"/>
      <c r="AA35" s="414"/>
      <c r="AB35" s="414"/>
      <c r="AC35" s="414"/>
      <c r="AD35" s="414"/>
      <c r="AE35" s="415"/>
      <c r="AF35" s="416">
        <f>+SUM(AE35:AE35)</f>
        <v>0</v>
      </c>
    </row>
    <row r="36" spans="1:32" ht="15.75" thickBot="1" x14ac:dyDescent="0.3">
      <c r="A36" s="397"/>
      <c r="B36" s="417"/>
      <c r="C36" s="417"/>
      <c r="D36" s="417"/>
      <c r="E36" s="417"/>
      <c r="F36" s="425"/>
      <c r="G36" s="426"/>
      <c r="H36" s="420"/>
      <c r="I36" s="397"/>
      <c r="J36" s="417"/>
      <c r="K36" s="417"/>
      <c r="L36" s="417"/>
      <c r="M36" s="417"/>
      <c r="N36" s="425"/>
      <c r="O36" s="426"/>
      <c r="P36" s="420"/>
      <c r="Q36" s="397"/>
      <c r="R36" s="417"/>
      <c r="S36" s="417"/>
      <c r="T36" s="417"/>
      <c r="U36" s="417"/>
      <c r="V36" s="425"/>
      <c r="W36" s="426"/>
      <c r="X36" s="420"/>
      <c r="Y36" s="397"/>
      <c r="Z36" s="417"/>
      <c r="AA36" s="417"/>
      <c r="AB36" s="417"/>
      <c r="AC36" s="417"/>
      <c r="AD36" s="425"/>
      <c r="AE36" s="426"/>
      <c r="AF36" s="420"/>
    </row>
    <row r="37" spans="1:32" ht="15.75" thickBot="1" x14ac:dyDescent="0.3">
      <c r="A37" s="397"/>
      <c r="B37" s="407" t="s">
        <v>5412</v>
      </c>
      <c r="C37" s="408" t="s">
        <v>5420</v>
      </c>
      <c r="D37" s="408" t="s">
        <v>5421</v>
      </c>
      <c r="E37" s="408" t="s">
        <v>5413</v>
      </c>
      <c r="F37" s="408" t="s">
        <v>5405</v>
      </c>
      <c r="G37" s="409" t="s">
        <v>868</v>
      </c>
      <c r="H37" s="401"/>
      <c r="I37" s="397"/>
      <c r="J37" s="407" t="s">
        <v>5412</v>
      </c>
      <c r="K37" s="408" t="s">
        <v>5420</v>
      </c>
      <c r="L37" s="408" t="s">
        <v>5421</v>
      </c>
      <c r="M37" s="408" t="s">
        <v>5413</v>
      </c>
      <c r="N37" s="408" t="s">
        <v>5405</v>
      </c>
      <c r="O37" s="409" t="s">
        <v>868</v>
      </c>
      <c r="P37" s="401"/>
      <c r="Q37" s="397"/>
      <c r="R37" s="407" t="s">
        <v>5412</v>
      </c>
      <c r="S37" s="408" t="s">
        <v>5420</v>
      </c>
      <c r="T37" s="408" t="s">
        <v>5421</v>
      </c>
      <c r="U37" s="408" t="s">
        <v>5413</v>
      </c>
      <c r="V37" s="408" t="s">
        <v>5405</v>
      </c>
      <c r="W37" s="409" t="s">
        <v>868</v>
      </c>
      <c r="X37" s="401"/>
      <c r="Y37" s="397"/>
      <c r="Z37" s="407" t="s">
        <v>5412</v>
      </c>
      <c r="AA37" s="408" t="s">
        <v>5420</v>
      </c>
      <c r="AB37" s="408" t="s">
        <v>5421</v>
      </c>
      <c r="AC37" s="408" t="s">
        <v>5413</v>
      </c>
      <c r="AD37" s="408" t="s">
        <v>5405</v>
      </c>
      <c r="AE37" s="409" t="s">
        <v>868</v>
      </c>
      <c r="AF37" s="401"/>
    </row>
    <row r="38" spans="1:32" x14ac:dyDescent="0.25">
      <c r="A38" s="397"/>
      <c r="B38" s="381" t="s">
        <v>5948</v>
      </c>
      <c r="C38" s="345">
        <v>70000</v>
      </c>
      <c r="D38" s="384">
        <f>+C38*0.85</f>
        <v>59500</v>
      </c>
      <c r="E38" s="384">
        <f>+C38+D38</f>
        <v>129500</v>
      </c>
      <c r="F38" s="382">
        <v>10</v>
      </c>
      <c r="G38" s="410">
        <f>+E38/F38</f>
        <v>12950</v>
      </c>
      <c r="H38" s="401"/>
      <c r="I38" s="397"/>
      <c r="J38" s="381" t="s">
        <v>5948</v>
      </c>
      <c r="K38" s="345">
        <v>70000</v>
      </c>
      <c r="L38" s="384">
        <f>+K38*0.85</f>
        <v>59500</v>
      </c>
      <c r="M38" s="384">
        <f>+K38+L38</f>
        <v>129500</v>
      </c>
      <c r="N38" s="382">
        <v>10</v>
      </c>
      <c r="O38" s="410">
        <f>+M38/N38</f>
        <v>12950</v>
      </c>
      <c r="P38" s="401"/>
      <c r="Q38" s="397"/>
      <c r="R38" s="381" t="s">
        <v>5948</v>
      </c>
      <c r="S38" s="345">
        <v>70000</v>
      </c>
      <c r="T38" s="384">
        <f>+S38*0.85</f>
        <v>59500</v>
      </c>
      <c r="U38" s="384">
        <f>+S38+T38</f>
        <v>129500</v>
      </c>
      <c r="V38" s="382">
        <v>10</v>
      </c>
      <c r="W38" s="410">
        <f>+U38/V38</f>
        <v>12950</v>
      </c>
      <c r="X38" s="401"/>
      <c r="Y38" s="397"/>
      <c r="Z38" s="381" t="s">
        <v>5948</v>
      </c>
      <c r="AA38" s="345">
        <v>70000</v>
      </c>
      <c r="AB38" s="384">
        <f>+AA38*0.85</f>
        <v>59500</v>
      </c>
      <c r="AC38" s="384">
        <f>+AA38+AB38</f>
        <v>129500</v>
      </c>
      <c r="AD38" s="382">
        <v>10</v>
      </c>
      <c r="AE38" s="410">
        <f>+AC38/AD38</f>
        <v>12950</v>
      </c>
      <c r="AF38" s="401"/>
    </row>
    <row r="39" spans="1:32" x14ac:dyDescent="0.25">
      <c r="A39" s="397"/>
      <c r="B39" s="385" t="s">
        <v>5949</v>
      </c>
      <c r="C39" s="345">
        <v>40000</v>
      </c>
      <c r="D39" s="384">
        <f>+C39*0.85</f>
        <v>34000</v>
      </c>
      <c r="E39" s="384">
        <f>+C39+D39</f>
        <v>74000</v>
      </c>
      <c r="F39" s="382">
        <v>0.5</v>
      </c>
      <c r="G39" s="410">
        <f>+E39/F39</f>
        <v>148000</v>
      </c>
      <c r="H39" s="401"/>
      <c r="I39" s="397"/>
      <c r="J39" s="385" t="s">
        <v>5949</v>
      </c>
      <c r="K39" s="345">
        <v>40000</v>
      </c>
      <c r="L39" s="384">
        <f>+K39*0.85</f>
        <v>34000</v>
      </c>
      <c r="M39" s="384">
        <f>+K39+L39</f>
        <v>74000</v>
      </c>
      <c r="N39" s="382">
        <v>0.4</v>
      </c>
      <c r="O39" s="410">
        <f>+M39/N39</f>
        <v>185000</v>
      </c>
      <c r="P39" s="401"/>
      <c r="Q39" s="397"/>
      <c r="R39" s="385" t="s">
        <v>5949</v>
      </c>
      <c r="S39" s="345">
        <v>40000</v>
      </c>
      <c r="T39" s="384">
        <f>+S39*0.85</f>
        <v>34000</v>
      </c>
      <c r="U39" s="384">
        <f>+S39+T39</f>
        <v>74000</v>
      </c>
      <c r="V39" s="382">
        <v>0.3</v>
      </c>
      <c r="W39" s="410">
        <f>+U39/V39</f>
        <v>246666.66666666669</v>
      </c>
      <c r="X39" s="401"/>
      <c r="Y39" s="397"/>
      <c r="Z39" s="385" t="s">
        <v>5949</v>
      </c>
      <c r="AA39" s="345">
        <v>40000</v>
      </c>
      <c r="AB39" s="384">
        <f>+AA39*0.85</f>
        <v>34000</v>
      </c>
      <c r="AC39" s="384">
        <f>+AA39+AB39</f>
        <v>74000</v>
      </c>
      <c r="AD39" s="382">
        <v>0.3</v>
      </c>
      <c r="AE39" s="410">
        <f>+AC39/AD39</f>
        <v>246666.66666666669</v>
      </c>
      <c r="AF39" s="401"/>
    </row>
    <row r="40" spans="1:32" x14ac:dyDescent="0.25">
      <c r="A40" s="397"/>
      <c r="B40" s="385" t="s">
        <v>5950</v>
      </c>
      <c r="C40" s="345">
        <v>20600</v>
      </c>
      <c r="D40" s="384">
        <f>+C40*0.85</f>
        <v>17510</v>
      </c>
      <c r="E40" s="384">
        <f>+C40+D40</f>
        <v>38110</v>
      </c>
      <c r="F40" s="382">
        <v>0.5</v>
      </c>
      <c r="G40" s="410">
        <f>+E40/F40</f>
        <v>76220</v>
      </c>
      <c r="H40" s="401"/>
      <c r="I40" s="397"/>
      <c r="J40" s="385" t="s">
        <v>5950</v>
      </c>
      <c r="K40" s="345">
        <v>20600</v>
      </c>
      <c r="L40" s="384">
        <f>+K40*0.85</f>
        <v>17510</v>
      </c>
      <c r="M40" s="384">
        <f>+K40+L40</f>
        <v>38110</v>
      </c>
      <c r="N40" s="382">
        <v>0.4</v>
      </c>
      <c r="O40" s="410">
        <f>+M40/N40</f>
        <v>95275</v>
      </c>
      <c r="P40" s="401"/>
      <c r="Q40" s="397"/>
      <c r="R40" s="385" t="s">
        <v>5950</v>
      </c>
      <c r="S40" s="345">
        <v>20600</v>
      </c>
      <c r="T40" s="384">
        <f>+S40*0.85</f>
        <v>17510</v>
      </c>
      <c r="U40" s="384">
        <f>+S40+T40</f>
        <v>38110</v>
      </c>
      <c r="V40" s="382">
        <v>0.3</v>
      </c>
      <c r="W40" s="410">
        <f>+U40/V40</f>
        <v>127033.33333333334</v>
      </c>
      <c r="X40" s="401"/>
      <c r="Y40" s="397"/>
      <c r="Z40" s="385" t="s">
        <v>5950</v>
      </c>
      <c r="AA40" s="345">
        <v>20600</v>
      </c>
      <c r="AB40" s="384">
        <f>+AA40*0.85</f>
        <v>17510</v>
      </c>
      <c r="AC40" s="384">
        <f>+AA40+AB40</f>
        <v>38110</v>
      </c>
      <c r="AD40" s="382">
        <v>0.3</v>
      </c>
      <c r="AE40" s="410">
        <f>+AC40/AD40</f>
        <v>127033.33333333334</v>
      </c>
      <c r="AF40" s="401"/>
    </row>
    <row r="41" spans="1:32" x14ac:dyDescent="0.25">
      <c r="A41" s="397"/>
      <c r="B41" s="385"/>
      <c r="C41" s="384"/>
      <c r="D41" s="384"/>
      <c r="E41" s="384"/>
      <c r="F41" s="382"/>
      <c r="G41" s="410"/>
      <c r="H41" s="401"/>
      <c r="I41" s="397"/>
      <c r="J41" s="385"/>
      <c r="K41" s="384"/>
      <c r="L41" s="384"/>
      <c r="M41" s="384"/>
      <c r="N41" s="382"/>
      <c r="O41" s="410"/>
      <c r="P41" s="401"/>
      <c r="Q41" s="397"/>
      <c r="R41" s="385"/>
      <c r="S41" s="384"/>
      <c r="T41" s="384"/>
      <c r="U41" s="384"/>
      <c r="V41" s="382"/>
      <c r="W41" s="410"/>
      <c r="X41" s="401"/>
      <c r="Y41" s="397"/>
      <c r="Z41" s="385"/>
      <c r="AA41" s="384"/>
      <c r="AB41" s="384"/>
      <c r="AC41" s="384"/>
      <c r="AD41" s="382"/>
      <c r="AE41" s="410"/>
      <c r="AF41" s="401"/>
    </row>
    <row r="42" spans="1:32" x14ac:dyDescent="0.25">
      <c r="A42" s="397"/>
      <c r="B42" s="412"/>
      <c r="C42" s="582"/>
      <c r="D42" s="582"/>
      <c r="E42" s="582"/>
      <c r="F42" s="580"/>
      <c r="G42" s="583"/>
      <c r="H42" s="401"/>
      <c r="I42" s="397"/>
      <c r="J42" s="412"/>
      <c r="K42" s="582"/>
      <c r="L42" s="582"/>
      <c r="M42" s="582"/>
      <c r="N42" s="580"/>
      <c r="O42" s="583"/>
      <c r="P42" s="401"/>
      <c r="Q42" s="397"/>
      <c r="R42" s="412"/>
      <c r="S42" s="582"/>
      <c r="T42" s="582"/>
      <c r="U42" s="582"/>
      <c r="V42" s="580"/>
      <c r="W42" s="583"/>
      <c r="X42" s="401"/>
      <c r="Y42" s="397"/>
      <c r="Z42" s="412"/>
      <c r="AA42" s="582"/>
      <c r="AB42" s="582"/>
      <c r="AC42" s="582"/>
      <c r="AD42" s="580"/>
      <c r="AE42" s="583"/>
      <c r="AF42" s="401"/>
    </row>
    <row r="43" spans="1:32" ht="15.75" thickBot="1" x14ac:dyDescent="0.3">
      <c r="A43" s="397"/>
      <c r="B43" s="412"/>
      <c r="C43" s="582"/>
      <c r="D43" s="582"/>
      <c r="E43" s="582"/>
      <c r="F43" s="580"/>
      <c r="G43" s="583"/>
      <c r="H43" s="401"/>
      <c r="I43" s="397"/>
      <c r="J43" s="412"/>
      <c r="K43" s="582"/>
      <c r="L43" s="582"/>
      <c r="M43" s="582"/>
      <c r="N43" s="580"/>
      <c r="O43" s="583"/>
      <c r="P43" s="401"/>
      <c r="Q43" s="397"/>
      <c r="R43" s="412"/>
      <c r="S43" s="582"/>
      <c r="T43" s="582"/>
      <c r="U43" s="582"/>
      <c r="V43" s="580"/>
      <c r="W43" s="583"/>
      <c r="X43" s="401"/>
      <c r="Y43" s="397"/>
      <c r="Z43" s="412"/>
      <c r="AA43" s="582"/>
      <c r="AB43" s="582"/>
      <c r="AC43" s="582"/>
      <c r="AD43" s="580"/>
      <c r="AE43" s="583"/>
      <c r="AF43" s="401"/>
    </row>
    <row r="44" spans="1:32" ht="15.75" thickBot="1" x14ac:dyDescent="0.3">
      <c r="A44" s="397"/>
      <c r="B44" s="427"/>
      <c r="C44" s="428"/>
      <c r="D44" s="428"/>
      <c r="E44" s="428"/>
      <c r="F44" s="428"/>
      <c r="G44" s="429"/>
      <c r="H44" s="416">
        <f>+SUM(G38:G44)</f>
        <v>237170</v>
      </c>
      <c r="I44" s="397"/>
      <c r="J44" s="427"/>
      <c r="K44" s="428"/>
      <c r="L44" s="428"/>
      <c r="M44" s="428"/>
      <c r="N44" s="428"/>
      <c r="O44" s="429"/>
      <c r="P44" s="416">
        <f>+SUM(O38:O44)</f>
        <v>293225</v>
      </c>
      <c r="Q44" s="397"/>
      <c r="R44" s="427"/>
      <c r="S44" s="428"/>
      <c r="T44" s="428"/>
      <c r="U44" s="428"/>
      <c r="V44" s="428"/>
      <c r="W44" s="429"/>
      <c r="X44" s="416">
        <f>+SUM(W38:W44)</f>
        <v>386650</v>
      </c>
      <c r="Y44" s="397"/>
      <c r="Z44" s="427"/>
      <c r="AA44" s="428"/>
      <c r="AB44" s="428"/>
      <c r="AC44" s="428"/>
      <c r="AD44" s="428"/>
      <c r="AE44" s="429"/>
      <c r="AF44" s="416">
        <f>+SUM(AE38:AE44)</f>
        <v>386650</v>
      </c>
    </row>
    <row r="45" spans="1:32" ht="15.75" thickBot="1" x14ac:dyDescent="0.3">
      <c r="A45" s="397"/>
      <c r="B45" s="430"/>
      <c r="C45" s="430"/>
      <c r="D45" s="430"/>
      <c r="E45" s="430"/>
      <c r="F45" s="430"/>
      <c r="G45" s="401"/>
      <c r="H45" s="401"/>
      <c r="I45" s="397"/>
      <c r="J45" s="430"/>
      <c r="K45" s="430"/>
      <c r="L45" s="430"/>
      <c r="M45" s="430"/>
      <c r="N45" s="430"/>
      <c r="O45" s="401"/>
      <c r="P45" s="401"/>
      <c r="Q45" s="397"/>
      <c r="R45" s="430"/>
      <c r="S45" s="430"/>
      <c r="T45" s="430"/>
      <c r="U45" s="430"/>
      <c r="V45" s="430"/>
      <c r="W45" s="401"/>
      <c r="X45" s="401"/>
      <c r="Y45" s="397"/>
      <c r="Z45" s="430"/>
      <c r="AA45" s="430"/>
      <c r="AB45" s="430"/>
      <c r="AC45" s="430"/>
      <c r="AD45" s="430"/>
      <c r="AE45" s="401"/>
      <c r="AF45" s="401"/>
    </row>
    <row r="46" spans="1:32" ht="15.75" thickBot="1" x14ac:dyDescent="0.3">
      <c r="A46" s="397"/>
      <c r="B46" s="430"/>
      <c r="C46" s="430"/>
      <c r="D46" s="430"/>
      <c r="E46" s="431" t="s">
        <v>5415</v>
      </c>
      <c r="F46" s="430"/>
      <c r="G46" s="401"/>
      <c r="H46" s="416">
        <f>+ROUND(H14+H31+H35+H44,0)</f>
        <v>9080624</v>
      </c>
      <c r="I46" s="397"/>
      <c r="J46" s="430"/>
      <c r="K46" s="430"/>
      <c r="L46" s="430"/>
      <c r="M46" s="431" t="s">
        <v>5415</v>
      </c>
      <c r="N46" s="430"/>
      <c r="O46" s="401"/>
      <c r="P46" s="416">
        <f>+ROUND(P14+P31+P35+P44,0)</f>
        <v>9292896</v>
      </c>
      <c r="Q46" s="397"/>
      <c r="R46" s="430"/>
      <c r="S46" s="430"/>
      <c r="T46" s="430"/>
      <c r="U46" s="431" t="s">
        <v>5415</v>
      </c>
      <c r="V46" s="430"/>
      <c r="W46" s="401"/>
      <c r="X46" s="416">
        <f>+ROUND(X14+X31+X35+X44,0)</f>
        <v>10096560</v>
      </c>
      <c r="Y46" s="397"/>
      <c r="Z46" s="430"/>
      <c r="AA46" s="430"/>
      <c r="AB46" s="430"/>
      <c r="AC46" s="431" t="s">
        <v>5415</v>
      </c>
      <c r="AD46" s="430"/>
      <c r="AE46" s="401"/>
      <c r="AF46" s="416">
        <f>+ROUND(AF14+AF31+AF35+AF44,0)</f>
        <v>14546580</v>
      </c>
    </row>
    <row r="51" spans="1:24" x14ac:dyDescent="0.25">
      <c r="A51" s="397"/>
      <c r="B51" s="2512" t="s">
        <v>5400</v>
      </c>
      <c r="C51" s="2512"/>
      <c r="D51" s="2512"/>
      <c r="E51" s="2512"/>
      <c r="F51" s="2512"/>
      <c r="G51" s="2512"/>
      <c r="H51" s="398"/>
      <c r="I51" s="397"/>
      <c r="J51" s="2512" t="s">
        <v>5400</v>
      </c>
      <c r="K51" s="2512"/>
      <c r="L51" s="2512"/>
      <c r="M51" s="2512"/>
      <c r="N51" s="2512"/>
      <c r="O51" s="2512"/>
      <c r="P51" s="398"/>
      <c r="Q51" s="397"/>
      <c r="R51" s="2512" t="s">
        <v>5400</v>
      </c>
      <c r="S51" s="2512"/>
      <c r="T51" s="2512"/>
      <c r="U51" s="2512"/>
      <c r="V51" s="2512"/>
      <c r="W51" s="2512"/>
      <c r="X51" s="398"/>
    </row>
    <row r="52" spans="1:24" x14ac:dyDescent="0.25">
      <c r="A52" s="397"/>
      <c r="B52" s="399"/>
      <c r="C52" s="399"/>
      <c r="D52" s="397"/>
      <c r="E52" s="397"/>
      <c r="F52" s="400"/>
      <c r="G52" s="401"/>
      <c r="H52" s="401"/>
      <c r="I52" s="397"/>
      <c r="J52" s="399"/>
      <c r="K52" s="399"/>
      <c r="L52" s="397"/>
      <c r="M52" s="397"/>
      <c r="N52" s="400"/>
      <c r="O52" s="401"/>
      <c r="P52" s="401"/>
      <c r="Q52" s="397"/>
      <c r="R52" s="399"/>
      <c r="S52" s="399"/>
      <c r="T52" s="397"/>
      <c r="U52" s="397"/>
      <c r="V52" s="400"/>
      <c r="W52" s="401"/>
      <c r="X52" s="401"/>
    </row>
    <row r="53" spans="1:24" ht="24.95" customHeight="1" x14ac:dyDescent="0.25">
      <c r="A53" s="593" t="s">
        <v>5952</v>
      </c>
      <c r="B53" s="594">
        <v>9.1</v>
      </c>
      <c r="C53" s="2445" t="s">
        <v>6354</v>
      </c>
      <c r="D53" s="2445"/>
      <c r="E53" s="2445"/>
      <c r="F53" s="595" t="s">
        <v>867</v>
      </c>
      <c r="G53" s="139" t="s">
        <v>5424</v>
      </c>
      <c r="H53" s="134"/>
      <c r="I53" s="593" t="s">
        <v>5952</v>
      </c>
      <c r="J53" s="594">
        <v>9.1</v>
      </c>
      <c r="K53" s="2445" t="s">
        <v>6352</v>
      </c>
      <c r="L53" s="2445"/>
      <c r="M53" s="2445"/>
      <c r="N53" s="595" t="s">
        <v>867</v>
      </c>
      <c r="O53" s="139" t="s">
        <v>5424</v>
      </c>
      <c r="P53" s="134"/>
      <c r="Q53" s="593" t="s">
        <v>5952</v>
      </c>
      <c r="R53" s="594">
        <v>9.1</v>
      </c>
      <c r="S53" s="2445" t="s">
        <v>6353</v>
      </c>
      <c r="T53" s="2445"/>
      <c r="U53" s="2445"/>
      <c r="V53" s="595" t="s">
        <v>867</v>
      </c>
      <c r="W53" s="139" t="s">
        <v>5424</v>
      </c>
      <c r="X53" s="134"/>
    </row>
    <row r="54" spans="1:24" x14ac:dyDescent="0.25">
      <c r="A54" s="404"/>
      <c r="B54" s="405"/>
      <c r="C54" s="610"/>
      <c r="D54" s="610"/>
      <c r="E54" s="610"/>
      <c r="F54" s="400"/>
      <c r="G54" s="142"/>
      <c r="H54" s="134"/>
      <c r="I54" s="404"/>
      <c r="J54" s="405"/>
      <c r="K54" s="610"/>
      <c r="L54" s="610"/>
      <c r="M54" s="610"/>
      <c r="N54" s="400"/>
      <c r="O54" s="142"/>
      <c r="P54" s="134"/>
      <c r="Q54" s="404"/>
      <c r="R54" s="405"/>
      <c r="S54" s="610"/>
      <c r="T54" s="610"/>
      <c r="U54" s="610"/>
      <c r="V54" s="400"/>
      <c r="W54" s="142"/>
      <c r="X54" s="134"/>
    </row>
    <row r="55" spans="1:24" ht="15.75" thickBot="1" x14ac:dyDescent="0.3">
      <c r="A55" s="397"/>
      <c r="B55" s="397"/>
      <c r="C55" s="397"/>
      <c r="D55" s="397"/>
      <c r="E55" s="397"/>
      <c r="F55" s="400"/>
      <c r="G55" s="401"/>
      <c r="H55" s="401"/>
      <c r="I55" s="397"/>
      <c r="J55" s="397"/>
      <c r="K55" s="397"/>
      <c r="L55" s="397"/>
      <c r="M55" s="397"/>
      <c r="N55" s="400"/>
      <c r="O55" s="401"/>
      <c r="P55" s="401"/>
      <c r="Q55" s="397"/>
      <c r="R55" s="397"/>
      <c r="S55" s="397"/>
      <c r="T55" s="397"/>
      <c r="U55" s="397"/>
      <c r="V55" s="400"/>
      <c r="W55" s="401"/>
      <c r="X55" s="401"/>
    </row>
    <row r="56" spans="1:24" ht="15.75" thickBot="1" x14ac:dyDescent="0.3">
      <c r="A56" s="397"/>
      <c r="B56" s="407" t="s">
        <v>5403</v>
      </c>
      <c r="C56" s="408" t="s">
        <v>867</v>
      </c>
      <c r="D56" s="408" t="s">
        <v>6</v>
      </c>
      <c r="E56" s="408" t="s">
        <v>5439</v>
      </c>
      <c r="F56" s="408" t="s">
        <v>5405</v>
      </c>
      <c r="G56" s="409" t="s">
        <v>868</v>
      </c>
      <c r="H56" s="401"/>
      <c r="I56" s="397"/>
      <c r="J56" s="407" t="s">
        <v>5403</v>
      </c>
      <c r="K56" s="408" t="s">
        <v>867</v>
      </c>
      <c r="L56" s="408" t="s">
        <v>6</v>
      </c>
      <c r="M56" s="408" t="s">
        <v>5439</v>
      </c>
      <c r="N56" s="408" t="s">
        <v>5405</v>
      </c>
      <c r="O56" s="409" t="s">
        <v>868</v>
      </c>
      <c r="P56" s="401"/>
      <c r="Q56" s="397"/>
      <c r="R56" s="407" t="s">
        <v>5403</v>
      </c>
      <c r="S56" s="408" t="s">
        <v>867</v>
      </c>
      <c r="T56" s="408" t="s">
        <v>6</v>
      </c>
      <c r="U56" s="408" t="s">
        <v>5439</v>
      </c>
      <c r="V56" s="408" t="s">
        <v>5405</v>
      </c>
      <c r="W56" s="409" t="s">
        <v>868</v>
      </c>
      <c r="X56" s="401"/>
    </row>
    <row r="57" spans="1:24" x14ac:dyDescent="0.25">
      <c r="A57" s="397"/>
      <c r="B57" s="381" t="s">
        <v>5934</v>
      </c>
      <c r="C57" s="382"/>
      <c r="D57" s="383"/>
      <c r="E57" s="384"/>
      <c r="F57" s="383"/>
      <c r="G57" s="410">
        <f>0.05*H93</f>
        <v>12506</v>
      </c>
      <c r="H57" s="401"/>
      <c r="I57" s="397"/>
      <c r="J57" s="381" t="s">
        <v>5934</v>
      </c>
      <c r="K57" s="382"/>
      <c r="L57" s="383"/>
      <c r="M57" s="384"/>
      <c r="N57" s="383"/>
      <c r="O57" s="410">
        <f>0.05*P93</f>
        <v>15308.75</v>
      </c>
      <c r="P57" s="401"/>
      <c r="Q57" s="397"/>
      <c r="R57" s="381" t="s">
        <v>5934</v>
      </c>
      <c r="S57" s="382"/>
      <c r="T57" s="383"/>
      <c r="U57" s="384"/>
      <c r="V57" s="383"/>
      <c r="W57" s="410">
        <f>0.05*X93</f>
        <v>19980</v>
      </c>
      <c r="X57" s="401"/>
    </row>
    <row r="58" spans="1:24" x14ac:dyDescent="0.25">
      <c r="A58" s="397"/>
      <c r="B58" s="385"/>
      <c r="C58" s="386"/>
      <c r="D58" s="387"/>
      <c r="E58" s="388"/>
      <c r="F58" s="387"/>
      <c r="G58" s="411"/>
      <c r="H58" s="401"/>
      <c r="I58" s="397"/>
      <c r="J58" s="385"/>
      <c r="K58" s="386"/>
      <c r="L58" s="387"/>
      <c r="M58" s="388"/>
      <c r="N58" s="387"/>
      <c r="O58" s="411"/>
      <c r="P58" s="401"/>
      <c r="Q58" s="397"/>
      <c r="R58" s="385"/>
      <c r="S58" s="386"/>
      <c r="T58" s="387"/>
      <c r="U58" s="388"/>
      <c r="V58" s="387"/>
      <c r="W58" s="411"/>
      <c r="X58" s="401"/>
    </row>
    <row r="59" spans="1:24" x14ac:dyDescent="0.25">
      <c r="A59" s="397"/>
      <c r="B59" s="385"/>
      <c r="C59" s="386"/>
      <c r="D59" s="387"/>
      <c r="E59" s="388"/>
      <c r="F59" s="387"/>
      <c r="G59" s="411"/>
      <c r="H59" s="401"/>
      <c r="I59" s="397"/>
      <c r="J59" s="385"/>
      <c r="K59" s="386"/>
      <c r="L59" s="387"/>
      <c r="M59" s="388"/>
      <c r="N59" s="387"/>
      <c r="O59" s="411"/>
      <c r="P59" s="401"/>
      <c r="Q59" s="397"/>
      <c r="R59" s="385"/>
      <c r="S59" s="386"/>
      <c r="T59" s="387"/>
      <c r="U59" s="388"/>
      <c r="V59" s="387"/>
      <c r="W59" s="411"/>
      <c r="X59" s="401"/>
    </row>
    <row r="60" spans="1:24" x14ac:dyDescent="0.25">
      <c r="A60" s="397"/>
      <c r="B60" s="385"/>
      <c r="C60" s="386"/>
      <c r="D60" s="387"/>
      <c r="E60" s="388"/>
      <c r="F60" s="387"/>
      <c r="G60" s="411"/>
      <c r="H60" s="401"/>
      <c r="I60" s="397"/>
      <c r="J60" s="385"/>
      <c r="K60" s="386"/>
      <c r="L60" s="387"/>
      <c r="M60" s="388"/>
      <c r="N60" s="387"/>
      <c r="O60" s="411"/>
      <c r="P60" s="401"/>
      <c r="Q60" s="397"/>
      <c r="R60" s="385"/>
      <c r="S60" s="386"/>
      <c r="T60" s="387"/>
      <c r="U60" s="388"/>
      <c r="V60" s="387"/>
      <c r="W60" s="411"/>
      <c r="X60" s="401"/>
    </row>
    <row r="61" spans="1:24" x14ac:dyDescent="0.25">
      <c r="A61" s="397"/>
      <c r="B61" s="385"/>
      <c r="C61" s="386"/>
      <c r="D61" s="387"/>
      <c r="E61" s="388"/>
      <c r="F61" s="387"/>
      <c r="G61" s="411"/>
      <c r="H61" s="401"/>
      <c r="I61" s="397"/>
      <c r="J61" s="385"/>
      <c r="K61" s="386"/>
      <c r="L61" s="387"/>
      <c r="M61" s="388"/>
      <c r="N61" s="387"/>
      <c r="O61" s="411"/>
      <c r="P61" s="401"/>
      <c r="Q61" s="397"/>
      <c r="R61" s="385"/>
      <c r="S61" s="386"/>
      <c r="T61" s="387"/>
      <c r="U61" s="388"/>
      <c r="V61" s="387"/>
      <c r="W61" s="411"/>
      <c r="X61" s="401"/>
    </row>
    <row r="62" spans="1:24" ht="15.75" thickBot="1" x14ac:dyDescent="0.3">
      <c r="A62" s="397"/>
      <c r="B62" s="385"/>
      <c r="C62" s="386"/>
      <c r="D62" s="387"/>
      <c r="E62" s="387"/>
      <c r="F62" s="387"/>
      <c r="G62" s="411"/>
      <c r="H62" s="401"/>
      <c r="I62" s="397"/>
      <c r="J62" s="385"/>
      <c r="K62" s="386"/>
      <c r="L62" s="387"/>
      <c r="M62" s="387"/>
      <c r="N62" s="387"/>
      <c r="O62" s="411"/>
      <c r="P62" s="401"/>
      <c r="Q62" s="397"/>
      <c r="R62" s="385"/>
      <c r="S62" s="386"/>
      <c r="T62" s="387"/>
      <c r="U62" s="387"/>
      <c r="V62" s="387"/>
      <c r="W62" s="411"/>
      <c r="X62" s="401"/>
    </row>
    <row r="63" spans="1:24" ht="15.75" thickBot="1" x14ac:dyDescent="0.3">
      <c r="A63" s="397"/>
      <c r="B63" s="412"/>
      <c r="C63" s="413"/>
      <c r="D63" s="414"/>
      <c r="E63" s="414"/>
      <c r="F63" s="414"/>
      <c r="G63" s="415"/>
      <c r="H63" s="416">
        <f>+SUM(G57:G63)</f>
        <v>12506</v>
      </c>
      <c r="I63" s="397"/>
      <c r="J63" s="412"/>
      <c r="K63" s="413"/>
      <c r="L63" s="414"/>
      <c r="M63" s="414"/>
      <c r="N63" s="414"/>
      <c r="O63" s="415"/>
      <c r="P63" s="416">
        <f>+SUM(O57:O63)</f>
        <v>15308.75</v>
      </c>
      <c r="Q63" s="397"/>
      <c r="R63" s="412"/>
      <c r="S63" s="413"/>
      <c r="T63" s="414"/>
      <c r="U63" s="414"/>
      <c r="V63" s="414"/>
      <c r="W63" s="415"/>
      <c r="X63" s="416">
        <f>+SUM(W57:W63)</f>
        <v>19980</v>
      </c>
    </row>
    <row r="64" spans="1:24" ht="15.75" thickBot="1" x14ac:dyDescent="0.3">
      <c r="A64" s="397"/>
      <c r="B64" s="417"/>
      <c r="C64" s="418"/>
      <c r="D64" s="417"/>
      <c r="E64" s="417"/>
      <c r="F64" s="417"/>
      <c r="G64" s="419"/>
      <c r="H64" s="420"/>
      <c r="I64" s="397"/>
      <c r="J64" s="417"/>
      <c r="K64" s="418"/>
      <c r="L64" s="417"/>
      <c r="M64" s="417"/>
      <c r="N64" s="417"/>
      <c r="O64" s="419"/>
      <c r="P64" s="420"/>
      <c r="Q64" s="397"/>
      <c r="R64" s="417"/>
      <c r="S64" s="418"/>
      <c r="T64" s="417"/>
      <c r="U64" s="417"/>
      <c r="V64" s="417"/>
      <c r="W64" s="419"/>
      <c r="X64" s="420"/>
    </row>
    <row r="65" spans="1:24" ht="15.75" thickBot="1" x14ac:dyDescent="0.3">
      <c r="A65" s="397"/>
      <c r="B65" s="407" t="s">
        <v>5408</v>
      </c>
      <c r="C65" s="408" t="s">
        <v>867</v>
      </c>
      <c r="D65" s="408" t="s">
        <v>6</v>
      </c>
      <c r="E65" s="408" t="s">
        <v>870</v>
      </c>
      <c r="F65" s="408" t="s">
        <v>5409</v>
      </c>
      <c r="G65" s="409" t="s">
        <v>868</v>
      </c>
      <c r="H65" s="401"/>
      <c r="I65" s="397"/>
      <c r="J65" s="407" t="s">
        <v>5408</v>
      </c>
      <c r="K65" s="408" t="s">
        <v>867</v>
      </c>
      <c r="L65" s="408" t="s">
        <v>6</v>
      </c>
      <c r="M65" s="408" t="s">
        <v>870</v>
      </c>
      <c r="N65" s="408" t="s">
        <v>5409</v>
      </c>
      <c r="O65" s="409" t="s">
        <v>868</v>
      </c>
      <c r="P65" s="401"/>
      <c r="Q65" s="397"/>
      <c r="R65" s="407" t="s">
        <v>5408</v>
      </c>
      <c r="S65" s="408" t="s">
        <v>867</v>
      </c>
      <c r="T65" s="408" t="s">
        <v>6</v>
      </c>
      <c r="U65" s="408" t="s">
        <v>870</v>
      </c>
      <c r="V65" s="408" t="s">
        <v>5409</v>
      </c>
      <c r="W65" s="409" t="s">
        <v>868</v>
      </c>
      <c r="X65" s="401"/>
    </row>
    <row r="66" spans="1:24" x14ac:dyDescent="0.25">
      <c r="A66" s="397"/>
      <c r="B66" s="389" t="s">
        <v>6337</v>
      </c>
      <c r="C66" s="212" t="s">
        <v>6421</v>
      </c>
      <c r="D66" s="211">
        <f>1.4*1.8*1.05</f>
        <v>2.6460000000000004</v>
      </c>
      <c r="E66" s="345">
        <f>+'APU CAP 1-2'!$H$1150</f>
        <v>22263</v>
      </c>
      <c r="F66" s="169">
        <v>0.05</v>
      </c>
      <c r="G66" s="172">
        <f>+D66*E66*(1+F66)</f>
        <v>61853.292900000015</v>
      </c>
      <c r="H66" s="401"/>
      <c r="I66" s="397"/>
      <c r="J66" s="389" t="s">
        <v>6337</v>
      </c>
      <c r="K66" s="212" t="s">
        <v>6421</v>
      </c>
      <c r="L66" s="211">
        <f>1.4*1.8*1.05</f>
        <v>2.6460000000000004</v>
      </c>
      <c r="M66" s="345">
        <f>+'APU CAP 1-2'!$H$1150</f>
        <v>22263</v>
      </c>
      <c r="N66" s="169">
        <v>0.05</v>
      </c>
      <c r="O66" s="172">
        <f>+L66*M66*(1+N66)</f>
        <v>61853.292900000015</v>
      </c>
      <c r="P66" s="401"/>
      <c r="Q66" s="397"/>
      <c r="R66" s="389" t="s">
        <v>6337</v>
      </c>
      <c r="S66" s="212" t="s">
        <v>6421</v>
      </c>
      <c r="T66" s="211">
        <f>1.4*1.8*1.05</f>
        <v>2.6460000000000004</v>
      </c>
      <c r="U66" s="345">
        <f>+'APU CAP 1-2'!$H$1150</f>
        <v>22263</v>
      </c>
      <c r="V66" s="169">
        <v>0.05</v>
      </c>
      <c r="W66" s="172">
        <f>+T66*U66*(1+V66)</f>
        <v>61853.292900000015</v>
      </c>
      <c r="X66" s="401"/>
    </row>
    <row r="67" spans="1:24" x14ac:dyDescent="0.25">
      <c r="A67" s="397"/>
      <c r="B67" s="391" t="s">
        <v>6345</v>
      </c>
      <c r="C67" s="212" t="s">
        <v>6421</v>
      </c>
      <c r="D67" s="212">
        <f>1.4*1.8*0.05</f>
        <v>0.126</v>
      </c>
      <c r="E67" s="346">
        <f>+'APU CAP 5'!$H$160</f>
        <v>301336.95833333331</v>
      </c>
      <c r="F67" s="169">
        <v>0.05</v>
      </c>
      <c r="G67" s="172">
        <f t="shared" ref="G67:G79" si="4">+D67*E67*(1+F67)</f>
        <v>39866.8795875</v>
      </c>
      <c r="H67" s="401"/>
      <c r="I67" s="397"/>
      <c r="J67" s="391" t="s">
        <v>6345</v>
      </c>
      <c r="K67" s="212" t="s">
        <v>6421</v>
      </c>
      <c r="L67" s="212">
        <f>1.4*1.8*0.05</f>
        <v>0.126</v>
      </c>
      <c r="M67" s="346">
        <f>+'APU CAP 5'!$H$160</f>
        <v>301336.95833333331</v>
      </c>
      <c r="N67" s="169">
        <v>0.05</v>
      </c>
      <c r="O67" s="172">
        <f t="shared" ref="O67:O79" si="5">+L67*M67*(1+N67)</f>
        <v>39866.8795875</v>
      </c>
      <c r="P67" s="401"/>
      <c r="Q67" s="397"/>
      <c r="R67" s="391" t="s">
        <v>6345</v>
      </c>
      <c r="S67" s="212" t="s">
        <v>6421</v>
      </c>
      <c r="T67" s="212">
        <f>1.4*1.8*0.05</f>
        <v>0.126</v>
      </c>
      <c r="U67" s="346">
        <f>+'APU CAP 5'!$H$160</f>
        <v>301336.95833333331</v>
      </c>
      <c r="V67" s="169">
        <v>0.05</v>
      </c>
      <c r="W67" s="172">
        <f t="shared" ref="W67:W79" si="6">+T67*U67*(1+V67)</f>
        <v>39866.8795875</v>
      </c>
      <c r="X67" s="401"/>
    </row>
    <row r="68" spans="1:24" x14ac:dyDescent="0.25">
      <c r="A68" s="397"/>
      <c r="B68" s="385" t="s">
        <v>6338</v>
      </c>
      <c r="C68" s="212" t="s">
        <v>6421</v>
      </c>
      <c r="D68" s="386">
        <f>1.4*1.8*0.2</f>
        <v>0.504</v>
      </c>
      <c r="E68" s="384">
        <f>+'APU CAP 5'!$H$538</f>
        <v>554067</v>
      </c>
      <c r="F68" s="169">
        <v>0.05</v>
      </c>
      <c r="G68" s="172">
        <f t="shared" si="4"/>
        <v>293212.25640000001</v>
      </c>
      <c r="H68" s="401"/>
      <c r="I68" s="397"/>
      <c r="J68" s="385" t="s">
        <v>6338</v>
      </c>
      <c r="K68" s="212" t="s">
        <v>6421</v>
      </c>
      <c r="L68" s="386">
        <f>1.4*1.8*0.2</f>
        <v>0.504</v>
      </c>
      <c r="M68" s="384">
        <f>+'APU CAP 5'!$H$538</f>
        <v>554067</v>
      </c>
      <c r="N68" s="169">
        <v>0.05</v>
      </c>
      <c r="O68" s="172">
        <f t="shared" si="5"/>
        <v>293212.25640000001</v>
      </c>
      <c r="P68" s="401"/>
      <c r="Q68" s="397"/>
      <c r="R68" s="385" t="s">
        <v>6338</v>
      </c>
      <c r="S68" s="212" t="s">
        <v>6421</v>
      </c>
      <c r="T68" s="386">
        <f>1.4*1.8*0.2</f>
        <v>0.504</v>
      </c>
      <c r="U68" s="384">
        <f>+'APU CAP 5'!$H$538</f>
        <v>554067</v>
      </c>
      <c r="V68" s="169">
        <v>0.05</v>
      </c>
      <c r="W68" s="172">
        <f t="shared" si="6"/>
        <v>293212.25640000001</v>
      </c>
      <c r="X68" s="401"/>
    </row>
    <row r="69" spans="1:24" x14ac:dyDescent="0.25">
      <c r="A69" s="404"/>
      <c r="B69" s="385" t="s">
        <v>6339</v>
      </c>
      <c r="C69" s="212" t="s">
        <v>6421</v>
      </c>
      <c r="D69" s="212">
        <f>1.4*4*0.8*0.2</f>
        <v>0.89599999999999991</v>
      </c>
      <c r="E69" s="395">
        <f>+'APU CAP 5'!$P$538</f>
        <v>669769.71428571432</v>
      </c>
      <c r="F69" s="169">
        <v>0.05</v>
      </c>
      <c r="G69" s="172">
        <f t="shared" si="4"/>
        <v>630119.34719999996</v>
      </c>
      <c r="H69" s="134"/>
      <c r="I69" s="404"/>
      <c r="J69" s="385" t="s">
        <v>6339</v>
      </c>
      <c r="K69" s="212" t="s">
        <v>6421</v>
      </c>
      <c r="L69" s="212">
        <f>1.4*4*0.8*0.2</f>
        <v>0.89599999999999991</v>
      </c>
      <c r="M69" s="395">
        <f>+'APU CAP 5'!$P$538</f>
        <v>669769.71428571432</v>
      </c>
      <c r="N69" s="169">
        <v>0.05</v>
      </c>
      <c r="O69" s="172">
        <f t="shared" si="5"/>
        <v>630119.34719999996</v>
      </c>
      <c r="P69" s="134"/>
      <c r="Q69" s="404"/>
      <c r="R69" s="385" t="s">
        <v>6339</v>
      </c>
      <c r="S69" s="212" t="s">
        <v>6421</v>
      </c>
      <c r="T69" s="212">
        <f>1.4*4*0.8*0.2</f>
        <v>0.89599999999999991</v>
      </c>
      <c r="U69" s="395">
        <f>+'APU CAP 5'!$P$538</f>
        <v>669769.71428571432</v>
      </c>
      <c r="V69" s="169">
        <v>0.05</v>
      </c>
      <c r="W69" s="172">
        <f t="shared" si="6"/>
        <v>630119.34719999996</v>
      </c>
      <c r="X69" s="134"/>
    </row>
    <row r="70" spans="1:24" x14ac:dyDescent="0.25">
      <c r="A70" s="397"/>
      <c r="B70" s="385" t="s">
        <v>5741</v>
      </c>
      <c r="C70" s="212" t="s">
        <v>5550</v>
      </c>
      <c r="D70" s="386">
        <f>1.6*150</f>
        <v>240</v>
      </c>
      <c r="E70" s="384">
        <f>+'APU CAP 5'!$H$970</f>
        <v>3455</v>
      </c>
      <c r="F70" s="169">
        <v>0.05</v>
      </c>
      <c r="G70" s="172">
        <f t="shared" si="4"/>
        <v>870660</v>
      </c>
      <c r="H70" s="401"/>
      <c r="I70" s="397"/>
      <c r="J70" s="385" t="s">
        <v>5741</v>
      </c>
      <c r="K70" s="212" t="s">
        <v>5550</v>
      </c>
      <c r="L70" s="386">
        <f>1.6*150</f>
        <v>240</v>
      </c>
      <c r="M70" s="384">
        <f>+'APU CAP 5'!$H$970</f>
        <v>3455</v>
      </c>
      <c r="N70" s="169">
        <v>0.05</v>
      </c>
      <c r="O70" s="172">
        <f t="shared" si="5"/>
        <v>870660</v>
      </c>
      <c r="P70" s="401"/>
      <c r="Q70" s="397"/>
      <c r="R70" s="385" t="s">
        <v>5741</v>
      </c>
      <c r="S70" s="212" t="s">
        <v>5550</v>
      </c>
      <c r="T70" s="386">
        <f>1.6*150</f>
        <v>240</v>
      </c>
      <c r="U70" s="384">
        <f>+'APU CAP 5'!$H$970</f>
        <v>3455</v>
      </c>
      <c r="V70" s="169">
        <v>0.05</v>
      </c>
      <c r="W70" s="172">
        <f t="shared" si="6"/>
        <v>870660</v>
      </c>
      <c r="X70" s="401"/>
    </row>
    <row r="71" spans="1:24" x14ac:dyDescent="0.25">
      <c r="A71" s="397"/>
      <c r="B71" s="385" t="s">
        <v>5750</v>
      </c>
      <c r="C71" s="212" t="s">
        <v>5550</v>
      </c>
      <c r="D71" s="386">
        <f>1.6*450*0.005</f>
        <v>3.6</v>
      </c>
      <c r="E71" s="421">
        <f>+'APU CAP 5'!$H$1078</f>
        <v>8894</v>
      </c>
      <c r="F71" s="169">
        <v>0.05</v>
      </c>
      <c r="G71" s="172">
        <f t="shared" si="4"/>
        <v>33619.32</v>
      </c>
      <c r="H71" s="401"/>
      <c r="I71" s="397"/>
      <c r="J71" s="385" t="s">
        <v>5750</v>
      </c>
      <c r="K71" s="212" t="s">
        <v>5550</v>
      </c>
      <c r="L71" s="386">
        <f>1.6*450*0.005</f>
        <v>3.6</v>
      </c>
      <c r="M71" s="421">
        <f>+'APU CAP 5'!$H$1078</f>
        <v>8894</v>
      </c>
      <c r="N71" s="169">
        <v>0.05</v>
      </c>
      <c r="O71" s="172">
        <f t="shared" si="5"/>
        <v>33619.32</v>
      </c>
      <c r="P71" s="401"/>
      <c r="Q71" s="397"/>
      <c r="R71" s="385" t="s">
        <v>5750</v>
      </c>
      <c r="S71" s="212" t="s">
        <v>5550</v>
      </c>
      <c r="T71" s="386">
        <f>1.6*450*0.005</f>
        <v>3.6</v>
      </c>
      <c r="U71" s="421">
        <f>+'APU CAP 5'!$H$1078</f>
        <v>8894</v>
      </c>
      <c r="V71" s="169">
        <v>0.05</v>
      </c>
      <c r="W71" s="172">
        <f t="shared" si="6"/>
        <v>33619.32</v>
      </c>
      <c r="X71" s="401"/>
    </row>
    <row r="72" spans="1:24" x14ac:dyDescent="0.25">
      <c r="A72" s="397"/>
      <c r="B72" s="385" t="s">
        <v>6340</v>
      </c>
      <c r="C72" s="212" t="s">
        <v>5402</v>
      </c>
      <c r="D72" s="386">
        <v>0</v>
      </c>
      <c r="E72" s="388">
        <f>+'APU CAP 5'!$H$1240</f>
        <v>31320</v>
      </c>
      <c r="F72" s="169">
        <v>0.05</v>
      </c>
      <c r="G72" s="172">
        <f t="shared" si="4"/>
        <v>0</v>
      </c>
      <c r="H72" s="401"/>
      <c r="I72" s="397"/>
      <c r="J72" s="385" t="s">
        <v>6340</v>
      </c>
      <c r="K72" s="212" t="s">
        <v>5402</v>
      </c>
      <c r="L72" s="386">
        <v>0</v>
      </c>
      <c r="M72" s="388">
        <f>+'APU CAP 5'!$H$1240</f>
        <v>31320</v>
      </c>
      <c r="N72" s="169">
        <v>0.05</v>
      </c>
      <c r="O72" s="172">
        <f t="shared" si="5"/>
        <v>0</v>
      </c>
      <c r="P72" s="401"/>
      <c r="Q72" s="397"/>
      <c r="R72" s="385" t="s">
        <v>6340</v>
      </c>
      <c r="S72" s="212" t="s">
        <v>5402</v>
      </c>
      <c r="T72" s="386">
        <v>0</v>
      </c>
      <c r="U72" s="388">
        <f>+'APU CAP 5'!$H$1240</f>
        <v>31320</v>
      </c>
      <c r="V72" s="169">
        <v>0.05</v>
      </c>
      <c r="W72" s="172">
        <f t="shared" si="6"/>
        <v>0</v>
      </c>
      <c r="X72" s="401"/>
    </row>
    <row r="73" spans="1:24" x14ac:dyDescent="0.25">
      <c r="A73" s="397"/>
      <c r="B73" s="385" t="s">
        <v>6341</v>
      </c>
      <c r="C73" s="212" t="s">
        <v>6421</v>
      </c>
      <c r="D73" s="386">
        <v>0</v>
      </c>
      <c r="E73" s="388">
        <f>+'APU CAP 1-2'!$H$2745</f>
        <v>11097</v>
      </c>
      <c r="F73" s="169">
        <v>0.05</v>
      </c>
      <c r="G73" s="172">
        <f t="shared" si="4"/>
        <v>0</v>
      </c>
      <c r="H73" s="401">
        <f>SUM(G66:G73)</f>
        <v>1929331.0960875</v>
      </c>
      <c r="I73" s="397"/>
      <c r="J73" s="385" t="s">
        <v>6341</v>
      </c>
      <c r="K73" s="212" t="s">
        <v>6421</v>
      </c>
      <c r="L73" s="386">
        <v>0</v>
      </c>
      <c r="M73" s="388">
        <f>+'APU CAP 1-2'!$H$2745</f>
        <v>11097</v>
      </c>
      <c r="N73" s="169">
        <v>0.05</v>
      </c>
      <c r="O73" s="172">
        <f t="shared" si="5"/>
        <v>0</v>
      </c>
      <c r="P73" s="401">
        <f>SUM(O66:O73)</f>
        <v>1929331.0960875</v>
      </c>
      <c r="Q73" s="397"/>
      <c r="R73" s="385" t="s">
        <v>6341</v>
      </c>
      <c r="S73" s="212" t="s">
        <v>6421</v>
      </c>
      <c r="T73" s="386">
        <v>0</v>
      </c>
      <c r="U73" s="388">
        <f>+'APU CAP 1-2'!$H$2745</f>
        <v>11097</v>
      </c>
      <c r="V73" s="169">
        <v>0.05</v>
      </c>
      <c r="W73" s="172">
        <f t="shared" si="6"/>
        <v>0</v>
      </c>
      <c r="X73" s="401"/>
    </row>
    <row r="74" spans="1:24" x14ac:dyDescent="0.25">
      <c r="A74" s="397"/>
      <c r="B74" s="385" t="s">
        <v>6556</v>
      </c>
      <c r="C74" s="386" t="s">
        <v>5424</v>
      </c>
      <c r="D74" s="386">
        <v>1</v>
      </c>
      <c r="E74" s="388">
        <f>+E25</f>
        <v>411237</v>
      </c>
      <c r="F74" s="396"/>
      <c r="G74" s="172">
        <f>+D74*E74*(1+F74)</f>
        <v>411237</v>
      </c>
      <c r="H74" s="401"/>
      <c r="I74" s="397"/>
      <c r="J74" s="385" t="s">
        <v>6556</v>
      </c>
      <c r="K74" s="386" t="s">
        <v>5424</v>
      </c>
      <c r="L74" s="386">
        <v>1</v>
      </c>
      <c r="M74" s="388">
        <f>+E74*1.1</f>
        <v>452360.7</v>
      </c>
      <c r="N74" s="396"/>
      <c r="O74" s="172">
        <f>+L74*M74*(1+N74)</f>
        <v>452360.7</v>
      </c>
      <c r="P74" s="401"/>
      <c r="Q74" s="397"/>
      <c r="R74" s="385" t="s">
        <v>6556</v>
      </c>
      <c r="S74" s="386" t="s">
        <v>5424</v>
      </c>
      <c r="T74" s="386">
        <v>1</v>
      </c>
      <c r="U74" s="388">
        <f>+M74*1.1</f>
        <v>497596.77000000008</v>
      </c>
      <c r="V74" s="396"/>
      <c r="W74" s="172">
        <f>+T74*U74*(1+V74)</f>
        <v>497596.77000000008</v>
      </c>
      <c r="X74" s="401"/>
    </row>
    <row r="75" spans="1:24" x14ac:dyDescent="0.25">
      <c r="A75" s="397"/>
      <c r="B75" s="385" t="s">
        <v>6558</v>
      </c>
      <c r="C75" s="386" t="s">
        <v>5424</v>
      </c>
      <c r="D75" s="386">
        <v>2</v>
      </c>
      <c r="E75" s="388">
        <f>+SUM!H913</f>
        <v>1977099</v>
      </c>
      <c r="F75" s="396"/>
      <c r="G75" s="172">
        <f t="shared" si="4"/>
        <v>3954198</v>
      </c>
      <c r="H75" s="401"/>
      <c r="I75" s="397"/>
      <c r="J75" s="385" t="s">
        <v>6558</v>
      </c>
      <c r="K75" s="386" t="s">
        <v>5424</v>
      </c>
      <c r="L75" s="386">
        <v>2</v>
      </c>
      <c r="M75" s="388">
        <f>+E75*1.1</f>
        <v>2174808.9000000004</v>
      </c>
      <c r="N75" s="396"/>
      <c r="O75" s="172">
        <f t="shared" si="5"/>
        <v>4349617.8000000007</v>
      </c>
      <c r="P75" s="401"/>
      <c r="Q75" s="397"/>
      <c r="R75" s="385" t="s">
        <v>6558</v>
      </c>
      <c r="S75" s="386" t="s">
        <v>5424</v>
      </c>
      <c r="T75" s="386">
        <v>2</v>
      </c>
      <c r="U75" s="388">
        <f>+M75*1.1</f>
        <v>2392289.7900000005</v>
      </c>
      <c r="V75" s="396"/>
      <c r="W75" s="172">
        <f t="shared" si="6"/>
        <v>4784579.580000001</v>
      </c>
      <c r="X75" s="401"/>
    </row>
    <row r="76" spans="1:24" x14ac:dyDescent="0.25">
      <c r="A76" s="397"/>
      <c r="B76" s="385" t="s">
        <v>6373</v>
      </c>
      <c r="C76" s="386" t="s">
        <v>5424</v>
      </c>
      <c r="D76" s="386">
        <v>2</v>
      </c>
      <c r="E76" s="388">
        <f>+SUM!H1947</f>
        <v>634996</v>
      </c>
      <c r="F76" s="396"/>
      <c r="G76" s="172">
        <f t="shared" si="4"/>
        <v>1269992</v>
      </c>
      <c r="H76" s="401"/>
      <c r="I76" s="397"/>
      <c r="J76" s="385" t="s">
        <v>6373</v>
      </c>
      <c r="K76" s="386" t="s">
        <v>5424</v>
      </c>
      <c r="L76" s="386">
        <v>2</v>
      </c>
      <c r="M76" s="388">
        <f>+E76*1.1</f>
        <v>698495.60000000009</v>
      </c>
      <c r="N76" s="396"/>
      <c r="O76" s="172">
        <f t="shared" si="5"/>
        <v>1396991.2000000002</v>
      </c>
      <c r="P76" s="401"/>
      <c r="Q76" s="397"/>
      <c r="R76" s="385" t="s">
        <v>6373</v>
      </c>
      <c r="S76" s="386" t="s">
        <v>5424</v>
      </c>
      <c r="T76" s="386">
        <v>2</v>
      </c>
      <c r="U76" s="388">
        <f>+M76*1.1</f>
        <v>768345.16000000015</v>
      </c>
      <c r="V76" s="396"/>
      <c r="W76" s="172">
        <f t="shared" si="6"/>
        <v>1536690.3200000003</v>
      </c>
      <c r="X76" s="401"/>
    </row>
    <row r="77" spans="1:24" x14ac:dyDescent="0.25">
      <c r="A77" s="397"/>
      <c r="B77" s="385" t="s">
        <v>6568</v>
      </c>
      <c r="C77" s="386" t="s">
        <v>5424</v>
      </c>
      <c r="D77" s="386">
        <v>1</v>
      </c>
      <c r="E77" s="388">
        <f>+E28</f>
        <v>814038</v>
      </c>
      <c r="F77" s="396"/>
      <c r="G77" s="172">
        <f t="shared" si="4"/>
        <v>814038</v>
      </c>
      <c r="H77" s="401"/>
      <c r="I77" s="397"/>
      <c r="J77" s="385" t="s">
        <v>6568</v>
      </c>
      <c r="K77" s="386" t="s">
        <v>5424</v>
      </c>
      <c r="L77" s="386">
        <v>1</v>
      </c>
      <c r="M77" s="388">
        <f>+E77*1.1</f>
        <v>895441.8</v>
      </c>
      <c r="N77" s="396"/>
      <c r="O77" s="172">
        <f t="shared" si="5"/>
        <v>895441.8</v>
      </c>
      <c r="P77" s="401"/>
      <c r="Q77" s="397"/>
      <c r="R77" s="385" t="s">
        <v>6568</v>
      </c>
      <c r="S77" s="386" t="s">
        <v>5424</v>
      </c>
      <c r="T77" s="386">
        <v>1</v>
      </c>
      <c r="U77" s="388">
        <f>+M77*1.1</f>
        <v>984985.9800000001</v>
      </c>
      <c r="V77" s="396"/>
      <c r="W77" s="172">
        <f t="shared" si="6"/>
        <v>984985.9800000001</v>
      </c>
      <c r="X77" s="401"/>
    </row>
    <row r="78" spans="1:24" x14ac:dyDescent="0.25">
      <c r="A78" s="397"/>
      <c r="B78" s="385" t="s">
        <v>6531</v>
      </c>
      <c r="C78" s="386" t="s">
        <v>5424</v>
      </c>
      <c r="D78" s="386">
        <v>1</v>
      </c>
      <c r="E78" s="388">
        <f>+E29</f>
        <v>1627349</v>
      </c>
      <c r="F78" s="396"/>
      <c r="G78" s="172">
        <f t="shared" si="4"/>
        <v>1627349</v>
      </c>
      <c r="H78" s="401"/>
      <c r="I78" s="397"/>
      <c r="J78" s="385" t="s">
        <v>6531</v>
      </c>
      <c r="K78" s="386" t="s">
        <v>5424</v>
      </c>
      <c r="L78" s="386">
        <v>1</v>
      </c>
      <c r="M78" s="388">
        <f>+E78*1.1</f>
        <v>1790083.9000000001</v>
      </c>
      <c r="N78" s="396"/>
      <c r="O78" s="172">
        <f t="shared" si="5"/>
        <v>1790083.9000000001</v>
      </c>
      <c r="P78" s="401"/>
      <c r="Q78" s="397"/>
      <c r="R78" s="385" t="s">
        <v>6531</v>
      </c>
      <c r="S78" s="386" t="s">
        <v>5424</v>
      </c>
      <c r="T78" s="386">
        <v>1</v>
      </c>
      <c r="U78" s="388">
        <f>+M78*1.1</f>
        <v>1969092.2900000003</v>
      </c>
      <c r="V78" s="396"/>
      <c r="W78" s="172">
        <f t="shared" si="6"/>
        <v>1969092.2900000003</v>
      </c>
      <c r="X78" s="401"/>
    </row>
    <row r="79" spans="1:24" ht="15.75" thickBot="1" x14ac:dyDescent="0.3">
      <c r="A79" s="397"/>
      <c r="B79" s="385" t="s">
        <v>6570</v>
      </c>
      <c r="C79" s="212" t="s">
        <v>6571</v>
      </c>
      <c r="D79" s="386">
        <f>1.2*1.6</f>
        <v>1.92</v>
      </c>
      <c r="E79" s="388">
        <f>+'APU CAP 6'!P1347</f>
        <v>0</v>
      </c>
      <c r="F79" s="596"/>
      <c r="G79" s="172">
        <f t="shared" si="4"/>
        <v>0</v>
      </c>
      <c r="H79" s="401"/>
      <c r="I79" s="397"/>
      <c r="J79" s="385" t="s">
        <v>6570</v>
      </c>
      <c r="K79" s="212" t="s">
        <v>6571</v>
      </c>
      <c r="L79" s="386">
        <f>1.2*1.6</f>
        <v>1.92</v>
      </c>
      <c r="M79" s="388">
        <f>+'APU CAP 6'!X1347</f>
        <v>0</v>
      </c>
      <c r="N79" s="596"/>
      <c r="O79" s="172">
        <f t="shared" si="5"/>
        <v>0</v>
      </c>
      <c r="P79" s="401"/>
      <c r="Q79" s="397"/>
      <c r="R79" s="385" t="s">
        <v>6570</v>
      </c>
      <c r="S79" s="212" t="s">
        <v>6571</v>
      </c>
      <c r="T79" s="386">
        <f>1.2*1.6</f>
        <v>1.92</v>
      </c>
      <c r="U79" s="388">
        <f>+'APU CAP 6'!AF1347</f>
        <v>0</v>
      </c>
      <c r="V79" s="596"/>
      <c r="W79" s="172">
        <f t="shared" si="6"/>
        <v>0</v>
      </c>
      <c r="X79" s="401"/>
    </row>
    <row r="80" spans="1:24" ht="15.75" thickBot="1" x14ac:dyDescent="0.3">
      <c r="A80" s="397"/>
      <c r="B80" s="412"/>
      <c r="C80" s="413"/>
      <c r="D80" s="413"/>
      <c r="E80" s="423"/>
      <c r="F80" s="597"/>
      <c r="G80" s="410"/>
      <c r="H80" s="416">
        <f>+SUM(G66:G80)</f>
        <v>10006145.0960875</v>
      </c>
      <c r="I80" s="397"/>
      <c r="J80" s="412"/>
      <c r="K80" s="413"/>
      <c r="L80" s="413"/>
      <c r="M80" s="423"/>
      <c r="N80" s="597"/>
      <c r="O80" s="410"/>
      <c r="P80" s="416">
        <f>+SUM(O66:O80)</f>
        <v>10813826.496087501</v>
      </c>
      <c r="Q80" s="397"/>
      <c r="R80" s="412"/>
      <c r="S80" s="413"/>
      <c r="T80" s="413"/>
      <c r="U80" s="423"/>
      <c r="V80" s="597"/>
      <c r="W80" s="410"/>
      <c r="X80" s="416">
        <f>+SUM(W66:W80)</f>
        <v>11702276.036087504</v>
      </c>
    </row>
    <row r="81" spans="1:24" ht="15.75" thickBot="1" x14ac:dyDescent="0.3">
      <c r="A81" s="397"/>
      <c r="B81" s="417"/>
      <c r="C81" s="417"/>
      <c r="D81" s="417"/>
      <c r="E81" s="417"/>
      <c r="F81" s="417"/>
      <c r="G81" s="419"/>
      <c r="H81" s="420"/>
      <c r="I81" s="397"/>
      <c r="J81" s="417"/>
      <c r="K81" s="417"/>
      <c r="L81" s="417"/>
      <c r="M81" s="417"/>
      <c r="N81" s="417"/>
      <c r="O81" s="419"/>
      <c r="P81" s="420"/>
      <c r="Q81" s="397"/>
      <c r="R81" s="417"/>
      <c r="S81" s="417"/>
      <c r="T81" s="417"/>
      <c r="U81" s="417"/>
      <c r="V81" s="417"/>
      <c r="W81" s="419"/>
      <c r="X81" s="420"/>
    </row>
    <row r="82" spans="1:24" ht="15.75" thickBot="1" x14ac:dyDescent="0.3">
      <c r="A82" s="397"/>
      <c r="B82" s="407" t="s">
        <v>5410</v>
      </c>
      <c r="C82" s="408" t="s">
        <v>867</v>
      </c>
      <c r="D82" s="408" t="s">
        <v>6</v>
      </c>
      <c r="E82" s="408" t="s">
        <v>870</v>
      </c>
      <c r="F82" s="408" t="s">
        <v>5411</v>
      </c>
      <c r="G82" s="409" t="s">
        <v>868</v>
      </c>
      <c r="H82" s="401"/>
      <c r="I82" s="397"/>
      <c r="J82" s="407" t="s">
        <v>5410</v>
      </c>
      <c r="K82" s="408" t="s">
        <v>867</v>
      </c>
      <c r="L82" s="408" t="s">
        <v>6</v>
      </c>
      <c r="M82" s="408" t="s">
        <v>870</v>
      </c>
      <c r="N82" s="408" t="s">
        <v>5411</v>
      </c>
      <c r="O82" s="409" t="s">
        <v>868</v>
      </c>
      <c r="P82" s="401"/>
      <c r="Q82" s="397"/>
      <c r="R82" s="407" t="s">
        <v>5410</v>
      </c>
      <c r="S82" s="408" t="s">
        <v>867</v>
      </c>
      <c r="T82" s="408" t="s">
        <v>6</v>
      </c>
      <c r="U82" s="408" t="s">
        <v>870</v>
      </c>
      <c r="V82" s="408" t="s">
        <v>5411</v>
      </c>
      <c r="W82" s="409" t="s">
        <v>868</v>
      </c>
      <c r="X82" s="401"/>
    </row>
    <row r="83" spans="1:24" ht="15.75" thickBot="1" x14ac:dyDescent="0.3">
      <c r="A83" s="397"/>
      <c r="B83" s="579"/>
      <c r="C83" s="580"/>
      <c r="D83" s="580"/>
      <c r="E83" s="580"/>
      <c r="F83" s="580"/>
      <c r="G83" s="581"/>
      <c r="H83" s="401"/>
      <c r="I83" s="397"/>
      <c r="J83" s="579"/>
      <c r="K83" s="580"/>
      <c r="L83" s="580"/>
      <c r="M83" s="580"/>
      <c r="N83" s="580"/>
      <c r="O83" s="581"/>
      <c r="P83" s="401"/>
      <c r="Q83" s="397"/>
      <c r="R83" s="579"/>
      <c r="S83" s="580"/>
      <c r="T83" s="580"/>
      <c r="U83" s="580"/>
      <c r="V83" s="580"/>
      <c r="W83" s="581"/>
      <c r="X83" s="401"/>
    </row>
    <row r="84" spans="1:24" ht="15.75" thickBot="1" x14ac:dyDescent="0.3">
      <c r="A84" s="397"/>
      <c r="B84" s="412"/>
      <c r="C84" s="414"/>
      <c r="D84" s="414"/>
      <c r="E84" s="414"/>
      <c r="F84" s="414"/>
      <c r="G84" s="415"/>
      <c r="H84" s="416">
        <f>+SUM(G84:G84)</f>
        <v>0</v>
      </c>
      <c r="I84" s="397"/>
      <c r="J84" s="412"/>
      <c r="K84" s="414"/>
      <c r="L84" s="414"/>
      <c r="M84" s="414"/>
      <c r="N84" s="414"/>
      <c r="O84" s="415"/>
      <c r="P84" s="416">
        <f>+SUM(O84:O84)</f>
        <v>0</v>
      </c>
      <c r="Q84" s="397"/>
      <c r="R84" s="412"/>
      <c r="S84" s="414"/>
      <c r="T84" s="414"/>
      <c r="U84" s="414"/>
      <c r="V84" s="414"/>
      <c r="W84" s="415"/>
      <c r="X84" s="416">
        <f>+SUM(W84:W84)</f>
        <v>0</v>
      </c>
    </row>
    <row r="85" spans="1:24" ht="15.75" thickBot="1" x14ac:dyDescent="0.3">
      <c r="A85" s="397"/>
      <c r="B85" s="417"/>
      <c r="C85" s="417"/>
      <c r="D85" s="417"/>
      <c r="E85" s="417"/>
      <c r="F85" s="425"/>
      <c r="G85" s="426"/>
      <c r="H85" s="420"/>
      <c r="I85" s="397"/>
      <c r="J85" s="417"/>
      <c r="K85" s="417"/>
      <c r="L85" s="417"/>
      <c r="M85" s="417"/>
      <c r="N85" s="425"/>
      <c r="O85" s="426"/>
      <c r="P85" s="420"/>
      <c r="Q85" s="397"/>
      <c r="R85" s="417"/>
      <c r="S85" s="417"/>
      <c r="T85" s="417"/>
      <c r="U85" s="417"/>
      <c r="V85" s="425"/>
      <c r="W85" s="426"/>
      <c r="X85" s="420"/>
    </row>
    <row r="86" spans="1:24" ht="15.75" thickBot="1" x14ac:dyDescent="0.3">
      <c r="A86" s="397"/>
      <c r="B86" s="407" t="s">
        <v>5412</v>
      </c>
      <c r="C86" s="408" t="s">
        <v>5420</v>
      </c>
      <c r="D86" s="408" t="s">
        <v>5421</v>
      </c>
      <c r="E86" s="408" t="s">
        <v>5413</v>
      </c>
      <c r="F86" s="408" t="s">
        <v>5405</v>
      </c>
      <c r="G86" s="409" t="s">
        <v>868</v>
      </c>
      <c r="H86" s="401"/>
      <c r="I86" s="397"/>
      <c r="J86" s="407" t="s">
        <v>5412</v>
      </c>
      <c r="K86" s="408" t="s">
        <v>5420</v>
      </c>
      <c r="L86" s="408" t="s">
        <v>5421</v>
      </c>
      <c r="M86" s="408" t="s">
        <v>5413</v>
      </c>
      <c r="N86" s="408" t="s">
        <v>5405</v>
      </c>
      <c r="O86" s="409" t="s">
        <v>868</v>
      </c>
      <c r="P86" s="401"/>
      <c r="Q86" s="397"/>
      <c r="R86" s="407" t="s">
        <v>5412</v>
      </c>
      <c r="S86" s="408" t="s">
        <v>5420</v>
      </c>
      <c r="T86" s="408" t="s">
        <v>5421</v>
      </c>
      <c r="U86" s="408" t="s">
        <v>5413</v>
      </c>
      <c r="V86" s="408" t="s">
        <v>5405</v>
      </c>
      <c r="W86" s="409" t="s">
        <v>868</v>
      </c>
      <c r="X86" s="401"/>
    </row>
    <row r="87" spans="1:24" x14ac:dyDescent="0.25">
      <c r="A87" s="397"/>
      <c r="B87" s="381" t="s">
        <v>5948</v>
      </c>
      <c r="C87" s="345">
        <v>70000</v>
      </c>
      <c r="D87" s="384">
        <f>+C87*0.85</f>
        <v>59500</v>
      </c>
      <c r="E87" s="384">
        <f>+C87+D87</f>
        <v>129500</v>
      </c>
      <c r="F87" s="382">
        <v>5</v>
      </c>
      <c r="G87" s="410">
        <f>+E87/F87</f>
        <v>25900</v>
      </c>
      <c r="H87" s="401"/>
      <c r="I87" s="397"/>
      <c r="J87" s="381" t="s">
        <v>5948</v>
      </c>
      <c r="K87" s="345">
        <v>70000</v>
      </c>
      <c r="L87" s="384">
        <f>+K87*0.85</f>
        <v>59500</v>
      </c>
      <c r="M87" s="384">
        <f>+K87+L87</f>
        <v>129500</v>
      </c>
      <c r="N87" s="382">
        <v>5</v>
      </c>
      <c r="O87" s="410">
        <f>+M87/N87</f>
        <v>25900</v>
      </c>
      <c r="P87" s="401"/>
      <c r="Q87" s="397"/>
      <c r="R87" s="381" t="s">
        <v>5948</v>
      </c>
      <c r="S87" s="345">
        <v>70000</v>
      </c>
      <c r="T87" s="384">
        <f>+S87*0.85</f>
        <v>59500</v>
      </c>
      <c r="U87" s="384">
        <f>+S87+T87</f>
        <v>129500</v>
      </c>
      <c r="V87" s="382">
        <v>5</v>
      </c>
      <c r="W87" s="410">
        <f>+U87/V87</f>
        <v>25900</v>
      </c>
      <c r="X87" s="401"/>
    </row>
    <row r="88" spans="1:24" x14ac:dyDescent="0.25">
      <c r="A88" s="397"/>
      <c r="B88" s="385" t="s">
        <v>5949</v>
      </c>
      <c r="C88" s="345">
        <v>40000</v>
      </c>
      <c r="D88" s="384">
        <f>+C88*0.85</f>
        <v>34000</v>
      </c>
      <c r="E88" s="384">
        <f>+C88+D88</f>
        <v>74000</v>
      </c>
      <c r="F88" s="382">
        <v>0.5</v>
      </c>
      <c r="G88" s="410">
        <f>+E88/F88</f>
        <v>148000</v>
      </c>
      <c r="H88" s="401"/>
      <c r="I88" s="397"/>
      <c r="J88" s="385" t="s">
        <v>5949</v>
      </c>
      <c r="K88" s="345">
        <v>40000</v>
      </c>
      <c r="L88" s="384">
        <f>+K88*0.85</f>
        <v>34000</v>
      </c>
      <c r="M88" s="384">
        <f>+K88+L88</f>
        <v>74000</v>
      </c>
      <c r="N88" s="382">
        <v>0.4</v>
      </c>
      <c r="O88" s="410">
        <f>+M88/N88</f>
        <v>185000</v>
      </c>
      <c r="P88" s="401"/>
      <c r="Q88" s="397"/>
      <c r="R88" s="385" t="s">
        <v>5949</v>
      </c>
      <c r="S88" s="345">
        <v>40000</v>
      </c>
      <c r="T88" s="384">
        <f>+S88*0.85</f>
        <v>34000</v>
      </c>
      <c r="U88" s="384">
        <f>+S88+T88</f>
        <v>74000</v>
      </c>
      <c r="V88" s="382">
        <v>0.3</v>
      </c>
      <c r="W88" s="410">
        <f>+U88/V88</f>
        <v>246666.66666666669</v>
      </c>
      <c r="X88" s="401"/>
    </row>
    <row r="89" spans="1:24" x14ac:dyDescent="0.25">
      <c r="A89" s="397"/>
      <c r="B89" s="385" t="s">
        <v>5950</v>
      </c>
      <c r="C89" s="345">
        <v>20600</v>
      </c>
      <c r="D89" s="384">
        <f>+C89*0.85</f>
        <v>17510</v>
      </c>
      <c r="E89" s="384">
        <f>+C89+D89</f>
        <v>38110</v>
      </c>
      <c r="F89" s="382">
        <v>0.5</v>
      </c>
      <c r="G89" s="410">
        <f>+E89/F89</f>
        <v>76220</v>
      </c>
      <c r="H89" s="401"/>
      <c r="I89" s="397"/>
      <c r="J89" s="385" t="s">
        <v>5950</v>
      </c>
      <c r="K89" s="345">
        <v>20600</v>
      </c>
      <c r="L89" s="384">
        <f>+K89*0.85</f>
        <v>17510</v>
      </c>
      <c r="M89" s="384">
        <f>+K89+L89</f>
        <v>38110</v>
      </c>
      <c r="N89" s="382">
        <v>0.4</v>
      </c>
      <c r="O89" s="410">
        <f>+M89/N89</f>
        <v>95275</v>
      </c>
      <c r="P89" s="401"/>
      <c r="Q89" s="397"/>
      <c r="R89" s="385" t="s">
        <v>5950</v>
      </c>
      <c r="S89" s="345">
        <v>20600</v>
      </c>
      <c r="T89" s="384">
        <f>+S89*0.85</f>
        <v>17510</v>
      </c>
      <c r="U89" s="384">
        <f>+S89+T89</f>
        <v>38110</v>
      </c>
      <c r="V89" s="382">
        <v>0.3</v>
      </c>
      <c r="W89" s="410">
        <f>+U89/V89</f>
        <v>127033.33333333334</v>
      </c>
      <c r="X89" s="401"/>
    </row>
    <row r="90" spans="1:24" x14ac:dyDescent="0.25">
      <c r="A90" s="397"/>
      <c r="B90" s="385"/>
      <c r="C90" s="384"/>
      <c r="D90" s="384"/>
      <c r="E90" s="384"/>
      <c r="F90" s="382"/>
      <c r="G90" s="410"/>
      <c r="H90" s="401"/>
      <c r="I90" s="397"/>
      <c r="J90" s="385"/>
      <c r="K90" s="384"/>
      <c r="L90" s="384"/>
      <c r="M90" s="384"/>
      <c r="N90" s="382"/>
      <c r="O90" s="410"/>
      <c r="P90" s="401"/>
      <c r="Q90" s="397"/>
      <c r="R90" s="385"/>
      <c r="S90" s="384"/>
      <c r="T90" s="384"/>
      <c r="U90" s="384"/>
      <c r="V90" s="382"/>
      <c r="W90" s="410"/>
      <c r="X90" s="401"/>
    </row>
    <row r="91" spans="1:24" x14ac:dyDescent="0.25">
      <c r="A91" s="397"/>
      <c r="B91" s="412"/>
      <c r="C91" s="582"/>
      <c r="D91" s="582"/>
      <c r="E91" s="582"/>
      <c r="F91" s="580"/>
      <c r="G91" s="583"/>
      <c r="H91" s="401"/>
      <c r="I91" s="397"/>
      <c r="J91" s="412"/>
      <c r="K91" s="582"/>
      <c r="L91" s="582"/>
      <c r="M91" s="582"/>
      <c r="N91" s="580"/>
      <c r="O91" s="583"/>
      <c r="P91" s="401"/>
      <c r="Q91" s="397"/>
      <c r="R91" s="412"/>
      <c r="S91" s="582"/>
      <c r="T91" s="582"/>
      <c r="U91" s="582"/>
      <c r="V91" s="580"/>
      <c r="W91" s="583"/>
      <c r="X91" s="401"/>
    </row>
    <row r="92" spans="1:24" ht="15.75" thickBot="1" x14ac:dyDescent="0.3">
      <c r="A92" s="397"/>
      <c r="B92" s="412"/>
      <c r="C92" s="582"/>
      <c r="D92" s="582"/>
      <c r="E92" s="582"/>
      <c r="F92" s="580"/>
      <c r="G92" s="583"/>
      <c r="H92" s="401"/>
      <c r="I92" s="397"/>
      <c r="J92" s="412"/>
      <c r="K92" s="582"/>
      <c r="L92" s="582"/>
      <c r="M92" s="582"/>
      <c r="N92" s="580"/>
      <c r="O92" s="583"/>
      <c r="P92" s="401"/>
      <c r="Q92" s="397"/>
      <c r="R92" s="412"/>
      <c r="S92" s="582"/>
      <c r="T92" s="582"/>
      <c r="U92" s="582"/>
      <c r="V92" s="580"/>
      <c r="W92" s="583"/>
      <c r="X92" s="401"/>
    </row>
    <row r="93" spans="1:24" ht="15.75" thickBot="1" x14ac:dyDescent="0.3">
      <c r="A93" s="397"/>
      <c r="B93" s="427"/>
      <c r="C93" s="428"/>
      <c r="D93" s="428"/>
      <c r="E93" s="428"/>
      <c r="F93" s="428"/>
      <c r="G93" s="429"/>
      <c r="H93" s="416">
        <f>+SUM(G87:G93)</f>
        <v>250120</v>
      </c>
      <c r="I93" s="397"/>
      <c r="J93" s="427"/>
      <c r="K93" s="428"/>
      <c r="L93" s="428"/>
      <c r="M93" s="428"/>
      <c r="N93" s="428"/>
      <c r="O93" s="429"/>
      <c r="P93" s="416">
        <f>+SUM(O87:O93)</f>
        <v>306175</v>
      </c>
      <c r="Q93" s="397"/>
      <c r="R93" s="427"/>
      <c r="S93" s="428"/>
      <c r="T93" s="428"/>
      <c r="U93" s="428"/>
      <c r="V93" s="428"/>
      <c r="W93" s="429"/>
      <c r="X93" s="416">
        <f>+SUM(W87:W93)</f>
        <v>399600</v>
      </c>
    </row>
    <row r="94" spans="1:24" ht="15.75" thickBot="1" x14ac:dyDescent="0.3">
      <c r="A94" s="397"/>
      <c r="B94" s="430"/>
      <c r="C94" s="430"/>
      <c r="D94" s="430"/>
      <c r="E94" s="430"/>
      <c r="F94" s="430"/>
      <c r="G94" s="401"/>
      <c r="H94" s="401"/>
      <c r="I94" s="397"/>
      <c r="J94" s="430"/>
      <c r="K94" s="430"/>
      <c r="L94" s="430"/>
      <c r="M94" s="430"/>
      <c r="N94" s="430"/>
      <c r="O94" s="401"/>
      <c r="P94" s="401"/>
      <c r="Q94" s="397"/>
      <c r="R94" s="430"/>
      <c r="S94" s="430"/>
      <c r="T94" s="430"/>
      <c r="U94" s="430"/>
      <c r="V94" s="430"/>
      <c r="W94" s="401"/>
      <c r="X94" s="401"/>
    </row>
    <row r="95" spans="1:24" ht="15.75" thickBot="1" x14ac:dyDescent="0.3">
      <c r="A95" s="397"/>
      <c r="B95" s="430"/>
      <c r="C95" s="430"/>
      <c r="D95" s="430"/>
      <c r="E95" s="431" t="s">
        <v>5415</v>
      </c>
      <c r="F95" s="430"/>
      <c r="G95" s="401"/>
      <c r="H95" s="416">
        <f>+ROUND(H63+H80+H84+H93,0)</f>
        <v>10268771</v>
      </c>
      <c r="I95" s="397"/>
      <c r="J95" s="430"/>
      <c r="K95" s="430"/>
      <c r="L95" s="430"/>
      <c r="M95" s="431" t="s">
        <v>5415</v>
      </c>
      <c r="N95" s="430"/>
      <c r="O95" s="401"/>
      <c r="P95" s="416">
        <f>+ROUND(P63+P80+P84+P93,0)</f>
        <v>11135310</v>
      </c>
      <c r="Q95" s="397"/>
      <c r="R95" s="430"/>
      <c r="S95" s="430"/>
      <c r="T95" s="430"/>
      <c r="U95" s="431" t="s">
        <v>5415</v>
      </c>
      <c r="V95" s="430"/>
      <c r="W95" s="401"/>
      <c r="X95" s="416">
        <f>+ROUND(X63+X80+X84+X93,0)</f>
        <v>12121856</v>
      </c>
    </row>
    <row r="96" spans="1:24" x14ac:dyDescent="0.25">
      <c r="A96" s="133"/>
      <c r="B96" s="8"/>
      <c r="C96" s="8"/>
      <c r="D96" s="8"/>
      <c r="E96" s="8"/>
      <c r="F96" s="8"/>
      <c r="G96" s="8"/>
      <c r="H96" s="133"/>
      <c r="I96" s="133"/>
      <c r="J96" s="8"/>
      <c r="K96" s="8"/>
      <c r="L96" s="8"/>
      <c r="M96" s="8"/>
      <c r="N96" s="8"/>
      <c r="O96" s="8"/>
      <c r="P96" s="133"/>
      <c r="Q96" s="133"/>
      <c r="R96" s="8"/>
      <c r="S96" s="8"/>
      <c r="T96" s="8"/>
      <c r="U96" s="8"/>
      <c r="V96" s="8"/>
      <c r="W96" s="8"/>
      <c r="X96" s="133"/>
    </row>
    <row r="97" spans="1:40" x14ac:dyDescent="0.25">
      <c r="A97" s="133"/>
      <c r="B97" s="8"/>
      <c r="C97" s="8"/>
      <c r="D97" s="8"/>
      <c r="E97" s="8"/>
      <c r="F97" s="8"/>
      <c r="G97" s="8"/>
      <c r="H97" s="133"/>
      <c r="I97" s="133"/>
      <c r="J97" s="8"/>
      <c r="K97" s="8"/>
      <c r="L97" s="8"/>
      <c r="M97" s="8"/>
      <c r="N97" s="8"/>
      <c r="O97" s="8"/>
      <c r="P97" s="133"/>
      <c r="Q97" s="133"/>
      <c r="R97" s="8"/>
      <c r="S97" s="8"/>
      <c r="T97" s="8"/>
      <c r="U97" s="8"/>
      <c r="V97" s="8"/>
      <c r="W97" s="8"/>
      <c r="X97" s="133"/>
    </row>
    <row r="98" spans="1:40" x14ac:dyDescent="0.25">
      <c r="A98" s="133"/>
      <c r="B98" s="8"/>
      <c r="C98" s="8"/>
      <c r="D98" s="8"/>
      <c r="E98" s="8"/>
      <c r="F98" s="8"/>
      <c r="G98" s="8"/>
      <c r="H98" s="133"/>
      <c r="I98" s="133"/>
      <c r="J98" s="8"/>
      <c r="K98" s="8"/>
      <c r="L98" s="8"/>
      <c r="M98" s="8"/>
      <c r="N98" s="8"/>
      <c r="O98" s="8"/>
      <c r="P98" s="133"/>
      <c r="Q98" s="133"/>
      <c r="R98" s="8"/>
      <c r="S98" s="8"/>
      <c r="T98" s="8"/>
      <c r="U98" s="8"/>
      <c r="V98" s="8"/>
      <c r="W98" s="8"/>
      <c r="X98" s="133"/>
    </row>
    <row r="99" spans="1:40" x14ac:dyDescent="0.25">
      <c r="A99" s="133"/>
      <c r="B99" s="8"/>
      <c r="C99" s="8"/>
      <c r="D99" s="8"/>
      <c r="E99" s="8"/>
      <c r="F99" s="8"/>
      <c r="G99" s="8"/>
      <c r="H99" s="133"/>
      <c r="I99" s="133"/>
      <c r="J99" s="8"/>
      <c r="K99" s="8"/>
      <c r="L99" s="8"/>
      <c r="M99" s="8"/>
      <c r="N99" s="8"/>
      <c r="O99" s="8"/>
      <c r="P99" s="133"/>
      <c r="Q99" s="133"/>
      <c r="R99" s="8"/>
      <c r="S99" s="8"/>
      <c r="T99" s="8"/>
      <c r="U99" s="8"/>
      <c r="V99" s="8"/>
      <c r="W99" s="8"/>
      <c r="X99" s="133"/>
    </row>
    <row r="100" spans="1:40" x14ac:dyDescent="0.25">
      <c r="A100" s="133"/>
      <c r="B100" s="8"/>
      <c r="C100" s="8"/>
      <c r="D100" s="8"/>
      <c r="E100" s="8"/>
      <c r="F100" s="8"/>
      <c r="G100" s="8"/>
      <c r="H100" s="133"/>
      <c r="I100" s="133"/>
      <c r="J100" s="8"/>
      <c r="K100" s="8"/>
      <c r="L100" s="8"/>
      <c r="M100" s="8"/>
      <c r="N100" s="8"/>
      <c r="O100" s="8"/>
      <c r="P100" s="133"/>
      <c r="Q100" s="133"/>
      <c r="R100" s="8"/>
      <c r="S100" s="8"/>
      <c r="T100" s="8"/>
      <c r="U100" s="8"/>
      <c r="V100" s="8"/>
      <c r="W100" s="8"/>
      <c r="X100" s="133"/>
    </row>
    <row r="101" spans="1:40" x14ac:dyDescent="0.25">
      <c r="A101" s="133"/>
      <c r="B101" s="8"/>
      <c r="C101" s="8"/>
      <c r="D101" s="8"/>
      <c r="E101" s="8"/>
      <c r="F101" s="8"/>
      <c r="G101" s="8"/>
      <c r="H101" s="133"/>
      <c r="I101" s="133"/>
      <c r="J101" s="8"/>
      <c r="K101" s="8"/>
      <c r="L101" s="8"/>
      <c r="M101" s="8"/>
      <c r="N101" s="8"/>
      <c r="O101" s="8"/>
      <c r="P101" s="133"/>
      <c r="Q101" s="133"/>
      <c r="R101" s="8"/>
      <c r="S101" s="8"/>
      <c r="T101" s="8"/>
      <c r="U101" s="8"/>
      <c r="V101" s="8"/>
      <c r="W101" s="8"/>
      <c r="X101" s="133"/>
    </row>
    <row r="102" spans="1:40" x14ac:dyDescent="0.25">
      <c r="A102" s="397"/>
      <c r="B102" s="2512" t="s">
        <v>5400</v>
      </c>
      <c r="C102" s="2512"/>
      <c r="D102" s="2512"/>
      <c r="E102" s="2512"/>
      <c r="F102" s="2512"/>
      <c r="G102" s="2512"/>
      <c r="H102" s="398"/>
      <c r="I102" s="397"/>
      <c r="J102" s="2512" t="s">
        <v>5400</v>
      </c>
      <c r="K102" s="2512"/>
      <c r="L102" s="2512"/>
      <c r="M102" s="2512"/>
      <c r="N102" s="2512"/>
      <c r="O102" s="2512"/>
      <c r="P102" s="398"/>
      <c r="Q102" s="397"/>
      <c r="R102" s="2512" t="s">
        <v>5400</v>
      </c>
      <c r="S102" s="2512"/>
      <c r="T102" s="2512"/>
      <c r="U102" s="2512"/>
      <c r="V102" s="2512"/>
      <c r="W102" s="2512"/>
      <c r="X102" s="398"/>
      <c r="Y102" s="397"/>
      <c r="Z102" s="2512" t="s">
        <v>5400</v>
      </c>
      <c r="AA102" s="2512"/>
      <c r="AB102" s="2512"/>
      <c r="AC102" s="2512"/>
      <c r="AD102" s="2512"/>
      <c r="AE102" s="2512"/>
      <c r="AF102" s="398"/>
      <c r="AG102" s="397"/>
      <c r="AH102" s="2512" t="s">
        <v>5400</v>
      </c>
      <c r="AI102" s="2512"/>
      <c r="AJ102" s="2512"/>
      <c r="AK102" s="2512"/>
      <c r="AL102" s="2512"/>
      <c r="AM102" s="2512"/>
      <c r="AN102" s="398"/>
    </row>
    <row r="103" spans="1:40" x14ac:dyDescent="0.25">
      <c r="A103" s="397"/>
      <c r="B103" s="399"/>
      <c r="C103" s="399"/>
      <c r="D103" s="397"/>
      <c r="E103" s="397"/>
      <c r="F103" s="400"/>
      <c r="G103" s="401"/>
      <c r="H103" s="401"/>
      <c r="I103" s="397"/>
      <c r="J103" s="399"/>
      <c r="K103" s="399"/>
      <c r="L103" s="397"/>
      <c r="M103" s="397"/>
      <c r="N103" s="400"/>
      <c r="O103" s="401"/>
      <c r="P103" s="401"/>
      <c r="Q103" s="397"/>
      <c r="R103" s="399"/>
      <c r="S103" s="399"/>
      <c r="T103" s="397"/>
      <c r="U103" s="397"/>
      <c r="V103" s="400"/>
      <c r="W103" s="401"/>
      <c r="X103" s="401"/>
      <c r="Y103" s="397"/>
      <c r="Z103" s="399"/>
      <c r="AA103" s="399"/>
      <c r="AB103" s="397"/>
      <c r="AC103" s="397"/>
      <c r="AD103" s="400"/>
      <c r="AE103" s="401"/>
      <c r="AF103" s="401"/>
      <c r="AG103" s="397"/>
      <c r="AH103" s="399"/>
      <c r="AI103" s="399"/>
      <c r="AJ103" s="397"/>
      <c r="AK103" s="397"/>
      <c r="AL103" s="400"/>
      <c r="AM103" s="401"/>
      <c r="AN103" s="401"/>
    </row>
    <row r="104" spans="1:40" ht="24.95" customHeight="1" x14ac:dyDescent="0.25">
      <c r="A104" s="593" t="s">
        <v>5952</v>
      </c>
      <c r="B104" s="594">
        <v>9.1</v>
      </c>
      <c r="C104" s="2445" t="s">
        <v>6346</v>
      </c>
      <c r="D104" s="2445"/>
      <c r="E104" s="2445"/>
      <c r="F104" s="595" t="s">
        <v>867</v>
      </c>
      <c r="G104" s="139" t="s">
        <v>5424</v>
      </c>
      <c r="H104" s="134"/>
      <c r="I104" s="593" t="s">
        <v>5952</v>
      </c>
      <c r="J104" s="594">
        <v>9.1</v>
      </c>
      <c r="K104" s="2445" t="s">
        <v>6347</v>
      </c>
      <c r="L104" s="2445"/>
      <c r="M104" s="2445"/>
      <c r="N104" s="595" t="s">
        <v>867</v>
      </c>
      <c r="O104" s="139" t="s">
        <v>5424</v>
      </c>
      <c r="P104" s="134"/>
      <c r="Q104" s="593" t="s">
        <v>5952</v>
      </c>
      <c r="R104" s="594">
        <v>9.1</v>
      </c>
      <c r="S104" s="2445" t="s">
        <v>6351</v>
      </c>
      <c r="T104" s="2445"/>
      <c r="U104" s="2445"/>
      <c r="V104" s="595" t="s">
        <v>867</v>
      </c>
      <c r="W104" s="139" t="s">
        <v>5424</v>
      </c>
      <c r="X104" s="134"/>
      <c r="Y104" s="593" t="s">
        <v>5952</v>
      </c>
      <c r="Z104" s="594">
        <v>9.1</v>
      </c>
      <c r="AA104" s="2445" t="s">
        <v>6600</v>
      </c>
      <c r="AB104" s="2445"/>
      <c r="AC104" s="2445"/>
      <c r="AD104" s="595" t="s">
        <v>867</v>
      </c>
      <c r="AE104" s="139" t="s">
        <v>5424</v>
      </c>
      <c r="AF104" s="134"/>
      <c r="AG104" s="593" t="s">
        <v>5952</v>
      </c>
      <c r="AH104" s="594">
        <v>9.1</v>
      </c>
      <c r="AI104" s="2445" t="s">
        <v>6348</v>
      </c>
      <c r="AJ104" s="2445"/>
      <c r="AK104" s="2445"/>
      <c r="AL104" s="595" t="s">
        <v>867</v>
      </c>
      <c r="AM104" s="139" t="s">
        <v>5424</v>
      </c>
      <c r="AN104" s="134"/>
    </row>
    <row r="105" spans="1:40" x14ac:dyDescent="0.25">
      <c r="A105" s="404"/>
      <c r="B105" s="405"/>
      <c r="C105" s="600"/>
      <c r="D105" s="600"/>
      <c r="E105" s="600"/>
      <c r="F105" s="400"/>
      <c r="G105" s="142"/>
      <c r="H105" s="134"/>
      <c r="I105" s="404"/>
      <c r="J105" s="405"/>
      <c r="K105" s="600"/>
      <c r="L105" s="600"/>
      <c r="M105" s="600"/>
      <c r="N105" s="400"/>
      <c r="O105" s="142"/>
      <c r="P105" s="134"/>
      <c r="Q105" s="404"/>
      <c r="R105" s="405"/>
      <c r="S105" s="600"/>
      <c r="T105" s="600"/>
      <c r="U105" s="600"/>
      <c r="V105" s="400"/>
      <c r="W105" s="142"/>
      <c r="X105" s="134"/>
      <c r="Y105" s="404"/>
      <c r="Z105" s="405"/>
      <c r="AA105" s="600"/>
      <c r="AB105" s="600"/>
      <c r="AC105" s="600"/>
      <c r="AD105" s="400"/>
      <c r="AE105" s="142"/>
      <c r="AF105" s="134"/>
      <c r="AG105" s="404"/>
      <c r="AH105" s="405"/>
      <c r="AI105" s="623"/>
      <c r="AJ105" s="623"/>
      <c r="AK105" s="623"/>
      <c r="AL105" s="400"/>
      <c r="AM105" s="142"/>
      <c r="AN105" s="134"/>
    </row>
    <row r="106" spans="1:40" ht="15.75" thickBot="1" x14ac:dyDescent="0.3">
      <c r="A106" s="397"/>
      <c r="B106" s="397"/>
      <c r="C106" s="397"/>
      <c r="D106" s="397"/>
      <c r="E106" s="397"/>
      <c r="F106" s="400"/>
      <c r="G106" s="401"/>
      <c r="H106" s="401"/>
      <c r="I106" s="397"/>
      <c r="J106" s="397"/>
      <c r="K106" s="397"/>
      <c r="L106" s="397"/>
      <c r="M106" s="397"/>
      <c r="N106" s="400"/>
      <c r="O106" s="401"/>
      <c r="P106" s="401"/>
      <c r="Q106" s="397"/>
      <c r="R106" s="397"/>
      <c r="S106" s="397"/>
      <c r="T106" s="397"/>
      <c r="U106" s="397"/>
      <c r="V106" s="400"/>
      <c r="W106" s="401"/>
      <c r="X106" s="401"/>
      <c r="Y106" s="397"/>
      <c r="Z106" s="397"/>
      <c r="AA106" s="397"/>
      <c r="AB106" s="397"/>
      <c r="AC106" s="397"/>
      <c r="AD106" s="400"/>
      <c r="AE106" s="401"/>
      <c r="AF106" s="401"/>
      <c r="AG106" s="397"/>
      <c r="AH106" s="397"/>
      <c r="AI106" s="397"/>
      <c r="AJ106" s="397"/>
      <c r="AK106" s="397"/>
      <c r="AL106" s="400"/>
      <c r="AM106" s="401"/>
      <c r="AN106" s="401"/>
    </row>
    <row r="107" spans="1:40" ht="15.75" thickBot="1" x14ac:dyDescent="0.3">
      <c r="A107" s="397"/>
      <c r="B107" s="407" t="s">
        <v>5403</v>
      </c>
      <c r="C107" s="408" t="s">
        <v>867</v>
      </c>
      <c r="D107" s="408" t="s">
        <v>6</v>
      </c>
      <c r="E107" s="408" t="s">
        <v>5439</v>
      </c>
      <c r="F107" s="408" t="s">
        <v>5405</v>
      </c>
      <c r="G107" s="409" t="s">
        <v>868</v>
      </c>
      <c r="H107" s="401"/>
      <c r="I107" s="397"/>
      <c r="J107" s="407" t="s">
        <v>5403</v>
      </c>
      <c r="K107" s="408" t="s">
        <v>867</v>
      </c>
      <c r="L107" s="408" t="s">
        <v>6</v>
      </c>
      <c r="M107" s="408" t="s">
        <v>5439</v>
      </c>
      <c r="N107" s="408" t="s">
        <v>5405</v>
      </c>
      <c r="O107" s="409" t="s">
        <v>868</v>
      </c>
      <c r="P107" s="401"/>
      <c r="Q107" s="397"/>
      <c r="R107" s="407" t="s">
        <v>5403</v>
      </c>
      <c r="S107" s="408" t="s">
        <v>867</v>
      </c>
      <c r="T107" s="408" t="s">
        <v>6</v>
      </c>
      <c r="U107" s="408" t="s">
        <v>5439</v>
      </c>
      <c r="V107" s="408" t="s">
        <v>5405</v>
      </c>
      <c r="W107" s="409" t="s">
        <v>868</v>
      </c>
      <c r="X107" s="401"/>
      <c r="Y107" s="397"/>
      <c r="Z107" s="407" t="s">
        <v>5403</v>
      </c>
      <c r="AA107" s="408" t="s">
        <v>867</v>
      </c>
      <c r="AB107" s="408" t="s">
        <v>6</v>
      </c>
      <c r="AC107" s="408" t="s">
        <v>5439</v>
      </c>
      <c r="AD107" s="408" t="s">
        <v>5405</v>
      </c>
      <c r="AE107" s="409" t="s">
        <v>868</v>
      </c>
      <c r="AF107" s="401"/>
      <c r="AG107" s="397"/>
      <c r="AH107" s="407" t="s">
        <v>5403</v>
      </c>
      <c r="AI107" s="408" t="s">
        <v>867</v>
      </c>
      <c r="AJ107" s="408" t="s">
        <v>6</v>
      </c>
      <c r="AK107" s="408" t="s">
        <v>5439</v>
      </c>
      <c r="AL107" s="408" t="s">
        <v>5405</v>
      </c>
      <c r="AM107" s="409" t="s">
        <v>868</v>
      </c>
      <c r="AN107" s="401"/>
    </row>
    <row r="108" spans="1:40" x14ac:dyDescent="0.25">
      <c r="A108" s="397"/>
      <c r="B108" s="381" t="s">
        <v>5934</v>
      </c>
      <c r="C108" s="382"/>
      <c r="D108" s="383"/>
      <c r="E108" s="384"/>
      <c r="F108" s="383"/>
      <c r="G108" s="410">
        <f>0.05*H147</f>
        <v>265136.92857142858</v>
      </c>
      <c r="H108" s="401"/>
      <c r="I108" s="397"/>
      <c r="J108" s="381" t="s">
        <v>5934</v>
      </c>
      <c r="K108" s="382"/>
      <c r="L108" s="383"/>
      <c r="M108" s="384"/>
      <c r="N108" s="383"/>
      <c r="O108" s="410">
        <f>0.05*P147</f>
        <v>378633.33333333337</v>
      </c>
      <c r="P108" s="401"/>
      <c r="Q108" s="397"/>
      <c r="R108" s="381" t="s">
        <v>5934</v>
      </c>
      <c r="S108" s="382"/>
      <c r="T108" s="383"/>
      <c r="U108" s="384"/>
      <c r="V108" s="383"/>
      <c r="W108" s="410">
        <f>0.05*X147</f>
        <v>417175</v>
      </c>
      <c r="X108" s="401"/>
      <c r="Y108" s="397"/>
      <c r="Z108" s="381" t="s">
        <v>5934</v>
      </c>
      <c r="AA108" s="382"/>
      <c r="AB108" s="383"/>
      <c r="AC108" s="384"/>
      <c r="AD108" s="383"/>
      <c r="AE108" s="410">
        <f>0.05*AF147</f>
        <v>462111.5</v>
      </c>
      <c r="AF108" s="401"/>
      <c r="AG108" s="397"/>
      <c r="AH108" s="381" t="s">
        <v>5934</v>
      </c>
      <c r="AI108" s="382"/>
      <c r="AJ108" s="383"/>
      <c r="AK108" s="384"/>
      <c r="AL108" s="383"/>
      <c r="AM108" s="410">
        <f>0.05*AN147</f>
        <v>344222.5</v>
      </c>
      <c r="AN108" s="401"/>
    </row>
    <row r="109" spans="1:40" x14ac:dyDescent="0.25">
      <c r="A109" s="397"/>
      <c r="B109" s="385"/>
      <c r="C109" s="386"/>
      <c r="D109" s="387"/>
      <c r="E109" s="388"/>
      <c r="F109" s="387"/>
      <c r="G109" s="411"/>
      <c r="H109" s="401"/>
      <c r="I109" s="397"/>
      <c r="J109" s="385"/>
      <c r="K109" s="386"/>
      <c r="L109" s="387"/>
      <c r="M109" s="388"/>
      <c r="N109" s="387"/>
      <c r="O109" s="411"/>
      <c r="P109" s="401"/>
      <c r="Q109" s="397"/>
      <c r="R109" s="385"/>
      <c r="S109" s="386"/>
      <c r="T109" s="387"/>
      <c r="U109" s="388"/>
      <c r="V109" s="387"/>
      <c r="W109" s="411"/>
      <c r="X109" s="401"/>
      <c r="Y109" s="397"/>
      <c r="Z109" s="385"/>
      <c r="AA109" s="386"/>
      <c r="AB109" s="387"/>
      <c r="AC109" s="388"/>
      <c r="AD109" s="387"/>
      <c r="AE109" s="411"/>
      <c r="AF109" s="401"/>
      <c r="AG109" s="397"/>
      <c r="AH109" s="385"/>
      <c r="AI109" s="386"/>
      <c r="AJ109" s="387"/>
      <c r="AK109" s="388"/>
      <c r="AL109" s="387"/>
      <c r="AM109" s="411"/>
      <c r="AN109" s="401"/>
    </row>
    <row r="110" spans="1:40" x14ac:dyDescent="0.25">
      <c r="A110" s="397"/>
      <c r="B110" s="385"/>
      <c r="C110" s="386"/>
      <c r="D110" s="387"/>
      <c r="E110" s="388"/>
      <c r="F110" s="387"/>
      <c r="G110" s="411"/>
      <c r="H110" s="401"/>
      <c r="I110" s="397"/>
      <c r="J110" s="385"/>
      <c r="K110" s="386"/>
      <c r="L110" s="387"/>
      <c r="M110" s="388"/>
      <c r="N110" s="387"/>
      <c r="O110" s="411"/>
      <c r="P110" s="401"/>
      <c r="Q110" s="397"/>
      <c r="R110" s="385"/>
      <c r="S110" s="386"/>
      <c r="T110" s="387"/>
      <c r="U110" s="388"/>
      <c r="V110" s="387"/>
      <c r="W110" s="411"/>
      <c r="X110" s="401"/>
      <c r="Y110" s="397"/>
      <c r="Z110" s="385"/>
      <c r="AA110" s="386"/>
      <c r="AB110" s="387"/>
      <c r="AC110" s="388"/>
      <c r="AD110" s="387"/>
      <c r="AE110" s="411"/>
      <c r="AF110" s="401"/>
      <c r="AG110" s="397"/>
      <c r="AH110" s="385"/>
      <c r="AI110" s="386"/>
      <c r="AJ110" s="387"/>
      <c r="AK110" s="388"/>
      <c r="AL110" s="387"/>
      <c r="AM110" s="411"/>
      <c r="AN110" s="401"/>
    </row>
    <row r="111" spans="1:40" x14ac:dyDescent="0.25">
      <c r="A111" s="397"/>
      <c r="B111" s="385"/>
      <c r="C111" s="386"/>
      <c r="D111" s="387"/>
      <c r="E111" s="388"/>
      <c r="F111" s="387"/>
      <c r="G111" s="411"/>
      <c r="H111" s="401"/>
      <c r="I111" s="397"/>
      <c r="J111" s="385"/>
      <c r="K111" s="386"/>
      <c r="L111" s="387"/>
      <c r="M111" s="388"/>
      <c r="N111" s="387"/>
      <c r="O111" s="411"/>
      <c r="P111" s="401"/>
      <c r="Q111" s="397"/>
      <c r="R111" s="385"/>
      <c r="S111" s="386"/>
      <c r="T111" s="387"/>
      <c r="U111" s="388"/>
      <c r="V111" s="387"/>
      <c r="W111" s="411"/>
      <c r="X111" s="401"/>
      <c r="Y111" s="397"/>
      <c r="Z111" s="385"/>
      <c r="AA111" s="386"/>
      <c r="AB111" s="387"/>
      <c r="AC111" s="388"/>
      <c r="AD111" s="387"/>
      <c r="AE111" s="411"/>
      <c r="AF111" s="401"/>
      <c r="AG111" s="397"/>
      <c r="AH111" s="385"/>
      <c r="AI111" s="386"/>
      <c r="AJ111" s="387"/>
      <c r="AK111" s="388"/>
      <c r="AL111" s="387"/>
      <c r="AM111" s="411"/>
      <c r="AN111" s="401"/>
    </row>
    <row r="112" spans="1:40" x14ac:dyDescent="0.25">
      <c r="A112" s="397"/>
      <c r="B112" s="385"/>
      <c r="C112" s="386"/>
      <c r="D112" s="387"/>
      <c r="E112" s="388"/>
      <c r="F112" s="387"/>
      <c r="G112" s="411"/>
      <c r="H112" s="401"/>
      <c r="I112" s="397"/>
      <c r="J112" s="385"/>
      <c r="K112" s="386"/>
      <c r="L112" s="387"/>
      <c r="M112" s="388"/>
      <c r="N112" s="387"/>
      <c r="O112" s="411"/>
      <c r="P112" s="401"/>
      <c r="Q112" s="397"/>
      <c r="R112" s="385"/>
      <c r="S112" s="386"/>
      <c r="T112" s="387"/>
      <c r="U112" s="388"/>
      <c r="V112" s="387"/>
      <c r="W112" s="411"/>
      <c r="X112" s="401"/>
      <c r="Y112" s="397"/>
      <c r="Z112" s="385"/>
      <c r="AA112" s="386"/>
      <c r="AB112" s="387"/>
      <c r="AC112" s="388"/>
      <c r="AD112" s="387"/>
      <c r="AE112" s="411"/>
      <c r="AF112" s="401"/>
      <c r="AG112" s="397"/>
      <c r="AH112" s="385"/>
      <c r="AI112" s="386"/>
      <c r="AJ112" s="387"/>
      <c r="AK112" s="388"/>
      <c r="AL112" s="387"/>
      <c r="AM112" s="411"/>
      <c r="AN112" s="401"/>
    </row>
    <row r="113" spans="1:40" ht="15.75" thickBot="1" x14ac:dyDescent="0.3">
      <c r="A113" s="397"/>
      <c r="B113" s="385"/>
      <c r="C113" s="386"/>
      <c r="D113" s="387"/>
      <c r="E113" s="387"/>
      <c r="F113" s="387"/>
      <c r="G113" s="411"/>
      <c r="H113" s="401"/>
      <c r="I113" s="397"/>
      <c r="J113" s="385"/>
      <c r="K113" s="386"/>
      <c r="L113" s="387"/>
      <c r="M113" s="387"/>
      <c r="N113" s="387"/>
      <c r="O113" s="411"/>
      <c r="P113" s="401"/>
      <c r="Q113" s="397"/>
      <c r="R113" s="385"/>
      <c r="S113" s="386"/>
      <c r="T113" s="387"/>
      <c r="U113" s="387"/>
      <c r="V113" s="387"/>
      <c r="W113" s="411"/>
      <c r="X113" s="401"/>
      <c r="Y113" s="397"/>
      <c r="Z113" s="385"/>
      <c r="AA113" s="386"/>
      <c r="AB113" s="387"/>
      <c r="AC113" s="387"/>
      <c r="AD113" s="387"/>
      <c r="AE113" s="411"/>
      <c r="AF113" s="401"/>
      <c r="AG113" s="397"/>
      <c r="AH113" s="385"/>
      <c r="AI113" s="386"/>
      <c r="AJ113" s="387"/>
      <c r="AK113" s="387"/>
      <c r="AL113" s="387"/>
      <c r="AM113" s="411"/>
      <c r="AN113" s="401"/>
    </row>
    <row r="114" spans="1:40" ht="15.75" thickBot="1" x14ac:dyDescent="0.3">
      <c r="A114" s="397"/>
      <c r="B114" s="412"/>
      <c r="C114" s="413"/>
      <c r="D114" s="414"/>
      <c r="E114" s="414"/>
      <c r="F114" s="414"/>
      <c r="G114" s="415"/>
      <c r="H114" s="416">
        <f>+SUM(G108:G114)</f>
        <v>265136.92857142858</v>
      </c>
      <c r="I114" s="397"/>
      <c r="J114" s="412"/>
      <c r="K114" s="413"/>
      <c r="L114" s="414"/>
      <c r="M114" s="414"/>
      <c r="N114" s="414"/>
      <c r="O114" s="415"/>
      <c r="P114" s="416">
        <f>+SUM(O108:O114)</f>
        <v>378633.33333333337</v>
      </c>
      <c r="Q114" s="397"/>
      <c r="R114" s="412"/>
      <c r="S114" s="413"/>
      <c r="T114" s="414"/>
      <c r="U114" s="414"/>
      <c r="V114" s="414"/>
      <c r="W114" s="415"/>
      <c r="X114" s="416">
        <f>+SUM(W108:W114)</f>
        <v>417175</v>
      </c>
      <c r="Y114" s="397"/>
      <c r="Z114" s="412"/>
      <c r="AA114" s="413"/>
      <c r="AB114" s="414"/>
      <c r="AC114" s="414"/>
      <c r="AD114" s="414"/>
      <c r="AE114" s="415"/>
      <c r="AF114" s="416">
        <f>+SUM(AE108:AE114)</f>
        <v>462111.5</v>
      </c>
      <c r="AG114" s="397"/>
      <c r="AH114" s="412"/>
      <c r="AI114" s="413"/>
      <c r="AJ114" s="414"/>
      <c r="AK114" s="414"/>
      <c r="AL114" s="414"/>
      <c r="AM114" s="415"/>
      <c r="AN114" s="416">
        <f>+SUM(AM108:AM114)</f>
        <v>344222.5</v>
      </c>
    </row>
    <row r="115" spans="1:40" ht="15.75" thickBot="1" x14ac:dyDescent="0.3">
      <c r="A115" s="397"/>
      <c r="B115" s="417"/>
      <c r="C115" s="418"/>
      <c r="D115" s="417"/>
      <c r="E115" s="417"/>
      <c r="F115" s="417"/>
      <c r="G115" s="419"/>
      <c r="H115" s="420"/>
      <c r="I115" s="397"/>
      <c r="J115" s="417"/>
      <c r="K115" s="418"/>
      <c r="L115" s="417"/>
      <c r="M115" s="417"/>
      <c r="N115" s="417"/>
      <c r="O115" s="419"/>
      <c r="P115" s="420"/>
      <c r="Q115" s="397"/>
      <c r="R115" s="417"/>
      <c r="S115" s="418"/>
      <c r="T115" s="417"/>
      <c r="U115" s="417"/>
      <c r="V115" s="417"/>
      <c r="W115" s="419"/>
      <c r="X115" s="420"/>
      <c r="Y115" s="397"/>
      <c r="Z115" s="417"/>
      <c r="AA115" s="418"/>
      <c r="AB115" s="417"/>
      <c r="AC115" s="417"/>
      <c r="AD115" s="417"/>
      <c r="AE115" s="419"/>
      <c r="AF115" s="420"/>
      <c r="AG115" s="397"/>
      <c r="AH115" s="417"/>
      <c r="AI115" s="418"/>
      <c r="AJ115" s="417"/>
      <c r="AK115" s="417"/>
      <c r="AL115" s="417"/>
      <c r="AM115" s="419"/>
      <c r="AN115" s="420"/>
    </row>
    <row r="116" spans="1:40" ht="15.75" thickBot="1" x14ac:dyDescent="0.3">
      <c r="A116" s="397"/>
      <c r="B116" s="407" t="s">
        <v>5408</v>
      </c>
      <c r="C116" s="408" t="s">
        <v>867</v>
      </c>
      <c r="D116" s="408" t="s">
        <v>6</v>
      </c>
      <c r="E116" s="408" t="s">
        <v>870</v>
      </c>
      <c r="F116" s="408" t="s">
        <v>5409</v>
      </c>
      <c r="G116" s="409" t="s">
        <v>868</v>
      </c>
      <c r="H116" s="401"/>
      <c r="I116" s="397"/>
      <c r="J116" s="407" t="s">
        <v>5408</v>
      </c>
      <c r="K116" s="408" t="s">
        <v>867</v>
      </c>
      <c r="L116" s="408" t="s">
        <v>6</v>
      </c>
      <c r="M116" s="408" t="s">
        <v>870</v>
      </c>
      <c r="N116" s="408" t="s">
        <v>5409</v>
      </c>
      <c r="O116" s="409" t="s">
        <v>868</v>
      </c>
      <c r="P116" s="401"/>
      <c r="Q116" s="397"/>
      <c r="R116" s="407" t="s">
        <v>5408</v>
      </c>
      <c r="S116" s="408" t="s">
        <v>867</v>
      </c>
      <c r="T116" s="408" t="s">
        <v>6</v>
      </c>
      <c r="U116" s="408" t="s">
        <v>870</v>
      </c>
      <c r="V116" s="408" t="s">
        <v>5409</v>
      </c>
      <c r="W116" s="409" t="s">
        <v>868</v>
      </c>
      <c r="X116" s="401"/>
      <c r="Y116" s="397"/>
      <c r="Z116" s="407" t="s">
        <v>5408</v>
      </c>
      <c r="AA116" s="408" t="s">
        <v>867</v>
      </c>
      <c r="AB116" s="408" t="s">
        <v>6</v>
      </c>
      <c r="AC116" s="408" t="s">
        <v>870</v>
      </c>
      <c r="AD116" s="408" t="s">
        <v>5409</v>
      </c>
      <c r="AE116" s="409" t="s">
        <v>868</v>
      </c>
      <c r="AF116" s="401"/>
      <c r="AG116" s="397"/>
      <c r="AH116" s="407" t="s">
        <v>5408</v>
      </c>
      <c r="AI116" s="408" t="s">
        <v>867</v>
      </c>
      <c r="AJ116" s="408" t="s">
        <v>6</v>
      </c>
      <c r="AK116" s="408" t="s">
        <v>870</v>
      </c>
      <c r="AL116" s="408" t="s">
        <v>5409</v>
      </c>
      <c r="AM116" s="409" t="s">
        <v>868</v>
      </c>
      <c r="AN116" s="401"/>
    </row>
    <row r="117" spans="1:40" x14ac:dyDescent="0.25">
      <c r="A117" s="397"/>
      <c r="B117" s="389" t="s">
        <v>6337</v>
      </c>
      <c r="C117" s="212" t="s">
        <v>6421</v>
      </c>
      <c r="D117" s="211">
        <v>9.5</v>
      </c>
      <c r="E117" s="345">
        <f>+'APU CAP 1-2'!$H$1150</f>
        <v>22263</v>
      </c>
      <c r="F117" s="169">
        <v>0.05</v>
      </c>
      <c r="G117" s="172">
        <f>+D117*E117*(1+F117)</f>
        <v>222073.42500000002</v>
      </c>
      <c r="H117" s="401"/>
      <c r="I117" s="397"/>
      <c r="J117" s="389" t="s">
        <v>6337</v>
      </c>
      <c r="K117" s="212" t="s">
        <v>6421</v>
      </c>
      <c r="L117" s="211">
        <v>9.5</v>
      </c>
      <c r="M117" s="345">
        <f>+'APU CAP 1-2'!$H$1150</f>
        <v>22263</v>
      </c>
      <c r="N117" s="169">
        <v>0.05</v>
      </c>
      <c r="O117" s="172">
        <f>+L117*M117*(1+N117)</f>
        <v>222073.42500000002</v>
      </c>
      <c r="P117" s="401"/>
      <c r="Q117" s="397"/>
      <c r="R117" s="389" t="s">
        <v>6337</v>
      </c>
      <c r="S117" s="212" t="s">
        <v>6421</v>
      </c>
      <c r="T117" s="211">
        <v>9.5</v>
      </c>
      <c r="U117" s="345">
        <f>+'APU CAP 1-2'!$H$1150</f>
        <v>22263</v>
      </c>
      <c r="V117" s="169">
        <v>0.05</v>
      </c>
      <c r="W117" s="172">
        <f>+T117*U117*(1+V117)</f>
        <v>222073.42500000002</v>
      </c>
      <c r="X117" s="401"/>
      <c r="Y117" s="397"/>
      <c r="Z117" s="389" t="s">
        <v>6337</v>
      </c>
      <c r="AA117" s="212" t="s">
        <v>6421</v>
      </c>
      <c r="AB117" s="211">
        <v>9.5</v>
      </c>
      <c r="AC117" s="345">
        <f>+'APU CAP 1-2'!$H$1150</f>
        <v>22263</v>
      </c>
      <c r="AD117" s="169">
        <v>0.05</v>
      </c>
      <c r="AE117" s="172">
        <f>+AB117*AC117*(1+AD117)</f>
        <v>222073.42500000002</v>
      </c>
      <c r="AF117" s="401"/>
      <c r="AG117" s="397"/>
      <c r="AH117" s="389" t="s">
        <v>6337</v>
      </c>
      <c r="AI117" s="212" t="s">
        <v>6421</v>
      </c>
      <c r="AJ117" s="211">
        <v>9.5</v>
      </c>
      <c r="AK117" s="345">
        <f>+'APU CAP 1-2'!$H$1150</f>
        <v>22263</v>
      </c>
      <c r="AL117" s="169">
        <v>0.05</v>
      </c>
      <c r="AM117" s="172">
        <f>+AJ117*AK117*(1+AL117)</f>
        <v>222073.42500000002</v>
      </c>
      <c r="AN117" s="401"/>
    </row>
    <row r="118" spans="1:40" x14ac:dyDescent="0.25">
      <c r="A118" s="397"/>
      <c r="B118" s="391" t="s">
        <v>6345</v>
      </c>
      <c r="C118" s="212" t="s">
        <v>6421</v>
      </c>
      <c r="D118" s="212">
        <f>2.4*1.8*0.05</f>
        <v>0.21600000000000003</v>
      </c>
      <c r="E118" s="346">
        <f>+'APU CAP 5'!$H$160</f>
        <v>301336.95833333331</v>
      </c>
      <c r="F118" s="169">
        <v>0.05</v>
      </c>
      <c r="G118" s="172">
        <f t="shared" ref="G118:G133" si="7">+D118*E118*(1+F118)</f>
        <v>68343.222150000001</v>
      </c>
      <c r="H118" s="401"/>
      <c r="I118" s="397"/>
      <c r="J118" s="391" t="s">
        <v>6345</v>
      </c>
      <c r="K118" s="212" t="s">
        <v>6421</v>
      </c>
      <c r="L118" s="212">
        <f>2.4*1.8*0.05</f>
        <v>0.21600000000000003</v>
      </c>
      <c r="M118" s="346">
        <f>+'APU CAP 5'!$H$160</f>
        <v>301336.95833333331</v>
      </c>
      <c r="N118" s="169">
        <v>0.05</v>
      </c>
      <c r="O118" s="172">
        <f t="shared" ref="O118:O133" si="8">+L118*M118*(1+N118)</f>
        <v>68343.222150000001</v>
      </c>
      <c r="P118" s="401"/>
      <c r="Q118" s="397"/>
      <c r="R118" s="391" t="s">
        <v>6345</v>
      </c>
      <c r="S118" s="212" t="s">
        <v>6421</v>
      </c>
      <c r="T118" s="212">
        <f>2.4*1.8*0.05</f>
        <v>0.21600000000000003</v>
      </c>
      <c r="U118" s="346">
        <f>+'APU CAP 5'!$H$160</f>
        <v>301336.95833333331</v>
      </c>
      <c r="V118" s="169">
        <v>0.05</v>
      </c>
      <c r="W118" s="172">
        <f t="shared" ref="W118:W133" si="9">+T118*U118*(1+V118)</f>
        <v>68343.222150000001</v>
      </c>
      <c r="X118" s="401"/>
      <c r="Y118" s="397"/>
      <c r="Z118" s="391" t="s">
        <v>6345</v>
      </c>
      <c r="AA118" s="212" t="s">
        <v>6421</v>
      </c>
      <c r="AB118" s="212">
        <f>2.4*1.8*0.05</f>
        <v>0.21600000000000003</v>
      </c>
      <c r="AC118" s="346">
        <f>+'APU CAP 5'!$H$160</f>
        <v>301336.95833333331</v>
      </c>
      <c r="AD118" s="169">
        <v>0.05</v>
      </c>
      <c r="AE118" s="172">
        <f t="shared" ref="AE118:AE133" si="10">+AB118*AC118*(1+AD118)</f>
        <v>68343.222150000001</v>
      </c>
      <c r="AF118" s="401"/>
      <c r="AG118" s="397"/>
      <c r="AH118" s="391" t="s">
        <v>6345</v>
      </c>
      <c r="AI118" s="212" t="s">
        <v>6421</v>
      </c>
      <c r="AJ118" s="212">
        <f>2.4*1.8*0.05</f>
        <v>0.21600000000000003</v>
      </c>
      <c r="AK118" s="346">
        <f>+'APU CAP 5'!$H$160</f>
        <v>301336.95833333331</v>
      </c>
      <c r="AL118" s="169">
        <v>0.05</v>
      </c>
      <c r="AM118" s="172">
        <f t="shared" ref="AM118:AM133" si="11">+AJ118*AK118*(1+AL118)</f>
        <v>68343.222150000001</v>
      </c>
      <c r="AN118" s="401"/>
    </row>
    <row r="119" spans="1:40" x14ac:dyDescent="0.25">
      <c r="A119" s="397"/>
      <c r="B119" s="385" t="s">
        <v>6338</v>
      </c>
      <c r="C119" s="212" t="s">
        <v>6421</v>
      </c>
      <c r="D119" s="386">
        <f>2.4*1.8*0.2</f>
        <v>0.8640000000000001</v>
      </c>
      <c r="E119" s="384">
        <f>+'APU CAP 5'!$H$538</f>
        <v>554067</v>
      </c>
      <c r="F119" s="169">
        <v>0.05</v>
      </c>
      <c r="G119" s="172">
        <f t="shared" si="7"/>
        <v>502649.58240000007</v>
      </c>
      <c r="H119" s="401"/>
      <c r="I119" s="397"/>
      <c r="J119" s="385" t="s">
        <v>6338</v>
      </c>
      <c r="K119" s="212" t="s">
        <v>6421</v>
      </c>
      <c r="L119" s="386">
        <f>2.4*1.8*0.2</f>
        <v>0.8640000000000001</v>
      </c>
      <c r="M119" s="384">
        <f>+'APU CAP 5'!$H$538</f>
        <v>554067</v>
      </c>
      <c r="N119" s="169">
        <v>0.05</v>
      </c>
      <c r="O119" s="172">
        <f t="shared" si="8"/>
        <v>502649.58240000007</v>
      </c>
      <c r="P119" s="401"/>
      <c r="Q119" s="397"/>
      <c r="R119" s="385" t="s">
        <v>6338</v>
      </c>
      <c r="S119" s="212" t="s">
        <v>6421</v>
      </c>
      <c r="T119" s="386">
        <f>2.4*1.8*0.2</f>
        <v>0.8640000000000001</v>
      </c>
      <c r="U119" s="384">
        <f>+'APU CAP 5'!$H$538</f>
        <v>554067</v>
      </c>
      <c r="V119" s="169">
        <v>0.05</v>
      </c>
      <c r="W119" s="172">
        <f t="shared" si="9"/>
        <v>502649.58240000007</v>
      </c>
      <c r="X119" s="401"/>
      <c r="Y119" s="397"/>
      <c r="Z119" s="385" t="s">
        <v>6338</v>
      </c>
      <c r="AA119" s="212" t="s">
        <v>6421</v>
      </c>
      <c r="AB119" s="386">
        <f>2.4*1.8*0.2</f>
        <v>0.8640000000000001</v>
      </c>
      <c r="AC119" s="384">
        <f>+'APU CAP 5'!$H$538</f>
        <v>554067</v>
      </c>
      <c r="AD119" s="169">
        <v>0.05</v>
      </c>
      <c r="AE119" s="172">
        <f t="shared" si="10"/>
        <v>502649.58240000007</v>
      </c>
      <c r="AF119" s="401"/>
      <c r="AG119" s="397"/>
      <c r="AH119" s="385" t="s">
        <v>6338</v>
      </c>
      <c r="AI119" s="212" t="s">
        <v>6421</v>
      </c>
      <c r="AJ119" s="386">
        <f>2.4*1.8*0.2</f>
        <v>0.8640000000000001</v>
      </c>
      <c r="AK119" s="384">
        <f>+'APU CAP 5'!$H$538</f>
        <v>554067</v>
      </c>
      <c r="AL119" s="169">
        <v>0.05</v>
      </c>
      <c r="AM119" s="172">
        <f t="shared" si="11"/>
        <v>502649.58240000007</v>
      </c>
      <c r="AN119" s="401"/>
    </row>
    <row r="120" spans="1:40" x14ac:dyDescent="0.25">
      <c r="A120" s="404"/>
      <c r="B120" s="385" t="s">
        <v>6339</v>
      </c>
      <c r="C120" s="212" t="s">
        <v>6421</v>
      </c>
      <c r="D120" s="212">
        <f>7.6*1.7*0.2+0.8</f>
        <v>3.3840000000000003</v>
      </c>
      <c r="E120" s="395">
        <f>+'APU CAP 5'!$P$538</f>
        <v>669769.71428571432</v>
      </c>
      <c r="F120" s="169">
        <v>0.05</v>
      </c>
      <c r="G120" s="172">
        <f t="shared" si="7"/>
        <v>2379825.7488000002</v>
      </c>
      <c r="H120" s="134"/>
      <c r="I120" s="404"/>
      <c r="J120" s="385" t="s">
        <v>6339</v>
      </c>
      <c r="K120" s="212" t="s">
        <v>6421</v>
      </c>
      <c r="L120" s="212">
        <f>7.6*1.7*0.2+0.8</f>
        <v>3.3840000000000003</v>
      </c>
      <c r="M120" s="395">
        <f>+'APU CAP 5'!$P$538</f>
        <v>669769.71428571432</v>
      </c>
      <c r="N120" s="169">
        <v>0.05</v>
      </c>
      <c r="O120" s="172">
        <f t="shared" si="8"/>
        <v>2379825.7488000002</v>
      </c>
      <c r="P120" s="134"/>
      <c r="Q120" s="404"/>
      <c r="R120" s="385" t="s">
        <v>6339</v>
      </c>
      <c r="S120" s="212" t="s">
        <v>6421</v>
      </c>
      <c r="T120" s="212">
        <f>7.6*1.7*0.2+0.8</f>
        <v>3.3840000000000003</v>
      </c>
      <c r="U120" s="395">
        <f>+'APU CAP 5'!$P$538</f>
        <v>669769.71428571432</v>
      </c>
      <c r="V120" s="169">
        <v>0.05</v>
      </c>
      <c r="W120" s="172">
        <f t="shared" si="9"/>
        <v>2379825.7488000002</v>
      </c>
      <c r="X120" s="134"/>
      <c r="Y120" s="404"/>
      <c r="Z120" s="385" t="s">
        <v>6339</v>
      </c>
      <c r="AA120" s="212" t="s">
        <v>6421</v>
      </c>
      <c r="AB120" s="212">
        <f>7.6*1.7*0.2+0.8</f>
        <v>3.3840000000000003</v>
      </c>
      <c r="AC120" s="395">
        <f>+'APU CAP 5'!$P$538</f>
        <v>669769.71428571432</v>
      </c>
      <c r="AD120" s="169">
        <v>0.05</v>
      </c>
      <c r="AE120" s="172">
        <f t="shared" si="10"/>
        <v>2379825.7488000002</v>
      </c>
      <c r="AF120" s="134"/>
      <c r="AG120" s="404"/>
      <c r="AH120" s="385" t="s">
        <v>6339</v>
      </c>
      <c r="AI120" s="212" t="s">
        <v>6421</v>
      </c>
      <c r="AJ120" s="212">
        <f>7.6*1.7*0.2+0.8</f>
        <v>3.3840000000000003</v>
      </c>
      <c r="AK120" s="395">
        <f>+'APU CAP 5'!$P$538</f>
        <v>669769.71428571432</v>
      </c>
      <c r="AL120" s="169">
        <v>0.05</v>
      </c>
      <c r="AM120" s="172">
        <f t="shared" si="11"/>
        <v>2379825.7488000002</v>
      </c>
      <c r="AN120" s="134"/>
    </row>
    <row r="121" spans="1:40" x14ac:dyDescent="0.25">
      <c r="A121" s="397"/>
      <c r="B121" s="385" t="s">
        <v>5741</v>
      </c>
      <c r="C121" s="212" t="s">
        <v>5550</v>
      </c>
      <c r="D121" s="386">
        <f>4.25*150</f>
        <v>637.5</v>
      </c>
      <c r="E121" s="384">
        <f>+'APU CAP 5'!$H$970</f>
        <v>3455</v>
      </c>
      <c r="F121" s="169">
        <v>0.05</v>
      </c>
      <c r="G121" s="172">
        <f t="shared" si="7"/>
        <v>2312690.625</v>
      </c>
      <c r="H121" s="401"/>
      <c r="I121" s="397"/>
      <c r="J121" s="385" t="s">
        <v>5741</v>
      </c>
      <c r="K121" s="212" t="s">
        <v>5550</v>
      </c>
      <c r="L121" s="386">
        <f>4.25*150</f>
        <v>637.5</v>
      </c>
      <c r="M121" s="384">
        <f>+'APU CAP 5'!$H$970</f>
        <v>3455</v>
      </c>
      <c r="N121" s="169">
        <v>0.05</v>
      </c>
      <c r="O121" s="172">
        <f t="shared" si="8"/>
        <v>2312690.625</v>
      </c>
      <c r="P121" s="401"/>
      <c r="Q121" s="397"/>
      <c r="R121" s="385" t="s">
        <v>5741</v>
      </c>
      <c r="S121" s="212" t="s">
        <v>5550</v>
      </c>
      <c r="T121" s="386">
        <f>4.25*150</f>
        <v>637.5</v>
      </c>
      <c r="U121" s="384">
        <f>+'APU CAP 5'!$H$970</f>
        <v>3455</v>
      </c>
      <c r="V121" s="169">
        <v>0.05</v>
      </c>
      <c r="W121" s="172">
        <f t="shared" si="9"/>
        <v>2312690.625</v>
      </c>
      <c r="X121" s="401"/>
      <c r="Y121" s="397"/>
      <c r="Z121" s="385" t="s">
        <v>5741</v>
      </c>
      <c r="AA121" s="212" t="s">
        <v>5550</v>
      </c>
      <c r="AB121" s="386">
        <f>4.25*150</f>
        <v>637.5</v>
      </c>
      <c r="AC121" s="384">
        <f>+'APU CAP 5'!$H$970</f>
        <v>3455</v>
      </c>
      <c r="AD121" s="169">
        <v>0.05</v>
      </c>
      <c r="AE121" s="172">
        <f t="shared" si="10"/>
        <v>2312690.625</v>
      </c>
      <c r="AF121" s="401"/>
      <c r="AG121" s="397"/>
      <c r="AH121" s="385" t="s">
        <v>5741</v>
      </c>
      <c r="AI121" s="212" t="s">
        <v>5550</v>
      </c>
      <c r="AJ121" s="386">
        <f>4.25*150</f>
        <v>637.5</v>
      </c>
      <c r="AK121" s="384">
        <f>+'APU CAP 5'!$H$970</f>
        <v>3455</v>
      </c>
      <c r="AL121" s="169">
        <v>0.05</v>
      </c>
      <c r="AM121" s="172">
        <f t="shared" si="11"/>
        <v>2312690.625</v>
      </c>
      <c r="AN121" s="401"/>
    </row>
    <row r="122" spans="1:40" x14ac:dyDescent="0.25">
      <c r="A122" s="397"/>
      <c r="B122" s="385" t="s">
        <v>5750</v>
      </c>
      <c r="C122" s="212" t="s">
        <v>5550</v>
      </c>
      <c r="D122" s="386">
        <v>8</v>
      </c>
      <c r="E122" s="421">
        <f>+'APU CAP 5'!$H$1078</f>
        <v>8894</v>
      </c>
      <c r="F122" s="169">
        <v>0.05</v>
      </c>
      <c r="G122" s="172">
        <f t="shared" si="7"/>
        <v>74709.600000000006</v>
      </c>
      <c r="H122" s="401"/>
      <c r="I122" s="397"/>
      <c r="J122" s="385" t="s">
        <v>5750</v>
      </c>
      <c r="K122" s="212" t="s">
        <v>5550</v>
      </c>
      <c r="L122" s="386">
        <v>8</v>
      </c>
      <c r="M122" s="421">
        <f>+'APU CAP 5'!$H$1078</f>
        <v>8894</v>
      </c>
      <c r="N122" s="169">
        <v>0.05</v>
      </c>
      <c r="O122" s="172">
        <f t="shared" si="8"/>
        <v>74709.600000000006</v>
      </c>
      <c r="P122" s="401"/>
      <c r="Q122" s="397"/>
      <c r="R122" s="385" t="s">
        <v>5750</v>
      </c>
      <c r="S122" s="212" t="s">
        <v>5550</v>
      </c>
      <c r="T122" s="386">
        <v>8</v>
      </c>
      <c r="U122" s="421">
        <f>+'APU CAP 5'!$H$1078</f>
        <v>8894</v>
      </c>
      <c r="V122" s="169">
        <v>0.05</v>
      </c>
      <c r="W122" s="172">
        <f t="shared" si="9"/>
        <v>74709.600000000006</v>
      </c>
      <c r="X122" s="401"/>
      <c r="Y122" s="397"/>
      <c r="Z122" s="385" t="s">
        <v>5750</v>
      </c>
      <c r="AA122" s="212" t="s">
        <v>5550</v>
      </c>
      <c r="AB122" s="386">
        <v>8</v>
      </c>
      <c r="AC122" s="421">
        <f>+'APU CAP 5'!$H$1078</f>
        <v>8894</v>
      </c>
      <c r="AD122" s="169">
        <v>0.05</v>
      </c>
      <c r="AE122" s="172">
        <f t="shared" si="10"/>
        <v>74709.600000000006</v>
      </c>
      <c r="AF122" s="401"/>
      <c r="AG122" s="397"/>
      <c r="AH122" s="385" t="s">
        <v>5750</v>
      </c>
      <c r="AI122" s="212" t="s">
        <v>5550</v>
      </c>
      <c r="AJ122" s="386">
        <v>8</v>
      </c>
      <c r="AK122" s="421">
        <f>+'APU CAP 5'!$H$1078</f>
        <v>8894</v>
      </c>
      <c r="AL122" s="169">
        <v>0.05</v>
      </c>
      <c r="AM122" s="172">
        <f t="shared" si="11"/>
        <v>74709.600000000006</v>
      </c>
      <c r="AN122" s="401"/>
    </row>
    <row r="123" spans="1:40" x14ac:dyDescent="0.25">
      <c r="A123" s="397"/>
      <c r="B123" s="385" t="s">
        <v>6340</v>
      </c>
      <c r="C123" s="212" t="s">
        <v>5402</v>
      </c>
      <c r="D123" s="386">
        <v>8</v>
      </c>
      <c r="E123" s="388">
        <f>+'APU CAP 5'!$H$1240</f>
        <v>31320</v>
      </c>
      <c r="F123" s="169">
        <v>0.05</v>
      </c>
      <c r="G123" s="172">
        <f t="shared" si="7"/>
        <v>263088</v>
      </c>
      <c r="H123" s="401"/>
      <c r="I123" s="397"/>
      <c r="J123" s="385" t="s">
        <v>6340</v>
      </c>
      <c r="K123" s="212" t="s">
        <v>5402</v>
      </c>
      <c r="L123" s="386">
        <v>8</v>
      </c>
      <c r="M123" s="388">
        <f>+'APU CAP 5'!$H$1240</f>
        <v>31320</v>
      </c>
      <c r="N123" s="169">
        <v>0.05</v>
      </c>
      <c r="O123" s="172">
        <f t="shared" si="8"/>
        <v>263088</v>
      </c>
      <c r="P123" s="401"/>
      <c r="Q123" s="397"/>
      <c r="R123" s="385" t="s">
        <v>6340</v>
      </c>
      <c r="S123" s="212" t="s">
        <v>5402</v>
      </c>
      <c r="T123" s="386">
        <v>8</v>
      </c>
      <c r="U123" s="388">
        <f>+'APU CAP 5'!$H$1240</f>
        <v>31320</v>
      </c>
      <c r="V123" s="169">
        <v>0.05</v>
      </c>
      <c r="W123" s="172">
        <f t="shared" si="9"/>
        <v>263088</v>
      </c>
      <c r="X123" s="401"/>
      <c r="Y123" s="397"/>
      <c r="Z123" s="385" t="s">
        <v>6340</v>
      </c>
      <c r="AA123" s="212" t="s">
        <v>5402</v>
      </c>
      <c r="AB123" s="386">
        <v>8</v>
      </c>
      <c r="AC123" s="388">
        <f>+'APU CAP 5'!$H$1240</f>
        <v>31320</v>
      </c>
      <c r="AD123" s="169">
        <v>0.05</v>
      </c>
      <c r="AE123" s="172">
        <f t="shared" si="10"/>
        <v>263088</v>
      </c>
      <c r="AF123" s="401"/>
      <c r="AG123" s="397"/>
      <c r="AH123" s="385" t="s">
        <v>6340</v>
      </c>
      <c r="AI123" s="212" t="s">
        <v>5402</v>
      </c>
      <c r="AJ123" s="386">
        <v>8</v>
      </c>
      <c r="AK123" s="388">
        <f>+'APU CAP 5'!$H$1240</f>
        <v>31320</v>
      </c>
      <c r="AL123" s="169">
        <v>0.05</v>
      </c>
      <c r="AM123" s="172">
        <f t="shared" si="11"/>
        <v>263088</v>
      </c>
      <c r="AN123" s="401"/>
    </row>
    <row r="124" spans="1:40" x14ac:dyDescent="0.25">
      <c r="A124" s="397"/>
      <c r="B124" s="385" t="s">
        <v>6341</v>
      </c>
      <c r="C124" s="212" t="s">
        <v>6421</v>
      </c>
      <c r="D124" s="386">
        <v>2</v>
      </c>
      <c r="E124" s="388">
        <f>+'APU CAP 1-2'!$H$2745</f>
        <v>11097</v>
      </c>
      <c r="F124" s="169">
        <v>0.05</v>
      </c>
      <c r="G124" s="172">
        <f t="shared" si="7"/>
        <v>23303.7</v>
      </c>
      <c r="H124" s="401">
        <f>SUM(G117:G124)</f>
        <v>5846683.9033500003</v>
      </c>
      <c r="I124" s="397"/>
      <c r="J124" s="385" t="s">
        <v>6341</v>
      </c>
      <c r="K124" s="212" t="s">
        <v>6421</v>
      </c>
      <c r="L124" s="386">
        <v>2</v>
      </c>
      <c r="M124" s="388">
        <f>+'APU CAP 1-2'!$H$2745</f>
        <v>11097</v>
      </c>
      <c r="N124" s="169">
        <v>0.05</v>
      </c>
      <c r="O124" s="172">
        <f t="shared" si="8"/>
        <v>23303.7</v>
      </c>
      <c r="P124" s="401">
        <f>SUM(O117:O124)</f>
        <v>5846683.9033500003</v>
      </c>
      <c r="Q124" s="397"/>
      <c r="R124" s="385" t="s">
        <v>6341</v>
      </c>
      <c r="S124" s="212" t="s">
        <v>6421</v>
      </c>
      <c r="T124" s="386">
        <v>2</v>
      </c>
      <c r="U124" s="388">
        <f>+'APU CAP 1-2'!$H$2745</f>
        <v>11097</v>
      </c>
      <c r="V124" s="169">
        <v>0.05</v>
      </c>
      <c r="W124" s="172">
        <f t="shared" si="9"/>
        <v>23303.7</v>
      </c>
      <c r="X124" s="401"/>
      <c r="Y124" s="397"/>
      <c r="Z124" s="385" t="s">
        <v>6341</v>
      </c>
      <c r="AA124" s="212" t="s">
        <v>6421</v>
      </c>
      <c r="AB124" s="386">
        <v>2</v>
      </c>
      <c r="AC124" s="388">
        <f>+'APU CAP 1-2'!$H$2745</f>
        <v>11097</v>
      </c>
      <c r="AD124" s="169">
        <v>0.05</v>
      </c>
      <c r="AE124" s="172">
        <f t="shared" si="10"/>
        <v>23303.7</v>
      </c>
      <c r="AF124" s="401">
        <f>SUM(AE117:AE124)</f>
        <v>5846683.9033500003</v>
      </c>
      <c r="AG124" s="397"/>
      <c r="AH124" s="385" t="s">
        <v>6341</v>
      </c>
      <c r="AI124" s="212" t="s">
        <v>6421</v>
      </c>
      <c r="AJ124" s="386">
        <v>2</v>
      </c>
      <c r="AK124" s="388">
        <f>+'APU CAP 1-2'!$H$2745</f>
        <v>11097</v>
      </c>
      <c r="AL124" s="169">
        <v>0.05</v>
      </c>
      <c r="AM124" s="172">
        <f t="shared" si="11"/>
        <v>23303.7</v>
      </c>
      <c r="AN124" s="401">
        <f>SUM(AM117:AM124)</f>
        <v>5846683.9033500003</v>
      </c>
    </row>
    <row r="125" spans="1:40" x14ac:dyDescent="0.25">
      <c r="A125" s="397"/>
      <c r="B125" s="385" t="s">
        <v>6572</v>
      </c>
      <c r="C125" s="386" t="s">
        <v>5424</v>
      </c>
      <c r="D125" s="386">
        <v>2</v>
      </c>
      <c r="E125" s="388">
        <f>+SUM!H2115</f>
        <v>1633980</v>
      </c>
      <c r="F125" s="396"/>
      <c r="G125" s="172">
        <f t="shared" si="7"/>
        <v>3267960</v>
      </c>
      <c r="H125" s="401"/>
      <c r="I125" s="397"/>
      <c r="J125" s="385" t="s">
        <v>6573</v>
      </c>
      <c r="K125" s="386" t="s">
        <v>5424</v>
      </c>
      <c r="L125" s="386">
        <v>2</v>
      </c>
      <c r="M125" s="388">
        <f>+SUM!H2121</f>
        <v>2675780</v>
      </c>
      <c r="N125" s="396"/>
      <c r="O125" s="172">
        <f t="shared" si="8"/>
        <v>5351560</v>
      </c>
      <c r="P125" s="401"/>
      <c r="Q125" s="397"/>
      <c r="R125" s="385" t="s">
        <v>6573</v>
      </c>
      <c r="S125" s="386" t="s">
        <v>5424</v>
      </c>
      <c r="T125" s="386">
        <v>2</v>
      </c>
      <c r="U125" s="388">
        <f>+M125*1.1</f>
        <v>2943358.0000000005</v>
      </c>
      <c r="V125" s="396"/>
      <c r="W125" s="172">
        <f t="shared" si="9"/>
        <v>5886716.0000000009</v>
      </c>
      <c r="X125" s="401"/>
      <c r="Y125" s="397"/>
      <c r="Z125" s="385" t="s">
        <v>6573</v>
      </c>
      <c r="AA125" s="386" t="s">
        <v>5424</v>
      </c>
      <c r="AB125" s="386">
        <v>2</v>
      </c>
      <c r="AC125" s="388">
        <f>+U125*1.1</f>
        <v>3237693.8000000007</v>
      </c>
      <c r="AD125" s="396"/>
      <c r="AE125" s="172">
        <f t="shared" si="10"/>
        <v>6475387.6000000015</v>
      </c>
      <c r="AF125" s="401"/>
      <c r="AG125" s="397"/>
      <c r="AH125" s="385" t="s">
        <v>6596</v>
      </c>
      <c r="AI125" s="386" t="s">
        <v>5424</v>
      </c>
      <c r="AJ125" s="386">
        <v>2</v>
      </c>
      <c r="AK125" s="388">
        <f>+SUM!H2124</f>
        <v>3553085</v>
      </c>
      <c r="AL125" s="396"/>
      <c r="AM125" s="172">
        <f t="shared" si="11"/>
        <v>7106170</v>
      </c>
      <c r="AN125" s="401"/>
    </row>
    <row r="126" spans="1:40" x14ac:dyDescent="0.25">
      <c r="A126" s="397"/>
      <c r="B126" s="385" t="s">
        <v>6378</v>
      </c>
      <c r="C126" s="386" t="s">
        <v>5424</v>
      </c>
      <c r="D126" s="386">
        <v>1</v>
      </c>
      <c r="E126" s="388">
        <f>+SUM!H1914</f>
        <v>1818397</v>
      </c>
      <c r="F126" s="396"/>
      <c r="G126" s="172">
        <f t="shared" si="7"/>
        <v>1818397</v>
      </c>
      <c r="H126" s="401"/>
      <c r="I126" s="397"/>
      <c r="J126" s="385" t="s">
        <v>6378</v>
      </c>
      <c r="K126" s="386" t="s">
        <v>5424</v>
      </c>
      <c r="L126" s="386">
        <v>1</v>
      </c>
      <c r="M126" s="388">
        <f>+SUM!H1916</f>
        <v>3106257</v>
      </c>
      <c r="N126" s="396"/>
      <c r="O126" s="172">
        <f t="shared" si="8"/>
        <v>3106257</v>
      </c>
      <c r="P126" s="401"/>
      <c r="Q126" s="397"/>
      <c r="R126" s="385" t="s">
        <v>6378</v>
      </c>
      <c r="S126" s="386" t="s">
        <v>5424</v>
      </c>
      <c r="T126" s="386">
        <v>1</v>
      </c>
      <c r="U126" s="388">
        <f t="shared" ref="U126:U131" si="12">+M126*1.1</f>
        <v>3416882.7</v>
      </c>
      <c r="V126" s="396"/>
      <c r="W126" s="172">
        <f t="shared" si="9"/>
        <v>3416882.7</v>
      </c>
      <c r="X126" s="401"/>
      <c r="Y126" s="397"/>
      <c r="Z126" s="385" t="s">
        <v>6378</v>
      </c>
      <c r="AA126" s="386" t="s">
        <v>5424</v>
      </c>
      <c r="AB126" s="386">
        <v>1</v>
      </c>
      <c r="AC126" s="388">
        <f t="shared" ref="AC126:AC131" si="13">+U126*1.1</f>
        <v>3758570.9700000007</v>
      </c>
      <c r="AD126" s="396"/>
      <c r="AE126" s="172">
        <f t="shared" si="10"/>
        <v>3758570.9700000007</v>
      </c>
      <c r="AF126" s="401"/>
      <c r="AG126" s="397"/>
      <c r="AH126" s="385" t="s">
        <v>6378</v>
      </c>
      <c r="AI126" s="386" t="s">
        <v>5424</v>
      </c>
      <c r="AJ126" s="386">
        <v>1</v>
      </c>
      <c r="AK126" s="388">
        <f>+SUM!H1917</f>
        <v>5240778</v>
      </c>
      <c r="AL126" s="396"/>
      <c r="AM126" s="172">
        <f t="shared" si="11"/>
        <v>5240778</v>
      </c>
      <c r="AN126" s="401"/>
    </row>
    <row r="127" spans="1:40" x14ac:dyDescent="0.25">
      <c r="A127" s="397"/>
      <c r="B127" s="385" t="s">
        <v>6376</v>
      </c>
      <c r="C127" s="386" t="s">
        <v>5424</v>
      </c>
      <c r="D127" s="386">
        <v>1</v>
      </c>
      <c r="E127" s="388">
        <f>37910000*1.16</f>
        <v>43975600</v>
      </c>
      <c r="F127" s="396"/>
      <c r="G127" s="172">
        <f t="shared" si="7"/>
        <v>43975600</v>
      </c>
      <c r="H127" s="401"/>
      <c r="I127" s="397"/>
      <c r="J127" s="385" t="s">
        <v>6534</v>
      </c>
      <c r="K127" s="386" t="s">
        <v>5424</v>
      </c>
      <c r="L127" s="386">
        <v>1</v>
      </c>
      <c r="M127" s="388">
        <f>55500000*1.16</f>
        <v>64379999.999999993</v>
      </c>
      <c r="N127" s="396"/>
      <c r="O127" s="172">
        <f t="shared" si="8"/>
        <v>64379999.999999993</v>
      </c>
      <c r="P127" s="401"/>
      <c r="Q127" s="397"/>
      <c r="R127" s="385" t="s">
        <v>6535</v>
      </c>
      <c r="S127" s="386" t="s">
        <v>5424</v>
      </c>
      <c r="T127" s="386">
        <v>1</v>
      </c>
      <c r="U127" s="388">
        <f t="shared" si="12"/>
        <v>70818000</v>
      </c>
      <c r="V127" s="396"/>
      <c r="W127" s="172">
        <f t="shared" si="9"/>
        <v>70818000</v>
      </c>
      <c r="X127" s="401"/>
      <c r="Y127" s="397"/>
      <c r="Z127" s="385" t="s">
        <v>6536</v>
      </c>
      <c r="AA127" s="386" t="s">
        <v>5424</v>
      </c>
      <c r="AB127" s="386">
        <v>1</v>
      </c>
      <c r="AC127" s="388">
        <f t="shared" si="13"/>
        <v>77899800</v>
      </c>
      <c r="AD127" s="396"/>
      <c r="AE127" s="172">
        <f t="shared" si="10"/>
        <v>77899800</v>
      </c>
      <c r="AF127" s="401"/>
      <c r="AG127" s="397"/>
      <c r="AH127" s="385" t="s">
        <v>6597</v>
      </c>
      <c r="AI127" s="386" t="s">
        <v>5424</v>
      </c>
      <c r="AJ127" s="386">
        <v>1</v>
      </c>
      <c r="AK127" s="388">
        <f>+E127*1.25</f>
        <v>54969500</v>
      </c>
      <c r="AL127" s="396"/>
      <c r="AM127" s="172">
        <f t="shared" si="11"/>
        <v>54969500</v>
      </c>
      <c r="AN127" s="401"/>
    </row>
    <row r="128" spans="1:40" x14ac:dyDescent="0.25">
      <c r="A128" s="397"/>
      <c r="B128" s="385" t="s">
        <v>6377</v>
      </c>
      <c r="C128" s="386" t="s">
        <v>5424</v>
      </c>
      <c r="D128" s="386">
        <v>1</v>
      </c>
      <c r="E128" s="388">
        <f>+E76</f>
        <v>634996</v>
      </c>
      <c r="F128" s="396"/>
      <c r="G128" s="172">
        <f t="shared" si="7"/>
        <v>634996</v>
      </c>
      <c r="H128" s="401"/>
      <c r="I128" s="397"/>
      <c r="J128" s="385" t="s">
        <v>6533</v>
      </c>
      <c r="K128" s="386" t="s">
        <v>5424</v>
      </c>
      <c r="L128" s="386">
        <v>1</v>
      </c>
      <c r="M128" s="388">
        <f>+E76</f>
        <v>634996</v>
      </c>
      <c r="N128" s="396"/>
      <c r="O128" s="172">
        <f t="shared" si="8"/>
        <v>634996</v>
      </c>
      <c r="P128" s="401"/>
      <c r="Q128" s="397"/>
      <c r="R128" s="385" t="s">
        <v>6533</v>
      </c>
      <c r="S128" s="386" t="s">
        <v>5424</v>
      </c>
      <c r="T128" s="386">
        <v>1</v>
      </c>
      <c r="U128" s="388">
        <f t="shared" si="12"/>
        <v>698495.60000000009</v>
      </c>
      <c r="V128" s="396"/>
      <c r="W128" s="172">
        <f t="shared" si="9"/>
        <v>698495.60000000009</v>
      </c>
      <c r="X128" s="401"/>
      <c r="Y128" s="397"/>
      <c r="Z128" s="385" t="s">
        <v>6533</v>
      </c>
      <c r="AA128" s="386" t="s">
        <v>5424</v>
      </c>
      <c r="AB128" s="386">
        <v>1</v>
      </c>
      <c r="AC128" s="388">
        <f t="shared" si="13"/>
        <v>768345.16000000015</v>
      </c>
      <c r="AD128" s="396"/>
      <c r="AE128" s="172">
        <f t="shared" si="10"/>
        <v>768345.16000000015</v>
      </c>
      <c r="AF128" s="401"/>
      <c r="AG128" s="397"/>
      <c r="AH128" s="385" t="s">
        <v>6598</v>
      </c>
      <c r="AI128" s="386" t="s">
        <v>5424</v>
      </c>
      <c r="AJ128" s="386">
        <v>1</v>
      </c>
      <c r="AK128" s="388">
        <f>+SUM!H1127</f>
        <v>4266293</v>
      </c>
      <c r="AL128" s="396"/>
      <c r="AM128" s="172">
        <f t="shared" si="11"/>
        <v>4266293</v>
      </c>
      <c r="AN128" s="401"/>
    </row>
    <row r="129" spans="1:40" x14ac:dyDescent="0.25">
      <c r="A129" s="397"/>
      <c r="B129" s="385" t="s">
        <v>6568</v>
      </c>
      <c r="C129" s="386" t="s">
        <v>5424</v>
      </c>
      <c r="D129" s="386">
        <v>1</v>
      </c>
      <c r="E129" s="388">
        <f>+SUM!H2176</f>
        <v>814038</v>
      </c>
      <c r="F129" s="396"/>
      <c r="G129" s="172">
        <f t="shared" si="7"/>
        <v>814038</v>
      </c>
      <c r="H129" s="401"/>
      <c r="I129" s="397"/>
      <c r="J129" s="385" t="s">
        <v>6568</v>
      </c>
      <c r="K129" s="386" t="s">
        <v>5424</v>
      </c>
      <c r="L129" s="386">
        <v>1</v>
      </c>
      <c r="M129" s="388">
        <f>+E77</f>
        <v>814038</v>
      </c>
      <c r="N129" s="396"/>
      <c r="O129" s="172">
        <f t="shared" si="8"/>
        <v>814038</v>
      </c>
      <c r="P129" s="401"/>
      <c r="Q129" s="397"/>
      <c r="R129" s="385" t="s">
        <v>6568</v>
      </c>
      <c r="S129" s="386" t="s">
        <v>5424</v>
      </c>
      <c r="T129" s="386">
        <v>1</v>
      </c>
      <c r="U129" s="388">
        <f t="shared" si="12"/>
        <v>895441.8</v>
      </c>
      <c r="V129" s="396"/>
      <c r="W129" s="172">
        <f t="shared" si="9"/>
        <v>895441.8</v>
      </c>
      <c r="X129" s="401"/>
      <c r="Y129" s="397"/>
      <c r="Z129" s="385" t="s">
        <v>6568</v>
      </c>
      <c r="AA129" s="386" t="s">
        <v>5424</v>
      </c>
      <c r="AB129" s="386">
        <v>1</v>
      </c>
      <c r="AC129" s="388">
        <f t="shared" si="13"/>
        <v>984985.9800000001</v>
      </c>
      <c r="AD129" s="396"/>
      <c r="AE129" s="172">
        <f t="shared" si="10"/>
        <v>984985.9800000001</v>
      </c>
      <c r="AF129" s="401"/>
      <c r="AG129" s="397"/>
      <c r="AH129" s="385" t="s">
        <v>6568</v>
      </c>
      <c r="AI129" s="386" t="s">
        <v>5424</v>
      </c>
      <c r="AJ129" s="386">
        <v>1</v>
      </c>
      <c r="AK129" s="388">
        <f>+AC129*1.1</f>
        <v>1083484.5780000002</v>
      </c>
      <c r="AL129" s="396"/>
      <c r="AM129" s="172">
        <f t="shared" si="11"/>
        <v>1083484.5780000002</v>
      </c>
      <c r="AN129" s="401"/>
    </row>
    <row r="130" spans="1:40" x14ac:dyDescent="0.25">
      <c r="A130" s="397"/>
      <c r="B130" s="385" t="s">
        <v>6531</v>
      </c>
      <c r="C130" s="386" t="s">
        <v>5424</v>
      </c>
      <c r="D130" s="386">
        <v>1</v>
      </c>
      <c r="E130" s="388">
        <f>+E27</f>
        <v>481058</v>
      </c>
      <c r="F130" s="396"/>
      <c r="G130" s="172">
        <f t="shared" si="7"/>
        <v>481058</v>
      </c>
      <c r="H130" s="401"/>
      <c r="I130" s="397"/>
      <c r="J130" s="385" t="s">
        <v>6531</v>
      </c>
      <c r="K130" s="386" t="s">
        <v>5424</v>
      </c>
      <c r="L130" s="386">
        <v>1</v>
      </c>
      <c r="M130" s="388">
        <f>+E130</f>
        <v>481058</v>
      </c>
      <c r="N130" s="396"/>
      <c r="O130" s="172">
        <f t="shared" si="8"/>
        <v>481058</v>
      </c>
      <c r="P130" s="401"/>
      <c r="Q130" s="397"/>
      <c r="R130" s="385" t="s">
        <v>6531</v>
      </c>
      <c r="S130" s="386" t="s">
        <v>5424</v>
      </c>
      <c r="T130" s="386">
        <v>1</v>
      </c>
      <c r="U130" s="388">
        <f t="shared" si="12"/>
        <v>529163.80000000005</v>
      </c>
      <c r="V130" s="396"/>
      <c r="W130" s="172">
        <f t="shared" si="9"/>
        <v>529163.80000000005</v>
      </c>
      <c r="X130" s="401"/>
      <c r="Y130" s="397"/>
      <c r="Z130" s="385" t="s">
        <v>6531</v>
      </c>
      <c r="AA130" s="386" t="s">
        <v>5424</v>
      </c>
      <c r="AB130" s="386">
        <v>1</v>
      </c>
      <c r="AC130" s="388">
        <f t="shared" si="13"/>
        <v>582080.18000000005</v>
      </c>
      <c r="AD130" s="396"/>
      <c r="AE130" s="172">
        <f t="shared" si="10"/>
        <v>582080.18000000005</v>
      </c>
      <c r="AF130" s="401"/>
      <c r="AG130" s="397"/>
      <c r="AH130" s="385" t="s">
        <v>6531</v>
      </c>
      <c r="AI130" s="386" t="s">
        <v>5424</v>
      </c>
      <c r="AJ130" s="386">
        <v>1</v>
      </c>
      <c r="AK130" s="388">
        <f>+AC130*1.1</f>
        <v>640288.19800000009</v>
      </c>
      <c r="AL130" s="396"/>
      <c r="AM130" s="172">
        <f t="shared" si="11"/>
        <v>640288.19800000009</v>
      </c>
      <c r="AN130" s="401"/>
    </row>
    <row r="131" spans="1:40" x14ac:dyDescent="0.25">
      <c r="A131" s="397"/>
      <c r="B131" s="385" t="s">
        <v>6368</v>
      </c>
      <c r="C131" s="386" t="s">
        <v>5424</v>
      </c>
      <c r="D131" s="386">
        <v>2</v>
      </c>
      <c r="E131" s="388">
        <f>+E25</f>
        <v>411237</v>
      </c>
      <c r="F131" s="396"/>
      <c r="G131" s="172">
        <f t="shared" si="7"/>
        <v>822474</v>
      </c>
      <c r="H131" s="401"/>
      <c r="I131" s="397"/>
      <c r="J131" s="385" t="s">
        <v>6373</v>
      </c>
      <c r="K131" s="386" t="s">
        <v>5424</v>
      </c>
      <c r="L131" s="386">
        <v>2</v>
      </c>
      <c r="M131" s="388">
        <f>+E76</f>
        <v>634996</v>
      </c>
      <c r="N131" s="396"/>
      <c r="O131" s="172">
        <f t="shared" si="8"/>
        <v>1269992</v>
      </c>
      <c r="P131" s="401"/>
      <c r="Q131" s="397"/>
      <c r="R131" s="385" t="s">
        <v>6373</v>
      </c>
      <c r="S131" s="386" t="s">
        <v>5424</v>
      </c>
      <c r="T131" s="386">
        <v>2</v>
      </c>
      <c r="U131" s="388">
        <f t="shared" si="12"/>
        <v>698495.60000000009</v>
      </c>
      <c r="V131" s="396"/>
      <c r="W131" s="172">
        <f t="shared" si="9"/>
        <v>1396991.2000000002</v>
      </c>
      <c r="X131" s="401"/>
      <c r="Y131" s="397"/>
      <c r="Z131" s="385" t="s">
        <v>6373</v>
      </c>
      <c r="AA131" s="386" t="s">
        <v>5424</v>
      </c>
      <c r="AB131" s="386">
        <v>2</v>
      </c>
      <c r="AC131" s="388">
        <f t="shared" si="13"/>
        <v>768345.16000000015</v>
      </c>
      <c r="AD131" s="396"/>
      <c r="AE131" s="172">
        <f t="shared" si="10"/>
        <v>1536690.3200000003</v>
      </c>
      <c r="AF131" s="401"/>
      <c r="AG131" s="397"/>
      <c r="AH131" s="385" t="s">
        <v>6599</v>
      </c>
      <c r="AI131" s="386" t="s">
        <v>5424</v>
      </c>
      <c r="AJ131" s="386">
        <v>2</v>
      </c>
      <c r="AK131" s="388">
        <f>+SUM!H1948</f>
        <v>645992</v>
      </c>
      <c r="AL131" s="396"/>
      <c r="AM131" s="172">
        <f t="shared" si="11"/>
        <v>1291984</v>
      </c>
      <c r="AN131" s="401"/>
    </row>
    <row r="132" spans="1:40" x14ac:dyDescent="0.25">
      <c r="A132" s="397"/>
      <c r="B132" s="385" t="s">
        <v>6342</v>
      </c>
      <c r="C132" s="386" t="s">
        <v>5424</v>
      </c>
      <c r="D132" s="386">
        <v>4</v>
      </c>
      <c r="E132" s="605">
        <f>+'APU CAP 8'!$H$47</f>
        <v>42295</v>
      </c>
      <c r="F132" s="387"/>
      <c r="G132" s="172">
        <f t="shared" si="7"/>
        <v>169180</v>
      </c>
      <c r="H132" s="401"/>
      <c r="I132" s="397"/>
      <c r="J132" s="385" t="s">
        <v>6342</v>
      </c>
      <c r="K132" s="386" t="s">
        <v>5424</v>
      </c>
      <c r="L132" s="386">
        <v>4</v>
      </c>
      <c r="M132" s="605">
        <f>+'APU CAP 8'!$H$47</f>
        <v>42295</v>
      </c>
      <c r="N132" s="387"/>
      <c r="O132" s="172">
        <f t="shared" si="8"/>
        <v>169180</v>
      </c>
      <c r="P132" s="401"/>
      <c r="Q132" s="397"/>
      <c r="R132" s="385" t="s">
        <v>6342</v>
      </c>
      <c r="S132" s="386" t="s">
        <v>5424</v>
      </c>
      <c r="T132" s="386">
        <v>4</v>
      </c>
      <c r="U132" s="605">
        <f>+'APU CAP 8'!$H$47</f>
        <v>42295</v>
      </c>
      <c r="V132" s="387"/>
      <c r="W132" s="172">
        <f t="shared" si="9"/>
        <v>169180</v>
      </c>
      <c r="X132" s="401"/>
      <c r="Y132" s="397"/>
      <c r="Z132" s="385" t="s">
        <v>6342</v>
      </c>
      <c r="AA132" s="386" t="s">
        <v>5424</v>
      </c>
      <c r="AB132" s="386">
        <v>4</v>
      </c>
      <c r="AC132" s="605">
        <f>+'APU CAP 8'!$H$47</f>
        <v>42295</v>
      </c>
      <c r="AD132" s="387"/>
      <c r="AE132" s="172">
        <f t="shared" si="10"/>
        <v>169180</v>
      </c>
      <c r="AF132" s="401"/>
      <c r="AG132" s="397"/>
      <c r="AH132" s="385" t="s">
        <v>6342</v>
      </c>
      <c r="AI132" s="386" t="s">
        <v>5424</v>
      </c>
      <c r="AJ132" s="386">
        <v>4</v>
      </c>
      <c r="AK132" s="605">
        <f>+'APU CAP 8'!$H$47</f>
        <v>42295</v>
      </c>
      <c r="AL132" s="387"/>
      <c r="AM132" s="172">
        <f t="shared" si="11"/>
        <v>169180</v>
      </c>
      <c r="AN132" s="401"/>
    </row>
    <row r="133" spans="1:40" ht="15.75" thickBot="1" x14ac:dyDescent="0.3">
      <c r="A133" s="397"/>
      <c r="B133" s="385" t="s">
        <v>6343</v>
      </c>
      <c r="C133" s="386" t="s">
        <v>5424</v>
      </c>
      <c r="D133" s="386">
        <v>1</v>
      </c>
      <c r="E133" s="388">
        <f>+SUM!$H$2409</f>
        <v>677604</v>
      </c>
      <c r="F133" s="596"/>
      <c r="G133" s="172">
        <f t="shared" si="7"/>
        <v>677604</v>
      </c>
      <c r="H133" s="401"/>
      <c r="I133" s="397"/>
      <c r="J133" s="385" t="s">
        <v>6343</v>
      </c>
      <c r="K133" s="386" t="s">
        <v>5424</v>
      </c>
      <c r="L133" s="386">
        <v>1</v>
      </c>
      <c r="M133" s="388">
        <f>+SUM!$H$2409</f>
        <v>677604</v>
      </c>
      <c r="N133" s="596"/>
      <c r="O133" s="172">
        <f t="shared" si="8"/>
        <v>677604</v>
      </c>
      <c r="P133" s="401"/>
      <c r="Q133" s="397"/>
      <c r="R133" s="385" t="s">
        <v>6343</v>
      </c>
      <c r="S133" s="386" t="s">
        <v>5424</v>
      </c>
      <c r="T133" s="386">
        <v>1</v>
      </c>
      <c r="U133" s="388">
        <f>+SUM!$H$2409</f>
        <v>677604</v>
      </c>
      <c r="V133" s="596"/>
      <c r="W133" s="172">
        <f t="shared" si="9"/>
        <v>677604</v>
      </c>
      <c r="X133" s="401"/>
      <c r="Y133" s="397"/>
      <c r="Z133" s="385" t="s">
        <v>6343</v>
      </c>
      <c r="AA133" s="386" t="s">
        <v>5424</v>
      </c>
      <c r="AB133" s="386">
        <v>1</v>
      </c>
      <c r="AC133" s="388">
        <f>+SUM!$H$2409</f>
        <v>677604</v>
      </c>
      <c r="AD133" s="596"/>
      <c r="AE133" s="172">
        <f t="shared" si="10"/>
        <v>677604</v>
      </c>
      <c r="AF133" s="401"/>
      <c r="AG133" s="397"/>
      <c r="AH133" s="385" t="s">
        <v>6343</v>
      </c>
      <c r="AI133" s="386" t="s">
        <v>5424</v>
      </c>
      <c r="AJ133" s="386">
        <v>1</v>
      </c>
      <c r="AK133" s="388">
        <f>+SUM!$H$2409</f>
        <v>677604</v>
      </c>
      <c r="AL133" s="596"/>
      <c r="AM133" s="172">
        <f t="shared" si="11"/>
        <v>677604</v>
      </c>
      <c r="AN133" s="401"/>
    </row>
    <row r="134" spans="1:40" ht="15.75" thickBot="1" x14ac:dyDescent="0.3">
      <c r="A134" s="397"/>
      <c r="B134" s="412"/>
      <c r="C134" s="413"/>
      <c r="D134" s="413"/>
      <c r="E134" s="423"/>
      <c r="F134" s="597"/>
      <c r="G134" s="410"/>
      <c r="H134" s="416">
        <f>+SUM(G117:G134)</f>
        <v>58507990.903349996</v>
      </c>
      <c r="I134" s="397"/>
      <c r="J134" s="412"/>
      <c r="K134" s="413"/>
      <c r="L134" s="413"/>
      <c r="M134" s="423"/>
      <c r="N134" s="597"/>
      <c r="O134" s="410"/>
      <c r="P134" s="416">
        <f>+SUM(O117:O134)</f>
        <v>82731368.903349996</v>
      </c>
      <c r="Q134" s="397"/>
      <c r="R134" s="412"/>
      <c r="S134" s="413"/>
      <c r="T134" s="413"/>
      <c r="U134" s="423"/>
      <c r="V134" s="597"/>
      <c r="W134" s="410"/>
      <c r="X134" s="416">
        <f>+SUM(W117:W134)</f>
        <v>90335159.00334999</v>
      </c>
      <c r="Y134" s="397"/>
      <c r="Z134" s="412"/>
      <c r="AA134" s="413"/>
      <c r="AB134" s="413"/>
      <c r="AC134" s="423"/>
      <c r="AD134" s="597"/>
      <c r="AE134" s="410"/>
      <c r="AF134" s="416">
        <f>+SUM(AE117:AE134)</f>
        <v>98699328.113350004</v>
      </c>
      <c r="AG134" s="397"/>
      <c r="AH134" s="412"/>
      <c r="AI134" s="413"/>
      <c r="AJ134" s="413"/>
      <c r="AK134" s="423"/>
      <c r="AL134" s="597"/>
      <c r="AM134" s="410"/>
      <c r="AN134" s="416">
        <f>+SUM(AM117:AM134)</f>
        <v>81291965.679349989</v>
      </c>
    </row>
    <row r="135" spans="1:40" ht="15.75" thickBot="1" x14ac:dyDescent="0.3">
      <c r="A135" s="397"/>
      <c r="B135" s="417"/>
      <c r="C135" s="417"/>
      <c r="D135" s="417"/>
      <c r="E135" s="417"/>
      <c r="F135" s="417"/>
      <c r="G135" s="419"/>
      <c r="H135" s="420"/>
      <c r="I135" s="397"/>
      <c r="J135" s="417"/>
      <c r="K135" s="417"/>
      <c r="L135" s="417"/>
      <c r="M135" s="417"/>
      <c r="N135" s="417"/>
      <c r="O135" s="419"/>
      <c r="P135" s="420"/>
      <c r="Q135" s="397"/>
      <c r="R135" s="417"/>
      <c r="S135" s="417"/>
      <c r="T135" s="417"/>
      <c r="U135" s="417"/>
      <c r="V135" s="417"/>
      <c r="W135" s="419"/>
      <c r="X135" s="420"/>
      <c r="Y135" s="397"/>
      <c r="Z135" s="417"/>
      <c r="AA135" s="417"/>
      <c r="AB135" s="417"/>
      <c r="AC135" s="417"/>
      <c r="AD135" s="417"/>
      <c r="AE135" s="419"/>
      <c r="AF135" s="420"/>
      <c r="AG135" s="397"/>
      <c r="AH135" s="417"/>
      <c r="AI135" s="417"/>
      <c r="AJ135" s="417"/>
      <c r="AK135" s="417"/>
      <c r="AL135" s="417"/>
      <c r="AM135" s="419"/>
      <c r="AN135" s="420"/>
    </row>
    <row r="136" spans="1:40" ht="15.75" thickBot="1" x14ac:dyDescent="0.3">
      <c r="A136" s="397"/>
      <c r="B136" s="407" t="s">
        <v>5410</v>
      </c>
      <c r="C136" s="408" t="s">
        <v>867</v>
      </c>
      <c r="D136" s="408" t="s">
        <v>6</v>
      </c>
      <c r="E136" s="408" t="s">
        <v>870</v>
      </c>
      <c r="F136" s="408" t="s">
        <v>5411</v>
      </c>
      <c r="G136" s="409" t="s">
        <v>868</v>
      </c>
      <c r="H136" s="401"/>
      <c r="I136" s="397"/>
      <c r="J136" s="407" t="s">
        <v>5410</v>
      </c>
      <c r="K136" s="408" t="s">
        <v>867</v>
      </c>
      <c r="L136" s="408" t="s">
        <v>6</v>
      </c>
      <c r="M136" s="408" t="s">
        <v>870</v>
      </c>
      <c r="N136" s="408" t="s">
        <v>5411</v>
      </c>
      <c r="O136" s="409" t="s">
        <v>868</v>
      </c>
      <c r="P136" s="401"/>
      <c r="Q136" s="397"/>
      <c r="R136" s="407" t="s">
        <v>5410</v>
      </c>
      <c r="S136" s="408" t="s">
        <v>867</v>
      </c>
      <c r="T136" s="408" t="s">
        <v>6</v>
      </c>
      <c r="U136" s="408" t="s">
        <v>870</v>
      </c>
      <c r="V136" s="408" t="s">
        <v>5411</v>
      </c>
      <c r="W136" s="409" t="s">
        <v>868</v>
      </c>
      <c r="X136" s="401"/>
      <c r="Y136" s="397"/>
      <c r="Z136" s="407" t="s">
        <v>5410</v>
      </c>
      <c r="AA136" s="408" t="s">
        <v>867</v>
      </c>
      <c r="AB136" s="408" t="s">
        <v>6</v>
      </c>
      <c r="AC136" s="408" t="s">
        <v>870</v>
      </c>
      <c r="AD136" s="408" t="s">
        <v>5411</v>
      </c>
      <c r="AE136" s="409" t="s">
        <v>868</v>
      </c>
      <c r="AF136" s="401"/>
      <c r="AG136" s="397"/>
      <c r="AH136" s="407" t="s">
        <v>5410</v>
      </c>
      <c r="AI136" s="408" t="s">
        <v>867</v>
      </c>
      <c r="AJ136" s="408" t="s">
        <v>6</v>
      </c>
      <c r="AK136" s="408" t="s">
        <v>870</v>
      </c>
      <c r="AL136" s="408" t="s">
        <v>5411</v>
      </c>
      <c r="AM136" s="409" t="s">
        <v>868</v>
      </c>
      <c r="AN136" s="401"/>
    </row>
    <row r="137" spans="1:40" ht="15.75" thickBot="1" x14ac:dyDescent="0.3">
      <c r="A137" s="397"/>
      <c r="B137" s="579"/>
      <c r="C137" s="580"/>
      <c r="D137" s="580"/>
      <c r="E137" s="580"/>
      <c r="F137" s="580"/>
      <c r="G137" s="581"/>
      <c r="H137" s="401"/>
      <c r="I137" s="397"/>
      <c r="J137" s="579"/>
      <c r="K137" s="580"/>
      <c r="L137" s="580"/>
      <c r="M137" s="580"/>
      <c r="N137" s="580"/>
      <c r="O137" s="581"/>
      <c r="P137" s="401"/>
      <c r="Q137" s="397"/>
      <c r="R137" s="579"/>
      <c r="S137" s="580"/>
      <c r="T137" s="580"/>
      <c r="U137" s="580"/>
      <c r="V137" s="580"/>
      <c r="W137" s="581"/>
      <c r="X137" s="401"/>
      <c r="Y137" s="397"/>
      <c r="Z137" s="579"/>
      <c r="AA137" s="580"/>
      <c r="AB137" s="580"/>
      <c r="AC137" s="580"/>
      <c r="AD137" s="580"/>
      <c r="AE137" s="581"/>
      <c r="AF137" s="401"/>
      <c r="AG137" s="397"/>
      <c r="AH137" s="579"/>
      <c r="AI137" s="580"/>
      <c r="AJ137" s="580"/>
      <c r="AK137" s="580"/>
      <c r="AL137" s="580"/>
      <c r="AM137" s="581"/>
      <c r="AN137" s="401"/>
    </row>
    <row r="138" spans="1:40" ht="15.75" thickBot="1" x14ac:dyDescent="0.3">
      <c r="A138" s="397"/>
      <c r="B138" s="412"/>
      <c r="C138" s="414"/>
      <c r="D138" s="414"/>
      <c r="E138" s="414"/>
      <c r="F138" s="414"/>
      <c r="G138" s="415"/>
      <c r="H138" s="416">
        <f>+SUM(G138:G138)</f>
        <v>0</v>
      </c>
      <c r="I138" s="397"/>
      <c r="J138" s="412"/>
      <c r="K138" s="414"/>
      <c r="L138" s="414"/>
      <c r="M138" s="414"/>
      <c r="N138" s="414"/>
      <c r="O138" s="415"/>
      <c r="P138" s="416">
        <f>+SUM(O138:O138)</f>
        <v>0</v>
      </c>
      <c r="Q138" s="397"/>
      <c r="R138" s="412"/>
      <c r="S138" s="414"/>
      <c r="T138" s="414"/>
      <c r="U138" s="414"/>
      <c r="V138" s="414"/>
      <c r="W138" s="415"/>
      <c r="X138" s="416">
        <f>+SUM(W138:W138)</f>
        <v>0</v>
      </c>
      <c r="Y138" s="397"/>
      <c r="Z138" s="412"/>
      <c r="AA138" s="414"/>
      <c r="AB138" s="414"/>
      <c r="AC138" s="414"/>
      <c r="AD138" s="414"/>
      <c r="AE138" s="415"/>
      <c r="AF138" s="416">
        <f>+SUM(AE138:AE138)</f>
        <v>0</v>
      </c>
      <c r="AG138" s="397"/>
      <c r="AH138" s="412"/>
      <c r="AI138" s="414"/>
      <c r="AJ138" s="414"/>
      <c r="AK138" s="414"/>
      <c r="AL138" s="414"/>
      <c r="AM138" s="415"/>
      <c r="AN138" s="416">
        <f>+SUM(AM138:AM138)</f>
        <v>0</v>
      </c>
    </row>
    <row r="139" spans="1:40" ht="15.75" thickBot="1" x14ac:dyDescent="0.3">
      <c r="A139" s="397"/>
      <c r="B139" s="417"/>
      <c r="C139" s="417"/>
      <c r="D139" s="417"/>
      <c r="E139" s="417"/>
      <c r="F139" s="425"/>
      <c r="G139" s="426"/>
      <c r="H139" s="420"/>
      <c r="I139" s="397"/>
      <c r="J139" s="417"/>
      <c r="K139" s="417"/>
      <c r="L139" s="417"/>
      <c r="M139" s="417"/>
      <c r="N139" s="425"/>
      <c r="O139" s="426"/>
      <c r="P139" s="420"/>
      <c r="Q139" s="397"/>
      <c r="R139" s="417"/>
      <c r="S139" s="417"/>
      <c r="T139" s="417"/>
      <c r="U139" s="417"/>
      <c r="V139" s="425"/>
      <c r="W139" s="426"/>
      <c r="X139" s="420"/>
      <c r="Y139" s="397"/>
      <c r="Z139" s="417"/>
      <c r="AA139" s="417"/>
      <c r="AB139" s="417"/>
      <c r="AC139" s="417"/>
      <c r="AD139" s="425"/>
      <c r="AE139" s="426"/>
      <c r="AF139" s="420"/>
      <c r="AG139" s="397"/>
      <c r="AH139" s="417"/>
      <c r="AI139" s="417"/>
      <c r="AJ139" s="417"/>
      <c r="AK139" s="417"/>
      <c r="AL139" s="425"/>
      <c r="AM139" s="426"/>
      <c r="AN139" s="420"/>
    </row>
    <row r="140" spans="1:40" ht="15.75" thickBot="1" x14ac:dyDescent="0.3">
      <c r="A140" s="397"/>
      <c r="B140" s="407" t="s">
        <v>5412</v>
      </c>
      <c r="C140" s="408" t="s">
        <v>5420</v>
      </c>
      <c r="D140" s="408" t="s">
        <v>5421</v>
      </c>
      <c r="E140" s="408" t="s">
        <v>5413</v>
      </c>
      <c r="F140" s="408" t="s">
        <v>5405</v>
      </c>
      <c r="G140" s="409" t="s">
        <v>868</v>
      </c>
      <c r="H140" s="401"/>
      <c r="I140" s="397"/>
      <c r="J140" s="407" t="s">
        <v>5412</v>
      </c>
      <c r="K140" s="408" t="s">
        <v>5420</v>
      </c>
      <c r="L140" s="408" t="s">
        <v>5421</v>
      </c>
      <c r="M140" s="408" t="s">
        <v>5413</v>
      </c>
      <c r="N140" s="408" t="s">
        <v>5405</v>
      </c>
      <c r="O140" s="409" t="s">
        <v>868</v>
      </c>
      <c r="P140" s="401"/>
      <c r="Q140" s="397"/>
      <c r="R140" s="407" t="s">
        <v>5412</v>
      </c>
      <c r="S140" s="408" t="s">
        <v>5420</v>
      </c>
      <c r="T140" s="408" t="s">
        <v>5421</v>
      </c>
      <c r="U140" s="408" t="s">
        <v>5413</v>
      </c>
      <c r="V140" s="408" t="s">
        <v>5405</v>
      </c>
      <c r="W140" s="409" t="s">
        <v>868</v>
      </c>
      <c r="X140" s="401"/>
      <c r="Y140" s="397"/>
      <c r="Z140" s="407" t="s">
        <v>5412</v>
      </c>
      <c r="AA140" s="408" t="s">
        <v>5420</v>
      </c>
      <c r="AB140" s="408" t="s">
        <v>5421</v>
      </c>
      <c r="AC140" s="408" t="s">
        <v>5413</v>
      </c>
      <c r="AD140" s="408" t="s">
        <v>5405</v>
      </c>
      <c r="AE140" s="409" t="s">
        <v>868</v>
      </c>
      <c r="AF140" s="401"/>
      <c r="AG140" s="397"/>
      <c r="AH140" s="407" t="s">
        <v>5412</v>
      </c>
      <c r="AI140" s="408" t="s">
        <v>5420</v>
      </c>
      <c r="AJ140" s="408" t="s">
        <v>5421</v>
      </c>
      <c r="AK140" s="408" t="s">
        <v>5413</v>
      </c>
      <c r="AL140" s="408" t="s">
        <v>5405</v>
      </c>
      <c r="AM140" s="409" t="s">
        <v>868</v>
      </c>
      <c r="AN140" s="401"/>
    </row>
    <row r="141" spans="1:40" x14ac:dyDescent="0.25">
      <c r="A141" s="397"/>
      <c r="B141" s="381" t="s">
        <v>5948</v>
      </c>
      <c r="C141" s="345">
        <v>70000</v>
      </c>
      <c r="D141" s="384">
        <f>+C141*0.85</f>
        <v>59500</v>
      </c>
      <c r="E141" s="384">
        <f>+C141+D141</f>
        <v>129500</v>
      </c>
      <c r="F141" s="382">
        <v>2</v>
      </c>
      <c r="G141" s="410">
        <f>+E141/F141</f>
        <v>64750</v>
      </c>
      <c r="H141" s="401"/>
      <c r="I141" s="397"/>
      <c r="J141" s="381" t="s">
        <v>5948</v>
      </c>
      <c r="K141" s="345">
        <v>70000</v>
      </c>
      <c r="L141" s="384">
        <f>+K141*0.85</f>
        <v>59500</v>
      </c>
      <c r="M141" s="384">
        <f>+K141+L141</f>
        <v>129500</v>
      </c>
      <c r="N141" s="382">
        <v>1</v>
      </c>
      <c r="O141" s="410">
        <f>+M141/N141</f>
        <v>129500</v>
      </c>
      <c r="P141" s="401"/>
      <c r="Q141" s="397"/>
      <c r="R141" s="381" t="s">
        <v>5948</v>
      </c>
      <c r="S141" s="345">
        <v>70000</v>
      </c>
      <c r="T141" s="384">
        <f>+S141*0.85</f>
        <v>59500</v>
      </c>
      <c r="U141" s="384">
        <f>+S141+T141</f>
        <v>129500</v>
      </c>
      <c r="V141" s="382">
        <v>1</v>
      </c>
      <c r="W141" s="410">
        <f>+U141/V141</f>
        <v>129500</v>
      </c>
      <c r="X141" s="401"/>
      <c r="Y141" s="397"/>
      <c r="Z141" s="381" t="s">
        <v>5948</v>
      </c>
      <c r="AA141" s="345">
        <v>70000</v>
      </c>
      <c r="AB141" s="384">
        <f>+AA141*0.85</f>
        <v>59500</v>
      </c>
      <c r="AC141" s="384">
        <f>+AA141+AB141</f>
        <v>129500</v>
      </c>
      <c r="AD141" s="382">
        <v>1</v>
      </c>
      <c r="AE141" s="410">
        <f>+AC141/AD141</f>
        <v>129500</v>
      </c>
      <c r="AF141" s="401"/>
      <c r="AG141" s="397"/>
      <c r="AH141" s="381" t="s">
        <v>5948</v>
      </c>
      <c r="AI141" s="345">
        <v>70000</v>
      </c>
      <c r="AJ141" s="384">
        <f>+AI141*0.85</f>
        <v>59500</v>
      </c>
      <c r="AK141" s="384">
        <f>+AI141+AJ141</f>
        <v>129500</v>
      </c>
      <c r="AL141" s="382">
        <v>2</v>
      </c>
      <c r="AM141" s="410">
        <f>+AK141/AL141</f>
        <v>64750</v>
      </c>
      <c r="AN141" s="401"/>
    </row>
    <row r="142" spans="1:40" x14ac:dyDescent="0.25">
      <c r="A142" s="397"/>
      <c r="B142" s="385" t="s">
        <v>5949</v>
      </c>
      <c r="C142" s="345">
        <v>40000</v>
      </c>
      <c r="D142" s="384">
        <f>+C142*0.85</f>
        <v>34000</v>
      </c>
      <c r="E142" s="384">
        <f>+C142+D142</f>
        <v>74000</v>
      </c>
      <c r="F142" s="382">
        <v>0.25</v>
      </c>
      <c r="G142" s="410">
        <f>+E142/F142</f>
        <v>296000</v>
      </c>
      <c r="H142" s="401"/>
      <c r="I142" s="397"/>
      <c r="J142" s="385" t="s">
        <v>5949</v>
      </c>
      <c r="K142" s="345">
        <v>40000</v>
      </c>
      <c r="L142" s="384">
        <f>+K142*0.85</f>
        <v>34000</v>
      </c>
      <c r="M142" s="384">
        <f>+K142+L142</f>
        <v>74000</v>
      </c>
      <c r="N142" s="382">
        <v>0.2</v>
      </c>
      <c r="O142" s="410">
        <f>+M142/N142</f>
        <v>370000</v>
      </c>
      <c r="P142" s="401"/>
      <c r="Q142" s="397"/>
      <c r="R142" s="385" t="s">
        <v>5949</v>
      </c>
      <c r="S142" s="345">
        <v>40000</v>
      </c>
      <c r="T142" s="384">
        <f>+S142*0.85</f>
        <v>34000</v>
      </c>
      <c r="U142" s="384">
        <f>+S142+T142</f>
        <v>74000</v>
      </c>
      <c r="V142" s="382">
        <v>0.2</v>
      </c>
      <c r="W142" s="410">
        <f>+U142/V142</f>
        <v>370000</v>
      </c>
      <c r="X142" s="401"/>
      <c r="Y142" s="397"/>
      <c r="Z142" s="385" t="s">
        <v>5949</v>
      </c>
      <c r="AA142" s="345">
        <v>40000</v>
      </c>
      <c r="AB142" s="384">
        <f>+AA142*0.85</f>
        <v>34000</v>
      </c>
      <c r="AC142" s="384">
        <f>+AA142+AB142</f>
        <v>74000</v>
      </c>
      <c r="AD142" s="382">
        <v>0.2</v>
      </c>
      <c r="AE142" s="410">
        <f>+AC142/AD142</f>
        <v>370000</v>
      </c>
      <c r="AF142" s="401"/>
      <c r="AG142" s="397"/>
      <c r="AH142" s="385" t="s">
        <v>5949</v>
      </c>
      <c r="AI142" s="345">
        <v>40000</v>
      </c>
      <c r="AJ142" s="384">
        <f>+AI142*0.85</f>
        <v>34000</v>
      </c>
      <c r="AK142" s="384">
        <f>+AI142+AJ142</f>
        <v>74000</v>
      </c>
      <c r="AL142" s="382">
        <v>0.2</v>
      </c>
      <c r="AM142" s="410">
        <f>+AK142/AL142</f>
        <v>370000</v>
      </c>
      <c r="AN142" s="401"/>
    </row>
    <row r="143" spans="1:40" x14ac:dyDescent="0.25">
      <c r="A143" s="397"/>
      <c r="B143" s="385" t="s">
        <v>5950</v>
      </c>
      <c r="C143" s="345">
        <v>20600</v>
      </c>
      <c r="D143" s="384">
        <f>+C143*0.85</f>
        <v>17510</v>
      </c>
      <c r="E143" s="384">
        <f>+C143+D143</f>
        <v>38110</v>
      </c>
      <c r="F143" s="382">
        <v>7.0000000000000007E-2</v>
      </c>
      <c r="G143" s="410">
        <f>+E143/F143</f>
        <v>544428.57142857136</v>
      </c>
      <c r="H143" s="401"/>
      <c r="I143" s="397"/>
      <c r="J143" s="385" t="s">
        <v>5950</v>
      </c>
      <c r="K143" s="345">
        <v>20600</v>
      </c>
      <c r="L143" s="384">
        <f>+K143*0.85</f>
        <v>17510</v>
      </c>
      <c r="M143" s="384">
        <f>+K143+L143</f>
        <v>38110</v>
      </c>
      <c r="N143" s="382">
        <v>0.06</v>
      </c>
      <c r="O143" s="410">
        <f>+M143/N143</f>
        <v>635166.66666666674</v>
      </c>
      <c r="P143" s="401"/>
      <c r="Q143" s="397"/>
      <c r="R143" s="385" t="s">
        <v>5950</v>
      </c>
      <c r="S143" s="345">
        <v>20600</v>
      </c>
      <c r="T143" s="384">
        <f>+S143*0.85</f>
        <v>17510</v>
      </c>
      <c r="U143" s="384">
        <f>+S143+T143</f>
        <v>38110</v>
      </c>
      <c r="V143" s="382">
        <v>0.05</v>
      </c>
      <c r="W143" s="410">
        <f>+U143/V143</f>
        <v>762200</v>
      </c>
      <c r="X143" s="401"/>
      <c r="Y143" s="397"/>
      <c r="Z143" s="385" t="s">
        <v>5950</v>
      </c>
      <c r="AA143" s="345">
        <v>20600</v>
      </c>
      <c r="AB143" s="384">
        <f>+AA143*0.85</f>
        <v>17510</v>
      </c>
      <c r="AC143" s="384">
        <f>+AA143+AB143</f>
        <v>38110</v>
      </c>
      <c r="AD143" s="382">
        <v>0.04</v>
      </c>
      <c r="AE143" s="410">
        <f>+AC143/AD143</f>
        <v>952750</v>
      </c>
      <c r="AF143" s="401"/>
      <c r="AG143" s="397"/>
      <c r="AH143" s="385" t="s">
        <v>5950</v>
      </c>
      <c r="AI143" s="345">
        <v>20600</v>
      </c>
      <c r="AJ143" s="384">
        <f>+AI143*0.85</f>
        <v>17510</v>
      </c>
      <c r="AK143" s="384">
        <f>+AI143+AJ143</f>
        <v>38110</v>
      </c>
      <c r="AL143" s="382">
        <v>0.04</v>
      </c>
      <c r="AM143" s="410">
        <f>+AK143/AL143</f>
        <v>952750</v>
      </c>
      <c r="AN143" s="401"/>
    </row>
    <row r="144" spans="1:40" x14ac:dyDescent="0.25">
      <c r="A144" s="397"/>
      <c r="B144" s="385" t="s">
        <v>6574</v>
      </c>
      <c r="C144" s="384"/>
      <c r="D144" s="384"/>
      <c r="E144" s="384"/>
      <c r="F144" s="382"/>
      <c r="G144" s="410">
        <f>+G127*0.1</f>
        <v>4397560</v>
      </c>
      <c r="H144" s="401"/>
      <c r="I144" s="397"/>
      <c r="J144" s="385" t="s">
        <v>6574</v>
      </c>
      <c r="K144" s="384"/>
      <c r="L144" s="384"/>
      <c r="M144" s="384"/>
      <c r="N144" s="382"/>
      <c r="O144" s="410">
        <f>+O127*0.1</f>
        <v>6438000</v>
      </c>
      <c r="P144" s="401"/>
      <c r="Q144" s="397"/>
      <c r="R144" s="385" t="s">
        <v>6574</v>
      </c>
      <c r="S144" s="384"/>
      <c r="T144" s="384"/>
      <c r="U144" s="384"/>
      <c r="V144" s="382"/>
      <c r="W144" s="410">
        <f>+W127*0.1</f>
        <v>7081800</v>
      </c>
      <c r="X144" s="401"/>
      <c r="Y144" s="397"/>
      <c r="Z144" s="385" t="s">
        <v>6574</v>
      </c>
      <c r="AA144" s="384"/>
      <c r="AB144" s="384"/>
      <c r="AC144" s="384"/>
      <c r="AD144" s="382"/>
      <c r="AE144" s="410">
        <f>+AE127*0.1</f>
        <v>7789980</v>
      </c>
      <c r="AF144" s="401"/>
      <c r="AG144" s="397"/>
      <c r="AH144" s="385" t="s">
        <v>6574</v>
      </c>
      <c r="AI144" s="384"/>
      <c r="AJ144" s="384"/>
      <c r="AK144" s="384"/>
      <c r="AL144" s="382"/>
      <c r="AM144" s="410">
        <f>+AM127*0.1</f>
        <v>5496950</v>
      </c>
      <c r="AN144" s="401"/>
    </row>
    <row r="145" spans="1:40" x14ac:dyDescent="0.25">
      <c r="A145" s="397"/>
      <c r="B145" s="412"/>
      <c r="C145" s="582"/>
      <c r="D145" s="582"/>
      <c r="E145" s="582"/>
      <c r="F145" s="580"/>
      <c r="G145" s="583"/>
      <c r="H145" s="401"/>
      <c r="I145" s="397"/>
      <c r="J145" s="412"/>
      <c r="K145" s="582"/>
      <c r="L145" s="582"/>
      <c r="M145" s="582"/>
      <c r="N145" s="580"/>
      <c r="O145" s="583"/>
      <c r="P145" s="401"/>
      <c r="Q145" s="397"/>
      <c r="R145" s="412"/>
      <c r="S145" s="582"/>
      <c r="T145" s="582"/>
      <c r="U145" s="582"/>
      <c r="V145" s="580"/>
      <c r="W145" s="583"/>
      <c r="X145" s="401"/>
      <c r="Y145" s="397"/>
      <c r="Z145" s="412"/>
      <c r="AA145" s="582"/>
      <c r="AB145" s="582"/>
      <c r="AC145" s="582"/>
      <c r="AD145" s="580"/>
      <c r="AE145" s="583"/>
      <c r="AF145" s="401"/>
      <c r="AG145" s="397"/>
      <c r="AH145" s="412"/>
      <c r="AI145" s="582"/>
      <c r="AJ145" s="582"/>
      <c r="AK145" s="582"/>
      <c r="AL145" s="580"/>
      <c r="AM145" s="583"/>
      <c r="AN145" s="401"/>
    </row>
    <row r="146" spans="1:40" ht="15.75" thickBot="1" x14ac:dyDescent="0.3">
      <c r="A146" s="397"/>
      <c r="B146" s="412"/>
      <c r="C146" s="582"/>
      <c r="D146" s="582"/>
      <c r="E146" s="582"/>
      <c r="F146" s="580"/>
      <c r="G146" s="583"/>
      <c r="H146" s="401"/>
      <c r="I146" s="397"/>
      <c r="J146" s="412"/>
      <c r="K146" s="582"/>
      <c r="L146" s="582"/>
      <c r="M146" s="582"/>
      <c r="N146" s="580"/>
      <c r="O146" s="583"/>
      <c r="P146" s="401"/>
      <c r="Q146" s="397"/>
      <c r="R146" s="412"/>
      <c r="S146" s="582"/>
      <c r="T146" s="582"/>
      <c r="U146" s="582"/>
      <c r="V146" s="580"/>
      <c r="W146" s="583"/>
      <c r="X146" s="401"/>
      <c r="Y146" s="397"/>
      <c r="Z146" s="412"/>
      <c r="AA146" s="582"/>
      <c r="AB146" s="582"/>
      <c r="AC146" s="582"/>
      <c r="AD146" s="580"/>
      <c r="AE146" s="583"/>
      <c r="AF146" s="401"/>
      <c r="AG146" s="397"/>
      <c r="AH146" s="412"/>
      <c r="AI146" s="582"/>
      <c r="AJ146" s="582"/>
      <c r="AK146" s="582"/>
      <c r="AL146" s="580"/>
      <c r="AM146" s="583"/>
      <c r="AN146" s="401"/>
    </row>
    <row r="147" spans="1:40" ht="15.75" thickBot="1" x14ac:dyDescent="0.3">
      <c r="A147" s="397"/>
      <c r="B147" s="427"/>
      <c r="C147" s="428"/>
      <c r="D147" s="428"/>
      <c r="E147" s="428"/>
      <c r="F147" s="428"/>
      <c r="G147" s="429"/>
      <c r="H147" s="416">
        <f>+SUM(G141:G147)</f>
        <v>5302738.5714285709</v>
      </c>
      <c r="I147" s="397"/>
      <c r="J147" s="427"/>
      <c r="K147" s="428"/>
      <c r="L147" s="428"/>
      <c r="M147" s="428"/>
      <c r="N147" s="428"/>
      <c r="O147" s="429"/>
      <c r="P147" s="416">
        <f>+SUM(O141:O147)</f>
        <v>7572666.666666667</v>
      </c>
      <c r="Q147" s="397"/>
      <c r="R147" s="427"/>
      <c r="S147" s="428"/>
      <c r="T147" s="428"/>
      <c r="U147" s="428"/>
      <c r="V147" s="428"/>
      <c r="W147" s="429"/>
      <c r="X147" s="416">
        <f>+SUM(W141:W147)</f>
        <v>8343500</v>
      </c>
      <c r="Y147" s="397"/>
      <c r="Z147" s="427"/>
      <c r="AA147" s="428"/>
      <c r="AB147" s="428"/>
      <c r="AC147" s="428"/>
      <c r="AD147" s="428"/>
      <c r="AE147" s="429"/>
      <c r="AF147" s="416">
        <f>+SUM(AE141:AE147)</f>
        <v>9242230</v>
      </c>
      <c r="AG147" s="397"/>
      <c r="AH147" s="427"/>
      <c r="AI147" s="428"/>
      <c r="AJ147" s="428"/>
      <c r="AK147" s="428"/>
      <c r="AL147" s="428"/>
      <c r="AM147" s="429"/>
      <c r="AN147" s="416">
        <f>+SUM(AM141:AM147)</f>
        <v>6884450</v>
      </c>
    </row>
    <row r="148" spans="1:40" ht="15.75" thickBot="1" x14ac:dyDescent="0.3">
      <c r="A148" s="397"/>
      <c r="B148" s="430"/>
      <c r="C148" s="430"/>
      <c r="D148" s="430"/>
      <c r="E148" s="430"/>
      <c r="F148" s="430"/>
      <c r="G148" s="401"/>
      <c r="H148" s="401"/>
      <c r="I148" s="397"/>
      <c r="J148" s="430"/>
      <c r="K148" s="430"/>
      <c r="L148" s="430"/>
      <c r="M148" s="430"/>
      <c r="N148" s="430"/>
      <c r="O148" s="401"/>
      <c r="P148" s="401"/>
      <c r="Q148" s="397"/>
      <c r="R148" s="430"/>
      <c r="S148" s="430"/>
      <c r="T148" s="430"/>
      <c r="U148" s="430"/>
      <c r="V148" s="430"/>
      <c r="W148" s="401"/>
      <c r="X148" s="401"/>
      <c r="Y148" s="397"/>
      <c r="Z148" s="430"/>
      <c r="AA148" s="430"/>
      <c r="AB148" s="430"/>
      <c r="AC148" s="430"/>
      <c r="AD148" s="430"/>
      <c r="AE148" s="401"/>
      <c r="AF148" s="401"/>
      <c r="AG148" s="397"/>
      <c r="AH148" s="430"/>
      <c r="AI148" s="430"/>
      <c r="AJ148" s="430"/>
      <c r="AK148" s="430"/>
      <c r="AL148" s="430"/>
      <c r="AM148" s="401"/>
      <c r="AN148" s="401"/>
    </row>
    <row r="149" spans="1:40" ht="15.75" thickBot="1" x14ac:dyDescent="0.3">
      <c r="A149" s="397"/>
      <c r="B149" s="430"/>
      <c r="C149" s="430"/>
      <c r="D149" s="430"/>
      <c r="E149" s="431" t="s">
        <v>5415</v>
      </c>
      <c r="F149" s="430"/>
      <c r="G149" s="401"/>
      <c r="H149" s="416">
        <f>+ROUND(H114+H134+H138+H147,0)</f>
        <v>64075866</v>
      </c>
      <c r="I149" s="397"/>
      <c r="J149" s="430"/>
      <c r="K149" s="430"/>
      <c r="L149" s="430"/>
      <c r="M149" s="431" t="s">
        <v>5415</v>
      </c>
      <c r="N149" s="430"/>
      <c r="O149" s="401"/>
      <c r="P149" s="416">
        <f>+ROUND(P114+P134+P138+P147,0)</f>
        <v>90682669</v>
      </c>
      <c r="Q149" s="397"/>
      <c r="R149" s="430"/>
      <c r="S149" s="430"/>
      <c r="T149" s="430"/>
      <c r="U149" s="431" t="s">
        <v>5415</v>
      </c>
      <c r="V149" s="430"/>
      <c r="W149" s="401"/>
      <c r="X149" s="416">
        <f>+ROUND(X114+X134+X138+X147,0)</f>
        <v>99095834</v>
      </c>
      <c r="Y149" s="397"/>
      <c r="Z149" s="430"/>
      <c r="AA149" s="430"/>
      <c r="AB149" s="430"/>
      <c r="AC149" s="431" t="s">
        <v>5415</v>
      </c>
      <c r="AD149" s="430"/>
      <c r="AE149" s="401"/>
      <c r="AF149" s="416">
        <f>+ROUND(AF114+AF134+AF138+AF147,0)</f>
        <v>108403670</v>
      </c>
      <c r="AG149" s="397"/>
      <c r="AH149" s="430"/>
      <c r="AI149" s="430"/>
      <c r="AJ149" s="430"/>
      <c r="AK149" s="431" t="s">
        <v>5415</v>
      </c>
      <c r="AL149" s="430"/>
      <c r="AM149" s="401"/>
      <c r="AN149" s="416">
        <f>+ROUND(AN114+AN134+AN138+AN147,0)</f>
        <v>88520638</v>
      </c>
    </row>
    <row r="154" spans="1:40" x14ac:dyDescent="0.25">
      <c r="A154" s="397"/>
      <c r="B154" s="2512" t="s">
        <v>5400</v>
      </c>
      <c r="C154" s="2512"/>
      <c r="D154" s="2512"/>
      <c r="E154" s="2512"/>
      <c r="F154" s="2512"/>
      <c r="G154" s="2512"/>
      <c r="H154" s="398"/>
      <c r="I154" s="397"/>
      <c r="J154" s="2512" t="s">
        <v>5400</v>
      </c>
      <c r="K154" s="2512"/>
      <c r="L154" s="2512"/>
      <c r="M154" s="2512"/>
      <c r="N154" s="2512"/>
      <c r="O154" s="2512"/>
      <c r="P154" s="398"/>
      <c r="Q154" s="397"/>
      <c r="R154" s="2512" t="s">
        <v>5400</v>
      </c>
      <c r="S154" s="2512"/>
      <c r="T154" s="2512"/>
      <c r="U154" s="2512"/>
      <c r="V154" s="2512"/>
      <c r="W154" s="2512"/>
      <c r="X154" s="398"/>
      <c r="Y154" s="397"/>
      <c r="Z154" s="2512" t="s">
        <v>5400</v>
      </c>
      <c r="AA154" s="2512"/>
      <c r="AB154" s="2512"/>
      <c r="AC154" s="2512"/>
      <c r="AD154" s="2512"/>
      <c r="AE154" s="2512"/>
      <c r="AF154" s="398"/>
    </row>
    <row r="155" spans="1:40" x14ac:dyDescent="0.25">
      <c r="A155" s="397"/>
      <c r="B155" s="399"/>
      <c r="C155" s="399"/>
      <c r="D155" s="397"/>
      <c r="E155" s="397"/>
      <c r="F155" s="400"/>
      <c r="G155" s="401"/>
      <c r="H155" s="401"/>
      <c r="I155" s="397"/>
      <c r="J155" s="399"/>
      <c r="K155" s="399"/>
      <c r="L155" s="397"/>
      <c r="M155" s="397"/>
      <c r="N155" s="400"/>
      <c r="O155" s="401"/>
      <c r="P155" s="401"/>
      <c r="Q155" s="397"/>
      <c r="R155" s="399"/>
      <c r="S155" s="399"/>
      <c r="T155" s="397"/>
      <c r="U155" s="397"/>
      <c r="V155" s="400"/>
      <c r="W155" s="401"/>
      <c r="X155" s="401"/>
      <c r="Y155" s="397"/>
      <c r="Z155" s="399"/>
      <c r="AA155" s="399"/>
      <c r="AB155" s="397"/>
      <c r="AC155" s="397"/>
      <c r="AD155" s="400"/>
      <c r="AE155" s="401"/>
      <c r="AF155" s="401"/>
    </row>
    <row r="156" spans="1:40" ht="24.95" customHeight="1" x14ac:dyDescent="0.25">
      <c r="A156" s="593" t="s">
        <v>5952</v>
      </c>
      <c r="B156" s="594">
        <v>9.1</v>
      </c>
      <c r="C156" s="2445" t="s">
        <v>6349</v>
      </c>
      <c r="D156" s="2445"/>
      <c r="E156" s="2445"/>
      <c r="F156" s="595" t="s">
        <v>867</v>
      </c>
      <c r="G156" s="139" t="s">
        <v>5424</v>
      </c>
      <c r="H156" s="134"/>
      <c r="I156" s="593" t="s">
        <v>5952</v>
      </c>
      <c r="J156" s="594">
        <v>9.1</v>
      </c>
      <c r="K156" s="2445" t="s">
        <v>6350</v>
      </c>
      <c r="L156" s="2445"/>
      <c r="M156" s="2445"/>
      <c r="N156" s="595" t="s">
        <v>867</v>
      </c>
      <c r="O156" s="139" t="s">
        <v>5424</v>
      </c>
      <c r="P156" s="134"/>
      <c r="Q156" s="593" t="s">
        <v>5952</v>
      </c>
      <c r="R156" s="594">
        <v>9.1</v>
      </c>
      <c r="S156" s="2445" t="s">
        <v>6610</v>
      </c>
      <c r="T156" s="2445"/>
      <c r="U156" s="2445"/>
      <c r="V156" s="595" t="s">
        <v>867</v>
      </c>
      <c r="W156" s="139" t="s">
        <v>5424</v>
      </c>
      <c r="X156" s="134"/>
      <c r="Y156" s="593" t="s">
        <v>5952</v>
      </c>
      <c r="Z156" s="594">
        <v>9.1</v>
      </c>
      <c r="AA156" s="2445" t="s">
        <v>6611</v>
      </c>
      <c r="AB156" s="2445"/>
      <c r="AC156" s="2445"/>
      <c r="AD156" s="595" t="s">
        <v>867</v>
      </c>
      <c r="AE156" s="139" t="s">
        <v>5424</v>
      </c>
      <c r="AF156" s="134"/>
    </row>
    <row r="157" spans="1:40" x14ac:dyDescent="0.25">
      <c r="A157" s="404"/>
      <c r="B157" s="405"/>
      <c r="C157" s="600"/>
      <c r="D157" s="600"/>
      <c r="E157" s="600"/>
      <c r="F157" s="400"/>
      <c r="G157" s="142"/>
      <c r="H157" s="134"/>
      <c r="I157" s="404"/>
      <c r="J157" s="405"/>
      <c r="K157" s="600"/>
      <c r="L157" s="600"/>
      <c r="M157" s="600"/>
      <c r="N157" s="400"/>
      <c r="O157" s="142"/>
      <c r="P157" s="134"/>
      <c r="Q157" s="404"/>
      <c r="R157" s="405"/>
      <c r="S157" s="600"/>
      <c r="T157" s="600"/>
      <c r="U157" s="600"/>
      <c r="V157" s="400"/>
      <c r="W157" s="142"/>
      <c r="X157" s="134"/>
      <c r="Y157" s="404"/>
      <c r="Z157" s="405"/>
      <c r="AA157" s="623"/>
      <c r="AB157" s="623"/>
      <c r="AC157" s="623"/>
      <c r="AD157" s="400"/>
      <c r="AE157" s="142"/>
      <c r="AF157" s="134"/>
    </row>
    <row r="158" spans="1:40" ht="15.75" thickBot="1" x14ac:dyDescent="0.3">
      <c r="A158" s="397"/>
      <c r="B158" s="397"/>
      <c r="C158" s="397"/>
      <c r="D158" s="397"/>
      <c r="E158" s="397"/>
      <c r="F158" s="400"/>
      <c r="G158" s="401"/>
      <c r="H158" s="401"/>
      <c r="I158" s="397"/>
      <c r="J158" s="397"/>
      <c r="K158" s="397"/>
      <c r="L158" s="397"/>
      <c r="M158" s="397"/>
      <c r="N158" s="400"/>
      <c r="O158" s="401"/>
      <c r="P158" s="401"/>
      <c r="Q158" s="397"/>
      <c r="R158" s="397"/>
      <c r="S158" s="397"/>
      <c r="T158" s="397"/>
      <c r="U158" s="397"/>
      <c r="V158" s="400"/>
      <c r="W158" s="401"/>
      <c r="X158" s="401"/>
      <c r="Y158" s="397"/>
      <c r="Z158" s="397"/>
      <c r="AA158" s="397"/>
      <c r="AB158" s="397"/>
      <c r="AC158" s="397"/>
      <c r="AD158" s="400"/>
      <c r="AE158" s="401"/>
      <c r="AF158" s="401"/>
    </row>
    <row r="159" spans="1:40" ht="15.75" thickBot="1" x14ac:dyDescent="0.3">
      <c r="A159" s="397"/>
      <c r="B159" s="407" t="s">
        <v>5403</v>
      </c>
      <c r="C159" s="408" t="s">
        <v>867</v>
      </c>
      <c r="D159" s="408" t="s">
        <v>6</v>
      </c>
      <c r="E159" s="408" t="s">
        <v>5439</v>
      </c>
      <c r="F159" s="408" t="s">
        <v>5405</v>
      </c>
      <c r="G159" s="409" t="s">
        <v>868</v>
      </c>
      <c r="H159" s="401"/>
      <c r="I159" s="397"/>
      <c r="J159" s="407" t="s">
        <v>5403</v>
      </c>
      <c r="K159" s="408" t="s">
        <v>867</v>
      </c>
      <c r="L159" s="408" t="s">
        <v>6</v>
      </c>
      <c r="M159" s="408" t="s">
        <v>5439</v>
      </c>
      <c r="N159" s="408" t="s">
        <v>5405</v>
      </c>
      <c r="O159" s="409" t="s">
        <v>868</v>
      </c>
      <c r="P159" s="401"/>
      <c r="Q159" s="397"/>
      <c r="R159" s="407" t="s">
        <v>5403</v>
      </c>
      <c r="S159" s="408" t="s">
        <v>867</v>
      </c>
      <c r="T159" s="408" t="s">
        <v>6</v>
      </c>
      <c r="U159" s="408" t="s">
        <v>5439</v>
      </c>
      <c r="V159" s="408" t="s">
        <v>5405</v>
      </c>
      <c r="W159" s="409" t="s">
        <v>868</v>
      </c>
      <c r="X159" s="401"/>
      <c r="Y159" s="397"/>
      <c r="Z159" s="407" t="s">
        <v>5403</v>
      </c>
      <c r="AA159" s="408" t="s">
        <v>867</v>
      </c>
      <c r="AB159" s="408" t="s">
        <v>6</v>
      </c>
      <c r="AC159" s="408" t="s">
        <v>5439</v>
      </c>
      <c r="AD159" s="408" t="s">
        <v>5405</v>
      </c>
      <c r="AE159" s="409" t="s">
        <v>868</v>
      </c>
      <c r="AF159" s="401"/>
    </row>
    <row r="160" spans="1:40" x14ac:dyDescent="0.25">
      <c r="A160" s="397"/>
      <c r="B160" s="381" t="s">
        <v>5934</v>
      </c>
      <c r="C160" s="382"/>
      <c r="D160" s="383"/>
      <c r="E160" s="384"/>
      <c r="F160" s="383"/>
      <c r="G160" s="410">
        <f>0.05*H197</f>
        <v>37092.5</v>
      </c>
      <c r="H160" s="401"/>
      <c r="I160" s="397"/>
      <c r="J160" s="381" t="s">
        <v>5934</v>
      </c>
      <c r="K160" s="382"/>
      <c r="L160" s="383"/>
      <c r="M160" s="384"/>
      <c r="N160" s="383"/>
      <c r="O160" s="410">
        <f>0.05*P197</f>
        <v>37092.5</v>
      </c>
      <c r="P160" s="401"/>
      <c r="Q160" s="397"/>
      <c r="R160" s="381" t="s">
        <v>5934</v>
      </c>
      <c r="S160" s="382"/>
      <c r="T160" s="383"/>
      <c r="U160" s="384"/>
      <c r="V160" s="383"/>
      <c r="W160" s="410">
        <f>0.05*X197</f>
        <v>37092.5</v>
      </c>
      <c r="X160" s="401"/>
      <c r="Y160" s="397"/>
      <c r="Z160" s="381" t="s">
        <v>5934</v>
      </c>
      <c r="AA160" s="382"/>
      <c r="AB160" s="383"/>
      <c r="AC160" s="384"/>
      <c r="AD160" s="383"/>
      <c r="AE160" s="410">
        <f>0.05*AF197</f>
        <v>37092.5</v>
      </c>
      <c r="AF160" s="401"/>
    </row>
    <row r="161" spans="1:32" x14ac:dyDescent="0.25">
      <c r="A161" s="397"/>
      <c r="B161" s="385"/>
      <c r="C161" s="386"/>
      <c r="D161" s="387"/>
      <c r="E161" s="388"/>
      <c r="F161" s="387"/>
      <c r="G161" s="411"/>
      <c r="H161" s="401"/>
      <c r="I161" s="397"/>
      <c r="J161" s="385"/>
      <c r="K161" s="386"/>
      <c r="L161" s="387"/>
      <c r="M161" s="388"/>
      <c r="N161" s="387"/>
      <c r="O161" s="411"/>
      <c r="P161" s="401"/>
      <c r="Q161" s="397"/>
      <c r="R161" s="385"/>
      <c r="S161" s="386"/>
      <c r="T161" s="387"/>
      <c r="U161" s="388"/>
      <c r="V161" s="387"/>
      <c r="W161" s="411"/>
      <c r="X161" s="401"/>
      <c r="Y161" s="397"/>
      <c r="Z161" s="385"/>
      <c r="AA161" s="386"/>
      <c r="AB161" s="387"/>
      <c r="AC161" s="388"/>
      <c r="AD161" s="387"/>
      <c r="AE161" s="411"/>
      <c r="AF161" s="401"/>
    </row>
    <row r="162" spans="1:32" x14ac:dyDescent="0.25">
      <c r="A162" s="397"/>
      <c r="B162" s="385"/>
      <c r="C162" s="386"/>
      <c r="D162" s="387"/>
      <c r="E162" s="388"/>
      <c r="F162" s="387"/>
      <c r="G162" s="411"/>
      <c r="H162" s="401"/>
      <c r="I162" s="397"/>
      <c r="J162" s="385"/>
      <c r="K162" s="386"/>
      <c r="L162" s="387"/>
      <c r="M162" s="388"/>
      <c r="N162" s="387"/>
      <c r="O162" s="411"/>
      <c r="P162" s="401"/>
      <c r="Q162" s="397"/>
      <c r="R162" s="385"/>
      <c r="S162" s="386"/>
      <c r="T162" s="387"/>
      <c r="U162" s="388"/>
      <c r="V162" s="387"/>
      <c r="W162" s="411"/>
      <c r="X162" s="401"/>
      <c r="Y162" s="397"/>
      <c r="Z162" s="385"/>
      <c r="AA162" s="386"/>
      <c r="AB162" s="387"/>
      <c r="AC162" s="388"/>
      <c r="AD162" s="387"/>
      <c r="AE162" s="411"/>
      <c r="AF162" s="401"/>
    </row>
    <row r="163" spans="1:32" x14ac:dyDescent="0.25">
      <c r="A163" s="397"/>
      <c r="B163" s="385"/>
      <c r="C163" s="386"/>
      <c r="D163" s="387"/>
      <c r="E163" s="388"/>
      <c r="F163" s="387"/>
      <c r="G163" s="411"/>
      <c r="H163" s="401"/>
      <c r="I163" s="397"/>
      <c r="J163" s="385"/>
      <c r="K163" s="386"/>
      <c r="L163" s="387"/>
      <c r="M163" s="388"/>
      <c r="N163" s="387"/>
      <c r="O163" s="411"/>
      <c r="P163" s="401"/>
      <c r="Q163" s="397"/>
      <c r="R163" s="385"/>
      <c r="S163" s="386"/>
      <c r="T163" s="387"/>
      <c r="U163" s="388"/>
      <c r="V163" s="387"/>
      <c r="W163" s="411"/>
      <c r="X163" s="401"/>
      <c r="Y163" s="397"/>
      <c r="Z163" s="385"/>
      <c r="AA163" s="386"/>
      <c r="AB163" s="387"/>
      <c r="AC163" s="388"/>
      <c r="AD163" s="387"/>
      <c r="AE163" s="411"/>
      <c r="AF163" s="401"/>
    </row>
    <row r="164" spans="1:32" x14ac:dyDescent="0.25">
      <c r="A164" s="397"/>
      <c r="B164" s="385"/>
      <c r="C164" s="386"/>
      <c r="D164" s="387"/>
      <c r="E164" s="388"/>
      <c r="F164" s="387"/>
      <c r="G164" s="411"/>
      <c r="H164" s="401"/>
      <c r="I164" s="397"/>
      <c r="J164" s="385"/>
      <c r="K164" s="386"/>
      <c r="L164" s="387"/>
      <c r="M164" s="388"/>
      <c r="N164" s="387"/>
      <c r="O164" s="411"/>
      <c r="P164" s="401"/>
      <c r="Q164" s="397"/>
      <c r="R164" s="385"/>
      <c r="S164" s="386"/>
      <c r="T164" s="387"/>
      <c r="U164" s="388"/>
      <c r="V164" s="387"/>
      <c r="W164" s="411"/>
      <c r="X164" s="401"/>
      <c r="Y164" s="397"/>
      <c r="Z164" s="385"/>
      <c r="AA164" s="386"/>
      <c r="AB164" s="387"/>
      <c r="AC164" s="388"/>
      <c r="AD164" s="387"/>
      <c r="AE164" s="411"/>
      <c r="AF164" s="401"/>
    </row>
    <row r="165" spans="1:32" ht="15.75" thickBot="1" x14ac:dyDescent="0.3">
      <c r="A165" s="397"/>
      <c r="B165" s="385"/>
      <c r="C165" s="386"/>
      <c r="D165" s="387"/>
      <c r="E165" s="387"/>
      <c r="F165" s="387"/>
      <c r="G165" s="411"/>
      <c r="H165" s="401"/>
      <c r="I165" s="397"/>
      <c r="J165" s="385"/>
      <c r="K165" s="386"/>
      <c r="L165" s="387"/>
      <c r="M165" s="387"/>
      <c r="N165" s="387"/>
      <c r="O165" s="411"/>
      <c r="P165" s="401"/>
      <c r="Q165" s="397"/>
      <c r="R165" s="385"/>
      <c r="S165" s="386"/>
      <c r="T165" s="387"/>
      <c r="U165" s="387"/>
      <c r="V165" s="387"/>
      <c r="W165" s="411"/>
      <c r="X165" s="401"/>
      <c r="Y165" s="397"/>
      <c r="Z165" s="385"/>
      <c r="AA165" s="386"/>
      <c r="AB165" s="387"/>
      <c r="AC165" s="387"/>
      <c r="AD165" s="387"/>
      <c r="AE165" s="411"/>
      <c r="AF165" s="401"/>
    </row>
    <row r="166" spans="1:32" ht="15.75" thickBot="1" x14ac:dyDescent="0.3">
      <c r="A166" s="397"/>
      <c r="B166" s="412"/>
      <c r="C166" s="413"/>
      <c r="D166" s="414"/>
      <c r="E166" s="414"/>
      <c r="F166" s="414"/>
      <c r="G166" s="415"/>
      <c r="H166" s="416">
        <f>+SUM(G160:G166)</f>
        <v>37092.5</v>
      </c>
      <c r="I166" s="397"/>
      <c r="J166" s="412"/>
      <c r="K166" s="413"/>
      <c r="L166" s="414"/>
      <c r="M166" s="414"/>
      <c r="N166" s="414"/>
      <c r="O166" s="415"/>
      <c r="P166" s="416">
        <f>+SUM(O160:O166)</f>
        <v>37092.5</v>
      </c>
      <c r="Q166" s="397"/>
      <c r="R166" s="412"/>
      <c r="S166" s="413"/>
      <c r="T166" s="414"/>
      <c r="U166" s="414"/>
      <c r="V166" s="414"/>
      <c r="W166" s="415"/>
      <c r="X166" s="416">
        <f>+SUM(W160:W166)</f>
        <v>37092.5</v>
      </c>
      <c r="Y166" s="397"/>
      <c r="Z166" s="412"/>
      <c r="AA166" s="413"/>
      <c r="AB166" s="414"/>
      <c r="AC166" s="414"/>
      <c r="AD166" s="414"/>
      <c r="AE166" s="415"/>
      <c r="AF166" s="416">
        <f>+SUM(AE160:AE166)</f>
        <v>37092.5</v>
      </c>
    </row>
    <row r="167" spans="1:32" ht="15.75" thickBot="1" x14ac:dyDescent="0.3">
      <c r="A167" s="397"/>
      <c r="B167" s="417"/>
      <c r="C167" s="418"/>
      <c r="D167" s="417"/>
      <c r="E167" s="417"/>
      <c r="F167" s="417"/>
      <c r="G167" s="419"/>
      <c r="H167" s="420"/>
      <c r="I167" s="397"/>
      <c r="J167" s="417"/>
      <c r="K167" s="418"/>
      <c r="L167" s="417"/>
      <c r="M167" s="417"/>
      <c r="N167" s="417"/>
      <c r="O167" s="419"/>
      <c r="P167" s="420"/>
      <c r="Q167" s="397"/>
      <c r="R167" s="417"/>
      <c r="S167" s="418"/>
      <c r="T167" s="417"/>
      <c r="U167" s="417"/>
      <c r="V167" s="417"/>
      <c r="W167" s="419"/>
      <c r="X167" s="420"/>
      <c r="Y167" s="397"/>
      <c r="Z167" s="417"/>
      <c r="AA167" s="418"/>
      <c r="AB167" s="417"/>
      <c r="AC167" s="417"/>
      <c r="AD167" s="417"/>
      <c r="AE167" s="419"/>
      <c r="AF167" s="420"/>
    </row>
    <row r="168" spans="1:32" ht="15.75" thickBot="1" x14ac:dyDescent="0.3">
      <c r="A168" s="397"/>
      <c r="B168" s="407" t="s">
        <v>5408</v>
      </c>
      <c r="C168" s="408" t="s">
        <v>867</v>
      </c>
      <c r="D168" s="408" t="s">
        <v>6</v>
      </c>
      <c r="E168" s="408" t="s">
        <v>870</v>
      </c>
      <c r="F168" s="408" t="s">
        <v>5409</v>
      </c>
      <c r="G168" s="409" t="s">
        <v>868</v>
      </c>
      <c r="H168" s="401"/>
      <c r="I168" s="397"/>
      <c r="J168" s="407" t="s">
        <v>5408</v>
      </c>
      <c r="K168" s="408" t="s">
        <v>867</v>
      </c>
      <c r="L168" s="408" t="s">
        <v>6</v>
      </c>
      <c r="M168" s="408" t="s">
        <v>870</v>
      </c>
      <c r="N168" s="408" t="s">
        <v>5409</v>
      </c>
      <c r="O168" s="409" t="s">
        <v>868</v>
      </c>
      <c r="P168" s="401"/>
      <c r="Q168" s="397"/>
      <c r="R168" s="407" t="s">
        <v>5408</v>
      </c>
      <c r="S168" s="408" t="s">
        <v>867</v>
      </c>
      <c r="T168" s="408" t="s">
        <v>6</v>
      </c>
      <c r="U168" s="408" t="s">
        <v>870</v>
      </c>
      <c r="V168" s="408" t="s">
        <v>5409</v>
      </c>
      <c r="W168" s="409" t="s">
        <v>868</v>
      </c>
      <c r="X168" s="401"/>
      <c r="Y168" s="397"/>
      <c r="Z168" s="407" t="s">
        <v>5408</v>
      </c>
      <c r="AA168" s="408" t="s">
        <v>867</v>
      </c>
      <c r="AB168" s="408" t="s">
        <v>6</v>
      </c>
      <c r="AC168" s="408" t="s">
        <v>870</v>
      </c>
      <c r="AD168" s="408" t="s">
        <v>5409</v>
      </c>
      <c r="AE168" s="409" t="s">
        <v>868</v>
      </c>
      <c r="AF168" s="401"/>
    </row>
    <row r="169" spans="1:32" x14ac:dyDescent="0.25">
      <c r="A169" s="397"/>
      <c r="B169" s="389" t="s">
        <v>6337</v>
      </c>
      <c r="C169" s="212" t="s">
        <v>6421</v>
      </c>
      <c r="D169" s="211">
        <v>9.5</v>
      </c>
      <c r="E169" s="345">
        <f>+'APU CAP 1-2'!$H$1150</f>
        <v>22263</v>
      </c>
      <c r="F169" s="169">
        <v>0.05</v>
      </c>
      <c r="G169" s="172">
        <f>+D169*E169*(1+F169)</f>
        <v>222073.42500000002</v>
      </c>
      <c r="H169" s="401"/>
      <c r="I169" s="397"/>
      <c r="J169" s="389" t="s">
        <v>6337</v>
      </c>
      <c r="K169" s="212" t="s">
        <v>6421</v>
      </c>
      <c r="L169" s="211">
        <v>9.5</v>
      </c>
      <c r="M169" s="345">
        <f>+'APU CAP 1-2'!$H$1150</f>
        <v>22263</v>
      </c>
      <c r="N169" s="169">
        <v>0.05</v>
      </c>
      <c r="O169" s="172">
        <f>+L169*M169*(1+N169)</f>
        <v>222073.42500000002</v>
      </c>
      <c r="P169" s="401"/>
      <c r="Q169" s="397"/>
      <c r="R169" s="389" t="s">
        <v>6337</v>
      </c>
      <c r="S169" s="212" t="s">
        <v>6421</v>
      </c>
      <c r="T169" s="211">
        <v>9.5</v>
      </c>
      <c r="U169" s="345">
        <f>+'APU CAP 1-2'!$H$1150</f>
        <v>22263</v>
      </c>
      <c r="V169" s="169">
        <v>0.05</v>
      </c>
      <c r="W169" s="172">
        <f>+T169*U169*(1+V169)</f>
        <v>222073.42500000002</v>
      </c>
      <c r="X169" s="401"/>
      <c r="Y169" s="397"/>
      <c r="Z169" s="389" t="s">
        <v>6337</v>
      </c>
      <c r="AA169" s="212" t="s">
        <v>6421</v>
      </c>
      <c r="AB169" s="211">
        <v>9.5</v>
      </c>
      <c r="AC169" s="345">
        <f>+'APU CAP 1-2'!$H$1150</f>
        <v>22263</v>
      </c>
      <c r="AD169" s="169">
        <v>0.05</v>
      </c>
      <c r="AE169" s="172">
        <f>+AB169*AC169*(1+AD169)</f>
        <v>222073.42500000002</v>
      </c>
      <c r="AF169" s="401"/>
    </row>
    <row r="170" spans="1:32" x14ac:dyDescent="0.25">
      <c r="A170" s="397"/>
      <c r="B170" s="391" t="s">
        <v>6345</v>
      </c>
      <c r="C170" s="212" t="s">
        <v>6421</v>
      </c>
      <c r="D170" s="212">
        <f>2.4*1.8*0.05</f>
        <v>0.21600000000000003</v>
      </c>
      <c r="E170" s="346">
        <f>+'APU CAP 5'!$H$160</f>
        <v>301336.95833333331</v>
      </c>
      <c r="F170" s="169">
        <v>0.05</v>
      </c>
      <c r="G170" s="172">
        <f t="shared" ref="G170:G183" si="14">+D170*E170*(1+F170)</f>
        <v>68343.222150000001</v>
      </c>
      <c r="H170" s="401"/>
      <c r="I170" s="397"/>
      <c r="J170" s="391" t="s">
        <v>6345</v>
      </c>
      <c r="K170" s="212" t="s">
        <v>6421</v>
      </c>
      <c r="L170" s="212">
        <f>2.4*1.8*0.05</f>
        <v>0.21600000000000003</v>
      </c>
      <c r="M170" s="346">
        <f>+'APU CAP 5'!$H$160</f>
        <v>301336.95833333331</v>
      </c>
      <c r="N170" s="169">
        <v>0.05</v>
      </c>
      <c r="O170" s="172">
        <f t="shared" ref="O170:O183" si="15">+L170*M170*(1+N170)</f>
        <v>68343.222150000001</v>
      </c>
      <c r="P170" s="401"/>
      <c r="Q170" s="397"/>
      <c r="R170" s="391" t="s">
        <v>6345</v>
      </c>
      <c r="S170" s="212" t="s">
        <v>6421</v>
      </c>
      <c r="T170" s="212">
        <f>2.4*1.8*0.05</f>
        <v>0.21600000000000003</v>
      </c>
      <c r="U170" s="346">
        <f>+'APU CAP 5'!$H$160</f>
        <v>301336.95833333331</v>
      </c>
      <c r="V170" s="169">
        <v>0.05</v>
      </c>
      <c r="W170" s="172">
        <f t="shared" ref="W170:W183" si="16">+T170*U170*(1+V170)</f>
        <v>68343.222150000001</v>
      </c>
      <c r="X170" s="401"/>
      <c r="Y170" s="397"/>
      <c r="Z170" s="391" t="s">
        <v>6345</v>
      </c>
      <c r="AA170" s="212" t="s">
        <v>6421</v>
      </c>
      <c r="AB170" s="212">
        <f>2.4*1.8*0.05</f>
        <v>0.21600000000000003</v>
      </c>
      <c r="AC170" s="346">
        <f>+'APU CAP 5'!$H$160</f>
        <v>301336.95833333331</v>
      </c>
      <c r="AD170" s="169">
        <v>0.05</v>
      </c>
      <c r="AE170" s="172">
        <f t="shared" ref="AE170:AE183" si="17">+AB170*AC170*(1+AD170)</f>
        <v>68343.222150000001</v>
      </c>
      <c r="AF170" s="401"/>
    </row>
    <row r="171" spans="1:32" x14ac:dyDescent="0.25">
      <c r="A171" s="397"/>
      <c r="B171" s="385" t="s">
        <v>6338</v>
      </c>
      <c r="C171" s="212" t="s">
        <v>6421</v>
      </c>
      <c r="D171" s="386">
        <f>2.4*1.8*0.2</f>
        <v>0.8640000000000001</v>
      </c>
      <c r="E171" s="384">
        <f>+'APU CAP 5'!$H$538</f>
        <v>554067</v>
      </c>
      <c r="F171" s="169">
        <v>0.05</v>
      </c>
      <c r="G171" s="172">
        <f t="shared" si="14"/>
        <v>502649.58240000007</v>
      </c>
      <c r="H171" s="401"/>
      <c r="I171" s="397"/>
      <c r="J171" s="385" t="s">
        <v>6338</v>
      </c>
      <c r="K171" s="212" t="s">
        <v>6421</v>
      </c>
      <c r="L171" s="386">
        <f>2.4*1.8*0.2</f>
        <v>0.8640000000000001</v>
      </c>
      <c r="M171" s="384">
        <f>+'APU CAP 5'!$H$538</f>
        <v>554067</v>
      </c>
      <c r="N171" s="169">
        <v>0.05</v>
      </c>
      <c r="O171" s="172">
        <f t="shared" si="15"/>
        <v>502649.58240000007</v>
      </c>
      <c r="P171" s="401"/>
      <c r="Q171" s="397"/>
      <c r="R171" s="385" t="s">
        <v>6338</v>
      </c>
      <c r="S171" s="212" t="s">
        <v>6421</v>
      </c>
      <c r="T171" s="386">
        <f>2.4*1.8*0.2</f>
        <v>0.8640000000000001</v>
      </c>
      <c r="U171" s="384">
        <f>+'APU CAP 5'!$H$538</f>
        <v>554067</v>
      </c>
      <c r="V171" s="169">
        <v>0.05</v>
      </c>
      <c r="W171" s="172">
        <f t="shared" si="16"/>
        <v>502649.58240000007</v>
      </c>
      <c r="X171" s="401"/>
      <c r="Y171" s="397"/>
      <c r="Z171" s="385" t="s">
        <v>6338</v>
      </c>
      <c r="AA171" s="212" t="s">
        <v>6421</v>
      </c>
      <c r="AB171" s="386">
        <f>2.4*1.8*0.2</f>
        <v>0.8640000000000001</v>
      </c>
      <c r="AC171" s="384">
        <f>+'APU CAP 5'!$H$538</f>
        <v>554067</v>
      </c>
      <c r="AD171" s="169">
        <v>0.05</v>
      </c>
      <c r="AE171" s="172">
        <f t="shared" si="17"/>
        <v>502649.58240000007</v>
      </c>
      <c r="AF171" s="401"/>
    </row>
    <row r="172" spans="1:32" x14ac:dyDescent="0.25">
      <c r="A172" s="404"/>
      <c r="B172" s="385" t="s">
        <v>6339</v>
      </c>
      <c r="C172" s="212" t="s">
        <v>6421</v>
      </c>
      <c r="D172" s="212">
        <f>7.6*1.7*0.2+0.8</f>
        <v>3.3840000000000003</v>
      </c>
      <c r="E172" s="395">
        <f>+'APU CAP 5'!$P$538</f>
        <v>669769.71428571432</v>
      </c>
      <c r="F172" s="169">
        <v>0.05</v>
      </c>
      <c r="G172" s="172">
        <f t="shared" si="14"/>
        <v>2379825.7488000002</v>
      </c>
      <c r="H172" s="134"/>
      <c r="I172" s="404"/>
      <c r="J172" s="385" t="s">
        <v>6339</v>
      </c>
      <c r="K172" s="212" t="s">
        <v>6421</v>
      </c>
      <c r="L172" s="212">
        <f>7.6*1.7*0.2+0.8</f>
        <v>3.3840000000000003</v>
      </c>
      <c r="M172" s="395">
        <f>+'APU CAP 5'!$P$538</f>
        <v>669769.71428571432</v>
      </c>
      <c r="N172" s="169">
        <v>0.05</v>
      </c>
      <c r="O172" s="172">
        <f t="shared" si="15"/>
        <v>2379825.7488000002</v>
      </c>
      <c r="P172" s="134"/>
      <c r="Q172" s="404"/>
      <c r="R172" s="385" t="s">
        <v>6339</v>
      </c>
      <c r="S172" s="212" t="s">
        <v>6421</v>
      </c>
      <c r="T172" s="212">
        <f>7.6*1.7*0.2+0.8</f>
        <v>3.3840000000000003</v>
      </c>
      <c r="U172" s="395">
        <f>+'APU CAP 5'!$P$538</f>
        <v>669769.71428571432</v>
      </c>
      <c r="V172" s="169">
        <v>0.05</v>
      </c>
      <c r="W172" s="172">
        <f t="shared" si="16"/>
        <v>2379825.7488000002</v>
      </c>
      <c r="X172" s="134"/>
      <c r="Y172" s="404"/>
      <c r="Z172" s="385" t="s">
        <v>6339</v>
      </c>
      <c r="AA172" s="212" t="s">
        <v>6421</v>
      </c>
      <c r="AB172" s="212">
        <f>7.6*1.7*0.2+0.8</f>
        <v>3.3840000000000003</v>
      </c>
      <c r="AC172" s="395">
        <f>+'APU CAP 5'!$P$538</f>
        <v>669769.71428571432</v>
      </c>
      <c r="AD172" s="169">
        <v>0.05</v>
      </c>
      <c r="AE172" s="172">
        <f t="shared" si="17"/>
        <v>2379825.7488000002</v>
      </c>
      <c r="AF172" s="134"/>
    </row>
    <row r="173" spans="1:32" x14ac:dyDescent="0.25">
      <c r="A173" s="397"/>
      <c r="B173" s="385" t="s">
        <v>5741</v>
      </c>
      <c r="C173" s="212" t="s">
        <v>5550</v>
      </c>
      <c r="D173" s="386">
        <f>4.25*150</f>
        <v>637.5</v>
      </c>
      <c r="E173" s="384">
        <f>+'APU CAP 5'!$H$970</f>
        <v>3455</v>
      </c>
      <c r="F173" s="169">
        <v>0.05</v>
      </c>
      <c r="G173" s="172">
        <f t="shared" si="14"/>
        <v>2312690.625</v>
      </c>
      <c r="H173" s="401"/>
      <c r="I173" s="397"/>
      <c r="J173" s="385" t="s">
        <v>5741</v>
      </c>
      <c r="K173" s="212" t="s">
        <v>5550</v>
      </c>
      <c r="L173" s="386">
        <f>4.25*150</f>
        <v>637.5</v>
      </c>
      <c r="M173" s="384">
        <f>+'APU CAP 5'!$H$970</f>
        <v>3455</v>
      </c>
      <c r="N173" s="169">
        <v>0.05</v>
      </c>
      <c r="O173" s="172">
        <f t="shared" si="15"/>
        <v>2312690.625</v>
      </c>
      <c r="P173" s="401"/>
      <c r="Q173" s="397"/>
      <c r="R173" s="385" t="s">
        <v>5741</v>
      </c>
      <c r="S173" s="212" t="s">
        <v>5550</v>
      </c>
      <c r="T173" s="386">
        <f>4.25*150</f>
        <v>637.5</v>
      </c>
      <c r="U173" s="384">
        <f>+'APU CAP 5'!$H$970</f>
        <v>3455</v>
      </c>
      <c r="V173" s="169">
        <v>0.05</v>
      </c>
      <c r="W173" s="172">
        <f t="shared" si="16"/>
        <v>2312690.625</v>
      </c>
      <c r="X173" s="401"/>
      <c r="Y173" s="397"/>
      <c r="Z173" s="385" t="s">
        <v>5741</v>
      </c>
      <c r="AA173" s="212" t="s">
        <v>5550</v>
      </c>
      <c r="AB173" s="386">
        <f>4.25*150</f>
        <v>637.5</v>
      </c>
      <c r="AC173" s="384">
        <f>+'APU CAP 5'!$H$970</f>
        <v>3455</v>
      </c>
      <c r="AD173" s="169">
        <v>0.05</v>
      </c>
      <c r="AE173" s="172">
        <f t="shared" si="17"/>
        <v>2312690.625</v>
      </c>
      <c r="AF173" s="401"/>
    </row>
    <row r="174" spans="1:32" x14ac:dyDescent="0.25">
      <c r="A174" s="397"/>
      <c r="B174" s="385" t="s">
        <v>5750</v>
      </c>
      <c r="C174" s="212" t="s">
        <v>5550</v>
      </c>
      <c r="D174" s="386">
        <v>8</v>
      </c>
      <c r="E174" s="421">
        <f>+'APU CAP 5'!$H$1078</f>
        <v>8894</v>
      </c>
      <c r="F174" s="169">
        <v>0.05</v>
      </c>
      <c r="G174" s="172">
        <f t="shared" si="14"/>
        <v>74709.600000000006</v>
      </c>
      <c r="H174" s="401"/>
      <c r="I174" s="397"/>
      <c r="J174" s="385" t="s">
        <v>5750</v>
      </c>
      <c r="K174" s="212" t="s">
        <v>5550</v>
      </c>
      <c r="L174" s="386">
        <v>8</v>
      </c>
      <c r="M174" s="421">
        <f>+'APU CAP 5'!$H$1078</f>
        <v>8894</v>
      </c>
      <c r="N174" s="169">
        <v>0.05</v>
      </c>
      <c r="O174" s="172">
        <f t="shared" si="15"/>
        <v>74709.600000000006</v>
      </c>
      <c r="P174" s="401"/>
      <c r="Q174" s="397"/>
      <c r="R174" s="385" t="s">
        <v>5750</v>
      </c>
      <c r="S174" s="212" t="s">
        <v>5550</v>
      </c>
      <c r="T174" s="386">
        <v>8</v>
      </c>
      <c r="U174" s="421">
        <f>+'APU CAP 5'!$H$1078</f>
        <v>8894</v>
      </c>
      <c r="V174" s="169">
        <v>0.05</v>
      </c>
      <c r="W174" s="172">
        <f t="shared" si="16"/>
        <v>74709.600000000006</v>
      </c>
      <c r="X174" s="401"/>
      <c r="Y174" s="397"/>
      <c r="Z174" s="385" t="s">
        <v>5750</v>
      </c>
      <c r="AA174" s="212" t="s">
        <v>5550</v>
      </c>
      <c r="AB174" s="386">
        <v>8</v>
      </c>
      <c r="AC174" s="421">
        <f>+'APU CAP 5'!$H$1078</f>
        <v>8894</v>
      </c>
      <c r="AD174" s="169">
        <v>0.05</v>
      </c>
      <c r="AE174" s="172">
        <f t="shared" si="17"/>
        <v>74709.600000000006</v>
      </c>
      <c r="AF174" s="401"/>
    </row>
    <row r="175" spans="1:32" x14ac:dyDescent="0.25">
      <c r="A175" s="397"/>
      <c r="B175" s="385" t="s">
        <v>6340</v>
      </c>
      <c r="C175" s="212" t="s">
        <v>5402</v>
      </c>
      <c r="D175" s="386">
        <v>8</v>
      </c>
      <c r="E175" s="388">
        <f>+'APU CAP 5'!$H$1240</f>
        <v>31320</v>
      </c>
      <c r="F175" s="169">
        <v>0.05</v>
      </c>
      <c r="G175" s="172">
        <f t="shared" si="14"/>
        <v>263088</v>
      </c>
      <c r="H175" s="401"/>
      <c r="I175" s="397"/>
      <c r="J175" s="385" t="s">
        <v>6340</v>
      </c>
      <c r="K175" s="212" t="s">
        <v>5402</v>
      </c>
      <c r="L175" s="386">
        <v>8</v>
      </c>
      <c r="M175" s="388">
        <f>+'APU CAP 5'!$H$1240</f>
        <v>31320</v>
      </c>
      <c r="N175" s="169">
        <v>0.05</v>
      </c>
      <c r="O175" s="172">
        <f t="shared" si="15"/>
        <v>263088</v>
      </c>
      <c r="P175" s="401"/>
      <c r="Q175" s="397"/>
      <c r="R175" s="385" t="s">
        <v>6340</v>
      </c>
      <c r="S175" s="212" t="s">
        <v>5402</v>
      </c>
      <c r="T175" s="386">
        <v>8</v>
      </c>
      <c r="U175" s="388">
        <f>+'APU CAP 5'!$H$1240</f>
        <v>31320</v>
      </c>
      <c r="V175" s="169">
        <v>0.05</v>
      </c>
      <c r="W175" s="172">
        <f t="shared" si="16"/>
        <v>263088</v>
      </c>
      <c r="X175" s="401"/>
      <c r="Y175" s="397"/>
      <c r="Z175" s="385" t="s">
        <v>6340</v>
      </c>
      <c r="AA175" s="212" t="s">
        <v>5402</v>
      </c>
      <c r="AB175" s="386">
        <v>8</v>
      </c>
      <c r="AC175" s="388">
        <f>+'APU CAP 5'!$H$1240</f>
        <v>31320</v>
      </c>
      <c r="AD175" s="169">
        <v>0.05</v>
      </c>
      <c r="AE175" s="172">
        <f t="shared" si="17"/>
        <v>263088</v>
      </c>
      <c r="AF175" s="401"/>
    </row>
    <row r="176" spans="1:32" x14ac:dyDescent="0.25">
      <c r="A176" s="397"/>
      <c r="B176" s="385" t="s">
        <v>6341</v>
      </c>
      <c r="C176" s="212" t="s">
        <v>6421</v>
      </c>
      <c r="D176" s="386">
        <v>4</v>
      </c>
      <c r="E176" s="388">
        <f>+'APU CAP 1-2'!$H$2745</f>
        <v>11097</v>
      </c>
      <c r="F176" s="169">
        <v>0.05</v>
      </c>
      <c r="G176" s="172">
        <f t="shared" si="14"/>
        <v>46607.4</v>
      </c>
      <c r="H176" s="401">
        <f>SUM(G169:G176)</f>
        <v>5869987.6033500005</v>
      </c>
      <c r="I176" s="397"/>
      <c r="J176" s="385" t="s">
        <v>6341</v>
      </c>
      <c r="K176" s="212" t="s">
        <v>6421</v>
      </c>
      <c r="L176" s="386">
        <v>4</v>
      </c>
      <c r="M176" s="388">
        <f>+'APU CAP 1-2'!$H$2745</f>
        <v>11097</v>
      </c>
      <c r="N176" s="169">
        <v>0.05</v>
      </c>
      <c r="O176" s="172">
        <f t="shared" si="15"/>
        <v>46607.4</v>
      </c>
      <c r="P176" s="401">
        <f>SUM(O169:O176)</f>
        <v>5869987.6033500005</v>
      </c>
      <c r="Q176" s="397"/>
      <c r="R176" s="385" t="s">
        <v>6341</v>
      </c>
      <c r="S176" s="212" t="s">
        <v>6421</v>
      </c>
      <c r="T176" s="386">
        <v>4</v>
      </c>
      <c r="U176" s="388">
        <f>+'APU CAP 1-2'!$H$2745</f>
        <v>11097</v>
      </c>
      <c r="V176" s="169">
        <v>0.05</v>
      </c>
      <c r="W176" s="172">
        <f t="shared" si="16"/>
        <v>46607.4</v>
      </c>
      <c r="X176" s="401">
        <f>SUM(W169:W176)</f>
        <v>5869987.6033500005</v>
      </c>
      <c r="Y176" s="397"/>
      <c r="Z176" s="385" t="s">
        <v>6341</v>
      </c>
      <c r="AA176" s="212" t="s">
        <v>6421</v>
      </c>
      <c r="AB176" s="386">
        <v>4</v>
      </c>
      <c r="AC176" s="388">
        <f>+'APU CAP 1-2'!$H$2745</f>
        <v>11097</v>
      </c>
      <c r="AD176" s="169">
        <v>0.05</v>
      </c>
      <c r="AE176" s="172">
        <f t="shared" si="17"/>
        <v>46607.4</v>
      </c>
      <c r="AF176" s="401">
        <f>SUM(AE169:AE176)</f>
        <v>5869987.6033500005</v>
      </c>
    </row>
    <row r="177" spans="1:32" x14ac:dyDescent="0.25">
      <c r="A177" s="397"/>
      <c r="B177" s="385" t="s">
        <v>6573</v>
      </c>
      <c r="C177" s="386" t="s">
        <v>5424</v>
      </c>
      <c r="D177" s="386">
        <v>2</v>
      </c>
      <c r="E177" s="388">
        <f>+M125</f>
        <v>2675780</v>
      </c>
      <c r="F177" s="396"/>
      <c r="G177" s="172">
        <f t="shared" si="14"/>
        <v>5351560</v>
      </c>
      <c r="H177" s="401"/>
      <c r="I177" s="397"/>
      <c r="J177" s="385" t="s">
        <v>6573</v>
      </c>
      <c r="K177" s="386" t="s">
        <v>5424</v>
      </c>
      <c r="L177" s="386">
        <v>2</v>
      </c>
      <c r="M177" s="388">
        <f t="shared" ref="M177:M182" si="18">+E177*1.1</f>
        <v>2943358.0000000005</v>
      </c>
      <c r="N177" s="396"/>
      <c r="O177" s="172">
        <f t="shared" si="15"/>
        <v>5886716.0000000009</v>
      </c>
      <c r="P177" s="401"/>
      <c r="Q177" s="397"/>
      <c r="R177" s="385" t="s">
        <v>6573</v>
      </c>
      <c r="S177" s="386" t="s">
        <v>5424</v>
      </c>
      <c r="T177" s="386">
        <v>2</v>
      </c>
      <c r="U177" s="388">
        <f t="shared" ref="U177:U182" si="19">+M177*1.1</f>
        <v>3237693.8000000007</v>
      </c>
      <c r="V177" s="396"/>
      <c r="W177" s="172">
        <f t="shared" si="16"/>
        <v>6475387.6000000015</v>
      </c>
      <c r="X177" s="401"/>
      <c r="Y177" s="397"/>
      <c r="Z177" s="385" t="s">
        <v>6596</v>
      </c>
      <c r="AA177" s="386" t="s">
        <v>5424</v>
      </c>
      <c r="AB177" s="386">
        <v>2</v>
      </c>
      <c r="AC177" s="388">
        <f>+AK125</f>
        <v>3553085</v>
      </c>
      <c r="AD177" s="396"/>
      <c r="AE177" s="172">
        <f t="shared" si="17"/>
        <v>7106170</v>
      </c>
      <c r="AF177" s="401"/>
    </row>
    <row r="178" spans="1:32" x14ac:dyDescent="0.25">
      <c r="A178" s="397"/>
      <c r="B178" s="385" t="s">
        <v>6378</v>
      </c>
      <c r="C178" s="386" t="s">
        <v>5424</v>
      </c>
      <c r="D178" s="386">
        <v>1</v>
      </c>
      <c r="E178" s="388">
        <f>+M126</f>
        <v>3106257</v>
      </c>
      <c r="F178" s="396"/>
      <c r="G178" s="172">
        <f t="shared" si="14"/>
        <v>3106257</v>
      </c>
      <c r="H178" s="401"/>
      <c r="I178" s="397"/>
      <c r="J178" s="385" t="s">
        <v>6378</v>
      </c>
      <c r="K178" s="386" t="s">
        <v>5424</v>
      </c>
      <c r="L178" s="386">
        <v>1</v>
      </c>
      <c r="M178" s="388">
        <f t="shared" si="18"/>
        <v>3416882.7</v>
      </c>
      <c r="N178" s="396"/>
      <c r="O178" s="172">
        <f t="shared" si="15"/>
        <v>3416882.7</v>
      </c>
      <c r="P178" s="401"/>
      <c r="Q178" s="397"/>
      <c r="R178" s="385" t="s">
        <v>6378</v>
      </c>
      <c r="S178" s="386" t="s">
        <v>5424</v>
      </c>
      <c r="T178" s="386">
        <v>1</v>
      </c>
      <c r="U178" s="388">
        <f t="shared" si="19"/>
        <v>3758570.9700000007</v>
      </c>
      <c r="V178" s="396"/>
      <c r="W178" s="172">
        <f t="shared" si="16"/>
        <v>3758570.9700000007</v>
      </c>
      <c r="X178" s="401"/>
      <c r="Y178" s="397"/>
      <c r="Z178" s="385" t="s">
        <v>6378</v>
      </c>
      <c r="AA178" s="386" t="s">
        <v>5424</v>
      </c>
      <c r="AB178" s="386">
        <v>1</v>
      </c>
      <c r="AC178" s="388">
        <f>+AK126</f>
        <v>5240778</v>
      </c>
      <c r="AD178" s="396"/>
      <c r="AE178" s="172">
        <f t="shared" si="17"/>
        <v>5240778</v>
      </c>
      <c r="AF178" s="401"/>
    </row>
    <row r="179" spans="1:32" x14ac:dyDescent="0.25">
      <c r="A179" s="397"/>
      <c r="B179" s="385" t="s">
        <v>6552</v>
      </c>
      <c r="C179" s="386" t="s">
        <v>5424</v>
      </c>
      <c r="D179" s="386">
        <v>1</v>
      </c>
      <c r="E179" s="388">
        <f>+SUM!H2262</f>
        <v>7272215</v>
      </c>
      <c r="F179" s="396"/>
      <c r="G179" s="172">
        <f t="shared" si="14"/>
        <v>7272215</v>
      </c>
      <c r="H179" s="401"/>
      <c r="I179" s="397"/>
      <c r="J179" s="385" t="s">
        <v>6552</v>
      </c>
      <c r="K179" s="386" t="s">
        <v>5424</v>
      </c>
      <c r="L179" s="386">
        <v>1</v>
      </c>
      <c r="M179" s="388">
        <f t="shared" si="18"/>
        <v>7999436.5000000009</v>
      </c>
      <c r="N179" s="396"/>
      <c r="O179" s="172">
        <f t="shared" si="15"/>
        <v>7999436.5000000009</v>
      </c>
      <c r="P179" s="401"/>
      <c r="Q179" s="397"/>
      <c r="R179" s="385" t="s">
        <v>6552</v>
      </c>
      <c r="S179" s="386" t="s">
        <v>5424</v>
      </c>
      <c r="T179" s="386">
        <v>1</v>
      </c>
      <c r="U179" s="388">
        <f t="shared" si="19"/>
        <v>8799380.1500000022</v>
      </c>
      <c r="V179" s="396"/>
      <c r="W179" s="172">
        <f t="shared" si="16"/>
        <v>8799380.1500000022</v>
      </c>
      <c r="X179" s="401"/>
      <c r="Y179" s="397"/>
      <c r="Z179" s="385" t="s">
        <v>6552</v>
      </c>
      <c r="AA179" s="386" t="s">
        <v>5424</v>
      </c>
      <c r="AB179" s="386">
        <v>1</v>
      </c>
      <c r="AC179" s="388">
        <f>+E179</f>
        <v>7272215</v>
      </c>
      <c r="AD179" s="396"/>
      <c r="AE179" s="172">
        <f t="shared" si="17"/>
        <v>7272215</v>
      </c>
      <c r="AF179" s="401"/>
    </row>
    <row r="180" spans="1:32" x14ac:dyDescent="0.25">
      <c r="A180" s="397"/>
      <c r="B180" s="385" t="s">
        <v>6377</v>
      </c>
      <c r="C180" s="386" t="s">
        <v>5424</v>
      </c>
      <c r="D180" s="386">
        <v>1</v>
      </c>
      <c r="E180" s="388">
        <f>+M128</f>
        <v>634996</v>
      </c>
      <c r="F180" s="396"/>
      <c r="G180" s="172">
        <f t="shared" si="14"/>
        <v>634996</v>
      </c>
      <c r="H180" s="401"/>
      <c r="I180" s="397"/>
      <c r="J180" s="385" t="s">
        <v>6533</v>
      </c>
      <c r="K180" s="386" t="s">
        <v>5424</v>
      </c>
      <c r="L180" s="386">
        <v>1</v>
      </c>
      <c r="M180" s="388">
        <f t="shared" si="18"/>
        <v>698495.60000000009</v>
      </c>
      <c r="N180" s="396"/>
      <c r="O180" s="172">
        <f t="shared" si="15"/>
        <v>698495.60000000009</v>
      </c>
      <c r="P180" s="401"/>
      <c r="Q180" s="397"/>
      <c r="R180" s="385" t="s">
        <v>6533</v>
      </c>
      <c r="S180" s="386" t="s">
        <v>5424</v>
      </c>
      <c r="T180" s="386">
        <v>1</v>
      </c>
      <c r="U180" s="388">
        <f t="shared" si="19"/>
        <v>768345.16000000015</v>
      </c>
      <c r="V180" s="396"/>
      <c r="W180" s="172">
        <f t="shared" si="16"/>
        <v>768345.16000000015</v>
      </c>
      <c r="X180" s="401"/>
      <c r="Y180" s="397"/>
      <c r="Z180" s="385" t="s">
        <v>6598</v>
      </c>
      <c r="AA180" s="386" t="s">
        <v>5424</v>
      </c>
      <c r="AB180" s="386">
        <v>1</v>
      </c>
      <c r="AC180" s="388">
        <f>+U180*1.1</f>
        <v>845179.67600000021</v>
      </c>
      <c r="AD180" s="396"/>
      <c r="AE180" s="172">
        <f t="shared" si="17"/>
        <v>845179.67600000021</v>
      </c>
      <c r="AF180" s="401"/>
    </row>
    <row r="181" spans="1:32" x14ac:dyDescent="0.25">
      <c r="A181" s="397"/>
      <c r="B181" s="385" t="s">
        <v>6568</v>
      </c>
      <c r="C181" s="386" t="s">
        <v>5424</v>
      </c>
      <c r="D181" s="386">
        <v>2</v>
      </c>
      <c r="E181" s="388">
        <f>+M129</f>
        <v>814038</v>
      </c>
      <c r="F181" s="396"/>
      <c r="G181" s="172">
        <f t="shared" si="14"/>
        <v>1628076</v>
      </c>
      <c r="H181" s="401"/>
      <c r="I181" s="397"/>
      <c r="J181" s="385" t="s">
        <v>6530</v>
      </c>
      <c r="K181" s="386" t="s">
        <v>5424</v>
      </c>
      <c r="L181" s="386">
        <v>2</v>
      </c>
      <c r="M181" s="388">
        <f t="shared" si="18"/>
        <v>895441.8</v>
      </c>
      <c r="N181" s="396"/>
      <c r="O181" s="172">
        <f t="shared" si="15"/>
        <v>1790883.6</v>
      </c>
      <c r="P181" s="401"/>
      <c r="Q181" s="397"/>
      <c r="R181" s="385" t="s">
        <v>6530</v>
      </c>
      <c r="S181" s="386" t="s">
        <v>5424</v>
      </c>
      <c r="T181" s="386">
        <v>2</v>
      </c>
      <c r="U181" s="388">
        <f t="shared" si="19"/>
        <v>984985.9800000001</v>
      </c>
      <c r="V181" s="396"/>
      <c r="W181" s="172">
        <f t="shared" si="16"/>
        <v>1969971.9600000002</v>
      </c>
      <c r="X181" s="401"/>
      <c r="Y181" s="397"/>
      <c r="Z181" s="385" t="s">
        <v>6530</v>
      </c>
      <c r="AA181" s="386" t="s">
        <v>5424</v>
      </c>
      <c r="AB181" s="386">
        <v>2</v>
      </c>
      <c r="AC181" s="388">
        <f>+E181</f>
        <v>814038</v>
      </c>
      <c r="AD181" s="396"/>
      <c r="AE181" s="172">
        <f t="shared" si="17"/>
        <v>1628076</v>
      </c>
      <c r="AF181" s="401"/>
    </row>
    <row r="182" spans="1:32" x14ac:dyDescent="0.25">
      <c r="A182" s="397"/>
      <c r="B182" s="385" t="s">
        <v>6368</v>
      </c>
      <c r="C182" s="386" t="s">
        <v>5424</v>
      </c>
      <c r="D182" s="386">
        <v>1</v>
      </c>
      <c r="E182" s="388">
        <f>+E131</f>
        <v>411237</v>
      </c>
      <c r="F182" s="596"/>
      <c r="G182" s="172">
        <f t="shared" si="14"/>
        <v>411237</v>
      </c>
      <c r="H182" s="401"/>
      <c r="I182" s="397"/>
      <c r="J182" s="385" t="s">
        <v>6368</v>
      </c>
      <c r="K182" s="386" t="s">
        <v>5424</v>
      </c>
      <c r="L182" s="386">
        <v>1</v>
      </c>
      <c r="M182" s="388">
        <f t="shared" si="18"/>
        <v>452360.7</v>
      </c>
      <c r="N182" s="596"/>
      <c r="O182" s="172">
        <f t="shared" si="15"/>
        <v>452360.7</v>
      </c>
      <c r="P182" s="401"/>
      <c r="Q182" s="397"/>
      <c r="R182" s="385" t="s">
        <v>6368</v>
      </c>
      <c r="S182" s="386" t="s">
        <v>5424</v>
      </c>
      <c r="T182" s="386">
        <v>1</v>
      </c>
      <c r="U182" s="388">
        <f t="shared" si="19"/>
        <v>497596.77000000008</v>
      </c>
      <c r="V182" s="596"/>
      <c r="W182" s="172">
        <f t="shared" si="16"/>
        <v>497596.77000000008</v>
      </c>
      <c r="X182" s="401"/>
      <c r="Y182" s="397"/>
      <c r="Z182" s="385" t="s">
        <v>6599</v>
      </c>
      <c r="AA182" s="386" t="s">
        <v>5424</v>
      </c>
      <c r="AB182" s="386">
        <v>1</v>
      </c>
      <c r="AC182" s="388">
        <f>+AK131</f>
        <v>645992</v>
      </c>
      <c r="AD182" s="596"/>
      <c r="AE182" s="172">
        <f t="shared" si="17"/>
        <v>645992</v>
      </c>
      <c r="AF182" s="401"/>
    </row>
    <row r="183" spans="1:32" ht="15.75" thickBot="1" x14ac:dyDescent="0.3">
      <c r="A183" s="397"/>
      <c r="B183" s="385" t="s">
        <v>6343</v>
      </c>
      <c r="C183" s="386" t="s">
        <v>5424</v>
      </c>
      <c r="D183" s="386">
        <v>1</v>
      </c>
      <c r="E183" s="388">
        <f>+SUM!$H$2409</f>
        <v>677604</v>
      </c>
      <c r="F183" s="596"/>
      <c r="G183" s="172">
        <f t="shared" si="14"/>
        <v>677604</v>
      </c>
      <c r="H183" s="401"/>
      <c r="I183" s="397"/>
      <c r="J183" s="385" t="s">
        <v>6343</v>
      </c>
      <c r="K183" s="386" t="s">
        <v>5424</v>
      </c>
      <c r="L183" s="386">
        <v>1</v>
      </c>
      <c r="M183" s="388">
        <f>+SUM!$H$2409</f>
        <v>677604</v>
      </c>
      <c r="N183" s="596"/>
      <c r="O183" s="172">
        <f t="shared" si="15"/>
        <v>677604</v>
      </c>
      <c r="P183" s="401"/>
      <c r="Q183" s="397"/>
      <c r="R183" s="385" t="s">
        <v>6343</v>
      </c>
      <c r="S183" s="386" t="s">
        <v>5424</v>
      </c>
      <c r="T183" s="386">
        <v>1</v>
      </c>
      <c r="U183" s="388">
        <f>+SUM!$H$2409</f>
        <v>677604</v>
      </c>
      <c r="V183" s="596"/>
      <c r="W183" s="172">
        <f t="shared" si="16"/>
        <v>677604</v>
      </c>
      <c r="X183" s="401"/>
      <c r="Y183" s="397"/>
      <c r="Z183" s="385" t="s">
        <v>6343</v>
      </c>
      <c r="AA183" s="386" t="s">
        <v>5424</v>
      </c>
      <c r="AB183" s="386">
        <v>1</v>
      </c>
      <c r="AC183" s="388">
        <f>+SUM!$H$2409</f>
        <v>677604</v>
      </c>
      <c r="AD183" s="596"/>
      <c r="AE183" s="172">
        <f t="shared" si="17"/>
        <v>677604</v>
      </c>
      <c r="AF183" s="401"/>
    </row>
    <row r="184" spans="1:32" ht="15.75" thickBot="1" x14ac:dyDescent="0.3">
      <c r="A184" s="397"/>
      <c r="B184" s="412"/>
      <c r="C184" s="413"/>
      <c r="D184" s="413"/>
      <c r="E184" s="423"/>
      <c r="F184" s="597"/>
      <c r="G184" s="410"/>
      <c r="H184" s="416">
        <f>+SUM(G169:G184)</f>
        <v>24951932.603349999</v>
      </c>
      <c r="I184" s="397"/>
      <c r="J184" s="412"/>
      <c r="K184" s="413"/>
      <c r="L184" s="413"/>
      <c r="M184" s="423"/>
      <c r="N184" s="597"/>
      <c r="O184" s="410"/>
      <c r="P184" s="416">
        <f>+SUM(O169:O184)</f>
        <v>26792366.703350004</v>
      </c>
      <c r="Q184" s="397"/>
      <c r="R184" s="412"/>
      <c r="S184" s="413"/>
      <c r="T184" s="413"/>
      <c r="U184" s="423"/>
      <c r="V184" s="597"/>
      <c r="W184" s="410"/>
      <c r="X184" s="416">
        <f>+SUM(W169:W184)</f>
        <v>28816844.213350005</v>
      </c>
      <c r="Y184" s="397"/>
      <c r="Z184" s="412"/>
      <c r="AA184" s="413"/>
      <c r="AB184" s="413"/>
      <c r="AC184" s="423"/>
      <c r="AD184" s="597"/>
      <c r="AE184" s="410"/>
      <c r="AF184" s="416">
        <f>+SUM(AE169:AE184)</f>
        <v>29286002.279349998</v>
      </c>
    </row>
    <row r="185" spans="1:32" ht="15.75" thickBot="1" x14ac:dyDescent="0.3">
      <c r="A185" s="397"/>
      <c r="B185" s="417"/>
      <c r="C185" s="417"/>
      <c r="D185" s="417"/>
      <c r="E185" s="417"/>
      <c r="F185" s="417"/>
      <c r="G185" s="419"/>
      <c r="H185" s="420"/>
      <c r="I185" s="397"/>
      <c r="J185" s="417"/>
      <c r="K185" s="417"/>
      <c r="L185" s="417"/>
      <c r="M185" s="417"/>
      <c r="N185" s="417"/>
      <c r="O185" s="419"/>
      <c r="P185" s="420"/>
      <c r="Q185" s="397"/>
      <c r="R185" s="417"/>
      <c r="S185" s="417"/>
      <c r="T185" s="417"/>
      <c r="U185" s="417"/>
      <c r="V185" s="417"/>
      <c r="W185" s="419"/>
      <c r="X185" s="420"/>
      <c r="Y185" s="397"/>
      <c r="Z185" s="417"/>
      <c r="AA185" s="417"/>
      <c r="AB185" s="417"/>
      <c r="AC185" s="417"/>
      <c r="AD185" s="417"/>
      <c r="AE185" s="419"/>
      <c r="AF185" s="420"/>
    </row>
    <row r="186" spans="1:32" ht="15.75" thickBot="1" x14ac:dyDescent="0.3">
      <c r="A186" s="397"/>
      <c r="B186" s="407" t="s">
        <v>5410</v>
      </c>
      <c r="C186" s="408" t="s">
        <v>867</v>
      </c>
      <c r="D186" s="408" t="s">
        <v>6</v>
      </c>
      <c r="E186" s="408" t="s">
        <v>870</v>
      </c>
      <c r="F186" s="408" t="s">
        <v>5411</v>
      </c>
      <c r="G186" s="409" t="s">
        <v>868</v>
      </c>
      <c r="H186" s="401"/>
      <c r="I186" s="397"/>
      <c r="J186" s="407" t="s">
        <v>5410</v>
      </c>
      <c r="K186" s="408" t="s">
        <v>867</v>
      </c>
      <c r="L186" s="408" t="s">
        <v>6</v>
      </c>
      <c r="M186" s="408" t="s">
        <v>870</v>
      </c>
      <c r="N186" s="408" t="s">
        <v>5411</v>
      </c>
      <c r="O186" s="409" t="s">
        <v>868</v>
      </c>
      <c r="P186" s="401"/>
      <c r="Q186" s="397"/>
      <c r="R186" s="407" t="s">
        <v>5410</v>
      </c>
      <c r="S186" s="408" t="s">
        <v>867</v>
      </c>
      <c r="T186" s="408" t="s">
        <v>6</v>
      </c>
      <c r="U186" s="408" t="s">
        <v>870</v>
      </c>
      <c r="V186" s="408" t="s">
        <v>5411</v>
      </c>
      <c r="W186" s="409" t="s">
        <v>868</v>
      </c>
      <c r="X186" s="401"/>
      <c r="Y186" s="397"/>
      <c r="Z186" s="407" t="s">
        <v>5410</v>
      </c>
      <c r="AA186" s="408" t="s">
        <v>867</v>
      </c>
      <c r="AB186" s="408" t="s">
        <v>6</v>
      </c>
      <c r="AC186" s="408" t="s">
        <v>870</v>
      </c>
      <c r="AD186" s="408" t="s">
        <v>5411</v>
      </c>
      <c r="AE186" s="409" t="s">
        <v>868</v>
      </c>
      <c r="AF186" s="401"/>
    </row>
    <row r="187" spans="1:32" ht="15.75" thickBot="1" x14ac:dyDescent="0.3">
      <c r="A187" s="397"/>
      <c r="B187" s="579"/>
      <c r="C187" s="580"/>
      <c r="D187" s="580"/>
      <c r="E187" s="580"/>
      <c r="F187" s="580"/>
      <c r="G187" s="581"/>
      <c r="H187" s="401"/>
      <c r="I187" s="397"/>
      <c r="J187" s="579"/>
      <c r="K187" s="580"/>
      <c r="L187" s="580"/>
      <c r="M187" s="580"/>
      <c r="N187" s="580"/>
      <c r="O187" s="581"/>
      <c r="P187" s="401"/>
      <c r="Q187" s="397"/>
      <c r="R187" s="579"/>
      <c r="S187" s="580"/>
      <c r="T187" s="580"/>
      <c r="U187" s="580"/>
      <c r="V187" s="580"/>
      <c r="W187" s="581"/>
      <c r="X187" s="401"/>
      <c r="Y187" s="397"/>
      <c r="Z187" s="579"/>
      <c r="AA187" s="580"/>
      <c r="AB187" s="580"/>
      <c r="AC187" s="580"/>
      <c r="AD187" s="580"/>
      <c r="AE187" s="581"/>
      <c r="AF187" s="401"/>
    </row>
    <row r="188" spans="1:32" ht="15.75" thickBot="1" x14ac:dyDescent="0.3">
      <c r="A188" s="397"/>
      <c r="B188" s="412"/>
      <c r="C188" s="414"/>
      <c r="D188" s="414"/>
      <c r="E188" s="414"/>
      <c r="F188" s="414"/>
      <c r="G188" s="415"/>
      <c r="H188" s="416">
        <f>+SUM(G188:G188)</f>
        <v>0</v>
      </c>
      <c r="I188" s="397"/>
      <c r="J188" s="412"/>
      <c r="K188" s="414"/>
      <c r="L188" s="414"/>
      <c r="M188" s="414"/>
      <c r="N188" s="414"/>
      <c r="O188" s="415"/>
      <c r="P188" s="416">
        <f>+SUM(O188:O188)</f>
        <v>0</v>
      </c>
      <c r="Q188" s="397"/>
      <c r="R188" s="412"/>
      <c r="S188" s="414"/>
      <c r="T188" s="414"/>
      <c r="U188" s="414"/>
      <c r="V188" s="414"/>
      <c r="W188" s="415"/>
      <c r="X188" s="416">
        <f>+SUM(W188:W188)</f>
        <v>0</v>
      </c>
      <c r="Y188" s="397"/>
      <c r="Z188" s="412"/>
      <c r="AA188" s="414"/>
      <c r="AB188" s="414"/>
      <c r="AC188" s="414"/>
      <c r="AD188" s="414"/>
      <c r="AE188" s="415"/>
      <c r="AF188" s="416">
        <f>+SUM(AE188:AE188)</f>
        <v>0</v>
      </c>
    </row>
    <row r="189" spans="1:32" ht="15.75" thickBot="1" x14ac:dyDescent="0.3">
      <c r="A189" s="397"/>
      <c r="B189" s="417"/>
      <c r="C189" s="417"/>
      <c r="D189" s="417"/>
      <c r="E189" s="417"/>
      <c r="F189" s="425"/>
      <c r="G189" s="426"/>
      <c r="H189" s="420"/>
      <c r="I189" s="397"/>
      <c r="J189" s="417"/>
      <c r="K189" s="417"/>
      <c r="L189" s="417"/>
      <c r="M189" s="417"/>
      <c r="N189" s="425"/>
      <c r="O189" s="426"/>
      <c r="P189" s="420"/>
      <c r="Q189" s="397"/>
      <c r="R189" s="417"/>
      <c r="S189" s="417"/>
      <c r="T189" s="417"/>
      <c r="U189" s="417"/>
      <c r="V189" s="425"/>
      <c r="W189" s="426"/>
      <c r="X189" s="420"/>
      <c r="Y189" s="397"/>
      <c r="Z189" s="417"/>
      <c r="AA189" s="417"/>
      <c r="AB189" s="417"/>
      <c r="AC189" s="417"/>
      <c r="AD189" s="425"/>
      <c r="AE189" s="426"/>
      <c r="AF189" s="420"/>
    </row>
    <row r="190" spans="1:32" ht="15.75" thickBot="1" x14ac:dyDescent="0.3">
      <c r="A190" s="397"/>
      <c r="B190" s="407" t="s">
        <v>5412</v>
      </c>
      <c r="C190" s="408" t="s">
        <v>5420</v>
      </c>
      <c r="D190" s="408" t="s">
        <v>5421</v>
      </c>
      <c r="E190" s="408" t="s">
        <v>5413</v>
      </c>
      <c r="F190" s="408" t="s">
        <v>5405</v>
      </c>
      <c r="G190" s="409" t="s">
        <v>868</v>
      </c>
      <c r="H190" s="401"/>
      <c r="I190" s="397"/>
      <c r="J190" s="407" t="s">
        <v>5412</v>
      </c>
      <c r="K190" s="408" t="s">
        <v>5420</v>
      </c>
      <c r="L190" s="408" t="s">
        <v>5421</v>
      </c>
      <c r="M190" s="408" t="s">
        <v>5413</v>
      </c>
      <c r="N190" s="408" t="s">
        <v>5405</v>
      </c>
      <c r="O190" s="409" t="s">
        <v>868</v>
      </c>
      <c r="P190" s="401"/>
      <c r="Q190" s="397"/>
      <c r="R190" s="407" t="s">
        <v>5412</v>
      </c>
      <c r="S190" s="408" t="s">
        <v>5420</v>
      </c>
      <c r="T190" s="408" t="s">
        <v>5421</v>
      </c>
      <c r="U190" s="408" t="s">
        <v>5413</v>
      </c>
      <c r="V190" s="408" t="s">
        <v>5405</v>
      </c>
      <c r="W190" s="409" t="s">
        <v>868</v>
      </c>
      <c r="X190" s="401"/>
      <c r="Y190" s="397"/>
      <c r="Z190" s="407" t="s">
        <v>5412</v>
      </c>
      <c r="AA190" s="408" t="s">
        <v>5420</v>
      </c>
      <c r="AB190" s="408" t="s">
        <v>5421</v>
      </c>
      <c r="AC190" s="408" t="s">
        <v>5413</v>
      </c>
      <c r="AD190" s="408" t="s">
        <v>5405</v>
      </c>
      <c r="AE190" s="409" t="s">
        <v>868</v>
      </c>
      <c r="AF190" s="401"/>
    </row>
    <row r="191" spans="1:32" x14ac:dyDescent="0.25">
      <c r="A191" s="397"/>
      <c r="B191" s="381" t="s">
        <v>5948</v>
      </c>
      <c r="C191" s="345">
        <v>70000</v>
      </c>
      <c r="D191" s="384">
        <f>+C191*0.85</f>
        <v>59500</v>
      </c>
      <c r="E191" s="384">
        <f>+C191+D191</f>
        <v>129500</v>
      </c>
      <c r="F191" s="382">
        <v>2</v>
      </c>
      <c r="G191" s="410">
        <f>+E191/F191</f>
        <v>64750</v>
      </c>
      <c r="H191" s="401"/>
      <c r="I191" s="397"/>
      <c r="J191" s="381" t="s">
        <v>5948</v>
      </c>
      <c r="K191" s="345">
        <v>70000</v>
      </c>
      <c r="L191" s="384">
        <f>+K191*0.85</f>
        <v>59500</v>
      </c>
      <c r="M191" s="384">
        <f>+K191+L191</f>
        <v>129500</v>
      </c>
      <c r="N191" s="382">
        <v>2</v>
      </c>
      <c r="O191" s="410">
        <f>+M191/N191</f>
        <v>64750</v>
      </c>
      <c r="P191" s="401"/>
      <c r="Q191" s="397"/>
      <c r="R191" s="381" t="s">
        <v>5948</v>
      </c>
      <c r="S191" s="345">
        <v>70000</v>
      </c>
      <c r="T191" s="384">
        <f>+S191*0.85</f>
        <v>59500</v>
      </c>
      <c r="U191" s="384">
        <f>+S191+T191</f>
        <v>129500</v>
      </c>
      <c r="V191" s="382">
        <v>2</v>
      </c>
      <c r="W191" s="410">
        <f>+U191/V191</f>
        <v>64750</v>
      </c>
      <c r="X191" s="401"/>
      <c r="Y191" s="397"/>
      <c r="Z191" s="381" t="s">
        <v>5948</v>
      </c>
      <c r="AA191" s="345">
        <v>70000</v>
      </c>
      <c r="AB191" s="384">
        <f>+AA191*0.85</f>
        <v>59500</v>
      </c>
      <c r="AC191" s="384">
        <f>+AA191+AB191</f>
        <v>129500</v>
      </c>
      <c r="AD191" s="382">
        <v>2</v>
      </c>
      <c r="AE191" s="410">
        <f>+AC191/AD191</f>
        <v>64750</v>
      </c>
      <c r="AF191" s="401"/>
    </row>
    <row r="192" spans="1:32" x14ac:dyDescent="0.25">
      <c r="A192" s="397"/>
      <c r="B192" s="385" t="s">
        <v>5949</v>
      </c>
      <c r="C192" s="345">
        <v>40000</v>
      </c>
      <c r="D192" s="384">
        <f>+C192*0.85</f>
        <v>34000</v>
      </c>
      <c r="E192" s="384">
        <f>+C192+D192</f>
        <v>74000</v>
      </c>
      <c r="F192" s="382">
        <v>0.25</v>
      </c>
      <c r="G192" s="410">
        <f>+E192/F192</f>
        <v>296000</v>
      </c>
      <c r="H192" s="401"/>
      <c r="I192" s="397"/>
      <c r="J192" s="385" t="s">
        <v>5949</v>
      </c>
      <c r="K192" s="345">
        <v>40000</v>
      </c>
      <c r="L192" s="384">
        <f>+K192*0.85</f>
        <v>34000</v>
      </c>
      <c r="M192" s="384">
        <f>+K192+L192</f>
        <v>74000</v>
      </c>
      <c r="N192" s="382">
        <v>0.25</v>
      </c>
      <c r="O192" s="410">
        <f>+M192/N192</f>
        <v>296000</v>
      </c>
      <c r="P192" s="401"/>
      <c r="Q192" s="397"/>
      <c r="R192" s="385" t="s">
        <v>5949</v>
      </c>
      <c r="S192" s="345">
        <v>40000</v>
      </c>
      <c r="T192" s="384">
        <f>+S192*0.85</f>
        <v>34000</v>
      </c>
      <c r="U192" s="384">
        <f>+S192+T192</f>
        <v>74000</v>
      </c>
      <c r="V192" s="382">
        <v>0.25</v>
      </c>
      <c r="W192" s="410">
        <f>+U192/V192</f>
        <v>296000</v>
      </c>
      <c r="X192" s="401"/>
      <c r="Y192" s="397"/>
      <c r="Z192" s="385" t="s">
        <v>5949</v>
      </c>
      <c r="AA192" s="345">
        <v>40000</v>
      </c>
      <c r="AB192" s="384">
        <f>+AA192*0.85</f>
        <v>34000</v>
      </c>
      <c r="AC192" s="384">
        <f>+AA192+AB192</f>
        <v>74000</v>
      </c>
      <c r="AD192" s="382">
        <v>0.25</v>
      </c>
      <c r="AE192" s="410">
        <f>+AC192/AD192</f>
        <v>296000</v>
      </c>
      <c r="AF192" s="401"/>
    </row>
    <row r="193" spans="1:32" x14ac:dyDescent="0.25">
      <c r="A193" s="397"/>
      <c r="B193" s="385" t="s">
        <v>5950</v>
      </c>
      <c r="C193" s="345">
        <v>20600</v>
      </c>
      <c r="D193" s="384">
        <f>+C193*0.85</f>
        <v>17510</v>
      </c>
      <c r="E193" s="384">
        <f>+C193+D193</f>
        <v>38110</v>
      </c>
      <c r="F193" s="382">
        <v>0.1</v>
      </c>
      <c r="G193" s="410">
        <f>+E193/F193</f>
        <v>381100</v>
      </c>
      <c r="H193" s="401"/>
      <c r="I193" s="397"/>
      <c r="J193" s="385" t="s">
        <v>5950</v>
      </c>
      <c r="K193" s="345">
        <v>20600</v>
      </c>
      <c r="L193" s="384">
        <f>+K193*0.85</f>
        <v>17510</v>
      </c>
      <c r="M193" s="384">
        <f>+K193+L193</f>
        <v>38110</v>
      </c>
      <c r="N193" s="382">
        <v>0.1</v>
      </c>
      <c r="O193" s="410">
        <f>+M193/N193</f>
        <v>381100</v>
      </c>
      <c r="P193" s="401"/>
      <c r="Q193" s="397"/>
      <c r="R193" s="385" t="s">
        <v>5950</v>
      </c>
      <c r="S193" s="345">
        <v>20600</v>
      </c>
      <c r="T193" s="384">
        <f>+S193*0.85</f>
        <v>17510</v>
      </c>
      <c r="U193" s="384">
        <f>+S193+T193</f>
        <v>38110</v>
      </c>
      <c r="V193" s="382">
        <v>0.1</v>
      </c>
      <c r="W193" s="410">
        <f>+U193/V193</f>
        <v>381100</v>
      </c>
      <c r="X193" s="401"/>
      <c r="Y193" s="397"/>
      <c r="Z193" s="385" t="s">
        <v>5950</v>
      </c>
      <c r="AA193" s="345">
        <v>20600</v>
      </c>
      <c r="AB193" s="384">
        <f>+AA193*0.85</f>
        <v>17510</v>
      </c>
      <c r="AC193" s="384">
        <f>+AA193+AB193</f>
        <v>38110</v>
      </c>
      <c r="AD193" s="382">
        <v>0.1</v>
      </c>
      <c r="AE193" s="410">
        <f>+AC193/AD193</f>
        <v>381100</v>
      </c>
      <c r="AF193" s="401"/>
    </row>
    <row r="194" spans="1:32" x14ac:dyDescent="0.25">
      <c r="A194" s="397"/>
      <c r="B194" s="385"/>
      <c r="C194" s="384"/>
      <c r="D194" s="384"/>
      <c r="E194" s="384"/>
      <c r="F194" s="382"/>
      <c r="G194" s="410"/>
      <c r="H194" s="401"/>
      <c r="I194" s="397"/>
      <c r="J194" s="385"/>
      <c r="K194" s="384"/>
      <c r="L194" s="384"/>
      <c r="M194" s="384"/>
      <c r="N194" s="382"/>
      <c r="O194" s="410"/>
      <c r="P194" s="401"/>
      <c r="Q194" s="397"/>
      <c r="R194" s="385"/>
      <c r="S194" s="384"/>
      <c r="T194" s="384"/>
      <c r="U194" s="384"/>
      <c r="V194" s="382"/>
      <c r="W194" s="410"/>
      <c r="X194" s="401"/>
      <c r="Y194" s="397"/>
      <c r="Z194" s="385"/>
      <c r="AA194" s="384"/>
      <c r="AB194" s="384"/>
      <c r="AC194" s="384"/>
      <c r="AD194" s="382"/>
      <c r="AE194" s="410"/>
      <c r="AF194" s="401"/>
    </row>
    <row r="195" spans="1:32" x14ac:dyDescent="0.25">
      <c r="A195" s="397"/>
      <c r="B195" s="412"/>
      <c r="C195" s="582"/>
      <c r="D195" s="582"/>
      <c r="E195" s="582"/>
      <c r="F195" s="580"/>
      <c r="G195" s="583"/>
      <c r="H195" s="401"/>
      <c r="I195" s="397"/>
      <c r="J195" s="412"/>
      <c r="K195" s="582"/>
      <c r="L195" s="582"/>
      <c r="M195" s="582"/>
      <c r="N195" s="580"/>
      <c r="O195" s="583"/>
      <c r="P195" s="401"/>
      <c r="Q195" s="397"/>
      <c r="R195" s="412"/>
      <c r="S195" s="582"/>
      <c r="T195" s="582"/>
      <c r="U195" s="582"/>
      <c r="V195" s="580"/>
      <c r="W195" s="583"/>
      <c r="X195" s="401"/>
      <c r="Y195" s="397"/>
      <c r="Z195" s="412"/>
      <c r="AA195" s="582"/>
      <c r="AB195" s="582"/>
      <c r="AC195" s="582"/>
      <c r="AD195" s="580"/>
      <c r="AE195" s="583"/>
      <c r="AF195" s="401"/>
    </row>
    <row r="196" spans="1:32" ht="15.75" thickBot="1" x14ac:dyDescent="0.3">
      <c r="A196" s="397"/>
      <c r="B196" s="412"/>
      <c r="C196" s="582"/>
      <c r="D196" s="582"/>
      <c r="E196" s="582"/>
      <c r="F196" s="580"/>
      <c r="G196" s="583"/>
      <c r="H196" s="401"/>
      <c r="I196" s="397"/>
      <c r="J196" s="412"/>
      <c r="K196" s="582"/>
      <c r="L196" s="582"/>
      <c r="M196" s="582"/>
      <c r="N196" s="580"/>
      <c r="O196" s="583"/>
      <c r="P196" s="401"/>
      <c r="Q196" s="397"/>
      <c r="R196" s="412"/>
      <c r="S196" s="582"/>
      <c r="T196" s="582"/>
      <c r="U196" s="582"/>
      <c r="V196" s="580"/>
      <c r="W196" s="583"/>
      <c r="X196" s="401"/>
      <c r="Y196" s="397"/>
      <c r="Z196" s="412"/>
      <c r="AA196" s="582"/>
      <c r="AB196" s="582"/>
      <c r="AC196" s="582"/>
      <c r="AD196" s="580"/>
      <c r="AE196" s="583"/>
      <c r="AF196" s="401"/>
    </row>
    <row r="197" spans="1:32" ht="15.75" thickBot="1" x14ac:dyDescent="0.3">
      <c r="A197" s="397"/>
      <c r="B197" s="427"/>
      <c r="C197" s="428"/>
      <c r="D197" s="428"/>
      <c r="E197" s="428"/>
      <c r="F197" s="428"/>
      <c r="G197" s="429"/>
      <c r="H197" s="416">
        <f>+SUM(G191:G197)</f>
        <v>741850</v>
      </c>
      <c r="I197" s="397"/>
      <c r="J197" s="427"/>
      <c r="K197" s="428"/>
      <c r="L197" s="428"/>
      <c r="M197" s="428"/>
      <c r="N197" s="428"/>
      <c r="O197" s="429"/>
      <c r="P197" s="416">
        <f>+SUM(O191:O197)</f>
        <v>741850</v>
      </c>
      <c r="Q197" s="397"/>
      <c r="R197" s="427"/>
      <c r="S197" s="428"/>
      <c r="T197" s="428"/>
      <c r="U197" s="428"/>
      <c r="V197" s="428"/>
      <c r="W197" s="429"/>
      <c r="X197" s="416">
        <f>+SUM(W191:W197)</f>
        <v>741850</v>
      </c>
      <c r="Y197" s="397"/>
      <c r="Z197" s="427"/>
      <c r="AA197" s="428"/>
      <c r="AB197" s="428"/>
      <c r="AC197" s="428"/>
      <c r="AD197" s="428"/>
      <c r="AE197" s="429"/>
      <c r="AF197" s="416">
        <f>+SUM(AE191:AE197)</f>
        <v>741850</v>
      </c>
    </row>
    <row r="198" spans="1:32" ht="15.75" thickBot="1" x14ac:dyDescent="0.3">
      <c r="A198" s="397"/>
      <c r="B198" s="430"/>
      <c r="C198" s="430"/>
      <c r="D198" s="430"/>
      <c r="E198" s="430"/>
      <c r="F198" s="430"/>
      <c r="G198" s="401"/>
      <c r="H198" s="401"/>
      <c r="I198" s="397"/>
      <c r="J198" s="430"/>
      <c r="K198" s="430"/>
      <c r="L198" s="430"/>
      <c r="M198" s="430"/>
      <c r="N198" s="430"/>
      <c r="O198" s="401"/>
      <c r="P198" s="401"/>
      <c r="Q198" s="397"/>
      <c r="R198" s="430"/>
      <c r="S198" s="430"/>
      <c r="T198" s="430"/>
      <c r="U198" s="430"/>
      <c r="V198" s="430"/>
      <c r="W198" s="401"/>
      <c r="X198" s="401"/>
      <c r="Y198" s="397"/>
      <c r="Z198" s="430"/>
      <c r="AA198" s="430"/>
      <c r="AB198" s="430"/>
      <c r="AC198" s="430"/>
      <c r="AD198" s="430"/>
      <c r="AE198" s="401"/>
      <c r="AF198" s="401"/>
    </row>
    <row r="199" spans="1:32" ht="15.75" thickBot="1" x14ac:dyDescent="0.3">
      <c r="A199" s="397"/>
      <c r="B199" s="430"/>
      <c r="C199" s="430"/>
      <c r="D199" s="430"/>
      <c r="E199" s="431" t="s">
        <v>5415</v>
      </c>
      <c r="F199" s="430"/>
      <c r="G199" s="401"/>
      <c r="H199" s="416">
        <f>+ROUND(H166+H184+H188+H197,0)</f>
        <v>25730875</v>
      </c>
      <c r="I199" s="397"/>
      <c r="J199" s="430"/>
      <c r="K199" s="430"/>
      <c r="L199" s="430"/>
      <c r="M199" s="431" t="s">
        <v>5415</v>
      </c>
      <c r="N199" s="430"/>
      <c r="O199" s="401"/>
      <c r="P199" s="416">
        <f>+ROUND(P166+P184+P188+P197,0)</f>
        <v>27571309</v>
      </c>
      <c r="Q199" s="397"/>
      <c r="R199" s="430"/>
      <c r="S199" s="430"/>
      <c r="T199" s="430"/>
      <c r="U199" s="431" t="s">
        <v>5415</v>
      </c>
      <c r="V199" s="430"/>
      <c r="W199" s="401"/>
      <c r="X199" s="416">
        <f>+ROUND(X166+X184+X188+X197,0)</f>
        <v>29595787</v>
      </c>
      <c r="Y199" s="397"/>
      <c r="Z199" s="430"/>
      <c r="AA199" s="430"/>
      <c r="AB199" s="430"/>
      <c r="AC199" s="431" t="s">
        <v>5415</v>
      </c>
      <c r="AD199" s="430"/>
      <c r="AE199" s="401"/>
      <c r="AF199" s="416">
        <f>+ROUND(AF166+AF184+AF188+AF197,0)</f>
        <v>30064945</v>
      </c>
    </row>
    <row r="204" spans="1:32" x14ac:dyDescent="0.25">
      <c r="A204" s="397"/>
      <c r="B204" s="2512" t="s">
        <v>5400</v>
      </c>
      <c r="C204" s="2512"/>
      <c r="D204" s="2512"/>
      <c r="E204" s="2512"/>
      <c r="F204" s="2512"/>
      <c r="G204" s="2512"/>
      <c r="H204" s="398"/>
      <c r="I204" s="397"/>
      <c r="J204" s="2512" t="s">
        <v>5400</v>
      </c>
      <c r="K204" s="2512"/>
      <c r="L204" s="2512"/>
      <c r="M204" s="2512"/>
      <c r="N204" s="2512"/>
      <c r="O204" s="2512"/>
      <c r="P204" s="398"/>
      <c r="Q204" s="397"/>
      <c r="R204" s="2512" t="s">
        <v>5400</v>
      </c>
      <c r="S204" s="2512"/>
      <c r="T204" s="2512"/>
      <c r="U204" s="2512"/>
      <c r="V204" s="2512"/>
      <c r="W204" s="2512"/>
      <c r="X204" s="398"/>
      <c r="Y204" s="397"/>
      <c r="Z204" s="2512" t="s">
        <v>5400</v>
      </c>
      <c r="AA204" s="2512"/>
      <c r="AB204" s="2512"/>
      <c r="AC204" s="2512"/>
      <c r="AD204" s="2512"/>
      <c r="AE204" s="2512"/>
      <c r="AF204" s="398"/>
    </row>
    <row r="205" spans="1:32" x14ac:dyDescent="0.25">
      <c r="A205" s="397"/>
      <c r="B205" s="399"/>
      <c r="C205" s="399"/>
      <c r="D205" s="397"/>
      <c r="E205" s="397"/>
      <c r="F205" s="400"/>
      <c r="G205" s="401"/>
      <c r="H205" s="401"/>
      <c r="I205" s="397"/>
      <c r="J205" s="399"/>
      <c r="K205" s="399"/>
      <c r="L205" s="397"/>
      <c r="M205" s="397"/>
      <c r="N205" s="400"/>
      <c r="O205" s="401"/>
      <c r="P205" s="401"/>
      <c r="Q205" s="397"/>
      <c r="R205" s="399"/>
      <c r="S205" s="399"/>
      <c r="T205" s="397"/>
      <c r="U205" s="397"/>
      <c r="V205" s="400"/>
      <c r="W205" s="401"/>
      <c r="X205" s="401"/>
      <c r="Y205" s="397"/>
      <c r="Z205" s="399"/>
      <c r="AA205" s="399"/>
      <c r="AB205" s="397"/>
      <c r="AC205" s="397"/>
      <c r="AD205" s="400"/>
      <c r="AE205" s="401"/>
      <c r="AF205" s="401"/>
    </row>
    <row r="206" spans="1:32" ht="24.95" customHeight="1" x14ac:dyDescent="0.25">
      <c r="A206" s="593" t="s">
        <v>5952</v>
      </c>
      <c r="B206" s="594">
        <v>9.1</v>
      </c>
      <c r="C206" s="2445" t="s">
        <v>6355</v>
      </c>
      <c r="D206" s="2445"/>
      <c r="E206" s="2445"/>
      <c r="F206" s="595" t="s">
        <v>867</v>
      </c>
      <c r="G206" s="139" t="s">
        <v>5424</v>
      </c>
      <c r="H206" s="134"/>
      <c r="I206" s="593" t="s">
        <v>5952</v>
      </c>
      <c r="J206" s="594">
        <v>9.1</v>
      </c>
      <c r="K206" s="2445" t="s">
        <v>6356</v>
      </c>
      <c r="L206" s="2445"/>
      <c r="M206" s="2445"/>
      <c r="N206" s="595" t="s">
        <v>867</v>
      </c>
      <c r="O206" s="139" t="s">
        <v>5424</v>
      </c>
      <c r="P206" s="134"/>
      <c r="Q206" s="593" t="s">
        <v>5952</v>
      </c>
      <c r="R206" s="594">
        <v>9.1</v>
      </c>
      <c r="S206" s="2445" t="s">
        <v>6357</v>
      </c>
      <c r="T206" s="2445"/>
      <c r="U206" s="2445"/>
      <c r="V206" s="595" t="s">
        <v>867</v>
      </c>
      <c r="W206" s="139" t="s">
        <v>5424</v>
      </c>
      <c r="X206" s="134"/>
      <c r="Y206" s="593" t="s">
        <v>5952</v>
      </c>
      <c r="Z206" s="594">
        <v>9.1</v>
      </c>
      <c r="AA206" s="2445" t="s">
        <v>6601</v>
      </c>
      <c r="AB206" s="2445"/>
      <c r="AC206" s="2445"/>
      <c r="AD206" s="595" t="s">
        <v>867</v>
      </c>
      <c r="AE206" s="139" t="s">
        <v>5424</v>
      </c>
      <c r="AF206" s="134"/>
    </row>
    <row r="207" spans="1:32" x14ac:dyDescent="0.25">
      <c r="A207" s="404"/>
      <c r="B207" s="405"/>
      <c r="C207" s="600"/>
      <c r="D207" s="600"/>
      <c r="E207" s="600"/>
      <c r="F207" s="400"/>
      <c r="G207" s="142"/>
      <c r="H207" s="134"/>
      <c r="I207" s="404"/>
      <c r="J207" s="405"/>
      <c r="K207" s="600"/>
      <c r="L207" s="600"/>
      <c r="M207" s="600"/>
      <c r="N207" s="400"/>
      <c r="O207" s="142"/>
      <c r="P207" s="134"/>
      <c r="Q207" s="404"/>
      <c r="R207" s="405"/>
      <c r="S207" s="600"/>
      <c r="T207" s="600"/>
      <c r="U207" s="600"/>
      <c r="V207" s="400"/>
      <c r="W207" s="142"/>
      <c r="X207" s="134"/>
      <c r="Y207" s="404"/>
      <c r="Z207" s="405"/>
      <c r="AA207" s="623"/>
      <c r="AB207" s="623"/>
      <c r="AC207" s="623"/>
      <c r="AD207" s="400"/>
      <c r="AE207" s="142"/>
      <c r="AF207" s="134"/>
    </row>
    <row r="208" spans="1:32" ht="15.75" thickBot="1" x14ac:dyDescent="0.3">
      <c r="A208" s="397"/>
      <c r="B208" s="397"/>
      <c r="C208" s="397"/>
      <c r="D208" s="397"/>
      <c r="E208" s="397"/>
      <c r="F208" s="400"/>
      <c r="G208" s="401"/>
      <c r="H208" s="401"/>
      <c r="I208" s="397"/>
      <c r="J208" s="397"/>
      <c r="K208" s="397"/>
      <c r="L208" s="397"/>
      <c r="M208" s="397"/>
      <c r="N208" s="400"/>
      <c r="O208" s="401"/>
      <c r="P208" s="401"/>
      <c r="Q208" s="397"/>
      <c r="R208" s="397"/>
      <c r="S208" s="397"/>
      <c r="T208" s="397"/>
      <c r="U208" s="397"/>
      <c r="V208" s="400"/>
      <c r="W208" s="401"/>
      <c r="X208" s="401"/>
      <c r="Y208" s="397"/>
      <c r="Z208" s="397"/>
      <c r="AA208" s="397"/>
      <c r="AB208" s="397"/>
      <c r="AC208" s="397"/>
      <c r="AD208" s="400"/>
      <c r="AE208" s="401"/>
      <c r="AF208" s="401"/>
    </row>
    <row r="209" spans="1:32" ht="15.75" thickBot="1" x14ac:dyDescent="0.3">
      <c r="A209" s="397"/>
      <c r="B209" s="407" t="s">
        <v>5403</v>
      </c>
      <c r="C209" s="408" t="s">
        <v>867</v>
      </c>
      <c r="D209" s="408" t="s">
        <v>6</v>
      </c>
      <c r="E209" s="408" t="s">
        <v>5439</v>
      </c>
      <c r="F209" s="408" t="s">
        <v>5405</v>
      </c>
      <c r="G209" s="409" t="s">
        <v>868</v>
      </c>
      <c r="H209" s="401"/>
      <c r="I209" s="397"/>
      <c r="J209" s="407" t="s">
        <v>5403</v>
      </c>
      <c r="K209" s="408" t="s">
        <v>867</v>
      </c>
      <c r="L209" s="408" t="s">
        <v>6</v>
      </c>
      <c r="M209" s="408" t="s">
        <v>5439</v>
      </c>
      <c r="N209" s="408" t="s">
        <v>5405</v>
      </c>
      <c r="O209" s="409" t="s">
        <v>868</v>
      </c>
      <c r="P209" s="401"/>
      <c r="Q209" s="397"/>
      <c r="R209" s="407" t="s">
        <v>5403</v>
      </c>
      <c r="S209" s="408" t="s">
        <v>867</v>
      </c>
      <c r="T209" s="408" t="s">
        <v>6</v>
      </c>
      <c r="U209" s="408" t="s">
        <v>5439</v>
      </c>
      <c r="V209" s="408" t="s">
        <v>5405</v>
      </c>
      <c r="W209" s="409" t="s">
        <v>868</v>
      </c>
      <c r="X209" s="401"/>
      <c r="Y209" s="397"/>
      <c r="Z209" s="407" t="s">
        <v>5403</v>
      </c>
      <c r="AA209" s="408" t="s">
        <v>867</v>
      </c>
      <c r="AB209" s="408" t="s">
        <v>6</v>
      </c>
      <c r="AC209" s="408" t="s">
        <v>5439</v>
      </c>
      <c r="AD209" s="408" t="s">
        <v>5405</v>
      </c>
      <c r="AE209" s="409" t="s">
        <v>868</v>
      </c>
      <c r="AF209" s="401"/>
    </row>
    <row r="210" spans="1:32" x14ac:dyDescent="0.25">
      <c r="A210" s="397"/>
      <c r="B210" s="381" t="s">
        <v>5934</v>
      </c>
      <c r="C210" s="382"/>
      <c r="D210" s="383"/>
      <c r="E210" s="384"/>
      <c r="F210" s="383"/>
      <c r="G210" s="410">
        <f>0.05*H250</f>
        <v>29692.5</v>
      </c>
      <c r="H210" s="401"/>
      <c r="I210" s="397"/>
      <c r="J210" s="381" t="s">
        <v>5934</v>
      </c>
      <c r="K210" s="382"/>
      <c r="L210" s="383"/>
      <c r="M210" s="384"/>
      <c r="N210" s="383"/>
      <c r="O210" s="410">
        <f>0.05*P250</f>
        <v>30514.722222222226</v>
      </c>
      <c r="P210" s="401"/>
      <c r="Q210" s="397"/>
      <c r="R210" s="381" t="s">
        <v>5934</v>
      </c>
      <c r="S210" s="382"/>
      <c r="T210" s="383"/>
      <c r="U210" s="384"/>
      <c r="V210" s="383"/>
      <c r="W210" s="410">
        <f>0.05*X250</f>
        <v>31542.5</v>
      </c>
      <c r="X210" s="401"/>
      <c r="Y210" s="397"/>
      <c r="Z210" s="381" t="s">
        <v>5934</v>
      </c>
      <c r="AA210" s="382"/>
      <c r="AB210" s="383"/>
      <c r="AC210" s="384"/>
      <c r="AD210" s="383"/>
      <c r="AE210" s="410">
        <f>0.05*AF250</f>
        <v>31542.5</v>
      </c>
      <c r="AF210" s="401"/>
    </row>
    <row r="211" spans="1:32" x14ac:dyDescent="0.25">
      <c r="A211" s="397"/>
      <c r="B211" s="385"/>
      <c r="C211" s="386"/>
      <c r="D211" s="387"/>
      <c r="E211" s="388"/>
      <c r="F211" s="387"/>
      <c r="G211" s="411"/>
      <c r="H211" s="401"/>
      <c r="I211" s="397"/>
      <c r="J211" s="385"/>
      <c r="K211" s="386"/>
      <c r="L211" s="387"/>
      <c r="M211" s="388"/>
      <c r="N211" s="387"/>
      <c r="O211" s="411"/>
      <c r="P211" s="401"/>
      <c r="Q211" s="397"/>
      <c r="R211" s="385"/>
      <c r="S211" s="386"/>
      <c r="T211" s="387"/>
      <c r="U211" s="388"/>
      <c r="V211" s="387"/>
      <c r="W211" s="411"/>
      <c r="X211" s="401"/>
      <c r="Y211" s="397"/>
      <c r="Z211" s="385"/>
      <c r="AA211" s="386"/>
      <c r="AB211" s="387"/>
      <c r="AC211" s="388"/>
      <c r="AD211" s="387"/>
      <c r="AE211" s="411"/>
      <c r="AF211" s="401"/>
    </row>
    <row r="212" spans="1:32" x14ac:dyDescent="0.25">
      <c r="A212" s="397"/>
      <c r="B212" s="385"/>
      <c r="C212" s="386"/>
      <c r="D212" s="387"/>
      <c r="E212" s="388"/>
      <c r="F212" s="387"/>
      <c r="G212" s="411"/>
      <c r="H212" s="401"/>
      <c r="I212" s="397"/>
      <c r="J212" s="385"/>
      <c r="K212" s="386"/>
      <c r="L212" s="387"/>
      <c r="M212" s="388"/>
      <c r="N212" s="387"/>
      <c r="O212" s="411"/>
      <c r="P212" s="401"/>
      <c r="Q212" s="397"/>
      <c r="R212" s="385"/>
      <c r="S212" s="386"/>
      <c r="T212" s="387"/>
      <c r="U212" s="388"/>
      <c r="V212" s="387"/>
      <c r="W212" s="411"/>
      <c r="X212" s="401"/>
      <c r="Y212" s="397"/>
      <c r="Z212" s="385"/>
      <c r="AA212" s="386"/>
      <c r="AB212" s="387"/>
      <c r="AC212" s="388"/>
      <c r="AD212" s="387"/>
      <c r="AE212" s="411"/>
      <c r="AF212" s="401"/>
    </row>
    <row r="213" spans="1:32" x14ac:dyDescent="0.25">
      <c r="A213" s="397"/>
      <c r="B213" s="385"/>
      <c r="C213" s="386"/>
      <c r="D213" s="387"/>
      <c r="E213" s="388"/>
      <c r="F213" s="387"/>
      <c r="G213" s="411"/>
      <c r="H213" s="401"/>
      <c r="I213" s="397"/>
      <c r="J213" s="385"/>
      <c r="K213" s="386"/>
      <c r="L213" s="387"/>
      <c r="M213" s="388"/>
      <c r="N213" s="387"/>
      <c r="O213" s="411"/>
      <c r="P213" s="401"/>
      <c r="Q213" s="397"/>
      <c r="R213" s="385"/>
      <c r="S213" s="386"/>
      <c r="T213" s="387"/>
      <c r="U213" s="388"/>
      <c r="V213" s="387"/>
      <c r="W213" s="411"/>
      <c r="X213" s="401"/>
      <c r="Y213" s="397"/>
      <c r="Z213" s="385"/>
      <c r="AA213" s="386"/>
      <c r="AB213" s="387"/>
      <c r="AC213" s="388"/>
      <c r="AD213" s="387"/>
      <c r="AE213" s="411"/>
      <c r="AF213" s="401"/>
    </row>
    <row r="214" spans="1:32" x14ac:dyDescent="0.25">
      <c r="A214" s="397"/>
      <c r="B214" s="385"/>
      <c r="C214" s="386"/>
      <c r="D214" s="387"/>
      <c r="E214" s="388"/>
      <c r="F214" s="387"/>
      <c r="G214" s="411"/>
      <c r="H214" s="401"/>
      <c r="I214" s="397"/>
      <c r="J214" s="385"/>
      <c r="K214" s="386"/>
      <c r="L214" s="387"/>
      <c r="M214" s="388"/>
      <c r="N214" s="387"/>
      <c r="O214" s="411"/>
      <c r="P214" s="401"/>
      <c r="Q214" s="397"/>
      <c r="R214" s="385"/>
      <c r="S214" s="386"/>
      <c r="T214" s="387"/>
      <c r="U214" s="388"/>
      <c r="V214" s="387"/>
      <c r="W214" s="411"/>
      <c r="X214" s="401"/>
      <c r="Y214" s="397"/>
      <c r="Z214" s="385"/>
      <c r="AA214" s="386"/>
      <c r="AB214" s="387"/>
      <c r="AC214" s="388"/>
      <c r="AD214" s="387"/>
      <c r="AE214" s="411"/>
      <c r="AF214" s="401"/>
    </row>
    <row r="215" spans="1:32" ht="15.75" thickBot="1" x14ac:dyDescent="0.3">
      <c r="A215" s="397"/>
      <c r="B215" s="385"/>
      <c r="C215" s="386"/>
      <c r="D215" s="387"/>
      <c r="E215" s="387"/>
      <c r="F215" s="387"/>
      <c r="G215" s="411"/>
      <c r="H215" s="401"/>
      <c r="I215" s="397"/>
      <c r="J215" s="385"/>
      <c r="K215" s="386"/>
      <c r="L215" s="387"/>
      <c r="M215" s="387"/>
      <c r="N215" s="387"/>
      <c r="O215" s="411"/>
      <c r="P215" s="401"/>
      <c r="Q215" s="397"/>
      <c r="R215" s="385"/>
      <c r="S215" s="386"/>
      <c r="T215" s="387"/>
      <c r="U215" s="387"/>
      <c r="V215" s="387"/>
      <c r="W215" s="411"/>
      <c r="X215" s="401"/>
      <c r="Y215" s="397"/>
      <c r="Z215" s="385"/>
      <c r="AA215" s="386"/>
      <c r="AB215" s="387"/>
      <c r="AC215" s="387"/>
      <c r="AD215" s="387"/>
      <c r="AE215" s="411"/>
      <c r="AF215" s="401"/>
    </row>
    <row r="216" spans="1:32" ht="15.75" thickBot="1" x14ac:dyDescent="0.3">
      <c r="A216" s="397"/>
      <c r="B216" s="412"/>
      <c r="C216" s="413"/>
      <c r="D216" s="414"/>
      <c r="E216" s="414"/>
      <c r="F216" s="414"/>
      <c r="G216" s="415"/>
      <c r="H216" s="416">
        <f>+SUM(G210:G216)</f>
        <v>29692.5</v>
      </c>
      <c r="I216" s="397"/>
      <c r="J216" s="412"/>
      <c r="K216" s="413"/>
      <c r="L216" s="414"/>
      <c r="M216" s="414"/>
      <c r="N216" s="414"/>
      <c r="O216" s="415"/>
      <c r="P216" s="416">
        <f>+SUM(O210:O216)</f>
        <v>30514.722222222226</v>
      </c>
      <c r="Q216" s="397"/>
      <c r="R216" s="412"/>
      <c r="S216" s="413"/>
      <c r="T216" s="414"/>
      <c r="U216" s="414"/>
      <c r="V216" s="414"/>
      <c r="W216" s="415"/>
      <c r="X216" s="416">
        <f>+SUM(W210:W216)</f>
        <v>31542.5</v>
      </c>
      <c r="Y216" s="397"/>
      <c r="Z216" s="412"/>
      <c r="AA216" s="413"/>
      <c r="AB216" s="414"/>
      <c r="AC216" s="414"/>
      <c r="AD216" s="414"/>
      <c r="AE216" s="415"/>
      <c r="AF216" s="416">
        <f>+SUM(AE210:AE216)</f>
        <v>31542.5</v>
      </c>
    </row>
    <row r="217" spans="1:32" ht="15.75" thickBot="1" x14ac:dyDescent="0.3">
      <c r="A217" s="397"/>
      <c r="B217" s="417"/>
      <c r="C217" s="418"/>
      <c r="D217" s="417"/>
      <c r="E217" s="417"/>
      <c r="F217" s="417"/>
      <c r="G217" s="419"/>
      <c r="H217" s="420"/>
      <c r="I217" s="397"/>
      <c r="J217" s="417"/>
      <c r="K217" s="418"/>
      <c r="L217" s="417"/>
      <c r="M217" s="417"/>
      <c r="N217" s="417"/>
      <c r="O217" s="419"/>
      <c r="P217" s="420"/>
      <c r="Q217" s="397"/>
      <c r="R217" s="417"/>
      <c r="S217" s="418"/>
      <c r="T217" s="417"/>
      <c r="U217" s="417"/>
      <c r="V217" s="417"/>
      <c r="W217" s="419"/>
      <c r="X217" s="420"/>
      <c r="Y217" s="397"/>
      <c r="Z217" s="417"/>
      <c r="AA217" s="418"/>
      <c r="AB217" s="417"/>
      <c r="AC217" s="417"/>
      <c r="AD217" s="417"/>
      <c r="AE217" s="419"/>
      <c r="AF217" s="420"/>
    </row>
    <row r="218" spans="1:32" ht="15.75" thickBot="1" x14ac:dyDescent="0.3">
      <c r="A218" s="397"/>
      <c r="B218" s="407" t="s">
        <v>5408</v>
      </c>
      <c r="C218" s="408" t="s">
        <v>867</v>
      </c>
      <c r="D218" s="408" t="s">
        <v>6</v>
      </c>
      <c r="E218" s="408" t="s">
        <v>870</v>
      </c>
      <c r="F218" s="408" t="s">
        <v>5409</v>
      </c>
      <c r="G218" s="409" t="s">
        <v>868</v>
      </c>
      <c r="H218" s="401"/>
      <c r="I218" s="397"/>
      <c r="J218" s="407" t="s">
        <v>5408</v>
      </c>
      <c r="K218" s="408" t="s">
        <v>867</v>
      </c>
      <c r="L218" s="408" t="s">
        <v>6</v>
      </c>
      <c r="M218" s="408" t="s">
        <v>870</v>
      </c>
      <c r="N218" s="408" t="s">
        <v>5409</v>
      </c>
      <c r="O218" s="409" t="s">
        <v>868</v>
      </c>
      <c r="P218" s="401"/>
      <c r="Q218" s="397"/>
      <c r="R218" s="407" t="s">
        <v>5408</v>
      </c>
      <c r="S218" s="408" t="s">
        <v>867</v>
      </c>
      <c r="T218" s="408" t="s">
        <v>6</v>
      </c>
      <c r="U218" s="408" t="s">
        <v>870</v>
      </c>
      <c r="V218" s="408" t="s">
        <v>5409</v>
      </c>
      <c r="W218" s="409" t="s">
        <v>868</v>
      </c>
      <c r="X218" s="401"/>
      <c r="Y218" s="397"/>
      <c r="Z218" s="407" t="s">
        <v>5408</v>
      </c>
      <c r="AA218" s="408" t="s">
        <v>867</v>
      </c>
      <c r="AB218" s="408" t="s">
        <v>6</v>
      </c>
      <c r="AC218" s="408" t="s">
        <v>870</v>
      </c>
      <c r="AD218" s="408" t="s">
        <v>5409</v>
      </c>
      <c r="AE218" s="409" t="s">
        <v>868</v>
      </c>
      <c r="AF218" s="401"/>
    </row>
    <row r="219" spans="1:32" x14ac:dyDescent="0.25">
      <c r="A219" s="397"/>
      <c r="B219" s="389" t="s">
        <v>6337</v>
      </c>
      <c r="C219" s="212" t="s">
        <v>6421</v>
      </c>
      <c r="D219" s="211">
        <v>8</v>
      </c>
      <c r="E219" s="345">
        <f>+'APU CAP 1-2'!$H$1150</f>
        <v>22263</v>
      </c>
      <c r="F219" s="169">
        <v>0.05</v>
      </c>
      <c r="G219" s="172">
        <f>+D219*E219*(1+F219)</f>
        <v>187009.2</v>
      </c>
      <c r="H219" s="401"/>
      <c r="I219" s="397"/>
      <c r="J219" s="389" t="s">
        <v>6337</v>
      </c>
      <c r="K219" s="212" t="s">
        <v>6421</v>
      </c>
      <c r="L219" s="211">
        <v>8</v>
      </c>
      <c r="M219" s="345">
        <f>+'APU CAP 1-2'!$H$1150</f>
        <v>22263</v>
      </c>
      <c r="N219" s="169">
        <v>0.05</v>
      </c>
      <c r="O219" s="172">
        <f>+L219*M219*(1+N219)</f>
        <v>187009.2</v>
      </c>
      <c r="P219" s="401"/>
      <c r="Q219" s="397"/>
      <c r="R219" s="389" t="s">
        <v>6337</v>
      </c>
      <c r="S219" s="212" t="s">
        <v>6421</v>
      </c>
      <c r="T219" s="211">
        <v>8</v>
      </c>
      <c r="U219" s="345">
        <f>+'APU CAP 1-2'!$H$1150</f>
        <v>22263</v>
      </c>
      <c r="V219" s="169">
        <v>0.05</v>
      </c>
      <c r="W219" s="172">
        <f>+T219*U219*(1+V219)</f>
        <v>187009.2</v>
      </c>
      <c r="X219" s="401"/>
      <c r="Y219" s="397"/>
      <c r="Z219" s="389" t="s">
        <v>6337</v>
      </c>
      <c r="AA219" s="212" t="s">
        <v>6421</v>
      </c>
      <c r="AB219" s="211">
        <v>8</v>
      </c>
      <c r="AC219" s="345">
        <f>+'APU CAP 1-2'!$H$1150</f>
        <v>22263</v>
      </c>
      <c r="AD219" s="169">
        <v>0.05</v>
      </c>
      <c r="AE219" s="172">
        <f>+AB219*AC219*(1+AD219)</f>
        <v>187009.2</v>
      </c>
      <c r="AF219" s="401"/>
    </row>
    <row r="220" spans="1:32" x14ac:dyDescent="0.25">
      <c r="A220" s="397"/>
      <c r="B220" s="391" t="s">
        <v>6345</v>
      </c>
      <c r="C220" s="212" t="s">
        <v>6421</v>
      </c>
      <c r="D220" s="212">
        <f>1.9*1.9*0.05</f>
        <v>0.18049999999999999</v>
      </c>
      <c r="E220" s="346">
        <f>+'APU CAP 5'!$H$160</f>
        <v>301336.95833333331</v>
      </c>
      <c r="F220" s="169">
        <v>0.05</v>
      </c>
      <c r="G220" s="172">
        <f t="shared" ref="G220:G236" si="20">+D220*E220*(1+F220)</f>
        <v>57110.887028124998</v>
      </c>
      <c r="H220" s="624"/>
      <c r="I220" s="397"/>
      <c r="J220" s="391" t="s">
        <v>6345</v>
      </c>
      <c r="K220" s="212" t="s">
        <v>6421</v>
      </c>
      <c r="L220" s="212">
        <f>1.9*1.9*0.05</f>
        <v>0.18049999999999999</v>
      </c>
      <c r="M220" s="346">
        <f>+'APU CAP 5'!$H$160</f>
        <v>301336.95833333331</v>
      </c>
      <c r="N220" s="169">
        <v>0.05</v>
      </c>
      <c r="O220" s="172">
        <f t="shared" ref="O220:O236" si="21">+L220*M220*(1+N220)</f>
        <v>57110.887028124998</v>
      </c>
      <c r="P220" s="401"/>
      <c r="Q220" s="397"/>
      <c r="R220" s="391" t="s">
        <v>6345</v>
      </c>
      <c r="S220" s="212" t="s">
        <v>6421</v>
      </c>
      <c r="T220" s="212">
        <f>1.9*1.9*0.05</f>
        <v>0.18049999999999999</v>
      </c>
      <c r="U220" s="346">
        <f>+'APU CAP 5'!$H$160</f>
        <v>301336.95833333331</v>
      </c>
      <c r="V220" s="169">
        <v>0.05</v>
      </c>
      <c r="W220" s="172">
        <f t="shared" ref="W220:W236" si="22">+T220*U220*(1+V220)</f>
        <v>57110.887028124998</v>
      </c>
      <c r="X220" s="401"/>
      <c r="Y220" s="397"/>
      <c r="Z220" s="391" t="s">
        <v>6345</v>
      </c>
      <c r="AA220" s="212" t="s">
        <v>6421</v>
      </c>
      <c r="AB220" s="212">
        <f>1.9*1.9*0.05</f>
        <v>0.18049999999999999</v>
      </c>
      <c r="AC220" s="346">
        <f>+'APU CAP 5'!$H$160</f>
        <v>301336.95833333331</v>
      </c>
      <c r="AD220" s="169">
        <v>0.05</v>
      </c>
      <c r="AE220" s="172">
        <f t="shared" ref="AE220:AE236" si="23">+AB220*AC220*(1+AD220)</f>
        <v>57110.887028124998</v>
      </c>
      <c r="AF220" s="401"/>
    </row>
    <row r="221" spans="1:32" x14ac:dyDescent="0.25">
      <c r="A221" s="397"/>
      <c r="B221" s="385" t="s">
        <v>6338</v>
      </c>
      <c r="C221" s="212" t="s">
        <v>6421</v>
      </c>
      <c r="D221" s="386">
        <v>0.74</v>
      </c>
      <c r="E221" s="384">
        <f>+'APU CAP 5'!$H$538</f>
        <v>554067</v>
      </c>
      <c r="F221" s="169">
        <v>0.05</v>
      </c>
      <c r="G221" s="172">
        <f t="shared" si="20"/>
        <v>430510.05900000001</v>
      </c>
      <c r="H221" s="401"/>
      <c r="I221" s="397"/>
      <c r="J221" s="385" t="s">
        <v>6338</v>
      </c>
      <c r="K221" s="212" t="s">
        <v>6421</v>
      </c>
      <c r="L221" s="386">
        <v>0.74</v>
      </c>
      <c r="M221" s="384">
        <f>+'APU CAP 5'!$H$538</f>
        <v>554067</v>
      </c>
      <c r="N221" s="169">
        <v>0.05</v>
      </c>
      <c r="O221" s="172">
        <f t="shared" si="21"/>
        <v>430510.05900000001</v>
      </c>
      <c r="P221" s="401"/>
      <c r="Q221" s="397"/>
      <c r="R221" s="385" t="s">
        <v>6338</v>
      </c>
      <c r="S221" s="212" t="s">
        <v>6421</v>
      </c>
      <c r="T221" s="386">
        <v>0.74</v>
      </c>
      <c r="U221" s="384">
        <f>+'APU CAP 5'!$H$538</f>
        <v>554067</v>
      </c>
      <c r="V221" s="169">
        <v>0.05</v>
      </c>
      <c r="W221" s="172">
        <f t="shared" si="22"/>
        <v>430510.05900000001</v>
      </c>
      <c r="X221" s="401"/>
      <c r="Y221" s="397"/>
      <c r="Z221" s="385" t="s">
        <v>6338</v>
      </c>
      <c r="AA221" s="212" t="s">
        <v>6421</v>
      </c>
      <c r="AB221" s="386">
        <v>0.74</v>
      </c>
      <c r="AC221" s="384">
        <f>+'APU CAP 5'!$H$538</f>
        <v>554067</v>
      </c>
      <c r="AD221" s="169">
        <v>0.05</v>
      </c>
      <c r="AE221" s="172">
        <f t="shared" si="23"/>
        <v>430510.05900000001</v>
      </c>
      <c r="AF221" s="401"/>
    </row>
    <row r="222" spans="1:32" x14ac:dyDescent="0.25">
      <c r="A222" s="404"/>
      <c r="B222" s="385" t="s">
        <v>6339</v>
      </c>
      <c r="C222" s="212" t="s">
        <v>6421</v>
      </c>
      <c r="D222" s="212">
        <v>2.88</v>
      </c>
      <c r="E222" s="395">
        <f>+'APU CAP 5'!$P$538</f>
        <v>669769.71428571432</v>
      </c>
      <c r="F222" s="169">
        <v>0.05</v>
      </c>
      <c r="G222" s="172">
        <f t="shared" si="20"/>
        <v>2025383.6160000002</v>
      </c>
      <c r="H222" s="134"/>
      <c r="I222" s="404"/>
      <c r="J222" s="385" t="s">
        <v>6339</v>
      </c>
      <c r="K222" s="212" t="s">
        <v>6421</v>
      </c>
      <c r="L222" s="212">
        <v>2.88</v>
      </c>
      <c r="M222" s="395">
        <f>+'APU CAP 5'!$P$538</f>
        <v>669769.71428571432</v>
      </c>
      <c r="N222" s="169">
        <v>0.05</v>
      </c>
      <c r="O222" s="172">
        <f t="shared" si="21"/>
        <v>2025383.6160000002</v>
      </c>
      <c r="P222" s="134"/>
      <c r="Q222" s="404"/>
      <c r="R222" s="385" t="s">
        <v>6339</v>
      </c>
      <c r="S222" s="212" t="s">
        <v>6421</v>
      </c>
      <c r="T222" s="212">
        <v>2.88</v>
      </c>
      <c r="U222" s="395">
        <f>+'APU CAP 5'!$P$538</f>
        <v>669769.71428571432</v>
      </c>
      <c r="V222" s="169">
        <v>0.05</v>
      </c>
      <c r="W222" s="172">
        <f t="shared" si="22"/>
        <v>2025383.6160000002</v>
      </c>
      <c r="X222" s="134"/>
      <c r="Y222" s="404"/>
      <c r="Z222" s="385" t="s">
        <v>6339</v>
      </c>
      <c r="AA222" s="212" t="s">
        <v>6421</v>
      </c>
      <c r="AB222" s="212">
        <v>2.88</v>
      </c>
      <c r="AC222" s="395">
        <f>+'APU CAP 5'!$P$538</f>
        <v>669769.71428571432</v>
      </c>
      <c r="AD222" s="169">
        <v>0.05</v>
      </c>
      <c r="AE222" s="172">
        <f t="shared" si="23"/>
        <v>2025383.6160000002</v>
      </c>
      <c r="AF222" s="134"/>
    </row>
    <row r="223" spans="1:32" x14ac:dyDescent="0.25">
      <c r="A223" s="397"/>
      <c r="B223" s="385" t="s">
        <v>5741</v>
      </c>
      <c r="C223" s="212" t="s">
        <v>5550</v>
      </c>
      <c r="D223" s="386">
        <f>3.6*150</f>
        <v>540</v>
      </c>
      <c r="E223" s="384">
        <f>+'APU CAP 5'!$H$970</f>
        <v>3455</v>
      </c>
      <c r="F223" s="169">
        <v>0.05</v>
      </c>
      <c r="G223" s="172">
        <f t="shared" si="20"/>
        <v>1958985</v>
      </c>
      <c r="H223" s="401"/>
      <c r="I223" s="397"/>
      <c r="J223" s="385" t="s">
        <v>5741</v>
      </c>
      <c r="K223" s="212" t="s">
        <v>5550</v>
      </c>
      <c r="L223" s="386">
        <f>3.6*150</f>
        <v>540</v>
      </c>
      <c r="M223" s="384">
        <f>+'APU CAP 5'!$H$970</f>
        <v>3455</v>
      </c>
      <c r="N223" s="169">
        <v>0.05</v>
      </c>
      <c r="O223" s="172">
        <f t="shared" si="21"/>
        <v>1958985</v>
      </c>
      <c r="P223" s="401"/>
      <c r="Q223" s="397"/>
      <c r="R223" s="385" t="s">
        <v>5741</v>
      </c>
      <c r="S223" s="212" t="s">
        <v>5550</v>
      </c>
      <c r="T223" s="386">
        <f>3.6*150</f>
        <v>540</v>
      </c>
      <c r="U223" s="384">
        <f>+'APU CAP 5'!$H$970</f>
        <v>3455</v>
      </c>
      <c r="V223" s="169">
        <v>0.05</v>
      </c>
      <c r="W223" s="172">
        <f t="shared" si="22"/>
        <v>1958985</v>
      </c>
      <c r="X223" s="401"/>
      <c r="Y223" s="397"/>
      <c r="Z223" s="385" t="s">
        <v>5741</v>
      </c>
      <c r="AA223" s="212" t="s">
        <v>5550</v>
      </c>
      <c r="AB223" s="386">
        <f>3.6*150</f>
        <v>540</v>
      </c>
      <c r="AC223" s="384">
        <f>+'APU CAP 5'!$H$970</f>
        <v>3455</v>
      </c>
      <c r="AD223" s="169">
        <v>0.05</v>
      </c>
      <c r="AE223" s="172">
        <f t="shared" si="23"/>
        <v>1958985</v>
      </c>
      <c r="AF223" s="401"/>
    </row>
    <row r="224" spans="1:32" x14ac:dyDescent="0.25">
      <c r="A224" s="397"/>
      <c r="B224" s="385" t="s">
        <v>5750</v>
      </c>
      <c r="C224" s="212" t="s">
        <v>5550</v>
      </c>
      <c r="D224" s="386">
        <f>+D222*0.005*450</f>
        <v>6.4799999999999995</v>
      </c>
      <c r="E224" s="421">
        <f>+'APU CAP 5'!$H$1078</f>
        <v>8894</v>
      </c>
      <c r="F224" s="169">
        <v>0.05</v>
      </c>
      <c r="G224" s="172">
        <f t="shared" si="20"/>
        <v>60514.775999999998</v>
      </c>
      <c r="H224" s="401"/>
      <c r="I224" s="397"/>
      <c r="J224" s="385" t="s">
        <v>5750</v>
      </c>
      <c r="K224" s="212" t="s">
        <v>5550</v>
      </c>
      <c r="L224" s="386">
        <f>+L222*0.005*450</f>
        <v>6.4799999999999995</v>
      </c>
      <c r="M224" s="421">
        <f>+'APU CAP 5'!$H$1078</f>
        <v>8894</v>
      </c>
      <c r="N224" s="169">
        <v>0.05</v>
      </c>
      <c r="O224" s="172">
        <f t="shared" si="21"/>
        <v>60514.775999999998</v>
      </c>
      <c r="P224" s="401"/>
      <c r="Q224" s="397"/>
      <c r="R224" s="385" t="s">
        <v>5750</v>
      </c>
      <c r="S224" s="212" t="s">
        <v>5550</v>
      </c>
      <c r="T224" s="386">
        <f>+T222*0.005*450</f>
        <v>6.4799999999999995</v>
      </c>
      <c r="U224" s="421">
        <f>+'APU CAP 5'!$H$1078</f>
        <v>8894</v>
      </c>
      <c r="V224" s="169">
        <v>0.05</v>
      </c>
      <c r="W224" s="172">
        <f t="shared" si="22"/>
        <v>60514.775999999998</v>
      </c>
      <c r="X224" s="401"/>
      <c r="Y224" s="397"/>
      <c r="Z224" s="385" t="s">
        <v>5750</v>
      </c>
      <c r="AA224" s="212" t="s">
        <v>5550</v>
      </c>
      <c r="AB224" s="386">
        <f>+AB222*0.005*450</f>
        <v>6.4799999999999995</v>
      </c>
      <c r="AC224" s="421">
        <f>+'APU CAP 5'!$H$1078</f>
        <v>8894</v>
      </c>
      <c r="AD224" s="169">
        <v>0.05</v>
      </c>
      <c r="AE224" s="172">
        <f t="shared" si="23"/>
        <v>60514.775999999998</v>
      </c>
      <c r="AF224" s="401"/>
    </row>
    <row r="225" spans="1:32" x14ac:dyDescent="0.25">
      <c r="A225" s="397"/>
      <c r="B225" s="385" t="s">
        <v>6340</v>
      </c>
      <c r="C225" s="212" t="s">
        <v>5402</v>
      </c>
      <c r="D225" s="386">
        <v>8</v>
      </c>
      <c r="E225" s="388">
        <f>+'APU CAP 5'!$H$1240</f>
        <v>31320</v>
      </c>
      <c r="F225" s="396">
        <v>0.05</v>
      </c>
      <c r="G225" s="172">
        <f t="shared" si="20"/>
        <v>263088</v>
      </c>
      <c r="H225" s="401"/>
      <c r="I225" s="397"/>
      <c r="J225" s="385" t="s">
        <v>6340</v>
      </c>
      <c r="K225" s="212" t="s">
        <v>5402</v>
      </c>
      <c r="L225" s="386">
        <v>8</v>
      </c>
      <c r="M225" s="388">
        <f>+'APU CAP 5'!$H$1240</f>
        <v>31320</v>
      </c>
      <c r="N225" s="169">
        <v>0.05</v>
      </c>
      <c r="O225" s="172">
        <f t="shared" si="21"/>
        <v>263088</v>
      </c>
      <c r="P225" s="401"/>
      <c r="Q225" s="397"/>
      <c r="R225" s="385" t="s">
        <v>6340</v>
      </c>
      <c r="S225" s="212" t="s">
        <v>5402</v>
      </c>
      <c r="T225" s="386">
        <v>8</v>
      </c>
      <c r="U225" s="388">
        <f>+'APU CAP 5'!$H$1240</f>
        <v>31320</v>
      </c>
      <c r="V225" s="169">
        <v>0.05</v>
      </c>
      <c r="W225" s="172">
        <f t="shared" si="22"/>
        <v>263088</v>
      </c>
      <c r="X225" s="401"/>
      <c r="Y225" s="397"/>
      <c r="Z225" s="385" t="s">
        <v>6340</v>
      </c>
      <c r="AA225" s="212" t="s">
        <v>5402</v>
      </c>
      <c r="AB225" s="386">
        <v>8</v>
      </c>
      <c r="AC225" s="388">
        <f>+'APU CAP 5'!$H$1240</f>
        <v>31320</v>
      </c>
      <c r="AD225" s="169">
        <v>0.05</v>
      </c>
      <c r="AE225" s="172">
        <f t="shared" si="23"/>
        <v>263088</v>
      </c>
      <c r="AF225" s="401"/>
    </row>
    <row r="226" spans="1:32" x14ac:dyDescent="0.25">
      <c r="A226" s="397"/>
      <c r="B226" s="385" t="s">
        <v>6341</v>
      </c>
      <c r="C226" s="212" t="s">
        <v>6421</v>
      </c>
      <c r="D226" s="386">
        <v>1</v>
      </c>
      <c r="E226" s="388">
        <f>+'APU CAP 1-2'!$H$2745</f>
        <v>11097</v>
      </c>
      <c r="F226" s="396">
        <v>0.05</v>
      </c>
      <c r="G226" s="172">
        <f t="shared" si="20"/>
        <v>11651.85</v>
      </c>
      <c r="H226" s="401">
        <f>SUM(G219:G226)</f>
        <v>4994253.3880281243</v>
      </c>
      <c r="I226" s="397"/>
      <c r="J226" s="385" t="s">
        <v>6341</v>
      </c>
      <c r="K226" s="212" t="s">
        <v>6421</v>
      </c>
      <c r="L226" s="386">
        <v>1</v>
      </c>
      <c r="M226" s="388">
        <f>+'APU CAP 1-2'!$H$2745</f>
        <v>11097</v>
      </c>
      <c r="N226" s="169">
        <v>0.05</v>
      </c>
      <c r="O226" s="172">
        <f t="shared" si="21"/>
        <v>11651.85</v>
      </c>
      <c r="P226" s="401">
        <f>SUM(O219:O226)</f>
        <v>4994253.3880281243</v>
      </c>
      <c r="Q226" s="397"/>
      <c r="R226" s="385" t="s">
        <v>6341</v>
      </c>
      <c r="S226" s="212" t="s">
        <v>6421</v>
      </c>
      <c r="T226" s="386">
        <v>1</v>
      </c>
      <c r="U226" s="388">
        <f>+'APU CAP 1-2'!$H$2745</f>
        <v>11097</v>
      </c>
      <c r="V226" s="169">
        <v>0.05</v>
      </c>
      <c r="W226" s="172">
        <f t="shared" si="22"/>
        <v>11651.85</v>
      </c>
      <c r="X226" s="401">
        <f>SUM(W219:W226)</f>
        <v>4994253.3880281243</v>
      </c>
      <c r="Y226" s="397"/>
      <c r="Z226" s="385" t="s">
        <v>6341</v>
      </c>
      <c r="AA226" s="212" t="s">
        <v>6421</v>
      </c>
      <c r="AB226" s="386">
        <v>1</v>
      </c>
      <c r="AC226" s="388">
        <f>+'APU CAP 1-2'!$H$2745</f>
        <v>11097</v>
      </c>
      <c r="AD226" s="169">
        <v>0.05</v>
      </c>
      <c r="AE226" s="172">
        <f t="shared" si="23"/>
        <v>11651.85</v>
      </c>
      <c r="AF226" s="401">
        <f>SUM(AE219:AE226)</f>
        <v>4994253.3880281243</v>
      </c>
    </row>
    <row r="227" spans="1:32" x14ac:dyDescent="0.25">
      <c r="A227" s="397"/>
      <c r="B227" s="385" t="s">
        <v>6577</v>
      </c>
      <c r="C227" s="386" t="s">
        <v>5424</v>
      </c>
      <c r="D227" s="386">
        <v>1</v>
      </c>
      <c r="E227" s="388">
        <f>+SUM!H1440</f>
        <v>328494</v>
      </c>
      <c r="F227" s="396"/>
      <c r="G227" s="172">
        <f t="shared" si="20"/>
        <v>328494</v>
      </c>
      <c r="H227" s="401"/>
      <c r="I227" s="397"/>
      <c r="J227" s="385" t="s">
        <v>6577</v>
      </c>
      <c r="K227" s="386" t="s">
        <v>5424</v>
      </c>
      <c r="L227" s="386">
        <v>1</v>
      </c>
      <c r="M227" s="388">
        <f t="shared" ref="M227:M234" si="24">+E227*1.1</f>
        <v>361343.4</v>
      </c>
      <c r="N227" s="396"/>
      <c r="O227" s="172">
        <f t="shared" si="21"/>
        <v>361343.4</v>
      </c>
      <c r="P227" s="401"/>
      <c r="Q227" s="397"/>
      <c r="R227" s="385" t="s">
        <v>6577</v>
      </c>
      <c r="S227" s="386" t="s">
        <v>5424</v>
      </c>
      <c r="T227" s="386">
        <v>1</v>
      </c>
      <c r="U227" s="388">
        <f t="shared" ref="U227:U234" si="25">+M227*1.1</f>
        <v>397477.74000000005</v>
      </c>
      <c r="V227" s="396"/>
      <c r="W227" s="172">
        <f t="shared" si="22"/>
        <v>397477.74000000005</v>
      </c>
      <c r="X227" s="401"/>
      <c r="Y227" s="397"/>
      <c r="Z227" s="385" t="s">
        <v>6577</v>
      </c>
      <c r="AA227" s="386" t="s">
        <v>5424</v>
      </c>
      <c r="AB227" s="386">
        <v>1</v>
      </c>
      <c r="AC227" s="388">
        <f>+E227</f>
        <v>328494</v>
      </c>
      <c r="AD227" s="396"/>
      <c r="AE227" s="172">
        <f t="shared" si="23"/>
        <v>328494</v>
      </c>
      <c r="AF227" s="401"/>
    </row>
    <row r="228" spans="1:32" x14ac:dyDescent="0.25">
      <c r="A228" s="397"/>
      <c r="B228" s="385" t="s">
        <v>6573</v>
      </c>
      <c r="C228" s="386" t="s">
        <v>5424</v>
      </c>
      <c r="D228" s="386">
        <v>2</v>
      </c>
      <c r="E228" s="388">
        <f>+E177</f>
        <v>2675780</v>
      </c>
      <c r="F228" s="396"/>
      <c r="G228" s="172">
        <f t="shared" si="20"/>
        <v>5351560</v>
      </c>
      <c r="H228" s="401"/>
      <c r="I228" s="397"/>
      <c r="J228" s="385" t="s">
        <v>6369</v>
      </c>
      <c r="K228" s="386" t="s">
        <v>5424</v>
      </c>
      <c r="L228" s="386">
        <v>2</v>
      </c>
      <c r="M228" s="388">
        <f t="shared" si="24"/>
        <v>2943358.0000000005</v>
      </c>
      <c r="N228" s="396"/>
      <c r="O228" s="172">
        <f t="shared" si="21"/>
        <v>5886716.0000000009</v>
      </c>
      <c r="P228" s="401"/>
      <c r="Q228" s="397"/>
      <c r="R228" s="385" t="s">
        <v>6369</v>
      </c>
      <c r="S228" s="386" t="s">
        <v>5424</v>
      </c>
      <c r="T228" s="386">
        <v>2</v>
      </c>
      <c r="U228" s="388">
        <f t="shared" si="25"/>
        <v>3237693.8000000007</v>
      </c>
      <c r="V228" s="396"/>
      <c r="W228" s="172">
        <f t="shared" si="22"/>
        <v>6475387.6000000015</v>
      </c>
      <c r="X228" s="401"/>
      <c r="Y228" s="397"/>
      <c r="Z228" s="385" t="s">
        <v>6602</v>
      </c>
      <c r="AA228" s="386" t="s">
        <v>5424</v>
      </c>
      <c r="AB228" s="386">
        <v>2</v>
      </c>
      <c r="AC228" s="388">
        <f>+SUM!H2075</f>
        <v>2226161</v>
      </c>
      <c r="AD228" s="396"/>
      <c r="AE228" s="172">
        <f t="shared" si="23"/>
        <v>4452322</v>
      </c>
      <c r="AF228" s="401"/>
    </row>
    <row r="229" spans="1:32" x14ac:dyDescent="0.25">
      <c r="A229" s="397"/>
      <c r="B229" s="385" t="s">
        <v>6578</v>
      </c>
      <c r="C229" s="386" t="s">
        <v>5424</v>
      </c>
      <c r="D229" s="386">
        <v>1</v>
      </c>
      <c r="E229" s="388">
        <f>+SUM!H2099</f>
        <v>470145</v>
      </c>
      <c r="F229" s="396"/>
      <c r="G229" s="172">
        <f t="shared" si="20"/>
        <v>470145</v>
      </c>
      <c r="H229" s="401"/>
      <c r="I229" s="397"/>
      <c r="J229" s="385" t="s">
        <v>6537</v>
      </c>
      <c r="K229" s="386" t="s">
        <v>5424</v>
      </c>
      <c r="L229" s="386">
        <v>1</v>
      </c>
      <c r="M229" s="388">
        <f t="shared" si="24"/>
        <v>517159.50000000006</v>
      </c>
      <c r="N229" s="396"/>
      <c r="O229" s="172">
        <f t="shared" si="21"/>
        <v>517159.50000000006</v>
      </c>
      <c r="P229" s="401"/>
      <c r="Q229" s="397"/>
      <c r="R229" s="385" t="s">
        <v>6537</v>
      </c>
      <c r="S229" s="386" t="s">
        <v>5424</v>
      </c>
      <c r="T229" s="386">
        <v>1</v>
      </c>
      <c r="U229" s="388">
        <f t="shared" si="25"/>
        <v>568875.45000000007</v>
      </c>
      <c r="V229" s="396"/>
      <c r="W229" s="172">
        <f t="shared" si="22"/>
        <v>568875.45000000007</v>
      </c>
      <c r="X229" s="401"/>
      <c r="Y229" s="397"/>
      <c r="Z229" s="385" t="s">
        <v>6537</v>
      </c>
      <c r="AA229" s="386" t="s">
        <v>5424</v>
      </c>
      <c r="AB229" s="386">
        <v>1</v>
      </c>
      <c r="AC229" s="388">
        <f>+E229</f>
        <v>470145</v>
      </c>
      <c r="AD229" s="396"/>
      <c r="AE229" s="172">
        <f t="shared" si="23"/>
        <v>470145</v>
      </c>
      <c r="AF229" s="401"/>
    </row>
    <row r="230" spans="1:32" x14ac:dyDescent="0.25">
      <c r="A230" s="397"/>
      <c r="B230" s="385" t="s">
        <v>6576</v>
      </c>
      <c r="C230" s="386" t="s">
        <v>5424</v>
      </c>
      <c r="D230" s="386">
        <v>1</v>
      </c>
      <c r="E230" s="388">
        <f>+SUM!H1911</f>
        <v>533287</v>
      </c>
      <c r="F230" s="396"/>
      <c r="G230" s="172">
        <f t="shared" si="20"/>
        <v>533287</v>
      </c>
      <c r="H230" s="401"/>
      <c r="I230" s="397"/>
      <c r="J230" s="385" t="s">
        <v>6576</v>
      </c>
      <c r="K230" s="386" t="s">
        <v>5424</v>
      </c>
      <c r="L230" s="386">
        <v>1</v>
      </c>
      <c r="M230" s="388">
        <f t="shared" si="24"/>
        <v>586615.70000000007</v>
      </c>
      <c r="N230" s="396"/>
      <c r="O230" s="172">
        <f t="shared" si="21"/>
        <v>586615.70000000007</v>
      </c>
      <c r="P230" s="401"/>
      <c r="Q230" s="397"/>
      <c r="R230" s="385" t="s">
        <v>6576</v>
      </c>
      <c r="S230" s="386" t="s">
        <v>5424</v>
      </c>
      <c r="T230" s="386">
        <v>1</v>
      </c>
      <c r="U230" s="388">
        <f t="shared" si="25"/>
        <v>645277.27000000014</v>
      </c>
      <c r="V230" s="396"/>
      <c r="W230" s="172">
        <f t="shared" si="22"/>
        <v>645277.27000000014</v>
      </c>
      <c r="X230" s="401"/>
      <c r="Y230" s="397"/>
      <c r="Z230" s="385" t="s">
        <v>6576</v>
      </c>
      <c r="AA230" s="386" t="s">
        <v>5424</v>
      </c>
      <c r="AB230" s="386">
        <v>1</v>
      </c>
      <c r="AC230" s="388">
        <f>+E230</f>
        <v>533287</v>
      </c>
      <c r="AD230" s="396"/>
      <c r="AE230" s="172">
        <f t="shared" si="23"/>
        <v>533287</v>
      </c>
      <c r="AF230" s="401"/>
    </row>
    <row r="231" spans="1:32" x14ac:dyDescent="0.25">
      <c r="A231" s="397"/>
      <c r="B231" s="385" t="s">
        <v>6575</v>
      </c>
      <c r="C231" s="386" t="s">
        <v>5424</v>
      </c>
      <c r="D231" s="386">
        <v>1</v>
      </c>
      <c r="E231" s="388">
        <f>+SUM!H2278</f>
        <v>4640437</v>
      </c>
      <c r="F231" s="396"/>
      <c r="G231" s="172">
        <f t="shared" si="20"/>
        <v>4640437</v>
      </c>
      <c r="H231" s="401"/>
      <c r="I231" s="397"/>
      <c r="J231" s="385" t="s">
        <v>6575</v>
      </c>
      <c r="K231" s="386" t="s">
        <v>5424</v>
      </c>
      <c r="L231" s="386">
        <v>1</v>
      </c>
      <c r="M231" s="388">
        <f t="shared" si="24"/>
        <v>5104480.7</v>
      </c>
      <c r="N231" s="396"/>
      <c r="O231" s="172">
        <f t="shared" si="21"/>
        <v>5104480.7</v>
      </c>
      <c r="P231" s="401"/>
      <c r="Q231" s="397"/>
      <c r="R231" s="385" t="s">
        <v>6575</v>
      </c>
      <c r="S231" s="386" t="s">
        <v>5424</v>
      </c>
      <c r="T231" s="386">
        <v>1</v>
      </c>
      <c r="U231" s="388">
        <f t="shared" si="25"/>
        <v>5614928.7700000005</v>
      </c>
      <c r="V231" s="396"/>
      <c r="W231" s="172">
        <f t="shared" si="22"/>
        <v>5614928.7700000005</v>
      </c>
      <c r="X231" s="401"/>
      <c r="Y231" s="397"/>
      <c r="Z231" s="385" t="s">
        <v>6575</v>
      </c>
      <c r="AA231" s="386" t="s">
        <v>5424</v>
      </c>
      <c r="AB231" s="386">
        <v>1</v>
      </c>
      <c r="AC231" s="388">
        <f>+E231</f>
        <v>4640437</v>
      </c>
      <c r="AD231" s="396"/>
      <c r="AE231" s="172">
        <f t="shared" si="23"/>
        <v>4640437</v>
      </c>
      <c r="AF231" s="401"/>
    </row>
    <row r="232" spans="1:32" x14ac:dyDescent="0.25">
      <c r="A232" s="397"/>
      <c r="B232" s="385" t="s">
        <v>6568</v>
      </c>
      <c r="C232" s="386" t="s">
        <v>5424</v>
      </c>
      <c r="D232" s="386">
        <v>1</v>
      </c>
      <c r="E232" s="388">
        <f>+E181</f>
        <v>814038</v>
      </c>
      <c r="F232" s="396"/>
      <c r="G232" s="172">
        <f t="shared" si="20"/>
        <v>814038</v>
      </c>
      <c r="H232" s="401"/>
      <c r="I232" s="397"/>
      <c r="J232" s="385" t="s">
        <v>6568</v>
      </c>
      <c r="K232" s="386" t="s">
        <v>5424</v>
      </c>
      <c r="L232" s="386">
        <v>1</v>
      </c>
      <c r="M232" s="388">
        <f t="shared" si="24"/>
        <v>895441.8</v>
      </c>
      <c r="N232" s="396"/>
      <c r="O232" s="172">
        <f t="shared" si="21"/>
        <v>895441.8</v>
      </c>
      <c r="P232" s="401"/>
      <c r="Q232" s="397"/>
      <c r="R232" s="385" t="s">
        <v>6568</v>
      </c>
      <c r="S232" s="386" t="s">
        <v>5424</v>
      </c>
      <c r="T232" s="386">
        <v>1</v>
      </c>
      <c r="U232" s="388">
        <f t="shared" si="25"/>
        <v>984985.9800000001</v>
      </c>
      <c r="V232" s="396"/>
      <c r="W232" s="172">
        <f t="shared" si="22"/>
        <v>984985.9800000001</v>
      </c>
      <c r="X232" s="401"/>
      <c r="Y232" s="397"/>
      <c r="Z232" s="385" t="s">
        <v>6568</v>
      </c>
      <c r="AA232" s="386" t="s">
        <v>5424</v>
      </c>
      <c r="AB232" s="386">
        <v>1</v>
      </c>
      <c r="AC232" s="388">
        <f>+E232</f>
        <v>814038</v>
      </c>
      <c r="AD232" s="396"/>
      <c r="AE232" s="172">
        <f t="shared" si="23"/>
        <v>814038</v>
      </c>
      <c r="AF232" s="401"/>
    </row>
    <row r="233" spans="1:32" x14ac:dyDescent="0.25">
      <c r="A233" s="397"/>
      <c r="B233" s="385" t="s">
        <v>6538</v>
      </c>
      <c r="C233" s="386" t="s">
        <v>5424</v>
      </c>
      <c r="D233" s="386">
        <v>1</v>
      </c>
      <c r="E233" s="388">
        <f>+SUM!H$1937</f>
        <v>112705</v>
      </c>
      <c r="F233" s="396"/>
      <c r="G233" s="172">
        <f t="shared" si="20"/>
        <v>112705</v>
      </c>
      <c r="H233" s="401"/>
      <c r="I233" s="397"/>
      <c r="J233" s="385" t="s">
        <v>6538</v>
      </c>
      <c r="K233" s="386" t="s">
        <v>5424</v>
      </c>
      <c r="L233" s="386">
        <v>1</v>
      </c>
      <c r="M233" s="388">
        <f t="shared" si="24"/>
        <v>123975.50000000001</v>
      </c>
      <c r="N233" s="396"/>
      <c r="O233" s="172">
        <f t="shared" si="21"/>
        <v>123975.50000000001</v>
      </c>
      <c r="P233" s="401"/>
      <c r="Q233" s="397"/>
      <c r="R233" s="385" t="s">
        <v>6538</v>
      </c>
      <c r="S233" s="386" t="s">
        <v>5424</v>
      </c>
      <c r="T233" s="386">
        <v>1</v>
      </c>
      <c r="U233" s="388">
        <f t="shared" si="25"/>
        <v>136373.05000000002</v>
      </c>
      <c r="V233" s="396"/>
      <c r="W233" s="172">
        <f t="shared" si="22"/>
        <v>136373.05000000002</v>
      </c>
      <c r="X233" s="401"/>
      <c r="Y233" s="397"/>
      <c r="Z233" s="385" t="s">
        <v>6538</v>
      </c>
      <c r="AA233" s="386" t="s">
        <v>5424</v>
      </c>
      <c r="AB233" s="386">
        <v>1</v>
      </c>
      <c r="AC233" s="388">
        <f>+E233</f>
        <v>112705</v>
      </c>
      <c r="AD233" s="396"/>
      <c r="AE233" s="172">
        <f t="shared" si="23"/>
        <v>112705</v>
      </c>
      <c r="AF233" s="401"/>
    </row>
    <row r="234" spans="1:32" x14ac:dyDescent="0.25">
      <c r="A234" s="397"/>
      <c r="B234" s="385" t="s">
        <v>6373</v>
      </c>
      <c r="C234" s="386"/>
      <c r="D234" s="386">
        <v>2</v>
      </c>
      <c r="E234" s="388">
        <f>+SUM!H1962</f>
        <v>1285111</v>
      </c>
      <c r="F234" s="396"/>
      <c r="G234" s="172">
        <f t="shared" si="20"/>
        <v>2570222</v>
      </c>
      <c r="H234" s="401"/>
      <c r="I234" s="397"/>
      <c r="J234" s="385" t="s">
        <v>6373</v>
      </c>
      <c r="K234" s="386" t="s">
        <v>5424</v>
      </c>
      <c r="L234" s="386">
        <v>2</v>
      </c>
      <c r="M234" s="388">
        <f t="shared" si="24"/>
        <v>1413622.1</v>
      </c>
      <c r="N234" s="396"/>
      <c r="O234" s="172">
        <f t="shared" si="21"/>
        <v>2827244.2</v>
      </c>
      <c r="P234" s="401"/>
      <c r="Q234" s="397"/>
      <c r="R234" s="385" t="s">
        <v>6373</v>
      </c>
      <c r="S234" s="386" t="s">
        <v>5424</v>
      </c>
      <c r="T234" s="386">
        <v>2</v>
      </c>
      <c r="U234" s="388">
        <f t="shared" si="25"/>
        <v>1554984.3100000003</v>
      </c>
      <c r="V234" s="396"/>
      <c r="W234" s="172">
        <f t="shared" si="22"/>
        <v>3109968.6200000006</v>
      </c>
      <c r="X234" s="401"/>
      <c r="Y234" s="397"/>
      <c r="Z234" s="385" t="s">
        <v>6599</v>
      </c>
      <c r="AA234" s="386" t="s">
        <v>5424</v>
      </c>
      <c r="AB234" s="386">
        <v>2</v>
      </c>
      <c r="AC234" s="388">
        <f>+AC182</f>
        <v>645992</v>
      </c>
      <c r="AD234" s="396"/>
      <c r="AE234" s="172">
        <f t="shared" si="23"/>
        <v>1291984</v>
      </c>
      <c r="AF234" s="401"/>
    </row>
    <row r="235" spans="1:32" x14ac:dyDescent="0.25">
      <c r="A235" s="397"/>
      <c r="B235" s="385" t="s">
        <v>6342</v>
      </c>
      <c r="C235" s="386" t="s">
        <v>5424</v>
      </c>
      <c r="D235" s="386">
        <v>4</v>
      </c>
      <c r="E235" s="605">
        <f>+'APU CAP 8'!$H$47</f>
        <v>42295</v>
      </c>
      <c r="F235" s="387"/>
      <c r="G235" s="172">
        <f t="shared" si="20"/>
        <v>169180</v>
      </c>
      <c r="H235" s="401"/>
      <c r="I235" s="397"/>
      <c r="J235" s="385" t="s">
        <v>6342</v>
      </c>
      <c r="K235" s="386" t="s">
        <v>5424</v>
      </c>
      <c r="L235" s="386">
        <v>4</v>
      </c>
      <c r="M235" s="605">
        <f>+'APU CAP 8'!$H$47</f>
        <v>42295</v>
      </c>
      <c r="N235" s="387"/>
      <c r="O235" s="172">
        <f t="shared" si="21"/>
        <v>169180</v>
      </c>
      <c r="P235" s="401"/>
      <c r="Q235" s="397"/>
      <c r="R235" s="385" t="s">
        <v>6342</v>
      </c>
      <c r="S235" s="386" t="s">
        <v>5424</v>
      </c>
      <c r="T235" s="386">
        <v>4</v>
      </c>
      <c r="U235" s="605">
        <f>+'APU CAP 8'!$H$47</f>
        <v>42295</v>
      </c>
      <c r="V235" s="387"/>
      <c r="W235" s="172">
        <f t="shared" si="22"/>
        <v>169180</v>
      </c>
      <c r="X235" s="401"/>
      <c r="Y235" s="397"/>
      <c r="Z235" s="385" t="s">
        <v>6342</v>
      </c>
      <c r="AA235" s="386" t="s">
        <v>5424</v>
      </c>
      <c r="AB235" s="386">
        <v>4</v>
      </c>
      <c r="AC235" s="605">
        <f>+'APU CAP 8'!$H$47</f>
        <v>42295</v>
      </c>
      <c r="AD235" s="387"/>
      <c r="AE235" s="172">
        <f t="shared" si="23"/>
        <v>169180</v>
      </c>
      <c r="AF235" s="401"/>
    </row>
    <row r="236" spans="1:32" ht="15.75" thickBot="1" x14ac:dyDescent="0.3">
      <c r="A236" s="397"/>
      <c r="B236" s="385" t="s">
        <v>6343</v>
      </c>
      <c r="C236" s="386" t="s">
        <v>5424</v>
      </c>
      <c r="D236" s="386">
        <v>1</v>
      </c>
      <c r="E236" s="388">
        <f>+SUM!$H$2409</f>
        <v>677604</v>
      </c>
      <c r="F236" s="596"/>
      <c r="G236" s="172">
        <f t="shared" si="20"/>
        <v>677604</v>
      </c>
      <c r="H236" s="401"/>
      <c r="I236" s="397"/>
      <c r="J236" s="385" t="s">
        <v>6343</v>
      </c>
      <c r="K236" s="386" t="s">
        <v>5424</v>
      </c>
      <c r="L236" s="386">
        <v>1</v>
      </c>
      <c r="M236" s="388">
        <f>+SUM!$H$2409</f>
        <v>677604</v>
      </c>
      <c r="N236" s="596"/>
      <c r="O236" s="172">
        <f t="shared" si="21"/>
        <v>677604</v>
      </c>
      <c r="P236" s="401"/>
      <c r="Q236" s="397"/>
      <c r="R236" s="385" t="s">
        <v>6343</v>
      </c>
      <c r="S236" s="386" t="s">
        <v>5424</v>
      </c>
      <c r="T236" s="386">
        <v>1</v>
      </c>
      <c r="U236" s="388">
        <f>+SUM!$H$2409</f>
        <v>677604</v>
      </c>
      <c r="V236" s="596"/>
      <c r="W236" s="172">
        <f t="shared" si="22"/>
        <v>677604</v>
      </c>
      <c r="X236" s="401"/>
      <c r="Y236" s="397"/>
      <c r="Z236" s="385" t="s">
        <v>6343</v>
      </c>
      <c r="AA236" s="386" t="s">
        <v>5424</v>
      </c>
      <c r="AB236" s="386">
        <v>1</v>
      </c>
      <c r="AC236" s="388">
        <f>+SUM!$H$2409</f>
        <v>677604</v>
      </c>
      <c r="AD236" s="596"/>
      <c r="AE236" s="172">
        <f t="shared" si="23"/>
        <v>677604</v>
      </c>
      <c r="AF236" s="401"/>
    </row>
    <row r="237" spans="1:32" ht="15.75" thickBot="1" x14ac:dyDescent="0.3">
      <c r="A237" s="397"/>
      <c r="B237" s="412"/>
      <c r="C237" s="413"/>
      <c r="D237" s="413"/>
      <c r="E237" s="423"/>
      <c r="F237" s="597"/>
      <c r="G237" s="410"/>
      <c r="H237" s="416">
        <f>+SUM(G219:G237)</f>
        <v>20661925.388028122</v>
      </c>
      <c r="I237" s="397"/>
      <c r="J237" s="412"/>
      <c r="K237" s="413"/>
      <c r="L237" s="413"/>
      <c r="M237" s="423"/>
      <c r="N237" s="597"/>
      <c r="O237" s="410"/>
      <c r="P237" s="416">
        <f>+SUM(O219:O237)</f>
        <v>22144014.188028123</v>
      </c>
      <c r="Q237" s="397"/>
      <c r="R237" s="412"/>
      <c r="S237" s="413"/>
      <c r="T237" s="413"/>
      <c r="U237" s="423"/>
      <c r="V237" s="597"/>
      <c r="W237" s="410"/>
      <c r="X237" s="416">
        <f>+SUM(W219:W237)</f>
        <v>23774311.868028127</v>
      </c>
      <c r="Y237" s="397"/>
      <c r="Z237" s="412"/>
      <c r="AA237" s="413"/>
      <c r="AB237" s="413"/>
      <c r="AC237" s="423"/>
      <c r="AD237" s="597"/>
      <c r="AE237" s="410"/>
      <c r="AF237" s="416">
        <f>+SUM(AE219:AE237)</f>
        <v>18484449.388028122</v>
      </c>
    </row>
    <row r="238" spans="1:32" ht="15.75" thickBot="1" x14ac:dyDescent="0.3">
      <c r="A238" s="397"/>
      <c r="B238" s="417"/>
      <c r="C238" s="417"/>
      <c r="D238" s="417"/>
      <c r="E238" s="417"/>
      <c r="F238" s="417"/>
      <c r="G238" s="419"/>
      <c r="H238" s="420"/>
      <c r="I238" s="397"/>
      <c r="J238" s="417"/>
      <c r="K238" s="417"/>
      <c r="L238" s="417"/>
      <c r="M238" s="417"/>
      <c r="N238" s="417"/>
      <c r="O238" s="419"/>
      <c r="P238" s="420"/>
      <c r="Q238" s="397"/>
      <c r="R238" s="417"/>
      <c r="S238" s="417"/>
      <c r="T238" s="417"/>
      <c r="U238" s="417"/>
      <c r="V238" s="417"/>
      <c r="W238" s="419"/>
      <c r="X238" s="420"/>
      <c r="Y238" s="397"/>
      <c r="Z238" s="417"/>
      <c r="AA238" s="417"/>
      <c r="AB238" s="417"/>
      <c r="AC238" s="417"/>
      <c r="AD238" s="417"/>
      <c r="AE238" s="419"/>
      <c r="AF238" s="420"/>
    </row>
    <row r="239" spans="1:32" ht="15.75" thickBot="1" x14ac:dyDescent="0.3">
      <c r="A239" s="397"/>
      <c r="B239" s="407" t="s">
        <v>5410</v>
      </c>
      <c r="C239" s="408" t="s">
        <v>867</v>
      </c>
      <c r="D239" s="408" t="s">
        <v>6</v>
      </c>
      <c r="E239" s="408" t="s">
        <v>870</v>
      </c>
      <c r="F239" s="408" t="s">
        <v>5411</v>
      </c>
      <c r="G239" s="409" t="s">
        <v>868</v>
      </c>
      <c r="H239" s="401"/>
      <c r="I239" s="397"/>
      <c r="J239" s="407" t="s">
        <v>5410</v>
      </c>
      <c r="K239" s="408" t="s">
        <v>867</v>
      </c>
      <c r="L239" s="408" t="s">
        <v>6</v>
      </c>
      <c r="M239" s="408" t="s">
        <v>870</v>
      </c>
      <c r="N239" s="408" t="s">
        <v>5411</v>
      </c>
      <c r="O239" s="409" t="s">
        <v>868</v>
      </c>
      <c r="P239" s="401"/>
      <c r="Q239" s="397"/>
      <c r="R239" s="407" t="s">
        <v>5410</v>
      </c>
      <c r="S239" s="408" t="s">
        <v>867</v>
      </c>
      <c r="T239" s="408" t="s">
        <v>6</v>
      </c>
      <c r="U239" s="408" t="s">
        <v>870</v>
      </c>
      <c r="V239" s="408" t="s">
        <v>5411</v>
      </c>
      <c r="W239" s="409" t="s">
        <v>868</v>
      </c>
      <c r="X239" s="401"/>
      <c r="Y239" s="397"/>
      <c r="Z239" s="407" t="s">
        <v>5410</v>
      </c>
      <c r="AA239" s="408" t="s">
        <v>867</v>
      </c>
      <c r="AB239" s="408" t="s">
        <v>6</v>
      </c>
      <c r="AC239" s="408" t="s">
        <v>870</v>
      </c>
      <c r="AD239" s="408" t="s">
        <v>5411</v>
      </c>
      <c r="AE239" s="409" t="s">
        <v>868</v>
      </c>
      <c r="AF239" s="401"/>
    </row>
    <row r="240" spans="1:32" ht="15.75" thickBot="1" x14ac:dyDescent="0.3">
      <c r="A240" s="397"/>
      <c r="B240" s="579"/>
      <c r="C240" s="580"/>
      <c r="D240" s="580"/>
      <c r="E240" s="580"/>
      <c r="F240" s="580"/>
      <c r="G240" s="581"/>
      <c r="H240" s="401"/>
      <c r="I240" s="397"/>
      <c r="J240" s="579"/>
      <c r="K240" s="580"/>
      <c r="L240" s="580"/>
      <c r="M240" s="580"/>
      <c r="N240" s="580"/>
      <c r="O240" s="581"/>
      <c r="P240" s="401"/>
      <c r="Q240" s="397"/>
      <c r="R240" s="579"/>
      <c r="S240" s="580"/>
      <c r="T240" s="580"/>
      <c r="U240" s="580"/>
      <c r="V240" s="580"/>
      <c r="W240" s="581"/>
      <c r="X240" s="401"/>
      <c r="Y240" s="397"/>
      <c r="Z240" s="579"/>
      <c r="AA240" s="580"/>
      <c r="AB240" s="580"/>
      <c r="AC240" s="580"/>
      <c r="AD240" s="580"/>
      <c r="AE240" s="581"/>
      <c r="AF240" s="401"/>
    </row>
    <row r="241" spans="1:32" ht="15.75" thickBot="1" x14ac:dyDescent="0.3">
      <c r="A241" s="397"/>
      <c r="B241" s="412"/>
      <c r="C241" s="414"/>
      <c r="D241" s="414"/>
      <c r="E241" s="414"/>
      <c r="F241" s="414"/>
      <c r="G241" s="415"/>
      <c r="H241" s="416">
        <f>+SUM(G241:G241)</f>
        <v>0</v>
      </c>
      <c r="I241" s="397"/>
      <c r="J241" s="412"/>
      <c r="K241" s="414"/>
      <c r="L241" s="414"/>
      <c r="M241" s="414"/>
      <c r="N241" s="414"/>
      <c r="O241" s="415"/>
      <c r="P241" s="416">
        <f>+SUM(O241:O241)</f>
        <v>0</v>
      </c>
      <c r="Q241" s="397"/>
      <c r="R241" s="412"/>
      <c r="S241" s="414"/>
      <c r="T241" s="414"/>
      <c r="U241" s="414"/>
      <c r="V241" s="414"/>
      <c r="W241" s="415"/>
      <c r="X241" s="416">
        <f>+SUM(W241:W241)</f>
        <v>0</v>
      </c>
      <c r="Y241" s="397"/>
      <c r="Z241" s="412"/>
      <c r="AA241" s="414"/>
      <c r="AB241" s="414"/>
      <c r="AC241" s="414"/>
      <c r="AD241" s="414"/>
      <c r="AE241" s="415"/>
      <c r="AF241" s="416">
        <f>+SUM(AE241:AE241)</f>
        <v>0</v>
      </c>
    </row>
    <row r="242" spans="1:32" ht="15.75" thickBot="1" x14ac:dyDescent="0.3">
      <c r="A242" s="397"/>
      <c r="B242" s="417"/>
      <c r="C242" s="417"/>
      <c r="D242" s="417"/>
      <c r="E242" s="417"/>
      <c r="F242" s="425"/>
      <c r="G242" s="426"/>
      <c r="H242" s="420"/>
      <c r="I242" s="397"/>
      <c r="J242" s="417"/>
      <c r="K242" s="417"/>
      <c r="L242" s="417"/>
      <c r="M242" s="417"/>
      <c r="N242" s="425"/>
      <c r="O242" s="426"/>
      <c r="P242" s="420"/>
      <c r="Q242" s="397"/>
      <c r="R242" s="417"/>
      <c r="S242" s="417"/>
      <c r="T242" s="417"/>
      <c r="U242" s="417"/>
      <c r="V242" s="425"/>
      <c r="W242" s="426"/>
      <c r="X242" s="420"/>
      <c r="Y242" s="397"/>
      <c r="Z242" s="417"/>
      <c r="AA242" s="417"/>
      <c r="AB242" s="417"/>
      <c r="AC242" s="417"/>
      <c r="AD242" s="425"/>
      <c r="AE242" s="426"/>
      <c r="AF242" s="420"/>
    </row>
    <row r="243" spans="1:32" ht="15.75" thickBot="1" x14ac:dyDescent="0.3">
      <c r="A243" s="397"/>
      <c r="B243" s="407" t="s">
        <v>5412</v>
      </c>
      <c r="C243" s="408" t="s">
        <v>5420</v>
      </c>
      <c r="D243" s="408" t="s">
        <v>5421</v>
      </c>
      <c r="E243" s="408" t="s">
        <v>5413</v>
      </c>
      <c r="F243" s="408" t="s">
        <v>5405</v>
      </c>
      <c r="G243" s="409" t="s">
        <v>868</v>
      </c>
      <c r="H243" s="401"/>
      <c r="I243" s="397"/>
      <c r="J243" s="407" t="s">
        <v>5412</v>
      </c>
      <c r="K243" s="408" t="s">
        <v>5420</v>
      </c>
      <c r="L243" s="408" t="s">
        <v>5421</v>
      </c>
      <c r="M243" s="408" t="s">
        <v>5413</v>
      </c>
      <c r="N243" s="408" t="s">
        <v>5405</v>
      </c>
      <c r="O243" s="409" t="s">
        <v>868</v>
      </c>
      <c r="P243" s="401"/>
      <c r="Q243" s="397"/>
      <c r="R243" s="407" t="s">
        <v>5412</v>
      </c>
      <c r="S243" s="408" t="s">
        <v>5420</v>
      </c>
      <c r="T243" s="408" t="s">
        <v>5421</v>
      </c>
      <c r="U243" s="408" t="s">
        <v>5413</v>
      </c>
      <c r="V243" s="408" t="s">
        <v>5405</v>
      </c>
      <c r="W243" s="409" t="s">
        <v>868</v>
      </c>
      <c r="X243" s="401"/>
      <c r="Y243" s="397"/>
      <c r="Z243" s="407" t="s">
        <v>5412</v>
      </c>
      <c r="AA243" s="408" t="s">
        <v>5420</v>
      </c>
      <c r="AB243" s="408" t="s">
        <v>5421</v>
      </c>
      <c r="AC243" s="408" t="s">
        <v>5413</v>
      </c>
      <c r="AD243" s="408" t="s">
        <v>5405</v>
      </c>
      <c r="AE243" s="409" t="s">
        <v>868</v>
      </c>
      <c r="AF243" s="401"/>
    </row>
    <row r="244" spans="1:32" x14ac:dyDescent="0.25">
      <c r="A244" s="397"/>
      <c r="B244" s="381" t="s">
        <v>5948</v>
      </c>
      <c r="C244" s="345">
        <v>70000</v>
      </c>
      <c r="D244" s="384">
        <f>+C244*0.85</f>
        <v>59500</v>
      </c>
      <c r="E244" s="384">
        <f>+C244+D244</f>
        <v>129500</v>
      </c>
      <c r="F244" s="382">
        <v>2</v>
      </c>
      <c r="G244" s="410">
        <f>+E244/F244</f>
        <v>64750</v>
      </c>
      <c r="H244" s="401"/>
      <c r="I244" s="397"/>
      <c r="J244" s="381" t="s">
        <v>5948</v>
      </c>
      <c r="K244" s="345">
        <v>70000</v>
      </c>
      <c r="L244" s="384">
        <f>+K244*0.85</f>
        <v>59500</v>
      </c>
      <c r="M244" s="384">
        <f>+K244+L244</f>
        <v>129500</v>
      </c>
      <c r="N244" s="382">
        <v>2</v>
      </c>
      <c r="O244" s="410">
        <f>+M244/N244</f>
        <v>64750</v>
      </c>
      <c r="P244" s="401"/>
      <c r="Q244" s="397"/>
      <c r="R244" s="381" t="s">
        <v>5948</v>
      </c>
      <c r="S244" s="345">
        <v>70000</v>
      </c>
      <c r="T244" s="384">
        <f>+S244*0.85</f>
        <v>59500</v>
      </c>
      <c r="U244" s="384">
        <f>+S244+T244</f>
        <v>129500</v>
      </c>
      <c r="V244" s="382">
        <v>2</v>
      </c>
      <c r="W244" s="410">
        <f>+U244/V244</f>
        <v>64750</v>
      </c>
      <c r="X244" s="401"/>
      <c r="Y244" s="397"/>
      <c r="Z244" s="381" t="s">
        <v>5948</v>
      </c>
      <c r="AA244" s="345">
        <v>70000</v>
      </c>
      <c r="AB244" s="384">
        <f>+AA244*0.85</f>
        <v>59500</v>
      </c>
      <c r="AC244" s="384">
        <f>+AA244+AB244</f>
        <v>129500</v>
      </c>
      <c r="AD244" s="382">
        <v>2</v>
      </c>
      <c r="AE244" s="410">
        <f>+AC244/AD244</f>
        <v>64750</v>
      </c>
      <c r="AF244" s="401"/>
    </row>
    <row r="245" spans="1:32" x14ac:dyDescent="0.25">
      <c r="A245" s="397"/>
      <c r="B245" s="385" t="s">
        <v>5949</v>
      </c>
      <c r="C245" s="345">
        <v>40000</v>
      </c>
      <c r="D245" s="384">
        <f>+C245*0.85</f>
        <v>34000</v>
      </c>
      <c r="E245" s="384">
        <f>+C245+D245</f>
        <v>74000</v>
      </c>
      <c r="F245" s="382">
        <v>0.5</v>
      </c>
      <c r="G245" s="410">
        <f>+E245/F245</f>
        <v>148000</v>
      </c>
      <c r="H245" s="401"/>
      <c r="I245" s="397"/>
      <c r="J245" s="385" t="s">
        <v>5949</v>
      </c>
      <c r="K245" s="345">
        <v>40000</v>
      </c>
      <c r="L245" s="384">
        <f>+K245*0.85</f>
        <v>34000</v>
      </c>
      <c r="M245" s="384">
        <f>+K245+L245</f>
        <v>74000</v>
      </c>
      <c r="N245" s="382">
        <v>0.45</v>
      </c>
      <c r="O245" s="410">
        <f>+M245/N245</f>
        <v>164444.44444444444</v>
      </c>
      <c r="P245" s="401"/>
      <c r="Q245" s="397"/>
      <c r="R245" s="385" t="s">
        <v>5949</v>
      </c>
      <c r="S245" s="345">
        <v>40000</v>
      </c>
      <c r="T245" s="384">
        <f>+S245*0.85</f>
        <v>34000</v>
      </c>
      <c r="U245" s="384">
        <f>+S245+T245</f>
        <v>74000</v>
      </c>
      <c r="V245" s="382">
        <v>0.4</v>
      </c>
      <c r="W245" s="410">
        <f>+U245/V245</f>
        <v>185000</v>
      </c>
      <c r="X245" s="401"/>
      <c r="Y245" s="397"/>
      <c r="Z245" s="385" t="s">
        <v>5949</v>
      </c>
      <c r="AA245" s="345">
        <v>40000</v>
      </c>
      <c r="AB245" s="384">
        <f>+AA245*0.85</f>
        <v>34000</v>
      </c>
      <c r="AC245" s="384">
        <f>+AA245+AB245</f>
        <v>74000</v>
      </c>
      <c r="AD245" s="382">
        <v>0.4</v>
      </c>
      <c r="AE245" s="410">
        <f>+AC245/AD245</f>
        <v>185000</v>
      </c>
      <c r="AF245" s="401"/>
    </row>
    <row r="246" spans="1:32" x14ac:dyDescent="0.25">
      <c r="A246" s="397"/>
      <c r="B246" s="385" t="s">
        <v>5950</v>
      </c>
      <c r="C246" s="345">
        <v>20600</v>
      </c>
      <c r="D246" s="384">
        <f>+C246*0.85</f>
        <v>17510</v>
      </c>
      <c r="E246" s="384">
        <f>+C246+D246</f>
        <v>38110</v>
      </c>
      <c r="F246" s="382">
        <v>0.1</v>
      </c>
      <c r="G246" s="410">
        <f>+E246/F246</f>
        <v>381100</v>
      </c>
      <c r="H246" s="401"/>
      <c r="I246" s="397"/>
      <c r="J246" s="385" t="s">
        <v>5950</v>
      </c>
      <c r="K246" s="345">
        <v>20600</v>
      </c>
      <c r="L246" s="384">
        <f>+K246*0.85</f>
        <v>17510</v>
      </c>
      <c r="M246" s="384">
        <f>+K246+L246</f>
        <v>38110</v>
      </c>
      <c r="N246" s="382">
        <v>0.1</v>
      </c>
      <c r="O246" s="410">
        <f>+M246/N246</f>
        <v>381100</v>
      </c>
      <c r="P246" s="401"/>
      <c r="Q246" s="397"/>
      <c r="R246" s="385" t="s">
        <v>5950</v>
      </c>
      <c r="S246" s="345">
        <v>20600</v>
      </c>
      <c r="T246" s="384">
        <f>+S246*0.85</f>
        <v>17510</v>
      </c>
      <c r="U246" s="384">
        <f>+S246+T246</f>
        <v>38110</v>
      </c>
      <c r="V246" s="382">
        <v>0.1</v>
      </c>
      <c r="W246" s="410">
        <f>+U246/V246</f>
        <v>381100</v>
      </c>
      <c r="X246" s="401"/>
      <c r="Y246" s="397"/>
      <c r="Z246" s="385" t="s">
        <v>5950</v>
      </c>
      <c r="AA246" s="345">
        <v>20600</v>
      </c>
      <c r="AB246" s="384">
        <f>+AA246*0.85</f>
        <v>17510</v>
      </c>
      <c r="AC246" s="384">
        <f>+AA246+AB246</f>
        <v>38110</v>
      </c>
      <c r="AD246" s="382">
        <v>0.1</v>
      </c>
      <c r="AE246" s="410">
        <f>+AC246/AD246</f>
        <v>381100</v>
      </c>
      <c r="AF246" s="401"/>
    </row>
    <row r="247" spans="1:32" x14ac:dyDescent="0.25">
      <c r="A247" s="397"/>
      <c r="B247" s="385"/>
      <c r="C247" s="384"/>
      <c r="D247" s="384"/>
      <c r="E247" s="384"/>
      <c r="F247" s="382"/>
      <c r="G247" s="410"/>
      <c r="H247" s="401"/>
      <c r="I247" s="397"/>
      <c r="J247" s="385"/>
      <c r="K247" s="384"/>
      <c r="L247" s="384"/>
      <c r="M247" s="384"/>
      <c r="N247" s="382"/>
      <c r="O247" s="410"/>
      <c r="P247" s="401"/>
      <c r="Q247" s="397"/>
      <c r="R247" s="385"/>
      <c r="S247" s="384"/>
      <c r="T247" s="384"/>
      <c r="U247" s="384"/>
      <c r="V247" s="382"/>
      <c r="W247" s="410"/>
      <c r="X247" s="401"/>
      <c r="Y247" s="397"/>
      <c r="Z247" s="385"/>
      <c r="AA247" s="384"/>
      <c r="AB247" s="384"/>
      <c r="AC247" s="384"/>
      <c r="AD247" s="382"/>
      <c r="AE247" s="410"/>
      <c r="AF247" s="401"/>
    </row>
    <row r="248" spans="1:32" x14ac:dyDescent="0.25">
      <c r="A248" s="397"/>
      <c r="B248" s="412"/>
      <c r="C248" s="582"/>
      <c r="D248" s="582"/>
      <c r="E248" s="582"/>
      <c r="F248" s="580"/>
      <c r="G248" s="583"/>
      <c r="H248" s="401"/>
      <c r="I248" s="397"/>
      <c r="J248" s="412"/>
      <c r="K248" s="582"/>
      <c r="L248" s="582"/>
      <c r="M248" s="582"/>
      <c r="N248" s="580"/>
      <c r="O248" s="583"/>
      <c r="P248" s="401"/>
      <c r="Q248" s="397"/>
      <c r="R248" s="412"/>
      <c r="S248" s="582"/>
      <c r="T248" s="582"/>
      <c r="U248" s="582"/>
      <c r="V248" s="580"/>
      <c r="W248" s="583"/>
      <c r="X248" s="401"/>
      <c r="Y248" s="397"/>
      <c r="Z248" s="412"/>
      <c r="AA248" s="582"/>
      <c r="AB248" s="582"/>
      <c r="AC248" s="582"/>
      <c r="AD248" s="580"/>
      <c r="AE248" s="583"/>
      <c r="AF248" s="401"/>
    </row>
    <row r="249" spans="1:32" ht="15.75" thickBot="1" x14ac:dyDescent="0.3">
      <c r="A249" s="397"/>
      <c r="B249" s="412"/>
      <c r="C249" s="582"/>
      <c r="D249" s="582"/>
      <c r="E249" s="582"/>
      <c r="F249" s="580"/>
      <c r="G249" s="583"/>
      <c r="H249" s="401"/>
      <c r="I249" s="397"/>
      <c r="J249" s="412"/>
      <c r="K249" s="582"/>
      <c r="L249" s="582"/>
      <c r="M249" s="582"/>
      <c r="N249" s="580"/>
      <c r="O249" s="583"/>
      <c r="P249" s="401"/>
      <c r="Q249" s="397"/>
      <c r="R249" s="412"/>
      <c r="S249" s="582"/>
      <c r="T249" s="582"/>
      <c r="U249" s="582"/>
      <c r="V249" s="580"/>
      <c r="W249" s="583"/>
      <c r="X249" s="401"/>
      <c r="Y249" s="397"/>
      <c r="Z249" s="412"/>
      <c r="AA249" s="582"/>
      <c r="AB249" s="582"/>
      <c r="AC249" s="582"/>
      <c r="AD249" s="580"/>
      <c r="AE249" s="583"/>
      <c r="AF249" s="401"/>
    </row>
    <row r="250" spans="1:32" ht="15.75" thickBot="1" x14ac:dyDescent="0.3">
      <c r="A250" s="397"/>
      <c r="B250" s="427"/>
      <c r="C250" s="428"/>
      <c r="D250" s="428"/>
      <c r="E250" s="428"/>
      <c r="F250" s="428"/>
      <c r="G250" s="429"/>
      <c r="H250" s="416">
        <f>+SUM(G244:G250)</f>
        <v>593850</v>
      </c>
      <c r="I250" s="397"/>
      <c r="J250" s="427"/>
      <c r="K250" s="428"/>
      <c r="L250" s="428"/>
      <c r="M250" s="428"/>
      <c r="N250" s="428"/>
      <c r="O250" s="429"/>
      <c r="P250" s="416">
        <f>+SUM(O244:O250)</f>
        <v>610294.4444444445</v>
      </c>
      <c r="Q250" s="397"/>
      <c r="R250" s="427"/>
      <c r="S250" s="428"/>
      <c r="T250" s="428"/>
      <c r="U250" s="428"/>
      <c r="V250" s="428"/>
      <c r="W250" s="429"/>
      <c r="X250" s="416">
        <f>+SUM(W244:W250)</f>
        <v>630850</v>
      </c>
      <c r="Y250" s="397"/>
      <c r="Z250" s="427"/>
      <c r="AA250" s="428"/>
      <c r="AB250" s="428"/>
      <c r="AC250" s="428"/>
      <c r="AD250" s="428"/>
      <c r="AE250" s="429"/>
      <c r="AF250" s="416">
        <f>+SUM(AE244:AE250)</f>
        <v>630850</v>
      </c>
    </row>
    <row r="251" spans="1:32" ht="15.75" thickBot="1" x14ac:dyDescent="0.3">
      <c r="A251" s="397"/>
      <c r="B251" s="430"/>
      <c r="C251" s="430"/>
      <c r="D251" s="430"/>
      <c r="E251" s="430"/>
      <c r="F251" s="430"/>
      <c r="G251" s="401"/>
      <c r="H251" s="401"/>
      <c r="I251" s="397"/>
      <c r="J251" s="430"/>
      <c r="K251" s="430"/>
      <c r="L251" s="430"/>
      <c r="M251" s="430"/>
      <c r="N251" s="430"/>
      <c r="O251" s="401"/>
      <c r="P251" s="401"/>
      <c r="Q251" s="397"/>
      <c r="R251" s="430"/>
      <c r="S251" s="430"/>
      <c r="T251" s="430"/>
      <c r="U251" s="430"/>
      <c r="V251" s="430"/>
      <c r="W251" s="401"/>
      <c r="X251" s="401"/>
      <c r="Y251" s="397"/>
      <c r="Z251" s="430"/>
      <c r="AA251" s="430"/>
      <c r="AB251" s="430"/>
      <c r="AC251" s="430"/>
      <c r="AD251" s="430"/>
      <c r="AE251" s="401"/>
      <c r="AF251" s="401"/>
    </row>
    <row r="252" spans="1:32" ht="15.75" thickBot="1" x14ac:dyDescent="0.3">
      <c r="A252" s="397"/>
      <c r="B252" s="430"/>
      <c r="C252" s="430"/>
      <c r="D252" s="430"/>
      <c r="E252" s="431" t="s">
        <v>5415</v>
      </c>
      <c r="F252" s="430"/>
      <c r="G252" s="401"/>
      <c r="H252" s="416">
        <f>+ROUND(H216+H237+H241+H250,0)</f>
        <v>21285468</v>
      </c>
      <c r="I252" s="397"/>
      <c r="J252" s="430"/>
      <c r="K252" s="430"/>
      <c r="L252" s="430"/>
      <c r="M252" s="431" t="s">
        <v>5415</v>
      </c>
      <c r="N252" s="430"/>
      <c r="O252" s="401"/>
      <c r="P252" s="416">
        <f>+ROUND(P216+P237+P241+P250,0)</f>
        <v>22784823</v>
      </c>
      <c r="Q252" s="397"/>
      <c r="R252" s="430"/>
      <c r="S252" s="430"/>
      <c r="T252" s="430"/>
      <c r="U252" s="431" t="s">
        <v>5415</v>
      </c>
      <c r="V252" s="430"/>
      <c r="W252" s="401"/>
      <c r="X252" s="416">
        <f>+ROUND(X216+X237+X241+X250,0)</f>
        <v>24436704</v>
      </c>
      <c r="Y252" s="397"/>
      <c r="Z252" s="430"/>
      <c r="AA252" s="430"/>
      <c r="AB252" s="430"/>
      <c r="AC252" s="431" t="s">
        <v>5415</v>
      </c>
      <c r="AD252" s="430"/>
      <c r="AE252" s="401"/>
      <c r="AF252" s="416">
        <f>+ROUND(AF216+AF237+AF241+AF250,0)</f>
        <v>19146842</v>
      </c>
    </row>
    <row r="257" spans="1:32" x14ac:dyDescent="0.25">
      <c r="A257" s="397"/>
      <c r="B257" s="2512" t="s">
        <v>5400</v>
      </c>
      <c r="C257" s="2512"/>
      <c r="D257" s="2512"/>
      <c r="E257" s="2512"/>
      <c r="F257" s="2512"/>
      <c r="G257" s="2512"/>
      <c r="H257" s="398"/>
      <c r="I257" s="397"/>
      <c r="J257" s="2512" t="s">
        <v>5400</v>
      </c>
      <c r="K257" s="2512"/>
      <c r="L257" s="2512"/>
      <c r="M257" s="2512"/>
      <c r="N257" s="2512"/>
      <c r="O257" s="2512"/>
      <c r="P257" s="398"/>
      <c r="Q257" s="397"/>
      <c r="R257" s="2512" t="s">
        <v>5400</v>
      </c>
      <c r="S257" s="2512"/>
      <c r="T257" s="2512"/>
      <c r="U257" s="2512"/>
      <c r="V257" s="2512"/>
      <c r="W257" s="2512"/>
      <c r="X257" s="398"/>
      <c r="Y257" s="397"/>
      <c r="Z257" s="2512" t="s">
        <v>5400</v>
      </c>
      <c r="AA257" s="2512"/>
      <c r="AB257" s="2512"/>
      <c r="AC257" s="2512"/>
      <c r="AD257" s="2512"/>
      <c r="AE257" s="2512"/>
      <c r="AF257" s="398"/>
    </row>
    <row r="258" spans="1:32" x14ac:dyDescent="0.25">
      <c r="A258" s="397"/>
      <c r="B258" s="399"/>
      <c r="C258" s="399"/>
      <c r="D258" s="397"/>
      <c r="E258" s="397"/>
      <c r="F258" s="400"/>
      <c r="G258" s="401"/>
      <c r="H258" s="401"/>
      <c r="I258" s="397"/>
      <c r="J258" s="399"/>
      <c r="K258" s="399"/>
      <c r="L258" s="397"/>
      <c r="M258" s="397"/>
      <c r="N258" s="400"/>
      <c r="O258" s="401"/>
      <c r="P258" s="401"/>
      <c r="Q258" s="397"/>
      <c r="R258" s="399"/>
      <c r="S258" s="399"/>
      <c r="T258" s="397"/>
      <c r="U258" s="397"/>
      <c r="V258" s="400"/>
      <c r="W258" s="401"/>
      <c r="X258" s="401"/>
      <c r="Y258" s="397"/>
      <c r="Z258" s="399"/>
      <c r="AA258" s="399"/>
      <c r="AB258" s="397"/>
      <c r="AC258" s="397"/>
      <c r="AD258" s="400"/>
      <c r="AE258" s="401"/>
      <c r="AF258" s="401"/>
    </row>
    <row r="259" spans="1:32" ht="24.95" customHeight="1" x14ac:dyDescent="0.25">
      <c r="A259" s="593" t="s">
        <v>5952</v>
      </c>
      <c r="B259" s="594">
        <v>9.1</v>
      </c>
      <c r="C259" s="2445" t="s">
        <v>6358</v>
      </c>
      <c r="D259" s="2445"/>
      <c r="E259" s="2445"/>
      <c r="F259" s="595" t="s">
        <v>867</v>
      </c>
      <c r="G259" s="139" t="s">
        <v>5424</v>
      </c>
      <c r="H259" s="134"/>
      <c r="I259" s="593" t="s">
        <v>5952</v>
      </c>
      <c r="J259" s="594">
        <v>9.1</v>
      </c>
      <c r="K259" s="2445" t="s">
        <v>6359</v>
      </c>
      <c r="L259" s="2445"/>
      <c r="M259" s="2445"/>
      <c r="N259" s="595" t="s">
        <v>867</v>
      </c>
      <c r="O259" s="139" t="s">
        <v>5424</v>
      </c>
      <c r="P259" s="134"/>
      <c r="Q259" s="593" t="s">
        <v>5952</v>
      </c>
      <c r="R259" s="594">
        <v>9.1</v>
      </c>
      <c r="S259" s="2445" t="s">
        <v>6360</v>
      </c>
      <c r="T259" s="2445"/>
      <c r="U259" s="2445"/>
      <c r="V259" s="595" t="s">
        <v>867</v>
      </c>
      <c r="W259" s="139" t="s">
        <v>5424</v>
      </c>
      <c r="X259" s="134"/>
      <c r="Y259" s="593" t="s">
        <v>5952</v>
      </c>
      <c r="Z259" s="594">
        <v>9.1</v>
      </c>
      <c r="AA259" s="2445" t="s">
        <v>6603</v>
      </c>
      <c r="AB259" s="2445"/>
      <c r="AC259" s="2445"/>
      <c r="AD259" s="595" t="s">
        <v>867</v>
      </c>
      <c r="AE259" s="139" t="s">
        <v>5424</v>
      </c>
      <c r="AF259" s="134"/>
    </row>
    <row r="260" spans="1:32" x14ac:dyDescent="0.25">
      <c r="A260" s="404"/>
      <c r="B260" s="405"/>
      <c r="C260" s="600"/>
      <c r="D260" s="600"/>
      <c r="E260" s="600"/>
      <c r="F260" s="400"/>
      <c r="G260" s="142"/>
      <c r="H260" s="134"/>
      <c r="I260" s="404"/>
      <c r="J260" s="405"/>
      <c r="K260" s="600"/>
      <c r="L260" s="600"/>
      <c r="M260" s="600"/>
      <c r="N260" s="400"/>
      <c r="O260" s="142"/>
      <c r="P260" s="134"/>
      <c r="Q260" s="404"/>
      <c r="R260" s="405"/>
      <c r="S260" s="600"/>
      <c r="T260" s="600"/>
      <c r="U260" s="600"/>
      <c r="V260" s="400"/>
      <c r="W260" s="142"/>
      <c r="X260" s="134"/>
      <c r="Y260" s="404"/>
      <c r="Z260" s="405"/>
      <c r="AA260" s="623"/>
      <c r="AB260" s="623"/>
      <c r="AC260" s="623"/>
      <c r="AD260" s="400"/>
      <c r="AE260" s="142"/>
      <c r="AF260" s="134"/>
    </row>
    <row r="261" spans="1:32" ht="15.75" thickBot="1" x14ac:dyDescent="0.3">
      <c r="A261" s="397"/>
      <c r="B261" s="397"/>
      <c r="C261" s="397"/>
      <c r="D261" s="397"/>
      <c r="E261" s="397"/>
      <c r="F261" s="400"/>
      <c r="G261" s="401"/>
      <c r="H261" s="401"/>
      <c r="I261" s="397"/>
      <c r="J261" s="397"/>
      <c r="K261" s="397"/>
      <c r="L261" s="397"/>
      <c r="M261" s="397"/>
      <c r="N261" s="400"/>
      <c r="O261" s="401"/>
      <c r="P261" s="401"/>
      <c r="Q261" s="397"/>
      <c r="R261" s="397"/>
      <c r="S261" s="397"/>
      <c r="T261" s="397"/>
      <c r="U261" s="397"/>
      <c r="V261" s="400"/>
      <c r="W261" s="401"/>
      <c r="X261" s="401"/>
      <c r="Y261" s="397"/>
      <c r="Z261" s="397"/>
      <c r="AA261" s="397"/>
      <c r="AB261" s="397"/>
      <c r="AC261" s="397"/>
      <c r="AD261" s="400"/>
      <c r="AE261" s="401"/>
      <c r="AF261" s="401"/>
    </row>
    <row r="262" spans="1:32" ht="15.75" thickBot="1" x14ac:dyDescent="0.3">
      <c r="A262" s="397"/>
      <c r="B262" s="407" t="s">
        <v>5403</v>
      </c>
      <c r="C262" s="408" t="s">
        <v>867</v>
      </c>
      <c r="D262" s="408" t="s">
        <v>6</v>
      </c>
      <c r="E262" s="408" t="s">
        <v>5439</v>
      </c>
      <c r="F262" s="408" t="s">
        <v>5405</v>
      </c>
      <c r="G262" s="409" t="s">
        <v>868</v>
      </c>
      <c r="H262" s="401"/>
      <c r="I262" s="397"/>
      <c r="J262" s="407" t="s">
        <v>5403</v>
      </c>
      <c r="K262" s="408" t="s">
        <v>867</v>
      </c>
      <c r="L262" s="408" t="s">
        <v>6</v>
      </c>
      <c r="M262" s="408" t="s">
        <v>5439</v>
      </c>
      <c r="N262" s="408" t="s">
        <v>5405</v>
      </c>
      <c r="O262" s="409" t="s">
        <v>868</v>
      </c>
      <c r="P262" s="401"/>
      <c r="Q262" s="397"/>
      <c r="R262" s="407" t="s">
        <v>5403</v>
      </c>
      <c r="S262" s="408" t="s">
        <v>867</v>
      </c>
      <c r="T262" s="408" t="s">
        <v>6</v>
      </c>
      <c r="U262" s="408" t="s">
        <v>5439</v>
      </c>
      <c r="V262" s="408" t="s">
        <v>5405</v>
      </c>
      <c r="W262" s="409" t="s">
        <v>868</v>
      </c>
      <c r="X262" s="401"/>
      <c r="Y262" s="397"/>
      <c r="Z262" s="407" t="s">
        <v>5403</v>
      </c>
      <c r="AA262" s="408" t="s">
        <v>867</v>
      </c>
      <c r="AB262" s="408" t="s">
        <v>6</v>
      </c>
      <c r="AC262" s="408" t="s">
        <v>5439</v>
      </c>
      <c r="AD262" s="408" t="s">
        <v>5405</v>
      </c>
      <c r="AE262" s="409" t="s">
        <v>868</v>
      </c>
      <c r="AF262" s="401"/>
    </row>
    <row r="263" spans="1:32" x14ac:dyDescent="0.25">
      <c r="A263" s="397"/>
      <c r="B263" s="381" t="s">
        <v>5934</v>
      </c>
      <c r="C263" s="382"/>
      <c r="D263" s="383"/>
      <c r="E263" s="384"/>
      <c r="F263" s="383"/>
      <c r="G263" s="410">
        <f>0.05*H302</f>
        <v>20072.5</v>
      </c>
      <c r="H263" s="401"/>
      <c r="I263" s="397"/>
      <c r="J263" s="381" t="s">
        <v>5934</v>
      </c>
      <c r="K263" s="382"/>
      <c r="L263" s="383"/>
      <c r="M263" s="384"/>
      <c r="N263" s="383"/>
      <c r="O263" s="410">
        <f>0.05*P302</f>
        <v>23248.333333333336</v>
      </c>
      <c r="P263" s="401"/>
      <c r="Q263" s="397"/>
      <c r="R263" s="381" t="s">
        <v>5934</v>
      </c>
      <c r="S263" s="382"/>
      <c r="T263" s="383"/>
      <c r="U263" s="384"/>
      <c r="V263" s="383"/>
      <c r="W263" s="410">
        <f>0.05*X302</f>
        <v>29600</v>
      </c>
      <c r="X263" s="401"/>
      <c r="Y263" s="397"/>
      <c r="Z263" s="381" t="s">
        <v>5934</v>
      </c>
      <c r="AA263" s="382"/>
      <c r="AB263" s="383"/>
      <c r="AC263" s="384"/>
      <c r="AD263" s="383"/>
      <c r="AE263" s="410">
        <f>0.05*AF302</f>
        <v>29600</v>
      </c>
      <c r="AF263" s="401"/>
    </row>
    <row r="264" spans="1:32" x14ac:dyDescent="0.25">
      <c r="A264" s="397"/>
      <c r="B264" s="385"/>
      <c r="C264" s="386"/>
      <c r="D264" s="387"/>
      <c r="E264" s="388"/>
      <c r="F264" s="387"/>
      <c r="G264" s="411"/>
      <c r="H264" s="401"/>
      <c r="I264" s="397"/>
      <c r="J264" s="385"/>
      <c r="K264" s="386"/>
      <c r="L264" s="387"/>
      <c r="M264" s="388"/>
      <c r="N264" s="387"/>
      <c r="O264" s="411"/>
      <c r="P264" s="401"/>
      <c r="Q264" s="397"/>
      <c r="R264" s="385"/>
      <c r="S264" s="386"/>
      <c r="T264" s="387"/>
      <c r="U264" s="388"/>
      <c r="V264" s="387"/>
      <c r="W264" s="411"/>
      <c r="X264" s="401"/>
      <c r="Y264" s="397"/>
      <c r="Z264" s="385"/>
      <c r="AA264" s="386"/>
      <c r="AB264" s="387"/>
      <c r="AC264" s="388"/>
      <c r="AD264" s="387"/>
      <c r="AE264" s="411"/>
      <c r="AF264" s="401"/>
    </row>
    <row r="265" spans="1:32" x14ac:dyDescent="0.25">
      <c r="A265" s="397"/>
      <c r="B265" s="385"/>
      <c r="C265" s="386"/>
      <c r="D265" s="387"/>
      <c r="E265" s="388"/>
      <c r="F265" s="387"/>
      <c r="G265" s="411"/>
      <c r="H265" s="401"/>
      <c r="I265" s="397"/>
      <c r="J265" s="385"/>
      <c r="K265" s="386"/>
      <c r="L265" s="387"/>
      <c r="M265" s="388"/>
      <c r="N265" s="387"/>
      <c r="O265" s="411"/>
      <c r="P265" s="401"/>
      <c r="Q265" s="397"/>
      <c r="R265" s="385"/>
      <c r="S265" s="386"/>
      <c r="T265" s="387"/>
      <c r="U265" s="388"/>
      <c r="V265" s="387"/>
      <c r="W265" s="411"/>
      <c r="X265" s="401"/>
      <c r="Y265" s="397"/>
      <c r="Z265" s="385"/>
      <c r="AA265" s="386"/>
      <c r="AB265" s="387"/>
      <c r="AC265" s="388"/>
      <c r="AD265" s="387"/>
      <c r="AE265" s="411"/>
      <c r="AF265" s="401"/>
    </row>
    <row r="266" spans="1:32" x14ac:dyDescent="0.25">
      <c r="A266" s="397"/>
      <c r="B266" s="385"/>
      <c r="C266" s="386"/>
      <c r="D266" s="387"/>
      <c r="E266" s="388"/>
      <c r="F266" s="387"/>
      <c r="G266" s="411"/>
      <c r="H266" s="401"/>
      <c r="I266" s="397"/>
      <c r="J266" s="385"/>
      <c r="K266" s="386"/>
      <c r="L266" s="387"/>
      <c r="M266" s="388"/>
      <c r="N266" s="387"/>
      <c r="O266" s="411"/>
      <c r="P266" s="401"/>
      <c r="Q266" s="397"/>
      <c r="R266" s="385"/>
      <c r="S266" s="386"/>
      <c r="T266" s="387"/>
      <c r="U266" s="388"/>
      <c r="V266" s="387"/>
      <c r="W266" s="411"/>
      <c r="X266" s="401"/>
      <c r="Y266" s="397"/>
      <c r="Z266" s="385"/>
      <c r="AA266" s="386"/>
      <c r="AB266" s="387"/>
      <c r="AC266" s="388"/>
      <c r="AD266" s="387"/>
      <c r="AE266" s="411"/>
      <c r="AF266" s="401"/>
    </row>
    <row r="267" spans="1:32" x14ac:dyDescent="0.25">
      <c r="A267" s="397"/>
      <c r="B267" s="385"/>
      <c r="C267" s="386"/>
      <c r="D267" s="387"/>
      <c r="E267" s="388"/>
      <c r="F267" s="387"/>
      <c r="G267" s="411"/>
      <c r="H267" s="401"/>
      <c r="I267" s="397"/>
      <c r="J267" s="385"/>
      <c r="K267" s="386"/>
      <c r="L267" s="387"/>
      <c r="M267" s="388"/>
      <c r="N267" s="387"/>
      <c r="O267" s="411"/>
      <c r="P267" s="401"/>
      <c r="Q267" s="397"/>
      <c r="R267" s="385"/>
      <c r="S267" s="386"/>
      <c r="T267" s="387"/>
      <c r="U267" s="388"/>
      <c r="V267" s="387"/>
      <c r="W267" s="411"/>
      <c r="X267" s="401"/>
      <c r="Y267" s="397"/>
      <c r="Z267" s="385"/>
      <c r="AA267" s="386"/>
      <c r="AB267" s="387"/>
      <c r="AC267" s="388"/>
      <c r="AD267" s="387"/>
      <c r="AE267" s="411"/>
      <c r="AF267" s="401"/>
    </row>
    <row r="268" spans="1:32" ht="15.75" thickBot="1" x14ac:dyDescent="0.3">
      <c r="A268" s="397"/>
      <c r="B268" s="385"/>
      <c r="C268" s="386"/>
      <c r="D268" s="387"/>
      <c r="E268" s="387"/>
      <c r="F268" s="387"/>
      <c r="G268" s="411"/>
      <c r="H268" s="401"/>
      <c r="I268" s="397"/>
      <c r="J268" s="385"/>
      <c r="K268" s="386"/>
      <c r="L268" s="387"/>
      <c r="M268" s="387"/>
      <c r="N268" s="387"/>
      <c r="O268" s="411"/>
      <c r="P268" s="401"/>
      <c r="Q268" s="397"/>
      <c r="R268" s="385"/>
      <c r="S268" s="386"/>
      <c r="T268" s="387"/>
      <c r="U268" s="387"/>
      <c r="V268" s="387"/>
      <c r="W268" s="411"/>
      <c r="X268" s="401"/>
      <c r="Y268" s="397"/>
      <c r="Z268" s="385"/>
      <c r="AA268" s="386"/>
      <c r="AB268" s="387"/>
      <c r="AC268" s="387"/>
      <c r="AD268" s="387"/>
      <c r="AE268" s="411"/>
      <c r="AF268" s="401"/>
    </row>
    <row r="269" spans="1:32" ht="15.75" thickBot="1" x14ac:dyDescent="0.3">
      <c r="A269" s="397"/>
      <c r="B269" s="412"/>
      <c r="C269" s="413"/>
      <c r="D269" s="414"/>
      <c r="E269" s="414"/>
      <c r="F269" s="414"/>
      <c r="G269" s="415"/>
      <c r="H269" s="416">
        <f>+SUM(G263:G269)</f>
        <v>20072.5</v>
      </c>
      <c r="I269" s="397"/>
      <c r="J269" s="412"/>
      <c r="K269" s="413"/>
      <c r="L269" s="414"/>
      <c r="M269" s="414"/>
      <c r="N269" s="414"/>
      <c r="O269" s="415"/>
      <c r="P269" s="416">
        <f>+SUM(O263:O269)</f>
        <v>23248.333333333336</v>
      </c>
      <c r="Q269" s="397"/>
      <c r="R269" s="412"/>
      <c r="S269" s="413"/>
      <c r="T269" s="414"/>
      <c r="U269" s="414"/>
      <c r="V269" s="414"/>
      <c r="W269" s="415"/>
      <c r="X269" s="416">
        <f>+SUM(W263:W269)</f>
        <v>29600</v>
      </c>
      <c r="Y269" s="397"/>
      <c r="Z269" s="412"/>
      <c r="AA269" s="413"/>
      <c r="AB269" s="414"/>
      <c r="AC269" s="414"/>
      <c r="AD269" s="414"/>
      <c r="AE269" s="415"/>
      <c r="AF269" s="416">
        <f>+SUM(AE263:AE269)</f>
        <v>29600</v>
      </c>
    </row>
    <row r="270" spans="1:32" ht="15.75" thickBot="1" x14ac:dyDescent="0.3">
      <c r="A270" s="397"/>
      <c r="B270" s="417"/>
      <c r="C270" s="418"/>
      <c r="D270" s="417"/>
      <c r="E270" s="417"/>
      <c r="F270" s="417"/>
      <c r="G270" s="419"/>
      <c r="H270" s="420"/>
      <c r="I270" s="397"/>
      <c r="J270" s="417"/>
      <c r="K270" s="418"/>
      <c r="L270" s="417"/>
      <c r="M270" s="417"/>
      <c r="N270" s="417"/>
      <c r="O270" s="419"/>
      <c r="P270" s="420"/>
      <c r="Q270" s="397"/>
      <c r="R270" s="417"/>
      <c r="S270" s="418"/>
      <c r="T270" s="417"/>
      <c r="U270" s="417"/>
      <c r="V270" s="417"/>
      <c r="W270" s="419"/>
      <c r="X270" s="420"/>
      <c r="Y270" s="397"/>
      <c r="Z270" s="417"/>
      <c r="AA270" s="418"/>
      <c r="AB270" s="417"/>
      <c r="AC270" s="417"/>
      <c r="AD270" s="417"/>
      <c r="AE270" s="419"/>
      <c r="AF270" s="420"/>
    </row>
    <row r="271" spans="1:32" ht="15.75" thickBot="1" x14ac:dyDescent="0.3">
      <c r="A271" s="397"/>
      <c r="B271" s="407" t="s">
        <v>5408</v>
      </c>
      <c r="C271" s="408" t="s">
        <v>867</v>
      </c>
      <c r="D271" s="408" t="s">
        <v>6</v>
      </c>
      <c r="E271" s="408" t="s">
        <v>870</v>
      </c>
      <c r="F271" s="408" t="s">
        <v>5409</v>
      </c>
      <c r="G271" s="409" t="s">
        <v>868</v>
      </c>
      <c r="H271" s="401"/>
      <c r="I271" s="397"/>
      <c r="J271" s="407" t="s">
        <v>5408</v>
      </c>
      <c r="K271" s="408" t="s">
        <v>867</v>
      </c>
      <c r="L271" s="408" t="s">
        <v>6</v>
      </c>
      <c r="M271" s="408" t="s">
        <v>870</v>
      </c>
      <c r="N271" s="408" t="s">
        <v>5409</v>
      </c>
      <c r="O271" s="409" t="s">
        <v>868</v>
      </c>
      <c r="P271" s="401"/>
      <c r="Q271" s="397"/>
      <c r="R271" s="407" t="s">
        <v>5408</v>
      </c>
      <c r="S271" s="408" t="s">
        <v>867</v>
      </c>
      <c r="T271" s="408" t="s">
        <v>6</v>
      </c>
      <c r="U271" s="408" t="s">
        <v>870</v>
      </c>
      <c r="V271" s="408" t="s">
        <v>5409</v>
      </c>
      <c r="W271" s="409" t="s">
        <v>868</v>
      </c>
      <c r="X271" s="401"/>
      <c r="Y271" s="397"/>
      <c r="Z271" s="407" t="s">
        <v>5408</v>
      </c>
      <c r="AA271" s="408" t="s">
        <v>867</v>
      </c>
      <c r="AB271" s="408" t="s">
        <v>6</v>
      </c>
      <c r="AC271" s="408" t="s">
        <v>870</v>
      </c>
      <c r="AD271" s="408" t="s">
        <v>5409</v>
      </c>
      <c r="AE271" s="409" t="s">
        <v>868</v>
      </c>
      <c r="AF271" s="401"/>
    </row>
    <row r="272" spans="1:32" x14ac:dyDescent="0.25">
      <c r="A272" s="397"/>
      <c r="B272" s="389" t="s">
        <v>6337</v>
      </c>
      <c r="C272" s="212" t="s">
        <v>6421</v>
      </c>
      <c r="D272" s="167">
        <v>7</v>
      </c>
      <c r="E272" s="345">
        <f>+'APU CAP 1-2'!$H$1150</f>
        <v>22263</v>
      </c>
      <c r="F272" s="169">
        <v>0.05</v>
      </c>
      <c r="G272" s="172">
        <f>+D272*E272*(1+F272)</f>
        <v>163633.05000000002</v>
      </c>
      <c r="H272" s="401"/>
      <c r="I272" s="397"/>
      <c r="J272" s="389" t="s">
        <v>6337</v>
      </c>
      <c r="K272" s="212" t="s">
        <v>6421</v>
      </c>
      <c r="L272" s="167">
        <v>7</v>
      </c>
      <c r="M272" s="345">
        <f>+'APU CAP 1-2'!$H$1150</f>
        <v>22263</v>
      </c>
      <c r="N272" s="169">
        <v>0.05</v>
      </c>
      <c r="O272" s="172">
        <f>+L272*M272*(1+N272)</f>
        <v>163633.05000000002</v>
      </c>
      <c r="P272" s="401"/>
      <c r="Q272" s="397"/>
      <c r="R272" s="389" t="s">
        <v>6337</v>
      </c>
      <c r="S272" s="212" t="s">
        <v>6421</v>
      </c>
      <c r="T272" s="167">
        <v>7</v>
      </c>
      <c r="U272" s="345">
        <f>+'APU CAP 1-2'!$H$1150</f>
        <v>22263</v>
      </c>
      <c r="V272" s="169">
        <v>0.05</v>
      </c>
      <c r="W272" s="172">
        <f>+T272*U272*(1+V272)</f>
        <v>163633.05000000002</v>
      </c>
      <c r="X272" s="401"/>
      <c r="Y272" s="397"/>
      <c r="Z272" s="389" t="s">
        <v>6337</v>
      </c>
      <c r="AA272" s="212" t="s">
        <v>6421</v>
      </c>
      <c r="AB272" s="167">
        <v>7</v>
      </c>
      <c r="AC272" s="345">
        <f>+'APU CAP 1-2'!$H$1150</f>
        <v>22263</v>
      </c>
      <c r="AD272" s="169">
        <v>0.05</v>
      </c>
      <c r="AE272" s="172">
        <f>+AB272*AC272*(1+AD272)</f>
        <v>163633.05000000002</v>
      </c>
      <c r="AF272" s="401"/>
    </row>
    <row r="273" spans="1:32" x14ac:dyDescent="0.25">
      <c r="A273" s="397"/>
      <c r="B273" s="391" t="s">
        <v>6345</v>
      </c>
      <c r="C273" s="212" t="s">
        <v>6421</v>
      </c>
      <c r="D273" s="167">
        <f>1.8*1.6*0.05</f>
        <v>0.14400000000000002</v>
      </c>
      <c r="E273" s="346">
        <f>+'APU CAP 5'!$H$160</f>
        <v>301336.95833333331</v>
      </c>
      <c r="F273" s="169">
        <v>0.05</v>
      </c>
      <c r="G273" s="172">
        <f t="shared" ref="G273:G288" si="26">+D273*E273*(1+F273)</f>
        <v>45562.148100000006</v>
      </c>
      <c r="H273" s="401"/>
      <c r="I273" s="397"/>
      <c r="J273" s="391" t="s">
        <v>6345</v>
      </c>
      <c r="K273" s="212" t="s">
        <v>6421</v>
      </c>
      <c r="L273" s="167">
        <f>1.8*1.6*0.05</f>
        <v>0.14400000000000002</v>
      </c>
      <c r="M273" s="346">
        <f>+'APU CAP 5'!$H$160</f>
        <v>301336.95833333331</v>
      </c>
      <c r="N273" s="169">
        <v>0.05</v>
      </c>
      <c r="O273" s="172">
        <f t="shared" ref="O273:O288" si="27">+L273*M273*(1+N273)</f>
        <v>45562.148100000006</v>
      </c>
      <c r="P273" s="401"/>
      <c r="Q273" s="397"/>
      <c r="R273" s="391" t="s">
        <v>6345</v>
      </c>
      <c r="S273" s="212" t="s">
        <v>6421</v>
      </c>
      <c r="T273" s="167">
        <f>1.8*1.6*0.05</f>
        <v>0.14400000000000002</v>
      </c>
      <c r="U273" s="346">
        <f>+'APU CAP 5'!$H$160</f>
        <v>301336.95833333331</v>
      </c>
      <c r="V273" s="169">
        <v>0.05</v>
      </c>
      <c r="W273" s="172">
        <f t="shared" ref="W273:W288" si="28">+T273*U273*(1+V273)</f>
        <v>45562.148100000006</v>
      </c>
      <c r="X273" s="401"/>
      <c r="Y273" s="397"/>
      <c r="Z273" s="391" t="s">
        <v>6345</v>
      </c>
      <c r="AA273" s="212" t="s">
        <v>6421</v>
      </c>
      <c r="AB273" s="167">
        <f>1.8*1.6*0.05</f>
        <v>0.14400000000000002</v>
      </c>
      <c r="AC273" s="346">
        <f>+'APU CAP 5'!$H$160</f>
        <v>301336.95833333331</v>
      </c>
      <c r="AD273" s="169">
        <v>0.05</v>
      </c>
      <c r="AE273" s="172">
        <f t="shared" ref="AE273:AE288" si="29">+AB273*AC273*(1+AD273)</f>
        <v>45562.148100000006</v>
      </c>
      <c r="AF273" s="401"/>
    </row>
    <row r="274" spans="1:32" x14ac:dyDescent="0.25">
      <c r="A274" s="397"/>
      <c r="B274" s="385" t="s">
        <v>6338</v>
      </c>
      <c r="C274" s="212" t="s">
        <v>6421</v>
      </c>
      <c r="D274" s="167">
        <f>1.8*1.6*0.2</f>
        <v>0.57600000000000007</v>
      </c>
      <c r="E274" s="384">
        <f>+'APU CAP 5'!$H$538</f>
        <v>554067</v>
      </c>
      <c r="F274" s="169">
        <v>0.05</v>
      </c>
      <c r="G274" s="172">
        <f t="shared" si="26"/>
        <v>335099.72160000011</v>
      </c>
      <c r="H274" s="401"/>
      <c r="I274" s="397"/>
      <c r="J274" s="385" t="s">
        <v>6338</v>
      </c>
      <c r="K274" s="212" t="s">
        <v>6421</v>
      </c>
      <c r="L274" s="167">
        <f>1.8*1.6*0.2</f>
        <v>0.57600000000000007</v>
      </c>
      <c r="M274" s="384">
        <f>+'APU CAP 5'!$H$538</f>
        <v>554067</v>
      </c>
      <c r="N274" s="169">
        <v>0.05</v>
      </c>
      <c r="O274" s="172">
        <f t="shared" si="27"/>
        <v>335099.72160000011</v>
      </c>
      <c r="P274" s="401"/>
      <c r="Q274" s="397"/>
      <c r="R274" s="385" t="s">
        <v>6338</v>
      </c>
      <c r="S274" s="212" t="s">
        <v>6421</v>
      </c>
      <c r="T274" s="167">
        <f>1.8*1.6*0.2</f>
        <v>0.57600000000000007</v>
      </c>
      <c r="U274" s="384">
        <f>+'APU CAP 5'!$H$538</f>
        <v>554067</v>
      </c>
      <c r="V274" s="169">
        <v>0.05</v>
      </c>
      <c r="W274" s="172">
        <f t="shared" si="28"/>
        <v>335099.72160000011</v>
      </c>
      <c r="X274" s="401"/>
      <c r="Y274" s="397"/>
      <c r="Z274" s="385" t="s">
        <v>6338</v>
      </c>
      <c r="AA274" s="212" t="s">
        <v>6421</v>
      </c>
      <c r="AB274" s="167">
        <f>1.8*1.6*0.2</f>
        <v>0.57600000000000007</v>
      </c>
      <c r="AC274" s="384">
        <f>+'APU CAP 5'!$H$538</f>
        <v>554067</v>
      </c>
      <c r="AD274" s="169">
        <v>0.05</v>
      </c>
      <c r="AE274" s="172">
        <f t="shared" si="29"/>
        <v>335099.72160000011</v>
      </c>
      <c r="AF274" s="401"/>
    </row>
    <row r="275" spans="1:32" x14ac:dyDescent="0.25">
      <c r="A275" s="404"/>
      <c r="B275" s="385" t="s">
        <v>6339</v>
      </c>
      <c r="C275" s="212" t="s">
        <v>6421</v>
      </c>
      <c r="D275" s="212">
        <f>6*1.6*0.2+0.55</f>
        <v>2.4700000000000006</v>
      </c>
      <c r="E275" s="395">
        <f>+'APU CAP 5'!$P$538</f>
        <v>669769.71428571432</v>
      </c>
      <c r="F275" s="169">
        <v>0.05</v>
      </c>
      <c r="G275" s="172">
        <f t="shared" si="26"/>
        <v>1737047.7540000007</v>
      </c>
      <c r="H275" s="134"/>
      <c r="I275" s="404"/>
      <c r="J275" s="385" t="s">
        <v>6339</v>
      </c>
      <c r="K275" s="212" t="s">
        <v>6421</v>
      </c>
      <c r="L275" s="212">
        <f>6*1.6*0.2+0.55</f>
        <v>2.4700000000000006</v>
      </c>
      <c r="M275" s="395">
        <f>+'APU CAP 5'!$P$538</f>
        <v>669769.71428571432</v>
      </c>
      <c r="N275" s="169">
        <v>0.05</v>
      </c>
      <c r="O275" s="172">
        <f t="shared" si="27"/>
        <v>1737047.7540000007</v>
      </c>
      <c r="P275" s="134"/>
      <c r="Q275" s="404"/>
      <c r="R275" s="385" t="s">
        <v>6339</v>
      </c>
      <c r="S275" s="212" t="s">
        <v>6421</v>
      </c>
      <c r="T275" s="212">
        <f>6*1.6*0.2+0.55</f>
        <v>2.4700000000000006</v>
      </c>
      <c r="U275" s="395">
        <f>+'APU CAP 5'!$P$538</f>
        <v>669769.71428571432</v>
      </c>
      <c r="V275" s="169">
        <v>0.05</v>
      </c>
      <c r="W275" s="172">
        <f t="shared" si="28"/>
        <v>1737047.7540000007</v>
      </c>
      <c r="X275" s="134"/>
      <c r="Y275" s="404"/>
      <c r="Z275" s="385" t="s">
        <v>6339</v>
      </c>
      <c r="AA275" s="212" t="s">
        <v>6421</v>
      </c>
      <c r="AB275" s="212">
        <f>6*1.6*0.2+0.55</f>
        <v>2.4700000000000006</v>
      </c>
      <c r="AC275" s="395">
        <f>+'APU CAP 5'!$P$538</f>
        <v>669769.71428571432</v>
      </c>
      <c r="AD275" s="169">
        <v>0.05</v>
      </c>
      <c r="AE275" s="172">
        <f t="shared" si="29"/>
        <v>1737047.7540000007</v>
      </c>
      <c r="AF275" s="134"/>
    </row>
    <row r="276" spans="1:32" x14ac:dyDescent="0.25">
      <c r="A276" s="397"/>
      <c r="B276" s="385" t="s">
        <v>5741</v>
      </c>
      <c r="C276" s="212" t="s">
        <v>5550</v>
      </c>
      <c r="D276" s="386">
        <f>3.05*150</f>
        <v>457.5</v>
      </c>
      <c r="E276" s="384">
        <f>+'APU CAP 5'!$H$970</f>
        <v>3455</v>
      </c>
      <c r="F276" s="169">
        <v>0.05</v>
      </c>
      <c r="G276" s="172">
        <f t="shared" si="26"/>
        <v>1659695.625</v>
      </c>
      <c r="H276" s="401"/>
      <c r="I276" s="397"/>
      <c r="J276" s="385" t="s">
        <v>5741</v>
      </c>
      <c r="K276" s="212" t="s">
        <v>5550</v>
      </c>
      <c r="L276" s="386">
        <f>3.05*150</f>
        <v>457.5</v>
      </c>
      <c r="M276" s="384">
        <f>+'APU CAP 5'!$H$970</f>
        <v>3455</v>
      </c>
      <c r="N276" s="169">
        <v>0.05</v>
      </c>
      <c r="O276" s="172">
        <f t="shared" si="27"/>
        <v>1659695.625</v>
      </c>
      <c r="P276" s="401"/>
      <c r="Q276" s="397"/>
      <c r="R276" s="385" t="s">
        <v>5741</v>
      </c>
      <c r="S276" s="212" t="s">
        <v>5550</v>
      </c>
      <c r="T276" s="386">
        <f>3.05*150</f>
        <v>457.5</v>
      </c>
      <c r="U276" s="384">
        <f>+'APU CAP 5'!$H$970</f>
        <v>3455</v>
      </c>
      <c r="V276" s="169">
        <v>0.05</v>
      </c>
      <c r="W276" s="172">
        <f t="shared" si="28"/>
        <v>1659695.625</v>
      </c>
      <c r="X276" s="401"/>
      <c r="Y276" s="397"/>
      <c r="Z276" s="385" t="s">
        <v>5741</v>
      </c>
      <c r="AA276" s="212" t="s">
        <v>5550</v>
      </c>
      <c r="AB276" s="386">
        <f>3.05*150</f>
        <v>457.5</v>
      </c>
      <c r="AC276" s="384">
        <f>+'APU CAP 5'!$H$970</f>
        <v>3455</v>
      </c>
      <c r="AD276" s="169">
        <v>0.05</v>
      </c>
      <c r="AE276" s="172">
        <f t="shared" si="29"/>
        <v>1659695.625</v>
      </c>
      <c r="AF276" s="401"/>
    </row>
    <row r="277" spans="1:32" x14ac:dyDescent="0.25">
      <c r="A277" s="397"/>
      <c r="B277" s="385" t="s">
        <v>5750</v>
      </c>
      <c r="C277" s="212" t="s">
        <v>5550</v>
      </c>
      <c r="D277" s="386">
        <v>6</v>
      </c>
      <c r="E277" s="421">
        <f>+'APU CAP 5'!$H$1078</f>
        <v>8894</v>
      </c>
      <c r="F277" s="169">
        <v>0.05</v>
      </c>
      <c r="G277" s="172">
        <f t="shared" si="26"/>
        <v>56032.200000000004</v>
      </c>
      <c r="H277" s="401"/>
      <c r="I277" s="397"/>
      <c r="J277" s="385" t="s">
        <v>5750</v>
      </c>
      <c r="K277" s="212" t="s">
        <v>5550</v>
      </c>
      <c r="L277" s="386">
        <v>6</v>
      </c>
      <c r="M277" s="421">
        <f>+'APU CAP 5'!$H$1078</f>
        <v>8894</v>
      </c>
      <c r="N277" s="169">
        <v>0.05</v>
      </c>
      <c r="O277" s="172">
        <f t="shared" si="27"/>
        <v>56032.200000000004</v>
      </c>
      <c r="P277" s="401"/>
      <c r="Q277" s="397"/>
      <c r="R277" s="385" t="s">
        <v>5750</v>
      </c>
      <c r="S277" s="212" t="s">
        <v>5550</v>
      </c>
      <c r="T277" s="386">
        <v>6</v>
      </c>
      <c r="U277" s="421">
        <f>+'APU CAP 5'!$H$1078</f>
        <v>8894</v>
      </c>
      <c r="V277" s="169">
        <v>0.05</v>
      </c>
      <c r="W277" s="172">
        <f t="shared" si="28"/>
        <v>56032.200000000004</v>
      </c>
      <c r="X277" s="401"/>
      <c r="Y277" s="397"/>
      <c r="Z277" s="385" t="s">
        <v>5750</v>
      </c>
      <c r="AA277" s="212" t="s">
        <v>5550</v>
      </c>
      <c r="AB277" s="386">
        <v>6</v>
      </c>
      <c r="AC277" s="421">
        <f>+'APU CAP 5'!$H$1078</f>
        <v>8894</v>
      </c>
      <c r="AD277" s="169">
        <v>0.05</v>
      </c>
      <c r="AE277" s="172">
        <f t="shared" si="29"/>
        <v>56032.200000000004</v>
      </c>
      <c r="AF277" s="401"/>
    </row>
    <row r="278" spans="1:32" x14ac:dyDescent="0.25">
      <c r="A278" s="397"/>
      <c r="B278" s="385" t="s">
        <v>6340</v>
      </c>
      <c r="C278" s="212" t="s">
        <v>5402</v>
      </c>
      <c r="D278" s="386">
        <v>8</v>
      </c>
      <c r="E278" s="388">
        <f>+'APU CAP 5'!$H$1240</f>
        <v>31320</v>
      </c>
      <c r="F278" s="396">
        <v>0.05</v>
      </c>
      <c r="G278" s="172">
        <f t="shared" si="26"/>
        <v>263088</v>
      </c>
      <c r="H278" s="401"/>
      <c r="I278" s="397"/>
      <c r="J278" s="385" t="s">
        <v>6340</v>
      </c>
      <c r="K278" s="212" t="s">
        <v>5402</v>
      </c>
      <c r="L278" s="386">
        <v>8</v>
      </c>
      <c r="M278" s="388">
        <f>+'APU CAP 5'!$H$1240</f>
        <v>31320</v>
      </c>
      <c r="N278" s="169">
        <v>0.05</v>
      </c>
      <c r="O278" s="172">
        <f t="shared" si="27"/>
        <v>263088</v>
      </c>
      <c r="P278" s="401"/>
      <c r="Q278" s="397"/>
      <c r="R278" s="385" t="s">
        <v>6340</v>
      </c>
      <c r="S278" s="212" t="s">
        <v>5402</v>
      </c>
      <c r="T278" s="386">
        <v>8</v>
      </c>
      <c r="U278" s="388">
        <f>+'APU CAP 5'!$H$1240</f>
        <v>31320</v>
      </c>
      <c r="V278" s="169">
        <v>0.05</v>
      </c>
      <c r="W278" s="172">
        <f t="shared" si="28"/>
        <v>263088</v>
      </c>
      <c r="X278" s="401"/>
      <c r="Y278" s="397"/>
      <c r="Z278" s="385" t="s">
        <v>6340</v>
      </c>
      <c r="AA278" s="212" t="s">
        <v>5402</v>
      </c>
      <c r="AB278" s="386">
        <v>8</v>
      </c>
      <c r="AC278" s="388">
        <f>+'APU CAP 5'!$H$1240</f>
        <v>31320</v>
      </c>
      <c r="AD278" s="169">
        <v>0.05</v>
      </c>
      <c r="AE278" s="172">
        <f t="shared" si="29"/>
        <v>263088</v>
      </c>
      <c r="AF278" s="401"/>
    </row>
    <row r="279" spans="1:32" x14ac:dyDescent="0.25">
      <c r="A279" s="397"/>
      <c r="B279" s="385" t="s">
        <v>6341</v>
      </c>
      <c r="C279" s="212" t="s">
        <v>6421</v>
      </c>
      <c r="D279" s="386">
        <v>2</v>
      </c>
      <c r="E279" s="388">
        <f>+'APU CAP 1-2'!$H$2745</f>
        <v>11097</v>
      </c>
      <c r="F279" s="396">
        <v>0.05</v>
      </c>
      <c r="G279" s="172">
        <f t="shared" si="26"/>
        <v>23303.7</v>
      </c>
      <c r="H279" s="401">
        <f>SUM(G272:G279)</f>
        <v>4283462.1987000015</v>
      </c>
      <c r="I279" s="397"/>
      <c r="J279" s="385" t="s">
        <v>6341</v>
      </c>
      <c r="K279" s="212" t="s">
        <v>6421</v>
      </c>
      <c r="L279" s="386">
        <v>2</v>
      </c>
      <c r="M279" s="388">
        <f>+'APU CAP 1-2'!$H$2745</f>
        <v>11097</v>
      </c>
      <c r="N279" s="169">
        <v>0.05</v>
      </c>
      <c r="O279" s="172">
        <f t="shared" si="27"/>
        <v>23303.7</v>
      </c>
      <c r="P279" s="401">
        <f>SUM(O272:O279)</f>
        <v>4283462.1987000015</v>
      </c>
      <c r="Q279" s="397"/>
      <c r="R279" s="385" t="s">
        <v>6341</v>
      </c>
      <c r="S279" s="212" t="s">
        <v>6421</v>
      </c>
      <c r="T279" s="386">
        <v>2</v>
      </c>
      <c r="U279" s="388">
        <f>+'APU CAP 1-2'!$H$2745</f>
        <v>11097</v>
      </c>
      <c r="V279" s="169">
        <v>0.05</v>
      </c>
      <c r="W279" s="172">
        <f t="shared" si="28"/>
        <v>23303.7</v>
      </c>
      <c r="X279" s="401">
        <f>SUM(W272:W279)</f>
        <v>4283462.1987000015</v>
      </c>
      <c r="Y279" s="397"/>
      <c r="Z279" s="385" t="s">
        <v>6341</v>
      </c>
      <c r="AA279" s="212" t="s">
        <v>6421</v>
      </c>
      <c r="AB279" s="386">
        <v>2</v>
      </c>
      <c r="AC279" s="388">
        <f>+'APU CAP 1-2'!$H$2745</f>
        <v>11097</v>
      </c>
      <c r="AD279" s="169">
        <v>0.05</v>
      </c>
      <c r="AE279" s="172">
        <f t="shared" si="29"/>
        <v>23303.7</v>
      </c>
      <c r="AF279" s="401">
        <f>SUM(AE272:AE279)</f>
        <v>4283462.1987000015</v>
      </c>
    </row>
    <row r="280" spans="1:32" x14ac:dyDescent="0.25">
      <c r="A280" s="397"/>
      <c r="B280" s="385" t="s">
        <v>6577</v>
      </c>
      <c r="C280" s="386" t="s">
        <v>5424</v>
      </c>
      <c r="D280" s="386">
        <v>1</v>
      </c>
      <c r="E280" s="388">
        <f>+SUM!H$2050</f>
        <v>277813</v>
      </c>
      <c r="F280" s="396"/>
      <c r="G280" s="172">
        <f t="shared" si="26"/>
        <v>277813</v>
      </c>
      <c r="H280" s="401"/>
      <c r="I280" s="397"/>
      <c r="J280" s="385" t="s">
        <v>6577</v>
      </c>
      <c r="K280" s="386" t="s">
        <v>5424</v>
      </c>
      <c r="L280" s="386">
        <v>1</v>
      </c>
      <c r="M280" s="388">
        <f>+E280*1.1</f>
        <v>305594.30000000005</v>
      </c>
      <c r="N280" s="396"/>
      <c r="O280" s="172">
        <f t="shared" si="27"/>
        <v>305594.30000000005</v>
      </c>
      <c r="P280" s="401"/>
      <c r="Q280" s="397"/>
      <c r="R280" s="385" t="s">
        <v>6577</v>
      </c>
      <c r="S280" s="386" t="s">
        <v>5424</v>
      </c>
      <c r="T280" s="386">
        <v>1</v>
      </c>
      <c r="U280" s="388">
        <f>+M280*1.1</f>
        <v>336153.7300000001</v>
      </c>
      <c r="V280" s="396"/>
      <c r="W280" s="172">
        <f t="shared" si="28"/>
        <v>336153.7300000001</v>
      </c>
      <c r="X280" s="401"/>
      <c r="Y280" s="397"/>
      <c r="Z280" s="385" t="s">
        <v>6577</v>
      </c>
      <c r="AA280" s="386" t="s">
        <v>5424</v>
      </c>
      <c r="AB280" s="386">
        <v>1</v>
      </c>
      <c r="AC280" s="388">
        <f>+AC227</f>
        <v>328494</v>
      </c>
      <c r="AD280" s="396"/>
      <c r="AE280" s="172">
        <f t="shared" si="29"/>
        <v>328494</v>
      </c>
      <c r="AF280" s="401"/>
    </row>
    <row r="281" spans="1:32" x14ac:dyDescent="0.25">
      <c r="A281" s="397"/>
      <c r="B281" s="385" t="s">
        <v>6573</v>
      </c>
      <c r="C281" s="386" t="s">
        <v>5424</v>
      </c>
      <c r="D281" s="386">
        <v>2</v>
      </c>
      <c r="E281" s="388">
        <f>+E228</f>
        <v>2675780</v>
      </c>
      <c r="F281" s="396"/>
      <c r="G281" s="172">
        <f t="shared" si="26"/>
        <v>5351560</v>
      </c>
      <c r="H281" s="401"/>
      <c r="I281" s="397"/>
      <c r="J281" s="385" t="s">
        <v>6573</v>
      </c>
      <c r="K281" s="386" t="s">
        <v>5424</v>
      </c>
      <c r="L281" s="386">
        <v>2</v>
      </c>
      <c r="M281" s="388">
        <f t="shared" ref="M281:M286" si="30">+E281*1.1</f>
        <v>2943358.0000000005</v>
      </c>
      <c r="N281" s="396"/>
      <c r="O281" s="172">
        <f t="shared" si="27"/>
        <v>5886716.0000000009</v>
      </c>
      <c r="P281" s="401"/>
      <c r="Q281" s="397"/>
      <c r="R281" s="385" t="s">
        <v>6573</v>
      </c>
      <c r="S281" s="386" t="s">
        <v>5424</v>
      </c>
      <c r="T281" s="386">
        <v>2</v>
      </c>
      <c r="U281" s="388">
        <f t="shared" ref="U281:U286" si="31">+M281*1.1</f>
        <v>3237693.8000000007</v>
      </c>
      <c r="V281" s="396"/>
      <c r="W281" s="172">
        <f t="shared" si="28"/>
        <v>6475387.6000000015</v>
      </c>
      <c r="X281" s="401"/>
      <c r="Y281" s="397"/>
      <c r="Z281" s="385" t="s">
        <v>6596</v>
      </c>
      <c r="AA281" s="386" t="s">
        <v>5424</v>
      </c>
      <c r="AB281" s="386">
        <v>2</v>
      </c>
      <c r="AC281" s="388">
        <f>+AC228</f>
        <v>2226161</v>
      </c>
      <c r="AD281" s="396"/>
      <c r="AE281" s="172">
        <f t="shared" si="29"/>
        <v>4452322</v>
      </c>
      <c r="AF281" s="401"/>
    </row>
    <row r="282" spans="1:32" x14ac:dyDescent="0.25">
      <c r="A282" s="397"/>
      <c r="B282" s="385" t="s">
        <v>6578</v>
      </c>
      <c r="C282" s="386" t="s">
        <v>5424</v>
      </c>
      <c r="D282" s="386">
        <v>1</v>
      </c>
      <c r="E282" s="388">
        <f>+E229</f>
        <v>470145</v>
      </c>
      <c r="F282" s="396"/>
      <c r="G282" s="172">
        <f t="shared" si="26"/>
        <v>470145</v>
      </c>
      <c r="H282" s="401"/>
      <c r="I282" s="397"/>
      <c r="J282" s="385" t="s">
        <v>6578</v>
      </c>
      <c r="K282" s="386" t="s">
        <v>5424</v>
      </c>
      <c r="L282" s="386">
        <v>1</v>
      </c>
      <c r="M282" s="388">
        <f t="shared" si="30"/>
        <v>517159.50000000006</v>
      </c>
      <c r="N282" s="396"/>
      <c r="O282" s="172">
        <f t="shared" si="27"/>
        <v>517159.50000000006</v>
      </c>
      <c r="P282" s="401"/>
      <c r="Q282" s="397"/>
      <c r="R282" s="385" t="s">
        <v>6578</v>
      </c>
      <c r="S282" s="386" t="s">
        <v>5424</v>
      </c>
      <c r="T282" s="386">
        <v>1</v>
      </c>
      <c r="U282" s="388">
        <f t="shared" si="31"/>
        <v>568875.45000000007</v>
      </c>
      <c r="V282" s="396"/>
      <c r="W282" s="172">
        <f t="shared" si="28"/>
        <v>568875.45000000007</v>
      </c>
      <c r="X282" s="401"/>
      <c r="Y282" s="397"/>
      <c r="Z282" s="385" t="s">
        <v>6578</v>
      </c>
      <c r="AA282" s="386" t="s">
        <v>5424</v>
      </c>
      <c r="AB282" s="386">
        <v>1</v>
      </c>
      <c r="AC282" s="388">
        <f>+AC229</f>
        <v>470145</v>
      </c>
      <c r="AD282" s="396"/>
      <c r="AE282" s="172">
        <f t="shared" si="29"/>
        <v>470145</v>
      </c>
      <c r="AF282" s="401"/>
    </row>
    <row r="283" spans="1:32" x14ac:dyDescent="0.25">
      <c r="A283" s="397"/>
      <c r="B283" s="385" t="s">
        <v>6576</v>
      </c>
      <c r="C283" s="386" t="s">
        <v>5424</v>
      </c>
      <c r="D283" s="386">
        <v>1</v>
      </c>
      <c r="E283" s="388">
        <f>+E230</f>
        <v>533287</v>
      </c>
      <c r="F283" s="396"/>
      <c r="G283" s="172">
        <f t="shared" si="26"/>
        <v>533287</v>
      </c>
      <c r="H283" s="401"/>
      <c r="I283" s="397"/>
      <c r="J283" s="385" t="s">
        <v>6576</v>
      </c>
      <c r="K283" s="386" t="s">
        <v>5424</v>
      </c>
      <c r="L283" s="386">
        <v>1</v>
      </c>
      <c r="M283" s="388">
        <f t="shared" si="30"/>
        <v>586615.70000000007</v>
      </c>
      <c r="N283" s="396"/>
      <c r="O283" s="172">
        <f t="shared" si="27"/>
        <v>586615.70000000007</v>
      </c>
      <c r="P283" s="401"/>
      <c r="Q283" s="397"/>
      <c r="R283" s="385" t="s">
        <v>6576</v>
      </c>
      <c r="S283" s="386" t="s">
        <v>5424</v>
      </c>
      <c r="T283" s="386">
        <v>1</v>
      </c>
      <c r="U283" s="388">
        <f t="shared" si="31"/>
        <v>645277.27000000014</v>
      </c>
      <c r="V283" s="396"/>
      <c r="W283" s="172">
        <f t="shared" si="28"/>
        <v>645277.27000000014</v>
      </c>
      <c r="X283" s="401"/>
      <c r="Y283" s="397"/>
      <c r="Z283" s="385" t="s">
        <v>6576</v>
      </c>
      <c r="AA283" s="386" t="s">
        <v>5424</v>
      </c>
      <c r="AB283" s="386">
        <v>1</v>
      </c>
      <c r="AC283" s="388">
        <f>+AC230</f>
        <v>533287</v>
      </c>
      <c r="AD283" s="396"/>
      <c r="AE283" s="172">
        <f t="shared" si="29"/>
        <v>533287</v>
      </c>
      <c r="AF283" s="401"/>
    </row>
    <row r="284" spans="1:32" x14ac:dyDescent="0.25">
      <c r="A284" s="397"/>
      <c r="B284" s="385" t="s">
        <v>6568</v>
      </c>
      <c r="C284" s="386" t="s">
        <v>5424</v>
      </c>
      <c r="D284" s="386">
        <v>1</v>
      </c>
      <c r="E284" s="388">
        <f>+E232</f>
        <v>814038</v>
      </c>
      <c r="F284" s="396"/>
      <c r="G284" s="172">
        <f t="shared" si="26"/>
        <v>814038</v>
      </c>
      <c r="H284" s="401"/>
      <c r="I284" s="397"/>
      <c r="J284" s="385" t="s">
        <v>6568</v>
      </c>
      <c r="K284" s="386" t="s">
        <v>5424</v>
      </c>
      <c r="L284" s="386">
        <v>1</v>
      </c>
      <c r="M284" s="388">
        <f t="shared" si="30"/>
        <v>895441.8</v>
      </c>
      <c r="N284" s="396"/>
      <c r="O284" s="172">
        <f t="shared" si="27"/>
        <v>895441.8</v>
      </c>
      <c r="P284" s="401"/>
      <c r="Q284" s="397"/>
      <c r="R284" s="385" t="s">
        <v>6568</v>
      </c>
      <c r="S284" s="386" t="s">
        <v>5424</v>
      </c>
      <c r="T284" s="386">
        <v>1</v>
      </c>
      <c r="U284" s="388">
        <f t="shared" si="31"/>
        <v>984985.9800000001</v>
      </c>
      <c r="V284" s="396"/>
      <c r="W284" s="172">
        <f t="shared" si="28"/>
        <v>984985.9800000001</v>
      </c>
      <c r="X284" s="401"/>
      <c r="Y284" s="397"/>
      <c r="Z284" s="385" t="s">
        <v>6568</v>
      </c>
      <c r="AA284" s="386" t="s">
        <v>5424</v>
      </c>
      <c r="AB284" s="386">
        <v>1</v>
      </c>
      <c r="AC284" s="388">
        <f>+E284</f>
        <v>814038</v>
      </c>
      <c r="AD284" s="396"/>
      <c r="AE284" s="172">
        <f t="shared" si="29"/>
        <v>814038</v>
      </c>
      <c r="AF284" s="401"/>
    </row>
    <row r="285" spans="1:32" x14ac:dyDescent="0.25">
      <c r="A285" s="397"/>
      <c r="B285" s="385" t="s">
        <v>6538</v>
      </c>
      <c r="C285" s="386" t="s">
        <v>5424</v>
      </c>
      <c r="D285" s="386">
        <v>1</v>
      </c>
      <c r="E285" s="388">
        <f>+E233</f>
        <v>112705</v>
      </c>
      <c r="F285" s="396"/>
      <c r="G285" s="172">
        <f t="shared" si="26"/>
        <v>112705</v>
      </c>
      <c r="H285" s="401"/>
      <c r="I285" s="397"/>
      <c r="J285" s="385" t="s">
        <v>6538</v>
      </c>
      <c r="K285" s="386" t="s">
        <v>5424</v>
      </c>
      <c r="L285" s="386">
        <v>1</v>
      </c>
      <c r="M285" s="388">
        <f t="shared" si="30"/>
        <v>123975.50000000001</v>
      </c>
      <c r="N285" s="396"/>
      <c r="O285" s="172">
        <f t="shared" si="27"/>
        <v>123975.50000000001</v>
      </c>
      <c r="P285" s="401"/>
      <c r="Q285" s="397"/>
      <c r="R285" s="385" t="s">
        <v>6538</v>
      </c>
      <c r="S285" s="386" t="s">
        <v>5424</v>
      </c>
      <c r="T285" s="386">
        <v>1</v>
      </c>
      <c r="U285" s="388">
        <f t="shared" si="31"/>
        <v>136373.05000000002</v>
      </c>
      <c r="V285" s="396"/>
      <c r="W285" s="172">
        <f t="shared" si="28"/>
        <v>136373.05000000002</v>
      </c>
      <c r="X285" s="401"/>
      <c r="Y285" s="397"/>
      <c r="Z285" s="385" t="s">
        <v>6538</v>
      </c>
      <c r="AA285" s="386" t="s">
        <v>5424</v>
      </c>
      <c r="AB285" s="386">
        <v>1</v>
      </c>
      <c r="AC285" s="388">
        <f>+E285</f>
        <v>112705</v>
      </c>
      <c r="AD285" s="396"/>
      <c r="AE285" s="172">
        <f t="shared" si="29"/>
        <v>112705</v>
      </c>
      <c r="AF285" s="401"/>
    </row>
    <row r="286" spans="1:32" x14ac:dyDescent="0.25">
      <c r="A286" s="397"/>
      <c r="B286" s="385" t="s">
        <v>6373</v>
      </c>
      <c r="C286" s="386" t="s">
        <v>5424</v>
      </c>
      <c r="D286" s="386">
        <v>2</v>
      </c>
      <c r="E286" s="388">
        <f>+E234</f>
        <v>1285111</v>
      </c>
      <c r="F286" s="387"/>
      <c r="G286" s="172">
        <f t="shared" si="26"/>
        <v>2570222</v>
      </c>
      <c r="H286" s="401"/>
      <c r="I286" s="397"/>
      <c r="J286" s="385" t="s">
        <v>6373</v>
      </c>
      <c r="K286" s="386" t="s">
        <v>5424</v>
      </c>
      <c r="L286" s="386">
        <v>2</v>
      </c>
      <c r="M286" s="388">
        <f t="shared" si="30"/>
        <v>1413622.1</v>
      </c>
      <c r="N286" s="387"/>
      <c r="O286" s="172">
        <f t="shared" si="27"/>
        <v>2827244.2</v>
      </c>
      <c r="P286" s="401"/>
      <c r="Q286" s="397"/>
      <c r="R286" s="385" t="s">
        <v>6373</v>
      </c>
      <c r="S286" s="386" t="s">
        <v>5424</v>
      </c>
      <c r="T286" s="386">
        <v>2</v>
      </c>
      <c r="U286" s="388">
        <f t="shared" si="31"/>
        <v>1554984.3100000003</v>
      </c>
      <c r="V286" s="387"/>
      <c r="W286" s="172">
        <f t="shared" si="28"/>
        <v>3109968.6200000006</v>
      </c>
      <c r="X286" s="401"/>
      <c r="Y286" s="397"/>
      <c r="Z286" s="385" t="s">
        <v>6599</v>
      </c>
      <c r="AA286" s="386" t="s">
        <v>5424</v>
      </c>
      <c r="AB286" s="386">
        <v>2</v>
      </c>
      <c r="AC286" s="388">
        <f>+AC234</f>
        <v>645992</v>
      </c>
      <c r="AD286" s="387"/>
      <c r="AE286" s="172">
        <f t="shared" si="29"/>
        <v>1291984</v>
      </c>
      <c r="AF286" s="401"/>
    </row>
    <row r="287" spans="1:32" x14ac:dyDescent="0.25">
      <c r="A287" s="397"/>
      <c r="B287" s="385" t="s">
        <v>6342</v>
      </c>
      <c r="C287" s="386" t="s">
        <v>5424</v>
      </c>
      <c r="D287" s="386">
        <v>4</v>
      </c>
      <c r="E287" s="388">
        <f>+E235</f>
        <v>42295</v>
      </c>
      <c r="F287" s="596"/>
      <c r="G287" s="172">
        <f t="shared" si="26"/>
        <v>169180</v>
      </c>
      <c r="H287" s="401"/>
      <c r="I287" s="397"/>
      <c r="J287" s="385" t="s">
        <v>6342</v>
      </c>
      <c r="K287" s="386" t="s">
        <v>5424</v>
      </c>
      <c r="L287" s="386">
        <v>4</v>
      </c>
      <c r="M287" s="388">
        <f>+E287</f>
        <v>42295</v>
      </c>
      <c r="N287" s="596"/>
      <c r="O287" s="172">
        <f t="shared" si="27"/>
        <v>169180</v>
      </c>
      <c r="P287" s="401"/>
      <c r="Q287" s="397"/>
      <c r="R287" s="385" t="s">
        <v>6342</v>
      </c>
      <c r="S287" s="386" t="s">
        <v>5424</v>
      </c>
      <c r="T287" s="386">
        <v>4</v>
      </c>
      <c r="U287" s="388">
        <f>+M287</f>
        <v>42295</v>
      </c>
      <c r="V287" s="596"/>
      <c r="W287" s="172">
        <f t="shared" si="28"/>
        <v>169180</v>
      </c>
      <c r="X287" s="401"/>
      <c r="Y287" s="397"/>
      <c r="Z287" s="385" t="s">
        <v>6342</v>
      </c>
      <c r="AA287" s="386" t="s">
        <v>5424</v>
      </c>
      <c r="AB287" s="386">
        <v>4</v>
      </c>
      <c r="AC287" s="388">
        <f>+U287</f>
        <v>42295</v>
      </c>
      <c r="AD287" s="596"/>
      <c r="AE287" s="172">
        <f t="shared" si="29"/>
        <v>169180</v>
      </c>
      <c r="AF287" s="401"/>
    </row>
    <row r="288" spans="1:32" ht="15.75" thickBot="1" x14ac:dyDescent="0.3">
      <c r="A288" s="397"/>
      <c r="B288" s="385" t="s">
        <v>6343</v>
      </c>
      <c r="C288" s="386" t="s">
        <v>5424</v>
      </c>
      <c r="D288" s="386">
        <v>1</v>
      </c>
      <c r="E288" s="388">
        <f>+E236</f>
        <v>677604</v>
      </c>
      <c r="F288" s="597"/>
      <c r="G288" s="172">
        <f t="shared" si="26"/>
        <v>677604</v>
      </c>
      <c r="H288" s="401"/>
      <c r="I288" s="397"/>
      <c r="J288" s="385" t="s">
        <v>6343</v>
      </c>
      <c r="K288" s="386" t="s">
        <v>5424</v>
      </c>
      <c r="L288" s="386">
        <v>1</v>
      </c>
      <c r="M288" s="423">
        <f>+E288</f>
        <v>677604</v>
      </c>
      <c r="N288" s="597"/>
      <c r="O288" s="172">
        <f t="shared" si="27"/>
        <v>677604</v>
      </c>
      <c r="P288" s="401"/>
      <c r="Q288" s="397"/>
      <c r="R288" s="385" t="s">
        <v>6343</v>
      </c>
      <c r="S288" s="386" t="s">
        <v>5424</v>
      </c>
      <c r="T288" s="386">
        <v>1</v>
      </c>
      <c r="U288" s="388">
        <f>+M288</f>
        <v>677604</v>
      </c>
      <c r="V288" s="597"/>
      <c r="W288" s="172">
        <f t="shared" si="28"/>
        <v>677604</v>
      </c>
      <c r="X288" s="401"/>
      <c r="Y288" s="397"/>
      <c r="Z288" s="385" t="s">
        <v>6343</v>
      </c>
      <c r="AA288" s="386" t="s">
        <v>5424</v>
      </c>
      <c r="AB288" s="386">
        <v>1</v>
      </c>
      <c r="AC288" s="388">
        <f>+U288</f>
        <v>677604</v>
      </c>
      <c r="AD288" s="597"/>
      <c r="AE288" s="172">
        <f t="shared" si="29"/>
        <v>677604</v>
      </c>
      <c r="AF288" s="401"/>
    </row>
    <row r="289" spans="1:32" ht="15.75" thickBot="1" x14ac:dyDescent="0.3">
      <c r="A289" s="397"/>
      <c r="B289" s="412"/>
      <c r="C289" s="413"/>
      <c r="D289" s="413"/>
      <c r="E289" s="423"/>
      <c r="F289" s="597"/>
      <c r="G289" s="410"/>
      <c r="H289" s="416">
        <f>+SUM(G272:G289)</f>
        <v>15260016.198700001</v>
      </c>
      <c r="I289" s="397"/>
      <c r="J289" s="412"/>
      <c r="K289" s="413"/>
      <c r="L289" s="413"/>
      <c r="M289" s="423"/>
      <c r="N289" s="597"/>
      <c r="O289" s="410"/>
      <c r="P289" s="416">
        <f>+SUM(O272:O289)</f>
        <v>16272993.198700003</v>
      </c>
      <c r="Q289" s="397"/>
      <c r="R289" s="412"/>
      <c r="S289" s="413"/>
      <c r="T289" s="413"/>
      <c r="U289" s="423"/>
      <c r="V289" s="597"/>
      <c r="W289" s="410"/>
      <c r="X289" s="416">
        <f>+SUM(W272:W289)</f>
        <v>17387267.898700006</v>
      </c>
      <c r="Y289" s="397"/>
      <c r="Z289" s="412"/>
      <c r="AA289" s="413"/>
      <c r="AB289" s="413"/>
      <c r="AC289" s="423"/>
      <c r="AD289" s="597"/>
      <c r="AE289" s="410"/>
      <c r="AF289" s="416">
        <f>+SUM(AE272:AE289)</f>
        <v>13133221.198700001</v>
      </c>
    </row>
    <row r="290" spans="1:32" ht="15.75" thickBot="1" x14ac:dyDescent="0.3">
      <c r="A290" s="397"/>
      <c r="B290" s="417"/>
      <c r="C290" s="417"/>
      <c r="D290" s="417"/>
      <c r="E290" s="417"/>
      <c r="F290" s="417"/>
      <c r="G290" s="419"/>
      <c r="H290" s="420"/>
      <c r="I290" s="397"/>
      <c r="J290" s="417"/>
      <c r="K290" s="417"/>
      <c r="L290" s="417"/>
      <c r="M290" s="417"/>
      <c r="N290" s="417"/>
      <c r="O290" s="419"/>
      <c r="P290" s="420"/>
      <c r="Q290" s="397"/>
      <c r="R290" s="417"/>
      <c r="S290" s="417"/>
      <c r="T290" s="417"/>
      <c r="U290" s="417"/>
      <c r="V290" s="417"/>
      <c r="W290" s="419"/>
      <c r="X290" s="420"/>
      <c r="Y290" s="397"/>
      <c r="Z290" s="417"/>
      <c r="AA290" s="417"/>
      <c r="AB290" s="417"/>
      <c r="AC290" s="417"/>
      <c r="AD290" s="417"/>
      <c r="AE290" s="419"/>
      <c r="AF290" s="420"/>
    </row>
    <row r="291" spans="1:32" ht="15.75" thickBot="1" x14ac:dyDescent="0.3">
      <c r="A291" s="397"/>
      <c r="B291" s="407" t="s">
        <v>5410</v>
      </c>
      <c r="C291" s="408" t="s">
        <v>867</v>
      </c>
      <c r="D291" s="408" t="s">
        <v>6</v>
      </c>
      <c r="E291" s="408" t="s">
        <v>870</v>
      </c>
      <c r="F291" s="408" t="s">
        <v>5411</v>
      </c>
      <c r="G291" s="409" t="s">
        <v>868</v>
      </c>
      <c r="H291" s="401"/>
      <c r="I291" s="397"/>
      <c r="J291" s="407" t="s">
        <v>5410</v>
      </c>
      <c r="K291" s="408" t="s">
        <v>867</v>
      </c>
      <c r="L291" s="408" t="s">
        <v>6</v>
      </c>
      <c r="M291" s="408" t="s">
        <v>870</v>
      </c>
      <c r="N291" s="408" t="s">
        <v>5411</v>
      </c>
      <c r="O291" s="409" t="s">
        <v>868</v>
      </c>
      <c r="P291" s="401"/>
      <c r="Q291" s="397"/>
      <c r="R291" s="407" t="s">
        <v>5410</v>
      </c>
      <c r="S291" s="408" t="s">
        <v>867</v>
      </c>
      <c r="T291" s="408" t="s">
        <v>6</v>
      </c>
      <c r="U291" s="408" t="s">
        <v>870</v>
      </c>
      <c r="V291" s="408" t="s">
        <v>5411</v>
      </c>
      <c r="W291" s="409" t="s">
        <v>868</v>
      </c>
      <c r="X291" s="401"/>
      <c r="Y291" s="397"/>
      <c r="Z291" s="407" t="s">
        <v>5410</v>
      </c>
      <c r="AA291" s="408" t="s">
        <v>867</v>
      </c>
      <c r="AB291" s="408" t="s">
        <v>6</v>
      </c>
      <c r="AC291" s="408" t="s">
        <v>870</v>
      </c>
      <c r="AD291" s="408" t="s">
        <v>5411</v>
      </c>
      <c r="AE291" s="409" t="s">
        <v>868</v>
      </c>
      <c r="AF291" s="401"/>
    </row>
    <row r="292" spans="1:32" ht="15.75" thickBot="1" x14ac:dyDescent="0.3">
      <c r="A292" s="397"/>
      <c r="B292" s="579"/>
      <c r="C292" s="580"/>
      <c r="D292" s="580"/>
      <c r="E292" s="580"/>
      <c r="F292" s="580"/>
      <c r="G292" s="581"/>
      <c r="H292" s="401"/>
      <c r="I292" s="397"/>
      <c r="J292" s="579"/>
      <c r="K292" s="580"/>
      <c r="L292" s="580"/>
      <c r="M292" s="580"/>
      <c r="N292" s="580"/>
      <c r="O292" s="581"/>
      <c r="P292" s="401"/>
      <c r="Q292" s="397"/>
      <c r="R292" s="579"/>
      <c r="S292" s="580"/>
      <c r="T292" s="580"/>
      <c r="U292" s="580"/>
      <c r="V292" s="580"/>
      <c r="W292" s="581"/>
      <c r="X292" s="401"/>
      <c r="Y292" s="397"/>
      <c r="Z292" s="579"/>
      <c r="AA292" s="580"/>
      <c r="AB292" s="580"/>
      <c r="AC292" s="580"/>
      <c r="AD292" s="580"/>
      <c r="AE292" s="581"/>
      <c r="AF292" s="401"/>
    </row>
    <row r="293" spans="1:32" ht="15.75" thickBot="1" x14ac:dyDescent="0.3">
      <c r="A293" s="397"/>
      <c r="B293" s="412"/>
      <c r="C293" s="414"/>
      <c r="D293" s="414"/>
      <c r="E293" s="414"/>
      <c r="F293" s="414"/>
      <c r="G293" s="415"/>
      <c r="H293" s="416">
        <f>+SUM(G293:G293)</f>
        <v>0</v>
      </c>
      <c r="I293" s="397"/>
      <c r="J293" s="412"/>
      <c r="K293" s="414"/>
      <c r="L293" s="414"/>
      <c r="M293" s="414"/>
      <c r="N293" s="414"/>
      <c r="O293" s="415"/>
      <c r="P293" s="416">
        <f>+SUM(O293:O293)</f>
        <v>0</v>
      </c>
      <c r="Q293" s="397"/>
      <c r="R293" s="412"/>
      <c r="S293" s="414"/>
      <c r="T293" s="414"/>
      <c r="U293" s="414"/>
      <c r="V293" s="414"/>
      <c r="W293" s="415"/>
      <c r="X293" s="416">
        <f>+SUM(W293:W293)</f>
        <v>0</v>
      </c>
      <c r="Y293" s="397"/>
      <c r="Z293" s="412"/>
      <c r="AA293" s="414"/>
      <c r="AB293" s="414"/>
      <c r="AC293" s="414"/>
      <c r="AD293" s="414"/>
      <c r="AE293" s="415"/>
      <c r="AF293" s="416">
        <f>+SUM(AE293:AE293)</f>
        <v>0</v>
      </c>
    </row>
    <row r="294" spans="1:32" ht="15.75" thickBot="1" x14ac:dyDescent="0.3">
      <c r="A294" s="397"/>
      <c r="B294" s="417"/>
      <c r="C294" s="417"/>
      <c r="D294" s="417"/>
      <c r="E294" s="417"/>
      <c r="F294" s="425"/>
      <c r="G294" s="426"/>
      <c r="H294" s="420"/>
      <c r="I294" s="397"/>
      <c r="J294" s="417"/>
      <c r="K294" s="417"/>
      <c r="L294" s="417"/>
      <c r="M294" s="417"/>
      <c r="N294" s="425"/>
      <c r="O294" s="426"/>
      <c r="P294" s="420"/>
      <c r="Q294" s="397"/>
      <c r="R294" s="417"/>
      <c r="S294" s="417"/>
      <c r="T294" s="417"/>
      <c r="U294" s="417"/>
      <c r="V294" s="425"/>
      <c r="W294" s="426"/>
      <c r="X294" s="420"/>
      <c r="Y294" s="397"/>
      <c r="Z294" s="417"/>
      <c r="AA294" s="417"/>
      <c r="AB294" s="417"/>
      <c r="AC294" s="417"/>
      <c r="AD294" s="425"/>
      <c r="AE294" s="426"/>
      <c r="AF294" s="420"/>
    </row>
    <row r="295" spans="1:32" ht="15.75" thickBot="1" x14ac:dyDescent="0.3">
      <c r="A295" s="397"/>
      <c r="B295" s="407" t="s">
        <v>5412</v>
      </c>
      <c r="C295" s="408" t="s">
        <v>5420</v>
      </c>
      <c r="D295" s="408" t="s">
        <v>5421</v>
      </c>
      <c r="E295" s="408" t="s">
        <v>5413</v>
      </c>
      <c r="F295" s="408" t="s">
        <v>5405</v>
      </c>
      <c r="G295" s="409" t="s">
        <v>868</v>
      </c>
      <c r="H295" s="401"/>
      <c r="I295" s="397"/>
      <c r="J295" s="407" t="s">
        <v>5412</v>
      </c>
      <c r="K295" s="408" t="s">
        <v>5420</v>
      </c>
      <c r="L295" s="408" t="s">
        <v>5421</v>
      </c>
      <c r="M295" s="408" t="s">
        <v>5413</v>
      </c>
      <c r="N295" s="408" t="s">
        <v>5405</v>
      </c>
      <c r="O295" s="409" t="s">
        <v>868</v>
      </c>
      <c r="P295" s="401"/>
      <c r="Q295" s="397"/>
      <c r="R295" s="407" t="s">
        <v>5412</v>
      </c>
      <c r="S295" s="408" t="s">
        <v>5420</v>
      </c>
      <c r="T295" s="408" t="s">
        <v>5421</v>
      </c>
      <c r="U295" s="408" t="s">
        <v>5413</v>
      </c>
      <c r="V295" s="408" t="s">
        <v>5405</v>
      </c>
      <c r="W295" s="409" t="s">
        <v>868</v>
      </c>
      <c r="X295" s="401"/>
      <c r="Y295" s="397"/>
      <c r="Z295" s="407" t="s">
        <v>5412</v>
      </c>
      <c r="AA295" s="408" t="s">
        <v>5420</v>
      </c>
      <c r="AB295" s="408" t="s">
        <v>5421</v>
      </c>
      <c r="AC295" s="408" t="s">
        <v>5413</v>
      </c>
      <c r="AD295" s="408" t="s">
        <v>5405</v>
      </c>
      <c r="AE295" s="409" t="s">
        <v>868</v>
      </c>
      <c r="AF295" s="401"/>
    </row>
    <row r="296" spans="1:32" x14ac:dyDescent="0.25">
      <c r="A296" s="397"/>
      <c r="B296" s="381" t="s">
        <v>5948</v>
      </c>
      <c r="C296" s="345">
        <v>70000</v>
      </c>
      <c r="D296" s="384">
        <f>+C296*0.85</f>
        <v>59500</v>
      </c>
      <c r="E296" s="384">
        <f>+C296+D296</f>
        <v>129500</v>
      </c>
      <c r="F296" s="382">
        <v>5</v>
      </c>
      <c r="G296" s="410">
        <f>+E296/F296</f>
        <v>25900</v>
      </c>
      <c r="H296" s="401"/>
      <c r="I296" s="397"/>
      <c r="J296" s="381" t="s">
        <v>5948</v>
      </c>
      <c r="K296" s="345">
        <v>70000</v>
      </c>
      <c r="L296" s="384">
        <f>+K296*0.85</f>
        <v>59500</v>
      </c>
      <c r="M296" s="384">
        <f>+K296+L296</f>
        <v>129500</v>
      </c>
      <c r="N296" s="382">
        <v>5</v>
      </c>
      <c r="O296" s="410">
        <f>+M296/N296</f>
        <v>25900</v>
      </c>
      <c r="P296" s="401"/>
      <c r="Q296" s="397"/>
      <c r="R296" s="381" t="s">
        <v>5948</v>
      </c>
      <c r="S296" s="345">
        <v>70000</v>
      </c>
      <c r="T296" s="384">
        <f>+S296*0.85</f>
        <v>59500</v>
      </c>
      <c r="U296" s="384">
        <f>+S296+T296</f>
        <v>129500</v>
      </c>
      <c r="V296" s="382">
        <v>5</v>
      </c>
      <c r="W296" s="410">
        <f>+U296/V296</f>
        <v>25900</v>
      </c>
      <c r="X296" s="401"/>
      <c r="Y296" s="397"/>
      <c r="Z296" s="381" t="s">
        <v>5948</v>
      </c>
      <c r="AA296" s="345">
        <v>70000</v>
      </c>
      <c r="AB296" s="384">
        <f>+AA296*0.85</f>
        <v>59500</v>
      </c>
      <c r="AC296" s="384">
        <f>+AA296+AB296</f>
        <v>129500</v>
      </c>
      <c r="AD296" s="382">
        <v>5</v>
      </c>
      <c r="AE296" s="410">
        <f>+AC296/AD296</f>
        <v>25900</v>
      </c>
      <c r="AF296" s="401"/>
    </row>
    <row r="297" spans="1:32" x14ac:dyDescent="0.25">
      <c r="A297" s="397"/>
      <c r="B297" s="385" t="s">
        <v>5949</v>
      </c>
      <c r="C297" s="345">
        <v>40000</v>
      </c>
      <c r="D297" s="384">
        <f>+C297*0.85</f>
        <v>34000</v>
      </c>
      <c r="E297" s="384">
        <f>+C297+D297</f>
        <v>74000</v>
      </c>
      <c r="F297" s="382">
        <v>0.4</v>
      </c>
      <c r="G297" s="410">
        <f>+E297/F297</f>
        <v>185000</v>
      </c>
      <c r="H297" s="401"/>
      <c r="I297" s="397"/>
      <c r="J297" s="385" t="s">
        <v>5949</v>
      </c>
      <c r="K297" s="345">
        <v>40000</v>
      </c>
      <c r="L297" s="384">
        <f>+K297*0.85</f>
        <v>34000</v>
      </c>
      <c r="M297" s="384">
        <f>+K297+L297</f>
        <v>74000</v>
      </c>
      <c r="N297" s="382">
        <v>0.4</v>
      </c>
      <c r="O297" s="410">
        <f>+M297/N297</f>
        <v>185000</v>
      </c>
      <c r="P297" s="401"/>
      <c r="Q297" s="397"/>
      <c r="R297" s="385" t="s">
        <v>5949</v>
      </c>
      <c r="S297" s="345">
        <v>40000</v>
      </c>
      <c r="T297" s="384">
        <f>+S297*0.85</f>
        <v>34000</v>
      </c>
      <c r="U297" s="384">
        <f>+S297+T297</f>
        <v>74000</v>
      </c>
      <c r="V297" s="382">
        <v>0.4</v>
      </c>
      <c r="W297" s="410">
        <f>+U297/V297</f>
        <v>185000</v>
      </c>
      <c r="X297" s="401"/>
      <c r="Y297" s="397"/>
      <c r="Z297" s="385" t="s">
        <v>5949</v>
      </c>
      <c r="AA297" s="345">
        <v>40000</v>
      </c>
      <c r="AB297" s="384">
        <f>+AA297*0.85</f>
        <v>34000</v>
      </c>
      <c r="AC297" s="384">
        <f>+AA297+AB297</f>
        <v>74000</v>
      </c>
      <c r="AD297" s="382">
        <v>0.4</v>
      </c>
      <c r="AE297" s="410">
        <f>+AC297/AD297</f>
        <v>185000</v>
      </c>
      <c r="AF297" s="401"/>
    </row>
    <row r="298" spans="1:32" x14ac:dyDescent="0.25">
      <c r="A298" s="397"/>
      <c r="B298" s="385" t="s">
        <v>5950</v>
      </c>
      <c r="C298" s="345">
        <v>20600</v>
      </c>
      <c r="D298" s="384">
        <f>+C298*0.85</f>
        <v>17510</v>
      </c>
      <c r="E298" s="384">
        <f>+C298+D298</f>
        <v>38110</v>
      </c>
      <c r="F298" s="382">
        <v>0.2</v>
      </c>
      <c r="G298" s="410">
        <f>+E298/F298</f>
        <v>190550</v>
      </c>
      <c r="H298" s="401"/>
      <c r="I298" s="397"/>
      <c r="J298" s="385" t="s">
        <v>5950</v>
      </c>
      <c r="K298" s="345">
        <v>20600</v>
      </c>
      <c r="L298" s="384">
        <f>+K298*0.85</f>
        <v>17510</v>
      </c>
      <c r="M298" s="384">
        <f>+K298+L298</f>
        <v>38110</v>
      </c>
      <c r="N298" s="382">
        <v>0.15</v>
      </c>
      <c r="O298" s="410">
        <f>+M298/N298</f>
        <v>254066.66666666669</v>
      </c>
      <c r="P298" s="401"/>
      <c r="Q298" s="397"/>
      <c r="R298" s="385" t="s">
        <v>5950</v>
      </c>
      <c r="S298" s="345">
        <v>20600</v>
      </c>
      <c r="T298" s="384">
        <f>+S298*0.85</f>
        <v>17510</v>
      </c>
      <c r="U298" s="384">
        <f>+S298+T298</f>
        <v>38110</v>
      </c>
      <c r="V298" s="382">
        <v>0.1</v>
      </c>
      <c r="W298" s="410">
        <f>+U298/V298</f>
        <v>381100</v>
      </c>
      <c r="X298" s="401"/>
      <c r="Y298" s="397"/>
      <c r="Z298" s="385" t="s">
        <v>5950</v>
      </c>
      <c r="AA298" s="345">
        <v>20600</v>
      </c>
      <c r="AB298" s="384">
        <f>+AA298*0.85</f>
        <v>17510</v>
      </c>
      <c r="AC298" s="384">
        <f>+AA298+AB298</f>
        <v>38110</v>
      </c>
      <c r="AD298" s="382">
        <v>0.1</v>
      </c>
      <c r="AE298" s="410">
        <f>+AC298/AD298</f>
        <v>381100</v>
      </c>
      <c r="AF298" s="401"/>
    </row>
    <row r="299" spans="1:32" x14ac:dyDescent="0.25">
      <c r="A299" s="397"/>
      <c r="B299" s="385"/>
      <c r="C299" s="384"/>
      <c r="D299" s="384"/>
      <c r="E299" s="384"/>
      <c r="F299" s="382"/>
      <c r="G299" s="410"/>
      <c r="H299" s="401"/>
      <c r="I299" s="397"/>
      <c r="J299" s="385"/>
      <c r="K299" s="384"/>
      <c r="L299" s="384"/>
      <c r="M299" s="384"/>
      <c r="N299" s="382"/>
      <c r="O299" s="410"/>
      <c r="P299" s="401"/>
      <c r="Q299" s="397"/>
      <c r="R299" s="385"/>
      <c r="S299" s="384"/>
      <c r="T299" s="384"/>
      <c r="U299" s="384"/>
      <c r="V299" s="382"/>
      <c r="W299" s="410"/>
      <c r="X299" s="401"/>
      <c r="Y299" s="397"/>
      <c r="Z299" s="385"/>
      <c r="AA299" s="384"/>
      <c r="AB299" s="384"/>
      <c r="AC299" s="384"/>
      <c r="AD299" s="382"/>
      <c r="AE299" s="410"/>
      <c r="AF299" s="401"/>
    </row>
    <row r="300" spans="1:32" x14ac:dyDescent="0.25">
      <c r="A300" s="397"/>
      <c r="B300" s="412"/>
      <c r="C300" s="582"/>
      <c r="D300" s="582"/>
      <c r="E300" s="582"/>
      <c r="F300" s="580"/>
      <c r="G300" s="583"/>
      <c r="H300" s="401"/>
      <c r="I300" s="397"/>
      <c r="J300" s="412"/>
      <c r="K300" s="582"/>
      <c r="L300" s="582"/>
      <c r="M300" s="582"/>
      <c r="N300" s="580"/>
      <c r="O300" s="583"/>
      <c r="P300" s="401"/>
      <c r="Q300" s="397"/>
      <c r="R300" s="412"/>
      <c r="S300" s="582"/>
      <c r="T300" s="582"/>
      <c r="U300" s="582"/>
      <c r="V300" s="580"/>
      <c r="W300" s="583"/>
      <c r="X300" s="401"/>
      <c r="Y300" s="397"/>
      <c r="Z300" s="412"/>
      <c r="AA300" s="582"/>
      <c r="AB300" s="582"/>
      <c r="AC300" s="582"/>
      <c r="AD300" s="580"/>
      <c r="AE300" s="583"/>
      <c r="AF300" s="401"/>
    </row>
    <row r="301" spans="1:32" ht="15.75" thickBot="1" x14ac:dyDescent="0.3">
      <c r="A301" s="397"/>
      <c r="B301" s="412"/>
      <c r="C301" s="582"/>
      <c r="D301" s="582"/>
      <c r="E301" s="582"/>
      <c r="F301" s="580"/>
      <c r="G301" s="583"/>
      <c r="H301" s="401"/>
      <c r="I301" s="397"/>
      <c r="J301" s="412"/>
      <c r="K301" s="582"/>
      <c r="L301" s="582"/>
      <c r="M301" s="582"/>
      <c r="N301" s="580"/>
      <c r="O301" s="583"/>
      <c r="P301" s="401"/>
      <c r="Q301" s="397"/>
      <c r="R301" s="412"/>
      <c r="S301" s="582"/>
      <c r="T301" s="582"/>
      <c r="U301" s="582"/>
      <c r="V301" s="580"/>
      <c r="W301" s="583"/>
      <c r="X301" s="401"/>
      <c r="Y301" s="397"/>
      <c r="Z301" s="412"/>
      <c r="AA301" s="582"/>
      <c r="AB301" s="582"/>
      <c r="AC301" s="582"/>
      <c r="AD301" s="580"/>
      <c r="AE301" s="583"/>
      <c r="AF301" s="401"/>
    </row>
    <row r="302" spans="1:32" ht="15.75" thickBot="1" x14ac:dyDescent="0.3">
      <c r="A302" s="397"/>
      <c r="B302" s="427"/>
      <c r="C302" s="428"/>
      <c r="D302" s="428"/>
      <c r="E302" s="428"/>
      <c r="F302" s="428"/>
      <c r="G302" s="429"/>
      <c r="H302" s="416">
        <f>+SUM(G296:G302)</f>
        <v>401450</v>
      </c>
      <c r="I302" s="397"/>
      <c r="J302" s="427"/>
      <c r="K302" s="428"/>
      <c r="L302" s="428"/>
      <c r="M302" s="428"/>
      <c r="N302" s="428"/>
      <c r="O302" s="429"/>
      <c r="P302" s="416">
        <f>+SUM(O296:O302)</f>
        <v>464966.66666666669</v>
      </c>
      <c r="Q302" s="397"/>
      <c r="R302" s="427"/>
      <c r="S302" s="428"/>
      <c r="T302" s="428"/>
      <c r="U302" s="428"/>
      <c r="V302" s="428"/>
      <c r="W302" s="429"/>
      <c r="X302" s="416">
        <f>+SUM(W296:W302)</f>
        <v>592000</v>
      </c>
      <c r="Y302" s="397"/>
      <c r="Z302" s="427"/>
      <c r="AA302" s="428"/>
      <c r="AB302" s="428"/>
      <c r="AC302" s="428"/>
      <c r="AD302" s="428"/>
      <c r="AE302" s="429"/>
      <c r="AF302" s="416">
        <f>+SUM(AE296:AE302)</f>
        <v>592000</v>
      </c>
    </row>
    <row r="303" spans="1:32" ht="15.75" thickBot="1" x14ac:dyDescent="0.3">
      <c r="A303" s="397"/>
      <c r="B303" s="430"/>
      <c r="C303" s="430"/>
      <c r="D303" s="430"/>
      <c r="E303" s="430"/>
      <c r="F303" s="430"/>
      <c r="G303" s="401"/>
      <c r="H303" s="401"/>
      <c r="I303" s="397"/>
      <c r="J303" s="430"/>
      <c r="K303" s="430"/>
      <c r="L303" s="430"/>
      <c r="M303" s="430"/>
      <c r="N303" s="430"/>
      <c r="O303" s="401"/>
      <c r="P303" s="401"/>
      <c r="Q303" s="397"/>
      <c r="R303" s="430"/>
      <c r="S303" s="430"/>
      <c r="T303" s="430"/>
      <c r="U303" s="430"/>
      <c r="V303" s="430"/>
      <c r="W303" s="401"/>
      <c r="X303" s="401"/>
      <c r="Y303" s="397"/>
      <c r="Z303" s="430"/>
      <c r="AA303" s="430"/>
      <c r="AB303" s="430"/>
      <c r="AC303" s="430"/>
      <c r="AD303" s="430"/>
      <c r="AE303" s="401"/>
      <c r="AF303" s="401"/>
    </row>
    <row r="304" spans="1:32" ht="15.75" thickBot="1" x14ac:dyDescent="0.3">
      <c r="A304" s="397"/>
      <c r="B304" s="430"/>
      <c r="C304" s="430"/>
      <c r="D304" s="430"/>
      <c r="E304" s="431" t="s">
        <v>5415</v>
      </c>
      <c r="F304" s="430"/>
      <c r="G304" s="401"/>
      <c r="H304" s="416">
        <f>+ROUND(H269+H289+H293+H302,0)</f>
        <v>15681539</v>
      </c>
      <c r="I304" s="397"/>
      <c r="J304" s="430"/>
      <c r="K304" s="430"/>
      <c r="L304" s="430"/>
      <c r="M304" s="431" t="s">
        <v>5415</v>
      </c>
      <c r="N304" s="430"/>
      <c r="O304" s="401"/>
      <c r="P304" s="416">
        <f>+ROUND(P269+P289+P293+P302,0)</f>
        <v>16761208</v>
      </c>
      <c r="Q304" s="397"/>
      <c r="R304" s="430"/>
      <c r="S304" s="430"/>
      <c r="T304" s="430"/>
      <c r="U304" s="431" t="s">
        <v>5415</v>
      </c>
      <c r="V304" s="430"/>
      <c r="W304" s="401"/>
      <c r="X304" s="416">
        <f>+ROUND(X269+X289+X293+X302,0)</f>
        <v>18008868</v>
      </c>
      <c r="Y304" s="397"/>
      <c r="Z304" s="430"/>
      <c r="AA304" s="430"/>
      <c r="AB304" s="430"/>
      <c r="AC304" s="431" t="s">
        <v>5415</v>
      </c>
      <c r="AD304" s="430"/>
      <c r="AE304" s="401"/>
      <c r="AF304" s="416">
        <f>+ROUND(AF269+AF289+AF293+AF302,0)</f>
        <v>13754821</v>
      </c>
    </row>
    <row r="308" spans="1:40" x14ac:dyDescent="0.25">
      <c r="A308" s="627"/>
    </row>
    <row r="309" spans="1:40" x14ac:dyDescent="0.25">
      <c r="A309" s="397"/>
      <c r="B309" s="2512" t="s">
        <v>5400</v>
      </c>
      <c r="C309" s="2512"/>
      <c r="D309" s="2512"/>
      <c r="E309" s="2512"/>
      <c r="F309" s="2512"/>
      <c r="G309" s="2512"/>
      <c r="H309" s="398"/>
      <c r="I309" s="397"/>
      <c r="J309" s="2512" t="s">
        <v>5400</v>
      </c>
      <c r="K309" s="2512"/>
      <c r="L309" s="2512"/>
      <c r="M309" s="2512"/>
      <c r="N309" s="2512"/>
      <c r="O309" s="2512"/>
      <c r="P309" s="398"/>
      <c r="Q309" s="397"/>
      <c r="R309" s="2512" t="s">
        <v>5400</v>
      </c>
      <c r="S309" s="2512"/>
      <c r="T309" s="2512"/>
      <c r="U309" s="2512"/>
      <c r="V309" s="2512"/>
      <c r="W309" s="2512"/>
      <c r="X309" s="398"/>
      <c r="Y309" s="397"/>
      <c r="Z309" s="2512" t="s">
        <v>5400</v>
      </c>
      <c r="AA309" s="2512"/>
      <c r="AB309" s="2512"/>
      <c r="AC309" s="2512"/>
      <c r="AD309" s="2512"/>
      <c r="AE309" s="2512"/>
      <c r="AF309" s="398"/>
      <c r="AG309" s="397"/>
      <c r="AH309" s="2512" t="s">
        <v>5400</v>
      </c>
      <c r="AI309" s="2512"/>
      <c r="AJ309" s="2512"/>
      <c r="AK309" s="2512"/>
      <c r="AL309" s="2512"/>
      <c r="AM309" s="2512"/>
      <c r="AN309" s="398"/>
    </row>
    <row r="310" spans="1:40" x14ac:dyDescent="0.25">
      <c r="A310" s="397"/>
      <c r="B310" s="399"/>
      <c r="C310" s="399"/>
      <c r="D310" s="397"/>
      <c r="E310" s="397"/>
      <c r="F310" s="400"/>
      <c r="G310" s="401"/>
      <c r="H310" s="401"/>
      <c r="I310" s="397"/>
      <c r="J310" s="399"/>
      <c r="K310" s="399"/>
      <c r="L310" s="397"/>
      <c r="M310" s="397"/>
      <c r="N310" s="400"/>
      <c r="O310" s="401"/>
      <c r="P310" s="401"/>
      <c r="Q310" s="397"/>
      <c r="R310" s="399"/>
      <c r="S310" s="399"/>
      <c r="T310" s="397"/>
      <c r="U310" s="397"/>
      <c r="V310" s="400"/>
      <c r="W310" s="401"/>
      <c r="X310" s="401"/>
      <c r="Y310" s="397"/>
      <c r="Z310" s="399"/>
      <c r="AA310" s="399"/>
      <c r="AB310" s="397"/>
      <c r="AC310" s="397"/>
      <c r="AD310" s="400"/>
      <c r="AE310" s="401"/>
      <c r="AF310" s="401"/>
      <c r="AG310" s="397"/>
      <c r="AH310" s="399"/>
      <c r="AI310" s="399"/>
      <c r="AJ310" s="397"/>
      <c r="AK310" s="397"/>
      <c r="AL310" s="400"/>
      <c r="AM310" s="401"/>
      <c r="AN310" s="401"/>
    </row>
    <row r="311" spans="1:40" ht="15" customHeight="1" x14ac:dyDescent="0.25">
      <c r="A311" s="593" t="s">
        <v>5952</v>
      </c>
      <c r="B311" s="594">
        <v>9.1</v>
      </c>
      <c r="C311" s="2445" t="s">
        <v>6362</v>
      </c>
      <c r="D311" s="2445"/>
      <c r="E311" s="2445"/>
      <c r="F311" s="595" t="s">
        <v>867</v>
      </c>
      <c r="G311" s="139" t="s">
        <v>5424</v>
      </c>
      <c r="H311" s="134"/>
      <c r="I311" s="593" t="s">
        <v>5952</v>
      </c>
      <c r="J311" s="594">
        <v>9.1</v>
      </c>
      <c r="K311" s="2445" t="s">
        <v>6361</v>
      </c>
      <c r="L311" s="2445"/>
      <c r="M311" s="2445"/>
      <c r="N311" s="595" t="s">
        <v>867</v>
      </c>
      <c r="O311" s="139" t="s">
        <v>5424</v>
      </c>
      <c r="P311" s="134"/>
      <c r="Q311" s="593" t="s">
        <v>5952</v>
      </c>
      <c r="R311" s="594">
        <v>9.1</v>
      </c>
      <c r="S311" s="2445" t="s">
        <v>6363</v>
      </c>
      <c r="T311" s="2445"/>
      <c r="U311" s="2445"/>
      <c r="V311" s="595" t="s">
        <v>867</v>
      </c>
      <c r="W311" s="139" t="s">
        <v>5424</v>
      </c>
      <c r="X311" s="134"/>
      <c r="Y311" s="593" t="s">
        <v>5952</v>
      </c>
      <c r="Z311" s="594">
        <v>9.1</v>
      </c>
      <c r="AA311" s="2445" t="s">
        <v>6364</v>
      </c>
      <c r="AB311" s="2445"/>
      <c r="AC311" s="2445"/>
      <c r="AD311" s="595" t="s">
        <v>867</v>
      </c>
      <c r="AE311" s="139" t="s">
        <v>5424</v>
      </c>
      <c r="AF311" s="134"/>
      <c r="AG311" s="593" t="s">
        <v>5952</v>
      </c>
      <c r="AH311" s="594">
        <v>9.1</v>
      </c>
      <c r="AI311" s="2445" t="s">
        <v>6604</v>
      </c>
      <c r="AJ311" s="2445"/>
      <c r="AK311" s="2445"/>
      <c r="AL311" s="595" t="s">
        <v>867</v>
      </c>
      <c r="AM311" s="139" t="s">
        <v>5424</v>
      </c>
      <c r="AN311" s="134"/>
    </row>
    <row r="312" spans="1:40" x14ac:dyDescent="0.25">
      <c r="A312" s="404"/>
      <c r="B312" s="405"/>
      <c r="C312" s="600"/>
      <c r="D312" s="600"/>
      <c r="E312" s="600"/>
      <c r="F312" s="400"/>
      <c r="G312" s="142"/>
      <c r="H312" s="134"/>
      <c r="I312" s="404"/>
      <c r="J312" s="405"/>
      <c r="K312" s="600"/>
      <c r="L312" s="600"/>
      <c r="M312" s="600"/>
      <c r="N312" s="400"/>
      <c r="O312" s="142"/>
      <c r="P312" s="134"/>
      <c r="Q312" s="404"/>
      <c r="R312" s="405"/>
      <c r="S312" s="600"/>
      <c r="T312" s="600"/>
      <c r="U312" s="600"/>
      <c r="V312" s="400"/>
      <c r="W312" s="142"/>
      <c r="X312" s="134"/>
      <c r="Y312" s="404"/>
      <c r="Z312" s="405"/>
      <c r="AA312" s="600"/>
      <c r="AB312" s="600"/>
      <c r="AC312" s="600"/>
      <c r="AD312" s="400"/>
      <c r="AE312" s="142"/>
      <c r="AF312" s="134"/>
      <c r="AG312" s="404"/>
      <c r="AH312" s="405"/>
      <c r="AI312" s="623"/>
      <c r="AJ312" s="623"/>
      <c r="AK312" s="623"/>
      <c r="AL312" s="400"/>
      <c r="AM312" s="142"/>
      <c r="AN312" s="134"/>
    </row>
    <row r="313" spans="1:40" ht="15.75" thickBot="1" x14ac:dyDescent="0.3">
      <c r="A313" s="397"/>
      <c r="B313" s="397"/>
      <c r="C313" s="397"/>
      <c r="D313" s="397"/>
      <c r="E313" s="397"/>
      <c r="F313" s="400"/>
      <c r="G313" s="401"/>
      <c r="H313" s="401"/>
      <c r="I313" s="397"/>
      <c r="J313" s="397"/>
      <c r="K313" s="397"/>
      <c r="L313" s="397"/>
      <c r="M313" s="397"/>
      <c r="N313" s="400"/>
      <c r="O313" s="401"/>
      <c r="P313" s="401"/>
      <c r="Q313" s="397"/>
      <c r="R313" s="397"/>
      <c r="S313" s="397"/>
      <c r="T313" s="397"/>
      <c r="U313" s="397"/>
      <c r="V313" s="400"/>
      <c r="W313" s="401"/>
      <c r="X313" s="401"/>
      <c r="Y313" s="397"/>
      <c r="Z313" s="397"/>
      <c r="AA313" s="397"/>
      <c r="AB313" s="397"/>
      <c r="AC313" s="397"/>
      <c r="AD313" s="400"/>
      <c r="AE313" s="401"/>
      <c r="AF313" s="401"/>
      <c r="AG313" s="397"/>
      <c r="AH313" s="397"/>
      <c r="AI313" s="397"/>
      <c r="AJ313" s="397"/>
      <c r="AK313" s="397"/>
      <c r="AL313" s="400"/>
      <c r="AM313" s="401"/>
      <c r="AN313" s="401"/>
    </row>
    <row r="314" spans="1:40" ht="15.75" thickBot="1" x14ac:dyDescent="0.3">
      <c r="A314" s="397"/>
      <c r="B314" s="407" t="s">
        <v>5403</v>
      </c>
      <c r="C314" s="408" t="s">
        <v>867</v>
      </c>
      <c r="D314" s="408" t="s">
        <v>6</v>
      </c>
      <c r="E314" s="408" t="s">
        <v>5439</v>
      </c>
      <c r="F314" s="408" t="s">
        <v>5405</v>
      </c>
      <c r="G314" s="409" t="s">
        <v>868</v>
      </c>
      <c r="H314" s="401"/>
      <c r="I314" s="397"/>
      <c r="J314" s="407" t="s">
        <v>5403</v>
      </c>
      <c r="K314" s="408" t="s">
        <v>867</v>
      </c>
      <c r="L314" s="408" t="s">
        <v>6</v>
      </c>
      <c r="M314" s="408" t="s">
        <v>5439</v>
      </c>
      <c r="N314" s="408" t="s">
        <v>5405</v>
      </c>
      <c r="O314" s="409" t="s">
        <v>868</v>
      </c>
      <c r="P314" s="401"/>
      <c r="Q314" s="397"/>
      <c r="R314" s="407" t="s">
        <v>5403</v>
      </c>
      <c r="S314" s="408" t="s">
        <v>867</v>
      </c>
      <c r="T314" s="408" t="s">
        <v>6</v>
      </c>
      <c r="U314" s="408" t="s">
        <v>5439</v>
      </c>
      <c r="V314" s="408" t="s">
        <v>5405</v>
      </c>
      <c r="W314" s="409" t="s">
        <v>868</v>
      </c>
      <c r="X314" s="401"/>
      <c r="Y314" s="397"/>
      <c r="Z314" s="407" t="s">
        <v>5403</v>
      </c>
      <c r="AA314" s="408" t="s">
        <v>867</v>
      </c>
      <c r="AB314" s="408" t="s">
        <v>6</v>
      </c>
      <c r="AC314" s="408" t="s">
        <v>5439</v>
      </c>
      <c r="AD314" s="408" t="s">
        <v>5405</v>
      </c>
      <c r="AE314" s="409" t="s">
        <v>868</v>
      </c>
      <c r="AF314" s="401"/>
      <c r="AG314" s="397"/>
      <c r="AH314" s="407" t="s">
        <v>5403</v>
      </c>
      <c r="AI314" s="408" t="s">
        <v>867</v>
      </c>
      <c r="AJ314" s="408" t="s">
        <v>6</v>
      </c>
      <c r="AK314" s="408" t="s">
        <v>5439</v>
      </c>
      <c r="AL314" s="408" t="s">
        <v>5405</v>
      </c>
      <c r="AM314" s="409" t="s">
        <v>868</v>
      </c>
      <c r="AN314" s="401"/>
    </row>
    <row r="315" spans="1:40" x14ac:dyDescent="0.25">
      <c r="A315" s="397"/>
      <c r="B315" s="381" t="s">
        <v>5934</v>
      </c>
      <c r="C315" s="382"/>
      <c r="D315" s="383"/>
      <c r="E315" s="384"/>
      <c r="F315" s="383"/>
      <c r="G315" s="410">
        <f>0.05*H354</f>
        <v>62530</v>
      </c>
      <c r="H315" s="401"/>
      <c r="I315" s="397"/>
      <c r="J315" s="381" t="s">
        <v>5934</v>
      </c>
      <c r="K315" s="382"/>
      <c r="L315" s="383"/>
      <c r="M315" s="384"/>
      <c r="N315" s="383"/>
      <c r="O315" s="410">
        <f>0.05*P354</f>
        <v>76543.75</v>
      </c>
      <c r="P315" s="401"/>
      <c r="Q315" s="397"/>
      <c r="R315" s="381" t="s">
        <v>5934</v>
      </c>
      <c r="S315" s="382"/>
      <c r="T315" s="383"/>
      <c r="U315" s="384"/>
      <c r="V315" s="383"/>
      <c r="W315" s="410">
        <f>0.05*X354</f>
        <v>100362.5</v>
      </c>
      <c r="X315" s="401"/>
      <c r="Y315" s="397"/>
      <c r="Z315" s="381" t="s">
        <v>5934</v>
      </c>
      <c r="AA315" s="382"/>
      <c r="AB315" s="383"/>
      <c r="AC315" s="384"/>
      <c r="AD315" s="383"/>
      <c r="AE315" s="410">
        <f>0.05*AF354</f>
        <v>100362.5</v>
      </c>
      <c r="AF315" s="401"/>
      <c r="AG315" s="397"/>
      <c r="AH315" s="381" t="s">
        <v>5934</v>
      </c>
      <c r="AI315" s="382"/>
      <c r="AJ315" s="383"/>
      <c r="AK315" s="384"/>
      <c r="AL315" s="383"/>
      <c r="AM315" s="410">
        <f>0.05*AN354</f>
        <v>47286</v>
      </c>
      <c r="AN315" s="401"/>
    </row>
    <row r="316" spans="1:40" x14ac:dyDescent="0.25">
      <c r="A316" s="397"/>
      <c r="B316" s="385"/>
      <c r="C316" s="386"/>
      <c r="D316" s="387"/>
      <c r="E316" s="388"/>
      <c r="F316" s="387"/>
      <c r="G316" s="411"/>
      <c r="H316" s="401"/>
      <c r="I316" s="397"/>
      <c r="J316" s="385"/>
      <c r="K316" s="386"/>
      <c r="L316" s="387"/>
      <c r="M316" s="388"/>
      <c r="N316" s="387"/>
      <c r="O316" s="411"/>
      <c r="P316" s="401"/>
      <c r="Q316" s="397"/>
      <c r="R316" s="385"/>
      <c r="S316" s="386"/>
      <c r="T316" s="387"/>
      <c r="U316" s="388"/>
      <c r="V316" s="387"/>
      <c r="W316" s="411"/>
      <c r="X316" s="401"/>
      <c r="Y316" s="397"/>
      <c r="Z316" s="385"/>
      <c r="AA316" s="386"/>
      <c r="AB316" s="387"/>
      <c r="AC316" s="388"/>
      <c r="AD316" s="387"/>
      <c r="AE316" s="411"/>
      <c r="AF316" s="401"/>
      <c r="AG316" s="397"/>
      <c r="AH316" s="385"/>
      <c r="AI316" s="386"/>
      <c r="AJ316" s="387"/>
      <c r="AK316" s="388"/>
      <c r="AL316" s="387"/>
      <c r="AM316" s="411"/>
      <c r="AN316" s="401"/>
    </row>
    <row r="317" spans="1:40" x14ac:dyDescent="0.25">
      <c r="A317" s="397"/>
      <c r="B317" s="385"/>
      <c r="C317" s="386"/>
      <c r="D317" s="387"/>
      <c r="E317" s="388"/>
      <c r="F317" s="387"/>
      <c r="G317" s="411"/>
      <c r="H317" s="401"/>
      <c r="I317" s="397"/>
      <c r="J317" s="385"/>
      <c r="K317" s="386"/>
      <c r="L317" s="387"/>
      <c r="M317" s="388"/>
      <c r="N317" s="387"/>
      <c r="O317" s="411"/>
      <c r="P317" s="401"/>
      <c r="Q317" s="397"/>
      <c r="R317" s="385"/>
      <c r="S317" s="386"/>
      <c r="T317" s="387"/>
      <c r="U317" s="388"/>
      <c r="V317" s="387"/>
      <c r="W317" s="411"/>
      <c r="X317" s="401"/>
      <c r="Y317" s="397"/>
      <c r="Z317" s="385"/>
      <c r="AA317" s="386"/>
      <c r="AB317" s="387"/>
      <c r="AC317" s="388"/>
      <c r="AD317" s="387"/>
      <c r="AE317" s="411"/>
      <c r="AF317" s="401"/>
      <c r="AG317" s="397"/>
      <c r="AH317" s="385"/>
      <c r="AI317" s="386"/>
      <c r="AJ317" s="387"/>
      <c r="AK317" s="388"/>
      <c r="AL317" s="387"/>
      <c r="AM317" s="411"/>
      <c r="AN317" s="401"/>
    </row>
    <row r="318" spans="1:40" x14ac:dyDescent="0.25">
      <c r="A318" s="397"/>
      <c r="B318" s="385"/>
      <c r="C318" s="386"/>
      <c r="D318" s="387"/>
      <c r="E318" s="388"/>
      <c r="F318" s="387"/>
      <c r="G318" s="411"/>
      <c r="H318" s="401"/>
      <c r="I318" s="397"/>
      <c r="J318" s="385"/>
      <c r="K318" s="386"/>
      <c r="L318" s="387"/>
      <c r="M318" s="388"/>
      <c r="N318" s="387"/>
      <c r="O318" s="411"/>
      <c r="P318" s="401"/>
      <c r="Q318" s="397"/>
      <c r="R318" s="385"/>
      <c r="S318" s="386"/>
      <c r="T318" s="387"/>
      <c r="U318" s="388"/>
      <c r="V318" s="387"/>
      <c r="W318" s="411"/>
      <c r="X318" s="401"/>
      <c r="Y318" s="397"/>
      <c r="Z318" s="385"/>
      <c r="AA318" s="386"/>
      <c r="AB318" s="387"/>
      <c r="AC318" s="388"/>
      <c r="AD318" s="387"/>
      <c r="AE318" s="411"/>
      <c r="AF318" s="401"/>
      <c r="AG318" s="397"/>
      <c r="AH318" s="385"/>
      <c r="AI318" s="386"/>
      <c r="AJ318" s="387"/>
      <c r="AK318" s="388"/>
      <c r="AL318" s="387"/>
      <c r="AM318" s="411"/>
      <c r="AN318" s="401"/>
    </row>
    <row r="319" spans="1:40" x14ac:dyDescent="0.25">
      <c r="A319" s="397"/>
      <c r="B319" s="385"/>
      <c r="C319" s="386"/>
      <c r="D319" s="387"/>
      <c r="E319" s="388"/>
      <c r="F319" s="387"/>
      <c r="G319" s="411"/>
      <c r="H319" s="401"/>
      <c r="I319" s="397"/>
      <c r="J319" s="385"/>
      <c r="K319" s="386"/>
      <c r="L319" s="387"/>
      <c r="M319" s="388"/>
      <c r="N319" s="387"/>
      <c r="O319" s="411"/>
      <c r="P319" s="401"/>
      <c r="Q319" s="397"/>
      <c r="R319" s="385"/>
      <c r="S319" s="386"/>
      <c r="T319" s="387"/>
      <c r="U319" s="388"/>
      <c r="V319" s="387"/>
      <c r="W319" s="411"/>
      <c r="X319" s="401"/>
      <c r="Y319" s="397"/>
      <c r="Z319" s="385"/>
      <c r="AA319" s="386"/>
      <c r="AB319" s="387"/>
      <c r="AC319" s="388"/>
      <c r="AD319" s="387"/>
      <c r="AE319" s="411"/>
      <c r="AF319" s="401"/>
      <c r="AG319" s="397"/>
      <c r="AH319" s="385"/>
      <c r="AI319" s="386"/>
      <c r="AJ319" s="387"/>
      <c r="AK319" s="388"/>
      <c r="AL319" s="387"/>
      <c r="AM319" s="411"/>
      <c r="AN319" s="401"/>
    </row>
    <row r="320" spans="1:40" ht="15.75" thickBot="1" x14ac:dyDescent="0.3">
      <c r="A320" s="397"/>
      <c r="B320" s="385"/>
      <c r="C320" s="386"/>
      <c r="D320" s="387"/>
      <c r="E320" s="387"/>
      <c r="F320" s="387"/>
      <c r="G320" s="411"/>
      <c r="H320" s="401"/>
      <c r="I320" s="397"/>
      <c r="J320" s="385"/>
      <c r="K320" s="386"/>
      <c r="L320" s="387"/>
      <c r="M320" s="387"/>
      <c r="N320" s="387"/>
      <c r="O320" s="411"/>
      <c r="P320" s="401"/>
      <c r="Q320" s="397"/>
      <c r="R320" s="385"/>
      <c r="S320" s="386"/>
      <c r="T320" s="387"/>
      <c r="U320" s="387"/>
      <c r="V320" s="387"/>
      <c r="W320" s="411"/>
      <c r="X320" s="401"/>
      <c r="Y320" s="397"/>
      <c r="Z320" s="385"/>
      <c r="AA320" s="386"/>
      <c r="AB320" s="387"/>
      <c r="AC320" s="387"/>
      <c r="AD320" s="387"/>
      <c r="AE320" s="411"/>
      <c r="AF320" s="401"/>
      <c r="AG320" s="397"/>
      <c r="AH320" s="385"/>
      <c r="AI320" s="386"/>
      <c r="AJ320" s="387"/>
      <c r="AK320" s="387"/>
      <c r="AL320" s="387"/>
      <c r="AM320" s="411"/>
      <c r="AN320" s="401"/>
    </row>
    <row r="321" spans="1:40" ht="15.75" thickBot="1" x14ac:dyDescent="0.3">
      <c r="A321" s="397"/>
      <c r="B321" s="412"/>
      <c r="C321" s="413"/>
      <c r="D321" s="414"/>
      <c r="E321" s="414"/>
      <c r="F321" s="414"/>
      <c r="G321" s="415"/>
      <c r="H321" s="416">
        <f>+SUM(G315:G321)</f>
        <v>62530</v>
      </c>
      <c r="I321" s="397"/>
      <c r="J321" s="412"/>
      <c r="K321" s="413"/>
      <c r="L321" s="414"/>
      <c r="M321" s="414"/>
      <c r="N321" s="414"/>
      <c r="O321" s="415"/>
      <c r="P321" s="416">
        <f>+SUM(O315:O321)</f>
        <v>76543.75</v>
      </c>
      <c r="Q321" s="397"/>
      <c r="R321" s="412"/>
      <c r="S321" s="413"/>
      <c r="T321" s="414"/>
      <c r="U321" s="414"/>
      <c r="V321" s="414"/>
      <c r="W321" s="415"/>
      <c r="X321" s="416">
        <f>+SUM(W315:W321)</f>
        <v>100362.5</v>
      </c>
      <c r="Y321" s="397"/>
      <c r="Z321" s="412"/>
      <c r="AA321" s="413"/>
      <c r="AB321" s="414"/>
      <c r="AC321" s="414"/>
      <c r="AD321" s="414"/>
      <c r="AE321" s="415"/>
      <c r="AF321" s="416">
        <f>+SUM(AE315:AE321)</f>
        <v>100362.5</v>
      </c>
      <c r="AG321" s="397"/>
      <c r="AH321" s="412"/>
      <c r="AI321" s="413"/>
      <c r="AJ321" s="414"/>
      <c r="AK321" s="414"/>
      <c r="AL321" s="414"/>
      <c r="AM321" s="415"/>
      <c r="AN321" s="416">
        <f>+SUM(AM315:AM321)</f>
        <v>47286</v>
      </c>
    </row>
    <row r="322" spans="1:40" ht="15.75" thickBot="1" x14ac:dyDescent="0.3">
      <c r="A322" s="397"/>
      <c r="B322" s="417"/>
      <c r="C322" s="418"/>
      <c r="D322" s="417"/>
      <c r="E322" s="417"/>
      <c r="F322" s="417"/>
      <c r="G322" s="419"/>
      <c r="H322" s="420"/>
      <c r="I322" s="397"/>
      <c r="J322" s="417"/>
      <c r="K322" s="418"/>
      <c r="L322" s="417"/>
      <c r="M322" s="417"/>
      <c r="N322" s="417"/>
      <c r="O322" s="419"/>
      <c r="P322" s="420"/>
      <c r="Q322" s="397"/>
      <c r="R322" s="417"/>
      <c r="S322" s="418"/>
      <c r="T322" s="417"/>
      <c r="U322" s="417"/>
      <c r="V322" s="417"/>
      <c r="W322" s="419"/>
      <c r="X322" s="420"/>
      <c r="Y322" s="397"/>
      <c r="Z322" s="417"/>
      <c r="AA322" s="418"/>
      <c r="AB322" s="417"/>
      <c r="AC322" s="417"/>
      <c r="AD322" s="417"/>
      <c r="AE322" s="419"/>
      <c r="AF322" s="420"/>
      <c r="AG322" s="397"/>
      <c r="AH322" s="417"/>
      <c r="AI322" s="418"/>
      <c r="AJ322" s="417"/>
      <c r="AK322" s="417"/>
      <c r="AL322" s="417"/>
      <c r="AM322" s="419"/>
      <c r="AN322" s="420"/>
    </row>
    <row r="323" spans="1:40" ht="15.75" thickBot="1" x14ac:dyDescent="0.3">
      <c r="A323" s="397"/>
      <c r="B323" s="407" t="s">
        <v>5408</v>
      </c>
      <c r="C323" s="408" t="s">
        <v>867</v>
      </c>
      <c r="D323" s="408" t="s">
        <v>6</v>
      </c>
      <c r="E323" s="408" t="s">
        <v>870</v>
      </c>
      <c r="F323" s="408" t="s">
        <v>5409</v>
      </c>
      <c r="G323" s="409" t="s">
        <v>868</v>
      </c>
      <c r="H323" s="401"/>
      <c r="I323" s="397"/>
      <c r="J323" s="407" t="s">
        <v>5408</v>
      </c>
      <c r="K323" s="408" t="s">
        <v>867</v>
      </c>
      <c r="L323" s="408" t="s">
        <v>6</v>
      </c>
      <c r="M323" s="408" t="s">
        <v>870</v>
      </c>
      <c r="N323" s="408" t="s">
        <v>5409</v>
      </c>
      <c r="O323" s="409" t="s">
        <v>868</v>
      </c>
      <c r="P323" s="401"/>
      <c r="Q323" s="397"/>
      <c r="R323" s="407" t="s">
        <v>5408</v>
      </c>
      <c r="S323" s="408" t="s">
        <v>867</v>
      </c>
      <c r="T323" s="408" t="s">
        <v>6</v>
      </c>
      <c r="U323" s="408" t="s">
        <v>870</v>
      </c>
      <c r="V323" s="408" t="s">
        <v>5409</v>
      </c>
      <c r="W323" s="409" t="s">
        <v>868</v>
      </c>
      <c r="X323" s="401"/>
      <c r="Y323" s="397"/>
      <c r="Z323" s="407" t="s">
        <v>5408</v>
      </c>
      <c r="AA323" s="408" t="s">
        <v>867</v>
      </c>
      <c r="AB323" s="408" t="s">
        <v>6</v>
      </c>
      <c r="AC323" s="408" t="s">
        <v>870</v>
      </c>
      <c r="AD323" s="408" t="s">
        <v>5409</v>
      </c>
      <c r="AE323" s="409" t="s">
        <v>868</v>
      </c>
      <c r="AF323" s="401"/>
      <c r="AG323" s="397"/>
      <c r="AH323" s="407" t="s">
        <v>5408</v>
      </c>
      <c r="AI323" s="408" t="s">
        <v>867</v>
      </c>
      <c r="AJ323" s="408" t="s">
        <v>6</v>
      </c>
      <c r="AK323" s="408" t="s">
        <v>870</v>
      </c>
      <c r="AL323" s="408" t="s">
        <v>5409</v>
      </c>
      <c r="AM323" s="409" t="s">
        <v>868</v>
      </c>
      <c r="AN323" s="401"/>
    </row>
    <row r="324" spans="1:40" x14ac:dyDescent="0.25">
      <c r="A324" s="397"/>
      <c r="B324" s="389" t="s">
        <v>6337</v>
      </c>
      <c r="C324" s="212" t="s">
        <v>6421</v>
      </c>
      <c r="D324" s="211">
        <v>28</v>
      </c>
      <c r="E324" s="345">
        <f>+'APU CAP 1-2'!$H$1150</f>
        <v>22263</v>
      </c>
      <c r="F324" s="169">
        <v>0.05</v>
      </c>
      <c r="G324" s="172">
        <f>+D324*E324*(1+F324)</f>
        <v>654532.20000000007</v>
      </c>
      <c r="H324" s="401"/>
      <c r="I324" s="397"/>
      <c r="J324" s="389" t="s">
        <v>6337</v>
      </c>
      <c r="K324" s="212" t="s">
        <v>6421</v>
      </c>
      <c r="L324" s="211">
        <f>4*2.5*2.4</f>
        <v>24</v>
      </c>
      <c r="M324" s="345">
        <f>+'APU CAP 1-2'!$H$1150</f>
        <v>22263</v>
      </c>
      <c r="N324" s="169">
        <v>0.05</v>
      </c>
      <c r="O324" s="172">
        <f>+L324*M324*(1+N324)</f>
        <v>561027.6</v>
      </c>
      <c r="P324" s="401"/>
      <c r="Q324" s="397"/>
      <c r="R324" s="389" t="s">
        <v>6337</v>
      </c>
      <c r="S324" s="212" t="s">
        <v>6421</v>
      </c>
      <c r="T324" s="211">
        <f>4*2.5*2.4</f>
        <v>24</v>
      </c>
      <c r="U324" s="345">
        <f>+'APU CAP 1-2'!$H$1150</f>
        <v>22263</v>
      </c>
      <c r="V324" s="169">
        <v>0.05</v>
      </c>
      <c r="W324" s="172">
        <f>+T324*U324*(1+V324)</f>
        <v>561027.6</v>
      </c>
      <c r="X324" s="401"/>
      <c r="Y324" s="397"/>
      <c r="Z324" s="389" t="s">
        <v>6337</v>
      </c>
      <c r="AA324" s="212" t="s">
        <v>6421</v>
      </c>
      <c r="AB324" s="211">
        <f>4*2.5*2.4</f>
        <v>24</v>
      </c>
      <c r="AC324" s="345">
        <f>+'APU CAP 1-2'!$H$1150</f>
        <v>22263</v>
      </c>
      <c r="AD324" s="169">
        <v>0.05</v>
      </c>
      <c r="AE324" s="172">
        <f>+AB324*AC324*(1+AD324)</f>
        <v>561027.6</v>
      </c>
      <c r="AF324" s="401"/>
      <c r="AG324" s="397"/>
      <c r="AH324" s="389" t="s">
        <v>6337</v>
      </c>
      <c r="AI324" s="212" t="s">
        <v>6421</v>
      </c>
      <c r="AJ324" s="211">
        <v>28</v>
      </c>
      <c r="AK324" s="345">
        <f>+'APU CAP 1-2'!$H$1150</f>
        <v>22263</v>
      </c>
      <c r="AL324" s="169">
        <v>0.05</v>
      </c>
      <c r="AM324" s="172">
        <f>+AJ324*AK324*(1+AL324)</f>
        <v>654532.20000000007</v>
      </c>
      <c r="AN324" s="401"/>
    </row>
    <row r="325" spans="1:40" x14ac:dyDescent="0.25">
      <c r="A325" s="397"/>
      <c r="B325" s="391" t="s">
        <v>6345</v>
      </c>
      <c r="C325" s="212" t="s">
        <v>6421</v>
      </c>
      <c r="D325" s="212">
        <v>0.6</v>
      </c>
      <c r="E325" s="346">
        <f>+'APU CAP 5'!$H$160</f>
        <v>301336.95833333331</v>
      </c>
      <c r="F325" s="169">
        <v>0.05</v>
      </c>
      <c r="G325" s="172">
        <f t="shared" ref="G325:G340" si="32">+D325*E325*(1+F325)</f>
        <v>189842.28375</v>
      </c>
      <c r="H325" s="401"/>
      <c r="I325" s="397"/>
      <c r="J325" s="391" t="s">
        <v>6345</v>
      </c>
      <c r="K325" s="212" t="s">
        <v>6421</v>
      </c>
      <c r="L325" s="197">
        <f>3.7*2.5*0.05</f>
        <v>0.46250000000000002</v>
      </c>
      <c r="M325" s="346">
        <f>+'APU CAP 5'!$H$160</f>
        <v>301336.95833333331</v>
      </c>
      <c r="N325" s="169">
        <v>0.05</v>
      </c>
      <c r="O325" s="172">
        <f t="shared" ref="O325:O340" si="33">+L325*M325*(1+N325)</f>
        <v>146336.76039062502</v>
      </c>
      <c r="P325" s="401"/>
      <c r="Q325" s="397"/>
      <c r="R325" s="391" t="s">
        <v>6345</v>
      </c>
      <c r="S325" s="212" t="s">
        <v>6421</v>
      </c>
      <c r="T325" s="197">
        <f>3.7*2.5*0.05</f>
        <v>0.46250000000000002</v>
      </c>
      <c r="U325" s="346">
        <f>+'APU CAP 5'!$H$160</f>
        <v>301336.95833333331</v>
      </c>
      <c r="V325" s="169">
        <v>0.05</v>
      </c>
      <c r="W325" s="172">
        <f t="shared" ref="W325:W340" si="34">+T325*U325*(1+V325)</f>
        <v>146336.76039062502</v>
      </c>
      <c r="X325" s="401"/>
      <c r="Y325" s="397"/>
      <c r="Z325" s="391" t="s">
        <v>6345</v>
      </c>
      <c r="AA325" s="212" t="s">
        <v>6421</v>
      </c>
      <c r="AB325" s="197">
        <f>3.7*2.5*0.05</f>
        <v>0.46250000000000002</v>
      </c>
      <c r="AC325" s="346">
        <f>+'APU CAP 5'!$H$160</f>
        <v>301336.95833333331</v>
      </c>
      <c r="AD325" s="169">
        <v>0.05</v>
      </c>
      <c r="AE325" s="172">
        <f t="shared" ref="AE325:AE339" si="35">+AB325*AC325*(1+AD325)</f>
        <v>146336.76039062502</v>
      </c>
      <c r="AF325" s="401"/>
      <c r="AG325" s="397"/>
      <c r="AH325" s="391" t="s">
        <v>6345</v>
      </c>
      <c r="AI325" s="212" t="s">
        <v>6421</v>
      </c>
      <c r="AJ325" s="212">
        <v>0.6</v>
      </c>
      <c r="AK325" s="346">
        <f>+'APU CAP 5'!$H$160</f>
        <v>301336.95833333331</v>
      </c>
      <c r="AL325" s="169">
        <v>0.05</v>
      </c>
      <c r="AM325" s="172">
        <f t="shared" ref="AM325:AM340" si="36">+AJ325*AK325*(1+AL325)</f>
        <v>189842.28375</v>
      </c>
      <c r="AN325" s="401"/>
    </row>
    <row r="326" spans="1:40" x14ac:dyDescent="0.25">
      <c r="A326" s="397"/>
      <c r="B326" s="385" t="s">
        <v>6338</v>
      </c>
      <c r="C326" s="212" t="s">
        <v>6421</v>
      </c>
      <c r="D326" s="386">
        <f>2.1*5.5*0.3</f>
        <v>3.4650000000000003</v>
      </c>
      <c r="E326" s="384">
        <f>+'APU CAP 5'!$H$538</f>
        <v>554067</v>
      </c>
      <c r="F326" s="169">
        <v>0.05</v>
      </c>
      <c r="G326" s="172">
        <f t="shared" si="32"/>
        <v>2015834.2627500005</v>
      </c>
      <c r="H326" s="401"/>
      <c r="I326" s="397"/>
      <c r="J326" s="385" t="s">
        <v>6338</v>
      </c>
      <c r="K326" s="212" t="s">
        <v>6421</v>
      </c>
      <c r="L326" s="197">
        <f>3.7*2.5*0.25</f>
        <v>2.3125</v>
      </c>
      <c r="M326" s="384">
        <f>+'APU CAP 5'!$H$538</f>
        <v>554067</v>
      </c>
      <c r="N326" s="169">
        <v>0.05</v>
      </c>
      <c r="O326" s="172">
        <f t="shared" si="33"/>
        <v>1345343.934375</v>
      </c>
      <c r="P326" s="401"/>
      <c r="Q326" s="397"/>
      <c r="R326" s="385" t="s">
        <v>6338</v>
      </c>
      <c r="S326" s="212" t="s">
        <v>6421</v>
      </c>
      <c r="T326" s="197">
        <f>3.7*2.5*0.25</f>
        <v>2.3125</v>
      </c>
      <c r="U326" s="384">
        <f>+'APU CAP 5'!$H$538</f>
        <v>554067</v>
      </c>
      <c r="V326" s="169">
        <v>0.05</v>
      </c>
      <c r="W326" s="172">
        <f t="shared" si="34"/>
        <v>1345343.934375</v>
      </c>
      <c r="X326" s="401"/>
      <c r="Y326" s="397"/>
      <c r="Z326" s="385" t="s">
        <v>6338</v>
      </c>
      <c r="AA326" s="212" t="s">
        <v>6421</v>
      </c>
      <c r="AB326" s="197">
        <f>3.7*2.5*0.25</f>
        <v>2.3125</v>
      </c>
      <c r="AC326" s="384">
        <f>+'APU CAP 5'!$H$538</f>
        <v>554067</v>
      </c>
      <c r="AD326" s="169">
        <v>0.05</v>
      </c>
      <c r="AE326" s="172">
        <f t="shared" si="35"/>
        <v>1345343.934375</v>
      </c>
      <c r="AF326" s="401"/>
      <c r="AG326" s="397"/>
      <c r="AH326" s="385" t="s">
        <v>6338</v>
      </c>
      <c r="AI326" s="212" t="s">
        <v>6421</v>
      </c>
      <c r="AJ326" s="386">
        <f>2.1*5.5*0.3</f>
        <v>3.4650000000000003</v>
      </c>
      <c r="AK326" s="384">
        <f>+'APU CAP 5'!$H$538</f>
        <v>554067</v>
      </c>
      <c r="AL326" s="169">
        <v>0.05</v>
      </c>
      <c r="AM326" s="172">
        <f t="shared" si="36"/>
        <v>2015834.2627500005</v>
      </c>
      <c r="AN326" s="401"/>
    </row>
    <row r="327" spans="1:40" x14ac:dyDescent="0.25">
      <c r="A327" s="404"/>
      <c r="B327" s="385" t="s">
        <v>6339</v>
      </c>
      <c r="C327" s="212" t="s">
        <v>6421</v>
      </c>
      <c r="D327" s="212">
        <f>13.2*0.3*2+3.4</f>
        <v>11.319999999999999</v>
      </c>
      <c r="E327" s="395">
        <f>+'APU CAP 5'!$P$538</f>
        <v>669769.71428571432</v>
      </c>
      <c r="F327" s="169">
        <v>0.05</v>
      </c>
      <c r="G327" s="172">
        <f t="shared" si="32"/>
        <v>7960882.824</v>
      </c>
      <c r="H327" s="134"/>
      <c r="I327" s="404"/>
      <c r="J327" s="385" t="s">
        <v>6339</v>
      </c>
      <c r="K327" s="212" t="s">
        <v>6421</v>
      </c>
      <c r="L327" s="197">
        <f>11.1*1.8*0.25+2.25</f>
        <v>7.2450000000000001</v>
      </c>
      <c r="M327" s="395">
        <f>+'APU CAP 5'!$P$538</f>
        <v>669769.71428571432</v>
      </c>
      <c r="N327" s="169">
        <v>0.05</v>
      </c>
      <c r="O327" s="172">
        <f t="shared" si="33"/>
        <v>5095105.659</v>
      </c>
      <c r="P327" s="134"/>
      <c r="Q327" s="404"/>
      <c r="R327" s="385" t="s">
        <v>6339</v>
      </c>
      <c r="S327" s="212" t="s">
        <v>6421</v>
      </c>
      <c r="T327" s="197">
        <f>11.1*1.8*0.25+2.25</f>
        <v>7.2450000000000001</v>
      </c>
      <c r="U327" s="395">
        <f>+'APU CAP 5'!$P$538</f>
        <v>669769.71428571432</v>
      </c>
      <c r="V327" s="169">
        <v>0.05</v>
      </c>
      <c r="W327" s="172">
        <f t="shared" si="34"/>
        <v>5095105.659</v>
      </c>
      <c r="X327" s="134"/>
      <c r="Y327" s="404"/>
      <c r="Z327" s="385" t="s">
        <v>6339</v>
      </c>
      <c r="AA327" s="212" t="s">
        <v>6421</v>
      </c>
      <c r="AB327" s="197">
        <f>11.1*1.8*0.25+2.25</f>
        <v>7.2450000000000001</v>
      </c>
      <c r="AC327" s="395">
        <f>+'APU CAP 5'!$P$538</f>
        <v>669769.71428571432</v>
      </c>
      <c r="AD327" s="169">
        <v>0.05</v>
      </c>
      <c r="AE327" s="172">
        <f t="shared" si="35"/>
        <v>5095105.659</v>
      </c>
      <c r="AF327" s="134"/>
      <c r="AG327" s="404"/>
      <c r="AH327" s="385" t="s">
        <v>6339</v>
      </c>
      <c r="AI327" s="212" t="s">
        <v>6421</v>
      </c>
      <c r="AJ327" s="212">
        <f>13.2*0.3*2+3.4</f>
        <v>11.319999999999999</v>
      </c>
      <c r="AK327" s="395">
        <f>+'APU CAP 5'!$P$538</f>
        <v>669769.71428571432</v>
      </c>
      <c r="AL327" s="169">
        <v>0.05</v>
      </c>
      <c r="AM327" s="172">
        <f t="shared" si="36"/>
        <v>7960882.824</v>
      </c>
      <c r="AN327" s="134"/>
    </row>
    <row r="328" spans="1:40" x14ac:dyDescent="0.25">
      <c r="A328" s="397"/>
      <c r="B328" s="385" t="s">
        <v>5741</v>
      </c>
      <c r="C328" s="212" t="s">
        <v>5550</v>
      </c>
      <c r="D328" s="386">
        <v>2355</v>
      </c>
      <c r="E328" s="384">
        <f>+'APU CAP 5'!$H$970</f>
        <v>3455</v>
      </c>
      <c r="F328" s="169">
        <v>0.05</v>
      </c>
      <c r="G328" s="172">
        <f t="shared" si="32"/>
        <v>8543351.25</v>
      </c>
      <c r="H328" s="401"/>
      <c r="I328" s="397"/>
      <c r="J328" s="385" t="s">
        <v>5741</v>
      </c>
      <c r="K328" s="212" t="s">
        <v>5550</v>
      </c>
      <c r="L328" s="386">
        <f>9.6*150</f>
        <v>1440</v>
      </c>
      <c r="M328" s="384">
        <f>+'APU CAP 5'!$H$970</f>
        <v>3455</v>
      </c>
      <c r="N328" s="169">
        <v>0.05</v>
      </c>
      <c r="O328" s="172">
        <f t="shared" si="33"/>
        <v>5223960</v>
      </c>
      <c r="P328" s="401"/>
      <c r="Q328" s="397"/>
      <c r="R328" s="385" t="s">
        <v>5741</v>
      </c>
      <c r="S328" s="212" t="s">
        <v>5550</v>
      </c>
      <c r="T328" s="386">
        <f>9.6*150</f>
        <v>1440</v>
      </c>
      <c r="U328" s="384">
        <f>+'APU CAP 5'!$H$970</f>
        <v>3455</v>
      </c>
      <c r="V328" s="169">
        <v>0.05</v>
      </c>
      <c r="W328" s="172">
        <f t="shared" si="34"/>
        <v>5223960</v>
      </c>
      <c r="X328" s="401"/>
      <c r="Y328" s="397"/>
      <c r="Z328" s="385" t="s">
        <v>5741</v>
      </c>
      <c r="AA328" s="212" t="s">
        <v>5550</v>
      </c>
      <c r="AB328" s="386">
        <f>9.6*150</f>
        <v>1440</v>
      </c>
      <c r="AC328" s="384">
        <f>+'APU CAP 5'!$H$970</f>
        <v>3455</v>
      </c>
      <c r="AD328" s="169">
        <v>0.05</v>
      </c>
      <c r="AE328" s="172">
        <f t="shared" si="35"/>
        <v>5223960</v>
      </c>
      <c r="AF328" s="401"/>
      <c r="AG328" s="397"/>
      <c r="AH328" s="385" t="s">
        <v>5741</v>
      </c>
      <c r="AI328" s="212" t="s">
        <v>5550</v>
      </c>
      <c r="AJ328" s="386">
        <v>2355</v>
      </c>
      <c r="AK328" s="384">
        <f>+'APU CAP 5'!$H$970</f>
        <v>3455</v>
      </c>
      <c r="AL328" s="169">
        <v>0.05</v>
      </c>
      <c r="AM328" s="172">
        <f t="shared" si="36"/>
        <v>8543351.25</v>
      </c>
      <c r="AN328" s="401"/>
    </row>
    <row r="329" spans="1:40" x14ac:dyDescent="0.25">
      <c r="A329" s="397"/>
      <c r="B329" s="385" t="s">
        <v>5750</v>
      </c>
      <c r="C329" s="212" t="s">
        <v>5550</v>
      </c>
      <c r="D329" s="386">
        <v>26</v>
      </c>
      <c r="E329" s="421">
        <f>+'APU CAP 5'!$H$1078</f>
        <v>8894</v>
      </c>
      <c r="F329" s="169">
        <v>0.05</v>
      </c>
      <c r="G329" s="172">
        <f t="shared" si="32"/>
        <v>242806.2</v>
      </c>
      <c r="H329" s="401"/>
      <c r="I329" s="397"/>
      <c r="J329" s="385" t="s">
        <v>5750</v>
      </c>
      <c r="K329" s="212" t="s">
        <v>5550</v>
      </c>
      <c r="L329" s="625">
        <f>+L327*0.005*450</f>
        <v>16.30125</v>
      </c>
      <c r="M329" s="421">
        <f>+'APU CAP 5'!$H$1078</f>
        <v>8894</v>
      </c>
      <c r="N329" s="169">
        <v>0.05</v>
      </c>
      <c r="O329" s="172">
        <f t="shared" si="33"/>
        <v>152232.48337500001</v>
      </c>
      <c r="P329" s="401"/>
      <c r="Q329" s="397"/>
      <c r="R329" s="385" t="s">
        <v>5750</v>
      </c>
      <c r="S329" s="212" t="s">
        <v>5550</v>
      </c>
      <c r="T329" s="625">
        <f>+T327*0.005*450</f>
        <v>16.30125</v>
      </c>
      <c r="U329" s="421">
        <f>+'APU CAP 5'!$H$1078</f>
        <v>8894</v>
      </c>
      <c r="V329" s="169">
        <v>0.05</v>
      </c>
      <c r="W329" s="172">
        <f t="shared" si="34"/>
        <v>152232.48337500001</v>
      </c>
      <c r="X329" s="401"/>
      <c r="Y329" s="397"/>
      <c r="Z329" s="385" t="s">
        <v>5750</v>
      </c>
      <c r="AA329" s="212" t="s">
        <v>5550</v>
      </c>
      <c r="AB329" s="625">
        <f>+AB327*0.005*450</f>
        <v>16.30125</v>
      </c>
      <c r="AC329" s="421">
        <f>+'APU CAP 5'!$H$1078</f>
        <v>8894</v>
      </c>
      <c r="AD329" s="169">
        <v>0.05</v>
      </c>
      <c r="AE329" s="172">
        <f t="shared" si="35"/>
        <v>152232.48337500001</v>
      </c>
      <c r="AF329" s="401"/>
      <c r="AG329" s="397"/>
      <c r="AH329" s="385" t="s">
        <v>5750</v>
      </c>
      <c r="AI329" s="212" t="s">
        <v>5550</v>
      </c>
      <c r="AJ329" s="386">
        <v>26</v>
      </c>
      <c r="AK329" s="421">
        <f>+'APU CAP 5'!$H$1078</f>
        <v>8894</v>
      </c>
      <c r="AL329" s="169">
        <v>0.05</v>
      </c>
      <c r="AM329" s="172">
        <f t="shared" si="36"/>
        <v>242806.2</v>
      </c>
      <c r="AN329" s="401"/>
    </row>
    <row r="330" spans="1:40" x14ac:dyDescent="0.25">
      <c r="A330" s="397"/>
      <c r="B330" s="385" t="s">
        <v>6340</v>
      </c>
      <c r="C330" s="212" t="s">
        <v>5402</v>
      </c>
      <c r="D330" s="386">
        <v>14</v>
      </c>
      <c r="E330" s="388">
        <f>+'APU CAP 5'!$H$1240</f>
        <v>31320</v>
      </c>
      <c r="F330" s="396">
        <v>0.05</v>
      </c>
      <c r="G330" s="172">
        <f t="shared" si="32"/>
        <v>460404</v>
      </c>
      <c r="H330" s="401"/>
      <c r="I330" s="397"/>
      <c r="J330" s="385" t="s">
        <v>6340</v>
      </c>
      <c r="K330" s="212" t="s">
        <v>5402</v>
      </c>
      <c r="L330" s="386">
        <v>12</v>
      </c>
      <c r="M330" s="388">
        <f>+'APU CAP 5'!$H$1240</f>
        <v>31320</v>
      </c>
      <c r="N330" s="169">
        <v>0.05</v>
      </c>
      <c r="O330" s="172">
        <f t="shared" si="33"/>
        <v>394632</v>
      </c>
      <c r="P330" s="401"/>
      <c r="Q330" s="397"/>
      <c r="R330" s="385" t="s">
        <v>6340</v>
      </c>
      <c r="S330" s="212" t="s">
        <v>5402</v>
      </c>
      <c r="T330" s="386">
        <v>12</v>
      </c>
      <c r="U330" s="388">
        <f>+'APU CAP 5'!$H$1240</f>
        <v>31320</v>
      </c>
      <c r="V330" s="169">
        <v>0.05</v>
      </c>
      <c r="W330" s="172">
        <f t="shared" si="34"/>
        <v>394632</v>
      </c>
      <c r="X330" s="401"/>
      <c r="Y330" s="397"/>
      <c r="Z330" s="385" t="s">
        <v>6340</v>
      </c>
      <c r="AA330" s="212" t="s">
        <v>5402</v>
      </c>
      <c r="AB330" s="386">
        <v>12</v>
      </c>
      <c r="AC330" s="388">
        <f>+'APU CAP 5'!$H$1240</f>
        <v>31320</v>
      </c>
      <c r="AD330" s="169">
        <v>0.05</v>
      </c>
      <c r="AE330" s="172">
        <f t="shared" si="35"/>
        <v>394632</v>
      </c>
      <c r="AF330" s="401"/>
      <c r="AG330" s="397"/>
      <c r="AH330" s="385" t="s">
        <v>6340</v>
      </c>
      <c r="AI330" s="212" t="s">
        <v>5402</v>
      </c>
      <c r="AJ330" s="386">
        <v>14</v>
      </c>
      <c r="AK330" s="388">
        <f>+'APU CAP 5'!$H$1240</f>
        <v>31320</v>
      </c>
      <c r="AL330" s="396">
        <v>0.05</v>
      </c>
      <c r="AM330" s="172">
        <f t="shared" si="36"/>
        <v>460404</v>
      </c>
      <c r="AN330" s="401"/>
    </row>
    <row r="331" spans="1:40" x14ac:dyDescent="0.25">
      <c r="A331" s="397"/>
      <c r="B331" s="385" t="s">
        <v>6341</v>
      </c>
      <c r="C331" s="212" t="s">
        <v>6421</v>
      </c>
      <c r="D331" s="386">
        <v>6</v>
      </c>
      <c r="E331" s="388">
        <f>+'APU CAP 1-2'!$H$2745</f>
        <v>11097</v>
      </c>
      <c r="F331" s="396">
        <v>0.05</v>
      </c>
      <c r="G331" s="172">
        <f t="shared" si="32"/>
        <v>69911.100000000006</v>
      </c>
      <c r="H331" s="401">
        <f>SUM(G324:G331)</f>
        <v>20137564.120500002</v>
      </c>
      <c r="I331" s="397"/>
      <c r="J331" s="385" t="s">
        <v>6341</v>
      </c>
      <c r="K331" s="212" t="s">
        <v>6421</v>
      </c>
      <c r="L331" s="386">
        <v>3</v>
      </c>
      <c r="M331" s="388">
        <f>+'APU CAP 1-2'!$H$2745</f>
        <v>11097</v>
      </c>
      <c r="N331" s="169">
        <v>0.05</v>
      </c>
      <c r="O331" s="172">
        <f t="shared" si="33"/>
        <v>34955.550000000003</v>
      </c>
      <c r="P331" s="401">
        <f>SUM(O324:O331)</f>
        <v>12953593.987140626</v>
      </c>
      <c r="Q331" s="397"/>
      <c r="R331" s="385" t="s">
        <v>6341</v>
      </c>
      <c r="S331" s="212" t="s">
        <v>6421</v>
      </c>
      <c r="T331" s="386">
        <v>3</v>
      </c>
      <c r="U331" s="388">
        <f>+'APU CAP 1-2'!$H$2745</f>
        <v>11097</v>
      </c>
      <c r="V331" s="169">
        <v>0.05</v>
      </c>
      <c r="W331" s="172">
        <f t="shared" si="34"/>
        <v>34955.550000000003</v>
      </c>
      <c r="X331" s="401">
        <f>SUM(W324:W331)</f>
        <v>12953593.987140626</v>
      </c>
      <c r="Y331" s="397"/>
      <c r="Z331" s="385" t="s">
        <v>6341</v>
      </c>
      <c r="AA331" s="212" t="s">
        <v>6421</v>
      </c>
      <c r="AB331" s="386">
        <v>3</v>
      </c>
      <c r="AC331" s="388">
        <f>+'APU CAP 1-2'!$H$2745</f>
        <v>11097</v>
      </c>
      <c r="AD331" s="169">
        <v>0.05</v>
      </c>
      <c r="AE331" s="172">
        <f t="shared" si="35"/>
        <v>34955.550000000003</v>
      </c>
      <c r="AF331" s="401">
        <f>SUM(AE324:AE331)</f>
        <v>12953593.987140626</v>
      </c>
      <c r="AG331" s="397"/>
      <c r="AH331" s="385" t="s">
        <v>6341</v>
      </c>
      <c r="AI331" s="212" t="s">
        <v>6421</v>
      </c>
      <c r="AJ331" s="386">
        <v>6</v>
      </c>
      <c r="AK331" s="388">
        <f>+'APU CAP 1-2'!$H$2745</f>
        <v>11097</v>
      </c>
      <c r="AL331" s="396">
        <v>0.05</v>
      </c>
      <c r="AM331" s="172">
        <f t="shared" si="36"/>
        <v>69911.100000000006</v>
      </c>
      <c r="AN331" s="401">
        <f>SUM(AM324:AM331)</f>
        <v>20137564.120500002</v>
      </c>
    </row>
    <row r="332" spans="1:40" x14ac:dyDescent="0.25">
      <c r="A332" s="397"/>
      <c r="B332" s="385" t="s">
        <v>6572</v>
      </c>
      <c r="C332" s="386" t="s">
        <v>5424</v>
      </c>
      <c r="D332" s="386">
        <v>2</v>
      </c>
      <c r="E332" s="388">
        <f>+SUM!H2114</f>
        <v>1431807</v>
      </c>
      <c r="F332" s="396"/>
      <c r="G332" s="172">
        <f t="shared" si="32"/>
        <v>2863614</v>
      </c>
      <c r="H332" s="401"/>
      <c r="I332" s="397"/>
      <c r="J332" s="385" t="s">
        <v>6573</v>
      </c>
      <c r="K332" s="386" t="s">
        <v>5424</v>
      </c>
      <c r="L332" s="386">
        <v>2</v>
      </c>
      <c r="M332" s="388">
        <f>+E281</f>
        <v>2675780</v>
      </c>
      <c r="N332" s="396"/>
      <c r="O332" s="172">
        <f t="shared" si="33"/>
        <v>5351560</v>
      </c>
      <c r="P332" s="401"/>
      <c r="Q332" s="397"/>
      <c r="R332" s="385" t="s">
        <v>6369</v>
      </c>
      <c r="S332" s="386" t="s">
        <v>5424</v>
      </c>
      <c r="T332" s="386">
        <v>2</v>
      </c>
      <c r="U332" s="388">
        <f>+SUM!$H$2071*1.1</f>
        <v>1504465.6</v>
      </c>
      <c r="V332" s="396"/>
      <c r="W332" s="172">
        <f t="shared" si="34"/>
        <v>3008931.2</v>
      </c>
      <c r="X332" s="401"/>
      <c r="Y332" s="397"/>
      <c r="Z332" s="385" t="s">
        <v>6369</v>
      </c>
      <c r="AA332" s="386" t="s">
        <v>5424</v>
      </c>
      <c r="AB332" s="386">
        <v>2</v>
      </c>
      <c r="AC332" s="388">
        <f>+SUM!$H$2071*1.2</f>
        <v>1641235.2</v>
      </c>
      <c r="AD332" s="169"/>
      <c r="AE332" s="172">
        <f t="shared" si="35"/>
        <v>3282470.4</v>
      </c>
      <c r="AF332" s="401"/>
      <c r="AG332" s="397"/>
      <c r="AH332" s="385" t="s">
        <v>6596</v>
      </c>
      <c r="AI332" s="386" t="s">
        <v>5424</v>
      </c>
      <c r="AJ332" s="386">
        <v>2</v>
      </c>
      <c r="AK332" s="388">
        <f>+SUM!H2124</f>
        <v>3553085</v>
      </c>
      <c r="AL332" s="396"/>
      <c r="AM332" s="172">
        <f t="shared" si="36"/>
        <v>7106170</v>
      </c>
      <c r="AN332" s="401"/>
    </row>
    <row r="333" spans="1:40" x14ac:dyDescent="0.25">
      <c r="A333" s="397"/>
      <c r="B333" s="385" t="s">
        <v>6580</v>
      </c>
      <c r="C333" s="386" t="s">
        <v>5424</v>
      </c>
      <c r="D333" s="386">
        <v>2</v>
      </c>
      <c r="E333" s="388">
        <f>+SUM!H2305</f>
        <v>4687395</v>
      </c>
      <c r="F333" s="396"/>
      <c r="G333" s="172">
        <f t="shared" si="32"/>
        <v>9374790</v>
      </c>
      <c r="H333" s="401"/>
      <c r="I333" s="397"/>
      <c r="J333" s="385" t="s">
        <v>6581</v>
      </c>
      <c r="K333" s="386" t="s">
        <v>5424</v>
      </c>
      <c r="L333" s="386">
        <v>2</v>
      </c>
      <c r="M333" s="388">
        <f>+SUM!H2307</f>
        <v>8144595</v>
      </c>
      <c r="N333" s="396"/>
      <c r="O333" s="172">
        <f t="shared" si="33"/>
        <v>16289190</v>
      </c>
      <c r="P333" s="401"/>
      <c r="Q333" s="397"/>
      <c r="R333" s="385" t="s">
        <v>6374</v>
      </c>
      <c r="S333" s="386" t="s">
        <v>5424</v>
      </c>
      <c r="T333" s="386">
        <v>2</v>
      </c>
      <c r="U333" s="388">
        <f>1869.47*2600*1.4*1.16*2.5*1.1</f>
        <v>21707537.852000002</v>
      </c>
      <c r="V333" s="396"/>
      <c r="W333" s="172">
        <f t="shared" si="34"/>
        <v>43415075.704000004</v>
      </c>
      <c r="X333" s="401"/>
      <c r="Y333" s="397"/>
      <c r="Z333" s="385" t="s">
        <v>6375</v>
      </c>
      <c r="AA333" s="386" t="s">
        <v>5424</v>
      </c>
      <c r="AB333" s="386">
        <v>2</v>
      </c>
      <c r="AC333" s="388">
        <f>1869.47*2600*1.4*1.16*2.5*1.2</f>
        <v>23680950.384</v>
      </c>
      <c r="AD333" s="169"/>
      <c r="AE333" s="172">
        <f t="shared" si="35"/>
        <v>47361900.767999999</v>
      </c>
      <c r="AF333" s="401"/>
      <c r="AG333" s="397"/>
      <c r="AH333" s="385" t="s">
        <v>6605</v>
      </c>
      <c r="AI333" s="386" t="s">
        <v>5424</v>
      </c>
      <c r="AJ333" s="386">
        <v>2</v>
      </c>
      <c r="AK333" s="388">
        <f>+SUM!H2308</f>
        <v>11257341</v>
      </c>
      <c r="AL333" s="396"/>
      <c r="AM333" s="172">
        <f t="shared" si="36"/>
        <v>22514682</v>
      </c>
      <c r="AN333" s="401"/>
    </row>
    <row r="334" spans="1:40" x14ac:dyDescent="0.25">
      <c r="A334" s="397"/>
      <c r="B334" s="385" t="s">
        <v>6367</v>
      </c>
      <c r="C334" s="386" t="s">
        <v>5424</v>
      </c>
      <c r="D334" s="386">
        <v>1</v>
      </c>
      <c r="E334" s="388">
        <f>+SUM!H893</f>
        <v>1217893</v>
      </c>
      <c r="F334" s="396"/>
      <c r="G334" s="172">
        <f t="shared" si="32"/>
        <v>1217893</v>
      </c>
      <c r="H334" s="401"/>
      <c r="I334" s="397"/>
      <c r="J334" s="385" t="s">
        <v>6370</v>
      </c>
      <c r="K334" s="386" t="s">
        <v>5424</v>
      </c>
      <c r="L334" s="386">
        <v>1</v>
      </c>
      <c r="M334" s="388">
        <f>+SUM!$H$912</f>
        <v>1351387</v>
      </c>
      <c r="N334" s="396"/>
      <c r="O334" s="172">
        <f t="shared" si="33"/>
        <v>1351387</v>
      </c>
      <c r="P334" s="401"/>
      <c r="Q334" s="397"/>
      <c r="R334" s="385" t="s">
        <v>6370</v>
      </c>
      <c r="S334" s="386" t="s">
        <v>5424</v>
      </c>
      <c r="T334" s="386">
        <v>1</v>
      </c>
      <c r="U334" s="388">
        <f>+SUM!$H$912*1.1</f>
        <v>1486525.7000000002</v>
      </c>
      <c r="V334" s="396"/>
      <c r="W334" s="172">
        <f t="shared" si="34"/>
        <v>1486525.7000000002</v>
      </c>
      <c r="X334" s="401"/>
      <c r="Y334" s="397"/>
      <c r="Z334" s="385" t="s">
        <v>6370</v>
      </c>
      <c r="AA334" s="386" t="s">
        <v>5424</v>
      </c>
      <c r="AB334" s="386">
        <v>1</v>
      </c>
      <c r="AC334" s="388">
        <f>+SUM!$H$912*1.2</f>
        <v>1621664.4</v>
      </c>
      <c r="AD334" s="169"/>
      <c r="AE334" s="172">
        <f t="shared" si="35"/>
        <v>1621664.4</v>
      </c>
      <c r="AF334" s="401"/>
      <c r="AG334" s="397"/>
      <c r="AH334" s="385" t="s">
        <v>6606</v>
      </c>
      <c r="AI334" s="386" t="s">
        <v>5424</v>
      </c>
      <c r="AJ334" s="386">
        <v>1</v>
      </c>
      <c r="AK334" s="388">
        <f>+SUM!H923</f>
        <v>2630860</v>
      </c>
      <c r="AL334" s="396"/>
      <c r="AM334" s="172">
        <f t="shared" si="36"/>
        <v>2630860</v>
      </c>
      <c r="AN334" s="401"/>
    </row>
    <row r="335" spans="1:40" x14ac:dyDescent="0.25">
      <c r="A335" s="397"/>
      <c r="B335" s="385" t="s">
        <v>6366</v>
      </c>
      <c r="C335" s="386" t="s">
        <v>5424</v>
      </c>
      <c r="D335" s="386">
        <v>1</v>
      </c>
      <c r="E335" s="388">
        <f>+SUM!$H$1914</f>
        <v>1818397</v>
      </c>
      <c r="F335" s="396"/>
      <c r="G335" s="172">
        <f t="shared" si="32"/>
        <v>1818397</v>
      </c>
      <c r="H335" s="401"/>
      <c r="I335" s="397"/>
      <c r="J335" s="385" t="s">
        <v>6371</v>
      </c>
      <c r="K335" s="386" t="s">
        <v>5424</v>
      </c>
      <c r="L335" s="386">
        <v>1</v>
      </c>
      <c r="M335" s="388">
        <f>+SUM!$H$1916</f>
        <v>3106257</v>
      </c>
      <c r="N335" s="396"/>
      <c r="O335" s="172">
        <f t="shared" si="33"/>
        <v>3106257</v>
      </c>
      <c r="P335" s="401"/>
      <c r="Q335" s="397"/>
      <c r="R335" s="385" t="s">
        <v>6371</v>
      </c>
      <c r="S335" s="386" t="s">
        <v>5424</v>
      </c>
      <c r="T335" s="386">
        <v>1</v>
      </c>
      <c r="U335" s="388">
        <f>+SUM!$H$1916*1.1</f>
        <v>3416882.7</v>
      </c>
      <c r="V335" s="396"/>
      <c r="W335" s="172">
        <f t="shared" si="34"/>
        <v>3416882.7</v>
      </c>
      <c r="X335" s="401"/>
      <c r="Y335" s="397"/>
      <c r="Z335" s="385" t="s">
        <v>6371</v>
      </c>
      <c r="AA335" s="386" t="s">
        <v>5424</v>
      </c>
      <c r="AB335" s="386">
        <v>1</v>
      </c>
      <c r="AC335" s="388">
        <f>+SUM!$H$1916*1.2</f>
        <v>3727508.4</v>
      </c>
      <c r="AD335" s="169"/>
      <c r="AE335" s="172">
        <f t="shared" si="35"/>
        <v>3727508.4</v>
      </c>
      <c r="AF335" s="401"/>
      <c r="AG335" s="397"/>
      <c r="AH335" s="385" t="s">
        <v>6607</v>
      </c>
      <c r="AI335" s="386" t="s">
        <v>5424</v>
      </c>
      <c r="AJ335" s="386">
        <v>1</v>
      </c>
      <c r="AK335" s="388">
        <f>+SUM!H1917</f>
        <v>5240778</v>
      </c>
      <c r="AL335" s="396"/>
      <c r="AM335" s="172">
        <f t="shared" si="36"/>
        <v>5240778</v>
      </c>
      <c r="AN335" s="401"/>
    </row>
    <row r="336" spans="1:40" x14ac:dyDescent="0.25">
      <c r="A336" s="397"/>
      <c r="B336" s="385" t="s">
        <v>6365</v>
      </c>
      <c r="C336" s="386" t="s">
        <v>5424</v>
      </c>
      <c r="D336" s="386">
        <v>1</v>
      </c>
      <c r="E336" s="388">
        <f>+SUM!H2031</f>
        <v>3000424</v>
      </c>
      <c r="F336" s="396"/>
      <c r="G336" s="172">
        <f t="shared" si="32"/>
        <v>3000424</v>
      </c>
      <c r="H336" s="401"/>
      <c r="I336" s="397"/>
      <c r="J336" s="385" t="s">
        <v>6372</v>
      </c>
      <c r="K336" s="386" t="s">
        <v>5424</v>
      </c>
      <c r="L336" s="386">
        <v>1</v>
      </c>
      <c r="M336" s="388">
        <f>+SUM!$H$2032*1.25</f>
        <v>4585508.75</v>
      </c>
      <c r="N336" s="396"/>
      <c r="O336" s="172">
        <f t="shared" si="33"/>
        <v>4585508.75</v>
      </c>
      <c r="P336" s="401"/>
      <c r="Q336" s="397"/>
      <c r="R336" s="385" t="s">
        <v>6372</v>
      </c>
      <c r="S336" s="386" t="s">
        <v>5424</v>
      </c>
      <c r="T336" s="386">
        <v>1</v>
      </c>
      <c r="U336" s="388">
        <f>+SUM!$H$2032*1.25*1.1</f>
        <v>5044059.625</v>
      </c>
      <c r="V336" s="396"/>
      <c r="W336" s="172">
        <f t="shared" si="34"/>
        <v>5044059.625</v>
      </c>
      <c r="X336" s="401"/>
      <c r="Y336" s="397"/>
      <c r="Z336" s="385" t="s">
        <v>6372</v>
      </c>
      <c r="AA336" s="386" t="s">
        <v>5424</v>
      </c>
      <c r="AB336" s="386">
        <v>1</v>
      </c>
      <c r="AC336" s="388">
        <f>+SUM!$H$2032*1.25*1.2</f>
        <v>5502610.5</v>
      </c>
      <c r="AD336" s="169"/>
      <c r="AE336" s="172">
        <f t="shared" si="35"/>
        <v>5502610.5</v>
      </c>
      <c r="AF336" s="401"/>
      <c r="AG336" s="397"/>
      <c r="AH336" s="385" t="s">
        <v>6608</v>
      </c>
      <c r="AI336" s="386" t="s">
        <v>5424</v>
      </c>
      <c r="AJ336" s="386">
        <v>1</v>
      </c>
      <c r="AK336" s="388">
        <v>4725000</v>
      </c>
      <c r="AL336" s="396"/>
      <c r="AM336" s="172">
        <f t="shared" si="36"/>
        <v>4725000</v>
      </c>
      <c r="AN336" s="401"/>
    </row>
    <row r="337" spans="1:40" x14ac:dyDescent="0.25">
      <c r="A337" s="397"/>
      <c r="B337" s="385" t="s">
        <v>6368</v>
      </c>
      <c r="C337" s="386" t="s">
        <v>5424</v>
      </c>
      <c r="D337" s="386">
        <v>2</v>
      </c>
      <c r="E337" s="388">
        <f>+SUM!H1943</f>
        <v>287260</v>
      </c>
      <c r="F337" s="396"/>
      <c r="G337" s="172">
        <f t="shared" si="32"/>
        <v>574520</v>
      </c>
      <c r="H337" s="401"/>
      <c r="I337" s="397"/>
      <c r="J337" s="385" t="s">
        <v>6373</v>
      </c>
      <c r="K337" s="386" t="s">
        <v>5424</v>
      </c>
      <c r="L337" s="386">
        <v>2</v>
      </c>
      <c r="M337" s="388">
        <f>+SUM!$H$1946*1.25</f>
        <v>683788.75</v>
      </c>
      <c r="N337" s="396"/>
      <c r="O337" s="172">
        <f t="shared" si="33"/>
        <v>1367577.5</v>
      </c>
      <c r="P337" s="401"/>
      <c r="Q337" s="397"/>
      <c r="R337" s="385" t="s">
        <v>6373</v>
      </c>
      <c r="S337" s="386" t="s">
        <v>5424</v>
      </c>
      <c r="T337" s="386">
        <v>2</v>
      </c>
      <c r="U337" s="388">
        <f>+SUM!$H$1946*1.25*1.1</f>
        <v>752167.62500000012</v>
      </c>
      <c r="V337" s="396"/>
      <c r="W337" s="172">
        <f t="shared" si="34"/>
        <v>1504335.2500000002</v>
      </c>
      <c r="X337" s="401"/>
      <c r="Y337" s="397"/>
      <c r="Z337" s="385" t="s">
        <v>6373</v>
      </c>
      <c r="AA337" s="386" t="s">
        <v>5424</v>
      </c>
      <c r="AB337" s="386">
        <v>2</v>
      </c>
      <c r="AC337" s="388">
        <f>+SUM!$H$1946*1.25*1.2</f>
        <v>820546.5</v>
      </c>
      <c r="AD337" s="169"/>
      <c r="AE337" s="172">
        <f t="shared" si="35"/>
        <v>1641093</v>
      </c>
      <c r="AF337" s="401"/>
      <c r="AG337" s="397"/>
      <c r="AH337" s="385" t="s">
        <v>6599</v>
      </c>
      <c r="AI337" s="386" t="s">
        <v>5424</v>
      </c>
      <c r="AJ337" s="386">
        <v>2</v>
      </c>
      <c r="AK337" s="388">
        <f>+SUM!H1948</f>
        <v>645992</v>
      </c>
      <c r="AL337" s="396"/>
      <c r="AM337" s="172">
        <f t="shared" si="36"/>
        <v>1291984</v>
      </c>
      <c r="AN337" s="401"/>
    </row>
    <row r="338" spans="1:40" x14ac:dyDescent="0.25">
      <c r="A338" s="397"/>
      <c r="B338" s="385" t="s">
        <v>6342</v>
      </c>
      <c r="C338" s="386" t="s">
        <v>5424</v>
      </c>
      <c r="D338" s="386">
        <v>4</v>
      </c>
      <c r="E338" s="605">
        <f>+'APU CAP 8'!$H$47</f>
        <v>42295</v>
      </c>
      <c r="F338" s="387"/>
      <c r="G338" s="172">
        <f t="shared" si="32"/>
        <v>169180</v>
      </c>
      <c r="H338" s="401"/>
      <c r="I338" s="397"/>
      <c r="J338" s="385" t="s">
        <v>6342</v>
      </c>
      <c r="K338" s="386" t="s">
        <v>5424</v>
      </c>
      <c r="L338" s="386">
        <v>4</v>
      </c>
      <c r="M338" s="605">
        <f>+'APU CAP 8'!$H$47</f>
        <v>42295</v>
      </c>
      <c r="N338" s="387"/>
      <c r="O338" s="172">
        <f t="shared" si="33"/>
        <v>169180</v>
      </c>
      <c r="P338" s="401"/>
      <c r="Q338" s="397"/>
      <c r="R338" s="385" t="s">
        <v>6342</v>
      </c>
      <c r="S338" s="386" t="s">
        <v>5424</v>
      </c>
      <c r="T338" s="386">
        <v>4</v>
      </c>
      <c r="U338" s="605">
        <f>+'APU CAP 8'!$H$47</f>
        <v>42295</v>
      </c>
      <c r="V338" s="387"/>
      <c r="W338" s="172">
        <f t="shared" si="34"/>
        <v>169180</v>
      </c>
      <c r="X338" s="401"/>
      <c r="Y338" s="397"/>
      <c r="Z338" s="385" t="s">
        <v>6342</v>
      </c>
      <c r="AA338" s="386" t="s">
        <v>5424</v>
      </c>
      <c r="AB338" s="386">
        <v>4</v>
      </c>
      <c r="AC338" s="605">
        <f>+'APU CAP 8'!$H$47</f>
        <v>42295</v>
      </c>
      <c r="AD338" s="169"/>
      <c r="AE338" s="172">
        <f t="shared" si="35"/>
        <v>169180</v>
      </c>
      <c r="AF338" s="401"/>
      <c r="AG338" s="397"/>
      <c r="AH338" s="385" t="s">
        <v>6342</v>
      </c>
      <c r="AI338" s="386" t="s">
        <v>5424</v>
      </c>
      <c r="AJ338" s="386">
        <v>4</v>
      </c>
      <c r="AK338" s="605">
        <f>+'APU CAP 8'!$H$47</f>
        <v>42295</v>
      </c>
      <c r="AL338" s="387"/>
      <c r="AM338" s="172">
        <f t="shared" si="36"/>
        <v>169180</v>
      </c>
      <c r="AN338" s="401"/>
    </row>
    <row r="339" spans="1:40" x14ac:dyDescent="0.25">
      <c r="A339" s="397"/>
      <c r="B339" s="385" t="s">
        <v>6343</v>
      </c>
      <c r="C339" s="386" t="s">
        <v>5424</v>
      </c>
      <c r="D339" s="386">
        <v>1</v>
      </c>
      <c r="E339" s="388">
        <f>+SUM!$H$2409</f>
        <v>677604</v>
      </c>
      <c r="F339" s="596"/>
      <c r="G339" s="172">
        <f t="shared" si="32"/>
        <v>677604</v>
      </c>
      <c r="H339" s="401"/>
      <c r="I339" s="397"/>
      <c r="J339" s="385" t="s">
        <v>6343</v>
      </c>
      <c r="K339" s="386" t="s">
        <v>5424</v>
      </c>
      <c r="L339" s="386">
        <v>1</v>
      </c>
      <c r="M339" s="388">
        <f>+SUM!$H$2409</f>
        <v>677604</v>
      </c>
      <c r="N339" s="596"/>
      <c r="O339" s="172">
        <f t="shared" si="33"/>
        <v>677604</v>
      </c>
      <c r="P339" s="401"/>
      <c r="Q339" s="397"/>
      <c r="R339" s="385" t="s">
        <v>6343</v>
      </c>
      <c r="S339" s="386" t="s">
        <v>5424</v>
      </c>
      <c r="T339" s="386">
        <v>1</v>
      </c>
      <c r="U339" s="388">
        <f>+SUM!$H$2409</f>
        <v>677604</v>
      </c>
      <c r="V339" s="596"/>
      <c r="W339" s="172">
        <f t="shared" si="34"/>
        <v>677604</v>
      </c>
      <c r="X339" s="401"/>
      <c r="Y339" s="397"/>
      <c r="Z339" s="385" t="s">
        <v>6343</v>
      </c>
      <c r="AA339" s="386" t="s">
        <v>5424</v>
      </c>
      <c r="AB339" s="386">
        <v>1</v>
      </c>
      <c r="AC339" s="388">
        <f>+SUM!$H$2409</f>
        <v>677604</v>
      </c>
      <c r="AD339" s="169"/>
      <c r="AE339" s="172">
        <f t="shared" si="35"/>
        <v>677604</v>
      </c>
      <c r="AF339" s="401"/>
      <c r="AG339" s="397"/>
      <c r="AH339" s="385" t="s">
        <v>6343</v>
      </c>
      <c r="AI339" s="386" t="s">
        <v>5424</v>
      </c>
      <c r="AJ339" s="386">
        <v>1</v>
      </c>
      <c r="AK339" s="388">
        <f>+SUM!$H$2409</f>
        <v>677604</v>
      </c>
      <c r="AL339" s="596"/>
      <c r="AM339" s="172">
        <f t="shared" si="36"/>
        <v>677604</v>
      </c>
      <c r="AN339" s="401"/>
    </row>
    <row r="340" spans="1:40" ht="15.75" thickBot="1" x14ac:dyDescent="0.3">
      <c r="A340" s="397"/>
      <c r="B340" s="412" t="s">
        <v>6344</v>
      </c>
      <c r="C340" s="386" t="s">
        <v>5424</v>
      </c>
      <c r="D340" s="413"/>
      <c r="E340" s="423"/>
      <c r="F340" s="597"/>
      <c r="G340" s="172">
        <f t="shared" si="32"/>
        <v>0</v>
      </c>
      <c r="H340" s="401"/>
      <c r="I340" s="397"/>
      <c r="J340" s="412" t="s">
        <v>6344</v>
      </c>
      <c r="K340" s="386" t="s">
        <v>5424</v>
      </c>
      <c r="L340" s="413"/>
      <c r="M340" s="423"/>
      <c r="N340" s="597"/>
      <c r="O340" s="172">
        <f t="shared" si="33"/>
        <v>0</v>
      </c>
      <c r="P340" s="401"/>
      <c r="Q340" s="397"/>
      <c r="R340" s="412" t="s">
        <v>6344</v>
      </c>
      <c r="S340" s="386" t="s">
        <v>5424</v>
      </c>
      <c r="T340" s="413"/>
      <c r="U340" s="423"/>
      <c r="V340" s="597"/>
      <c r="W340" s="172">
        <f t="shared" si="34"/>
        <v>0</v>
      </c>
      <c r="X340" s="401"/>
      <c r="Y340" s="397"/>
      <c r="Z340" s="412" t="s">
        <v>6344</v>
      </c>
      <c r="AA340" s="386" t="s">
        <v>5424</v>
      </c>
      <c r="AB340" s="413"/>
      <c r="AC340" s="423"/>
      <c r="AD340" s="597"/>
      <c r="AE340" s="410"/>
      <c r="AF340" s="401"/>
      <c r="AG340" s="397"/>
      <c r="AH340" s="412" t="s">
        <v>6344</v>
      </c>
      <c r="AI340" s="386" t="s">
        <v>5424</v>
      </c>
      <c r="AJ340" s="413"/>
      <c r="AK340" s="423"/>
      <c r="AL340" s="597"/>
      <c r="AM340" s="172">
        <f t="shared" si="36"/>
        <v>0</v>
      </c>
      <c r="AN340" s="401"/>
    </row>
    <row r="341" spans="1:40" ht="15.75" thickBot="1" x14ac:dyDescent="0.3">
      <c r="A341" s="397"/>
      <c r="B341" s="412"/>
      <c r="C341" s="413"/>
      <c r="D341" s="413"/>
      <c r="E341" s="423"/>
      <c r="F341" s="597"/>
      <c r="G341" s="410"/>
      <c r="H341" s="416">
        <f>+SUM(G324:G341)</f>
        <v>39833986.120499998</v>
      </c>
      <c r="I341" s="397"/>
      <c r="J341" s="412"/>
      <c r="K341" s="413"/>
      <c r="L341" s="413"/>
      <c r="M341" s="423"/>
      <c r="N341" s="597"/>
      <c r="O341" s="410"/>
      <c r="P341" s="416">
        <f>+SUM(O324:O341)</f>
        <v>45851858.237140626</v>
      </c>
      <c r="Q341" s="397"/>
      <c r="R341" s="412"/>
      <c r="S341" s="413"/>
      <c r="T341" s="413"/>
      <c r="U341" s="423"/>
      <c r="V341" s="597"/>
      <c r="W341" s="410"/>
      <c r="X341" s="416">
        <f>+SUM(W324:W341)</f>
        <v>71676188.166140631</v>
      </c>
      <c r="Y341" s="397"/>
      <c r="Z341" s="412"/>
      <c r="AA341" s="413"/>
      <c r="AB341" s="413"/>
      <c r="AC341" s="423"/>
      <c r="AD341" s="597"/>
      <c r="AE341" s="410"/>
      <c r="AF341" s="416">
        <f>+SUM(AE324:AE341)</f>
        <v>76937625.45514062</v>
      </c>
      <c r="AG341" s="397"/>
      <c r="AH341" s="412"/>
      <c r="AI341" s="413"/>
      <c r="AJ341" s="413"/>
      <c r="AK341" s="423"/>
      <c r="AL341" s="597"/>
      <c r="AM341" s="410"/>
      <c r="AN341" s="416">
        <f>+SUM(AM324:AM341)</f>
        <v>64493822.120499998</v>
      </c>
    </row>
    <row r="342" spans="1:40" ht="15.75" thickBot="1" x14ac:dyDescent="0.3">
      <c r="A342" s="397"/>
      <c r="B342" s="417"/>
      <c r="C342" s="417"/>
      <c r="D342" s="417"/>
      <c r="E342" s="417"/>
      <c r="F342" s="417"/>
      <c r="G342" s="419"/>
      <c r="H342" s="420"/>
      <c r="I342" s="397"/>
      <c r="J342" s="417"/>
      <c r="K342" s="417"/>
      <c r="L342" s="417"/>
      <c r="M342" s="417"/>
      <c r="N342" s="417"/>
      <c r="O342" s="419"/>
      <c r="P342" s="420"/>
      <c r="Q342" s="397"/>
      <c r="R342" s="417"/>
      <c r="S342" s="417"/>
      <c r="T342" s="417"/>
      <c r="U342" s="417"/>
      <c r="V342" s="417"/>
      <c r="W342" s="419"/>
      <c r="X342" s="420"/>
      <c r="Y342" s="397"/>
      <c r="Z342" s="417"/>
      <c r="AA342" s="417"/>
      <c r="AB342" s="417"/>
      <c r="AC342" s="417"/>
      <c r="AD342" s="417"/>
      <c r="AE342" s="419"/>
      <c r="AF342" s="420"/>
      <c r="AG342" s="397"/>
      <c r="AH342" s="417"/>
      <c r="AI342" s="417"/>
      <c r="AJ342" s="417"/>
      <c r="AK342" s="417"/>
      <c r="AL342" s="417"/>
      <c r="AM342" s="419"/>
      <c r="AN342" s="420"/>
    </row>
    <row r="343" spans="1:40" ht="15.75" thickBot="1" x14ac:dyDescent="0.3">
      <c r="A343" s="397"/>
      <c r="B343" s="407" t="s">
        <v>5410</v>
      </c>
      <c r="C343" s="408" t="s">
        <v>867</v>
      </c>
      <c r="D343" s="408" t="s">
        <v>6</v>
      </c>
      <c r="E343" s="408" t="s">
        <v>870</v>
      </c>
      <c r="F343" s="408" t="s">
        <v>5411</v>
      </c>
      <c r="G343" s="409" t="s">
        <v>868</v>
      </c>
      <c r="H343" s="401"/>
      <c r="I343" s="397"/>
      <c r="J343" s="407" t="s">
        <v>5410</v>
      </c>
      <c r="K343" s="408" t="s">
        <v>867</v>
      </c>
      <c r="L343" s="408" t="s">
        <v>6</v>
      </c>
      <c r="M343" s="408" t="s">
        <v>870</v>
      </c>
      <c r="N343" s="408" t="s">
        <v>5411</v>
      </c>
      <c r="O343" s="409" t="s">
        <v>868</v>
      </c>
      <c r="P343" s="401"/>
      <c r="Q343" s="397"/>
      <c r="R343" s="407" t="s">
        <v>5410</v>
      </c>
      <c r="S343" s="408" t="s">
        <v>867</v>
      </c>
      <c r="T343" s="408" t="s">
        <v>6</v>
      </c>
      <c r="U343" s="408" t="s">
        <v>870</v>
      </c>
      <c r="V343" s="408" t="s">
        <v>5411</v>
      </c>
      <c r="W343" s="409" t="s">
        <v>868</v>
      </c>
      <c r="X343" s="401"/>
      <c r="Y343" s="397"/>
      <c r="Z343" s="407" t="s">
        <v>5410</v>
      </c>
      <c r="AA343" s="408" t="s">
        <v>867</v>
      </c>
      <c r="AB343" s="408" t="s">
        <v>6</v>
      </c>
      <c r="AC343" s="408" t="s">
        <v>870</v>
      </c>
      <c r="AD343" s="408" t="s">
        <v>5411</v>
      </c>
      <c r="AE343" s="409" t="s">
        <v>868</v>
      </c>
      <c r="AF343" s="401"/>
      <c r="AG343" s="397"/>
      <c r="AH343" s="407" t="s">
        <v>5410</v>
      </c>
      <c r="AI343" s="408" t="s">
        <v>867</v>
      </c>
      <c r="AJ343" s="408" t="s">
        <v>6</v>
      </c>
      <c r="AK343" s="408" t="s">
        <v>870</v>
      </c>
      <c r="AL343" s="408" t="s">
        <v>5411</v>
      </c>
      <c r="AM343" s="409" t="s">
        <v>868</v>
      </c>
      <c r="AN343" s="401"/>
    </row>
    <row r="344" spans="1:40" ht="15.75" thickBot="1" x14ac:dyDescent="0.3">
      <c r="A344" s="397"/>
      <c r="B344" s="579"/>
      <c r="C344" s="580"/>
      <c r="D344" s="580"/>
      <c r="E344" s="580"/>
      <c r="F344" s="580"/>
      <c r="G344" s="581"/>
      <c r="H344" s="401"/>
      <c r="I344" s="397"/>
      <c r="J344" s="579"/>
      <c r="K344" s="580"/>
      <c r="L344" s="580"/>
      <c r="M344" s="580"/>
      <c r="N344" s="580"/>
      <c r="O344" s="581"/>
      <c r="P344" s="401"/>
      <c r="Q344" s="397"/>
      <c r="R344" s="579"/>
      <c r="S344" s="580"/>
      <c r="T344" s="580"/>
      <c r="U344" s="580"/>
      <c r="V344" s="580"/>
      <c r="W344" s="581"/>
      <c r="X344" s="401"/>
      <c r="Y344" s="397"/>
      <c r="Z344" s="579"/>
      <c r="AA344" s="580"/>
      <c r="AB344" s="580"/>
      <c r="AC344" s="580"/>
      <c r="AD344" s="580"/>
      <c r="AE344" s="581"/>
      <c r="AF344" s="401"/>
      <c r="AG344" s="397"/>
      <c r="AH344" s="579"/>
      <c r="AI344" s="580"/>
      <c r="AJ344" s="580"/>
      <c r="AK344" s="580"/>
      <c r="AL344" s="580"/>
      <c r="AM344" s="581"/>
      <c r="AN344" s="401"/>
    </row>
    <row r="345" spans="1:40" ht="15.75" thickBot="1" x14ac:dyDescent="0.3">
      <c r="A345" s="397"/>
      <c r="B345" s="412"/>
      <c r="C345" s="414"/>
      <c r="D345" s="414"/>
      <c r="E345" s="414"/>
      <c r="F345" s="414"/>
      <c r="G345" s="415"/>
      <c r="H345" s="416">
        <f>+SUM(G345:G345)</f>
        <v>0</v>
      </c>
      <c r="I345" s="397"/>
      <c r="J345" s="412"/>
      <c r="K345" s="414"/>
      <c r="L345" s="414"/>
      <c r="M345" s="414"/>
      <c r="N345" s="414"/>
      <c r="O345" s="415"/>
      <c r="P345" s="416">
        <f>+SUM(O345:O345)</f>
        <v>0</v>
      </c>
      <c r="Q345" s="397"/>
      <c r="R345" s="412"/>
      <c r="S345" s="414"/>
      <c r="T345" s="414"/>
      <c r="U345" s="414"/>
      <c r="V345" s="414"/>
      <c r="W345" s="415"/>
      <c r="X345" s="416">
        <f>+SUM(W345:W345)</f>
        <v>0</v>
      </c>
      <c r="Y345" s="397"/>
      <c r="Z345" s="412"/>
      <c r="AA345" s="414"/>
      <c r="AB345" s="414"/>
      <c r="AC345" s="414"/>
      <c r="AD345" s="414"/>
      <c r="AE345" s="415"/>
      <c r="AF345" s="416">
        <f>+SUM(AE345:AE345)</f>
        <v>0</v>
      </c>
      <c r="AG345" s="397"/>
      <c r="AH345" s="412"/>
      <c r="AI345" s="414"/>
      <c r="AJ345" s="414"/>
      <c r="AK345" s="414"/>
      <c r="AL345" s="414"/>
      <c r="AM345" s="415"/>
      <c r="AN345" s="416">
        <f>+SUM(AM345:AM345)</f>
        <v>0</v>
      </c>
    </row>
    <row r="346" spans="1:40" ht="15.75" thickBot="1" x14ac:dyDescent="0.3">
      <c r="A346" s="397"/>
      <c r="B346" s="417"/>
      <c r="C346" s="417"/>
      <c r="D346" s="417"/>
      <c r="E346" s="417"/>
      <c r="F346" s="425"/>
      <c r="G346" s="426"/>
      <c r="H346" s="420"/>
      <c r="I346" s="397"/>
      <c r="J346" s="417"/>
      <c r="K346" s="417"/>
      <c r="L346" s="417"/>
      <c r="M346" s="417"/>
      <c r="N346" s="425"/>
      <c r="O346" s="426"/>
      <c r="P346" s="420"/>
      <c r="Q346" s="397"/>
      <c r="R346" s="417"/>
      <c r="S346" s="417"/>
      <c r="T346" s="417"/>
      <c r="U346" s="417"/>
      <c r="V346" s="425"/>
      <c r="W346" s="426"/>
      <c r="X346" s="420"/>
      <c r="Y346" s="397"/>
      <c r="Z346" s="417"/>
      <c r="AA346" s="417"/>
      <c r="AB346" s="417"/>
      <c r="AC346" s="417"/>
      <c r="AD346" s="425"/>
      <c r="AE346" s="426"/>
      <c r="AF346" s="420"/>
      <c r="AG346" s="397"/>
      <c r="AH346" s="417"/>
      <c r="AI346" s="417"/>
      <c r="AJ346" s="417"/>
      <c r="AK346" s="417"/>
      <c r="AL346" s="425"/>
      <c r="AM346" s="426"/>
      <c r="AN346" s="420"/>
    </row>
    <row r="347" spans="1:40" ht="15.75" thickBot="1" x14ac:dyDescent="0.3">
      <c r="A347" s="397"/>
      <c r="B347" s="407" t="s">
        <v>5412</v>
      </c>
      <c r="C347" s="408" t="s">
        <v>5420</v>
      </c>
      <c r="D347" s="408" t="s">
        <v>5421</v>
      </c>
      <c r="E347" s="408" t="s">
        <v>5413</v>
      </c>
      <c r="F347" s="408" t="s">
        <v>5405</v>
      </c>
      <c r="G347" s="409" t="s">
        <v>868</v>
      </c>
      <c r="H347" s="401"/>
      <c r="I347" s="397"/>
      <c r="J347" s="407" t="s">
        <v>5412</v>
      </c>
      <c r="K347" s="408" t="s">
        <v>5420</v>
      </c>
      <c r="L347" s="408" t="s">
        <v>5421</v>
      </c>
      <c r="M347" s="408" t="s">
        <v>5413</v>
      </c>
      <c r="N347" s="408" t="s">
        <v>5405</v>
      </c>
      <c r="O347" s="409" t="s">
        <v>868</v>
      </c>
      <c r="P347" s="401"/>
      <c r="Q347" s="397"/>
      <c r="R347" s="407" t="s">
        <v>5412</v>
      </c>
      <c r="S347" s="408" t="s">
        <v>5420</v>
      </c>
      <c r="T347" s="408" t="s">
        <v>5421</v>
      </c>
      <c r="U347" s="408" t="s">
        <v>5413</v>
      </c>
      <c r="V347" s="408" t="s">
        <v>5405</v>
      </c>
      <c r="W347" s="409" t="s">
        <v>868</v>
      </c>
      <c r="X347" s="401"/>
      <c r="Y347" s="397"/>
      <c r="Z347" s="407" t="s">
        <v>5412</v>
      </c>
      <c r="AA347" s="408" t="s">
        <v>5420</v>
      </c>
      <c r="AB347" s="408" t="s">
        <v>5421</v>
      </c>
      <c r="AC347" s="408" t="s">
        <v>5413</v>
      </c>
      <c r="AD347" s="408" t="s">
        <v>5405</v>
      </c>
      <c r="AE347" s="409" t="s">
        <v>868</v>
      </c>
      <c r="AF347" s="401"/>
      <c r="AG347" s="397"/>
      <c r="AH347" s="407" t="s">
        <v>5412</v>
      </c>
      <c r="AI347" s="408" t="s">
        <v>5420</v>
      </c>
      <c r="AJ347" s="408" t="s">
        <v>5421</v>
      </c>
      <c r="AK347" s="408" t="s">
        <v>5413</v>
      </c>
      <c r="AL347" s="408" t="s">
        <v>5405</v>
      </c>
      <c r="AM347" s="409" t="s">
        <v>868</v>
      </c>
      <c r="AN347" s="401"/>
    </row>
    <row r="348" spans="1:40" x14ac:dyDescent="0.25">
      <c r="A348" s="397"/>
      <c r="B348" s="381" t="s">
        <v>5948</v>
      </c>
      <c r="C348" s="345">
        <v>70000</v>
      </c>
      <c r="D348" s="384">
        <f>+C348*0.85</f>
        <v>59500</v>
      </c>
      <c r="E348" s="384">
        <f>+C348+D348</f>
        <v>129500</v>
      </c>
      <c r="F348" s="382">
        <v>1</v>
      </c>
      <c r="G348" s="410">
        <f>+E348/F348</f>
        <v>129500</v>
      </c>
      <c r="H348" s="401"/>
      <c r="I348" s="397"/>
      <c r="J348" s="381" t="s">
        <v>5948</v>
      </c>
      <c r="K348" s="345">
        <v>70000</v>
      </c>
      <c r="L348" s="384">
        <f>+K348*0.85</f>
        <v>59500</v>
      </c>
      <c r="M348" s="384">
        <f>+K348+L348</f>
        <v>129500</v>
      </c>
      <c r="N348" s="382">
        <v>1</v>
      </c>
      <c r="O348" s="410">
        <f>+M348/N348</f>
        <v>129500</v>
      </c>
      <c r="P348" s="401"/>
      <c r="Q348" s="397"/>
      <c r="R348" s="381" t="s">
        <v>5948</v>
      </c>
      <c r="S348" s="345">
        <v>70000</v>
      </c>
      <c r="T348" s="384">
        <f>+S348*0.85</f>
        <v>59500</v>
      </c>
      <c r="U348" s="384">
        <f>+S348+T348</f>
        <v>129500</v>
      </c>
      <c r="V348" s="382">
        <v>1</v>
      </c>
      <c r="W348" s="410">
        <f>+U348/V348</f>
        <v>129500</v>
      </c>
      <c r="X348" s="401"/>
      <c r="Y348" s="397"/>
      <c r="Z348" s="381" t="s">
        <v>5948</v>
      </c>
      <c r="AA348" s="345">
        <v>70000</v>
      </c>
      <c r="AB348" s="384">
        <f>+AA348*0.85</f>
        <v>59500</v>
      </c>
      <c r="AC348" s="384">
        <f>+AA348+AB348</f>
        <v>129500</v>
      </c>
      <c r="AD348" s="382">
        <v>1</v>
      </c>
      <c r="AE348" s="410">
        <f>+AC348/AD348</f>
        <v>129500</v>
      </c>
      <c r="AF348" s="401"/>
      <c r="AG348" s="397"/>
      <c r="AH348" s="381" t="s">
        <v>5948</v>
      </c>
      <c r="AI348" s="345">
        <v>70000</v>
      </c>
      <c r="AJ348" s="384">
        <f>+AI348*0.85</f>
        <v>59500</v>
      </c>
      <c r="AK348" s="384">
        <f>+AI348+AJ348</f>
        <v>129500</v>
      </c>
      <c r="AL348" s="382">
        <v>1</v>
      </c>
      <c r="AM348" s="410">
        <f>+AK348/AL348</f>
        <v>129500</v>
      </c>
      <c r="AN348" s="401"/>
    </row>
    <row r="349" spans="1:40" x14ac:dyDescent="0.25">
      <c r="A349" s="397"/>
      <c r="B349" s="385" t="s">
        <v>5949</v>
      </c>
      <c r="C349" s="345">
        <v>40000</v>
      </c>
      <c r="D349" s="384">
        <f>+C349*0.85</f>
        <v>34000</v>
      </c>
      <c r="E349" s="384">
        <f>+C349+D349</f>
        <v>74000</v>
      </c>
      <c r="F349" s="382">
        <v>0.1</v>
      </c>
      <c r="G349" s="410">
        <f>+E349/F349</f>
        <v>740000</v>
      </c>
      <c r="H349" s="401"/>
      <c r="I349" s="397"/>
      <c r="J349" s="385" t="s">
        <v>5949</v>
      </c>
      <c r="K349" s="345">
        <v>40000</v>
      </c>
      <c r="L349" s="384">
        <f>+K349*0.85</f>
        <v>34000</v>
      </c>
      <c r="M349" s="384">
        <f>+K349+L349</f>
        <v>74000</v>
      </c>
      <c r="N349" s="382">
        <v>0.08</v>
      </c>
      <c r="O349" s="410">
        <f>+M349/N349</f>
        <v>925000</v>
      </c>
      <c r="P349" s="401"/>
      <c r="Q349" s="397"/>
      <c r="R349" s="385" t="s">
        <v>5949</v>
      </c>
      <c r="S349" s="345">
        <v>40000</v>
      </c>
      <c r="T349" s="384">
        <f>+S349*0.85</f>
        <v>34000</v>
      </c>
      <c r="U349" s="384">
        <f>+S349+T349</f>
        <v>74000</v>
      </c>
      <c r="V349" s="382">
        <v>0.08</v>
      </c>
      <c r="W349" s="410">
        <f>+U349/V349</f>
        <v>925000</v>
      </c>
      <c r="X349" s="401"/>
      <c r="Y349" s="397"/>
      <c r="Z349" s="385" t="s">
        <v>5949</v>
      </c>
      <c r="AA349" s="345">
        <v>40000</v>
      </c>
      <c r="AB349" s="384">
        <f>+AA349*0.85</f>
        <v>34000</v>
      </c>
      <c r="AC349" s="384">
        <f>+AA349+AB349</f>
        <v>74000</v>
      </c>
      <c r="AD349" s="382">
        <v>0.08</v>
      </c>
      <c r="AE349" s="410">
        <f>+AC349/AD349</f>
        <v>925000</v>
      </c>
      <c r="AF349" s="401"/>
      <c r="AG349" s="397"/>
      <c r="AH349" s="385" t="s">
        <v>5949</v>
      </c>
      <c r="AI349" s="345">
        <v>40000</v>
      </c>
      <c r="AJ349" s="384">
        <f>+AI349*0.85</f>
        <v>34000</v>
      </c>
      <c r="AK349" s="384">
        <f>+AI349+AJ349</f>
        <v>74000</v>
      </c>
      <c r="AL349" s="382">
        <v>0.1</v>
      </c>
      <c r="AM349" s="410">
        <f>+AK349/AL349</f>
        <v>740000</v>
      </c>
      <c r="AN349" s="401"/>
    </row>
    <row r="350" spans="1:40" x14ac:dyDescent="0.25">
      <c r="A350" s="397"/>
      <c r="B350" s="385" t="s">
        <v>5950</v>
      </c>
      <c r="C350" s="345">
        <v>20600</v>
      </c>
      <c r="D350" s="384">
        <f>+C350*0.85</f>
        <v>17510</v>
      </c>
      <c r="E350" s="384">
        <f>+C350+D350</f>
        <v>38110</v>
      </c>
      <c r="F350" s="382">
        <v>0.1</v>
      </c>
      <c r="G350" s="410">
        <f>+E350/F350</f>
        <v>381100</v>
      </c>
      <c r="H350" s="401"/>
      <c r="I350" s="397"/>
      <c r="J350" s="385" t="s">
        <v>5950</v>
      </c>
      <c r="K350" s="345">
        <v>20600</v>
      </c>
      <c r="L350" s="384">
        <f>+K350*0.85</f>
        <v>17510</v>
      </c>
      <c r="M350" s="384">
        <f>+K350+L350</f>
        <v>38110</v>
      </c>
      <c r="N350" s="382">
        <v>0.08</v>
      </c>
      <c r="O350" s="410">
        <f>+M350/N350</f>
        <v>476375</v>
      </c>
      <c r="P350" s="401"/>
      <c r="Q350" s="397"/>
      <c r="R350" s="385" t="s">
        <v>5950</v>
      </c>
      <c r="S350" s="345">
        <v>20600</v>
      </c>
      <c r="T350" s="384">
        <f>+S350*0.85</f>
        <v>17510</v>
      </c>
      <c r="U350" s="384">
        <f>+S350+T350</f>
        <v>38110</v>
      </c>
      <c r="V350" s="382">
        <v>0.04</v>
      </c>
      <c r="W350" s="410">
        <f>+U350/V350</f>
        <v>952750</v>
      </c>
      <c r="X350" s="401"/>
      <c r="Y350" s="397"/>
      <c r="Z350" s="385" t="s">
        <v>5950</v>
      </c>
      <c r="AA350" s="345">
        <v>20600</v>
      </c>
      <c r="AB350" s="384">
        <f>+AA350*0.85</f>
        <v>17510</v>
      </c>
      <c r="AC350" s="384">
        <f>+AA350+AB350</f>
        <v>38110</v>
      </c>
      <c r="AD350" s="382">
        <v>0.04</v>
      </c>
      <c r="AE350" s="410">
        <f>+AC350/AD350</f>
        <v>952750</v>
      </c>
      <c r="AF350" s="401"/>
      <c r="AG350" s="397"/>
      <c r="AH350" s="385" t="s">
        <v>5950</v>
      </c>
      <c r="AI350" s="345">
        <v>20600</v>
      </c>
      <c r="AJ350" s="384">
        <f>+AI350*0.85</f>
        <v>17510</v>
      </c>
      <c r="AK350" s="384">
        <f>+AI350+AJ350</f>
        <v>38110</v>
      </c>
      <c r="AL350" s="382">
        <v>0.5</v>
      </c>
      <c r="AM350" s="410">
        <f>+AK350/AL350</f>
        <v>76220</v>
      </c>
      <c r="AN350" s="401"/>
    </row>
    <row r="351" spans="1:40" x14ac:dyDescent="0.25">
      <c r="A351" s="397"/>
      <c r="B351" s="385"/>
      <c r="C351" s="384"/>
      <c r="D351" s="384"/>
      <c r="E351" s="384"/>
      <c r="F351" s="382"/>
      <c r="G351" s="410"/>
      <c r="H351" s="401"/>
      <c r="I351" s="397"/>
      <c r="J351" s="385"/>
      <c r="K351" s="384"/>
      <c r="L351" s="384"/>
      <c r="M351" s="384"/>
      <c r="N351" s="382"/>
      <c r="O351" s="410"/>
      <c r="P351" s="401"/>
      <c r="Q351" s="397"/>
      <c r="R351" s="385"/>
      <c r="S351" s="384"/>
      <c r="T351" s="384"/>
      <c r="U351" s="384"/>
      <c r="V351" s="382"/>
      <c r="W351" s="410"/>
      <c r="X351" s="401"/>
      <c r="Y351" s="397"/>
      <c r="Z351" s="385"/>
      <c r="AA351" s="384"/>
      <c r="AB351" s="384"/>
      <c r="AC351" s="384"/>
      <c r="AD351" s="382"/>
      <c r="AE351" s="410"/>
      <c r="AF351" s="401"/>
      <c r="AG351" s="397"/>
      <c r="AH351" s="385"/>
      <c r="AI351" s="384"/>
      <c r="AJ351" s="384"/>
      <c r="AK351" s="384"/>
      <c r="AL351" s="382"/>
      <c r="AM351" s="410"/>
      <c r="AN351" s="401"/>
    </row>
    <row r="352" spans="1:40" x14ac:dyDescent="0.25">
      <c r="A352" s="397"/>
      <c r="B352" s="412"/>
      <c r="C352" s="582"/>
      <c r="D352" s="582"/>
      <c r="E352" s="582"/>
      <c r="F352" s="580"/>
      <c r="G352" s="583"/>
      <c r="H352" s="401"/>
      <c r="I352" s="397"/>
      <c r="J352" s="412"/>
      <c r="K352" s="582"/>
      <c r="L352" s="582"/>
      <c r="M352" s="582"/>
      <c r="N352" s="580"/>
      <c r="O352" s="583"/>
      <c r="P352" s="401"/>
      <c r="Q352" s="397"/>
      <c r="R352" s="412"/>
      <c r="S352" s="582"/>
      <c r="T352" s="582"/>
      <c r="U352" s="582"/>
      <c r="V352" s="580"/>
      <c r="W352" s="583"/>
      <c r="X352" s="401"/>
      <c r="Y352" s="397"/>
      <c r="Z352" s="412"/>
      <c r="AA352" s="582"/>
      <c r="AB352" s="582"/>
      <c r="AC352" s="582"/>
      <c r="AD352" s="580"/>
      <c r="AE352" s="583"/>
      <c r="AF352" s="401"/>
      <c r="AG352" s="397"/>
      <c r="AH352" s="412"/>
      <c r="AI352" s="582"/>
      <c r="AJ352" s="582"/>
      <c r="AK352" s="582"/>
      <c r="AL352" s="580"/>
      <c r="AM352" s="583"/>
      <c r="AN352" s="401"/>
    </row>
    <row r="353" spans="1:40" ht="15.75" thickBot="1" x14ac:dyDescent="0.3">
      <c r="A353" s="397"/>
      <c r="B353" s="412"/>
      <c r="C353" s="582"/>
      <c r="D353" s="582"/>
      <c r="E353" s="582"/>
      <c r="F353" s="580"/>
      <c r="G353" s="583"/>
      <c r="H353" s="401"/>
      <c r="I353" s="397"/>
      <c r="J353" s="412"/>
      <c r="K353" s="582"/>
      <c r="L353" s="582"/>
      <c r="M353" s="582"/>
      <c r="N353" s="580"/>
      <c r="O353" s="583"/>
      <c r="P353" s="401"/>
      <c r="Q353" s="397"/>
      <c r="R353" s="412"/>
      <c r="S353" s="582"/>
      <c r="T353" s="582"/>
      <c r="U353" s="582"/>
      <c r="V353" s="580"/>
      <c r="W353" s="583"/>
      <c r="X353" s="401"/>
      <c r="Y353" s="397"/>
      <c r="Z353" s="412"/>
      <c r="AA353" s="582"/>
      <c r="AB353" s="582"/>
      <c r="AC353" s="582"/>
      <c r="AD353" s="580"/>
      <c r="AE353" s="583"/>
      <c r="AF353" s="401"/>
      <c r="AG353" s="397"/>
      <c r="AH353" s="412"/>
      <c r="AI353" s="582"/>
      <c r="AJ353" s="582"/>
      <c r="AK353" s="582"/>
      <c r="AL353" s="580"/>
      <c r="AM353" s="583"/>
      <c r="AN353" s="401"/>
    </row>
    <row r="354" spans="1:40" ht="15.75" thickBot="1" x14ac:dyDescent="0.3">
      <c r="A354" s="397"/>
      <c r="B354" s="427"/>
      <c r="C354" s="428"/>
      <c r="D354" s="428"/>
      <c r="E354" s="428"/>
      <c r="F354" s="428"/>
      <c r="G354" s="429"/>
      <c r="H354" s="416">
        <f>+SUM(G348:G354)</f>
        <v>1250600</v>
      </c>
      <c r="I354" s="397"/>
      <c r="J354" s="427"/>
      <c r="K354" s="428"/>
      <c r="L354" s="428"/>
      <c r="M354" s="428"/>
      <c r="N354" s="428"/>
      <c r="O354" s="429"/>
      <c r="P354" s="416">
        <f>+SUM(O348:O354)</f>
        <v>1530875</v>
      </c>
      <c r="Q354" s="397"/>
      <c r="R354" s="427"/>
      <c r="S354" s="428"/>
      <c r="T354" s="428"/>
      <c r="U354" s="428"/>
      <c r="V354" s="428"/>
      <c r="W354" s="429"/>
      <c r="X354" s="416">
        <f>+SUM(W348:W354)</f>
        <v>2007250</v>
      </c>
      <c r="Y354" s="397"/>
      <c r="Z354" s="427"/>
      <c r="AA354" s="428"/>
      <c r="AB354" s="428"/>
      <c r="AC354" s="428"/>
      <c r="AD354" s="428"/>
      <c r="AE354" s="429"/>
      <c r="AF354" s="416">
        <f>+SUM(AE348:AE354)</f>
        <v>2007250</v>
      </c>
      <c r="AG354" s="397"/>
      <c r="AH354" s="427"/>
      <c r="AI354" s="428"/>
      <c r="AJ354" s="428"/>
      <c r="AK354" s="428"/>
      <c r="AL354" s="428"/>
      <c r="AM354" s="429"/>
      <c r="AN354" s="416">
        <f>+SUM(AM348:AM354)</f>
        <v>945720</v>
      </c>
    </row>
    <row r="355" spans="1:40" ht="15.75" thickBot="1" x14ac:dyDescent="0.3">
      <c r="A355" s="397"/>
      <c r="B355" s="430"/>
      <c r="C355" s="430"/>
      <c r="D355" s="430"/>
      <c r="E355" s="430"/>
      <c r="F355" s="430"/>
      <c r="G355" s="401"/>
      <c r="H355" s="401"/>
      <c r="I355" s="397"/>
      <c r="J355" s="430"/>
      <c r="K355" s="430"/>
      <c r="L355" s="430"/>
      <c r="M355" s="430"/>
      <c r="N355" s="430"/>
      <c r="O355" s="401"/>
      <c r="P355" s="401"/>
      <c r="Q355" s="397"/>
      <c r="R355" s="430"/>
      <c r="S355" s="430"/>
      <c r="T355" s="430"/>
      <c r="U355" s="430"/>
      <c r="V355" s="430"/>
      <c r="W355" s="401"/>
      <c r="X355" s="401"/>
      <c r="Y355" s="397"/>
      <c r="Z355" s="430"/>
      <c r="AA355" s="430"/>
      <c r="AB355" s="430"/>
      <c r="AC355" s="430"/>
      <c r="AD355" s="430"/>
      <c r="AE355" s="401"/>
      <c r="AF355" s="401"/>
      <c r="AG355" s="397"/>
      <c r="AH355" s="430"/>
      <c r="AI355" s="430"/>
      <c r="AJ355" s="430"/>
      <c r="AK355" s="430"/>
      <c r="AL355" s="430"/>
      <c r="AM355" s="401"/>
      <c r="AN355" s="401"/>
    </row>
    <row r="356" spans="1:40" ht="15.75" thickBot="1" x14ac:dyDescent="0.3">
      <c r="A356" s="397"/>
      <c r="B356" s="430"/>
      <c r="C356" s="430"/>
      <c r="D356" s="430"/>
      <c r="E356" s="431" t="s">
        <v>5415</v>
      </c>
      <c r="F356" s="430"/>
      <c r="G356" s="401"/>
      <c r="H356" s="416">
        <f>+ROUND(H321+H341+H345+H354,0)</f>
        <v>41147116</v>
      </c>
      <c r="I356" s="397"/>
      <c r="J356" s="430"/>
      <c r="K356" s="430"/>
      <c r="L356" s="430"/>
      <c r="M356" s="431" t="s">
        <v>5415</v>
      </c>
      <c r="N356" s="430"/>
      <c r="O356" s="401"/>
      <c r="P356" s="416">
        <f>+ROUND(P321+P341+P345+P354,0)</f>
        <v>47459277</v>
      </c>
      <c r="Q356" s="397"/>
      <c r="R356" s="430"/>
      <c r="S356" s="430"/>
      <c r="T356" s="430"/>
      <c r="U356" s="431" t="s">
        <v>5415</v>
      </c>
      <c r="V356" s="430"/>
      <c r="W356" s="401"/>
      <c r="X356" s="416">
        <f>+ROUND(X321+X341+X345+X354,0)</f>
        <v>73783801</v>
      </c>
      <c r="Y356" s="397"/>
      <c r="Z356" s="430"/>
      <c r="AA356" s="430"/>
      <c r="AB356" s="430"/>
      <c r="AC356" s="431" t="s">
        <v>5415</v>
      </c>
      <c r="AD356" s="430"/>
      <c r="AE356" s="401"/>
      <c r="AF356" s="416">
        <f>+ROUND(AF321+AF341+AF345+AF354,0)</f>
        <v>79045238</v>
      </c>
      <c r="AG356" s="397"/>
      <c r="AH356" s="430"/>
      <c r="AI356" s="430"/>
      <c r="AJ356" s="430"/>
      <c r="AK356" s="431" t="s">
        <v>5415</v>
      </c>
      <c r="AL356" s="430"/>
      <c r="AM356" s="401"/>
      <c r="AN356" s="416">
        <f>+ROUND(AN321+AN341+AN345+AN354,0)</f>
        <v>65486828</v>
      </c>
    </row>
    <row r="359" spans="1:40" x14ac:dyDescent="0.25">
      <c r="P359" s="678"/>
    </row>
    <row r="361" spans="1:40" x14ac:dyDescent="0.25">
      <c r="A361" s="397"/>
      <c r="B361" s="2512" t="s">
        <v>5400</v>
      </c>
      <c r="C361" s="2512"/>
      <c r="D361" s="2512"/>
      <c r="E361" s="2512"/>
      <c r="F361" s="2512"/>
      <c r="G361" s="2512"/>
      <c r="H361" s="398"/>
      <c r="P361" s="678"/>
    </row>
    <row r="362" spans="1:40" x14ac:dyDescent="0.25">
      <c r="A362" s="397"/>
      <c r="B362" s="399"/>
      <c r="C362" s="399"/>
      <c r="D362" s="397"/>
      <c r="E362" s="397"/>
      <c r="F362" s="400"/>
      <c r="G362" s="401"/>
      <c r="H362" s="401"/>
    </row>
    <row r="363" spans="1:40" x14ac:dyDescent="0.25">
      <c r="A363" s="593" t="s">
        <v>5952</v>
      </c>
      <c r="B363" s="594">
        <v>9.1</v>
      </c>
      <c r="C363" s="2445" t="s">
        <v>6419</v>
      </c>
      <c r="D363" s="2445"/>
      <c r="E363" s="2445"/>
      <c r="F363" s="595" t="s">
        <v>867</v>
      </c>
      <c r="G363" s="139" t="s">
        <v>5424</v>
      </c>
      <c r="H363" s="134"/>
    </row>
    <row r="364" spans="1:40" x14ac:dyDescent="0.25">
      <c r="A364" s="404"/>
      <c r="B364" s="405"/>
      <c r="C364" s="604"/>
      <c r="D364" s="604"/>
      <c r="E364" s="604"/>
      <c r="F364" s="400"/>
      <c r="G364" s="142"/>
      <c r="H364" s="134"/>
    </row>
    <row r="365" spans="1:40" ht="15.75" thickBot="1" x14ac:dyDescent="0.3">
      <c r="A365" s="397"/>
      <c r="B365" s="397"/>
      <c r="C365" s="397"/>
      <c r="D365" s="397"/>
      <c r="E365" s="397"/>
      <c r="F365" s="400"/>
      <c r="G365" s="401"/>
      <c r="H365" s="401"/>
    </row>
    <row r="366" spans="1:40" ht="15.75" thickBot="1" x14ac:dyDescent="0.3">
      <c r="A366" s="397"/>
      <c r="B366" s="407" t="s">
        <v>5403</v>
      </c>
      <c r="C366" s="408" t="s">
        <v>867</v>
      </c>
      <c r="D366" s="408" t="s">
        <v>6</v>
      </c>
      <c r="E366" s="408" t="s">
        <v>5439</v>
      </c>
      <c r="F366" s="408" t="s">
        <v>5405</v>
      </c>
      <c r="G366" s="409" t="s">
        <v>868</v>
      </c>
      <c r="H366" s="401"/>
    </row>
    <row r="367" spans="1:40" x14ac:dyDescent="0.25">
      <c r="A367" s="397"/>
      <c r="B367" s="381" t="s">
        <v>5934</v>
      </c>
      <c r="C367" s="382"/>
      <c r="D367" s="383"/>
      <c r="E367" s="384"/>
      <c r="F367" s="383"/>
      <c r="G367" s="410">
        <f>0.05*H398</f>
        <v>1105.9916666666668</v>
      </c>
      <c r="H367" s="401"/>
    </row>
    <row r="368" spans="1:40" x14ac:dyDescent="0.25">
      <c r="A368" s="397"/>
      <c r="B368" s="385"/>
      <c r="C368" s="386"/>
      <c r="D368" s="387"/>
      <c r="E368" s="388"/>
      <c r="F368" s="387"/>
      <c r="G368" s="411"/>
      <c r="H368" s="401"/>
    </row>
    <row r="369" spans="1:8" x14ac:dyDescent="0.25">
      <c r="A369" s="397"/>
      <c r="B369" s="385"/>
      <c r="C369" s="386"/>
      <c r="D369" s="387"/>
      <c r="E369" s="388"/>
      <c r="F369" s="387"/>
      <c r="G369" s="411"/>
      <c r="H369" s="401"/>
    </row>
    <row r="370" spans="1:8" x14ac:dyDescent="0.25">
      <c r="A370" s="397"/>
      <c r="B370" s="385"/>
      <c r="C370" s="386"/>
      <c r="D370" s="387"/>
      <c r="E370" s="388"/>
      <c r="F370" s="387"/>
      <c r="G370" s="411"/>
      <c r="H370" s="401"/>
    </row>
    <row r="371" spans="1:8" x14ac:dyDescent="0.25">
      <c r="A371" s="397"/>
      <c r="B371" s="385"/>
      <c r="C371" s="386"/>
      <c r="D371" s="387"/>
      <c r="E371" s="388"/>
      <c r="F371" s="387"/>
      <c r="G371" s="411"/>
      <c r="H371" s="401"/>
    </row>
    <row r="372" spans="1:8" ht="15.75" thickBot="1" x14ac:dyDescent="0.3">
      <c r="A372" s="397"/>
      <c r="B372" s="385"/>
      <c r="C372" s="386"/>
      <c r="D372" s="387"/>
      <c r="E372" s="387"/>
      <c r="F372" s="387"/>
      <c r="G372" s="411"/>
      <c r="H372" s="401"/>
    </row>
    <row r="373" spans="1:8" ht="15.75" thickBot="1" x14ac:dyDescent="0.3">
      <c r="A373" s="397"/>
      <c r="B373" s="412"/>
      <c r="C373" s="413"/>
      <c r="D373" s="414"/>
      <c r="E373" s="414"/>
      <c r="F373" s="414"/>
      <c r="G373" s="415"/>
      <c r="H373" s="416">
        <f>+SUM(G367:G373)</f>
        <v>1105.9916666666668</v>
      </c>
    </row>
    <row r="374" spans="1:8" ht="15.75" thickBot="1" x14ac:dyDescent="0.3">
      <c r="A374" s="397"/>
      <c r="B374" s="417"/>
      <c r="C374" s="418"/>
      <c r="D374" s="417"/>
      <c r="E374" s="417"/>
      <c r="F374" s="417"/>
      <c r="G374" s="419"/>
      <c r="H374" s="420"/>
    </row>
    <row r="375" spans="1:8" ht="15.75" thickBot="1" x14ac:dyDescent="0.3">
      <c r="A375" s="397"/>
      <c r="B375" s="407" t="s">
        <v>5408</v>
      </c>
      <c r="C375" s="408" t="s">
        <v>867</v>
      </c>
      <c r="D375" s="408" t="s">
        <v>6</v>
      </c>
      <c r="E375" s="408" t="s">
        <v>870</v>
      </c>
      <c r="F375" s="408" t="s">
        <v>5409</v>
      </c>
      <c r="G375" s="409" t="s">
        <v>868</v>
      </c>
      <c r="H375" s="401"/>
    </row>
    <row r="376" spans="1:8" x14ac:dyDescent="0.25">
      <c r="A376" s="397"/>
      <c r="B376" s="389" t="s">
        <v>6337</v>
      </c>
      <c r="C376" s="212" t="s">
        <v>6421</v>
      </c>
      <c r="D376" s="167">
        <f>1.4*1.4*1.4</f>
        <v>2.7439999999999993</v>
      </c>
      <c r="E376" s="345">
        <f>+'APU CAP 1-2'!$H$1150</f>
        <v>22263</v>
      </c>
      <c r="F376" s="169">
        <v>0.05</v>
      </c>
      <c r="G376" s="172">
        <f>+D376*E376*(1+F376)</f>
        <v>64144.155599999984</v>
      </c>
      <c r="H376" s="401"/>
    </row>
    <row r="377" spans="1:8" x14ac:dyDescent="0.25">
      <c r="A377" s="397"/>
      <c r="B377" s="391" t="s">
        <v>6345</v>
      </c>
      <c r="C377" s="212" t="s">
        <v>6421</v>
      </c>
      <c r="D377" s="167">
        <f>1.4*1.4*0.05</f>
        <v>9.799999999999999E-2</v>
      </c>
      <c r="E377" s="346">
        <f>+'APU CAP 5'!$H$160</f>
        <v>301336.95833333331</v>
      </c>
      <c r="F377" s="169">
        <v>0.05</v>
      </c>
      <c r="G377" s="172">
        <f t="shared" ref="G377:G384" si="37">+D377*E377*(1+F377)</f>
        <v>31007.573012499997</v>
      </c>
      <c r="H377" s="401"/>
    </row>
    <row r="378" spans="1:8" x14ac:dyDescent="0.25">
      <c r="A378" s="397"/>
      <c r="B378" s="385" t="s">
        <v>6338</v>
      </c>
      <c r="C378" s="212" t="s">
        <v>6421</v>
      </c>
      <c r="D378" s="167">
        <f>1.4*1.4*0.2</f>
        <v>0.39199999999999996</v>
      </c>
      <c r="E378" s="384">
        <f>+'APU CAP 5'!$H$538</f>
        <v>554067</v>
      </c>
      <c r="F378" s="169">
        <v>0.05</v>
      </c>
      <c r="G378" s="172">
        <f t="shared" si="37"/>
        <v>228053.97719999996</v>
      </c>
      <c r="H378" s="401"/>
    </row>
    <row r="379" spans="1:8" x14ac:dyDescent="0.25">
      <c r="A379" s="404"/>
      <c r="B379" s="385" t="s">
        <v>6339</v>
      </c>
      <c r="C379" s="212" t="s">
        <v>6421</v>
      </c>
      <c r="D379" s="197">
        <f>3.8*1.4*0.2+1*0.8*0.2</f>
        <v>1.2239999999999998</v>
      </c>
      <c r="E379" s="395">
        <f>+'APU CAP 5'!$P$538</f>
        <v>669769.71428571432</v>
      </c>
      <c r="F379" s="169">
        <v>0.05</v>
      </c>
      <c r="G379" s="172">
        <f t="shared" si="37"/>
        <v>860788.03679999989</v>
      </c>
      <c r="H379" s="134"/>
    </row>
    <row r="380" spans="1:8" x14ac:dyDescent="0.25">
      <c r="A380" s="397"/>
      <c r="B380" s="385" t="s">
        <v>5741</v>
      </c>
      <c r="C380" s="212" t="s">
        <v>5550</v>
      </c>
      <c r="D380" s="386">
        <f>1.6*150</f>
        <v>240</v>
      </c>
      <c r="E380" s="384">
        <f>+'APU CAP 5'!$H$970</f>
        <v>3455</v>
      </c>
      <c r="F380" s="169">
        <v>0.05</v>
      </c>
      <c r="G380" s="172">
        <f t="shared" si="37"/>
        <v>870660</v>
      </c>
      <c r="H380" s="401"/>
    </row>
    <row r="381" spans="1:8" x14ac:dyDescent="0.25">
      <c r="A381" s="397"/>
      <c r="B381" s="385" t="s">
        <v>5750</v>
      </c>
      <c r="C381" s="212" t="s">
        <v>5550</v>
      </c>
      <c r="D381" s="386">
        <v>4</v>
      </c>
      <c r="E381" s="421">
        <f>+'APU CAP 5'!$H$1078</f>
        <v>8894</v>
      </c>
      <c r="F381" s="169">
        <v>0.05</v>
      </c>
      <c r="G381" s="172">
        <f t="shared" si="37"/>
        <v>37354.800000000003</v>
      </c>
      <c r="H381" s="401"/>
    </row>
    <row r="382" spans="1:8" x14ac:dyDescent="0.25">
      <c r="A382" s="397"/>
      <c r="B382" s="385" t="s">
        <v>6340</v>
      </c>
      <c r="C382" s="212" t="s">
        <v>5402</v>
      </c>
      <c r="D382" s="386">
        <v>6</v>
      </c>
      <c r="E382" s="388">
        <f>+'APU CAP 5'!$H$1240</f>
        <v>31320</v>
      </c>
      <c r="F382" s="169">
        <v>0.05</v>
      </c>
      <c r="G382" s="172">
        <f t="shared" si="37"/>
        <v>197316</v>
      </c>
      <c r="H382" s="401"/>
    </row>
    <row r="383" spans="1:8" x14ac:dyDescent="0.25">
      <c r="A383" s="397"/>
      <c r="B383" s="385" t="s">
        <v>6341</v>
      </c>
      <c r="C383" s="212" t="s">
        <v>6421</v>
      </c>
      <c r="D383" s="386">
        <v>1</v>
      </c>
      <c r="E383" s="388">
        <f>+'APU CAP 1-2'!$H$2745</f>
        <v>11097</v>
      </c>
      <c r="F383" s="169">
        <v>0.05</v>
      </c>
      <c r="G383" s="172">
        <f t="shared" si="37"/>
        <v>11651.85</v>
      </c>
      <c r="H383" s="401">
        <f>SUM(G376:G383)</f>
        <v>2300976.3926124997</v>
      </c>
    </row>
    <row r="384" spans="1:8" ht="15.75" thickBot="1" x14ac:dyDescent="0.3">
      <c r="A384" s="397"/>
      <c r="B384" s="385" t="s">
        <v>6578</v>
      </c>
      <c r="C384" s="386" t="s">
        <v>5424</v>
      </c>
      <c r="D384" s="386">
        <v>1</v>
      </c>
      <c r="E384" s="388">
        <f>+E229</f>
        <v>470145</v>
      </c>
      <c r="F384" s="396"/>
      <c r="G384" s="172">
        <f t="shared" si="37"/>
        <v>470145</v>
      </c>
      <c r="H384" s="401"/>
    </row>
    <row r="385" spans="1:8" ht="15.75" thickBot="1" x14ac:dyDescent="0.3">
      <c r="A385" s="397"/>
      <c r="B385" s="412"/>
      <c r="C385" s="413"/>
      <c r="D385" s="413"/>
      <c r="E385" s="423"/>
      <c r="F385" s="597"/>
      <c r="G385" s="410"/>
      <c r="H385" s="416">
        <f>+SUM(G376:G385)</f>
        <v>2771121.3926124997</v>
      </c>
    </row>
    <row r="386" spans="1:8" ht="15.75" thickBot="1" x14ac:dyDescent="0.3">
      <c r="A386" s="397"/>
      <c r="B386" s="417"/>
      <c r="C386" s="417"/>
      <c r="D386" s="417"/>
      <c r="E386" s="417"/>
      <c r="F386" s="417"/>
      <c r="G386" s="419"/>
      <c r="H386" s="420"/>
    </row>
    <row r="387" spans="1:8" ht="15.75" thickBot="1" x14ac:dyDescent="0.3">
      <c r="A387" s="397"/>
      <c r="B387" s="407" t="s">
        <v>5410</v>
      </c>
      <c r="C387" s="408" t="s">
        <v>867</v>
      </c>
      <c r="D387" s="408" t="s">
        <v>6</v>
      </c>
      <c r="E387" s="408" t="s">
        <v>870</v>
      </c>
      <c r="F387" s="408" t="s">
        <v>5411</v>
      </c>
      <c r="G387" s="409" t="s">
        <v>868</v>
      </c>
      <c r="H387" s="401"/>
    </row>
    <row r="388" spans="1:8" ht="15.75" thickBot="1" x14ac:dyDescent="0.3">
      <c r="A388" s="397"/>
      <c r="B388" s="579"/>
      <c r="C388" s="580"/>
      <c r="D388" s="580"/>
      <c r="E388" s="580"/>
      <c r="F388" s="580"/>
      <c r="G388" s="581"/>
      <c r="H388" s="401"/>
    </row>
    <row r="389" spans="1:8" ht="15.75" thickBot="1" x14ac:dyDescent="0.3">
      <c r="A389" s="397"/>
      <c r="B389" s="412"/>
      <c r="C389" s="414"/>
      <c r="D389" s="414"/>
      <c r="E389" s="414"/>
      <c r="F389" s="414"/>
      <c r="G389" s="415"/>
      <c r="H389" s="416">
        <f>+SUM(G389:G389)</f>
        <v>0</v>
      </c>
    </row>
    <row r="390" spans="1:8" ht="15.75" thickBot="1" x14ac:dyDescent="0.3">
      <c r="A390" s="397"/>
      <c r="B390" s="417"/>
      <c r="C390" s="417"/>
      <c r="D390" s="417"/>
      <c r="E390" s="417"/>
      <c r="F390" s="425"/>
      <c r="G390" s="426"/>
      <c r="H390" s="420"/>
    </row>
    <row r="391" spans="1:8" ht="15.75" thickBot="1" x14ac:dyDescent="0.3">
      <c r="A391" s="397"/>
      <c r="B391" s="407" t="s">
        <v>5412</v>
      </c>
      <c r="C391" s="408" t="s">
        <v>5420</v>
      </c>
      <c r="D391" s="408" t="s">
        <v>5421</v>
      </c>
      <c r="E391" s="408" t="s">
        <v>5413</v>
      </c>
      <c r="F391" s="408" t="s">
        <v>5405</v>
      </c>
      <c r="G391" s="409" t="s">
        <v>868</v>
      </c>
      <c r="H391" s="401"/>
    </row>
    <row r="392" spans="1:8" x14ac:dyDescent="0.25">
      <c r="A392" s="397"/>
      <c r="B392" s="381" t="s">
        <v>5948</v>
      </c>
      <c r="C392" s="345">
        <v>70000</v>
      </c>
      <c r="D392" s="384">
        <f>+C392*0.85</f>
        <v>59500</v>
      </c>
      <c r="E392" s="384">
        <f>+C392+D392</f>
        <v>129500</v>
      </c>
      <c r="F392" s="382">
        <v>500</v>
      </c>
      <c r="G392" s="410">
        <f>+E392/F392</f>
        <v>259</v>
      </c>
      <c r="H392" s="401"/>
    </row>
    <row r="393" spans="1:8" x14ac:dyDescent="0.25">
      <c r="A393" s="397"/>
      <c r="B393" s="385" t="s">
        <v>5949</v>
      </c>
      <c r="C393" s="345">
        <v>40000</v>
      </c>
      <c r="D393" s="384">
        <f>+C393*0.85</f>
        <v>34000</v>
      </c>
      <c r="E393" s="384">
        <f>+C393+D393</f>
        <v>74000</v>
      </c>
      <c r="F393" s="382">
        <v>6</v>
      </c>
      <c r="G393" s="410">
        <f>+E393/F393</f>
        <v>12333.333333333334</v>
      </c>
      <c r="H393" s="401"/>
    </row>
    <row r="394" spans="1:8" x14ac:dyDescent="0.25">
      <c r="A394" s="397"/>
      <c r="B394" s="385" t="s">
        <v>5950</v>
      </c>
      <c r="C394" s="345">
        <v>20600</v>
      </c>
      <c r="D394" s="384">
        <f>+C394*0.85</f>
        <v>17510</v>
      </c>
      <c r="E394" s="384">
        <f>+C394+D394</f>
        <v>38110</v>
      </c>
      <c r="F394" s="382">
        <v>4</v>
      </c>
      <c r="G394" s="410">
        <f>+E394/F394</f>
        <v>9527.5</v>
      </c>
      <c r="H394" s="401"/>
    </row>
    <row r="395" spans="1:8" x14ac:dyDescent="0.25">
      <c r="A395" s="397"/>
      <c r="B395" s="385"/>
      <c r="C395" s="384"/>
      <c r="D395" s="384"/>
      <c r="E395" s="384"/>
      <c r="F395" s="382"/>
      <c r="G395" s="410"/>
      <c r="H395" s="401"/>
    </row>
    <row r="396" spans="1:8" x14ac:dyDescent="0.25">
      <c r="A396" s="397"/>
      <c r="B396" s="412"/>
      <c r="C396" s="582"/>
      <c r="D396" s="582"/>
      <c r="E396" s="582"/>
      <c r="F396" s="580"/>
      <c r="G396" s="583"/>
      <c r="H396" s="401"/>
    </row>
    <row r="397" spans="1:8" ht="15.75" thickBot="1" x14ac:dyDescent="0.3">
      <c r="A397" s="397"/>
      <c r="B397" s="412"/>
      <c r="C397" s="582"/>
      <c r="D397" s="582"/>
      <c r="E397" s="582"/>
      <c r="F397" s="580"/>
      <c r="G397" s="583"/>
      <c r="H397" s="401"/>
    </row>
    <row r="398" spans="1:8" ht="15.75" thickBot="1" x14ac:dyDescent="0.3">
      <c r="A398" s="397"/>
      <c r="B398" s="427"/>
      <c r="C398" s="428"/>
      <c r="D398" s="428"/>
      <c r="E398" s="428"/>
      <c r="F398" s="428"/>
      <c r="G398" s="429"/>
      <c r="H398" s="416">
        <f>+SUM(G392:G398)</f>
        <v>22119.833333333336</v>
      </c>
    </row>
    <row r="399" spans="1:8" ht="15.75" thickBot="1" x14ac:dyDescent="0.3">
      <c r="A399" s="397"/>
      <c r="B399" s="430"/>
      <c r="C399" s="430"/>
      <c r="D399" s="430"/>
      <c r="E399" s="430"/>
      <c r="F399" s="430"/>
      <c r="G399" s="401"/>
      <c r="H399" s="401"/>
    </row>
    <row r="400" spans="1:8" ht="15.75" thickBot="1" x14ac:dyDescent="0.3">
      <c r="A400" s="397"/>
      <c r="B400" s="430"/>
      <c r="C400" s="430"/>
      <c r="D400" s="430"/>
      <c r="E400" s="431" t="s">
        <v>5415</v>
      </c>
      <c r="F400" s="430"/>
      <c r="G400" s="401"/>
      <c r="H400" s="416">
        <f>+ROUND(H373+H385+H389+H398,0)</f>
        <v>2794347</v>
      </c>
    </row>
    <row r="405" spans="1:8" x14ac:dyDescent="0.25">
      <c r="A405" s="397"/>
      <c r="B405" s="2512" t="s">
        <v>5400</v>
      </c>
      <c r="C405" s="2512"/>
      <c r="D405" s="2512"/>
      <c r="E405" s="2512"/>
      <c r="F405" s="2512"/>
      <c r="G405" s="2512"/>
      <c r="H405" s="398"/>
    </row>
    <row r="406" spans="1:8" x14ac:dyDescent="0.25">
      <c r="A406" s="397"/>
      <c r="B406" s="399"/>
      <c r="C406" s="399"/>
      <c r="D406" s="397"/>
      <c r="E406" s="397"/>
      <c r="F406" s="400"/>
      <c r="G406" s="401"/>
      <c r="H406" s="401"/>
    </row>
    <row r="407" spans="1:8" x14ac:dyDescent="0.25">
      <c r="A407" s="593" t="s">
        <v>5952</v>
      </c>
      <c r="B407" s="594">
        <v>9.1</v>
      </c>
      <c r="C407" s="2445" t="s">
        <v>6420</v>
      </c>
      <c r="D407" s="2445"/>
      <c r="E407" s="2445"/>
      <c r="F407" s="595" t="s">
        <v>867</v>
      </c>
      <c r="G407" s="139" t="s">
        <v>5424</v>
      </c>
      <c r="H407" s="134"/>
    </row>
    <row r="408" spans="1:8" x14ac:dyDescent="0.25">
      <c r="A408" s="404"/>
      <c r="B408" s="405"/>
      <c r="C408" s="604"/>
      <c r="D408" s="604"/>
      <c r="E408" s="604"/>
      <c r="F408" s="400"/>
      <c r="G408" s="142"/>
      <c r="H408" s="134"/>
    </row>
    <row r="409" spans="1:8" ht="15.75" thickBot="1" x14ac:dyDescent="0.3">
      <c r="A409" s="397"/>
      <c r="B409" s="397"/>
      <c r="C409" s="397"/>
      <c r="D409" s="397"/>
      <c r="E409" s="397"/>
      <c r="F409" s="400"/>
      <c r="G409" s="401"/>
      <c r="H409" s="401"/>
    </row>
    <row r="410" spans="1:8" ht="15.75" thickBot="1" x14ac:dyDescent="0.3">
      <c r="A410" s="397"/>
      <c r="B410" s="407" t="s">
        <v>5403</v>
      </c>
      <c r="C410" s="408" t="s">
        <v>867</v>
      </c>
      <c r="D410" s="408" t="s">
        <v>6</v>
      </c>
      <c r="E410" s="408" t="s">
        <v>5439</v>
      </c>
      <c r="F410" s="408" t="s">
        <v>5405</v>
      </c>
      <c r="G410" s="409" t="s">
        <v>868</v>
      </c>
      <c r="H410" s="401"/>
    </row>
    <row r="411" spans="1:8" x14ac:dyDescent="0.25">
      <c r="A411" s="397"/>
      <c r="B411" s="381" t="s">
        <v>5934</v>
      </c>
      <c r="C411" s="382"/>
      <c r="D411" s="383"/>
      <c r="E411" s="384"/>
      <c r="F411" s="383"/>
      <c r="G411" s="410">
        <f>0.05*H468</f>
        <v>625300</v>
      </c>
      <c r="H411" s="401"/>
    </row>
    <row r="412" spans="1:8" ht="15.75" thickBot="1" x14ac:dyDescent="0.3">
      <c r="A412" s="397"/>
      <c r="B412" s="385"/>
      <c r="C412" s="386"/>
      <c r="D412" s="387"/>
      <c r="E412" s="388"/>
      <c r="F412" s="387"/>
      <c r="G412" s="411"/>
      <c r="H412" s="401"/>
    </row>
    <row r="413" spans="1:8" ht="15.75" thickBot="1" x14ac:dyDescent="0.3">
      <c r="A413" s="397"/>
      <c r="B413" s="412"/>
      <c r="C413" s="413"/>
      <c r="D413" s="414"/>
      <c r="E413" s="414"/>
      <c r="F413" s="414"/>
      <c r="G413" s="415"/>
      <c r="H413" s="416">
        <f>+SUM(G411:G413)</f>
        <v>625300</v>
      </c>
    </row>
    <row r="414" spans="1:8" ht="15.75" thickBot="1" x14ac:dyDescent="0.3">
      <c r="A414" s="397"/>
      <c r="B414" s="417"/>
      <c r="C414" s="418"/>
      <c r="D414" s="417"/>
      <c r="E414" s="417"/>
      <c r="F414" s="417"/>
      <c r="G414" s="419"/>
      <c r="H414" s="420"/>
    </row>
    <row r="415" spans="1:8" ht="15.75" thickBot="1" x14ac:dyDescent="0.3">
      <c r="A415" s="397"/>
      <c r="B415" s="407" t="s">
        <v>5408</v>
      </c>
      <c r="C415" s="408" t="s">
        <v>867</v>
      </c>
      <c r="D415" s="408" t="s">
        <v>6</v>
      </c>
      <c r="E415" s="408" t="s">
        <v>870</v>
      </c>
      <c r="F415" s="408" t="s">
        <v>5409</v>
      </c>
      <c r="G415" s="409" t="s">
        <v>868</v>
      </c>
      <c r="H415" s="401"/>
    </row>
    <row r="416" spans="1:8" x14ac:dyDescent="0.25">
      <c r="A416" s="397"/>
      <c r="B416" s="389" t="s">
        <v>6337</v>
      </c>
      <c r="C416" s="212" t="s">
        <v>6421</v>
      </c>
      <c r="D416" s="211">
        <v>204.4</v>
      </c>
      <c r="E416" s="345">
        <f>+'APU CAP 1-2'!$H$1150</f>
        <v>22263</v>
      </c>
      <c r="F416" s="169">
        <v>0.05</v>
      </c>
      <c r="G416" s="172">
        <f>+D416*E416*(1+F416)</f>
        <v>4778085.0600000005</v>
      </c>
      <c r="H416" s="401"/>
    </row>
    <row r="417" spans="1:8" x14ac:dyDescent="0.25">
      <c r="A417" s="397"/>
      <c r="B417" s="391" t="s">
        <v>6345</v>
      </c>
      <c r="C417" s="212" t="s">
        <v>6421</v>
      </c>
      <c r="D417" s="212">
        <v>2.2999999999999998</v>
      </c>
      <c r="E417" s="346">
        <f>+'APU CAP 5'!$H$160</f>
        <v>301336.95833333331</v>
      </c>
      <c r="F417" s="169">
        <v>0.05</v>
      </c>
      <c r="G417" s="172">
        <f t="shared" ref="G417:G455" si="38">+D417*E417*(1+F417)</f>
        <v>727728.7543749999</v>
      </c>
      <c r="H417" s="401"/>
    </row>
    <row r="418" spans="1:8" x14ac:dyDescent="0.25">
      <c r="A418" s="397"/>
      <c r="B418" s="385" t="s">
        <v>6338</v>
      </c>
      <c r="C418" s="212" t="s">
        <v>6421</v>
      </c>
      <c r="D418" s="386">
        <v>28.9</v>
      </c>
      <c r="E418" s="384">
        <f>+'APU CAP 5'!$H$538</f>
        <v>554067</v>
      </c>
      <c r="F418" s="169">
        <v>0.05</v>
      </c>
      <c r="G418" s="172">
        <f t="shared" si="38"/>
        <v>16813163.114999998</v>
      </c>
      <c r="H418" s="401"/>
    </row>
    <row r="419" spans="1:8" x14ac:dyDescent="0.25">
      <c r="A419" s="404"/>
      <c r="B419" s="385" t="s">
        <v>6339</v>
      </c>
      <c r="C419" s="212" t="s">
        <v>6421</v>
      </c>
      <c r="D419" s="212">
        <v>42.2</v>
      </c>
      <c r="E419" s="395">
        <f>+'APU CAP 5'!$P$538</f>
        <v>669769.71428571432</v>
      </c>
      <c r="F419" s="169">
        <v>0.05</v>
      </c>
      <c r="G419" s="172">
        <f t="shared" si="38"/>
        <v>29677496.040000007</v>
      </c>
      <c r="H419" s="134"/>
    </row>
    <row r="420" spans="1:8" x14ac:dyDescent="0.25">
      <c r="A420" s="397"/>
      <c r="B420" s="385" t="s">
        <v>5741</v>
      </c>
      <c r="C420" s="386" t="s">
        <v>5550</v>
      </c>
      <c r="D420" s="386">
        <v>10646</v>
      </c>
      <c r="E420" s="384">
        <f>+'APU CAP 5'!$H$970</f>
        <v>3455</v>
      </c>
      <c r="F420" s="169">
        <v>0.05</v>
      </c>
      <c r="G420" s="172">
        <f t="shared" si="38"/>
        <v>38621026.5</v>
      </c>
      <c r="H420" s="401"/>
    </row>
    <row r="421" spans="1:8" x14ac:dyDescent="0.25">
      <c r="A421" s="397"/>
      <c r="B421" s="385" t="s">
        <v>5750</v>
      </c>
      <c r="C421" s="386" t="s">
        <v>5550</v>
      </c>
      <c r="D421" s="609">
        <f>0.005*450*(D418+33.2)</f>
        <v>139.72499999999999</v>
      </c>
      <c r="E421" s="421">
        <f>+'APU CAP 5'!$H$1078</f>
        <v>8894</v>
      </c>
      <c r="F421" s="169">
        <v>0.05</v>
      </c>
      <c r="G421" s="172">
        <f t="shared" si="38"/>
        <v>1304849.8574999999</v>
      </c>
      <c r="H421" s="401"/>
    </row>
    <row r="422" spans="1:8" x14ac:dyDescent="0.25">
      <c r="A422" s="397"/>
      <c r="B422" s="385" t="s">
        <v>6340</v>
      </c>
      <c r="C422" s="386" t="s">
        <v>5402</v>
      </c>
      <c r="D422" s="386"/>
      <c r="E422" s="388">
        <f>+'APU CAP 5'!$H$1240</f>
        <v>31320</v>
      </c>
      <c r="F422" s="169">
        <v>0.05</v>
      </c>
      <c r="G422" s="172">
        <f t="shared" si="38"/>
        <v>0</v>
      </c>
      <c r="H422" s="401"/>
    </row>
    <row r="423" spans="1:8" x14ac:dyDescent="0.25">
      <c r="A423" s="397"/>
      <c r="B423" s="385" t="s">
        <v>6341</v>
      </c>
      <c r="C423" s="212" t="s">
        <v>6421</v>
      </c>
      <c r="D423" s="386">
        <v>9.3000000000000007</v>
      </c>
      <c r="E423" s="388">
        <f>+'APU CAP 1-2'!$H$2800</f>
        <v>62337</v>
      </c>
      <c r="F423" s="169">
        <v>0.05</v>
      </c>
      <c r="G423" s="172">
        <f t="shared" si="38"/>
        <v>608720.80500000017</v>
      </c>
      <c r="H423" s="401">
        <f>SUM(G416:G423)</f>
        <v>92531070.131875023</v>
      </c>
    </row>
    <row r="424" spans="1:8" x14ac:dyDescent="0.25">
      <c r="A424" s="397"/>
      <c r="B424" s="385" t="s">
        <v>6422</v>
      </c>
      <c r="C424" s="386" t="s">
        <v>5424</v>
      </c>
      <c r="D424" s="386">
        <v>15</v>
      </c>
      <c r="E424" s="388">
        <f>+SUM!H2109</f>
        <v>932136</v>
      </c>
      <c r="F424" s="396"/>
      <c r="G424" s="172">
        <f t="shared" si="38"/>
        <v>13982040</v>
      </c>
      <c r="H424" s="401"/>
    </row>
    <row r="425" spans="1:8" x14ac:dyDescent="0.25">
      <c r="A425" s="397"/>
      <c r="B425" s="385" t="s">
        <v>6423</v>
      </c>
      <c r="C425" s="386" t="s">
        <v>5424</v>
      </c>
      <c r="D425" s="386">
        <v>3</v>
      </c>
      <c r="E425" s="388">
        <f>+SUM!H2114</f>
        <v>1431807</v>
      </c>
      <c r="F425" s="396"/>
      <c r="G425" s="172">
        <f t="shared" si="38"/>
        <v>4295421</v>
      </c>
      <c r="H425" s="401"/>
    </row>
    <row r="426" spans="1:8" x14ac:dyDescent="0.25">
      <c r="A426" s="397"/>
      <c r="B426" s="385" t="s">
        <v>6424</v>
      </c>
      <c r="C426" s="386" t="s">
        <v>5424</v>
      </c>
      <c r="D426" s="386">
        <v>1</v>
      </c>
      <c r="E426" s="388">
        <f>+E425*2</f>
        <v>2863614</v>
      </c>
      <c r="F426" s="396"/>
      <c r="G426" s="172">
        <f t="shared" si="38"/>
        <v>2863614</v>
      </c>
      <c r="H426" s="401"/>
    </row>
    <row r="427" spans="1:8" x14ac:dyDescent="0.25">
      <c r="A427" s="397"/>
      <c r="B427" s="385" t="s">
        <v>6425</v>
      </c>
      <c r="C427" s="386" t="s">
        <v>5424</v>
      </c>
      <c r="D427" s="386">
        <v>1</v>
      </c>
      <c r="E427" s="388">
        <f>+SUM!H2121</f>
        <v>2675780</v>
      </c>
      <c r="F427" s="396"/>
      <c r="G427" s="172">
        <f t="shared" si="38"/>
        <v>2675780</v>
      </c>
      <c r="H427" s="401"/>
    </row>
    <row r="428" spans="1:8" x14ac:dyDescent="0.25">
      <c r="A428" s="397"/>
      <c r="B428" s="385" t="s">
        <v>6561</v>
      </c>
      <c r="C428" s="386" t="s">
        <v>5424</v>
      </c>
      <c r="D428" s="386">
        <v>1</v>
      </c>
      <c r="E428" s="388">
        <f>+SUM!H865</f>
        <v>695939</v>
      </c>
      <c r="F428" s="396"/>
      <c r="G428" s="172">
        <f t="shared" si="38"/>
        <v>695939</v>
      </c>
      <c r="H428" s="401"/>
    </row>
    <row r="429" spans="1:8" x14ac:dyDescent="0.25">
      <c r="A429" s="397"/>
      <c r="B429" s="385" t="s">
        <v>6426</v>
      </c>
      <c r="C429" s="386" t="s">
        <v>5424</v>
      </c>
      <c r="D429" s="386">
        <v>13</v>
      </c>
      <c r="E429" s="388">
        <f>+SUM!H873</f>
        <v>690667</v>
      </c>
      <c r="F429" s="396"/>
      <c r="G429" s="172">
        <f t="shared" si="38"/>
        <v>8978671</v>
      </c>
      <c r="H429" s="401"/>
    </row>
    <row r="430" spans="1:8" x14ac:dyDescent="0.25">
      <c r="A430" s="397"/>
      <c r="B430" s="385" t="s">
        <v>6427</v>
      </c>
      <c r="C430" s="386" t="s">
        <v>5424</v>
      </c>
      <c r="D430" s="386">
        <v>1</v>
      </c>
      <c r="E430" s="388">
        <f>+SUM!H892</f>
        <v>865495</v>
      </c>
      <c r="F430" s="396"/>
      <c r="G430" s="172">
        <f t="shared" si="38"/>
        <v>865495</v>
      </c>
      <c r="H430" s="401"/>
    </row>
    <row r="431" spans="1:8" x14ac:dyDescent="0.25">
      <c r="A431" s="397"/>
      <c r="B431" s="385" t="s">
        <v>6428</v>
      </c>
      <c r="C431" s="386" t="s">
        <v>5424</v>
      </c>
      <c r="D431" s="386">
        <v>1</v>
      </c>
      <c r="E431" s="388">
        <f>+SUM!H893</f>
        <v>1217893</v>
      </c>
      <c r="F431" s="396"/>
      <c r="G431" s="172">
        <f t="shared" si="38"/>
        <v>1217893</v>
      </c>
      <c r="H431" s="401"/>
    </row>
    <row r="432" spans="1:8" x14ac:dyDescent="0.25">
      <c r="A432" s="397"/>
      <c r="B432" s="385" t="s">
        <v>6429</v>
      </c>
      <c r="C432" s="386" t="s">
        <v>5424</v>
      </c>
      <c r="D432" s="386">
        <v>6</v>
      </c>
      <c r="E432" s="388">
        <f>+SUM!H895</f>
        <v>2119451</v>
      </c>
      <c r="F432" s="396"/>
      <c r="G432" s="172">
        <f t="shared" si="38"/>
        <v>12716706</v>
      </c>
      <c r="H432" s="401"/>
    </row>
    <row r="433" spans="1:8" x14ac:dyDescent="0.25">
      <c r="A433" s="397"/>
      <c r="B433" s="385" t="s">
        <v>6430</v>
      </c>
      <c r="C433" s="386" t="s">
        <v>5424</v>
      </c>
      <c r="D433" s="386">
        <v>1</v>
      </c>
      <c r="E433" s="388">
        <f>+SUM!H901</f>
        <v>5725680</v>
      </c>
      <c r="F433" s="396"/>
      <c r="G433" s="172">
        <f t="shared" si="38"/>
        <v>5725680</v>
      </c>
      <c r="H433" s="401"/>
    </row>
    <row r="434" spans="1:8" x14ac:dyDescent="0.25">
      <c r="A434" s="397"/>
      <c r="B434" s="385" t="s">
        <v>6560</v>
      </c>
      <c r="C434" s="386" t="s">
        <v>5424</v>
      </c>
      <c r="D434" s="386">
        <v>1</v>
      </c>
      <c r="E434" s="388">
        <f>+SUM!H912</f>
        <v>1351387</v>
      </c>
      <c r="F434" s="396"/>
      <c r="G434" s="172">
        <f t="shared" si="38"/>
        <v>1351387</v>
      </c>
      <c r="H434" s="401"/>
    </row>
    <row r="435" spans="1:8" x14ac:dyDescent="0.25">
      <c r="A435" s="397"/>
      <c r="B435" s="385" t="s">
        <v>6432</v>
      </c>
      <c r="C435" s="386" t="s">
        <v>5424</v>
      </c>
      <c r="D435" s="386">
        <v>10</v>
      </c>
      <c r="E435" s="388">
        <f>+SUM!H1914</f>
        <v>1818397</v>
      </c>
      <c r="F435" s="396"/>
      <c r="G435" s="172">
        <f t="shared" si="38"/>
        <v>18183970</v>
      </c>
      <c r="H435" s="401"/>
    </row>
    <row r="436" spans="1:8" x14ac:dyDescent="0.25">
      <c r="A436" s="397"/>
      <c r="B436" s="385" t="s">
        <v>6431</v>
      </c>
      <c r="C436" s="386" t="s">
        <v>5424</v>
      </c>
      <c r="D436" s="386">
        <v>3</v>
      </c>
      <c r="E436" s="388">
        <f>+SUM!H2029</f>
        <v>1527014</v>
      </c>
      <c r="F436" s="396"/>
      <c r="G436" s="172">
        <f t="shared" si="38"/>
        <v>4581042</v>
      </c>
      <c r="H436" s="401"/>
    </row>
    <row r="437" spans="1:8" x14ac:dyDescent="0.25">
      <c r="A437" s="397"/>
      <c r="B437" s="385" t="s">
        <v>6433</v>
      </c>
      <c r="C437" s="386" t="s">
        <v>5424</v>
      </c>
      <c r="D437" s="386">
        <v>2</v>
      </c>
      <c r="E437" s="388">
        <f>+SUM!H1113</f>
        <v>2401164</v>
      </c>
      <c r="F437" s="396"/>
      <c r="G437" s="172">
        <f t="shared" si="38"/>
        <v>4802328</v>
      </c>
      <c r="H437" s="401"/>
    </row>
    <row r="438" spans="1:8" x14ac:dyDescent="0.25">
      <c r="A438" s="397"/>
      <c r="B438" s="385" t="s">
        <v>6434</v>
      </c>
      <c r="C438" s="386" t="s">
        <v>5424</v>
      </c>
      <c r="D438" s="386">
        <v>1</v>
      </c>
      <c r="E438" s="388">
        <f>+SUM!H1275</f>
        <v>970362</v>
      </c>
      <c r="F438" s="396"/>
      <c r="G438" s="172">
        <f t="shared" si="38"/>
        <v>970362</v>
      </c>
      <c r="H438" s="401"/>
    </row>
    <row r="439" spans="1:8" x14ac:dyDescent="0.25">
      <c r="A439" s="397"/>
      <c r="B439" s="385" t="s">
        <v>6436</v>
      </c>
      <c r="C439" s="386" t="s">
        <v>5424</v>
      </c>
      <c r="D439" s="386">
        <v>14</v>
      </c>
      <c r="E439" s="388">
        <f>+SUM!H1441</f>
        <v>560776</v>
      </c>
      <c r="F439" s="396"/>
      <c r="G439" s="172">
        <f t="shared" si="38"/>
        <v>7850864</v>
      </c>
      <c r="H439" s="401"/>
    </row>
    <row r="440" spans="1:8" x14ac:dyDescent="0.25">
      <c r="A440" s="397"/>
      <c r="B440" s="385" t="s">
        <v>6435</v>
      </c>
      <c r="C440" s="386" t="s">
        <v>5424</v>
      </c>
      <c r="D440" s="386">
        <v>4</v>
      </c>
      <c r="E440" s="388">
        <f>+SUM!H1443</f>
        <v>1782662</v>
      </c>
      <c r="F440" s="396"/>
      <c r="G440" s="172">
        <f t="shared" si="38"/>
        <v>7130648</v>
      </c>
      <c r="H440" s="401"/>
    </row>
    <row r="441" spans="1:8" x14ac:dyDescent="0.25">
      <c r="A441" s="397"/>
      <c r="B441" s="385" t="s">
        <v>6447</v>
      </c>
      <c r="C441" s="386" t="s">
        <v>5424</v>
      </c>
      <c r="D441" s="386">
        <v>1</v>
      </c>
      <c r="E441" s="388">
        <f>+SUM!H1629</f>
        <v>2497376</v>
      </c>
      <c r="F441" s="396"/>
      <c r="G441" s="172">
        <f t="shared" si="38"/>
        <v>2497376</v>
      </c>
      <c r="H441" s="401"/>
    </row>
    <row r="442" spans="1:8" x14ac:dyDescent="0.25">
      <c r="A442" s="397"/>
      <c r="B442" s="385" t="s">
        <v>6439</v>
      </c>
      <c r="C442" s="386" t="s">
        <v>5424</v>
      </c>
      <c r="D442" s="386">
        <v>1</v>
      </c>
      <c r="E442" s="388">
        <f>+SUM!H2232</f>
        <v>1627349</v>
      </c>
      <c r="F442" s="396"/>
      <c r="G442" s="172">
        <f t="shared" si="38"/>
        <v>1627349</v>
      </c>
      <c r="H442" s="401"/>
    </row>
    <row r="443" spans="1:8" x14ac:dyDescent="0.25">
      <c r="A443" s="397"/>
      <c r="B443" s="385" t="s">
        <v>6440</v>
      </c>
      <c r="C443" s="386" t="s">
        <v>5424</v>
      </c>
      <c r="D443" s="386">
        <v>3</v>
      </c>
      <c r="E443" s="388">
        <f>13860000*1.16</f>
        <v>16077599.999999998</v>
      </c>
      <c r="F443" s="396"/>
      <c r="G443" s="172">
        <f t="shared" si="38"/>
        <v>48232799.999999993</v>
      </c>
      <c r="H443" s="401"/>
    </row>
    <row r="444" spans="1:8" x14ac:dyDescent="0.25">
      <c r="A444" s="397"/>
      <c r="B444" s="385" t="s">
        <v>6442</v>
      </c>
      <c r="C444" s="386" t="s">
        <v>5424</v>
      </c>
      <c r="D444" s="386">
        <v>3</v>
      </c>
      <c r="E444" s="388">
        <v>19971000</v>
      </c>
      <c r="F444" s="396"/>
      <c r="G444" s="172">
        <f t="shared" si="38"/>
        <v>59913000</v>
      </c>
      <c r="H444" s="401"/>
    </row>
    <row r="445" spans="1:8" x14ac:dyDescent="0.25">
      <c r="A445" s="397"/>
      <c r="B445" s="385" t="s">
        <v>6562</v>
      </c>
      <c r="C445" s="386" t="s">
        <v>5424</v>
      </c>
      <c r="D445" s="386">
        <v>1</v>
      </c>
      <c r="E445" s="388">
        <f>+SUM!H2302</f>
        <v>1075542</v>
      </c>
      <c r="F445" s="396"/>
      <c r="G445" s="172">
        <f t="shared" si="38"/>
        <v>1075542</v>
      </c>
      <c r="H445" s="401"/>
    </row>
    <row r="446" spans="1:8" x14ac:dyDescent="0.25">
      <c r="A446" s="397"/>
      <c r="B446" s="385" t="s">
        <v>6437</v>
      </c>
      <c r="C446" s="386" t="s">
        <v>5424</v>
      </c>
      <c r="D446" s="386">
        <v>3</v>
      </c>
      <c r="E446" s="388">
        <f>+SUM!H2303</f>
        <v>1561996</v>
      </c>
      <c r="F446" s="396"/>
      <c r="G446" s="172">
        <f t="shared" si="38"/>
        <v>4685988</v>
      </c>
      <c r="H446" s="401"/>
    </row>
    <row r="447" spans="1:8" x14ac:dyDescent="0.25">
      <c r="A447" s="397"/>
      <c r="B447" s="385" t="s">
        <v>6438</v>
      </c>
      <c r="C447" s="386" t="s">
        <v>5424</v>
      </c>
      <c r="D447" s="386">
        <v>3</v>
      </c>
      <c r="E447" s="388">
        <f>5800000*1.16</f>
        <v>6728000</v>
      </c>
      <c r="F447" s="396"/>
      <c r="G447" s="172">
        <f t="shared" si="38"/>
        <v>20184000</v>
      </c>
      <c r="H447" s="401"/>
    </row>
    <row r="448" spans="1:8" x14ac:dyDescent="0.25">
      <c r="A448" s="397"/>
      <c r="B448" s="385" t="s">
        <v>6443</v>
      </c>
      <c r="C448" s="386" t="s">
        <v>5424</v>
      </c>
      <c r="D448" s="386">
        <v>1</v>
      </c>
      <c r="E448" s="388">
        <f>+SUM!H2340</f>
        <v>5594012</v>
      </c>
      <c r="F448" s="396"/>
      <c r="G448" s="172">
        <f t="shared" si="38"/>
        <v>5594012</v>
      </c>
      <c r="H448" s="401"/>
    </row>
    <row r="449" spans="1:8" x14ac:dyDescent="0.25">
      <c r="A449" s="397"/>
      <c r="B449" s="385" t="s">
        <v>6444</v>
      </c>
      <c r="C449" s="386" t="s">
        <v>5424</v>
      </c>
      <c r="D449" s="386">
        <v>1</v>
      </c>
      <c r="E449" s="388">
        <f>+SUM!H2342</f>
        <v>7441272</v>
      </c>
      <c r="F449" s="396"/>
      <c r="G449" s="172">
        <f t="shared" si="38"/>
        <v>7441272</v>
      </c>
      <c r="H449" s="401"/>
    </row>
    <row r="450" spans="1:8" x14ac:dyDescent="0.25">
      <c r="A450" s="397"/>
      <c r="B450" s="385" t="s">
        <v>6368</v>
      </c>
      <c r="C450" s="386" t="s">
        <v>5424</v>
      </c>
      <c r="D450" s="386">
        <v>2</v>
      </c>
      <c r="E450" s="388">
        <f>+SUM!H1942</f>
        <v>277639</v>
      </c>
      <c r="F450" s="396"/>
      <c r="G450" s="172">
        <f t="shared" si="38"/>
        <v>555278</v>
      </c>
      <c r="H450" s="401"/>
    </row>
    <row r="451" spans="1:8" x14ac:dyDescent="0.25">
      <c r="A451" s="397"/>
      <c r="B451" s="385" t="s">
        <v>6342</v>
      </c>
      <c r="C451" s="386" t="s">
        <v>5424</v>
      </c>
      <c r="D451" s="386">
        <v>30</v>
      </c>
      <c r="E451" s="605">
        <f>+'APU CAP 8'!$H$47</f>
        <v>42295</v>
      </c>
      <c r="F451" s="387"/>
      <c r="G451" s="172">
        <f t="shared" si="38"/>
        <v>1268850</v>
      </c>
      <c r="H451" s="401"/>
    </row>
    <row r="452" spans="1:8" x14ac:dyDescent="0.25">
      <c r="A452" s="397"/>
      <c r="B452" s="385" t="s">
        <v>6343</v>
      </c>
      <c r="C452" s="386" t="s">
        <v>5424</v>
      </c>
      <c r="D452" s="386">
        <v>3</v>
      </c>
      <c r="E452" s="388">
        <f>+SUM!$H$2409</f>
        <v>677604</v>
      </c>
      <c r="F452" s="596"/>
      <c r="G452" s="172">
        <f t="shared" si="38"/>
        <v>2032812</v>
      </c>
      <c r="H452" s="401"/>
    </row>
    <row r="453" spans="1:8" x14ac:dyDescent="0.25">
      <c r="A453" s="397"/>
      <c r="B453" s="412" t="s">
        <v>6441</v>
      </c>
      <c r="C453" s="386" t="s">
        <v>5424</v>
      </c>
      <c r="D453" s="413">
        <v>10</v>
      </c>
      <c r="E453" s="423">
        <f>+'APU CAP 8'!H850</f>
        <v>569260</v>
      </c>
      <c r="F453" s="597"/>
      <c r="G453" s="172">
        <f t="shared" si="38"/>
        <v>5692600</v>
      </c>
      <c r="H453" s="401"/>
    </row>
    <row r="454" spans="1:8" ht="15.75" thickBot="1" x14ac:dyDescent="0.3">
      <c r="A454" s="397"/>
      <c r="B454" s="412" t="s">
        <v>6445</v>
      </c>
      <c r="C454" s="386" t="s">
        <v>5424</v>
      </c>
      <c r="D454" s="413">
        <v>3</v>
      </c>
      <c r="E454" s="423">
        <v>500000</v>
      </c>
      <c r="F454" s="597"/>
      <c r="G454" s="172">
        <f t="shared" si="38"/>
        <v>1500000</v>
      </c>
      <c r="H454" s="401"/>
    </row>
    <row r="455" spans="1:8" ht="15.75" thickBot="1" x14ac:dyDescent="0.3">
      <c r="A455" s="397"/>
      <c r="B455" s="412" t="s">
        <v>6446</v>
      </c>
      <c r="C455" s="386" t="s">
        <v>5424</v>
      </c>
      <c r="D455" s="413">
        <v>3</v>
      </c>
      <c r="E455" s="423">
        <v>100000</v>
      </c>
      <c r="F455" s="597"/>
      <c r="G455" s="172">
        <f t="shared" si="38"/>
        <v>300000</v>
      </c>
      <c r="H455" s="416">
        <f>+SUM(G416:G455)</f>
        <v>354019789.13187504</v>
      </c>
    </row>
    <row r="456" spans="1:8" ht="15.75" thickBot="1" x14ac:dyDescent="0.3">
      <c r="A456" s="397"/>
      <c r="B456" s="417"/>
      <c r="C456" s="417"/>
      <c r="D456" s="417"/>
      <c r="E456" s="417"/>
      <c r="F456" s="417"/>
      <c r="G456" s="419"/>
      <c r="H456" s="420"/>
    </row>
    <row r="457" spans="1:8" ht="15.75" thickBot="1" x14ac:dyDescent="0.3">
      <c r="A457" s="397"/>
      <c r="B457" s="407" t="s">
        <v>5410</v>
      </c>
      <c r="C457" s="408" t="s">
        <v>867</v>
      </c>
      <c r="D457" s="408" t="s">
        <v>6</v>
      </c>
      <c r="E457" s="408" t="s">
        <v>870</v>
      </c>
      <c r="F457" s="408" t="s">
        <v>5411</v>
      </c>
      <c r="G457" s="409" t="s">
        <v>868</v>
      </c>
      <c r="H457" s="401"/>
    </row>
    <row r="458" spans="1:8" ht="15.75" thickBot="1" x14ac:dyDescent="0.3">
      <c r="A458" s="397"/>
      <c r="B458" s="579"/>
      <c r="C458" s="580"/>
      <c r="D458" s="580"/>
      <c r="E458" s="580"/>
      <c r="F458" s="580"/>
      <c r="G458" s="581"/>
      <c r="H458" s="401"/>
    </row>
    <row r="459" spans="1:8" ht="15.75" thickBot="1" x14ac:dyDescent="0.3">
      <c r="A459" s="397"/>
      <c r="B459" s="412"/>
      <c r="C459" s="414"/>
      <c r="D459" s="414"/>
      <c r="E459" s="414"/>
      <c r="F459" s="414"/>
      <c r="G459" s="415"/>
      <c r="H459" s="416">
        <f>+SUM(G459:G459)</f>
        <v>0</v>
      </c>
    </row>
    <row r="460" spans="1:8" ht="15.75" thickBot="1" x14ac:dyDescent="0.3">
      <c r="A460" s="397"/>
      <c r="B460" s="417"/>
      <c r="C460" s="417"/>
      <c r="D460" s="417"/>
      <c r="E460" s="417"/>
      <c r="F460" s="425"/>
      <c r="G460" s="426"/>
      <c r="H460" s="420"/>
    </row>
    <row r="461" spans="1:8" ht="15.75" thickBot="1" x14ac:dyDescent="0.3">
      <c r="A461" s="397"/>
      <c r="B461" s="407" t="s">
        <v>5412</v>
      </c>
      <c r="C461" s="408" t="s">
        <v>5420</v>
      </c>
      <c r="D461" s="408" t="s">
        <v>5421</v>
      </c>
      <c r="E461" s="408" t="s">
        <v>5413</v>
      </c>
      <c r="F461" s="408" t="s">
        <v>5405</v>
      </c>
      <c r="G461" s="409" t="s">
        <v>868</v>
      </c>
      <c r="H461" s="401"/>
    </row>
    <row r="462" spans="1:8" x14ac:dyDescent="0.25">
      <c r="A462" s="397"/>
      <c r="B462" s="381" t="s">
        <v>5948</v>
      </c>
      <c r="C462" s="345">
        <v>70000</v>
      </c>
      <c r="D462" s="384">
        <f>+C462*0.85</f>
        <v>59500</v>
      </c>
      <c r="E462" s="384">
        <f>+C462+D462</f>
        <v>129500</v>
      </c>
      <c r="F462" s="382">
        <v>0.1</v>
      </c>
      <c r="G462" s="410">
        <f>+E462/F462</f>
        <v>1295000</v>
      </c>
      <c r="H462" s="401"/>
    </row>
    <row r="463" spans="1:8" x14ac:dyDescent="0.25">
      <c r="A463" s="397"/>
      <c r="B463" s="385" t="s">
        <v>5949</v>
      </c>
      <c r="C463" s="345">
        <v>40000</v>
      </c>
      <c r="D463" s="384">
        <f>+C463*0.85</f>
        <v>34000</v>
      </c>
      <c r="E463" s="384">
        <f>+C463+D463</f>
        <v>74000</v>
      </c>
      <c r="F463" s="382">
        <v>0.01</v>
      </c>
      <c r="G463" s="410">
        <f>+E463/F463</f>
        <v>7400000</v>
      </c>
      <c r="H463" s="401"/>
    </row>
    <row r="464" spans="1:8" x14ac:dyDescent="0.25">
      <c r="A464" s="397"/>
      <c r="B464" s="385" t="s">
        <v>5950</v>
      </c>
      <c r="C464" s="345">
        <v>20600</v>
      </c>
      <c r="D464" s="384">
        <f>+C464*0.85</f>
        <v>17510</v>
      </c>
      <c r="E464" s="384">
        <f>+C464+D464</f>
        <v>38110</v>
      </c>
      <c r="F464" s="382">
        <v>0.01</v>
      </c>
      <c r="G464" s="410">
        <f>+E464/F464</f>
        <v>3811000</v>
      </c>
      <c r="H464" s="401"/>
    </row>
    <row r="465" spans="1:9" x14ac:dyDescent="0.25">
      <c r="A465" s="397"/>
      <c r="B465" s="385"/>
      <c r="C465" s="384"/>
      <c r="D465" s="384"/>
      <c r="E465" s="384"/>
      <c r="F465" s="382"/>
      <c r="G465" s="410"/>
      <c r="H465" s="401"/>
    </row>
    <row r="466" spans="1:9" x14ac:dyDescent="0.25">
      <c r="A466" s="397"/>
      <c r="B466" s="412"/>
      <c r="C466" s="582"/>
      <c r="D466" s="582"/>
      <c r="E466" s="582"/>
      <c r="F466" s="580"/>
      <c r="G466" s="583"/>
      <c r="H466" s="401"/>
    </row>
    <row r="467" spans="1:9" ht="15.75" thickBot="1" x14ac:dyDescent="0.3">
      <c r="A467" s="397"/>
      <c r="B467" s="412"/>
      <c r="C467" s="582"/>
      <c r="D467" s="582"/>
      <c r="E467" s="582"/>
      <c r="F467" s="580"/>
      <c r="G467" s="583"/>
      <c r="H467" s="401"/>
    </row>
    <row r="468" spans="1:9" ht="15.75" thickBot="1" x14ac:dyDescent="0.3">
      <c r="A468" s="397"/>
      <c r="B468" s="427"/>
      <c r="C468" s="428"/>
      <c r="D468" s="428"/>
      <c r="E468" s="428"/>
      <c r="F468" s="428"/>
      <c r="G468" s="429"/>
      <c r="H468" s="416">
        <f>+SUM(G462:G468)</f>
        <v>12506000</v>
      </c>
    </row>
    <row r="469" spans="1:9" ht="15.75" thickBot="1" x14ac:dyDescent="0.3">
      <c r="A469" s="397"/>
      <c r="B469" s="430"/>
      <c r="C469" s="430"/>
      <c r="D469" s="430"/>
      <c r="E469" s="430"/>
      <c r="F469" s="430"/>
      <c r="G469" s="401"/>
      <c r="H469" s="401"/>
    </row>
    <row r="470" spans="1:9" ht="15.75" thickBot="1" x14ac:dyDescent="0.3">
      <c r="A470" s="397"/>
      <c r="B470" s="430"/>
      <c r="C470" s="430"/>
      <c r="D470" s="430"/>
      <c r="E470" s="431" t="s">
        <v>5415</v>
      </c>
      <c r="F470" s="430"/>
      <c r="G470" s="401"/>
      <c r="H470" s="416">
        <f>+ROUND(H413+H455+H459+H468,0)</f>
        <v>367151089</v>
      </c>
    </row>
    <row r="475" spans="1:9" ht="18.75" x14ac:dyDescent="0.25">
      <c r="A475" s="133"/>
      <c r="B475" s="611" t="s">
        <v>5400</v>
      </c>
      <c r="C475" s="611"/>
      <c r="D475" s="611"/>
      <c r="E475" s="611"/>
      <c r="F475" s="611"/>
      <c r="G475" s="611"/>
      <c r="H475" s="611"/>
      <c r="I475" s="8"/>
    </row>
    <row r="476" spans="1:9" x14ac:dyDescent="0.25">
      <c r="A476" s="133"/>
      <c r="B476" s="8"/>
      <c r="C476" s="8"/>
      <c r="D476" s="8"/>
      <c r="E476" s="8"/>
      <c r="G476" s="133"/>
      <c r="H476" s="341"/>
      <c r="I476" s="341"/>
    </row>
    <row r="477" spans="1:9" x14ac:dyDescent="0.25">
      <c r="A477" s="133"/>
      <c r="B477" s="8"/>
      <c r="C477" s="8"/>
      <c r="D477" s="8"/>
      <c r="E477" s="8"/>
      <c r="G477" s="133"/>
      <c r="H477" s="341"/>
      <c r="I477" s="341"/>
    </row>
    <row r="478" spans="1:9" x14ac:dyDescent="0.25">
      <c r="A478" s="133"/>
      <c r="B478" s="8"/>
      <c r="C478" s="8"/>
      <c r="D478" s="8"/>
      <c r="E478" s="8"/>
      <c r="G478" s="133"/>
      <c r="H478" s="341"/>
      <c r="I478" s="341"/>
    </row>
    <row r="479" spans="1:9" x14ac:dyDescent="0.25">
      <c r="A479" s="220" t="s">
        <v>5482</v>
      </c>
      <c r="B479" s="138" t="s">
        <v>6520</v>
      </c>
      <c r="C479" s="612" t="s">
        <v>6527</v>
      </c>
      <c r="D479" s="612"/>
      <c r="E479" s="612"/>
      <c r="F479" s="612"/>
      <c r="G479" s="220" t="s">
        <v>867</v>
      </c>
      <c r="H479" s="342" t="s">
        <v>5402</v>
      </c>
      <c r="I479" s="341"/>
    </row>
    <row r="480" spans="1:9" x14ac:dyDescent="0.25">
      <c r="A480" s="133"/>
      <c r="B480" s="8"/>
      <c r="C480" s="223"/>
      <c r="D480" s="223"/>
      <c r="E480" s="223"/>
      <c r="F480" s="140"/>
      <c r="G480" s="133"/>
      <c r="H480" s="341"/>
      <c r="I480" s="341"/>
    </row>
    <row r="481" spans="1:9" x14ac:dyDescent="0.25">
      <c r="A481" s="133"/>
      <c r="B481" s="8"/>
      <c r="C481" s="8"/>
      <c r="D481" s="8"/>
      <c r="E481" s="8"/>
      <c r="F481" s="140"/>
      <c r="G481" s="8"/>
      <c r="H481" s="8"/>
      <c r="I481" s="341"/>
    </row>
    <row r="482" spans="1:9" ht="15.75" thickBot="1" x14ac:dyDescent="0.3">
      <c r="A482" s="133"/>
      <c r="B482" s="8"/>
      <c r="C482" s="8"/>
      <c r="D482" s="8"/>
      <c r="E482" s="8"/>
      <c r="F482" s="140"/>
      <c r="G482" s="133"/>
      <c r="H482" s="341"/>
      <c r="I482" s="341"/>
    </row>
    <row r="483" spans="1:9" ht="15.75" thickBot="1" x14ac:dyDescent="0.3">
      <c r="A483" s="133"/>
      <c r="B483" s="224" t="s">
        <v>5403</v>
      </c>
      <c r="C483" s="193" t="s">
        <v>867</v>
      </c>
      <c r="D483" s="193" t="s">
        <v>6</v>
      </c>
      <c r="E483" s="144" t="s">
        <v>5404</v>
      </c>
      <c r="F483" s="193" t="s">
        <v>5405</v>
      </c>
      <c r="G483" s="343" t="s">
        <v>868</v>
      </c>
      <c r="H483" s="341"/>
    </row>
    <row r="484" spans="1:9" x14ac:dyDescent="0.25">
      <c r="A484" s="133"/>
      <c r="B484" s="195" t="s">
        <v>5440</v>
      </c>
      <c r="C484" s="226"/>
      <c r="D484" s="226"/>
      <c r="E484" s="148">
        <f>H522</f>
        <v>81585</v>
      </c>
      <c r="F484" s="226">
        <v>0.2</v>
      </c>
      <c r="G484" s="373">
        <f>E484*F484</f>
        <v>16317</v>
      </c>
      <c r="H484" s="341"/>
    </row>
    <row r="485" spans="1:9" x14ac:dyDescent="0.25">
      <c r="A485" s="133"/>
      <c r="B485" s="195"/>
      <c r="C485" s="226"/>
      <c r="D485" s="226"/>
      <c r="E485" s="148"/>
      <c r="F485" s="226"/>
      <c r="G485" s="344"/>
      <c r="H485" s="341"/>
    </row>
    <row r="486" spans="1:9" x14ac:dyDescent="0.25">
      <c r="A486" s="133"/>
      <c r="B486" s="195"/>
      <c r="C486" s="226"/>
      <c r="D486" s="226"/>
      <c r="E486" s="148"/>
      <c r="F486" s="226"/>
      <c r="G486" s="344"/>
      <c r="H486" s="341"/>
    </row>
    <row r="487" spans="1:9" x14ac:dyDescent="0.25">
      <c r="A487" s="133"/>
      <c r="B487" s="195"/>
      <c r="C487" s="226"/>
      <c r="D487" s="226"/>
      <c r="E487" s="152"/>
      <c r="F487" s="226"/>
      <c r="G487" s="375"/>
      <c r="H487" s="341"/>
    </row>
    <row r="488" spans="1:9" x14ac:dyDescent="0.25">
      <c r="A488" s="133"/>
      <c r="B488" s="195"/>
      <c r="C488" s="226"/>
      <c r="D488" s="232"/>
      <c r="E488" s="152"/>
      <c r="F488" s="226"/>
      <c r="G488" s="344"/>
      <c r="H488" s="341"/>
    </row>
    <row r="489" spans="1:9" ht="15.75" thickBot="1" x14ac:dyDescent="0.3">
      <c r="A489" s="133"/>
      <c r="B489" s="195"/>
      <c r="C489" s="226"/>
      <c r="D489" s="232"/>
      <c r="E489" s="152"/>
      <c r="F489" s="226"/>
      <c r="G489" s="344"/>
      <c r="H489" s="341"/>
    </row>
    <row r="490" spans="1:9" ht="15.75" thickBot="1" x14ac:dyDescent="0.3">
      <c r="A490" s="133"/>
      <c r="B490" s="233"/>
      <c r="C490" s="234"/>
      <c r="D490" s="234"/>
      <c r="E490" s="159"/>
      <c r="F490" s="235"/>
      <c r="G490" s="347"/>
      <c r="H490" s="348">
        <f>SUM(G484:G490)</f>
        <v>16317</v>
      </c>
    </row>
    <row r="491" spans="1:9" ht="15.75" thickBot="1" x14ac:dyDescent="0.3">
      <c r="A491" s="133"/>
      <c r="B491" s="238"/>
      <c r="C491" s="238"/>
      <c r="D491" s="238"/>
      <c r="E491" s="162"/>
      <c r="F491" s="239"/>
      <c r="G491" s="349"/>
      <c r="H491" s="350"/>
    </row>
    <row r="492" spans="1:9" ht="15.75" thickBot="1" x14ac:dyDescent="0.3">
      <c r="A492" s="133"/>
      <c r="B492" s="224" t="s">
        <v>5408</v>
      </c>
      <c r="C492" s="193" t="s">
        <v>867</v>
      </c>
      <c r="D492" s="193" t="s">
        <v>6</v>
      </c>
      <c r="E492" s="144" t="s">
        <v>870</v>
      </c>
      <c r="F492" s="193" t="s">
        <v>5409</v>
      </c>
      <c r="G492" s="343" t="s">
        <v>868</v>
      </c>
      <c r="H492" s="341"/>
    </row>
    <row r="493" spans="1:9" x14ac:dyDescent="0.25">
      <c r="A493" s="133"/>
      <c r="B493" s="289" t="s">
        <v>6522</v>
      </c>
      <c r="C493" s="202" t="s">
        <v>5944</v>
      </c>
      <c r="D493" s="197">
        <v>137.5</v>
      </c>
      <c r="E493" s="366">
        <f>+'APU CAP 8'!H796</f>
        <v>9241</v>
      </c>
      <c r="F493" s="169">
        <v>0.02</v>
      </c>
      <c r="G493" s="377">
        <f>D493*E493*(1+F493)</f>
        <v>1296050.25</v>
      </c>
      <c r="H493" s="341"/>
    </row>
    <row r="494" spans="1:9" x14ac:dyDescent="0.25">
      <c r="A494" s="133"/>
      <c r="B494" s="247" t="s">
        <v>6528</v>
      </c>
      <c r="C494" s="202" t="s">
        <v>5464</v>
      </c>
      <c r="D494" s="202">
        <f>12/20</f>
        <v>0.6</v>
      </c>
      <c r="E494" s="366">
        <f>+E20</f>
        <v>669769.71428571432</v>
      </c>
      <c r="F494" s="169">
        <v>0.05</v>
      </c>
      <c r="G494" s="377">
        <f>D494*E494*(1+F494)</f>
        <v>421954.92000000004</v>
      </c>
      <c r="H494" s="341"/>
    </row>
    <row r="495" spans="1:9" x14ac:dyDescent="0.25">
      <c r="A495" s="133"/>
      <c r="B495" s="247" t="s">
        <v>6337</v>
      </c>
      <c r="C495" s="202" t="s">
        <v>5464</v>
      </c>
      <c r="D495" s="226">
        <f>20/20</f>
        <v>1</v>
      </c>
      <c r="E495" s="366">
        <f>+E416</f>
        <v>22263</v>
      </c>
      <c r="F495" s="169">
        <v>0.1</v>
      </c>
      <c r="G495" s="377">
        <f>D495*E495*(1+F495)</f>
        <v>24489.300000000003</v>
      </c>
      <c r="H495" s="341"/>
    </row>
    <row r="496" spans="1:9" x14ac:dyDescent="0.25">
      <c r="A496" s="133"/>
      <c r="B496" s="194" t="s">
        <v>5741</v>
      </c>
      <c r="C496" s="226" t="s">
        <v>6529</v>
      </c>
      <c r="D496" s="226">
        <f>+D494*50/20</f>
        <v>1.5</v>
      </c>
      <c r="E496" s="366">
        <f>+E420</f>
        <v>3455</v>
      </c>
      <c r="F496" s="169">
        <v>0.05</v>
      </c>
      <c r="G496" s="377">
        <f>D496*E496*(1+F496)</f>
        <v>5441.625</v>
      </c>
      <c r="H496" s="341"/>
    </row>
    <row r="497" spans="1:8" x14ac:dyDescent="0.25">
      <c r="A497" s="133"/>
      <c r="B497" s="195"/>
      <c r="C497" s="226"/>
      <c r="D497" s="226"/>
      <c r="E497" s="152"/>
      <c r="F497" s="169"/>
      <c r="G497" s="351"/>
      <c r="H497" s="341"/>
    </row>
    <row r="498" spans="1:8" x14ac:dyDescent="0.25">
      <c r="A498" s="133"/>
      <c r="B498" s="194"/>
      <c r="C498" s="202"/>
      <c r="D498" s="202"/>
      <c r="E498" s="152"/>
      <c r="F498" s="169"/>
      <c r="G498" s="351"/>
      <c r="H498" s="341"/>
    </row>
    <row r="499" spans="1:8" x14ac:dyDescent="0.25">
      <c r="A499" s="133"/>
      <c r="B499" s="195"/>
      <c r="C499" s="226"/>
      <c r="D499" s="226"/>
      <c r="E499" s="152"/>
      <c r="F499" s="169"/>
      <c r="G499" s="351"/>
      <c r="H499" s="341"/>
    </row>
    <row r="500" spans="1:8" x14ac:dyDescent="0.25">
      <c r="A500" s="133"/>
      <c r="B500" s="195"/>
      <c r="C500" s="226"/>
      <c r="D500" s="226"/>
      <c r="E500" s="152"/>
      <c r="F500" s="169"/>
      <c r="G500" s="351"/>
      <c r="H500" s="341"/>
    </row>
    <row r="501" spans="1:8" x14ac:dyDescent="0.25">
      <c r="A501" s="133"/>
      <c r="B501" s="195"/>
      <c r="C501" s="232"/>
      <c r="D501" s="232"/>
      <c r="E501" s="152"/>
      <c r="F501" s="226"/>
      <c r="G501" s="344"/>
      <c r="H501" s="341"/>
    </row>
    <row r="502" spans="1:8" x14ac:dyDescent="0.25">
      <c r="A502" s="133"/>
      <c r="B502" s="195"/>
      <c r="C502" s="232"/>
      <c r="D502" s="232"/>
      <c r="E502" s="152"/>
      <c r="F502" s="226"/>
      <c r="G502" s="344"/>
      <c r="H502" s="341"/>
    </row>
    <row r="503" spans="1:8" x14ac:dyDescent="0.25">
      <c r="A503" s="133"/>
      <c r="B503" s="195"/>
      <c r="C503" s="232"/>
      <c r="D503" s="232"/>
      <c r="E503" s="152"/>
      <c r="F503" s="226"/>
      <c r="G503" s="344"/>
      <c r="H503" s="341"/>
    </row>
    <row r="504" spans="1:8" ht="15.75" thickBot="1" x14ac:dyDescent="0.3">
      <c r="A504" s="133"/>
      <c r="B504" s="195"/>
      <c r="C504" s="232"/>
      <c r="D504" s="232"/>
      <c r="E504" s="152"/>
      <c r="F504" s="226"/>
      <c r="G504" s="344"/>
      <c r="H504" s="341"/>
    </row>
    <row r="505" spans="1:8" ht="15.75" thickBot="1" x14ac:dyDescent="0.3">
      <c r="A505" s="133"/>
      <c r="B505" s="233"/>
      <c r="C505" s="234"/>
      <c r="D505" s="234"/>
      <c r="E505" s="159"/>
      <c r="F505" s="235"/>
      <c r="G505" s="347"/>
      <c r="H505" s="358">
        <f>SUM(G493:G505)</f>
        <v>1747936.095</v>
      </c>
    </row>
    <row r="506" spans="1:8" ht="15.75" thickBot="1" x14ac:dyDescent="0.3">
      <c r="A506" s="133"/>
      <c r="B506" s="238"/>
      <c r="C506" s="238"/>
      <c r="D506" s="238"/>
      <c r="E506" s="162"/>
      <c r="F506" s="239"/>
      <c r="G506" s="349"/>
      <c r="H506" s="350"/>
    </row>
    <row r="507" spans="1:8" ht="15.75" thickBot="1" x14ac:dyDescent="0.3">
      <c r="A507" s="133"/>
      <c r="B507" s="224" t="s">
        <v>5410</v>
      </c>
      <c r="C507" s="193" t="s">
        <v>867</v>
      </c>
      <c r="D507" s="193" t="s">
        <v>6</v>
      </c>
      <c r="E507" s="144" t="s">
        <v>870</v>
      </c>
      <c r="F507" s="193" t="s">
        <v>5411</v>
      </c>
      <c r="G507" s="343" t="s">
        <v>868</v>
      </c>
      <c r="H507" s="341"/>
    </row>
    <row r="508" spans="1:8" x14ac:dyDescent="0.25">
      <c r="A508" s="133"/>
      <c r="B508" s="245"/>
      <c r="C508" s="202"/>
      <c r="D508" s="202"/>
      <c r="E508" s="366"/>
      <c r="F508" s="202"/>
      <c r="G508" s="354"/>
      <c r="H508" s="355"/>
    </row>
    <row r="509" spans="1:8" x14ac:dyDescent="0.25">
      <c r="A509" s="133"/>
      <c r="B509" s="247"/>
      <c r="C509" s="202"/>
      <c r="D509" s="202"/>
      <c r="E509" s="366"/>
      <c r="F509" s="202"/>
      <c r="G509" s="351"/>
      <c r="H509" s="341"/>
    </row>
    <row r="510" spans="1:8" x14ac:dyDescent="0.25">
      <c r="A510" s="133"/>
      <c r="B510" s="247"/>
      <c r="C510" s="202"/>
      <c r="D510" s="226"/>
      <c r="E510" s="152"/>
      <c r="F510" s="226"/>
      <c r="G510" s="344"/>
      <c r="H510" s="341"/>
    </row>
    <row r="511" spans="1:8" x14ac:dyDescent="0.25">
      <c r="A511" s="133"/>
      <c r="B511" s="194"/>
      <c r="C511" s="232"/>
      <c r="D511" s="232"/>
      <c r="E511" s="152"/>
      <c r="F511" s="226"/>
      <c r="G511" s="344"/>
      <c r="H511" s="341"/>
    </row>
    <row r="512" spans="1:8" ht="15.75" thickBot="1" x14ac:dyDescent="0.3">
      <c r="A512" s="133"/>
      <c r="B512" s="195"/>
      <c r="C512" s="232"/>
      <c r="D512" s="232"/>
      <c r="E512" s="152"/>
      <c r="F512" s="226"/>
      <c r="G512" s="344"/>
      <c r="H512" s="341"/>
    </row>
    <row r="513" spans="1:8" ht="15.75" thickBot="1" x14ac:dyDescent="0.3">
      <c r="A513" s="133"/>
      <c r="B513" s="233"/>
      <c r="C513" s="234"/>
      <c r="D513" s="234"/>
      <c r="E513" s="159"/>
      <c r="F513" s="235"/>
      <c r="G513" s="347"/>
      <c r="H513" s="348">
        <f>SUM(G508:G513)</f>
        <v>0</v>
      </c>
    </row>
    <row r="514" spans="1:8" ht="15.75" thickBot="1" x14ac:dyDescent="0.3">
      <c r="A514" s="133"/>
      <c r="B514" s="238"/>
      <c r="C514" s="238"/>
      <c r="D514" s="238"/>
      <c r="E514" s="162"/>
      <c r="F514" s="249"/>
      <c r="G514" s="356"/>
      <c r="H514" s="350"/>
    </row>
    <row r="515" spans="1:8" ht="15.75" thickBot="1" x14ac:dyDescent="0.3">
      <c r="A515" s="133"/>
      <c r="B515" s="224" t="s">
        <v>5412</v>
      </c>
      <c r="C515" s="193" t="s">
        <v>5420</v>
      </c>
      <c r="D515" s="193" t="s">
        <v>5421</v>
      </c>
      <c r="E515" s="144" t="s">
        <v>5413</v>
      </c>
      <c r="F515" s="193" t="s">
        <v>5405</v>
      </c>
      <c r="G515" s="343" t="s">
        <v>868</v>
      </c>
      <c r="H515" s="341"/>
    </row>
    <row r="516" spans="1:8" x14ac:dyDescent="0.25">
      <c r="A516" s="133"/>
      <c r="B516" s="381" t="s">
        <v>5948</v>
      </c>
      <c r="C516" s="345">
        <v>70000</v>
      </c>
      <c r="D516" s="345">
        <f>C516*0.85</f>
        <v>59500</v>
      </c>
      <c r="E516" s="353">
        <f>C516+D516</f>
        <v>129500</v>
      </c>
      <c r="F516" s="192">
        <v>20</v>
      </c>
      <c r="G516" s="351">
        <f>E516/F516</f>
        <v>6475</v>
      </c>
      <c r="H516" s="341"/>
    </row>
    <row r="517" spans="1:8" x14ac:dyDescent="0.25">
      <c r="A517" s="133"/>
      <c r="B517" s="385" t="s">
        <v>5949</v>
      </c>
      <c r="C517" s="345">
        <v>40000</v>
      </c>
      <c r="D517" s="345">
        <f>C517*0.85</f>
        <v>34000</v>
      </c>
      <c r="E517" s="353">
        <f>C517+D517</f>
        <v>74000</v>
      </c>
      <c r="F517" s="192">
        <v>2</v>
      </c>
      <c r="G517" s="351">
        <f>E517/F517</f>
        <v>37000</v>
      </c>
      <c r="H517" s="341"/>
    </row>
    <row r="518" spans="1:8" x14ac:dyDescent="0.25">
      <c r="A518" s="133"/>
      <c r="B518" s="385" t="s">
        <v>5950</v>
      </c>
      <c r="C518" s="345">
        <v>20600</v>
      </c>
      <c r="D518" s="345">
        <f>C518*0.85</f>
        <v>17510</v>
      </c>
      <c r="E518" s="353">
        <f>C518+D518</f>
        <v>38110</v>
      </c>
      <c r="F518" s="192">
        <v>1</v>
      </c>
      <c r="G518" s="351">
        <f>E518/F518</f>
        <v>38110</v>
      </c>
      <c r="H518" s="341"/>
    </row>
    <row r="519" spans="1:8" x14ac:dyDescent="0.25">
      <c r="A519" s="133"/>
      <c r="B519" s="195"/>
      <c r="C519" s="346"/>
      <c r="D519" s="345"/>
      <c r="E519" s="353"/>
      <c r="F519" s="192"/>
      <c r="G519" s="351"/>
      <c r="H519" s="341"/>
    </row>
    <row r="520" spans="1:8" x14ac:dyDescent="0.25">
      <c r="A520" s="133"/>
      <c r="B520" s="195"/>
      <c r="C520" s="232"/>
      <c r="D520" s="232"/>
      <c r="E520" s="152"/>
      <c r="F520" s="226"/>
      <c r="G520" s="344"/>
      <c r="H520" s="341"/>
    </row>
    <row r="521" spans="1:8" ht="15.75" thickBot="1" x14ac:dyDescent="0.3">
      <c r="A521" s="133"/>
      <c r="B521" s="195"/>
      <c r="C521" s="232"/>
      <c r="D521" s="232"/>
      <c r="E521" s="152"/>
      <c r="F521" s="226"/>
      <c r="G521" s="344"/>
      <c r="H521" s="341"/>
    </row>
    <row r="522" spans="1:8" ht="15.75" thickBot="1" x14ac:dyDescent="0.3">
      <c r="A522" s="133"/>
      <c r="B522" s="251"/>
      <c r="C522" s="252"/>
      <c r="D522" s="252"/>
      <c r="E522" s="180"/>
      <c r="F522" s="253"/>
      <c r="G522" s="357"/>
      <c r="H522" s="348">
        <f>SUM(G516:G522)</f>
        <v>81585</v>
      </c>
    </row>
    <row r="523" spans="1:8" ht="15.75" thickBot="1" x14ac:dyDescent="0.3">
      <c r="A523" s="133"/>
      <c r="B523" s="8"/>
      <c r="C523" s="8"/>
      <c r="D523" s="8"/>
      <c r="E523" s="140"/>
      <c r="F523" s="133"/>
      <c r="G523" s="341"/>
      <c r="H523" s="341"/>
    </row>
    <row r="524" spans="1:8" ht="15.75" thickBot="1" x14ac:dyDescent="0.3">
      <c r="A524" s="133"/>
      <c r="B524" s="8"/>
      <c r="C524" s="8"/>
      <c r="D524" s="8"/>
      <c r="E524" s="183" t="s">
        <v>5415</v>
      </c>
      <c r="F524" s="133"/>
      <c r="G524" s="341"/>
      <c r="H524" s="358">
        <f>ROUND(+H522+H513+H505+H490,0)</f>
        <v>1845838</v>
      </c>
    </row>
  </sheetData>
  <mergeCells count="62">
    <mergeCell ref="B309:G309"/>
    <mergeCell ref="J309:O309"/>
    <mergeCell ref="R309:W309"/>
    <mergeCell ref="C311:E311"/>
    <mergeCell ref="K311:M311"/>
    <mergeCell ref="S311:U311"/>
    <mergeCell ref="J2:O2"/>
    <mergeCell ref="K4:M4"/>
    <mergeCell ref="R2:W2"/>
    <mergeCell ref="S4:U4"/>
    <mergeCell ref="C156:E156"/>
    <mergeCell ref="K156:M156"/>
    <mergeCell ref="S156:U156"/>
    <mergeCell ref="B102:G102"/>
    <mergeCell ref="J102:O102"/>
    <mergeCell ref="R102:W102"/>
    <mergeCell ref="C104:E104"/>
    <mergeCell ref="K104:M104"/>
    <mergeCell ref="S104:U104"/>
    <mergeCell ref="J51:O51"/>
    <mergeCell ref="R51:W51"/>
    <mergeCell ref="K53:M53"/>
    <mergeCell ref="B2:G2"/>
    <mergeCell ref="C4:E4"/>
    <mergeCell ref="B204:G204"/>
    <mergeCell ref="B257:G257"/>
    <mergeCell ref="B51:G51"/>
    <mergeCell ref="C53:E53"/>
    <mergeCell ref="C206:E206"/>
    <mergeCell ref="B154:G154"/>
    <mergeCell ref="S53:U53"/>
    <mergeCell ref="B361:G361"/>
    <mergeCell ref="C363:E363"/>
    <mergeCell ref="B405:G405"/>
    <mergeCell ref="C407:E407"/>
    <mergeCell ref="J204:O204"/>
    <mergeCell ref="R204:W204"/>
    <mergeCell ref="K206:M206"/>
    <mergeCell ref="S206:U206"/>
    <mergeCell ref="J257:O257"/>
    <mergeCell ref="R257:W257"/>
    <mergeCell ref="C259:E259"/>
    <mergeCell ref="K259:M259"/>
    <mergeCell ref="S259:U259"/>
    <mergeCell ref="J154:O154"/>
    <mergeCell ref="R154:W154"/>
    <mergeCell ref="Z2:AE2"/>
    <mergeCell ref="AA4:AC4"/>
    <mergeCell ref="AH102:AM102"/>
    <mergeCell ref="AI104:AK104"/>
    <mergeCell ref="Z154:AE154"/>
    <mergeCell ref="Z102:AE102"/>
    <mergeCell ref="AA104:AC104"/>
    <mergeCell ref="AH309:AM309"/>
    <mergeCell ref="AI311:AK311"/>
    <mergeCell ref="AA156:AC156"/>
    <mergeCell ref="Z204:AE204"/>
    <mergeCell ref="AA206:AC206"/>
    <mergeCell ref="Z257:AE257"/>
    <mergeCell ref="AA259:AC259"/>
    <mergeCell ref="Z309:AE309"/>
    <mergeCell ref="AA311:AC311"/>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48575"/>
  <sheetViews>
    <sheetView workbookViewId="0">
      <selection sqref="A1:J1"/>
    </sheetView>
  </sheetViews>
  <sheetFormatPr baseColWidth="10" defaultRowHeight="15" x14ac:dyDescent="0.25"/>
  <cols>
    <col min="2" max="2" width="36.42578125" bestFit="1" customWidth="1"/>
    <col min="5" max="5" width="14.5703125" bestFit="1" customWidth="1"/>
    <col min="6" max="6" width="19.28515625" bestFit="1" customWidth="1"/>
    <col min="7" max="7" width="26.42578125" bestFit="1" customWidth="1"/>
    <col min="8" max="8" width="14.5703125" bestFit="1" customWidth="1"/>
    <col min="9" max="9" width="17.7109375" bestFit="1" customWidth="1"/>
    <col min="10" max="10" width="43.7109375" customWidth="1"/>
  </cols>
  <sheetData>
    <row r="1" spans="1:14" x14ac:dyDescent="0.25">
      <c r="A1" s="2518" t="s">
        <v>7076</v>
      </c>
      <c r="B1" s="2518"/>
      <c r="C1" s="2518"/>
      <c r="D1" s="2518"/>
      <c r="E1" s="2518"/>
      <c r="F1" s="2518"/>
      <c r="G1" s="2518"/>
      <c r="H1" s="2518"/>
      <c r="I1" s="2518"/>
      <c r="J1" s="2518"/>
      <c r="K1" s="2523" t="s">
        <v>7092</v>
      </c>
      <c r="L1" s="2524"/>
      <c r="M1" s="2524"/>
      <c r="N1" s="2524"/>
    </row>
    <row r="2" spans="1:14" x14ac:dyDescent="0.25">
      <c r="A2" s="638"/>
      <c r="B2" s="638"/>
      <c r="C2" s="797" t="s">
        <v>7081</v>
      </c>
      <c r="D2" s="797" t="s">
        <v>7079</v>
      </c>
      <c r="E2" s="797" t="s">
        <v>7080</v>
      </c>
      <c r="F2" s="797" t="s">
        <v>7082</v>
      </c>
      <c r="G2" s="797" t="s">
        <v>7083</v>
      </c>
      <c r="H2" s="797" t="s">
        <v>7084</v>
      </c>
      <c r="I2" s="797" t="s">
        <v>7085</v>
      </c>
      <c r="J2" s="797" t="s">
        <v>7078</v>
      </c>
      <c r="K2" s="797" t="s">
        <v>7093</v>
      </c>
      <c r="L2" s="797" t="s">
        <v>7094</v>
      </c>
      <c r="M2" s="797" t="s">
        <v>7095</v>
      </c>
      <c r="N2" s="802" t="s">
        <v>7147</v>
      </c>
    </row>
    <row r="3" spans="1:14" x14ac:dyDescent="0.25">
      <c r="A3" s="638">
        <f>+B3-C3</f>
        <v>16389.326000000001</v>
      </c>
      <c r="B3" s="638">
        <v>16407.326000000001</v>
      </c>
      <c r="C3" s="638">
        <v>18</v>
      </c>
      <c r="D3" s="638">
        <v>250</v>
      </c>
      <c r="E3" s="638" t="s">
        <v>7089</v>
      </c>
      <c r="F3" s="638" t="s">
        <v>7087</v>
      </c>
      <c r="G3" s="638" t="s">
        <v>7088</v>
      </c>
      <c r="H3" s="638" t="s">
        <v>7087</v>
      </c>
      <c r="I3" s="638" t="s">
        <v>7088</v>
      </c>
      <c r="J3" s="800" t="s">
        <v>7388</v>
      </c>
      <c r="K3" s="638">
        <f>-C3</f>
        <v>-18</v>
      </c>
      <c r="L3" s="638"/>
      <c r="M3" s="638"/>
      <c r="N3" s="638"/>
    </row>
    <row r="4" spans="1:14" ht="30" x14ac:dyDescent="0.25">
      <c r="A4" s="638">
        <v>16975</v>
      </c>
      <c r="B4" s="638">
        <v>17060</v>
      </c>
      <c r="C4" s="638">
        <v>132</v>
      </c>
      <c r="D4" s="638">
        <v>250</v>
      </c>
      <c r="E4" s="638" t="s">
        <v>7086</v>
      </c>
      <c r="F4" s="638" t="s">
        <v>7087</v>
      </c>
      <c r="G4" s="638" t="s">
        <v>7087</v>
      </c>
      <c r="H4" s="638" t="s">
        <v>7088</v>
      </c>
      <c r="I4" s="638" t="s">
        <v>7087</v>
      </c>
      <c r="J4" s="800" t="s">
        <v>7077</v>
      </c>
      <c r="K4" s="638"/>
      <c r="L4" s="638">
        <f>-C4</f>
        <v>-132</v>
      </c>
      <c r="M4" s="638"/>
      <c r="N4" s="638"/>
    </row>
    <row r="5" spans="1:14" ht="45" x14ac:dyDescent="0.25">
      <c r="A5" s="638">
        <f>+B5-C5</f>
        <v>18302</v>
      </c>
      <c r="B5" s="638">
        <v>18308</v>
      </c>
      <c r="C5" s="803">
        <v>6</v>
      </c>
      <c r="D5" s="638">
        <v>250</v>
      </c>
      <c r="E5" s="638" t="s">
        <v>7089</v>
      </c>
      <c r="F5" s="638" t="s">
        <v>7088</v>
      </c>
      <c r="G5" s="638" t="s">
        <v>7087</v>
      </c>
      <c r="H5" s="638" t="s">
        <v>7087</v>
      </c>
      <c r="I5" s="638" t="s">
        <v>7088</v>
      </c>
      <c r="J5" s="800" t="s">
        <v>7090</v>
      </c>
      <c r="K5" s="638">
        <f>+C5-C5</f>
        <v>0</v>
      </c>
      <c r="L5" s="638"/>
      <c r="M5" s="638"/>
      <c r="N5" s="638"/>
    </row>
    <row r="6" spans="1:14" x14ac:dyDescent="0.25">
      <c r="A6" s="2520">
        <v>18318</v>
      </c>
      <c r="B6" s="2520">
        <f>+A6+C6</f>
        <v>18324</v>
      </c>
      <c r="C6" s="2531">
        <v>6</v>
      </c>
      <c r="D6" s="638">
        <v>250</v>
      </c>
      <c r="E6" s="2520" t="s">
        <v>7089</v>
      </c>
      <c r="F6" s="2520" t="s">
        <v>7087</v>
      </c>
      <c r="G6" s="2520" t="s">
        <v>7088</v>
      </c>
      <c r="H6" s="2520" t="s">
        <v>7087</v>
      </c>
      <c r="I6" s="2520" t="s">
        <v>7088</v>
      </c>
      <c r="J6" s="800" t="s">
        <v>7142</v>
      </c>
      <c r="K6" s="638">
        <f>+C6</f>
        <v>6</v>
      </c>
      <c r="L6" s="638"/>
      <c r="M6" s="638"/>
      <c r="N6" s="638"/>
    </row>
    <row r="7" spans="1:14" x14ac:dyDescent="0.25">
      <c r="A7" s="2521"/>
      <c r="B7" s="2521"/>
      <c r="C7" s="2532"/>
      <c r="D7" s="638">
        <v>350</v>
      </c>
      <c r="E7" s="2521"/>
      <c r="F7" s="2521"/>
      <c r="G7" s="2521"/>
      <c r="H7" s="2521"/>
      <c r="I7" s="2521"/>
      <c r="J7" s="800" t="s">
        <v>7143</v>
      </c>
      <c r="K7" s="638"/>
      <c r="L7" s="638"/>
      <c r="M7" s="638">
        <f>-C6</f>
        <v>-6</v>
      </c>
      <c r="N7" s="638"/>
    </row>
    <row r="8" spans="1:14" ht="30" x14ac:dyDescent="0.25">
      <c r="A8" s="638">
        <v>20494</v>
      </c>
      <c r="B8" s="638">
        <v>20500</v>
      </c>
      <c r="C8" s="803">
        <f>+B8-A8</f>
        <v>6</v>
      </c>
      <c r="D8" s="638">
        <v>250</v>
      </c>
      <c r="E8" s="638" t="s">
        <v>7089</v>
      </c>
      <c r="F8" s="638" t="s">
        <v>7087</v>
      </c>
      <c r="G8" s="638" t="s">
        <v>7088</v>
      </c>
      <c r="H8" s="638" t="s">
        <v>7087</v>
      </c>
      <c r="I8" s="638" t="s">
        <v>7088</v>
      </c>
      <c r="J8" s="800" t="str">
        <f>+IF(AND(D8=250,F8="No",G8="Si",H8="No",I8="Si"),"Tomar tubería sobrante de 250mm de la via cachipay", "Comprar tubería")</f>
        <v>Tomar tubería sobrante de 250mm de la via cachipay</v>
      </c>
      <c r="K8" s="638">
        <f>-C8</f>
        <v>-6</v>
      </c>
      <c r="L8" s="638"/>
      <c r="M8" s="638"/>
      <c r="N8" s="638"/>
    </row>
    <row r="9" spans="1:14" ht="45" x14ac:dyDescent="0.25">
      <c r="A9" s="638">
        <v>20532</v>
      </c>
      <c r="B9" s="638">
        <v>20818</v>
      </c>
      <c r="C9" s="638">
        <f>+B9-A9</f>
        <v>286</v>
      </c>
      <c r="D9" s="638">
        <v>350</v>
      </c>
      <c r="E9" s="638" t="s">
        <v>7089</v>
      </c>
      <c r="F9" s="638" t="s">
        <v>7088</v>
      </c>
      <c r="G9" s="638" t="s">
        <v>7087</v>
      </c>
      <c r="H9" s="638" t="s">
        <v>7087</v>
      </c>
      <c r="I9" s="638" t="s">
        <v>7088</v>
      </c>
      <c r="J9" s="800" t="s">
        <v>7090</v>
      </c>
      <c r="K9" s="638"/>
      <c r="L9" s="638"/>
      <c r="M9" s="638">
        <f>-C9+C9</f>
        <v>0</v>
      </c>
      <c r="N9" s="638"/>
    </row>
    <row r="10" spans="1:14" ht="30" x14ac:dyDescent="0.25">
      <c r="A10" s="638">
        <f>+B10-C10</f>
        <v>21164</v>
      </c>
      <c r="B10" s="638">
        <v>21170</v>
      </c>
      <c r="C10" s="638">
        <v>6</v>
      </c>
      <c r="D10" s="638">
        <v>350</v>
      </c>
      <c r="E10" s="638" t="s">
        <v>7089</v>
      </c>
      <c r="F10" s="638" t="s">
        <v>7088</v>
      </c>
      <c r="G10" s="638" t="s">
        <v>7087</v>
      </c>
      <c r="H10" s="638" t="s">
        <v>7087</v>
      </c>
      <c r="I10" s="638" t="s">
        <v>7088</v>
      </c>
      <c r="J10" s="800" t="s">
        <v>7141</v>
      </c>
      <c r="K10" s="638"/>
      <c r="L10" s="638"/>
      <c r="M10" s="658">
        <f>-C10+C10</f>
        <v>0</v>
      </c>
      <c r="N10" s="638"/>
    </row>
    <row r="11" spans="1:14" ht="30" x14ac:dyDescent="0.25">
      <c r="A11" s="638">
        <v>21185</v>
      </c>
      <c r="B11" s="638">
        <f>+A11+C11</f>
        <v>21191</v>
      </c>
      <c r="C11" s="638">
        <v>6</v>
      </c>
      <c r="D11" s="638">
        <v>350</v>
      </c>
      <c r="E11" s="638" t="s">
        <v>7089</v>
      </c>
      <c r="F11" s="638" t="s">
        <v>7088</v>
      </c>
      <c r="G11" s="638" t="s">
        <v>7087</v>
      </c>
      <c r="H11" s="638" t="s">
        <v>7087</v>
      </c>
      <c r="I11" s="638" t="s">
        <v>7088</v>
      </c>
      <c r="J11" s="800" t="s">
        <v>7141</v>
      </c>
      <c r="K11" s="638"/>
      <c r="L11" s="638"/>
      <c r="M11" s="638">
        <f>-C11+C11</f>
        <v>0</v>
      </c>
      <c r="N11" s="638"/>
    </row>
    <row r="12" spans="1:14" ht="45" x14ac:dyDescent="0.25">
      <c r="A12" s="638">
        <v>22400</v>
      </c>
      <c r="B12" s="638">
        <v>22985</v>
      </c>
      <c r="C12" s="803">
        <f>+B12-A12</f>
        <v>585</v>
      </c>
      <c r="D12" s="638">
        <v>250</v>
      </c>
      <c r="E12" s="638" t="s">
        <v>7089</v>
      </c>
      <c r="F12" s="638" t="s">
        <v>7088</v>
      </c>
      <c r="G12" s="638" t="s">
        <v>7087</v>
      </c>
      <c r="H12" s="638" t="s">
        <v>7087</v>
      </c>
      <c r="I12" s="638" t="s">
        <v>7088</v>
      </c>
      <c r="J12" s="800" t="s">
        <v>7090</v>
      </c>
      <c r="K12" s="638">
        <f>+C12-C12</f>
        <v>0</v>
      </c>
      <c r="L12" s="638"/>
      <c r="M12" s="638"/>
      <c r="N12" s="638"/>
    </row>
    <row r="13" spans="1:14" ht="45" x14ac:dyDescent="0.25">
      <c r="A13" s="638">
        <v>23000</v>
      </c>
      <c r="B13" s="638">
        <v>25600</v>
      </c>
      <c r="C13" s="803">
        <f>+B13-A13</f>
        <v>2600</v>
      </c>
      <c r="D13" s="638">
        <v>250</v>
      </c>
      <c r="E13" s="638" t="s">
        <v>7089</v>
      </c>
      <c r="F13" s="638" t="s">
        <v>7088</v>
      </c>
      <c r="G13" s="638" t="s">
        <v>7087</v>
      </c>
      <c r="H13" s="638" t="s">
        <v>7087</v>
      </c>
      <c r="I13" s="638" t="s">
        <v>7088</v>
      </c>
      <c r="J13" s="800" t="s">
        <v>7090</v>
      </c>
      <c r="K13" s="638">
        <f>-C13+C13</f>
        <v>0</v>
      </c>
      <c r="L13" s="638"/>
      <c r="M13" s="638"/>
      <c r="N13" s="638"/>
    </row>
    <row r="14" spans="1:14" x14ac:dyDescent="0.25">
      <c r="A14" s="2519">
        <v>25615</v>
      </c>
      <c r="B14" s="2519">
        <f>26300-7</f>
        <v>26293</v>
      </c>
      <c r="C14" s="2517">
        <f>+B14-A14</f>
        <v>678</v>
      </c>
      <c r="D14" s="638">
        <v>250</v>
      </c>
      <c r="E14" s="638" t="s">
        <v>7089</v>
      </c>
      <c r="F14" s="2516" t="s">
        <v>7087</v>
      </c>
      <c r="G14" s="2516" t="s">
        <v>7088</v>
      </c>
      <c r="H14" s="2516" t="s">
        <v>7087</v>
      </c>
      <c r="I14" s="2516" t="s">
        <v>7088</v>
      </c>
      <c r="J14" s="800" t="s">
        <v>7091</v>
      </c>
      <c r="K14" s="638">
        <f>+C14</f>
        <v>678</v>
      </c>
      <c r="L14" s="638"/>
      <c r="M14" s="638"/>
      <c r="N14" s="638"/>
    </row>
    <row r="15" spans="1:14" x14ac:dyDescent="0.25">
      <c r="A15" s="2519"/>
      <c r="B15" s="2519"/>
      <c r="C15" s="2517"/>
      <c r="D15" s="638">
        <v>350</v>
      </c>
      <c r="E15" s="638" t="s">
        <v>7089</v>
      </c>
      <c r="F15" s="2516"/>
      <c r="G15" s="2516"/>
      <c r="H15" s="2516"/>
      <c r="I15" s="2516"/>
      <c r="J15" s="800" t="s">
        <v>7555</v>
      </c>
      <c r="K15" s="638"/>
      <c r="L15" s="638"/>
      <c r="M15" s="638">
        <f>-C14</f>
        <v>-678</v>
      </c>
      <c r="N15" s="638"/>
    </row>
    <row r="16" spans="1:14" x14ac:dyDescent="0.25">
      <c r="A16" s="638">
        <v>26300</v>
      </c>
      <c r="B16" s="638">
        <v>26320</v>
      </c>
      <c r="C16" s="638">
        <f>+B16-A16</f>
        <v>20</v>
      </c>
      <c r="D16" s="638">
        <v>350</v>
      </c>
      <c r="E16" s="638" t="s">
        <v>7089</v>
      </c>
      <c r="F16" s="638" t="s">
        <v>7087</v>
      </c>
      <c r="G16" s="638" t="s">
        <v>7088</v>
      </c>
      <c r="H16" s="638" t="s">
        <v>7087</v>
      </c>
      <c r="I16" s="638"/>
      <c r="J16" s="800" t="s">
        <v>7096</v>
      </c>
      <c r="K16" s="638"/>
      <c r="L16" s="638"/>
      <c r="M16" s="638">
        <f>-C16</f>
        <v>-20</v>
      </c>
      <c r="N16" s="638"/>
    </row>
    <row r="17" spans="1:16" x14ac:dyDescent="0.25">
      <c r="A17" s="2519">
        <v>26320</v>
      </c>
      <c r="B17" s="2519">
        <v>27702</v>
      </c>
      <c r="C17" s="2526">
        <f>+B17-A17</f>
        <v>1382</v>
      </c>
      <c r="D17" s="638">
        <v>350</v>
      </c>
      <c r="E17" s="638" t="s">
        <v>7089</v>
      </c>
      <c r="F17" s="2522" t="s">
        <v>7087</v>
      </c>
      <c r="G17" s="2522" t="s">
        <v>7088</v>
      </c>
      <c r="H17" s="2522" t="s">
        <v>7087</v>
      </c>
      <c r="I17" s="2522"/>
      <c r="J17" s="800" t="s">
        <v>7091</v>
      </c>
      <c r="K17" s="638"/>
      <c r="L17" s="638"/>
      <c r="M17" s="638">
        <f>+C17</f>
        <v>1382</v>
      </c>
      <c r="N17" s="638"/>
    </row>
    <row r="18" spans="1:16" ht="30" x14ac:dyDescent="0.25">
      <c r="A18" s="2519"/>
      <c r="B18" s="2519"/>
      <c r="C18" s="2526"/>
      <c r="D18" s="638">
        <v>250</v>
      </c>
      <c r="E18" s="638" t="s">
        <v>7089</v>
      </c>
      <c r="F18" s="2522"/>
      <c r="G18" s="2522"/>
      <c r="H18" s="2522"/>
      <c r="I18" s="2522"/>
      <c r="J18" s="800" t="s">
        <v>7389</v>
      </c>
      <c r="K18" s="638">
        <f>-C17</f>
        <v>-1382</v>
      </c>
      <c r="L18" s="638"/>
      <c r="M18" s="638"/>
      <c r="N18" s="638"/>
    </row>
    <row r="19" spans="1:16" x14ac:dyDescent="0.25">
      <c r="A19" s="638">
        <v>27750</v>
      </c>
      <c r="B19" s="638">
        <v>27790</v>
      </c>
      <c r="C19" s="638">
        <f>+B19-A19</f>
        <v>40</v>
      </c>
      <c r="D19" s="638">
        <v>250</v>
      </c>
      <c r="E19" s="638" t="s">
        <v>7089</v>
      </c>
      <c r="F19" s="638" t="s">
        <v>7087</v>
      </c>
      <c r="G19" s="638" t="s">
        <v>7088</v>
      </c>
      <c r="H19" s="638" t="s">
        <v>7087</v>
      </c>
      <c r="I19" s="638"/>
      <c r="J19" s="800" t="s">
        <v>7388</v>
      </c>
      <c r="K19" s="638">
        <f>-C19</f>
        <v>-40</v>
      </c>
      <c r="L19" s="638"/>
      <c r="M19" s="638"/>
      <c r="N19" s="638"/>
    </row>
    <row r="20" spans="1:16" ht="45" x14ac:dyDescent="0.25">
      <c r="A20" s="638">
        <v>28116</v>
      </c>
      <c r="B20" s="638">
        <v>28318</v>
      </c>
      <c r="C20" s="803">
        <f>+B20-A20</f>
        <v>202</v>
      </c>
      <c r="D20" s="638">
        <v>250</v>
      </c>
      <c r="E20" s="638" t="s">
        <v>7089</v>
      </c>
      <c r="F20" s="638" t="s">
        <v>7088</v>
      </c>
      <c r="G20" s="638" t="s">
        <v>7087</v>
      </c>
      <c r="H20" s="638" t="s">
        <v>7087</v>
      </c>
      <c r="I20" s="638"/>
      <c r="J20" s="800" t="s">
        <v>7090</v>
      </c>
      <c r="K20" s="638">
        <f>+C20-C20</f>
        <v>0</v>
      </c>
      <c r="L20" s="638"/>
      <c r="M20" s="638"/>
      <c r="N20" s="638"/>
    </row>
    <row r="21" spans="1:16" ht="30" x14ac:dyDescent="0.25">
      <c r="A21" s="658">
        <f>+B21-6</f>
        <v>28518.5</v>
      </c>
      <c r="B21" s="658">
        <v>28524.5</v>
      </c>
      <c r="C21" s="803">
        <f>+B21-A21</f>
        <v>6</v>
      </c>
      <c r="D21" s="658">
        <v>250</v>
      </c>
      <c r="E21" s="658" t="s">
        <v>7089</v>
      </c>
      <c r="F21" s="638" t="s">
        <v>7088</v>
      </c>
      <c r="G21" s="638" t="s">
        <v>7087</v>
      </c>
      <c r="H21" s="638" t="s">
        <v>7087</v>
      </c>
      <c r="I21" s="638" t="s">
        <v>7088</v>
      </c>
      <c r="J21" s="800" t="s">
        <v>7140</v>
      </c>
      <c r="K21" s="638"/>
      <c r="L21" s="638"/>
      <c r="M21" s="638"/>
      <c r="N21" s="638"/>
    </row>
    <row r="22" spans="1:16" x14ac:dyDescent="0.25">
      <c r="A22" s="2522">
        <f>28560-3.5</f>
        <v>28556.5</v>
      </c>
      <c r="B22" s="2522">
        <f>28900-7</f>
        <v>28893</v>
      </c>
      <c r="C22" s="2525">
        <f>+B22-A22</f>
        <v>336.5</v>
      </c>
      <c r="D22" s="658">
        <v>250</v>
      </c>
      <c r="E22" s="2522" t="s">
        <v>7089</v>
      </c>
      <c r="F22" s="2522" t="s">
        <v>7087</v>
      </c>
      <c r="G22" s="2522" t="s">
        <v>7088</v>
      </c>
      <c r="H22" s="2522" t="s">
        <v>7087</v>
      </c>
      <c r="I22" s="2522" t="s">
        <v>7088</v>
      </c>
      <c r="J22" s="800" t="s">
        <v>7142</v>
      </c>
      <c r="K22" s="638">
        <f>+C22</f>
        <v>336.5</v>
      </c>
      <c r="L22" s="638"/>
      <c r="M22" s="638"/>
      <c r="N22" s="638"/>
    </row>
    <row r="23" spans="1:16" x14ac:dyDescent="0.25">
      <c r="A23" s="2522"/>
      <c r="B23" s="2522"/>
      <c r="C23" s="2525"/>
      <c r="D23" s="658">
        <v>350</v>
      </c>
      <c r="E23" s="2522"/>
      <c r="F23" s="2522"/>
      <c r="G23" s="2522"/>
      <c r="H23" s="2522"/>
      <c r="I23" s="2522"/>
      <c r="J23" s="800" t="s">
        <v>7145</v>
      </c>
      <c r="K23" s="638"/>
      <c r="L23" s="638"/>
      <c r="M23" s="638">
        <f>-C22</f>
        <v>-336.5</v>
      </c>
      <c r="N23" s="638"/>
    </row>
    <row r="24" spans="1:16" x14ac:dyDescent="0.25">
      <c r="A24" s="638">
        <f>+B22</f>
        <v>28893</v>
      </c>
      <c r="B24" s="638">
        <f>+A24+18</f>
        <v>28911</v>
      </c>
      <c r="C24" s="801">
        <f t="shared" ref="C24:C30" si="0">+B24-A24</f>
        <v>18</v>
      </c>
      <c r="D24" s="658">
        <v>350</v>
      </c>
      <c r="E24" s="658" t="s">
        <v>7089</v>
      </c>
      <c r="F24" s="638"/>
      <c r="G24" s="638"/>
      <c r="H24" s="638"/>
      <c r="I24" s="638"/>
      <c r="J24" s="800" t="s">
        <v>7144</v>
      </c>
      <c r="K24" s="638"/>
      <c r="L24" s="638"/>
      <c r="M24" s="638">
        <f>-C24</f>
        <v>-18</v>
      </c>
      <c r="N24" s="638"/>
    </row>
    <row r="25" spans="1:16" x14ac:dyDescent="0.25">
      <c r="A25" s="638">
        <v>31280</v>
      </c>
      <c r="B25" s="658">
        <v>31340</v>
      </c>
      <c r="C25" s="801">
        <f t="shared" si="0"/>
        <v>60</v>
      </c>
      <c r="D25" s="658">
        <v>350</v>
      </c>
      <c r="E25" s="658" t="s">
        <v>7086</v>
      </c>
      <c r="F25" s="658" t="s">
        <v>7087</v>
      </c>
      <c r="G25" s="658" t="s">
        <v>7087</v>
      </c>
      <c r="H25" s="658" t="s">
        <v>7088</v>
      </c>
      <c r="I25" s="658" t="s">
        <v>7087</v>
      </c>
      <c r="J25" s="800" t="s">
        <v>7146</v>
      </c>
      <c r="K25" s="638"/>
      <c r="L25" s="638"/>
      <c r="M25" s="638"/>
      <c r="N25" s="638">
        <f>-C25</f>
        <v>-60</v>
      </c>
    </row>
    <row r="26" spans="1:16" ht="45" x14ac:dyDescent="0.25">
      <c r="A26" s="638">
        <v>32555</v>
      </c>
      <c r="B26" s="658">
        <v>32986</v>
      </c>
      <c r="C26" s="801">
        <f t="shared" si="0"/>
        <v>431</v>
      </c>
      <c r="D26" s="658">
        <v>350</v>
      </c>
      <c r="E26" s="658" t="s">
        <v>7089</v>
      </c>
      <c r="F26" s="658" t="s">
        <v>7088</v>
      </c>
      <c r="G26" s="658" t="s">
        <v>7087</v>
      </c>
      <c r="H26" s="658" t="s">
        <v>7087</v>
      </c>
      <c r="I26" s="658" t="s">
        <v>7088</v>
      </c>
      <c r="J26" s="800" t="s">
        <v>7090</v>
      </c>
      <c r="K26" s="638"/>
      <c r="L26" s="638"/>
      <c r="M26" s="638">
        <f>+C26-C26</f>
        <v>0</v>
      </c>
      <c r="N26" s="638"/>
    </row>
    <row r="27" spans="1:16" x14ac:dyDescent="0.25">
      <c r="A27" s="638">
        <f>+B26</f>
        <v>32986</v>
      </c>
      <c r="B27" s="638">
        <f>+A27+28</f>
        <v>33014</v>
      </c>
      <c r="C27" s="801">
        <f t="shared" si="0"/>
        <v>28</v>
      </c>
      <c r="D27" s="658">
        <v>350</v>
      </c>
      <c r="E27" s="658" t="s">
        <v>7086</v>
      </c>
      <c r="F27" s="658" t="s">
        <v>7087</v>
      </c>
      <c r="G27" s="658" t="s">
        <v>7087</v>
      </c>
      <c r="H27" s="658" t="s">
        <v>7088</v>
      </c>
      <c r="I27" s="658" t="s">
        <v>7087</v>
      </c>
      <c r="J27" s="800" t="s">
        <v>7148</v>
      </c>
      <c r="K27" s="638"/>
      <c r="L27" s="638"/>
      <c r="M27" s="638"/>
      <c r="N27" s="638">
        <f>-C27</f>
        <v>-28</v>
      </c>
    </row>
    <row r="28" spans="1:16" ht="45" x14ac:dyDescent="0.25">
      <c r="A28" s="638">
        <f>+B27</f>
        <v>33014</v>
      </c>
      <c r="B28" s="638">
        <v>33293</v>
      </c>
      <c r="C28" s="801">
        <f t="shared" si="0"/>
        <v>279</v>
      </c>
      <c r="D28" s="658">
        <v>350</v>
      </c>
      <c r="E28" s="658" t="s">
        <v>7089</v>
      </c>
      <c r="F28" s="658" t="s">
        <v>7088</v>
      </c>
      <c r="G28" s="658" t="s">
        <v>7087</v>
      </c>
      <c r="H28" s="658" t="s">
        <v>7087</v>
      </c>
      <c r="I28" s="658" t="s">
        <v>7088</v>
      </c>
      <c r="J28" s="800" t="s">
        <v>7090</v>
      </c>
      <c r="K28" s="638"/>
      <c r="L28" s="638"/>
      <c r="M28" s="638">
        <f>+C28-C28</f>
        <v>0</v>
      </c>
      <c r="N28" s="638"/>
    </row>
    <row r="29" spans="1:16" x14ac:dyDescent="0.25">
      <c r="A29" s="638">
        <f>+B28</f>
        <v>33293</v>
      </c>
      <c r="B29" s="638">
        <f>+A29+40</f>
        <v>33333</v>
      </c>
      <c r="C29" s="801">
        <f t="shared" si="0"/>
        <v>40</v>
      </c>
      <c r="D29" s="658">
        <v>350</v>
      </c>
      <c r="E29" s="658" t="s">
        <v>7086</v>
      </c>
      <c r="F29" s="658" t="s">
        <v>7087</v>
      </c>
      <c r="G29" s="658" t="s">
        <v>7087</v>
      </c>
      <c r="H29" s="658" t="s">
        <v>7088</v>
      </c>
      <c r="I29" s="658" t="s">
        <v>7087</v>
      </c>
      <c r="J29" s="800" t="s">
        <v>7148</v>
      </c>
      <c r="K29" s="638"/>
      <c r="L29" s="638"/>
      <c r="M29" s="638"/>
      <c r="N29" s="638">
        <f>-C29</f>
        <v>-40</v>
      </c>
    </row>
    <row r="30" spans="1:16" x14ac:dyDescent="0.25">
      <c r="A30" s="2522">
        <f>+B29</f>
        <v>33333</v>
      </c>
      <c r="B30" s="2522">
        <f>34560-7</f>
        <v>34553</v>
      </c>
      <c r="C30" s="2525">
        <f t="shared" si="0"/>
        <v>1220</v>
      </c>
      <c r="D30" s="658">
        <v>250</v>
      </c>
      <c r="E30" s="658" t="s">
        <v>7089</v>
      </c>
      <c r="F30" s="2527" t="s">
        <v>7087</v>
      </c>
      <c r="G30" s="2527" t="s">
        <v>7088</v>
      </c>
      <c r="H30" s="2527" t="s">
        <v>7087</v>
      </c>
      <c r="I30" s="2527" t="s">
        <v>7088</v>
      </c>
      <c r="J30" s="791" t="s">
        <v>7149</v>
      </c>
      <c r="K30" s="638">
        <f>+C30</f>
        <v>1220</v>
      </c>
      <c r="L30" s="638"/>
      <c r="M30" s="638"/>
      <c r="N30" s="638"/>
    </row>
    <row r="31" spans="1:16" x14ac:dyDescent="0.25">
      <c r="A31" s="2522"/>
      <c r="B31" s="2522"/>
      <c r="C31" s="2525"/>
      <c r="D31" s="658">
        <v>350</v>
      </c>
      <c r="E31" s="658" t="s">
        <v>7089</v>
      </c>
      <c r="F31" s="2528"/>
      <c r="G31" s="2528"/>
      <c r="H31" s="2528"/>
      <c r="I31" s="2528"/>
      <c r="J31" s="791" t="s">
        <v>7150</v>
      </c>
      <c r="K31" s="638"/>
      <c r="L31" s="638"/>
      <c r="M31" s="638">
        <f>-C30</f>
        <v>-1220</v>
      </c>
      <c r="N31" s="638"/>
    </row>
    <row r="32" spans="1:16" x14ac:dyDescent="0.25">
      <c r="A32" s="2522">
        <f>+B30</f>
        <v>34553</v>
      </c>
      <c r="B32" s="2529">
        <v>36420</v>
      </c>
      <c r="C32" s="2522">
        <f>+B32-A32</f>
        <v>1867</v>
      </c>
      <c r="D32" s="658">
        <v>350</v>
      </c>
      <c r="E32" s="638" t="s">
        <v>7089</v>
      </c>
      <c r="F32" s="2522" t="s">
        <v>7087</v>
      </c>
      <c r="G32" s="2522" t="s">
        <v>7087</v>
      </c>
      <c r="H32" s="2522" t="s">
        <v>7088</v>
      </c>
      <c r="I32" s="2522" t="s">
        <v>7087</v>
      </c>
      <c r="J32" s="638" t="s">
        <v>7142</v>
      </c>
      <c r="K32" s="638"/>
      <c r="L32" s="638"/>
      <c r="M32" s="638">
        <f>+C32</f>
        <v>1867</v>
      </c>
      <c r="N32" s="638"/>
      <c r="P32" t="s">
        <v>7151</v>
      </c>
    </row>
    <row r="33" spans="1:16" x14ac:dyDescent="0.25">
      <c r="A33" s="2522"/>
      <c r="B33" s="2529"/>
      <c r="C33" s="2522"/>
      <c r="D33" s="804">
        <v>350</v>
      </c>
      <c r="E33" s="804" t="s">
        <v>7086</v>
      </c>
      <c r="F33" s="2522"/>
      <c r="G33" s="2522"/>
      <c r="H33" s="2522"/>
      <c r="I33" s="2522"/>
      <c r="J33" s="638" t="s">
        <v>7153</v>
      </c>
      <c r="K33" s="638"/>
      <c r="L33" s="638"/>
      <c r="M33" s="638"/>
      <c r="N33" s="638">
        <f>-C32</f>
        <v>-1867</v>
      </c>
      <c r="P33" t="s">
        <v>7152</v>
      </c>
    </row>
    <row r="34" spans="1:16" x14ac:dyDescent="0.25">
      <c r="A34" s="2522">
        <f>38280-6</f>
        <v>38274</v>
      </c>
      <c r="B34" s="2522">
        <f>38560-8</f>
        <v>38552</v>
      </c>
      <c r="C34" s="2525">
        <f>+B34-A34</f>
        <v>278</v>
      </c>
      <c r="D34" s="658">
        <v>250</v>
      </c>
      <c r="E34" s="638" t="s">
        <v>7089</v>
      </c>
      <c r="F34" s="638"/>
      <c r="G34" s="638"/>
      <c r="H34" s="638"/>
      <c r="I34" s="638"/>
      <c r="J34" s="791" t="s">
        <v>7149</v>
      </c>
      <c r="K34" s="638">
        <f>+C34</f>
        <v>278</v>
      </c>
      <c r="L34" s="638"/>
      <c r="M34" s="638"/>
      <c r="N34" s="638"/>
    </row>
    <row r="35" spans="1:16" x14ac:dyDescent="0.25">
      <c r="A35" s="2522"/>
      <c r="B35" s="2522"/>
      <c r="C35" s="2525"/>
      <c r="D35" s="658">
        <v>350</v>
      </c>
      <c r="E35" s="638" t="s">
        <v>7089</v>
      </c>
      <c r="F35" s="638"/>
      <c r="G35" s="638"/>
      <c r="H35" s="638"/>
      <c r="I35" s="638"/>
      <c r="J35" s="791" t="s">
        <v>7154</v>
      </c>
      <c r="K35" s="638"/>
      <c r="L35" s="638"/>
      <c r="M35" s="638">
        <f>-C34</f>
        <v>-278</v>
      </c>
      <c r="N35" s="638"/>
    </row>
    <row r="36" spans="1:16" x14ac:dyDescent="0.25">
      <c r="A36" s="2522">
        <f>38640-7</f>
        <v>38633</v>
      </c>
      <c r="B36" s="2522">
        <v>39300</v>
      </c>
      <c r="C36" s="2525">
        <f>+B36-A36</f>
        <v>667</v>
      </c>
      <c r="D36" s="658">
        <v>250</v>
      </c>
      <c r="E36" s="658" t="s">
        <v>7089</v>
      </c>
      <c r="F36" s="638"/>
      <c r="G36" s="638"/>
      <c r="H36" s="638"/>
      <c r="I36" s="638"/>
      <c r="J36" s="791" t="s">
        <v>7142</v>
      </c>
      <c r="K36" s="638">
        <f>+C36</f>
        <v>667</v>
      </c>
      <c r="L36" s="638"/>
      <c r="M36" s="638"/>
      <c r="N36" s="638"/>
    </row>
    <row r="37" spans="1:16" x14ac:dyDescent="0.25">
      <c r="A37" s="2522"/>
      <c r="B37" s="2522"/>
      <c r="C37" s="2525"/>
      <c r="D37" s="638">
        <v>350</v>
      </c>
      <c r="E37" s="638" t="s">
        <v>7089</v>
      </c>
      <c r="F37" s="638"/>
      <c r="G37" s="638"/>
      <c r="H37" s="638"/>
      <c r="I37" s="638"/>
      <c r="J37" s="791" t="s">
        <v>7154</v>
      </c>
      <c r="K37" s="638"/>
      <c r="L37" s="638"/>
      <c r="M37" s="638">
        <f>-C36</f>
        <v>-667</v>
      </c>
      <c r="N37" s="638"/>
    </row>
    <row r="44" spans="1:16" x14ac:dyDescent="0.25">
      <c r="K44" s="638">
        <f>SUM(K3:K43)</f>
        <v>1739.5</v>
      </c>
      <c r="L44" s="638">
        <f>SUM(L3:L43)</f>
        <v>-132</v>
      </c>
      <c r="M44" s="638">
        <f>SUM(M3:M43)</f>
        <v>25.5</v>
      </c>
      <c r="N44" s="638">
        <f>SUM(N3:N43)</f>
        <v>-1995</v>
      </c>
    </row>
    <row r="50" spans="1:4" x14ac:dyDescent="0.25">
      <c r="A50" s="633">
        <v>2</v>
      </c>
      <c r="B50" s="644" t="s">
        <v>6629</v>
      </c>
      <c r="C50" s="738"/>
    </row>
    <row r="51" spans="1:4" x14ac:dyDescent="0.25">
      <c r="A51" s="647" t="s">
        <v>94</v>
      </c>
      <c r="B51" s="648" t="s">
        <v>7218</v>
      </c>
      <c r="C51" s="736" t="s">
        <v>5402</v>
      </c>
      <c r="D51" s="638">
        <f>+C36+C34+C30+C22+C21+C20+C19+C14+C13+C12+C8+C5+C6</f>
        <v>6630.5</v>
      </c>
    </row>
    <row r="52" spans="1:4" x14ac:dyDescent="0.25">
      <c r="A52" s="647" t="s">
        <v>6622</v>
      </c>
      <c r="B52" s="648" t="s">
        <v>7391</v>
      </c>
      <c r="C52" s="736" t="s">
        <v>5402</v>
      </c>
      <c r="D52" s="638">
        <f>+C32+C26+C24+C17+C16+C11+C10+C9+C28+C19</f>
        <v>4335</v>
      </c>
    </row>
    <row r="54" spans="1:4" x14ac:dyDescent="0.25">
      <c r="A54" s="633">
        <v>5</v>
      </c>
      <c r="B54" s="644" t="s">
        <v>6632</v>
      </c>
      <c r="C54" s="737"/>
    </row>
    <row r="55" spans="1:4" x14ac:dyDescent="0.25">
      <c r="A55" s="647" t="s">
        <v>6633</v>
      </c>
      <c r="B55" s="648" t="s">
        <v>7218</v>
      </c>
      <c r="C55" s="736" t="s">
        <v>5402</v>
      </c>
      <c r="D55" s="638">
        <f>+C36+C34+C30+C22+C14+C6</f>
        <v>3185.5</v>
      </c>
    </row>
    <row r="56" spans="1:4" x14ac:dyDescent="0.25">
      <c r="A56" s="647" t="s">
        <v>644</v>
      </c>
      <c r="B56" s="648" t="s">
        <v>7391</v>
      </c>
      <c r="C56" s="736" t="s">
        <v>5402</v>
      </c>
      <c r="D56" s="638">
        <f>+C32+C17</f>
        <v>3249</v>
      </c>
    </row>
    <row r="58" spans="1:4" x14ac:dyDescent="0.25">
      <c r="A58" s="633">
        <v>6</v>
      </c>
      <c r="B58" s="644" t="s">
        <v>6634</v>
      </c>
      <c r="C58" s="738"/>
    </row>
    <row r="59" spans="1:4" x14ac:dyDescent="0.25">
      <c r="A59" s="647" t="s">
        <v>673</v>
      </c>
      <c r="B59" s="648" t="s">
        <v>6635</v>
      </c>
      <c r="C59" s="736" t="s">
        <v>5402</v>
      </c>
      <c r="D59" s="638">
        <f>+C4</f>
        <v>132</v>
      </c>
    </row>
    <row r="61" spans="1:4" x14ac:dyDescent="0.25">
      <c r="A61" s="633">
        <v>7</v>
      </c>
      <c r="B61" s="644" t="s">
        <v>6637</v>
      </c>
      <c r="C61" s="738"/>
    </row>
    <row r="62" spans="1:4" x14ac:dyDescent="0.25">
      <c r="A62" s="647" t="s">
        <v>774</v>
      </c>
      <c r="B62" s="648" t="s">
        <v>6635</v>
      </c>
      <c r="C62" s="736" t="s">
        <v>5402</v>
      </c>
      <c r="D62" s="638">
        <f>+D59</f>
        <v>132</v>
      </c>
    </row>
    <row r="63" spans="1:4" x14ac:dyDescent="0.25">
      <c r="A63" s="647" t="s">
        <v>781</v>
      </c>
      <c r="B63" s="648" t="s">
        <v>6638</v>
      </c>
      <c r="C63" s="736" t="s">
        <v>5402</v>
      </c>
      <c r="D63" s="807">
        <f>+C3+C5+C8+C12+C13+C20+C21+C17+C19</f>
        <v>4845</v>
      </c>
    </row>
    <row r="64" spans="1:4" x14ac:dyDescent="0.25">
      <c r="A64" s="647" t="s">
        <v>790</v>
      </c>
      <c r="B64" s="648" t="s">
        <v>6639</v>
      </c>
      <c r="C64" s="736" t="s">
        <v>5402</v>
      </c>
      <c r="D64" s="638">
        <f>+C6+C9+C10+C11+C14+C16+C22+C24+C26+C28+C30+C34+C36</f>
        <v>4231.5</v>
      </c>
    </row>
    <row r="66" spans="1:4" x14ac:dyDescent="0.25">
      <c r="A66" s="2530" t="s">
        <v>6659</v>
      </c>
      <c r="B66" s="2530"/>
    </row>
    <row r="67" spans="1:4" x14ac:dyDescent="0.25">
      <c r="A67" s="633">
        <v>2</v>
      </c>
      <c r="B67" s="644" t="s">
        <v>6629</v>
      </c>
      <c r="C67" s="738"/>
    </row>
    <row r="68" spans="1:4" x14ac:dyDescent="0.25">
      <c r="A68" s="647" t="s">
        <v>6621</v>
      </c>
      <c r="B68" s="648" t="s">
        <v>7391</v>
      </c>
      <c r="C68" s="736" t="s">
        <v>5402</v>
      </c>
    </row>
    <row r="70" spans="1:4" x14ac:dyDescent="0.25">
      <c r="A70" s="633">
        <v>5</v>
      </c>
      <c r="B70" s="644" t="s">
        <v>6660</v>
      </c>
      <c r="C70" s="737"/>
      <c r="D70" s="653"/>
    </row>
    <row r="71" spans="1:4" x14ac:dyDescent="0.25">
      <c r="A71" s="647" t="s">
        <v>644</v>
      </c>
      <c r="B71" s="648" t="s">
        <v>7391</v>
      </c>
      <c r="C71" s="736" t="s">
        <v>6623</v>
      </c>
      <c r="D71" s="650">
        <f>+C32</f>
        <v>1867</v>
      </c>
    </row>
    <row r="73" spans="1:4" x14ac:dyDescent="0.25">
      <c r="A73" s="633">
        <v>6</v>
      </c>
      <c r="B73" s="644" t="s">
        <v>6661</v>
      </c>
      <c r="C73" s="738"/>
      <c r="D73" s="653"/>
    </row>
    <row r="74" spans="1:4" x14ac:dyDescent="0.25">
      <c r="A74" s="647" t="s">
        <v>673</v>
      </c>
      <c r="B74" s="648" t="s">
        <v>6689</v>
      </c>
      <c r="C74" s="736" t="s">
        <v>5402</v>
      </c>
      <c r="D74" s="650">
        <f>+C32</f>
        <v>1867</v>
      </c>
    </row>
    <row r="1048575" spans="3:3" x14ac:dyDescent="0.25">
      <c r="C1048575" s="801"/>
    </row>
  </sheetData>
  <mergeCells count="53">
    <mergeCell ref="A66:B66"/>
    <mergeCell ref="A6:A7"/>
    <mergeCell ref="B6:B7"/>
    <mergeCell ref="C6:C7"/>
    <mergeCell ref="E6:E7"/>
    <mergeCell ref="C34:C35"/>
    <mergeCell ref="B34:B35"/>
    <mergeCell ref="A34:A35"/>
    <mergeCell ref="A36:A37"/>
    <mergeCell ref="B36:B37"/>
    <mergeCell ref="C36:C37"/>
    <mergeCell ref="A30:A31"/>
    <mergeCell ref="A32:A33"/>
    <mergeCell ref="H30:H31"/>
    <mergeCell ref="I30:I31"/>
    <mergeCell ref="B32:B33"/>
    <mergeCell ref="C32:C33"/>
    <mergeCell ref="F32:F33"/>
    <mergeCell ref="G32:G33"/>
    <mergeCell ref="H32:H33"/>
    <mergeCell ref="I32:I33"/>
    <mergeCell ref="G30:G31"/>
    <mergeCell ref="B30:B31"/>
    <mergeCell ref="C30:C31"/>
    <mergeCell ref="F30:F31"/>
    <mergeCell ref="G22:G23"/>
    <mergeCell ref="H22:H23"/>
    <mergeCell ref="I22:I23"/>
    <mergeCell ref="K1:N1"/>
    <mergeCell ref="A22:A23"/>
    <mergeCell ref="B22:B23"/>
    <mergeCell ref="C22:C23"/>
    <mergeCell ref="E22:E23"/>
    <mergeCell ref="F22:F23"/>
    <mergeCell ref="H17:H18"/>
    <mergeCell ref="I17:I18"/>
    <mergeCell ref="A17:A18"/>
    <mergeCell ref="B17:B18"/>
    <mergeCell ref="C17:C18"/>
    <mergeCell ref="F17:F18"/>
    <mergeCell ref="G17:G18"/>
    <mergeCell ref="I14:I15"/>
    <mergeCell ref="C14:C15"/>
    <mergeCell ref="A1:J1"/>
    <mergeCell ref="A14:A15"/>
    <mergeCell ref="B14:B15"/>
    <mergeCell ref="G14:G15"/>
    <mergeCell ref="F14:F15"/>
    <mergeCell ref="H14:H15"/>
    <mergeCell ref="F6:F7"/>
    <mergeCell ref="G6:G7"/>
    <mergeCell ref="I6:I7"/>
    <mergeCell ref="H6:H7"/>
  </mergeCell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02"/>
  <sheetViews>
    <sheetView workbookViewId="0"/>
  </sheetViews>
  <sheetFormatPr baseColWidth="10" defaultRowHeight="15" x14ac:dyDescent="0.25"/>
  <cols>
    <col min="1" max="1" width="11.28515625" bestFit="1" customWidth="1"/>
    <col min="8" max="8" width="12.7109375" hidden="1" customWidth="1"/>
    <col min="9" max="9" width="0" hidden="1" customWidth="1"/>
    <col min="12" max="12" width="12.7109375" customWidth="1"/>
    <col min="13" max="14" width="12.7109375" bestFit="1" customWidth="1"/>
    <col min="15" max="16" width="12.7109375" hidden="1" customWidth="1"/>
    <col min="17" max="17" width="12.140625" customWidth="1"/>
    <col min="18" max="21" width="12.7109375" bestFit="1" customWidth="1"/>
  </cols>
  <sheetData>
    <row r="1" spans="1:21" x14ac:dyDescent="0.25">
      <c r="A1" s="798" t="s">
        <v>7097</v>
      </c>
      <c r="B1" s="798" t="s">
        <v>7099</v>
      </c>
      <c r="C1" s="798" t="s">
        <v>7155</v>
      </c>
      <c r="D1" s="798" t="s">
        <v>7156</v>
      </c>
      <c r="E1" s="798" t="s">
        <v>7157</v>
      </c>
      <c r="F1" s="798" t="s">
        <v>7158</v>
      </c>
      <c r="G1" s="798" t="s">
        <v>7159</v>
      </c>
      <c r="H1" s="809" t="s">
        <v>7169</v>
      </c>
      <c r="I1" s="808" t="s">
        <v>7080</v>
      </c>
      <c r="J1" s="808" t="s">
        <v>7163</v>
      </c>
      <c r="L1" s="808" t="str">
        <f>+CONCATENATE($J$1," 250 ",C1)</f>
        <v>DN 250 PN10</v>
      </c>
      <c r="M1" s="808" t="str">
        <f>+CONCATENATE($J$1," 250 ",D1)</f>
        <v>DN 250 PN16</v>
      </c>
      <c r="N1" s="808" t="str">
        <f>+CONCATENATE($J$1," 250 ",E1)</f>
        <v>DN 250 PN25</v>
      </c>
      <c r="O1" s="808" t="str">
        <f>+CONCATENATE($J$1," 250 ",F1)</f>
        <v>DN 250 PN40</v>
      </c>
      <c r="P1" s="808" t="str">
        <f>+CONCATENATE($J$1," 250 ",G1)</f>
        <v>DN 250 PN60</v>
      </c>
      <c r="Q1" s="808" t="str">
        <f>+CONCATENATE($J$1," 350 ",C1)</f>
        <v>DN 350 PN10</v>
      </c>
      <c r="R1" s="808" t="str">
        <f>+CONCATENATE($J$1," 350 ",D1)</f>
        <v>DN 350 PN16</v>
      </c>
      <c r="S1" s="808" t="str">
        <f>+CONCATENATE($J$1," 350 ",E1)</f>
        <v>DN 350 PN25</v>
      </c>
      <c r="T1" s="808" t="str">
        <f>+CONCATENATE($J$1," 350 ",F1)</f>
        <v>DN 350 PN40</v>
      </c>
      <c r="U1" s="808" t="str">
        <f>+CONCATENATE($J$1," 350 ",G1)</f>
        <v>DN 350 PN60</v>
      </c>
    </row>
    <row r="2" spans="1:21" x14ac:dyDescent="0.25">
      <c r="A2" s="638" t="s">
        <v>7172</v>
      </c>
      <c r="B2" s="638">
        <v>25</v>
      </c>
      <c r="C2" s="638"/>
      <c r="D2" s="638"/>
      <c r="E2" s="638">
        <v>1</v>
      </c>
      <c r="F2" s="638"/>
      <c r="G2" s="638"/>
      <c r="H2" s="638"/>
      <c r="I2" s="638"/>
      <c r="J2" s="806">
        <v>400</v>
      </c>
      <c r="L2" s="638" t="str">
        <f>+IF(AND(J2="250",B2=10),1,"")</f>
        <v/>
      </c>
      <c r="M2" s="638" t="str">
        <f>+IF(AND(J2="250",B2=16),1,"")</f>
        <v/>
      </c>
      <c r="N2" s="638">
        <v>1</v>
      </c>
      <c r="O2" s="638" t="str">
        <f>+IF(AND(J2="250",B2=40),1,"")</f>
        <v/>
      </c>
      <c r="P2" s="638" t="str">
        <f>+IF(AND(J2="250",B2=60),1,"")</f>
        <v/>
      </c>
      <c r="Q2" s="638" t="str">
        <f>+IF(AND(J2="350",B2=10),1,"")</f>
        <v/>
      </c>
      <c r="R2" s="638" t="str">
        <f>+IF(AND(J2="350",B2=16),1,"")</f>
        <v/>
      </c>
      <c r="S2" s="638" t="str">
        <f>+IF(AND(J2="350",B2=25),1,"")</f>
        <v/>
      </c>
      <c r="T2" s="638" t="str">
        <f>+IF(AND(J2="350",B2=40),1,"")</f>
        <v/>
      </c>
      <c r="U2" s="638" t="str">
        <f>+IF(AND(J2="350",B2=60),1,"")</f>
        <v/>
      </c>
    </row>
    <row r="3" spans="1:21" x14ac:dyDescent="0.25">
      <c r="A3" s="638" t="s">
        <v>7098</v>
      </c>
      <c r="B3" s="638">
        <v>10</v>
      </c>
      <c r="C3" s="638">
        <f>+IF(B3=10,1,"")</f>
        <v>1</v>
      </c>
      <c r="D3" s="638" t="str">
        <f>+IF(B3=16,1,"")</f>
        <v/>
      </c>
      <c r="E3" s="638" t="str">
        <f>+IF(B3=25,1,"")</f>
        <v/>
      </c>
      <c r="F3" s="638" t="str">
        <f>+IF(B3=40,1,"")</f>
        <v/>
      </c>
      <c r="G3" s="638" t="str">
        <f>+IF(B3=60,1,"")</f>
        <v/>
      </c>
      <c r="H3" s="638" t="s">
        <v>7164</v>
      </c>
      <c r="I3" s="806" t="s">
        <v>7089</v>
      </c>
      <c r="J3" s="812" t="s">
        <v>7170</v>
      </c>
      <c r="L3" s="638">
        <f>+IF(AND(J3="250",B3=10),1,"")</f>
        <v>1</v>
      </c>
      <c r="M3" s="638" t="str">
        <f>+IF(AND(J3="250",B3=16),1,"")</f>
        <v/>
      </c>
      <c r="N3" s="638" t="str">
        <f>+IF(AND(J3="250",B3=25),1,"")</f>
        <v/>
      </c>
      <c r="O3" s="638" t="str">
        <f>+IF(AND(J3="250",B3=40),1,"")</f>
        <v/>
      </c>
      <c r="P3" s="638" t="str">
        <f>+IF(AND(J3="250",B3=60),1,"")</f>
        <v/>
      </c>
      <c r="Q3" s="638" t="str">
        <f>+IF(AND(J3="350",B3=10),1,"")</f>
        <v/>
      </c>
      <c r="R3" s="638" t="str">
        <f>+IF(AND(J3="350",B3=16),1,"")</f>
        <v/>
      </c>
      <c r="S3" s="638" t="str">
        <f>+IF(AND(J3="350",B3=25),1,"")</f>
        <v/>
      </c>
      <c r="T3" s="638" t="str">
        <f>+IF(AND(J3="350",B3=40),1,"")</f>
        <v/>
      </c>
      <c r="U3" s="638" t="str">
        <f>+IF(AND(J3="350",B3=60),1,"")</f>
        <v/>
      </c>
    </row>
    <row r="4" spans="1:21" x14ac:dyDescent="0.25">
      <c r="A4" s="638" t="s">
        <v>7100</v>
      </c>
      <c r="B4" s="638">
        <v>16</v>
      </c>
      <c r="C4" s="638" t="str">
        <f t="shared" ref="C4:C34" si="0">+IF(B4=10,1,"")</f>
        <v/>
      </c>
      <c r="D4" s="638">
        <f t="shared" ref="D4:D34" si="1">+IF(B4=16,1,"")</f>
        <v>1</v>
      </c>
      <c r="E4" s="638" t="str">
        <f t="shared" ref="E4:E34" si="2">+IF(B4=25,1,"")</f>
        <v/>
      </c>
      <c r="F4" s="638" t="str">
        <f t="shared" ref="F4:F34" si="3">+IF(B4=40,1,"")</f>
        <v/>
      </c>
      <c r="G4" s="638" t="str">
        <f t="shared" ref="G4:G34" si="4">+IF(B4=60,1,"")</f>
        <v/>
      </c>
      <c r="H4" s="638" t="s">
        <v>7164</v>
      </c>
      <c r="I4" s="806" t="s">
        <v>7089</v>
      </c>
      <c r="J4" s="812" t="s">
        <v>7170</v>
      </c>
      <c r="L4" s="638" t="str">
        <f t="shared" ref="L4:L34" si="5">+IF(AND(J4="250",B4=10),1,"")</f>
        <v/>
      </c>
      <c r="M4" s="638">
        <f t="shared" ref="M4:M34" si="6">+IF(AND(J4="250",B4=16),1,"")</f>
        <v>1</v>
      </c>
      <c r="N4" s="638" t="str">
        <f t="shared" ref="N4:N34" si="7">+IF(AND(J4="250",B4=25),1,"")</f>
        <v/>
      </c>
      <c r="O4" s="638" t="str">
        <f t="shared" ref="O4:O34" si="8">+IF(AND(J4="250",B4=40),1,"")</f>
        <v/>
      </c>
      <c r="P4" s="638" t="str">
        <f t="shared" ref="P4:P34" si="9">+IF(AND(J4="250",B4=60),1,"")</f>
        <v/>
      </c>
      <c r="Q4" s="638" t="str">
        <f t="shared" ref="Q4:Q34" si="10">+IF(AND(J4="350",B4=10),1,"")</f>
        <v/>
      </c>
      <c r="R4" s="638" t="str">
        <f t="shared" ref="R4:R34" si="11">+IF(AND(J4="350",B4=16),1,"")</f>
        <v/>
      </c>
      <c r="S4" s="638" t="str">
        <f t="shared" ref="S4:S34" si="12">+IF(AND(J4="350",B4=25),1,"")</f>
        <v/>
      </c>
      <c r="T4" s="638" t="str">
        <f t="shared" ref="T4:T34" si="13">+IF(AND(J4="350",B4=40),1,"")</f>
        <v/>
      </c>
      <c r="U4" s="638" t="str">
        <f t="shared" ref="U4:U34" si="14">+IF(AND(J4="350",B4=60),1,"")</f>
        <v/>
      </c>
    </row>
    <row r="5" spans="1:21" x14ac:dyDescent="0.25">
      <c r="A5" s="638" t="s">
        <v>7101</v>
      </c>
      <c r="B5" s="638">
        <v>10</v>
      </c>
      <c r="C5" s="638">
        <f t="shared" si="0"/>
        <v>1</v>
      </c>
      <c r="D5" s="638" t="str">
        <f t="shared" si="1"/>
        <v/>
      </c>
      <c r="E5" s="638" t="str">
        <f t="shared" si="2"/>
        <v/>
      </c>
      <c r="F5" s="638" t="str">
        <f t="shared" si="3"/>
        <v/>
      </c>
      <c r="G5" s="638" t="str">
        <f t="shared" si="4"/>
        <v/>
      </c>
      <c r="H5" s="638" t="s">
        <v>7164</v>
      </c>
      <c r="I5" s="806" t="s">
        <v>7089</v>
      </c>
      <c r="J5" s="812" t="s">
        <v>7170</v>
      </c>
      <c r="L5" s="638">
        <f t="shared" si="5"/>
        <v>1</v>
      </c>
      <c r="M5" s="638" t="str">
        <f t="shared" si="6"/>
        <v/>
      </c>
      <c r="N5" s="638" t="str">
        <f t="shared" si="7"/>
        <v/>
      </c>
      <c r="O5" s="638" t="str">
        <f t="shared" si="8"/>
        <v/>
      </c>
      <c r="P5" s="638" t="str">
        <f t="shared" si="9"/>
        <v/>
      </c>
      <c r="Q5" s="638" t="str">
        <f t="shared" si="10"/>
        <v/>
      </c>
      <c r="R5" s="638" t="str">
        <f t="shared" si="11"/>
        <v/>
      </c>
      <c r="S5" s="638" t="str">
        <f t="shared" si="12"/>
        <v/>
      </c>
      <c r="T5" s="638" t="str">
        <f t="shared" si="13"/>
        <v/>
      </c>
      <c r="U5" s="638" t="str">
        <f t="shared" si="14"/>
        <v/>
      </c>
    </row>
    <row r="6" spans="1:21" x14ac:dyDescent="0.25">
      <c r="A6" s="638" t="s">
        <v>7102</v>
      </c>
      <c r="B6" s="638">
        <v>16</v>
      </c>
      <c r="C6" s="638" t="str">
        <f t="shared" si="0"/>
        <v/>
      </c>
      <c r="D6" s="638">
        <f t="shared" si="1"/>
        <v>1</v>
      </c>
      <c r="E6" s="638" t="str">
        <f t="shared" si="2"/>
        <v/>
      </c>
      <c r="F6" s="638" t="str">
        <f t="shared" si="3"/>
        <v/>
      </c>
      <c r="G6" s="638" t="str">
        <f t="shared" si="4"/>
        <v/>
      </c>
      <c r="H6" s="638" t="s">
        <v>7164</v>
      </c>
      <c r="I6" s="806" t="s">
        <v>7089</v>
      </c>
      <c r="J6" s="812" t="s">
        <v>7170</v>
      </c>
      <c r="L6" s="638" t="str">
        <f t="shared" si="5"/>
        <v/>
      </c>
      <c r="M6" s="638">
        <f t="shared" si="6"/>
        <v>1</v>
      </c>
      <c r="N6" s="638" t="str">
        <f t="shared" si="7"/>
        <v/>
      </c>
      <c r="O6" s="638" t="str">
        <f t="shared" si="8"/>
        <v/>
      </c>
      <c r="P6" s="638" t="str">
        <f t="shared" si="9"/>
        <v/>
      </c>
      <c r="Q6" s="638" t="str">
        <f t="shared" si="10"/>
        <v/>
      </c>
      <c r="R6" s="638" t="str">
        <f t="shared" si="11"/>
        <v/>
      </c>
      <c r="S6" s="638" t="str">
        <f t="shared" si="12"/>
        <v/>
      </c>
      <c r="T6" s="638" t="str">
        <f t="shared" si="13"/>
        <v/>
      </c>
      <c r="U6" s="638" t="str">
        <f t="shared" si="14"/>
        <v/>
      </c>
    </row>
    <row r="7" spans="1:21" x14ac:dyDescent="0.25">
      <c r="A7" s="638" t="s">
        <v>7103</v>
      </c>
      <c r="B7" s="638">
        <v>25</v>
      </c>
      <c r="C7" s="638" t="str">
        <f t="shared" si="0"/>
        <v/>
      </c>
      <c r="D7" s="638" t="str">
        <f t="shared" si="1"/>
        <v/>
      </c>
      <c r="E7" s="638">
        <f t="shared" si="2"/>
        <v>1</v>
      </c>
      <c r="F7" s="638" t="str">
        <f t="shared" si="3"/>
        <v/>
      </c>
      <c r="G7" s="638" t="str">
        <f t="shared" si="4"/>
        <v/>
      </c>
      <c r="H7" s="638" t="s">
        <v>7165</v>
      </c>
      <c r="I7" s="806" t="s">
        <v>7089</v>
      </c>
      <c r="J7" s="812" t="s">
        <v>7171</v>
      </c>
      <c r="L7" s="638" t="str">
        <f t="shared" si="5"/>
        <v/>
      </c>
      <c r="M7" s="638" t="str">
        <f t="shared" si="6"/>
        <v/>
      </c>
      <c r="N7" s="638" t="str">
        <f t="shared" si="7"/>
        <v/>
      </c>
      <c r="O7" s="638" t="str">
        <f t="shared" si="8"/>
        <v/>
      </c>
      <c r="P7" s="638" t="str">
        <f t="shared" si="9"/>
        <v/>
      </c>
      <c r="Q7" s="638" t="str">
        <f t="shared" si="10"/>
        <v/>
      </c>
      <c r="R7" s="638" t="str">
        <f t="shared" si="11"/>
        <v/>
      </c>
      <c r="S7" s="638">
        <f t="shared" si="12"/>
        <v>1</v>
      </c>
      <c r="T7" s="638" t="str">
        <f t="shared" si="13"/>
        <v/>
      </c>
      <c r="U7" s="638" t="str">
        <f t="shared" si="14"/>
        <v/>
      </c>
    </row>
    <row r="8" spans="1:21" x14ac:dyDescent="0.25">
      <c r="A8" s="638" t="s">
        <v>7104</v>
      </c>
      <c r="B8" s="638">
        <v>25</v>
      </c>
      <c r="C8" s="638" t="str">
        <f t="shared" si="0"/>
        <v/>
      </c>
      <c r="D8" s="638" t="str">
        <f t="shared" si="1"/>
        <v/>
      </c>
      <c r="E8" s="638">
        <f t="shared" si="2"/>
        <v>1</v>
      </c>
      <c r="F8" s="638" t="str">
        <f t="shared" si="3"/>
        <v/>
      </c>
      <c r="G8" s="638" t="str">
        <f t="shared" si="4"/>
        <v/>
      </c>
      <c r="H8" s="638" t="s">
        <v>7165</v>
      </c>
      <c r="I8" s="806" t="s">
        <v>7089</v>
      </c>
      <c r="J8" s="812" t="s">
        <v>7171</v>
      </c>
      <c r="L8" s="638" t="str">
        <f t="shared" si="5"/>
        <v/>
      </c>
      <c r="M8" s="638" t="str">
        <f t="shared" si="6"/>
        <v/>
      </c>
      <c r="N8" s="638" t="str">
        <f t="shared" si="7"/>
        <v/>
      </c>
      <c r="O8" s="638" t="str">
        <f t="shared" si="8"/>
        <v/>
      </c>
      <c r="P8" s="638" t="str">
        <f t="shared" si="9"/>
        <v/>
      </c>
      <c r="Q8" s="638" t="str">
        <f t="shared" si="10"/>
        <v/>
      </c>
      <c r="R8" s="638" t="str">
        <f t="shared" si="11"/>
        <v/>
      </c>
      <c r="S8" s="638">
        <f t="shared" si="12"/>
        <v>1</v>
      </c>
      <c r="T8" s="638" t="str">
        <f t="shared" si="13"/>
        <v/>
      </c>
      <c r="U8" s="638" t="str">
        <f t="shared" si="14"/>
        <v/>
      </c>
    </row>
    <row r="9" spans="1:21" x14ac:dyDescent="0.25">
      <c r="A9" s="638" t="s">
        <v>7105</v>
      </c>
      <c r="B9" s="638">
        <v>10</v>
      </c>
      <c r="C9" s="638">
        <f t="shared" si="0"/>
        <v>1</v>
      </c>
      <c r="D9" s="638" t="str">
        <f t="shared" si="1"/>
        <v/>
      </c>
      <c r="E9" s="638" t="str">
        <f t="shared" si="2"/>
        <v/>
      </c>
      <c r="F9" s="638" t="str">
        <f t="shared" si="3"/>
        <v/>
      </c>
      <c r="G9" s="638" t="str">
        <f t="shared" si="4"/>
        <v/>
      </c>
      <c r="H9" s="638" t="s">
        <v>7165</v>
      </c>
      <c r="I9" s="806" t="s">
        <v>7089</v>
      </c>
      <c r="J9" s="812" t="s">
        <v>7171</v>
      </c>
      <c r="L9" s="638" t="str">
        <f t="shared" si="5"/>
        <v/>
      </c>
      <c r="M9" s="638" t="str">
        <f t="shared" si="6"/>
        <v/>
      </c>
      <c r="N9" s="638" t="str">
        <f t="shared" si="7"/>
        <v/>
      </c>
      <c r="O9" s="638" t="str">
        <f t="shared" si="8"/>
        <v/>
      </c>
      <c r="P9" s="638" t="str">
        <f t="shared" si="9"/>
        <v/>
      </c>
      <c r="Q9" s="638">
        <f t="shared" si="10"/>
        <v>1</v>
      </c>
      <c r="R9" s="638" t="str">
        <f t="shared" si="11"/>
        <v/>
      </c>
      <c r="S9" s="638" t="str">
        <f t="shared" si="12"/>
        <v/>
      </c>
      <c r="T9" s="638" t="str">
        <f t="shared" si="13"/>
        <v/>
      </c>
      <c r="U9" s="638" t="str">
        <f t="shared" si="14"/>
        <v/>
      </c>
    </row>
    <row r="10" spans="1:21" x14ac:dyDescent="0.25">
      <c r="A10" s="638" t="s">
        <v>7106</v>
      </c>
      <c r="B10" s="638">
        <v>25</v>
      </c>
      <c r="C10" s="638" t="str">
        <f t="shared" si="0"/>
        <v/>
      </c>
      <c r="D10" s="638" t="str">
        <f t="shared" si="1"/>
        <v/>
      </c>
      <c r="E10" s="638">
        <f t="shared" si="2"/>
        <v>1</v>
      </c>
      <c r="F10" s="638" t="str">
        <f t="shared" si="3"/>
        <v/>
      </c>
      <c r="G10" s="638" t="str">
        <f t="shared" si="4"/>
        <v/>
      </c>
      <c r="H10" s="638" t="s">
        <v>7164</v>
      </c>
      <c r="I10" s="806" t="s">
        <v>7089</v>
      </c>
      <c r="J10" s="812" t="s">
        <v>7170</v>
      </c>
      <c r="L10" s="638" t="str">
        <f t="shared" si="5"/>
        <v/>
      </c>
      <c r="M10" s="638" t="str">
        <f t="shared" si="6"/>
        <v/>
      </c>
      <c r="N10" s="638">
        <f t="shared" si="7"/>
        <v>1</v>
      </c>
      <c r="O10" s="638" t="str">
        <f t="shared" si="8"/>
        <v/>
      </c>
      <c r="P10" s="638" t="str">
        <f t="shared" si="9"/>
        <v/>
      </c>
      <c r="Q10" s="638" t="str">
        <f t="shared" si="10"/>
        <v/>
      </c>
      <c r="R10" s="638" t="str">
        <f t="shared" si="11"/>
        <v/>
      </c>
      <c r="S10" s="638" t="str">
        <f t="shared" si="12"/>
        <v/>
      </c>
      <c r="T10" s="638" t="str">
        <f t="shared" si="13"/>
        <v/>
      </c>
      <c r="U10" s="638" t="str">
        <f t="shared" si="14"/>
        <v/>
      </c>
    </row>
    <row r="11" spans="1:21" x14ac:dyDescent="0.25">
      <c r="A11" s="638" t="s">
        <v>7107</v>
      </c>
      <c r="B11" s="638">
        <v>10</v>
      </c>
      <c r="C11" s="638">
        <f t="shared" si="0"/>
        <v>1</v>
      </c>
      <c r="D11" s="638" t="str">
        <f t="shared" si="1"/>
        <v/>
      </c>
      <c r="E11" s="638" t="str">
        <f t="shared" si="2"/>
        <v/>
      </c>
      <c r="F11" s="638" t="str">
        <f t="shared" si="3"/>
        <v/>
      </c>
      <c r="G11" s="638" t="str">
        <f t="shared" si="4"/>
        <v/>
      </c>
      <c r="H11" s="638" t="s">
        <v>7165</v>
      </c>
      <c r="I11" s="806" t="s">
        <v>7089</v>
      </c>
      <c r="J11" s="812" t="s">
        <v>7171</v>
      </c>
      <c r="L11" s="638" t="str">
        <f t="shared" si="5"/>
        <v/>
      </c>
      <c r="M11" s="638" t="str">
        <f t="shared" si="6"/>
        <v/>
      </c>
      <c r="N11" s="638" t="str">
        <f t="shared" si="7"/>
        <v/>
      </c>
      <c r="O11" s="638" t="str">
        <f t="shared" si="8"/>
        <v/>
      </c>
      <c r="P11" s="638" t="str">
        <f t="shared" si="9"/>
        <v/>
      </c>
      <c r="Q11" s="638">
        <f t="shared" si="10"/>
        <v>1</v>
      </c>
      <c r="R11" s="638" t="str">
        <f t="shared" si="11"/>
        <v/>
      </c>
      <c r="S11" s="638" t="str">
        <f t="shared" si="12"/>
        <v/>
      </c>
      <c r="T11" s="638" t="str">
        <f t="shared" si="13"/>
        <v/>
      </c>
      <c r="U11" s="638" t="str">
        <f t="shared" si="14"/>
        <v/>
      </c>
    </row>
    <row r="12" spans="1:21" x14ac:dyDescent="0.25">
      <c r="A12" s="638" t="s">
        <v>7108</v>
      </c>
      <c r="B12" s="638">
        <v>10</v>
      </c>
      <c r="C12" s="638">
        <f t="shared" si="0"/>
        <v>1</v>
      </c>
      <c r="D12" s="638" t="str">
        <f t="shared" si="1"/>
        <v/>
      </c>
      <c r="E12" s="638" t="str">
        <f t="shared" si="2"/>
        <v/>
      </c>
      <c r="F12" s="638" t="str">
        <f t="shared" si="3"/>
        <v/>
      </c>
      <c r="G12" s="638" t="str">
        <f t="shared" si="4"/>
        <v/>
      </c>
      <c r="H12" s="638" t="s">
        <v>7165</v>
      </c>
      <c r="I12" s="806" t="s">
        <v>7089</v>
      </c>
      <c r="J12" s="812" t="s">
        <v>7171</v>
      </c>
      <c r="L12" s="638" t="str">
        <f t="shared" si="5"/>
        <v/>
      </c>
      <c r="M12" s="638" t="str">
        <f t="shared" si="6"/>
        <v/>
      </c>
      <c r="N12" s="638" t="str">
        <f t="shared" si="7"/>
        <v/>
      </c>
      <c r="O12" s="638" t="str">
        <f t="shared" si="8"/>
        <v/>
      </c>
      <c r="P12" s="638" t="str">
        <f t="shared" si="9"/>
        <v/>
      </c>
      <c r="Q12" s="638">
        <f t="shared" si="10"/>
        <v>1</v>
      </c>
      <c r="R12" s="638" t="str">
        <f t="shared" si="11"/>
        <v/>
      </c>
      <c r="S12" s="638" t="str">
        <f t="shared" si="12"/>
        <v/>
      </c>
      <c r="T12" s="638" t="str">
        <f t="shared" si="13"/>
        <v/>
      </c>
      <c r="U12" s="638" t="str">
        <f t="shared" si="14"/>
        <v/>
      </c>
    </row>
    <row r="13" spans="1:21" x14ac:dyDescent="0.25">
      <c r="A13" s="638" t="s">
        <v>7109</v>
      </c>
      <c r="B13" s="638">
        <v>10</v>
      </c>
      <c r="C13" s="638">
        <f t="shared" si="0"/>
        <v>1</v>
      </c>
      <c r="D13" s="638" t="str">
        <f t="shared" si="1"/>
        <v/>
      </c>
      <c r="E13" s="638" t="str">
        <f t="shared" si="2"/>
        <v/>
      </c>
      <c r="F13" s="638" t="str">
        <f t="shared" si="3"/>
        <v/>
      </c>
      <c r="G13" s="638" t="str">
        <f t="shared" si="4"/>
        <v/>
      </c>
      <c r="H13" s="638" t="s">
        <v>7164</v>
      </c>
      <c r="I13" s="806" t="s">
        <v>7089</v>
      </c>
      <c r="J13" s="812" t="s">
        <v>7170</v>
      </c>
      <c r="L13" s="638">
        <f t="shared" si="5"/>
        <v>1</v>
      </c>
      <c r="M13" s="638" t="str">
        <f t="shared" si="6"/>
        <v/>
      </c>
      <c r="N13" s="638" t="str">
        <f t="shared" si="7"/>
        <v/>
      </c>
      <c r="O13" s="638" t="str">
        <f t="shared" si="8"/>
        <v/>
      </c>
      <c r="P13" s="638" t="str">
        <f t="shared" si="9"/>
        <v/>
      </c>
      <c r="Q13" s="638" t="str">
        <f t="shared" si="10"/>
        <v/>
      </c>
      <c r="R13" s="638" t="str">
        <f t="shared" si="11"/>
        <v/>
      </c>
      <c r="S13" s="638" t="str">
        <f t="shared" si="12"/>
        <v/>
      </c>
      <c r="T13" s="638" t="str">
        <f t="shared" si="13"/>
        <v/>
      </c>
      <c r="U13" s="638" t="str">
        <f t="shared" si="14"/>
        <v/>
      </c>
    </row>
    <row r="14" spans="1:21" x14ac:dyDescent="0.25">
      <c r="A14" s="638" t="s">
        <v>7110</v>
      </c>
      <c r="B14" s="638">
        <v>10</v>
      </c>
      <c r="C14" s="638">
        <f t="shared" si="0"/>
        <v>1</v>
      </c>
      <c r="D14" s="638" t="str">
        <f t="shared" si="1"/>
        <v/>
      </c>
      <c r="E14" s="638" t="str">
        <f t="shared" si="2"/>
        <v/>
      </c>
      <c r="F14" s="638" t="str">
        <f t="shared" si="3"/>
        <v/>
      </c>
      <c r="G14" s="638" t="str">
        <f t="shared" si="4"/>
        <v/>
      </c>
      <c r="H14" s="638" t="s">
        <v>7164</v>
      </c>
      <c r="I14" s="806" t="s">
        <v>7089</v>
      </c>
      <c r="J14" s="812" t="s">
        <v>7170</v>
      </c>
      <c r="L14" s="638">
        <f t="shared" si="5"/>
        <v>1</v>
      </c>
      <c r="M14" s="638" t="str">
        <f t="shared" si="6"/>
        <v/>
      </c>
      <c r="N14" s="638" t="str">
        <f t="shared" si="7"/>
        <v/>
      </c>
      <c r="O14" s="638" t="str">
        <f t="shared" si="8"/>
        <v/>
      </c>
      <c r="P14" s="638" t="str">
        <f t="shared" si="9"/>
        <v/>
      </c>
      <c r="Q14" s="638" t="str">
        <f t="shared" si="10"/>
        <v/>
      </c>
      <c r="R14" s="638" t="str">
        <f t="shared" si="11"/>
        <v/>
      </c>
      <c r="S14" s="638" t="str">
        <f t="shared" si="12"/>
        <v/>
      </c>
      <c r="T14" s="638" t="str">
        <f t="shared" si="13"/>
        <v/>
      </c>
      <c r="U14" s="638" t="str">
        <f t="shared" si="14"/>
        <v/>
      </c>
    </row>
    <row r="15" spans="1:21" x14ac:dyDescent="0.25">
      <c r="A15" s="638" t="s">
        <v>7111</v>
      </c>
      <c r="B15" s="638">
        <v>25</v>
      </c>
      <c r="C15" s="638" t="str">
        <f t="shared" si="0"/>
        <v/>
      </c>
      <c r="D15" s="638" t="str">
        <f t="shared" si="1"/>
        <v/>
      </c>
      <c r="E15" s="638">
        <f t="shared" si="2"/>
        <v>1</v>
      </c>
      <c r="F15" s="638" t="str">
        <f t="shared" si="3"/>
        <v/>
      </c>
      <c r="G15" s="638" t="str">
        <f t="shared" si="4"/>
        <v/>
      </c>
      <c r="H15" s="638" t="s">
        <v>7164</v>
      </c>
      <c r="I15" s="806" t="s">
        <v>7089</v>
      </c>
      <c r="J15" s="812" t="s">
        <v>7170</v>
      </c>
      <c r="L15" s="638" t="str">
        <f t="shared" si="5"/>
        <v/>
      </c>
      <c r="M15" s="638" t="str">
        <f t="shared" si="6"/>
        <v/>
      </c>
      <c r="N15" s="638">
        <f t="shared" si="7"/>
        <v>1</v>
      </c>
      <c r="O15" s="638" t="str">
        <f t="shared" si="8"/>
        <v/>
      </c>
      <c r="P15" s="638" t="str">
        <f t="shared" si="9"/>
        <v/>
      </c>
      <c r="Q15" s="638" t="str">
        <f t="shared" si="10"/>
        <v/>
      </c>
      <c r="R15" s="638" t="str">
        <f t="shared" si="11"/>
        <v/>
      </c>
      <c r="S15" s="638" t="str">
        <f t="shared" si="12"/>
        <v/>
      </c>
      <c r="T15" s="638" t="str">
        <f t="shared" si="13"/>
        <v/>
      </c>
      <c r="U15" s="638" t="str">
        <f t="shared" si="14"/>
        <v/>
      </c>
    </row>
    <row r="16" spans="1:21" x14ac:dyDescent="0.25">
      <c r="A16" s="638" t="s">
        <v>7112</v>
      </c>
      <c r="B16" s="638">
        <v>25</v>
      </c>
      <c r="C16" s="638" t="str">
        <f t="shared" si="0"/>
        <v/>
      </c>
      <c r="D16" s="638" t="str">
        <f t="shared" si="1"/>
        <v/>
      </c>
      <c r="E16" s="638">
        <f t="shared" si="2"/>
        <v>1</v>
      </c>
      <c r="F16" s="638" t="str">
        <f t="shared" si="3"/>
        <v/>
      </c>
      <c r="G16" s="638" t="str">
        <f t="shared" si="4"/>
        <v/>
      </c>
      <c r="H16" s="638" t="s">
        <v>7165</v>
      </c>
      <c r="I16" s="806" t="s">
        <v>7089</v>
      </c>
      <c r="J16" s="812" t="s">
        <v>7171</v>
      </c>
      <c r="L16" s="638" t="str">
        <f t="shared" si="5"/>
        <v/>
      </c>
      <c r="M16" s="638" t="str">
        <f t="shared" si="6"/>
        <v/>
      </c>
      <c r="N16" s="638" t="str">
        <f t="shared" si="7"/>
        <v/>
      </c>
      <c r="O16" s="638" t="str">
        <f t="shared" si="8"/>
        <v/>
      </c>
      <c r="P16" s="638" t="str">
        <f t="shared" si="9"/>
        <v/>
      </c>
      <c r="Q16" s="638" t="str">
        <f t="shared" si="10"/>
        <v/>
      </c>
      <c r="R16" s="638" t="str">
        <f t="shared" si="11"/>
        <v/>
      </c>
      <c r="S16" s="638">
        <f t="shared" si="12"/>
        <v>1</v>
      </c>
      <c r="T16" s="638" t="str">
        <f t="shared" si="13"/>
        <v/>
      </c>
      <c r="U16" s="638" t="str">
        <f t="shared" si="14"/>
        <v/>
      </c>
    </row>
    <row r="17" spans="1:21" x14ac:dyDescent="0.25">
      <c r="A17" s="638" t="s">
        <v>7113</v>
      </c>
      <c r="B17" s="638">
        <v>16</v>
      </c>
      <c r="C17" s="638" t="str">
        <f t="shared" si="0"/>
        <v/>
      </c>
      <c r="D17" s="638">
        <f t="shared" si="1"/>
        <v>1</v>
      </c>
      <c r="E17" s="638" t="str">
        <f t="shared" si="2"/>
        <v/>
      </c>
      <c r="F17" s="638" t="str">
        <f t="shared" si="3"/>
        <v/>
      </c>
      <c r="G17" s="638" t="str">
        <f t="shared" si="4"/>
        <v/>
      </c>
      <c r="H17" s="638" t="s">
        <v>7165</v>
      </c>
      <c r="I17" s="806" t="s">
        <v>7089</v>
      </c>
      <c r="J17" s="812" t="s">
        <v>7171</v>
      </c>
      <c r="L17" s="638" t="str">
        <f t="shared" si="5"/>
        <v/>
      </c>
      <c r="M17" s="638" t="str">
        <f t="shared" si="6"/>
        <v/>
      </c>
      <c r="N17" s="638" t="str">
        <f t="shared" si="7"/>
        <v/>
      </c>
      <c r="O17" s="638" t="str">
        <f t="shared" si="8"/>
        <v/>
      </c>
      <c r="P17" s="638" t="str">
        <f t="shared" si="9"/>
        <v/>
      </c>
      <c r="Q17" s="638" t="str">
        <f t="shared" si="10"/>
        <v/>
      </c>
      <c r="R17" s="638">
        <f t="shared" si="11"/>
        <v>1</v>
      </c>
      <c r="S17" s="638" t="str">
        <f t="shared" si="12"/>
        <v/>
      </c>
      <c r="T17" s="638" t="str">
        <f t="shared" si="13"/>
        <v/>
      </c>
      <c r="U17" s="638" t="str">
        <f t="shared" si="14"/>
        <v/>
      </c>
    </row>
    <row r="18" spans="1:21" x14ac:dyDescent="0.25">
      <c r="A18" s="638" t="s">
        <v>7114</v>
      </c>
      <c r="B18" s="638">
        <v>40</v>
      </c>
      <c r="C18" s="638" t="str">
        <f t="shared" si="0"/>
        <v/>
      </c>
      <c r="D18" s="638" t="str">
        <f t="shared" si="1"/>
        <v/>
      </c>
      <c r="E18" s="638" t="str">
        <f t="shared" si="2"/>
        <v/>
      </c>
      <c r="F18" s="638">
        <f t="shared" si="3"/>
        <v>1</v>
      </c>
      <c r="G18" s="638" t="str">
        <f t="shared" si="4"/>
        <v/>
      </c>
      <c r="H18" s="638" t="s">
        <v>7165</v>
      </c>
      <c r="I18" s="806" t="s">
        <v>7089</v>
      </c>
      <c r="J18" s="812" t="s">
        <v>7171</v>
      </c>
      <c r="L18" s="638" t="str">
        <f t="shared" si="5"/>
        <v/>
      </c>
      <c r="M18" s="638" t="str">
        <f t="shared" si="6"/>
        <v/>
      </c>
      <c r="N18" s="638" t="str">
        <f t="shared" si="7"/>
        <v/>
      </c>
      <c r="O18" s="638" t="str">
        <f t="shared" si="8"/>
        <v/>
      </c>
      <c r="P18" s="638" t="str">
        <f t="shared" si="9"/>
        <v/>
      </c>
      <c r="Q18" s="638" t="str">
        <f t="shared" si="10"/>
        <v/>
      </c>
      <c r="R18" s="638" t="str">
        <f t="shared" si="11"/>
        <v/>
      </c>
      <c r="S18" s="638" t="str">
        <f t="shared" si="12"/>
        <v/>
      </c>
      <c r="T18" s="638">
        <f t="shared" si="13"/>
        <v>1</v>
      </c>
      <c r="U18" s="638" t="str">
        <f t="shared" si="14"/>
        <v/>
      </c>
    </row>
    <row r="19" spans="1:21" x14ac:dyDescent="0.25">
      <c r="A19" s="638" t="s">
        <v>7115</v>
      </c>
      <c r="B19" s="638">
        <v>40</v>
      </c>
      <c r="C19" s="638" t="str">
        <f t="shared" si="0"/>
        <v/>
      </c>
      <c r="D19" s="638" t="str">
        <f t="shared" si="1"/>
        <v/>
      </c>
      <c r="E19" s="638" t="str">
        <f t="shared" si="2"/>
        <v/>
      </c>
      <c r="F19" s="638">
        <f t="shared" si="3"/>
        <v>1</v>
      </c>
      <c r="G19" s="638" t="str">
        <f t="shared" si="4"/>
        <v/>
      </c>
      <c r="H19" s="638" t="s">
        <v>7165</v>
      </c>
      <c r="I19" s="806" t="s">
        <v>7089</v>
      </c>
      <c r="J19" s="812" t="s">
        <v>7171</v>
      </c>
      <c r="L19" s="638" t="str">
        <f t="shared" si="5"/>
        <v/>
      </c>
      <c r="M19" s="638" t="str">
        <f t="shared" si="6"/>
        <v/>
      </c>
      <c r="N19" s="638" t="str">
        <f t="shared" si="7"/>
        <v/>
      </c>
      <c r="O19" s="638" t="str">
        <f t="shared" si="8"/>
        <v/>
      </c>
      <c r="P19" s="638" t="str">
        <f t="shared" si="9"/>
        <v/>
      </c>
      <c r="Q19" s="638" t="str">
        <f t="shared" si="10"/>
        <v/>
      </c>
      <c r="R19" s="638" t="str">
        <f t="shared" si="11"/>
        <v/>
      </c>
      <c r="S19" s="638" t="str">
        <f t="shared" si="12"/>
        <v/>
      </c>
      <c r="T19" s="638">
        <f t="shared" si="13"/>
        <v>1</v>
      </c>
      <c r="U19" s="638" t="str">
        <f t="shared" si="14"/>
        <v/>
      </c>
    </row>
    <row r="20" spans="1:21" x14ac:dyDescent="0.25">
      <c r="A20" s="638" t="s">
        <v>7116</v>
      </c>
      <c r="B20" s="638">
        <v>40</v>
      </c>
      <c r="C20" s="638" t="str">
        <f t="shared" si="0"/>
        <v/>
      </c>
      <c r="D20" s="638" t="str">
        <f t="shared" si="1"/>
        <v/>
      </c>
      <c r="E20" s="638" t="str">
        <f t="shared" si="2"/>
        <v/>
      </c>
      <c r="F20" s="638">
        <f t="shared" si="3"/>
        <v>1</v>
      </c>
      <c r="G20" s="638" t="str">
        <f t="shared" si="4"/>
        <v/>
      </c>
      <c r="H20" s="638" t="s">
        <v>7165</v>
      </c>
      <c r="I20" s="806" t="s">
        <v>7089</v>
      </c>
      <c r="J20" s="812" t="s">
        <v>7171</v>
      </c>
      <c r="L20" s="638" t="str">
        <f t="shared" si="5"/>
        <v/>
      </c>
      <c r="M20" s="638" t="str">
        <f t="shared" si="6"/>
        <v/>
      </c>
      <c r="N20" s="638" t="str">
        <f t="shared" si="7"/>
        <v/>
      </c>
      <c r="O20" s="638" t="str">
        <f t="shared" si="8"/>
        <v/>
      </c>
      <c r="P20" s="638" t="str">
        <f t="shared" si="9"/>
        <v/>
      </c>
      <c r="Q20" s="638" t="str">
        <f t="shared" si="10"/>
        <v/>
      </c>
      <c r="R20" s="638" t="str">
        <f t="shared" si="11"/>
        <v/>
      </c>
      <c r="S20" s="638" t="str">
        <f t="shared" si="12"/>
        <v/>
      </c>
      <c r="T20" s="638">
        <f t="shared" si="13"/>
        <v>1</v>
      </c>
      <c r="U20" s="638" t="str">
        <f t="shared" si="14"/>
        <v/>
      </c>
    </row>
    <row r="21" spans="1:21" x14ac:dyDescent="0.25">
      <c r="A21" s="638" t="s">
        <v>7117</v>
      </c>
      <c r="B21" s="638">
        <v>60</v>
      </c>
      <c r="C21" s="638" t="str">
        <f t="shared" si="0"/>
        <v/>
      </c>
      <c r="D21" s="638" t="str">
        <f t="shared" si="1"/>
        <v/>
      </c>
      <c r="E21" s="638" t="str">
        <f t="shared" si="2"/>
        <v/>
      </c>
      <c r="F21" s="638" t="str">
        <f t="shared" si="3"/>
        <v/>
      </c>
      <c r="G21" s="638">
        <f t="shared" si="4"/>
        <v>1</v>
      </c>
      <c r="H21" s="638" t="s">
        <v>7165</v>
      </c>
      <c r="I21" s="806" t="s">
        <v>7089</v>
      </c>
      <c r="J21" s="812" t="s">
        <v>7171</v>
      </c>
      <c r="L21" s="638" t="str">
        <f t="shared" si="5"/>
        <v/>
      </c>
      <c r="M21" s="638" t="str">
        <f t="shared" si="6"/>
        <v/>
      </c>
      <c r="N21" s="638" t="str">
        <f t="shared" si="7"/>
        <v/>
      </c>
      <c r="O21" s="638" t="str">
        <f t="shared" si="8"/>
        <v/>
      </c>
      <c r="P21" s="638" t="str">
        <f t="shared" si="9"/>
        <v/>
      </c>
      <c r="Q21" s="638" t="str">
        <f t="shared" si="10"/>
        <v/>
      </c>
      <c r="R21" s="638" t="str">
        <f t="shared" si="11"/>
        <v/>
      </c>
      <c r="S21" s="638" t="str">
        <f t="shared" si="12"/>
        <v/>
      </c>
      <c r="T21" s="638" t="str">
        <f t="shared" si="13"/>
        <v/>
      </c>
      <c r="U21" s="638">
        <f t="shared" si="14"/>
        <v>1</v>
      </c>
    </row>
    <row r="22" spans="1:21" x14ac:dyDescent="0.25">
      <c r="A22" s="638" t="s">
        <v>7118</v>
      </c>
      <c r="B22" s="638">
        <v>60</v>
      </c>
      <c r="C22" s="638" t="str">
        <f t="shared" si="0"/>
        <v/>
      </c>
      <c r="D22" s="638" t="str">
        <f t="shared" si="1"/>
        <v/>
      </c>
      <c r="E22" s="638" t="str">
        <f t="shared" si="2"/>
        <v/>
      </c>
      <c r="F22" s="638" t="str">
        <f t="shared" si="3"/>
        <v/>
      </c>
      <c r="G22" s="638">
        <f t="shared" si="4"/>
        <v>1</v>
      </c>
      <c r="H22" s="638" t="s">
        <v>7165</v>
      </c>
      <c r="I22" s="806" t="s">
        <v>7089</v>
      </c>
      <c r="J22" s="812" t="s">
        <v>7171</v>
      </c>
      <c r="L22" s="638" t="str">
        <f t="shared" si="5"/>
        <v/>
      </c>
      <c r="M22" s="638" t="str">
        <f t="shared" si="6"/>
        <v/>
      </c>
      <c r="N22" s="638" t="str">
        <f t="shared" si="7"/>
        <v/>
      </c>
      <c r="O22" s="638" t="str">
        <f t="shared" si="8"/>
        <v/>
      </c>
      <c r="P22" s="638" t="str">
        <f t="shared" si="9"/>
        <v/>
      </c>
      <c r="Q22" s="638" t="str">
        <f t="shared" si="10"/>
        <v/>
      </c>
      <c r="R22" s="638" t="str">
        <f t="shared" si="11"/>
        <v/>
      </c>
      <c r="S22" s="638" t="str">
        <f t="shared" si="12"/>
        <v/>
      </c>
      <c r="T22" s="638" t="str">
        <f t="shared" si="13"/>
        <v/>
      </c>
      <c r="U22" s="638">
        <f t="shared" si="14"/>
        <v>1</v>
      </c>
    </row>
    <row r="23" spans="1:21" x14ac:dyDescent="0.25">
      <c r="A23" s="638" t="s">
        <v>7119</v>
      </c>
      <c r="B23" s="638">
        <v>60</v>
      </c>
      <c r="C23" s="638" t="str">
        <f t="shared" si="0"/>
        <v/>
      </c>
      <c r="D23" s="638" t="str">
        <f t="shared" si="1"/>
        <v/>
      </c>
      <c r="E23" s="638" t="str">
        <f t="shared" si="2"/>
        <v/>
      </c>
      <c r="F23" s="638" t="str">
        <f t="shared" si="3"/>
        <v/>
      </c>
      <c r="G23" s="638">
        <f t="shared" si="4"/>
        <v>1</v>
      </c>
      <c r="H23" s="638" t="s">
        <v>7165</v>
      </c>
      <c r="I23" s="806" t="s">
        <v>7089</v>
      </c>
      <c r="J23" s="812" t="s">
        <v>7171</v>
      </c>
      <c r="L23" s="638" t="str">
        <f t="shared" si="5"/>
        <v/>
      </c>
      <c r="M23" s="638" t="str">
        <f t="shared" si="6"/>
        <v/>
      </c>
      <c r="N23" s="638" t="str">
        <f t="shared" si="7"/>
        <v/>
      </c>
      <c r="O23" s="638" t="str">
        <f t="shared" si="8"/>
        <v/>
      </c>
      <c r="P23" s="638" t="str">
        <f t="shared" si="9"/>
        <v/>
      </c>
      <c r="Q23" s="638" t="str">
        <f t="shared" si="10"/>
        <v/>
      </c>
      <c r="R23" s="638" t="str">
        <f t="shared" si="11"/>
        <v/>
      </c>
      <c r="S23" s="638" t="str">
        <f t="shared" si="12"/>
        <v/>
      </c>
      <c r="T23" s="638" t="str">
        <f t="shared" si="13"/>
        <v/>
      </c>
      <c r="U23" s="638">
        <f t="shared" si="14"/>
        <v>1</v>
      </c>
    </row>
    <row r="24" spans="1:21" x14ac:dyDescent="0.25">
      <c r="A24" s="638" t="s">
        <v>7120</v>
      </c>
      <c r="B24" s="638">
        <v>60</v>
      </c>
      <c r="C24" s="638" t="str">
        <f t="shared" si="0"/>
        <v/>
      </c>
      <c r="D24" s="638" t="str">
        <f t="shared" si="1"/>
        <v/>
      </c>
      <c r="E24" s="638" t="str">
        <f t="shared" si="2"/>
        <v/>
      </c>
      <c r="F24" s="638" t="str">
        <f t="shared" si="3"/>
        <v/>
      </c>
      <c r="G24" s="638">
        <f t="shared" si="4"/>
        <v>1</v>
      </c>
      <c r="H24" s="638" t="s">
        <v>7165</v>
      </c>
      <c r="I24" s="806" t="s">
        <v>7089</v>
      </c>
      <c r="J24" s="812" t="s">
        <v>7171</v>
      </c>
      <c r="L24" s="638" t="str">
        <f t="shared" si="5"/>
        <v/>
      </c>
      <c r="M24" s="638" t="str">
        <f t="shared" si="6"/>
        <v/>
      </c>
      <c r="N24" s="638" t="str">
        <f t="shared" si="7"/>
        <v/>
      </c>
      <c r="O24" s="638" t="str">
        <f t="shared" si="8"/>
        <v/>
      </c>
      <c r="P24" s="638" t="str">
        <f t="shared" si="9"/>
        <v/>
      </c>
      <c r="Q24" s="638" t="str">
        <f t="shared" si="10"/>
        <v/>
      </c>
      <c r="R24" s="638" t="str">
        <f t="shared" si="11"/>
        <v/>
      </c>
      <c r="S24" s="638" t="str">
        <f t="shared" si="12"/>
        <v/>
      </c>
      <c r="T24" s="638" t="str">
        <f t="shared" si="13"/>
        <v/>
      </c>
      <c r="U24" s="638">
        <f t="shared" si="14"/>
        <v>1</v>
      </c>
    </row>
    <row r="25" spans="1:21" x14ac:dyDescent="0.25">
      <c r="A25" s="638" t="s">
        <v>7121</v>
      </c>
      <c r="B25" s="638">
        <v>60</v>
      </c>
      <c r="C25" s="638" t="str">
        <f t="shared" si="0"/>
        <v/>
      </c>
      <c r="D25" s="638" t="str">
        <f t="shared" si="1"/>
        <v/>
      </c>
      <c r="E25" s="638" t="str">
        <f t="shared" si="2"/>
        <v/>
      </c>
      <c r="F25" s="638" t="str">
        <f t="shared" si="3"/>
        <v/>
      </c>
      <c r="G25" s="638">
        <f t="shared" si="4"/>
        <v>1</v>
      </c>
      <c r="H25" s="638" t="s">
        <v>7166</v>
      </c>
      <c r="I25" s="806" t="s">
        <v>7086</v>
      </c>
      <c r="J25" s="812" t="s">
        <v>7171</v>
      </c>
      <c r="L25" s="638" t="str">
        <f t="shared" si="5"/>
        <v/>
      </c>
      <c r="M25" s="638" t="str">
        <f t="shared" si="6"/>
        <v/>
      </c>
      <c r="N25" s="638" t="str">
        <f t="shared" si="7"/>
        <v/>
      </c>
      <c r="O25" s="638" t="str">
        <f t="shared" si="8"/>
        <v/>
      </c>
      <c r="P25" s="638" t="str">
        <f t="shared" si="9"/>
        <v/>
      </c>
      <c r="Q25" s="638" t="str">
        <f t="shared" si="10"/>
        <v/>
      </c>
      <c r="R25" s="638" t="str">
        <f t="shared" si="11"/>
        <v/>
      </c>
      <c r="S25" s="638" t="str">
        <f t="shared" si="12"/>
        <v/>
      </c>
      <c r="T25" s="638" t="str">
        <f t="shared" si="13"/>
        <v/>
      </c>
      <c r="U25" s="638">
        <f t="shared" si="14"/>
        <v>1</v>
      </c>
    </row>
    <row r="26" spans="1:21" x14ac:dyDescent="0.25">
      <c r="A26" s="638" t="s">
        <v>7122</v>
      </c>
      <c r="B26" s="638">
        <v>60</v>
      </c>
      <c r="C26" s="638" t="str">
        <f t="shared" si="0"/>
        <v/>
      </c>
      <c r="D26" s="638" t="str">
        <f t="shared" si="1"/>
        <v/>
      </c>
      <c r="E26" s="638" t="str">
        <f t="shared" si="2"/>
        <v/>
      </c>
      <c r="F26" s="638" t="str">
        <f t="shared" si="3"/>
        <v/>
      </c>
      <c r="G26" s="638">
        <f t="shared" si="4"/>
        <v>1</v>
      </c>
      <c r="H26" s="638" t="s">
        <v>7166</v>
      </c>
      <c r="I26" s="806" t="s">
        <v>7086</v>
      </c>
      <c r="J26" s="812" t="s">
        <v>7171</v>
      </c>
      <c r="L26" s="638" t="str">
        <f t="shared" si="5"/>
        <v/>
      </c>
      <c r="M26" s="638" t="str">
        <f t="shared" si="6"/>
        <v/>
      </c>
      <c r="N26" s="638" t="str">
        <f t="shared" si="7"/>
        <v/>
      </c>
      <c r="O26" s="638" t="str">
        <f t="shared" si="8"/>
        <v/>
      </c>
      <c r="P26" s="638" t="str">
        <f t="shared" si="9"/>
        <v/>
      </c>
      <c r="Q26" s="638" t="str">
        <f t="shared" si="10"/>
        <v/>
      </c>
      <c r="R26" s="638" t="str">
        <f t="shared" si="11"/>
        <v/>
      </c>
      <c r="S26" s="638" t="str">
        <f t="shared" si="12"/>
        <v/>
      </c>
      <c r="T26" s="638" t="str">
        <f t="shared" si="13"/>
        <v/>
      </c>
      <c r="U26" s="638">
        <f t="shared" si="14"/>
        <v>1</v>
      </c>
    </row>
    <row r="27" spans="1:21" x14ac:dyDescent="0.25">
      <c r="A27" s="638" t="s">
        <v>7123</v>
      </c>
      <c r="B27" s="638">
        <v>60</v>
      </c>
      <c r="C27" s="638" t="str">
        <f t="shared" si="0"/>
        <v/>
      </c>
      <c r="D27" s="638" t="str">
        <f t="shared" si="1"/>
        <v/>
      </c>
      <c r="E27" s="638" t="str">
        <f t="shared" si="2"/>
        <v/>
      </c>
      <c r="F27" s="638" t="str">
        <f t="shared" si="3"/>
        <v/>
      </c>
      <c r="G27" s="638">
        <f t="shared" si="4"/>
        <v>1</v>
      </c>
      <c r="H27" s="638" t="s">
        <v>7165</v>
      </c>
      <c r="I27" s="806" t="s">
        <v>7089</v>
      </c>
      <c r="J27" s="812" t="s">
        <v>7171</v>
      </c>
      <c r="L27" s="638" t="str">
        <f t="shared" si="5"/>
        <v/>
      </c>
      <c r="M27" s="638" t="str">
        <f t="shared" si="6"/>
        <v/>
      </c>
      <c r="N27" s="638" t="str">
        <f t="shared" si="7"/>
        <v/>
      </c>
      <c r="O27" s="638" t="str">
        <f t="shared" si="8"/>
        <v/>
      </c>
      <c r="P27" s="638" t="str">
        <f t="shared" si="9"/>
        <v/>
      </c>
      <c r="Q27" s="638" t="str">
        <f t="shared" si="10"/>
        <v/>
      </c>
      <c r="R27" s="638" t="str">
        <f t="shared" si="11"/>
        <v/>
      </c>
      <c r="S27" s="638" t="str">
        <f t="shared" si="12"/>
        <v/>
      </c>
      <c r="T27" s="638" t="str">
        <f t="shared" si="13"/>
        <v/>
      </c>
      <c r="U27" s="638">
        <f t="shared" si="14"/>
        <v>1</v>
      </c>
    </row>
    <row r="28" spans="1:21" x14ac:dyDescent="0.25">
      <c r="A28" s="638" t="s">
        <v>7124</v>
      </c>
      <c r="B28" s="638">
        <v>60</v>
      </c>
      <c r="C28" s="638" t="str">
        <f t="shared" si="0"/>
        <v/>
      </c>
      <c r="D28" s="638" t="str">
        <f t="shared" si="1"/>
        <v/>
      </c>
      <c r="E28" s="638" t="str">
        <f t="shared" si="2"/>
        <v/>
      </c>
      <c r="F28" s="638" t="str">
        <f t="shared" si="3"/>
        <v/>
      </c>
      <c r="G28" s="638">
        <f t="shared" si="4"/>
        <v>1</v>
      </c>
      <c r="H28" s="638" t="s">
        <v>7165</v>
      </c>
      <c r="I28" s="806" t="s">
        <v>7089</v>
      </c>
      <c r="J28" s="812" t="s">
        <v>7171</v>
      </c>
      <c r="L28" s="638" t="str">
        <f t="shared" si="5"/>
        <v/>
      </c>
      <c r="M28" s="638" t="str">
        <f t="shared" si="6"/>
        <v/>
      </c>
      <c r="N28" s="638" t="str">
        <f t="shared" si="7"/>
        <v/>
      </c>
      <c r="O28" s="638" t="str">
        <f t="shared" si="8"/>
        <v/>
      </c>
      <c r="P28" s="638" t="str">
        <f t="shared" si="9"/>
        <v/>
      </c>
      <c r="Q28" s="638" t="str">
        <f t="shared" si="10"/>
        <v/>
      </c>
      <c r="R28" s="638" t="str">
        <f t="shared" si="11"/>
        <v/>
      </c>
      <c r="S28" s="638" t="str">
        <f t="shared" si="12"/>
        <v/>
      </c>
      <c r="T28" s="638" t="str">
        <f t="shared" si="13"/>
        <v/>
      </c>
      <c r="U28" s="638">
        <f t="shared" si="14"/>
        <v>1</v>
      </c>
    </row>
    <row r="29" spans="1:21" x14ac:dyDescent="0.25">
      <c r="A29" s="638" t="s">
        <v>7125</v>
      </c>
      <c r="B29" s="638">
        <v>60</v>
      </c>
      <c r="C29" s="638" t="str">
        <f t="shared" si="0"/>
        <v/>
      </c>
      <c r="D29" s="638" t="str">
        <f t="shared" si="1"/>
        <v/>
      </c>
      <c r="E29" s="638" t="str">
        <f t="shared" si="2"/>
        <v/>
      </c>
      <c r="F29" s="638" t="str">
        <f t="shared" si="3"/>
        <v/>
      </c>
      <c r="G29" s="638">
        <f t="shared" si="4"/>
        <v>1</v>
      </c>
      <c r="H29" s="638" t="s">
        <v>7165</v>
      </c>
      <c r="I29" s="806" t="s">
        <v>7089</v>
      </c>
      <c r="J29" s="812" t="s">
        <v>7171</v>
      </c>
      <c r="L29" s="638" t="str">
        <f t="shared" si="5"/>
        <v/>
      </c>
      <c r="M29" s="638" t="str">
        <f t="shared" si="6"/>
        <v/>
      </c>
      <c r="N29" s="638" t="str">
        <f t="shared" si="7"/>
        <v/>
      </c>
      <c r="O29" s="638" t="str">
        <f t="shared" si="8"/>
        <v/>
      </c>
      <c r="P29" s="638" t="str">
        <f t="shared" si="9"/>
        <v/>
      </c>
      <c r="Q29" s="638" t="str">
        <f t="shared" si="10"/>
        <v/>
      </c>
      <c r="R29" s="638" t="str">
        <f t="shared" si="11"/>
        <v/>
      </c>
      <c r="S29" s="638" t="str">
        <f t="shared" si="12"/>
        <v/>
      </c>
      <c r="T29" s="638" t="str">
        <f t="shared" si="13"/>
        <v/>
      </c>
      <c r="U29" s="638">
        <f t="shared" si="14"/>
        <v>1</v>
      </c>
    </row>
    <row r="30" spans="1:21" x14ac:dyDescent="0.25">
      <c r="A30" s="638" t="s">
        <v>7126</v>
      </c>
      <c r="B30" s="638">
        <v>60</v>
      </c>
      <c r="C30" s="638" t="str">
        <f t="shared" si="0"/>
        <v/>
      </c>
      <c r="D30" s="638" t="str">
        <f t="shared" si="1"/>
        <v/>
      </c>
      <c r="E30" s="638" t="str">
        <f t="shared" si="2"/>
        <v/>
      </c>
      <c r="F30" s="638" t="str">
        <f t="shared" si="3"/>
        <v/>
      </c>
      <c r="G30" s="638">
        <f t="shared" si="4"/>
        <v>1</v>
      </c>
      <c r="H30" s="638" t="s">
        <v>7165</v>
      </c>
      <c r="I30" s="806" t="s">
        <v>7089</v>
      </c>
      <c r="J30" s="812" t="s">
        <v>7171</v>
      </c>
      <c r="L30" s="638" t="str">
        <f t="shared" si="5"/>
        <v/>
      </c>
      <c r="M30" s="638" t="str">
        <f t="shared" si="6"/>
        <v/>
      </c>
      <c r="N30" s="638" t="str">
        <f t="shared" si="7"/>
        <v/>
      </c>
      <c r="O30" s="638" t="str">
        <f t="shared" si="8"/>
        <v/>
      </c>
      <c r="P30" s="638" t="str">
        <f t="shared" si="9"/>
        <v/>
      </c>
      <c r="Q30" s="638" t="str">
        <f t="shared" si="10"/>
        <v/>
      </c>
      <c r="R30" s="638" t="str">
        <f t="shared" si="11"/>
        <v/>
      </c>
      <c r="S30" s="638" t="str">
        <f t="shared" si="12"/>
        <v/>
      </c>
      <c r="T30" s="638" t="str">
        <f t="shared" si="13"/>
        <v/>
      </c>
      <c r="U30" s="638">
        <f t="shared" si="14"/>
        <v>1</v>
      </c>
    </row>
    <row r="31" spans="1:21" x14ac:dyDescent="0.25">
      <c r="A31" s="638" t="s">
        <v>7127</v>
      </c>
      <c r="B31" s="638">
        <v>60</v>
      </c>
      <c r="C31" s="638" t="str">
        <f t="shared" si="0"/>
        <v/>
      </c>
      <c r="D31" s="638" t="str">
        <f t="shared" si="1"/>
        <v/>
      </c>
      <c r="E31" s="638" t="str">
        <f t="shared" si="2"/>
        <v/>
      </c>
      <c r="F31" s="638" t="str">
        <f t="shared" si="3"/>
        <v/>
      </c>
      <c r="G31" s="638">
        <f t="shared" si="4"/>
        <v>1</v>
      </c>
      <c r="H31" s="638" t="s">
        <v>7165</v>
      </c>
      <c r="I31" s="806" t="s">
        <v>7089</v>
      </c>
      <c r="J31" s="812" t="s">
        <v>7171</v>
      </c>
      <c r="L31" s="638" t="str">
        <f t="shared" si="5"/>
        <v/>
      </c>
      <c r="M31" s="638" t="str">
        <f t="shared" si="6"/>
        <v/>
      </c>
      <c r="N31" s="638" t="str">
        <f t="shared" si="7"/>
        <v/>
      </c>
      <c r="O31" s="638" t="str">
        <f t="shared" si="8"/>
        <v/>
      </c>
      <c r="P31" s="638" t="str">
        <f t="shared" si="9"/>
        <v/>
      </c>
      <c r="Q31" s="638" t="str">
        <f t="shared" si="10"/>
        <v/>
      </c>
      <c r="R31" s="638" t="str">
        <f t="shared" si="11"/>
        <v/>
      </c>
      <c r="S31" s="638" t="str">
        <f t="shared" si="12"/>
        <v/>
      </c>
      <c r="T31" s="638" t="str">
        <f t="shared" si="13"/>
        <v/>
      </c>
      <c r="U31" s="638">
        <f t="shared" si="14"/>
        <v>1</v>
      </c>
    </row>
    <row r="32" spans="1:21" x14ac:dyDescent="0.25">
      <c r="A32" s="638" t="s">
        <v>7128</v>
      </c>
      <c r="B32" s="638">
        <v>40</v>
      </c>
      <c r="C32" s="638" t="str">
        <f t="shared" si="0"/>
        <v/>
      </c>
      <c r="D32" s="638" t="str">
        <f t="shared" si="1"/>
        <v/>
      </c>
      <c r="E32" s="638" t="str">
        <f t="shared" si="2"/>
        <v/>
      </c>
      <c r="F32" s="638">
        <f t="shared" si="3"/>
        <v>1</v>
      </c>
      <c r="G32" s="638" t="str">
        <f t="shared" si="4"/>
        <v/>
      </c>
      <c r="H32" s="638" t="s">
        <v>7165</v>
      </c>
      <c r="I32" s="806" t="s">
        <v>7089</v>
      </c>
      <c r="J32" s="812" t="s">
        <v>7171</v>
      </c>
      <c r="L32" s="638" t="str">
        <f t="shared" si="5"/>
        <v/>
      </c>
      <c r="M32" s="638" t="str">
        <f t="shared" si="6"/>
        <v/>
      </c>
      <c r="N32" s="638" t="str">
        <f t="shared" si="7"/>
        <v/>
      </c>
      <c r="O32" s="638" t="str">
        <f t="shared" si="8"/>
        <v/>
      </c>
      <c r="P32" s="638" t="str">
        <f t="shared" si="9"/>
        <v/>
      </c>
      <c r="Q32" s="638" t="str">
        <f t="shared" si="10"/>
        <v/>
      </c>
      <c r="R32" s="638" t="str">
        <f t="shared" si="11"/>
        <v/>
      </c>
      <c r="S32" s="638" t="str">
        <f t="shared" si="12"/>
        <v/>
      </c>
      <c r="T32" s="638">
        <f t="shared" si="13"/>
        <v>1</v>
      </c>
      <c r="U32" s="638" t="str">
        <f t="shared" si="14"/>
        <v/>
      </c>
    </row>
    <row r="33" spans="1:21" x14ac:dyDescent="0.25">
      <c r="A33" s="638" t="s">
        <v>7129</v>
      </c>
      <c r="B33" s="638">
        <v>40</v>
      </c>
      <c r="C33" s="638" t="str">
        <f t="shared" si="0"/>
        <v/>
      </c>
      <c r="D33" s="638" t="str">
        <f t="shared" si="1"/>
        <v/>
      </c>
      <c r="E33" s="638" t="str">
        <f t="shared" si="2"/>
        <v/>
      </c>
      <c r="F33" s="638">
        <f t="shared" si="3"/>
        <v>1</v>
      </c>
      <c r="G33" s="638" t="str">
        <f t="shared" si="4"/>
        <v/>
      </c>
      <c r="H33" s="638" t="s">
        <v>7165</v>
      </c>
      <c r="I33" s="806" t="s">
        <v>7089</v>
      </c>
      <c r="J33" s="812" t="s">
        <v>7171</v>
      </c>
      <c r="L33" s="638" t="str">
        <f t="shared" si="5"/>
        <v/>
      </c>
      <c r="M33" s="638" t="str">
        <f t="shared" si="6"/>
        <v/>
      </c>
      <c r="N33" s="638" t="str">
        <f t="shared" si="7"/>
        <v/>
      </c>
      <c r="O33" s="638" t="str">
        <f t="shared" si="8"/>
        <v/>
      </c>
      <c r="P33" s="638" t="str">
        <f t="shared" si="9"/>
        <v/>
      </c>
      <c r="Q33" s="638" t="str">
        <f t="shared" si="10"/>
        <v/>
      </c>
      <c r="R33" s="638" t="str">
        <f t="shared" si="11"/>
        <v/>
      </c>
      <c r="S33" s="638" t="str">
        <f t="shared" si="12"/>
        <v/>
      </c>
      <c r="T33" s="638">
        <f t="shared" si="13"/>
        <v>1</v>
      </c>
      <c r="U33" s="638" t="str">
        <f t="shared" si="14"/>
        <v/>
      </c>
    </row>
    <row r="34" spans="1:21" x14ac:dyDescent="0.25">
      <c r="A34" s="638" t="s">
        <v>7130</v>
      </c>
      <c r="B34" s="638">
        <v>40</v>
      </c>
      <c r="C34" s="638" t="str">
        <f t="shared" si="0"/>
        <v/>
      </c>
      <c r="D34" s="638" t="str">
        <f t="shared" si="1"/>
        <v/>
      </c>
      <c r="E34" s="638" t="str">
        <f t="shared" si="2"/>
        <v/>
      </c>
      <c r="F34" s="638">
        <f t="shared" si="3"/>
        <v>1</v>
      </c>
      <c r="G34" s="638" t="str">
        <f t="shared" si="4"/>
        <v/>
      </c>
      <c r="H34" s="638" t="s">
        <v>7165</v>
      </c>
      <c r="I34" s="806" t="s">
        <v>7089</v>
      </c>
      <c r="J34" s="812" t="s">
        <v>7171</v>
      </c>
      <c r="L34" s="638" t="str">
        <f t="shared" si="5"/>
        <v/>
      </c>
      <c r="M34" s="638" t="str">
        <f t="shared" si="6"/>
        <v/>
      </c>
      <c r="N34" s="638" t="str">
        <f t="shared" si="7"/>
        <v/>
      </c>
      <c r="O34" s="638" t="str">
        <f t="shared" si="8"/>
        <v/>
      </c>
      <c r="P34" s="638" t="str">
        <f t="shared" si="9"/>
        <v/>
      </c>
      <c r="Q34" s="638" t="str">
        <f t="shared" si="10"/>
        <v/>
      </c>
      <c r="R34" s="638" t="str">
        <f t="shared" si="11"/>
        <v/>
      </c>
      <c r="S34" s="638" t="str">
        <f t="shared" si="12"/>
        <v/>
      </c>
      <c r="T34" s="638">
        <f t="shared" si="13"/>
        <v>1</v>
      </c>
      <c r="U34" s="638" t="str">
        <f t="shared" si="14"/>
        <v/>
      </c>
    </row>
    <row r="35" spans="1:21" x14ac:dyDescent="0.25">
      <c r="A35" s="638"/>
      <c r="B35" s="799" t="s">
        <v>7131</v>
      </c>
      <c r="C35" s="797">
        <f>SUM(C3:C34)</f>
        <v>7</v>
      </c>
      <c r="D35" s="797">
        <f>SUM(D3:D34)</f>
        <v>3</v>
      </c>
      <c r="E35" s="797">
        <f>SUM(E3:E34)</f>
        <v>5</v>
      </c>
      <c r="F35" s="797">
        <f>SUM(F3:F34)</f>
        <v>6</v>
      </c>
      <c r="G35" s="797">
        <f>SUM(G3:G34)</f>
        <v>11</v>
      </c>
      <c r="K35" s="799" t="s">
        <v>7131</v>
      </c>
      <c r="L35" s="797">
        <f>SUM(L3:L34)</f>
        <v>4</v>
      </c>
      <c r="M35" s="797">
        <f t="shared" ref="M35:U35" si="15">SUM(M3:M34)</f>
        <v>2</v>
      </c>
      <c r="N35" s="797">
        <f>SUM(N2:N34)</f>
        <v>3</v>
      </c>
      <c r="O35" s="797">
        <f t="shared" si="15"/>
        <v>0</v>
      </c>
      <c r="P35" s="797">
        <f t="shared" si="15"/>
        <v>0</v>
      </c>
      <c r="Q35" s="797">
        <f t="shared" si="15"/>
        <v>3</v>
      </c>
      <c r="R35" s="797">
        <f t="shared" si="15"/>
        <v>1</v>
      </c>
      <c r="S35" s="797">
        <f t="shared" si="15"/>
        <v>3</v>
      </c>
      <c r="T35" s="797">
        <f t="shared" si="15"/>
        <v>6</v>
      </c>
      <c r="U35" s="797">
        <f t="shared" si="15"/>
        <v>11</v>
      </c>
    </row>
    <row r="37" spans="1:21" x14ac:dyDescent="0.25">
      <c r="A37" s="798" t="s">
        <v>7160</v>
      </c>
      <c r="B37" s="798" t="s">
        <v>7099</v>
      </c>
      <c r="C37" s="798" t="s">
        <v>7155</v>
      </c>
      <c r="D37" s="798" t="s">
        <v>7156</v>
      </c>
      <c r="E37" s="798" t="s">
        <v>7157</v>
      </c>
      <c r="F37" s="798" t="s">
        <v>7158</v>
      </c>
      <c r="G37" s="798" t="s">
        <v>7159</v>
      </c>
      <c r="H37" s="809" t="s">
        <v>7163</v>
      </c>
      <c r="I37" s="809" t="s">
        <v>7080</v>
      </c>
      <c r="J37" s="809" t="s">
        <v>7163</v>
      </c>
      <c r="L37" s="809" t="str">
        <f>+CONCATENATE($J$1," 250 ",C37)</f>
        <v>DN 250 PN10</v>
      </c>
      <c r="M37" s="809" t="str">
        <f>+CONCATENATE($J$1," 250 ",D37)</f>
        <v>DN 250 PN16</v>
      </c>
      <c r="N37" s="809" t="str">
        <f>+CONCATENATE($J$1," 250 ",E37)</f>
        <v>DN 250 PN25</v>
      </c>
      <c r="O37" s="809" t="str">
        <f>+CONCATENATE($J$1," 250 ",F37)</f>
        <v>DN 250 PN40</v>
      </c>
      <c r="P37" s="809" t="str">
        <f>+CONCATENATE($J$1," 250 ",G37)</f>
        <v>DN 250 PN60</v>
      </c>
      <c r="Q37" s="809" t="str">
        <f>+CONCATENATE($J$1," 350 ",C37)</f>
        <v>DN 350 PN10</v>
      </c>
      <c r="R37" s="809" t="str">
        <f>+CONCATENATE($J$1," 350 ",D37)</f>
        <v>DN 350 PN16</v>
      </c>
      <c r="S37" s="809" t="str">
        <f>+CONCATENATE($J$1," 350 ",E37)</f>
        <v>DN 350 PN25</v>
      </c>
      <c r="T37" s="809" t="str">
        <f>+CONCATENATE($J$1," 350 ",F37)</f>
        <v>DN 350 PN40</v>
      </c>
      <c r="U37" s="809" t="str">
        <f>+CONCATENATE($J$1," 350 ",G37)</f>
        <v>DN 350 PN60</v>
      </c>
    </row>
    <row r="38" spans="1:21" x14ac:dyDescent="0.25">
      <c r="A38" s="638" t="s">
        <v>7098</v>
      </c>
      <c r="B38" s="638">
        <v>10</v>
      </c>
      <c r="C38" s="638">
        <f>+IF(B38=10,1,"")</f>
        <v>1</v>
      </c>
      <c r="D38" s="638" t="str">
        <f>+IF(B38=16,1,"")</f>
        <v/>
      </c>
      <c r="E38" s="638" t="str">
        <f>+IF(B38=25,1,"")</f>
        <v/>
      </c>
      <c r="F38" s="638" t="str">
        <f>+IF(B38=40,1,"")</f>
        <v/>
      </c>
      <c r="G38" s="638" t="str">
        <f>+IF(B38=60,1,"")</f>
        <v/>
      </c>
      <c r="H38" t="s">
        <v>7164</v>
      </c>
      <c r="I38" s="806" t="s">
        <v>7089</v>
      </c>
      <c r="J38" s="806" t="s">
        <v>7170</v>
      </c>
      <c r="L38" s="638">
        <f>+IF(AND(J38="250",B38=10),1,"")</f>
        <v>1</v>
      </c>
      <c r="M38" s="638" t="str">
        <f>+IF(AND(J38="250",B38=16),1,"")</f>
        <v/>
      </c>
      <c r="N38" s="638" t="str">
        <f>+IF(AND(J38="250",B38=25),1,"")</f>
        <v/>
      </c>
      <c r="O38" s="638" t="str">
        <f>+IF(AND(J38="250",B38=40),1,"")</f>
        <v/>
      </c>
      <c r="P38" s="638" t="str">
        <f>+IF(AND(J38="250",B38=60),1,"")</f>
        <v/>
      </c>
      <c r="Q38" s="638" t="str">
        <f>+IF(AND(J38="350",B38=10),1,"")</f>
        <v/>
      </c>
      <c r="R38" s="638" t="str">
        <f>+IF(AND(J38="350",B38=16),1,"")</f>
        <v/>
      </c>
      <c r="S38" s="638" t="str">
        <f>+IF(AND(J38="350",B38=25),1,"")</f>
        <v/>
      </c>
      <c r="T38" s="638" t="str">
        <f>+IF(AND(J38="350",B38=40),1,"")</f>
        <v/>
      </c>
      <c r="U38" s="638" t="str">
        <f>+IF(AND(J38="350",B38=60),1,"")</f>
        <v/>
      </c>
    </row>
    <row r="39" spans="1:21" x14ac:dyDescent="0.25">
      <c r="A39" s="638" t="s">
        <v>7100</v>
      </c>
      <c r="B39" s="638">
        <v>16</v>
      </c>
      <c r="C39" s="638" t="str">
        <f t="shared" ref="C39:C51" si="16">+IF(B39=10,1,"")</f>
        <v/>
      </c>
      <c r="D39" s="638">
        <f t="shared" ref="D39:D50" si="17">+IF(B39=16,1,"")</f>
        <v>1</v>
      </c>
      <c r="E39" s="638" t="str">
        <f t="shared" ref="E39:E50" si="18">+IF(B39=25,1,"")</f>
        <v/>
      </c>
      <c r="F39" s="638" t="str">
        <f t="shared" ref="F39:F50" si="19">+IF(B39=40,1,"")</f>
        <v/>
      </c>
      <c r="G39" s="638" t="str">
        <f t="shared" ref="G39:G50" si="20">+IF(B39=60,1,"")</f>
        <v/>
      </c>
      <c r="H39" t="s">
        <v>7164</v>
      </c>
      <c r="I39" s="806" t="s">
        <v>7089</v>
      </c>
      <c r="J39" s="806" t="s">
        <v>7170</v>
      </c>
      <c r="L39" s="638" t="str">
        <f t="shared" ref="L39:L51" si="21">+IF(AND(J39="250",B39=10),1,"")</f>
        <v/>
      </c>
      <c r="M39" s="638">
        <f t="shared" ref="M39:M51" si="22">+IF(AND(J39="250",B39=16),1,"")</f>
        <v>1</v>
      </c>
      <c r="N39" s="638" t="str">
        <f t="shared" ref="N39:N51" si="23">+IF(AND(J39="250",B39=25),1,"")</f>
        <v/>
      </c>
      <c r="O39" s="638" t="str">
        <f t="shared" ref="O39:O51" si="24">+IF(AND(J39="250",B39=40),1,"")</f>
        <v/>
      </c>
      <c r="P39" s="638" t="str">
        <f t="shared" ref="P39:P51" si="25">+IF(AND(J39="250",B39=60),1,"")</f>
        <v/>
      </c>
      <c r="Q39" s="638" t="str">
        <f t="shared" ref="Q39:Q51" si="26">+IF(AND(J39="350",B39=10),1,"")</f>
        <v/>
      </c>
      <c r="R39" s="638" t="str">
        <f t="shared" ref="R39:R51" si="27">+IF(AND(J39="350",B39=16),1,"")</f>
        <v/>
      </c>
      <c r="S39" s="638" t="str">
        <f t="shared" ref="S39:S51" si="28">+IF(AND(J39="350",B39=25),1,"")</f>
        <v/>
      </c>
      <c r="T39" s="638" t="str">
        <f t="shared" ref="T39:T51" si="29">+IF(AND(J39="350",B39=40),1,"")</f>
        <v/>
      </c>
      <c r="U39" s="638" t="str">
        <f t="shared" ref="U39:U51" si="30">+IF(AND(J39="350",B39=60),1,"")</f>
        <v/>
      </c>
    </row>
    <row r="40" spans="1:21" x14ac:dyDescent="0.25">
      <c r="A40" s="638" t="s">
        <v>7101</v>
      </c>
      <c r="B40" s="638">
        <v>25</v>
      </c>
      <c r="C40" s="638" t="str">
        <f t="shared" si="16"/>
        <v/>
      </c>
      <c r="D40" s="638" t="str">
        <f t="shared" si="17"/>
        <v/>
      </c>
      <c r="E40" s="638">
        <f t="shared" si="18"/>
        <v>1</v>
      </c>
      <c r="F40" s="638" t="str">
        <f t="shared" si="19"/>
        <v/>
      </c>
      <c r="G40" s="638" t="str">
        <f t="shared" si="20"/>
        <v/>
      </c>
      <c r="H40" t="s">
        <v>7164</v>
      </c>
      <c r="I40" s="806" t="s">
        <v>7089</v>
      </c>
      <c r="J40" s="806" t="s">
        <v>7170</v>
      </c>
      <c r="L40" s="638" t="str">
        <f t="shared" si="21"/>
        <v/>
      </c>
      <c r="M40" s="638" t="str">
        <f t="shared" si="22"/>
        <v/>
      </c>
      <c r="N40" s="638">
        <f t="shared" si="23"/>
        <v>1</v>
      </c>
      <c r="O40" s="638" t="str">
        <f t="shared" si="24"/>
        <v/>
      </c>
      <c r="P40" s="638" t="str">
        <f t="shared" si="25"/>
        <v/>
      </c>
      <c r="Q40" s="638" t="str">
        <f t="shared" si="26"/>
        <v/>
      </c>
      <c r="R40" s="638" t="str">
        <f t="shared" si="27"/>
        <v/>
      </c>
      <c r="S40" s="638" t="str">
        <f t="shared" si="28"/>
        <v/>
      </c>
      <c r="T40" s="638" t="str">
        <f t="shared" si="29"/>
        <v/>
      </c>
      <c r="U40" s="638" t="str">
        <f t="shared" si="30"/>
        <v/>
      </c>
    </row>
    <row r="41" spans="1:21" x14ac:dyDescent="0.25">
      <c r="A41" s="638" t="s">
        <v>7102</v>
      </c>
      <c r="B41" s="638">
        <v>10</v>
      </c>
      <c r="C41" s="638">
        <f t="shared" si="16"/>
        <v>1</v>
      </c>
      <c r="D41" s="638" t="str">
        <f t="shared" si="17"/>
        <v/>
      </c>
      <c r="E41" s="638" t="str">
        <f t="shared" si="18"/>
        <v/>
      </c>
      <c r="F41" s="638" t="str">
        <f t="shared" si="19"/>
        <v/>
      </c>
      <c r="G41" s="638" t="str">
        <f t="shared" si="20"/>
        <v/>
      </c>
      <c r="H41" t="s">
        <v>7164</v>
      </c>
      <c r="I41" s="806" t="s">
        <v>7089</v>
      </c>
      <c r="J41" s="806" t="s">
        <v>7170</v>
      </c>
      <c r="L41" s="638">
        <f t="shared" si="21"/>
        <v>1</v>
      </c>
      <c r="M41" s="638" t="str">
        <f t="shared" si="22"/>
        <v/>
      </c>
      <c r="N41" s="638" t="str">
        <f t="shared" si="23"/>
        <v/>
      </c>
      <c r="O41" s="638" t="str">
        <f t="shared" si="24"/>
        <v/>
      </c>
      <c r="P41" s="638" t="str">
        <f t="shared" si="25"/>
        <v/>
      </c>
      <c r="Q41" s="638" t="str">
        <f t="shared" si="26"/>
        <v/>
      </c>
      <c r="R41" s="638" t="str">
        <f t="shared" si="27"/>
        <v/>
      </c>
      <c r="S41" s="638" t="str">
        <f t="shared" si="28"/>
        <v/>
      </c>
      <c r="T41" s="638" t="str">
        <f t="shared" si="29"/>
        <v/>
      </c>
      <c r="U41" s="638" t="str">
        <f t="shared" si="30"/>
        <v/>
      </c>
    </row>
    <row r="42" spans="1:21" x14ac:dyDescent="0.25">
      <c r="A42" s="638" t="s">
        <v>7103</v>
      </c>
      <c r="B42" s="638">
        <v>16</v>
      </c>
      <c r="C42" s="638" t="str">
        <f t="shared" si="16"/>
        <v/>
      </c>
      <c r="D42" s="638">
        <f t="shared" si="17"/>
        <v>1</v>
      </c>
      <c r="E42" s="638" t="str">
        <f t="shared" si="18"/>
        <v/>
      </c>
      <c r="F42" s="638" t="str">
        <f t="shared" si="19"/>
        <v/>
      </c>
      <c r="G42" s="638" t="str">
        <f t="shared" si="20"/>
        <v/>
      </c>
      <c r="H42" t="s">
        <v>7164</v>
      </c>
      <c r="I42" s="806" t="s">
        <v>7089</v>
      </c>
      <c r="J42" s="806" t="s">
        <v>7170</v>
      </c>
      <c r="L42" s="638" t="str">
        <f t="shared" si="21"/>
        <v/>
      </c>
      <c r="M42" s="638">
        <f t="shared" si="22"/>
        <v>1</v>
      </c>
      <c r="N42" s="638" t="str">
        <f t="shared" si="23"/>
        <v/>
      </c>
      <c r="O42" s="638" t="str">
        <f t="shared" si="24"/>
        <v/>
      </c>
      <c r="P42" s="638" t="str">
        <f t="shared" si="25"/>
        <v/>
      </c>
      <c r="Q42" s="638" t="str">
        <f t="shared" si="26"/>
        <v/>
      </c>
      <c r="R42" s="638" t="str">
        <f t="shared" si="27"/>
        <v/>
      </c>
      <c r="S42" s="638" t="str">
        <f t="shared" si="28"/>
        <v/>
      </c>
      <c r="T42" s="638" t="str">
        <f t="shared" si="29"/>
        <v/>
      </c>
      <c r="U42" s="638" t="str">
        <f t="shared" si="30"/>
        <v/>
      </c>
    </row>
    <row r="43" spans="1:21" x14ac:dyDescent="0.25">
      <c r="A43" s="638" t="s">
        <v>7104</v>
      </c>
      <c r="B43" s="638">
        <v>25</v>
      </c>
      <c r="C43" s="638" t="str">
        <f t="shared" si="16"/>
        <v/>
      </c>
      <c r="D43" s="638" t="str">
        <f t="shared" si="17"/>
        <v/>
      </c>
      <c r="E43" s="638">
        <f t="shared" si="18"/>
        <v>1</v>
      </c>
      <c r="F43" s="638" t="str">
        <f t="shared" si="19"/>
        <v/>
      </c>
      <c r="G43" s="638" t="str">
        <f t="shared" si="20"/>
        <v/>
      </c>
      <c r="H43" t="s">
        <v>7164</v>
      </c>
      <c r="I43" s="806" t="s">
        <v>7089</v>
      </c>
      <c r="J43" s="806" t="s">
        <v>7170</v>
      </c>
      <c r="L43" s="638" t="str">
        <f t="shared" si="21"/>
        <v/>
      </c>
      <c r="M43" s="638" t="str">
        <f t="shared" si="22"/>
        <v/>
      </c>
      <c r="N43" s="638">
        <f t="shared" si="23"/>
        <v>1</v>
      </c>
      <c r="O43" s="638" t="str">
        <f t="shared" si="24"/>
        <v/>
      </c>
      <c r="P43" s="638" t="str">
        <f t="shared" si="25"/>
        <v/>
      </c>
      <c r="Q43" s="638" t="str">
        <f t="shared" si="26"/>
        <v/>
      </c>
      <c r="R43" s="638" t="str">
        <f t="shared" si="27"/>
        <v/>
      </c>
      <c r="S43" s="638" t="str">
        <f t="shared" si="28"/>
        <v/>
      </c>
      <c r="T43" s="638" t="str">
        <f t="shared" si="29"/>
        <v/>
      </c>
      <c r="U43" s="638" t="str">
        <f t="shared" si="30"/>
        <v/>
      </c>
    </row>
    <row r="44" spans="1:21" x14ac:dyDescent="0.25">
      <c r="A44" s="638" t="s">
        <v>7105</v>
      </c>
      <c r="B44" s="638">
        <v>10</v>
      </c>
      <c r="C44" s="638">
        <f t="shared" si="16"/>
        <v>1</v>
      </c>
      <c r="D44" s="638" t="str">
        <f t="shared" si="17"/>
        <v/>
      </c>
      <c r="E44" s="638" t="str">
        <f t="shared" si="18"/>
        <v/>
      </c>
      <c r="F44" s="638" t="str">
        <f t="shared" si="19"/>
        <v/>
      </c>
      <c r="G44" s="638" t="str">
        <f t="shared" si="20"/>
        <v/>
      </c>
      <c r="H44" t="s">
        <v>7164</v>
      </c>
      <c r="I44" s="806" t="s">
        <v>7089</v>
      </c>
      <c r="J44" s="806" t="s">
        <v>7170</v>
      </c>
      <c r="L44" s="638">
        <f t="shared" si="21"/>
        <v>1</v>
      </c>
      <c r="M44" s="638" t="str">
        <f t="shared" si="22"/>
        <v/>
      </c>
      <c r="N44" s="638" t="str">
        <f t="shared" si="23"/>
        <v/>
      </c>
      <c r="O44" s="638" t="str">
        <f t="shared" si="24"/>
        <v/>
      </c>
      <c r="P44" s="638" t="str">
        <f t="shared" si="25"/>
        <v/>
      </c>
      <c r="Q44" s="638" t="str">
        <f t="shared" si="26"/>
        <v/>
      </c>
      <c r="R44" s="638" t="str">
        <f t="shared" si="27"/>
        <v/>
      </c>
      <c r="S44" s="638" t="str">
        <f t="shared" si="28"/>
        <v/>
      </c>
      <c r="T44" s="638" t="str">
        <f t="shared" si="29"/>
        <v/>
      </c>
      <c r="U44" s="638" t="str">
        <f t="shared" si="30"/>
        <v/>
      </c>
    </row>
    <row r="45" spans="1:21" x14ac:dyDescent="0.25">
      <c r="A45" s="638" t="s">
        <v>7106</v>
      </c>
      <c r="B45" s="638">
        <v>16</v>
      </c>
      <c r="C45" s="638" t="str">
        <f t="shared" si="16"/>
        <v/>
      </c>
      <c r="D45" s="638">
        <f t="shared" si="17"/>
        <v>1</v>
      </c>
      <c r="E45" s="638" t="str">
        <f t="shared" si="18"/>
        <v/>
      </c>
      <c r="F45" s="638" t="str">
        <f t="shared" si="19"/>
        <v/>
      </c>
      <c r="G45" s="638" t="str">
        <f t="shared" si="20"/>
        <v/>
      </c>
      <c r="H45" t="s">
        <v>7164</v>
      </c>
      <c r="I45" s="806" t="s">
        <v>7089</v>
      </c>
      <c r="J45" s="806" t="s">
        <v>7170</v>
      </c>
      <c r="L45" s="638" t="str">
        <f t="shared" si="21"/>
        <v/>
      </c>
      <c r="M45" s="638">
        <f t="shared" si="22"/>
        <v>1</v>
      </c>
      <c r="N45" s="638" t="str">
        <f t="shared" si="23"/>
        <v/>
      </c>
      <c r="O45" s="638" t="str">
        <f t="shared" si="24"/>
        <v/>
      </c>
      <c r="P45" s="638" t="str">
        <f t="shared" si="25"/>
        <v/>
      </c>
      <c r="Q45" s="638" t="str">
        <f t="shared" si="26"/>
        <v/>
      </c>
      <c r="R45" s="638" t="str">
        <f t="shared" si="27"/>
        <v/>
      </c>
      <c r="S45" s="638" t="str">
        <f t="shared" si="28"/>
        <v/>
      </c>
      <c r="T45" s="638" t="str">
        <f t="shared" si="29"/>
        <v/>
      </c>
      <c r="U45" s="638" t="str">
        <f t="shared" si="30"/>
        <v/>
      </c>
    </row>
    <row r="46" spans="1:21" x14ac:dyDescent="0.25">
      <c r="A46" s="638" t="s">
        <v>7107</v>
      </c>
      <c r="B46" s="638">
        <v>25</v>
      </c>
      <c r="C46" s="638" t="str">
        <f t="shared" si="16"/>
        <v/>
      </c>
      <c r="D46" s="638" t="str">
        <f t="shared" si="17"/>
        <v/>
      </c>
      <c r="E46" s="638">
        <f t="shared" si="18"/>
        <v>1</v>
      </c>
      <c r="F46" s="638" t="str">
        <f t="shared" si="19"/>
        <v/>
      </c>
      <c r="G46" s="638" t="str">
        <f t="shared" si="20"/>
        <v/>
      </c>
      <c r="H46" t="s">
        <v>7165</v>
      </c>
      <c r="I46" s="806" t="s">
        <v>7089</v>
      </c>
      <c r="J46" s="806" t="s">
        <v>7171</v>
      </c>
      <c r="L46" s="638" t="str">
        <f t="shared" si="21"/>
        <v/>
      </c>
      <c r="M46" s="638" t="str">
        <f t="shared" si="22"/>
        <v/>
      </c>
      <c r="N46" s="638" t="str">
        <f t="shared" si="23"/>
        <v/>
      </c>
      <c r="O46" s="638" t="str">
        <f t="shared" si="24"/>
        <v/>
      </c>
      <c r="P46" s="638" t="str">
        <f t="shared" si="25"/>
        <v/>
      </c>
      <c r="Q46" s="638" t="str">
        <f t="shared" si="26"/>
        <v/>
      </c>
      <c r="R46" s="638" t="str">
        <f t="shared" si="27"/>
        <v/>
      </c>
      <c r="S46" s="638">
        <f t="shared" si="28"/>
        <v>1</v>
      </c>
      <c r="T46" s="638" t="str">
        <f t="shared" si="29"/>
        <v/>
      </c>
      <c r="U46" s="638" t="str">
        <f t="shared" si="30"/>
        <v/>
      </c>
    </row>
    <row r="47" spans="1:21" x14ac:dyDescent="0.25">
      <c r="A47" s="638" t="s">
        <v>7108</v>
      </c>
      <c r="B47" s="638">
        <v>40</v>
      </c>
      <c r="C47" s="638" t="str">
        <f t="shared" si="16"/>
        <v/>
      </c>
      <c r="D47" s="638" t="str">
        <f t="shared" si="17"/>
        <v/>
      </c>
      <c r="E47" s="638" t="str">
        <f t="shared" si="18"/>
        <v/>
      </c>
      <c r="F47" s="638">
        <f t="shared" si="19"/>
        <v>1</v>
      </c>
      <c r="G47" s="638" t="str">
        <f t="shared" si="20"/>
        <v/>
      </c>
      <c r="H47" t="s">
        <v>7165</v>
      </c>
      <c r="I47" s="806" t="s">
        <v>7089</v>
      </c>
      <c r="J47" s="806" t="s">
        <v>7171</v>
      </c>
      <c r="L47" s="638" t="str">
        <f t="shared" si="21"/>
        <v/>
      </c>
      <c r="M47" s="638" t="str">
        <f t="shared" si="22"/>
        <v/>
      </c>
      <c r="N47" s="638" t="str">
        <f t="shared" si="23"/>
        <v/>
      </c>
      <c r="O47" s="638" t="str">
        <f t="shared" si="24"/>
        <v/>
      </c>
      <c r="P47" s="638" t="str">
        <f t="shared" si="25"/>
        <v/>
      </c>
      <c r="Q47" s="638" t="str">
        <f t="shared" si="26"/>
        <v/>
      </c>
      <c r="R47" s="638" t="str">
        <f t="shared" si="27"/>
        <v/>
      </c>
      <c r="S47" s="638" t="str">
        <f t="shared" si="28"/>
        <v/>
      </c>
      <c r="T47" s="638">
        <f t="shared" si="29"/>
        <v>1</v>
      </c>
      <c r="U47" s="638" t="str">
        <f t="shared" si="30"/>
        <v/>
      </c>
    </row>
    <row r="48" spans="1:21" x14ac:dyDescent="0.25">
      <c r="A48" s="638" t="s">
        <v>7109</v>
      </c>
      <c r="B48" s="638">
        <v>40</v>
      </c>
      <c r="C48" s="638" t="str">
        <f t="shared" si="16"/>
        <v/>
      </c>
      <c r="D48" s="638" t="str">
        <f t="shared" si="17"/>
        <v/>
      </c>
      <c r="E48" s="638" t="str">
        <f t="shared" si="18"/>
        <v/>
      </c>
      <c r="F48" s="638">
        <f t="shared" si="19"/>
        <v>1</v>
      </c>
      <c r="G48" s="638" t="str">
        <f t="shared" si="20"/>
        <v/>
      </c>
      <c r="H48" t="s">
        <v>7165</v>
      </c>
      <c r="I48" s="806" t="s">
        <v>7089</v>
      </c>
      <c r="J48" s="806" t="s">
        <v>7171</v>
      </c>
      <c r="L48" s="638" t="str">
        <f t="shared" si="21"/>
        <v/>
      </c>
      <c r="M48" s="638" t="str">
        <f t="shared" si="22"/>
        <v/>
      </c>
      <c r="N48" s="638" t="str">
        <f t="shared" si="23"/>
        <v/>
      </c>
      <c r="O48" s="638" t="str">
        <f t="shared" si="24"/>
        <v/>
      </c>
      <c r="P48" s="638" t="str">
        <f t="shared" si="25"/>
        <v/>
      </c>
      <c r="Q48" s="638" t="str">
        <f t="shared" si="26"/>
        <v/>
      </c>
      <c r="R48" s="638" t="str">
        <f t="shared" si="27"/>
        <v/>
      </c>
      <c r="S48" s="638" t="str">
        <f t="shared" si="28"/>
        <v/>
      </c>
      <c r="T48" s="638">
        <f t="shared" si="29"/>
        <v>1</v>
      </c>
      <c r="U48" s="638" t="str">
        <f t="shared" si="30"/>
        <v/>
      </c>
    </row>
    <row r="49" spans="1:21" x14ac:dyDescent="0.25">
      <c r="A49" s="638" t="s">
        <v>7110</v>
      </c>
      <c r="B49" s="638">
        <v>60</v>
      </c>
      <c r="C49" s="638" t="str">
        <f t="shared" si="16"/>
        <v/>
      </c>
      <c r="D49" s="638" t="str">
        <f t="shared" si="17"/>
        <v/>
      </c>
      <c r="E49" s="638" t="str">
        <f t="shared" si="18"/>
        <v/>
      </c>
      <c r="F49" s="638" t="str">
        <f t="shared" si="19"/>
        <v/>
      </c>
      <c r="G49" s="638">
        <f t="shared" si="20"/>
        <v>1</v>
      </c>
      <c r="H49" t="s">
        <v>7165</v>
      </c>
      <c r="I49" s="806" t="s">
        <v>7089</v>
      </c>
      <c r="J49" s="806" t="s">
        <v>7171</v>
      </c>
      <c r="L49" s="638" t="str">
        <f t="shared" si="21"/>
        <v/>
      </c>
      <c r="M49" s="638" t="str">
        <f t="shared" si="22"/>
        <v/>
      </c>
      <c r="N49" s="638" t="str">
        <f t="shared" si="23"/>
        <v/>
      </c>
      <c r="O49" s="638" t="str">
        <f t="shared" si="24"/>
        <v/>
      </c>
      <c r="P49" s="638" t="str">
        <f t="shared" si="25"/>
        <v/>
      </c>
      <c r="Q49" s="638" t="str">
        <f t="shared" si="26"/>
        <v/>
      </c>
      <c r="R49" s="638" t="str">
        <f t="shared" si="27"/>
        <v/>
      </c>
      <c r="S49" s="638" t="str">
        <f t="shared" si="28"/>
        <v/>
      </c>
      <c r="T49" s="638" t="str">
        <f t="shared" si="29"/>
        <v/>
      </c>
      <c r="U49" s="638">
        <f t="shared" si="30"/>
        <v>1</v>
      </c>
    </row>
    <row r="50" spans="1:21" x14ac:dyDescent="0.25">
      <c r="A50" s="638" t="s">
        <v>7111</v>
      </c>
      <c r="B50" s="638">
        <v>60</v>
      </c>
      <c r="C50" s="638" t="str">
        <f t="shared" si="16"/>
        <v/>
      </c>
      <c r="D50" s="638" t="str">
        <f t="shared" si="17"/>
        <v/>
      </c>
      <c r="E50" s="638" t="str">
        <f t="shared" si="18"/>
        <v/>
      </c>
      <c r="F50" s="638" t="str">
        <f t="shared" si="19"/>
        <v/>
      </c>
      <c r="G50" s="638">
        <f t="shared" si="20"/>
        <v>1</v>
      </c>
      <c r="H50" t="s">
        <v>7165</v>
      </c>
      <c r="I50" s="806" t="s">
        <v>7089</v>
      </c>
      <c r="J50" s="806" t="s">
        <v>7171</v>
      </c>
      <c r="L50" s="638" t="str">
        <f t="shared" si="21"/>
        <v/>
      </c>
      <c r="M50" s="638" t="str">
        <f t="shared" si="22"/>
        <v/>
      </c>
      <c r="N50" s="638" t="str">
        <f t="shared" si="23"/>
        <v/>
      </c>
      <c r="O50" s="638" t="str">
        <f t="shared" si="24"/>
        <v/>
      </c>
      <c r="P50" s="638" t="str">
        <f t="shared" si="25"/>
        <v/>
      </c>
      <c r="Q50" s="638" t="str">
        <f t="shared" si="26"/>
        <v/>
      </c>
      <c r="R50" s="638" t="str">
        <f t="shared" si="27"/>
        <v/>
      </c>
      <c r="S50" s="638" t="str">
        <f t="shared" si="28"/>
        <v/>
      </c>
      <c r="T50" s="638" t="str">
        <f t="shared" si="29"/>
        <v/>
      </c>
      <c r="U50" s="638">
        <f t="shared" si="30"/>
        <v>1</v>
      </c>
    </row>
    <row r="51" spans="1:21" x14ac:dyDescent="0.25">
      <c r="A51" s="638" t="s">
        <v>7112</v>
      </c>
      <c r="B51" s="638">
        <v>60</v>
      </c>
      <c r="C51" s="638" t="str">
        <f t="shared" si="16"/>
        <v/>
      </c>
      <c r="D51" s="638" t="str">
        <f>+IF(B51=16,1,"")</f>
        <v/>
      </c>
      <c r="E51" s="638" t="str">
        <f>+IF(B51=25,1,"")</f>
        <v/>
      </c>
      <c r="F51" s="638" t="str">
        <f>+IF(B51=40,1,"")</f>
        <v/>
      </c>
      <c r="G51" s="638">
        <f>+IF(B51=60,1,"")</f>
        <v>1</v>
      </c>
      <c r="H51" s="811" t="s">
        <v>7166</v>
      </c>
      <c r="I51" s="806" t="s">
        <v>7086</v>
      </c>
      <c r="J51" s="806" t="s">
        <v>7171</v>
      </c>
      <c r="L51" s="638" t="str">
        <f t="shared" si="21"/>
        <v/>
      </c>
      <c r="M51" s="638" t="str">
        <f t="shared" si="22"/>
        <v/>
      </c>
      <c r="N51" s="638" t="str">
        <f t="shared" si="23"/>
        <v/>
      </c>
      <c r="O51" s="638" t="str">
        <f t="shared" si="24"/>
        <v/>
      </c>
      <c r="P51" s="638" t="str">
        <f t="shared" si="25"/>
        <v/>
      </c>
      <c r="Q51" s="638" t="str">
        <f t="shared" si="26"/>
        <v/>
      </c>
      <c r="R51" s="638" t="str">
        <f t="shared" si="27"/>
        <v/>
      </c>
      <c r="S51" s="638" t="str">
        <f t="shared" si="28"/>
        <v/>
      </c>
      <c r="T51" s="638" t="str">
        <f t="shared" si="29"/>
        <v/>
      </c>
      <c r="U51" s="638">
        <f t="shared" si="30"/>
        <v>1</v>
      </c>
    </row>
    <row r="52" spans="1:21" x14ac:dyDescent="0.25">
      <c r="A52" s="639"/>
      <c r="B52" s="799" t="s">
        <v>7131</v>
      </c>
      <c r="C52" s="797">
        <f>SUM(C38:C51)</f>
        <v>3</v>
      </c>
      <c r="D52" s="797">
        <f>SUM(D38:D51)</f>
        <v>3</v>
      </c>
      <c r="E52" s="797">
        <f>SUM(E38:E51)</f>
        <v>3</v>
      </c>
      <c r="F52" s="797">
        <f>SUM(F38:F51)</f>
        <v>2</v>
      </c>
      <c r="G52" s="797">
        <f>SUM(G38:G51)</f>
        <v>3</v>
      </c>
      <c r="H52" s="811"/>
      <c r="I52" s="694"/>
      <c r="J52" s="694"/>
      <c r="K52" s="799" t="s">
        <v>7131</v>
      </c>
      <c r="L52" s="797">
        <f t="shared" ref="L52:U52" si="31">SUM(L38:L51)</f>
        <v>3</v>
      </c>
      <c r="M52" s="797">
        <f t="shared" si="31"/>
        <v>3</v>
      </c>
      <c r="N52" s="797">
        <f t="shared" si="31"/>
        <v>2</v>
      </c>
      <c r="O52" s="797">
        <f t="shared" si="31"/>
        <v>0</v>
      </c>
      <c r="P52" s="797">
        <f t="shared" si="31"/>
        <v>0</v>
      </c>
      <c r="Q52" s="797">
        <f t="shared" si="31"/>
        <v>0</v>
      </c>
      <c r="R52" s="797">
        <f t="shared" si="31"/>
        <v>0</v>
      </c>
      <c r="S52" s="797">
        <f t="shared" si="31"/>
        <v>1</v>
      </c>
      <c r="T52" s="797">
        <f t="shared" si="31"/>
        <v>2</v>
      </c>
      <c r="U52" s="797">
        <f t="shared" si="31"/>
        <v>3</v>
      </c>
    </row>
    <row r="54" spans="1:21" x14ac:dyDescent="0.25">
      <c r="A54" s="798" t="s">
        <v>7161</v>
      </c>
      <c r="B54" s="798" t="s">
        <v>7099</v>
      </c>
      <c r="C54" s="798" t="s">
        <v>7155</v>
      </c>
      <c r="D54" s="798" t="s">
        <v>7156</v>
      </c>
      <c r="E54" s="798" t="s">
        <v>7157</v>
      </c>
      <c r="F54" s="798" t="s">
        <v>7158</v>
      </c>
      <c r="G54" s="798" t="s">
        <v>7159</v>
      </c>
      <c r="I54" s="808" t="s">
        <v>7080</v>
      </c>
      <c r="J54" s="809" t="s">
        <v>7163</v>
      </c>
      <c r="L54" s="809" t="str">
        <f>+CONCATENATE($J$1," 250 ",C54)</f>
        <v>DN 250 PN10</v>
      </c>
      <c r="M54" s="809" t="str">
        <f>+CONCATENATE($J$1," 250 ",D54)</f>
        <v>DN 250 PN16</v>
      </c>
      <c r="N54" s="809" t="str">
        <f>+CONCATENATE($J$1," 250 ",E54)</f>
        <v>DN 250 PN25</v>
      </c>
      <c r="O54" s="809" t="str">
        <f>+CONCATENATE($J$1," 250 ",F54)</f>
        <v>DN 250 PN40</v>
      </c>
      <c r="P54" s="809" t="str">
        <f>+CONCATENATE($J$1," 250 ",G54)</f>
        <v>DN 250 PN60</v>
      </c>
      <c r="Q54" s="809" t="str">
        <f>+CONCATENATE($J$1," 350 ",C54)</f>
        <v>DN 350 PN10</v>
      </c>
      <c r="R54" s="809" t="str">
        <f>+CONCATENATE($J$1," 350 ",D54)</f>
        <v>DN 350 PN16</v>
      </c>
      <c r="S54" s="809" t="str">
        <f>+CONCATENATE($J$1," 350 ",E54)</f>
        <v>DN 350 PN25</v>
      </c>
      <c r="T54" s="809" t="str">
        <f>+CONCATENATE($J$1," 350 ",F54)</f>
        <v>DN 350 PN40</v>
      </c>
      <c r="U54" s="809" t="str">
        <f>+CONCATENATE($J$1," 350 ",G54)</f>
        <v>DN 350 PN60</v>
      </c>
    </row>
    <row r="55" spans="1:21" x14ac:dyDescent="0.25">
      <c r="A55" s="638" t="s">
        <v>7098</v>
      </c>
      <c r="B55" s="638">
        <v>16</v>
      </c>
      <c r="C55" s="638" t="str">
        <f>+IF(B55=10,1,"")</f>
        <v/>
      </c>
      <c r="D55" s="638">
        <f t="shared" ref="D55:D61" si="32">+IF(B55=16,1,"")</f>
        <v>1</v>
      </c>
      <c r="E55" s="638" t="str">
        <f t="shared" ref="E55:E61" si="33">+IF(B55=25,1,"")</f>
        <v/>
      </c>
      <c r="F55" s="638" t="str">
        <f t="shared" ref="F55:F61" si="34">+IF(B55=40,1,"")</f>
        <v/>
      </c>
      <c r="G55" s="638" t="str">
        <f t="shared" ref="G55:G61" si="35">+IF(B55=60,1,"")</f>
        <v/>
      </c>
      <c r="H55" t="s">
        <v>7164</v>
      </c>
      <c r="I55" s="806" t="s">
        <v>7089</v>
      </c>
      <c r="J55" s="806" t="s">
        <v>7170</v>
      </c>
      <c r="L55" s="638" t="str">
        <f>+IF(AND(J55="250",B55=10),1,"")</f>
        <v/>
      </c>
      <c r="M55" s="638">
        <f>+IF(AND(J55="250",B55=16),1,"")</f>
        <v>1</v>
      </c>
      <c r="N55" s="638" t="str">
        <f>+IF(AND(J55="250",B55=25),1,"")</f>
        <v/>
      </c>
      <c r="O55" s="638" t="str">
        <f>+IF(AND(J55="250",B55=40),1,"")</f>
        <v/>
      </c>
      <c r="P55" s="638" t="str">
        <f>+IF(AND(J55="250",B55=60),1,"")</f>
        <v/>
      </c>
      <c r="Q55" s="638" t="str">
        <f>+IF(AND(J55="350",B55=10),1,"")</f>
        <v/>
      </c>
      <c r="R55" s="638" t="str">
        <f>+IF(AND(J55="350",B55=16),1,"")</f>
        <v/>
      </c>
      <c r="S55" s="638" t="str">
        <f>+IF(AND(J55="350",B55=25),1,"")</f>
        <v/>
      </c>
      <c r="T55" s="638" t="str">
        <f>+IF(AND(J55="350",B55=40),1,"")</f>
        <v/>
      </c>
      <c r="U55" s="638" t="str">
        <f>+IF(AND(J55="350",B55=60),1,"")</f>
        <v/>
      </c>
    </row>
    <row r="56" spans="1:21" x14ac:dyDescent="0.25">
      <c r="A56" s="638" t="s">
        <v>7100</v>
      </c>
      <c r="B56" s="638">
        <v>25</v>
      </c>
      <c r="C56" s="638" t="str">
        <f t="shared" ref="C56:C71" si="36">+IF(B56=10,1,"")</f>
        <v/>
      </c>
      <c r="D56" s="638" t="str">
        <f t="shared" si="32"/>
        <v/>
      </c>
      <c r="E56" s="638">
        <f t="shared" si="33"/>
        <v>1</v>
      </c>
      <c r="F56" s="638" t="str">
        <f t="shared" si="34"/>
        <v/>
      </c>
      <c r="G56" s="638" t="str">
        <f t="shared" si="35"/>
        <v/>
      </c>
      <c r="H56" t="s">
        <v>7165</v>
      </c>
      <c r="I56" s="806" t="s">
        <v>7089</v>
      </c>
      <c r="J56" s="806" t="s">
        <v>7171</v>
      </c>
      <c r="L56" s="638" t="str">
        <f t="shared" ref="L56:L71" si="37">+IF(AND(J56="250",B56=10),1,"")</f>
        <v/>
      </c>
      <c r="M56" s="638" t="str">
        <f t="shared" ref="M56:M71" si="38">+IF(AND(J56="250",B56=16),1,"")</f>
        <v/>
      </c>
      <c r="N56" s="638" t="str">
        <f t="shared" ref="N56:N71" si="39">+IF(AND(J56="250",B56=25),1,"")</f>
        <v/>
      </c>
      <c r="O56" s="638" t="str">
        <f t="shared" ref="O56:O71" si="40">+IF(AND(J56="250",B56=40),1,"")</f>
        <v/>
      </c>
      <c r="P56" s="638" t="str">
        <f t="shared" ref="P56:P71" si="41">+IF(AND(J56="250",B56=60),1,"")</f>
        <v/>
      </c>
      <c r="Q56" s="638" t="str">
        <f t="shared" ref="Q56:Q71" si="42">+IF(AND(J56="350",B56=10),1,"")</f>
        <v/>
      </c>
      <c r="R56" s="638" t="str">
        <f t="shared" ref="R56:R71" si="43">+IF(AND(J56="350",B56=16),1,"")</f>
        <v/>
      </c>
      <c r="S56" s="638">
        <f t="shared" ref="S56:S71" si="44">+IF(AND(J56="350",B56=25),1,"")</f>
        <v>1</v>
      </c>
      <c r="T56" s="638" t="str">
        <f t="shared" ref="T56:T71" si="45">+IF(AND(J56="350",B56=40),1,"")</f>
        <v/>
      </c>
      <c r="U56" s="638" t="str">
        <f t="shared" ref="U56:U71" si="46">+IF(AND(J56="350",B56=60),1,"")</f>
        <v/>
      </c>
    </row>
    <row r="57" spans="1:21" x14ac:dyDescent="0.25">
      <c r="A57" s="638" t="s">
        <v>7101</v>
      </c>
      <c r="B57" s="638">
        <v>25</v>
      </c>
      <c r="C57" s="638" t="str">
        <f t="shared" si="36"/>
        <v/>
      </c>
      <c r="D57" s="638" t="str">
        <f t="shared" si="32"/>
        <v/>
      </c>
      <c r="E57" s="638">
        <f t="shared" si="33"/>
        <v>1</v>
      </c>
      <c r="F57" s="638" t="str">
        <f t="shared" si="34"/>
        <v/>
      </c>
      <c r="G57" s="638" t="str">
        <f t="shared" si="35"/>
        <v/>
      </c>
      <c r="H57" t="s">
        <v>7165</v>
      </c>
      <c r="I57" s="806" t="s">
        <v>7089</v>
      </c>
      <c r="J57" s="806" t="s">
        <v>7171</v>
      </c>
      <c r="L57" s="638" t="str">
        <f t="shared" si="37"/>
        <v/>
      </c>
      <c r="M57" s="638" t="str">
        <f t="shared" si="38"/>
        <v/>
      </c>
      <c r="N57" s="638" t="str">
        <f t="shared" si="39"/>
        <v/>
      </c>
      <c r="O57" s="638" t="str">
        <f t="shared" si="40"/>
        <v/>
      </c>
      <c r="P57" s="638" t="str">
        <f t="shared" si="41"/>
        <v/>
      </c>
      <c r="Q57" s="638" t="str">
        <f t="shared" si="42"/>
        <v/>
      </c>
      <c r="R57" s="638" t="str">
        <f t="shared" si="43"/>
        <v/>
      </c>
      <c r="S57" s="638">
        <f t="shared" si="44"/>
        <v>1</v>
      </c>
      <c r="T57" s="638" t="str">
        <f t="shared" si="45"/>
        <v/>
      </c>
      <c r="U57" s="638" t="str">
        <f t="shared" si="46"/>
        <v/>
      </c>
    </row>
    <row r="58" spans="1:21" x14ac:dyDescent="0.25">
      <c r="A58" s="638" t="s">
        <v>7102</v>
      </c>
      <c r="B58" s="638">
        <v>10</v>
      </c>
      <c r="C58" s="638">
        <f t="shared" si="36"/>
        <v>1</v>
      </c>
      <c r="D58" s="638" t="str">
        <f t="shared" si="32"/>
        <v/>
      </c>
      <c r="E58" s="638" t="str">
        <f t="shared" si="33"/>
        <v/>
      </c>
      <c r="F58" s="638" t="str">
        <f t="shared" si="34"/>
        <v/>
      </c>
      <c r="G58" s="638" t="str">
        <f t="shared" si="35"/>
        <v/>
      </c>
      <c r="H58" t="s">
        <v>7164</v>
      </c>
      <c r="I58" s="806" t="s">
        <v>7089</v>
      </c>
      <c r="J58" s="806" t="s">
        <v>7170</v>
      </c>
      <c r="L58" s="638">
        <f t="shared" si="37"/>
        <v>1</v>
      </c>
      <c r="M58" s="638" t="str">
        <f t="shared" si="38"/>
        <v/>
      </c>
      <c r="N58" s="638" t="str">
        <f t="shared" si="39"/>
        <v/>
      </c>
      <c r="O58" s="638" t="str">
        <f t="shared" si="40"/>
        <v/>
      </c>
      <c r="P58" s="638" t="str">
        <f t="shared" si="41"/>
        <v/>
      </c>
      <c r="Q58" s="638" t="str">
        <f t="shared" si="42"/>
        <v/>
      </c>
      <c r="R58" s="638" t="str">
        <f t="shared" si="43"/>
        <v/>
      </c>
      <c r="S58" s="638" t="str">
        <f t="shared" si="44"/>
        <v/>
      </c>
      <c r="T58" s="638" t="str">
        <f t="shared" si="45"/>
        <v/>
      </c>
      <c r="U58" s="638" t="str">
        <f t="shared" si="46"/>
        <v/>
      </c>
    </row>
    <row r="59" spans="1:21" x14ac:dyDescent="0.25">
      <c r="A59" s="638" t="s">
        <v>7103</v>
      </c>
      <c r="B59" s="638">
        <v>10</v>
      </c>
      <c r="C59" s="638">
        <f t="shared" si="36"/>
        <v>1</v>
      </c>
      <c r="D59" s="638" t="str">
        <f t="shared" si="32"/>
        <v/>
      </c>
      <c r="E59" s="638" t="str">
        <f t="shared" si="33"/>
        <v/>
      </c>
      <c r="F59" s="638" t="str">
        <f t="shared" si="34"/>
        <v/>
      </c>
      <c r="G59" s="638" t="str">
        <f t="shared" si="35"/>
        <v/>
      </c>
      <c r="H59" t="s">
        <v>7165</v>
      </c>
      <c r="I59" s="806" t="s">
        <v>7089</v>
      </c>
      <c r="J59" s="806" t="s">
        <v>7171</v>
      </c>
      <c r="L59" s="638" t="str">
        <f t="shared" si="37"/>
        <v/>
      </c>
      <c r="M59" s="638" t="str">
        <f t="shared" si="38"/>
        <v/>
      </c>
      <c r="N59" s="638" t="str">
        <f t="shared" si="39"/>
        <v/>
      </c>
      <c r="O59" s="638" t="str">
        <f t="shared" si="40"/>
        <v/>
      </c>
      <c r="P59" s="638" t="str">
        <f t="shared" si="41"/>
        <v/>
      </c>
      <c r="Q59" s="638">
        <f t="shared" si="42"/>
        <v>1</v>
      </c>
      <c r="R59" s="638" t="str">
        <f t="shared" si="43"/>
        <v/>
      </c>
      <c r="S59" s="638" t="str">
        <f t="shared" si="44"/>
        <v/>
      </c>
      <c r="T59" s="638" t="str">
        <f t="shared" si="45"/>
        <v/>
      </c>
      <c r="U59" s="638" t="str">
        <f t="shared" si="46"/>
        <v/>
      </c>
    </row>
    <row r="60" spans="1:21" x14ac:dyDescent="0.25">
      <c r="A60" s="638" t="s">
        <v>7104</v>
      </c>
      <c r="B60" s="638">
        <v>10</v>
      </c>
      <c r="C60" s="638">
        <f t="shared" si="36"/>
        <v>1</v>
      </c>
      <c r="D60" s="638" t="str">
        <f t="shared" si="32"/>
        <v/>
      </c>
      <c r="E60" s="638" t="str">
        <f t="shared" si="33"/>
        <v/>
      </c>
      <c r="F60" s="638" t="str">
        <f t="shared" si="34"/>
        <v/>
      </c>
      <c r="G60" s="638" t="str">
        <f t="shared" si="35"/>
        <v/>
      </c>
      <c r="H60" t="s">
        <v>7165</v>
      </c>
      <c r="I60" s="806" t="s">
        <v>7089</v>
      </c>
      <c r="J60" s="806" t="s">
        <v>7171</v>
      </c>
      <c r="L60" s="638" t="str">
        <f t="shared" si="37"/>
        <v/>
      </c>
      <c r="M60" s="638" t="str">
        <f t="shared" si="38"/>
        <v/>
      </c>
      <c r="N60" s="638" t="str">
        <f t="shared" si="39"/>
        <v/>
      </c>
      <c r="O60" s="638" t="str">
        <f t="shared" si="40"/>
        <v/>
      </c>
      <c r="P60" s="638" t="str">
        <f t="shared" si="41"/>
        <v/>
      </c>
      <c r="Q60" s="638">
        <f t="shared" si="42"/>
        <v>1</v>
      </c>
      <c r="R60" s="638" t="str">
        <f t="shared" si="43"/>
        <v/>
      </c>
      <c r="S60" s="638" t="str">
        <f t="shared" si="44"/>
        <v/>
      </c>
      <c r="T60" s="638" t="str">
        <f t="shared" si="45"/>
        <v/>
      </c>
      <c r="U60" s="638" t="str">
        <f t="shared" si="46"/>
        <v/>
      </c>
    </row>
    <row r="61" spans="1:21" x14ac:dyDescent="0.25">
      <c r="A61" s="638" t="s">
        <v>7105</v>
      </c>
      <c r="B61" s="638">
        <v>10</v>
      </c>
      <c r="C61" s="638">
        <f t="shared" si="36"/>
        <v>1</v>
      </c>
      <c r="D61" s="638" t="str">
        <f t="shared" si="32"/>
        <v/>
      </c>
      <c r="E61" s="638" t="str">
        <f t="shared" si="33"/>
        <v/>
      </c>
      <c r="F61" s="638" t="str">
        <f t="shared" si="34"/>
        <v/>
      </c>
      <c r="G61" s="638" t="str">
        <f t="shared" si="35"/>
        <v/>
      </c>
      <c r="H61" t="s">
        <v>7164</v>
      </c>
      <c r="I61" s="806" t="s">
        <v>7089</v>
      </c>
      <c r="J61" s="806" t="s">
        <v>7170</v>
      </c>
      <c r="L61" s="638">
        <f t="shared" si="37"/>
        <v>1</v>
      </c>
      <c r="M61" s="638" t="str">
        <f t="shared" si="38"/>
        <v/>
      </c>
      <c r="N61" s="638" t="str">
        <f t="shared" si="39"/>
        <v/>
      </c>
      <c r="O61" s="638" t="str">
        <f t="shared" si="40"/>
        <v/>
      </c>
      <c r="P61" s="638" t="str">
        <f t="shared" si="41"/>
        <v/>
      </c>
      <c r="Q61" s="638" t="str">
        <f t="shared" si="42"/>
        <v/>
      </c>
      <c r="R61" s="638" t="str">
        <f t="shared" si="43"/>
        <v/>
      </c>
      <c r="S61" s="638" t="str">
        <f t="shared" si="44"/>
        <v/>
      </c>
      <c r="T61" s="638" t="str">
        <f t="shared" si="45"/>
        <v/>
      </c>
      <c r="U61" s="638" t="str">
        <f t="shared" si="46"/>
        <v/>
      </c>
    </row>
    <row r="62" spans="1:21" x14ac:dyDescent="0.25">
      <c r="A62" s="638" t="s">
        <v>7106</v>
      </c>
      <c r="B62" s="638">
        <v>25</v>
      </c>
      <c r="C62" s="638" t="str">
        <f t="shared" si="36"/>
        <v/>
      </c>
      <c r="D62" s="638" t="str">
        <f t="shared" ref="D62:D69" si="47">+IF(B62=16,1,"")</f>
        <v/>
      </c>
      <c r="E62" s="638">
        <f t="shared" ref="E62:E69" si="48">+IF(B62=25,1,"")</f>
        <v>1</v>
      </c>
      <c r="F62" s="638" t="str">
        <f t="shared" ref="F62:F69" si="49">+IF(B62=40,1,"")</f>
        <v/>
      </c>
      <c r="G62" s="638" t="str">
        <f t="shared" ref="G62:G69" si="50">+IF(B62=60,1,"")</f>
        <v/>
      </c>
      <c r="H62" t="s">
        <v>7164</v>
      </c>
      <c r="I62" s="806" t="s">
        <v>7089</v>
      </c>
      <c r="J62" s="806" t="s">
        <v>7170</v>
      </c>
      <c r="L62" s="638" t="str">
        <f t="shared" si="37"/>
        <v/>
      </c>
      <c r="M62" s="638" t="str">
        <f t="shared" si="38"/>
        <v/>
      </c>
      <c r="N62" s="638">
        <f t="shared" si="39"/>
        <v>1</v>
      </c>
      <c r="O62" s="638" t="str">
        <f t="shared" si="40"/>
        <v/>
      </c>
      <c r="P62" s="638" t="str">
        <f t="shared" si="41"/>
        <v/>
      </c>
      <c r="Q62" s="638" t="str">
        <f t="shared" si="42"/>
        <v/>
      </c>
      <c r="R62" s="638" t="str">
        <f t="shared" si="43"/>
        <v/>
      </c>
      <c r="S62" s="638" t="str">
        <f t="shared" si="44"/>
        <v/>
      </c>
      <c r="T62" s="638" t="str">
        <f t="shared" si="45"/>
        <v/>
      </c>
      <c r="U62" s="638" t="str">
        <f t="shared" si="46"/>
        <v/>
      </c>
    </row>
    <row r="63" spans="1:21" x14ac:dyDescent="0.25">
      <c r="A63" s="638" t="s">
        <v>7107</v>
      </c>
      <c r="B63" s="638">
        <v>40</v>
      </c>
      <c r="C63" s="638" t="str">
        <f t="shared" si="36"/>
        <v/>
      </c>
      <c r="D63" s="638" t="str">
        <f t="shared" si="47"/>
        <v/>
      </c>
      <c r="E63" s="638" t="str">
        <f t="shared" si="48"/>
        <v/>
      </c>
      <c r="F63" s="638">
        <f t="shared" si="49"/>
        <v>1</v>
      </c>
      <c r="G63" s="638" t="str">
        <f t="shared" si="50"/>
        <v/>
      </c>
      <c r="H63" s="810" t="s">
        <v>7166</v>
      </c>
      <c r="I63" s="806" t="s">
        <v>7086</v>
      </c>
      <c r="J63" s="806" t="s">
        <v>7171</v>
      </c>
      <c r="L63" s="638" t="str">
        <f t="shared" si="37"/>
        <v/>
      </c>
      <c r="M63" s="638" t="str">
        <f t="shared" si="38"/>
        <v/>
      </c>
      <c r="N63" s="638" t="str">
        <f t="shared" si="39"/>
        <v/>
      </c>
      <c r="O63" s="638" t="str">
        <f t="shared" si="40"/>
        <v/>
      </c>
      <c r="P63" s="638" t="str">
        <f t="shared" si="41"/>
        <v/>
      </c>
      <c r="Q63" s="638" t="str">
        <f t="shared" si="42"/>
        <v/>
      </c>
      <c r="R63" s="638" t="str">
        <f t="shared" si="43"/>
        <v/>
      </c>
      <c r="S63" s="638" t="str">
        <f t="shared" si="44"/>
        <v/>
      </c>
      <c r="T63" s="638">
        <f t="shared" si="45"/>
        <v>1</v>
      </c>
      <c r="U63" s="638" t="str">
        <f t="shared" si="46"/>
        <v/>
      </c>
    </row>
    <row r="64" spans="1:21" x14ac:dyDescent="0.25">
      <c r="A64" s="638" t="s">
        <v>7108</v>
      </c>
      <c r="B64" s="638">
        <v>60</v>
      </c>
      <c r="C64" s="638" t="str">
        <f t="shared" si="36"/>
        <v/>
      </c>
      <c r="D64" s="638" t="str">
        <f t="shared" si="47"/>
        <v/>
      </c>
      <c r="E64" s="638" t="str">
        <f t="shared" si="48"/>
        <v/>
      </c>
      <c r="F64" s="638" t="str">
        <f t="shared" si="49"/>
        <v/>
      </c>
      <c r="G64" s="638">
        <f t="shared" si="50"/>
        <v>1</v>
      </c>
      <c r="H64" t="s">
        <v>7165</v>
      </c>
      <c r="I64" s="806" t="s">
        <v>7089</v>
      </c>
      <c r="J64" s="806" t="s">
        <v>7171</v>
      </c>
      <c r="L64" s="638" t="str">
        <f t="shared" si="37"/>
        <v/>
      </c>
      <c r="M64" s="638" t="str">
        <f t="shared" si="38"/>
        <v/>
      </c>
      <c r="N64" s="638" t="str">
        <f t="shared" si="39"/>
        <v/>
      </c>
      <c r="O64" s="638" t="str">
        <f t="shared" si="40"/>
        <v/>
      </c>
      <c r="P64" s="638" t="str">
        <f t="shared" si="41"/>
        <v/>
      </c>
      <c r="Q64" s="638" t="str">
        <f t="shared" si="42"/>
        <v/>
      </c>
      <c r="R64" s="638" t="str">
        <f t="shared" si="43"/>
        <v/>
      </c>
      <c r="S64" s="638" t="str">
        <f t="shared" si="44"/>
        <v/>
      </c>
      <c r="T64" s="638" t="str">
        <f t="shared" si="45"/>
        <v/>
      </c>
      <c r="U64" s="638">
        <f t="shared" si="46"/>
        <v>1</v>
      </c>
    </row>
    <row r="65" spans="1:21" x14ac:dyDescent="0.25">
      <c r="A65" s="638" t="s">
        <v>7109</v>
      </c>
      <c r="B65" s="638">
        <v>60</v>
      </c>
      <c r="C65" s="638" t="str">
        <f t="shared" si="36"/>
        <v/>
      </c>
      <c r="D65" s="638" t="str">
        <f t="shared" si="47"/>
        <v/>
      </c>
      <c r="E65" s="638" t="str">
        <f t="shared" si="48"/>
        <v/>
      </c>
      <c r="F65" s="638" t="str">
        <f t="shared" si="49"/>
        <v/>
      </c>
      <c r="G65" s="638">
        <f t="shared" si="50"/>
        <v>1</v>
      </c>
      <c r="H65" t="s">
        <v>7165</v>
      </c>
      <c r="I65" s="806" t="s">
        <v>7089</v>
      </c>
      <c r="J65" s="806" t="s">
        <v>7171</v>
      </c>
      <c r="L65" s="638" t="str">
        <f t="shared" si="37"/>
        <v/>
      </c>
      <c r="M65" s="638" t="str">
        <f t="shared" si="38"/>
        <v/>
      </c>
      <c r="N65" s="638" t="str">
        <f t="shared" si="39"/>
        <v/>
      </c>
      <c r="O65" s="638" t="str">
        <f t="shared" si="40"/>
        <v/>
      </c>
      <c r="P65" s="638" t="str">
        <f t="shared" si="41"/>
        <v/>
      </c>
      <c r="Q65" s="638" t="str">
        <f t="shared" si="42"/>
        <v/>
      </c>
      <c r="R65" s="638" t="str">
        <f t="shared" si="43"/>
        <v/>
      </c>
      <c r="S65" s="638" t="str">
        <f t="shared" si="44"/>
        <v/>
      </c>
      <c r="T65" s="638" t="str">
        <f t="shared" si="45"/>
        <v/>
      </c>
      <c r="U65" s="638">
        <f t="shared" si="46"/>
        <v>1</v>
      </c>
    </row>
    <row r="66" spans="1:21" x14ac:dyDescent="0.25">
      <c r="A66" s="638" t="s">
        <v>7110</v>
      </c>
      <c r="B66" s="638">
        <v>60</v>
      </c>
      <c r="C66" s="638" t="str">
        <f t="shared" si="36"/>
        <v/>
      </c>
      <c r="D66" s="638" t="str">
        <f t="shared" si="47"/>
        <v/>
      </c>
      <c r="E66" s="638" t="str">
        <f t="shared" si="48"/>
        <v/>
      </c>
      <c r="F66" s="638" t="str">
        <f t="shared" si="49"/>
        <v/>
      </c>
      <c r="G66" s="638">
        <f t="shared" si="50"/>
        <v>1</v>
      </c>
      <c r="H66" t="s">
        <v>7165</v>
      </c>
      <c r="I66" s="806" t="s">
        <v>7089</v>
      </c>
      <c r="J66" s="806" t="s">
        <v>7171</v>
      </c>
      <c r="L66" s="638" t="str">
        <f t="shared" si="37"/>
        <v/>
      </c>
      <c r="M66" s="638" t="str">
        <f t="shared" si="38"/>
        <v/>
      </c>
      <c r="N66" s="638" t="str">
        <f t="shared" si="39"/>
        <v/>
      </c>
      <c r="O66" s="638" t="str">
        <f t="shared" si="40"/>
        <v/>
      </c>
      <c r="P66" s="638" t="str">
        <f t="shared" si="41"/>
        <v/>
      </c>
      <c r="Q66" s="638" t="str">
        <f t="shared" si="42"/>
        <v/>
      </c>
      <c r="R66" s="638" t="str">
        <f t="shared" si="43"/>
        <v/>
      </c>
      <c r="S66" s="638" t="str">
        <f t="shared" si="44"/>
        <v/>
      </c>
      <c r="T66" s="638" t="str">
        <f t="shared" si="45"/>
        <v/>
      </c>
      <c r="U66" s="638">
        <f t="shared" si="46"/>
        <v>1</v>
      </c>
    </row>
    <row r="67" spans="1:21" x14ac:dyDescent="0.25">
      <c r="A67" s="638" t="s">
        <v>7111</v>
      </c>
      <c r="B67" s="638">
        <v>60</v>
      </c>
      <c r="C67" s="638" t="str">
        <f t="shared" si="36"/>
        <v/>
      </c>
      <c r="D67" s="638" t="str">
        <f t="shared" si="47"/>
        <v/>
      </c>
      <c r="E67" s="638" t="str">
        <f t="shared" si="48"/>
        <v/>
      </c>
      <c r="F67" s="638" t="str">
        <f t="shared" si="49"/>
        <v/>
      </c>
      <c r="G67" s="638">
        <f t="shared" si="50"/>
        <v>1</v>
      </c>
      <c r="H67" t="s">
        <v>7165</v>
      </c>
      <c r="I67" s="806" t="s">
        <v>7089</v>
      </c>
      <c r="J67" s="806" t="s">
        <v>7171</v>
      </c>
      <c r="L67" s="638" t="str">
        <f t="shared" si="37"/>
        <v/>
      </c>
      <c r="M67" s="638" t="str">
        <f t="shared" si="38"/>
        <v/>
      </c>
      <c r="N67" s="638" t="str">
        <f t="shared" si="39"/>
        <v/>
      </c>
      <c r="O67" s="638" t="str">
        <f t="shared" si="40"/>
        <v/>
      </c>
      <c r="P67" s="638" t="str">
        <f t="shared" si="41"/>
        <v/>
      </c>
      <c r="Q67" s="638" t="str">
        <f t="shared" si="42"/>
        <v/>
      </c>
      <c r="R67" s="638" t="str">
        <f t="shared" si="43"/>
        <v/>
      </c>
      <c r="S67" s="638" t="str">
        <f t="shared" si="44"/>
        <v/>
      </c>
      <c r="T67" s="638" t="str">
        <f t="shared" si="45"/>
        <v/>
      </c>
      <c r="U67" s="638">
        <f t="shared" si="46"/>
        <v>1</v>
      </c>
    </row>
    <row r="68" spans="1:21" x14ac:dyDescent="0.25">
      <c r="A68" s="638" t="s">
        <v>7112</v>
      </c>
      <c r="B68" s="638">
        <v>60</v>
      </c>
      <c r="C68" s="638" t="str">
        <f t="shared" si="36"/>
        <v/>
      </c>
      <c r="D68" s="638" t="str">
        <f t="shared" si="47"/>
        <v/>
      </c>
      <c r="E68" s="638" t="str">
        <f t="shared" si="48"/>
        <v/>
      </c>
      <c r="F68" s="638" t="str">
        <f t="shared" si="49"/>
        <v/>
      </c>
      <c r="G68" s="638">
        <f t="shared" si="50"/>
        <v>1</v>
      </c>
      <c r="H68" s="811" t="s">
        <v>7166</v>
      </c>
      <c r="I68" s="806" t="s">
        <v>7086</v>
      </c>
      <c r="J68" s="806" t="s">
        <v>7171</v>
      </c>
      <c r="L68" s="638" t="str">
        <f t="shared" si="37"/>
        <v/>
      </c>
      <c r="M68" s="638" t="str">
        <f t="shared" si="38"/>
        <v/>
      </c>
      <c r="N68" s="638" t="str">
        <f t="shared" si="39"/>
        <v/>
      </c>
      <c r="O68" s="638" t="str">
        <f t="shared" si="40"/>
        <v/>
      </c>
      <c r="P68" s="638" t="str">
        <f t="shared" si="41"/>
        <v/>
      </c>
      <c r="Q68" s="638" t="str">
        <f t="shared" si="42"/>
        <v/>
      </c>
      <c r="R68" s="638" t="str">
        <f t="shared" si="43"/>
        <v/>
      </c>
      <c r="S68" s="638" t="str">
        <f t="shared" si="44"/>
        <v/>
      </c>
      <c r="T68" s="638" t="str">
        <f t="shared" si="45"/>
        <v/>
      </c>
      <c r="U68" s="638">
        <f t="shared" si="46"/>
        <v>1</v>
      </c>
    </row>
    <row r="69" spans="1:21" x14ac:dyDescent="0.25">
      <c r="A69" s="638" t="s">
        <v>7113</v>
      </c>
      <c r="B69" s="638">
        <v>60</v>
      </c>
      <c r="C69" s="638" t="str">
        <f t="shared" si="36"/>
        <v/>
      </c>
      <c r="D69" s="638" t="str">
        <f t="shared" si="47"/>
        <v/>
      </c>
      <c r="E69" s="638" t="str">
        <f t="shared" si="48"/>
        <v/>
      </c>
      <c r="F69" s="638" t="str">
        <f t="shared" si="49"/>
        <v/>
      </c>
      <c r="G69" s="638">
        <f t="shared" si="50"/>
        <v>1</v>
      </c>
      <c r="H69" s="811" t="s">
        <v>7166</v>
      </c>
      <c r="I69" s="806" t="s">
        <v>7086</v>
      </c>
      <c r="J69" s="806" t="s">
        <v>7171</v>
      </c>
      <c r="L69" s="638" t="str">
        <f t="shared" si="37"/>
        <v/>
      </c>
      <c r="M69" s="638" t="str">
        <f t="shared" si="38"/>
        <v/>
      </c>
      <c r="N69" s="638" t="str">
        <f t="shared" si="39"/>
        <v/>
      </c>
      <c r="O69" s="638" t="str">
        <f t="shared" si="40"/>
        <v/>
      </c>
      <c r="P69" s="638" t="str">
        <f t="shared" si="41"/>
        <v/>
      </c>
      <c r="Q69" s="638" t="str">
        <f t="shared" si="42"/>
        <v/>
      </c>
      <c r="R69" s="638" t="str">
        <f t="shared" si="43"/>
        <v/>
      </c>
      <c r="S69" s="638" t="str">
        <f t="shared" si="44"/>
        <v/>
      </c>
      <c r="T69" s="638" t="str">
        <f t="shared" si="45"/>
        <v/>
      </c>
      <c r="U69" s="638">
        <f t="shared" si="46"/>
        <v>1</v>
      </c>
    </row>
    <row r="70" spans="1:21" x14ac:dyDescent="0.25">
      <c r="A70" s="638" t="s">
        <v>7114</v>
      </c>
      <c r="B70" s="638">
        <v>40</v>
      </c>
      <c r="C70" s="638" t="str">
        <f t="shared" si="36"/>
        <v/>
      </c>
      <c r="D70" s="638" t="str">
        <f>+IF(B70=16,1,"")</f>
        <v/>
      </c>
      <c r="E70" s="638" t="str">
        <f>+IF(B70=25,1,"")</f>
        <v/>
      </c>
      <c r="F70" s="638">
        <f>+IF(B70=40,1,"")</f>
        <v>1</v>
      </c>
      <c r="G70" s="638" t="str">
        <f>+IF(B70=60,1,"")</f>
        <v/>
      </c>
      <c r="H70" s="811" t="s">
        <v>7166</v>
      </c>
      <c r="I70" s="806" t="s">
        <v>7086</v>
      </c>
      <c r="J70" s="806" t="s">
        <v>7171</v>
      </c>
      <c r="L70" s="638" t="str">
        <f t="shared" si="37"/>
        <v/>
      </c>
      <c r="M70" s="638" t="str">
        <f t="shared" si="38"/>
        <v/>
      </c>
      <c r="N70" s="638" t="str">
        <f t="shared" si="39"/>
        <v/>
      </c>
      <c r="O70" s="638" t="str">
        <f t="shared" si="40"/>
        <v/>
      </c>
      <c r="P70" s="638" t="str">
        <f t="shared" si="41"/>
        <v/>
      </c>
      <c r="Q70" s="638" t="str">
        <f t="shared" si="42"/>
        <v/>
      </c>
      <c r="R70" s="638" t="str">
        <f t="shared" si="43"/>
        <v/>
      </c>
      <c r="S70" s="638" t="str">
        <f t="shared" si="44"/>
        <v/>
      </c>
      <c r="T70" s="638">
        <f t="shared" si="45"/>
        <v>1</v>
      </c>
      <c r="U70" s="638" t="str">
        <f t="shared" si="46"/>
        <v/>
      </c>
    </row>
    <row r="71" spans="1:21" x14ac:dyDescent="0.25">
      <c r="A71" s="638" t="s">
        <v>7115</v>
      </c>
      <c r="B71" s="638">
        <v>40</v>
      </c>
      <c r="C71" s="638" t="str">
        <f t="shared" si="36"/>
        <v/>
      </c>
      <c r="D71" s="638" t="str">
        <f>+IF(B71=16,1,"")</f>
        <v/>
      </c>
      <c r="E71" s="638" t="str">
        <f>+IF(B71=25,1,"")</f>
        <v/>
      </c>
      <c r="F71" s="638">
        <f>+IF(B71=40,1,"")</f>
        <v>1</v>
      </c>
      <c r="G71" s="638" t="str">
        <f>+IF(B71=60,1,"")</f>
        <v/>
      </c>
      <c r="H71" s="811" t="s">
        <v>7166</v>
      </c>
      <c r="I71" s="806" t="s">
        <v>7086</v>
      </c>
      <c r="J71" s="806" t="s">
        <v>7171</v>
      </c>
      <c r="L71" s="638" t="str">
        <f t="shared" si="37"/>
        <v/>
      </c>
      <c r="M71" s="638" t="str">
        <f t="shared" si="38"/>
        <v/>
      </c>
      <c r="N71" s="638" t="str">
        <f t="shared" si="39"/>
        <v/>
      </c>
      <c r="O71" s="638" t="str">
        <f t="shared" si="40"/>
        <v/>
      </c>
      <c r="P71" s="638" t="str">
        <f t="shared" si="41"/>
        <v/>
      </c>
      <c r="Q71" s="638" t="str">
        <f t="shared" si="42"/>
        <v/>
      </c>
      <c r="R71" s="638" t="str">
        <f t="shared" si="43"/>
        <v/>
      </c>
      <c r="S71" s="638" t="str">
        <f t="shared" si="44"/>
        <v/>
      </c>
      <c r="T71" s="638">
        <f t="shared" si="45"/>
        <v>1</v>
      </c>
      <c r="U71" s="638" t="str">
        <f t="shared" si="46"/>
        <v/>
      </c>
    </row>
    <row r="72" spans="1:21" x14ac:dyDescent="0.25">
      <c r="A72" s="639"/>
      <c r="B72" s="799" t="s">
        <v>7131</v>
      </c>
      <c r="C72" s="797">
        <f>SUM(C55:C71)</f>
        <v>4</v>
      </c>
      <c r="D72" s="797">
        <f>SUM(D55:D71)</f>
        <v>1</v>
      </c>
      <c r="E72" s="797">
        <f>SUM(E55:E71)</f>
        <v>3</v>
      </c>
      <c r="F72" s="797">
        <f>SUM(F55:F71)</f>
        <v>3</v>
      </c>
      <c r="G72" s="797">
        <f>SUM(G55:G71)</f>
        <v>6</v>
      </c>
      <c r="H72" s="811"/>
      <c r="I72" s="694"/>
      <c r="J72" s="694"/>
      <c r="K72" s="799" t="s">
        <v>7131</v>
      </c>
      <c r="L72" s="797">
        <f t="shared" ref="L72:U72" si="51">SUM(L55:L71)</f>
        <v>2</v>
      </c>
      <c r="M72" s="797">
        <f t="shared" si="51"/>
        <v>1</v>
      </c>
      <c r="N72" s="797">
        <f t="shared" si="51"/>
        <v>1</v>
      </c>
      <c r="O72" s="797">
        <f t="shared" si="51"/>
        <v>0</v>
      </c>
      <c r="P72" s="797">
        <f t="shared" si="51"/>
        <v>0</v>
      </c>
      <c r="Q72" s="797">
        <f t="shared" si="51"/>
        <v>2</v>
      </c>
      <c r="R72" s="797">
        <f t="shared" si="51"/>
        <v>0</v>
      </c>
      <c r="S72" s="797">
        <f t="shared" si="51"/>
        <v>2</v>
      </c>
      <c r="T72" s="797">
        <f t="shared" si="51"/>
        <v>3</v>
      </c>
      <c r="U72" s="797">
        <f t="shared" si="51"/>
        <v>6</v>
      </c>
    </row>
    <row r="73" spans="1:21" x14ac:dyDescent="0.25">
      <c r="A73" s="639"/>
      <c r="B73" s="639"/>
      <c r="C73" s="639"/>
      <c r="D73" s="639"/>
      <c r="E73" s="639"/>
      <c r="F73" s="639"/>
      <c r="G73" s="639"/>
    </row>
    <row r="74" spans="1:21" x14ac:dyDescent="0.25">
      <c r="A74" s="798" t="s">
        <v>7162</v>
      </c>
      <c r="B74" s="798" t="s">
        <v>7099</v>
      </c>
      <c r="C74" s="798" t="s">
        <v>7155</v>
      </c>
      <c r="D74" s="798" t="s">
        <v>7156</v>
      </c>
      <c r="E74" s="798" t="s">
        <v>7157</v>
      </c>
      <c r="F74" s="798" t="s">
        <v>7158</v>
      </c>
      <c r="G74" s="798" t="s">
        <v>7159</v>
      </c>
      <c r="I74" s="808" t="s">
        <v>7080</v>
      </c>
      <c r="J74" s="809" t="s">
        <v>7163</v>
      </c>
      <c r="L74" s="809" t="str">
        <f>+CONCATENATE($J$1," 250 ",C74)</f>
        <v>DN 250 PN10</v>
      </c>
      <c r="M74" s="809" t="str">
        <f>+CONCATENATE($J$1," 250 ",D74)</f>
        <v>DN 250 PN16</v>
      </c>
      <c r="N74" s="809" t="str">
        <f>+CONCATENATE($J$1," 250 ",E74)</f>
        <v>DN 250 PN25</v>
      </c>
      <c r="O74" s="809" t="str">
        <f>+CONCATENATE($J$1," 250 ",F74)</f>
        <v>DN 250 PN40</v>
      </c>
      <c r="P74" s="809" t="str">
        <f>+CONCATENATE($J$1," 250 ",G74)</f>
        <v>DN 250 PN60</v>
      </c>
      <c r="Q74" s="809" t="str">
        <f>+CONCATENATE($J$1," 350 ",C74)</f>
        <v>DN 350 PN10</v>
      </c>
      <c r="R74" s="809" t="str">
        <f>+CONCATENATE($J$1," 350 ",D74)</f>
        <v>DN 350 PN16</v>
      </c>
      <c r="S74" s="809" t="str">
        <f>+CONCATENATE($J$1," 350 ",E74)</f>
        <v>DN 350 PN25</v>
      </c>
      <c r="T74" s="809" t="str">
        <f>+CONCATENATE($J$1," 350 ",F74)</f>
        <v>DN 350 PN40</v>
      </c>
      <c r="U74" s="809" t="str">
        <f>+CONCATENATE($J$1," 350 ",G74)</f>
        <v>DN 350 PN60</v>
      </c>
    </row>
    <row r="75" spans="1:21" x14ac:dyDescent="0.25">
      <c r="A75" s="638" t="s">
        <v>7098</v>
      </c>
      <c r="B75" s="638">
        <v>16</v>
      </c>
      <c r="C75" s="638" t="str">
        <f>+IF(B75=10,1,"")</f>
        <v/>
      </c>
      <c r="D75" s="638">
        <f t="shared" ref="D75:D86" si="52">+IF(B75=16,1,"")</f>
        <v>1</v>
      </c>
      <c r="E75" s="638" t="str">
        <f t="shared" ref="E75:E86" si="53">+IF(B75=25,1,"")</f>
        <v/>
      </c>
      <c r="F75" s="638" t="str">
        <f t="shared" ref="F75:F86" si="54">+IF(B75=40,1,"")</f>
        <v/>
      </c>
      <c r="G75" s="638" t="str">
        <f t="shared" ref="G75:G86" si="55">+IF(B75=60,1,"")</f>
        <v/>
      </c>
      <c r="H75" t="s">
        <v>7164</v>
      </c>
      <c r="I75" s="806" t="s">
        <v>7089</v>
      </c>
      <c r="J75" s="806" t="s">
        <v>7170</v>
      </c>
      <c r="L75" s="638" t="str">
        <f>+IF(AND(J75="250",B75=10),1,"")</f>
        <v/>
      </c>
      <c r="M75" s="638">
        <f>+IF(AND(J75="250",B75=16),1,"")</f>
        <v>1</v>
      </c>
      <c r="N75" s="638" t="str">
        <f>+IF(AND(J75="250",B75=25),1,"")</f>
        <v/>
      </c>
      <c r="O75" s="638" t="str">
        <f>+IF(AND(J75="250",B75=40),1,"")</f>
        <v/>
      </c>
      <c r="P75" s="638" t="str">
        <f>+IF(AND(J75="250",B75=60),1,"")</f>
        <v/>
      </c>
      <c r="Q75" s="638" t="str">
        <f>+IF(AND(J75="350",B75=10),1,"")</f>
        <v/>
      </c>
      <c r="R75" s="638" t="str">
        <f>+IF(AND(J75="350",B75=16),1,"")</f>
        <v/>
      </c>
      <c r="S75" s="638" t="str">
        <f>+IF(AND(J75="350",B75=25),1,"")</f>
        <v/>
      </c>
      <c r="T75" s="638" t="str">
        <f>+IF(AND(J75="350",B75=40),1,"")</f>
        <v/>
      </c>
      <c r="U75" s="638" t="str">
        <f>+IF(AND(J75="350",B75=60),1,"")</f>
        <v/>
      </c>
    </row>
    <row r="76" spans="1:21" x14ac:dyDescent="0.25">
      <c r="A76" s="638" t="s">
        <v>7100</v>
      </c>
      <c r="B76" s="638">
        <v>25</v>
      </c>
      <c r="C76" s="638" t="str">
        <f t="shared" ref="C76:C86" si="56">+IF(B76=10,1,"")</f>
        <v/>
      </c>
      <c r="D76" s="638" t="str">
        <f t="shared" si="52"/>
        <v/>
      </c>
      <c r="E76" s="638">
        <f t="shared" si="53"/>
        <v>1</v>
      </c>
      <c r="F76" s="638" t="str">
        <f t="shared" si="54"/>
        <v/>
      </c>
      <c r="G76" s="638" t="str">
        <f t="shared" si="55"/>
        <v/>
      </c>
      <c r="H76" t="s">
        <v>7165</v>
      </c>
      <c r="I76" s="806" t="s">
        <v>7089</v>
      </c>
      <c r="J76" s="806" t="s">
        <v>7171</v>
      </c>
      <c r="L76" s="638" t="str">
        <f t="shared" ref="L76:L86" si="57">+IF(AND(J76="250",B76=10),1,"")</f>
        <v/>
      </c>
      <c r="M76" s="638" t="str">
        <f t="shared" ref="M76:M86" si="58">+IF(AND(J76="250",B76=16),1,"")</f>
        <v/>
      </c>
      <c r="N76" s="638" t="str">
        <f t="shared" ref="N76:N86" si="59">+IF(AND(J76="250",B76=25),1,"")</f>
        <v/>
      </c>
      <c r="O76" s="638" t="str">
        <f t="shared" ref="O76:O86" si="60">+IF(AND(J76="250",B76=40),1,"")</f>
        <v/>
      </c>
      <c r="P76" s="638" t="str">
        <f t="shared" ref="P76:P86" si="61">+IF(AND(J76="250",B76=60),1,"")</f>
        <v/>
      </c>
      <c r="Q76" s="638" t="str">
        <f t="shared" ref="Q76:Q86" si="62">+IF(AND(J76="350",B76=10),1,"")</f>
        <v/>
      </c>
      <c r="R76" s="638" t="str">
        <f t="shared" ref="R76:R86" si="63">+IF(AND(J76="350",B76=16),1,"")</f>
        <v/>
      </c>
      <c r="S76" s="638">
        <f t="shared" ref="S76:S86" si="64">+IF(AND(J76="350",B76=25),1,"")</f>
        <v>1</v>
      </c>
      <c r="T76" s="638" t="str">
        <f t="shared" ref="T76:T86" si="65">+IF(AND(J76="350",B76=40),1,"")</f>
        <v/>
      </c>
      <c r="U76" s="638" t="str">
        <f t="shared" ref="U76:U86" si="66">+IF(AND(J76="350",B76=60),1,"")</f>
        <v/>
      </c>
    </row>
    <row r="77" spans="1:21" x14ac:dyDescent="0.25">
      <c r="A77" s="638" t="s">
        <v>7101</v>
      </c>
      <c r="B77" s="638">
        <v>10</v>
      </c>
      <c r="C77" s="638">
        <f t="shared" si="56"/>
        <v>1</v>
      </c>
      <c r="D77" s="638" t="str">
        <f t="shared" si="52"/>
        <v/>
      </c>
      <c r="E77" s="638" t="str">
        <f t="shared" si="53"/>
        <v/>
      </c>
      <c r="F77" s="638" t="str">
        <f t="shared" si="54"/>
        <v/>
      </c>
      <c r="G77" s="638" t="str">
        <f t="shared" si="55"/>
        <v/>
      </c>
      <c r="H77" t="s">
        <v>7164</v>
      </c>
      <c r="I77" s="806" t="s">
        <v>7089</v>
      </c>
      <c r="J77" s="806" t="s">
        <v>7170</v>
      </c>
      <c r="L77" s="638">
        <f t="shared" si="57"/>
        <v>1</v>
      </c>
      <c r="M77" s="638" t="str">
        <f t="shared" si="58"/>
        <v/>
      </c>
      <c r="N77" s="638" t="str">
        <f t="shared" si="59"/>
        <v/>
      </c>
      <c r="O77" s="638" t="str">
        <f t="shared" si="60"/>
        <v/>
      </c>
      <c r="P77" s="638" t="str">
        <f t="shared" si="61"/>
        <v/>
      </c>
      <c r="Q77" s="638" t="str">
        <f t="shared" si="62"/>
        <v/>
      </c>
      <c r="R77" s="638" t="str">
        <f t="shared" si="63"/>
        <v/>
      </c>
      <c r="S77" s="638" t="str">
        <f t="shared" si="64"/>
        <v/>
      </c>
      <c r="T77" s="638" t="str">
        <f t="shared" si="65"/>
        <v/>
      </c>
      <c r="U77" s="638" t="str">
        <f t="shared" si="66"/>
        <v/>
      </c>
    </row>
    <row r="78" spans="1:21" x14ac:dyDescent="0.25">
      <c r="A78" s="638" t="s">
        <v>7102</v>
      </c>
      <c r="B78" s="638">
        <v>10</v>
      </c>
      <c r="C78" s="638">
        <f t="shared" si="56"/>
        <v>1</v>
      </c>
      <c r="D78" s="638" t="str">
        <f t="shared" si="52"/>
        <v/>
      </c>
      <c r="E78" s="638" t="str">
        <f t="shared" si="53"/>
        <v/>
      </c>
      <c r="F78" s="638" t="str">
        <f t="shared" si="54"/>
        <v/>
      </c>
      <c r="G78" s="638" t="str">
        <f t="shared" si="55"/>
        <v/>
      </c>
      <c r="H78" t="s">
        <v>7165</v>
      </c>
      <c r="I78" s="806" t="s">
        <v>7089</v>
      </c>
      <c r="J78" s="806" t="s">
        <v>7171</v>
      </c>
      <c r="L78" s="638" t="str">
        <f t="shared" si="57"/>
        <v/>
      </c>
      <c r="M78" s="638" t="str">
        <f t="shared" si="58"/>
        <v/>
      </c>
      <c r="N78" s="638" t="str">
        <f t="shared" si="59"/>
        <v/>
      </c>
      <c r="O78" s="638" t="str">
        <f t="shared" si="60"/>
        <v/>
      </c>
      <c r="P78" s="638" t="str">
        <f t="shared" si="61"/>
        <v/>
      </c>
      <c r="Q78" s="638">
        <f t="shared" si="62"/>
        <v>1</v>
      </c>
      <c r="R78" s="638" t="str">
        <f t="shared" si="63"/>
        <v/>
      </c>
      <c r="S78" s="638" t="str">
        <f t="shared" si="64"/>
        <v/>
      </c>
      <c r="T78" s="638" t="str">
        <f t="shared" si="65"/>
        <v/>
      </c>
      <c r="U78" s="638" t="str">
        <f t="shared" si="66"/>
        <v/>
      </c>
    </row>
    <row r="79" spans="1:21" x14ac:dyDescent="0.25">
      <c r="A79" s="638" t="s">
        <v>7103</v>
      </c>
      <c r="B79" s="638">
        <v>10</v>
      </c>
      <c r="C79" s="638">
        <f t="shared" si="56"/>
        <v>1</v>
      </c>
      <c r="D79" s="638" t="str">
        <f t="shared" si="52"/>
        <v/>
      </c>
      <c r="E79" s="638" t="str">
        <f t="shared" si="53"/>
        <v/>
      </c>
      <c r="F79" s="638" t="str">
        <f t="shared" si="54"/>
        <v/>
      </c>
      <c r="G79" s="638" t="str">
        <f t="shared" si="55"/>
        <v/>
      </c>
      <c r="H79" t="s">
        <v>7165</v>
      </c>
      <c r="I79" s="806" t="s">
        <v>7089</v>
      </c>
      <c r="J79" s="806" t="s">
        <v>7171</v>
      </c>
      <c r="L79" s="638" t="str">
        <f t="shared" si="57"/>
        <v/>
      </c>
      <c r="M79" s="638" t="str">
        <f t="shared" si="58"/>
        <v/>
      </c>
      <c r="N79" s="638" t="str">
        <f t="shared" si="59"/>
        <v/>
      </c>
      <c r="O79" s="638" t="str">
        <f t="shared" si="60"/>
        <v/>
      </c>
      <c r="P79" s="638" t="str">
        <f t="shared" si="61"/>
        <v/>
      </c>
      <c r="Q79" s="638">
        <f t="shared" si="62"/>
        <v>1</v>
      </c>
      <c r="R79" s="638" t="str">
        <f t="shared" si="63"/>
        <v/>
      </c>
      <c r="S79" s="638" t="str">
        <f t="shared" si="64"/>
        <v/>
      </c>
      <c r="T79" s="638" t="str">
        <f t="shared" si="65"/>
        <v/>
      </c>
      <c r="U79" s="638" t="str">
        <f t="shared" si="66"/>
        <v/>
      </c>
    </row>
    <row r="80" spans="1:21" x14ac:dyDescent="0.25">
      <c r="A80" s="638" t="s">
        <v>7104</v>
      </c>
      <c r="B80" s="638">
        <v>25</v>
      </c>
      <c r="C80" s="638" t="str">
        <f t="shared" si="56"/>
        <v/>
      </c>
      <c r="D80" s="638" t="str">
        <f t="shared" si="52"/>
        <v/>
      </c>
      <c r="E80" s="638">
        <f t="shared" si="53"/>
        <v>1</v>
      </c>
      <c r="F80" s="638" t="str">
        <f t="shared" si="54"/>
        <v/>
      </c>
      <c r="G80" s="638" t="str">
        <f t="shared" si="55"/>
        <v/>
      </c>
      <c r="H80" t="s">
        <v>7164</v>
      </c>
      <c r="I80" s="806" t="s">
        <v>7089</v>
      </c>
      <c r="J80" s="806" t="s">
        <v>7170</v>
      </c>
      <c r="L80" s="638" t="str">
        <f t="shared" si="57"/>
        <v/>
      </c>
      <c r="M80" s="638" t="str">
        <f t="shared" si="58"/>
        <v/>
      </c>
      <c r="N80" s="638">
        <f t="shared" si="59"/>
        <v>1</v>
      </c>
      <c r="O80" s="638" t="str">
        <f t="shared" si="60"/>
        <v/>
      </c>
      <c r="P80" s="638" t="str">
        <f t="shared" si="61"/>
        <v/>
      </c>
      <c r="Q80" s="638" t="str">
        <f t="shared" si="62"/>
        <v/>
      </c>
      <c r="R80" s="638" t="str">
        <f t="shared" si="63"/>
        <v/>
      </c>
      <c r="S80" s="638" t="str">
        <f t="shared" si="64"/>
        <v/>
      </c>
      <c r="T80" s="638" t="str">
        <f t="shared" si="65"/>
        <v/>
      </c>
      <c r="U80" s="638" t="str">
        <f t="shared" si="66"/>
        <v/>
      </c>
    </row>
    <row r="81" spans="1:21" x14ac:dyDescent="0.25">
      <c r="A81" s="638" t="s">
        <v>7105</v>
      </c>
      <c r="B81" s="638">
        <v>40</v>
      </c>
      <c r="C81" s="638" t="str">
        <f t="shared" si="56"/>
        <v/>
      </c>
      <c r="D81" s="638" t="str">
        <f t="shared" si="52"/>
        <v/>
      </c>
      <c r="E81" s="638" t="str">
        <f t="shared" si="53"/>
        <v/>
      </c>
      <c r="F81" s="638">
        <f t="shared" si="54"/>
        <v>1</v>
      </c>
      <c r="G81" s="638" t="str">
        <f t="shared" si="55"/>
        <v/>
      </c>
      <c r="H81" s="810" t="s">
        <v>7166</v>
      </c>
      <c r="I81" s="806" t="s">
        <v>7086</v>
      </c>
      <c r="J81" s="806" t="s">
        <v>7171</v>
      </c>
      <c r="L81" s="638" t="str">
        <f t="shared" si="57"/>
        <v/>
      </c>
      <c r="M81" s="638" t="str">
        <f t="shared" si="58"/>
        <v/>
      </c>
      <c r="N81" s="638" t="str">
        <f t="shared" si="59"/>
        <v/>
      </c>
      <c r="O81" s="638" t="str">
        <f t="shared" si="60"/>
        <v/>
      </c>
      <c r="P81" s="638" t="str">
        <f t="shared" si="61"/>
        <v/>
      </c>
      <c r="Q81" s="638" t="str">
        <f t="shared" si="62"/>
        <v/>
      </c>
      <c r="R81" s="638" t="str">
        <f t="shared" si="63"/>
        <v/>
      </c>
      <c r="S81" s="638" t="str">
        <f t="shared" si="64"/>
        <v/>
      </c>
      <c r="T81" s="638">
        <f t="shared" si="65"/>
        <v>1</v>
      </c>
      <c r="U81" s="638" t="str">
        <f t="shared" si="66"/>
        <v/>
      </c>
    </row>
    <row r="82" spans="1:21" x14ac:dyDescent="0.25">
      <c r="A82" s="638" t="s">
        <v>7106</v>
      </c>
      <c r="B82" s="638">
        <v>60</v>
      </c>
      <c r="C82" s="638" t="str">
        <f t="shared" si="56"/>
        <v/>
      </c>
      <c r="D82" s="638" t="str">
        <f t="shared" si="52"/>
        <v/>
      </c>
      <c r="E82" s="638" t="str">
        <f t="shared" si="53"/>
        <v/>
      </c>
      <c r="F82" s="638" t="str">
        <f t="shared" si="54"/>
        <v/>
      </c>
      <c r="G82" s="638">
        <f t="shared" si="55"/>
        <v>1</v>
      </c>
      <c r="H82" t="s">
        <v>7165</v>
      </c>
      <c r="I82" s="806" t="s">
        <v>7089</v>
      </c>
      <c r="J82" s="806" t="s">
        <v>7171</v>
      </c>
      <c r="L82" s="638" t="str">
        <f t="shared" si="57"/>
        <v/>
      </c>
      <c r="M82" s="638" t="str">
        <f t="shared" si="58"/>
        <v/>
      </c>
      <c r="N82" s="638" t="str">
        <f t="shared" si="59"/>
        <v/>
      </c>
      <c r="O82" s="638" t="str">
        <f t="shared" si="60"/>
        <v/>
      </c>
      <c r="P82" s="638" t="str">
        <f t="shared" si="61"/>
        <v/>
      </c>
      <c r="Q82" s="638" t="str">
        <f t="shared" si="62"/>
        <v/>
      </c>
      <c r="R82" s="638" t="str">
        <f t="shared" si="63"/>
        <v/>
      </c>
      <c r="S82" s="638" t="str">
        <f t="shared" si="64"/>
        <v/>
      </c>
      <c r="T82" s="638" t="str">
        <f t="shared" si="65"/>
        <v/>
      </c>
      <c r="U82" s="638">
        <f t="shared" si="66"/>
        <v>1</v>
      </c>
    </row>
    <row r="83" spans="1:21" x14ac:dyDescent="0.25">
      <c r="A83" s="638" t="s">
        <v>7107</v>
      </c>
      <c r="B83" s="638">
        <v>60</v>
      </c>
      <c r="C83" s="638" t="str">
        <f t="shared" si="56"/>
        <v/>
      </c>
      <c r="D83" s="638" t="str">
        <f t="shared" si="52"/>
        <v/>
      </c>
      <c r="E83" s="638" t="str">
        <f t="shared" si="53"/>
        <v/>
      </c>
      <c r="F83" s="638" t="str">
        <f t="shared" si="54"/>
        <v/>
      </c>
      <c r="G83" s="638">
        <f t="shared" si="55"/>
        <v>1</v>
      </c>
      <c r="H83" t="s">
        <v>7165</v>
      </c>
      <c r="I83" s="806" t="s">
        <v>7089</v>
      </c>
      <c r="J83" s="806" t="s">
        <v>7171</v>
      </c>
      <c r="L83" s="638" t="str">
        <f t="shared" si="57"/>
        <v/>
      </c>
      <c r="M83" s="638" t="str">
        <f t="shared" si="58"/>
        <v/>
      </c>
      <c r="N83" s="638" t="str">
        <f t="shared" si="59"/>
        <v/>
      </c>
      <c r="O83" s="638" t="str">
        <f t="shared" si="60"/>
        <v/>
      </c>
      <c r="P83" s="638" t="str">
        <f t="shared" si="61"/>
        <v/>
      </c>
      <c r="Q83" s="638" t="str">
        <f t="shared" si="62"/>
        <v/>
      </c>
      <c r="R83" s="638" t="str">
        <f t="shared" si="63"/>
        <v/>
      </c>
      <c r="S83" s="638" t="str">
        <f t="shared" si="64"/>
        <v/>
      </c>
      <c r="T83" s="638" t="str">
        <f t="shared" si="65"/>
        <v/>
      </c>
      <c r="U83" s="638">
        <f t="shared" si="66"/>
        <v>1</v>
      </c>
    </row>
    <row r="84" spans="1:21" x14ac:dyDescent="0.25">
      <c r="A84" s="638" t="s">
        <v>7108</v>
      </c>
      <c r="B84" s="638">
        <v>60</v>
      </c>
      <c r="C84" s="638" t="str">
        <f t="shared" si="56"/>
        <v/>
      </c>
      <c r="D84" s="638" t="str">
        <f t="shared" si="52"/>
        <v/>
      </c>
      <c r="E84" s="638" t="str">
        <f t="shared" si="53"/>
        <v/>
      </c>
      <c r="F84" s="638" t="str">
        <f t="shared" si="54"/>
        <v/>
      </c>
      <c r="G84" s="638">
        <f t="shared" si="55"/>
        <v>1</v>
      </c>
      <c r="H84" t="s">
        <v>7165</v>
      </c>
      <c r="I84" s="806" t="s">
        <v>7089</v>
      </c>
      <c r="J84" s="806" t="s">
        <v>7171</v>
      </c>
      <c r="L84" s="638" t="str">
        <f t="shared" si="57"/>
        <v/>
      </c>
      <c r="M84" s="638" t="str">
        <f t="shared" si="58"/>
        <v/>
      </c>
      <c r="N84" s="638" t="str">
        <f t="shared" si="59"/>
        <v/>
      </c>
      <c r="O84" s="638" t="str">
        <f t="shared" si="60"/>
        <v/>
      </c>
      <c r="P84" s="638" t="str">
        <f t="shared" si="61"/>
        <v/>
      </c>
      <c r="Q84" s="638" t="str">
        <f t="shared" si="62"/>
        <v/>
      </c>
      <c r="R84" s="638" t="str">
        <f t="shared" si="63"/>
        <v/>
      </c>
      <c r="S84" s="638" t="str">
        <f t="shared" si="64"/>
        <v/>
      </c>
      <c r="T84" s="638" t="str">
        <f t="shared" si="65"/>
        <v/>
      </c>
      <c r="U84" s="638">
        <f t="shared" si="66"/>
        <v>1</v>
      </c>
    </row>
    <row r="85" spans="1:21" x14ac:dyDescent="0.25">
      <c r="A85" s="638" t="s">
        <v>7109</v>
      </c>
      <c r="B85" s="638">
        <v>60</v>
      </c>
      <c r="C85" s="638" t="str">
        <f t="shared" si="56"/>
        <v/>
      </c>
      <c r="D85" s="638" t="str">
        <f t="shared" si="52"/>
        <v/>
      </c>
      <c r="E85" s="638" t="str">
        <f t="shared" si="53"/>
        <v/>
      </c>
      <c r="F85" s="638" t="str">
        <f t="shared" si="54"/>
        <v/>
      </c>
      <c r="G85" s="638">
        <f t="shared" si="55"/>
        <v>1</v>
      </c>
      <c r="H85" t="s">
        <v>7165</v>
      </c>
      <c r="I85" s="806" t="s">
        <v>7089</v>
      </c>
      <c r="J85" s="806" t="s">
        <v>7171</v>
      </c>
      <c r="L85" s="638" t="str">
        <f t="shared" si="57"/>
        <v/>
      </c>
      <c r="M85" s="638" t="str">
        <f t="shared" si="58"/>
        <v/>
      </c>
      <c r="N85" s="638" t="str">
        <f t="shared" si="59"/>
        <v/>
      </c>
      <c r="O85" s="638" t="str">
        <f t="shared" si="60"/>
        <v/>
      </c>
      <c r="P85" s="638" t="str">
        <f t="shared" si="61"/>
        <v/>
      </c>
      <c r="Q85" s="638" t="str">
        <f t="shared" si="62"/>
        <v/>
      </c>
      <c r="R85" s="638" t="str">
        <f t="shared" si="63"/>
        <v/>
      </c>
      <c r="S85" s="638" t="str">
        <f t="shared" si="64"/>
        <v/>
      </c>
      <c r="T85" s="638" t="str">
        <f t="shared" si="65"/>
        <v/>
      </c>
      <c r="U85" s="638">
        <f t="shared" si="66"/>
        <v>1</v>
      </c>
    </row>
    <row r="86" spans="1:21" x14ac:dyDescent="0.25">
      <c r="A86" s="638" t="s">
        <v>7110</v>
      </c>
      <c r="B86" s="638">
        <v>60</v>
      </c>
      <c r="C86" s="638" t="str">
        <f t="shared" si="56"/>
        <v/>
      </c>
      <c r="D86" s="638" t="str">
        <f t="shared" si="52"/>
        <v/>
      </c>
      <c r="E86" s="638" t="str">
        <f t="shared" si="53"/>
        <v/>
      </c>
      <c r="F86" s="638" t="str">
        <f t="shared" si="54"/>
        <v/>
      </c>
      <c r="G86" s="638">
        <f t="shared" si="55"/>
        <v>1</v>
      </c>
      <c r="H86" s="811" t="s">
        <v>7166</v>
      </c>
      <c r="I86" s="806" t="s">
        <v>7089</v>
      </c>
      <c r="J86" s="806" t="s">
        <v>7171</v>
      </c>
      <c r="L86" s="638" t="str">
        <f t="shared" si="57"/>
        <v/>
      </c>
      <c r="M86" s="638" t="str">
        <f t="shared" si="58"/>
        <v/>
      </c>
      <c r="N86" s="638" t="str">
        <f t="shared" si="59"/>
        <v/>
      </c>
      <c r="O86" s="638" t="str">
        <f t="shared" si="60"/>
        <v/>
      </c>
      <c r="P86" s="638" t="str">
        <f t="shared" si="61"/>
        <v/>
      </c>
      <c r="Q86" s="638" t="str">
        <f t="shared" si="62"/>
        <v/>
      </c>
      <c r="R86" s="638" t="str">
        <f t="shared" si="63"/>
        <v/>
      </c>
      <c r="S86" s="638" t="str">
        <f t="shared" si="64"/>
        <v/>
      </c>
      <c r="T86" s="638" t="str">
        <f t="shared" si="65"/>
        <v/>
      </c>
      <c r="U86" s="638">
        <f t="shared" si="66"/>
        <v>1</v>
      </c>
    </row>
    <row r="87" spans="1:21" x14ac:dyDescent="0.25">
      <c r="A87" s="639"/>
      <c r="B87" s="799" t="s">
        <v>7131</v>
      </c>
      <c r="C87" s="797">
        <f>SUM(C75:C86)</f>
        <v>3</v>
      </c>
      <c r="D87" s="797">
        <f>SUM(D75:D86)</f>
        <v>1</v>
      </c>
      <c r="E87" s="797">
        <f>SUM(E75:E86)</f>
        <v>2</v>
      </c>
      <c r="F87" s="797">
        <f>SUM(F75:F86)</f>
        <v>1</v>
      </c>
      <c r="G87" s="797">
        <f>SUM(G75:G86)</f>
        <v>5</v>
      </c>
      <c r="H87" s="811"/>
      <c r="I87" s="694"/>
      <c r="J87" s="694"/>
      <c r="K87" s="799" t="s">
        <v>7131</v>
      </c>
      <c r="L87" s="797">
        <f t="shared" ref="L87:U87" si="67">SUM(L75:L86)</f>
        <v>1</v>
      </c>
      <c r="M87" s="797">
        <f t="shared" si="67"/>
        <v>1</v>
      </c>
      <c r="N87" s="797">
        <f t="shared" si="67"/>
        <v>1</v>
      </c>
      <c r="O87" s="797">
        <f t="shared" si="67"/>
        <v>0</v>
      </c>
      <c r="P87" s="797">
        <f t="shared" si="67"/>
        <v>0</v>
      </c>
      <c r="Q87" s="797">
        <f t="shared" si="67"/>
        <v>2</v>
      </c>
      <c r="R87" s="797">
        <f t="shared" si="67"/>
        <v>0</v>
      </c>
      <c r="S87" s="797">
        <f t="shared" si="67"/>
        <v>1</v>
      </c>
      <c r="T87" s="797">
        <f t="shared" si="67"/>
        <v>1</v>
      </c>
      <c r="U87" s="797">
        <f t="shared" si="67"/>
        <v>5</v>
      </c>
    </row>
    <row r="89" spans="1:21" x14ac:dyDescent="0.25">
      <c r="A89" s="798" t="s">
        <v>7167</v>
      </c>
      <c r="B89" s="798" t="s">
        <v>7099</v>
      </c>
      <c r="C89" s="798" t="s">
        <v>7155</v>
      </c>
      <c r="D89" s="798" t="s">
        <v>7156</v>
      </c>
      <c r="E89" s="798" t="s">
        <v>7157</v>
      </c>
      <c r="F89" s="798" t="s">
        <v>7158</v>
      </c>
      <c r="G89" s="798" t="s">
        <v>7159</v>
      </c>
      <c r="I89" s="808" t="s">
        <v>7080</v>
      </c>
      <c r="J89" s="809" t="s">
        <v>7163</v>
      </c>
      <c r="L89" s="809" t="str">
        <f>+CONCATENATE($J$1," 250 ",C89)</f>
        <v>DN 250 PN10</v>
      </c>
      <c r="M89" s="809" t="str">
        <f>+CONCATENATE($J$1," 250 ",D89)</f>
        <v>DN 250 PN16</v>
      </c>
      <c r="N89" s="809" t="str">
        <f>+CONCATENATE($J$1," 250 ",E89)</f>
        <v>DN 250 PN25</v>
      </c>
      <c r="O89" s="809" t="str">
        <f>+CONCATENATE($J$1," 250 ",F89)</f>
        <v>DN 250 PN40</v>
      </c>
      <c r="P89" s="809" t="str">
        <f>+CONCATENATE($J$1," 250 ",G89)</f>
        <v>DN 250 PN60</v>
      </c>
      <c r="Q89" s="809" t="str">
        <f>+CONCATENATE($J$1," 350 ",C89)</f>
        <v>DN 350 PN10</v>
      </c>
      <c r="R89" s="809" t="str">
        <f>+CONCATENATE($J$1," 350 ",D89)</f>
        <v>DN 350 PN16</v>
      </c>
      <c r="S89" s="809" t="str">
        <f>+CONCATENATE($J$1," 350 ",E89)</f>
        <v>DN 350 PN25</v>
      </c>
      <c r="T89" s="809" t="str">
        <f>+CONCATENATE($J$1," 350 ",F89)</f>
        <v>DN 350 PN40</v>
      </c>
      <c r="U89" s="809" t="str">
        <f>+CONCATENATE($J$1," 350 ",G89)</f>
        <v>DN 350 PN60</v>
      </c>
    </row>
    <row r="90" spans="1:21" x14ac:dyDescent="0.25">
      <c r="A90" s="638" t="s">
        <v>7098</v>
      </c>
      <c r="B90" s="638">
        <v>60</v>
      </c>
      <c r="C90" s="638" t="str">
        <f t="shared" ref="C90:C95" si="68">+IF(B90=10,1,"")</f>
        <v/>
      </c>
      <c r="D90" s="638" t="str">
        <f t="shared" ref="D90:D95" si="69">+IF(B90=16,1,"")</f>
        <v/>
      </c>
      <c r="E90" s="638" t="str">
        <f t="shared" ref="E90:E95" si="70">+IF(B90=25,1,"")</f>
        <v/>
      </c>
      <c r="F90" s="638" t="str">
        <f t="shared" ref="F90:F95" si="71">+IF(B90=40,1,"")</f>
        <v/>
      </c>
      <c r="G90" s="638">
        <f t="shared" ref="G90:G95" si="72">+IF(B90=60,1,"")</f>
        <v>1</v>
      </c>
      <c r="H90" s="811" t="s">
        <v>7166</v>
      </c>
      <c r="I90" s="806" t="s">
        <v>7086</v>
      </c>
      <c r="J90" s="806" t="s">
        <v>7171</v>
      </c>
      <c r="L90" s="638" t="str">
        <f t="shared" ref="L90:L95" si="73">+IF(AND(J90="250",B90=10),1,"")</f>
        <v/>
      </c>
      <c r="M90" s="638" t="str">
        <f t="shared" ref="M90:M95" si="74">+IF(AND(J90="250",B90=16),1,"")</f>
        <v/>
      </c>
      <c r="N90" s="638" t="str">
        <f t="shared" ref="N90:N95" si="75">+IF(AND(J90="250",B90=25),1,"")</f>
        <v/>
      </c>
      <c r="O90" s="638" t="str">
        <f t="shared" ref="O90:O95" si="76">+IF(AND(J90="250",B90=40),1,"")</f>
        <v/>
      </c>
      <c r="P90" s="638" t="str">
        <f t="shared" ref="P90:P95" si="77">+IF(AND(J90="250",B90=60),1,"")</f>
        <v/>
      </c>
      <c r="Q90" s="638" t="str">
        <f t="shared" ref="Q90:Q95" si="78">+IF(AND(J90="350",B90=10),1,"")</f>
        <v/>
      </c>
      <c r="R90" s="638" t="str">
        <f t="shared" ref="R90:R95" si="79">+IF(AND(J90="350",B90=16),1,"")</f>
        <v/>
      </c>
      <c r="S90" s="638" t="str">
        <f t="shared" ref="S90:S95" si="80">+IF(AND(J90="350",B90=25),1,"")</f>
        <v/>
      </c>
      <c r="T90" s="638" t="str">
        <f t="shared" ref="T90:T95" si="81">+IF(AND(J90="350",B90=40),1,"")</f>
        <v/>
      </c>
      <c r="U90" s="638">
        <f t="shared" ref="U90:U95" si="82">+IF(AND(J90="350",B90=60),1,"")</f>
        <v>1</v>
      </c>
    </row>
    <row r="91" spans="1:21" x14ac:dyDescent="0.25">
      <c r="A91" s="638" t="s">
        <v>7100</v>
      </c>
      <c r="B91" s="638">
        <v>60</v>
      </c>
      <c r="C91" s="638" t="str">
        <f t="shared" si="68"/>
        <v/>
      </c>
      <c r="D91" s="638" t="str">
        <f t="shared" si="69"/>
        <v/>
      </c>
      <c r="E91" s="638" t="str">
        <f t="shared" si="70"/>
        <v/>
      </c>
      <c r="F91" s="638" t="str">
        <f t="shared" si="71"/>
        <v/>
      </c>
      <c r="G91" s="638">
        <f t="shared" si="72"/>
        <v>1</v>
      </c>
      <c r="H91" t="s">
        <v>7165</v>
      </c>
      <c r="I91" s="806" t="s">
        <v>7089</v>
      </c>
      <c r="J91" s="806" t="s">
        <v>7171</v>
      </c>
      <c r="L91" s="638" t="str">
        <f t="shared" si="73"/>
        <v/>
      </c>
      <c r="M91" s="638" t="str">
        <f t="shared" si="74"/>
        <v/>
      </c>
      <c r="N91" s="638" t="str">
        <f t="shared" si="75"/>
        <v/>
      </c>
      <c r="O91" s="638" t="str">
        <f t="shared" si="76"/>
        <v/>
      </c>
      <c r="P91" s="638" t="str">
        <f t="shared" si="77"/>
        <v/>
      </c>
      <c r="Q91" s="638" t="str">
        <f t="shared" si="78"/>
        <v/>
      </c>
      <c r="R91" s="638" t="str">
        <f t="shared" si="79"/>
        <v/>
      </c>
      <c r="S91" s="638" t="str">
        <f t="shared" si="80"/>
        <v/>
      </c>
      <c r="T91" s="638" t="str">
        <f t="shared" si="81"/>
        <v/>
      </c>
      <c r="U91" s="638">
        <f t="shared" si="82"/>
        <v>1</v>
      </c>
    </row>
    <row r="92" spans="1:21" x14ac:dyDescent="0.25">
      <c r="A92" s="638" t="s">
        <v>7101</v>
      </c>
      <c r="B92" s="638">
        <v>60</v>
      </c>
      <c r="C92" s="638" t="str">
        <f t="shared" si="68"/>
        <v/>
      </c>
      <c r="D92" s="638" t="str">
        <f t="shared" si="69"/>
        <v/>
      </c>
      <c r="E92" s="638" t="str">
        <f t="shared" si="70"/>
        <v/>
      </c>
      <c r="F92" s="638" t="str">
        <f t="shared" si="71"/>
        <v/>
      </c>
      <c r="G92" s="638">
        <f t="shared" si="72"/>
        <v>1</v>
      </c>
      <c r="H92" t="s">
        <v>7165</v>
      </c>
      <c r="I92" s="806" t="s">
        <v>7089</v>
      </c>
      <c r="J92" s="806" t="s">
        <v>7171</v>
      </c>
      <c r="L92" s="638" t="str">
        <f t="shared" si="73"/>
        <v/>
      </c>
      <c r="M92" s="638" t="str">
        <f t="shared" si="74"/>
        <v/>
      </c>
      <c r="N92" s="638" t="str">
        <f t="shared" si="75"/>
        <v/>
      </c>
      <c r="O92" s="638" t="str">
        <f t="shared" si="76"/>
        <v/>
      </c>
      <c r="P92" s="638" t="str">
        <f t="shared" si="77"/>
        <v/>
      </c>
      <c r="Q92" s="638" t="str">
        <f t="shared" si="78"/>
        <v/>
      </c>
      <c r="R92" s="638" t="str">
        <f t="shared" si="79"/>
        <v/>
      </c>
      <c r="S92" s="638" t="str">
        <f t="shared" si="80"/>
        <v/>
      </c>
      <c r="T92" s="638" t="str">
        <f t="shared" si="81"/>
        <v/>
      </c>
      <c r="U92" s="638">
        <f t="shared" si="82"/>
        <v>1</v>
      </c>
    </row>
    <row r="93" spans="1:21" x14ac:dyDescent="0.25">
      <c r="A93" s="638" t="s">
        <v>7102</v>
      </c>
      <c r="B93" s="638">
        <v>60</v>
      </c>
      <c r="C93" s="638" t="str">
        <f t="shared" si="68"/>
        <v/>
      </c>
      <c r="D93" s="638" t="str">
        <f t="shared" si="69"/>
        <v/>
      </c>
      <c r="E93" s="638" t="str">
        <f t="shared" si="70"/>
        <v/>
      </c>
      <c r="F93" s="638" t="str">
        <f t="shared" si="71"/>
        <v/>
      </c>
      <c r="G93" s="638">
        <f t="shared" si="72"/>
        <v>1</v>
      </c>
      <c r="H93" s="811" t="s">
        <v>7165</v>
      </c>
      <c r="I93" s="806" t="s">
        <v>7089</v>
      </c>
      <c r="J93" s="806" t="s">
        <v>7171</v>
      </c>
      <c r="L93" s="638" t="str">
        <f t="shared" si="73"/>
        <v/>
      </c>
      <c r="M93" s="638" t="str">
        <f t="shared" si="74"/>
        <v/>
      </c>
      <c r="N93" s="638" t="str">
        <f t="shared" si="75"/>
        <v/>
      </c>
      <c r="O93" s="638" t="str">
        <f t="shared" si="76"/>
        <v/>
      </c>
      <c r="P93" s="638" t="str">
        <f t="shared" si="77"/>
        <v/>
      </c>
      <c r="Q93" s="638" t="str">
        <f t="shared" si="78"/>
        <v/>
      </c>
      <c r="R93" s="638" t="str">
        <f t="shared" si="79"/>
        <v/>
      </c>
      <c r="S93" s="638" t="str">
        <f t="shared" si="80"/>
        <v/>
      </c>
      <c r="T93" s="638" t="str">
        <f t="shared" si="81"/>
        <v/>
      </c>
      <c r="U93" s="638">
        <f t="shared" si="82"/>
        <v>1</v>
      </c>
    </row>
    <row r="94" spans="1:21" x14ac:dyDescent="0.25">
      <c r="A94" s="638" t="s">
        <v>7103</v>
      </c>
      <c r="B94" s="638">
        <v>40</v>
      </c>
      <c r="C94" s="638" t="str">
        <f t="shared" si="68"/>
        <v/>
      </c>
      <c r="D94" s="638" t="str">
        <f t="shared" si="69"/>
        <v/>
      </c>
      <c r="E94" s="638" t="str">
        <f t="shared" si="70"/>
        <v/>
      </c>
      <c r="F94" s="638">
        <f t="shared" si="71"/>
        <v>1</v>
      </c>
      <c r="G94" s="638" t="str">
        <f t="shared" si="72"/>
        <v/>
      </c>
      <c r="H94" s="811" t="s">
        <v>7165</v>
      </c>
      <c r="I94" s="806" t="s">
        <v>7089</v>
      </c>
      <c r="J94" s="806" t="s">
        <v>7171</v>
      </c>
      <c r="L94" s="638" t="str">
        <f t="shared" si="73"/>
        <v/>
      </c>
      <c r="M94" s="638" t="str">
        <f t="shared" si="74"/>
        <v/>
      </c>
      <c r="N94" s="638" t="str">
        <f t="shared" si="75"/>
        <v/>
      </c>
      <c r="O94" s="638" t="str">
        <f t="shared" si="76"/>
        <v/>
      </c>
      <c r="P94" s="638" t="str">
        <f t="shared" si="77"/>
        <v/>
      </c>
      <c r="Q94" s="638" t="str">
        <f t="shared" si="78"/>
        <v/>
      </c>
      <c r="R94" s="638" t="str">
        <f t="shared" si="79"/>
        <v/>
      </c>
      <c r="S94" s="638" t="str">
        <f t="shared" si="80"/>
        <v/>
      </c>
      <c r="T94" s="638">
        <f t="shared" si="81"/>
        <v>1</v>
      </c>
      <c r="U94" s="638" t="str">
        <f t="shared" si="82"/>
        <v/>
      </c>
    </row>
    <row r="95" spans="1:21" x14ac:dyDescent="0.25">
      <c r="A95" s="638" t="s">
        <v>7104</v>
      </c>
      <c r="B95" s="638">
        <v>40</v>
      </c>
      <c r="C95" s="638" t="str">
        <f t="shared" si="68"/>
        <v/>
      </c>
      <c r="D95" s="638" t="str">
        <f t="shared" si="69"/>
        <v/>
      </c>
      <c r="E95" s="638" t="str">
        <f t="shared" si="70"/>
        <v/>
      </c>
      <c r="F95" s="638">
        <f t="shared" si="71"/>
        <v>1</v>
      </c>
      <c r="G95" s="638" t="str">
        <f t="shared" si="72"/>
        <v/>
      </c>
      <c r="H95" s="811" t="s">
        <v>7165</v>
      </c>
      <c r="I95" s="806" t="s">
        <v>7089</v>
      </c>
      <c r="J95" s="806" t="s">
        <v>7171</v>
      </c>
      <c r="L95" s="638" t="str">
        <f t="shared" si="73"/>
        <v/>
      </c>
      <c r="M95" s="638" t="str">
        <f t="shared" si="74"/>
        <v/>
      </c>
      <c r="N95" s="638" t="str">
        <f t="shared" si="75"/>
        <v/>
      </c>
      <c r="O95" s="638" t="str">
        <f t="shared" si="76"/>
        <v/>
      </c>
      <c r="P95" s="638" t="str">
        <f t="shared" si="77"/>
        <v/>
      </c>
      <c r="Q95" s="638" t="str">
        <f t="shared" si="78"/>
        <v/>
      </c>
      <c r="R95" s="638" t="str">
        <f t="shared" si="79"/>
        <v/>
      </c>
      <c r="S95" s="638" t="str">
        <f t="shared" si="80"/>
        <v/>
      </c>
      <c r="T95" s="638">
        <f t="shared" si="81"/>
        <v>1</v>
      </c>
      <c r="U95" s="638" t="str">
        <f t="shared" si="82"/>
        <v/>
      </c>
    </row>
    <row r="96" spans="1:21" x14ac:dyDescent="0.25">
      <c r="A96" s="639"/>
      <c r="B96" s="799" t="s">
        <v>7131</v>
      </c>
      <c r="C96" s="797">
        <f>SUM(C90:C95)</f>
        <v>0</v>
      </c>
      <c r="D96" s="797">
        <f>SUM(D90:D95)</f>
        <v>0</v>
      </c>
      <c r="E96" s="797">
        <f>SUM(E90:E95)</f>
        <v>0</v>
      </c>
      <c r="F96" s="797">
        <f>SUM(F90:F95)</f>
        <v>2</v>
      </c>
      <c r="G96" s="797">
        <f>SUM(G90:G95)</f>
        <v>4</v>
      </c>
      <c r="H96" s="811"/>
      <c r="I96" s="694"/>
      <c r="J96" s="694"/>
      <c r="K96" s="799" t="s">
        <v>7131</v>
      </c>
      <c r="L96" s="797">
        <f>SUM(L90:L95)</f>
        <v>0</v>
      </c>
      <c r="M96" s="797">
        <f t="shared" ref="M96:U96" si="83">SUM(M90:M95)</f>
        <v>0</v>
      </c>
      <c r="N96" s="797">
        <f t="shared" si="83"/>
        <v>0</v>
      </c>
      <c r="O96" s="797">
        <f t="shared" si="83"/>
        <v>0</v>
      </c>
      <c r="P96" s="797">
        <f t="shared" si="83"/>
        <v>0</v>
      </c>
      <c r="Q96" s="797">
        <f t="shared" si="83"/>
        <v>0</v>
      </c>
      <c r="R96" s="797">
        <f t="shared" si="83"/>
        <v>0</v>
      </c>
      <c r="S96" s="797">
        <f t="shared" si="83"/>
        <v>0</v>
      </c>
      <c r="T96" s="797">
        <f t="shared" si="83"/>
        <v>2</v>
      </c>
      <c r="U96" s="797">
        <f t="shared" si="83"/>
        <v>4</v>
      </c>
    </row>
    <row r="98" spans="1:21" x14ac:dyDescent="0.25">
      <c r="A98" s="798" t="s">
        <v>7168</v>
      </c>
      <c r="B98" s="798" t="s">
        <v>7099</v>
      </c>
      <c r="C98" s="798" t="s">
        <v>7155</v>
      </c>
      <c r="D98" s="798" t="s">
        <v>7156</v>
      </c>
      <c r="E98" s="798" t="s">
        <v>7157</v>
      </c>
      <c r="F98" s="798" t="s">
        <v>7158</v>
      </c>
      <c r="G98" s="798" t="s">
        <v>7159</v>
      </c>
      <c r="H98" s="638"/>
      <c r="I98" s="809" t="s">
        <v>7080</v>
      </c>
      <c r="J98" s="809" t="s">
        <v>7163</v>
      </c>
      <c r="L98" s="809" t="str">
        <f>+CONCATENATE($J$1," 250 ",C98)</f>
        <v>DN 250 PN10</v>
      </c>
      <c r="M98" s="809" t="str">
        <f>+CONCATENATE($J$1," 250 ",D98)</f>
        <v>DN 250 PN16</v>
      </c>
      <c r="N98" s="809" t="str">
        <f>+CONCATENATE($J$1," 250 ",E98)</f>
        <v>DN 250 PN25</v>
      </c>
      <c r="O98" s="809" t="str">
        <f>+CONCATENATE($J$1," 250 ",F98)</f>
        <v>DN 250 PN40</v>
      </c>
      <c r="P98" s="809" t="str">
        <f>+CONCATENATE($J$1," 250 ",G98)</f>
        <v>DN 250 PN60</v>
      </c>
      <c r="Q98" s="809" t="str">
        <f>+CONCATENATE($J$1," 350 ",C98)</f>
        <v>DN 350 PN10</v>
      </c>
      <c r="R98" s="809" t="str">
        <f>+CONCATENATE($J$1," 350 ",D98)</f>
        <v>DN 350 PN16</v>
      </c>
      <c r="S98" s="809" t="str">
        <f>+CONCATENATE($J$1," 350 ",E98)</f>
        <v>DN 350 PN25</v>
      </c>
      <c r="T98" s="809" t="str">
        <f>+CONCATENATE($J$1," 350 ",F98)</f>
        <v>DN 350 PN40</v>
      </c>
      <c r="U98" s="809" t="str">
        <f>+CONCATENATE($J$1," 350 ",G98)</f>
        <v>DN 350 PN60</v>
      </c>
    </row>
    <row r="99" spans="1:21" x14ac:dyDescent="0.25">
      <c r="A99" s="638" t="s">
        <v>7098</v>
      </c>
      <c r="B99" s="638">
        <v>60</v>
      </c>
      <c r="C99" s="638" t="str">
        <f>+IF(B99=10,1,"")</f>
        <v/>
      </c>
      <c r="D99" s="638" t="str">
        <f>+IF(B99=16,1,"")</f>
        <v/>
      </c>
      <c r="E99" s="638" t="str">
        <f>+IF(B99=25,1,"")</f>
        <v/>
      </c>
      <c r="F99" s="638" t="str">
        <f>+IF(B99=40,1,"")</f>
        <v/>
      </c>
      <c r="G99" s="638">
        <f>+IF(B99=60,1,"")</f>
        <v>1</v>
      </c>
      <c r="H99" s="637" t="s">
        <v>7166</v>
      </c>
      <c r="I99" s="806" t="s">
        <v>7086</v>
      </c>
      <c r="J99" s="806" t="s">
        <v>7171</v>
      </c>
      <c r="L99" s="638" t="str">
        <f>+IF(AND(J99="250",B99=10),1,"")</f>
        <v/>
      </c>
      <c r="M99" s="638" t="str">
        <f>+IF(AND(J99="250",B99=16),1,"")</f>
        <v/>
      </c>
      <c r="N99" s="638" t="str">
        <f>+IF(AND(J99="250",B99=25),1,"")</f>
        <v/>
      </c>
      <c r="O99" s="638" t="str">
        <f>+IF(AND(J99="250",B99=40),1,"")</f>
        <v/>
      </c>
      <c r="P99" s="638" t="str">
        <f>+IF(AND(J99="250",B99=60),1,"")</f>
        <v/>
      </c>
      <c r="Q99" s="638" t="str">
        <f>+IF(AND(J99="350",B99=10),1,"")</f>
        <v/>
      </c>
      <c r="R99" s="638" t="str">
        <f>+IF(AND(J99="350",B99=16),1,"")</f>
        <v/>
      </c>
      <c r="S99" s="638" t="str">
        <f>+IF(AND(J99="350",B99=25),1,"")</f>
        <v/>
      </c>
      <c r="T99" s="638" t="str">
        <f>+IF(AND(J99="350",B99=40),1,"")</f>
        <v/>
      </c>
      <c r="U99" s="638">
        <f>+IF(AND(J99="350",B99=60),1,"")</f>
        <v>1</v>
      </c>
    </row>
    <row r="100" spans="1:21" x14ac:dyDescent="0.25">
      <c r="A100" s="638" t="s">
        <v>7100</v>
      </c>
      <c r="B100" s="638">
        <v>60</v>
      </c>
      <c r="C100" s="638" t="str">
        <f>+IF(B100=10,1,"")</f>
        <v/>
      </c>
      <c r="D100" s="638" t="str">
        <f>+IF(B100=16,1,"")</f>
        <v/>
      </c>
      <c r="E100" s="638" t="str">
        <f>+IF(B100=25,1,"")</f>
        <v/>
      </c>
      <c r="F100" s="638" t="str">
        <f>+IF(B100=40,1,"")</f>
        <v/>
      </c>
      <c r="G100" s="638">
        <f>+IF(B100=60,1,"")</f>
        <v>1</v>
      </c>
      <c r="H100" s="637" t="s">
        <v>7165</v>
      </c>
      <c r="I100" s="806" t="s">
        <v>7089</v>
      </c>
      <c r="J100" s="806" t="s">
        <v>7171</v>
      </c>
      <c r="L100" s="638" t="str">
        <f>+IF(AND(J100="250",B100=10),1,"")</f>
        <v/>
      </c>
      <c r="M100" s="638" t="str">
        <f>+IF(AND(J100="250",B100=16),1,"")</f>
        <v/>
      </c>
      <c r="N100" s="638" t="str">
        <f>+IF(AND(J100="250",B100=25),1,"")</f>
        <v/>
      </c>
      <c r="O100" s="638" t="str">
        <f>+IF(AND(J100="250",B100=40),1,"")</f>
        <v/>
      </c>
      <c r="P100" s="638" t="str">
        <f>+IF(AND(J100="250",B100=60),1,"")</f>
        <v/>
      </c>
      <c r="Q100" s="638" t="str">
        <f>+IF(AND(J100="350",B100=10),1,"")</f>
        <v/>
      </c>
      <c r="R100" s="638" t="str">
        <f>+IF(AND(J100="350",B100=16),1,"")</f>
        <v/>
      </c>
      <c r="S100" s="638" t="str">
        <f>+IF(AND(J100="350",B100=25),1,"")</f>
        <v/>
      </c>
      <c r="T100" s="638" t="str">
        <f>+IF(AND(J100="350",B100=40),1,"")</f>
        <v/>
      </c>
      <c r="U100" s="638">
        <f>+IF(AND(J100="350",B100=60),1,"")</f>
        <v>1</v>
      </c>
    </row>
    <row r="101" spans="1:21" x14ac:dyDescent="0.25">
      <c r="A101" s="638" t="s">
        <v>7101</v>
      </c>
      <c r="B101" s="638">
        <v>40</v>
      </c>
      <c r="C101" s="638" t="str">
        <f>+IF(B101=10,1,"")</f>
        <v/>
      </c>
      <c r="D101" s="638" t="str">
        <f>+IF(B101=16,1,"")</f>
        <v/>
      </c>
      <c r="E101" s="638" t="str">
        <f>+IF(B101=25,1,"")</f>
        <v/>
      </c>
      <c r="F101" s="638">
        <f>+IF(B101=40,1,"")</f>
        <v>1</v>
      </c>
      <c r="G101" s="638" t="str">
        <f>+IF(B101=60,1,"")</f>
        <v/>
      </c>
      <c r="H101" s="637" t="s">
        <v>7165</v>
      </c>
      <c r="I101" s="806" t="s">
        <v>7089</v>
      </c>
      <c r="J101" s="806" t="s">
        <v>7171</v>
      </c>
      <c r="L101" s="638" t="str">
        <f>+IF(AND(J101="250",B101=10),1,"")</f>
        <v/>
      </c>
      <c r="M101" s="638" t="str">
        <f>+IF(AND(J101="250",B101=16),1,"")</f>
        <v/>
      </c>
      <c r="N101" s="638" t="str">
        <f>+IF(AND(J101="250",B101=25),1,"")</f>
        <v/>
      </c>
      <c r="O101" s="638" t="str">
        <f>+IF(AND(J101="250",B101=40),1,"")</f>
        <v/>
      </c>
      <c r="P101" s="638" t="str">
        <f>+IF(AND(J101="250",B101=60),1,"")</f>
        <v/>
      </c>
      <c r="Q101" s="638" t="str">
        <f>+IF(AND(J101="350",B101=10),1,"")</f>
        <v/>
      </c>
      <c r="R101" s="638" t="str">
        <f>+IF(AND(J101="350",B101=16),1,"")</f>
        <v/>
      </c>
      <c r="S101" s="638" t="str">
        <f>+IF(AND(J101="350",B101=25),1,"")</f>
        <v/>
      </c>
      <c r="T101" s="638">
        <f>+IF(AND(J101="350",B101=40),1,"")</f>
        <v>1</v>
      </c>
      <c r="U101" s="638" t="str">
        <f>+IF(AND(J101="350",B101=60),1,"")</f>
        <v/>
      </c>
    </row>
    <row r="102" spans="1:21" x14ac:dyDescent="0.25">
      <c r="B102" s="799" t="s">
        <v>7131</v>
      </c>
      <c r="C102" s="797">
        <f>SUM(C99:C101)</f>
        <v>0</v>
      </c>
      <c r="D102" s="797">
        <f>SUM(D99:D101)</f>
        <v>0</v>
      </c>
      <c r="E102" s="797">
        <f>SUM(E99:E101)</f>
        <v>0</v>
      </c>
      <c r="F102" s="797">
        <f>SUM(F99:F101)</f>
        <v>1</v>
      </c>
      <c r="G102" s="797">
        <f>SUM(G99:G101)</f>
        <v>2</v>
      </c>
      <c r="K102" s="799" t="s">
        <v>7131</v>
      </c>
      <c r="L102" s="797">
        <f>SUM(L99:L101)</f>
        <v>0</v>
      </c>
      <c r="M102" s="797">
        <f t="shared" ref="M102:U102" si="84">SUM(M99:M101)</f>
        <v>0</v>
      </c>
      <c r="N102" s="797">
        <f t="shared" si="84"/>
        <v>0</v>
      </c>
      <c r="O102" s="797">
        <f t="shared" si="84"/>
        <v>0</v>
      </c>
      <c r="P102" s="797">
        <f t="shared" si="84"/>
        <v>0</v>
      </c>
      <c r="Q102" s="797">
        <f t="shared" si="84"/>
        <v>0</v>
      </c>
      <c r="R102" s="797">
        <f t="shared" si="84"/>
        <v>0</v>
      </c>
      <c r="S102" s="797">
        <f t="shared" si="84"/>
        <v>0</v>
      </c>
      <c r="T102" s="797">
        <f t="shared" si="84"/>
        <v>1</v>
      </c>
      <c r="U102" s="797">
        <f t="shared" si="84"/>
        <v>2</v>
      </c>
    </row>
  </sheetData>
  <conditionalFormatting sqref="L52">
    <cfRule type="cellIs" dxfId="6" priority="7" operator="greaterThan">
      <formula>0</formula>
    </cfRule>
  </conditionalFormatting>
  <conditionalFormatting sqref="M52:U52">
    <cfRule type="cellIs" dxfId="5" priority="6" operator="greaterThan">
      <formula>0</formula>
    </cfRule>
  </conditionalFormatting>
  <conditionalFormatting sqref="L35:U35">
    <cfRule type="cellIs" dxfId="4" priority="5" operator="greaterThan">
      <formula>0</formula>
    </cfRule>
  </conditionalFormatting>
  <conditionalFormatting sqref="L72:U72">
    <cfRule type="cellIs" dxfId="3" priority="4" operator="greaterThan">
      <formula>0</formula>
    </cfRule>
  </conditionalFormatting>
  <conditionalFormatting sqref="L87:U87">
    <cfRule type="cellIs" dxfId="2" priority="3" operator="greaterThan">
      <formula>0</formula>
    </cfRule>
  </conditionalFormatting>
  <conditionalFormatting sqref="L96:U96">
    <cfRule type="cellIs" dxfId="1" priority="2" operator="greaterThan">
      <formula>0</formula>
    </cfRule>
  </conditionalFormatting>
  <conditionalFormatting sqref="L102:U102">
    <cfRule type="cellIs" dxfId="0" priority="1" operator="greaterThan">
      <formula>0</formula>
    </cfRule>
  </conditionalFormatting>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0"/>
  <sheetViews>
    <sheetView workbookViewId="0"/>
  </sheetViews>
  <sheetFormatPr baseColWidth="10" defaultRowHeight="15" x14ac:dyDescent="0.25"/>
  <cols>
    <col min="1" max="1" width="28.5703125" bestFit="1" customWidth="1"/>
    <col min="2" max="2" width="12" bestFit="1" customWidth="1"/>
    <col min="3" max="3" width="14.140625" bestFit="1" customWidth="1"/>
    <col min="4" max="4" width="12" bestFit="1" customWidth="1"/>
    <col min="6" max="6" width="12.5703125" bestFit="1" customWidth="1"/>
    <col min="7" max="7" width="18.7109375" bestFit="1" customWidth="1"/>
  </cols>
  <sheetData>
    <row r="1" spans="1:7" ht="15.75" x14ac:dyDescent="0.25">
      <c r="A1" s="916" t="s">
        <v>9356</v>
      </c>
      <c r="B1" s="916"/>
      <c r="C1" s="916"/>
      <c r="D1" s="916"/>
      <c r="E1" s="917"/>
      <c r="F1" s="917"/>
    </row>
    <row r="2" spans="1:7" ht="15.75" x14ac:dyDescent="0.25">
      <c r="A2" s="916" t="s">
        <v>7983</v>
      </c>
      <c r="B2" s="918"/>
      <c r="C2" s="918"/>
      <c r="D2" s="918"/>
      <c r="E2" s="917"/>
      <c r="F2" s="917"/>
    </row>
    <row r="3" spans="1:7" ht="15.75" thickBot="1" x14ac:dyDescent="0.3">
      <c r="A3" s="917"/>
      <c r="B3" s="917"/>
      <c r="C3" s="917"/>
      <c r="D3" s="917"/>
      <c r="E3" s="917"/>
      <c r="F3" s="917"/>
    </row>
    <row r="4" spans="1:7" ht="30.75" thickBot="1" x14ac:dyDescent="0.3">
      <c r="A4" s="919" t="s">
        <v>4</v>
      </c>
      <c r="B4" s="920" t="s">
        <v>7984</v>
      </c>
      <c r="C4" s="921" t="s">
        <v>7985</v>
      </c>
      <c r="D4" s="922" t="s">
        <v>5413</v>
      </c>
      <c r="E4" s="917"/>
      <c r="F4" s="917"/>
    </row>
    <row r="5" spans="1:7" x14ac:dyDescent="0.25">
      <c r="A5" s="923" t="s">
        <v>6525</v>
      </c>
      <c r="B5" s="924">
        <f>ROUND($G$7/30,0)</f>
        <v>24591</v>
      </c>
      <c r="C5" s="924">
        <f t="shared" ref="C5:C13" si="0">+IF(B5*30&lt;=2*689454,ROUND(B5*$B$29/100,0),ROUND(B5*$B$30/100,0))</f>
        <v>15261</v>
      </c>
      <c r="D5" s="925">
        <f t="shared" ref="D5:D24" si="1">SUM(B5:C5)</f>
        <v>39852</v>
      </c>
      <c r="E5" s="926"/>
      <c r="F5" s="926"/>
    </row>
    <row r="6" spans="1:7" x14ac:dyDescent="0.25">
      <c r="A6" s="927" t="s">
        <v>7189</v>
      </c>
      <c r="B6" s="928">
        <v>34473</v>
      </c>
      <c r="C6" s="924">
        <f t="shared" si="0"/>
        <v>21394</v>
      </c>
      <c r="D6" s="929">
        <f t="shared" si="1"/>
        <v>55867</v>
      </c>
      <c r="E6" s="926"/>
      <c r="F6" s="942"/>
      <c r="G6" s="943" t="s">
        <v>8001</v>
      </c>
    </row>
    <row r="7" spans="1:7" x14ac:dyDescent="0.25">
      <c r="A7" s="927" t="s">
        <v>7190</v>
      </c>
      <c r="B7" s="924">
        <f>ROUND($G$7/30,0)</f>
        <v>24591</v>
      </c>
      <c r="C7" s="924">
        <f t="shared" si="0"/>
        <v>15261</v>
      </c>
      <c r="D7" s="929">
        <f t="shared" si="1"/>
        <v>39852</v>
      </c>
      <c r="E7" s="926"/>
      <c r="F7" s="926"/>
      <c r="G7" s="733">
        <v>737717</v>
      </c>
    </row>
    <row r="8" spans="1:7" x14ac:dyDescent="0.25">
      <c r="A8" s="930" t="s">
        <v>7986</v>
      </c>
      <c r="B8" s="931">
        <v>100000</v>
      </c>
      <c r="C8" s="932">
        <f t="shared" si="0"/>
        <v>48790</v>
      </c>
      <c r="D8" s="894">
        <f t="shared" si="1"/>
        <v>148790</v>
      </c>
      <c r="E8" s="917"/>
      <c r="F8" s="917"/>
    </row>
    <row r="9" spans="1:7" x14ac:dyDescent="0.25">
      <c r="A9" s="731" t="s">
        <v>7987</v>
      </c>
      <c r="B9" s="924">
        <f>ROUND($G$7/30,0)</f>
        <v>24591</v>
      </c>
      <c r="C9" s="932">
        <f t="shared" si="0"/>
        <v>15261</v>
      </c>
      <c r="D9" s="894">
        <f t="shared" si="1"/>
        <v>39852</v>
      </c>
      <c r="E9" s="917"/>
      <c r="F9" s="917"/>
    </row>
    <row r="10" spans="1:7" x14ac:dyDescent="0.25">
      <c r="A10" s="731" t="s">
        <v>7988</v>
      </c>
      <c r="B10" s="931">
        <v>120000</v>
      </c>
      <c r="C10" s="932">
        <f t="shared" si="0"/>
        <v>58548</v>
      </c>
      <c r="D10" s="894">
        <f t="shared" si="1"/>
        <v>178548</v>
      </c>
      <c r="E10" s="917"/>
      <c r="F10" s="917"/>
    </row>
    <row r="11" spans="1:7" x14ac:dyDescent="0.25">
      <c r="A11" s="731" t="s">
        <v>7191</v>
      </c>
      <c r="B11" s="931">
        <v>22000</v>
      </c>
      <c r="C11" s="932">
        <f t="shared" si="0"/>
        <v>13653</v>
      </c>
      <c r="D11" s="894">
        <f t="shared" si="1"/>
        <v>35653</v>
      </c>
      <c r="E11" s="917"/>
      <c r="F11" s="917"/>
    </row>
    <row r="12" spans="1:7" x14ac:dyDescent="0.25">
      <c r="A12" s="731" t="s">
        <v>7989</v>
      </c>
      <c r="B12" s="931">
        <v>450000</v>
      </c>
      <c r="C12" s="932">
        <f t="shared" si="0"/>
        <v>219555</v>
      </c>
      <c r="D12" s="894">
        <f t="shared" si="1"/>
        <v>669555</v>
      </c>
      <c r="E12" s="917"/>
      <c r="F12" s="917"/>
    </row>
    <row r="13" spans="1:7" x14ac:dyDescent="0.25">
      <c r="A13" s="731" t="s">
        <v>7990</v>
      </c>
      <c r="B13" s="931">
        <v>22000</v>
      </c>
      <c r="C13" s="932">
        <f t="shared" si="0"/>
        <v>13653</v>
      </c>
      <c r="D13" s="894">
        <f t="shared" si="1"/>
        <v>35653</v>
      </c>
      <c r="E13" s="917"/>
      <c r="F13" s="917"/>
    </row>
    <row r="14" spans="1:7" x14ac:dyDescent="0.25">
      <c r="A14" s="734" t="s">
        <v>6523</v>
      </c>
      <c r="B14" s="934">
        <v>57454</v>
      </c>
      <c r="C14" s="935">
        <f>+ROUND(B14*$B$29/100,0)</f>
        <v>35656</v>
      </c>
      <c r="D14" s="935">
        <f t="shared" si="1"/>
        <v>93110</v>
      </c>
      <c r="E14" s="917"/>
      <c r="F14" s="917"/>
    </row>
    <row r="15" spans="1:7" x14ac:dyDescent="0.25">
      <c r="A15" s="933" t="s">
        <v>7196</v>
      </c>
      <c r="B15" s="934">
        <v>57455</v>
      </c>
      <c r="C15" s="935">
        <f>+ROUND(B15*$B$29/100,0)</f>
        <v>35656</v>
      </c>
      <c r="D15" s="936">
        <f t="shared" si="1"/>
        <v>93111</v>
      </c>
      <c r="E15" s="937"/>
      <c r="F15" s="937">
        <f>2*737717</f>
        <v>1475434</v>
      </c>
    </row>
    <row r="16" spans="1:7" x14ac:dyDescent="0.25">
      <c r="A16" s="933" t="s">
        <v>6524</v>
      </c>
      <c r="B16" s="934">
        <f>+B5*1.8</f>
        <v>44263.8</v>
      </c>
      <c r="C16" s="935">
        <f>+IF(B16*30&lt;=2*689454,ROUND(B16*$B$29/100,0),ROUND(B16*$B$30/100,0))</f>
        <v>27470</v>
      </c>
      <c r="D16" s="936">
        <f t="shared" si="1"/>
        <v>71733.8</v>
      </c>
      <c r="E16" s="937"/>
      <c r="F16" s="937"/>
    </row>
    <row r="17" spans="1:6" x14ac:dyDescent="0.25">
      <c r="A17" s="927" t="s">
        <v>7991</v>
      </c>
      <c r="B17" s="928">
        <f>+B5*1.8</f>
        <v>44263.8</v>
      </c>
      <c r="C17" s="924">
        <f>+IF(B17*30&lt;=2*689454,ROUND(B17*$B$29/100,0),ROUND(B17*$B$30/100,0))</f>
        <v>27470</v>
      </c>
      <c r="D17" s="929">
        <f t="shared" si="1"/>
        <v>71733.8</v>
      </c>
      <c r="E17" s="926"/>
      <c r="F17" s="926"/>
    </row>
    <row r="18" spans="1:6" x14ac:dyDescent="0.25">
      <c r="A18" s="731" t="s">
        <v>7992</v>
      </c>
      <c r="B18" s="931">
        <v>200000</v>
      </c>
      <c r="C18" s="931"/>
      <c r="D18" s="894">
        <f>+B18</f>
        <v>200000</v>
      </c>
      <c r="E18" s="917"/>
      <c r="F18" s="917"/>
    </row>
    <row r="19" spans="1:6" ht="45" x14ac:dyDescent="0.25">
      <c r="A19" s="938" t="s">
        <v>7993</v>
      </c>
      <c r="B19" s="931">
        <v>5000000</v>
      </c>
      <c r="C19" s="931"/>
      <c r="D19" s="894">
        <f>+B19</f>
        <v>5000000</v>
      </c>
      <c r="E19" s="917"/>
      <c r="F19" s="917"/>
    </row>
    <row r="20" spans="1:6" ht="30" x14ac:dyDescent="0.25">
      <c r="A20" s="792" t="s">
        <v>8033</v>
      </c>
      <c r="B20" s="931">
        <v>7244037.6000000006</v>
      </c>
      <c r="C20" s="931"/>
      <c r="D20" s="894">
        <f>+B20</f>
        <v>7244037.6000000006</v>
      </c>
      <c r="E20" s="917"/>
      <c r="F20" s="917"/>
    </row>
    <row r="21" spans="1:6" x14ac:dyDescent="0.25">
      <c r="A21" s="731" t="s">
        <v>7958</v>
      </c>
      <c r="B21" s="931">
        <v>300000</v>
      </c>
      <c r="C21" s="932">
        <f t="shared" ref="C21:C26" si="2">+IF(B21*30&lt;=2*689454,ROUND(B21*$B$29/100,0),ROUND(B21*$B$30/100,0))</f>
        <v>146370</v>
      </c>
      <c r="D21" s="894">
        <f t="shared" si="1"/>
        <v>446370</v>
      </c>
      <c r="E21" s="917"/>
      <c r="F21" s="917"/>
    </row>
    <row r="22" spans="1:6" x14ac:dyDescent="0.25">
      <c r="A22" s="731" t="s">
        <v>7994</v>
      </c>
      <c r="B22" s="931">
        <v>50000</v>
      </c>
      <c r="C22" s="932">
        <f t="shared" si="2"/>
        <v>24395</v>
      </c>
      <c r="D22" s="894">
        <f t="shared" si="1"/>
        <v>74395</v>
      </c>
      <c r="E22" s="917"/>
      <c r="F22" s="917"/>
    </row>
    <row r="23" spans="1:6" x14ac:dyDescent="0.25">
      <c r="A23" s="939" t="s">
        <v>7188</v>
      </c>
      <c r="B23" s="934">
        <f>+B5*3.5</f>
        <v>86068.5</v>
      </c>
      <c r="C23" s="935">
        <f t="shared" si="2"/>
        <v>41993</v>
      </c>
      <c r="D23" s="934">
        <f t="shared" si="1"/>
        <v>128061.5</v>
      </c>
      <c r="E23" s="937"/>
      <c r="F23" s="937"/>
    </row>
    <row r="24" spans="1:6" x14ac:dyDescent="0.25">
      <c r="A24" s="940" t="s">
        <v>7995</v>
      </c>
      <c r="B24" s="934">
        <f>+B5*2</f>
        <v>49182</v>
      </c>
      <c r="C24" s="935">
        <f>+ROUND(B24*$B$29/100,0)</f>
        <v>30522</v>
      </c>
      <c r="D24" s="936">
        <f t="shared" si="1"/>
        <v>79704</v>
      </c>
      <c r="E24" s="937"/>
      <c r="F24" s="937">
        <f>+B24*30</f>
        <v>1475460</v>
      </c>
    </row>
    <row r="25" spans="1:6" x14ac:dyDescent="0.25">
      <c r="A25" s="941" t="s">
        <v>7996</v>
      </c>
      <c r="B25" s="931">
        <v>100000</v>
      </c>
      <c r="C25" s="932">
        <f t="shared" si="2"/>
        <v>48790</v>
      </c>
      <c r="D25" s="894">
        <f>SUM(B25:C25)</f>
        <v>148790</v>
      </c>
      <c r="E25" s="917"/>
      <c r="F25" s="917"/>
    </row>
    <row r="26" spans="1:6" x14ac:dyDescent="0.25">
      <c r="A26" s="981" t="s">
        <v>8020</v>
      </c>
      <c r="B26" s="931">
        <v>100000</v>
      </c>
      <c r="C26" s="932">
        <f t="shared" si="2"/>
        <v>48790</v>
      </c>
      <c r="D26" s="894">
        <f>SUM(B26:C26)</f>
        <v>148790</v>
      </c>
      <c r="E26" s="917"/>
      <c r="F26" s="917"/>
    </row>
    <row r="27" spans="1:6" x14ac:dyDescent="0.25">
      <c r="A27" s="917"/>
      <c r="B27" s="917"/>
      <c r="C27" s="917"/>
      <c r="D27" s="917"/>
      <c r="E27" s="917"/>
      <c r="F27" s="917"/>
    </row>
    <row r="28" spans="1:6" x14ac:dyDescent="0.25">
      <c r="A28" s="2534" t="s">
        <v>7997</v>
      </c>
      <c r="B28" s="2534"/>
      <c r="C28" s="2534"/>
      <c r="D28" s="2534"/>
      <c r="E28" s="917"/>
      <c r="F28" s="917"/>
    </row>
    <row r="29" spans="1:6" x14ac:dyDescent="0.25">
      <c r="A29" s="941" t="s">
        <v>7998</v>
      </c>
      <c r="B29" s="944">
        <f>0.620597873969837*100</f>
        <v>62.059787396983701</v>
      </c>
      <c r="C29" s="2533" t="s">
        <v>7999</v>
      </c>
      <c r="D29" s="2533"/>
      <c r="E29" s="917">
        <f>+B24*B30/100</f>
        <v>23995.897799999999</v>
      </c>
      <c r="F29" s="917"/>
    </row>
    <row r="30" spans="1:6" x14ac:dyDescent="0.25">
      <c r="A30" s="941" t="s">
        <v>8000</v>
      </c>
      <c r="B30" s="945">
        <f>0.4879*100</f>
        <v>48.79</v>
      </c>
      <c r="C30" s="2533" t="s">
        <v>7999</v>
      </c>
      <c r="D30" s="2533"/>
      <c r="E30" s="917"/>
      <c r="F30" s="917"/>
    </row>
  </sheetData>
  <mergeCells count="3">
    <mergeCell ref="C29:D29"/>
    <mergeCell ref="C30:D30"/>
    <mergeCell ref="A28:D28"/>
  </mergeCells>
  <pageMargins left="0.7" right="0.7" top="0.75" bottom="0.75" header="0.3" footer="0.3"/>
  <pageSetup orientation="portrait" horizontalDpi="4294967295" verticalDpi="4294967295"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A73"/>
  <sheetViews>
    <sheetView zoomScale="70" zoomScaleNormal="70" workbookViewId="0">
      <selection activeCell="A69" sqref="A69:AA73"/>
    </sheetView>
  </sheetViews>
  <sheetFormatPr baseColWidth="10" defaultColWidth="11.42578125" defaultRowHeight="15" x14ac:dyDescent="0.25"/>
  <cols>
    <col min="1" max="1" width="62.28515625" style="1860" bestFit="1" customWidth="1"/>
    <col min="2" max="16384" width="11.42578125" style="1860"/>
  </cols>
  <sheetData>
    <row r="3" spans="1:27" ht="21" customHeight="1" x14ac:dyDescent="0.25">
      <c r="B3" s="2313" t="s">
        <v>6696</v>
      </c>
      <c r="C3" s="2313"/>
      <c r="D3" s="2313"/>
      <c r="E3" s="2313"/>
      <c r="F3" s="2313"/>
      <c r="G3" s="2313"/>
      <c r="H3" s="2313"/>
      <c r="I3" s="2313"/>
      <c r="J3" s="2313"/>
      <c r="K3" s="2313"/>
      <c r="L3" s="2313"/>
      <c r="M3" s="2313"/>
      <c r="N3" s="2313"/>
      <c r="O3" s="2313"/>
      <c r="P3" s="2313"/>
      <c r="Q3" s="2313"/>
      <c r="R3" s="2313"/>
      <c r="S3" s="2313"/>
      <c r="T3" s="2313"/>
      <c r="U3" s="2313"/>
      <c r="V3" s="2313"/>
      <c r="W3" s="2313"/>
      <c r="X3" s="2313"/>
      <c r="Y3" s="2313"/>
    </row>
    <row r="4" spans="1:27" x14ac:dyDescent="0.25">
      <c r="B4" s="2313"/>
      <c r="C4" s="2313"/>
      <c r="D4" s="2313"/>
      <c r="E4" s="2313"/>
      <c r="F4" s="2313"/>
      <c r="G4" s="2313"/>
      <c r="H4" s="2313"/>
      <c r="I4" s="2313"/>
      <c r="J4" s="2313"/>
      <c r="K4" s="2313"/>
      <c r="L4" s="2313"/>
      <c r="M4" s="2313"/>
      <c r="N4" s="2313"/>
      <c r="O4" s="2313"/>
      <c r="P4" s="2313"/>
      <c r="Q4" s="2313"/>
      <c r="R4" s="2313"/>
      <c r="S4" s="2313"/>
      <c r="T4" s="2313"/>
      <c r="U4" s="2313"/>
      <c r="V4" s="2313"/>
      <c r="W4" s="2313"/>
      <c r="X4" s="2313"/>
      <c r="Y4" s="2313"/>
    </row>
    <row r="6" spans="1:27" x14ac:dyDescent="0.25">
      <c r="A6" s="2314" t="s">
        <v>9753</v>
      </c>
      <c r="B6" s="2315" t="s">
        <v>9754</v>
      </c>
      <c r="C6" s="2315"/>
      <c r="D6" s="2315"/>
      <c r="E6" s="2315"/>
      <c r="F6" s="2315"/>
      <c r="G6" s="2315"/>
      <c r="H6" s="2315"/>
      <c r="I6" s="2315"/>
      <c r="J6" s="2315"/>
      <c r="K6" s="2315"/>
      <c r="L6" s="2315"/>
      <c r="M6" s="2315"/>
      <c r="N6" s="2315"/>
      <c r="O6" s="2315"/>
      <c r="P6" s="2315"/>
      <c r="Q6" s="2315"/>
      <c r="R6" s="2315"/>
      <c r="S6" s="2315"/>
      <c r="T6" s="2315"/>
      <c r="U6" s="2315"/>
      <c r="V6" s="2315"/>
      <c r="W6" s="2315"/>
      <c r="X6" s="2315"/>
      <c r="Y6" s="2315"/>
      <c r="Z6" s="2315"/>
      <c r="AA6" s="2315"/>
    </row>
    <row r="7" spans="1:27" ht="15" customHeight="1" x14ac:dyDescent="0.25">
      <c r="A7" s="2314"/>
      <c r="B7" s="2315" t="s">
        <v>9755</v>
      </c>
      <c r="C7" s="2315"/>
      <c r="D7" s="2315"/>
      <c r="E7" s="2315"/>
      <c r="F7" s="2315"/>
      <c r="G7" s="2315"/>
      <c r="H7" s="2315"/>
      <c r="I7" s="2315"/>
      <c r="J7" s="2315"/>
      <c r="K7" s="2315"/>
      <c r="L7" s="2315"/>
      <c r="M7" s="2315"/>
      <c r="N7" s="2315"/>
      <c r="O7" s="2315"/>
      <c r="P7" s="2315"/>
      <c r="Q7" s="2315"/>
      <c r="R7" s="2315"/>
      <c r="S7" s="2315"/>
      <c r="T7" s="2315"/>
      <c r="U7" s="2315"/>
      <c r="V7" s="2315"/>
      <c r="W7" s="2315"/>
      <c r="X7" s="2315"/>
      <c r="Y7" s="2315"/>
      <c r="Z7" s="2315"/>
      <c r="AA7" s="2315"/>
    </row>
    <row r="8" spans="1:27" x14ac:dyDescent="0.25">
      <c r="A8" s="2314"/>
      <c r="B8" s="2052" t="s">
        <v>9756</v>
      </c>
      <c r="C8" s="2052" t="s">
        <v>9757</v>
      </c>
      <c r="D8" s="2052" t="s">
        <v>9758</v>
      </c>
      <c r="E8" s="2052" t="s">
        <v>9759</v>
      </c>
      <c r="F8" s="2052" t="s">
        <v>9760</v>
      </c>
      <c r="G8" s="2052" t="s">
        <v>9761</v>
      </c>
      <c r="H8" s="2052" t="s">
        <v>9762</v>
      </c>
      <c r="I8" s="2052" t="s">
        <v>9763</v>
      </c>
      <c r="J8" s="2052" t="s">
        <v>9764</v>
      </c>
      <c r="K8" s="2052" t="s">
        <v>9765</v>
      </c>
      <c r="L8" s="2052" t="s">
        <v>9766</v>
      </c>
      <c r="M8" s="2052" t="s">
        <v>9767</v>
      </c>
      <c r="N8" s="2052" t="s">
        <v>9768</v>
      </c>
      <c r="O8" s="2052" t="s">
        <v>9769</v>
      </c>
      <c r="P8" s="2052" t="s">
        <v>9770</v>
      </c>
      <c r="Q8" s="2052" t="s">
        <v>9771</v>
      </c>
      <c r="R8" s="2052" t="s">
        <v>9772</v>
      </c>
      <c r="S8" s="2052" t="s">
        <v>9773</v>
      </c>
      <c r="T8" s="2052" t="s">
        <v>9774</v>
      </c>
      <c r="U8" s="2052" t="s">
        <v>9775</v>
      </c>
      <c r="V8" s="2052" t="s">
        <v>9776</v>
      </c>
      <c r="W8" s="2052" t="s">
        <v>9777</v>
      </c>
      <c r="X8" s="2052" t="s">
        <v>9778</v>
      </c>
      <c r="Y8" s="2052" t="s">
        <v>9779</v>
      </c>
      <c r="Z8" s="2052" t="s">
        <v>9780</v>
      </c>
      <c r="AA8" s="2052" t="s">
        <v>9781</v>
      </c>
    </row>
    <row r="9" spans="1:27" x14ac:dyDescent="0.25">
      <c r="B9" s="2316" t="s">
        <v>9782</v>
      </c>
      <c r="C9" s="2309"/>
      <c r="D9" s="2309"/>
      <c r="E9" s="2309"/>
      <c r="F9" s="2309"/>
      <c r="G9" s="2309"/>
      <c r="H9" s="2309"/>
      <c r="I9" s="2309"/>
      <c r="J9" s="2309"/>
      <c r="K9" s="2309"/>
      <c r="L9" s="2309"/>
      <c r="M9" s="2309"/>
      <c r="N9" s="2309"/>
      <c r="O9" s="2309"/>
      <c r="P9" s="2309"/>
      <c r="Q9" s="2309"/>
      <c r="R9" s="2309"/>
      <c r="S9" s="2309"/>
      <c r="T9" s="2309"/>
      <c r="U9" s="2309"/>
      <c r="V9" s="2309"/>
      <c r="W9" s="2309"/>
      <c r="X9" s="2309"/>
      <c r="Y9" s="2309"/>
      <c r="Z9" s="2309"/>
      <c r="AA9" s="2310"/>
    </row>
    <row r="10" spans="1:27" x14ac:dyDescent="0.25">
      <c r="A10" s="2053" t="s">
        <v>9783</v>
      </c>
      <c r="B10" s="2054"/>
      <c r="C10" s="2052"/>
      <c r="D10" s="2052"/>
      <c r="E10" s="2052"/>
      <c r="F10" s="2052"/>
      <c r="G10" s="2052"/>
      <c r="H10" s="2052"/>
      <c r="I10" s="2052"/>
      <c r="J10" s="2052"/>
      <c r="K10" s="2052"/>
      <c r="L10" s="2052"/>
      <c r="M10" s="2052"/>
      <c r="N10" s="2052"/>
      <c r="O10" s="2052"/>
      <c r="P10" s="2052"/>
      <c r="Q10" s="2052"/>
      <c r="R10" s="2052"/>
      <c r="S10" s="2052"/>
      <c r="T10" s="2052"/>
      <c r="U10" s="2052"/>
      <c r="V10" s="2052"/>
      <c r="W10" s="2052"/>
      <c r="X10" s="2052"/>
      <c r="Y10" s="2052"/>
      <c r="Z10" s="2052"/>
      <c r="AA10" s="2052"/>
    </row>
    <row r="11" spans="1:27" x14ac:dyDescent="0.25">
      <c r="A11" s="2053" t="s">
        <v>9784</v>
      </c>
      <c r="B11" s="2055"/>
      <c r="C11" s="2056"/>
      <c r="D11" s="2056"/>
      <c r="E11" s="2052"/>
      <c r="F11" s="2052"/>
      <c r="G11" s="1049"/>
      <c r="H11" s="2052"/>
      <c r="I11" s="2052"/>
      <c r="J11" s="2052"/>
      <c r="K11" s="2052"/>
      <c r="L11" s="2052"/>
      <c r="M11" s="2052"/>
      <c r="N11" s="2052"/>
      <c r="O11" s="2052"/>
      <c r="P11" s="2052"/>
      <c r="Q11" s="2052"/>
      <c r="R11" s="2052"/>
      <c r="S11" s="2052"/>
      <c r="T11" s="2052"/>
      <c r="U11" s="2052"/>
      <c r="V11" s="2052"/>
      <c r="W11" s="2052"/>
      <c r="X11" s="2052"/>
      <c r="Y11" s="2052"/>
      <c r="Z11" s="2052"/>
      <c r="AA11" s="2052"/>
    </row>
    <row r="12" spans="1:27" ht="30.75" customHeight="1" x14ac:dyDescent="0.25">
      <c r="A12" s="2053" t="s">
        <v>9785</v>
      </c>
      <c r="B12" s="2055"/>
      <c r="C12" s="2056"/>
      <c r="D12" s="2056"/>
      <c r="E12" s="2056"/>
      <c r="F12" s="2052"/>
      <c r="G12" s="1049"/>
      <c r="H12" s="2052"/>
      <c r="I12" s="2052"/>
      <c r="J12" s="2052"/>
      <c r="K12" s="2052"/>
      <c r="L12" s="2052"/>
      <c r="M12" s="2052"/>
      <c r="N12" s="2052"/>
      <c r="O12" s="2052"/>
      <c r="P12" s="2052"/>
      <c r="Q12" s="2052"/>
      <c r="R12" s="2052"/>
      <c r="S12" s="2052"/>
      <c r="T12" s="2052"/>
      <c r="U12" s="2052"/>
      <c r="V12" s="2052"/>
      <c r="W12" s="2052"/>
      <c r="X12" s="2052"/>
      <c r="Y12" s="2052"/>
      <c r="Z12" s="2052"/>
      <c r="AA12" s="2052"/>
    </row>
    <row r="13" spans="1:27" x14ac:dyDescent="0.25">
      <c r="A13" s="2053" t="s">
        <v>9786</v>
      </c>
      <c r="B13" s="2054"/>
      <c r="C13" s="2052"/>
      <c r="D13" s="2052"/>
      <c r="E13" s="2052"/>
      <c r="F13" s="2052"/>
      <c r="G13" s="1049"/>
      <c r="H13" s="2052"/>
      <c r="I13" s="2052"/>
      <c r="J13" s="2052"/>
      <c r="K13" s="2052"/>
      <c r="L13" s="2052"/>
      <c r="M13" s="2052"/>
      <c r="N13" s="2052"/>
      <c r="O13" s="2052"/>
      <c r="P13" s="2052"/>
      <c r="Q13" s="2052"/>
      <c r="R13" s="2052"/>
      <c r="S13" s="2052"/>
      <c r="T13" s="2052"/>
      <c r="U13" s="2052"/>
      <c r="V13" s="2052"/>
      <c r="W13" s="2052"/>
      <c r="X13" s="2052"/>
      <c r="Y13" s="2052"/>
      <c r="Z13" s="2052"/>
      <c r="AA13" s="2052"/>
    </row>
    <row r="14" spans="1:27" x14ac:dyDescent="0.25">
      <c r="A14" s="2053" t="s">
        <v>9787</v>
      </c>
      <c r="B14" s="2054"/>
      <c r="C14" s="2056"/>
      <c r="D14" s="2057"/>
      <c r="E14" s="2058"/>
      <c r="F14" s="2052"/>
      <c r="G14" s="1049"/>
      <c r="H14" s="1049"/>
      <c r="I14" s="2052"/>
      <c r="J14" s="2052"/>
      <c r="K14" s="2052"/>
      <c r="L14" s="2052"/>
      <c r="M14" s="2052"/>
      <c r="N14" s="2052"/>
      <c r="O14" s="2052"/>
      <c r="P14" s="2052"/>
      <c r="Q14" s="2052"/>
      <c r="R14" s="2052"/>
      <c r="S14" s="2052"/>
      <c r="T14" s="2052"/>
      <c r="U14" s="2052"/>
      <c r="V14" s="2052"/>
      <c r="W14" s="2052"/>
      <c r="X14" s="2052"/>
      <c r="Y14" s="2052"/>
      <c r="Z14" s="2052"/>
      <c r="AA14" s="2052"/>
    </row>
    <row r="15" spans="1:27" x14ac:dyDescent="0.25">
      <c r="A15" s="2053" t="s">
        <v>9788</v>
      </c>
      <c r="B15" s="2054"/>
      <c r="C15" s="2057"/>
      <c r="D15" s="2057"/>
      <c r="E15" s="2052"/>
      <c r="F15" s="2052"/>
      <c r="G15" s="1049"/>
      <c r="H15" s="1049"/>
      <c r="I15" s="2052"/>
      <c r="J15" s="2052"/>
      <c r="K15" s="2052"/>
      <c r="L15" s="2052"/>
      <c r="M15" s="2052"/>
      <c r="N15" s="2052"/>
      <c r="O15" s="2052"/>
      <c r="P15" s="2052"/>
      <c r="Q15" s="2052"/>
      <c r="R15" s="2052"/>
      <c r="S15" s="2052"/>
      <c r="T15" s="2052"/>
      <c r="U15" s="2052"/>
      <c r="V15" s="2052"/>
      <c r="W15" s="2052"/>
      <c r="X15" s="2052"/>
      <c r="Y15" s="2052"/>
      <c r="Z15" s="2052"/>
      <c r="AA15" s="2052"/>
    </row>
    <row r="16" spans="1:27" x14ac:dyDescent="0.25">
      <c r="A16" s="2053" t="s">
        <v>9789</v>
      </c>
      <c r="B16" s="2054"/>
      <c r="C16" s="2057"/>
      <c r="D16" s="2052"/>
      <c r="E16" s="2052"/>
      <c r="F16" s="2052"/>
      <c r="G16" s="1049"/>
      <c r="H16" s="1049"/>
      <c r="I16" s="2052"/>
      <c r="J16" s="2052"/>
      <c r="K16" s="2052"/>
      <c r="L16" s="2052"/>
      <c r="M16" s="2052"/>
      <c r="N16" s="2052"/>
      <c r="O16" s="2052"/>
      <c r="P16" s="2052"/>
      <c r="Q16" s="2052"/>
      <c r="R16" s="2052"/>
      <c r="S16" s="2052"/>
      <c r="T16" s="2052"/>
      <c r="U16" s="2052"/>
      <c r="V16" s="2052"/>
      <c r="W16" s="2052"/>
      <c r="X16" s="2052"/>
      <c r="Y16" s="2052"/>
      <c r="Z16" s="2052"/>
      <c r="AA16" s="2052"/>
    </row>
    <row r="17" spans="1:27" x14ac:dyDescent="0.25">
      <c r="A17" s="2053" t="s">
        <v>9790</v>
      </c>
      <c r="B17" s="2054"/>
      <c r="C17" s="2052"/>
      <c r="D17" s="2052"/>
      <c r="E17" s="2052"/>
      <c r="F17" s="2052"/>
      <c r="G17" s="1049"/>
      <c r="H17" s="1049"/>
      <c r="I17" s="2052"/>
      <c r="J17" s="2052"/>
      <c r="K17" s="2052"/>
      <c r="L17" s="2052"/>
      <c r="M17" s="2052"/>
      <c r="N17" s="2052"/>
      <c r="O17" s="2052"/>
      <c r="P17" s="2052"/>
      <c r="Q17" s="2052"/>
      <c r="R17" s="2052"/>
      <c r="S17" s="2052"/>
      <c r="T17" s="2052"/>
      <c r="U17" s="2052"/>
      <c r="V17" s="2052"/>
      <c r="W17" s="2052"/>
      <c r="X17" s="2052"/>
      <c r="Y17" s="2052"/>
      <c r="Z17" s="2052"/>
      <c r="AA17" s="2052"/>
    </row>
    <row r="18" spans="1:27" x14ac:dyDescent="0.25">
      <c r="A18" s="2053" t="s">
        <v>9791</v>
      </c>
      <c r="B18" s="2054"/>
      <c r="C18" s="1049"/>
      <c r="D18" s="2057"/>
      <c r="E18" s="2057"/>
      <c r="F18" s="2057"/>
      <c r="G18" s="2052"/>
      <c r="H18" s="1049"/>
      <c r="I18" s="2052"/>
      <c r="J18" s="2052"/>
      <c r="K18" s="2052"/>
      <c r="L18" s="2052"/>
      <c r="M18" s="2052"/>
      <c r="N18" s="2052"/>
      <c r="O18" s="2052"/>
      <c r="P18" s="2052"/>
      <c r="Q18" s="2052"/>
      <c r="R18" s="2052"/>
      <c r="S18" s="2052"/>
      <c r="T18" s="2052"/>
      <c r="U18" s="2052"/>
      <c r="V18" s="2052"/>
      <c r="W18" s="2052"/>
      <c r="X18" s="2052"/>
      <c r="Y18" s="2052"/>
      <c r="Z18" s="2052"/>
      <c r="AA18" s="2052"/>
    </row>
    <row r="19" spans="1:27" x14ac:dyDescent="0.25">
      <c r="A19" s="2053" t="s">
        <v>9792</v>
      </c>
      <c r="B19" s="2054"/>
      <c r="C19" s="1049"/>
      <c r="D19" s="2056"/>
      <c r="E19" s="2057"/>
      <c r="F19" s="2057"/>
      <c r="G19" s="2057"/>
      <c r="H19" s="1049"/>
      <c r="I19" s="2052"/>
      <c r="J19" s="2052"/>
      <c r="K19" s="2052"/>
      <c r="L19" s="2052"/>
      <c r="M19" s="2052"/>
      <c r="N19" s="2052"/>
      <c r="O19" s="2052"/>
      <c r="P19" s="2052"/>
      <c r="Q19" s="2052"/>
      <c r="R19" s="2052"/>
      <c r="S19" s="2052"/>
      <c r="T19" s="2052"/>
      <c r="U19" s="2052"/>
      <c r="V19" s="2052"/>
      <c r="W19" s="2052"/>
      <c r="X19" s="2052"/>
      <c r="Y19" s="2052"/>
      <c r="Z19" s="2052"/>
      <c r="AA19" s="2052"/>
    </row>
    <row r="20" spans="1:27" x14ac:dyDescent="0.25">
      <c r="A20" s="2052"/>
      <c r="B20" s="2309" t="s">
        <v>9793</v>
      </c>
      <c r="C20" s="2309"/>
      <c r="D20" s="2309"/>
      <c r="E20" s="2309"/>
      <c r="F20" s="2309"/>
      <c r="G20" s="2309"/>
      <c r="H20" s="2309"/>
      <c r="I20" s="2309"/>
      <c r="J20" s="2309"/>
      <c r="K20" s="2309"/>
      <c r="L20" s="2309"/>
      <c r="M20" s="2309"/>
      <c r="N20" s="2309"/>
      <c r="O20" s="2309"/>
      <c r="P20" s="2309"/>
      <c r="Q20" s="2309"/>
      <c r="R20" s="2309"/>
      <c r="S20" s="2309"/>
      <c r="T20" s="2309"/>
      <c r="U20" s="2309"/>
      <c r="V20" s="2309"/>
      <c r="W20" s="2309"/>
      <c r="X20" s="2309"/>
      <c r="Y20" s="2309"/>
      <c r="Z20" s="2309"/>
      <c r="AA20" s="2310"/>
    </row>
    <row r="21" spans="1:27" x14ac:dyDescent="0.25">
      <c r="A21" s="2053" t="s">
        <v>9783</v>
      </c>
      <c r="B21" s="2054"/>
      <c r="C21" s="2052"/>
      <c r="D21" s="2052"/>
      <c r="E21" s="2052"/>
      <c r="F21" s="2052"/>
      <c r="G21" s="2052"/>
      <c r="H21" s="2052"/>
      <c r="I21" s="2052"/>
      <c r="J21" s="2052"/>
      <c r="K21" s="2052"/>
      <c r="L21" s="2052"/>
      <c r="M21" s="2052"/>
      <c r="N21" s="2052"/>
      <c r="O21" s="2052"/>
      <c r="P21" s="2052"/>
      <c r="Q21" s="2052"/>
      <c r="R21" s="2052"/>
      <c r="S21" s="2052"/>
      <c r="T21" s="2052"/>
      <c r="U21" s="2052"/>
      <c r="V21" s="2052"/>
      <c r="W21" s="2052"/>
      <c r="X21" s="2052"/>
      <c r="Y21" s="2052"/>
      <c r="Z21" s="2052"/>
      <c r="AA21" s="2052"/>
    </row>
    <row r="22" spans="1:27" x14ac:dyDescent="0.25">
      <c r="A22" s="2053" t="s">
        <v>9784</v>
      </c>
      <c r="B22" s="2055"/>
      <c r="C22" s="2057"/>
      <c r="D22" s="2057"/>
      <c r="E22" s="2057"/>
      <c r="F22" s="2057"/>
      <c r="G22" s="2057"/>
      <c r="H22" s="2057"/>
      <c r="I22" s="2052"/>
      <c r="J22" s="2052"/>
      <c r="K22" s="2052"/>
      <c r="L22" s="2052"/>
      <c r="M22" s="2052"/>
      <c r="N22" s="2052"/>
      <c r="O22" s="2052"/>
      <c r="P22" s="2052"/>
      <c r="Q22" s="2052"/>
      <c r="R22" s="2052"/>
      <c r="S22" s="2052"/>
      <c r="T22" s="2052"/>
      <c r="U22" s="2052"/>
      <c r="V22" s="2052"/>
      <c r="W22" s="2052"/>
      <c r="X22" s="2052"/>
      <c r="Y22" s="2052"/>
      <c r="Z22" s="2052"/>
      <c r="AA22" s="2052"/>
    </row>
    <row r="23" spans="1:27" x14ac:dyDescent="0.25">
      <c r="A23" s="2053" t="s">
        <v>9785</v>
      </c>
      <c r="B23" s="2055"/>
      <c r="C23" s="2057"/>
      <c r="D23" s="2057"/>
      <c r="E23" s="2057"/>
      <c r="F23" s="2057"/>
      <c r="G23" s="2057"/>
      <c r="H23" s="2057"/>
      <c r="I23" s="2052"/>
      <c r="J23" s="2052"/>
      <c r="K23" s="2052"/>
      <c r="L23" s="2052"/>
      <c r="M23" s="2052"/>
      <c r="N23" s="2052"/>
      <c r="O23" s="2052"/>
      <c r="P23" s="2052"/>
      <c r="Q23" s="2052"/>
      <c r="R23" s="2052"/>
      <c r="S23" s="2052"/>
      <c r="T23" s="2052"/>
      <c r="U23" s="2052"/>
      <c r="V23" s="2052"/>
      <c r="W23" s="2052"/>
      <c r="X23" s="2052"/>
      <c r="Y23" s="2052"/>
      <c r="Z23" s="2052"/>
      <c r="AA23" s="2052"/>
    </row>
    <row r="24" spans="1:27" x14ac:dyDescent="0.25">
      <c r="A24" s="2053" t="s">
        <v>9786</v>
      </c>
      <c r="B24" s="2054"/>
      <c r="C24" s="2052"/>
      <c r="D24" s="2052"/>
      <c r="E24" s="2052"/>
      <c r="F24" s="2052"/>
      <c r="G24" s="2052"/>
      <c r="H24" s="2052"/>
      <c r="I24" s="2052"/>
      <c r="J24" s="2052"/>
      <c r="K24" s="2052"/>
      <c r="L24" s="2052"/>
      <c r="M24" s="2052"/>
      <c r="N24" s="2052"/>
      <c r="O24" s="2052"/>
      <c r="P24" s="2052"/>
      <c r="Q24" s="2052"/>
      <c r="R24" s="2052"/>
      <c r="S24" s="2052"/>
      <c r="T24" s="2052"/>
      <c r="U24" s="2052"/>
      <c r="V24" s="2052"/>
      <c r="W24" s="2052"/>
      <c r="X24" s="2052"/>
      <c r="Y24" s="2052"/>
      <c r="Z24" s="2052"/>
      <c r="AA24" s="2052"/>
    </row>
    <row r="25" spans="1:27" x14ac:dyDescent="0.25">
      <c r="A25" s="2053" t="s">
        <v>9787</v>
      </c>
      <c r="B25" s="2054"/>
      <c r="C25" s="2052"/>
      <c r="D25" s="2052"/>
      <c r="E25" s="2057"/>
      <c r="F25" s="2057"/>
      <c r="G25" s="2057"/>
      <c r="H25" s="2057"/>
      <c r="I25" s="2057"/>
      <c r="J25" s="2057"/>
      <c r="K25" s="2057"/>
      <c r="L25" s="2057"/>
      <c r="M25" s="2057"/>
      <c r="N25" s="2057"/>
      <c r="O25" s="2052"/>
      <c r="P25" s="2052"/>
      <c r="Q25" s="2052"/>
      <c r="R25" s="2052"/>
      <c r="S25" s="2052"/>
      <c r="T25" s="2052"/>
      <c r="U25" s="2052"/>
      <c r="V25" s="2052"/>
      <c r="W25" s="2052"/>
      <c r="X25" s="2052"/>
      <c r="Y25" s="2052"/>
      <c r="Z25" s="2052"/>
      <c r="AA25" s="2052"/>
    </row>
    <row r="26" spans="1:27" x14ac:dyDescent="0.25">
      <c r="A26" s="2053" t="s">
        <v>9788</v>
      </c>
      <c r="B26" s="2054"/>
      <c r="C26" s="2057"/>
      <c r="D26" s="2057"/>
      <c r="E26" s="2057"/>
      <c r="F26" s="2057"/>
      <c r="G26" s="2057"/>
      <c r="H26" s="2057"/>
      <c r="I26" s="2057"/>
      <c r="J26" s="2052"/>
      <c r="K26" s="2052"/>
      <c r="L26" s="2052"/>
      <c r="M26" s="2052"/>
      <c r="N26" s="2052"/>
      <c r="O26" s="2052"/>
      <c r="P26" s="2052"/>
      <c r="Q26" s="2052"/>
      <c r="R26" s="2052"/>
      <c r="S26" s="2052"/>
      <c r="T26" s="2052"/>
      <c r="U26" s="2052"/>
      <c r="V26" s="2052"/>
      <c r="W26" s="2052"/>
      <c r="X26" s="2052"/>
      <c r="Y26" s="2052"/>
      <c r="Z26" s="2052"/>
      <c r="AA26" s="2052"/>
    </row>
    <row r="27" spans="1:27" x14ac:dyDescent="0.25">
      <c r="A27" s="2053" t="s">
        <v>9789</v>
      </c>
      <c r="B27" s="2054"/>
      <c r="C27" s="2052"/>
      <c r="D27" s="2057"/>
      <c r="E27" s="2052"/>
      <c r="F27" s="2052"/>
      <c r="G27" s="2052"/>
      <c r="H27" s="2052"/>
      <c r="I27" s="2052"/>
      <c r="J27" s="2052"/>
      <c r="K27" s="2052"/>
      <c r="L27" s="2052"/>
      <c r="M27" s="2052"/>
      <c r="N27" s="2052"/>
      <c r="O27" s="2052"/>
      <c r="P27" s="2052"/>
      <c r="Q27" s="2052"/>
      <c r="R27" s="2052"/>
      <c r="S27" s="2052"/>
      <c r="T27" s="2052"/>
      <c r="U27" s="2052"/>
      <c r="V27" s="2052"/>
      <c r="W27" s="2052"/>
      <c r="X27" s="2052"/>
      <c r="Y27" s="2052"/>
      <c r="Z27" s="2052"/>
      <c r="AA27" s="2052"/>
    </row>
    <row r="28" spans="1:27" ht="30.75" customHeight="1" x14ac:dyDescent="0.25">
      <c r="A28" s="2053" t="s">
        <v>9794</v>
      </c>
      <c r="B28" s="2054"/>
      <c r="C28" s="2052"/>
      <c r="D28" s="2057"/>
      <c r="E28" s="2057"/>
      <c r="F28" s="2052"/>
      <c r="G28" s="2052"/>
      <c r="H28" s="2052"/>
      <c r="I28" s="2052"/>
      <c r="J28" s="2052"/>
      <c r="K28" s="2052"/>
      <c r="L28" s="2052"/>
      <c r="M28" s="2052"/>
      <c r="N28" s="2052"/>
      <c r="O28" s="2052"/>
      <c r="P28" s="2052"/>
      <c r="Q28" s="2052"/>
      <c r="R28" s="2052"/>
      <c r="S28" s="2052"/>
      <c r="T28" s="2052"/>
      <c r="U28" s="2052"/>
      <c r="V28" s="2052"/>
      <c r="W28" s="2052"/>
      <c r="X28" s="2052"/>
      <c r="Y28" s="2052"/>
      <c r="Z28" s="2052"/>
      <c r="AA28" s="2052"/>
    </row>
    <row r="29" spans="1:27" x14ac:dyDescent="0.25">
      <c r="A29" s="2053" t="s">
        <v>9790</v>
      </c>
      <c r="B29" s="2054"/>
      <c r="C29" s="2052"/>
      <c r="D29" s="2052"/>
      <c r="E29" s="2052"/>
      <c r="F29" s="2052"/>
      <c r="G29" s="2052"/>
      <c r="H29" s="2052"/>
      <c r="I29" s="2052"/>
      <c r="J29" s="2052"/>
      <c r="K29" s="2052"/>
      <c r="L29" s="2052"/>
      <c r="M29" s="2052"/>
      <c r="N29" s="2052"/>
      <c r="O29" s="2052"/>
      <c r="P29" s="2052"/>
      <c r="Q29" s="2052"/>
      <c r="R29" s="2052"/>
      <c r="S29" s="2052"/>
      <c r="T29" s="2052"/>
      <c r="U29" s="2052"/>
      <c r="V29" s="2052"/>
      <c r="W29" s="2052"/>
      <c r="X29" s="2052"/>
      <c r="Y29" s="2052"/>
      <c r="Z29" s="2052"/>
      <c r="AA29" s="2052"/>
    </row>
    <row r="30" spans="1:27" x14ac:dyDescent="0.25">
      <c r="A30" s="2053" t="s">
        <v>9791</v>
      </c>
      <c r="B30" s="2054"/>
      <c r="C30" s="2052"/>
      <c r="D30" s="2057"/>
      <c r="E30" s="2057"/>
      <c r="F30" s="2057"/>
      <c r="G30" s="2057"/>
      <c r="H30" s="2057"/>
      <c r="I30" s="2057"/>
      <c r="J30" s="2057"/>
      <c r="K30" s="2057"/>
      <c r="L30" s="2057"/>
      <c r="M30" s="2057"/>
      <c r="N30" s="2057"/>
      <c r="O30" s="2057"/>
      <c r="P30" s="2052"/>
      <c r="Q30" s="2052"/>
      <c r="R30" s="2052"/>
      <c r="S30" s="2052"/>
      <c r="T30" s="2052"/>
      <c r="U30" s="2052"/>
      <c r="V30" s="2052"/>
      <c r="W30" s="2052"/>
      <c r="X30" s="2052"/>
      <c r="Y30" s="2052"/>
      <c r="Z30" s="2052"/>
      <c r="AA30" s="2052"/>
    </row>
    <row r="31" spans="1:27" x14ac:dyDescent="0.25">
      <c r="A31" s="2053" t="s">
        <v>9792</v>
      </c>
      <c r="B31" s="2054"/>
      <c r="C31" s="2052"/>
      <c r="D31" s="2052"/>
      <c r="E31" s="2057"/>
      <c r="F31" s="2057"/>
      <c r="G31" s="2057"/>
      <c r="H31" s="2057"/>
      <c r="I31" s="2057"/>
      <c r="J31" s="2057"/>
      <c r="K31" s="2057"/>
      <c r="L31" s="2057"/>
      <c r="M31" s="2057"/>
      <c r="N31" s="2057"/>
      <c r="O31" s="2057"/>
      <c r="P31" s="2057"/>
      <c r="Q31" s="2052"/>
      <c r="R31" s="2052"/>
      <c r="S31" s="2052"/>
      <c r="T31" s="2052"/>
      <c r="U31" s="2052"/>
      <c r="V31" s="2052"/>
      <c r="W31" s="2052"/>
      <c r="X31" s="2052"/>
      <c r="Y31" s="2052"/>
      <c r="Z31" s="2052"/>
      <c r="AA31" s="2052"/>
    </row>
    <row r="32" spans="1:27" x14ac:dyDescent="0.25">
      <c r="A32" s="2052"/>
      <c r="B32" s="2309" t="s">
        <v>9795</v>
      </c>
      <c r="C32" s="2309"/>
      <c r="D32" s="2309"/>
      <c r="E32" s="2309"/>
      <c r="F32" s="2309"/>
      <c r="G32" s="2309"/>
      <c r="H32" s="2309"/>
      <c r="I32" s="2309"/>
      <c r="J32" s="2309"/>
      <c r="K32" s="2309"/>
      <c r="L32" s="2309"/>
      <c r="M32" s="2309"/>
      <c r="N32" s="2309"/>
      <c r="O32" s="2309"/>
      <c r="P32" s="2309"/>
      <c r="Q32" s="2309"/>
      <c r="R32" s="2309"/>
      <c r="S32" s="2309"/>
      <c r="T32" s="2309"/>
      <c r="U32" s="2309"/>
      <c r="V32" s="2309"/>
      <c r="W32" s="2309"/>
      <c r="X32" s="2309"/>
      <c r="Y32" s="2309"/>
      <c r="Z32" s="2309"/>
      <c r="AA32" s="2310"/>
    </row>
    <row r="33" spans="1:27" x14ac:dyDescent="0.25">
      <c r="A33" s="2053" t="s">
        <v>9783</v>
      </c>
      <c r="B33" s="2054"/>
      <c r="C33" s="2052"/>
      <c r="D33" s="2052"/>
      <c r="E33" s="2052"/>
      <c r="F33" s="2052"/>
      <c r="G33" s="2052"/>
      <c r="H33" s="2052"/>
      <c r="I33" s="2052"/>
      <c r="J33" s="2052"/>
      <c r="K33" s="2052"/>
      <c r="L33" s="2052"/>
      <c r="M33" s="2052"/>
      <c r="N33" s="2052"/>
      <c r="O33" s="2052"/>
      <c r="P33" s="2052"/>
      <c r="Q33" s="2052"/>
      <c r="R33" s="2052"/>
      <c r="S33" s="2052"/>
      <c r="T33" s="2052"/>
      <c r="U33" s="2052"/>
      <c r="V33" s="2052"/>
      <c r="W33" s="2052"/>
      <c r="X33" s="2052"/>
      <c r="Y33" s="2052"/>
      <c r="Z33" s="2052"/>
      <c r="AA33" s="2052"/>
    </row>
    <row r="34" spans="1:27" x14ac:dyDescent="0.25">
      <c r="A34" s="2053" t="s">
        <v>9784</v>
      </c>
      <c r="B34" s="2055"/>
      <c r="C34" s="2057"/>
      <c r="D34" s="2057"/>
      <c r="E34" s="2057"/>
      <c r="F34" s="2057"/>
      <c r="G34" s="2057"/>
      <c r="H34" s="2057"/>
      <c r="I34" s="2057"/>
      <c r="J34" s="2052"/>
      <c r="K34" s="2052"/>
      <c r="L34" s="2052"/>
      <c r="M34" s="2052"/>
      <c r="N34" s="2052"/>
      <c r="O34" s="2052"/>
      <c r="P34" s="2052"/>
      <c r="Q34" s="2052"/>
      <c r="R34" s="2052"/>
      <c r="S34" s="2052"/>
      <c r="T34" s="2052"/>
      <c r="U34" s="2052"/>
      <c r="V34" s="2052"/>
      <c r="W34" s="2052"/>
      <c r="X34" s="2052"/>
      <c r="Y34" s="2052"/>
      <c r="Z34" s="2052"/>
      <c r="AA34" s="2052"/>
    </row>
    <row r="35" spans="1:27" x14ac:dyDescent="0.25">
      <c r="A35" s="2053" t="s">
        <v>9785</v>
      </c>
      <c r="B35" s="2055"/>
      <c r="C35" s="2057"/>
      <c r="D35" s="2056"/>
      <c r="E35" s="2056"/>
      <c r="F35" s="2056"/>
      <c r="G35" s="2056"/>
      <c r="H35" s="2056"/>
      <c r="I35" s="2056"/>
      <c r="J35" s="2052"/>
      <c r="K35" s="2052"/>
      <c r="L35" s="2052"/>
      <c r="M35" s="2052"/>
      <c r="N35" s="2052"/>
      <c r="O35" s="2052"/>
      <c r="P35" s="2052"/>
      <c r="Q35" s="2052"/>
      <c r="R35" s="2052"/>
      <c r="S35" s="2052"/>
      <c r="T35" s="2052"/>
      <c r="U35" s="2052"/>
      <c r="V35" s="2052"/>
      <c r="W35" s="2052"/>
      <c r="X35" s="2052"/>
      <c r="Y35" s="2052"/>
      <c r="Z35" s="2052"/>
      <c r="AA35" s="2052"/>
    </row>
    <row r="36" spans="1:27" x14ac:dyDescent="0.25">
      <c r="A36" s="2053" t="s">
        <v>9796</v>
      </c>
      <c r="B36" s="2059"/>
      <c r="C36" s="2057"/>
      <c r="D36" s="2057"/>
      <c r="E36" s="2056"/>
      <c r="F36" s="2056"/>
      <c r="G36" s="2056"/>
      <c r="H36" s="2056"/>
      <c r="I36" s="2056"/>
      <c r="J36" s="2052"/>
      <c r="K36" s="2052"/>
      <c r="L36" s="2052"/>
      <c r="M36" s="2052"/>
      <c r="N36" s="2052"/>
      <c r="O36" s="2052"/>
      <c r="P36" s="2052"/>
      <c r="Q36" s="2052"/>
      <c r="R36" s="2052"/>
      <c r="S36" s="2052"/>
      <c r="T36" s="2052"/>
      <c r="U36" s="2052"/>
      <c r="V36" s="2052"/>
      <c r="W36" s="2052"/>
      <c r="X36" s="2052"/>
      <c r="Y36" s="2052"/>
      <c r="Z36" s="2052"/>
      <c r="AA36" s="2052"/>
    </row>
    <row r="37" spans="1:27" x14ac:dyDescent="0.25">
      <c r="A37" s="2053" t="s">
        <v>9797</v>
      </c>
      <c r="B37" s="2059"/>
      <c r="C37" s="2056"/>
      <c r="D37" s="2057"/>
      <c r="E37" s="2057"/>
      <c r="F37" s="2057"/>
      <c r="G37" s="2056"/>
      <c r="H37" s="2056"/>
      <c r="I37" s="2056"/>
      <c r="J37" s="2052"/>
      <c r="K37" s="2052"/>
      <c r="L37" s="2052"/>
      <c r="M37" s="2052"/>
      <c r="N37" s="2052"/>
      <c r="O37" s="2052"/>
      <c r="P37" s="2052"/>
      <c r="Q37" s="2052"/>
      <c r="R37" s="2052"/>
      <c r="S37" s="2052"/>
      <c r="T37" s="2052"/>
      <c r="U37" s="2052"/>
      <c r="V37" s="2052"/>
      <c r="W37" s="2052"/>
      <c r="X37" s="2052"/>
      <c r="Y37" s="2052"/>
      <c r="Z37" s="2052"/>
      <c r="AA37" s="2052"/>
    </row>
    <row r="38" spans="1:27" x14ac:dyDescent="0.25">
      <c r="A38" s="2053" t="s">
        <v>9786</v>
      </c>
      <c r="B38" s="2054"/>
      <c r="C38" s="2052"/>
      <c r="D38" s="2052"/>
      <c r="E38" s="2052"/>
      <c r="F38" s="2052"/>
      <c r="G38" s="2052"/>
      <c r="H38" s="2052"/>
      <c r="I38" s="2052"/>
      <c r="J38" s="2052"/>
      <c r="K38" s="2052"/>
      <c r="L38" s="2052"/>
      <c r="M38" s="2052"/>
      <c r="N38" s="2052"/>
      <c r="O38" s="2052"/>
      <c r="P38" s="2052"/>
      <c r="Q38" s="2052"/>
      <c r="R38" s="2052"/>
      <c r="S38" s="2052"/>
      <c r="T38" s="2052"/>
      <c r="U38" s="2052"/>
      <c r="V38" s="2052"/>
      <c r="W38" s="2052"/>
      <c r="X38" s="2052"/>
      <c r="Y38" s="2052"/>
      <c r="Z38" s="2052"/>
      <c r="AA38" s="2052"/>
    </row>
    <row r="39" spans="1:27" x14ac:dyDescent="0.25">
      <c r="A39" s="2053" t="s">
        <v>9798</v>
      </c>
      <c r="B39" s="2054"/>
      <c r="C39" s="2056"/>
      <c r="D39" s="2057"/>
      <c r="E39" s="2057"/>
      <c r="F39" s="2057"/>
      <c r="G39" s="2057"/>
      <c r="H39" s="2057"/>
      <c r="I39" s="2057"/>
      <c r="J39" s="2057"/>
      <c r="K39" s="2057"/>
      <c r="L39" s="2057"/>
      <c r="M39" s="2057"/>
      <c r="N39" s="2057"/>
      <c r="O39" s="2057"/>
      <c r="P39" s="2057"/>
      <c r="Q39" s="2057"/>
      <c r="R39" s="2057"/>
      <c r="S39" s="2057"/>
      <c r="T39" s="2057"/>
      <c r="U39" s="2057"/>
      <c r="V39" s="2057"/>
      <c r="W39" s="2057"/>
      <c r="X39" s="2057"/>
      <c r="Y39" s="2056"/>
      <c r="Z39" s="2052"/>
      <c r="AA39" s="2052"/>
    </row>
    <row r="40" spans="1:27" x14ac:dyDescent="0.25">
      <c r="A40" s="2060" t="s">
        <v>9799</v>
      </c>
      <c r="B40" s="2054"/>
      <c r="C40" s="2056"/>
      <c r="D40" s="2057"/>
      <c r="E40" s="2057"/>
      <c r="F40" s="2061"/>
      <c r="G40" s="2057"/>
      <c r="H40" s="2057"/>
      <c r="I40" s="2057"/>
      <c r="J40" s="2057"/>
      <c r="K40" s="2057"/>
      <c r="L40" s="2057"/>
      <c r="M40" s="2057"/>
      <c r="N40" s="2057"/>
      <c r="O40" s="2057"/>
      <c r="P40" s="2057"/>
      <c r="Q40" s="2057"/>
      <c r="R40" s="2057"/>
      <c r="S40" s="2057"/>
      <c r="T40" s="2057"/>
      <c r="U40" s="2057"/>
      <c r="V40" s="2057"/>
      <c r="W40" s="2057"/>
      <c r="X40" s="2057"/>
      <c r="Y40" s="2052"/>
      <c r="Z40" s="2052"/>
      <c r="AA40" s="2052"/>
    </row>
    <row r="41" spans="1:27" x14ac:dyDescent="0.25">
      <c r="A41" s="2053" t="s">
        <v>9800</v>
      </c>
      <c r="B41" s="2054"/>
      <c r="C41" s="2052"/>
      <c r="D41" s="2057"/>
      <c r="E41" s="2057"/>
      <c r="F41" s="2057"/>
      <c r="G41" s="2057"/>
      <c r="H41" s="2056"/>
      <c r="I41" s="2056"/>
      <c r="J41" s="2056"/>
      <c r="K41" s="2052"/>
      <c r="L41" s="2052"/>
      <c r="M41" s="2052"/>
      <c r="N41" s="2052"/>
      <c r="O41" s="2052"/>
      <c r="P41" s="2052"/>
      <c r="Q41" s="2052"/>
      <c r="R41" s="2052"/>
      <c r="S41" s="2052"/>
      <c r="T41" s="2052"/>
      <c r="U41" s="2052"/>
      <c r="V41" s="2052"/>
      <c r="W41" s="2052"/>
      <c r="X41" s="2052"/>
      <c r="Y41" s="2052"/>
      <c r="Z41" s="2052"/>
      <c r="AA41" s="2052"/>
    </row>
    <row r="42" spans="1:27" x14ac:dyDescent="0.25">
      <c r="A42" s="2053" t="s">
        <v>9801</v>
      </c>
      <c r="B42" s="2054"/>
      <c r="C42" s="2052"/>
      <c r="D42" s="2057"/>
      <c r="E42" s="2057"/>
      <c r="F42" s="2057"/>
      <c r="G42" s="2057"/>
      <c r="H42" s="2057"/>
      <c r="I42" s="2057"/>
      <c r="J42" s="2057"/>
      <c r="K42" s="2057"/>
      <c r="L42" s="2057"/>
      <c r="M42" s="2057"/>
      <c r="N42" s="2057"/>
      <c r="O42" s="2057"/>
      <c r="P42" s="2057"/>
      <c r="Q42" s="2057"/>
      <c r="R42" s="2057"/>
      <c r="S42" s="2057"/>
      <c r="T42" s="2057"/>
      <c r="U42" s="2057"/>
      <c r="V42" s="2057"/>
      <c r="W42" s="2057"/>
      <c r="X42" s="2057"/>
      <c r="Y42" s="2057"/>
      <c r="Z42" s="2057"/>
      <c r="AA42" s="2052"/>
    </row>
    <row r="43" spans="1:27" x14ac:dyDescent="0.25">
      <c r="A43" s="2053" t="s">
        <v>9802</v>
      </c>
      <c r="B43" s="2054"/>
      <c r="C43" s="2052"/>
      <c r="D43" s="2057"/>
      <c r="E43" s="2057"/>
      <c r="F43" s="2057"/>
      <c r="G43" s="2057"/>
      <c r="H43" s="2057"/>
      <c r="I43" s="2057"/>
      <c r="J43" s="2057"/>
      <c r="K43" s="2057"/>
      <c r="L43" s="2057"/>
      <c r="M43" s="2057"/>
      <c r="N43" s="2057"/>
      <c r="O43" s="2057"/>
      <c r="P43" s="2057"/>
      <c r="Q43" s="2057"/>
      <c r="R43" s="2057"/>
      <c r="S43" s="2057"/>
      <c r="T43" s="2057"/>
      <c r="U43" s="2057"/>
      <c r="V43" s="2057"/>
      <c r="W43" s="2057"/>
      <c r="X43" s="2057"/>
      <c r="Y43" s="2056"/>
      <c r="Z43" s="2056"/>
      <c r="AA43" s="2052"/>
    </row>
    <row r="44" spans="1:27" x14ac:dyDescent="0.25">
      <c r="A44" s="2053" t="s">
        <v>9803</v>
      </c>
      <c r="B44" s="2054"/>
      <c r="C44" s="2052"/>
      <c r="D44" s="2052"/>
      <c r="E44" s="2052"/>
      <c r="F44" s="2052"/>
      <c r="G44" s="2052"/>
      <c r="H44" s="2052"/>
      <c r="I44" s="2052"/>
      <c r="J44" s="2052"/>
      <c r="K44" s="2052"/>
      <c r="L44" s="2052"/>
      <c r="M44" s="2052"/>
      <c r="N44" s="2052"/>
      <c r="O44" s="2052"/>
      <c r="P44" s="2052"/>
      <c r="Q44" s="2052"/>
      <c r="R44" s="2057"/>
      <c r="S44" s="2057"/>
      <c r="T44" s="2056"/>
      <c r="U44" s="2056"/>
      <c r="V44" s="2056"/>
      <c r="W44" s="2056"/>
      <c r="X44" s="2056"/>
      <c r="Y44" s="2056"/>
      <c r="Z44" s="2052"/>
      <c r="AA44" s="2052"/>
    </row>
    <row r="45" spans="1:27" x14ac:dyDescent="0.25">
      <c r="A45" s="2053" t="s">
        <v>9804</v>
      </c>
      <c r="B45" s="2054"/>
      <c r="C45" s="2052"/>
      <c r="D45" s="2052"/>
      <c r="E45" s="2052"/>
      <c r="F45" s="2052"/>
      <c r="G45" s="2052"/>
      <c r="H45" s="2052"/>
      <c r="I45" s="2052"/>
      <c r="J45" s="2052"/>
      <c r="K45" s="2052"/>
      <c r="L45" s="2052"/>
      <c r="M45" s="2052"/>
      <c r="N45" s="2052"/>
      <c r="O45" s="2052"/>
      <c r="P45" s="2052"/>
      <c r="Q45" s="2052"/>
      <c r="R45" s="2057"/>
      <c r="S45" s="2057"/>
      <c r="T45" s="2057"/>
      <c r="U45" s="2057"/>
      <c r="V45" s="2052"/>
      <c r="W45" s="2052"/>
      <c r="X45" s="2052"/>
      <c r="Y45" s="2052"/>
      <c r="Z45" s="2052"/>
      <c r="AA45" s="2052"/>
    </row>
    <row r="46" spans="1:27" x14ac:dyDescent="0.25">
      <c r="A46" s="2053" t="s">
        <v>9805</v>
      </c>
      <c r="B46" s="2054"/>
      <c r="C46" s="2052"/>
      <c r="D46" s="2052"/>
      <c r="E46" s="2052"/>
      <c r="F46" s="2057"/>
      <c r="G46" s="2057"/>
      <c r="H46" s="2057"/>
      <c r="I46" s="2057"/>
      <c r="J46" s="2057"/>
      <c r="K46" s="2057"/>
      <c r="L46" s="2057"/>
      <c r="M46" s="2057"/>
      <c r="N46" s="2057"/>
      <c r="O46" s="2057"/>
      <c r="P46" s="2052"/>
      <c r="Q46" s="2052"/>
      <c r="R46" s="2052"/>
      <c r="S46" s="2052"/>
      <c r="T46" s="2052"/>
      <c r="U46" s="2052"/>
      <c r="V46" s="2052"/>
      <c r="W46" s="2052"/>
      <c r="X46" s="2052"/>
      <c r="Y46" s="2052"/>
      <c r="Z46" s="2052"/>
      <c r="AA46" s="2052"/>
    </row>
    <row r="47" spans="1:27" x14ac:dyDescent="0.25">
      <c r="A47" s="2053" t="s">
        <v>9790</v>
      </c>
      <c r="B47" s="2054"/>
      <c r="C47" s="2052"/>
      <c r="D47" s="2052"/>
      <c r="E47" s="2052"/>
      <c r="F47" s="2052"/>
      <c r="G47" s="2052"/>
      <c r="H47" s="2052"/>
      <c r="I47" s="2052"/>
      <c r="J47" s="2052"/>
      <c r="K47" s="2052"/>
      <c r="L47" s="2052"/>
      <c r="M47" s="2052"/>
      <c r="N47" s="2052"/>
      <c r="O47" s="2052"/>
      <c r="P47" s="2052"/>
      <c r="Q47" s="2052"/>
      <c r="R47" s="2052"/>
      <c r="S47" s="2052"/>
      <c r="T47" s="2052"/>
      <c r="U47" s="2052"/>
      <c r="V47" s="2052"/>
      <c r="W47" s="2052"/>
      <c r="X47" s="2052"/>
      <c r="Y47" s="2052"/>
      <c r="Z47" s="2052"/>
      <c r="AA47" s="2052"/>
    </row>
    <row r="48" spans="1:27" x14ac:dyDescent="0.25">
      <c r="A48" s="2053" t="s">
        <v>9791</v>
      </c>
      <c r="B48" s="2054"/>
      <c r="C48" s="2052"/>
      <c r="D48" s="2052"/>
      <c r="E48" s="2056"/>
      <c r="F48" s="1049"/>
      <c r="G48" s="2057"/>
      <c r="H48" s="2057"/>
      <c r="I48" s="2056"/>
      <c r="J48" s="2056"/>
      <c r="K48" s="1049"/>
      <c r="L48" s="2057"/>
      <c r="M48" s="2057"/>
      <c r="N48" s="2057"/>
      <c r="O48" s="2057"/>
      <c r="P48" s="2056"/>
      <c r="Q48" s="2056"/>
      <c r="R48" s="2056"/>
      <c r="S48" s="2056"/>
      <c r="T48" s="2056"/>
      <c r="U48" s="2057"/>
      <c r="V48" s="2057"/>
      <c r="W48" s="2057"/>
      <c r="X48" s="2057"/>
      <c r="Y48" s="2057"/>
      <c r="Z48" s="2052"/>
      <c r="AA48" s="2052"/>
    </row>
    <row r="49" spans="1:27" x14ac:dyDescent="0.25">
      <c r="A49" s="2053" t="s">
        <v>9792</v>
      </c>
      <c r="B49" s="2054"/>
      <c r="C49" s="2052"/>
      <c r="D49" s="2052"/>
      <c r="E49" s="2056"/>
      <c r="F49" s="1049"/>
      <c r="G49" s="2056"/>
      <c r="H49" s="2056"/>
      <c r="I49" s="2057"/>
      <c r="J49" s="2056"/>
      <c r="K49" s="1049"/>
      <c r="L49" s="2056"/>
      <c r="M49" s="2056"/>
      <c r="N49" s="2056"/>
      <c r="O49" s="2056"/>
      <c r="P49" s="2057"/>
      <c r="Q49" s="2056"/>
      <c r="R49" s="2056"/>
      <c r="S49" s="2056"/>
      <c r="T49" s="2056"/>
      <c r="U49" s="2056"/>
      <c r="V49" s="2056"/>
      <c r="W49" s="2056"/>
      <c r="X49" s="2056"/>
      <c r="Y49" s="2056"/>
      <c r="Z49" s="2057"/>
      <c r="AA49" s="2057"/>
    </row>
    <row r="50" spans="1:27" x14ac:dyDescent="0.25">
      <c r="A50" s="2052"/>
      <c r="B50" s="2309" t="s">
        <v>9806</v>
      </c>
      <c r="C50" s="2309"/>
      <c r="D50" s="2309"/>
      <c r="E50" s="2309"/>
      <c r="F50" s="2309"/>
      <c r="G50" s="2309"/>
      <c r="H50" s="2309"/>
      <c r="I50" s="2309"/>
      <c r="J50" s="2309"/>
      <c r="K50" s="2309"/>
      <c r="L50" s="2309"/>
      <c r="M50" s="2309"/>
      <c r="N50" s="2309"/>
      <c r="O50" s="2309"/>
      <c r="P50" s="2309"/>
      <c r="Q50" s="2309"/>
      <c r="R50" s="2309"/>
      <c r="S50" s="2309"/>
      <c r="T50" s="2309"/>
      <c r="U50" s="2309"/>
      <c r="V50" s="2309"/>
      <c r="W50" s="2309"/>
      <c r="X50" s="2309"/>
      <c r="Y50" s="2309"/>
      <c r="Z50" s="2309"/>
      <c r="AA50" s="2310"/>
    </row>
    <row r="51" spans="1:27" x14ac:dyDescent="0.25">
      <c r="A51" s="2053" t="s">
        <v>9783</v>
      </c>
      <c r="B51" s="2054"/>
      <c r="C51" s="2052"/>
      <c r="D51" s="2052"/>
      <c r="E51" s="2052"/>
      <c r="F51" s="2052"/>
      <c r="G51" s="2052"/>
      <c r="H51" s="2052"/>
      <c r="I51" s="2052"/>
      <c r="J51" s="2052"/>
      <c r="K51" s="2052"/>
      <c r="L51" s="2052"/>
      <c r="M51" s="2052"/>
      <c r="N51" s="2052"/>
      <c r="O51" s="2052"/>
      <c r="P51" s="2052"/>
      <c r="Q51" s="2052"/>
      <c r="R51" s="2052"/>
      <c r="S51" s="2052"/>
      <c r="T51" s="2052"/>
      <c r="U51" s="2052"/>
      <c r="V51" s="2052"/>
      <c r="W51" s="2052"/>
      <c r="X51" s="2052"/>
      <c r="Y51" s="2052"/>
      <c r="Z51" s="2052"/>
      <c r="AA51" s="2052"/>
    </row>
    <row r="52" spans="1:27" x14ac:dyDescent="0.25">
      <c r="A52" s="2053" t="s">
        <v>9784</v>
      </c>
      <c r="B52" s="2055"/>
      <c r="C52" s="2057"/>
      <c r="D52" s="2057"/>
      <c r="E52" s="2057"/>
      <c r="F52" s="2057"/>
      <c r="G52" s="2057"/>
      <c r="H52" s="2057"/>
      <c r="I52" s="2057"/>
      <c r="J52" s="2052"/>
      <c r="K52" s="2052"/>
      <c r="L52" s="2052"/>
      <c r="M52" s="2052"/>
      <c r="N52" s="2052"/>
      <c r="O52" s="2052"/>
      <c r="P52" s="2052"/>
      <c r="Q52" s="2052"/>
      <c r="R52" s="2052"/>
      <c r="S52" s="2052"/>
      <c r="T52" s="2052"/>
      <c r="U52" s="2052"/>
      <c r="V52" s="2052"/>
      <c r="W52" s="2052"/>
      <c r="X52" s="2052"/>
      <c r="Y52" s="2052"/>
      <c r="Z52" s="2052"/>
      <c r="AA52" s="2052"/>
    </row>
    <row r="53" spans="1:27" x14ac:dyDescent="0.25">
      <c r="A53" s="2053" t="s">
        <v>9786</v>
      </c>
      <c r="B53" s="2054"/>
      <c r="C53" s="2052"/>
      <c r="D53" s="2052"/>
      <c r="E53" s="2052"/>
      <c r="F53" s="2052"/>
      <c r="G53" s="2052"/>
      <c r="H53" s="2052"/>
      <c r="I53" s="2052"/>
      <c r="J53" s="2052"/>
      <c r="K53" s="2052"/>
      <c r="L53" s="2052"/>
      <c r="M53" s="2052"/>
      <c r="N53" s="2052"/>
      <c r="O53" s="2052"/>
      <c r="P53" s="2052"/>
      <c r="Q53" s="2052"/>
      <c r="R53" s="2052"/>
      <c r="S53" s="2052"/>
      <c r="T53" s="2052"/>
      <c r="U53" s="2052"/>
      <c r="V53" s="2052"/>
      <c r="W53" s="2052"/>
      <c r="X53" s="2052"/>
      <c r="Y53" s="2052"/>
      <c r="Z53" s="2052"/>
      <c r="AA53" s="2052"/>
    </row>
    <row r="54" spans="1:27" x14ac:dyDescent="0.25">
      <c r="A54" s="2053" t="s">
        <v>9798</v>
      </c>
      <c r="B54" s="2054"/>
      <c r="C54" s="2052"/>
      <c r="D54" s="2057"/>
      <c r="E54" s="2057"/>
      <c r="F54" s="2057"/>
      <c r="G54" s="2057"/>
      <c r="H54" s="2052"/>
      <c r="I54" s="2052"/>
      <c r="J54" s="2052"/>
      <c r="K54" s="2052"/>
      <c r="L54" s="2052"/>
      <c r="M54" s="2052"/>
      <c r="N54" s="2052"/>
      <c r="O54" s="2052"/>
      <c r="P54" s="2052"/>
      <c r="Q54" s="2052"/>
      <c r="R54" s="2052"/>
      <c r="S54" s="2052"/>
      <c r="T54" s="2052"/>
      <c r="U54" s="2052"/>
      <c r="V54" s="2052"/>
      <c r="W54" s="2052"/>
      <c r="X54" s="2052"/>
      <c r="Y54" s="2052"/>
      <c r="Z54" s="2052"/>
      <c r="AA54" s="2052"/>
    </row>
    <row r="55" spans="1:27" x14ac:dyDescent="0.25">
      <c r="A55" s="2060" t="s">
        <v>9807</v>
      </c>
      <c r="B55" s="2054"/>
      <c r="C55" s="2057"/>
      <c r="D55" s="2057"/>
      <c r="E55" s="2057"/>
      <c r="F55" s="2057"/>
      <c r="G55" s="2057"/>
      <c r="H55" s="2057"/>
      <c r="I55" s="2057"/>
      <c r="J55" s="2057"/>
      <c r="K55" s="2057"/>
      <c r="L55" s="2056"/>
      <c r="M55" s="2056"/>
      <c r="N55" s="2056"/>
      <c r="O55" s="2056"/>
      <c r="P55" s="2056"/>
      <c r="Q55" s="2056"/>
      <c r="R55" s="2056"/>
      <c r="S55" s="2056"/>
      <c r="T55" s="2056"/>
      <c r="U55" s="2056"/>
      <c r="V55" s="2056"/>
      <c r="W55" s="2056"/>
      <c r="X55" s="2052"/>
      <c r="Y55" s="2052"/>
      <c r="Z55" s="2052"/>
      <c r="AA55" s="2052"/>
    </row>
    <row r="56" spans="1:27" x14ac:dyDescent="0.25">
      <c r="A56" s="2060" t="s">
        <v>9808</v>
      </c>
      <c r="B56" s="2054"/>
      <c r="C56" s="2052"/>
      <c r="D56" s="2057"/>
      <c r="E56" s="2057"/>
      <c r="F56" s="2057"/>
      <c r="G56" s="2057"/>
      <c r="H56" s="2057"/>
      <c r="I56" s="2057"/>
      <c r="J56" s="2057"/>
      <c r="K56" s="2057"/>
      <c r="L56" s="2056"/>
      <c r="M56" s="2056"/>
      <c r="N56" s="2056"/>
      <c r="O56" s="2056"/>
      <c r="P56" s="2056"/>
      <c r="Q56" s="2056"/>
      <c r="R56" s="2056"/>
      <c r="S56" s="2056"/>
      <c r="T56" s="2056"/>
      <c r="U56" s="2056"/>
      <c r="V56" s="2056"/>
      <c r="W56" s="2056"/>
      <c r="X56" s="2052"/>
      <c r="Y56" s="2052"/>
      <c r="Z56" s="2052"/>
      <c r="AA56" s="2052"/>
    </row>
    <row r="57" spans="1:27" x14ac:dyDescent="0.25">
      <c r="A57" s="2053" t="s">
        <v>9800</v>
      </c>
      <c r="B57" s="2054"/>
      <c r="C57" s="2052"/>
      <c r="D57" s="2057"/>
      <c r="E57" s="2057"/>
      <c r="F57" s="2057"/>
      <c r="G57" s="2057"/>
      <c r="H57" s="2057"/>
      <c r="I57" s="2057"/>
      <c r="J57" s="2057"/>
      <c r="K57" s="2057"/>
      <c r="L57" s="2057"/>
      <c r="M57" s="2057"/>
      <c r="N57" s="2057"/>
      <c r="O57" s="2057"/>
      <c r="P57" s="2057"/>
      <c r="Q57" s="2057"/>
      <c r="R57" s="2057"/>
      <c r="S57" s="2057"/>
      <c r="T57" s="2057"/>
      <c r="U57" s="2057"/>
      <c r="V57" s="2057"/>
      <c r="W57" s="2057"/>
      <c r="X57" s="2057"/>
      <c r="Y57" s="2052"/>
      <c r="Z57" s="2052"/>
      <c r="AA57" s="2052"/>
    </row>
    <row r="58" spans="1:27" x14ac:dyDescent="0.25">
      <c r="A58" s="2053" t="s">
        <v>9801</v>
      </c>
      <c r="B58" s="2054"/>
      <c r="C58" s="2052"/>
      <c r="D58" s="2057"/>
      <c r="E58" s="2057"/>
      <c r="F58" s="2057"/>
      <c r="G58" s="2057"/>
      <c r="H58" s="2057"/>
      <c r="I58" s="2057"/>
      <c r="J58" s="2057"/>
      <c r="K58" s="2057"/>
      <c r="L58" s="2057"/>
      <c r="M58" s="2057"/>
      <c r="N58" s="2057"/>
      <c r="O58" s="2057"/>
      <c r="P58" s="2057"/>
      <c r="Q58" s="2057"/>
      <c r="R58" s="2057"/>
      <c r="S58" s="2057"/>
      <c r="T58" s="2057"/>
      <c r="U58" s="2057"/>
      <c r="V58" s="2057"/>
      <c r="W58" s="2057"/>
      <c r="X58" s="2057"/>
      <c r="Y58" s="2057"/>
      <c r="Z58" s="2057"/>
      <c r="AA58" s="2052"/>
    </row>
    <row r="59" spans="1:27" x14ac:dyDescent="0.25">
      <c r="A59" s="2053" t="s">
        <v>9802</v>
      </c>
      <c r="B59" s="2054"/>
      <c r="C59" s="2052"/>
      <c r="D59" s="2057"/>
      <c r="E59" s="2057"/>
      <c r="F59" s="2057"/>
      <c r="G59" s="2057"/>
      <c r="H59" s="2057"/>
      <c r="I59" s="2057"/>
      <c r="J59" s="2057"/>
      <c r="K59" s="2057"/>
      <c r="L59" s="2057"/>
      <c r="M59" s="2057"/>
      <c r="N59" s="2057"/>
      <c r="O59" s="2057"/>
      <c r="P59" s="2057"/>
      <c r="Q59" s="2057"/>
      <c r="R59" s="2057"/>
      <c r="S59" s="2057"/>
      <c r="T59" s="2057"/>
      <c r="U59" s="2057"/>
      <c r="V59" s="2057"/>
      <c r="W59" s="2057"/>
      <c r="X59" s="2056"/>
      <c r="Y59" s="2056"/>
      <c r="Z59" s="2052"/>
      <c r="AA59" s="2052"/>
    </row>
    <row r="60" spans="1:27" x14ac:dyDescent="0.25">
      <c r="A60" s="2053" t="s">
        <v>9809</v>
      </c>
      <c r="B60" s="2054"/>
      <c r="C60" s="2052"/>
      <c r="D60" s="2057"/>
      <c r="E60" s="2057"/>
      <c r="F60" s="2057"/>
      <c r="G60" s="2057"/>
      <c r="H60" s="2057"/>
      <c r="I60" s="2052"/>
      <c r="J60" s="2052"/>
      <c r="K60" s="2052"/>
      <c r="L60" s="2052"/>
      <c r="M60" s="2052"/>
      <c r="N60" s="2052"/>
      <c r="O60" s="2052"/>
      <c r="P60" s="2052"/>
      <c r="Q60" s="2052"/>
      <c r="R60" s="2052"/>
      <c r="S60" s="2052"/>
      <c r="T60" s="2052"/>
      <c r="U60" s="2052"/>
      <c r="V60" s="2052"/>
      <c r="W60" s="2052"/>
      <c r="X60" s="2052"/>
      <c r="Y60" s="2052"/>
      <c r="Z60" s="2052"/>
      <c r="AA60" s="2052"/>
    </row>
    <row r="61" spans="1:27" x14ac:dyDescent="0.25">
      <c r="A61" s="2053" t="s">
        <v>9791</v>
      </c>
      <c r="B61" s="2054"/>
      <c r="C61" s="2052"/>
      <c r="D61" s="2052"/>
      <c r="E61" s="2056"/>
      <c r="F61" s="2057"/>
      <c r="G61" s="2057"/>
      <c r="H61" s="2056"/>
      <c r="I61" s="2056"/>
      <c r="J61" s="2057"/>
      <c r="K61" s="2057"/>
      <c r="L61" s="2056"/>
      <c r="M61" s="2056"/>
      <c r="N61" s="2057"/>
      <c r="O61" s="2057"/>
      <c r="P61" s="2056"/>
      <c r="Q61" s="2056"/>
      <c r="R61" s="2057"/>
      <c r="S61" s="2057"/>
      <c r="T61" s="2056"/>
      <c r="U61" s="2056"/>
      <c r="V61" s="2057"/>
      <c r="W61" s="2057"/>
      <c r="X61" s="2056"/>
      <c r="Y61" s="2056"/>
      <c r="Z61" s="2052"/>
      <c r="AA61" s="2052"/>
    </row>
    <row r="62" spans="1:27" x14ac:dyDescent="0.25">
      <c r="A62" s="2053" t="s">
        <v>9792</v>
      </c>
      <c r="B62" s="2054"/>
      <c r="C62" s="2052"/>
      <c r="D62" s="2052"/>
      <c r="E62" s="2056"/>
      <c r="F62" s="2056"/>
      <c r="G62" s="2056"/>
      <c r="H62" s="2057"/>
      <c r="I62" s="2056"/>
      <c r="J62" s="2056"/>
      <c r="K62" s="2056"/>
      <c r="L62" s="2057"/>
      <c r="M62" s="2056"/>
      <c r="N62" s="2056"/>
      <c r="O62" s="2056"/>
      <c r="P62" s="2057"/>
      <c r="Q62" s="2056"/>
      <c r="R62" s="2056"/>
      <c r="S62" s="2056"/>
      <c r="T62" s="2057"/>
      <c r="U62" s="2056"/>
      <c r="V62" s="2056"/>
      <c r="W62" s="2056"/>
      <c r="X62" s="2057"/>
      <c r="Y62" s="2057"/>
      <c r="Z62" s="2057"/>
      <c r="AA62" s="2057"/>
    </row>
    <row r="63" spans="1:27" x14ac:dyDescent="0.25">
      <c r="A63" s="2052"/>
      <c r="B63" s="2309" t="s">
        <v>9810</v>
      </c>
      <c r="C63" s="2309"/>
      <c r="D63" s="2309"/>
      <c r="E63" s="2309"/>
      <c r="F63" s="2309"/>
      <c r="G63" s="2309"/>
      <c r="H63" s="2309"/>
      <c r="I63" s="2309"/>
      <c r="J63" s="2309"/>
      <c r="K63" s="2309"/>
      <c r="L63" s="2309"/>
      <c r="M63" s="2309"/>
      <c r="N63" s="2309"/>
      <c r="O63" s="2309"/>
      <c r="P63" s="2309"/>
      <c r="Q63" s="2309"/>
      <c r="R63" s="2309"/>
      <c r="S63" s="2309"/>
      <c r="T63" s="2309"/>
      <c r="U63" s="2309"/>
      <c r="V63" s="2309"/>
      <c r="W63" s="2309"/>
      <c r="X63" s="2309"/>
      <c r="Y63" s="2309"/>
      <c r="Z63" s="2309"/>
      <c r="AA63" s="2310"/>
    </row>
    <row r="64" spans="1:27" x14ac:dyDescent="0.25">
      <c r="A64" s="2053" t="s">
        <v>9811</v>
      </c>
      <c r="B64" s="2054"/>
      <c r="C64" s="2057"/>
      <c r="D64" s="2057"/>
      <c r="E64" s="2057"/>
      <c r="F64" s="2052"/>
      <c r="G64" s="2052"/>
      <c r="H64" s="2052"/>
      <c r="I64" s="2052"/>
      <c r="J64" s="2052"/>
      <c r="K64" s="2052"/>
      <c r="L64" s="2052"/>
      <c r="M64" s="2052"/>
      <c r="N64" s="2052"/>
      <c r="O64" s="2052"/>
      <c r="P64" s="2052"/>
      <c r="Q64" s="2052"/>
      <c r="R64" s="2052"/>
      <c r="S64" s="2052"/>
      <c r="T64" s="2052"/>
      <c r="U64" s="2052"/>
      <c r="V64" s="2052"/>
      <c r="W64" s="2052"/>
      <c r="X64" s="2052"/>
      <c r="Y64" s="2052"/>
      <c r="Z64" s="2052"/>
      <c r="AA64" s="2052"/>
    </row>
    <row r="65" spans="1:27" ht="25.5" x14ac:dyDescent="0.25">
      <c r="A65" s="2060" t="s">
        <v>9812</v>
      </c>
      <c r="B65" s="2054"/>
      <c r="C65" s="2057"/>
      <c r="D65" s="2057"/>
      <c r="E65" s="2057"/>
      <c r="F65" s="2057"/>
      <c r="G65" s="2052"/>
      <c r="H65" s="2052"/>
      <c r="I65" s="2052"/>
      <c r="J65" s="2052"/>
      <c r="K65" s="2052"/>
      <c r="L65" s="2052"/>
      <c r="M65" s="2052"/>
      <c r="N65" s="2052"/>
      <c r="O65" s="2052"/>
      <c r="P65" s="2052"/>
      <c r="Q65" s="2052"/>
      <c r="R65" s="2052"/>
      <c r="S65" s="2052"/>
      <c r="T65" s="2052"/>
      <c r="U65" s="2052"/>
      <c r="V65" s="2052"/>
      <c r="W65" s="2052"/>
      <c r="X65" s="2052"/>
      <c r="Y65" s="2052"/>
      <c r="Z65" s="2052"/>
      <c r="AA65" s="2052"/>
    </row>
    <row r="66" spans="1:27" x14ac:dyDescent="0.25">
      <c r="A66" s="2060" t="s">
        <v>9816</v>
      </c>
      <c r="B66" s="2055"/>
      <c r="C66" s="2057"/>
      <c r="D66" s="2057"/>
      <c r="E66" s="2057"/>
      <c r="F66" s="2057"/>
      <c r="G66" s="2057"/>
      <c r="H66" s="2057"/>
      <c r="I66" s="2057"/>
      <c r="J66" s="2057"/>
      <c r="K66" s="2057"/>
      <c r="L66" s="2057"/>
      <c r="M66" s="2057"/>
      <c r="N66" s="2057"/>
      <c r="O66" s="2057"/>
      <c r="P66" s="2057"/>
      <c r="Q66" s="2057"/>
      <c r="R66" s="2057"/>
      <c r="S66" s="2057"/>
      <c r="T66" s="2057"/>
      <c r="U66" s="2057"/>
      <c r="V66" s="2057"/>
      <c r="W66" s="2057"/>
      <c r="X66" s="2057"/>
      <c r="Y66" s="2057"/>
      <c r="Z66" s="2057"/>
      <c r="AA66" s="2057"/>
    </row>
    <row r="67" spans="1:27" x14ac:dyDescent="0.25">
      <c r="A67" s="2053" t="s">
        <v>9813</v>
      </c>
      <c r="B67" s="2054"/>
      <c r="C67" s="2057"/>
      <c r="D67" s="2057"/>
      <c r="E67" s="2057"/>
      <c r="F67" s="2057"/>
      <c r="G67" s="2052"/>
      <c r="H67" s="2052"/>
      <c r="I67" s="2052"/>
      <c r="J67" s="2052"/>
      <c r="K67" s="2052"/>
      <c r="L67" s="2052"/>
      <c r="M67" s="2052"/>
      <c r="N67" s="2052"/>
      <c r="O67" s="2052"/>
      <c r="P67" s="2052"/>
      <c r="Q67" s="2052"/>
      <c r="R67" s="2052"/>
      <c r="S67" s="2052"/>
      <c r="T67" s="2052"/>
      <c r="U67" s="2052"/>
      <c r="V67" s="2052"/>
      <c r="W67" s="2052"/>
      <c r="X67" s="2052"/>
      <c r="Y67" s="2052"/>
      <c r="Z67" s="2052"/>
      <c r="AA67" s="2052"/>
    </row>
    <row r="68" spans="1:27" ht="25.5" x14ac:dyDescent="0.25">
      <c r="A68" s="2060" t="s">
        <v>9814</v>
      </c>
      <c r="B68" s="2054"/>
      <c r="C68" s="2057"/>
      <c r="D68" s="2057"/>
      <c r="E68" s="2057"/>
      <c r="F68" s="2057"/>
      <c r="G68" s="2052"/>
      <c r="H68" s="2052"/>
      <c r="I68" s="2052"/>
      <c r="J68" s="2052"/>
      <c r="K68" s="2052"/>
      <c r="L68" s="2052"/>
      <c r="M68" s="2052"/>
      <c r="N68" s="2052"/>
      <c r="O68" s="2052"/>
      <c r="P68" s="2052"/>
      <c r="Q68" s="2052"/>
      <c r="R68" s="2052"/>
      <c r="S68" s="2052"/>
      <c r="T68" s="2052"/>
      <c r="U68" s="2052"/>
      <c r="V68" s="2052"/>
      <c r="W68" s="2052"/>
      <c r="X68" s="2052"/>
      <c r="Y68" s="2052"/>
      <c r="Z68" s="2052"/>
      <c r="AA68" s="2052"/>
    </row>
    <row r="69" spans="1:27" x14ac:dyDescent="0.25">
      <c r="A69" s="2311" t="s">
        <v>9815</v>
      </c>
      <c r="B69" s="2312"/>
      <c r="C69" s="2312"/>
      <c r="D69" s="2312"/>
      <c r="E69" s="2312"/>
      <c r="F69" s="2312"/>
      <c r="G69" s="2312"/>
      <c r="H69" s="2312"/>
      <c r="I69" s="2312"/>
      <c r="J69" s="2312"/>
      <c r="K69" s="2312"/>
      <c r="L69" s="2312"/>
      <c r="M69" s="2312"/>
      <c r="N69" s="2312"/>
      <c r="O69" s="2312"/>
      <c r="P69" s="2312"/>
      <c r="Q69" s="2312"/>
      <c r="R69" s="2312"/>
      <c r="S69" s="2312"/>
      <c r="T69" s="2312"/>
      <c r="U69" s="2312"/>
      <c r="V69" s="2312"/>
      <c r="W69" s="2312"/>
      <c r="X69" s="2312"/>
      <c r="Y69" s="2312"/>
      <c r="Z69" s="2312"/>
      <c r="AA69" s="2312"/>
    </row>
    <row r="70" spans="1:27" x14ac:dyDescent="0.25">
      <c r="A70" s="2312"/>
      <c r="B70" s="2312"/>
      <c r="C70" s="2312"/>
      <c r="D70" s="2312"/>
      <c r="E70" s="2312"/>
      <c r="F70" s="2312"/>
      <c r="G70" s="2312"/>
      <c r="H70" s="2312"/>
      <c r="I70" s="2312"/>
      <c r="J70" s="2312"/>
      <c r="K70" s="2312"/>
      <c r="L70" s="2312"/>
      <c r="M70" s="2312"/>
      <c r="N70" s="2312"/>
      <c r="O70" s="2312"/>
      <c r="P70" s="2312"/>
      <c r="Q70" s="2312"/>
      <c r="R70" s="2312"/>
      <c r="S70" s="2312"/>
      <c r="T70" s="2312"/>
      <c r="U70" s="2312"/>
      <c r="V70" s="2312"/>
      <c r="W70" s="2312"/>
      <c r="X70" s="2312"/>
      <c r="Y70" s="2312"/>
      <c r="Z70" s="2312"/>
      <c r="AA70" s="2312"/>
    </row>
    <row r="71" spans="1:27" x14ac:dyDescent="0.25">
      <c r="A71" s="2312"/>
      <c r="B71" s="2312"/>
      <c r="C71" s="2312"/>
      <c r="D71" s="2312"/>
      <c r="E71" s="2312"/>
      <c r="F71" s="2312"/>
      <c r="G71" s="2312"/>
      <c r="H71" s="2312"/>
      <c r="I71" s="2312"/>
      <c r="J71" s="2312"/>
      <c r="K71" s="2312"/>
      <c r="L71" s="2312"/>
      <c r="M71" s="2312"/>
      <c r="N71" s="2312"/>
      <c r="O71" s="2312"/>
      <c r="P71" s="2312"/>
      <c r="Q71" s="2312"/>
      <c r="R71" s="2312"/>
      <c r="S71" s="2312"/>
      <c r="T71" s="2312"/>
      <c r="U71" s="2312"/>
      <c r="V71" s="2312"/>
      <c r="W71" s="2312"/>
      <c r="X71" s="2312"/>
      <c r="Y71" s="2312"/>
      <c r="Z71" s="2312"/>
      <c r="AA71" s="2312"/>
    </row>
    <row r="72" spans="1:27" x14ac:dyDescent="0.25">
      <c r="A72" s="2312"/>
      <c r="B72" s="2312"/>
      <c r="C72" s="2312"/>
      <c r="D72" s="2312"/>
      <c r="E72" s="2312"/>
      <c r="F72" s="2312"/>
      <c r="G72" s="2312"/>
      <c r="H72" s="2312"/>
      <c r="I72" s="2312"/>
      <c r="J72" s="2312"/>
      <c r="K72" s="2312"/>
      <c r="L72" s="2312"/>
      <c r="M72" s="2312"/>
      <c r="N72" s="2312"/>
      <c r="O72" s="2312"/>
      <c r="P72" s="2312"/>
      <c r="Q72" s="2312"/>
      <c r="R72" s="2312"/>
      <c r="S72" s="2312"/>
      <c r="T72" s="2312"/>
      <c r="U72" s="2312"/>
      <c r="V72" s="2312"/>
      <c r="W72" s="2312"/>
      <c r="X72" s="2312"/>
      <c r="Y72" s="2312"/>
      <c r="Z72" s="2312"/>
      <c r="AA72" s="2312"/>
    </row>
    <row r="73" spans="1:27" x14ac:dyDescent="0.25">
      <c r="A73" s="2312"/>
      <c r="B73" s="2312"/>
      <c r="C73" s="2312"/>
      <c r="D73" s="2312"/>
      <c r="E73" s="2312"/>
      <c r="F73" s="2312"/>
      <c r="G73" s="2312"/>
      <c r="H73" s="2312"/>
      <c r="I73" s="2312"/>
      <c r="J73" s="2312"/>
      <c r="K73" s="2312"/>
      <c r="L73" s="2312"/>
      <c r="M73" s="2312"/>
      <c r="N73" s="2312"/>
      <c r="O73" s="2312"/>
      <c r="P73" s="2312"/>
      <c r="Q73" s="2312"/>
      <c r="R73" s="2312"/>
      <c r="S73" s="2312"/>
      <c r="T73" s="2312"/>
      <c r="U73" s="2312"/>
      <c r="V73" s="2312"/>
      <c r="W73" s="2312"/>
      <c r="X73" s="2312"/>
      <c r="Y73" s="2312"/>
      <c r="Z73" s="2312"/>
      <c r="AA73" s="2312"/>
    </row>
  </sheetData>
  <mergeCells count="10">
    <mergeCell ref="B32:AA32"/>
    <mergeCell ref="B50:AA50"/>
    <mergeCell ref="B63:AA63"/>
    <mergeCell ref="A69:AA73"/>
    <mergeCell ref="B3:Y4"/>
    <mergeCell ref="A6:A8"/>
    <mergeCell ref="B6:AA6"/>
    <mergeCell ref="B7:AA7"/>
    <mergeCell ref="B9:AA9"/>
    <mergeCell ref="B20:AA20"/>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J104"/>
  <sheetViews>
    <sheetView tabSelected="1" view="pageBreakPreview" zoomScale="96" zoomScaleNormal="100" zoomScaleSheetLayoutView="96" workbookViewId="0">
      <selection activeCell="B10" sqref="B10"/>
    </sheetView>
  </sheetViews>
  <sheetFormatPr baseColWidth="10" defaultRowHeight="15" x14ac:dyDescent="0.25"/>
  <cols>
    <col min="1" max="1" width="9.28515625" style="1509" customWidth="1"/>
    <col min="2" max="2" width="85" style="1860" bestFit="1" customWidth="1"/>
    <col min="3" max="3" width="6.42578125" style="1860" bestFit="1" customWidth="1"/>
    <col min="4" max="4" width="7.42578125" style="1860" bestFit="1" customWidth="1"/>
    <col min="5" max="5" width="14.5703125" style="1860" customWidth="1"/>
    <col min="6" max="6" width="16.85546875" style="1860" bestFit="1" customWidth="1"/>
    <col min="7" max="7" width="20.140625" style="1860" customWidth="1"/>
    <col min="8" max="8" width="23.85546875" style="1860" customWidth="1"/>
    <col min="9" max="16384" width="11.42578125" style="1860"/>
  </cols>
  <sheetData>
    <row r="1" spans="1:10" ht="16.5" customHeight="1" x14ac:dyDescent="0.25">
      <c r="A1" s="2317" t="s">
        <v>9817</v>
      </c>
      <c r="B1" s="2317"/>
      <c r="C1" s="2317"/>
      <c r="D1" s="2317"/>
      <c r="E1" s="2317"/>
      <c r="F1" s="2317"/>
      <c r="G1" s="2317"/>
      <c r="H1" s="2317"/>
    </row>
    <row r="2" spans="1:10" ht="48.75" customHeight="1" x14ac:dyDescent="0.25">
      <c r="A2" s="2317"/>
      <c r="B2" s="2317"/>
      <c r="C2" s="2317"/>
      <c r="D2" s="2317"/>
      <c r="E2" s="2317"/>
      <c r="F2" s="2317"/>
      <c r="G2" s="2317"/>
      <c r="H2" s="2317"/>
    </row>
    <row r="3" spans="1:10" ht="15" customHeight="1" x14ac:dyDescent="0.25">
      <c r="A3" s="2317"/>
      <c r="B3" s="2317"/>
      <c r="C3" s="2317"/>
      <c r="D3" s="2317"/>
      <c r="E3" s="2317"/>
      <c r="F3" s="2317"/>
      <c r="G3" s="2317"/>
      <c r="H3" s="2317"/>
    </row>
    <row r="4" spans="1:10" s="265" customFormat="1" ht="20.25" customHeight="1" x14ac:dyDescent="0.25">
      <c r="A4" s="2318" t="s">
        <v>9818</v>
      </c>
      <c r="B4" s="2318"/>
      <c r="C4" s="2318"/>
      <c r="D4" s="2318"/>
      <c r="E4" s="2318"/>
      <c r="F4" s="2318"/>
      <c r="G4" s="2318"/>
      <c r="H4" s="2318"/>
    </row>
    <row r="5" spans="1:10" ht="16.5" x14ac:dyDescent="0.3">
      <c r="A5" s="2321" t="s">
        <v>2</v>
      </c>
      <c r="B5" s="2321"/>
      <c r="C5" s="947" t="s">
        <v>6616</v>
      </c>
      <c r="D5" s="2062" t="s">
        <v>6617</v>
      </c>
      <c r="E5" s="948" t="s">
        <v>6618</v>
      </c>
      <c r="F5" s="949" t="s">
        <v>9831</v>
      </c>
      <c r="G5" s="949" t="s">
        <v>9864</v>
      </c>
      <c r="H5" s="949" t="s">
        <v>9865</v>
      </c>
    </row>
    <row r="6" spans="1:10" ht="16.5" x14ac:dyDescent="0.3">
      <c r="A6" s="1507"/>
      <c r="B6" s="885" t="s">
        <v>8167</v>
      </c>
      <c r="C6" s="849"/>
      <c r="D6" s="845"/>
      <c r="E6" s="846"/>
      <c r="F6" s="847"/>
      <c r="G6" s="847"/>
      <c r="H6" s="847"/>
    </row>
    <row r="7" spans="1:10" ht="16.5" x14ac:dyDescent="0.3">
      <c r="A7" s="1463">
        <v>1.1000000000000001</v>
      </c>
      <c r="B7" s="855" t="s">
        <v>7204</v>
      </c>
      <c r="C7" s="853" t="s">
        <v>5734</v>
      </c>
      <c r="D7" s="893">
        <v>52.74</v>
      </c>
      <c r="E7" s="2064">
        <v>1913</v>
      </c>
      <c r="F7" s="2065">
        <f>+ROUND(D7*E7,0)</f>
        <v>100892</v>
      </c>
      <c r="G7" s="2175">
        <f>+ROUND(E7*0.9,0)</f>
        <v>1722</v>
      </c>
      <c r="H7" s="2175">
        <f>+ROUND(E7*1.1,0)</f>
        <v>2104</v>
      </c>
    </row>
    <row r="8" spans="1:10" ht="16.5" x14ac:dyDescent="0.3">
      <c r="A8" s="1463">
        <v>1.2</v>
      </c>
      <c r="B8" s="855" t="s">
        <v>7205</v>
      </c>
      <c r="C8" s="853" t="s">
        <v>5556</v>
      </c>
      <c r="D8" s="893">
        <v>33.6</v>
      </c>
      <c r="E8" s="2064">
        <v>2899</v>
      </c>
      <c r="F8" s="2065">
        <f>+ROUND(D8*E8,0)</f>
        <v>97406</v>
      </c>
      <c r="G8" s="2175">
        <f t="shared" ref="G8:G58" si="0">+ROUND(E8*0.9,0)</f>
        <v>2609</v>
      </c>
      <c r="H8" s="2175">
        <f t="shared" ref="H8:H57" si="1">+ROUND(E8*1.1,0)</f>
        <v>3189</v>
      </c>
    </row>
    <row r="9" spans="1:10" ht="16.5" x14ac:dyDescent="0.3">
      <c r="A9" s="1463" t="s">
        <v>139</v>
      </c>
      <c r="B9" s="838" t="s">
        <v>5675</v>
      </c>
      <c r="C9" s="853" t="s">
        <v>6858</v>
      </c>
      <c r="D9" s="893">
        <v>8.3000000000000007</v>
      </c>
      <c r="E9" s="2064">
        <v>110780</v>
      </c>
      <c r="F9" s="2065">
        <f>+ROUND(D9*E9,0)</f>
        <v>919474</v>
      </c>
      <c r="G9" s="2175">
        <f t="shared" si="0"/>
        <v>99702</v>
      </c>
      <c r="H9" s="2175">
        <f t="shared" si="1"/>
        <v>121858</v>
      </c>
    </row>
    <row r="10" spans="1:10" ht="16.5" x14ac:dyDescent="0.3">
      <c r="A10" s="1463"/>
      <c r="B10" s="885" t="s">
        <v>6620</v>
      </c>
      <c r="C10" s="849"/>
      <c r="D10" s="845"/>
      <c r="E10" s="846"/>
      <c r="F10" s="847"/>
      <c r="G10" s="847"/>
      <c r="H10" s="847"/>
    </row>
    <row r="11" spans="1:10" ht="16.5" x14ac:dyDescent="0.3">
      <c r="A11" s="1463" t="s">
        <v>8571</v>
      </c>
      <c r="B11" s="848" t="s">
        <v>8998</v>
      </c>
      <c r="C11" s="853" t="s">
        <v>5402</v>
      </c>
      <c r="D11" s="1458">
        <v>5.85</v>
      </c>
      <c r="E11" s="2064">
        <v>25412</v>
      </c>
      <c r="F11" s="2065">
        <f>+ROUND(D11*E11,0)</f>
        <v>148660</v>
      </c>
      <c r="G11" s="2175">
        <f t="shared" si="0"/>
        <v>22871</v>
      </c>
      <c r="H11" s="2175">
        <f t="shared" si="1"/>
        <v>27953</v>
      </c>
    </row>
    <row r="12" spans="1:10" ht="16.5" x14ac:dyDescent="0.3">
      <c r="A12" s="1463" t="s">
        <v>8680</v>
      </c>
      <c r="B12" s="848" t="s">
        <v>8999</v>
      </c>
      <c r="C12" s="853" t="s">
        <v>5402</v>
      </c>
      <c r="D12" s="1458">
        <v>14.88</v>
      </c>
      <c r="E12" s="2064">
        <v>39946</v>
      </c>
      <c r="F12" s="2065">
        <f t="shared" ref="F12:F15" si="2">+ROUND(D12*E12,0)</f>
        <v>594396</v>
      </c>
      <c r="G12" s="2175">
        <f t="shared" si="0"/>
        <v>35951</v>
      </c>
      <c r="H12" s="2175">
        <f t="shared" si="1"/>
        <v>43941</v>
      </c>
    </row>
    <row r="13" spans="1:10" ht="16.5" x14ac:dyDescent="0.3">
      <c r="A13" s="1463" t="s">
        <v>98</v>
      </c>
      <c r="B13" s="848" t="s">
        <v>6632</v>
      </c>
      <c r="C13" s="853" t="s">
        <v>7941</v>
      </c>
      <c r="D13" s="1458">
        <v>851.35</v>
      </c>
      <c r="E13" s="2064">
        <v>2912</v>
      </c>
      <c r="F13" s="2065">
        <f t="shared" si="2"/>
        <v>2479131</v>
      </c>
      <c r="G13" s="2175">
        <f t="shared" si="0"/>
        <v>2621</v>
      </c>
      <c r="H13" s="2175">
        <f t="shared" si="1"/>
        <v>3203</v>
      </c>
    </row>
    <row r="14" spans="1:10" ht="18.75" customHeight="1" x14ac:dyDescent="0.3">
      <c r="A14" s="1463"/>
      <c r="B14" s="1096" t="s">
        <v>6624</v>
      </c>
      <c r="C14" s="849"/>
      <c r="D14" s="845"/>
      <c r="E14" s="846"/>
      <c r="F14" s="847"/>
      <c r="G14" s="847"/>
      <c r="H14" s="847"/>
    </row>
    <row r="15" spans="1:10" ht="16.5" x14ac:dyDescent="0.3">
      <c r="A15" s="1463" t="s">
        <v>5458</v>
      </c>
      <c r="B15" s="848" t="s">
        <v>5968</v>
      </c>
      <c r="C15" s="853" t="s">
        <v>6858</v>
      </c>
      <c r="D15" s="893">
        <v>139.44999999999999</v>
      </c>
      <c r="E15" s="2066">
        <v>24270</v>
      </c>
      <c r="F15" s="2065">
        <f t="shared" si="2"/>
        <v>3384452</v>
      </c>
      <c r="G15" s="2175">
        <f t="shared" si="0"/>
        <v>21843</v>
      </c>
      <c r="H15" s="2175">
        <f t="shared" si="1"/>
        <v>26697</v>
      </c>
    </row>
    <row r="16" spans="1:10" ht="16.5" customHeight="1" x14ac:dyDescent="0.3">
      <c r="A16" s="1439" t="s">
        <v>97</v>
      </c>
      <c r="B16" s="1074" t="s">
        <v>9819</v>
      </c>
      <c r="C16" s="853" t="s">
        <v>6858</v>
      </c>
      <c r="D16" s="893">
        <v>6.7199999999999989</v>
      </c>
      <c r="E16" s="2066">
        <v>52233</v>
      </c>
      <c r="F16" s="2065">
        <f t="shared" ref="F16:F21" si="3">+ROUND(D16*E16,0)</f>
        <v>351006</v>
      </c>
      <c r="G16" s="2175">
        <f t="shared" si="0"/>
        <v>47010</v>
      </c>
      <c r="H16" s="2175">
        <f t="shared" si="1"/>
        <v>57456</v>
      </c>
      <c r="I16" s="1073"/>
      <c r="J16" s="1073"/>
    </row>
    <row r="17" spans="1:8" ht="16.5" x14ac:dyDescent="0.3">
      <c r="A17" s="1463" t="s">
        <v>8579</v>
      </c>
      <c r="B17" s="1449" t="s">
        <v>9820</v>
      </c>
      <c r="C17" s="853" t="s">
        <v>6858</v>
      </c>
      <c r="D17" s="893">
        <v>1.6799999999999997</v>
      </c>
      <c r="E17" s="2066">
        <v>447833</v>
      </c>
      <c r="F17" s="2065">
        <f t="shared" si="3"/>
        <v>752359</v>
      </c>
      <c r="G17" s="2175">
        <f t="shared" si="0"/>
        <v>403050</v>
      </c>
      <c r="H17" s="2175">
        <f t="shared" si="1"/>
        <v>492616</v>
      </c>
    </row>
    <row r="18" spans="1:8" ht="33" customHeight="1" x14ac:dyDescent="0.3">
      <c r="A18" s="1463" t="s">
        <v>8575</v>
      </c>
      <c r="B18" s="2067" t="s">
        <v>9397</v>
      </c>
      <c r="C18" s="853" t="s">
        <v>6858</v>
      </c>
      <c r="D18" s="1075">
        <v>8.3999999999999986</v>
      </c>
      <c r="E18" s="2066">
        <v>613345</v>
      </c>
      <c r="F18" s="2068">
        <f t="shared" si="3"/>
        <v>5152098</v>
      </c>
      <c r="G18" s="2176">
        <f t="shared" si="0"/>
        <v>552011</v>
      </c>
      <c r="H18" s="2176">
        <f t="shared" si="1"/>
        <v>674680</v>
      </c>
    </row>
    <row r="19" spans="1:8" ht="33" x14ac:dyDescent="0.25">
      <c r="A19" s="1463" t="s">
        <v>8576</v>
      </c>
      <c r="B19" s="2067" t="s">
        <v>9398</v>
      </c>
      <c r="C19" s="1460" t="s">
        <v>6858</v>
      </c>
      <c r="D19" s="1075">
        <v>24.91</v>
      </c>
      <c r="E19" s="2066">
        <v>793562</v>
      </c>
      <c r="F19" s="2068">
        <f t="shared" si="3"/>
        <v>19767629</v>
      </c>
      <c r="G19" s="2176">
        <f t="shared" si="0"/>
        <v>714206</v>
      </c>
      <c r="H19" s="2176">
        <f t="shared" si="1"/>
        <v>872918</v>
      </c>
    </row>
    <row r="20" spans="1:8" ht="21" customHeight="1" x14ac:dyDescent="0.3">
      <c r="A20" s="1463" t="s">
        <v>233</v>
      </c>
      <c r="B20" s="1090" t="s">
        <v>5573</v>
      </c>
      <c r="C20" s="1460" t="s">
        <v>5431</v>
      </c>
      <c r="D20" s="1075">
        <v>2940</v>
      </c>
      <c r="E20" s="2066">
        <v>3841</v>
      </c>
      <c r="F20" s="2065">
        <f t="shared" si="3"/>
        <v>11292540</v>
      </c>
      <c r="G20" s="2176">
        <f t="shared" si="0"/>
        <v>3457</v>
      </c>
      <c r="H20" s="2176">
        <f t="shared" si="1"/>
        <v>4225</v>
      </c>
    </row>
    <row r="21" spans="1:8" ht="20.25" customHeight="1" x14ac:dyDescent="0.3">
      <c r="A21" s="1463" t="s">
        <v>5583</v>
      </c>
      <c r="B21" s="855" t="s">
        <v>8992</v>
      </c>
      <c r="C21" s="1460" t="s">
        <v>5424</v>
      </c>
      <c r="D21" s="1075">
        <v>5</v>
      </c>
      <c r="E21" s="2066">
        <v>819794</v>
      </c>
      <c r="F21" s="2065">
        <f t="shared" si="3"/>
        <v>4098970</v>
      </c>
      <c r="G21" s="2176">
        <f t="shared" si="0"/>
        <v>737815</v>
      </c>
      <c r="H21" s="2176">
        <f t="shared" si="1"/>
        <v>901773</v>
      </c>
    </row>
    <row r="22" spans="1:8" ht="16.5" x14ac:dyDescent="0.3">
      <c r="A22" s="1463"/>
      <c r="B22" s="885" t="s">
        <v>9821</v>
      </c>
      <c r="C22" s="849"/>
      <c r="D22" s="845"/>
      <c r="E22" s="846"/>
      <c r="F22" s="847"/>
      <c r="G22" s="847"/>
      <c r="H22" s="847"/>
    </row>
    <row r="23" spans="1:8" ht="16.5" x14ac:dyDescent="0.3">
      <c r="A23" s="1463" t="s">
        <v>8585</v>
      </c>
      <c r="B23" s="2164" t="s">
        <v>8496</v>
      </c>
      <c r="C23" s="2165" t="s">
        <v>5424</v>
      </c>
      <c r="D23" s="2159">
        <v>5</v>
      </c>
      <c r="E23" s="2166">
        <v>18707</v>
      </c>
      <c r="F23" s="2167">
        <f>+ROUND(D23*E23,0)</f>
        <v>93535</v>
      </c>
      <c r="G23" s="2175">
        <f t="shared" si="0"/>
        <v>16836</v>
      </c>
      <c r="H23" s="2175">
        <f t="shared" si="1"/>
        <v>20578</v>
      </c>
    </row>
    <row r="24" spans="1:8" ht="16.5" x14ac:dyDescent="0.3">
      <c r="A24" s="1463" t="s">
        <v>8586</v>
      </c>
      <c r="B24" s="2164" t="s">
        <v>8495</v>
      </c>
      <c r="C24" s="2165" t="s">
        <v>5424</v>
      </c>
      <c r="D24" s="2159">
        <v>28</v>
      </c>
      <c r="E24" s="2166">
        <v>18707</v>
      </c>
      <c r="F24" s="2167">
        <f t="shared" ref="F24:F58" si="4">+ROUND(D24*E24,0)</f>
        <v>523796</v>
      </c>
      <c r="G24" s="2175">
        <f t="shared" si="0"/>
        <v>16836</v>
      </c>
      <c r="H24" s="2175">
        <f t="shared" si="1"/>
        <v>20578</v>
      </c>
    </row>
    <row r="25" spans="1:8" ht="16.5" x14ac:dyDescent="0.3">
      <c r="A25" s="1463" t="s">
        <v>8587</v>
      </c>
      <c r="B25" s="2164" t="s">
        <v>8512</v>
      </c>
      <c r="C25" s="2165" t="s">
        <v>5424</v>
      </c>
      <c r="D25" s="2159">
        <v>2</v>
      </c>
      <c r="E25" s="2166">
        <v>26752</v>
      </c>
      <c r="F25" s="2167">
        <f t="shared" si="4"/>
        <v>53504</v>
      </c>
      <c r="G25" s="2175">
        <f t="shared" si="0"/>
        <v>24077</v>
      </c>
      <c r="H25" s="2175">
        <f t="shared" si="1"/>
        <v>29427</v>
      </c>
    </row>
    <row r="26" spans="1:8" ht="16.5" x14ac:dyDescent="0.3">
      <c r="A26" s="1463" t="s">
        <v>8588</v>
      </c>
      <c r="B26" s="2164" t="s">
        <v>8497</v>
      </c>
      <c r="C26" s="2165" t="s">
        <v>5424</v>
      </c>
      <c r="D26" s="2159">
        <v>6</v>
      </c>
      <c r="E26" s="2166">
        <v>26752</v>
      </c>
      <c r="F26" s="2167">
        <f t="shared" si="4"/>
        <v>160512</v>
      </c>
      <c r="G26" s="2175">
        <f t="shared" si="0"/>
        <v>24077</v>
      </c>
      <c r="H26" s="2175">
        <f t="shared" si="1"/>
        <v>29427</v>
      </c>
    </row>
    <row r="27" spans="1:8" ht="16.5" x14ac:dyDescent="0.3">
      <c r="A27" s="1463" t="s">
        <v>8590</v>
      </c>
      <c r="B27" s="2164" t="s">
        <v>8509</v>
      </c>
      <c r="C27" s="2165" t="s">
        <v>5424</v>
      </c>
      <c r="D27" s="2159">
        <v>4</v>
      </c>
      <c r="E27" s="2166">
        <v>38572</v>
      </c>
      <c r="F27" s="2167">
        <f t="shared" si="4"/>
        <v>154288</v>
      </c>
      <c r="G27" s="2175">
        <f t="shared" si="0"/>
        <v>34715</v>
      </c>
      <c r="H27" s="2175">
        <f t="shared" si="1"/>
        <v>42429</v>
      </c>
    </row>
    <row r="28" spans="1:8" ht="16.5" x14ac:dyDescent="0.3">
      <c r="A28" s="1463" t="s">
        <v>8591</v>
      </c>
      <c r="B28" s="2164" t="s">
        <v>8510</v>
      </c>
      <c r="C28" s="2165" t="s">
        <v>5424</v>
      </c>
      <c r="D28" s="2159">
        <v>4</v>
      </c>
      <c r="E28" s="2166">
        <v>38572</v>
      </c>
      <c r="F28" s="2167">
        <f t="shared" si="4"/>
        <v>154288</v>
      </c>
      <c r="G28" s="2175">
        <f t="shared" si="0"/>
        <v>34715</v>
      </c>
      <c r="H28" s="2175">
        <f t="shared" si="1"/>
        <v>42429</v>
      </c>
    </row>
    <row r="29" spans="1:8" ht="16.5" x14ac:dyDescent="0.3">
      <c r="A29" s="1463" t="s">
        <v>8593</v>
      </c>
      <c r="B29" s="2164" t="s">
        <v>8517</v>
      </c>
      <c r="C29" s="2165" t="s">
        <v>5424</v>
      </c>
      <c r="D29" s="2159">
        <v>6</v>
      </c>
      <c r="E29" s="2166">
        <v>70676</v>
      </c>
      <c r="F29" s="2167">
        <f t="shared" si="4"/>
        <v>424056</v>
      </c>
      <c r="G29" s="2175">
        <f t="shared" si="0"/>
        <v>63608</v>
      </c>
      <c r="H29" s="2175">
        <f t="shared" si="1"/>
        <v>77744</v>
      </c>
    </row>
    <row r="30" spans="1:8" ht="16.5" x14ac:dyDescent="0.3">
      <c r="A30" s="1463" t="s">
        <v>8594</v>
      </c>
      <c r="B30" s="2164" t="s">
        <v>8518</v>
      </c>
      <c r="C30" s="2165" t="s">
        <v>5424</v>
      </c>
      <c r="D30" s="2159">
        <v>18</v>
      </c>
      <c r="E30" s="2166">
        <v>72538</v>
      </c>
      <c r="F30" s="2167">
        <f t="shared" si="4"/>
        <v>1305684</v>
      </c>
      <c r="G30" s="2175">
        <f t="shared" si="0"/>
        <v>65284</v>
      </c>
      <c r="H30" s="2175">
        <f t="shared" si="1"/>
        <v>79792</v>
      </c>
    </row>
    <row r="31" spans="1:8" ht="16.5" x14ac:dyDescent="0.3">
      <c r="A31" s="1463" t="s">
        <v>8598</v>
      </c>
      <c r="B31" s="2163" t="s">
        <v>8537</v>
      </c>
      <c r="C31" s="2165" t="s">
        <v>5424</v>
      </c>
      <c r="D31" s="2159">
        <v>1</v>
      </c>
      <c r="E31" s="2166">
        <v>80640</v>
      </c>
      <c r="F31" s="2167">
        <f t="shared" si="4"/>
        <v>80640</v>
      </c>
      <c r="G31" s="2175">
        <f t="shared" si="0"/>
        <v>72576</v>
      </c>
      <c r="H31" s="2175">
        <f t="shared" si="1"/>
        <v>88704</v>
      </c>
    </row>
    <row r="32" spans="1:8" ht="16.5" x14ac:dyDescent="0.3">
      <c r="A32" s="1463" t="s">
        <v>8605</v>
      </c>
      <c r="B32" s="2164" t="s">
        <v>8513</v>
      </c>
      <c r="C32" s="2165" t="s">
        <v>5424</v>
      </c>
      <c r="D32" s="2159">
        <v>20</v>
      </c>
      <c r="E32" s="2166">
        <v>78115</v>
      </c>
      <c r="F32" s="2167">
        <f t="shared" si="4"/>
        <v>1562300</v>
      </c>
      <c r="G32" s="2175">
        <f t="shared" si="0"/>
        <v>70304</v>
      </c>
      <c r="H32" s="2175">
        <f t="shared" si="1"/>
        <v>85927</v>
      </c>
    </row>
    <row r="33" spans="1:8" ht="16.5" x14ac:dyDescent="0.3">
      <c r="A33" s="1463" t="s">
        <v>8597</v>
      </c>
      <c r="B33" s="2164" t="s">
        <v>8536</v>
      </c>
      <c r="C33" s="2165" t="s">
        <v>5424</v>
      </c>
      <c r="D33" s="2159">
        <v>1</v>
      </c>
      <c r="E33" s="2166">
        <v>79222</v>
      </c>
      <c r="F33" s="2167">
        <f t="shared" si="4"/>
        <v>79222</v>
      </c>
      <c r="G33" s="2175">
        <f t="shared" si="0"/>
        <v>71300</v>
      </c>
      <c r="H33" s="2175">
        <f t="shared" si="1"/>
        <v>87144</v>
      </c>
    </row>
    <row r="34" spans="1:8" ht="16.5" x14ac:dyDescent="0.3">
      <c r="A34" s="1463" t="s">
        <v>8609</v>
      </c>
      <c r="B34" s="2164" t="s">
        <v>8540</v>
      </c>
      <c r="C34" s="2165" t="s">
        <v>5424</v>
      </c>
      <c r="D34" s="2159">
        <v>8</v>
      </c>
      <c r="E34" s="2166">
        <v>79222</v>
      </c>
      <c r="F34" s="2167">
        <f t="shared" si="4"/>
        <v>633776</v>
      </c>
      <c r="G34" s="2175">
        <f t="shared" si="0"/>
        <v>71300</v>
      </c>
      <c r="H34" s="2175">
        <f t="shared" si="1"/>
        <v>87144</v>
      </c>
    </row>
    <row r="35" spans="1:8" ht="16.5" x14ac:dyDescent="0.3">
      <c r="A35" s="1463" t="s">
        <v>8625</v>
      </c>
      <c r="B35" s="2164" t="s">
        <v>8498</v>
      </c>
      <c r="C35" s="2165" t="s">
        <v>5424</v>
      </c>
      <c r="D35" s="2159">
        <v>3</v>
      </c>
      <c r="E35" s="2166">
        <v>42963</v>
      </c>
      <c r="F35" s="2167">
        <f t="shared" si="4"/>
        <v>128889</v>
      </c>
      <c r="G35" s="2175">
        <f t="shared" si="0"/>
        <v>38667</v>
      </c>
      <c r="H35" s="2175">
        <f t="shared" si="1"/>
        <v>47259</v>
      </c>
    </row>
    <row r="36" spans="1:8" ht="16.5" x14ac:dyDescent="0.3">
      <c r="A36" s="1463" t="s">
        <v>8626</v>
      </c>
      <c r="B36" s="2164" t="s">
        <v>8499</v>
      </c>
      <c r="C36" s="2165" t="s">
        <v>5424</v>
      </c>
      <c r="D36" s="2159">
        <v>8</v>
      </c>
      <c r="E36" s="2166">
        <v>65469</v>
      </c>
      <c r="F36" s="2167">
        <f t="shared" si="4"/>
        <v>523752</v>
      </c>
      <c r="G36" s="2175">
        <f t="shared" si="0"/>
        <v>58922</v>
      </c>
      <c r="H36" s="2175">
        <f t="shared" si="1"/>
        <v>72016</v>
      </c>
    </row>
    <row r="37" spans="1:8" ht="16.5" x14ac:dyDescent="0.3">
      <c r="A37" s="1463" t="s">
        <v>8627</v>
      </c>
      <c r="B37" s="2164" t="s">
        <v>8272</v>
      </c>
      <c r="C37" s="2165" t="s">
        <v>5424</v>
      </c>
      <c r="D37" s="2159">
        <v>4</v>
      </c>
      <c r="E37" s="2166">
        <v>129573</v>
      </c>
      <c r="F37" s="2167">
        <f t="shared" si="4"/>
        <v>518292</v>
      </c>
      <c r="G37" s="2175">
        <f t="shared" si="0"/>
        <v>116616</v>
      </c>
      <c r="H37" s="2175">
        <f t="shared" si="1"/>
        <v>142530</v>
      </c>
    </row>
    <row r="38" spans="1:8" ht="16.5" x14ac:dyDescent="0.3">
      <c r="A38" s="1463" t="s">
        <v>8601</v>
      </c>
      <c r="B38" s="2164" t="s">
        <v>8521</v>
      </c>
      <c r="C38" s="2165" t="s">
        <v>5424</v>
      </c>
      <c r="D38" s="2159">
        <v>1</v>
      </c>
      <c r="E38" s="2166">
        <v>111058</v>
      </c>
      <c r="F38" s="2167">
        <f t="shared" si="4"/>
        <v>111058</v>
      </c>
      <c r="G38" s="2175">
        <f t="shared" si="0"/>
        <v>99952</v>
      </c>
      <c r="H38" s="2175">
        <f t="shared" si="1"/>
        <v>122164</v>
      </c>
    </row>
    <row r="39" spans="1:8" ht="16.5" x14ac:dyDescent="0.3">
      <c r="A39" s="1463" t="s">
        <v>8613</v>
      </c>
      <c r="B39" s="2164" t="s">
        <v>8525</v>
      </c>
      <c r="C39" s="2165" t="s">
        <v>5424</v>
      </c>
      <c r="D39" s="2159">
        <v>1</v>
      </c>
      <c r="E39" s="2166">
        <v>133375</v>
      </c>
      <c r="F39" s="2167">
        <f t="shared" si="4"/>
        <v>133375</v>
      </c>
      <c r="G39" s="2175">
        <f t="shared" si="0"/>
        <v>120038</v>
      </c>
      <c r="H39" s="2175">
        <f t="shared" si="1"/>
        <v>146713</v>
      </c>
    </row>
    <row r="40" spans="1:8" ht="16.5" x14ac:dyDescent="0.3">
      <c r="A40" s="1463" t="s">
        <v>8617</v>
      </c>
      <c r="B40" s="2164" t="s">
        <v>9002</v>
      </c>
      <c r="C40" s="2165" t="s">
        <v>5402</v>
      </c>
      <c r="D40" s="2159">
        <v>14</v>
      </c>
      <c r="E40" s="2166">
        <v>4240</v>
      </c>
      <c r="F40" s="2167">
        <f t="shared" si="4"/>
        <v>59360</v>
      </c>
      <c r="G40" s="2175">
        <f t="shared" si="0"/>
        <v>3816</v>
      </c>
      <c r="H40" s="2175">
        <f t="shared" si="1"/>
        <v>4664</v>
      </c>
    </row>
    <row r="41" spans="1:8" ht="16.5" x14ac:dyDescent="0.3">
      <c r="A41" s="1463" t="s">
        <v>8618</v>
      </c>
      <c r="B41" s="2164" t="s">
        <v>9003</v>
      </c>
      <c r="C41" s="2165" t="s">
        <v>5402</v>
      </c>
      <c r="D41" s="2159">
        <v>16</v>
      </c>
      <c r="E41" s="2166">
        <v>9905</v>
      </c>
      <c r="F41" s="2167">
        <f t="shared" si="4"/>
        <v>158480</v>
      </c>
      <c r="G41" s="2175">
        <f t="shared" si="0"/>
        <v>8915</v>
      </c>
      <c r="H41" s="2175">
        <f t="shared" si="1"/>
        <v>10896</v>
      </c>
    </row>
    <row r="42" spans="1:8" ht="16.5" x14ac:dyDescent="0.3">
      <c r="A42" s="1463" t="s">
        <v>8620</v>
      </c>
      <c r="B42" s="2273" t="s">
        <v>9837</v>
      </c>
      <c r="C42" s="2165" t="s">
        <v>5402</v>
      </c>
      <c r="D42" s="2159">
        <v>22.2</v>
      </c>
      <c r="E42" s="2166">
        <v>13645</v>
      </c>
      <c r="F42" s="2167">
        <f t="shared" si="4"/>
        <v>302919</v>
      </c>
      <c r="G42" s="2175">
        <f t="shared" si="0"/>
        <v>12281</v>
      </c>
      <c r="H42" s="2175">
        <f t="shared" si="1"/>
        <v>15010</v>
      </c>
    </row>
    <row r="43" spans="1:8" ht="16.5" x14ac:dyDescent="0.3">
      <c r="A43" s="1439" t="s">
        <v>8605</v>
      </c>
      <c r="B43" s="2164" t="s">
        <v>9822</v>
      </c>
      <c r="C43" s="2165" t="s">
        <v>5424</v>
      </c>
      <c r="D43" s="2159">
        <v>4</v>
      </c>
      <c r="E43" s="2166">
        <v>11453</v>
      </c>
      <c r="F43" s="2167">
        <f t="shared" si="4"/>
        <v>45812</v>
      </c>
      <c r="G43" s="2175">
        <f t="shared" si="0"/>
        <v>10308</v>
      </c>
      <c r="H43" s="2175">
        <f t="shared" si="1"/>
        <v>12598</v>
      </c>
    </row>
    <row r="44" spans="1:8" ht="16.5" x14ac:dyDescent="0.3">
      <c r="A44" s="1439" t="s">
        <v>8606</v>
      </c>
      <c r="B44" s="2164" t="s">
        <v>9823</v>
      </c>
      <c r="C44" s="2165" t="s">
        <v>5424</v>
      </c>
      <c r="D44" s="2159">
        <v>4</v>
      </c>
      <c r="E44" s="2166">
        <v>11453</v>
      </c>
      <c r="F44" s="2167">
        <f t="shared" si="4"/>
        <v>45812</v>
      </c>
      <c r="G44" s="2175">
        <f t="shared" si="0"/>
        <v>10308</v>
      </c>
      <c r="H44" s="2175">
        <f t="shared" si="1"/>
        <v>12598</v>
      </c>
    </row>
    <row r="45" spans="1:8" ht="16.5" x14ac:dyDescent="0.3">
      <c r="A45" s="1439" t="s">
        <v>8607</v>
      </c>
      <c r="B45" s="2164" t="s">
        <v>9824</v>
      </c>
      <c r="C45" s="2165" t="s">
        <v>5424</v>
      </c>
      <c r="D45" s="2159">
        <v>4</v>
      </c>
      <c r="E45" s="2166">
        <v>4249977</v>
      </c>
      <c r="F45" s="2167">
        <f t="shared" si="4"/>
        <v>16999908</v>
      </c>
      <c r="G45" s="2175">
        <f t="shared" si="0"/>
        <v>3824979</v>
      </c>
      <c r="H45" s="2175">
        <f t="shared" si="1"/>
        <v>4674975</v>
      </c>
    </row>
    <row r="46" spans="1:8" ht="16.5" x14ac:dyDescent="0.3">
      <c r="A46" s="1439" t="s">
        <v>8610</v>
      </c>
      <c r="B46" s="2164" t="s">
        <v>9825</v>
      </c>
      <c r="C46" s="2165" t="s">
        <v>5424</v>
      </c>
      <c r="D46" s="2159">
        <v>1</v>
      </c>
      <c r="E46" s="2166">
        <v>546600</v>
      </c>
      <c r="F46" s="2167">
        <f t="shared" si="4"/>
        <v>546600</v>
      </c>
      <c r="G46" s="2175">
        <f t="shared" si="0"/>
        <v>491940</v>
      </c>
      <c r="H46" s="2175">
        <f t="shared" si="1"/>
        <v>601260</v>
      </c>
    </row>
    <row r="47" spans="1:8" ht="16.5" x14ac:dyDescent="0.3">
      <c r="A47" s="1463"/>
      <c r="B47" s="885" t="s">
        <v>9387</v>
      </c>
      <c r="C47" s="849"/>
      <c r="D47" s="845"/>
      <c r="E47" s="846"/>
      <c r="F47" s="847"/>
      <c r="G47" s="847"/>
      <c r="H47" s="847"/>
    </row>
    <row r="48" spans="1:8" ht="16.5" x14ac:dyDescent="0.3">
      <c r="A48" s="1463" t="s">
        <v>5458</v>
      </c>
      <c r="B48" s="1449" t="s">
        <v>5968</v>
      </c>
      <c r="C48" s="853" t="s">
        <v>6858</v>
      </c>
      <c r="D48" s="893">
        <v>4.84</v>
      </c>
      <c r="E48" s="2064">
        <v>24270</v>
      </c>
      <c r="F48" s="2065">
        <f t="shared" si="4"/>
        <v>117467</v>
      </c>
      <c r="G48" s="2175">
        <f t="shared" si="0"/>
        <v>21843</v>
      </c>
      <c r="H48" s="2175">
        <f t="shared" si="1"/>
        <v>26697</v>
      </c>
    </row>
    <row r="49" spans="1:8" ht="16.5" x14ac:dyDescent="0.3">
      <c r="A49" s="1463" t="s">
        <v>97</v>
      </c>
      <c r="B49" s="1074" t="s">
        <v>9819</v>
      </c>
      <c r="C49" s="853" t="s">
        <v>6858</v>
      </c>
      <c r="D49" s="893">
        <v>0.35</v>
      </c>
      <c r="E49" s="2064">
        <v>52233</v>
      </c>
      <c r="F49" s="2065">
        <f t="shared" si="4"/>
        <v>18282</v>
      </c>
      <c r="G49" s="2175">
        <f t="shared" si="0"/>
        <v>47010</v>
      </c>
      <c r="H49" s="2175">
        <f t="shared" si="1"/>
        <v>57456</v>
      </c>
    </row>
    <row r="50" spans="1:8" ht="16.5" x14ac:dyDescent="0.3">
      <c r="A50" s="1463" t="s">
        <v>5976</v>
      </c>
      <c r="B50" s="838" t="s">
        <v>9826</v>
      </c>
      <c r="C50" s="853" t="s">
        <v>6858</v>
      </c>
      <c r="D50" s="893">
        <v>30</v>
      </c>
      <c r="E50" s="2064">
        <v>34912</v>
      </c>
      <c r="F50" s="2065">
        <f t="shared" si="4"/>
        <v>1047360</v>
      </c>
      <c r="G50" s="2175">
        <f t="shared" si="0"/>
        <v>31421</v>
      </c>
      <c r="H50" s="2175">
        <f t="shared" si="1"/>
        <v>38403</v>
      </c>
    </row>
    <row r="51" spans="1:8" ht="16.5" x14ac:dyDescent="0.3">
      <c r="A51" s="1463" t="s">
        <v>873</v>
      </c>
      <c r="B51" s="1449" t="s">
        <v>7937</v>
      </c>
      <c r="C51" s="853" t="s">
        <v>6858</v>
      </c>
      <c r="D51" s="893">
        <v>0.11</v>
      </c>
      <c r="E51" s="2064">
        <v>396261</v>
      </c>
      <c r="F51" s="2065">
        <f t="shared" si="4"/>
        <v>43589</v>
      </c>
      <c r="G51" s="2175">
        <f t="shared" si="0"/>
        <v>356635</v>
      </c>
      <c r="H51" s="2175">
        <f t="shared" si="1"/>
        <v>435887</v>
      </c>
    </row>
    <row r="52" spans="1:8" ht="33" x14ac:dyDescent="0.25">
      <c r="A52" s="1463" t="s">
        <v>8575</v>
      </c>
      <c r="B52" s="1464" t="s">
        <v>9397</v>
      </c>
      <c r="C52" s="1460" t="s">
        <v>6858</v>
      </c>
      <c r="D52" s="1075">
        <v>0.44</v>
      </c>
      <c r="E52" s="2066">
        <v>613345</v>
      </c>
      <c r="F52" s="2068">
        <f t="shared" si="4"/>
        <v>269872</v>
      </c>
      <c r="G52" s="2176">
        <f t="shared" si="0"/>
        <v>552011</v>
      </c>
      <c r="H52" s="2176">
        <f t="shared" si="1"/>
        <v>674680</v>
      </c>
    </row>
    <row r="53" spans="1:8" ht="16.5" x14ac:dyDescent="0.3">
      <c r="A53" s="1463" t="s">
        <v>8577</v>
      </c>
      <c r="B53" s="1449" t="s">
        <v>9399</v>
      </c>
      <c r="C53" s="853" t="s">
        <v>6858</v>
      </c>
      <c r="D53" s="893">
        <v>0.44</v>
      </c>
      <c r="E53" s="2064">
        <v>612002</v>
      </c>
      <c r="F53" s="2065">
        <f t="shared" si="4"/>
        <v>269281</v>
      </c>
      <c r="G53" s="2175">
        <f t="shared" si="0"/>
        <v>550802</v>
      </c>
      <c r="H53" s="2175">
        <f t="shared" si="1"/>
        <v>673202</v>
      </c>
    </row>
    <row r="54" spans="1:8" ht="16.5" x14ac:dyDescent="0.3">
      <c r="A54" s="1463" t="s">
        <v>8574</v>
      </c>
      <c r="B54" s="1449" t="s">
        <v>9004</v>
      </c>
      <c r="C54" s="853" t="s">
        <v>5556</v>
      </c>
      <c r="D54" s="893">
        <v>546.1</v>
      </c>
      <c r="E54" s="2064">
        <v>13923</v>
      </c>
      <c r="F54" s="2065">
        <f t="shared" si="4"/>
        <v>7603350</v>
      </c>
      <c r="G54" s="2175">
        <f t="shared" si="0"/>
        <v>12531</v>
      </c>
      <c r="H54" s="2175">
        <f t="shared" si="1"/>
        <v>15315</v>
      </c>
    </row>
    <row r="55" spans="1:8" ht="16.5" x14ac:dyDescent="0.3">
      <c r="A55" s="1463" t="s">
        <v>779</v>
      </c>
      <c r="B55" s="1449" t="s">
        <v>6685</v>
      </c>
      <c r="C55" s="853" t="s">
        <v>5424</v>
      </c>
      <c r="D55" s="893">
        <v>4</v>
      </c>
      <c r="E55" s="2064">
        <v>123581</v>
      </c>
      <c r="F55" s="2065">
        <f t="shared" si="4"/>
        <v>494324</v>
      </c>
      <c r="G55" s="2175">
        <f t="shared" si="0"/>
        <v>111223</v>
      </c>
      <c r="H55" s="2175">
        <f t="shared" si="1"/>
        <v>135939</v>
      </c>
    </row>
    <row r="56" spans="1:8" ht="16.5" x14ac:dyDescent="0.3">
      <c r="A56" s="1463" t="s">
        <v>780</v>
      </c>
      <c r="B56" s="1449" t="s">
        <v>9827</v>
      </c>
      <c r="C56" s="853" t="s">
        <v>5402</v>
      </c>
      <c r="D56" s="893">
        <v>110.43</v>
      </c>
      <c r="E56" s="2064">
        <v>270740</v>
      </c>
      <c r="F56" s="2065">
        <f t="shared" si="4"/>
        <v>29897818</v>
      </c>
      <c r="G56" s="2175">
        <f t="shared" si="0"/>
        <v>243666</v>
      </c>
      <c r="H56" s="2175">
        <f t="shared" si="1"/>
        <v>297814</v>
      </c>
    </row>
    <row r="57" spans="1:8" ht="18.75" customHeight="1" x14ac:dyDescent="0.3">
      <c r="A57" s="1463" t="s">
        <v>5585</v>
      </c>
      <c r="B57" s="1435" t="s">
        <v>7929</v>
      </c>
      <c r="C57" s="853" t="s">
        <v>5424</v>
      </c>
      <c r="D57" s="893">
        <v>18</v>
      </c>
      <c r="E57" s="2064">
        <v>29456</v>
      </c>
      <c r="F57" s="2065">
        <f t="shared" si="4"/>
        <v>530208</v>
      </c>
      <c r="G57" s="2175">
        <f t="shared" si="0"/>
        <v>26510</v>
      </c>
      <c r="H57" s="2175">
        <f t="shared" si="1"/>
        <v>32402</v>
      </c>
    </row>
    <row r="58" spans="1:8" ht="16.5" x14ac:dyDescent="0.3">
      <c r="A58" s="1463" t="s">
        <v>5587</v>
      </c>
      <c r="B58" s="838" t="s">
        <v>9828</v>
      </c>
      <c r="C58" s="853" t="s">
        <v>5402</v>
      </c>
      <c r="D58" s="893">
        <v>9.6</v>
      </c>
      <c r="E58" s="2064">
        <v>405493</v>
      </c>
      <c r="F58" s="2065">
        <f t="shared" si="4"/>
        <v>3892733</v>
      </c>
      <c r="G58" s="2175">
        <f t="shared" si="0"/>
        <v>364944</v>
      </c>
      <c r="H58" s="2175">
        <f>+ROUND(E58*1.1,0)</f>
        <v>446042</v>
      </c>
    </row>
    <row r="59" spans="1:8" ht="16.5" x14ac:dyDescent="0.3">
      <c r="A59" s="1508"/>
      <c r="B59" s="1035"/>
      <c r="C59" s="2322" t="s">
        <v>8068</v>
      </c>
      <c r="D59" s="2322"/>
      <c r="E59" s="2322"/>
      <c r="F59" s="2092">
        <f>+ROUND(SUM(F7:F58),0)</f>
        <v>118123155</v>
      </c>
    </row>
    <row r="60" spans="1:8" ht="16.5" x14ac:dyDescent="0.3">
      <c r="A60" s="2323"/>
      <c r="B60" s="2324"/>
      <c r="C60" s="2324"/>
      <c r="D60" s="2324"/>
      <c r="E60" s="2324"/>
      <c r="F60" s="2325"/>
    </row>
    <row r="61" spans="1:8" ht="16.5" x14ac:dyDescent="0.3">
      <c r="A61" s="2321" t="s">
        <v>8351</v>
      </c>
      <c r="B61" s="2321"/>
      <c r="C61" s="947" t="s">
        <v>6616</v>
      </c>
      <c r="D61" s="2062" t="s">
        <v>6617</v>
      </c>
      <c r="E61" s="948" t="s">
        <v>6618</v>
      </c>
      <c r="F61" s="949" t="s">
        <v>9831</v>
      </c>
      <c r="G61" s="949" t="s">
        <v>9864</v>
      </c>
      <c r="H61" s="949" t="s">
        <v>9865</v>
      </c>
    </row>
    <row r="62" spans="1:8" ht="16.5" x14ac:dyDescent="0.3">
      <c r="A62" s="1463" t="s">
        <v>8698</v>
      </c>
      <c r="B62" s="2168" t="s">
        <v>9129</v>
      </c>
      <c r="C62" s="1450" t="s">
        <v>5424</v>
      </c>
      <c r="D62" s="893">
        <v>1</v>
      </c>
      <c r="E62" s="850">
        <v>2564099</v>
      </c>
      <c r="F62" s="854">
        <f t="shared" ref="F62:F100" si="5">+ROUNDUP(E62*D62,1)</f>
        <v>2564099</v>
      </c>
      <c r="G62" s="2176">
        <f t="shared" ref="G62" si="6">+ROUND(E62*0.9,0)</f>
        <v>2307689</v>
      </c>
      <c r="H62" s="2176">
        <f t="shared" ref="H62" si="7">+ROUND(E62*1.1,0)</f>
        <v>2820509</v>
      </c>
    </row>
    <row r="63" spans="1:8" ht="16.5" x14ac:dyDescent="0.3">
      <c r="A63" s="1463" t="s">
        <v>8704</v>
      </c>
      <c r="B63" s="2169" t="s">
        <v>9161</v>
      </c>
      <c r="C63" s="1450" t="s">
        <v>5424</v>
      </c>
      <c r="D63" s="893">
        <v>2</v>
      </c>
      <c r="E63" s="850">
        <v>1661648</v>
      </c>
      <c r="F63" s="854">
        <f t="shared" si="5"/>
        <v>3323296</v>
      </c>
      <c r="G63" s="2176">
        <f t="shared" ref="G63:G103" si="8">+ROUND(E63*0.9,0)</f>
        <v>1495483</v>
      </c>
      <c r="H63" s="2176">
        <f t="shared" ref="H63:H103" si="9">+ROUND(E63*1.1,0)</f>
        <v>1827813</v>
      </c>
    </row>
    <row r="64" spans="1:8" ht="16.5" x14ac:dyDescent="0.3">
      <c r="A64" s="1463" t="s">
        <v>8708</v>
      </c>
      <c r="B64" s="2168" t="s">
        <v>9166</v>
      </c>
      <c r="C64" s="1450" t="s">
        <v>5424</v>
      </c>
      <c r="D64" s="893">
        <v>2</v>
      </c>
      <c r="E64" s="850">
        <v>3995901</v>
      </c>
      <c r="F64" s="854">
        <f t="shared" si="5"/>
        <v>7991802</v>
      </c>
      <c r="G64" s="2176">
        <f t="shared" si="8"/>
        <v>3596311</v>
      </c>
      <c r="H64" s="2176">
        <f t="shared" si="9"/>
        <v>4395491</v>
      </c>
    </row>
    <row r="65" spans="1:8" ht="16.5" x14ac:dyDescent="0.3">
      <c r="A65" s="1463" t="s">
        <v>8710</v>
      </c>
      <c r="B65" s="2168" t="s">
        <v>9149</v>
      </c>
      <c r="C65" s="1450" t="s">
        <v>5424</v>
      </c>
      <c r="D65" s="893">
        <v>1</v>
      </c>
      <c r="E65" s="850">
        <v>270808</v>
      </c>
      <c r="F65" s="854">
        <f t="shared" si="5"/>
        <v>270808</v>
      </c>
      <c r="G65" s="2176">
        <f t="shared" si="8"/>
        <v>243727</v>
      </c>
      <c r="H65" s="2176">
        <f t="shared" si="9"/>
        <v>297889</v>
      </c>
    </row>
    <row r="66" spans="1:8" ht="16.5" x14ac:dyDescent="0.3">
      <c r="A66" s="1463" t="s">
        <v>8715</v>
      </c>
      <c r="B66" s="2168" t="s">
        <v>9153</v>
      </c>
      <c r="C66" s="1450" t="s">
        <v>5424</v>
      </c>
      <c r="D66" s="893">
        <v>16</v>
      </c>
      <c r="E66" s="850">
        <v>522791</v>
      </c>
      <c r="F66" s="854">
        <f t="shared" si="5"/>
        <v>8364656</v>
      </c>
      <c r="G66" s="2176">
        <f t="shared" si="8"/>
        <v>470512</v>
      </c>
      <c r="H66" s="2176">
        <f t="shared" si="9"/>
        <v>575070</v>
      </c>
    </row>
    <row r="67" spans="1:8" ht="16.5" x14ac:dyDescent="0.3">
      <c r="A67" s="1463" t="s">
        <v>8730</v>
      </c>
      <c r="B67" s="2168" t="s">
        <v>9155</v>
      </c>
      <c r="C67" s="1450" t="s">
        <v>5424</v>
      </c>
      <c r="D67" s="893">
        <v>4</v>
      </c>
      <c r="E67" s="850">
        <v>1403876</v>
      </c>
      <c r="F67" s="854">
        <f t="shared" si="5"/>
        <v>5615504</v>
      </c>
      <c r="G67" s="2176">
        <f t="shared" si="8"/>
        <v>1263488</v>
      </c>
      <c r="H67" s="2176">
        <f t="shared" si="9"/>
        <v>1544264</v>
      </c>
    </row>
    <row r="68" spans="1:8" ht="16.5" x14ac:dyDescent="0.3">
      <c r="A68" s="1463" t="s">
        <v>8733</v>
      </c>
      <c r="B68" s="2168" t="s">
        <v>9156</v>
      </c>
      <c r="C68" s="1450" t="s">
        <v>5424</v>
      </c>
      <c r="D68" s="893">
        <v>4</v>
      </c>
      <c r="E68" s="850">
        <v>14778564</v>
      </c>
      <c r="F68" s="854">
        <f t="shared" si="5"/>
        <v>59114256</v>
      </c>
      <c r="G68" s="2176">
        <f t="shared" si="8"/>
        <v>13300708</v>
      </c>
      <c r="H68" s="2176">
        <f t="shared" si="9"/>
        <v>16256420</v>
      </c>
    </row>
    <row r="69" spans="1:8" ht="16.5" x14ac:dyDescent="0.3">
      <c r="A69" s="1463" t="s">
        <v>8735</v>
      </c>
      <c r="B69" s="2170" t="s">
        <v>9128</v>
      </c>
      <c r="C69" s="1450" t="s">
        <v>5424</v>
      </c>
      <c r="D69" s="893">
        <v>4</v>
      </c>
      <c r="E69" s="850">
        <v>741632</v>
      </c>
      <c r="F69" s="854">
        <f t="shared" si="5"/>
        <v>2966528</v>
      </c>
      <c r="G69" s="2176">
        <f t="shared" si="8"/>
        <v>667469</v>
      </c>
      <c r="H69" s="2176">
        <f t="shared" si="9"/>
        <v>815795</v>
      </c>
    </row>
    <row r="70" spans="1:8" ht="16.5" x14ac:dyDescent="0.3">
      <c r="A70" s="1463" t="s">
        <v>8736</v>
      </c>
      <c r="B70" s="2170" t="s">
        <v>9127</v>
      </c>
      <c r="C70" s="1450" t="s">
        <v>5424</v>
      </c>
      <c r="D70" s="893">
        <v>4</v>
      </c>
      <c r="E70" s="850">
        <v>150435</v>
      </c>
      <c r="F70" s="854">
        <f t="shared" si="5"/>
        <v>601740</v>
      </c>
      <c r="G70" s="2176">
        <f t="shared" si="8"/>
        <v>135392</v>
      </c>
      <c r="H70" s="2176">
        <f t="shared" si="9"/>
        <v>165479</v>
      </c>
    </row>
    <row r="71" spans="1:8" ht="16.5" x14ac:dyDescent="0.3">
      <c r="A71" s="1463" t="s">
        <v>8737</v>
      </c>
      <c r="B71" s="2168" t="s">
        <v>9130</v>
      </c>
      <c r="C71" s="1450" t="s">
        <v>5424</v>
      </c>
      <c r="D71" s="893">
        <v>2</v>
      </c>
      <c r="E71" s="850">
        <v>2396392</v>
      </c>
      <c r="F71" s="1078">
        <f t="shared" si="5"/>
        <v>4792784</v>
      </c>
      <c r="G71" s="2176">
        <f t="shared" si="8"/>
        <v>2156753</v>
      </c>
      <c r="H71" s="2176">
        <f t="shared" si="9"/>
        <v>2636031</v>
      </c>
    </row>
    <row r="72" spans="1:8" ht="16.5" x14ac:dyDescent="0.3">
      <c r="A72" s="1463" t="s">
        <v>8738</v>
      </c>
      <c r="B72" s="2168" t="s">
        <v>9131</v>
      </c>
      <c r="C72" s="1450" t="s">
        <v>5424</v>
      </c>
      <c r="D72" s="893">
        <v>2</v>
      </c>
      <c r="E72" s="850">
        <v>4792785</v>
      </c>
      <c r="F72" s="854">
        <f t="shared" si="5"/>
        <v>9585570</v>
      </c>
      <c r="G72" s="2176">
        <f t="shared" si="8"/>
        <v>4313507</v>
      </c>
      <c r="H72" s="2176">
        <f t="shared" si="9"/>
        <v>5272064</v>
      </c>
    </row>
    <row r="73" spans="1:8" ht="16.5" x14ac:dyDescent="0.3">
      <c r="A73" s="1463" t="s">
        <v>8739</v>
      </c>
      <c r="B73" s="2169" t="s">
        <v>9133</v>
      </c>
      <c r="C73" s="1450" t="s">
        <v>5424</v>
      </c>
      <c r="D73" s="893">
        <v>4</v>
      </c>
      <c r="E73" s="850">
        <v>2514244</v>
      </c>
      <c r="F73" s="854">
        <f t="shared" si="5"/>
        <v>10056976</v>
      </c>
      <c r="G73" s="2176">
        <f t="shared" si="8"/>
        <v>2262820</v>
      </c>
      <c r="H73" s="2176">
        <f t="shared" si="9"/>
        <v>2765668</v>
      </c>
    </row>
    <row r="74" spans="1:8" ht="16.5" x14ac:dyDescent="0.3">
      <c r="A74" s="1463" t="s">
        <v>8740</v>
      </c>
      <c r="B74" s="2169" t="s">
        <v>9317</v>
      </c>
      <c r="C74" s="1450" t="s">
        <v>5424</v>
      </c>
      <c r="D74" s="893">
        <v>16</v>
      </c>
      <c r="E74" s="850">
        <v>5028488</v>
      </c>
      <c r="F74" s="854">
        <f t="shared" si="5"/>
        <v>80455808</v>
      </c>
      <c r="G74" s="2176">
        <f t="shared" si="8"/>
        <v>4525639</v>
      </c>
      <c r="H74" s="2176">
        <f t="shared" si="9"/>
        <v>5531337</v>
      </c>
    </row>
    <row r="75" spans="1:8" ht="16.5" x14ac:dyDescent="0.3">
      <c r="A75" s="1463" t="s">
        <v>8743</v>
      </c>
      <c r="B75" s="2169" t="s">
        <v>9299</v>
      </c>
      <c r="C75" s="1450" t="s">
        <v>5424</v>
      </c>
      <c r="D75" s="893">
        <v>1</v>
      </c>
      <c r="E75" s="850">
        <v>1883621</v>
      </c>
      <c r="F75" s="854">
        <f t="shared" si="5"/>
        <v>1883621</v>
      </c>
      <c r="G75" s="2176">
        <f t="shared" si="8"/>
        <v>1695259</v>
      </c>
      <c r="H75" s="2176">
        <f t="shared" si="9"/>
        <v>2071983</v>
      </c>
    </row>
    <row r="76" spans="1:8" ht="16.5" x14ac:dyDescent="0.3">
      <c r="A76" s="1463" t="s">
        <v>8744</v>
      </c>
      <c r="B76" s="2169" t="s">
        <v>9135</v>
      </c>
      <c r="C76" s="1450" t="s">
        <v>5424</v>
      </c>
      <c r="D76" s="893">
        <v>1</v>
      </c>
      <c r="E76" s="850">
        <v>415364</v>
      </c>
      <c r="F76" s="854">
        <f t="shared" si="5"/>
        <v>415364</v>
      </c>
      <c r="G76" s="2176">
        <f t="shared" si="8"/>
        <v>373828</v>
      </c>
      <c r="H76" s="2176">
        <f t="shared" si="9"/>
        <v>456900</v>
      </c>
    </row>
    <row r="77" spans="1:8" ht="16.5" x14ac:dyDescent="0.3">
      <c r="A77" s="1463" t="s">
        <v>8758</v>
      </c>
      <c r="B77" s="2169" t="s">
        <v>9164</v>
      </c>
      <c r="C77" s="1450" t="s">
        <v>5424</v>
      </c>
      <c r="D77" s="893">
        <v>1</v>
      </c>
      <c r="E77" s="850">
        <v>355845</v>
      </c>
      <c r="F77" s="854">
        <f t="shared" si="5"/>
        <v>355845</v>
      </c>
      <c r="G77" s="2176">
        <f t="shared" si="8"/>
        <v>320261</v>
      </c>
      <c r="H77" s="2176">
        <f t="shared" si="9"/>
        <v>391430</v>
      </c>
    </row>
    <row r="78" spans="1:8" ht="16.5" x14ac:dyDescent="0.25">
      <c r="A78" s="1463" t="s">
        <v>8769</v>
      </c>
      <c r="B78" s="2168" t="s">
        <v>9137</v>
      </c>
      <c r="C78" s="1450" t="s">
        <v>5424</v>
      </c>
      <c r="D78" s="1075">
        <v>1</v>
      </c>
      <c r="E78" s="1077">
        <v>3008171</v>
      </c>
      <c r="F78" s="1078">
        <f t="shared" si="5"/>
        <v>3008171</v>
      </c>
      <c r="G78" s="2176">
        <f t="shared" si="8"/>
        <v>2707354</v>
      </c>
      <c r="H78" s="2176">
        <f t="shared" si="9"/>
        <v>3308988</v>
      </c>
    </row>
    <row r="79" spans="1:8" ht="25.5" x14ac:dyDescent="0.25">
      <c r="A79" s="1463" t="s">
        <v>8775</v>
      </c>
      <c r="B79" s="2168" t="s">
        <v>9668</v>
      </c>
      <c r="C79" s="1450" t="s">
        <v>5424</v>
      </c>
      <c r="D79" s="1075">
        <v>16</v>
      </c>
      <c r="E79" s="1077">
        <v>506048</v>
      </c>
      <c r="F79" s="1078">
        <f t="shared" si="5"/>
        <v>8096768</v>
      </c>
      <c r="G79" s="2176">
        <f t="shared" si="8"/>
        <v>455443</v>
      </c>
      <c r="H79" s="2176">
        <f t="shared" si="9"/>
        <v>556653</v>
      </c>
    </row>
    <row r="80" spans="1:8" ht="34.5" customHeight="1" x14ac:dyDescent="0.3">
      <c r="A80" s="1463" t="s">
        <v>8787</v>
      </c>
      <c r="B80" s="2171" t="s">
        <v>9669</v>
      </c>
      <c r="C80" s="1450" t="s">
        <v>5424</v>
      </c>
      <c r="D80" s="1075">
        <v>1</v>
      </c>
      <c r="E80" s="1077">
        <v>768625</v>
      </c>
      <c r="F80" s="1078">
        <f t="shared" si="5"/>
        <v>768625</v>
      </c>
      <c r="G80" s="2176">
        <f t="shared" si="8"/>
        <v>691763</v>
      </c>
      <c r="H80" s="2176">
        <f t="shared" si="9"/>
        <v>845488</v>
      </c>
    </row>
    <row r="81" spans="1:8" ht="16.5" x14ac:dyDescent="0.3">
      <c r="A81" s="1463" t="s">
        <v>8811</v>
      </c>
      <c r="B81" s="2169" t="s">
        <v>9162</v>
      </c>
      <c r="C81" s="1450" t="s">
        <v>5424</v>
      </c>
      <c r="D81" s="893">
        <v>4</v>
      </c>
      <c r="E81" s="850">
        <v>394717</v>
      </c>
      <c r="F81" s="854">
        <f t="shared" si="5"/>
        <v>1578868</v>
      </c>
      <c r="G81" s="2176">
        <f t="shared" si="8"/>
        <v>355245</v>
      </c>
      <c r="H81" s="2176">
        <f t="shared" si="9"/>
        <v>434189</v>
      </c>
    </row>
    <row r="82" spans="1:8" ht="16.5" x14ac:dyDescent="0.3">
      <c r="A82" s="1463" t="s">
        <v>8814</v>
      </c>
      <c r="B82" s="2168" t="s">
        <v>9136</v>
      </c>
      <c r="C82" s="1450" t="s">
        <v>5424</v>
      </c>
      <c r="D82" s="893">
        <v>6</v>
      </c>
      <c r="E82" s="850">
        <v>1176257</v>
      </c>
      <c r="F82" s="854">
        <f t="shared" si="5"/>
        <v>7057542</v>
      </c>
      <c r="G82" s="2176">
        <f t="shared" si="8"/>
        <v>1058631</v>
      </c>
      <c r="H82" s="2176">
        <f t="shared" si="9"/>
        <v>1293883</v>
      </c>
    </row>
    <row r="83" spans="1:8" ht="16.5" x14ac:dyDescent="0.3">
      <c r="A83" s="1463" t="s">
        <v>8823</v>
      </c>
      <c r="B83" s="2172" t="s">
        <v>9355</v>
      </c>
      <c r="C83" s="1450" t="s">
        <v>5424</v>
      </c>
      <c r="D83" s="893">
        <v>2</v>
      </c>
      <c r="E83" s="850">
        <v>1064387</v>
      </c>
      <c r="F83" s="854">
        <f t="shared" si="5"/>
        <v>2128774</v>
      </c>
      <c r="G83" s="2176">
        <f t="shared" si="8"/>
        <v>957948</v>
      </c>
      <c r="H83" s="2176">
        <f t="shared" si="9"/>
        <v>1170826</v>
      </c>
    </row>
    <row r="84" spans="1:8" ht="16.5" x14ac:dyDescent="0.3">
      <c r="A84" s="1463" t="s">
        <v>8826</v>
      </c>
      <c r="B84" s="2173" t="s">
        <v>9157</v>
      </c>
      <c r="C84" s="1450" t="s">
        <v>5424</v>
      </c>
      <c r="D84" s="893">
        <v>1</v>
      </c>
      <c r="E84" s="850">
        <v>2034061</v>
      </c>
      <c r="F84" s="854">
        <f t="shared" si="5"/>
        <v>2034061</v>
      </c>
      <c r="G84" s="2176">
        <f t="shared" si="8"/>
        <v>1830655</v>
      </c>
      <c r="H84" s="2176">
        <f t="shared" si="9"/>
        <v>2237467</v>
      </c>
    </row>
    <row r="85" spans="1:8" ht="16.5" x14ac:dyDescent="0.3">
      <c r="A85" s="1463" t="s">
        <v>8827</v>
      </c>
      <c r="B85" s="2173" t="s">
        <v>9158</v>
      </c>
      <c r="C85" s="1450" t="s">
        <v>5424</v>
      </c>
      <c r="D85" s="893">
        <v>1</v>
      </c>
      <c r="E85" s="850">
        <v>2566723</v>
      </c>
      <c r="F85" s="854">
        <f t="shared" si="5"/>
        <v>2566723</v>
      </c>
      <c r="G85" s="2176">
        <f t="shared" si="8"/>
        <v>2310051</v>
      </c>
      <c r="H85" s="2176">
        <f t="shared" si="9"/>
        <v>2823395</v>
      </c>
    </row>
    <row r="86" spans="1:8" ht="16.5" x14ac:dyDescent="0.3">
      <c r="A86" s="1463" t="s">
        <v>8831</v>
      </c>
      <c r="B86" s="2172" t="s">
        <v>9115</v>
      </c>
      <c r="C86" s="1450" t="s">
        <v>5424</v>
      </c>
      <c r="D86" s="893">
        <v>1</v>
      </c>
      <c r="E86" s="850">
        <v>18944919</v>
      </c>
      <c r="F86" s="854">
        <f t="shared" si="5"/>
        <v>18944919</v>
      </c>
      <c r="G86" s="2176">
        <f t="shared" si="8"/>
        <v>17050427</v>
      </c>
      <c r="H86" s="2176">
        <f t="shared" si="9"/>
        <v>20839411</v>
      </c>
    </row>
    <row r="87" spans="1:8" ht="16.5" x14ac:dyDescent="0.3">
      <c r="A87" s="1463" t="s">
        <v>8834</v>
      </c>
      <c r="B87" s="2162" t="s">
        <v>9132</v>
      </c>
      <c r="C87" s="1450" t="s">
        <v>5424</v>
      </c>
      <c r="D87" s="893">
        <v>4</v>
      </c>
      <c r="E87" s="850">
        <v>215414</v>
      </c>
      <c r="F87" s="854">
        <f t="shared" si="5"/>
        <v>861656</v>
      </c>
      <c r="G87" s="2176">
        <f t="shared" si="8"/>
        <v>193873</v>
      </c>
      <c r="H87" s="2176">
        <f t="shared" si="9"/>
        <v>236955</v>
      </c>
    </row>
    <row r="88" spans="1:8" ht="26.25" x14ac:dyDescent="0.25">
      <c r="A88" s="1463" t="s">
        <v>8782</v>
      </c>
      <c r="B88" s="2169" t="s">
        <v>9680</v>
      </c>
      <c r="C88" s="1450" t="s">
        <v>5424</v>
      </c>
      <c r="D88" s="1075">
        <v>1</v>
      </c>
      <c r="E88" s="1077">
        <v>640521</v>
      </c>
      <c r="F88" s="1078">
        <f t="shared" si="5"/>
        <v>640521</v>
      </c>
      <c r="G88" s="2176">
        <f t="shared" si="8"/>
        <v>576469</v>
      </c>
      <c r="H88" s="2176">
        <f t="shared" si="9"/>
        <v>704573</v>
      </c>
    </row>
    <row r="89" spans="1:8" ht="16.5" x14ac:dyDescent="0.3">
      <c r="A89" s="1463" t="s">
        <v>8839</v>
      </c>
      <c r="B89" s="2168" t="s">
        <v>9139</v>
      </c>
      <c r="C89" s="1450" t="s">
        <v>5424</v>
      </c>
      <c r="D89" s="893">
        <v>1</v>
      </c>
      <c r="E89" s="850">
        <v>551030</v>
      </c>
      <c r="F89" s="854">
        <f t="shared" si="5"/>
        <v>551030</v>
      </c>
      <c r="G89" s="2176">
        <f t="shared" si="8"/>
        <v>495927</v>
      </c>
      <c r="H89" s="2176">
        <f t="shared" si="9"/>
        <v>606133</v>
      </c>
    </row>
    <row r="90" spans="1:8" ht="16.5" x14ac:dyDescent="0.3">
      <c r="A90" s="1463" t="s">
        <v>8842</v>
      </c>
      <c r="B90" s="2168" t="s">
        <v>9140</v>
      </c>
      <c r="C90" s="1450" t="s">
        <v>5424</v>
      </c>
      <c r="D90" s="893">
        <v>2</v>
      </c>
      <c r="E90" s="850">
        <v>2179190</v>
      </c>
      <c r="F90" s="854">
        <f t="shared" si="5"/>
        <v>4358380</v>
      </c>
      <c r="G90" s="2176">
        <f t="shared" si="8"/>
        <v>1961271</v>
      </c>
      <c r="H90" s="2176">
        <f t="shared" si="9"/>
        <v>2397109</v>
      </c>
    </row>
    <row r="91" spans="1:8" ht="16.5" x14ac:dyDescent="0.3">
      <c r="A91" s="1463" t="s">
        <v>8843</v>
      </c>
      <c r="B91" s="2168" t="s">
        <v>9141</v>
      </c>
      <c r="C91" s="1450" t="s">
        <v>5424</v>
      </c>
      <c r="D91" s="893">
        <v>1</v>
      </c>
      <c r="E91" s="850">
        <v>3262257</v>
      </c>
      <c r="F91" s="854">
        <f t="shared" si="5"/>
        <v>3262257</v>
      </c>
      <c r="G91" s="2176">
        <f t="shared" si="8"/>
        <v>2936031</v>
      </c>
      <c r="H91" s="2176">
        <f t="shared" si="9"/>
        <v>3588483</v>
      </c>
    </row>
    <row r="92" spans="1:8" ht="16.5" x14ac:dyDescent="0.3">
      <c r="A92" s="1463" t="s">
        <v>8845</v>
      </c>
      <c r="B92" s="2168" t="s">
        <v>9142</v>
      </c>
      <c r="C92" s="1450" t="s">
        <v>5424</v>
      </c>
      <c r="D92" s="893">
        <v>1</v>
      </c>
      <c r="E92" s="850">
        <v>3682589</v>
      </c>
      <c r="F92" s="854">
        <f t="shared" si="5"/>
        <v>3682589</v>
      </c>
      <c r="G92" s="2176">
        <f t="shared" si="8"/>
        <v>3314330</v>
      </c>
      <c r="H92" s="2176">
        <f t="shared" si="9"/>
        <v>4050848</v>
      </c>
    </row>
    <row r="93" spans="1:8" ht="16.5" x14ac:dyDescent="0.3">
      <c r="A93" s="1463" t="s">
        <v>8846</v>
      </c>
      <c r="B93" s="2168" t="s">
        <v>9144</v>
      </c>
      <c r="C93" s="1450" t="s">
        <v>5424</v>
      </c>
      <c r="D93" s="893">
        <v>1</v>
      </c>
      <c r="E93" s="850">
        <v>4270416</v>
      </c>
      <c r="F93" s="854">
        <f t="shared" si="5"/>
        <v>4270416</v>
      </c>
      <c r="G93" s="2176">
        <f t="shared" si="8"/>
        <v>3843374</v>
      </c>
      <c r="H93" s="2176">
        <f t="shared" si="9"/>
        <v>4697458</v>
      </c>
    </row>
    <row r="94" spans="1:8" ht="16.5" x14ac:dyDescent="0.3">
      <c r="A94" s="2266" t="s">
        <v>8865</v>
      </c>
      <c r="B94" s="2267" t="s">
        <v>9165</v>
      </c>
      <c r="C94" s="2268" t="s">
        <v>5402</v>
      </c>
      <c r="D94" s="2269">
        <v>0</v>
      </c>
      <c r="E94" s="2270">
        <v>327520</v>
      </c>
      <c r="F94" s="2271">
        <f t="shared" si="5"/>
        <v>0</v>
      </c>
      <c r="G94" s="2272">
        <f t="shared" si="8"/>
        <v>294768</v>
      </c>
      <c r="H94" s="2272">
        <f t="shared" si="9"/>
        <v>360272</v>
      </c>
    </row>
    <row r="95" spans="1:8" ht="16.5" x14ac:dyDescent="0.3">
      <c r="A95" s="1463" t="s">
        <v>8876</v>
      </c>
      <c r="B95" s="2171" t="s">
        <v>9159</v>
      </c>
      <c r="C95" s="1450" t="s">
        <v>5402</v>
      </c>
      <c r="D95" s="893">
        <v>14</v>
      </c>
      <c r="E95" s="2174">
        <v>30823</v>
      </c>
      <c r="F95" s="854">
        <f t="shared" si="5"/>
        <v>431522</v>
      </c>
      <c r="G95" s="2176">
        <f t="shared" si="8"/>
        <v>27741</v>
      </c>
      <c r="H95" s="2176">
        <f t="shared" si="9"/>
        <v>33905</v>
      </c>
    </row>
    <row r="96" spans="1:8" ht="16.5" x14ac:dyDescent="0.3">
      <c r="A96" s="1463" t="s">
        <v>8877</v>
      </c>
      <c r="B96" s="2171" t="s">
        <v>9160</v>
      </c>
      <c r="C96" s="1450" t="s">
        <v>5402</v>
      </c>
      <c r="D96" s="893">
        <v>16</v>
      </c>
      <c r="E96" s="2174">
        <v>67302</v>
      </c>
      <c r="F96" s="854">
        <f t="shared" si="5"/>
        <v>1076832</v>
      </c>
      <c r="G96" s="2176">
        <f t="shared" si="8"/>
        <v>60572</v>
      </c>
      <c r="H96" s="2176">
        <f t="shared" si="9"/>
        <v>74032</v>
      </c>
    </row>
    <row r="97" spans="1:8" ht="16.5" x14ac:dyDescent="0.3">
      <c r="A97" s="1463" t="s">
        <v>8879</v>
      </c>
      <c r="B97" s="2168" t="s">
        <v>9145</v>
      </c>
      <c r="C97" s="1450" t="s">
        <v>5424</v>
      </c>
      <c r="D97" s="893">
        <v>3</v>
      </c>
      <c r="E97" s="850">
        <v>512378</v>
      </c>
      <c r="F97" s="854">
        <f t="shared" si="5"/>
        <v>1537134</v>
      </c>
      <c r="G97" s="2176">
        <f t="shared" si="8"/>
        <v>461140</v>
      </c>
      <c r="H97" s="2176">
        <f t="shared" si="9"/>
        <v>563616</v>
      </c>
    </row>
    <row r="98" spans="1:8" ht="16.5" x14ac:dyDescent="0.3">
      <c r="A98" s="1463" t="s">
        <v>8884</v>
      </c>
      <c r="B98" s="2168" t="s">
        <v>9147</v>
      </c>
      <c r="C98" s="1450" t="s">
        <v>5424</v>
      </c>
      <c r="D98" s="893">
        <v>4</v>
      </c>
      <c r="E98" s="850">
        <v>1694509</v>
      </c>
      <c r="F98" s="854">
        <f t="shared" si="5"/>
        <v>6778036</v>
      </c>
      <c r="G98" s="2176">
        <f t="shared" si="8"/>
        <v>1525058</v>
      </c>
      <c r="H98" s="2176">
        <f t="shared" si="9"/>
        <v>1863960</v>
      </c>
    </row>
    <row r="99" spans="1:8" ht="16.5" x14ac:dyDescent="0.3">
      <c r="A99" s="1463" t="s">
        <v>8887</v>
      </c>
      <c r="B99" s="2168" t="s">
        <v>9148</v>
      </c>
      <c r="C99" s="1450" t="s">
        <v>5424</v>
      </c>
      <c r="D99" s="893">
        <v>2</v>
      </c>
      <c r="E99" s="850">
        <v>1603109</v>
      </c>
      <c r="F99" s="854">
        <f>+ROUNDUP(E99*D99,1)</f>
        <v>3206218</v>
      </c>
      <c r="G99" s="2176">
        <f t="shared" si="8"/>
        <v>1442798</v>
      </c>
      <c r="H99" s="2176">
        <f t="shared" si="9"/>
        <v>1763420</v>
      </c>
    </row>
    <row r="100" spans="1:8" ht="16.5" x14ac:dyDescent="0.3">
      <c r="A100" s="1463" t="s">
        <v>9088</v>
      </c>
      <c r="B100" s="2168" t="s">
        <v>9151</v>
      </c>
      <c r="C100" s="1450" t="s">
        <v>5424</v>
      </c>
      <c r="D100" s="893">
        <v>4</v>
      </c>
      <c r="E100" s="850">
        <v>16891916</v>
      </c>
      <c r="F100" s="854">
        <f t="shared" si="5"/>
        <v>67567664</v>
      </c>
      <c r="G100" s="2176">
        <f t="shared" si="8"/>
        <v>15202724</v>
      </c>
      <c r="H100" s="2176">
        <f t="shared" si="9"/>
        <v>18581108</v>
      </c>
    </row>
    <row r="101" spans="1:8" ht="16.5" x14ac:dyDescent="0.3">
      <c r="A101" s="1463" t="s">
        <v>8973</v>
      </c>
      <c r="B101" s="2168" t="s">
        <v>9150</v>
      </c>
      <c r="C101" s="1450" t="s">
        <v>5424</v>
      </c>
      <c r="D101" s="893">
        <v>3</v>
      </c>
      <c r="E101" s="850">
        <v>698179</v>
      </c>
      <c r="F101" s="854">
        <f>+ROUNDUP(E101*D101,1)</f>
        <v>2094537</v>
      </c>
      <c r="G101" s="2176">
        <f t="shared" si="8"/>
        <v>628361</v>
      </c>
      <c r="H101" s="2176">
        <f t="shared" si="9"/>
        <v>767997</v>
      </c>
    </row>
    <row r="102" spans="1:8" ht="16.5" x14ac:dyDescent="0.3">
      <c r="A102" s="1463" t="s">
        <v>8975</v>
      </c>
      <c r="B102" s="2168" t="s">
        <v>9154</v>
      </c>
      <c r="C102" s="1450" t="s">
        <v>5424</v>
      </c>
      <c r="D102" s="893">
        <v>4</v>
      </c>
      <c r="E102" s="850">
        <v>2602917</v>
      </c>
      <c r="F102" s="854">
        <f>+ROUNDUP(E102*D102,1)</f>
        <v>10411668</v>
      </c>
      <c r="G102" s="2176">
        <f t="shared" si="8"/>
        <v>2342625</v>
      </c>
      <c r="H102" s="2176">
        <f t="shared" si="9"/>
        <v>2863209</v>
      </c>
    </row>
    <row r="103" spans="1:8" ht="16.5" x14ac:dyDescent="0.3">
      <c r="A103" s="1463" t="s">
        <v>9033</v>
      </c>
      <c r="B103" s="2168" t="s">
        <v>9152</v>
      </c>
      <c r="C103" s="1450" t="s">
        <v>5424</v>
      </c>
      <c r="D103" s="893">
        <v>4</v>
      </c>
      <c r="E103" s="850">
        <v>1736805</v>
      </c>
      <c r="F103" s="854">
        <f>+ROUNDUP(E103*D103,1)</f>
        <v>6947220</v>
      </c>
      <c r="G103" s="2176">
        <f t="shared" si="8"/>
        <v>1563125</v>
      </c>
      <c r="H103" s="2176">
        <f t="shared" si="9"/>
        <v>1910486</v>
      </c>
    </row>
    <row r="104" spans="1:8" ht="21" x14ac:dyDescent="0.6">
      <c r="A104" s="2070"/>
      <c r="B104" s="2071"/>
      <c r="C104" s="2319" t="s">
        <v>8069</v>
      </c>
      <c r="D104" s="2320"/>
      <c r="E104" s="2320"/>
      <c r="F104" s="2261">
        <f>+ROUND(SUM(F62:F103),0)</f>
        <v>362220788</v>
      </c>
    </row>
  </sheetData>
  <sheetProtection algorithmName="SHA-512" hashValue="eyEgmlILjdCYKw0ZGPedQcYWFVfI4s0vNp/Ofmp1DgKjyYXtMwCdBFn+jMcMhPRHBXIgpKgwXbTAIddjzXOEVw==" saltValue="+XAGitwLzEOL5bZ5u0Z3rQ==" spinCount="100000" sheet="1" objects="1" scenarios="1" selectLockedCells="1" selectUnlockedCells="1"/>
  <mergeCells count="7">
    <mergeCell ref="A1:H3"/>
    <mergeCell ref="A4:H4"/>
    <mergeCell ref="C104:E104"/>
    <mergeCell ref="A5:B5"/>
    <mergeCell ref="C59:E59"/>
    <mergeCell ref="A60:F60"/>
    <mergeCell ref="A61:B61"/>
  </mergeCells>
  <pageMargins left="0.70866141732283472" right="0.70866141732283472" top="0.74803149606299213" bottom="0.74803149606299213" header="0.31496062992125984" footer="0.31496062992125984"/>
  <pageSetup scale="49" fitToHeight="0" orientation="portrait" r:id="rId1"/>
  <rowBreaks count="2" manualBreakCount="2">
    <brk id="59" max="7" man="1"/>
    <brk id="80" max="7" man="1"/>
  </rowBreaks>
  <colBreaks count="1" manualBreakCount="1">
    <brk id="7" max="121"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I60"/>
  <sheetViews>
    <sheetView view="pageBreakPreview" topLeftCell="A43" zoomScale="85" zoomScaleNormal="100" zoomScaleSheetLayoutView="85" workbookViewId="0">
      <selection activeCell="G7" sqref="G7"/>
    </sheetView>
  </sheetViews>
  <sheetFormatPr baseColWidth="10" defaultColWidth="11.42578125" defaultRowHeight="16.5" x14ac:dyDescent="0.25"/>
  <cols>
    <col min="1" max="1" width="6.42578125" style="1090" customWidth="1"/>
    <col min="2" max="2" width="70.5703125" style="1090" bestFit="1" customWidth="1"/>
    <col min="3" max="3" width="6.42578125" style="1090" bestFit="1" customWidth="1"/>
    <col min="4" max="4" width="7.42578125" style="1090" bestFit="1" customWidth="1"/>
    <col min="5" max="5" width="14.85546875" style="1090" bestFit="1" customWidth="1"/>
    <col min="6" max="6" width="15.85546875" style="1090" customWidth="1"/>
    <col min="7" max="7" width="17.85546875" style="1090" customWidth="1"/>
    <col min="8" max="8" width="19.28515625" style="1090" customWidth="1"/>
    <col min="9" max="16384" width="11.42578125" style="1090"/>
  </cols>
  <sheetData>
    <row r="1" spans="1:8" s="844" customFormat="1" ht="16.5" customHeight="1" x14ac:dyDescent="0.3">
      <c r="A1" s="2326" t="s">
        <v>9817</v>
      </c>
      <c r="B1" s="2326"/>
      <c r="C1" s="2326"/>
      <c r="D1" s="2326"/>
      <c r="E1" s="2326"/>
      <c r="F1" s="2326"/>
      <c r="G1" s="2326"/>
      <c r="H1" s="2326"/>
    </row>
    <row r="2" spans="1:8" s="844" customFormat="1" ht="51.75" customHeight="1" x14ac:dyDescent="0.3">
      <c r="A2" s="2326"/>
      <c r="B2" s="2326"/>
      <c r="C2" s="2326"/>
      <c r="D2" s="2326"/>
      <c r="E2" s="2326"/>
      <c r="F2" s="2326"/>
      <c r="G2" s="2326"/>
      <c r="H2" s="2326"/>
    </row>
    <row r="3" spans="1:8" s="844" customFormat="1" ht="15" customHeight="1" x14ac:dyDescent="0.3">
      <c r="A3" s="2326"/>
      <c r="B3" s="2326"/>
      <c r="C3" s="2326"/>
      <c r="D3" s="2326"/>
      <c r="E3" s="2326"/>
      <c r="F3" s="2326"/>
      <c r="G3" s="2326"/>
      <c r="H3" s="2326"/>
    </row>
    <row r="4" spans="1:8" ht="24.75" customHeight="1" x14ac:dyDescent="0.25">
      <c r="A4" s="2327" t="s">
        <v>9832</v>
      </c>
      <c r="B4" s="2327"/>
      <c r="C4" s="2327"/>
      <c r="D4" s="2327"/>
      <c r="E4" s="2327"/>
      <c r="F4" s="2327"/>
      <c r="G4" s="2327"/>
      <c r="H4" s="2327"/>
    </row>
    <row r="5" spans="1:8" x14ac:dyDescent="0.3">
      <c r="A5" s="2321" t="s">
        <v>2</v>
      </c>
      <c r="B5" s="2321"/>
      <c r="C5" s="947" t="s">
        <v>6616</v>
      </c>
      <c r="D5" s="2062" t="s">
        <v>6617</v>
      </c>
      <c r="E5" s="948" t="s">
        <v>6618</v>
      </c>
      <c r="F5" s="949" t="s">
        <v>9831</v>
      </c>
      <c r="G5" s="949" t="s">
        <v>9864</v>
      </c>
      <c r="H5" s="949" t="s">
        <v>9865</v>
      </c>
    </row>
    <row r="6" spans="1:8" x14ac:dyDescent="0.3">
      <c r="A6" s="1092"/>
      <c r="B6" s="1096" t="s">
        <v>8167</v>
      </c>
      <c r="C6" s="849"/>
      <c r="D6" s="1093"/>
      <c r="E6" s="1094"/>
      <c r="F6" s="1095"/>
      <c r="G6" s="847"/>
      <c r="H6" s="847"/>
    </row>
    <row r="7" spans="1:8" x14ac:dyDescent="0.3">
      <c r="A7" s="1453">
        <v>1.1000000000000001</v>
      </c>
      <c r="B7" s="1432" t="s">
        <v>7204</v>
      </c>
      <c r="C7" s="1460" t="s">
        <v>5734</v>
      </c>
      <c r="D7" s="1075">
        <v>4.5</v>
      </c>
      <c r="E7" s="2066">
        <v>1913</v>
      </c>
      <c r="F7" s="2083">
        <f>ROUND(E7*D7,0)</f>
        <v>8609</v>
      </c>
      <c r="G7" s="2175">
        <f>+ROUND(E7*0.9,0)</f>
        <v>1722</v>
      </c>
      <c r="H7" s="2175">
        <f>+ROUND(E7*1.1,0)</f>
        <v>2104</v>
      </c>
    </row>
    <row r="8" spans="1:8" x14ac:dyDescent="0.3">
      <c r="A8" s="1453">
        <v>1.2</v>
      </c>
      <c r="B8" s="1432" t="s">
        <v>7205</v>
      </c>
      <c r="C8" s="1460" t="s">
        <v>5556</v>
      </c>
      <c r="D8" s="1075">
        <v>23.099999999999998</v>
      </c>
      <c r="E8" s="2066">
        <v>2899</v>
      </c>
      <c r="F8" s="2083">
        <f>ROUND(E8*D8,0)</f>
        <v>66967</v>
      </c>
      <c r="G8" s="2175">
        <f t="shared" ref="G8:G51" si="0">+ROUND(E8*0.9,0)</f>
        <v>2609</v>
      </c>
      <c r="H8" s="2175">
        <f t="shared" ref="H8:H51" si="1">+ROUND(E8*1.1,0)</f>
        <v>3189</v>
      </c>
    </row>
    <row r="9" spans="1:8" x14ac:dyDescent="0.25">
      <c r="A9" s="1433"/>
      <c r="B9" s="1096" t="s">
        <v>6620</v>
      </c>
      <c r="C9" s="849"/>
      <c r="D9" s="1093"/>
      <c r="E9" s="2082"/>
      <c r="F9" s="1095"/>
      <c r="G9" s="1095"/>
      <c r="H9" s="1095"/>
    </row>
    <row r="10" spans="1:8" x14ac:dyDescent="0.3">
      <c r="A10" s="1453" t="s">
        <v>98</v>
      </c>
      <c r="B10" s="1435" t="s">
        <v>6632</v>
      </c>
      <c r="C10" s="1460" t="s">
        <v>7941</v>
      </c>
      <c r="D10" s="1434">
        <v>123.06</v>
      </c>
      <c r="E10" s="2066">
        <v>2912</v>
      </c>
      <c r="F10" s="2083">
        <f>ROUND(E10*D10,0)</f>
        <v>358351</v>
      </c>
      <c r="G10" s="2175">
        <f t="shared" si="0"/>
        <v>2621</v>
      </c>
      <c r="H10" s="2175">
        <f t="shared" si="1"/>
        <v>3203</v>
      </c>
    </row>
    <row r="11" spans="1:8" x14ac:dyDescent="0.3">
      <c r="A11" s="1453" t="s">
        <v>8571</v>
      </c>
      <c r="B11" s="1435" t="s">
        <v>8998</v>
      </c>
      <c r="C11" s="1460" t="s">
        <v>5402</v>
      </c>
      <c r="D11" s="1075">
        <v>10.7</v>
      </c>
      <c r="E11" s="2066">
        <v>25412</v>
      </c>
      <c r="F11" s="2083">
        <f t="shared" ref="F11:F34" si="2">ROUND(E11*D11,0)</f>
        <v>271908</v>
      </c>
      <c r="G11" s="2175">
        <f t="shared" si="0"/>
        <v>22871</v>
      </c>
      <c r="H11" s="2175">
        <f t="shared" si="1"/>
        <v>27953</v>
      </c>
    </row>
    <row r="12" spans="1:8" x14ac:dyDescent="0.3">
      <c r="A12" s="1453" t="s">
        <v>5976</v>
      </c>
      <c r="B12" s="1449" t="s">
        <v>7982</v>
      </c>
      <c r="C12" s="1460" t="s">
        <v>6858</v>
      </c>
      <c r="D12" s="1075">
        <v>90.26</v>
      </c>
      <c r="E12" s="2066">
        <v>34912</v>
      </c>
      <c r="F12" s="2083">
        <f t="shared" si="2"/>
        <v>3151157</v>
      </c>
      <c r="G12" s="2175">
        <f t="shared" si="0"/>
        <v>31421</v>
      </c>
      <c r="H12" s="2175">
        <f t="shared" si="1"/>
        <v>38403</v>
      </c>
    </row>
    <row r="13" spans="1:8" x14ac:dyDescent="0.25">
      <c r="A13" s="1433"/>
      <c r="B13" s="1096" t="s">
        <v>6698</v>
      </c>
      <c r="C13" s="849"/>
      <c r="D13" s="849"/>
      <c r="E13" s="2082"/>
      <c r="F13" s="1095"/>
      <c r="G13" s="1095"/>
      <c r="H13" s="1095"/>
    </row>
    <row r="14" spans="1:8" ht="19.5" customHeight="1" x14ac:dyDescent="0.3">
      <c r="A14" s="1453" t="s">
        <v>5458</v>
      </c>
      <c r="B14" s="1435" t="s">
        <v>5968</v>
      </c>
      <c r="C14" s="1460" t="s">
        <v>6858</v>
      </c>
      <c r="D14" s="1434">
        <v>69.430000000000007</v>
      </c>
      <c r="E14" s="2066">
        <v>24270</v>
      </c>
      <c r="F14" s="2083">
        <f t="shared" si="2"/>
        <v>1685066</v>
      </c>
      <c r="G14" s="2175">
        <f t="shared" si="0"/>
        <v>21843</v>
      </c>
      <c r="H14" s="2175">
        <f t="shared" si="1"/>
        <v>26697</v>
      </c>
    </row>
    <row r="15" spans="1:8" ht="33" x14ac:dyDescent="0.3">
      <c r="A15" s="1463" t="s">
        <v>97</v>
      </c>
      <c r="B15" s="1074" t="s">
        <v>9819</v>
      </c>
      <c r="C15" s="1460" t="s">
        <v>6858</v>
      </c>
      <c r="D15" s="1075">
        <v>4.62</v>
      </c>
      <c r="E15" s="2066">
        <v>52233</v>
      </c>
      <c r="F15" s="2083">
        <f t="shared" si="2"/>
        <v>241316</v>
      </c>
      <c r="G15" s="2175">
        <f t="shared" si="0"/>
        <v>47010</v>
      </c>
      <c r="H15" s="2175">
        <f t="shared" si="1"/>
        <v>57456</v>
      </c>
    </row>
    <row r="16" spans="1:8" x14ac:dyDescent="0.3">
      <c r="A16" s="1453" t="s">
        <v>8579</v>
      </c>
      <c r="B16" s="838" t="s">
        <v>9820</v>
      </c>
      <c r="C16" s="1460" t="s">
        <v>6858</v>
      </c>
      <c r="D16" s="1075">
        <v>1.1599999999999999</v>
      </c>
      <c r="E16" s="2066">
        <v>447833</v>
      </c>
      <c r="F16" s="2083">
        <f t="shared" si="2"/>
        <v>519486</v>
      </c>
      <c r="G16" s="2175">
        <f t="shared" si="0"/>
        <v>403050</v>
      </c>
      <c r="H16" s="2175">
        <f t="shared" si="1"/>
        <v>492616</v>
      </c>
    </row>
    <row r="17" spans="1:8" ht="33" x14ac:dyDescent="0.3">
      <c r="A17" s="1463" t="s">
        <v>8575</v>
      </c>
      <c r="B17" s="1397" t="s">
        <v>9397</v>
      </c>
      <c r="C17" s="1460" t="s">
        <v>6858</v>
      </c>
      <c r="D17" s="1075">
        <v>5.78</v>
      </c>
      <c r="E17" s="2066">
        <v>613345</v>
      </c>
      <c r="F17" s="2083">
        <f t="shared" si="2"/>
        <v>3545134</v>
      </c>
      <c r="G17" s="2175">
        <f t="shared" si="0"/>
        <v>552011</v>
      </c>
      <c r="H17" s="2175">
        <f t="shared" si="1"/>
        <v>674680</v>
      </c>
    </row>
    <row r="18" spans="1:8" ht="33" x14ac:dyDescent="0.3">
      <c r="A18" s="1453" t="s">
        <v>8576</v>
      </c>
      <c r="B18" s="1397" t="s">
        <v>9398</v>
      </c>
      <c r="C18" s="1460" t="s">
        <v>6858</v>
      </c>
      <c r="D18" s="1075">
        <v>14.86</v>
      </c>
      <c r="E18" s="2066">
        <v>793562</v>
      </c>
      <c r="F18" s="2083">
        <f t="shared" si="2"/>
        <v>11792331</v>
      </c>
      <c r="G18" s="2175">
        <f t="shared" si="0"/>
        <v>714206</v>
      </c>
      <c r="H18" s="2175">
        <f t="shared" si="1"/>
        <v>872918</v>
      </c>
    </row>
    <row r="19" spans="1:8" ht="33" x14ac:dyDescent="0.3">
      <c r="A19" s="1453" t="s">
        <v>8577</v>
      </c>
      <c r="B19" s="1397" t="s">
        <v>9399</v>
      </c>
      <c r="C19" s="1460" t="s">
        <v>6858</v>
      </c>
      <c r="D19" s="1075">
        <v>1.2000000000000002</v>
      </c>
      <c r="E19" s="2066">
        <v>612002</v>
      </c>
      <c r="F19" s="2083">
        <f t="shared" si="2"/>
        <v>734402</v>
      </c>
      <c r="G19" s="2175">
        <f t="shared" si="0"/>
        <v>550802</v>
      </c>
      <c r="H19" s="2175">
        <f t="shared" si="1"/>
        <v>673202</v>
      </c>
    </row>
    <row r="20" spans="1:8" x14ac:dyDescent="0.3">
      <c r="A20" s="1453" t="s">
        <v>233</v>
      </c>
      <c r="B20" s="1435" t="s">
        <v>5573</v>
      </c>
      <c r="C20" s="1460" t="s">
        <v>5431</v>
      </c>
      <c r="D20" s="1075">
        <v>2747.3</v>
      </c>
      <c r="E20" s="2066">
        <v>3841</v>
      </c>
      <c r="F20" s="2083">
        <f t="shared" si="2"/>
        <v>10552379</v>
      </c>
      <c r="G20" s="2175">
        <f t="shared" si="0"/>
        <v>3457</v>
      </c>
      <c r="H20" s="2175">
        <f t="shared" si="1"/>
        <v>4225</v>
      </c>
    </row>
    <row r="21" spans="1:8" x14ac:dyDescent="0.3">
      <c r="A21" s="1453" t="s">
        <v>5583</v>
      </c>
      <c r="B21" s="1435" t="s">
        <v>8992</v>
      </c>
      <c r="C21" s="1460" t="s">
        <v>5424</v>
      </c>
      <c r="D21" s="1075">
        <v>1</v>
      </c>
      <c r="E21" s="2066">
        <v>819794</v>
      </c>
      <c r="F21" s="2083">
        <f t="shared" si="2"/>
        <v>819794</v>
      </c>
      <c r="G21" s="2175">
        <f t="shared" si="0"/>
        <v>737815</v>
      </c>
      <c r="H21" s="2175">
        <f t="shared" si="1"/>
        <v>901773</v>
      </c>
    </row>
    <row r="22" spans="1:8" x14ac:dyDescent="0.3">
      <c r="A22" s="1453" t="s">
        <v>5585</v>
      </c>
      <c r="B22" s="1449" t="s">
        <v>7929</v>
      </c>
      <c r="C22" s="1460" t="s">
        <v>5424</v>
      </c>
      <c r="D22" s="1075">
        <v>8</v>
      </c>
      <c r="E22" s="2066">
        <v>29456</v>
      </c>
      <c r="F22" s="2083">
        <f t="shared" si="2"/>
        <v>235648</v>
      </c>
      <c r="G22" s="2175">
        <f t="shared" si="0"/>
        <v>26510</v>
      </c>
      <c r="H22" s="2175">
        <f t="shared" si="1"/>
        <v>32402</v>
      </c>
    </row>
    <row r="23" spans="1:8" x14ac:dyDescent="0.25">
      <c r="A23" s="1433"/>
      <c r="B23" s="1096" t="s">
        <v>7960</v>
      </c>
      <c r="C23" s="849"/>
      <c r="D23" s="1093"/>
      <c r="E23" s="2082"/>
      <c r="F23" s="1095"/>
      <c r="G23" s="1095"/>
      <c r="H23" s="1095"/>
    </row>
    <row r="24" spans="1:8" x14ac:dyDescent="0.3">
      <c r="A24" s="1453" t="s">
        <v>8586</v>
      </c>
      <c r="B24" s="2177" t="s">
        <v>8495</v>
      </c>
      <c r="C24" s="1460" t="s">
        <v>5424</v>
      </c>
      <c r="D24" s="1440">
        <v>17</v>
      </c>
      <c r="E24" s="2066">
        <v>18707</v>
      </c>
      <c r="F24" s="2083">
        <f t="shared" si="2"/>
        <v>318019</v>
      </c>
      <c r="G24" s="2175">
        <f t="shared" si="0"/>
        <v>16836</v>
      </c>
      <c r="H24" s="2175">
        <f t="shared" si="1"/>
        <v>20578</v>
      </c>
    </row>
    <row r="25" spans="1:8" x14ac:dyDescent="0.3">
      <c r="A25" s="1453" t="s">
        <v>8591</v>
      </c>
      <c r="B25" s="2177" t="s">
        <v>8510</v>
      </c>
      <c r="C25" s="1460" t="s">
        <v>5424</v>
      </c>
      <c r="D25" s="1434">
        <v>2</v>
      </c>
      <c r="E25" s="2066">
        <v>38572</v>
      </c>
      <c r="F25" s="2083">
        <f t="shared" si="2"/>
        <v>77144</v>
      </c>
      <c r="G25" s="2175">
        <f t="shared" si="0"/>
        <v>34715</v>
      </c>
      <c r="H25" s="2175">
        <f t="shared" si="1"/>
        <v>42429</v>
      </c>
    </row>
    <row r="26" spans="1:8" x14ac:dyDescent="0.3">
      <c r="A26" s="1453" t="s">
        <v>8626</v>
      </c>
      <c r="B26" s="2177" t="s">
        <v>8499</v>
      </c>
      <c r="C26" s="1460" t="s">
        <v>5424</v>
      </c>
      <c r="D26" s="1075">
        <v>6</v>
      </c>
      <c r="E26" s="2066">
        <v>65469</v>
      </c>
      <c r="F26" s="2083">
        <f t="shared" si="2"/>
        <v>392814</v>
      </c>
      <c r="G26" s="2175">
        <f t="shared" si="0"/>
        <v>58922</v>
      </c>
      <c r="H26" s="2175">
        <f t="shared" si="1"/>
        <v>72016</v>
      </c>
    </row>
    <row r="27" spans="1:8" x14ac:dyDescent="0.3">
      <c r="A27" s="1453" t="s">
        <v>8593</v>
      </c>
      <c r="B27" s="2177" t="s">
        <v>8517</v>
      </c>
      <c r="C27" s="1460" t="s">
        <v>5424</v>
      </c>
      <c r="D27" s="1075">
        <v>20</v>
      </c>
      <c r="E27" s="2066">
        <v>70676</v>
      </c>
      <c r="F27" s="2083">
        <f t="shared" si="2"/>
        <v>1413520</v>
      </c>
      <c r="G27" s="2175">
        <f t="shared" si="0"/>
        <v>63608</v>
      </c>
      <c r="H27" s="2175">
        <f t="shared" si="1"/>
        <v>77744</v>
      </c>
    </row>
    <row r="28" spans="1:8" x14ac:dyDescent="0.3">
      <c r="A28" s="1453" t="s">
        <v>8605</v>
      </c>
      <c r="B28" s="2177" t="s">
        <v>8513</v>
      </c>
      <c r="C28" s="1460" t="s">
        <v>5424</v>
      </c>
      <c r="D28" s="1075">
        <v>12</v>
      </c>
      <c r="E28" s="2066">
        <v>78115</v>
      </c>
      <c r="F28" s="2083">
        <f t="shared" si="2"/>
        <v>937380</v>
      </c>
      <c r="G28" s="2175">
        <f t="shared" si="0"/>
        <v>70304</v>
      </c>
      <c r="H28" s="2175">
        <f t="shared" si="1"/>
        <v>85927</v>
      </c>
    </row>
    <row r="29" spans="1:8" x14ac:dyDescent="0.3">
      <c r="A29" s="1453" t="s">
        <v>8613</v>
      </c>
      <c r="B29" s="2177" t="s">
        <v>8525</v>
      </c>
      <c r="C29" s="1460" t="s">
        <v>5424</v>
      </c>
      <c r="D29" s="1075">
        <v>1</v>
      </c>
      <c r="E29" s="2066">
        <v>133375</v>
      </c>
      <c r="F29" s="2083">
        <f t="shared" si="2"/>
        <v>133375</v>
      </c>
      <c r="G29" s="2175">
        <f t="shared" si="0"/>
        <v>120038</v>
      </c>
      <c r="H29" s="2175">
        <f t="shared" si="1"/>
        <v>146713</v>
      </c>
    </row>
    <row r="30" spans="1:8" x14ac:dyDescent="0.3">
      <c r="A30" s="1439" t="s">
        <v>8605</v>
      </c>
      <c r="B30" s="2164" t="s">
        <v>9822</v>
      </c>
      <c r="C30" s="2178" t="s">
        <v>5424</v>
      </c>
      <c r="D30" s="1458">
        <v>3</v>
      </c>
      <c r="E30" s="2179">
        <v>11453</v>
      </c>
      <c r="F30" s="2180">
        <f t="shared" ref="F30:F32" si="3">+ROUND(D30*E30,0)</f>
        <v>34359</v>
      </c>
      <c r="G30" s="2175">
        <f t="shared" si="0"/>
        <v>10308</v>
      </c>
      <c r="H30" s="2175">
        <f t="shared" si="1"/>
        <v>12598</v>
      </c>
    </row>
    <row r="31" spans="1:8" x14ac:dyDescent="0.3">
      <c r="A31" s="1439" t="s">
        <v>8606</v>
      </c>
      <c r="B31" s="2164" t="s">
        <v>9823</v>
      </c>
      <c r="C31" s="2178" t="s">
        <v>5424</v>
      </c>
      <c r="D31" s="1458">
        <v>3</v>
      </c>
      <c r="E31" s="2179">
        <v>11453</v>
      </c>
      <c r="F31" s="2180">
        <f t="shared" si="3"/>
        <v>34359</v>
      </c>
      <c r="G31" s="2175">
        <f t="shared" si="0"/>
        <v>10308</v>
      </c>
      <c r="H31" s="2175">
        <f t="shared" si="1"/>
        <v>12598</v>
      </c>
    </row>
    <row r="32" spans="1:8" x14ac:dyDescent="0.3">
      <c r="A32" s="1439" t="s">
        <v>8607</v>
      </c>
      <c r="B32" s="2164" t="s">
        <v>9824</v>
      </c>
      <c r="C32" s="2178" t="s">
        <v>5424</v>
      </c>
      <c r="D32" s="1458">
        <v>3</v>
      </c>
      <c r="E32" s="2179">
        <v>4249977</v>
      </c>
      <c r="F32" s="2180">
        <f t="shared" si="3"/>
        <v>12749931</v>
      </c>
      <c r="G32" s="2175">
        <f t="shared" si="0"/>
        <v>3824979</v>
      </c>
      <c r="H32" s="2175">
        <f t="shared" si="1"/>
        <v>4674975</v>
      </c>
    </row>
    <row r="33" spans="1:9" x14ac:dyDescent="0.25">
      <c r="A33" s="1433"/>
      <c r="B33" s="1096" t="s">
        <v>9014</v>
      </c>
      <c r="C33" s="849"/>
      <c r="D33" s="1093"/>
      <c r="E33" s="2082"/>
      <c r="F33" s="1095"/>
      <c r="G33" s="1095"/>
      <c r="H33" s="1095"/>
    </row>
    <row r="34" spans="1:9" x14ac:dyDescent="0.3">
      <c r="A34" s="1453" t="s">
        <v>8574</v>
      </c>
      <c r="B34" s="1449" t="s">
        <v>9004</v>
      </c>
      <c r="C34" s="1460" t="s">
        <v>5556</v>
      </c>
      <c r="D34" s="1075">
        <v>600</v>
      </c>
      <c r="E34" s="2066">
        <v>13923</v>
      </c>
      <c r="F34" s="2083">
        <f t="shared" si="2"/>
        <v>8353800</v>
      </c>
      <c r="G34" s="2175">
        <f t="shared" si="0"/>
        <v>12531</v>
      </c>
      <c r="H34" s="2175">
        <f t="shared" si="1"/>
        <v>15315</v>
      </c>
    </row>
    <row r="35" spans="1:9" x14ac:dyDescent="0.25">
      <c r="A35" s="1471"/>
      <c r="B35" s="1472"/>
      <c r="C35" s="2336" t="s">
        <v>8068</v>
      </c>
      <c r="D35" s="2337"/>
      <c r="E35" s="2338"/>
      <c r="F35" s="2084">
        <f>+ROUND(SUM(F6:F34),0)</f>
        <v>58427249</v>
      </c>
      <c r="G35" s="2328"/>
      <c r="H35" s="2329"/>
    </row>
    <row r="36" spans="1:9" x14ac:dyDescent="0.25">
      <c r="A36" s="2333"/>
      <c r="B36" s="2334"/>
      <c r="C36" s="2334"/>
      <c r="D36" s="2334"/>
      <c r="E36" s="2334"/>
      <c r="F36" s="2335"/>
      <c r="G36" s="2330"/>
      <c r="H36" s="2331"/>
    </row>
    <row r="37" spans="1:9" x14ac:dyDescent="0.3">
      <c r="A37" s="2321" t="s">
        <v>8351</v>
      </c>
      <c r="B37" s="2321"/>
      <c r="C37" s="947" t="s">
        <v>6616</v>
      </c>
      <c r="D37" s="2062" t="s">
        <v>6617</v>
      </c>
      <c r="E37" s="948" t="s">
        <v>6618</v>
      </c>
      <c r="F37" s="949" t="s">
        <v>9831</v>
      </c>
      <c r="G37" s="949" t="s">
        <v>9864</v>
      </c>
      <c r="H37" s="949" t="s">
        <v>9865</v>
      </c>
    </row>
    <row r="38" spans="1:9" ht="33" x14ac:dyDescent="0.3">
      <c r="A38" s="1463" t="s">
        <v>8807</v>
      </c>
      <c r="B38" s="2181" t="s">
        <v>9703</v>
      </c>
      <c r="C38" s="832" t="s">
        <v>5424</v>
      </c>
      <c r="D38" s="1434">
        <v>1</v>
      </c>
      <c r="E38" s="2085">
        <v>999213</v>
      </c>
      <c r="F38" s="2083">
        <f t="shared" ref="F38:F51" si="4">ROUND(E38*D38,0)</f>
        <v>999213</v>
      </c>
      <c r="G38" s="2176">
        <f>+ROUND(E38*0.9,0)</f>
        <v>899292</v>
      </c>
      <c r="H38" s="2176">
        <f>+ROUND(E38*1.1,0)</f>
        <v>1099134</v>
      </c>
      <c r="I38" s="844"/>
    </row>
    <row r="39" spans="1:9" ht="21.75" customHeight="1" x14ac:dyDescent="0.3">
      <c r="A39" s="1463" t="s">
        <v>8703</v>
      </c>
      <c r="B39" s="2181" t="s">
        <v>9167</v>
      </c>
      <c r="C39" s="832" t="s">
        <v>5424</v>
      </c>
      <c r="D39" s="1075">
        <v>11</v>
      </c>
      <c r="E39" s="2085">
        <v>522791</v>
      </c>
      <c r="F39" s="2083">
        <f t="shared" si="4"/>
        <v>5750701</v>
      </c>
      <c r="G39" s="2176">
        <f t="shared" si="0"/>
        <v>470512</v>
      </c>
      <c r="H39" s="2176">
        <f t="shared" si="1"/>
        <v>575070</v>
      </c>
      <c r="I39" s="844"/>
    </row>
    <row r="40" spans="1:9" ht="19.5" customHeight="1" x14ac:dyDescent="0.3">
      <c r="A40" s="1463" t="s">
        <v>8739</v>
      </c>
      <c r="B40" s="2181" t="s">
        <v>9133</v>
      </c>
      <c r="C40" s="832" t="s">
        <v>5424</v>
      </c>
      <c r="D40" s="1075">
        <v>20</v>
      </c>
      <c r="E40" s="2085">
        <v>2514244</v>
      </c>
      <c r="F40" s="2083">
        <f t="shared" si="4"/>
        <v>50284880</v>
      </c>
      <c r="G40" s="2176">
        <f t="shared" si="0"/>
        <v>2262820</v>
      </c>
      <c r="H40" s="2176">
        <f t="shared" si="1"/>
        <v>2765668</v>
      </c>
      <c r="I40" s="844"/>
    </row>
    <row r="41" spans="1:9" ht="33" x14ac:dyDescent="0.3">
      <c r="A41" s="1463" t="s">
        <v>8775</v>
      </c>
      <c r="B41" s="2181" t="s">
        <v>9668</v>
      </c>
      <c r="C41" s="832" t="s">
        <v>5424</v>
      </c>
      <c r="D41" s="1075">
        <v>6</v>
      </c>
      <c r="E41" s="2085">
        <v>506048</v>
      </c>
      <c r="F41" s="2083">
        <f t="shared" si="4"/>
        <v>3036288</v>
      </c>
      <c r="G41" s="2176">
        <f t="shared" si="0"/>
        <v>455443</v>
      </c>
      <c r="H41" s="2176">
        <f t="shared" si="1"/>
        <v>556653</v>
      </c>
      <c r="I41" s="844"/>
    </row>
    <row r="42" spans="1:9" x14ac:dyDescent="0.3">
      <c r="A42" s="1463" t="s">
        <v>8812</v>
      </c>
      <c r="B42" s="2181" t="s">
        <v>9163</v>
      </c>
      <c r="C42" s="832" t="s">
        <v>5424</v>
      </c>
      <c r="D42" s="1434">
        <v>6</v>
      </c>
      <c r="E42" s="2085">
        <v>671019</v>
      </c>
      <c r="F42" s="2083">
        <f t="shared" si="4"/>
        <v>4026114</v>
      </c>
      <c r="G42" s="2175">
        <f t="shared" si="0"/>
        <v>603917</v>
      </c>
      <c r="H42" s="2175">
        <f t="shared" si="1"/>
        <v>738121</v>
      </c>
      <c r="I42" s="844"/>
    </row>
    <row r="43" spans="1:9" x14ac:dyDescent="0.3">
      <c r="A43" s="1463" t="s">
        <v>8719</v>
      </c>
      <c r="B43" s="2181" t="s">
        <v>9168</v>
      </c>
      <c r="C43" s="832" t="s">
        <v>5424</v>
      </c>
      <c r="D43" s="1075">
        <v>1</v>
      </c>
      <c r="E43" s="2085">
        <v>3736442</v>
      </c>
      <c r="F43" s="2083">
        <f t="shared" si="4"/>
        <v>3736442</v>
      </c>
      <c r="G43" s="2175">
        <f t="shared" si="0"/>
        <v>3362798</v>
      </c>
      <c r="H43" s="2175">
        <f t="shared" si="1"/>
        <v>4110086</v>
      </c>
      <c r="I43" s="844"/>
    </row>
    <row r="44" spans="1:9" ht="33" x14ac:dyDescent="0.3">
      <c r="A44" s="1463" t="s">
        <v>8829</v>
      </c>
      <c r="B44" s="2181" t="s">
        <v>9169</v>
      </c>
      <c r="C44" s="832" t="s">
        <v>5424</v>
      </c>
      <c r="D44" s="1434">
        <v>1</v>
      </c>
      <c r="E44" s="2085">
        <v>2214801</v>
      </c>
      <c r="F44" s="2083">
        <f t="shared" si="4"/>
        <v>2214801</v>
      </c>
      <c r="G44" s="2176">
        <f t="shared" si="0"/>
        <v>1993321</v>
      </c>
      <c r="H44" s="2176">
        <f t="shared" si="1"/>
        <v>2436281</v>
      </c>
      <c r="I44" s="844"/>
    </row>
    <row r="45" spans="1:9" x14ac:dyDescent="0.3">
      <c r="A45" s="1463" t="s">
        <v>9034</v>
      </c>
      <c r="B45" s="2181" t="s">
        <v>9170</v>
      </c>
      <c r="C45" s="832" t="s">
        <v>5424</v>
      </c>
      <c r="D45" s="1434">
        <v>3</v>
      </c>
      <c r="E45" s="2085">
        <v>1736805</v>
      </c>
      <c r="F45" s="2083">
        <f t="shared" si="4"/>
        <v>5210415</v>
      </c>
      <c r="G45" s="2175">
        <f t="shared" si="0"/>
        <v>1563125</v>
      </c>
      <c r="H45" s="2175">
        <f t="shared" si="1"/>
        <v>1910486</v>
      </c>
      <c r="I45" s="844"/>
    </row>
    <row r="46" spans="1:9" ht="33" x14ac:dyDescent="0.3">
      <c r="A46" s="1463" t="s">
        <v>8733</v>
      </c>
      <c r="B46" s="2181" t="s">
        <v>9156</v>
      </c>
      <c r="C46" s="832" t="s">
        <v>5424</v>
      </c>
      <c r="D46" s="1075">
        <v>3</v>
      </c>
      <c r="E46" s="2085">
        <v>14778564</v>
      </c>
      <c r="F46" s="2083">
        <f t="shared" si="4"/>
        <v>44335692</v>
      </c>
      <c r="G46" s="2175">
        <f t="shared" si="0"/>
        <v>13300708</v>
      </c>
      <c r="H46" s="2175">
        <f t="shared" si="1"/>
        <v>16256420</v>
      </c>
      <c r="I46" s="844"/>
    </row>
    <row r="47" spans="1:9" ht="33" x14ac:dyDescent="0.3">
      <c r="A47" s="1463" t="s">
        <v>8885</v>
      </c>
      <c r="B47" s="2181" t="s">
        <v>9171</v>
      </c>
      <c r="C47" s="832" t="s">
        <v>5424</v>
      </c>
      <c r="D47" s="1075">
        <v>3</v>
      </c>
      <c r="E47" s="2085">
        <v>1694509</v>
      </c>
      <c r="F47" s="2083">
        <f t="shared" si="4"/>
        <v>5083527</v>
      </c>
      <c r="G47" s="2175">
        <f t="shared" si="0"/>
        <v>1525058</v>
      </c>
      <c r="H47" s="2175">
        <f t="shared" si="1"/>
        <v>1863960</v>
      </c>
      <c r="I47" s="844"/>
    </row>
    <row r="48" spans="1:9" x14ac:dyDescent="0.3">
      <c r="A48" s="1463" t="s">
        <v>8731</v>
      </c>
      <c r="B48" s="2181" t="s">
        <v>9172</v>
      </c>
      <c r="C48" s="832" t="s">
        <v>5424</v>
      </c>
      <c r="D48" s="1075">
        <v>3</v>
      </c>
      <c r="E48" s="2085">
        <v>1403876</v>
      </c>
      <c r="F48" s="2083">
        <f t="shared" si="4"/>
        <v>4211628</v>
      </c>
      <c r="G48" s="2175">
        <f t="shared" si="0"/>
        <v>1263488</v>
      </c>
      <c r="H48" s="2175">
        <f t="shared" si="1"/>
        <v>1544264</v>
      </c>
      <c r="I48" s="844"/>
    </row>
    <row r="49" spans="1:9" ht="33" x14ac:dyDescent="0.3">
      <c r="A49" s="1463" t="s">
        <v>8932</v>
      </c>
      <c r="B49" s="2181" t="s">
        <v>9173</v>
      </c>
      <c r="C49" s="832" t="s">
        <v>5424</v>
      </c>
      <c r="D49" s="1075">
        <v>3</v>
      </c>
      <c r="E49" s="2085">
        <v>21089547</v>
      </c>
      <c r="F49" s="2083">
        <f t="shared" si="4"/>
        <v>63268641</v>
      </c>
      <c r="G49" s="2175">
        <f t="shared" si="0"/>
        <v>18980592</v>
      </c>
      <c r="H49" s="2175">
        <f t="shared" si="1"/>
        <v>23198502</v>
      </c>
      <c r="I49" s="844"/>
    </row>
    <row r="50" spans="1:9" ht="19.5" customHeight="1" x14ac:dyDescent="0.3">
      <c r="A50" s="1463" t="s">
        <v>8736</v>
      </c>
      <c r="B50" s="1436" t="s">
        <v>9127</v>
      </c>
      <c r="C50" s="832" t="s">
        <v>5424</v>
      </c>
      <c r="D50" s="1075">
        <v>3</v>
      </c>
      <c r="E50" s="2085">
        <v>150435</v>
      </c>
      <c r="F50" s="2083">
        <f t="shared" si="4"/>
        <v>451305</v>
      </c>
      <c r="G50" s="2175">
        <f t="shared" si="0"/>
        <v>135392</v>
      </c>
      <c r="H50" s="2175">
        <f t="shared" si="1"/>
        <v>165479</v>
      </c>
      <c r="I50" s="844"/>
    </row>
    <row r="51" spans="1:9" ht="20.25" customHeight="1" x14ac:dyDescent="0.3">
      <c r="A51" s="1463" t="s">
        <v>8735</v>
      </c>
      <c r="B51" s="1436" t="s">
        <v>9128</v>
      </c>
      <c r="C51" s="832" t="s">
        <v>5424</v>
      </c>
      <c r="D51" s="1075">
        <v>3</v>
      </c>
      <c r="E51" s="2085">
        <v>741632</v>
      </c>
      <c r="F51" s="2083">
        <f t="shared" si="4"/>
        <v>2224896</v>
      </c>
      <c r="G51" s="2175">
        <f t="shared" si="0"/>
        <v>667469</v>
      </c>
      <c r="H51" s="2175">
        <f t="shared" si="1"/>
        <v>815795</v>
      </c>
      <c r="I51" s="844"/>
    </row>
    <row r="52" spans="1:9" x14ac:dyDescent="0.25">
      <c r="C52" s="2332" t="s">
        <v>8069</v>
      </c>
      <c r="D52" s="2332"/>
      <c r="E52" s="2332"/>
      <c r="F52" s="2086">
        <f>+ROUND(SUM(F38:F51),0)</f>
        <v>194834543</v>
      </c>
    </row>
    <row r="55" spans="1:9" x14ac:dyDescent="0.25">
      <c r="C55" s="2081"/>
      <c r="D55" s="2081"/>
      <c r="E55" s="2081"/>
      <c r="F55" s="2081"/>
    </row>
    <row r="56" spans="1:9" x14ac:dyDescent="0.25">
      <c r="C56" s="2081"/>
      <c r="D56" s="2081"/>
      <c r="E56" s="2081"/>
      <c r="F56" s="2081"/>
    </row>
    <row r="57" spans="1:9" x14ac:dyDescent="0.25">
      <c r="C57" s="2081"/>
      <c r="D57" s="2081"/>
      <c r="E57" s="2081"/>
      <c r="F57" s="2081"/>
    </row>
    <row r="58" spans="1:9" x14ac:dyDescent="0.25">
      <c r="C58" s="2081"/>
      <c r="D58" s="2081"/>
      <c r="E58" s="2081"/>
      <c r="F58" s="2081"/>
    </row>
    <row r="59" spans="1:9" x14ac:dyDescent="0.25">
      <c r="C59" s="2081"/>
      <c r="D59" s="2081"/>
      <c r="E59" s="2081"/>
      <c r="F59" s="2081"/>
    </row>
    <row r="60" spans="1:9" x14ac:dyDescent="0.25">
      <c r="C60" s="2081"/>
      <c r="D60" s="2081"/>
      <c r="E60" s="2081"/>
      <c r="F60" s="2081"/>
    </row>
  </sheetData>
  <sheetProtection algorithmName="SHA-512" hashValue="X0XKS9WqlEzo3sbT44urJoKdj2GeYmr8uak4HrSXamR39naU48ijCyptI8Ed+zmwQYeFooakssneXm6w/f70eQ==" saltValue="XAqRhu/lNyQWwtPkNqs55Q==" spinCount="100000" sheet="1" objects="1" scenarios="1" selectLockedCells="1" selectUnlockedCells="1"/>
  <sortState ref="A33:F46">
    <sortCondition ref="A33:A46"/>
  </sortState>
  <mergeCells count="8">
    <mergeCell ref="A1:H3"/>
    <mergeCell ref="A4:H4"/>
    <mergeCell ref="G35:H36"/>
    <mergeCell ref="C52:E52"/>
    <mergeCell ref="A37:B37"/>
    <mergeCell ref="A36:F36"/>
    <mergeCell ref="A5:B5"/>
    <mergeCell ref="C35:E35"/>
  </mergeCells>
  <pageMargins left="0.70866141732283472" right="0.70866141732283472" top="0.74803149606299213" bottom="0.74803149606299213" header="0.31496062992125984" footer="0.31496062992125984"/>
  <pageSetup scale="57" fitToHeight="0" orientation="portrait" r:id="rId1"/>
  <rowBreaks count="1" manualBreakCount="1">
    <brk id="36" max="7"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I21"/>
  <sheetViews>
    <sheetView view="pageBreakPreview" zoomScale="85" zoomScaleNormal="100" zoomScaleSheetLayoutView="85" workbookViewId="0">
      <selection activeCell="G43" sqref="G43"/>
    </sheetView>
  </sheetViews>
  <sheetFormatPr baseColWidth="10" defaultColWidth="11.42578125" defaultRowHeight="16.5" x14ac:dyDescent="0.3"/>
  <cols>
    <col min="1" max="1" width="6.7109375" style="844" customWidth="1"/>
    <col min="2" max="2" width="79.7109375" style="844" bestFit="1" customWidth="1"/>
    <col min="3" max="3" width="6.42578125" style="844" bestFit="1" customWidth="1"/>
    <col min="4" max="4" width="7.42578125" style="844" bestFit="1" customWidth="1"/>
    <col min="5" max="5" width="12.42578125" style="844" bestFit="1" customWidth="1"/>
    <col min="6" max="6" width="16.7109375" style="844" bestFit="1" customWidth="1"/>
    <col min="7" max="7" width="18.7109375" style="844" customWidth="1"/>
    <col min="8" max="8" width="19" style="844" customWidth="1"/>
    <col min="9" max="16384" width="11.42578125" style="844"/>
  </cols>
  <sheetData>
    <row r="1" spans="1:8" ht="16.5" customHeight="1" x14ac:dyDescent="0.3">
      <c r="A1" s="2326" t="s">
        <v>9817</v>
      </c>
      <c r="B1" s="2326"/>
      <c r="C1" s="2326"/>
      <c r="D1" s="2326"/>
      <c r="E1" s="2326"/>
      <c r="F1" s="2326"/>
      <c r="G1" s="2326"/>
      <c r="H1" s="2326"/>
    </row>
    <row r="2" spans="1:8" ht="48" customHeight="1" x14ac:dyDescent="0.3">
      <c r="A2" s="2326"/>
      <c r="B2" s="2326"/>
      <c r="C2" s="2326"/>
      <c r="D2" s="2326"/>
      <c r="E2" s="2326"/>
      <c r="F2" s="2326"/>
      <c r="G2" s="2326"/>
      <c r="H2" s="2326"/>
    </row>
    <row r="3" spans="1:8" ht="15" hidden="1" customHeight="1" x14ac:dyDescent="0.3">
      <c r="A3" s="2326"/>
      <c r="B3" s="2326"/>
      <c r="C3" s="2326"/>
      <c r="D3" s="2326"/>
      <c r="E3" s="2326"/>
      <c r="F3" s="2326"/>
      <c r="G3" s="2326"/>
      <c r="H3" s="2326"/>
    </row>
    <row r="4" spans="1:8" ht="18.75" customHeight="1" x14ac:dyDescent="0.3">
      <c r="A4" s="2327" t="s">
        <v>8637</v>
      </c>
      <c r="B4" s="2327"/>
      <c r="C4" s="2327"/>
      <c r="D4" s="2327"/>
      <c r="E4" s="2327"/>
      <c r="F4" s="2327"/>
      <c r="G4" s="2327"/>
      <c r="H4" s="2327"/>
    </row>
    <row r="5" spans="1:8" x14ac:dyDescent="0.3">
      <c r="A5" s="2321" t="s">
        <v>2</v>
      </c>
      <c r="B5" s="2321"/>
      <c r="C5" s="947" t="s">
        <v>6616</v>
      </c>
      <c r="D5" s="2062" t="s">
        <v>6617</v>
      </c>
      <c r="E5" s="948" t="s">
        <v>6618</v>
      </c>
      <c r="F5" s="949" t="s">
        <v>9831</v>
      </c>
      <c r="G5" s="949" t="s">
        <v>9864</v>
      </c>
      <c r="H5" s="949" t="s">
        <v>9865</v>
      </c>
    </row>
    <row r="6" spans="1:8" x14ac:dyDescent="0.3">
      <c r="A6" s="861"/>
      <c r="B6" s="885" t="s">
        <v>8167</v>
      </c>
      <c r="C6" s="849"/>
      <c r="D6" s="845"/>
      <c r="E6" s="846"/>
      <c r="F6" s="847"/>
      <c r="G6" s="847"/>
      <c r="H6" s="847"/>
    </row>
    <row r="7" spans="1:8" x14ac:dyDescent="0.3">
      <c r="A7" s="1453">
        <v>1.1000000000000001</v>
      </c>
      <c r="B7" s="844" t="s">
        <v>7204</v>
      </c>
      <c r="C7" s="853" t="s">
        <v>5734</v>
      </c>
      <c r="D7" s="851">
        <v>67.78</v>
      </c>
      <c r="E7" s="2066">
        <v>1913</v>
      </c>
      <c r="F7" s="2091">
        <f>ROUND(E7*D7,0)</f>
        <v>129663</v>
      </c>
      <c r="G7" s="2176">
        <f>+ROUND(E7*0.9,0)</f>
        <v>1722</v>
      </c>
      <c r="H7" s="2176">
        <f>+ROUND(E7*1.1,0)</f>
        <v>2104</v>
      </c>
    </row>
    <row r="8" spans="1:8" x14ac:dyDescent="0.3">
      <c r="A8" s="860"/>
      <c r="B8" s="859" t="s">
        <v>6626</v>
      </c>
      <c r="C8" s="834"/>
      <c r="D8" s="2088"/>
      <c r="E8" s="2089"/>
      <c r="F8" s="836"/>
      <c r="G8" s="836"/>
      <c r="H8" s="836"/>
    </row>
    <row r="9" spans="1:8" x14ac:dyDescent="0.3">
      <c r="A9" s="1453" t="s">
        <v>89</v>
      </c>
      <c r="B9" s="1449" t="s">
        <v>9005</v>
      </c>
      <c r="C9" s="853" t="s">
        <v>6858</v>
      </c>
      <c r="D9" s="893">
        <v>8.9</v>
      </c>
      <c r="E9" s="2066">
        <v>53003</v>
      </c>
      <c r="F9" s="2091">
        <f>ROUND(E9*D9,0)</f>
        <v>471727</v>
      </c>
      <c r="G9" s="2176">
        <f t="shared" ref="G9:G16" si="0">+ROUND(E9*0.9,0)</f>
        <v>47703</v>
      </c>
      <c r="H9" s="2176">
        <f t="shared" ref="H9:H16" si="1">+ROUND(E9*1.1,0)</f>
        <v>58303</v>
      </c>
    </row>
    <row r="10" spans="1:8" x14ac:dyDescent="0.3">
      <c r="A10" s="860"/>
      <c r="B10" s="859" t="s">
        <v>6647</v>
      </c>
      <c r="C10" s="849"/>
      <c r="D10" s="845"/>
      <c r="E10" s="2090"/>
      <c r="F10" s="856"/>
      <c r="G10" s="2182"/>
      <c r="H10" s="2182"/>
    </row>
    <row r="11" spans="1:8" x14ac:dyDescent="0.3">
      <c r="A11" s="1453" t="s">
        <v>123</v>
      </c>
      <c r="B11" s="838" t="s">
        <v>9009</v>
      </c>
      <c r="C11" s="853" t="s">
        <v>8954</v>
      </c>
      <c r="D11" s="893">
        <v>20</v>
      </c>
      <c r="E11" s="2066">
        <v>43085</v>
      </c>
      <c r="F11" s="2091">
        <f t="shared" ref="F11:F16" si="2">ROUND(E11*D11,0)</f>
        <v>861700</v>
      </c>
      <c r="G11" s="2176">
        <f t="shared" si="0"/>
        <v>38777</v>
      </c>
      <c r="H11" s="2176">
        <f t="shared" si="1"/>
        <v>47394</v>
      </c>
    </row>
    <row r="12" spans="1:8" x14ac:dyDescent="0.3">
      <c r="A12" s="1453" t="s">
        <v>8578</v>
      </c>
      <c r="B12" s="1654" t="s">
        <v>6688</v>
      </c>
      <c r="C12" s="853" t="s">
        <v>6858</v>
      </c>
      <c r="D12" s="893">
        <v>8.8800000000000008</v>
      </c>
      <c r="E12" s="2066">
        <v>472252</v>
      </c>
      <c r="F12" s="2091">
        <f t="shared" si="2"/>
        <v>4193598</v>
      </c>
      <c r="G12" s="2176">
        <f t="shared" si="0"/>
        <v>425027</v>
      </c>
      <c r="H12" s="2176">
        <f t="shared" si="1"/>
        <v>519477</v>
      </c>
    </row>
    <row r="13" spans="1:8" x14ac:dyDescent="0.3">
      <c r="A13" s="1453" t="s">
        <v>233</v>
      </c>
      <c r="B13" s="1654" t="s">
        <v>5573</v>
      </c>
      <c r="C13" s="853" t="s">
        <v>5431</v>
      </c>
      <c r="D13" s="893">
        <v>532.80000000000007</v>
      </c>
      <c r="E13" s="2066">
        <v>3841</v>
      </c>
      <c r="F13" s="2091">
        <f t="shared" si="2"/>
        <v>2046485</v>
      </c>
      <c r="G13" s="2176">
        <f t="shared" si="0"/>
        <v>3457</v>
      </c>
      <c r="H13" s="2176">
        <f t="shared" si="1"/>
        <v>4225</v>
      </c>
    </row>
    <row r="14" spans="1:8" x14ac:dyDescent="0.3">
      <c r="A14" s="860"/>
      <c r="B14" s="859" t="s">
        <v>7960</v>
      </c>
      <c r="C14" s="849"/>
      <c r="D14" s="845"/>
      <c r="E14" s="2090"/>
      <c r="F14" s="856"/>
      <c r="G14" s="2182"/>
      <c r="H14" s="2182"/>
    </row>
    <row r="15" spans="1:8" x14ac:dyDescent="0.3">
      <c r="A15" s="1453" t="s">
        <v>8624</v>
      </c>
      <c r="B15" s="1449" t="s">
        <v>8532</v>
      </c>
      <c r="C15" s="853" t="s">
        <v>5402</v>
      </c>
      <c r="D15" s="893">
        <v>67.78</v>
      </c>
      <c r="E15" s="2066">
        <v>131553</v>
      </c>
      <c r="F15" s="2091">
        <f t="shared" si="2"/>
        <v>8916662</v>
      </c>
      <c r="G15" s="2176">
        <f t="shared" si="0"/>
        <v>118398</v>
      </c>
      <c r="H15" s="2176">
        <f t="shared" si="1"/>
        <v>144708</v>
      </c>
    </row>
    <row r="16" spans="1:8" x14ac:dyDescent="0.3">
      <c r="A16" s="1453" t="s">
        <v>9058</v>
      </c>
      <c r="B16" s="838" t="s">
        <v>9067</v>
      </c>
      <c r="C16" s="853" t="s">
        <v>5402</v>
      </c>
      <c r="D16" s="893">
        <v>2240</v>
      </c>
      <c r="E16" s="2066">
        <v>34214</v>
      </c>
      <c r="F16" s="2091">
        <f t="shared" si="2"/>
        <v>76639360</v>
      </c>
      <c r="G16" s="2176">
        <f t="shared" si="0"/>
        <v>30793</v>
      </c>
      <c r="H16" s="2176">
        <f t="shared" si="1"/>
        <v>37635</v>
      </c>
    </row>
    <row r="17" spans="1:9" x14ac:dyDescent="0.3">
      <c r="A17" s="1451"/>
      <c r="B17" s="1449"/>
      <c r="C17" s="2347" t="s">
        <v>8068</v>
      </c>
      <c r="D17" s="2348"/>
      <c r="E17" s="2349"/>
      <c r="F17" s="2092">
        <f>+ROUND(SUM(F6:F16),0)</f>
        <v>93259195</v>
      </c>
      <c r="G17" s="2339"/>
      <c r="H17" s="2340"/>
    </row>
    <row r="18" spans="1:9" x14ac:dyDescent="0.3">
      <c r="A18" s="2344"/>
      <c r="B18" s="2345"/>
      <c r="C18" s="2345"/>
      <c r="D18" s="2345"/>
      <c r="E18" s="2345"/>
      <c r="F18" s="2346"/>
      <c r="G18" s="2341"/>
      <c r="H18" s="2342"/>
    </row>
    <row r="19" spans="1:9" x14ac:dyDescent="0.3">
      <c r="A19" s="2321" t="s">
        <v>8351</v>
      </c>
      <c r="B19" s="2321"/>
      <c r="C19" s="947" t="s">
        <v>6616</v>
      </c>
      <c r="D19" s="2062" t="s">
        <v>6617</v>
      </c>
      <c r="E19" s="948" t="s">
        <v>6618</v>
      </c>
      <c r="F19" s="949" t="s">
        <v>9831</v>
      </c>
      <c r="G19" s="949" t="s">
        <v>9864</v>
      </c>
      <c r="H19" s="949" t="s">
        <v>9865</v>
      </c>
    </row>
    <row r="20" spans="1:9" s="838" customFormat="1" x14ac:dyDescent="0.3">
      <c r="A20" s="2094" t="s">
        <v>8871</v>
      </c>
      <c r="B20" s="1459" t="s">
        <v>9710</v>
      </c>
      <c r="C20" s="1450" t="s">
        <v>5402</v>
      </c>
      <c r="D20" s="2093">
        <v>67.78</v>
      </c>
      <c r="E20" s="2085">
        <v>874469</v>
      </c>
      <c r="F20" s="2091">
        <f t="shared" ref="F20" si="3">ROUND(E20*D20,0)</f>
        <v>59271509</v>
      </c>
      <c r="G20" s="2176">
        <f t="shared" ref="G20" si="4">+ROUND(E20*0.9,0)</f>
        <v>787022</v>
      </c>
      <c r="H20" s="2176">
        <f t="shared" ref="H20" si="5">+ROUND(E20*1.1,0)</f>
        <v>961916</v>
      </c>
      <c r="I20" s="844"/>
    </row>
    <row r="21" spans="1:9" x14ac:dyDescent="0.3">
      <c r="C21" s="2343" t="s">
        <v>8069</v>
      </c>
      <c r="D21" s="2343"/>
      <c r="E21" s="2343"/>
      <c r="F21" s="2095">
        <f>+ROUND(SUM(F20:F20),0)</f>
        <v>59271509</v>
      </c>
    </row>
  </sheetData>
  <sheetProtection algorithmName="SHA-512" hashValue="hrowQXqs7PQP5A7hkPPsma/yapU7VNh3Q9NzGxxggrK1xnc3E3Ig0NeJib+67VD6vgt833tlAXaD5qPJQjOUFA==" saltValue="oYEjsKgVrQh2YvKmDCQbtA==" spinCount="100000" sheet="1" objects="1" scenarios="1" selectLockedCells="1" selectUnlockedCells="1"/>
  <mergeCells count="8">
    <mergeCell ref="A1:H3"/>
    <mergeCell ref="A4:H4"/>
    <mergeCell ref="G17:H18"/>
    <mergeCell ref="C21:E21"/>
    <mergeCell ref="A19:B19"/>
    <mergeCell ref="A18:F18"/>
    <mergeCell ref="A5:B5"/>
    <mergeCell ref="C17:E17"/>
  </mergeCells>
  <pageMargins left="0.70866141732283472" right="0.70866141732283472" top="0.74803149606299213" bottom="0.74803149606299213" header="0.31496062992125984" footer="0.31496062992125984"/>
  <pageSetup scale="54"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I86"/>
  <sheetViews>
    <sheetView view="pageBreakPreview" topLeftCell="A70" zoomScaleNormal="100" zoomScaleSheetLayoutView="100" workbookViewId="0">
      <selection activeCell="C63" sqref="C63:E63"/>
    </sheetView>
  </sheetViews>
  <sheetFormatPr baseColWidth="10" defaultRowHeight="16.5" x14ac:dyDescent="0.3"/>
  <cols>
    <col min="1" max="1" width="6.7109375" style="844" customWidth="1"/>
    <col min="2" max="2" width="70.5703125" style="844" bestFit="1" customWidth="1"/>
    <col min="3" max="3" width="6.42578125" style="844" bestFit="1" customWidth="1"/>
    <col min="4" max="4" width="11.5703125" style="844" customWidth="1"/>
    <col min="5" max="5" width="13.85546875" style="844" bestFit="1" customWidth="1"/>
    <col min="6" max="6" width="18.28515625" style="844" bestFit="1" customWidth="1"/>
    <col min="7" max="7" width="18.28515625" style="844" customWidth="1"/>
    <col min="8" max="8" width="17.7109375" style="844" customWidth="1"/>
    <col min="9" max="16384" width="11.42578125" style="844"/>
  </cols>
  <sheetData>
    <row r="1" spans="1:8" ht="35.25" customHeight="1" x14ac:dyDescent="0.3">
      <c r="A1" s="2350" t="s">
        <v>9817</v>
      </c>
      <c r="B1" s="2351"/>
      <c r="C1" s="2351"/>
      <c r="D1" s="2351"/>
      <c r="E1" s="2351"/>
      <c r="F1" s="2351"/>
      <c r="G1" s="2351"/>
      <c r="H1" s="2351"/>
    </row>
    <row r="2" spans="1:8" ht="6" customHeight="1" x14ac:dyDescent="0.3">
      <c r="A2" s="2350"/>
      <c r="B2" s="2351"/>
      <c r="C2" s="2351"/>
      <c r="D2" s="2351"/>
      <c r="E2" s="2351"/>
      <c r="F2" s="2351"/>
      <c r="G2" s="2351"/>
      <c r="H2" s="2351"/>
    </row>
    <row r="3" spans="1:8" ht="15" customHeight="1" x14ac:dyDescent="0.3">
      <c r="A3" s="2350"/>
      <c r="B3" s="2351"/>
      <c r="C3" s="2351"/>
      <c r="D3" s="2351"/>
      <c r="E3" s="2351"/>
      <c r="F3" s="2351"/>
      <c r="G3" s="2351"/>
      <c r="H3" s="2351"/>
    </row>
    <row r="4" spans="1:8" ht="15" customHeight="1" x14ac:dyDescent="0.3">
      <c r="A4" s="2327" t="s">
        <v>8638</v>
      </c>
      <c r="B4" s="2327"/>
      <c r="C4" s="2327"/>
      <c r="D4" s="2327"/>
      <c r="E4" s="2327"/>
      <c r="F4" s="2327"/>
      <c r="G4" s="2327"/>
      <c r="H4" s="2327"/>
    </row>
    <row r="5" spans="1:8" x14ac:dyDescent="0.3">
      <c r="A5" s="2354" t="s">
        <v>2</v>
      </c>
      <c r="B5" s="2354"/>
      <c r="C5" s="2184" t="s">
        <v>6616</v>
      </c>
      <c r="D5" s="2185" t="s">
        <v>6617</v>
      </c>
      <c r="E5" s="2186" t="s">
        <v>6618</v>
      </c>
      <c r="F5" s="2187" t="s">
        <v>9831</v>
      </c>
      <c r="G5" s="949" t="s">
        <v>9864</v>
      </c>
      <c r="H5" s="949" t="s">
        <v>9865</v>
      </c>
    </row>
    <row r="6" spans="1:8" x14ac:dyDescent="0.3">
      <c r="A6" s="861"/>
      <c r="B6" s="885" t="s">
        <v>8167</v>
      </c>
      <c r="C6" s="849"/>
      <c r="D6" s="845"/>
      <c r="E6" s="846"/>
      <c r="F6" s="847"/>
      <c r="G6" s="836"/>
      <c r="H6" s="836"/>
    </row>
    <row r="7" spans="1:8" ht="21" x14ac:dyDescent="0.6">
      <c r="A7" s="1453">
        <v>1.1000000000000001</v>
      </c>
      <c r="B7" s="844" t="s">
        <v>7204</v>
      </c>
      <c r="C7" s="853" t="s">
        <v>5734</v>
      </c>
      <c r="D7" s="2259">
        <v>11890</v>
      </c>
      <c r="E7" s="2066">
        <v>1913</v>
      </c>
      <c r="F7" s="2260">
        <f>ROUND(E7*D7,0)</f>
        <v>22745570</v>
      </c>
      <c r="G7" s="2176">
        <f>+ROUND(E7*0.9,0)</f>
        <v>1722</v>
      </c>
      <c r="H7" s="2176">
        <f>+ROUND(E7*1.1,0)</f>
        <v>2104</v>
      </c>
    </row>
    <row r="8" spans="1:8" x14ac:dyDescent="0.3">
      <c r="A8" s="860"/>
      <c r="B8" s="859" t="s">
        <v>6626</v>
      </c>
      <c r="C8" s="834"/>
      <c r="D8" s="2088"/>
      <c r="E8" s="2089"/>
      <c r="F8" s="836"/>
      <c r="G8" s="836"/>
      <c r="H8" s="836"/>
    </row>
    <row r="9" spans="1:8" ht="21" x14ac:dyDescent="0.6">
      <c r="A9" s="1453" t="s">
        <v>5458</v>
      </c>
      <c r="B9" s="1449" t="s">
        <v>5968</v>
      </c>
      <c r="C9" s="853" t="s">
        <v>6858</v>
      </c>
      <c r="D9" s="2259">
        <v>11449.1</v>
      </c>
      <c r="E9" s="2066">
        <v>24270</v>
      </c>
      <c r="F9" s="2260">
        <f t="shared" ref="F9:F11" si="0">ROUND(E9*D9,0)</f>
        <v>277869657</v>
      </c>
      <c r="G9" s="2176">
        <f t="shared" ref="G9:G62" si="1">+ROUND(E9*0.9,0)</f>
        <v>21843</v>
      </c>
      <c r="H9" s="2176">
        <f t="shared" ref="H9:H62" si="2">+ROUND(E9*1.1,0)</f>
        <v>26697</v>
      </c>
    </row>
    <row r="10" spans="1:8" x14ac:dyDescent="0.3">
      <c r="A10" s="1453" t="s">
        <v>89</v>
      </c>
      <c r="B10" s="1449" t="s">
        <v>9005</v>
      </c>
      <c r="C10" s="853" t="s">
        <v>6858</v>
      </c>
      <c r="D10" s="893">
        <v>898.43</v>
      </c>
      <c r="E10" s="2066">
        <v>53003</v>
      </c>
      <c r="F10" s="2091">
        <f t="shared" si="0"/>
        <v>47619485</v>
      </c>
      <c r="G10" s="2176">
        <f t="shared" si="1"/>
        <v>47703</v>
      </c>
      <c r="H10" s="2176">
        <f t="shared" si="2"/>
        <v>58303</v>
      </c>
    </row>
    <row r="11" spans="1:8" x14ac:dyDescent="0.3">
      <c r="A11" s="1453" t="s">
        <v>90</v>
      </c>
      <c r="B11" s="838" t="s">
        <v>9051</v>
      </c>
      <c r="C11" s="853" t="s">
        <v>6858</v>
      </c>
      <c r="D11" s="893">
        <v>5121.04</v>
      </c>
      <c r="E11" s="2066">
        <v>7086</v>
      </c>
      <c r="F11" s="2091">
        <f t="shared" si="0"/>
        <v>36287689</v>
      </c>
      <c r="G11" s="2176">
        <f t="shared" si="1"/>
        <v>6377</v>
      </c>
      <c r="H11" s="2176">
        <f t="shared" si="2"/>
        <v>7795</v>
      </c>
    </row>
    <row r="12" spans="1:8" x14ac:dyDescent="0.3">
      <c r="A12" s="860"/>
      <c r="B12" s="859" t="s">
        <v>9036</v>
      </c>
      <c r="C12" s="849"/>
      <c r="D12" s="845"/>
      <c r="E12" s="2090"/>
      <c r="F12" s="856"/>
      <c r="G12" s="856"/>
      <c r="H12" s="856"/>
    </row>
    <row r="13" spans="1:8" x14ac:dyDescent="0.3">
      <c r="A13" s="1453" t="s">
        <v>98</v>
      </c>
      <c r="B13" s="1449" t="s">
        <v>6632</v>
      </c>
      <c r="C13" s="853" t="s">
        <v>7941</v>
      </c>
      <c r="D13" s="893">
        <v>25570.74</v>
      </c>
      <c r="E13" s="2066">
        <v>2912</v>
      </c>
      <c r="F13" s="2091">
        <f t="shared" ref="F13:F16" si="3">ROUND(E13*D13,0)</f>
        <v>74461995</v>
      </c>
      <c r="G13" s="2176">
        <f t="shared" si="1"/>
        <v>2621</v>
      </c>
      <c r="H13" s="2176">
        <f t="shared" si="2"/>
        <v>3203</v>
      </c>
    </row>
    <row r="14" spans="1:8" x14ac:dyDescent="0.3">
      <c r="A14" s="1453" t="s">
        <v>99</v>
      </c>
      <c r="B14" s="1449" t="s">
        <v>9396</v>
      </c>
      <c r="C14" s="853" t="s">
        <v>6414</v>
      </c>
      <c r="D14" s="893">
        <v>5500</v>
      </c>
      <c r="E14" s="2066">
        <v>2559</v>
      </c>
      <c r="F14" s="2091">
        <f t="shared" si="3"/>
        <v>14074500</v>
      </c>
      <c r="G14" s="2176">
        <f t="shared" si="1"/>
        <v>2303</v>
      </c>
      <c r="H14" s="2176">
        <f t="shared" si="2"/>
        <v>2815</v>
      </c>
    </row>
    <row r="15" spans="1:8" x14ac:dyDescent="0.3">
      <c r="A15" s="1453" t="s">
        <v>5976</v>
      </c>
      <c r="B15" s="1654" t="s">
        <v>7982</v>
      </c>
      <c r="C15" s="853" t="s">
        <v>6858</v>
      </c>
      <c r="D15" s="1458">
        <v>2342.94</v>
      </c>
      <c r="E15" s="2066">
        <v>34912</v>
      </c>
      <c r="F15" s="2091">
        <f t="shared" si="3"/>
        <v>81796721</v>
      </c>
      <c r="G15" s="2176">
        <f t="shared" si="1"/>
        <v>31421</v>
      </c>
      <c r="H15" s="2176">
        <f t="shared" si="2"/>
        <v>38403</v>
      </c>
    </row>
    <row r="16" spans="1:8" x14ac:dyDescent="0.3">
      <c r="A16" s="1453" t="s">
        <v>101</v>
      </c>
      <c r="B16" s="1449" t="s">
        <v>6391</v>
      </c>
      <c r="C16" s="853" t="s">
        <v>5424</v>
      </c>
      <c r="D16" s="893">
        <v>3</v>
      </c>
      <c r="E16" s="2066">
        <v>1568280</v>
      </c>
      <c r="F16" s="2091">
        <f t="shared" si="3"/>
        <v>4704840</v>
      </c>
      <c r="G16" s="2176">
        <f t="shared" si="1"/>
        <v>1411452</v>
      </c>
      <c r="H16" s="2176">
        <f t="shared" si="2"/>
        <v>1725108</v>
      </c>
    </row>
    <row r="17" spans="1:8" x14ac:dyDescent="0.3">
      <c r="A17" s="860"/>
      <c r="B17" s="859" t="s">
        <v>8955</v>
      </c>
      <c r="C17" s="849"/>
      <c r="D17" s="845"/>
      <c r="E17" s="2090"/>
      <c r="F17" s="856"/>
      <c r="G17" s="856"/>
      <c r="H17" s="856"/>
    </row>
    <row r="18" spans="1:8" x14ac:dyDescent="0.3">
      <c r="A18" s="1453" t="s">
        <v>8571</v>
      </c>
      <c r="B18" s="1449" t="s">
        <v>8998</v>
      </c>
      <c r="C18" s="853" t="s">
        <v>5402</v>
      </c>
      <c r="D18" s="893">
        <v>10</v>
      </c>
      <c r="E18" s="2066">
        <v>25412</v>
      </c>
      <c r="F18" s="2091">
        <f t="shared" ref="F18:F62" si="4">ROUND(E18*D18,0)</f>
        <v>254120</v>
      </c>
      <c r="G18" s="2176">
        <f t="shared" si="1"/>
        <v>22871</v>
      </c>
      <c r="H18" s="2176">
        <f t="shared" si="2"/>
        <v>27953</v>
      </c>
    </row>
    <row r="19" spans="1:8" x14ac:dyDescent="0.3">
      <c r="A19" s="1453" t="s">
        <v>8573</v>
      </c>
      <c r="B19" s="1449" t="s">
        <v>8996</v>
      </c>
      <c r="C19" s="853" t="s">
        <v>5402</v>
      </c>
      <c r="D19" s="893">
        <v>4101</v>
      </c>
      <c r="E19" s="2066">
        <v>35070</v>
      </c>
      <c r="F19" s="2091">
        <f>ROUND(E19*D19,0)</f>
        <v>143822070</v>
      </c>
      <c r="G19" s="2176">
        <f t="shared" si="1"/>
        <v>31563</v>
      </c>
      <c r="H19" s="2176">
        <f t="shared" si="2"/>
        <v>38577</v>
      </c>
    </row>
    <row r="20" spans="1:8" x14ac:dyDescent="0.3">
      <c r="A20" s="1453" t="s">
        <v>8680</v>
      </c>
      <c r="B20" s="1449" t="s">
        <v>8999</v>
      </c>
      <c r="C20" s="853" t="s">
        <v>5402</v>
      </c>
      <c r="D20" s="893">
        <v>190</v>
      </c>
      <c r="E20" s="2066">
        <v>39946</v>
      </c>
      <c r="F20" s="2091">
        <f t="shared" si="4"/>
        <v>7589740</v>
      </c>
      <c r="G20" s="2176">
        <f t="shared" si="1"/>
        <v>35951</v>
      </c>
      <c r="H20" s="2176">
        <f t="shared" si="2"/>
        <v>43941</v>
      </c>
    </row>
    <row r="21" spans="1:8" x14ac:dyDescent="0.3">
      <c r="A21" s="1453" t="s">
        <v>8681</v>
      </c>
      <c r="B21" s="1079" t="s">
        <v>8997</v>
      </c>
      <c r="C21" s="853" t="s">
        <v>37</v>
      </c>
      <c r="D21" s="893">
        <v>113</v>
      </c>
      <c r="E21" s="2066">
        <v>69603</v>
      </c>
      <c r="F21" s="2091">
        <f t="shared" si="4"/>
        <v>7865139</v>
      </c>
      <c r="G21" s="2176">
        <f t="shared" si="1"/>
        <v>62643</v>
      </c>
      <c r="H21" s="2176">
        <f t="shared" si="2"/>
        <v>76563</v>
      </c>
    </row>
    <row r="22" spans="1:8" x14ac:dyDescent="0.3">
      <c r="A22" s="860"/>
      <c r="B22" s="859" t="s">
        <v>6637</v>
      </c>
      <c r="C22" s="849"/>
      <c r="D22" s="845"/>
      <c r="E22" s="2090"/>
      <c r="F22" s="856"/>
      <c r="G22" s="856"/>
      <c r="H22" s="856"/>
    </row>
    <row r="23" spans="1:8" x14ac:dyDescent="0.3">
      <c r="A23" s="1453" t="s">
        <v>8585</v>
      </c>
      <c r="B23" s="1449" t="s">
        <v>8496</v>
      </c>
      <c r="C23" s="853" t="s">
        <v>5424</v>
      </c>
      <c r="D23" s="851">
        <v>18</v>
      </c>
      <c r="E23" s="2066">
        <v>18707</v>
      </c>
      <c r="F23" s="2091">
        <f t="shared" si="4"/>
        <v>336726</v>
      </c>
      <c r="G23" s="2176">
        <f t="shared" si="1"/>
        <v>16836</v>
      </c>
      <c r="H23" s="2176">
        <f t="shared" si="2"/>
        <v>20578</v>
      </c>
    </row>
    <row r="24" spans="1:8" x14ac:dyDescent="0.3">
      <c r="A24" s="1453" t="s">
        <v>8588</v>
      </c>
      <c r="B24" s="1449" t="s">
        <v>8497</v>
      </c>
      <c r="C24" s="853" t="s">
        <v>5424</v>
      </c>
      <c r="D24" s="851">
        <v>331</v>
      </c>
      <c r="E24" s="2066">
        <v>26752</v>
      </c>
      <c r="F24" s="2091">
        <f t="shared" si="4"/>
        <v>8854912</v>
      </c>
      <c r="G24" s="2176">
        <f t="shared" si="1"/>
        <v>24077</v>
      </c>
      <c r="H24" s="2176">
        <f t="shared" si="2"/>
        <v>29427</v>
      </c>
    </row>
    <row r="25" spans="1:8" x14ac:dyDescent="0.3">
      <c r="A25" s="1453" t="s">
        <v>8590</v>
      </c>
      <c r="B25" s="1449" t="s">
        <v>8509</v>
      </c>
      <c r="C25" s="853" t="s">
        <v>5424</v>
      </c>
      <c r="D25" s="851">
        <v>754</v>
      </c>
      <c r="E25" s="2066">
        <v>38572</v>
      </c>
      <c r="F25" s="2091">
        <f t="shared" si="4"/>
        <v>29083288</v>
      </c>
      <c r="G25" s="2176">
        <f t="shared" si="1"/>
        <v>34715</v>
      </c>
      <c r="H25" s="2176">
        <f t="shared" si="2"/>
        <v>42429</v>
      </c>
    </row>
    <row r="26" spans="1:8" x14ac:dyDescent="0.3">
      <c r="A26" s="1453" t="s">
        <v>8591</v>
      </c>
      <c r="B26" s="1449" t="s">
        <v>8510</v>
      </c>
      <c r="C26" s="853" t="s">
        <v>5424</v>
      </c>
      <c r="D26" s="851">
        <v>594</v>
      </c>
      <c r="E26" s="2066">
        <v>38572</v>
      </c>
      <c r="F26" s="2091">
        <f t="shared" si="4"/>
        <v>22911768</v>
      </c>
      <c r="G26" s="2176">
        <f t="shared" si="1"/>
        <v>34715</v>
      </c>
      <c r="H26" s="2176">
        <f t="shared" si="2"/>
        <v>42429</v>
      </c>
    </row>
    <row r="27" spans="1:8" x14ac:dyDescent="0.3">
      <c r="A27" s="1453" t="s">
        <v>8620</v>
      </c>
      <c r="B27" s="1449" t="s">
        <v>9837</v>
      </c>
      <c r="C27" s="853" t="s">
        <v>5402</v>
      </c>
      <c r="D27" s="851">
        <v>172</v>
      </c>
      <c r="E27" s="2066">
        <v>13645</v>
      </c>
      <c r="F27" s="2091">
        <f t="shared" si="4"/>
        <v>2346940</v>
      </c>
      <c r="G27" s="2176">
        <f t="shared" si="1"/>
        <v>12281</v>
      </c>
      <c r="H27" s="2176">
        <f t="shared" si="2"/>
        <v>15010</v>
      </c>
    </row>
    <row r="28" spans="1:8" x14ac:dyDescent="0.3">
      <c r="A28" s="1453" t="s">
        <v>8621</v>
      </c>
      <c r="B28" s="1449" t="s">
        <v>9834</v>
      </c>
      <c r="C28" s="853" t="s">
        <v>5402</v>
      </c>
      <c r="D28" s="851">
        <v>7615</v>
      </c>
      <c r="E28" s="2066">
        <v>21995</v>
      </c>
      <c r="F28" s="2091">
        <f t="shared" si="4"/>
        <v>167491925</v>
      </c>
      <c r="G28" s="2176">
        <f t="shared" si="1"/>
        <v>19796</v>
      </c>
      <c r="H28" s="2176">
        <f t="shared" si="2"/>
        <v>24195</v>
      </c>
    </row>
    <row r="29" spans="1:8" x14ac:dyDescent="0.3">
      <c r="A29" s="1453" t="s">
        <v>9835</v>
      </c>
      <c r="B29" s="1449" t="s">
        <v>9836</v>
      </c>
      <c r="C29" s="853" t="s">
        <v>5402</v>
      </c>
      <c r="D29" s="851">
        <v>280</v>
      </c>
      <c r="E29" s="2066">
        <v>25545</v>
      </c>
      <c r="F29" s="2091">
        <f t="shared" si="4"/>
        <v>7152600</v>
      </c>
      <c r="G29" s="2176">
        <f t="shared" si="1"/>
        <v>22991</v>
      </c>
      <c r="H29" s="2176">
        <f t="shared" si="2"/>
        <v>28100</v>
      </c>
    </row>
    <row r="30" spans="1:8" x14ac:dyDescent="0.3">
      <c r="A30" s="1453" t="s">
        <v>8622</v>
      </c>
      <c r="B30" s="1449" t="s">
        <v>9072</v>
      </c>
      <c r="C30" s="853" t="s">
        <v>5402</v>
      </c>
      <c r="D30" s="851">
        <v>7415</v>
      </c>
      <c r="E30" s="2066">
        <v>25545</v>
      </c>
      <c r="F30" s="2091">
        <f>ROUND(E30*D30,0)</f>
        <v>189416175</v>
      </c>
      <c r="G30" s="2176">
        <f t="shared" si="1"/>
        <v>22991</v>
      </c>
      <c r="H30" s="2176">
        <f t="shared" si="2"/>
        <v>28100</v>
      </c>
    </row>
    <row r="31" spans="1:8" x14ac:dyDescent="0.3">
      <c r="A31" s="1453" t="s">
        <v>1071</v>
      </c>
      <c r="B31" s="1449" t="s">
        <v>8529</v>
      </c>
      <c r="C31" s="853" t="s">
        <v>5402</v>
      </c>
      <c r="D31" s="851">
        <v>132</v>
      </c>
      <c r="E31" s="2066">
        <v>89079</v>
      </c>
      <c r="F31" s="2091">
        <f t="shared" si="4"/>
        <v>11758428</v>
      </c>
      <c r="G31" s="2176">
        <f t="shared" si="1"/>
        <v>80171</v>
      </c>
      <c r="H31" s="2176">
        <f t="shared" si="2"/>
        <v>97987</v>
      </c>
    </row>
    <row r="32" spans="1:8" x14ac:dyDescent="0.3">
      <c r="A32" s="1453" t="s">
        <v>1075</v>
      </c>
      <c r="B32" s="1449" t="s">
        <v>8531</v>
      </c>
      <c r="C32" s="853" t="s">
        <v>5402</v>
      </c>
      <c r="D32" s="851">
        <v>29</v>
      </c>
      <c r="E32" s="2066">
        <v>106069</v>
      </c>
      <c r="F32" s="2091">
        <f t="shared" si="4"/>
        <v>3076001</v>
      </c>
      <c r="G32" s="2176">
        <f t="shared" si="1"/>
        <v>95462</v>
      </c>
      <c r="H32" s="2176">
        <f t="shared" si="2"/>
        <v>116676</v>
      </c>
    </row>
    <row r="33" spans="1:8" x14ac:dyDescent="0.3">
      <c r="A33" s="1453" t="s">
        <v>8623</v>
      </c>
      <c r="B33" s="1449" t="s">
        <v>8533</v>
      </c>
      <c r="C33" s="853" t="s">
        <v>5402</v>
      </c>
      <c r="D33" s="851">
        <v>114</v>
      </c>
      <c r="E33" s="2066">
        <v>110316</v>
      </c>
      <c r="F33" s="2091">
        <f t="shared" si="4"/>
        <v>12576024</v>
      </c>
      <c r="G33" s="2176">
        <f t="shared" si="1"/>
        <v>99284</v>
      </c>
      <c r="H33" s="2176">
        <f t="shared" si="2"/>
        <v>121348</v>
      </c>
    </row>
    <row r="34" spans="1:8" ht="33" x14ac:dyDescent="0.3">
      <c r="A34" s="1453" t="s">
        <v>8676</v>
      </c>
      <c r="B34" s="1395" t="s">
        <v>9035</v>
      </c>
      <c r="C34" s="1460" t="s">
        <v>5424</v>
      </c>
      <c r="D34" s="2108">
        <v>2581</v>
      </c>
      <c r="E34" s="2066">
        <v>150510</v>
      </c>
      <c r="F34" s="2083">
        <f t="shared" si="4"/>
        <v>388466310</v>
      </c>
      <c r="G34" s="2176">
        <f t="shared" si="1"/>
        <v>135459</v>
      </c>
      <c r="H34" s="2176">
        <f t="shared" si="2"/>
        <v>165561</v>
      </c>
    </row>
    <row r="35" spans="1:8" x14ac:dyDescent="0.3">
      <c r="A35" s="860"/>
      <c r="B35" s="859" t="s">
        <v>6642</v>
      </c>
      <c r="C35" s="849"/>
      <c r="D35" s="845"/>
      <c r="E35" s="2090"/>
      <c r="F35" s="856"/>
      <c r="G35" s="856"/>
      <c r="H35" s="856"/>
    </row>
    <row r="36" spans="1:8" x14ac:dyDescent="0.3">
      <c r="A36" s="1453" t="s">
        <v>95</v>
      </c>
      <c r="B36" s="1449" t="s">
        <v>7959</v>
      </c>
      <c r="C36" s="853" t="s">
        <v>6858</v>
      </c>
      <c r="D36" s="893">
        <v>293.98</v>
      </c>
      <c r="E36" s="2066">
        <v>60853</v>
      </c>
      <c r="F36" s="2091">
        <f t="shared" si="4"/>
        <v>17889565</v>
      </c>
      <c r="G36" s="2176">
        <f t="shared" si="1"/>
        <v>54768</v>
      </c>
      <c r="H36" s="2176">
        <f t="shared" si="2"/>
        <v>66938</v>
      </c>
    </row>
    <row r="37" spans="1:8" x14ac:dyDescent="0.3">
      <c r="A37" s="1453" t="s">
        <v>96</v>
      </c>
      <c r="B37" s="1449" t="s">
        <v>5463</v>
      </c>
      <c r="C37" s="853" t="s">
        <v>6858</v>
      </c>
      <c r="D37" s="893">
        <v>12073.3</v>
      </c>
      <c r="E37" s="2066">
        <v>10017</v>
      </c>
      <c r="F37" s="2091">
        <f t="shared" si="4"/>
        <v>120938246</v>
      </c>
      <c r="G37" s="2176">
        <f t="shared" si="1"/>
        <v>9015</v>
      </c>
      <c r="H37" s="2176">
        <f t="shared" si="2"/>
        <v>11019</v>
      </c>
    </row>
    <row r="38" spans="1:8" ht="33" x14ac:dyDescent="0.3">
      <c r="A38" s="1463" t="s">
        <v>97</v>
      </c>
      <c r="B38" s="1074" t="s">
        <v>9819</v>
      </c>
      <c r="C38" s="1460" t="s">
        <v>6858</v>
      </c>
      <c r="D38" s="1075">
        <v>2994.76</v>
      </c>
      <c r="E38" s="2066">
        <v>52233</v>
      </c>
      <c r="F38" s="2083">
        <f t="shared" si="4"/>
        <v>156425299</v>
      </c>
      <c r="G38" s="2176">
        <f t="shared" si="1"/>
        <v>47010</v>
      </c>
      <c r="H38" s="2176">
        <f t="shared" si="2"/>
        <v>57456</v>
      </c>
    </row>
    <row r="39" spans="1:8" x14ac:dyDescent="0.3">
      <c r="A39" s="860"/>
      <c r="B39" s="859" t="s">
        <v>8166</v>
      </c>
      <c r="C39" s="849"/>
      <c r="D39" s="845"/>
      <c r="E39" s="2090"/>
      <c r="F39" s="856"/>
      <c r="G39" s="856"/>
      <c r="H39" s="856"/>
    </row>
    <row r="40" spans="1:8" x14ac:dyDescent="0.3">
      <c r="A40" s="1453" t="s">
        <v>8578</v>
      </c>
      <c r="B40" s="1654" t="s">
        <v>6688</v>
      </c>
      <c r="C40" s="853" t="s">
        <v>6858</v>
      </c>
      <c r="D40" s="1458">
        <v>1443.85</v>
      </c>
      <c r="E40" s="2066">
        <v>472252</v>
      </c>
      <c r="F40" s="2091">
        <f t="shared" si="4"/>
        <v>681861050</v>
      </c>
      <c r="G40" s="2176">
        <f t="shared" si="1"/>
        <v>425027</v>
      </c>
      <c r="H40" s="2176">
        <f t="shared" si="2"/>
        <v>519477</v>
      </c>
    </row>
    <row r="41" spans="1:8" x14ac:dyDescent="0.3">
      <c r="A41" s="1453" t="s">
        <v>233</v>
      </c>
      <c r="B41" s="1654" t="s">
        <v>5573</v>
      </c>
      <c r="C41" s="853" t="s">
        <v>5431</v>
      </c>
      <c r="D41" s="1458">
        <v>115508</v>
      </c>
      <c r="E41" s="2066">
        <v>3841</v>
      </c>
      <c r="F41" s="2091">
        <f t="shared" si="4"/>
        <v>443666228</v>
      </c>
      <c r="G41" s="2176">
        <f t="shared" si="1"/>
        <v>3457</v>
      </c>
      <c r="H41" s="2176">
        <f t="shared" si="2"/>
        <v>4225</v>
      </c>
    </row>
    <row r="42" spans="1:8" x14ac:dyDescent="0.3">
      <c r="A42" s="860"/>
      <c r="B42" s="859" t="s">
        <v>6647</v>
      </c>
      <c r="C42" s="849"/>
      <c r="D42" s="845"/>
      <c r="E42" s="2090"/>
      <c r="F42" s="856"/>
      <c r="G42" s="856"/>
      <c r="H42" s="856"/>
    </row>
    <row r="43" spans="1:8" ht="21" x14ac:dyDescent="0.6">
      <c r="A43" s="1453" t="s">
        <v>5674</v>
      </c>
      <c r="B43" s="1654" t="s">
        <v>9006</v>
      </c>
      <c r="C43" s="853" t="s">
        <v>8954</v>
      </c>
      <c r="D43" s="2259">
        <v>141</v>
      </c>
      <c r="E43" s="2066">
        <v>32756</v>
      </c>
      <c r="F43" s="2260">
        <f t="shared" si="4"/>
        <v>4618596</v>
      </c>
      <c r="G43" s="2176">
        <f t="shared" si="1"/>
        <v>29480</v>
      </c>
      <c r="H43" s="2176">
        <f t="shared" si="2"/>
        <v>36032</v>
      </c>
    </row>
    <row r="44" spans="1:8" ht="21" x14ac:dyDescent="0.6">
      <c r="A44" s="1453" t="s">
        <v>121</v>
      </c>
      <c r="B44" s="1654" t="s">
        <v>9007</v>
      </c>
      <c r="C44" s="853" t="s">
        <v>8954</v>
      </c>
      <c r="D44" s="2259">
        <v>374</v>
      </c>
      <c r="E44" s="2066">
        <v>36111</v>
      </c>
      <c r="F44" s="2260">
        <f t="shared" si="4"/>
        <v>13505514</v>
      </c>
      <c r="G44" s="2176">
        <f t="shared" si="1"/>
        <v>32500</v>
      </c>
      <c r="H44" s="2176">
        <f t="shared" si="2"/>
        <v>39722</v>
      </c>
    </row>
    <row r="45" spans="1:8" ht="21" x14ac:dyDescent="0.6">
      <c r="A45" s="1453" t="s">
        <v>122</v>
      </c>
      <c r="B45" s="1654" t="s">
        <v>9008</v>
      </c>
      <c r="C45" s="853" t="s">
        <v>8954</v>
      </c>
      <c r="D45" s="2259">
        <v>40</v>
      </c>
      <c r="E45" s="2066">
        <v>40547</v>
      </c>
      <c r="F45" s="2260">
        <f t="shared" si="4"/>
        <v>1621880</v>
      </c>
      <c r="G45" s="2176">
        <f t="shared" si="1"/>
        <v>36492</v>
      </c>
      <c r="H45" s="2176">
        <f t="shared" si="2"/>
        <v>44602</v>
      </c>
    </row>
    <row r="46" spans="1:8" x14ac:dyDescent="0.3">
      <c r="A46" s="860"/>
      <c r="B46" s="859" t="s">
        <v>6648</v>
      </c>
      <c r="C46" s="849"/>
      <c r="D46" s="845"/>
      <c r="E46" s="2090"/>
      <c r="F46" s="856"/>
      <c r="G46" s="856"/>
      <c r="H46" s="856"/>
    </row>
    <row r="47" spans="1:8" x14ac:dyDescent="0.3">
      <c r="A47" s="1453" t="s">
        <v>139</v>
      </c>
      <c r="B47" s="1654" t="s">
        <v>5675</v>
      </c>
      <c r="C47" s="853" t="s">
        <v>6858</v>
      </c>
      <c r="D47" s="1458">
        <v>63.26</v>
      </c>
      <c r="E47" s="2066">
        <v>110780</v>
      </c>
      <c r="F47" s="2091">
        <f t="shared" si="4"/>
        <v>7007943</v>
      </c>
      <c r="G47" s="2176">
        <f t="shared" si="1"/>
        <v>99702</v>
      </c>
      <c r="H47" s="2176">
        <f t="shared" si="2"/>
        <v>121858</v>
      </c>
    </row>
    <row r="48" spans="1:8" x14ac:dyDescent="0.3">
      <c r="A48" s="1453" t="s">
        <v>138</v>
      </c>
      <c r="B48" s="1654" t="s">
        <v>5681</v>
      </c>
      <c r="C48" s="853" t="s">
        <v>6858</v>
      </c>
      <c r="D48" s="1458">
        <v>135</v>
      </c>
      <c r="E48" s="2066">
        <v>138838</v>
      </c>
      <c r="F48" s="2091">
        <f t="shared" si="4"/>
        <v>18743130</v>
      </c>
      <c r="G48" s="2176">
        <f t="shared" si="1"/>
        <v>124954</v>
      </c>
      <c r="H48" s="2176">
        <f t="shared" si="2"/>
        <v>152722</v>
      </c>
    </row>
    <row r="49" spans="1:9" x14ac:dyDescent="0.3">
      <c r="A49" s="1453" t="s">
        <v>136</v>
      </c>
      <c r="B49" s="1654" t="s">
        <v>7201</v>
      </c>
      <c r="C49" s="853" t="s">
        <v>6858</v>
      </c>
      <c r="D49" s="1458">
        <v>134.54999999999998</v>
      </c>
      <c r="E49" s="2066">
        <v>122847</v>
      </c>
      <c r="F49" s="2091">
        <f t="shared" si="4"/>
        <v>16529064</v>
      </c>
      <c r="G49" s="2176">
        <f t="shared" si="1"/>
        <v>110562</v>
      </c>
      <c r="H49" s="2176">
        <f t="shared" si="2"/>
        <v>135132</v>
      </c>
    </row>
    <row r="50" spans="1:9" x14ac:dyDescent="0.3">
      <c r="A50" s="860"/>
      <c r="B50" s="859" t="s">
        <v>6653</v>
      </c>
      <c r="C50" s="849"/>
      <c r="D50" s="845"/>
      <c r="E50" s="2090"/>
      <c r="F50" s="856"/>
      <c r="G50" s="856"/>
      <c r="H50" s="856"/>
    </row>
    <row r="51" spans="1:9" x14ac:dyDescent="0.3">
      <c r="A51" s="1453">
        <v>5.0999999999999996</v>
      </c>
      <c r="B51" s="1654" t="s">
        <v>9838</v>
      </c>
      <c r="C51" s="853" t="s">
        <v>6858</v>
      </c>
      <c r="D51" s="893">
        <v>135</v>
      </c>
      <c r="E51" s="2066">
        <v>502865</v>
      </c>
      <c r="F51" s="2091">
        <f t="shared" si="4"/>
        <v>67886775</v>
      </c>
      <c r="G51" s="2176">
        <f t="shared" si="1"/>
        <v>452579</v>
      </c>
      <c r="H51" s="2176">
        <f t="shared" si="2"/>
        <v>553152</v>
      </c>
    </row>
    <row r="52" spans="1:9" x14ac:dyDescent="0.3">
      <c r="A52" s="1453">
        <v>5.2</v>
      </c>
      <c r="B52" s="1654" t="s">
        <v>5581</v>
      </c>
      <c r="C52" s="853" t="s">
        <v>6858</v>
      </c>
      <c r="D52" s="893">
        <v>134.55000000000001</v>
      </c>
      <c r="E52" s="2066">
        <v>718800</v>
      </c>
      <c r="F52" s="2091">
        <f t="shared" si="4"/>
        <v>96714540</v>
      </c>
      <c r="G52" s="2176">
        <f t="shared" si="1"/>
        <v>646920</v>
      </c>
      <c r="H52" s="2176">
        <f t="shared" si="2"/>
        <v>790680</v>
      </c>
    </row>
    <row r="53" spans="1:9" x14ac:dyDescent="0.3">
      <c r="A53" s="860"/>
      <c r="B53" s="859" t="s">
        <v>9392</v>
      </c>
      <c r="C53" s="849"/>
      <c r="D53" s="845"/>
      <c r="E53" s="2090"/>
      <c r="F53" s="856"/>
      <c r="G53" s="856"/>
      <c r="H53" s="856"/>
    </row>
    <row r="54" spans="1:9" ht="21" x14ac:dyDescent="0.6">
      <c r="A54" s="1453" t="s">
        <v>9059</v>
      </c>
      <c r="B54" s="1449" t="s">
        <v>9053</v>
      </c>
      <c r="C54" s="853" t="s">
        <v>5402</v>
      </c>
      <c r="D54" s="2259">
        <v>2017.55</v>
      </c>
      <c r="E54" s="2066">
        <v>50599</v>
      </c>
      <c r="F54" s="2260">
        <f t="shared" si="4"/>
        <v>102086012</v>
      </c>
      <c r="G54" s="2176">
        <f t="shared" si="1"/>
        <v>45539</v>
      </c>
      <c r="H54" s="2176">
        <f t="shared" si="2"/>
        <v>55659</v>
      </c>
      <c r="I54" s="2258"/>
    </row>
    <row r="55" spans="1:9" ht="21" x14ac:dyDescent="0.6">
      <c r="A55" s="1453" t="s">
        <v>9060</v>
      </c>
      <c r="B55" s="1449" t="s">
        <v>9054</v>
      </c>
      <c r="C55" s="853" t="s">
        <v>5402</v>
      </c>
      <c r="D55" s="2259">
        <v>714.25</v>
      </c>
      <c r="E55" s="2066">
        <v>52083</v>
      </c>
      <c r="F55" s="2260">
        <f t="shared" si="4"/>
        <v>37200283</v>
      </c>
      <c r="G55" s="2176">
        <f t="shared" si="1"/>
        <v>46875</v>
      </c>
      <c r="H55" s="2176">
        <f t="shared" si="2"/>
        <v>57291</v>
      </c>
      <c r="I55" s="2258"/>
    </row>
    <row r="56" spans="1:9" ht="21" x14ac:dyDescent="0.6">
      <c r="A56" s="1453" t="s">
        <v>9061</v>
      </c>
      <c r="B56" s="1449" t="s">
        <v>9056</v>
      </c>
      <c r="C56" s="853" t="s">
        <v>5402</v>
      </c>
      <c r="D56" s="2259">
        <v>13003.2</v>
      </c>
      <c r="E56" s="2066">
        <v>53011</v>
      </c>
      <c r="F56" s="2260">
        <f t="shared" si="4"/>
        <v>689312635</v>
      </c>
      <c r="G56" s="2176">
        <f t="shared" si="1"/>
        <v>47710</v>
      </c>
      <c r="H56" s="2176">
        <f t="shared" si="2"/>
        <v>58312</v>
      </c>
      <c r="I56" s="2257"/>
    </row>
    <row r="57" spans="1:9" x14ac:dyDescent="0.3">
      <c r="A57" s="860"/>
      <c r="B57" s="859" t="s">
        <v>9393</v>
      </c>
      <c r="C57" s="849"/>
      <c r="D57" s="845"/>
      <c r="E57" s="2090"/>
      <c r="F57" s="856"/>
      <c r="G57" s="856"/>
      <c r="H57" s="856"/>
    </row>
    <row r="58" spans="1:9" x14ac:dyDescent="0.3">
      <c r="A58" s="1453" t="s">
        <v>679</v>
      </c>
      <c r="B58" s="1449" t="s">
        <v>9063</v>
      </c>
      <c r="C58" s="853" t="s">
        <v>5402</v>
      </c>
      <c r="D58" s="893">
        <v>3786.5499999999993</v>
      </c>
      <c r="E58" s="2066">
        <v>11437</v>
      </c>
      <c r="F58" s="2091">
        <f t="shared" si="4"/>
        <v>43306772</v>
      </c>
      <c r="G58" s="2176">
        <f t="shared" si="1"/>
        <v>10293</v>
      </c>
      <c r="H58" s="2176">
        <f t="shared" si="2"/>
        <v>12581</v>
      </c>
    </row>
    <row r="59" spans="1:9" x14ac:dyDescent="0.3">
      <c r="A59" s="1453" t="s">
        <v>690</v>
      </c>
      <c r="B59" s="1449" t="s">
        <v>9065</v>
      </c>
      <c r="C59" s="853" t="s">
        <v>5402</v>
      </c>
      <c r="D59" s="893">
        <v>9509.25</v>
      </c>
      <c r="E59" s="2066">
        <v>20725</v>
      </c>
      <c r="F59" s="2091">
        <f t="shared" si="4"/>
        <v>197079206</v>
      </c>
      <c r="G59" s="2176">
        <f t="shared" si="1"/>
        <v>18653</v>
      </c>
      <c r="H59" s="2176">
        <f t="shared" si="2"/>
        <v>22798</v>
      </c>
    </row>
    <row r="60" spans="1:9" x14ac:dyDescent="0.3">
      <c r="A60" s="1453" t="s">
        <v>693</v>
      </c>
      <c r="B60" s="1449" t="s">
        <v>9066</v>
      </c>
      <c r="C60" s="853" t="s">
        <v>5402</v>
      </c>
      <c r="D60" s="893">
        <v>21513.200000000001</v>
      </c>
      <c r="E60" s="2066">
        <v>26050</v>
      </c>
      <c r="F60" s="2091">
        <f t="shared" si="4"/>
        <v>560418860</v>
      </c>
      <c r="G60" s="2176">
        <f t="shared" si="1"/>
        <v>23445</v>
      </c>
      <c r="H60" s="2176">
        <f t="shared" si="2"/>
        <v>28655</v>
      </c>
    </row>
    <row r="61" spans="1:9" x14ac:dyDescent="0.3">
      <c r="A61" s="860"/>
      <c r="B61" s="859" t="s">
        <v>9871</v>
      </c>
      <c r="C61" s="849"/>
      <c r="D61" s="845"/>
      <c r="E61" s="2090"/>
      <c r="F61" s="856"/>
      <c r="G61" s="856"/>
      <c r="H61" s="856"/>
      <c r="I61" s="856"/>
    </row>
    <row r="62" spans="1:9" ht="49.5" x14ac:dyDescent="0.3">
      <c r="A62" s="1463">
        <v>7.2</v>
      </c>
      <c r="B62" s="2087" t="s">
        <v>9872</v>
      </c>
      <c r="C62" s="1460" t="s">
        <v>5402</v>
      </c>
      <c r="D62" s="1075">
        <v>50</v>
      </c>
      <c r="E62" s="2066">
        <v>4389521</v>
      </c>
      <c r="F62" s="2083">
        <f t="shared" si="4"/>
        <v>219476050</v>
      </c>
      <c r="G62" s="2176">
        <f t="shared" si="1"/>
        <v>3950569</v>
      </c>
      <c r="H62" s="2176">
        <f t="shared" si="2"/>
        <v>4828473</v>
      </c>
    </row>
    <row r="63" spans="1:9" ht="21" x14ac:dyDescent="0.6">
      <c r="A63" s="1451"/>
      <c r="B63" s="1449"/>
      <c r="C63" s="2347" t="s">
        <v>8068</v>
      </c>
      <c r="D63" s="2348"/>
      <c r="E63" s="2349"/>
      <c r="F63" s="2261">
        <f>+ROUND(SUM(F6:F62),0)</f>
        <v>5058850271</v>
      </c>
      <c r="G63" s="2339"/>
      <c r="H63" s="2340"/>
    </row>
    <row r="64" spans="1:9" x14ac:dyDescent="0.3">
      <c r="A64" s="2344"/>
      <c r="B64" s="2345"/>
      <c r="C64" s="2345"/>
      <c r="D64" s="2345"/>
      <c r="E64" s="2345"/>
      <c r="F64" s="2346"/>
      <c r="G64" s="2352"/>
      <c r="H64" s="2353"/>
    </row>
    <row r="65" spans="1:8" x14ac:dyDescent="0.3">
      <c r="A65" s="2321" t="s">
        <v>8351</v>
      </c>
      <c r="B65" s="2321"/>
      <c r="C65" s="947" t="s">
        <v>6616</v>
      </c>
      <c r="D65" s="2062" t="s">
        <v>6617</v>
      </c>
      <c r="E65" s="948" t="s">
        <v>6618</v>
      </c>
      <c r="F65" s="949" t="s">
        <v>9831</v>
      </c>
      <c r="G65" s="949" t="s">
        <v>9864</v>
      </c>
      <c r="H65" s="949" t="s">
        <v>9865</v>
      </c>
    </row>
    <row r="66" spans="1:8" ht="33" x14ac:dyDescent="0.3">
      <c r="A66" s="1463" t="s">
        <v>8866</v>
      </c>
      <c r="B66" s="1397" t="s">
        <v>9714</v>
      </c>
      <c r="C66" s="1455" t="s">
        <v>5402</v>
      </c>
      <c r="D66" s="2183">
        <v>132</v>
      </c>
      <c r="E66" s="2066">
        <v>389844</v>
      </c>
      <c r="F66" s="2083">
        <f>ROUND(E66*D66,0)</f>
        <v>51459408</v>
      </c>
      <c r="G66" s="2176">
        <f t="shared" ref="G66" si="5">+ROUND(E66*0.9,0)</f>
        <v>350860</v>
      </c>
      <c r="H66" s="2176">
        <f t="shared" ref="H66" si="6">+ROUND(E66*1.1,0)</f>
        <v>428828</v>
      </c>
    </row>
    <row r="67" spans="1:8" ht="33" x14ac:dyDescent="0.3">
      <c r="A67" s="1463" t="s">
        <v>8868</v>
      </c>
      <c r="B67" s="1397" t="s">
        <v>9712</v>
      </c>
      <c r="C67" s="1455" t="s">
        <v>5402</v>
      </c>
      <c r="D67" s="2183">
        <v>29</v>
      </c>
      <c r="E67" s="2066">
        <v>544957</v>
      </c>
      <c r="F67" s="2083">
        <f t="shared" ref="F67:F85" si="7">ROUND(E67*D67,0)</f>
        <v>15803753</v>
      </c>
      <c r="G67" s="2176">
        <f t="shared" ref="G67:G85" si="8">+ROUND(E67*0.9,0)</f>
        <v>490461</v>
      </c>
      <c r="H67" s="2176">
        <f t="shared" ref="H67:H85" si="9">+ROUND(E67*1.1,0)</f>
        <v>599453</v>
      </c>
    </row>
    <row r="68" spans="1:8" ht="33" x14ac:dyDescent="0.3">
      <c r="A68" s="1463" t="s">
        <v>8869</v>
      </c>
      <c r="B68" s="1397" t="s">
        <v>9711</v>
      </c>
      <c r="C68" s="1455" t="s">
        <v>5402</v>
      </c>
      <c r="D68" s="2183">
        <v>90</v>
      </c>
      <c r="E68" s="2066">
        <v>687225</v>
      </c>
      <c r="F68" s="2083">
        <f t="shared" si="7"/>
        <v>61850250</v>
      </c>
      <c r="G68" s="2176">
        <f t="shared" si="8"/>
        <v>618503</v>
      </c>
      <c r="H68" s="2176">
        <f t="shared" si="9"/>
        <v>755948</v>
      </c>
    </row>
    <row r="69" spans="1:8" ht="33" x14ac:dyDescent="0.3">
      <c r="A69" s="1463" t="s">
        <v>8870</v>
      </c>
      <c r="B69" s="1397" t="s">
        <v>9709</v>
      </c>
      <c r="C69" s="1455" t="s">
        <v>5402</v>
      </c>
      <c r="D69" s="2183">
        <v>24</v>
      </c>
      <c r="E69" s="2066">
        <v>750150</v>
      </c>
      <c r="F69" s="2083">
        <f t="shared" si="7"/>
        <v>18003600</v>
      </c>
      <c r="G69" s="2176">
        <f t="shared" si="8"/>
        <v>675135</v>
      </c>
      <c r="H69" s="2176">
        <f t="shared" si="9"/>
        <v>825165</v>
      </c>
    </row>
    <row r="70" spans="1:8" x14ac:dyDescent="0.3">
      <c r="A70" s="1463" t="s">
        <v>8872</v>
      </c>
      <c r="B70" s="1654" t="s">
        <v>9654</v>
      </c>
      <c r="C70" s="1450" t="s">
        <v>5402</v>
      </c>
      <c r="D70" s="2183">
        <v>3815</v>
      </c>
      <c r="E70" s="2066">
        <v>355845</v>
      </c>
      <c r="F70" s="2083">
        <f t="shared" si="7"/>
        <v>1357548675</v>
      </c>
      <c r="G70" s="2176">
        <f t="shared" si="8"/>
        <v>320261</v>
      </c>
      <c r="H70" s="2176">
        <f t="shared" si="9"/>
        <v>391430</v>
      </c>
    </row>
    <row r="71" spans="1:8" x14ac:dyDescent="0.3">
      <c r="A71" s="1463" t="s">
        <v>8873</v>
      </c>
      <c r="B71" s="1654" t="s">
        <v>9655</v>
      </c>
      <c r="C71" s="1450" t="s">
        <v>5402</v>
      </c>
      <c r="D71" s="2183">
        <v>3600</v>
      </c>
      <c r="E71" s="2066">
        <v>414322</v>
      </c>
      <c r="F71" s="2083">
        <f t="shared" si="7"/>
        <v>1491559200</v>
      </c>
      <c r="G71" s="2176">
        <f t="shared" si="8"/>
        <v>372890</v>
      </c>
      <c r="H71" s="2176">
        <f t="shared" si="9"/>
        <v>455754</v>
      </c>
    </row>
    <row r="72" spans="1:8" x14ac:dyDescent="0.3">
      <c r="A72" s="1463" t="s">
        <v>8692</v>
      </c>
      <c r="B72" s="1654" t="s">
        <v>9174</v>
      </c>
      <c r="C72" s="1450" t="s">
        <v>5424</v>
      </c>
      <c r="D72" s="2183">
        <v>92</v>
      </c>
      <c r="E72" s="2066">
        <v>700782</v>
      </c>
      <c r="F72" s="2083">
        <f t="shared" si="7"/>
        <v>64471944</v>
      </c>
      <c r="G72" s="2176">
        <f t="shared" si="8"/>
        <v>630704</v>
      </c>
      <c r="H72" s="2176">
        <f t="shared" si="9"/>
        <v>770860</v>
      </c>
    </row>
    <row r="73" spans="1:8" x14ac:dyDescent="0.3">
      <c r="A73" s="1463" t="s">
        <v>8697</v>
      </c>
      <c r="B73" s="1654" t="s">
        <v>9175</v>
      </c>
      <c r="C73" s="1450" t="s">
        <v>5424</v>
      </c>
      <c r="D73" s="2183">
        <v>13</v>
      </c>
      <c r="E73" s="2066">
        <v>1025902</v>
      </c>
      <c r="F73" s="2083">
        <f t="shared" si="7"/>
        <v>13336726</v>
      </c>
      <c r="G73" s="2176">
        <f t="shared" si="8"/>
        <v>923312</v>
      </c>
      <c r="H73" s="2176">
        <f t="shared" si="9"/>
        <v>1128492</v>
      </c>
    </row>
    <row r="74" spans="1:8" x14ac:dyDescent="0.3">
      <c r="A74" s="1463" t="s">
        <v>8705</v>
      </c>
      <c r="B74" s="1654" t="s">
        <v>9176</v>
      </c>
      <c r="C74" s="1450" t="s">
        <v>5424</v>
      </c>
      <c r="D74" s="2183">
        <v>3</v>
      </c>
      <c r="E74" s="2066">
        <v>1211765</v>
      </c>
      <c r="F74" s="2083">
        <f t="shared" si="7"/>
        <v>3635295</v>
      </c>
      <c r="G74" s="2176">
        <f t="shared" si="8"/>
        <v>1090589</v>
      </c>
      <c r="H74" s="2176">
        <f t="shared" si="9"/>
        <v>1332942</v>
      </c>
    </row>
    <row r="75" spans="1:8" x14ac:dyDescent="0.3">
      <c r="A75" s="1463" t="s">
        <v>8693</v>
      </c>
      <c r="B75" s="1654" t="s">
        <v>9177</v>
      </c>
      <c r="C75" s="1450" t="s">
        <v>5424</v>
      </c>
      <c r="D75" s="2183">
        <v>233</v>
      </c>
      <c r="E75" s="2066">
        <v>1477096</v>
      </c>
      <c r="F75" s="2083">
        <f t="shared" si="7"/>
        <v>344163368</v>
      </c>
      <c r="G75" s="2176">
        <f t="shared" si="8"/>
        <v>1329386</v>
      </c>
      <c r="H75" s="2176">
        <f t="shared" si="9"/>
        <v>1624806</v>
      </c>
    </row>
    <row r="76" spans="1:8" x14ac:dyDescent="0.3">
      <c r="A76" s="1463" t="s">
        <v>8699</v>
      </c>
      <c r="B76" s="1654" t="s">
        <v>9178</v>
      </c>
      <c r="C76" s="1450" t="s">
        <v>5424</v>
      </c>
      <c r="D76" s="2183">
        <v>33</v>
      </c>
      <c r="E76" s="2066">
        <v>1567748</v>
      </c>
      <c r="F76" s="2083">
        <f t="shared" si="7"/>
        <v>51735684</v>
      </c>
      <c r="G76" s="2176">
        <f t="shared" si="8"/>
        <v>1410973</v>
      </c>
      <c r="H76" s="2176">
        <f t="shared" si="9"/>
        <v>1724523</v>
      </c>
    </row>
    <row r="77" spans="1:8" x14ac:dyDescent="0.3">
      <c r="A77" s="1463" t="s">
        <v>8707</v>
      </c>
      <c r="B77" s="1654" t="s">
        <v>9179</v>
      </c>
      <c r="C77" s="1450" t="s">
        <v>5424</v>
      </c>
      <c r="D77" s="2183">
        <v>4</v>
      </c>
      <c r="E77" s="2066">
        <v>2214676</v>
      </c>
      <c r="F77" s="2083">
        <f t="shared" si="7"/>
        <v>8858704</v>
      </c>
      <c r="G77" s="2176">
        <f t="shared" si="8"/>
        <v>1993208</v>
      </c>
      <c r="H77" s="2176">
        <f t="shared" si="9"/>
        <v>2436144</v>
      </c>
    </row>
    <row r="78" spans="1:8" x14ac:dyDescent="0.3">
      <c r="A78" s="1463" t="s">
        <v>8694</v>
      </c>
      <c r="B78" s="1654" t="s">
        <v>9180</v>
      </c>
      <c r="C78" s="1450" t="s">
        <v>5424</v>
      </c>
      <c r="D78" s="2183">
        <v>186</v>
      </c>
      <c r="E78" s="2066">
        <v>1942098</v>
      </c>
      <c r="F78" s="2083">
        <f t="shared" si="7"/>
        <v>361230228</v>
      </c>
      <c r="G78" s="2176">
        <f t="shared" si="8"/>
        <v>1747888</v>
      </c>
      <c r="H78" s="2176">
        <f t="shared" si="9"/>
        <v>2136308</v>
      </c>
    </row>
    <row r="79" spans="1:8" x14ac:dyDescent="0.3">
      <c r="A79" s="1463" t="s">
        <v>8701</v>
      </c>
      <c r="B79" s="1654" t="s">
        <v>9181</v>
      </c>
      <c r="C79" s="1450" t="s">
        <v>5424</v>
      </c>
      <c r="D79" s="2183">
        <v>26</v>
      </c>
      <c r="E79" s="2066">
        <v>2330255</v>
      </c>
      <c r="F79" s="2083">
        <f t="shared" si="7"/>
        <v>60586630</v>
      </c>
      <c r="G79" s="2176">
        <f t="shared" si="8"/>
        <v>2097230</v>
      </c>
      <c r="H79" s="2176">
        <f t="shared" si="9"/>
        <v>2563281</v>
      </c>
    </row>
    <row r="80" spans="1:8" x14ac:dyDescent="0.3">
      <c r="A80" s="1463" t="s">
        <v>8709</v>
      </c>
      <c r="B80" s="1654" t="s">
        <v>9182</v>
      </c>
      <c r="C80" s="1450" t="s">
        <v>5424</v>
      </c>
      <c r="D80" s="2183">
        <v>7</v>
      </c>
      <c r="E80" s="2066">
        <v>3107257</v>
      </c>
      <c r="F80" s="2083">
        <f t="shared" si="7"/>
        <v>21750799</v>
      </c>
      <c r="G80" s="2176">
        <f t="shared" si="8"/>
        <v>2796531</v>
      </c>
      <c r="H80" s="2176">
        <f t="shared" si="9"/>
        <v>3417983</v>
      </c>
    </row>
    <row r="81" spans="1:8" x14ac:dyDescent="0.3">
      <c r="A81" s="1463" t="s">
        <v>8824</v>
      </c>
      <c r="B81" s="1449" t="s">
        <v>9183</v>
      </c>
      <c r="C81" s="1450" t="s">
        <v>5424</v>
      </c>
      <c r="D81" s="2183">
        <v>8</v>
      </c>
      <c r="E81" s="2066">
        <v>1773978</v>
      </c>
      <c r="F81" s="2083">
        <f t="shared" si="7"/>
        <v>14191824</v>
      </c>
      <c r="G81" s="2176">
        <f t="shared" si="8"/>
        <v>1596580</v>
      </c>
      <c r="H81" s="2176">
        <f t="shared" si="9"/>
        <v>1951376</v>
      </c>
    </row>
    <row r="82" spans="1:8" x14ac:dyDescent="0.3">
      <c r="A82" s="1463" t="s">
        <v>8833</v>
      </c>
      <c r="B82" s="1654" t="s">
        <v>9184</v>
      </c>
      <c r="C82" s="1450" t="s">
        <v>5424</v>
      </c>
      <c r="D82" s="2183">
        <v>18</v>
      </c>
      <c r="E82" s="2066">
        <v>133322</v>
      </c>
      <c r="F82" s="2083">
        <f t="shared" si="7"/>
        <v>2399796</v>
      </c>
      <c r="G82" s="2176">
        <f t="shared" si="8"/>
        <v>119990</v>
      </c>
      <c r="H82" s="2176">
        <f t="shared" si="9"/>
        <v>146654</v>
      </c>
    </row>
    <row r="83" spans="1:8" x14ac:dyDescent="0.3">
      <c r="A83" s="1463" t="s">
        <v>8924</v>
      </c>
      <c r="B83" s="1654" t="s">
        <v>9185</v>
      </c>
      <c r="C83" s="1450" t="s">
        <v>5424</v>
      </c>
      <c r="D83" s="2183">
        <v>223</v>
      </c>
      <c r="E83" s="2066">
        <v>440449</v>
      </c>
      <c r="F83" s="2083">
        <f t="shared" si="7"/>
        <v>98220127</v>
      </c>
      <c r="G83" s="2176">
        <f t="shared" si="8"/>
        <v>396404</v>
      </c>
      <c r="H83" s="2176">
        <f t="shared" si="9"/>
        <v>484494</v>
      </c>
    </row>
    <row r="84" spans="1:8" x14ac:dyDescent="0.3">
      <c r="A84" s="1463" t="s">
        <v>8925</v>
      </c>
      <c r="B84" s="1654" t="s">
        <v>9186</v>
      </c>
      <c r="C84" s="1450" t="s">
        <v>5424</v>
      </c>
      <c r="D84" s="2183">
        <v>476</v>
      </c>
      <c r="E84" s="2066">
        <v>596636</v>
      </c>
      <c r="F84" s="2083">
        <f t="shared" si="7"/>
        <v>283998736</v>
      </c>
      <c r="G84" s="2176">
        <f t="shared" si="8"/>
        <v>536972</v>
      </c>
      <c r="H84" s="2176">
        <f t="shared" si="9"/>
        <v>656300</v>
      </c>
    </row>
    <row r="85" spans="1:8" x14ac:dyDescent="0.3">
      <c r="A85" s="1463" t="s">
        <v>8926</v>
      </c>
      <c r="B85" s="1654" t="s">
        <v>9187</v>
      </c>
      <c r="C85" s="1450" t="s">
        <v>5424</v>
      </c>
      <c r="D85" s="2183">
        <v>375</v>
      </c>
      <c r="E85" s="2066">
        <v>1836765</v>
      </c>
      <c r="F85" s="2083">
        <f t="shared" si="7"/>
        <v>688786875</v>
      </c>
      <c r="G85" s="2176">
        <f t="shared" si="8"/>
        <v>1653089</v>
      </c>
      <c r="H85" s="2176">
        <f t="shared" si="9"/>
        <v>2020442</v>
      </c>
    </row>
    <row r="86" spans="1:8" x14ac:dyDescent="0.3">
      <c r="C86" s="2343" t="s">
        <v>8069</v>
      </c>
      <c r="D86" s="2343"/>
      <c r="E86" s="2343"/>
      <c r="F86" s="2095">
        <f>+ROUND(SUM(F66:F85),0)</f>
        <v>5013591622</v>
      </c>
    </row>
  </sheetData>
  <sheetProtection algorithmName="SHA-512" hashValue="j21a0+2dCcY1Q7Euy2zNVX7rO/oY8MQg3oLehsf9PzQEoayr7+c+B0qFkIBx6ggXW80ddEu2cJf3bhlrekrCow==" saltValue="QCMFTvwCk44wYB4f2OWGqw==" spinCount="100000" sheet="1" objects="1" scenarios="1" selectLockedCells="1" selectUnlockedCells="1"/>
  <sortState ref="A15:F21">
    <sortCondition ref="A15:A21"/>
  </sortState>
  <mergeCells count="8">
    <mergeCell ref="A1:H3"/>
    <mergeCell ref="A4:H4"/>
    <mergeCell ref="G63:H64"/>
    <mergeCell ref="C86:E86"/>
    <mergeCell ref="A65:B65"/>
    <mergeCell ref="A64:F64"/>
    <mergeCell ref="A5:B5"/>
    <mergeCell ref="C63:E63"/>
  </mergeCells>
  <pageMargins left="0.70866141732283472" right="0.70866141732283472" top="0.74803149606299213" bottom="0.74803149606299213" header="0.31496062992125984" footer="0.31496062992125984"/>
  <pageSetup scale="55" fitToHeight="0" orientation="portrait" r:id="rId1"/>
  <rowBreaks count="1" manualBreakCount="1">
    <brk id="38" max="7"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49</vt:i4>
      </vt:variant>
      <vt:variant>
        <vt:lpstr>Rangos con nombre</vt:lpstr>
      </vt:variant>
      <vt:variant>
        <vt:i4>38</vt:i4>
      </vt:variant>
    </vt:vector>
  </HeadingPairs>
  <TitlesOfParts>
    <vt:vector size="87" baseType="lpstr">
      <vt:lpstr>MADRID- BOJACA</vt:lpstr>
      <vt:lpstr>RESUMEN</vt:lpstr>
      <vt:lpstr>Plan Financiero</vt:lpstr>
      <vt:lpstr>Flujo de Inversion</vt:lpstr>
      <vt:lpstr>CRONOGRAMA</vt:lpstr>
      <vt:lpstr>TANQUE BOJACA (2)</vt:lpstr>
      <vt:lpstr>CAMARA LLEGADA PTAP</vt:lpstr>
      <vt:lpstr>CONDUCCION CD -TCB</vt:lpstr>
      <vt:lpstr>CONDUCCION TCB-PTAP</vt:lpstr>
      <vt:lpstr>LINEA ALTA PRESION</vt:lpstr>
      <vt:lpstr>PGSO (2)</vt:lpstr>
      <vt:lpstr>ESTRUCTURAS ESPECIALES</vt:lpstr>
      <vt:lpstr>TANQUE DE CLORACIÓN</vt:lpstr>
      <vt:lpstr>CASETA CLORACIÓN</vt:lpstr>
      <vt:lpstr>EB-MECANICO</vt:lpstr>
      <vt:lpstr>EB-ELECTRICO</vt:lpstr>
      <vt:lpstr>CAJA DE CONTROL</vt:lpstr>
      <vt:lpstr>PGSO</vt:lpstr>
      <vt:lpstr>CAMARAS DE QUIEBRE</vt:lpstr>
      <vt:lpstr>ListaAPUs</vt:lpstr>
      <vt:lpstr>APU ELECTRICOS</vt:lpstr>
      <vt:lpstr>APUS</vt:lpstr>
      <vt:lpstr>APU SUM</vt:lpstr>
      <vt:lpstr>OC Tanque</vt:lpstr>
      <vt:lpstr>Pto Sum TANQUE</vt:lpstr>
      <vt:lpstr>OC LC</vt:lpstr>
      <vt:lpstr>Pto Sum LC</vt:lpstr>
      <vt:lpstr>OC LAP</vt:lpstr>
      <vt:lpstr>Pto Sum LAP</vt:lpstr>
      <vt:lpstr>OC ESTRUCTURAS</vt:lpstr>
      <vt:lpstr>Pto ESTRUCTURAS</vt:lpstr>
      <vt:lpstr>OC L16</vt:lpstr>
      <vt:lpstr>Pto Sum L16</vt:lpstr>
      <vt:lpstr>Cantidades</vt:lpstr>
      <vt:lpstr>Resumen estr</vt:lpstr>
      <vt:lpstr>Insumos</vt:lpstr>
      <vt:lpstr>Resumen Tuberia</vt:lpstr>
      <vt:lpstr>SUM</vt:lpstr>
      <vt:lpstr>SO</vt:lpstr>
      <vt:lpstr>APU CAP 1-2</vt:lpstr>
      <vt:lpstr>APU CAP 3</vt:lpstr>
      <vt:lpstr>APU CAP 5</vt:lpstr>
      <vt:lpstr>APU CAP 6</vt:lpstr>
      <vt:lpstr>APU CAP 7</vt:lpstr>
      <vt:lpstr>APU CAP 8</vt:lpstr>
      <vt:lpstr>APU ESTRUCTURAS</vt:lpstr>
      <vt:lpstr>Tuberia HD</vt:lpstr>
      <vt:lpstr>EE</vt:lpstr>
      <vt:lpstr>Mano de obra</vt:lpstr>
      <vt:lpstr>'APU ELECTRICOS'!Área_de_impresión</vt:lpstr>
      <vt:lpstr>'APU SUM'!Área_de_impresión</vt:lpstr>
      <vt:lpstr>APUS!Área_de_impresión</vt:lpstr>
      <vt:lpstr>'CAJA DE CONTROL'!Área_de_impresión</vt:lpstr>
      <vt:lpstr>'CAMARA LLEGADA PTAP'!Área_de_impresión</vt:lpstr>
      <vt:lpstr>'CAMARAS DE QUIEBRE'!Área_de_impresión</vt:lpstr>
      <vt:lpstr>Cantidades!Área_de_impresión</vt:lpstr>
      <vt:lpstr>'CASETA CLORACIÓN'!Área_de_impresión</vt:lpstr>
      <vt:lpstr>'CONDUCCION CD -TCB'!Área_de_impresión</vt:lpstr>
      <vt:lpstr>'CONDUCCION TCB-PTAP'!Área_de_impresión</vt:lpstr>
      <vt:lpstr>'EB-ELECTRICO'!Área_de_impresión</vt:lpstr>
      <vt:lpstr>'EB-MECANICO'!Área_de_impresión</vt:lpstr>
      <vt:lpstr>'ESTRUCTURAS ESPECIALES'!Área_de_impresión</vt:lpstr>
      <vt:lpstr>Insumos!Área_de_impresión</vt:lpstr>
      <vt:lpstr>'LINEA ALTA PRESION'!Área_de_impresión</vt:lpstr>
      <vt:lpstr>ListaAPUs!Área_de_impresión</vt:lpstr>
      <vt:lpstr>PGSO!Área_de_impresión</vt:lpstr>
      <vt:lpstr>'PGSO (2)'!Área_de_impresión</vt:lpstr>
      <vt:lpstr>'Plan Financiero'!Área_de_impresión</vt:lpstr>
      <vt:lpstr>RESUMEN!Área_de_impresión</vt:lpstr>
      <vt:lpstr>'Resumen Tuberia'!Área_de_impresión</vt:lpstr>
      <vt:lpstr>'TANQUE BOJACA (2)'!Área_de_impresión</vt:lpstr>
      <vt:lpstr>'TANQUE DE CLORACIÓN'!Área_de_impresión</vt:lpstr>
      <vt:lpstr>'APU SUM'!Títulos_a_imprimir</vt:lpstr>
      <vt:lpstr>'CAJA DE CONTROL'!Títulos_a_imprimir</vt:lpstr>
      <vt:lpstr>'CAMARA LLEGADA PTAP'!Títulos_a_imprimir</vt:lpstr>
      <vt:lpstr>'CAMARAS DE QUIEBRE'!Títulos_a_imprimir</vt:lpstr>
      <vt:lpstr>'CASETA CLORACIÓN'!Títulos_a_imprimir</vt:lpstr>
      <vt:lpstr>'CONDUCCION CD -TCB'!Títulos_a_imprimir</vt:lpstr>
      <vt:lpstr>'CONDUCCION TCB-PTAP'!Títulos_a_imprimir</vt:lpstr>
      <vt:lpstr>'EB-MECANICO'!Títulos_a_imprimir</vt:lpstr>
      <vt:lpstr>'ESTRUCTURAS ESPECIALES'!Títulos_a_imprimir</vt:lpstr>
      <vt:lpstr>'LINEA ALTA PRESION'!Títulos_a_imprimir</vt:lpstr>
      <vt:lpstr>ListaAPUs!Títulos_a_imprimir</vt:lpstr>
      <vt:lpstr>'MADRID- BOJACA'!Títulos_a_imprimir</vt:lpstr>
      <vt:lpstr>RESUMEN!Títulos_a_imprimir</vt:lpstr>
      <vt:lpstr>'TANQUE BOJACA (2)'!Títulos_a_imprimir</vt:lpstr>
      <vt:lpstr>'TANQUE DE CLORACIÓN'!Títulos_a_imprimir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Paola Andrea Ñustes Tovar</dc:creator>
  <cp:lastModifiedBy>GIOVANNY GOMEZ HENAO</cp:lastModifiedBy>
  <cp:lastPrinted>2018-03-13T18:06:59Z</cp:lastPrinted>
  <dcterms:created xsi:type="dcterms:W3CDTF">2013-01-30T15:30:05Z</dcterms:created>
  <dcterms:modified xsi:type="dcterms:W3CDTF">2018-05-07T21:45:48Z</dcterms:modified>
</cp:coreProperties>
</file>